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Anleitung" sheetId="1" state="visible" r:id="rId1"/>
    <sheet name="Eingabe" sheetId="2" state="visible" r:id="rId2"/>
    <sheet name="Auswertung" sheetId="3" state="visible" r:id="rId3"/>
    <sheet name="Verfahren" sheetId="4" state="visible" r:id="rId4"/>
    <sheet name="Diagramme" sheetId="5" state="visible" r:id="rId5"/>
    <sheet name="Bericht" sheetId="6" state="visible" r:id="rId6"/>
    <sheet name="Beispiele" sheetId="7" state="visible" r:id="rId7"/>
    <sheet name="Listen" sheetId="8" state="hidden" r:id="rId8"/>
    <sheet name="Calc" sheetId="9" state="hidden" r:id="rId9"/>
    <sheet name="Grid" sheetId="10" state="hidden" r:id="rId10"/>
    <sheet name="ExpFit" sheetId="11" state="hidden" r:id="rId11"/>
    <sheet name="LTP" sheetId="12" state="hidden" r:id="rId12"/>
    <sheet name="LTP3" sheetId="13" state="hidden" r:id="rId13"/>
    <sheet name="Guide" sheetId="14" state="hidden" r:id="rId14"/>
    <sheet name="VCalc" sheetId="15" state="hidden" r:id="rId15"/>
    <sheet name="ChartData" sheetId="16" state="hidden" r:id="rId16"/>
  </sheets>
  <definedNames>
    <definedName name="k_n">'Calc'!$B$26</definedName>
    <definedName name="k_nh">'Calc'!$B$27</definedName>
    <definedName name="k_ng">'Calc'!$B$28</definedName>
    <definedName name="k_unit">'Calc'!$B$29</definedName>
    <definedName name="k_run">'Calc'!$B$30</definedName>
    <definedName name="k_xd">'Calc'!$B$31</definedName>
    <definedName name="k_gluOn">'Calc'!$B$32</definedName>
    <definedName name="k_gluU">'Calc'!$B$33</definedName>
    <definedName name="k_gd">'Calc'!$B$34</definedName>
    <definedName name="k_dup">'Calc'!$B$35</definedName>
    <definedName name="k_lo">'Calc'!$B$36</definedName>
    <definedName name="k_hi">'Calc'!$B$37</definedName>
    <definedName name="k_rng">'Calc'!$B$38</definedName>
    <definedName name="k_mx">'Calc'!$B$39</definedName>
    <definedName name="k_sx">'Calc'!$B$40</definedName>
    <definedName name="k_rest">'Calc'!$B$41</definedName>
    <definedName name="k_lamin">'Calc'!$B$42</definedName>
    <definedName name="k_base">'Calc'!$B$43</definedName>
    <definedName name="k_lamax">'Calc'!$B$44</definedName>
    <definedName name="k_ymean">'Calc'!$B$45</definedName>
    <definedName name="k_sst">'Calc'!$B$46</definedName>
    <definedName name="k_model">'Calc'!$B$47</definedName>
    <definedName name="k_mexp">'Calc'!$B$48</definedName>
    <definedName name="k_m1">'Calc'!$B$49</definedName>
    <definedName name="k_m2">'Calc'!$B$50</definedName>
    <definedName name="k_roi">'Calc'!$B$51</definedName>
    <definedName name="k_hrdeg">'Calc'!$B$52</definedName>
    <definedName name="k_gfree">'Calc'!$B$53</definedName>
    <definedName name="k_x2nd">'Calc'!$B$54</definedName>
    <definedName name="k_xn1">'Calc'!$B$55</definedName>
    <definedName name="k_yfirst">'Calc'!$B$56</definedName>
    <definedName name="k_ylast">'Calc'!$B$57</definedName>
    <definedName name="k_dur">'Calc'!$B$58</definedName>
    <definedName name="k_p2ok">'Calc'!$B$61</definedName>
    <definedName name="k_p2_0">'Calc'!$B$62</definedName>
    <definedName name="k_p2_1">'Calc'!$B$63</definedName>
    <definedName name="k_p2_2">'Calc'!$B$64</definedName>
    <definedName name="k_p3ok">'Calc'!$B$65</definedName>
    <definedName name="k_p3_0">'Calc'!$B$66</definedName>
    <definedName name="k_p3_1">'Calc'!$B$67</definedName>
    <definedName name="k_p3_2">'Calc'!$B$68</definedName>
    <definedName name="k_p3_3">'Calc'!$B$69</definedName>
    <definedName name="k_p4ok">'Calc'!$B$70</definedName>
    <definedName name="k_p4_0">'Calc'!$B$71</definedName>
    <definedName name="k_p4_1">'Calc'!$B$72</definedName>
    <definedName name="k_p4_2">'Calc'!$B$73</definedName>
    <definedName name="k_p4_3">'Calc'!$B$74</definedName>
    <definedName name="k_p4_4">'Calc'!$B$75</definedName>
    <definedName name="k_eok">'Calc'!$B$76</definedName>
    <definedName name="k_ea">'Calc'!$B$77</definedName>
    <definedName name="k_eb">'Calc'!$B$78</definedName>
    <definedName name="k_ec">'Calc'!$B$79</definedName>
    <definedName name="k_fitok">'Calc'!$I$82</definedName>
    <definedName name="k_s0">'Calc'!$B$88</definedName>
    <definedName name="k_s1">'Calc'!$B$89</definedName>
    <definedName name="k_s2">'Calc'!$B$90</definedName>
    <definedName name="k_s3">'Calc'!$B$91</definedName>
    <definedName name="k_s4">'Calc'!$B$92</definedName>
    <definedName name="k_r2">'Calc'!$B$93</definedName>
    <definedName name="k_rmse">'Calc'!$B$94</definedName>
    <definedName name="k_exact">'Calc'!$B$95</definedName>
    <definedName name="k_eq">'Calc'!$B$102</definedName>
    <definedName name="k_hrok">'Calc'!$B$105</definedName>
    <definedName name="k_hdeg">'Calc'!$B$106</definedName>
    <definedName name="k_h0">'Calc'!$B$107</definedName>
    <definedName name="k_h1">'Calc'!$B$108</definedName>
    <definedName name="k_h2">'Calc'!$B$109</definedName>
    <definedName name="k_hrmax">'Calc'!$B$110</definedName>
    <definedName name="k_hx0">'Calc'!$B$111</definedName>
    <definedName name="k_hx1">'Calc'!$B$112</definedName>
    <definedName name="k_hrlast">'Calc'!$B$113</definedName>
    <definedName name="k_hrr2">'Calc'!$B$114</definedName>
    <definedName name="k_llok">'Calc'!$B$135</definedName>
    <definedName name="k_llrow">'Calc'!$B$136</definedName>
    <definedName name="k_llk">'Calc'!$B$137</definedName>
    <definedName name="k_llbl">'Calc'!$B$138</definedName>
    <definedName name="k_llal">'Calc'!$B$139</definedName>
    <definedName name="k_llbr">'Calc'!$B$140</definedName>
    <definedName name="k_llar">'Calc'!$B$141</definedName>
    <definedName name="k_llu">'Calc'!$B$142</definedName>
    <definedName name="k_llx">'Calc'!$B$143</definedName>
    <definedName name="k_mdk">'Calc'!$B$146</definedName>
    <definedName name="k_mdx">'Calc'!$B$147</definedName>
    <definedName name="k_mdy">'Calc'!$B$148</definedName>
    <definedName name="k_bdk">'Calc'!$B$149</definedName>
    <definedName name="k_gok">'Calc'!$B$152</definedName>
    <definedName name="k_gx0">'Calc'!$B$153</definedName>
    <definedName name="k_gk1">'Calc'!$B$154</definedName>
    <definedName name="k_gk2">'Calc'!$B$155</definedName>
    <definedName name="k_gx3">'Calc'!$B$156</definedName>
    <definedName name="k_gy0">'Calc'!$B$157</definedName>
    <definedName name="k_gy1">'Calc'!$B$158</definedName>
    <definedName name="k_gy2">'Calc'!$B$159</definedName>
    <definedName name="k_gy3">'Calc'!$B$160</definedName>
    <definedName name="k_grmse">'Calc'!$B$161</definedName>
    <definedName name="k_h1ok">'LTP'!$H$4</definedName>
    <definedName name="k_hk1">'LTP'!$H$5</definedName>
    <definedName name="k_h2ok">'LTP'!$H$6</definedName>
    <definedName name="k_hk2">'LTP'!$H$7</definedName>
    <definedName name="k_3ok">'LTP3'!$AF$32</definedName>
    <definedName name="k_3k1">'LTP3'!$AF$3</definedName>
    <definedName name="k_3k2">'LTP3'!$AF$4</definedName>
    <definedName name="k_3rmse">'LTP3'!$AF$33</definedName>
    <definedName name="k_3f1">'LTP3'!$AF$34</definedName>
    <definedName name="k_3f2">'LTP3'!$AF$35</definedName>
    <definedName name="k_3s1">'LTP3'!$AF$36</definedName>
    <definedName name="k_3s2">'LTP3'!$AF$37</definedName>
    <definedName name="k_3s3">'LTP3'!$AF$38</definedName>
    <definedName name="k_mind1">'VCalc'!$C$141</definedName>
    <definedName name="k_nwp">'VCalc'!$C$142</definedName>
    <definedName name="k_a1x">'Calc'!$B$164</definedName>
    <definedName name="k_a1err">'Calc'!$B$165</definedName>
    <definedName name="k_a1warn">'Calc'!$B$166</definedName>
    <definedName name="k_a2x">'Calc'!$B$167</definedName>
    <definedName name="k_a2err">'Calc'!$B$168</definedName>
    <definedName name="k_a2warn">'Calc'!$B$169</definedName>
    <definedName name="k_man1">'Calc'!$B$170</definedName>
    <definedName name="k_man2">'Calc'!$B$171</definedName>
    <definedName name="k_ok">'Calc'!$B$172</definedName>
    <definedName name="k_err">'Calc'!$B$173</definedName>
    <definedName name="k_x1">'Calc'!$B$174</definedName>
    <definedName name="k_x2">'Calc'!$B$175</definedName>
    <definedName name="k_la1">'Calc'!$B$176</definedName>
    <definedName name="k_la2">'Calc'!$B$177</definedName>
    <definedName name="k_hr1">'Calc'!$B$178</definedName>
    <definedName name="k_hr2">'Calc'!$B$179</definedName>
    <definedName name="k_zok">'Calc'!$B$180</definedName>
    <definedName name="k_z0">'Calc'!$D$183</definedName>
    <definedName name="k_zm0">'Calc'!$C$183</definedName>
    <definedName name="k_z1">'Calc'!$D$184</definedName>
    <definedName name="k_zm1">'Calc'!$C$184</definedName>
    <definedName name="k_z2">'Calc'!$D$185</definedName>
    <definedName name="k_zm2">'Calc'!$C$185</definedName>
    <definedName name="k_z3">'Calc'!$D$186</definedName>
    <definedName name="k_zm3">'Calc'!$C$186</definedName>
    <definedName name="k_z4">'Calc'!$D$187</definedName>
    <definedName name="k_zm4">'Calc'!$C$187</definedName>
    <definedName name="k_nnotes">'Calc'!$C$204</definedName>
    <definedName name="k_age">'Calc'!$B$260</definedName>
    <definedName name="_xlnm.Print_Area" localSheetId="5">'Bericht'!$A$1:$H$155</definedName>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25">
    <font>
      <name val="Calibri"/>
      <family val="2"/>
      <color theme="1"/>
      <sz val="11"/>
      <scheme val="minor"/>
    </font>
    <font>
      <name val="Arial"/>
      <b val="1"/>
      <sz val="10"/>
    </font>
    <font>
      <name val="Arial"/>
      <sz val="10"/>
    </font>
    <font>
      <name val="Arial"/>
      <b val="1"/>
      <color rgb="0018202B"/>
      <sz val="16"/>
    </font>
    <font>
      <name val="Arial"/>
      <color rgb="005B6676"/>
      <sz val="9"/>
    </font>
    <font>
      <name val="Arial"/>
      <b val="1"/>
      <color rgb="0018202B"/>
      <sz val="12"/>
    </font>
    <font>
      <name val="Arial"/>
      <color rgb="000000FF"/>
      <sz val="10"/>
    </font>
    <font>
      <name val="Arial"/>
      <b val="1"/>
      <color rgb="00FFFFFF"/>
      <sz val="10"/>
    </font>
    <font>
      <name val="Arial"/>
      <b val="1"/>
      <color rgb="00A1161F"/>
      <sz val="11"/>
    </font>
    <font>
      <name val="Arial"/>
      <b val="1"/>
      <color rgb="0018202B"/>
      <sz val="11"/>
    </font>
    <font>
      <name val="Arial"/>
      <b val="1"/>
      <color rgb="001F6FB2"/>
      <sz val="11"/>
    </font>
    <font>
      <name val="Arial"/>
      <b val="1"/>
      <color rgb="00C8102E"/>
      <sz val="11"/>
    </font>
    <font>
      <name val="Arial"/>
      <b val="1"/>
      <color rgb="001F6FB2"/>
      <sz val="14"/>
    </font>
    <font>
      <name val="Arial"/>
      <b val="1"/>
      <color rgb="00C8102E"/>
      <sz val="14"/>
    </font>
    <font>
      <name val="Arial"/>
      <b val="1"/>
      <color rgb="0018202B"/>
      <sz val="14"/>
    </font>
    <font>
      <name val="Arial"/>
      <color rgb="009A5B00"/>
      <sz val="10"/>
    </font>
    <font>
      <name val="Arial"/>
      <b val="1"/>
      <color rgb="001F6FB2"/>
      <sz val="10"/>
    </font>
    <font>
      <name val="Arial"/>
      <b val="1"/>
      <color rgb="00C8102E"/>
      <sz val="10"/>
    </font>
    <font>
      <name val="Arial"/>
      <b val="1"/>
      <sz val="14"/>
    </font>
    <font>
      <name val="Arial"/>
      <color rgb="00FFFFFF"/>
      <sz val="13"/>
    </font>
    <font>
      <name val="Arial"/>
      <b val="1"/>
      <sz val="11"/>
    </font>
    <font>
      <name val="Arial"/>
      <b val="1"/>
      <color rgb="005B6676"/>
      <sz val="9"/>
    </font>
    <font>
      <name val="Arial"/>
      <sz val="9"/>
    </font>
    <font>
      <name val="Arial"/>
      <b val="1"/>
      <color rgb="0018202B"/>
      <sz val="10"/>
    </font>
    <font>
      <name val="Arial"/>
      <b val="1"/>
      <sz val="9"/>
    </font>
  </fonts>
  <fills count="11">
    <fill>
      <patternFill/>
    </fill>
    <fill>
      <patternFill patternType="gray125"/>
    </fill>
    <fill>
      <patternFill patternType="solid">
        <fgColor rgb="00FFF9D6"/>
      </patternFill>
    </fill>
    <fill>
      <patternFill patternType="solid">
        <fgColor rgb="0018202B"/>
      </patternFill>
    </fill>
    <fill>
      <patternFill patternType="solid">
        <fgColor rgb="00E3F1E5"/>
      </patternFill>
    </fill>
    <fill>
      <patternFill patternType="solid">
        <fgColor rgb="00B9E3C0"/>
      </patternFill>
    </fill>
    <fill>
      <patternFill patternType="solid">
        <fgColor rgb="009CC7B2"/>
      </patternFill>
    </fill>
    <fill>
      <patternFill patternType="solid">
        <fgColor rgb="00F6E49E"/>
      </patternFill>
    </fill>
    <fill>
      <patternFill patternType="solid">
        <fgColor rgb="00F3B4A8"/>
      </patternFill>
    </fill>
    <fill>
      <patternFill patternType="solid">
        <fgColor rgb="00BEC3CA"/>
      </patternFill>
    </fill>
    <fill>
      <patternFill patternType="solid">
        <fgColor rgb="00EDF0F4"/>
      </patternFill>
    </fill>
  </fills>
  <borders count="9">
    <border>
      <left/>
      <right/>
      <top/>
      <bottom/>
      <diagonal/>
    </border>
    <border>
      <left style="thin">
        <color rgb="00D8DEE6"/>
      </left>
      <right style="thin">
        <color rgb="00D8DEE6"/>
      </right>
      <top style="thin">
        <color rgb="00D8DEE6"/>
      </top>
      <bottom style="thin">
        <color rgb="00D8DEE6"/>
      </bottom>
    </border>
    <border>
      <left/>
      <right/>
      <top style="thin">
        <color rgb="00D8DEE6"/>
      </top>
      <bottom/>
      <diagonal/>
    </border>
    <border>
      <left/>
      <right style="thin">
        <color rgb="00D8DEE6"/>
      </right>
      <top style="thin">
        <color rgb="00D8DEE6"/>
      </top>
      <bottom/>
      <diagonal/>
    </border>
    <border>
      <left/>
      <right/>
      <top style="thin">
        <color rgb="00D8DEE6"/>
      </top>
      <bottom style="thin">
        <color rgb="00D8DEE6"/>
      </bottom>
      <diagonal/>
    </border>
    <border>
      <left/>
      <right style="thin">
        <color rgb="00D8DEE6"/>
      </right>
      <top style="thin">
        <color rgb="00D8DEE6"/>
      </top>
      <bottom style="thin">
        <color rgb="00D8DEE6"/>
      </bottom>
      <diagonal/>
    </border>
    <border>
      <bottom style="medium">
        <color rgb="0018202B"/>
      </bottom>
    </border>
    <border>
      <bottom style="thin">
        <color rgb="00D8DEE6"/>
      </bottom>
    </border>
    <border>
      <bottom style="thin">
        <color rgb="0018202B"/>
      </bottom>
    </border>
  </borders>
  <cellStyleXfs count="1">
    <xf numFmtId="0" fontId="0" fillId="0" borderId="0"/>
  </cellStyleXfs>
  <cellXfs count="93">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6" fillId="2" borderId="1" pivotButton="0" quotePrefix="0" xfId="0"/>
    <xf numFmtId="165" fontId="6" fillId="2" borderId="1" pivotButton="0" quotePrefix="0" xfId="0"/>
    <xf numFmtId="164" fontId="6" fillId="2" borderId="1" pivotButton="0" quotePrefix="0" xfId="0"/>
    <xf numFmtId="0" fontId="0" fillId="2" borderId="4" pivotButton="0" quotePrefix="0" xfId="0"/>
    <xf numFmtId="0" fontId="0" fillId="2" borderId="5" pivotButton="0" quotePrefix="0" xfId="0"/>
    <xf numFmtId="0" fontId="7" fillId="3" borderId="0" applyAlignment="1" pivotButton="0" quotePrefix="0" xfId="0">
      <alignment horizontal="center" wrapText="1"/>
    </xf>
    <xf numFmtId="0" fontId="4" fillId="0" borderId="0" applyAlignment="1" pivotButton="0" quotePrefix="0" xfId="0">
      <alignment horizontal="center"/>
    </xf>
    <xf numFmtId="2" fontId="6" fillId="2" borderId="1" pivotButton="0" quotePrefix="0" xfId="0"/>
    <xf numFmtId="1" fontId="6" fillId="2" borderId="1" pivotButton="0" quotePrefix="0" xfId="0"/>
    <xf numFmtId="166" fontId="6" fillId="2" borderId="1" pivotButton="0" quotePrefix="0" xfId="0"/>
    <xf numFmtId="0" fontId="8" fillId="0" borderId="0" pivotButton="0" quotePrefix="0" xfId="0"/>
    <xf numFmtId="0" fontId="9" fillId="0" borderId="6" applyAlignment="1" pivotButton="0" quotePrefix="0" xfId="0">
      <alignment horizontal="left"/>
    </xf>
    <xf numFmtId="0" fontId="10" fillId="0" borderId="6" applyAlignment="1" pivotButton="0" quotePrefix="0" xfId="0">
      <alignment horizontal="right"/>
    </xf>
    <xf numFmtId="0" fontId="11" fillId="0" borderId="6" applyAlignment="1" pivotButton="0" quotePrefix="0" xfId="0">
      <alignment horizontal="right"/>
    </xf>
    <xf numFmtId="0" fontId="9" fillId="0" borderId="6" applyAlignment="1" pivotButton="0" quotePrefix="0" xfId="0">
      <alignment horizontal="right"/>
    </xf>
    <xf numFmtId="0" fontId="2" fillId="0" borderId="7" applyAlignment="1" pivotButton="0" quotePrefix="0" xfId="0">
      <alignment horizontal="left"/>
    </xf>
    <xf numFmtId="0" fontId="2" fillId="0" borderId="7" applyAlignment="1" pivotButton="0" quotePrefix="0" xfId="0">
      <alignment horizontal="right"/>
    </xf>
    <xf numFmtId="0" fontId="12" fillId="0" borderId="7" applyAlignment="1" pivotButton="0" quotePrefix="0" xfId="0">
      <alignment horizontal="right"/>
    </xf>
    <xf numFmtId="0" fontId="13" fillId="0" borderId="7" applyAlignment="1" pivotButton="0" quotePrefix="0" xfId="0">
      <alignment horizontal="right"/>
    </xf>
    <xf numFmtId="0" fontId="14" fillId="0" borderId="7" applyAlignment="1" pivotButton="0" quotePrefix="0" xfId="0">
      <alignment horizontal="right"/>
    </xf>
    <xf numFmtId="0" fontId="15" fillId="0" borderId="0" pivotButton="0" quotePrefix="0" xfId="0"/>
    <xf numFmtId="0" fontId="1" fillId="0" borderId="6" applyAlignment="1" pivotButton="0" quotePrefix="0" xfId="0">
      <alignment horizontal="left" wrapText="1"/>
    </xf>
    <xf numFmtId="0" fontId="1" fillId="0" borderId="6" applyAlignment="1" pivotButton="0" quotePrefix="0" xfId="0">
      <alignment horizontal="right" wrapText="1"/>
    </xf>
    <xf numFmtId="0" fontId="1" fillId="4" borderId="7" applyAlignment="1" pivotButton="0" quotePrefix="0" xfId="0">
      <alignment horizontal="left"/>
    </xf>
    <xf numFmtId="1" fontId="2" fillId="4" borderId="7" applyAlignment="1" pivotButton="0" quotePrefix="0" xfId="0">
      <alignment horizontal="right"/>
    </xf>
    <xf numFmtId="0" fontId="2" fillId="4" borderId="7" applyAlignment="1" pivotButton="0" quotePrefix="0" xfId="0">
      <alignment horizontal="right"/>
    </xf>
    <xf numFmtId="0" fontId="1" fillId="5" borderId="7" applyAlignment="1" pivotButton="0" quotePrefix="0" xfId="0">
      <alignment horizontal="left"/>
    </xf>
    <xf numFmtId="1" fontId="2" fillId="5" borderId="7" applyAlignment="1" pivotButton="0" quotePrefix="0" xfId="0">
      <alignment horizontal="right"/>
    </xf>
    <xf numFmtId="0" fontId="2" fillId="5" borderId="7" applyAlignment="1" pivotButton="0" quotePrefix="0" xfId="0">
      <alignment horizontal="right"/>
    </xf>
    <xf numFmtId="0" fontId="1" fillId="6" borderId="7" applyAlignment="1" pivotButton="0" quotePrefix="0" xfId="0">
      <alignment horizontal="left"/>
    </xf>
    <xf numFmtId="1" fontId="2" fillId="6" borderId="7" applyAlignment="1" pivotButton="0" quotePrefix="0" xfId="0">
      <alignment horizontal="right"/>
    </xf>
    <xf numFmtId="0" fontId="2" fillId="6" borderId="7" applyAlignment="1" pivotButton="0" quotePrefix="0" xfId="0">
      <alignment horizontal="right"/>
    </xf>
    <xf numFmtId="0" fontId="1" fillId="7" borderId="7" applyAlignment="1" pivotButton="0" quotePrefix="0" xfId="0">
      <alignment horizontal="left"/>
    </xf>
    <xf numFmtId="1" fontId="2" fillId="7" borderId="7" applyAlignment="1" pivotButton="0" quotePrefix="0" xfId="0">
      <alignment horizontal="right"/>
    </xf>
    <xf numFmtId="0" fontId="2" fillId="7" borderId="7" applyAlignment="1" pivotButton="0" quotePrefix="0" xfId="0">
      <alignment horizontal="right"/>
    </xf>
    <xf numFmtId="0" fontId="1" fillId="8" borderId="7" applyAlignment="1" pivotButton="0" quotePrefix="0" xfId="0">
      <alignment horizontal="left"/>
    </xf>
    <xf numFmtId="1" fontId="2" fillId="8" borderId="7" applyAlignment="1" pivotButton="0" quotePrefix="0" xfId="0">
      <alignment horizontal="right"/>
    </xf>
    <xf numFmtId="0" fontId="2" fillId="8" borderId="7" applyAlignment="1" pivotButton="0" quotePrefix="0" xfId="0">
      <alignment horizontal="right"/>
    </xf>
    <xf numFmtId="0" fontId="1" fillId="0" borderId="6" applyAlignment="1" pivotButton="0" quotePrefix="0" xfId="0">
      <alignment horizontal="left"/>
    </xf>
    <xf numFmtId="0" fontId="1" fillId="0" borderId="6" applyAlignment="1" pivotButton="0" quotePrefix="0" xfId="0">
      <alignment horizontal="right"/>
    </xf>
    <xf numFmtId="166" fontId="2" fillId="0" borderId="0" applyAlignment="1" pivotButton="0" quotePrefix="0" xfId="0">
      <alignment horizontal="left"/>
    </xf>
    <xf numFmtId="0" fontId="2" fillId="0" borderId="0" applyAlignment="1" pivotButton="0" quotePrefix="0" xfId="0">
      <alignment horizontal="right"/>
    </xf>
    <xf numFmtId="0" fontId="1" fillId="0" borderId="8" pivotButton="0" quotePrefix="0" xfId="0"/>
    <xf numFmtId="0" fontId="2" fillId="0" borderId="7" applyAlignment="1" pivotButton="0" quotePrefix="0" xfId="0">
      <alignment horizontal="left" vertical="top"/>
    </xf>
    <xf numFmtId="0" fontId="4" fillId="0" borderId="7" applyAlignment="1" pivotButton="0" quotePrefix="0" xfId="0">
      <alignment horizontal="left" vertical="top"/>
    </xf>
    <xf numFmtId="0" fontId="2" fillId="0" borderId="7" applyAlignment="1" pivotButton="0" quotePrefix="0" xfId="0">
      <alignment horizontal="right" vertical="top"/>
    </xf>
    <xf numFmtId="0" fontId="4" fillId="0" borderId="7" applyAlignment="1" pivotButton="0" quotePrefix="0" xfId="0">
      <alignment horizontal="left" vertical="top" wrapText="1"/>
    </xf>
    <xf numFmtId="0" fontId="16" fillId="0" borderId="7" applyAlignment="1" pivotButton="0" quotePrefix="0" xfId="0">
      <alignment horizontal="right" vertical="top"/>
    </xf>
    <xf numFmtId="0" fontId="17" fillId="0" borderId="7" applyAlignment="1" pivotButton="0" quotePrefix="0" xfId="0">
      <alignment horizontal="right" vertical="top"/>
    </xf>
    <xf numFmtId="0" fontId="1" fillId="0" borderId="0" pivotButton="0" quotePrefix="0" xfId="0"/>
    <xf numFmtId="0" fontId="18" fillId="0" borderId="0" applyAlignment="1" pivotButton="0" quotePrefix="0" xfId="0">
      <alignment horizontal="right"/>
    </xf>
    <xf numFmtId="0" fontId="19" fillId="9" borderId="0" applyAlignment="1" pivotButton="0" quotePrefix="0" xfId="0">
      <alignment horizontal="center"/>
    </xf>
    <xf numFmtId="0" fontId="1" fillId="10" borderId="0" pivotButton="0" quotePrefix="0" xfId="0"/>
    <xf numFmtId="0" fontId="20" fillId="0" borderId="6" pivotButton="0" quotePrefix="0" xfId="0"/>
    <xf numFmtId="0" fontId="0" fillId="0" borderId="6" pivotButton="0" quotePrefix="0" xfId="0"/>
    <xf numFmtId="0" fontId="21" fillId="0" borderId="0" applyAlignment="1" pivotButton="0" quotePrefix="0" xfId="0">
      <alignment horizontal="left" wrapText="1"/>
    </xf>
    <xf numFmtId="0" fontId="21" fillId="0" borderId="0" applyAlignment="1" pivotButton="0" quotePrefix="0" xfId="0">
      <alignment horizontal="right" wrapText="1"/>
    </xf>
    <xf numFmtId="0" fontId="22" fillId="0" borderId="0" applyAlignment="1" pivotButton="0" quotePrefix="0" xfId="0">
      <alignment horizontal="left"/>
    </xf>
    <xf numFmtId="0" fontId="22" fillId="0" borderId="0" applyAlignment="1" pivotButton="0" quotePrefix="0" xfId="0">
      <alignment horizontal="right"/>
    </xf>
    <xf numFmtId="2" fontId="22" fillId="0" borderId="0" applyAlignment="1" pivotButton="0" quotePrefix="0" xfId="0">
      <alignment horizontal="right"/>
    </xf>
    <xf numFmtId="0" fontId="16" fillId="0" borderId="7" pivotButton="0" quotePrefix="0" xfId="0"/>
    <xf numFmtId="0" fontId="17" fillId="0" borderId="7" pivotButton="0" quotePrefix="0" xfId="0"/>
    <xf numFmtId="0" fontId="23" fillId="0" borderId="7" pivotButton="0" quotePrefix="0" xfId="0"/>
    <xf numFmtId="0" fontId="21" fillId="0" borderId="0" applyAlignment="1" pivotButton="0" quotePrefix="0" xfId="0">
      <alignment horizontal="left"/>
    </xf>
    <xf numFmtId="0" fontId="21" fillId="0" borderId="0" applyAlignment="1" pivotButton="0" quotePrefix="0" xfId="0">
      <alignment horizontal="right"/>
    </xf>
    <xf numFmtId="0" fontId="1" fillId="4" borderId="0" pivotButton="0" quotePrefix="0" xfId="0"/>
    <xf numFmtId="0" fontId="2" fillId="4" borderId="0" pivotButton="0" quotePrefix="0" xfId="0"/>
    <xf numFmtId="0" fontId="2" fillId="4" borderId="0" applyAlignment="1" pivotButton="0" quotePrefix="0" xfId="0">
      <alignment horizontal="right"/>
    </xf>
    <xf numFmtId="0" fontId="1" fillId="5" borderId="0" pivotButton="0" quotePrefix="0" xfId="0"/>
    <xf numFmtId="0" fontId="2" fillId="5" borderId="0" pivotButton="0" quotePrefix="0" xfId="0"/>
    <xf numFmtId="0" fontId="2" fillId="5" borderId="0" applyAlignment="1" pivotButton="0" quotePrefix="0" xfId="0">
      <alignment horizontal="right"/>
    </xf>
    <xf numFmtId="0" fontId="1" fillId="6" borderId="0" pivotButton="0" quotePrefix="0" xfId="0"/>
    <xf numFmtId="0" fontId="2" fillId="6" borderId="0" pivotButton="0" quotePrefix="0" xfId="0"/>
    <xf numFmtId="0" fontId="2" fillId="6" borderId="0" applyAlignment="1" pivotButton="0" quotePrefix="0" xfId="0">
      <alignment horizontal="right"/>
    </xf>
    <xf numFmtId="0" fontId="1" fillId="7" borderId="0" pivotButton="0" quotePrefix="0" xfId="0"/>
    <xf numFmtId="0" fontId="2" fillId="7" borderId="0" pivotButton="0" quotePrefix="0" xfId="0"/>
    <xf numFmtId="0" fontId="2" fillId="7" borderId="0" applyAlignment="1" pivotButton="0" quotePrefix="0" xfId="0">
      <alignment horizontal="right"/>
    </xf>
    <xf numFmtId="0" fontId="1" fillId="8" borderId="0" pivotButton="0" quotePrefix="0" xfId="0"/>
    <xf numFmtId="0" fontId="2" fillId="8" borderId="0" pivotButton="0" quotePrefix="0" xfId="0"/>
    <xf numFmtId="0" fontId="2" fillId="8" borderId="0" applyAlignment="1" pivotButton="0" quotePrefix="0" xfId="0">
      <alignment horizontal="right"/>
    </xf>
    <xf numFmtId="166" fontId="22" fillId="0" borderId="0" applyAlignment="1" pivotButton="0" quotePrefix="0" xfId="0">
      <alignment horizontal="left"/>
    </xf>
    <xf numFmtId="0" fontId="24" fillId="0" borderId="0" applyAlignment="1" pivotButton="0" quotePrefix="0" xfId="0">
      <alignment vertical="top" wrapText="1"/>
    </xf>
    <xf numFmtId="0" fontId="22" fillId="0" borderId="0" applyAlignment="1" pivotButton="0" quotePrefix="0" xfId="0">
      <alignment vertical="top" wrapText="1"/>
    </xf>
    <xf numFmtId="0" fontId="24" fillId="0" borderId="0" applyAlignment="1" pivotButton="0" quotePrefix="0" xfId="0">
      <alignment vertical="top"/>
    </xf>
    <xf numFmtId="0" fontId="22" fillId="0" borderId="0" pivotButton="0" quotePrefix="0" xfId="0"/>
  </cellXfs>
  <cellStyles count="1">
    <cellStyle name="Normal" xfId="0" builtinId="0" hidden="0"/>
  </cellStyles>
  <dxfs count="3">
    <dxf>
      <font>
        <name val="Arial"/>
        <b val="1"/>
        <color rgb="00A1161F"/>
      </font>
    </dxf>
    <dxf>
      <font>
        <name val="Arial"/>
        <b val="1"/>
      </font>
      <fill>
        <patternFill patternType="solid">
          <fgColor rgb="00EDF0F4"/>
        </patternFill>
      </fill>
    </dxf>
    <dxf>
      <fill>
        <patternFill patternType="solid">
          <fgColor rgb="00F7F8F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style val="2"/>
  <chart>
    <title>
      <tx>
        <rich>
          <a:bodyPr/>
          <a:p>
            <a:pPr>
              <a:defRPr/>
            </a:pPr>
            <a:r>
              <a:t>Laktat zu Belastung</a:t>
            </a:r>
          </a:p>
        </rich>
      </tx>
    </title>
    <plotArea>
      <scatterChart>
        <scatterStyle val="lineMarker"/>
        <ser>
          <idx val="0"/>
          <order val="0"/>
          <tx>
            <v>Laktatkurve (Modell)</v>
          </tx>
          <spPr>
            <a:ln w="28575">
              <a:solidFill>
                <a:srgbClr val="18202B"/>
              </a:solidFill>
              <a:prstDash val="solid"/>
            </a:ln>
          </spPr>
          <marker>
            <symbol val="none"/>
            <spPr>
              <a:ln>
                <a:prstDash val="solid"/>
              </a:ln>
            </spPr>
          </marker>
          <xVal>
            <numRef>
              <f>'ChartData'!$A$3:$A$203</f>
            </numRef>
          </xVal>
          <yVal>
            <numRef>
              <f>'ChartData'!$B$3:$B$203</f>
            </numRef>
          </yVal>
          <smooth val="0"/>
        </ser>
        <ser>
          <idx val="1"/>
          <order val="1"/>
          <tx>
            <v>Messwerte</v>
          </tx>
          <spPr>
            <a:ln>
              <a:noFill/>
              <a:prstDash val="solid"/>
            </a:ln>
          </spPr>
          <marker>
            <symbol val="circle"/>
            <size val="7"/>
            <spPr>
              <a:solidFill>
                <a:srgbClr val="18202B"/>
              </a:solidFill>
              <a:ln>
                <a:solidFill>
                  <a:srgbClr val="18202B"/>
                </a:solidFill>
                <a:prstDash val="solid"/>
              </a:ln>
            </spPr>
          </marker>
          <xVal>
            <numRef>
              <f>'Calc'!$V$3:$V$22</f>
            </numRef>
          </xVal>
          <yVal>
            <numRef>
              <f>'Calc'!$W$3:$W$22</f>
            </numRef>
          </yVal>
          <smooth val="0"/>
        </ser>
        <ser>
          <idx val="2"/>
          <order val="2"/>
          <tx>
            <v>Hilfsgeraden</v>
          </tx>
          <spPr>
            <a:ln w="19050">
              <a:solidFill>
                <a:srgbClr val="E5482A"/>
              </a:solidFill>
              <a:prstDash val="solid"/>
            </a:ln>
          </spPr>
          <marker>
            <symbol val="none"/>
            <spPr>
              <a:ln>
                <a:prstDash val="solid"/>
              </a:ln>
            </spPr>
          </marker>
          <xVal>
            <numRef>
              <f>'ChartData'!$L$36:$L$39</f>
            </numRef>
          </xVal>
          <yVal>
            <numRef>
              <f>'ChartData'!$M$36:$M$39</f>
            </numRef>
          </yVal>
          <smooth val="0"/>
        </ser>
        <ser>
          <idx val="3"/>
          <order val="3"/>
          <tx>
            <v>Dmax-Sehne</v>
          </tx>
          <spPr>
            <a:ln w="12700">
              <a:solidFill>
                <a:srgbClr val="5B6676"/>
              </a:solidFill>
              <a:prstDash val="dash"/>
            </a:ln>
          </spPr>
          <marker>
            <symbol val="none"/>
            <spPr>
              <a:ln>
                <a:prstDash val="solid"/>
              </a:ln>
            </spPr>
          </marker>
          <xVal>
            <numRef>
              <f>'ChartData'!$L$41:$L$42</f>
            </numRef>
          </xVal>
          <yVal>
            <numRef>
              <f>'ChartData'!$M$41:$M$42</f>
            </numRef>
          </yVal>
          <smooth val="0"/>
        </ser>
        <ser>
          <idx val="4"/>
          <order val="4"/>
          <tx>
            <v>LT1</v>
          </tx>
          <spPr>
            <a:ln w="25400">
              <a:solidFill>
                <a:srgbClr val="1F6FB2"/>
              </a:solidFill>
              <a:prstDash val="solid"/>
            </a:ln>
          </spPr>
          <marker>
            <symbol val="none"/>
            <spPr>
              <a:ln>
                <a:prstDash val="solid"/>
              </a:ln>
            </spPr>
          </marker>
          <xVal>
            <numRef>
              <f>'ChartData'!$L$3:$L$4</f>
            </numRef>
          </xVal>
          <yVal>
            <numRef>
              <f>'ChartData'!$M$3:$M$4</f>
            </numRef>
          </yVal>
          <smooth val="0"/>
        </ser>
        <ser>
          <idx val="5"/>
          <order val="5"/>
          <tx>
            <v>LT2</v>
          </tx>
          <spPr>
            <a:ln w="25400">
              <a:solidFill>
                <a:srgbClr val="C8102E"/>
              </a:solidFill>
              <a:prstDash val="solid"/>
            </a:ln>
          </spPr>
          <marker>
            <symbol val="none"/>
            <spPr>
              <a:ln>
                <a:prstDash val="solid"/>
              </a:ln>
            </spPr>
          </marker>
          <xVal>
            <numRef>
              <f>'ChartData'!$L$6:$L$7</f>
            </numRef>
          </xVal>
          <yVal>
            <numRef>
              <f>'ChartData'!$M$6:$M$7</f>
            </numRef>
          </yVal>
          <smooth val="0"/>
        </ser>
        <ser>
          <idx val="6"/>
          <order val="6"/>
          <tx>
            <v>A0|A1</v>
          </tx>
          <spPr>
            <a:ln w="12700">
              <a:solidFill>
                <a:srgbClr val="7FB58A"/>
              </a:solidFill>
              <a:prstDash val="dash"/>
            </a:ln>
          </spPr>
          <marker>
            <symbol val="none"/>
            <spPr>
              <a:ln>
                <a:prstDash val="solid"/>
              </a:ln>
            </spPr>
          </marker>
          <xVal>
            <numRef>
              <f>'ChartData'!$L$9:$L$10</f>
            </numRef>
          </xVal>
          <yVal>
            <numRef>
              <f>'ChartData'!$M$9:$M$10</f>
            </numRef>
          </yVal>
          <smooth val="0"/>
        </ser>
        <ser>
          <idx val="7"/>
          <order val="7"/>
          <tx>
            <v>A1|A2</v>
          </tx>
          <spPr>
            <a:ln w="12700">
              <a:solidFill>
                <a:srgbClr val="5E9E73"/>
              </a:solidFill>
              <a:prstDash val="dash"/>
            </a:ln>
          </spPr>
          <marker>
            <symbol val="none"/>
            <spPr>
              <a:ln>
                <a:prstDash val="solid"/>
              </a:ln>
            </spPr>
          </marker>
          <xVal>
            <numRef>
              <f>'ChartData'!$L$21:$L$22</f>
            </numRef>
          </xVal>
          <yVal>
            <numRef>
              <f>'ChartData'!$M$21:$M$22</f>
            </numRef>
          </yVal>
          <smooth val="0"/>
        </ser>
        <ser>
          <idx val="8"/>
          <order val="8"/>
          <tx>
            <v>A2|A3</v>
          </tx>
          <spPr>
            <a:ln w="12700">
              <a:solidFill>
                <a:srgbClr val="6FA29A"/>
              </a:solidFill>
              <a:prstDash val="dash"/>
            </a:ln>
          </spPr>
          <marker>
            <symbol val="none"/>
            <spPr>
              <a:ln>
                <a:prstDash val="solid"/>
              </a:ln>
            </spPr>
          </marker>
          <xVal>
            <numRef>
              <f>'ChartData'!$L$12:$L$13</f>
            </numRef>
          </xVal>
          <yVal>
            <numRef>
              <f>'ChartData'!$M$12:$M$13</f>
            </numRef>
          </yVal>
          <smooth val="0"/>
        </ser>
        <ser>
          <idx val="9"/>
          <order val="9"/>
          <tx>
            <v>A3|A4</v>
          </tx>
          <spPr>
            <a:ln w="12700">
              <a:solidFill>
                <a:srgbClr val="C9A227"/>
              </a:solidFill>
              <a:prstDash val="dash"/>
            </a:ln>
          </spPr>
          <marker>
            <symbol val="none"/>
            <spPr>
              <a:ln>
                <a:prstDash val="solid"/>
              </a:ln>
            </spPr>
          </marker>
          <xVal>
            <numRef>
              <f>'ChartData'!$L$15:$L$16</f>
            </numRef>
          </xVal>
          <yVal>
            <numRef>
              <f>'ChartData'!$M$15:$M$16</f>
            </numRef>
          </yVal>
          <smooth val="0"/>
        </ser>
        <ser>
          <idx val="10"/>
          <order val="10"/>
          <tx>
            <v>A4 Ende</v>
          </tx>
          <spPr>
            <a:ln w="12700">
              <a:solidFill>
                <a:srgbClr val="D9725E"/>
              </a:solidFill>
              <a:prstDash val="dash"/>
            </a:ln>
          </spPr>
          <marker>
            <symbol val="none"/>
            <spPr>
              <a:ln>
                <a:prstDash val="solid"/>
              </a:ln>
            </spPr>
          </marker>
          <xVal>
            <numRef>
              <f>'ChartData'!$L$18:$L$19</f>
            </numRef>
          </xVal>
          <yVal>
            <numRef>
              <f>'ChartData'!$M$18:$M$19</f>
            </numRef>
          </yVal>
          <smooth val="0"/>
        </ser>
        <axId val="10"/>
        <axId val="20"/>
      </scatterChart>
      <valAx>
        <axId val="10"/>
        <scaling>
          <orientation val="minMax"/>
        </scaling>
        <delete val="0"/>
        <axPos val="l"/>
        <title>
          <tx>
            <rich>
              <a:bodyPr/>
              <a:p>
                <a:pPr>
                  <a:defRPr/>
                </a:pPr>
                <a:r>
                  <a:t>Belastung</a:t>
                </a:r>
              </a:p>
            </rich>
          </tx>
        </title>
        <majorTickMark val="none"/>
        <minorTickMark val="none"/>
        <crossAx val="20"/>
      </valAx>
      <valAx>
        <axId val="20"/>
        <scaling>
          <orientation val="minMax"/>
          <min val="0"/>
        </scaling>
        <delete val="0"/>
        <axPos val="l"/>
        <majorGridlines/>
        <title>
          <tx>
            <rich>
              <a:bodyPr/>
              <a:p>
                <a:pPr>
                  <a:defRPr/>
                </a:pPr>
                <a:r>
                  <a:t>Laktat [mmol/L]</a:t>
                </a:r>
              </a:p>
            </rich>
          </tx>
        </title>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Herzfrequenz zu Belastung</a:t>
            </a:r>
          </a:p>
        </rich>
      </tx>
    </title>
    <plotArea>
      <scatterChart>
        <scatterStyle val="lineMarker"/>
        <ser>
          <idx val="0"/>
          <order val="0"/>
          <tx>
            <v>HF-Modell</v>
          </tx>
          <spPr>
            <a:ln w="28575">
              <a:solidFill>
                <a:srgbClr val="18202B"/>
              </a:solidFill>
              <a:prstDash val="solid"/>
            </a:ln>
          </spPr>
          <marker>
            <symbol val="none"/>
            <spPr>
              <a:ln>
                <a:prstDash val="solid"/>
              </a:ln>
            </spPr>
          </marker>
          <xVal>
            <numRef>
              <f>'ChartData'!$E$3:$E$203</f>
            </numRef>
          </xVal>
          <yVal>
            <numRef>
              <f>'ChartData'!$C$3:$C$203</f>
            </numRef>
          </yVal>
          <smooth val="0"/>
        </ser>
        <ser>
          <idx val="1"/>
          <order val="1"/>
          <tx>
            <v>HF gemessen</v>
          </tx>
          <spPr>
            <a:ln>
              <a:noFill/>
              <a:prstDash val="solid"/>
            </a:ln>
          </spPr>
          <marker>
            <symbol val="circle"/>
            <size val="7"/>
            <spPr>
              <a:solidFill>
                <a:srgbClr val="18202B"/>
              </a:solidFill>
              <a:ln>
                <a:solidFill>
                  <a:srgbClr val="18202B"/>
                </a:solidFill>
                <a:prstDash val="solid"/>
              </a:ln>
            </spPr>
          </marker>
          <xVal>
            <numRef>
              <f>'Calc'!$AG$3:$AG$22</f>
            </numRef>
          </xVal>
          <yVal>
            <numRef>
              <f>'Calc'!$AH$3:$AH$22</f>
            </numRef>
          </yVal>
          <smooth val="0"/>
        </ser>
        <ser>
          <idx val="2"/>
          <order val="2"/>
          <tx>
            <v>LT1</v>
          </tx>
          <spPr>
            <a:ln w="25400">
              <a:solidFill>
                <a:srgbClr val="1F6FB2"/>
              </a:solidFill>
              <a:prstDash val="solid"/>
            </a:ln>
          </spPr>
          <marker>
            <symbol val="none"/>
            <spPr>
              <a:ln>
                <a:prstDash val="solid"/>
              </a:ln>
            </spPr>
          </marker>
          <xVal>
            <numRef>
              <f>'ChartData'!$L$24:$L$25</f>
            </numRef>
          </xVal>
          <yVal>
            <numRef>
              <f>'ChartData'!$M$24:$M$25</f>
            </numRef>
          </yVal>
          <smooth val="0"/>
        </ser>
        <ser>
          <idx val="3"/>
          <order val="3"/>
          <tx>
            <v>LT2</v>
          </tx>
          <spPr>
            <a:ln w="25400">
              <a:solidFill>
                <a:srgbClr val="C8102E"/>
              </a:solidFill>
              <a:prstDash val="solid"/>
            </a:ln>
          </spPr>
          <marker>
            <symbol val="none"/>
            <spPr>
              <a:ln>
                <a:prstDash val="solid"/>
              </a:ln>
            </spPr>
          </marker>
          <xVal>
            <numRef>
              <f>'ChartData'!$L$27:$L$28</f>
            </numRef>
          </xVal>
          <yVal>
            <numRef>
              <f>'ChartData'!$M$27:$M$28</f>
            </numRef>
          </yVal>
          <smooth val="0"/>
        </ser>
        <axId val="10"/>
        <axId val="20"/>
      </scatterChart>
      <valAx>
        <axId val="10"/>
        <scaling>
          <orientation val="minMax"/>
        </scaling>
        <delete val="0"/>
        <axPos val="l"/>
        <title>
          <tx>
            <rich>
              <a:bodyPr/>
              <a:p>
                <a:pPr>
                  <a:defRPr/>
                </a:pPr>
                <a:r>
                  <a:t>Belastung</a:t>
                </a:r>
              </a:p>
            </rich>
          </tx>
        </title>
        <majorTickMark val="none"/>
        <minorTickMark val="none"/>
        <crossAx val="20"/>
      </valAx>
      <valAx>
        <axId val="20"/>
        <scaling>
          <orientation val="minMax"/>
          <min val="60"/>
        </scaling>
        <delete val="0"/>
        <axPos val="l"/>
        <majorGridlines/>
        <title>
          <tx>
            <rich>
              <a:bodyPr/>
              <a:p>
                <a:pPr>
                  <a:defRPr/>
                </a:pPr>
                <a:r>
                  <a:t>HF [1/min]</a:t>
                </a:r>
              </a:p>
            </rich>
          </tx>
        </title>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Laktatäquivalent (Laktat ÷ Belastung)</a:t>
            </a:r>
          </a:p>
        </rich>
      </tx>
    </title>
    <plotArea>
      <scatterChart>
        <scatterStyle val="lineMarker"/>
        <ser>
          <idx val="0"/>
          <order val="0"/>
          <tx>
            <v>La/x Modell</v>
          </tx>
          <spPr>
            <a:ln w="25400">
              <a:solidFill>
                <a:srgbClr val="18202B"/>
              </a:solidFill>
              <a:prstDash val="solid"/>
            </a:ln>
          </spPr>
          <marker>
            <symbol val="none"/>
            <spPr>
              <a:ln>
                <a:prstDash val="solid"/>
              </a:ln>
            </spPr>
          </marker>
          <xVal>
            <numRef>
              <f>'ChartData'!$A$3:$A$203</f>
            </numRef>
          </xVal>
          <yVal>
            <numRef>
              <f>'ChartData'!$D$3:$D$203</f>
            </numRef>
          </yVal>
          <smooth val="0"/>
        </ser>
        <ser>
          <idx val="1"/>
          <order val="1"/>
          <tx>
            <v>Messwerte</v>
          </tx>
          <spPr>
            <a:ln>
              <a:noFill/>
              <a:prstDash val="solid"/>
            </a:ln>
          </spPr>
          <marker>
            <symbol val="circle"/>
            <size val="7"/>
            <spPr>
              <a:solidFill>
                <a:srgbClr val="18202B"/>
              </a:solidFill>
              <a:ln>
                <a:solidFill>
                  <a:srgbClr val="18202B"/>
                </a:solidFill>
                <a:prstDash val="solid"/>
              </a:ln>
            </spPr>
          </marker>
          <xVal>
            <numRef>
              <f>'Calc'!$V$3:$V$22</f>
            </numRef>
          </xVal>
          <yVal>
            <numRef>
              <f>'Calc'!$X$3:$X$22</f>
            </numRef>
          </yVal>
          <smooth val="0"/>
        </ser>
        <ser>
          <idx val="2"/>
          <order val="2"/>
          <tx>
            <v>LEmin</v>
          </tx>
          <spPr>
            <a:ln>
              <a:noFill/>
              <a:prstDash val="solid"/>
            </a:ln>
          </spPr>
          <marker>
            <symbol val="triangle"/>
            <size val="7"/>
            <spPr>
              <a:solidFill>
                <a:srgbClr val="18202B"/>
              </a:solidFill>
              <a:ln>
                <a:solidFill>
                  <a:srgbClr val="C8102E"/>
                </a:solidFill>
                <a:prstDash val="solid"/>
              </a:ln>
            </spPr>
          </marker>
          <xVal>
            <numRef>
              <f>'ChartData'!$L$49</f>
            </numRef>
          </xVal>
          <yVal>
            <numRef>
              <f>'ChartData'!$M$49</f>
            </numRef>
          </yVal>
          <smooth val="0"/>
        </ser>
        <ser>
          <idx val="3"/>
          <order val="3"/>
          <tx>
            <v>LT1</v>
          </tx>
          <spPr>
            <a:ln w="25400">
              <a:solidFill>
                <a:srgbClr val="1F6FB2"/>
              </a:solidFill>
              <a:prstDash val="solid"/>
            </a:ln>
          </spPr>
          <marker>
            <symbol val="none"/>
            <spPr>
              <a:ln>
                <a:prstDash val="solid"/>
              </a:ln>
            </spPr>
          </marker>
          <xVal>
            <numRef>
              <f>'ChartData'!$L$30:$L$31</f>
            </numRef>
          </xVal>
          <yVal>
            <numRef>
              <f>'ChartData'!$M$30:$M$31</f>
            </numRef>
          </yVal>
          <smooth val="0"/>
        </ser>
        <ser>
          <idx val="4"/>
          <order val="4"/>
          <tx>
            <v>LT2</v>
          </tx>
          <spPr>
            <a:ln w="25400">
              <a:solidFill>
                <a:srgbClr val="C8102E"/>
              </a:solidFill>
              <a:prstDash val="solid"/>
            </a:ln>
          </spPr>
          <marker>
            <symbol val="none"/>
            <spPr>
              <a:ln>
                <a:prstDash val="solid"/>
              </a:ln>
            </spPr>
          </marker>
          <xVal>
            <numRef>
              <f>'ChartData'!$L$33:$L$34</f>
            </numRef>
          </xVal>
          <yVal>
            <numRef>
              <f>'ChartData'!$M$33:$M$34</f>
            </numRef>
          </yVal>
          <smooth val="0"/>
        </ser>
        <axId val="10"/>
        <axId val="20"/>
      </scatterChart>
      <valAx>
        <axId val="10"/>
        <scaling>
          <orientation val="minMax"/>
        </scaling>
        <delete val="0"/>
        <axPos val="l"/>
        <title>
          <tx>
            <rich>
              <a:bodyPr/>
              <a:p>
                <a:pPr>
                  <a:defRPr/>
                </a:pPr>
                <a:r>
                  <a:t>Belastung</a:t>
                </a:r>
              </a:p>
            </rich>
          </tx>
        </title>
        <majorTickMark val="none"/>
        <minorTickMark val="none"/>
        <crossAx val="20"/>
      </valAx>
      <valAx>
        <axId val="20"/>
        <scaling>
          <orientation val="minMax"/>
        </scaling>
        <delete val="0"/>
        <axPos val="l"/>
        <majorGridlines/>
        <title>
          <tx>
            <rich>
              <a:bodyPr/>
              <a:p>
                <a:pPr>
                  <a:defRPr/>
                </a:pPr>
                <a:r>
                  <a:t>Laktat ÷ Belastung</a:t>
                </a:r>
              </a:p>
            </rich>
          </tx>
        </title>
        <majorTickMark val="none"/>
        <minorTickMark val="none"/>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Log-Log-Darstellung (Beaver)</a:t>
            </a:r>
          </a:p>
        </rich>
      </tx>
    </title>
    <plotArea>
      <scatterChart>
        <scatterStyle val="lineMarker"/>
        <ser>
          <idx val="0"/>
          <order val="0"/>
          <tx>
            <v>Messwerte</v>
          </tx>
          <spPr>
            <a:ln>
              <a:noFill/>
              <a:prstDash val="solid"/>
            </a:ln>
          </spPr>
          <marker>
            <symbol val="circle"/>
            <size val="7"/>
            <spPr>
              <a:solidFill>
                <a:srgbClr val="18202B"/>
              </a:solidFill>
              <a:ln>
                <a:solidFill>
                  <a:srgbClr val="18202B"/>
                </a:solidFill>
                <a:prstDash val="solid"/>
              </a:ln>
            </spPr>
          </marker>
          <xVal>
            <numRef>
              <f>'Calc'!$V$3:$V$22</f>
            </numRef>
          </xVal>
          <yVal>
            <numRef>
              <f>'Calc'!$W$3:$W$22</f>
            </numRef>
          </yVal>
          <smooth val="0"/>
        </ser>
        <ser>
          <idx val="1"/>
          <order val="1"/>
          <tx>
            <v>Regression unten</v>
          </tx>
          <spPr>
            <a:ln w="22225">
              <a:solidFill>
                <a:srgbClr val="E5482A"/>
              </a:solidFill>
              <a:prstDash val="solid"/>
            </a:ln>
          </spPr>
          <marker>
            <symbol val="none"/>
            <spPr>
              <a:ln>
                <a:prstDash val="solid"/>
              </a:ln>
            </spPr>
          </marker>
          <xVal>
            <numRef>
              <f>'ChartData'!$L$44:$L$45</f>
            </numRef>
          </xVal>
          <yVal>
            <numRef>
              <f>'ChartData'!$M$44:$M$45</f>
            </numRef>
          </yVal>
          <smooth val="0"/>
        </ser>
        <ser>
          <idx val="2"/>
          <order val="2"/>
          <tx>
            <v>Regression oben</v>
          </tx>
          <spPr>
            <a:ln w="22225">
              <a:solidFill>
                <a:srgbClr val="E5482A"/>
              </a:solidFill>
              <a:prstDash val="solid"/>
            </a:ln>
          </spPr>
          <marker>
            <symbol val="none"/>
            <spPr>
              <a:ln>
                <a:prstDash val="solid"/>
              </a:ln>
            </spPr>
          </marker>
          <xVal>
            <numRef>
              <f>'ChartData'!$L$46:$L$47</f>
            </numRef>
          </xVal>
          <yVal>
            <numRef>
              <f>'ChartData'!$M$46:$M$47</f>
            </numRef>
          </yVal>
          <smooth val="0"/>
        </ser>
        <axId val="10"/>
        <axId val="20"/>
      </scatterChart>
      <valAx>
        <axId val="10"/>
        <scaling>
          <logBase val="10"/>
          <orientation val="minMax"/>
        </scaling>
        <delete val="0"/>
        <axPos val="l"/>
        <title>
          <tx>
            <rich>
              <a:bodyPr/>
              <a:p>
                <a:pPr>
                  <a:defRPr/>
                </a:pPr>
                <a:r>
                  <a:t>Belastung (log)</a:t>
                </a:r>
              </a:p>
            </rich>
          </tx>
        </title>
        <majorTickMark val="none"/>
        <minorTickMark val="none"/>
        <crossAx val="20"/>
      </valAx>
      <valAx>
        <axId val="20"/>
        <scaling>
          <logBase val="10"/>
          <orientation val="minMax"/>
        </scaling>
        <delete val="0"/>
        <axPos val="l"/>
        <majorGridlines/>
        <title>
          <tx>
            <rich>
              <a:bodyPr/>
              <a:p>
                <a:pPr>
                  <a:defRPr/>
                </a:pPr>
                <a:r>
                  <a:t>Laktat [mmol/L] (log)</a:t>
                </a:r>
              </a:p>
            </rich>
          </tx>
        </title>
        <majorTickMark val="none"/>
        <minorTickMark val="none"/>
        <crossAx val="10"/>
      </valAx>
    </plotArea>
    <legend>
      <legendPos val="b"/>
    </legend>
    <plotVisOnly val="1"/>
    <dispBlanksAs val="gap"/>
  </chart>
</chartSpace>
</file>

<file path=xl/charts/chart5.xml><?xml version="1.0" encoding="utf-8"?>
<chartSpace xmlns:a="http://schemas.openxmlformats.org/drawingml/2006/main" xmlns="http://schemas.openxmlformats.org/drawingml/2006/chart">
  <style val="2"/>
  <chart>
    <title>
      <tx>
        <rich>
          <a:bodyPr/>
          <a:p>
            <a:pPr>
              <a:defRPr/>
            </a:pPr>
            <a:r>
              <a:t>Glukose zu Belastung</a:t>
            </a:r>
          </a:p>
        </rich>
      </tx>
    </title>
    <plotArea>
      <scatterChart>
        <scatterStyle val="lineMarker"/>
        <ser>
          <idx val="0"/>
          <order val="0"/>
          <tx>
            <v>Interpolation (formtreu)</v>
          </tx>
          <spPr>
            <a:ln w="25400">
              <a:solidFill>
                <a:srgbClr val="8A5CC2"/>
              </a:solidFill>
              <a:prstDash val="solid"/>
            </a:ln>
          </spPr>
          <marker>
            <symbol val="none"/>
            <spPr>
              <a:ln>
                <a:prstDash val="solid"/>
              </a:ln>
            </spPr>
          </marker>
          <xVal>
            <numRef>
              <f>'ChartData'!$G$3:$G$203</f>
            </numRef>
          </xVal>
          <yVal>
            <numRef>
              <f>'ChartData'!$H$3:$H$203</f>
            </numRef>
          </yVal>
          <smooth val="0"/>
        </ser>
        <ser>
          <idx val="1"/>
          <order val="1"/>
          <tx>
            <v>Glukose gemessen</v>
          </tx>
          <spPr>
            <a:ln>
              <a:noFill/>
              <a:prstDash val="solid"/>
            </a:ln>
          </spPr>
          <marker>
            <symbol val="circle"/>
            <size val="7"/>
            <spPr>
              <a:solidFill>
                <a:srgbClr val="8A5CC2"/>
              </a:solidFill>
              <a:ln>
                <a:solidFill>
                  <a:srgbClr val="8A5CC2"/>
                </a:solidFill>
                <a:prstDash val="solid"/>
              </a:ln>
            </spPr>
          </marker>
          <xVal>
            <numRef>
              <f>'Calc'!$AR$3:$AR$22</f>
            </numRef>
          </xVal>
          <yVal>
            <numRef>
              <f>'Calc'!$AS$3:$AS$22</f>
            </numRef>
          </yVal>
          <smooth val="0"/>
        </ser>
        <ser>
          <idx val="2"/>
          <order val="2"/>
          <tx>
            <v>Ruheglukose</v>
          </tx>
          <spPr>
            <a:ln w="15240">
              <a:solidFill>
                <a:srgbClr val="5B6676"/>
              </a:solidFill>
              <a:prstDash val="dash"/>
            </a:ln>
          </spPr>
          <marker>
            <symbol val="none"/>
            <spPr>
              <a:ln>
                <a:prstDash val="solid"/>
              </a:ln>
            </spPr>
          </marker>
          <xVal>
            <numRef>
              <f>'ChartData'!$L$51:$L$52</f>
            </numRef>
          </xVal>
          <yVal>
            <numRef>
              <f>'ChartData'!$M$51:$M$52</f>
            </numRef>
          </yVal>
          <smooth val="0"/>
        </ser>
        <axId val="10"/>
        <axId val="20"/>
      </scatterChart>
      <valAx>
        <axId val="10"/>
        <scaling>
          <orientation val="minMax"/>
        </scaling>
        <delete val="0"/>
        <axPos val="l"/>
        <title>
          <tx>
            <rich>
              <a:bodyPr/>
              <a:p>
                <a:pPr>
                  <a:defRPr/>
                </a:pPr>
                <a:r>
                  <a:t>Belastung</a:t>
                </a:r>
              </a:p>
            </rich>
          </tx>
        </title>
        <majorTickMark val="none"/>
        <minorTickMark val="none"/>
        <crossAx val="20"/>
      </valAx>
      <valAx>
        <axId val="20"/>
        <scaling>
          <orientation val="minMax"/>
        </scaling>
        <delete val="0"/>
        <axPos val="l"/>
        <majorGridlines/>
        <title>
          <tx>
            <rich>
              <a:bodyPr/>
              <a:p>
                <a:pPr>
                  <a:defRPr/>
                </a:pPr>
                <a:r>
                  <a:t>Glukose</a:t>
                </a:r>
              </a:p>
            </rich>
          </tx>
        </title>
        <majorTickMark val="none"/>
        <minorTickMark val="none"/>
        <crossAx val="10"/>
      </valAx>
    </plotArea>
    <legend>
      <legendPos val="b"/>
    </legend>
    <plotVisOnly val="1"/>
    <dispBlanksAs val="gap"/>
  </chart>
</chartSpace>
</file>

<file path=xl/charts/chart6.xml><?xml version="1.0" encoding="utf-8"?>
<chartSpace xmlns:a="http://schemas.openxmlformats.org/drawingml/2006/main" xmlns="http://schemas.openxmlformats.org/drawingml/2006/chart">
  <style val="2"/>
  <chart>
    <plotArea>
      <scatterChart>
        <scatterStyle val="lineMarker"/>
        <ser>
          <idx val="0"/>
          <order val="0"/>
          <tx>
            <v>Laktatkurve (Modell)</v>
          </tx>
          <spPr>
            <a:ln w="28575">
              <a:solidFill>
                <a:srgbClr val="18202B"/>
              </a:solidFill>
              <a:prstDash val="solid"/>
            </a:ln>
          </spPr>
          <marker>
            <symbol val="none"/>
            <spPr>
              <a:ln>
                <a:prstDash val="solid"/>
              </a:ln>
            </spPr>
          </marker>
          <xVal>
            <numRef>
              <f>'ChartData'!$A$3:$A$203</f>
            </numRef>
          </xVal>
          <yVal>
            <numRef>
              <f>'ChartData'!$B$3:$B$203</f>
            </numRef>
          </yVal>
          <smooth val="0"/>
        </ser>
        <ser>
          <idx val="1"/>
          <order val="1"/>
          <tx>
            <v>Messwerte</v>
          </tx>
          <spPr>
            <a:ln>
              <a:noFill/>
              <a:prstDash val="solid"/>
            </a:ln>
          </spPr>
          <marker>
            <symbol val="circle"/>
            <size val="7"/>
            <spPr>
              <a:solidFill>
                <a:srgbClr val="18202B"/>
              </a:solidFill>
              <a:ln>
                <a:solidFill>
                  <a:srgbClr val="18202B"/>
                </a:solidFill>
                <a:prstDash val="solid"/>
              </a:ln>
            </spPr>
          </marker>
          <xVal>
            <numRef>
              <f>'Calc'!$V$3:$V$22</f>
            </numRef>
          </xVal>
          <yVal>
            <numRef>
              <f>'Calc'!$W$3:$W$22</f>
            </numRef>
          </yVal>
          <smooth val="0"/>
        </ser>
        <ser>
          <idx val="2"/>
          <order val="2"/>
          <tx>
            <v>Hilfsgeraden</v>
          </tx>
          <spPr>
            <a:ln w="19050">
              <a:solidFill>
                <a:srgbClr val="E5482A"/>
              </a:solidFill>
              <a:prstDash val="solid"/>
            </a:ln>
          </spPr>
          <marker>
            <symbol val="none"/>
            <spPr>
              <a:ln>
                <a:prstDash val="solid"/>
              </a:ln>
            </spPr>
          </marker>
          <xVal>
            <numRef>
              <f>'ChartData'!$L$36:$L$39</f>
            </numRef>
          </xVal>
          <yVal>
            <numRef>
              <f>'ChartData'!$M$36:$M$39</f>
            </numRef>
          </yVal>
          <smooth val="0"/>
        </ser>
        <ser>
          <idx val="3"/>
          <order val="3"/>
          <tx>
            <v>Dmax-Sehne</v>
          </tx>
          <spPr>
            <a:ln w="12700">
              <a:solidFill>
                <a:srgbClr val="5B6676"/>
              </a:solidFill>
              <a:prstDash val="dash"/>
            </a:ln>
          </spPr>
          <marker>
            <symbol val="none"/>
            <spPr>
              <a:ln>
                <a:prstDash val="solid"/>
              </a:ln>
            </spPr>
          </marker>
          <xVal>
            <numRef>
              <f>'ChartData'!$L$41:$L$42</f>
            </numRef>
          </xVal>
          <yVal>
            <numRef>
              <f>'ChartData'!$M$41:$M$42</f>
            </numRef>
          </yVal>
          <smooth val="0"/>
        </ser>
        <ser>
          <idx val="4"/>
          <order val="4"/>
          <tx>
            <v>LT1</v>
          </tx>
          <spPr>
            <a:ln w="25400">
              <a:solidFill>
                <a:srgbClr val="1F6FB2"/>
              </a:solidFill>
              <a:prstDash val="solid"/>
            </a:ln>
          </spPr>
          <marker>
            <symbol val="none"/>
            <spPr>
              <a:ln>
                <a:prstDash val="solid"/>
              </a:ln>
            </spPr>
          </marker>
          <xVal>
            <numRef>
              <f>'ChartData'!$L$3:$L$4</f>
            </numRef>
          </xVal>
          <yVal>
            <numRef>
              <f>'ChartData'!$M$3:$M$4</f>
            </numRef>
          </yVal>
          <smooth val="0"/>
        </ser>
        <ser>
          <idx val="5"/>
          <order val="5"/>
          <tx>
            <v>LT2</v>
          </tx>
          <spPr>
            <a:ln w="25400">
              <a:solidFill>
                <a:srgbClr val="C8102E"/>
              </a:solidFill>
              <a:prstDash val="solid"/>
            </a:ln>
          </spPr>
          <marker>
            <symbol val="none"/>
            <spPr>
              <a:ln>
                <a:prstDash val="solid"/>
              </a:ln>
            </spPr>
          </marker>
          <xVal>
            <numRef>
              <f>'ChartData'!$L$6:$L$7</f>
            </numRef>
          </xVal>
          <yVal>
            <numRef>
              <f>'ChartData'!$M$6:$M$7</f>
            </numRef>
          </yVal>
          <smooth val="0"/>
        </ser>
        <ser>
          <idx val="6"/>
          <order val="6"/>
          <tx>
            <v>A0|A1</v>
          </tx>
          <spPr>
            <a:ln w="12700">
              <a:solidFill>
                <a:srgbClr val="7FB58A"/>
              </a:solidFill>
              <a:prstDash val="dash"/>
            </a:ln>
          </spPr>
          <marker>
            <symbol val="none"/>
            <spPr>
              <a:ln>
                <a:prstDash val="solid"/>
              </a:ln>
            </spPr>
          </marker>
          <xVal>
            <numRef>
              <f>'ChartData'!$L$9:$L$10</f>
            </numRef>
          </xVal>
          <yVal>
            <numRef>
              <f>'ChartData'!$M$9:$M$10</f>
            </numRef>
          </yVal>
          <smooth val="0"/>
        </ser>
        <ser>
          <idx val="7"/>
          <order val="7"/>
          <tx>
            <v>A1|A2</v>
          </tx>
          <spPr>
            <a:ln w="12700">
              <a:solidFill>
                <a:srgbClr val="5E9E73"/>
              </a:solidFill>
              <a:prstDash val="dash"/>
            </a:ln>
          </spPr>
          <marker>
            <symbol val="none"/>
            <spPr>
              <a:ln>
                <a:prstDash val="solid"/>
              </a:ln>
            </spPr>
          </marker>
          <xVal>
            <numRef>
              <f>'ChartData'!$L$21:$L$22</f>
            </numRef>
          </xVal>
          <yVal>
            <numRef>
              <f>'ChartData'!$M$21:$M$22</f>
            </numRef>
          </yVal>
          <smooth val="0"/>
        </ser>
        <ser>
          <idx val="8"/>
          <order val="8"/>
          <tx>
            <v>A2|A3</v>
          </tx>
          <spPr>
            <a:ln w="12700">
              <a:solidFill>
                <a:srgbClr val="6FA29A"/>
              </a:solidFill>
              <a:prstDash val="dash"/>
            </a:ln>
          </spPr>
          <marker>
            <symbol val="none"/>
            <spPr>
              <a:ln>
                <a:prstDash val="solid"/>
              </a:ln>
            </spPr>
          </marker>
          <xVal>
            <numRef>
              <f>'ChartData'!$L$12:$L$13</f>
            </numRef>
          </xVal>
          <yVal>
            <numRef>
              <f>'ChartData'!$M$12:$M$13</f>
            </numRef>
          </yVal>
          <smooth val="0"/>
        </ser>
        <ser>
          <idx val="9"/>
          <order val="9"/>
          <tx>
            <v>A3|A4</v>
          </tx>
          <spPr>
            <a:ln w="12700">
              <a:solidFill>
                <a:srgbClr val="C9A227"/>
              </a:solidFill>
              <a:prstDash val="dash"/>
            </a:ln>
          </spPr>
          <marker>
            <symbol val="none"/>
            <spPr>
              <a:ln>
                <a:prstDash val="solid"/>
              </a:ln>
            </spPr>
          </marker>
          <xVal>
            <numRef>
              <f>'ChartData'!$L$15:$L$16</f>
            </numRef>
          </xVal>
          <yVal>
            <numRef>
              <f>'ChartData'!$M$15:$M$16</f>
            </numRef>
          </yVal>
          <smooth val="0"/>
        </ser>
        <ser>
          <idx val="10"/>
          <order val="10"/>
          <tx>
            <v>A4 Ende</v>
          </tx>
          <spPr>
            <a:ln w="12700">
              <a:solidFill>
                <a:srgbClr val="D9725E"/>
              </a:solidFill>
              <a:prstDash val="dash"/>
            </a:ln>
          </spPr>
          <marker>
            <symbol val="none"/>
            <spPr>
              <a:ln>
                <a:prstDash val="solid"/>
              </a:ln>
            </spPr>
          </marker>
          <xVal>
            <numRef>
              <f>'ChartData'!$L$18:$L$19</f>
            </numRef>
          </xVal>
          <yVal>
            <numRef>
              <f>'ChartData'!$M$18:$M$19</f>
            </numRef>
          </yVal>
          <smooth val="0"/>
        </ser>
        <axId val="10"/>
        <axId val="20"/>
      </scatterChart>
      <valAx>
        <axId val="10"/>
        <scaling>
          <orientation val="minMax"/>
        </scaling>
        <delete val="0"/>
        <axPos val="l"/>
        <title>
          <tx>
            <rich>
              <a:bodyPr/>
              <a:p>
                <a:pPr>
                  <a:defRPr/>
                </a:pPr>
                <a:r>
                  <a:t>Belastung</a:t>
                </a:r>
              </a:p>
            </rich>
          </tx>
        </title>
        <majorTickMark val="none"/>
        <minorTickMark val="none"/>
        <crossAx val="20"/>
      </valAx>
      <valAx>
        <axId val="20"/>
        <scaling>
          <orientation val="minMax"/>
          <min val="0"/>
        </scaling>
        <delete val="0"/>
        <axPos val="l"/>
        <majorGridlines/>
        <title>
          <tx>
            <rich>
              <a:bodyPr/>
              <a:p>
                <a:pPr>
                  <a:defRPr/>
                </a:pPr>
                <a:r>
                  <a:t>Laktat [mmol/L]</a:t>
                </a:r>
              </a:p>
            </rich>
          </tx>
        </title>
        <majorTickMark val="none"/>
        <minorTickMark val="none"/>
        <crossAx val="10"/>
      </valAx>
    </plotArea>
    <legend>
      <legendPos val="b"/>
    </legend>
    <plotVisOnly val="1"/>
    <dispBlanksAs val="gap"/>
  </chart>
</chartSpace>
</file>

<file path=xl/charts/chart7.xml><?xml version="1.0" encoding="utf-8"?>
<chartSpace xmlns:a="http://schemas.openxmlformats.org/drawingml/2006/main" xmlns="http://schemas.openxmlformats.org/drawingml/2006/chart">
  <style val="2"/>
  <chart>
    <plotArea>
      <scatterChart>
        <scatterStyle val="lineMarker"/>
        <ser>
          <idx val="0"/>
          <order val="0"/>
          <tx>
            <v>HF-Modell</v>
          </tx>
          <spPr>
            <a:ln w="28575">
              <a:solidFill>
                <a:srgbClr val="18202B"/>
              </a:solidFill>
              <a:prstDash val="solid"/>
            </a:ln>
          </spPr>
          <marker>
            <symbol val="none"/>
            <spPr>
              <a:ln>
                <a:prstDash val="solid"/>
              </a:ln>
            </spPr>
          </marker>
          <xVal>
            <numRef>
              <f>'ChartData'!$E$3:$E$203</f>
            </numRef>
          </xVal>
          <yVal>
            <numRef>
              <f>'ChartData'!$C$3:$C$203</f>
            </numRef>
          </yVal>
          <smooth val="0"/>
        </ser>
        <ser>
          <idx val="1"/>
          <order val="1"/>
          <tx>
            <v>HF gemessen</v>
          </tx>
          <spPr>
            <a:ln>
              <a:noFill/>
              <a:prstDash val="solid"/>
            </a:ln>
          </spPr>
          <marker>
            <symbol val="circle"/>
            <size val="7"/>
            <spPr>
              <a:solidFill>
                <a:srgbClr val="18202B"/>
              </a:solidFill>
              <a:ln>
                <a:solidFill>
                  <a:srgbClr val="18202B"/>
                </a:solidFill>
                <a:prstDash val="solid"/>
              </a:ln>
            </spPr>
          </marker>
          <xVal>
            <numRef>
              <f>'Calc'!$AG$3:$AG$22</f>
            </numRef>
          </xVal>
          <yVal>
            <numRef>
              <f>'Calc'!$AH$3:$AH$22</f>
            </numRef>
          </yVal>
          <smooth val="0"/>
        </ser>
        <ser>
          <idx val="2"/>
          <order val="2"/>
          <tx>
            <v>LT1</v>
          </tx>
          <spPr>
            <a:ln w="25400">
              <a:solidFill>
                <a:srgbClr val="1F6FB2"/>
              </a:solidFill>
              <a:prstDash val="solid"/>
            </a:ln>
          </spPr>
          <marker>
            <symbol val="none"/>
            <spPr>
              <a:ln>
                <a:prstDash val="solid"/>
              </a:ln>
            </spPr>
          </marker>
          <xVal>
            <numRef>
              <f>'ChartData'!$L$24:$L$25</f>
            </numRef>
          </xVal>
          <yVal>
            <numRef>
              <f>'ChartData'!$M$24:$M$25</f>
            </numRef>
          </yVal>
          <smooth val="0"/>
        </ser>
        <ser>
          <idx val="3"/>
          <order val="3"/>
          <tx>
            <v>LT2</v>
          </tx>
          <spPr>
            <a:ln w="25400">
              <a:solidFill>
                <a:srgbClr val="C8102E"/>
              </a:solidFill>
              <a:prstDash val="solid"/>
            </a:ln>
          </spPr>
          <marker>
            <symbol val="none"/>
            <spPr>
              <a:ln>
                <a:prstDash val="solid"/>
              </a:ln>
            </spPr>
          </marker>
          <xVal>
            <numRef>
              <f>'ChartData'!$L$27:$L$28</f>
            </numRef>
          </xVal>
          <yVal>
            <numRef>
              <f>'ChartData'!$M$27:$M$28</f>
            </numRef>
          </yVal>
          <smooth val="0"/>
        </ser>
        <axId val="10"/>
        <axId val="20"/>
      </scatterChart>
      <valAx>
        <axId val="10"/>
        <scaling>
          <orientation val="minMax"/>
        </scaling>
        <delete val="0"/>
        <axPos val="l"/>
        <title>
          <tx>
            <rich>
              <a:bodyPr/>
              <a:p>
                <a:pPr>
                  <a:defRPr/>
                </a:pPr>
                <a:r>
                  <a:t>Belastung</a:t>
                </a:r>
              </a:p>
            </rich>
          </tx>
        </title>
        <majorTickMark val="none"/>
        <minorTickMark val="none"/>
        <crossAx val="20"/>
      </valAx>
      <valAx>
        <axId val="20"/>
        <scaling>
          <orientation val="minMax"/>
          <min val="60"/>
        </scaling>
        <delete val="0"/>
        <axPos val="l"/>
        <majorGridlines/>
        <title>
          <tx>
            <rich>
              <a:bodyPr/>
              <a:p>
                <a:pPr>
                  <a:defRPr/>
                </a:pPr>
                <a:r>
                  <a:t>HF [1/min]</a:t>
                </a:r>
              </a:p>
            </rich>
          </tx>
        </title>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Laktat</author>
  </authors>
  <commentList>
    <comment ref="E4" authorId="0" shapeId="0">
      <text>
        <t>Stufendauer in Minuten als Zahl, z. B. 3 oder 2,5.</t>
      </text>
    </comment>
    <comment ref="B5" authorId="0" shapeId="0">
      <text>
        <t>Datum als TT.MM.JJJJ eingeben (echtes Excel-Datum, für die Altersberechnung).</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 Type="http://schemas.openxmlformats.org/officeDocument/2006/relationships/chart" Target="/xl/charts/chart5.xml" Id="rId3" /></Relationships>
</file>

<file path=xl/drawings/_rels/drawing3.xml.rels><Relationships xmlns="http://schemas.openxmlformats.org/package/2006/relationships"><Relationship Type="http://schemas.openxmlformats.org/officeDocument/2006/relationships/chart" Target="/xl/charts/chart6.xml" Id="rId1" /><Relationship Type="http://schemas.openxmlformats.org/officeDocument/2006/relationships/chart" Target="/xl/charts/chart7.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4</row>
      <rowOff>0</rowOff>
    </from>
    <ext cx="6120000" cy="34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25</row>
      <rowOff>0</rowOff>
    </from>
    <ext cx="6120000" cy="34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3</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29</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53</row>
      <rowOff>0</rowOff>
    </from>
    <ext cx="6300000" cy="36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77</row>
      <rowOff>0</rowOff>
    </from>
    <ext cx="6300000" cy="36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c r="A1" s="1" t="inlineStr">
        <is>
          <t>Laktatdiagnostik – Excel-Version</t>
        </is>
      </c>
    </row>
    <row r="2">
      <c r="A2" s="2" t="inlineStr">
        <is>
          <t>Nachbau der Webapp „Laktatdiagnostik – Auswertung“ (Stufentest mit LT1/LT2, Modellvergleich, Trainingsbereichen). Alle Ergebnisse sind Formeln ohne Makros.</t>
        </is>
      </c>
    </row>
    <row r="3">
      <c r="A3" s="2" t="inlineStr"/>
    </row>
    <row r="4">
      <c r="A4" s="3" t="inlineStr">
        <is>
          <t>So wird die Mappe benutzt</t>
        </is>
      </c>
    </row>
    <row r="5">
      <c r="A5" s="2" t="inlineStr">
        <is>
          <t>1. Blatt „Eingabe“: Stammdaten, Protokoll und die Messwerte je Stufe (Belastung, Laktat, HF, optional Glukose) in die gelben Felder eintragen.</t>
        </is>
      </c>
    </row>
    <row r="6">
      <c r="A6" s="2" t="inlineStr">
        <is>
          <t>2. Rechts im Blatt „Eingabe“ Kurvenmodell, LT1-/LT2-Verfahren und die übrigen Optionen aus den Auswahllisten wählen.</t>
        </is>
      </c>
    </row>
    <row r="7">
      <c r="A7" s="2" t="inlineStr">
        <is>
          <t>3. Blatt „Auswertung“: Schwellen, Hinweise, Trainingsbereiche, Laktatstufen-Tabelle sowie Laktat- und HF-Diagramm.</t>
        </is>
      </c>
    </row>
    <row r="8">
      <c r="A8" s="2" t="inlineStr">
        <is>
          <t>4. Blatt „Verfahren“: alle 21 Schwellenverfahren und der Modellvergleich (Poly 2/3/4, Exponentiell).</t>
        </is>
      </c>
    </row>
    <row r="9">
      <c r="A9" s="2" t="inlineStr">
        <is>
          <t>5. Blatt „Diagramme“: Laktatäquivalent, Log-Log-Darstellung und Glukoseverlauf.</t>
        </is>
      </c>
    </row>
    <row r="10">
      <c r="A10" s="2" t="inlineStr">
        <is>
          <t>6. Blatt „Bericht“: druckfertiger A4-Bericht (Datei › Drucken oder Als PDF speichern).</t>
        </is>
      </c>
    </row>
    <row r="11">
      <c r="A11" s="2" t="inlineStr">
        <is>
          <t>7. LT1/LT2 manuell verschieben: Wert in Eingabe!I15 bzw. I16 eintragen (leer = Algorithmus). Bereichsgrenzen manuell: Eingabe!I26–I30.</t>
        </is>
      </c>
    </row>
    <row r="12">
      <c r="A12" s="2" t="inlineStr">
        <is>
          <t>8. Tests speichern: Datei unter neuem Namen sichern (ersetzt „Test speichern“ und JSON-Export der Webapp). Beispieldaten im Blatt „Beispiele“.</t>
        </is>
      </c>
    </row>
    <row r="13">
      <c r="A13" s="2" t="inlineStr"/>
    </row>
    <row r="14">
      <c r="A14" s="3" t="inlineStr">
        <is>
          <t>Unterschiede zur Webapp</t>
        </is>
      </c>
    </row>
    <row r="15">
      <c r="A15" s="2" t="inlineStr">
        <is>
          <t>• Nullstellen, Dmax, Laktatäquivalent-Minimum und Laktatminimum werden auf einem Raster mit 1000 Schritten im Messbereich gesucht und interpoliert bzw. per Parabel verfeinert (Abweichung zur Webapp typischerweise &lt; 0,01 km/h bzw. &lt; 0,1 W).</t>
        </is>
      </c>
    </row>
    <row r="16">
      <c r="A16" s="2" t="inlineStr">
        <is>
          <t>• 3-Phasen-Regression (LTP1/LTP2 global) und Hofmann/Pokan-LTP: Rastersuche mit Verfeinerung wie in der Webapp; bei flachen Fehlerflächen können einzelne Knoten um wenige Hundertstel abweichen.</t>
        </is>
      </c>
    </row>
    <row r="17">
      <c r="A17" s="2" t="inlineStr">
        <is>
          <t>• Exponentialfit: Rastersuche über c mit zweifacher Verfeinerung statt Goldener-Schnitt-Suche.</t>
        </is>
      </c>
    </row>
    <row r="18">
      <c r="A18" s="2" t="inlineStr">
        <is>
          <t>• Diagramme: Trainingsbereiche als gestrichelte Grenzlinien statt Farbflächen; Linien werden nicht mit der Maus gezogen, sondern über Eingabe!I15/I16 bzw. I26–I30 gesetzt.</t>
        </is>
      </c>
    </row>
    <row r="19">
      <c r="A19" s="2" t="inlineStr">
        <is>
          <t>• Die Grenze A1|A2 kann manuell gesetzt werden (Eingabe!I27). Eine HF-Eingabe für Bereichsgrenzen gibt es nicht; bitte Belastungswerte eintragen.</t>
        </is>
      </c>
    </row>
    <row r="20">
      <c r="A20" s="2" t="inlineStr">
        <is>
          <t>• Gespeicherte Tests im Browser, JSON-Import/-Export und die Beispielauswahl entfallen; stattdessen einzelne Excel-Dateien und das Blatt „Beispiele“.</t>
        </is>
      </c>
    </row>
    <row r="21">
      <c r="A21" s="2" t="inlineStr">
        <is>
          <t>• Ausgeblendete Rechenblätter (Calc, Grid, ExpFit, LTP, LTP3, Guide, VCalc, ChartData, Listen) enthalten die Zwischenrechnungen. Nicht verändern.</t>
        </is>
      </c>
    </row>
    <row r="22">
      <c r="A22" s="2" t="inlineStr"/>
    </row>
    <row r="23">
      <c r="A23" s="3" t="inlineStr">
        <is>
          <t>Farblegende</t>
        </is>
      </c>
    </row>
    <row r="24">
      <c r="A24" s="2" t="inlineStr">
        <is>
          <t>Gelb hinterlegt / blaue Schrift = Eingabefeld. Schwarze Schrift = Formel.</t>
        </is>
      </c>
    </row>
    <row r="25">
      <c r="A25" s="2" t="inlineStr"/>
    </row>
    <row r="26">
      <c r="A26" s="3" t="inlineStr">
        <is>
          <t>Fachlicher Hinweis</t>
        </is>
      </c>
    </row>
    <row r="27">
      <c r="A27" s="2" t="inlineStr">
        <is>
          <t>Die Schwellen sind modell- und verfahrensabhängige Schätzungen. LT2 ist nicht per Definition MLSS oder Critical Speed/Power. Die Voreinstellungen der Trainingsbereiche sind Konvention.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showGridLines="0" workbookViewId="0">
      <pane ySplit="2" topLeftCell="A3" activePane="bottomLeft" state="frozen"/>
      <selection pane="bottomLeft" activeCell="A1" sqref="A1"/>
    </sheetView>
  </sheetViews>
  <sheetFormatPr baseColWidth="8" defaultRowHeight="15"/>
  <cols>
    <col width="17" customWidth="1" min="1" max="1"/>
    <col width="22" customWidth="1" min="2" max="2"/>
    <col width="13" customWidth="1" min="3" max="3"/>
    <col width="19" customWidth="1" min="4" max="4"/>
    <col width="20" customWidth="1" min="5" max="5"/>
    <col width="13" customWidth="1" min="6" max="6"/>
    <col width="3" customWidth="1" min="7" max="7"/>
    <col width="36" customWidth="1" min="8" max="8"/>
    <col width="36" customWidth="1" min="9" max="9"/>
  </cols>
  <sheetData>
    <row r="1">
      <c r="A1" s="4" t="inlineStr">
        <is>
          <t>Laktatdiagnostik – Eingabe</t>
        </is>
      </c>
    </row>
    <row r="2">
      <c r="A2" s="5" t="inlineStr">
        <is>
          <t>Gelb hinterlegte Felder mit blauer Schrift sind Eingaben. Alles andere wird berechnet. Dezimalzahlen wie in Excel üblich eingeben (z. B. 10,5). Leere Zeilen werden ignoriert, Stufen nach Belastung sortiert.</t>
        </is>
      </c>
    </row>
    <row r="3">
      <c r="A3" s="6" t="inlineStr">
        <is>
          <t>Athlet:in und Protokoll</t>
        </is>
      </c>
      <c r="H3" s="6" t="inlineStr">
        <is>
          <t>Auswertung</t>
        </is>
      </c>
    </row>
    <row r="4">
      <c r="A4" s="7" t="inlineStr">
        <is>
          <t>Name</t>
        </is>
      </c>
      <c r="B4" s="8" t="inlineStr">
        <is>
          <t>Mayer Elisabeth</t>
        </is>
      </c>
      <c r="D4" s="7" t="inlineStr">
        <is>
          <t>Stufendauer [min]</t>
        </is>
      </c>
      <c r="E4" s="9" t="n">
        <v>3</v>
      </c>
      <c r="H4" s="7" t="inlineStr">
        <is>
          <t>Kurvenmodell Laktat</t>
        </is>
      </c>
      <c r="I4" s="8" t="inlineStr">
        <is>
          <t>Polynom 3. Grades (Standard für Dmax)</t>
        </is>
      </c>
    </row>
    <row r="5">
      <c r="A5" s="7" t="inlineStr">
        <is>
          <t>Geburtsdatum</t>
        </is>
      </c>
      <c r="B5" s="10" t="n">
        <v>41105</v>
      </c>
      <c r="D5" s="7" t="inlineStr">
        <is>
          <t>Stufenhöhe</t>
        </is>
      </c>
      <c r="E5" s="8" t="inlineStr">
        <is>
          <t>1,5 km/h</t>
        </is>
      </c>
      <c r="H5" s="7" t="inlineStr">
        <is>
          <t>LT1-Verfahren</t>
        </is>
      </c>
      <c r="I5" s="8" t="inlineStr">
        <is>
          <t>LTP1 (Hofmann/Pokan)</t>
        </is>
      </c>
    </row>
    <row r="6">
      <c r="A6" s="7" t="inlineStr">
        <is>
          <t>Testdatum</t>
        </is>
      </c>
      <c r="B6" s="10" t="n">
        <v>46287</v>
      </c>
      <c r="D6" s="7" t="inlineStr">
        <is>
          <t>Probenentnahme</t>
        </is>
      </c>
      <c r="E6" s="8" t="inlineStr">
        <is>
          <t>Kapillar Ohrläppchen</t>
        </is>
      </c>
      <c r="H6" s="7" t="inlineStr">
        <is>
          <t>LT2-Verfahren</t>
        </is>
      </c>
      <c r="I6" s="8" t="inlineStr">
        <is>
          <t>LTP2 (Hofmann/Pokan)</t>
        </is>
      </c>
    </row>
    <row r="7">
      <c r="A7" s="7" t="inlineStr">
        <is>
          <t>Größe [cm]</t>
        </is>
      </c>
      <c r="B7" s="8" t="n">
        <v>155.1</v>
      </c>
      <c r="D7" s="7" t="inlineStr">
        <is>
          <t>Matrix</t>
        </is>
      </c>
      <c r="E7" s="8" t="inlineStr">
        <is>
          <t>Vollblut</t>
        </is>
      </c>
      <c r="H7" s="7" t="inlineStr">
        <is>
          <t>LTP1-Suchbereich bis [% vmax]</t>
        </is>
      </c>
      <c r="I7" s="8" t="n">
        <v>70</v>
      </c>
    </row>
    <row r="8">
      <c r="A8" s="7" t="inlineStr">
        <is>
          <t>Masse [kg]</t>
        </is>
      </c>
      <c r="B8" s="8" t="n">
        <v>40.4</v>
      </c>
      <c r="D8" s="7" t="inlineStr">
        <is>
          <t>Analysator</t>
        </is>
      </c>
      <c r="E8" s="8" t="n"/>
      <c r="H8" s="7" t="inlineStr">
        <is>
          <t>Baseline für Δ-Verfahren</t>
        </is>
      </c>
      <c r="I8" s="8" t="inlineStr">
        <is>
          <t>niedrigster Stufenwert</t>
        </is>
      </c>
    </row>
    <row r="9">
      <c r="A9" s="7" t="inlineStr">
        <is>
          <t>Ergometer</t>
        </is>
      </c>
      <c r="B9" s="8" t="inlineStr">
        <is>
          <t>Laufband (km/h)</t>
        </is>
      </c>
      <c r="D9" s="7" t="inlineStr">
        <is>
          <t>Ruhelaktat [mmol/L]</t>
        </is>
      </c>
      <c r="E9" s="8" t="n">
        <v>1.6</v>
      </c>
      <c r="H9" s="7" t="inlineStr">
        <is>
          <t>Modell Herzfrequenz</t>
        </is>
      </c>
      <c r="I9" s="8" t="inlineStr">
        <is>
          <t>Polynom 2. Grades</t>
        </is>
      </c>
    </row>
    <row r="10">
      <c r="A10" s="7" t="inlineStr">
        <is>
          <t>Testleitung</t>
        </is>
      </c>
      <c r="B10" s="8" t="inlineStr">
        <is>
          <t>Ernst Johannes, BSc</t>
        </is>
      </c>
      <c r="D10" s="7">
        <f>"Ruheglukose ["&amp;k_gluU&amp;"]"</f>
        <v/>
      </c>
      <c r="E10" s="8" t="n">
        <v>81</v>
      </c>
      <c r="H10" s="7" t="inlineStr">
        <is>
          <t>Hilfsgeraden-Konstruktion</t>
        </is>
      </c>
      <c r="I10" s="8" t="inlineStr">
        <is>
          <t>korrigiert: nie unterhalb der Laktatkurve</t>
        </is>
      </c>
    </row>
    <row r="11">
      <c r="A11" s="7" t="inlineStr">
        <is>
          <t>Bemerkung</t>
        </is>
      </c>
      <c r="B11" s="8" t="n"/>
      <c r="C11" s="11" t="n"/>
      <c r="D11" s="11" t="n"/>
      <c r="E11" s="12" t="n"/>
      <c r="H11" s="7" t="inlineStr">
        <is>
          <t>Glukose je Stufe erfassen</t>
        </is>
      </c>
      <c r="I11" s="8" t="inlineStr">
        <is>
          <t>Nein</t>
        </is>
      </c>
    </row>
    <row r="12">
      <c r="A12" s="7" t="inlineStr">
        <is>
          <t>Institution / Labor</t>
        </is>
      </c>
      <c r="B12" s="8" t="n"/>
      <c r="C12" s="11" t="n"/>
      <c r="D12" s="11" t="n"/>
      <c r="E12" s="12" t="n"/>
      <c r="H12" s="7" t="inlineStr">
        <is>
          <t>Glukose-Einheit</t>
        </is>
      </c>
      <c r="I12" s="8" t="inlineStr">
        <is>
          <t>mg/dL</t>
        </is>
      </c>
    </row>
    <row r="13">
      <c r="A13" s="7" t="inlineStr">
        <is>
          <t>Adresse und Kontakt</t>
        </is>
      </c>
      <c r="B13" s="8" t="n"/>
      <c r="C13" s="11" t="n"/>
      <c r="D13" s="11" t="n"/>
      <c r="E13" s="12" t="n"/>
    </row>
    <row r="14">
      <c r="H14" s="6" t="inlineStr">
        <is>
          <t>Schwellen manuell setzen (leer = Algorithmus)</t>
        </is>
      </c>
    </row>
    <row r="15">
      <c r="A15" s="6" t="inlineStr">
        <is>
          <t>Messwerte je Stufe</t>
        </is>
      </c>
      <c r="H15" s="7">
        <f>"LT1 manuell ["&amp;k_unit&amp;"]"</f>
        <v/>
      </c>
      <c r="I15" s="8" t="n"/>
    </row>
    <row r="16" ht="28" customHeight="1">
      <c r="A16" s="13" t="inlineStr">
        <is>
          <t>Stufe</t>
        </is>
      </c>
      <c r="B16" s="13" t="inlineStr">
        <is>
          <t>Zeit [mm:ss]</t>
        </is>
      </c>
      <c r="C16" s="13">
        <f>"Belastung ["&amp;k_unit&amp;"]"</f>
        <v/>
      </c>
      <c r="D16" s="13" t="inlineStr">
        <is>
          <t>Laktat [mmol/L]</t>
        </is>
      </c>
      <c r="E16" s="13" t="inlineStr">
        <is>
          <t>HF [1/min]</t>
        </is>
      </c>
      <c r="F16" s="13">
        <f>"Glukose ["&amp;k_gluU&amp;"]"</f>
        <v/>
      </c>
      <c r="H16">
        <f>"LT2 manuell ["&amp;k_unit&amp;"]"</f>
        <v/>
      </c>
      <c r="I16" s="8" t="n"/>
    </row>
    <row r="17">
      <c r="A17" s="14" t="n">
        <v>1</v>
      </c>
      <c r="B17" s="8" t="inlineStr">
        <is>
          <t>03:00</t>
        </is>
      </c>
      <c r="C17" s="15" t="n">
        <v>6</v>
      </c>
      <c r="D17" s="15" t="n">
        <v>2.2</v>
      </c>
      <c r="E17" s="16" t="n">
        <v>145</v>
      </c>
      <c r="F17" s="17" t="n"/>
    </row>
    <row r="18">
      <c r="A18" s="14" t="n">
        <v>2</v>
      </c>
      <c r="B18" s="8" t="inlineStr">
        <is>
          <t>06:00</t>
        </is>
      </c>
      <c r="C18" s="15" t="n">
        <v>7.5</v>
      </c>
      <c r="D18" s="15" t="n">
        <v>2.3</v>
      </c>
      <c r="E18" s="16" t="n">
        <v>167</v>
      </c>
      <c r="F18" s="17" t="n"/>
      <c r="H18" s="6" t="inlineStr">
        <is>
          <t>Regeln für Trainingsbereiche</t>
        </is>
      </c>
    </row>
    <row r="19">
      <c r="A19" s="14" t="n">
        <v>3</v>
      </c>
      <c r="B19" s="8" t="inlineStr">
        <is>
          <t>09:00</t>
        </is>
      </c>
      <c r="C19" s="15" t="n">
        <v>9</v>
      </c>
      <c r="D19" s="15" t="n">
        <v>2.7</v>
      </c>
      <c r="E19" s="16" t="n">
        <v>184</v>
      </c>
      <c r="F19" s="17" t="n"/>
      <c r="H19" s="7" t="inlineStr">
        <is>
          <t>A1 ab [% LT1]</t>
        </is>
      </c>
      <c r="I19" s="8" t="n">
        <v>81</v>
      </c>
    </row>
    <row r="20">
      <c r="A20" s="14" t="n">
        <v>4</v>
      </c>
      <c r="B20" s="8" t="inlineStr">
        <is>
          <t>12:00</t>
        </is>
      </c>
      <c r="C20" s="15" t="n">
        <v>10.5</v>
      </c>
      <c r="D20" s="15" t="n">
        <v>3.5</v>
      </c>
      <c r="E20" s="16" t="n">
        <v>193</v>
      </c>
      <c r="F20" s="17" t="n"/>
      <c r="H20" s="7" t="inlineStr">
        <is>
          <t>A2 bis [% der Strecke LT1→LT2]</t>
        </is>
      </c>
      <c r="I20" s="8" t="n">
        <v>52</v>
      </c>
    </row>
    <row r="21">
      <c r="A21" s="14" t="n">
        <v>5</v>
      </c>
      <c r="B21" s="8" t="inlineStr">
        <is>
          <t>15:00</t>
        </is>
      </c>
      <c r="C21" s="15" t="n">
        <v>12</v>
      </c>
      <c r="D21" s="15" t="n">
        <v>5.1</v>
      </c>
      <c r="E21" s="16" t="n">
        <v>200</v>
      </c>
      <c r="F21" s="17" t="n"/>
      <c r="H21" s="7" t="inlineStr">
        <is>
          <t>A3 bis [% LT2]</t>
        </is>
      </c>
      <c r="I21" s="8" t="n">
        <v>104.5</v>
      </c>
    </row>
    <row r="22">
      <c r="A22" s="14" t="n">
        <v>6</v>
      </c>
      <c r="B22" s="8" t="inlineStr">
        <is>
          <t>18:00</t>
        </is>
      </c>
      <c r="C22" s="15" t="n">
        <v>13.5</v>
      </c>
      <c r="D22" s="15" t="n">
        <v>8.199999999999999</v>
      </c>
      <c r="E22" s="16" t="n">
        <v>207</v>
      </c>
      <c r="F22" s="17" t="n"/>
      <c r="H22" s="7" t="inlineStr">
        <is>
          <t>A4 bis [% vmax]</t>
        </is>
      </c>
      <c r="I22" s="8" t="n">
        <v>98</v>
      </c>
    </row>
    <row r="23">
      <c r="A23" s="14" t="n">
        <v>7</v>
      </c>
      <c r="B23" s="8" t="inlineStr">
        <is>
          <t>19:30</t>
        </is>
      </c>
      <c r="C23" s="15" t="n">
        <v>14.25</v>
      </c>
      <c r="D23" s="15" t="n">
        <v>9.300000000000001</v>
      </c>
      <c r="E23" s="16" t="n">
        <v>208</v>
      </c>
      <c r="F23" s="17" t="n"/>
      <c r="H23" s="5" t="inlineStr">
        <is>
          <t>Voreinstellung (LSA-Beispielauswertung): 81 / 52 / 104,5 / 98. Konvention, keine physiologische Größe.</t>
        </is>
      </c>
    </row>
    <row r="24">
      <c r="A24" s="14" t="n">
        <v>8</v>
      </c>
      <c r="B24" s="8" t="n"/>
      <c r="C24" s="15" t="n"/>
      <c r="D24" s="15" t="n"/>
      <c r="E24" s="16" t="n"/>
      <c r="F24" s="17" t="n"/>
    </row>
    <row r="25">
      <c r="A25" s="14" t="n">
        <v>9</v>
      </c>
      <c r="B25" s="8" t="n"/>
      <c r="C25" s="15" t="n"/>
      <c r="D25" s="15" t="n"/>
      <c r="E25" s="16" t="n"/>
      <c r="F25" s="17" t="n"/>
      <c r="H25" s="6" t="inlineStr">
        <is>
          <t>Bereichsgrenzen manuell (leer = Regel)</t>
        </is>
      </c>
    </row>
    <row r="26">
      <c r="A26" s="14" t="n">
        <v>10</v>
      </c>
      <c r="B26" s="8" t="n"/>
      <c r="C26" s="15" t="n"/>
      <c r="D26" s="15" t="n"/>
      <c r="E26" s="16" t="n"/>
      <c r="F26" s="17" t="n"/>
      <c r="H26" s="7">
        <f>"A0|A1 ["&amp;k_unit&amp;"]"</f>
        <v/>
      </c>
      <c r="I26" s="8" t="n"/>
    </row>
    <row r="27">
      <c r="A27" s="14" t="n">
        <v>11</v>
      </c>
      <c r="B27" s="8" t="n"/>
      <c r="C27" s="15" t="n"/>
      <c r="D27" s="15" t="n"/>
      <c r="E27" s="16" t="n"/>
      <c r="F27" s="17" t="n"/>
      <c r="H27" s="7">
        <f>"A1|A2 (sonst = LT1) ["&amp;k_unit&amp;"]"</f>
        <v/>
      </c>
      <c r="I27" s="8" t="n"/>
    </row>
    <row r="28">
      <c r="A28" s="14" t="n">
        <v>12</v>
      </c>
      <c r="B28" s="8" t="n"/>
      <c r="C28" s="15" t="n"/>
      <c r="D28" s="15" t="n"/>
      <c r="E28" s="16" t="n"/>
      <c r="F28" s="17" t="n"/>
      <c r="H28" s="7">
        <f>"A2|A3 ["&amp;k_unit&amp;"]"</f>
        <v/>
      </c>
      <c r="I28" s="8" t="n"/>
    </row>
    <row r="29">
      <c r="A29" s="14" t="n">
        <v>13</v>
      </c>
      <c r="B29" s="8" t="n"/>
      <c r="C29" s="15" t="n"/>
      <c r="D29" s="15" t="n"/>
      <c r="E29" s="16" t="n"/>
      <c r="F29" s="17" t="n"/>
      <c r="H29" s="7">
        <f>"A3|A4 ["&amp;k_unit&amp;"]"</f>
        <v/>
      </c>
      <c r="I29" s="8" t="n"/>
    </row>
    <row r="30">
      <c r="A30" s="14" t="n">
        <v>14</v>
      </c>
      <c r="B30" s="8" t="n"/>
      <c r="C30" s="15" t="n"/>
      <c r="D30" s="15" t="n"/>
      <c r="E30" s="16" t="n"/>
      <c r="F30" s="17" t="n"/>
      <c r="H30" s="7">
        <f>"A4 Ende ["&amp;k_unit&amp;"]"</f>
        <v/>
      </c>
      <c r="I30" s="8" t="n"/>
    </row>
    <row r="31">
      <c r="A31" s="14" t="n">
        <v>15</v>
      </c>
      <c r="B31" s="8" t="n"/>
      <c r="C31" s="15" t="n"/>
      <c r="D31" s="15" t="n"/>
      <c r="E31" s="16" t="n"/>
      <c r="F31" s="17" t="n"/>
    </row>
    <row r="32">
      <c r="A32" s="14" t="n">
        <v>16</v>
      </c>
      <c r="B32" s="8" t="n"/>
      <c r="C32" s="15" t="n"/>
      <c r="D32" s="15" t="n"/>
      <c r="E32" s="16" t="n"/>
      <c r="F32" s="17" t="n"/>
      <c r="H32" s="5" t="inlineStr">
        <is>
          <t>Beispieldaten: Blatt „Beispiele“. Zum Speichern eines Tests die Datei unter neuem Namen sichern.</t>
        </is>
      </c>
    </row>
    <row r="33">
      <c r="A33" s="14" t="n">
        <v>17</v>
      </c>
      <c r="B33" s="8" t="n"/>
      <c r="C33" s="15" t="n"/>
      <c r="D33" s="15" t="n"/>
      <c r="E33" s="16" t="n"/>
      <c r="F33" s="17" t="n"/>
    </row>
    <row r="34">
      <c r="A34" s="14" t="n">
        <v>18</v>
      </c>
      <c r="B34" s="8" t="n"/>
      <c r="C34" s="15" t="n"/>
      <c r="D34" s="15" t="n"/>
      <c r="E34" s="16" t="n"/>
      <c r="F34" s="17" t="n"/>
    </row>
    <row r="35">
      <c r="A35" s="14" t="n">
        <v>19</v>
      </c>
      <c r="B35" s="8" t="n"/>
      <c r="C35" s="15" t="n"/>
      <c r="D35" s="15" t="n"/>
      <c r="E35" s="16" t="n"/>
      <c r="F35" s="17" t="n"/>
    </row>
    <row r="36">
      <c r="A36" s="14" t="n">
        <v>20</v>
      </c>
      <c r="B36" s="8" t="n"/>
      <c r="C36" s="15" t="n"/>
      <c r="D36" s="15" t="n"/>
      <c r="E36" s="16" t="n"/>
      <c r="F36" s="17" t="n"/>
    </row>
    <row r="38">
      <c r="A38" s="5" t="inlineStr">
        <is>
          <t>Zeit als Text eingeben (z. B. 03:00). Glukose wird nur ausgewertet, wenn rechts „Glukose je Stufe erfassen = Ja“.</t>
        </is>
      </c>
    </row>
  </sheetData>
  <mergeCells count="3">
    <mergeCell ref="B12:E12"/>
    <mergeCell ref="B11:E11"/>
    <mergeCell ref="B13:E13"/>
  </mergeCells>
  <dataValidations count="12">
    <dataValidation sqref="B9" showDropDown="0" showInputMessage="0" showErrorMessage="0" allowBlank="0" errorTitle="Ungültige Auswahl" error="Bitte einen Wert aus der Liste wählen." type="list">
      <formula1>Listen!$H$2:$H$3</formula1>
    </dataValidation>
    <dataValidation sqref="E6" showDropDown="0" showInputMessage="0" showErrorMessage="0" allowBlank="0" errorTitle="Ungültige Auswahl" error="Bitte einen Wert aus der Liste wählen." type="list">
      <formula1>Listen!$I$2:$I$4</formula1>
    </dataValidation>
    <dataValidation sqref="E7" showDropDown="0" showInputMessage="0" showErrorMessage="0" allowBlank="0" errorTitle="Ungültige Auswahl" error="Bitte einen Wert aus der Liste wählen." type="list">
      <formula1>Listen!$J$2:$J$4</formula1>
    </dataValidation>
    <dataValidation sqref="I4" showDropDown="0" showInputMessage="0" showErrorMessage="0" allowBlank="0" errorTitle="Ungültige Auswahl" error="Bitte einen Wert aus der Liste wählen." type="list">
      <formula1>Listen!$F$2:$F$5</formula1>
    </dataValidation>
    <dataValidation sqref="I5" showDropDown="0" showInputMessage="0" showErrorMessage="0" allowBlank="0" errorTitle="Ungültige Auswahl" error="Bitte einen Wert aus der Liste wählen." type="list">
      <formula1>Listen!$B$2:$B$22</formula1>
    </dataValidation>
    <dataValidation sqref="I6" showDropDown="0" showInputMessage="0" showErrorMessage="0" allowBlank="0" errorTitle="Ungültige Auswahl" error="Bitte einen Wert aus der Liste wählen." type="list">
      <formula1>Listen!$B$2:$B$22</formula1>
    </dataValidation>
    <dataValidation sqref="I8" showDropDown="0" showInputMessage="0" showErrorMessage="0" allowBlank="0" errorTitle="Ungültige Auswahl" error="Bitte einen Wert aus der Liste wählen." type="list">
      <formula1>Listen!$K$2:$K$3</formula1>
    </dataValidation>
    <dataValidation sqref="I9" showDropDown="0" showInputMessage="0" showErrorMessage="0" allowBlank="0" errorTitle="Ungültige Auswahl" error="Bitte einen Wert aus der Liste wählen." type="list">
      <formula1>Listen!$L$2:$L$3</formula1>
    </dataValidation>
    <dataValidation sqref="I10" showDropDown="0" showInputMessage="0" showErrorMessage="0" allowBlank="0" errorTitle="Ungültige Auswahl" error="Bitte einen Wert aus der Liste wählen." type="list">
      <formula1>Listen!$M$2:$M$3</formula1>
    </dataValidation>
    <dataValidation sqref="I11" showDropDown="0" showInputMessage="0" showErrorMessage="0" allowBlank="0" errorTitle="Ungültige Auswahl" error="Bitte einen Wert aus der Liste wählen." type="list">
      <formula1>Listen!$N$2:$N$3</formula1>
    </dataValidation>
    <dataValidation sqref="I12" showDropDown="0" showInputMessage="0" showErrorMessage="0" allowBlank="0" errorTitle="Ungültige Auswahl" error="Bitte einen Wert aus der Liste wählen." type="list">
      <formula1>Listen!$O$2:$O$3</formula1>
    </dataValidation>
    <dataValidation sqref="I7" showDropDown="0" showInputMessage="0" showErrorMessage="0" allowBlank="0" error="Wert zwischen 40 und 95 %." type="decimal" operator="between">
      <formula1>40</formula1>
      <formula2>95</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77"/>
  <sheetViews>
    <sheetView showGridLines="0" workbookViewId="0">
      <pane ySplit="3" topLeftCell="A4" activePane="bottomLeft" state="frozen"/>
      <selection pane="bottomLeft" activeCell="A1" sqref="A1"/>
    </sheetView>
  </sheetViews>
  <sheetFormatPr baseColWidth="8" defaultRowHeight="15"/>
  <cols>
    <col width="34" customWidth="1" min="1" max="1"/>
    <col width="23" customWidth="1" min="2" max="2"/>
    <col width="23" customWidth="1" min="3" max="3"/>
    <col width="15" customWidth="1" min="4" max="4"/>
    <col width="15" customWidth="1" min="5" max="5"/>
    <col width="11" customWidth="1" min="6" max="6"/>
    <col width="11" customWidth="1" min="7" max="7"/>
    <col width="11" customWidth="1" min="8" max="8"/>
    <col width="12" customWidth="1" min="9" max="9"/>
  </cols>
  <sheetData>
    <row r="1">
      <c r="A1" s="4">
        <f>IF(Eingabe!$B$4&lt;&gt;"",Eingabe!$B$4&amp;IF(ISNUMBER(Eingabe!$B$6)," · Test vom "&amp;TEXT(Eingabe!$B$6,"DD.MM.YYYY"),""),"Laktatdiagnostik – Auswertung")</f>
        <v/>
      </c>
    </row>
    <row r="2">
      <c r="A2" s="5" t="inlineStr">
        <is>
          <t>Stufentest-Auswertung mit LT1/LT2, Modellvergleich und Trainingsbereichen. Alle Werte berechnen sich aus dem Blatt „Eingabe“.</t>
        </is>
      </c>
    </row>
    <row r="3">
      <c r="A3" s="18">
        <f>IF(k_ok,"",k_err)</f>
        <v/>
      </c>
    </row>
    <row r="5">
      <c r="A5" s="6" t="inlineStr">
        <is>
          <t>Schwellen</t>
        </is>
      </c>
    </row>
    <row r="6">
      <c r="A6" s="19" t="inlineStr"/>
      <c r="B6" s="20" t="inlineStr">
        <is>
          <t>LT1</t>
        </is>
      </c>
      <c r="C6" s="21" t="inlineStr">
        <is>
          <t>LT2</t>
        </is>
      </c>
      <c r="D6" s="22" t="inlineStr">
        <is>
          <t>Maximum</t>
        </is>
      </c>
    </row>
    <row r="7">
      <c r="A7" s="23" t="inlineStr">
        <is>
          <t>Verfahren</t>
        </is>
      </c>
      <c r="B7" s="24">
        <f>IF(k_ok,Eingabe!$I$5&amp;IF(k_man1," (manuell)",""),"–")</f>
        <v/>
      </c>
      <c r="C7" s="24">
        <f>IF(k_ok,Eingabe!$I$6&amp;IF(k_man2," (manuell)",""),"–")</f>
        <v/>
      </c>
      <c r="D7" s="24">
        <f>"letzte Stufe"</f>
        <v/>
      </c>
    </row>
    <row r="8">
      <c r="A8" s="23">
        <f>"Belastung ["&amp;k_unit&amp;"]"</f>
        <v/>
      </c>
      <c r="B8" s="25">
        <f>IF(ISNUMBER(k_x1),ROUND(k_x1,k_xd),"–")</f>
        <v/>
      </c>
      <c r="C8" s="26">
        <f>IF(ISNUMBER(k_x2),ROUND(k_x2,k_xd),"–")</f>
        <v/>
      </c>
      <c r="D8" s="27">
        <f>IF(k_ok,ROUND(k_hi,k_xd),"–")</f>
        <v/>
      </c>
    </row>
    <row r="9">
      <c r="A9" s="23" t="inlineStr">
        <is>
          <t>Pace [min/km]</t>
        </is>
      </c>
      <c r="B9" s="24">
        <f>IF(k_run,IF(N(k_x1)&gt;0,INT(ROUND(3600/(k_x1),0)/60)&amp;":"&amp;TEXT(MOD(ROUND(3600/(k_x1),0),60),"00"),"–"),"–")</f>
        <v/>
      </c>
      <c r="C9" s="24">
        <f>IF(k_run,IF(N(k_x2)&gt;0,INT(ROUND(3600/(k_x2),0)/60)&amp;":"&amp;TEXT(MOD(ROUND(3600/(k_x2),0),60),"00"),"–"),"–")</f>
        <v/>
      </c>
      <c r="D9" s="24">
        <f>IF(AND(k_ok,k_run),IF(N(k_hi)&gt;0,INT(ROUND(3600/(k_hi),0)/60)&amp;":"&amp;TEXT(MOD(ROUND(3600/(k_hi),0),60),"00"),"–"),"–")</f>
        <v/>
      </c>
    </row>
    <row r="10">
      <c r="A10" s="23" t="inlineStr">
        <is>
          <t>Geschwindigkeit [m/s]</t>
        </is>
      </c>
      <c r="B10" s="24">
        <f>IF(AND(k_run,ISNUMBER(k_x1)),ROUND(k_x1/3.6,2),"–")</f>
        <v/>
      </c>
      <c r="C10" s="24">
        <f>IF(AND(k_run,ISNUMBER(k_x2)),ROUND(k_x2/3.6,2),"–")</f>
        <v/>
      </c>
      <c r="D10" s="24">
        <f>IF(AND(k_ok,k_run),ROUND(k_hi/3.6,2),"–")</f>
        <v/>
      </c>
    </row>
    <row r="11">
      <c r="A11" s="23" t="inlineStr">
        <is>
          <t>Laktat [mmol/L]</t>
        </is>
      </c>
      <c r="B11" s="24">
        <f>IF(ISNUMBER(k_la1),ROUND(k_la1,2),"–")</f>
        <v/>
      </c>
      <c r="C11" s="24">
        <f>IF(ISNUMBER(k_la2),ROUND(k_la2,2),"–")</f>
        <v/>
      </c>
      <c r="D11" s="24">
        <f>IF(k_ok,k_lamax,"–")</f>
        <v/>
      </c>
    </row>
    <row r="12">
      <c r="A12" s="23" t="inlineStr">
        <is>
          <t>Herzfrequenz [1/min]</t>
        </is>
      </c>
      <c r="B12" s="24">
        <f>IF(ISNUMBER(k_hr1),ROUND(k_hr1,0),"–")</f>
        <v/>
      </c>
      <c r="C12" s="24">
        <f>IF(ISNUMBER(k_hr2),ROUND(k_hr2,0),"–")</f>
        <v/>
      </c>
      <c r="D12" s="24">
        <f>IF(ISNUMBER(k_hrmax),k_hrmax,"–")</f>
        <v/>
      </c>
    </row>
    <row r="13">
      <c r="A13" s="23" t="inlineStr">
        <is>
          <t>% HFmax</t>
        </is>
      </c>
      <c r="B13" s="24">
        <f>IF(AND(ISNUMBER(k_hr1),ISNUMBER(k_hrmax)),ROUND(k_hr1/k_hrmax*100,1),"–")</f>
        <v/>
      </c>
      <c r="C13" s="24">
        <f>IF(AND(ISNUMBER(k_hr2),ISNUMBER(k_hrmax)),ROUND(k_hr2/k_hrmax*100,1),"–")</f>
        <v/>
      </c>
      <c r="D13" s="24">
        <f>IF(ISNUMBER(k_hrmax),100,"–")</f>
        <v/>
      </c>
    </row>
    <row r="14">
      <c r="A14" s="23" t="inlineStr">
        <is>
          <t>Anteil vmax [%]</t>
        </is>
      </c>
      <c r="B14" s="24">
        <f>IF(ISNUMBER(k_x1),ROUND(k_x1/k_hi*100,1),"–")</f>
        <v/>
      </c>
      <c r="C14" s="24">
        <f>IF(ISNUMBER(k_x2),ROUND(k_x2/k_hi*100,1),"–")</f>
        <v/>
      </c>
      <c r="D14" s="24">
        <f>IF(k_ok,100,"–")</f>
        <v/>
      </c>
    </row>
    <row r="15">
      <c r="A15" s="23" t="inlineStr">
        <is>
          <t>Ruhelaktat [mmol/L]</t>
        </is>
      </c>
      <c r="B15" s="24">
        <f>"–"</f>
        <v/>
      </c>
      <c r="C15" s="24">
        <f>"–"</f>
        <v/>
      </c>
      <c r="D15" s="24">
        <f>IF(ISNUMBER(k_rest),k_rest,"–")</f>
        <v/>
      </c>
    </row>
    <row r="16">
      <c r="A16" s="23">
        <f>"LT2 − LT1 ["&amp;k_unit&amp;"]"</f>
        <v/>
      </c>
      <c r="B16" s="24">
        <f>"–"</f>
        <v/>
      </c>
      <c r="C16" s="24">
        <f>"–"</f>
        <v/>
      </c>
      <c r="D16" s="24">
        <f>IF(AND(ISNUMBER(k_x1),ISNUMBER(k_x2)),ROUND(k_x2-k_x1,k_xd),"–")</f>
        <v/>
      </c>
    </row>
    <row r="17">
      <c r="A17" s="23" t="inlineStr">
        <is>
          <t>Algorithmus (vor manueller Korrektur)</t>
        </is>
      </c>
      <c r="B17" s="24">
        <f>IF(ISNUMBER(k_a1x),ROUND(k_a1x,k_xd),"–")</f>
        <v/>
      </c>
      <c r="C17" s="24">
        <f>IF(ISNUMBER(k_a2x),ROUND(k_a2x,k_xd),"–")</f>
        <v/>
      </c>
      <c r="D17" s="24">
        <f>""</f>
        <v/>
      </c>
    </row>
    <row r="18">
      <c r="A18" s="5" t="inlineStr">
        <is>
          <t>Manuelle Korrektur von LT1/LT2 und Bereichsgrenzen im Blatt „Eingabe“ (Spalte I).</t>
        </is>
      </c>
    </row>
    <row r="20">
      <c r="A20" s="6" t="inlineStr">
        <is>
          <t>Hinweise zur Auswertung</t>
        </is>
      </c>
    </row>
    <row r="21">
      <c r="A21" s="28">
        <f>IFERROR(INDEX(Calc!$B$190:$B$204,MATCH(1,Calc!$C$190:$C$204,0)),"")</f>
        <v/>
      </c>
    </row>
    <row r="22">
      <c r="A22" s="28">
        <f>IFERROR(INDEX(Calc!$B$190:$B$204,MATCH(2,Calc!$C$190:$C$204,0)),"")</f>
        <v/>
      </c>
    </row>
    <row r="23">
      <c r="A23" s="28">
        <f>IFERROR(INDEX(Calc!$B$190:$B$204,MATCH(3,Calc!$C$190:$C$204,0)),"")</f>
        <v/>
      </c>
    </row>
    <row r="24">
      <c r="A24" s="28">
        <f>IFERROR(INDEX(Calc!$B$190:$B$204,MATCH(4,Calc!$C$190:$C$204,0)),"")</f>
        <v/>
      </c>
    </row>
    <row r="25">
      <c r="A25" s="28">
        <f>IFERROR(INDEX(Calc!$B$190:$B$204,MATCH(5,Calc!$C$190:$C$204,0)),"")</f>
        <v/>
      </c>
    </row>
    <row r="26">
      <c r="A26" s="28">
        <f>IFERROR(INDEX(Calc!$B$190:$B$204,MATCH(6,Calc!$C$190:$C$204,0)),"")</f>
        <v/>
      </c>
    </row>
    <row r="27">
      <c r="A27" s="28">
        <f>IFERROR(INDEX(Calc!$B$190:$B$204,MATCH(7,Calc!$C$190:$C$204,0)),"")</f>
        <v/>
      </c>
    </row>
    <row r="28">
      <c r="A28" s="28">
        <f>IFERROR(INDEX(Calc!$B$190:$B$204,MATCH(8,Calc!$C$190:$C$204,0)),"")</f>
        <v/>
      </c>
    </row>
    <row r="29">
      <c r="A29" s="28">
        <f>IFERROR(INDEX(Calc!$B$190:$B$204,MATCH(9,Calc!$C$190:$C$204,0)),"")</f>
        <v/>
      </c>
    </row>
    <row r="30">
      <c r="A30" s="28">
        <f>IFERROR(INDEX(Calc!$B$190:$B$204,MATCH(10,Calc!$C$190:$C$204,0)),"")</f>
        <v/>
      </c>
    </row>
    <row r="31">
      <c r="A31" s="28">
        <f>IFERROR(INDEX(Calc!$B$190:$B$204,MATCH(11,Calc!$C$190:$C$204,0)),"")</f>
        <v/>
      </c>
    </row>
    <row r="32">
      <c r="A32" s="28">
        <f>IFERROR(INDEX(Calc!$B$190:$B$204,MATCH(12,Calc!$C$190:$C$204,0)),"")</f>
        <v/>
      </c>
    </row>
    <row r="33">
      <c r="A33" s="28">
        <f>IFERROR(INDEX(Calc!$B$190:$B$204,MATCH(13,Calc!$C$190:$C$204,0)),"")</f>
        <v/>
      </c>
    </row>
    <row r="34">
      <c r="A34" s="28">
        <f>IFERROR(INDEX(Calc!$B$190:$B$204,MATCH(14,Calc!$C$190:$C$204,0)),"")</f>
        <v/>
      </c>
    </row>
    <row r="35">
      <c r="A35" s="28">
        <f>IFERROR(INDEX(Calc!$B$190:$B$204,MATCH(15,Calc!$C$190:$C$204,0)),"")</f>
        <v/>
      </c>
    </row>
    <row r="37">
      <c r="A37" s="6" t="inlineStr">
        <is>
          <t>Trainingsbereiche</t>
        </is>
      </c>
    </row>
    <row r="38">
      <c r="A38" s="29" t="inlineStr">
        <is>
          <t>Trainingsbereich</t>
        </is>
      </c>
      <c r="B38" s="30" t="inlineStr">
        <is>
          <t>HF von</t>
        </is>
      </c>
      <c r="C38" s="30" t="inlineStr">
        <is>
          <t>HF bis</t>
        </is>
      </c>
      <c r="D38" s="30">
        <f>"Belastung von ["&amp;k_unit&amp;"]"</f>
        <v/>
      </c>
      <c r="E38" s="30">
        <f>"Belastung bis ["&amp;k_unit&amp;"]"</f>
        <v/>
      </c>
      <c r="F38" s="30" t="inlineStr">
        <is>
          <t>Pace von</t>
        </is>
      </c>
      <c r="G38" s="30" t="inlineStr">
        <is>
          <t>Pace bis</t>
        </is>
      </c>
      <c r="H38" s="30" t="inlineStr">
        <is>
          <t>Laktat bis</t>
        </is>
      </c>
      <c r="I38" s="30" t="inlineStr">
        <is>
          <t>manuell</t>
        </is>
      </c>
    </row>
    <row r="39">
      <c r="A39" s="31" t="inlineStr">
        <is>
          <t>A0 · Regeneration/Kompensation</t>
        </is>
      </c>
      <c r="B39" s="32">
        <f>""</f>
        <v/>
      </c>
      <c r="C39" s="32">
        <f>IF(k_zok,IFERROR(ROUND(IF(k_hrok,k_h0+k_h1*(k_z0)+k_h2*(k_z0)^2,""),0),"–"),"–")</f>
        <v/>
      </c>
      <c r="D39" s="33">
        <f>""</f>
        <v/>
      </c>
      <c r="E39" s="33">
        <f>IF(k_zok,ROUND(k_z0,k_xd),"–")</f>
        <v/>
      </c>
      <c r="F39" s="33">
        <f>""</f>
        <v/>
      </c>
      <c r="G39" s="33">
        <f>IF(AND(k_zok,k_run),IF(N(k_z0)&gt;0,INT(ROUND(3600/(k_z0),0)/60)&amp;":"&amp;TEXT(MOD(ROUND(3600/(k_z0),0),60),"00"),"–"),"")</f>
        <v/>
      </c>
      <c r="H39" s="33">
        <f>IF(k_zok,ROUND(IF(k_mexp,k_ea+k_eb*EXP(k_ec*((MIN(k_z0,k_hi))-k_mx)/k_sx),k_s0+((MIN(k_z0,k_hi))-k_mx)/k_sx*(k_s1+((MIN(k_z0,k_hi))-k_mx)/k_sx*(k_s2+((MIN(k_z0,k_hi))-k_mx)/k_sx*(k_s3+((MIN(k_z0,k_hi))-k_mx)/k_sx*k_s4)))),2),"–")</f>
        <v/>
      </c>
      <c r="I39" s="33">
        <f>IF(k_zm0,"• manuell",IF(0=1,"folgt LT1",""))</f>
        <v/>
      </c>
    </row>
    <row r="40">
      <c r="A40" s="34" t="inlineStr">
        <is>
          <t>A1 · Extensives Ausdauertraining 1</t>
        </is>
      </c>
      <c r="B40" s="35">
        <f>IF(AND(k_zok,1&gt;0),IFERROR(ROUND(IF(k_hrok,k_h0+k_h1*(k_z0)+k_h2*(k_z0)^2,""),0),"–"),"")</f>
        <v/>
      </c>
      <c r="C40" s="35">
        <f>IF(k_zok,IFERROR(ROUND(IF(k_hrok,k_h0+k_h1*(k_z1)+k_h2*(k_z1)^2,""),0),"–"),"–")</f>
        <v/>
      </c>
      <c r="D40" s="36">
        <f>IF(AND(k_zok,1&gt;0),ROUND(k_z0,k_xd),"")</f>
        <v/>
      </c>
      <c r="E40" s="36">
        <f>IF(k_zok,ROUND(k_z1,k_xd),"–")</f>
        <v/>
      </c>
      <c r="F40" s="36">
        <f>IF(AND(k_zok,k_run),IF(N(k_z0)&gt;0,INT(ROUND(3600/(k_z0),0)/60)&amp;":"&amp;TEXT(MOD(ROUND(3600/(k_z0),0),60),"00"),"–"),"")</f>
        <v/>
      </c>
      <c r="G40" s="36">
        <f>IF(AND(k_zok,k_run),IF(N(k_z1)&gt;0,INT(ROUND(3600/(k_z1),0)/60)&amp;":"&amp;TEXT(MOD(ROUND(3600/(k_z1),0),60),"00"),"–"),"")</f>
        <v/>
      </c>
      <c r="H40" s="36">
        <f>IF(k_zok,ROUND(IF(k_mexp,k_ea+k_eb*EXP(k_ec*((MIN(k_z1,k_hi))-k_mx)/k_sx),k_s0+((MIN(k_z1,k_hi))-k_mx)/k_sx*(k_s1+((MIN(k_z1,k_hi))-k_mx)/k_sx*(k_s2+((MIN(k_z1,k_hi))-k_mx)/k_sx*(k_s3+((MIN(k_z1,k_hi))-k_mx)/k_sx*k_s4)))),2),"–")</f>
        <v/>
      </c>
      <c r="I40" s="36">
        <f>IF(k_zm1,"• manuell",IF(1=1,"folgt LT1",""))</f>
        <v/>
      </c>
    </row>
    <row r="41">
      <c r="A41" s="37" t="inlineStr">
        <is>
          <t>A2 · Extensives Ausdauertraining 2</t>
        </is>
      </c>
      <c r="B41" s="38">
        <f>IF(AND(k_zok,2&gt;0),IFERROR(ROUND(IF(k_hrok,k_h0+k_h1*(k_z1)+k_h2*(k_z1)^2,""),0),"–"),"")</f>
        <v/>
      </c>
      <c r="C41" s="38">
        <f>IF(k_zok,IFERROR(ROUND(IF(k_hrok,k_h0+k_h1*(k_z2)+k_h2*(k_z2)^2,""),0),"–"),"–")</f>
        <v/>
      </c>
      <c r="D41" s="39">
        <f>IF(AND(k_zok,2&gt;0),ROUND(k_z1,k_xd),"")</f>
        <v/>
      </c>
      <c r="E41" s="39">
        <f>IF(k_zok,ROUND(k_z2,k_xd),"–")</f>
        <v/>
      </c>
      <c r="F41" s="39">
        <f>IF(AND(k_zok,k_run),IF(N(k_z1)&gt;0,INT(ROUND(3600/(k_z1),0)/60)&amp;":"&amp;TEXT(MOD(ROUND(3600/(k_z1),0),60),"00"),"–"),"")</f>
        <v/>
      </c>
      <c r="G41" s="39">
        <f>IF(AND(k_zok,k_run),IF(N(k_z2)&gt;0,INT(ROUND(3600/(k_z2),0)/60)&amp;":"&amp;TEXT(MOD(ROUND(3600/(k_z2),0),60),"00"),"–"),"")</f>
        <v/>
      </c>
      <c r="H41" s="39">
        <f>IF(k_zok,ROUND(IF(k_mexp,k_ea+k_eb*EXP(k_ec*((MIN(k_z2,k_hi))-k_mx)/k_sx),k_s0+((MIN(k_z2,k_hi))-k_mx)/k_sx*(k_s1+((MIN(k_z2,k_hi))-k_mx)/k_sx*(k_s2+((MIN(k_z2,k_hi))-k_mx)/k_sx*(k_s3+((MIN(k_z2,k_hi))-k_mx)/k_sx*k_s4)))),2),"–")</f>
        <v/>
      </c>
      <c r="I41" s="39">
        <f>IF(k_zm2,"• manuell",IF(2=1,"folgt LT1",""))</f>
        <v/>
      </c>
    </row>
    <row r="42">
      <c r="A42" s="40" t="inlineStr">
        <is>
          <t>A3 · Intensives Ausdauertraining</t>
        </is>
      </c>
      <c r="B42" s="41">
        <f>IF(AND(k_zok,3&gt;0),IFERROR(ROUND(IF(k_hrok,k_h0+k_h1*(k_z2)+k_h2*(k_z2)^2,""),0),"–"),"")</f>
        <v/>
      </c>
      <c r="C42" s="41">
        <f>IF(k_zok,IFERROR(ROUND(IF(k_hrok,k_h0+k_h1*(k_z3)+k_h2*(k_z3)^2,""),0),"–"),"–")</f>
        <v/>
      </c>
      <c r="D42" s="42">
        <f>IF(AND(k_zok,3&gt;0),ROUND(k_z2,k_xd),"")</f>
        <v/>
      </c>
      <c r="E42" s="42">
        <f>IF(k_zok,ROUND(k_z3,k_xd),"–")</f>
        <v/>
      </c>
      <c r="F42" s="42">
        <f>IF(AND(k_zok,k_run),IF(N(k_z2)&gt;0,INT(ROUND(3600/(k_z2),0)/60)&amp;":"&amp;TEXT(MOD(ROUND(3600/(k_z2),0),60),"00"),"–"),"")</f>
        <v/>
      </c>
      <c r="G42" s="42">
        <f>IF(AND(k_zok,k_run),IF(N(k_z3)&gt;0,INT(ROUND(3600/(k_z3),0)/60)&amp;":"&amp;TEXT(MOD(ROUND(3600/(k_z3),0),60),"00"),"–"),"")</f>
        <v/>
      </c>
      <c r="H42" s="42">
        <f>IF(k_zok,ROUND(IF(k_mexp,k_ea+k_eb*EXP(k_ec*((MIN(k_z3,k_hi))-k_mx)/k_sx),k_s0+((MIN(k_z3,k_hi))-k_mx)/k_sx*(k_s1+((MIN(k_z3,k_hi))-k_mx)/k_sx*(k_s2+((MIN(k_z3,k_hi))-k_mx)/k_sx*(k_s3+((MIN(k_z3,k_hi))-k_mx)/k_sx*k_s4)))),2),"–")</f>
        <v/>
      </c>
      <c r="I42" s="42">
        <f>IF(k_zm3,"• manuell",IF(3=1,"folgt LT1",""))</f>
        <v/>
      </c>
    </row>
    <row r="43">
      <c r="A43" s="43" t="inlineStr">
        <is>
          <t>A4 · Entwicklungsbereich</t>
        </is>
      </c>
      <c r="B43" s="44">
        <f>IF(AND(k_zok,4&gt;0),IFERROR(ROUND(IF(k_hrok,k_h0+k_h1*(k_z3)+k_h2*(k_z3)^2,""),0),"–"),"")</f>
        <v/>
      </c>
      <c r="C43" s="44">
        <f>IF(k_zok,IFERROR(ROUND(IF(k_hrok,k_h0+k_h1*(k_z4)+k_h2*(k_z4)^2,""),0),"–"),"–")</f>
        <v/>
      </c>
      <c r="D43" s="45">
        <f>IF(AND(k_zok,4&gt;0),ROUND(k_z3,k_xd),"")</f>
        <v/>
      </c>
      <c r="E43" s="45">
        <f>IF(k_zok,ROUND(k_z4,k_xd),"–")</f>
        <v/>
      </c>
      <c r="F43" s="45">
        <f>IF(AND(k_zok,k_run),IF(N(k_z3)&gt;0,INT(ROUND(3600/(k_z3),0)/60)&amp;":"&amp;TEXT(MOD(ROUND(3600/(k_z3),0),60),"00"),"–"),"")</f>
        <v/>
      </c>
      <c r="G43" s="45">
        <f>IF(AND(k_zok,k_run),IF(N(k_z4)&gt;0,INT(ROUND(3600/(k_z4),0)/60)&amp;":"&amp;TEXT(MOD(ROUND(3600/(k_z4),0),60),"00"),"–"),"")</f>
        <v/>
      </c>
      <c r="H43" s="45">
        <f>IF(k_zok,ROUND(IF(k_mexp,k_ea+k_eb*EXP(k_ec*((MIN(k_z4,k_hi))-k_mx)/k_sx),k_s0+((MIN(k_z4,k_hi))-k_mx)/k_sx*(k_s1+((MIN(k_z4,k_hi))-k_mx)/k_sx*(k_s2+((MIN(k_z4,k_hi))-k_mx)/k_sx*(k_s3+((MIN(k_z4,k_hi))-k_mx)/k_sx*k_s4)))),2),"–")</f>
        <v/>
      </c>
      <c r="I43" s="45">
        <f>IF(k_zm4,"• manuell",IF(4=1,"folgt LT1",""))</f>
        <v/>
      </c>
    </row>
    <row r="44">
      <c r="A44" s="5" t="inlineStr">
        <is>
          <t>Grenzen: A1 ab % LT1, A1|A2 = LT1, A2 bis % der Strecke LT1→LT2, A3 bis % LT2, A4 bis % vmax (Regeln im Blatt „Eingabe“). HF aus dem HF-Modell.</t>
        </is>
      </c>
    </row>
    <row r="46">
      <c r="A46" s="6" t="inlineStr">
        <is>
          <t>Tabellarische Aufstellung</t>
        </is>
      </c>
    </row>
    <row r="47">
      <c r="A47" s="46" t="inlineStr">
        <is>
          <t>Laktat [mmol/L]</t>
        </is>
      </c>
      <c r="B47" s="47">
        <f>"Belastung ["&amp;k_unit&amp;"]"</f>
        <v/>
      </c>
      <c r="C47" s="47" t="inlineStr">
        <is>
          <t>Pace [min/km]</t>
        </is>
      </c>
      <c r="D47" s="47" t="inlineStr">
        <is>
          <t>Belastung [m/s]</t>
        </is>
      </c>
      <c r="E47" s="47" t="inlineStr">
        <is>
          <t>HF [1/min]</t>
        </is>
      </c>
    </row>
    <row r="48">
      <c r="A48" s="48">
        <f>IFERROR(INDEX(Calc!$A$208:$A$247,MATCH(1,Calc!$F$208:$F$247,0)),"")</f>
        <v/>
      </c>
      <c r="B48" s="49">
        <f>IFERROR(ROUND(INDEX(Calc!$D$208:$D$247,MATCH(1,Calc!$F$208:$F$247,0)),k_xd),"")</f>
        <v/>
      </c>
      <c r="C48" s="49">
        <f>IF(AND(k_run,ISNUMBER(B48)),IF(N(INDEX(Calc!$D$208:$D$247,MATCH(1,Calc!$F$208:$F$247,0)))&gt;0,INT(ROUND(3600/(INDEX(Calc!$D$208:$D$247,MATCH(1,Calc!$F$208:$F$247,0))),0)/60)&amp;":"&amp;TEXT(MOD(ROUND(3600/(INDEX(Calc!$D$208:$D$247,MATCH(1,Calc!$F$208:$F$247,0))),0),60),"00"),"–"),"")</f>
        <v/>
      </c>
      <c r="D48" s="49">
        <f>IF(AND(k_run,ISNUMBER(B48)),ROUND(INDEX(Calc!$D$208:$D$247,MATCH(1,Calc!$F$208:$F$247,0))/3.6,2),"")</f>
        <v/>
      </c>
      <c r="E48" s="49">
        <f>IF(ISNUMBER(B48),IFERROR(ROUND(IF(k_hrok,k_h0+k_h1*(INDEX(Calc!$D$208:$D$247,MATCH(1,Calc!$F$208:$F$247,0)))+k_h2*(INDEX(Calc!$D$208:$D$247,MATCH(1,Calc!$F$208:$F$247,0)))^2,""),0),"–"),"")</f>
        <v/>
      </c>
    </row>
    <row r="49">
      <c r="A49" s="48">
        <f>IFERROR(INDEX(Calc!$A$208:$A$247,MATCH(2,Calc!$F$208:$F$247,0)),"")</f>
        <v/>
      </c>
      <c r="B49" s="49">
        <f>IFERROR(ROUND(INDEX(Calc!$D$208:$D$247,MATCH(2,Calc!$F$208:$F$247,0)),k_xd),"")</f>
        <v/>
      </c>
      <c r="C49" s="49">
        <f>IF(AND(k_run,ISNUMBER(B49)),IF(N(INDEX(Calc!$D$208:$D$247,MATCH(2,Calc!$F$208:$F$247,0)))&gt;0,INT(ROUND(3600/(INDEX(Calc!$D$208:$D$247,MATCH(2,Calc!$F$208:$F$247,0))),0)/60)&amp;":"&amp;TEXT(MOD(ROUND(3600/(INDEX(Calc!$D$208:$D$247,MATCH(2,Calc!$F$208:$F$247,0))),0),60),"00"),"–"),"")</f>
        <v/>
      </c>
      <c r="D49" s="49">
        <f>IF(AND(k_run,ISNUMBER(B49)),ROUND(INDEX(Calc!$D$208:$D$247,MATCH(2,Calc!$F$208:$F$247,0))/3.6,2),"")</f>
        <v/>
      </c>
      <c r="E49" s="49">
        <f>IF(ISNUMBER(B49),IFERROR(ROUND(IF(k_hrok,k_h0+k_h1*(INDEX(Calc!$D$208:$D$247,MATCH(2,Calc!$F$208:$F$247,0)))+k_h2*(INDEX(Calc!$D$208:$D$247,MATCH(2,Calc!$F$208:$F$247,0)))^2,""),0),"–"),"")</f>
        <v/>
      </c>
    </row>
    <row r="50">
      <c r="A50" s="48">
        <f>IFERROR(INDEX(Calc!$A$208:$A$247,MATCH(3,Calc!$F$208:$F$247,0)),"")</f>
        <v/>
      </c>
      <c r="B50" s="49">
        <f>IFERROR(ROUND(INDEX(Calc!$D$208:$D$247,MATCH(3,Calc!$F$208:$F$247,0)),k_xd),"")</f>
        <v/>
      </c>
      <c r="C50" s="49">
        <f>IF(AND(k_run,ISNUMBER(B50)),IF(N(INDEX(Calc!$D$208:$D$247,MATCH(3,Calc!$F$208:$F$247,0)))&gt;0,INT(ROUND(3600/(INDEX(Calc!$D$208:$D$247,MATCH(3,Calc!$F$208:$F$247,0))),0)/60)&amp;":"&amp;TEXT(MOD(ROUND(3600/(INDEX(Calc!$D$208:$D$247,MATCH(3,Calc!$F$208:$F$247,0))),0),60),"00"),"–"),"")</f>
        <v/>
      </c>
      <c r="D50" s="49">
        <f>IF(AND(k_run,ISNUMBER(B50)),ROUND(INDEX(Calc!$D$208:$D$247,MATCH(3,Calc!$F$208:$F$247,0))/3.6,2),"")</f>
        <v/>
      </c>
      <c r="E50" s="49">
        <f>IF(ISNUMBER(B50),IFERROR(ROUND(IF(k_hrok,k_h0+k_h1*(INDEX(Calc!$D$208:$D$247,MATCH(3,Calc!$F$208:$F$247,0)))+k_h2*(INDEX(Calc!$D$208:$D$247,MATCH(3,Calc!$F$208:$F$247,0)))^2,""),0),"–"),"")</f>
        <v/>
      </c>
    </row>
    <row r="51">
      <c r="A51" s="48">
        <f>IFERROR(INDEX(Calc!$A$208:$A$247,MATCH(4,Calc!$F$208:$F$247,0)),"")</f>
        <v/>
      </c>
      <c r="B51" s="49">
        <f>IFERROR(ROUND(INDEX(Calc!$D$208:$D$247,MATCH(4,Calc!$F$208:$F$247,0)),k_xd),"")</f>
        <v/>
      </c>
      <c r="C51" s="49">
        <f>IF(AND(k_run,ISNUMBER(B51)),IF(N(INDEX(Calc!$D$208:$D$247,MATCH(4,Calc!$F$208:$F$247,0)))&gt;0,INT(ROUND(3600/(INDEX(Calc!$D$208:$D$247,MATCH(4,Calc!$F$208:$F$247,0))),0)/60)&amp;":"&amp;TEXT(MOD(ROUND(3600/(INDEX(Calc!$D$208:$D$247,MATCH(4,Calc!$F$208:$F$247,0))),0),60),"00"),"–"),"")</f>
        <v/>
      </c>
      <c r="D51" s="49">
        <f>IF(AND(k_run,ISNUMBER(B51)),ROUND(INDEX(Calc!$D$208:$D$247,MATCH(4,Calc!$F$208:$F$247,0))/3.6,2),"")</f>
        <v/>
      </c>
      <c r="E51" s="49">
        <f>IF(ISNUMBER(B51),IFERROR(ROUND(IF(k_hrok,k_h0+k_h1*(INDEX(Calc!$D$208:$D$247,MATCH(4,Calc!$F$208:$F$247,0)))+k_h2*(INDEX(Calc!$D$208:$D$247,MATCH(4,Calc!$F$208:$F$247,0)))^2,""),0),"–"),"")</f>
        <v/>
      </c>
    </row>
    <row r="52">
      <c r="A52" s="48">
        <f>IFERROR(INDEX(Calc!$A$208:$A$247,MATCH(5,Calc!$F$208:$F$247,0)),"")</f>
        <v/>
      </c>
      <c r="B52" s="49">
        <f>IFERROR(ROUND(INDEX(Calc!$D$208:$D$247,MATCH(5,Calc!$F$208:$F$247,0)),k_xd),"")</f>
        <v/>
      </c>
      <c r="C52" s="49">
        <f>IF(AND(k_run,ISNUMBER(B52)),IF(N(INDEX(Calc!$D$208:$D$247,MATCH(5,Calc!$F$208:$F$247,0)))&gt;0,INT(ROUND(3600/(INDEX(Calc!$D$208:$D$247,MATCH(5,Calc!$F$208:$F$247,0))),0)/60)&amp;":"&amp;TEXT(MOD(ROUND(3600/(INDEX(Calc!$D$208:$D$247,MATCH(5,Calc!$F$208:$F$247,0))),0),60),"00"),"–"),"")</f>
        <v/>
      </c>
      <c r="D52" s="49">
        <f>IF(AND(k_run,ISNUMBER(B52)),ROUND(INDEX(Calc!$D$208:$D$247,MATCH(5,Calc!$F$208:$F$247,0))/3.6,2),"")</f>
        <v/>
      </c>
      <c r="E52" s="49">
        <f>IF(ISNUMBER(B52),IFERROR(ROUND(IF(k_hrok,k_h0+k_h1*(INDEX(Calc!$D$208:$D$247,MATCH(5,Calc!$F$208:$F$247,0)))+k_h2*(INDEX(Calc!$D$208:$D$247,MATCH(5,Calc!$F$208:$F$247,0)))^2,""),0),"–"),"")</f>
        <v/>
      </c>
    </row>
    <row r="53">
      <c r="A53" s="48">
        <f>IFERROR(INDEX(Calc!$A$208:$A$247,MATCH(6,Calc!$F$208:$F$247,0)),"")</f>
        <v/>
      </c>
      <c r="B53" s="49">
        <f>IFERROR(ROUND(INDEX(Calc!$D$208:$D$247,MATCH(6,Calc!$F$208:$F$247,0)),k_xd),"")</f>
        <v/>
      </c>
      <c r="C53" s="49">
        <f>IF(AND(k_run,ISNUMBER(B53)),IF(N(INDEX(Calc!$D$208:$D$247,MATCH(6,Calc!$F$208:$F$247,0)))&gt;0,INT(ROUND(3600/(INDEX(Calc!$D$208:$D$247,MATCH(6,Calc!$F$208:$F$247,0))),0)/60)&amp;":"&amp;TEXT(MOD(ROUND(3600/(INDEX(Calc!$D$208:$D$247,MATCH(6,Calc!$F$208:$F$247,0))),0),60),"00"),"–"),"")</f>
        <v/>
      </c>
      <c r="D53" s="49">
        <f>IF(AND(k_run,ISNUMBER(B53)),ROUND(INDEX(Calc!$D$208:$D$247,MATCH(6,Calc!$F$208:$F$247,0))/3.6,2),"")</f>
        <v/>
      </c>
      <c r="E53" s="49">
        <f>IF(ISNUMBER(B53),IFERROR(ROUND(IF(k_hrok,k_h0+k_h1*(INDEX(Calc!$D$208:$D$247,MATCH(6,Calc!$F$208:$F$247,0)))+k_h2*(INDEX(Calc!$D$208:$D$247,MATCH(6,Calc!$F$208:$F$247,0)))^2,""),0),"–"),"")</f>
        <v/>
      </c>
    </row>
    <row r="54">
      <c r="A54" s="48">
        <f>IFERROR(INDEX(Calc!$A$208:$A$247,MATCH(7,Calc!$F$208:$F$247,0)),"")</f>
        <v/>
      </c>
      <c r="B54" s="49">
        <f>IFERROR(ROUND(INDEX(Calc!$D$208:$D$247,MATCH(7,Calc!$F$208:$F$247,0)),k_xd),"")</f>
        <v/>
      </c>
      <c r="C54" s="49">
        <f>IF(AND(k_run,ISNUMBER(B54)),IF(N(INDEX(Calc!$D$208:$D$247,MATCH(7,Calc!$F$208:$F$247,0)))&gt;0,INT(ROUND(3600/(INDEX(Calc!$D$208:$D$247,MATCH(7,Calc!$F$208:$F$247,0))),0)/60)&amp;":"&amp;TEXT(MOD(ROUND(3600/(INDEX(Calc!$D$208:$D$247,MATCH(7,Calc!$F$208:$F$247,0))),0),60),"00"),"–"),"")</f>
        <v/>
      </c>
      <c r="D54" s="49">
        <f>IF(AND(k_run,ISNUMBER(B54)),ROUND(INDEX(Calc!$D$208:$D$247,MATCH(7,Calc!$F$208:$F$247,0))/3.6,2),"")</f>
        <v/>
      </c>
      <c r="E54" s="49">
        <f>IF(ISNUMBER(B54),IFERROR(ROUND(IF(k_hrok,k_h0+k_h1*(INDEX(Calc!$D$208:$D$247,MATCH(7,Calc!$F$208:$F$247,0)))+k_h2*(INDEX(Calc!$D$208:$D$247,MATCH(7,Calc!$F$208:$F$247,0)))^2,""),0),"–"),"")</f>
        <v/>
      </c>
    </row>
    <row r="55">
      <c r="A55" s="48">
        <f>IFERROR(INDEX(Calc!$A$208:$A$247,MATCH(8,Calc!$F$208:$F$247,0)),"")</f>
        <v/>
      </c>
      <c r="B55" s="49">
        <f>IFERROR(ROUND(INDEX(Calc!$D$208:$D$247,MATCH(8,Calc!$F$208:$F$247,0)),k_xd),"")</f>
        <v/>
      </c>
      <c r="C55" s="49">
        <f>IF(AND(k_run,ISNUMBER(B55)),IF(N(INDEX(Calc!$D$208:$D$247,MATCH(8,Calc!$F$208:$F$247,0)))&gt;0,INT(ROUND(3600/(INDEX(Calc!$D$208:$D$247,MATCH(8,Calc!$F$208:$F$247,0))),0)/60)&amp;":"&amp;TEXT(MOD(ROUND(3600/(INDEX(Calc!$D$208:$D$247,MATCH(8,Calc!$F$208:$F$247,0))),0),60),"00"),"–"),"")</f>
        <v/>
      </c>
      <c r="D55" s="49">
        <f>IF(AND(k_run,ISNUMBER(B55)),ROUND(INDEX(Calc!$D$208:$D$247,MATCH(8,Calc!$F$208:$F$247,0))/3.6,2),"")</f>
        <v/>
      </c>
      <c r="E55" s="49">
        <f>IF(ISNUMBER(B55),IFERROR(ROUND(IF(k_hrok,k_h0+k_h1*(INDEX(Calc!$D$208:$D$247,MATCH(8,Calc!$F$208:$F$247,0)))+k_h2*(INDEX(Calc!$D$208:$D$247,MATCH(8,Calc!$F$208:$F$247,0)))^2,""),0),"–"),"")</f>
        <v/>
      </c>
    </row>
    <row r="56">
      <c r="A56" s="48">
        <f>IFERROR(INDEX(Calc!$A$208:$A$247,MATCH(9,Calc!$F$208:$F$247,0)),"")</f>
        <v/>
      </c>
      <c r="B56" s="49">
        <f>IFERROR(ROUND(INDEX(Calc!$D$208:$D$247,MATCH(9,Calc!$F$208:$F$247,0)),k_xd),"")</f>
        <v/>
      </c>
      <c r="C56" s="49">
        <f>IF(AND(k_run,ISNUMBER(B56)),IF(N(INDEX(Calc!$D$208:$D$247,MATCH(9,Calc!$F$208:$F$247,0)))&gt;0,INT(ROUND(3600/(INDEX(Calc!$D$208:$D$247,MATCH(9,Calc!$F$208:$F$247,0))),0)/60)&amp;":"&amp;TEXT(MOD(ROUND(3600/(INDEX(Calc!$D$208:$D$247,MATCH(9,Calc!$F$208:$F$247,0))),0),60),"00"),"–"),"")</f>
        <v/>
      </c>
      <c r="D56" s="49">
        <f>IF(AND(k_run,ISNUMBER(B56)),ROUND(INDEX(Calc!$D$208:$D$247,MATCH(9,Calc!$F$208:$F$247,0))/3.6,2),"")</f>
        <v/>
      </c>
      <c r="E56" s="49">
        <f>IF(ISNUMBER(B56),IFERROR(ROUND(IF(k_hrok,k_h0+k_h1*(INDEX(Calc!$D$208:$D$247,MATCH(9,Calc!$F$208:$F$247,0)))+k_h2*(INDEX(Calc!$D$208:$D$247,MATCH(9,Calc!$F$208:$F$247,0)))^2,""),0),"–"),"")</f>
        <v/>
      </c>
    </row>
    <row r="57">
      <c r="A57" s="48">
        <f>IFERROR(INDEX(Calc!$A$208:$A$247,MATCH(10,Calc!$F$208:$F$247,0)),"")</f>
        <v/>
      </c>
      <c r="B57" s="49">
        <f>IFERROR(ROUND(INDEX(Calc!$D$208:$D$247,MATCH(10,Calc!$F$208:$F$247,0)),k_xd),"")</f>
        <v/>
      </c>
      <c r="C57" s="49">
        <f>IF(AND(k_run,ISNUMBER(B57)),IF(N(INDEX(Calc!$D$208:$D$247,MATCH(10,Calc!$F$208:$F$247,0)))&gt;0,INT(ROUND(3600/(INDEX(Calc!$D$208:$D$247,MATCH(10,Calc!$F$208:$F$247,0))),0)/60)&amp;":"&amp;TEXT(MOD(ROUND(3600/(INDEX(Calc!$D$208:$D$247,MATCH(10,Calc!$F$208:$F$247,0))),0),60),"00"),"–"),"")</f>
        <v/>
      </c>
      <c r="D57" s="49">
        <f>IF(AND(k_run,ISNUMBER(B57)),ROUND(INDEX(Calc!$D$208:$D$247,MATCH(10,Calc!$F$208:$F$247,0))/3.6,2),"")</f>
        <v/>
      </c>
      <c r="E57" s="49">
        <f>IF(ISNUMBER(B57),IFERROR(ROUND(IF(k_hrok,k_h0+k_h1*(INDEX(Calc!$D$208:$D$247,MATCH(10,Calc!$F$208:$F$247,0)))+k_h2*(INDEX(Calc!$D$208:$D$247,MATCH(10,Calc!$F$208:$F$247,0)))^2,""),0),"–"),"")</f>
        <v/>
      </c>
    </row>
    <row r="58">
      <c r="A58" s="48">
        <f>IFERROR(INDEX(Calc!$A$208:$A$247,MATCH(11,Calc!$F$208:$F$247,0)),"")</f>
        <v/>
      </c>
      <c r="B58" s="49">
        <f>IFERROR(ROUND(INDEX(Calc!$D$208:$D$247,MATCH(11,Calc!$F$208:$F$247,0)),k_xd),"")</f>
        <v/>
      </c>
      <c r="C58" s="49">
        <f>IF(AND(k_run,ISNUMBER(B58)),IF(N(INDEX(Calc!$D$208:$D$247,MATCH(11,Calc!$F$208:$F$247,0)))&gt;0,INT(ROUND(3600/(INDEX(Calc!$D$208:$D$247,MATCH(11,Calc!$F$208:$F$247,0))),0)/60)&amp;":"&amp;TEXT(MOD(ROUND(3600/(INDEX(Calc!$D$208:$D$247,MATCH(11,Calc!$F$208:$F$247,0))),0),60),"00"),"–"),"")</f>
        <v/>
      </c>
      <c r="D58" s="49">
        <f>IF(AND(k_run,ISNUMBER(B58)),ROUND(INDEX(Calc!$D$208:$D$247,MATCH(11,Calc!$F$208:$F$247,0))/3.6,2),"")</f>
        <v/>
      </c>
      <c r="E58" s="49">
        <f>IF(ISNUMBER(B58),IFERROR(ROUND(IF(k_hrok,k_h0+k_h1*(INDEX(Calc!$D$208:$D$247,MATCH(11,Calc!$F$208:$F$247,0)))+k_h2*(INDEX(Calc!$D$208:$D$247,MATCH(11,Calc!$F$208:$F$247,0)))^2,""),0),"–"),"")</f>
        <v/>
      </c>
    </row>
    <row r="59">
      <c r="A59" s="48">
        <f>IFERROR(INDEX(Calc!$A$208:$A$247,MATCH(12,Calc!$F$208:$F$247,0)),"")</f>
        <v/>
      </c>
      <c r="B59" s="49">
        <f>IFERROR(ROUND(INDEX(Calc!$D$208:$D$247,MATCH(12,Calc!$F$208:$F$247,0)),k_xd),"")</f>
        <v/>
      </c>
      <c r="C59" s="49">
        <f>IF(AND(k_run,ISNUMBER(B59)),IF(N(INDEX(Calc!$D$208:$D$247,MATCH(12,Calc!$F$208:$F$247,0)))&gt;0,INT(ROUND(3600/(INDEX(Calc!$D$208:$D$247,MATCH(12,Calc!$F$208:$F$247,0))),0)/60)&amp;":"&amp;TEXT(MOD(ROUND(3600/(INDEX(Calc!$D$208:$D$247,MATCH(12,Calc!$F$208:$F$247,0))),0),60),"00"),"–"),"")</f>
        <v/>
      </c>
      <c r="D59" s="49">
        <f>IF(AND(k_run,ISNUMBER(B59)),ROUND(INDEX(Calc!$D$208:$D$247,MATCH(12,Calc!$F$208:$F$247,0))/3.6,2),"")</f>
        <v/>
      </c>
      <c r="E59" s="49">
        <f>IF(ISNUMBER(B59),IFERROR(ROUND(IF(k_hrok,k_h0+k_h1*(INDEX(Calc!$D$208:$D$247,MATCH(12,Calc!$F$208:$F$247,0)))+k_h2*(INDEX(Calc!$D$208:$D$247,MATCH(12,Calc!$F$208:$F$247,0)))^2,""),0),"–"),"")</f>
        <v/>
      </c>
    </row>
    <row r="60">
      <c r="A60" s="48">
        <f>IFERROR(INDEX(Calc!$A$208:$A$247,MATCH(13,Calc!$F$208:$F$247,0)),"")</f>
        <v/>
      </c>
      <c r="B60" s="49">
        <f>IFERROR(ROUND(INDEX(Calc!$D$208:$D$247,MATCH(13,Calc!$F$208:$F$247,0)),k_xd),"")</f>
        <v/>
      </c>
      <c r="C60" s="49">
        <f>IF(AND(k_run,ISNUMBER(B60)),IF(N(INDEX(Calc!$D$208:$D$247,MATCH(13,Calc!$F$208:$F$247,0)))&gt;0,INT(ROUND(3600/(INDEX(Calc!$D$208:$D$247,MATCH(13,Calc!$F$208:$F$247,0))),0)/60)&amp;":"&amp;TEXT(MOD(ROUND(3600/(INDEX(Calc!$D$208:$D$247,MATCH(13,Calc!$F$208:$F$247,0))),0),60),"00"),"–"),"")</f>
        <v/>
      </c>
      <c r="D60" s="49">
        <f>IF(AND(k_run,ISNUMBER(B60)),ROUND(INDEX(Calc!$D$208:$D$247,MATCH(13,Calc!$F$208:$F$247,0))/3.6,2),"")</f>
        <v/>
      </c>
      <c r="E60" s="49">
        <f>IF(ISNUMBER(B60),IFERROR(ROUND(IF(k_hrok,k_h0+k_h1*(INDEX(Calc!$D$208:$D$247,MATCH(13,Calc!$F$208:$F$247,0)))+k_h2*(INDEX(Calc!$D$208:$D$247,MATCH(13,Calc!$F$208:$F$247,0)))^2,""),0),"–"),"")</f>
        <v/>
      </c>
    </row>
    <row r="61">
      <c r="A61" s="48">
        <f>IFERROR(INDEX(Calc!$A$208:$A$247,MATCH(14,Calc!$F$208:$F$247,0)),"")</f>
        <v/>
      </c>
      <c r="B61" s="49">
        <f>IFERROR(ROUND(INDEX(Calc!$D$208:$D$247,MATCH(14,Calc!$F$208:$F$247,0)),k_xd),"")</f>
        <v/>
      </c>
      <c r="C61" s="49">
        <f>IF(AND(k_run,ISNUMBER(B61)),IF(N(INDEX(Calc!$D$208:$D$247,MATCH(14,Calc!$F$208:$F$247,0)))&gt;0,INT(ROUND(3600/(INDEX(Calc!$D$208:$D$247,MATCH(14,Calc!$F$208:$F$247,0))),0)/60)&amp;":"&amp;TEXT(MOD(ROUND(3600/(INDEX(Calc!$D$208:$D$247,MATCH(14,Calc!$F$208:$F$247,0))),0),60),"00"),"–"),"")</f>
        <v/>
      </c>
      <c r="D61" s="49">
        <f>IF(AND(k_run,ISNUMBER(B61)),ROUND(INDEX(Calc!$D$208:$D$247,MATCH(14,Calc!$F$208:$F$247,0))/3.6,2),"")</f>
        <v/>
      </c>
      <c r="E61" s="49">
        <f>IF(ISNUMBER(B61),IFERROR(ROUND(IF(k_hrok,k_h0+k_h1*(INDEX(Calc!$D$208:$D$247,MATCH(14,Calc!$F$208:$F$247,0)))+k_h2*(INDEX(Calc!$D$208:$D$247,MATCH(14,Calc!$F$208:$F$247,0)))^2,""),0),"–"),"")</f>
        <v/>
      </c>
    </row>
    <row r="62">
      <c r="A62" s="48">
        <f>IFERROR(INDEX(Calc!$A$208:$A$247,MATCH(15,Calc!$F$208:$F$247,0)),"")</f>
        <v/>
      </c>
      <c r="B62" s="49">
        <f>IFERROR(ROUND(INDEX(Calc!$D$208:$D$247,MATCH(15,Calc!$F$208:$F$247,0)),k_xd),"")</f>
        <v/>
      </c>
      <c r="C62" s="49">
        <f>IF(AND(k_run,ISNUMBER(B62)),IF(N(INDEX(Calc!$D$208:$D$247,MATCH(15,Calc!$F$208:$F$247,0)))&gt;0,INT(ROUND(3600/(INDEX(Calc!$D$208:$D$247,MATCH(15,Calc!$F$208:$F$247,0))),0)/60)&amp;":"&amp;TEXT(MOD(ROUND(3600/(INDEX(Calc!$D$208:$D$247,MATCH(15,Calc!$F$208:$F$247,0))),0),60),"00"),"–"),"")</f>
        <v/>
      </c>
      <c r="D62" s="49">
        <f>IF(AND(k_run,ISNUMBER(B62)),ROUND(INDEX(Calc!$D$208:$D$247,MATCH(15,Calc!$F$208:$F$247,0))/3.6,2),"")</f>
        <v/>
      </c>
      <c r="E62" s="49">
        <f>IF(ISNUMBER(B62),IFERROR(ROUND(IF(k_hrok,k_h0+k_h1*(INDEX(Calc!$D$208:$D$247,MATCH(15,Calc!$F$208:$F$247,0)))+k_h2*(INDEX(Calc!$D$208:$D$247,MATCH(15,Calc!$F$208:$F$247,0)))^2,""),0),"–"),"")</f>
        <v/>
      </c>
    </row>
    <row r="63">
      <c r="A63" s="48">
        <f>IFERROR(INDEX(Calc!$A$208:$A$247,MATCH(16,Calc!$F$208:$F$247,0)),"")</f>
        <v/>
      </c>
      <c r="B63" s="49">
        <f>IFERROR(ROUND(INDEX(Calc!$D$208:$D$247,MATCH(16,Calc!$F$208:$F$247,0)),k_xd),"")</f>
        <v/>
      </c>
      <c r="C63" s="49">
        <f>IF(AND(k_run,ISNUMBER(B63)),IF(N(INDEX(Calc!$D$208:$D$247,MATCH(16,Calc!$F$208:$F$247,0)))&gt;0,INT(ROUND(3600/(INDEX(Calc!$D$208:$D$247,MATCH(16,Calc!$F$208:$F$247,0))),0)/60)&amp;":"&amp;TEXT(MOD(ROUND(3600/(INDEX(Calc!$D$208:$D$247,MATCH(16,Calc!$F$208:$F$247,0))),0),60),"00"),"–"),"")</f>
        <v/>
      </c>
      <c r="D63" s="49">
        <f>IF(AND(k_run,ISNUMBER(B63)),ROUND(INDEX(Calc!$D$208:$D$247,MATCH(16,Calc!$F$208:$F$247,0))/3.6,2),"")</f>
        <v/>
      </c>
      <c r="E63" s="49">
        <f>IF(ISNUMBER(B63),IFERROR(ROUND(IF(k_hrok,k_h0+k_h1*(INDEX(Calc!$D$208:$D$247,MATCH(16,Calc!$F$208:$F$247,0)))+k_h2*(INDEX(Calc!$D$208:$D$247,MATCH(16,Calc!$F$208:$F$247,0)))^2,""),0),"–"),"")</f>
        <v/>
      </c>
    </row>
    <row r="64">
      <c r="A64" s="48">
        <f>IFERROR(INDEX(Calc!$A$208:$A$247,MATCH(17,Calc!$F$208:$F$247,0)),"")</f>
        <v/>
      </c>
      <c r="B64" s="49">
        <f>IFERROR(ROUND(INDEX(Calc!$D$208:$D$247,MATCH(17,Calc!$F$208:$F$247,0)),k_xd),"")</f>
        <v/>
      </c>
      <c r="C64" s="49">
        <f>IF(AND(k_run,ISNUMBER(B64)),IF(N(INDEX(Calc!$D$208:$D$247,MATCH(17,Calc!$F$208:$F$247,0)))&gt;0,INT(ROUND(3600/(INDEX(Calc!$D$208:$D$247,MATCH(17,Calc!$F$208:$F$247,0))),0)/60)&amp;":"&amp;TEXT(MOD(ROUND(3600/(INDEX(Calc!$D$208:$D$247,MATCH(17,Calc!$F$208:$F$247,0))),0),60),"00"),"–"),"")</f>
        <v/>
      </c>
      <c r="D64" s="49">
        <f>IF(AND(k_run,ISNUMBER(B64)),ROUND(INDEX(Calc!$D$208:$D$247,MATCH(17,Calc!$F$208:$F$247,0))/3.6,2),"")</f>
        <v/>
      </c>
      <c r="E64" s="49">
        <f>IF(ISNUMBER(B64),IFERROR(ROUND(IF(k_hrok,k_h0+k_h1*(INDEX(Calc!$D$208:$D$247,MATCH(17,Calc!$F$208:$F$247,0)))+k_h2*(INDEX(Calc!$D$208:$D$247,MATCH(17,Calc!$F$208:$F$247,0)))^2,""),0),"–"),"")</f>
        <v/>
      </c>
    </row>
    <row r="65">
      <c r="A65" s="48">
        <f>IFERROR(INDEX(Calc!$A$208:$A$247,MATCH(18,Calc!$F$208:$F$247,0)),"")</f>
        <v/>
      </c>
      <c r="B65" s="49">
        <f>IFERROR(ROUND(INDEX(Calc!$D$208:$D$247,MATCH(18,Calc!$F$208:$F$247,0)),k_xd),"")</f>
        <v/>
      </c>
      <c r="C65" s="49">
        <f>IF(AND(k_run,ISNUMBER(B65)),IF(N(INDEX(Calc!$D$208:$D$247,MATCH(18,Calc!$F$208:$F$247,0)))&gt;0,INT(ROUND(3600/(INDEX(Calc!$D$208:$D$247,MATCH(18,Calc!$F$208:$F$247,0))),0)/60)&amp;":"&amp;TEXT(MOD(ROUND(3600/(INDEX(Calc!$D$208:$D$247,MATCH(18,Calc!$F$208:$F$247,0))),0),60),"00"),"–"),"")</f>
        <v/>
      </c>
      <c r="D65" s="49">
        <f>IF(AND(k_run,ISNUMBER(B65)),ROUND(INDEX(Calc!$D$208:$D$247,MATCH(18,Calc!$F$208:$F$247,0))/3.6,2),"")</f>
        <v/>
      </c>
      <c r="E65" s="49">
        <f>IF(ISNUMBER(B65),IFERROR(ROUND(IF(k_hrok,k_h0+k_h1*(INDEX(Calc!$D$208:$D$247,MATCH(18,Calc!$F$208:$F$247,0)))+k_h2*(INDEX(Calc!$D$208:$D$247,MATCH(18,Calc!$F$208:$F$247,0)))^2,""),0),"–"),"")</f>
        <v/>
      </c>
    </row>
    <row r="66">
      <c r="A66" s="48">
        <f>IFERROR(INDEX(Calc!$A$208:$A$247,MATCH(19,Calc!$F$208:$F$247,0)),"")</f>
        <v/>
      </c>
      <c r="B66" s="49">
        <f>IFERROR(ROUND(INDEX(Calc!$D$208:$D$247,MATCH(19,Calc!$F$208:$F$247,0)),k_xd),"")</f>
        <v/>
      </c>
      <c r="C66" s="49">
        <f>IF(AND(k_run,ISNUMBER(B66)),IF(N(INDEX(Calc!$D$208:$D$247,MATCH(19,Calc!$F$208:$F$247,0)))&gt;0,INT(ROUND(3600/(INDEX(Calc!$D$208:$D$247,MATCH(19,Calc!$F$208:$F$247,0))),0)/60)&amp;":"&amp;TEXT(MOD(ROUND(3600/(INDEX(Calc!$D$208:$D$247,MATCH(19,Calc!$F$208:$F$247,0))),0),60),"00"),"–"),"")</f>
        <v/>
      </c>
      <c r="D66" s="49">
        <f>IF(AND(k_run,ISNUMBER(B66)),ROUND(INDEX(Calc!$D$208:$D$247,MATCH(19,Calc!$F$208:$F$247,0))/3.6,2),"")</f>
        <v/>
      </c>
      <c r="E66" s="49">
        <f>IF(ISNUMBER(B66),IFERROR(ROUND(IF(k_hrok,k_h0+k_h1*(INDEX(Calc!$D$208:$D$247,MATCH(19,Calc!$F$208:$F$247,0)))+k_h2*(INDEX(Calc!$D$208:$D$247,MATCH(19,Calc!$F$208:$F$247,0)))^2,""),0),"–"),"")</f>
        <v/>
      </c>
    </row>
    <row r="67">
      <c r="A67" s="48">
        <f>IFERROR(INDEX(Calc!$A$208:$A$247,MATCH(20,Calc!$F$208:$F$247,0)),"")</f>
        <v/>
      </c>
      <c r="B67" s="49">
        <f>IFERROR(ROUND(INDEX(Calc!$D$208:$D$247,MATCH(20,Calc!$F$208:$F$247,0)),k_xd),"")</f>
        <v/>
      </c>
      <c r="C67" s="49">
        <f>IF(AND(k_run,ISNUMBER(B67)),IF(N(INDEX(Calc!$D$208:$D$247,MATCH(20,Calc!$F$208:$F$247,0)))&gt;0,INT(ROUND(3600/(INDEX(Calc!$D$208:$D$247,MATCH(20,Calc!$F$208:$F$247,0))),0)/60)&amp;":"&amp;TEXT(MOD(ROUND(3600/(INDEX(Calc!$D$208:$D$247,MATCH(20,Calc!$F$208:$F$247,0))),0),60),"00"),"–"),"")</f>
        <v/>
      </c>
      <c r="D67" s="49">
        <f>IF(AND(k_run,ISNUMBER(B67)),ROUND(INDEX(Calc!$D$208:$D$247,MATCH(20,Calc!$F$208:$F$247,0))/3.6,2),"")</f>
        <v/>
      </c>
      <c r="E67" s="49">
        <f>IF(ISNUMBER(B67),IFERROR(ROUND(IF(k_hrok,k_h0+k_h1*(INDEX(Calc!$D$208:$D$247,MATCH(20,Calc!$F$208:$F$247,0)))+k_h2*(INDEX(Calc!$D$208:$D$247,MATCH(20,Calc!$F$208:$F$247,0)))^2,""),0),"–"),"")</f>
        <v/>
      </c>
    </row>
    <row r="68">
      <c r="A68" s="48">
        <f>IFERROR(INDEX(Calc!$A$208:$A$247,MATCH(21,Calc!$F$208:$F$247,0)),"")</f>
        <v/>
      </c>
      <c r="B68" s="49">
        <f>IFERROR(ROUND(INDEX(Calc!$D$208:$D$247,MATCH(21,Calc!$F$208:$F$247,0)),k_xd),"")</f>
        <v/>
      </c>
      <c r="C68" s="49">
        <f>IF(AND(k_run,ISNUMBER(B68)),IF(N(INDEX(Calc!$D$208:$D$247,MATCH(21,Calc!$F$208:$F$247,0)))&gt;0,INT(ROUND(3600/(INDEX(Calc!$D$208:$D$247,MATCH(21,Calc!$F$208:$F$247,0))),0)/60)&amp;":"&amp;TEXT(MOD(ROUND(3600/(INDEX(Calc!$D$208:$D$247,MATCH(21,Calc!$F$208:$F$247,0))),0),60),"00"),"–"),"")</f>
        <v/>
      </c>
      <c r="D68" s="49">
        <f>IF(AND(k_run,ISNUMBER(B68)),ROUND(INDEX(Calc!$D$208:$D$247,MATCH(21,Calc!$F$208:$F$247,0))/3.6,2),"")</f>
        <v/>
      </c>
      <c r="E68" s="49">
        <f>IF(ISNUMBER(B68),IFERROR(ROUND(IF(k_hrok,k_h0+k_h1*(INDEX(Calc!$D$208:$D$247,MATCH(21,Calc!$F$208:$F$247,0)))+k_h2*(INDEX(Calc!$D$208:$D$247,MATCH(21,Calc!$F$208:$F$247,0)))^2,""),0),"–"),"")</f>
        <v/>
      </c>
    </row>
    <row r="69">
      <c r="A69" s="48">
        <f>IFERROR(INDEX(Calc!$A$208:$A$247,MATCH(22,Calc!$F$208:$F$247,0)),"")</f>
        <v/>
      </c>
      <c r="B69" s="49">
        <f>IFERROR(ROUND(INDEX(Calc!$D$208:$D$247,MATCH(22,Calc!$F$208:$F$247,0)),k_xd),"")</f>
        <v/>
      </c>
      <c r="C69" s="49">
        <f>IF(AND(k_run,ISNUMBER(B69)),IF(N(INDEX(Calc!$D$208:$D$247,MATCH(22,Calc!$F$208:$F$247,0)))&gt;0,INT(ROUND(3600/(INDEX(Calc!$D$208:$D$247,MATCH(22,Calc!$F$208:$F$247,0))),0)/60)&amp;":"&amp;TEXT(MOD(ROUND(3600/(INDEX(Calc!$D$208:$D$247,MATCH(22,Calc!$F$208:$F$247,0))),0),60),"00"),"–"),"")</f>
        <v/>
      </c>
      <c r="D69" s="49">
        <f>IF(AND(k_run,ISNUMBER(B69)),ROUND(INDEX(Calc!$D$208:$D$247,MATCH(22,Calc!$F$208:$F$247,0))/3.6,2),"")</f>
        <v/>
      </c>
      <c r="E69" s="49">
        <f>IF(ISNUMBER(B69),IFERROR(ROUND(IF(k_hrok,k_h0+k_h1*(INDEX(Calc!$D$208:$D$247,MATCH(22,Calc!$F$208:$F$247,0)))+k_h2*(INDEX(Calc!$D$208:$D$247,MATCH(22,Calc!$F$208:$F$247,0)))^2,""),0),"–"),"")</f>
        <v/>
      </c>
    </row>
    <row r="70">
      <c r="A70" s="48">
        <f>IFERROR(INDEX(Calc!$A$208:$A$247,MATCH(23,Calc!$F$208:$F$247,0)),"")</f>
        <v/>
      </c>
      <c r="B70" s="49">
        <f>IFERROR(ROUND(INDEX(Calc!$D$208:$D$247,MATCH(23,Calc!$F$208:$F$247,0)),k_xd),"")</f>
        <v/>
      </c>
      <c r="C70" s="49">
        <f>IF(AND(k_run,ISNUMBER(B70)),IF(N(INDEX(Calc!$D$208:$D$247,MATCH(23,Calc!$F$208:$F$247,0)))&gt;0,INT(ROUND(3600/(INDEX(Calc!$D$208:$D$247,MATCH(23,Calc!$F$208:$F$247,0))),0)/60)&amp;":"&amp;TEXT(MOD(ROUND(3600/(INDEX(Calc!$D$208:$D$247,MATCH(23,Calc!$F$208:$F$247,0))),0),60),"00"),"–"),"")</f>
        <v/>
      </c>
      <c r="D70" s="49">
        <f>IF(AND(k_run,ISNUMBER(B70)),ROUND(INDEX(Calc!$D$208:$D$247,MATCH(23,Calc!$F$208:$F$247,0))/3.6,2),"")</f>
        <v/>
      </c>
      <c r="E70" s="49">
        <f>IF(ISNUMBER(B70),IFERROR(ROUND(IF(k_hrok,k_h0+k_h1*(INDEX(Calc!$D$208:$D$247,MATCH(23,Calc!$F$208:$F$247,0)))+k_h2*(INDEX(Calc!$D$208:$D$247,MATCH(23,Calc!$F$208:$F$247,0)))^2,""),0),"–"),"")</f>
        <v/>
      </c>
    </row>
    <row r="71">
      <c r="A71" s="48">
        <f>IFERROR(INDEX(Calc!$A$208:$A$247,MATCH(24,Calc!$F$208:$F$247,0)),"")</f>
        <v/>
      </c>
      <c r="B71" s="49">
        <f>IFERROR(ROUND(INDEX(Calc!$D$208:$D$247,MATCH(24,Calc!$F$208:$F$247,0)),k_xd),"")</f>
        <v/>
      </c>
      <c r="C71" s="49">
        <f>IF(AND(k_run,ISNUMBER(B71)),IF(N(INDEX(Calc!$D$208:$D$247,MATCH(24,Calc!$F$208:$F$247,0)))&gt;0,INT(ROUND(3600/(INDEX(Calc!$D$208:$D$247,MATCH(24,Calc!$F$208:$F$247,0))),0)/60)&amp;":"&amp;TEXT(MOD(ROUND(3600/(INDEX(Calc!$D$208:$D$247,MATCH(24,Calc!$F$208:$F$247,0))),0),60),"00"),"–"),"")</f>
        <v/>
      </c>
      <c r="D71" s="49">
        <f>IF(AND(k_run,ISNUMBER(B71)),ROUND(INDEX(Calc!$D$208:$D$247,MATCH(24,Calc!$F$208:$F$247,0))/3.6,2),"")</f>
        <v/>
      </c>
      <c r="E71" s="49">
        <f>IF(ISNUMBER(B71),IFERROR(ROUND(IF(k_hrok,k_h0+k_h1*(INDEX(Calc!$D$208:$D$247,MATCH(24,Calc!$F$208:$F$247,0)))+k_h2*(INDEX(Calc!$D$208:$D$247,MATCH(24,Calc!$F$208:$F$247,0)))^2,""),0),"–"),"")</f>
        <v/>
      </c>
    </row>
    <row r="72">
      <c r="A72" s="48">
        <f>IFERROR(INDEX(Calc!$A$208:$A$247,MATCH(25,Calc!$F$208:$F$247,0)),"")</f>
        <v/>
      </c>
      <c r="B72" s="49">
        <f>IFERROR(ROUND(INDEX(Calc!$D$208:$D$247,MATCH(25,Calc!$F$208:$F$247,0)),k_xd),"")</f>
        <v/>
      </c>
      <c r="C72" s="49">
        <f>IF(AND(k_run,ISNUMBER(B72)),IF(N(INDEX(Calc!$D$208:$D$247,MATCH(25,Calc!$F$208:$F$247,0)))&gt;0,INT(ROUND(3600/(INDEX(Calc!$D$208:$D$247,MATCH(25,Calc!$F$208:$F$247,0))),0)/60)&amp;":"&amp;TEXT(MOD(ROUND(3600/(INDEX(Calc!$D$208:$D$247,MATCH(25,Calc!$F$208:$F$247,0))),0),60),"00"),"–"),"")</f>
        <v/>
      </c>
      <c r="D72" s="49">
        <f>IF(AND(k_run,ISNUMBER(B72)),ROUND(INDEX(Calc!$D$208:$D$247,MATCH(25,Calc!$F$208:$F$247,0))/3.6,2),"")</f>
        <v/>
      </c>
      <c r="E72" s="49">
        <f>IF(ISNUMBER(B72),IFERROR(ROUND(IF(k_hrok,k_h0+k_h1*(INDEX(Calc!$D$208:$D$247,MATCH(25,Calc!$F$208:$F$247,0)))+k_h2*(INDEX(Calc!$D$208:$D$247,MATCH(25,Calc!$F$208:$F$247,0)))^2,""),0),"–"),"")</f>
        <v/>
      </c>
    </row>
    <row r="73">
      <c r="A73" s="48">
        <f>IFERROR(INDEX(Calc!$A$208:$A$247,MATCH(26,Calc!$F$208:$F$247,0)),"")</f>
        <v/>
      </c>
      <c r="B73" s="49">
        <f>IFERROR(ROUND(INDEX(Calc!$D$208:$D$247,MATCH(26,Calc!$F$208:$F$247,0)),k_xd),"")</f>
        <v/>
      </c>
      <c r="C73" s="49">
        <f>IF(AND(k_run,ISNUMBER(B73)),IF(N(INDEX(Calc!$D$208:$D$247,MATCH(26,Calc!$F$208:$F$247,0)))&gt;0,INT(ROUND(3600/(INDEX(Calc!$D$208:$D$247,MATCH(26,Calc!$F$208:$F$247,0))),0)/60)&amp;":"&amp;TEXT(MOD(ROUND(3600/(INDEX(Calc!$D$208:$D$247,MATCH(26,Calc!$F$208:$F$247,0))),0),60),"00"),"–"),"")</f>
        <v/>
      </c>
      <c r="D73" s="49">
        <f>IF(AND(k_run,ISNUMBER(B73)),ROUND(INDEX(Calc!$D$208:$D$247,MATCH(26,Calc!$F$208:$F$247,0))/3.6,2),"")</f>
        <v/>
      </c>
      <c r="E73" s="49">
        <f>IF(ISNUMBER(B73),IFERROR(ROUND(IF(k_hrok,k_h0+k_h1*(INDEX(Calc!$D$208:$D$247,MATCH(26,Calc!$F$208:$F$247,0)))+k_h2*(INDEX(Calc!$D$208:$D$247,MATCH(26,Calc!$F$208:$F$247,0)))^2,""),0),"–"),"")</f>
        <v/>
      </c>
    </row>
    <row r="74">
      <c r="A74" s="48">
        <f>IFERROR(INDEX(Calc!$A$208:$A$247,MATCH(27,Calc!$F$208:$F$247,0)),"")</f>
        <v/>
      </c>
      <c r="B74" s="49">
        <f>IFERROR(ROUND(INDEX(Calc!$D$208:$D$247,MATCH(27,Calc!$F$208:$F$247,0)),k_xd),"")</f>
        <v/>
      </c>
      <c r="C74" s="49">
        <f>IF(AND(k_run,ISNUMBER(B74)),IF(N(INDEX(Calc!$D$208:$D$247,MATCH(27,Calc!$F$208:$F$247,0)))&gt;0,INT(ROUND(3600/(INDEX(Calc!$D$208:$D$247,MATCH(27,Calc!$F$208:$F$247,0))),0)/60)&amp;":"&amp;TEXT(MOD(ROUND(3600/(INDEX(Calc!$D$208:$D$247,MATCH(27,Calc!$F$208:$F$247,0))),0),60),"00"),"–"),"")</f>
        <v/>
      </c>
      <c r="D74" s="49">
        <f>IF(AND(k_run,ISNUMBER(B74)),ROUND(INDEX(Calc!$D$208:$D$247,MATCH(27,Calc!$F$208:$F$247,0))/3.6,2),"")</f>
        <v/>
      </c>
      <c r="E74" s="49">
        <f>IF(ISNUMBER(B74),IFERROR(ROUND(IF(k_hrok,k_h0+k_h1*(INDEX(Calc!$D$208:$D$247,MATCH(27,Calc!$F$208:$F$247,0)))+k_h2*(INDEX(Calc!$D$208:$D$247,MATCH(27,Calc!$F$208:$F$247,0)))^2,""),0),"–"),"")</f>
        <v/>
      </c>
    </row>
    <row r="75">
      <c r="A75" s="48">
        <f>IFERROR(INDEX(Calc!$A$208:$A$247,MATCH(28,Calc!$F$208:$F$247,0)),"")</f>
        <v/>
      </c>
      <c r="B75" s="49">
        <f>IFERROR(ROUND(INDEX(Calc!$D$208:$D$247,MATCH(28,Calc!$F$208:$F$247,0)),k_xd),"")</f>
        <v/>
      </c>
      <c r="C75" s="49">
        <f>IF(AND(k_run,ISNUMBER(B75)),IF(N(INDEX(Calc!$D$208:$D$247,MATCH(28,Calc!$F$208:$F$247,0)))&gt;0,INT(ROUND(3600/(INDEX(Calc!$D$208:$D$247,MATCH(28,Calc!$F$208:$F$247,0))),0)/60)&amp;":"&amp;TEXT(MOD(ROUND(3600/(INDEX(Calc!$D$208:$D$247,MATCH(28,Calc!$F$208:$F$247,0))),0),60),"00"),"–"),"")</f>
        <v/>
      </c>
      <c r="D75" s="49">
        <f>IF(AND(k_run,ISNUMBER(B75)),ROUND(INDEX(Calc!$D$208:$D$247,MATCH(28,Calc!$F$208:$F$247,0))/3.6,2),"")</f>
        <v/>
      </c>
      <c r="E75" s="49">
        <f>IF(ISNUMBER(B75),IFERROR(ROUND(IF(k_hrok,k_h0+k_h1*(INDEX(Calc!$D$208:$D$247,MATCH(28,Calc!$F$208:$F$247,0)))+k_h2*(INDEX(Calc!$D$208:$D$247,MATCH(28,Calc!$F$208:$F$247,0)))^2,""),0),"–"),"")</f>
        <v/>
      </c>
    </row>
    <row r="76">
      <c r="A76" s="48">
        <f>IFERROR(INDEX(Calc!$A$208:$A$247,MATCH(29,Calc!$F$208:$F$247,0)),"")</f>
        <v/>
      </c>
      <c r="B76" s="49">
        <f>IFERROR(ROUND(INDEX(Calc!$D$208:$D$247,MATCH(29,Calc!$F$208:$F$247,0)),k_xd),"")</f>
        <v/>
      </c>
      <c r="C76" s="49">
        <f>IF(AND(k_run,ISNUMBER(B76)),IF(N(INDEX(Calc!$D$208:$D$247,MATCH(29,Calc!$F$208:$F$247,0)))&gt;0,INT(ROUND(3600/(INDEX(Calc!$D$208:$D$247,MATCH(29,Calc!$F$208:$F$247,0))),0)/60)&amp;":"&amp;TEXT(MOD(ROUND(3600/(INDEX(Calc!$D$208:$D$247,MATCH(29,Calc!$F$208:$F$247,0))),0),60),"00"),"–"),"")</f>
        <v/>
      </c>
      <c r="D76" s="49">
        <f>IF(AND(k_run,ISNUMBER(B76)),ROUND(INDEX(Calc!$D$208:$D$247,MATCH(29,Calc!$F$208:$F$247,0))/3.6,2),"")</f>
        <v/>
      </c>
      <c r="E76" s="49">
        <f>IF(ISNUMBER(B76),IFERROR(ROUND(IF(k_hrok,k_h0+k_h1*(INDEX(Calc!$D$208:$D$247,MATCH(29,Calc!$F$208:$F$247,0)))+k_h2*(INDEX(Calc!$D$208:$D$247,MATCH(29,Calc!$F$208:$F$247,0)))^2,""),0),"–"),"")</f>
        <v/>
      </c>
    </row>
    <row r="77">
      <c r="A77" s="48">
        <f>IFERROR(INDEX(Calc!$A$208:$A$247,MATCH(30,Calc!$F$208:$F$247,0)),"")</f>
        <v/>
      </c>
      <c r="B77" s="49">
        <f>IFERROR(ROUND(INDEX(Calc!$D$208:$D$247,MATCH(30,Calc!$F$208:$F$247,0)),k_xd),"")</f>
        <v/>
      </c>
      <c r="C77" s="49">
        <f>IF(AND(k_run,ISNUMBER(B77)),IF(N(INDEX(Calc!$D$208:$D$247,MATCH(30,Calc!$F$208:$F$247,0)))&gt;0,INT(ROUND(3600/(INDEX(Calc!$D$208:$D$247,MATCH(30,Calc!$F$208:$F$247,0))),0)/60)&amp;":"&amp;TEXT(MOD(ROUND(3600/(INDEX(Calc!$D$208:$D$247,MATCH(30,Calc!$F$208:$F$247,0))),0),60),"00"),"–"),"")</f>
        <v/>
      </c>
      <c r="D77" s="49">
        <f>IF(AND(k_run,ISNUMBER(B77)),ROUND(INDEX(Calc!$D$208:$D$247,MATCH(30,Calc!$F$208:$F$247,0))/3.6,2),"")</f>
        <v/>
      </c>
      <c r="E77" s="49">
        <f>IF(ISNUMBER(B77),IFERROR(ROUND(IF(k_hrok,k_h0+k_h1*(INDEX(Calc!$D$208:$D$247,MATCH(30,Calc!$F$208:$F$247,0)))+k_h2*(INDEX(Calc!$D$208:$D$247,MATCH(30,Calc!$F$208:$F$247,0)))^2,""),0),"–"),"")</f>
        <v/>
      </c>
    </row>
  </sheetData>
  <mergeCells count="1">
    <mergeCell ref="A3:I3"/>
  </mergeCells>
  <conditionalFormatting sqref="A21:A35">
    <cfRule type="expression" priority="1" dxfId="0">
      <formula>OR(LEFT(A21,4)="LT1 ",LEFT(A21,4)="LT2 ",LEFT(A21,5)="Die B")</formula>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0"/>
  <sheetViews>
    <sheetView showGridLines="0" workbookViewId="0">
      <pane ySplit="4" topLeftCell="A5" activePane="bottomLeft" state="frozen"/>
      <selection pane="bottomLeft" activeCell="A1" sqref="A1"/>
    </sheetView>
  </sheetViews>
  <sheetFormatPr baseColWidth="8" defaultRowHeight="15"/>
  <cols>
    <col width="30" customWidth="1" min="1" max="1"/>
    <col width="28" customWidth="1" min="2" max="2"/>
    <col width="12" customWidth="1" min="3" max="3"/>
    <col width="10" customWidth="1" min="4" max="4"/>
    <col width="8" customWidth="1" min="5" max="5"/>
    <col width="62" customWidth="1" min="6" max="6"/>
    <col width="10" customWidth="1" min="7" max="7"/>
    <col width="10" customWidth="1" min="8" max="8"/>
  </cols>
  <sheetData>
    <row r="1">
      <c r="A1" s="4" t="inlineStr">
        <is>
          <t>Alle Schwellenverfahren</t>
        </is>
      </c>
    </row>
    <row r="2">
      <c r="A2" s="5" t="inlineStr">
        <is>
          <t>Berechnet mit dem gewählten Kurvenmodell. Keine Extrapolation über den Messbereich hinaus. LT1/LT2-Auswahl im Blatt „Eingabe“.</t>
        </is>
      </c>
    </row>
    <row r="4">
      <c r="A4" s="46" t="inlineStr">
        <is>
          <t>Verfahren</t>
        </is>
      </c>
      <c r="B4" s="46" t="inlineStr">
        <is>
          <t>Zielkonstrukt</t>
        </is>
      </c>
      <c r="C4" s="47">
        <f>"Belastung ["&amp;k_unit&amp;"]"</f>
        <v/>
      </c>
      <c r="D4" s="47" t="inlineStr">
        <is>
          <t>Laktat</t>
        </is>
      </c>
      <c r="E4" s="47" t="inlineStr">
        <is>
          <t>HF</t>
        </is>
      </c>
      <c r="F4" s="46" t="inlineStr">
        <is>
          <t>Hinweis</t>
        </is>
      </c>
      <c r="G4" s="47" t="inlineStr">
        <is>
          <t>als LT1</t>
        </is>
      </c>
      <c r="H4" s="47" t="inlineStr">
        <is>
          <t>als LT2</t>
        </is>
      </c>
    </row>
    <row r="5">
      <c r="A5" s="50" t="inlineStr">
        <is>
          <t>Erster Laktatanstieg (LT1)</t>
        </is>
      </c>
    </row>
    <row r="6">
      <c r="A6" s="51" t="inlineStr">
        <is>
          <t>LTP1 (Hofmann/Pokan)</t>
        </is>
      </c>
      <c r="B6" s="52" t="inlineStr">
        <is>
          <t>erster Laktatumstellpunkt</t>
        </is>
      </c>
      <c r="C6" s="53">
        <f>IF(AND(k_ok,ISNUMBER(INDEX(VCalc!$C$5:$W$25,1,1+5*(k_model-1)+0))),ROUND(INDEX(VCalc!$C$5:$W$25,1,1+5*(k_model-1)+0),k_xd),"–")</f>
        <v/>
      </c>
      <c r="D6" s="53">
        <f>IF(AND(k_ok,ISNUMBER(INDEX(VCalc!$C$5:$W$25,1,1+5*(k_model-1)+0))),ROUND(INDEX(VCalc!$C$5:$W$25,1,1+5*(k_model-1)+1),2),"–")</f>
        <v/>
      </c>
      <c r="E6" s="53">
        <f>IF(AND(k_ok,ISNUMBER(INDEX(VCalc!$C$5:$W$25,1,1+5*(k_model-1)+0))),IFERROR(ROUND(IF(k_hrok,k_h0+k_h1*(INDEX(VCalc!$C$5:$W$25,1,1+5*(k_model-1)+0))+k_h2*(INDEX(VCalc!$C$5:$W$25,1,1+5*(k_model-1)+0))^2,""),0),"–"),"–")</f>
        <v/>
      </c>
      <c r="F6" s="54">
        <f>IF(k_ok,MID(IF(INDEX(VCalc!$C$5:$W$25,1,1+5*(k_model-1)+2)&lt;&gt;""," · "&amp;INDEX(VCalc!$C$5:$W$25,1,1+5*(k_model-1)+2),"")&amp;IF(INDEX(VCalc!$C$5:$W$25,1,1+5*(k_model-1)+3)&lt;&gt;""," · "&amp;INDEX(VCalc!$C$5:$W$25,1,1+5*(k_model-1)+3),"")&amp;IF(INDEX(VCalc!$C$5:$W$25,1,1+5*(k_model-1)+4)&lt;&gt;""," · "&amp;INDEX(VCalc!$C$5:$W$25,1,1+5*(k_model-1)+4),""),4,500),"")</f>
        <v/>
      </c>
      <c r="G6" s="55">
        <f>IF(k_m1=1,"● LT1","")</f>
        <v/>
      </c>
      <c r="H6" s="56">
        <f>IF(k_m2=1,"● LT2","")</f>
        <v/>
      </c>
    </row>
    <row r="7">
      <c r="A7" s="51" t="inlineStr">
        <is>
          <t>LTP1 (3-Phasen global)</t>
        </is>
      </c>
      <c r="B7" s="52" t="inlineStr">
        <is>
          <t>erster Laktatumstellpunkt</t>
        </is>
      </c>
      <c r="C7" s="53">
        <f>IF(AND(k_ok,ISNUMBER(INDEX(VCalc!$C$5:$W$25,2,1+5*(k_model-1)+0))),ROUND(INDEX(VCalc!$C$5:$W$25,2,1+5*(k_model-1)+0),k_xd),"–")</f>
        <v/>
      </c>
      <c r="D7" s="53">
        <f>IF(AND(k_ok,ISNUMBER(INDEX(VCalc!$C$5:$W$25,2,1+5*(k_model-1)+0))),ROUND(INDEX(VCalc!$C$5:$W$25,2,1+5*(k_model-1)+1),2),"–")</f>
        <v/>
      </c>
      <c r="E7" s="53">
        <f>IF(AND(k_ok,ISNUMBER(INDEX(VCalc!$C$5:$W$25,2,1+5*(k_model-1)+0))),IFERROR(ROUND(IF(k_hrok,k_h0+k_h1*(INDEX(VCalc!$C$5:$W$25,2,1+5*(k_model-1)+0))+k_h2*(INDEX(VCalc!$C$5:$W$25,2,1+5*(k_model-1)+0))^2,""),0),"–"),"–")</f>
        <v/>
      </c>
      <c r="F7" s="54">
        <f>IF(k_ok,MID(IF(INDEX(VCalc!$C$5:$W$25,2,1+5*(k_model-1)+2)&lt;&gt;""," · "&amp;INDEX(VCalc!$C$5:$W$25,2,1+5*(k_model-1)+2),"")&amp;IF(INDEX(VCalc!$C$5:$W$25,2,1+5*(k_model-1)+3)&lt;&gt;""," · "&amp;INDEX(VCalc!$C$5:$W$25,2,1+5*(k_model-1)+3),"")&amp;IF(INDEX(VCalc!$C$5:$W$25,2,1+5*(k_model-1)+4)&lt;&gt;""," · "&amp;INDEX(VCalc!$C$5:$W$25,2,1+5*(k_model-1)+4),""),4,500),"")</f>
        <v/>
      </c>
      <c r="G7" s="55">
        <f>IF(k_m1=2,"● LT1","")</f>
        <v/>
      </c>
      <c r="H7" s="56">
        <f>IF(k_m2=2,"● LT2","")</f>
        <v/>
      </c>
    </row>
    <row r="8">
      <c r="A8" s="51" t="inlineStr">
        <is>
          <t>Log-Log (Beaver)</t>
        </is>
      </c>
      <c r="B8" s="52" t="inlineStr">
        <is>
          <t>erster Laktatanstieg</t>
        </is>
      </c>
      <c r="C8" s="53">
        <f>IF(AND(k_ok,ISNUMBER(INDEX(VCalc!$C$5:$W$25,3,1+5*(k_model-1)+0))),ROUND(INDEX(VCalc!$C$5:$W$25,3,1+5*(k_model-1)+0),k_xd),"–")</f>
        <v/>
      </c>
      <c r="D8" s="53">
        <f>IF(AND(k_ok,ISNUMBER(INDEX(VCalc!$C$5:$W$25,3,1+5*(k_model-1)+0))),ROUND(INDEX(VCalc!$C$5:$W$25,3,1+5*(k_model-1)+1),2),"–")</f>
        <v/>
      </c>
      <c r="E8" s="53">
        <f>IF(AND(k_ok,ISNUMBER(INDEX(VCalc!$C$5:$W$25,3,1+5*(k_model-1)+0))),IFERROR(ROUND(IF(k_hrok,k_h0+k_h1*(INDEX(VCalc!$C$5:$W$25,3,1+5*(k_model-1)+0))+k_h2*(INDEX(VCalc!$C$5:$W$25,3,1+5*(k_model-1)+0))^2,""),0),"–"),"–")</f>
        <v/>
      </c>
      <c r="F8" s="54">
        <f>IF(k_ok,MID(IF(INDEX(VCalc!$C$5:$W$25,3,1+5*(k_model-1)+2)&lt;&gt;""," · "&amp;INDEX(VCalc!$C$5:$W$25,3,1+5*(k_model-1)+2),"")&amp;IF(INDEX(VCalc!$C$5:$W$25,3,1+5*(k_model-1)+3)&lt;&gt;""," · "&amp;INDEX(VCalc!$C$5:$W$25,3,1+5*(k_model-1)+3),"")&amp;IF(INDEX(VCalc!$C$5:$W$25,3,1+5*(k_model-1)+4)&lt;&gt;""," · "&amp;INDEX(VCalc!$C$5:$W$25,3,1+5*(k_model-1)+4),""),4,500),"")</f>
        <v/>
      </c>
      <c r="G8" s="55">
        <f>IF(k_m1=3,"● LT1","")</f>
        <v/>
      </c>
      <c r="H8" s="56">
        <f>IF(k_m2=3,"● LT2","")</f>
        <v/>
      </c>
    </row>
    <row r="9">
      <c r="A9" s="51" t="inlineStr">
        <is>
          <t>Baseline + 0,5 mmol/L</t>
        </is>
      </c>
      <c r="B9" s="52" t="inlineStr">
        <is>
          <t>erster Laktatanstieg</t>
        </is>
      </c>
      <c r="C9" s="53">
        <f>IF(AND(k_ok,ISNUMBER(INDEX(VCalc!$C$5:$W$25,4,1+5*(k_model-1)+0))),ROUND(INDEX(VCalc!$C$5:$W$25,4,1+5*(k_model-1)+0),k_xd),"–")</f>
        <v/>
      </c>
      <c r="D9" s="53">
        <f>IF(AND(k_ok,ISNUMBER(INDEX(VCalc!$C$5:$W$25,4,1+5*(k_model-1)+0))),ROUND(INDEX(VCalc!$C$5:$W$25,4,1+5*(k_model-1)+1),2),"–")</f>
        <v/>
      </c>
      <c r="E9" s="53">
        <f>IF(AND(k_ok,ISNUMBER(INDEX(VCalc!$C$5:$W$25,4,1+5*(k_model-1)+0))),IFERROR(ROUND(IF(k_hrok,k_h0+k_h1*(INDEX(VCalc!$C$5:$W$25,4,1+5*(k_model-1)+0))+k_h2*(INDEX(VCalc!$C$5:$W$25,4,1+5*(k_model-1)+0))^2,""),0),"–"),"–")</f>
        <v/>
      </c>
      <c r="F9" s="54">
        <f>IF(k_ok,MID(IF(INDEX(VCalc!$C$5:$W$25,4,1+5*(k_model-1)+2)&lt;&gt;""," · "&amp;INDEX(VCalc!$C$5:$W$25,4,1+5*(k_model-1)+2),"")&amp;IF(INDEX(VCalc!$C$5:$W$25,4,1+5*(k_model-1)+3)&lt;&gt;""," · "&amp;INDEX(VCalc!$C$5:$W$25,4,1+5*(k_model-1)+3),"")&amp;IF(INDEX(VCalc!$C$5:$W$25,4,1+5*(k_model-1)+4)&lt;&gt;""," · "&amp;INDEX(VCalc!$C$5:$W$25,4,1+5*(k_model-1)+4),""),4,500),"")</f>
        <v/>
      </c>
      <c r="G9" s="55">
        <f>IF(k_m1=4,"● LT1","")</f>
        <v/>
      </c>
      <c r="H9" s="56">
        <f>IF(k_m2=4,"● LT2","")</f>
        <v/>
      </c>
    </row>
    <row r="10">
      <c r="A10" s="51" t="inlineStr">
        <is>
          <t>Minimales Laktatäquivalent</t>
        </is>
      </c>
      <c r="B10" s="52" t="inlineStr">
        <is>
          <t>erster Laktatanstieg</t>
        </is>
      </c>
      <c r="C10" s="53">
        <f>IF(AND(k_ok,ISNUMBER(INDEX(VCalc!$C$5:$W$25,5,1+5*(k_model-1)+0))),ROUND(INDEX(VCalc!$C$5:$W$25,5,1+5*(k_model-1)+0),k_xd),"–")</f>
        <v/>
      </c>
      <c r="D10" s="53">
        <f>IF(AND(k_ok,ISNUMBER(INDEX(VCalc!$C$5:$W$25,5,1+5*(k_model-1)+0))),ROUND(INDEX(VCalc!$C$5:$W$25,5,1+5*(k_model-1)+1),2),"–")</f>
        <v/>
      </c>
      <c r="E10" s="53">
        <f>IF(AND(k_ok,ISNUMBER(INDEX(VCalc!$C$5:$W$25,5,1+5*(k_model-1)+0))),IFERROR(ROUND(IF(k_hrok,k_h0+k_h1*(INDEX(VCalc!$C$5:$W$25,5,1+5*(k_model-1)+0))+k_h2*(INDEX(VCalc!$C$5:$W$25,5,1+5*(k_model-1)+0))^2,""),0),"–"),"–")</f>
        <v/>
      </c>
      <c r="F10" s="54">
        <f>IF(k_ok,MID(IF(INDEX(VCalc!$C$5:$W$25,5,1+5*(k_model-1)+2)&lt;&gt;""," · "&amp;INDEX(VCalc!$C$5:$W$25,5,1+5*(k_model-1)+2),"")&amp;IF(INDEX(VCalc!$C$5:$W$25,5,1+5*(k_model-1)+3)&lt;&gt;""," · "&amp;INDEX(VCalc!$C$5:$W$25,5,1+5*(k_model-1)+3),"")&amp;IF(INDEX(VCalc!$C$5:$W$25,5,1+5*(k_model-1)+4)&lt;&gt;""," · "&amp;INDEX(VCalc!$C$5:$W$25,5,1+5*(k_model-1)+4),""),4,500),"")</f>
        <v/>
      </c>
      <c r="G10" s="55">
        <f>IF(k_m1=5,"● LT1","")</f>
        <v/>
      </c>
      <c r="H10" s="56">
        <f>IF(k_m2=5,"● LT2","")</f>
        <v/>
      </c>
    </row>
    <row r="11">
      <c r="A11" s="51" t="inlineStr">
        <is>
          <t>fix 2,0 mmol/L</t>
        </is>
      </c>
      <c r="B11" s="52" t="inlineStr">
        <is>
          <t>niedriger fixer Anker</t>
        </is>
      </c>
      <c r="C11" s="53">
        <f>IF(AND(k_ok,ISNUMBER(INDEX(VCalc!$C$5:$W$25,6,1+5*(k_model-1)+0))),ROUND(INDEX(VCalc!$C$5:$W$25,6,1+5*(k_model-1)+0),k_xd),"–")</f>
        <v/>
      </c>
      <c r="D11" s="53">
        <f>IF(AND(k_ok,ISNUMBER(INDEX(VCalc!$C$5:$W$25,6,1+5*(k_model-1)+0))),ROUND(INDEX(VCalc!$C$5:$W$25,6,1+5*(k_model-1)+1),2),"–")</f>
        <v/>
      </c>
      <c r="E11" s="53">
        <f>IF(AND(k_ok,ISNUMBER(INDEX(VCalc!$C$5:$W$25,6,1+5*(k_model-1)+0))),IFERROR(ROUND(IF(k_hrok,k_h0+k_h1*(INDEX(VCalc!$C$5:$W$25,6,1+5*(k_model-1)+0))+k_h2*(INDEX(VCalc!$C$5:$W$25,6,1+5*(k_model-1)+0))^2,""),0),"–"),"–")</f>
        <v/>
      </c>
      <c r="F11" s="54">
        <f>IF(k_ok,MID(IF(INDEX(VCalc!$C$5:$W$25,6,1+5*(k_model-1)+2)&lt;&gt;""," · "&amp;INDEX(VCalc!$C$5:$W$25,6,1+5*(k_model-1)+2),"")&amp;IF(INDEX(VCalc!$C$5:$W$25,6,1+5*(k_model-1)+3)&lt;&gt;""," · "&amp;INDEX(VCalc!$C$5:$W$25,6,1+5*(k_model-1)+3),"")&amp;IF(INDEX(VCalc!$C$5:$W$25,6,1+5*(k_model-1)+4)&lt;&gt;""," · "&amp;INDEX(VCalc!$C$5:$W$25,6,1+5*(k_model-1)+4),""),4,500),"")</f>
        <v/>
      </c>
      <c r="G11" s="55">
        <f>IF(k_m1=6,"● LT1","")</f>
        <v/>
      </c>
      <c r="H11" s="56">
        <f>IF(k_m2=6,"● LT2","")</f>
        <v/>
      </c>
    </row>
    <row r="12">
      <c r="A12" s="50" t="inlineStr">
        <is>
          <t>Oberer Übergangsbereich (LT2)</t>
        </is>
      </c>
    </row>
    <row r="13">
      <c r="A13" s="51" t="inlineStr">
        <is>
          <t>LTP2 (Hofmann/Pokan)</t>
        </is>
      </c>
      <c r="B13" s="52" t="inlineStr">
        <is>
          <t>zweiter Laktatumstellpunkt</t>
        </is>
      </c>
      <c r="C13" s="53">
        <f>IF(AND(k_ok,ISNUMBER(INDEX(VCalc!$C$5:$W$25,7,1+5*(k_model-1)+0))),ROUND(INDEX(VCalc!$C$5:$W$25,7,1+5*(k_model-1)+0),k_xd),"–")</f>
        <v/>
      </c>
      <c r="D13" s="53">
        <f>IF(AND(k_ok,ISNUMBER(INDEX(VCalc!$C$5:$W$25,7,1+5*(k_model-1)+0))),ROUND(INDEX(VCalc!$C$5:$W$25,7,1+5*(k_model-1)+1),2),"–")</f>
        <v/>
      </c>
      <c r="E13" s="53">
        <f>IF(AND(k_ok,ISNUMBER(INDEX(VCalc!$C$5:$W$25,7,1+5*(k_model-1)+0))),IFERROR(ROUND(IF(k_hrok,k_h0+k_h1*(INDEX(VCalc!$C$5:$W$25,7,1+5*(k_model-1)+0))+k_h2*(INDEX(VCalc!$C$5:$W$25,7,1+5*(k_model-1)+0))^2,""),0),"–"),"–")</f>
        <v/>
      </c>
      <c r="F13" s="54">
        <f>IF(k_ok,MID(IF(INDEX(VCalc!$C$5:$W$25,7,1+5*(k_model-1)+2)&lt;&gt;""," · "&amp;INDEX(VCalc!$C$5:$W$25,7,1+5*(k_model-1)+2),"")&amp;IF(INDEX(VCalc!$C$5:$W$25,7,1+5*(k_model-1)+3)&lt;&gt;""," · "&amp;INDEX(VCalc!$C$5:$W$25,7,1+5*(k_model-1)+3),"")&amp;IF(INDEX(VCalc!$C$5:$W$25,7,1+5*(k_model-1)+4)&lt;&gt;""," · "&amp;INDEX(VCalc!$C$5:$W$25,7,1+5*(k_model-1)+4),""),4,500),"")</f>
        <v/>
      </c>
      <c r="G13" s="55">
        <f>IF(k_m1=7,"● LT1","")</f>
        <v/>
      </c>
      <c r="H13" s="56">
        <f>IF(k_m2=7,"● LT2","")</f>
        <v/>
      </c>
    </row>
    <row r="14">
      <c r="A14" s="51" t="inlineStr">
        <is>
          <t>LTP2 (3-Phasen global)</t>
        </is>
      </c>
      <c r="B14" s="52" t="inlineStr">
        <is>
          <t>zweiter Laktatumstellpunkt</t>
        </is>
      </c>
      <c r="C14" s="53">
        <f>IF(AND(k_ok,ISNUMBER(INDEX(VCalc!$C$5:$W$25,8,1+5*(k_model-1)+0))),ROUND(INDEX(VCalc!$C$5:$W$25,8,1+5*(k_model-1)+0),k_xd),"–")</f>
        <v/>
      </c>
      <c r="D14" s="53">
        <f>IF(AND(k_ok,ISNUMBER(INDEX(VCalc!$C$5:$W$25,8,1+5*(k_model-1)+0))),ROUND(INDEX(VCalc!$C$5:$W$25,8,1+5*(k_model-1)+1),2),"–")</f>
        <v/>
      </c>
      <c r="E14" s="53">
        <f>IF(AND(k_ok,ISNUMBER(INDEX(VCalc!$C$5:$W$25,8,1+5*(k_model-1)+0))),IFERROR(ROUND(IF(k_hrok,k_h0+k_h1*(INDEX(VCalc!$C$5:$W$25,8,1+5*(k_model-1)+0))+k_h2*(INDEX(VCalc!$C$5:$W$25,8,1+5*(k_model-1)+0))^2,""),0),"–"),"–")</f>
        <v/>
      </c>
      <c r="F14" s="54">
        <f>IF(k_ok,MID(IF(INDEX(VCalc!$C$5:$W$25,8,1+5*(k_model-1)+2)&lt;&gt;""," · "&amp;INDEX(VCalc!$C$5:$W$25,8,1+5*(k_model-1)+2),"")&amp;IF(INDEX(VCalc!$C$5:$W$25,8,1+5*(k_model-1)+3)&lt;&gt;""," · "&amp;INDEX(VCalc!$C$5:$W$25,8,1+5*(k_model-1)+3),"")&amp;IF(INDEX(VCalc!$C$5:$W$25,8,1+5*(k_model-1)+4)&lt;&gt;""," · "&amp;INDEX(VCalc!$C$5:$W$25,8,1+5*(k_model-1)+4),""),4,500),"")</f>
        <v/>
      </c>
      <c r="G14" s="55">
        <f>IF(k_m1=8,"● LT1","")</f>
        <v/>
      </c>
      <c r="H14" s="56">
        <f>IF(k_m2=8,"● LT2","")</f>
        <v/>
      </c>
    </row>
    <row r="15">
      <c r="A15" s="51" t="inlineStr">
        <is>
          <t>Dmax (Cheng)</t>
        </is>
      </c>
      <c r="B15" s="52" t="inlineStr">
        <is>
          <t>LT2</t>
        </is>
      </c>
      <c r="C15" s="53">
        <f>IF(AND(k_ok,ISNUMBER(INDEX(VCalc!$C$5:$W$25,9,1+5*(k_model-1)+0))),ROUND(INDEX(VCalc!$C$5:$W$25,9,1+5*(k_model-1)+0),k_xd),"–")</f>
        <v/>
      </c>
      <c r="D15" s="53">
        <f>IF(AND(k_ok,ISNUMBER(INDEX(VCalc!$C$5:$W$25,9,1+5*(k_model-1)+0))),ROUND(INDEX(VCalc!$C$5:$W$25,9,1+5*(k_model-1)+1),2),"–")</f>
        <v/>
      </c>
      <c r="E15" s="53">
        <f>IF(AND(k_ok,ISNUMBER(INDEX(VCalc!$C$5:$W$25,9,1+5*(k_model-1)+0))),IFERROR(ROUND(IF(k_hrok,k_h0+k_h1*(INDEX(VCalc!$C$5:$W$25,9,1+5*(k_model-1)+0))+k_h2*(INDEX(VCalc!$C$5:$W$25,9,1+5*(k_model-1)+0))^2,""),0),"–"),"–")</f>
        <v/>
      </c>
      <c r="F15" s="54">
        <f>IF(k_ok,MID(IF(INDEX(VCalc!$C$5:$W$25,9,1+5*(k_model-1)+2)&lt;&gt;""," · "&amp;INDEX(VCalc!$C$5:$W$25,9,1+5*(k_model-1)+2),"")&amp;IF(INDEX(VCalc!$C$5:$W$25,9,1+5*(k_model-1)+3)&lt;&gt;""," · "&amp;INDEX(VCalc!$C$5:$W$25,9,1+5*(k_model-1)+3),"")&amp;IF(INDEX(VCalc!$C$5:$W$25,9,1+5*(k_model-1)+4)&lt;&gt;""," · "&amp;INDEX(VCalc!$C$5:$W$25,9,1+5*(k_model-1)+4),""),4,500),"")</f>
        <v/>
      </c>
      <c r="G15" s="55">
        <f>IF(k_m1=9,"● LT1","")</f>
        <v/>
      </c>
      <c r="H15" s="56">
        <f>IF(k_m2=9,"● LT2","")</f>
        <v/>
      </c>
    </row>
    <row r="16">
      <c r="A16" s="51" t="inlineStr">
        <is>
          <t>Modified Dmax (Bishop)</t>
        </is>
      </c>
      <c r="B16" s="52" t="inlineStr">
        <is>
          <t>LT2</t>
        </is>
      </c>
      <c r="C16" s="53">
        <f>IF(AND(k_ok,ISNUMBER(INDEX(VCalc!$C$5:$W$25,10,1+5*(k_model-1)+0))),ROUND(INDEX(VCalc!$C$5:$W$25,10,1+5*(k_model-1)+0),k_xd),"–")</f>
        <v/>
      </c>
      <c r="D16" s="53">
        <f>IF(AND(k_ok,ISNUMBER(INDEX(VCalc!$C$5:$W$25,10,1+5*(k_model-1)+0))),ROUND(INDEX(VCalc!$C$5:$W$25,10,1+5*(k_model-1)+1),2),"–")</f>
        <v/>
      </c>
      <c r="E16" s="53">
        <f>IF(AND(k_ok,ISNUMBER(INDEX(VCalc!$C$5:$W$25,10,1+5*(k_model-1)+0))),IFERROR(ROUND(IF(k_hrok,k_h0+k_h1*(INDEX(VCalc!$C$5:$W$25,10,1+5*(k_model-1)+0))+k_h2*(INDEX(VCalc!$C$5:$W$25,10,1+5*(k_model-1)+0))^2,""),0),"–"),"–")</f>
        <v/>
      </c>
      <c r="F16" s="54">
        <f>IF(k_ok,MID(IF(INDEX(VCalc!$C$5:$W$25,10,1+5*(k_model-1)+2)&lt;&gt;""," · "&amp;INDEX(VCalc!$C$5:$W$25,10,1+5*(k_model-1)+2),"")&amp;IF(INDEX(VCalc!$C$5:$W$25,10,1+5*(k_model-1)+3)&lt;&gt;""," · "&amp;INDEX(VCalc!$C$5:$W$25,10,1+5*(k_model-1)+3),"")&amp;IF(INDEX(VCalc!$C$5:$W$25,10,1+5*(k_model-1)+4)&lt;&gt;""," · "&amp;INDEX(VCalc!$C$5:$W$25,10,1+5*(k_model-1)+4),""),4,500),"")</f>
        <v/>
      </c>
      <c r="G16" s="55">
        <f>IF(k_m1=10,"● LT1","")</f>
        <v/>
      </c>
      <c r="H16" s="56">
        <f>IF(k_m2=10,"● LT2","")</f>
        <v/>
      </c>
    </row>
    <row r="17">
      <c r="A17" s="51" t="inlineStr">
        <is>
          <t>Log-Poly-ModDmax</t>
        </is>
      </c>
      <c r="B17" s="52" t="inlineStr">
        <is>
          <t>LT2 / MLSS-Schätzer</t>
        </is>
      </c>
      <c r="C17" s="53">
        <f>IF(AND(k_ok,ISNUMBER(INDEX(VCalc!$C$5:$W$25,11,1+5*(k_model-1)+0))),ROUND(INDEX(VCalc!$C$5:$W$25,11,1+5*(k_model-1)+0),k_xd),"–")</f>
        <v/>
      </c>
      <c r="D17" s="53">
        <f>IF(AND(k_ok,ISNUMBER(INDEX(VCalc!$C$5:$W$25,11,1+5*(k_model-1)+0))),ROUND(INDEX(VCalc!$C$5:$W$25,11,1+5*(k_model-1)+1),2),"–")</f>
        <v/>
      </c>
      <c r="E17" s="53">
        <f>IF(AND(k_ok,ISNUMBER(INDEX(VCalc!$C$5:$W$25,11,1+5*(k_model-1)+0))),IFERROR(ROUND(IF(k_hrok,k_h0+k_h1*(INDEX(VCalc!$C$5:$W$25,11,1+5*(k_model-1)+0))+k_h2*(INDEX(VCalc!$C$5:$W$25,11,1+5*(k_model-1)+0))^2,""),0),"–"),"–")</f>
        <v/>
      </c>
      <c r="F17" s="54">
        <f>IF(k_ok,MID(IF(INDEX(VCalc!$C$5:$W$25,11,1+5*(k_model-1)+2)&lt;&gt;""," · "&amp;INDEX(VCalc!$C$5:$W$25,11,1+5*(k_model-1)+2),"")&amp;IF(INDEX(VCalc!$C$5:$W$25,11,1+5*(k_model-1)+3)&lt;&gt;""," · "&amp;INDEX(VCalc!$C$5:$W$25,11,1+5*(k_model-1)+3),"")&amp;IF(INDEX(VCalc!$C$5:$W$25,11,1+5*(k_model-1)+4)&lt;&gt;""," · "&amp;INDEX(VCalc!$C$5:$W$25,11,1+5*(k_model-1)+4),""),4,500),"")</f>
        <v/>
      </c>
      <c r="G17" s="55">
        <f>IF(k_m1=11,"● LT1","")</f>
        <v/>
      </c>
      <c r="H17" s="56">
        <f>IF(k_m2=11,"● LT2","")</f>
        <v/>
      </c>
    </row>
    <row r="18">
      <c r="A18" s="51" t="inlineStr">
        <is>
          <t>Exp-Dmax</t>
        </is>
      </c>
      <c r="B18" s="52" t="inlineStr">
        <is>
          <t>LT2</t>
        </is>
      </c>
      <c r="C18" s="53">
        <f>IF(AND(k_ok,ISNUMBER(INDEX(VCalc!$C$5:$W$25,12,1+5*(k_model-1)+0))),ROUND(INDEX(VCalc!$C$5:$W$25,12,1+5*(k_model-1)+0),k_xd),"–")</f>
        <v/>
      </c>
      <c r="D18" s="53">
        <f>IF(AND(k_ok,ISNUMBER(INDEX(VCalc!$C$5:$W$25,12,1+5*(k_model-1)+0))),ROUND(INDEX(VCalc!$C$5:$W$25,12,1+5*(k_model-1)+1),2),"–")</f>
        <v/>
      </c>
      <c r="E18" s="53">
        <f>IF(AND(k_ok,ISNUMBER(INDEX(VCalc!$C$5:$W$25,12,1+5*(k_model-1)+0))),IFERROR(ROUND(IF(k_hrok,k_h0+k_h1*(INDEX(VCalc!$C$5:$W$25,12,1+5*(k_model-1)+0))+k_h2*(INDEX(VCalc!$C$5:$W$25,12,1+5*(k_model-1)+0))^2,""),0),"–"),"–")</f>
        <v/>
      </c>
      <c r="F18" s="54">
        <f>IF(k_ok,MID(IF(INDEX(VCalc!$C$5:$W$25,12,1+5*(k_model-1)+2)&lt;&gt;""," · "&amp;INDEX(VCalc!$C$5:$W$25,12,1+5*(k_model-1)+2),"")&amp;IF(INDEX(VCalc!$C$5:$W$25,12,1+5*(k_model-1)+3)&lt;&gt;""," · "&amp;INDEX(VCalc!$C$5:$W$25,12,1+5*(k_model-1)+3),"")&amp;IF(INDEX(VCalc!$C$5:$W$25,12,1+5*(k_model-1)+4)&lt;&gt;""," · "&amp;INDEX(VCalc!$C$5:$W$25,12,1+5*(k_model-1)+4),""),4,500),"")</f>
        <v/>
      </c>
      <c r="G18" s="55">
        <f>IF(k_m1=12,"● LT1","")</f>
        <v/>
      </c>
      <c r="H18" s="56">
        <f>IF(k_m2=12,"● LT2","")</f>
        <v/>
      </c>
    </row>
    <row r="19">
      <c r="A19" s="51" t="inlineStr">
        <is>
          <t>Dickhuth (LEmin + 1,5)</t>
        </is>
      </c>
      <c r="B19" s="52" t="inlineStr">
        <is>
          <t>individuelle obere Schwelle</t>
        </is>
      </c>
      <c r="C19" s="53">
        <f>IF(AND(k_ok,ISNUMBER(INDEX(VCalc!$C$5:$W$25,13,1+5*(k_model-1)+0))),ROUND(INDEX(VCalc!$C$5:$W$25,13,1+5*(k_model-1)+0),k_xd),"–")</f>
        <v/>
      </c>
      <c r="D19" s="53">
        <f>IF(AND(k_ok,ISNUMBER(INDEX(VCalc!$C$5:$W$25,13,1+5*(k_model-1)+0))),ROUND(INDEX(VCalc!$C$5:$W$25,13,1+5*(k_model-1)+1),2),"–")</f>
        <v/>
      </c>
      <c r="E19" s="53">
        <f>IF(AND(k_ok,ISNUMBER(INDEX(VCalc!$C$5:$W$25,13,1+5*(k_model-1)+0))),IFERROR(ROUND(IF(k_hrok,k_h0+k_h1*(INDEX(VCalc!$C$5:$W$25,13,1+5*(k_model-1)+0))+k_h2*(INDEX(VCalc!$C$5:$W$25,13,1+5*(k_model-1)+0))^2,""),0),"–"),"–")</f>
        <v/>
      </c>
      <c r="F19" s="54">
        <f>IF(k_ok,MID(IF(INDEX(VCalc!$C$5:$W$25,13,1+5*(k_model-1)+2)&lt;&gt;""," · "&amp;INDEX(VCalc!$C$5:$W$25,13,1+5*(k_model-1)+2),"")&amp;IF(INDEX(VCalc!$C$5:$W$25,13,1+5*(k_model-1)+3)&lt;&gt;""," · "&amp;INDEX(VCalc!$C$5:$W$25,13,1+5*(k_model-1)+3),"")&amp;IF(INDEX(VCalc!$C$5:$W$25,13,1+5*(k_model-1)+4)&lt;&gt;""," · "&amp;INDEX(VCalc!$C$5:$W$25,13,1+5*(k_model-1)+4),""),4,500),"")</f>
        <v/>
      </c>
      <c r="G19" s="55">
        <f>IF(k_m1=13,"● LT1","")</f>
        <v/>
      </c>
      <c r="H19" s="56">
        <f>IF(k_m2=13,"● LT2","")</f>
        <v/>
      </c>
    </row>
    <row r="20">
      <c r="A20" s="51" t="inlineStr">
        <is>
          <t>Baseline + 1,0 mmol/L</t>
        </is>
      </c>
      <c r="B20" s="52" t="inlineStr">
        <is>
          <t>Übergangsbereich</t>
        </is>
      </c>
      <c r="C20" s="53">
        <f>IF(AND(k_ok,ISNUMBER(INDEX(VCalc!$C$5:$W$25,14,1+5*(k_model-1)+0))),ROUND(INDEX(VCalc!$C$5:$W$25,14,1+5*(k_model-1)+0),k_xd),"–")</f>
        <v/>
      </c>
      <c r="D20" s="53">
        <f>IF(AND(k_ok,ISNUMBER(INDEX(VCalc!$C$5:$W$25,14,1+5*(k_model-1)+0))),ROUND(INDEX(VCalc!$C$5:$W$25,14,1+5*(k_model-1)+1),2),"–")</f>
        <v/>
      </c>
      <c r="E20" s="53">
        <f>IF(AND(k_ok,ISNUMBER(INDEX(VCalc!$C$5:$W$25,14,1+5*(k_model-1)+0))),IFERROR(ROUND(IF(k_hrok,k_h0+k_h1*(INDEX(VCalc!$C$5:$W$25,14,1+5*(k_model-1)+0))+k_h2*(INDEX(VCalc!$C$5:$W$25,14,1+5*(k_model-1)+0))^2,""),0),"–"),"–")</f>
        <v/>
      </c>
      <c r="F20" s="54">
        <f>IF(k_ok,MID(IF(INDEX(VCalc!$C$5:$W$25,14,1+5*(k_model-1)+2)&lt;&gt;""," · "&amp;INDEX(VCalc!$C$5:$W$25,14,1+5*(k_model-1)+2),"")&amp;IF(INDEX(VCalc!$C$5:$W$25,14,1+5*(k_model-1)+3)&lt;&gt;""," · "&amp;INDEX(VCalc!$C$5:$W$25,14,1+5*(k_model-1)+3),"")&amp;IF(INDEX(VCalc!$C$5:$W$25,14,1+5*(k_model-1)+4)&lt;&gt;""," · "&amp;INDEX(VCalc!$C$5:$W$25,14,1+5*(k_model-1)+4),""),4,500),"")</f>
        <v/>
      </c>
      <c r="G20" s="55">
        <f>IF(k_m1=14,"● LT1","")</f>
        <v/>
      </c>
      <c r="H20" s="56">
        <f>IF(k_m2=14,"● LT2","")</f>
        <v/>
      </c>
    </row>
    <row r="21">
      <c r="A21" s="51" t="inlineStr">
        <is>
          <t>Baseline + 1,5 mmol/L</t>
        </is>
      </c>
      <c r="B21" s="52" t="inlineStr">
        <is>
          <t>obere Schwelle (Simon-Typ)</t>
        </is>
      </c>
      <c r="C21" s="53">
        <f>IF(AND(k_ok,ISNUMBER(INDEX(VCalc!$C$5:$W$25,15,1+5*(k_model-1)+0))),ROUND(INDEX(VCalc!$C$5:$W$25,15,1+5*(k_model-1)+0),k_xd),"–")</f>
        <v/>
      </c>
      <c r="D21" s="53">
        <f>IF(AND(k_ok,ISNUMBER(INDEX(VCalc!$C$5:$W$25,15,1+5*(k_model-1)+0))),ROUND(INDEX(VCalc!$C$5:$W$25,15,1+5*(k_model-1)+1),2),"–")</f>
        <v/>
      </c>
      <c r="E21" s="53">
        <f>IF(AND(k_ok,ISNUMBER(INDEX(VCalc!$C$5:$W$25,15,1+5*(k_model-1)+0))),IFERROR(ROUND(IF(k_hrok,k_h0+k_h1*(INDEX(VCalc!$C$5:$W$25,15,1+5*(k_model-1)+0))+k_h2*(INDEX(VCalc!$C$5:$W$25,15,1+5*(k_model-1)+0))^2,""),0),"–"),"–")</f>
        <v/>
      </c>
      <c r="F21" s="54">
        <f>IF(k_ok,MID(IF(INDEX(VCalc!$C$5:$W$25,15,1+5*(k_model-1)+2)&lt;&gt;""," · "&amp;INDEX(VCalc!$C$5:$W$25,15,1+5*(k_model-1)+2),"")&amp;IF(INDEX(VCalc!$C$5:$W$25,15,1+5*(k_model-1)+3)&lt;&gt;""," · "&amp;INDEX(VCalc!$C$5:$W$25,15,1+5*(k_model-1)+3),"")&amp;IF(INDEX(VCalc!$C$5:$W$25,15,1+5*(k_model-1)+4)&lt;&gt;""," · "&amp;INDEX(VCalc!$C$5:$W$25,15,1+5*(k_model-1)+4),""),4,500),"")</f>
        <v/>
      </c>
      <c r="G21" s="55">
        <f>IF(k_m1=15,"● LT1","")</f>
        <v/>
      </c>
      <c r="H21" s="56">
        <f>IF(k_m2=15,"● LT2","")</f>
        <v/>
      </c>
    </row>
    <row r="22">
      <c r="A22" s="50" t="inlineStr">
        <is>
          <t>Fixe, diskrete und historische Verfahren</t>
        </is>
      </c>
    </row>
    <row r="23">
      <c r="A23" s="51" t="inlineStr">
        <is>
          <t>fix 3,0 mmol/L</t>
        </is>
      </c>
      <c r="B23" s="52" t="inlineStr">
        <is>
          <t>fixer Anker</t>
        </is>
      </c>
      <c r="C23" s="53">
        <f>IF(AND(k_ok,ISNUMBER(INDEX(VCalc!$C$5:$W$25,16,1+5*(k_model-1)+0))),ROUND(INDEX(VCalc!$C$5:$W$25,16,1+5*(k_model-1)+0),k_xd),"–")</f>
        <v/>
      </c>
      <c r="D23" s="53">
        <f>IF(AND(k_ok,ISNUMBER(INDEX(VCalc!$C$5:$W$25,16,1+5*(k_model-1)+0))),ROUND(INDEX(VCalc!$C$5:$W$25,16,1+5*(k_model-1)+1),2),"–")</f>
        <v/>
      </c>
      <c r="E23" s="53">
        <f>IF(AND(k_ok,ISNUMBER(INDEX(VCalc!$C$5:$W$25,16,1+5*(k_model-1)+0))),IFERROR(ROUND(IF(k_hrok,k_h0+k_h1*(INDEX(VCalc!$C$5:$W$25,16,1+5*(k_model-1)+0))+k_h2*(INDEX(VCalc!$C$5:$W$25,16,1+5*(k_model-1)+0))^2,""),0),"–"),"–")</f>
        <v/>
      </c>
      <c r="F23" s="54">
        <f>IF(k_ok,MID(IF(INDEX(VCalc!$C$5:$W$25,16,1+5*(k_model-1)+2)&lt;&gt;""," · "&amp;INDEX(VCalc!$C$5:$W$25,16,1+5*(k_model-1)+2),"")&amp;IF(INDEX(VCalc!$C$5:$W$25,16,1+5*(k_model-1)+3)&lt;&gt;""," · "&amp;INDEX(VCalc!$C$5:$W$25,16,1+5*(k_model-1)+3),"")&amp;IF(INDEX(VCalc!$C$5:$W$25,16,1+5*(k_model-1)+4)&lt;&gt;""," · "&amp;INDEX(VCalc!$C$5:$W$25,16,1+5*(k_model-1)+4),""),4,500),"")</f>
        <v/>
      </c>
      <c r="G23" s="55">
        <f>IF(k_m1=16,"● LT1","")</f>
        <v/>
      </c>
      <c r="H23" s="56">
        <f>IF(k_m2=16,"● LT2","")</f>
        <v/>
      </c>
    </row>
    <row r="24">
      <c r="A24" s="51" t="inlineStr">
        <is>
          <t>fix 3,5 mmol/L</t>
        </is>
      </c>
      <c r="B24" s="52" t="inlineStr">
        <is>
          <t>fixer Anker</t>
        </is>
      </c>
      <c r="C24" s="53">
        <f>IF(AND(k_ok,ISNUMBER(INDEX(VCalc!$C$5:$W$25,17,1+5*(k_model-1)+0))),ROUND(INDEX(VCalc!$C$5:$W$25,17,1+5*(k_model-1)+0),k_xd),"–")</f>
        <v/>
      </c>
      <c r="D24" s="53">
        <f>IF(AND(k_ok,ISNUMBER(INDEX(VCalc!$C$5:$W$25,17,1+5*(k_model-1)+0))),ROUND(INDEX(VCalc!$C$5:$W$25,17,1+5*(k_model-1)+1),2),"–")</f>
        <v/>
      </c>
      <c r="E24" s="53">
        <f>IF(AND(k_ok,ISNUMBER(INDEX(VCalc!$C$5:$W$25,17,1+5*(k_model-1)+0))),IFERROR(ROUND(IF(k_hrok,k_h0+k_h1*(INDEX(VCalc!$C$5:$W$25,17,1+5*(k_model-1)+0))+k_h2*(INDEX(VCalc!$C$5:$W$25,17,1+5*(k_model-1)+0))^2,""),0),"–"),"–")</f>
        <v/>
      </c>
      <c r="F24" s="54">
        <f>IF(k_ok,MID(IF(INDEX(VCalc!$C$5:$W$25,17,1+5*(k_model-1)+2)&lt;&gt;""," · "&amp;INDEX(VCalc!$C$5:$W$25,17,1+5*(k_model-1)+2),"")&amp;IF(INDEX(VCalc!$C$5:$W$25,17,1+5*(k_model-1)+3)&lt;&gt;""," · "&amp;INDEX(VCalc!$C$5:$W$25,17,1+5*(k_model-1)+3),"")&amp;IF(INDEX(VCalc!$C$5:$W$25,17,1+5*(k_model-1)+4)&lt;&gt;""," · "&amp;INDEX(VCalc!$C$5:$W$25,17,1+5*(k_model-1)+4),""),4,500),"")</f>
        <v/>
      </c>
      <c r="G24" s="55">
        <f>IF(k_m1=17,"● LT1","")</f>
        <v/>
      </c>
      <c r="H24" s="56">
        <f>IF(k_m2=17,"● LT2","")</f>
        <v/>
      </c>
    </row>
    <row r="25">
      <c r="A25" s="51" t="inlineStr">
        <is>
          <t>fix 4,0 mmol/L (OBLA)</t>
        </is>
      </c>
      <c r="B25" s="52" t="inlineStr">
        <is>
          <t>obere fixe Schwelle, ≠ MLSS</t>
        </is>
      </c>
      <c r="C25" s="53">
        <f>IF(AND(k_ok,ISNUMBER(INDEX(VCalc!$C$5:$W$25,18,1+5*(k_model-1)+0))),ROUND(INDEX(VCalc!$C$5:$W$25,18,1+5*(k_model-1)+0),k_xd),"–")</f>
        <v/>
      </c>
      <c r="D25" s="53">
        <f>IF(AND(k_ok,ISNUMBER(INDEX(VCalc!$C$5:$W$25,18,1+5*(k_model-1)+0))),ROUND(INDEX(VCalc!$C$5:$W$25,18,1+5*(k_model-1)+1),2),"–")</f>
        <v/>
      </c>
      <c r="E25" s="53">
        <f>IF(AND(k_ok,ISNUMBER(INDEX(VCalc!$C$5:$W$25,18,1+5*(k_model-1)+0))),IFERROR(ROUND(IF(k_hrok,k_h0+k_h1*(INDEX(VCalc!$C$5:$W$25,18,1+5*(k_model-1)+0))+k_h2*(INDEX(VCalc!$C$5:$W$25,18,1+5*(k_model-1)+0))^2,""),0),"–"),"–")</f>
        <v/>
      </c>
      <c r="F25" s="54">
        <f>IF(k_ok,MID(IF(INDEX(VCalc!$C$5:$W$25,18,1+5*(k_model-1)+2)&lt;&gt;""," · "&amp;INDEX(VCalc!$C$5:$W$25,18,1+5*(k_model-1)+2),"")&amp;IF(INDEX(VCalc!$C$5:$W$25,18,1+5*(k_model-1)+3)&lt;&gt;""," · "&amp;INDEX(VCalc!$C$5:$W$25,18,1+5*(k_model-1)+3),"")&amp;IF(INDEX(VCalc!$C$5:$W$25,18,1+5*(k_model-1)+4)&lt;&gt;""," · "&amp;INDEX(VCalc!$C$5:$W$25,18,1+5*(k_model-1)+4),""),4,500),"")</f>
        <v/>
      </c>
      <c r="G25" s="55">
        <f>IF(k_m1=18,"● LT1","")</f>
        <v/>
      </c>
      <c r="H25" s="56">
        <f>IF(k_m2=18,"● LT2","")</f>
        <v/>
      </c>
    </row>
    <row r="26">
      <c r="A26" s="51" t="inlineStr">
        <is>
          <t>Baldari-Guidetti</t>
        </is>
      </c>
      <c r="B26" s="52" t="inlineStr">
        <is>
          <t>MLSS-Näherung</t>
        </is>
      </c>
      <c r="C26" s="53">
        <f>IF(AND(k_ok,ISNUMBER(INDEX(VCalc!$C$5:$W$25,19,1+5*(k_model-1)+0))),ROUND(INDEX(VCalc!$C$5:$W$25,19,1+5*(k_model-1)+0),k_xd),"–")</f>
        <v/>
      </c>
      <c r="D26" s="53">
        <f>IF(AND(k_ok,ISNUMBER(INDEX(VCalc!$C$5:$W$25,19,1+5*(k_model-1)+0))),ROUND(INDEX(VCalc!$C$5:$W$25,19,1+5*(k_model-1)+1),2),"–")</f>
        <v/>
      </c>
      <c r="E26" s="53">
        <f>IF(AND(k_ok,ISNUMBER(INDEX(VCalc!$C$5:$W$25,19,1+5*(k_model-1)+0))),IFERROR(ROUND(IF(k_hrok,k_h0+k_h1*(INDEX(VCalc!$C$5:$W$25,19,1+5*(k_model-1)+0))+k_h2*(INDEX(VCalc!$C$5:$W$25,19,1+5*(k_model-1)+0))^2,""),0),"–"),"–")</f>
        <v/>
      </c>
      <c r="F26" s="54">
        <f>IF(k_ok,MID(IF(INDEX(VCalc!$C$5:$W$25,19,1+5*(k_model-1)+2)&lt;&gt;""," · "&amp;INDEX(VCalc!$C$5:$W$25,19,1+5*(k_model-1)+2),"")&amp;IF(INDEX(VCalc!$C$5:$W$25,19,1+5*(k_model-1)+3)&lt;&gt;""," · "&amp;INDEX(VCalc!$C$5:$W$25,19,1+5*(k_model-1)+3),"")&amp;IF(INDEX(VCalc!$C$5:$W$25,19,1+5*(k_model-1)+4)&lt;&gt;""," · "&amp;INDEX(VCalc!$C$5:$W$25,19,1+5*(k_model-1)+4),""),4,500),"")</f>
        <v/>
      </c>
      <c r="G26" s="55">
        <f>IF(k_m1=19,"● LT1","")</f>
        <v/>
      </c>
      <c r="H26" s="56">
        <f>IF(k_m2=19,"● LT2","")</f>
        <v/>
      </c>
    </row>
    <row r="27">
      <c r="A27" s="51" t="inlineStr">
        <is>
          <t>Keul (Tangente 51°)</t>
        </is>
      </c>
      <c r="B27" s="52" t="inlineStr">
        <is>
          <t>historisch</t>
        </is>
      </c>
      <c r="C27" s="53">
        <f>IF(AND(k_ok,ISNUMBER(INDEX(VCalc!$C$5:$W$25,20,1+5*(k_model-1)+0))),ROUND(INDEX(VCalc!$C$5:$W$25,20,1+5*(k_model-1)+0),k_xd),"–")</f>
        <v/>
      </c>
      <c r="D27" s="53">
        <f>IF(AND(k_ok,ISNUMBER(INDEX(VCalc!$C$5:$W$25,20,1+5*(k_model-1)+0))),ROUND(INDEX(VCalc!$C$5:$W$25,20,1+5*(k_model-1)+1),2),"–")</f>
        <v/>
      </c>
      <c r="E27" s="53">
        <f>IF(AND(k_ok,ISNUMBER(INDEX(VCalc!$C$5:$W$25,20,1+5*(k_model-1)+0))),IFERROR(ROUND(IF(k_hrok,k_h0+k_h1*(INDEX(VCalc!$C$5:$W$25,20,1+5*(k_model-1)+0))+k_h2*(INDEX(VCalc!$C$5:$W$25,20,1+5*(k_model-1)+0))^2,""),0),"–"),"–")</f>
        <v/>
      </c>
      <c r="F27" s="54">
        <f>IF(k_ok,MID(IF(INDEX(VCalc!$C$5:$W$25,20,1+5*(k_model-1)+2)&lt;&gt;""," · "&amp;INDEX(VCalc!$C$5:$W$25,20,1+5*(k_model-1)+2),"")&amp;IF(INDEX(VCalc!$C$5:$W$25,20,1+5*(k_model-1)+3)&lt;&gt;""," · "&amp;INDEX(VCalc!$C$5:$W$25,20,1+5*(k_model-1)+3),"")&amp;IF(INDEX(VCalc!$C$5:$W$25,20,1+5*(k_model-1)+4)&lt;&gt;""," · "&amp;INDEX(VCalc!$C$5:$W$25,20,1+5*(k_model-1)+4),""),4,500),"")</f>
        <v/>
      </c>
      <c r="G27" s="55">
        <f>IF(k_m1=20,"● LT1","")</f>
        <v/>
      </c>
      <c r="H27" s="56">
        <f>IF(k_m2=20,"● LT2","")</f>
        <v/>
      </c>
    </row>
    <row r="28">
      <c r="A28" s="51" t="inlineStr">
        <is>
          <t>Laktatminimum (Tegtbur)</t>
        </is>
      </c>
      <c r="B28" s="52" t="inlineStr">
        <is>
          <t>nur bei LMT-Protokoll</t>
        </is>
      </c>
      <c r="C28" s="53">
        <f>IF(AND(k_ok,ISNUMBER(INDEX(VCalc!$C$5:$W$25,21,1+5*(k_model-1)+0))),ROUND(INDEX(VCalc!$C$5:$W$25,21,1+5*(k_model-1)+0),k_xd),"–")</f>
        <v/>
      </c>
      <c r="D28" s="53">
        <f>IF(AND(k_ok,ISNUMBER(INDEX(VCalc!$C$5:$W$25,21,1+5*(k_model-1)+0))),ROUND(INDEX(VCalc!$C$5:$W$25,21,1+5*(k_model-1)+1),2),"–")</f>
        <v/>
      </c>
      <c r="E28" s="53">
        <f>IF(AND(k_ok,ISNUMBER(INDEX(VCalc!$C$5:$W$25,21,1+5*(k_model-1)+0))),IFERROR(ROUND(IF(k_hrok,k_h0+k_h1*(INDEX(VCalc!$C$5:$W$25,21,1+5*(k_model-1)+0))+k_h2*(INDEX(VCalc!$C$5:$W$25,21,1+5*(k_model-1)+0))^2,""),0),"–"),"–")</f>
        <v/>
      </c>
      <c r="F28" s="54">
        <f>IF(k_ok,MID(IF(INDEX(VCalc!$C$5:$W$25,21,1+5*(k_model-1)+2)&lt;&gt;""," · "&amp;INDEX(VCalc!$C$5:$W$25,21,1+5*(k_model-1)+2),"")&amp;IF(INDEX(VCalc!$C$5:$W$25,21,1+5*(k_model-1)+3)&lt;&gt;""," · "&amp;INDEX(VCalc!$C$5:$W$25,21,1+5*(k_model-1)+3),"")&amp;IF(INDEX(VCalc!$C$5:$W$25,21,1+5*(k_model-1)+4)&lt;&gt;""," · "&amp;INDEX(VCalc!$C$5:$W$25,21,1+5*(k_model-1)+4),""),4,500),"")</f>
        <v/>
      </c>
      <c r="G28" s="55">
        <f>IF(k_m1=21,"● LT1","")</f>
        <v/>
      </c>
      <c r="H28" s="56">
        <f>IF(k_m2=21,"● LT2","")</f>
        <v/>
      </c>
    </row>
    <row r="31">
      <c r="A31" s="6" t="inlineStr">
        <is>
          <t>Modellvergleich am selben Datensatz</t>
        </is>
      </c>
    </row>
    <row r="32">
      <c r="A32" s="5" t="inlineStr">
        <is>
          <t>Wie stark sich LT1 und LT2 allein durch das Kurvenmodell verschieben. Ein höheres R² macht ein Modell nicht besser.</t>
        </is>
      </c>
    </row>
    <row r="33">
      <c r="A33" s="46" t="inlineStr">
        <is>
          <t>Modell</t>
        </is>
      </c>
      <c r="B33" s="47" t="inlineStr">
        <is>
          <t>Parameter</t>
        </is>
      </c>
      <c r="C33" s="47" t="inlineStr">
        <is>
          <t>R²</t>
        </is>
      </c>
      <c r="D33" s="47" t="inlineStr">
        <is>
          <t>RMSE</t>
        </is>
      </c>
      <c r="E33" s="47">
        <f>"LT1 · "&amp;Eingabe!$I$5</f>
        <v/>
      </c>
      <c r="F33" s="47">
        <f>"LT2 · "&amp;Eingabe!$I$6</f>
        <v/>
      </c>
      <c r="G33" s="47" t="inlineStr">
        <is>
          <t>Δ LT2</t>
        </is>
      </c>
    </row>
    <row r="34">
      <c r="A34" s="23">
        <f>"Polynom 2. Grades"&amp;IF(AND(Calc!$B$82,Calc!$G$82)," (exakt)","")&amp;IF(k_model=1,"  ◄ gewählt","")</f>
        <v/>
      </c>
      <c r="B34" s="24">
        <f>IF(Calc!$B$82,Calc!$C$82,"nicht anpassbar")</f>
        <v/>
      </c>
      <c r="C34" s="24">
        <f>IF(AND(k_ok,Calc!$B$82),ROUND(Calc!$E$82,4),"–")</f>
        <v/>
      </c>
      <c r="D34" s="24">
        <f>IF(AND(k_ok,Calc!$B$82),ROUND(Calc!$F$82,3),"–")</f>
        <v/>
      </c>
      <c r="E34" s="24">
        <f>IF(AND(k_ok,Calc!$B$82,ISNUMBER(INDEX(VCalc!$C$5:$W$25,k_m1,1))),ROUND(INDEX(VCalc!$C$5:$W$25,k_m1,1),k_xd),"–")</f>
        <v/>
      </c>
      <c r="F34" s="24">
        <f>IF(AND(k_ok,Calc!$B$82,ISNUMBER(INDEX(VCalc!$C$5:$W$25,k_m2,1))),ROUND(INDEX(VCalc!$C$5:$W$25,k_m2,1),k_xd),"–")</f>
        <v/>
      </c>
      <c r="G34" s="24">
        <f>IF(AND(k_ok,Calc!$B$82,ISNUMBER(INDEX(VCalc!$C$5:$W$25,k_m2,1)),ISNUMBER(INDEX(VCalc!$C$5:$W$25,k_m2,1+5*(k_model-1)))),IF(k_model=1,"Referenz",IF(INDEX(VCalc!$C$5:$W$25,k_m2,1)-INDEX(VCalc!$C$5:$W$25,k_m2,1+5*(k_model-1))&gt;=0,"+","")&amp;FIXED(INDEX(VCalc!$C$5:$W$25,k_m2,1)-INDEX(VCalc!$C$5:$W$25,k_m2,1+5*(k_model-1)),k_xd,TRUE)),"–")</f>
        <v/>
      </c>
    </row>
    <row r="35">
      <c r="A35" s="23">
        <f>"Polynom 3. Grades"&amp;IF(AND(Calc!$B$83,Calc!$G$83)," (exakt)","")&amp;IF(k_model=2,"  ◄ gewählt","")</f>
        <v/>
      </c>
      <c r="B35" s="24">
        <f>IF(Calc!$B$83,Calc!$C$83,"nicht anpassbar")</f>
        <v/>
      </c>
      <c r="C35" s="24">
        <f>IF(AND(k_ok,Calc!$B$83),ROUND(Calc!$E$83,4),"–")</f>
        <v/>
      </c>
      <c r="D35" s="24">
        <f>IF(AND(k_ok,Calc!$B$83),ROUND(Calc!$F$83,3),"–")</f>
        <v/>
      </c>
      <c r="E35" s="24">
        <f>IF(AND(k_ok,Calc!$B$83,ISNUMBER(INDEX(VCalc!$C$5:$W$25,k_m1,6))),ROUND(INDEX(VCalc!$C$5:$W$25,k_m1,6),k_xd),"–")</f>
        <v/>
      </c>
      <c r="F35" s="24">
        <f>IF(AND(k_ok,Calc!$B$83,ISNUMBER(INDEX(VCalc!$C$5:$W$25,k_m2,6))),ROUND(INDEX(VCalc!$C$5:$W$25,k_m2,6),k_xd),"–")</f>
        <v/>
      </c>
      <c r="G35" s="24">
        <f>IF(AND(k_ok,Calc!$B$83,ISNUMBER(INDEX(VCalc!$C$5:$W$25,k_m2,6)),ISNUMBER(INDEX(VCalc!$C$5:$W$25,k_m2,1+5*(k_model-1)))),IF(k_model=2,"Referenz",IF(INDEX(VCalc!$C$5:$W$25,k_m2,6)-INDEX(VCalc!$C$5:$W$25,k_m2,1+5*(k_model-1))&gt;=0,"+","")&amp;FIXED(INDEX(VCalc!$C$5:$W$25,k_m2,6)-INDEX(VCalc!$C$5:$W$25,k_m2,1+5*(k_model-1)),k_xd,TRUE)),"–")</f>
        <v/>
      </c>
    </row>
    <row r="36">
      <c r="A36" s="23">
        <f>"Polynom 4. Grades"&amp;IF(AND(Calc!$B$84,Calc!$G$84)," (exakt)","")&amp;IF(k_model=3,"  ◄ gewählt","")</f>
        <v/>
      </c>
      <c r="B36" s="24">
        <f>IF(Calc!$B$84,Calc!$C$84,"nicht anpassbar")</f>
        <v/>
      </c>
      <c r="C36" s="24">
        <f>IF(AND(k_ok,Calc!$B$84),ROUND(Calc!$E$84,4),"–")</f>
        <v/>
      </c>
      <c r="D36" s="24">
        <f>IF(AND(k_ok,Calc!$B$84),ROUND(Calc!$F$84,3),"–")</f>
        <v/>
      </c>
      <c r="E36" s="24">
        <f>IF(AND(k_ok,Calc!$B$84,ISNUMBER(INDEX(VCalc!$C$5:$W$25,k_m1,11))),ROUND(INDEX(VCalc!$C$5:$W$25,k_m1,11),k_xd),"–")</f>
        <v/>
      </c>
      <c r="F36" s="24">
        <f>IF(AND(k_ok,Calc!$B$84,ISNUMBER(INDEX(VCalc!$C$5:$W$25,k_m2,11))),ROUND(INDEX(VCalc!$C$5:$W$25,k_m2,11),k_xd),"–")</f>
        <v/>
      </c>
      <c r="G36" s="24">
        <f>IF(AND(k_ok,Calc!$B$84,ISNUMBER(INDEX(VCalc!$C$5:$W$25,k_m2,11)),ISNUMBER(INDEX(VCalc!$C$5:$W$25,k_m2,1+5*(k_model-1)))),IF(k_model=3,"Referenz",IF(INDEX(VCalc!$C$5:$W$25,k_m2,11)-INDEX(VCalc!$C$5:$W$25,k_m2,1+5*(k_model-1))&gt;=0,"+","")&amp;FIXED(INDEX(VCalc!$C$5:$W$25,k_m2,11)-INDEX(VCalc!$C$5:$W$25,k_m2,1+5*(k_model-1)),k_xd,TRUE)),"–")</f>
        <v/>
      </c>
    </row>
    <row r="37">
      <c r="A37" s="23">
        <f>"Exponentiell"&amp;IF(AND(Calc!$B$85,Calc!$G$85)," (exakt)","")&amp;IF(k_model=4,"  ◄ gewählt","")</f>
        <v/>
      </c>
      <c r="B37" s="24">
        <f>IF(Calc!$B$85,Calc!$C$85,"nicht anpassbar")</f>
        <v/>
      </c>
      <c r="C37" s="24">
        <f>IF(AND(k_ok,Calc!$B$85),ROUND(Calc!$E$85,4),"–")</f>
        <v/>
      </c>
      <c r="D37" s="24">
        <f>IF(AND(k_ok,Calc!$B$85),ROUND(Calc!$F$85,3),"–")</f>
        <v/>
      </c>
      <c r="E37" s="24">
        <f>IF(AND(k_ok,Calc!$B$85,ISNUMBER(INDEX(VCalc!$C$5:$W$25,k_m1,16))),ROUND(INDEX(VCalc!$C$5:$W$25,k_m1,16),k_xd),"–")</f>
        <v/>
      </c>
      <c r="F37" s="24">
        <f>IF(AND(k_ok,Calc!$B$85,ISNUMBER(INDEX(VCalc!$C$5:$W$25,k_m2,16))),ROUND(INDEX(VCalc!$C$5:$W$25,k_m2,16),k_xd),"–")</f>
        <v/>
      </c>
      <c r="G37" s="24">
        <f>IF(AND(k_ok,Calc!$B$85,ISNUMBER(INDEX(VCalc!$C$5:$W$25,k_m2,16)),ISNUMBER(INDEX(VCalc!$C$5:$W$25,k_m2,1+5*(k_model-1)))),IF(k_model=4,"Referenz",IF(INDEX(VCalc!$C$5:$W$25,k_m2,16)-INDEX(VCalc!$C$5:$W$25,k_m2,1+5*(k_model-1))&gt;=0,"+","")&amp;FIXED(INDEX(VCalc!$C$5:$W$25,k_m2,16)-INDEX(VCalc!$C$5:$W$25,k_m2,1+5*(k_model-1)),k_xd,TRUE)),"–")</f>
        <v/>
      </c>
    </row>
    <row r="39">
      <c r="A39" s="5">
        <f>IF(k_ok,"Koeffizienten des gewählten Modells (x in "&amp;k_unit&amp;"): "&amp;k_eq,"")</f>
        <v/>
      </c>
    </row>
    <row r="40">
      <c r="A40" s="5">
        <f>IF(k_ok,"Güte gewählt: R² "&amp;FIXED(N(k_r2),4,TRUE)&amp;" · RMSE "&amp;FIXED(k_rmse,3,TRUE)&amp;" mmol/L · n = "&amp;k_n&amp;IF(k_gok," · Hilfsgeraden-RMSE "&amp;FIXED(k_grmse,3,TRUE)&amp;" mmol/L"&amp;IF(Guide!$B$6," (optimale Knoten)"," (Knoten an LT1/LT2) · Regressions-Optimum bei "&amp;IF(k_3ok,FIXED(k_3k1,k_xd,TRUE)&amp;" / "&amp;FIXED(k_3k2,k_xd,TRUE),"–")),""),"")</f>
        <v/>
      </c>
    </row>
  </sheetData>
  <conditionalFormatting sqref="A6:F6">
    <cfRule type="expression" priority="1" dxfId="1">
      <formula>OR(k_m1=1,k_m2=1)</formula>
    </cfRule>
  </conditionalFormatting>
  <conditionalFormatting sqref="A7:F7">
    <cfRule type="expression" priority="2" dxfId="1">
      <formula>OR(k_m1=2,k_m2=2)</formula>
    </cfRule>
  </conditionalFormatting>
  <conditionalFormatting sqref="A8:F8">
    <cfRule type="expression" priority="3" dxfId="1">
      <formula>OR(k_m1=3,k_m2=3)</formula>
    </cfRule>
  </conditionalFormatting>
  <conditionalFormatting sqref="A9:F9">
    <cfRule type="expression" priority="4" dxfId="1">
      <formula>OR(k_m1=4,k_m2=4)</formula>
    </cfRule>
  </conditionalFormatting>
  <conditionalFormatting sqref="A10:F10">
    <cfRule type="expression" priority="5" dxfId="1">
      <formula>OR(k_m1=5,k_m2=5)</formula>
    </cfRule>
  </conditionalFormatting>
  <conditionalFormatting sqref="A11:F11">
    <cfRule type="expression" priority="6" dxfId="1">
      <formula>OR(k_m1=6,k_m2=6)</formula>
    </cfRule>
  </conditionalFormatting>
  <conditionalFormatting sqref="A13:F13">
    <cfRule type="expression" priority="7" dxfId="1">
      <formula>OR(k_m1=7,k_m2=7)</formula>
    </cfRule>
  </conditionalFormatting>
  <conditionalFormatting sqref="A14:F14">
    <cfRule type="expression" priority="8" dxfId="1">
      <formula>OR(k_m1=8,k_m2=8)</formula>
    </cfRule>
  </conditionalFormatting>
  <conditionalFormatting sqref="A15:F15">
    <cfRule type="expression" priority="9" dxfId="1">
      <formula>OR(k_m1=9,k_m2=9)</formula>
    </cfRule>
  </conditionalFormatting>
  <conditionalFormatting sqref="A16:F16">
    <cfRule type="expression" priority="10" dxfId="1">
      <formula>OR(k_m1=10,k_m2=10)</formula>
    </cfRule>
  </conditionalFormatting>
  <conditionalFormatting sqref="A17:F17">
    <cfRule type="expression" priority="11" dxfId="1">
      <formula>OR(k_m1=11,k_m2=11)</formula>
    </cfRule>
  </conditionalFormatting>
  <conditionalFormatting sqref="A18:F18">
    <cfRule type="expression" priority="12" dxfId="1">
      <formula>OR(k_m1=12,k_m2=12)</formula>
    </cfRule>
  </conditionalFormatting>
  <conditionalFormatting sqref="A19:F19">
    <cfRule type="expression" priority="13" dxfId="1">
      <formula>OR(k_m1=13,k_m2=13)</formula>
    </cfRule>
  </conditionalFormatting>
  <conditionalFormatting sqref="A20:F20">
    <cfRule type="expression" priority="14" dxfId="1">
      <formula>OR(k_m1=14,k_m2=14)</formula>
    </cfRule>
  </conditionalFormatting>
  <conditionalFormatting sqref="A21:F21">
    <cfRule type="expression" priority="15" dxfId="1">
      <formula>OR(k_m1=15,k_m2=15)</formula>
    </cfRule>
  </conditionalFormatting>
  <conditionalFormatting sqref="A23:F23">
    <cfRule type="expression" priority="16" dxfId="1">
      <formula>OR(k_m1=16,k_m2=16)</formula>
    </cfRule>
  </conditionalFormatting>
  <conditionalFormatting sqref="A24:F24">
    <cfRule type="expression" priority="17" dxfId="1">
      <formula>OR(k_m1=17,k_m2=17)</formula>
    </cfRule>
  </conditionalFormatting>
  <conditionalFormatting sqref="A25:F25">
    <cfRule type="expression" priority="18" dxfId="1">
      <formula>OR(k_m1=18,k_m2=18)</formula>
    </cfRule>
  </conditionalFormatting>
  <conditionalFormatting sqref="A26:F26">
    <cfRule type="expression" priority="19" dxfId="1">
      <formula>OR(k_m1=19,k_m2=19)</formula>
    </cfRule>
  </conditionalFormatting>
  <conditionalFormatting sqref="A27:F27">
    <cfRule type="expression" priority="20" dxfId="1">
      <formula>OR(k_m1=20,k_m2=20)</formula>
    </cfRule>
  </conditionalFormatting>
  <conditionalFormatting sqref="A28:F28">
    <cfRule type="expression" priority="21" dxfId="1">
      <formula>OR(k_m1=21,k_m2=21)</formula>
    </cfRule>
  </conditionalFormatting>
  <conditionalFormatting sqref="A34:G34">
    <cfRule type="expression" priority="22" dxfId="1">
      <formula>k_model=1</formula>
    </cfRule>
  </conditionalFormatting>
  <conditionalFormatting sqref="A35:G35">
    <cfRule type="expression" priority="23" dxfId="1">
      <formula>k_model=2</formula>
    </cfRule>
  </conditionalFormatting>
  <conditionalFormatting sqref="A36:G36">
    <cfRule type="expression" priority="24" dxfId="1">
      <formula>k_model=3</formula>
    </cfRule>
  </conditionalFormatting>
  <conditionalFormatting sqref="A37:G37">
    <cfRule type="expression" priority="25" dxfId="1">
      <formula>k_model=4</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8"/>
  <sheetViews>
    <sheetView showGridLines="0" workbookViewId="0">
      <selection activeCell="A1" sqref="A1"/>
    </sheetView>
  </sheetViews>
  <sheetFormatPr baseColWidth="8" defaultRowHeight="15"/>
  <cols>
    <col width="12" customWidth="1" min="1" max="1"/>
  </cols>
  <sheetData>
    <row r="1">
      <c r="A1" s="4" t="inlineStr">
        <is>
          <t>Weitere Darstellungen</t>
        </is>
      </c>
    </row>
    <row r="2">
      <c r="A2" s="5" t="inlineStr">
        <is>
          <t>Laktatäquivalent: Das Minimum markiert den Übergang aus dem aeroben Grundbereich (Grundlage des Dickhuth-Verfahrens: LEmin + 1,5 mmol/L). Log-Log: ln Laktat gegen ln Belastung, zwei Regressionsgeraden, Schnittpunkt = Log-Log-Breakpoint.</t>
        </is>
      </c>
    </row>
    <row r="24">
      <c r="A24" s="7">
        <f>IF(k_llok,"Log-Log-Breakpoint bei "&amp;FIXED(k_llx,k_xd,TRUE)&amp;" "&amp;k_unit&amp;" (Segmente "&amp;k_llk&amp;" + "&amp;(k_n-k_llk)&amp;" Punkte)","Log-Log-Breakpoint nicht bestimmbar")</f>
        <v/>
      </c>
    </row>
    <row r="25">
      <c r="A25" s="7">
        <f>IF(k_ok,"LEmin bei "&amp;FIXED(INDEX(VCalc!$C$35:$F$35,k_model),k_xd,TRUE)&amp;" "&amp;k_unit&amp;" ("&amp;FIXED(INDEX(VCalc!$C$36:$F$36,k_model),2,TRUE)&amp;" mmol/L)","")</f>
        <v/>
      </c>
    </row>
    <row r="27">
      <c r="A27" s="6" t="inlineStr">
        <is>
          <t>Glukose zu Belastung</t>
        </is>
      </c>
    </row>
    <row r="28">
      <c r="A28" s="7">
        <f>IF(AND(k_gluOn,k_ng&gt;=2),k_ng&amp;" Werte · erste → letzte Stufe "&amp;IF(INDEX(Calc!$AL$3:$AL$22,k_ng)-Calc!$AL$3&gt;=0,"+","")&amp;FIXED(INDEX(Calc!$AL$3:$AL$22,k_ng)-Calc!$AL$3,k_gd,TRUE)&amp;" "&amp;k_gluU&amp;" · Minimum "&amp;FIXED(MIN(OFFSET(Calc!$AL$3,0,0,k_ng,1)),k_gd,TRUE)&amp;" bei "&amp;FIXED(INDEX(Calc!$AK$3:$AK$22,MATCH(MIN(OFFSET(Calc!$AL$3,0,0,k_ng,1)),OFFSET(Calc!$AL$3,0,0,k_ng,1),0)),k_xd,TRUE)&amp;" "&amp;k_unit,"Glukose-Auswertung: im Blatt „Eingabe“ „Glukose je Stufe erfassen = Ja“ wählen und mind. 2 Werte eintragen.")</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H155"/>
  <sheetViews>
    <sheetView showGridLines="0" workbookViewId="0">
      <selection activeCell="A1" sqref="A1"/>
    </sheetView>
  </sheetViews>
  <sheetFormatPr baseColWidth="8" defaultRowHeight="15"/>
  <cols>
    <col width="22" customWidth="1" min="1" max="1"/>
    <col width="16" customWidth="1" min="2" max="2"/>
    <col width="12" customWidth="1" min="3" max="3"/>
    <col width="12" customWidth="1" min="4" max="4"/>
    <col width="12" customWidth="1" min="5" max="5"/>
    <col width="12" customWidth="1" min="6" max="6"/>
    <col width="12" customWidth="1" min="7" max="7"/>
    <col width="12" customWidth="1" min="8" max="8"/>
  </cols>
  <sheetData>
    <row r="1">
      <c r="A1" s="57">
        <f>IF(Eingabe!$B$12&lt;&gt;"",Eingabe!$B$12,"")</f>
        <v/>
      </c>
      <c r="H1" s="58" t="inlineStr">
        <is>
          <t>Laktatdiagnostik</t>
        </is>
      </c>
    </row>
    <row r="2">
      <c r="A2" s="5">
        <f>IF(Eingabe!$B$13&lt;&gt;"",Eingabe!$B$13,"")</f>
        <v/>
      </c>
    </row>
    <row r="3">
      <c r="A3" s="59" t="inlineStr">
        <is>
          <t>Ergebnisse der Leistungsdiagnostik</t>
        </is>
      </c>
    </row>
    <row r="5">
      <c r="A5" s="57" t="inlineStr">
        <is>
          <t>Name</t>
        </is>
      </c>
      <c r="B5" s="7">
        <f>Eingabe!$B$4</f>
        <v/>
      </c>
      <c r="E5" s="57" t="inlineStr">
        <is>
          <t>Testleitung</t>
        </is>
      </c>
      <c r="F5" s="7">
        <f>Eingabe!$B$10</f>
        <v/>
      </c>
    </row>
    <row r="6">
      <c r="A6" s="57" t="inlineStr">
        <is>
          <t>Geburtsdatum</t>
        </is>
      </c>
      <c r="B6" s="7">
        <f>IF(ISNUMBER(Eingabe!$B$5),TEXT(Eingabe!$B$5,"DD.MM.YYYY")&amp;IF(ISNUMBER(k_age),"  ("&amp;FIXED(k_age,1,TRUE)&amp;" Jahre)",""),Eingabe!$B$5&amp;"")</f>
        <v/>
      </c>
      <c r="E6" s="57" t="inlineStr">
        <is>
          <t>Untersuchung</t>
        </is>
      </c>
      <c r="F6" s="7">
        <f>IF(k_run,"Laufbandergometrie","Fahrradergometrie")</f>
        <v/>
      </c>
    </row>
    <row r="7">
      <c r="A7" s="57" t="inlineStr">
        <is>
          <t>Größe</t>
        </is>
      </c>
      <c r="B7" s="7">
        <f>IF(ISNUMBER(Eingabe!$B$7),Eingabe!$B$7&amp;" cm","–")</f>
        <v/>
      </c>
      <c r="E7" s="57" t="inlineStr">
        <is>
          <t>Stufen</t>
        </is>
      </c>
      <c r="F7" s="7">
        <f>IF(ISNUMBER(k_dur),FIXED(k_dur,1,TRUE),"–")&amp;" min, "&amp;IF(Eingabe!$E$5="","–",Eingabe!$E$5)</f>
        <v/>
      </c>
    </row>
    <row r="8">
      <c r="A8" s="57" t="inlineStr">
        <is>
          <t>Masse</t>
        </is>
      </c>
      <c r="B8" s="7">
        <f>IF(ISNUMBER(Eingabe!$B$8),Eingabe!$B$8&amp;" kg","–")</f>
        <v/>
      </c>
      <c r="E8" s="57" t="inlineStr">
        <is>
          <t>Probe</t>
        </is>
      </c>
      <c r="F8" s="7">
        <f>Eingabe!$E$6&amp;", "&amp;Eingabe!$E$7</f>
        <v/>
      </c>
    </row>
    <row r="9">
      <c r="A9" s="57" t="inlineStr">
        <is>
          <t>Testdatum</t>
        </is>
      </c>
      <c r="B9" s="7">
        <f>IF(ISNUMBER(Eingabe!$B$6),TEXT(Eingabe!$B$6,"DD.MM.YYYY"),Eingabe!$B$6&amp;"")</f>
        <v/>
      </c>
      <c r="E9" s="57" t="inlineStr">
        <is>
          <t>Analysator</t>
        </is>
      </c>
      <c r="F9" s="7">
        <f>IF(Eingabe!$E$8="","–",Eingabe!$E$8)</f>
        <v/>
      </c>
    </row>
    <row r="10">
      <c r="A10" s="57" t="inlineStr">
        <is>
          <t>Bemerkung</t>
        </is>
      </c>
      <c r="B10" s="7">
        <f>Eingabe!$B$11&amp;""</f>
        <v/>
      </c>
    </row>
    <row r="11">
      <c r="A11" s="60" t="inlineStr">
        <is>
          <t>Ruhewerte</t>
        </is>
      </c>
      <c r="B11" s="7">
        <f>"Laktat "&amp;IF(ISNUMBER(k_rest),FIXED(k_rest,2,TRUE),"–")&amp;" mmol/L     Glukose "&amp;IF(ISNUMBER(Eingabe!$E$10),FIXED(Eingabe!$E$10,k_gd,TRUE),"–")&amp;" "&amp;k_gluU</f>
        <v/>
      </c>
    </row>
    <row r="13">
      <c r="A13" s="61" t="inlineStr">
        <is>
          <t>Gemessene Werte</t>
        </is>
      </c>
      <c r="B13" s="62" t="n"/>
      <c r="C13" s="62" t="n"/>
      <c r="D13" s="62" t="n"/>
      <c r="E13" s="62" t="n"/>
      <c r="F13" s="62" t="n"/>
      <c r="G13" s="62" t="n"/>
      <c r="H13" s="62" t="n"/>
    </row>
    <row r="14">
      <c r="A14" s="63" t="inlineStr">
        <is>
          <t>Zeit [min]</t>
        </is>
      </c>
      <c r="B14" s="64">
        <f>"Belastung ["&amp;k_unit&amp;"]"</f>
        <v/>
      </c>
      <c r="C14" s="64" t="inlineStr">
        <is>
          <t>Pace [min/km]</t>
        </is>
      </c>
      <c r="D14" s="64" t="inlineStr">
        <is>
          <t>Laktat [mmol/L]</t>
        </is>
      </c>
      <c r="E14" s="64" t="inlineStr">
        <is>
          <t>HF [1/min]</t>
        </is>
      </c>
      <c r="F14" s="64">
        <f>IF(k_gluOn,"Glukose ["&amp;k_gluU&amp;"]","")</f>
        <v/>
      </c>
    </row>
    <row r="15">
      <c r="A15" s="65">
        <f>IF(1&lt;=k_n,INDEX(Eingabe!$B$17:$B$36,Calc!$H$3)&amp;"","")</f>
        <v/>
      </c>
      <c r="B15" s="66">
        <f>IF(1&lt;=k_n,ROUND(Calc!$G$3,k_xd),"")</f>
        <v/>
      </c>
      <c r="C15" s="66">
        <f>IF(AND(k_run,1&lt;=k_n),IF(N(Calc!$G$3)&gt;0,INT(ROUND(3600/(Calc!$G$3),0)/60)&amp;":"&amp;TEXT(MOD(ROUND(3600/(Calc!$G$3),0),60),"00"),"–"),"")</f>
        <v/>
      </c>
      <c r="D15" s="67">
        <f>IF(1&lt;=k_n,Calc!$I$3,"")</f>
        <v/>
      </c>
      <c r="E15" s="66">
        <f>IF(1&lt;=k_n,IF(ISNUMBER(Calc!$J$3),Calc!$J$3,"–"),"")</f>
        <v/>
      </c>
      <c r="F15" s="66">
        <f>IF(AND(k_gluOn,1&lt;=k_n),IF(ISNUMBER(INDEX(Eingabe!$F$17:$F$36,Calc!$H$3)),INDEX(Eingabe!$F$17:$F$36,Calc!$H$3),"–"),"")</f>
        <v/>
      </c>
    </row>
    <row r="16">
      <c r="A16" s="65">
        <f>IF(2&lt;=k_n,INDEX(Eingabe!$B$17:$B$36,Calc!$H$4)&amp;"","")</f>
        <v/>
      </c>
      <c r="B16" s="66">
        <f>IF(2&lt;=k_n,ROUND(Calc!$G$4,k_xd),"")</f>
        <v/>
      </c>
      <c r="C16" s="66">
        <f>IF(AND(k_run,2&lt;=k_n),IF(N(Calc!$G$4)&gt;0,INT(ROUND(3600/(Calc!$G$4),0)/60)&amp;":"&amp;TEXT(MOD(ROUND(3600/(Calc!$G$4),0),60),"00"),"–"),"")</f>
        <v/>
      </c>
      <c r="D16" s="67">
        <f>IF(2&lt;=k_n,Calc!$I$4,"")</f>
        <v/>
      </c>
      <c r="E16" s="66">
        <f>IF(2&lt;=k_n,IF(ISNUMBER(Calc!$J$4),Calc!$J$4,"–"),"")</f>
        <v/>
      </c>
      <c r="F16" s="66">
        <f>IF(AND(k_gluOn,2&lt;=k_n),IF(ISNUMBER(INDEX(Eingabe!$F$17:$F$36,Calc!$H$4)),INDEX(Eingabe!$F$17:$F$36,Calc!$H$4),"–"),"")</f>
        <v/>
      </c>
    </row>
    <row r="17">
      <c r="A17" s="65">
        <f>IF(3&lt;=k_n,INDEX(Eingabe!$B$17:$B$36,Calc!$H$5)&amp;"","")</f>
        <v/>
      </c>
      <c r="B17" s="66">
        <f>IF(3&lt;=k_n,ROUND(Calc!$G$5,k_xd),"")</f>
        <v/>
      </c>
      <c r="C17" s="66">
        <f>IF(AND(k_run,3&lt;=k_n),IF(N(Calc!$G$5)&gt;0,INT(ROUND(3600/(Calc!$G$5),0)/60)&amp;":"&amp;TEXT(MOD(ROUND(3600/(Calc!$G$5),0),60),"00"),"–"),"")</f>
        <v/>
      </c>
      <c r="D17" s="67">
        <f>IF(3&lt;=k_n,Calc!$I$5,"")</f>
        <v/>
      </c>
      <c r="E17" s="66">
        <f>IF(3&lt;=k_n,IF(ISNUMBER(Calc!$J$5),Calc!$J$5,"–"),"")</f>
        <v/>
      </c>
      <c r="F17" s="66">
        <f>IF(AND(k_gluOn,3&lt;=k_n),IF(ISNUMBER(INDEX(Eingabe!$F$17:$F$36,Calc!$H$5)),INDEX(Eingabe!$F$17:$F$36,Calc!$H$5),"–"),"")</f>
        <v/>
      </c>
    </row>
    <row r="18">
      <c r="A18" s="65">
        <f>IF(4&lt;=k_n,INDEX(Eingabe!$B$17:$B$36,Calc!$H$6)&amp;"","")</f>
        <v/>
      </c>
      <c r="B18" s="66">
        <f>IF(4&lt;=k_n,ROUND(Calc!$G$6,k_xd),"")</f>
        <v/>
      </c>
      <c r="C18" s="66">
        <f>IF(AND(k_run,4&lt;=k_n),IF(N(Calc!$G$6)&gt;0,INT(ROUND(3600/(Calc!$G$6),0)/60)&amp;":"&amp;TEXT(MOD(ROUND(3600/(Calc!$G$6),0),60),"00"),"–"),"")</f>
        <v/>
      </c>
      <c r="D18" s="67">
        <f>IF(4&lt;=k_n,Calc!$I$6,"")</f>
        <v/>
      </c>
      <c r="E18" s="66">
        <f>IF(4&lt;=k_n,IF(ISNUMBER(Calc!$J$6),Calc!$J$6,"–"),"")</f>
        <v/>
      </c>
      <c r="F18" s="66">
        <f>IF(AND(k_gluOn,4&lt;=k_n),IF(ISNUMBER(INDEX(Eingabe!$F$17:$F$36,Calc!$H$6)),INDEX(Eingabe!$F$17:$F$36,Calc!$H$6),"–"),"")</f>
        <v/>
      </c>
    </row>
    <row r="19">
      <c r="A19" s="65">
        <f>IF(5&lt;=k_n,INDEX(Eingabe!$B$17:$B$36,Calc!$H$7)&amp;"","")</f>
        <v/>
      </c>
      <c r="B19" s="66">
        <f>IF(5&lt;=k_n,ROUND(Calc!$G$7,k_xd),"")</f>
        <v/>
      </c>
      <c r="C19" s="66">
        <f>IF(AND(k_run,5&lt;=k_n),IF(N(Calc!$G$7)&gt;0,INT(ROUND(3600/(Calc!$G$7),0)/60)&amp;":"&amp;TEXT(MOD(ROUND(3600/(Calc!$G$7),0),60),"00"),"–"),"")</f>
        <v/>
      </c>
      <c r="D19" s="67">
        <f>IF(5&lt;=k_n,Calc!$I$7,"")</f>
        <v/>
      </c>
      <c r="E19" s="66">
        <f>IF(5&lt;=k_n,IF(ISNUMBER(Calc!$J$7),Calc!$J$7,"–"),"")</f>
        <v/>
      </c>
      <c r="F19" s="66">
        <f>IF(AND(k_gluOn,5&lt;=k_n),IF(ISNUMBER(INDEX(Eingabe!$F$17:$F$36,Calc!$H$7)),INDEX(Eingabe!$F$17:$F$36,Calc!$H$7),"–"),"")</f>
        <v/>
      </c>
    </row>
    <row r="20">
      <c r="A20" s="65">
        <f>IF(6&lt;=k_n,INDEX(Eingabe!$B$17:$B$36,Calc!$H$8)&amp;"","")</f>
        <v/>
      </c>
      <c r="B20" s="66">
        <f>IF(6&lt;=k_n,ROUND(Calc!$G$8,k_xd),"")</f>
        <v/>
      </c>
      <c r="C20" s="66">
        <f>IF(AND(k_run,6&lt;=k_n),IF(N(Calc!$G$8)&gt;0,INT(ROUND(3600/(Calc!$G$8),0)/60)&amp;":"&amp;TEXT(MOD(ROUND(3600/(Calc!$G$8),0),60),"00"),"–"),"")</f>
        <v/>
      </c>
      <c r="D20" s="67">
        <f>IF(6&lt;=k_n,Calc!$I$8,"")</f>
        <v/>
      </c>
      <c r="E20" s="66">
        <f>IF(6&lt;=k_n,IF(ISNUMBER(Calc!$J$8),Calc!$J$8,"–"),"")</f>
        <v/>
      </c>
      <c r="F20" s="66">
        <f>IF(AND(k_gluOn,6&lt;=k_n),IF(ISNUMBER(INDEX(Eingabe!$F$17:$F$36,Calc!$H$8)),INDEX(Eingabe!$F$17:$F$36,Calc!$H$8),"–"),"")</f>
        <v/>
      </c>
    </row>
    <row r="21">
      <c r="A21" s="65">
        <f>IF(7&lt;=k_n,INDEX(Eingabe!$B$17:$B$36,Calc!$H$9)&amp;"","")</f>
        <v/>
      </c>
      <c r="B21" s="66">
        <f>IF(7&lt;=k_n,ROUND(Calc!$G$9,k_xd),"")</f>
        <v/>
      </c>
      <c r="C21" s="66">
        <f>IF(AND(k_run,7&lt;=k_n),IF(N(Calc!$G$9)&gt;0,INT(ROUND(3600/(Calc!$G$9),0)/60)&amp;":"&amp;TEXT(MOD(ROUND(3600/(Calc!$G$9),0),60),"00"),"–"),"")</f>
        <v/>
      </c>
      <c r="D21" s="67">
        <f>IF(7&lt;=k_n,Calc!$I$9,"")</f>
        <v/>
      </c>
      <c r="E21" s="66">
        <f>IF(7&lt;=k_n,IF(ISNUMBER(Calc!$J$9),Calc!$J$9,"–"),"")</f>
        <v/>
      </c>
      <c r="F21" s="66">
        <f>IF(AND(k_gluOn,7&lt;=k_n),IF(ISNUMBER(INDEX(Eingabe!$F$17:$F$36,Calc!$H$9)),INDEX(Eingabe!$F$17:$F$36,Calc!$H$9),"–"),"")</f>
        <v/>
      </c>
    </row>
    <row r="22">
      <c r="A22" s="65">
        <f>IF(8&lt;=k_n,INDEX(Eingabe!$B$17:$B$36,Calc!$H$10)&amp;"","")</f>
        <v/>
      </c>
      <c r="B22" s="66">
        <f>IF(8&lt;=k_n,ROUND(Calc!$G$10,k_xd),"")</f>
        <v/>
      </c>
      <c r="C22" s="66">
        <f>IF(AND(k_run,8&lt;=k_n),IF(N(Calc!$G$10)&gt;0,INT(ROUND(3600/(Calc!$G$10),0)/60)&amp;":"&amp;TEXT(MOD(ROUND(3600/(Calc!$G$10),0),60),"00"),"–"),"")</f>
        <v/>
      </c>
      <c r="D22" s="67">
        <f>IF(8&lt;=k_n,Calc!$I$10,"")</f>
        <v/>
      </c>
      <c r="E22" s="66">
        <f>IF(8&lt;=k_n,IF(ISNUMBER(Calc!$J$10),Calc!$J$10,"–"),"")</f>
        <v/>
      </c>
      <c r="F22" s="66">
        <f>IF(AND(k_gluOn,8&lt;=k_n),IF(ISNUMBER(INDEX(Eingabe!$F$17:$F$36,Calc!$H$10)),INDEX(Eingabe!$F$17:$F$36,Calc!$H$10),"–"),"")</f>
        <v/>
      </c>
    </row>
    <row r="23">
      <c r="A23" s="65">
        <f>IF(9&lt;=k_n,INDEX(Eingabe!$B$17:$B$36,Calc!$H$11)&amp;"","")</f>
        <v/>
      </c>
      <c r="B23" s="66">
        <f>IF(9&lt;=k_n,ROUND(Calc!$G$11,k_xd),"")</f>
        <v/>
      </c>
      <c r="C23" s="66">
        <f>IF(AND(k_run,9&lt;=k_n),IF(N(Calc!$G$11)&gt;0,INT(ROUND(3600/(Calc!$G$11),0)/60)&amp;":"&amp;TEXT(MOD(ROUND(3600/(Calc!$G$11),0),60),"00"),"–"),"")</f>
        <v/>
      </c>
      <c r="D23" s="67">
        <f>IF(9&lt;=k_n,Calc!$I$11,"")</f>
        <v/>
      </c>
      <c r="E23" s="66">
        <f>IF(9&lt;=k_n,IF(ISNUMBER(Calc!$J$11),Calc!$J$11,"–"),"")</f>
        <v/>
      </c>
      <c r="F23" s="66">
        <f>IF(AND(k_gluOn,9&lt;=k_n),IF(ISNUMBER(INDEX(Eingabe!$F$17:$F$36,Calc!$H$11)),INDEX(Eingabe!$F$17:$F$36,Calc!$H$11),"–"),"")</f>
        <v/>
      </c>
    </row>
    <row r="24">
      <c r="A24" s="65">
        <f>IF(10&lt;=k_n,INDEX(Eingabe!$B$17:$B$36,Calc!$H$12)&amp;"","")</f>
        <v/>
      </c>
      <c r="B24" s="66">
        <f>IF(10&lt;=k_n,ROUND(Calc!$G$12,k_xd),"")</f>
        <v/>
      </c>
      <c r="C24" s="66">
        <f>IF(AND(k_run,10&lt;=k_n),IF(N(Calc!$G$12)&gt;0,INT(ROUND(3600/(Calc!$G$12),0)/60)&amp;":"&amp;TEXT(MOD(ROUND(3600/(Calc!$G$12),0),60),"00"),"–"),"")</f>
        <v/>
      </c>
      <c r="D24" s="67">
        <f>IF(10&lt;=k_n,Calc!$I$12,"")</f>
        <v/>
      </c>
      <c r="E24" s="66">
        <f>IF(10&lt;=k_n,IF(ISNUMBER(Calc!$J$12),Calc!$J$12,"–"),"")</f>
        <v/>
      </c>
      <c r="F24" s="66">
        <f>IF(AND(k_gluOn,10&lt;=k_n),IF(ISNUMBER(INDEX(Eingabe!$F$17:$F$36,Calc!$H$12)),INDEX(Eingabe!$F$17:$F$36,Calc!$H$12),"–"),"")</f>
        <v/>
      </c>
    </row>
    <row r="25">
      <c r="A25" s="65">
        <f>IF(11&lt;=k_n,INDEX(Eingabe!$B$17:$B$36,Calc!$H$13)&amp;"","")</f>
        <v/>
      </c>
      <c r="B25" s="66">
        <f>IF(11&lt;=k_n,ROUND(Calc!$G$13,k_xd),"")</f>
        <v/>
      </c>
      <c r="C25" s="66">
        <f>IF(AND(k_run,11&lt;=k_n),IF(N(Calc!$G$13)&gt;0,INT(ROUND(3600/(Calc!$G$13),0)/60)&amp;":"&amp;TEXT(MOD(ROUND(3600/(Calc!$G$13),0),60),"00"),"–"),"")</f>
        <v/>
      </c>
      <c r="D25" s="67">
        <f>IF(11&lt;=k_n,Calc!$I$13,"")</f>
        <v/>
      </c>
      <c r="E25" s="66">
        <f>IF(11&lt;=k_n,IF(ISNUMBER(Calc!$J$13),Calc!$J$13,"–"),"")</f>
        <v/>
      </c>
      <c r="F25" s="66">
        <f>IF(AND(k_gluOn,11&lt;=k_n),IF(ISNUMBER(INDEX(Eingabe!$F$17:$F$36,Calc!$H$13)),INDEX(Eingabe!$F$17:$F$36,Calc!$H$13),"–"),"")</f>
        <v/>
      </c>
    </row>
    <row r="26">
      <c r="A26" s="65">
        <f>IF(12&lt;=k_n,INDEX(Eingabe!$B$17:$B$36,Calc!$H$14)&amp;"","")</f>
        <v/>
      </c>
      <c r="B26" s="66">
        <f>IF(12&lt;=k_n,ROUND(Calc!$G$14,k_xd),"")</f>
        <v/>
      </c>
      <c r="C26" s="66">
        <f>IF(AND(k_run,12&lt;=k_n),IF(N(Calc!$G$14)&gt;0,INT(ROUND(3600/(Calc!$G$14),0)/60)&amp;":"&amp;TEXT(MOD(ROUND(3600/(Calc!$G$14),0),60),"00"),"–"),"")</f>
        <v/>
      </c>
      <c r="D26" s="67">
        <f>IF(12&lt;=k_n,Calc!$I$14,"")</f>
        <v/>
      </c>
      <c r="E26" s="66">
        <f>IF(12&lt;=k_n,IF(ISNUMBER(Calc!$J$14),Calc!$J$14,"–"),"")</f>
        <v/>
      </c>
      <c r="F26" s="66">
        <f>IF(AND(k_gluOn,12&lt;=k_n),IF(ISNUMBER(INDEX(Eingabe!$F$17:$F$36,Calc!$H$14)),INDEX(Eingabe!$F$17:$F$36,Calc!$H$14),"–"),"")</f>
        <v/>
      </c>
    </row>
    <row r="27">
      <c r="A27" s="65">
        <f>IF(13&lt;=k_n,INDEX(Eingabe!$B$17:$B$36,Calc!$H$15)&amp;"","")</f>
        <v/>
      </c>
      <c r="B27" s="66">
        <f>IF(13&lt;=k_n,ROUND(Calc!$G$15,k_xd),"")</f>
        <v/>
      </c>
      <c r="C27" s="66">
        <f>IF(AND(k_run,13&lt;=k_n),IF(N(Calc!$G$15)&gt;0,INT(ROUND(3600/(Calc!$G$15),0)/60)&amp;":"&amp;TEXT(MOD(ROUND(3600/(Calc!$G$15),0),60),"00"),"–"),"")</f>
        <v/>
      </c>
      <c r="D27" s="67">
        <f>IF(13&lt;=k_n,Calc!$I$15,"")</f>
        <v/>
      </c>
      <c r="E27" s="66">
        <f>IF(13&lt;=k_n,IF(ISNUMBER(Calc!$J$15),Calc!$J$15,"–"),"")</f>
        <v/>
      </c>
      <c r="F27" s="66">
        <f>IF(AND(k_gluOn,13&lt;=k_n),IF(ISNUMBER(INDEX(Eingabe!$F$17:$F$36,Calc!$H$15)),INDEX(Eingabe!$F$17:$F$36,Calc!$H$15),"–"),"")</f>
        <v/>
      </c>
    </row>
    <row r="28">
      <c r="A28" s="65">
        <f>IF(14&lt;=k_n,INDEX(Eingabe!$B$17:$B$36,Calc!$H$16)&amp;"","")</f>
        <v/>
      </c>
      <c r="B28" s="66">
        <f>IF(14&lt;=k_n,ROUND(Calc!$G$16,k_xd),"")</f>
        <v/>
      </c>
      <c r="C28" s="66">
        <f>IF(AND(k_run,14&lt;=k_n),IF(N(Calc!$G$16)&gt;0,INT(ROUND(3600/(Calc!$G$16),0)/60)&amp;":"&amp;TEXT(MOD(ROUND(3600/(Calc!$G$16),0),60),"00"),"–"),"")</f>
        <v/>
      </c>
      <c r="D28" s="67">
        <f>IF(14&lt;=k_n,Calc!$I$16,"")</f>
        <v/>
      </c>
      <c r="E28" s="66">
        <f>IF(14&lt;=k_n,IF(ISNUMBER(Calc!$J$16),Calc!$J$16,"–"),"")</f>
        <v/>
      </c>
      <c r="F28" s="66">
        <f>IF(AND(k_gluOn,14&lt;=k_n),IF(ISNUMBER(INDEX(Eingabe!$F$17:$F$36,Calc!$H$16)),INDEX(Eingabe!$F$17:$F$36,Calc!$H$16),"–"),"")</f>
        <v/>
      </c>
    </row>
    <row r="29">
      <c r="A29" s="65">
        <f>IF(15&lt;=k_n,INDEX(Eingabe!$B$17:$B$36,Calc!$H$17)&amp;"","")</f>
        <v/>
      </c>
      <c r="B29" s="66">
        <f>IF(15&lt;=k_n,ROUND(Calc!$G$17,k_xd),"")</f>
        <v/>
      </c>
      <c r="C29" s="66">
        <f>IF(AND(k_run,15&lt;=k_n),IF(N(Calc!$G$17)&gt;0,INT(ROUND(3600/(Calc!$G$17),0)/60)&amp;":"&amp;TEXT(MOD(ROUND(3600/(Calc!$G$17),0),60),"00"),"–"),"")</f>
        <v/>
      </c>
      <c r="D29" s="67">
        <f>IF(15&lt;=k_n,Calc!$I$17,"")</f>
        <v/>
      </c>
      <c r="E29" s="66">
        <f>IF(15&lt;=k_n,IF(ISNUMBER(Calc!$J$17),Calc!$J$17,"–"),"")</f>
        <v/>
      </c>
      <c r="F29" s="66">
        <f>IF(AND(k_gluOn,15&lt;=k_n),IF(ISNUMBER(INDEX(Eingabe!$F$17:$F$36,Calc!$H$17)),INDEX(Eingabe!$F$17:$F$36,Calc!$H$17),"–"),"")</f>
        <v/>
      </c>
    </row>
    <row r="30">
      <c r="A30" s="65">
        <f>IF(16&lt;=k_n,INDEX(Eingabe!$B$17:$B$36,Calc!$H$18)&amp;"","")</f>
        <v/>
      </c>
      <c r="B30" s="66">
        <f>IF(16&lt;=k_n,ROUND(Calc!$G$18,k_xd),"")</f>
        <v/>
      </c>
      <c r="C30" s="66">
        <f>IF(AND(k_run,16&lt;=k_n),IF(N(Calc!$G$18)&gt;0,INT(ROUND(3600/(Calc!$G$18),0)/60)&amp;":"&amp;TEXT(MOD(ROUND(3600/(Calc!$G$18),0),60),"00"),"–"),"")</f>
        <v/>
      </c>
      <c r="D30" s="67">
        <f>IF(16&lt;=k_n,Calc!$I$18,"")</f>
        <v/>
      </c>
      <c r="E30" s="66">
        <f>IF(16&lt;=k_n,IF(ISNUMBER(Calc!$J$18),Calc!$J$18,"–"),"")</f>
        <v/>
      </c>
      <c r="F30" s="66">
        <f>IF(AND(k_gluOn,16&lt;=k_n),IF(ISNUMBER(INDEX(Eingabe!$F$17:$F$36,Calc!$H$18)),INDEX(Eingabe!$F$17:$F$36,Calc!$H$18),"–"),"")</f>
        <v/>
      </c>
    </row>
    <row r="31">
      <c r="A31" s="65">
        <f>IF(17&lt;=k_n,INDEX(Eingabe!$B$17:$B$36,Calc!$H$19)&amp;"","")</f>
        <v/>
      </c>
      <c r="B31" s="66">
        <f>IF(17&lt;=k_n,ROUND(Calc!$G$19,k_xd),"")</f>
        <v/>
      </c>
      <c r="C31" s="66">
        <f>IF(AND(k_run,17&lt;=k_n),IF(N(Calc!$G$19)&gt;0,INT(ROUND(3600/(Calc!$G$19),0)/60)&amp;":"&amp;TEXT(MOD(ROUND(3600/(Calc!$G$19),0),60),"00"),"–"),"")</f>
        <v/>
      </c>
      <c r="D31" s="67">
        <f>IF(17&lt;=k_n,Calc!$I$19,"")</f>
        <v/>
      </c>
      <c r="E31" s="66">
        <f>IF(17&lt;=k_n,IF(ISNUMBER(Calc!$J$19),Calc!$J$19,"–"),"")</f>
        <v/>
      </c>
      <c r="F31" s="66">
        <f>IF(AND(k_gluOn,17&lt;=k_n),IF(ISNUMBER(INDEX(Eingabe!$F$17:$F$36,Calc!$H$19)),INDEX(Eingabe!$F$17:$F$36,Calc!$H$19),"–"),"")</f>
        <v/>
      </c>
    </row>
    <row r="32">
      <c r="A32" s="65">
        <f>IF(18&lt;=k_n,INDEX(Eingabe!$B$17:$B$36,Calc!$H$20)&amp;"","")</f>
        <v/>
      </c>
      <c r="B32" s="66">
        <f>IF(18&lt;=k_n,ROUND(Calc!$G$20,k_xd),"")</f>
        <v/>
      </c>
      <c r="C32" s="66">
        <f>IF(AND(k_run,18&lt;=k_n),IF(N(Calc!$G$20)&gt;0,INT(ROUND(3600/(Calc!$G$20),0)/60)&amp;":"&amp;TEXT(MOD(ROUND(3600/(Calc!$G$20),0),60),"00"),"–"),"")</f>
        <v/>
      </c>
      <c r="D32" s="67">
        <f>IF(18&lt;=k_n,Calc!$I$20,"")</f>
        <v/>
      </c>
      <c r="E32" s="66">
        <f>IF(18&lt;=k_n,IF(ISNUMBER(Calc!$J$20),Calc!$J$20,"–"),"")</f>
        <v/>
      </c>
      <c r="F32" s="66">
        <f>IF(AND(k_gluOn,18&lt;=k_n),IF(ISNUMBER(INDEX(Eingabe!$F$17:$F$36,Calc!$H$20)),INDEX(Eingabe!$F$17:$F$36,Calc!$H$20),"–"),"")</f>
        <v/>
      </c>
    </row>
    <row r="33">
      <c r="A33" s="65">
        <f>IF(19&lt;=k_n,INDEX(Eingabe!$B$17:$B$36,Calc!$H$21)&amp;"","")</f>
        <v/>
      </c>
      <c r="B33" s="66">
        <f>IF(19&lt;=k_n,ROUND(Calc!$G$21,k_xd),"")</f>
        <v/>
      </c>
      <c r="C33" s="66">
        <f>IF(AND(k_run,19&lt;=k_n),IF(N(Calc!$G$21)&gt;0,INT(ROUND(3600/(Calc!$G$21),0)/60)&amp;":"&amp;TEXT(MOD(ROUND(3600/(Calc!$G$21),0),60),"00"),"–"),"")</f>
        <v/>
      </c>
      <c r="D33" s="67">
        <f>IF(19&lt;=k_n,Calc!$I$21,"")</f>
        <v/>
      </c>
      <c r="E33" s="66">
        <f>IF(19&lt;=k_n,IF(ISNUMBER(Calc!$J$21),Calc!$J$21,"–"),"")</f>
        <v/>
      </c>
      <c r="F33" s="66">
        <f>IF(AND(k_gluOn,19&lt;=k_n),IF(ISNUMBER(INDEX(Eingabe!$F$17:$F$36,Calc!$H$21)),INDEX(Eingabe!$F$17:$F$36,Calc!$H$21),"–"),"")</f>
        <v/>
      </c>
    </row>
    <row r="34">
      <c r="A34" s="65">
        <f>IF(20&lt;=k_n,INDEX(Eingabe!$B$17:$B$36,Calc!$H$22)&amp;"","")</f>
        <v/>
      </c>
      <c r="B34" s="66">
        <f>IF(20&lt;=k_n,ROUND(Calc!$G$22,k_xd),"")</f>
        <v/>
      </c>
      <c r="C34" s="66">
        <f>IF(AND(k_run,20&lt;=k_n),IF(N(Calc!$G$22)&gt;0,INT(ROUND(3600/(Calc!$G$22),0)/60)&amp;":"&amp;TEXT(MOD(ROUND(3600/(Calc!$G$22),0),60),"00"),"–"),"")</f>
        <v/>
      </c>
      <c r="D34" s="67">
        <f>IF(20&lt;=k_n,Calc!$I$22,"")</f>
        <v/>
      </c>
      <c r="E34" s="66">
        <f>IF(20&lt;=k_n,IF(ISNUMBER(Calc!$J$22),Calc!$J$22,"–"),"")</f>
        <v/>
      </c>
      <c r="F34" s="66">
        <f>IF(AND(k_gluOn,20&lt;=k_n),IF(ISNUMBER(INDEX(Eingabe!$F$17:$F$36,Calc!$H$22)),INDEX(Eingabe!$F$17:$F$36,Calc!$H$22),"–"),"")</f>
        <v/>
      </c>
    </row>
    <row r="36">
      <c r="A36" s="61" t="inlineStr">
        <is>
          <t>Schwellen und Maximalwerte</t>
        </is>
      </c>
      <c r="B36" s="62" t="n"/>
      <c r="C36" s="62" t="n"/>
      <c r="D36" s="62" t="n"/>
      <c r="E36" s="62" t="n"/>
      <c r="F36" s="62" t="n"/>
      <c r="G36" s="62" t="n"/>
      <c r="H36" s="62" t="n"/>
    </row>
    <row r="37">
      <c r="A37" s="63" t="inlineStr"/>
      <c r="B37" s="63" t="inlineStr">
        <is>
          <t>Verfahren</t>
        </is>
      </c>
      <c r="C37" s="64">
        <f>"Belastung ["&amp;k_unit&amp;"]"</f>
        <v/>
      </c>
      <c r="D37" s="64" t="inlineStr">
        <is>
          <t>Pace [min/km]</t>
        </is>
      </c>
      <c r="E37" s="64" t="inlineStr">
        <is>
          <t>Laktat [mmol/L]</t>
        </is>
      </c>
      <c r="F37" s="64" t="inlineStr">
        <is>
          <t>HF [1/min]</t>
        </is>
      </c>
      <c r="G37" s="64" t="inlineStr">
        <is>
          <t>HF [%]</t>
        </is>
      </c>
    </row>
    <row r="38">
      <c r="A38" s="68" t="inlineStr">
        <is>
          <t>LT1</t>
        </is>
      </c>
      <c r="B38" s="23">
        <f>IF(k_ok,Eingabe!$I$5&amp;IF(k_man1," (manuell)",""),"")</f>
        <v/>
      </c>
      <c r="C38" s="24">
        <f>IF(AND(k_ok,ISNUMBER(k_x1)),ROUND(k_x1,k_xd),"–")</f>
        <v/>
      </c>
      <c r="D38" s="24">
        <f>IF(AND(k_ok,k_run,ISNUMBER(k_x1)),IF(N(k_x1)&gt;0,INT(ROUND(3600/(k_x1),0)/60)&amp;":"&amp;TEXT(MOD(ROUND(3600/(k_x1),0),60),"00"),"–"),"–")</f>
        <v/>
      </c>
      <c r="E38" s="24">
        <f>IF(AND(k_ok,ISNUMBER(k_x1)),ROUND(k_la1,2),"–")</f>
        <v/>
      </c>
      <c r="F38" s="24">
        <f>IF(AND(k_ok,ISNUMBER(k_x1)),IFERROR(ROUND(IF(k_hrok,k_h0+k_h1*(k_x1)+k_h2*(k_x1)^2,""),0),"–"),"–")</f>
        <v/>
      </c>
      <c r="G38" s="24">
        <f>IF(AND(ISNUMBER(F38),ISNUMBER(k_hrmax)),ROUND(F38/k_hrmax*100,1),"–")</f>
        <v/>
      </c>
    </row>
    <row r="39">
      <c r="A39" s="69" t="inlineStr">
        <is>
          <t>LT2</t>
        </is>
      </c>
      <c r="B39" s="23">
        <f>IF(k_ok,Eingabe!$I$6&amp;IF(k_man2," (manuell)",""),"")</f>
        <v/>
      </c>
      <c r="C39" s="24">
        <f>IF(AND(k_ok,ISNUMBER(k_x2)),ROUND(k_x2,k_xd),"–")</f>
        <v/>
      </c>
      <c r="D39" s="24">
        <f>IF(AND(k_ok,k_run,ISNUMBER(k_x2)),IF(N(k_x2)&gt;0,INT(ROUND(3600/(k_x2),0)/60)&amp;":"&amp;TEXT(MOD(ROUND(3600/(k_x2),0),60),"00"),"–"),"–")</f>
        <v/>
      </c>
      <c r="E39" s="24">
        <f>IF(AND(k_ok,ISNUMBER(k_x2)),ROUND(k_la2,2),"–")</f>
        <v/>
      </c>
      <c r="F39" s="24">
        <f>IF(AND(k_ok,ISNUMBER(k_x2)),IFERROR(ROUND(IF(k_hrok,k_h0+k_h1*(k_x2)+k_h2*(k_x2)^2,""),0),"–"),"–")</f>
        <v/>
      </c>
      <c r="G39" s="24">
        <f>IF(AND(ISNUMBER(F39),ISNUMBER(k_hrmax)),ROUND(F39/k_hrmax*100,1),"–")</f>
        <v/>
      </c>
    </row>
    <row r="40">
      <c r="A40" s="70" t="inlineStr">
        <is>
          <t>4 mmol/L</t>
        </is>
      </c>
      <c r="B40" s="23">
        <f>IF(k_ok,"Vergleichspunkt","")</f>
        <v/>
      </c>
      <c r="C40" s="24">
        <f>IF(AND(k_ok,ISNUMBER(IF(INDEX(Calc!$E$208:$E$247,5),INDEX(Calc!$D$208:$D$247,5),""))),ROUND(IF(INDEX(Calc!$E$208:$E$247,5),INDEX(Calc!$D$208:$D$247,5),""),k_xd),"–")</f>
        <v/>
      </c>
      <c r="D40" s="24">
        <f>IF(AND(k_ok,k_run,ISNUMBER(IF(INDEX(Calc!$E$208:$E$247,5),INDEX(Calc!$D$208:$D$247,5),""))),IF(N(IF(INDEX(Calc!$E$208:$E$247,5),INDEX(Calc!$D$208:$D$247,5),""))&gt;0,INT(ROUND(3600/(IF(INDEX(Calc!$E$208:$E$247,5),INDEX(Calc!$D$208:$D$247,5),"")),0)/60)&amp;":"&amp;TEXT(MOD(ROUND(3600/(IF(INDEX(Calc!$E$208:$E$247,5),INDEX(Calc!$D$208:$D$247,5),"")),0),60),"00"),"–"),"–")</f>
        <v/>
      </c>
      <c r="E40" s="24">
        <f>IF(AND(k_ok,ISNUMBER(IF(INDEX(Calc!$E$208:$E$247,5),INDEX(Calc!$D$208:$D$247,5),""))),ROUND(4,2),"–")</f>
        <v/>
      </c>
      <c r="F40" s="24">
        <f>IF(AND(k_ok,ISNUMBER(IF(INDEX(Calc!$E$208:$E$247,5),INDEX(Calc!$D$208:$D$247,5),""))),IFERROR(ROUND(IF(k_hrok,k_h0+k_h1*(IF(INDEX(Calc!$E$208:$E$247,5),INDEX(Calc!$D$208:$D$247,5),""))+k_h2*(IF(INDEX(Calc!$E$208:$E$247,5),INDEX(Calc!$D$208:$D$247,5),""))^2,""),0),"–"),"–")</f>
        <v/>
      </c>
      <c r="G40" s="24">
        <f>IF(AND(ISNUMBER(F40),ISNUMBER(k_hrmax)),ROUND(F40/k_hrmax*100,1),"–")</f>
        <v/>
      </c>
    </row>
    <row r="41">
      <c r="A41" s="70" t="inlineStr">
        <is>
          <t>Maximum</t>
        </is>
      </c>
      <c r="B41" s="23">
        <f>IF(k_ok,"letzte Stufe","")</f>
        <v/>
      </c>
      <c r="C41" s="24">
        <f>IF(AND(k_ok,ISNUMBER(k_hi)),ROUND(k_hi,k_xd),"–")</f>
        <v/>
      </c>
      <c r="D41" s="24">
        <f>IF(AND(k_ok,k_run,ISNUMBER(k_hi)),IF(N(k_hi)&gt;0,INT(ROUND(3600/(k_hi),0)/60)&amp;":"&amp;TEXT(MOD(ROUND(3600/(k_hi),0),60),"00"),"–"),"–")</f>
        <v/>
      </c>
      <c r="E41" s="24">
        <f>IF(AND(k_ok,ISNUMBER(k_hi)),ROUND(k_ylast,2),"–")</f>
        <v/>
      </c>
      <c r="F41" s="24">
        <f>IF(AND(k_ok,ISNUMBER(k_hi)),IFERROR(ROUND(k_hrlast,0),"–"),"–")</f>
        <v/>
      </c>
      <c r="G41" s="24">
        <f>IF(AND(ISNUMBER(F41),ISNUMBER(k_hrmax)),ROUND(F41/k_hrmax*100,1),"–")</f>
        <v/>
      </c>
    </row>
    <row r="43">
      <c r="A43" s="61" t="inlineStr">
        <is>
          <t>Trainingsbereiche</t>
        </is>
      </c>
      <c r="B43" s="62" t="n"/>
      <c r="C43" s="62" t="n"/>
      <c r="D43" s="62" t="n"/>
      <c r="E43" s="62" t="n"/>
      <c r="F43" s="62" t="n"/>
      <c r="G43" s="62" t="n"/>
      <c r="H43" s="62" t="n"/>
    </row>
    <row r="44">
      <c r="A44" s="71" t="inlineStr">
        <is>
          <t>Trainingsbereich</t>
        </is>
      </c>
      <c r="B44" s="71" t="inlineStr"/>
      <c r="C44" s="72" t="inlineStr">
        <is>
          <t>HF von</t>
        </is>
      </c>
      <c r="D44" s="72" t="inlineStr">
        <is>
          <t>HF bis</t>
        </is>
      </c>
      <c r="E44" s="72">
        <f>"von ["&amp;k_unit&amp;"]"</f>
        <v/>
      </c>
      <c r="F44" s="72">
        <f>"bis ["&amp;k_unit&amp;"]"</f>
        <v/>
      </c>
      <c r="G44" s="72" t="inlineStr">
        <is>
          <t>Pace von</t>
        </is>
      </c>
      <c r="H44" s="72" t="inlineStr">
        <is>
          <t>Pace bis</t>
        </is>
      </c>
    </row>
    <row r="45">
      <c r="A45" s="73">
        <f>Auswertung!$A$39&amp;IF(k_zm0," *","")</f>
        <v/>
      </c>
      <c r="B45" s="74" t="n"/>
      <c r="C45" s="75">
        <f>Auswertung!B39</f>
        <v/>
      </c>
      <c r="D45" s="75">
        <f>Auswertung!C39</f>
        <v/>
      </c>
      <c r="E45" s="75">
        <f>Auswertung!D39</f>
        <v/>
      </c>
      <c r="F45" s="75">
        <f>Auswertung!E39</f>
        <v/>
      </c>
      <c r="G45" s="75">
        <f>Auswertung!F39</f>
        <v/>
      </c>
      <c r="H45" s="75">
        <f>Auswertung!G39</f>
        <v/>
      </c>
    </row>
    <row r="46">
      <c r="A46" s="76">
        <f>Auswertung!$A$40&amp;IF(k_zm1," *","")</f>
        <v/>
      </c>
      <c r="B46" s="77" t="n"/>
      <c r="C46" s="78">
        <f>Auswertung!B40</f>
        <v/>
      </c>
      <c r="D46" s="78">
        <f>Auswertung!C40</f>
        <v/>
      </c>
      <c r="E46" s="78">
        <f>Auswertung!D40</f>
        <v/>
      </c>
      <c r="F46" s="78">
        <f>Auswertung!E40</f>
        <v/>
      </c>
      <c r="G46" s="78">
        <f>Auswertung!F40</f>
        <v/>
      </c>
      <c r="H46" s="78">
        <f>Auswertung!G40</f>
        <v/>
      </c>
    </row>
    <row r="47">
      <c r="A47" s="79">
        <f>Auswertung!$A$41&amp;IF(k_zm2," *","")</f>
        <v/>
      </c>
      <c r="B47" s="80" t="n"/>
      <c r="C47" s="81">
        <f>Auswertung!B41</f>
        <v/>
      </c>
      <c r="D47" s="81">
        <f>Auswertung!C41</f>
        <v/>
      </c>
      <c r="E47" s="81">
        <f>Auswertung!D41</f>
        <v/>
      </c>
      <c r="F47" s="81">
        <f>Auswertung!E41</f>
        <v/>
      </c>
      <c r="G47" s="81">
        <f>Auswertung!F41</f>
        <v/>
      </c>
      <c r="H47" s="81">
        <f>Auswertung!G41</f>
        <v/>
      </c>
    </row>
    <row r="48">
      <c r="A48" s="82">
        <f>Auswertung!$A$42&amp;IF(k_zm3," *","")</f>
        <v/>
      </c>
      <c r="B48" s="83" t="n"/>
      <c r="C48" s="84">
        <f>Auswertung!B42</f>
        <v/>
      </c>
      <c r="D48" s="84">
        <f>Auswertung!C42</f>
        <v/>
      </c>
      <c r="E48" s="84">
        <f>Auswertung!D42</f>
        <v/>
      </c>
      <c r="F48" s="84">
        <f>Auswertung!E42</f>
        <v/>
      </c>
      <c r="G48" s="84">
        <f>Auswertung!F42</f>
        <v/>
      </c>
      <c r="H48" s="84">
        <f>Auswertung!G42</f>
        <v/>
      </c>
    </row>
    <row r="49">
      <c r="A49" s="85">
        <f>Auswertung!$A$43&amp;IF(k_zm4," *","")</f>
        <v/>
      </c>
      <c r="B49" s="86" t="n"/>
      <c r="C49" s="87">
        <f>Auswertung!B43</f>
        <v/>
      </c>
      <c r="D49" s="87">
        <f>Auswertung!C43</f>
        <v/>
      </c>
      <c r="E49" s="87">
        <f>Auswertung!D43</f>
        <v/>
      </c>
      <c r="F49" s="87">
        <f>Auswertung!E43</f>
        <v/>
      </c>
      <c r="G49" s="87">
        <f>Auswertung!F43</f>
        <v/>
      </c>
      <c r="H49" s="87">
        <f>Auswertung!G43</f>
        <v/>
      </c>
    </row>
    <row r="50">
      <c r="A50" s="5">
        <f>IF(OR(k_zm0,k_zm1,k_zm2,k_zm3,k_zm4),"* Bereichsgrenze manuell angepasst","")</f>
        <v/>
      </c>
    </row>
    <row r="52">
      <c r="A52" s="61" t="inlineStr">
        <is>
          <t>Laktat zu Belastung</t>
        </is>
      </c>
      <c r="B52" s="62" t="n"/>
      <c r="C52" s="62" t="n"/>
      <c r="D52" s="62" t="n"/>
      <c r="E52" s="62" t="n"/>
      <c r="F52" s="62" t="n"/>
      <c r="G52" s="62" t="n"/>
      <c r="H52" s="62" t="n"/>
    </row>
    <row r="74">
      <c r="A74" s="5">
        <f>IF(k_ok,"Modell: "&amp;INDEX(Listen!$F$2:$F$5,k_model)&amp;", R² "&amp;FIXED(N(k_r2),4,TRUE)&amp;", RMSE "&amp;FIXED(k_rmse,3,TRUE)&amp;" mmol/L"&amp;IF(k_gok," · rot: Hilfsgeraden (RMSE "&amp;FIXED(k_grmse,3,TRUE)&amp;" mmol/L)",""),"")</f>
        <v/>
      </c>
    </row>
    <row r="76">
      <c r="A76" s="61" t="inlineStr">
        <is>
          <t>Herzfrequenz zu Belastung</t>
        </is>
      </c>
      <c r="B76" s="62" t="n"/>
      <c r="C76" s="62" t="n"/>
      <c r="D76" s="62" t="n"/>
      <c r="E76" s="62" t="n"/>
      <c r="F76" s="62" t="n"/>
      <c r="G76" s="62" t="n"/>
      <c r="H76" s="62" t="n"/>
    </row>
    <row r="99">
      <c r="A99" s="61" t="inlineStr">
        <is>
          <t>Tabellarische Aufstellung</t>
        </is>
      </c>
      <c r="B99" s="62" t="n"/>
      <c r="C99" s="62" t="n"/>
      <c r="D99" s="62" t="n"/>
      <c r="E99" s="62" t="n"/>
      <c r="F99" s="62" t="n"/>
      <c r="G99" s="62" t="n"/>
      <c r="H99" s="62" t="n"/>
    </row>
    <row r="100">
      <c r="A100" s="71" t="inlineStr">
        <is>
          <t>Laktat [mmol/L]</t>
        </is>
      </c>
      <c r="B100" s="72">
        <f>"Belastung ["&amp;k_unit&amp;"]"</f>
        <v/>
      </c>
      <c r="C100" s="72" t="inlineStr">
        <is>
          <t>Pace [min/km]</t>
        </is>
      </c>
      <c r="D100" s="72" t="inlineStr">
        <is>
          <t>Belastung [m/s]</t>
        </is>
      </c>
      <c r="E100" s="72" t="inlineStr">
        <is>
          <t>HF [1/min]</t>
        </is>
      </c>
    </row>
    <row r="101">
      <c r="A101" s="88">
        <f>Auswertung!A48</f>
        <v/>
      </c>
      <c r="B101" s="66">
        <f>Auswertung!B48</f>
        <v/>
      </c>
      <c r="C101" s="66">
        <f>Auswertung!C48&amp;""</f>
        <v/>
      </c>
      <c r="D101" s="66">
        <f>Auswertung!D48</f>
        <v/>
      </c>
      <c r="E101" s="66">
        <f>Auswertung!E48</f>
        <v/>
      </c>
    </row>
    <row r="102">
      <c r="A102" s="88">
        <f>Auswertung!A49</f>
        <v/>
      </c>
      <c r="B102" s="66">
        <f>Auswertung!B49</f>
        <v/>
      </c>
      <c r="C102" s="66">
        <f>Auswertung!C49&amp;""</f>
        <v/>
      </c>
      <c r="D102" s="66">
        <f>Auswertung!D49</f>
        <v/>
      </c>
      <c r="E102" s="66">
        <f>Auswertung!E49</f>
        <v/>
      </c>
    </row>
    <row r="103">
      <c r="A103" s="88">
        <f>Auswertung!A50</f>
        <v/>
      </c>
      <c r="B103" s="66">
        <f>Auswertung!B50</f>
        <v/>
      </c>
      <c r="C103" s="66">
        <f>Auswertung!C50&amp;""</f>
        <v/>
      </c>
      <c r="D103" s="66">
        <f>Auswertung!D50</f>
        <v/>
      </c>
      <c r="E103" s="66">
        <f>Auswertung!E50</f>
        <v/>
      </c>
    </row>
    <row r="104">
      <c r="A104" s="88">
        <f>Auswertung!A51</f>
        <v/>
      </c>
      <c r="B104" s="66">
        <f>Auswertung!B51</f>
        <v/>
      </c>
      <c r="C104" s="66">
        <f>Auswertung!C51&amp;""</f>
        <v/>
      </c>
      <c r="D104" s="66">
        <f>Auswertung!D51</f>
        <v/>
      </c>
      <c r="E104" s="66">
        <f>Auswertung!E51</f>
        <v/>
      </c>
    </row>
    <row r="105">
      <c r="A105" s="88">
        <f>Auswertung!A52</f>
        <v/>
      </c>
      <c r="B105" s="66">
        <f>Auswertung!B52</f>
        <v/>
      </c>
      <c r="C105" s="66">
        <f>Auswertung!C52&amp;""</f>
        <v/>
      </c>
      <c r="D105" s="66">
        <f>Auswertung!D52</f>
        <v/>
      </c>
      <c r="E105" s="66">
        <f>Auswertung!E52</f>
        <v/>
      </c>
    </row>
    <row r="106">
      <c r="A106" s="88">
        <f>Auswertung!A53</f>
        <v/>
      </c>
      <c r="B106" s="66">
        <f>Auswertung!B53</f>
        <v/>
      </c>
      <c r="C106" s="66">
        <f>Auswertung!C53&amp;""</f>
        <v/>
      </c>
      <c r="D106" s="66">
        <f>Auswertung!D53</f>
        <v/>
      </c>
      <c r="E106" s="66">
        <f>Auswertung!E53</f>
        <v/>
      </c>
    </row>
    <row r="107">
      <c r="A107" s="88">
        <f>Auswertung!A54</f>
        <v/>
      </c>
      <c r="B107" s="66">
        <f>Auswertung!B54</f>
        <v/>
      </c>
      <c r="C107" s="66">
        <f>Auswertung!C54&amp;""</f>
        <v/>
      </c>
      <c r="D107" s="66">
        <f>Auswertung!D54</f>
        <v/>
      </c>
      <c r="E107" s="66">
        <f>Auswertung!E54</f>
        <v/>
      </c>
    </row>
    <row r="108">
      <c r="A108" s="88">
        <f>Auswertung!A55</f>
        <v/>
      </c>
      <c r="B108" s="66">
        <f>Auswertung!B55</f>
        <v/>
      </c>
      <c r="C108" s="66">
        <f>Auswertung!C55&amp;""</f>
        <v/>
      </c>
      <c r="D108" s="66">
        <f>Auswertung!D55</f>
        <v/>
      </c>
      <c r="E108" s="66">
        <f>Auswertung!E55</f>
        <v/>
      </c>
    </row>
    <row r="109">
      <c r="A109" s="88">
        <f>Auswertung!A56</f>
        <v/>
      </c>
      <c r="B109" s="66">
        <f>Auswertung!B56</f>
        <v/>
      </c>
      <c r="C109" s="66">
        <f>Auswertung!C56&amp;""</f>
        <v/>
      </c>
      <c r="D109" s="66">
        <f>Auswertung!D56</f>
        <v/>
      </c>
      <c r="E109" s="66">
        <f>Auswertung!E56</f>
        <v/>
      </c>
    </row>
    <row r="110">
      <c r="A110" s="88">
        <f>Auswertung!A57</f>
        <v/>
      </c>
      <c r="B110" s="66">
        <f>Auswertung!B57</f>
        <v/>
      </c>
      <c r="C110" s="66">
        <f>Auswertung!C57&amp;""</f>
        <v/>
      </c>
      <c r="D110" s="66">
        <f>Auswertung!D57</f>
        <v/>
      </c>
      <c r="E110" s="66">
        <f>Auswertung!E57</f>
        <v/>
      </c>
    </row>
    <row r="111">
      <c r="A111" s="88">
        <f>Auswertung!A58</f>
        <v/>
      </c>
      <c r="B111" s="66">
        <f>Auswertung!B58</f>
        <v/>
      </c>
      <c r="C111" s="66">
        <f>Auswertung!C58&amp;""</f>
        <v/>
      </c>
      <c r="D111" s="66">
        <f>Auswertung!D58</f>
        <v/>
      </c>
      <c r="E111" s="66">
        <f>Auswertung!E58</f>
        <v/>
      </c>
    </row>
    <row r="112">
      <c r="A112" s="88">
        <f>Auswertung!A59</f>
        <v/>
      </c>
      <c r="B112" s="66">
        <f>Auswertung!B59</f>
        <v/>
      </c>
      <c r="C112" s="66">
        <f>Auswertung!C59&amp;""</f>
        <v/>
      </c>
      <c r="D112" s="66">
        <f>Auswertung!D59</f>
        <v/>
      </c>
      <c r="E112" s="66">
        <f>Auswertung!E59</f>
        <v/>
      </c>
    </row>
    <row r="113">
      <c r="A113" s="88">
        <f>Auswertung!A60</f>
        <v/>
      </c>
      <c r="B113" s="66">
        <f>Auswertung!B60</f>
        <v/>
      </c>
      <c r="C113" s="66">
        <f>Auswertung!C60&amp;""</f>
        <v/>
      </c>
      <c r="D113" s="66">
        <f>Auswertung!D60</f>
        <v/>
      </c>
      <c r="E113" s="66">
        <f>Auswertung!E60</f>
        <v/>
      </c>
    </row>
    <row r="114">
      <c r="A114" s="88">
        <f>Auswertung!A61</f>
        <v/>
      </c>
      <c r="B114" s="66">
        <f>Auswertung!B61</f>
        <v/>
      </c>
      <c r="C114" s="66">
        <f>Auswertung!C61&amp;""</f>
        <v/>
      </c>
      <c r="D114" s="66">
        <f>Auswertung!D61</f>
        <v/>
      </c>
      <c r="E114" s="66">
        <f>Auswertung!E61</f>
        <v/>
      </c>
    </row>
    <row r="115">
      <c r="A115" s="88">
        <f>Auswertung!A62</f>
        <v/>
      </c>
      <c r="B115" s="66">
        <f>Auswertung!B62</f>
        <v/>
      </c>
      <c r="C115" s="66">
        <f>Auswertung!C62&amp;""</f>
        <v/>
      </c>
      <c r="D115" s="66">
        <f>Auswertung!D62</f>
        <v/>
      </c>
      <c r="E115" s="66">
        <f>Auswertung!E62</f>
        <v/>
      </c>
    </row>
    <row r="116">
      <c r="A116" s="88">
        <f>Auswertung!A63</f>
        <v/>
      </c>
      <c r="B116" s="66">
        <f>Auswertung!B63</f>
        <v/>
      </c>
      <c r="C116" s="66">
        <f>Auswertung!C63&amp;""</f>
        <v/>
      </c>
      <c r="D116" s="66">
        <f>Auswertung!D63</f>
        <v/>
      </c>
      <c r="E116" s="66">
        <f>Auswertung!E63</f>
        <v/>
      </c>
    </row>
    <row r="117">
      <c r="A117" s="88">
        <f>Auswertung!A64</f>
        <v/>
      </c>
      <c r="B117" s="66">
        <f>Auswertung!B64</f>
        <v/>
      </c>
      <c r="C117" s="66">
        <f>Auswertung!C64&amp;""</f>
        <v/>
      </c>
      <c r="D117" s="66">
        <f>Auswertung!D64</f>
        <v/>
      </c>
      <c r="E117" s="66">
        <f>Auswertung!E64</f>
        <v/>
      </c>
    </row>
    <row r="118">
      <c r="A118" s="88">
        <f>Auswertung!A65</f>
        <v/>
      </c>
      <c r="B118" s="66">
        <f>Auswertung!B65</f>
        <v/>
      </c>
      <c r="C118" s="66">
        <f>Auswertung!C65&amp;""</f>
        <v/>
      </c>
      <c r="D118" s="66">
        <f>Auswertung!D65</f>
        <v/>
      </c>
      <c r="E118" s="66">
        <f>Auswertung!E65</f>
        <v/>
      </c>
    </row>
    <row r="119">
      <c r="A119" s="88">
        <f>Auswertung!A66</f>
        <v/>
      </c>
      <c r="B119" s="66">
        <f>Auswertung!B66</f>
        <v/>
      </c>
      <c r="C119" s="66">
        <f>Auswertung!C66&amp;""</f>
        <v/>
      </c>
      <c r="D119" s="66">
        <f>Auswertung!D66</f>
        <v/>
      </c>
      <c r="E119" s="66">
        <f>Auswertung!E66</f>
        <v/>
      </c>
    </row>
    <row r="120">
      <c r="A120" s="88">
        <f>Auswertung!A67</f>
        <v/>
      </c>
      <c r="B120" s="66">
        <f>Auswertung!B67</f>
        <v/>
      </c>
      <c r="C120" s="66">
        <f>Auswertung!C67&amp;""</f>
        <v/>
      </c>
      <c r="D120" s="66">
        <f>Auswertung!D67</f>
        <v/>
      </c>
      <c r="E120" s="66">
        <f>Auswertung!E67</f>
        <v/>
      </c>
    </row>
    <row r="122">
      <c r="A122" s="61" t="inlineStr">
        <is>
          <t>Erläuterung der Trainingsbereiche</t>
        </is>
      </c>
      <c r="B122" s="62" t="n"/>
      <c r="C122" s="62" t="n"/>
      <c r="D122" s="62" t="n"/>
      <c r="E122" s="62" t="n"/>
      <c r="F122" s="62" t="n"/>
      <c r="G122" s="62" t="n"/>
      <c r="H122" s="62" t="n"/>
    </row>
    <row r="123" ht="26" customHeight="1">
      <c r="A123" s="89" t="inlineStr">
        <is>
          <t>A0 Regeneration/Kompensation</t>
        </is>
      </c>
      <c r="B123" s="90" t="inlineStr">
        <is>
          <t>Unterhalb der Trainingsreizschwelle. Dient der Erholung nach intensiven Einheiten: kurz, locker, gleichmäßig. Beispiel: 15–20 min lockeres Laufen oder 30 min lockeres Radfahren.</t>
        </is>
      </c>
    </row>
    <row r="124" ht="26" customHeight="1">
      <c r="A124" s="89" t="inlineStr">
        <is>
          <t>A1 Extensives Ausdauertraining 1</t>
        </is>
      </c>
      <c r="B124" s="90" t="inlineStr">
        <is>
          <t>Aufbau der Grundlagenausdauer mit langen, ruhigen Einheiten bei geringer Intensität (Dauermethode, konstantes oder leicht wechselndes Tempo). Beispiel: 60–120 min Dauerlauf.</t>
        </is>
      </c>
    </row>
    <row r="125" ht="26" customHeight="1">
      <c r="A125" s="89" t="inlineStr">
        <is>
          <t>A2 Extensives Ausdauertraining 2</t>
        </is>
      </c>
      <c r="B125" s="90" t="inlineStr">
        <is>
          <t>Ausbau der Ausdauerbasis bei mittlerer Intensität, kürzer als A1. Dauermethode oder Wechseltempo zwischen unterer und oberer Bereichsgrenze. Beispiel: 45–60 min Dauerlauf.</t>
        </is>
      </c>
    </row>
    <row r="126" ht="26" customHeight="1">
      <c r="A126" s="89" t="inlineStr">
        <is>
          <t>A3 Intensives Ausdauertraining</t>
        </is>
      </c>
      <c r="B126" s="90" t="inlineStr">
        <is>
          <t>Training im Bereich um die obere Schwelle, mittlere bis hohe Intensität. Dauer- oder Intervallmethode. Beispiel: 30–60 min zügiger Dauerlauf oder Intervalle mit lohnender Pause.</t>
        </is>
      </c>
    </row>
    <row r="127" ht="26" customHeight="1">
      <c r="A127" s="89" t="inlineStr">
        <is>
          <t>A4 Entwicklungsbereich</t>
        </is>
      </c>
      <c r="B127" s="90" t="inlineStr">
        <is>
          <t>Oberhalb der Schwelle, hohe Intensität, kurze Belastungen. Vor allem Intervallmethode mit ausreichenden Pausen. Beispiel: 10–30 min Gesamtbelastung in Intervallen.</t>
        </is>
      </c>
    </row>
    <row r="129">
      <c r="A129" s="61" t="inlineStr">
        <is>
          <t>Methodik</t>
        </is>
      </c>
      <c r="B129" s="62" t="n"/>
      <c r="C129" s="62" t="n"/>
      <c r="D129" s="62" t="n"/>
      <c r="E129" s="62" t="n"/>
      <c r="F129" s="62" t="n"/>
      <c r="G129" s="62" t="n"/>
      <c r="H129" s="62" t="n"/>
    </row>
    <row r="130" ht="14" customHeight="1">
      <c r="A130" s="91">
        <f>IF(Calc!$B$250&lt;&gt;"",Calc!$A$250,"")</f>
        <v/>
      </c>
      <c r="B130" s="90">
        <f>Calc!$B$250</f>
        <v/>
      </c>
    </row>
    <row r="131" ht="14" customHeight="1">
      <c r="A131" s="91">
        <f>IF(Calc!$B$251&lt;&gt;"",Calc!$A$251,"")</f>
        <v/>
      </c>
      <c r="B131" s="90">
        <f>Calc!$B$251</f>
        <v/>
      </c>
    </row>
    <row r="132" ht="26" customHeight="1">
      <c r="A132" s="91">
        <f>IF(Calc!$B$252&lt;&gt;"",Calc!$A$252,"")</f>
        <v/>
      </c>
      <c r="B132" s="90">
        <f>Calc!$B$252</f>
        <v/>
      </c>
    </row>
    <row r="133" ht="26" customHeight="1">
      <c r="A133" s="91">
        <f>IF(Calc!$B$253&lt;&gt;"",Calc!$A$253,"")</f>
        <v/>
      </c>
      <c r="B133" s="90">
        <f>Calc!$B$253</f>
        <v/>
      </c>
    </row>
    <row r="134" ht="26" customHeight="1">
      <c r="A134" s="91">
        <f>IF(Calc!$B$254&lt;&gt;"",Calc!$A$254,"")</f>
        <v/>
      </c>
      <c r="B134" s="90">
        <f>Calc!$B$254</f>
        <v/>
      </c>
    </row>
    <row r="135" ht="50" customHeight="1">
      <c r="A135" s="91">
        <f>IF(Calc!$B$255&lt;&gt;"",Calc!$A$255,"")</f>
        <v/>
      </c>
      <c r="B135" s="90">
        <f>Calc!$B$255</f>
        <v/>
      </c>
    </row>
    <row r="136" ht="62" customHeight="1">
      <c r="A136" s="91">
        <f>IF(Calc!$B$256&lt;&gt;"",Calc!$A$256,"")</f>
        <v/>
      </c>
      <c r="B136" s="90">
        <f>Calc!$B$256</f>
        <v/>
      </c>
    </row>
    <row r="137" ht="38" customHeight="1">
      <c r="A137" s="91">
        <f>IF(Calc!$B$257&lt;&gt;"",Calc!$A$257,"")</f>
        <v/>
      </c>
      <c r="B137" s="90">
        <f>Calc!$B$257</f>
        <v/>
      </c>
    </row>
    <row r="138" ht="26" customHeight="1">
      <c r="A138" s="91">
        <f>IF(Calc!$B$258&lt;&gt;"",Calc!$A$258,"")</f>
        <v/>
      </c>
      <c r="B138" s="90">
        <f>Calc!$B$258</f>
        <v/>
      </c>
    </row>
    <row r="140">
      <c r="A140" s="61" t="inlineStr">
        <is>
          <t>Hinweise zur Auswertung</t>
        </is>
      </c>
      <c r="B140" s="62" t="n"/>
      <c r="C140" s="62" t="n"/>
      <c r="D140" s="62" t="n"/>
      <c r="E140" s="62" t="n"/>
      <c r="F140" s="62" t="n"/>
      <c r="G140" s="62" t="n"/>
      <c r="H140" s="62" t="n"/>
    </row>
    <row r="141">
      <c r="A141" s="92">
        <f>IF(Auswertung!$A$21&lt;&gt;"","– "&amp;Auswertung!$A$21,"")</f>
        <v/>
      </c>
    </row>
    <row r="142">
      <c r="A142" s="92">
        <f>IF(Auswertung!$A$22&lt;&gt;"","– "&amp;Auswertung!$A$22,"")</f>
        <v/>
      </c>
    </row>
    <row r="143">
      <c r="A143" s="92">
        <f>IF(Auswertung!$A$23&lt;&gt;"","– "&amp;Auswertung!$A$23,"")</f>
        <v/>
      </c>
    </row>
    <row r="144">
      <c r="A144" s="92">
        <f>IF(Auswertung!$A$24&lt;&gt;"","– "&amp;Auswertung!$A$24,"")</f>
        <v/>
      </c>
    </row>
    <row r="145">
      <c r="A145" s="92">
        <f>IF(Auswertung!$A$25&lt;&gt;"","– "&amp;Auswertung!$A$25,"")</f>
        <v/>
      </c>
    </row>
    <row r="146">
      <c r="A146" s="92">
        <f>IF(Auswertung!$A$26&lt;&gt;"","– "&amp;Auswertung!$A$26,"")</f>
        <v/>
      </c>
    </row>
    <row r="147">
      <c r="A147" s="92">
        <f>IF(Auswertung!$A$27&lt;&gt;"","– "&amp;Auswertung!$A$27,"")</f>
        <v/>
      </c>
    </row>
    <row r="148">
      <c r="A148" s="92">
        <f>IF(Auswertung!$A$28&lt;&gt;"","– "&amp;Auswertung!$A$28,"")</f>
        <v/>
      </c>
    </row>
    <row r="149">
      <c r="A149" s="92">
        <f>IF(Auswertung!$A$29&lt;&gt;"","– "&amp;Auswertung!$A$29,"")</f>
        <v/>
      </c>
    </row>
    <row r="150">
      <c r="A150" s="92">
        <f>IF(Auswertung!$A$30&lt;&gt;"","– "&amp;Auswertung!$A$30,"")</f>
        <v/>
      </c>
    </row>
    <row r="151">
      <c r="A151" s="92">
        <f>IF(Auswertung!$A$31&lt;&gt;"","– "&amp;Auswertung!$A$31,"")</f>
        <v/>
      </c>
    </row>
    <row r="152">
      <c r="A152" s="92">
        <f>IF(Auswertung!$A$32&lt;&gt;"","– "&amp;Auswertung!$A$32,"")</f>
        <v/>
      </c>
    </row>
    <row r="153">
      <c r="A153" s="92">
        <f>IF(Auswertung!$A$33&lt;&gt;"","– "&amp;Auswertung!$A$33,"")</f>
        <v/>
      </c>
    </row>
    <row r="154">
      <c r="A154" s="92">
        <f>IF(Auswertung!$A$34&lt;&gt;"","– "&amp;Auswertung!$A$34,"")</f>
        <v/>
      </c>
    </row>
    <row r="155">
      <c r="A155" s="92">
        <f>IF(Auswertung!$A$35&lt;&gt;"","– "&amp;Auswertung!$A$35,"")</f>
        <v/>
      </c>
    </row>
  </sheetData>
  <mergeCells count="22">
    <mergeCell ref="B137:H137"/>
    <mergeCell ref="A48:B48"/>
    <mergeCell ref="B127:H127"/>
    <mergeCell ref="A49:B49"/>
    <mergeCell ref="A45:B45"/>
    <mergeCell ref="B133:H133"/>
    <mergeCell ref="B124:H124"/>
    <mergeCell ref="B123:H123"/>
    <mergeCell ref="B135:H135"/>
    <mergeCell ref="B126:H126"/>
    <mergeCell ref="A46:B46"/>
    <mergeCell ref="B138:H138"/>
    <mergeCell ref="B125:H125"/>
    <mergeCell ref="B134:H134"/>
    <mergeCell ref="A3:H3"/>
    <mergeCell ref="B131:H131"/>
    <mergeCell ref="A47:B47"/>
    <mergeCell ref="B130:H130"/>
    <mergeCell ref="B11:H11"/>
    <mergeCell ref="B136:H136"/>
    <mergeCell ref="B132:H132"/>
    <mergeCell ref="B10:H10"/>
  </mergeCells>
  <conditionalFormatting sqref="A15:F34">
    <cfRule type="expression" priority="1" dxfId="2">
      <formula>AND($B15&lt;&gt;"",MOD(ROW(),2)=0)</formula>
    </cfRule>
  </conditionalFormatting>
  <printOptions horizontalCentered="1"/>
  <pageMargins left="0.5" right="0.5" top="1" bottom="1" header="0.5" footer="0.5"/>
  <pageSetup orientation="portrait" paperSize="9" fitToHeight="0" fitToWidth="1"/>
  <headerFooter>
    <oddHeader/>
    <oddFooter>&amp;L&amp;8Laktatdiagnostik&amp;C&amp;8Erstellt &amp;D&amp;R&amp;8Seite &amp;P von &amp;N</oddFooter>
    <evenHeader/>
    <evenFooter/>
    <firstHeader/>
    <firstFooter/>
  </headerFooter>
  <rowBreaks count="2" manualBreakCount="2">
    <brk id="51" min="0" max="16383" man="1"/>
    <brk id="98" min="0" max="16383" man="1"/>
  </rowBreaks>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E40"/>
  <sheetViews>
    <sheetView showGridLines="0" workbookViewId="0">
      <selection activeCell="A1" sqref="A1"/>
    </sheetView>
  </sheetViews>
  <sheetFormatPr baseColWidth="8" defaultRowHeight="15"/>
  <cols>
    <col width="24" customWidth="1" min="1" max="1"/>
    <col width="16" customWidth="1" min="2" max="2"/>
    <col width="16" customWidth="1" min="3" max="3"/>
    <col width="16" customWidth="1" min="4" max="4"/>
    <col width="16" customWidth="1" min="5" max="5"/>
  </cols>
  <sheetData>
    <row r="1">
      <c r="A1" s="4" t="inlineStr">
        <is>
          <t>Beispieldaten aus der Webapp</t>
        </is>
      </c>
    </row>
    <row r="2">
      <c r="A2" s="5" t="inlineStr">
        <is>
          <t>Zum Ausprobieren: Werte in die gelben Felder des Blatts „Eingabe“ kopieren (Messwerte nach Eingabe!B17, Stammdaten einzeln).</t>
        </is>
      </c>
    </row>
    <row r="4">
      <c r="A4" s="6" t="inlineStr">
        <is>
          <t>Mayer Elisabeth · Laufband 22.09.2026</t>
        </is>
      </c>
    </row>
    <row r="5">
      <c r="A5" s="7" t="inlineStr">
        <is>
          <t>Name</t>
        </is>
      </c>
      <c r="B5" s="7" t="inlineStr">
        <is>
          <t>Mayer Elisabeth</t>
        </is>
      </c>
    </row>
    <row r="6">
      <c r="A6" s="7" t="inlineStr">
        <is>
          <t>Geburtsdatum</t>
        </is>
      </c>
      <c r="B6" s="7" t="inlineStr">
        <is>
          <t>15.07.2012</t>
        </is>
      </c>
    </row>
    <row r="7">
      <c r="A7" s="7" t="inlineStr">
        <is>
          <t>Testdatum</t>
        </is>
      </c>
      <c r="B7" s="7" t="inlineStr">
        <is>
          <t>22.09.2026</t>
        </is>
      </c>
    </row>
    <row r="8">
      <c r="A8" s="7" t="inlineStr">
        <is>
          <t>Größe [cm]</t>
        </is>
      </c>
      <c r="B8" s="7" t="n">
        <v>155.1</v>
      </c>
    </row>
    <row r="9">
      <c r="A9" s="7" t="inlineStr">
        <is>
          <t>Masse [kg]</t>
        </is>
      </c>
      <c r="B9" s="7" t="n">
        <v>40.4</v>
      </c>
    </row>
    <row r="10">
      <c r="A10" s="7" t="inlineStr">
        <is>
          <t>Testleitung</t>
        </is>
      </c>
      <c r="B10" s="7" t="inlineStr">
        <is>
          <t>Ernst Johannes, BSc</t>
        </is>
      </c>
    </row>
    <row r="11">
      <c r="A11" s="7" t="inlineStr">
        <is>
          <t>Stufenhöhe</t>
        </is>
      </c>
      <c r="B11" s="7" t="inlineStr">
        <is>
          <t>1,5 km/h</t>
        </is>
      </c>
    </row>
    <row r="12">
      <c r="A12" s="7" t="inlineStr">
        <is>
          <t>Ruhelaktat [mmol/L]</t>
        </is>
      </c>
      <c r="B12" s="7" t="n">
        <v>1.6</v>
      </c>
    </row>
    <row r="13">
      <c r="A13" s="7" t="inlineStr">
        <is>
          <t>Ruheglukose [mg/dL]</t>
        </is>
      </c>
      <c r="B13" s="7" t="n">
        <v>81</v>
      </c>
    </row>
    <row r="14">
      <c r="B14" s="57" t="inlineStr">
        <is>
          <t>Zeit</t>
        </is>
      </c>
      <c r="C14" s="57" t="inlineStr">
        <is>
          <t>Belastung [km/h]</t>
        </is>
      </c>
      <c r="D14" s="57" t="inlineStr">
        <is>
          <t>Laktat [mmol/L]</t>
        </is>
      </c>
      <c r="E14" s="57" t="inlineStr">
        <is>
          <t>HF [1/min]</t>
        </is>
      </c>
    </row>
    <row r="15">
      <c r="B15" s="7" t="inlineStr">
        <is>
          <t>03:00</t>
        </is>
      </c>
      <c r="C15" s="7" t="n">
        <v>6</v>
      </c>
      <c r="D15" s="7" t="n">
        <v>2.2</v>
      </c>
      <c r="E15" s="7" t="n">
        <v>145</v>
      </c>
    </row>
    <row r="16">
      <c r="B16" s="7" t="inlineStr">
        <is>
          <t>06:00</t>
        </is>
      </c>
      <c r="C16" s="7" t="n">
        <v>7.5</v>
      </c>
      <c r="D16" s="7" t="n">
        <v>2.3</v>
      </c>
      <c r="E16" s="7" t="n">
        <v>167</v>
      </c>
    </row>
    <row r="17">
      <c r="B17" s="7" t="inlineStr">
        <is>
          <t>09:00</t>
        </is>
      </c>
      <c r="C17" s="7" t="n">
        <v>9</v>
      </c>
      <c r="D17" s="7" t="n">
        <v>2.7</v>
      </c>
      <c r="E17" s="7" t="n">
        <v>184</v>
      </c>
    </row>
    <row r="18">
      <c r="B18" s="7" t="inlineStr">
        <is>
          <t>12:00</t>
        </is>
      </c>
      <c r="C18" s="7" t="n">
        <v>10.5</v>
      </c>
      <c r="D18" s="7" t="n">
        <v>3.5</v>
      </c>
      <c r="E18" s="7" t="n">
        <v>193</v>
      </c>
    </row>
    <row r="19">
      <c r="B19" s="7" t="inlineStr">
        <is>
          <t>15:00</t>
        </is>
      </c>
      <c r="C19" s="7" t="n">
        <v>12</v>
      </c>
      <c r="D19" s="7" t="n">
        <v>5.1</v>
      </c>
      <c r="E19" s="7" t="n">
        <v>200</v>
      </c>
    </row>
    <row r="20">
      <c r="B20" s="7" t="inlineStr">
        <is>
          <t>18:00</t>
        </is>
      </c>
      <c r="C20" s="7" t="n">
        <v>13.5</v>
      </c>
      <c r="D20" s="7" t="n">
        <v>8.199999999999999</v>
      </c>
      <c r="E20" s="7" t="n">
        <v>207</v>
      </c>
    </row>
    <row r="21">
      <c r="B21" s="7" t="inlineStr">
        <is>
          <t>19:30</t>
        </is>
      </c>
      <c r="C21" s="7" t="n">
        <v>14.25</v>
      </c>
      <c r="D21" s="7" t="n">
        <v>9.300000000000001</v>
      </c>
      <c r="E21" s="7" t="n">
        <v>208</v>
      </c>
    </row>
    <row r="24">
      <c r="A24" s="6" t="inlineStr">
        <is>
          <t>Lan Ryan · Laufband 22.09.2026</t>
        </is>
      </c>
    </row>
    <row r="25">
      <c r="A25" s="7" t="inlineStr">
        <is>
          <t>Name</t>
        </is>
      </c>
      <c r="B25" s="7" t="inlineStr">
        <is>
          <t>Lan Ryan</t>
        </is>
      </c>
    </row>
    <row r="26">
      <c r="A26" s="7" t="inlineStr">
        <is>
          <t>Geburtsdatum</t>
        </is>
      </c>
      <c r="B26" s="7" t="inlineStr">
        <is>
          <t>12.04.2012</t>
        </is>
      </c>
    </row>
    <row r="27">
      <c r="A27" s="7" t="inlineStr">
        <is>
          <t>Testdatum</t>
        </is>
      </c>
      <c r="B27" s="7" t="inlineStr">
        <is>
          <t>22.09.2026</t>
        </is>
      </c>
    </row>
    <row r="28">
      <c r="A28" s="7" t="inlineStr">
        <is>
          <t>Größe [cm]</t>
        </is>
      </c>
      <c r="B28" s="7" t="n">
        <v>163.8</v>
      </c>
    </row>
    <row r="29">
      <c r="A29" s="7" t="inlineStr">
        <is>
          <t>Masse [kg]</t>
        </is>
      </c>
      <c r="B29" s="7" t="n">
        <v>47.5</v>
      </c>
    </row>
    <row r="30">
      <c r="A30" s="7" t="inlineStr">
        <is>
          <t>Testleitung</t>
        </is>
      </c>
      <c r="B30" s="7" t="inlineStr">
        <is>
          <t>Ernst Johannes, BSc</t>
        </is>
      </c>
    </row>
    <row r="31">
      <c r="A31" s="7" t="inlineStr">
        <is>
          <t>Stufenhöhe</t>
        </is>
      </c>
      <c r="B31" s="7" t="inlineStr">
        <is>
          <t>1,5 km/h</t>
        </is>
      </c>
    </row>
    <row r="32">
      <c r="A32" s="7" t="inlineStr">
        <is>
          <t>Ruhelaktat [mmol/L]</t>
        </is>
      </c>
      <c r="B32" s="7" t="n">
        <v>1.1</v>
      </c>
    </row>
    <row r="33">
      <c r="A33" s="7" t="inlineStr">
        <is>
          <t>Ruheglukose [mg/dL]</t>
        </is>
      </c>
      <c r="B33" s="7" t="n">
        <v>101</v>
      </c>
    </row>
    <row r="34">
      <c r="B34" s="57" t="inlineStr">
        <is>
          <t>Zeit</t>
        </is>
      </c>
      <c r="C34" s="57" t="inlineStr">
        <is>
          <t>Belastung [km/h]</t>
        </is>
      </c>
      <c r="D34" s="57" t="inlineStr">
        <is>
          <t>Laktat [mmol/L]</t>
        </is>
      </c>
      <c r="E34" s="57" t="inlineStr">
        <is>
          <t>HF [1/min]</t>
        </is>
      </c>
    </row>
    <row r="35">
      <c r="B35" s="7" t="inlineStr">
        <is>
          <t>03:00</t>
        </is>
      </c>
      <c r="C35" s="7" t="n">
        <v>6</v>
      </c>
      <c r="D35" s="7" t="n">
        <v>1.6</v>
      </c>
      <c r="E35" s="7" t="n">
        <v>153</v>
      </c>
    </row>
    <row r="36">
      <c r="B36" s="7" t="inlineStr">
        <is>
          <t>06:00</t>
        </is>
      </c>
      <c r="C36" s="7" t="n">
        <v>7.5</v>
      </c>
      <c r="D36" s="7" t="n">
        <v>1.7</v>
      </c>
      <c r="E36" s="7" t="n">
        <v>164</v>
      </c>
    </row>
    <row r="37">
      <c r="B37" s="7" t="inlineStr">
        <is>
          <t>09:00</t>
        </is>
      </c>
      <c r="C37" s="7" t="n">
        <v>9</v>
      </c>
      <c r="D37" s="7" t="n">
        <v>2.1</v>
      </c>
      <c r="E37" s="7" t="n">
        <v>180</v>
      </c>
    </row>
    <row r="38">
      <c r="B38" s="7" t="inlineStr">
        <is>
          <t>12:00</t>
        </is>
      </c>
      <c r="C38" s="7" t="n">
        <v>10.5</v>
      </c>
      <c r="D38" s="7" t="n">
        <v>2.4</v>
      </c>
      <c r="E38" s="7" t="n">
        <v>190</v>
      </c>
    </row>
    <row r="39">
      <c r="B39" s="7" t="inlineStr">
        <is>
          <t>15:00</t>
        </is>
      </c>
      <c r="C39" s="7" t="n">
        <v>12</v>
      </c>
      <c r="D39" s="7" t="n">
        <v>3.1</v>
      </c>
      <c r="E39" s="7" t="n">
        <v>199</v>
      </c>
    </row>
    <row r="40">
      <c r="B40" s="7" t="inlineStr">
        <is>
          <t>18:00</t>
        </is>
      </c>
      <c r="C40" s="7" t="n">
        <v>13.5</v>
      </c>
      <c r="D40" s="7" t="n">
        <v>4.6</v>
      </c>
      <c r="E40" s="7" t="n">
        <v>211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2"/>
  <sheetViews>
    <sheetView showGridLines="0" workbookViewId="0">
      <selection activeCell="A1" sqref="A1"/>
    </sheetView>
  </sheetViews>
  <sheetFormatPr baseColWidth="8" defaultRowHeight="15"/>
  <sheetData>
    <row r="1">
      <c r="A1" s="57" t="inlineStr">
        <is>
          <t>id</t>
        </is>
      </c>
      <c r="B1" s="57" t="inlineStr">
        <is>
          <t>Verfahren</t>
        </is>
      </c>
      <c r="C1" s="57" t="inlineStr">
        <is>
          <t>Gruppe</t>
        </is>
      </c>
      <c r="D1" s="57" t="inlineStr">
        <is>
          <t>Zielkonstrukt</t>
        </is>
      </c>
      <c r="F1" s="57" t="inlineStr">
        <is>
          <t>Modell</t>
        </is>
      </c>
    </row>
    <row r="2">
      <c r="A2" s="7" t="inlineStr">
        <is>
          <t>ltp1h</t>
        </is>
      </c>
      <c r="B2" s="7" t="inlineStr">
        <is>
          <t>LTP1 (Hofmann/Pokan)</t>
        </is>
      </c>
      <c r="C2" s="7" t="inlineStr">
        <is>
          <t>LT1</t>
        </is>
      </c>
      <c r="D2" s="7" t="inlineStr">
        <is>
          <t>erster Laktatumstellpunkt</t>
        </is>
      </c>
      <c r="F2" s="7" t="inlineStr">
        <is>
          <t>Polynom 2. Grades</t>
        </is>
      </c>
      <c r="G2" s="7" t="inlineStr">
        <is>
          <t>poly2</t>
        </is>
      </c>
      <c r="H2" s="7" t="inlineStr">
        <is>
          <t>Laufband (km/h)</t>
        </is>
      </c>
      <c r="I2" s="7" t="inlineStr">
        <is>
          <t>Kapillar Ohrläppchen</t>
        </is>
      </c>
      <c r="J2" s="7" t="inlineStr">
        <is>
          <t>Vollblut</t>
        </is>
      </c>
      <c r="K2" s="7" t="inlineStr">
        <is>
          <t>niedrigster Stufenwert</t>
        </is>
      </c>
      <c r="L2" s="7" t="inlineStr">
        <is>
          <t>linear</t>
        </is>
      </c>
      <c r="M2" s="7" t="inlineStr">
        <is>
          <t>korrigiert: nie unterhalb der Laktatkurve</t>
        </is>
      </c>
      <c r="N2" s="7" t="inlineStr">
        <is>
          <t>Nein</t>
        </is>
      </c>
      <c r="O2" s="7" t="inlineStr">
        <is>
          <t>mg/dL</t>
        </is>
      </c>
    </row>
    <row r="3">
      <c r="A3" s="7" t="inlineStr">
        <is>
          <t>ltp1</t>
        </is>
      </c>
      <c r="B3" s="7" t="inlineStr">
        <is>
          <t>LTP1 (3-Phasen global)</t>
        </is>
      </c>
      <c r="C3" s="7" t="inlineStr">
        <is>
          <t>LT1</t>
        </is>
      </c>
      <c r="D3" s="7" t="inlineStr">
        <is>
          <t>erster Laktatumstellpunkt</t>
        </is>
      </c>
      <c r="F3" s="7" t="inlineStr">
        <is>
          <t>Polynom 3. Grades (Standard für Dmax)</t>
        </is>
      </c>
      <c r="G3" s="7" t="inlineStr">
        <is>
          <t>poly3</t>
        </is>
      </c>
      <c r="H3" s="7" t="inlineStr">
        <is>
          <t>Radergometer (W)</t>
        </is>
      </c>
      <c r="I3" s="7" t="inlineStr">
        <is>
          <t>Kapillar Finger</t>
        </is>
      </c>
      <c r="J3" s="7" t="inlineStr">
        <is>
          <t>Plasma</t>
        </is>
      </c>
      <c r="K3" s="7" t="inlineStr">
        <is>
          <t>Ruhelaktat</t>
        </is>
      </c>
      <c r="L3" s="7" t="inlineStr">
        <is>
          <t>Polynom 2. Grades</t>
        </is>
      </c>
      <c r="M3" s="7" t="inlineStr">
        <is>
          <t>freie Regression durch die Messpunkte</t>
        </is>
      </c>
      <c r="N3" s="7" t="inlineStr">
        <is>
          <t>Ja</t>
        </is>
      </c>
      <c r="O3" s="7" t="inlineStr">
        <is>
          <t>mmol/L</t>
        </is>
      </c>
    </row>
    <row r="4">
      <c r="A4" s="7" t="inlineStr">
        <is>
          <t>loglog</t>
        </is>
      </c>
      <c r="B4" s="7" t="inlineStr">
        <is>
          <t>Log-Log (Beaver)</t>
        </is>
      </c>
      <c r="C4" s="7" t="inlineStr">
        <is>
          <t>LT1</t>
        </is>
      </c>
      <c r="D4" s="7" t="inlineStr">
        <is>
          <t>erster Laktatanstieg</t>
        </is>
      </c>
      <c r="F4" s="7" t="inlineStr">
        <is>
          <t>Polynom 4. Grades</t>
        </is>
      </c>
      <c r="G4" s="7" t="inlineStr">
        <is>
          <t>poly4</t>
        </is>
      </c>
      <c r="I4" s="7" t="inlineStr">
        <is>
          <t>venös</t>
        </is>
      </c>
      <c r="J4" s="7" t="inlineStr">
        <is>
          <t>Hämolysat</t>
        </is>
      </c>
    </row>
    <row r="5">
      <c r="A5" s="7" t="inlineStr">
        <is>
          <t>b05</t>
        </is>
      </c>
      <c r="B5" s="7" t="inlineStr">
        <is>
          <t>Baseline + 0,5 mmol/L</t>
        </is>
      </c>
      <c r="C5" s="7" t="inlineStr">
        <is>
          <t>LT1</t>
        </is>
      </c>
      <c r="D5" s="7" t="inlineStr">
        <is>
          <t>erster Laktatanstieg</t>
        </is>
      </c>
      <c r="F5" s="7" t="inlineStr">
        <is>
          <t>Exponentiell  a + b·e^(c·x)</t>
        </is>
      </c>
      <c r="G5" s="7" t="inlineStr">
        <is>
          <t>exp</t>
        </is>
      </c>
    </row>
    <row r="6">
      <c r="A6" s="7" t="inlineStr">
        <is>
          <t>lemin</t>
        </is>
      </c>
      <c r="B6" s="7" t="inlineStr">
        <is>
          <t>Minimales Laktatäquivalent</t>
        </is>
      </c>
      <c r="C6" s="7" t="inlineStr">
        <is>
          <t>LT1</t>
        </is>
      </c>
      <c r="D6" s="7" t="inlineStr">
        <is>
          <t>erster Laktatanstieg</t>
        </is>
      </c>
    </row>
    <row r="7">
      <c r="A7" s="7" t="inlineStr">
        <is>
          <t>fix2</t>
        </is>
      </c>
      <c r="B7" s="7" t="inlineStr">
        <is>
          <t>fix 2,0 mmol/L</t>
        </is>
      </c>
      <c r="C7" s="7" t="inlineStr">
        <is>
          <t>LT1</t>
        </is>
      </c>
      <c r="D7" s="7" t="inlineStr">
        <is>
          <t>niedriger fixer Anker</t>
        </is>
      </c>
    </row>
    <row r="8">
      <c r="A8" s="7" t="inlineStr">
        <is>
          <t>ltp2h</t>
        </is>
      </c>
      <c r="B8" s="7" t="inlineStr">
        <is>
          <t>LTP2 (Hofmann/Pokan)</t>
        </is>
      </c>
      <c r="C8" s="7" t="inlineStr">
        <is>
          <t>LT2</t>
        </is>
      </c>
      <c r="D8" s="7" t="inlineStr">
        <is>
          <t>zweiter Laktatumstellpunkt</t>
        </is>
      </c>
    </row>
    <row r="9">
      <c r="A9" s="7" t="inlineStr">
        <is>
          <t>ltp2</t>
        </is>
      </c>
      <c r="B9" s="7" t="inlineStr">
        <is>
          <t>LTP2 (3-Phasen global)</t>
        </is>
      </c>
      <c r="C9" s="7" t="inlineStr">
        <is>
          <t>LT2</t>
        </is>
      </c>
      <c r="D9" s="7" t="inlineStr">
        <is>
          <t>zweiter Laktatumstellpunkt</t>
        </is>
      </c>
    </row>
    <row r="10">
      <c r="A10" s="7" t="inlineStr">
        <is>
          <t>dmax</t>
        </is>
      </c>
      <c r="B10" s="7" t="inlineStr">
        <is>
          <t>Dmax (Cheng)</t>
        </is>
      </c>
      <c r="C10" s="7" t="inlineStr">
        <is>
          <t>LT2</t>
        </is>
      </c>
      <c r="D10" s="7" t="inlineStr">
        <is>
          <t>LT2</t>
        </is>
      </c>
    </row>
    <row r="11">
      <c r="A11" s="7" t="inlineStr">
        <is>
          <t>moddmax</t>
        </is>
      </c>
      <c r="B11" s="7" t="inlineStr">
        <is>
          <t>Modified Dmax (Bishop)</t>
        </is>
      </c>
      <c r="C11" s="7" t="inlineStr">
        <is>
          <t>LT2</t>
        </is>
      </c>
      <c r="D11" s="7" t="inlineStr">
        <is>
          <t>LT2</t>
        </is>
      </c>
    </row>
    <row r="12">
      <c r="A12" s="7" t="inlineStr">
        <is>
          <t>lpdmax</t>
        </is>
      </c>
      <c r="B12" s="7" t="inlineStr">
        <is>
          <t>Log-Poly-ModDmax</t>
        </is>
      </c>
      <c r="C12" s="7" t="inlineStr">
        <is>
          <t>LT2</t>
        </is>
      </c>
      <c r="D12" s="7" t="inlineStr">
        <is>
          <t>LT2 / MLSS-Schätzer</t>
        </is>
      </c>
    </row>
    <row r="13">
      <c r="A13" s="7" t="inlineStr">
        <is>
          <t>expdmax</t>
        </is>
      </c>
      <c r="B13" s="7" t="inlineStr">
        <is>
          <t>Exp-Dmax</t>
        </is>
      </c>
      <c r="C13" s="7" t="inlineStr">
        <is>
          <t>LT2</t>
        </is>
      </c>
      <c r="D13" s="7" t="inlineStr">
        <is>
          <t>LT2</t>
        </is>
      </c>
    </row>
    <row r="14">
      <c r="A14" s="7" t="inlineStr">
        <is>
          <t>dickhuth</t>
        </is>
      </c>
      <c r="B14" s="7" t="inlineStr">
        <is>
          <t>Dickhuth (LEmin + 1,5)</t>
        </is>
      </c>
      <c r="C14" s="7" t="inlineStr">
        <is>
          <t>LT2</t>
        </is>
      </c>
      <c r="D14" s="7" t="inlineStr">
        <is>
          <t>individuelle obere Schwelle</t>
        </is>
      </c>
    </row>
    <row r="15">
      <c r="A15" s="7" t="inlineStr">
        <is>
          <t>b10</t>
        </is>
      </c>
      <c r="B15" s="7" t="inlineStr">
        <is>
          <t>Baseline + 1,0 mmol/L</t>
        </is>
      </c>
      <c r="C15" s="7" t="inlineStr">
        <is>
          <t>LT2</t>
        </is>
      </c>
      <c r="D15" s="7" t="inlineStr">
        <is>
          <t>Übergangsbereich</t>
        </is>
      </c>
    </row>
    <row r="16">
      <c r="A16" s="7" t="inlineStr">
        <is>
          <t>b15</t>
        </is>
      </c>
      <c r="B16" s="7" t="inlineStr">
        <is>
          <t>Baseline + 1,5 mmol/L</t>
        </is>
      </c>
      <c r="C16" s="7" t="inlineStr">
        <is>
          <t>LT2</t>
        </is>
      </c>
      <c r="D16" s="7" t="inlineStr">
        <is>
          <t>obere Schwelle (Simon-Typ)</t>
        </is>
      </c>
    </row>
    <row r="17">
      <c r="A17" s="7" t="inlineStr">
        <is>
          <t>fix3</t>
        </is>
      </c>
      <c r="B17" s="7" t="inlineStr">
        <is>
          <t>fix 3,0 mmol/L</t>
        </is>
      </c>
      <c r="C17" s="7" t="inlineStr">
        <is>
          <t>FIX</t>
        </is>
      </c>
      <c r="D17" s="7" t="inlineStr">
        <is>
          <t>fixer Anker</t>
        </is>
      </c>
    </row>
    <row r="18">
      <c r="A18" s="7" t="inlineStr">
        <is>
          <t>fix35</t>
        </is>
      </c>
      <c r="B18" s="7" t="inlineStr">
        <is>
          <t>fix 3,5 mmol/L</t>
        </is>
      </c>
      <c r="C18" s="7" t="inlineStr">
        <is>
          <t>FIX</t>
        </is>
      </c>
      <c r="D18" s="7" t="inlineStr">
        <is>
          <t>fixer Anker</t>
        </is>
      </c>
    </row>
    <row r="19">
      <c r="A19" s="7" t="inlineStr">
        <is>
          <t>fix4</t>
        </is>
      </c>
      <c r="B19" s="7" t="inlineStr">
        <is>
          <t>fix 4,0 mmol/L (OBLA)</t>
        </is>
      </c>
      <c r="C19" s="7" t="inlineStr">
        <is>
          <t>FIX</t>
        </is>
      </c>
      <c r="D19" s="7" t="inlineStr">
        <is>
          <t>obere fixe Schwelle, ≠ MLSS</t>
        </is>
      </c>
    </row>
    <row r="20">
      <c r="A20" s="7" t="inlineStr">
        <is>
          <t>baldari</t>
        </is>
      </c>
      <c r="B20" s="7" t="inlineStr">
        <is>
          <t>Baldari-Guidetti</t>
        </is>
      </c>
      <c r="C20" s="7" t="inlineStr">
        <is>
          <t>FIX</t>
        </is>
      </c>
      <c r="D20" s="7" t="inlineStr">
        <is>
          <t>MLSS-Näherung</t>
        </is>
      </c>
    </row>
    <row r="21">
      <c r="A21" s="7" t="inlineStr">
        <is>
          <t>keul</t>
        </is>
      </c>
      <c r="B21" s="7" t="inlineStr">
        <is>
          <t>Keul (Tangente 51°)</t>
        </is>
      </c>
      <c r="C21" s="7" t="inlineStr">
        <is>
          <t>FIX</t>
        </is>
      </c>
      <c r="D21" s="7" t="inlineStr">
        <is>
          <t>historisch</t>
        </is>
      </c>
    </row>
    <row r="22">
      <c r="A22" s="7" t="inlineStr">
        <is>
          <t>lmin</t>
        </is>
      </c>
      <c r="B22" s="7" t="inlineStr">
        <is>
          <t>Laktatminimum (Tegtbur)</t>
        </is>
      </c>
      <c r="C22" s="7" t="inlineStr">
        <is>
          <t>FIX</t>
        </is>
      </c>
      <c r="D22" s="7" t="inlineStr">
        <is>
          <t>nur bei LMT-Protokoll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S260"/>
  <sheetViews>
    <sheetView showGridLines="0" workbookViewId="0">
      <selection activeCell="A1" sqref="A1"/>
    </sheetView>
  </sheetViews>
  <sheetFormatPr baseColWidth="8" defaultRowHeight="15"/>
  <cols>
    <col width="34" customWidth="1" min="1" max="1"/>
  </cols>
  <sheetData>
    <row r="1">
      <c r="A1" s="57" t="inlineStr">
        <is>
          <t>Rechenblatt – kompakte Stufenliste, Parameter, Modellanpassung (nicht bearbeiten)</t>
        </is>
      </c>
    </row>
    <row r="2">
      <c r="A2" s="57" t="inlineStr">
        <is>
          <t>Zeile</t>
        </is>
      </c>
      <c r="B2" s="57" t="inlineStr">
        <is>
          <t>Key x</t>
        </is>
      </c>
      <c r="C2" s="57" t="inlineStr">
        <is>
          <t>Key HF</t>
        </is>
      </c>
      <c r="D2" s="57" t="inlineStr">
        <is>
          <t>Key Glu</t>
        </is>
      </c>
      <c r="E2" s="57" t="inlineStr"/>
      <c r="F2" s="57" t="inlineStr">
        <is>
          <t>k</t>
        </is>
      </c>
      <c r="G2" s="57" t="inlineStr">
        <is>
          <t>x</t>
        </is>
      </c>
      <c r="H2" s="57" t="inlineStr">
        <is>
          <t>Quelle</t>
        </is>
      </c>
      <c r="I2" s="57" t="inlineStr">
        <is>
          <t>La</t>
        </is>
      </c>
      <c r="J2" s="57" t="inlineStr">
        <is>
          <t>HF</t>
        </is>
      </c>
      <c r="K2" s="57" t="inlineStr">
        <is>
          <t>gültig</t>
        </is>
      </c>
      <c r="L2" s="57" t="inlineStr">
        <is>
          <t>t</t>
        </is>
      </c>
      <c r="M2" s="57" t="inlineStr">
        <is>
          <t>t²</t>
        </is>
      </c>
      <c r="N2" s="57" t="inlineStr">
        <is>
          <t>t³</t>
        </is>
      </c>
      <c r="O2" s="57" t="inlineStr">
        <is>
          <t>t⁴</t>
        </is>
      </c>
      <c r="P2" s="57" t="inlineStr">
        <is>
          <t>ln x</t>
        </is>
      </c>
      <c r="Q2" s="57" t="inlineStr">
        <is>
          <t>ln La</t>
        </is>
      </c>
      <c r="R2" s="57" t="inlineStr">
        <is>
          <t>fit P2</t>
        </is>
      </c>
      <c r="S2" s="57" t="inlineStr">
        <is>
          <t>fit P3</t>
        </is>
      </c>
      <c r="T2" s="57" t="inlineStr">
        <is>
          <t>fit P4</t>
        </is>
      </c>
      <c r="U2" s="57" t="inlineStr">
        <is>
          <t>fit Exp</t>
        </is>
      </c>
      <c r="V2" s="57" t="inlineStr">
        <is>
          <t>x (Diagr.)</t>
        </is>
      </c>
      <c r="W2" s="57" t="inlineStr">
        <is>
          <t>La (Diagr.)</t>
        </is>
      </c>
      <c r="X2" s="57" t="inlineStr">
        <is>
          <t>La/x (Diagr.)</t>
        </is>
      </c>
      <c r="Y2" s="57" t="inlineStr">
        <is>
          <t>ΔLa</t>
        </is>
      </c>
      <c r="Z2" s="57" t="inlineStr">
        <is>
          <t>Baldari</t>
        </is>
      </c>
      <c r="AA2" s="57" t="inlineStr">
        <is>
          <t>Guide</t>
        </is>
      </c>
      <c r="AB2" s="57" t="inlineStr"/>
      <c r="AC2" s="57" t="inlineStr">
        <is>
          <t>k HF</t>
        </is>
      </c>
      <c r="AD2" s="57" t="inlineStr">
        <is>
          <t>x HF</t>
        </is>
      </c>
      <c r="AE2" s="57" t="inlineStr">
        <is>
          <t>x² HF</t>
        </is>
      </c>
      <c r="AF2" s="57" t="inlineStr">
        <is>
          <t>HF</t>
        </is>
      </c>
      <c r="AG2" s="57" t="inlineStr">
        <is>
          <t>x HF (D)</t>
        </is>
      </c>
      <c r="AH2" s="57" t="inlineStr">
        <is>
          <t>HF (D)</t>
        </is>
      </c>
      <c r="AI2" s="57" t="inlineStr"/>
      <c r="AJ2" s="57" t="inlineStr">
        <is>
          <t>k Glu</t>
        </is>
      </c>
      <c r="AK2" s="57" t="inlineStr">
        <is>
          <t>x Glu</t>
        </is>
      </c>
      <c r="AL2" s="57" t="inlineStr">
        <is>
          <t>Glu</t>
        </is>
      </c>
      <c r="AM2" s="57" t="inlineStr">
        <is>
          <t>Δ</t>
        </is>
      </c>
      <c r="AN2" s="57" t="inlineStr">
        <is>
          <t>m roh</t>
        </is>
      </c>
      <c r="AP2" s="57" t="inlineStr">
        <is>
          <t>m links</t>
        </is>
      </c>
      <c r="AQ2" s="57" t="inlineStr">
        <is>
          <t>m rechts</t>
        </is>
      </c>
    </row>
    <row r="3">
      <c r="A3" t="n">
        <v>1</v>
      </c>
      <c r="B3">
        <f>IF(AND(ISNUMBER(Eingabe!$C$17),ISNUMBER(Eingabe!$D$17)),IF(AND(Eingabe!$C$17&gt;0,Eingabe!$D$17&gt;0),Eingabe!$C$17,""),"")</f>
        <v/>
      </c>
      <c r="C3">
        <f>IF(AND(ISNUMBER(B3),ISNUMBER(Eingabe!$E$17)),IF(Eingabe!$E$17&gt;0,B3,""),"")</f>
        <v/>
      </c>
      <c r="D3">
        <f>IF(AND(k_gluOn,ISNUMBER(B3),ISNUMBER(Eingabe!$F$17)),IF(Eingabe!$F$17&gt;0,B3,""),"")</f>
        <v/>
      </c>
      <c r="F3" t="n">
        <v>1</v>
      </c>
      <c r="G3">
        <f>IF(F3&lt;=k_n,SMALL($B$3:$B$22,F3),0)</f>
        <v/>
      </c>
      <c r="H3">
        <f>IF(F3&lt;=k_n,MATCH(G3,$B$3:$B$22,0),0)</f>
        <v/>
      </c>
      <c r="I3">
        <f>IF(F3&lt;=k_n,INDEX(Eingabe!$D$17:$D$36,H3),0)</f>
        <v/>
      </c>
      <c r="J3">
        <f>IF(F3&lt;=k_n,IF(ISNUMBER(INDEX(Eingabe!$E$17:$E$36,H3)),INDEX(Eingabe!$E$17:$E$36,H3),""),"")</f>
        <v/>
      </c>
      <c r="K3">
        <f>IF(F3&lt;=k_n,1,0)</f>
        <v/>
      </c>
      <c r="L3">
        <f>IF(K3=1,(G3-k_mx)/k_sx,0)</f>
        <v/>
      </c>
      <c r="M3">
        <f>L3^2</f>
        <v/>
      </c>
      <c r="N3">
        <f>L3^3</f>
        <v/>
      </c>
      <c r="O3">
        <f>L3^4</f>
        <v/>
      </c>
      <c r="P3">
        <f>IF(K3=1,LN(G3),0)</f>
        <v/>
      </c>
      <c r="Q3">
        <f>IF(K3=1,LN(I3),0)</f>
        <v/>
      </c>
      <c r="R3">
        <f>IF(K3=1,(k_p2_0+((G3)-k_mx)/k_sx*(k_p2_1+((G3)-k_mx)/k_sx*k_p2_2)),0)</f>
        <v/>
      </c>
      <c r="S3">
        <f>IF(K3=1,(k_p3_0+((G3)-k_mx)/k_sx*(k_p3_1+((G3)-k_mx)/k_sx*(k_p3_2+((G3)-k_mx)/k_sx*k_p3_3))),0)</f>
        <v/>
      </c>
      <c r="T3">
        <f>IF(K3=1,(k_p4_0+((G3)-k_mx)/k_sx*(k_p4_1+((G3)-k_mx)/k_sx*(k_p4_2+((G3)-k_mx)/k_sx*(k_p4_3+((G3)-k_mx)/k_sx*k_p4_4)))),0)</f>
        <v/>
      </c>
      <c r="U3">
        <f>IF(K3=1,(k_ea+k_eb*EXP(k_ec*((G3)-k_mx)/k_sx)),0)</f>
        <v/>
      </c>
      <c r="V3">
        <f>IF(K3=1,G3,NA())</f>
        <v/>
      </c>
      <c r="W3">
        <f>IF(K3=1,I3,NA())</f>
        <v/>
      </c>
      <c r="X3">
        <f>IF(K3=1,I3/G3,NA())</f>
        <v/>
      </c>
      <c r="Y3">
        <f>0</f>
        <v/>
      </c>
      <c r="Z3">
        <f>IF(AND(F3&gt;=2,F3&lt;=k_n-1),IF(AND(Y3&gt;=0.5,Y4&gt;=0.5),1,0),0)</f>
        <v/>
      </c>
      <c r="AA3">
        <f>IF(K3=1,IF(G3&lt;=k_gk1,k_gy0+(k_gy1-k_gy0)*(G3-k_gx0)/(k_gk1-k_gx0),IF(G3&lt;=k_gk2,k_gy1+(k_gy2-k_gy1)*(G3-k_gk1)/(k_gk2-k_gk1),k_gy2+(k_gy3-k_gy2)*(G3-k_gk2)/(k_gx3-k_gk2))),0)</f>
        <v/>
      </c>
      <c r="AC3" t="n">
        <v>1</v>
      </c>
      <c r="AD3">
        <f>IF(AC3&lt;=k_nh,SMALL($C$3:$C$22,AC3),0)</f>
        <v/>
      </c>
      <c r="AE3">
        <f>AD3^2</f>
        <v/>
      </c>
      <c r="AF3">
        <f>IF(AC3&lt;=k_nh,INDEX(Eingabe!$E$17:$E$36,MATCH(AD3,$C$3:$C$22,0)),0)</f>
        <v/>
      </c>
      <c r="AG3">
        <f>IF(AC3&lt;=k_nh,AD3,NA())</f>
        <v/>
      </c>
      <c r="AH3">
        <f>IF(AC3&lt;=k_nh,AF3,NA())</f>
        <v/>
      </c>
      <c r="AJ3" t="n">
        <v>1</v>
      </c>
      <c r="AK3">
        <f>IF(AJ3&lt;=k_ng,SMALL($D$3:$D$22,AJ3),0)</f>
        <v/>
      </c>
      <c r="AL3">
        <f>IF(AJ3&lt;=k_ng,INDEX(Eingabe!$F$17:$F$36,MATCH(AK3,$D$3:$D$22,0)),0)</f>
        <v/>
      </c>
      <c r="AM3">
        <f>IF(AJ3&lt;k_ng,(AL4-AL3)/(AK4-AK3),0)</f>
        <v/>
      </c>
      <c r="AN3">
        <f>AO3</f>
        <v/>
      </c>
      <c r="AO3">
        <f>IF(AJ3&lt;=k_ng,IF(AJ3=1,AM3,IF(AJ3=k_ng,0,IF(0*AM3&lt;=0,0,(0+AM3)/2))),0)</f>
        <v/>
      </c>
      <c r="AP3">
        <f>IF(AJ3&lt;k_ng,IF(AM3=0,0,IF((IF(AM3=0,0,AO3/AM3)^2+IF(AM3=0,0,AO4/AM3)^2)&gt;9,3/SQRT((IF(AM3=0,0,AO3/AM3)^2+IF(AM3=0,0,AO4/AM3)^2))*IF(AM3=0,0,AO3/AM3)*AM3,AO3)),0)</f>
        <v/>
      </c>
      <c r="AQ3">
        <f>IF(AJ3&lt;k_ng,IF(AM3=0,0,IF((IF(AM3=0,0,AO3/AM3)^2+IF(AM3=0,0,AO4/AM3)^2)&gt;9,3/SQRT((IF(AM3=0,0,AO3/AM3)^2+IF(AM3=0,0,AO4/AM3)^2))*IF(AM3=0,0,AO4/AM3)*AM3,AO4)),0)</f>
        <v/>
      </c>
      <c r="AR3">
        <f>IF(AJ3&lt;=k_ng,AK3,NA())</f>
        <v/>
      </c>
      <c r="AS3">
        <f>IF(AJ3&lt;=k_ng,AL3,NA())</f>
        <v/>
      </c>
    </row>
    <row r="4">
      <c r="A4" t="n">
        <v>2</v>
      </c>
      <c r="B4">
        <f>IF(AND(ISNUMBER(Eingabe!$C$18),ISNUMBER(Eingabe!$D$18)),IF(AND(Eingabe!$C$18&gt;0,Eingabe!$D$18&gt;0),Eingabe!$C$18,""),"")</f>
        <v/>
      </c>
      <c r="C4">
        <f>IF(AND(ISNUMBER(B4),ISNUMBER(Eingabe!$E$18)),IF(Eingabe!$E$18&gt;0,B4,""),"")</f>
        <v/>
      </c>
      <c r="D4">
        <f>IF(AND(k_gluOn,ISNUMBER(B4),ISNUMBER(Eingabe!$F$18)),IF(Eingabe!$F$18&gt;0,B4,""),"")</f>
        <v/>
      </c>
      <c r="F4" t="n">
        <v>2</v>
      </c>
      <c r="G4">
        <f>IF(F4&lt;=k_n,SMALL($B$3:$B$22,F4),0)</f>
        <v/>
      </c>
      <c r="H4">
        <f>IF(F4&lt;=k_n,MATCH(G4,$B$3:$B$22,0),0)</f>
        <v/>
      </c>
      <c r="I4">
        <f>IF(F4&lt;=k_n,INDEX(Eingabe!$D$17:$D$36,H4),0)</f>
        <v/>
      </c>
      <c r="J4">
        <f>IF(F4&lt;=k_n,IF(ISNUMBER(INDEX(Eingabe!$E$17:$E$36,H4)),INDEX(Eingabe!$E$17:$E$36,H4),""),"")</f>
        <v/>
      </c>
      <c r="K4">
        <f>IF(F4&lt;=k_n,1,0)</f>
        <v/>
      </c>
      <c r="L4">
        <f>IF(K4=1,(G4-k_mx)/k_sx,0)</f>
        <v/>
      </c>
      <c r="M4">
        <f>L4^2</f>
        <v/>
      </c>
      <c r="N4">
        <f>L4^3</f>
        <v/>
      </c>
      <c r="O4">
        <f>L4^4</f>
        <v/>
      </c>
      <c r="P4">
        <f>IF(K4=1,LN(G4),0)</f>
        <v/>
      </c>
      <c r="Q4">
        <f>IF(K4=1,LN(I4),0)</f>
        <v/>
      </c>
      <c r="R4">
        <f>IF(K4=1,(k_p2_0+((G4)-k_mx)/k_sx*(k_p2_1+((G4)-k_mx)/k_sx*k_p2_2)),0)</f>
        <v/>
      </c>
      <c r="S4">
        <f>IF(K4=1,(k_p3_0+((G4)-k_mx)/k_sx*(k_p3_1+((G4)-k_mx)/k_sx*(k_p3_2+((G4)-k_mx)/k_sx*k_p3_3))),0)</f>
        <v/>
      </c>
      <c r="T4">
        <f>IF(K4=1,(k_p4_0+((G4)-k_mx)/k_sx*(k_p4_1+((G4)-k_mx)/k_sx*(k_p4_2+((G4)-k_mx)/k_sx*(k_p4_3+((G4)-k_mx)/k_sx*k_p4_4)))),0)</f>
        <v/>
      </c>
      <c r="U4">
        <f>IF(K4=1,(k_ea+k_eb*EXP(k_ec*((G4)-k_mx)/k_sx)),0)</f>
        <v/>
      </c>
      <c r="V4">
        <f>IF(K4=1,G4,NA())</f>
        <v/>
      </c>
      <c r="W4">
        <f>IF(K4=1,I4,NA())</f>
        <v/>
      </c>
      <c r="X4">
        <f>IF(K4=1,I4/G4,NA())</f>
        <v/>
      </c>
      <c r="Y4">
        <f>IF(AND(F4&gt;=2,F4&lt;=k_n),ROUND(I4-I3,9),0)</f>
        <v/>
      </c>
      <c r="Z4">
        <f>IF(AND(F4&gt;=2,F4&lt;=k_n-1),IF(AND(Y4&gt;=0.5,Y5&gt;=0.5),1,0),0)</f>
        <v/>
      </c>
      <c r="AA4">
        <f>IF(K4=1,IF(G4&lt;=k_gk1,k_gy0+(k_gy1-k_gy0)*(G4-k_gx0)/(k_gk1-k_gx0),IF(G4&lt;=k_gk2,k_gy1+(k_gy2-k_gy1)*(G4-k_gk1)/(k_gk2-k_gk1),k_gy2+(k_gy3-k_gy2)*(G4-k_gk2)/(k_gx3-k_gk2))),0)</f>
        <v/>
      </c>
      <c r="AC4" t="n">
        <v>2</v>
      </c>
      <c r="AD4">
        <f>IF(AC4&lt;=k_nh,SMALL($C$3:$C$22,AC4),0)</f>
        <v/>
      </c>
      <c r="AE4">
        <f>AD4^2</f>
        <v/>
      </c>
      <c r="AF4">
        <f>IF(AC4&lt;=k_nh,INDEX(Eingabe!$E$17:$E$36,MATCH(AD4,$C$3:$C$22,0)),0)</f>
        <v/>
      </c>
      <c r="AG4">
        <f>IF(AC4&lt;=k_nh,AD4,NA())</f>
        <v/>
      </c>
      <c r="AH4">
        <f>IF(AC4&lt;=k_nh,AF4,NA())</f>
        <v/>
      </c>
      <c r="AJ4" t="n">
        <v>2</v>
      </c>
      <c r="AK4">
        <f>IF(AJ4&lt;=k_ng,SMALL($D$3:$D$22,AJ4),0)</f>
        <v/>
      </c>
      <c r="AL4">
        <f>IF(AJ4&lt;=k_ng,INDEX(Eingabe!$F$17:$F$36,MATCH(AK4,$D$3:$D$22,0)),0)</f>
        <v/>
      </c>
      <c r="AM4">
        <f>IF(AJ4&lt;k_ng,(AL5-AL4)/(AK5-AK4),0)</f>
        <v/>
      </c>
      <c r="AN4">
        <f>AO4</f>
        <v/>
      </c>
      <c r="AO4">
        <f>IF(AJ4&lt;=k_ng,IF(AJ4=1,AM4,IF(AJ4=k_ng,AM3,IF(AM3*AM4&lt;=0,0,(AM3+AM4)/2))),0)</f>
        <v/>
      </c>
      <c r="AP4">
        <f>IF(AJ4&lt;k_ng,IF(AM4=0,0,IF((IF(AM4=0,0,AO4/AM4)^2+IF(AM4=0,0,AO5/AM4)^2)&gt;9,3/SQRT((IF(AM4=0,0,AO4/AM4)^2+IF(AM4=0,0,AO5/AM4)^2))*IF(AM4=0,0,AO4/AM4)*AM4,AO4)),0)</f>
        <v/>
      </c>
      <c r="AQ4">
        <f>IF(AJ4&lt;k_ng,IF(AM4=0,0,IF((IF(AM4=0,0,AO4/AM4)^2+IF(AM4=0,0,AO5/AM4)^2)&gt;9,3/SQRT((IF(AM4=0,0,AO4/AM4)^2+IF(AM4=0,0,AO5/AM4)^2))*IF(AM4=0,0,AO5/AM4)*AM4,AO5)),0)</f>
        <v/>
      </c>
      <c r="AR4">
        <f>IF(AJ4&lt;=k_ng,AK4,NA())</f>
        <v/>
      </c>
      <c r="AS4">
        <f>IF(AJ4&lt;=k_ng,AL4,NA())</f>
        <v/>
      </c>
    </row>
    <row r="5">
      <c r="A5" t="n">
        <v>3</v>
      </c>
      <c r="B5">
        <f>IF(AND(ISNUMBER(Eingabe!$C$19),ISNUMBER(Eingabe!$D$19)),IF(AND(Eingabe!$C$19&gt;0,Eingabe!$D$19&gt;0),Eingabe!$C$19,""),"")</f>
        <v/>
      </c>
      <c r="C5">
        <f>IF(AND(ISNUMBER(B5),ISNUMBER(Eingabe!$E$19)),IF(Eingabe!$E$19&gt;0,B5,""),"")</f>
        <v/>
      </c>
      <c r="D5">
        <f>IF(AND(k_gluOn,ISNUMBER(B5),ISNUMBER(Eingabe!$F$19)),IF(Eingabe!$F$19&gt;0,B5,""),"")</f>
        <v/>
      </c>
      <c r="F5" t="n">
        <v>3</v>
      </c>
      <c r="G5">
        <f>IF(F5&lt;=k_n,SMALL($B$3:$B$22,F5),0)</f>
        <v/>
      </c>
      <c r="H5">
        <f>IF(F5&lt;=k_n,MATCH(G5,$B$3:$B$22,0),0)</f>
        <v/>
      </c>
      <c r="I5">
        <f>IF(F5&lt;=k_n,INDEX(Eingabe!$D$17:$D$36,H5),0)</f>
        <v/>
      </c>
      <c r="J5">
        <f>IF(F5&lt;=k_n,IF(ISNUMBER(INDEX(Eingabe!$E$17:$E$36,H5)),INDEX(Eingabe!$E$17:$E$36,H5),""),"")</f>
        <v/>
      </c>
      <c r="K5">
        <f>IF(F5&lt;=k_n,1,0)</f>
        <v/>
      </c>
      <c r="L5">
        <f>IF(K5=1,(G5-k_mx)/k_sx,0)</f>
        <v/>
      </c>
      <c r="M5">
        <f>L5^2</f>
        <v/>
      </c>
      <c r="N5">
        <f>L5^3</f>
        <v/>
      </c>
      <c r="O5">
        <f>L5^4</f>
        <v/>
      </c>
      <c r="P5">
        <f>IF(K5=1,LN(G5),0)</f>
        <v/>
      </c>
      <c r="Q5">
        <f>IF(K5=1,LN(I5),0)</f>
        <v/>
      </c>
      <c r="R5">
        <f>IF(K5=1,(k_p2_0+((G5)-k_mx)/k_sx*(k_p2_1+((G5)-k_mx)/k_sx*k_p2_2)),0)</f>
        <v/>
      </c>
      <c r="S5">
        <f>IF(K5=1,(k_p3_0+((G5)-k_mx)/k_sx*(k_p3_1+((G5)-k_mx)/k_sx*(k_p3_2+((G5)-k_mx)/k_sx*k_p3_3))),0)</f>
        <v/>
      </c>
      <c r="T5">
        <f>IF(K5=1,(k_p4_0+((G5)-k_mx)/k_sx*(k_p4_1+((G5)-k_mx)/k_sx*(k_p4_2+((G5)-k_mx)/k_sx*(k_p4_3+((G5)-k_mx)/k_sx*k_p4_4)))),0)</f>
        <v/>
      </c>
      <c r="U5">
        <f>IF(K5=1,(k_ea+k_eb*EXP(k_ec*((G5)-k_mx)/k_sx)),0)</f>
        <v/>
      </c>
      <c r="V5">
        <f>IF(K5=1,G5,NA())</f>
        <v/>
      </c>
      <c r="W5">
        <f>IF(K5=1,I5,NA())</f>
        <v/>
      </c>
      <c r="X5">
        <f>IF(K5=1,I5/G5,NA())</f>
        <v/>
      </c>
      <c r="Y5">
        <f>IF(AND(F5&gt;=2,F5&lt;=k_n),ROUND(I5-I4,9),0)</f>
        <v/>
      </c>
      <c r="Z5">
        <f>IF(AND(F5&gt;=2,F5&lt;=k_n-1),IF(AND(Y5&gt;=0.5,Y6&gt;=0.5),1,0),0)</f>
        <v/>
      </c>
      <c r="AA5">
        <f>IF(K5=1,IF(G5&lt;=k_gk1,k_gy0+(k_gy1-k_gy0)*(G5-k_gx0)/(k_gk1-k_gx0),IF(G5&lt;=k_gk2,k_gy1+(k_gy2-k_gy1)*(G5-k_gk1)/(k_gk2-k_gk1),k_gy2+(k_gy3-k_gy2)*(G5-k_gk2)/(k_gx3-k_gk2))),0)</f>
        <v/>
      </c>
      <c r="AC5" t="n">
        <v>3</v>
      </c>
      <c r="AD5">
        <f>IF(AC5&lt;=k_nh,SMALL($C$3:$C$22,AC5),0)</f>
        <v/>
      </c>
      <c r="AE5">
        <f>AD5^2</f>
        <v/>
      </c>
      <c r="AF5">
        <f>IF(AC5&lt;=k_nh,INDEX(Eingabe!$E$17:$E$36,MATCH(AD5,$C$3:$C$22,0)),0)</f>
        <v/>
      </c>
      <c r="AG5">
        <f>IF(AC5&lt;=k_nh,AD5,NA())</f>
        <v/>
      </c>
      <c r="AH5">
        <f>IF(AC5&lt;=k_nh,AF5,NA())</f>
        <v/>
      </c>
      <c r="AJ5" t="n">
        <v>3</v>
      </c>
      <c r="AK5">
        <f>IF(AJ5&lt;=k_ng,SMALL($D$3:$D$22,AJ5),0)</f>
        <v/>
      </c>
      <c r="AL5">
        <f>IF(AJ5&lt;=k_ng,INDEX(Eingabe!$F$17:$F$36,MATCH(AK5,$D$3:$D$22,0)),0)</f>
        <v/>
      </c>
      <c r="AM5">
        <f>IF(AJ5&lt;k_ng,(AL6-AL5)/(AK6-AK5),0)</f>
        <v/>
      </c>
      <c r="AN5">
        <f>AO5</f>
        <v/>
      </c>
      <c r="AO5">
        <f>IF(AJ5&lt;=k_ng,IF(AJ5=1,AM5,IF(AJ5=k_ng,AM4,IF(AM4*AM5&lt;=0,0,(AM4+AM5)/2))),0)</f>
        <v/>
      </c>
      <c r="AP5">
        <f>IF(AJ5&lt;k_ng,IF(AM5=0,0,IF((IF(AM5=0,0,AO5/AM5)^2+IF(AM5=0,0,AO6/AM5)^2)&gt;9,3/SQRT((IF(AM5=0,0,AO5/AM5)^2+IF(AM5=0,0,AO6/AM5)^2))*IF(AM5=0,0,AO5/AM5)*AM5,AO5)),0)</f>
        <v/>
      </c>
      <c r="AQ5">
        <f>IF(AJ5&lt;k_ng,IF(AM5=0,0,IF((IF(AM5=0,0,AO5/AM5)^2+IF(AM5=0,0,AO6/AM5)^2)&gt;9,3/SQRT((IF(AM5=0,0,AO5/AM5)^2+IF(AM5=0,0,AO6/AM5)^2))*IF(AM5=0,0,AO6/AM5)*AM5,AO6)),0)</f>
        <v/>
      </c>
      <c r="AR5">
        <f>IF(AJ5&lt;=k_ng,AK5,NA())</f>
        <v/>
      </c>
      <c r="AS5">
        <f>IF(AJ5&lt;=k_ng,AL5,NA())</f>
        <v/>
      </c>
    </row>
    <row r="6">
      <c r="A6" t="n">
        <v>4</v>
      </c>
      <c r="B6">
        <f>IF(AND(ISNUMBER(Eingabe!$C$20),ISNUMBER(Eingabe!$D$20)),IF(AND(Eingabe!$C$20&gt;0,Eingabe!$D$20&gt;0),Eingabe!$C$20,""),"")</f>
        <v/>
      </c>
      <c r="C6">
        <f>IF(AND(ISNUMBER(B6),ISNUMBER(Eingabe!$E$20)),IF(Eingabe!$E$20&gt;0,B6,""),"")</f>
        <v/>
      </c>
      <c r="D6">
        <f>IF(AND(k_gluOn,ISNUMBER(B6),ISNUMBER(Eingabe!$F$20)),IF(Eingabe!$F$20&gt;0,B6,""),"")</f>
        <v/>
      </c>
      <c r="F6" t="n">
        <v>4</v>
      </c>
      <c r="G6">
        <f>IF(F6&lt;=k_n,SMALL($B$3:$B$22,F6),0)</f>
        <v/>
      </c>
      <c r="H6">
        <f>IF(F6&lt;=k_n,MATCH(G6,$B$3:$B$22,0),0)</f>
        <v/>
      </c>
      <c r="I6">
        <f>IF(F6&lt;=k_n,INDEX(Eingabe!$D$17:$D$36,H6),0)</f>
        <v/>
      </c>
      <c r="J6">
        <f>IF(F6&lt;=k_n,IF(ISNUMBER(INDEX(Eingabe!$E$17:$E$36,H6)),INDEX(Eingabe!$E$17:$E$36,H6),""),"")</f>
        <v/>
      </c>
      <c r="K6">
        <f>IF(F6&lt;=k_n,1,0)</f>
        <v/>
      </c>
      <c r="L6">
        <f>IF(K6=1,(G6-k_mx)/k_sx,0)</f>
        <v/>
      </c>
      <c r="M6">
        <f>L6^2</f>
        <v/>
      </c>
      <c r="N6">
        <f>L6^3</f>
        <v/>
      </c>
      <c r="O6">
        <f>L6^4</f>
        <v/>
      </c>
      <c r="P6">
        <f>IF(K6=1,LN(G6),0)</f>
        <v/>
      </c>
      <c r="Q6">
        <f>IF(K6=1,LN(I6),0)</f>
        <v/>
      </c>
      <c r="R6">
        <f>IF(K6=1,(k_p2_0+((G6)-k_mx)/k_sx*(k_p2_1+((G6)-k_mx)/k_sx*k_p2_2)),0)</f>
        <v/>
      </c>
      <c r="S6">
        <f>IF(K6=1,(k_p3_0+((G6)-k_mx)/k_sx*(k_p3_1+((G6)-k_mx)/k_sx*(k_p3_2+((G6)-k_mx)/k_sx*k_p3_3))),0)</f>
        <v/>
      </c>
      <c r="T6">
        <f>IF(K6=1,(k_p4_0+((G6)-k_mx)/k_sx*(k_p4_1+((G6)-k_mx)/k_sx*(k_p4_2+((G6)-k_mx)/k_sx*(k_p4_3+((G6)-k_mx)/k_sx*k_p4_4)))),0)</f>
        <v/>
      </c>
      <c r="U6">
        <f>IF(K6=1,(k_ea+k_eb*EXP(k_ec*((G6)-k_mx)/k_sx)),0)</f>
        <v/>
      </c>
      <c r="V6">
        <f>IF(K6=1,G6,NA())</f>
        <v/>
      </c>
      <c r="W6">
        <f>IF(K6=1,I6,NA())</f>
        <v/>
      </c>
      <c r="X6">
        <f>IF(K6=1,I6/G6,NA())</f>
        <v/>
      </c>
      <c r="Y6">
        <f>IF(AND(F6&gt;=2,F6&lt;=k_n),ROUND(I6-I5,9),0)</f>
        <v/>
      </c>
      <c r="Z6">
        <f>IF(AND(F6&gt;=2,F6&lt;=k_n-1),IF(AND(Y6&gt;=0.5,Y7&gt;=0.5),1,0),0)</f>
        <v/>
      </c>
      <c r="AA6">
        <f>IF(K6=1,IF(G6&lt;=k_gk1,k_gy0+(k_gy1-k_gy0)*(G6-k_gx0)/(k_gk1-k_gx0),IF(G6&lt;=k_gk2,k_gy1+(k_gy2-k_gy1)*(G6-k_gk1)/(k_gk2-k_gk1),k_gy2+(k_gy3-k_gy2)*(G6-k_gk2)/(k_gx3-k_gk2))),0)</f>
        <v/>
      </c>
      <c r="AC6" t="n">
        <v>4</v>
      </c>
      <c r="AD6">
        <f>IF(AC6&lt;=k_nh,SMALL($C$3:$C$22,AC6),0)</f>
        <v/>
      </c>
      <c r="AE6">
        <f>AD6^2</f>
        <v/>
      </c>
      <c r="AF6">
        <f>IF(AC6&lt;=k_nh,INDEX(Eingabe!$E$17:$E$36,MATCH(AD6,$C$3:$C$22,0)),0)</f>
        <v/>
      </c>
      <c r="AG6">
        <f>IF(AC6&lt;=k_nh,AD6,NA())</f>
        <v/>
      </c>
      <c r="AH6">
        <f>IF(AC6&lt;=k_nh,AF6,NA())</f>
        <v/>
      </c>
      <c r="AJ6" t="n">
        <v>4</v>
      </c>
      <c r="AK6">
        <f>IF(AJ6&lt;=k_ng,SMALL($D$3:$D$22,AJ6),0)</f>
        <v/>
      </c>
      <c r="AL6">
        <f>IF(AJ6&lt;=k_ng,INDEX(Eingabe!$F$17:$F$36,MATCH(AK6,$D$3:$D$22,0)),0)</f>
        <v/>
      </c>
      <c r="AM6">
        <f>IF(AJ6&lt;k_ng,(AL7-AL6)/(AK7-AK6),0)</f>
        <v/>
      </c>
      <c r="AN6">
        <f>AO6</f>
        <v/>
      </c>
      <c r="AO6">
        <f>IF(AJ6&lt;=k_ng,IF(AJ6=1,AM6,IF(AJ6=k_ng,AM5,IF(AM5*AM6&lt;=0,0,(AM5+AM6)/2))),0)</f>
        <v/>
      </c>
      <c r="AP6">
        <f>IF(AJ6&lt;k_ng,IF(AM6=0,0,IF((IF(AM6=0,0,AO6/AM6)^2+IF(AM6=0,0,AO7/AM6)^2)&gt;9,3/SQRT((IF(AM6=0,0,AO6/AM6)^2+IF(AM6=0,0,AO7/AM6)^2))*IF(AM6=0,0,AO6/AM6)*AM6,AO6)),0)</f>
        <v/>
      </c>
      <c r="AQ6">
        <f>IF(AJ6&lt;k_ng,IF(AM6=0,0,IF((IF(AM6=0,0,AO6/AM6)^2+IF(AM6=0,0,AO7/AM6)^2)&gt;9,3/SQRT((IF(AM6=0,0,AO6/AM6)^2+IF(AM6=0,0,AO7/AM6)^2))*IF(AM6=0,0,AO7/AM6)*AM6,AO7)),0)</f>
        <v/>
      </c>
      <c r="AR6">
        <f>IF(AJ6&lt;=k_ng,AK6,NA())</f>
        <v/>
      </c>
      <c r="AS6">
        <f>IF(AJ6&lt;=k_ng,AL6,NA())</f>
        <v/>
      </c>
    </row>
    <row r="7">
      <c r="A7" t="n">
        <v>5</v>
      </c>
      <c r="B7">
        <f>IF(AND(ISNUMBER(Eingabe!$C$21),ISNUMBER(Eingabe!$D$21)),IF(AND(Eingabe!$C$21&gt;0,Eingabe!$D$21&gt;0),Eingabe!$C$21,""),"")</f>
        <v/>
      </c>
      <c r="C7">
        <f>IF(AND(ISNUMBER(B7),ISNUMBER(Eingabe!$E$21)),IF(Eingabe!$E$21&gt;0,B7,""),"")</f>
        <v/>
      </c>
      <c r="D7">
        <f>IF(AND(k_gluOn,ISNUMBER(B7),ISNUMBER(Eingabe!$F$21)),IF(Eingabe!$F$21&gt;0,B7,""),"")</f>
        <v/>
      </c>
      <c r="F7" t="n">
        <v>5</v>
      </c>
      <c r="G7">
        <f>IF(F7&lt;=k_n,SMALL($B$3:$B$22,F7),0)</f>
        <v/>
      </c>
      <c r="H7">
        <f>IF(F7&lt;=k_n,MATCH(G7,$B$3:$B$22,0),0)</f>
        <v/>
      </c>
      <c r="I7">
        <f>IF(F7&lt;=k_n,INDEX(Eingabe!$D$17:$D$36,H7),0)</f>
        <v/>
      </c>
      <c r="J7">
        <f>IF(F7&lt;=k_n,IF(ISNUMBER(INDEX(Eingabe!$E$17:$E$36,H7)),INDEX(Eingabe!$E$17:$E$36,H7),""),"")</f>
        <v/>
      </c>
      <c r="K7">
        <f>IF(F7&lt;=k_n,1,0)</f>
        <v/>
      </c>
      <c r="L7">
        <f>IF(K7=1,(G7-k_mx)/k_sx,0)</f>
        <v/>
      </c>
      <c r="M7">
        <f>L7^2</f>
        <v/>
      </c>
      <c r="N7">
        <f>L7^3</f>
        <v/>
      </c>
      <c r="O7">
        <f>L7^4</f>
        <v/>
      </c>
      <c r="P7">
        <f>IF(K7=1,LN(G7),0)</f>
        <v/>
      </c>
      <c r="Q7">
        <f>IF(K7=1,LN(I7),0)</f>
        <v/>
      </c>
      <c r="R7">
        <f>IF(K7=1,(k_p2_0+((G7)-k_mx)/k_sx*(k_p2_1+((G7)-k_mx)/k_sx*k_p2_2)),0)</f>
        <v/>
      </c>
      <c r="S7">
        <f>IF(K7=1,(k_p3_0+((G7)-k_mx)/k_sx*(k_p3_1+((G7)-k_mx)/k_sx*(k_p3_2+((G7)-k_mx)/k_sx*k_p3_3))),0)</f>
        <v/>
      </c>
      <c r="T7">
        <f>IF(K7=1,(k_p4_0+((G7)-k_mx)/k_sx*(k_p4_1+((G7)-k_mx)/k_sx*(k_p4_2+((G7)-k_mx)/k_sx*(k_p4_3+((G7)-k_mx)/k_sx*k_p4_4)))),0)</f>
        <v/>
      </c>
      <c r="U7">
        <f>IF(K7=1,(k_ea+k_eb*EXP(k_ec*((G7)-k_mx)/k_sx)),0)</f>
        <v/>
      </c>
      <c r="V7">
        <f>IF(K7=1,G7,NA())</f>
        <v/>
      </c>
      <c r="W7">
        <f>IF(K7=1,I7,NA())</f>
        <v/>
      </c>
      <c r="X7">
        <f>IF(K7=1,I7/G7,NA())</f>
        <v/>
      </c>
      <c r="Y7">
        <f>IF(AND(F7&gt;=2,F7&lt;=k_n),ROUND(I7-I6,9),0)</f>
        <v/>
      </c>
      <c r="Z7">
        <f>IF(AND(F7&gt;=2,F7&lt;=k_n-1),IF(AND(Y7&gt;=0.5,Y8&gt;=0.5),1,0),0)</f>
        <v/>
      </c>
      <c r="AA7">
        <f>IF(K7=1,IF(G7&lt;=k_gk1,k_gy0+(k_gy1-k_gy0)*(G7-k_gx0)/(k_gk1-k_gx0),IF(G7&lt;=k_gk2,k_gy1+(k_gy2-k_gy1)*(G7-k_gk1)/(k_gk2-k_gk1),k_gy2+(k_gy3-k_gy2)*(G7-k_gk2)/(k_gx3-k_gk2))),0)</f>
        <v/>
      </c>
      <c r="AC7" t="n">
        <v>5</v>
      </c>
      <c r="AD7">
        <f>IF(AC7&lt;=k_nh,SMALL($C$3:$C$22,AC7),0)</f>
        <v/>
      </c>
      <c r="AE7">
        <f>AD7^2</f>
        <v/>
      </c>
      <c r="AF7">
        <f>IF(AC7&lt;=k_nh,INDEX(Eingabe!$E$17:$E$36,MATCH(AD7,$C$3:$C$22,0)),0)</f>
        <v/>
      </c>
      <c r="AG7">
        <f>IF(AC7&lt;=k_nh,AD7,NA())</f>
        <v/>
      </c>
      <c r="AH7">
        <f>IF(AC7&lt;=k_nh,AF7,NA())</f>
        <v/>
      </c>
      <c r="AJ7" t="n">
        <v>5</v>
      </c>
      <c r="AK7">
        <f>IF(AJ7&lt;=k_ng,SMALL($D$3:$D$22,AJ7),0)</f>
        <v/>
      </c>
      <c r="AL7">
        <f>IF(AJ7&lt;=k_ng,INDEX(Eingabe!$F$17:$F$36,MATCH(AK7,$D$3:$D$22,0)),0)</f>
        <v/>
      </c>
      <c r="AM7">
        <f>IF(AJ7&lt;k_ng,(AL8-AL7)/(AK8-AK7),0)</f>
        <v/>
      </c>
      <c r="AN7">
        <f>AO7</f>
        <v/>
      </c>
      <c r="AO7">
        <f>IF(AJ7&lt;=k_ng,IF(AJ7=1,AM7,IF(AJ7=k_ng,AM6,IF(AM6*AM7&lt;=0,0,(AM6+AM7)/2))),0)</f>
        <v/>
      </c>
      <c r="AP7">
        <f>IF(AJ7&lt;k_ng,IF(AM7=0,0,IF((IF(AM7=0,0,AO7/AM7)^2+IF(AM7=0,0,AO8/AM7)^2)&gt;9,3/SQRT((IF(AM7=0,0,AO7/AM7)^2+IF(AM7=0,0,AO8/AM7)^2))*IF(AM7=0,0,AO7/AM7)*AM7,AO7)),0)</f>
        <v/>
      </c>
      <c r="AQ7">
        <f>IF(AJ7&lt;k_ng,IF(AM7=0,0,IF((IF(AM7=0,0,AO7/AM7)^2+IF(AM7=0,0,AO8/AM7)^2)&gt;9,3/SQRT((IF(AM7=0,0,AO7/AM7)^2+IF(AM7=0,0,AO8/AM7)^2))*IF(AM7=0,0,AO8/AM7)*AM7,AO8)),0)</f>
        <v/>
      </c>
      <c r="AR7">
        <f>IF(AJ7&lt;=k_ng,AK7,NA())</f>
        <v/>
      </c>
      <c r="AS7">
        <f>IF(AJ7&lt;=k_ng,AL7,NA())</f>
        <v/>
      </c>
    </row>
    <row r="8">
      <c r="A8" t="n">
        <v>6</v>
      </c>
      <c r="B8">
        <f>IF(AND(ISNUMBER(Eingabe!$C$22),ISNUMBER(Eingabe!$D$22)),IF(AND(Eingabe!$C$22&gt;0,Eingabe!$D$22&gt;0),Eingabe!$C$22,""),"")</f>
        <v/>
      </c>
      <c r="C8">
        <f>IF(AND(ISNUMBER(B8),ISNUMBER(Eingabe!$E$22)),IF(Eingabe!$E$22&gt;0,B8,""),"")</f>
        <v/>
      </c>
      <c r="D8">
        <f>IF(AND(k_gluOn,ISNUMBER(B8),ISNUMBER(Eingabe!$F$22)),IF(Eingabe!$F$22&gt;0,B8,""),"")</f>
        <v/>
      </c>
      <c r="F8" t="n">
        <v>6</v>
      </c>
      <c r="G8">
        <f>IF(F8&lt;=k_n,SMALL($B$3:$B$22,F8),0)</f>
        <v/>
      </c>
      <c r="H8">
        <f>IF(F8&lt;=k_n,MATCH(G8,$B$3:$B$22,0),0)</f>
        <v/>
      </c>
      <c r="I8">
        <f>IF(F8&lt;=k_n,INDEX(Eingabe!$D$17:$D$36,H8),0)</f>
        <v/>
      </c>
      <c r="J8">
        <f>IF(F8&lt;=k_n,IF(ISNUMBER(INDEX(Eingabe!$E$17:$E$36,H8)),INDEX(Eingabe!$E$17:$E$36,H8),""),"")</f>
        <v/>
      </c>
      <c r="K8">
        <f>IF(F8&lt;=k_n,1,0)</f>
        <v/>
      </c>
      <c r="L8">
        <f>IF(K8=1,(G8-k_mx)/k_sx,0)</f>
        <v/>
      </c>
      <c r="M8">
        <f>L8^2</f>
        <v/>
      </c>
      <c r="N8">
        <f>L8^3</f>
        <v/>
      </c>
      <c r="O8">
        <f>L8^4</f>
        <v/>
      </c>
      <c r="P8">
        <f>IF(K8=1,LN(G8),0)</f>
        <v/>
      </c>
      <c r="Q8">
        <f>IF(K8=1,LN(I8),0)</f>
        <v/>
      </c>
      <c r="R8">
        <f>IF(K8=1,(k_p2_0+((G8)-k_mx)/k_sx*(k_p2_1+((G8)-k_mx)/k_sx*k_p2_2)),0)</f>
        <v/>
      </c>
      <c r="S8">
        <f>IF(K8=1,(k_p3_0+((G8)-k_mx)/k_sx*(k_p3_1+((G8)-k_mx)/k_sx*(k_p3_2+((G8)-k_mx)/k_sx*k_p3_3))),0)</f>
        <v/>
      </c>
      <c r="T8">
        <f>IF(K8=1,(k_p4_0+((G8)-k_mx)/k_sx*(k_p4_1+((G8)-k_mx)/k_sx*(k_p4_2+((G8)-k_mx)/k_sx*(k_p4_3+((G8)-k_mx)/k_sx*k_p4_4)))),0)</f>
        <v/>
      </c>
      <c r="U8">
        <f>IF(K8=1,(k_ea+k_eb*EXP(k_ec*((G8)-k_mx)/k_sx)),0)</f>
        <v/>
      </c>
      <c r="V8">
        <f>IF(K8=1,G8,NA())</f>
        <v/>
      </c>
      <c r="W8">
        <f>IF(K8=1,I8,NA())</f>
        <v/>
      </c>
      <c r="X8">
        <f>IF(K8=1,I8/G8,NA())</f>
        <v/>
      </c>
      <c r="Y8">
        <f>IF(AND(F8&gt;=2,F8&lt;=k_n),ROUND(I8-I7,9),0)</f>
        <v/>
      </c>
      <c r="Z8">
        <f>IF(AND(F8&gt;=2,F8&lt;=k_n-1),IF(AND(Y8&gt;=0.5,Y9&gt;=0.5),1,0),0)</f>
        <v/>
      </c>
      <c r="AA8">
        <f>IF(K8=1,IF(G8&lt;=k_gk1,k_gy0+(k_gy1-k_gy0)*(G8-k_gx0)/(k_gk1-k_gx0),IF(G8&lt;=k_gk2,k_gy1+(k_gy2-k_gy1)*(G8-k_gk1)/(k_gk2-k_gk1),k_gy2+(k_gy3-k_gy2)*(G8-k_gk2)/(k_gx3-k_gk2))),0)</f>
        <v/>
      </c>
      <c r="AC8" t="n">
        <v>6</v>
      </c>
      <c r="AD8">
        <f>IF(AC8&lt;=k_nh,SMALL($C$3:$C$22,AC8),0)</f>
        <v/>
      </c>
      <c r="AE8">
        <f>AD8^2</f>
        <v/>
      </c>
      <c r="AF8">
        <f>IF(AC8&lt;=k_nh,INDEX(Eingabe!$E$17:$E$36,MATCH(AD8,$C$3:$C$22,0)),0)</f>
        <v/>
      </c>
      <c r="AG8">
        <f>IF(AC8&lt;=k_nh,AD8,NA())</f>
        <v/>
      </c>
      <c r="AH8">
        <f>IF(AC8&lt;=k_nh,AF8,NA())</f>
        <v/>
      </c>
      <c r="AJ8" t="n">
        <v>6</v>
      </c>
      <c r="AK8">
        <f>IF(AJ8&lt;=k_ng,SMALL($D$3:$D$22,AJ8),0)</f>
        <v/>
      </c>
      <c r="AL8">
        <f>IF(AJ8&lt;=k_ng,INDEX(Eingabe!$F$17:$F$36,MATCH(AK8,$D$3:$D$22,0)),0)</f>
        <v/>
      </c>
      <c r="AM8">
        <f>IF(AJ8&lt;k_ng,(AL9-AL8)/(AK9-AK8),0)</f>
        <v/>
      </c>
      <c r="AN8">
        <f>AO8</f>
        <v/>
      </c>
      <c r="AO8">
        <f>IF(AJ8&lt;=k_ng,IF(AJ8=1,AM8,IF(AJ8=k_ng,AM7,IF(AM7*AM8&lt;=0,0,(AM7+AM8)/2))),0)</f>
        <v/>
      </c>
      <c r="AP8">
        <f>IF(AJ8&lt;k_ng,IF(AM8=0,0,IF((IF(AM8=0,0,AO8/AM8)^2+IF(AM8=0,0,AO9/AM8)^2)&gt;9,3/SQRT((IF(AM8=0,0,AO8/AM8)^2+IF(AM8=0,0,AO9/AM8)^2))*IF(AM8=0,0,AO8/AM8)*AM8,AO8)),0)</f>
        <v/>
      </c>
      <c r="AQ8">
        <f>IF(AJ8&lt;k_ng,IF(AM8=0,0,IF((IF(AM8=0,0,AO8/AM8)^2+IF(AM8=0,0,AO9/AM8)^2)&gt;9,3/SQRT((IF(AM8=0,0,AO8/AM8)^2+IF(AM8=0,0,AO9/AM8)^2))*IF(AM8=0,0,AO9/AM8)*AM8,AO9)),0)</f>
        <v/>
      </c>
      <c r="AR8">
        <f>IF(AJ8&lt;=k_ng,AK8,NA())</f>
        <v/>
      </c>
      <c r="AS8">
        <f>IF(AJ8&lt;=k_ng,AL8,NA())</f>
        <v/>
      </c>
    </row>
    <row r="9">
      <c r="A9" t="n">
        <v>7</v>
      </c>
      <c r="B9">
        <f>IF(AND(ISNUMBER(Eingabe!$C$23),ISNUMBER(Eingabe!$D$23)),IF(AND(Eingabe!$C$23&gt;0,Eingabe!$D$23&gt;0),Eingabe!$C$23,""),"")</f>
        <v/>
      </c>
      <c r="C9">
        <f>IF(AND(ISNUMBER(B9),ISNUMBER(Eingabe!$E$23)),IF(Eingabe!$E$23&gt;0,B9,""),"")</f>
        <v/>
      </c>
      <c r="D9">
        <f>IF(AND(k_gluOn,ISNUMBER(B9),ISNUMBER(Eingabe!$F$23)),IF(Eingabe!$F$23&gt;0,B9,""),"")</f>
        <v/>
      </c>
      <c r="F9" t="n">
        <v>7</v>
      </c>
      <c r="G9">
        <f>IF(F9&lt;=k_n,SMALL($B$3:$B$22,F9),0)</f>
        <v/>
      </c>
      <c r="H9">
        <f>IF(F9&lt;=k_n,MATCH(G9,$B$3:$B$22,0),0)</f>
        <v/>
      </c>
      <c r="I9">
        <f>IF(F9&lt;=k_n,INDEX(Eingabe!$D$17:$D$36,H9),0)</f>
        <v/>
      </c>
      <c r="J9">
        <f>IF(F9&lt;=k_n,IF(ISNUMBER(INDEX(Eingabe!$E$17:$E$36,H9)),INDEX(Eingabe!$E$17:$E$36,H9),""),"")</f>
        <v/>
      </c>
      <c r="K9">
        <f>IF(F9&lt;=k_n,1,0)</f>
        <v/>
      </c>
      <c r="L9">
        <f>IF(K9=1,(G9-k_mx)/k_sx,0)</f>
        <v/>
      </c>
      <c r="M9">
        <f>L9^2</f>
        <v/>
      </c>
      <c r="N9">
        <f>L9^3</f>
        <v/>
      </c>
      <c r="O9">
        <f>L9^4</f>
        <v/>
      </c>
      <c r="P9">
        <f>IF(K9=1,LN(G9),0)</f>
        <v/>
      </c>
      <c r="Q9">
        <f>IF(K9=1,LN(I9),0)</f>
        <v/>
      </c>
      <c r="R9">
        <f>IF(K9=1,(k_p2_0+((G9)-k_mx)/k_sx*(k_p2_1+((G9)-k_mx)/k_sx*k_p2_2)),0)</f>
        <v/>
      </c>
      <c r="S9">
        <f>IF(K9=1,(k_p3_0+((G9)-k_mx)/k_sx*(k_p3_1+((G9)-k_mx)/k_sx*(k_p3_2+((G9)-k_mx)/k_sx*k_p3_3))),0)</f>
        <v/>
      </c>
      <c r="T9">
        <f>IF(K9=1,(k_p4_0+((G9)-k_mx)/k_sx*(k_p4_1+((G9)-k_mx)/k_sx*(k_p4_2+((G9)-k_mx)/k_sx*(k_p4_3+((G9)-k_mx)/k_sx*k_p4_4)))),0)</f>
        <v/>
      </c>
      <c r="U9">
        <f>IF(K9=1,(k_ea+k_eb*EXP(k_ec*((G9)-k_mx)/k_sx)),0)</f>
        <v/>
      </c>
      <c r="V9">
        <f>IF(K9=1,G9,NA())</f>
        <v/>
      </c>
      <c r="W9">
        <f>IF(K9=1,I9,NA())</f>
        <v/>
      </c>
      <c r="X9">
        <f>IF(K9=1,I9/G9,NA())</f>
        <v/>
      </c>
      <c r="Y9">
        <f>IF(AND(F9&gt;=2,F9&lt;=k_n),ROUND(I9-I8,9),0)</f>
        <v/>
      </c>
      <c r="Z9">
        <f>IF(AND(F9&gt;=2,F9&lt;=k_n-1),IF(AND(Y9&gt;=0.5,Y10&gt;=0.5),1,0),0)</f>
        <v/>
      </c>
      <c r="AA9">
        <f>IF(K9=1,IF(G9&lt;=k_gk1,k_gy0+(k_gy1-k_gy0)*(G9-k_gx0)/(k_gk1-k_gx0),IF(G9&lt;=k_gk2,k_gy1+(k_gy2-k_gy1)*(G9-k_gk1)/(k_gk2-k_gk1),k_gy2+(k_gy3-k_gy2)*(G9-k_gk2)/(k_gx3-k_gk2))),0)</f>
        <v/>
      </c>
      <c r="AC9" t="n">
        <v>7</v>
      </c>
      <c r="AD9">
        <f>IF(AC9&lt;=k_nh,SMALL($C$3:$C$22,AC9),0)</f>
        <v/>
      </c>
      <c r="AE9">
        <f>AD9^2</f>
        <v/>
      </c>
      <c r="AF9">
        <f>IF(AC9&lt;=k_nh,INDEX(Eingabe!$E$17:$E$36,MATCH(AD9,$C$3:$C$22,0)),0)</f>
        <v/>
      </c>
      <c r="AG9">
        <f>IF(AC9&lt;=k_nh,AD9,NA())</f>
        <v/>
      </c>
      <c r="AH9">
        <f>IF(AC9&lt;=k_nh,AF9,NA())</f>
        <v/>
      </c>
      <c r="AJ9" t="n">
        <v>7</v>
      </c>
      <c r="AK9">
        <f>IF(AJ9&lt;=k_ng,SMALL($D$3:$D$22,AJ9),0)</f>
        <v/>
      </c>
      <c r="AL9">
        <f>IF(AJ9&lt;=k_ng,INDEX(Eingabe!$F$17:$F$36,MATCH(AK9,$D$3:$D$22,0)),0)</f>
        <v/>
      </c>
      <c r="AM9">
        <f>IF(AJ9&lt;k_ng,(AL10-AL9)/(AK10-AK9),0)</f>
        <v/>
      </c>
      <c r="AN9">
        <f>AO9</f>
        <v/>
      </c>
      <c r="AO9">
        <f>IF(AJ9&lt;=k_ng,IF(AJ9=1,AM9,IF(AJ9=k_ng,AM8,IF(AM8*AM9&lt;=0,0,(AM8+AM9)/2))),0)</f>
        <v/>
      </c>
      <c r="AP9">
        <f>IF(AJ9&lt;k_ng,IF(AM9=0,0,IF((IF(AM9=0,0,AO9/AM9)^2+IF(AM9=0,0,AO10/AM9)^2)&gt;9,3/SQRT((IF(AM9=0,0,AO9/AM9)^2+IF(AM9=0,0,AO10/AM9)^2))*IF(AM9=0,0,AO9/AM9)*AM9,AO9)),0)</f>
        <v/>
      </c>
      <c r="AQ9">
        <f>IF(AJ9&lt;k_ng,IF(AM9=0,0,IF((IF(AM9=0,0,AO9/AM9)^2+IF(AM9=0,0,AO10/AM9)^2)&gt;9,3/SQRT((IF(AM9=0,0,AO9/AM9)^2+IF(AM9=0,0,AO10/AM9)^2))*IF(AM9=0,0,AO10/AM9)*AM9,AO10)),0)</f>
        <v/>
      </c>
      <c r="AR9">
        <f>IF(AJ9&lt;=k_ng,AK9,NA())</f>
        <v/>
      </c>
      <c r="AS9">
        <f>IF(AJ9&lt;=k_ng,AL9,NA())</f>
        <v/>
      </c>
    </row>
    <row r="10">
      <c r="A10" t="n">
        <v>8</v>
      </c>
      <c r="B10">
        <f>IF(AND(ISNUMBER(Eingabe!$C$24),ISNUMBER(Eingabe!$D$24)),IF(AND(Eingabe!$C$24&gt;0,Eingabe!$D$24&gt;0),Eingabe!$C$24,""),"")</f>
        <v/>
      </c>
      <c r="C10">
        <f>IF(AND(ISNUMBER(B10),ISNUMBER(Eingabe!$E$24)),IF(Eingabe!$E$24&gt;0,B10,""),"")</f>
        <v/>
      </c>
      <c r="D10">
        <f>IF(AND(k_gluOn,ISNUMBER(B10),ISNUMBER(Eingabe!$F$24)),IF(Eingabe!$F$24&gt;0,B10,""),"")</f>
        <v/>
      </c>
      <c r="F10" t="n">
        <v>8</v>
      </c>
      <c r="G10">
        <f>IF(F10&lt;=k_n,SMALL($B$3:$B$22,F10),0)</f>
        <v/>
      </c>
      <c r="H10">
        <f>IF(F10&lt;=k_n,MATCH(G10,$B$3:$B$22,0),0)</f>
        <v/>
      </c>
      <c r="I10">
        <f>IF(F10&lt;=k_n,INDEX(Eingabe!$D$17:$D$36,H10),0)</f>
        <v/>
      </c>
      <c r="J10">
        <f>IF(F10&lt;=k_n,IF(ISNUMBER(INDEX(Eingabe!$E$17:$E$36,H10)),INDEX(Eingabe!$E$17:$E$36,H10),""),"")</f>
        <v/>
      </c>
      <c r="K10">
        <f>IF(F10&lt;=k_n,1,0)</f>
        <v/>
      </c>
      <c r="L10">
        <f>IF(K10=1,(G10-k_mx)/k_sx,0)</f>
        <v/>
      </c>
      <c r="M10">
        <f>L10^2</f>
        <v/>
      </c>
      <c r="N10">
        <f>L10^3</f>
        <v/>
      </c>
      <c r="O10">
        <f>L10^4</f>
        <v/>
      </c>
      <c r="P10">
        <f>IF(K10=1,LN(G10),0)</f>
        <v/>
      </c>
      <c r="Q10">
        <f>IF(K10=1,LN(I10),0)</f>
        <v/>
      </c>
      <c r="R10">
        <f>IF(K10=1,(k_p2_0+((G10)-k_mx)/k_sx*(k_p2_1+((G10)-k_mx)/k_sx*k_p2_2)),0)</f>
        <v/>
      </c>
      <c r="S10">
        <f>IF(K10=1,(k_p3_0+((G10)-k_mx)/k_sx*(k_p3_1+((G10)-k_mx)/k_sx*(k_p3_2+((G10)-k_mx)/k_sx*k_p3_3))),0)</f>
        <v/>
      </c>
      <c r="T10">
        <f>IF(K10=1,(k_p4_0+((G10)-k_mx)/k_sx*(k_p4_1+((G10)-k_mx)/k_sx*(k_p4_2+((G10)-k_mx)/k_sx*(k_p4_3+((G10)-k_mx)/k_sx*k_p4_4)))),0)</f>
        <v/>
      </c>
      <c r="U10">
        <f>IF(K10=1,(k_ea+k_eb*EXP(k_ec*((G10)-k_mx)/k_sx)),0)</f>
        <v/>
      </c>
      <c r="V10">
        <f>IF(K10=1,G10,NA())</f>
        <v/>
      </c>
      <c r="W10">
        <f>IF(K10=1,I10,NA())</f>
        <v/>
      </c>
      <c r="X10">
        <f>IF(K10=1,I10/G10,NA())</f>
        <v/>
      </c>
      <c r="Y10">
        <f>IF(AND(F10&gt;=2,F10&lt;=k_n),ROUND(I10-I9,9),0)</f>
        <v/>
      </c>
      <c r="Z10">
        <f>IF(AND(F10&gt;=2,F10&lt;=k_n-1),IF(AND(Y10&gt;=0.5,Y11&gt;=0.5),1,0),0)</f>
        <v/>
      </c>
      <c r="AA10">
        <f>IF(K10=1,IF(G10&lt;=k_gk1,k_gy0+(k_gy1-k_gy0)*(G10-k_gx0)/(k_gk1-k_gx0),IF(G10&lt;=k_gk2,k_gy1+(k_gy2-k_gy1)*(G10-k_gk1)/(k_gk2-k_gk1),k_gy2+(k_gy3-k_gy2)*(G10-k_gk2)/(k_gx3-k_gk2))),0)</f>
        <v/>
      </c>
      <c r="AC10" t="n">
        <v>8</v>
      </c>
      <c r="AD10">
        <f>IF(AC10&lt;=k_nh,SMALL($C$3:$C$22,AC10),0)</f>
        <v/>
      </c>
      <c r="AE10">
        <f>AD10^2</f>
        <v/>
      </c>
      <c r="AF10">
        <f>IF(AC10&lt;=k_nh,INDEX(Eingabe!$E$17:$E$36,MATCH(AD10,$C$3:$C$22,0)),0)</f>
        <v/>
      </c>
      <c r="AG10">
        <f>IF(AC10&lt;=k_nh,AD10,NA())</f>
        <v/>
      </c>
      <c r="AH10">
        <f>IF(AC10&lt;=k_nh,AF10,NA())</f>
        <v/>
      </c>
      <c r="AJ10" t="n">
        <v>8</v>
      </c>
      <c r="AK10">
        <f>IF(AJ10&lt;=k_ng,SMALL($D$3:$D$22,AJ10),0)</f>
        <v/>
      </c>
      <c r="AL10">
        <f>IF(AJ10&lt;=k_ng,INDEX(Eingabe!$F$17:$F$36,MATCH(AK10,$D$3:$D$22,0)),0)</f>
        <v/>
      </c>
      <c r="AM10">
        <f>IF(AJ10&lt;k_ng,(AL11-AL10)/(AK11-AK10),0)</f>
        <v/>
      </c>
      <c r="AN10">
        <f>AO10</f>
        <v/>
      </c>
      <c r="AO10">
        <f>IF(AJ10&lt;=k_ng,IF(AJ10=1,AM10,IF(AJ10=k_ng,AM9,IF(AM9*AM10&lt;=0,0,(AM9+AM10)/2))),0)</f>
        <v/>
      </c>
      <c r="AP10">
        <f>IF(AJ10&lt;k_ng,IF(AM10=0,0,IF((IF(AM10=0,0,AO10/AM10)^2+IF(AM10=0,0,AO11/AM10)^2)&gt;9,3/SQRT((IF(AM10=0,0,AO10/AM10)^2+IF(AM10=0,0,AO11/AM10)^2))*IF(AM10=0,0,AO10/AM10)*AM10,AO10)),0)</f>
        <v/>
      </c>
      <c r="AQ10">
        <f>IF(AJ10&lt;k_ng,IF(AM10=0,0,IF((IF(AM10=0,0,AO10/AM10)^2+IF(AM10=0,0,AO11/AM10)^2)&gt;9,3/SQRT((IF(AM10=0,0,AO10/AM10)^2+IF(AM10=0,0,AO11/AM10)^2))*IF(AM10=0,0,AO11/AM10)*AM10,AO11)),0)</f>
        <v/>
      </c>
      <c r="AR10">
        <f>IF(AJ10&lt;=k_ng,AK10,NA())</f>
        <v/>
      </c>
      <c r="AS10">
        <f>IF(AJ10&lt;=k_ng,AL10,NA())</f>
        <v/>
      </c>
    </row>
    <row r="11">
      <c r="A11" t="n">
        <v>9</v>
      </c>
      <c r="B11">
        <f>IF(AND(ISNUMBER(Eingabe!$C$25),ISNUMBER(Eingabe!$D$25)),IF(AND(Eingabe!$C$25&gt;0,Eingabe!$D$25&gt;0),Eingabe!$C$25,""),"")</f>
        <v/>
      </c>
      <c r="C11">
        <f>IF(AND(ISNUMBER(B11),ISNUMBER(Eingabe!$E$25)),IF(Eingabe!$E$25&gt;0,B11,""),"")</f>
        <v/>
      </c>
      <c r="D11">
        <f>IF(AND(k_gluOn,ISNUMBER(B11),ISNUMBER(Eingabe!$F$25)),IF(Eingabe!$F$25&gt;0,B11,""),"")</f>
        <v/>
      </c>
      <c r="F11" t="n">
        <v>9</v>
      </c>
      <c r="G11">
        <f>IF(F11&lt;=k_n,SMALL($B$3:$B$22,F11),0)</f>
        <v/>
      </c>
      <c r="H11">
        <f>IF(F11&lt;=k_n,MATCH(G11,$B$3:$B$22,0),0)</f>
        <v/>
      </c>
      <c r="I11">
        <f>IF(F11&lt;=k_n,INDEX(Eingabe!$D$17:$D$36,H11),0)</f>
        <v/>
      </c>
      <c r="J11">
        <f>IF(F11&lt;=k_n,IF(ISNUMBER(INDEX(Eingabe!$E$17:$E$36,H11)),INDEX(Eingabe!$E$17:$E$36,H11),""),"")</f>
        <v/>
      </c>
      <c r="K11">
        <f>IF(F11&lt;=k_n,1,0)</f>
        <v/>
      </c>
      <c r="L11">
        <f>IF(K11=1,(G11-k_mx)/k_sx,0)</f>
        <v/>
      </c>
      <c r="M11">
        <f>L11^2</f>
        <v/>
      </c>
      <c r="N11">
        <f>L11^3</f>
        <v/>
      </c>
      <c r="O11">
        <f>L11^4</f>
        <v/>
      </c>
      <c r="P11">
        <f>IF(K11=1,LN(G11),0)</f>
        <v/>
      </c>
      <c r="Q11">
        <f>IF(K11=1,LN(I11),0)</f>
        <v/>
      </c>
      <c r="R11">
        <f>IF(K11=1,(k_p2_0+((G11)-k_mx)/k_sx*(k_p2_1+((G11)-k_mx)/k_sx*k_p2_2)),0)</f>
        <v/>
      </c>
      <c r="S11">
        <f>IF(K11=1,(k_p3_0+((G11)-k_mx)/k_sx*(k_p3_1+((G11)-k_mx)/k_sx*(k_p3_2+((G11)-k_mx)/k_sx*k_p3_3))),0)</f>
        <v/>
      </c>
      <c r="T11">
        <f>IF(K11=1,(k_p4_0+((G11)-k_mx)/k_sx*(k_p4_1+((G11)-k_mx)/k_sx*(k_p4_2+((G11)-k_mx)/k_sx*(k_p4_3+((G11)-k_mx)/k_sx*k_p4_4)))),0)</f>
        <v/>
      </c>
      <c r="U11">
        <f>IF(K11=1,(k_ea+k_eb*EXP(k_ec*((G11)-k_mx)/k_sx)),0)</f>
        <v/>
      </c>
      <c r="V11">
        <f>IF(K11=1,G11,NA())</f>
        <v/>
      </c>
      <c r="W11">
        <f>IF(K11=1,I11,NA())</f>
        <v/>
      </c>
      <c r="X11">
        <f>IF(K11=1,I11/G11,NA())</f>
        <v/>
      </c>
      <c r="Y11">
        <f>IF(AND(F11&gt;=2,F11&lt;=k_n),ROUND(I11-I10,9),0)</f>
        <v/>
      </c>
      <c r="Z11">
        <f>IF(AND(F11&gt;=2,F11&lt;=k_n-1),IF(AND(Y11&gt;=0.5,Y12&gt;=0.5),1,0),0)</f>
        <v/>
      </c>
      <c r="AA11">
        <f>IF(K11=1,IF(G11&lt;=k_gk1,k_gy0+(k_gy1-k_gy0)*(G11-k_gx0)/(k_gk1-k_gx0),IF(G11&lt;=k_gk2,k_gy1+(k_gy2-k_gy1)*(G11-k_gk1)/(k_gk2-k_gk1),k_gy2+(k_gy3-k_gy2)*(G11-k_gk2)/(k_gx3-k_gk2))),0)</f>
        <v/>
      </c>
      <c r="AC11" t="n">
        <v>9</v>
      </c>
      <c r="AD11">
        <f>IF(AC11&lt;=k_nh,SMALL($C$3:$C$22,AC11),0)</f>
        <v/>
      </c>
      <c r="AE11">
        <f>AD11^2</f>
        <v/>
      </c>
      <c r="AF11">
        <f>IF(AC11&lt;=k_nh,INDEX(Eingabe!$E$17:$E$36,MATCH(AD11,$C$3:$C$22,0)),0)</f>
        <v/>
      </c>
      <c r="AG11">
        <f>IF(AC11&lt;=k_nh,AD11,NA())</f>
        <v/>
      </c>
      <c r="AH11">
        <f>IF(AC11&lt;=k_nh,AF11,NA())</f>
        <v/>
      </c>
      <c r="AJ11" t="n">
        <v>9</v>
      </c>
      <c r="AK11">
        <f>IF(AJ11&lt;=k_ng,SMALL($D$3:$D$22,AJ11),0)</f>
        <v/>
      </c>
      <c r="AL11">
        <f>IF(AJ11&lt;=k_ng,INDEX(Eingabe!$F$17:$F$36,MATCH(AK11,$D$3:$D$22,0)),0)</f>
        <v/>
      </c>
      <c r="AM11">
        <f>IF(AJ11&lt;k_ng,(AL12-AL11)/(AK12-AK11),0)</f>
        <v/>
      </c>
      <c r="AN11">
        <f>AO11</f>
        <v/>
      </c>
      <c r="AO11">
        <f>IF(AJ11&lt;=k_ng,IF(AJ11=1,AM11,IF(AJ11=k_ng,AM10,IF(AM10*AM11&lt;=0,0,(AM10+AM11)/2))),0)</f>
        <v/>
      </c>
      <c r="AP11">
        <f>IF(AJ11&lt;k_ng,IF(AM11=0,0,IF((IF(AM11=0,0,AO11/AM11)^2+IF(AM11=0,0,AO12/AM11)^2)&gt;9,3/SQRT((IF(AM11=0,0,AO11/AM11)^2+IF(AM11=0,0,AO12/AM11)^2))*IF(AM11=0,0,AO11/AM11)*AM11,AO11)),0)</f>
        <v/>
      </c>
      <c r="AQ11">
        <f>IF(AJ11&lt;k_ng,IF(AM11=0,0,IF((IF(AM11=0,0,AO11/AM11)^2+IF(AM11=0,0,AO12/AM11)^2)&gt;9,3/SQRT((IF(AM11=0,0,AO11/AM11)^2+IF(AM11=0,0,AO12/AM11)^2))*IF(AM11=0,0,AO12/AM11)*AM11,AO12)),0)</f>
        <v/>
      </c>
      <c r="AR11">
        <f>IF(AJ11&lt;=k_ng,AK11,NA())</f>
        <v/>
      </c>
      <c r="AS11">
        <f>IF(AJ11&lt;=k_ng,AL11,NA())</f>
        <v/>
      </c>
    </row>
    <row r="12">
      <c r="A12" t="n">
        <v>10</v>
      </c>
      <c r="B12">
        <f>IF(AND(ISNUMBER(Eingabe!$C$26),ISNUMBER(Eingabe!$D$26)),IF(AND(Eingabe!$C$26&gt;0,Eingabe!$D$26&gt;0),Eingabe!$C$26,""),"")</f>
        <v/>
      </c>
      <c r="C12">
        <f>IF(AND(ISNUMBER(B12),ISNUMBER(Eingabe!$E$26)),IF(Eingabe!$E$26&gt;0,B12,""),"")</f>
        <v/>
      </c>
      <c r="D12">
        <f>IF(AND(k_gluOn,ISNUMBER(B12),ISNUMBER(Eingabe!$F$26)),IF(Eingabe!$F$26&gt;0,B12,""),"")</f>
        <v/>
      </c>
      <c r="F12" t="n">
        <v>10</v>
      </c>
      <c r="G12">
        <f>IF(F12&lt;=k_n,SMALL($B$3:$B$22,F12),0)</f>
        <v/>
      </c>
      <c r="H12">
        <f>IF(F12&lt;=k_n,MATCH(G12,$B$3:$B$22,0),0)</f>
        <v/>
      </c>
      <c r="I12">
        <f>IF(F12&lt;=k_n,INDEX(Eingabe!$D$17:$D$36,H12),0)</f>
        <v/>
      </c>
      <c r="J12">
        <f>IF(F12&lt;=k_n,IF(ISNUMBER(INDEX(Eingabe!$E$17:$E$36,H12)),INDEX(Eingabe!$E$17:$E$36,H12),""),"")</f>
        <v/>
      </c>
      <c r="K12">
        <f>IF(F12&lt;=k_n,1,0)</f>
        <v/>
      </c>
      <c r="L12">
        <f>IF(K12=1,(G12-k_mx)/k_sx,0)</f>
        <v/>
      </c>
      <c r="M12">
        <f>L12^2</f>
        <v/>
      </c>
      <c r="N12">
        <f>L12^3</f>
        <v/>
      </c>
      <c r="O12">
        <f>L12^4</f>
        <v/>
      </c>
      <c r="P12">
        <f>IF(K12=1,LN(G12),0)</f>
        <v/>
      </c>
      <c r="Q12">
        <f>IF(K12=1,LN(I12),0)</f>
        <v/>
      </c>
      <c r="R12">
        <f>IF(K12=1,(k_p2_0+((G12)-k_mx)/k_sx*(k_p2_1+((G12)-k_mx)/k_sx*k_p2_2)),0)</f>
        <v/>
      </c>
      <c r="S12">
        <f>IF(K12=1,(k_p3_0+((G12)-k_mx)/k_sx*(k_p3_1+((G12)-k_mx)/k_sx*(k_p3_2+((G12)-k_mx)/k_sx*k_p3_3))),0)</f>
        <v/>
      </c>
      <c r="T12">
        <f>IF(K12=1,(k_p4_0+((G12)-k_mx)/k_sx*(k_p4_1+((G12)-k_mx)/k_sx*(k_p4_2+((G12)-k_mx)/k_sx*(k_p4_3+((G12)-k_mx)/k_sx*k_p4_4)))),0)</f>
        <v/>
      </c>
      <c r="U12">
        <f>IF(K12=1,(k_ea+k_eb*EXP(k_ec*((G12)-k_mx)/k_sx)),0)</f>
        <v/>
      </c>
      <c r="V12">
        <f>IF(K12=1,G12,NA())</f>
        <v/>
      </c>
      <c r="W12">
        <f>IF(K12=1,I12,NA())</f>
        <v/>
      </c>
      <c r="X12">
        <f>IF(K12=1,I12/G12,NA())</f>
        <v/>
      </c>
      <c r="Y12">
        <f>IF(AND(F12&gt;=2,F12&lt;=k_n),ROUND(I12-I11,9),0)</f>
        <v/>
      </c>
      <c r="Z12">
        <f>IF(AND(F12&gt;=2,F12&lt;=k_n-1),IF(AND(Y12&gt;=0.5,Y13&gt;=0.5),1,0),0)</f>
        <v/>
      </c>
      <c r="AA12">
        <f>IF(K12=1,IF(G12&lt;=k_gk1,k_gy0+(k_gy1-k_gy0)*(G12-k_gx0)/(k_gk1-k_gx0),IF(G12&lt;=k_gk2,k_gy1+(k_gy2-k_gy1)*(G12-k_gk1)/(k_gk2-k_gk1),k_gy2+(k_gy3-k_gy2)*(G12-k_gk2)/(k_gx3-k_gk2))),0)</f>
        <v/>
      </c>
      <c r="AC12" t="n">
        <v>10</v>
      </c>
      <c r="AD12">
        <f>IF(AC12&lt;=k_nh,SMALL($C$3:$C$22,AC12),0)</f>
        <v/>
      </c>
      <c r="AE12">
        <f>AD12^2</f>
        <v/>
      </c>
      <c r="AF12">
        <f>IF(AC12&lt;=k_nh,INDEX(Eingabe!$E$17:$E$36,MATCH(AD12,$C$3:$C$22,0)),0)</f>
        <v/>
      </c>
      <c r="AG12">
        <f>IF(AC12&lt;=k_nh,AD12,NA())</f>
        <v/>
      </c>
      <c r="AH12">
        <f>IF(AC12&lt;=k_nh,AF12,NA())</f>
        <v/>
      </c>
      <c r="AJ12" t="n">
        <v>10</v>
      </c>
      <c r="AK12">
        <f>IF(AJ12&lt;=k_ng,SMALL($D$3:$D$22,AJ12),0)</f>
        <v/>
      </c>
      <c r="AL12">
        <f>IF(AJ12&lt;=k_ng,INDEX(Eingabe!$F$17:$F$36,MATCH(AK12,$D$3:$D$22,0)),0)</f>
        <v/>
      </c>
      <c r="AM12">
        <f>IF(AJ12&lt;k_ng,(AL13-AL12)/(AK13-AK12),0)</f>
        <v/>
      </c>
      <c r="AN12">
        <f>AO12</f>
        <v/>
      </c>
      <c r="AO12">
        <f>IF(AJ12&lt;=k_ng,IF(AJ12=1,AM12,IF(AJ12=k_ng,AM11,IF(AM11*AM12&lt;=0,0,(AM11+AM12)/2))),0)</f>
        <v/>
      </c>
      <c r="AP12">
        <f>IF(AJ12&lt;k_ng,IF(AM12=0,0,IF((IF(AM12=0,0,AO12/AM12)^2+IF(AM12=0,0,AO13/AM12)^2)&gt;9,3/SQRT((IF(AM12=0,0,AO12/AM12)^2+IF(AM12=0,0,AO13/AM12)^2))*IF(AM12=0,0,AO12/AM12)*AM12,AO12)),0)</f>
        <v/>
      </c>
      <c r="AQ12">
        <f>IF(AJ12&lt;k_ng,IF(AM12=0,0,IF((IF(AM12=0,0,AO12/AM12)^2+IF(AM12=0,0,AO13/AM12)^2)&gt;9,3/SQRT((IF(AM12=0,0,AO12/AM12)^2+IF(AM12=0,0,AO13/AM12)^2))*IF(AM12=0,0,AO13/AM12)*AM12,AO13)),0)</f>
        <v/>
      </c>
      <c r="AR12">
        <f>IF(AJ12&lt;=k_ng,AK12,NA())</f>
        <v/>
      </c>
      <c r="AS12">
        <f>IF(AJ12&lt;=k_ng,AL12,NA())</f>
        <v/>
      </c>
    </row>
    <row r="13">
      <c r="A13" t="n">
        <v>11</v>
      </c>
      <c r="B13">
        <f>IF(AND(ISNUMBER(Eingabe!$C$27),ISNUMBER(Eingabe!$D$27)),IF(AND(Eingabe!$C$27&gt;0,Eingabe!$D$27&gt;0),Eingabe!$C$27,""),"")</f>
        <v/>
      </c>
      <c r="C13">
        <f>IF(AND(ISNUMBER(B13),ISNUMBER(Eingabe!$E$27)),IF(Eingabe!$E$27&gt;0,B13,""),"")</f>
        <v/>
      </c>
      <c r="D13">
        <f>IF(AND(k_gluOn,ISNUMBER(B13),ISNUMBER(Eingabe!$F$27)),IF(Eingabe!$F$27&gt;0,B13,""),"")</f>
        <v/>
      </c>
      <c r="F13" t="n">
        <v>11</v>
      </c>
      <c r="G13">
        <f>IF(F13&lt;=k_n,SMALL($B$3:$B$22,F13),0)</f>
        <v/>
      </c>
      <c r="H13">
        <f>IF(F13&lt;=k_n,MATCH(G13,$B$3:$B$22,0),0)</f>
        <v/>
      </c>
      <c r="I13">
        <f>IF(F13&lt;=k_n,INDEX(Eingabe!$D$17:$D$36,H13),0)</f>
        <v/>
      </c>
      <c r="J13">
        <f>IF(F13&lt;=k_n,IF(ISNUMBER(INDEX(Eingabe!$E$17:$E$36,H13)),INDEX(Eingabe!$E$17:$E$36,H13),""),"")</f>
        <v/>
      </c>
      <c r="K13">
        <f>IF(F13&lt;=k_n,1,0)</f>
        <v/>
      </c>
      <c r="L13">
        <f>IF(K13=1,(G13-k_mx)/k_sx,0)</f>
        <v/>
      </c>
      <c r="M13">
        <f>L13^2</f>
        <v/>
      </c>
      <c r="N13">
        <f>L13^3</f>
        <v/>
      </c>
      <c r="O13">
        <f>L13^4</f>
        <v/>
      </c>
      <c r="P13">
        <f>IF(K13=1,LN(G13),0)</f>
        <v/>
      </c>
      <c r="Q13">
        <f>IF(K13=1,LN(I13),0)</f>
        <v/>
      </c>
      <c r="R13">
        <f>IF(K13=1,(k_p2_0+((G13)-k_mx)/k_sx*(k_p2_1+((G13)-k_mx)/k_sx*k_p2_2)),0)</f>
        <v/>
      </c>
      <c r="S13">
        <f>IF(K13=1,(k_p3_0+((G13)-k_mx)/k_sx*(k_p3_1+((G13)-k_mx)/k_sx*(k_p3_2+((G13)-k_mx)/k_sx*k_p3_3))),0)</f>
        <v/>
      </c>
      <c r="T13">
        <f>IF(K13=1,(k_p4_0+((G13)-k_mx)/k_sx*(k_p4_1+((G13)-k_mx)/k_sx*(k_p4_2+((G13)-k_mx)/k_sx*(k_p4_3+((G13)-k_mx)/k_sx*k_p4_4)))),0)</f>
        <v/>
      </c>
      <c r="U13">
        <f>IF(K13=1,(k_ea+k_eb*EXP(k_ec*((G13)-k_mx)/k_sx)),0)</f>
        <v/>
      </c>
      <c r="V13">
        <f>IF(K13=1,G13,NA())</f>
        <v/>
      </c>
      <c r="W13">
        <f>IF(K13=1,I13,NA())</f>
        <v/>
      </c>
      <c r="X13">
        <f>IF(K13=1,I13/G13,NA())</f>
        <v/>
      </c>
      <c r="Y13">
        <f>IF(AND(F13&gt;=2,F13&lt;=k_n),ROUND(I13-I12,9),0)</f>
        <v/>
      </c>
      <c r="Z13">
        <f>IF(AND(F13&gt;=2,F13&lt;=k_n-1),IF(AND(Y13&gt;=0.5,Y14&gt;=0.5),1,0),0)</f>
        <v/>
      </c>
      <c r="AA13">
        <f>IF(K13=1,IF(G13&lt;=k_gk1,k_gy0+(k_gy1-k_gy0)*(G13-k_gx0)/(k_gk1-k_gx0),IF(G13&lt;=k_gk2,k_gy1+(k_gy2-k_gy1)*(G13-k_gk1)/(k_gk2-k_gk1),k_gy2+(k_gy3-k_gy2)*(G13-k_gk2)/(k_gx3-k_gk2))),0)</f>
        <v/>
      </c>
      <c r="AC13" t="n">
        <v>11</v>
      </c>
      <c r="AD13">
        <f>IF(AC13&lt;=k_nh,SMALL($C$3:$C$22,AC13),0)</f>
        <v/>
      </c>
      <c r="AE13">
        <f>AD13^2</f>
        <v/>
      </c>
      <c r="AF13">
        <f>IF(AC13&lt;=k_nh,INDEX(Eingabe!$E$17:$E$36,MATCH(AD13,$C$3:$C$22,0)),0)</f>
        <v/>
      </c>
      <c r="AG13">
        <f>IF(AC13&lt;=k_nh,AD13,NA())</f>
        <v/>
      </c>
      <c r="AH13">
        <f>IF(AC13&lt;=k_nh,AF13,NA())</f>
        <v/>
      </c>
      <c r="AJ13" t="n">
        <v>11</v>
      </c>
      <c r="AK13">
        <f>IF(AJ13&lt;=k_ng,SMALL($D$3:$D$22,AJ13),0)</f>
        <v/>
      </c>
      <c r="AL13">
        <f>IF(AJ13&lt;=k_ng,INDEX(Eingabe!$F$17:$F$36,MATCH(AK13,$D$3:$D$22,0)),0)</f>
        <v/>
      </c>
      <c r="AM13">
        <f>IF(AJ13&lt;k_ng,(AL14-AL13)/(AK14-AK13),0)</f>
        <v/>
      </c>
      <c r="AN13">
        <f>AO13</f>
        <v/>
      </c>
      <c r="AO13">
        <f>IF(AJ13&lt;=k_ng,IF(AJ13=1,AM13,IF(AJ13=k_ng,AM12,IF(AM12*AM13&lt;=0,0,(AM12+AM13)/2))),0)</f>
        <v/>
      </c>
      <c r="AP13">
        <f>IF(AJ13&lt;k_ng,IF(AM13=0,0,IF((IF(AM13=0,0,AO13/AM13)^2+IF(AM13=0,0,AO14/AM13)^2)&gt;9,3/SQRT((IF(AM13=0,0,AO13/AM13)^2+IF(AM13=0,0,AO14/AM13)^2))*IF(AM13=0,0,AO13/AM13)*AM13,AO13)),0)</f>
        <v/>
      </c>
      <c r="AQ13">
        <f>IF(AJ13&lt;k_ng,IF(AM13=0,0,IF((IF(AM13=0,0,AO13/AM13)^2+IF(AM13=0,0,AO14/AM13)^2)&gt;9,3/SQRT((IF(AM13=0,0,AO13/AM13)^2+IF(AM13=0,0,AO14/AM13)^2))*IF(AM13=0,0,AO14/AM13)*AM13,AO14)),0)</f>
        <v/>
      </c>
      <c r="AR13">
        <f>IF(AJ13&lt;=k_ng,AK13,NA())</f>
        <v/>
      </c>
      <c r="AS13">
        <f>IF(AJ13&lt;=k_ng,AL13,NA())</f>
        <v/>
      </c>
    </row>
    <row r="14">
      <c r="A14" t="n">
        <v>12</v>
      </c>
      <c r="B14">
        <f>IF(AND(ISNUMBER(Eingabe!$C$28),ISNUMBER(Eingabe!$D$28)),IF(AND(Eingabe!$C$28&gt;0,Eingabe!$D$28&gt;0),Eingabe!$C$28,""),"")</f>
        <v/>
      </c>
      <c r="C14">
        <f>IF(AND(ISNUMBER(B14),ISNUMBER(Eingabe!$E$28)),IF(Eingabe!$E$28&gt;0,B14,""),"")</f>
        <v/>
      </c>
      <c r="D14">
        <f>IF(AND(k_gluOn,ISNUMBER(B14),ISNUMBER(Eingabe!$F$28)),IF(Eingabe!$F$28&gt;0,B14,""),"")</f>
        <v/>
      </c>
      <c r="F14" t="n">
        <v>12</v>
      </c>
      <c r="G14">
        <f>IF(F14&lt;=k_n,SMALL($B$3:$B$22,F14),0)</f>
        <v/>
      </c>
      <c r="H14">
        <f>IF(F14&lt;=k_n,MATCH(G14,$B$3:$B$22,0),0)</f>
        <v/>
      </c>
      <c r="I14">
        <f>IF(F14&lt;=k_n,INDEX(Eingabe!$D$17:$D$36,H14),0)</f>
        <v/>
      </c>
      <c r="J14">
        <f>IF(F14&lt;=k_n,IF(ISNUMBER(INDEX(Eingabe!$E$17:$E$36,H14)),INDEX(Eingabe!$E$17:$E$36,H14),""),"")</f>
        <v/>
      </c>
      <c r="K14">
        <f>IF(F14&lt;=k_n,1,0)</f>
        <v/>
      </c>
      <c r="L14">
        <f>IF(K14=1,(G14-k_mx)/k_sx,0)</f>
        <v/>
      </c>
      <c r="M14">
        <f>L14^2</f>
        <v/>
      </c>
      <c r="N14">
        <f>L14^3</f>
        <v/>
      </c>
      <c r="O14">
        <f>L14^4</f>
        <v/>
      </c>
      <c r="P14">
        <f>IF(K14=1,LN(G14),0)</f>
        <v/>
      </c>
      <c r="Q14">
        <f>IF(K14=1,LN(I14),0)</f>
        <v/>
      </c>
      <c r="R14">
        <f>IF(K14=1,(k_p2_0+((G14)-k_mx)/k_sx*(k_p2_1+((G14)-k_mx)/k_sx*k_p2_2)),0)</f>
        <v/>
      </c>
      <c r="S14">
        <f>IF(K14=1,(k_p3_0+((G14)-k_mx)/k_sx*(k_p3_1+((G14)-k_mx)/k_sx*(k_p3_2+((G14)-k_mx)/k_sx*k_p3_3))),0)</f>
        <v/>
      </c>
      <c r="T14">
        <f>IF(K14=1,(k_p4_0+((G14)-k_mx)/k_sx*(k_p4_1+((G14)-k_mx)/k_sx*(k_p4_2+((G14)-k_mx)/k_sx*(k_p4_3+((G14)-k_mx)/k_sx*k_p4_4)))),0)</f>
        <v/>
      </c>
      <c r="U14">
        <f>IF(K14=1,(k_ea+k_eb*EXP(k_ec*((G14)-k_mx)/k_sx)),0)</f>
        <v/>
      </c>
      <c r="V14">
        <f>IF(K14=1,G14,NA())</f>
        <v/>
      </c>
      <c r="W14">
        <f>IF(K14=1,I14,NA())</f>
        <v/>
      </c>
      <c r="X14">
        <f>IF(K14=1,I14/G14,NA())</f>
        <v/>
      </c>
      <c r="Y14">
        <f>IF(AND(F14&gt;=2,F14&lt;=k_n),ROUND(I14-I13,9),0)</f>
        <v/>
      </c>
      <c r="Z14">
        <f>IF(AND(F14&gt;=2,F14&lt;=k_n-1),IF(AND(Y14&gt;=0.5,Y15&gt;=0.5),1,0),0)</f>
        <v/>
      </c>
      <c r="AA14">
        <f>IF(K14=1,IF(G14&lt;=k_gk1,k_gy0+(k_gy1-k_gy0)*(G14-k_gx0)/(k_gk1-k_gx0),IF(G14&lt;=k_gk2,k_gy1+(k_gy2-k_gy1)*(G14-k_gk1)/(k_gk2-k_gk1),k_gy2+(k_gy3-k_gy2)*(G14-k_gk2)/(k_gx3-k_gk2))),0)</f>
        <v/>
      </c>
      <c r="AC14" t="n">
        <v>12</v>
      </c>
      <c r="AD14">
        <f>IF(AC14&lt;=k_nh,SMALL($C$3:$C$22,AC14),0)</f>
        <v/>
      </c>
      <c r="AE14">
        <f>AD14^2</f>
        <v/>
      </c>
      <c r="AF14">
        <f>IF(AC14&lt;=k_nh,INDEX(Eingabe!$E$17:$E$36,MATCH(AD14,$C$3:$C$22,0)),0)</f>
        <v/>
      </c>
      <c r="AG14">
        <f>IF(AC14&lt;=k_nh,AD14,NA())</f>
        <v/>
      </c>
      <c r="AH14">
        <f>IF(AC14&lt;=k_nh,AF14,NA())</f>
        <v/>
      </c>
      <c r="AJ14" t="n">
        <v>12</v>
      </c>
      <c r="AK14">
        <f>IF(AJ14&lt;=k_ng,SMALL($D$3:$D$22,AJ14),0)</f>
        <v/>
      </c>
      <c r="AL14">
        <f>IF(AJ14&lt;=k_ng,INDEX(Eingabe!$F$17:$F$36,MATCH(AK14,$D$3:$D$22,0)),0)</f>
        <v/>
      </c>
      <c r="AM14">
        <f>IF(AJ14&lt;k_ng,(AL15-AL14)/(AK15-AK14),0)</f>
        <v/>
      </c>
      <c r="AN14">
        <f>AO14</f>
        <v/>
      </c>
      <c r="AO14">
        <f>IF(AJ14&lt;=k_ng,IF(AJ14=1,AM14,IF(AJ14=k_ng,AM13,IF(AM13*AM14&lt;=0,0,(AM13+AM14)/2))),0)</f>
        <v/>
      </c>
      <c r="AP14">
        <f>IF(AJ14&lt;k_ng,IF(AM14=0,0,IF((IF(AM14=0,0,AO14/AM14)^2+IF(AM14=0,0,AO15/AM14)^2)&gt;9,3/SQRT((IF(AM14=0,0,AO14/AM14)^2+IF(AM14=0,0,AO15/AM14)^2))*IF(AM14=0,0,AO14/AM14)*AM14,AO14)),0)</f>
        <v/>
      </c>
      <c r="AQ14">
        <f>IF(AJ14&lt;k_ng,IF(AM14=0,0,IF((IF(AM14=0,0,AO14/AM14)^2+IF(AM14=0,0,AO15/AM14)^2)&gt;9,3/SQRT((IF(AM14=0,0,AO14/AM14)^2+IF(AM14=0,0,AO15/AM14)^2))*IF(AM14=0,0,AO15/AM14)*AM14,AO15)),0)</f>
        <v/>
      </c>
      <c r="AR14">
        <f>IF(AJ14&lt;=k_ng,AK14,NA())</f>
        <v/>
      </c>
      <c r="AS14">
        <f>IF(AJ14&lt;=k_ng,AL14,NA())</f>
        <v/>
      </c>
    </row>
    <row r="15">
      <c r="A15" t="n">
        <v>13</v>
      </c>
      <c r="B15">
        <f>IF(AND(ISNUMBER(Eingabe!$C$29),ISNUMBER(Eingabe!$D$29)),IF(AND(Eingabe!$C$29&gt;0,Eingabe!$D$29&gt;0),Eingabe!$C$29,""),"")</f>
        <v/>
      </c>
      <c r="C15">
        <f>IF(AND(ISNUMBER(B15),ISNUMBER(Eingabe!$E$29)),IF(Eingabe!$E$29&gt;0,B15,""),"")</f>
        <v/>
      </c>
      <c r="D15">
        <f>IF(AND(k_gluOn,ISNUMBER(B15),ISNUMBER(Eingabe!$F$29)),IF(Eingabe!$F$29&gt;0,B15,""),"")</f>
        <v/>
      </c>
      <c r="F15" t="n">
        <v>13</v>
      </c>
      <c r="G15">
        <f>IF(F15&lt;=k_n,SMALL($B$3:$B$22,F15),0)</f>
        <v/>
      </c>
      <c r="H15">
        <f>IF(F15&lt;=k_n,MATCH(G15,$B$3:$B$22,0),0)</f>
        <v/>
      </c>
      <c r="I15">
        <f>IF(F15&lt;=k_n,INDEX(Eingabe!$D$17:$D$36,H15),0)</f>
        <v/>
      </c>
      <c r="J15">
        <f>IF(F15&lt;=k_n,IF(ISNUMBER(INDEX(Eingabe!$E$17:$E$36,H15)),INDEX(Eingabe!$E$17:$E$36,H15),""),"")</f>
        <v/>
      </c>
      <c r="K15">
        <f>IF(F15&lt;=k_n,1,0)</f>
        <v/>
      </c>
      <c r="L15">
        <f>IF(K15=1,(G15-k_mx)/k_sx,0)</f>
        <v/>
      </c>
      <c r="M15">
        <f>L15^2</f>
        <v/>
      </c>
      <c r="N15">
        <f>L15^3</f>
        <v/>
      </c>
      <c r="O15">
        <f>L15^4</f>
        <v/>
      </c>
      <c r="P15">
        <f>IF(K15=1,LN(G15),0)</f>
        <v/>
      </c>
      <c r="Q15">
        <f>IF(K15=1,LN(I15),0)</f>
        <v/>
      </c>
      <c r="R15">
        <f>IF(K15=1,(k_p2_0+((G15)-k_mx)/k_sx*(k_p2_1+((G15)-k_mx)/k_sx*k_p2_2)),0)</f>
        <v/>
      </c>
      <c r="S15">
        <f>IF(K15=1,(k_p3_0+((G15)-k_mx)/k_sx*(k_p3_1+((G15)-k_mx)/k_sx*(k_p3_2+((G15)-k_mx)/k_sx*k_p3_3))),0)</f>
        <v/>
      </c>
      <c r="T15">
        <f>IF(K15=1,(k_p4_0+((G15)-k_mx)/k_sx*(k_p4_1+((G15)-k_mx)/k_sx*(k_p4_2+((G15)-k_mx)/k_sx*(k_p4_3+((G15)-k_mx)/k_sx*k_p4_4)))),0)</f>
        <v/>
      </c>
      <c r="U15">
        <f>IF(K15=1,(k_ea+k_eb*EXP(k_ec*((G15)-k_mx)/k_sx)),0)</f>
        <v/>
      </c>
      <c r="V15">
        <f>IF(K15=1,G15,NA())</f>
        <v/>
      </c>
      <c r="W15">
        <f>IF(K15=1,I15,NA())</f>
        <v/>
      </c>
      <c r="X15">
        <f>IF(K15=1,I15/G15,NA())</f>
        <v/>
      </c>
      <c r="Y15">
        <f>IF(AND(F15&gt;=2,F15&lt;=k_n),ROUND(I15-I14,9),0)</f>
        <v/>
      </c>
      <c r="Z15">
        <f>IF(AND(F15&gt;=2,F15&lt;=k_n-1),IF(AND(Y15&gt;=0.5,Y16&gt;=0.5),1,0),0)</f>
        <v/>
      </c>
      <c r="AA15">
        <f>IF(K15=1,IF(G15&lt;=k_gk1,k_gy0+(k_gy1-k_gy0)*(G15-k_gx0)/(k_gk1-k_gx0),IF(G15&lt;=k_gk2,k_gy1+(k_gy2-k_gy1)*(G15-k_gk1)/(k_gk2-k_gk1),k_gy2+(k_gy3-k_gy2)*(G15-k_gk2)/(k_gx3-k_gk2))),0)</f>
        <v/>
      </c>
      <c r="AC15" t="n">
        <v>13</v>
      </c>
      <c r="AD15">
        <f>IF(AC15&lt;=k_nh,SMALL($C$3:$C$22,AC15),0)</f>
        <v/>
      </c>
      <c r="AE15">
        <f>AD15^2</f>
        <v/>
      </c>
      <c r="AF15">
        <f>IF(AC15&lt;=k_nh,INDEX(Eingabe!$E$17:$E$36,MATCH(AD15,$C$3:$C$22,0)),0)</f>
        <v/>
      </c>
      <c r="AG15">
        <f>IF(AC15&lt;=k_nh,AD15,NA())</f>
        <v/>
      </c>
      <c r="AH15">
        <f>IF(AC15&lt;=k_nh,AF15,NA())</f>
        <v/>
      </c>
      <c r="AJ15" t="n">
        <v>13</v>
      </c>
      <c r="AK15">
        <f>IF(AJ15&lt;=k_ng,SMALL($D$3:$D$22,AJ15),0)</f>
        <v/>
      </c>
      <c r="AL15">
        <f>IF(AJ15&lt;=k_ng,INDEX(Eingabe!$F$17:$F$36,MATCH(AK15,$D$3:$D$22,0)),0)</f>
        <v/>
      </c>
      <c r="AM15">
        <f>IF(AJ15&lt;k_ng,(AL16-AL15)/(AK16-AK15),0)</f>
        <v/>
      </c>
      <c r="AN15">
        <f>AO15</f>
        <v/>
      </c>
      <c r="AO15">
        <f>IF(AJ15&lt;=k_ng,IF(AJ15=1,AM15,IF(AJ15=k_ng,AM14,IF(AM14*AM15&lt;=0,0,(AM14+AM15)/2))),0)</f>
        <v/>
      </c>
      <c r="AP15">
        <f>IF(AJ15&lt;k_ng,IF(AM15=0,0,IF((IF(AM15=0,0,AO15/AM15)^2+IF(AM15=0,0,AO16/AM15)^2)&gt;9,3/SQRT((IF(AM15=0,0,AO15/AM15)^2+IF(AM15=0,0,AO16/AM15)^2))*IF(AM15=0,0,AO15/AM15)*AM15,AO15)),0)</f>
        <v/>
      </c>
      <c r="AQ15">
        <f>IF(AJ15&lt;k_ng,IF(AM15=0,0,IF((IF(AM15=0,0,AO15/AM15)^2+IF(AM15=0,0,AO16/AM15)^2)&gt;9,3/SQRT((IF(AM15=0,0,AO15/AM15)^2+IF(AM15=0,0,AO16/AM15)^2))*IF(AM15=0,0,AO16/AM15)*AM15,AO16)),0)</f>
        <v/>
      </c>
      <c r="AR15">
        <f>IF(AJ15&lt;=k_ng,AK15,NA())</f>
        <v/>
      </c>
      <c r="AS15">
        <f>IF(AJ15&lt;=k_ng,AL15,NA())</f>
        <v/>
      </c>
    </row>
    <row r="16">
      <c r="A16" t="n">
        <v>14</v>
      </c>
      <c r="B16">
        <f>IF(AND(ISNUMBER(Eingabe!$C$30),ISNUMBER(Eingabe!$D$30)),IF(AND(Eingabe!$C$30&gt;0,Eingabe!$D$30&gt;0),Eingabe!$C$30,""),"")</f>
        <v/>
      </c>
      <c r="C16">
        <f>IF(AND(ISNUMBER(B16),ISNUMBER(Eingabe!$E$30)),IF(Eingabe!$E$30&gt;0,B16,""),"")</f>
        <v/>
      </c>
      <c r="D16">
        <f>IF(AND(k_gluOn,ISNUMBER(B16),ISNUMBER(Eingabe!$F$30)),IF(Eingabe!$F$30&gt;0,B16,""),"")</f>
        <v/>
      </c>
      <c r="F16" t="n">
        <v>14</v>
      </c>
      <c r="G16">
        <f>IF(F16&lt;=k_n,SMALL($B$3:$B$22,F16),0)</f>
        <v/>
      </c>
      <c r="H16">
        <f>IF(F16&lt;=k_n,MATCH(G16,$B$3:$B$22,0),0)</f>
        <v/>
      </c>
      <c r="I16">
        <f>IF(F16&lt;=k_n,INDEX(Eingabe!$D$17:$D$36,H16),0)</f>
        <v/>
      </c>
      <c r="J16">
        <f>IF(F16&lt;=k_n,IF(ISNUMBER(INDEX(Eingabe!$E$17:$E$36,H16)),INDEX(Eingabe!$E$17:$E$36,H16),""),"")</f>
        <v/>
      </c>
      <c r="K16">
        <f>IF(F16&lt;=k_n,1,0)</f>
        <v/>
      </c>
      <c r="L16">
        <f>IF(K16=1,(G16-k_mx)/k_sx,0)</f>
        <v/>
      </c>
      <c r="M16">
        <f>L16^2</f>
        <v/>
      </c>
      <c r="N16">
        <f>L16^3</f>
        <v/>
      </c>
      <c r="O16">
        <f>L16^4</f>
        <v/>
      </c>
      <c r="P16">
        <f>IF(K16=1,LN(G16),0)</f>
        <v/>
      </c>
      <c r="Q16">
        <f>IF(K16=1,LN(I16),0)</f>
        <v/>
      </c>
      <c r="R16">
        <f>IF(K16=1,(k_p2_0+((G16)-k_mx)/k_sx*(k_p2_1+((G16)-k_mx)/k_sx*k_p2_2)),0)</f>
        <v/>
      </c>
      <c r="S16">
        <f>IF(K16=1,(k_p3_0+((G16)-k_mx)/k_sx*(k_p3_1+((G16)-k_mx)/k_sx*(k_p3_2+((G16)-k_mx)/k_sx*k_p3_3))),0)</f>
        <v/>
      </c>
      <c r="T16">
        <f>IF(K16=1,(k_p4_0+((G16)-k_mx)/k_sx*(k_p4_1+((G16)-k_mx)/k_sx*(k_p4_2+((G16)-k_mx)/k_sx*(k_p4_3+((G16)-k_mx)/k_sx*k_p4_4)))),0)</f>
        <v/>
      </c>
      <c r="U16">
        <f>IF(K16=1,(k_ea+k_eb*EXP(k_ec*((G16)-k_mx)/k_sx)),0)</f>
        <v/>
      </c>
      <c r="V16">
        <f>IF(K16=1,G16,NA())</f>
        <v/>
      </c>
      <c r="W16">
        <f>IF(K16=1,I16,NA())</f>
        <v/>
      </c>
      <c r="X16">
        <f>IF(K16=1,I16/G16,NA())</f>
        <v/>
      </c>
      <c r="Y16">
        <f>IF(AND(F16&gt;=2,F16&lt;=k_n),ROUND(I16-I15,9),0)</f>
        <v/>
      </c>
      <c r="Z16">
        <f>IF(AND(F16&gt;=2,F16&lt;=k_n-1),IF(AND(Y16&gt;=0.5,Y17&gt;=0.5),1,0),0)</f>
        <v/>
      </c>
      <c r="AA16">
        <f>IF(K16=1,IF(G16&lt;=k_gk1,k_gy0+(k_gy1-k_gy0)*(G16-k_gx0)/(k_gk1-k_gx0),IF(G16&lt;=k_gk2,k_gy1+(k_gy2-k_gy1)*(G16-k_gk1)/(k_gk2-k_gk1),k_gy2+(k_gy3-k_gy2)*(G16-k_gk2)/(k_gx3-k_gk2))),0)</f>
        <v/>
      </c>
      <c r="AC16" t="n">
        <v>14</v>
      </c>
      <c r="AD16">
        <f>IF(AC16&lt;=k_nh,SMALL($C$3:$C$22,AC16),0)</f>
        <v/>
      </c>
      <c r="AE16">
        <f>AD16^2</f>
        <v/>
      </c>
      <c r="AF16">
        <f>IF(AC16&lt;=k_nh,INDEX(Eingabe!$E$17:$E$36,MATCH(AD16,$C$3:$C$22,0)),0)</f>
        <v/>
      </c>
      <c r="AG16">
        <f>IF(AC16&lt;=k_nh,AD16,NA())</f>
        <v/>
      </c>
      <c r="AH16">
        <f>IF(AC16&lt;=k_nh,AF16,NA())</f>
        <v/>
      </c>
      <c r="AJ16" t="n">
        <v>14</v>
      </c>
      <c r="AK16">
        <f>IF(AJ16&lt;=k_ng,SMALL($D$3:$D$22,AJ16),0)</f>
        <v/>
      </c>
      <c r="AL16">
        <f>IF(AJ16&lt;=k_ng,INDEX(Eingabe!$F$17:$F$36,MATCH(AK16,$D$3:$D$22,0)),0)</f>
        <v/>
      </c>
      <c r="AM16">
        <f>IF(AJ16&lt;k_ng,(AL17-AL16)/(AK17-AK16),0)</f>
        <v/>
      </c>
      <c r="AN16">
        <f>AO16</f>
        <v/>
      </c>
      <c r="AO16">
        <f>IF(AJ16&lt;=k_ng,IF(AJ16=1,AM16,IF(AJ16=k_ng,AM15,IF(AM15*AM16&lt;=0,0,(AM15+AM16)/2))),0)</f>
        <v/>
      </c>
      <c r="AP16">
        <f>IF(AJ16&lt;k_ng,IF(AM16=0,0,IF((IF(AM16=0,0,AO16/AM16)^2+IF(AM16=0,0,AO17/AM16)^2)&gt;9,3/SQRT((IF(AM16=0,0,AO16/AM16)^2+IF(AM16=0,0,AO17/AM16)^2))*IF(AM16=0,0,AO16/AM16)*AM16,AO16)),0)</f>
        <v/>
      </c>
      <c r="AQ16">
        <f>IF(AJ16&lt;k_ng,IF(AM16=0,0,IF((IF(AM16=0,0,AO16/AM16)^2+IF(AM16=0,0,AO17/AM16)^2)&gt;9,3/SQRT((IF(AM16=0,0,AO16/AM16)^2+IF(AM16=0,0,AO17/AM16)^2))*IF(AM16=0,0,AO17/AM16)*AM16,AO17)),0)</f>
        <v/>
      </c>
      <c r="AR16">
        <f>IF(AJ16&lt;=k_ng,AK16,NA())</f>
        <v/>
      </c>
      <c r="AS16">
        <f>IF(AJ16&lt;=k_ng,AL16,NA())</f>
        <v/>
      </c>
    </row>
    <row r="17">
      <c r="A17" t="n">
        <v>15</v>
      </c>
      <c r="B17">
        <f>IF(AND(ISNUMBER(Eingabe!$C$31),ISNUMBER(Eingabe!$D$31)),IF(AND(Eingabe!$C$31&gt;0,Eingabe!$D$31&gt;0),Eingabe!$C$31,""),"")</f>
        <v/>
      </c>
      <c r="C17">
        <f>IF(AND(ISNUMBER(B17),ISNUMBER(Eingabe!$E$31)),IF(Eingabe!$E$31&gt;0,B17,""),"")</f>
        <v/>
      </c>
      <c r="D17">
        <f>IF(AND(k_gluOn,ISNUMBER(B17),ISNUMBER(Eingabe!$F$31)),IF(Eingabe!$F$31&gt;0,B17,""),"")</f>
        <v/>
      </c>
      <c r="F17" t="n">
        <v>15</v>
      </c>
      <c r="G17">
        <f>IF(F17&lt;=k_n,SMALL($B$3:$B$22,F17),0)</f>
        <v/>
      </c>
      <c r="H17">
        <f>IF(F17&lt;=k_n,MATCH(G17,$B$3:$B$22,0),0)</f>
        <v/>
      </c>
      <c r="I17">
        <f>IF(F17&lt;=k_n,INDEX(Eingabe!$D$17:$D$36,H17),0)</f>
        <v/>
      </c>
      <c r="J17">
        <f>IF(F17&lt;=k_n,IF(ISNUMBER(INDEX(Eingabe!$E$17:$E$36,H17)),INDEX(Eingabe!$E$17:$E$36,H17),""),"")</f>
        <v/>
      </c>
      <c r="K17">
        <f>IF(F17&lt;=k_n,1,0)</f>
        <v/>
      </c>
      <c r="L17">
        <f>IF(K17=1,(G17-k_mx)/k_sx,0)</f>
        <v/>
      </c>
      <c r="M17">
        <f>L17^2</f>
        <v/>
      </c>
      <c r="N17">
        <f>L17^3</f>
        <v/>
      </c>
      <c r="O17">
        <f>L17^4</f>
        <v/>
      </c>
      <c r="P17">
        <f>IF(K17=1,LN(G17),0)</f>
        <v/>
      </c>
      <c r="Q17">
        <f>IF(K17=1,LN(I17),0)</f>
        <v/>
      </c>
      <c r="R17">
        <f>IF(K17=1,(k_p2_0+((G17)-k_mx)/k_sx*(k_p2_1+((G17)-k_mx)/k_sx*k_p2_2)),0)</f>
        <v/>
      </c>
      <c r="S17">
        <f>IF(K17=1,(k_p3_0+((G17)-k_mx)/k_sx*(k_p3_1+((G17)-k_mx)/k_sx*(k_p3_2+((G17)-k_mx)/k_sx*k_p3_3))),0)</f>
        <v/>
      </c>
      <c r="T17">
        <f>IF(K17=1,(k_p4_0+((G17)-k_mx)/k_sx*(k_p4_1+((G17)-k_mx)/k_sx*(k_p4_2+((G17)-k_mx)/k_sx*(k_p4_3+((G17)-k_mx)/k_sx*k_p4_4)))),0)</f>
        <v/>
      </c>
      <c r="U17">
        <f>IF(K17=1,(k_ea+k_eb*EXP(k_ec*((G17)-k_mx)/k_sx)),0)</f>
        <v/>
      </c>
      <c r="V17">
        <f>IF(K17=1,G17,NA())</f>
        <v/>
      </c>
      <c r="W17">
        <f>IF(K17=1,I17,NA())</f>
        <v/>
      </c>
      <c r="X17">
        <f>IF(K17=1,I17/G17,NA())</f>
        <v/>
      </c>
      <c r="Y17">
        <f>IF(AND(F17&gt;=2,F17&lt;=k_n),ROUND(I17-I16,9),0)</f>
        <v/>
      </c>
      <c r="Z17">
        <f>IF(AND(F17&gt;=2,F17&lt;=k_n-1),IF(AND(Y17&gt;=0.5,Y18&gt;=0.5),1,0),0)</f>
        <v/>
      </c>
      <c r="AA17">
        <f>IF(K17=1,IF(G17&lt;=k_gk1,k_gy0+(k_gy1-k_gy0)*(G17-k_gx0)/(k_gk1-k_gx0),IF(G17&lt;=k_gk2,k_gy1+(k_gy2-k_gy1)*(G17-k_gk1)/(k_gk2-k_gk1),k_gy2+(k_gy3-k_gy2)*(G17-k_gk2)/(k_gx3-k_gk2))),0)</f>
        <v/>
      </c>
      <c r="AC17" t="n">
        <v>15</v>
      </c>
      <c r="AD17">
        <f>IF(AC17&lt;=k_nh,SMALL($C$3:$C$22,AC17),0)</f>
        <v/>
      </c>
      <c r="AE17">
        <f>AD17^2</f>
        <v/>
      </c>
      <c r="AF17">
        <f>IF(AC17&lt;=k_nh,INDEX(Eingabe!$E$17:$E$36,MATCH(AD17,$C$3:$C$22,0)),0)</f>
        <v/>
      </c>
      <c r="AG17">
        <f>IF(AC17&lt;=k_nh,AD17,NA())</f>
        <v/>
      </c>
      <c r="AH17">
        <f>IF(AC17&lt;=k_nh,AF17,NA())</f>
        <v/>
      </c>
      <c r="AJ17" t="n">
        <v>15</v>
      </c>
      <c r="AK17">
        <f>IF(AJ17&lt;=k_ng,SMALL($D$3:$D$22,AJ17),0)</f>
        <v/>
      </c>
      <c r="AL17">
        <f>IF(AJ17&lt;=k_ng,INDEX(Eingabe!$F$17:$F$36,MATCH(AK17,$D$3:$D$22,0)),0)</f>
        <v/>
      </c>
      <c r="AM17">
        <f>IF(AJ17&lt;k_ng,(AL18-AL17)/(AK18-AK17),0)</f>
        <v/>
      </c>
      <c r="AN17">
        <f>AO17</f>
        <v/>
      </c>
      <c r="AO17">
        <f>IF(AJ17&lt;=k_ng,IF(AJ17=1,AM17,IF(AJ17=k_ng,AM16,IF(AM16*AM17&lt;=0,0,(AM16+AM17)/2))),0)</f>
        <v/>
      </c>
      <c r="AP17">
        <f>IF(AJ17&lt;k_ng,IF(AM17=0,0,IF((IF(AM17=0,0,AO17/AM17)^2+IF(AM17=0,0,AO18/AM17)^2)&gt;9,3/SQRT((IF(AM17=0,0,AO17/AM17)^2+IF(AM17=0,0,AO18/AM17)^2))*IF(AM17=0,0,AO17/AM17)*AM17,AO17)),0)</f>
        <v/>
      </c>
      <c r="AQ17">
        <f>IF(AJ17&lt;k_ng,IF(AM17=0,0,IF((IF(AM17=0,0,AO17/AM17)^2+IF(AM17=0,0,AO18/AM17)^2)&gt;9,3/SQRT((IF(AM17=0,0,AO17/AM17)^2+IF(AM17=0,0,AO18/AM17)^2))*IF(AM17=0,0,AO18/AM17)*AM17,AO18)),0)</f>
        <v/>
      </c>
      <c r="AR17">
        <f>IF(AJ17&lt;=k_ng,AK17,NA())</f>
        <v/>
      </c>
      <c r="AS17">
        <f>IF(AJ17&lt;=k_ng,AL17,NA())</f>
        <v/>
      </c>
    </row>
    <row r="18">
      <c r="A18" t="n">
        <v>16</v>
      </c>
      <c r="B18">
        <f>IF(AND(ISNUMBER(Eingabe!$C$32),ISNUMBER(Eingabe!$D$32)),IF(AND(Eingabe!$C$32&gt;0,Eingabe!$D$32&gt;0),Eingabe!$C$32,""),"")</f>
        <v/>
      </c>
      <c r="C18">
        <f>IF(AND(ISNUMBER(B18),ISNUMBER(Eingabe!$E$32)),IF(Eingabe!$E$32&gt;0,B18,""),"")</f>
        <v/>
      </c>
      <c r="D18">
        <f>IF(AND(k_gluOn,ISNUMBER(B18),ISNUMBER(Eingabe!$F$32)),IF(Eingabe!$F$32&gt;0,B18,""),"")</f>
        <v/>
      </c>
      <c r="F18" t="n">
        <v>16</v>
      </c>
      <c r="G18">
        <f>IF(F18&lt;=k_n,SMALL($B$3:$B$22,F18),0)</f>
        <v/>
      </c>
      <c r="H18">
        <f>IF(F18&lt;=k_n,MATCH(G18,$B$3:$B$22,0),0)</f>
        <v/>
      </c>
      <c r="I18">
        <f>IF(F18&lt;=k_n,INDEX(Eingabe!$D$17:$D$36,H18),0)</f>
        <v/>
      </c>
      <c r="J18">
        <f>IF(F18&lt;=k_n,IF(ISNUMBER(INDEX(Eingabe!$E$17:$E$36,H18)),INDEX(Eingabe!$E$17:$E$36,H18),""),"")</f>
        <v/>
      </c>
      <c r="K18">
        <f>IF(F18&lt;=k_n,1,0)</f>
        <v/>
      </c>
      <c r="L18">
        <f>IF(K18=1,(G18-k_mx)/k_sx,0)</f>
        <v/>
      </c>
      <c r="M18">
        <f>L18^2</f>
        <v/>
      </c>
      <c r="N18">
        <f>L18^3</f>
        <v/>
      </c>
      <c r="O18">
        <f>L18^4</f>
        <v/>
      </c>
      <c r="P18">
        <f>IF(K18=1,LN(G18),0)</f>
        <v/>
      </c>
      <c r="Q18">
        <f>IF(K18=1,LN(I18),0)</f>
        <v/>
      </c>
      <c r="R18">
        <f>IF(K18=1,(k_p2_0+((G18)-k_mx)/k_sx*(k_p2_1+((G18)-k_mx)/k_sx*k_p2_2)),0)</f>
        <v/>
      </c>
      <c r="S18">
        <f>IF(K18=1,(k_p3_0+((G18)-k_mx)/k_sx*(k_p3_1+((G18)-k_mx)/k_sx*(k_p3_2+((G18)-k_mx)/k_sx*k_p3_3))),0)</f>
        <v/>
      </c>
      <c r="T18">
        <f>IF(K18=1,(k_p4_0+((G18)-k_mx)/k_sx*(k_p4_1+((G18)-k_mx)/k_sx*(k_p4_2+((G18)-k_mx)/k_sx*(k_p4_3+((G18)-k_mx)/k_sx*k_p4_4)))),0)</f>
        <v/>
      </c>
      <c r="U18">
        <f>IF(K18=1,(k_ea+k_eb*EXP(k_ec*((G18)-k_mx)/k_sx)),0)</f>
        <v/>
      </c>
      <c r="V18">
        <f>IF(K18=1,G18,NA())</f>
        <v/>
      </c>
      <c r="W18">
        <f>IF(K18=1,I18,NA())</f>
        <v/>
      </c>
      <c r="X18">
        <f>IF(K18=1,I18/G18,NA())</f>
        <v/>
      </c>
      <c r="Y18">
        <f>IF(AND(F18&gt;=2,F18&lt;=k_n),ROUND(I18-I17,9),0)</f>
        <v/>
      </c>
      <c r="Z18">
        <f>IF(AND(F18&gt;=2,F18&lt;=k_n-1),IF(AND(Y18&gt;=0.5,Y19&gt;=0.5),1,0),0)</f>
        <v/>
      </c>
      <c r="AA18">
        <f>IF(K18=1,IF(G18&lt;=k_gk1,k_gy0+(k_gy1-k_gy0)*(G18-k_gx0)/(k_gk1-k_gx0),IF(G18&lt;=k_gk2,k_gy1+(k_gy2-k_gy1)*(G18-k_gk1)/(k_gk2-k_gk1),k_gy2+(k_gy3-k_gy2)*(G18-k_gk2)/(k_gx3-k_gk2))),0)</f>
        <v/>
      </c>
      <c r="AC18" t="n">
        <v>16</v>
      </c>
      <c r="AD18">
        <f>IF(AC18&lt;=k_nh,SMALL($C$3:$C$22,AC18),0)</f>
        <v/>
      </c>
      <c r="AE18">
        <f>AD18^2</f>
        <v/>
      </c>
      <c r="AF18">
        <f>IF(AC18&lt;=k_nh,INDEX(Eingabe!$E$17:$E$36,MATCH(AD18,$C$3:$C$22,0)),0)</f>
        <v/>
      </c>
      <c r="AG18">
        <f>IF(AC18&lt;=k_nh,AD18,NA())</f>
        <v/>
      </c>
      <c r="AH18">
        <f>IF(AC18&lt;=k_nh,AF18,NA())</f>
        <v/>
      </c>
      <c r="AJ18" t="n">
        <v>16</v>
      </c>
      <c r="AK18">
        <f>IF(AJ18&lt;=k_ng,SMALL($D$3:$D$22,AJ18),0)</f>
        <v/>
      </c>
      <c r="AL18">
        <f>IF(AJ18&lt;=k_ng,INDEX(Eingabe!$F$17:$F$36,MATCH(AK18,$D$3:$D$22,0)),0)</f>
        <v/>
      </c>
      <c r="AM18">
        <f>IF(AJ18&lt;k_ng,(AL19-AL18)/(AK19-AK18),0)</f>
        <v/>
      </c>
      <c r="AN18">
        <f>AO18</f>
        <v/>
      </c>
      <c r="AO18">
        <f>IF(AJ18&lt;=k_ng,IF(AJ18=1,AM18,IF(AJ18=k_ng,AM17,IF(AM17*AM18&lt;=0,0,(AM17+AM18)/2))),0)</f>
        <v/>
      </c>
      <c r="AP18">
        <f>IF(AJ18&lt;k_ng,IF(AM18=0,0,IF((IF(AM18=0,0,AO18/AM18)^2+IF(AM18=0,0,AO19/AM18)^2)&gt;9,3/SQRT((IF(AM18=0,0,AO18/AM18)^2+IF(AM18=0,0,AO19/AM18)^2))*IF(AM18=0,0,AO18/AM18)*AM18,AO18)),0)</f>
        <v/>
      </c>
      <c r="AQ18">
        <f>IF(AJ18&lt;k_ng,IF(AM18=0,0,IF((IF(AM18=0,0,AO18/AM18)^2+IF(AM18=0,0,AO19/AM18)^2)&gt;9,3/SQRT((IF(AM18=0,0,AO18/AM18)^2+IF(AM18=0,0,AO19/AM18)^2))*IF(AM18=0,0,AO19/AM18)*AM18,AO19)),0)</f>
        <v/>
      </c>
      <c r="AR18">
        <f>IF(AJ18&lt;=k_ng,AK18,NA())</f>
        <v/>
      </c>
      <c r="AS18">
        <f>IF(AJ18&lt;=k_ng,AL18,NA())</f>
        <v/>
      </c>
    </row>
    <row r="19">
      <c r="A19" t="n">
        <v>17</v>
      </c>
      <c r="B19">
        <f>IF(AND(ISNUMBER(Eingabe!$C$33),ISNUMBER(Eingabe!$D$33)),IF(AND(Eingabe!$C$33&gt;0,Eingabe!$D$33&gt;0),Eingabe!$C$33,""),"")</f>
        <v/>
      </c>
      <c r="C19">
        <f>IF(AND(ISNUMBER(B19),ISNUMBER(Eingabe!$E$33)),IF(Eingabe!$E$33&gt;0,B19,""),"")</f>
        <v/>
      </c>
      <c r="D19">
        <f>IF(AND(k_gluOn,ISNUMBER(B19),ISNUMBER(Eingabe!$F$33)),IF(Eingabe!$F$33&gt;0,B19,""),"")</f>
        <v/>
      </c>
      <c r="F19" t="n">
        <v>17</v>
      </c>
      <c r="G19">
        <f>IF(F19&lt;=k_n,SMALL($B$3:$B$22,F19),0)</f>
        <v/>
      </c>
      <c r="H19">
        <f>IF(F19&lt;=k_n,MATCH(G19,$B$3:$B$22,0),0)</f>
        <v/>
      </c>
      <c r="I19">
        <f>IF(F19&lt;=k_n,INDEX(Eingabe!$D$17:$D$36,H19),0)</f>
        <v/>
      </c>
      <c r="J19">
        <f>IF(F19&lt;=k_n,IF(ISNUMBER(INDEX(Eingabe!$E$17:$E$36,H19)),INDEX(Eingabe!$E$17:$E$36,H19),""),"")</f>
        <v/>
      </c>
      <c r="K19">
        <f>IF(F19&lt;=k_n,1,0)</f>
        <v/>
      </c>
      <c r="L19">
        <f>IF(K19=1,(G19-k_mx)/k_sx,0)</f>
        <v/>
      </c>
      <c r="M19">
        <f>L19^2</f>
        <v/>
      </c>
      <c r="N19">
        <f>L19^3</f>
        <v/>
      </c>
      <c r="O19">
        <f>L19^4</f>
        <v/>
      </c>
      <c r="P19">
        <f>IF(K19=1,LN(G19),0)</f>
        <v/>
      </c>
      <c r="Q19">
        <f>IF(K19=1,LN(I19),0)</f>
        <v/>
      </c>
      <c r="R19">
        <f>IF(K19=1,(k_p2_0+((G19)-k_mx)/k_sx*(k_p2_1+((G19)-k_mx)/k_sx*k_p2_2)),0)</f>
        <v/>
      </c>
      <c r="S19">
        <f>IF(K19=1,(k_p3_0+((G19)-k_mx)/k_sx*(k_p3_1+((G19)-k_mx)/k_sx*(k_p3_2+((G19)-k_mx)/k_sx*k_p3_3))),0)</f>
        <v/>
      </c>
      <c r="T19">
        <f>IF(K19=1,(k_p4_0+((G19)-k_mx)/k_sx*(k_p4_1+((G19)-k_mx)/k_sx*(k_p4_2+((G19)-k_mx)/k_sx*(k_p4_3+((G19)-k_mx)/k_sx*k_p4_4)))),0)</f>
        <v/>
      </c>
      <c r="U19">
        <f>IF(K19=1,(k_ea+k_eb*EXP(k_ec*((G19)-k_mx)/k_sx)),0)</f>
        <v/>
      </c>
      <c r="V19">
        <f>IF(K19=1,G19,NA())</f>
        <v/>
      </c>
      <c r="W19">
        <f>IF(K19=1,I19,NA())</f>
        <v/>
      </c>
      <c r="X19">
        <f>IF(K19=1,I19/G19,NA())</f>
        <v/>
      </c>
      <c r="Y19">
        <f>IF(AND(F19&gt;=2,F19&lt;=k_n),ROUND(I19-I18,9),0)</f>
        <v/>
      </c>
      <c r="Z19">
        <f>IF(AND(F19&gt;=2,F19&lt;=k_n-1),IF(AND(Y19&gt;=0.5,Y20&gt;=0.5),1,0),0)</f>
        <v/>
      </c>
      <c r="AA19">
        <f>IF(K19=1,IF(G19&lt;=k_gk1,k_gy0+(k_gy1-k_gy0)*(G19-k_gx0)/(k_gk1-k_gx0),IF(G19&lt;=k_gk2,k_gy1+(k_gy2-k_gy1)*(G19-k_gk1)/(k_gk2-k_gk1),k_gy2+(k_gy3-k_gy2)*(G19-k_gk2)/(k_gx3-k_gk2))),0)</f>
        <v/>
      </c>
      <c r="AC19" t="n">
        <v>17</v>
      </c>
      <c r="AD19">
        <f>IF(AC19&lt;=k_nh,SMALL($C$3:$C$22,AC19),0)</f>
        <v/>
      </c>
      <c r="AE19">
        <f>AD19^2</f>
        <v/>
      </c>
      <c r="AF19">
        <f>IF(AC19&lt;=k_nh,INDEX(Eingabe!$E$17:$E$36,MATCH(AD19,$C$3:$C$22,0)),0)</f>
        <v/>
      </c>
      <c r="AG19">
        <f>IF(AC19&lt;=k_nh,AD19,NA())</f>
        <v/>
      </c>
      <c r="AH19">
        <f>IF(AC19&lt;=k_nh,AF19,NA())</f>
        <v/>
      </c>
      <c r="AJ19" t="n">
        <v>17</v>
      </c>
      <c r="AK19">
        <f>IF(AJ19&lt;=k_ng,SMALL($D$3:$D$22,AJ19),0)</f>
        <v/>
      </c>
      <c r="AL19">
        <f>IF(AJ19&lt;=k_ng,INDEX(Eingabe!$F$17:$F$36,MATCH(AK19,$D$3:$D$22,0)),0)</f>
        <v/>
      </c>
      <c r="AM19">
        <f>IF(AJ19&lt;k_ng,(AL20-AL19)/(AK20-AK19),0)</f>
        <v/>
      </c>
      <c r="AN19">
        <f>AO19</f>
        <v/>
      </c>
      <c r="AO19">
        <f>IF(AJ19&lt;=k_ng,IF(AJ19=1,AM19,IF(AJ19=k_ng,AM18,IF(AM18*AM19&lt;=0,0,(AM18+AM19)/2))),0)</f>
        <v/>
      </c>
      <c r="AP19">
        <f>IF(AJ19&lt;k_ng,IF(AM19=0,0,IF((IF(AM19=0,0,AO19/AM19)^2+IF(AM19=0,0,AO20/AM19)^2)&gt;9,3/SQRT((IF(AM19=0,0,AO19/AM19)^2+IF(AM19=0,0,AO20/AM19)^2))*IF(AM19=0,0,AO19/AM19)*AM19,AO19)),0)</f>
        <v/>
      </c>
      <c r="AQ19">
        <f>IF(AJ19&lt;k_ng,IF(AM19=0,0,IF((IF(AM19=0,0,AO19/AM19)^2+IF(AM19=0,0,AO20/AM19)^2)&gt;9,3/SQRT((IF(AM19=0,0,AO19/AM19)^2+IF(AM19=0,0,AO20/AM19)^2))*IF(AM19=0,0,AO20/AM19)*AM19,AO20)),0)</f>
        <v/>
      </c>
      <c r="AR19">
        <f>IF(AJ19&lt;=k_ng,AK19,NA())</f>
        <v/>
      </c>
      <c r="AS19">
        <f>IF(AJ19&lt;=k_ng,AL19,NA())</f>
        <v/>
      </c>
    </row>
    <row r="20">
      <c r="A20" t="n">
        <v>18</v>
      </c>
      <c r="B20">
        <f>IF(AND(ISNUMBER(Eingabe!$C$34),ISNUMBER(Eingabe!$D$34)),IF(AND(Eingabe!$C$34&gt;0,Eingabe!$D$34&gt;0),Eingabe!$C$34,""),"")</f>
        <v/>
      </c>
      <c r="C20">
        <f>IF(AND(ISNUMBER(B20),ISNUMBER(Eingabe!$E$34)),IF(Eingabe!$E$34&gt;0,B20,""),"")</f>
        <v/>
      </c>
      <c r="D20">
        <f>IF(AND(k_gluOn,ISNUMBER(B20),ISNUMBER(Eingabe!$F$34)),IF(Eingabe!$F$34&gt;0,B20,""),"")</f>
        <v/>
      </c>
      <c r="F20" t="n">
        <v>18</v>
      </c>
      <c r="G20">
        <f>IF(F20&lt;=k_n,SMALL($B$3:$B$22,F20),0)</f>
        <v/>
      </c>
      <c r="H20">
        <f>IF(F20&lt;=k_n,MATCH(G20,$B$3:$B$22,0),0)</f>
        <v/>
      </c>
      <c r="I20">
        <f>IF(F20&lt;=k_n,INDEX(Eingabe!$D$17:$D$36,H20),0)</f>
        <v/>
      </c>
      <c r="J20">
        <f>IF(F20&lt;=k_n,IF(ISNUMBER(INDEX(Eingabe!$E$17:$E$36,H20)),INDEX(Eingabe!$E$17:$E$36,H20),""),"")</f>
        <v/>
      </c>
      <c r="K20">
        <f>IF(F20&lt;=k_n,1,0)</f>
        <v/>
      </c>
      <c r="L20">
        <f>IF(K20=1,(G20-k_mx)/k_sx,0)</f>
        <v/>
      </c>
      <c r="M20">
        <f>L20^2</f>
        <v/>
      </c>
      <c r="N20">
        <f>L20^3</f>
        <v/>
      </c>
      <c r="O20">
        <f>L20^4</f>
        <v/>
      </c>
      <c r="P20">
        <f>IF(K20=1,LN(G20),0)</f>
        <v/>
      </c>
      <c r="Q20">
        <f>IF(K20=1,LN(I20),0)</f>
        <v/>
      </c>
      <c r="R20">
        <f>IF(K20=1,(k_p2_0+((G20)-k_mx)/k_sx*(k_p2_1+((G20)-k_mx)/k_sx*k_p2_2)),0)</f>
        <v/>
      </c>
      <c r="S20">
        <f>IF(K20=1,(k_p3_0+((G20)-k_mx)/k_sx*(k_p3_1+((G20)-k_mx)/k_sx*(k_p3_2+((G20)-k_mx)/k_sx*k_p3_3))),0)</f>
        <v/>
      </c>
      <c r="T20">
        <f>IF(K20=1,(k_p4_0+((G20)-k_mx)/k_sx*(k_p4_1+((G20)-k_mx)/k_sx*(k_p4_2+((G20)-k_mx)/k_sx*(k_p4_3+((G20)-k_mx)/k_sx*k_p4_4)))),0)</f>
        <v/>
      </c>
      <c r="U20">
        <f>IF(K20=1,(k_ea+k_eb*EXP(k_ec*((G20)-k_mx)/k_sx)),0)</f>
        <v/>
      </c>
      <c r="V20">
        <f>IF(K20=1,G20,NA())</f>
        <v/>
      </c>
      <c r="W20">
        <f>IF(K20=1,I20,NA())</f>
        <v/>
      </c>
      <c r="X20">
        <f>IF(K20=1,I20/G20,NA())</f>
        <v/>
      </c>
      <c r="Y20">
        <f>IF(AND(F20&gt;=2,F20&lt;=k_n),ROUND(I20-I19,9),0)</f>
        <v/>
      </c>
      <c r="Z20">
        <f>IF(AND(F20&gt;=2,F20&lt;=k_n-1),IF(AND(Y20&gt;=0.5,Y21&gt;=0.5),1,0),0)</f>
        <v/>
      </c>
      <c r="AA20">
        <f>IF(K20=1,IF(G20&lt;=k_gk1,k_gy0+(k_gy1-k_gy0)*(G20-k_gx0)/(k_gk1-k_gx0),IF(G20&lt;=k_gk2,k_gy1+(k_gy2-k_gy1)*(G20-k_gk1)/(k_gk2-k_gk1),k_gy2+(k_gy3-k_gy2)*(G20-k_gk2)/(k_gx3-k_gk2))),0)</f>
        <v/>
      </c>
      <c r="AC20" t="n">
        <v>18</v>
      </c>
      <c r="AD20">
        <f>IF(AC20&lt;=k_nh,SMALL($C$3:$C$22,AC20),0)</f>
        <v/>
      </c>
      <c r="AE20">
        <f>AD20^2</f>
        <v/>
      </c>
      <c r="AF20">
        <f>IF(AC20&lt;=k_nh,INDEX(Eingabe!$E$17:$E$36,MATCH(AD20,$C$3:$C$22,0)),0)</f>
        <v/>
      </c>
      <c r="AG20">
        <f>IF(AC20&lt;=k_nh,AD20,NA())</f>
        <v/>
      </c>
      <c r="AH20">
        <f>IF(AC20&lt;=k_nh,AF20,NA())</f>
        <v/>
      </c>
      <c r="AJ20" t="n">
        <v>18</v>
      </c>
      <c r="AK20">
        <f>IF(AJ20&lt;=k_ng,SMALL($D$3:$D$22,AJ20),0)</f>
        <v/>
      </c>
      <c r="AL20">
        <f>IF(AJ20&lt;=k_ng,INDEX(Eingabe!$F$17:$F$36,MATCH(AK20,$D$3:$D$22,0)),0)</f>
        <v/>
      </c>
      <c r="AM20">
        <f>IF(AJ20&lt;k_ng,(AL21-AL20)/(AK21-AK20),0)</f>
        <v/>
      </c>
      <c r="AN20">
        <f>AO20</f>
        <v/>
      </c>
      <c r="AO20">
        <f>IF(AJ20&lt;=k_ng,IF(AJ20=1,AM20,IF(AJ20=k_ng,AM19,IF(AM19*AM20&lt;=0,0,(AM19+AM20)/2))),0)</f>
        <v/>
      </c>
      <c r="AP20">
        <f>IF(AJ20&lt;k_ng,IF(AM20=0,0,IF((IF(AM20=0,0,AO20/AM20)^2+IF(AM20=0,0,AO21/AM20)^2)&gt;9,3/SQRT((IF(AM20=0,0,AO20/AM20)^2+IF(AM20=0,0,AO21/AM20)^2))*IF(AM20=0,0,AO20/AM20)*AM20,AO20)),0)</f>
        <v/>
      </c>
      <c r="AQ20">
        <f>IF(AJ20&lt;k_ng,IF(AM20=0,0,IF((IF(AM20=0,0,AO20/AM20)^2+IF(AM20=0,0,AO21/AM20)^2)&gt;9,3/SQRT((IF(AM20=0,0,AO20/AM20)^2+IF(AM20=0,0,AO21/AM20)^2))*IF(AM20=0,0,AO21/AM20)*AM20,AO21)),0)</f>
        <v/>
      </c>
      <c r="AR20">
        <f>IF(AJ20&lt;=k_ng,AK20,NA())</f>
        <v/>
      </c>
      <c r="AS20">
        <f>IF(AJ20&lt;=k_ng,AL20,NA())</f>
        <v/>
      </c>
    </row>
    <row r="21">
      <c r="A21" t="n">
        <v>19</v>
      </c>
      <c r="B21">
        <f>IF(AND(ISNUMBER(Eingabe!$C$35),ISNUMBER(Eingabe!$D$35)),IF(AND(Eingabe!$C$35&gt;0,Eingabe!$D$35&gt;0),Eingabe!$C$35,""),"")</f>
        <v/>
      </c>
      <c r="C21">
        <f>IF(AND(ISNUMBER(B21),ISNUMBER(Eingabe!$E$35)),IF(Eingabe!$E$35&gt;0,B21,""),"")</f>
        <v/>
      </c>
      <c r="D21">
        <f>IF(AND(k_gluOn,ISNUMBER(B21),ISNUMBER(Eingabe!$F$35)),IF(Eingabe!$F$35&gt;0,B21,""),"")</f>
        <v/>
      </c>
      <c r="F21" t="n">
        <v>19</v>
      </c>
      <c r="G21">
        <f>IF(F21&lt;=k_n,SMALL($B$3:$B$22,F21),0)</f>
        <v/>
      </c>
      <c r="H21">
        <f>IF(F21&lt;=k_n,MATCH(G21,$B$3:$B$22,0),0)</f>
        <v/>
      </c>
      <c r="I21">
        <f>IF(F21&lt;=k_n,INDEX(Eingabe!$D$17:$D$36,H21),0)</f>
        <v/>
      </c>
      <c r="J21">
        <f>IF(F21&lt;=k_n,IF(ISNUMBER(INDEX(Eingabe!$E$17:$E$36,H21)),INDEX(Eingabe!$E$17:$E$36,H21),""),"")</f>
        <v/>
      </c>
      <c r="K21">
        <f>IF(F21&lt;=k_n,1,0)</f>
        <v/>
      </c>
      <c r="L21">
        <f>IF(K21=1,(G21-k_mx)/k_sx,0)</f>
        <v/>
      </c>
      <c r="M21">
        <f>L21^2</f>
        <v/>
      </c>
      <c r="N21">
        <f>L21^3</f>
        <v/>
      </c>
      <c r="O21">
        <f>L21^4</f>
        <v/>
      </c>
      <c r="P21">
        <f>IF(K21=1,LN(G21),0)</f>
        <v/>
      </c>
      <c r="Q21">
        <f>IF(K21=1,LN(I21),0)</f>
        <v/>
      </c>
      <c r="R21">
        <f>IF(K21=1,(k_p2_0+((G21)-k_mx)/k_sx*(k_p2_1+((G21)-k_mx)/k_sx*k_p2_2)),0)</f>
        <v/>
      </c>
      <c r="S21">
        <f>IF(K21=1,(k_p3_0+((G21)-k_mx)/k_sx*(k_p3_1+((G21)-k_mx)/k_sx*(k_p3_2+((G21)-k_mx)/k_sx*k_p3_3))),0)</f>
        <v/>
      </c>
      <c r="T21">
        <f>IF(K21=1,(k_p4_0+((G21)-k_mx)/k_sx*(k_p4_1+((G21)-k_mx)/k_sx*(k_p4_2+((G21)-k_mx)/k_sx*(k_p4_3+((G21)-k_mx)/k_sx*k_p4_4)))),0)</f>
        <v/>
      </c>
      <c r="U21">
        <f>IF(K21=1,(k_ea+k_eb*EXP(k_ec*((G21)-k_mx)/k_sx)),0)</f>
        <v/>
      </c>
      <c r="V21">
        <f>IF(K21=1,G21,NA())</f>
        <v/>
      </c>
      <c r="W21">
        <f>IF(K21=1,I21,NA())</f>
        <v/>
      </c>
      <c r="X21">
        <f>IF(K21=1,I21/G21,NA())</f>
        <v/>
      </c>
      <c r="Y21">
        <f>IF(AND(F21&gt;=2,F21&lt;=k_n),ROUND(I21-I20,9),0)</f>
        <v/>
      </c>
      <c r="Z21">
        <f>IF(AND(F21&gt;=2,F21&lt;=k_n-1),IF(AND(Y21&gt;=0.5,Y22&gt;=0.5),1,0),0)</f>
        <v/>
      </c>
      <c r="AA21">
        <f>IF(K21=1,IF(G21&lt;=k_gk1,k_gy0+(k_gy1-k_gy0)*(G21-k_gx0)/(k_gk1-k_gx0),IF(G21&lt;=k_gk2,k_gy1+(k_gy2-k_gy1)*(G21-k_gk1)/(k_gk2-k_gk1),k_gy2+(k_gy3-k_gy2)*(G21-k_gk2)/(k_gx3-k_gk2))),0)</f>
        <v/>
      </c>
      <c r="AC21" t="n">
        <v>19</v>
      </c>
      <c r="AD21">
        <f>IF(AC21&lt;=k_nh,SMALL($C$3:$C$22,AC21),0)</f>
        <v/>
      </c>
      <c r="AE21">
        <f>AD21^2</f>
        <v/>
      </c>
      <c r="AF21">
        <f>IF(AC21&lt;=k_nh,INDEX(Eingabe!$E$17:$E$36,MATCH(AD21,$C$3:$C$22,0)),0)</f>
        <v/>
      </c>
      <c r="AG21">
        <f>IF(AC21&lt;=k_nh,AD21,NA())</f>
        <v/>
      </c>
      <c r="AH21">
        <f>IF(AC21&lt;=k_nh,AF21,NA())</f>
        <v/>
      </c>
      <c r="AJ21" t="n">
        <v>19</v>
      </c>
      <c r="AK21">
        <f>IF(AJ21&lt;=k_ng,SMALL($D$3:$D$22,AJ21),0)</f>
        <v/>
      </c>
      <c r="AL21">
        <f>IF(AJ21&lt;=k_ng,INDEX(Eingabe!$F$17:$F$36,MATCH(AK21,$D$3:$D$22,0)),0)</f>
        <v/>
      </c>
      <c r="AM21">
        <f>IF(AJ21&lt;k_ng,(AL22-AL21)/(AK22-AK21),0)</f>
        <v/>
      </c>
      <c r="AN21">
        <f>AO21</f>
        <v/>
      </c>
      <c r="AO21">
        <f>IF(AJ21&lt;=k_ng,IF(AJ21=1,AM21,IF(AJ21=k_ng,AM20,IF(AM20*AM21&lt;=0,0,(AM20+AM21)/2))),0)</f>
        <v/>
      </c>
      <c r="AP21">
        <f>IF(AJ21&lt;k_ng,IF(AM21=0,0,IF((IF(AM21=0,0,AO21/AM21)^2+IF(AM21=0,0,AO22/AM21)^2)&gt;9,3/SQRT((IF(AM21=0,0,AO21/AM21)^2+IF(AM21=0,0,AO22/AM21)^2))*IF(AM21=0,0,AO21/AM21)*AM21,AO21)),0)</f>
        <v/>
      </c>
      <c r="AQ21">
        <f>IF(AJ21&lt;k_ng,IF(AM21=0,0,IF((IF(AM21=0,0,AO21/AM21)^2+IF(AM21=0,0,AO22/AM21)^2)&gt;9,3/SQRT((IF(AM21=0,0,AO21/AM21)^2+IF(AM21=0,0,AO22/AM21)^2))*IF(AM21=0,0,AO22/AM21)*AM21,AO22)),0)</f>
        <v/>
      </c>
      <c r="AR21">
        <f>IF(AJ21&lt;=k_ng,AK21,NA())</f>
        <v/>
      </c>
      <c r="AS21">
        <f>IF(AJ21&lt;=k_ng,AL21,NA())</f>
        <v/>
      </c>
    </row>
    <row r="22">
      <c r="A22" t="n">
        <v>20</v>
      </c>
      <c r="B22">
        <f>IF(AND(ISNUMBER(Eingabe!$C$36),ISNUMBER(Eingabe!$D$36)),IF(AND(Eingabe!$C$36&gt;0,Eingabe!$D$36&gt;0),Eingabe!$C$36,""),"")</f>
        <v/>
      </c>
      <c r="C22">
        <f>IF(AND(ISNUMBER(B22),ISNUMBER(Eingabe!$E$36)),IF(Eingabe!$E$36&gt;0,B22,""),"")</f>
        <v/>
      </c>
      <c r="D22">
        <f>IF(AND(k_gluOn,ISNUMBER(B22),ISNUMBER(Eingabe!$F$36)),IF(Eingabe!$F$36&gt;0,B22,""),"")</f>
        <v/>
      </c>
      <c r="F22" t="n">
        <v>20</v>
      </c>
      <c r="G22">
        <f>IF(F22&lt;=k_n,SMALL($B$3:$B$22,F22),0)</f>
        <v/>
      </c>
      <c r="H22">
        <f>IF(F22&lt;=k_n,MATCH(G22,$B$3:$B$22,0),0)</f>
        <v/>
      </c>
      <c r="I22">
        <f>IF(F22&lt;=k_n,INDEX(Eingabe!$D$17:$D$36,H22),0)</f>
        <v/>
      </c>
      <c r="J22">
        <f>IF(F22&lt;=k_n,IF(ISNUMBER(INDEX(Eingabe!$E$17:$E$36,H22)),INDEX(Eingabe!$E$17:$E$36,H22),""),"")</f>
        <v/>
      </c>
      <c r="K22">
        <f>IF(F22&lt;=k_n,1,0)</f>
        <v/>
      </c>
      <c r="L22">
        <f>IF(K22=1,(G22-k_mx)/k_sx,0)</f>
        <v/>
      </c>
      <c r="M22">
        <f>L22^2</f>
        <v/>
      </c>
      <c r="N22">
        <f>L22^3</f>
        <v/>
      </c>
      <c r="O22">
        <f>L22^4</f>
        <v/>
      </c>
      <c r="P22">
        <f>IF(K22=1,LN(G22),0)</f>
        <v/>
      </c>
      <c r="Q22">
        <f>IF(K22=1,LN(I22),0)</f>
        <v/>
      </c>
      <c r="R22">
        <f>IF(K22=1,(k_p2_0+((G22)-k_mx)/k_sx*(k_p2_1+((G22)-k_mx)/k_sx*k_p2_2)),0)</f>
        <v/>
      </c>
      <c r="S22">
        <f>IF(K22=1,(k_p3_0+((G22)-k_mx)/k_sx*(k_p3_1+((G22)-k_mx)/k_sx*(k_p3_2+((G22)-k_mx)/k_sx*k_p3_3))),0)</f>
        <v/>
      </c>
      <c r="T22">
        <f>IF(K22=1,(k_p4_0+((G22)-k_mx)/k_sx*(k_p4_1+((G22)-k_mx)/k_sx*(k_p4_2+((G22)-k_mx)/k_sx*(k_p4_3+((G22)-k_mx)/k_sx*k_p4_4)))),0)</f>
        <v/>
      </c>
      <c r="U22">
        <f>IF(K22=1,(k_ea+k_eb*EXP(k_ec*((G22)-k_mx)/k_sx)),0)</f>
        <v/>
      </c>
      <c r="V22">
        <f>IF(K22=1,G22,NA())</f>
        <v/>
      </c>
      <c r="W22">
        <f>IF(K22=1,I22,NA())</f>
        <v/>
      </c>
      <c r="X22">
        <f>IF(K22=1,I22/G22,NA())</f>
        <v/>
      </c>
      <c r="Y22">
        <f>IF(AND(F22&gt;=2,F22&lt;=k_n),ROUND(I22-I21,9),0)</f>
        <v/>
      </c>
      <c r="Z22">
        <f>IF(AND(F22&gt;=2,F22&lt;=k_n-1),IF(AND(Y22&gt;=0.5,0&gt;=0.5),1,0),0)</f>
        <v/>
      </c>
      <c r="AA22">
        <f>IF(K22=1,IF(G22&lt;=k_gk1,k_gy0+(k_gy1-k_gy0)*(G22-k_gx0)/(k_gk1-k_gx0),IF(G22&lt;=k_gk2,k_gy1+(k_gy2-k_gy1)*(G22-k_gk1)/(k_gk2-k_gk1),k_gy2+(k_gy3-k_gy2)*(G22-k_gk2)/(k_gx3-k_gk2))),0)</f>
        <v/>
      </c>
      <c r="AC22" t="n">
        <v>20</v>
      </c>
      <c r="AD22">
        <f>IF(AC22&lt;=k_nh,SMALL($C$3:$C$22,AC22),0)</f>
        <v/>
      </c>
      <c r="AE22">
        <f>AD22^2</f>
        <v/>
      </c>
      <c r="AF22">
        <f>IF(AC22&lt;=k_nh,INDEX(Eingabe!$E$17:$E$36,MATCH(AD22,$C$3:$C$22,0)),0)</f>
        <v/>
      </c>
      <c r="AG22">
        <f>IF(AC22&lt;=k_nh,AD22,NA())</f>
        <v/>
      </c>
      <c r="AH22">
        <f>IF(AC22&lt;=k_nh,AF22,NA())</f>
        <v/>
      </c>
      <c r="AJ22" t="n">
        <v>20</v>
      </c>
      <c r="AK22">
        <f>IF(AJ22&lt;=k_ng,SMALL($D$3:$D$22,AJ22),0)</f>
        <v/>
      </c>
      <c r="AL22">
        <f>IF(AJ22&lt;=k_ng,INDEX(Eingabe!$F$17:$F$36,MATCH(AK22,$D$3:$D$22,0)),0)</f>
        <v/>
      </c>
      <c r="AM22">
        <f>IF(AJ22&lt;k_ng,(AL23-AL22)/(AK23-AK22),0)</f>
        <v/>
      </c>
      <c r="AN22">
        <f>AO22</f>
        <v/>
      </c>
      <c r="AO22">
        <f>IF(AJ22&lt;=k_ng,IF(AJ22=1,AM22,IF(AJ22=k_ng,AM21,IF(AM21*AM22&lt;=0,0,(AM21+AM22)/2))),0)</f>
        <v/>
      </c>
      <c r="AP22">
        <f>IF(AJ22&lt;k_ng,IF(AM22=0,0,IF((IF(AM22=0,0,AO22/AM22)^2+IF(AM22=0,0,0/AM22)^2)&gt;9,3/SQRT((IF(AM22=0,0,AO22/AM22)^2+IF(AM22=0,0,0/AM22)^2))*IF(AM22=0,0,AO22/AM22)*AM22,AO22)),0)</f>
        <v/>
      </c>
      <c r="AQ22">
        <f>IF(AJ22&lt;k_ng,IF(AM22=0,0,IF((IF(AM22=0,0,AO22/AM22)^2+IF(AM22=0,0,0/AM22)^2)&gt;9,3/SQRT((IF(AM22=0,0,AO22/AM22)^2+IF(AM22=0,0,0/AM22)^2))*IF(AM22=0,0,0/AM22)*AM22,0)),0)</f>
        <v/>
      </c>
      <c r="AR22">
        <f>IF(AJ22&lt;=k_ng,AK22,NA())</f>
        <v/>
      </c>
      <c r="AS22">
        <f>IF(AJ22&lt;=k_ng,AL22,NA())</f>
        <v/>
      </c>
    </row>
    <row r="26">
      <c r="A26" s="7" t="inlineStr">
        <is>
          <t>Anzahl gültiger Stufen</t>
        </is>
      </c>
      <c r="B26">
        <f>COUNT($B$3:$B$22)</f>
        <v/>
      </c>
    </row>
    <row r="27">
      <c r="A27" s="7" t="inlineStr">
        <is>
          <t>Anzahl HF-Werte</t>
        </is>
      </c>
      <c r="B27">
        <f>COUNT($C$3:$C$22)</f>
        <v/>
      </c>
    </row>
    <row r="28">
      <c r="A28" s="7" t="inlineStr">
        <is>
          <t>Anzahl Glukosewerte</t>
        </is>
      </c>
      <c r="B28">
        <f>COUNT($D$3:$D$22)</f>
        <v/>
      </c>
    </row>
    <row r="29">
      <c r="A29" s="7" t="inlineStr">
        <is>
          <t>Einheit</t>
        </is>
      </c>
      <c r="B29">
        <f>IF(Eingabe!$B$9="Radergometer (W)","W","km/h")</f>
        <v/>
      </c>
    </row>
    <row r="30">
      <c r="A30" s="7" t="inlineStr">
        <is>
          <t>Laufband?</t>
        </is>
      </c>
      <c r="B30">
        <f>k_unit="km/h"</f>
        <v/>
      </c>
    </row>
    <row r="31">
      <c r="A31" s="7" t="inlineStr">
        <is>
          <t>Nachkommastellen Belastung</t>
        </is>
      </c>
      <c r="B31">
        <f>IF(k_run,2,0)</f>
        <v/>
      </c>
    </row>
    <row r="32">
      <c r="A32" s="7" t="inlineStr">
        <is>
          <t>Glukose erfassen</t>
        </is>
      </c>
      <c r="B32">
        <f>Eingabe!$I$11="Ja"</f>
        <v/>
      </c>
    </row>
    <row r="33">
      <c r="A33" s="7" t="inlineStr">
        <is>
          <t>Glukose-Einheit</t>
        </is>
      </c>
      <c r="B33">
        <f>IF(Eingabe!$I$12="mmol/L","mmol/L","mg/dL")</f>
        <v/>
      </c>
    </row>
    <row r="34">
      <c r="A34" s="7" t="inlineStr">
        <is>
          <t>Glukose-Dezimalen</t>
        </is>
      </c>
      <c r="B34">
        <f>IF(k_gluU="mmol/L",1,0)</f>
        <v/>
      </c>
    </row>
    <row r="35">
      <c r="A35" s="7" t="inlineStr">
        <is>
          <t>doppelte Belastung</t>
        </is>
      </c>
      <c r="B35">
        <f>SUMPRODUCT(($G$4:$G$22=$G$3:$G$21)*($F$4:$F$22&lt;=k_n))&gt;0</f>
        <v/>
      </c>
    </row>
    <row r="36">
      <c r="A36" s="7" t="inlineStr">
        <is>
          <t>erste Stufe</t>
        </is>
      </c>
      <c r="B36">
        <f>IF(k_n&gt;0,$G$3,0)</f>
        <v/>
      </c>
    </row>
    <row r="37">
      <c r="A37" s="7" t="inlineStr">
        <is>
          <t>letzte Stufe (vmax)</t>
        </is>
      </c>
      <c r="B37">
        <f>IF(k_n&gt;0,INDEX($G$3:$G$22,k_n),1)</f>
        <v/>
      </c>
    </row>
    <row r="38">
      <c r="A38" s="7" t="inlineStr">
        <is>
          <t>Messbereich</t>
        </is>
      </c>
      <c r="B38">
        <f>MAX(k_hi-k_lo,1E-9)</f>
        <v/>
      </c>
    </row>
    <row r="39">
      <c r="A39" s="7" t="inlineStr">
        <is>
          <t>Mittelwert x</t>
        </is>
      </c>
      <c r="B39">
        <f>IF(k_n&gt;0,SUMPRODUCT(Calc!$K$3:$K$22,Calc!$G$3:$G$22)/k_n,0)</f>
        <v/>
      </c>
    </row>
    <row r="40">
      <c r="A40" s="7" t="inlineStr">
        <is>
          <t>SD x (Population)</t>
        </is>
      </c>
      <c r="B40">
        <f>IF(k_n&gt;0,IF(SQRT(SUMPRODUCT(Calc!$K$3:$K$22,(Calc!$G$3:$G$22-k_mx)^2)/k_n)&gt;0,SQRT(SUMPRODUCT(Calc!$K$3:$K$22,(Calc!$G$3:$G$22-k_mx)^2)/k_n),1),1)</f>
        <v/>
      </c>
    </row>
    <row r="41">
      <c r="A41" s="7" t="inlineStr">
        <is>
          <t>Ruhelaktat</t>
        </is>
      </c>
      <c r="B41">
        <f>IF(ISNUMBER(Eingabe!$E$9),Eingabe!$E$9,"")</f>
        <v/>
      </c>
    </row>
    <row r="42">
      <c r="A42" s="7" t="inlineStr">
        <is>
          <t>min. Stufenlaktat</t>
        </is>
      </c>
      <c r="B42" s="7">
        <f t="array" ref="B42">MIN(IF(Calc!$K$3:$K$22=1,Calc!$I$3:$I$22))</f>
        <v/>
      </c>
    </row>
    <row r="43">
      <c r="A43" s="7" t="inlineStr">
        <is>
          <t>Baseline</t>
        </is>
      </c>
      <c r="B43">
        <f>IF(AND(Eingabe!$I$8="Ruhelaktat",ISNUMBER(k_rest)),k_rest,k_lamin)</f>
        <v/>
      </c>
    </row>
    <row r="44">
      <c r="A44" s="7" t="inlineStr">
        <is>
          <t>max. Laktat</t>
        </is>
      </c>
      <c r="B44">
        <f>MAX(Calc!$I$3:$I$22)</f>
        <v/>
      </c>
    </row>
    <row r="45">
      <c r="A45" s="7" t="inlineStr">
        <is>
          <t>Mittel Laktat</t>
        </is>
      </c>
      <c r="B45">
        <f>IF(k_n&gt;0,SUMPRODUCT(Calc!$K$3:$K$22,Calc!$I$3:$I$22)/k_n,0)</f>
        <v/>
      </c>
    </row>
    <row r="46">
      <c r="A46" s="7" t="inlineStr">
        <is>
          <t>SST Laktat</t>
        </is>
      </c>
      <c r="B46">
        <f>SUMPRODUCT(Calc!$K$3:$K$22,(Calc!$I$3:$I$22-k_ymean)^2)</f>
        <v/>
      </c>
    </row>
    <row r="47">
      <c r="A47" s="7" t="inlineStr">
        <is>
          <t>Modell-Index</t>
        </is>
      </c>
      <c r="B47">
        <f>IFERROR(MATCH(Eingabe!$I$4,Listen!$F$2:$F$5,0),2)</f>
        <v/>
      </c>
    </row>
    <row r="48">
      <c r="A48" s="7" t="inlineStr">
        <is>
          <t>Modell exponentiell</t>
        </is>
      </c>
      <c r="B48">
        <f>k_model=4</f>
        <v/>
      </c>
    </row>
    <row r="49">
      <c r="A49" s="7" t="inlineStr">
        <is>
          <t>LT1-Verfahren (Index)</t>
        </is>
      </c>
      <c r="B49">
        <f>IFERROR(MATCH(Eingabe!$I$5,Listen!$B$2:$B$22,0),1)</f>
        <v/>
      </c>
    </row>
    <row r="50">
      <c r="A50" s="7" t="inlineStr">
        <is>
          <t>LT2-Verfahren (Index)</t>
        </is>
      </c>
      <c r="B50">
        <f>IFERROR(MATCH(Eingabe!$I$6,Listen!$B$2:$B$22,0),7)</f>
        <v/>
      </c>
    </row>
    <row r="51">
      <c r="A51" s="7" t="inlineStr">
        <is>
          <t>LTP1-Suchbereich (Anteil)</t>
        </is>
      </c>
      <c r="B51">
        <f>IF(AND(ISNUMBER(Eingabe!$I$7),Eingabe!$I$7&gt;=40,Eingabe!$I$7&lt;=95),Eingabe!$I$7/100,0.7)</f>
        <v/>
      </c>
    </row>
    <row r="52">
      <c r="A52" s="7" t="inlineStr">
        <is>
          <t>HF-Modellgrad</t>
        </is>
      </c>
      <c r="B52">
        <f>IF(Eingabe!$I$9="linear",1,2)</f>
        <v/>
      </c>
    </row>
    <row r="53">
      <c r="A53" s="7" t="inlineStr">
        <is>
          <t>Hilfsgeraden frei</t>
        </is>
      </c>
      <c r="B53">
        <f>Eingabe!$I$10="freie Regression durch die Messpunkte"</f>
        <v/>
      </c>
    </row>
    <row r="54">
      <c r="A54" s="7" t="inlineStr">
        <is>
          <t>zweite Stufe</t>
        </is>
      </c>
      <c r="B54">
        <f>IF(k_n&gt;1,$G$4,k_lo)</f>
        <v/>
      </c>
    </row>
    <row r="55">
      <c r="A55" s="7" t="inlineStr">
        <is>
          <t>vorletzte Stufe</t>
        </is>
      </c>
      <c r="B55">
        <f>IF(k_n&gt;1,INDEX($G$3:$G$22,k_n-1),k_hi)</f>
        <v/>
      </c>
    </row>
    <row r="56">
      <c r="A56" s="7" t="inlineStr">
        <is>
          <t>Laktat erste Stufe</t>
        </is>
      </c>
      <c r="B56">
        <f>$I$3</f>
        <v/>
      </c>
    </row>
    <row r="57">
      <c r="A57" s="7" t="inlineStr">
        <is>
          <t>Laktat letzte Stufe</t>
        </is>
      </c>
      <c r="B57">
        <f>IF(k_n&gt;0,INDEX($I$3:$I$22,k_n),0)</f>
        <v/>
      </c>
    </row>
    <row r="58">
      <c r="A58" s="7" t="inlineStr">
        <is>
          <t>Stufendauer [min]</t>
        </is>
      </c>
      <c r="B58">
        <f>IF(ISNUMBER(Eingabe!$E$4),Eingabe!$E$4,"")</f>
        <v/>
      </c>
    </row>
    <row r="60">
      <c r="A60" s="57" t="inlineStr">
        <is>
          <t>Polynom- und Exponentialfit (Koeffizienten in t = (x − x̄)/s)</t>
        </is>
      </c>
    </row>
    <row r="61">
      <c r="A61" s="7" t="inlineStr">
        <is>
          <t>Polynom 2. Grades verfügbar</t>
        </is>
      </c>
      <c r="B61">
        <f>AND(k_n&gt;=3,NOT(k_dup))</f>
        <v/>
      </c>
    </row>
    <row r="62">
      <c r="A62" s="7" t="inlineStr">
        <is>
          <t>p2 c0</t>
        </is>
      </c>
      <c r="B62">
        <f>IF(k_p2ok,IFERROR(INDEX(LINEST(OFFSET($I$3,0,0,k_n,1),OFFSET($L$3,0,0,k_n,2)),1,3),0),0)</f>
        <v/>
      </c>
    </row>
    <row r="63">
      <c r="A63" s="7" t="inlineStr">
        <is>
          <t>p2 c1</t>
        </is>
      </c>
      <c r="B63">
        <f>IF(k_p2ok,IFERROR(INDEX(LINEST(OFFSET($I$3,0,0,k_n,1),OFFSET($L$3,0,0,k_n,2)),1,2),0),0)</f>
        <v/>
      </c>
    </row>
    <row r="64">
      <c r="A64" s="7" t="inlineStr">
        <is>
          <t>p2 c2</t>
        </is>
      </c>
      <c r="B64">
        <f>IF(k_p2ok,IFERROR(INDEX(LINEST(OFFSET($I$3,0,0,k_n,1),OFFSET($L$3,0,0,k_n,2)),1,1),0),0)</f>
        <v/>
      </c>
    </row>
    <row r="65">
      <c r="A65" s="7" t="inlineStr">
        <is>
          <t>Polynom 3. Grades verfügbar</t>
        </is>
      </c>
      <c r="B65">
        <f>AND(k_n&gt;=4,NOT(k_dup))</f>
        <v/>
      </c>
    </row>
    <row r="66">
      <c r="A66" s="7" t="inlineStr">
        <is>
          <t>p3 c0</t>
        </is>
      </c>
      <c r="B66">
        <f>IF(k_p3ok,IFERROR(INDEX(LINEST(OFFSET($I$3,0,0,k_n,1),OFFSET($L$3,0,0,k_n,3)),1,4),0),0)</f>
        <v/>
      </c>
    </row>
    <row r="67">
      <c r="A67" s="7" t="inlineStr">
        <is>
          <t>p3 c1</t>
        </is>
      </c>
      <c r="B67">
        <f>IF(k_p3ok,IFERROR(INDEX(LINEST(OFFSET($I$3,0,0,k_n,1),OFFSET($L$3,0,0,k_n,3)),1,3),0),0)</f>
        <v/>
      </c>
    </row>
    <row r="68">
      <c r="A68" s="7" t="inlineStr">
        <is>
          <t>p3 c2</t>
        </is>
      </c>
      <c r="B68">
        <f>IF(k_p3ok,IFERROR(INDEX(LINEST(OFFSET($I$3,0,0,k_n,1),OFFSET($L$3,0,0,k_n,3)),1,2),0),0)</f>
        <v/>
      </c>
    </row>
    <row r="69">
      <c r="A69" s="7" t="inlineStr">
        <is>
          <t>p3 c3</t>
        </is>
      </c>
      <c r="B69">
        <f>IF(k_p3ok,IFERROR(INDEX(LINEST(OFFSET($I$3,0,0,k_n,1),OFFSET($L$3,0,0,k_n,3)),1,1),0),0)</f>
        <v/>
      </c>
    </row>
    <row r="70">
      <c r="A70" s="7" t="inlineStr">
        <is>
          <t>Polynom 4. Grades verfügbar</t>
        </is>
      </c>
      <c r="B70">
        <f>AND(k_n&gt;=5,NOT(k_dup))</f>
        <v/>
      </c>
    </row>
    <row r="71">
      <c r="A71" s="7" t="inlineStr">
        <is>
          <t>p4 c0</t>
        </is>
      </c>
      <c r="B71">
        <f>IF(k_p4ok,IFERROR(INDEX(LINEST(OFFSET($I$3,0,0,k_n,1),OFFSET($L$3,0,0,k_n,4)),1,5),0),0)</f>
        <v/>
      </c>
    </row>
    <row r="72">
      <c r="A72" s="7" t="inlineStr">
        <is>
          <t>p4 c1</t>
        </is>
      </c>
      <c r="B72">
        <f>IF(k_p4ok,IFERROR(INDEX(LINEST(OFFSET($I$3,0,0,k_n,1),OFFSET($L$3,0,0,k_n,4)),1,4),0),0)</f>
        <v/>
      </c>
    </row>
    <row r="73">
      <c r="A73" s="7" t="inlineStr">
        <is>
          <t>p4 c2</t>
        </is>
      </c>
      <c r="B73">
        <f>IF(k_p4ok,IFERROR(INDEX(LINEST(OFFSET($I$3,0,0,k_n,1),OFFSET($L$3,0,0,k_n,4)),1,3),0),0)</f>
        <v/>
      </c>
    </row>
    <row r="74">
      <c r="A74" s="7" t="inlineStr">
        <is>
          <t>p4 c3</t>
        </is>
      </c>
      <c r="B74">
        <f>IF(k_p4ok,IFERROR(INDEX(LINEST(OFFSET($I$3,0,0,k_n,1),OFFSET($L$3,0,0,k_n,4)),1,2),0),0)</f>
        <v/>
      </c>
    </row>
    <row r="75">
      <c r="A75" s="7" t="inlineStr">
        <is>
          <t>p4 c4</t>
        </is>
      </c>
      <c r="B75">
        <f>IF(k_p4ok,IFERROR(INDEX(LINEST(OFFSET($I$3,0,0,k_n,1),OFFSET($L$3,0,0,k_n,4)),1,1),0),0)</f>
        <v/>
      </c>
    </row>
    <row r="76">
      <c r="A76" s="7" t="inlineStr">
        <is>
          <t>Exponentialfit verfügbar</t>
        </is>
      </c>
      <c r="B76">
        <f>AND(k_n&gt;=4,NOT(k_dup),ExpFit!$B$4&lt;1E+299)</f>
        <v/>
      </c>
    </row>
    <row r="77">
      <c r="A77" s="7" t="inlineStr">
        <is>
          <t>exp a</t>
        </is>
      </c>
      <c r="B77">
        <f>IF(k_eok,ExpFit!$B$6,0)</f>
        <v/>
      </c>
    </row>
    <row r="78">
      <c r="A78" s="7" t="inlineStr">
        <is>
          <t>exp b (t)</t>
        </is>
      </c>
      <c r="B78">
        <f>IF(k_eok,ExpFit!$B$7,0)</f>
        <v/>
      </c>
    </row>
    <row r="79">
      <c r="A79" s="7" t="inlineStr">
        <is>
          <t>exp c (t)</t>
        </is>
      </c>
      <c r="B79">
        <f>IF(k_eok,ExpFit!$B$5,0)</f>
        <v/>
      </c>
    </row>
    <row r="81">
      <c r="A81" s="57" t="inlineStr">
        <is>
          <t>Güte je Modell</t>
        </is>
      </c>
      <c r="B81" s="57" t="inlineStr">
        <is>
          <t>verfügbar</t>
        </is>
      </c>
      <c r="C81" s="57" t="inlineStr">
        <is>
          <t>Parameter</t>
        </is>
      </c>
      <c r="D81" s="57" t="inlineStr">
        <is>
          <t>SSE</t>
        </is>
      </c>
      <c r="E81" s="57" t="inlineStr">
        <is>
          <t>R²</t>
        </is>
      </c>
      <c r="F81" s="57" t="inlineStr">
        <is>
          <t>RMSE</t>
        </is>
      </c>
      <c r="G81" s="57" t="inlineStr">
        <is>
          <t>exakt</t>
        </is>
      </c>
    </row>
    <row r="82">
      <c r="A82" s="7" t="inlineStr">
        <is>
          <t>Polynom 2. Grades</t>
        </is>
      </c>
      <c r="B82">
        <f>k_p2ok</f>
        <v/>
      </c>
      <c r="C82" t="n">
        <v>3</v>
      </c>
      <c r="D82">
        <f>SUMPRODUCT(Calc!$K$3:$K$22,(Calc!$I$3:$I$22-Calc!$R$3:$R$22)^2)</f>
        <v/>
      </c>
      <c r="E82">
        <f>IF(k_sst&gt;0,1-D82/k_sst,"")</f>
        <v/>
      </c>
      <c r="F82">
        <f>IF(k_n&gt;0,SQRT(D82/k_n),0)</f>
        <v/>
      </c>
      <c r="G82">
        <f>k_n&lt;=C82</f>
        <v/>
      </c>
      <c r="H82" t="inlineStr">
        <is>
          <t>gewähltes Modell ok</t>
        </is>
      </c>
      <c r="I82">
        <f>INDEX($B$82:$B$85,k_model)</f>
        <v/>
      </c>
    </row>
    <row r="83">
      <c r="A83" s="7" t="inlineStr">
        <is>
          <t>Polynom 3. Grades</t>
        </is>
      </c>
      <c r="B83">
        <f>k_p3ok</f>
        <v/>
      </c>
      <c r="C83" t="n">
        <v>4</v>
      </c>
      <c r="D83">
        <f>SUMPRODUCT(Calc!$K$3:$K$22,(Calc!$I$3:$I$22-Calc!$S$3:$S$22)^2)</f>
        <v/>
      </c>
      <c r="E83">
        <f>IF(k_sst&gt;0,1-D83/k_sst,"")</f>
        <v/>
      </c>
      <c r="F83">
        <f>IF(k_n&gt;0,SQRT(D83/k_n),0)</f>
        <v/>
      </c>
      <c r="G83">
        <f>k_n&lt;=C83</f>
        <v/>
      </c>
    </row>
    <row r="84">
      <c r="A84" s="7" t="inlineStr">
        <is>
          <t>Polynom 4. Grades</t>
        </is>
      </c>
      <c r="B84">
        <f>k_p4ok</f>
        <v/>
      </c>
      <c r="C84" t="n">
        <v>5</v>
      </c>
      <c r="D84">
        <f>SUMPRODUCT(Calc!$K$3:$K$22,(Calc!$I$3:$I$22-Calc!$T$3:$T$22)^2)</f>
        <v/>
      </c>
      <c r="E84">
        <f>IF(k_sst&gt;0,1-D84/k_sst,"")</f>
        <v/>
      </c>
      <c r="F84">
        <f>IF(k_n&gt;0,SQRT(D84/k_n),0)</f>
        <v/>
      </c>
      <c r="G84">
        <f>k_n&lt;=C84</f>
        <v/>
      </c>
    </row>
    <row r="85">
      <c r="A85" s="7" t="inlineStr">
        <is>
          <t>Exponentiell</t>
        </is>
      </c>
      <c r="B85">
        <f>k_eok</f>
        <v/>
      </c>
      <c r="C85" t="n">
        <v>3</v>
      </c>
      <c r="D85">
        <f>SUMPRODUCT(Calc!$K$3:$K$22,(Calc!$I$3:$I$22-Calc!$U$3:$U$22)^2)</f>
        <v/>
      </c>
      <c r="E85">
        <f>IF(k_sst&gt;0,1-D85/k_sst,"")</f>
        <v/>
      </c>
      <c r="F85">
        <f>IF(k_n&gt;0,SQRT(D85/k_n),0)</f>
        <v/>
      </c>
      <c r="G85">
        <f>k_n&lt;=C85</f>
        <v/>
      </c>
    </row>
    <row r="87">
      <c r="A87" s="57" t="inlineStr">
        <is>
          <t>Gewähltes Modell (Polynom-Koeffizienten, 0 bei exp)</t>
        </is>
      </c>
    </row>
    <row r="88">
      <c r="A88" s="7" t="inlineStr">
        <is>
          <t>s0</t>
        </is>
      </c>
      <c r="B88">
        <f>CHOOSE(k_model,k_p2_0,k_p3_0,k_p4_0,0)</f>
        <v/>
      </c>
    </row>
    <row r="89">
      <c r="A89" s="7" t="inlineStr">
        <is>
          <t>s1</t>
        </is>
      </c>
      <c r="B89">
        <f>CHOOSE(k_model,k_p2_1,k_p3_1,k_p4_1,0)</f>
        <v/>
      </c>
    </row>
    <row r="90">
      <c r="A90" s="7" t="inlineStr">
        <is>
          <t>s2</t>
        </is>
      </c>
      <c r="B90">
        <f>CHOOSE(k_model,k_p2_2,k_p3_2,k_p4_2,0)</f>
        <v/>
      </c>
    </row>
    <row r="91">
      <c r="A91" s="7" t="inlineStr">
        <is>
          <t>s3</t>
        </is>
      </c>
      <c r="B91">
        <f>CHOOSE(k_model,0,k_p3_3,k_p4_3,0)</f>
        <v/>
      </c>
    </row>
    <row r="92">
      <c r="A92" s="7" t="inlineStr">
        <is>
          <t>s4</t>
        </is>
      </c>
      <c r="B92">
        <f>CHOOSE(k_model,0,0,k_p4_4,0)</f>
        <v/>
      </c>
    </row>
    <row r="93">
      <c r="A93" s="7" t="inlineStr">
        <is>
          <t>R² gewählt</t>
        </is>
      </c>
      <c r="B93">
        <f>INDEX($E$82:$E$85,k_model)</f>
        <v/>
      </c>
    </row>
    <row r="94">
      <c r="A94" s="7" t="inlineStr">
        <is>
          <t>RMSE gewählt</t>
        </is>
      </c>
      <c r="B94">
        <f>INDEX($F$82:$F$85,k_model)</f>
        <v/>
      </c>
    </row>
    <row r="95">
      <c r="A95" s="7" t="inlineStr">
        <is>
          <t>exakt gewählt</t>
        </is>
      </c>
      <c r="B95">
        <f>INDEX($G$82:$G$85,k_model)</f>
        <v/>
      </c>
    </row>
    <row r="96">
      <c r="A96" s="57" t="inlineStr">
        <is>
          <t>Rohkoeffizienten a0..a4 (x in Belastungseinheit)</t>
        </is>
      </c>
    </row>
    <row r="97">
      <c r="A97" s="7" t="inlineStr">
        <is>
          <t>a0</t>
        </is>
      </c>
      <c r="B97">
        <f>k_s0/k_sx^0*1*(-k_mx)^0+k_s1/k_sx^1*1*(-k_mx)^1+k_s2/k_sx^2*1*(-k_mx)^2+k_s3/k_sx^3*1*(-k_mx)^3+k_s4/k_sx^4*1*(-k_mx)^4</f>
        <v/>
      </c>
    </row>
    <row r="98">
      <c r="A98" s="7" t="inlineStr">
        <is>
          <t>a1</t>
        </is>
      </c>
      <c r="B98">
        <f>k_s1/k_sx^1*1*(-k_mx)^0+k_s2/k_sx^2*2*(-k_mx)^1+k_s3/k_sx^3*3*(-k_mx)^2+k_s4/k_sx^4*4*(-k_mx)^3</f>
        <v/>
      </c>
    </row>
    <row r="99">
      <c r="A99" s="7" t="inlineStr">
        <is>
          <t>a2</t>
        </is>
      </c>
      <c r="B99">
        <f>k_s2/k_sx^2*1*(-k_mx)^0+k_s3/k_sx^3*3*(-k_mx)^1+k_s4/k_sx^4*6*(-k_mx)^2</f>
        <v/>
      </c>
    </row>
    <row r="100">
      <c r="A100" s="7" t="inlineStr">
        <is>
          <t>a3</t>
        </is>
      </c>
      <c r="B100">
        <f>k_s3/k_sx^3*1*(-k_mx)^0+k_s4/k_sx^4*4*(-k_mx)^1</f>
        <v/>
      </c>
    </row>
    <row r="101">
      <c r="A101" s="7" t="inlineStr">
        <is>
          <t>a4</t>
        </is>
      </c>
      <c r="B101">
        <f>k_s4/k_sx^4*1*(-k_mx)^0</f>
        <v/>
      </c>
    </row>
    <row r="102">
      <c r="A102" s="7" t="inlineStr">
        <is>
          <t>Modellgleichung</t>
        </is>
      </c>
      <c r="B102">
        <f>IF(k_mexp,"La(x) = "&amp;FIXED(k_ea,MAX(0,4-INT(LOG10(ABS(k_ea)+1E-300))),TRUE)&amp;" + "&amp;FIXED(k_eb*EXP(-k_ec*k_mx/k_sx),MAX(0,4-INT(LOG10(ABS(k_eb*EXP(-k_ec*k_mx/k_sx))+1E-300))),TRUE)&amp;"·e^("&amp;FIXED(k_ec/k_sx,MAX(0,4-INT(LOG10(ABS(k_ec/k_sx)+1E-300))),TRUE)&amp;"·x)","La(x) = "&amp;IF($B$97&lt;0,"−","")&amp;IF($B$97=0,"0",FIXED(ABS($B$97),MAX(0,4-INT(LOG10(ABS($B$97)))),TRUE))&amp;IF(CHOOSE(k_model,2,3,4,0)&gt;=1,IF($B$98&lt;0," − "," + ")&amp;IF($B$98=0,"0",FIXED(ABS($B$98),MAX(0,4-INT(LOG10(ABS($B$98)))),TRUE))&amp;"·x","")&amp;IF(CHOOSE(k_model,2,3,4,0)&gt;=2,IF($B$99&lt;0," − "," + ")&amp;IF($B$99=0,"0",FIXED(ABS($B$99),MAX(0,4-INT(LOG10(ABS($B$99)))),TRUE))&amp;"·x²","")&amp;IF(CHOOSE(k_model,2,3,4,0)&gt;=3,IF($B$100&lt;0," − "," + ")&amp;IF($B$100=0,"0",FIXED(ABS($B$100),MAX(0,4-INT(LOG10(ABS($B$100)))),TRUE))&amp;"·x³","")&amp;IF(CHOOSE(k_model,2,3,4,0)&gt;=4,IF($B$101&lt;0," − "," + ")&amp;IF($B$101=0,"0",FIXED(ABS($B$101),MAX(0,4-INT(LOG10(ABS($B$101)))),TRUE))&amp;"·x⁴",""))</f>
        <v/>
      </c>
    </row>
    <row r="104">
      <c r="A104" s="57" t="inlineStr">
        <is>
          <t>HF-Modell</t>
        </is>
      </c>
    </row>
    <row r="105">
      <c r="A105" s="7" t="inlineStr">
        <is>
          <t>HF-Modell verfügbar</t>
        </is>
      </c>
      <c r="B105">
        <f>k_nh&gt;=3</f>
        <v/>
      </c>
    </row>
    <row r="106">
      <c r="A106" s="7" t="inlineStr">
        <is>
          <t>Grad</t>
        </is>
      </c>
      <c r="B106">
        <f>MIN(k_hrdeg,k_nh-1)</f>
        <v/>
      </c>
    </row>
    <row r="107">
      <c r="A107" s="7" t="inlineStr">
        <is>
          <t>h0</t>
        </is>
      </c>
      <c r="B107">
        <f>IF(k_hrok,IF(k_hdeg=1,INDEX(LINEST(OFFSET($AF$3,0,0,k_nh,1),OFFSET($AD$3,0,0,k_nh,1)),1,2),INDEX(LINEST(OFFSET($AF$3,0,0,k_nh,1),OFFSET($AD$3,0,0,k_nh,2)),1,3)),0)</f>
        <v/>
      </c>
    </row>
    <row r="108">
      <c r="A108" s="7" t="inlineStr">
        <is>
          <t>h1</t>
        </is>
      </c>
      <c r="B108">
        <f>IF(k_hrok,IF(k_hdeg=1,INDEX(LINEST(OFFSET($AF$3,0,0,k_nh,1),OFFSET($AD$3,0,0,k_nh,1)),1,1),INDEX(LINEST(OFFSET($AF$3,0,0,k_nh,1),OFFSET($AD$3,0,0,k_nh,2)),1,2)),0)</f>
        <v/>
      </c>
    </row>
    <row r="109">
      <c r="A109" s="7" t="inlineStr">
        <is>
          <t>h2</t>
        </is>
      </c>
      <c r="B109">
        <f>IF(AND(k_hrok,k_hdeg=2),INDEX(LINEST(OFFSET($AF$3,0,0,k_nh,1),OFFSET($AD$3,0,0,k_nh,2)),1,1),0)</f>
        <v/>
      </c>
    </row>
    <row r="110">
      <c r="A110" s="7" t="inlineStr">
        <is>
          <t>HF max</t>
        </is>
      </c>
      <c r="B110">
        <f>IF(k_nh&gt;0,MAX($AF$3:$AF$22),"")</f>
        <v/>
      </c>
    </row>
    <row r="111">
      <c r="A111" s="7" t="inlineStr">
        <is>
          <t>HF erste</t>
        </is>
      </c>
      <c r="B111">
        <f>IF(k_nh&gt;0,$AD$3,0)</f>
        <v/>
      </c>
    </row>
    <row r="112">
      <c r="A112" s="7" t="inlineStr">
        <is>
          <t>HF letzte x</t>
        </is>
      </c>
      <c r="B112">
        <f>IF(k_nh&gt;0,INDEX($AD$3:$AD$22,k_nh),0)</f>
        <v/>
      </c>
    </row>
    <row r="113">
      <c r="A113" s="7" t="inlineStr">
        <is>
          <t>HF letzte</t>
        </is>
      </c>
      <c r="B113">
        <f>IF(k_nh&gt;0,INDEX($AF$3:$AF$22,k_nh),"")</f>
        <v/>
      </c>
    </row>
    <row r="114">
      <c r="A114" s="7" t="inlineStr">
        <is>
          <t>HF R²</t>
        </is>
      </c>
      <c r="B114">
        <f>IF(k_hrok,1-SUMPRODUCT(($AC$3:$AC$22&lt;=k_nh)*($AF$3:$AF$22-(k_h0+k_h1*$AD$3:$AD$22+k_h2*$AD$3:$AD$22^2))^2)/SUMPRODUCT(($AC$3:$AC$22&lt;=k_nh)*($AF$3:$AF$22-SUMPRODUCT(($AC$3:$AC$22&lt;=k_nh)*$AF$3:$AF$22)/k_nh)^2),"")</f>
        <v/>
      </c>
    </row>
    <row r="116">
      <c r="A116" s="57" t="inlineStr">
        <is>
          <t>Log-Log (Beaver): Segmentgrenze k</t>
        </is>
      </c>
    </row>
    <row r="117">
      <c r="A117" s="57" t="inlineStr">
        <is>
          <t>k</t>
        </is>
      </c>
      <c r="B117" s="57" t="inlineStr">
        <is>
          <t>gültig</t>
        </is>
      </c>
      <c r="C117" s="57" t="inlineStr">
        <is>
          <t>bL</t>
        </is>
      </c>
      <c r="D117" s="57" t="inlineStr">
        <is>
          <t>aL</t>
        </is>
      </c>
      <c r="E117" s="57" t="inlineStr">
        <is>
          <t>bR</t>
        </is>
      </c>
      <c r="F117" s="57" t="inlineStr">
        <is>
          <t>aR</t>
        </is>
      </c>
      <c r="G117" s="57" t="inlineStr">
        <is>
          <t>u*</t>
        </is>
      </c>
      <c r="H117" s="57" t="inlineStr">
        <is>
          <t>SSE</t>
        </is>
      </c>
      <c r="I117" s="57" t="inlineStr">
        <is>
          <t>Score</t>
        </is>
      </c>
    </row>
    <row r="118">
      <c r="A118" t="n">
        <v>2</v>
      </c>
      <c r="B118">
        <f>AND(k_n&gt;=4,A118&lt;=k_n-2)</f>
        <v/>
      </c>
      <c r="C118">
        <f>IF(B118,SLOPE(OFFSET($Q$3,0,0,A118,1),OFFSET($P$3,0,0,A118,1)),0)</f>
        <v/>
      </c>
      <c r="D118">
        <f>IF(B118,INTERCEPT(OFFSET($Q$3,0,0,A118,1),OFFSET($P$3,0,0,A118,1)),0)</f>
        <v/>
      </c>
      <c r="E118">
        <f>IF(B118,SLOPE(OFFSET($Q$3,A118,0,k_n-A118,1),OFFSET($P$3,A118,0,k_n-A118,1)),0)</f>
        <v/>
      </c>
      <c r="F118">
        <f>IF(B118,INTERCEPT(OFFSET($Q$3,A118,0,k_n-A118,1),OFFSET($P$3,A118,0,k_n-A118,1)),0)</f>
        <v/>
      </c>
      <c r="G118">
        <f>IF(AND(B118,C118&lt;&gt;E118),(F118-D118)/(C118-E118),0)</f>
        <v/>
      </c>
      <c r="H118">
        <f>IF(B118,DEVSQ(OFFSET($Q$3,0,0,A118,1))-C118^2*DEVSQ(OFFSET($P$3,0,0,A118,1))+DEVSQ(OFFSET($Q$3,A118,0,k_n-A118,1))-E118^2*DEVSQ(OFFSET($P$3,A118,0,k_n-A118,1)),0)</f>
        <v/>
      </c>
      <c r="I118">
        <f>IF(AND(B118,E118&gt;C118),IF(AND(G118&gt;=$P$3,G118&lt;=INDEX($P$3:$P$22,k_n)),H118,1E+300),1E+300)</f>
        <v/>
      </c>
    </row>
    <row r="119">
      <c r="A119" t="n">
        <v>3</v>
      </c>
      <c r="B119">
        <f>AND(k_n&gt;=4,A119&lt;=k_n-2)</f>
        <v/>
      </c>
      <c r="C119">
        <f>IF(B119,SLOPE(OFFSET($Q$3,0,0,A119,1),OFFSET($P$3,0,0,A119,1)),0)</f>
        <v/>
      </c>
      <c r="D119">
        <f>IF(B119,INTERCEPT(OFFSET($Q$3,0,0,A119,1),OFFSET($P$3,0,0,A119,1)),0)</f>
        <v/>
      </c>
      <c r="E119">
        <f>IF(B119,SLOPE(OFFSET($Q$3,A119,0,k_n-A119,1),OFFSET($P$3,A119,0,k_n-A119,1)),0)</f>
        <v/>
      </c>
      <c r="F119">
        <f>IF(B119,INTERCEPT(OFFSET($Q$3,A119,0,k_n-A119,1),OFFSET($P$3,A119,0,k_n-A119,1)),0)</f>
        <v/>
      </c>
      <c r="G119">
        <f>IF(AND(B119,C119&lt;&gt;E119),(F119-D119)/(C119-E119),0)</f>
        <v/>
      </c>
      <c r="H119">
        <f>IF(B119,DEVSQ(OFFSET($Q$3,0,0,A119,1))-C119^2*DEVSQ(OFFSET($P$3,0,0,A119,1))+DEVSQ(OFFSET($Q$3,A119,0,k_n-A119,1))-E119^2*DEVSQ(OFFSET($P$3,A119,0,k_n-A119,1)),0)</f>
        <v/>
      </c>
      <c r="I119">
        <f>IF(AND(B119,E119&gt;C119),IF(AND(G119&gt;=$P$3,G119&lt;=INDEX($P$3:$P$22,k_n)),H119,1E+300),1E+300)</f>
        <v/>
      </c>
    </row>
    <row r="120">
      <c r="A120" t="n">
        <v>4</v>
      </c>
      <c r="B120">
        <f>AND(k_n&gt;=4,A120&lt;=k_n-2)</f>
        <v/>
      </c>
      <c r="C120">
        <f>IF(B120,SLOPE(OFFSET($Q$3,0,0,A120,1),OFFSET($P$3,0,0,A120,1)),0)</f>
        <v/>
      </c>
      <c r="D120">
        <f>IF(B120,INTERCEPT(OFFSET($Q$3,0,0,A120,1),OFFSET($P$3,0,0,A120,1)),0)</f>
        <v/>
      </c>
      <c r="E120">
        <f>IF(B120,SLOPE(OFFSET($Q$3,A120,0,k_n-A120,1),OFFSET($P$3,A120,0,k_n-A120,1)),0)</f>
        <v/>
      </c>
      <c r="F120">
        <f>IF(B120,INTERCEPT(OFFSET($Q$3,A120,0,k_n-A120,1),OFFSET($P$3,A120,0,k_n-A120,1)),0)</f>
        <v/>
      </c>
      <c r="G120">
        <f>IF(AND(B120,C120&lt;&gt;E120),(F120-D120)/(C120-E120),0)</f>
        <v/>
      </c>
      <c r="H120">
        <f>IF(B120,DEVSQ(OFFSET($Q$3,0,0,A120,1))-C120^2*DEVSQ(OFFSET($P$3,0,0,A120,1))+DEVSQ(OFFSET($Q$3,A120,0,k_n-A120,1))-E120^2*DEVSQ(OFFSET($P$3,A120,0,k_n-A120,1)),0)</f>
        <v/>
      </c>
      <c r="I120">
        <f>IF(AND(B120,E120&gt;C120),IF(AND(G120&gt;=$P$3,G120&lt;=INDEX($P$3:$P$22,k_n)),H120,1E+300),1E+300)</f>
        <v/>
      </c>
    </row>
    <row r="121">
      <c r="A121" t="n">
        <v>5</v>
      </c>
      <c r="B121">
        <f>AND(k_n&gt;=4,A121&lt;=k_n-2)</f>
        <v/>
      </c>
      <c r="C121">
        <f>IF(B121,SLOPE(OFFSET($Q$3,0,0,A121,1),OFFSET($P$3,0,0,A121,1)),0)</f>
        <v/>
      </c>
      <c r="D121">
        <f>IF(B121,INTERCEPT(OFFSET($Q$3,0,0,A121,1),OFFSET($P$3,0,0,A121,1)),0)</f>
        <v/>
      </c>
      <c r="E121">
        <f>IF(B121,SLOPE(OFFSET($Q$3,A121,0,k_n-A121,1),OFFSET($P$3,A121,0,k_n-A121,1)),0)</f>
        <v/>
      </c>
      <c r="F121">
        <f>IF(B121,INTERCEPT(OFFSET($Q$3,A121,0,k_n-A121,1),OFFSET($P$3,A121,0,k_n-A121,1)),0)</f>
        <v/>
      </c>
      <c r="G121">
        <f>IF(AND(B121,C121&lt;&gt;E121),(F121-D121)/(C121-E121),0)</f>
        <v/>
      </c>
      <c r="H121">
        <f>IF(B121,DEVSQ(OFFSET($Q$3,0,0,A121,1))-C121^2*DEVSQ(OFFSET($P$3,0,0,A121,1))+DEVSQ(OFFSET($Q$3,A121,0,k_n-A121,1))-E121^2*DEVSQ(OFFSET($P$3,A121,0,k_n-A121,1)),0)</f>
        <v/>
      </c>
      <c r="I121">
        <f>IF(AND(B121,E121&gt;C121),IF(AND(G121&gt;=$P$3,G121&lt;=INDEX($P$3:$P$22,k_n)),H121,1E+300),1E+300)</f>
        <v/>
      </c>
    </row>
    <row r="122">
      <c r="A122" t="n">
        <v>6</v>
      </c>
      <c r="B122">
        <f>AND(k_n&gt;=4,A122&lt;=k_n-2)</f>
        <v/>
      </c>
      <c r="C122">
        <f>IF(B122,SLOPE(OFFSET($Q$3,0,0,A122,1),OFFSET($P$3,0,0,A122,1)),0)</f>
        <v/>
      </c>
      <c r="D122">
        <f>IF(B122,INTERCEPT(OFFSET($Q$3,0,0,A122,1),OFFSET($P$3,0,0,A122,1)),0)</f>
        <v/>
      </c>
      <c r="E122">
        <f>IF(B122,SLOPE(OFFSET($Q$3,A122,0,k_n-A122,1),OFFSET($P$3,A122,0,k_n-A122,1)),0)</f>
        <v/>
      </c>
      <c r="F122">
        <f>IF(B122,INTERCEPT(OFFSET($Q$3,A122,0,k_n-A122,1),OFFSET($P$3,A122,0,k_n-A122,1)),0)</f>
        <v/>
      </c>
      <c r="G122">
        <f>IF(AND(B122,C122&lt;&gt;E122),(F122-D122)/(C122-E122),0)</f>
        <v/>
      </c>
      <c r="H122">
        <f>IF(B122,DEVSQ(OFFSET($Q$3,0,0,A122,1))-C122^2*DEVSQ(OFFSET($P$3,0,0,A122,1))+DEVSQ(OFFSET($Q$3,A122,0,k_n-A122,1))-E122^2*DEVSQ(OFFSET($P$3,A122,0,k_n-A122,1)),0)</f>
        <v/>
      </c>
      <c r="I122">
        <f>IF(AND(B122,E122&gt;C122),IF(AND(G122&gt;=$P$3,G122&lt;=INDEX($P$3:$P$22,k_n)),H122,1E+300),1E+300)</f>
        <v/>
      </c>
    </row>
    <row r="123">
      <c r="A123" t="n">
        <v>7</v>
      </c>
      <c r="B123">
        <f>AND(k_n&gt;=4,A123&lt;=k_n-2)</f>
        <v/>
      </c>
      <c r="C123">
        <f>IF(B123,SLOPE(OFFSET($Q$3,0,0,A123,1),OFFSET($P$3,0,0,A123,1)),0)</f>
        <v/>
      </c>
      <c r="D123">
        <f>IF(B123,INTERCEPT(OFFSET($Q$3,0,0,A123,1),OFFSET($P$3,0,0,A123,1)),0)</f>
        <v/>
      </c>
      <c r="E123">
        <f>IF(B123,SLOPE(OFFSET($Q$3,A123,0,k_n-A123,1),OFFSET($P$3,A123,0,k_n-A123,1)),0)</f>
        <v/>
      </c>
      <c r="F123">
        <f>IF(B123,INTERCEPT(OFFSET($Q$3,A123,0,k_n-A123,1),OFFSET($P$3,A123,0,k_n-A123,1)),0)</f>
        <v/>
      </c>
      <c r="G123">
        <f>IF(AND(B123,C123&lt;&gt;E123),(F123-D123)/(C123-E123),0)</f>
        <v/>
      </c>
      <c r="H123">
        <f>IF(B123,DEVSQ(OFFSET($Q$3,0,0,A123,1))-C123^2*DEVSQ(OFFSET($P$3,0,0,A123,1))+DEVSQ(OFFSET($Q$3,A123,0,k_n-A123,1))-E123^2*DEVSQ(OFFSET($P$3,A123,0,k_n-A123,1)),0)</f>
        <v/>
      </c>
      <c r="I123">
        <f>IF(AND(B123,E123&gt;C123),IF(AND(G123&gt;=$P$3,G123&lt;=INDEX($P$3:$P$22,k_n)),H123,1E+300),1E+300)</f>
        <v/>
      </c>
    </row>
    <row r="124">
      <c r="A124" t="n">
        <v>8</v>
      </c>
      <c r="B124">
        <f>AND(k_n&gt;=4,A124&lt;=k_n-2)</f>
        <v/>
      </c>
      <c r="C124">
        <f>IF(B124,SLOPE(OFFSET($Q$3,0,0,A124,1),OFFSET($P$3,0,0,A124,1)),0)</f>
        <v/>
      </c>
      <c r="D124">
        <f>IF(B124,INTERCEPT(OFFSET($Q$3,0,0,A124,1),OFFSET($P$3,0,0,A124,1)),0)</f>
        <v/>
      </c>
      <c r="E124">
        <f>IF(B124,SLOPE(OFFSET($Q$3,A124,0,k_n-A124,1),OFFSET($P$3,A124,0,k_n-A124,1)),0)</f>
        <v/>
      </c>
      <c r="F124">
        <f>IF(B124,INTERCEPT(OFFSET($Q$3,A124,0,k_n-A124,1),OFFSET($P$3,A124,0,k_n-A124,1)),0)</f>
        <v/>
      </c>
      <c r="G124">
        <f>IF(AND(B124,C124&lt;&gt;E124),(F124-D124)/(C124-E124),0)</f>
        <v/>
      </c>
      <c r="H124">
        <f>IF(B124,DEVSQ(OFFSET($Q$3,0,0,A124,1))-C124^2*DEVSQ(OFFSET($P$3,0,0,A124,1))+DEVSQ(OFFSET($Q$3,A124,0,k_n-A124,1))-E124^2*DEVSQ(OFFSET($P$3,A124,0,k_n-A124,1)),0)</f>
        <v/>
      </c>
      <c r="I124">
        <f>IF(AND(B124,E124&gt;C124),IF(AND(G124&gt;=$P$3,G124&lt;=INDEX($P$3:$P$22,k_n)),H124,1E+300),1E+300)</f>
        <v/>
      </c>
    </row>
    <row r="125">
      <c r="A125" t="n">
        <v>9</v>
      </c>
      <c r="B125">
        <f>AND(k_n&gt;=4,A125&lt;=k_n-2)</f>
        <v/>
      </c>
      <c r="C125">
        <f>IF(B125,SLOPE(OFFSET($Q$3,0,0,A125,1),OFFSET($P$3,0,0,A125,1)),0)</f>
        <v/>
      </c>
      <c r="D125">
        <f>IF(B125,INTERCEPT(OFFSET($Q$3,0,0,A125,1),OFFSET($P$3,0,0,A125,1)),0)</f>
        <v/>
      </c>
      <c r="E125">
        <f>IF(B125,SLOPE(OFFSET($Q$3,A125,0,k_n-A125,1),OFFSET($P$3,A125,0,k_n-A125,1)),0)</f>
        <v/>
      </c>
      <c r="F125">
        <f>IF(B125,INTERCEPT(OFFSET($Q$3,A125,0,k_n-A125,1),OFFSET($P$3,A125,0,k_n-A125,1)),0)</f>
        <v/>
      </c>
      <c r="G125">
        <f>IF(AND(B125,C125&lt;&gt;E125),(F125-D125)/(C125-E125),0)</f>
        <v/>
      </c>
      <c r="H125">
        <f>IF(B125,DEVSQ(OFFSET($Q$3,0,0,A125,1))-C125^2*DEVSQ(OFFSET($P$3,0,0,A125,1))+DEVSQ(OFFSET($Q$3,A125,0,k_n-A125,1))-E125^2*DEVSQ(OFFSET($P$3,A125,0,k_n-A125,1)),0)</f>
        <v/>
      </c>
      <c r="I125">
        <f>IF(AND(B125,E125&gt;C125),IF(AND(G125&gt;=$P$3,G125&lt;=INDEX($P$3:$P$22,k_n)),H125,1E+300),1E+300)</f>
        <v/>
      </c>
    </row>
    <row r="126">
      <c r="A126" t="n">
        <v>10</v>
      </c>
      <c r="B126">
        <f>AND(k_n&gt;=4,A126&lt;=k_n-2)</f>
        <v/>
      </c>
      <c r="C126">
        <f>IF(B126,SLOPE(OFFSET($Q$3,0,0,A126,1),OFFSET($P$3,0,0,A126,1)),0)</f>
        <v/>
      </c>
      <c r="D126">
        <f>IF(B126,INTERCEPT(OFFSET($Q$3,0,0,A126,1),OFFSET($P$3,0,0,A126,1)),0)</f>
        <v/>
      </c>
      <c r="E126">
        <f>IF(B126,SLOPE(OFFSET($Q$3,A126,0,k_n-A126,1),OFFSET($P$3,A126,0,k_n-A126,1)),0)</f>
        <v/>
      </c>
      <c r="F126">
        <f>IF(B126,INTERCEPT(OFFSET($Q$3,A126,0,k_n-A126,1),OFFSET($P$3,A126,0,k_n-A126,1)),0)</f>
        <v/>
      </c>
      <c r="G126">
        <f>IF(AND(B126,C126&lt;&gt;E126),(F126-D126)/(C126-E126),0)</f>
        <v/>
      </c>
      <c r="H126">
        <f>IF(B126,DEVSQ(OFFSET($Q$3,0,0,A126,1))-C126^2*DEVSQ(OFFSET($P$3,0,0,A126,1))+DEVSQ(OFFSET($Q$3,A126,0,k_n-A126,1))-E126^2*DEVSQ(OFFSET($P$3,A126,0,k_n-A126,1)),0)</f>
        <v/>
      </c>
      <c r="I126">
        <f>IF(AND(B126,E126&gt;C126),IF(AND(G126&gt;=$P$3,G126&lt;=INDEX($P$3:$P$22,k_n)),H126,1E+300),1E+300)</f>
        <v/>
      </c>
    </row>
    <row r="127">
      <c r="A127" t="n">
        <v>11</v>
      </c>
      <c r="B127">
        <f>AND(k_n&gt;=4,A127&lt;=k_n-2)</f>
        <v/>
      </c>
      <c r="C127">
        <f>IF(B127,SLOPE(OFFSET($Q$3,0,0,A127,1),OFFSET($P$3,0,0,A127,1)),0)</f>
        <v/>
      </c>
      <c r="D127">
        <f>IF(B127,INTERCEPT(OFFSET($Q$3,0,0,A127,1),OFFSET($P$3,0,0,A127,1)),0)</f>
        <v/>
      </c>
      <c r="E127">
        <f>IF(B127,SLOPE(OFFSET($Q$3,A127,0,k_n-A127,1),OFFSET($P$3,A127,0,k_n-A127,1)),0)</f>
        <v/>
      </c>
      <c r="F127">
        <f>IF(B127,INTERCEPT(OFFSET($Q$3,A127,0,k_n-A127,1),OFFSET($P$3,A127,0,k_n-A127,1)),0)</f>
        <v/>
      </c>
      <c r="G127">
        <f>IF(AND(B127,C127&lt;&gt;E127),(F127-D127)/(C127-E127),0)</f>
        <v/>
      </c>
      <c r="H127">
        <f>IF(B127,DEVSQ(OFFSET($Q$3,0,0,A127,1))-C127^2*DEVSQ(OFFSET($P$3,0,0,A127,1))+DEVSQ(OFFSET($Q$3,A127,0,k_n-A127,1))-E127^2*DEVSQ(OFFSET($P$3,A127,0,k_n-A127,1)),0)</f>
        <v/>
      </c>
      <c r="I127">
        <f>IF(AND(B127,E127&gt;C127),IF(AND(G127&gt;=$P$3,G127&lt;=INDEX($P$3:$P$22,k_n)),H127,1E+300),1E+300)</f>
        <v/>
      </c>
    </row>
    <row r="128">
      <c r="A128" t="n">
        <v>12</v>
      </c>
      <c r="B128">
        <f>AND(k_n&gt;=4,A128&lt;=k_n-2)</f>
        <v/>
      </c>
      <c r="C128">
        <f>IF(B128,SLOPE(OFFSET($Q$3,0,0,A128,1),OFFSET($P$3,0,0,A128,1)),0)</f>
        <v/>
      </c>
      <c r="D128">
        <f>IF(B128,INTERCEPT(OFFSET($Q$3,0,0,A128,1),OFFSET($P$3,0,0,A128,1)),0)</f>
        <v/>
      </c>
      <c r="E128">
        <f>IF(B128,SLOPE(OFFSET($Q$3,A128,0,k_n-A128,1),OFFSET($P$3,A128,0,k_n-A128,1)),0)</f>
        <v/>
      </c>
      <c r="F128">
        <f>IF(B128,INTERCEPT(OFFSET($Q$3,A128,0,k_n-A128,1),OFFSET($P$3,A128,0,k_n-A128,1)),0)</f>
        <v/>
      </c>
      <c r="G128">
        <f>IF(AND(B128,C128&lt;&gt;E128),(F128-D128)/(C128-E128),0)</f>
        <v/>
      </c>
      <c r="H128">
        <f>IF(B128,DEVSQ(OFFSET($Q$3,0,0,A128,1))-C128^2*DEVSQ(OFFSET($P$3,0,0,A128,1))+DEVSQ(OFFSET($Q$3,A128,0,k_n-A128,1))-E128^2*DEVSQ(OFFSET($P$3,A128,0,k_n-A128,1)),0)</f>
        <v/>
      </c>
      <c r="I128">
        <f>IF(AND(B128,E128&gt;C128),IF(AND(G128&gt;=$P$3,G128&lt;=INDEX($P$3:$P$22,k_n)),H128,1E+300),1E+300)</f>
        <v/>
      </c>
    </row>
    <row r="129">
      <c r="A129" t="n">
        <v>13</v>
      </c>
      <c r="B129">
        <f>AND(k_n&gt;=4,A129&lt;=k_n-2)</f>
        <v/>
      </c>
      <c r="C129">
        <f>IF(B129,SLOPE(OFFSET($Q$3,0,0,A129,1),OFFSET($P$3,0,0,A129,1)),0)</f>
        <v/>
      </c>
      <c r="D129">
        <f>IF(B129,INTERCEPT(OFFSET($Q$3,0,0,A129,1),OFFSET($P$3,0,0,A129,1)),0)</f>
        <v/>
      </c>
      <c r="E129">
        <f>IF(B129,SLOPE(OFFSET($Q$3,A129,0,k_n-A129,1),OFFSET($P$3,A129,0,k_n-A129,1)),0)</f>
        <v/>
      </c>
      <c r="F129">
        <f>IF(B129,INTERCEPT(OFFSET($Q$3,A129,0,k_n-A129,1),OFFSET($P$3,A129,0,k_n-A129,1)),0)</f>
        <v/>
      </c>
      <c r="G129">
        <f>IF(AND(B129,C129&lt;&gt;E129),(F129-D129)/(C129-E129),0)</f>
        <v/>
      </c>
      <c r="H129">
        <f>IF(B129,DEVSQ(OFFSET($Q$3,0,0,A129,1))-C129^2*DEVSQ(OFFSET($P$3,0,0,A129,1))+DEVSQ(OFFSET($Q$3,A129,0,k_n-A129,1))-E129^2*DEVSQ(OFFSET($P$3,A129,0,k_n-A129,1)),0)</f>
        <v/>
      </c>
      <c r="I129">
        <f>IF(AND(B129,E129&gt;C129),IF(AND(G129&gt;=$P$3,G129&lt;=INDEX($P$3:$P$22,k_n)),H129,1E+300),1E+300)</f>
        <v/>
      </c>
    </row>
    <row r="130">
      <c r="A130" t="n">
        <v>14</v>
      </c>
      <c r="B130">
        <f>AND(k_n&gt;=4,A130&lt;=k_n-2)</f>
        <v/>
      </c>
      <c r="C130">
        <f>IF(B130,SLOPE(OFFSET($Q$3,0,0,A130,1),OFFSET($P$3,0,0,A130,1)),0)</f>
        <v/>
      </c>
      <c r="D130">
        <f>IF(B130,INTERCEPT(OFFSET($Q$3,0,0,A130,1),OFFSET($P$3,0,0,A130,1)),0)</f>
        <v/>
      </c>
      <c r="E130">
        <f>IF(B130,SLOPE(OFFSET($Q$3,A130,0,k_n-A130,1),OFFSET($P$3,A130,0,k_n-A130,1)),0)</f>
        <v/>
      </c>
      <c r="F130">
        <f>IF(B130,INTERCEPT(OFFSET($Q$3,A130,0,k_n-A130,1),OFFSET($P$3,A130,0,k_n-A130,1)),0)</f>
        <v/>
      </c>
      <c r="G130">
        <f>IF(AND(B130,C130&lt;&gt;E130),(F130-D130)/(C130-E130),0)</f>
        <v/>
      </c>
      <c r="H130">
        <f>IF(B130,DEVSQ(OFFSET($Q$3,0,0,A130,1))-C130^2*DEVSQ(OFFSET($P$3,0,0,A130,1))+DEVSQ(OFFSET($Q$3,A130,0,k_n-A130,1))-E130^2*DEVSQ(OFFSET($P$3,A130,0,k_n-A130,1)),0)</f>
        <v/>
      </c>
      <c r="I130">
        <f>IF(AND(B130,E130&gt;C130),IF(AND(G130&gt;=$P$3,G130&lt;=INDEX($P$3:$P$22,k_n)),H130,1E+300),1E+300)</f>
        <v/>
      </c>
    </row>
    <row r="131">
      <c r="A131" t="n">
        <v>15</v>
      </c>
      <c r="B131">
        <f>AND(k_n&gt;=4,A131&lt;=k_n-2)</f>
        <v/>
      </c>
      <c r="C131">
        <f>IF(B131,SLOPE(OFFSET($Q$3,0,0,A131,1),OFFSET($P$3,0,0,A131,1)),0)</f>
        <v/>
      </c>
      <c r="D131">
        <f>IF(B131,INTERCEPT(OFFSET($Q$3,0,0,A131,1),OFFSET($P$3,0,0,A131,1)),0)</f>
        <v/>
      </c>
      <c r="E131">
        <f>IF(B131,SLOPE(OFFSET($Q$3,A131,0,k_n-A131,1),OFFSET($P$3,A131,0,k_n-A131,1)),0)</f>
        <v/>
      </c>
      <c r="F131">
        <f>IF(B131,INTERCEPT(OFFSET($Q$3,A131,0,k_n-A131,1),OFFSET($P$3,A131,0,k_n-A131,1)),0)</f>
        <v/>
      </c>
      <c r="G131">
        <f>IF(AND(B131,C131&lt;&gt;E131),(F131-D131)/(C131-E131),0)</f>
        <v/>
      </c>
      <c r="H131">
        <f>IF(B131,DEVSQ(OFFSET($Q$3,0,0,A131,1))-C131^2*DEVSQ(OFFSET($P$3,0,0,A131,1))+DEVSQ(OFFSET($Q$3,A131,0,k_n-A131,1))-E131^2*DEVSQ(OFFSET($P$3,A131,0,k_n-A131,1)),0)</f>
        <v/>
      </c>
      <c r="I131">
        <f>IF(AND(B131,E131&gt;C131),IF(AND(G131&gt;=$P$3,G131&lt;=INDEX($P$3:$P$22,k_n)),H131,1E+300),1E+300)</f>
        <v/>
      </c>
    </row>
    <row r="132">
      <c r="A132" t="n">
        <v>16</v>
      </c>
      <c r="B132">
        <f>AND(k_n&gt;=4,A132&lt;=k_n-2)</f>
        <v/>
      </c>
      <c r="C132">
        <f>IF(B132,SLOPE(OFFSET($Q$3,0,0,A132,1),OFFSET($P$3,0,0,A132,1)),0)</f>
        <v/>
      </c>
      <c r="D132">
        <f>IF(B132,INTERCEPT(OFFSET($Q$3,0,0,A132,1),OFFSET($P$3,0,0,A132,1)),0)</f>
        <v/>
      </c>
      <c r="E132">
        <f>IF(B132,SLOPE(OFFSET($Q$3,A132,0,k_n-A132,1),OFFSET($P$3,A132,0,k_n-A132,1)),0)</f>
        <v/>
      </c>
      <c r="F132">
        <f>IF(B132,INTERCEPT(OFFSET($Q$3,A132,0,k_n-A132,1),OFFSET($P$3,A132,0,k_n-A132,1)),0)</f>
        <v/>
      </c>
      <c r="G132">
        <f>IF(AND(B132,C132&lt;&gt;E132),(F132-D132)/(C132-E132),0)</f>
        <v/>
      </c>
      <c r="H132">
        <f>IF(B132,DEVSQ(OFFSET($Q$3,0,0,A132,1))-C132^2*DEVSQ(OFFSET($P$3,0,0,A132,1))+DEVSQ(OFFSET($Q$3,A132,0,k_n-A132,1))-E132^2*DEVSQ(OFFSET($P$3,A132,0,k_n-A132,1)),0)</f>
        <v/>
      </c>
      <c r="I132">
        <f>IF(AND(B132,E132&gt;C132),IF(AND(G132&gt;=$P$3,G132&lt;=INDEX($P$3:$P$22,k_n)),H132,1E+300),1E+300)</f>
        <v/>
      </c>
    </row>
    <row r="133">
      <c r="A133" t="n">
        <v>17</v>
      </c>
      <c r="B133">
        <f>AND(k_n&gt;=4,A133&lt;=k_n-2)</f>
        <v/>
      </c>
      <c r="C133">
        <f>IF(B133,SLOPE(OFFSET($Q$3,0,0,A133,1),OFFSET($P$3,0,0,A133,1)),0)</f>
        <v/>
      </c>
      <c r="D133">
        <f>IF(B133,INTERCEPT(OFFSET($Q$3,0,0,A133,1),OFFSET($P$3,0,0,A133,1)),0)</f>
        <v/>
      </c>
      <c r="E133">
        <f>IF(B133,SLOPE(OFFSET($Q$3,A133,0,k_n-A133,1),OFFSET($P$3,A133,0,k_n-A133,1)),0)</f>
        <v/>
      </c>
      <c r="F133">
        <f>IF(B133,INTERCEPT(OFFSET($Q$3,A133,0,k_n-A133,1),OFFSET($P$3,A133,0,k_n-A133,1)),0)</f>
        <v/>
      </c>
      <c r="G133">
        <f>IF(AND(B133,C133&lt;&gt;E133),(F133-D133)/(C133-E133),0)</f>
        <v/>
      </c>
      <c r="H133">
        <f>IF(B133,DEVSQ(OFFSET($Q$3,0,0,A133,1))-C133^2*DEVSQ(OFFSET($P$3,0,0,A133,1))+DEVSQ(OFFSET($Q$3,A133,0,k_n-A133,1))-E133^2*DEVSQ(OFFSET($P$3,A133,0,k_n-A133,1)),0)</f>
        <v/>
      </c>
      <c r="I133">
        <f>IF(AND(B133,E133&gt;C133),IF(AND(G133&gt;=$P$3,G133&lt;=INDEX($P$3:$P$22,k_n)),H133,1E+300),1E+300)</f>
        <v/>
      </c>
    </row>
    <row r="134">
      <c r="A134" t="n">
        <v>18</v>
      </c>
      <c r="B134">
        <f>AND(k_n&gt;=4,A134&lt;=k_n-2)</f>
        <v/>
      </c>
      <c r="C134">
        <f>IF(B134,SLOPE(OFFSET($Q$3,0,0,A134,1),OFFSET($P$3,0,0,A134,1)),0)</f>
        <v/>
      </c>
      <c r="D134">
        <f>IF(B134,INTERCEPT(OFFSET($Q$3,0,0,A134,1),OFFSET($P$3,0,0,A134,1)),0)</f>
        <v/>
      </c>
      <c r="E134">
        <f>IF(B134,SLOPE(OFFSET($Q$3,A134,0,k_n-A134,1),OFFSET($P$3,A134,0,k_n-A134,1)),0)</f>
        <v/>
      </c>
      <c r="F134">
        <f>IF(B134,INTERCEPT(OFFSET($Q$3,A134,0,k_n-A134,1),OFFSET($P$3,A134,0,k_n-A134,1)),0)</f>
        <v/>
      </c>
      <c r="G134">
        <f>IF(AND(B134,C134&lt;&gt;E134),(F134-D134)/(C134-E134),0)</f>
        <v/>
      </c>
      <c r="H134">
        <f>IF(B134,DEVSQ(OFFSET($Q$3,0,0,A134,1))-C134^2*DEVSQ(OFFSET($P$3,0,0,A134,1))+DEVSQ(OFFSET($Q$3,A134,0,k_n-A134,1))-E134^2*DEVSQ(OFFSET($P$3,A134,0,k_n-A134,1)),0)</f>
        <v/>
      </c>
      <c r="I134">
        <f>IF(AND(B134,E134&gt;C134),IF(AND(G134&gt;=$P$3,G134&lt;=INDEX($P$3:$P$22,k_n)),H134,1E+300),1E+300)</f>
        <v/>
      </c>
    </row>
    <row r="135">
      <c r="A135" s="7" t="inlineStr">
        <is>
          <t>Log-Log gefunden</t>
        </is>
      </c>
      <c r="B135">
        <f>MIN($I$118:$I$134)&lt;1E+299</f>
        <v/>
      </c>
    </row>
    <row r="136">
      <c r="A136" s="7" t="inlineStr">
        <is>
          <t>Log-Log Zeile</t>
        </is>
      </c>
      <c r="B136">
        <f>IF(k_llok,MATCH(MIN($I$118:$I$134),$I$118:$I$134,0),1)</f>
        <v/>
      </c>
    </row>
    <row r="137">
      <c r="A137" s="7" t="inlineStr">
        <is>
          <t>k_llk</t>
        </is>
      </c>
      <c r="B137">
        <f>INDEX($A$118:$A$134,k_llrow)</f>
        <v/>
      </c>
    </row>
    <row r="138">
      <c r="A138" s="7" t="inlineStr">
        <is>
          <t>k_llbl</t>
        </is>
      </c>
      <c r="B138">
        <f>INDEX($C$118:$C$134,k_llrow)</f>
        <v/>
      </c>
    </row>
    <row r="139">
      <c r="A139" s="7" t="inlineStr">
        <is>
          <t>k_llal</t>
        </is>
      </c>
      <c r="B139">
        <f>INDEX($D$118:$D$134,k_llrow)</f>
        <v/>
      </c>
    </row>
    <row r="140">
      <c r="A140" s="7" t="inlineStr">
        <is>
          <t>k_llbr</t>
        </is>
      </c>
      <c r="B140">
        <f>INDEX($E$118:$E$134,k_llrow)</f>
        <v/>
      </c>
    </row>
    <row r="141">
      <c r="A141" s="7" t="inlineStr">
        <is>
          <t>k_llar</t>
        </is>
      </c>
      <c r="B141">
        <f>INDEX($F$118:$F$134,k_llrow)</f>
        <v/>
      </c>
    </row>
    <row r="142">
      <c r="A142" s="7" t="inlineStr">
        <is>
          <t>k_llu</t>
        </is>
      </c>
      <c r="B142">
        <f>INDEX($G$118:$G$134,k_llrow)</f>
        <v/>
      </c>
    </row>
    <row r="143">
      <c r="A143" s="7" t="inlineStr">
        <is>
          <t>Log-Log x</t>
        </is>
      </c>
      <c r="B143">
        <f>IF(k_llok,EXP(k_llu),"")</f>
        <v/>
      </c>
    </row>
    <row r="145">
      <c r="A145" s="57" t="inlineStr">
        <is>
          <t>Diskrete Verfahren</t>
        </is>
      </c>
    </row>
    <row r="146">
      <c r="A146" s="7" t="inlineStr">
        <is>
          <t>ModDmax: erste Stufe mit Anstieg &gt; 0,4</t>
        </is>
      </c>
      <c r="B146" s="7">
        <f t="array" ref="B146">IFERROR(MATCH(1,($Y$3:$Y$22&gt;0.4)*($F$3:$F$22&gt;=2)*($F$3:$F$22&lt;=k_n),0),0)</f>
        <v/>
      </c>
    </row>
    <row r="147">
      <c r="A147" s="7" t="inlineStr">
        <is>
          <t>ModDmax Start x</t>
        </is>
      </c>
      <c r="B147">
        <f>IF(k_mdk&gt;1,INDEX(Calc!$G$3:$G$22,k_mdk-1),0)</f>
        <v/>
      </c>
    </row>
    <row r="148">
      <c r="A148" s="7" t="inlineStr">
        <is>
          <t>ModDmax Start La</t>
        </is>
      </c>
      <c r="B148">
        <f>IF(k_mdk&gt;1,INDEX(Calc!$I$3:$I$22,k_mdk-1),0)</f>
        <v/>
      </c>
    </row>
    <row r="149">
      <c r="A149" s="7" t="inlineStr">
        <is>
          <t>Baldari Stufe</t>
        </is>
      </c>
      <c r="B149" s="7">
        <f t="array" ref="B149">IFERROR(MATCH(1,$Z$3:$Z$22,0),0)</f>
        <v/>
      </c>
    </row>
    <row r="151">
      <c r="A151" s="57" t="inlineStr">
        <is>
          <t>Hilfsgeraden (aus Blatt Guide)</t>
        </is>
      </c>
    </row>
    <row r="152">
      <c r="A152" s="7" t="inlineStr">
        <is>
          <t>k_gok</t>
        </is>
      </c>
      <c r="B152">
        <f>Guide!$B$3</f>
        <v/>
      </c>
    </row>
    <row r="153">
      <c r="A153" s="7" t="inlineStr">
        <is>
          <t>k_gx0</t>
        </is>
      </c>
      <c r="B153">
        <f>k_lo</f>
        <v/>
      </c>
    </row>
    <row r="154">
      <c r="A154" s="7" t="inlineStr">
        <is>
          <t>k_gk1</t>
        </is>
      </c>
      <c r="B154">
        <f>Guide!$B$4</f>
        <v/>
      </c>
    </row>
    <row r="155">
      <c r="A155" s="7" t="inlineStr">
        <is>
          <t>k_gk2</t>
        </is>
      </c>
      <c r="B155">
        <f>Guide!$B$5</f>
        <v/>
      </c>
    </row>
    <row r="156">
      <c r="A156" s="7" t="inlineStr">
        <is>
          <t>k_gx3</t>
        </is>
      </c>
      <c r="B156">
        <f>k_hi</f>
        <v/>
      </c>
    </row>
    <row r="157">
      <c r="A157" s="7" t="inlineStr">
        <is>
          <t>k_gy0</t>
        </is>
      </c>
      <c r="B157">
        <f>Guide!$B$8</f>
        <v/>
      </c>
    </row>
    <row r="158">
      <c r="A158" s="7" t="inlineStr">
        <is>
          <t>k_gy1</t>
        </is>
      </c>
      <c r="B158">
        <f>Guide!$B$9</f>
        <v/>
      </c>
    </row>
    <row r="159">
      <c r="A159" s="7" t="inlineStr">
        <is>
          <t>k_gy2</t>
        </is>
      </c>
      <c r="B159">
        <f>Guide!$B$10</f>
        <v/>
      </c>
    </row>
    <row r="160">
      <c r="A160" s="7" t="inlineStr">
        <is>
          <t>k_gy3</t>
        </is>
      </c>
      <c r="B160">
        <f>Guide!$B$11</f>
        <v/>
      </c>
    </row>
    <row r="161">
      <c r="A161" s="7" t="inlineStr">
        <is>
          <t>Hilfsgeraden RMSE</t>
        </is>
      </c>
      <c r="B161">
        <f>IF(k_gok,SQRT(SUMPRODUCT(Calc!$K$3:$K$22,(Calc!$I$3:$I$22-$AA$3:$AA$22)^2)/k_n),"")</f>
        <v/>
      </c>
    </row>
    <row r="163">
      <c r="A163" s="57" t="inlineStr">
        <is>
          <t>Ergebnis LT1 / LT2</t>
        </is>
      </c>
    </row>
    <row r="164">
      <c r="A164" s="7" t="inlineStr">
        <is>
          <t>LT1 Algorithmus x</t>
        </is>
      </c>
      <c r="B164">
        <f>INDEX(VCalc!$C$5:$W$25,k_m1,1+5*(k_model-1)+0)</f>
        <v/>
      </c>
    </row>
    <row r="165">
      <c r="A165" s="7" t="inlineStr">
        <is>
          <t>LT1 Fehler</t>
        </is>
      </c>
      <c r="B165">
        <f>INDEX(VCalc!$C$5:$W$25,k_m1,1+5*(k_model-1)+2)</f>
        <v/>
      </c>
    </row>
    <row r="166">
      <c r="A166" s="7" t="inlineStr">
        <is>
          <t>LT1 Warnung</t>
        </is>
      </c>
      <c r="B166">
        <f>INDEX(VCalc!$C$5:$W$25,k_m1,1+5*(k_model-1)+4)</f>
        <v/>
      </c>
    </row>
    <row r="167">
      <c r="A167" s="7" t="inlineStr">
        <is>
          <t>LT2 Algorithmus x</t>
        </is>
      </c>
      <c r="B167">
        <f>INDEX(VCalc!$C$5:$W$25,k_m2,1+5*(k_model-1)+0)</f>
        <v/>
      </c>
    </row>
    <row r="168">
      <c r="A168" s="7" t="inlineStr">
        <is>
          <t>LT2 Fehler</t>
        </is>
      </c>
      <c r="B168">
        <f>INDEX(VCalc!$C$5:$W$25,k_m2,1+5*(k_model-1)+2)</f>
        <v/>
      </c>
    </row>
    <row r="169">
      <c r="A169" s="7" t="inlineStr">
        <is>
          <t>LT2 Warnung</t>
        </is>
      </c>
      <c r="B169">
        <f>INDEX(VCalc!$C$5:$W$25,k_m2,1+5*(k_model-1)+4)</f>
        <v/>
      </c>
    </row>
    <row r="170">
      <c r="A170" s="7" t="inlineStr">
        <is>
          <t>LT1 manuell</t>
        </is>
      </c>
      <c r="B170">
        <f>ISNUMBER(Eingabe!$I$15)</f>
        <v/>
      </c>
    </row>
    <row r="171">
      <c r="A171" s="7" t="inlineStr">
        <is>
          <t>LT2 manuell</t>
        </is>
      </c>
      <c r="B171">
        <f>ISNUMBER(Eingabe!$I$16)</f>
        <v/>
      </c>
    </row>
    <row r="172">
      <c r="A172" s="7" t="inlineStr">
        <is>
          <t>Auswertung möglich</t>
        </is>
      </c>
      <c r="B172">
        <f>AND(k_n&gt;=4,NOT(k_dup),k_fitok)</f>
        <v/>
      </c>
    </row>
    <row r="173">
      <c r="A173" s="7" t="inlineStr">
        <is>
          <t>Fehlermeldung</t>
        </is>
      </c>
      <c r="B173">
        <f>IF(k_n&lt;4,"Für eine Auswertung sind mindestens 4 gültige Stufen mit Belastung und Laktat nötig (aktuell "&amp;k_n&amp;").",IF(k_dup,"Zwei Stufen haben dieselbe Belastung. Bitte korrigieren.",IF(NOT(k_fitok),"Das gewählte Kurvenmodell lässt sich mit diesen Daten nicht anpassen.","")))</f>
        <v/>
      </c>
    </row>
    <row r="174">
      <c r="A174" s="7" t="inlineStr">
        <is>
          <t>LT1 x</t>
        </is>
      </c>
      <c r="B174">
        <f>IF(NOT(k_ok),"",IF(k_man1,MIN(k_hi,MAX(k_lo,Eingabe!$I$15)),k_a1x))</f>
        <v/>
      </c>
    </row>
    <row r="175">
      <c r="A175" s="7" t="inlineStr">
        <is>
          <t>LT2 x</t>
        </is>
      </c>
      <c r="B175">
        <f>IF(NOT(k_ok),"",IF(k_man2,MIN(k_hi,MAX(k_lo,Eingabe!$I$16)),k_a2x))</f>
        <v/>
      </c>
    </row>
    <row r="176">
      <c r="A176" s="7" t="inlineStr">
        <is>
          <t>LT1 Laktat</t>
        </is>
      </c>
      <c r="B176">
        <f>IF(ISNUMBER(k_x1),IF(k_mexp,k_ea+k_eb*EXP(k_ec*((k_x1)-k_mx)/k_sx),k_s0+((k_x1)-k_mx)/k_sx*(k_s1+((k_x1)-k_mx)/k_sx*(k_s2+((k_x1)-k_mx)/k_sx*(k_s3+((k_x1)-k_mx)/k_sx*k_s4)))),"")</f>
        <v/>
      </c>
    </row>
    <row r="177">
      <c r="A177" s="7" t="inlineStr">
        <is>
          <t>LT2 Laktat</t>
        </is>
      </c>
      <c r="B177">
        <f>IF(ISNUMBER(k_x2),IF(k_mexp,k_ea+k_eb*EXP(k_ec*((k_x2)-k_mx)/k_sx),k_s0+((k_x2)-k_mx)/k_sx*(k_s1+((k_x2)-k_mx)/k_sx*(k_s2+((k_x2)-k_mx)/k_sx*(k_s3+((k_x2)-k_mx)/k_sx*k_s4)))),"")</f>
        <v/>
      </c>
    </row>
    <row r="178">
      <c r="A178" s="7" t="inlineStr">
        <is>
          <t>LT1 HF</t>
        </is>
      </c>
      <c r="B178">
        <f>IF(ISNUMBER(k_x1),IF(k_hrok,k_h0+k_h1*(k_x1)+k_h2*(k_x1)^2,""),"")</f>
        <v/>
      </c>
    </row>
    <row r="179">
      <c r="A179" s="7" t="inlineStr">
        <is>
          <t>LT2 HF</t>
        </is>
      </c>
      <c r="B179">
        <f>IF(ISNUMBER(k_x2),IF(k_hrok,k_h0+k_h1*(k_x2)+k_h2*(k_x2)^2,""),"")</f>
        <v/>
      </c>
    </row>
    <row r="180">
      <c r="A180" s="7" t="inlineStr">
        <is>
          <t>Zonen möglich</t>
        </is>
      </c>
      <c r="B180">
        <f>AND(ISNUMBER(k_x1),ISNUMBER(k_x2),N(k_x2)&gt;N(k_x1))</f>
        <v/>
      </c>
    </row>
    <row r="182">
      <c r="A182" s="57" t="inlineStr">
        <is>
          <t>Trainingsbereiche: Regelwert, manuell, verwendet</t>
        </is>
      </c>
    </row>
    <row r="183">
      <c r="A183" s="7" t="inlineStr">
        <is>
          <t>A0|A1</t>
        </is>
      </c>
      <c r="B183">
        <f>IF(k_zok,Eingabe!$I$19/100*k_x1,"")</f>
        <v/>
      </c>
      <c r="C183">
        <f>ISNUMBER(Eingabe!$I$26)</f>
        <v/>
      </c>
      <c r="D183">
        <f>IF(k_zok,IF(C183,Eingabe!$I$26,B183),"")</f>
        <v/>
      </c>
    </row>
    <row r="184">
      <c r="A184" s="7" t="inlineStr">
        <is>
          <t>A1|A2</t>
        </is>
      </c>
      <c r="B184">
        <f>IF(k_zok,k_x1,"")</f>
        <v/>
      </c>
      <c r="C184">
        <f>ISNUMBER(Eingabe!$I$27)</f>
        <v/>
      </c>
      <c r="D184">
        <f>IF(k_zok,IF(C184,Eingabe!$I$27,B184),"")</f>
        <v/>
      </c>
    </row>
    <row r="185">
      <c r="A185" s="7" t="inlineStr">
        <is>
          <t>A2|A3</t>
        </is>
      </c>
      <c r="B185">
        <f>IF(k_zok,k_x1+Eingabe!$I$20/100*(k_x2-k_x1),"")</f>
        <v/>
      </c>
      <c r="C185">
        <f>ISNUMBER(Eingabe!$I$28)</f>
        <v/>
      </c>
      <c r="D185">
        <f>IF(k_zok,IF(C185,Eingabe!$I$28,B185),"")</f>
        <v/>
      </c>
    </row>
    <row r="186">
      <c r="A186" s="7" t="inlineStr">
        <is>
          <t>A3|A4</t>
        </is>
      </c>
      <c r="B186">
        <f>IF(k_zok,Eingabe!$I$21/100*k_x2,"")</f>
        <v/>
      </c>
      <c r="C186">
        <f>ISNUMBER(Eingabe!$I$29)</f>
        <v/>
      </c>
      <c r="D186">
        <f>IF(k_zok,IF(C186,Eingabe!$I$29,B186),"")</f>
        <v/>
      </c>
    </row>
    <row r="187">
      <c r="A187" s="7" t="inlineStr">
        <is>
          <t>A4 Ende</t>
        </is>
      </c>
      <c r="B187">
        <f>IF(k_zok,MAX(Eingabe!$I$21/100*k_x2,Eingabe!$I$22/100*k_hi),"")</f>
        <v/>
      </c>
      <c r="C187">
        <f>ISNUMBER(Eingabe!$I$30)</f>
        <v/>
      </c>
      <c r="D187">
        <f>IF(k_zok,IF(C187,Eingabe!$I$30,B187),"")</f>
        <v/>
      </c>
    </row>
    <row r="189">
      <c r="A189" s="57" t="inlineStr">
        <is>
          <t>Hinweise zur Auswertung (Kandidaten und laufende Nummer)</t>
        </is>
      </c>
    </row>
    <row r="190">
      <c r="B190">
        <f>IF(k_ok,IFERROR(IF(AND(k_model=2,k_n&lt;5),"Nur "&amp;k_n&amp;" Messpunkte für ein Polynom 3. Grades. Der kubische Fit ist mit so wenigen Punkten instabil.",""),""),"")</f>
        <v/>
      </c>
      <c r="C190">
        <f>IF(B190&lt;&gt;"",1,0)+0</f>
        <v/>
      </c>
    </row>
    <row r="191">
      <c r="B191">
        <f>IF(k_ok,IFERROR(IF(AND(k_model=3,k_n&lt;8),"Polynom 4. Grades mit "&amp;k_n&amp;" Punkten für 5 Parameter: Risiko künstlicher Kurvenstruktur durch Messrauschen.",""),""),"")</f>
        <v/>
      </c>
      <c r="C191">
        <f>IF(B191&lt;&gt;"",1,0)+C190</f>
        <v/>
      </c>
    </row>
    <row r="192">
      <c r="B192">
        <f>IF(k_ok,IFERROR(IF(k_exact,"Das Modell hat so viele Parameter wie Messpunkte und interpoliert exakt. R² = 1 ist hier bedeutungslos.",""),""),"")</f>
        <v/>
      </c>
      <c r="C192">
        <f>IF(B192&lt;&gt;"",1,0)+C191</f>
        <v/>
      </c>
    </row>
    <row r="193">
      <c r="B193">
        <f>IF(k_ok,IFERROR(IF(k_mind1&lt;-0.05,"Der Fit fällt innerhalb des Messbereichs ab. Das ist physiologisch nicht plausibel; Schwellen aus Ableitungen sind dann unsicher.",""),""),"")</f>
        <v/>
      </c>
      <c r="C193">
        <f>IF(B193&lt;&gt;"",1,0)+C192</f>
        <v/>
      </c>
    </row>
    <row r="194">
      <c r="B194">
        <f>IF(k_ok,IFERROR(IF(AND(k_model=3,k_nwp&gt;1),"Das Polynom 4. Grades hat "&amp;k_nwp&amp;" Wendepunkte im Messbereich.",""),""),"")</f>
        <v/>
      </c>
      <c r="C194">
        <f>IF(B194&lt;&gt;"",1,0)+C193</f>
        <v/>
      </c>
    </row>
    <row r="195">
      <c r="B195">
        <f>IF(k_ok,IFERROR(IF(k_lamax&lt;4,"Maximales Laktat "&amp;FIXED(k_lamax,2,TRUE)&amp;" mmol/L: 4 mmol/L wurden nicht erreicht. Ausbelastung prüfen.",""),""),"")</f>
        <v/>
      </c>
      <c r="C195">
        <f>IF(B195&lt;&gt;"",1,0)+C194</f>
        <v/>
      </c>
    </row>
    <row r="196">
      <c r="B196">
        <f>IF(k_ok,IFERROR(IF(NOT(ISNUMBER(k_a1x)),"LT1 ("&amp;Eingabe!$I$5&amp;") nicht bestimmbar: "&amp;k_a1err&amp;". Anderes Verfahren wählen oder LT1 manuell setzen.",""),""),"")</f>
        <v/>
      </c>
      <c r="C196">
        <f>IF(B196&lt;&gt;"",1,0)+C195</f>
        <v/>
      </c>
    </row>
    <row r="197">
      <c r="B197">
        <f>IF(k_ok,IFERROR(IF(NOT(ISNUMBER(k_a2x)),"LT2 ("&amp;Eingabe!$I$6&amp;") nicht bestimmbar: "&amp;k_a2err&amp;". Anderes Verfahren wählen oder LT2 manuell setzen.",""),""),"")</f>
        <v/>
      </c>
      <c r="C197">
        <f>IF(B197&lt;&gt;"",1,0)+C196</f>
        <v/>
      </c>
    </row>
    <row r="198">
      <c r="B198">
        <f>IF(k_ok,IFERROR(IF(AND(ISNUMBER(k_x1),ISNUMBER(k_x2),N(k_x2)&lt;=N(k_x1)),"LT2 liegt nicht oberhalb von LT1. Trainingsbereiche können nicht berechnet werden.",""),""),"")</f>
        <v/>
      </c>
      <c r="C198">
        <f>IF(B198&lt;&gt;"",1,0)+C197</f>
        <v/>
      </c>
    </row>
    <row r="199">
      <c r="B199">
        <f>IF(k_ok,IFERROR(IF(k_a1warn&lt;&gt;"","LT1: "&amp;k_a1warn&amp;".",""),""),"")</f>
        <v/>
      </c>
      <c r="C199">
        <f>IF(B199&lt;&gt;"",1,0)+C198</f>
        <v/>
      </c>
    </row>
    <row r="200">
      <c r="B200">
        <f>IF(k_ok,IFERROR(IF(k_a2warn&lt;&gt;"","LT2: "&amp;k_a2warn&amp;".",""),""),"")</f>
        <v/>
      </c>
      <c r="C200">
        <f>IF(B200&lt;&gt;"",1,0)+C199</f>
        <v/>
      </c>
    </row>
    <row r="201">
      <c r="B201">
        <f>IF(k_ok,IFERROR(IF(AND(k_zok,OR(k_z1&lt;=k_z0,k_z2&lt;=k_z1,k_z3&lt;=k_z2,k_z4&lt;=k_z3)),"Die Bereichsgrenzen sind nicht mehr aufsteigend (z. B. nach Verschieben von LT1). Bitte Grenzen anpassen oder zurücksetzen.",""),""),"")</f>
        <v/>
      </c>
      <c r="C201">
        <f>IF(B201&lt;&gt;"",1,0)+C200</f>
        <v/>
      </c>
    </row>
    <row r="202">
      <c r="B202">
        <f>IF(k_ok,IFERROR(IF(OR(k_man1,k_man2),"Mindestens eine Schwelle wurde manuell gesetzt. Im Bericht wird das gekennzeichnet.",""),""),"")</f>
        <v/>
      </c>
      <c r="C202">
        <f>IF(B202&lt;&gt;"",1,0)+C201</f>
        <v/>
      </c>
    </row>
    <row r="203">
      <c r="B203">
        <f>IF(k_ok,IFERROR(IF(AND(ISNUMBER(k_dur),N(k_dur)&lt;3),"Stufen unter 3 min: Blutlaktat hinkt der Belastung nach, die Kurve verschiebt sich nach rechts.",""),""),"")</f>
        <v/>
      </c>
      <c r="C203">
        <f>IF(B203&lt;&gt;"",1,0)+C202</f>
        <v/>
      </c>
    </row>
    <row r="204">
      <c r="B204">
        <f>IF(k_ok,IFERROR(IF(NOT(k_hrok),"Zu wenige Herzfrequenzwerte für ein HF-Modell (mind. 3).",""),""),"")</f>
        <v/>
      </c>
      <c r="C204">
        <f>IF(B204&lt;&gt;"",1,0)+C203</f>
        <v/>
      </c>
    </row>
    <row r="206">
      <c r="A206" s="57" t="inlineStr">
        <is>
          <t>Tabellarische Aufstellung: Laktat 2,0 … max in 0,5-Schritten (gewähltes Modell)</t>
        </is>
      </c>
    </row>
    <row r="207">
      <c r="A207" s="57" t="inlineStr">
        <is>
          <t>L</t>
        </is>
      </c>
      <c r="B207" s="57" t="inlineStr">
        <is>
          <t>Anzahl</t>
        </is>
      </c>
      <c r="C207" s="57" t="inlineStr">
        <is>
          <t>Index</t>
        </is>
      </c>
      <c r="D207" s="57" t="inlineStr">
        <is>
          <t>x</t>
        </is>
      </c>
      <c r="E207" s="57" t="inlineStr">
        <is>
          <t>gültig</t>
        </is>
      </c>
      <c r="F207" s="57" t="inlineStr">
        <is>
          <t>lfd.</t>
        </is>
      </c>
    </row>
    <row r="208">
      <c r="A208" t="n">
        <v>2</v>
      </c>
      <c r="B208">
        <f>SUMPRODUCT((Grid!$Q$2:$Q$1001&lt;A208)*(Grid!$Q$3:$Q$1002&gt;=A208))</f>
        <v/>
      </c>
      <c r="C208" s="7">
        <f t="array" ref="C208">IF(B208&gt;0,MATCH(1,(Grid!$Q$2:$Q$1001&lt;A208)*(Grid!$Q$3:$Q$1002&gt;=A208),0),0)</f>
        <v/>
      </c>
      <c r="D208">
        <f>IF(C208&gt;0,INDEX(Grid!$B$2:$B$1002,C208)+(A208-INDEX(Grid!$Q$2:$Q$1002,C208))/(INDEX(Grid!$Q$2:$Q$1002,C208+1)-INDEX(Grid!$Q$2:$Q$1002,C208))*(INDEX(Grid!$B$2:$B$1002,C208+1)-INDEX(Grid!$B$2:$B$1002,C208)),"")</f>
        <v/>
      </c>
      <c r="E208">
        <f>AND(k_ok,A208&lt;=FLOOR(k_lamax*2,1)/2+1E-9,A208&gt;=Grid!$Q$2,A208&lt;=Grid!$Q$1002,ISNUMBER(D208))</f>
        <v/>
      </c>
      <c r="F208">
        <f>IF(E208,1,0)+0</f>
        <v/>
      </c>
    </row>
    <row r="209">
      <c r="A209" t="n">
        <v>2.5</v>
      </c>
      <c r="B209">
        <f>SUMPRODUCT((Grid!$Q$2:$Q$1001&lt;A209)*(Grid!$Q$3:$Q$1002&gt;=A209))</f>
        <v/>
      </c>
      <c r="C209" s="7">
        <f t="array" ref="C209">IF(B209&gt;0,MATCH(1,(Grid!$Q$2:$Q$1001&lt;A209)*(Grid!$Q$3:$Q$1002&gt;=A209),0),0)</f>
        <v/>
      </c>
      <c r="D209">
        <f>IF(C209&gt;0,INDEX(Grid!$B$2:$B$1002,C209)+(A209-INDEX(Grid!$Q$2:$Q$1002,C209))/(INDEX(Grid!$Q$2:$Q$1002,C209+1)-INDEX(Grid!$Q$2:$Q$1002,C209))*(INDEX(Grid!$B$2:$B$1002,C209+1)-INDEX(Grid!$B$2:$B$1002,C209)),"")</f>
        <v/>
      </c>
      <c r="E209">
        <f>AND(k_ok,A209&lt;=FLOOR(k_lamax*2,1)/2+1E-9,A209&gt;=Grid!$Q$2,A209&lt;=Grid!$Q$1002,ISNUMBER(D209))</f>
        <v/>
      </c>
      <c r="F209">
        <f>IF(E209,1,0)+F208</f>
        <v/>
      </c>
    </row>
    <row r="210">
      <c r="A210" t="n">
        <v>3</v>
      </c>
      <c r="B210">
        <f>SUMPRODUCT((Grid!$Q$2:$Q$1001&lt;A210)*(Grid!$Q$3:$Q$1002&gt;=A210))</f>
        <v/>
      </c>
      <c r="C210" s="7">
        <f t="array" ref="C210">IF(B210&gt;0,MATCH(1,(Grid!$Q$2:$Q$1001&lt;A210)*(Grid!$Q$3:$Q$1002&gt;=A210),0),0)</f>
        <v/>
      </c>
      <c r="D210">
        <f>IF(C210&gt;0,INDEX(Grid!$B$2:$B$1002,C210)+(A210-INDEX(Grid!$Q$2:$Q$1002,C210))/(INDEX(Grid!$Q$2:$Q$1002,C210+1)-INDEX(Grid!$Q$2:$Q$1002,C210))*(INDEX(Grid!$B$2:$B$1002,C210+1)-INDEX(Grid!$B$2:$B$1002,C210)),"")</f>
        <v/>
      </c>
      <c r="E210">
        <f>AND(k_ok,A210&lt;=FLOOR(k_lamax*2,1)/2+1E-9,A210&gt;=Grid!$Q$2,A210&lt;=Grid!$Q$1002,ISNUMBER(D210))</f>
        <v/>
      </c>
      <c r="F210">
        <f>IF(E210,1,0)+F209</f>
        <v/>
      </c>
    </row>
    <row r="211">
      <c r="A211" t="n">
        <v>3.5</v>
      </c>
      <c r="B211">
        <f>SUMPRODUCT((Grid!$Q$2:$Q$1001&lt;A211)*(Grid!$Q$3:$Q$1002&gt;=A211))</f>
        <v/>
      </c>
      <c r="C211" s="7">
        <f t="array" ref="C211">IF(B211&gt;0,MATCH(1,(Grid!$Q$2:$Q$1001&lt;A211)*(Grid!$Q$3:$Q$1002&gt;=A211),0),0)</f>
        <v/>
      </c>
      <c r="D211">
        <f>IF(C211&gt;0,INDEX(Grid!$B$2:$B$1002,C211)+(A211-INDEX(Grid!$Q$2:$Q$1002,C211))/(INDEX(Grid!$Q$2:$Q$1002,C211+1)-INDEX(Grid!$Q$2:$Q$1002,C211))*(INDEX(Grid!$B$2:$B$1002,C211+1)-INDEX(Grid!$B$2:$B$1002,C211)),"")</f>
        <v/>
      </c>
      <c r="E211">
        <f>AND(k_ok,A211&lt;=FLOOR(k_lamax*2,1)/2+1E-9,A211&gt;=Grid!$Q$2,A211&lt;=Grid!$Q$1002,ISNUMBER(D211))</f>
        <v/>
      </c>
      <c r="F211">
        <f>IF(E211,1,0)+F210</f>
        <v/>
      </c>
    </row>
    <row r="212">
      <c r="A212" t="n">
        <v>4</v>
      </c>
      <c r="B212">
        <f>SUMPRODUCT((Grid!$Q$2:$Q$1001&lt;A212)*(Grid!$Q$3:$Q$1002&gt;=A212))</f>
        <v/>
      </c>
      <c r="C212" s="7">
        <f t="array" ref="C212">IF(B212&gt;0,MATCH(1,(Grid!$Q$2:$Q$1001&lt;A212)*(Grid!$Q$3:$Q$1002&gt;=A212),0),0)</f>
        <v/>
      </c>
      <c r="D212">
        <f>IF(C212&gt;0,INDEX(Grid!$B$2:$B$1002,C212)+(A212-INDEX(Grid!$Q$2:$Q$1002,C212))/(INDEX(Grid!$Q$2:$Q$1002,C212+1)-INDEX(Grid!$Q$2:$Q$1002,C212))*(INDEX(Grid!$B$2:$B$1002,C212+1)-INDEX(Grid!$B$2:$B$1002,C212)),"")</f>
        <v/>
      </c>
      <c r="E212">
        <f>AND(k_ok,A212&lt;=FLOOR(k_lamax*2,1)/2+1E-9,A212&gt;=Grid!$Q$2,A212&lt;=Grid!$Q$1002,ISNUMBER(D212))</f>
        <v/>
      </c>
      <c r="F212">
        <f>IF(E212,1,0)+F211</f>
        <v/>
      </c>
    </row>
    <row r="213">
      <c r="A213" t="n">
        <v>4.5</v>
      </c>
      <c r="B213">
        <f>SUMPRODUCT((Grid!$Q$2:$Q$1001&lt;A213)*(Grid!$Q$3:$Q$1002&gt;=A213))</f>
        <v/>
      </c>
      <c r="C213" s="7">
        <f t="array" ref="C213">IF(B213&gt;0,MATCH(1,(Grid!$Q$2:$Q$1001&lt;A213)*(Grid!$Q$3:$Q$1002&gt;=A213),0),0)</f>
        <v/>
      </c>
      <c r="D213">
        <f>IF(C213&gt;0,INDEX(Grid!$B$2:$B$1002,C213)+(A213-INDEX(Grid!$Q$2:$Q$1002,C213))/(INDEX(Grid!$Q$2:$Q$1002,C213+1)-INDEX(Grid!$Q$2:$Q$1002,C213))*(INDEX(Grid!$B$2:$B$1002,C213+1)-INDEX(Grid!$B$2:$B$1002,C213)),"")</f>
        <v/>
      </c>
      <c r="E213">
        <f>AND(k_ok,A213&lt;=FLOOR(k_lamax*2,1)/2+1E-9,A213&gt;=Grid!$Q$2,A213&lt;=Grid!$Q$1002,ISNUMBER(D213))</f>
        <v/>
      </c>
      <c r="F213">
        <f>IF(E213,1,0)+F212</f>
        <v/>
      </c>
    </row>
    <row r="214">
      <c r="A214" t="n">
        <v>5</v>
      </c>
      <c r="B214">
        <f>SUMPRODUCT((Grid!$Q$2:$Q$1001&lt;A214)*(Grid!$Q$3:$Q$1002&gt;=A214))</f>
        <v/>
      </c>
      <c r="C214" s="7">
        <f t="array" ref="C214">IF(B214&gt;0,MATCH(1,(Grid!$Q$2:$Q$1001&lt;A214)*(Grid!$Q$3:$Q$1002&gt;=A214),0),0)</f>
        <v/>
      </c>
      <c r="D214">
        <f>IF(C214&gt;0,INDEX(Grid!$B$2:$B$1002,C214)+(A214-INDEX(Grid!$Q$2:$Q$1002,C214))/(INDEX(Grid!$Q$2:$Q$1002,C214+1)-INDEX(Grid!$Q$2:$Q$1002,C214))*(INDEX(Grid!$B$2:$B$1002,C214+1)-INDEX(Grid!$B$2:$B$1002,C214)),"")</f>
        <v/>
      </c>
      <c r="E214">
        <f>AND(k_ok,A214&lt;=FLOOR(k_lamax*2,1)/2+1E-9,A214&gt;=Grid!$Q$2,A214&lt;=Grid!$Q$1002,ISNUMBER(D214))</f>
        <v/>
      </c>
      <c r="F214">
        <f>IF(E214,1,0)+F213</f>
        <v/>
      </c>
    </row>
    <row r="215">
      <c r="A215" t="n">
        <v>5.5</v>
      </c>
      <c r="B215">
        <f>SUMPRODUCT((Grid!$Q$2:$Q$1001&lt;A215)*(Grid!$Q$3:$Q$1002&gt;=A215))</f>
        <v/>
      </c>
      <c r="C215" s="7">
        <f t="array" ref="C215">IF(B215&gt;0,MATCH(1,(Grid!$Q$2:$Q$1001&lt;A215)*(Grid!$Q$3:$Q$1002&gt;=A215),0),0)</f>
        <v/>
      </c>
      <c r="D215">
        <f>IF(C215&gt;0,INDEX(Grid!$B$2:$B$1002,C215)+(A215-INDEX(Grid!$Q$2:$Q$1002,C215))/(INDEX(Grid!$Q$2:$Q$1002,C215+1)-INDEX(Grid!$Q$2:$Q$1002,C215))*(INDEX(Grid!$B$2:$B$1002,C215+1)-INDEX(Grid!$B$2:$B$1002,C215)),"")</f>
        <v/>
      </c>
      <c r="E215">
        <f>AND(k_ok,A215&lt;=FLOOR(k_lamax*2,1)/2+1E-9,A215&gt;=Grid!$Q$2,A215&lt;=Grid!$Q$1002,ISNUMBER(D215))</f>
        <v/>
      </c>
      <c r="F215">
        <f>IF(E215,1,0)+F214</f>
        <v/>
      </c>
    </row>
    <row r="216">
      <c r="A216" t="n">
        <v>6</v>
      </c>
      <c r="B216">
        <f>SUMPRODUCT((Grid!$Q$2:$Q$1001&lt;A216)*(Grid!$Q$3:$Q$1002&gt;=A216))</f>
        <v/>
      </c>
      <c r="C216" s="7">
        <f t="array" ref="C216">IF(B216&gt;0,MATCH(1,(Grid!$Q$2:$Q$1001&lt;A216)*(Grid!$Q$3:$Q$1002&gt;=A216),0),0)</f>
        <v/>
      </c>
      <c r="D216">
        <f>IF(C216&gt;0,INDEX(Grid!$B$2:$B$1002,C216)+(A216-INDEX(Grid!$Q$2:$Q$1002,C216))/(INDEX(Grid!$Q$2:$Q$1002,C216+1)-INDEX(Grid!$Q$2:$Q$1002,C216))*(INDEX(Grid!$B$2:$B$1002,C216+1)-INDEX(Grid!$B$2:$B$1002,C216)),"")</f>
        <v/>
      </c>
      <c r="E216">
        <f>AND(k_ok,A216&lt;=FLOOR(k_lamax*2,1)/2+1E-9,A216&gt;=Grid!$Q$2,A216&lt;=Grid!$Q$1002,ISNUMBER(D216))</f>
        <v/>
      </c>
      <c r="F216">
        <f>IF(E216,1,0)+F215</f>
        <v/>
      </c>
    </row>
    <row r="217">
      <c r="A217" t="n">
        <v>6.5</v>
      </c>
      <c r="B217">
        <f>SUMPRODUCT((Grid!$Q$2:$Q$1001&lt;A217)*(Grid!$Q$3:$Q$1002&gt;=A217))</f>
        <v/>
      </c>
      <c r="C217" s="7">
        <f t="array" ref="C217">IF(B217&gt;0,MATCH(1,(Grid!$Q$2:$Q$1001&lt;A217)*(Grid!$Q$3:$Q$1002&gt;=A217),0),0)</f>
        <v/>
      </c>
      <c r="D217">
        <f>IF(C217&gt;0,INDEX(Grid!$B$2:$B$1002,C217)+(A217-INDEX(Grid!$Q$2:$Q$1002,C217))/(INDEX(Grid!$Q$2:$Q$1002,C217+1)-INDEX(Grid!$Q$2:$Q$1002,C217))*(INDEX(Grid!$B$2:$B$1002,C217+1)-INDEX(Grid!$B$2:$B$1002,C217)),"")</f>
        <v/>
      </c>
      <c r="E217">
        <f>AND(k_ok,A217&lt;=FLOOR(k_lamax*2,1)/2+1E-9,A217&gt;=Grid!$Q$2,A217&lt;=Grid!$Q$1002,ISNUMBER(D217))</f>
        <v/>
      </c>
      <c r="F217">
        <f>IF(E217,1,0)+F216</f>
        <v/>
      </c>
    </row>
    <row r="218">
      <c r="A218" t="n">
        <v>7</v>
      </c>
      <c r="B218">
        <f>SUMPRODUCT((Grid!$Q$2:$Q$1001&lt;A218)*(Grid!$Q$3:$Q$1002&gt;=A218))</f>
        <v/>
      </c>
      <c r="C218" s="7">
        <f t="array" ref="C218">IF(B218&gt;0,MATCH(1,(Grid!$Q$2:$Q$1001&lt;A218)*(Grid!$Q$3:$Q$1002&gt;=A218),0),0)</f>
        <v/>
      </c>
      <c r="D218">
        <f>IF(C218&gt;0,INDEX(Grid!$B$2:$B$1002,C218)+(A218-INDEX(Grid!$Q$2:$Q$1002,C218))/(INDEX(Grid!$Q$2:$Q$1002,C218+1)-INDEX(Grid!$Q$2:$Q$1002,C218))*(INDEX(Grid!$B$2:$B$1002,C218+1)-INDEX(Grid!$B$2:$B$1002,C218)),"")</f>
        <v/>
      </c>
      <c r="E218">
        <f>AND(k_ok,A218&lt;=FLOOR(k_lamax*2,1)/2+1E-9,A218&gt;=Grid!$Q$2,A218&lt;=Grid!$Q$1002,ISNUMBER(D218))</f>
        <v/>
      </c>
      <c r="F218">
        <f>IF(E218,1,0)+F217</f>
        <v/>
      </c>
    </row>
    <row r="219">
      <c r="A219" t="n">
        <v>7.5</v>
      </c>
      <c r="B219">
        <f>SUMPRODUCT((Grid!$Q$2:$Q$1001&lt;A219)*(Grid!$Q$3:$Q$1002&gt;=A219))</f>
        <v/>
      </c>
      <c r="C219" s="7">
        <f t="array" ref="C219">IF(B219&gt;0,MATCH(1,(Grid!$Q$2:$Q$1001&lt;A219)*(Grid!$Q$3:$Q$1002&gt;=A219),0),0)</f>
        <v/>
      </c>
      <c r="D219">
        <f>IF(C219&gt;0,INDEX(Grid!$B$2:$B$1002,C219)+(A219-INDEX(Grid!$Q$2:$Q$1002,C219))/(INDEX(Grid!$Q$2:$Q$1002,C219+1)-INDEX(Grid!$Q$2:$Q$1002,C219))*(INDEX(Grid!$B$2:$B$1002,C219+1)-INDEX(Grid!$B$2:$B$1002,C219)),"")</f>
        <v/>
      </c>
      <c r="E219">
        <f>AND(k_ok,A219&lt;=FLOOR(k_lamax*2,1)/2+1E-9,A219&gt;=Grid!$Q$2,A219&lt;=Grid!$Q$1002,ISNUMBER(D219))</f>
        <v/>
      </c>
      <c r="F219">
        <f>IF(E219,1,0)+F218</f>
        <v/>
      </c>
    </row>
    <row r="220">
      <c r="A220" t="n">
        <v>8</v>
      </c>
      <c r="B220">
        <f>SUMPRODUCT((Grid!$Q$2:$Q$1001&lt;A220)*(Grid!$Q$3:$Q$1002&gt;=A220))</f>
        <v/>
      </c>
      <c r="C220" s="7">
        <f t="array" ref="C220">IF(B220&gt;0,MATCH(1,(Grid!$Q$2:$Q$1001&lt;A220)*(Grid!$Q$3:$Q$1002&gt;=A220),0),0)</f>
        <v/>
      </c>
      <c r="D220">
        <f>IF(C220&gt;0,INDEX(Grid!$B$2:$B$1002,C220)+(A220-INDEX(Grid!$Q$2:$Q$1002,C220))/(INDEX(Grid!$Q$2:$Q$1002,C220+1)-INDEX(Grid!$Q$2:$Q$1002,C220))*(INDEX(Grid!$B$2:$B$1002,C220+1)-INDEX(Grid!$B$2:$B$1002,C220)),"")</f>
        <v/>
      </c>
      <c r="E220">
        <f>AND(k_ok,A220&lt;=FLOOR(k_lamax*2,1)/2+1E-9,A220&gt;=Grid!$Q$2,A220&lt;=Grid!$Q$1002,ISNUMBER(D220))</f>
        <v/>
      </c>
      <c r="F220">
        <f>IF(E220,1,0)+F219</f>
        <v/>
      </c>
    </row>
    <row r="221">
      <c r="A221" t="n">
        <v>8.5</v>
      </c>
      <c r="B221">
        <f>SUMPRODUCT((Grid!$Q$2:$Q$1001&lt;A221)*(Grid!$Q$3:$Q$1002&gt;=A221))</f>
        <v/>
      </c>
      <c r="C221" s="7">
        <f t="array" ref="C221">IF(B221&gt;0,MATCH(1,(Grid!$Q$2:$Q$1001&lt;A221)*(Grid!$Q$3:$Q$1002&gt;=A221),0),0)</f>
        <v/>
      </c>
      <c r="D221">
        <f>IF(C221&gt;0,INDEX(Grid!$B$2:$B$1002,C221)+(A221-INDEX(Grid!$Q$2:$Q$1002,C221))/(INDEX(Grid!$Q$2:$Q$1002,C221+1)-INDEX(Grid!$Q$2:$Q$1002,C221))*(INDEX(Grid!$B$2:$B$1002,C221+1)-INDEX(Grid!$B$2:$B$1002,C221)),"")</f>
        <v/>
      </c>
      <c r="E221">
        <f>AND(k_ok,A221&lt;=FLOOR(k_lamax*2,1)/2+1E-9,A221&gt;=Grid!$Q$2,A221&lt;=Grid!$Q$1002,ISNUMBER(D221))</f>
        <v/>
      </c>
      <c r="F221">
        <f>IF(E221,1,0)+F220</f>
        <v/>
      </c>
    </row>
    <row r="222">
      <c r="A222" t="n">
        <v>9</v>
      </c>
      <c r="B222">
        <f>SUMPRODUCT((Grid!$Q$2:$Q$1001&lt;A222)*(Grid!$Q$3:$Q$1002&gt;=A222))</f>
        <v/>
      </c>
      <c r="C222" s="7">
        <f t="array" ref="C222">IF(B222&gt;0,MATCH(1,(Grid!$Q$2:$Q$1001&lt;A222)*(Grid!$Q$3:$Q$1002&gt;=A222),0),0)</f>
        <v/>
      </c>
      <c r="D222">
        <f>IF(C222&gt;0,INDEX(Grid!$B$2:$B$1002,C222)+(A222-INDEX(Grid!$Q$2:$Q$1002,C222))/(INDEX(Grid!$Q$2:$Q$1002,C222+1)-INDEX(Grid!$Q$2:$Q$1002,C222))*(INDEX(Grid!$B$2:$B$1002,C222+1)-INDEX(Grid!$B$2:$B$1002,C222)),"")</f>
        <v/>
      </c>
      <c r="E222">
        <f>AND(k_ok,A222&lt;=FLOOR(k_lamax*2,1)/2+1E-9,A222&gt;=Grid!$Q$2,A222&lt;=Grid!$Q$1002,ISNUMBER(D222))</f>
        <v/>
      </c>
      <c r="F222">
        <f>IF(E222,1,0)+F221</f>
        <v/>
      </c>
    </row>
    <row r="223">
      <c r="A223" t="n">
        <v>9.5</v>
      </c>
      <c r="B223">
        <f>SUMPRODUCT((Grid!$Q$2:$Q$1001&lt;A223)*(Grid!$Q$3:$Q$1002&gt;=A223))</f>
        <v/>
      </c>
      <c r="C223" s="7">
        <f t="array" ref="C223">IF(B223&gt;0,MATCH(1,(Grid!$Q$2:$Q$1001&lt;A223)*(Grid!$Q$3:$Q$1002&gt;=A223),0),0)</f>
        <v/>
      </c>
      <c r="D223">
        <f>IF(C223&gt;0,INDEX(Grid!$B$2:$B$1002,C223)+(A223-INDEX(Grid!$Q$2:$Q$1002,C223))/(INDEX(Grid!$Q$2:$Q$1002,C223+1)-INDEX(Grid!$Q$2:$Q$1002,C223))*(INDEX(Grid!$B$2:$B$1002,C223+1)-INDEX(Grid!$B$2:$B$1002,C223)),"")</f>
        <v/>
      </c>
      <c r="E223">
        <f>AND(k_ok,A223&lt;=FLOOR(k_lamax*2,1)/2+1E-9,A223&gt;=Grid!$Q$2,A223&lt;=Grid!$Q$1002,ISNUMBER(D223))</f>
        <v/>
      </c>
      <c r="F223">
        <f>IF(E223,1,0)+F222</f>
        <v/>
      </c>
    </row>
    <row r="224">
      <c r="A224" t="n">
        <v>10</v>
      </c>
      <c r="B224">
        <f>SUMPRODUCT((Grid!$Q$2:$Q$1001&lt;A224)*(Grid!$Q$3:$Q$1002&gt;=A224))</f>
        <v/>
      </c>
      <c r="C224" s="7">
        <f t="array" ref="C224">IF(B224&gt;0,MATCH(1,(Grid!$Q$2:$Q$1001&lt;A224)*(Grid!$Q$3:$Q$1002&gt;=A224),0),0)</f>
        <v/>
      </c>
      <c r="D224">
        <f>IF(C224&gt;0,INDEX(Grid!$B$2:$B$1002,C224)+(A224-INDEX(Grid!$Q$2:$Q$1002,C224))/(INDEX(Grid!$Q$2:$Q$1002,C224+1)-INDEX(Grid!$Q$2:$Q$1002,C224))*(INDEX(Grid!$B$2:$B$1002,C224+1)-INDEX(Grid!$B$2:$B$1002,C224)),"")</f>
        <v/>
      </c>
      <c r="E224">
        <f>AND(k_ok,A224&lt;=FLOOR(k_lamax*2,1)/2+1E-9,A224&gt;=Grid!$Q$2,A224&lt;=Grid!$Q$1002,ISNUMBER(D224))</f>
        <v/>
      </c>
      <c r="F224">
        <f>IF(E224,1,0)+F223</f>
        <v/>
      </c>
    </row>
    <row r="225">
      <c r="A225" t="n">
        <v>10.5</v>
      </c>
      <c r="B225">
        <f>SUMPRODUCT((Grid!$Q$2:$Q$1001&lt;A225)*(Grid!$Q$3:$Q$1002&gt;=A225))</f>
        <v/>
      </c>
      <c r="C225" s="7">
        <f t="array" ref="C225">IF(B225&gt;0,MATCH(1,(Grid!$Q$2:$Q$1001&lt;A225)*(Grid!$Q$3:$Q$1002&gt;=A225),0),0)</f>
        <v/>
      </c>
      <c r="D225">
        <f>IF(C225&gt;0,INDEX(Grid!$B$2:$B$1002,C225)+(A225-INDEX(Grid!$Q$2:$Q$1002,C225))/(INDEX(Grid!$Q$2:$Q$1002,C225+1)-INDEX(Grid!$Q$2:$Q$1002,C225))*(INDEX(Grid!$B$2:$B$1002,C225+1)-INDEX(Grid!$B$2:$B$1002,C225)),"")</f>
        <v/>
      </c>
      <c r="E225">
        <f>AND(k_ok,A225&lt;=FLOOR(k_lamax*2,1)/2+1E-9,A225&gt;=Grid!$Q$2,A225&lt;=Grid!$Q$1002,ISNUMBER(D225))</f>
        <v/>
      </c>
      <c r="F225">
        <f>IF(E225,1,0)+F224</f>
        <v/>
      </c>
    </row>
    <row r="226">
      <c r="A226" t="n">
        <v>11</v>
      </c>
      <c r="B226">
        <f>SUMPRODUCT((Grid!$Q$2:$Q$1001&lt;A226)*(Grid!$Q$3:$Q$1002&gt;=A226))</f>
        <v/>
      </c>
      <c r="C226" s="7">
        <f t="array" ref="C226">IF(B226&gt;0,MATCH(1,(Grid!$Q$2:$Q$1001&lt;A226)*(Grid!$Q$3:$Q$1002&gt;=A226),0),0)</f>
        <v/>
      </c>
      <c r="D226">
        <f>IF(C226&gt;0,INDEX(Grid!$B$2:$B$1002,C226)+(A226-INDEX(Grid!$Q$2:$Q$1002,C226))/(INDEX(Grid!$Q$2:$Q$1002,C226+1)-INDEX(Grid!$Q$2:$Q$1002,C226))*(INDEX(Grid!$B$2:$B$1002,C226+1)-INDEX(Grid!$B$2:$B$1002,C226)),"")</f>
        <v/>
      </c>
      <c r="E226">
        <f>AND(k_ok,A226&lt;=FLOOR(k_lamax*2,1)/2+1E-9,A226&gt;=Grid!$Q$2,A226&lt;=Grid!$Q$1002,ISNUMBER(D226))</f>
        <v/>
      </c>
      <c r="F226">
        <f>IF(E226,1,0)+F225</f>
        <v/>
      </c>
    </row>
    <row r="227">
      <c r="A227" t="n">
        <v>11.5</v>
      </c>
      <c r="B227">
        <f>SUMPRODUCT((Grid!$Q$2:$Q$1001&lt;A227)*(Grid!$Q$3:$Q$1002&gt;=A227))</f>
        <v/>
      </c>
      <c r="C227" s="7">
        <f t="array" ref="C227">IF(B227&gt;0,MATCH(1,(Grid!$Q$2:$Q$1001&lt;A227)*(Grid!$Q$3:$Q$1002&gt;=A227),0),0)</f>
        <v/>
      </c>
      <c r="D227">
        <f>IF(C227&gt;0,INDEX(Grid!$B$2:$B$1002,C227)+(A227-INDEX(Grid!$Q$2:$Q$1002,C227))/(INDEX(Grid!$Q$2:$Q$1002,C227+1)-INDEX(Grid!$Q$2:$Q$1002,C227))*(INDEX(Grid!$B$2:$B$1002,C227+1)-INDEX(Grid!$B$2:$B$1002,C227)),"")</f>
        <v/>
      </c>
      <c r="E227">
        <f>AND(k_ok,A227&lt;=FLOOR(k_lamax*2,1)/2+1E-9,A227&gt;=Grid!$Q$2,A227&lt;=Grid!$Q$1002,ISNUMBER(D227))</f>
        <v/>
      </c>
      <c r="F227">
        <f>IF(E227,1,0)+F226</f>
        <v/>
      </c>
    </row>
    <row r="228">
      <c r="A228" t="n">
        <v>12</v>
      </c>
      <c r="B228">
        <f>SUMPRODUCT((Grid!$Q$2:$Q$1001&lt;A228)*(Grid!$Q$3:$Q$1002&gt;=A228))</f>
        <v/>
      </c>
      <c r="C228" s="7">
        <f t="array" ref="C228">IF(B228&gt;0,MATCH(1,(Grid!$Q$2:$Q$1001&lt;A228)*(Grid!$Q$3:$Q$1002&gt;=A228),0),0)</f>
        <v/>
      </c>
      <c r="D228">
        <f>IF(C228&gt;0,INDEX(Grid!$B$2:$B$1002,C228)+(A228-INDEX(Grid!$Q$2:$Q$1002,C228))/(INDEX(Grid!$Q$2:$Q$1002,C228+1)-INDEX(Grid!$Q$2:$Q$1002,C228))*(INDEX(Grid!$B$2:$B$1002,C228+1)-INDEX(Grid!$B$2:$B$1002,C228)),"")</f>
        <v/>
      </c>
      <c r="E228">
        <f>AND(k_ok,A228&lt;=FLOOR(k_lamax*2,1)/2+1E-9,A228&gt;=Grid!$Q$2,A228&lt;=Grid!$Q$1002,ISNUMBER(D228))</f>
        <v/>
      </c>
      <c r="F228">
        <f>IF(E228,1,0)+F227</f>
        <v/>
      </c>
    </row>
    <row r="229">
      <c r="A229" t="n">
        <v>12.5</v>
      </c>
      <c r="B229">
        <f>SUMPRODUCT((Grid!$Q$2:$Q$1001&lt;A229)*(Grid!$Q$3:$Q$1002&gt;=A229))</f>
        <v/>
      </c>
      <c r="C229" s="7">
        <f t="array" ref="C229">IF(B229&gt;0,MATCH(1,(Grid!$Q$2:$Q$1001&lt;A229)*(Grid!$Q$3:$Q$1002&gt;=A229),0),0)</f>
        <v/>
      </c>
      <c r="D229">
        <f>IF(C229&gt;0,INDEX(Grid!$B$2:$B$1002,C229)+(A229-INDEX(Grid!$Q$2:$Q$1002,C229))/(INDEX(Grid!$Q$2:$Q$1002,C229+1)-INDEX(Grid!$Q$2:$Q$1002,C229))*(INDEX(Grid!$B$2:$B$1002,C229+1)-INDEX(Grid!$B$2:$B$1002,C229)),"")</f>
        <v/>
      </c>
      <c r="E229">
        <f>AND(k_ok,A229&lt;=FLOOR(k_lamax*2,1)/2+1E-9,A229&gt;=Grid!$Q$2,A229&lt;=Grid!$Q$1002,ISNUMBER(D229))</f>
        <v/>
      </c>
      <c r="F229">
        <f>IF(E229,1,0)+F228</f>
        <v/>
      </c>
    </row>
    <row r="230">
      <c r="A230" t="n">
        <v>13</v>
      </c>
      <c r="B230">
        <f>SUMPRODUCT((Grid!$Q$2:$Q$1001&lt;A230)*(Grid!$Q$3:$Q$1002&gt;=A230))</f>
        <v/>
      </c>
      <c r="C230" s="7">
        <f t="array" ref="C230">IF(B230&gt;0,MATCH(1,(Grid!$Q$2:$Q$1001&lt;A230)*(Grid!$Q$3:$Q$1002&gt;=A230),0),0)</f>
        <v/>
      </c>
      <c r="D230">
        <f>IF(C230&gt;0,INDEX(Grid!$B$2:$B$1002,C230)+(A230-INDEX(Grid!$Q$2:$Q$1002,C230))/(INDEX(Grid!$Q$2:$Q$1002,C230+1)-INDEX(Grid!$Q$2:$Q$1002,C230))*(INDEX(Grid!$B$2:$B$1002,C230+1)-INDEX(Grid!$B$2:$B$1002,C230)),"")</f>
        <v/>
      </c>
      <c r="E230">
        <f>AND(k_ok,A230&lt;=FLOOR(k_lamax*2,1)/2+1E-9,A230&gt;=Grid!$Q$2,A230&lt;=Grid!$Q$1002,ISNUMBER(D230))</f>
        <v/>
      </c>
      <c r="F230">
        <f>IF(E230,1,0)+F229</f>
        <v/>
      </c>
    </row>
    <row r="231">
      <c r="A231" t="n">
        <v>13.5</v>
      </c>
      <c r="B231">
        <f>SUMPRODUCT((Grid!$Q$2:$Q$1001&lt;A231)*(Grid!$Q$3:$Q$1002&gt;=A231))</f>
        <v/>
      </c>
      <c r="C231" s="7">
        <f t="array" ref="C231">IF(B231&gt;0,MATCH(1,(Grid!$Q$2:$Q$1001&lt;A231)*(Grid!$Q$3:$Q$1002&gt;=A231),0),0)</f>
        <v/>
      </c>
      <c r="D231">
        <f>IF(C231&gt;0,INDEX(Grid!$B$2:$B$1002,C231)+(A231-INDEX(Grid!$Q$2:$Q$1002,C231))/(INDEX(Grid!$Q$2:$Q$1002,C231+1)-INDEX(Grid!$Q$2:$Q$1002,C231))*(INDEX(Grid!$B$2:$B$1002,C231+1)-INDEX(Grid!$B$2:$B$1002,C231)),"")</f>
        <v/>
      </c>
      <c r="E231">
        <f>AND(k_ok,A231&lt;=FLOOR(k_lamax*2,1)/2+1E-9,A231&gt;=Grid!$Q$2,A231&lt;=Grid!$Q$1002,ISNUMBER(D231))</f>
        <v/>
      </c>
      <c r="F231">
        <f>IF(E231,1,0)+F230</f>
        <v/>
      </c>
    </row>
    <row r="232">
      <c r="A232" t="n">
        <v>14</v>
      </c>
      <c r="B232">
        <f>SUMPRODUCT((Grid!$Q$2:$Q$1001&lt;A232)*(Grid!$Q$3:$Q$1002&gt;=A232))</f>
        <v/>
      </c>
      <c r="C232" s="7">
        <f t="array" ref="C232">IF(B232&gt;0,MATCH(1,(Grid!$Q$2:$Q$1001&lt;A232)*(Grid!$Q$3:$Q$1002&gt;=A232),0),0)</f>
        <v/>
      </c>
      <c r="D232">
        <f>IF(C232&gt;0,INDEX(Grid!$B$2:$B$1002,C232)+(A232-INDEX(Grid!$Q$2:$Q$1002,C232))/(INDEX(Grid!$Q$2:$Q$1002,C232+1)-INDEX(Grid!$Q$2:$Q$1002,C232))*(INDEX(Grid!$B$2:$B$1002,C232+1)-INDEX(Grid!$B$2:$B$1002,C232)),"")</f>
        <v/>
      </c>
      <c r="E232">
        <f>AND(k_ok,A232&lt;=FLOOR(k_lamax*2,1)/2+1E-9,A232&gt;=Grid!$Q$2,A232&lt;=Grid!$Q$1002,ISNUMBER(D232))</f>
        <v/>
      </c>
      <c r="F232">
        <f>IF(E232,1,0)+F231</f>
        <v/>
      </c>
    </row>
    <row r="233">
      <c r="A233" t="n">
        <v>14.5</v>
      </c>
      <c r="B233">
        <f>SUMPRODUCT((Grid!$Q$2:$Q$1001&lt;A233)*(Grid!$Q$3:$Q$1002&gt;=A233))</f>
        <v/>
      </c>
      <c r="C233" s="7">
        <f t="array" ref="C233">IF(B233&gt;0,MATCH(1,(Grid!$Q$2:$Q$1001&lt;A233)*(Grid!$Q$3:$Q$1002&gt;=A233),0),0)</f>
        <v/>
      </c>
      <c r="D233">
        <f>IF(C233&gt;0,INDEX(Grid!$B$2:$B$1002,C233)+(A233-INDEX(Grid!$Q$2:$Q$1002,C233))/(INDEX(Grid!$Q$2:$Q$1002,C233+1)-INDEX(Grid!$Q$2:$Q$1002,C233))*(INDEX(Grid!$B$2:$B$1002,C233+1)-INDEX(Grid!$B$2:$B$1002,C233)),"")</f>
        <v/>
      </c>
      <c r="E233">
        <f>AND(k_ok,A233&lt;=FLOOR(k_lamax*2,1)/2+1E-9,A233&gt;=Grid!$Q$2,A233&lt;=Grid!$Q$1002,ISNUMBER(D233))</f>
        <v/>
      </c>
      <c r="F233">
        <f>IF(E233,1,0)+F232</f>
        <v/>
      </c>
    </row>
    <row r="234">
      <c r="A234" t="n">
        <v>15</v>
      </c>
      <c r="B234">
        <f>SUMPRODUCT((Grid!$Q$2:$Q$1001&lt;A234)*(Grid!$Q$3:$Q$1002&gt;=A234))</f>
        <v/>
      </c>
      <c r="C234" s="7">
        <f t="array" ref="C234">IF(B234&gt;0,MATCH(1,(Grid!$Q$2:$Q$1001&lt;A234)*(Grid!$Q$3:$Q$1002&gt;=A234),0),0)</f>
        <v/>
      </c>
      <c r="D234">
        <f>IF(C234&gt;0,INDEX(Grid!$B$2:$B$1002,C234)+(A234-INDEX(Grid!$Q$2:$Q$1002,C234))/(INDEX(Grid!$Q$2:$Q$1002,C234+1)-INDEX(Grid!$Q$2:$Q$1002,C234))*(INDEX(Grid!$B$2:$B$1002,C234+1)-INDEX(Grid!$B$2:$B$1002,C234)),"")</f>
        <v/>
      </c>
      <c r="E234">
        <f>AND(k_ok,A234&lt;=FLOOR(k_lamax*2,1)/2+1E-9,A234&gt;=Grid!$Q$2,A234&lt;=Grid!$Q$1002,ISNUMBER(D234))</f>
        <v/>
      </c>
      <c r="F234">
        <f>IF(E234,1,0)+F233</f>
        <v/>
      </c>
    </row>
    <row r="235">
      <c r="A235" t="n">
        <v>15.5</v>
      </c>
      <c r="B235">
        <f>SUMPRODUCT((Grid!$Q$2:$Q$1001&lt;A235)*(Grid!$Q$3:$Q$1002&gt;=A235))</f>
        <v/>
      </c>
      <c r="C235" s="7">
        <f t="array" ref="C235">IF(B235&gt;0,MATCH(1,(Grid!$Q$2:$Q$1001&lt;A235)*(Grid!$Q$3:$Q$1002&gt;=A235),0),0)</f>
        <v/>
      </c>
      <c r="D235">
        <f>IF(C235&gt;0,INDEX(Grid!$B$2:$B$1002,C235)+(A235-INDEX(Grid!$Q$2:$Q$1002,C235))/(INDEX(Grid!$Q$2:$Q$1002,C235+1)-INDEX(Grid!$Q$2:$Q$1002,C235))*(INDEX(Grid!$B$2:$B$1002,C235+1)-INDEX(Grid!$B$2:$B$1002,C235)),"")</f>
        <v/>
      </c>
      <c r="E235">
        <f>AND(k_ok,A235&lt;=FLOOR(k_lamax*2,1)/2+1E-9,A235&gt;=Grid!$Q$2,A235&lt;=Grid!$Q$1002,ISNUMBER(D235))</f>
        <v/>
      </c>
      <c r="F235">
        <f>IF(E235,1,0)+F234</f>
        <v/>
      </c>
    </row>
    <row r="236">
      <c r="A236" t="n">
        <v>16</v>
      </c>
      <c r="B236">
        <f>SUMPRODUCT((Grid!$Q$2:$Q$1001&lt;A236)*(Grid!$Q$3:$Q$1002&gt;=A236))</f>
        <v/>
      </c>
      <c r="C236" s="7">
        <f t="array" ref="C236">IF(B236&gt;0,MATCH(1,(Grid!$Q$2:$Q$1001&lt;A236)*(Grid!$Q$3:$Q$1002&gt;=A236),0),0)</f>
        <v/>
      </c>
      <c r="D236">
        <f>IF(C236&gt;0,INDEX(Grid!$B$2:$B$1002,C236)+(A236-INDEX(Grid!$Q$2:$Q$1002,C236))/(INDEX(Grid!$Q$2:$Q$1002,C236+1)-INDEX(Grid!$Q$2:$Q$1002,C236))*(INDEX(Grid!$B$2:$B$1002,C236+1)-INDEX(Grid!$B$2:$B$1002,C236)),"")</f>
        <v/>
      </c>
      <c r="E236">
        <f>AND(k_ok,A236&lt;=FLOOR(k_lamax*2,1)/2+1E-9,A236&gt;=Grid!$Q$2,A236&lt;=Grid!$Q$1002,ISNUMBER(D236))</f>
        <v/>
      </c>
      <c r="F236">
        <f>IF(E236,1,0)+F235</f>
        <v/>
      </c>
    </row>
    <row r="237">
      <c r="A237" t="n">
        <v>16.5</v>
      </c>
      <c r="B237">
        <f>SUMPRODUCT((Grid!$Q$2:$Q$1001&lt;A237)*(Grid!$Q$3:$Q$1002&gt;=A237))</f>
        <v/>
      </c>
      <c r="C237" s="7">
        <f t="array" ref="C237">IF(B237&gt;0,MATCH(1,(Grid!$Q$2:$Q$1001&lt;A237)*(Grid!$Q$3:$Q$1002&gt;=A237),0),0)</f>
        <v/>
      </c>
      <c r="D237">
        <f>IF(C237&gt;0,INDEX(Grid!$B$2:$B$1002,C237)+(A237-INDEX(Grid!$Q$2:$Q$1002,C237))/(INDEX(Grid!$Q$2:$Q$1002,C237+1)-INDEX(Grid!$Q$2:$Q$1002,C237))*(INDEX(Grid!$B$2:$B$1002,C237+1)-INDEX(Grid!$B$2:$B$1002,C237)),"")</f>
        <v/>
      </c>
      <c r="E237">
        <f>AND(k_ok,A237&lt;=FLOOR(k_lamax*2,1)/2+1E-9,A237&gt;=Grid!$Q$2,A237&lt;=Grid!$Q$1002,ISNUMBER(D237))</f>
        <v/>
      </c>
      <c r="F237">
        <f>IF(E237,1,0)+F236</f>
        <v/>
      </c>
    </row>
    <row r="238">
      <c r="A238" t="n">
        <v>17</v>
      </c>
      <c r="B238">
        <f>SUMPRODUCT((Grid!$Q$2:$Q$1001&lt;A238)*(Grid!$Q$3:$Q$1002&gt;=A238))</f>
        <v/>
      </c>
      <c r="C238" s="7">
        <f t="array" ref="C238">IF(B238&gt;0,MATCH(1,(Grid!$Q$2:$Q$1001&lt;A238)*(Grid!$Q$3:$Q$1002&gt;=A238),0),0)</f>
        <v/>
      </c>
      <c r="D238">
        <f>IF(C238&gt;0,INDEX(Grid!$B$2:$B$1002,C238)+(A238-INDEX(Grid!$Q$2:$Q$1002,C238))/(INDEX(Grid!$Q$2:$Q$1002,C238+1)-INDEX(Grid!$Q$2:$Q$1002,C238))*(INDEX(Grid!$B$2:$B$1002,C238+1)-INDEX(Grid!$B$2:$B$1002,C238)),"")</f>
        <v/>
      </c>
      <c r="E238">
        <f>AND(k_ok,A238&lt;=FLOOR(k_lamax*2,1)/2+1E-9,A238&gt;=Grid!$Q$2,A238&lt;=Grid!$Q$1002,ISNUMBER(D238))</f>
        <v/>
      </c>
      <c r="F238">
        <f>IF(E238,1,0)+F237</f>
        <v/>
      </c>
    </row>
    <row r="239">
      <c r="A239" t="n">
        <v>17.5</v>
      </c>
      <c r="B239">
        <f>SUMPRODUCT((Grid!$Q$2:$Q$1001&lt;A239)*(Grid!$Q$3:$Q$1002&gt;=A239))</f>
        <v/>
      </c>
      <c r="C239" s="7">
        <f t="array" ref="C239">IF(B239&gt;0,MATCH(1,(Grid!$Q$2:$Q$1001&lt;A239)*(Grid!$Q$3:$Q$1002&gt;=A239),0),0)</f>
        <v/>
      </c>
      <c r="D239">
        <f>IF(C239&gt;0,INDEX(Grid!$B$2:$B$1002,C239)+(A239-INDEX(Grid!$Q$2:$Q$1002,C239))/(INDEX(Grid!$Q$2:$Q$1002,C239+1)-INDEX(Grid!$Q$2:$Q$1002,C239))*(INDEX(Grid!$B$2:$B$1002,C239+1)-INDEX(Grid!$B$2:$B$1002,C239)),"")</f>
        <v/>
      </c>
      <c r="E239">
        <f>AND(k_ok,A239&lt;=FLOOR(k_lamax*2,1)/2+1E-9,A239&gt;=Grid!$Q$2,A239&lt;=Grid!$Q$1002,ISNUMBER(D239))</f>
        <v/>
      </c>
      <c r="F239">
        <f>IF(E239,1,0)+F238</f>
        <v/>
      </c>
    </row>
    <row r="240">
      <c r="A240" t="n">
        <v>18</v>
      </c>
      <c r="B240">
        <f>SUMPRODUCT((Grid!$Q$2:$Q$1001&lt;A240)*(Grid!$Q$3:$Q$1002&gt;=A240))</f>
        <v/>
      </c>
      <c r="C240" s="7">
        <f t="array" ref="C240">IF(B240&gt;0,MATCH(1,(Grid!$Q$2:$Q$1001&lt;A240)*(Grid!$Q$3:$Q$1002&gt;=A240),0),0)</f>
        <v/>
      </c>
      <c r="D240">
        <f>IF(C240&gt;0,INDEX(Grid!$B$2:$B$1002,C240)+(A240-INDEX(Grid!$Q$2:$Q$1002,C240))/(INDEX(Grid!$Q$2:$Q$1002,C240+1)-INDEX(Grid!$Q$2:$Q$1002,C240))*(INDEX(Grid!$B$2:$B$1002,C240+1)-INDEX(Grid!$B$2:$B$1002,C240)),"")</f>
        <v/>
      </c>
      <c r="E240">
        <f>AND(k_ok,A240&lt;=FLOOR(k_lamax*2,1)/2+1E-9,A240&gt;=Grid!$Q$2,A240&lt;=Grid!$Q$1002,ISNUMBER(D240))</f>
        <v/>
      </c>
      <c r="F240">
        <f>IF(E240,1,0)+F239</f>
        <v/>
      </c>
    </row>
    <row r="241">
      <c r="A241" t="n">
        <v>18.5</v>
      </c>
      <c r="B241">
        <f>SUMPRODUCT((Grid!$Q$2:$Q$1001&lt;A241)*(Grid!$Q$3:$Q$1002&gt;=A241))</f>
        <v/>
      </c>
      <c r="C241" s="7">
        <f t="array" ref="C241">IF(B241&gt;0,MATCH(1,(Grid!$Q$2:$Q$1001&lt;A241)*(Grid!$Q$3:$Q$1002&gt;=A241),0),0)</f>
        <v/>
      </c>
      <c r="D241">
        <f>IF(C241&gt;0,INDEX(Grid!$B$2:$B$1002,C241)+(A241-INDEX(Grid!$Q$2:$Q$1002,C241))/(INDEX(Grid!$Q$2:$Q$1002,C241+1)-INDEX(Grid!$Q$2:$Q$1002,C241))*(INDEX(Grid!$B$2:$B$1002,C241+1)-INDEX(Grid!$B$2:$B$1002,C241)),"")</f>
        <v/>
      </c>
      <c r="E241">
        <f>AND(k_ok,A241&lt;=FLOOR(k_lamax*2,1)/2+1E-9,A241&gt;=Grid!$Q$2,A241&lt;=Grid!$Q$1002,ISNUMBER(D241))</f>
        <v/>
      </c>
      <c r="F241">
        <f>IF(E241,1,0)+F240</f>
        <v/>
      </c>
    </row>
    <row r="242">
      <c r="A242" t="n">
        <v>19</v>
      </c>
      <c r="B242">
        <f>SUMPRODUCT((Grid!$Q$2:$Q$1001&lt;A242)*(Grid!$Q$3:$Q$1002&gt;=A242))</f>
        <v/>
      </c>
      <c r="C242" s="7">
        <f t="array" ref="C242">IF(B242&gt;0,MATCH(1,(Grid!$Q$2:$Q$1001&lt;A242)*(Grid!$Q$3:$Q$1002&gt;=A242),0),0)</f>
        <v/>
      </c>
      <c r="D242">
        <f>IF(C242&gt;0,INDEX(Grid!$B$2:$B$1002,C242)+(A242-INDEX(Grid!$Q$2:$Q$1002,C242))/(INDEX(Grid!$Q$2:$Q$1002,C242+1)-INDEX(Grid!$Q$2:$Q$1002,C242))*(INDEX(Grid!$B$2:$B$1002,C242+1)-INDEX(Grid!$B$2:$B$1002,C242)),"")</f>
        <v/>
      </c>
      <c r="E242">
        <f>AND(k_ok,A242&lt;=FLOOR(k_lamax*2,1)/2+1E-9,A242&gt;=Grid!$Q$2,A242&lt;=Grid!$Q$1002,ISNUMBER(D242))</f>
        <v/>
      </c>
      <c r="F242">
        <f>IF(E242,1,0)+F241</f>
        <v/>
      </c>
    </row>
    <row r="243">
      <c r="A243" t="n">
        <v>19.5</v>
      </c>
      <c r="B243">
        <f>SUMPRODUCT((Grid!$Q$2:$Q$1001&lt;A243)*(Grid!$Q$3:$Q$1002&gt;=A243))</f>
        <v/>
      </c>
      <c r="C243" s="7">
        <f t="array" ref="C243">IF(B243&gt;0,MATCH(1,(Grid!$Q$2:$Q$1001&lt;A243)*(Grid!$Q$3:$Q$1002&gt;=A243),0),0)</f>
        <v/>
      </c>
      <c r="D243">
        <f>IF(C243&gt;0,INDEX(Grid!$B$2:$B$1002,C243)+(A243-INDEX(Grid!$Q$2:$Q$1002,C243))/(INDEX(Grid!$Q$2:$Q$1002,C243+1)-INDEX(Grid!$Q$2:$Q$1002,C243))*(INDEX(Grid!$B$2:$B$1002,C243+1)-INDEX(Grid!$B$2:$B$1002,C243)),"")</f>
        <v/>
      </c>
      <c r="E243">
        <f>AND(k_ok,A243&lt;=FLOOR(k_lamax*2,1)/2+1E-9,A243&gt;=Grid!$Q$2,A243&lt;=Grid!$Q$1002,ISNUMBER(D243))</f>
        <v/>
      </c>
      <c r="F243">
        <f>IF(E243,1,0)+F242</f>
        <v/>
      </c>
    </row>
    <row r="244">
      <c r="A244" t="n">
        <v>20</v>
      </c>
      <c r="B244">
        <f>SUMPRODUCT((Grid!$Q$2:$Q$1001&lt;A244)*(Grid!$Q$3:$Q$1002&gt;=A244))</f>
        <v/>
      </c>
      <c r="C244" s="7">
        <f t="array" ref="C244">IF(B244&gt;0,MATCH(1,(Grid!$Q$2:$Q$1001&lt;A244)*(Grid!$Q$3:$Q$1002&gt;=A244),0),0)</f>
        <v/>
      </c>
      <c r="D244">
        <f>IF(C244&gt;0,INDEX(Grid!$B$2:$B$1002,C244)+(A244-INDEX(Grid!$Q$2:$Q$1002,C244))/(INDEX(Grid!$Q$2:$Q$1002,C244+1)-INDEX(Grid!$Q$2:$Q$1002,C244))*(INDEX(Grid!$B$2:$B$1002,C244+1)-INDEX(Grid!$B$2:$B$1002,C244)),"")</f>
        <v/>
      </c>
      <c r="E244">
        <f>AND(k_ok,A244&lt;=FLOOR(k_lamax*2,1)/2+1E-9,A244&gt;=Grid!$Q$2,A244&lt;=Grid!$Q$1002,ISNUMBER(D244))</f>
        <v/>
      </c>
      <c r="F244">
        <f>IF(E244,1,0)+F243</f>
        <v/>
      </c>
    </row>
    <row r="245">
      <c r="A245" t="n">
        <v>20.5</v>
      </c>
      <c r="B245">
        <f>SUMPRODUCT((Grid!$Q$2:$Q$1001&lt;A245)*(Grid!$Q$3:$Q$1002&gt;=A245))</f>
        <v/>
      </c>
      <c r="C245" s="7">
        <f t="array" ref="C245">IF(B245&gt;0,MATCH(1,(Grid!$Q$2:$Q$1001&lt;A245)*(Grid!$Q$3:$Q$1002&gt;=A245),0),0)</f>
        <v/>
      </c>
      <c r="D245">
        <f>IF(C245&gt;0,INDEX(Grid!$B$2:$B$1002,C245)+(A245-INDEX(Grid!$Q$2:$Q$1002,C245))/(INDEX(Grid!$Q$2:$Q$1002,C245+1)-INDEX(Grid!$Q$2:$Q$1002,C245))*(INDEX(Grid!$B$2:$B$1002,C245+1)-INDEX(Grid!$B$2:$B$1002,C245)),"")</f>
        <v/>
      </c>
      <c r="E245">
        <f>AND(k_ok,A245&lt;=FLOOR(k_lamax*2,1)/2+1E-9,A245&gt;=Grid!$Q$2,A245&lt;=Grid!$Q$1002,ISNUMBER(D245))</f>
        <v/>
      </c>
      <c r="F245">
        <f>IF(E245,1,0)+F244</f>
        <v/>
      </c>
    </row>
    <row r="246">
      <c r="A246" t="n">
        <v>21</v>
      </c>
      <c r="B246">
        <f>SUMPRODUCT((Grid!$Q$2:$Q$1001&lt;A246)*(Grid!$Q$3:$Q$1002&gt;=A246))</f>
        <v/>
      </c>
      <c r="C246" s="7">
        <f t="array" ref="C246">IF(B246&gt;0,MATCH(1,(Grid!$Q$2:$Q$1001&lt;A246)*(Grid!$Q$3:$Q$1002&gt;=A246),0),0)</f>
        <v/>
      </c>
      <c r="D246">
        <f>IF(C246&gt;0,INDEX(Grid!$B$2:$B$1002,C246)+(A246-INDEX(Grid!$Q$2:$Q$1002,C246))/(INDEX(Grid!$Q$2:$Q$1002,C246+1)-INDEX(Grid!$Q$2:$Q$1002,C246))*(INDEX(Grid!$B$2:$B$1002,C246+1)-INDEX(Grid!$B$2:$B$1002,C246)),"")</f>
        <v/>
      </c>
      <c r="E246">
        <f>AND(k_ok,A246&lt;=FLOOR(k_lamax*2,1)/2+1E-9,A246&gt;=Grid!$Q$2,A246&lt;=Grid!$Q$1002,ISNUMBER(D246))</f>
        <v/>
      </c>
      <c r="F246">
        <f>IF(E246,1,0)+F245</f>
        <v/>
      </c>
    </row>
    <row r="247">
      <c r="A247" t="n">
        <v>21.5</v>
      </c>
      <c r="B247">
        <f>SUMPRODUCT((Grid!$Q$2:$Q$1001&lt;A247)*(Grid!$Q$3:$Q$1002&gt;=A247))</f>
        <v/>
      </c>
      <c r="C247" s="7">
        <f t="array" ref="C247">IF(B247&gt;0,MATCH(1,(Grid!$Q$2:$Q$1001&lt;A247)*(Grid!$Q$3:$Q$1002&gt;=A247),0),0)</f>
        <v/>
      </c>
      <c r="D247">
        <f>IF(C247&gt;0,INDEX(Grid!$B$2:$B$1002,C247)+(A247-INDEX(Grid!$Q$2:$Q$1002,C247))/(INDEX(Grid!$Q$2:$Q$1002,C247+1)-INDEX(Grid!$Q$2:$Q$1002,C247))*(INDEX(Grid!$B$2:$B$1002,C247+1)-INDEX(Grid!$B$2:$B$1002,C247)),"")</f>
        <v/>
      </c>
      <c r="E247">
        <f>AND(k_ok,A247&lt;=FLOOR(k_lamax*2,1)/2+1E-9,A247&gt;=Grid!$Q$2,A247&lt;=Grid!$Q$1002,ISNUMBER(D247))</f>
        <v/>
      </c>
      <c r="F247">
        <f>IF(E247,1,0)+F246</f>
        <v/>
      </c>
    </row>
    <row r="249">
      <c r="A249" s="57" t="inlineStr">
        <is>
          <t>Protokoll und Methodik (Texte)</t>
        </is>
      </c>
    </row>
    <row r="250">
      <c r="A250" s="7" t="inlineStr">
        <is>
          <t>Protokoll</t>
        </is>
      </c>
      <c r="B250">
        <f>IF(k_ok,IFERROR(IF(k_run,"Laufband","Radergometer")&amp;", Stufendauer "&amp;IF(ISNUMBER(k_dur),FIXED(k_dur,1,TRUE),"–")&amp;" min, Stufenhöhe "&amp;IF(Eingabe!$E$5="","–",Eingabe!$E$5)&amp;", "&amp;k_n&amp;" auswertbare Stufen von "&amp;FIXED(k_lo,k_xd,TRUE)&amp;" bis "&amp;FIXED(k_hi,k_xd,TRUE)&amp;" "&amp;k_unit&amp;".",""),"")</f>
        <v/>
      </c>
    </row>
    <row r="251">
      <c r="A251" s="7" t="inlineStr">
        <is>
          <t>Analytik</t>
        </is>
      </c>
      <c r="B251">
        <f>IF(k_ok,IFERROR(Eingabe!$E$6&amp;", "&amp;Eingabe!$E$7&amp;IF(Eingabe!$E$8&lt;&gt;"",", "&amp;Eingabe!$E$8,"")&amp;". Für Verlaufsvergleiche immer dasselbe Messsystem und Protokoll verwenden.",""),"")</f>
        <v/>
      </c>
    </row>
    <row r="252">
      <c r="A252" s="7" t="inlineStr">
        <is>
          <t>Kurvenmodell</t>
        </is>
      </c>
      <c r="B252">
        <f>IF(k_ok,IFERROR(INDEX(Listen!$F$2:$F$5,k_model)&amp;", R² "&amp;FIXED(N(k_r2),4,TRUE)&amp;", RMSE "&amp;FIXED(k_rmse,3,TRUE)&amp;" mmol/L. Das Modell ist eine mathematische Interpolation, kein physiologisches Modell des Laktatstoffwechsels.",""),"")</f>
        <v/>
      </c>
    </row>
    <row r="253">
      <c r="A253" s="7" t="inlineStr">
        <is>
          <t>LT1</t>
        </is>
      </c>
      <c r="B253">
        <f>IF(k_ok,IFERROR(Eingabe!$I$5&amp;IF(k_man1,", manuell auf "&amp;FIXED(k_x1,k_xd,TRUE)&amp;" "&amp;k_unit&amp;" gesetzt (Algorithmus: "&amp;IF(ISNUMBER(k_a1x),FIXED(k_a1x,k_xd,TRUE),"–")&amp;")","")&amp;". Baseline für Δ-Verfahren: "&amp;IF(Eingabe!$I$8="Ruhelaktat","Ruhelaktat","niedrigster Stufenwert")&amp;" ("&amp;FIXED(k_base,2,TRUE)&amp;" mmol/L).",""),"")</f>
        <v/>
      </c>
    </row>
    <row r="254">
      <c r="A254" s="7" t="inlineStr">
        <is>
          <t>LT2</t>
        </is>
      </c>
      <c r="B254">
        <f>IF(k_ok,IFERROR(Eingabe!$I$6&amp;IF(k_man2,", manuell auf "&amp;FIXED(k_x2,k_xd,TRUE)&amp;" "&amp;k_unit&amp;" gesetzt (Algorithmus: "&amp;IF(ISNUMBER(k_a2x),FIXED(k_a2x,k_xd,TRUE),"–")&amp;")","")&amp;". LT2 ist eine Schätzung des oberen Übergangsbereichs und nicht per Definition MLSS oder Critical Speed/Power.",""),"")</f>
        <v/>
      </c>
    </row>
    <row r="255">
      <c r="A255" s="7" t="inlineStr">
        <is>
          <t>LTP-Konzept</t>
        </is>
      </c>
      <c r="B255">
        <f>IF(k_ok,IFERROR(IF(OR(k_m1=1,k_m2=7),"LTP1 und LTP2 nach Hofmann/Pokan (Graz): computergestützte lineare Regressions-Breakpoint-Analyse der gemessenen Laktatwerte. LTP1 als erster Anstieg über das Ruheniveau im Suchbereich erste Stufe bis "&amp;ROUND(k_roi*100,0)&amp;" % vmax, LTP2 als zweiter, beschleunigter Anstieg im Bereich LTP1 bis vmax. Daraus ergibt sich das Drei-Phasen-Modell: Phase I unterhalb LTP1, Phase II zwischen LTP1 und LTP2, Phase III oberhalb LTP2.",""),""),"")</f>
        <v/>
      </c>
    </row>
    <row r="256">
      <c r="A256" s="7" t="inlineStr">
        <is>
          <t>Hilfsgeraden</t>
        </is>
      </c>
      <c r="B256">
        <f>IF(k_ok,IFERROR(IF(k_gfree,"Drei stetig verbundene Regressionsgeraden (Grundlinie, Übergang, steiler Anstieg) mit Knoten an LT1 und LT2, nach der Methode der kleinsten Quadrate an die Messpunkte angepasst. Das LTP-Verfahren wählt die Knoten mit dem kleinsten Fehler.","Drei verbundene Geraden (Grundlinie, Übergang, steiler Anstieg) mit Eckpunkten auf der Laktatkurve bei Testbeginn, LT1, LT2 und Testende. Wo die Kurve nicht konvex ist, wird das betroffene Geradenstück angehoben, sodass die Hilfsgeraden die Kurve nirgends unterschreiten. Die Knoten der LTP-Verfahren stammen weiterhin aus der freien 3-Phasen-Regression durch die Messpunkte; die Korrektur betrifft nur die Darstellung der Geraden."),""),"")</f>
        <v/>
      </c>
    </row>
    <row r="257">
      <c r="A257" s="7" t="inlineStr">
        <is>
          <t>Dmax-Verfahren</t>
        </is>
      </c>
      <c r="B257">
        <f>IF(k_ok,IFERROR("Gesucht wird der Punkt, an dem die Tangente der Kurve parallel zur Sehne liegt (f′(x) = m), d. h. der größte Abstand der Kurve unterhalb der Sehne. In Excel wird dazu die Kurve in 1000 Schritten ausgewertet und das Maximum per Parabel verfeinert. Das Ergebnis ist unabhängig von der Achsenskalierung.",""),"")</f>
        <v/>
      </c>
    </row>
    <row r="258">
      <c r="A258" s="7" t="inlineStr">
        <is>
          <t>Trainingsbereiche</t>
        </is>
      </c>
      <c r="B258">
        <f>IF(k_ok,IFERROR("A1 ab "&amp;Eingabe!$I$19&amp;" % LT1, A1|A2 "&amp;IF(k_zm1,"manuell gesetzt","bei LT1")&amp;", A2 bis "&amp;Eingabe!$I$20&amp;" % der Strecke LT1→LT2, A3 bis "&amp;Eingabe!$I$21&amp;" % LT2, A4 bis "&amp;Eingabe!$I$22&amp;" % vmax. HF-Werte aus dem "&amp;IF(k_hrdeg=1,"linearen","quadratischen")&amp;" HF-Modell."&amp;IF(OR(k_zm0,k_zm1,k_zm2,k_zm3,k_zm4)," Manuell angepasste Grenzen: "&amp;MID(IF(k_zm0,", A0|A1","")&amp;IF(k_zm1,", A1|A2","")&amp;IF(k_zm2,", A2|A3","")&amp;IF(k_zm3,", A3|A4","")&amp;IF(k_zm4,", A4 Ende",""),3,200)&amp;".",""),""),"")</f>
        <v/>
      </c>
    </row>
    <row r="260">
      <c r="A260" s="7" t="inlineStr">
        <is>
          <t>Alter [Jahre]</t>
        </is>
      </c>
      <c r="B260">
        <f>IF(AND(ISNUMBER(Eingabe!$B$5),ISNUMBER(Eingabe!$B$6)),(Eingabe!$B$6-Eingabe!$B$5)/365.2425,IF(ISNUMBER(Eingabe!$B$5),(TODAY()-Eingabe!$B$5)/365.2425,""))</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002"/>
  <sheetViews>
    <sheetView showGridLines="0" workbookViewId="0">
      <selection activeCell="A1" sqref="A1"/>
    </sheetView>
  </sheetViews>
  <sheetFormatPr baseColWidth="8" defaultRowHeight="15"/>
  <sheetData>
    <row r="1">
      <c r="A1" s="57" t="inlineStr">
        <is>
          <t>i</t>
        </is>
      </c>
      <c r="B1" s="57" t="inlineStr">
        <is>
          <t>x</t>
        </is>
      </c>
      <c r="C1" s="57" t="inlineStr">
        <is>
          <t>t</t>
        </is>
      </c>
      <c r="D1" s="57" t="inlineStr">
        <is>
          <t>f P2</t>
        </is>
      </c>
      <c r="E1" s="57" t="inlineStr">
        <is>
          <t>f P3</t>
        </is>
      </c>
      <c r="F1" s="57" t="inlineStr">
        <is>
          <t>f P4</t>
        </is>
      </c>
      <c r="G1" s="57" t="inlineStr">
        <is>
          <t>f Exp</t>
        </is>
      </c>
      <c r="H1" s="57" t="inlineStr">
        <is>
          <t>f' P2</t>
        </is>
      </c>
      <c r="I1" s="57" t="inlineStr">
        <is>
          <t>f' P3</t>
        </is>
      </c>
      <c r="J1" s="57" t="inlineStr">
        <is>
          <t>f' P4</t>
        </is>
      </c>
      <c r="K1" s="57" t="inlineStr">
        <is>
          <t>f' Exp</t>
        </is>
      </c>
      <c r="L1" s="57" t="inlineStr">
        <is>
          <t>f'' P4</t>
        </is>
      </c>
      <c r="M1" s="57" t="inlineStr">
        <is>
          <t>La/x P2</t>
        </is>
      </c>
      <c r="N1" s="57" t="inlineStr">
        <is>
          <t>La/x P3</t>
        </is>
      </c>
      <c r="O1" s="57" t="inlineStr">
        <is>
          <t>La/x P4</t>
        </is>
      </c>
      <c r="P1" s="57" t="inlineStr">
        <is>
          <t>La/x Exp</t>
        </is>
      </c>
      <c r="Q1" s="57" t="inlineStr">
        <is>
          <t>f gewählt</t>
        </is>
      </c>
      <c r="R1" s="57" t="inlineStr">
        <is>
          <t>f' gewählt</t>
        </is>
      </c>
    </row>
    <row r="2">
      <c r="A2" t="n">
        <v>0</v>
      </c>
      <c r="B2">
        <f>k_lo+k_rng*A2/1000</f>
        <v/>
      </c>
      <c r="C2">
        <f>(B2-k_mx)/k_sx</f>
        <v/>
      </c>
      <c r="D2">
        <f>k_p2_0+C2*(k_p2_1+C2*k_p2_2)</f>
        <v/>
      </c>
      <c r="E2">
        <f>k_p3_0+C2*(k_p3_1+C2*(k_p3_2+C2*k_p3_3))</f>
        <v/>
      </c>
      <c r="F2">
        <f>k_p4_0+C2*(k_p4_1+C2*(k_p4_2+C2*(k_p4_3+C2*k_p4_4)))</f>
        <v/>
      </c>
      <c r="G2">
        <f>k_ea+k_eb*EXP(k_ec*C2)</f>
        <v/>
      </c>
      <c r="H2">
        <f>(k_p2_1+2*k_p2_2*C2)/k_sx</f>
        <v/>
      </c>
      <c r="I2">
        <f>(k_p3_1+C2*(2*k_p3_2+3*k_p3_3*C2))/k_sx</f>
        <v/>
      </c>
      <c r="J2">
        <f>(k_p4_1+C2*(2*k_p4_2+C2*(3*k_p4_3+4*k_p4_4*C2)))/k_sx</f>
        <v/>
      </c>
      <c r="K2">
        <f>k_eb*k_ec*EXP(k_ec*C2)/k_sx</f>
        <v/>
      </c>
      <c r="L2">
        <f>(2*k_p4_2+C2*(6*k_p4_3+12*k_p4_4*C2))/k_sx^2</f>
        <v/>
      </c>
      <c r="M2">
        <f>D2/B2</f>
        <v/>
      </c>
      <c r="N2">
        <f>E2/B2</f>
        <v/>
      </c>
      <c r="O2">
        <f>F2/B2</f>
        <v/>
      </c>
      <c r="P2">
        <f>G2/B2</f>
        <v/>
      </c>
      <c r="Q2">
        <f>CHOOSE(k_model,D2,E2,F2,G2)</f>
        <v/>
      </c>
      <c r="R2">
        <f>CHOOSE(k_model,H2,I2,J2,K2)</f>
        <v/>
      </c>
    </row>
    <row r="3">
      <c r="A3" t="n">
        <v>1</v>
      </c>
      <c r="B3">
        <f>k_lo+k_rng*A3/1000</f>
        <v/>
      </c>
      <c r="C3">
        <f>(B3-k_mx)/k_sx</f>
        <v/>
      </c>
      <c r="D3">
        <f>k_p2_0+C3*(k_p2_1+C3*k_p2_2)</f>
        <v/>
      </c>
      <c r="E3">
        <f>k_p3_0+C3*(k_p3_1+C3*(k_p3_2+C3*k_p3_3))</f>
        <v/>
      </c>
      <c r="F3">
        <f>k_p4_0+C3*(k_p4_1+C3*(k_p4_2+C3*(k_p4_3+C3*k_p4_4)))</f>
        <v/>
      </c>
      <c r="G3">
        <f>k_ea+k_eb*EXP(k_ec*C3)</f>
        <v/>
      </c>
      <c r="H3">
        <f>(k_p2_1+2*k_p2_2*C3)/k_sx</f>
        <v/>
      </c>
      <c r="I3">
        <f>(k_p3_1+C3*(2*k_p3_2+3*k_p3_3*C3))/k_sx</f>
        <v/>
      </c>
      <c r="J3">
        <f>(k_p4_1+C3*(2*k_p4_2+C3*(3*k_p4_3+4*k_p4_4*C3)))/k_sx</f>
        <v/>
      </c>
      <c r="K3">
        <f>k_eb*k_ec*EXP(k_ec*C3)/k_sx</f>
        <v/>
      </c>
      <c r="L3">
        <f>(2*k_p4_2+C3*(6*k_p4_3+12*k_p4_4*C3))/k_sx^2</f>
        <v/>
      </c>
      <c r="M3">
        <f>D3/B3</f>
        <v/>
      </c>
      <c r="N3">
        <f>E3/B3</f>
        <v/>
      </c>
      <c r="O3">
        <f>F3/B3</f>
        <v/>
      </c>
      <c r="P3">
        <f>G3/B3</f>
        <v/>
      </c>
      <c r="Q3">
        <f>CHOOSE(k_model,D3,E3,F3,G3)</f>
        <v/>
      </c>
      <c r="R3">
        <f>CHOOSE(k_model,H3,I3,J3,K3)</f>
        <v/>
      </c>
    </row>
    <row r="4">
      <c r="A4" t="n">
        <v>2</v>
      </c>
      <c r="B4">
        <f>k_lo+k_rng*A4/1000</f>
        <v/>
      </c>
      <c r="C4">
        <f>(B4-k_mx)/k_sx</f>
        <v/>
      </c>
      <c r="D4">
        <f>k_p2_0+C4*(k_p2_1+C4*k_p2_2)</f>
        <v/>
      </c>
      <c r="E4">
        <f>k_p3_0+C4*(k_p3_1+C4*(k_p3_2+C4*k_p3_3))</f>
        <v/>
      </c>
      <c r="F4">
        <f>k_p4_0+C4*(k_p4_1+C4*(k_p4_2+C4*(k_p4_3+C4*k_p4_4)))</f>
        <v/>
      </c>
      <c r="G4">
        <f>k_ea+k_eb*EXP(k_ec*C4)</f>
        <v/>
      </c>
      <c r="H4">
        <f>(k_p2_1+2*k_p2_2*C4)/k_sx</f>
        <v/>
      </c>
      <c r="I4">
        <f>(k_p3_1+C4*(2*k_p3_2+3*k_p3_3*C4))/k_sx</f>
        <v/>
      </c>
      <c r="J4">
        <f>(k_p4_1+C4*(2*k_p4_2+C4*(3*k_p4_3+4*k_p4_4*C4)))/k_sx</f>
        <v/>
      </c>
      <c r="K4">
        <f>k_eb*k_ec*EXP(k_ec*C4)/k_sx</f>
        <v/>
      </c>
      <c r="L4">
        <f>(2*k_p4_2+C4*(6*k_p4_3+12*k_p4_4*C4))/k_sx^2</f>
        <v/>
      </c>
      <c r="M4">
        <f>D4/B4</f>
        <v/>
      </c>
      <c r="N4">
        <f>E4/B4</f>
        <v/>
      </c>
      <c r="O4">
        <f>F4/B4</f>
        <v/>
      </c>
      <c r="P4">
        <f>G4/B4</f>
        <v/>
      </c>
      <c r="Q4">
        <f>CHOOSE(k_model,D4,E4,F4,G4)</f>
        <v/>
      </c>
      <c r="R4">
        <f>CHOOSE(k_model,H4,I4,J4,K4)</f>
        <v/>
      </c>
    </row>
    <row r="5">
      <c r="A5" t="n">
        <v>3</v>
      </c>
      <c r="B5">
        <f>k_lo+k_rng*A5/1000</f>
        <v/>
      </c>
      <c r="C5">
        <f>(B5-k_mx)/k_sx</f>
        <v/>
      </c>
      <c r="D5">
        <f>k_p2_0+C5*(k_p2_1+C5*k_p2_2)</f>
        <v/>
      </c>
      <c r="E5">
        <f>k_p3_0+C5*(k_p3_1+C5*(k_p3_2+C5*k_p3_3))</f>
        <v/>
      </c>
      <c r="F5">
        <f>k_p4_0+C5*(k_p4_1+C5*(k_p4_2+C5*(k_p4_3+C5*k_p4_4)))</f>
        <v/>
      </c>
      <c r="G5">
        <f>k_ea+k_eb*EXP(k_ec*C5)</f>
        <v/>
      </c>
      <c r="H5">
        <f>(k_p2_1+2*k_p2_2*C5)/k_sx</f>
        <v/>
      </c>
      <c r="I5">
        <f>(k_p3_1+C5*(2*k_p3_2+3*k_p3_3*C5))/k_sx</f>
        <v/>
      </c>
      <c r="J5">
        <f>(k_p4_1+C5*(2*k_p4_2+C5*(3*k_p4_3+4*k_p4_4*C5)))/k_sx</f>
        <v/>
      </c>
      <c r="K5">
        <f>k_eb*k_ec*EXP(k_ec*C5)/k_sx</f>
        <v/>
      </c>
      <c r="L5">
        <f>(2*k_p4_2+C5*(6*k_p4_3+12*k_p4_4*C5))/k_sx^2</f>
        <v/>
      </c>
      <c r="M5">
        <f>D5/B5</f>
        <v/>
      </c>
      <c r="N5">
        <f>E5/B5</f>
        <v/>
      </c>
      <c r="O5">
        <f>F5/B5</f>
        <v/>
      </c>
      <c r="P5">
        <f>G5/B5</f>
        <v/>
      </c>
      <c r="Q5">
        <f>CHOOSE(k_model,D5,E5,F5,G5)</f>
        <v/>
      </c>
      <c r="R5">
        <f>CHOOSE(k_model,H5,I5,J5,K5)</f>
        <v/>
      </c>
    </row>
    <row r="6">
      <c r="A6" t="n">
        <v>4</v>
      </c>
      <c r="B6">
        <f>k_lo+k_rng*A6/1000</f>
        <v/>
      </c>
      <c r="C6">
        <f>(B6-k_mx)/k_sx</f>
        <v/>
      </c>
      <c r="D6">
        <f>k_p2_0+C6*(k_p2_1+C6*k_p2_2)</f>
        <v/>
      </c>
      <c r="E6">
        <f>k_p3_0+C6*(k_p3_1+C6*(k_p3_2+C6*k_p3_3))</f>
        <v/>
      </c>
      <c r="F6">
        <f>k_p4_0+C6*(k_p4_1+C6*(k_p4_2+C6*(k_p4_3+C6*k_p4_4)))</f>
        <v/>
      </c>
      <c r="G6">
        <f>k_ea+k_eb*EXP(k_ec*C6)</f>
        <v/>
      </c>
      <c r="H6">
        <f>(k_p2_1+2*k_p2_2*C6)/k_sx</f>
        <v/>
      </c>
      <c r="I6">
        <f>(k_p3_1+C6*(2*k_p3_2+3*k_p3_3*C6))/k_sx</f>
        <v/>
      </c>
      <c r="J6">
        <f>(k_p4_1+C6*(2*k_p4_2+C6*(3*k_p4_3+4*k_p4_4*C6)))/k_sx</f>
        <v/>
      </c>
      <c r="K6">
        <f>k_eb*k_ec*EXP(k_ec*C6)/k_sx</f>
        <v/>
      </c>
      <c r="L6">
        <f>(2*k_p4_2+C6*(6*k_p4_3+12*k_p4_4*C6))/k_sx^2</f>
        <v/>
      </c>
      <c r="M6">
        <f>D6/B6</f>
        <v/>
      </c>
      <c r="N6">
        <f>E6/B6</f>
        <v/>
      </c>
      <c r="O6">
        <f>F6/B6</f>
        <v/>
      </c>
      <c r="P6">
        <f>G6/B6</f>
        <v/>
      </c>
      <c r="Q6">
        <f>CHOOSE(k_model,D6,E6,F6,G6)</f>
        <v/>
      </c>
      <c r="R6">
        <f>CHOOSE(k_model,H6,I6,J6,K6)</f>
        <v/>
      </c>
    </row>
    <row r="7">
      <c r="A7" t="n">
        <v>5</v>
      </c>
      <c r="B7">
        <f>k_lo+k_rng*A7/1000</f>
        <v/>
      </c>
      <c r="C7">
        <f>(B7-k_mx)/k_sx</f>
        <v/>
      </c>
      <c r="D7">
        <f>k_p2_0+C7*(k_p2_1+C7*k_p2_2)</f>
        <v/>
      </c>
      <c r="E7">
        <f>k_p3_0+C7*(k_p3_1+C7*(k_p3_2+C7*k_p3_3))</f>
        <v/>
      </c>
      <c r="F7">
        <f>k_p4_0+C7*(k_p4_1+C7*(k_p4_2+C7*(k_p4_3+C7*k_p4_4)))</f>
        <v/>
      </c>
      <c r="G7">
        <f>k_ea+k_eb*EXP(k_ec*C7)</f>
        <v/>
      </c>
      <c r="H7">
        <f>(k_p2_1+2*k_p2_2*C7)/k_sx</f>
        <v/>
      </c>
      <c r="I7">
        <f>(k_p3_1+C7*(2*k_p3_2+3*k_p3_3*C7))/k_sx</f>
        <v/>
      </c>
      <c r="J7">
        <f>(k_p4_1+C7*(2*k_p4_2+C7*(3*k_p4_3+4*k_p4_4*C7)))/k_sx</f>
        <v/>
      </c>
      <c r="K7">
        <f>k_eb*k_ec*EXP(k_ec*C7)/k_sx</f>
        <v/>
      </c>
      <c r="L7">
        <f>(2*k_p4_2+C7*(6*k_p4_3+12*k_p4_4*C7))/k_sx^2</f>
        <v/>
      </c>
      <c r="M7">
        <f>D7/B7</f>
        <v/>
      </c>
      <c r="N7">
        <f>E7/B7</f>
        <v/>
      </c>
      <c r="O7">
        <f>F7/B7</f>
        <v/>
      </c>
      <c r="P7">
        <f>G7/B7</f>
        <v/>
      </c>
      <c r="Q7">
        <f>CHOOSE(k_model,D7,E7,F7,G7)</f>
        <v/>
      </c>
      <c r="R7">
        <f>CHOOSE(k_model,H7,I7,J7,K7)</f>
        <v/>
      </c>
    </row>
    <row r="8">
      <c r="A8" t="n">
        <v>6</v>
      </c>
      <c r="B8">
        <f>k_lo+k_rng*A8/1000</f>
        <v/>
      </c>
      <c r="C8">
        <f>(B8-k_mx)/k_sx</f>
        <v/>
      </c>
      <c r="D8">
        <f>k_p2_0+C8*(k_p2_1+C8*k_p2_2)</f>
        <v/>
      </c>
      <c r="E8">
        <f>k_p3_0+C8*(k_p3_1+C8*(k_p3_2+C8*k_p3_3))</f>
        <v/>
      </c>
      <c r="F8">
        <f>k_p4_0+C8*(k_p4_1+C8*(k_p4_2+C8*(k_p4_3+C8*k_p4_4)))</f>
        <v/>
      </c>
      <c r="G8">
        <f>k_ea+k_eb*EXP(k_ec*C8)</f>
        <v/>
      </c>
      <c r="H8">
        <f>(k_p2_1+2*k_p2_2*C8)/k_sx</f>
        <v/>
      </c>
      <c r="I8">
        <f>(k_p3_1+C8*(2*k_p3_2+3*k_p3_3*C8))/k_sx</f>
        <v/>
      </c>
      <c r="J8">
        <f>(k_p4_1+C8*(2*k_p4_2+C8*(3*k_p4_3+4*k_p4_4*C8)))/k_sx</f>
        <v/>
      </c>
      <c r="K8">
        <f>k_eb*k_ec*EXP(k_ec*C8)/k_sx</f>
        <v/>
      </c>
      <c r="L8">
        <f>(2*k_p4_2+C8*(6*k_p4_3+12*k_p4_4*C8))/k_sx^2</f>
        <v/>
      </c>
      <c r="M8">
        <f>D8/B8</f>
        <v/>
      </c>
      <c r="N8">
        <f>E8/B8</f>
        <v/>
      </c>
      <c r="O8">
        <f>F8/B8</f>
        <v/>
      </c>
      <c r="P8">
        <f>G8/B8</f>
        <v/>
      </c>
      <c r="Q8">
        <f>CHOOSE(k_model,D8,E8,F8,G8)</f>
        <v/>
      </c>
      <c r="R8">
        <f>CHOOSE(k_model,H8,I8,J8,K8)</f>
        <v/>
      </c>
    </row>
    <row r="9">
      <c r="A9" t="n">
        <v>7</v>
      </c>
      <c r="B9">
        <f>k_lo+k_rng*A9/1000</f>
        <v/>
      </c>
      <c r="C9">
        <f>(B9-k_mx)/k_sx</f>
        <v/>
      </c>
      <c r="D9">
        <f>k_p2_0+C9*(k_p2_1+C9*k_p2_2)</f>
        <v/>
      </c>
      <c r="E9">
        <f>k_p3_0+C9*(k_p3_1+C9*(k_p3_2+C9*k_p3_3))</f>
        <v/>
      </c>
      <c r="F9">
        <f>k_p4_0+C9*(k_p4_1+C9*(k_p4_2+C9*(k_p4_3+C9*k_p4_4)))</f>
        <v/>
      </c>
      <c r="G9">
        <f>k_ea+k_eb*EXP(k_ec*C9)</f>
        <v/>
      </c>
      <c r="H9">
        <f>(k_p2_1+2*k_p2_2*C9)/k_sx</f>
        <v/>
      </c>
      <c r="I9">
        <f>(k_p3_1+C9*(2*k_p3_2+3*k_p3_3*C9))/k_sx</f>
        <v/>
      </c>
      <c r="J9">
        <f>(k_p4_1+C9*(2*k_p4_2+C9*(3*k_p4_3+4*k_p4_4*C9)))/k_sx</f>
        <v/>
      </c>
      <c r="K9">
        <f>k_eb*k_ec*EXP(k_ec*C9)/k_sx</f>
        <v/>
      </c>
      <c r="L9">
        <f>(2*k_p4_2+C9*(6*k_p4_3+12*k_p4_4*C9))/k_sx^2</f>
        <v/>
      </c>
      <c r="M9">
        <f>D9/B9</f>
        <v/>
      </c>
      <c r="N9">
        <f>E9/B9</f>
        <v/>
      </c>
      <c r="O9">
        <f>F9/B9</f>
        <v/>
      </c>
      <c r="P9">
        <f>G9/B9</f>
        <v/>
      </c>
      <c r="Q9">
        <f>CHOOSE(k_model,D9,E9,F9,G9)</f>
        <v/>
      </c>
      <c r="R9">
        <f>CHOOSE(k_model,H9,I9,J9,K9)</f>
        <v/>
      </c>
    </row>
    <row r="10">
      <c r="A10" t="n">
        <v>8</v>
      </c>
      <c r="B10">
        <f>k_lo+k_rng*A10/1000</f>
        <v/>
      </c>
      <c r="C10">
        <f>(B10-k_mx)/k_sx</f>
        <v/>
      </c>
      <c r="D10">
        <f>k_p2_0+C10*(k_p2_1+C10*k_p2_2)</f>
        <v/>
      </c>
      <c r="E10">
        <f>k_p3_0+C10*(k_p3_1+C10*(k_p3_2+C10*k_p3_3))</f>
        <v/>
      </c>
      <c r="F10">
        <f>k_p4_0+C10*(k_p4_1+C10*(k_p4_2+C10*(k_p4_3+C10*k_p4_4)))</f>
        <v/>
      </c>
      <c r="G10">
        <f>k_ea+k_eb*EXP(k_ec*C10)</f>
        <v/>
      </c>
      <c r="H10">
        <f>(k_p2_1+2*k_p2_2*C10)/k_sx</f>
        <v/>
      </c>
      <c r="I10">
        <f>(k_p3_1+C10*(2*k_p3_2+3*k_p3_3*C10))/k_sx</f>
        <v/>
      </c>
      <c r="J10">
        <f>(k_p4_1+C10*(2*k_p4_2+C10*(3*k_p4_3+4*k_p4_4*C10)))/k_sx</f>
        <v/>
      </c>
      <c r="K10">
        <f>k_eb*k_ec*EXP(k_ec*C10)/k_sx</f>
        <v/>
      </c>
      <c r="L10">
        <f>(2*k_p4_2+C10*(6*k_p4_3+12*k_p4_4*C10))/k_sx^2</f>
        <v/>
      </c>
      <c r="M10">
        <f>D10/B10</f>
        <v/>
      </c>
      <c r="N10">
        <f>E10/B10</f>
        <v/>
      </c>
      <c r="O10">
        <f>F10/B10</f>
        <v/>
      </c>
      <c r="P10">
        <f>G10/B10</f>
        <v/>
      </c>
      <c r="Q10">
        <f>CHOOSE(k_model,D10,E10,F10,G10)</f>
        <v/>
      </c>
      <c r="R10">
        <f>CHOOSE(k_model,H10,I10,J10,K10)</f>
        <v/>
      </c>
    </row>
    <row r="11">
      <c r="A11" t="n">
        <v>9</v>
      </c>
      <c r="B11">
        <f>k_lo+k_rng*A11/1000</f>
        <v/>
      </c>
      <c r="C11">
        <f>(B11-k_mx)/k_sx</f>
        <v/>
      </c>
      <c r="D11">
        <f>k_p2_0+C11*(k_p2_1+C11*k_p2_2)</f>
        <v/>
      </c>
      <c r="E11">
        <f>k_p3_0+C11*(k_p3_1+C11*(k_p3_2+C11*k_p3_3))</f>
        <v/>
      </c>
      <c r="F11">
        <f>k_p4_0+C11*(k_p4_1+C11*(k_p4_2+C11*(k_p4_3+C11*k_p4_4)))</f>
        <v/>
      </c>
      <c r="G11">
        <f>k_ea+k_eb*EXP(k_ec*C11)</f>
        <v/>
      </c>
      <c r="H11">
        <f>(k_p2_1+2*k_p2_2*C11)/k_sx</f>
        <v/>
      </c>
      <c r="I11">
        <f>(k_p3_1+C11*(2*k_p3_2+3*k_p3_3*C11))/k_sx</f>
        <v/>
      </c>
      <c r="J11">
        <f>(k_p4_1+C11*(2*k_p4_2+C11*(3*k_p4_3+4*k_p4_4*C11)))/k_sx</f>
        <v/>
      </c>
      <c r="K11">
        <f>k_eb*k_ec*EXP(k_ec*C11)/k_sx</f>
        <v/>
      </c>
      <c r="L11">
        <f>(2*k_p4_2+C11*(6*k_p4_3+12*k_p4_4*C11))/k_sx^2</f>
        <v/>
      </c>
      <c r="M11">
        <f>D11/B11</f>
        <v/>
      </c>
      <c r="N11">
        <f>E11/B11</f>
        <v/>
      </c>
      <c r="O11">
        <f>F11/B11</f>
        <v/>
      </c>
      <c r="P11">
        <f>G11/B11</f>
        <v/>
      </c>
      <c r="Q11">
        <f>CHOOSE(k_model,D11,E11,F11,G11)</f>
        <v/>
      </c>
      <c r="R11">
        <f>CHOOSE(k_model,H11,I11,J11,K11)</f>
        <v/>
      </c>
    </row>
    <row r="12">
      <c r="A12" t="n">
        <v>10</v>
      </c>
      <c r="B12">
        <f>k_lo+k_rng*A12/1000</f>
        <v/>
      </c>
      <c r="C12">
        <f>(B12-k_mx)/k_sx</f>
        <v/>
      </c>
      <c r="D12">
        <f>k_p2_0+C12*(k_p2_1+C12*k_p2_2)</f>
        <v/>
      </c>
      <c r="E12">
        <f>k_p3_0+C12*(k_p3_1+C12*(k_p3_2+C12*k_p3_3))</f>
        <v/>
      </c>
      <c r="F12">
        <f>k_p4_0+C12*(k_p4_1+C12*(k_p4_2+C12*(k_p4_3+C12*k_p4_4)))</f>
        <v/>
      </c>
      <c r="G12">
        <f>k_ea+k_eb*EXP(k_ec*C12)</f>
        <v/>
      </c>
      <c r="H12">
        <f>(k_p2_1+2*k_p2_2*C12)/k_sx</f>
        <v/>
      </c>
      <c r="I12">
        <f>(k_p3_1+C12*(2*k_p3_2+3*k_p3_3*C12))/k_sx</f>
        <v/>
      </c>
      <c r="J12">
        <f>(k_p4_1+C12*(2*k_p4_2+C12*(3*k_p4_3+4*k_p4_4*C12)))/k_sx</f>
        <v/>
      </c>
      <c r="K12">
        <f>k_eb*k_ec*EXP(k_ec*C12)/k_sx</f>
        <v/>
      </c>
      <c r="L12">
        <f>(2*k_p4_2+C12*(6*k_p4_3+12*k_p4_4*C12))/k_sx^2</f>
        <v/>
      </c>
      <c r="M12">
        <f>D12/B12</f>
        <v/>
      </c>
      <c r="N12">
        <f>E12/B12</f>
        <v/>
      </c>
      <c r="O12">
        <f>F12/B12</f>
        <v/>
      </c>
      <c r="P12">
        <f>G12/B12</f>
        <v/>
      </c>
      <c r="Q12">
        <f>CHOOSE(k_model,D12,E12,F12,G12)</f>
        <v/>
      </c>
      <c r="R12">
        <f>CHOOSE(k_model,H12,I12,J12,K12)</f>
        <v/>
      </c>
    </row>
    <row r="13">
      <c r="A13" t="n">
        <v>11</v>
      </c>
      <c r="B13">
        <f>k_lo+k_rng*A13/1000</f>
        <v/>
      </c>
      <c r="C13">
        <f>(B13-k_mx)/k_sx</f>
        <v/>
      </c>
      <c r="D13">
        <f>k_p2_0+C13*(k_p2_1+C13*k_p2_2)</f>
        <v/>
      </c>
      <c r="E13">
        <f>k_p3_0+C13*(k_p3_1+C13*(k_p3_2+C13*k_p3_3))</f>
        <v/>
      </c>
      <c r="F13">
        <f>k_p4_0+C13*(k_p4_1+C13*(k_p4_2+C13*(k_p4_3+C13*k_p4_4)))</f>
        <v/>
      </c>
      <c r="G13">
        <f>k_ea+k_eb*EXP(k_ec*C13)</f>
        <v/>
      </c>
      <c r="H13">
        <f>(k_p2_1+2*k_p2_2*C13)/k_sx</f>
        <v/>
      </c>
      <c r="I13">
        <f>(k_p3_1+C13*(2*k_p3_2+3*k_p3_3*C13))/k_sx</f>
        <v/>
      </c>
      <c r="J13">
        <f>(k_p4_1+C13*(2*k_p4_2+C13*(3*k_p4_3+4*k_p4_4*C13)))/k_sx</f>
        <v/>
      </c>
      <c r="K13">
        <f>k_eb*k_ec*EXP(k_ec*C13)/k_sx</f>
        <v/>
      </c>
      <c r="L13">
        <f>(2*k_p4_2+C13*(6*k_p4_3+12*k_p4_4*C13))/k_sx^2</f>
        <v/>
      </c>
      <c r="M13">
        <f>D13/B13</f>
        <v/>
      </c>
      <c r="N13">
        <f>E13/B13</f>
        <v/>
      </c>
      <c r="O13">
        <f>F13/B13</f>
        <v/>
      </c>
      <c r="P13">
        <f>G13/B13</f>
        <v/>
      </c>
      <c r="Q13">
        <f>CHOOSE(k_model,D13,E13,F13,G13)</f>
        <v/>
      </c>
      <c r="R13">
        <f>CHOOSE(k_model,H13,I13,J13,K13)</f>
        <v/>
      </c>
    </row>
    <row r="14">
      <c r="A14" t="n">
        <v>12</v>
      </c>
      <c r="B14">
        <f>k_lo+k_rng*A14/1000</f>
        <v/>
      </c>
      <c r="C14">
        <f>(B14-k_mx)/k_sx</f>
        <v/>
      </c>
      <c r="D14">
        <f>k_p2_0+C14*(k_p2_1+C14*k_p2_2)</f>
        <v/>
      </c>
      <c r="E14">
        <f>k_p3_0+C14*(k_p3_1+C14*(k_p3_2+C14*k_p3_3))</f>
        <v/>
      </c>
      <c r="F14">
        <f>k_p4_0+C14*(k_p4_1+C14*(k_p4_2+C14*(k_p4_3+C14*k_p4_4)))</f>
        <v/>
      </c>
      <c r="G14">
        <f>k_ea+k_eb*EXP(k_ec*C14)</f>
        <v/>
      </c>
      <c r="H14">
        <f>(k_p2_1+2*k_p2_2*C14)/k_sx</f>
        <v/>
      </c>
      <c r="I14">
        <f>(k_p3_1+C14*(2*k_p3_2+3*k_p3_3*C14))/k_sx</f>
        <v/>
      </c>
      <c r="J14">
        <f>(k_p4_1+C14*(2*k_p4_2+C14*(3*k_p4_3+4*k_p4_4*C14)))/k_sx</f>
        <v/>
      </c>
      <c r="K14">
        <f>k_eb*k_ec*EXP(k_ec*C14)/k_sx</f>
        <v/>
      </c>
      <c r="L14">
        <f>(2*k_p4_2+C14*(6*k_p4_3+12*k_p4_4*C14))/k_sx^2</f>
        <v/>
      </c>
      <c r="M14">
        <f>D14/B14</f>
        <v/>
      </c>
      <c r="N14">
        <f>E14/B14</f>
        <v/>
      </c>
      <c r="O14">
        <f>F14/B14</f>
        <v/>
      </c>
      <c r="P14">
        <f>G14/B14</f>
        <v/>
      </c>
      <c r="Q14">
        <f>CHOOSE(k_model,D14,E14,F14,G14)</f>
        <v/>
      </c>
      <c r="R14">
        <f>CHOOSE(k_model,H14,I14,J14,K14)</f>
        <v/>
      </c>
    </row>
    <row r="15">
      <c r="A15" t="n">
        <v>13</v>
      </c>
      <c r="B15">
        <f>k_lo+k_rng*A15/1000</f>
        <v/>
      </c>
      <c r="C15">
        <f>(B15-k_mx)/k_sx</f>
        <v/>
      </c>
      <c r="D15">
        <f>k_p2_0+C15*(k_p2_1+C15*k_p2_2)</f>
        <v/>
      </c>
      <c r="E15">
        <f>k_p3_0+C15*(k_p3_1+C15*(k_p3_2+C15*k_p3_3))</f>
        <v/>
      </c>
      <c r="F15">
        <f>k_p4_0+C15*(k_p4_1+C15*(k_p4_2+C15*(k_p4_3+C15*k_p4_4)))</f>
        <v/>
      </c>
      <c r="G15">
        <f>k_ea+k_eb*EXP(k_ec*C15)</f>
        <v/>
      </c>
      <c r="H15">
        <f>(k_p2_1+2*k_p2_2*C15)/k_sx</f>
        <v/>
      </c>
      <c r="I15">
        <f>(k_p3_1+C15*(2*k_p3_2+3*k_p3_3*C15))/k_sx</f>
        <v/>
      </c>
      <c r="J15">
        <f>(k_p4_1+C15*(2*k_p4_2+C15*(3*k_p4_3+4*k_p4_4*C15)))/k_sx</f>
        <v/>
      </c>
      <c r="K15">
        <f>k_eb*k_ec*EXP(k_ec*C15)/k_sx</f>
        <v/>
      </c>
      <c r="L15">
        <f>(2*k_p4_2+C15*(6*k_p4_3+12*k_p4_4*C15))/k_sx^2</f>
        <v/>
      </c>
      <c r="M15">
        <f>D15/B15</f>
        <v/>
      </c>
      <c r="N15">
        <f>E15/B15</f>
        <v/>
      </c>
      <c r="O15">
        <f>F15/B15</f>
        <v/>
      </c>
      <c r="P15">
        <f>G15/B15</f>
        <v/>
      </c>
      <c r="Q15">
        <f>CHOOSE(k_model,D15,E15,F15,G15)</f>
        <v/>
      </c>
      <c r="R15">
        <f>CHOOSE(k_model,H15,I15,J15,K15)</f>
        <v/>
      </c>
    </row>
    <row r="16">
      <c r="A16" t="n">
        <v>14</v>
      </c>
      <c r="B16">
        <f>k_lo+k_rng*A16/1000</f>
        <v/>
      </c>
      <c r="C16">
        <f>(B16-k_mx)/k_sx</f>
        <v/>
      </c>
      <c r="D16">
        <f>k_p2_0+C16*(k_p2_1+C16*k_p2_2)</f>
        <v/>
      </c>
      <c r="E16">
        <f>k_p3_0+C16*(k_p3_1+C16*(k_p3_2+C16*k_p3_3))</f>
        <v/>
      </c>
      <c r="F16">
        <f>k_p4_0+C16*(k_p4_1+C16*(k_p4_2+C16*(k_p4_3+C16*k_p4_4)))</f>
        <v/>
      </c>
      <c r="G16">
        <f>k_ea+k_eb*EXP(k_ec*C16)</f>
        <v/>
      </c>
      <c r="H16">
        <f>(k_p2_1+2*k_p2_2*C16)/k_sx</f>
        <v/>
      </c>
      <c r="I16">
        <f>(k_p3_1+C16*(2*k_p3_2+3*k_p3_3*C16))/k_sx</f>
        <v/>
      </c>
      <c r="J16">
        <f>(k_p4_1+C16*(2*k_p4_2+C16*(3*k_p4_3+4*k_p4_4*C16)))/k_sx</f>
        <v/>
      </c>
      <c r="K16">
        <f>k_eb*k_ec*EXP(k_ec*C16)/k_sx</f>
        <v/>
      </c>
      <c r="L16">
        <f>(2*k_p4_2+C16*(6*k_p4_3+12*k_p4_4*C16))/k_sx^2</f>
        <v/>
      </c>
      <c r="M16">
        <f>D16/B16</f>
        <v/>
      </c>
      <c r="N16">
        <f>E16/B16</f>
        <v/>
      </c>
      <c r="O16">
        <f>F16/B16</f>
        <v/>
      </c>
      <c r="P16">
        <f>G16/B16</f>
        <v/>
      </c>
      <c r="Q16">
        <f>CHOOSE(k_model,D16,E16,F16,G16)</f>
        <v/>
      </c>
      <c r="R16">
        <f>CHOOSE(k_model,H16,I16,J16,K16)</f>
        <v/>
      </c>
    </row>
    <row r="17">
      <c r="A17" t="n">
        <v>15</v>
      </c>
      <c r="B17">
        <f>k_lo+k_rng*A17/1000</f>
        <v/>
      </c>
      <c r="C17">
        <f>(B17-k_mx)/k_sx</f>
        <v/>
      </c>
      <c r="D17">
        <f>k_p2_0+C17*(k_p2_1+C17*k_p2_2)</f>
        <v/>
      </c>
      <c r="E17">
        <f>k_p3_0+C17*(k_p3_1+C17*(k_p3_2+C17*k_p3_3))</f>
        <v/>
      </c>
      <c r="F17">
        <f>k_p4_0+C17*(k_p4_1+C17*(k_p4_2+C17*(k_p4_3+C17*k_p4_4)))</f>
        <v/>
      </c>
      <c r="G17">
        <f>k_ea+k_eb*EXP(k_ec*C17)</f>
        <v/>
      </c>
      <c r="H17">
        <f>(k_p2_1+2*k_p2_2*C17)/k_sx</f>
        <v/>
      </c>
      <c r="I17">
        <f>(k_p3_1+C17*(2*k_p3_2+3*k_p3_3*C17))/k_sx</f>
        <v/>
      </c>
      <c r="J17">
        <f>(k_p4_1+C17*(2*k_p4_2+C17*(3*k_p4_3+4*k_p4_4*C17)))/k_sx</f>
        <v/>
      </c>
      <c r="K17">
        <f>k_eb*k_ec*EXP(k_ec*C17)/k_sx</f>
        <v/>
      </c>
      <c r="L17">
        <f>(2*k_p4_2+C17*(6*k_p4_3+12*k_p4_4*C17))/k_sx^2</f>
        <v/>
      </c>
      <c r="M17">
        <f>D17/B17</f>
        <v/>
      </c>
      <c r="N17">
        <f>E17/B17</f>
        <v/>
      </c>
      <c r="O17">
        <f>F17/B17</f>
        <v/>
      </c>
      <c r="P17">
        <f>G17/B17</f>
        <v/>
      </c>
      <c r="Q17">
        <f>CHOOSE(k_model,D17,E17,F17,G17)</f>
        <v/>
      </c>
      <c r="R17">
        <f>CHOOSE(k_model,H17,I17,J17,K17)</f>
        <v/>
      </c>
    </row>
    <row r="18">
      <c r="A18" t="n">
        <v>16</v>
      </c>
      <c r="B18">
        <f>k_lo+k_rng*A18/1000</f>
        <v/>
      </c>
      <c r="C18">
        <f>(B18-k_mx)/k_sx</f>
        <v/>
      </c>
      <c r="D18">
        <f>k_p2_0+C18*(k_p2_1+C18*k_p2_2)</f>
        <v/>
      </c>
      <c r="E18">
        <f>k_p3_0+C18*(k_p3_1+C18*(k_p3_2+C18*k_p3_3))</f>
        <v/>
      </c>
      <c r="F18">
        <f>k_p4_0+C18*(k_p4_1+C18*(k_p4_2+C18*(k_p4_3+C18*k_p4_4)))</f>
        <v/>
      </c>
      <c r="G18">
        <f>k_ea+k_eb*EXP(k_ec*C18)</f>
        <v/>
      </c>
      <c r="H18">
        <f>(k_p2_1+2*k_p2_2*C18)/k_sx</f>
        <v/>
      </c>
      <c r="I18">
        <f>(k_p3_1+C18*(2*k_p3_2+3*k_p3_3*C18))/k_sx</f>
        <v/>
      </c>
      <c r="J18">
        <f>(k_p4_1+C18*(2*k_p4_2+C18*(3*k_p4_3+4*k_p4_4*C18)))/k_sx</f>
        <v/>
      </c>
      <c r="K18">
        <f>k_eb*k_ec*EXP(k_ec*C18)/k_sx</f>
        <v/>
      </c>
      <c r="L18">
        <f>(2*k_p4_2+C18*(6*k_p4_3+12*k_p4_4*C18))/k_sx^2</f>
        <v/>
      </c>
      <c r="M18">
        <f>D18/B18</f>
        <v/>
      </c>
      <c r="N18">
        <f>E18/B18</f>
        <v/>
      </c>
      <c r="O18">
        <f>F18/B18</f>
        <v/>
      </c>
      <c r="P18">
        <f>G18/B18</f>
        <v/>
      </c>
      <c r="Q18">
        <f>CHOOSE(k_model,D18,E18,F18,G18)</f>
        <v/>
      </c>
      <c r="R18">
        <f>CHOOSE(k_model,H18,I18,J18,K18)</f>
        <v/>
      </c>
    </row>
    <row r="19">
      <c r="A19" t="n">
        <v>17</v>
      </c>
      <c r="B19">
        <f>k_lo+k_rng*A19/1000</f>
        <v/>
      </c>
      <c r="C19">
        <f>(B19-k_mx)/k_sx</f>
        <v/>
      </c>
      <c r="D19">
        <f>k_p2_0+C19*(k_p2_1+C19*k_p2_2)</f>
        <v/>
      </c>
      <c r="E19">
        <f>k_p3_0+C19*(k_p3_1+C19*(k_p3_2+C19*k_p3_3))</f>
        <v/>
      </c>
      <c r="F19">
        <f>k_p4_0+C19*(k_p4_1+C19*(k_p4_2+C19*(k_p4_3+C19*k_p4_4)))</f>
        <v/>
      </c>
      <c r="G19">
        <f>k_ea+k_eb*EXP(k_ec*C19)</f>
        <v/>
      </c>
      <c r="H19">
        <f>(k_p2_1+2*k_p2_2*C19)/k_sx</f>
        <v/>
      </c>
      <c r="I19">
        <f>(k_p3_1+C19*(2*k_p3_2+3*k_p3_3*C19))/k_sx</f>
        <v/>
      </c>
      <c r="J19">
        <f>(k_p4_1+C19*(2*k_p4_2+C19*(3*k_p4_3+4*k_p4_4*C19)))/k_sx</f>
        <v/>
      </c>
      <c r="K19">
        <f>k_eb*k_ec*EXP(k_ec*C19)/k_sx</f>
        <v/>
      </c>
      <c r="L19">
        <f>(2*k_p4_2+C19*(6*k_p4_3+12*k_p4_4*C19))/k_sx^2</f>
        <v/>
      </c>
      <c r="M19">
        <f>D19/B19</f>
        <v/>
      </c>
      <c r="N19">
        <f>E19/B19</f>
        <v/>
      </c>
      <c r="O19">
        <f>F19/B19</f>
        <v/>
      </c>
      <c r="P19">
        <f>G19/B19</f>
        <v/>
      </c>
      <c r="Q19">
        <f>CHOOSE(k_model,D19,E19,F19,G19)</f>
        <v/>
      </c>
      <c r="R19">
        <f>CHOOSE(k_model,H19,I19,J19,K19)</f>
        <v/>
      </c>
    </row>
    <row r="20">
      <c r="A20" t="n">
        <v>18</v>
      </c>
      <c r="B20">
        <f>k_lo+k_rng*A20/1000</f>
        <v/>
      </c>
      <c r="C20">
        <f>(B20-k_mx)/k_sx</f>
        <v/>
      </c>
      <c r="D20">
        <f>k_p2_0+C20*(k_p2_1+C20*k_p2_2)</f>
        <v/>
      </c>
      <c r="E20">
        <f>k_p3_0+C20*(k_p3_1+C20*(k_p3_2+C20*k_p3_3))</f>
        <v/>
      </c>
      <c r="F20">
        <f>k_p4_0+C20*(k_p4_1+C20*(k_p4_2+C20*(k_p4_3+C20*k_p4_4)))</f>
        <v/>
      </c>
      <c r="G20">
        <f>k_ea+k_eb*EXP(k_ec*C20)</f>
        <v/>
      </c>
      <c r="H20">
        <f>(k_p2_1+2*k_p2_2*C20)/k_sx</f>
        <v/>
      </c>
      <c r="I20">
        <f>(k_p3_1+C20*(2*k_p3_2+3*k_p3_3*C20))/k_sx</f>
        <v/>
      </c>
      <c r="J20">
        <f>(k_p4_1+C20*(2*k_p4_2+C20*(3*k_p4_3+4*k_p4_4*C20)))/k_sx</f>
        <v/>
      </c>
      <c r="K20">
        <f>k_eb*k_ec*EXP(k_ec*C20)/k_sx</f>
        <v/>
      </c>
      <c r="L20">
        <f>(2*k_p4_2+C20*(6*k_p4_3+12*k_p4_4*C20))/k_sx^2</f>
        <v/>
      </c>
      <c r="M20">
        <f>D20/B20</f>
        <v/>
      </c>
      <c r="N20">
        <f>E20/B20</f>
        <v/>
      </c>
      <c r="O20">
        <f>F20/B20</f>
        <v/>
      </c>
      <c r="P20">
        <f>G20/B20</f>
        <v/>
      </c>
      <c r="Q20">
        <f>CHOOSE(k_model,D20,E20,F20,G20)</f>
        <v/>
      </c>
      <c r="R20">
        <f>CHOOSE(k_model,H20,I20,J20,K20)</f>
        <v/>
      </c>
    </row>
    <row r="21">
      <c r="A21" t="n">
        <v>19</v>
      </c>
      <c r="B21">
        <f>k_lo+k_rng*A21/1000</f>
        <v/>
      </c>
      <c r="C21">
        <f>(B21-k_mx)/k_sx</f>
        <v/>
      </c>
      <c r="D21">
        <f>k_p2_0+C21*(k_p2_1+C21*k_p2_2)</f>
        <v/>
      </c>
      <c r="E21">
        <f>k_p3_0+C21*(k_p3_1+C21*(k_p3_2+C21*k_p3_3))</f>
        <v/>
      </c>
      <c r="F21">
        <f>k_p4_0+C21*(k_p4_1+C21*(k_p4_2+C21*(k_p4_3+C21*k_p4_4)))</f>
        <v/>
      </c>
      <c r="G21">
        <f>k_ea+k_eb*EXP(k_ec*C21)</f>
        <v/>
      </c>
      <c r="H21">
        <f>(k_p2_1+2*k_p2_2*C21)/k_sx</f>
        <v/>
      </c>
      <c r="I21">
        <f>(k_p3_1+C21*(2*k_p3_2+3*k_p3_3*C21))/k_sx</f>
        <v/>
      </c>
      <c r="J21">
        <f>(k_p4_1+C21*(2*k_p4_2+C21*(3*k_p4_3+4*k_p4_4*C21)))/k_sx</f>
        <v/>
      </c>
      <c r="K21">
        <f>k_eb*k_ec*EXP(k_ec*C21)/k_sx</f>
        <v/>
      </c>
      <c r="L21">
        <f>(2*k_p4_2+C21*(6*k_p4_3+12*k_p4_4*C21))/k_sx^2</f>
        <v/>
      </c>
      <c r="M21">
        <f>D21/B21</f>
        <v/>
      </c>
      <c r="N21">
        <f>E21/B21</f>
        <v/>
      </c>
      <c r="O21">
        <f>F21/B21</f>
        <v/>
      </c>
      <c r="P21">
        <f>G21/B21</f>
        <v/>
      </c>
      <c r="Q21">
        <f>CHOOSE(k_model,D21,E21,F21,G21)</f>
        <v/>
      </c>
      <c r="R21">
        <f>CHOOSE(k_model,H21,I21,J21,K21)</f>
        <v/>
      </c>
    </row>
    <row r="22">
      <c r="A22" t="n">
        <v>20</v>
      </c>
      <c r="B22">
        <f>k_lo+k_rng*A22/1000</f>
        <v/>
      </c>
      <c r="C22">
        <f>(B22-k_mx)/k_sx</f>
        <v/>
      </c>
      <c r="D22">
        <f>k_p2_0+C22*(k_p2_1+C22*k_p2_2)</f>
        <v/>
      </c>
      <c r="E22">
        <f>k_p3_0+C22*(k_p3_1+C22*(k_p3_2+C22*k_p3_3))</f>
        <v/>
      </c>
      <c r="F22">
        <f>k_p4_0+C22*(k_p4_1+C22*(k_p4_2+C22*(k_p4_3+C22*k_p4_4)))</f>
        <v/>
      </c>
      <c r="G22">
        <f>k_ea+k_eb*EXP(k_ec*C22)</f>
        <v/>
      </c>
      <c r="H22">
        <f>(k_p2_1+2*k_p2_2*C22)/k_sx</f>
        <v/>
      </c>
      <c r="I22">
        <f>(k_p3_1+C22*(2*k_p3_2+3*k_p3_3*C22))/k_sx</f>
        <v/>
      </c>
      <c r="J22">
        <f>(k_p4_1+C22*(2*k_p4_2+C22*(3*k_p4_3+4*k_p4_4*C22)))/k_sx</f>
        <v/>
      </c>
      <c r="K22">
        <f>k_eb*k_ec*EXP(k_ec*C22)/k_sx</f>
        <v/>
      </c>
      <c r="L22">
        <f>(2*k_p4_2+C22*(6*k_p4_3+12*k_p4_4*C22))/k_sx^2</f>
        <v/>
      </c>
      <c r="M22">
        <f>D22/B22</f>
        <v/>
      </c>
      <c r="N22">
        <f>E22/B22</f>
        <v/>
      </c>
      <c r="O22">
        <f>F22/B22</f>
        <v/>
      </c>
      <c r="P22">
        <f>G22/B22</f>
        <v/>
      </c>
      <c r="Q22">
        <f>CHOOSE(k_model,D22,E22,F22,G22)</f>
        <v/>
      </c>
      <c r="R22">
        <f>CHOOSE(k_model,H22,I22,J22,K22)</f>
        <v/>
      </c>
    </row>
    <row r="23">
      <c r="A23" t="n">
        <v>21</v>
      </c>
      <c r="B23">
        <f>k_lo+k_rng*A23/1000</f>
        <v/>
      </c>
      <c r="C23">
        <f>(B23-k_mx)/k_sx</f>
        <v/>
      </c>
      <c r="D23">
        <f>k_p2_0+C23*(k_p2_1+C23*k_p2_2)</f>
        <v/>
      </c>
      <c r="E23">
        <f>k_p3_0+C23*(k_p3_1+C23*(k_p3_2+C23*k_p3_3))</f>
        <v/>
      </c>
      <c r="F23">
        <f>k_p4_0+C23*(k_p4_1+C23*(k_p4_2+C23*(k_p4_3+C23*k_p4_4)))</f>
        <v/>
      </c>
      <c r="G23">
        <f>k_ea+k_eb*EXP(k_ec*C23)</f>
        <v/>
      </c>
      <c r="H23">
        <f>(k_p2_1+2*k_p2_2*C23)/k_sx</f>
        <v/>
      </c>
      <c r="I23">
        <f>(k_p3_1+C23*(2*k_p3_2+3*k_p3_3*C23))/k_sx</f>
        <v/>
      </c>
      <c r="J23">
        <f>(k_p4_1+C23*(2*k_p4_2+C23*(3*k_p4_3+4*k_p4_4*C23)))/k_sx</f>
        <v/>
      </c>
      <c r="K23">
        <f>k_eb*k_ec*EXP(k_ec*C23)/k_sx</f>
        <v/>
      </c>
      <c r="L23">
        <f>(2*k_p4_2+C23*(6*k_p4_3+12*k_p4_4*C23))/k_sx^2</f>
        <v/>
      </c>
      <c r="M23">
        <f>D23/B23</f>
        <v/>
      </c>
      <c r="N23">
        <f>E23/B23</f>
        <v/>
      </c>
      <c r="O23">
        <f>F23/B23</f>
        <v/>
      </c>
      <c r="P23">
        <f>G23/B23</f>
        <v/>
      </c>
      <c r="Q23">
        <f>CHOOSE(k_model,D23,E23,F23,G23)</f>
        <v/>
      </c>
      <c r="R23">
        <f>CHOOSE(k_model,H23,I23,J23,K23)</f>
        <v/>
      </c>
    </row>
    <row r="24">
      <c r="A24" t="n">
        <v>22</v>
      </c>
      <c r="B24">
        <f>k_lo+k_rng*A24/1000</f>
        <v/>
      </c>
      <c r="C24">
        <f>(B24-k_mx)/k_sx</f>
        <v/>
      </c>
      <c r="D24">
        <f>k_p2_0+C24*(k_p2_1+C24*k_p2_2)</f>
        <v/>
      </c>
      <c r="E24">
        <f>k_p3_0+C24*(k_p3_1+C24*(k_p3_2+C24*k_p3_3))</f>
        <v/>
      </c>
      <c r="F24">
        <f>k_p4_0+C24*(k_p4_1+C24*(k_p4_2+C24*(k_p4_3+C24*k_p4_4)))</f>
        <v/>
      </c>
      <c r="G24">
        <f>k_ea+k_eb*EXP(k_ec*C24)</f>
        <v/>
      </c>
      <c r="H24">
        <f>(k_p2_1+2*k_p2_2*C24)/k_sx</f>
        <v/>
      </c>
      <c r="I24">
        <f>(k_p3_1+C24*(2*k_p3_2+3*k_p3_3*C24))/k_sx</f>
        <v/>
      </c>
      <c r="J24">
        <f>(k_p4_1+C24*(2*k_p4_2+C24*(3*k_p4_3+4*k_p4_4*C24)))/k_sx</f>
        <v/>
      </c>
      <c r="K24">
        <f>k_eb*k_ec*EXP(k_ec*C24)/k_sx</f>
        <v/>
      </c>
      <c r="L24">
        <f>(2*k_p4_2+C24*(6*k_p4_3+12*k_p4_4*C24))/k_sx^2</f>
        <v/>
      </c>
      <c r="M24">
        <f>D24/B24</f>
        <v/>
      </c>
      <c r="N24">
        <f>E24/B24</f>
        <v/>
      </c>
      <c r="O24">
        <f>F24/B24</f>
        <v/>
      </c>
      <c r="P24">
        <f>G24/B24</f>
        <v/>
      </c>
      <c r="Q24">
        <f>CHOOSE(k_model,D24,E24,F24,G24)</f>
        <v/>
      </c>
      <c r="R24">
        <f>CHOOSE(k_model,H24,I24,J24,K24)</f>
        <v/>
      </c>
    </row>
    <row r="25">
      <c r="A25" t="n">
        <v>23</v>
      </c>
      <c r="B25">
        <f>k_lo+k_rng*A25/1000</f>
        <v/>
      </c>
      <c r="C25">
        <f>(B25-k_mx)/k_sx</f>
        <v/>
      </c>
      <c r="D25">
        <f>k_p2_0+C25*(k_p2_1+C25*k_p2_2)</f>
        <v/>
      </c>
      <c r="E25">
        <f>k_p3_0+C25*(k_p3_1+C25*(k_p3_2+C25*k_p3_3))</f>
        <v/>
      </c>
      <c r="F25">
        <f>k_p4_0+C25*(k_p4_1+C25*(k_p4_2+C25*(k_p4_3+C25*k_p4_4)))</f>
        <v/>
      </c>
      <c r="G25">
        <f>k_ea+k_eb*EXP(k_ec*C25)</f>
        <v/>
      </c>
      <c r="H25">
        <f>(k_p2_1+2*k_p2_2*C25)/k_sx</f>
        <v/>
      </c>
      <c r="I25">
        <f>(k_p3_1+C25*(2*k_p3_2+3*k_p3_3*C25))/k_sx</f>
        <v/>
      </c>
      <c r="J25">
        <f>(k_p4_1+C25*(2*k_p4_2+C25*(3*k_p4_3+4*k_p4_4*C25)))/k_sx</f>
        <v/>
      </c>
      <c r="K25">
        <f>k_eb*k_ec*EXP(k_ec*C25)/k_sx</f>
        <v/>
      </c>
      <c r="L25">
        <f>(2*k_p4_2+C25*(6*k_p4_3+12*k_p4_4*C25))/k_sx^2</f>
        <v/>
      </c>
      <c r="M25">
        <f>D25/B25</f>
        <v/>
      </c>
      <c r="N25">
        <f>E25/B25</f>
        <v/>
      </c>
      <c r="O25">
        <f>F25/B25</f>
        <v/>
      </c>
      <c r="P25">
        <f>G25/B25</f>
        <v/>
      </c>
      <c r="Q25">
        <f>CHOOSE(k_model,D25,E25,F25,G25)</f>
        <v/>
      </c>
      <c r="R25">
        <f>CHOOSE(k_model,H25,I25,J25,K25)</f>
        <v/>
      </c>
    </row>
    <row r="26">
      <c r="A26" t="n">
        <v>24</v>
      </c>
      <c r="B26">
        <f>k_lo+k_rng*A26/1000</f>
        <v/>
      </c>
      <c r="C26">
        <f>(B26-k_mx)/k_sx</f>
        <v/>
      </c>
      <c r="D26">
        <f>k_p2_0+C26*(k_p2_1+C26*k_p2_2)</f>
        <v/>
      </c>
      <c r="E26">
        <f>k_p3_0+C26*(k_p3_1+C26*(k_p3_2+C26*k_p3_3))</f>
        <v/>
      </c>
      <c r="F26">
        <f>k_p4_0+C26*(k_p4_1+C26*(k_p4_2+C26*(k_p4_3+C26*k_p4_4)))</f>
        <v/>
      </c>
      <c r="G26">
        <f>k_ea+k_eb*EXP(k_ec*C26)</f>
        <v/>
      </c>
      <c r="H26">
        <f>(k_p2_1+2*k_p2_2*C26)/k_sx</f>
        <v/>
      </c>
      <c r="I26">
        <f>(k_p3_1+C26*(2*k_p3_2+3*k_p3_3*C26))/k_sx</f>
        <v/>
      </c>
      <c r="J26">
        <f>(k_p4_1+C26*(2*k_p4_2+C26*(3*k_p4_3+4*k_p4_4*C26)))/k_sx</f>
        <v/>
      </c>
      <c r="K26">
        <f>k_eb*k_ec*EXP(k_ec*C26)/k_sx</f>
        <v/>
      </c>
      <c r="L26">
        <f>(2*k_p4_2+C26*(6*k_p4_3+12*k_p4_4*C26))/k_sx^2</f>
        <v/>
      </c>
      <c r="M26">
        <f>D26/B26</f>
        <v/>
      </c>
      <c r="N26">
        <f>E26/B26</f>
        <v/>
      </c>
      <c r="O26">
        <f>F26/B26</f>
        <v/>
      </c>
      <c r="P26">
        <f>G26/B26</f>
        <v/>
      </c>
      <c r="Q26">
        <f>CHOOSE(k_model,D26,E26,F26,G26)</f>
        <v/>
      </c>
      <c r="R26">
        <f>CHOOSE(k_model,H26,I26,J26,K26)</f>
        <v/>
      </c>
    </row>
    <row r="27">
      <c r="A27" t="n">
        <v>25</v>
      </c>
      <c r="B27">
        <f>k_lo+k_rng*A27/1000</f>
        <v/>
      </c>
      <c r="C27">
        <f>(B27-k_mx)/k_sx</f>
        <v/>
      </c>
      <c r="D27">
        <f>k_p2_0+C27*(k_p2_1+C27*k_p2_2)</f>
        <v/>
      </c>
      <c r="E27">
        <f>k_p3_0+C27*(k_p3_1+C27*(k_p3_2+C27*k_p3_3))</f>
        <v/>
      </c>
      <c r="F27">
        <f>k_p4_0+C27*(k_p4_1+C27*(k_p4_2+C27*(k_p4_3+C27*k_p4_4)))</f>
        <v/>
      </c>
      <c r="G27">
        <f>k_ea+k_eb*EXP(k_ec*C27)</f>
        <v/>
      </c>
      <c r="H27">
        <f>(k_p2_1+2*k_p2_2*C27)/k_sx</f>
        <v/>
      </c>
      <c r="I27">
        <f>(k_p3_1+C27*(2*k_p3_2+3*k_p3_3*C27))/k_sx</f>
        <v/>
      </c>
      <c r="J27">
        <f>(k_p4_1+C27*(2*k_p4_2+C27*(3*k_p4_3+4*k_p4_4*C27)))/k_sx</f>
        <v/>
      </c>
      <c r="K27">
        <f>k_eb*k_ec*EXP(k_ec*C27)/k_sx</f>
        <v/>
      </c>
      <c r="L27">
        <f>(2*k_p4_2+C27*(6*k_p4_3+12*k_p4_4*C27))/k_sx^2</f>
        <v/>
      </c>
      <c r="M27">
        <f>D27/B27</f>
        <v/>
      </c>
      <c r="N27">
        <f>E27/B27</f>
        <v/>
      </c>
      <c r="O27">
        <f>F27/B27</f>
        <v/>
      </c>
      <c r="P27">
        <f>G27/B27</f>
        <v/>
      </c>
      <c r="Q27">
        <f>CHOOSE(k_model,D27,E27,F27,G27)</f>
        <v/>
      </c>
      <c r="R27">
        <f>CHOOSE(k_model,H27,I27,J27,K27)</f>
        <v/>
      </c>
    </row>
    <row r="28">
      <c r="A28" t="n">
        <v>26</v>
      </c>
      <c r="B28">
        <f>k_lo+k_rng*A28/1000</f>
        <v/>
      </c>
      <c r="C28">
        <f>(B28-k_mx)/k_sx</f>
        <v/>
      </c>
      <c r="D28">
        <f>k_p2_0+C28*(k_p2_1+C28*k_p2_2)</f>
        <v/>
      </c>
      <c r="E28">
        <f>k_p3_0+C28*(k_p3_1+C28*(k_p3_2+C28*k_p3_3))</f>
        <v/>
      </c>
      <c r="F28">
        <f>k_p4_0+C28*(k_p4_1+C28*(k_p4_2+C28*(k_p4_3+C28*k_p4_4)))</f>
        <v/>
      </c>
      <c r="G28">
        <f>k_ea+k_eb*EXP(k_ec*C28)</f>
        <v/>
      </c>
      <c r="H28">
        <f>(k_p2_1+2*k_p2_2*C28)/k_sx</f>
        <v/>
      </c>
      <c r="I28">
        <f>(k_p3_1+C28*(2*k_p3_2+3*k_p3_3*C28))/k_sx</f>
        <v/>
      </c>
      <c r="J28">
        <f>(k_p4_1+C28*(2*k_p4_2+C28*(3*k_p4_3+4*k_p4_4*C28)))/k_sx</f>
        <v/>
      </c>
      <c r="K28">
        <f>k_eb*k_ec*EXP(k_ec*C28)/k_sx</f>
        <v/>
      </c>
      <c r="L28">
        <f>(2*k_p4_2+C28*(6*k_p4_3+12*k_p4_4*C28))/k_sx^2</f>
        <v/>
      </c>
      <c r="M28">
        <f>D28/B28</f>
        <v/>
      </c>
      <c r="N28">
        <f>E28/B28</f>
        <v/>
      </c>
      <c r="O28">
        <f>F28/B28</f>
        <v/>
      </c>
      <c r="P28">
        <f>G28/B28</f>
        <v/>
      </c>
      <c r="Q28">
        <f>CHOOSE(k_model,D28,E28,F28,G28)</f>
        <v/>
      </c>
      <c r="R28">
        <f>CHOOSE(k_model,H28,I28,J28,K28)</f>
        <v/>
      </c>
    </row>
    <row r="29">
      <c r="A29" t="n">
        <v>27</v>
      </c>
      <c r="B29">
        <f>k_lo+k_rng*A29/1000</f>
        <v/>
      </c>
      <c r="C29">
        <f>(B29-k_mx)/k_sx</f>
        <v/>
      </c>
      <c r="D29">
        <f>k_p2_0+C29*(k_p2_1+C29*k_p2_2)</f>
        <v/>
      </c>
      <c r="E29">
        <f>k_p3_0+C29*(k_p3_1+C29*(k_p3_2+C29*k_p3_3))</f>
        <v/>
      </c>
      <c r="F29">
        <f>k_p4_0+C29*(k_p4_1+C29*(k_p4_2+C29*(k_p4_3+C29*k_p4_4)))</f>
        <v/>
      </c>
      <c r="G29">
        <f>k_ea+k_eb*EXP(k_ec*C29)</f>
        <v/>
      </c>
      <c r="H29">
        <f>(k_p2_1+2*k_p2_2*C29)/k_sx</f>
        <v/>
      </c>
      <c r="I29">
        <f>(k_p3_1+C29*(2*k_p3_2+3*k_p3_3*C29))/k_sx</f>
        <v/>
      </c>
      <c r="J29">
        <f>(k_p4_1+C29*(2*k_p4_2+C29*(3*k_p4_3+4*k_p4_4*C29)))/k_sx</f>
        <v/>
      </c>
      <c r="K29">
        <f>k_eb*k_ec*EXP(k_ec*C29)/k_sx</f>
        <v/>
      </c>
      <c r="L29">
        <f>(2*k_p4_2+C29*(6*k_p4_3+12*k_p4_4*C29))/k_sx^2</f>
        <v/>
      </c>
      <c r="M29">
        <f>D29/B29</f>
        <v/>
      </c>
      <c r="N29">
        <f>E29/B29</f>
        <v/>
      </c>
      <c r="O29">
        <f>F29/B29</f>
        <v/>
      </c>
      <c r="P29">
        <f>G29/B29</f>
        <v/>
      </c>
      <c r="Q29">
        <f>CHOOSE(k_model,D29,E29,F29,G29)</f>
        <v/>
      </c>
      <c r="R29">
        <f>CHOOSE(k_model,H29,I29,J29,K29)</f>
        <v/>
      </c>
    </row>
    <row r="30">
      <c r="A30" t="n">
        <v>28</v>
      </c>
      <c r="B30">
        <f>k_lo+k_rng*A30/1000</f>
        <v/>
      </c>
      <c r="C30">
        <f>(B30-k_mx)/k_sx</f>
        <v/>
      </c>
      <c r="D30">
        <f>k_p2_0+C30*(k_p2_1+C30*k_p2_2)</f>
        <v/>
      </c>
      <c r="E30">
        <f>k_p3_0+C30*(k_p3_1+C30*(k_p3_2+C30*k_p3_3))</f>
        <v/>
      </c>
      <c r="F30">
        <f>k_p4_0+C30*(k_p4_1+C30*(k_p4_2+C30*(k_p4_3+C30*k_p4_4)))</f>
        <v/>
      </c>
      <c r="G30">
        <f>k_ea+k_eb*EXP(k_ec*C30)</f>
        <v/>
      </c>
      <c r="H30">
        <f>(k_p2_1+2*k_p2_2*C30)/k_sx</f>
        <v/>
      </c>
      <c r="I30">
        <f>(k_p3_1+C30*(2*k_p3_2+3*k_p3_3*C30))/k_sx</f>
        <v/>
      </c>
      <c r="J30">
        <f>(k_p4_1+C30*(2*k_p4_2+C30*(3*k_p4_3+4*k_p4_4*C30)))/k_sx</f>
        <v/>
      </c>
      <c r="K30">
        <f>k_eb*k_ec*EXP(k_ec*C30)/k_sx</f>
        <v/>
      </c>
      <c r="L30">
        <f>(2*k_p4_2+C30*(6*k_p4_3+12*k_p4_4*C30))/k_sx^2</f>
        <v/>
      </c>
      <c r="M30">
        <f>D30/B30</f>
        <v/>
      </c>
      <c r="N30">
        <f>E30/B30</f>
        <v/>
      </c>
      <c r="O30">
        <f>F30/B30</f>
        <v/>
      </c>
      <c r="P30">
        <f>G30/B30</f>
        <v/>
      </c>
      <c r="Q30">
        <f>CHOOSE(k_model,D30,E30,F30,G30)</f>
        <v/>
      </c>
      <c r="R30">
        <f>CHOOSE(k_model,H30,I30,J30,K30)</f>
        <v/>
      </c>
    </row>
    <row r="31">
      <c r="A31" t="n">
        <v>29</v>
      </c>
      <c r="B31">
        <f>k_lo+k_rng*A31/1000</f>
        <v/>
      </c>
      <c r="C31">
        <f>(B31-k_mx)/k_sx</f>
        <v/>
      </c>
      <c r="D31">
        <f>k_p2_0+C31*(k_p2_1+C31*k_p2_2)</f>
        <v/>
      </c>
      <c r="E31">
        <f>k_p3_0+C31*(k_p3_1+C31*(k_p3_2+C31*k_p3_3))</f>
        <v/>
      </c>
      <c r="F31">
        <f>k_p4_0+C31*(k_p4_1+C31*(k_p4_2+C31*(k_p4_3+C31*k_p4_4)))</f>
        <v/>
      </c>
      <c r="G31">
        <f>k_ea+k_eb*EXP(k_ec*C31)</f>
        <v/>
      </c>
      <c r="H31">
        <f>(k_p2_1+2*k_p2_2*C31)/k_sx</f>
        <v/>
      </c>
      <c r="I31">
        <f>(k_p3_1+C31*(2*k_p3_2+3*k_p3_3*C31))/k_sx</f>
        <v/>
      </c>
      <c r="J31">
        <f>(k_p4_1+C31*(2*k_p4_2+C31*(3*k_p4_3+4*k_p4_4*C31)))/k_sx</f>
        <v/>
      </c>
      <c r="K31">
        <f>k_eb*k_ec*EXP(k_ec*C31)/k_sx</f>
        <v/>
      </c>
      <c r="L31">
        <f>(2*k_p4_2+C31*(6*k_p4_3+12*k_p4_4*C31))/k_sx^2</f>
        <v/>
      </c>
      <c r="M31">
        <f>D31/B31</f>
        <v/>
      </c>
      <c r="N31">
        <f>E31/B31</f>
        <v/>
      </c>
      <c r="O31">
        <f>F31/B31</f>
        <v/>
      </c>
      <c r="P31">
        <f>G31/B31</f>
        <v/>
      </c>
      <c r="Q31">
        <f>CHOOSE(k_model,D31,E31,F31,G31)</f>
        <v/>
      </c>
      <c r="R31">
        <f>CHOOSE(k_model,H31,I31,J31,K31)</f>
        <v/>
      </c>
    </row>
    <row r="32">
      <c r="A32" t="n">
        <v>30</v>
      </c>
      <c r="B32">
        <f>k_lo+k_rng*A32/1000</f>
        <v/>
      </c>
      <c r="C32">
        <f>(B32-k_mx)/k_sx</f>
        <v/>
      </c>
      <c r="D32">
        <f>k_p2_0+C32*(k_p2_1+C32*k_p2_2)</f>
        <v/>
      </c>
      <c r="E32">
        <f>k_p3_0+C32*(k_p3_1+C32*(k_p3_2+C32*k_p3_3))</f>
        <v/>
      </c>
      <c r="F32">
        <f>k_p4_0+C32*(k_p4_1+C32*(k_p4_2+C32*(k_p4_3+C32*k_p4_4)))</f>
        <v/>
      </c>
      <c r="G32">
        <f>k_ea+k_eb*EXP(k_ec*C32)</f>
        <v/>
      </c>
      <c r="H32">
        <f>(k_p2_1+2*k_p2_2*C32)/k_sx</f>
        <v/>
      </c>
      <c r="I32">
        <f>(k_p3_1+C32*(2*k_p3_2+3*k_p3_3*C32))/k_sx</f>
        <v/>
      </c>
      <c r="J32">
        <f>(k_p4_1+C32*(2*k_p4_2+C32*(3*k_p4_3+4*k_p4_4*C32)))/k_sx</f>
        <v/>
      </c>
      <c r="K32">
        <f>k_eb*k_ec*EXP(k_ec*C32)/k_sx</f>
        <v/>
      </c>
      <c r="L32">
        <f>(2*k_p4_2+C32*(6*k_p4_3+12*k_p4_4*C32))/k_sx^2</f>
        <v/>
      </c>
      <c r="M32">
        <f>D32/B32</f>
        <v/>
      </c>
      <c r="N32">
        <f>E32/B32</f>
        <v/>
      </c>
      <c r="O32">
        <f>F32/B32</f>
        <v/>
      </c>
      <c r="P32">
        <f>G32/B32</f>
        <v/>
      </c>
      <c r="Q32">
        <f>CHOOSE(k_model,D32,E32,F32,G32)</f>
        <v/>
      </c>
      <c r="R32">
        <f>CHOOSE(k_model,H32,I32,J32,K32)</f>
        <v/>
      </c>
    </row>
    <row r="33">
      <c r="A33" t="n">
        <v>31</v>
      </c>
      <c r="B33">
        <f>k_lo+k_rng*A33/1000</f>
        <v/>
      </c>
      <c r="C33">
        <f>(B33-k_mx)/k_sx</f>
        <v/>
      </c>
      <c r="D33">
        <f>k_p2_0+C33*(k_p2_1+C33*k_p2_2)</f>
        <v/>
      </c>
      <c r="E33">
        <f>k_p3_0+C33*(k_p3_1+C33*(k_p3_2+C33*k_p3_3))</f>
        <v/>
      </c>
      <c r="F33">
        <f>k_p4_0+C33*(k_p4_1+C33*(k_p4_2+C33*(k_p4_3+C33*k_p4_4)))</f>
        <v/>
      </c>
      <c r="G33">
        <f>k_ea+k_eb*EXP(k_ec*C33)</f>
        <v/>
      </c>
      <c r="H33">
        <f>(k_p2_1+2*k_p2_2*C33)/k_sx</f>
        <v/>
      </c>
      <c r="I33">
        <f>(k_p3_1+C33*(2*k_p3_2+3*k_p3_3*C33))/k_sx</f>
        <v/>
      </c>
      <c r="J33">
        <f>(k_p4_1+C33*(2*k_p4_2+C33*(3*k_p4_3+4*k_p4_4*C33)))/k_sx</f>
        <v/>
      </c>
      <c r="K33">
        <f>k_eb*k_ec*EXP(k_ec*C33)/k_sx</f>
        <v/>
      </c>
      <c r="L33">
        <f>(2*k_p4_2+C33*(6*k_p4_3+12*k_p4_4*C33))/k_sx^2</f>
        <v/>
      </c>
      <c r="M33">
        <f>D33/B33</f>
        <v/>
      </c>
      <c r="N33">
        <f>E33/B33</f>
        <v/>
      </c>
      <c r="O33">
        <f>F33/B33</f>
        <v/>
      </c>
      <c r="P33">
        <f>G33/B33</f>
        <v/>
      </c>
      <c r="Q33">
        <f>CHOOSE(k_model,D33,E33,F33,G33)</f>
        <v/>
      </c>
      <c r="R33">
        <f>CHOOSE(k_model,H33,I33,J33,K33)</f>
        <v/>
      </c>
    </row>
    <row r="34">
      <c r="A34" t="n">
        <v>32</v>
      </c>
      <c r="B34">
        <f>k_lo+k_rng*A34/1000</f>
        <v/>
      </c>
      <c r="C34">
        <f>(B34-k_mx)/k_sx</f>
        <v/>
      </c>
      <c r="D34">
        <f>k_p2_0+C34*(k_p2_1+C34*k_p2_2)</f>
        <v/>
      </c>
      <c r="E34">
        <f>k_p3_0+C34*(k_p3_1+C34*(k_p3_2+C34*k_p3_3))</f>
        <v/>
      </c>
      <c r="F34">
        <f>k_p4_0+C34*(k_p4_1+C34*(k_p4_2+C34*(k_p4_3+C34*k_p4_4)))</f>
        <v/>
      </c>
      <c r="G34">
        <f>k_ea+k_eb*EXP(k_ec*C34)</f>
        <v/>
      </c>
      <c r="H34">
        <f>(k_p2_1+2*k_p2_2*C34)/k_sx</f>
        <v/>
      </c>
      <c r="I34">
        <f>(k_p3_1+C34*(2*k_p3_2+3*k_p3_3*C34))/k_sx</f>
        <v/>
      </c>
      <c r="J34">
        <f>(k_p4_1+C34*(2*k_p4_2+C34*(3*k_p4_3+4*k_p4_4*C34)))/k_sx</f>
        <v/>
      </c>
      <c r="K34">
        <f>k_eb*k_ec*EXP(k_ec*C34)/k_sx</f>
        <v/>
      </c>
      <c r="L34">
        <f>(2*k_p4_2+C34*(6*k_p4_3+12*k_p4_4*C34))/k_sx^2</f>
        <v/>
      </c>
      <c r="M34">
        <f>D34/B34</f>
        <v/>
      </c>
      <c r="N34">
        <f>E34/B34</f>
        <v/>
      </c>
      <c r="O34">
        <f>F34/B34</f>
        <v/>
      </c>
      <c r="P34">
        <f>G34/B34</f>
        <v/>
      </c>
      <c r="Q34">
        <f>CHOOSE(k_model,D34,E34,F34,G34)</f>
        <v/>
      </c>
      <c r="R34">
        <f>CHOOSE(k_model,H34,I34,J34,K34)</f>
        <v/>
      </c>
    </row>
    <row r="35">
      <c r="A35" t="n">
        <v>33</v>
      </c>
      <c r="B35">
        <f>k_lo+k_rng*A35/1000</f>
        <v/>
      </c>
      <c r="C35">
        <f>(B35-k_mx)/k_sx</f>
        <v/>
      </c>
      <c r="D35">
        <f>k_p2_0+C35*(k_p2_1+C35*k_p2_2)</f>
        <v/>
      </c>
      <c r="E35">
        <f>k_p3_0+C35*(k_p3_1+C35*(k_p3_2+C35*k_p3_3))</f>
        <v/>
      </c>
      <c r="F35">
        <f>k_p4_0+C35*(k_p4_1+C35*(k_p4_2+C35*(k_p4_3+C35*k_p4_4)))</f>
        <v/>
      </c>
      <c r="G35">
        <f>k_ea+k_eb*EXP(k_ec*C35)</f>
        <v/>
      </c>
      <c r="H35">
        <f>(k_p2_1+2*k_p2_2*C35)/k_sx</f>
        <v/>
      </c>
      <c r="I35">
        <f>(k_p3_1+C35*(2*k_p3_2+3*k_p3_3*C35))/k_sx</f>
        <v/>
      </c>
      <c r="J35">
        <f>(k_p4_1+C35*(2*k_p4_2+C35*(3*k_p4_3+4*k_p4_4*C35)))/k_sx</f>
        <v/>
      </c>
      <c r="K35">
        <f>k_eb*k_ec*EXP(k_ec*C35)/k_sx</f>
        <v/>
      </c>
      <c r="L35">
        <f>(2*k_p4_2+C35*(6*k_p4_3+12*k_p4_4*C35))/k_sx^2</f>
        <v/>
      </c>
      <c r="M35">
        <f>D35/B35</f>
        <v/>
      </c>
      <c r="N35">
        <f>E35/B35</f>
        <v/>
      </c>
      <c r="O35">
        <f>F35/B35</f>
        <v/>
      </c>
      <c r="P35">
        <f>G35/B35</f>
        <v/>
      </c>
      <c r="Q35">
        <f>CHOOSE(k_model,D35,E35,F35,G35)</f>
        <v/>
      </c>
      <c r="R35">
        <f>CHOOSE(k_model,H35,I35,J35,K35)</f>
        <v/>
      </c>
    </row>
    <row r="36">
      <c r="A36" t="n">
        <v>34</v>
      </c>
      <c r="B36">
        <f>k_lo+k_rng*A36/1000</f>
        <v/>
      </c>
      <c r="C36">
        <f>(B36-k_mx)/k_sx</f>
        <v/>
      </c>
      <c r="D36">
        <f>k_p2_0+C36*(k_p2_1+C36*k_p2_2)</f>
        <v/>
      </c>
      <c r="E36">
        <f>k_p3_0+C36*(k_p3_1+C36*(k_p3_2+C36*k_p3_3))</f>
        <v/>
      </c>
      <c r="F36">
        <f>k_p4_0+C36*(k_p4_1+C36*(k_p4_2+C36*(k_p4_3+C36*k_p4_4)))</f>
        <v/>
      </c>
      <c r="G36">
        <f>k_ea+k_eb*EXP(k_ec*C36)</f>
        <v/>
      </c>
      <c r="H36">
        <f>(k_p2_1+2*k_p2_2*C36)/k_sx</f>
        <v/>
      </c>
      <c r="I36">
        <f>(k_p3_1+C36*(2*k_p3_2+3*k_p3_3*C36))/k_sx</f>
        <v/>
      </c>
      <c r="J36">
        <f>(k_p4_1+C36*(2*k_p4_2+C36*(3*k_p4_3+4*k_p4_4*C36)))/k_sx</f>
        <v/>
      </c>
      <c r="K36">
        <f>k_eb*k_ec*EXP(k_ec*C36)/k_sx</f>
        <v/>
      </c>
      <c r="L36">
        <f>(2*k_p4_2+C36*(6*k_p4_3+12*k_p4_4*C36))/k_sx^2</f>
        <v/>
      </c>
      <c r="M36">
        <f>D36/B36</f>
        <v/>
      </c>
      <c r="N36">
        <f>E36/B36</f>
        <v/>
      </c>
      <c r="O36">
        <f>F36/B36</f>
        <v/>
      </c>
      <c r="P36">
        <f>G36/B36</f>
        <v/>
      </c>
      <c r="Q36">
        <f>CHOOSE(k_model,D36,E36,F36,G36)</f>
        <v/>
      </c>
      <c r="R36">
        <f>CHOOSE(k_model,H36,I36,J36,K36)</f>
        <v/>
      </c>
    </row>
    <row r="37">
      <c r="A37" t="n">
        <v>35</v>
      </c>
      <c r="B37">
        <f>k_lo+k_rng*A37/1000</f>
        <v/>
      </c>
      <c r="C37">
        <f>(B37-k_mx)/k_sx</f>
        <v/>
      </c>
      <c r="D37">
        <f>k_p2_0+C37*(k_p2_1+C37*k_p2_2)</f>
        <v/>
      </c>
      <c r="E37">
        <f>k_p3_0+C37*(k_p3_1+C37*(k_p3_2+C37*k_p3_3))</f>
        <v/>
      </c>
      <c r="F37">
        <f>k_p4_0+C37*(k_p4_1+C37*(k_p4_2+C37*(k_p4_3+C37*k_p4_4)))</f>
        <v/>
      </c>
      <c r="G37">
        <f>k_ea+k_eb*EXP(k_ec*C37)</f>
        <v/>
      </c>
      <c r="H37">
        <f>(k_p2_1+2*k_p2_2*C37)/k_sx</f>
        <v/>
      </c>
      <c r="I37">
        <f>(k_p3_1+C37*(2*k_p3_2+3*k_p3_3*C37))/k_sx</f>
        <v/>
      </c>
      <c r="J37">
        <f>(k_p4_1+C37*(2*k_p4_2+C37*(3*k_p4_3+4*k_p4_4*C37)))/k_sx</f>
        <v/>
      </c>
      <c r="K37">
        <f>k_eb*k_ec*EXP(k_ec*C37)/k_sx</f>
        <v/>
      </c>
      <c r="L37">
        <f>(2*k_p4_2+C37*(6*k_p4_3+12*k_p4_4*C37))/k_sx^2</f>
        <v/>
      </c>
      <c r="M37">
        <f>D37/B37</f>
        <v/>
      </c>
      <c r="N37">
        <f>E37/B37</f>
        <v/>
      </c>
      <c r="O37">
        <f>F37/B37</f>
        <v/>
      </c>
      <c r="P37">
        <f>G37/B37</f>
        <v/>
      </c>
      <c r="Q37">
        <f>CHOOSE(k_model,D37,E37,F37,G37)</f>
        <v/>
      </c>
      <c r="R37">
        <f>CHOOSE(k_model,H37,I37,J37,K37)</f>
        <v/>
      </c>
    </row>
    <row r="38">
      <c r="A38" t="n">
        <v>36</v>
      </c>
      <c r="B38">
        <f>k_lo+k_rng*A38/1000</f>
        <v/>
      </c>
      <c r="C38">
        <f>(B38-k_mx)/k_sx</f>
        <v/>
      </c>
      <c r="D38">
        <f>k_p2_0+C38*(k_p2_1+C38*k_p2_2)</f>
        <v/>
      </c>
      <c r="E38">
        <f>k_p3_0+C38*(k_p3_1+C38*(k_p3_2+C38*k_p3_3))</f>
        <v/>
      </c>
      <c r="F38">
        <f>k_p4_0+C38*(k_p4_1+C38*(k_p4_2+C38*(k_p4_3+C38*k_p4_4)))</f>
        <v/>
      </c>
      <c r="G38">
        <f>k_ea+k_eb*EXP(k_ec*C38)</f>
        <v/>
      </c>
      <c r="H38">
        <f>(k_p2_1+2*k_p2_2*C38)/k_sx</f>
        <v/>
      </c>
      <c r="I38">
        <f>(k_p3_1+C38*(2*k_p3_2+3*k_p3_3*C38))/k_sx</f>
        <v/>
      </c>
      <c r="J38">
        <f>(k_p4_1+C38*(2*k_p4_2+C38*(3*k_p4_3+4*k_p4_4*C38)))/k_sx</f>
        <v/>
      </c>
      <c r="K38">
        <f>k_eb*k_ec*EXP(k_ec*C38)/k_sx</f>
        <v/>
      </c>
      <c r="L38">
        <f>(2*k_p4_2+C38*(6*k_p4_3+12*k_p4_4*C38))/k_sx^2</f>
        <v/>
      </c>
      <c r="M38">
        <f>D38/B38</f>
        <v/>
      </c>
      <c r="N38">
        <f>E38/B38</f>
        <v/>
      </c>
      <c r="O38">
        <f>F38/B38</f>
        <v/>
      </c>
      <c r="P38">
        <f>G38/B38</f>
        <v/>
      </c>
      <c r="Q38">
        <f>CHOOSE(k_model,D38,E38,F38,G38)</f>
        <v/>
      </c>
      <c r="R38">
        <f>CHOOSE(k_model,H38,I38,J38,K38)</f>
        <v/>
      </c>
    </row>
    <row r="39">
      <c r="A39" t="n">
        <v>37</v>
      </c>
      <c r="B39">
        <f>k_lo+k_rng*A39/1000</f>
        <v/>
      </c>
      <c r="C39">
        <f>(B39-k_mx)/k_sx</f>
        <v/>
      </c>
      <c r="D39">
        <f>k_p2_0+C39*(k_p2_1+C39*k_p2_2)</f>
        <v/>
      </c>
      <c r="E39">
        <f>k_p3_0+C39*(k_p3_1+C39*(k_p3_2+C39*k_p3_3))</f>
        <v/>
      </c>
      <c r="F39">
        <f>k_p4_0+C39*(k_p4_1+C39*(k_p4_2+C39*(k_p4_3+C39*k_p4_4)))</f>
        <v/>
      </c>
      <c r="G39">
        <f>k_ea+k_eb*EXP(k_ec*C39)</f>
        <v/>
      </c>
      <c r="H39">
        <f>(k_p2_1+2*k_p2_2*C39)/k_sx</f>
        <v/>
      </c>
      <c r="I39">
        <f>(k_p3_1+C39*(2*k_p3_2+3*k_p3_3*C39))/k_sx</f>
        <v/>
      </c>
      <c r="J39">
        <f>(k_p4_1+C39*(2*k_p4_2+C39*(3*k_p4_3+4*k_p4_4*C39)))/k_sx</f>
        <v/>
      </c>
      <c r="K39">
        <f>k_eb*k_ec*EXP(k_ec*C39)/k_sx</f>
        <v/>
      </c>
      <c r="L39">
        <f>(2*k_p4_2+C39*(6*k_p4_3+12*k_p4_4*C39))/k_sx^2</f>
        <v/>
      </c>
      <c r="M39">
        <f>D39/B39</f>
        <v/>
      </c>
      <c r="N39">
        <f>E39/B39</f>
        <v/>
      </c>
      <c r="O39">
        <f>F39/B39</f>
        <v/>
      </c>
      <c r="P39">
        <f>G39/B39</f>
        <v/>
      </c>
      <c r="Q39">
        <f>CHOOSE(k_model,D39,E39,F39,G39)</f>
        <v/>
      </c>
      <c r="R39">
        <f>CHOOSE(k_model,H39,I39,J39,K39)</f>
        <v/>
      </c>
    </row>
    <row r="40">
      <c r="A40" t="n">
        <v>38</v>
      </c>
      <c r="B40">
        <f>k_lo+k_rng*A40/1000</f>
        <v/>
      </c>
      <c r="C40">
        <f>(B40-k_mx)/k_sx</f>
        <v/>
      </c>
      <c r="D40">
        <f>k_p2_0+C40*(k_p2_1+C40*k_p2_2)</f>
        <v/>
      </c>
      <c r="E40">
        <f>k_p3_0+C40*(k_p3_1+C40*(k_p3_2+C40*k_p3_3))</f>
        <v/>
      </c>
      <c r="F40">
        <f>k_p4_0+C40*(k_p4_1+C40*(k_p4_2+C40*(k_p4_3+C40*k_p4_4)))</f>
        <v/>
      </c>
      <c r="G40">
        <f>k_ea+k_eb*EXP(k_ec*C40)</f>
        <v/>
      </c>
      <c r="H40">
        <f>(k_p2_1+2*k_p2_2*C40)/k_sx</f>
        <v/>
      </c>
      <c r="I40">
        <f>(k_p3_1+C40*(2*k_p3_2+3*k_p3_3*C40))/k_sx</f>
        <v/>
      </c>
      <c r="J40">
        <f>(k_p4_1+C40*(2*k_p4_2+C40*(3*k_p4_3+4*k_p4_4*C40)))/k_sx</f>
        <v/>
      </c>
      <c r="K40">
        <f>k_eb*k_ec*EXP(k_ec*C40)/k_sx</f>
        <v/>
      </c>
      <c r="L40">
        <f>(2*k_p4_2+C40*(6*k_p4_3+12*k_p4_4*C40))/k_sx^2</f>
        <v/>
      </c>
      <c r="M40">
        <f>D40/B40</f>
        <v/>
      </c>
      <c r="N40">
        <f>E40/B40</f>
        <v/>
      </c>
      <c r="O40">
        <f>F40/B40</f>
        <v/>
      </c>
      <c r="P40">
        <f>G40/B40</f>
        <v/>
      </c>
      <c r="Q40">
        <f>CHOOSE(k_model,D40,E40,F40,G40)</f>
        <v/>
      </c>
      <c r="R40">
        <f>CHOOSE(k_model,H40,I40,J40,K40)</f>
        <v/>
      </c>
    </row>
    <row r="41">
      <c r="A41" t="n">
        <v>39</v>
      </c>
      <c r="B41">
        <f>k_lo+k_rng*A41/1000</f>
        <v/>
      </c>
      <c r="C41">
        <f>(B41-k_mx)/k_sx</f>
        <v/>
      </c>
      <c r="D41">
        <f>k_p2_0+C41*(k_p2_1+C41*k_p2_2)</f>
        <v/>
      </c>
      <c r="E41">
        <f>k_p3_0+C41*(k_p3_1+C41*(k_p3_2+C41*k_p3_3))</f>
        <v/>
      </c>
      <c r="F41">
        <f>k_p4_0+C41*(k_p4_1+C41*(k_p4_2+C41*(k_p4_3+C41*k_p4_4)))</f>
        <v/>
      </c>
      <c r="G41">
        <f>k_ea+k_eb*EXP(k_ec*C41)</f>
        <v/>
      </c>
      <c r="H41">
        <f>(k_p2_1+2*k_p2_2*C41)/k_sx</f>
        <v/>
      </c>
      <c r="I41">
        <f>(k_p3_1+C41*(2*k_p3_2+3*k_p3_3*C41))/k_sx</f>
        <v/>
      </c>
      <c r="J41">
        <f>(k_p4_1+C41*(2*k_p4_2+C41*(3*k_p4_3+4*k_p4_4*C41)))/k_sx</f>
        <v/>
      </c>
      <c r="K41">
        <f>k_eb*k_ec*EXP(k_ec*C41)/k_sx</f>
        <v/>
      </c>
      <c r="L41">
        <f>(2*k_p4_2+C41*(6*k_p4_3+12*k_p4_4*C41))/k_sx^2</f>
        <v/>
      </c>
      <c r="M41">
        <f>D41/B41</f>
        <v/>
      </c>
      <c r="N41">
        <f>E41/B41</f>
        <v/>
      </c>
      <c r="O41">
        <f>F41/B41</f>
        <v/>
      </c>
      <c r="P41">
        <f>G41/B41</f>
        <v/>
      </c>
      <c r="Q41">
        <f>CHOOSE(k_model,D41,E41,F41,G41)</f>
        <v/>
      </c>
      <c r="R41">
        <f>CHOOSE(k_model,H41,I41,J41,K41)</f>
        <v/>
      </c>
    </row>
    <row r="42">
      <c r="A42" t="n">
        <v>40</v>
      </c>
      <c r="B42">
        <f>k_lo+k_rng*A42/1000</f>
        <v/>
      </c>
      <c r="C42">
        <f>(B42-k_mx)/k_sx</f>
        <v/>
      </c>
      <c r="D42">
        <f>k_p2_0+C42*(k_p2_1+C42*k_p2_2)</f>
        <v/>
      </c>
      <c r="E42">
        <f>k_p3_0+C42*(k_p3_1+C42*(k_p3_2+C42*k_p3_3))</f>
        <v/>
      </c>
      <c r="F42">
        <f>k_p4_0+C42*(k_p4_1+C42*(k_p4_2+C42*(k_p4_3+C42*k_p4_4)))</f>
        <v/>
      </c>
      <c r="G42">
        <f>k_ea+k_eb*EXP(k_ec*C42)</f>
        <v/>
      </c>
      <c r="H42">
        <f>(k_p2_1+2*k_p2_2*C42)/k_sx</f>
        <v/>
      </c>
      <c r="I42">
        <f>(k_p3_1+C42*(2*k_p3_2+3*k_p3_3*C42))/k_sx</f>
        <v/>
      </c>
      <c r="J42">
        <f>(k_p4_1+C42*(2*k_p4_2+C42*(3*k_p4_3+4*k_p4_4*C42)))/k_sx</f>
        <v/>
      </c>
      <c r="K42">
        <f>k_eb*k_ec*EXP(k_ec*C42)/k_sx</f>
        <v/>
      </c>
      <c r="L42">
        <f>(2*k_p4_2+C42*(6*k_p4_3+12*k_p4_4*C42))/k_sx^2</f>
        <v/>
      </c>
      <c r="M42">
        <f>D42/B42</f>
        <v/>
      </c>
      <c r="N42">
        <f>E42/B42</f>
        <v/>
      </c>
      <c r="O42">
        <f>F42/B42</f>
        <v/>
      </c>
      <c r="P42">
        <f>G42/B42</f>
        <v/>
      </c>
      <c r="Q42">
        <f>CHOOSE(k_model,D42,E42,F42,G42)</f>
        <v/>
      </c>
      <c r="R42">
        <f>CHOOSE(k_model,H42,I42,J42,K42)</f>
        <v/>
      </c>
    </row>
    <row r="43">
      <c r="A43" t="n">
        <v>41</v>
      </c>
      <c r="B43">
        <f>k_lo+k_rng*A43/1000</f>
        <v/>
      </c>
      <c r="C43">
        <f>(B43-k_mx)/k_sx</f>
        <v/>
      </c>
      <c r="D43">
        <f>k_p2_0+C43*(k_p2_1+C43*k_p2_2)</f>
        <v/>
      </c>
      <c r="E43">
        <f>k_p3_0+C43*(k_p3_1+C43*(k_p3_2+C43*k_p3_3))</f>
        <v/>
      </c>
      <c r="F43">
        <f>k_p4_0+C43*(k_p4_1+C43*(k_p4_2+C43*(k_p4_3+C43*k_p4_4)))</f>
        <v/>
      </c>
      <c r="G43">
        <f>k_ea+k_eb*EXP(k_ec*C43)</f>
        <v/>
      </c>
      <c r="H43">
        <f>(k_p2_1+2*k_p2_2*C43)/k_sx</f>
        <v/>
      </c>
      <c r="I43">
        <f>(k_p3_1+C43*(2*k_p3_2+3*k_p3_3*C43))/k_sx</f>
        <v/>
      </c>
      <c r="J43">
        <f>(k_p4_1+C43*(2*k_p4_2+C43*(3*k_p4_3+4*k_p4_4*C43)))/k_sx</f>
        <v/>
      </c>
      <c r="K43">
        <f>k_eb*k_ec*EXP(k_ec*C43)/k_sx</f>
        <v/>
      </c>
      <c r="L43">
        <f>(2*k_p4_2+C43*(6*k_p4_3+12*k_p4_4*C43))/k_sx^2</f>
        <v/>
      </c>
      <c r="M43">
        <f>D43/B43</f>
        <v/>
      </c>
      <c r="N43">
        <f>E43/B43</f>
        <v/>
      </c>
      <c r="O43">
        <f>F43/B43</f>
        <v/>
      </c>
      <c r="P43">
        <f>G43/B43</f>
        <v/>
      </c>
      <c r="Q43">
        <f>CHOOSE(k_model,D43,E43,F43,G43)</f>
        <v/>
      </c>
      <c r="R43">
        <f>CHOOSE(k_model,H43,I43,J43,K43)</f>
        <v/>
      </c>
    </row>
    <row r="44">
      <c r="A44" t="n">
        <v>42</v>
      </c>
      <c r="B44">
        <f>k_lo+k_rng*A44/1000</f>
        <v/>
      </c>
      <c r="C44">
        <f>(B44-k_mx)/k_sx</f>
        <v/>
      </c>
      <c r="D44">
        <f>k_p2_0+C44*(k_p2_1+C44*k_p2_2)</f>
        <v/>
      </c>
      <c r="E44">
        <f>k_p3_0+C44*(k_p3_1+C44*(k_p3_2+C44*k_p3_3))</f>
        <v/>
      </c>
      <c r="F44">
        <f>k_p4_0+C44*(k_p4_1+C44*(k_p4_2+C44*(k_p4_3+C44*k_p4_4)))</f>
        <v/>
      </c>
      <c r="G44">
        <f>k_ea+k_eb*EXP(k_ec*C44)</f>
        <v/>
      </c>
      <c r="H44">
        <f>(k_p2_1+2*k_p2_2*C44)/k_sx</f>
        <v/>
      </c>
      <c r="I44">
        <f>(k_p3_1+C44*(2*k_p3_2+3*k_p3_3*C44))/k_sx</f>
        <v/>
      </c>
      <c r="J44">
        <f>(k_p4_1+C44*(2*k_p4_2+C44*(3*k_p4_3+4*k_p4_4*C44)))/k_sx</f>
        <v/>
      </c>
      <c r="K44">
        <f>k_eb*k_ec*EXP(k_ec*C44)/k_sx</f>
        <v/>
      </c>
      <c r="L44">
        <f>(2*k_p4_2+C44*(6*k_p4_3+12*k_p4_4*C44))/k_sx^2</f>
        <v/>
      </c>
      <c r="M44">
        <f>D44/B44</f>
        <v/>
      </c>
      <c r="N44">
        <f>E44/B44</f>
        <v/>
      </c>
      <c r="O44">
        <f>F44/B44</f>
        <v/>
      </c>
      <c r="P44">
        <f>G44/B44</f>
        <v/>
      </c>
      <c r="Q44">
        <f>CHOOSE(k_model,D44,E44,F44,G44)</f>
        <v/>
      </c>
      <c r="R44">
        <f>CHOOSE(k_model,H44,I44,J44,K44)</f>
        <v/>
      </c>
    </row>
    <row r="45">
      <c r="A45" t="n">
        <v>43</v>
      </c>
      <c r="B45">
        <f>k_lo+k_rng*A45/1000</f>
        <v/>
      </c>
      <c r="C45">
        <f>(B45-k_mx)/k_sx</f>
        <v/>
      </c>
      <c r="D45">
        <f>k_p2_0+C45*(k_p2_1+C45*k_p2_2)</f>
        <v/>
      </c>
      <c r="E45">
        <f>k_p3_0+C45*(k_p3_1+C45*(k_p3_2+C45*k_p3_3))</f>
        <v/>
      </c>
      <c r="F45">
        <f>k_p4_0+C45*(k_p4_1+C45*(k_p4_2+C45*(k_p4_3+C45*k_p4_4)))</f>
        <v/>
      </c>
      <c r="G45">
        <f>k_ea+k_eb*EXP(k_ec*C45)</f>
        <v/>
      </c>
      <c r="H45">
        <f>(k_p2_1+2*k_p2_2*C45)/k_sx</f>
        <v/>
      </c>
      <c r="I45">
        <f>(k_p3_1+C45*(2*k_p3_2+3*k_p3_3*C45))/k_sx</f>
        <v/>
      </c>
      <c r="J45">
        <f>(k_p4_1+C45*(2*k_p4_2+C45*(3*k_p4_3+4*k_p4_4*C45)))/k_sx</f>
        <v/>
      </c>
      <c r="K45">
        <f>k_eb*k_ec*EXP(k_ec*C45)/k_sx</f>
        <v/>
      </c>
      <c r="L45">
        <f>(2*k_p4_2+C45*(6*k_p4_3+12*k_p4_4*C45))/k_sx^2</f>
        <v/>
      </c>
      <c r="M45">
        <f>D45/B45</f>
        <v/>
      </c>
      <c r="N45">
        <f>E45/B45</f>
        <v/>
      </c>
      <c r="O45">
        <f>F45/B45</f>
        <v/>
      </c>
      <c r="P45">
        <f>G45/B45</f>
        <v/>
      </c>
      <c r="Q45">
        <f>CHOOSE(k_model,D45,E45,F45,G45)</f>
        <v/>
      </c>
      <c r="R45">
        <f>CHOOSE(k_model,H45,I45,J45,K45)</f>
        <v/>
      </c>
    </row>
    <row r="46">
      <c r="A46" t="n">
        <v>44</v>
      </c>
      <c r="B46">
        <f>k_lo+k_rng*A46/1000</f>
        <v/>
      </c>
      <c r="C46">
        <f>(B46-k_mx)/k_sx</f>
        <v/>
      </c>
      <c r="D46">
        <f>k_p2_0+C46*(k_p2_1+C46*k_p2_2)</f>
        <v/>
      </c>
      <c r="E46">
        <f>k_p3_0+C46*(k_p3_1+C46*(k_p3_2+C46*k_p3_3))</f>
        <v/>
      </c>
      <c r="F46">
        <f>k_p4_0+C46*(k_p4_1+C46*(k_p4_2+C46*(k_p4_3+C46*k_p4_4)))</f>
        <v/>
      </c>
      <c r="G46">
        <f>k_ea+k_eb*EXP(k_ec*C46)</f>
        <v/>
      </c>
      <c r="H46">
        <f>(k_p2_1+2*k_p2_2*C46)/k_sx</f>
        <v/>
      </c>
      <c r="I46">
        <f>(k_p3_1+C46*(2*k_p3_2+3*k_p3_3*C46))/k_sx</f>
        <v/>
      </c>
      <c r="J46">
        <f>(k_p4_1+C46*(2*k_p4_2+C46*(3*k_p4_3+4*k_p4_4*C46)))/k_sx</f>
        <v/>
      </c>
      <c r="K46">
        <f>k_eb*k_ec*EXP(k_ec*C46)/k_sx</f>
        <v/>
      </c>
      <c r="L46">
        <f>(2*k_p4_2+C46*(6*k_p4_3+12*k_p4_4*C46))/k_sx^2</f>
        <v/>
      </c>
      <c r="M46">
        <f>D46/B46</f>
        <v/>
      </c>
      <c r="N46">
        <f>E46/B46</f>
        <v/>
      </c>
      <c r="O46">
        <f>F46/B46</f>
        <v/>
      </c>
      <c r="P46">
        <f>G46/B46</f>
        <v/>
      </c>
      <c r="Q46">
        <f>CHOOSE(k_model,D46,E46,F46,G46)</f>
        <v/>
      </c>
      <c r="R46">
        <f>CHOOSE(k_model,H46,I46,J46,K46)</f>
        <v/>
      </c>
    </row>
    <row r="47">
      <c r="A47" t="n">
        <v>45</v>
      </c>
      <c r="B47">
        <f>k_lo+k_rng*A47/1000</f>
        <v/>
      </c>
      <c r="C47">
        <f>(B47-k_mx)/k_sx</f>
        <v/>
      </c>
      <c r="D47">
        <f>k_p2_0+C47*(k_p2_1+C47*k_p2_2)</f>
        <v/>
      </c>
      <c r="E47">
        <f>k_p3_0+C47*(k_p3_1+C47*(k_p3_2+C47*k_p3_3))</f>
        <v/>
      </c>
      <c r="F47">
        <f>k_p4_0+C47*(k_p4_1+C47*(k_p4_2+C47*(k_p4_3+C47*k_p4_4)))</f>
        <v/>
      </c>
      <c r="G47">
        <f>k_ea+k_eb*EXP(k_ec*C47)</f>
        <v/>
      </c>
      <c r="H47">
        <f>(k_p2_1+2*k_p2_2*C47)/k_sx</f>
        <v/>
      </c>
      <c r="I47">
        <f>(k_p3_1+C47*(2*k_p3_2+3*k_p3_3*C47))/k_sx</f>
        <v/>
      </c>
      <c r="J47">
        <f>(k_p4_1+C47*(2*k_p4_2+C47*(3*k_p4_3+4*k_p4_4*C47)))/k_sx</f>
        <v/>
      </c>
      <c r="K47">
        <f>k_eb*k_ec*EXP(k_ec*C47)/k_sx</f>
        <v/>
      </c>
      <c r="L47">
        <f>(2*k_p4_2+C47*(6*k_p4_3+12*k_p4_4*C47))/k_sx^2</f>
        <v/>
      </c>
      <c r="M47">
        <f>D47/B47</f>
        <v/>
      </c>
      <c r="N47">
        <f>E47/B47</f>
        <v/>
      </c>
      <c r="O47">
        <f>F47/B47</f>
        <v/>
      </c>
      <c r="P47">
        <f>G47/B47</f>
        <v/>
      </c>
      <c r="Q47">
        <f>CHOOSE(k_model,D47,E47,F47,G47)</f>
        <v/>
      </c>
      <c r="R47">
        <f>CHOOSE(k_model,H47,I47,J47,K47)</f>
        <v/>
      </c>
    </row>
    <row r="48">
      <c r="A48" t="n">
        <v>46</v>
      </c>
      <c r="B48">
        <f>k_lo+k_rng*A48/1000</f>
        <v/>
      </c>
      <c r="C48">
        <f>(B48-k_mx)/k_sx</f>
        <v/>
      </c>
      <c r="D48">
        <f>k_p2_0+C48*(k_p2_1+C48*k_p2_2)</f>
        <v/>
      </c>
      <c r="E48">
        <f>k_p3_0+C48*(k_p3_1+C48*(k_p3_2+C48*k_p3_3))</f>
        <v/>
      </c>
      <c r="F48">
        <f>k_p4_0+C48*(k_p4_1+C48*(k_p4_2+C48*(k_p4_3+C48*k_p4_4)))</f>
        <v/>
      </c>
      <c r="G48">
        <f>k_ea+k_eb*EXP(k_ec*C48)</f>
        <v/>
      </c>
      <c r="H48">
        <f>(k_p2_1+2*k_p2_2*C48)/k_sx</f>
        <v/>
      </c>
      <c r="I48">
        <f>(k_p3_1+C48*(2*k_p3_2+3*k_p3_3*C48))/k_sx</f>
        <v/>
      </c>
      <c r="J48">
        <f>(k_p4_1+C48*(2*k_p4_2+C48*(3*k_p4_3+4*k_p4_4*C48)))/k_sx</f>
        <v/>
      </c>
      <c r="K48">
        <f>k_eb*k_ec*EXP(k_ec*C48)/k_sx</f>
        <v/>
      </c>
      <c r="L48">
        <f>(2*k_p4_2+C48*(6*k_p4_3+12*k_p4_4*C48))/k_sx^2</f>
        <v/>
      </c>
      <c r="M48">
        <f>D48/B48</f>
        <v/>
      </c>
      <c r="N48">
        <f>E48/B48</f>
        <v/>
      </c>
      <c r="O48">
        <f>F48/B48</f>
        <v/>
      </c>
      <c r="P48">
        <f>G48/B48</f>
        <v/>
      </c>
      <c r="Q48">
        <f>CHOOSE(k_model,D48,E48,F48,G48)</f>
        <v/>
      </c>
      <c r="R48">
        <f>CHOOSE(k_model,H48,I48,J48,K48)</f>
        <v/>
      </c>
    </row>
    <row r="49">
      <c r="A49" t="n">
        <v>47</v>
      </c>
      <c r="B49">
        <f>k_lo+k_rng*A49/1000</f>
        <v/>
      </c>
      <c r="C49">
        <f>(B49-k_mx)/k_sx</f>
        <v/>
      </c>
      <c r="D49">
        <f>k_p2_0+C49*(k_p2_1+C49*k_p2_2)</f>
        <v/>
      </c>
      <c r="E49">
        <f>k_p3_0+C49*(k_p3_1+C49*(k_p3_2+C49*k_p3_3))</f>
        <v/>
      </c>
      <c r="F49">
        <f>k_p4_0+C49*(k_p4_1+C49*(k_p4_2+C49*(k_p4_3+C49*k_p4_4)))</f>
        <v/>
      </c>
      <c r="G49">
        <f>k_ea+k_eb*EXP(k_ec*C49)</f>
        <v/>
      </c>
      <c r="H49">
        <f>(k_p2_1+2*k_p2_2*C49)/k_sx</f>
        <v/>
      </c>
      <c r="I49">
        <f>(k_p3_1+C49*(2*k_p3_2+3*k_p3_3*C49))/k_sx</f>
        <v/>
      </c>
      <c r="J49">
        <f>(k_p4_1+C49*(2*k_p4_2+C49*(3*k_p4_3+4*k_p4_4*C49)))/k_sx</f>
        <v/>
      </c>
      <c r="K49">
        <f>k_eb*k_ec*EXP(k_ec*C49)/k_sx</f>
        <v/>
      </c>
      <c r="L49">
        <f>(2*k_p4_2+C49*(6*k_p4_3+12*k_p4_4*C49))/k_sx^2</f>
        <v/>
      </c>
      <c r="M49">
        <f>D49/B49</f>
        <v/>
      </c>
      <c r="N49">
        <f>E49/B49</f>
        <v/>
      </c>
      <c r="O49">
        <f>F49/B49</f>
        <v/>
      </c>
      <c r="P49">
        <f>G49/B49</f>
        <v/>
      </c>
      <c r="Q49">
        <f>CHOOSE(k_model,D49,E49,F49,G49)</f>
        <v/>
      </c>
      <c r="R49">
        <f>CHOOSE(k_model,H49,I49,J49,K49)</f>
        <v/>
      </c>
    </row>
    <row r="50">
      <c r="A50" t="n">
        <v>48</v>
      </c>
      <c r="B50">
        <f>k_lo+k_rng*A50/1000</f>
        <v/>
      </c>
      <c r="C50">
        <f>(B50-k_mx)/k_sx</f>
        <v/>
      </c>
      <c r="D50">
        <f>k_p2_0+C50*(k_p2_1+C50*k_p2_2)</f>
        <v/>
      </c>
      <c r="E50">
        <f>k_p3_0+C50*(k_p3_1+C50*(k_p3_2+C50*k_p3_3))</f>
        <v/>
      </c>
      <c r="F50">
        <f>k_p4_0+C50*(k_p4_1+C50*(k_p4_2+C50*(k_p4_3+C50*k_p4_4)))</f>
        <v/>
      </c>
      <c r="G50">
        <f>k_ea+k_eb*EXP(k_ec*C50)</f>
        <v/>
      </c>
      <c r="H50">
        <f>(k_p2_1+2*k_p2_2*C50)/k_sx</f>
        <v/>
      </c>
      <c r="I50">
        <f>(k_p3_1+C50*(2*k_p3_2+3*k_p3_3*C50))/k_sx</f>
        <v/>
      </c>
      <c r="J50">
        <f>(k_p4_1+C50*(2*k_p4_2+C50*(3*k_p4_3+4*k_p4_4*C50)))/k_sx</f>
        <v/>
      </c>
      <c r="K50">
        <f>k_eb*k_ec*EXP(k_ec*C50)/k_sx</f>
        <v/>
      </c>
      <c r="L50">
        <f>(2*k_p4_2+C50*(6*k_p4_3+12*k_p4_4*C50))/k_sx^2</f>
        <v/>
      </c>
      <c r="M50">
        <f>D50/B50</f>
        <v/>
      </c>
      <c r="N50">
        <f>E50/B50</f>
        <v/>
      </c>
      <c r="O50">
        <f>F50/B50</f>
        <v/>
      </c>
      <c r="P50">
        <f>G50/B50</f>
        <v/>
      </c>
      <c r="Q50">
        <f>CHOOSE(k_model,D50,E50,F50,G50)</f>
        <v/>
      </c>
      <c r="R50">
        <f>CHOOSE(k_model,H50,I50,J50,K50)</f>
        <v/>
      </c>
    </row>
    <row r="51">
      <c r="A51" t="n">
        <v>49</v>
      </c>
      <c r="B51">
        <f>k_lo+k_rng*A51/1000</f>
        <v/>
      </c>
      <c r="C51">
        <f>(B51-k_mx)/k_sx</f>
        <v/>
      </c>
      <c r="D51">
        <f>k_p2_0+C51*(k_p2_1+C51*k_p2_2)</f>
        <v/>
      </c>
      <c r="E51">
        <f>k_p3_0+C51*(k_p3_1+C51*(k_p3_2+C51*k_p3_3))</f>
        <v/>
      </c>
      <c r="F51">
        <f>k_p4_0+C51*(k_p4_1+C51*(k_p4_2+C51*(k_p4_3+C51*k_p4_4)))</f>
        <v/>
      </c>
      <c r="G51">
        <f>k_ea+k_eb*EXP(k_ec*C51)</f>
        <v/>
      </c>
      <c r="H51">
        <f>(k_p2_1+2*k_p2_2*C51)/k_sx</f>
        <v/>
      </c>
      <c r="I51">
        <f>(k_p3_1+C51*(2*k_p3_2+3*k_p3_3*C51))/k_sx</f>
        <v/>
      </c>
      <c r="J51">
        <f>(k_p4_1+C51*(2*k_p4_2+C51*(3*k_p4_3+4*k_p4_4*C51)))/k_sx</f>
        <v/>
      </c>
      <c r="K51">
        <f>k_eb*k_ec*EXP(k_ec*C51)/k_sx</f>
        <v/>
      </c>
      <c r="L51">
        <f>(2*k_p4_2+C51*(6*k_p4_3+12*k_p4_4*C51))/k_sx^2</f>
        <v/>
      </c>
      <c r="M51">
        <f>D51/B51</f>
        <v/>
      </c>
      <c r="N51">
        <f>E51/B51</f>
        <v/>
      </c>
      <c r="O51">
        <f>F51/B51</f>
        <v/>
      </c>
      <c r="P51">
        <f>G51/B51</f>
        <v/>
      </c>
      <c r="Q51">
        <f>CHOOSE(k_model,D51,E51,F51,G51)</f>
        <v/>
      </c>
      <c r="R51">
        <f>CHOOSE(k_model,H51,I51,J51,K51)</f>
        <v/>
      </c>
    </row>
    <row r="52">
      <c r="A52" t="n">
        <v>50</v>
      </c>
      <c r="B52">
        <f>k_lo+k_rng*A52/1000</f>
        <v/>
      </c>
      <c r="C52">
        <f>(B52-k_mx)/k_sx</f>
        <v/>
      </c>
      <c r="D52">
        <f>k_p2_0+C52*(k_p2_1+C52*k_p2_2)</f>
        <v/>
      </c>
      <c r="E52">
        <f>k_p3_0+C52*(k_p3_1+C52*(k_p3_2+C52*k_p3_3))</f>
        <v/>
      </c>
      <c r="F52">
        <f>k_p4_0+C52*(k_p4_1+C52*(k_p4_2+C52*(k_p4_3+C52*k_p4_4)))</f>
        <v/>
      </c>
      <c r="G52">
        <f>k_ea+k_eb*EXP(k_ec*C52)</f>
        <v/>
      </c>
      <c r="H52">
        <f>(k_p2_1+2*k_p2_2*C52)/k_sx</f>
        <v/>
      </c>
      <c r="I52">
        <f>(k_p3_1+C52*(2*k_p3_2+3*k_p3_3*C52))/k_sx</f>
        <v/>
      </c>
      <c r="J52">
        <f>(k_p4_1+C52*(2*k_p4_2+C52*(3*k_p4_3+4*k_p4_4*C52)))/k_sx</f>
        <v/>
      </c>
      <c r="K52">
        <f>k_eb*k_ec*EXP(k_ec*C52)/k_sx</f>
        <v/>
      </c>
      <c r="L52">
        <f>(2*k_p4_2+C52*(6*k_p4_3+12*k_p4_4*C52))/k_sx^2</f>
        <v/>
      </c>
      <c r="M52">
        <f>D52/B52</f>
        <v/>
      </c>
      <c r="N52">
        <f>E52/B52</f>
        <v/>
      </c>
      <c r="O52">
        <f>F52/B52</f>
        <v/>
      </c>
      <c r="P52">
        <f>G52/B52</f>
        <v/>
      </c>
      <c r="Q52">
        <f>CHOOSE(k_model,D52,E52,F52,G52)</f>
        <v/>
      </c>
      <c r="R52">
        <f>CHOOSE(k_model,H52,I52,J52,K52)</f>
        <v/>
      </c>
    </row>
    <row r="53">
      <c r="A53" t="n">
        <v>51</v>
      </c>
      <c r="B53">
        <f>k_lo+k_rng*A53/1000</f>
        <v/>
      </c>
      <c r="C53">
        <f>(B53-k_mx)/k_sx</f>
        <v/>
      </c>
      <c r="D53">
        <f>k_p2_0+C53*(k_p2_1+C53*k_p2_2)</f>
        <v/>
      </c>
      <c r="E53">
        <f>k_p3_0+C53*(k_p3_1+C53*(k_p3_2+C53*k_p3_3))</f>
        <v/>
      </c>
      <c r="F53">
        <f>k_p4_0+C53*(k_p4_1+C53*(k_p4_2+C53*(k_p4_3+C53*k_p4_4)))</f>
        <v/>
      </c>
      <c r="G53">
        <f>k_ea+k_eb*EXP(k_ec*C53)</f>
        <v/>
      </c>
      <c r="H53">
        <f>(k_p2_1+2*k_p2_2*C53)/k_sx</f>
        <v/>
      </c>
      <c r="I53">
        <f>(k_p3_1+C53*(2*k_p3_2+3*k_p3_3*C53))/k_sx</f>
        <v/>
      </c>
      <c r="J53">
        <f>(k_p4_1+C53*(2*k_p4_2+C53*(3*k_p4_3+4*k_p4_4*C53)))/k_sx</f>
        <v/>
      </c>
      <c r="K53">
        <f>k_eb*k_ec*EXP(k_ec*C53)/k_sx</f>
        <v/>
      </c>
      <c r="L53">
        <f>(2*k_p4_2+C53*(6*k_p4_3+12*k_p4_4*C53))/k_sx^2</f>
        <v/>
      </c>
      <c r="M53">
        <f>D53/B53</f>
        <v/>
      </c>
      <c r="N53">
        <f>E53/B53</f>
        <v/>
      </c>
      <c r="O53">
        <f>F53/B53</f>
        <v/>
      </c>
      <c r="P53">
        <f>G53/B53</f>
        <v/>
      </c>
      <c r="Q53">
        <f>CHOOSE(k_model,D53,E53,F53,G53)</f>
        <v/>
      </c>
      <c r="R53">
        <f>CHOOSE(k_model,H53,I53,J53,K53)</f>
        <v/>
      </c>
    </row>
    <row r="54">
      <c r="A54" t="n">
        <v>52</v>
      </c>
      <c r="B54">
        <f>k_lo+k_rng*A54/1000</f>
        <v/>
      </c>
      <c r="C54">
        <f>(B54-k_mx)/k_sx</f>
        <v/>
      </c>
      <c r="D54">
        <f>k_p2_0+C54*(k_p2_1+C54*k_p2_2)</f>
        <v/>
      </c>
      <c r="E54">
        <f>k_p3_0+C54*(k_p3_1+C54*(k_p3_2+C54*k_p3_3))</f>
        <v/>
      </c>
      <c r="F54">
        <f>k_p4_0+C54*(k_p4_1+C54*(k_p4_2+C54*(k_p4_3+C54*k_p4_4)))</f>
        <v/>
      </c>
      <c r="G54">
        <f>k_ea+k_eb*EXP(k_ec*C54)</f>
        <v/>
      </c>
      <c r="H54">
        <f>(k_p2_1+2*k_p2_2*C54)/k_sx</f>
        <v/>
      </c>
      <c r="I54">
        <f>(k_p3_1+C54*(2*k_p3_2+3*k_p3_3*C54))/k_sx</f>
        <v/>
      </c>
      <c r="J54">
        <f>(k_p4_1+C54*(2*k_p4_2+C54*(3*k_p4_3+4*k_p4_4*C54)))/k_sx</f>
        <v/>
      </c>
      <c r="K54">
        <f>k_eb*k_ec*EXP(k_ec*C54)/k_sx</f>
        <v/>
      </c>
      <c r="L54">
        <f>(2*k_p4_2+C54*(6*k_p4_3+12*k_p4_4*C54))/k_sx^2</f>
        <v/>
      </c>
      <c r="M54">
        <f>D54/B54</f>
        <v/>
      </c>
      <c r="N54">
        <f>E54/B54</f>
        <v/>
      </c>
      <c r="O54">
        <f>F54/B54</f>
        <v/>
      </c>
      <c r="P54">
        <f>G54/B54</f>
        <v/>
      </c>
      <c r="Q54">
        <f>CHOOSE(k_model,D54,E54,F54,G54)</f>
        <v/>
      </c>
      <c r="R54">
        <f>CHOOSE(k_model,H54,I54,J54,K54)</f>
        <v/>
      </c>
    </row>
    <row r="55">
      <c r="A55" t="n">
        <v>53</v>
      </c>
      <c r="B55">
        <f>k_lo+k_rng*A55/1000</f>
        <v/>
      </c>
      <c r="C55">
        <f>(B55-k_mx)/k_sx</f>
        <v/>
      </c>
      <c r="D55">
        <f>k_p2_0+C55*(k_p2_1+C55*k_p2_2)</f>
        <v/>
      </c>
      <c r="E55">
        <f>k_p3_0+C55*(k_p3_1+C55*(k_p3_2+C55*k_p3_3))</f>
        <v/>
      </c>
      <c r="F55">
        <f>k_p4_0+C55*(k_p4_1+C55*(k_p4_2+C55*(k_p4_3+C55*k_p4_4)))</f>
        <v/>
      </c>
      <c r="G55">
        <f>k_ea+k_eb*EXP(k_ec*C55)</f>
        <v/>
      </c>
      <c r="H55">
        <f>(k_p2_1+2*k_p2_2*C55)/k_sx</f>
        <v/>
      </c>
      <c r="I55">
        <f>(k_p3_1+C55*(2*k_p3_2+3*k_p3_3*C55))/k_sx</f>
        <v/>
      </c>
      <c r="J55">
        <f>(k_p4_1+C55*(2*k_p4_2+C55*(3*k_p4_3+4*k_p4_4*C55)))/k_sx</f>
        <v/>
      </c>
      <c r="K55">
        <f>k_eb*k_ec*EXP(k_ec*C55)/k_sx</f>
        <v/>
      </c>
      <c r="L55">
        <f>(2*k_p4_2+C55*(6*k_p4_3+12*k_p4_4*C55))/k_sx^2</f>
        <v/>
      </c>
      <c r="M55">
        <f>D55/B55</f>
        <v/>
      </c>
      <c r="N55">
        <f>E55/B55</f>
        <v/>
      </c>
      <c r="O55">
        <f>F55/B55</f>
        <v/>
      </c>
      <c r="P55">
        <f>G55/B55</f>
        <v/>
      </c>
      <c r="Q55">
        <f>CHOOSE(k_model,D55,E55,F55,G55)</f>
        <v/>
      </c>
      <c r="R55">
        <f>CHOOSE(k_model,H55,I55,J55,K55)</f>
        <v/>
      </c>
    </row>
    <row r="56">
      <c r="A56" t="n">
        <v>54</v>
      </c>
      <c r="B56">
        <f>k_lo+k_rng*A56/1000</f>
        <v/>
      </c>
      <c r="C56">
        <f>(B56-k_mx)/k_sx</f>
        <v/>
      </c>
      <c r="D56">
        <f>k_p2_0+C56*(k_p2_1+C56*k_p2_2)</f>
        <v/>
      </c>
      <c r="E56">
        <f>k_p3_0+C56*(k_p3_1+C56*(k_p3_2+C56*k_p3_3))</f>
        <v/>
      </c>
      <c r="F56">
        <f>k_p4_0+C56*(k_p4_1+C56*(k_p4_2+C56*(k_p4_3+C56*k_p4_4)))</f>
        <v/>
      </c>
      <c r="G56">
        <f>k_ea+k_eb*EXP(k_ec*C56)</f>
        <v/>
      </c>
      <c r="H56">
        <f>(k_p2_1+2*k_p2_2*C56)/k_sx</f>
        <v/>
      </c>
      <c r="I56">
        <f>(k_p3_1+C56*(2*k_p3_2+3*k_p3_3*C56))/k_sx</f>
        <v/>
      </c>
      <c r="J56">
        <f>(k_p4_1+C56*(2*k_p4_2+C56*(3*k_p4_3+4*k_p4_4*C56)))/k_sx</f>
        <v/>
      </c>
      <c r="K56">
        <f>k_eb*k_ec*EXP(k_ec*C56)/k_sx</f>
        <v/>
      </c>
      <c r="L56">
        <f>(2*k_p4_2+C56*(6*k_p4_3+12*k_p4_4*C56))/k_sx^2</f>
        <v/>
      </c>
      <c r="M56">
        <f>D56/B56</f>
        <v/>
      </c>
      <c r="N56">
        <f>E56/B56</f>
        <v/>
      </c>
      <c r="O56">
        <f>F56/B56</f>
        <v/>
      </c>
      <c r="P56">
        <f>G56/B56</f>
        <v/>
      </c>
      <c r="Q56">
        <f>CHOOSE(k_model,D56,E56,F56,G56)</f>
        <v/>
      </c>
      <c r="R56">
        <f>CHOOSE(k_model,H56,I56,J56,K56)</f>
        <v/>
      </c>
    </row>
    <row r="57">
      <c r="A57" t="n">
        <v>55</v>
      </c>
      <c r="B57">
        <f>k_lo+k_rng*A57/1000</f>
        <v/>
      </c>
      <c r="C57">
        <f>(B57-k_mx)/k_sx</f>
        <v/>
      </c>
      <c r="D57">
        <f>k_p2_0+C57*(k_p2_1+C57*k_p2_2)</f>
        <v/>
      </c>
      <c r="E57">
        <f>k_p3_0+C57*(k_p3_1+C57*(k_p3_2+C57*k_p3_3))</f>
        <v/>
      </c>
      <c r="F57">
        <f>k_p4_0+C57*(k_p4_1+C57*(k_p4_2+C57*(k_p4_3+C57*k_p4_4)))</f>
        <v/>
      </c>
      <c r="G57">
        <f>k_ea+k_eb*EXP(k_ec*C57)</f>
        <v/>
      </c>
      <c r="H57">
        <f>(k_p2_1+2*k_p2_2*C57)/k_sx</f>
        <v/>
      </c>
      <c r="I57">
        <f>(k_p3_1+C57*(2*k_p3_2+3*k_p3_3*C57))/k_sx</f>
        <v/>
      </c>
      <c r="J57">
        <f>(k_p4_1+C57*(2*k_p4_2+C57*(3*k_p4_3+4*k_p4_4*C57)))/k_sx</f>
        <v/>
      </c>
      <c r="K57">
        <f>k_eb*k_ec*EXP(k_ec*C57)/k_sx</f>
        <v/>
      </c>
      <c r="L57">
        <f>(2*k_p4_2+C57*(6*k_p4_3+12*k_p4_4*C57))/k_sx^2</f>
        <v/>
      </c>
      <c r="M57">
        <f>D57/B57</f>
        <v/>
      </c>
      <c r="N57">
        <f>E57/B57</f>
        <v/>
      </c>
      <c r="O57">
        <f>F57/B57</f>
        <v/>
      </c>
      <c r="P57">
        <f>G57/B57</f>
        <v/>
      </c>
      <c r="Q57">
        <f>CHOOSE(k_model,D57,E57,F57,G57)</f>
        <v/>
      </c>
      <c r="R57">
        <f>CHOOSE(k_model,H57,I57,J57,K57)</f>
        <v/>
      </c>
    </row>
    <row r="58">
      <c r="A58" t="n">
        <v>56</v>
      </c>
      <c r="B58">
        <f>k_lo+k_rng*A58/1000</f>
        <v/>
      </c>
      <c r="C58">
        <f>(B58-k_mx)/k_sx</f>
        <v/>
      </c>
      <c r="D58">
        <f>k_p2_0+C58*(k_p2_1+C58*k_p2_2)</f>
        <v/>
      </c>
      <c r="E58">
        <f>k_p3_0+C58*(k_p3_1+C58*(k_p3_2+C58*k_p3_3))</f>
        <v/>
      </c>
      <c r="F58">
        <f>k_p4_0+C58*(k_p4_1+C58*(k_p4_2+C58*(k_p4_3+C58*k_p4_4)))</f>
        <v/>
      </c>
      <c r="G58">
        <f>k_ea+k_eb*EXP(k_ec*C58)</f>
        <v/>
      </c>
      <c r="H58">
        <f>(k_p2_1+2*k_p2_2*C58)/k_sx</f>
        <v/>
      </c>
      <c r="I58">
        <f>(k_p3_1+C58*(2*k_p3_2+3*k_p3_3*C58))/k_sx</f>
        <v/>
      </c>
      <c r="J58">
        <f>(k_p4_1+C58*(2*k_p4_2+C58*(3*k_p4_3+4*k_p4_4*C58)))/k_sx</f>
        <v/>
      </c>
      <c r="K58">
        <f>k_eb*k_ec*EXP(k_ec*C58)/k_sx</f>
        <v/>
      </c>
      <c r="L58">
        <f>(2*k_p4_2+C58*(6*k_p4_3+12*k_p4_4*C58))/k_sx^2</f>
        <v/>
      </c>
      <c r="M58">
        <f>D58/B58</f>
        <v/>
      </c>
      <c r="N58">
        <f>E58/B58</f>
        <v/>
      </c>
      <c r="O58">
        <f>F58/B58</f>
        <v/>
      </c>
      <c r="P58">
        <f>G58/B58</f>
        <v/>
      </c>
      <c r="Q58">
        <f>CHOOSE(k_model,D58,E58,F58,G58)</f>
        <v/>
      </c>
      <c r="R58">
        <f>CHOOSE(k_model,H58,I58,J58,K58)</f>
        <v/>
      </c>
    </row>
    <row r="59">
      <c r="A59" t="n">
        <v>57</v>
      </c>
      <c r="B59">
        <f>k_lo+k_rng*A59/1000</f>
        <v/>
      </c>
      <c r="C59">
        <f>(B59-k_mx)/k_sx</f>
        <v/>
      </c>
      <c r="D59">
        <f>k_p2_0+C59*(k_p2_1+C59*k_p2_2)</f>
        <v/>
      </c>
      <c r="E59">
        <f>k_p3_0+C59*(k_p3_1+C59*(k_p3_2+C59*k_p3_3))</f>
        <v/>
      </c>
      <c r="F59">
        <f>k_p4_0+C59*(k_p4_1+C59*(k_p4_2+C59*(k_p4_3+C59*k_p4_4)))</f>
        <v/>
      </c>
      <c r="G59">
        <f>k_ea+k_eb*EXP(k_ec*C59)</f>
        <v/>
      </c>
      <c r="H59">
        <f>(k_p2_1+2*k_p2_2*C59)/k_sx</f>
        <v/>
      </c>
      <c r="I59">
        <f>(k_p3_1+C59*(2*k_p3_2+3*k_p3_3*C59))/k_sx</f>
        <v/>
      </c>
      <c r="J59">
        <f>(k_p4_1+C59*(2*k_p4_2+C59*(3*k_p4_3+4*k_p4_4*C59)))/k_sx</f>
        <v/>
      </c>
      <c r="K59">
        <f>k_eb*k_ec*EXP(k_ec*C59)/k_sx</f>
        <v/>
      </c>
      <c r="L59">
        <f>(2*k_p4_2+C59*(6*k_p4_3+12*k_p4_4*C59))/k_sx^2</f>
        <v/>
      </c>
      <c r="M59">
        <f>D59/B59</f>
        <v/>
      </c>
      <c r="N59">
        <f>E59/B59</f>
        <v/>
      </c>
      <c r="O59">
        <f>F59/B59</f>
        <v/>
      </c>
      <c r="P59">
        <f>G59/B59</f>
        <v/>
      </c>
      <c r="Q59">
        <f>CHOOSE(k_model,D59,E59,F59,G59)</f>
        <v/>
      </c>
      <c r="R59">
        <f>CHOOSE(k_model,H59,I59,J59,K59)</f>
        <v/>
      </c>
    </row>
    <row r="60">
      <c r="A60" t="n">
        <v>58</v>
      </c>
      <c r="B60">
        <f>k_lo+k_rng*A60/1000</f>
        <v/>
      </c>
      <c r="C60">
        <f>(B60-k_mx)/k_sx</f>
        <v/>
      </c>
      <c r="D60">
        <f>k_p2_0+C60*(k_p2_1+C60*k_p2_2)</f>
        <v/>
      </c>
      <c r="E60">
        <f>k_p3_0+C60*(k_p3_1+C60*(k_p3_2+C60*k_p3_3))</f>
        <v/>
      </c>
      <c r="F60">
        <f>k_p4_0+C60*(k_p4_1+C60*(k_p4_2+C60*(k_p4_3+C60*k_p4_4)))</f>
        <v/>
      </c>
      <c r="G60">
        <f>k_ea+k_eb*EXP(k_ec*C60)</f>
        <v/>
      </c>
      <c r="H60">
        <f>(k_p2_1+2*k_p2_2*C60)/k_sx</f>
        <v/>
      </c>
      <c r="I60">
        <f>(k_p3_1+C60*(2*k_p3_2+3*k_p3_3*C60))/k_sx</f>
        <v/>
      </c>
      <c r="J60">
        <f>(k_p4_1+C60*(2*k_p4_2+C60*(3*k_p4_3+4*k_p4_4*C60)))/k_sx</f>
        <v/>
      </c>
      <c r="K60">
        <f>k_eb*k_ec*EXP(k_ec*C60)/k_sx</f>
        <v/>
      </c>
      <c r="L60">
        <f>(2*k_p4_2+C60*(6*k_p4_3+12*k_p4_4*C60))/k_sx^2</f>
        <v/>
      </c>
      <c r="M60">
        <f>D60/B60</f>
        <v/>
      </c>
      <c r="N60">
        <f>E60/B60</f>
        <v/>
      </c>
      <c r="O60">
        <f>F60/B60</f>
        <v/>
      </c>
      <c r="P60">
        <f>G60/B60</f>
        <v/>
      </c>
      <c r="Q60">
        <f>CHOOSE(k_model,D60,E60,F60,G60)</f>
        <v/>
      </c>
      <c r="R60">
        <f>CHOOSE(k_model,H60,I60,J60,K60)</f>
        <v/>
      </c>
    </row>
    <row r="61">
      <c r="A61" t="n">
        <v>59</v>
      </c>
      <c r="B61">
        <f>k_lo+k_rng*A61/1000</f>
        <v/>
      </c>
      <c r="C61">
        <f>(B61-k_mx)/k_sx</f>
        <v/>
      </c>
      <c r="D61">
        <f>k_p2_0+C61*(k_p2_1+C61*k_p2_2)</f>
        <v/>
      </c>
      <c r="E61">
        <f>k_p3_0+C61*(k_p3_1+C61*(k_p3_2+C61*k_p3_3))</f>
        <v/>
      </c>
      <c r="F61">
        <f>k_p4_0+C61*(k_p4_1+C61*(k_p4_2+C61*(k_p4_3+C61*k_p4_4)))</f>
        <v/>
      </c>
      <c r="G61">
        <f>k_ea+k_eb*EXP(k_ec*C61)</f>
        <v/>
      </c>
      <c r="H61">
        <f>(k_p2_1+2*k_p2_2*C61)/k_sx</f>
        <v/>
      </c>
      <c r="I61">
        <f>(k_p3_1+C61*(2*k_p3_2+3*k_p3_3*C61))/k_sx</f>
        <v/>
      </c>
      <c r="J61">
        <f>(k_p4_1+C61*(2*k_p4_2+C61*(3*k_p4_3+4*k_p4_4*C61)))/k_sx</f>
        <v/>
      </c>
      <c r="K61">
        <f>k_eb*k_ec*EXP(k_ec*C61)/k_sx</f>
        <v/>
      </c>
      <c r="L61">
        <f>(2*k_p4_2+C61*(6*k_p4_3+12*k_p4_4*C61))/k_sx^2</f>
        <v/>
      </c>
      <c r="M61">
        <f>D61/B61</f>
        <v/>
      </c>
      <c r="N61">
        <f>E61/B61</f>
        <v/>
      </c>
      <c r="O61">
        <f>F61/B61</f>
        <v/>
      </c>
      <c r="P61">
        <f>G61/B61</f>
        <v/>
      </c>
      <c r="Q61">
        <f>CHOOSE(k_model,D61,E61,F61,G61)</f>
        <v/>
      </c>
      <c r="R61">
        <f>CHOOSE(k_model,H61,I61,J61,K61)</f>
        <v/>
      </c>
    </row>
    <row r="62">
      <c r="A62" t="n">
        <v>60</v>
      </c>
      <c r="B62">
        <f>k_lo+k_rng*A62/1000</f>
        <v/>
      </c>
      <c r="C62">
        <f>(B62-k_mx)/k_sx</f>
        <v/>
      </c>
      <c r="D62">
        <f>k_p2_0+C62*(k_p2_1+C62*k_p2_2)</f>
        <v/>
      </c>
      <c r="E62">
        <f>k_p3_0+C62*(k_p3_1+C62*(k_p3_2+C62*k_p3_3))</f>
        <v/>
      </c>
      <c r="F62">
        <f>k_p4_0+C62*(k_p4_1+C62*(k_p4_2+C62*(k_p4_3+C62*k_p4_4)))</f>
        <v/>
      </c>
      <c r="G62">
        <f>k_ea+k_eb*EXP(k_ec*C62)</f>
        <v/>
      </c>
      <c r="H62">
        <f>(k_p2_1+2*k_p2_2*C62)/k_sx</f>
        <v/>
      </c>
      <c r="I62">
        <f>(k_p3_1+C62*(2*k_p3_2+3*k_p3_3*C62))/k_sx</f>
        <v/>
      </c>
      <c r="J62">
        <f>(k_p4_1+C62*(2*k_p4_2+C62*(3*k_p4_3+4*k_p4_4*C62)))/k_sx</f>
        <v/>
      </c>
      <c r="K62">
        <f>k_eb*k_ec*EXP(k_ec*C62)/k_sx</f>
        <v/>
      </c>
      <c r="L62">
        <f>(2*k_p4_2+C62*(6*k_p4_3+12*k_p4_4*C62))/k_sx^2</f>
        <v/>
      </c>
      <c r="M62">
        <f>D62/B62</f>
        <v/>
      </c>
      <c r="N62">
        <f>E62/B62</f>
        <v/>
      </c>
      <c r="O62">
        <f>F62/B62</f>
        <v/>
      </c>
      <c r="P62">
        <f>G62/B62</f>
        <v/>
      </c>
      <c r="Q62">
        <f>CHOOSE(k_model,D62,E62,F62,G62)</f>
        <v/>
      </c>
      <c r="R62">
        <f>CHOOSE(k_model,H62,I62,J62,K62)</f>
        <v/>
      </c>
    </row>
    <row r="63">
      <c r="A63" t="n">
        <v>61</v>
      </c>
      <c r="B63">
        <f>k_lo+k_rng*A63/1000</f>
        <v/>
      </c>
      <c r="C63">
        <f>(B63-k_mx)/k_sx</f>
        <v/>
      </c>
      <c r="D63">
        <f>k_p2_0+C63*(k_p2_1+C63*k_p2_2)</f>
        <v/>
      </c>
      <c r="E63">
        <f>k_p3_0+C63*(k_p3_1+C63*(k_p3_2+C63*k_p3_3))</f>
        <v/>
      </c>
      <c r="F63">
        <f>k_p4_0+C63*(k_p4_1+C63*(k_p4_2+C63*(k_p4_3+C63*k_p4_4)))</f>
        <v/>
      </c>
      <c r="G63">
        <f>k_ea+k_eb*EXP(k_ec*C63)</f>
        <v/>
      </c>
      <c r="H63">
        <f>(k_p2_1+2*k_p2_2*C63)/k_sx</f>
        <v/>
      </c>
      <c r="I63">
        <f>(k_p3_1+C63*(2*k_p3_2+3*k_p3_3*C63))/k_sx</f>
        <v/>
      </c>
      <c r="J63">
        <f>(k_p4_1+C63*(2*k_p4_2+C63*(3*k_p4_3+4*k_p4_4*C63)))/k_sx</f>
        <v/>
      </c>
      <c r="K63">
        <f>k_eb*k_ec*EXP(k_ec*C63)/k_sx</f>
        <v/>
      </c>
      <c r="L63">
        <f>(2*k_p4_2+C63*(6*k_p4_3+12*k_p4_4*C63))/k_sx^2</f>
        <v/>
      </c>
      <c r="M63">
        <f>D63/B63</f>
        <v/>
      </c>
      <c r="N63">
        <f>E63/B63</f>
        <v/>
      </c>
      <c r="O63">
        <f>F63/B63</f>
        <v/>
      </c>
      <c r="P63">
        <f>G63/B63</f>
        <v/>
      </c>
      <c r="Q63">
        <f>CHOOSE(k_model,D63,E63,F63,G63)</f>
        <v/>
      </c>
      <c r="R63">
        <f>CHOOSE(k_model,H63,I63,J63,K63)</f>
        <v/>
      </c>
    </row>
    <row r="64">
      <c r="A64" t="n">
        <v>62</v>
      </c>
      <c r="B64">
        <f>k_lo+k_rng*A64/1000</f>
        <v/>
      </c>
      <c r="C64">
        <f>(B64-k_mx)/k_sx</f>
        <v/>
      </c>
      <c r="D64">
        <f>k_p2_0+C64*(k_p2_1+C64*k_p2_2)</f>
        <v/>
      </c>
      <c r="E64">
        <f>k_p3_0+C64*(k_p3_1+C64*(k_p3_2+C64*k_p3_3))</f>
        <v/>
      </c>
      <c r="F64">
        <f>k_p4_0+C64*(k_p4_1+C64*(k_p4_2+C64*(k_p4_3+C64*k_p4_4)))</f>
        <v/>
      </c>
      <c r="G64">
        <f>k_ea+k_eb*EXP(k_ec*C64)</f>
        <v/>
      </c>
      <c r="H64">
        <f>(k_p2_1+2*k_p2_2*C64)/k_sx</f>
        <v/>
      </c>
      <c r="I64">
        <f>(k_p3_1+C64*(2*k_p3_2+3*k_p3_3*C64))/k_sx</f>
        <v/>
      </c>
      <c r="J64">
        <f>(k_p4_1+C64*(2*k_p4_2+C64*(3*k_p4_3+4*k_p4_4*C64)))/k_sx</f>
        <v/>
      </c>
      <c r="K64">
        <f>k_eb*k_ec*EXP(k_ec*C64)/k_sx</f>
        <v/>
      </c>
      <c r="L64">
        <f>(2*k_p4_2+C64*(6*k_p4_3+12*k_p4_4*C64))/k_sx^2</f>
        <v/>
      </c>
      <c r="M64">
        <f>D64/B64</f>
        <v/>
      </c>
      <c r="N64">
        <f>E64/B64</f>
        <v/>
      </c>
      <c r="O64">
        <f>F64/B64</f>
        <v/>
      </c>
      <c r="P64">
        <f>G64/B64</f>
        <v/>
      </c>
      <c r="Q64">
        <f>CHOOSE(k_model,D64,E64,F64,G64)</f>
        <v/>
      </c>
      <c r="R64">
        <f>CHOOSE(k_model,H64,I64,J64,K64)</f>
        <v/>
      </c>
    </row>
    <row r="65">
      <c r="A65" t="n">
        <v>63</v>
      </c>
      <c r="B65">
        <f>k_lo+k_rng*A65/1000</f>
        <v/>
      </c>
      <c r="C65">
        <f>(B65-k_mx)/k_sx</f>
        <v/>
      </c>
      <c r="D65">
        <f>k_p2_0+C65*(k_p2_1+C65*k_p2_2)</f>
        <v/>
      </c>
      <c r="E65">
        <f>k_p3_0+C65*(k_p3_1+C65*(k_p3_2+C65*k_p3_3))</f>
        <v/>
      </c>
      <c r="F65">
        <f>k_p4_0+C65*(k_p4_1+C65*(k_p4_2+C65*(k_p4_3+C65*k_p4_4)))</f>
        <v/>
      </c>
      <c r="G65">
        <f>k_ea+k_eb*EXP(k_ec*C65)</f>
        <v/>
      </c>
      <c r="H65">
        <f>(k_p2_1+2*k_p2_2*C65)/k_sx</f>
        <v/>
      </c>
      <c r="I65">
        <f>(k_p3_1+C65*(2*k_p3_2+3*k_p3_3*C65))/k_sx</f>
        <v/>
      </c>
      <c r="J65">
        <f>(k_p4_1+C65*(2*k_p4_2+C65*(3*k_p4_3+4*k_p4_4*C65)))/k_sx</f>
        <v/>
      </c>
      <c r="K65">
        <f>k_eb*k_ec*EXP(k_ec*C65)/k_sx</f>
        <v/>
      </c>
      <c r="L65">
        <f>(2*k_p4_2+C65*(6*k_p4_3+12*k_p4_4*C65))/k_sx^2</f>
        <v/>
      </c>
      <c r="M65">
        <f>D65/B65</f>
        <v/>
      </c>
      <c r="N65">
        <f>E65/B65</f>
        <v/>
      </c>
      <c r="O65">
        <f>F65/B65</f>
        <v/>
      </c>
      <c r="P65">
        <f>G65/B65</f>
        <v/>
      </c>
      <c r="Q65">
        <f>CHOOSE(k_model,D65,E65,F65,G65)</f>
        <v/>
      </c>
      <c r="R65">
        <f>CHOOSE(k_model,H65,I65,J65,K65)</f>
        <v/>
      </c>
    </row>
    <row r="66">
      <c r="A66" t="n">
        <v>64</v>
      </c>
      <c r="B66">
        <f>k_lo+k_rng*A66/1000</f>
        <v/>
      </c>
      <c r="C66">
        <f>(B66-k_mx)/k_sx</f>
        <v/>
      </c>
      <c r="D66">
        <f>k_p2_0+C66*(k_p2_1+C66*k_p2_2)</f>
        <v/>
      </c>
      <c r="E66">
        <f>k_p3_0+C66*(k_p3_1+C66*(k_p3_2+C66*k_p3_3))</f>
        <v/>
      </c>
      <c r="F66">
        <f>k_p4_0+C66*(k_p4_1+C66*(k_p4_2+C66*(k_p4_3+C66*k_p4_4)))</f>
        <v/>
      </c>
      <c r="G66">
        <f>k_ea+k_eb*EXP(k_ec*C66)</f>
        <v/>
      </c>
      <c r="H66">
        <f>(k_p2_1+2*k_p2_2*C66)/k_sx</f>
        <v/>
      </c>
      <c r="I66">
        <f>(k_p3_1+C66*(2*k_p3_2+3*k_p3_3*C66))/k_sx</f>
        <v/>
      </c>
      <c r="J66">
        <f>(k_p4_1+C66*(2*k_p4_2+C66*(3*k_p4_3+4*k_p4_4*C66)))/k_sx</f>
        <v/>
      </c>
      <c r="K66">
        <f>k_eb*k_ec*EXP(k_ec*C66)/k_sx</f>
        <v/>
      </c>
      <c r="L66">
        <f>(2*k_p4_2+C66*(6*k_p4_3+12*k_p4_4*C66))/k_sx^2</f>
        <v/>
      </c>
      <c r="M66">
        <f>D66/B66</f>
        <v/>
      </c>
      <c r="N66">
        <f>E66/B66</f>
        <v/>
      </c>
      <c r="O66">
        <f>F66/B66</f>
        <v/>
      </c>
      <c r="P66">
        <f>G66/B66</f>
        <v/>
      </c>
      <c r="Q66">
        <f>CHOOSE(k_model,D66,E66,F66,G66)</f>
        <v/>
      </c>
      <c r="R66">
        <f>CHOOSE(k_model,H66,I66,J66,K66)</f>
        <v/>
      </c>
    </row>
    <row r="67">
      <c r="A67" t="n">
        <v>65</v>
      </c>
      <c r="B67">
        <f>k_lo+k_rng*A67/1000</f>
        <v/>
      </c>
      <c r="C67">
        <f>(B67-k_mx)/k_sx</f>
        <v/>
      </c>
      <c r="D67">
        <f>k_p2_0+C67*(k_p2_1+C67*k_p2_2)</f>
        <v/>
      </c>
      <c r="E67">
        <f>k_p3_0+C67*(k_p3_1+C67*(k_p3_2+C67*k_p3_3))</f>
        <v/>
      </c>
      <c r="F67">
        <f>k_p4_0+C67*(k_p4_1+C67*(k_p4_2+C67*(k_p4_3+C67*k_p4_4)))</f>
        <v/>
      </c>
      <c r="G67">
        <f>k_ea+k_eb*EXP(k_ec*C67)</f>
        <v/>
      </c>
      <c r="H67">
        <f>(k_p2_1+2*k_p2_2*C67)/k_sx</f>
        <v/>
      </c>
      <c r="I67">
        <f>(k_p3_1+C67*(2*k_p3_2+3*k_p3_3*C67))/k_sx</f>
        <v/>
      </c>
      <c r="J67">
        <f>(k_p4_1+C67*(2*k_p4_2+C67*(3*k_p4_3+4*k_p4_4*C67)))/k_sx</f>
        <v/>
      </c>
      <c r="K67">
        <f>k_eb*k_ec*EXP(k_ec*C67)/k_sx</f>
        <v/>
      </c>
      <c r="L67">
        <f>(2*k_p4_2+C67*(6*k_p4_3+12*k_p4_4*C67))/k_sx^2</f>
        <v/>
      </c>
      <c r="M67">
        <f>D67/B67</f>
        <v/>
      </c>
      <c r="N67">
        <f>E67/B67</f>
        <v/>
      </c>
      <c r="O67">
        <f>F67/B67</f>
        <v/>
      </c>
      <c r="P67">
        <f>G67/B67</f>
        <v/>
      </c>
      <c r="Q67">
        <f>CHOOSE(k_model,D67,E67,F67,G67)</f>
        <v/>
      </c>
      <c r="R67">
        <f>CHOOSE(k_model,H67,I67,J67,K67)</f>
        <v/>
      </c>
    </row>
    <row r="68">
      <c r="A68" t="n">
        <v>66</v>
      </c>
      <c r="B68">
        <f>k_lo+k_rng*A68/1000</f>
        <v/>
      </c>
      <c r="C68">
        <f>(B68-k_mx)/k_sx</f>
        <v/>
      </c>
      <c r="D68">
        <f>k_p2_0+C68*(k_p2_1+C68*k_p2_2)</f>
        <v/>
      </c>
      <c r="E68">
        <f>k_p3_0+C68*(k_p3_1+C68*(k_p3_2+C68*k_p3_3))</f>
        <v/>
      </c>
      <c r="F68">
        <f>k_p4_0+C68*(k_p4_1+C68*(k_p4_2+C68*(k_p4_3+C68*k_p4_4)))</f>
        <v/>
      </c>
      <c r="G68">
        <f>k_ea+k_eb*EXP(k_ec*C68)</f>
        <v/>
      </c>
      <c r="H68">
        <f>(k_p2_1+2*k_p2_2*C68)/k_sx</f>
        <v/>
      </c>
      <c r="I68">
        <f>(k_p3_1+C68*(2*k_p3_2+3*k_p3_3*C68))/k_sx</f>
        <v/>
      </c>
      <c r="J68">
        <f>(k_p4_1+C68*(2*k_p4_2+C68*(3*k_p4_3+4*k_p4_4*C68)))/k_sx</f>
        <v/>
      </c>
      <c r="K68">
        <f>k_eb*k_ec*EXP(k_ec*C68)/k_sx</f>
        <v/>
      </c>
      <c r="L68">
        <f>(2*k_p4_2+C68*(6*k_p4_3+12*k_p4_4*C68))/k_sx^2</f>
        <v/>
      </c>
      <c r="M68">
        <f>D68/B68</f>
        <v/>
      </c>
      <c r="N68">
        <f>E68/B68</f>
        <v/>
      </c>
      <c r="O68">
        <f>F68/B68</f>
        <v/>
      </c>
      <c r="P68">
        <f>G68/B68</f>
        <v/>
      </c>
      <c r="Q68">
        <f>CHOOSE(k_model,D68,E68,F68,G68)</f>
        <v/>
      </c>
      <c r="R68">
        <f>CHOOSE(k_model,H68,I68,J68,K68)</f>
        <v/>
      </c>
    </row>
    <row r="69">
      <c r="A69" t="n">
        <v>67</v>
      </c>
      <c r="B69">
        <f>k_lo+k_rng*A69/1000</f>
        <v/>
      </c>
      <c r="C69">
        <f>(B69-k_mx)/k_sx</f>
        <v/>
      </c>
      <c r="D69">
        <f>k_p2_0+C69*(k_p2_1+C69*k_p2_2)</f>
        <v/>
      </c>
      <c r="E69">
        <f>k_p3_0+C69*(k_p3_1+C69*(k_p3_2+C69*k_p3_3))</f>
        <v/>
      </c>
      <c r="F69">
        <f>k_p4_0+C69*(k_p4_1+C69*(k_p4_2+C69*(k_p4_3+C69*k_p4_4)))</f>
        <v/>
      </c>
      <c r="G69">
        <f>k_ea+k_eb*EXP(k_ec*C69)</f>
        <v/>
      </c>
      <c r="H69">
        <f>(k_p2_1+2*k_p2_2*C69)/k_sx</f>
        <v/>
      </c>
      <c r="I69">
        <f>(k_p3_1+C69*(2*k_p3_2+3*k_p3_3*C69))/k_sx</f>
        <v/>
      </c>
      <c r="J69">
        <f>(k_p4_1+C69*(2*k_p4_2+C69*(3*k_p4_3+4*k_p4_4*C69)))/k_sx</f>
        <v/>
      </c>
      <c r="K69">
        <f>k_eb*k_ec*EXP(k_ec*C69)/k_sx</f>
        <v/>
      </c>
      <c r="L69">
        <f>(2*k_p4_2+C69*(6*k_p4_3+12*k_p4_4*C69))/k_sx^2</f>
        <v/>
      </c>
      <c r="M69">
        <f>D69/B69</f>
        <v/>
      </c>
      <c r="N69">
        <f>E69/B69</f>
        <v/>
      </c>
      <c r="O69">
        <f>F69/B69</f>
        <v/>
      </c>
      <c r="P69">
        <f>G69/B69</f>
        <v/>
      </c>
      <c r="Q69">
        <f>CHOOSE(k_model,D69,E69,F69,G69)</f>
        <v/>
      </c>
      <c r="R69">
        <f>CHOOSE(k_model,H69,I69,J69,K69)</f>
        <v/>
      </c>
    </row>
    <row r="70">
      <c r="A70" t="n">
        <v>68</v>
      </c>
      <c r="B70">
        <f>k_lo+k_rng*A70/1000</f>
        <v/>
      </c>
      <c r="C70">
        <f>(B70-k_mx)/k_sx</f>
        <v/>
      </c>
      <c r="D70">
        <f>k_p2_0+C70*(k_p2_1+C70*k_p2_2)</f>
        <v/>
      </c>
      <c r="E70">
        <f>k_p3_0+C70*(k_p3_1+C70*(k_p3_2+C70*k_p3_3))</f>
        <v/>
      </c>
      <c r="F70">
        <f>k_p4_0+C70*(k_p4_1+C70*(k_p4_2+C70*(k_p4_3+C70*k_p4_4)))</f>
        <v/>
      </c>
      <c r="G70">
        <f>k_ea+k_eb*EXP(k_ec*C70)</f>
        <v/>
      </c>
      <c r="H70">
        <f>(k_p2_1+2*k_p2_2*C70)/k_sx</f>
        <v/>
      </c>
      <c r="I70">
        <f>(k_p3_1+C70*(2*k_p3_2+3*k_p3_3*C70))/k_sx</f>
        <v/>
      </c>
      <c r="J70">
        <f>(k_p4_1+C70*(2*k_p4_2+C70*(3*k_p4_3+4*k_p4_4*C70)))/k_sx</f>
        <v/>
      </c>
      <c r="K70">
        <f>k_eb*k_ec*EXP(k_ec*C70)/k_sx</f>
        <v/>
      </c>
      <c r="L70">
        <f>(2*k_p4_2+C70*(6*k_p4_3+12*k_p4_4*C70))/k_sx^2</f>
        <v/>
      </c>
      <c r="M70">
        <f>D70/B70</f>
        <v/>
      </c>
      <c r="N70">
        <f>E70/B70</f>
        <v/>
      </c>
      <c r="O70">
        <f>F70/B70</f>
        <v/>
      </c>
      <c r="P70">
        <f>G70/B70</f>
        <v/>
      </c>
      <c r="Q70">
        <f>CHOOSE(k_model,D70,E70,F70,G70)</f>
        <v/>
      </c>
      <c r="R70">
        <f>CHOOSE(k_model,H70,I70,J70,K70)</f>
        <v/>
      </c>
    </row>
    <row r="71">
      <c r="A71" t="n">
        <v>69</v>
      </c>
      <c r="B71">
        <f>k_lo+k_rng*A71/1000</f>
        <v/>
      </c>
      <c r="C71">
        <f>(B71-k_mx)/k_sx</f>
        <v/>
      </c>
      <c r="D71">
        <f>k_p2_0+C71*(k_p2_1+C71*k_p2_2)</f>
        <v/>
      </c>
      <c r="E71">
        <f>k_p3_0+C71*(k_p3_1+C71*(k_p3_2+C71*k_p3_3))</f>
        <v/>
      </c>
      <c r="F71">
        <f>k_p4_0+C71*(k_p4_1+C71*(k_p4_2+C71*(k_p4_3+C71*k_p4_4)))</f>
        <v/>
      </c>
      <c r="G71">
        <f>k_ea+k_eb*EXP(k_ec*C71)</f>
        <v/>
      </c>
      <c r="H71">
        <f>(k_p2_1+2*k_p2_2*C71)/k_sx</f>
        <v/>
      </c>
      <c r="I71">
        <f>(k_p3_1+C71*(2*k_p3_2+3*k_p3_3*C71))/k_sx</f>
        <v/>
      </c>
      <c r="J71">
        <f>(k_p4_1+C71*(2*k_p4_2+C71*(3*k_p4_3+4*k_p4_4*C71)))/k_sx</f>
        <v/>
      </c>
      <c r="K71">
        <f>k_eb*k_ec*EXP(k_ec*C71)/k_sx</f>
        <v/>
      </c>
      <c r="L71">
        <f>(2*k_p4_2+C71*(6*k_p4_3+12*k_p4_4*C71))/k_sx^2</f>
        <v/>
      </c>
      <c r="M71">
        <f>D71/B71</f>
        <v/>
      </c>
      <c r="N71">
        <f>E71/B71</f>
        <v/>
      </c>
      <c r="O71">
        <f>F71/B71</f>
        <v/>
      </c>
      <c r="P71">
        <f>G71/B71</f>
        <v/>
      </c>
      <c r="Q71">
        <f>CHOOSE(k_model,D71,E71,F71,G71)</f>
        <v/>
      </c>
      <c r="R71">
        <f>CHOOSE(k_model,H71,I71,J71,K71)</f>
        <v/>
      </c>
    </row>
    <row r="72">
      <c r="A72" t="n">
        <v>70</v>
      </c>
      <c r="B72">
        <f>k_lo+k_rng*A72/1000</f>
        <v/>
      </c>
      <c r="C72">
        <f>(B72-k_mx)/k_sx</f>
        <v/>
      </c>
      <c r="D72">
        <f>k_p2_0+C72*(k_p2_1+C72*k_p2_2)</f>
        <v/>
      </c>
      <c r="E72">
        <f>k_p3_0+C72*(k_p3_1+C72*(k_p3_2+C72*k_p3_3))</f>
        <v/>
      </c>
      <c r="F72">
        <f>k_p4_0+C72*(k_p4_1+C72*(k_p4_2+C72*(k_p4_3+C72*k_p4_4)))</f>
        <v/>
      </c>
      <c r="G72">
        <f>k_ea+k_eb*EXP(k_ec*C72)</f>
        <v/>
      </c>
      <c r="H72">
        <f>(k_p2_1+2*k_p2_2*C72)/k_sx</f>
        <v/>
      </c>
      <c r="I72">
        <f>(k_p3_1+C72*(2*k_p3_2+3*k_p3_3*C72))/k_sx</f>
        <v/>
      </c>
      <c r="J72">
        <f>(k_p4_1+C72*(2*k_p4_2+C72*(3*k_p4_3+4*k_p4_4*C72)))/k_sx</f>
        <v/>
      </c>
      <c r="K72">
        <f>k_eb*k_ec*EXP(k_ec*C72)/k_sx</f>
        <v/>
      </c>
      <c r="L72">
        <f>(2*k_p4_2+C72*(6*k_p4_3+12*k_p4_4*C72))/k_sx^2</f>
        <v/>
      </c>
      <c r="M72">
        <f>D72/B72</f>
        <v/>
      </c>
      <c r="N72">
        <f>E72/B72</f>
        <v/>
      </c>
      <c r="O72">
        <f>F72/B72</f>
        <v/>
      </c>
      <c r="P72">
        <f>G72/B72</f>
        <v/>
      </c>
      <c r="Q72">
        <f>CHOOSE(k_model,D72,E72,F72,G72)</f>
        <v/>
      </c>
      <c r="R72">
        <f>CHOOSE(k_model,H72,I72,J72,K72)</f>
        <v/>
      </c>
    </row>
    <row r="73">
      <c r="A73" t="n">
        <v>71</v>
      </c>
      <c r="B73">
        <f>k_lo+k_rng*A73/1000</f>
        <v/>
      </c>
      <c r="C73">
        <f>(B73-k_mx)/k_sx</f>
        <v/>
      </c>
      <c r="D73">
        <f>k_p2_0+C73*(k_p2_1+C73*k_p2_2)</f>
        <v/>
      </c>
      <c r="E73">
        <f>k_p3_0+C73*(k_p3_1+C73*(k_p3_2+C73*k_p3_3))</f>
        <v/>
      </c>
      <c r="F73">
        <f>k_p4_0+C73*(k_p4_1+C73*(k_p4_2+C73*(k_p4_3+C73*k_p4_4)))</f>
        <v/>
      </c>
      <c r="G73">
        <f>k_ea+k_eb*EXP(k_ec*C73)</f>
        <v/>
      </c>
      <c r="H73">
        <f>(k_p2_1+2*k_p2_2*C73)/k_sx</f>
        <v/>
      </c>
      <c r="I73">
        <f>(k_p3_1+C73*(2*k_p3_2+3*k_p3_3*C73))/k_sx</f>
        <v/>
      </c>
      <c r="J73">
        <f>(k_p4_1+C73*(2*k_p4_2+C73*(3*k_p4_3+4*k_p4_4*C73)))/k_sx</f>
        <v/>
      </c>
      <c r="K73">
        <f>k_eb*k_ec*EXP(k_ec*C73)/k_sx</f>
        <v/>
      </c>
      <c r="L73">
        <f>(2*k_p4_2+C73*(6*k_p4_3+12*k_p4_4*C73))/k_sx^2</f>
        <v/>
      </c>
      <c r="M73">
        <f>D73/B73</f>
        <v/>
      </c>
      <c r="N73">
        <f>E73/B73</f>
        <v/>
      </c>
      <c r="O73">
        <f>F73/B73</f>
        <v/>
      </c>
      <c r="P73">
        <f>G73/B73</f>
        <v/>
      </c>
      <c r="Q73">
        <f>CHOOSE(k_model,D73,E73,F73,G73)</f>
        <v/>
      </c>
      <c r="R73">
        <f>CHOOSE(k_model,H73,I73,J73,K73)</f>
        <v/>
      </c>
    </row>
    <row r="74">
      <c r="A74" t="n">
        <v>72</v>
      </c>
      <c r="B74">
        <f>k_lo+k_rng*A74/1000</f>
        <v/>
      </c>
      <c r="C74">
        <f>(B74-k_mx)/k_sx</f>
        <v/>
      </c>
      <c r="D74">
        <f>k_p2_0+C74*(k_p2_1+C74*k_p2_2)</f>
        <v/>
      </c>
      <c r="E74">
        <f>k_p3_0+C74*(k_p3_1+C74*(k_p3_2+C74*k_p3_3))</f>
        <v/>
      </c>
      <c r="F74">
        <f>k_p4_0+C74*(k_p4_1+C74*(k_p4_2+C74*(k_p4_3+C74*k_p4_4)))</f>
        <v/>
      </c>
      <c r="G74">
        <f>k_ea+k_eb*EXP(k_ec*C74)</f>
        <v/>
      </c>
      <c r="H74">
        <f>(k_p2_1+2*k_p2_2*C74)/k_sx</f>
        <v/>
      </c>
      <c r="I74">
        <f>(k_p3_1+C74*(2*k_p3_2+3*k_p3_3*C74))/k_sx</f>
        <v/>
      </c>
      <c r="J74">
        <f>(k_p4_1+C74*(2*k_p4_2+C74*(3*k_p4_3+4*k_p4_4*C74)))/k_sx</f>
        <v/>
      </c>
      <c r="K74">
        <f>k_eb*k_ec*EXP(k_ec*C74)/k_sx</f>
        <v/>
      </c>
      <c r="L74">
        <f>(2*k_p4_2+C74*(6*k_p4_3+12*k_p4_4*C74))/k_sx^2</f>
        <v/>
      </c>
      <c r="M74">
        <f>D74/B74</f>
        <v/>
      </c>
      <c r="N74">
        <f>E74/B74</f>
        <v/>
      </c>
      <c r="O74">
        <f>F74/B74</f>
        <v/>
      </c>
      <c r="P74">
        <f>G74/B74</f>
        <v/>
      </c>
      <c r="Q74">
        <f>CHOOSE(k_model,D74,E74,F74,G74)</f>
        <v/>
      </c>
      <c r="R74">
        <f>CHOOSE(k_model,H74,I74,J74,K74)</f>
        <v/>
      </c>
    </row>
    <row r="75">
      <c r="A75" t="n">
        <v>73</v>
      </c>
      <c r="B75">
        <f>k_lo+k_rng*A75/1000</f>
        <v/>
      </c>
      <c r="C75">
        <f>(B75-k_mx)/k_sx</f>
        <v/>
      </c>
      <c r="D75">
        <f>k_p2_0+C75*(k_p2_1+C75*k_p2_2)</f>
        <v/>
      </c>
      <c r="E75">
        <f>k_p3_0+C75*(k_p3_1+C75*(k_p3_2+C75*k_p3_3))</f>
        <v/>
      </c>
      <c r="F75">
        <f>k_p4_0+C75*(k_p4_1+C75*(k_p4_2+C75*(k_p4_3+C75*k_p4_4)))</f>
        <v/>
      </c>
      <c r="G75">
        <f>k_ea+k_eb*EXP(k_ec*C75)</f>
        <v/>
      </c>
      <c r="H75">
        <f>(k_p2_1+2*k_p2_2*C75)/k_sx</f>
        <v/>
      </c>
      <c r="I75">
        <f>(k_p3_1+C75*(2*k_p3_2+3*k_p3_3*C75))/k_sx</f>
        <v/>
      </c>
      <c r="J75">
        <f>(k_p4_1+C75*(2*k_p4_2+C75*(3*k_p4_3+4*k_p4_4*C75)))/k_sx</f>
        <v/>
      </c>
      <c r="K75">
        <f>k_eb*k_ec*EXP(k_ec*C75)/k_sx</f>
        <v/>
      </c>
      <c r="L75">
        <f>(2*k_p4_2+C75*(6*k_p4_3+12*k_p4_4*C75))/k_sx^2</f>
        <v/>
      </c>
      <c r="M75">
        <f>D75/B75</f>
        <v/>
      </c>
      <c r="N75">
        <f>E75/B75</f>
        <v/>
      </c>
      <c r="O75">
        <f>F75/B75</f>
        <v/>
      </c>
      <c r="P75">
        <f>G75/B75</f>
        <v/>
      </c>
      <c r="Q75">
        <f>CHOOSE(k_model,D75,E75,F75,G75)</f>
        <v/>
      </c>
      <c r="R75">
        <f>CHOOSE(k_model,H75,I75,J75,K75)</f>
        <v/>
      </c>
    </row>
    <row r="76">
      <c r="A76" t="n">
        <v>74</v>
      </c>
      <c r="B76">
        <f>k_lo+k_rng*A76/1000</f>
        <v/>
      </c>
      <c r="C76">
        <f>(B76-k_mx)/k_sx</f>
        <v/>
      </c>
      <c r="D76">
        <f>k_p2_0+C76*(k_p2_1+C76*k_p2_2)</f>
        <v/>
      </c>
      <c r="E76">
        <f>k_p3_0+C76*(k_p3_1+C76*(k_p3_2+C76*k_p3_3))</f>
        <v/>
      </c>
      <c r="F76">
        <f>k_p4_0+C76*(k_p4_1+C76*(k_p4_2+C76*(k_p4_3+C76*k_p4_4)))</f>
        <v/>
      </c>
      <c r="G76">
        <f>k_ea+k_eb*EXP(k_ec*C76)</f>
        <v/>
      </c>
      <c r="H76">
        <f>(k_p2_1+2*k_p2_2*C76)/k_sx</f>
        <v/>
      </c>
      <c r="I76">
        <f>(k_p3_1+C76*(2*k_p3_2+3*k_p3_3*C76))/k_sx</f>
        <v/>
      </c>
      <c r="J76">
        <f>(k_p4_1+C76*(2*k_p4_2+C76*(3*k_p4_3+4*k_p4_4*C76)))/k_sx</f>
        <v/>
      </c>
      <c r="K76">
        <f>k_eb*k_ec*EXP(k_ec*C76)/k_sx</f>
        <v/>
      </c>
      <c r="L76">
        <f>(2*k_p4_2+C76*(6*k_p4_3+12*k_p4_4*C76))/k_sx^2</f>
        <v/>
      </c>
      <c r="M76">
        <f>D76/B76</f>
        <v/>
      </c>
      <c r="N76">
        <f>E76/B76</f>
        <v/>
      </c>
      <c r="O76">
        <f>F76/B76</f>
        <v/>
      </c>
      <c r="P76">
        <f>G76/B76</f>
        <v/>
      </c>
      <c r="Q76">
        <f>CHOOSE(k_model,D76,E76,F76,G76)</f>
        <v/>
      </c>
      <c r="R76">
        <f>CHOOSE(k_model,H76,I76,J76,K76)</f>
        <v/>
      </c>
    </row>
    <row r="77">
      <c r="A77" t="n">
        <v>75</v>
      </c>
      <c r="B77">
        <f>k_lo+k_rng*A77/1000</f>
        <v/>
      </c>
      <c r="C77">
        <f>(B77-k_mx)/k_sx</f>
        <v/>
      </c>
      <c r="D77">
        <f>k_p2_0+C77*(k_p2_1+C77*k_p2_2)</f>
        <v/>
      </c>
      <c r="E77">
        <f>k_p3_0+C77*(k_p3_1+C77*(k_p3_2+C77*k_p3_3))</f>
        <v/>
      </c>
      <c r="F77">
        <f>k_p4_0+C77*(k_p4_1+C77*(k_p4_2+C77*(k_p4_3+C77*k_p4_4)))</f>
        <v/>
      </c>
      <c r="G77">
        <f>k_ea+k_eb*EXP(k_ec*C77)</f>
        <v/>
      </c>
      <c r="H77">
        <f>(k_p2_1+2*k_p2_2*C77)/k_sx</f>
        <v/>
      </c>
      <c r="I77">
        <f>(k_p3_1+C77*(2*k_p3_2+3*k_p3_3*C77))/k_sx</f>
        <v/>
      </c>
      <c r="J77">
        <f>(k_p4_1+C77*(2*k_p4_2+C77*(3*k_p4_3+4*k_p4_4*C77)))/k_sx</f>
        <v/>
      </c>
      <c r="K77">
        <f>k_eb*k_ec*EXP(k_ec*C77)/k_sx</f>
        <v/>
      </c>
      <c r="L77">
        <f>(2*k_p4_2+C77*(6*k_p4_3+12*k_p4_4*C77))/k_sx^2</f>
        <v/>
      </c>
      <c r="M77">
        <f>D77/B77</f>
        <v/>
      </c>
      <c r="N77">
        <f>E77/B77</f>
        <v/>
      </c>
      <c r="O77">
        <f>F77/B77</f>
        <v/>
      </c>
      <c r="P77">
        <f>G77/B77</f>
        <v/>
      </c>
      <c r="Q77">
        <f>CHOOSE(k_model,D77,E77,F77,G77)</f>
        <v/>
      </c>
      <c r="R77">
        <f>CHOOSE(k_model,H77,I77,J77,K77)</f>
        <v/>
      </c>
    </row>
    <row r="78">
      <c r="A78" t="n">
        <v>76</v>
      </c>
      <c r="B78">
        <f>k_lo+k_rng*A78/1000</f>
        <v/>
      </c>
      <c r="C78">
        <f>(B78-k_mx)/k_sx</f>
        <v/>
      </c>
      <c r="D78">
        <f>k_p2_0+C78*(k_p2_1+C78*k_p2_2)</f>
        <v/>
      </c>
      <c r="E78">
        <f>k_p3_0+C78*(k_p3_1+C78*(k_p3_2+C78*k_p3_3))</f>
        <v/>
      </c>
      <c r="F78">
        <f>k_p4_0+C78*(k_p4_1+C78*(k_p4_2+C78*(k_p4_3+C78*k_p4_4)))</f>
        <v/>
      </c>
      <c r="G78">
        <f>k_ea+k_eb*EXP(k_ec*C78)</f>
        <v/>
      </c>
      <c r="H78">
        <f>(k_p2_1+2*k_p2_2*C78)/k_sx</f>
        <v/>
      </c>
      <c r="I78">
        <f>(k_p3_1+C78*(2*k_p3_2+3*k_p3_3*C78))/k_sx</f>
        <v/>
      </c>
      <c r="J78">
        <f>(k_p4_1+C78*(2*k_p4_2+C78*(3*k_p4_3+4*k_p4_4*C78)))/k_sx</f>
        <v/>
      </c>
      <c r="K78">
        <f>k_eb*k_ec*EXP(k_ec*C78)/k_sx</f>
        <v/>
      </c>
      <c r="L78">
        <f>(2*k_p4_2+C78*(6*k_p4_3+12*k_p4_4*C78))/k_sx^2</f>
        <v/>
      </c>
      <c r="M78">
        <f>D78/B78</f>
        <v/>
      </c>
      <c r="N78">
        <f>E78/B78</f>
        <v/>
      </c>
      <c r="O78">
        <f>F78/B78</f>
        <v/>
      </c>
      <c r="P78">
        <f>G78/B78</f>
        <v/>
      </c>
      <c r="Q78">
        <f>CHOOSE(k_model,D78,E78,F78,G78)</f>
        <v/>
      </c>
      <c r="R78">
        <f>CHOOSE(k_model,H78,I78,J78,K78)</f>
        <v/>
      </c>
    </row>
    <row r="79">
      <c r="A79" t="n">
        <v>77</v>
      </c>
      <c r="B79">
        <f>k_lo+k_rng*A79/1000</f>
        <v/>
      </c>
      <c r="C79">
        <f>(B79-k_mx)/k_sx</f>
        <v/>
      </c>
      <c r="D79">
        <f>k_p2_0+C79*(k_p2_1+C79*k_p2_2)</f>
        <v/>
      </c>
      <c r="E79">
        <f>k_p3_0+C79*(k_p3_1+C79*(k_p3_2+C79*k_p3_3))</f>
        <v/>
      </c>
      <c r="F79">
        <f>k_p4_0+C79*(k_p4_1+C79*(k_p4_2+C79*(k_p4_3+C79*k_p4_4)))</f>
        <v/>
      </c>
      <c r="G79">
        <f>k_ea+k_eb*EXP(k_ec*C79)</f>
        <v/>
      </c>
      <c r="H79">
        <f>(k_p2_1+2*k_p2_2*C79)/k_sx</f>
        <v/>
      </c>
      <c r="I79">
        <f>(k_p3_1+C79*(2*k_p3_2+3*k_p3_3*C79))/k_sx</f>
        <v/>
      </c>
      <c r="J79">
        <f>(k_p4_1+C79*(2*k_p4_2+C79*(3*k_p4_3+4*k_p4_4*C79)))/k_sx</f>
        <v/>
      </c>
      <c r="K79">
        <f>k_eb*k_ec*EXP(k_ec*C79)/k_sx</f>
        <v/>
      </c>
      <c r="L79">
        <f>(2*k_p4_2+C79*(6*k_p4_3+12*k_p4_4*C79))/k_sx^2</f>
        <v/>
      </c>
      <c r="M79">
        <f>D79/B79</f>
        <v/>
      </c>
      <c r="N79">
        <f>E79/B79</f>
        <v/>
      </c>
      <c r="O79">
        <f>F79/B79</f>
        <v/>
      </c>
      <c r="P79">
        <f>G79/B79</f>
        <v/>
      </c>
      <c r="Q79">
        <f>CHOOSE(k_model,D79,E79,F79,G79)</f>
        <v/>
      </c>
      <c r="R79">
        <f>CHOOSE(k_model,H79,I79,J79,K79)</f>
        <v/>
      </c>
    </row>
    <row r="80">
      <c r="A80" t="n">
        <v>78</v>
      </c>
      <c r="B80">
        <f>k_lo+k_rng*A80/1000</f>
        <v/>
      </c>
      <c r="C80">
        <f>(B80-k_mx)/k_sx</f>
        <v/>
      </c>
      <c r="D80">
        <f>k_p2_0+C80*(k_p2_1+C80*k_p2_2)</f>
        <v/>
      </c>
      <c r="E80">
        <f>k_p3_0+C80*(k_p3_1+C80*(k_p3_2+C80*k_p3_3))</f>
        <v/>
      </c>
      <c r="F80">
        <f>k_p4_0+C80*(k_p4_1+C80*(k_p4_2+C80*(k_p4_3+C80*k_p4_4)))</f>
        <v/>
      </c>
      <c r="G80">
        <f>k_ea+k_eb*EXP(k_ec*C80)</f>
        <v/>
      </c>
      <c r="H80">
        <f>(k_p2_1+2*k_p2_2*C80)/k_sx</f>
        <v/>
      </c>
      <c r="I80">
        <f>(k_p3_1+C80*(2*k_p3_2+3*k_p3_3*C80))/k_sx</f>
        <v/>
      </c>
      <c r="J80">
        <f>(k_p4_1+C80*(2*k_p4_2+C80*(3*k_p4_3+4*k_p4_4*C80)))/k_sx</f>
        <v/>
      </c>
      <c r="K80">
        <f>k_eb*k_ec*EXP(k_ec*C80)/k_sx</f>
        <v/>
      </c>
      <c r="L80">
        <f>(2*k_p4_2+C80*(6*k_p4_3+12*k_p4_4*C80))/k_sx^2</f>
        <v/>
      </c>
      <c r="M80">
        <f>D80/B80</f>
        <v/>
      </c>
      <c r="N80">
        <f>E80/B80</f>
        <v/>
      </c>
      <c r="O80">
        <f>F80/B80</f>
        <v/>
      </c>
      <c r="P80">
        <f>G80/B80</f>
        <v/>
      </c>
      <c r="Q80">
        <f>CHOOSE(k_model,D80,E80,F80,G80)</f>
        <v/>
      </c>
      <c r="R80">
        <f>CHOOSE(k_model,H80,I80,J80,K80)</f>
        <v/>
      </c>
    </row>
    <row r="81">
      <c r="A81" t="n">
        <v>79</v>
      </c>
      <c r="B81">
        <f>k_lo+k_rng*A81/1000</f>
        <v/>
      </c>
      <c r="C81">
        <f>(B81-k_mx)/k_sx</f>
        <v/>
      </c>
      <c r="D81">
        <f>k_p2_0+C81*(k_p2_1+C81*k_p2_2)</f>
        <v/>
      </c>
      <c r="E81">
        <f>k_p3_0+C81*(k_p3_1+C81*(k_p3_2+C81*k_p3_3))</f>
        <v/>
      </c>
      <c r="F81">
        <f>k_p4_0+C81*(k_p4_1+C81*(k_p4_2+C81*(k_p4_3+C81*k_p4_4)))</f>
        <v/>
      </c>
      <c r="G81">
        <f>k_ea+k_eb*EXP(k_ec*C81)</f>
        <v/>
      </c>
      <c r="H81">
        <f>(k_p2_1+2*k_p2_2*C81)/k_sx</f>
        <v/>
      </c>
      <c r="I81">
        <f>(k_p3_1+C81*(2*k_p3_2+3*k_p3_3*C81))/k_sx</f>
        <v/>
      </c>
      <c r="J81">
        <f>(k_p4_1+C81*(2*k_p4_2+C81*(3*k_p4_3+4*k_p4_4*C81)))/k_sx</f>
        <v/>
      </c>
      <c r="K81">
        <f>k_eb*k_ec*EXP(k_ec*C81)/k_sx</f>
        <v/>
      </c>
      <c r="L81">
        <f>(2*k_p4_2+C81*(6*k_p4_3+12*k_p4_4*C81))/k_sx^2</f>
        <v/>
      </c>
      <c r="M81">
        <f>D81/B81</f>
        <v/>
      </c>
      <c r="N81">
        <f>E81/B81</f>
        <v/>
      </c>
      <c r="O81">
        <f>F81/B81</f>
        <v/>
      </c>
      <c r="P81">
        <f>G81/B81</f>
        <v/>
      </c>
      <c r="Q81">
        <f>CHOOSE(k_model,D81,E81,F81,G81)</f>
        <v/>
      </c>
      <c r="R81">
        <f>CHOOSE(k_model,H81,I81,J81,K81)</f>
        <v/>
      </c>
    </row>
    <row r="82">
      <c r="A82" t="n">
        <v>80</v>
      </c>
      <c r="B82">
        <f>k_lo+k_rng*A82/1000</f>
        <v/>
      </c>
      <c r="C82">
        <f>(B82-k_mx)/k_sx</f>
        <v/>
      </c>
      <c r="D82">
        <f>k_p2_0+C82*(k_p2_1+C82*k_p2_2)</f>
        <v/>
      </c>
      <c r="E82">
        <f>k_p3_0+C82*(k_p3_1+C82*(k_p3_2+C82*k_p3_3))</f>
        <v/>
      </c>
      <c r="F82">
        <f>k_p4_0+C82*(k_p4_1+C82*(k_p4_2+C82*(k_p4_3+C82*k_p4_4)))</f>
        <v/>
      </c>
      <c r="G82">
        <f>k_ea+k_eb*EXP(k_ec*C82)</f>
        <v/>
      </c>
      <c r="H82">
        <f>(k_p2_1+2*k_p2_2*C82)/k_sx</f>
        <v/>
      </c>
      <c r="I82">
        <f>(k_p3_1+C82*(2*k_p3_2+3*k_p3_3*C82))/k_sx</f>
        <v/>
      </c>
      <c r="J82">
        <f>(k_p4_1+C82*(2*k_p4_2+C82*(3*k_p4_3+4*k_p4_4*C82)))/k_sx</f>
        <v/>
      </c>
      <c r="K82">
        <f>k_eb*k_ec*EXP(k_ec*C82)/k_sx</f>
        <v/>
      </c>
      <c r="L82">
        <f>(2*k_p4_2+C82*(6*k_p4_3+12*k_p4_4*C82))/k_sx^2</f>
        <v/>
      </c>
      <c r="M82">
        <f>D82/B82</f>
        <v/>
      </c>
      <c r="N82">
        <f>E82/B82</f>
        <v/>
      </c>
      <c r="O82">
        <f>F82/B82</f>
        <v/>
      </c>
      <c r="P82">
        <f>G82/B82</f>
        <v/>
      </c>
      <c r="Q82">
        <f>CHOOSE(k_model,D82,E82,F82,G82)</f>
        <v/>
      </c>
      <c r="R82">
        <f>CHOOSE(k_model,H82,I82,J82,K82)</f>
        <v/>
      </c>
    </row>
    <row r="83">
      <c r="A83" t="n">
        <v>81</v>
      </c>
      <c r="B83">
        <f>k_lo+k_rng*A83/1000</f>
        <v/>
      </c>
      <c r="C83">
        <f>(B83-k_mx)/k_sx</f>
        <v/>
      </c>
      <c r="D83">
        <f>k_p2_0+C83*(k_p2_1+C83*k_p2_2)</f>
        <v/>
      </c>
      <c r="E83">
        <f>k_p3_0+C83*(k_p3_1+C83*(k_p3_2+C83*k_p3_3))</f>
        <v/>
      </c>
      <c r="F83">
        <f>k_p4_0+C83*(k_p4_1+C83*(k_p4_2+C83*(k_p4_3+C83*k_p4_4)))</f>
        <v/>
      </c>
      <c r="G83">
        <f>k_ea+k_eb*EXP(k_ec*C83)</f>
        <v/>
      </c>
      <c r="H83">
        <f>(k_p2_1+2*k_p2_2*C83)/k_sx</f>
        <v/>
      </c>
      <c r="I83">
        <f>(k_p3_1+C83*(2*k_p3_2+3*k_p3_3*C83))/k_sx</f>
        <v/>
      </c>
      <c r="J83">
        <f>(k_p4_1+C83*(2*k_p4_2+C83*(3*k_p4_3+4*k_p4_4*C83)))/k_sx</f>
        <v/>
      </c>
      <c r="K83">
        <f>k_eb*k_ec*EXP(k_ec*C83)/k_sx</f>
        <v/>
      </c>
      <c r="L83">
        <f>(2*k_p4_2+C83*(6*k_p4_3+12*k_p4_4*C83))/k_sx^2</f>
        <v/>
      </c>
      <c r="M83">
        <f>D83/B83</f>
        <v/>
      </c>
      <c r="N83">
        <f>E83/B83</f>
        <v/>
      </c>
      <c r="O83">
        <f>F83/B83</f>
        <v/>
      </c>
      <c r="P83">
        <f>G83/B83</f>
        <v/>
      </c>
      <c r="Q83">
        <f>CHOOSE(k_model,D83,E83,F83,G83)</f>
        <v/>
      </c>
      <c r="R83">
        <f>CHOOSE(k_model,H83,I83,J83,K83)</f>
        <v/>
      </c>
    </row>
    <row r="84">
      <c r="A84" t="n">
        <v>82</v>
      </c>
      <c r="B84">
        <f>k_lo+k_rng*A84/1000</f>
        <v/>
      </c>
      <c r="C84">
        <f>(B84-k_mx)/k_sx</f>
        <v/>
      </c>
      <c r="D84">
        <f>k_p2_0+C84*(k_p2_1+C84*k_p2_2)</f>
        <v/>
      </c>
      <c r="E84">
        <f>k_p3_0+C84*(k_p3_1+C84*(k_p3_2+C84*k_p3_3))</f>
        <v/>
      </c>
      <c r="F84">
        <f>k_p4_0+C84*(k_p4_1+C84*(k_p4_2+C84*(k_p4_3+C84*k_p4_4)))</f>
        <v/>
      </c>
      <c r="G84">
        <f>k_ea+k_eb*EXP(k_ec*C84)</f>
        <v/>
      </c>
      <c r="H84">
        <f>(k_p2_1+2*k_p2_2*C84)/k_sx</f>
        <v/>
      </c>
      <c r="I84">
        <f>(k_p3_1+C84*(2*k_p3_2+3*k_p3_3*C84))/k_sx</f>
        <v/>
      </c>
      <c r="J84">
        <f>(k_p4_1+C84*(2*k_p4_2+C84*(3*k_p4_3+4*k_p4_4*C84)))/k_sx</f>
        <v/>
      </c>
      <c r="K84">
        <f>k_eb*k_ec*EXP(k_ec*C84)/k_sx</f>
        <v/>
      </c>
      <c r="L84">
        <f>(2*k_p4_2+C84*(6*k_p4_3+12*k_p4_4*C84))/k_sx^2</f>
        <v/>
      </c>
      <c r="M84">
        <f>D84/B84</f>
        <v/>
      </c>
      <c r="N84">
        <f>E84/B84</f>
        <v/>
      </c>
      <c r="O84">
        <f>F84/B84</f>
        <v/>
      </c>
      <c r="P84">
        <f>G84/B84</f>
        <v/>
      </c>
      <c r="Q84">
        <f>CHOOSE(k_model,D84,E84,F84,G84)</f>
        <v/>
      </c>
      <c r="R84">
        <f>CHOOSE(k_model,H84,I84,J84,K84)</f>
        <v/>
      </c>
    </row>
    <row r="85">
      <c r="A85" t="n">
        <v>83</v>
      </c>
      <c r="B85">
        <f>k_lo+k_rng*A85/1000</f>
        <v/>
      </c>
      <c r="C85">
        <f>(B85-k_mx)/k_sx</f>
        <v/>
      </c>
      <c r="D85">
        <f>k_p2_0+C85*(k_p2_1+C85*k_p2_2)</f>
        <v/>
      </c>
      <c r="E85">
        <f>k_p3_0+C85*(k_p3_1+C85*(k_p3_2+C85*k_p3_3))</f>
        <v/>
      </c>
      <c r="F85">
        <f>k_p4_0+C85*(k_p4_1+C85*(k_p4_2+C85*(k_p4_3+C85*k_p4_4)))</f>
        <v/>
      </c>
      <c r="G85">
        <f>k_ea+k_eb*EXP(k_ec*C85)</f>
        <v/>
      </c>
      <c r="H85">
        <f>(k_p2_1+2*k_p2_2*C85)/k_sx</f>
        <v/>
      </c>
      <c r="I85">
        <f>(k_p3_1+C85*(2*k_p3_2+3*k_p3_3*C85))/k_sx</f>
        <v/>
      </c>
      <c r="J85">
        <f>(k_p4_1+C85*(2*k_p4_2+C85*(3*k_p4_3+4*k_p4_4*C85)))/k_sx</f>
        <v/>
      </c>
      <c r="K85">
        <f>k_eb*k_ec*EXP(k_ec*C85)/k_sx</f>
        <v/>
      </c>
      <c r="L85">
        <f>(2*k_p4_2+C85*(6*k_p4_3+12*k_p4_4*C85))/k_sx^2</f>
        <v/>
      </c>
      <c r="M85">
        <f>D85/B85</f>
        <v/>
      </c>
      <c r="N85">
        <f>E85/B85</f>
        <v/>
      </c>
      <c r="O85">
        <f>F85/B85</f>
        <v/>
      </c>
      <c r="P85">
        <f>G85/B85</f>
        <v/>
      </c>
      <c r="Q85">
        <f>CHOOSE(k_model,D85,E85,F85,G85)</f>
        <v/>
      </c>
      <c r="R85">
        <f>CHOOSE(k_model,H85,I85,J85,K85)</f>
        <v/>
      </c>
    </row>
    <row r="86">
      <c r="A86" t="n">
        <v>84</v>
      </c>
      <c r="B86">
        <f>k_lo+k_rng*A86/1000</f>
        <v/>
      </c>
      <c r="C86">
        <f>(B86-k_mx)/k_sx</f>
        <v/>
      </c>
      <c r="D86">
        <f>k_p2_0+C86*(k_p2_1+C86*k_p2_2)</f>
        <v/>
      </c>
      <c r="E86">
        <f>k_p3_0+C86*(k_p3_1+C86*(k_p3_2+C86*k_p3_3))</f>
        <v/>
      </c>
      <c r="F86">
        <f>k_p4_0+C86*(k_p4_1+C86*(k_p4_2+C86*(k_p4_3+C86*k_p4_4)))</f>
        <v/>
      </c>
      <c r="G86">
        <f>k_ea+k_eb*EXP(k_ec*C86)</f>
        <v/>
      </c>
      <c r="H86">
        <f>(k_p2_1+2*k_p2_2*C86)/k_sx</f>
        <v/>
      </c>
      <c r="I86">
        <f>(k_p3_1+C86*(2*k_p3_2+3*k_p3_3*C86))/k_sx</f>
        <v/>
      </c>
      <c r="J86">
        <f>(k_p4_1+C86*(2*k_p4_2+C86*(3*k_p4_3+4*k_p4_4*C86)))/k_sx</f>
        <v/>
      </c>
      <c r="K86">
        <f>k_eb*k_ec*EXP(k_ec*C86)/k_sx</f>
        <v/>
      </c>
      <c r="L86">
        <f>(2*k_p4_2+C86*(6*k_p4_3+12*k_p4_4*C86))/k_sx^2</f>
        <v/>
      </c>
      <c r="M86">
        <f>D86/B86</f>
        <v/>
      </c>
      <c r="N86">
        <f>E86/B86</f>
        <v/>
      </c>
      <c r="O86">
        <f>F86/B86</f>
        <v/>
      </c>
      <c r="P86">
        <f>G86/B86</f>
        <v/>
      </c>
      <c r="Q86">
        <f>CHOOSE(k_model,D86,E86,F86,G86)</f>
        <v/>
      </c>
      <c r="R86">
        <f>CHOOSE(k_model,H86,I86,J86,K86)</f>
        <v/>
      </c>
    </row>
    <row r="87">
      <c r="A87" t="n">
        <v>85</v>
      </c>
      <c r="B87">
        <f>k_lo+k_rng*A87/1000</f>
        <v/>
      </c>
      <c r="C87">
        <f>(B87-k_mx)/k_sx</f>
        <v/>
      </c>
      <c r="D87">
        <f>k_p2_0+C87*(k_p2_1+C87*k_p2_2)</f>
        <v/>
      </c>
      <c r="E87">
        <f>k_p3_0+C87*(k_p3_1+C87*(k_p3_2+C87*k_p3_3))</f>
        <v/>
      </c>
      <c r="F87">
        <f>k_p4_0+C87*(k_p4_1+C87*(k_p4_2+C87*(k_p4_3+C87*k_p4_4)))</f>
        <v/>
      </c>
      <c r="G87">
        <f>k_ea+k_eb*EXP(k_ec*C87)</f>
        <v/>
      </c>
      <c r="H87">
        <f>(k_p2_1+2*k_p2_2*C87)/k_sx</f>
        <v/>
      </c>
      <c r="I87">
        <f>(k_p3_1+C87*(2*k_p3_2+3*k_p3_3*C87))/k_sx</f>
        <v/>
      </c>
      <c r="J87">
        <f>(k_p4_1+C87*(2*k_p4_2+C87*(3*k_p4_3+4*k_p4_4*C87)))/k_sx</f>
        <v/>
      </c>
      <c r="K87">
        <f>k_eb*k_ec*EXP(k_ec*C87)/k_sx</f>
        <v/>
      </c>
      <c r="L87">
        <f>(2*k_p4_2+C87*(6*k_p4_3+12*k_p4_4*C87))/k_sx^2</f>
        <v/>
      </c>
      <c r="M87">
        <f>D87/B87</f>
        <v/>
      </c>
      <c r="N87">
        <f>E87/B87</f>
        <v/>
      </c>
      <c r="O87">
        <f>F87/B87</f>
        <v/>
      </c>
      <c r="P87">
        <f>G87/B87</f>
        <v/>
      </c>
      <c r="Q87">
        <f>CHOOSE(k_model,D87,E87,F87,G87)</f>
        <v/>
      </c>
      <c r="R87">
        <f>CHOOSE(k_model,H87,I87,J87,K87)</f>
        <v/>
      </c>
    </row>
    <row r="88">
      <c r="A88" t="n">
        <v>86</v>
      </c>
      <c r="B88">
        <f>k_lo+k_rng*A88/1000</f>
        <v/>
      </c>
      <c r="C88">
        <f>(B88-k_mx)/k_sx</f>
        <v/>
      </c>
      <c r="D88">
        <f>k_p2_0+C88*(k_p2_1+C88*k_p2_2)</f>
        <v/>
      </c>
      <c r="E88">
        <f>k_p3_0+C88*(k_p3_1+C88*(k_p3_2+C88*k_p3_3))</f>
        <v/>
      </c>
      <c r="F88">
        <f>k_p4_0+C88*(k_p4_1+C88*(k_p4_2+C88*(k_p4_3+C88*k_p4_4)))</f>
        <v/>
      </c>
      <c r="G88">
        <f>k_ea+k_eb*EXP(k_ec*C88)</f>
        <v/>
      </c>
      <c r="H88">
        <f>(k_p2_1+2*k_p2_2*C88)/k_sx</f>
        <v/>
      </c>
      <c r="I88">
        <f>(k_p3_1+C88*(2*k_p3_2+3*k_p3_3*C88))/k_sx</f>
        <v/>
      </c>
      <c r="J88">
        <f>(k_p4_1+C88*(2*k_p4_2+C88*(3*k_p4_3+4*k_p4_4*C88)))/k_sx</f>
        <v/>
      </c>
      <c r="K88">
        <f>k_eb*k_ec*EXP(k_ec*C88)/k_sx</f>
        <v/>
      </c>
      <c r="L88">
        <f>(2*k_p4_2+C88*(6*k_p4_3+12*k_p4_4*C88))/k_sx^2</f>
        <v/>
      </c>
      <c r="M88">
        <f>D88/B88</f>
        <v/>
      </c>
      <c r="N88">
        <f>E88/B88</f>
        <v/>
      </c>
      <c r="O88">
        <f>F88/B88</f>
        <v/>
      </c>
      <c r="P88">
        <f>G88/B88</f>
        <v/>
      </c>
      <c r="Q88">
        <f>CHOOSE(k_model,D88,E88,F88,G88)</f>
        <v/>
      </c>
      <c r="R88">
        <f>CHOOSE(k_model,H88,I88,J88,K88)</f>
        <v/>
      </c>
    </row>
    <row r="89">
      <c r="A89" t="n">
        <v>87</v>
      </c>
      <c r="B89">
        <f>k_lo+k_rng*A89/1000</f>
        <v/>
      </c>
      <c r="C89">
        <f>(B89-k_mx)/k_sx</f>
        <v/>
      </c>
      <c r="D89">
        <f>k_p2_0+C89*(k_p2_1+C89*k_p2_2)</f>
        <v/>
      </c>
      <c r="E89">
        <f>k_p3_0+C89*(k_p3_1+C89*(k_p3_2+C89*k_p3_3))</f>
        <v/>
      </c>
      <c r="F89">
        <f>k_p4_0+C89*(k_p4_1+C89*(k_p4_2+C89*(k_p4_3+C89*k_p4_4)))</f>
        <v/>
      </c>
      <c r="G89">
        <f>k_ea+k_eb*EXP(k_ec*C89)</f>
        <v/>
      </c>
      <c r="H89">
        <f>(k_p2_1+2*k_p2_2*C89)/k_sx</f>
        <v/>
      </c>
      <c r="I89">
        <f>(k_p3_1+C89*(2*k_p3_2+3*k_p3_3*C89))/k_sx</f>
        <v/>
      </c>
      <c r="J89">
        <f>(k_p4_1+C89*(2*k_p4_2+C89*(3*k_p4_3+4*k_p4_4*C89)))/k_sx</f>
        <v/>
      </c>
      <c r="K89">
        <f>k_eb*k_ec*EXP(k_ec*C89)/k_sx</f>
        <v/>
      </c>
      <c r="L89">
        <f>(2*k_p4_2+C89*(6*k_p4_3+12*k_p4_4*C89))/k_sx^2</f>
        <v/>
      </c>
      <c r="M89">
        <f>D89/B89</f>
        <v/>
      </c>
      <c r="N89">
        <f>E89/B89</f>
        <v/>
      </c>
      <c r="O89">
        <f>F89/B89</f>
        <v/>
      </c>
      <c r="P89">
        <f>G89/B89</f>
        <v/>
      </c>
      <c r="Q89">
        <f>CHOOSE(k_model,D89,E89,F89,G89)</f>
        <v/>
      </c>
      <c r="R89">
        <f>CHOOSE(k_model,H89,I89,J89,K89)</f>
        <v/>
      </c>
    </row>
    <row r="90">
      <c r="A90" t="n">
        <v>88</v>
      </c>
      <c r="B90">
        <f>k_lo+k_rng*A90/1000</f>
        <v/>
      </c>
      <c r="C90">
        <f>(B90-k_mx)/k_sx</f>
        <v/>
      </c>
      <c r="D90">
        <f>k_p2_0+C90*(k_p2_1+C90*k_p2_2)</f>
        <v/>
      </c>
      <c r="E90">
        <f>k_p3_0+C90*(k_p3_1+C90*(k_p3_2+C90*k_p3_3))</f>
        <v/>
      </c>
      <c r="F90">
        <f>k_p4_0+C90*(k_p4_1+C90*(k_p4_2+C90*(k_p4_3+C90*k_p4_4)))</f>
        <v/>
      </c>
      <c r="G90">
        <f>k_ea+k_eb*EXP(k_ec*C90)</f>
        <v/>
      </c>
      <c r="H90">
        <f>(k_p2_1+2*k_p2_2*C90)/k_sx</f>
        <v/>
      </c>
      <c r="I90">
        <f>(k_p3_1+C90*(2*k_p3_2+3*k_p3_3*C90))/k_sx</f>
        <v/>
      </c>
      <c r="J90">
        <f>(k_p4_1+C90*(2*k_p4_2+C90*(3*k_p4_3+4*k_p4_4*C90)))/k_sx</f>
        <v/>
      </c>
      <c r="K90">
        <f>k_eb*k_ec*EXP(k_ec*C90)/k_sx</f>
        <v/>
      </c>
      <c r="L90">
        <f>(2*k_p4_2+C90*(6*k_p4_3+12*k_p4_4*C90))/k_sx^2</f>
        <v/>
      </c>
      <c r="M90">
        <f>D90/B90</f>
        <v/>
      </c>
      <c r="N90">
        <f>E90/B90</f>
        <v/>
      </c>
      <c r="O90">
        <f>F90/B90</f>
        <v/>
      </c>
      <c r="P90">
        <f>G90/B90</f>
        <v/>
      </c>
      <c r="Q90">
        <f>CHOOSE(k_model,D90,E90,F90,G90)</f>
        <v/>
      </c>
      <c r="R90">
        <f>CHOOSE(k_model,H90,I90,J90,K90)</f>
        <v/>
      </c>
    </row>
    <row r="91">
      <c r="A91" t="n">
        <v>89</v>
      </c>
      <c r="B91">
        <f>k_lo+k_rng*A91/1000</f>
        <v/>
      </c>
      <c r="C91">
        <f>(B91-k_mx)/k_sx</f>
        <v/>
      </c>
      <c r="D91">
        <f>k_p2_0+C91*(k_p2_1+C91*k_p2_2)</f>
        <v/>
      </c>
      <c r="E91">
        <f>k_p3_0+C91*(k_p3_1+C91*(k_p3_2+C91*k_p3_3))</f>
        <v/>
      </c>
      <c r="F91">
        <f>k_p4_0+C91*(k_p4_1+C91*(k_p4_2+C91*(k_p4_3+C91*k_p4_4)))</f>
        <v/>
      </c>
      <c r="G91">
        <f>k_ea+k_eb*EXP(k_ec*C91)</f>
        <v/>
      </c>
      <c r="H91">
        <f>(k_p2_1+2*k_p2_2*C91)/k_sx</f>
        <v/>
      </c>
      <c r="I91">
        <f>(k_p3_1+C91*(2*k_p3_2+3*k_p3_3*C91))/k_sx</f>
        <v/>
      </c>
      <c r="J91">
        <f>(k_p4_1+C91*(2*k_p4_2+C91*(3*k_p4_3+4*k_p4_4*C91)))/k_sx</f>
        <v/>
      </c>
      <c r="K91">
        <f>k_eb*k_ec*EXP(k_ec*C91)/k_sx</f>
        <v/>
      </c>
      <c r="L91">
        <f>(2*k_p4_2+C91*(6*k_p4_3+12*k_p4_4*C91))/k_sx^2</f>
        <v/>
      </c>
      <c r="M91">
        <f>D91/B91</f>
        <v/>
      </c>
      <c r="N91">
        <f>E91/B91</f>
        <v/>
      </c>
      <c r="O91">
        <f>F91/B91</f>
        <v/>
      </c>
      <c r="P91">
        <f>G91/B91</f>
        <v/>
      </c>
      <c r="Q91">
        <f>CHOOSE(k_model,D91,E91,F91,G91)</f>
        <v/>
      </c>
      <c r="R91">
        <f>CHOOSE(k_model,H91,I91,J91,K91)</f>
        <v/>
      </c>
    </row>
    <row r="92">
      <c r="A92" t="n">
        <v>90</v>
      </c>
      <c r="B92">
        <f>k_lo+k_rng*A92/1000</f>
        <v/>
      </c>
      <c r="C92">
        <f>(B92-k_mx)/k_sx</f>
        <v/>
      </c>
      <c r="D92">
        <f>k_p2_0+C92*(k_p2_1+C92*k_p2_2)</f>
        <v/>
      </c>
      <c r="E92">
        <f>k_p3_0+C92*(k_p3_1+C92*(k_p3_2+C92*k_p3_3))</f>
        <v/>
      </c>
      <c r="F92">
        <f>k_p4_0+C92*(k_p4_1+C92*(k_p4_2+C92*(k_p4_3+C92*k_p4_4)))</f>
        <v/>
      </c>
      <c r="G92">
        <f>k_ea+k_eb*EXP(k_ec*C92)</f>
        <v/>
      </c>
      <c r="H92">
        <f>(k_p2_1+2*k_p2_2*C92)/k_sx</f>
        <v/>
      </c>
      <c r="I92">
        <f>(k_p3_1+C92*(2*k_p3_2+3*k_p3_3*C92))/k_sx</f>
        <v/>
      </c>
      <c r="J92">
        <f>(k_p4_1+C92*(2*k_p4_2+C92*(3*k_p4_3+4*k_p4_4*C92)))/k_sx</f>
        <v/>
      </c>
      <c r="K92">
        <f>k_eb*k_ec*EXP(k_ec*C92)/k_sx</f>
        <v/>
      </c>
      <c r="L92">
        <f>(2*k_p4_2+C92*(6*k_p4_3+12*k_p4_4*C92))/k_sx^2</f>
        <v/>
      </c>
      <c r="M92">
        <f>D92/B92</f>
        <v/>
      </c>
      <c r="N92">
        <f>E92/B92</f>
        <v/>
      </c>
      <c r="O92">
        <f>F92/B92</f>
        <v/>
      </c>
      <c r="P92">
        <f>G92/B92</f>
        <v/>
      </c>
      <c r="Q92">
        <f>CHOOSE(k_model,D92,E92,F92,G92)</f>
        <v/>
      </c>
      <c r="R92">
        <f>CHOOSE(k_model,H92,I92,J92,K92)</f>
        <v/>
      </c>
    </row>
    <row r="93">
      <c r="A93" t="n">
        <v>91</v>
      </c>
      <c r="B93">
        <f>k_lo+k_rng*A93/1000</f>
        <v/>
      </c>
      <c r="C93">
        <f>(B93-k_mx)/k_sx</f>
        <v/>
      </c>
      <c r="D93">
        <f>k_p2_0+C93*(k_p2_1+C93*k_p2_2)</f>
        <v/>
      </c>
      <c r="E93">
        <f>k_p3_0+C93*(k_p3_1+C93*(k_p3_2+C93*k_p3_3))</f>
        <v/>
      </c>
      <c r="F93">
        <f>k_p4_0+C93*(k_p4_1+C93*(k_p4_2+C93*(k_p4_3+C93*k_p4_4)))</f>
        <v/>
      </c>
      <c r="G93">
        <f>k_ea+k_eb*EXP(k_ec*C93)</f>
        <v/>
      </c>
      <c r="H93">
        <f>(k_p2_1+2*k_p2_2*C93)/k_sx</f>
        <v/>
      </c>
      <c r="I93">
        <f>(k_p3_1+C93*(2*k_p3_2+3*k_p3_3*C93))/k_sx</f>
        <v/>
      </c>
      <c r="J93">
        <f>(k_p4_1+C93*(2*k_p4_2+C93*(3*k_p4_3+4*k_p4_4*C93)))/k_sx</f>
        <v/>
      </c>
      <c r="K93">
        <f>k_eb*k_ec*EXP(k_ec*C93)/k_sx</f>
        <v/>
      </c>
      <c r="L93">
        <f>(2*k_p4_2+C93*(6*k_p4_3+12*k_p4_4*C93))/k_sx^2</f>
        <v/>
      </c>
      <c r="M93">
        <f>D93/B93</f>
        <v/>
      </c>
      <c r="N93">
        <f>E93/B93</f>
        <v/>
      </c>
      <c r="O93">
        <f>F93/B93</f>
        <v/>
      </c>
      <c r="P93">
        <f>G93/B93</f>
        <v/>
      </c>
      <c r="Q93">
        <f>CHOOSE(k_model,D93,E93,F93,G93)</f>
        <v/>
      </c>
      <c r="R93">
        <f>CHOOSE(k_model,H93,I93,J93,K93)</f>
        <v/>
      </c>
    </row>
    <row r="94">
      <c r="A94" t="n">
        <v>92</v>
      </c>
      <c r="B94">
        <f>k_lo+k_rng*A94/1000</f>
        <v/>
      </c>
      <c r="C94">
        <f>(B94-k_mx)/k_sx</f>
        <v/>
      </c>
      <c r="D94">
        <f>k_p2_0+C94*(k_p2_1+C94*k_p2_2)</f>
        <v/>
      </c>
      <c r="E94">
        <f>k_p3_0+C94*(k_p3_1+C94*(k_p3_2+C94*k_p3_3))</f>
        <v/>
      </c>
      <c r="F94">
        <f>k_p4_0+C94*(k_p4_1+C94*(k_p4_2+C94*(k_p4_3+C94*k_p4_4)))</f>
        <v/>
      </c>
      <c r="G94">
        <f>k_ea+k_eb*EXP(k_ec*C94)</f>
        <v/>
      </c>
      <c r="H94">
        <f>(k_p2_1+2*k_p2_2*C94)/k_sx</f>
        <v/>
      </c>
      <c r="I94">
        <f>(k_p3_1+C94*(2*k_p3_2+3*k_p3_3*C94))/k_sx</f>
        <v/>
      </c>
      <c r="J94">
        <f>(k_p4_1+C94*(2*k_p4_2+C94*(3*k_p4_3+4*k_p4_4*C94)))/k_sx</f>
        <v/>
      </c>
      <c r="K94">
        <f>k_eb*k_ec*EXP(k_ec*C94)/k_sx</f>
        <v/>
      </c>
      <c r="L94">
        <f>(2*k_p4_2+C94*(6*k_p4_3+12*k_p4_4*C94))/k_sx^2</f>
        <v/>
      </c>
      <c r="M94">
        <f>D94/B94</f>
        <v/>
      </c>
      <c r="N94">
        <f>E94/B94</f>
        <v/>
      </c>
      <c r="O94">
        <f>F94/B94</f>
        <v/>
      </c>
      <c r="P94">
        <f>G94/B94</f>
        <v/>
      </c>
      <c r="Q94">
        <f>CHOOSE(k_model,D94,E94,F94,G94)</f>
        <v/>
      </c>
      <c r="R94">
        <f>CHOOSE(k_model,H94,I94,J94,K94)</f>
        <v/>
      </c>
    </row>
    <row r="95">
      <c r="A95" t="n">
        <v>93</v>
      </c>
      <c r="B95">
        <f>k_lo+k_rng*A95/1000</f>
        <v/>
      </c>
      <c r="C95">
        <f>(B95-k_mx)/k_sx</f>
        <v/>
      </c>
      <c r="D95">
        <f>k_p2_0+C95*(k_p2_1+C95*k_p2_2)</f>
        <v/>
      </c>
      <c r="E95">
        <f>k_p3_0+C95*(k_p3_1+C95*(k_p3_2+C95*k_p3_3))</f>
        <v/>
      </c>
      <c r="F95">
        <f>k_p4_0+C95*(k_p4_1+C95*(k_p4_2+C95*(k_p4_3+C95*k_p4_4)))</f>
        <v/>
      </c>
      <c r="G95">
        <f>k_ea+k_eb*EXP(k_ec*C95)</f>
        <v/>
      </c>
      <c r="H95">
        <f>(k_p2_1+2*k_p2_2*C95)/k_sx</f>
        <v/>
      </c>
      <c r="I95">
        <f>(k_p3_1+C95*(2*k_p3_2+3*k_p3_3*C95))/k_sx</f>
        <v/>
      </c>
      <c r="J95">
        <f>(k_p4_1+C95*(2*k_p4_2+C95*(3*k_p4_3+4*k_p4_4*C95)))/k_sx</f>
        <v/>
      </c>
      <c r="K95">
        <f>k_eb*k_ec*EXP(k_ec*C95)/k_sx</f>
        <v/>
      </c>
      <c r="L95">
        <f>(2*k_p4_2+C95*(6*k_p4_3+12*k_p4_4*C95))/k_sx^2</f>
        <v/>
      </c>
      <c r="M95">
        <f>D95/B95</f>
        <v/>
      </c>
      <c r="N95">
        <f>E95/B95</f>
        <v/>
      </c>
      <c r="O95">
        <f>F95/B95</f>
        <v/>
      </c>
      <c r="P95">
        <f>G95/B95</f>
        <v/>
      </c>
      <c r="Q95">
        <f>CHOOSE(k_model,D95,E95,F95,G95)</f>
        <v/>
      </c>
      <c r="R95">
        <f>CHOOSE(k_model,H95,I95,J95,K95)</f>
        <v/>
      </c>
    </row>
    <row r="96">
      <c r="A96" t="n">
        <v>94</v>
      </c>
      <c r="B96">
        <f>k_lo+k_rng*A96/1000</f>
        <v/>
      </c>
      <c r="C96">
        <f>(B96-k_mx)/k_sx</f>
        <v/>
      </c>
      <c r="D96">
        <f>k_p2_0+C96*(k_p2_1+C96*k_p2_2)</f>
        <v/>
      </c>
      <c r="E96">
        <f>k_p3_0+C96*(k_p3_1+C96*(k_p3_2+C96*k_p3_3))</f>
        <v/>
      </c>
      <c r="F96">
        <f>k_p4_0+C96*(k_p4_1+C96*(k_p4_2+C96*(k_p4_3+C96*k_p4_4)))</f>
        <v/>
      </c>
      <c r="G96">
        <f>k_ea+k_eb*EXP(k_ec*C96)</f>
        <v/>
      </c>
      <c r="H96">
        <f>(k_p2_1+2*k_p2_2*C96)/k_sx</f>
        <v/>
      </c>
      <c r="I96">
        <f>(k_p3_1+C96*(2*k_p3_2+3*k_p3_3*C96))/k_sx</f>
        <v/>
      </c>
      <c r="J96">
        <f>(k_p4_1+C96*(2*k_p4_2+C96*(3*k_p4_3+4*k_p4_4*C96)))/k_sx</f>
        <v/>
      </c>
      <c r="K96">
        <f>k_eb*k_ec*EXP(k_ec*C96)/k_sx</f>
        <v/>
      </c>
      <c r="L96">
        <f>(2*k_p4_2+C96*(6*k_p4_3+12*k_p4_4*C96))/k_sx^2</f>
        <v/>
      </c>
      <c r="M96">
        <f>D96/B96</f>
        <v/>
      </c>
      <c r="N96">
        <f>E96/B96</f>
        <v/>
      </c>
      <c r="O96">
        <f>F96/B96</f>
        <v/>
      </c>
      <c r="P96">
        <f>G96/B96</f>
        <v/>
      </c>
      <c r="Q96">
        <f>CHOOSE(k_model,D96,E96,F96,G96)</f>
        <v/>
      </c>
      <c r="R96">
        <f>CHOOSE(k_model,H96,I96,J96,K96)</f>
        <v/>
      </c>
    </row>
    <row r="97">
      <c r="A97" t="n">
        <v>95</v>
      </c>
      <c r="B97">
        <f>k_lo+k_rng*A97/1000</f>
        <v/>
      </c>
      <c r="C97">
        <f>(B97-k_mx)/k_sx</f>
        <v/>
      </c>
      <c r="D97">
        <f>k_p2_0+C97*(k_p2_1+C97*k_p2_2)</f>
        <v/>
      </c>
      <c r="E97">
        <f>k_p3_0+C97*(k_p3_1+C97*(k_p3_2+C97*k_p3_3))</f>
        <v/>
      </c>
      <c r="F97">
        <f>k_p4_0+C97*(k_p4_1+C97*(k_p4_2+C97*(k_p4_3+C97*k_p4_4)))</f>
        <v/>
      </c>
      <c r="G97">
        <f>k_ea+k_eb*EXP(k_ec*C97)</f>
        <v/>
      </c>
      <c r="H97">
        <f>(k_p2_1+2*k_p2_2*C97)/k_sx</f>
        <v/>
      </c>
      <c r="I97">
        <f>(k_p3_1+C97*(2*k_p3_2+3*k_p3_3*C97))/k_sx</f>
        <v/>
      </c>
      <c r="J97">
        <f>(k_p4_1+C97*(2*k_p4_2+C97*(3*k_p4_3+4*k_p4_4*C97)))/k_sx</f>
        <v/>
      </c>
      <c r="K97">
        <f>k_eb*k_ec*EXP(k_ec*C97)/k_sx</f>
        <v/>
      </c>
      <c r="L97">
        <f>(2*k_p4_2+C97*(6*k_p4_3+12*k_p4_4*C97))/k_sx^2</f>
        <v/>
      </c>
      <c r="M97">
        <f>D97/B97</f>
        <v/>
      </c>
      <c r="N97">
        <f>E97/B97</f>
        <v/>
      </c>
      <c r="O97">
        <f>F97/B97</f>
        <v/>
      </c>
      <c r="P97">
        <f>G97/B97</f>
        <v/>
      </c>
      <c r="Q97">
        <f>CHOOSE(k_model,D97,E97,F97,G97)</f>
        <v/>
      </c>
      <c r="R97">
        <f>CHOOSE(k_model,H97,I97,J97,K97)</f>
        <v/>
      </c>
    </row>
    <row r="98">
      <c r="A98" t="n">
        <v>96</v>
      </c>
      <c r="B98">
        <f>k_lo+k_rng*A98/1000</f>
        <v/>
      </c>
      <c r="C98">
        <f>(B98-k_mx)/k_sx</f>
        <v/>
      </c>
      <c r="D98">
        <f>k_p2_0+C98*(k_p2_1+C98*k_p2_2)</f>
        <v/>
      </c>
      <c r="E98">
        <f>k_p3_0+C98*(k_p3_1+C98*(k_p3_2+C98*k_p3_3))</f>
        <v/>
      </c>
      <c r="F98">
        <f>k_p4_0+C98*(k_p4_1+C98*(k_p4_2+C98*(k_p4_3+C98*k_p4_4)))</f>
        <v/>
      </c>
      <c r="G98">
        <f>k_ea+k_eb*EXP(k_ec*C98)</f>
        <v/>
      </c>
      <c r="H98">
        <f>(k_p2_1+2*k_p2_2*C98)/k_sx</f>
        <v/>
      </c>
      <c r="I98">
        <f>(k_p3_1+C98*(2*k_p3_2+3*k_p3_3*C98))/k_sx</f>
        <v/>
      </c>
      <c r="J98">
        <f>(k_p4_1+C98*(2*k_p4_2+C98*(3*k_p4_3+4*k_p4_4*C98)))/k_sx</f>
        <v/>
      </c>
      <c r="K98">
        <f>k_eb*k_ec*EXP(k_ec*C98)/k_sx</f>
        <v/>
      </c>
      <c r="L98">
        <f>(2*k_p4_2+C98*(6*k_p4_3+12*k_p4_4*C98))/k_sx^2</f>
        <v/>
      </c>
      <c r="M98">
        <f>D98/B98</f>
        <v/>
      </c>
      <c r="N98">
        <f>E98/B98</f>
        <v/>
      </c>
      <c r="O98">
        <f>F98/B98</f>
        <v/>
      </c>
      <c r="P98">
        <f>G98/B98</f>
        <v/>
      </c>
      <c r="Q98">
        <f>CHOOSE(k_model,D98,E98,F98,G98)</f>
        <v/>
      </c>
      <c r="R98">
        <f>CHOOSE(k_model,H98,I98,J98,K98)</f>
        <v/>
      </c>
    </row>
    <row r="99">
      <c r="A99" t="n">
        <v>97</v>
      </c>
      <c r="B99">
        <f>k_lo+k_rng*A99/1000</f>
        <v/>
      </c>
      <c r="C99">
        <f>(B99-k_mx)/k_sx</f>
        <v/>
      </c>
      <c r="D99">
        <f>k_p2_0+C99*(k_p2_1+C99*k_p2_2)</f>
        <v/>
      </c>
      <c r="E99">
        <f>k_p3_0+C99*(k_p3_1+C99*(k_p3_2+C99*k_p3_3))</f>
        <v/>
      </c>
      <c r="F99">
        <f>k_p4_0+C99*(k_p4_1+C99*(k_p4_2+C99*(k_p4_3+C99*k_p4_4)))</f>
        <v/>
      </c>
      <c r="G99">
        <f>k_ea+k_eb*EXP(k_ec*C99)</f>
        <v/>
      </c>
      <c r="H99">
        <f>(k_p2_1+2*k_p2_2*C99)/k_sx</f>
        <v/>
      </c>
      <c r="I99">
        <f>(k_p3_1+C99*(2*k_p3_2+3*k_p3_3*C99))/k_sx</f>
        <v/>
      </c>
      <c r="J99">
        <f>(k_p4_1+C99*(2*k_p4_2+C99*(3*k_p4_3+4*k_p4_4*C99)))/k_sx</f>
        <v/>
      </c>
      <c r="K99">
        <f>k_eb*k_ec*EXP(k_ec*C99)/k_sx</f>
        <v/>
      </c>
      <c r="L99">
        <f>(2*k_p4_2+C99*(6*k_p4_3+12*k_p4_4*C99))/k_sx^2</f>
        <v/>
      </c>
      <c r="M99">
        <f>D99/B99</f>
        <v/>
      </c>
      <c r="N99">
        <f>E99/B99</f>
        <v/>
      </c>
      <c r="O99">
        <f>F99/B99</f>
        <v/>
      </c>
      <c r="P99">
        <f>G99/B99</f>
        <v/>
      </c>
      <c r="Q99">
        <f>CHOOSE(k_model,D99,E99,F99,G99)</f>
        <v/>
      </c>
      <c r="R99">
        <f>CHOOSE(k_model,H99,I99,J99,K99)</f>
        <v/>
      </c>
    </row>
    <row r="100">
      <c r="A100" t="n">
        <v>98</v>
      </c>
      <c r="B100">
        <f>k_lo+k_rng*A100/1000</f>
        <v/>
      </c>
      <c r="C100">
        <f>(B100-k_mx)/k_sx</f>
        <v/>
      </c>
      <c r="D100">
        <f>k_p2_0+C100*(k_p2_1+C100*k_p2_2)</f>
        <v/>
      </c>
      <c r="E100">
        <f>k_p3_0+C100*(k_p3_1+C100*(k_p3_2+C100*k_p3_3))</f>
        <v/>
      </c>
      <c r="F100">
        <f>k_p4_0+C100*(k_p4_1+C100*(k_p4_2+C100*(k_p4_3+C100*k_p4_4)))</f>
        <v/>
      </c>
      <c r="G100">
        <f>k_ea+k_eb*EXP(k_ec*C100)</f>
        <v/>
      </c>
      <c r="H100">
        <f>(k_p2_1+2*k_p2_2*C100)/k_sx</f>
        <v/>
      </c>
      <c r="I100">
        <f>(k_p3_1+C100*(2*k_p3_2+3*k_p3_3*C100))/k_sx</f>
        <v/>
      </c>
      <c r="J100">
        <f>(k_p4_1+C100*(2*k_p4_2+C100*(3*k_p4_3+4*k_p4_4*C100)))/k_sx</f>
        <v/>
      </c>
      <c r="K100">
        <f>k_eb*k_ec*EXP(k_ec*C100)/k_sx</f>
        <v/>
      </c>
      <c r="L100">
        <f>(2*k_p4_2+C100*(6*k_p4_3+12*k_p4_4*C100))/k_sx^2</f>
        <v/>
      </c>
      <c r="M100">
        <f>D100/B100</f>
        <v/>
      </c>
      <c r="N100">
        <f>E100/B100</f>
        <v/>
      </c>
      <c r="O100">
        <f>F100/B100</f>
        <v/>
      </c>
      <c r="P100">
        <f>G100/B100</f>
        <v/>
      </c>
      <c r="Q100">
        <f>CHOOSE(k_model,D100,E100,F100,G100)</f>
        <v/>
      </c>
      <c r="R100">
        <f>CHOOSE(k_model,H100,I100,J100,K100)</f>
        <v/>
      </c>
    </row>
    <row r="101">
      <c r="A101" t="n">
        <v>99</v>
      </c>
      <c r="B101">
        <f>k_lo+k_rng*A101/1000</f>
        <v/>
      </c>
      <c r="C101">
        <f>(B101-k_mx)/k_sx</f>
        <v/>
      </c>
      <c r="D101">
        <f>k_p2_0+C101*(k_p2_1+C101*k_p2_2)</f>
        <v/>
      </c>
      <c r="E101">
        <f>k_p3_0+C101*(k_p3_1+C101*(k_p3_2+C101*k_p3_3))</f>
        <v/>
      </c>
      <c r="F101">
        <f>k_p4_0+C101*(k_p4_1+C101*(k_p4_2+C101*(k_p4_3+C101*k_p4_4)))</f>
        <v/>
      </c>
      <c r="G101">
        <f>k_ea+k_eb*EXP(k_ec*C101)</f>
        <v/>
      </c>
      <c r="H101">
        <f>(k_p2_1+2*k_p2_2*C101)/k_sx</f>
        <v/>
      </c>
      <c r="I101">
        <f>(k_p3_1+C101*(2*k_p3_2+3*k_p3_3*C101))/k_sx</f>
        <v/>
      </c>
      <c r="J101">
        <f>(k_p4_1+C101*(2*k_p4_2+C101*(3*k_p4_3+4*k_p4_4*C101)))/k_sx</f>
        <v/>
      </c>
      <c r="K101">
        <f>k_eb*k_ec*EXP(k_ec*C101)/k_sx</f>
        <v/>
      </c>
      <c r="L101">
        <f>(2*k_p4_2+C101*(6*k_p4_3+12*k_p4_4*C101))/k_sx^2</f>
        <v/>
      </c>
      <c r="M101">
        <f>D101/B101</f>
        <v/>
      </c>
      <c r="N101">
        <f>E101/B101</f>
        <v/>
      </c>
      <c r="O101">
        <f>F101/B101</f>
        <v/>
      </c>
      <c r="P101">
        <f>G101/B101</f>
        <v/>
      </c>
      <c r="Q101">
        <f>CHOOSE(k_model,D101,E101,F101,G101)</f>
        <v/>
      </c>
      <c r="R101">
        <f>CHOOSE(k_model,H101,I101,J101,K101)</f>
        <v/>
      </c>
    </row>
    <row r="102">
      <c r="A102" t="n">
        <v>100</v>
      </c>
      <c r="B102">
        <f>k_lo+k_rng*A102/1000</f>
        <v/>
      </c>
      <c r="C102">
        <f>(B102-k_mx)/k_sx</f>
        <v/>
      </c>
      <c r="D102">
        <f>k_p2_0+C102*(k_p2_1+C102*k_p2_2)</f>
        <v/>
      </c>
      <c r="E102">
        <f>k_p3_0+C102*(k_p3_1+C102*(k_p3_2+C102*k_p3_3))</f>
        <v/>
      </c>
      <c r="F102">
        <f>k_p4_0+C102*(k_p4_1+C102*(k_p4_2+C102*(k_p4_3+C102*k_p4_4)))</f>
        <v/>
      </c>
      <c r="G102">
        <f>k_ea+k_eb*EXP(k_ec*C102)</f>
        <v/>
      </c>
      <c r="H102">
        <f>(k_p2_1+2*k_p2_2*C102)/k_sx</f>
        <v/>
      </c>
      <c r="I102">
        <f>(k_p3_1+C102*(2*k_p3_2+3*k_p3_3*C102))/k_sx</f>
        <v/>
      </c>
      <c r="J102">
        <f>(k_p4_1+C102*(2*k_p4_2+C102*(3*k_p4_3+4*k_p4_4*C102)))/k_sx</f>
        <v/>
      </c>
      <c r="K102">
        <f>k_eb*k_ec*EXP(k_ec*C102)/k_sx</f>
        <v/>
      </c>
      <c r="L102">
        <f>(2*k_p4_2+C102*(6*k_p4_3+12*k_p4_4*C102))/k_sx^2</f>
        <v/>
      </c>
      <c r="M102">
        <f>D102/B102</f>
        <v/>
      </c>
      <c r="N102">
        <f>E102/B102</f>
        <v/>
      </c>
      <c r="O102">
        <f>F102/B102</f>
        <v/>
      </c>
      <c r="P102">
        <f>G102/B102</f>
        <v/>
      </c>
      <c r="Q102">
        <f>CHOOSE(k_model,D102,E102,F102,G102)</f>
        <v/>
      </c>
      <c r="R102">
        <f>CHOOSE(k_model,H102,I102,J102,K102)</f>
        <v/>
      </c>
    </row>
    <row r="103">
      <c r="A103" t="n">
        <v>101</v>
      </c>
      <c r="B103">
        <f>k_lo+k_rng*A103/1000</f>
        <v/>
      </c>
      <c r="C103">
        <f>(B103-k_mx)/k_sx</f>
        <v/>
      </c>
      <c r="D103">
        <f>k_p2_0+C103*(k_p2_1+C103*k_p2_2)</f>
        <v/>
      </c>
      <c r="E103">
        <f>k_p3_0+C103*(k_p3_1+C103*(k_p3_2+C103*k_p3_3))</f>
        <v/>
      </c>
      <c r="F103">
        <f>k_p4_0+C103*(k_p4_1+C103*(k_p4_2+C103*(k_p4_3+C103*k_p4_4)))</f>
        <v/>
      </c>
      <c r="G103">
        <f>k_ea+k_eb*EXP(k_ec*C103)</f>
        <v/>
      </c>
      <c r="H103">
        <f>(k_p2_1+2*k_p2_2*C103)/k_sx</f>
        <v/>
      </c>
      <c r="I103">
        <f>(k_p3_1+C103*(2*k_p3_2+3*k_p3_3*C103))/k_sx</f>
        <v/>
      </c>
      <c r="J103">
        <f>(k_p4_1+C103*(2*k_p4_2+C103*(3*k_p4_3+4*k_p4_4*C103)))/k_sx</f>
        <v/>
      </c>
      <c r="K103">
        <f>k_eb*k_ec*EXP(k_ec*C103)/k_sx</f>
        <v/>
      </c>
      <c r="L103">
        <f>(2*k_p4_2+C103*(6*k_p4_3+12*k_p4_4*C103))/k_sx^2</f>
        <v/>
      </c>
      <c r="M103">
        <f>D103/B103</f>
        <v/>
      </c>
      <c r="N103">
        <f>E103/B103</f>
        <v/>
      </c>
      <c r="O103">
        <f>F103/B103</f>
        <v/>
      </c>
      <c r="P103">
        <f>G103/B103</f>
        <v/>
      </c>
      <c r="Q103">
        <f>CHOOSE(k_model,D103,E103,F103,G103)</f>
        <v/>
      </c>
      <c r="R103">
        <f>CHOOSE(k_model,H103,I103,J103,K103)</f>
        <v/>
      </c>
    </row>
    <row r="104">
      <c r="A104" t="n">
        <v>102</v>
      </c>
      <c r="B104">
        <f>k_lo+k_rng*A104/1000</f>
        <v/>
      </c>
      <c r="C104">
        <f>(B104-k_mx)/k_sx</f>
        <v/>
      </c>
      <c r="D104">
        <f>k_p2_0+C104*(k_p2_1+C104*k_p2_2)</f>
        <v/>
      </c>
      <c r="E104">
        <f>k_p3_0+C104*(k_p3_1+C104*(k_p3_2+C104*k_p3_3))</f>
        <v/>
      </c>
      <c r="F104">
        <f>k_p4_0+C104*(k_p4_1+C104*(k_p4_2+C104*(k_p4_3+C104*k_p4_4)))</f>
        <v/>
      </c>
      <c r="G104">
        <f>k_ea+k_eb*EXP(k_ec*C104)</f>
        <v/>
      </c>
      <c r="H104">
        <f>(k_p2_1+2*k_p2_2*C104)/k_sx</f>
        <v/>
      </c>
      <c r="I104">
        <f>(k_p3_1+C104*(2*k_p3_2+3*k_p3_3*C104))/k_sx</f>
        <v/>
      </c>
      <c r="J104">
        <f>(k_p4_1+C104*(2*k_p4_2+C104*(3*k_p4_3+4*k_p4_4*C104)))/k_sx</f>
        <v/>
      </c>
      <c r="K104">
        <f>k_eb*k_ec*EXP(k_ec*C104)/k_sx</f>
        <v/>
      </c>
      <c r="L104">
        <f>(2*k_p4_2+C104*(6*k_p4_3+12*k_p4_4*C104))/k_sx^2</f>
        <v/>
      </c>
      <c r="M104">
        <f>D104/B104</f>
        <v/>
      </c>
      <c r="N104">
        <f>E104/B104</f>
        <v/>
      </c>
      <c r="O104">
        <f>F104/B104</f>
        <v/>
      </c>
      <c r="P104">
        <f>G104/B104</f>
        <v/>
      </c>
      <c r="Q104">
        <f>CHOOSE(k_model,D104,E104,F104,G104)</f>
        <v/>
      </c>
      <c r="R104">
        <f>CHOOSE(k_model,H104,I104,J104,K104)</f>
        <v/>
      </c>
    </row>
    <row r="105">
      <c r="A105" t="n">
        <v>103</v>
      </c>
      <c r="B105">
        <f>k_lo+k_rng*A105/1000</f>
        <v/>
      </c>
      <c r="C105">
        <f>(B105-k_mx)/k_sx</f>
        <v/>
      </c>
      <c r="D105">
        <f>k_p2_0+C105*(k_p2_1+C105*k_p2_2)</f>
        <v/>
      </c>
      <c r="E105">
        <f>k_p3_0+C105*(k_p3_1+C105*(k_p3_2+C105*k_p3_3))</f>
        <v/>
      </c>
      <c r="F105">
        <f>k_p4_0+C105*(k_p4_1+C105*(k_p4_2+C105*(k_p4_3+C105*k_p4_4)))</f>
        <v/>
      </c>
      <c r="G105">
        <f>k_ea+k_eb*EXP(k_ec*C105)</f>
        <v/>
      </c>
      <c r="H105">
        <f>(k_p2_1+2*k_p2_2*C105)/k_sx</f>
        <v/>
      </c>
      <c r="I105">
        <f>(k_p3_1+C105*(2*k_p3_2+3*k_p3_3*C105))/k_sx</f>
        <v/>
      </c>
      <c r="J105">
        <f>(k_p4_1+C105*(2*k_p4_2+C105*(3*k_p4_3+4*k_p4_4*C105)))/k_sx</f>
        <v/>
      </c>
      <c r="K105">
        <f>k_eb*k_ec*EXP(k_ec*C105)/k_sx</f>
        <v/>
      </c>
      <c r="L105">
        <f>(2*k_p4_2+C105*(6*k_p4_3+12*k_p4_4*C105))/k_sx^2</f>
        <v/>
      </c>
      <c r="M105">
        <f>D105/B105</f>
        <v/>
      </c>
      <c r="N105">
        <f>E105/B105</f>
        <v/>
      </c>
      <c r="O105">
        <f>F105/B105</f>
        <v/>
      </c>
      <c r="P105">
        <f>G105/B105</f>
        <v/>
      </c>
      <c r="Q105">
        <f>CHOOSE(k_model,D105,E105,F105,G105)</f>
        <v/>
      </c>
      <c r="R105">
        <f>CHOOSE(k_model,H105,I105,J105,K105)</f>
        <v/>
      </c>
    </row>
    <row r="106">
      <c r="A106" t="n">
        <v>104</v>
      </c>
      <c r="B106">
        <f>k_lo+k_rng*A106/1000</f>
        <v/>
      </c>
      <c r="C106">
        <f>(B106-k_mx)/k_sx</f>
        <v/>
      </c>
      <c r="D106">
        <f>k_p2_0+C106*(k_p2_1+C106*k_p2_2)</f>
        <v/>
      </c>
      <c r="E106">
        <f>k_p3_0+C106*(k_p3_1+C106*(k_p3_2+C106*k_p3_3))</f>
        <v/>
      </c>
      <c r="F106">
        <f>k_p4_0+C106*(k_p4_1+C106*(k_p4_2+C106*(k_p4_3+C106*k_p4_4)))</f>
        <v/>
      </c>
      <c r="G106">
        <f>k_ea+k_eb*EXP(k_ec*C106)</f>
        <v/>
      </c>
      <c r="H106">
        <f>(k_p2_1+2*k_p2_2*C106)/k_sx</f>
        <v/>
      </c>
      <c r="I106">
        <f>(k_p3_1+C106*(2*k_p3_2+3*k_p3_3*C106))/k_sx</f>
        <v/>
      </c>
      <c r="J106">
        <f>(k_p4_1+C106*(2*k_p4_2+C106*(3*k_p4_3+4*k_p4_4*C106)))/k_sx</f>
        <v/>
      </c>
      <c r="K106">
        <f>k_eb*k_ec*EXP(k_ec*C106)/k_sx</f>
        <v/>
      </c>
      <c r="L106">
        <f>(2*k_p4_2+C106*(6*k_p4_3+12*k_p4_4*C106))/k_sx^2</f>
        <v/>
      </c>
      <c r="M106">
        <f>D106/B106</f>
        <v/>
      </c>
      <c r="N106">
        <f>E106/B106</f>
        <v/>
      </c>
      <c r="O106">
        <f>F106/B106</f>
        <v/>
      </c>
      <c r="P106">
        <f>G106/B106</f>
        <v/>
      </c>
      <c r="Q106">
        <f>CHOOSE(k_model,D106,E106,F106,G106)</f>
        <v/>
      </c>
      <c r="R106">
        <f>CHOOSE(k_model,H106,I106,J106,K106)</f>
        <v/>
      </c>
    </row>
    <row r="107">
      <c r="A107" t="n">
        <v>105</v>
      </c>
      <c r="B107">
        <f>k_lo+k_rng*A107/1000</f>
        <v/>
      </c>
      <c r="C107">
        <f>(B107-k_mx)/k_sx</f>
        <v/>
      </c>
      <c r="D107">
        <f>k_p2_0+C107*(k_p2_1+C107*k_p2_2)</f>
        <v/>
      </c>
      <c r="E107">
        <f>k_p3_0+C107*(k_p3_1+C107*(k_p3_2+C107*k_p3_3))</f>
        <v/>
      </c>
      <c r="F107">
        <f>k_p4_0+C107*(k_p4_1+C107*(k_p4_2+C107*(k_p4_3+C107*k_p4_4)))</f>
        <v/>
      </c>
      <c r="G107">
        <f>k_ea+k_eb*EXP(k_ec*C107)</f>
        <v/>
      </c>
      <c r="H107">
        <f>(k_p2_1+2*k_p2_2*C107)/k_sx</f>
        <v/>
      </c>
      <c r="I107">
        <f>(k_p3_1+C107*(2*k_p3_2+3*k_p3_3*C107))/k_sx</f>
        <v/>
      </c>
      <c r="J107">
        <f>(k_p4_1+C107*(2*k_p4_2+C107*(3*k_p4_3+4*k_p4_4*C107)))/k_sx</f>
        <v/>
      </c>
      <c r="K107">
        <f>k_eb*k_ec*EXP(k_ec*C107)/k_sx</f>
        <v/>
      </c>
      <c r="L107">
        <f>(2*k_p4_2+C107*(6*k_p4_3+12*k_p4_4*C107))/k_sx^2</f>
        <v/>
      </c>
      <c r="M107">
        <f>D107/B107</f>
        <v/>
      </c>
      <c r="N107">
        <f>E107/B107</f>
        <v/>
      </c>
      <c r="O107">
        <f>F107/B107</f>
        <v/>
      </c>
      <c r="P107">
        <f>G107/B107</f>
        <v/>
      </c>
      <c r="Q107">
        <f>CHOOSE(k_model,D107,E107,F107,G107)</f>
        <v/>
      </c>
      <c r="R107">
        <f>CHOOSE(k_model,H107,I107,J107,K107)</f>
        <v/>
      </c>
    </row>
    <row r="108">
      <c r="A108" t="n">
        <v>106</v>
      </c>
      <c r="B108">
        <f>k_lo+k_rng*A108/1000</f>
        <v/>
      </c>
      <c r="C108">
        <f>(B108-k_mx)/k_sx</f>
        <v/>
      </c>
      <c r="D108">
        <f>k_p2_0+C108*(k_p2_1+C108*k_p2_2)</f>
        <v/>
      </c>
      <c r="E108">
        <f>k_p3_0+C108*(k_p3_1+C108*(k_p3_2+C108*k_p3_3))</f>
        <v/>
      </c>
      <c r="F108">
        <f>k_p4_0+C108*(k_p4_1+C108*(k_p4_2+C108*(k_p4_3+C108*k_p4_4)))</f>
        <v/>
      </c>
      <c r="G108">
        <f>k_ea+k_eb*EXP(k_ec*C108)</f>
        <v/>
      </c>
      <c r="H108">
        <f>(k_p2_1+2*k_p2_2*C108)/k_sx</f>
        <v/>
      </c>
      <c r="I108">
        <f>(k_p3_1+C108*(2*k_p3_2+3*k_p3_3*C108))/k_sx</f>
        <v/>
      </c>
      <c r="J108">
        <f>(k_p4_1+C108*(2*k_p4_2+C108*(3*k_p4_3+4*k_p4_4*C108)))/k_sx</f>
        <v/>
      </c>
      <c r="K108">
        <f>k_eb*k_ec*EXP(k_ec*C108)/k_sx</f>
        <v/>
      </c>
      <c r="L108">
        <f>(2*k_p4_2+C108*(6*k_p4_3+12*k_p4_4*C108))/k_sx^2</f>
        <v/>
      </c>
      <c r="M108">
        <f>D108/B108</f>
        <v/>
      </c>
      <c r="N108">
        <f>E108/B108</f>
        <v/>
      </c>
      <c r="O108">
        <f>F108/B108</f>
        <v/>
      </c>
      <c r="P108">
        <f>G108/B108</f>
        <v/>
      </c>
      <c r="Q108">
        <f>CHOOSE(k_model,D108,E108,F108,G108)</f>
        <v/>
      </c>
      <c r="R108">
        <f>CHOOSE(k_model,H108,I108,J108,K108)</f>
        <v/>
      </c>
    </row>
    <row r="109">
      <c r="A109" t="n">
        <v>107</v>
      </c>
      <c r="B109">
        <f>k_lo+k_rng*A109/1000</f>
        <v/>
      </c>
      <c r="C109">
        <f>(B109-k_mx)/k_sx</f>
        <v/>
      </c>
      <c r="D109">
        <f>k_p2_0+C109*(k_p2_1+C109*k_p2_2)</f>
        <v/>
      </c>
      <c r="E109">
        <f>k_p3_0+C109*(k_p3_1+C109*(k_p3_2+C109*k_p3_3))</f>
        <v/>
      </c>
      <c r="F109">
        <f>k_p4_0+C109*(k_p4_1+C109*(k_p4_2+C109*(k_p4_3+C109*k_p4_4)))</f>
        <v/>
      </c>
      <c r="G109">
        <f>k_ea+k_eb*EXP(k_ec*C109)</f>
        <v/>
      </c>
      <c r="H109">
        <f>(k_p2_1+2*k_p2_2*C109)/k_sx</f>
        <v/>
      </c>
      <c r="I109">
        <f>(k_p3_1+C109*(2*k_p3_2+3*k_p3_3*C109))/k_sx</f>
        <v/>
      </c>
      <c r="J109">
        <f>(k_p4_1+C109*(2*k_p4_2+C109*(3*k_p4_3+4*k_p4_4*C109)))/k_sx</f>
        <v/>
      </c>
      <c r="K109">
        <f>k_eb*k_ec*EXP(k_ec*C109)/k_sx</f>
        <v/>
      </c>
      <c r="L109">
        <f>(2*k_p4_2+C109*(6*k_p4_3+12*k_p4_4*C109))/k_sx^2</f>
        <v/>
      </c>
      <c r="M109">
        <f>D109/B109</f>
        <v/>
      </c>
      <c r="N109">
        <f>E109/B109</f>
        <v/>
      </c>
      <c r="O109">
        <f>F109/B109</f>
        <v/>
      </c>
      <c r="P109">
        <f>G109/B109</f>
        <v/>
      </c>
      <c r="Q109">
        <f>CHOOSE(k_model,D109,E109,F109,G109)</f>
        <v/>
      </c>
      <c r="R109">
        <f>CHOOSE(k_model,H109,I109,J109,K109)</f>
        <v/>
      </c>
    </row>
    <row r="110">
      <c r="A110" t="n">
        <v>108</v>
      </c>
      <c r="B110">
        <f>k_lo+k_rng*A110/1000</f>
        <v/>
      </c>
      <c r="C110">
        <f>(B110-k_mx)/k_sx</f>
        <v/>
      </c>
      <c r="D110">
        <f>k_p2_0+C110*(k_p2_1+C110*k_p2_2)</f>
        <v/>
      </c>
      <c r="E110">
        <f>k_p3_0+C110*(k_p3_1+C110*(k_p3_2+C110*k_p3_3))</f>
        <v/>
      </c>
      <c r="F110">
        <f>k_p4_0+C110*(k_p4_1+C110*(k_p4_2+C110*(k_p4_3+C110*k_p4_4)))</f>
        <v/>
      </c>
      <c r="G110">
        <f>k_ea+k_eb*EXP(k_ec*C110)</f>
        <v/>
      </c>
      <c r="H110">
        <f>(k_p2_1+2*k_p2_2*C110)/k_sx</f>
        <v/>
      </c>
      <c r="I110">
        <f>(k_p3_1+C110*(2*k_p3_2+3*k_p3_3*C110))/k_sx</f>
        <v/>
      </c>
      <c r="J110">
        <f>(k_p4_1+C110*(2*k_p4_2+C110*(3*k_p4_3+4*k_p4_4*C110)))/k_sx</f>
        <v/>
      </c>
      <c r="K110">
        <f>k_eb*k_ec*EXP(k_ec*C110)/k_sx</f>
        <v/>
      </c>
      <c r="L110">
        <f>(2*k_p4_2+C110*(6*k_p4_3+12*k_p4_4*C110))/k_sx^2</f>
        <v/>
      </c>
      <c r="M110">
        <f>D110/B110</f>
        <v/>
      </c>
      <c r="N110">
        <f>E110/B110</f>
        <v/>
      </c>
      <c r="O110">
        <f>F110/B110</f>
        <v/>
      </c>
      <c r="P110">
        <f>G110/B110</f>
        <v/>
      </c>
      <c r="Q110">
        <f>CHOOSE(k_model,D110,E110,F110,G110)</f>
        <v/>
      </c>
      <c r="R110">
        <f>CHOOSE(k_model,H110,I110,J110,K110)</f>
        <v/>
      </c>
    </row>
    <row r="111">
      <c r="A111" t="n">
        <v>109</v>
      </c>
      <c r="B111">
        <f>k_lo+k_rng*A111/1000</f>
        <v/>
      </c>
      <c r="C111">
        <f>(B111-k_mx)/k_sx</f>
        <v/>
      </c>
      <c r="D111">
        <f>k_p2_0+C111*(k_p2_1+C111*k_p2_2)</f>
        <v/>
      </c>
      <c r="E111">
        <f>k_p3_0+C111*(k_p3_1+C111*(k_p3_2+C111*k_p3_3))</f>
        <v/>
      </c>
      <c r="F111">
        <f>k_p4_0+C111*(k_p4_1+C111*(k_p4_2+C111*(k_p4_3+C111*k_p4_4)))</f>
        <v/>
      </c>
      <c r="G111">
        <f>k_ea+k_eb*EXP(k_ec*C111)</f>
        <v/>
      </c>
      <c r="H111">
        <f>(k_p2_1+2*k_p2_2*C111)/k_sx</f>
        <v/>
      </c>
      <c r="I111">
        <f>(k_p3_1+C111*(2*k_p3_2+3*k_p3_3*C111))/k_sx</f>
        <v/>
      </c>
      <c r="J111">
        <f>(k_p4_1+C111*(2*k_p4_2+C111*(3*k_p4_3+4*k_p4_4*C111)))/k_sx</f>
        <v/>
      </c>
      <c r="K111">
        <f>k_eb*k_ec*EXP(k_ec*C111)/k_sx</f>
        <v/>
      </c>
      <c r="L111">
        <f>(2*k_p4_2+C111*(6*k_p4_3+12*k_p4_4*C111))/k_sx^2</f>
        <v/>
      </c>
      <c r="M111">
        <f>D111/B111</f>
        <v/>
      </c>
      <c r="N111">
        <f>E111/B111</f>
        <v/>
      </c>
      <c r="O111">
        <f>F111/B111</f>
        <v/>
      </c>
      <c r="P111">
        <f>G111/B111</f>
        <v/>
      </c>
      <c r="Q111">
        <f>CHOOSE(k_model,D111,E111,F111,G111)</f>
        <v/>
      </c>
      <c r="R111">
        <f>CHOOSE(k_model,H111,I111,J111,K111)</f>
        <v/>
      </c>
    </row>
    <row r="112">
      <c r="A112" t="n">
        <v>110</v>
      </c>
      <c r="B112">
        <f>k_lo+k_rng*A112/1000</f>
        <v/>
      </c>
      <c r="C112">
        <f>(B112-k_mx)/k_sx</f>
        <v/>
      </c>
      <c r="D112">
        <f>k_p2_0+C112*(k_p2_1+C112*k_p2_2)</f>
        <v/>
      </c>
      <c r="E112">
        <f>k_p3_0+C112*(k_p3_1+C112*(k_p3_2+C112*k_p3_3))</f>
        <v/>
      </c>
      <c r="F112">
        <f>k_p4_0+C112*(k_p4_1+C112*(k_p4_2+C112*(k_p4_3+C112*k_p4_4)))</f>
        <v/>
      </c>
      <c r="G112">
        <f>k_ea+k_eb*EXP(k_ec*C112)</f>
        <v/>
      </c>
      <c r="H112">
        <f>(k_p2_1+2*k_p2_2*C112)/k_sx</f>
        <v/>
      </c>
      <c r="I112">
        <f>(k_p3_1+C112*(2*k_p3_2+3*k_p3_3*C112))/k_sx</f>
        <v/>
      </c>
      <c r="J112">
        <f>(k_p4_1+C112*(2*k_p4_2+C112*(3*k_p4_3+4*k_p4_4*C112)))/k_sx</f>
        <v/>
      </c>
      <c r="K112">
        <f>k_eb*k_ec*EXP(k_ec*C112)/k_sx</f>
        <v/>
      </c>
      <c r="L112">
        <f>(2*k_p4_2+C112*(6*k_p4_3+12*k_p4_4*C112))/k_sx^2</f>
        <v/>
      </c>
      <c r="M112">
        <f>D112/B112</f>
        <v/>
      </c>
      <c r="N112">
        <f>E112/B112</f>
        <v/>
      </c>
      <c r="O112">
        <f>F112/B112</f>
        <v/>
      </c>
      <c r="P112">
        <f>G112/B112</f>
        <v/>
      </c>
      <c r="Q112">
        <f>CHOOSE(k_model,D112,E112,F112,G112)</f>
        <v/>
      </c>
      <c r="R112">
        <f>CHOOSE(k_model,H112,I112,J112,K112)</f>
        <v/>
      </c>
    </row>
    <row r="113">
      <c r="A113" t="n">
        <v>111</v>
      </c>
      <c r="B113">
        <f>k_lo+k_rng*A113/1000</f>
        <v/>
      </c>
      <c r="C113">
        <f>(B113-k_mx)/k_sx</f>
        <v/>
      </c>
      <c r="D113">
        <f>k_p2_0+C113*(k_p2_1+C113*k_p2_2)</f>
        <v/>
      </c>
      <c r="E113">
        <f>k_p3_0+C113*(k_p3_1+C113*(k_p3_2+C113*k_p3_3))</f>
        <v/>
      </c>
      <c r="F113">
        <f>k_p4_0+C113*(k_p4_1+C113*(k_p4_2+C113*(k_p4_3+C113*k_p4_4)))</f>
        <v/>
      </c>
      <c r="G113">
        <f>k_ea+k_eb*EXP(k_ec*C113)</f>
        <v/>
      </c>
      <c r="H113">
        <f>(k_p2_1+2*k_p2_2*C113)/k_sx</f>
        <v/>
      </c>
      <c r="I113">
        <f>(k_p3_1+C113*(2*k_p3_2+3*k_p3_3*C113))/k_sx</f>
        <v/>
      </c>
      <c r="J113">
        <f>(k_p4_1+C113*(2*k_p4_2+C113*(3*k_p4_3+4*k_p4_4*C113)))/k_sx</f>
        <v/>
      </c>
      <c r="K113">
        <f>k_eb*k_ec*EXP(k_ec*C113)/k_sx</f>
        <v/>
      </c>
      <c r="L113">
        <f>(2*k_p4_2+C113*(6*k_p4_3+12*k_p4_4*C113))/k_sx^2</f>
        <v/>
      </c>
      <c r="M113">
        <f>D113/B113</f>
        <v/>
      </c>
      <c r="N113">
        <f>E113/B113</f>
        <v/>
      </c>
      <c r="O113">
        <f>F113/B113</f>
        <v/>
      </c>
      <c r="P113">
        <f>G113/B113</f>
        <v/>
      </c>
      <c r="Q113">
        <f>CHOOSE(k_model,D113,E113,F113,G113)</f>
        <v/>
      </c>
      <c r="R113">
        <f>CHOOSE(k_model,H113,I113,J113,K113)</f>
        <v/>
      </c>
    </row>
    <row r="114">
      <c r="A114" t="n">
        <v>112</v>
      </c>
      <c r="B114">
        <f>k_lo+k_rng*A114/1000</f>
        <v/>
      </c>
      <c r="C114">
        <f>(B114-k_mx)/k_sx</f>
        <v/>
      </c>
      <c r="D114">
        <f>k_p2_0+C114*(k_p2_1+C114*k_p2_2)</f>
        <v/>
      </c>
      <c r="E114">
        <f>k_p3_0+C114*(k_p3_1+C114*(k_p3_2+C114*k_p3_3))</f>
        <v/>
      </c>
      <c r="F114">
        <f>k_p4_0+C114*(k_p4_1+C114*(k_p4_2+C114*(k_p4_3+C114*k_p4_4)))</f>
        <v/>
      </c>
      <c r="G114">
        <f>k_ea+k_eb*EXP(k_ec*C114)</f>
        <v/>
      </c>
      <c r="H114">
        <f>(k_p2_1+2*k_p2_2*C114)/k_sx</f>
        <v/>
      </c>
      <c r="I114">
        <f>(k_p3_1+C114*(2*k_p3_2+3*k_p3_3*C114))/k_sx</f>
        <v/>
      </c>
      <c r="J114">
        <f>(k_p4_1+C114*(2*k_p4_2+C114*(3*k_p4_3+4*k_p4_4*C114)))/k_sx</f>
        <v/>
      </c>
      <c r="K114">
        <f>k_eb*k_ec*EXP(k_ec*C114)/k_sx</f>
        <v/>
      </c>
      <c r="L114">
        <f>(2*k_p4_2+C114*(6*k_p4_3+12*k_p4_4*C114))/k_sx^2</f>
        <v/>
      </c>
      <c r="M114">
        <f>D114/B114</f>
        <v/>
      </c>
      <c r="N114">
        <f>E114/B114</f>
        <v/>
      </c>
      <c r="O114">
        <f>F114/B114</f>
        <v/>
      </c>
      <c r="P114">
        <f>G114/B114</f>
        <v/>
      </c>
      <c r="Q114">
        <f>CHOOSE(k_model,D114,E114,F114,G114)</f>
        <v/>
      </c>
      <c r="R114">
        <f>CHOOSE(k_model,H114,I114,J114,K114)</f>
        <v/>
      </c>
    </row>
    <row r="115">
      <c r="A115" t="n">
        <v>113</v>
      </c>
      <c r="B115">
        <f>k_lo+k_rng*A115/1000</f>
        <v/>
      </c>
      <c r="C115">
        <f>(B115-k_mx)/k_sx</f>
        <v/>
      </c>
      <c r="D115">
        <f>k_p2_0+C115*(k_p2_1+C115*k_p2_2)</f>
        <v/>
      </c>
      <c r="E115">
        <f>k_p3_0+C115*(k_p3_1+C115*(k_p3_2+C115*k_p3_3))</f>
        <v/>
      </c>
      <c r="F115">
        <f>k_p4_0+C115*(k_p4_1+C115*(k_p4_2+C115*(k_p4_3+C115*k_p4_4)))</f>
        <v/>
      </c>
      <c r="G115">
        <f>k_ea+k_eb*EXP(k_ec*C115)</f>
        <v/>
      </c>
      <c r="H115">
        <f>(k_p2_1+2*k_p2_2*C115)/k_sx</f>
        <v/>
      </c>
      <c r="I115">
        <f>(k_p3_1+C115*(2*k_p3_2+3*k_p3_3*C115))/k_sx</f>
        <v/>
      </c>
      <c r="J115">
        <f>(k_p4_1+C115*(2*k_p4_2+C115*(3*k_p4_3+4*k_p4_4*C115)))/k_sx</f>
        <v/>
      </c>
      <c r="K115">
        <f>k_eb*k_ec*EXP(k_ec*C115)/k_sx</f>
        <v/>
      </c>
      <c r="L115">
        <f>(2*k_p4_2+C115*(6*k_p4_3+12*k_p4_4*C115))/k_sx^2</f>
        <v/>
      </c>
      <c r="M115">
        <f>D115/B115</f>
        <v/>
      </c>
      <c r="N115">
        <f>E115/B115</f>
        <v/>
      </c>
      <c r="O115">
        <f>F115/B115</f>
        <v/>
      </c>
      <c r="P115">
        <f>G115/B115</f>
        <v/>
      </c>
      <c r="Q115">
        <f>CHOOSE(k_model,D115,E115,F115,G115)</f>
        <v/>
      </c>
      <c r="R115">
        <f>CHOOSE(k_model,H115,I115,J115,K115)</f>
        <v/>
      </c>
    </row>
    <row r="116">
      <c r="A116" t="n">
        <v>114</v>
      </c>
      <c r="B116">
        <f>k_lo+k_rng*A116/1000</f>
        <v/>
      </c>
      <c r="C116">
        <f>(B116-k_mx)/k_sx</f>
        <v/>
      </c>
      <c r="D116">
        <f>k_p2_0+C116*(k_p2_1+C116*k_p2_2)</f>
        <v/>
      </c>
      <c r="E116">
        <f>k_p3_0+C116*(k_p3_1+C116*(k_p3_2+C116*k_p3_3))</f>
        <v/>
      </c>
      <c r="F116">
        <f>k_p4_0+C116*(k_p4_1+C116*(k_p4_2+C116*(k_p4_3+C116*k_p4_4)))</f>
        <v/>
      </c>
      <c r="G116">
        <f>k_ea+k_eb*EXP(k_ec*C116)</f>
        <v/>
      </c>
      <c r="H116">
        <f>(k_p2_1+2*k_p2_2*C116)/k_sx</f>
        <v/>
      </c>
      <c r="I116">
        <f>(k_p3_1+C116*(2*k_p3_2+3*k_p3_3*C116))/k_sx</f>
        <v/>
      </c>
      <c r="J116">
        <f>(k_p4_1+C116*(2*k_p4_2+C116*(3*k_p4_3+4*k_p4_4*C116)))/k_sx</f>
        <v/>
      </c>
      <c r="K116">
        <f>k_eb*k_ec*EXP(k_ec*C116)/k_sx</f>
        <v/>
      </c>
      <c r="L116">
        <f>(2*k_p4_2+C116*(6*k_p4_3+12*k_p4_4*C116))/k_sx^2</f>
        <v/>
      </c>
      <c r="M116">
        <f>D116/B116</f>
        <v/>
      </c>
      <c r="N116">
        <f>E116/B116</f>
        <v/>
      </c>
      <c r="O116">
        <f>F116/B116</f>
        <v/>
      </c>
      <c r="P116">
        <f>G116/B116</f>
        <v/>
      </c>
      <c r="Q116">
        <f>CHOOSE(k_model,D116,E116,F116,G116)</f>
        <v/>
      </c>
      <c r="R116">
        <f>CHOOSE(k_model,H116,I116,J116,K116)</f>
        <v/>
      </c>
    </row>
    <row r="117">
      <c r="A117" t="n">
        <v>115</v>
      </c>
      <c r="B117">
        <f>k_lo+k_rng*A117/1000</f>
        <v/>
      </c>
      <c r="C117">
        <f>(B117-k_mx)/k_sx</f>
        <v/>
      </c>
      <c r="D117">
        <f>k_p2_0+C117*(k_p2_1+C117*k_p2_2)</f>
        <v/>
      </c>
      <c r="E117">
        <f>k_p3_0+C117*(k_p3_1+C117*(k_p3_2+C117*k_p3_3))</f>
        <v/>
      </c>
      <c r="F117">
        <f>k_p4_0+C117*(k_p4_1+C117*(k_p4_2+C117*(k_p4_3+C117*k_p4_4)))</f>
        <v/>
      </c>
      <c r="G117">
        <f>k_ea+k_eb*EXP(k_ec*C117)</f>
        <v/>
      </c>
      <c r="H117">
        <f>(k_p2_1+2*k_p2_2*C117)/k_sx</f>
        <v/>
      </c>
      <c r="I117">
        <f>(k_p3_1+C117*(2*k_p3_2+3*k_p3_3*C117))/k_sx</f>
        <v/>
      </c>
      <c r="J117">
        <f>(k_p4_1+C117*(2*k_p4_2+C117*(3*k_p4_3+4*k_p4_4*C117)))/k_sx</f>
        <v/>
      </c>
      <c r="K117">
        <f>k_eb*k_ec*EXP(k_ec*C117)/k_sx</f>
        <v/>
      </c>
      <c r="L117">
        <f>(2*k_p4_2+C117*(6*k_p4_3+12*k_p4_4*C117))/k_sx^2</f>
        <v/>
      </c>
      <c r="M117">
        <f>D117/B117</f>
        <v/>
      </c>
      <c r="N117">
        <f>E117/B117</f>
        <v/>
      </c>
      <c r="O117">
        <f>F117/B117</f>
        <v/>
      </c>
      <c r="P117">
        <f>G117/B117</f>
        <v/>
      </c>
      <c r="Q117">
        <f>CHOOSE(k_model,D117,E117,F117,G117)</f>
        <v/>
      </c>
      <c r="R117">
        <f>CHOOSE(k_model,H117,I117,J117,K117)</f>
        <v/>
      </c>
    </row>
    <row r="118">
      <c r="A118" t="n">
        <v>116</v>
      </c>
      <c r="B118">
        <f>k_lo+k_rng*A118/1000</f>
        <v/>
      </c>
      <c r="C118">
        <f>(B118-k_mx)/k_sx</f>
        <v/>
      </c>
      <c r="D118">
        <f>k_p2_0+C118*(k_p2_1+C118*k_p2_2)</f>
        <v/>
      </c>
      <c r="E118">
        <f>k_p3_0+C118*(k_p3_1+C118*(k_p3_2+C118*k_p3_3))</f>
        <v/>
      </c>
      <c r="F118">
        <f>k_p4_0+C118*(k_p4_1+C118*(k_p4_2+C118*(k_p4_3+C118*k_p4_4)))</f>
        <v/>
      </c>
      <c r="G118">
        <f>k_ea+k_eb*EXP(k_ec*C118)</f>
        <v/>
      </c>
      <c r="H118">
        <f>(k_p2_1+2*k_p2_2*C118)/k_sx</f>
        <v/>
      </c>
      <c r="I118">
        <f>(k_p3_1+C118*(2*k_p3_2+3*k_p3_3*C118))/k_sx</f>
        <v/>
      </c>
      <c r="J118">
        <f>(k_p4_1+C118*(2*k_p4_2+C118*(3*k_p4_3+4*k_p4_4*C118)))/k_sx</f>
        <v/>
      </c>
      <c r="K118">
        <f>k_eb*k_ec*EXP(k_ec*C118)/k_sx</f>
        <v/>
      </c>
      <c r="L118">
        <f>(2*k_p4_2+C118*(6*k_p4_3+12*k_p4_4*C118))/k_sx^2</f>
        <v/>
      </c>
      <c r="M118">
        <f>D118/B118</f>
        <v/>
      </c>
      <c r="N118">
        <f>E118/B118</f>
        <v/>
      </c>
      <c r="O118">
        <f>F118/B118</f>
        <v/>
      </c>
      <c r="P118">
        <f>G118/B118</f>
        <v/>
      </c>
      <c r="Q118">
        <f>CHOOSE(k_model,D118,E118,F118,G118)</f>
        <v/>
      </c>
      <c r="R118">
        <f>CHOOSE(k_model,H118,I118,J118,K118)</f>
        <v/>
      </c>
    </row>
    <row r="119">
      <c r="A119" t="n">
        <v>117</v>
      </c>
      <c r="B119">
        <f>k_lo+k_rng*A119/1000</f>
        <v/>
      </c>
      <c r="C119">
        <f>(B119-k_mx)/k_sx</f>
        <v/>
      </c>
      <c r="D119">
        <f>k_p2_0+C119*(k_p2_1+C119*k_p2_2)</f>
        <v/>
      </c>
      <c r="E119">
        <f>k_p3_0+C119*(k_p3_1+C119*(k_p3_2+C119*k_p3_3))</f>
        <v/>
      </c>
      <c r="F119">
        <f>k_p4_0+C119*(k_p4_1+C119*(k_p4_2+C119*(k_p4_3+C119*k_p4_4)))</f>
        <v/>
      </c>
      <c r="G119">
        <f>k_ea+k_eb*EXP(k_ec*C119)</f>
        <v/>
      </c>
      <c r="H119">
        <f>(k_p2_1+2*k_p2_2*C119)/k_sx</f>
        <v/>
      </c>
      <c r="I119">
        <f>(k_p3_1+C119*(2*k_p3_2+3*k_p3_3*C119))/k_sx</f>
        <v/>
      </c>
      <c r="J119">
        <f>(k_p4_1+C119*(2*k_p4_2+C119*(3*k_p4_3+4*k_p4_4*C119)))/k_sx</f>
        <v/>
      </c>
      <c r="K119">
        <f>k_eb*k_ec*EXP(k_ec*C119)/k_sx</f>
        <v/>
      </c>
      <c r="L119">
        <f>(2*k_p4_2+C119*(6*k_p4_3+12*k_p4_4*C119))/k_sx^2</f>
        <v/>
      </c>
      <c r="M119">
        <f>D119/B119</f>
        <v/>
      </c>
      <c r="N119">
        <f>E119/B119</f>
        <v/>
      </c>
      <c r="O119">
        <f>F119/B119</f>
        <v/>
      </c>
      <c r="P119">
        <f>G119/B119</f>
        <v/>
      </c>
      <c r="Q119">
        <f>CHOOSE(k_model,D119,E119,F119,G119)</f>
        <v/>
      </c>
      <c r="R119">
        <f>CHOOSE(k_model,H119,I119,J119,K119)</f>
        <v/>
      </c>
    </row>
    <row r="120">
      <c r="A120" t="n">
        <v>118</v>
      </c>
      <c r="B120">
        <f>k_lo+k_rng*A120/1000</f>
        <v/>
      </c>
      <c r="C120">
        <f>(B120-k_mx)/k_sx</f>
        <v/>
      </c>
      <c r="D120">
        <f>k_p2_0+C120*(k_p2_1+C120*k_p2_2)</f>
        <v/>
      </c>
      <c r="E120">
        <f>k_p3_0+C120*(k_p3_1+C120*(k_p3_2+C120*k_p3_3))</f>
        <v/>
      </c>
      <c r="F120">
        <f>k_p4_0+C120*(k_p4_1+C120*(k_p4_2+C120*(k_p4_3+C120*k_p4_4)))</f>
        <v/>
      </c>
      <c r="G120">
        <f>k_ea+k_eb*EXP(k_ec*C120)</f>
        <v/>
      </c>
      <c r="H120">
        <f>(k_p2_1+2*k_p2_2*C120)/k_sx</f>
        <v/>
      </c>
      <c r="I120">
        <f>(k_p3_1+C120*(2*k_p3_2+3*k_p3_3*C120))/k_sx</f>
        <v/>
      </c>
      <c r="J120">
        <f>(k_p4_1+C120*(2*k_p4_2+C120*(3*k_p4_3+4*k_p4_4*C120)))/k_sx</f>
        <v/>
      </c>
      <c r="K120">
        <f>k_eb*k_ec*EXP(k_ec*C120)/k_sx</f>
        <v/>
      </c>
      <c r="L120">
        <f>(2*k_p4_2+C120*(6*k_p4_3+12*k_p4_4*C120))/k_sx^2</f>
        <v/>
      </c>
      <c r="M120">
        <f>D120/B120</f>
        <v/>
      </c>
      <c r="N120">
        <f>E120/B120</f>
        <v/>
      </c>
      <c r="O120">
        <f>F120/B120</f>
        <v/>
      </c>
      <c r="P120">
        <f>G120/B120</f>
        <v/>
      </c>
      <c r="Q120">
        <f>CHOOSE(k_model,D120,E120,F120,G120)</f>
        <v/>
      </c>
      <c r="R120">
        <f>CHOOSE(k_model,H120,I120,J120,K120)</f>
        <v/>
      </c>
    </row>
    <row r="121">
      <c r="A121" t="n">
        <v>119</v>
      </c>
      <c r="B121">
        <f>k_lo+k_rng*A121/1000</f>
        <v/>
      </c>
      <c r="C121">
        <f>(B121-k_mx)/k_sx</f>
        <v/>
      </c>
      <c r="D121">
        <f>k_p2_0+C121*(k_p2_1+C121*k_p2_2)</f>
        <v/>
      </c>
      <c r="E121">
        <f>k_p3_0+C121*(k_p3_1+C121*(k_p3_2+C121*k_p3_3))</f>
        <v/>
      </c>
      <c r="F121">
        <f>k_p4_0+C121*(k_p4_1+C121*(k_p4_2+C121*(k_p4_3+C121*k_p4_4)))</f>
        <v/>
      </c>
      <c r="G121">
        <f>k_ea+k_eb*EXP(k_ec*C121)</f>
        <v/>
      </c>
      <c r="H121">
        <f>(k_p2_1+2*k_p2_2*C121)/k_sx</f>
        <v/>
      </c>
      <c r="I121">
        <f>(k_p3_1+C121*(2*k_p3_2+3*k_p3_3*C121))/k_sx</f>
        <v/>
      </c>
      <c r="J121">
        <f>(k_p4_1+C121*(2*k_p4_2+C121*(3*k_p4_3+4*k_p4_4*C121)))/k_sx</f>
        <v/>
      </c>
      <c r="K121">
        <f>k_eb*k_ec*EXP(k_ec*C121)/k_sx</f>
        <v/>
      </c>
      <c r="L121">
        <f>(2*k_p4_2+C121*(6*k_p4_3+12*k_p4_4*C121))/k_sx^2</f>
        <v/>
      </c>
      <c r="M121">
        <f>D121/B121</f>
        <v/>
      </c>
      <c r="N121">
        <f>E121/B121</f>
        <v/>
      </c>
      <c r="O121">
        <f>F121/B121</f>
        <v/>
      </c>
      <c r="P121">
        <f>G121/B121</f>
        <v/>
      </c>
      <c r="Q121">
        <f>CHOOSE(k_model,D121,E121,F121,G121)</f>
        <v/>
      </c>
      <c r="R121">
        <f>CHOOSE(k_model,H121,I121,J121,K121)</f>
        <v/>
      </c>
    </row>
    <row r="122">
      <c r="A122" t="n">
        <v>120</v>
      </c>
      <c r="B122">
        <f>k_lo+k_rng*A122/1000</f>
        <v/>
      </c>
      <c r="C122">
        <f>(B122-k_mx)/k_sx</f>
        <v/>
      </c>
      <c r="D122">
        <f>k_p2_0+C122*(k_p2_1+C122*k_p2_2)</f>
        <v/>
      </c>
      <c r="E122">
        <f>k_p3_0+C122*(k_p3_1+C122*(k_p3_2+C122*k_p3_3))</f>
        <v/>
      </c>
      <c r="F122">
        <f>k_p4_0+C122*(k_p4_1+C122*(k_p4_2+C122*(k_p4_3+C122*k_p4_4)))</f>
        <v/>
      </c>
      <c r="G122">
        <f>k_ea+k_eb*EXP(k_ec*C122)</f>
        <v/>
      </c>
      <c r="H122">
        <f>(k_p2_1+2*k_p2_2*C122)/k_sx</f>
        <v/>
      </c>
      <c r="I122">
        <f>(k_p3_1+C122*(2*k_p3_2+3*k_p3_3*C122))/k_sx</f>
        <v/>
      </c>
      <c r="J122">
        <f>(k_p4_1+C122*(2*k_p4_2+C122*(3*k_p4_3+4*k_p4_4*C122)))/k_sx</f>
        <v/>
      </c>
      <c r="K122">
        <f>k_eb*k_ec*EXP(k_ec*C122)/k_sx</f>
        <v/>
      </c>
      <c r="L122">
        <f>(2*k_p4_2+C122*(6*k_p4_3+12*k_p4_4*C122))/k_sx^2</f>
        <v/>
      </c>
      <c r="M122">
        <f>D122/B122</f>
        <v/>
      </c>
      <c r="N122">
        <f>E122/B122</f>
        <v/>
      </c>
      <c r="O122">
        <f>F122/B122</f>
        <v/>
      </c>
      <c r="P122">
        <f>G122/B122</f>
        <v/>
      </c>
      <c r="Q122">
        <f>CHOOSE(k_model,D122,E122,F122,G122)</f>
        <v/>
      </c>
      <c r="R122">
        <f>CHOOSE(k_model,H122,I122,J122,K122)</f>
        <v/>
      </c>
    </row>
    <row r="123">
      <c r="A123" t="n">
        <v>121</v>
      </c>
      <c r="B123">
        <f>k_lo+k_rng*A123/1000</f>
        <v/>
      </c>
      <c r="C123">
        <f>(B123-k_mx)/k_sx</f>
        <v/>
      </c>
      <c r="D123">
        <f>k_p2_0+C123*(k_p2_1+C123*k_p2_2)</f>
        <v/>
      </c>
      <c r="E123">
        <f>k_p3_0+C123*(k_p3_1+C123*(k_p3_2+C123*k_p3_3))</f>
        <v/>
      </c>
      <c r="F123">
        <f>k_p4_0+C123*(k_p4_1+C123*(k_p4_2+C123*(k_p4_3+C123*k_p4_4)))</f>
        <v/>
      </c>
      <c r="G123">
        <f>k_ea+k_eb*EXP(k_ec*C123)</f>
        <v/>
      </c>
      <c r="H123">
        <f>(k_p2_1+2*k_p2_2*C123)/k_sx</f>
        <v/>
      </c>
      <c r="I123">
        <f>(k_p3_1+C123*(2*k_p3_2+3*k_p3_3*C123))/k_sx</f>
        <v/>
      </c>
      <c r="J123">
        <f>(k_p4_1+C123*(2*k_p4_2+C123*(3*k_p4_3+4*k_p4_4*C123)))/k_sx</f>
        <v/>
      </c>
      <c r="K123">
        <f>k_eb*k_ec*EXP(k_ec*C123)/k_sx</f>
        <v/>
      </c>
      <c r="L123">
        <f>(2*k_p4_2+C123*(6*k_p4_3+12*k_p4_4*C123))/k_sx^2</f>
        <v/>
      </c>
      <c r="M123">
        <f>D123/B123</f>
        <v/>
      </c>
      <c r="N123">
        <f>E123/B123</f>
        <v/>
      </c>
      <c r="O123">
        <f>F123/B123</f>
        <v/>
      </c>
      <c r="P123">
        <f>G123/B123</f>
        <v/>
      </c>
      <c r="Q123">
        <f>CHOOSE(k_model,D123,E123,F123,G123)</f>
        <v/>
      </c>
      <c r="R123">
        <f>CHOOSE(k_model,H123,I123,J123,K123)</f>
        <v/>
      </c>
    </row>
    <row r="124">
      <c r="A124" t="n">
        <v>122</v>
      </c>
      <c r="B124">
        <f>k_lo+k_rng*A124/1000</f>
        <v/>
      </c>
      <c r="C124">
        <f>(B124-k_mx)/k_sx</f>
        <v/>
      </c>
      <c r="D124">
        <f>k_p2_0+C124*(k_p2_1+C124*k_p2_2)</f>
        <v/>
      </c>
      <c r="E124">
        <f>k_p3_0+C124*(k_p3_1+C124*(k_p3_2+C124*k_p3_3))</f>
        <v/>
      </c>
      <c r="F124">
        <f>k_p4_0+C124*(k_p4_1+C124*(k_p4_2+C124*(k_p4_3+C124*k_p4_4)))</f>
        <v/>
      </c>
      <c r="G124">
        <f>k_ea+k_eb*EXP(k_ec*C124)</f>
        <v/>
      </c>
      <c r="H124">
        <f>(k_p2_1+2*k_p2_2*C124)/k_sx</f>
        <v/>
      </c>
      <c r="I124">
        <f>(k_p3_1+C124*(2*k_p3_2+3*k_p3_3*C124))/k_sx</f>
        <v/>
      </c>
      <c r="J124">
        <f>(k_p4_1+C124*(2*k_p4_2+C124*(3*k_p4_3+4*k_p4_4*C124)))/k_sx</f>
        <v/>
      </c>
      <c r="K124">
        <f>k_eb*k_ec*EXP(k_ec*C124)/k_sx</f>
        <v/>
      </c>
      <c r="L124">
        <f>(2*k_p4_2+C124*(6*k_p4_3+12*k_p4_4*C124))/k_sx^2</f>
        <v/>
      </c>
      <c r="M124">
        <f>D124/B124</f>
        <v/>
      </c>
      <c r="N124">
        <f>E124/B124</f>
        <v/>
      </c>
      <c r="O124">
        <f>F124/B124</f>
        <v/>
      </c>
      <c r="P124">
        <f>G124/B124</f>
        <v/>
      </c>
      <c r="Q124">
        <f>CHOOSE(k_model,D124,E124,F124,G124)</f>
        <v/>
      </c>
      <c r="R124">
        <f>CHOOSE(k_model,H124,I124,J124,K124)</f>
        <v/>
      </c>
    </row>
    <row r="125">
      <c r="A125" t="n">
        <v>123</v>
      </c>
      <c r="B125">
        <f>k_lo+k_rng*A125/1000</f>
        <v/>
      </c>
      <c r="C125">
        <f>(B125-k_mx)/k_sx</f>
        <v/>
      </c>
      <c r="D125">
        <f>k_p2_0+C125*(k_p2_1+C125*k_p2_2)</f>
        <v/>
      </c>
      <c r="E125">
        <f>k_p3_0+C125*(k_p3_1+C125*(k_p3_2+C125*k_p3_3))</f>
        <v/>
      </c>
      <c r="F125">
        <f>k_p4_0+C125*(k_p4_1+C125*(k_p4_2+C125*(k_p4_3+C125*k_p4_4)))</f>
        <v/>
      </c>
      <c r="G125">
        <f>k_ea+k_eb*EXP(k_ec*C125)</f>
        <v/>
      </c>
      <c r="H125">
        <f>(k_p2_1+2*k_p2_2*C125)/k_sx</f>
        <v/>
      </c>
      <c r="I125">
        <f>(k_p3_1+C125*(2*k_p3_2+3*k_p3_3*C125))/k_sx</f>
        <v/>
      </c>
      <c r="J125">
        <f>(k_p4_1+C125*(2*k_p4_2+C125*(3*k_p4_3+4*k_p4_4*C125)))/k_sx</f>
        <v/>
      </c>
      <c r="K125">
        <f>k_eb*k_ec*EXP(k_ec*C125)/k_sx</f>
        <v/>
      </c>
      <c r="L125">
        <f>(2*k_p4_2+C125*(6*k_p4_3+12*k_p4_4*C125))/k_sx^2</f>
        <v/>
      </c>
      <c r="M125">
        <f>D125/B125</f>
        <v/>
      </c>
      <c r="N125">
        <f>E125/B125</f>
        <v/>
      </c>
      <c r="O125">
        <f>F125/B125</f>
        <v/>
      </c>
      <c r="P125">
        <f>G125/B125</f>
        <v/>
      </c>
      <c r="Q125">
        <f>CHOOSE(k_model,D125,E125,F125,G125)</f>
        <v/>
      </c>
      <c r="R125">
        <f>CHOOSE(k_model,H125,I125,J125,K125)</f>
        <v/>
      </c>
    </row>
    <row r="126">
      <c r="A126" t="n">
        <v>124</v>
      </c>
      <c r="B126">
        <f>k_lo+k_rng*A126/1000</f>
        <v/>
      </c>
      <c r="C126">
        <f>(B126-k_mx)/k_sx</f>
        <v/>
      </c>
      <c r="D126">
        <f>k_p2_0+C126*(k_p2_1+C126*k_p2_2)</f>
        <v/>
      </c>
      <c r="E126">
        <f>k_p3_0+C126*(k_p3_1+C126*(k_p3_2+C126*k_p3_3))</f>
        <v/>
      </c>
      <c r="F126">
        <f>k_p4_0+C126*(k_p4_1+C126*(k_p4_2+C126*(k_p4_3+C126*k_p4_4)))</f>
        <v/>
      </c>
      <c r="G126">
        <f>k_ea+k_eb*EXP(k_ec*C126)</f>
        <v/>
      </c>
      <c r="H126">
        <f>(k_p2_1+2*k_p2_2*C126)/k_sx</f>
        <v/>
      </c>
      <c r="I126">
        <f>(k_p3_1+C126*(2*k_p3_2+3*k_p3_3*C126))/k_sx</f>
        <v/>
      </c>
      <c r="J126">
        <f>(k_p4_1+C126*(2*k_p4_2+C126*(3*k_p4_3+4*k_p4_4*C126)))/k_sx</f>
        <v/>
      </c>
      <c r="K126">
        <f>k_eb*k_ec*EXP(k_ec*C126)/k_sx</f>
        <v/>
      </c>
      <c r="L126">
        <f>(2*k_p4_2+C126*(6*k_p4_3+12*k_p4_4*C126))/k_sx^2</f>
        <v/>
      </c>
      <c r="M126">
        <f>D126/B126</f>
        <v/>
      </c>
      <c r="N126">
        <f>E126/B126</f>
        <v/>
      </c>
      <c r="O126">
        <f>F126/B126</f>
        <v/>
      </c>
      <c r="P126">
        <f>G126/B126</f>
        <v/>
      </c>
      <c r="Q126">
        <f>CHOOSE(k_model,D126,E126,F126,G126)</f>
        <v/>
      </c>
      <c r="R126">
        <f>CHOOSE(k_model,H126,I126,J126,K126)</f>
        <v/>
      </c>
    </row>
    <row r="127">
      <c r="A127" t="n">
        <v>125</v>
      </c>
      <c r="B127">
        <f>k_lo+k_rng*A127/1000</f>
        <v/>
      </c>
      <c r="C127">
        <f>(B127-k_mx)/k_sx</f>
        <v/>
      </c>
      <c r="D127">
        <f>k_p2_0+C127*(k_p2_1+C127*k_p2_2)</f>
        <v/>
      </c>
      <c r="E127">
        <f>k_p3_0+C127*(k_p3_1+C127*(k_p3_2+C127*k_p3_3))</f>
        <v/>
      </c>
      <c r="F127">
        <f>k_p4_0+C127*(k_p4_1+C127*(k_p4_2+C127*(k_p4_3+C127*k_p4_4)))</f>
        <v/>
      </c>
      <c r="G127">
        <f>k_ea+k_eb*EXP(k_ec*C127)</f>
        <v/>
      </c>
      <c r="H127">
        <f>(k_p2_1+2*k_p2_2*C127)/k_sx</f>
        <v/>
      </c>
      <c r="I127">
        <f>(k_p3_1+C127*(2*k_p3_2+3*k_p3_3*C127))/k_sx</f>
        <v/>
      </c>
      <c r="J127">
        <f>(k_p4_1+C127*(2*k_p4_2+C127*(3*k_p4_3+4*k_p4_4*C127)))/k_sx</f>
        <v/>
      </c>
      <c r="K127">
        <f>k_eb*k_ec*EXP(k_ec*C127)/k_sx</f>
        <v/>
      </c>
      <c r="L127">
        <f>(2*k_p4_2+C127*(6*k_p4_3+12*k_p4_4*C127))/k_sx^2</f>
        <v/>
      </c>
      <c r="M127">
        <f>D127/B127</f>
        <v/>
      </c>
      <c r="N127">
        <f>E127/B127</f>
        <v/>
      </c>
      <c r="O127">
        <f>F127/B127</f>
        <v/>
      </c>
      <c r="P127">
        <f>G127/B127</f>
        <v/>
      </c>
      <c r="Q127">
        <f>CHOOSE(k_model,D127,E127,F127,G127)</f>
        <v/>
      </c>
      <c r="R127">
        <f>CHOOSE(k_model,H127,I127,J127,K127)</f>
        <v/>
      </c>
    </row>
    <row r="128">
      <c r="A128" t="n">
        <v>126</v>
      </c>
      <c r="B128">
        <f>k_lo+k_rng*A128/1000</f>
        <v/>
      </c>
      <c r="C128">
        <f>(B128-k_mx)/k_sx</f>
        <v/>
      </c>
      <c r="D128">
        <f>k_p2_0+C128*(k_p2_1+C128*k_p2_2)</f>
        <v/>
      </c>
      <c r="E128">
        <f>k_p3_0+C128*(k_p3_1+C128*(k_p3_2+C128*k_p3_3))</f>
        <v/>
      </c>
      <c r="F128">
        <f>k_p4_0+C128*(k_p4_1+C128*(k_p4_2+C128*(k_p4_3+C128*k_p4_4)))</f>
        <v/>
      </c>
      <c r="G128">
        <f>k_ea+k_eb*EXP(k_ec*C128)</f>
        <v/>
      </c>
      <c r="H128">
        <f>(k_p2_1+2*k_p2_2*C128)/k_sx</f>
        <v/>
      </c>
      <c r="I128">
        <f>(k_p3_1+C128*(2*k_p3_2+3*k_p3_3*C128))/k_sx</f>
        <v/>
      </c>
      <c r="J128">
        <f>(k_p4_1+C128*(2*k_p4_2+C128*(3*k_p4_3+4*k_p4_4*C128)))/k_sx</f>
        <v/>
      </c>
      <c r="K128">
        <f>k_eb*k_ec*EXP(k_ec*C128)/k_sx</f>
        <v/>
      </c>
      <c r="L128">
        <f>(2*k_p4_2+C128*(6*k_p4_3+12*k_p4_4*C128))/k_sx^2</f>
        <v/>
      </c>
      <c r="M128">
        <f>D128/B128</f>
        <v/>
      </c>
      <c r="N128">
        <f>E128/B128</f>
        <v/>
      </c>
      <c r="O128">
        <f>F128/B128</f>
        <v/>
      </c>
      <c r="P128">
        <f>G128/B128</f>
        <v/>
      </c>
      <c r="Q128">
        <f>CHOOSE(k_model,D128,E128,F128,G128)</f>
        <v/>
      </c>
      <c r="R128">
        <f>CHOOSE(k_model,H128,I128,J128,K128)</f>
        <v/>
      </c>
    </row>
    <row r="129">
      <c r="A129" t="n">
        <v>127</v>
      </c>
      <c r="B129">
        <f>k_lo+k_rng*A129/1000</f>
        <v/>
      </c>
      <c r="C129">
        <f>(B129-k_mx)/k_sx</f>
        <v/>
      </c>
      <c r="D129">
        <f>k_p2_0+C129*(k_p2_1+C129*k_p2_2)</f>
        <v/>
      </c>
      <c r="E129">
        <f>k_p3_0+C129*(k_p3_1+C129*(k_p3_2+C129*k_p3_3))</f>
        <v/>
      </c>
      <c r="F129">
        <f>k_p4_0+C129*(k_p4_1+C129*(k_p4_2+C129*(k_p4_3+C129*k_p4_4)))</f>
        <v/>
      </c>
      <c r="G129">
        <f>k_ea+k_eb*EXP(k_ec*C129)</f>
        <v/>
      </c>
      <c r="H129">
        <f>(k_p2_1+2*k_p2_2*C129)/k_sx</f>
        <v/>
      </c>
      <c r="I129">
        <f>(k_p3_1+C129*(2*k_p3_2+3*k_p3_3*C129))/k_sx</f>
        <v/>
      </c>
      <c r="J129">
        <f>(k_p4_1+C129*(2*k_p4_2+C129*(3*k_p4_3+4*k_p4_4*C129)))/k_sx</f>
        <v/>
      </c>
      <c r="K129">
        <f>k_eb*k_ec*EXP(k_ec*C129)/k_sx</f>
        <v/>
      </c>
      <c r="L129">
        <f>(2*k_p4_2+C129*(6*k_p4_3+12*k_p4_4*C129))/k_sx^2</f>
        <v/>
      </c>
      <c r="M129">
        <f>D129/B129</f>
        <v/>
      </c>
      <c r="N129">
        <f>E129/B129</f>
        <v/>
      </c>
      <c r="O129">
        <f>F129/B129</f>
        <v/>
      </c>
      <c r="P129">
        <f>G129/B129</f>
        <v/>
      </c>
      <c r="Q129">
        <f>CHOOSE(k_model,D129,E129,F129,G129)</f>
        <v/>
      </c>
      <c r="R129">
        <f>CHOOSE(k_model,H129,I129,J129,K129)</f>
        <v/>
      </c>
    </row>
    <row r="130">
      <c r="A130" t="n">
        <v>128</v>
      </c>
      <c r="B130">
        <f>k_lo+k_rng*A130/1000</f>
        <v/>
      </c>
      <c r="C130">
        <f>(B130-k_mx)/k_sx</f>
        <v/>
      </c>
      <c r="D130">
        <f>k_p2_0+C130*(k_p2_1+C130*k_p2_2)</f>
        <v/>
      </c>
      <c r="E130">
        <f>k_p3_0+C130*(k_p3_1+C130*(k_p3_2+C130*k_p3_3))</f>
        <v/>
      </c>
      <c r="F130">
        <f>k_p4_0+C130*(k_p4_1+C130*(k_p4_2+C130*(k_p4_3+C130*k_p4_4)))</f>
        <v/>
      </c>
      <c r="G130">
        <f>k_ea+k_eb*EXP(k_ec*C130)</f>
        <v/>
      </c>
      <c r="H130">
        <f>(k_p2_1+2*k_p2_2*C130)/k_sx</f>
        <v/>
      </c>
      <c r="I130">
        <f>(k_p3_1+C130*(2*k_p3_2+3*k_p3_3*C130))/k_sx</f>
        <v/>
      </c>
      <c r="J130">
        <f>(k_p4_1+C130*(2*k_p4_2+C130*(3*k_p4_3+4*k_p4_4*C130)))/k_sx</f>
        <v/>
      </c>
      <c r="K130">
        <f>k_eb*k_ec*EXP(k_ec*C130)/k_sx</f>
        <v/>
      </c>
      <c r="L130">
        <f>(2*k_p4_2+C130*(6*k_p4_3+12*k_p4_4*C130))/k_sx^2</f>
        <v/>
      </c>
      <c r="M130">
        <f>D130/B130</f>
        <v/>
      </c>
      <c r="N130">
        <f>E130/B130</f>
        <v/>
      </c>
      <c r="O130">
        <f>F130/B130</f>
        <v/>
      </c>
      <c r="P130">
        <f>G130/B130</f>
        <v/>
      </c>
      <c r="Q130">
        <f>CHOOSE(k_model,D130,E130,F130,G130)</f>
        <v/>
      </c>
      <c r="R130">
        <f>CHOOSE(k_model,H130,I130,J130,K130)</f>
        <v/>
      </c>
    </row>
    <row r="131">
      <c r="A131" t="n">
        <v>129</v>
      </c>
      <c r="B131">
        <f>k_lo+k_rng*A131/1000</f>
        <v/>
      </c>
      <c r="C131">
        <f>(B131-k_mx)/k_sx</f>
        <v/>
      </c>
      <c r="D131">
        <f>k_p2_0+C131*(k_p2_1+C131*k_p2_2)</f>
        <v/>
      </c>
      <c r="E131">
        <f>k_p3_0+C131*(k_p3_1+C131*(k_p3_2+C131*k_p3_3))</f>
        <v/>
      </c>
      <c r="F131">
        <f>k_p4_0+C131*(k_p4_1+C131*(k_p4_2+C131*(k_p4_3+C131*k_p4_4)))</f>
        <v/>
      </c>
      <c r="G131">
        <f>k_ea+k_eb*EXP(k_ec*C131)</f>
        <v/>
      </c>
      <c r="H131">
        <f>(k_p2_1+2*k_p2_2*C131)/k_sx</f>
        <v/>
      </c>
      <c r="I131">
        <f>(k_p3_1+C131*(2*k_p3_2+3*k_p3_3*C131))/k_sx</f>
        <v/>
      </c>
      <c r="J131">
        <f>(k_p4_1+C131*(2*k_p4_2+C131*(3*k_p4_3+4*k_p4_4*C131)))/k_sx</f>
        <v/>
      </c>
      <c r="K131">
        <f>k_eb*k_ec*EXP(k_ec*C131)/k_sx</f>
        <v/>
      </c>
      <c r="L131">
        <f>(2*k_p4_2+C131*(6*k_p4_3+12*k_p4_4*C131))/k_sx^2</f>
        <v/>
      </c>
      <c r="M131">
        <f>D131/B131</f>
        <v/>
      </c>
      <c r="N131">
        <f>E131/B131</f>
        <v/>
      </c>
      <c r="O131">
        <f>F131/B131</f>
        <v/>
      </c>
      <c r="P131">
        <f>G131/B131</f>
        <v/>
      </c>
      <c r="Q131">
        <f>CHOOSE(k_model,D131,E131,F131,G131)</f>
        <v/>
      </c>
      <c r="R131">
        <f>CHOOSE(k_model,H131,I131,J131,K131)</f>
        <v/>
      </c>
    </row>
    <row r="132">
      <c r="A132" t="n">
        <v>130</v>
      </c>
      <c r="B132">
        <f>k_lo+k_rng*A132/1000</f>
        <v/>
      </c>
      <c r="C132">
        <f>(B132-k_mx)/k_sx</f>
        <v/>
      </c>
      <c r="D132">
        <f>k_p2_0+C132*(k_p2_1+C132*k_p2_2)</f>
        <v/>
      </c>
      <c r="E132">
        <f>k_p3_0+C132*(k_p3_1+C132*(k_p3_2+C132*k_p3_3))</f>
        <v/>
      </c>
      <c r="F132">
        <f>k_p4_0+C132*(k_p4_1+C132*(k_p4_2+C132*(k_p4_3+C132*k_p4_4)))</f>
        <v/>
      </c>
      <c r="G132">
        <f>k_ea+k_eb*EXP(k_ec*C132)</f>
        <v/>
      </c>
      <c r="H132">
        <f>(k_p2_1+2*k_p2_2*C132)/k_sx</f>
        <v/>
      </c>
      <c r="I132">
        <f>(k_p3_1+C132*(2*k_p3_2+3*k_p3_3*C132))/k_sx</f>
        <v/>
      </c>
      <c r="J132">
        <f>(k_p4_1+C132*(2*k_p4_2+C132*(3*k_p4_3+4*k_p4_4*C132)))/k_sx</f>
        <v/>
      </c>
      <c r="K132">
        <f>k_eb*k_ec*EXP(k_ec*C132)/k_sx</f>
        <v/>
      </c>
      <c r="L132">
        <f>(2*k_p4_2+C132*(6*k_p4_3+12*k_p4_4*C132))/k_sx^2</f>
        <v/>
      </c>
      <c r="M132">
        <f>D132/B132</f>
        <v/>
      </c>
      <c r="N132">
        <f>E132/B132</f>
        <v/>
      </c>
      <c r="O132">
        <f>F132/B132</f>
        <v/>
      </c>
      <c r="P132">
        <f>G132/B132</f>
        <v/>
      </c>
      <c r="Q132">
        <f>CHOOSE(k_model,D132,E132,F132,G132)</f>
        <v/>
      </c>
      <c r="R132">
        <f>CHOOSE(k_model,H132,I132,J132,K132)</f>
        <v/>
      </c>
    </row>
    <row r="133">
      <c r="A133" t="n">
        <v>131</v>
      </c>
      <c r="B133">
        <f>k_lo+k_rng*A133/1000</f>
        <v/>
      </c>
      <c r="C133">
        <f>(B133-k_mx)/k_sx</f>
        <v/>
      </c>
      <c r="D133">
        <f>k_p2_0+C133*(k_p2_1+C133*k_p2_2)</f>
        <v/>
      </c>
      <c r="E133">
        <f>k_p3_0+C133*(k_p3_1+C133*(k_p3_2+C133*k_p3_3))</f>
        <v/>
      </c>
      <c r="F133">
        <f>k_p4_0+C133*(k_p4_1+C133*(k_p4_2+C133*(k_p4_3+C133*k_p4_4)))</f>
        <v/>
      </c>
      <c r="G133">
        <f>k_ea+k_eb*EXP(k_ec*C133)</f>
        <v/>
      </c>
      <c r="H133">
        <f>(k_p2_1+2*k_p2_2*C133)/k_sx</f>
        <v/>
      </c>
      <c r="I133">
        <f>(k_p3_1+C133*(2*k_p3_2+3*k_p3_3*C133))/k_sx</f>
        <v/>
      </c>
      <c r="J133">
        <f>(k_p4_1+C133*(2*k_p4_2+C133*(3*k_p4_3+4*k_p4_4*C133)))/k_sx</f>
        <v/>
      </c>
      <c r="K133">
        <f>k_eb*k_ec*EXP(k_ec*C133)/k_sx</f>
        <v/>
      </c>
      <c r="L133">
        <f>(2*k_p4_2+C133*(6*k_p4_3+12*k_p4_4*C133))/k_sx^2</f>
        <v/>
      </c>
      <c r="M133">
        <f>D133/B133</f>
        <v/>
      </c>
      <c r="N133">
        <f>E133/B133</f>
        <v/>
      </c>
      <c r="O133">
        <f>F133/B133</f>
        <v/>
      </c>
      <c r="P133">
        <f>G133/B133</f>
        <v/>
      </c>
      <c r="Q133">
        <f>CHOOSE(k_model,D133,E133,F133,G133)</f>
        <v/>
      </c>
      <c r="R133">
        <f>CHOOSE(k_model,H133,I133,J133,K133)</f>
        <v/>
      </c>
    </row>
    <row r="134">
      <c r="A134" t="n">
        <v>132</v>
      </c>
      <c r="B134">
        <f>k_lo+k_rng*A134/1000</f>
        <v/>
      </c>
      <c r="C134">
        <f>(B134-k_mx)/k_sx</f>
        <v/>
      </c>
      <c r="D134">
        <f>k_p2_0+C134*(k_p2_1+C134*k_p2_2)</f>
        <v/>
      </c>
      <c r="E134">
        <f>k_p3_0+C134*(k_p3_1+C134*(k_p3_2+C134*k_p3_3))</f>
        <v/>
      </c>
      <c r="F134">
        <f>k_p4_0+C134*(k_p4_1+C134*(k_p4_2+C134*(k_p4_3+C134*k_p4_4)))</f>
        <v/>
      </c>
      <c r="G134">
        <f>k_ea+k_eb*EXP(k_ec*C134)</f>
        <v/>
      </c>
      <c r="H134">
        <f>(k_p2_1+2*k_p2_2*C134)/k_sx</f>
        <v/>
      </c>
      <c r="I134">
        <f>(k_p3_1+C134*(2*k_p3_2+3*k_p3_3*C134))/k_sx</f>
        <v/>
      </c>
      <c r="J134">
        <f>(k_p4_1+C134*(2*k_p4_2+C134*(3*k_p4_3+4*k_p4_4*C134)))/k_sx</f>
        <v/>
      </c>
      <c r="K134">
        <f>k_eb*k_ec*EXP(k_ec*C134)/k_sx</f>
        <v/>
      </c>
      <c r="L134">
        <f>(2*k_p4_2+C134*(6*k_p4_3+12*k_p4_4*C134))/k_sx^2</f>
        <v/>
      </c>
      <c r="M134">
        <f>D134/B134</f>
        <v/>
      </c>
      <c r="N134">
        <f>E134/B134</f>
        <v/>
      </c>
      <c r="O134">
        <f>F134/B134</f>
        <v/>
      </c>
      <c r="P134">
        <f>G134/B134</f>
        <v/>
      </c>
      <c r="Q134">
        <f>CHOOSE(k_model,D134,E134,F134,G134)</f>
        <v/>
      </c>
      <c r="R134">
        <f>CHOOSE(k_model,H134,I134,J134,K134)</f>
        <v/>
      </c>
    </row>
    <row r="135">
      <c r="A135" t="n">
        <v>133</v>
      </c>
      <c r="B135">
        <f>k_lo+k_rng*A135/1000</f>
        <v/>
      </c>
      <c r="C135">
        <f>(B135-k_mx)/k_sx</f>
        <v/>
      </c>
      <c r="D135">
        <f>k_p2_0+C135*(k_p2_1+C135*k_p2_2)</f>
        <v/>
      </c>
      <c r="E135">
        <f>k_p3_0+C135*(k_p3_1+C135*(k_p3_2+C135*k_p3_3))</f>
        <v/>
      </c>
      <c r="F135">
        <f>k_p4_0+C135*(k_p4_1+C135*(k_p4_2+C135*(k_p4_3+C135*k_p4_4)))</f>
        <v/>
      </c>
      <c r="G135">
        <f>k_ea+k_eb*EXP(k_ec*C135)</f>
        <v/>
      </c>
      <c r="H135">
        <f>(k_p2_1+2*k_p2_2*C135)/k_sx</f>
        <v/>
      </c>
      <c r="I135">
        <f>(k_p3_1+C135*(2*k_p3_2+3*k_p3_3*C135))/k_sx</f>
        <v/>
      </c>
      <c r="J135">
        <f>(k_p4_1+C135*(2*k_p4_2+C135*(3*k_p4_3+4*k_p4_4*C135)))/k_sx</f>
        <v/>
      </c>
      <c r="K135">
        <f>k_eb*k_ec*EXP(k_ec*C135)/k_sx</f>
        <v/>
      </c>
      <c r="L135">
        <f>(2*k_p4_2+C135*(6*k_p4_3+12*k_p4_4*C135))/k_sx^2</f>
        <v/>
      </c>
      <c r="M135">
        <f>D135/B135</f>
        <v/>
      </c>
      <c r="N135">
        <f>E135/B135</f>
        <v/>
      </c>
      <c r="O135">
        <f>F135/B135</f>
        <v/>
      </c>
      <c r="P135">
        <f>G135/B135</f>
        <v/>
      </c>
      <c r="Q135">
        <f>CHOOSE(k_model,D135,E135,F135,G135)</f>
        <v/>
      </c>
      <c r="R135">
        <f>CHOOSE(k_model,H135,I135,J135,K135)</f>
        <v/>
      </c>
    </row>
    <row r="136">
      <c r="A136" t="n">
        <v>134</v>
      </c>
      <c r="B136">
        <f>k_lo+k_rng*A136/1000</f>
        <v/>
      </c>
      <c r="C136">
        <f>(B136-k_mx)/k_sx</f>
        <v/>
      </c>
      <c r="D136">
        <f>k_p2_0+C136*(k_p2_1+C136*k_p2_2)</f>
        <v/>
      </c>
      <c r="E136">
        <f>k_p3_0+C136*(k_p3_1+C136*(k_p3_2+C136*k_p3_3))</f>
        <v/>
      </c>
      <c r="F136">
        <f>k_p4_0+C136*(k_p4_1+C136*(k_p4_2+C136*(k_p4_3+C136*k_p4_4)))</f>
        <v/>
      </c>
      <c r="G136">
        <f>k_ea+k_eb*EXP(k_ec*C136)</f>
        <v/>
      </c>
      <c r="H136">
        <f>(k_p2_1+2*k_p2_2*C136)/k_sx</f>
        <v/>
      </c>
      <c r="I136">
        <f>(k_p3_1+C136*(2*k_p3_2+3*k_p3_3*C136))/k_sx</f>
        <v/>
      </c>
      <c r="J136">
        <f>(k_p4_1+C136*(2*k_p4_2+C136*(3*k_p4_3+4*k_p4_4*C136)))/k_sx</f>
        <v/>
      </c>
      <c r="K136">
        <f>k_eb*k_ec*EXP(k_ec*C136)/k_sx</f>
        <v/>
      </c>
      <c r="L136">
        <f>(2*k_p4_2+C136*(6*k_p4_3+12*k_p4_4*C136))/k_sx^2</f>
        <v/>
      </c>
      <c r="M136">
        <f>D136/B136</f>
        <v/>
      </c>
      <c r="N136">
        <f>E136/B136</f>
        <v/>
      </c>
      <c r="O136">
        <f>F136/B136</f>
        <v/>
      </c>
      <c r="P136">
        <f>G136/B136</f>
        <v/>
      </c>
      <c r="Q136">
        <f>CHOOSE(k_model,D136,E136,F136,G136)</f>
        <v/>
      </c>
      <c r="R136">
        <f>CHOOSE(k_model,H136,I136,J136,K136)</f>
        <v/>
      </c>
    </row>
    <row r="137">
      <c r="A137" t="n">
        <v>135</v>
      </c>
      <c r="B137">
        <f>k_lo+k_rng*A137/1000</f>
        <v/>
      </c>
      <c r="C137">
        <f>(B137-k_mx)/k_sx</f>
        <v/>
      </c>
      <c r="D137">
        <f>k_p2_0+C137*(k_p2_1+C137*k_p2_2)</f>
        <v/>
      </c>
      <c r="E137">
        <f>k_p3_0+C137*(k_p3_1+C137*(k_p3_2+C137*k_p3_3))</f>
        <v/>
      </c>
      <c r="F137">
        <f>k_p4_0+C137*(k_p4_1+C137*(k_p4_2+C137*(k_p4_3+C137*k_p4_4)))</f>
        <v/>
      </c>
      <c r="G137">
        <f>k_ea+k_eb*EXP(k_ec*C137)</f>
        <v/>
      </c>
      <c r="H137">
        <f>(k_p2_1+2*k_p2_2*C137)/k_sx</f>
        <v/>
      </c>
      <c r="I137">
        <f>(k_p3_1+C137*(2*k_p3_2+3*k_p3_3*C137))/k_sx</f>
        <v/>
      </c>
      <c r="J137">
        <f>(k_p4_1+C137*(2*k_p4_2+C137*(3*k_p4_3+4*k_p4_4*C137)))/k_sx</f>
        <v/>
      </c>
      <c r="K137">
        <f>k_eb*k_ec*EXP(k_ec*C137)/k_sx</f>
        <v/>
      </c>
      <c r="L137">
        <f>(2*k_p4_2+C137*(6*k_p4_3+12*k_p4_4*C137))/k_sx^2</f>
        <v/>
      </c>
      <c r="M137">
        <f>D137/B137</f>
        <v/>
      </c>
      <c r="N137">
        <f>E137/B137</f>
        <v/>
      </c>
      <c r="O137">
        <f>F137/B137</f>
        <v/>
      </c>
      <c r="P137">
        <f>G137/B137</f>
        <v/>
      </c>
      <c r="Q137">
        <f>CHOOSE(k_model,D137,E137,F137,G137)</f>
        <v/>
      </c>
      <c r="R137">
        <f>CHOOSE(k_model,H137,I137,J137,K137)</f>
        <v/>
      </c>
    </row>
    <row r="138">
      <c r="A138" t="n">
        <v>136</v>
      </c>
      <c r="B138">
        <f>k_lo+k_rng*A138/1000</f>
        <v/>
      </c>
      <c r="C138">
        <f>(B138-k_mx)/k_sx</f>
        <v/>
      </c>
      <c r="D138">
        <f>k_p2_0+C138*(k_p2_1+C138*k_p2_2)</f>
        <v/>
      </c>
      <c r="E138">
        <f>k_p3_0+C138*(k_p3_1+C138*(k_p3_2+C138*k_p3_3))</f>
        <v/>
      </c>
      <c r="F138">
        <f>k_p4_0+C138*(k_p4_1+C138*(k_p4_2+C138*(k_p4_3+C138*k_p4_4)))</f>
        <v/>
      </c>
      <c r="G138">
        <f>k_ea+k_eb*EXP(k_ec*C138)</f>
        <v/>
      </c>
      <c r="H138">
        <f>(k_p2_1+2*k_p2_2*C138)/k_sx</f>
        <v/>
      </c>
      <c r="I138">
        <f>(k_p3_1+C138*(2*k_p3_2+3*k_p3_3*C138))/k_sx</f>
        <v/>
      </c>
      <c r="J138">
        <f>(k_p4_1+C138*(2*k_p4_2+C138*(3*k_p4_3+4*k_p4_4*C138)))/k_sx</f>
        <v/>
      </c>
      <c r="K138">
        <f>k_eb*k_ec*EXP(k_ec*C138)/k_sx</f>
        <v/>
      </c>
      <c r="L138">
        <f>(2*k_p4_2+C138*(6*k_p4_3+12*k_p4_4*C138))/k_sx^2</f>
        <v/>
      </c>
      <c r="M138">
        <f>D138/B138</f>
        <v/>
      </c>
      <c r="N138">
        <f>E138/B138</f>
        <v/>
      </c>
      <c r="O138">
        <f>F138/B138</f>
        <v/>
      </c>
      <c r="P138">
        <f>G138/B138</f>
        <v/>
      </c>
      <c r="Q138">
        <f>CHOOSE(k_model,D138,E138,F138,G138)</f>
        <v/>
      </c>
      <c r="R138">
        <f>CHOOSE(k_model,H138,I138,J138,K138)</f>
        <v/>
      </c>
    </row>
    <row r="139">
      <c r="A139" t="n">
        <v>137</v>
      </c>
      <c r="B139">
        <f>k_lo+k_rng*A139/1000</f>
        <v/>
      </c>
      <c r="C139">
        <f>(B139-k_mx)/k_sx</f>
        <v/>
      </c>
      <c r="D139">
        <f>k_p2_0+C139*(k_p2_1+C139*k_p2_2)</f>
        <v/>
      </c>
      <c r="E139">
        <f>k_p3_0+C139*(k_p3_1+C139*(k_p3_2+C139*k_p3_3))</f>
        <v/>
      </c>
      <c r="F139">
        <f>k_p4_0+C139*(k_p4_1+C139*(k_p4_2+C139*(k_p4_3+C139*k_p4_4)))</f>
        <v/>
      </c>
      <c r="G139">
        <f>k_ea+k_eb*EXP(k_ec*C139)</f>
        <v/>
      </c>
      <c r="H139">
        <f>(k_p2_1+2*k_p2_2*C139)/k_sx</f>
        <v/>
      </c>
      <c r="I139">
        <f>(k_p3_1+C139*(2*k_p3_2+3*k_p3_3*C139))/k_sx</f>
        <v/>
      </c>
      <c r="J139">
        <f>(k_p4_1+C139*(2*k_p4_2+C139*(3*k_p4_3+4*k_p4_4*C139)))/k_sx</f>
        <v/>
      </c>
      <c r="K139">
        <f>k_eb*k_ec*EXP(k_ec*C139)/k_sx</f>
        <v/>
      </c>
      <c r="L139">
        <f>(2*k_p4_2+C139*(6*k_p4_3+12*k_p4_4*C139))/k_sx^2</f>
        <v/>
      </c>
      <c r="M139">
        <f>D139/B139</f>
        <v/>
      </c>
      <c r="N139">
        <f>E139/B139</f>
        <v/>
      </c>
      <c r="O139">
        <f>F139/B139</f>
        <v/>
      </c>
      <c r="P139">
        <f>G139/B139</f>
        <v/>
      </c>
      <c r="Q139">
        <f>CHOOSE(k_model,D139,E139,F139,G139)</f>
        <v/>
      </c>
      <c r="R139">
        <f>CHOOSE(k_model,H139,I139,J139,K139)</f>
        <v/>
      </c>
    </row>
    <row r="140">
      <c r="A140" t="n">
        <v>138</v>
      </c>
      <c r="B140">
        <f>k_lo+k_rng*A140/1000</f>
        <v/>
      </c>
      <c r="C140">
        <f>(B140-k_mx)/k_sx</f>
        <v/>
      </c>
      <c r="D140">
        <f>k_p2_0+C140*(k_p2_1+C140*k_p2_2)</f>
        <v/>
      </c>
      <c r="E140">
        <f>k_p3_0+C140*(k_p3_1+C140*(k_p3_2+C140*k_p3_3))</f>
        <v/>
      </c>
      <c r="F140">
        <f>k_p4_0+C140*(k_p4_1+C140*(k_p4_2+C140*(k_p4_3+C140*k_p4_4)))</f>
        <v/>
      </c>
      <c r="G140">
        <f>k_ea+k_eb*EXP(k_ec*C140)</f>
        <v/>
      </c>
      <c r="H140">
        <f>(k_p2_1+2*k_p2_2*C140)/k_sx</f>
        <v/>
      </c>
      <c r="I140">
        <f>(k_p3_1+C140*(2*k_p3_2+3*k_p3_3*C140))/k_sx</f>
        <v/>
      </c>
      <c r="J140">
        <f>(k_p4_1+C140*(2*k_p4_2+C140*(3*k_p4_3+4*k_p4_4*C140)))/k_sx</f>
        <v/>
      </c>
      <c r="K140">
        <f>k_eb*k_ec*EXP(k_ec*C140)/k_sx</f>
        <v/>
      </c>
      <c r="L140">
        <f>(2*k_p4_2+C140*(6*k_p4_3+12*k_p4_4*C140))/k_sx^2</f>
        <v/>
      </c>
      <c r="M140">
        <f>D140/B140</f>
        <v/>
      </c>
      <c r="N140">
        <f>E140/B140</f>
        <v/>
      </c>
      <c r="O140">
        <f>F140/B140</f>
        <v/>
      </c>
      <c r="P140">
        <f>G140/B140</f>
        <v/>
      </c>
      <c r="Q140">
        <f>CHOOSE(k_model,D140,E140,F140,G140)</f>
        <v/>
      </c>
      <c r="R140">
        <f>CHOOSE(k_model,H140,I140,J140,K140)</f>
        <v/>
      </c>
    </row>
    <row r="141">
      <c r="A141" t="n">
        <v>139</v>
      </c>
      <c r="B141">
        <f>k_lo+k_rng*A141/1000</f>
        <v/>
      </c>
      <c r="C141">
        <f>(B141-k_mx)/k_sx</f>
        <v/>
      </c>
      <c r="D141">
        <f>k_p2_0+C141*(k_p2_1+C141*k_p2_2)</f>
        <v/>
      </c>
      <c r="E141">
        <f>k_p3_0+C141*(k_p3_1+C141*(k_p3_2+C141*k_p3_3))</f>
        <v/>
      </c>
      <c r="F141">
        <f>k_p4_0+C141*(k_p4_1+C141*(k_p4_2+C141*(k_p4_3+C141*k_p4_4)))</f>
        <v/>
      </c>
      <c r="G141">
        <f>k_ea+k_eb*EXP(k_ec*C141)</f>
        <v/>
      </c>
      <c r="H141">
        <f>(k_p2_1+2*k_p2_2*C141)/k_sx</f>
        <v/>
      </c>
      <c r="I141">
        <f>(k_p3_1+C141*(2*k_p3_2+3*k_p3_3*C141))/k_sx</f>
        <v/>
      </c>
      <c r="J141">
        <f>(k_p4_1+C141*(2*k_p4_2+C141*(3*k_p4_3+4*k_p4_4*C141)))/k_sx</f>
        <v/>
      </c>
      <c r="K141">
        <f>k_eb*k_ec*EXP(k_ec*C141)/k_sx</f>
        <v/>
      </c>
      <c r="L141">
        <f>(2*k_p4_2+C141*(6*k_p4_3+12*k_p4_4*C141))/k_sx^2</f>
        <v/>
      </c>
      <c r="M141">
        <f>D141/B141</f>
        <v/>
      </c>
      <c r="N141">
        <f>E141/B141</f>
        <v/>
      </c>
      <c r="O141">
        <f>F141/B141</f>
        <v/>
      </c>
      <c r="P141">
        <f>G141/B141</f>
        <v/>
      </c>
      <c r="Q141">
        <f>CHOOSE(k_model,D141,E141,F141,G141)</f>
        <v/>
      </c>
      <c r="R141">
        <f>CHOOSE(k_model,H141,I141,J141,K141)</f>
        <v/>
      </c>
    </row>
    <row r="142">
      <c r="A142" t="n">
        <v>140</v>
      </c>
      <c r="B142">
        <f>k_lo+k_rng*A142/1000</f>
        <v/>
      </c>
      <c r="C142">
        <f>(B142-k_mx)/k_sx</f>
        <v/>
      </c>
      <c r="D142">
        <f>k_p2_0+C142*(k_p2_1+C142*k_p2_2)</f>
        <v/>
      </c>
      <c r="E142">
        <f>k_p3_0+C142*(k_p3_1+C142*(k_p3_2+C142*k_p3_3))</f>
        <v/>
      </c>
      <c r="F142">
        <f>k_p4_0+C142*(k_p4_1+C142*(k_p4_2+C142*(k_p4_3+C142*k_p4_4)))</f>
        <v/>
      </c>
      <c r="G142">
        <f>k_ea+k_eb*EXP(k_ec*C142)</f>
        <v/>
      </c>
      <c r="H142">
        <f>(k_p2_1+2*k_p2_2*C142)/k_sx</f>
        <v/>
      </c>
      <c r="I142">
        <f>(k_p3_1+C142*(2*k_p3_2+3*k_p3_3*C142))/k_sx</f>
        <v/>
      </c>
      <c r="J142">
        <f>(k_p4_1+C142*(2*k_p4_2+C142*(3*k_p4_3+4*k_p4_4*C142)))/k_sx</f>
        <v/>
      </c>
      <c r="K142">
        <f>k_eb*k_ec*EXP(k_ec*C142)/k_sx</f>
        <v/>
      </c>
      <c r="L142">
        <f>(2*k_p4_2+C142*(6*k_p4_3+12*k_p4_4*C142))/k_sx^2</f>
        <v/>
      </c>
      <c r="M142">
        <f>D142/B142</f>
        <v/>
      </c>
      <c r="N142">
        <f>E142/B142</f>
        <v/>
      </c>
      <c r="O142">
        <f>F142/B142</f>
        <v/>
      </c>
      <c r="P142">
        <f>G142/B142</f>
        <v/>
      </c>
      <c r="Q142">
        <f>CHOOSE(k_model,D142,E142,F142,G142)</f>
        <v/>
      </c>
      <c r="R142">
        <f>CHOOSE(k_model,H142,I142,J142,K142)</f>
        <v/>
      </c>
    </row>
    <row r="143">
      <c r="A143" t="n">
        <v>141</v>
      </c>
      <c r="B143">
        <f>k_lo+k_rng*A143/1000</f>
        <v/>
      </c>
      <c r="C143">
        <f>(B143-k_mx)/k_sx</f>
        <v/>
      </c>
      <c r="D143">
        <f>k_p2_0+C143*(k_p2_1+C143*k_p2_2)</f>
        <v/>
      </c>
      <c r="E143">
        <f>k_p3_0+C143*(k_p3_1+C143*(k_p3_2+C143*k_p3_3))</f>
        <v/>
      </c>
      <c r="F143">
        <f>k_p4_0+C143*(k_p4_1+C143*(k_p4_2+C143*(k_p4_3+C143*k_p4_4)))</f>
        <v/>
      </c>
      <c r="G143">
        <f>k_ea+k_eb*EXP(k_ec*C143)</f>
        <v/>
      </c>
      <c r="H143">
        <f>(k_p2_1+2*k_p2_2*C143)/k_sx</f>
        <v/>
      </c>
      <c r="I143">
        <f>(k_p3_1+C143*(2*k_p3_2+3*k_p3_3*C143))/k_sx</f>
        <v/>
      </c>
      <c r="J143">
        <f>(k_p4_1+C143*(2*k_p4_2+C143*(3*k_p4_3+4*k_p4_4*C143)))/k_sx</f>
        <v/>
      </c>
      <c r="K143">
        <f>k_eb*k_ec*EXP(k_ec*C143)/k_sx</f>
        <v/>
      </c>
      <c r="L143">
        <f>(2*k_p4_2+C143*(6*k_p4_3+12*k_p4_4*C143))/k_sx^2</f>
        <v/>
      </c>
      <c r="M143">
        <f>D143/B143</f>
        <v/>
      </c>
      <c r="N143">
        <f>E143/B143</f>
        <v/>
      </c>
      <c r="O143">
        <f>F143/B143</f>
        <v/>
      </c>
      <c r="P143">
        <f>G143/B143</f>
        <v/>
      </c>
      <c r="Q143">
        <f>CHOOSE(k_model,D143,E143,F143,G143)</f>
        <v/>
      </c>
      <c r="R143">
        <f>CHOOSE(k_model,H143,I143,J143,K143)</f>
        <v/>
      </c>
    </row>
    <row r="144">
      <c r="A144" t="n">
        <v>142</v>
      </c>
      <c r="B144">
        <f>k_lo+k_rng*A144/1000</f>
        <v/>
      </c>
      <c r="C144">
        <f>(B144-k_mx)/k_sx</f>
        <v/>
      </c>
      <c r="D144">
        <f>k_p2_0+C144*(k_p2_1+C144*k_p2_2)</f>
        <v/>
      </c>
      <c r="E144">
        <f>k_p3_0+C144*(k_p3_1+C144*(k_p3_2+C144*k_p3_3))</f>
        <v/>
      </c>
      <c r="F144">
        <f>k_p4_0+C144*(k_p4_1+C144*(k_p4_2+C144*(k_p4_3+C144*k_p4_4)))</f>
        <v/>
      </c>
      <c r="G144">
        <f>k_ea+k_eb*EXP(k_ec*C144)</f>
        <v/>
      </c>
      <c r="H144">
        <f>(k_p2_1+2*k_p2_2*C144)/k_sx</f>
        <v/>
      </c>
      <c r="I144">
        <f>(k_p3_1+C144*(2*k_p3_2+3*k_p3_3*C144))/k_sx</f>
        <v/>
      </c>
      <c r="J144">
        <f>(k_p4_1+C144*(2*k_p4_2+C144*(3*k_p4_3+4*k_p4_4*C144)))/k_sx</f>
        <v/>
      </c>
      <c r="K144">
        <f>k_eb*k_ec*EXP(k_ec*C144)/k_sx</f>
        <v/>
      </c>
      <c r="L144">
        <f>(2*k_p4_2+C144*(6*k_p4_3+12*k_p4_4*C144))/k_sx^2</f>
        <v/>
      </c>
      <c r="M144">
        <f>D144/B144</f>
        <v/>
      </c>
      <c r="N144">
        <f>E144/B144</f>
        <v/>
      </c>
      <c r="O144">
        <f>F144/B144</f>
        <v/>
      </c>
      <c r="P144">
        <f>G144/B144</f>
        <v/>
      </c>
      <c r="Q144">
        <f>CHOOSE(k_model,D144,E144,F144,G144)</f>
        <v/>
      </c>
      <c r="R144">
        <f>CHOOSE(k_model,H144,I144,J144,K144)</f>
        <v/>
      </c>
    </row>
    <row r="145">
      <c r="A145" t="n">
        <v>143</v>
      </c>
      <c r="B145">
        <f>k_lo+k_rng*A145/1000</f>
        <v/>
      </c>
      <c r="C145">
        <f>(B145-k_mx)/k_sx</f>
        <v/>
      </c>
      <c r="D145">
        <f>k_p2_0+C145*(k_p2_1+C145*k_p2_2)</f>
        <v/>
      </c>
      <c r="E145">
        <f>k_p3_0+C145*(k_p3_1+C145*(k_p3_2+C145*k_p3_3))</f>
        <v/>
      </c>
      <c r="F145">
        <f>k_p4_0+C145*(k_p4_1+C145*(k_p4_2+C145*(k_p4_3+C145*k_p4_4)))</f>
        <v/>
      </c>
      <c r="G145">
        <f>k_ea+k_eb*EXP(k_ec*C145)</f>
        <v/>
      </c>
      <c r="H145">
        <f>(k_p2_1+2*k_p2_2*C145)/k_sx</f>
        <v/>
      </c>
      <c r="I145">
        <f>(k_p3_1+C145*(2*k_p3_2+3*k_p3_3*C145))/k_sx</f>
        <v/>
      </c>
      <c r="J145">
        <f>(k_p4_1+C145*(2*k_p4_2+C145*(3*k_p4_3+4*k_p4_4*C145)))/k_sx</f>
        <v/>
      </c>
      <c r="K145">
        <f>k_eb*k_ec*EXP(k_ec*C145)/k_sx</f>
        <v/>
      </c>
      <c r="L145">
        <f>(2*k_p4_2+C145*(6*k_p4_3+12*k_p4_4*C145))/k_sx^2</f>
        <v/>
      </c>
      <c r="M145">
        <f>D145/B145</f>
        <v/>
      </c>
      <c r="N145">
        <f>E145/B145</f>
        <v/>
      </c>
      <c r="O145">
        <f>F145/B145</f>
        <v/>
      </c>
      <c r="P145">
        <f>G145/B145</f>
        <v/>
      </c>
      <c r="Q145">
        <f>CHOOSE(k_model,D145,E145,F145,G145)</f>
        <v/>
      </c>
      <c r="R145">
        <f>CHOOSE(k_model,H145,I145,J145,K145)</f>
        <v/>
      </c>
    </row>
    <row r="146">
      <c r="A146" t="n">
        <v>144</v>
      </c>
      <c r="B146">
        <f>k_lo+k_rng*A146/1000</f>
        <v/>
      </c>
      <c r="C146">
        <f>(B146-k_mx)/k_sx</f>
        <v/>
      </c>
      <c r="D146">
        <f>k_p2_0+C146*(k_p2_1+C146*k_p2_2)</f>
        <v/>
      </c>
      <c r="E146">
        <f>k_p3_0+C146*(k_p3_1+C146*(k_p3_2+C146*k_p3_3))</f>
        <v/>
      </c>
      <c r="F146">
        <f>k_p4_0+C146*(k_p4_1+C146*(k_p4_2+C146*(k_p4_3+C146*k_p4_4)))</f>
        <v/>
      </c>
      <c r="G146">
        <f>k_ea+k_eb*EXP(k_ec*C146)</f>
        <v/>
      </c>
      <c r="H146">
        <f>(k_p2_1+2*k_p2_2*C146)/k_sx</f>
        <v/>
      </c>
      <c r="I146">
        <f>(k_p3_1+C146*(2*k_p3_2+3*k_p3_3*C146))/k_sx</f>
        <v/>
      </c>
      <c r="J146">
        <f>(k_p4_1+C146*(2*k_p4_2+C146*(3*k_p4_3+4*k_p4_4*C146)))/k_sx</f>
        <v/>
      </c>
      <c r="K146">
        <f>k_eb*k_ec*EXP(k_ec*C146)/k_sx</f>
        <v/>
      </c>
      <c r="L146">
        <f>(2*k_p4_2+C146*(6*k_p4_3+12*k_p4_4*C146))/k_sx^2</f>
        <v/>
      </c>
      <c r="M146">
        <f>D146/B146</f>
        <v/>
      </c>
      <c r="N146">
        <f>E146/B146</f>
        <v/>
      </c>
      <c r="O146">
        <f>F146/B146</f>
        <v/>
      </c>
      <c r="P146">
        <f>G146/B146</f>
        <v/>
      </c>
      <c r="Q146">
        <f>CHOOSE(k_model,D146,E146,F146,G146)</f>
        <v/>
      </c>
      <c r="R146">
        <f>CHOOSE(k_model,H146,I146,J146,K146)</f>
        <v/>
      </c>
    </row>
    <row r="147">
      <c r="A147" t="n">
        <v>145</v>
      </c>
      <c r="B147">
        <f>k_lo+k_rng*A147/1000</f>
        <v/>
      </c>
      <c r="C147">
        <f>(B147-k_mx)/k_sx</f>
        <v/>
      </c>
      <c r="D147">
        <f>k_p2_0+C147*(k_p2_1+C147*k_p2_2)</f>
        <v/>
      </c>
      <c r="E147">
        <f>k_p3_0+C147*(k_p3_1+C147*(k_p3_2+C147*k_p3_3))</f>
        <v/>
      </c>
      <c r="F147">
        <f>k_p4_0+C147*(k_p4_1+C147*(k_p4_2+C147*(k_p4_3+C147*k_p4_4)))</f>
        <v/>
      </c>
      <c r="G147">
        <f>k_ea+k_eb*EXP(k_ec*C147)</f>
        <v/>
      </c>
      <c r="H147">
        <f>(k_p2_1+2*k_p2_2*C147)/k_sx</f>
        <v/>
      </c>
      <c r="I147">
        <f>(k_p3_1+C147*(2*k_p3_2+3*k_p3_3*C147))/k_sx</f>
        <v/>
      </c>
      <c r="J147">
        <f>(k_p4_1+C147*(2*k_p4_2+C147*(3*k_p4_3+4*k_p4_4*C147)))/k_sx</f>
        <v/>
      </c>
      <c r="K147">
        <f>k_eb*k_ec*EXP(k_ec*C147)/k_sx</f>
        <v/>
      </c>
      <c r="L147">
        <f>(2*k_p4_2+C147*(6*k_p4_3+12*k_p4_4*C147))/k_sx^2</f>
        <v/>
      </c>
      <c r="M147">
        <f>D147/B147</f>
        <v/>
      </c>
      <c r="N147">
        <f>E147/B147</f>
        <v/>
      </c>
      <c r="O147">
        <f>F147/B147</f>
        <v/>
      </c>
      <c r="P147">
        <f>G147/B147</f>
        <v/>
      </c>
      <c r="Q147">
        <f>CHOOSE(k_model,D147,E147,F147,G147)</f>
        <v/>
      </c>
      <c r="R147">
        <f>CHOOSE(k_model,H147,I147,J147,K147)</f>
        <v/>
      </c>
    </row>
    <row r="148">
      <c r="A148" t="n">
        <v>146</v>
      </c>
      <c r="B148">
        <f>k_lo+k_rng*A148/1000</f>
        <v/>
      </c>
      <c r="C148">
        <f>(B148-k_mx)/k_sx</f>
        <v/>
      </c>
      <c r="D148">
        <f>k_p2_0+C148*(k_p2_1+C148*k_p2_2)</f>
        <v/>
      </c>
      <c r="E148">
        <f>k_p3_0+C148*(k_p3_1+C148*(k_p3_2+C148*k_p3_3))</f>
        <v/>
      </c>
      <c r="F148">
        <f>k_p4_0+C148*(k_p4_1+C148*(k_p4_2+C148*(k_p4_3+C148*k_p4_4)))</f>
        <v/>
      </c>
      <c r="G148">
        <f>k_ea+k_eb*EXP(k_ec*C148)</f>
        <v/>
      </c>
      <c r="H148">
        <f>(k_p2_1+2*k_p2_2*C148)/k_sx</f>
        <v/>
      </c>
      <c r="I148">
        <f>(k_p3_1+C148*(2*k_p3_2+3*k_p3_3*C148))/k_sx</f>
        <v/>
      </c>
      <c r="J148">
        <f>(k_p4_1+C148*(2*k_p4_2+C148*(3*k_p4_3+4*k_p4_4*C148)))/k_sx</f>
        <v/>
      </c>
      <c r="K148">
        <f>k_eb*k_ec*EXP(k_ec*C148)/k_sx</f>
        <v/>
      </c>
      <c r="L148">
        <f>(2*k_p4_2+C148*(6*k_p4_3+12*k_p4_4*C148))/k_sx^2</f>
        <v/>
      </c>
      <c r="M148">
        <f>D148/B148</f>
        <v/>
      </c>
      <c r="N148">
        <f>E148/B148</f>
        <v/>
      </c>
      <c r="O148">
        <f>F148/B148</f>
        <v/>
      </c>
      <c r="P148">
        <f>G148/B148</f>
        <v/>
      </c>
      <c r="Q148">
        <f>CHOOSE(k_model,D148,E148,F148,G148)</f>
        <v/>
      </c>
      <c r="R148">
        <f>CHOOSE(k_model,H148,I148,J148,K148)</f>
        <v/>
      </c>
    </row>
    <row r="149">
      <c r="A149" t="n">
        <v>147</v>
      </c>
      <c r="B149">
        <f>k_lo+k_rng*A149/1000</f>
        <v/>
      </c>
      <c r="C149">
        <f>(B149-k_mx)/k_sx</f>
        <v/>
      </c>
      <c r="D149">
        <f>k_p2_0+C149*(k_p2_1+C149*k_p2_2)</f>
        <v/>
      </c>
      <c r="E149">
        <f>k_p3_0+C149*(k_p3_1+C149*(k_p3_2+C149*k_p3_3))</f>
        <v/>
      </c>
      <c r="F149">
        <f>k_p4_0+C149*(k_p4_1+C149*(k_p4_2+C149*(k_p4_3+C149*k_p4_4)))</f>
        <v/>
      </c>
      <c r="G149">
        <f>k_ea+k_eb*EXP(k_ec*C149)</f>
        <v/>
      </c>
      <c r="H149">
        <f>(k_p2_1+2*k_p2_2*C149)/k_sx</f>
        <v/>
      </c>
      <c r="I149">
        <f>(k_p3_1+C149*(2*k_p3_2+3*k_p3_3*C149))/k_sx</f>
        <v/>
      </c>
      <c r="J149">
        <f>(k_p4_1+C149*(2*k_p4_2+C149*(3*k_p4_3+4*k_p4_4*C149)))/k_sx</f>
        <v/>
      </c>
      <c r="K149">
        <f>k_eb*k_ec*EXP(k_ec*C149)/k_sx</f>
        <v/>
      </c>
      <c r="L149">
        <f>(2*k_p4_2+C149*(6*k_p4_3+12*k_p4_4*C149))/k_sx^2</f>
        <v/>
      </c>
      <c r="M149">
        <f>D149/B149</f>
        <v/>
      </c>
      <c r="N149">
        <f>E149/B149</f>
        <v/>
      </c>
      <c r="O149">
        <f>F149/B149</f>
        <v/>
      </c>
      <c r="P149">
        <f>G149/B149</f>
        <v/>
      </c>
      <c r="Q149">
        <f>CHOOSE(k_model,D149,E149,F149,G149)</f>
        <v/>
      </c>
      <c r="R149">
        <f>CHOOSE(k_model,H149,I149,J149,K149)</f>
        <v/>
      </c>
    </row>
    <row r="150">
      <c r="A150" t="n">
        <v>148</v>
      </c>
      <c r="B150">
        <f>k_lo+k_rng*A150/1000</f>
        <v/>
      </c>
      <c r="C150">
        <f>(B150-k_mx)/k_sx</f>
        <v/>
      </c>
      <c r="D150">
        <f>k_p2_0+C150*(k_p2_1+C150*k_p2_2)</f>
        <v/>
      </c>
      <c r="E150">
        <f>k_p3_0+C150*(k_p3_1+C150*(k_p3_2+C150*k_p3_3))</f>
        <v/>
      </c>
      <c r="F150">
        <f>k_p4_0+C150*(k_p4_1+C150*(k_p4_2+C150*(k_p4_3+C150*k_p4_4)))</f>
        <v/>
      </c>
      <c r="G150">
        <f>k_ea+k_eb*EXP(k_ec*C150)</f>
        <v/>
      </c>
      <c r="H150">
        <f>(k_p2_1+2*k_p2_2*C150)/k_sx</f>
        <v/>
      </c>
      <c r="I150">
        <f>(k_p3_1+C150*(2*k_p3_2+3*k_p3_3*C150))/k_sx</f>
        <v/>
      </c>
      <c r="J150">
        <f>(k_p4_1+C150*(2*k_p4_2+C150*(3*k_p4_3+4*k_p4_4*C150)))/k_sx</f>
        <v/>
      </c>
      <c r="K150">
        <f>k_eb*k_ec*EXP(k_ec*C150)/k_sx</f>
        <v/>
      </c>
      <c r="L150">
        <f>(2*k_p4_2+C150*(6*k_p4_3+12*k_p4_4*C150))/k_sx^2</f>
        <v/>
      </c>
      <c r="M150">
        <f>D150/B150</f>
        <v/>
      </c>
      <c r="N150">
        <f>E150/B150</f>
        <v/>
      </c>
      <c r="O150">
        <f>F150/B150</f>
        <v/>
      </c>
      <c r="P150">
        <f>G150/B150</f>
        <v/>
      </c>
      <c r="Q150">
        <f>CHOOSE(k_model,D150,E150,F150,G150)</f>
        <v/>
      </c>
      <c r="R150">
        <f>CHOOSE(k_model,H150,I150,J150,K150)</f>
        <v/>
      </c>
    </row>
    <row r="151">
      <c r="A151" t="n">
        <v>149</v>
      </c>
      <c r="B151">
        <f>k_lo+k_rng*A151/1000</f>
        <v/>
      </c>
      <c r="C151">
        <f>(B151-k_mx)/k_sx</f>
        <v/>
      </c>
      <c r="D151">
        <f>k_p2_0+C151*(k_p2_1+C151*k_p2_2)</f>
        <v/>
      </c>
      <c r="E151">
        <f>k_p3_0+C151*(k_p3_1+C151*(k_p3_2+C151*k_p3_3))</f>
        <v/>
      </c>
      <c r="F151">
        <f>k_p4_0+C151*(k_p4_1+C151*(k_p4_2+C151*(k_p4_3+C151*k_p4_4)))</f>
        <v/>
      </c>
      <c r="G151">
        <f>k_ea+k_eb*EXP(k_ec*C151)</f>
        <v/>
      </c>
      <c r="H151">
        <f>(k_p2_1+2*k_p2_2*C151)/k_sx</f>
        <v/>
      </c>
      <c r="I151">
        <f>(k_p3_1+C151*(2*k_p3_2+3*k_p3_3*C151))/k_sx</f>
        <v/>
      </c>
      <c r="J151">
        <f>(k_p4_1+C151*(2*k_p4_2+C151*(3*k_p4_3+4*k_p4_4*C151)))/k_sx</f>
        <v/>
      </c>
      <c r="K151">
        <f>k_eb*k_ec*EXP(k_ec*C151)/k_sx</f>
        <v/>
      </c>
      <c r="L151">
        <f>(2*k_p4_2+C151*(6*k_p4_3+12*k_p4_4*C151))/k_sx^2</f>
        <v/>
      </c>
      <c r="M151">
        <f>D151/B151</f>
        <v/>
      </c>
      <c r="N151">
        <f>E151/B151</f>
        <v/>
      </c>
      <c r="O151">
        <f>F151/B151</f>
        <v/>
      </c>
      <c r="P151">
        <f>G151/B151</f>
        <v/>
      </c>
      <c r="Q151">
        <f>CHOOSE(k_model,D151,E151,F151,G151)</f>
        <v/>
      </c>
      <c r="R151">
        <f>CHOOSE(k_model,H151,I151,J151,K151)</f>
        <v/>
      </c>
    </row>
    <row r="152">
      <c r="A152" t="n">
        <v>150</v>
      </c>
      <c r="B152">
        <f>k_lo+k_rng*A152/1000</f>
        <v/>
      </c>
      <c r="C152">
        <f>(B152-k_mx)/k_sx</f>
        <v/>
      </c>
      <c r="D152">
        <f>k_p2_0+C152*(k_p2_1+C152*k_p2_2)</f>
        <v/>
      </c>
      <c r="E152">
        <f>k_p3_0+C152*(k_p3_1+C152*(k_p3_2+C152*k_p3_3))</f>
        <v/>
      </c>
      <c r="F152">
        <f>k_p4_0+C152*(k_p4_1+C152*(k_p4_2+C152*(k_p4_3+C152*k_p4_4)))</f>
        <v/>
      </c>
      <c r="G152">
        <f>k_ea+k_eb*EXP(k_ec*C152)</f>
        <v/>
      </c>
      <c r="H152">
        <f>(k_p2_1+2*k_p2_2*C152)/k_sx</f>
        <v/>
      </c>
      <c r="I152">
        <f>(k_p3_1+C152*(2*k_p3_2+3*k_p3_3*C152))/k_sx</f>
        <v/>
      </c>
      <c r="J152">
        <f>(k_p4_1+C152*(2*k_p4_2+C152*(3*k_p4_3+4*k_p4_4*C152)))/k_sx</f>
        <v/>
      </c>
      <c r="K152">
        <f>k_eb*k_ec*EXP(k_ec*C152)/k_sx</f>
        <v/>
      </c>
      <c r="L152">
        <f>(2*k_p4_2+C152*(6*k_p4_3+12*k_p4_4*C152))/k_sx^2</f>
        <v/>
      </c>
      <c r="M152">
        <f>D152/B152</f>
        <v/>
      </c>
      <c r="N152">
        <f>E152/B152</f>
        <v/>
      </c>
      <c r="O152">
        <f>F152/B152</f>
        <v/>
      </c>
      <c r="P152">
        <f>G152/B152</f>
        <v/>
      </c>
      <c r="Q152">
        <f>CHOOSE(k_model,D152,E152,F152,G152)</f>
        <v/>
      </c>
      <c r="R152">
        <f>CHOOSE(k_model,H152,I152,J152,K152)</f>
        <v/>
      </c>
    </row>
    <row r="153">
      <c r="A153" t="n">
        <v>151</v>
      </c>
      <c r="B153">
        <f>k_lo+k_rng*A153/1000</f>
        <v/>
      </c>
      <c r="C153">
        <f>(B153-k_mx)/k_sx</f>
        <v/>
      </c>
      <c r="D153">
        <f>k_p2_0+C153*(k_p2_1+C153*k_p2_2)</f>
        <v/>
      </c>
      <c r="E153">
        <f>k_p3_0+C153*(k_p3_1+C153*(k_p3_2+C153*k_p3_3))</f>
        <v/>
      </c>
      <c r="F153">
        <f>k_p4_0+C153*(k_p4_1+C153*(k_p4_2+C153*(k_p4_3+C153*k_p4_4)))</f>
        <v/>
      </c>
      <c r="G153">
        <f>k_ea+k_eb*EXP(k_ec*C153)</f>
        <v/>
      </c>
      <c r="H153">
        <f>(k_p2_1+2*k_p2_2*C153)/k_sx</f>
        <v/>
      </c>
      <c r="I153">
        <f>(k_p3_1+C153*(2*k_p3_2+3*k_p3_3*C153))/k_sx</f>
        <v/>
      </c>
      <c r="J153">
        <f>(k_p4_1+C153*(2*k_p4_2+C153*(3*k_p4_3+4*k_p4_4*C153)))/k_sx</f>
        <v/>
      </c>
      <c r="K153">
        <f>k_eb*k_ec*EXP(k_ec*C153)/k_sx</f>
        <v/>
      </c>
      <c r="L153">
        <f>(2*k_p4_2+C153*(6*k_p4_3+12*k_p4_4*C153))/k_sx^2</f>
        <v/>
      </c>
      <c r="M153">
        <f>D153/B153</f>
        <v/>
      </c>
      <c r="N153">
        <f>E153/B153</f>
        <v/>
      </c>
      <c r="O153">
        <f>F153/B153</f>
        <v/>
      </c>
      <c r="P153">
        <f>G153/B153</f>
        <v/>
      </c>
      <c r="Q153">
        <f>CHOOSE(k_model,D153,E153,F153,G153)</f>
        <v/>
      </c>
      <c r="R153">
        <f>CHOOSE(k_model,H153,I153,J153,K153)</f>
        <v/>
      </c>
    </row>
    <row r="154">
      <c r="A154" t="n">
        <v>152</v>
      </c>
      <c r="B154">
        <f>k_lo+k_rng*A154/1000</f>
        <v/>
      </c>
      <c r="C154">
        <f>(B154-k_mx)/k_sx</f>
        <v/>
      </c>
      <c r="D154">
        <f>k_p2_0+C154*(k_p2_1+C154*k_p2_2)</f>
        <v/>
      </c>
      <c r="E154">
        <f>k_p3_0+C154*(k_p3_1+C154*(k_p3_2+C154*k_p3_3))</f>
        <v/>
      </c>
      <c r="F154">
        <f>k_p4_0+C154*(k_p4_1+C154*(k_p4_2+C154*(k_p4_3+C154*k_p4_4)))</f>
        <v/>
      </c>
      <c r="G154">
        <f>k_ea+k_eb*EXP(k_ec*C154)</f>
        <v/>
      </c>
      <c r="H154">
        <f>(k_p2_1+2*k_p2_2*C154)/k_sx</f>
        <v/>
      </c>
      <c r="I154">
        <f>(k_p3_1+C154*(2*k_p3_2+3*k_p3_3*C154))/k_sx</f>
        <v/>
      </c>
      <c r="J154">
        <f>(k_p4_1+C154*(2*k_p4_2+C154*(3*k_p4_3+4*k_p4_4*C154)))/k_sx</f>
        <v/>
      </c>
      <c r="K154">
        <f>k_eb*k_ec*EXP(k_ec*C154)/k_sx</f>
        <v/>
      </c>
      <c r="L154">
        <f>(2*k_p4_2+C154*(6*k_p4_3+12*k_p4_4*C154))/k_sx^2</f>
        <v/>
      </c>
      <c r="M154">
        <f>D154/B154</f>
        <v/>
      </c>
      <c r="N154">
        <f>E154/B154</f>
        <v/>
      </c>
      <c r="O154">
        <f>F154/B154</f>
        <v/>
      </c>
      <c r="P154">
        <f>G154/B154</f>
        <v/>
      </c>
      <c r="Q154">
        <f>CHOOSE(k_model,D154,E154,F154,G154)</f>
        <v/>
      </c>
      <c r="R154">
        <f>CHOOSE(k_model,H154,I154,J154,K154)</f>
        <v/>
      </c>
    </row>
    <row r="155">
      <c r="A155" t="n">
        <v>153</v>
      </c>
      <c r="B155">
        <f>k_lo+k_rng*A155/1000</f>
        <v/>
      </c>
      <c r="C155">
        <f>(B155-k_mx)/k_sx</f>
        <v/>
      </c>
      <c r="D155">
        <f>k_p2_0+C155*(k_p2_1+C155*k_p2_2)</f>
        <v/>
      </c>
      <c r="E155">
        <f>k_p3_0+C155*(k_p3_1+C155*(k_p3_2+C155*k_p3_3))</f>
        <v/>
      </c>
      <c r="F155">
        <f>k_p4_0+C155*(k_p4_1+C155*(k_p4_2+C155*(k_p4_3+C155*k_p4_4)))</f>
        <v/>
      </c>
      <c r="G155">
        <f>k_ea+k_eb*EXP(k_ec*C155)</f>
        <v/>
      </c>
      <c r="H155">
        <f>(k_p2_1+2*k_p2_2*C155)/k_sx</f>
        <v/>
      </c>
      <c r="I155">
        <f>(k_p3_1+C155*(2*k_p3_2+3*k_p3_3*C155))/k_sx</f>
        <v/>
      </c>
      <c r="J155">
        <f>(k_p4_1+C155*(2*k_p4_2+C155*(3*k_p4_3+4*k_p4_4*C155)))/k_sx</f>
        <v/>
      </c>
      <c r="K155">
        <f>k_eb*k_ec*EXP(k_ec*C155)/k_sx</f>
        <v/>
      </c>
      <c r="L155">
        <f>(2*k_p4_2+C155*(6*k_p4_3+12*k_p4_4*C155))/k_sx^2</f>
        <v/>
      </c>
      <c r="M155">
        <f>D155/B155</f>
        <v/>
      </c>
      <c r="N155">
        <f>E155/B155</f>
        <v/>
      </c>
      <c r="O155">
        <f>F155/B155</f>
        <v/>
      </c>
      <c r="P155">
        <f>G155/B155</f>
        <v/>
      </c>
      <c r="Q155">
        <f>CHOOSE(k_model,D155,E155,F155,G155)</f>
        <v/>
      </c>
      <c r="R155">
        <f>CHOOSE(k_model,H155,I155,J155,K155)</f>
        <v/>
      </c>
    </row>
    <row r="156">
      <c r="A156" t="n">
        <v>154</v>
      </c>
      <c r="B156">
        <f>k_lo+k_rng*A156/1000</f>
        <v/>
      </c>
      <c r="C156">
        <f>(B156-k_mx)/k_sx</f>
        <v/>
      </c>
      <c r="D156">
        <f>k_p2_0+C156*(k_p2_1+C156*k_p2_2)</f>
        <v/>
      </c>
      <c r="E156">
        <f>k_p3_0+C156*(k_p3_1+C156*(k_p3_2+C156*k_p3_3))</f>
        <v/>
      </c>
      <c r="F156">
        <f>k_p4_0+C156*(k_p4_1+C156*(k_p4_2+C156*(k_p4_3+C156*k_p4_4)))</f>
        <v/>
      </c>
      <c r="G156">
        <f>k_ea+k_eb*EXP(k_ec*C156)</f>
        <v/>
      </c>
      <c r="H156">
        <f>(k_p2_1+2*k_p2_2*C156)/k_sx</f>
        <v/>
      </c>
      <c r="I156">
        <f>(k_p3_1+C156*(2*k_p3_2+3*k_p3_3*C156))/k_sx</f>
        <v/>
      </c>
      <c r="J156">
        <f>(k_p4_1+C156*(2*k_p4_2+C156*(3*k_p4_3+4*k_p4_4*C156)))/k_sx</f>
        <v/>
      </c>
      <c r="K156">
        <f>k_eb*k_ec*EXP(k_ec*C156)/k_sx</f>
        <v/>
      </c>
      <c r="L156">
        <f>(2*k_p4_2+C156*(6*k_p4_3+12*k_p4_4*C156))/k_sx^2</f>
        <v/>
      </c>
      <c r="M156">
        <f>D156/B156</f>
        <v/>
      </c>
      <c r="N156">
        <f>E156/B156</f>
        <v/>
      </c>
      <c r="O156">
        <f>F156/B156</f>
        <v/>
      </c>
      <c r="P156">
        <f>G156/B156</f>
        <v/>
      </c>
      <c r="Q156">
        <f>CHOOSE(k_model,D156,E156,F156,G156)</f>
        <v/>
      </c>
      <c r="R156">
        <f>CHOOSE(k_model,H156,I156,J156,K156)</f>
        <v/>
      </c>
    </row>
    <row r="157">
      <c r="A157" t="n">
        <v>155</v>
      </c>
      <c r="B157">
        <f>k_lo+k_rng*A157/1000</f>
        <v/>
      </c>
      <c r="C157">
        <f>(B157-k_mx)/k_sx</f>
        <v/>
      </c>
      <c r="D157">
        <f>k_p2_0+C157*(k_p2_1+C157*k_p2_2)</f>
        <v/>
      </c>
      <c r="E157">
        <f>k_p3_0+C157*(k_p3_1+C157*(k_p3_2+C157*k_p3_3))</f>
        <v/>
      </c>
      <c r="F157">
        <f>k_p4_0+C157*(k_p4_1+C157*(k_p4_2+C157*(k_p4_3+C157*k_p4_4)))</f>
        <v/>
      </c>
      <c r="G157">
        <f>k_ea+k_eb*EXP(k_ec*C157)</f>
        <v/>
      </c>
      <c r="H157">
        <f>(k_p2_1+2*k_p2_2*C157)/k_sx</f>
        <v/>
      </c>
      <c r="I157">
        <f>(k_p3_1+C157*(2*k_p3_2+3*k_p3_3*C157))/k_sx</f>
        <v/>
      </c>
      <c r="J157">
        <f>(k_p4_1+C157*(2*k_p4_2+C157*(3*k_p4_3+4*k_p4_4*C157)))/k_sx</f>
        <v/>
      </c>
      <c r="K157">
        <f>k_eb*k_ec*EXP(k_ec*C157)/k_sx</f>
        <v/>
      </c>
      <c r="L157">
        <f>(2*k_p4_2+C157*(6*k_p4_3+12*k_p4_4*C157))/k_sx^2</f>
        <v/>
      </c>
      <c r="M157">
        <f>D157/B157</f>
        <v/>
      </c>
      <c r="N157">
        <f>E157/B157</f>
        <v/>
      </c>
      <c r="O157">
        <f>F157/B157</f>
        <v/>
      </c>
      <c r="P157">
        <f>G157/B157</f>
        <v/>
      </c>
      <c r="Q157">
        <f>CHOOSE(k_model,D157,E157,F157,G157)</f>
        <v/>
      </c>
      <c r="R157">
        <f>CHOOSE(k_model,H157,I157,J157,K157)</f>
        <v/>
      </c>
    </row>
    <row r="158">
      <c r="A158" t="n">
        <v>156</v>
      </c>
      <c r="B158">
        <f>k_lo+k_rng*A158/1000</f>
        <v/>
      </c>
      <c r="C158">
        <f>(B158-k_mx)/k_sx</f>
        <v/>
      </c>
      <c r="D158">
        <f>k_p2_0+C158*(k_p2_1+C158*k_p2_2)</f>
        <v/>
      </c>
      <c r="E158">
        <f>k_p3_0+C158*(k_p3_1+C158*(k_p3_2+C158*k_p3_3))</f>
        <v/>
      </c>
      <c r="F158">
        <f>k_p4_0+C158*(k_p4_1+C158*(k_p4_2+C158*(k_p4_3+C158*k_p4_4)))</f>
        <v/>
      </c>
      <c r="G158">
        <f>k_ea+k_eb*EXP(k_ec*C158)</f>
        <v/>
      </c>
      <c r="H158">
        <f>(k_p2_1+2*k_p2_2*C158)/k_sx</f>
        <v/>
      </c>
      <c r="I158">
        <f>(k_p3_1+C158*(2*k_p3_2+3*k_p3_3*C158))/k_sx</f>
        <v/>
      </c>
      <c r="J158">
        <f>(k_p4_1+C158*(2*k_p4_2+C158*(3*k_p4_3+4*k_p4_4*C158)))/k_sx</f>
        <v/>
      </c>
      <c r="K158">
        <f>k_eb*k_ec*EXP(k_ec*C158)/k_sx</f>
        <v/>
      </c>
      <c r="L158">
        <f>(2*k_p4_2+C158*(6*k_p4_3+12*k_p4_4*C158))/k_sx^2</f>
        <v/>
      </c>
      <c r="M158">
        <f>D158/B158</f>
        <v/>
      </c>
      <c r="N158">
        <f>E158/B158</f>
        <v/>
      </c>
      <c r="O158">
        <f>F158/B158</f>
        <v/>
      </c>
      <c r="P158">
        <f>G158/B158</f>
        <v/>
      </c>
      <c r="Q158">
        <f>CHOOSE(k_model,D158,E158,F158,G158)</f>
        <v/>
      </c>
      <c r="R158">
        <f>CHOOSE(k_model,H158,I158,J158,K158)</f>
        <v/>
      </c>
    </row>
    <row r="159">
      <c r="A159" t="n">
        <v>157</v>
      </c>
      <c r="B159">
        <f>k_lo+k_rng*A159/1000</f>
        <v/>
      </c>
      <c r="C159">
        <f>(B159-k_mx)/k_sx</f>
        <v/>
      </c>
      <c r="D159">
        <f>k_p2_0+C159*(k_p2_1+C159*k_p2_2)</f>
        <v/>
      </c>
      <c r="E159">
        <f>k_p3_0+C159*(k_p3_1+C159*(k_p3_2+C159*k_p3_3))</f>
        <v/>
      </c>
      <c r="F159">
        <f>k_p4_0+C159*(k_p4_1+C159*(k_p4_2+C159*(k_p4_3+C159*k_p4_4)))</f>
        <v/>
      </c>
      <c r="G159">
        <f>k_ea+k_eb*EXP(k_ec*C159)</f>
        <v/>
      </c>
      <c r="H159">
        <f>(k_p2_1+2*k_p2_2*C159)/k_sx</f>
        <v/>
      </c>
      <c r="I159">
        <f>(k_p3_1+C159*(2*k_p3_2+3*k_p3_3*C159))/k_sx</f>
        <v/>
      </c>
      <c r="J159">
        <f>(k_p4_1+C159*(2*k_p4_2+C159*(3*k_p4_3+4*k_p4_4*C159)))/k_sx</f>
        <v/>
      </c>
      <c r="K159">
        <f>k_eb*k_ec*EXP(k_ec*C159)/k_sx</f>
        <v/>
      </c>
      <c r="L159">
        <f>(2*k_p4_2+C159*(6*k_p4_3+12*k_p4_4*C159))/k_sx^2</f>
        <v/>
      </c>
      <c r="M159">
        <f>D159/B159</f>
        <v/>
      </c>
      <c r="N159">
        <f>E159/B159</f>
        <v/>
      </c>
      <c r="O159">
        <f>F159/B159</f>
        <v/>
      </c>
      <c r="P159">
        <f>G159/B159</f>
        <v/>
      </c>
      <c r="Q159">
        <f>CHOOSE(k_model,D159,E159,F159,G159)</f>
        <v/>
      </c>
      <c r="R159">
        <f>CHOOSE(k_model,H159,I159,J159,K159)</f>
        <v/>
      </c>
    </row>
    <row r="160">
      <c r="A160" t="n">
        <v>158</v>
      </c>
      <c r="B160">
        <f>k_lo+k_rng*A160/1000</f>
        <v/>
      </c>
      <c r="C160">
        <f>(B160-k_mx)/k_sx</f>
        <v/>
      </c>
      <c r="D160">
        <f>k_p2_0+C160*(k_p2_1+C160*k_p2_2)</f>
        <v/>
      </c>
      <c r="E160">
        <f>k_p3_0+C160*(k_p3_1+C160*(k_p3_2+C160*k_p3_3))</f>
        <v/>
      </c>
      <c r="F160">
        <f>k_p4_0+C160*(k_p4_1+C160*(k_p4_2+C160*(k_p4_3+C160*k_p4_4)))</f>
        <v/>
      </c>
      <c r="G160">
        <f>k_ea+k_eb*EXP(k_ec*C160)</f>
        <v/>
      </c>
      <c r="H160">
        <f>(k_p2_1+2*k_p2_2*C160)/k_sx</f>
        <v/>
      </c>
      <c r="I160">
        <f>(k_p3_1+C160*(2*k_p3_2+3*k_p3_3*C160))/k_sx</f>
        <v/>
      </c>
      <c r="J160">
        <f>(k_p4_1+C160*(2*k_p4_2+C160*(3*k_p4_3+4*k_p4_4*C160)))/k_sx</f>
        <v/>
      </c>
      <c r="K160">
        <f>k_eb*k_ec*EXP(k_ec*C160)/k_sx</f>
        <v/>
      </c>
      <c r="L160">
        <f>(2*k_p4_2+C160*(6*k_p4_3+12*k_p4_4*C160))/k_sx^2</f>
        <v/>
      </c>
      <c r="M160">
        <f>D160/B160</f>
        <v/>
      </c>
      <c r="N160">
        <f>E160/B160</f>
        <v/>
      </c>
      <c r="O160">
        <f>F160/B160</f>
        <v/>
      </c>
      <c r="P160">
        <f>G160/B160</f>
        <v/>
      </c>
      <c r="Q160">
        <f>CHOOSE(k_model,D160,E160,F160,G160)</f>
        <v/>
      </c>
      <c r="R160">
        <f>CHOOSE(k_model,H160,I160,J160,K160)</f>
        <v/>
      </c>
    </row>
    <row r="161">
      <c r="A161" t="n">
        <v>159</v>
      </c>
      <c r="B161">
        <f>k_lo+k_rng*A161/1000</f>
        <v/>
      </c>
      <c r="C161">
        <f>(B161-k_mx)/k_sx</f>
        <v/>
      </c>
      <c r="D161">
        <f>k_p2_0+C161*(k_p2_1+C161*k_p2_2)</f>
        <v/>
      </c>
      <c r="E161">
        <f>k_p3_0+C161*(k_p3_1+C161*(k_p3_2+C161*k_p3_3))</f>
        <v/>
      </c>
      <c r="F161">
        <f>k_p4_0+C161*(k_p4_1+C161*(k_p4_2+C161*(k_p4_3+C161*k_p4_4)))</f>
        <v/>
      </c>
      <c r="G161">
        <f>k_ea+k_eb*EXP(k_ec*C161)</f>
        <v/>
      </c>
      <c r="H161">
        <f>(k_p2_1+2*k_p2_2*C161)/k_sx</f>
        <v/>
      </c>
      <c r="I161">
        <f>(k_p3_1+C161*(2*k_p3_2+3*k_p3_3*C161))/k_sx</f>
        <v/>
      </c>
      <c r="J161">
        <f>(k_p4_1+C161*(2*k_p4_2+C161*(3*k_p4_3+4*k_p4_4*C161)))/k_sx</f>
        <v/>
      </c>
      <c r="K161">
        <f>k_eb*k_ec*EXP(k_ec*C161)/k_sx</f>
        <v/>
      </c>
      <c r="L161">
        <f>(2*k_p4_2+C161*(6*k_p4_3+12*k_p4_4*C161))/k_sx^2</f>
        <v/>
      </c>
      <c r="M161">
        <f>D161/B161</f>
        <v/>
      </c>
      <c r="N161">
        <f>E161/B161</f>
        <v/>
      </c>
      <c r="O161">
        <f>F161/B161</f>
        <v/>
      </c>
      <c r="P161">
        <f>G161/B161</f>
        <v/>
      </c>
      <c r="Q161">
        <f>CHOOSE(k_model,D161,E161,F161,G161)</f>
        <v/>
      </c>
      <c r="R161">
        <f>CHOOSE(k_model,H161,I161,J161,K161)</f>
        <v/>
      </c>
    </row>
    <row r="162">
      <c r="A162" t="n">
        <v>160</v>
      </c>
      <c r="B162">
        <f>k_lo+k_rng*A162/1000</f>
        <v/>
      </c>
      <c r="C162">
        <f>(B162-k_mx)/k_sx</f>
        <v/>
      </c>
      <c r="D162">
        <f>k_p2_0+C162*(k_p2_1+C162*k_p2_2)</f>
        <v/>
      </c>
      <c r="E162">
        <f>k_p3_0+C162*(k_p3_1+C162*(k_p3_2+C162*k_p3_3))</f>
        <v/>
      </c>
      <c r="F162">
        <f>k_p4_0+C162*(k_p4_1+C162*(k_p4_2+C162*(k_p4_3+C162*k_p4_4)))</f>
        <v/>
      </c>
      <c r="G162">
        <f>k_ea+k_eb*EXP(k_ec*C162)</f>
        <v/>
      </c>
      <c r="H162">
        <f>(k_p2_1+2*k_p2_2*C162)/k_sx</f>
        <v/>
      </c>
      <c r="I162">
        <f>(k_p3_1+C162*(2*k_p3_2+3*k_p3_3*C162))/k_sx</f>
        <v/>
      </c>
      <c r="J162">
        <f>(k_p4_1+C162*(2*k_p4_2+C162*(3*k_p4_3+4*k_p4_4*C162)))/k_sx</f>
        <v/>
      </c>
      <c r="K162">
        <f>k_eb*k_ec*EXP(k_ec*C162)/k_sx</f>
        <v/>
      </c>
      <c r="L162">
        <f>(2*k_p4_2+C162*(6*k_p4_3+12*k_p4_4*C162))/k_sx^2</f>
        <v/>
      </c>
      <c r="M162">
        <f>D162/B162</f>
        <v/>
      </c>
      <c r="N162">
        <f>E162/B162</f>
        <v/>
      </c>
      <c r="O162">
        <f>F162/B162</f>
        <v/>
      </c>
      <c r="P162">
        <f>G162/B162</f>
        <v/>
      </c>
      <c r="Q162">
        <f>CHOOSE(k_model,D162,E162,F162,G162)</f>
        <v/>
      </c>
      <c r="R162">
        <f>CHOOSE(k_model,H162,I162,J162,K162)</f>
        <v/>
      </c>
    </row>
    <row r="163">
      <c r="A163" t="n">
        <v>161</v>
      </c>
      <c r="B163">
        <f>k_lo+k_rng*A163/1000</f>
        <v/>
      </c>
      <c r="C163">
        <f>(B163-k_mx)/k_sx</f>
        <v/>
      </c>
      <c r="D163">
        <f>k_p2_0+C163*(k_p2_1+C163*k_p2_2)</f>
        <v/>
      </c>
      <c r="E163">
        <f>k_p3_0+C163*(k_p3_1+C163*(k_p3_2+C163*k_p3_3))</f>
        <v/>
      </c>
      <c r="F163">
        <f>k_p4_0+C163*(k_p4_1+C163*(k_p4_2+C163*(k_p4_3+C163*k_p4_4)))</f>
        <v/>
      </c>
      <c r="G163">
        <f>k_ea+k_eb*EXP(k_ec*C163)</f>
        <v/>
      </c>
      <c r="H163">
        <f>(k_p2_1+2*k_p2_2*C163)/k_sx</f>
        <v/>
      </c>
      <c r="I163">
        <f>(k_p3_1+C163*(2*k_p3_2+3*k_p3_3*C163))/k_sx</f>
        <v/>
      </c>
      <c r="J163">
        <f>(k_p4_1+C163*(2*k_p4_2+C163*(3*k_p4_3+4*k_p4_4*C163)))/k_sx</f>
        <v/>
      </c>
      <c r="K163">
        <f>k_eb*k_ec*EXP(k_ec*C163)/k_sx</f>
        <v/>
      </c>
      <c r="L163">
        <f>(2*k_p4_2+C163*(6*k_p4_3+12*k_p4_4*C163))/k_sx^2</f>
        <v/>
      </c>
      <c r="M163">
        <f>D163/B163</f>
        <v/>
      </c>
      <c r="N163">
        <f>E163/B163</f>
        <v/>
      </c>
      <c r="O163">
        <f>F163/B163</f>
        <v/>
      </c>
      <c r="P163">
        <f>G163/B163</f>
        <v/>
      </c>
      <c r="Q163">
        <f>CHOOSE(k_model,D163,E163,F163,G163)</f>
        <v/>
      </c>
      <c r="R163">
        <f>CHOOSE(k_model,H163,I163,J163,K163)</f>
        <v/>
      </c>
    </row>
    <row r="164">
      <c r="A164" t="n">
        <v>162</v>
      </c>
      <c r="B164">
        <f>k_lo+k_rng*A164/1000</f>
        <v/>
      </c>
      <c r="C164">
        <f>(B164-k_mx)/k_sx</f>
        <v/>
      </c>
      <c r="D164">
        <f>k_p2_0+C164*(k_p2_1+C164*k_p2_2)</f>
        <v/>
      </c>
      <c r="E164">
        <f>k_p3_0+C164*(k_p3_1+C164*(k_p3_2+C164*k_p3_3))</f>
        <v/>
      </c>
      <c r="F164">
        <f>k_p4_0+C164*(k_p4_1+C164*(k_p4_2+C164*(k_p4_3+C164*k_p4_4)))</f>
        <v/>
      </c>
      <c r="G164">
        <f>k_ea+k_eb*EXP(k_ec*C164)</f>
        <v/>
      </c>
      <c r="H164">
        <f>(k_p2_1+2*k_p2_2*C164)/k_sx</f>
        <v/>
      </c>
      <c r="I164">
        <f>(k_p3_1+C164*(2*k_p3_2+3*k_p3_3*C164))/k_sx</f>
        <v/>
      </c>
      <c r="J164">
        <f>(k_p4_1+C164*(2*k_p4_2+C164*(3*k_p4_3+4*k_p4_4*C164)))/k_sx</f>
        <v/>
      </c>
      <c r="K164">
        <f>k_eb*k_ec*EXP(k_ec*C164)/k_sx</f>
        <v/>
      </c>
      <c r="L164">
        <f>(2*k_p4_2+C164*(6*k_p4_3+12*k_p4_4*C164))/k_sx^2</f>
        <v/>
      </c>
      <c r="M164">
        <f>D164/B164</f>
        <v/>
      </c>
      <c r="N164">
        <f>E164/B164</f>
        <v/>
      </c>
      <c r="O164">
        <f>F164/B164</f>
        <v/>
      </c>
      <c r="P164">
        <f>G164/B164</f>
        <v/>
      </c>
      <c r="Q164">
        <f>CHOOSE(k_model,D164,E164,F164,G164)</f>
        <v/>
      </c>
      <c r="R164">
        <f>CHOOSE(k_model,H164,I164,J164,K164)</f>
        <v/>
      </c>
    </row>
    <row r="165">
      <c r="A165" t="n">
        <v>163</v>
      </c>
      <c r="B165">
        <f>k_lo+k_rng*A165/1000</f>
        <v/>
      </c>
      <c r="C165">
        <f>(B165-k_mx)/k_sx</f>
        <v/>
      </c>
      <c r="D165">
        <f>k_p2_0+C165*(k_p2_1+C165*k_p2_2)</f>
        <v/>
      </c>
      <c r="E165">
        <f>k_p3_0+C165*(k_p3_1+C165*(k_p3_2+C165*k_p3_3))</f>
        <v/>
      </c>
      <c r="F165">
        <f>k_p4_0+C165*(k_p4_1+C165*(k_p4_2+C165*(k_p4_3+C165*k_p4_4)))</f>
        <v/>
      </c>
      <c r="G165">
        <f>k_ea+k_eb*EXP(k_ec*C165)</f>
        <v/>
      </c>
      <c r="H165">
        <f>(k_p2_1+2*k_p2_2*C165)/k_sx</f>
        <v/>
      </c>
      <c r="I165">
        <f>(k_p3_1+C165*(2*k_p3_2+3*k_p3_3*C165))/k_sx</f>
        <v/>
      </c>
      <c r="J165">
        <f>(k_p4_1+C165*(2*k_p4_2+C165*(3*k_p4_3+4*k_p4_4*C165)))/k_sx</f>
        <v/>
      </c>
      <c r="K165">
        <f>k_eb*k_ec*EXP(k_ec*C165)/k_sx</f>
        <v/>
      </c>
      <c r="L165">
        <f>(2*k_p4_2+C165*(6*k_p4_3+12*k_p4_4*C165))/k_sx^2</f>
        <v/>
      </c>
      <c r="M165">
        <f>D165/B165</f>
        <v/>
      </c>
      <c r="N165">
        <f>E165/B165</f>
        <v/>
      </c>
      <c r="O165">
        <f>F165/B165</f>
        <v/>
      </c>
      <c r="P165">
        <f>G165/B165</f>
        <v/>
      </c>
      <c r="Q165">
        <f>CHOOSE(k_model,D165,E165,F165,G165)</f>
        <v/>
      </c>
      <c r="R165">
        <f>CHOOSE(k_model,H165,I165,J165,K165)</f>
        <v/>
      </c>
    </row>
    <row r="166">
      <c r="A166" t="n">
        <v>164</v>
      </c>
      <c r="B166">
        <f>k_lo+k_rng*A166/1000</f>
        <v/>
      </c>
      <c r="C166">
        <f>(B166-k_mx)/k_sx</f>
        <v/>
      </c>
      <c r="D166">
        <f>k_p2_0+C166*(k_p2_1+C166*k_p2_2)</f>
        <v/>
      </c>
      <c r="E166">
        <f>k_p3_0+C166*(k_p3_1+C166*(k_p3_2+C166*k_p3_3))</f>
        <v/>
      </c>
      <c r="F166">
        <f>k_p4_0+C166*(k_p4_1+C166*(k_p4_2+C166*(k_p4_3+C166*k_p4_4)))</f>
        <v/>
      </c>
      <c r="G166">
        <f>k_ea+k_eb*EXP(k_ec*C166)</f>
        <v/>
      </c>
      <c r="H166">
        <f>(k_p2_1+2*k_p2_2*C166)/k_sx</f>
        <v/>
      </c>
      <c r="I166">
        <f>(k_p3_1+C166*(2*k_p3_2+3*k_p3_3*C166))/k_sx</f>
        <v/>
      </c>
      <c r="J166">
        <f>(k_p4_1+C166*(2*k_p4_2+C166*(3*k_p4_3+4*k_p4_4*C166)))/k_sx</f>
        <v/>
      </c>
      <c r="K166">
        <f>k_eb*k_ec*EXP(k_ec*C166)/k_sx</f>
        <v/>
      </c>
      <c r="L166">
        <f>(2*k_p4_2+C166*(6*k_p4_3+12*k_p4_4*C166))/k_sx^2</f>
        <v/>
      </c>
      <c r="M166">
        <f>D166/B166</f>
        <v/>
      </c>
      <c r="N166">
        <f>E166/B166</f>
        <v/>
      </c>
      <c r="O166">
        <f>F166/B166</f>
        <v/>
      </c>
      <c r="P166">
        <f>G166/B166</f>
        <v/>
      </c>
      <c r="Q166">
        <f>CHOOSE(k_model,D166,E166,F166,G166)</f>
        <v/>
      </c>
      <c r="R166">
        <f>CHOOSE(k_model,H166,I166,J166,K166)</f>
        <v/>
      </c>
    </row>
    <row r="167">
      <c r="A167" t="n">
        <v>165</v>
      </c>
      <c r="B167">
        <f>k_lo+k_rng*A167/1000</f>
        <v/>
      </c>
      <c r="C167">
        <f>(B167-k_mx)/k_sx</f>
        <v/>
      </c>
      <c r="D167">
        <f>k_p2_0+C167*(k_p2_1+C167*k_p2_2)</f>
        <v/>
      </c>
      <c r="E167">
        <f>k_p3_0+C167*(k_p3_1+C167*(k_p3_2+C167*k_p3_3))</f>
        <v/>
      </c>
      <c r="F167">
        <f>k_p4_0+C167*(k_p4_1+C167*(k_p4_2+C167*(k_p4_3+C167*k_p4_4)))</f>
        <v/>
      </c>
      <c r="G167">
        <f>k_ea+k_eb*EXP(k_ec*C167)</f>
        <v/>
      </c>
      <c r="H167">
        <f>(k_p2_1+2*k_p2_2*C167)/k_sx</f>
        <v/>
      </c>
      <c r="I167">
        <f>(k_p3_1+C167*(2*k_p3_2+3*k_p3_3*C167))/k_sx</f>
        <v/>
      </c>
      <c r="J167">
        <f>(k_p4_1+C167*(2*k_p4_2+C167*(3*k_p4_3+4*k_p4_4*C167)))/k_sx</f>
        <v/>
      </c>
      <c r="K167">
        <f>k_eb*k_ec*EXP(k_ec*C167)/k_sx</f>
        <v/>
      </c>
      <c r="L167">
        <f>(2*k_p4_2+C167*(6*k_p4_3+12*k_p4_4*C167))/k_sx^2</f>
        <v/>
      </c>
      <c r="M167">
        <f>D167/B167</f>
        <v/>
      </c>
      <c r="N167">
        <f>E167/B167</f>
        <v/>
      </c>
      <c r="O167">
        <f>F167/B167</f>
        <v/>
      </c>
      <c r="P167">
        <f>G167/B167</f>
        <v/>
      </c>
      <c r="Q167">
        <f>CHOOSE(k_model,D167,E167,F167,G167)</f>
        <v/>
      </c>
      <c r="R167">
        <f>CHOOSE(k_model,H167,I167,J167,K167)</f>
        <v/>
      </c>
    </row>
    <row r="168">
      <c r="A168" t="n">
        <v>166</v>
      </c>
      <c r="B168">
        <f>k_lo+k_rng*A168/1000</f>
        <v/>
      </c>
      <c r="C168">
        <f>(B168-k_mx)/k_sx</f>
        <v/>
      </c>
      <c r="D168">
        <f>k_p2_0+C168*(k_p2_1+C168*k_p2_2)</f>
        <v/>
      </c>
      <c r="E168">
        <f>k_p3_0+C168*(k_p3_1+C168*(k_p3_2+C168*k_p3_3))</f>
        <v/>
      </c>
      <c r="F168">
        <f>k_p4_0+C168*(k_p4_1+C168*(k_p4_2+C168*(k_p4_3+C168*k_p4_4)))</f>
        <v/>
      </c>
      <c r="G168">
        <f>k_ea+k_eb*EXP(k_ec*C168)</f>
        <v/>
      </c>
      <c r="H168">
        <f>(k_p2_1+2*k_p2_2*C168)/k_sx</f>
        <v/>
      </c>
      <c r="I168">
        <f>(k_p3_1+C168*(2*k_p3_2+3*k_p3_3*C168))/k_sx</f>
        <v/>
      </c>
      <c r="J168">
        <f>(k_p4_1+C168*(2*k_p4_2+C168*(3*k_p4_3+4*k_p4_4*C168)))/k_sx</f>
        <v/>
      </c>
      <c r="K168">
        <f>k_eb*k_ec*EXP(k_ec*C168)/k_sx</f>
        <v/>
      </c>
      <c r="L168">
        <f>(2*k_p4_2+C168*(6*k_p4_3+12*k_p4_4*C168))/k_sx^2</f>
        <v/>
      </c>
      <c r="M168">
        <f>D168/B168</f>
        <v/>
      </c>
      <c r="N168">
        <f>E168/B168</f>
        <v/>
      </c>
      <c r="O168">
        <f>F168/B168</f>
        <v/>
      </c>
      <c r="P168">
        <f>G168/B168</f>
        <v/>
      </c>
      <c r="Q168">
        <f>CHOOSE(k_model,D168,E168,F168,G168)</f>
        <v/>
      </c>
      <c r="R168">
        <f>CHOOSE(k_model,H168,I168,J168,K168)</f>
        <v/>
      </c>
    </row>
    <row r="169">
      <c r="A169" t="n">
        <v>167</v>
      </c>
      <c r="B169">
        <f>k_lo+k_rng*A169/1000</f>
        <v/>
      </c>
      <c r="C169">
        <f>(B169-k_mx)/k_sx</f>
        <v/>
      </c>
      <c r="D169">
        <f>k_p2_0+C169*(k_p2_1+C169*k_p2_2)</f>
        <v/>
      </c>
      <c r="E169">
        <f>k_p3_0+C169*(k_p3_1+C169*(k_p3_2+C169*k_p3_3))</f>
        <v/>
      </c>
      <c r="F169">
        <f>k_p4_0+C169*(k_p4_1+C169*(k_p4_2+C169*(k_p4_3+C169*k_p4_4)))</f>
        <v/>
      </c>
      <c r="G169">
        <f>k_ea+k_eb*EXP(k_ec*C169)</f>
        <v/>
      </c>
      <c r="H169">
        <f>(k_p2_1+2*k_p2_2*C169)/k_sx</f>
        <v/>
      </c>
      <c r="I169">
        <f>(k_p3_1+C169*(2*k_p3_2+3*k_p3_3*C169))/k_sx</f>
        <v/>
      </c>
      <c r="J169">
        <f>(k_p4_1+C169*(2*k_p4_2+C169*(3*k_p4_3+4*k_p4_4*C169)))/k_sx</f>
        <v/>
      </c>
      <c r="K169">
        <f>k_eb*k_ec*EXP(k_ec*C169)/k_sx</f>
        <v/>
      </c>
      <c r="L169">
        <f>(2*k_p4_2+C169*(6*k_p4_3+12*k_p4_4*C169))/k_sx^2</f>
        <v/>
      </c>
      <c r="M169">
        <f>D169/B169</f>
        <v/>
      </c>
      <c r="N169">
        <f>E169/B169</f>
        <v/>
      </c>
      <c r="O169">
        <f>F169/B169</f>
        <v/>
      </c>
      <c r="P169">
        <f>G169/B169</f>
        <v/>
      </c>
      <c r="Q169">
        <f>CHOOSE(k_model,D169,E169,F169,G169)</f>
        <v/>
      </c>
      <c r="R169">
        <f>CHOOSE(k_model,H169,I169,J169,K169)</f>
        <v/>
      </c>
    </row>
    <row r="170">
      <c r="A170" t="n">
        <v>168</v>
      </c>
      <c r="B170">
        <f>k_lo+k_rng*A170/1000</f>
        <v/>
      </c>
      <c r="C170">
        <f>(B170-k_mx)/k_sx</f>
        <v/>
      </c>
      <c r="D170">
        <f>k_p2_0+C170*(k_p2_1+C170*k_p2_2)</f>
        <v/>
      </c>
      <c r="E170">
        <f>k_p3_0+C170*(k_p3_1+C170*(k_p3_2+C170*k_p3_3))</f>
        <v/>
      </c>
      <c r="F170">
        <f>k_p4_0+C170*(k_p4_1+C170*(k_p4_2+C170*(k_p4_3+C170*k_p4_4)))</f>
        <v/>
      </c>
      <c r="G170">
        <f>k_ea+k_eb*EXP(k_ec*C170)</f>
        <v/>
      </c>
      <c r="H170">
        <f>(k_p2_1+2*k_p2_2*C170)/k_sx</f>
        <v/>
      </c>
      <c r="I170">
        <f>(k_p3_1+C170*(2*k_p3_2+3*k_p3_3*C170))/k_sx</f>
        <v/>
      </c>
      <c r="J170">
        <f>(k_p4_1+C170*(2*k_p4_2+C170*(3*k_p4_3+4*k_p4_4*C170)))/k_sx</f>
        <v/>
      </c>
      <c r="K170">
        <f>k_eb*k_ec*EXP(k_ec*C170)/k_sx</f>
        <v/>
      </c>
      <c r="L170">
        <f>(2*k_p4_2+C170*(6*k_p4_3+12*k_p4_4*C170))/k_sx^2</f>
        <v/>
      </c>
      <c r="M170">
        <f>D170/B170</f>
        <v/>
      </c>
      <c r="N170">
        <f>E170/B170</f>
        <v/>
      </c>
      <c r="O170">
        <f>F170/B170</f>
        <v/>
      </c>
      <c r="P170">
        <f>G170/B170</f>
        <v/>
      </c>
      <c r="Q170">
        <f>CHOOSE(k_model,D170,E170,F170,G170)</f>
        <v/>
      </c>
      <c r="R170">
        <f>CHOOSE(k_model,H170,I170,J170,K170)</f>
        <v/>
      </c>
    </row>
    <row r="171">
      <c r="A171" t="n">
        <v>169</v>
      </c>
      <c r="B171">
        <f>k_lo+k_rng*A171/1000</f>
        <v/>
      </c>
      <c r="C171">
        <f>(B171-k_mx)/k_sx</f>
        <v/>
      </c>
      <c r="D171">
        <f>k_p2_0+C171*(k_p2_1+C171*k_p2_2)</f>
        <v/>
      </c>
      <c r="E171">
        <f>k_p3_0+C171*(k_p3_1+C171*(k_p3_2+C171*k_p3_3))</f>
        <v/>
      </c>
      <c r="F171">
        <f>k_p4_0+C171*(k_p4_1+C171*(k_p4_2+C171*(k_p4_3+C171*k_p4_4)))</f>
        <v/>
      </c>
      <c r="G171">
        <f>k_ea+k_eb*EXP(k_ec*C171)</f>
        <v/>
      </c>
      <c r="H171">
        <f>(k_p2_1+2*k_p2_2*C171)/k_sx</f>
        <v/>
      </c>
      <c r="I171">
        <f>(k_p3_1+C171*(2*k_p3_2+3*k_p3_3*C171))/k_sx</f>
        <v/>
      </c>
      <c r="J171">
        <f>(k_p4_1+C171*(2*k_p4_2+C171*(3*k_p4_3+4*k_p4_4*C171)))/k_sx</f>
        <v/>
      </c>
      <c r="K171">
        <f>k_eb*k_ec*EXP(k_ec*C171)/k_sx</f>
        <v/>
      </c>
      <c r="L171">
        <f>(2*k_p4_2+C171*(6*k_p4_3+12*k_p4_4*C171))/k_sx^2</f>
        <v/>
      </c>
      <c r="M171">
        <f>D171/B171</f>
        <v/>
      </c>
      <c r="N171">
        <f>E171/B171</f>
        <v/>
      </c>
      <c r="O171">
        <f>F171/B171</f>
        <v/>
      </c>
      <c r="P171">
        <f>G171/B171</f>
        <v/>
      </c>
      <c r="Q171">
        <f>CHOOSE(k_model,D171,E171,F171,G171)</f>
        <v/>
      </c>
      <c r="R171">
        <f>CHOOSE(k_model,H171,I171,J171,K171)</f>
        <v/>
      </c>
    </row>
    <row r="172">
      <c r="A172" t="n">
        <v>170</v>
      </c>
      <c r="B172">
        <f>k_lo+k_rng*A172/1000</f>
        <v/>
      </c>
      <c r="C172">
        <f>(B172-k_mx)/k_sx</f>
        <v/>
      </c>
      <c r="D172">
        <f>k_p2_0+C172*(k_p2_1+C172*k_p2_2)</f>
        <v/>
      </c>
      <c r="E172">
        <f>k_p3_0+C172*(k_p3_1+C172*(k_p3_2+C172*k_p3_3))</f>
        <v/>
      </c>
      <c r="F172">
        <f>k_p4_0+C172*(k_p4_1+C172*(k_p4_2+C172*(k_p4_3+C172*k_p4_4)))</f>
        <v/>
      </c>
      <c r="G172">
        <f>k_ea+k_eb*EXP(k_ec*C172)</f>
        <v/>
      </c>
      <c r="H172">
        <f>(k_p2_1+2*k_p2_2*C172)/k_sx</f>
        <v/>
      </c>
      <c r="I172">
        <f>(k_p3_1+C172*(2*k_p3_2+3*k_p3_3*C172))/k_sx</f>
        <v/>
      </c>
      <c r="J172">
        <f>(k_p4_1+C172*(2*k_p4_2+C172*(3*k_p4_3+4*k_p4_4*C172)))/k_sx</f>
        <v/>
      </c>
      <c r="K172">
        <f>k_eb*k_ec*EXP(k_ec*C172)/k_sx</f>
        <v/>
      </c>
      <c r="L172">
        <f>(2*k_p4_2+C172*(6*k_p4_3+12*k_p4_4*C172))/k_sx^2</f>
        <v/>
      </c>
      <c r="M172">
        <f>D172/B172</f>
        <v/>
      </c>
      <c r="N172">
        <f>E172/B172</f>
        <v/>
      </c>
      <c r="O172">
        <f>F172/B172</f>
        <v/>
      </c>
      <c r="P172">
        <f>G172/B172</f>
        <v/>
      </c>
      <c r="Q172">
        <f>CHOOSE(k_model,D172,E172,F172,G172)</f>
        <v/>
      </c>
      <c r="R172">
        <f>CHOOSE(k_model,H172,I172,J172,K172)</f>
        <v/>
      </c>
    </row>
    <row r="173">
      <c r="A173" t="n">
        <v>171</v>
      </c>
      <c r="B173">
        <f>k_lo+k_rng*A173/1000</f>
        <v/>
      </c>
      <c r="C173">
        <f>(B173-k_mx)/k_sx</f>
        <v/>
      </c>
      <c r="D173">
        <f>k_p2_0+C173*(k_p2_1+C173*k_p2_2)</f>
        <v/>
      </c>
      <c r="E173">
        <f>k_p3_0+C173*(k_p3_1+C173*(k_p3_2+C173*k_p3_3))</f>
        <v/>
      </c>
      <c r="F173">
        <f>k_p4_0+C173*(k_p4_1+C173*(k_p4_2+C173*(k_p4_3+C173*k_p4_4)))</f>
        <v/>
      </c>
      <c r="G173">
        <f>k_ea+k_eb*EXP(k_ec*C173)</f>
        <v/>
      </c>
      <c r="H173">
        <f>(k_p2_1+2*k_p2_2*C173)/k_sx</f>
        <v/>
      </c>
      <c r="I173">
        <f>(k_p3_1+C173*(2*k_p3_2+3*k_p3_3*C173))/k_sx</f>
        <v/>
      </c>
      <c r="J173">
        <f>(k_p4_1+C173*(2*k_p4_2+C173*(3*k_p4_3+4*k_p4_4*C173)))/k_sx</f>
        <v/>
      </c>
      <c r="K173">
        <f>k_eb*k_ec*EXP(k_ec*C173)/k_sx</f>
        <v/>
      </c>
      <c r="L173">
        <f>(2*k_p4_2+C173*(6*k_p4_3+12*k_p4_4*C173))/k_sx^2</f>
        <v/>
      </c>
      <c r="M173">
        <f>D173/B173</f>
        <v/>
      </c>
      <c r="N173">
        <f>E173/B173</f>
        <v/>
      </c>
      <c r="O173">
        <f>F173/B173</f>
        <v/>
      </c>
      <c r="P173">
        <f>G173/B173</f>
        <v/>
      </c>
      <c r="Q173">
        <f>CHOOSE(k_model,D173,E173,F173,G173)</f>
        <v/>
      </c>
      <c r="R173">
        <f>CHOOSE(k_model,H173,I173,J173,K173)</f>
        <v/>
      </c>
    </row>
    <row r="174">
      <c r="A174" t="n">
        <v>172</v>
      </c>
      <c r="B174">
        <f>k_lo+k_rng*A174/1000</f>
        <v/>
      </c>
      <c r="C174">
        <f>(B174-k_mx)/k_sx</f>
        <v/>
      </c>
      <c r="D174">
        <f>k_p2_0+C174*(k_p2_1+C174*k_p2_2)</f>
        <v/>
      </c>
      <c r="E174">
        <f>k_p3_0+C174*(k_p3_1+C174*(k_p3_2+C174*k_p3_3))</f>
        <v/>
      </c>
      <c r="F174">
        <f>k_p4_0+C174*(k_p4_1+C174*(k_p4_2+C174*(k_p4_3+C174*k_p4_4)))</f>
        <v/>
      </c>
      <c r="G174">
        <f>k_ea+k_eb*EXP(k_ec*C174)</f>
        <v/>
      </c>
      <c r="H174">
        <f>(k_p2_1+2*k_p2_2*C174)/k_sx</f>
        <v/>
      </c>
      <c r="I174">
        <f>(k_p3_1+C174*(2*k_p3_2+3*k_p3_3*C174))/k_sx</f>
        <v/>
      </c>
      <c r="J174">
        <f>(k_p4_1+C174*(2*k_p4_2+C174*(3*k_p4_3+4*k_p4_4*C174)))/k_sx</f>
        <v/>
      </c>
      <c r="K174">
        <f>k_eb*k_ec*EXP(k_ec*C174)/k_sx</f>
        <v/>
      </c>
      <c r="L174">
        <f>(2*k_p4_2+C174*(6*k_p4_3+12*k_p4_4*C174))/k_sx^2</f>
        <v/>
      </c>
      <c r="M174">
        <f>D174/B174</f>
        <v/>
      </c>
      <c r="N174">
        <f>E174/B174</f>
        <v/>
      </c>
      <c r="O174">
        <f>F174/B174</f>
        <v/>
      </c>
      <c r="P174">
        <f>G174/B174</f>
        <v/>
      </c>
      <c r="Q174">
        <f>CHOOSE(k_model,D174,E174,F174,G174)</f>
        <v/>
      </c>
      <c r="R174">
        <f>CHOOSE(k_model,H174,I174,J174,K174)</f>
        <v/>
      </c>
    </row>
    <row r="175">
      <c r="A175" t="n">
        <v>173</v>
      </c>
      <c r="B175">
        <f>k_lo+k_rng*A175/1000</f>
        <v/>
      </c>
      <c r="C175">
        <f>(B175-k_mx)/k_sx</f>
        <v/>
      </c>
      <c r="D175">
        <f>k_p2_0+C175*(k_p2_1+C175*k_p2_2)</f>
        <v/>
      </c>
      <c r="E175">
        <f>k_p3_0+C175*(k_p3_1+C175*(k_p3_2+C175*k_p3_3))</f>
        <v/>
      </c>
      <c r="F175">
        <f>k_p4_0+C175*(k_p4_1+C175*(k_p4_2+C175*(k_p4_3+C175*k_p4_4)))</f>
        <v/>
      </c>
      <c r="G175">
        <f>k_ea+k_eb*EXP(k_ec*C175)</f>
        <v/>
      </c>
      <c r="H175">
        <f>(k_p2_1+2*k_p2_2*C175)/k_sx</f>
        <v/>
      </c>
      <c r="I175">
        <f>(k_p3_1+C175*(2*k_p3_2+3*k_p3_3*C175))/k_sx</f>
        <v/>
      </c>
      <c r="J175">
        <f>(k_p4_1+C175*(2*k_p4_2+C175*(3*k_p4_3+4*k_p4_4*C175)))/k_sx</f>
        <v/>
      </c>
      <c r="K175">
        <f>k_eb*k_ec*EXP(k_ec*C175)/k_sx</f>
        <v/>
      </c>
      <c r="L175">
        <f>(2*k_p4_2+C175*(6*k_p4_3+12*k_p4_4*C175))/k_sx^2</f>
        <v/>
      </c>
      <c r="M175">
        <f>D175/B175</f>
        <v/>
      </c>
      <c r="N175">
        <f>E175/B175</f>
        <v/>
      </c>
      <c r="O175">
        <f>F175/B175</f>
        <v/>
      </c>
      <c r="P175">
        <f>G175/B175</f>
        <v/>
      </c>
      <c r="Q175">
        <f>CHOOSE(k_model,D175,E175,F175,G175)</f>
        <v/>
      </c>
      <c r="R175">
        <f>CHOOSE(k_model,H175,I175,J175,K175)</f>
        <v/>
      </c>
    </row>
    <row r="176">
      <c r="A176" t="n">
        <v>174</v>
      </c>
      <c r="B176">
        <f>k_lo+k_rng*A176/1000</f>
        <v/>
      </c>
      <c r="C176">
        <f>(B176-k_mx)/k_sx</f>
        <v/>
      </c>
      <c r="D176">
        <f>k_p2_0+C176*(k_p2_1+C176*k_p2_2)</f>
        <v/>
      </c>
      <c r="E176">
        <f>k_p3_0+C176*(k_p3_1+C176*(k_p3_2+C176*k_p3_3))</f>
        <v/>
      </c>
      <c r="F176">
        <f>k_p4_0+C176*(k_p4_1+C176*(k_p4_2+C176*(k_p4_3+C176*k_p4_4)))</f>
        <v/>
      </c>
      <c r="G176">
        <f>k_ea+k_eb*EXP(k_ec*C176)</f>
        <v/>
      </c>
      <c r="H176">
        <f>(k_p2_1+2*k_p2_2*C176)/k_sx</f>
        <v/>
      </c>
      <c r="I176">
        <f>(k_p3_1+C176*(2*k_p3_2+3*k_p3_3*C176))/k_sx</f>
        <v/>
      </c>
      <c r="J176">
        <f>(k_p4_1+C176*(2*k_p4_2+C176*(3*k_p4_3+4*k_p4_4*C176)))/k_sx</f>
        <v/>
      </c>
      <c r="K176">
        <f>k_eb*k_ec*EXP(k_ec*C176)/k_sx</f>
        <v/>
      </c>
      <c r="L176">
        <f>(2*k_p4_2+C176*(6*k_p4_3+12*k_p4_4*C176))/k_sx^2</f>
        <v/>
      </c>
      <c r="M176">
        <f>D176/B176</f>
        <v/>
      </c>
      <c r="N176">
        <f>E176/B176</f>
        <v/>
      </c>
      <c r="O176">
        <f>F176/B176</f>
        <v/>
      </c>
      <c r="P176">
        <f>G176/B176</f>
        <v/>
      </c>
      <c r="Q176">
        <f>CHOOSE(k_model,D176,E176,F176,G176)</f>
        <v/>
      </c>
      <c r="R176">
        <f>CHOOSE(k_model,H176,I176,J176,K176)</f>
        <v/>
      </c>
    </row>
    <row r="177">
      <c r="A177" t="n">
        <v>175</v>
      </c>
      <c r="B177">
        <f>k_lo+k_rng*A177/1000</f>
        <v/>
      </c>
      <c r="C177">
        <f>(B177-k_mx)/k_sx</f>
        <v/>
      </c>
      <c r="D177">
        <f>k_p2_0+C177*(k_p2_1+C177*k_p2_2)</f>
        <v/>
      </c>
      <c r="E177">
        <f>k_p3_0+C177*(k_p3_1+C177*(k_p3_2+C177*k_p3_3))</f>
        <v/>
      </c>
      <c r="F177">
        <f>k_p4_0+C177*(k_p4_1+C177*(k_p4_2+C177*(k_p4_3+C177*k_p4_4)))</f>
        <v/>
      </c>
      <c r="G177">
        <f>k_ea+k_eb*EXP(k_ec*C177)</f>
        <v/>
      </c>
      <c r="H177">
        <f>(k_p2_1+2*k_p2_2*C177)/k_sx</f>
        <v/>
      </c>
      <c r="I177">
        <f>(k_p3_1+C177*(2*k_p3_2+3*k_p3_3*C177))/k_sx</f>
        <v/>
      </c>
      <c r="J177">
        <f>(k_p4_1+C177*(2*k_p4_2+C177*(3*k_p4_3+4*k_p4_4*C177)))/k_sx</f>
        <v/>
      </c>
      <c r="K177">
        <f>k_eb*k_ec*EXP(k_ec*C177)/k_sx</f>
        <v/>
      </c>
      <c r="L177">
        <f>(2*k_p4_2+C177*(6*k_p4_3+12*k_p4_4*C177))/k_sx^2</f>
        <v/>
      </c>
      <c r="M177">
        <f>D177/B177</f>
        <v/>
      </c>
      <c r="N177">
        <f>E177/B177</f>
        <v/>
      </c>
      <c r="O177">
        <f>F177/B177</f>
        <v/>
      </c>
      <c r="P177">
        <f>G177/B177</f>
        <v/>
      </c>
      <c r="Q177">
        <f>CHOOSE(k_model,D177,E177,F177,G177)</f>
        <v/>
      </c>
      <c r="R177">
        <f>CHOOSE(k_model,H177,I177,J177,K177)</f>
        <v/>
      </c>
    </row>
    <row r="178">
      <c r="A178" t="n">
        <v>176</v>
      </c>
      <c r="B178">
        <f>k_lo+k_rng*A178/1000</f>
        <v/>
      </c>
      <c r="C178">
        <f>(B178-k_mx)/k_sx</f>
        <v/>
      </c>
      <c r="D178">
        <f>k_p2_0+C178*(k_p2_1+C178*k_p2_2)</f>
        <v/>
      </c>
      <c r="E178">
        <f>k_p3_0+C178*(k_p3_1+C178*(k_p3_2+C178*k_p3_3))</f>
        <v/>
      </c>
      <c r="F178">
        <f>k_p4_0+C178*(k_p4_1+C178*(k_p4_2+C178*(k_p4_3+C178*k_p4_4)))</f>
        <v/>
      </c>
      <c r="G178">
        <f>k_ea+k_eb*EXP(k_ec*C178)</f>
        <v/>
      </c>
      <c r="H178">
        <f>(k_p2_1+2*k_p2_2*C178)/k_sx</f>
        <v/>
      </c>
      <c r="I178">
        <f>(k_p3_1+C178*(2*k_p3_2+3*k_p3_3*C178))/k_sx</f>
        <v/>
      </c>
      <c r="J178">
        <f>(k_p4_1+C178*(2*k_p4_2+C178*(3*k_p4_3+4*k_p4_4*C178)))/k_sx</f>
        <v/>
      </c>
      <c r="K178">
        <f>k_eb*k_ec*EXP(k_ec*C178)/k_sx</f>
        <v/>
      </c>
      <c r="L178">
        <f>(2*k_p4_2+C178*(6*k_p4_3+12*k_p4_4*C178))/k_sx^2</f>
        <v/>
      </c>
      <c r="M178">
        <f>D178/B178</f>
        <v/>
      </c>
      <c r="N178">
        <f>E178/B178</f>
        <v/>
      </c>
      <c r="O178">
        <f>F178/B178</f>
        <v/>
      </c>
      <c r="P178">
        <f>G178/B178</f>
        <v/>
      </c>
      <c r="Q178">
        <f>CHOOSE(k_model,D178,E178,F178,G178)</f>
        <v/>
      </c>
      <c r="R178">
        <f>CHOOSE(k_model,H178,I178,J178,K178)</f>
        <v/>
      </c>
    </row>
    <row r="179">
      <c r="A179" t="n">
        <v>177</v>
      </c>
      <c r="B179">
        <f>k_lo+k_rng*A179/1000</f>
        <v/>
      </c>
      <c r="C179">
        <f>(B179-k_mx)/k_sx</f>
        <v/>
      </c>
      <c r="D179">
        <f>k_p2_0+C179*(k_p2_1+C179*k_p2_2)</f>
        <v/>
      </c>
      <c r="E179">
        <f>k_p3_0+C179*(k_p3_1+C179*(k_p3_2+C179*k_p3_3))</f>
        <v/>
      </c>
      <c r="F179">
        <f>k_p4_0+C179*(k_p4_1+C179*(k_p4_2+C179*(k_p4_3+C179*k_p4_4)))</f>
        <v/>
      </c>
      <c r="G179">
        <f>k_ea+k_eb*EXP(k_ec*C179)</f>
        <v/>
      </c>
      <c r="H179">
        <f>(k_p2_1+2*k_p2_2*C179)/k_sx</f>
        <v/>
      </c>
      <c r="I179">
        <f>(k_p3_1+C179*(2*k_p3_2+3*k_p3_3*C179))/k_sx</f>
        <v/>
      </c>
      <c r="J179">
        <f>(k_p4_1+C179*(2*k_p4_2+C179*(3*k_p4_3+4*k_p4_4*C179)))/k_sx</f>
        <v/>
      </c>
      <c r="K179">
        <f>k_eb*k_ec*EXP(k_ec*C179)/k_sx</f>
        <v/>
      </c>
      <c r="L179">
        <f>(2*k_p4_2+C179*(6*k_p4_3+12*k_p4_4*C179))/k_sx^2</f>
        <v/>
      </c>
      <c r="M179">
        <f>D179/B179</f>
        <v/>
      </c>
      <c r="N179">
        <f>E179/B179</f>
        <v/>
      </c>
      <c r="O179">
        <f>F179/B179</f>
        <v/>
      </c>
      <c r="P179">
        <f>G179/B179</f>
        <v/>
      </c>
      <c r="Q179">
        <f>CHOOSE(k_model,D179,E179,F179,G179)</f>
        <v/>
      </c>
      <c r="R179">
        <f>CHOOSE(k_model,H179,I179,J179,K179)</f>
        <v/>
      </c>
    </row>
    <row r="180">
      <c r="A180" t="n">
        <v>178</v>
      </c>
      <c r="B180">
        <f>k_lo+k_rng*A180/1000</f>
        <v/>
      </c>
      <c r="C180">
        <f>(B180-k_mx)/k_sx</f>
        <v/>
      </c>
      <c r="D180">
        <f>k_p2_0+C180*(k_p2_1+C180*k_p2_2)</f>
        <v/>
      </c>
      <c r="E180">
        <f>k_p3_0+C180*(k_p3_1+C180*(k_p3_2+C180*k_p3_3))</f>
        <v/>
      </c>
      <c r="F180">
        <f>k_p4_0+C180*(k_p4_1+C180*(k_p4_2+C180*(k_p4_3+C180*k_p4_4)))</f>
        <v/>
      </c>
      <c r="G180">
        <f>k_ea+k_eb*EXP(k_ec*C180)</f>
        <v/>
      </c>
      <c r="H180">
        <f>(k_p2_1+2*k_p2_2*C180)/k_sx</f>
        <v/>
      </c>
      <c r="I180">
        <f>(k_p3_1+C180*(2*k_p3_2+3*k_p3_3*C180))/k_sx</f>
        <v/>
      </c>
      <c r="J180">
        <f>(k_p4_1+C180*(2*k_p4_2+C180*(3*k_p4_3+4*k_p4_4*C180)))/k_sx</f>
        <v/>
      </c>
      <c r="K180">
        <f>k_eb*k_ec*EXP(k_ec*C180)/k_sx</f>
        <v/>
      </c>
      <c r="L180">
        <f>(2*k_p4_2+C180*(6*k_p4_3+12*k_p4_4*C180))/k_sx^2</f>
        <v/>
      </c>
      <c r="M180">
        <f>D180/B180</f>
        <v/>
      </c>
      <c r="N180">
        <f>E180/B180</f>
        <v/>
      </c>
      <c r="O180">
        <f>F180/B180</f>
        <v/>
      </c>
      <c r="P180">
        <f>G180/B180</f>
        <v/>
      </c>
      <c r="Q180">
        <f>CHOOSE(k_model,D180,E180,F180,G180)</f>
        <v/>
      </c>
      <c r="R180">
        <f>CHOOSE(k_model,H180,I180,J180,K180)</f>
        <v/>
      </c>
    </row>
    <row r="181">
      <c r="A181" t="n">
        <v>179</v>
      </c>
      <c r="B181">
        <f>k_lo+k_rng*A181/1000</f>
        <v/>
      </c>
      <c r="C181">
        <f>(B181-k_mx)/k_sx</f>
        <v/>
      </c>
      <c r="D181">
        <f>k_p2_0+C181*(k_p2_1+C181*k_p2_2)</f>
        <v/>
      </c>
      <c r="E181">
        <f>k_p3_0+C181*(k_p3_1+C181*(k_p3_2+C181*k_p3_3))</f>
        <v/>
      </c>
      <c r="F181">
        <f>k_p4_0+C181*(k_p4_1+C181*(k_p4_2+C181*(k_p4_3+C181*k_p4_4)))</f>
        <v/>
      </c>
      <c r="G181">
        <f>k_ea+k_eb*EXP(k_ec*C181)</f>
        <v/>
      </c>
      <c r="H181">
        <f>(k_p2_1+2*k_p2_2*C181)/k_sx</f>
        <v/>
      </c>
      <c r="I181">
        <f>(k_p3_1+C181*(2*k_p3_2+3*k_p3_3*C181))/k_sx</f>
        <v/>
      </c>
      <c r="J181">
        <f>(k_p4_1+C181*(2*k_p4_2+C181*(3*k_p4_3+4*k_p4_4*C181)))/k_sx</f>
        <v/>
      </c>
      <c r="K181">
        <f>k_eb*k_ec*EXP(k_ec*C181)/k_sx</f>
        <v/>
      </c>
      <c r="L181">
        <f>(2*k_p4_2+C181*(6*k_p4_3+12*k_p4_4*C181))/k_sx^2</f>
        <v/>
      </c>
      <c r="M181">
        <f>D181/B181</f>
        <v/>
      </c>
      <c r="N181">
        <f>E181/B181</f>
        <v/>
      </c>
      <c r="O181">
        <f>F181/B181</f>
        <v/>
      </c>
      <c r="P181">
        <f>G181/B181</f>
        <v/>
      </c>
      <c r="Q181">
        <f>CHOOSE(k_model,D181,E181,F181,G181)</f>
        <v/>
      </c>
      <c r="R181">
        <f>CHOOSE(k_model,H181,I181,J181,K181)</f>
        <v/>
      </c>
    </row>
    <row r="182">
      <c r="A182" t="n">
        <v>180</v>
      </c>
      <c r="B182">
        <f>k_lo+k_rng*A182/1000</f>
        <v/>
      </c>
      <c r="C182">
        <f>(B182-k_mx)/k_sx</f>
        <v/>
      </c>
      <c r="D182">
        <f>k_p2_0+C182*(k_p2_1+C182*k_p2_2)</f>
        <v/>
      </c>
      <c r="E182">
        <f>k_p3_0+C182*(k_p3_1+C182*(k_p3_2+C182*k_p3_3))</f>
        <v/>
      </c>
      <c r="F182">
        <f>k_p4_0+C182*(k_p4_1+C182*(k_p4_2+C182*(k_p4_3+C182*k_p4_4)))</f>
        <v/>
      </c>
      <c r="G182">
        <f>k_ea+k_eb*EXP(k_ec*C182)</f>
        <v/>
      </c>
      <c r="H182">
        <f>(k_p2_1+2*k_p2_2*C182)/k_sx</f>
        <v/>
      </c>
      <c r="I182">
        <f>(k_p3_1+C182*(2*k_p3_2+3*k_p3_3*C182))/k_sx</f>
        <v/>
      </c>
      <c r="J182">
        <f>(k_p4_1+C182*(2*k_p4_2+C182*(3*k_p4_3+4*k_p4_4*C182)))/k_sx</f>
        <v/>
      </c>
      <c r="K182">
        <f>k_eb*k_ec*EXP(k_ec*C182)/k_sx</f>
        <v/>
      </c>
      <c r="L182">
        <f>(2*k_p4_2+C182*(6*k_p4_3+12*k_p4_4*C182))/k_sx^2</f>
        <v/>
      </c>
      <c r="M182">
        <f>D182/B182</f>
        <v/>
      </c>
      <c r="N182">
        <f>E182/B182</f>
        <v/>
      </c>
      <c r="O182">
        <f>F182/B182</f>
        <v/>
      </c>
      <c r="P182">
        <f>G182/B182</f>
        <v/>
      </c>
      <c r="Q182">
        <f>CHOOSE(k_model,D182,E182,F182,G182)</f>
        <v/>
      </c>
      <c r="R182">
        <f>CHOOSE(k_model,H182,I182,J182,K182)</f>
        <v/>
      </c>
    </row>
    <row r="183">
      <c r="A183" t="n">
        <v>181</v>
      </c>
      <c r="B183">
        <f>k_lo+k_rng*A183/1000</f>
        <v/>
      </c>
      <c r="C183">
        <f>(B183-k_mx)/k_sx</f>
        <v/>
      </c>
      <c r="D183">
        <f>k_p2_0+C183*(k_p2_1+C183*k_p2_2)</f>
        <v/>
      </c>
      <c r="E183">
        <f>k_p3_0+C183*(k_p3_1+C183*(k_p3_2+C183*k_p3_3))</f>
        <v/>
      </c>
      <c r="F183">
        <f>k_p4_0+C183*(k_p4_1+C183*(k_p4_2+C183*(k_p4_3+C183*k_p4_4)))</f>
        <v/>
      </c>
      <c r="G183">
        <f>k_ea+k_eb*EXP(k_ec*C183)</f>
        <v/>
      </c>
      <c r="H183">
        <f>(k_p2_1+2*k_p2_2*C183)/k_sx</f>
        <v/>
      </c>
      <c r="I183">
        <f>(k_p3_1+C183*(2*k_p3_2+3*k_p3_3*C183))/k_sx</f>
        <v/>
      </c>
      <c r="J183">
        <f>(k_p4_1+C183*(2*k_p4_2+C183*(3*k_p4_3+4*k_p4_4*C183)))/k_sx</f>
        <v/>
      </c>
      <c r="K183">
        <f>k_eb*k_ec*EXP(k_ec*C183)/k_sx</f>
        <v/>
      </c>
      <c r="L183">
        <f>(2*k_p4_2+C183*(6*k_p4_3+12*k_p4_4*C183))/k_sx^2</f>
        <v/>
      </c>
      <c r="M183">
        <f>D183/B183</f>
        <v/>
      </c>
      <c r="N183">
        <f>E183/B183</f>
        <v/>
      </c>
      <c r="O183">
        <f>F183/B183</f>
        <v/>
      </c>
      <c r="P183">
        <f>G183/B183</f>
        <v/>
      </c>
      <c r="Q183">
        <f>CHOOSE(k_model,D183,E183,F183,G183)</f>
        <v/>
      </c>
      <c r="R183">
        <f>CHOOSE(k_model,H183,I183,J183,K183)</f>
        <v/>
      </c>
    </row>
    <row r="184">
      <c r="A184" t="n">
        <v>182</v>
      </c>
      <c r="B184">
        <f>k_lo+k_rng*A184/1000</f>
        <v/>
      </c>
      <c r="C184">
        <f>(B184-k_mx)/k_sx</f>
        <v/>
      </c>
      <c r="D184">
        <f>k_p2_0+C184*(k_p2_1+C184*k_p2_2)</f>
        <v/>
      </c>
      <c r="E184">
        <f>k_p3_0+C184*(k_p3_1+C184*(k_p3_2+C184*k_p3_3))</f>
        <v/>
      </c>
      <c r="F184">
        <f>k_p4_0+C184*(k_p4_1+C184*(k_p4_2+C184*(k_p4_3+C184*k_p4_4)))</f>
        <v/>
      </c>
      <c r="G184">
        <f>k_ea+k_eb*EXP(k_ec*C184)</f>
        <v/>
      </c>
      <c r="H184">
        <f>(k_p2_1+2*k_p2_2*C184)/k_sx</f>
        <v/>
      </c>
      <c r="I184">
        <f>(k_p3_1+C184*(2*k_p3_2+3*k_p3_3*C184))/k_sx</f>
        <v/>
      </c>
      <c r="J184">
        <f>(k_p4_1+C184*(2*k_p4_2+C184*(3*k_p4_3+4*k_p4_4*C184)))/k_sx</f>
        <v/>
      </c>
      <c r="K184">
        <f>k_eb*k_ec*EXP(k_ec*C184)/k_sx</f>
        <v/>
      </c>
      <c r="L184">
        <f>(2*k_p4_2+C184*(6*k_p4_3+12*k_p4_4*C184))/k_sx^2</f>
        <v/>
      </c>
      <c r="M184">
        <f>D184/B184</f>
        <v/>
      </c>
      <c r="N184">
        <f>E184/B184</f>
        <v/>
      </c>
      <c r="O184">
        <f>F184/B184</f>
        <v/>
      </c>
      <c r="P184">
        <f>G184/B184</f>
        <v/>
      </c>
      <c r="Q184">
        <f>CHOOSE(k_model,D184,E184,F184,G184)</f>
        <v/>
      </c>
      <c r="R184">
        <f>CHOOSE(k_model,H184,I184,J184,K184)</f>
        <v/>
      </c>
    </row>
    <row r="185">
      <c r="A185" t="n">
        <v>183</v>
      </c>
      <c r="B185">
        <f>k_lo+k_rng*A185/1000</f>
        <v/>
      </c>
      <c r="C185">
        <f>(B185-k_mx)/k_sx</f>
        <v/>
      </c>
      <c r="D185">
        <f>k_p2_0+C185*(k_p2_1+C185*k_p2_2)</f>
        <v/>
      </c>
      <c r="E185">
        <f>k_p3_0+C185*(k_p3_1+C185*(k_p3_2+C185*k_p3_3))</f>
        <v/>
      </c>
      <c r="F185">
        <f>k_p4_0+C185*(k_p4_1+C185*(k_p4_2+C185*(k_p4_3+C185*k_p4_4)))</f>
        <v/>
      </c>
      <c r="G185">
        <f>k_ea+k_eb*EXP(k_ec*C185)</f>
        <v/>
      </c>
      <c r="H185">
        <f>(k_p2_1+2*k_p2_2*C185)/k_sx</f>
        <v/>
      </c>
      <c r="I185">
        <f>(k_p3_1+C185*(2*k_p3_2+3*k_p3_3*C185))/k_sx</f>
        <v/>
      </c>
      <c r="J185">
        <f>(k_p4_1+C185*(2*k_p4_2+C185*(3*k_p4_3+4*k_p4_4*C185)))/k_sx</f>
        <v/>
      </c>
      <c r="K185">
        <f>k_eb*k_ec*EXP(k_ec*C185)/k_sx</f>
        <v/>
      </c>
      <c r="L185">
        <f>(2*k_p4_2+C185*(6*k_p4_3+12*k_p4_4*C185))/k_sx^2</f>
        <v/>
      </c>
      <c r="M185">
        <f>D185/B185</f>
        <v/>
      </c>
      <c r="N185">
        <f>E185/B185</f>
        <v/>
      </c>
      <c r="O185">
        <f>F185/B185</f>
        <v/>
      </c>
      <c r="P185">
        <f>G185/B185</f>
        <v/>
      </c>
      <c r="Q185">
        <f>CHOOSE(k_model,D185,E185,F185,G185)</f>
        <v/>
      </c>
      <c r="R185">
        <f>CHOOSE(k_model,H185,I185,J185,K185)</f>
        <v/>
      </c>
    </row>
    <row r="186">
      <c r="A186" t="n">
        <v>184</v>
      </c>
      <c r="B186">
        <f>k_lo+k_rng*A186/1000</f>
        <v/>
      </c>
      <c r="C186">
        <f>(B186-k_mx)/k_sx</f>
        <v/>
      </c>
      <c r="D186">
        <f>k_p2_0+C186*(k_p2_1+C186*k_p2_2)</f>
        <v/>
      </c>
      <c r="E186">
        <f>k_p3_0+C186*(k_p3_1+C186*(k_p3_2+C186*k_p3_3))</f>
        <v/>
      </c>
      <c r="F186">
        <f>k_p4_0+C186*(k_p4_1+C186*(k_p4_2+C186*(k_p4_3+C186*k_p4_4)))</f>
        <v/>
      </c>
      <c r="G186">
        <f>k_ea+k_eb*EXP(k_ec*C186)</f>
        <v/>
      </c>
      <c r="H186">
        <f>(k_p2_1+2*k_p2_2*C186)/k_sx</f>
        <v/>
      </c>
      <c r="I186">
        <f>(k_p3_1+C186*(2*k_p3_2+3*k_p3_3*C186))/k_sx</f>
        <v/>
      </c>
      <c r="J186">
        <f>(k_p4_1+C186*(2*k_p4_2+C186*(3*k_p4_3+4*k_p4_4*C186)))/k_sx</f>
        <v/>
      </c>
      <c r="K186">
        <f>k_eb*k_ec*EXP(k_ec*C186)/k_sx</f>
        <v/>
      </c>
      <c r="L186">
        <f>(2*k_p4_2+C186*(6*k_p4_3+12*k_p4_4*C186))/k_sx^2</f>
        <v/>
      </c>
      <c r="M186">
        <f>D186/B186</f>
        <v/>
      </c>
      <c r="N186">
        <f>E186/B186</f>
        <v/>
      </c>
      <c r="O186">
        <f>F186/B186</f>
        <v/>
      </c>
      <c r="P186">
        <f>G186/B186</f>
        <v/>
      </c>
      <c r="Q186">
        <f>CHOOSE(k_model,D186,E186,F186,G186)</f>
        <v/>
      </c>
      <c r="R186">
        <f>CHOOSE(k_model,H186,I186,J186,K186)</f>
        <v/>
      </c>
    </row>
    <row r="187">
      <c r="A187" t="n">
        <v>185</v>
      </c>
      <c r="B187">
        <f>k_lo+k_rng*A187/1000</f>
        <v/>
      </c>
      <c r="C187">
        <f>(B187-k_mx)/k_sx</f>
        <v/>
      </c>
      <c r="D187">
        <f>k_p2_0+C187*(k_p2_1+C187*k_p2_2)</f>
        <v/>
      </c>
      <c r="E187">
        <f>k_p3_0+C187*(k_p3_1+C187*(k_p3_2+C187*k_p3_3))</f>
        <v/>
      </c>
      <c r="F187">
        <f>k_p4_0+C187*(k_p4_1+C187*(k_p4_2+C187*(k_p4_3+C187*k_p4_4)))</f>
        <v/>
      </c>
      <c r="G187">
        <f>k_ea+k_eb*EXP(k_ec*C187)</f>
        <v/>
      </c>
      <c r="H187">
        <f>(k_p2_1+2*k_p2_2*C187)/k_sx</f>
        <v/>
      </c>
      <c r="I187">
        <f>(k_p3_1+C187*(2*k_p3_2+3*k_p3_3*C187))/k_sx</f>
        <v/>
      </c>
      <c r="J187">
        <f>(k_p4_1+C187*(2*k_p4_2+C187*(3*k_p4_3+4*k_p4_4*C187)))/k_sx</f>
        <v/>
      </c>
      <c r="K187">
        <f>k_eb*k_ec*EXP(k_ec*C187)/k_sx</f>
        <v/>
      </c>
      <c r="L187">
        <f>(2*k_p4_2+C187*(6*k_p4_3+12*k_p4_4*C187))/k_sx^2</f>
        <v/>
      </c>
      <c r="M187">
        <f>D187/B187</f>
        <v/>
      </c>
      <c r="N187">
        <f>E187/B187</f>
        <v/>
      </c>
      <c r="O187">
        <f>F187/B187</f>
        <v/>
      </c>
      <c r="P187">
        <f>G187/B187</f>
        <v/>
      </c>
      <c r="Q187">
        <f>CHOOSE(k_model,D187,E187,F187,G187)</f>
        <v/>
      </c>
      <c r="R187">
        <f>CHOOSE(k_model,H187,I187,J187,K187)</f>
        <v/>
      </c>
    </row>
    <row r="188">
      <c r="A188" t="n">
        <v>186</v>
      </c>
      <c r="B188">
        <f>k_lo+k_rng*A188/1000</f>
        <v/>
      </c>
      <c r="C188">
        <f>(B188-k_mx)/k_sx</f>
        <v/>
      </c>
      <c r="D188">
        <f>k_p2_0+C188*(k_p2_1+C188*k_p2_2)</f>
        <v/>
      </c>
      <c r="E188">
        <f>k_p3_0+C188*(k_p3_1+C188*(k_p3_2+C188*k_p3_3))</f>
        <v/>
      </c>
      <c r="F188">
        <f>k_p4_0+C188*(k_p4_1+C188*(k_p4_2+C188*(k_p4_3+C188*k_p4_4)))</f>
        <v/>
      </c>
      <c r="G188">
        <f>k_ea+k_eb*EXP(k_ec*C188)</f>
        <v/>
      </c>
      <c r="H188">
        <f>(k_p2_1+2*k_p2_2*C188)/k_sx</f>
        <v/>
      </c>
      <c r="I188">
        <f>(k_p3_1+C188*(2*k_p3_2+3*k_p3_3*C188))/k_sx</f>
        <v/>
      </c>
      <c r="J188">
        <f>(k_p4_1+C188*(2*k_p4_2+C188*(3*k_p4_3+4*k_p4_4*C188)))/k_sx</f>
        <v/>
      </c>
      <c r="K188">
        <f>k_eb*k_ec*EXP(k_ec*C188)/k_sx</f>
        <v/>
      </c>
      <c r="L188">
        <f>(2*k_p4_2+C188*(6*k_p4_3+12*k_p4_4*C188))/k_sx^2</f>
        <v/>
      </c>
      <c r="M188">
        <f>D188/B188</f>
        <v/>
      </c>
      <c r="N188">
        <f>E188/B188</f>
        <v/>
      </c>
      <c r="O188">
        <f>F188/B188</f>
        <v/>
      </c>
      <c r="P188">
        <f>G188/B188</f>
        <v/>
      </c>
      <c r="Q188">
        <f>CHOOSE(k_model,D188,E188,F188,G188)</f>
        <v/>
      </c>
      <c r="R188">
        <f>CHOOSE(k_model,H188,I188,J188,K188)</f>
        <v/>
      </c>
    </row>
    <row r="189">
      <c r="A189" t="n">
        <v>187</v>
      </c>
      <c r="B189">
        <f>k_lo+k_rng*A189/1000</f>
        <v/>
      </c>
      <c r="C189">
        <f>(B189-k_mx)/k_sx</f>
        <v/>
      </c>
      <c r="D189">
        <f>k_p2_0+C189*(k_p2_1+C189*k_p2_2)</f>
        <v/>
      </c>
      <c r="E189">
        <f>k_p3_0+C189*(k_p3_1+C189*(k_p3_2+C189*k_p3_3))</f>
        <v/>
      </c>
      <c r="F189">
        <f>k_p4_0+C189*(k_p4_1+C189*(k_p4_2+C189*(k_p4_3+C189*k_p4_4)))</f>
        <v/>
      </c>
      <c r="G189">
        <f>k_ea+k_eb*EXP(k_ec*C189)</f>
        <v/>
      </c>
      <c r="H189">
        <f>(k_p2_1+2*k_p2_2*C189)/k_sx</f>
        <v/>
      </c>
      <c r="I189">
        <f>(k_p3_1+C189*(2*k_p3_2+3*k_p3_3*C189))/k_sx</f>
        <v/>
      </c>
      <c r="J189">
        <f>(k_p4_1+C189*(2*k_p4_2+C189*(3*k_p4_3+4*k_p4_4*C189)))/k_sx</f>
        <v/>
      </c>
      <c r="K189">
        <f>k_eb*k_ec*EXP(k_ec*C189)/k_sx</f>
        <v/>
      </c>
      <c r="L189">
        <f>(2*k_p4_2+C189*(6*k_p4_3+12*k_p4_4*C189))/k_sx^2</f>
        <v/>
      </c>
      <c r="M189">
        <f>D189/B189</f>
        <v/>
      </c>
      <c r="N189">
        <f>E189/B189</f>
        <v/>
      </c>
      <c r="O189">
        <f>F189/B189</f>
        <v/>
      </c>
      <c r="P189">
        <f>G189/B189</f>
        <v/>
      </c>
      <c r="Q189">
        <f>CHOOSE(k_model,D189,E189,F189,G189)</f>
        <v/>
      </c>
      <c r="R189">
        <f>CHOOSE(k_model,H189,I189,J189,K189)</f>
        <v/>
      </c>
    </row>
    <row r="190">
      <c r="A190" t="n">
        <v>188</v>
      </c>
      <c r="B190">
        <f>k_lo+k_rng*A190/1000</f>
        <v/>
      </c>
      <c r="C190">
        <f>(B190-k_mx)/k_sx</f>
        <v/>
      </c>
      <c r="D190">
        <f>k_p2_0+C190*(k_p2_1+C190*k_p2_2)</f>
        <v/>
      </c>
      <c r="E190">
        <f>k_p3_0+C190*(k_p3_1+C190*(k_p3_2+C190*k_p3_3))</f>
        <v/>
      </c>
      <c r="F190">
        <f>k_p4_0+C190*(k_p4_1+C190*(k_p4_2+C190*(k_p4_3+C190*k_p4_4)))</f>
        <v/>
      </c>
      <c r="G190">
        <f>k_ea+k_eb*EXP(k_ec*C190)</f>
        <v/>
      </c>
      <c r="H190">
        <f>(k_p2_1+2*k_p2_2*C190)/k_sx</f>
        <v/>
      </c>
      <c r="I190">
        <f>(k_p3_1+C190*(2*k_p3_2+3*k_p3_3*C190))/k_sx</f>
        <v/>
      </c>
      <c r="J190">
        <f>(k_p4_1+C190*(2*k_p4_2+C190*(3*k_p4_3+4*k_p4_4*C190)))/k_sx</f>
        <v/>
      </c>
      <c r="K190">
        <f>k_eb*k_ec*EXP(k_ec*C190)/k_sx</f>
        <v/>
      </c>
      <c r="L190">
        <f>(2*k_p4_2+C190*(6*k_p4_3+12*k_p4_4*C190))/k_sx^2</f>
        <v/>
      </c>
      <c r="M190">
        <f>D190/B190</f>
        <v/>
      </c>
      <c r="N190">
        <f>E190/B190</f>
        <v/>
      </c>
      <c r="O190">
        <f>F190/B190</f>
        <v/>
      </c>
      <c r="P190">
        <f>G190/B190</f>
        <v/>
      </c>
      <c r="Q190">
        <f>CHOOSE(k_model,D190,E190,F190,G190)</f>
        <v/>
      </c>
      <c r="R190">
        <f>CHOOSE(k_model,H190,I190,J190,K190)</f>
        <v/>
      </c>
    </row>
    <row r="191">
      <c r="A191" t="n">
        <v>189</v>
      </c>
      <c r="B191">
        <f>k_lo+k_rng*A191/1000</f>
        <v/>
      </c>
      <c r="C191">
        <f>(B191-k_mx)/k_sx</f>
        <v/>
      </c>
      <c r="D191">
        <f>k_p2_0+C191*(k_p2_1+C191*k_p2_2)</f>
        <v/>
      </c>
      <c r="E191">
        <f>k_p3_0+C191*(k_p3_1+C191*(k_p3_2+C191*k_p3_3))</f>
        <v/>
      </c>
      <c r="F191">
        <f>k_p4_0+C191*(k_p4_1+C191*(k_p4_2+C191*(k_p4_3+C191*k_p4_4)))</f>
        <v/>
      </c>
      <c r="G191">
        <f>k_ea+k_eb*EXP(k_ec*C191)</f>
        <v/>
      </c>
      <c r="H191">
        <f>(k_p2_1+2*k_p2_2*C191)/k_sx</f>
        <v/>
      </c>
      <c r="I191">
        <f>(k_p3_1+C191*(2*k_p3_2+3*k_p3_3*C191))/k_sx</f>
        <v/>
      </c>
      <c r="J191">
        <f>(k_p4_1+C191*(2*k_p4_2+C191*(3*k_p4_3+4*k_p4_4*C191)))/k_sx</f>
        <v/>
      </c>
      <c r="K191">
        <f>k_eb*k_ec*EXP(k_ec*C191)/k_sx</f>
        <v/>
      </c>
      <c r="L191">
        <f>(2*k_p4_2+C191*(6*k_p4_3+12*k_p4_4*C191))/k_sx^2</f>
        <v/>
      </c>
      <c r="M191">
        <f>D191/B191</f>
        <v/>
      </c>
      <c r="N191">
        <f>E191/B191</f>
        <v/>
      </c>
      <c r="O191">
        <f>F191/B191</f>
        <v/>
      </c>
      <c r="P191">
        <f>G191/B191</f>
        <v/>
      </c>
      <c r="Q191">
        <f>CHOOSE(k_model,D191,E191,F191,G191)</f>
        <v/>
      </c>
      <c r="R191">
        <f>CHOOSE(k_model,H191,I191,J191,K191)</f>
        <v/>
      </c>
    </row>
    <row r="192">
      <c r="A192" t="n">
        <v>190</v>
      </c>
      <c r="B192">
        <f>k_lo+k_rng*A192/1000</f>
        <v/>
      </c>
      <c r="C192">
        <f>(B192-k_mx)/k_sx</f>
        <v/>
      </c>
      <c r="D192">
        <f>k_p2_0+C192*(k_p2_1+C192*k_p2_2)</f>
        <v/>
      </c>
      <c r="E192">
        <f>k_p3_0+C192*(k_p3_1+C192*(k_p3_2+C192*k_p3_3))</f>
        <v/>
      </c>
      <c r="F192">
        <f>k_p4_0+C192*(k_p4_1+C192*(k_p4_2+C192*(k_p4_3+C192*k_p4_4)))</f>
        <v/>
      </c>
      <c r="G192">
        <f>k_ea+k_eb*EXP(k_ec*C192)</f>
        <v/>
      </c>
      <c r="H192">
        <f>(k_p2_1+2*k_p2_2*C192)/k_sx</f>
        <v/>
      </c>
      <c r="I192">
        <f>(k_p3_1+C192*(2*k_p3_2+3*k_p3_3*C192))/k_sx</f>
        <v/>
      </c>
      <c r="J192">
        <f>(k_p4_1+C192*(2*k_p4_2+C192*(3*k_p4_3+4*k_p4_4*C192)))/k_sx</f>
        <v/>
      </c>
      <c r="K192">
        <f>k_eb*k_ec*EXP(k_ec*C192)/k_sx</f>
        <v/>
      </c>
      <c r="L192">
        <f>(2*k_p4_2+C192*(6*k_p4_3+12*k_p4_4*C192))/k_sx^2</f>
        <v/>
      </c>
      <c r="M192">
        <f>D192/B192</f>
        <v/>
      </c>
      <c r="N192">
        <f>E192/B192</f>
        <v/>
      </c>
      <c r="O192">
        <f>F192/B192</f>
        <v/>
      </c>
      <c r="P192">
        <f>G192/B192</f>
        <v/>
      </c>
      <c r="Q192">
        <f>CHOOSE(k_model,D192,E192,F192,G192)</f>
        <v/>
      </c>
      <c r="R192">
        <f>CHOOSE(k_model,H192,I192,J192,K192)</f>
        <v/>
      </c>
    </row>
    <row r="193">
      <c r="A193" t="n">
        <v>191</v>
      </c>
      <c r="B193">
        <f>k_lo+k_rng*A193/1000</f>
        <v/>
      </c>
      <c r="C193">
        <f>(B193-k_mx)/k_sx</f>
        <v/>
      </c>
      <c r="D193">
        <f>k_p2_0+C193*(k_p2_1+C193*k_p2_2)</f>
        <v/>
      </c>
      <c r="E193">
        <f>k_p3_0+C193*(k_p3_1+C193*(k_p3_2+C193*k_p3_3))</f>
        <v/>
      </c>
      <c r="F193">
        <f>k_p4_0+C193*(k_p4_1+C193*(k_p4_2+C193*(k_p4_3+C193*k_p4_4)))</f>
        <v/>
      </c>
      <c r="G193">
        <f>k_ea+k_eb*EXP(k_ec*C193)</f>
        <v/>
      </c>
      <c r="H193">
        <f>(k_p2_1+2*k_p2_2*C193)/k_sx</f>
        <v/>
      </c>
      <c r="I193">
        <f>(k_p3_1+C193*(2*k_p3_2+3*k_p3_3*C193))/k_sx</f>
        <v/>
      </c>
      <c r="J193">
        <f>(k_p4_1+C193*(2*k_p4_2+C193*(3*k_p4_3+4*k_p4_4*C193)))/k_sx</f>
        <v/>
      </c>
      <c r="K193">
        <f>k_eb*k_ec*EXP(k_ec*C193)/k_sx</f>
        <v/>
      </c>
      <c r="L193">
        <f>(2*k_p4_2+C193*(6*k_p4_3+12*k_p4_4*C193))/k_sx^2</f>
        <v/>
      </c>
      <c r="M193">
        <f>D193/B193</f>
        <v/>
      </c>
      <c r="N193">
        <f>E193/B193</f>
        <v/>
      </c>
      <c r="O193">
        <f>F193/B193</f>
        <v/>
      </c>
      <c r="P193">
        <f>G193/B193</f>
        <v/>
      </c>
      <c r="Q193">
        <f>CHOOSE(k_model,D193,E193,F193,G193)</f>
        <v/>
      </c>
      <c r="R193">
        <f>CHOOSE(k_model,H193,I193,J193,K193)</f>
        <v/>
      </c>
    </row>
    <row r="194">
      <c r="A194" t="n">
        <v>192</v>
      </c>
      <c r="B194">
        <f>k_lo+k_rng*A194/1000</f>
        <v/>
      </c>
      <c r="C194">
        <f>(B194-k_mx)/k_sx</f>
        <v/>
      </c>
      <c r="D194">
        <f>k_p2_0+C194*(k_p2_1+C194*k_p2_2)</f>
        <v/>
      </c>
      <c r="E194">
        <f>k_p3_0+C194*(k_p3_1+C194*(k_p3_2+C194*k_p3_3))</f>
        <v/>
      </c>
      <c r="F194">
        <f>k_p4_0+C194*(k_p4_1+C194*(k_p4_2+C194*(k_p4_3+C194*k_p4_4)))</f>
        <v/>
      </c>
      <c r="G194">
        <f>k_ea+k_eb*EXP(k_ec*C194)</f>
        <v/>
      </c>
      <c r="H194">
        <f>(k_p2_1+2*k_p2_2*C194)/k_sx</f>
        <v/>
      </c>
      <c r="I194">
        <f>(k_p3_1+C194*(2*k_p3_2+3*k_p3_3*C194))/k_sx</f>
        <v/>
      </c>
      <c r="J194">
        <f>(k_p4_1+C194*(2*k_p4_2+C194*(3*k_p4_3+4*k_p4_4*C194)))/k_sx</f>
        <v/>
      </c>
      <c r="K194">
        <f>k_eb*k_ec*EXP(k_ec*C194)/k_sx</f>
        <v/>
      </c>
      <c r="L194">
        <f>(2*k_p4_2+C194*(6*k_p4_3+12*k_p4_4*C194))/k_sx^2</f>
        <v/>
      </c>
      <c r="M194">
        <f>D194/B194</f>
        <v/>
      </c>
      <c r="N194">
        <f>E194/B194</f>
        <v/>
      </c>
      <c r="O194">
        <f>F194/B194</f>
        <v/>
      </c>
      <c r="P194">
        <f>G194/B194</f>
        <v/>
      </c>
      <c r="Q194">
        <f>CHOOSE(k_model,D194,E194,F194,G194)</f>
        <v/>
      </c>
      <c r="R194">
        <f>CHOOSE(k_model,H194,I194,J194,K194)</f>
        <v/>
      </c>
    </row>
    <row r="195">
      <c r="A195" t="n">
        <v>193</v>
      </c>
      <c r="B195">
        <f>k_lo+k_rng*A195/1000</f>
        <v/>
      </c>
      <c r="C195">
        <f>(B195-k_mx)/k_sx</f>
        <v/>
      </c>
      <c r="D195">
        <f>k_p2_0+C195*(k_p2_1+C195*k_p2_2)</f>
        <v/>
      </c>
      <c r="E195">
        <f>k_p3_0+C195*(k_p3_1+C195*(k_p3_2+C195*k_p3_3))</f>
        <v/>
      </c>
      <c r="F195">
        <f>k_p4_0+C195*(k_p4_1+C195*(k_p4_2+C195*(k_p4_3+C195*k_p4_4)))</f>
        <v/>
      </c>
      <c r="G195">
        <f>k_ea+k_eb*EXP(k_ec*C195)</f>
        <v/>
      </c>
      <c r="H195">
        <f>(k_p2_1+2*k_p2_2*C195)/k_sx</f>
        <v/>
      </c>
      <c r="I195">
        <f>(k_p3_1+C195*(2*k_p3_2+3*k_p3_3*C195))/k_sx</f>
        <v/>
      </c>
      <c r="J195">
        <f>(k_p4_1+C195*(2*k_p4_2+C195*(3*k_p4_3+4*k_p4_4*C195)))/k_sx</f>
        <v/>
      </c>
      <c r="K195">
        <f>k_eb*k_ec*EXP(k_ec*C195)/k_sx</f>
        <v/>
      </c>
      <c r="L195">
        <f>(2*k_p4_2+C195*(6*k_p4_3+12*k_p4_4*C195))/k_sx^2</f>
        <v/>
      </c>
      <c r="M195">
        <f>D195/B195</f>
        <v/>
      </c>
      <c r="N195">
        <f>E195/B195</f>
        <v/>
      </c>
      <c r="O195">
        <f>F195/B195</f>
        <v/>
      </c>
      <c r="P195">
        <f>G195/B195</f>
        <v/>
      </c>
      <c r="Q195">
        <f>CHOOSE(k_model,D195,E195,F195,G195)</f>
        <v/>
      </c>
      <c r="R195">
        <f>CHOOSE(k_model,H195,I195,J195,K195)</f>
        <v/>
      </c>
    </row>
    <row r="196">
      <c r="A196" t="n">
        <v>194</v>
      </c>
      <c r="B196">
        <f>k_lo+k_rng*A196/1000</f>
        <v/>
      </c>
      <c r="C196">
        <f>(B196-k_mx)/k_sx</f>
        <v/>
      </c>
      <c r="D196">
        <f>k_p2_0+C196*(k_p2_1+C196*k_p2_2)</f>
        <v/>
      </c>
      <c r="E196">
        <f>k_p3_0+C196*(k_p3_1+C196*(k_p3_2+C196*k_p3_3))</f>
        <v/>
      </c>
      <c r="F196">
        <f>k_p4_0+C196*(k_p4_1+C196*(k_p4_2+C196*(k_p4_3+C196*k_p4_4)))</f>
        <v/>
      </c>
      <c r="G196">
        <f>k_ea+k_eb*EXP(k_ec*C196)</f>
        <v/>
      </c>
      <c r="H196">
        <f>(k_p2_1+2*k_p2_2*C196)/k_sx</f>
        <v/>
      </c>
      <c r="I196">
        <f>(k_p3_1+C196*(2*k_p3_2+3*k_p3_3*C196))/k_sx</f>
        <v/>
      </c>
      <c r="J196">
        <f>(k_p4_1+C196*(2*k_p4_2+C196*(3*k_p4_3+4*k_p4_4*C196)))/k_sx</f>
        <v/>
      </c>
      <c r="K196">
        <f>k_eb*k_ec*EXP(k_ec*C196)/k_sx</f>
        <v/>
      </c>
      <c r="L196">
        <f>(2*k_p4_2+C196*(6*k_p4_3+12*k_p4_4*C196))/k_sx^2</f>
        <v/>
      </c>
      <c r="M196">
        <f>D196/B196</f>
        <v/>
      </c>
      <c r="N196">
        <f>E196/B196</f>
        <v/>
      </c>
      <c r="O196">
        <f>F196/B196</f>
        <v/>
      </c>
      <c r="P196">
        <f>G196/B196</f>
        <v/>
      </c>
      <c r="Q196">
        <f>CHOOSE(k_model,D196,E196,F196,G196)</f>
        <v/>
      </c>
      <c r="R196">
        <f>CHOOSE(k_model,H196,I196,J196,K196)</f>
        <v/>
      </c>
    </row>
    <row r="197">
      <c r="A197" t="n">
        <v>195</v>
      </c>
      <c r="B197">
        <f>k_lo+k_rng*A197/1000</f>
        <v/>
      </c>
      <c r="C197">
        <f>(B197-k_mx)/k_sx</f>
        <v/>
      </c>
      <c r="D197">
        <f>k_p2_0+C197*(k_p2_1+C197*k_p2_2)</f>
        <v/>
      </c>
      <c r="E197">
        <f>k_p3_0+C197*(k_p3_1+C197*(k_p3_2+C197*k_p3_3))</f>
        <v/>
      </c>
      <c r="F197">
        <f>k_p4_0+C197*(k_p4_1+C197*(k_p4_2+C197*(k_p4_3+C197*k_p4_4)))</f>
        <v/>
      </c>
      <c r="G197">
        <f>k_ea+k_eb*EXP(k_ec*C197)</f>
        <v/>
      </c>
      <c r="H197">
        <f>(k_p2_1+2*k_p2_2*C197)/k_sx</f>
        <v/>
      </c>
      <c r="I197">
        <f>(k_p3_1+C197*(2*k_p3_2+3*k_p3_3*C197))/k_sx</f>
        <v/>
      </c>
      <c r="J197">
        <f>(k_p4_1+C197*(2*k_p4_2+C197*(3*k_p4_3+4*k_p4_4*C197)))/k_sx</f>
        <v/>
      </c>
      <c r="K197">
        <f>k_eb*k_ec*EXP(k_ec*C197)/k_sx</f>
        <v/>
      </c>
      <c r="L197">
        <f>(2*k_p4_2+C197*(6*k_p4_3+12*k_p4_4*C197))/k_sx^2</f>
        <v/>
      </c>
      <c r="M197">
        <f>D197/B197</f>
        <v/>
      </c>
      <c r="N197">
        <f>E197/B197</f>
        <v/>
      </c>
      <c r="O197">
        <f>F197/B197</f>
        <v/>
      </c>
      <c r="P197">
        <f>G197/B197</f>
        <v/>
      </c>
      <c r="Q197">
        <f>CHOOSE(k_model,D197,E197,F197,G197)</f>
        <v/>
      </c>
      <c r="R197">
        <f>CHOOSE(k_model,H197,I197,J197,K197)</f>
        <v/>
      </c>
    </row>
    <row r="198">
      <c r="A198" t="n">
        <v>196</v>
      </c>
      <c r="B198">
        <f>k_lo+k_rng*A198/1000</f>
        <v/>
      </c>
      <c r="C198">
        <f>(B198-k_mx)/k_sx</f>
        <v/>
      </c>
      <c r="D198">
        <f>k_p2_0+C198*(k_p2_1+C198*k_p2_2)</f>
        <v/>
      </c>
      <c r="E198">
        <f>k_p3_0+C198*(k_p3_1+C198*(k_p3_2+C198*k_p3_3))</f>
        <v/>
      </c>
      <c r="F198">
        <f>k_p4_0+C198*(k_p4_1+C198*(k_p4_2+C198*(k_p4_3+C198*k_p4_4)))</f>
        <v/>
      </c>
      <c r="G198">
        <f>k_ea+k_eb*EXP(k_ec*C198)</f>
        <v/>
      </c>
      <c r="H198">
        <f>(k_p2_1+2*k_p2_2*C198)/k_sx</f>
        <v/>
      </c>
      <c r="I198">
        <f>(k_p3_1+C198*(2*k_p3_2+3*k_p3_3*C198))/k_sx</f>
        <v/>
      </c>
      <c r="J198">
        <f>(k_p4_1+C198*(2*k_p4_2+C198*(3*k_p4_3+4*k_p4_4*C198)))/k_sx</f>
        <v/>
      </c>
      <c r="K198">
        <f>k_eb*k_ec*EXP(k_ec*C198)/k_sx</f>
        <v/>
      </c>
      <c r="L198">
        <f>(2*k_p4_2+C198*(6*k_p4_3+12*k_p4_4*C198))/k_sx^2</f>
        <v/>
      </c>
      <c r="M198">
        <f>D198/B198</f>
        <v/>
      </c>
      <c r="N198">
        <f>E198/B198</f>
        <v/>
      </c>
      <c r="O198">
        <f>F198/B198</f>
        <v/>
      </c>
      <c r="P198">
        <f>G198/B198</f>
        <v/>
      </c>
      <c r="Q198">
        <f>CHOOSE(k_model,D198,E198,F198,G198)</f>
        <v/>
      </c>
      <c r="R198">
        <f>CHOOSE(k_model,H198,I198,J198,K198)</f>
        <v/>
      </c>
    </row>
    <row r="199">
      <c r="A199" t="n">
        <v>197</v>
      </c>
      <c r="B199">
        <f>k_lo+k_rng*A199/1000</f>
        <v/>
      </c>
      <c r="C199">
        <f>(B199-k_mx)/k_sx</f>
        <v/>
      </c>
      <c r="D199">
        <f>k_p2_0+C199*(k_p2_1+C199*k_p2_2)</f>
        <v/>
      </c>
      <c r="E199">
        <f>k_p3_0+C199*(k_p3_1+C199*(k_p3_2+C199*k_p3_3))</f>
        <v/>
      </c>
      <c r="F199">
        <f>k_p4_0+C199*(k_p4_1+C199*(k_p4_2+C199*(k_p4_3+C199*k_p4_4)))</f>
        <v/>
      </c>
      <c r="G199">
        <f>k_ea+k_eb*EXP(k_ec*C199)</f>
        <v/>
      </c>
      <c r="H199">
        <f>(k_p2_1+2*k_p2_2*C199)/k_sx</f>
        <v/>
      </c>
      <c r="I199">
        <f>(k_p3_1+C199*(2*k_p3_2+3*k_p3_3*C199))/k_sx</f>
        <v/>
      </c>
      <c r="J199">
        <f>(k_p4_1+C199*(2*k_p4_2+C199*(3*k_p4_3+4*k_p4_4*C199)))/k_sx</f>
        <v/>
      </c>
      <c r="K199">
        <f>k_eb*k_ec*EXP(k_ec*C199)/k_sx</f>
        <v/>
      </c>
      <c r="L199">
        <f>(2*k_p4_2+C199*(6*k_p4_3+12*k_p4_4*C199))/k_sx^2</f>
        <v/>
      </c>
      <c r="M199">
        <f>D199/B199</f>
        <v/>
      </c>
      <c r="N199">
        <f>E199/B199</f>
        <v/>
      </c>
      <c r="O199">
        <f>F199/B199</f>
        <v/>
      </c>
      <c r="P199">
        <f>G199/B199</f>
        <v/>
      </c>
      <c r="Q199">
        <f>CHOOSE(k_model,D199,E199,F199,G199)</f>
        <v/>
      </c>
      <c r="R199">
        <f>CHOOSE(k_model,H199,I199,J199,K199)</f>
        <v/>
      </c>
    </row>
    <row r="200">
      <c r="A200" t="n">
        <v>198</v>
      </c>
      <c r="B200">
        <f>k_lo+k_rng*A200/1000</f>
        <v/>
      </c>
      <c r="C200">
        <f>(B200-k_mx)/k_sx</f>
        <v/>
      </c>
      <c r="D200">
        <f>k_p2_0+C200*(k_p2_1+C200*k_p2_2)</f>
        <v/>
      </c>
      <c r="E200">
        <f>k_p3_0+C200*(k_p3_1+C200*(k_p3_2+C200*k_p3_3))</f>
        <v/>
      </c>
      <c r="F200">
        <f>k_p4_0+C200*(k_p4_1+C200*(k_p4_2+C200*(k_p4_3+C200*k_p4_4)))</f>
        <v/>
      </c>
      <c r="G200">
        <f>k_ea+k_eb*EXP(k_ec*C200)</f>
        <v/>
      </c>
      <c r="H200">
        <f>(k_p2_1+2*k_p2_2*C200)/k_sx</f>
        <v/>
      </c>
      <c r="I200">
        <f>(k_p3_1+C200*(2*k_p3_2+3*k_p3_3*C200))/k_sx</f>
        <v/>
      </c>
      <c r="J200">
        <f>(k_p4_1+C200*(2*k_p4_2+C200*(3*k_p4_3+4*k_p4_4*C200)))/k_sx</f>
        <v/>
      </c>
      <c r="K200">
        <f>k_eb*k_ec*EXP(k_ec*C200)/k_sx</f>
        <v/>
      </c>
      <c r="L200">
        <f>(2*k_p4_2+C200*(6*k_p4_3+12*k_p4_4*C200))/k_sx^2</f>
        <v/>
      </c>
      <c r="M200">
        <f>D200/B200</f>
        <v/>
      </c>
      <c r="N200">
        <f>E200/B200</f>
        <v/>
      </c>
      <c r="O200">
        <f>F200/B200</f>
        <v/>
      </c>
      <c r="P200">
        <f>G200/B200</f>
        <v/>
      </c>
      <c r="Q200">
        <f>CHOOSE(k_model,D200,E200,F200,G200)</f>
        <v/>
      </c>
      <c r="R200">
        <f>CHOOSE(k_model,H200,I200,J200,K200)</f>
        <v/>
      </c>
    </row>
    <row r="201">
      <c r="A201" t="n">
        <v>199</v>
      </c>
      <c r="B201">
        <f>k_lo+k_rng*A201/1000</f>
        <v/>
      </c>
      <c r="C201">
        <f>(B201-k_mx)/k_sx</f>
        <v/>
      </c>
      <c r="D201">
        <f>k_p2_0+C201*(k_p2_1+C201*k_p2_2)</f>
        <v/>
      </c>
      <c r="E201">
        <f>k_p3_0+C201*(k_p3_1+C201*(k_p3_2+C201*k_p3_3))</f>
        <v/>
      </c>
      <c r="F201">
        <f>k_p4_0+C201*(k_p4_1+C201*(k_p4_2+C201*(k_p4_3+C201*k_p4_4)))</f>
        <v/>
      </c>
      <c r="G201">
        <f>k_ea+k_eb*EXP(k_ec*C201)</f>
        <v/>
      </c>
      <c r="H201">
        <f>(k_p2_1+2*k_p2_2*C201)/k_sx</f>
        <v/>
      </c>
      <c r="I201">
        <f>(k_p3_1+C201*(2*k_p3_2+3*k_p3_3*C201))/k_sx</f>
        <v/>
      </c>
      <c r="J201">
        <f>(k_p4_1+C201*(2*k_p4_2+C201*(3*k_p4_3+4*k_p4_4*C201)))/k_sx</f>
        <v/>
      </c>
      <c r="K201">
        <f>k_eb*k_ec*EXP(k_ec*C201)/k_sx</f>
        <v/>
      </c>
      <c r="L201">
        <f>(2*k_p4_2+C201*(6*k_p4_3+12*k_p4_4*C201))/k_sx^2</f>
        <v/>
      </c>
      <c r="M201">
        <f>D201/B201</f>
        <v/>
      </c>
      <c r="N201">
        <f>E201/B201</f>
        <v/>
      </c>
      <c r="O201">
        <f>F201/B201</f>
        <v/>
      </c>
      <c r="P201">
        <f>G201/B201</f>
        <v/>
      </c>
      <c r="Q201">
        <f>CHOOSE(k_model,D201,E201,F201,G201)</f>
        <v/>
      </c>
      <c r="R201">
        <f>CHOOSE(k_model,H201,I201,J201,K201)</f>
        <v/>
      </c>
    </row>
    <row r="202">
      <c r="A202" t="n">
        <v>200</v>
      </c>
      <c r="B202">
        <f>k_lo+k_rng*A202/1000</f>
        <v/>
      </c>
      <c r="C202">
        <f>(B202-k_mx)/k_sx</f>
        <v/>
      </c>
      <c r="D202">
        <f>k_p2_0+C202*(k_p2_1+C202*k_p2_2)</f>
        <v/>
      </c>
      <c r="E202">
        <f>k_p3_0+C202*(k_p3_1+C202*(k_p3_2+C202*k_p3_3))</f>
        <v/>
      </c>
      <c r="F202">
        <f>k_p4_0+C202*(k_p4_1+C202*(k_p4_2+C202*(k_p4_3+C202*k_p4_4)))</f>
        <v/>
      </c>
      <c r="G202">
        <f>k_ea+k_eb*EXP(k_ec*C202)</f>
        <v/>
      </c>
      <c r="H202">
        <f>(k_p2_1+2*k_p2_2*C202)/k_sx</f>
        <v/>
      </c>
      <c r="I202">
        <f>(k_p3_1+C202*(2*k_p3_2+3*k_p3_3*C202))/k_sx</f>
        <v/>
      </c>
      <c r="J202">
        <f>(k_p4_1+C202*(2*k_p4_2+C202*(3*k_p4_3+4*k_p4_4*C202)))/k_sx</f>
        <v/>
      </c>
      <c r="K202">
        <f>k_eb*k_ec*EXP(k_ec*C202)/k_sx</f>
        <v/>
      </c>
      <c r="L202">
        <f>(2*k_p4_2+C202*(6*k_p4_3+12*k_p4_4*C202))/k_sx^2</f>
        <v/>
      </c>
      <c r="M202">
        <f>D202/B202</f>
        <v/>
      </c>
      <c r="N202">
        <f>E202/B202</f>
        <v/>
      </c>
      <c r="O202">
        <f>F202/B202</f>
        <v/>
      </c>
      <c r="P202">
        <f>G202/B202</f>
        <v/>
      </c>
      <c r="Q202">
        <f>CHOOSE(k_model,D202,E202,F202,G202)</f>
        <v/>
      </c>
      <c r="R202">
        <f>CHOOSE(k_model,H202,I202,J202,K202)</f>
        <v/>
      </c>
    </row>
    <row r="203">
      <c r="A203" t="n">
        <v>201</v>
      </c>
      <c r="B203">
        <f>k_lo+k_rng*A203/1000</f>
        <v/>
      </c>
      <c r="C203">
        <f>(B203-k_mx)/k_sx</f>
        <v/>
      </c>
      <c r="D203">
        <f>k_p2_0+C203*(k_p2_1+C203*k_p2_2)</f>
        <v/>
      </c>
      <c r="E203">
        <f>k_p3_0+C203*(k_p3_1+C203*(k_p3_2+C203*k_p3_3))</f>
        <v/>
      </c>
      <c r="F203">
        <f>k_p4_0+C203*(k_p4_1+C203*(k_p4_2+C203*(k_p4_3+C203*k_p4_4)))</f>
        <v/>
      </c>
      <c r="G203">
        <f>k_ea+k_eb*EXP(k_ec*C203)</f>
        <v/>
      </c>
      <c r="H203">
        <f>(k_p2_1+2*k_p2_2*C203)/k_sx</f>
        <v/>
      </c>
      <c r="I203">
        <f>(k_p3_1+C203*(2*k_p3_2+3*k_p3_3*C203))/k_sx</f>
        <v/>
      </c>
      <c r="J203">
        <f>(k_p4_1+C203*(2*k_p4_2+C203*(3*k_p4_3+4*k_p4_4*C203)))/k_sx</f>
        <v/>
      </c>
      <c r="K203">
        <f>k_eb*k_ec*EXP(k_ec*C203)/k_sx</f>
        <v/>
      </c>
      <c r="L203">
        <f>(2*k_p4_2+C203*(6*k_p4_3+12*k_p4_4*C203))/k_sx^2</f>
        <v/>
      </c>
      <c r="M203">
        <f>D203/B203</f>
        <v/>
      </c>
      <c r="N203">
        <f>E203/B203</f>
        <v/>
      </c>
      <c r="O203">
        <f>F203/B203</f>
        <v/>
      </c>
      <c r="P203">
        <f>G203/B203</f>
        <v/>
      </c>
      <c r="Q203">
        <f>CHOOSE(k_model,D203,E203,F203,G203)</f>
        <v/>
      </c>
      <c r="R203">
        <f>CHOOSE(k_model,H203,I203,J203,K203)</f>
        <v/>
      </c>
    </row>
    <row r="204">
      <c r="A204" t="n">
        <v>202</v>
      </c>
      <c r="B204">
        <f>k_lo+k_rng*A204/1000</f>
        <v/>
      </c>
      <c r="C204">
        <f>(B204-k_mx)/k_sx</f>
        <v/>
      </c>
      <c r="D204">
        <f>k_p2_0+C204*(k_p2_1+C204*k_p2_2)</f>
        <v/>
      </c>
      <c r="E204">
        <f>k_p3_0+C204*(k_p3_1+C204*(k_p3_2+C204*k_p3_3))</f>
        <v/>
      </c>
      <c r="F204">
        <f>k_p4_0+C204*(k_p4_1+C204*(k_p4_2+C204*(k_p4_3+C204*k_p4_4)))</f>
        <v/>
      </c>
      <c r="G204">
        <f>k_ea+k_eb*EXP(k_ec*C204)</f>
        <v/>
      </c>
      <c r="H204">
        <f>(k_p2_1+2*k_p2_2*C204)/k_sx</f>
        <v/>
      </c>
      <c r="I204">
        <f>(k_p3_1+C204*(2*k_p3_2+3*k_p3_3*C204))/k_sx</f>
        <v/>
      </c>
      <c r="J204">
        <f>(k_p4_1+C204*(2*k_p4_2+C204*(3*k_p4_3+4*k_p4_4*C204)))/k_sx</f>
        <v/>
      </c>
      <c r="K204">
        <f>k_eb*k_ec*EXP(k_ec*C204)/k_sx</f>
        <v/>
      </c>
      <c r="L204">
        <f>(2*k_p4_2+C204*(6*k_p4_3+12*k_p4_4*C204))/k_sx^2</f>
        <v/>
      </c>
      <c r="M204">
        <f>D204/B204</f>
        <v/>
      </c>
      <c r="N204">
        <f>E204/B204</f>
        <v/>
      </c>
      <c r="O204">
        <f>F204/B204</f>
        <v/>
      </c>
      <c r="P204">
        <f>G204/B204</f>
        <v/>
      </c>
      <c r="Q204">
        <f>CHOOSE(k_model,D204,E204,F204,G204)</f>
        <v/>
      </c>
      <c r="R204">
        <f>CHOOSE(k_model,H204,I204,J204,K204)</f>
        <v/>
      </c>
    </row>
    <row r="205">
      <c r="A205" t="n">
        <v>203</v>
      </c>
      <c r="B205">
        <f>k_lo+k_rng*A205/1000</f>
        <v/>
      </c>
      <c r="C205">
        <f>(B205-k_mx)/k_sx</f>
        <v/>
      </c>
      <c r="D205">
        <f>k_p2_0+C205*(k_p2_1+C205*k_p2_2)</f>
        <v/>
      </c>
      <c r="E205">
        <f>k_p3_0+C205*(k_p3_1+C205*(k_p3_2+C205*k_p3_3))</f>
        <v/>
      </c>
      <c r="F205">
        <f>k_p4_0+C205*(k_p4_1+C205*(k_p4_2+C205*(k_p4_3+C205*k_p4_4)))</f>
        <v/>
      </c>
      <c r="G205">
        <f>k_ea+k_eb*EXP(k_ec*C205)</f>
        <v/>
      </c>
      <c r="H205">
        <f>(k_p2_1+2*k_p2_2*C205)/k_sx</f>
        <v/>
      </c>
      <c r="I205">
        <f>(k_p3_1+C205*(2*k_p3_2+3*k_p3_3*C205))/k_sx</f>
        <v/>
      </c>
      <c r="J205">
        <f>(k_p4_1+C205*(2*k_p4_2+C205*(3*k_p4_3+4*k_p4_4*C205)))/k_sx</f>
        <v/>
      </c>
      <c r="K205">
        <f>k_eb*k_ec*EXP(k_ec*C205)/k_sx</f>
        <v/>
      </c>
      <c r="L205">
        <f>(2*k_p4_2+C205*(6*k_p4_3+12*k_p4_4*C205))/k_sx^2</f>
        <v/>
      </c>
      <c r="M205">
        <f>D205/B205</f>
        <v/>
      </c>
      <c r="N205">
        <f>E205/B205</f>
        <v/>
      </c>
      <c r="O205">
        <f>F205/B205</f>
        <v/>
      </c>
      <c r="P205">
        <f>G205/B205</f>
        <v/>
      </c>
      <c r="Q205">
        <f>CHOOSE(k_model,D205,E205,F205,G205)</f>
        <v/>
      </c>
      <c r="R205">
        <f>CHOOSE(k_model,H205,I205,J205,K205)</f>
        <v/>
      </c>
    </row>
    <row r="206">
      <c r="A206" t="n">
        <v>204</v>
      </c>
      <c r="B206">
        <f>k_lo+k_rng*A206/1000</f>
        <v/>
      </c>
      <c r="C206">
        <f>(B206-k_mx)/k_sx</f>
        <v/>
      </c>
      <c r="D206">
        <f>k_p2_0+C206*(k_p2_1+C206*k_p2_2)</f>
        <v/>
      </c>
      <c r="E206">
        <f>k_p3_0+C206*(k_p3_1+C206*(k_p3_2+C206*k_p3_3))</f>
        <v/>
      </c>
      <c r="F206">
        <f>k_p4_0+C206*(k_p4_1+C206*(k_p4_2+C206*(k_p4_3+C206*k_p4_4)))</f>
        <v/>
      </c>
      <c r="G206">
        <f>k_ea+k_eb*EXP(k_ec*C206)</f>
        <v/>
      </c>
      <c r="H206">
        <f>(k_p2_1+2*k_p2_2*C206)/k_sx</f>
        <v/>
      </c>
      <c r="I206">
        <f>(k_p3_1+C206*(2*k_p3_2+3*k_p3_3*C206))/k_sx</f>
        <v/>
      </c>
      <c r="J206">
        <f>(k_p4_1+C206*(2*k_p4_2+C206*(3*k_p4_3+4*k_p4_4*C206)))/k_sx</f>
        <v/>
      </c>
      <c r="K206">
        <f>k_eb*k_ec*EXP(k_ec*C206)/k_sx</f>
        <v/>
      </c>
      <c r="L206">
        <f>(2*k_p4_2+C206*(6*k_p4_3+12*k_p4_4*C206))/k_sx^2</f>
        <v/>
      </c>
      <c r="M206">
        <f>D206/B206</f>
        <v/>
      </c>
      <c r="N206">
        <f>E206/B206</f>
        <v/>
      </c>
      <c r="O206">
        <f>F206/B206</f>
        <v/>
      </c>
      <c r="P206">
        <f>G206/B206</f>
        <v/>
      </c>
      <c r="Q206">
        <f>CHOOSE(k_model,D206,E206,F206,G206)</f>
        <v/>
      </c>
      <c r="R206">
        <f>CHOOSE(k_model,H206,I206,J206,K206)</f>
        <v/>
      </c>
    </row>
    <row r="207">
      <c r="A207" t="n">
        <v>205</v>
      </c>
      <c r="B207">
        <f>k_lo+k_rng*A207/1000</f>
        <v/>
      </c>
      <c r="C207">
        <f>(B207-k_mx)/k_sx</f>
        <v/>
      </c>
      <c r="D207">
        <f>k_p2_0+C207*(k_p2_1+C207*k_p2_2)</f>
        <v/>
      </c>
      <c r="E207">
        <f>k_p3_0+C207*(k_p3_1+C207*(k_p3_2+C207*k_p3_3))</f>
        <v/>
      </c>
      <c r="F207">
        <f>k_p4_0+C207*(k_p4_1+C207*(k_p4_2+C207*(k_p4_3+C207*k_p4_4)))</f>
        <v/>
      </c>
      <c r="G207">
        <f>k_ea+k_eb*EXP(k_ec*C207)</f>
        <v/>
      </c>
      <c r="H207">
        <f>(k_p2_1+2*k_p2_2*C207)/k_sx</f>
        <v/>
      </c>
      <c r="I207">
        <f>(k_p3_1+C207*(2*k_p3_2+3*k_p3_3*C207))/k_sx</f>
        <v/>
      </c>
      <c r="J207">
        <f>(k_p4_1+C207*(2*k_p4_2+C207*(3*k_p4_3+4*k_p4_4*C207)))/k_sx</f>
        <v/>
      </c>
      <c r="K207">
        <f>k_eb*k_ec*EXP(k_ec*C207)/k_sx</f>
        <v/>
      </c>
      <c r="L207">
        <f>(2*k_p4_2+C207*(6*k_p4_3+12*k_p4_4*C207))/k_sx^2</f>
        <v/>
      </c>
      <c r="M207">
        <f>D207/B207</f>
        <v/>
      </c>
      <c r="N207">
        <f>E207/B207</f>
        <v/>
      </c>
      <c r="O207">
        <f>F207/B207</f>
        <v/>
      </c>
      <c r="P207">
        <f>G207/B207</f>
        <v/>
      </c>
      <c r="Q207">
        <f>CHOOSE(k_model,D207,E207,F207,G207)</f>
        <v/>
      </c>
      <c r="R207">
        <f>CHOOSE(k_model,H207,I207,J207,K207)</f>
        <v/>
      </c>
    </row>
    <row r="208">
      <c r="A208" t="n">
        <v>206</v>
      </c>
      <c r="B208">
        <f>k_lo+k_rng*A208/1000</f>
        <v/>
      </c>
      <c r="C208">
        <f>(B208-k_mx)/k_sx</f>
        <v/>
      </c>
      <c r="D208">
        <f>k_p2_0+C208*(k_p2_1+C208*k_p2_2)</f>
        <v/>
      </c>
      <c r="E208">
        <f>k_p3_0+C208*(k_p3_1+C208*(k_p3_2+C208*k_p3_3))</f>
        <v/>
      </c>
      <c r="F208">
        <f>k_p4_0+C208*(k_p4_1+C208*(k_p4_2+C208*(k_p4_3+C208*k_p4_4)))</f>
        <v/>
      </c>
      <c r="G208">
        <f>k_ea+k_eb*EXP(k_ec*C208)</f>
        <v/>
      </c>
      <c r="H208">
        <f>(k_p2_1+2*k_p2_2*C208)/k_sx</f>
        <v/>
      </c>
      <c r="I208">
        <f>(k_p3_1+C208*(2*k_p3_2+3*k_p3_3*C208))/k_sx</f>
        <v/>
      </c>
      <c r="J208">
        <f>(k_p4_1+C208*(2*k_p4_2+C208*(3*k_p4_3+4*k_p4_4*C208)))/k_sx</f>
        <v/>
      </c>
      <c r="K208">
        <f>k_eb*k_ec*EXP(k_ec*C208)/k_sx</f>
        <v/>
      </c>
      <c r="L208">
        <f>(2*k_p4_2+C208*(6*k_p4_3+12*k_p4_4*C208))/k_sx^2</f>
        <v/>
      </c>
      <c r="M208">
        <f>D208/B208</f>
        <v/>
      </c>
      <c r="N208">
        <f>E208/B208</f>
        <v/>
      </c>
      <c r="O208">
        <f>F208/B208</f>
        <v/>
      </c>
      <c r="P208">
        <f>G208/B208</f>
        <v/>
      </c>
      <c r="Q208">
        <f>CHOOSE(k_model,D208,E208,F208,G208)</f>
        <v/>
      </c>
      <c r="R208">
        <f>CHOOSE(k_model,H208,I208,J208,K208)</f>
        <v/>
      </c>
    </row>
    <row r="209">
      <c r="A209" t="n">
        <v>207</v>
      </c>
      <c r="B209">
        <f>k_lo+k_rng*A209/1000</f>
        <v/>
      </c>
      <c r="C209">
        <f>(B209-k_mx)/k_sx</f>
        <v/>
      </c>
      <c r="D209">
        <f>k_p2_0+C209*(k_p2_1+C209*k_p2_2)</f>
        <v/>
      </c>
      <c r="E209">
        <f>k_p3_0+C209*(k_p3_1+C209*(k_p3_2+C209*k_p3_3))</f>
        <v/>
      </c>
      <c r="F209">
        <f>k_p4_0+C209*(k_p4_1+C209*(k_p4_2+C209*(k_p4_3+C209*k_p4_4)))</f>
        <v/>
      </c>
      <c r="G209">
        <f>k_ea+k_eb*EXP(k_ec*C209)</f>
        <v/>
      </c>
      <c r="H209">
        <f>(k_p2_1+2*k_p2_2*C209)/k_sx</f>
        <v/>
      </c>
      <c r="I209">
        <f>(k_p3_1+C209*(2*k_p3_2+3*k_p3_3*C209))/k_sx</f>
        <v/>
      </c>
      <c r="J209">
        <f>(k_p4_1+C209*(2*k_p4_2+C209*(3*k_p4_3+4*k_p4_4*C209)))/k_sx</f>
        <v/>
      </c>
      <c r="K209">
        <f>k_eb*k_ec*EXP(k_ec*C209)/k_sx</f>
        <v/>
      </c>
      <c r="L209">
        <f>(2*k_p4_2+C209*(6*k_p4_3+12*k_p4_4*C209))/k_sx^2</f>
        <v/>
      </c>
      <c r="M209">
        <f>D209/B209</f>
        <v/>
      </c>
      <c r="N209">
        <f>E209/B209</f>
        <v/>
      </c>
      <c r="O209">
        <f>F209/B209</f>
        <v/>
      </c>
      <c r="P209">
        <f>G209/B209</f>
        <v/>
      </c>
      <c r="Q209">
        <f>CHOOSE(k_model,D209,E209,F209,G209)</f>
        <v/>
      </c>
      <c r="R209">
        <f>CHOOSE(k_model,H209,I209,J209,K209)</f>
        <v/>
      </c>
    </row>
    <row r="210">
      <c r="A210" t="n">
        <v>208</v>
      </c>
      <c r="B210">
        <f>k_lo+k_rng*A210/1000</f>
        <v/>
      </c>
      <c r="C210">
        <f>(B210-k_mx)/k_sx</f>
        <v/>
      </c>
      <c r="D210">
        <f>k_p2_0+C210*(k_p2_1+C210*k_p2_2)</f>
        <v/>
      </c>
      <c r="E210">
        <f>k_p3_0+C210*(k_p3_1+C210*(k_p3_2+C210*k_p3_3))</f>
        <v/>
      </c>
      <c r="F210">
        <f>k_p4_0+C210*(k_p4_1+C210*(k_p4_2+C210*(k_p4_3+C210*k_p4_4)))</f>
        <v/>
      </c>
      <c r="G210">
        <f>k_ea+k_eb*EXP(k_ec*C210)</f>
        <v/>
      </c>
      <c r="H210">
        <f>(k_p2_1+2*k_p2_2*C210)/k_sx</f>
        <v/>
      </c>
      <c r="I210">
        <f>(k_p3_1+C210*(2*k_p3_2+3*k_p3_3*C210))/k_sx</f>
        <v/>
      </c>
      <c r="J210">
        <f>(k_p4_1+C210*(2*k_p4_2+C210*(3*k_p4_3+4*k_p4_4*C210)))/k_sx</f>
        <v/>
      </c>
      <c r="K210">
        <f>k_eb*k_ec*EXP(k_ec*C210)/k_sx</f>
        <v/>
      </c>
      <c r="L210">
        <f>(2*k_p4_2+C210*(6*k_p4_3+12*k_p4_4*C210))/k_sx^2</f>
        <v/>
      </c>
      <c r="M210">
        <f>D210/B210</f>
        <v/>
      </c>
      <c r="N210">
        <f>E210/B210</f>
        <v/>
      </c>
      <c r="O210">
        <f>F210/B210</f>
        <v/>
      </c>
      <c r="P210">
        <f>G210/B210</f>
        <v/>
      </c>
      <c r="Q210">
        <f>CHOOSE(k_model,D210,E210,F210,G210)</f>
        <v/>
      </c>
      <c r="R210">
        <f>CHOOSE(k_model,H210,I210,J210,K210)</f>
        <v/>
      </c>
    </row>
    <row r="211">
      <c r="A211" t="n">
        <v>209</v>
      </c>
      <c r="B211">
        <f>k_lo+k_rng*A211/1000</f>
        <v/>
      </c>
      <c r="C211">
        <f>(B211-k_mx)/k_sx</f>
        <v/>
      </c>
      <c r="D211">
        <f>k_p2_0+C211*(k_p2_1+C211*k_p2_2)</f>
        <v/>
      </c>
      <c r="E211">
        <f>k_p3_0+C211*(k_p3_1+C211*(k_p3_2+C211*k_p3_3))</f>
        <v/>
      </c>
      <c r="F211">
        <f>k_p4_0+C211*(k_p4_1+C211*(k_p4_2+C211*(k_p4_3+C211*k_p4_4)))</f>
        <v/>
      </c>
      <c r="G211">
        <f>k_ea+k_eb*EXP(k_ec*C211)</f>
        <v/>
      </c>
      <c r="H211">
        <f>(k_p2_1+2*k_p2_2*C211)/k_sx</f>
        <v/>
      </c>
      <c r="I211">
        <f>(k_p3_1+C211*(2*k_p3_2+3*k_p3_3*C211))/k_sx</f>
        <v/>
      </c>
      <c r="J211">
        <f>(k_p4_1+C211*(2*k_p4_2+C211*(3*k_p4_3+4*k_p4_4*C211)))/k_sx</f>
        <v/>
      </c>
      <c r="K211">
        <f>k_eb*k_ec*EXP(k_ec*C211)/k_sx</f>
        <v/>
      </c>
      <c r="L211">
        <f>(2*k_p4_2+C211*(6*k_p4_3+12*k_p4_4*C211))/k_sx^2</f>
        <v/>
      </c>
      <c r="M211">
        <f>D211/B211</f>
        <v/>
      </c>
      <c r="N211">
        <f>E211/B211</f>
        <v/>
      </c>
      <c r="O211">
        <f>F211/B211</f>
        <v/>
      </c>
      <c r="P211">
        <f>G211/B211</f>
        <v/>
      </c>
      <c r="Q211">
        <f>CHOOSE(k_model,D211,E211,F211,G211)</f>
        <v/>
      </c>
      <c r="R211">
        <f>CHOOSE(k_model,H211,I211,J211,K211)</f>
        <v/>
      </c>
    </row>
    <row r="212">
      <c r="A212" t="n">
        <v>210</v>
      </c>
      <c r="B212">
        <f>k_lo+k_rng*A212/1000</f>
        <v/>
      </c>
      <c r="C212">
        <f>(B212-k_mx)/k_sx</f>
        <v/>
      </c>
      <c r="D212">
        <f>k_p2_0+C212*(k_p2_1+C212*k_p2_2)</f>
        <v/>
      </c>
      <c r="E212">
        <f>k_p3_0+C212*(k_p3_1+C212*(k_p3_2+C212*k_p3_3))</f>
        <v/>
      </c>
      <c r="F212">
        <f>k_p4_0+C212*(k_p4_1+C212*(k_p4_2+C212*(k_p4_3+C212*k_p4_4)))</f>
        <v/>
      </c>
      <c r="G212">
        <f>k_ea+k_eb*EXP(k_ec*C212)</f>
        <v/>
      </c>
      <c r="H212">
        <f>(k_p2_1+2*k_p2_2*C212)/k_sx</f>
        <v/>
      </c>
      <c r="I212">
        <f>(k_p3_1+C212*(2*k_p3_2+3*k_p3_3*C212))/k_sx</f>
        <v/>
      </c>
      <c r="J212">
        <f>(k_p4_1+C212*(2*k_p4_2+C212*(3*k_p4_3+4*k_p4_4*C212)))/k_sx</f>
        <v/>
      </c>
      <c r="K212">
        <f>k_eb*k_ec*EXP(k_ec*C212)/k_sx</f>
        <v/>
      </c>
      <c r="L212">
        <f>(2*k_p4_2+C212*(6*k_p4_3+12*k_p4_4*C212))/k_sx^2</f>
        <v/>
      </c>
      <c r="M212">
        <f>D212/B212</f>
        <v/>
      </c>
      <c r="N212">
        <f>E212/B212</f>
        <v/>
      </c>
      <c r="O212">
        <f>F212/B212</f>
        <v/>
      </c>
      <c r="P212">
        <f>G212/B212</f>
        <v/>
      </c>
      <c r="Q212">
        <f>CHOOSE(k_model,D212,E212,F212,G212)</f>
        <v/>
      </c>
      <c r="R212">
        <f>CHOOSE(k_model,H212,I212,J212,K212)</f>
        <v/>
      </c>
    </row>
    <row r="213">
      <c r="A213" t="n">
        <v>211</v>
      </c>
      <c r="B213">
        <f>k_lo+k_rng*A213/1000</f>
        <v/>
      </c>
      <c r="C213">
        <f>(B213-k_mx)/k_sx</f>
        <v/>
      </c>
      <c r="D213">
        <f>k_p2_0+C213*(k_p2_1+C213*k_p2_2)</f>
        <v/>
      </c>
      <c r="E213">
        <f>k_p3_0+C213*(k_p3_1+C213*(k_p3_2+C213*k_p3_3))</f>
        <v/>
      </c>
      <c r="F213">
        <f>k_p4_0+C213*(k_p4_1+C213*(k_p4_2+C213*(k_p4_3+C213*k_p4_4)))</f>
        <v/>
      </c>
      <c r="G213">
        <f>k_ea+k_eb*EXP(k_ec*C213)</f>
        <v/>
      </c>
      <c r="H213">
        <f>(k_p2_1+2*k_p2_2*C213)/k_sx</f>
        <v/>
      </c>
      <c r="I213">
        <f>(k_p3_1+C213*(2*k_p3_2+3*k_p3_3*C213))/k_sx</f>
        <v/>
      </c>
      <c r="J213">
        <f>(k_p4_1+C213*(2*k_p4_2+C213*(3*k_p4_3+4*k_p4_4*C213)))/k_sx</f>
        <v/>
      </c>
      <c r="K213">
        <f>k_eb*k_ec*EXP(k_ec*C213)/k_sx</f>
        <v/>
      </c>
      <c r="L213">
        <f>(2*k_p4_2+C213*(6*k_p4_3+12*k_p4_4*C213))/k_sx^2</f>
        <v/>
      </c>
      <c r="M213">
        <f>D213/B213</f>
        <v/>
      </c>
      <c r="N213">
        <f>E213/B213</f>
        <v/>
      </c>
      <c r="O213">
        <f>F213/B213</f>
        <v/>
      </c>
      <c r="P213">
        <f>G213/B213</f>
        <v/>
      </c>
      <c r="Q213">
        <f>CHOOSE(k_model,D213,E213,F213,G213)</f>
        <v/>
      </c>
      <c r="R213">
        <f>CHOOSE(k_model,H213,I213,J213,K213)</f>
        <v/>
      </c>
    </row>
    <row r="214">
      <c r="A214" t="n">
        <v>212</v>
      </c>
      <c r="B214">
        <f>k_lo+k_rng*A214/1000</f>
        <v/>
      </c>
      <c r="C214">
        <f>(B214-k_mx)/k_sx</f>
        <v/>
      </c>
      <c r="D214">
        <f>k_p2_0+C214*(k_p2_1+C214*k_p2_2)</f>
        <v/>
      </c>
      <c r="E214">
        <f>k_p3_0+C214*(k_p3_1+C214*(k_p3_2+C214*k_p3_3))</f>
        <v/>
      </c>
      <c r="F214">
        <f>k_p4_0+C214*(k_p4_1+C214*(k_p4_2+C214*(k_p4_3+C214*k_p4_4)))</f>
        <v/>
      </c>
      <c r="G214">
        <f>k_ea+k_eb*EXP(k_ec*C214)</f>
        <v/>
      </c>
      <c r="H214">
        <f>(k_p2_1+2*k_p2_2*C214)/k_sx</f>
        <v/>
      </c>
      <c r="I214">
        <f>(k_p3_1+C214*(2*k_p3_2+3*k_p3_3*C214))/k_sx</f>
        <v/>
      </c>
      <c r="J214">
        <f>(k_p4_1+C214*(2*k_p4_2+C214*(3*k_p4_3+4*k_p4_4*C214)))/k_sx</f>
        <v/>
      </c>
      <c r="K214">
        <f>k_eb*k_ec*EXP(k_ec*C214)/k_sx</f>
        <v/>
      </c>
      <c r="L214">
        <f>(2*k_p4_2+C214*(6*k_p4_3+12*k_p4_4*C214))/k_sx^2</f>
        <v/>
      </c>
      <c r="M214">
        <f>D214/B214</f>
        <v/>
      </c>
      <c r="N214">
        <f>E214/B214</f>
        <v/>
      </c>
      <c r="O214">
        <f>F214/B214</f>
        <v/>
      </c>
      <c r="P214">
        <f>G214/B214</f>
        <v/>
      </c>
      <c r="Q214">
        <f>CHOOSE(k_model,D214,E214,F214,G214)</f>
        <v/>
      </c>
      <c r="R214">
        <f>CHOOSE(k_model,H214,I214,J214,K214)</f>
        <v/>
      </c>
    </row>
    <row r="215">
      <c r="A215" t="n">
        <v>213</v>
      </c>
      <c r="B215">
        <f>k_lo+k_rng*A215/1000</f>
        <v/>
      </c>
      <c r="C215">
        <f>(B215-k_mx)/k_sx</f>
        <v/>
      </c>
      <c r="D215">
        <f>k_p2_0+C215*(k_p2_1+C215*k_p2_2)</f>
        <v/>
      </c>
      <c r="E215">
        <f>k_p3_0+C215*(k_p3_1+C215*(k_p3_2+C215*k_p3_3))</f>
        <v/>
      </c>
      <c r="F215">
        <f>k_p4_0+C215*(k_p4_1+C215*(k_p4_2+C215*(k_p4_3+C215*k_p4_4)))</f>
        <v/>
      </c>
      <c r="G215">
        <f>k_ea+k_eb*EXP(k_ec*C215)</f>
        <v/>
      </c>
      <c r="H215">
        <f>(k_p2_1+2*k_p2_2*C215)/k_sx</f>
        <v/>
      </c>
      <c r="I215">
        <f>(k_p3_1+C215*(2*k_p3_2+3*k_p3_3*C215))/k_sx</f>
        <v/>
      </c>
      <c r="J215">
        <f>(k_p4_1+C215*(2*k_p4_2+C215*(3*k_p4_3+4*k_p4_4*C215)))/k_sx</f>
        <v/>
      </c>
      <c r="K215">
        <f>k_eb*k_ec*EXP(k_ec*C215)/k_sx</f>
        <v/>
      </c>
      <c r="L215">
        <f>(2*k_p4_2+C215*(6*k_p4_3+12*k_p4_4*C215))/k_sx^2</f>
        <v/>
      </c>
      <c r="M215">
        <f>D215/B215</f>
        <v/>
      </c>
      <c r="N215">
        <f>E215/B215</f>
        <v/>
      </c>
      <c r="O215">
        <f>F215/B215</f>
        <v/>
      </c>
      <c r="P215">
        <f>G215/B215</f>
        <v/>
      </c>
      <c r="Q215">
        <f>CHOOSE(k_model,D215,E215,F215,G215)</f>
        <v/>
      </c>
      <c r="R215">
        <f>CHOOSE(k_model,H215,I215,J215,K215)</f>
        <v/>
      </c>
    </row>
    <row r="216">
      <c r="A216" t="n">
        <v>214</v>
      </c>
      <c r="B216">
        <f>k_lo+k_rng*A216/1000</f>
        <v/>
      </c>
      <c r="C216">
        <f>(B216-k_mx)/k_sx</f>
        <v/>
      </c>
      <c r="D216">
        <f>k_p2_0+C216*(k_p2_1+C216*k_p2_2)</f>
        <v/>
      </c>
      <c r="E216">
        <f>k_p3_0+C216*(k_p3_1+C216*(k_p3_2+C216*k_p3_3))</f>
        <v/>
      </c>
      <c r="F216">
        <f>k_p4_0+C216*(k_p4_1+C216*(k_p4_2+C216*(k_p4_3+C216*k_p4_4)))</f>
        <v/>
      </c>
      <c r="G216">
        <f>k_ea+k_eb*EXP(k_ec*C216)</f>
        <v/>
      </c>
      <c r="H216">
        <f>(k_p2_1+2*k_p2_2*C216)/k_sx</f>
        <v/>
      </c>
      <c r="I216">
        <f>(k_p3_1+C216*(2*k_p3_2+3*k_p3_3*C216))/k_sx</f>
        <v/>
      </c>
      <c r="J216">
        <f>(k_p4_1+C216*(2*k_p4_2+C216*(3*k_p4_3+4*k_p4_4*C216)))/k_sx</f>
        <v/>
      </c>
      <c r="K216">
        <f>k_eb*k_ec*EXP(k_ec*C216)/k_sx</f>
        <v/>
      </c>
      <c r="L216">
        <f>(2*k_p4_2+C216*(6*k_p4_3+12*k_p4_4*C216))/k_sx^2</f>
        <v/>
      </c>
      <c r="M216">
        <f>D216/B216</f>
        <v/>
      </c>
      <c r="N216">
        <f>E216/B216</f>
        <v/>
      </c>
      <c r="O216">
        <f>F216/B216</f>
        <v/>
      </c>
      <c r="P216">
        <f>G216/B216</f>
        <v/>
      </c>
      <c r="Q216">
        <f>CHOOSE(k_model,D216,E216,F216,G216)</f>
        <v/>
      </c>
      <c r="R216">
        <f>CHOOSE(k_model,H216,I216,J216,K216)</f>
        <v/>
      </c>
    </row>
    <row r="217">
      <c r="A217" t="n">
        <v>215</v>
      </c>
      <c r="B217">
        <f>k_lo+k_rng*A217/1000</f>
        <v/>
      </c>
      <c r="C217">
        <f>(B217-k_mx)/k_sx</f>
        <v/>
      </c>
      <c r="D217">
        <f>k_p2_0+C217*(k_p2_1+C217*k_p2_2)</f>
        <v/>
      </c>
      <c r="E217">
        <f>k_p3_0+C217*(k_p3_1+C217*(k_p3_2+C217*k_p3_3))</f>
        <v/>
      </c>
      <c r="F217">
        <f>k_p4_0+C217*(k_p4_1+C217*(k_p4_2+C217*(k_p4_3+C217*k_p4_4)))</f>
        <v/>
      </c>
      <c r="G217">
        <f>k_ea+k_eb*EXP(k_ec*C217)</f>
        <v/>
      </c>
      <c r="H217">
        <f>(k_p2_1+2*k_p2_2*C217)/k_sx</f>
        <v/>
      </c>
      <c r="I217">
        <f>(k_p3_1+C217*(2*k_p3_2+3*k_p3_3*C217))/k_sx</f>
        <v/>
      </c>
      <c r="J217">
        <f>(k_p4_1+C217*(2*k_p4_2+C217*(3*k_p4_3+4*k_p4_4*C217)))/k_sx</f>
        <v/>
      </c>
      <c r="K217">
        <f>k_eb*k_ec*EXP(k_ec*C217)/k_sx</f>
        <v/>
      </c>
      <c r="L217">
        <f>(2*k_p4_2+C217*(6*k_p4_3+12*k_p4_4*C217))/k_sx^2</f>
        <v/>
      </c>
      <c r="M217">
        <f>D217/B217</f>
        <v/>
      </c>
      <c r="N217">
        <f>E217/B217</f>
        <v/>
      </c>
      <c r="O217">
        <f>F217/B217</f>
        <v/>
      </c>
      <c r="P217">
        <f>G217/B217</f>
        <v/>
      </c>
      <c r="Q217">
        <f>CHOOSE(k_model,D217,E217,F217,G217)</f>
        <v/>
      </c>
      <c r="R217">
        <f>CHOOSE(k_model,H217,I217,J217,K217)</f>
        <v/>
      </c>
    </row>
    <row r="218">
      <c r="A218" t="n">
        <v>216</v>
      </c>
      <c r="B218">
        <f>k_lo+k_rng*A218/1000</f>
        <v/>
      </c>
      <c r="C218">
        <f>(B218-k_mx)/k_sx</f>
        <v/>
      </c>
      <c r="D218">
        <f>k_p2_0+C218*(k_p2_1+C218*k_p2_2)</f>
        <v/>
      </c>
      <c r="E218">
        <f>k_p3_0+C218*(k_p3_1+C218*(k_p3_2+C218*k_p3_3))</f>
        <v/>
      </c>
      <c r="F218">
        <f>k_p4_0+C218*(k_p4_1+C218*(k_p4_2+C218*(k_p4_3+C218*k_p4_4)))</f>
        <v/>
      </c>
      <c r="G218">
        <f>k_ea+k_eb*EXP(k_ec*C218)</f>
        <v/>
      </c>
      <c r="H218">
        <f>(k_p2_1+2*k_p2_2*C218)/k_sx</f>
        <v/>
      </c>
      <c r="I218">
        <f>(k_p3_1+C218*(2*k_p3_2+3*k_p3_3*C218))/k_sx</f>
        <v/>
      </c>
      <c r="J218">
        <f>(k_p4_1+C218*(2*k_p4_2+C218*(3*k_p4_3+4*k_p4_4*C218)))/k_sx</f>
        <v/>
      </c>
      <c r="K218">
        <f>k_eb*k_ec*EXP(k_ec*C218)/k_sx</f>
        <v/>
      </c>
      <c r="L218">
        <f>(2*k_p4_2+C218*(6*k_p4_3+12*k_p4_4*C218))/k_sx^2</f>
        <v/>
      </c>
      <c r="M218">
        <f>D218/B218</f>
        <v/>
      </c>
      <c r="N218">
        <f>E218/B218</f>
        <v/>
      </c>
      <c r="O218">
        <f>F218/B218</f>
        <v/>
      </c>
      <c r="P218">
        <f>G218/B218</f>
        <v/>
      </c>
      <c r="Q218">
        <f>CHOOSE(k_model,D218,E218,F218,G218)</f>
        <v/>
      </c>
      <c r="R218">
        <f>CHOOSE(k_model,H218,I218,J218,K218)</f>
        <v/>
      </c>
    </row>
    <row r="219">
      <c r="A219" t="n">
        <v>217</v>
      </c>
      <c r="B219">
        <f>k_lo+k_rng*A219/1000</f>
        <v/>
      </c>
      <c r="C219">
        <f>(B219-k_mx)/k_sx</f>
        <v/>
      </c>
      <c r="D219">
        <f>k_p2_0+C219*(k_p2_1+C219*k_p2_2)</f>
        <v/>
      </c>
      <c r="E219">
        <f>k_p3_0+C219*(k_p3_1+C219*(k_p3_2+C219*k_p3_3))</f>
        <v/>
      </c>
      <c r="F219">
        <f>k_p4_0+C219*(k_p4_1+C219*(k_p4_2+C219*(k_p4_3+C219*k_p4_4)))</f>
        <v/>
      </c>
      <c r="G219">
        <f>k_ea+k_eb*EXP(k_ec*C219)</f>
        <v/>
      </c>
      <c r="H219">
        <f>(k_p2_1+2*k_p2_2*C219)/k_sx</f>
        <v/>
      </c>
      <c r="I219">
        <f>(k_p3_1+C219*(2*k_p3_2+3*k_p3_3*C219))/k_sx</f>
        <v/>
      </c>
      <c r="J219">
        <f>(k_p4_1+C219*(2*k_p4_2+C219*(3*k_p4_3+4*k_p4_4*C219)))/k_sx</f>
        <v/>
      </c>
      <c r="K219">
        <f>k_eb*k_ec*EXP(k_ec*C219)/k_sx</f>
        <v/>
      </c>
      <c r="L219">
        <f>(2*k_p4_2+C219*(6*k_p4_3+12*k_p4_4*C219))/k_sx^2</f>
        <v/>
      </c>
      <c r="M219">
        <f>D219/B219</f>
        <v/>
      </c>
      <c r="N219">
        <f>E219/B219</f>
        <v/>
      </c>
      <c r="O219">
        <f>F219/B219</f>
        <v/>
      </c>
      <c r="P219">
        <f>G219/B219</f>
        <v/>
      </c>
      <c r="Q219">
        <f>CHOOSE(k_model,D219,E219,F219,G219)</f>
        <v/>
      </c>
      <c r="R219">
        <f>CHOOSE(k_model,H219,I219,J219,K219)</f>
        <v/>
      </c>
    </row>
    <row r="220">
      <c r="A220" t="n">
        <v>218</v>
      </c>
      <c r="B220">
        <f>k_lo+k_rng*A220/1000</f>
        <v/>
      </c>
      <c r="C220">
        <f>(B220-k_mx)/k_sx</f>
        <v/>
      </c>
      <c r="D220">
        <f>k_p2_0+C220*(k_p2_1+C220*k_p2_2)</f>
        <v/>
      </c>
      <c r="E220">
        <f>k_p3_0+C220*(k_p3_1+C220*(k_p3_2+C220*k_p3_3))</f>
        <v/>
      </c>
      <c r="F220">
        <f>k_p4_0+C220*(k_p4_1+C220*(k_p4_2+C220*(k_p4_3+C220*k_p4_4)))</f>
        <v/>
      </c>
      <c r="G220">
        <f>k_ea+k_eb*EXP(k_ec*C220)</f>
        <v/>
      </c>
      <c r="H220">
        <f>(k_p2_1+2*k_p2_2*C220)/k_sx</f>
        <v/>
      </c>
      <c r="I220">
        <f>(k_p3_1+C220*(2*k_p3_2+3*k_p3_3*C220))/k_sx</f>
        <v/>
      </c>
      <c r="J220">
        <f>(k_p4_1+C220*(2*k_p4_2+C220*(3*k_p4_3+4*k_p4_4*C220)))/k_sx</f>
        <v/>
      </c>
      <c r="K220">
        <f>k_eb*k_ec*EXP(k_ec*C220)/k_sx</f>
        <v/>
      </c>
      <c r="L220">
        <f>(2*k_p4_2+C220*(6*k_p4_3+12*k_p4_4*C220))/k_sx^2</f>
        <v/>
      </c>
      <c r="M220">
        <f>D220/B220</f>
        <v/>
      </c>
      <c r="N220">
        <f>E220/B220</f>
        <v/>
      </c>
      <c r="O220">
        <f>F220/B220</f>
        <v/>
      </c>
      <c r="P220">
        <f>G220/B220</f>
        <v/>
      </c>
      <c r="Q220">
        <f>CHOOSE(k_model,D220,E220,F220,G220)</f>
        <v/>
      </c>
      <c r="R220">
        <f>CHOOSE(k_model,H220,I220,J220,K220)</f>
        <v/>
      </c>
    </row>
    <row r="221">
      <c r="A221" t="n">
        <v>219</v>
      </c>
      <c r="B221">
        <f>k_lo+k_rng*A221/1000</f>
        <v/>
      </c>
      <c r="C221">
        <f>(B221-k_mx)/k_sx</f>
        <v/>
      </c>
      <c r="D221">
        <f>k_p2_0+C221*(k_p2_1+C221*k_p2_2)</f>
        <v/>
      </c>
      <c r="E221">
        <f>k_p3_0+C221*(k_p3_1+C221*(k_p3_2+C221*k_p3_3))</f>
        <v/>
      </c>
      <c r="F221">
        <f>k_p4_0+C221*(k_p4_1+C221*(k_p4_2+C221*(k_p4_3+C221*k_p4_4)))</f>
        <v/>
      </c>
      <c r="G221">
        <f>k_ea+k_eb*EXP(k_ec*C221)</f>
        <v/>
      </c>
      <c r="H221">
        <f>(k_p2_1+2*k_p2_2*C221)/k_sx</f>
        <v/>
      </c>
      <c r="I221">
        <f>(k_p3_1+C221*(2*k_p3_2+3*k_p3_3*C221))/k_sx</f>
        <v/>
      </c>
      <c r="J221">
        <f>(k_p4_1+C221*(2*k_p4_2+C221*(3*k_p4_3+4*k_p4_4*C221)))/k_sx</f>
        <v/>
      </c>
      <c r="K221">
        <f>k_eb*k_ec*EXP(k_ec*C221)/k_sx</f>
        <v/>
      </c>
      <c r="L221">
        <f>(2*k_p4_2+C221*(6*k_p4_3+12*k_p4_4*C221))/k_sx^2</f>
        <v/>
      </c>
      <c r="M221">
        <f>D221/B221</f>
        <v/>
      </c>
      <c r="N221">
        <f>E221/B221</f>
        <v/>
      </c>
      <c r="O221">
        <f>F221/B221</f>
        <v/>
      </c>
      <c r="P221">
        <f>G221/B221</f>
        <v/>
      </c>
      <c r="Q221">
        <f>CHOOSE(k_model,D221,E221,F221,G221)</f>
        <v/>
      </c>
      <c r="R221">
        <f>CHOOSE(k_model,H221,I221,J221,K221)</f>
        <v/>
      </c>
    </row>
    <row r="222">
      <c r="A222" t="n">
        <v>220</v>
      </c>
      <c r="B222">
        <f>k_lo+k_rng*A222/1000</f>
        <v/>
      </c>
      <c r="C222">
        <f>(B222-k_mx)/k_sx</f>
        <v/>
      </c>
      <c r="D222">
        <f>k_p2_0+C222*(k_p2_1+C222*k_p2_2)</f>
        <v/>
      </c>
      <c r="E222">
        <f>k_p3_0+C222*(k_p3_1+C222*(k_p3_2+C222*k_p3_3))</f>
        <v/>
      </c>
      <c r="F222">
        <f>k_p4_0+C222*(k_p4_1+C222*(k_p4_2+C222*(k_p4_3+C222*k_p4_4)))</f>
        <v/>
      </c>
      <c r="G222">
        <f>k_ea+k_eb*EXP(k_ec*C222)</f>
        <v/>
      </c>
      <c r="H222">
        <f>(k_p2_1+2*k_p2_2*C222)/k_sx</f>
        <v/>
      </c>
      <c r="I222">
        <f>(k_p3_1+C222*(2*k_p3_2+3*k_p3_3*C222))/k_sx</f>
        <v/>
      </c>
      <c r="J222">
        <f>(k_p4_1+C222*(2*k_p4_2+C222*(3*k_p4_3+4*k_p4_4*C222)))/k_sx</f>
        <v/>
      </c>
      <c r="K222">
        <f>k_eb*k_ec*EXP(k_ec*C222)/k_sx</f>
        <v/>
      </c>
      <c r="L222">
        <f>(2*k_p4_2+C222*(6*k_p4_3+12*k_p4_4*C222))/k_sx^2</f>
        <v/>
      </c>
      <c r="M222">
        <f>D222/B222</f>
        <v/>
      </c>
      <c r="N222">
        <f>E222/B222</f>
        <v/>
      </c>
      <c r="O222">
        <f>F222/B222</f>
        <v/>
      </c>
      <c r="P222">
        <f>G222/B222</f>
        <v/>
      </c>
      <c r="Q222">
        <f>CHOOSE(k_model,D222,E222,F222,G222)</f>
        <v/>
      </c>
      <c r="R222">
        <f>CHOOSE(k_model,H222,I222,J222,K222)</f>
        <v/>
      </c>
    </row>
    <row r="223">
      <c r="A223" t="n">
        <v>221</v>
      </c>
      <c r="B223">
        <f>k_lo+k_rng*A223/1000</f>
        <v/>
      </c>
      <c r="C223">
        <f>(B223-k_mx)/k_sx</f>
        <v/>
      </c>
      <c r="D223">
        <f>k_p2_0+C223*(k_p2_1+C223*k_p2_2)</f>
        <v/>
      </c>
      <c r="E223">
        <f>k_p3_0+C223*(k_p3_1+C223*(k_p3_2+C223*k_p3_3))</f>
        <v/>
      </c>
      <c r="F223">
        <f>k_p4_0+C223*(k_p4_1+C223*(k_p4_2+C223*(k_p4_3+C223*k_p4_4)))</f>
        <v/>
      </c>
      <c r="G223">
        <f>k_ea+k_eb*EXP(k_ec*C223)</f>
        <v/>
      </c>
      <c r="H223">
        <f>(k_p2_1+2*k_p2_2*C223)/k_sx</f>
        <v/>
      </c>
      <c r="I223">
        <f>(k_p3_1+C223*(2*k_p3_2+3*k_p3_3*C223))/k_sx</f>
        <v/>
      </c>
      <c r="J223">
        <f>(k_p4_1+C223*(2*k_p4_2+C223*(3*k_p4_3+4*k_p4_4*C223)))/k_sx</f>
        <v/>
      </c>
      <c r="K223">
        <f>k_eb*k_ec*EXP(k_ec*C223)/k_sx</f>
        <v/>
      </c>
      <c r="L223">
        <f>(2*k_p4_2+C223*(6*k_p4_3+12*k_p4_4*C223))/k_sx^2</f>
        <v/>
      </c>
      <c r="M223">
        <f>D223/B223</f>
        <v/>
      </c>
      <c r="N223">
        <f>E223/B223</f>
        <v/>
      </c>
      <c r="O223">
        <f>F223/B223</f>
        <v/>
      </c>
      <c r="P223">
        <f>G223/B223</f>
        <v/>
      </c>
      <c r="Q223">
        <f>CHOOSE(k_model,D223,E223,F223,G223)</f>
        <v/>
      </c>
      <c r="R223">
        <f>CHOOSE(k_model,H223,I223,J223,K223)</f>
        <v/>
      </c>
    </row>
    <row r="224">
      <c r="A224" t="n">
        <v>222</v>
      </c>
      <c r="B224">
        <f>k_lo+k_rng*A224/1000</f>
        <v/>
      </c>
      <c r="C224">
        <f>(B224-k_mx)/k_sx</f>
        <v/>
      </c>
      <c r="D224">
        <f>k_p2_0+C224*(k_p2_1+C224*k_p2_2)</f>
        <v/>
      </c>
      <c r="E224">
        <f>k_p3_0+C224*(k_p3_1+C224*(k_p3_2+C224*k_p3_3))</f>
        <v/>
      </c>
      <c r="F224">
        <f>k_p4_0+C224*(k_p4_1+C224*(k_p4_2+C224*(k_p4_3+C224*k_p4_4)))</f>
        <v/>
      </c>
      <c r="G224">
        <f>k_ea+k_eb*EXP(k_ec*C224)</f>
        <v/>
      </c>
      <c r="H224">
        <f>(k_p2_1+2*k_p2_2*C224)/k_sx</f>
        <v/>
      </c>
      <c r="I224">
        <f>(k_p3_1+C224*(2*k_p3_2+3*k_p3_3*C224))/k_sx</f>
        <v/>
      </c>
      <c r="J224">
        <f>(k_p4_1+C224*(2*k_p4_2+C224*(3*k_p4_3+4*k_p4_4*C224)))/k_sx</f>
        <v/>
      </c>
      <c r="K224">
        <f>k_eb*k_ec*EXP(k_ec*C224)/k_sx</f>
        <v/>
      </c>
      <c r="L224">
        <f>(2*k_p4_2+C224*(6*k_p4_3+12*k_p4_4*C224))/k_sx^2</f>
        <v/>
      </c>
      <c r="M224">
        <f>D224/B224</f>
        <v/>
      </c>
      <c r="N224">
        <f>E224/B224</f>
        <v/>
      </c>
      <c r="O224">
        <f>F224/B224</f>
        <v/>
      </c>
      <c r="P224">
        <f>G224/B224</f>
        <v/>
      </c>
      <c r="Q224">
        <f>CHOOSE(k_model,D224,E224,F224,G224)</f>
        <v/>
      </c>
      <c r="R224">
        <f>CHOOSE(k_model,H224,I224,J224,K224)</f>
        <v/>
      </c>
    </row>
    <row r="225">
      <c r="A225" t="n">
        <v>223</v>
      </c>
      <c r="B225">
        <f>k_lo+k_rng*A225/1000</f>
        <v/>
      </c>
      <c r="C225">
        <f>(B225-k_mx)/k_sx</f>
        <v/>
      </c>
      <c r="D225">
        <f>k_p2_0+C225*(k_p2_1+C225*k_p2_2)</f>
        <v/>
      </c>
      <c r="E225">
        <f>k_p3_0+C225*(k_p3_1+C225*(k_p3_2+C225*k_p3_3))</f>
        <v/>
      </c>
      <c r="F225">
        <f>k_p4_0+C225*(k_p4_1+C225*(k_p4_2+C225*(k_p4_3+C225*k_p4_4)))</f>
        <v/>
      </c>
      <c r="G225">
        <f>k_ea+k_eb*EXP(k_ec*C225)</f>
        <v/>
      </c>
      <c r="H225">
        <f>(k_p2_1+2*k_p2_2*C225)/k_sx</f>
        <v/>
      </c>
      <c r="I225">
        <f>(k_p3_1+C225*(2*k_p3_2+3*k_p3_3*C225))/k_sx</f>
        <v/>
      </c>
      <c r="J225">
        <f>(k_p4_1+C225*(2*k_p4_2+C225*(3*k_p4_3+4*k_p4_4*C225)))/k_sx</f>
        <v/>
      </c>
      <c r="K225">
        <f>k_eb*k_ec*EXP(k_ec*C225)/k_sx</f>
        <v/>
      </c>
      <c r="L225">
        <f>(2*k_p4_2+C225*(6*k_p4_3+12*k_p4_4*C225))/k_sx^2</f>
        <v/>
      </c>
      <c r="M225">
        <f>D225/B225</f>
        <v/>
      </c>
      <c r="N225">
        <f>E225/B225</f>
        <v/>
      </c>
      <c r="O225">
        <f>F225/B225</f>
        <v/>
      </c>
      <c r="P225">
        <f>G225/B225</f>
        <v/>
      </c>
      <c r="Q225">
        <f>CHOOSE(k_model,D225,E225,F225,G225)</f>
        <v/>
      </c>
      <c r="R225">
        <f>CHOOSE(k_model,H225,I225,J225,K225)</f>
        <v/>
      </c>
    </row>
    <row r="226">
      <c r="A226" t="n">
        <v>224</v>
      </c>
      <c r="B226">
        <f>k_lo+k_rng*A226/1000</f>
        <v/>
      </c>
      <c r="C226">
        <f>(B226-k_mx)/k_sx</f>
        <v/>
      </c>
      <c r="D226">
        <f>k_p2_0+C226*(k_p2_1+C226*k_p2_2)</f>
        <v/>
      </c>
      <c r="E226">
        <f>k_p3_0+C226*(k_p3_1+C226*(k_p3_2+C226*k_p3_3))</f>
        <v/>
      </c>
      <c r="F226">
        <f>k_p4_0+C226*(k_p4_1+C226*(k_p4_2+C226*(k_p4_3+C226*k_p4_4)))</f>
        <v/>
      </c>
      <c r="G226">
        <f>k_ea+k_eb*EXP(k_ec*C226)</f>
        <v/>
      </c>
      <c r="H226">
        <f>(k_p2_1+2*k_p2_2*C226)/k_sx</f>
        <v/>
      </c>
      <c r="I226">
        <f>(k_p3_1+C226*(2*k_p3_2+3*k_p3_3*C226))/k_sx</f>
        <v/>
      </c>
      <c r="J226">
        <f>(k_p4_1+C226*(2*k_p4_2+C226*(3*k_p4_3+4*k_p4_4*C226)))/k_sx</f>
        <v/>
      </c>
      <c r="K226">
        <f>k_eb*k_ec*EXP(k_ec*C226)/k_sx</f>
        <v/>
      </c>
      <c r="L226">
        <f>(2*k_p4_2+C226*(6*k_p4_3+12*k_p4_4*C226))/k_sx^2</f>
        <v/>
      </c>
      <c r="M226">
        <f>D226/B226</f>
        <v/>
      </c>
      <c r="N226">
        <f>E226/B226</f>
        <v/>
      </c>
      <c r="O226">
        <f>F226/B226</f>
        <v/>
      </c>
      <c r="P226">
        <f>G226/B226</f>
        <v/>
      </c>
      <c r="Q226">
        <f>CHOOSE(k_model,D226,E226,F226,G226)</f>
        <v/>
      </c>
      <c r="R226">
        <f>CHOOSE(k_model,H226,I226,J226,K226)</f>
        <v/>
      </c>
    </row>
    <row r="227">
      <c r="A227" t="n">
        <v>225</v>
      </c>
      <c r="B227">
        <f>k_lo+k_rng*A227/1000</f>
        <v/>
      </c>
      <c r="C227">
        <f>(B227-k_mx)/k_sx</f>
        <v/>
      </c>
      <c r="D227">
        <f>k_p2_0+C227*(k_p2_1+C227*k_p2_2)</f>
        <v/>
      </c>
      <c r="E227">
        <f>k_p3_0+C227*(k_p3_1+C227*(k_p3_2+C227*k_p3_3))</f>
        <v/>
      </c>
      <c r="F227">
        <f>k_p4_0+C227*(k_p4_1+C227*(k_p4_2+C227*(k_p4_3+C227*k_p4_4)))</f>
        <v/>
      </c>
      <c r="G227">
        <f>k_ea+k_eb*EXP(k_ec*C227)</f>
        <v/>
      </c>
      <c r="H227">
        <f>(k_p2_1+2*k_p2_2*C227)/k_sx</f>
        <v/>
      </c>
      <c r="I227">
        <f>(k_p3_1+C227*(2*k_p3_2+3*k_p3_3*C227))/k_sx</f>
        <v/>
      </c>
      <c r="J227">
        <f>(k_p4_1+C227*(2*k_p4_2+C227*(3*k_p4_3+4*k_p4_4*C227)))/k_sx</f>
        <v/>
      </c>
      <c r="K227">
        <f>k_eb*k_ec*EXP(k_ec*C227)/k_sx</f>
        <v/>
      </c>
      <c r="L227">
        <f>(2*k_p4_2+C227*(6*k_p4_3+12*k_p4_4*C227))/k_sx^2</f>
        <v/>
      </c>
      <c r="M227">
        <f>D227/B227</f>
        <v/>
      </c>
      <c r="N227">
        <f>E227/B227</f>
        <v/>
      </c>
      <c r="O227">
        <f>F227/B227</f>
        <v/>
      </c>
      <c r="P227">
        <f>G227/B227</f>
        <v/>
      </c>
      <c r="Q227">
        <f>CHOOSE(k_model,D227,E227,F227,G227)</f>
        <v/>
      </c>
      <c r="R227">
        <f>CHOOSE(k_model,H227,I227,J227,K227)</f>
        <v/>
      </c>
    </row>
    <row r="228">
      <c r="A228" t="n">
        <v>226</v>
      </c>
      <c r="B228">
        <f>k_lo+k_rng*A228/1000</f>
        <v/>
      </c>
      <c r="C228">
        <f>(B228-k_mx)/k_sx</f>
        <v/>
      </c>
      <c r="D228">
        <f>k_p2_0+C228*(k_p2_1+C228*k_p2_2)</f>
        <v/>
      </c>
      <c r="E228">
        <f>k_p3_0+C228*(k_p3_1+C228*(k_p3_2+C228*k_p3_3))</f>
        <v/>
      </c>
      <c r="F228">
        <f>k_p4_0+C228*(k_p4_1+C228*(k_p4_2+C228*(k_p4_3+C228*k_p4_4)))</f>
        <v/>
      </c>
      <c r="G228">
        <f>k_ea+k_eb*EXP(k_ec*C228)</f>
        <v/>
      </c>
      <c r="H228">
        <f>(k_p2_1+2*k_p2_2*C228)/k_sx</f>
        <v/>
      </c>
      <c r="I228">
        <f>(k_p3_1+C228*(2*k_p3_2+3*k_p3_3*C228))/k_sx</f>
        <v/>
      </c>
      <c r="J228">
        <f>(k_p4_1+C228*(2*k_p4_2+C228*(3*k_p4_3+4*k_p4_4*C228)))/k_sx</f>
        <v/>
      </c>
      <c r="K228">
        <f>k_eb*k_ec*EXP(k_ec*C228)/k_sx</f>
        <v/>
      </c>
      <c r="L228">
        <f>(2*k_p4_2+C228*(6*k_p4_3+12*k_p4_4*C228))/k_sx^2</f>
        <v/>
      </c>
      <c r="M228">
        <f>D228/B228</f>
        <v/>
      </c>
      <c r="N228">
        <f>E228/B228</f>
        <v/>
      </c>
      <c r="O228">
        <f>F228/B228</f>
        <v/>
      </c>
      <c r="P228">
        <f>G228/B228</f>
        <v/>
      </c>
      <c r="Q228">
        <f>CHOOSE(k_model,D228,E228,F228,G228)</f>
        <v/>
      </c>
      <c r="R228">
        <f>CHOOSE(k_model,H228,I228,J228,K228)</f>
        <v/>
      </c>
    </row>
    <row r="229">
      <c r="A229" t="n">
        <v>227</v>
      </c>
      <c r="B229">
        <f>k_lo+k_rng*A229/1000</f>
        <v/>
      </c>
      <c r="C229">
        <f>(B229-k_mx)/k_sx</f>
        <v/>
      </c>
      <c r="D229">
        <f>k_p2_0+C229*(k_p2_1+C229*k_p2_2)</f>
        <v/>
      </c>
      <c r="E229">
        <f>k_p3_0+C229*(k_p3_1+C229*(k_p3_2+C229*k_p3_3))</f>
        <v/>
      </c>
      <c r="F229">
        <f>k_p4_0+C229*(k_p4_1+C229*(k_p4_2+C229*(k_p4_3+C229*k_p4_4)))</f>
        <v/>
      </c>
      <c r="G229">
        <f>k_ea+k_eb*EXP(k_ec*C229)</f>
        <v/>
      </c>
      <c r="H229">
        <f>(k_p2_1+2*k_p2_2*C229)/k_sx</f>
        <v/>
      </c>
      <c r="I229">
        <f>(k_p3_1+C229*(2*k_p3_2+3*k_p3_3*C229))/k_sx</f>
        <v/>
      </c>
      <c r="J229">
        <f>(k_p4_1+C229*(2*k_p4_2+C229*(3*k_p4_3+4*k_p4_4*C229)))/k_sx</f>
        <v/>
      </c>
      <c r="K229">
        <f>k_eb*k_ec*EXP(k_ec*C229)/k_sx</f>
        <v/>
      </c>
      <c r="L229">
        <f>(2*k_p4_2+C229*(6*k_p4_3+12*k_p4_4*C229))/k_sx^2</f>
        <v/>
      </c>
      <c r="M229">
        <f>D229/B229</f>
        <v/>
      </c>
      <c r="N229">
        <f>E229/B229</f>
        <v/>
      </c>
      <c r="O229">
        <f>F229/B229</f>
        <v/>
      </c>
      <c r="P229">
        <f>G229/B229</f>
        <v/>
      </c>
      <c r="Q229">
        <f>CHOOSE(k_model,D229,E229,F229,G229)</f>
        <v/>
      </c>
      <c r="R229">
        <f>CHOOSE(k_model,H229,I229,J229,K229)</f>
        <v/>
      </c>
    </row>
    <row r="230">
      <c r="A230" t="n">
        <v>228</v>
      </c>
      <c r="B230">
        <f>k_lo+k_rng*A230/1000</f>
        <v/>
      </c>
      <c r="C230">
        <f>(B230-k_mx)/k_sx</f>
        <v/>
      </c>
      <c r="D230">
        <f>k_p2_0+C230*(k_p2_1+C230*k_p2_2)</f>
        <v/>
      </c>
      <c r="E230">
        <f>k_p3_0+C230*(k_p3_1+C230*(k_p3_2+C230*k_p3_3))</f>
        <v/>
      </c>
      <c r="F230">
        <f>k_p4_0+C230*(k_p4_1+C230*(k_p4_2+C230*(k_p4_3+C230*k_p4_4)))</f>
        <v/>
      </c>
      <c r="G230">
        <f>k_ea+k_eb*EXP(k_ec*C230)</f>
        <v/>
      </c>
      <c r="H230">
        <f>(k_p2_1+2*k_p2_2*C230)/k_sx</f>
        <v/>
      </c>
      <c r="I230">
        <f>(k_p3_1+C230*(2*k_p3_2+3*k_p3_3*C230))/k_sx</f>
        <v/>
      </c>
      <c r="J230">
        <f>(k_p4_1+C230*(2*k_p4_2+C230*(3*k_p4_3+4*k_p4_4*C230)))/k_sx</f>
        <v/>
      </c>
      <c r="K230">
        <f>k_eb*k_ec*EXP(k_ec*C230)/k_sx</f>
        <v/>
      </c>
      <c r="L230">
        <f>(2*k_p4_2+C230*(6*k_p4_3+12*k_p4_4*C230))/k_sx^2</f>
        <v/>
      </c>
      <c r="M230">
        <f>D230/B230</f>
        <v/>
      </c>
      <c r="N230">
        <f>E230/B230</f>
        <v/>
      </c>
      <c r="O230">
        <f>F230/B230</f>
        <v/>
      </c>
      <c r="P230">
        <f>G230/B230</f>
        <v/>
      </c>
      <c r="Q230">
        <f>CHOOSE(k_model,D230,E230,F230,G230)</f>
        <v/>
      </c>
      <c r="R230">
        <f>CHOOSE(k_model,H230,I230,J230,K230)</f>
        <v/>
      </c>
    </row>
    <row r="231">
      <c r="A231" t="n">
        <v>229</v>
      </c>
      <c r="B231">
        <f>k_lo+k_rng*A231/1000</f>
        <v/>
      </c>
      <c r="C231">
        <f>(B231-k_mx)/k_sx</f>
        <v/>
      </c>
      <c r="D231">
        <f>k_p2_0+C231*(k_p2_1+C231*k_p2_2)</f>
        <v/>
      </c>
      <c r="E231">
        <f>k_p3_0+C231*(k_p3_1+C231*(k_p3_2+C231*k_p3_3))</f>
        <v/>
      </c>
      <c r="F231">
        <f>k_p4_0+C231*(k_p4_1+C231*(k_p4_2+C231*(k_p4_3+C231*k_p4_4)))</f>
        <v/>
      </c>
      <c r="G231">
        <f>k_ea+k_eb*EXP(k_ec*C231)</f>
        <v/>
      </c>
      <c r="H231">
        <f>(k_p2_1+2*k_p2_2*C231)/k_sx</f>
        <v/>
      </c>
      <c r="I231">
        <f>(k_p3_1+C231*(2*k_p3_2+3*k_p3_3*C231))/k_sx</f>
        <v/>
      </c>
      <c r="J231">
        <f>(k_p4_1+C231*(2*k_p4_2+C231*(3*k_p4_3+4*k_p4_4*C231)))/k_sx</f>
        <v/>
      </c>
      <c r="K231">
        <f>k_eb*k_ec*EXP(k_ec*C231)/k_sx</f>
        <v/>
      </c>
      <c r="L231">
        <f>(2*k_p4_2+C231*(6*k_p4_3+12*k_p4_4*C231))/k_sx^2</f>
        <v/>
      </c>
      <c r="M231">
        <f>D231/B231</f>
        <v/>
      </c>
      <c r="N231">
        <f>E231/B231</f>
        <v/>
      </c>
      <c r="O231">
        <f>F231/B231</f>
        <v/>
      </c>
      <c r="P231">
        <f>G231/B231</f>
        <v/>
      </c>
      <c r="Q231">
        <f>CHOOSE(k_model,D231,E231,F231,G231)</f>
        <v/>
      </c>
      <c r="R231">
        <f>CHOOSE(k_model,H231,I231,J231,K231)</f>
        <v/>
      </c>
    </row>
    <row r="232">
      <c r="A232" t="n">
        <v>230</v>
      </c>
      <c r="B232">
        <f>k_lo+k_rng*A232/1000</f>
        <v/>
      </c>
      <c r="C232">
        <f>(B232-k_mx)/k_sx</f>
        <v/>
      </c>
      <c r="D232">
        <f>k_p2_0+C232*(k_p2_1+C232*k_p2_2)</f>
        <v/>
      </c>
      <c r="E232">
        <f>k_p3_0+C232*(k_p3_1+C232*(k_p3_2+C232*k_p3_3))</f>
        <v/>
      </c>
      <c r="F232">
        <f>k_p4_0+C232*(k_p4_1+C232*(k_p4_2+C232*(k_p4_3+C232*k_p4_4)))</f>
        <v/>
      </c>
      <c r="G232">
        <f>k_ea+k_eb*EXP(k_ec*C232)</f>
        <v/>
      </c>
      <c r="H232">
        <f>(k_p2_1+2*k_p2_2*C232)/k_sx</f>
        <v/>
      </c>
      <c r="I232">
        <f>(k_p3_1+C232*(2*k_p3_2+3*k_p3_3*C232))/k_sx</f>
        <v/>
      </c>
      <c r="J232">
        <f>(k_p4_1+C232*(2*k_p4_2+C232*(3*k_p4_3+4*k_p4_4*C232)))/k_sx</f>
        <v/>
      </c>
      <c r="K232">
        <f>k_eb*k_ec*EXP(k_ec*C232)/k_sx</f>
        <v/>
      </c>
      <c r="L232">
        <f>(2*k_p4_2+C232*(6*k_p4_3+12*k_p4_4*C232))/k_sx^2</f>
        <v/>
      </c>
      <c r="M232">
        <f>D232/B232</f>
        <v/>
      </c>
      <c r="N232">
        <f>E232/B232</f>
        <v/>
      </c>
      <c r="O232">
        <f>F232/B232</f>
        <v/>
      </c>
      <c r="P232">
        <f>G232/B232</f>
        <v/>
      </c>
      <c r="Q232">
        <f>CHOOSE(k_model,D232,E232,F232,G232)</f>
        <v/>
      </c>
      <c r="R232">
        <f>CHOOSE(k_model,H232,I232,J232,K232)</f>
        <v/>
      </c>
    </row>
    <row r="233">
      <c r="A233" t="n">
        <v>231</v>
      </c>
      <c r="B233">
        <f>k_lo+k_rng*A233/1000</f>
        <v/>
      </c>
      <c r="C233">
        <f>(B233-k_mx)/k_sx</f>
        <v/>
      </c>
      <c r="D233">
        <f>k_p2_0+C233*(k_p2_1+C233*k_p2_2)</f>
        <v/>
      </c>
      <c r="E233">
        <f>k_p3_0+C233*(k_p3_1+C233*(k_p3_2+C233*k_p3_3))</f>
        <v/>
      </c>
      <c r="F233">
        <f>k_p4_0+C233*(k_p4_1+C233*(k_p4_2+C233*(k_p4_3+C233*k_p4_4)))</f>
        <v/>
      </c>
      <c r="G233">
        <f>k_ea+k_eb*EXP(k_ec*C233)</f>
        <v/>
      </c>
      <c r="H233">
        <f>(k_p2_1+2*k_p2_2*C233)/k_sx</f>
        <v/>
      </c>
      <c r="I233">
        <f>(k_p3_1+C233*(2*k_p3_2+3*k_p3_3*C233))/k_sx</f>
        <v/>
      </c>
      <c r="J233">
        <f>(k_p4_1+C233*(2*k_p4_2+C233*(3*k_p4_3+4*k_p4_4*C233)))/k_sx</f>
        <v/>
      </c>
      <c r="K233">
        <f>k_eb*k_ec*EXP(k_ec*C233)/k_sx</f>
        <v/>
      </c>
      <c r="L233">
        <f>(2*k_p4_2+C233*(6*k_p4_3+12*k_p4_4*C233))/k_sx^2</f>
        <v/>
      </c>
      <c r="M233">
        <f>D233/B233</f>
        <v/>
      </c>
      <c r="N233">
        <f>E233/B233</f>
        <v/>
      </c>
      <c r="O233">
        <f>F233/B233</f>
        <v/>
      </c>
      <c r="P233">
        <f>G233/B233</f>
        <v/>
      </c>
      <c r="Q233">
        <f>CHOOSE(k_model,D233,E233,F233,G233)</f>
        <v/>
      </c>
      <c r="R233">
        <f>CHOOSE(k_model,H233,I233,J233,K233)</f>
        <v/>
      </c>
    </row>
    <row r="234">
      <c r="A234" t="n">
        <v>232</v>
      </c>
      <c r="B234">
        <f>k_lo+k_rng*A234/1000</f>
        <v/>
      </c>
      <c r="C234">
        <f>(B234-k_mx)/k_sx</f>
        <v/>
      </c>
      <c r="D234">
        <f>k_p2_0+C234*(k_p2_1+C234*k_p2_2)</f>
        <v/>
      </c>
      <c r="E234">
        <f>k_p3_0+C234*(k_p3_1+C234*(k_p3_2+C234*k_p3_3))</f>
        <v/>
      </c>
      <c r="F234">
        <f>k_p4_0+C234*(k_p4_1+C234*(k_p4_2+C234*(k_p4_3+C234*k_p4_4)))</f>
        <v/>
      </c>
      <c r="G234">
        <f>k_ea+k_eb*EXP(k_ec*C234)</f>
        <v/>
      </c>
      <c r="H234">
        <f>(k_p2_1+2*k_p2_2*C234)/k_sx</f>
        <v/>
      </c>
      <c r="I234">
        <f>(k_p3_1+C234*(2*k_p3_2+3*k_p3_3*C234))/k_sx</f>
        <v/>
      </c>
      <c r="J234">
        <f>(k_p4_1+C234*(2*k_p4_2+C234*(3*k_p4_3+4*k_p4_4*C234)))/k_sx</f>
        <v/>
      </c>
      <c r="K234">
        <f>k_eb*k_ec*EXP(k_ec*C234)/k_sx</f>
        <v/>
      </c>
      <c r="L234">
        <f>(2*k_p4_2+C234*(6*k_p4_3+12*k_p4_4*C234))/k_sx^2</f>
        <v/>
      </c>
      <c r="M234">
        <f>D234/B234</f>
        <v/>
      </c>
      <c r="N234">
        <f>E234/B234</f>
        <v/>
      </c>
      <c r="O234">
        <f>F234/B234</f>
        <v/>
      </c>
      <c r="P234">
        <f>G234/B234</f>
        <v/>
      </c>
      <c r="Q234">
        <f>CHOOSE(k_model,D234,E234,F234,G234)</f>
        <v/>
      </c>
      <c r="R234">
        <f>CHOOSE(k_model,H234,I234,J234,K234)</f>
        <v/>
      </c>
    </row>
    <row r="235">
      <c r="A235" t="n">
        <v>233</v>
      </c>
      <c r="B235">
        <f>k_lo+k_rng*A235/1000</f>
        <v/>
      </c>
      <c r="C235">
        <f>(B235-k_mx)/k_sx</f>
        <v/>
      </c>
      <c r="D235">
        <f>k_p2_0+C235*(k_p2_1+C235*k_p2_2)</f>
        <v/>
      </c>
      <c r="E235">
        <f>k_p3_0+C235*(k_p3_1+C235*(k_p3_2+C235*k_p3_3))</f>
        <v/>
      </c>
      <c r="F235">
        <f>k_p4_0+C235*(k_p4_1+C235*(k_p4_2+C235*(k_p4_3+C235*k_p4_4)))</f>
        <v/>
      </c>
      <c r="G235">
        <f>k_ea+k_eb*EXP(k_ec*C235)</f>
        <v/>
      </c>
      <c r="H235">
        <f>(k_p2_1+2*k_p2_2*C235)/k_sx</f>
        <v/>
      </c>
      <c r="I235">
        <f>(k_p3_1+C235*(2*k_p3_2+3*k_p3_3*C235))/k_sx</f>
        <v/>
      </c>
      <c r="J235">
        <f>(k_p4_1+C235*(2*k_p4_2+C235*(3*k_p4_3+4*k_p4_4*C235)))/k_sx</f>
        <v/>
      </c>
      <c r="K235">
        <f>k_eb*k_ec*EXP(k_ec*C235)/k_sx</f>
        <v/>
      </c>
      <c r="L235">
        <f>(2*k_p4_2+C235*(6*k_p4_3+12*k_p4_4*C235))/k_sx^2</f>
        <v/>
      </c>
      <c r="M235">
        <f>D235/B235</f>
        <v/>
      </c>
      <c r="N235">
        <f>E235/B235</f>
        <v/>
      </c>
      <c r="O235">
        <f>F235/B235</f>
        <v/>
      </c>
      <c r="P235">
        <f>G235/B235</f>
        <v/>
      </c>
      <c r="Q235">
        <f>CHOOSE(k_model,D235,E235,F235,G235)</f>
        <v/>
      </c>
      <c r="R235">
        <f>CHOOSE(k_model,H235,I235,J235,K235)</f>
        <v/>
      </c>
    </row>
    <row r="236">
      <c r="A236" t="n">
        <v>234</v>
      </c>
      <c r="B236">
        <f>k_lo+k_rng*A236/1000</f>
        <v/>
      </c>
      <c r="C236">
        <f>(B236-k_mx)/k_sx</f>
        <v/>
      </c>
      <c r="D236">
        <f>k_p2_0+C236*(k_p2_1+C236*k_p2_2)</f>
        <v/>
      </c>
      <c r="E236">
        <f>k_p3_0+C236*(k_p3_1+C236*(k_p3_2+C236*k_p3_3))</f>
        <v/>
      </c>
      <c r="F236">
        <f>k_p4_0+C236*(k_p4_1+C236*(k_p4_2+C236*(k_p4_3+C236*k_p4_4)))</f>
        <v/>
      </c>
      <c r="G236">
        <f>k_ea+k_eb*EXP(k_ec*C236)</f>
        <v/>
      </c>
      <c r="H236">
        <f>(k_p2_1+2*k_p2_2*C236)/k_sx</f>
        <v/>
      </c>
      <c r="I236">
        <f>(k_p3_1+C236*(2*k_p3_2+3*k_p3_3*C236))/k_sx</f>
        <v/>
      </c>
      <c r="J236">
        <f>(k_p4_1+C236*(2*k_p4_2+C236*(3*k_p4_3+4*k_p4_4*C236)))/k_sx</f>
        <v/>
      </c>
      <c r="K236">
        <f>k_eb*k_ec*EXP(k_ec*C236)/k_sx</f>
        <v/>
      </c>
      <c r="L236">
        <f>(2*k_p4_2+C236*(6*k_p4_3+12*k_p4_4*C236))/k_sx^2</f>
        <v/>
      </c>
      <c r="M236">
        <f>D236/B236</f>
        <v/>
      </c>
      <c r="N236">
        <f>E236/B236</f>
        <v/>
      </c>
      <c r="O236">
        <f>F236/B236</f>
        <v/>
      </c>
      <c r="P236">
        <f>G236/B236</f>
        <v/>
      </c>
      <c r="Q236">
        <f>CHOOSE(k_model,D236,E236,F236,G236)</f>
        <v/>
      </c>
      <c r="R236">
        <f>CHOOSE(k_model,H236,I236,J236,K236)</f>
        <v/>
      </c>
    </row>
    <row r="237">
      <c r="A237" t="n">
        <v>235</v>
      </c>
      <c r="B237">
        <f>k_lo+k_rng*A237/1000</f>
        <v/>
      </c>
      <c r="C237">
        <f>(B237-k_mx)/k_sx</f>
        <v/>
      </c>
      <c r="D237">
        <f>k_p2_0+C237*(k_p2_1+C237*k_p2_2)</f>
        <v/>
      </c>
      <c r="E237">
        <f>k_p3_0+C237*(k_p3_1+C237*(k_p3_2+C237*k_p3_3))</f>
        <v/>
      </c>
      <c r="F237">
        <f>k_p4_0+C237*(k_p4_1+C237*(k_p4_2+C237*(k_p4_3+C237*k_p4_4)))</f>
        <v/>
      </c>
      <c r="G237">
        <f>k_ea+k_eb*EXP(k_ec*C237)</f>
        <v/>
      </c>
      <c r="H237">
        <f>(k_p2_1+2*k_p2_2*C237)/k_sx</f>
        <v/>
      </c>
      <c r="I237">
        <f>(k_p3_1+C237*(2*k_p3_2+3*k_p3_3*C237))/k_sx</f>
        <v/>
      </c>
      <c r="J237">
        <f>(k_p4_1+C237*(2*k_p4_2+C237*(3*k_p4_3+4*k_p4_4*C237)))/k_sx</f>
        <v/>
      </c>
      <c r="K237">
        <f>k_eb*k_ec*EXP(k_ec*C237)/k_sx</f>
        <v/>
      </c>
      <c r="L237">
        <f>(2*k_p4_2+C237*(6*k_p4_3+12*k_p4_4*C237))/k_sx^2</f>
        <v/>
      </c>
      <c r="M237">
        <f>D237/B237</f>
        <v/>
      </c>
      <c r="N237">
        <f>E237/B237</f>
        <v/>
      </c>
      <c r="O237">
        <f>F237/B237</f>
        <v/>
      </c>
      <c r="P237">
        <f>G237/B237</f>
        <v/>
      </c>
      <c r="Q237">
        <f>CHOOSE(k_model,D237,E237,F237,G237)</f>
        <v/>
      </c>
      <c r="R237">
        <f>CHOOSE(k_model,H237,I237,J237,K237)</f>
        <v/>
      </c>
    </row>
    <row r="238">
      <c r="A238" t="n">
        <v>236</v>
      </c>
      <c r="B238">
        <f>k_lo+k_rng*A238/1000</f>
        <v/>
      </c>
      <c r="C238">
        <f>(B238-k_mx)/k_sx</f>
        <v/>
      </c>
      <c r="D238">
        <f>k_p2_0+C238*(k_p2_1+C238*k_p2_2)</f>
        <v/>
      </c>
      <c r="E238">
        <f>k_p3_0+C238*(k_p3_1+C238*(k_p3_2+C238*k_p3_3))</f>
        <v/>
      </c>
      <c r="F238">
        <f>k_p4_0+C238*(k_p4_1+C238*(k_p4_2+C238*(k_p4_3+C238*k_p4_4)))</f>
        <v/>
      </c>
      <c r="G238">
        <f>k_ea+k_eb*EXP(k_ec*C238)</f>
        <v/>
      </c>
      <c r="H238">
        <f>(k_p2_1+2*k_p2_2*C238)/k_sx</f>
        <v/>
      </c>
      <c r="I238">
        <f>(k_p3_1+C238*(2*k_p3_2+3*k_p3_3*C238))/k_sx</f>
        <v/>
      </c>
      <c r="J238">
        <f>(k_p4_1+C238*(2*k_p4_2+C238*(3*k_p4_3+4*k_p4_4*C238)))/k_sx</f>
        <v/>
      </c>
      <c r="K238">
        <f>k_eb*k_ec*EXP(k_ec*C238)/k_sx</f>
        <v/>
      </c>
      <c r="L238">
        <f>(2*k_p4_2+C238*(6*k_p4_3+12*k_p4_4*C238))/k_sx^2</f>
        <v/>
      </c>
      <c r="M238">
        <f>D238/B238</f>
        <v/>
      </c>
      <c r="N238">
        <f>E238/B238</f>
        <v/>
      </c>
      <c r="O238">
        <f>F238/B238</f>
        <v/>
      </c>
      <c r="P238">
        <f>G238/B238</f>
        <v/>
      </c>
      <c r="Q238">
        <f>CHOOSE(k_model,D238,E238,F238,G238)</f>
        <v/>
      </c>
      <c r="R238">
        <f>CHOOSE(k_model,H238,I238,J238,K238)</f>
        <v/>
      </c>
    </row>
    <row r="239">
      <c r="A239" t="n">
        <v>237</v>
      </c>
      <c r="B239">
        <f>k_lo+k_rng*A239/1000</f>
        <v/>
      </c>
      <c r="C239">
        <f>(B239-k_mx)/k_sx</f>
        <v/>
      </c>
      <c r="D239">
        <f>k_p2_0+C239*(k_p2_1+C239*k_p2_2)</f>
        <v/>
      </c>
      <c r="E239">
        <f>k_p3_0+C239*(k_p3_1+C239*(k_p3_2+C239*k_p3_3))</f>
        <v/>
      </c>
      <c r="F239">
        <f>k_p4_0+C239*(k_p4_1+C239*(k_p4_2+C239*(k_p4_3+C239*k_p4_4)))</f>
        <v/>
      </c>
      <c r="G239">
        <f>k_ea+k_eb*EXP(k_ec*C239)</f>
        <v/>
      </c>
      <c r="H239">
        <f>(k_p2_1+2*k_p2_2*C239)/k_sx</f>
        <v/>
      </c>
      <c r="I239">
        <f>(k_p3_1+C239*(2*k_p3_2+3*k_p3_3*C239))/k_sx</f>
        <v/>
      </c>
      <c r="J239">
        <f>(k_p4_1+C239*(2*k_p4_2+C239*(3*k_p4_3+4*k_p4_4*C239)))/k_sx</f>
        <v/>
      </c>
      <c r="K239">
        <f>k_eb*k_ec*EXP(k_ec*C239)/k_sx</f>
        <v/>
      </c>
      <c r="L239">
        <f>(2*k_p4_2+C239*(6*k_p4_3+12*k_p4_4*C239))/k_sx^2</f>
        <v/>
      </c>
      <c r="M239">
        <f>D239/B239</f>
        <v/>
      </c>
      <c r="N239">
        <f>E239/B239</f>
        <v/>
      </c>
      <c r="O239">
        <f>F239/B239</f>
        <v/>
      </c>
      <c r="P239">
        <f>G239/B239</f>
        <v/>
      </c>
      <c r="Q239">
        <f>CHOOSE(k_model,D239,E239,F239,G239)</f>
        <v/>
      </c>
      <c r="R239">
        <f>CHOOSE(k_model,H239,I239,J239,K239)</f>
        <v/>
      </c>
    </row>
    <row r="240">
      <c r="A240" t="n">
        <v>238</v>
      </c>
      <c r="B240">
        <f>k_lo+k_rng*A240/1000</f>
        <v/>
      </c>
      <c r="C240">
        <f>(B240-k_mx)/k_sx</f>
        <v/>
      </c>
      <c r="D240">
        <f>k_p2_0+C240*(k_p2_1+C240*k_p2_2)</f>
        <v/>
      </c>
      <c r="E240">
        <f>k_p3_0+C240*(k_p3_1+C240*(k_p3_2+C240*k_p3_3))</f>
        <v/>
      </c>
      <c r="F240">
        <f>k_p4_0+C240*(k_p4_1+C240*(k_p4_2+C240*(k_p4_3+C240*k_p4_4)))</f>
        <v/>
      </c>
      <c r="G240">
        <f>k_ea+k_eb*EXP(k_ec*C240)</f>
        <v/>
      </c>
      <c r="H240">
        <f>(k_p2_1+2*k_p2_2*C240)/k_sx</f>
        <v/>
      </c>
      <c r="I240">
        <f>(k_p3_1+C240*(2*k_p3_2+3*k_p3_3*C240))/k_sx</f>
        <v/>
      </c>
      <c r="J240">
        <f>(k_p4_1+C240*(2*k_p4_2+C240*(3*k_p4_3+4*k_p4_4*C240)))/k_sx</f>
        <v/>
      </c>
      <c r="K240">
        <f>k_eb*k_ec*EXP(k_ec*C240)/k_sx</f>
        <v/>
      </c>
      <c r="L240">
        <f>(2*k_p4_2+C240*(6*k_p4_3+12*k_p4_4*C240))/k_sx^2</f>
        <v/>
      </c>
      <c r="M240">
        <f>D240/B240</f>
        <v/>
      </c>
      <c r="N240">
        <f>E240/B240</f>
        <v/>
      </c>
      <c r="O240">
        <f>F240/B240</f>
        <v/>
      </c>
      <c r="P240">
        <f>G240/B240</f>
        <v/>
      </c>
      <c r="Q240">
        <f>CHOOSE(k_model,D240,E240,F240,G240)</f>
        <v/>
      </c>
      <c r="R240">
        <f>CHOOSE(k_model,H240,I240,J240,K240)</f>
        <v/>
      </c>
    </row>
    <row r="241">
      <c r="A241" t="n">
        <v>239</v>
      </c>
      <c r="B241">
        <f>k_lo+k_rng*A241/1000</f>
        <v/>
      </c>
      <c r="C241">
        <f>(B241-k_mx)/k_sx</f>
        <v/>
      </c>
      <c r="D241">
        <f>k_p2_0+C241*(k_p2_1+C241*k_p2_2)</f>
        <v/>
      </c>
      <c r="E241">
        <f>k_p3_0+C241*(k_p3_1+C241*(k_p3_2+C241*k_p3_3))</f>
        <v/>
      </c>
      <c r="F241">
        <f>k_p4_0+C241*(k_p4_1+C241*(k_p4_2+C241*(k_p4_3+C241*k_p4_4)))</f>
        <v/>
      </c>
      <c r="G241">
        <f>k_ea+k_eb*EXP(k_ec*C241)</f>
        <v/>
      </c>
      <c r="H241">
        <f>(k_p2_1+2*k_p2_2*C241)/k_sx</f>
        <v/>
      </c>
      <c r="I241">
        <f>(k_p3_1+C241*(2*k_p3_2+3*k_p3_3*C241))/k_sx</f>
        <v/>
      </c>
      <c r="J241">
        <f>(k_p4_1+C241*(2*k_p4_2+C241*(3*k_p4_3+4*k_p4_4*C241)))/k_sx</f>
        <v/>
      </c>
      <c r="K241">
        <f>k_eb*k_ec*EXP(k_ec*C241)/k_sx</f>
        <v/>
      </c>
      <c r="L241">
        <f>(2*k_p4_2+C241*(6*k_p4_3+12*k_p4_4*C241))/k_sx^2</f>
        <v/>
      </c>
      <c r="M241">
        <f>D241/B241</f>
        <v/>
      </c>
      <c r="N241">
        <f>E241/B241</f>
        <v/>
      </c>
      <c r="O241">
        <f>F241/B241</f>
        <v/>
      </c>
      <c r="P241">
        <f>G241/B241</f>
        <v/>
      </c>
      <c r="Q241">
        <f>CHOOSE(k_model,D241,E241,F241,G241)</f>
        <v/>
      </c>
      <c r="R241">
        <f>CHOOSE(k_model,H241,I241,J241,K241)</f>
        <v/>
      </c>
    </row>
    <row r="242">
      <c r="A242" t="n">
        <v>240</v>
      </c>
      <c r="B242">
        <f>k_lo+k_rng*A242/1000</f>
        <v/>
      </c>
      <c r="C242">
        <f>(B242-k_mx)/k_sx</f>
        <v/>
      </c>
      <c r="D242">
        <f>k_p2_0+C242*(k_p2_1+C242*k_p2_2)</f>
        <v/>
      </c>
      <c r="E242">
        <f>k_p3_0+C242*(k_p3_1+C242*(k_p3_2+C242*k_p3_3))</f>
        <v/>
      </c>
      <c r="F242">
        <f>k_p4_0+C242*(k_p4_1+C242*(k_p4_2+C242*(k_p4_3+C242*k_p4_4)))</f>
        <v/>
      </c>
      <c r="G242">
        <f>k_ea+k_eb*EXP(k_ec*C242)</f>
        <v/>
      </c>
      <c r="H242">
        <f>(k_p2_1+2*k_p2_2*C242)/k_sx</f>
        <v/>
      </c>
      <c r="I242">
        <f>(k_p3_1+C242*(2*k_p3_2+3*k_p3_3*C242))/k_sx</f>
        <v/>
      </c>
      <c r="J242">
        <f>(k_p4_1+C242*(2*k_p4_2+C242*(3*k_p4_3+4*k_p4_4*C242)))/k_sx</f>
        <v/>
      </c>
      <c r="K242">
        <f>k_eb*k_ec*EXP(k_ec*C242)/k_sx</f>
        <v/>
      </c>
      <c r="L242">
        <f>(2*k_p4_2+C242*(6*k_p4_3+12*k_p4_4*C242))/k_sx^2</f>
        <v/>
      </c>
      <c r="M242">
        <f>D242/B242</f>
        <v/>
      </c>
      <c r="N242">
        <f>E242/B242</f>
        <v/>
      </c>
      <c r="O242">
        <f>F242/B242</f>
        <v/>
      </c>
      <c r="P242">
        <f>G242/B242</f>
        <v/>
      </c>
      <c r="Q242">
        <f>CHOOSE(k_model,D242,E242,F242,G242)</f>
        <v/>
      </c>
      <c r="R242">
        <f>CHOOSE(k_model,H242,I242,J242,K242)</f>
        <v/>
      </c>
    </row>
    <row r="243">
      <c r="A243" t="n">
        <v>241</v>
      </c>
      <c r="B243">
        <f>k_lo+k_rng*A243/1000</f>
        <v/>
      </c>
      <c r="C243">
        <f>(B243-k_mx)/k_sx</f>
        <v/>
      </c>
      <c r="D243">
        <f>k_p2_0+C243*(k_p2_1+C243*k_p2_2)</f>
        <v/>
      </c>
      <c r="E243">
        <f>k_p3_0+C243*(k_p3_1+C243*(k_p3_2+C243*k_p3_3))</f>
        <v/>
      </c>
      <c r="F243">
        <f>k_p4_0+C243*(k_p4_1+C243*(k_p4_2+C243*(k_p4_3+C243*k_p4_4)))</f>
        <v/>
      </c>
      <c r="G243">
        <f>k_ea+k_eb*EXP(k_ec*C243)</f>
        <v/>
      </c>
      <c r="H243">
        <f>(k_p2_1+2*k_p2_2*C243)/k_sx</f>
        <v/>
      </c>
      <c r="I243">
        <f>(k_p3_1+C243*(2*k_p3_2+3*k_p3_3*C243))/k_sx</f>
        <v/>
      </c>
      <c r="J243">
        <f>(k_p4_1+C243*(2*k_p4_2+C243*(3*k_p4_3+4*k_p4_4*C243)))/k_sx</f>
        <v/>
      </c>
      <c r="K243">
        <f>k_eb*k_ec*EXP(k_ec*C243)/k_sx</f>
        <v/>
      </c>
      <c r="L243">
        <f>(2*k_p4_2+C243*(6*k_p4_3+12*k_p4_4*C243))/k_sx^2</f>
        <v/>
      </c>
      <c r="M243">
        <f>D243/B243</f>
        <v/>
      </c>
      <c r="N243">
        <f>E243/B243</f>
        <v/>
      </c>
      <c r="O243">
        <f>F243/B243</f>
        <v/>
      </c>
      <c r="P243">
        <f>G243/B243</f>
        <v/>
      </c>
      <c r="Q243">
        <f>CHOOSE(k_model,D243,E243,F243,G243)</f>
        <v/>
      </c>
      <c r="R243">
        <f>CHOOSE(k_model,H243,I243,J243,K243)</f>
        <v/>
      </c>
    </row>
    <row r="244">
      <c r="A244" t="n">
        <v>242</v>
      </c>
      <c r="B244">
        <f>k_lo+k_rng*A244/1000</f>
        <v/>
      </c>
      <c r="C244">
        <f>(B244-k_mx)/k_sx</f>
        <v/>
      </c>
      <c r="D244">
        <f>k_p2_0+C244*(k_p2_1+C244*k_p2_2)</f>
        <v/>
      </c>
      <c r="E244">
        <f>k_p3_0+C244*(k_p3_1+C244*(k_p3_2+C244*k_p3_3))</f>
        <v/>
      </c>
      <c r="F244">
        <f>k_p4_0+C244*(k_p4_1+C244*(k_p4_2+C244*(k_p4_3+C244*k_p4_4)))</f>
        <v/>
      </c>
      <c r="G244">
        <f>k_ea+k_eb*EXP(k_ec*C244)</f>
        <v/>
      </c>
      <c r="H244">
        <f>(k_p2_1+2*k_p2_2*C244)/k_sx</f>
        <v/>
      </c>
      <c r="I244">
        <f>(k_p3_1+C244*(2*k_p3_2+3*k_p3_3*C244))/k_sx</f>
        <v/>
      </c>
      <c r="J244">
        <f>(k_p4_1+C244*(2*k_p4_2+C244*(3*k_p4_3+4*k_p4_4*C244)))/k_sx</f>
        <v/>
      </c>
      <c r="K244">
        <f>k_eb*k_ec*EXP(k_ec*C244)/k_sx</f>
        <v/>
      </c>
      <c r="L244">
        <f>(2*k_p4_2+C244*(6*k_p4_3+12*k_p4_4*C244))/k_sx^2</f>
        <v/>
      </c>
      <c r="M244">
        <f>D244/B244</f>
        <v/>
      </c>
      <c r="N244">
        <f>E244/B244</f>
        <v/>
      </c>
      <c r="O244">
        <f>F244/B244</f>
        <v/>
      </c>
      <c r="P244">
        <f>G244/B244</f>
        <v/>
      </c>
      <c r="Q244">
        <f>CHOOSE(k_model,D244,E244,F244,G244)</f>
        <v/>
      </c>
      <c r="R244">
        <f>CHOOSE(k_model,H244,I244,J244,K244)</f>
        <v/>
      </c>
    </row>
    <row r="245">
      <c r="A245" t="n">
        <v>243</v>
      </c>
      <c r="B245">
        <f>k_lo+k_rng*A245/1000</f>
        <v/>
      </c>
      <c r="C245">
        <f>(B245-k_mx)/k_sx</f>
        <v/>
      </c>
      <c r="D245">
        <f>k_p2_0+C245*(k_p2_1+C245*k_p2_2)</f>
        <v/>
      </c>
      <c r="E245">
        <f>k_p3_0+C245*(k_p3_1+C245*(k_p3_2+C245*k_p3_3))</f>
        <v/>
      </c>
      <c r="F245">
        <f>k_p4_0+C245*(k_p4_1+C245*(k_p4_2+C245*(k_p4_3+C245*k_p4_4)))</f>
        <v/>
      </c>
      <c r="G245">
        <f>k_ea+k_eb*EXP(k_ec*C245)</f>
        <v/>
      </c>
      <c r="H245">
        <f>(k_p2_1+2*k_p2_2*C245)/k_sx</f>
        <v/>
      </c>
      <c r="I245">
        <f>(k_p3_1+C245*(2*k_p3_2+3*k_p3_3*C245))/k_sx</f>
        <v/>
      </c>
      <c r="J245">
        <f>(k_p4_1+C245*(2*k_p4_2+C245*(3*k_p4_3+4*k_p4_4*C245)))/k_sx</f>
        <v/>
      </c>
      <c r="K245">
        <f>k_eb*k_ec*EXP(k_ec*C245)/k_sx</f>
        <v/>
      </c>
      <c r="L245">
        <f>(2*k_p4_2+C245*(6*k_p4_3+12*k_p4_4*C245))/k_sx^2</f>
        <v/>
      </c>
      <c r="M245">
        <f>D245/B245</f>
        <v/>
      </c>
      <c r="N245">
        <f>E245/B245</f>
        <v/>
      </c>
      <c r="O245">
        <f>F245/B245</f>
        <v/>
      </c>
      <c r="P245">
        <f>G245/B245</f>
        <v/>
      </c>
      <c r="Q245">
        <f>CHOOSE(k_model,D245,E245,F245,G245)</f>
        <v/>
      </c>
      <c r="R245">
        <f>CHOOSE(k_model,H245,I245,J245,K245)</f>
        <v/>
      </c>
    </row>
    <row r="246">
      <c r="A246" t="n">
        <v>244</v>
      </c>
      <c r="B246">
        <f>k_lo+k_rng*A246/1000</f>
        <v/>
      </c>
      <c r="C246">
        <f>(B246-k_mx)/k_sx</f>
        <v/>
      </c>
      <c r="D246">
        <f>k_p2_0+C246*(k_p2_1+C246*k_p2_2)</f>
        <v/>
      </c>
      <c r="E246">
        <f>k_p3_0+C246*(k_p3_1+C246*(k_p3_2+C246*k_p3_3))</f>
        <v/>
      </c>
      <c r="F246">
        <f>k_p4_0+C246*(k_p4_1+C246*(k_p4_2+C246*(k_p4_3+C246*k_p4_4)))</f>
        <v/>
      </c>
      <c r="G246">
        <f>k_ea+k_eb*EXP(k_ec*C246)</f>
        <v/>
      </c>
      <c r="H246">
        <f>(k_p2_1+2*k_p2_2*C246)/k_sx</f>
        <v/>
      </c>
      <c r="I246">
        <f>(k_p3_1+C246*(2*k_p3_2+3*k_p3_3*C246))/k_sx</f>
        <v/>
      </c>
      <c r="J246">
        <f>(k_p4_1+C246*(2*k_p4_2+C246*(3*k_p4_3+4*k_p4_4*C246)))/k_sx</f>
        <v/>
      </c>
      <c r="K246">
        <f>k_eb*k_ec*EXP(k_ec*C246)/k_sx</f>
        <v/>
      </c>
      <c r="L246">
        <f>(2*k_p4_2+C246*(6*k_p4_3+12*k_p4_4*C246))/k_sx^2</f>
        <v/>
      </c>
      <c r="M246">
        <f>D246/B246</f>
        <v/>
      </c>
      <c r="N246">
        <f>E246/B246</f>
        <v/>
      </c>
      <c r="O246">
        <f>F246/B246</f>
        <v/>
      </c>
      <c r="P246">
        <f>G246/B246</f>
        <v/>
      </c>
      <c r="Q246">
        <f>CHOOSE(k_model,D246,E246,F246,G246)</f>
        <v/>
      </c>
      <c r="R246">
        <f>CHOOSE(k_model,H246,I246,J246,K246)</f>
        <v/>
      </c>
    </row>
    <row r="247">
      <c r="A247" t="n">
        <v>245</v>
      </c>
      <c r="B247">
        <f>k_lo+k_rng*A247/1000</f>
        <v/>
      </c>
      <c r="C247">
        <f>(B247-k_mx)/k_sx</f>
        <v/>
      </c>
      <c r="D247">
        <f>k_p2_0+C247*(k_p2_1+C247*k_p2_2)</f>
        <v/>
      </c>
      <c r="E247">
        <f>k_p3_0+C247*(k_p3_1+C247*(k_p3_2+C247*k_p3_3))</f>
        <v/>
      </c>
      <c r="F247">
        <f>k_p4_0+C247*(k_p4_1+C247*(k_p4_2+C247*(k_p4_3+C247*k_p4_4)))</f>
        <v/>
      </c>
      <c r="G247">
        <f>k_ea+k_eb*EXP(k_ec*C247)</f>
        <v/>
      </c>
      <c r="H247">
        <f>(k_p2_1+2*k_p2_2*C247)/k_sx</f>
        <v/>
      </c>
      <c r="I247">
        <f>(k_p3_1+C247*(2*k_p3_2+3*k_p3_3*C247))/k_sx</f>
        <v/>
      </c>
      <c r="J247">
        <f>(k_p4_1+C247*(2*k_p4_2+C247*(3*k_p4_3+4*k_p4_4*C247)))/k_sx</f>
        <v/>
      </c>
      <c r="K247">
        <f>k_eb*k_ec*EXP(k_ec*C247)/k_sx</f>
        <v/>
      </c>
      <c r="L247">
        <f>(2*k_p4_2+C247*(6*k_p4_3+12*k_p4_4*C247))/k_sx^2</f>
        <v/>
      </c>
      <c r="M247">
        <f>D247/B247</f>
        <v/>
      </c>
      <c r="N247">
        <f>E247/B247</f>
        <v/>
      </c>
      <c r="O247">
        <f>F247/B247</f>
        <v/>
      </c>
      <c r="P247">
        <f>G247/B247</f>
        <v/>
      </c>
      <c r="Q247">
        <f>CHOOSE(k_model,D247,E247,F247,G247)</f>
        <v/>
      </c>
      <c r="R247">
        <f>CHOOSE(k_model,H247,I247,J247,K247)</f>
        <v/>
      </c>
    </row>
    <row r="248">
      <c r="A248" t="n">
        <v>246</v>
      </c>
      <c r="B248">
        <f>k_lo+k_rng*A248/1000</f>
        <v/>
      </c>
      <c r="C248">
        <f>(B248-k_mx)/k_sx</f>
        <v/>
      </c>
      <c r="D248">
        <f>k_p2_0+C248*(k_p2_1+C248*k_p2_2)</f>
        <v/>
      </c>
      <c r="E248">
        <f>k_p3_0+C248*(k_p3_1+C248*(k_p3_2+C248*k_p3_3))</f>
        <v/>
      </c>
      <c r="F248">
        <f>k_p4_0+C248*(k_p4_1+C248*(k_p4_2+C248*(k_p4_3+C248*k_p4_4)))</f>
        <v/>
      </c>
      <c r="G248">
        <f>k_ea+k_eb*EXP(k_ec*C248)</f>
        <v/>
      </c>
      <c r="H248">
        <f>(k_p2_1+2*k_p2_2*C248)/k_sx</f>
        <v/>
      </c>
      <c r="I248">
        <f>(k_p3_1+C248*(2*k_p3_2+3*k_p3_3*C248))/k_sx</f>
        <v/>
      </c>
      <c r="J248">
        <f>(k_p4_1+C248*(2*k_p4_2+C248*(3*k_p4_3+4*k_p4_4*C248)))/k_sx</f>
        <v/>
      </c>
      <c r="K248">
        <f>k_eb*k_ec*EXP(k_ec*C248)/k_sx</f>
        <v/>
      </c>
      <c r="L248">
        <f>(2*k_p4_2+C248*(6*k_p4_3+12*k_p4_4*C248))/k_sx^2</f>
        <v/>
      </c>
      <c r="M248">
        <f>D248/B248</f>
        <v/>
      </c>
      <c r="N248">
        <f>E248/B248</f>
        <v/>
      </c>
      <c r="O248">
        <f>F248/B248</f>
        <v/>
      </c>
      <c r="P248">
        <f>G248/B248</f>
        <v/>
      </c>
      <c r="Q248">
        <f>CHOOSE(k_model,D248,E248,F248,G248)</f>
        <v/>
      </c>
      <c r="R248">
        <f>CHOOSE(k_model,H248,I248,J248,K248)</f>
        <v/>
      </c>
    </row>
    <row r="249">
      <c r="A249" t="n">
        <v>247</v>
      </c>
      <c r="B249">
        <f>k_lo+k_rng*A249/1000</f>
        <v/>
      </c>
      <c r="C249">
        <f>(B249-k_mx)/k_sx</f>
        <v/>
      </c>
      <c r="D249">
        <f>k_p2_0+C249*(k_p2_1+C249*k_p2_2)</f>
        <v/>
      </c>
      <c r="E249">
        <f>k_p3_0+C249*(k_p3_1+C249*(k_p3_2+C249*k_p3_3))</f>
        <v/>
      </c>
      <c r="F249">
        <f>k_p4_0+C249*(k_p4_1+C249*(k_p4_2+C249*(k_p4_3+C249*k_p4_4)))</f>
        <v/>
      </c>
      <c r="G249">
        <f>k_ea+k_eb*EXP(k_ec*C249)</f>
        <v/>
      </c>
      <c r="H249">
        <f>(k_p2_1+2*k_p2_2*C249)/k_sx</f>
        <v/>
      </c>
      <c r="I249">
        <f>(k_p3_1+C249*(2*k_p3_2+3*k_p3_3*C249))/k_sx</f>
        <v/>
      </c>
      <c r="J249">
        <f>(k_p4_1+C249*(2*k_p4_2+C249*(3*k_p4_3+4*k_p4_4*C249)))/k_sx</f>
        <v/>
      </c>
      <c r="K249">
        <f>k_eb*k_ec*EXP(k_ec*C249)/k_sx</f>
        <v/>
      </c>
      <c r="L249">
        <f>(2*k_p4_2+C249*(6*k_p4_3+12*k_p4_4*C249))/k_sx^2</f>
        <v/>
      </c>
      <c r="M249">
        <f>D249/B249</f>
        <v/>
      </c>
      <c r="N249">
        <f>E249/B249</f>
        <v/>
      </c>
      <c r="O249">
        <f>F249/B249</f>
        <v/>
      </c>
      <c r="P249">
        <f>G249/B249</f>
        <v/>
      </c>
      <c r="Q249">
        <f>CHOOSE(k_model,D249,E249,F249,G249)</f>
        <v/>
      </c>
      <c r="R249">
        <f>CHOOSE(k_model,H249,I249,J249,K249)</f>
        <v/>
      </c>
    </row>
    <row r="250">
      <c r="A250" t="n">
        <v>248</v>
      </c>
      <c r="B250">
        <f>k_lo+k_rng*A250/1000</f>
        <v/>
      </c>
      <c r="C250">
        <f>(B250-k_mx)/k_sx</f>
        <v/>
      </c>
      <c r="D250">
        <f>k_p2_0+C250*(k_p2_1+C250*k_p2_2)</f>
        <v/>
      </c>
      <c r="E250">
        <f>k_p3_0+C250*(k_p3_1+C250*(k_p3_2+C250*k_p3_3))</f>
        <v/>
      </c>
      <c r="F250">
        <f>k_p4_0+C250*(k_p4_1+C250*(k_p4_2+C250*(k_p4_3+C250*k_p4_4)))</f>
        <v/>
      </c>
      <c r="G250">
        <f>k_ea+k_eb*EXP(k_ec*C250)</f>
        <v/>
      </c>
      <c r="H250">
        <f>(k_p2_1+2*k_p2_2*C250)/k_sx</f>
        <v/>
      </c>
      <c r="I250">
        <f>(k_p3_1+C250*(2*k_p3_2+3*k_p3_3*C250))/k_sx</f>
        <v/>
      </c>
      <c r="J250">
        <f>(k_p4_1+C250*(2*k_p4_2+C250*(3*k_p4_3+4*k_p4_4*C250)))/k_sx</f>
        <v/>
      </c>
      <c r="K250">
        <f>k_eb*k_ec*EXP(k_ec*C250)/k_sx</f>
        <v/>
      </c>
      <c r="L250">
        <f>(2*k_p4_2+C250*(6*k_p4_3+12*k_p4_4*C250))/k_sx^2</f>
        <v/>
      </c>
      <c r="M250">
        <f>D250/B250</f>
        <v/>
      </c>
      <c r="N250">
        <f>E250/B250</f>
        <v/>
      </c>
      <c r="O250">
        <f>F250/B250</f>
        <v/>
      </c>
      <c r="P250">
        <f>G250/B250</f>
        <v/>
      </c>
      <c r="Q250">
        <f>CHOOSE(k_model,D250,E250,F250,G250)</f>
        <v/>
      </c>
      <c r="R250">
        <f>CHOOSE(k_model,H250,I250,J250,K250)</f>
        <v/>
      </c>
    </row>
    <row r="251">
      <c r="A251" t="n">
        <v>249</v>
      </c>
      <c r="B251">
        <f>k_lo+k_rng*A251/1000</f>
        <v/>
      </c>
      <c r="C251">
        <f>(B251-k_mx)/k_sx</f>
        <v/>
      </c>
      <c r="D251">
        <f>k_p2_0+C251*(k_p2_1+C251*k_p2_2)</f>
        <v/>
      </c>
      <c r="E251">
        <f>k_p3_0+C251*(k_p3_1+C251*(k_p3_2+C251*k_p3_3))</f>
        <v/>
      </c>
      <c r="F251">
        <f>k_p4_0+C251*(k_p4_1+C251*(k_p4_2+C251*(k_p4_3+C251*k_p4_4)))</f>
        <v/>
      </c>
      <c r="G251">
        <f>k_ea+k_eb*EXP(k_ec*C251)</f>
        <v/>
      </c>
      <c r="H251">
        <f>(k_p2_1+2*k_p2_2*C251)/k_sx</f>
        <v/>
      </c>
      <c r="I251">
        <f>(k_p3_1+C251*(2*k_p3_2+3*k_p3_3*C251))/k_sx</f>
        <v/>
      </c>
      <c r="J251">
        <f>(k_p4_1+C251*(2*k_p4_2+C251*(3*k_p4_3+4*k_p4_4*C251)))/k_sx</f>
        <v/>
      </c>
      <c r="K251">
        <f>k_eb*k_ec*EXP(k_ec*C251)/k_sx</f>
        <v/>
      </c>
      <c r="L251">
        <f>(2*k_p4_2+C251*(6*k_p4_3+12*k_p4_4*C251))/k_sx^2</f>
        <v/>
      </c>
      <c r="M251">
        <f>D251/B251</f>
        <v/>
      </c>
      <c r="N251">
        <f>E251/B251</f>
        <v/>
      </c>
      <c r="O251">
        <f>F251/B251</f>
        <v/>
      </c>
      <c r="P251">
        <f>G251/B251</f>
        <v/>
      </c>
      <c r="Q251">
        <f>CHOOSE(k_model,D251,E251,F251,G251)</f>
        <v/>
      </c>
      <c r="R251">
        <f>CHOOSE(k_model,H251,I251,J251,K251)</f>
        <v/>
      </c>
    </row>
    <row r="252">
      <c r="A252" t="n">
        <v>250</v>
      </c>
      <c r="B252">
        <f>k_lo+k_rng*A252/1000</f>
        <v/>
      </c>
      <c r="C252">
        <f>(B252-k_mx)/k_sx</f>
        <v/>
      </c>
      <c r="D252">
        <f>k_p2_0+C252*(k_p2_1+C252*k_p2_2)</f>
        <v/>
      </c>
      <c r="E252">
        <f>k_p3_0+C252*(k_p3_1+C252*(k_p3_2+C252*k_p3_3))</f>
        <v/>
      </c>
      <c r="F252">
        <f>k_p4_0+C252*(k_p4_1+C252*(k_p4_2+C252*(k_p4_3+C252*k_p4_4)))</f>
        <v/>
      </c>
      <c r="G252">
        <f>k_ea+k_eb*EXP(k_ec*C252)</f>
        <v/>
      </c>
      <c r="H252">
        <f>(k_p2_1+2*k_p2_2*C252)/k_sx</f>
        <v/>
      </c>
      <c r="I252">
        <f>(k_p3_1+C252*(2*k_p3_2+3*k_p3_3*C252))/k_sx</f>
        <v/>
      </c>
      <c r="J252">
        <f>(k_p4_1+C252*(2*k_p4_2+C252*(3*k_p4_3+4*k_p4_4*C252)))/k_sx</f>
        <v/>
      </c>
      <c r="K252">
        <f>k_eb*k_ec*EXP(k_ec*C252)/k_sx</f>
        <v/>
      </c>
      <c r="L252">
        <f>(2*k_p4_2+C252*(6*k_p4_3+12*k_p4_4*C252))/k_sx^2</f>
        <v/>
      </c>
      <c r="M252">
        <f>D252/B252</f>
        <v/>
      </c>
      <c r="N252">
        <f>E252/B252</f>
        <v/>
      </c>
      <c r="O252">
        <f>F252/B252</f>
        <v/>
      </c>
      <c r="P252">
        <f>G252/B252</f>
        <v/>
      </c>
      <c r="Q252">
        <f>CHOOSE(k_model,D252,E252,F252,G252)</f>
        <v/>
      </c>
      <c r="R252">
        <f>CHOOSE(k_model,H252,I252,J252,K252)</f>
        <v/>
      </c>
    </row>
    <row r="253">
      <c r="A253" t="n">
        <v>251</v>
      </c>
      <c r="B253">
        <f>k_lo+k_rng*A253/1000</f>
        <v/>
      </c>
      <c r="C253">
        <f>(B253-k_mx)/k_sx</f>
        <v/>
      </c>
      <c r="D253">
        <f>k_p2_0+C253*(k_p2_1+C253*k_p2_2)</f>
        <v/>
      </c>
      <c r="E253">
        <f>k_p3_0+C253*(k_p3_1+C253*(k_p3_2+C253*k_p3_3))</f>
        <v/>
      </c>
      <c r="F253">
        <f>k_p4_0+C253*(k_p4_1+C253*(k_p4_2+C253*(k_p4_3+C253*k_p4_4)))</f>
        <v/>
      </c>
      <c r="G253">
        <f>k_ea+k_eb*EXP(k_ec*C253)</f>
        <v/>
      </c>
      <c r="H253">
        <f>(k_p2_1+2*k_p2_2*C253)/k_sx</f>
        <v/>
      </c>
      <c r="I253">
        <f>(k_p3_1+C253*(2*k_p3_2+3*k_p3_3*C253))/k_sx</f>
        <v/>
      </c>
      <c r="J253">
        <f>(k_p4_1+C253*(2*k_p4_2+C253*(3*k_p4_3+4*k_p4_4*C253)))/k_sx</f>
        <v/>
      </c>
      <c r="K253">
        <f>k_eb*k_ec*EXP(k_ec*C253)/k_sx</f>
        <v/>
      </c>
      <c r="L253">
        <f>(2*k_p4_2+C253*(6*k_p4_3+12*k_p4_4*C253))/k_sx^2</f>
        <v/>
      </c>
      <c r="M253">
        <f>D253/B253</f>
        <v/>
      </c>
      <c r="N253">
        <f>E253/B253</f>
        <v/>
      </c>
      <c r="O253">
        <f>F253/B253</f>
        <v/>
      </c>
      <c r="P253">
        <f>G253/B253</f>
        <v/>
      </c>
      <c r="Q253">
        <f>CHOOSE(k_model,D253,E253,F253,G253)</f>
        <v/>
      </c>
      <c r="R253">
        <f>CHOOSE(k_model,H253,I253,J253,K253)</f>
        <v/>
      </c>
    </row>
    <row r="254">
      <c r="A254" t="n">
        <v>252</v>
      </c>
      <c r="B254">
        <f>k_lo+k_rng*A254/1000</f>
        <v/>
      </c>
      <c r="C254">
        <f>(B254-k_mx)/k_sx</f>
        <v/>
      </c>
      <c r="D254">
        <f>k_p2_0+C254*(k_p2_1+C254*k_p2_2)</f>
        <v/>
      </c>
      <c r="E254">
        <f>k_p3_0+C254*(k_p3_1+C254*(k_p3_2+C254*k_p3_3))</f>
        <v/>
      </c>
      <c r="F254">
        <f>k_p4_0+C254*(k_p4_1+C254*(k_p4_2+C254*(k_p4_3+C254*k_p4_4)))</f>
        <v/>
      </c>
      <c r="G254">
        <f>k_ea+k_eb*EXP(k_ec*C254)</f>
        <v/>
      </c>
      <c r="H254">
        <f>(k_p2_1+2*k_p2_2*C254)/k_sx</f>
        <v/>
      </c>
      <c r="I254">
        <f>(k_p3_1+C254*(2*k_p3_2+3*k_p3_3*C254))/k_sx</f>
        <v/>
      </c>
      <c r="J254">
        <f>(k_p4_1+C254*(2*k_p4_2+C254*(3*k_p4_3+4*k_p4_4*C254)))/k_sx</f>
        <v/>
      </c>
      <c r="K254">
        <f>k_eb*k_ec*EXP(k_ec*C254)/k_sx</f>
        <v/>
      </c>
      <c r="L254">
        <f>(2*k_p4_2+C254*(6*k_p4_3+12*k_p4_4*C254))/k_sx^2</f>
        <v/>
      </c>
      <c r="M254">
        <f>D254/B254</f>
        <v/>
      </c>
      <c r="N254">
        <f>E254/B254</f>
        <v/>
      </c>
      <c r="O254">
        <f>F254/B254</f>
        <v/>
      </c>
      <c r="P254">
        <f>G254/B254</f>
        <v/>
      </c>
      <c r="Q254">
        <f>CHOOSE(k_model,D254,E254,F254,G254)</f>
        <v/>
      </c>
      <c r="R254">
        <f>CHOOSE(k_model,H254,I254,J254,K254)</f>
        <v/>
      </c>
    </row>
    <row r="255">
      <c r="A255" t="n">
        <v>253</v>
      </c>
      <c r="B255">
        <f>k_lo+k_rng*A255/1000</f>
        <v/>
      </c>
      <c r="C255">
        <f>(B255-k_mx)/k_sx</f>
        <v/>
      </c>
      <c r="D255">
        <f>k_p2_0+C255*(k_p2_1+C255*k_p2_2)</f>
        <v/>
      </c>
      <c r="E255">
        <f>k_p3_0+C255*(k_p3_1+C255*(k_p3_2+C255*k_p3_3))</f>
        <v/>
      </c>
      <c r="F255">
        <f>k_p4_0+C255*(k_p4_1+C255*(k_p4_2+C255*(k_p4_3+C255*k_p4_4)))</f>
        <v/>
      </c>
      <c r="G255">
        <f>k_ea+k_eb*EXP(k_ec*C255)</f>
        <v/>
      </c>
      <c r="H255">
        <f>(k_p2_1+2*k_p2_2*C255)/k_sx</f>
        <v/>
      </c>
      <c r="I255">
        <f>(k_p3_1+C255*(2*k_p3_2+3*k_p3_3*C255))/k_sx</f>
        <v/>
      </c>
      <c r="J255">
        <f>(k_p4_1+C255*(2*k_p4_2+C255*(3*k_p4_3+4*k_p4_4*C255)))/k_sx</f>
        <v/>
      </c>
      <c r="K255">
        <f>k_eb*k_ec*EXP(k_ec*C255)/k_sx</f>
        <v/>
      </c>
      <c r="L255">
        <f>(2*k_p4_2+C255*(6*k_p4_3+12*k_p4_4*C255))/k_sx^2</f>
        <v/>
      </c>
      <c r="M255">
        <f>D255/B255</f>
        <v/>
      </c>
      <c r="N255">
        <f>E255/B255</f>
        <v/>
      </c>
      <c r="O255">
        <f>F255/B255</f>
        <v/>
      </c>
      <c r="P255">
        <f>G255/B255</f>
        <v/>
      </c>
      <c r="Q255">
        <f>CHOOSE(k_model,D255,E255,F255,G255)</f>
        <v/>
      </c>
      <c r="R255">
        <f>CHOOSE(k_model,H255,I255,J255,K255)</f>
        <v/>
      </c>
    </row>
    <row r="256">
      <c r="A256" t="n">
        <v>254</v>
      </c>
      <c r="B256">
        <f>k_lo+k_rng*A256/1000</f>
        <v/>
      </c>
      <c r="C256">
        <f>(B256-k_mx)/k_sx</f>
        <v/>
      </c>
      <c r="D256">
        <f>k_p2_0+C256*(k_p2_1+C256*k_p2_2)</f>
        <v/>
      </c>
      <c r="E256">
        <f>k_p3_0+C256*(k_p3_1+C256*(k_p3_2+C256*k_p3_3))</f>
        <v/>
      </c>
      <c r="F256">
        <f>k_p4_0+C256*(k_p4_1+C256*(k_p4_2+C256*(k_p4_3+C256*k_p4_4)))</f>
        <v/>
      </c>
      <c r="G256">
        <f>k_ea+k_eb*EXP(k_ec*C256)</f>
        <v/>
      </c>
      <c r="H256">
        <f>(k_p2_1+2*k_p2_2*C256)/k_sx</f>
        <v/>
      </c>
      <c r="I256">
        <f>(k_p3_1+C256*(2*k_p3_2+3*k_p3_3*C256))/k_sx</f>
        <v/>
      </c>
      <c r="J256">
        <f>(k_p4_1+C256*(2*k_p4_2+C256*(3*k_p4_3+4*k_p4_4*C256)))/k_sx</f>
        <v/>
      </c>
      <c r="K256">
        <f>k_eb*k_ec*EXP(k_ec*C256)/k_sx</f>
        <v/>
      </c>
      <c r="L256">
        <f>(2*k_p4_2+C256*(6*k_p4_3+12*k_p4_4*C256))/k_sx^2</f>
        <v/>
      </c>
      <c r="M256">
        <f>D256/B256</f>
        <v/>
      </c>
      <c r="N256">
        <f>E256/B256</f>
        <v/>
      </c>
      <c r="O256">
        <f>F256/B256</f>
        <v/>
      </c>
      <c r="P256">
        <f>G256/B256</f>
        <v/>
      </c>
      <c r="Q256">
        <f>CHOOSE(k_model,D256,E256,F256,G256)</f>
        <v/>
      </c>
      <c r="R256">
        <f>CHOOSE(k_model,H256,I256,J256,K256)</f>
        <v/>
      </c>
    </row>
    <row r="257">
      <c r="A257" t="n">
        <v>255</v>
      </c>
      <c r="B257">
        <f>k_lo+k_rng*A257/1000</f>
        <v/>
      </c>
      <c r="C257">
        <f>(B257-k_mx)/k_sx</f>
        <v/>
      </c>
      <c r="D257">
        <f>k_p2_0+C257*(k_p2_1+C257*k_p2_2)</f>
        <v/>
      </c>
      <c r="E257">
        <f>k_p3_0+C257*(k_p3_1+C257*(k_p3_2+C257*k_p3_3))</f>
        <v/>
      </c>
      <c r="F257">
        <f>k_p4_0+C257*(k_p4_1+C257*(k_p4_2+C257*(k_p4_3+C257*k_p4_4)))</f>
        <v/>
      </c>
      <c r="G257">
        <f>k_ea+k_eb*EXP(k_ec*C257)</f>
        <v/>
      </c>
      <c r="H257">
        <f>(k_p2_1+2*k_p2_2*C257)/k_sx</f>
        <v/>
      </c>
      <c r="I257">
        <f>(k_p3_1+C257*(2*k_p3_2+3*k_p3_3*C257))/k_sx</f>
        <v/>
      </c>
      <c r="J257">
        <f>(k_p4_1+C257*(2*k_p4_2+C257*(3*k_p4_3+4*k_p4_4*C257)))/k_sx</f>
        <v/>
      </c>
      <c r="K257">
        <f>k_eb*k_ec*EXP(k_ec*C257)/k_sx</f>
        <v/>
      </c>
      <c r="L257">
        <f>(2*k_p4_2+C257*(6*k_p4_3+12*k_p4_4*C257))/k_sx^2</f>
        <v/>
      </c>
      <c r="M257">
        <f>D257/B257</f>
        <v/>
      </c>
      <c r="N257">
        <f>E257/B257</f>
        <v/>
      </c>
      <c r="O257">
        <f>F257/B257</f>
        <v/>
      </c>
      <c r="P257">
        <f>G257/B257</f>
        <v/>
      </c>
      <c r="Q257">
        <f>CHOOSE(k_model,D257,E257,F257,G257)</f>
        <v/>
      </c>
      <c r="R257">
        <f>CHOOSE(k_model,H257,I257,J257,K257)</f>
        <v/>
      </c>
    </row>
    <row r="258">
      <c r="A258" t="n">
        <v>256</v>
      </c>
      <c r="B258">
        <f>k_lo+k_rng*A258/1000</f>
        <v/>
      </c>
      <c r="C258">
        <f>(B258-k_mx)/k_sx</f>
        <v/>
      </c>
      <c r="D258">
        <f>k_p2_0+C258*(k_p2_1+C258*k_p2_2)</f>
        <v/>
      </c>
      <c r="E258">
        <f>k_p3_0+C258*(k_p3_1+C258*(k_p3_2+C258*k_p3_3))</f>
        <v/>
      </c>
      <c r="F258">
        <f>k_p4_0+C258*(k_p4_1+C258*(k_p4_2+C258*(k_p4_3+C258*k_p4_4)))</f>
        <v/>
      </c>
      <c r="G258">
        <f>k_ea+k_eb*EXP(k_ec*C258)</f>
        <v/>
      </c>
      <c r="H258">
        <f>(k_p2_1+2*k_p2_2*C258)/k_sx</f>
        <v/>
      </c>
      <c r="I258">
        <f>(k_p3_1+C258*(2*k_p3_2+3*k_p3_3*C258))/k_sx</f>
        <v/>
      </c>
      <c r="J258">
        <f>(k_p4_1+C258*(2*k_p4_2+C258*(3*k_p4_3+4*k_p4_4*C258)))/k_sx</f>
        <v/>
      </c>
      <c r="K258">
        <f>k_eb*k_ec*EXP(k_ec*C258)/k_sx</f>
        <v/>
      </c>
      <c r="L258">
        <f>(2*k_p4_2+C258*(6*k_p4_3+12*k_p4_4*C258))/k_sx^2</f>
        <v/>
      </c>
      <c r="M258">
        <f>D258/B258</f>
        <v/>
      </c>
      <c r="N258">
        <f>E258/B258</f>
        <v/>
      </c>
      <c r="O258">
        <f>F258/B258</f>
        <v/>
      </c>
      <c r="P258">
        <f>G258/B258</f>
        <v/>
      </c>
      <c r="Q258">
        <f>CHOOSE(k_model,D258,E258,F258,G258)</f>
        <v/>
      </c>
      <c r="R258">
        <f>CHOOSE(k_model,H258,I258,J258,K258)</f>
        <v/>
      </c>
    </row>
    <row r="259">
      <c r="A259" t="n">
        <v>257</v>
      </c>
      <c r="B259">
        <f>k_lo+k_rng*A259/1000</f>
        <v/>
      </c>
      <c r="C259">
        <f>(B259-k_mx)/k_sx</f>
        <v/>
      </c>
      <c r="D259">
        <f>k_p2_0+C259*(k_p2_1+C259*k_p2_2)</f>
        <v/>
      </c>
      <c r="E259">
        <f>k_p3_0+C259*(k_p3_1+C259*(k_p3_2+C259*k_p3_3))</f>
        <v/>
      </c>
      <c r="F259">
        <f>k_p4_0+C259*(k_p4_1+C259*(k_p4_2+C259*(k_p4_3+C259*k_p4_4)))</f>
        <v/>
      </c>
      <c r="G259">
        <f>k_ea+k_eb*EXP(k_ec*C259)</f>
        <v/>
      </c>
      <c r="H259">
        <f>(k_p2_1+2*k_p2_2*C259)/k_sx</f>
        <v/>
      </c>
      <c r="I259">
        <f>(k_p3_1+C259*(2*k_p3_2+3*k_p3_3*C259))/k_sx</f>
        <v/>
      </c>
      <c r="J259">
        <f>(k_p4_1+C259*(2*k_p4_2+C259*(3*k_p4_3+4*k_p4_4*C259)))/k_sx</f>
        <v/>
      </c>
      <c r="K259">
        <f>k_eb*k_ec*EXP(k_ec*C259)/k_sx</f>
        <v/>
      </c>
      <c r="L259">
        <f>(2*k_p4_2+C259*(6*k_p4_3+12*k_p4_4*C259))/k_sx^2</f>
        <v/>
      </c>
      <c r="M259">
        <f>D259/B259</f>
        <v/>
      </c>
      <c r="N259">
        <f>E259/B259</f>
        <v/>
      </c>
      <c r="O259">
        <f>F259/B259</f>
        <v/>
      </c>
      <c r="P259">
        <f>G259/B259</f>
        <v/>
      </c>
      <c r="Q259">
        <f>CHOOSE(k_model,D259,E259,F259,G259)</f>
        <v/>
      </c>
      <c r="R259">
        <f>CHOOSE(k_model,H259,I259,J259,K259)</f>
        <v/>
      </c>
    </row>
    <row r="260">
      <c r="A260" t="n">
        <v>258</v>
      </c>
      <c r="B260">
        <f>k_lo+k_rng*A260/1000</f>
        <v/>
      </c>
      <c r="C260">
        <f>(B260-k_mx)/k_sx</f>
        <v/>
      </c>
      <c r="D260">
        <f>k_p2_0+C260*(k_p2_1+C260*k_p2_2)</f>
        <v/>
      </c>
      <c r="E260">
        <f>k_p3_0+C260*(k_p3_1+C260*(k_p3_2+C260*k_p3_3))</f>
        <v/>
      </c>
      <c r="F260">
        <f>k_p4_0+C260*(k_p4_1+C260*(k_p4_2+C260*(k_p4_3+C260*k_p4_4)))</f>
        <v/>
      </c>
      <c r="G260">
        <f>k_ea+k_eb*EXP(k_ec*C260)</f>
        <v/>
      </c>
      <c r="H260">
        <f>(k_p2_1+2*k_p2_2*C260)/k_sx</f>
        <v/>
      </c>
      <c r="I260">
        <f>(k_p3_1+C260*(2*k_p3_2+3*k_p3_3*C260))/k_sx</f>
        <v/>
      </c>
      <c r="J260">
        <f>(k_p4_1+C260*(2*k_p4_2+C260*(3*k_p4_3+4*k_p4_4*C260)))/k_sx</f>
        <v/>
      </c>
      <c r="K260">
        <f>k_eb*k_ec*EXP(k_ec*C260)/k_sx</f>
        <v/>
      </c>
      <c r="L260">
        <f>(2*k_p4_2+C260*(6*k_p4_3+12*k_p4_4*C260))/k_sx^2</f>
        <v/>
      </c>
      <c r="M260">
        <f>D260/B260</f>
        <v/>
      </c>
      <c r="N260">
        <f>E260/B260</f>
        <v/>
      </c>
      <c r="O260">
        <f>F260/B260</f>
        <v/>
      </c>
      <c r="P260">
        <f>G260/B260</f>
        <v/>
      </c>
      <c r="Q260">
        <f>CHOOSE(k_model,D260,E260,F260,G260)</f>
        <v/>
      </c>
      <c r="R260">
        <f>CHOOSE(k_model,H260,I260,J260,K260)</f>
        <v/>
      </c>
    </row>
    <row r="261">
      <c r="A261" t="n">
        <v>259</v>
      </c>
      <c r="B261">
        <f>k_lo+k_rng*A261/1000</f>
        <v/>
      </c>
      <c r="C261">
        <f>(B261-k_mx)/k_sx</f>
        <v/>
      </c>
      <c r="D261">
        <f>k_p2_0+C261*(k_p2_1+C261*k_p2_2)</f>
        <v/>
      </c>
      <c r="E261">
        <f>k_p3_0+C261*(k_p3_1+C261*(k_p3_2+C261*k_p3_3))</f>
        <v/>
      </c>
      <c r="F261">
        <f>k_p4_0+C261*(k_p4_1+C261*(k_p4_2+C261*(k_p4_3+C261*k_p4_4)))</f>
        <v/>
      </c>
      <c r="G261">
        <f>k_ea+k_eb*EXP(k_ec*C261)</f>
        <v/>
      </c>
      <c r="H261">
        <f>(k_p2_1+2*k_p2_2*C261)/k_sx</f>
        <v/>
      </c>
      <c r="I261">
        <f>(k_p3_1+C261*(2*k_p3_2+3*k_p3_3*C261))/k_sx</f>
        <v/>
      </c>
      <c r="J261">
        <f>(k_p4_1+C261*(2*k_p4_2+C261*(3*k_p4_3+4*k_p4_4*C261)))/k_sx</f>
        <v/>
      </c>
      <c r="K261">
        <f>k_eb*k_ec*EXP(k_ec*C261)/k_sx</f>
        <v/>
      </c>
      <c r="L261">
        <f>(2*k_p4_2+C261*(6*k_p4_3+12*k_p4_4*C261))/k_sx^2</f>
        <v/>
      </c>
      <c r="M261">
        <f>D261/B261</f>
        <v/>
      </c>
      <c r="N261">
        <f>E261/B261</f>
        <v/>
      </c>
      <c r="O261">
        <f>F261/B261</f>
        <v/>
      </c>
      <c r="P261">
        <f>G261/B261</f>
        <v/>
      </c>
      <c r="Q261">
        <f>CHOOSE(k_model,D261,E261,F261,G261)</f>
        <v/>
      </c>
      <c r="R261">
        <f>CHOOSE(k_model,H261,I261,J261,K261)</f>
        <v/>
      </c>
    </row>
    <row r="262">
      <c r="A262" t="n">
        <v>260</v>
      </c>
      <c r="B262">
        <f>k_lo+k_rng*A262/1000</f>
        <v/>
      </c>
      <c r="C262">
        <f>(B262-k_mx)/k_sx</f>
        <v/>
      </c>
      <c r="D262">
        <f>k_p2_0+C262*(k_p2_1+C262*k_p2_2)</f>
        <v/>
      </c>
      <c r="E262">
        <f>k_p3_0+C262*(k_p3_1+C262*(k_p3_2+C262*k_p3_3))</f>
        <v/>
      </c>
      <c r="F262">
        <f>k_p4_0+C262*(k_p4_1+C262*(k_p4_2+C262*(k_p4_3+C262*k_p4_4)))</f>
        <v/>
      </c>
      <c r="G262">
        <f>k_ea+k_eb*EXP(k_ec*C262)</f>
        <v/>
      </c>
      <c r="H262">
        <f>(k_p2_1+2*k_p2_2*C262)/k_sx</f>
        <v/>
      </c>
      <c r="I262">
        <f>(k_p3_1+C262*(2*k_p3_2+3*k_p3_3*C262))/k_sx</f>
        <v/>
      </c>
      <c r="J262">
        <f>(k_p4_1+C262*(2*k_p4_2+C262*(3*k_p4_3+4*k_p4_4*C262)))/k_sx</f>
        <v/>
      </c>
      <c r="K262">
        <f>k_eb*k_ec*EXP(k_ec*C262)/k_sx</f>
        <v/>
      </c>
      <c r="L262">
        <f>(2*k_p4_2+C262*(6*k_p4_3+12*k_p4_4*C262))/k_sx^2</f>
        <v/>
      </c>
      <c r="M262">
        <f>D262/B262</f>
        <v/>
      </c>
      <c r="N262">
        <f>E262/B262</f>
        <v/>
      </c>
      <c r="O262">
        <f>F262/B262</f>
        <v/>
      </c>
      <c r="P262">
        <f>G262/B262</f>
        <v/>
      </c>
      <c r="Q262">
        <f>CHOOSE(k_model,D262,E262,F262,G262)</f>
        <v/>
      </c>
      <c r="R262">
        <f>CHOOSE(k_model,H262,I262,J262,K262)</f>
        <v/>
      </c>
    </row>
    <row r="263">
      <c r="A263" t="n">
        <v>261</v>
      </c>
      <c r="B263">
        <f>k_lo+k_rng*A263/1000</f>
        <v/>
      </c>
      <c r="C263">
        <f>(B263-k_mx)/k_sx</f>
        <v/>
      </c>
      <c r="D263">
        <f>k_p2_0+C263*(k_p2_1+C263*k_p2_2)</f>
        <v/>
      </c>
      <c r="E263">
        <f>k_p3_0+C263*(k_p3_1+C263*(k_p3_2+C263*k_p3_3))</f>
        <v/>
      </c>
      <c r="F263">
        <f>k_p4_0+C263*(k_p4_1+C263*(k_p4_2+C263*(k_p4_3+C263*k_p4_4)))</f>
        <v/>
      </c>
      <c r="G263">
        <f>k_ea+k_eb*EXP(k_ec*C263)</f>
        <v/>
      </c>
      <c r="H263">
        <f>(k_p2_1+2*k_p2_2*C263)/k_sx</f>
        <v/>
      </c>
      <c r="I263">
        <f>(k_p3_1+C263*(2*k_p3_2+3*k_p3_3*C263))/k_sx</f>
        <v/>
      </c>
      <c r="J263">
        <f>(k_p4_1+C263*(2*k_p4_2+C263*(3*k_p4_3+4*k_p4_4*C263)))/k_sx</f>
        <v/>
      </c>
      <c r="K263">
        <f>k_eb*k_ec*EXP(k_ec*C263)/k_sx</f>
        <v/>
      </c>
      <c r="L263">
        <f>(2*k_p4_2+C263*(6*k_p4_3+12*k_p4_4*C263))/k_sx^2</f>
        <v/>
      </c>
      <c r="M263">
        <f>D263/B263</f>
        <v/>
      </c>
      <c r="N263">
        <f>E263/B263</f>
        <v/>
      </c>
      <c r="O263">
        <f>F263/B263</f>
        <v/>
      </c>
      <c r="P263">
        <f>G263/B263</f>
        <v/>
      </c>
      <c r="Q263">
        <f>CHOOSE(k_model,D263,E263,F263,G263)</f>
        <v/>
      </c>
      <c r="R263">
        <f>CHOOSE(k_model,H263,I263,J263,K263)</f>
        <v/>
      </c>
    </row>
    <row r="264">
      <c r="A264" t="n">
        <v>262</v>
      </c>
      <c r="B264">
        <f>k_lo+k_rng*A264/1000</f>
        <v/>
      </c>
      <c r="C264">
        <f>(B264-k_mx)/k_sx</f>
        <v/>
      </c>
      <c r="D264">
        <f>k_p2_0+C264*(k_p2_1+C264*k_p2_2)</f>
        <v/>
      </c>
      <c r="E264">
        <f>k_p3_0+C264*(k_p3_1+C264*(k_p3_2+C264*k_p3_3))</f>
        <v/>
      </c>
      <c r="F264">
        <f>k_p4_0+C264*(k_p4_1+C264*(k_p4_2+C264*(k_p4_3+C264*k_p4_4)))</f>
        <v/>
      </c>
      <c r="G264">
        <f>k_ea+k_eb*EXP(k_ec*C264)</f>
        <v/>
      </c>
      <c r="H264">
        <f>(k_p2_1+2*k_p2_2*C264)/k_sx</f>
        <v/>
      </c>
      <c r="I264">
        <f>(k_p3_1+C264*(2*k_p3_2+3*k_p3_3*C264))/k_sx</f>
        <v/>
      </c>
      <c r="J264">
        <f>(k_p4_1+C264*(2*k_p4_2+C264*(3*k_p4_3+4*k_p4_4*C264)))/k_sx</f>
        <v/>
      </c>
      <c r="K264">
        <f>k_eb*k_ec*EXP(k_ec*C264)/k_sx</f>
        <v/>
      </c>
      <c r="L264">
        <f>(2*k_p4_2+C264*(6*k_p4_3+12*k_p4_4*C264))/k_sx^2</f>
        <v/>
      </c>
      <c r="M264">
        <f>D264/B264</f>
        <v/>
      </c>
      <c r="N264">
        <f>E264/B264</f>
        <v/>
      </c>
      <c r="O264">
        <f>F264/B264</f>
        <v/>
      </c>
      <c r="P264">
        <f>G264/B264</f>
        <v/>
      </c>
      <c r="Q264">
        <f>CHOOSE(k_model,D264,E264,F264,G264)</f>
        <v/>
      </c>
      <c r="R264">
        <f>CHOOSE(k_model,H264,I264,J264,K264)</f>
        <v/>
      </c>
    </row>
    <row r="265">
      <c r="A265" t="n">
        <v>263</v>
      </c>
      <c r="B265">
        <f>k_lo+k_rng*A265/1000</f>
        <v/>
      </c>
      <c r="C265">
        <f>(B265-k_mx)/k_sx</f>
        <v/>
      </c>
      <c r="D265">
        <f>k_p2_0+C265*(k_p2_1+C265*k_p2_2)</f>
        <v/>
      </c>
      <c r="E265">
        <f>k_p3_0+C265*(k_p3_1+C265*(k_p3_2+C265*k_p3_3))</f>
        <v/>
      </c>
      <c r="F265">
        <f>k_p4_0+C265*(k_p4_1+C265*(k_p4_2+C265*(k_p4_3+C265*k_p4_4)))</f>
        <v/>
      </c>
      <c r="G265">
        <f>k_ea+k_eb*EXP(k_ec*C265)</f>
        <v/>
      </c>
      <c r="H265">
        <f>(k_p2_1+2*k_p2_2*C265)/k_sx</f>
        <v/>
      </c>
      <c r="I265">
        <f>(k_p3_1+C265*(2*k_p3_2+3*k_p3_3*C265))/k_sx</f>
        <v/>
      </c>
      <c r="J265">
        <f>(k_p4_1+C265*(2*k_p4_2+C265*(3*k_p4_3+4*k_p4_4*C265)))/k_sx</f>
        <v/>
      </c>
      <c r="K265">
        <f>k_eb*k_ec*EXP(k_ec*C265)/k_sx</f>
        <v/>
      </c>
      <c r="L265">
        <f>(2*k_p4_2+C265*(6*k_p4_3+12*k_p4_4*C265))/k_sx^2</f>
        <v/>
      </c>
      <c r="M265">
        <f>D265/B265</f>
        <v/>
      </c>
      <c r="N265">
        <f>E265/B265</f>
        <v/>
      </c>
      <c r="O265">
        <f>F265/B265</f>
        <v/>
      </c>
      <c r="P265">
        <f>G265/B265</f>
        <v/>
      </c>
      <c r="Q265">
        <f>CHOOSE(k_model,D265,E265,F265,G265)</f>
        <v/>
      </c>
      <c r="R265">
        <f>CHOOSE(k_model,H265,I265,J265,K265)</f>
        <v/>
      </c>
    </row>
    <row r="266">
      <c r="A266" t="n">
        <v>264</v>
      </c>
      <c r="B266">
        <f>k_lo+k_rng*A266/1000</f>
        <v/>
      </c>
      <c r="C266">
        <f>(B266-k_mx)/k_sx</f>
        <v/>
      </c>
      <c r="D266">
        <f>k_p2_0+C266*(k_p2_1+C266*k_p2_2)</f>
        <v/>
      </c>
      <c r="E266">
        <f>k_p3_0+C266*(k_p3_1+C266*(k_p3_2+C266*k_p3_3))</f>
        <v/>
      </c>
      <c r="F266">
        <f>k_p4_0+C266*(k_p4_1+C266*(k_p4_2+C266*(k_p4_3+C266*k_p4_4)))</f>
        <v/>
      </c>
      <c r="G266">
        <f>k_ea+k_eb*EXP(k_ec*C266)</f>
        <v/>
      </c>
      <c r="H266">
        <f>(k_p2_1+2*k_p2_2*C266)/k_sx</f>
        <v/>
      </c>
      <c r="I266">
        <f>(k_p3_1+C266*(2*k_p3_2+3*k_p3_3*C266))/k_sx</f>
        <v/>
      </c>
      <c r="J266">
        <f>(k_p4_1+C266*(2*k_p4_2+C266*(3*k_p4_3+4*k_p4_4*C266)))/k_sx</f>
        <v/>
      </c>
      <c r="K266">
        <f>k_eb*k_ec*EXP(k_ec*C266)/k_sx</f>
        <v/>
      </c>
      <c r="L266">
        <f>(2*k_p4_2+C266*(6*k_p4_3+12*k_p4_4*C266))/k_sx^2</f>
        <v/>
      </c>
      <c r="M266">
        <f>D266/B266</f>
        <v/>
      </c>
      <c r="N266">
        <f>E266/B266</f>
        <v/>
      </c>
      <c r="O266">
        <f>F266/B266</f>
        <v/>
      </c>
      <c r="P266">
        <f>G266/B266</f>
        <v/>
      </c>
      <c r="Q266">
        <f>CHOOSE(k_model,D266,E266,F266,G266)</f>
        <v/>
      </c>
      <c r="R266">
        <f>CHOOSE(k_model,H266,I266,J266,K266)</f>
        <v/>
      </c>
    </row>
    <row r="267">
      <c r="A267" t="n">
        <v>265</v>
      </c>
      <c r="B267">
        <f>k_lo+k_rng*A267/1000</f>
        <v/>
      </c>
      <c r="C267">
        <f>(B267-k_mx)/k_sx</f>
        <v/>
      </c>
      <c r="D267">
        <f>k_p2_0+C267*(k_p2_1+C267*k_p2_2)</f>
        <v/>
      </c>
      <c r="E267">
        <f>k_p3_0+C267*(k_p3_1+C267*(k_p3_2+C267*k_p3_3))</f>
        <v/>
      </c>
      <c r="F267">
        <f>k_p4_0+C267*(k_p4_1+C267*(k_p4_2+C267*(k_p4_3+C267*k_p4_4)))</f>
        <v/>
      </c>
      <c r="G267">
        <f>k_ea+k_eb*EXP(k_ec*C267)</f>
        <v/>
      </c>
      <c r="H267">
        <f>(k_p2_1+2*k_p2_2*C267)/k_sx</f>
        <v/>
      </c>
      <c r="I267">
        <f>(k_p3_1+C267*(2*k_p3_2+3*k_p3_3*C267))/k_sx</f>
        <v/>
      </c>
      <c r="J267">
        <f>(k_p4_1+C267*(2*k_p4_2+C267*(3*k_p4_3+4*k_p4_4*C267)))/k_sx</f>
        <v/>
      </c>
      <c r="K267">
        <f>k_eb*k_ec*EXP(k_ec*C267)/k_sx</f>
        <v/>
      </c>
      <c r="L267">
        <f>(2*k_p4_2+C267*(6*k_p4_3+12*k_p4_4*C267))/k_sx^2</f>
        <v/>
      </c>
      <c r="M267">
        <f>D267/B267</f>
        <v/>
      </c>
      <c r="N267">
        <f>E267/B267</f>
        <v/>
      </c>
      <c r="O267">
        <f>F267/B267</f>
        <v/>
      </c>
      <c r="P267">
        <f>G267/B267</f>
        <v/>
      </c>
      <c r="Q267">
        <f>CHOOSE(k_model,D267,E267,F267,G267)</f>
        <v/>
      </c>
      <c r="R267">
        <f>CHOOSE(k_model,H267,I267,J267,K267)</f>
        <v/>
      </c>
    </row>
    <row r="268">
      <c r="A268" t="n">
        <v>266</v>
      </c>
      <c r="B268">
        <f>k_lo+k_rng*A268/1000</f>
        <v/>
      </c>
      <c r="C268">
        <f>(B268-k_mx)/k_sx</f>
        <v/>
      </c>
      <c r="D268">
        <f>k_p2_0+C268*(k_p2_1+C268*k_p2_2)</f>
        <v/>
      </c>
      <c r="E268">
        <f>k_p3_0+C268*(k_p3_1+C268*(k_p3_2+C268*k_p3_3))</f>
        <v/>
      </c>
      <c r="F268">
        <f>k_p4_0+C268*(k_p4_1+C268*(k_p4_2+C268*(k_p4_3+C268*k_p4_4)))</f>
        <v/>
      </c>
      <c r="G268">
        <f>k_ea+k_eb*EXP(k_ec*C268)</f>
        <v/>
      </c>
      <c r="H268">
        <f>(k_p2_1+2*k_p2_2*C268)/k_sx</f>
        <v/>
      </c>
      <c r="I268">
        <f>(k_p3_1+C268*(2*k_p3_2+3*k_p3_3*C268))/k_sx</f>
        <v/>
      </c>
      <c r="J268">
        <f>(k_p4_1+C268*(2*k_p4_2+C268*(3*k_p4_3+4*k_p4_4*C268)))/k_sx</f>
        <v/>
      </c>
      <c r="K268">
        <f>k_eb*k_ec*EXP(k_ec*C268)/k_sx</f>
        <v/>
      </c>
      <c r="L268">
        <f>(2*k_p4_2+C268*(6*k_p4_3+12*k_p4_4*C268))/k_sx^2</f>
        <v/>
      </c>
      <c r="M268">
        <f>D268/B268</f>
        <v/>
      </c>
      <c r="N268">
        <f>E268/B268</f>
        <v/>
      </c>
      <c r="O268">
        <f>F268/B268</f>
        <v/>
      </c>
      <c r="P268">
        <f>G268/B268</f>
        <v/>
      </c>
      <c r="Q268">
        <f>CHOOSE(k_model,D268,E268,F268,G268)</f>
        <v/>
      </c>
      <c r="R268">
        <f>CHOOSE(k_model,H268,I268,J268,K268)</f>
        <v/>
      </c>
    </row>
    <row r="269">
      <c r="A269" t="n">
        <v>267</v>
      </c>
      <c r="B269">
        <f>k_lo+k_rng*A269/1000</f>
        <v/>
      </c>
      <c r="C269">
        <f>(B269-k_mx)/k_sx</f>
        <v/>
      </c>
      <c r="D269">
        <f>k_p2_0+C269*(k_p2_1+C269*k_p2_2)</f>
        <v/>
      </c>
      <c r="E269">
        <f>k_p3_0+C269*(k_p3_1+C269*(k_p3_2+C269*k_p3_3))</f>
        <v/>
      </c>
      <c r="F269">
        <f>k_p4_0+C269*(k_p4_1+C269*(k_p4_2+C269*(k_p4_3+C269*k_p4_4)))</f>
        <v/>
      </c>
      <c r="G269">
        <f>k_ea+k_eb*EXP(k_ec*C269)</f>
        <v/>
      </c>
      <c r="H269">
        <f>(k_p2_1+2*k_p2_2*C269)/k_sx</f>
        <v/>
      </c>
      <c r="I269">
        <f>(k_p3_1+C269*(2*k_p3_2+3*k_p3_3*C269))/k_sx</f>
        <v/>
      </c>
      <c r="J269">
        <f>(k_p4_1+C269*(2*k_p4_2+C269*(3*k_p4_3+4*k_p4_4*C269)))/k_sx</f>
        <v/>
      </c>
      <c r="K269">
        <f>k_eb*k_ec*EXP(k_ec*C269)/k_sx</f>
        <v/>
      </c>
      <c r="L269">
        <f>(2*k_p4_2+C269*(6*k_p4_3+12*k_p4_4*C269))/k_sx^2</f>
        <v/>
      </c>
      <c r="M269">
        <f>D269/B269</f>
        <v/>
      </c>
      <c r="N269">
        <f>E269/B269</f>
        <v/>
      </c>
      <c r="O269">
        <f>F269/B269</f>
        <v/>
      </c>
      <c r="P269">
        <f>G269/B269</f>
        <v/>
      </c>
      <c r="Q269">
        <f>CHOOSE(k_model,D269,E269,F269,G269)</f>
        <v/>
      </c>
      <c r="R269">
        <f>CHOOSE(k_model,H269,I269,J269,K269)</f>
        <v/>
      </c>
    </row>
    <row r="270">
      <c r="A270" t="n">
        <v>268</v>
      </c>
      <c r="B270">
        <f>k_lo+k_rng*A270/1000</f>
        <v/>
      </c>
      <c r="C270">
        <f>(B270-k_mx)/k_sx</f>
        <v/>
      </c>
      <c r="D270">
        <f>k_p2_0+C270*(k_p2_1+C270*k_p2_2)</f>
        <v/>
      </c>
      <c r="E270">
        <f>k_p3_0+C270*(k_p3_1+C270*(k_p3_2+C270*k_p3_3))</f>
        <v/>
      </c>
      <c r="F270">
        <f>k_p4_0+C270*(k_p4_1+C270*(k_p4_2+C270*(k_p4_3+C270*k_p4_4)))</f>
        <v/>
      </c>
      <c r="G270">
        <f>k_ea+k_eb*EXP(k_ec*C270)</f>
        <v/>
      </c>
      <c r="H270">
        <f>(k_p2_1+2*k_p2_2*C270)/k_sx</f>
        <v/>
      </c>
      <c r="I270">
        <f>(k_p3_1+C270*(2*k_p3_2+3*k_p3_3*C270))/k_sx</f>
        <v/>
      </c>
      <c r="J270">
        <f>(k_p4_1+C270*(2*k_p4_2+C270*(3*k_p4_3+4*k_p4_4*C270)))/k_sx</f>
        <v/>
      </c>
      <c r="K270">
        <f>k_eb*k_ec*EXP(k_ec*C270)/k_sx</f>
        <v/>
      </c>
      <c r="L270">
        <f>(2*k_p4_2+C270*(6*k_p4_3+12*k_p4_4*C270))/k_sx^2</f>
        <v/>
      </c>
      <c r="M270">
        <f>D270/B270</f>
        <v/>
      </c>
      <c r="N270">
        <f>E270/B270</f>
        <v/>
      </c>
      <c r="O270">
        <f>F270/B270</f>
        <v/>
      </c>
      <c r="P270">
        <f>G270/B270</f>
        <v/>
      </c>
      <c r="Q270">
        <f>CHOOSE(k_model,D270,E270,F270,G270)</f>
        <v/>
      </c>
      <c r="R270">
        <f>CHOOSE(k_model,H270,I270,J270,K270)</f>
        <v/>
      </c>
    </row>
    <row r="271">
      <c r="A271" t="n">
        <v>269</v>
      </c>
      <c r="B271">
        <f>k_lo+k_rng*A271/1000</f>
        <v/>
      </c>
      <c r="C271">
        <f>(B271-k_mx)/k_sx</f>
        <v/>
      </c>
      <c r="D271">
        <f>k_p2_0+C271*(k_p2_1+C271*k_p2_2)</f>
        <v/>
      </c>
      <c r="E271">
        <f>k_p3_0+C271*(k_p3_1+C271*(k_p3_2+C271*k_p3_3))</f>
        <v/>
      </c>
      <c r="F271">
        <f>k_p4_0+C271*(k_p4_1+C271*(k_p4_2+C271*(k_p4_3+C271*k_p4_4)))</f>
        <v/>
      </c>
      <c r="G271">
        <f>k_ea+k_eb*EXP(k_ec*C271)</f>
        <v/>
      </c>
      <c r="H271">
        <f>(k_p2_1+2*k_p2_2*C271)/k_sx</f>
        <v/>
      </c>
      <c r="I271">
        <f>(k_p3_1+C271*(2*k_p3_2+3*k_p3_3*C271))/k_sx</f>
        <v/>
      </c>
      <c r="J271">
        <f>(k_p4_1+C271*(2*k_p4_2+C271*(3*k_p4_3+4*k_p4_4*C271)))/k_sx</f>
        <v/>
      </c>
      <c r="K271">
        <f>k_eb*k_ec*EXP(k_ec*C271)/k_sx</f>
        <v/>
      </c>
      <c r="L271">
        <f>(2*k_p4_2+C271*(6*k_p4_3+12*k_p4_4*C271))/k_sx^2</f>
        <v/>
      </c>
      <c r="M271">
        <f>D271/B271</f>
        <v/>
      </c>
      <c r="N271">
        <f>E271/B271</f>
        <v/>
      </c>
      <c r="O271">
        <f>F271/B271</f>
        <v/>
      </c>
      <c r="P271">
        <f>G271/B271</f>
        <v/>
      </c>
      <c r="Q271">
        <f>CHOOSE(k_model,D271,E271,F271,G271)</f>
        <v/>
      </c>
      <c r="R271">
        <f>CHOOSE(k_model,H271,I271,J271,K271)</f>
        <v/>
      </c>
    </row>
    <row r="272">
      <c r="A272" t="n">
        <v>270</v>
      </c>
      <c r="B272">
        <f>k_lo+k_rng*A272/1000</f>
        <v/>
      </c>
      <c r="C272">
        <f>(B272-k_mx)/k_sx</f>
        <v/>
      </c>
      <c r="D272">
        <f>k_p2_0+C272*(k_p2_1+C272*k_p2_2)</f>
        <v/>
      </c>
      <c r="E272">
        <f>k_p3_0+C272*(k_p3_1+C272*(k_p3_2+C272*k_p3_3))</f>
        <v/>
      </c>
      <c r="F272">
        <f>k_p4_0+C272*(k_p4_1+C272*(k_p4_2+C272*(k_p4_3+C272*k_p4_4)))</f>
        <v/>
      </c>
      <c r="G272">
        <f>k_ea+k_eb*EXP(k_ec*C272)</f>
        <v/>
      </c>
      <c r="H272">
        <f>(k_p2_1+2*k_p2_2*C272)/k_sx</f>
        <v/>
      </c>
      <c r="I272">
        <f>(k_p3_1+C272*(2*k_p3_2+3*k_p3_3*C272))/k_sx</f>
        <v/>
      </c>
      <c r="J272">
        <f>(k_p4_1+C272*(2*k_p4_2+C272*(3*k_p4_3+4*k_p4_4*C272)))/k_sx</f>
        <v/>
      </c>
      <c r="K272">
        <f>k_eb*k_ec*EXP(k_ec*C272)/k_sx</f>
        <v/>
      </c>
      <c r="L272">
        <f>(2*k_p4_2+C272*(6*k_p4_3+12*k_p4_4*C272))/k_sx^2</f>
        <v/>
      </c>
      <c r="M272">
        <f>D272/B272</f>
        <v/>
      </c>
      <c r="N272">
        <f>E272/B272</f>
        <v/>
      </c>
      <c r="O272">
        <f>F272/B272</f>
        <v/>
      </c>
      <c r="P272">
        <f>G272/B272</f>
        <v/>
      </c>
      <c r="Q272">
        <f>CHOOSE(k_model,D272,E272,F272,G272)</f>
        <v/>
      </c>
      <c r="R272">
        <f>CHOOSE(k_model,H272,I272,J272,K272)</f>
        <v/>
      </c>
    </row>
    <row r="273">
      <c r="A273" t="n">
        <v>271</v>
      </c>
      <c r="B273">
        <f>k_lo+k_rng*A273/1000</f>
        <v/>
      </c>
      <c r="C273">
        <f>(B273-k_mx)/k_sx</f>
        <v/>
      </c>
      <c r="D273">
        <f>k_p2_0+C273*(k_p2_1+C273*k_p2_2)</f>
        <v/>
      </c>
      <c r="E273">
        <f>k_p3_0+C273*(k_p3_1+C273*(k_p3_2+C273*k_p3_3))</f>
        <v/>
      </c>
      <c r="F273">
        <f>k_p4_0+C273*(k_p4_1+C273*(k_p4_2+C273*(k_p4_3+C273*k_p4_4)))</f>
        <v/>
      </c>
      <c r="G273">
        <f>k_ea+k_eb*EXP(k_ec*C273)</f>
        <v/>
      </c>
      <c r="H273">
        <f>(k_p2_1+2*k_p2_2*C273)/k_sx</f>
        <v/>
      </c>
      <c r="I273">
        <f>(k_p3_1+C273*(2*k_p3_2+3*k_p3_3*C273))/k_sx</f>
        <v/>
      </c>
      <c r="J273">
        <f>(k_p4_1+C273*(2*k_p4_2+C273*(3*k_p4_3+4*k_p4_4*C273)))/k_sx</f>
        <v/>
      </c>
      <c r="K273">
        <f>k_eb*k_ec*EXP(k_ec*C273)/k_sx</f>
        <v/>
      </c>
      <c r="L273">
        <f>(2*k_p4_2+C273*(6*k_p4_3+12*k_p4_4*C273))/k_sx^2</f>
        <v/>
      </c>
      <c r="M273">
        <f>D273/B273</f>
        <v/>
      </c>
      <c r="N273">
        <f>E273/B273</f>
        <v/>
      </c>
      <c r="O273">
        <f>F273/B273</f>
        <v/>
      </c>
      <c r="P273">
        <f>G273/B273</f>
        <v/>
      </c>
      <c r="Q273">
        <f>CHOOSE(k_model,D273,E273,F273,G273)</f>
        <v/>
      </c>
      <c r="R273">
        <f>CHOOSE(k_model,H273,I273,J273,K273)</f>
        <v/>
      </c>
    </row>
    <row r="274">
      <c r="A274" t="n">
        <v>272</v>
      </c>
      <c r="B274">
        <f>k_lo+k_rng*A274/1000</f>
        <v/>
      </c>
      <c r="C274">
        <f>(B274-k_mx)/k_sx</f>
        <v/>
      </c>
      <c r="D274">
        <f>k_p2_0+C274*(k_p2_1+C274*k_p2_2)</f>
        <v/>
      </c>
      <c r="E274">
        <f>k_p3_0+C274*(k_p3_1+C274*(k_p3_2+C274*k_p3_3))</f>
        <v/>
      </c>
      <c r="F274">
        <f>k_p4_0+C274*(k_p4_1+C274*(k_p4_2+C274*(k_p4_3+C274*k_p4_4)))</f>
        <v/>
      </c>
      <c r="G274">
        <f>k_ea+k_eb*EXP(k_ec*C274)</f>
        <v/>
      </c>
      <c r="H274">
        <f>(k_p2_1+2*k_p2_2*C274)/k_sx</f>
        <v/>
      </c>
      <c r="I274">
        <f>(k_p3_1+C274*(2*k_p3_2+3*k_p3_3*C274))/k_sx</f>
        <v/>
      </c>
      <c r="J274">
        <f>(k_p4_1+C274*(2*k_p4_2+C274*(3*k_p4_3+4*k_p4_4*C274)))/k_sx</f>
        <v/>
      </c>
      <c r="K274">
        <f>k_eb*k_ec*EXP(k_ec*C274)/k_sx</f>
        <v/>
      </c>
      <c r="L274">
        <f>(2*k_p4_2+C274*(6*k_p4_3+12*k_p4_4*C274))/k_sx^2</f>
        <v/>
      </c>
      <c r="M274">
        <f>D274/B274</f>
        <v/>
      </c>
      <c r="N274">
        <f>E274/B274</f>
        <v/>
      </c>
      <c r="O274">
        <f>F274/B274</f>
        <v/>
      </c>
      <c r="P274">
        <f>G274/B274</f>
        <v/>
      </c>
      <c r="Q274">
        <f>CHOOSE(k_model,D274,E274,F274,G274)</f>
        <v/>
      </c>
      <c r="R274">
        <f>CHOOSE(k_model,H274,I274,J274,K274)</f>
        <v/>
      </c>
    </row>
    <row r="275">
      <c r="A275" t="n">
        <v>273</v>
      </c>
      <c r="B275">
        <f>k_lo+k_rng*A275/1000</f>
        <v/>
      </c>
      <c r="C275">
        <f>(B275-k_mx)/k_sx</f>
        <v/>
      </c>
      <c r="D275">
        <f>k_p2_0+C275*(k_p2_1+C275*k_p2_2)</f>
        <v/>
      </c>
      <c r="E275">
        <f>k_p3_0+C275*(k_p3_1+C275*(k_p3_2+C275*k_p3_3))</f>
        <v/>
      </c>
      <c r="F275">
        <f>k_p4_0+C275*(k_p4_1+C275*(k_p4_2+C275*(k_p4_3+C275*k_p4_4)))</f>
        <v/>
      </c>
      <c r="G275">
        <f>k_ea+k_eb*EXP(k_ec*C275)</f>
        <v/>
      </c>
      <c r="H275">
        <f>(k_p2_1+2*k_p2_2*C275)/k_sx</f>
        <v/>
      </c>
      <c r="I275">
        <f>(k_p3_1+C275*(2*k_p3_2+3*k_p3_3*C275))/k_sx</f>
        <v/>
      </c>
      <c r="J275">
        <f>(k_p4_1+C275*(2*k_p4_2+C275*(3*k_p4_3+4*k_p4_4*C275)))/k_sx</f>
        <v/>
      </c>
      <c r="K275">
        <f>k_eb*k_ec*EXP(k_ec*C275)/k_sx</f>
        <v/>
      </c>
      <c r="L275">
        <f>(2*k_p4_2+C275*(6*k_p4_3+12*k_p4_4*C275))/k_sx^2</f>
        <v/>
      </c>
      <c r="M275">
        <f>D275/B275</f>
        <v/>
      </c>
      <c r="N275">
        <f>E275/B275</f>
        <v/>
      </c>
      <c r="O275">
        <f>F275/B275</f>
        <v/>
      </c>
      <c r="P275">
        <f>G275/B275</f>
        <v/>
      </c>
      <c r="Q275">
        <f>CHOOSE(k_model,D275,E275,F275,G275)</f>
        <v/>
      </c>
      <c r="R275">
        <f>CHOOSE(k_model,H275,I275,J275,K275)</f>
        <v/>
      </c>
    </row>
    <row r="276">
      <c r="A276" t="n">
        <v>274</v>
      </c>
      <c r="B276">
        <f>k_lo+k_rng*A276/1000</f>
        <v/>
      </c>
      <c r="C276">
        <f>(B276-k_mx)/k_sx</f>
        <v/>
      </c>
      <c r="D276">
        <f>k_p2_0+C276*(k_p2_1+C276*k_p2_2)</f>
        <v/>
      </c>
      <c r="E276">
        <f>k_p3_0+C276*(k_p3_1+C276*(k_p3_2+C276*k_p3_3))</f>
        <v/>
      </c>
      <c r="F276">
        <f>k_p4_0+C276*(k_p4_1+C276*(k_p4_2+C276*(k_p4_3+C276*k_p4_4)))</f>
        <v/>
      </c>
      <c r="G276">
        <f>k_ea+k_eb*EXP(k_ec*C276)</f>
        <v/>
      </c>
      <c r="H276">
        <f>(k_p2_1+2*k_p2_2*C276)/k_sx</f>
        <v/>
      </c>
      <c r="I276">
        <f>(k_p3_1+C276*(2*k_p3_2+3*k_p3_3*C276))/k_sx</f>
        <v/>
      </c>
      <c r="J276">
        <f>(k_p4_1+C276*(2*k_p4_2+C276*(3*k_p4_3+4*k_p4_4*C276)))/k_sx</f>
        <v/>
      </c>
      <c r="K276">
        <f>k_eb*k_ec*EXP(k_ec*C276)/k_sx</f>
        <v/>
      </c>
      <c r="L276">
        <f>(2*k_p4_2+C276*(6*k_p4_3+12*k_p4_4*C276))/k_sx^2</f>
        <v/>
      </c>
      <c r="M276">
        <f>D276/B276</f>
        <v/>
      </c>
      <c r="N276">
        <f>E276/B276</f>
        <v/>
      </c>
      <c r="O276">
        <f>F276/B276</f>
        <v/>
      </c>
      <c r="P276">
        <f>G276/B276</f>
        <v/>
      </c>
      <c r="Q276">
        <f>CHOOSE(k_model,D276,E276,F276,G276)</f>
        <v/>
      </c>
      <c r="R276">
        <f>CHOOSE(k_model,H276,I276,J276,K276)</f>
        <v/>
      </c>
    </row>
    <row r="277">
      <c r="A277" t="n">
        <v>275</v>
      </c>
      <c r="B277">
        <f>k_lo+k_rng*A277/1000</f>
        <v/>
      </c>
      <c r="C277">
        <f>(B277-k_mx)/k_sx</f>
        <v/>
      </c>
      <c r="D277">
        <f>k_p2_0+C277*(k_p2_1+C277*k_p2_2)</f>
        <v/>
      </c>
      <c r="E277">
        <f>k_p3_0+C277*(k_p3_1+C277*(k_p3_2+C277*k_p3_3))</f>
        <v/>
      </c>
      <c r="F277">
        <f>k_p4_0+C277*(k_p4_1+C277*(k_p4_2+C277*(k_p4_3+C277*k_p4_4)))</f>
        <v/>
      </c>
      <c r="G277">
        <f>k_ea+k_eb*EXP(k_ec*C277)</f>
        <v/>
      </c>
      <c r="H277">
        <f>(k_p2_1+2*k_p2_2*C277)/k_sx</f>
        <v/>
      </c>
      <c r="I277">
        <f>(k_p3_1+C277*(2*k_p3_2+3*k_p3_3*C277))/k_sx</f>
        <v/>
      </c>
      <c r="J277">
        <f>(k_p4_1+C277*(2*k_p4_2+C277*(3*k_p4_3+4*k_p4_4*C277)))/k_sx</f>
        <v/>
      </c>
      <c r="K277">
        <f>k_eb*k_ec*EXP(k_ec*C277)/k_sx</f>
        <v/>
      </c>
      <c r="L277">
        <f>(2*k_p4_2+C277*(6*k_p4_3+12*k_p4_4*C277))/k_sx^2</f>
        <v/>
      </c>
      <c r="M277">
        <f>D277/B277</f>
        <v/>
      </c>
      <c r="N277">
        <f>E277/B277</f>
        <v/>
      </c>
      <c r="O277">
        <f>F277/B277</f>
        <v/>
      </c>
      <c r="P277">
        <f>G277/B277</f>
        <v/>
      </c>
      <c r="Q277">
        <f>CHOOSE(k_model,D277,E277,F277,G277)</f>
        <v/>
      </c>
      <c r="R277">
        <f>CHOOSE(k_model,H277,I277,J277,K277)</f>
        <v/>
      </c>
    </row>
    <row r="278">
      <c r="A278" t="n">
        <v>276</v>
      </c>
      <c r="B278">
        <f>k_lo+k_rng*A278/1000</f>
        <v/>
      </c>
      <c r="C278">
        <f>(B278-k_mx)/k_sx</f>
        <v/>
      </c>
      <c r="D278">
        <f>k_p2_0+C278*(k_p2_1+C278*k_p2_2)</f>
        <v/>
      </c>
      <c r="E278">
        <f>k_p3_0+C278*(k_p3_1+C278*(k_p3_2+C278*k_p3_3))</f>
        <v/>
      </c>
      <c r="F278">
        <f>k_p4_0+C278*(k_p4_1+C278*(k_p4_2+C278*(k_p4_3+C278*k_p4_4)))</f>
        <v/>
      </c>
      <c r="G278">
        <f>k_ea+k_eb*EXP(k_ec*C278)</f>
        <v/>
      </c>
      <c r="H278">
        <f>(k_p2_1+2*k_p2_2*C278)/k_sx</f>
        <v/>
      </c>
      <c r="I278">
        <f>(k_p3_1+C278*(2*k_p3_2+3*k_p3_3*C278))/k_sx</f>
        <v/>
      </c>
      <c r="J278">
        <f>(k_p4_1+C278*(2*k_p4_2+C278*(3*k_p4_3+4*k_p4_4*C278)))/k_sx</f>
        <v/>
      </c>
      <c r="K278">
        <f>k_eb*k_ec*EXP(k_ec*C278)/k_sx</f>
        <v/>
      </c>
      <c r="L278">
        <f>(2*k_p4_2+C278*(6*k_p4_3+12*k_p4_4*C278))/k_sx^2</f>
        <v/>
      </c>
      <c r="M278">
        <f>D278/B278</f>
        <v/>
      </c>
      <c r="N278">
        <f>E278/B278</f>
        <v/>
      </c>
      <c r="O278">
        <f>F278/B278</f>
        <v/>
      </c>
      <c r="P278">
        <f>G278/B278</f>
        <v/>
      </c>
      <c r="Q278">
        <f>CHOOSE(k_model,D278,E278,F278,G278)</f>
        <v/>
      </c>
      <c r="R278">
        <f>CHOOSE(k_model,H278,I278,J278,K278)</f>
        <v/>
      </c>
    </row>
    <row r="279">
      <c r="A279" t="n">
        <v>277</v>
      </c>
      <c r="B279">
        <f>k_lo+k_rng*A279/1000</f>
        <v/>
      </c>
      <c r="C279">
        <f>(B279-k_mx)/k_sx</f>
        <v/>
      </c>
      <c r="D279">
        <f>k_p2_0+C279*(k_p2_1+C279*k_p2_2)</f>
        <v/>
      </c>
      <c r="E279">
        <f>k_p3_0+C279*(k_p3_1+C279*(k_p3_2+C279*k_p3_3))</f>
        <v/>
      </c>
      <c r="F279">
        <f>k_p4_0+C279*(k_p4_1+C279*(k_p4_2+C279*(k_p4_3+C279*k_p4_4)))</f>
        <v/>
      </c>
      <c r="G279">
        <f>k_ea+k_eb*EXP(k_ec*C279)</f>
        <v/>
      </c>
      <c r="H279">
        <f>(k_p2_1+2*k_p2_2*C279)/k_sx</f>
        <v/>
      </c>
      <c r="I279">
        <f>(k_p3_1+C279*(2*k_p3_2+3*k_p3_3*C279))/k_sx</f>
        <v/>
      </c>
      <c r="J279">
        <f>(k_p4_1+C279*(2*k_p4_2+C279*(3*k_p4_3+4*k_p4_4*C279)))/k_sx</f>
        <v/>
      </c>
      <c r="K279">
        <f>k_eb*k_ec*EXP(k_ec*C279)/k_sx</f>
        <v/>
      </c>
      <c r="L279">
        <f>(2*k_p4_2+C279*(6*k_p4_3+12*k_p4_4*C279))/k_sx^2</f>
        <v/>
      </c>
      <c r="M279">
        <f>D279/B279</f>
        <v/>
      </c>
      <c r="N279">
        <f>E279/B279</f>
        <v/>
      </c>
      <c r="O279">
        <f>F279/B279</f>
        <v/>
      </c>
      <c r="P279">
        <f>G279/B279</f>
        <v/>
      </c>
      <c r="Q279">
        <f>CHOOSE(k_model,D279,E279,F279,G279)</f>
        <v/>
      </c>
      <c r="R279">
        <f>CHOOSE(k_model,H279,I279,J279,K279)</f>
        <v/>
      </c>
    </row>
    <row r="280">
      <c r="A280" t="n">
        <v>278</v>
      </c>
      <c r="B280">
        <f>k_lo+k_rng*A280/1000</f>
        <v/>
      </c>
      <c r="C280">
        <f>(B280-k_mx)/k_sx</f>
        <v/>
      </c>
      <c r="D280">
        <f>k_p2_0+C280*(k_p2_1+C280*k_p2_2)</f>
        <v/>
      </c>
      <c r="E280">
        <f>k_p3_0+C280*(k_p3_1+C280*(k_p3_2+C280*k_p3_3))</f>
        <v/>
      </c>
      <c r="F280">
        <f>k_p4_0+C280*(k_p4_1+C280*(k_p4_2+C280*(k_p4_3+C280*k_p4_4)))</f>
        <v/>
      </c>
      <c r="G280">
        <f>k_ea+k_eb*EXP(k_ec*C280)</f>
        <v/>
      </c>
      <c r="H280">
        <f>(k_p2_1+2*k_p2_2*C280)/k_sx</f>
        <v/>
      </c>
      <c r="I280">
        <f>(k_p3_1+C280*(2*k_p3_2+3*k_p3_3*C280))/k_sx</f>
        <v/>
      </c>
      <c r="J280">
        <f>(k_p4_1+C280*(2*k_p4_2+C280*(3*k_p4_3+4*k_p4_4*C280)))/k_sx</f>
        <v/>
      </c>
      <c r="K280">
        <f>k_eb*k_ec*EXP(k_ec*C280)/k_sx</f>
        <v/>
      </c>
      <c r="L280">
        <f>(2*k_p4_2+C280*(6*k_p4_3+12*k_p4_4*C280))/k_sx^2</f>
        <v/>
      </c>
      <c r="M280">
        <f>D280/B280</f>
        <v/>
      </c>
      <c r="N280">
        <f>E280/B280</f>
        <v/>
      </c>
      <c r="O280">
        <f>F280/B280</f>
        <v/>
      </c>
      <c r="P280">
        <f>G280/B280</f>
        <v/>
      </c>
      <c r="Q280">
        <f>CHOOSE(k_model,D280,E280,F280,G280)</f>
        <v/>
      </c>
      <c r="R280">
        <f>CHOOSE(k_model,H280,I280,J280,K280)</f>
        <v/>
      </c>
    </row>
    <row r="281">
      <c r="A281" t="n">
        <v>279</v>
      </c>
      <c r="B281">
        <f>k_lo+k_rng*A281/1000</f>
        <v/>
      </c>
      <c r="C281">
        <f>(B281-k_mx)/k_sx</f>
        <v/>
      </c>
      <c r="D281">
        <f>k_p2_0+C281*(k_p2_1+C281*k_p2_2)</f>
        <v/>
      </c>
      <c r="E281">
        <f>k_p3_0+C281*(k_p3_1+C281*(k_p3_2+C281*k_p3_3))</f>
        <v/>
      </c>
      <c r="F281">
        <f>k_p4_0+C281*(k_p4_1+C281*(k_p4_2+C281*(k_p4_3+C281*k_p4_4)))</f>
        <v/>
      </c>
      <c r="G281">
        <f>k_ea+k_eb*EXP(k_ec*C281)</f>
        <v/>
      </c>
      <c r="H281">
        <f>(k_p2_1+2*k_p2_2*C281)/k_sx</f>
        <v/>
      </c>
      <c r="I281">
        <f>(k_p3_1+C281*(2*k_p3_2+3*k_p3_3*C281))/k_sx</f>
        <v/>
      </c>
      <c r="J281">
        <f>(k_p4_1+C281*(2*k_p4_2+C281*(3*k_p4_3+4*k_p4_4*C281)))/k_sx</f>
        <v/>
      </c>
      <c r="K281">
        <f>k_eb*k_ec*EXP(k_ec*C281)/k_sx</f>
        <v/>
      </c>
      <c r="L281">
        <f>(2*k_p4_2+C281*(6*k_p4_3+12*k_p4_4*C281))/k_sx^2</f>
        <v/>
      </c>
      <c r="M281">
        <f>D281/B281</f>
        <v/>
      </c>
      <c r="N281">
        <f>E281/B281</f>
        <v/>
      </c>
      <c r="O281">
        <f>F281/B281</f>
        <v/>
      </c>
      <c r="P281">
        <f>G281/B281</f>
        <v/>
      </c>
      <c r="Q281">
        <f>CHOOSE(k_model,D281,E281,F281,G281)</f>
        <v/>
      </c>
      <c r="R281">
        <f>CHOOSE(k_model,H281,I281,J281,K281)</f>
        <v/>
      </c>
    </row>
    <row r="282">
      <c r="A282" t="n">
        <v>280</v>
      </c>
      <c r="B282">
        <f>k_lo+k_rng*A282/1000</f>
        <v/>
      </c>
      <c r="C282">
        <f>(B282-k_mx)/k_sx</f>
        <v/>
      </c>
      <c r="D282">
        <f>k_p2_0+C282*(k_p2_1+C282*k_p2_2)</f>
        <v/>
      </c>
      <c r="E282">
        <f>k_p3_0+C282*(k_p3_1+C282*(k_p3_2+C282*k_p3_3))</f>
        <v/>
      </c>
      <c r="F282">
        <f>k_p4_0+C282*(k_p4_1+C282*(k_p4_2+C282*(k_p4_3+C282*k_p4_4)))</f>
        <v/>
      </c>
      <c r="G282">
        <f>k_ea+k_eb*EXP(k_ec*C282)</f>
        <v/>
      </c>
      <c r="H282">
        <f>(k_p2_1+2*k_p2_2*C282)/k_sx</f>
        <v/>
      </c>
      <c r="I282">
        <f>(k_p3_1+C282*(2*k_p3_2+3*k_p3_3*C282))/k_sx</f>
        <v/>
      </c>
      <c r="J282">
        <f>(k_p4_1+C282*(2*k_p4_2+C282*(3*k_p4_3+4*k_p4_4*C282)))/k_sx</f>
        <v/>
      </c>
      <c r="K282">
        <f>k_eb*k_ec*EXP(k_ec*C282)/k_sx</f>
        <v/>
      </c>
      <c r="L282">
        <f>(2*k_p4_2+C282*(6*k_p4_3+12*k_p4_4*C282))/k_sx^2</f>
        <v/>
      </c>
      <c r="M282">
        <f>D282/B282</f>
        <v/>
      </c>
      <c r="N282">
        <f>E282/B282</f>
        <v/>
      </c>
      <c r="O282">
        <f>F282/B282</f>
        <v/>
      </c>
      <c r="P282">
        <f>G282/B282</f>
        <v/>
      </c>
      <c r="Q282">
        <f>CHOOSE(k_model,D282,E282,F282,G282)</f>
        <v/>
      </c>
      <c r="R282">
        <f>CHOOSE(k_model,H282,I282,J282,K282)</f>
        <v/>
      </c>
    </row>
    <row r="283">
      <c r="A283" t="n">
        <v>281</v>
      </c>
      <c r="B283">
        <f>k_lo+k_rng*A283/1000</f>
        <v/>
      </c>
      <c r="C283">
        <f>(B283-k_mx)/k_sx</f>
        <v/>
      </c>
      <c r="D283">
        <f>k_p2_0+C283*(k_p2_1+C283*k_p2_2)</f>
        <v/>
      </c>
      <c r="E283">
        <f>k_p3_0+C283*(k_p3_1+C283*(k_p3_2+C283*k_p3_3))</f>
        <v/>
      </c>
      <c r="F283">
        <f>k_p4_0+C283*(k_p4_1+C283*(k_p4_2+C283*(k_p4_3+C283*k_p4_4)))</f>
        <v/>
      </c>
      <c r="G283">
        <f>k_ea+k_eb*EXP(k_ec*C283)</f>
        <v/>
      </c>
      <c r="H283">
        <f>(k_p2_1+2*k_p2_2*C283)/k_sx</f>
        <v/>
      </c>
      <c r="I283">
        <f>(k_p3_1+C283*(2*k_p3_2+3*k_p3_3*C283))/k_sx</f>
        <v/>
      </c>
      <c r="J283">
        <f>(k_p4_1+C283*(2*k_p4_2+C283*(3*k_p4_3+4*k_p4_4*C283)))/k_sx</f>
        <v/>
      </c>
      <c r="K283">
        <f>k_eb*k_ec*EXP(k_ec*C283)/k_sx</f>
        <v/>
      </c>
      <c r="L283">
        <f>(2*k_p4_2+C283*(6*k_p4_3+12*k_p4_4*C283))/k_sx^2</f>
        <v/>
      </c>
      <c r="M283">
        <f>D283/B283</f>
        <v/>
      </c>
      <c r="N283">
        <f>E283/B283</f>
        <v/>
      </c>
      <c r="O283">
        <f>F283/B283</f>
        <v/>
      </c>
      <c r="P283">
        <f>G283/B283</f>
        <v/>
      </c>
      <c r="Q283">
        <f>CHOOSE(k_model,D283,E283,F283,G283)</f>
        <v/>
      </c>
      <c r="R283">
        <f>CHOOSE(k_model,H283,I283,J283,K283)</f>
        <v/>
      </c>
    </row>
    <row r="284">
      <c r="A284" t="n">
        <v>282</v>
      </c>
      <c r="B284">
        <f>k_lo+k_rng*A284/1000</f>
        <v/>
      </c>
      <c r="C284">
        <f>(B284-k_mx)/k_sx</f>
        <v/>
      </c>
      <c r="D284">
        <f>k_p2_0+C284*(k_p2_1+C284*k_p2_2)</f>
        <v/>
      </c>
      <c r="E284">
        <f>k_p3_0+C284*(k_p3_1+C284*(k_p3_2+C284*k_p3_3))</f>
        <v/>
      </c>
      <c r="F284">
        <f>k_p4_0+C284*(k_p4_1+C284*(k_p4_2+C284*(k_p4_3+C284*k_p4_4)))</f>
        <v/>
      </c>
      <c r="G284">
        <f>k_ea+k_eb*EXP(k_ec*C284)</f>
        <v/>
      </c>
      <c r="H284">
        <f>(k_p2_1+2*k_p2_2*C284)/k_sx</f>
        <v/>
      </c>
      <c r="I284">
        <f>(k_p3_1+C284*(2*k_p3_2+3*k_p3_3*C284))/k_sx</f>
        <v/>
      </c>
      <c r="J284">
        <f>(k_p4_1+C284*(2*k_p4_2+C284*(3*k_p4_3+4*k_p4_4*C284)))/k_sx</f>
        <v/>
      </c>
      <c r="K284">
        <f>k_eb*k_ec*EXP(k_ec*C284)/k_sx</f>
        <v/>
      </c>
      <c r="L284">
        <f>(2*k_p4_2+C284*(6*k_p4_3+12*k_p4_4*C284))/k_sx^2</f>
        <v/>
      </c>
      <c r="M284">
        <f>D284/B284</f>
        <v/>
      </c>
      <c r="N284">
        <f>E284/B284</f>
        <v/>
      </c>
      <c r="O284">
        <f>F284/B284</f>
        <v/>
      </c>
      <c r="P284">
        <f>G284/B284</f>
        <v/>
      </c>
      <c r="Q284">
        <f>CHOOSE(k_model,D284,E284,F284,G284)</f>
        <v/>
      </c>
      <c r="R284">
        <f>CHOOSE(k_model,H284,I284,J284,K284)</f>
        <v/>
      </c>
    </row>
    <row r="285">
      <c r="A285" t="n">
        <v>283</v>
      </c>
      <c r="B285">
        <f>k_lo+k_rng*A285/1000</f>
        <v/>
      </c>
      <c r="C285">
        <f>(B285-k_mx)/k_sx</f>
        <v/>
      </c>
      <c r="D285">
        <f>k_p2_0+C285*(k_p2_1+C285*k_p2_2)</f>
        <v/>
      </c>
      <c r="E285">
        <f>k_p3_0+C285*(k_p3_1+C285*(k_p3_2+C285*k_p3_3))</f>
        <v/>
      </c>
      <c r="F285">
        <f>k_p4_0+C285*(k_p4_1+C285*(k_p4_2+C285*(k_p4_3+C285*k_p4_4)))</f>
        <v/>
      </c>
      <c r="G285">
        <f>k_ea+k_eb*EXP(k_ec*C285)</f>
        <v/>
      </c>
      <c r="H285">
        <f>(k_p2_1+2*k_p2_2*C285)/k_sx</f>
        <v/>
      </c>
      <c r="I285">
        <f>(k_p3_1+C285*(2*k_p3_2+3*k_p3_3*C285))/k_sx</f>
        <v/>
      </c>
      <c r="J285">
        <f>(k_p4_1+C285*(2*k_p4_2+C285*(3*k_p4_3+4*k_p4_4*C285)))/k_sx</f>
        <v/>
      </c>
      <c r="K285">
        <f>k_eb*k_ec*EXP(k_ec*C285)/k_sx</f>
        <v/>
      </c>
      <c r="L285">
        <f>(2*k_p4_2+C285*(6*k_p4_3+12*k_p4_4*C285))/k_sx^2</f>
        <v/>
      </c>
      <c r="M285">
        <f>D285/B285</f>
        <v/>
      </c>
      <c r="N285">
        <f>E285/B285</f>
        <v/>
      </c>
      <c r="O285">
        <f>F285/B285</f>
        <v/>
      </c>
      <c r="P285">
        <f>G285/B285</f>
        <v/>
      </c>
      <c r="Q285">
        <f>CHOOSE(k_model,D285,E285,F285,G285)</f>
        <v/>
      </c>
      <c r="R285">
        <f>CHOOSE(k_model,H285,I285,J285,K285)</f>
        <v/>
      </c>
    </row>
    <row r="286">
      <c r="A286" t="n">
        <v>284</v>
      </c>
      <c r="B286">
        <f>k_lo+k_rng*A286/1000</f>
        <v/>
      </c>
      <c r="C286">
        <f>(B286-k_mx)/k_sx</f>
        <v/>
      </c>
      <c r="D286">
        <f>k_p2_0+C286*(k_p2_1+C286*k_p2_2)</f>
        <v/>
      </c>
      <c r="E286">
        <f>k_p3_0+C286*(k_p3_1+C286*(k_p3_2+C286*k_p3_3))</f>
        <v/>
      </c>
      <c r="F286">
        <f>k_p4_0+C286*(k_p4_1+C286*(k_p4_2+C286*(k_p4_3+C286*k_p4_4)))</f>
        <v/>
      </c>
      <c r="G286">
        <f>k_ea+k_eb*EXP(k_ec*C286)</f>
        <v/>
      </c>
      <c r="H286">
        <f>(k_p2_1+2*k_p2_2*C286)/k_sx</f>
        <v/>
      </c>
      <c r="I286">
        <f>(k_p3_1+C286*(2*k_p3_2+3*k_p3_3*C286))/k_sx</f>
        <v/>
      </c>
      <c r="J286">
        <f>(k_p4_1+C286*(2*k_p4_2+C286*(3*k_p4_3+4*k_p4_4*C286)))/k_sx</f>
        <v/>
      </c>
      <c r="K286">
        <f>k_eb*k_ec*EXP(k_ec*C286)/k_sx</f>
        <v/>
      </c>
      <c r="L286">
        <f>(2*k_p4_2+C286*(6*k_p4_3+12*k_p4_4*C286))/k_sx^2</f>
        <v/>
      </c>
      <c r="M286">
        <f>D286/B286</f>
        <v/>
      </c>
      <c r="N286">
        <f>E286/B286</f>
        <v/>
      </c>
      <c r="O286">
        <f>F286/B286</f>
        <v/>
      </c>
      <c r="P286">
        <f>G286/B286</f>
        <v/>
      </c>
      <c r="Q286">
        <f>CHOOSE(k_model,D286,E286,F286,G286)</f>
        <v/>
      </c>
      <c r="R286">
        <f>CHOOSE(k_model,H286,I286,J286,K286)</f>
        <v/>
      </c>
    </row>
    <row r="287">
      <c r="A287" t="n">
        <v>285</v>
      </c>
      <c r="B287">
        <f>k_lo+k_rng*A287/1000</f>
        <v/>
      </c>
      <c r="C287">
        <f>(B287-k_mx)/k_sx</f>
        <v/>
      </c>
      <c r="D287">
        <f>k_p2_0+C287*(k_p2_1+C287*k_p2_2)</f>
        <v/>
      </c>
      <c r="E287">
        <f>k_p3_0+C287*(k_p3_1+C287*(k_p3_2+C287*k_p3_3))</f>
        <v/>
      </c>
      <c r="F287">
        <f>k_p4_0+C287*(k_p4_1+C287*(k_p4_2+C287*(k_p4_3+C287*k_p4_4)))</f>
        <v/>
      </c>
      <c r="G287">
        <f>k_ea+k_eb*EXP(k_ec*C287)</f>
        <v/>
      </c>
      <c r="H287">
        <f>(k_p2_1+2*k_p2_2*C287)/k_sx</f>
        <v/>
      </c>
      <c r="I287">
        <f>(k_p3_1+C287*(2*k_p3_2+3*k_p3_3*C287))/k_sx</f>
        <v/>
      </c>
      <c r="J287">
        <f>(k_p4_1+C287*(2*k_p4_2+C287*(3*k_p4_3+4*k_p4_4*C287)))/k_sx</f>
        <v/>
      </c>
      <c r="K287">
        <f>k_eb*k_ec*EXP(k_ec*C287)/k_sx</f>
        <v/>
      </c>
      <c r="L287">
        <f>(2*k_p4_2+C287*(6*k_p4_3+12*k_p4_4*C287))/k_sx^2</f>
        <v/>
      </c>
      <c r="M287">
        <f>D287/B287</f>
        <v/>
      </c>
      <c r="N287">
        <f>E287/B287</f>
        <v/>
      </c>
      <c r="O287">
        <f>F287/B287</f>
        <v/>
      </c>
      <c r="P287">
        <f>G287/B287</f>
        <v/>
      </c>
      <c r="Q287">
        <f>CHOOSE(k_model,D287,E287,F287,G287)</f>
        <v/>
      </c>
      <c r="R287">
        <f>CHOOSE(k_model,H287,I287,J287,K287)</f>
        <v/>
      </c>
    </row>
    <row r="288">
      <c r="A288" t="n">
        <v>286</v>
      </c>
      <c r="B288">
        <f>k_lo+k_rng*A288/1000</f>
        <v/>
      </c>
      <c r="C288">
        <f>(B288-k_mx)/k_sx</f>
        <v/>
      </c>
      <c r="D288">
        <f>k_p2_0+C288*(k_p2_1+C288*k_p2_2)</f>
        <v/>
      </c>
      <c r="E288">
        <f>k_p3_0+C288*(k_p3_1+C288*(k_p3_2+C288*k_p3_3))</f>
        <v/>
      </c>
      <c r="F288">
        <f>k_p4_0+C288*(k_p4_1+C288*(k_p4_2+C288*(k_p4_3+C288*k_p4_4)))</f>
        <v/>
      </c>
      <c r="G288">
        <f>k_ea+k_eb*EXP(k_ec*C288)</f>
        <v/>
      </c>
      <c r="H288">
        <f>(k_p2_1+2*k_p2_2*C288)/k_sx</f>
        <v/>
      </c>
      <c r="I288">
        <f>(k_p3_1+C288*(2*k_p3_2+3*k_p3_3*C288))/k_sx</f>
        <v/>
      </c>
      <c r="J288">
        <f>(k_p4_1+C288*(2*k_p4_2+C288*(3*k_p4_3+4*k_p4_4*C288)))/k_sx</f>
        <v/>
      </c>
      <c r="K288">
        <f>k_eb*k_ec*EXP(k_ec*C288)/k_sx</f>
        <v/>
      </c>
      <c r="L288">
        <f>(2*k_p4_2+C288*(6*k_p4_3+12*k_p4_4*C288))/k_sx^2</f>
        <v/>
      </c>
      <c r="M288">
        <f>D288/B288</f>
        <v/>
      </c>
      <c r="N288">
        <f>E288/B288</f>
        <v/>
      </c>
      <c r="O288">
        <f>F288/B288</f>
        <v/>
      </c>
      <c r="P288">
        <f>G288/B288</f>
        <v/>
      </c>
      <c r="Q288">
        <f>CHOOSE(k_model,D288,E288,F288,G288)</f>
        <v/>
      </c>
      <c r="R288">
        <f>CHOOSE(k_model,H288,I288,J288,K288)</f>
        <v/>
      </c>
    </row>
    <row r="289">
      <c r="A289" t="n">
        <v>287</v>
      </c>
      <c r="B289">
        <f>k_lo+k_rng*A289/1000</f>
        <v/>
      </c>
      <c r="C289">
        <f>(B289-k_mx)/k_sx</f>
        <v/>
      </c>
      <c r="D289">
        <f>k_p2_0+C289*(k_p2_1+C289*k_p2_2)</f>
        <v/>
      </c>
      <c r="E289">
        <f>k_p3_0+C289*(k_p3_1+C289*(k_p3_2+C289*k_p3_3))</f>
        <v/>
      </c>
      <c r="F289">
        <f>k_p4_0+C289*(k_p4_1+C289*(k_p4_2+C289*(k_p4_3+C289*k_p4_4)))</f>
        <v/>
      </c>
      <c r="G289">
        <f>k_ea+k_eb*EXP(k_ec*C289)</f>
        <v/>
      </c>
      <c r="H289">
        <f>(k_p2_1+2*k_p2_2*C289)/k_sx</f>
        <v/>
      </c>
      <c r="I289">
        <f>(k_p3_1+C289*(2*k_p3_2+3*k_p3_3*C289))/k_sx</f>
        <v/>
      </c>
      <c r="J289">
        <f>(k_p4_1+C289*(2*k_p4_2+C289*(3*k_p4_3+4*k_p4_4*C289)))/k_sx</f>
        <v/>
      </c>
      <c r="K289">
        <f>k_eb*k_ec*EXP(k_ec*C289)/k_sx</f>
        <v/>
      </c>
      <c r="L289">
        <f>(2*k_p4_2+C289*(6*k_p4_3+12*k_p4_4*C289))/k_sx^2</f>
        <v/>
      </c>
      <c r="M289">
        <f>D289/B289</f>
        <v/>
      </c>
      <c r="N289">
        <f>E289/B289</f>
        <v/>
      </c>
      <c r="O289">
        <f>F289/B289</f>
        <v/>
      </c>
      <c r="P289">
        <f>G289/B289</f>
        <v/>
      </c>
      <c r="Q289">
        <f>CHOOSE(k_model,D289,E289,F289,G289)</f>
        <v/>
      </c>
      <c r="R289">
        <f>CHOOSE(k_model,H289,I289,J289,K289)</f>
        <v/>
      </c>
    </row>
    <row r="290">
      <c r="A290" t="n">
        <v>288</v>
      </c>
      <c r="B290">
        <f>k_lo+k_rng*A290/1000</f>
        <v/>
      </c>
      <c r="C290">
        <f>(B290-k_mx)/k_sx</f>
        <v/>
      </c>
      <c r="D290">
        <f>k_p2_0+C290*(k_p2_1+C290*k_p2_2)</f>
        <v/>
      </c>
      <c r="E290">
        <f>k_p3_0+C290*(k_p3_1+C290*(k_p3_2+C290*k_p3_3))</f>
        <v/>
      </c>
      <c r="F290">
        <f>k_p4_0+C290*(k_p4_1+C290*(k_p4_2+C290*(k_p4_3+C290*k_p4_4)))</f>
        <v/>
      </c>
      <c r="G290">
        <f>k_ea+k_eb*EXP(k_ec*C290)</f>
        <v/>
      </c>
      <c r="H290">
        <f>(k_p2_1+2*k_p2_2*C290)/k_sx</f>
        <v/>
      </c>
      <c r="I290">
        <f>(k_p3_1+C290*(2*k_p3_2+3*k_p3_3*C290))/k_sx</f>
        <v/>
      </c>
      <c r="J290">
        <f>(k_p4_1+C290*(2*k_p4_2+C290*(3*k_p4_3+4*k_p4_4*C290)))/k_sx</f>
        <v/>
      </c>
      <c r="K290">
        <f>k_eb*k_ec*EXP(k_ec*C290)/k_sx</f>
        <v/>
      </c>
      <c r="L290">
        <f>(2*k_p4_2+C290*(6*k_p4_3+12*k_p4_4*C290))/k_sx^2</f>
        <v/>
      </c>
      <c r="M290">
        <f>D290/B290</f>
        <v/>
      </c>
      <c r="N290">
        <f>E290/B290</f>
        <v/>
      </c>
      <c r="O290">
        <f>F290/B290</f>
        <v/>
      </c>
      <c r="P290">
        <f>G290/B290</f>
        <v/>
      </c>
      <c r="Q290">
        <f>CHOOSE(k_model,D290,E290,F290,G290)</f>
        <v/>
      </c>
      <c r="R290">
        <f>CHOOSE(k_model,H290,I290,J290,K290)</f>
        <v/>
      </c>
    </row>
    <row r="291">
      <c r="A291" t="n">
        <v>289</v>
      </c>
      <c r="B291">
        <f>k_lo+k_rng*A291/1000</f>
        <v/>
      </c>
      <c r="C291">
        <f>(B291-k_mx)/k_sx</f>
        <v/>
      </c>
      <c r="D291">
        <f>k_p2_0+C291*(k_p2_1+C291*k_p2_2)</f>
        <v/>
      </c>
      <c r="E291">
        <f>k_p3_0+C291*(k_p3_1+C291*(k_p3_2+C291*k_p3_3))</f>
        <v/>
      </c>
      <c r="F291">
        <f>k_p4_0+C291*(k_p4_1+C291*(k_p4_2+C291*(k_p4_3+C291*k_p4_4)))</f>
        <v/>
      </c>
      <c r="G291">
        <f>k_ea+k_eb*EXP(k_ec*C291)</f>
        <v/>
      </c>
      <c r="H291">
        <f>(k_p2_1+2*k_p2_2*C291)/k_sx</f>
        <v/>
      </c>
      <c r="I291">
        <f>(k_p3_1+C291*(2*k_p3_2+3*k_p3_3*C291))/k_sx</f>
        <v/>
      </c>
      <c r="J291">
        <f>(k_p4_1+C291*(2*k_p4_2+C291*(3*k_p4_3+4*k_p4_4*C291)))/k_sx</f>
        <v/>
      </c>
      <c r="K291">
        <f>k_eb*k_ec*EXP(k_ec*C291)/k_sx</f>
        <v/>
      </c>
      <c r="L291">
        <f>(2*k_p4_2+C291*(6*k_p4_3+12*k_p4_4*C291))/k_sx^2</f>
        <v/>
      </c>
      <c r="M291">
        <f>D291/B291</f>
        <v/>
      </c>
      <c r="N291">
        <f>E291/B291</f>
        <v/>
      </c>
      <c r="O291">
        <f>F291/B291</f>
        <v/>
      </c>
      <c r="P291">
        <f>G291/B291</f>
        <v/>
      </c>
      <c r="Q291">
        <f>CHOOSE(k_model,D291,E291,F291,G291)</f>
        <v/>
      </c>
      <c r="R291">
        <f>CHOOSE(k_model,H291,I291,J291,K291)</f>
        <v/>
      </c>
    </row>
    <row r="292">
      <c r="A292" t="n">
        <v>290</v>
      </c>
      <c r="B292">
        <f>k_lo+k_rng*A292/1000</f>
        <v/>
      </c>
      <c r="C292">
        <f>(B292-k_mx)/k_sx</f>
        <v/>
      </c>
      <c r="D292">
        <f>k_p2_0+C292*(k_p2_1+C292*k_p2_2)</f>
        <v/>
      </c>
      <c r="E292">
        <f>k_p3_0+C292*(k_p3_1+C292*(k_p3_2+C292*k_p3_3))</f>
        <v/>
      </c>
      <c r="F292">
        <f>k_p4_0+C292*(k_p4_1+C292*(k_p4_2+C292*(k_p4_3+C292*k_p4_4)))</f>
        <v/>
      </c>
      <c r="G292">
        <f>k_ea+k_eb*EXP(k_ec*C292)</f>
        <v/>
      </c>
      <c r="H292">
        <f>(k_p2_1+2*k_p2_2*C292)/k_sx</f>
        <v/>
      </c>
      <c r="I292">
        <f>(k_p3_1+C292*(2*k_p3_2+3*k_p3_3*C292))/k_sx</f>
        <v/>
      </c>
      <c r="J292">
        <f>(k_p4_1+C292*(2*k_p4_2+C292*(3*k_p4_3+4*k_p4_4*C292)))/k_sx</f>
        <v/>
      </c>
      <c r="K292">
        <f>k_eb*k_ec*EXP(k_ec*C292)/k_sx</f>
        <v/>
      </c>
      <c r="L292">
        <f>(2*k_p4_2+C292*(6*k_p4_3+12*k_p4_4*C292))/k_sx^2</f>
        <v/>
      </c>
      <c r="M292">
        <f>D292/B292</f>
        <v/>
      </c>
      <c r="N292">
        <f>E292/B292</f>
        <v/>
      </c>
      <c r="O292">
        <f>F292/B292</f>
        <v/>
      </c>
      <c r="P292">
        <f>G292/B292</f>
        <v/>
      </c>
      <c r="Q292">
        <f>CHOOSE(k_model,D292,E292,F292,G292)</f>
        <v/>
      </c>
      <c r="R292">
        <f>CHOOSE(k_model,H292,I292,J292,K292)</f>
        <v/>
      </c>
    </row>
    <row r="293">
      <c r="A293" t="n">
        <v>291</v>
      </c>
      <c r="B293">
        <f>k_lo+k_rng*A293/1000</f>
        <v/>
      </c>
      <c r="C293">
        <f>(B293-k_mx)/k_sx</f>
        <v/>
      </c>
      <c r="D293">
        <f>k_p2_0+C293*(k_p2_1+C293*k_p2_2)</f>
        <v/>
      </c>
      <c r="E293">
        <f>k_p3_0+C293*(k_p3_1+C293*(k_p3_2+C293*k_p3_3))</f>
        <v/>
      </c>
      <c r="F293">
        <f>k_p4_0+C293*(k_p4_1+C293*(k_p4_2+C293*(k_p4_3+C293*k_p4_4)))</f>
        <v/>
      </c>
      <c r="G293">
        <f>k_ea+k_eb*EXP(k_ec*C293)</f>
        <v/>
      </c>
      <c r="H293">
        <f>(k_p2_1+2*k_p2_2*C293)/k_sx</f>
        <v/>
      </c>
      <c r="I293">
        <f>(k_p3_1+C293*(2*k_p3_2+3*k_p3_3*C293))/k_sx</f>
        <v/>
      </c>
      <c r="J293">
        <f>(k_p4_1+C293*(2*k_p4_2+C293*(3*k_p4_3+4*k_p4_4*C293)))/k_sx</f>
        <v/>
      </c>
      <c r="K293">
        <f>k_eb*k_ec*EXP(k_ec*C293)/k_sx</f>
        <v/>
      </c>
      <c r="L293">
        <f>(2*k_p4_2+C293*(6*k_p4_3+12*k_p4_4*C293))/k_sx^2</f>
        <v/>
      </c>
      <c r="M293">
        <f>D293/B293</f>
        <v/>
      </c>
      <c r="N293">
        <f>E293/B293</f>
        <v/>
      </c>
      <c r="O293">
        <f>F293/B293</f>
        <v/>
      </c>
      <c r="P293">
        <f>G293/B293</f>
        <v/>
      </c>
      <c r="Q293">
        <f>CHOOSE(k_model,D293,E293,F293,G293)</f>
        <v/>
      </c>
      <c r="R293">
        <f>CHOOSE(k_model,H293,I293,J293,K293)</f>
        <v/>
      </c>
    </row>
    <row r="294">
      <c r="A294" t="n">
        <v>292</v>
      </c>
      <c r="B294">
        <f>k_lo+k_rng*A294/1000</f>
        <v/>
      </c>
      <c r="C294">
        <f>(B294-k_mx)/k_sx</f>
        <v/>
      </c>
      <c r="D294">
        <f>k_p2_0+C294*(k_p2_1+C294*k_p2_2)</f>
        <v/>
      </c>
      <c r="E294">
        <f>k_p3_0+C294*(k_p3_1+C294*(k_p3_2+C294*k_p3_3))</f>
        <v/>
      </c>
      <c r="F294">
        <f>k_p4_0+C294*(k_p4_1+C294*(k_p4_2+C294*(k_p4_3+C294*k_p4_4)))</f>
        <v/>
      </c>
      <c r="G294">
        <f>k_ea+k_eb*EXP(k_ec*C294)</f>
        <v/>
      </c>
      <c r="H294">
        <f>(k_p2_1+2*k_p2_2*C294)/k_sx</f>
        <v/>
      </c>
      <c r="I294">
        <f>(k_p3_1+C294*(2*k_p3_2+3*k_p3_3*C294))/k_sx</f>
        <v/>
      </c>
      <c r="J294">
        <f>(k_p4_1+C294*(2*k_p4_2+C294*(3*k_p4_3+4*k_p4_4*C294)))/k_sx</f>
        <v/>
      </c>
      <c r="K294">
        <f>k_eb*k_ec*EXP(k_ec*C294)/k_sx</f>
        <v/>
      </c>
      <c r="L294">
        <f>(2*k_p4_2+C294*(6*k_p4_3+12*k_p4_4*C294))/k_sx^2</f>
        <v/>
      </c>
      <c r="M294">
        <f>D294/B294</f>
        <v/>
      </c>
      <c r="N294">
        <f>E294/B294</f>
        <v/>
      </c>
      <c r="O294">
        <f>F294/B294</f>
        <v/>
      </c>
      <c r="P294">
        <f>G294/B294</f>
        <v/>
      </c>
      <c r="Q294">
        <f>CHOOSE(k_model,D294,E294,F294,G294)</f>
        <v/>
      </c>
      <c r="R294">
        <f>CHOOSE(k_model,H294,I294,J294,K294)</f>
        <v/>
      </c>
    </row>
    <row r="295">
      <c r="A295" t="n">
        <v>293</v>
      </c>
      <c r="B295">
        <f>k_lo+k_rng*A295/1000</f>
        <v/>
      </c>
      <c r="C295">
        <f>(B295-k_mx)/k_sx</f>
        <v/>
      </c>
      <c r="D295">
        <f>k_p2_0+C295*(k_p2_1+C295*k_p2_2)</f>
        <v/>
      </c>
      <c r="E295">
        <f>k_p3_0+C295*(k_p3_1+C295*(k_p3_2+C295*k_p3_3))</f>
        <v/>
      </c>
      <c r="F295">
        <f>k_p4_0+C295*(k_p4_1+C295*(k_p4_2+C295*(k_p4_3+C295*k_p4_4)))</f>
        <v/>
      </c>
      <c r="G295">
        <f>k_ea+k_eb*EXP(k_ec*C295)</f>
        <v/>
      </c>
      <c r="H295">
        <f>(k_p2_1+2*k_p2_2*C295)/k_sx</f>
        <v/>
      </c>
      <c r="I295">
        <f>(k_p3_1+C295*(2*k_p3_2+3*k_p3_3*C295))/k_sx</f>
        <v/>
      </c>
      <c r="J295">
        <f>(k_p4_1+C295*(2*k_p4_2+C295*(3*k_p4_3+4*k_p4_4*C295)))/k_sx</f>
        <v/>
      </c>
      <c r="K295">
        <f>k_eb*k_ec*EXP(k_ec*C295)/k_sx</f>
        <v/>
      </c>
      <c r="L295">
        <f>(2*k_p4_2+C295*(6*k_p4_3+12*k_p4_4*C295))/k_sx^2</f>
        <v/>
      </c>
      <c r="M295">
        <f>D295/B295</f>
        <v/>
      </c>
      <c r="N295">
        <f>E295/B295</f>
        <v/>
      </c>
      <c r="O295">
        <f>F295/B295</f>
        <v/>
      </c>
      <c r="P295">
        <f>G295/B295</f>
        <v/>
      </c>
      <c r="Q295">
        <f>CHOOSE(k_model,D295,E295,F295,G295)</f>
        <v/>
      </c>
      <c r="R295">
        <f>CHOOSE(k_model,H295,I295,J295,K295)</f>
        <v/>
      </c>
    </row>
    <row r="296">
      <c r="A296" t="n">
        <v>294</v>
      </c>
      <c r="B296">
        <f>k_lo+k_rng*A296/1000</f>
        <v/>
      </c>
      <c r="C296">
        <f>(B296-k_mx)/k_sx</f>
        <v/>
      </c>
      <c r="D296">
        <f>k_p2_0+C296*(k_p2_1+C296*k_p2_2)</f>
        <v/>
      </c>
      <c r="E296">
        <f>k_p3_0+C296*(k_p3_1+C296*(k_p3_2+C296*k_p3_3))</f>
        <v/>
      </c>
      <c r="F296">
        <f>k_p4_0+C296*(k_p4_1+C296*(k_p4_2+C296*(k_p4_3+C296*k_p4_4)))</f>
        <v/>
      </c>
      <c r="G296">
        <f>k_ea+k_eb*EXP(k_ec*C296)</f>
        <v/>
      </c>
      <c r="H296">
        <f>(k_p2_1+2*k_p2_2*C296)/k_sx</f>
        <v/>
      </c>
      <c r="I296">
        <f>(k_p3_1+C296*(2*k_p3_2+3*k_p3_3*C296))/k_sx</f>
        <v/>
      </c>
      <c r="J296">
        <f>(k_p4_1+C296*(2*k_p4_2+C296*(3*k_p4_3+4*k_p4_4*C296)))/k_sx</f>
        <v/>
      </c>
      <c r="K296">
        <f>k_eb*k_ec*EXP(k_ec*C296)/k_sx</f>
        <v/>
      </c>
      <c r="L296">
        <f>(2*k_p4_2+C296*(6*k_p4_3+12*k_p4_4*C296))/k_sx^2</f>
        <v/>
      </c>
      <c r="M296">
        <f>D296/B296</f>
        <v/>
      </c>
      <c r="N296">
        <f>E296/B296</f>
        <v/>
      </c>
      <c r="O296">
        <f>F296/B296</f>
        <v/>
      </c>
      <c r="P296">
        <f>G296/B296</f>
        <v/>
      </c>
      <c r="Q296">
        <f>CHOOSE(k_model,D296,E296,F296,G296)</f>
        <v/>
      </c>
      <c r="R296">
        <f>CHOOSE(k_model,H296,I296,J296,K296)</f>
        <v/>
      </c>
    </row>
    <row r="297">
      <c r="A297" t="n">
        <v>295</v>
      </c>
      <c r="B297">
        <f>k_lo+k_rng*A297/1000</f>
        <v/>
      </c>
      <c r="C297">
        <f>(B297-k_mx)/k_sx</f>
        <v/>
      </c>
      <c r="D297">
        <f>k_p2_0+C297*(k_p2_1+C297*k_p2_2)</f>
        <v/>
      </c>
      <c r="E297">
        <f>k_p3_0+C297*(k_p3_1+C297*(k_p3_2+C297*k_p3_3))</f>
        <v/>
      </c>
      <c r="F297">
        <f>k_p4_0+C297*(k_p4_1+C297*(k_p4_2+C297*(k_p4_3+C297*k_p4_4)))</f>
        <v/>
      </c>
      <c r="G297">
        <f>k_ea+k_eb*EXP(k_ec*C297)</f>
        <v/>
      </c>
      <c r="H297">
        <f>(k_p2_1+2*k_p2_2*C297)/k_sx</f>
        <v/>
      </c>
      <c r="I297">
        <f>(k_p3_1+C297*(2*k_p3_2+3*k_p3_3*C297))/k_sx</f>
        <v/>
      </c>
      <c r="J297">
        <f>(k_p4_1+C297*(2*k_p4_2+C297*(3*k_p4_3+4*k_p4_4*C297)))/k_sx</f>
        <v/>
      </c>
      <c r="K297">
        <f>k_eb*k_ec*EXP(k_ec*C297)/k_sx</f>
        <v/>
      </c>
      <c r="L297">
        <f>(2*k_p4_2+C297*(6*k_p4_3+12*k_p4_4*C297))/k_sx^2</f>
        <v/>
      </c>
      <c r="M297">
        <f>D297/B297</f>
        <v/>
      </c>
      <c r="N297">
        <f>E297/B297</f>
        <v/>
      </c>
      <c r="O297">
        <f>F297/B297</f>
        <v/>
      </c>
      <c r="P297">
        <f>G297/B297</f>
        <v/>
      </c>
      <c r="Q297">
        <f>CHOOSE(k_model,D297,E297,F297,G297)</f>
        <v/>
      </c>
      <c r="R297">
        <f>CHOOSE(k_model,H297,I297,J297,K297)</f>
        <v/>
      </c>
    </row>
    <row r="298">
      <c r="A298" t="n">
        <v>296</v>
      </c>
      <c r="B298">
        <f>k_lo+k_rng*A298/1000</f>
        <v/>
      </c>
      <c r="C298">
        <f>(B298-k_mx)/k_sx</f>
        <v/>
      </c>
      <c r="D298">
        <f>k_p2_0+C298*(k_p2_1+C298*k_p2_2)</f>
        <v/>
      </c>
      <c r="E298">
        <f>k_p3_0+C298*(k_p3_1+C298*(k_p3_2+C298*k_p3_3))</f>
        <v/>
      </c>
      <c r="F298">
        <f>k_p4_0+C298*(k_p4_1+C298*(k_p4_2+C298*(k_p4_3+C298*k_p4_4)))</f>
        <v/>
      </c>
      <c r="G298">
        <f>k_ea+k_eb*EXP(k_ec*C298)</f>
        <v/>
      </c>
      <c r="H298">
        <f>(k_p2_1+2*k_p2_2*C298)/k_sx</f>
        <v/>
      </c>
      <c r="I298">
        <f>(k_p3_1+C298*(2*k_p3_2+3*k_p3_3*C298))/k_sx</f>
        <v/>
      </c>
      <c r="J298">
        <f>(k_p4_1+C298*(2*k_p4_2+C298*(3*k_p4_3+4*k_p4_4*C298)))/k_sx</f>
        <v/>
      </c>
      <c r="K298">
        <f>k_eb*k_ec*EXP(k_ec*C298)/k_sx</f>
        <v/>
      </c>
      <c r="L298">
        <f>(2*k_p4_2+C298*(6*k_p4_3+12*k_p4_4*C298))/k_sx^2</f>
        <v/>
      </c>
      <c r="M298">
        <f>D298/B298</f>
        <v/>
      </c>
      <c r="N298">
        <f>E298/B298</f>
        <v/>
      </c>
      <c r="O298">
        <f>F298/B298</f>
        <v/>
      </c>
      <c r="P298">
        <f>G298/B298</f>
        <v/>
      </c>
      <c r="Q298">
        <f>CHOOSE(k_model,D298,E298,F298,G298)</f>
        <v/>
      </c>
      <c r="R298">
        <f>CHOOSE(k_model,H298,I298,J298,K298)</f>
        <v/>
      </c>
    </row>
    <row r="299">
      <c r="A299" t="n">
        <v>297</v>
      </c>
      <c r="B299">
        <f>k_lo+k_rng*A299/1000</f>
        <v/>
      </c>
      <c r="C299">
        <f>(B299-k_mx)/k_sx</f>
        <v/>
      </c>
      <c r="D299">
        <f>k_p2_0+C299*(k_p2_1+C299*k_p2_2)</f>
        <v/>
      </c>
      <c r="E299">
        <f>k_p3_0+C299*(k_p3_1+C299*(k_p3_2+C299*k_p3_3))</f>
        <v/>
      </c>
      <c r="F299">
        <f>k_p4_0+C299*(k_p4_1+C299*(k_p4_2+C299*(k_p4_3+C299*k_p4_4)))</f>
        <v/>
      </c>
      <c r="G299">
        <f>k_ea+k_eb*EXP(k_ec*C299)</f>
        <v/>
      </c>
      <c r="H299">
        <f>(k_p2_1+2*k_p2_2*C299)/k_sx</f>
        <v/>
      </c>
      <c r="I299">
        <f>(k_p3_1+C299*(2*k_p3_2+3*k_p3_3*C299))/k_sx</f>
        <v/>
      </c>
      <c r="J299">
        <f>(k_p4_1+C299*(2*k_p4_2+C299*(3*k_p4_3+4*k_p4_4*C299)))/k_sx</f>
        <v/>
      </c>
      <c r="K299">
        <f>k_eb*k_ec*EXP(k_ec*C299)/k_sx</f>
        <v/>
      </c>
      <c r="L299">
        <f>(2*k_p4_2+C299*(6*k_p4_3+12*k_p4_4*C299))/k_sx^2</f>
        <v/>
      </c>
      <c r="M299">
        <f>D299/B299</f>
        <v/>
      </c>
      <c r="N299">
        <f>E299/B299</f>
        <v/>
      </c>
      <c r="O299">
        <f>F299/B299</f>
        <v/>
      </c>
      <c r="P299">
        <f>G299/B299</f>
        <v/>
      </c>
      <c r="Q299">
        <f>CHOOSE(k_model,D299,E299,F299,G299)</f>
        <v/>
      </c>
      <c r="R299">
        <f>CHOOSE(k_model,H299,I299,J299,K299)</f>
        <v/>
      </c>
    </row>
    <row r="300">
      <c r="A300" t="n">
        <v>298</v>
      </c>
      <c r="B300">
        <f>k_lo+k_rng*A300/1000</f>
        <v/>
      </c>
      <c r="C300">
        <f>(B300-k_mx)/k_sx</f>
        <v/>
      </c>
      <c r="D300">
        <f>k_p2_0+C300*(k_p2_1+C300*k_p2_2)</f>
        <v/>
      </c>
      <c r="E300">
        <f>k_p3_0+C300*(k_p3_1+C300*(k_p3_2+C300*k_p3_3))</f>
        <v/>
      </c>
      <c r="F300">
        <f>k_p4_0+C300*(k_p4_1+C300*(k_p4_2+C300*(k_p4_3+C300*k_p4_4)))</f>
        <v/>
      </c>
      <c r="G300">
        <f>k_ea+k_eb*EXP(k_ec*C300)</f>
        <v/>
      </c>
      <c r="H300">
        <f>(k_p2_1+2*k_p2_2*C300)/k_sx</f>
        <v/>
      </c>
      <c r="I300">
        <f>(k_p3_1+C300*(2*k_p3_2+3*k_p3_3*C300))/k_sx</f>
        <v/>
      </c>
      <c r="J300">
        <f>(k_p4_1+C300*(2*k_p4_2+C300*(3*k_p4_3+4*k_p4_4*C300)))/k_sx</f>
        <v/>
      </c>
      <c r="K300">
        <f>k_eb*k_ec*EXP(k_ec*C300)/k_sx</f>
        <v/>
      </c>
      <c r="L300">
        <f>(2*k_p4_2+C300*(6*k_p4_3+12*k_p4_4*C300))/k_sx^2</f>
        <v/>
      </c>
      <c r="M300">
        <f>D300/B300</f>
        <v/>
      </c>
      <c r="N300">
        <f>E300/B300</f>
        <v/>
      </c>
      <c r="O300">
        <f>F300/B300</f>
        <v/>
      </c>
      <c r="P300">
        <f>G300/B300</f>
        <v/>
      </c>
      <c r="Q300">
        <f>CHOOSE(k_model,D300,E300,F300,G300)</f>
        <v/>
      </c>
      <c r="R300">
        <f>CHOOSE(k_model,H300,I300,J300,K300)</f>
        <v/>
      </c>
    </row>
    <row r="301">
      <c r="A301" t="n">
        <v>299</v>
      </c>
      <c r="B301">
        <f>k_lo+k_rng*A301/1000</f>
        <v/>
      </c>
      <c r="C301">
        <f>(B301-k_mx)/k_sx</f>
        <v/>
      </c>
      <c r="D301">
        <f>k_p2_0+C301*(k_p2_1+C301*k_p2_2)</f>
        <v/>
      </c>
      <c r="E301">
        <f>k_p3_0+C301*(k_p3_1+C301*(k_p3_2+C301*k_p3_3))</f>
        <v/>
      </c>
      <c r="F301">
        <f>k_p4_0+C301*(k_p4_1+C301*(k_p4_2+C301*(k_p4_3+C301*k_p4_4)))</f>
        <v/>
      </c>
      <c r="G301">
        <f>k_ea+k_eb*EXP(k_ec*C301)</f>
        <v/>
      </c>
      <c r="H301">
        <f>(k_p2_1+2*k_p2_2*C301)/k_sx</f>
        <v/>
      </c>
      <c r="I301">
        <f>(k_p3_1+C301*(2*k_p3_2+3*k_p3_3*C301))/k_sx</f>
        <v/>
      </c>
      <c r="J301">
        <f>(k_p4_1+C301*(2*k_p4_2+C301*(3*k_p4_3+4*k_p4_4*C301)))/k_sx</f>
        <v/>
      </c>
      <c r="K301">
        <f>k_eb*k_ec*EXP(k_ec*C301)/k_sx</f>
        <v/>
      </c>
      <c r="L301">
        <f>(2*k_p4_2+C301*(6*k_p4_3+12*k_p4_4*C301))/k_sx^2</f>
        <v/>
      </c>
      <c r="M301">
        <f>D301/B301</f>
        <v/>
      </c>
      <c r="N301">
        <f>E301/B301</f>
        <v/>
      </c>
      <c r="O301">
        <f>F301/B301</f>
        <v/>
      </c>
      <c r="P301">
        <f>G301/B301</f>
        <v/>
      </c>
      <c r="Q301">
        <f>CHOOSE(k_model,D301,E301,F301,G301)</f>
        <v/>
      </c>
      <c r="R301">
        <f>CHOOSE(k_model,H301,I301,J301,K301)</f>
        <v/>
      </c>
    </row>
    <row r="302">
      <c r="A302" t="n">
        <v>300</v>
      </c>
      <c r="B302">
        <f>k_lo+k_rng*A302/1000</f>
        <v/>
      </c>
      <c r="C302">
        <f>(B302-k_mx)/k_sx</f>
        <v/>
      </c>
      <c r="D302">
        <f>k_p2_0+C302*(k_p2_1+C302*k_p2_2)</f>
        <v/>
      </c>
      <c r="E302">
        <f>k_p3_0+C302*(k_p3_1+C302*(k_p3_2+C302*k_p3_3))</f>
        <v/>
      </c>
      <c r="F302">
        <f>k_p4_0+C302*(k_p4_1+C302*(k_p4_2+C302*(k_p4_3+C302*k_p4_4)))</f>
        <v/>
      </c>
      <c r="G302">
        <f>k_ea+k_eb*EXP(k_ec*C302)</f>
        <v/>
      </c>
      <c r="H302">
        <f>(k_p2_1+2*k_p2_2*C302)/k_sx</f>
        <v/>
      </c>
      <c r="I302">
        <f>(k_p3_1+C302*(2*k_p3_2+3*k_p3_3*C302))/k_sx</f>
        <v/>
      </c>
      <c r="J302">
        <f>(k_p4_1+C302*(2*k_p4_2+C302*(3*k_p4_3+4*k_p4_4*C302)))/k_sx</f>
        <v/>
      </c>
      <c r="K302">
        <f>k_eb*k_ec*EXP(k_ec*C302)/k_sx</f>
        <v/>
      </c>
      <c r="L302">
        <f>(2*k_p4_2+C302*(6*k_p4_3+12*k_p4_4*C302))/k_sx^2</f>
        <v/>
      </c>
      <c r="M302">
        <f>D302/B302</f>
        <v/>
      </c>
      <c r="N302">
        <f>E302/B302</f>
        <v/>
      </c>
      <c r="O302">
        <f>F302/B302</f>
        <v/>
      </c>
      <c r="P302">
        <f>G302/B302</f>
        <v/>
      </c>
      <c r="Q302">
        <f>CHOOSE(k_model,D302,E302,F302,G302)</f>
        <v/>
      </c>
      <c r="R302">
        <f>CHOOSE(k_model,H302,I302,J302,K302)</f>
        <v/>
      </c>
    </row>
    <row r="303">
      <c r="A303" t="n">
        <v>301</v>
      </c>
      <c r="B303">
        <f>k_lo+k_rng*A303/1000</f>
        <v/>
      </c>
      <c r="C303">
        <f>(B303-k_mx)/k_sx</f>
        <v/>
      </c>
      <c r="D303">
        <f>k_p2_0+C303*(k_p2_1+C303*k_p2_2)</f>
        <v/>
      </c>
      <c r="E303">
        <f>k_p3_0+C303*(k_p3_1+C303*(k_p3_2+C303*k_p3_3))</f>
        <v/>
      </c>
      <c r="F303">
        <f>k_p4_0+C303*(k_p4_1+C303*(k_p4_2+C303*(k_p4_3+C303*k_p4_4)))</f>
        <v/>
      </c>
      <c r="G303">
        <f>k_ea+k_eb*EXP(k_ec*C303)</f>
        <v/>
      </c>
      <c r="H303">
        <f>(k_p2_1+2*k_p2_2*C303)/k_sx</f>
        <v/>
      </c>
      <c r="I303">
        <f>(k_p3_1+C303*(2*k_p3_2+3*k_p3_3*C303))/k_sx</f>
        <v/>
      </c>
      <c r="J303">
        <f>(k_p4_1+C303*(2*k_p4_2+C303*(3*k_p4_3+4*k_p4_4*C303)))/k_sx</f>
        <v/>
      </c>
      <c r="K303">
        <f>k_eb*k_ec*EXP(k_ec*C303)/k_sx</f>
        <v/>
      </c>
      <c r="L303">
        <f>(2*k_p4_2+C303*(6*k_p4_3+12*k_p4_4*C303))/k_sx^2</f>
        <v/>
      </c>
      <c r="M303">
        <f>D303/B303</f>
        <v/>
      </c>
      <c r="N303">
        <f>E303/B303</f>
        <v/>
      </c>
      <c r="O303">
        <f>F303/B303</f>
        <v/>
      </c>
      <c r="P303">
        <f>G303/B303</f>
        <v/>
      </c>
      <c r="Q303">
        <f>CHOOSE(k_model,D303,E303,F303,G303)</f>
        <v/>
      </c>
      <c r="R303">
        <f>CHOOSE(k_model,H303,I303,J303,K303)</f>
        <v/>
      </c>
    </row>
    <row r="304">
      <c r="A304" t="n">
        <v>302</v>
      </c>
      <c r="B304">
        <f>k_lo+k_rng*A304/1000</f>
        <v/>
      </c>
      <c r="C304">
        <f>(B304-k_mx)/k_sx</f>
        <v/>
      </c>
      <c r="D304">
        <f>k_p2_0+C304*(k_p2_1+C304*k_p2_2)</f>
        <v/>
      </c>
      <c r="E304">
        <f>k_p3_0+C304*(k_p3_1+C304*(k_p3_2+C304*k_p3_3))</f>
        <v/>
      </c>
      <c r="F304">
        <f>k_p4_0+C304*(k_p4_1+C304*(k_p4_2+C304*(k_p4_3+C304*k_p4_4)))</f>
        <v/>
      </c>
      <c r="G304">
        <f>k_ea+k_eb*EXP(k_ec*C304)</f>
        <v/>
      </c>
      <c r="H304">
        <f>(k_p2_1+2*k_p2_2*C304)/k_sx</f>
        <v/>
      </c>
      <c r="I304">
        <f>(k_p3_1+C304*(2*k_p3_2+3*k_p3_3*C304))/k_sx</f>
        <v/>
      </c>
      <c r="J304">
        <f>(k_p4_1+C304*(2*k_p4_2+C304*(3*k_p4_3+4*k_p4_4*C304)))/k_sx</f>
        <v/>
      </c>
      <c r="K304">
        <f>k_eb*k_ec*EXP(k_ec*C304)/k_sx</f>
        <v/>
      </c>
      <c r="L304">
        <f>(2*k_p4_2+C304*(6*k_p4_3+12*k_p4_4*C304))/k_sx^2</f>
        <v/>
      </c>
      <c r="M304">
        <f>D304/B304</f>
        <v/>
      </c>
      <c r="N304">
        <f>E304/B304</f>
        <v/>
      </c>
      <c r="O304">
        <f>F304/B304</f>
        <v/>
      </c>
      <c r="P304">
        <f>G304/B304</f>
        <v/>
      </c>
      <c r="Q304">
        <f>CHOOSE(k_model,D304,E304,F304,G304)</f>
        <v/>
      </c>
      <c r="R304">
        <f>CHOOSE(k_model,H304,I304,J304,K304)</f>
        <v/>
      </c>
    </row>
    <row r="305">
      <c r="A305" t="n">
        <v>303</v>
      </c>
      <c r="B305">
        <f>k_lo+k_rng*A305/1000</f>
        <v/>
      </c>
      <c r="C305">
        <f>(B305-k_mx)/k_sx</f>
        <v/>
      </c>
      <c r="D305">
        <f>k_p2_0+C305*(k_p2_1+C305*k_p2_2)</f>
        <v/>
      </c>
      <c r="E305">
        <f>k_p3_0+C305*(k_p3_1+C305*(k_p3_2+C305*k_p3_3))</f>
        <v/>
      </c>
      <c r="F305">
        <f>k_p4_0+C305*(k_p4_1+C305*(k_p4_2+C305*(k_p4_3+C305*k_p4_4)))</f>
        <v/>
      </c>
      <c r="G305">
        <f>k_ea+k_eb*EXP(k_ec*C305)</f>
        <v/>
      </c>
      <c r="H305">
        <f>(k_p2_1+2*k_p2_2*C305)/k_sx</f>
        <v/>
      </c>
      <c r="I305">
        <f>(k_p3_1+C305*(2*k_p3_2+3*k_p3_3*C305))/k_sx</f>
        <v/>
      </c>
      <c r="J305">
        <f>(k_p4_1+C305*(2*k_p4_2+C305*(3*k_p4_3+4*k_p4_4*C305)))/k_sx</f>
        <v/>
      </c>
      <c r="K305">
        <f>k_eb*k_ec*EXP(k_ec*C305)/k_sx</f>
        <v/>
      </c>
      <c r="L305">
        <f>(2*k_p4_2+C305*(6*k_p4_3+12*k_p4_4*C305))/k_sx^2</f>
        <v/>
      </c>
      <c r="M305">
        <f>D305/B305</f>
        <v/>
      </c>
      <c r="N305">
        <f>E305/B305</f>
        <v/>
      </c>
      <c r="O305">
        <f>F305/B305</f>
        <v/>
      </c>
      <c r="P305">
        <f>G305/B305</f>
        <v/>
      </c>
      <c r="Q305">
        <f>CHOOSE(k_model,D305,E305,F305,G305)</f>
        <v/>
      </c>
      <c r="R305">
        <f>CHOOSE(k_model,H305,I305,J305,K305)</f>
        <v/>
      </c>
    </row>
    <row r="306">
      <c r="A306" t="n">
        <v>304</v>
      </c>
      <c r="B306">
        <f>k_lo+k_rng*A306/1000</f>
        <v/>
      </c>
      <c r="C306">
        <f>(B306-k_mx)/k_sx</f>
        <v/>
      </c>
      <c r="D306">
        <f>k_p2_0+C306*(k_p2_1+C306*k_p2_2)</f>
        <v/>
      </c>
      <c r="E306">
        <f>k_p3_0+C306*(k_p3_1+C306*(k_p3_2+C306*k_p3_3))</f>
        <v/>
      </c>
      <c r="F306">
        <f>k_p4_0+C306*(k_p4_1+C306*(k_p4_2+C306*(k_p4_3+C306*k_p4_4)))</f>
        <v/>
      </c>
      <c r="G306">
        <f>k_ea+k_eb*EXP(k_ec*C306)</f>
        <v/>
      </c>
      <c r="H306">
        <f>(k_p2_1+2*k_p2_2*C306)/k_sx</f>
        <v/>
      </c>
      <c r="I306">
        <f>(k_p3_1+C306*(2*k_p3_2+3*k_p3_3*C306))/k_sx</f>
        <v/>
      </c>
      <c r="J306">
        <f>(k_p4_1+C306*(2*k_p4_2+C306*(3*k_p4_3+4*k_p4_4*C306)))/k_sx</f>
        <v/>
      </c>
      <c r="K306">
        <f>k_eb*k_ec*EXP(k_ec*C306)/k_sx</f>
        <v/>
      </c>
      <c r="L306">
        <f>(2*k_p4_2+C306*(6*k_p4_3+12*k_p4_4*C306))/k_sx^2</f>
        <v/>
      </c>
      <c r="M306">
        <f>D306/B306</f>
        <v/>
      </c>
      <c r="N306">
        <f>E306/B306</f>
        <v/>
      </c>
      <c r="O306">
        <f>F306/B306</f>
        <v/>
      </c>
      <c r="P306">
        <f>G306/B306</f>
        <v/>
      </c>
      <c r="Q306">
        <f>CHOOSE(k_model,D306,E306,F306,G306)</f>
        <v/>
      </c>
      <c r="R306">
        <f>CHOOSE(k_model,H306,I306,J306,K306)</f>
        <v/>
      </c>
    </row>
    <row r="307">
      <c r="A307" t="n">
        <v>305</v>
      </c>
      <c r="B307">
        <f>k_lo+k_rng*A307/1000</f>
        <v/>
      </c>
      <c r="C307">
        <f>(B307-k_mx)/k_sx</f>
        <v/>
      </c>
      <c r="D307">
        <f>k_p2_0+C307*(k_p2_1+C307*k_p2_2)</f>
        <v/>
      </c>
      <c r="E307">
        <f>k_p3_0+C307*(k_p3_1+C307*(k_p3_2+C307*k_p3_3))</f>
        <v/>
      </c>
      <c r="F307">
        <f>k_p4_0+C307*(k_p4_1+C307*(k_p4_2+C307*(k_p4_3+C307*k_p4_4)))</f>
        <v/>
      </c>
      <c r="G307">
        <f>k_ea+k_eb*EXP(k_ec*C307)</f>
        <v/>
      </c>
      <c r="H307">
        <f>(k_p2_1+2*k_p2_2*C307)/k_sx</f>
        <v/>
      </c>
      <c r="I307">
        <f>(k_p3_1+C307*(2*k_p3_2+3*k_p3_3*C307))/k_sx</f>
        <v/>
      </c>
      <c r="J307">
        <f>(k_p4_1+C307*(2*k_p4_2+C307*(3*k_p4_3+4*k_p4_4*C307)))/k_sx</f>
        <v/>
      </c>
      <c r="K307">
        <f>k_eb*k_ec*EXP(k_ec*C307)/k_sx</f>
        <v/>
      </c>
      <c r="L307">
        <f>(2*k_p4_2+C307*(6*k_p4_3+12*k_p4_4*C307))/k_sx^2</f>
        <v/>
      </c>
      <c r="M307">
        <f>D307/B307</f>
        <v/>
      </c>
      <c r="N307">
        <f>E307/B307</f>
        <v/>
      </c>
      <c r="O307">
        <f>F307/B307</f>
        <v/>
      </c>
      <c r="P307">
        <f>G307/B307</f>
        <v/>
      </c>
      <c r="Q307">
        <f>CHOOSE(k_model,D307,E307,F307,G307)</f>
        <v/>
      </c>
      <c r="R307">
        <f>CHOOSE(k_model,H307,I307,J307,K307)</f>
        <v/>
      </c>
    </row>
    <row r="308">
      <c r="A308" t="n">
        <v>306</v>
      </c>
      <c r="B308">
        <f>k_lo+k_rng*A308/1000</f>
        <v/>
      </c>
      <c r="C308">
        <f>(B308-k_mx)/k_sx</f>
        <v/>
      </c>
      <c r="D308">
        <f>k_p2_0+C308*(k_p2_1+C308*k_p2_2)</f>
        <v/>
      </c>
      <c r="E308">
        <f>k_p3_0+C308*(k_p3_1+C308*(k_p3_2+C308*k_p3_3))</f>
        <v/>
      </c>
      <c r="F308">
        <f>k_p4_0+C308*(k_p4_1+C308*(k_p4_2+C308*(k_p4_3+C308*k_p4_4)))</f>
        <v/>
      </c>
      <c r="G308">
        <f>k_ea+k_eb*EXP(k_ec*C308)</f>
        <v/>
      </c>
      <c r="H308">
        <f>(k_p2_1+2*k_p2_2*C308)/k_sx</f>
        <v/>
      </c>
      <c r="I308">
        <f>(k_p3_1+C308*(2*k_p3_2+3*k_p3_3*C308))/k_sx</f>
        <v/>
      </c>
      <c r="J308">
        <f>(k_p4_1+C308*(2*k_p4_2+C308*(3*k_p4_3+4*k_p4_4*C308)))/k_sx</f>
        <v/>
      </c>
      <c r="K308">
        <f>k_eb*k_ec*EXP(k_ec*C308)/k_sx</f>
        <v/>
      </c>
      <c r="L308">
        <f>(2*k_p4_2+C308*(6*k_p4_3+12*k_p4_4*C308))/k_sx^2</f>
        <v/>
      </c>
      <c r="M308">
        <f>D308/B308</f>
        <v/>
      </c>
      <c r="N308">
        <f>E308/B308</f>
        <v/>
      </c>
      <c r="O308">
        <f>F308/B308</f>
        <v/>
      </c>
      <c r="P308">
        <f>G308/B308</f>
        <v/>
      </c>
      <c r="Q308">
        <f>CHOOSE(k_model,D308,E308,F308,G308)</f>
        <v/>
      </c>
      <c r="R308">
        <f>CHOOSE(k_model,H308,I308,J308,K308)</f>
        <v/>
      </c>
    </row>
    <row r="309">
      <c r="A309" t="n">
        <v>307</v>
      </c>
      <c r="B309">
        <f>k_lo+k_rng*A309/1000</f>
        <v/>
      </c>
      <c r="C309">
        <f>(B309-k_mx)/k_sx</f>
        <v/>
      </c>
      <c r="D309">
        <f>k_p2_0+C309*(k_p2_1+C309*k_p2_2)</f>
        <v/>
      </c>
      <c r="E309">
        <f>k_p3_0+C309*(k_p3_1+C309*(k_p3_2+C309*k_p3_3))</f>
        <v/>
      </c>
      <c r="F309">
        <f>k_p4_0+C309*(k_p4_1+C309*(k_p4_2+C309*(k_p4_3+C309*k_p4_4)))</f>
        <v/>
      </c>
      <c r="G309">
        <f>k_ea+k_eb*EXP(k_ec*C309)</f>
        <v/>
      </c>
      <c r="H309">
        <f>(k_p2_1+2*k_p2_2*C309)/k_sx</f>
        <v/>
      </c>
      <c r="I309">
        <f>(k_p3_1+C309*(2*k_p3_2+3*k_p3_3*C309))/k_sx</f>
        <v/>
      </c>
      <c r="J309">
        <f>(k_p4_1+C309*(2*k_p4_2+C309*(3*k_p4_3+4*k_p4_4*C309)))/k_sx</f>
        <v/>
      </c>
      <c r="K309">
        <f>k_eb*k_ec*EXP(k_ec*C309)/k_sx</f>
        <v/>
      </c>
      <c r="L309">
        <f>(2*k_p4_2+C309*(6*k_p4_3+12*k_p4_4*C309))/k_sx^2</f>
        <v/>
      </c>
      <c r="M309">
        <f>D309/B309</f>
        <v/>
      </c>
      <c r="N309">
        <f>E309/B309</f>
        <v/>
      </c>
      <c r="O309">
        <f>F309/B309</f>
        <v/>
      </c>
      <c r="P309">
        <f>G309/B309</f>
        <v/>
      </c>
      <c r="Q309">
        <f>CHOOSE(k_model,D309,E309,F309,G309)</f>
        <v/>
      </c>
      <c r="R309">
        <f>CHOOSE(k_model,H309,I309,J309,K309)</f>
        <v/>
      </c>
    </row>
    <row r="310">
      <c r="A310" t="n">
        <v>308</v>
      </c>
      <c r="B310">
        <f>k_lo+k_rng*A310/1000</f>
        <v/>
      </c>
      <c r="C310">
        <f>(B310-k_mx)/k_sx</f>
        <v/>
      </c>
      <c r="D310">
        <f>k_p2_0+C310*(k_p2_1+C310*k_p2_2)</f>
        <v/>
      </c>
      <c r="E310">
        <f>k_p3_0+C310*(k_p3_1+C310*(k_p3_2+C310*k_p3_3))</f>
        <v/>
      </c>
      <c r="F310">
        <f>k_p4_0+C310*(k_p4_1+C310*(k_p4_2+C310*(k_p4_3+C310*k_p4_4)))</f>
        <v/>
      </c>
      <c r="G310">
        <f>k_ea+k_eb*EXP(k_ec*C310)</f>
        <v/>
      </c>
      <c r="H310">
        <f>(k_p2_1+2*k_p2_2*C310)/k_sx</f>
        <v/>
      </c>
      <c r="I310">
        <f>(k_p3_1+C310*(2*k_p3_2+3*k_p3_3*C310))/k_sx</f>
        <v/>
      </c>
      <c r="J310">
        <f>(k_p4_1+C310*(2*k_p4_2+C310*(3*k_p4_3+4*k_p4_4*C310)))/k_sx</f>
        <v/>
      </c>
      <c r="K310">
        <f>k_eb*k_ec*EXP(k_ec*C310)/k_sx</f>
        <v/>
      </c>
      <c r="L310">
        <f>(2*k_p4_2+C310*(6*k_p4_3+12*k_p4_4*C310))/k_sx^2</f>
        <v/>
      </c>
      <c r="M310">
        <f>D310/B310</f>
        <v/>
      </c>
      <c r="N310">
        <f>E310/B310</f>
        <v/>
      </c>
      <c r="O310">
        <f>F310/B310</f>
        <v/>
      </c>
      <c r="P310">
        <f>G310/B310</f>
        <v/>
      </c>
      <c r="Q310">
        <f>CHOOSE(k_model,D310,E310,F310,G310)</f>
        <v/>
      </c>
      <c r="R310">
        <f>CHOOSE(k_model,H310,I310,J310,K310)</f>
        <v/>
      </c>
    </row>
    <row r="311">
      <c r="A311" t="n">
        <v>309</v>
      </c>
      <c r="B311">
        <f>k_lo+k_rng*A311/1000</f>
        <v/>
      </c>
      <c r="C311">
        <f>(B311-k_mx)/k_sx</f>
        <v/>
      </c>
      <c r="D311">
        <f>k_p2_0+C311*(k_p2_1+C311*k_p2_2)</f>
        <v/>
      </c>
      <c r="E311">
        <f>k_p3_0+C311*(k_p3_1+C311*(k_p3_2+C311*k_p3_3))</f>
        <v/>
      </c>
      <c r="F311">
        <f>k_p4_0+C311*(k_p4_1+C311*(k_p4_2+C311*(k_p4_3+C311*k_p4_4)))</f>
        <v/>
      </c>
      <c r="G311">
        <f>k_ea+k_eb*EXP(k_ec*C311)</f>
        <v/>
      </c>
      <c r="H311">
        <f>(k_p2_1+2*k_p2_2*C311)/k_sx</f>
        <v/>
      </c>
      <c r="I311">
        <f>(k_p3_1+C311*(2*k_p3_2+3*k_p3_3*C311))/k_sx</f>
        <v/>
      </c>
      <c r="J311">
        <f>(k_p4_1+C311*(2*k_p4_2+C311*(3*k_p4_3+4*k_p4_4*C311)))/k_sx</f>
        <v/>
      </c>
      <c r="K311">
        <f>k_eb*k_ec*EXP(k_ec*C311)/k_sx</f>
        <v/>
      </c>
      <c r="L311">
        <f>(2*k_p4_2+C311*(6*k_p4_3+12*k_p4_4*C311))/k_sx^2</f>
        <v/>
      </c>
      <c r="M311">
        <f>D311/B311</f>
        <v/>
      </c>
      <c r="N311">
        <f>E311/B311</f>
        <v/>
      </c>
      <c r="O311">
        <f>F311/B311</f>
        <v/>
      </c>
      <c r="P311">
        <f>G311/B311</f>
        <v/>
      </c>
      <c r="Q311">
        <f>CHOOSE(k_model,D311,E311,F311,G311)</f>
        <v/>
      </c>
      <c r="R311">
        <f>CHOOSE(k_model,H311,I311,J311,K311)</f>
        <v/>
      </c>
    </row>
    <row r="312">
      <c r="A312" t="n">
        <v>310</v>
      </c>
      <c r="B312">
        <f>k_lo+k_rng*A312/1000</f>
        <v/>
      </c>
      <c r="C312">
        <f>(B312-k_mx)/k_sx</f>
        <v/>
      </c>
      <c r="D312">
        <f>k_p2_0+C312*(k_p2_1+C312*k_p2_2)</f>
        <v/>
      </c>
      <c r="E312">
        <f>k_p3_0+C312*(k_p3_1+C312*(k_p3_2+C312*k_p3_3))</f>
        <v/>
      </c>
      <c r="F312">
        <f>k_p4_0+C312*(k_p4_1+C312*(k_p4_2+C312*(k_p4_3+C312*k_p4_4)))</f>
        <v/>
      </c>
      <c r="G312">
        <f>k_ea+k_eb*EXP(k_ec*C312)</f>
        <v/>
      </c>
      <c r="H312">
        <f>(k_p2_1+2*k_p2_2*C312)/k_sx</f>
        <v/>
      </c>
      <c r="I312">
        <f>(k_p3_1+C312*(2*k_p3_2+3*k_p3_3*C312))/k_sx</f>
        <v/>
      </c>
      <c r="J312">
        <f>(k_p4_1+C312*(2*k_p4_2+C312*(3*k_p4_3+4*k_p4_4*C312)))/k_sx</f>
        <v/>
      </c>
      <c r="K312">
        <f>k_eb*k_ec*EXP(k_ec*C312)/k_sx</f>
        <v/>
      </c>
      <c r="L312">
        <f>(2*k_p4_2+C312*(6*k_p4_3+12*k_p4_4*C312))/k_sx^2</f>
        <v/>
      </c>
      <c r="M312">
        <f>D312/B312</f>
        <v/>
      </c>
      <c r="N312">
        <f>E312/B312</f>
        <v/>
      </c>
      <c r="O312">
        <f>F312/B312</f>
        <v/>
      </c>
      <c r="P312">
        <f>G312/B312</f>
        <v/>
      </c>
      <c r="Q312">
        <f>CHOOSE(k_model,D312,E312,F312,G312)</f>
        <v/>
      </c>
      <c r="R312">
        <f>CHOOSE(k_model,H312,I312,J312,K312)</f>
        <v/>
      </c>
    </row>
    <row r="313">
      <c r="A313" t="n">
        <v>311</v>
      </c>
      <c r="B313">
        <f>k_lo+k_rng*A313/1000</f>
        <v/>
      </c>
      <c r="C313">
        <f>(B313-k_mx)/k_sx</f>
        <v/>
      </c>
      <c r="D313">
        <f>k_p2_0+C313*(k_p2_1+C313*k_p2_2)</f>
        <v/>
      </c>
      <c r="E313">
        <f>k_p3_0+C313*(k_p3_1+C313*(k_p3_2+C313*k_p3_3))</f>
        <v/>
      </c>
      <c r="F313">
        <f>k_p4_0+C313*(k_p4_1+C313*(k_p4_2+C313*(k_p4_3+C313*k_p4_4)))</f>
        <v/>
      </c>
      <c r="G313">
        <f>k_ea+k_eb*EXP(k_ec*C313)</f>
        <v/>
      </c>
      <c r="H313">
        <f>(k_p2_1+2*k_p2_2*C313)/k_sx</f>
        <v/>
      </c>
      <c r="I313">
        <f>(k_p3_1+C313*(2*k_p3_2+3*k_p3_3*C313))/k_sx</f>
        <v/>
      </c>
      <c r="J313">
        <f>(k_p4_1+C313*(2*k_p4_2+C313*(3*k_p4_3+4*k_p4_4*C313)))/k_sx</f>
        <v/>
      </c>
      <c r="K313">
        <f>k_eb*k_ec*EXP(k_ec*C313)/k_sx</f>
        <v/>
      </c>
      <c r="L313">
        <f>(2*k_p4_2+C313*(6*k_p4_3+12*k_p4_4*C313))/k_sx^2</f>
        <v/>
      </c>
      <c r="M313">
        <f>D313/B313</f>
        <v/>
      </c>
      <c r="N313">
        <f>E313/B313</f>
        <v/>
      </c>
      <c r="O313">
        <f>F313/B313</f>
        <v/>
      </c>
      <c r="P313">
        <f>G313/B313</f>
        <v/>
      </c>
      <c r="Q313">
        <f>CHOOSE(k_model,D313,E313,F313,G313)</f>
        <v/>
      </c>
      <c r="R313">
        <f>CHOOSE(k_model,H313,I313,J313,K313)</f>
        <v/>
      </c>
    </row>
    <row r="314">
      <c r="A314" t="n">
        <v>312</v>
      </c>
      <c r="B314">
        <f>k_lo+k_rng*A314/1000</f>
        <v/>
      </c>
      <c r="C314">
        <f>(B314-k_mx)/k_sx</f>
        <v/>
      </c>
      <c r="D314">
        <f>k_p2_0+C314*(k_p2_1+C314*k_p2_2)</f>
        <v/>
      </c>
      <c r="E314">
        <f>k_p3_0+C314*(k_p3_1+C314*(k_p3_2+C314*k_p3_3))</f>
        <v/>
      </c>
      <c r="F314">
        <f>k_p4_0+C314*(k_p4_1+C314*(k_p4_2+C314*(k_p4_3+C314*k_p4_4)))</f>
        <v/>
      </c>
      <c r="G314">
        <f>k_ea+k_eb*EXP(k_ec*C314)</f>
        <v/>
      </c>
      <c r="H314">
        <f>(k_p2_1+2*k_p2_2*C314)/k_sx</f>
        <v/>
      </c>
      <c r="I314">
        <f>(k_p3_1+C314*(2*k_p3_2+3*k_p3_3*C314))/k_sx</f>
        <v/>
      </c>
      <c r="J314">
        <f>(k_p4_1+C314*(2*k_p4_2+C314*(3*k_p4_3+4*k_p4_4*C314)))/k_sx</f>
        <v/>
      </c>
      <c r="K314">
        <f>k_eb*k_ec*EXP(k_ec*C314)/k_sx</f>
        <v/>
      </c>
      <c r="L314">
        <f>(2*k_p4_2+C314*(6*k_p4_3+12*k_p4_4*C314))/k_sx^2</f>
        <v/>
      </c>
      <c r="M314">
        <f>D314/B314</f>
        <v/>
      </c>
      <c r="N314">
        <f>E314/B314</f>
        <v/>
      </c>
      <c r="O314">
        <f>F314/B314</f>
        <v/>
      </c>
      <c r="P314">
        <f>G314/B314</f>
        <v/>
      </c>
      <c r="Q314">
        <f>CHOOSE(k_model,D314,E314,F314,G314)</f>
        <v/>
      </c>
      <c r="R314">
        <f>CHOOSE(k_model,H314,I314,J314,K314)</f>
        <v/>
      </c>
    </row>
    <row r="315">
      <c r="A315" t="n">
        <v>313</v>
      </c>
      <c r="B315">
        <f>k_lo+k_rng*A315/1000</f>
        <v/>
      </c>
      <c r="C315">
        <f>(B315-k_mx)/k_sx</f>
        <v/>
      </c>
      <c r="D315">
        <f>k_p2_0+C315*(k_p2_1+C315*k_p2_2)</f>
        <v/>
      </c>
      <c r="E315">
        <f>k_p3_0+C315*(k_p3_1+C315*(k_p3_2+C315*k_p3_3))</f>
        <v/>
      </c>
      <c r="F315">
        <f>k_p4_0+C315*(k_p4_1+C315*(k_p4_2+C315*(k_p4_3+C315*k_p4_4)))</f>
        <v/>
      </c>
      <c r="G315">
        <f>k_ea+k_eb*EXP(k_ec*C315)</f>
        <v/>
      </c>
      <c r="H315">
        <f>(k_p2_1+2*k_p2_2*C315)/k_sx</f>
        <v/>
      </c>
      <c r="I315">
        <f>(k_p3_1+C315*(2*k_p3_2+3*k_p3_3*C315))/k_sx</f>
        <v/>
      </c>
      <c r="J315">
        <f>(k_p4_1+C315*(2*k_p4_2+C315*(3*k_p4_3+4*k_p4_4*C315)))/k_sx</f>
        <v/>
      </c>
      <c r="K315">
        <f>k_eb*k_ec*EXP(k_ec*C315)/k_sx</f>
        <v/>
      </c>
      <c r="L315">
        <f>(2*k_p4_2+C315*(6*k_p4_3+12*k_p4_4*C315))/k_sx^2</f>
        <v/>
      </c>
      <c r="M315">
        <f>D315/B315</f>
        <v/>
      </c>
      <c r="N315">
        <f>E315/B315</f>
        <v/>
      </c>
      <c r="O315">
        <f>F315/B315</f>
        <v/>
      </c>
      <c r="P315">
        <f>G315/B315</f>
        <v/>
      </c>
      <c r="Q315">
        <f>CHOOSE(k_model,D315,E315,F315,G315)</f>
        <v/>
      </c>
      <c r="R315">
        <f>CHOOSE(k_model,H315,I315,J315,K315)</f>
        <v/>
      </c>
    </row>
    <row r="316">
      <c r="A316" t="n">
        <v>314</v>
      </c>
      <c r="B316">
        <f>k_lo+k_rng*A316/1000</f>
        <v/>
      </c>
      <c r="C316">
        <f>(B316-k_mx)/k_sx</f>
        <v/>
      </c>
      <c r="D316">
        <f>k_p2_0+C316*(k_p2_1+C316*k_p2_2)</f>
        <v/>
      </c>
      <c r="E316">
        <f>k_p3_0+C316*(k_p3_1+C316*(k_p3_2+C316*k_p3_3))</f>
        <v/>
      </c>
      <c r="F316">
        <f>k_p4_0+C316*(k_p4_1+C316*(k_p4_2+C316*(k_p4_3+C316*k_p4_4)))</f>
        <v/>
      </c>
      <c r="G316">
        <f>k_ea+k_eb*EXP(k_ec*C316)</f>
        <v/>
      </c>
      <c r="H316">
        <f>(k_p2_1+2*k_p2_2*C316)/k_sx</f>
        <v/>
      </c>
      <c r="I316">
        <f>(k_p3_1+C316*(2*k_p3_2+3*k_p3_3*C316))/k_sx</f>
        <v/>
      </c>
      <c r="J316">
        <f>(k_p4_1+C316*(2*k_p4_2+C316*(3*k_p4_3+4*k_p4_4*C316)))/k_sx</f>
        <v/>
      </c>
      <c r="K316">
        <f>k_eb*k_ec*EXP(k_ec*C316)/k_sx</f>
        <v/>
      </c>
      <c r="L316">
        <f>(2*k_p4_2+C316*(6*k_p4_3+12*k_p4_4*C316))/k_sx^2</f>
        <v/>
      </c>
      <c r="M316">
        <f>D316/B316</f>
        <v/>
      </c>
      <c r="N316">
        <f>E316/B316</f>
        <v/>
      </c>
      <c r="O316">
        <f>F316/B316</f>
        <v/>
      </c>
      <c r="P316">
        <f>G316/B316</f>
        <v/>
      </c>
      <c r="Q316">
        <f>CHOOSE(k_model,D316,E316,F316,G316)</f>
        <v/>
      </c>
      <c r="R316">
        <f>CHOOSE(k_model,H316,I316,J316,K316)</f>
        <v/>
      </c>
    </row>
    <row r="317">
      <c r="A317" t="n">
        <v>315</v>
      </c>
      <c r="B317">
        <f>k_lo+k_rng*A317/1000</f>
        <v/>
      </c>
      <c r="C317">
        <f>(B317-k_mx)/k_sx</f>
        <v/>
      </c>
      <c r="D317">
        <f>k_p2_0+C317*(k_p2_1+C317*k_p2_2)</f>
        <v/>
      </c>
      <c r="E317">
        <f>k_p3_0+C317*(k_p3_1+C317*(k_p3_2+C317*k_p3_3))</f>
        <v/>
      </c>
      <c r="F317">
        <f>k_p4_0+C317*(k_p4_1+C317*(k_p4_2+C317*(k_p4_3+C317*k_p4_4)))</f>
        <v/>
      </c>
      <c r="G317">
        <f>k_ea+k_eb*EXP(k_ec*C317)</f>
        <v/>
      </c>
      <c r="H317">
        <f>(k_p2_1+2*k_p2_2*C317)/k_sx</f>
        <v/>
      </c>
      <c r="I317">
        <f>(k_p3_1+C317*(2*k_p3_2+3*k_p3_3*C317))/k_sx</f>
        <v/>
      </c>
      <c r="J317">
        <f>(k_p4_1+C317*(2*k_p4_2+C317*(3*k_p4_3+4*k_p4_4*C317)))/k_sx</f>
        <v/>
      </c>
      <c r="K317">
        <f>k_eb*k_ec*EXP(k_ec*C317)/k_sx</f>
        <v/>
      </c>
      <c r="L317">
        <f>(2*k_p4_2+C317*(6*k_p4_3+12*k_p4_4*C317))/k_sx^2</f>
        <v/>
      </c>
      <c r="M317">
        <f>D317/B317</f>
        <v/>
      </c>
      <c r="N317">
        <f>E317/B317</f>
        <v/>
      </c>
      <c r="O317">
        <f>F317/B317</f>
        <v/>
      </c>
      <c r="P317">
        <f>G317/B317</f>
        <v/>
      </c>
      <c r="Q317">
        <f>CHOOSE(k_model,D317,E317,F317,G317)</f>
        <v/>
      </c>
      <c r="R317">
        <f>CHOOSE(k_model,H317,I317,J317,K317)</f>
        <v/>
      </c>
    </row>
    <row r="318">
      <c r="A318" t="n">
        <v>316</v>
      </c>
      <c r="B318">
        <f>k_lo+k_rng*A318/1000</f>
        <v/>
      </c>
      <c r="C318">
        <f>(B318-k_mx)/k_sx</f>
        <v/>
      </c>
      <c r="D318">
        <f>k_p2_0+C318*(k_p2_1+C318*k_p2_2)</f>
        <v/>
      </c>
      <c r="E318">
        <f>k_p3_0+C318*(k_p3_1+C318*(k_p3_2+C318*k_p3_3))</f>
        <v/>
      </c>
      <c r="F318">
        <f>k_p4_0+C318*(k_p4_1+C318*(k_p4_2+C318*(k_p4_3+C318*k_p4_4)))</f>
        <v/>
      </c>
      <c r="G318">
        <f>k_ea+k_eb*EXP(k_ec*C318)</f>
        <v/>
      </c>
      <c r="H318">
        <f>(k_p2_1+2*k_p2_2*C318)/k_sx</f>
        <v/>
      </c>
      <c r="I318">
        <f>(k_p3_1+C318*(2*k_p3_2+3*k_p3_3*C318))/k_sx</f>
        <v/>
      </c>
      <c r="J318">
        <f>(k_p4_1+C318*(2*k_p4_2+C318*(3*k_p4_3+4*k_p4_4*C318)))/k_sx</f>
        <v/>
      </c>
      <c r="K318">
        <f>k_eb*k_ec*EXP(k_ec*C318)/k_sx</f>
        <v/>
      </c>
      <c r="L318">
        <f>(2*k_p4_2+C318*(6*k_p4_3+12*k_p4_4*C318))/k_sx^2</f>
        <v/>
      </c>
      <c r="M318">
        <f>D318/B318</f>
        <v/>
      </c>
      <c r="N318">
        <f>E318/B318</f>
        <v/>
      </c>
      <c r="O318">
        <f>F318/B318</f>
        <v/>
      </c>
      <c r="P318">
        <f>G318/B318</f>
        <v/>
      </c>
      <c r="Q318">
        <f>CHOOSE(k_model,D318,E318,F318,G318)</f>
        <v/>
      </c>
      <c r="R318">
        <f>CHOOSE(k_model,H318,I318,J318,K318)</f>
        <v/>
      </c>
    </row>
    <row r="319">
      <c r="A319" t="n">
        <v>317</v>
      </c>
      <c r="B319">
        <f>k_lo+k_rng*A319/1000</f>
        <v/>
      </c>
      <c r="C319">
        <f>(B319-k_mx)/k_sx</f>
        <v/>
      </c>
      <c r="D319">
        <f>k_p2_0+C319*(k_p2_1+C319*k_p2_2)</f>
        <v/>
      </c>
      <c r="E319">
        <f>k_p3_0+C319*(k_p3_1+C319*(k_p3_2+C319*k_p3_3))</f>
        <v/>
      </c>
      <c r="F319">
        <f>k_p4_0+C319*(k_p4_1+C319*(k_p4_2+C319*(k_p4_3+C319*k_p4_4)))</f>
        <v/>
      </c>
      <c r="G319">
        <f>k_ea+k_eb*EXP(k_ec*C319)</f>
        <v/>
      </c>
      <c r="H319">
        <f>(k_p2_1+2*k_p2_2*C319)/k_sx</f>
        <v/>
      </c>
      <c r="I319">
        <f>(k_p3_1+C319*(2*k_p3_2+3*k_p3_3*C319))/k_sx</f>
        <v/>
      </c>
      <c r="J319">
        <f>(k_p4_1+C319*(2*k_p4_2+C319*(3*k_p4_3+4*k_p4_4*C319)))/k_sx</f>
        <v/>
      </c>
      <c r="K319">
        <f>k_eb*k_ec*EXP(k_ec*C319)/k_sx</f>
        <v/>
      </c>
      <c r="L319">
        <f>(2*k_p4_2+C319*(6*k_p4_3+12*k_p4_4*C319))/k_sx^2</f>
        <v/>
      </c>
      <c r="M319">
        <f>D319/B319</f>
        <v/>
      </c>
      <c r="N319">
        <f>E319/B319</f>
        <v/>
      </c>
      <c r="O319">
        <f>F319/B319</f>
        <v/>
      </c>
      <c r="P319">
        <f>G319/B319</f>
        <v/>
      </c>
      <c r="Q319">
        <f>CHOOSE(k_model,D319,E319,F319,G319)</f>
        <v/>
      </c>
      <c r="R319">
        <f>CHOOSE(k_model,H319,I319,J319,K319)</f>
        <v/>
      </c>
    </row>
    <row r="320">
      <c r="A320" t="n">
        <v>318</v>
      </c>
      <c r="B320">
        <f>k_lo+k_rng*A320/1000</f>
        <v/>
      </c>
      <c r="C320">
        <f>(B320-k_mx)/k_sx</f>
        <v/>
      </c>
      <c r="D320">
        <f>k_p2_0+C320*(k_p2_1+C320*k_p2_2)</f>
        <v/>
      </c>
      <c r="E320">
        <f>k_p3_0+C320*(k_p3_1+C320*(k_p3_2+C320*k_p3_3))</f>
        <v/>
      </c>
      <c r="F320">
        <f>k_p4_0+C320*(k_p4_1+C320*(k_p4_2+C320*(k_p4_3+C320*k_p4_4)))</f>
        <v/>
      </c>
      <c r="G320">
        <f>k_ea+k_eb*EXP(k_ec*C320)</f>
        <v/>
      </c>
      <c r="H320">
        <f>(k_p2_1+2*k_p2_2*C320)/k_sx</f>
        <v/>
      </c>
      <c r="I320">
        <f>(k_p3_1+C320*(2*k_p3_2+3*k_p3_3*C320))/k_sx</f>
        <v/>
      </c>
      <c r="J320">
        <f>(k_p4_1+C320*(2*k_p4_2+C320*(3*k_p4_3+4*k_p4_4*C320)))/k_sx</f>
        <v/>
      </c>
      <c r="K320">
        <f>k_eb*k_ec*EXP(k_ec*C320)/k_sx</f>
        <v/>
      </c>
      <c r="L320">
        <f>(2*k_p4_2+C320*(6*k_p4_3+12*k_p4_4*C320))/k_sx^2</f>
        <v/>
      </c>
      <c r="M320">
        <f>D320/B320</f>
        <v/>
      </c>
      <c r="N320">
        <f>E320/B320</f>
        <v/>
      </c>
      <c r="O320">
        <f>F320/B320</f>
        <v/>
      </c>
      <c r="P320">
        <f>G320/B320</f>
        <v/>
      </c>
      <c r="Q320">
        <f>CHOOSE(k_model,D320,E320,F320,G320)</f>
        <v/>
      </c>
      <c r="R320">
        <f>CHOOSE(k_model,H320,I320,J320,K320)</f>
        <v/>
      </c>
    </row>
    <row r="321">
      <c r="A321" t="n">
        <v>319</v>
      </c>
      <c r="B321">
        <f>k_lo+k_rng*A321/1000</f>
        <v/>
      </c>
      <c r="C321">
        <f>(B321-k_mx)/k_sx</f>
        <v/>
      </c>
      <c r="D321">
        <f>k_p2_0+C321*(k_p2_1+C321*k_p2_2)</f>
        <v/>
      </c>
      <c r="E321">
        <f>k_p3_0+C321*(k_p3_1+C321*(k_p3_2+C321*k_p3_3))</f>
        <v/>
      </c>
      <c r="F321">
        <f>k_p4_0+C321*(k_p4_1+C321*(k_p4_2+C321*(k_p4_3+C321*k_p4_4)))</f>
        <v/>
      </c>
      <c r="G321">
        <f>k_ea+k_eb*EXP(k_ec*C321)</f>
        <v/>
      </c>
      <c r="H321">
        <f>(k_p2_1+2*k_p2_2*C321)/k_sx</f>
        <v/>
      </c>
      <c r="I321">
        <f>(k_p3_1+C321*(2*k_p3_2+3*k_p3_3*C321))/k_sx</f>
        <v/>
      </c>
      <c r="J321">
        <f>(k_p4_1+C321*(2*k_p4_2+C321*(3*k_p4_3+4*k_p4_4*C321)))/k_sx</f>
        <v/>
      </c>
      <c r="K321">
        <f>k_eb*k_ec*EXP(k_ec*C321)/k_sx</f>
        <v/>
      </c>
      <c r="L321">
        <f>(2*k_p4_2+C321*(6*k_p4_3+12*k_p4_4*C321))/k_sx^2</f>
        <v/>
      </c>
      <c r="M321">
        <f>D321/B321</f>
        <v/>
      </c>
      <c r="N321">
        <f>E321/B321</f>
        <v/>
      </c>
      <c r="O321">
        <f>F321/B321</f>
        <v/>
      </c>
      <c r="P321">
        <f>G321/B321</f>
        <v/>
      </c>
      <c r="Q321">
        <f>CHOOSE(k_model,D321,E321,F321,G321)</f>
        <v/>
      </c>
      <c r="R321">
        <f>CHOOSE(k_model,H321,I321,J321,K321)</f>
        <v/>
      </c>
    </row>
    <row r="322">
      <c r="A322" t="n">
        <v>320</v>
      </c>
      <c r="B322">
        <f>k_lo+k_rng*A322/1000</f>
        <v/>
      </c>
      <c r="C322">
        <f>(B322-k_mx)/k_sx</f>
        <v/>
      </c>
      <c r="D322">
        <f>k_p2_0+C322*(k_p2_1+C322*k_p2_2)</f>
        <v/>
      </c>
      <c r="E322">
        <f>k_p3_0+C322*(k_p3_1+C322*(k_p3_2+C322*k_p3_3))</f>
        <v/>
      </c>
      <c r="F322">
        <f>k_p4_0+C322*(k_p4_1+C322*(k_p4_2+C322*(k_p4_3+C322*k_p4_4)))</f>
        <v/>
      </c>
      <c r="G322">
        <f>k_ea+k_eb*EXP(k_ec*C322)</f>
        <v/>
      </c>
      <c r="H322">
        <f>(k_p2_1+2*k_p2_2*C322)/k_sx</f>
        <v/>
      </c>
      <c r="I322">
        <f>(k_p3_1+C322*(2*k_p3_2+3*k_p3_3*C322))/k_sx</f>
        <v/>
      </c>
      <c r="J322">
        <f>(k_p4_1+C322*(2*k_p4_2+C322*(3*k_p4_3+4*k_p4_4*C322)))/k_sx</f>
        <v/>
      </c>
      <c r="K322">
        <f>k_eb*k_ec*EXP(k_ec*C322)/k_sx</f>
        <v/>
      </c>
      <c r="L322">
        <f>(2*k_p4_2+C322*(6*k_p4_3+12*k_p4_4*C322))/k_sx^2</f>
        <v/>
      </c>
      <c r="M322">
        <f>D322/B322</f>
        <v/>
      </c>
      <c r="N322">
        <f>E322/B322</f>
        <v/>
      </c>
      <c r="O322">
        <f>F322/B322</f>
        <v/>
      </c>
      <c r="P322">
        <f>G322/B322</f>
        <v/>
      </c>
      <c r="Q322">
        <f>CHOOSE(k_model,D322,E322,F322,G322)</f>
        <v/>
      </c>
      <c r="R322">
        <f>CHOOSE(k_model,H322,I322,J322,K322)</f>
        <v/>
      </c>
    </row>
    <row r="323">
      <c r="A323" t="n">
        <v>321</v>
      </c>
      <c r="B323">
        <f>k_lo+k_rng*A323/1000</f>
        <v/>
      </c>
      <c r="C323">
        <f>(B323-k_mx)/k_sx</f>
        <v/>
      </c>
      <c r="D323">
        <f>k_p2_0+C323*(k_p2_1+C323*k_p2_2)</f>
        <v/>
      </c>
      <c r="E323">
        <f>k_p3_0+C323*(k_p3_1+C323*(k_p3_2+C323*k_p3_3))</f>
        <v/>
      </c>
      <c r="F323">
        <f>k_p4_0+C323*(k_p4_1+C323*(k_p4_2+C323*(k_p4_3+C323*k_p4_4)))</f>
        <v/>
      </c>
      <c r="G323">
        <f>k_ea+k_eb*EXP(k_ec*C323)</f>
        <v/>
      </c>
      <c r="H323">
        <f>(k_p2_1+2*k_p2_2*C323)/k_sx</f>
        <v/>
      </c>
      <c r="I323">
        <f>(k_p3_1+C323*(2*k_p3_2+3*k_p3_3*C323))/k_sx</f>
        <v/>
      </c>
      <c r="J323">
        <f>(k_p4_1+C323*(2*k_p4_2+C323*(3*k_p4_3+4*k_p4_4*C323)))/k_sx</f>
        <v/>
      </c>
      <c r="K323">
        <f>k_eb*k_ec*EXP(k_ec*C323)/k_sx</f>
        <v/>
      </c>
      <c r="L323">
        <f>(2*k_p4_2+C323*(6*k_p4_3+12*k_p4_4*C323))/k_sx^2</f>
        <v/>
      </c>
      <c r="M323">
        <f>D323/B323</f>
        <v/>
      </c>
      <c r="N323">
        <f>E323/B323</f>
        <v/>
      </c>
      <c r="O323">
        <f>F323/B323</f>
        <v/>
      </c>
      <c r="P323">
        <f>G323/B323</f>
        <v/>
      </c>
      <c r="Q323">
        <f>CHOOSE(k_model,D323,E323,F323,G323)</f>
        <v/>
      </c>
      <c r="R323">
        <f>CHOOSE(k_model,H323,I323,J323,K323)</f>
        <v/>
      </c>
    </row>
    <row r="324">
      <c r="A324" t="n">
        <v>322</v>
      </c>
      <c r="B324">
        <f>k_lo+k_rng*A324/1000</f>
        <v/>
      </c>
      <c r="C324">
        <f>(B324-k_mx)/k_sx</f>
        <v/>
      </c>
      <c r="D324">
        <f>k_p2_0+C324*(k_p2_1+C324*k_p2_2)</f>
        <v/>
      </c>
      <c r="E324">
        <f>k_p3_0+C324*(k_p3_1+C324*(k_p3_2+C324*k_p3_3))</f>
        <v/>
      </c>
      <c r="F324">
        <f>k_p4_0+C324*(k_p4_1+C324*(k_p4_2+C324*(k_p4_3+C324*k_p4_4)))</f>
        <v/>
      </c>
      <c r="G324">
        <f>k_ea+k_eb*EXP(k_ec*C324)</f>
        <v/>
      </c>
      <c r="H324">
        <f>(k_p2_1+2*k_p2_2*C324)/k_sx</f>
        <v/>
      </c>
      <c r="I324">
        <f>(k_p3_1+C324*(2*k_p3_2+3*k_p3_3*C324))/k_sx</f>
        <v/>
      </c>
      <c r="J324">
        <f>(k_p4_1+C324*(2*k_p4_2+C324*(3*k_p4_3+4*k_p4_4*C324)))/k_sx</f>
        <v/>
      </c>
      <c r="K324">
        <f>k_eb*k_ec*EXP(k_ec*C324)/k_sx</f>
        <v/>
      </c>
      <c r="L324">
        <f>(2*k_p4_2+C324*(6*k_p4_3+12*k_p4_4*C324))/k_sx^2</f>
        <v/>
      </c>
      <c r="M324">
        <f>D324/B324</f>
        <v/>
      </c>
      <c r="N324">
        <f>E324/B324</f>
        <v/>
      </c>
      <c r="O324">
        <f>F324/B324</f>
        <v/>
      </c>
      <c r="P324">
        <f>G324/B324</f>
        <v/>
      </c>
      <c r="Q324">
        <f>CHOOSE(k_model,D324,E324,F324,G324)</f>
        <v/>
      </c>
      <c r="R324">
        <f>CHOOSE(k_model,H324,I324,J324,K324)</f>
        <v/>
      </c>
    </row>
    <row r="325">
      <c r="A325" t="n">
        <v>323</v>
      </c>
      <c r="B325">
        <f>k_lo+k_rng*A325/1000</f>
        <v/>
      </c>
      <c r="C325">
        <f>(B325-k_mx)/k_sx</f>
        <v/>
      </c>
      <c r="D325">
        <f>k_p2_0+C325*(k_p2_1+C325*k_p2_2)</f>
        <v/>
      </c>
      <c r="E325">
        <f>k_p3_0+C325*(k_p3_1+C325*(k_p3_2+C325*k_p3_3))</f>
        <v/>
      </c>
      <c r="F325">
        <f>k_p4_0+C325*(k_p4_1+C325*(k_p4_2+C325*(k_p4_3+C325*k_p4_4)))</f>
        <v/>
      </c>
      <c r="G325">
        <f>k_ea+k_eb*EXP(k_ec*C325)</f>
        <v/>
      </c>
      <c r="H325">
        <f>(k_p2_1+2*k_p2_2*C325)/k_sx</f>
        <v/>
      </c>
      <c r="I325">
        <f>(k_p3_1+C325*(2*k_p3_2+3*k_p3_3*C325))/k_sx</f>
        <v/>
      </c>
      <c r="J325">
        <f>(k_p4_1+C325*(2*k_p4_2+C325*(3*k_p4_3+4*k_p4_4*C325)))/k_sx</f>
        <v/>
      </c>
      <c r="K325">
        <f>k_eb*k_ec*EXP(k_ec*C325)/k_sx</f>
        <v/>
      </c>
      <c r="L325">
        <f>(2*k_p4_2+C325*(6*k_p4_3+12*k_p4_4*C325))/k_sx^2</f>
        <v/>
      </c>
      <c r="M325">
        <f>D325/B325</f>
        <v/>
      </c>
      <c r="N325">
        <f>E325/B325</f>
        <v/>
      </c>
      <c r="O325">
        <f>F325/B325</f>
        <v/>
      </c>
      <c r="P325">
        <f>G325/B325</f>
        <v/>
      </c>
      <c r="Q325">
        <f>CHOOSE(k_model,D325,E325,F325,G325)</f>
        <v/>
      </c>
      <c r="R325">
        <f>CHOOSE(k_model,H325,I325,J325,K325)</f>
        <v/>
      </c>
    </row>
    <row r="326">
      <c r="A326" t="n">
        <v>324</v>
      </c>
      <c r="B326">
        <f>k_lo+k_rng*A326/1000</f>
        <v/>
      </c>
      <c r="C326">
        <f>(B326-k_mx)/k_sx</f>
        <v/>
      </c>
      <c r="D326">
        <f>k_p2_0+C326*(k_p2_1+C326*k_p2_2)</f>
        <v/>
      </c>
      <c r="E326">
        <f>k_p3_0+C326*(k_p3_1+C326*(k_p3_2+C326*k_p3_3))</f>
        <v/>
      </c>
      <c r="F326">
        <f>k_p4_0+C326*(k_p4_1+C326*(k_p4_2+C326*(k_p4_3+C326*k_p4_4)))</f>
        <v/>
      </c>
      <c r="G326">
        <f>k_ea+k_eb*EXP(k_ec*C326)</f>
        <v/>
      </c>
      <c r="H326">
        <f>(k_p2_1+2*k_p2_2*C326)/k_sx</f>
        <v/>
      </c>
      <c r="I326">
        <f>(k_p3_1+C326*(2*k_p3_2+3*k_p3_3*C326))/k_sx</f>
        <v/>
      </c>
      <c r="J326">
        <f>(k_p4_1+C326*(2*k_p4_2+C326*(3*k_p4_3+4*k_p4_4*C326)))/k_sx</f>
        <v/>
      </c>
      <c r="K326">
        <f>k_eb*k_ec*EXP(k_ec*C326)/k_sx</f>
        <v/>
      </c>
      <c r="L326">
        <f>(2*k_p4_2+C326*(6*k_p4_3+12*k_p4_4*C326))/k_sx^2</f>
        <v/>
      </c>
      <c r="M326">
        <f>D326/B326</f>
        <v/>
      </c>
      <c r="N326">
        <f>E326/B326</f>
        <v/>
      </c>
      <c r="O326">
        <f>F326/B326</f>
        <v/>
      </c>
      <c r="P326">
        <f>G326/B326</f>
        <v/>
      </c>
      <c r="Q326">
        <f>CHOOSE(k_model,D326,E326,F326,G326)</f>
        <v/>
      </c>
      <c r="R326">
        <f>CHOOSE(k_model,H326,I326,J326,K326)</f>
        <v/>
      </c>
    </row>
    <row r="327">
      <c r="A327" t="n">
        <v>325</v>
      </c>
      <c r="B327">
        <f>k_lo+k_rng*A327/1000</f>
        <v/>
      </c>
      <c r="C327">
        <f>(B327-k_mx)/k_sx</f>
        <v/>
      </c>
      <c r="D327">
        <f>k_p2_0+C327*(k_p2_1+C327*k_p2_2)</f>
        <v/>
      </c>
      <c r="E327">
        <f>k_p3_0+C327*(k_p3_1+C327*(k_p3_2+C327*k_p3_3))</f>
        <v/>
      </c>
      <c r="F327">
        <f>k_p4_0+C327*(k_p4_1+C327*(k_p4_2+C327*(k_p4_3+C327*k_p4_4)))</f>
        <v/>
      </c>
      <c r="G327">
        <f>k_ea+k_eb*EXP(k_ec*C327)</f>
        <v/>
      </c>
      <c r="H327">
        <f>(k_p2_1+2*k_p2_2*C327)/k_sx</f>
        <v/>
      </c>
      <c r="I327">
        <f>(k_p3_1+C327*(2*k_p3_2+3*k_p3_3*C327))/k_sx</f>
        <v/>
      </c>
      <c r="J327">
        <f>(k_p4_1+C327*(2*k_p4_2+C327*(3*k_p4_3+4*k_p4_4*C327)))/k_sx</f>
        <v/>
      </c>
      <c r="K327">
        <f>k_eb*k_ec*EXP(k_ec*C327)/k_sx</f>
        <v/>
      </c>
      <c r="L327">
        <f>(2*k_p4_2+C327*(6*k_p4_3+12*k_p4_4*C327))/k_sx^2</f>
        <v/>
      </c>
      <c r="M327">
        <f>D327/B327</f>
        <v/>
      </c>
      <c r="N327">
        <f>E327/B327</f>
        <v/>
      </c>
      <c r="O327">
        <f>F327/B327</f>
        <v/>
      </c>
      <c r="P327">
        <f>G327/B327</f>
        <v/>
      </c>
      <c r="Q327">
        <f>CHOOSE(k_model,D327,E327,F327,G327)</f>
        <v/>
      </c>
      <c r="R327">
        <f>CHOOSE(k_model,H327,I327,J327,K327)</f>
        <v/>
      </c>
    </row>
    <row r="328">
      <c r="A328" t="n">
        <v>326</v>
      </c>
      <c r="B328">
        <f>k_lo+k_rng*A328/1000</f>
        <v/>
      </c>
      <c r="C328">
        <f>(B328-k_mx)/k_sx</f>
        <v/>
      </c>
      <c r="D328">
        <f>k_p2_0+C328*(k_p2_1+C328*k_p2_2)</f>
        <v/>
      </c>
      <c r="E328">
        <f>k_p3_0+C328*(k_p3_1+C328*(k_p3_2+C328*k_p3_3))</f>
        <v/>
      </c>
      <c r="F328">
        <f>k_p4_0+C328*(k_p4_1+C328*(k_p4_2+C328*(k_p4_3+C328*k_p4_4)))</f>
        <v/>
      </c>
      <c r="G328">
        <f>k_ea+k_eb*EXP(k_ec*C328)</f>
        <v/>
      </c>
      <c r="H328">
        <f>(k_p2_1+2*k_p2_2*C328)/k_sx</f>
        <v/>
      </c>
      <c r="I328">
        <f>(k_p3_1+C328*(2*k_p3_2+3*k_p3_3*C328))/k_sx</f>
        <v/>
      </c>
      <c r="J328">
        <f>(k_p4_1+C328*(2*k_p4_2+C328*(3*k_p4_3+4*k_p4_4*C328)))/k_sx</f>
        <v/>
      </c>
      <c r="K328">
        <f>k_eb*k_ec*EXP(k_ec*C328)/k_sx</f>
        <v/>
      </c>
      <c r="L328">
        <f>(2*k_p4_2+C328*(6*k_p4_3+12*k_p4_4*C328))/k_sx^2</f>
        <v/>
      </c>
      <c r="M328">
        <f>D328/B328</f>
        <v/>
      </c>
      <c r="N328">
        <f>E328/B328</f>
        <v/>
      </c>
      <c r="O328">
        <f>F328/B328</f>
        <v/>
      </c>
      <c r="P328">
        <f>G328/B328</f>
        <v/>
      </c>
      <c r="Q328">
        <f>CHOOSE(k_model,D328,E328,F328,G328)</f>
        <v/>
      </c>
      <c r="R328">
        <f>CHOOSE(k_model,H328,I328,J328,K328)</f>
        <v/>
      </c>
    </row>
    <row r="329">
      <c r="A329" t="n">
        <v>327</v>
      </c>
      <c r="B329">
        <f>k_lo+k_rng*A329/1000</f>
        <v/>
      </c>
      <c r="C329">
        <f>(B329-k_mx)/k_sx</f>
        <v/>
      </c>
      <c r="D329">
        <f>k_p2_0+C329*(k_p2_1+C329*k_p2_2)</f>
        <v/>
      </c>
      <c r="E329">
        <f>k_p3_0+C329*(k_p3_1+C329*(k_p3_2+C329*k_p3_3))</f>
        <v/>
      </c>
      <c r="F329">
        <f>k_p4_0+C329*(k_p4_1+C329*(k_p4_2+C329*(k_p4_3+C329*k_p4_4)))</f>
        <v/>
      </c>
      <c r="G329">
        <f>k_ea+k_eb*EXP(k_ec*C329)</f>
        <v/>
      </c>
      <c r="H329">
        <f>(k_p2_1+2*k_p2_2*C329)/k_sx</f>
        <v/>
      </c>
      <c r="I329">
        <f>(k_p3_1+C329*(2*k_p3_2+3*k_p3_3*C329))/k_sx</f>
        <v/>
      </c>
      <c r="J329">
        <f>(k_p4_1+C329*(2*k_p4_2+C329*(3*k_p4_3+4*k_p4_4*C329)))/k_sx</f>
        <v/>
      </c>
      <c r="K329">
        <f>k_eb*k_ec*EXP(k_ec*C329)/k_sx</f>
        <v/>
      </c>
      <c r="L329">
        <f>(2*k_p4_2+C329*(6*k_p4_3+12*k_p4_4*C329))/k_sx^2</f>
        <v/>
      </c>
      <c r="M329">
        <f>D329/B329</f>
        <v/>
      </c>
      <c r="N329">
        <f>E329/B329</f>
        <v/>
      </c>
      <c r="O329">
        <f>F329/B329</f>
        <v/>
      </c>
      <c r="P329">
        <f>G329/B329</f>
        <v/>
      </c>
      <c r="Q329">
        <f>CHOOSE(k_model,D329,E329,F329,G329)</f>
        <v/>
      </c>
      <c r="R329">
        <f>CHOOSE(k_model,H329,I329,J329,K329)</f>
        <v/>
      </c>
    </row>
    <row r="330">
      <c r="A330" t="n">
        <v>328</v>
      </c>
      <c r="B330">
        <f>k_lo+k_rng*A330/1000</f>
        <v/>
      </c>
      <c r="C330">
        <f>(B330-k_mx)/k_sx</f>
        <v/>
      </c>
      <c r="D330">
        <f>k_p2_0+C330*(k_p2_1+C330*k_p2_2)</f>
        <v/>
      </c>
      <c r="E330">
        <f>k_p3_0+C330*(k_p3_1+C330*(k_p3_2+C330*k_p3_3))</f>
        <v/>
      </c>
      <c r="F330">
        <f>k_p4_0+C330*(k_p4_1+C330*(k_p4_2+C330*(k_p4_3+C330*k_p4_4)))</f>
        <v/>
      </c>
      <c r="G330">
        <f>k_ea+k_eb*EXP(k_ec*C330)</f>
        <v/>
      </c>
      <c r="H330">
        <f>(k_p2_1+2*k_p2_2*C330)/k_sx</f>
        <v/>
      </c>
      <c r="I330">
        <f>(k_p3_1+C330*(2*k_p3_2+3*k_p3_3*C330))/k_sx</f>
        <v/>
      </c>
      <c r="J330">
        <f>(k_p4_1+C330*(2*k_p4_2+C330*(3*k_p4_3+4*k_p4_4*C330)))/k_sx</f>
        <v/>
      </c>
      <c r="K330">
        <f>k_eb*k_ec*EXP(k_ec*C330)/k_sx</f>
        <v/>
      </c>
      <c r="L330">
        <f>(2*k_p4_2+C330*(6*k_p4_3+12*k_p4_4*C330))/k_sx^2</f>
        <v/>
      </c>
      <c r="M330">
        <f>D330/B330</f>
        <v/>
      </c>
      <c r="N330">
        <f>E330/B330</f>
        <v/>
      </c>
      <c r="O330">
        <f>F330/B330</f>
        <v/>
      </c>
      <c r="P330">
        <f>G330/B330</f>
        <v/>
      </c>
      <c r="Q330">
        <f>CHOOSE(k_model,D330,E330,F330,G330)</f>
        <v/>
      </c>
      <c r="R330">
        <f>CHOOSE(k_model,H330,I330,J330,K330)</f>
        <v/>
      </c>
    </row>
    <row r="331">
      <c r="A331" t="n">
        <v>329</v>
      </c>
      <c r="B331">
        <f>k_lo+k_rng*A331/1000</f>
        <v/>
      </c>
      <c r="C331">
        <f>(B331-k_mx)/k_sx</f>
        <v/>
      </c>
      <c r="D331">
        <f>k_p2_0+C331*(k_p2_1+C331*k_p2_2)</f>
        <v/>
      </c>
      <c r="E331">
        <f>k_p3_0+C331*(k_p3_1+C331*(k_p3_2+C331*k_p3_3))</f>
        <v/>
      </c>
      <c r="F331">
        <f>k_p4_0+C331*(k_p4_1+C331*(k_p4_2+C331*(k_p4_3+C331*k_p4_4)))</f>
        <v/>
      </c>
      <c r="G331">
        <f>k_ea+k_eb*EXP(k_ec*C331)</f>
        <v/>
      </c>
      <c r="H331">
        <f>(k_p2_1+2*k_p2_2*C331)/k_sx</f>
        <v/>
      </c>
      <c r="I331">
        <f>(k_p3_1+C331*(2*k_p3_2+3*k_p3_3*C331))/k_sx</f>
        <v/>
      </c>
      <c r="J331">
        <f>(k_p4_1+C331*(2*k_p4_2+C331*(3*k_p4_3+4*k_p4_4*C331)))/k_sx</f>
        <v/>
      </c>
      <c r="K331">
        <f>k_eb*k_ec*EXP(k_ec*C331)/k_sx</f>
        <v/>
      </c>
      <c r="L331">
        <f>(2*k_p4_2+C331*(6*k_p4_3+12*k_p4_4*C331))/k_sx^2</f>
        <v/>
      </c>
      <c r="M331">
        <f>D331/B331</f>
        <v/>
      </c>
      <c r="N331">
        <f>E331/B331</f>
        <v/>
      </c>
      <c r="O331">
        <f>F331/B331</f>
        <v/>
      </c>
      <c r="P331">
        <f>G331/B331</f>
        <v/>
      </c>
      <c r="Q331">
        <f>CHOOSE(k_model,D331,E331,F331,G331)</f>
        <v/>
      </c>
      <c r="R331">
        <f>CHOOSE(k_model,H331,I331,J331,K331)</f>
        <v/>
      </c>
    </row>
    <row r="332">
      <c r="A332" t="n">
        <v>330</v>
      </c>
      <c r="B332">
        <f>k_lo+k_rng*A332/1000</f>
        <v/>
      </c>
      <c r="C332">
        <f>(B332-k_mx)/k_sx</f>
        <v/>
      </c>
      <c r="D332">
        <f>k_p2_0+C332*(k_p2_1+C332*k_p2_2)</f>
        <v/>
      </c>
      <c r="E332">
        <f>k_p3_0+C332*(k_p3_1+C332*(k_p3_2+C332*k_p3_3))</f>
        <v/>
      </c>
      <c r="F332">
        <f>k_p4_0+C332*(k_p4_1+C332*(k_p4_2+C332*(k_p4_3+C332*k_p4_4)))</f>
        <v/>
      </c>
      <c r="G332">
        <f>k_ea+k_eb*EXP(k_ec*C332)</f>
        <v/>
      </c>
      <c r="H332">
        <f>(k_p2_1+2*k_p2_2*C332)/k_sx</f>
        <v/>
      </c>
      <c r="I332">
        <f>(k_p3_1+C332*(2*k_p3_2+3*k_p3_3*C332))/k_sx</f>
        <v/>
      </c>
      <c r="J332">
        <f>(k_p4_1+C332*(2*k_p4_2+C332*(3*k_p4_3+4*k_p4_4*C332)))/k_sx</f>
        <v/>
      </c>
      <c r="K332">
        <f>k_eb*k_ec*EXP(k_ec*C332)/k_sx</f>
        <v/>
      </c>
      <c r="L332">
        <f>(2*k_p4_2+C332*(6*k_p4_3+12*k_p4_4*C332))/k_sx^2</f>
        <v/>
      </c>
      <c r="M332">
        <f>D332/B332</f>
        <v/>
      </c>
      <c r="N332">
        <f>E332/B332</f>
        <v/>
      </c>
      <c r="O332">
        <f>F332/B332</f>
        <v/>
      </c>
      <c r="P332">
        <f>G332/B332</f>
        <v/>
      </c>
      <c r="Q332">
        <f>CHOOSE(k_model,D332,E332,F332,G332)</f>
        <v/>
      </c>
      <c r="R332">
        <f>CHOOSE(k_model,H332,I332,J332,K332)</f>
        <v/>
      </c>
    </row>
    <row r="333">
      <c r="A333" t="n">
        <v>331</v>
      </c>
      <c r="B333">
        <f>k_lo+k_rng*A333/1000</f>
        <v/>
      </c>
      <c r="C333">
        <f>(B333-k_mx)/k_sx</f>
        <v/>
      </c>
      <c r="D333">
        <f>k_p2_0+C333*(k_p2_1+C333*k_p2_2)</f>
        <v/>
      </c>
      <c r="E333">
        <f>k_p3_0+C333*(k_p3_1+C333*(k_p3_2+C333*k_p3_3))</f>
        <v/>
      </c>
      <c r="F333">
        <f>k_p4_0+C333*(k_p4_1+C333*(k_p4_2+C333*(k_p4_3+C333*k_p4_4)))</f>
        <v/>
      </c>
      <c r="G333">
        <f>k_ea+k_eb*EXP(k_ec*C333)</f>
        <v/>
      </c>
      <c r="H333">
        <f>(k_p2_1+2*k_p2_2*C333)/k_sx</f>
        <v/>
      </c>
      <c r="I333">
        <f>(k_p3_1+C333*(2*k_p3_2+3*k_p3_3*C333))/k_sx</f>
        <v/>
      </c>
      <c r="J333">
        <f>(k_p4_1+C333*(2*k_p4_2+C333*(3*k_p4_3+4*k_p4_4*C333)))/k_sx</f>
        <v/>
      </c>
      <c r="K333">
        <f>k_eb*k_ec*EXP(k_ec*C333)/k_sx</f>
        <v/>
      </c>
      <c r="L333">
        <f>(2*k_p4_2+C333*(6*k_p4_3+12*k_p4_4*C333))/k_sx^2</f>
        <v/>
      </c>
      <c r="M333">
        <f>D333/B333</f>
        <v/>
      </c>
      <c r="N333">
        <f>E333/B333</f>
        <v/>
      </c>
      <c r="O333">
        <f>F333/B333</f>
        <v/>
      </c>
      <c r="P333">
        <f>G333/B333</f>
        <v/>
      </c>
      <c r="Q333">
        <f>CHOOSE(k_model,D333,E333,F333,G333)</f>
        <v/>
      </c>
      <c r="R333">
        <f>CHOOSE(k_model,H333,I333,J333,K333)</f>
        <v/>
      </c>
    </row>
    <row r="334">
      <c r="A334" t="n">
        <v>332</v>
      </c>
      <c r="B334">
        <f>k_lo+k_rng*A334/1000</f>
        <v/>
      </c>
      <c r="C334">
        <f>(B334-k_mx)/k_sx</f>
        <v/>
      </c>
      <c r="D334">
        <f>k_p2_0+C334*(k_p2_1+C334*k_p2_2)</f>
        <v/>
      </c>
      <c r="E334">
        <f>k_p3_0+C334*(k_p3_1+C334*(k_p3_2+C334*k_p3_3))</f>
        <v/>
      </c>
      <c r="F334">
        <f>k_p4_0+C334*(k_p4_1+C334*(k_p4_2+C334*(k_p4_3+C334*k_p4_4)))</f>
        <v/>
      </c>
      <c r="G334">
        <f>k_ea+k_eb*EXP(k_ec*C334)</f>
        <v/>
      </c>
      <c r="H334">
        <f>(k_p2_1+2*k_p2_2*C334)/k_sx</f>
        <v/>
      </c>
      <c r="I334">
        <f>(k_p3_1+C334*(2*k_p3_2+3*k_p3_3*C334))/k_sx</f>
        <v/>
      </c>
      <c r="J334">
        <f>(k_p4_1+C334*(2*k_p4_2+C334*(3*k_p4_3+4*k_p4_4*C334)))/k_sx</f>
        <v/>
      </c>
      <c r="K334">
        <f>k_eb*k_ec*EXP(k_ec*C334)/k_sx</f>
        <v/>
      </c>
      <c r="L334">
        <f>(2*k_p4_2+C334*(6*k_p4_3+12*k_p4_4*C334))/k_sx^2</f>
        <v/>
      </c>
      <c r="M334">
        <f>D334/B334</f>
        <v/>
      </c>
      <c r="N334">
        <f>E334/B334</f>
        <v/>
      </c>
      <c r="O334">
        <f>F334/B334</f>
        <v/>
      </c>
      <c r="P334">
        <f>G334/B334</f>
        <v/>
      </c>
      <c r="Q334">
        <f>CHOOSE(k_model,D334,E334,F334,G334)</f>
        <v/>
      </c>
      <c r="R334">
        <f>CHOOSE(k_model,H334,I334,J334,K334)</f>
        <v/>
      </c>
    </row>
    <row r="335">
      <c r="A335" t="n">
        <v>333</v>
      </c>
      <c r="B335">
        <f>k_lo+k_rng*A335/1000</f>
        <v/>
      </c>
      <c r="C335">
        <f>(B335-k_mx)/k_sx</f>
        <v/>
      </c>
      <c r="D335">
        <f>k_p2_0+C335*(k_p2_1+C335*k_p2_2)</f>
        <v/>
      </c>
      <c r="E335">
        <f>k_p3_0+C335*(k_p3_1+C335*(k_p3_2+C335*k_p3_3))</f>
        <v/>
      </c>
      <c r="F335">
        <f>k_p4_0+C335*(k_p4_1+C335*(k_p4_2+C335*(k_p4_3+C335*k_p4_4)))</f>
        <v/>
      </c>
      <c r="G335">
        <f>k_ea+k_eb*EXP(k_ec*C335)</f>
        <v/>
      </c>
      <c r="H335">
        <f>(k_p2_1+2*k_p2_2*C335)/k_sx</f>
        <v/>
      </c>
      <c r="I335">
        <f>(k_p3_1+C335*(2*k_p3_2+3*k_p3_3*C335))/k_sx</f>
        <v/>
      </c>
      <c r="J335">
        <f>(k_p4_1+C335*(2*k_p4_2+C335*(3*k_p4_3+4*k_p4_4*C335)))/k_sx</f>
        <v/>
      </c>
      <c r="K335">
        <f>k_eb*k_ec*EXP(k_ec*C335)/k_sx</f>
        <v/>
      </c>
      <c r="L335">
        <f>(2*k_p4_2+C335*(6*k_p4_3+12*k_p4_4*C335))/k_sx^2</f>
        <v/>
      </c>
      <c r="M335">
        <f>D335/B335</f>
        <v/>
      </c>
      <c r="N335">
        <f>E335/B335</f>
        <v/>
      </c>
      <c r="O335">
        <f>F335/B335</f>
        <v/>
      </c>
      <c r="P335">
        <f>G335/B335</f>
        <v/>
      </c>
      <c r="Q335">
        <f>CHOOSE(k_model,D335,E335,F335,G335)</f>
        <v/>
      </c>
      <c r="R335">
        <f>CHOOSE(k_model,H335,I335,J335,K335)</f>
        <v/>
      </c>
    </row>
    <row r="336">
      <c r="A336" t="n">
        <v>334</v>
      </c>
      <c r="B336">
        <f>k_lo+k_rng*A336/1000</f>
        <v/>
      </c>
      <c r="C336">
        <f>(B336-k_mx)/k_sx</f>
        <v/>
      </c>
      <c r="D336">
        <f>k_p2_0+C336*(k_p2_1+C336*k_p2_2)</f>
        <v/>
      </c>
      <c r="E336">
        <f>k_p3_0+C336*(k_p3_1+C336*(k_p3_2+C336*k_p3_3))</f>
        <v/>
      </c>
      <c r="F336">
        <f>k_p4_0+C336*(k_p4_1+C336*(k_p4_2+C336*(k_p4_3+C336*k_p4_4)))</f>
        <v/>
      </c>
      <c r="G336">
        <f>k_ea+k_eb*EXP(k_ec*C336)</f>
        <v/>
      </c>
      <c r="H336">
        <f>(k_p2_1+2*k_p2_2*C336)/k_sx</f>
        <v/>
      </c>
      <c r="I336">
        <f>(k_p3_1+C336*(2*k_p3_2+3*k_p3_3*C336))/k_sx</f>
        <v/>
      </c>
      <c r="J336">
        <f>(k_p4_1+C336*(2*k_p4_2+C336*(3*k_p4_3+4*k_p4_4*C336)))/k_sx</f>
        <v/>
      </c>
      <c r="K336">
        <f>k_eb*k_ec*EXP(k_ec*C336)/k_sx</f>
        <v/>
      </c>
      <c r="L336">
        <f>(2*k_p4_2+C336*(6*k_p4_3+12*k_p4_4*C336))/k_sx^2</f>
        <v/>
      </c>
      <c r="M336">
        <f>D336/B336</f>
        <v/>
      </c>
      <c r="N336">
        <f>E336/B336</f>
        <v/>
      </c>
      <c r="O336">
        <f>F336/B336</f>
        <v/>
      </c>
      <c r="P336">
        <f>G336/B336</f>
        <v/>
      </c>
      <c r="Q336">
        <f>CHOOSE(k_model,D336,E336,F336,G336)</f>
        <v/>
      </c>
      <c r="R336">
        <f>CHOOSE(k_model,H336,I336,J336,K336)</f>
        <v/>
      </c>
    </row>
    <row r="337">
      <c r="A337" t="n">
        <v>335</v>
      </c>
      <c r="B337">
        <f>k_lo+k_rng*A337/1000</f>
        <v/>
      </c>
      <c r="C337">
        <f>(B337-k_mx)/k_sx</f>
        <v/>
      </c>
      <c r="D337">
        <f>k_p2_0+C337*(k_p2_1+C337*k_p2_2)</f>
        <v/>
      </c>
      <c r="E337">
        <f>k_p3_0+C337*(k_p3_1+C337*(k_p3_2+C337*k_p3_3))</f>
        <v/>
      </c>
      <c r="F337">
        <f>k_p4_0+C337*(k_p4_1+C337*(k_p4_2+C337*(k_p4_3+C337*k_p4_4)))</f>
        <v/>
      </c>
      <c r="G337">
        <f>k_ea+k_eb*EXP(k_ec*C337)</f>
        <v/>
      </c>
      <c r="H337">
        <f>(k_p2_1+2*k_p2_2*C337)/k_sx</f>
        <v/>
      </c>
      <c r="I337">
        <f>(k_p3_1+C337*(2*k_p3_2+3*k_p3_3*C337))/k_sx</f>
        <v/>
      </c>
      <c r="J337">
        <f>(k_p4_1+C337*(2*k_p4_2+C337*(3*k_p4_3+4*k_p4_4*C337)))/k_sx</f>
        <v/>
      </c>
      <c r="K337">
        <f>k_eb*k_ec*EXP(k_ec*C337)/k_sx</f>
        <v/>
      </c>
      <c r="L337">
        <f>(2*k_p4_2+C337*(6*k_p4_3+12*k_p4_4*C337))/k_sx^2</f>
        <v/>
      </c>
      <c r="M337">
        <f>D337/B337</f>
        <v/>
      </c>
      <c r="N337">
        <f>E337/B337</f>
        <v/>
      </c>
      <c r="O337">
        <f>F337/B337</f>
        <v/>
      </c>
      <c r="P337">
        <f>G337/B337</f>
        <v/>
      </c>
      <c r="Q337">
        <f>CHOOSE(k_model,D337,E337,F337,G337)</f>
        <v/>
      </c>
      <c r="R337">
        <f>CHOOSE(k_model,H337,I337,J337,K337)</f>
        <v/>
      </c>
    </row>
    <row r="338">
      <c r="A338" t="n">
        <v>336</v>
      </c>
      <c r="B338">
        <f>k_lo+k_rng*A338/1000</f>
        <v/>
      </c>
      <c r="C338">
        <f>(B338-k_mx)/k_sx</f>
        <v/>
      </c>
      <c r="D338">
        <f>k_p2_0+C338*(k_p2_1+C338*k_p2_2)</f>
        <v/>
      </c>
      <c r="E338">
        <f>k_p3_0+C338*(k_p3_1+C338*(k_p3_2+C338*k_p3_3))</f>
        <v/>
      </c>
      <c r="F338">
        <f>k_p4_0+C338*(k_p4_1+C338*(k_p4_2+C338*(k_p4_3+C338*k_p4_4)))</f>
        <v/>
      </c>
      <c r="G338">
        <f>k_ea+k_eb*EXP(k_ec*C338)</f>
        <v/>
      </c>
      <c r="H338">
        <f>(k_p2_1+2*k_p2_2*C338)/k_sx</f>
        <v/>
      </c>
      <c r="I338">
        <f>(k_p3_1+C338*(2*k_p3_2+3*k_p3_3*C338))/k_sx</f>
        <v/>
      </c>
      <c r="J338">
        <f>(k_p4_1+C338*(2*k_p4_2+C338*(3*k_p4_3+4*k_p4_4*C338)))/k_sx</f>
        <v/>
      </c>
      <c r="K338">
        <f>k_eb*k_ec*EXP(k_ec*C338)/k_sx</f>
        <v/>
      </c>
      <c r="L338">
        <f>(2*k_p4_2+C338*(6*k_p4_3+12*k_p4_4*C338))/k_sx^2</f>
        <v/>
      </c>
      <c r="M338">
        <f>D338/B338</f>
        <v/>
      </c>
      <c r="N338">
        <f>E338/B338</f>
        <v/>
      </c>
      <c r="O338">
        <f>F338/B338</f>
        <v/>
      </c>
      <c r="P338">
        <f>G338/B338</f>
        <v/>
      </c>
      <c r="Q338">
        <f>CHOOSE(k_model,D338,E338,F338,G338)</f>
        <v/>
      </c>
      <c r="R338">
        <f>CHOOSE(k_model,H338,I338,J338,K338)</f>
        <v/>
      </c>
    </row>
    <row r="339">
      <c r="A339" t="n">
        <v>337</v>
      </c>
      <c r="B339">
        <f>k_lo+k_rng*A339/1000</f>
        <v/>
      </c>
      <c r="C339">
        <f>(B339-k_mx)/k_sx</f>
        <v/>
      </c>
      <c r="D339">
        <f>k_p2_0+C339*(k_p2_1+C339*k_p2_2)</f>
        <v/>
      </c>
      <c r="E339">
        <f>k_p3_0+C339*(k_p3_1+C339*(k_p3_2+C339*k_p3_3))</f>
        <v/>
      </c>
      <c r="F339">
        <f>k_p4_0+C339*(k_p4_1+C339*(k_p4_2+C339*(k_p4_3+C339*k_p4_4)))</f>
        <v/>
      </c>
      <c r="G339">
        <f>k_ea+k_eb*EXP(k_ec*C339)</f>
        <v/>
      </c>
      <c r="H339">
        <f>(k_p2_1+2*k_p2_2*C339)/k_sx</f>
        <v/>
      </c>
      <c r="I339">
        <f>(k_p3_1+C339*(2*k_p3_2+3*k_p3_3*C339))/k_sx</f>
        <v/>
      </c>
      <c r="J339">
        <f>(k_p4_1+C339*(2*k_p4_2+C339*(3*k_p4_3+4*k_p4_4*C339)))/k_sx</f>
        <v/>
      </c>
      <c r="K339">
        <f>k_eb*k_ec*EXP(k_ec*C339)/k_sx</f>
        <v/>
      </c>
      <c r="L339">
        <f>(2*k_p4_2+C339*(6*k_p4_3+12*k_p4_4*C339))/k_sx^2</f>
        <v/>
      </c>
      <c r="M339">
        <f>D339/B339</f>
        <v/>
      </c>
      <c r="N339">
        <f>E339/B339</f>
        <v/>
      </c>
      <c r="O339">
        <f>F339/B339</f>
        <v/>
      </c>
      <c r="P339">
        <f>G339/B339</f>
        <v/>
      </c>
      <c r="Q339">
        <f>CHOOSE(k_model,D339,E339,F339,G339)</f>
        <v/>
      </c>
      <c r="R339">
        <f>CHOOSE(k_model,H339,I339,J339,K339)</f>
        <v/>
      </c>
    </row>
    <row r="340">
      <c r="A340" t="n">
        <v>338</v>
      </c>
      <c r="B340">
        <f>k_lo+k_rng*A340/1000</f>
        <v/>
      </c>
      <c r="C340">
        <f>(B340-k_mx)/k_sx</f>
        <v/>
      </c>
      <c r="D340">
        <f>k_p2_0+C340*(k_p2_1+C340*k_p2_2)</f>
        <v/>
      </c>
      <c r="E340">
        <f>k_p3_0+C340*(k_p3_1+C340*(k_p3_2+C340*k_p3_3))</f>
        <v/>
      </c>
      <c r="F340">
        <f>k_p4_0+C340*(k_p4_1+C340*(k_p4_2+C340*(k_p4_3+C340*k_p4_4)))</f>
        <v/>
      </c>
      <c r="G340">
        <f>k_ea+k_eb*EXP(k_ec*C340)</f>
        <v/>
      </c>
      <c r="H340">
        <f>(k_p2_1+2*k_p2_2*C340)/k_sx</f>
        <v/>
      </c>
      <c r="I340">
        <f>(k_p3_1+C340*(2*k_p3_2+3*k_p3_3*C340))/k_sx</f>
        <v/>
      </c>
      <c r="J340">
        <f>(k_p4_1+C340*(2*k_p4_2+C340*(3*k_p4_3+4*k_p4_4*C340)))/k_sx</f>
        <v/>
      </c>
      <c r="K340">
        <f>k_eb*k_ec*EXP(k_ec*C340)/k_sx</f>
        <v/>
      </c>
      <c r="L340">
        <f>(2*k_p4_2+C340*(6*k_p4_3+12*k_p4_4*C340))/k_sx^2</f>
        <v/>
      </c>
      <c r="M340">
        <f>D340/B340</f>
        <v/>
      </c>
      <c r="N340">
        <f>E340/B340</f>
        <v/>
      </c>
      <c r="O340">
        <f>F340/B340</f>
        <v/>
      </c>
      <c r="P340">
        <f>G340/B340</f>
        <v/>
      </c>
      <c r="Q340">
        <f>CHOOSE(k_model,D340,E340,F340,G340)</f>
        <v/>
      </c>
      <c r="R340">
        <f>CHOOSE(k_model,H340,I340,J340,K340)</f>
        <v/>
      </c>
    </row>
    <row r="341">
      <c r="A341" t="n">
        <v>339</v>
      </c>
      <c r="B341">
        <f>k_lo+k_rng*A341/1000</f>
        <v/>
      </c>
      <c r="C341">
        <f>(B341-k_mx)/k_sx</f>
        <v/>
      </c>
      <c r="D341">
        <f>k_p2_0+C341*(k_p2_1+C341*k_p2_2)</f>
        <v/>
      </c>
      <c r="E341">
        <f>k_p3_0+C341*(k_p3_1+C341*(k_p3_2+C341*k_p3_3))</f>
        <v/>
      </c>
      <c r="F341">
        <f>k_p4_0+C341*(k_p4_1+C341*(k_p4_2+C341*(k_p4_3+C341*k_p4_4)))</f>
        <v/>
      </c>
      <c r="G341">
        <f>k_ea+k_eb*EXP(k_ec*C341)</f>
        <v/>
      </c>
      <c r="H341">
        <f>(k_p2_1+2*k_p2_2*C341)/k_sx</f>
        <v/>
      </c>
      <c r="I341">
        <f>(k_p3_1+C341*(2*k_p3_2+3*k_p3_3*C341))/k_sx</f>
        <v/>
      </c>
      <c r="J341">
        <f>(k_p4_1+C341*(2*k_p4_2+C341*(3*k_p4_3+4*k_p4_4*C341)))/k_sx</f>
        <v/>
      </c>
      <c r="K341">
        <f>k_eb*k_ec*EXP(k_ec*C341)/k_sx</f>
        <v/>
      </c>
      <c r="L341">
        <f>(2*k_p4_2+C341*(6*k_p4_3+12*k_p4_4*C341))/k_sx^2</f>
        <v/>
      </c>
      <c r="M341">
        <f>D341/B341</f>
        <v/>
      </c>
      <c r="N341">
        <f>E341/B341</f>
        <v/>
      </c>
      <c r="O341">
        <f>F341/B341</f>
        <v/>
      </c>
      <c r="P341">
        <f>G341/B341</f>
        <v/>
      </c>
      <c r="Q341">
        <f>CHOOSE(k_model,D341,E341,F341,G341)</f>
        <v/>
      </c>
      <c r="R341">
        <f>CHOOSE(k_model,H341,I341,J341,K341)</f>
        <v/>
      </c>
    </row>
    <row r="342">
      <c r="A342" t="n">
        <v>340</v>
      </c>
      <c r="B342">
        <f>k_lo+k_rng*A342/1000</f>
        <v/>
      </c>
      <c r="C342">
        <f>(B342-k_mx)/k_sx</f>
        <v/>
      </c>
      <c r="D342">
        <f>k_p2_0+C342*(k_p2_1+C342*k_p2_2)</f>
        <v/>
      </c>
      <c r="E342">
        <f>k_p3_0+C342*(k_p3_1+C342*(k_p3_2+C342*k_p3_3))</f>
        <v/>
      </c>
      <c r="F342">
        <f>k_p4_0+C342*(k_p4_1+C342*(k_p4_2+C342*(k_p4_3+C342*k_p4_4)))</f>
        <v/>
      </c>
      <c r="G342">
        <f>k_ea+k_eb*EXP(k_ec*C342)</f>
        <v/>
      </c>
      <c r="H342">
        <f>(k_p2_1+2*k_p2_2*C342)/k_sx</f>
        <v/>
      </c>
      <c r="I342">
        <f>(k_p3_1+C342*(2*k_p3_2+3*k_p3_3*C342))/k_sx</f>
        <v/>
      </c>
      <c r="J342">
        <f>(k_p4_1+C342*(2*k_p4_2+C342*(3*k_p4_3+4*k_p4_4*C342)))/k_sx</f>
        <v/>
      </c>
      <c r="K342">
        <f>k_eb*k_ec*EXP(k_ec*C342)/k_sx</f>
        <v/>
      </c>
      <c r="L342">
        <f>(2*k_p4_2+C342*(6*k_p4_3+12*k_p4_4*C342))/k_sx^2</f>
        <v/>
      </c>
      <c r="M342">
        <f>D342/B342</f>
        <v/>
      </c>
      <c r="N342">
        <f>E342/B342</f>
        <v/>
      </c>
      <c r="O342">
        <f>F342/B342</f>
        <v/>
      </c>
      <c r="P342">
        <f>G342/B342</f>
        <v/>
      </c>
      <c r="Q342">
        <f>CHOOSE(k_model,D342,E342,F342,G342)</f>
        <v/>
      </c>
      <c r="R342">
        <f>CHOOSE(k_model,H342,I342,J342,K342)</f>
        <v/>
      </c>
    </row>
    <row r="343">
      <c r="A343" t="n">
        <v>341</v>
      </c>
      <c r="B343">
        <f>k_lo+k_rng*A343/1000</f>
        <v/>
      </c>
      <c r="C343">
        <f>(B343-k_mx)/k_sx</f>
        <v/>
      </c>
      <c r="D343">
        <f>k_p2_0+C343*(k_p2_1+C343*k_p2_2)</f>
        <v/>
      </c>
      <c r="E343">
        <f>k_p3_0+C343*(k_p3_1+C343*(k_p3_2+C343*k_p3_3))</f>
        <v/>
      </c>
      <c r="F343">
        <f>k_p4_0+C343*(k_p4_1+C343*(k_p4_2+C343*(k_p4_3+C343*k_p4_4)))</f>
        <v/>
      </c>
      <c r="G343">
        <f>k_ea+k_eb*EXP(k_ec*C343)</f>
        <v/>
      </c>
      <c r="H343">
        <f>(k_p2_1+2*k_p2_2*C343)/k_sx</f>
        <v/>
      </c>
      <c r="I343">
        <f>(k_p3_1+C343*(2*k_p3_2+3*k_p3_3*C343))/k_sx</f>
        <v/>
      </c>
      <c r="J343">
        <f>(k_p4_1+C343*(2*k_p4_2+C343*(3*k_p4_3+4*k_p4_4*C343)))/k_sx</f>
        <v/>
      </c>
      <c r="K343">
        <f>k_eb*k_ec*EXP(k_ec*C343)/k_sx</f>
        <v/>
      </c>
      <c r="L343">
        <f>(2*k_p4_2+C343*(6*k_p4_3+12*k_p4_4*C343))/k_sx^2</f>
        <v/>
      </c>
      <c r="M343">
        <f>D343/B343</f>
        <v/>
      </c>
      <c r="N343">
        <f>E343/B343</f>
        <v/>
      </c>
      <c r="O343">
        <f>F343/B343</f>
        <v/>
      </c>
      <c r="P343">
        <f>G343/B343</f>
        <v/>
      </c>
      <c r="Q343">
        <f>CHOOSE(k_model,D343,E343,F343,G343)</f>
        <v/>
      </c>
      <c r="R343">
        <f>CHOOSE(k_model,H343,I343,J343,K343)</f>
        <v/>
      </c>
    </row>
    <row r="344">
      <c r="A344" t="n">
        <v>342</v>
      </c>
      <c r="B344">
        <f>k_lo+k_rng*A344/1000</f>
        <v/>
      </c>
      <c r="C344">
        <f>(B344-k_mx)/k_sx</f>
        <v/>
      </c>
      <c r="D344">
        <f>k_p2_0+C344*(k_p2_1+C344*k_p2_2)</f>
        <v/>
      </c>
      <c r="E344">
        <f>k_p3_0+C344*(k_p3_1+C344*(k_p3_2+C344*k_p3_3))</f>
        <v/>
      </c>
      <c r="F344">
        <f>k_p4_0+C344*(k_p4_1+C344*(k_p4_2+C344*(k_p4_3+C344*k_p4_4)))</f>
        <v/>
      </c>
      <c r="G344">
        <f>k_ea+k_eb*EXP(k_ec*C344)</f>
        <v/>
      </c>
      <c r="H344">
        <f>(k_p2_1+2*k_p2_2*C344)/k_sx</f>
        <v/>
      </c>
      <c r="I344">
        <f>(k_p3_1+C344*(2*k_p3_2+3*k_p3_3*C344))/k_sx</f>
        <v/>
      </c>
      <c r="J344">
        <f>(k_p4_1+C344*(2*k_p4_2+C344*(3*k_p4_3+4*k_p4_4*C344)))/k_sx</f>
        <v/>
      </c>
      <c r="K344">
        <f>k_eb*k_ec*EXP(k_ec*C344)/k_sx</f>
        <v/>
      </c>
      <c r="L344">
        <f>(2*k_p4_2+C344*(6*k_p4_3+12*k_p4_4*C344))/k_sx^2</f>
        <v/>
      </c>
      <c r="M344">
        <f>D344/B344</f>
        <v/>
      </c>
      <c r="N344">
        <f>E344/B344</f>
        <v/>
      </c>
      <c r="O344">
        <f>F344/B344</f>
        <v/>
      </c>
      <c r="P344">
        <f>G344/B344</f>
        <v/>
      </c>
      <c r="Q344">
        <f>CHOOSE(k_model,D344,E344,F344,G344)</f>
        <v/>
      </c>
      <c r="R344">
        <f>CHOOSE(k_model,H344,I344,J344,K344)</f>
        <v/>
      </c>
    </row>
    <row r="345">
      <c r="A345" t="n">
        <v>343</v>
      </c>
      <c r="B345">
        <f>k_lo+k_rng*A345/1000</f>
        <v/>
      </c>
      <c r="C345">
        <f>(B345-k_mx)/k_sx</f>
        <v/>
      </c>
      <c r="D345">
        <f>k_p2_0+C345*(k_p2_1+C345*k_p2_2)</f>
        <v/>
      </c>
      <c r="E345">
        <f>k_p3_0+C345*(k_p3_1+C345*(k_p3_2+C345*k_p3_3))</f>
        <v/>
      </c>
      <c r="F345">
        <f>k_p4_0+C345*(k_p4_1+C345*(k_p4_2+C345*(k_p4_3+C345*k_p4_4)))</f>
        <v/>
      </c>
      <c r="G345">
        <f>k_ea+k_eb*EXP(k_ec*C345)</f>
        <v/>
      </c>
      <c r="H345">
        <f>(k_p2_1+2*k_p2_2*C345)/k_sx</f>
        <v/>
      </c>
      <c r="I345">
        <f>(k_p3_1+C345*(2*k_p3_2+3*k_p3_3*C345))/k_sx</f>
        <v/>
      </c>
      <c r="J345">
        <f>(k_p4_1+C345*(2*k_p4_2+C345*(3*k_p4_3+4*k_p4_4*C345)))/k_sx</f>
        <v/>
      </c>
      <c r="K345">
        <f>k_eb*k_ec*EXP(k_ec*C345)/k_sx</f>
        <v/>
      </c>
      <c r="L345">
        <f>(2*k_p4_2+C345*(6*k_p4_3+12*k_p4_4*C345))/k_sx^2</f>
        <v/>
      </c>
      <c r="M345">
        <f>D345/B345</f>
        <v/>
      </c>
      <c r="N345">
        <f>E345/B345</f>
        <v/>
      </c>
      <c r="O345">
        <f>F345/B345</f>
        <v/>
      </c>
      <c r="P345">
        <f>G345/B345</f>
        <v/>
      </c>
      <c r="Q345">
        <f>CHOOSE(k_model,D345,E345,F345,G345)</f>
        <v/>
      </c>
      <c r="R345">
        <f>CHOOSE(k_model,H345,I345,J345,K345)</f>
        <v/>
      </c>
    </row>
    <row r="346">
      <c r="A346" t="n">
        <v>344</v>
      </c>
      <c r="B346">
        <f>k_lo+k_rng*A346/1000</f>
        <v/>
      </c>
      <c r="C346">
        <f>(B346-k_mx)/k_sx</f>
        <v/>
      </c>
      <c r="D346">
        <f>k_p2_0+C346*(k_p2_1+C346*k_p2_2)</f>
        <v/>
      </c>
      <c r="E346">
        <f>k_p3_0+C346*(k_p3_1+C346*(k_p3_2+C346*k_p3_3))</f>
        <v/>
      </c>
      <c r="F346">
        <f>k_p4_0+C346*(k_p4_1+C346*(k_p4_2+C346*(k_p4_3+C346*k_p4_4)))</f>
        <v/>
      </c>
      <c r="G346">
        <f>k_ea+k_eb*EXP(k_ec*C346)</f>
        <v/>
      </c>
      <c r="H346">
        <f>(k_p2_1+2*k_p2_2*C346)/k_sx</f>
        <v/>
      </c>
      <c r="I346">
        <f>(k_p3_1+C346*(2*k_p3_2+3*k_p3_3*C346))/k_sx</f>
        <v/>
      </c>
      <c r="J346">
        <f>(k_p4_1+C346*(2*k_p4_2+C346*(3*k_p4_3+4*k_p4_4*C346)))/k_sx</f>
        <v/>
      </c>
      <c r="K346">
        <f>k_eb*k_ec*EXP(k_ec*C346)/k_sx</f>
        <v/>
      </c>
      <c r="L346">
        <f>(2*k_p4_2+C346*(6*k_p4_3+12*k_p4_4*C346))/k_sx^2</f>
        <v/>
      </c>
      <c r="M346">
        <f>D346/B346</f>
        <v/>
      </c>
      <c r="N346">
        <f>E346/B346</f>
        <v/>
      </c>
      <c r="O346">
        <f>F346/B346</f>
        <v/>
      </c>
      <c r="P346">
        <f>G346/B346</f>
        <v/>
      </c>
      <c r="Q346">
        <f>CHOOSE(k_model,D346,E346,F346,G346)</f>
        <v/>
      </c>
      <c r="R346">
        <f>CHOOSE(k_model,H346,I346,J346,K346)</f>
        <v/>
      </c>
    </row>
    <row r="347">
      <c r="A347" t="n">
        <v>345</v>
      </c>
      <c r="B347">
        <f>k_lo+k_rng*A347/1000</f>
        <v/>
      </c>
      <c r="C347">
        <f>(B347-k_mx)/k_sx</f>
        <v/>
      </c>
      <c r="D347">
        <f>k_p2_0+C347*(k_p2_1+C347*k_p2_2)</f>
        <v/>
      </c>
      <c r="E347">
        <f>k_p3_0+C347*(k_p3_1+C347*(k_p3_2+C347*k_p3_3))</f>
        <v/>
      </c>
      <c r="F347">
        <f>k_p4_0+C347*(k_p4_1+C347*(k_p4_2+C347*(k_p4_3+C347*k_p4_4)))</f>
        <v/>
      </c>
      <c r="G347">
        <f>k_ea+k_eb*EXP(k_ec*C347)</f>
        <v/>
      </c>
      <c r="H347">
        <f>(k_p2_1+2*k_p2_2*C347)/k_sx</f>
        <v/>
      </c>
      <c r="I347">
        <f>(k_p3_1+C347*(2*k_p3_2+3*k_p3_3*C347))/k_sx</f>
        <v/>
      </c>
      <c r="J347">
        <f>(k_p4_1+C347*(2*k_p4_2+C347*(3*k_p4_3+4*k_p4_4*C347)))/k_sx</f>
        <v/>
      </c>
      <c r="K347">
        <f>k_eb*k_ec*EXP(k_ec*C347)/k_sx</f>
        <v/>
      </c>
      <c r="L347">
        <f>(2*k_p4_2+C347*(6*k_p4_3+12*k_p4_4*C347))/k_sx^2</f>
        <v/>
      </c>
      <c r="M347">
        <f>D347/B347</f>
        <v/>
      </c>
      <c r="N347">
        <f>E347/B347</f>
        <v/>
      </c>
      <c r="O347">
        <f>F347/B347</f>
        <v/>
      </c>
      <c r="P347">
        <f>G347/B347</f>
        <v/>
      </c>
      <c r="Q347">
        <f>CHOOSE(k_model,D347,E347,F347,G347)</f>
        <v/>
      </c>
      <c r="R347">
        <f>CHOOSE(k_model,H347,I347,J347,K347)</f>
        <v/>
      </c>
    </row>
    <row r="348">
      <c r="A348" t="n">
        <v>346</v>
      </c>
      <c r="B348">
        <f>k_lo+k_rng*A348/1000</f>
        <v/>
      </c>
      <c r="C348">
        <f>(B348-k_mx)/k_sx</f>
        <v/>
      </c>
      <c r="D348">
        <f>k_p2_0+C348*(k_p2_1+C348*k_p2_2)</f>
        <v/>
      </c>
      <c r="E348">
        <f>k_p3_0+C348*(k_p3_1+C348*(k_p3_2+C348*k_p3_3))</f>
        <v/>
      </c>
      <c r="F348">
        <f>k_p4_0+C348*(k_p4_1+C348*(k_p4_2+C348*(k_p4_3+C348*k_p4_4)))</f>
        <v/>
      </c>
      <c r="G348">
        <f>k_ea+k_eb*EXP(k_ec*C348)</f>
        <v/>
      </c>
      <c r="H348">
        <f>(k_p2_1+2*k_p2_2*C348)/k_sx</f>
        <v/>
      </c>
      <c r="I348">
        <f>(k_p3_1+C348*(2*k_p3_2+3*k_p3_3*C348))/k_sx</f>
        <v/>
      </c>
      <c r="J348">
        <f>(k_p4_1+C348*(2*k_p4_2+C348*(3*k_p4_3+4*k_p4_4*C348)))/k_sx</f>
        <v/>
      </c>
      <c r="K348">
        <f>k_eb*k_ec*EXP(k_ec*C348)/k_sx</f>
        <v/>
      </c>
      <c r="L348">
        <f>(2*k_p4_2+C348*(6*k_p4_3+12*k_p4_4*C348))/k_sx^2</f>
        <v/>
      </c>
      <c r="M348">
        <f>D348/B348</f>
        <v/>
      </c>
      <c r="N348">
        <f>E348/B348</f>
        <v/>
      </c>
      <c r="O348">
        <f>F348/B348</f>
        <v/>
      </c>
      <c r="P348">
        <f>G348/B348</f>
        <v/>
      </c>
      <c r="Q348">
        <f>CHOOSE(k_model,D348,E348,F348,G348)</f>
        <v/>
      </c>
      <c r="R348">
        <f>CHOOSE(k_model,H348,I348,J348,K348)</f>
        <v/>
      </c>
    </row>
    <row r="349">
      <c r="A349" t="n">
        <v>347</v>
      </c>
      <c r="B349">
        <f>k_lo+k_rng*A349/1000</f>
        <v/>
      </c>
      <c r="C349">
        <f>(B349-k_mx)/k_sx</f>
        <v/>
      </c>
      <c r="D349">
        <f>k_p2_0+C349*(k_p2_1+C349*k_p2_2)</f>
        <v/>
      </c>
      <c r="E349">
        <f>k_p3_0+C349*(k_p3_1+C349*(k_p3_2+C349*k_p3_3))</f>
        <v/>
      </c>
      <c r="F349">
        <f>k_p4_0+C349*(k_p4_1+C349*(k_p4_2+C349*(k_p4_3+C349*k_p4_4)))</f>
        <v/>
      </c>
      <c r="G349">
        <f>k_ea+k_eb*EXP(k_ec*C349)</f>
        <v/>
      </c>
      <c r="H349">
        <f>(k_p2_1+2*k_p2_2*C349)/k_sx</f>
        <v/>
      </c>
      <c r="I349">
        <f>(k_p3_1+C349*(2*k_p3_2+3*k_p3_3*C349))/k_sx</f>
        <v/>
      </c>
      <c r="J349">
        <f>(k_p4_1+C349*(2*k_p4_2+C349*(3*k_p4_3+4*k_p4_4*C349)))/k_sx</f>
        <v/>
      </c>
      <c r="K349">
        <f>k_eb*k_ec*EXP(k_ec*C349)/k_sx</f>
        <v/>
      </c>
      <c r="L349">
        <f>(2*k_p4_2+C349*(6*k_p4_3+12*k_p4_4*C349))/k_sx^2</f>
        <v/>
      </c>
      <c r="M349">
        <f>D349/B349</f>
        <v/>
      </c>
      <c r="N349">
        <f>E349/B349</f>
        <v/>
      </c>
      <c r="O349">
        <f>F349/B349</f>
        <v/>
      </c>
      <c r="P349">
        <f>G349/B349</f>
        <v/>
      </c>
      <c r="Q349">
        <f>CHOOSE(k_model,D349,E349,F349,G349)</f>
        <v/>
      </c>
      <c r="R349">
        <f>CHOOSE(k_model,H349,I349,J349,K349)</f>
        <v/>
      </c>
    </row>
    <row r="350">
      <c r="A350" t="n">
        <v>348</v>
      </c>
      <c r="B350">
        <f>k_lo+k_rng*A350/1000</f>
        <v/>
      </c>
      <c r="C350">
        <f>(B350-k_mx)/k_sx</f>
        <v/>
      </c>
      <c r="D350">
        <f>k_p2_0+C350*(k_p2_1+C350*k_p2_2)</f>
        <v/>
      </c>
      <c r="E350">
        <f>k_p3_0+C350*(k_p3_1+C350*(k_p3_2+C350*k_p3_3))</f>
        <v/>
      </c>
      <c r="F350">
        <f>k_p4_0+C350*(k_p4_1+C350*(k_p4_2+C350*(k_p4_3+C350*k_p4_4)))</f>
        <v/>
      </c>
      <c r="G350">
        <f>k_ea+k_eb*EXP(k_ec*C350)</f>
        <v/>
      </c>
      <c r="H350">
        <f>(k_p2_1+2*k_p2_2*C350)/k_sx</f>
        <v/>
      </c>
      <c r="I350">
        <f>(k_p3_1+C350*(2*k_p3_2+3*k_p3_3*C350))/k_sx</f>
        <v/>
      </c>
      <c r="J350">
        <f>(k_p4_1+C350*(2*k_p4_2+C350*(3*k_p4_3+4*k_p4_4*C350)))/k_sx</f>
        <v/>
      </c>
      <c r="K350">
        <f>k_eb*k_ec*EXP(k_ec*C350)/k_sx</f>
        <v/>
      </c>
      <c r="L350">
        <f>(2*k_p4_2+C350*(6*k_p4_3+12*k_p4_4*C350))/k_sx^2</f>
        <v/>
      </c>
      <c r="M350">
        <f>D350/B350</f>
        <v/>
      </c>
      <c r="N350">
        <f>E350/B350</f>
        <v/>
      </c>
      <c r="O350">
        <f>F350/B350</f>
        <v/>
      </c>
      <c r="P350">
        <f>G350/B350</f>
        <v/>
      </c>
      <c r="Q350">
        <f>CHOOSE(k_model,D350,E350,F350,G350)</f>
        <v/>
      </c>
      <c r="R350">
        <f>CHOOSE(k_model,H350,I350,J350,K350)</f>
        <v/>
      </c>
    </row>
    <row r="351">
      <c r="A351" t="n">
        <v>349</v>
      </c>
      <c r="B351">
        <f>k_lo+k_rng*A351/1000</f>
        <v/>
      </c>
      <c r="C351">
        <f>(B351-k_mx)/k_sx</f>
        <v/>
      </c>
      <c r="D351">
        <f>k_p2_0+C351*(k_p2_1+C351*k_p2_2)</f>
        <v/>
      </c>
      <c r="E351">
        <f>k_p3_0+C351*(k_p3_1+C351*(k_p3_2+C351*k_p3_3))</f>
        <v/>
      </c>
      <c r="F351">
        <f>k_p4_0+C351*(k_p4_1+C351*(k_p4_2+C351*(k_p4_3+C351*k_p4_4)))</f>
        <v/>
      </c>
      <c r="G351">
        <f>k_ea+k_eb*EXP(k_ec*C351)</f>
        <v/>
      </c>
      <c r="H351">
        <f>(k_p2_1+2*k_p2_2*C351)/k_sx</f>
        <v/>
      </c>
      <c r="I351">
        <f>(k_p3_1+C351*(2*k_p3_2+3*k_p3_3*C351))/k_sx</f>
        <v/>
      </c>
      <c r="J351">
        <f>(k_p4_1+C351*(2*k_p4_2+C351*(3*k_p4_3+4*k_p4_4*C351)))/k_sx</f>
        <v/>
      </c>
      <c r="K351">
        <f>k_eb*k_ec*EXP(k_ec*C351)/k_sx</f>
        <v/>
      </c>
      <c r="L351">
        <f>(2*k_p4_2+C351*(6*k_p4_3+12*k_p4_4*C351))/k_sx^2</f>
        <v/>
      </c>
      <c r="M351">
        <f>D351/B351</f>
        <v/>
      </c>
      <c r="N351">
        <f>E351/B351</f>
        <v/>
      </c>
      <c r="O351">
        <f>F351/B351</f>
        <v/>
      </c>
      <c r="P351">
        <f>G351/B351</f>
        <v/>
      </c>
      <c r="Q351">
        <f>CHOOSE(k_model,D351,E351,F351,G351)</f>
        <v/>
      </c>
      <c r="R351">
        <f>CHOOSE(k_model,H351,I351,J351,K351)</f>
        <v/>
      </c>
    </row>
    <row r="352">
      <c r="A352" t="n">
        <v>350</v>
      </c>
      <c r="B352">
        <f>k_lo+k_rng*A352/1000</f>
        <v/>
      </c>
      <c r="C352">
        <f>(B352-k_mx)/k_sx</f>
        <v/>
      </c>
      <c r="D352">
        <f>k_p2_0+C352*(k_p2_1+C352*k_p2_2)</f>
        <v/>
      </c>
      <c r="E352">
        <f>k_p3_0+C352*(k_p3_1+C352*(k_p3_2+C352*k_p3_3))</f>
        <v/>
      </c>
      <c r="F352">
        <f>k_p4_0+C352*(k_p4_1+C352*(k_p4_2+C352*(k_p4_3+C352*k_p4_4)))</f>
        <v/>
      </c>
      <c r="G352">
        <f>k_ea+k_eb*EXP(k_ec*C352)</f>
        <v/>
      </c>
      <c r="H352">
        <f>(k_p2_1+2*k_p2_2*C352)/k_sx</f>
        <v/>
      </c>
      <c r="I352">
        <f>(k_p3_1+C352*(2*k_p3_2+3*k_p3_3*C352))/k_sx</f>
        <v/>
      </c>
      <c r="J352">
        <f>(k_p4_1+C352*(2*k_p4_2+C352*(3*k_p4_3+4*k_p4_4*C352)))/k_sx</f>
        <v/>
      </c>
      <c r="K352">
        <f>k_eb*k_ec*EXP(k_ec*C352)/k_sx</f>
        <v/>
      </c>
      <c r="L352">
        <f>(2*k_p4_2+C352*(6*k_p4_3+12*k_p4_4*C352))/k_sx^2</f>
        <v/>
      </c>
      <c r="M352">
        <f>D352/B352</f>
        <v/>
      </c>
      <c r="N352">
        <f>E352/B352</f>
        <v/>
      </c>
      <c r="O352">
        <f>F352/B352</f>
        <v/>
      </c>
      <c r="P352">
        <f>G352/B352</f>
        <v/>
      </c>
      <c r="Q352">
        <f>CHOOSE(k_model,D352,E352,F352,G352)</f>
        <v/>
      </c>
      <c r="R352">
        <f>CHOOSE(k_model,H352,I352,J352,K352)</f>
        <v/>
      </c>
    </row>
    <row r="353">
      <c r="A353" t="n">
        <v>351</v>
      </c>
      <c r="B353">
        <f>k_lo+k_rng*A353/1000</f>
        <v/>
      </c>
      <c r="C353">
        <f>(B353-k_mx)/k_sx</f>
        <v/>
      </c>
      <c r="D353">
        <f>k_p2_0+C353*(k_p2_1+C353*k_p2_2)</f>
        <v/>
      </c>
      <c r="E353">
        <f>k_p3_0+C353*(k_p3_1+C353*(k_p3_2+C353*k_p3_3))</f>
        <v/>
      </c>
      <c r="F353">
        <f>k_p4_0+C353*(k_p4_1+C353*(k_p4_2+C353*(k_p4_3+C353*k_p4_4)))</f>
        <v/>
      </c>
      <c r="G353">
        <f>k_ea+k_eb*EXP(k_ec*C353)</f>
        <v/>
      </c>
      <c r="H353">
        <f>(k_p2_1+2*k_p2_2*C353)/k_sx</f>
        <v/>
      </c>
      <c r="I353">
        <f>(k_p3_1+C353*(2*k_p3_2+3*k_p3_3*C353))/k_sx</f>
        <v/>
      </c>
      <c r="J353">
        <f>(k_p4_1+C353*(2*k_p4_2+C353*(3*k_p4_3+4*k_p4_4*C353)))/k_sx</f>
        <v/>
      </c>
      <c r="K353">
        <f>k_eb*k_ec*EXP(k_ec*C353)/k_sx</f>
        <v/>
      </c>
      <c r="L353">
        <f>(2*k_p4_2+C353*(6*k_p4_3+12*k_p4_4*C353))/k_sx^2</f>
        <v/>
      </c>
      <c r="M353">
        <f>D353/B353</f>
        <v/>
      </c>
      <c r="N353">
        <f>E353/B353</f>
        <v/>
      </c>
      <c r="O353">
        <f>F353/B353</f>
        <v/>
      </c>
      <c r="P353">
        <f>G353/B353</f>
        <v/>
      </c>
      <c r="Q353">
        <f>CHOOSE(k_model,D353,E353,F353,G353)</f>
        <v/>
      </c>
      <c r="R353">
        <f>CHOOSE(k_model,H353,I353,J353,K353)</f>
        <v/>
      </c>
    </row>
    <row r="354">
      <c r="A354" t="n">
        <v>352</v>
      </c>
      <c r="B354">
        <f>k_lo+k_rng*A354/1000</f>
        <v/>
      </c>
      <c r="C354">
        <f>(B354-k_mx)/k_sx</f>
        <v/>
      </c>
      <c r="D354">
        <f>k_p2_0+C354*(k_p2_1+C354*k_p2_2)</f>
        <v/>
      </c>
      <c r="E354">
        <f>k_p3_0+C354*(k_p3_1+C354*(k_p3_2+C354*k_p3_3))</f>
        <v/>
      </c>
      <c r="F354">
        <f>k_p4_0+C354*(k_p4_1+C354*(k_p4_2+C354*(k_p4_3+C354*k_p4_4)))</f>
        <v/>
      </c>
      <c r="G354">
        <f>k_ea+k_eb*EXP(k_ec*C354)</f>
        <v/>
      </c>
      <c r="H354">
        <f>(k_p2_1+2*k_p2_2*C354)/k_sx</f>
        <v/>
      </c>
      <c r="I354">
        <f>(k_p3_1+C354*(2*k_p3_2+3*k_p3_3*C354))/k_sx</f>
        <v/>
      </c>
      <c r="J354">
        <f>(k_p4_1+C354*(2*k_p4_2+C354*(3*k_p4_3+4*k_p4_4*C354)))/k_sx</f>
        <v/>
      </c>
      <c r="K354">
        <f>k_eb*k_ec*EXP(k_ec*C354)/k_sx</f>
        <v/>
      </c>
      <c r="L354">
        <f>(2*k_p4_2+C354*(6*k_p4_3+12*k_p4_4*C354))/k_sx^2</f>
        <v/>
      </c>
      <c r="M354">
        <f>D354/B354</f>
        <v/>
      </c>
      <c r="N354">
        <f>E354/B354</f>
        <v/>
      </c>
      <c r="O354">
        <f>F354/B354</f>
        <v/>
      </c>
      <c r="P354">
        <f>G354/B354</f>
        <v/>
      </c>
      <c r="Q354">
        <f>CHOOSE(k_model,D354,E354,F354,G354)</f>
        <v/>
      </c>
      <c r="R354">
        <f>CHOOSE(k_model,H354,I354,J354,K354)</f>
        <v/>
      </c>
    </row>
    <row r="355">
      <c r="A355" t="n">
        <v>353</v>
      </c>
      <c r="B355">
        <f>k_lo+k_rng*A355/1000</f>
        <v/>
      </c>
      <c r="C355">
        <f>(B355-k_mx)/k_sx</f>
        <v/>
      </c>
      <c r="D355">
        <f>k_p2_0+C355*(k_p2_1+C355*k_p2_2)</f>
        <v/>
      </c>
      <c r="E355">
        <f>k_p3_0+C355*(k_p3_1+C355*(k_p3_2+C355*k_p3_3))</f>
        <v/>
      </c>
      <c r="F355">
        <f>k_p4_0+C355*(k_p4_1+C355*(k_p4_2+C355*(k_p4_3+C355*k_p4_4)))</f>
        <v/>
      </c>
      <c r="G355">
        <f>k_ea+k_eb*EXP(k_ec*C355)</f>
        <v/>
      </c>
      <c r="H355">
        <f>(k_p2_1+2*k_p2_2*C355)/k_sx</f>
        <v/>
      </c>
      <c r="I355">
        <f>(k_p3_1+C355*(2*k_p3_2+3*k_p3_3*C355))/k_sx</f>
        <v/>
      </c>
      <c r="J355">
        <f>(k_p4_1+C355*(2*k_p4_2+C355*(3*k_p4_3+4*k_p4_4*C355)))/k_sx</f>
        <v/>
      </c>
      <c r="K355">
        <f>k_eb*k_ec*EXP(k_ec*C355)/k_sx</f>
        <v/>
      </c>
      <c r="L355">
        <f>(2*k_p4_2+C355*(6*k_p4_3+12*k_p4_4*C355))/k_sx^2</f>
        <v/>
      </c>
      <c r="M355">
        <f>D355/B355</f>
        <v/>
      </c>
      <c r="N355">
        <f>E355/B355</f>
        <v/>
      </c>
      <c r="O355">
        <f>F355/B355</f>
        <v/>
      </c>
      <c r="P355">
        <f>G355/B355</f>
        <v/>
      </c>
      <c r="Q355">
        <f>CHOOSE(k_model,D355,E355,F355,G355)</f>
        <v/>
      </c>
      <c r="R355">
        <f>CHOOSE(k_model,H355,I355,J355,K355)</f>
        <v/>
      </c>
    </row>
    <row r="356">
      <c r="A356" t="n">
        <v>354</v>
      </c>
      <c r="B356">
        <f>k_lo+k_rng*A356/1000</f>
        <v/>
      </c>
      <c r="C356">
        <f>(B356-k_mx)/k_sx</f>
        <v/>
      </c>
      <c r="D356">
        <f>k_p2_0+C356*(k_p2_1+C356*k_p2_2)</f>
        <v/>
      </c>
      <c r="E356">
        <f>k_p3_0+C356*(k_p3_1+C356*(k_p3_2+C356*k_p3_3))</f>
        <v/>
      </c>
      <c r="F356">
        <f>k_p4_0+C356*(k_p4_1+C356*(k_p4_2+C356*(k_p4_3+C356*k_p4_4)))</f>
        <v/>
      </c>
      <c r="G356">
        <f>k_ea+k_eb*EXP(k_ec*C356)</f>
        <v/>
      </c>
      <c r="H356">
        <f>(k_p2_1+2*k_p2_2*C356)/k_sx</f>
        <v/>
      </c>
      <c r="I356">
        <f>(k_p3_1+C356*(2*k_p3_2+3*k_p3_3*C356))/k_sx</f>
        <v/>
      </c>
      <c r="J356">
        <f>(k_p4_1+C356*(2*k_p4_2+C356*(3*k_p4_3+4*k_p4_4*C356)))/k_sx</f>
        <v/>
      </c>
      <c r="K356">
        <f>k_eb*k_ec*EXP(k_ec*C356)/k_sx</f>
        <v/>
      </c>
      <c r="L356">
        <f>(2*k_p4_2+C356*(6*k_p4_3+12*k_p4_4*C356))/k_sx^2</f>
        <v/>
      </c>
      <c r="M356">
        <f>D356/B356</f>
        <v/>
      </c>
      <c r="N356">
        <f>E356/B356</f>
        <v/>
      </c>
      <c r="O356">
        <f>F356/B356</f>
        <v/>
      </c>
      <c r="P356">
        <f>G356/B356</f>
        <v/>
      </c>
      <c r="Q356">
        <f>CHOOSE(k_model,D356,E356,F356,G356)</f>
        <v/>
      </c>
      <c r="R356">
        <f>CHOOSE(k_model,H356,I356,J356,K356)</f>
        <v/>
      </c>
    </row>
    <row r="357">
      <c r="A357" t="n">
        <v>355</v>
      </c>
      <c r="B357">
        <f>k_lo+k_rng*A357/1000</f>
        <v/>
      </c>
      <c r="C357">
        <f>(B357-k_mx)/k_sx</f>
        <v/>
      </c>
      <c r="D357">
        <f>k_p2_0+C357*(k_p2_1+C357*k_p2_2)</f>
        <v/>
      </c>
      <c r="E357">
        <f>k_p3_0+C357*(k_p3_1+C357*(k_p3_2+C357*k_p3_3))</f>
        <v/>
      </c>
      <c r="F357">
        <f>k_p4_0+C357*(k_p4_1+C357*(k_p4_2+C357*(k_p4_3+C357*k_p4_4)))</f>
        <v/>
      </c>
      <c r="G357">
        <f>k_ea+k_eb*EXP(k_ec*C357)</f>
        <v/>
      </c>
      <c r="H357">
        <f>(k_p2_1+2*k_p2_2*C357)/k_sx</f>
        <v/>
      </c>
      <c r="I357">
        <f>(k_p3_1+C357*(2*k_p3_2+3*k_p3_3*C357))/k_sx</f>
        <v/>
      </c>
      <c r="J357">
        <f>(k_p4_1+C357*(2*k_p4_2+C357*(3*k_p4_3+4*k_p4_4*C357)))/k_sx</f>
        <v/>
      </c>
      <c r="K357">
        <f>k_eb*k_ec*EXP(k_ec*C357)/k_sx</f>
        <v/>
      </c>
      <c r="L357">
        <f>(2*k_p4_2+C357*(6*k_p4_3+12*k_p4_4*C357))/k_sx^2</f>
        <v/>
      </c>
      <c r="M357">
        <f>D357/B357</f>
        <v/>
      </c>
      <c r="N357">
        <f>E357/B357</f>
        <v/>
      </c>
      <c r="O357">
        <f>F357/B357</f>
        <v/>
      </c>
      <c r="P357">
        <f>G357/B357</f>
        <v/>
      </c>
      <c r="Q357">
        <f>CHOOSE(k_model,D357,E357,F357,G357)</f>
        <v/>
      </c>
      <c r="R357">
        <f>CHOOSE(k_model,H357,I357,J357,K357)</f>
        <v/>
      </c>
    </row>
    <row r="358">
      <c r="A358" t="n">
        <v>356</v>
      </c>
      <c r="B358">
        <f>k_lo+k_rng*A358/1000</f>
        <v/>
      </c>
      <c r="C358">
        <f>(B358-k_mx)/k_sx</f>
        <v/>
      </c>
      <c r="D358">
        <f>k_p2_0+C358*(k_p2_1+C358*k_p2_2)</f>
        <v/>
      </c>
      <c r="E358">
        <f>k_p3_0+C358*(k_p3_1+C358*(k_p3_2+C358*k_p3_3))</f>
        <v/>
      </c>
      <c r="F358">
        <f>k_p4_0+C358*(k_p4_1+C358*(k_p4_2+C358*(k_p4_3+C358*k_p4_4)))</f>
        <v/>
      </c>
      <c r="G358">
        <f>k_ea+k_eb*EXP(k_ec*C358)</f>
        <v/>
      </c>
      <c r="H358">
        <f>(k_p2_1+2*k_p2_2*C358)/k_sx</f>
        <v/>
      </c>
      <c r="I358">
        <f>(k_p3_1+C358*(2*k_p3_2+3*k_p3_3*C358))/k_sx</f>
        <v/>
      </c>
      <c r="J358">
        <f>(k_p4_1+C358*(2*k_p4_2+C358*(3*k_p4_3+4*k_p4_4*C358)))/k_sx</f>
        <v/>
      </c>
      <c r="K358">
        <f>k_eb*k_ec*EXP(k_ec*C358)/k_sx</f>
        <v/>
      </c>
      <c r="L358">
        <f>(2*k_p4_2+C358*(6*k_p4_3+12*k_p4_4*C358))/k_sx^2</f>
        <v/>
      </c>
      <c r="M358">
        <f>D358/B358</f>
        <v/>
      </c>
      <c r="N358">
        <f>E358/B358</f>
        <v/>
      </c>
      <c r="O358">
        <f>F358/B358</f>
        <v/>
      </c>
      <c r="P358">
        <f>G358/B358</f>
        <v/>
      </c>
      <c r="Q358">
        <f>CHOOSE(k_model,D358,E358,F358,G358)</f>
        <v/>
      </c>
      <c r="R358">
        <f>CHOOSE(k_model,H358,I358,J358,K358)</f>
        <v/>
      </c>
    </row>
    <row r="359">
      <c r="A359" t="n">
        <v>357</v>
      </c>
      <c r="B359">
        <f>k_lo+k_rng*A359/1000</f>
        <v/>
      </c>
      <c r="C359">
        <f>(B359-k_mx)/k_sx</f>
        <v/>
      </c>
      <c r="D359">
        <f>k_p2_0+C359*(k_p2_1+C359*k_p2_2)</f>
        <v/>
      </c>
      <c r="E359">
        <f>k_p3_0+C359*(k_p3_1+C359*(k_p3_2+C359*k_p3_3))</f>
        <v/>
      </c>
      <c r="F359">
        <f>k_p4_0+C359*(k_p4_1+C359*(k_p4_2+C359*(k_p4_3+C359*k_p4_4)))</f>
        <v/>
      </c>
      <c r="G359">
        <f>k_ea+k_eb*EXP(k_ec*C359)</f>
        <v/>
      </c>
      <c r="H359">
        <f>(k_p2_1+2*k_p2_2*C359)/k_sx</f>
        <v/>
      </c>
      <c r="I359">
        <f>(k_p3_1+C359*(2*k_p3_2+3*k_p3_3*C359))/k_sx</f>
        <v/>
      </c>
      <c r="J359">
        <f>(k_p4_1+C359*(2*k_p4_2+C359*(3*k_p4_3+4*k_p4_4*C359)))/k_sx</f>
        <v/>
      </c>
      <c r="K359">
        <f>k_eb*k_ec*EXP(k_ec*C359)/k_sx</f>
        <v/>
      </c>
      <c r="L359">
        <f>(2*k_p4_2+C359*(6*k_p4_3+12*k_p4_4*C359))/k_sx^2</f>
        <v/>
      </c>
      <c r="M359">
        <f>D359/B359</f>
        <v/>
      </c>
      <c r="N359">
        <f>E359/B359</f>
        <v/>
      </c>
      <c r="O359">
        <f>F359/B359</f>
        <v/>
      </c>
      <c r="P359">
        <f>G359/B359</f>
        <v/>
      </c>
      <c r="Q359">
        <f>CHOOSE(k_model,D359,E359,F359,G359)</f>
        <v/>
      </c>
      <c r="R359">
        <f>CHOOSE(k_model,H359,I359,J359,K359)</f>
        <v/>
      </c>
    </row>
    <row r="360">
      <c r="A360" t="n">
        <v>358</v>
      </c>
      <c r="B360">
        <f>k_lo+k_rng*A360/1000</f>
        <v/>
      </c>
      <c r="C360">
        <f>(B360-k_mx)/k_sx</f>
        <v/>
      </c>
      <c r="D360">
        <f>k_p2_0+C360*(k_p2_1+C360*k_p2_2)</f>
        <v/>
      </c>
      <c r="E360">
        <f>k_p3_0+C360*(k_p3_1+C360*(k_p3_2+C360*k_p3_3))</f>
        <v/>
      </c>
      <c r="F360">
        <f>k_p4_0+C360*(k_p4_1+C360*(k_p4_2+C360*(k_p4_3+C360*k_p4_4)))</f>
        <v/>
      </c>
      <c r="G360">
        <f>k_ea+k_eb*EXP(k_ec*C360)</f>
        <v/>
      </c>
      <c r="H360">
        <f>(k_p2_1+2*k_p2_2*C360)/k_sx</f>
        <v/>
      </c>
      <c r="I360">
        <f>(k_p3_1+C360*(2*k_p3_2+3*k_p3_3*C360))/k_sx</f>
        <v/>
      </c>
      <c r="J360">
        <f>(k_p4_1+C360*(2*k_p4_2+C360*(3*k_p4_3+4*k_p4_4*C360)))/k_sx</f>
        <v/>
      </c>
      <c r="K360">
        <f>k_eb*k_ec*EXP(k_ec*C360)/k_sx</f>
        <v/>
      </c>
      <c r="L360">
        <f>(2*k_p4_2+C360*(6*k_p4_3+12*k_p4_4*C360))/k_sx^2</f>
        <v/>
      </c>
      <c r="M360">
        <f>D360/B360</f>
        <v/>
      </c>
      <c r="N360">
        <f>E360/B360</f>
        <v/>
      </c>
      <c r="O360">
        <f>F360/B360</f>
        <v/>
      </c>
      <c r="P360">
        <f>G360/B360</f>
        <v/>
      </c>
      <c r="Q360">
        <f>CHOOSE(k_model,D360,E360,F360,G360)</f>
        <v/>
      </c>
      <c r="R360">
        <f>CHOOSE(k_model,H360,I360,J360,K360)</f>
        <v/>
      </c>
    </row>
    <row r="361">
      <c r="A361" t="n">
        <v>359</v>
      </c>
      <c r="B361">
        <f>k_lo+k_rng*A361/1000</f>
        <v/>
      </c>
      <c r="C361">
        <f>(B361-k_mx)/k_sx</f>
        <v/>
      </c>
      <c r="D361">
        <f>k_p2_0+C361*(k_p2_1+C361*k_p2_2)</f>
        <v/>
      </c>
      <c r="E361">
        <f>k_p3_0+C361*(k_p3_1+C361*(k_p3_2+C361*k_p3_3))</f>
        <v/>
      </c>
      <c r="F361">
        <f>k_p4_0+C361*(k_p4_1+C361*(k_p4_2+C361*(k_p4_3+C361*k_p4_4)))</f>
        <v/>
      </c>
      <c r="G361">
        <f>k_ea+k_eb*EXP(k_ec*C361)</f>
        <v/>
      </c>
      <c r="H361">
        <f>(k_p2_1+2*k_p2_2*C361)/k_sx</f>
        <v/>
      </c>
      <c r="I361">
        <f>(k_p3_1+C361*(2*k_p3_2+3*k_p3_3*C361))/k_sx</f>
        <v/>
      </c>
      <c r="J361">
        <f>(k_p4_1+C361*(2*k_p4_2+C361*(3*k_p4_3+4*k_p4_4*C361)))/k_sx</f>
        <v/>
      </c>
      <c r="K361">
        <f>k_eb*k_ec*EXP(k_ec*C361)/k_sx</f>
        <v/>
      </c>
      <c r="L361">
        <f>(2*k_p4_2+C361*(6*k_p4_3+12*k_p4_4*C361))/k_sx^2</f>
        <v/>
      </c>
      <c r="M361">
        <f>D361/B361</f>
        <v/>
      </c>
      <c r="N361">
        <f>E361/B361</f>
        <v/>
      </c>
      <c r="O361">
        <f>F361/B361</f>
        <v/>
      </c>
      <c r="P361">
        <f>G361/B361</f>
        <v/>
      </c>
      <c r="Q361">
        <f>CHOOSE(k_model,D361,E361,F361,G361)</f>
        <v/>
      </c>
      <c r="R361">
        <f>CHOOSE(k_model,H361,I361,J361,K361)</f>
        <v/>
      </c>
    </row>
    <row r="362">
      <c r="A362" t="n">
        <v>360</v>
      </c>
      <c r="B362">
        <f>k_lo+k_rng*A362/1000</f>
        <v/>
      </c>
      <c r="C362">
        <f>(B362-k_mx)/k_sx</f>
        <v/>
      </c>
      <c r="D362">
        <f>k_p2_0+C362*(k_p2_1+C362*k_p2_2)</f>
        <v/>
      </c>
      <c r="E362">
        <f>k_p3_0+C362*(k_p3_1+C362*(k_p3_2+C362*k_p3_3))</f>
        <v/>
      </c>
      <c r="F362">
        <f>k_p4_0+C362*(k_p4_1+C362*(k_p4_2+C362*(k_p4_3+C362*k_p4_4)))</f>
        <v/>
      </c>
      <c r="G362">
        <f>k_ea+k_eb*EXP(k_ec*C362)</f>
        <v/>
      </c>
      <c r="H362">
        <f>(k_p2_1+2*k_p2_2*C362)/k_sx</f>
        <v/>
      </c>
      <c r="I362">
        <f>(k_p3_1+C362*(2*k_p3_2+3*k_p3_3*C362))/k_sx</f>
        <v/>
      </c>
      <c r="J362">
        <f>(k_p4_1+C362*(2*k_p4_2+C362*(3*k_p4_3+4*k_p4_4*C362)))/k_sx</f>
        <v/>
      </c>
      <c r="K362">
        <f>k_eb*k_ec*EXP(k_ec*C362)/k_sx</f>
        <v/>
      </c>
      <c r="L362">
        <f>(2*k_p4_2+C362*(6*k_p4_3+12*k_p4_4*C362))/k_sx^2</f>
        <v/>
      </c>
      <c r="M362">
        <f>D362/B362</f>
        <v/>
      </c>
      <c r="N362">
        <f>E362/B362</f>
        <v/>
      </c>
      <c r="O362">
        <f>F362/B362</f>
        <v/>
      </c>
      <c r="P362">
        <f>G362/B362</f>
        <v/>
      </c>
      <c r="Q362">
        <f>CHOOSE(k_model,D362,E362,F362,G362)</f>
        <v/>
      </c>
      <c r="R362">
        <f>CHOOSE(k_model,H362,I362,J362,K362)</f>
        <v/>
      </c>
    </row>
    <row r="363">
      <c r="A363" t="n">
        <v>361</v>
      </c>
      <c r="B363">
        <f>k_lo+k_rng*A363/1000</f>
        <v/>
      </c>
      <c r="C363">
        <f>(B363-k_mx)/k_sx</f>
        <v/>
      </c>
      <c r="D363">
        <f>k_p2_0+C363*(k_p2_1+C363*k_p2_2)</f>
        <v/>
      </c>
      <c r="E363">
        <f>k_p3_0+C363*(k_p3_1+C363*(k_p3_2+C363*k_p3_3))</f>
        <v/>
      </c>
      <c r="F363">
        <f>k_p4_0+C363*(k_p4_1+C363*(k_p4_2+C363*(k_p4_3+C363*k_p4_4)))</f>
        <v/>
      </c>
      <c r="G363">
        <f>k_ea+k_eb*EXP(k_ec*C363)</f>
        <v/>
      </c>
      <c r="H363">
        <f>(k_p2_1+2*k_p2_2*C363)/k_sx</f>
        <v/>
      </c>
      <c r="I363">
        <f>(k_p3_1+C363*(2*k_p3_2+3*k_p3_3*C363))/k_sx</f>
        <v/>
      </c>
      <c r="J363">
        <f>(k_p4_1+C363*(2*k_p4_2+C363*(3*k_p4_3+4*k_p4_4*C363)))/k_sx</f>
        <v/>
      </c>
      <c r="K363">
        <f>k_eb*k_ec*EXP(k_ec*C363)/k_sx</f>
        <v/>
      </c>
      <c r="L363">
        <f>(2*k_p4_2+C363*(6*k_p4_3+12*k_p4_4*C363))/k_sx^2</f>
        <v/>
      </c>
      <c r="M363">
        <f>D363/B363</f>
        <v/>
      </c>
      <c r="N363">
        <f>E363/B363</f>
        <v/>
      </c>
      <c r="O363">
        <f>F363/B363</f>
        <v/>
      </c>
      <c r="P363">
        <f>G363/B363</f>
        <v/>
      </c>
      <c r="Q363">
        <f>CHOOSE(k_model,D363,E363,F363,G363)</f>
        <v/>
      </c>
      <c r="R363">
        <f>CHOOSE(k_model,H363,I363,J363,K363)</f>
        <v/>
      </c>
    </row>
    <row r="364">
      <c r="A364" t="n">
        <v>362</v>
      </c>
      <c r="B364">
        <f>k_lo+k_rng*A364/1000</f>
        <v/>
      </c>
      <c r="C364">
        <f>(B364-k_mx)/k_sx</f>
        <v/>
      </c>
      <c r="D364">
        <f>k_p2_0+C364*(k_p2_1+C364*k_p2_2)</f>
        <v/>
      </c>
      <c r="E364">
        <f>k_p3_0+C364*(k_p3_1+C364*(k_p3_2+C364*k_p3_3))</f>
        <v/>
      </c>
      <c r="F364">
        <f>k_p4_0+C364*(k_p4_1+C364*(k_p4_2+C364*(k_p4_3+C364*k_p4_4)))</f>
        <v/>
      </c>
      <c r="G364">
        <f>k_ea+k_eb*EXP(k_ec*C364)</f>
        <v/>
      </c>
      <c r="H364">
        <f>(k_p2_1+2*k_p2_2*C364)/k_sx</f>
        <v/>
      </c>
      <c r="I364">
        <f>(k_p3_1+C364*(2*k_p3_2+3*k_p3_3*C364))/k_sx</f>
        <v/>
      </c>
      <c r="J364">
        <f>(k_p4_1+C364*(2*k_p4_2+C364*(3*k_p4_3+4*k_p4_4*C364)))/k_sx</f>
        <v/>
      </c>
      <c r="K364">
        <f>k_eb*k_ec*EXP(k_ec*C364)/k_sx</f>
        <v/>
      </c>
      <c r="L364">
        <f>(2*k_p4_2+C364*(6*k_p4_3+12*k_p4_4*C364))/k_sx^2</f>
        <v/>
      </c>
      <c r="M364">
        <f>D364/B364</f>
        <v/>
      </c>
      <c r="N364">
        <f>E364/B364</f>
        <v/>
      </c>
      <c r="O364">
        <f>F364/B364</f>
        <v/>
      </c>
      <c r="P364">
        <f>G364/B364</f>
        <v/>
      </c>
      <c r="Q364">
        <f>CHOOSE(k_model,D364,E364,F364,G364)</f>
        <v/>
      </c>
      <c r="R364">
        <f>CHOOSE(k_model,H364,I364,J364,K364)</f>
        <v/>
      </c>
    </row>
    <row r="365">
      <c r="A365" t="n">
        <v>363</v>
      </c>
      <c r="B365">
        <f>k_lo+k_rng*A365/1000</f>
        <v/>
      </c>
      <c r="C365">
        <f>(B365-k_mx)/k_sx</f>
        <v/>
      </c>
      <c r="D365">
        <f>k_p2_0+C365*(k_p2_1+C365*k_p2_2)</f>
        <v/>
      </c>
      <c r="E365">
        <f>k_p3_0+C365*(k_p3_1+C365*(k_p3_2+C365*k_p3_3))</f>
        <v/>
      </c>
      <c r="F365">
        <f>k_p4_0+C365*(k_p4_1+C365*(k_p4_2+C365*(k_p4_3+C365*k_p4_4)))</f>
        <v/>
      </c>
      <c r="G365">
        <f>k_ea+k_eb*EXP(k_ec*C365)</f>
        <v/>
      </c>
      <c r="H365">
        <f>(k_p2_1+2*k_p2_2*C365)/k_sx</f>
        <v/>
      </c>
      <c r="I365">
        <f>(k_p3_1+C365*(2*k_p3_2+3*k_p3_3*C365))/k_sx</f>
        <v/>
      </c>
      <c r="J365">
        <f>(k_p4_1+C365*(2*k_p4_2+C365*(3*k_p4_3+4*k_p4_4*C365)))/k_sx</f>
        <v/>
      </c>
      <c r="K365">
        <f>k_eb*k_ec*EXP(k_ec*C365)/k_sx</f>
        <v/>
      </c>
      <c r="L365">
        <f>(2*k_p4_2+C365*(6*k_p4_3+12*k_p4_4*C365))/k_sx^2</f>
        <v/>
      </c>
      <c r="M365">
        <f>D365/B365</f>
        <v/>
      </c>
      <c r="N365">
        <f>E365/B365</f>
        <v/>
      </c>
      <c r="O365">
        <f>F365/B365</f>
        <v/>
      </c>
      <c r="P365">
        <f>G365/B365</f>
        <v/>
      </c>
      <c r="Q365">
        <f>CHOOSE(k_model,D365,E365,F365,G365)</f>
        <v/>
      </c>
      <c r="R365">
        <f>CHOOSE(k_model,H365,I365,J365,K365)</f>
        <v/>
      </c>
    </row>
    <row r="366">
      <c r="A366" t="n">
        <v>364</v>
      </c>
      <c r="B366">
        <f>k_lo+k_rng*A366/1000</f>
        <v/>
      </c>
      <c r="C366">
        <f>(B366-k_mx)/k_sx</f>
        <v/>
      </c>
      <c r="D366">
        <f>k_p2_0+C366*(k_p2_1+C366*k_p2_2)</f>
        <v/>
      </c>
      <c r="E366">
        <f>k_p3_0+C366*(k_p3_1+C366*(k_p3_2+C366*k_p3_3))</f>
        <v/>
      </c>
      <c r="F366">
        <f>k_p4_0+C366*(k_p4_1+C366*(k_p4_2+C366*(k_p4_3+C366*k_p4_4)))</f>
        <v/>
      </c>
      <c r="G366">
        <f>k_ea+k_eb*EXP(k_ec*C366)</f>
        <v/>
      </c>
      <c r="H366">
        <f>(k_p2_1+2*k_p2_2*C366)/k_sx</f>
        <v/>
      </c>
      <c r="I366">
        <f>(k_p3_1+C366*(2*k_p3_2+3*k_p3_3*C366))/k_sx</f>
        <v/>
      </c>
      <c r="J366">
        <f>(k_p4_1+C366*(2*k_p4_2+C366*(3*k_p4_3+4*k_p4_4*C366)))/k_sx</f>
        <v/>
      </c>
      <c r="K366">
        <f>k_eb*k_ec*EXP(k_ec*C366)/k_sx</f>
        <v/>
      </c>
      <c r="L366">
        <f>(2*k_p4_2+C366*(6*k_p4_3+12*k_p4_4*C366))/k_sx^2</f>
        <v/>
      </c>
      <c r="M366">
        <f>D366/B366</f>
        <v/>
      </c>
      <c r="N366">
        <f>E366/B366</f>
        <v/>
      </c>
      <c r="O366">
        <f>F366/B366</f>
        <v/>
      </c>
      <c r="P366">
        <f>G366/B366</f>
        <v/>
      </c>
      <c r="Q366">
        <f>CHOOSE(k_model,D366,E366,F366,G366)</f>
        <v/>
      </c>
      <c r="R366">
        <f>CHOOSE(k_model,H366,I366,J366,K366)</f>
        <v/>
      </c>
    </row>
    <row r="367">
      <c r="A367" t="n">
        <v>365</v>
      </c>
      <c r="B367">
        <f>k_lo+k_rng*A367/1000</f>
        <v/>
      </c>
      <c r="C367">
        <f>(B367-k_mx)/k_sx</f>
        <v/>
      </c>
      <c r="D367">
        <f>k_p2_0+C367*(k_p2_1+C367*k_p2_2)</f>
        <v/>
      </c>
      <c r="E367">
        <f>k_p3_0+C367*(k_p3_1+C367*(k_p3_2+C367*k_p3_3))</f>
        <v/>
      </c>
      <c r="F367">
        <f>k_p4_0+C367*(k_p4_1+C367*(k_p4_2+C367*(k_p4_3+C367*k_p4_4)))</f>
        <v/>
      </c>
      <c r="G367">
        <f>k_ea+k_eb*EXP(k_ec*C367)</f>
        <v/>
      </c>
      <c r="H367">
        <f>(k_p2_1+2*k_p2_2*C367)/k_sx</f>
        <v/>
      </c>
      <c r="I367">
        <f>(k_p3_1+C367*(2*k_p3_2+3*k_p3_3*C367))/k_sx</f>
        <v/>
      </c>
      <c r="J367">
        <f>(k_p4_1+C367*(2*k_p4_2+C367*(3*k_p4_3+4*k_p4_4*C367)))/k_sx</f>
        <v/>
      </c>
      <c r="K367">
        <f>k_eb*k_ec*EXP(k_ec*C367)/k_sx</f>
        <v/>
      </c>
      <c r="L367">
        <f>(2*k_p4_2+C367*(6*k_p4_3+12*k_p4_4*C367))/k_sx^2</f>
        <v/>
      </c>
      <c r="M367">
        <f>D367/B367</f>
        <v/>
      </c>
      <c r="N367">
        <f>E367/B367</f>
        <v/>
      </c>
      <c r="O367">
        <f>F367/B367</f>
        <v/>
      </c>
      <c r="P367">
        <f>G367/B367</f>
        <v/>
      </c>
      <c r="Q367">
        <f>CHOOSE(k_model,D367,E367,F367,G367)</f>
        <v/>
      </c>
      <c r="R367">
        <f>CHOOSE(k_model,H367,I367,J367,K367)</f>
        <v/>
      </c>
    </row>
    <row r="368">
      <c r="A368" t="n">
        <v>366</v>
      </c>
      <c r="B368">
        <f>k_lo+k_rng*A368/1000</f>
        <v/>
      </c>
      <c r="C368">
        <f>(B368-k_mx)/k_sx</f>
        <v/>
      </c>
      <c r="D368">
        <f>k_p2_0+C368*(k_p2_1+C368*k_p2_2)</f>
        <v/>
      </c>
      <c r="E368">
        <f>k_p3_0+C368*(k_p3_1+C368*(k_p3_2+C368*k_p3_3))</f>
        <v/>
      </c>
      <c r="F368">
        <f>k_p4_0+C368*(k_p4_1+C368*(k_p4_2+C368*(k_p4_3+C368*k_p4_4)))</f>
        <v/>
      </c>
      <c r="G368">
        <f>k_ea+k_eb*EXP(k_ec*C368)</f>
        <v/>
      </c>
      <c r="H368">
        <f>(k_p2_1+2*k_p2_2*C368)/k_sx</f>
        <v/>
      </c>
      <c r="I368">
        <f>(k_p3_1+C368*(2*k_p3_2+3*k_p3_3*C368))/k_sx</f>
        <v/>
      </c>
      <c r="J368">
        <f>(k_p4_1+C368*(2*k_p4_2+C368*(3*k_p4_3+4*k_p4_4*C368)))/k_sx</f>
        <v/>
      </c>
      <c r="K368">
        <f>k_eb*k_ec*EXP(k_ec*C368)/k_sx</f>
        <v/>
      </c>
      <c r="L368">
        <f>(2*k_p4_2+C368*(6*k_p4_3+12*k_p4_4*C368))/k_sx^2</f>
        <v/>
      </c>
      <c r="M368">
        <f>D368/B368</f>
        <v/>
      </c>
      <c r="N368">
        <f>E368/B368</f>
        <v/>
      </c>
      <c r="O368">
        <f>F368/B368</f>
        <v/>
      </c>
      <c r="P368">
        <f>G368/B368</f>
        <v/>
      </c>
      <c r="Q368">
        <f>CHOOSE(k_model,D368,E368,F368,G368)</f>
        <v/>
      </c>
      <c r="R368">
        <f>CHOOSE(k_model,H368,I368,J368,K368)</f>
        <v/>
      </c>
    </row>
    <row r="369">
      <c r="A369" t="n">
        <v>367</v>
      </c>
      <c r="B369">
        <f>k_lo+k_rng*A369/1000</f>
        <v/>
      </c>
      <c r="C369">
        <f>(B369-k_mx)/k_sx</f>
        <v/>
      </c>
      <c r="D369">
        <f>k_p2_0+C369*(k_p2_1+C369*k_p2_2)</f>
        <v/>
      </c>
      <c r="E369">
        <f>k_p3_0+C369*(k_p3_1+C369*(k_p3_2+C369*k_p3_3))</f>
        <v/>
      </c>
      <c r="F369">
        <f>k_p4_0+C369*(k_p4_1+C369*(k_p4_2+C369*(k_p4_3+C369*k_p4_4)))</f>
        <v/>
      </c>
      <c r="G369">
        <f>k_ea+k_eb*EXP(k_ec*C369)</f>
        <v/>
      </c>
      <c r="H369">
        <f>(k_p2_1+2*k_p2_2*C369)/k_sx</f>
        <v/>
      </c>
      <c r="I369">
        <f>(k_p3_1+C369*(2*k_p3_2+3*k_p3_3*C369))/k_sx</f>
        <v/>
      </c>
      <c r="J369">
        <f>(k_p4_1+C369*(2*k_p4_2+C369*(3*k_p4_3+4*k_p4_4*C369)))/k_sx</f>
        <v/>
      </c>
      <c r="K369">
        <f>k_eb*k_ec*EXP(k_ec*C369)/k_sx</f>
        <v/>
      </c>
      <c r="L369">
        <f>(2*k_p4_2+C369*(6*k_p4_3+12*k_p4_4*C369))/k_sx^2</f>
        <v/>
      </c>
      <c r="M369">
        <f>D369/B369</f>
        <v/>
      </c>
      <c r="N369">
        <f>E369/B369</f>
        <v/>
      </c>
      <c r="O369">
        <f>F369/B369</f>
        <v/>
      </c>
      <c r="P369">
        <f>G369/B369</f>
        <v/>
      </c>
      <c r="Q369">
        <f>CHOOSE(k_model,D369,E369,F369,G369)</f>
        <v/>
      </c>
      <c r="R369">
        <f>CHOOSE(k_model,H369,I369,J369,K369)</f>
        <v/>
      </c>
    </row>
    <row r="370">
      <c r="A370" t="n">
        <v>368</v>
      </c>
      <c r="B370">
        <f>k_lo+k_rng*A370/1000</f>
        <v/>
      </c>
      <c r="C370">
        <f>(B370-k_mx)/k_sx</f>
        <v/>
      </c>
      <c r="D370">
        <f>k_p2_0+C370*(k_p2_1+C370*k_p2_2)</f>
        <v/>
      </c>
      <c r="E370">
        <f>k_p3_0+C370*(k_p3_1+C370*(k_p3_2+C370*k_p3_3))</f>
        <v/>
      </c>
      <c r="F370">
        <f>k_p4_0+C370*(k_p4_1+C370*(k_p4_2+C370*(k_p4_3+C370*k_p4_4)))</f>
        <v/>
      </c>
      <c r="G370">
        <f>k_ea+k_eb*EXP(k_ec*C370)</f>
        <v/>
      </c>
      <c r="H370">
        <f>(k_p2_1+2*k_p2_2*C370)/k_sx</f>
        <v/>
      </c>
      <c r="I370">
        <f>(k_p3_1+C370*(2*k_p3_2+3*k_p3_3*C370))/k_sx</f>
        <v/>
      </c>
      <c r="J370">
        <f>(k_p4_1+C370*(2*k_p4_2+C370*(3*k_p4_3+4*k_p4_4*C370)))/k_sx</f>
        <v/>
      </c>
      <c r="K370">
        <f>k_eb*k_ec*EXP(k_ec*C370)/k_sx</f>
        <v/>
      </c>
      <c r="L370">
        <f>(2*k_p4_2+C370*(6*k_p4_3+12*k_p4_4*C370))/k_sx^2</f>
        <v/>
      </c>
      <c r="M370">
        <f>D370/B370</f>
        <v/>
      </c>
      <c r="N370">
        <f>E370/B370</f>
        <v/>
      </c>
      <c r="O370">
        <f>F370/B370</f>
        <v/>
      </c>
      <c r="P370">
        <f>G370/B370</f>
        <v/>
      </c>
      <c r="Q370">
        <f>CHOOSE(k_model,D370,E370,F370,G370)</f>
        <v/>
      </c>
      <c r="R370">
        <f>CHOOSE(k_model,H370,I370,J370,K370)</f>
        <v/>
      </c>
    </row>
    <row r="371">
      <c r="A371" t="n">
        <v>369</v>
      </c>
      <c r="B371">
        <f>k_lo+k_rng*A371/1000</f>
        <v/>
      </c>
      <c r="C371">
        <f>(B371-k_mx)/k_sx</f>
        <v/>
      </c>
      <c r="D371">
        <f>k_p2_0+C371*(k_p2_1+C371*k_p2_2)</f>
        <v/>
      </c>
      <c r="E371">
        <f>k_p3_0+C371*(k_p3_1+C371*(k_p3_2+C371*k_p3_3))</f>
        <v/>
      </c>
      <c r="F371">
        <f>k_p4_0+C371*(k_p4_1+C371*(k_p4_2+C371*(k_p4_3+C371*k_p4_4)))</f>
        <v/>
      </c>
      <c r="G371">
        <f>k_ea+k_eb*EXP(k_ec*C371)</f>
        <v/>
      </c>
      <c r="H371">
        <f>(k_p2_1+2*k_p2_2*C371)/k_sx</f>
        <v/>
      </c>
      <c r="I371">
        <f>(k_p3_1+C371*(2*k_p3_2+3*k_p3_3*C371))/k_sx</f>
        <v/>
      </c>
      <c r="J371">
        <f>(k_p4_1+C371*(2*k_p4_2+C371*(3*k_p4_3+4*k_p4_4*C371)))/k_sx</f>
        <v/>
      </c>
      <c r="K371">
        <f>k_eb*k_ec*EXP(k_ec*C371)/k_sx</f>
        <v/>
      </c>
      <c r="L371">
        <f>(2*k_p4_2+C371*(6*k_p4_3+12*k_p4_4*C371))/k_sx^2</f>
        <v/>
      </c>
      <c r="M371">
        <f>D371/B371</f>
        <v/>
      </c>
      <c r="N371">
        <f>E371/B371</f>
        <v/>
      </c>
      <c r="O371">
        <f>F371/B371</f>
        <v/>
      </c>
      <c r="P371">
        <f>G371/B371</f>
        <v/>
      </c>
      <c r="Q371">
        <f>CHOOSE(k_model,D371,E371,F371,G371)</f>
        <v/>
      </c>
      <c r="R371">
        <f>CHOOSE(k_model,H371,I371,J371,K371)</f>
        <v/>
      </c>
    </row>
    <row r="372">
      <c r="A372" t="n">
        <v>370</v>
      </c>
      <c r="B372">
        <f>k_lo+k_rng*A372/1000</f>
        <v/>
      </c>
      <c r="C372">
        <f>(B372-k_mx)/k_sx</f>
        <v/>
      </c>
      <c r="D372">
        <f>k_p2_0+C372*(k_p2_1+C372*k_p2_2)</f>
        <v/>
      </c>
      <c r="E372">
        <f>k_p3_0+C372*(k_p3_1+C372*(k_p3_2+C372*k_p3_3))</f>
        <v/>
      </c>
      <c r="F372">
        <f>k_p4_0+C372*(k_p4_1+C372*(k_p4_2+C372*(k_p4_3+C372*k_p4_4)))</f>
        <v/>
      </c>
      <c r="G372">
        <f>k_ea+k_eb*EXP(k_ec*C372)</f>
        <v/>
      </c>
      <c r="H372">
        <f>(k_p2_1+2*k_p2_2*C372)/k_sx</f>
        <v/>
      </c>
      <c r="I372">
        <f>(k_p3_1+C372*(2*k_p3_2+3*k_p3_3*C372))/k_sx</f>
        <v/>
      </c>
      <c r="J372">
        <f>(k_p4_1+C372*(2*k_p4_2+C372*(3*k_p4_3+4*k_p4_4*C372)))/k_sx</f>
        <v/>
      </c>
      <c r="K372">
        <f>k_eb*k_ec*EXP(k_ec*C372)/k_sx</f>
        <v/>
      </c>
      <c r="L372">
        <f>(2*k_p4_2+C372*(6*k_p4_3+12*k_p4_4*C372))/k_sx^2</f>
        <v/>
      </c>
      <c r="M372">
        <f>D372/B372</f>
        <v/>
      </c>
      <c r="N372">
        <f>E372/B372</f>
        <v/>
      </c>
      <c r="O372">
        <f>F372/B372</f>
        <v/>
      </c>
      <c r="P372">
        <f>G372/B372</f>
        <v/>
      </c>
      <c r="Q372">
        <f>CHOOSE(k_model,D372,E372,F372,G372)</f>
        <v/>
      </c>
      <c r="R372">
        <f>CHOOSE(k_model,H372,I372,J372,K372)</f>
        <v/>
      </c>
    </row>
    <row r="373">
      <c r="A373" t="n">
        <v>371</v>
      </c>
      <c r="B373">
        <f>k_lo+k_rng*A373/1000</f>
        <v/>
      </c>
      <c r="C373">
        <f>(B373-k_mx)/k_sx</f>
        <v/>
      </c>
      <c r="D373">
        <f>k_p2_0+C373*(k_p2_1+C373*k_p2_2)</f>
        <v/>
      </c>
      <c r="E373">
        <f>k_p3_0+C373*(k_p3_1+C373*(k_p3_2+C373*k_p3_3))</f>
        <v/>
      </c>
      <c r="F373">
        <f>k_p4_0+C373*(k_p4_1+C373*(k_p4_2+C373*(k_p4_3+C373*k_p4_4)))</f>
        <v/>
      </c>
      <c r="G373">
        <f>k_ea+k_eb*EXP(k_ec*C373)</f>
        <v/>
      </c>
      <c r="H373">
        <f>(k_p2_1+2*k_p2_2*C373)/k_sx</f>
        <v/>
      </c>
      <c r="I373">
        <f>(k_p3_1+C373*(2*k_p3_2+3*k_p3_3*C373))/k_sx</f>
        <v/>
      </c>
      <c r="J373">
        <f>(k_p4_1+C373*(2*k_p4_2+C373*(3*k_p4_3+4*k_p4_4*C373)))/k_sx</f>
        <v/>
      </c>
      <c r="K373">
        <f>k_eb*k_ec*EXP(k_ec*C373)/k_sx</f>
        <v/>
      </c>
      <c r="L373">
        <f>(2*k_p4_2+C373*(6*k_p4_3+12*k_p4_4*C373))/k_sx^2</f>
        <v/>
      </c>
      <c r="M373">
        <f>D373/B373</f>
        <v/>
      </c>
      <c r="N373">
        <f>E373/B373</f>
        <v/>
      </c>
      <c r="O373">
        <f>F373/B373</f>
        <v/>
      </c>
      <c r="P373">
        <f>G373/B373</f>
        <v/>
      </c>
      <c r="Q373">
        <f>CHOOSE(k_model,D373,E373,F373,G373)</f>
        <v/>
      </c>
      <c r="R373">
        <f>CHOOSE(k_model,H373,I373,J373,K373)</f>
        <v/>
      </c>
    </row>
    <row r="374">
      <c r="A374" t="n">
        <v>372</v>
      </c>
      <c r="B374">
        <f>k_lo+k_rng*A374/1000</f>
        <v/>
      </c>
      <c r="C374">
        <f>(B374-k_mx)/k_sx</f>
        <v/>
      </c>
      <c r="D374">
        <f>k_p2_0+C374*(k_p2_1+C374*k_p2_2)</f>
        <v/>
      </c>
      <c r="E374">
        <f>k_p3_0+C374*(k_p3_1+C374*(k_p3_2+C374*k_p3_3))</f>
        <v/>
      </c>
      <c r="F374">
        <f>k_p4_0+C374*(k_p4_1+C374*(k_p4_2+C374*(k_p4_3+C374*k_p4_4)))</f>
        <v/>
      </c>
      <c r="G374">
        <f>k_ea+k_eb*EXP(k_ec*C374)</f>
        <v/>
      </c>
      <c r="H374">
        <f>(k_p2_1+2*k_p2_2*C374)/k_sx</f>
        <v/>
      </c>
      <c r="I374">
        <f>(k_p3_1+C374*(2*k_p3_2+3*k_p3_3*C374))/k_sx</f>
        <v/>
      </c>
      <c r="J374">
        <f>(k_p4_1+C374*(2*k_p4_2+C374*(3*k_p4_3+4*k_p4_4*C374)))/k_sx</f>
        <v/>
      </c>
      <c r="K374">
        <f>k_eb*k_ec*EXP(k_ec*C374)/k_sx</f>
        <v/>
      </c>
      <c r="L374">
        <f>(2*k_p4_2+C374*(6*k_p4_3+12*k_p4_4*C374))/k_sx^2</f>
        <v/>
      </c>
      <c r="M374">
        <f>D374/B374</f>
        <v/>
      </c>
      <c r="N374">
        <f>E374/B374</f>
        <v/>
      </c>
      <c r="O374">
        <f>F374/B374</f>
        <v/>
      </c>
      <c r="P374">
        <f>G374/B374</f>
        <v/>
      </c>
      <c r="Q374">
        <f>CHOOSE(k_model,D374,E374,F374,G374)</f>
        <v/>
      </c>
      <c r="R374">
        <f>CHOOSE(k_model,H374,I374,J374,K374)</f>
        <v/>
      </c>
    </row>
    <row r="375">
      <c r="A375" t="n">
        <v>373</v>
      </c>
      <c r="B375">
        <f>k_lo+k_rng*A375/1000</f>
        <v/>
      </c>
      <c r="C375">
        <f>(B375-k_mx)/k_sx</f>
        <v/>
      </c>
      <c r="D375">
        <f>k_p2_0+C375*(k_p2_1+C375*k_p2_2)</f>
        <v/>
      </c>
      <c r="E375">
        <f>k_p3_0+C375*(k_p3_1+C375*(k_p3_2+C375*k_p3_3))</f>
        <v/>
      </c>
      <c r="F375">
        <f>k_p4_0+C375*(k_p4_1+C375*(k_p4_2+C375*(k_p4_3+C375*k_p4_4)))</f>
        <v/>
      </c>
      <c r="G375">
        <f>k_ea+k_eb*EXP(k_ec*C375)</f>
        <v/>
      </c>
      <c r="H375">
        <f>(k_p2_1+2*k_p2_2*C375)/k_sx</f>
        <v/>
      </c>
      <c r="I375">
        <f>(k_p3_1+C375*(2*k_p3_2+3*k_p3_3*C375))/k_sx</f>
        <v/>
      </c>
      <c r="J375">
        <f>(k_p4_1+C375*(2*k_p4_2+C375*(3*k_p4_3+4*k_p4_4*C375)))/k_sx</f>
        <v/>
      </c>
      <c r="K375">
        <f>k_eb*k_ec*EXP(k_ec*C375)/k_sx</f>
        <v/>
      </c>
      <c r="L375">
        <f>(2*k_p4_2+C375*(6*k_p4_3+12*k_p4_4*C375))/k_sx^2</f>
        <v/>
      </c>
      <c r="M375">
        <f>D375/B375</f>
        <v/>
      </c>
      <c r="N375">
        <f>E375/B375</f>
        <v/>
      </c>
      <c r="O375">
        <f>F375/B375</f>
        <v/>
      </c>
      <c r="P375">
        <f>G375/B375</f>
        <v/>
      </c>
      <c r="Q375">
        <f>CHOOSE(k_model,D375,E375,F375,G375)</f>
        <v/>
      </c>
      <c r="R375">
        <f>CHOOSE(k_model,H375,I375,J375,K375)</f>
        <v/>
      </c>
    </row>
    <row r="376">
      <c r="A376" t="n">
        <v>374</v>
      </c>
      <c r="B376">
        <f>k_lo+k_rng*A376/1000</f>
        <v/>
      </c>
      <c r="C376">
        <f>(B376-k_mx)/k_sx</f>
        <v/>
      </c>
      <c r="D376">
        <f>k_p2_0+C376*(k_p2_1+C376*k_p2_2)</f>
        <v/>
      </c>
      <c r="E376">
        <f>k_p3_0+C376*(k_p3_1+C376*(k_p3_2+C376*k_p3_3))</f>
        <v/>
      </c>
      <c r="F376">
        <f>k_p4_0+C376*(k_p4_1+C376*(k_p4_2+C376*(k_p4_3+C376*k_p4_4)))</f>
        <v/>
      </c>
      <c r="G376">
        <f>k_ea+k_eb*EXP(k_ec*C376)</f>
        <v/>
      </c>
      <c r="H376">
        <f>(k_p2_1+2*k_p2_2*C376)/k_sx</f>
        <v/>
      </c>
      <c r="I376">
        <f>(k_p3_1+C376*(2*k_p3_2+3*k_p3_3*C376))/k_sx</f>
        <v/>
      </c>
      <c r="J376">
        <f>(k_p4_1+C376*(2*k_p4_2+C376*(3*k_p4_3+4*k_p4_4*C376)))/k_sx</f>
        <v/>
      </c>
      <c r="K376">
        <f>k_eb*k_ec*EXP(k_ec*C376)/k_sx</f>
        <v/>
      </c>
      <c r="L376">
        <f>(2*k_p4_2+C376*(6*k_p4_3+12*k_p4_4*C376))/k_sx^2</f>
        <v/>
      </c>
      <c r="M376">
        <f>D376/B376</f>
        <v/>
      </c>
      <c r="N376">
        <f>E376/B376</f>
        <v/>
      </c>
      <c r="O376">
        <f>F376/B376</f>
        <v/>
      </c>
      <c r="P376">
        <f>G376/B376</f>
        <v/>
      </c>
      <c r="Q376">
        <f>CHOOSE(k_model,D376,E376,F376,G376)</f>
        <v/>
      </c>
      <c r="R376">
        <f>CHOOSE(k_model,H376,I376,J376,K376)</f>
        <v/>
      </c>
    </row>
    <row r="377">
      <c r="A377" t="n">
        <v>375</v>
      </c>
      <c r="B377">
        <f>k_lo+k_rng*A377/1000</f>
        <v/>
      </c>
      <c r="C377">
        <f>(B377-k_mx)/k_sx</f>
        <v/>
      </c>
      <c r="D377">
        <f>k_p2_0+C377*(k_p2_1+C377*k_p2_2)</f>
        <v/>
      </c>
      <c r="E377">
        <f>k_p3_0+C377*(k_p3_1+C377*(k_p3_2+C377*k_p3_3))</f>
        <v/>
      </c>
      <c r="F377">
        <f>k_p4_0+C377*(k_p4_1+C377*(k_p4_2+C377*(k_p4_3+C377*k_p4_4)))</f>
        <v/>
      </c>
      <c r="G377">
        <f>k_ea+k_eb*EXP(k_ec*C377)</f>
        <v/>
      </c>
      <c r="H377">
        <f>(k_p2_1+2*k_p2_2*C377)/k_sx</f>
        <v/>
      </c>
      <c r="I377">
        <f>(k_p3_1+C377*(2*k_p3_2+3*k_p3_3*C377))/k_sx</f>
        <v/>
      </c>
      <c r="J377">
        <f>(k_p4_1+C377*(2*k_p4_2+C377*(3*k_p4_3+4*k_p4_4*C377)))/k_sx</f>
        <v/>
      </c>
      <c r="K377">
        <f>k_eb*k_ec*EXP(k_ec*C377)/k_sx</f>
        <v/>
      </c>
      <c r="L377">
        <f>(2*k_p4_2+C377*(6*k_p4_3+12*k_p4_4*C377))/k_sx^2</f>
        <v/>
      </c>
      <c r="M377">
        <f>D377/B377</f>
        <v/>
      </c>
      <c r="N377">
        <f>E377/B377</f>
        <v/>
      </c>
      <c r="O377">
        <f>F377/B377</f>
        <v/>
      </c>
      <c r="P377">
        <f>G377/B377</f>
        <v/>
      </c>
      <c r="Q377">
        <f>CHOOSE(k_model,D377,E377,F377,G377)</f>
        <v/>
      </c>
      <c r="R377">
        <f>CHOOSE(k_model,H377,I377,J377,K377)</f>
        <v/>
      </c>
    </row>
    <row r="378">
      <c r="A378" t="n">
        <v>376</v>
      </c>
      <c r="B378">
        <f>k_lo+k_rng*A378/1000</f>
        <v/>
      </c>
      <c r="C378">
        <f>(B378-k_mx)/k_sx</f>
        <v/>
      </c>
      <c r="D378">
        <f>k_p2_0+C378*(k_p2_1+C378*k_p2_2)</f>
        <v/>
      </c>
      <c r="E378">
        <f>k_p3_0+C378*(k_p3_1+C378*(k_p3_2+C378*k_p3_3))</f>
        <v/>
      </c>
      <c r="F378">
        <f>k_p4_0+C378*(k_p4_1+C378*(k_p4_2+C378*(k_p4_3+C378*k_p4_4)))</f>
        <v/>
      </c>
      <c r="G378">
        <f>k_ea+k_eb*EXP(k_ec*C378)</f>
        <v/>
      </c>
      <c r="H378">
        <f>(k_p2_1+2*k_p2_2*C378)/k_sx</f>
        <v/>
      </c>
      <c r="I378">
        <f>(k_p3_1+C378*(2*k_p3_2+3*k_p3_3*C378))/k_sx</f>
        <v/>
      </c>
      <c r="J378">
        <f>(k_p4_1+C378*(2*k_p4_2+C378*(3*k_p4_3+4*k_p4_4*C378)))/k_sx</f>
        <v/>
      </c>
      <c r="K378">
        <f>k_eb*k_ec*EXP(k_ec*C378)/k_sx</f>
        <v/>
      </c>
      <c r="L378">
        <f>(2*k_p4_2+C378*(6*k_p4_3+12*k_p4_4*C378))/k_sx^2</f>
        <v/>
      </c>
      <c r="M378">
        <f>D378/B378</f>
        <v/>
      </c>
      <c r="N378">
        <f>E378/B378</f>
        <v/>
      </c>
      <c r="O378">
        <f>F378/B378</f>
        <v/>
      </c>
      <c r="P378">
        <f>G378/B378</f>
        <v/>
      </c>
      <c r="Q378">
        <f>CHOOSE(k_model,D378,E378,F378,G378)</f>
        <v/>
      </c>
      <c r="R378">
        <f>CHOOSE(k_model,H378,I378,J378,K378)</f>
        <v/>
      </c>
    </row>
    <row r="379">
      <c r="A379" t="n">
        <v>377</v>
      </c>
      <c r="B379">
        <f>k_lo+k_rng*A379/1000</f>
        <v/>
      </c>
      <c r="C379">
        <f>(B379-k_mx)/k_sx</f>
        <v/>
      </c>
      <c r="D379">
        <f>k_p2_0+C379*(k_p2_1+C379*k_p2_2)</f>
        <v/>
      </c>
      <c r="E379">
        <f>k_p3_0+C379*(k_p3_1+C379*(k_p3_2+C379*k_p3_3))</f>
        <v/>
      </c>
      <c r="F379">
        <f>k_p4_0+C379*(k_p4_1+C379*(k_p4_2+C379*(k_p4_3+C379*k_p4_4)))</f>
        <v/>
      </c>
      <c r="G379">
        <f>k_ea+k_eb*EXP(k_ec*C379)</f>
        <v/>
      </c>
      <c r="H379">
        <f>(k_p2_1+2*k_p2_2*C379)/k_sx</f>
        <v/>
      </c>
      <c r="I379">
        <f>(k_p3_1+C379*(2*k_p3_2+3*k_p3_3*C379))/k_sx</f>
        <v/>
      </c>
      <c r="J379">
        <f>(k_p4_1+C379*(2*k_p4_2+C379*(3*k_p4_3+4*k_p4_4*C379)))/k_sx</f>
        <v/>
      </c>
      <c r="K379">
        <f>k_eb*k_ec*EXP(k_ec*C379)/k_sx</f>
        <v/>
      </c>
      <c r="L379">
        <f>(2*k_p4_2+C379*(6*k_p4_3+12*k_p4_4*C379))/k_sx^2</f>
        <v/>
      </c>
      <c r="M379">
        <f>D379/B379</f>
        <v/>
      </c>
      <c r="N379">
        <f>E379/B379</f>
        <v/>
      </c>
      <c r="O379">
        <f>F379/B379</f>
        <v/>
      </c>
      <c r="P379">
        <f>G379/B379</f>
        <v/>
      </c>
      <c r="Q379">
        <f>CHOOSE(k_model,D379,E379,F379,G379)</f>
        <v/>
      </c>
      <c r="R379">
        <f>CHOOSE(k_model,H379,I379,J379,K379)</f>
        <v/>
      </c>
    </row>
    <row r="380">
      <c r="A380" t="n">
        <v>378</v>
      </c>
      <c r="B380">
        <f>k_lo+k_rng*A380/1000</f>
        <v/>
      </c>
      <c r="C380">
        <f>(B380-k_mx)/k_sx</f>
        <v/>
      </c>
      <c r="D380">
        <f>k_p2_0+C380*(k_p2_1+C380*k_p2_2)</f>
        <v/>
      </c>
      <c r="E380">
        <f>k_p3_0+C380*(k_p3_1+C380*(k_p3_2+C380*k_p3_3))</f>
        <v/>
      </c>
      <c r="F380">
        <f>k_p4_0+C380*(k_p4_1+C380*(k_p4_2+C380*(k_p4_3+C380*k_p4_4)))</f>
        <v/>
      </c>
      <c r="G380">
        <f>k_ea+k_eb*EXP(k_ec*C380)</f>
        <v/>
      </c>
      <c r="H380">
        <f>(k_p2_1+2*k_p2_2*C380)/k_sx</f>
        <v/>
      </c>
      <c r="I380">
        <f>(k_p3_1+C380*(2*k_p3_2+3*k_p3_3*C380))/k_sx</f>
        <v/>
      </c>
      <c r="J380">
        <f>(k_p4_1+C380*(2*k_p4_2+C380*(3*k_p4_3+4*k_p4_4*C380)))/k_sx</f>
        <v/>
      </c>
      <c r="K380">
        <f>k_eb*k_ec*EXP(k_ec*C380)/k_sx</f>
        <v/>
      </c>
      <c r="L380">
        <f>(2*k_p4_2+C380*(6*k_p4_3+12*k_p4_4*C380))/k_sx^2</f>
        <v/>
      </c>
      <c r="M380">
        <f>D380/B380</f>
        <v/>
      </c>
      <c r="N380">
        <f>E380/B380</f>
        <v/>
      </c>
      <c r="O380">
        <f>F380/B380</f>
        <v/>
      </c>
      <c r="P380">
        <f>G380/B380</f>
        <v/>
      </c>
      <c r="Q380">
        <f>CHOOSE(k_model,D380,E380,F380,G380)</f>
        <v/>
      </c>
      <c r="R380">
        <f>CHOOSE(k_model,H380,I380,J380,K380)</f>
        <v/>
      </c>
    </row>
    <row r="381">
      <c r="A381" t="n">
        <v>379</v>
      </c>
      <c r="B381">
        <f>k_lo+k_rng*A381/1000</f>
        <v/>
      </c>
      <c r="C381">
        <f>(B381-k_mx)/k_sx</f>
        <v/>
      </c>
      <c r="D381">
        <f>k_p2_0+C381*(k_p2_1+C381*k_p2_2)</f>
        <v/>
      </c>
      <c r="E381">
        <f>k_p3_0+C381*(k_p3_1+C381*(k_p3_2+C381*k_p3_3))</f>
        <v/>
      </c>
      <c r="F381">
        <f>k_p4_0+C381*(k_p4_1+C381*(k_p4_2+C381*(k_p4_3+C381*k_p4_4)))</f>
        <v/>
      </c>
      <c r="G381">
        <f>k_ea+k_eb*EXP(k_ec*C381)</f>
        <v/>
      </c>
      <c r="H381">
        <f>(k_p2_1+2*k_p2_2*C381)/k_sx</f>
        <v/>
      </c>
      <c r="I381">
        <f>(k_p3_1+C381*(2*k_p3_2+3*k_p3_3*C381))/k_sx</f>
        <v/>
      </c>
      <c r="J381">
        <f>(k_p4_1+C381*(2*k_p4_2+C381*(3*k_p4_3+4*k_p4_4*C381)))/k_sx</f>
        <v/>
      </c>
      <c r="K381">
        <f>k_eb*k_ec*EXP(k_ec*C381)/k_sx</f>
        <v/>
      </c>
      <c r="L381">
        <f>(2*k_p4_2+C381*(6*k_p4_3+12*k_p4_4*C381))/k_sx^2</f>
        <v/>
      </c>
      <c r="M381">
        <f>D381/B381</f>
        <v/>
      </c>
      <c r="N381">
        <f>E381/B381</f>
        <v/>
      </c>
      <c r="O381">
        <f>F381/B381</f>
        <v/>
      </c>
      <c r="P381">
        <f>G381/B381</f>
        <v/>
      </c>
      <c r="Q381">
        <f>CHOOSE(k_model,D381,E381,F381,G381)</f>
        <v/>
      </c>
      <c r="R381">
        <f>CHOOSE(k_model,H381,I381,J381,K381)</f>
        <v/>
      </c>
    </row>
    <row r="382">
      <c r="A382" t="n">
        <v>380</v>
      </c>
      <c r="B382">
        <f>k_lo+k_rng*A382/1000</f>
        <v/>
      </c>
      <c r="C382">
        <f>(B382-k_mx)/k_sx</f>
        <v/>
      </c>
      <c r="D382">
        <f>k_p2_0+C382*(k_p2_1+C382*k_p2_2)</f>
        <v/>
      </c>
      <c r="E382">
        <f>k_p3_0+C382*(k_p3_1+C382*(k_p3_2+C382*k_p3_3))</f>
        <v/>
      </c>
      <c r="F382">
        <f>k_p4_0+C382*(k_p4_1+C382*(k_p4_2+C382*(k_p4_3+C382*k_p4_4)))</f>
        <v/>
      </c>
      <c r="G382">
        <f>k_ea+k_eb*EXP(k_ec*C382)</f>
        <v/>
      </c>
      <c r="H382">
        <f>(k_p2_1+2*k_p2_2*C382)/k_sx</f>
        <v/>
      </c>
      <c r="I382">
        <f>(k_p3_1+C382*(2*k_p3_2+3*k_p3_3*C382))/k_sx</f>
        <v/>
      </c>
      <c r="J382">
        <f>(k_p4_1+C382*(2*k_p4_2+C382*(3*k_p4_3+4*k_p4_4*C382)))/k_sx</f>
        <v/>
      </c>
      <c r="K382">
        <f>k_eb*k_ec*EXP(k_ec*C382)/k_sx</f>
        <v/>
      </c>
      <c r="L382">
        <f>(2*k_p4_2+C382*(6*k_p4_3+12*k_p4_4*C382))/k_sx^2</f>
        <v/>
      </c>
      <c r="M382">
        <f>D382/B382</f>
        <v/>
      </c>
      <c r="N382">
        <f>E382/B382</f>
        <v/>
      </c>
      <c r="O382">
        <f>F382/B382</f>
        <v/>
      </c>
      <c r="P382">
        <f>G382/B382</f>
        <v/>
      </c>
      <c r="Q382">
        <f>CHOOSE(k_model,D382,E382,F382,G382)</f>
        <v/>
      </c>
      <c r="R382">
        <f>CHOOSE(k_model,H382,I382,J382,K382)</f>
        <v/>
      </c>
    </row>
    <row r="383">
      <c r="A383" t="n">
        <v>381</v>
      </c>
      <c r="B383">
        <f>k_lo+k_rng*A383/1000</f>
        <v/>
      </c>
      <c r="C383">
        <f>(B383-k_mx)/k_sx</f>
        <v/>
      </c>
      <c r="D383">
        <f>k_p2_0+C383*(k_p2_1+C383*k_p2_2)</f>
        <v/>
      </c>
      <c r="E383">
        <f>k_p3_0+C383*(k_p3_1+C383*(k_p3_2+C383*k_p3_3))</f>
        <v/>
      </c>
      <c r="F383">
        <f>k_p4_0+C383*(k_p4_1+C383*(k_p4_2+C383*(k_p4_3+C383*k_p4_4)))</f>
        <v/>
      </c>
      <c r="G383">
        <f>k_ea+k_eb*EXP(k_ec*C383)</f>
        <v/>
      </c>
      <c r="H383">
        <f>(k_p2_1+2*k_p2_2*C383)/k_sx</f>
        <v/>
      </c>
      <c r="I383">
        <f>(k_p3_1+C383*(2*k_p3_2+3*k_p3_3*C383))/k_sx</f>
        <v/>
      </c>
      <c r="J383">
        <f>(k_p4_1+C383*(2*k_p4_2+C383*(3*k_p4_3+4*k_p4_4*C383)))/k_sx</f>
        <v/>
      </c>
      <c r="K383">
        <f>k_eb*k_ec*EXP(k_ec*C383)/k_sx</f>
        <v/>
      </c>
      <c r="L383">
        <f>(2*k_p4_2+C383*(6*k_p4_3+12*k_p4_4*C383))/k_sx^2</f>
        <v/>
      </c>
      <c r="M383">
        <f>D383/B383</f>
        <v/>
      </c>
      <c r="N383">
        <f>E383/B383</f>
        <v/>
      </c>
      <c r="O383">
        <f>F383/B383</f>
        <v/>
      </c>
      <c r="P383">
        <f>G383/B383</f>
        <v/>
      </c>
      <c r="Q383">
        <f>CHOOSE(k_model,D383,E383,F383,G383)</f>
        <v/>
      </c>
      <c r="R383">
        <f>CHOOSE(k_model,H383,I383,J383,K383)</f>
        <v/>
      </c>
    </row>
    <row r="384">
      <c r="A384" t="n">
        <v>382</v>
      </c>
      <c r="B384">
        <f>k_lo+k_rng*A384/1000</f>
        <v/>
      </c>
      <c r="C384">
        <f>(B384-k_mx)/k_sx</f>
        <v/>
      </c>
      <c r="D384">
        <f>k_p2_0+C384*(k_p2_1+C384*k_p2_2)</f>
        <v/>
      </c>
      <c r="E384">
        <f>k_p3_0+C384*(k_p3_1+C384*(k_p3_2+C384*k_p3_3))</f>
        <v/>
      </c>
      <c r="F384">
        <f>k_p4_0+C384*(k_p4_1+C384*(k_p4_2+C384*(k_p4_3+C384*k_p4_4)))</f>
        <v/>
      </c>
      <c r="G384">
        <f>k_ea+k_eb*EXP(k_ec*C384)</f>
        <v/>
      </c>
      <c r="H384">
        <f>(k_p2_1+2*k_p2_2*C384)/k_sx</f>
        <v/>
      </c>
      <c r="I384">
        <f>(k_p3_1+C384*(2*k_p3_2+3*k_p3_3*C384))/k_sx</f>
        <v/>
      </c>
      <c r="J384">
        <f>(k_p4_1+C384*(2*k_p4_2+C384*(3*k_p4_3+4*k_p4_4*C384)))/k_sx</f>
        <v/>
      </c>
      <c r="K384">
        <f>k_eb*k_ec*EXP(k_ec*C384)/k_sx</f>
        <v/>
      </c>
      <c r="L384">
        <f>(2*k_p4_2+C384*(6*k_p4_3+12*k_p4_4*C384))/k_sx^2</f>
        <v/>
      </c>
      <c r="M384">
        <f>D384/B384</f>
        <v/>
      </c>
      <c r="N384">
        <f>E384/B384</f>
        <v/>
      </c>
      <c r="O384">
        <f>F384/B384</f>
        <v/>
      </c>
      <c r="P384">
        <f>G384/B384</f>
        <v/>
      </c>
      <c r="Q384">
        <f>CHOOSE(k_model,D384,E384,F384,G384)</f>
        <v/>
      </c>
      <c r="R384">
        <f>CHOOSE(k_model,H384,I384,J384,K384)</f>
        <v/>
      </c>
    </row>
    <row r="385">
      <c r="A385" t="n">
        <v>383</v>
      </c>
      <c r="B385">
        <f>k_lo+k_rng*A385/1000</f>
        <v/>
      </c>
      <c r="C385">
        <f>(B385-k_mx)/k_sx</f>
        <v/>
      </c>
      <c r="D385">
        <f>k_p2_0+C385*(k_p2_1+C385*k_p2_2)</f>
        <v/>
      </c>
      <c r="E385">
        <f>k_p3_0+C385*(k_p3_1+C385*(k_p3_2+C385*k_p3_3))</f>
        <v/>
      </c>
      <c r="F385">
        <f>k_p4_0+C385*(k_p4_1+C385*(k_p4_2+C385*(k_p4_3+C385*k_p4_4)))</f>
        <v/>
      </c>
      <c r="G385">
        <f>k_ea+k_eb*EXP(k_ec*C385)</f>
        <v/>
      </c>
      <c r="H385">
        <f>(k_p2_1+2*k_p2_2*C385)/k_sx</f>
        <v/>
      </c>
      <c r="I385">
        <f>(k_p3_1+C385*(2*k_p3_2+3*k_p3_3*C385))/k_sx</f>
        <v/>
      </c>
      <c r="J385">
        <f>(k_p4_1+C385*(2*k_p4_2+C385*(3*k_p4_3+4*k_p4_4*C385)))/k_sx</f>
        <v/>
      </c>
      <c r="K385">
        <f>k_eb*k_ec*EXP(k_ec*C385)/k_sx</f>
        <v/>
      </c>
      <c r="L385">
        <f>(2*k_p4_2+C385*(6*k_p4_3+12*k_p4_4*C385))/k_sx^2</f>
        <v/>
      </c>
      <c r="M385">
        <f>D385/B385</f>
        <v/>
      </c>
      <c r="N385">
        <f>E385/B385</f>
        <v/>
      </c>
      <c r="O385">
        <f>F385/B385</f>
        <v/>
      </c>
      <c r="P385">
        <f>G385/B385</f>
        <v/>
      </c>
      <c r="Q385">
        <f>CHOOSE(k_model,D385,E385,F385,G385)</f>
        <v/>
      </c>
      <c r="R385">
        <f>CHOOSE(k_model,H385,I385,J385,K385)</f>
        <v/>
      </c>
    </row>
    <row r="386">
      <c r="A386" t="n">
        <v>384</v>
      </c>
      <c r="B386">
        <f>k_lo+k_rng*A386/1000</f>
        <v/>
      </c>
      <c r="C386">
        <f>(B386-k_mx)/k_sx</f>
        <v/>
      </c>
      <c r="D386">
        <f>k_p2_0+C386*(k_p2_1+C386*k_p2_2)</f>
        <v/>
      </c>
      <c r="E386">
        <f>k_p3_0+C386*(k_p3_1+C386*(k_p3_2+C386*k_p3_3))</f>
        <v/>
      </c>
      <c r="F386">
        <f>k_p4_0+C386*(k_p4_1+C386*(k_p4_2+C386*(k_p4_3+C386*k_p4_4)))</f>
        <v/>
      </c>
      <c r="G386">
        <f>k_ea+k_eb*EXP(k_ec*C386)</f>
        <v/>
      </c>
      <c r="H386">
        <f>(k_p2_1+2*k_p2_2*C386)/k_sx</f>
        <v/>
      </c>
      <c r="I386">
        <f>(k_p3_1+C386*(2*k_p3_2+3*k_p3_3*C386))/k_sx</f>
        <v/>
      </c>
      <c r="J386">
        <f>(k_p4_1+C386*(2*k_p4_2+C386*(3*k_p4_3+4*k_p4_4*C386)))/k_sx</f>
        <v/>
      </c>
      <c r="K386">
        <f>k_eb*k_ec*EXP(k_ec*C386)/k_sx</f>
        <v/>
      </c>
      <c r="L386">
        <f>(2*k_p4_2+C386*(6*k_p4_3+12*k_p4_4*C386))/k_sx^2</f>
        <v/>
      </c>
      <c r="M386">
        <f>D386/B386</f>
        <v/>
      </c>
      <c r="N386">
        <f>E386/B386</f>
        <v/>
      </c>
      <c r="O386">
        <f>F386/B386</f>
        <v/>
      </c>
      <c r="P386">
        <f>G386/B386</f>
        <v/>
      </c>
      <c r="Q386">
        <f>CHOOSE(k_model,D386,E386,F386,G386)</f>
        <v/>
      </c>
      <c r="R386">
        <f>CHOOSE(k_model,H386,I386,J386,K386)</f>
        <v/>
      </c>
    </row>
    <row r="387">
      <c r="A387" t="n">
        <v>385</v>
      </c>
      <c r="B387">
        <f>k_lo+k_rng*A387/1000</f>
        <v/>
      </c>
      <c r="C387">
        <f>(B387-k_mx)/k_sx</f>
        <v/>
      </c>
      <c r="D387">
        <f>k_p2_0+C387*(k_p2_1+C387*k_p2_2)</f>
        <v/>
      </c>
      <c r="E387">
        <f>k_p3_0+C387*(k_p3_1+C387*(k_p3_2+C387*k_p3_3))</f>
        <v/>
      </c>
      <c r="F387">
        <f>k_p4_0+C387*(k_p4_1+C387*(k_p4_2+C387*(k_p4_3+C387*k_p4_4)))</f>
        <v/>
      </c>
      <c r="G387">
        <f>k_ea+k_eb*EXP(k_ec*C387)</f>
        <v/>
      </c>
      <c r="H387">
        <f>(k_p2_1+2*k_p2_2*C387)/k_sx</f>
        <v/>
      </c>
      <c r="I387">
        <f>(k_p3_1+C387*(2*k_p3_2+3*k_p3_3*C387))/k_sx</f>
        <v/>
      </c>
      <c r="J387">
        <f>(k_p4_1+C387*(2*k_p4_2+C387*(3*k_p4_3+4*k_p4_4*C387)))/k_sx</f>
        <v/>
      </c>
      <c r="K387">
        <f>k_eb*k_ec*EXP(k_ec*C387)/k_sx</f>
        <v/>
      </c>
      <c r="L387">
        <f>(2*k_p4_2+C387*(6*k_p4_3+12*k_p4_4*C387))/k_sx^2</f>
        <v/>
      </c>
      <c r="M387">
        <f>D387/B387</f>
        <v/>
      </c>
      <c r="N387">
        <f>E387/B387</f>
        <v/>
      </c>
      <c r="O387">
        <f>F387/B387</f>
        <v/>
      </c>
      <c r="P387">
        <f>G387/B387</f>
        <v/>
      </c>
      <c r="Q387">
        <f>CHOOSE(k_model,D387,E387,F387,G387)</f>
        <v/>
      </c>
      <c r="R387">
        <f>CHOOSE(k_model,H387,I387,J387,K387)</f>
        <v/>
      </c>
    </row>
    <row r="388">
      <c r="A388" t="n">
        <v>386</v>
      </c>
      <c r="B388">
        <f>k_lo+k_rng*A388/1000</f>
        <v/>
      </c>
      <c r="C388">
        <f>(B388-k_mx)/k_sx</f>
        <v/>
      </c>
      <c r="D388">
        <f>k_p2_0+C388*(k_p2_1+C388*k_p2_2)</f>
        <v/>
      </c>
      <c r="E388">
        <f>k_p3_0+C388*(k_p3_1+C388*(k_p3_2+C388*k_p3_3))</f>
        <v/>
      </c>
      <c r="F388">
        <f>k_p4_0+C388*(k_p4_1+C388*(k_p4_2+C388*(k_p4_3+C388*k_p4_4)))</f>
        <v/>
      </c>
      <c r="G388">
        <f>k_ea+k_eb*EXP(k_ec*C388)</f>
        <v/>
      </c>
      <c r="H388">
        <f>(k_p2_1+2*k_p2_2*C388)/k_sx</f>
        <v/>
      </c>
      <c r="I388">
        <f>(k_p3_1+C388*(2*k_p3_2+3*k_p3_3*C388))/k_sx</f>
        <v/>
      </c>
      <c r="J388">
        <f>(k_p4_1+C388*(2*k_p4_2+C388*(3*k_p4_3+4*k_p4_4*C388)))/k_sx</f>
        <v/>
      </c>
      <c r="K388">
        <f>k_eb*k_ec*EXP(k_ec*C388)/k_sx</f>
        <v/>
      </c>
      <c r="L388">
        <f>(2*k_p4_2+C388*(6*k_p4_3+12*k_p4_4*C388))/k_sx^2</f>
        <v/>
      </c>
      <c r="M388">
        <f>D388/B388</f>
        <v/>
      </c>
      <c r="N388">
        <f>E388/B388</f>
        <v/>
      </c>
      <c r="O388">
        <f>F388/B388</f>
        <v/>
      </c>
      <c r="P388">
        <f>G388/B388</f>
        <v/>
      </c>
      <c r="Q388">
        <f>CHOOSE(k_model,D388,E388,F388,G388)</f>
        <v/>
      </c>
      <c r="R388">
        <f>CHOOSE(k_model,H388,I388,J388,K388)</f>
        <v/>
      </c>
    </row>
    <row r="389">
      <c r="A389" t="n">
        <v>387</v>
      </c>
      <c r="B389">
        <f>k_lo+k_rng*A389/1000</f>
        <v/>
      </c>
      <c r="C389">
        <f>(B389-k_mx)/k_sx</f>
        <v/>
      </c>
      <c r="D389">
        <f>k_p2_0+C389*(k_p2_1+C389*k_p2_2)</f>
        <v/>
      </c>
      <c r="E389">
        <f>k_p3_0+C389*(k_p3_1+C389*(k_p3_2+C389*k_p3_3))</f>
        <v/>
      </c>
      <c r="F389">
        <f>k_p4_0+C389*(k_p4_1+C389*(k_p4_2+C389*(k_p4_3+C389*k_p4_4)))</f>
        <v/>
      </c>
      <c r="G389">
        <f>k_ea+k_eb*EXP(k_ec*C389)</f>
        <v/>
      </c>
      <c r="H389">
        <f>(k_p2_1+2*k_p2_2*C389)/k_sx</f>
        <v/>
      </c>
      <c r="I389">
        <f>(k_p3_1+C389*(2*k_p3_2+3*k_p3_3*C389))/k_sx</f>
        <v/>
      </c>
      <c r="J389">
        <f>(k_p4_1+C389*(2*k_p4_2+C389*(3*k_p4_3+4*k_p4_4*C389)))/k_sx</f>
        <v/>
      </c>
      <c r="K389">
        <f>k_eb*k_ec*EXP(k_ec*C389)/k_sx</f>
        <v/>
      </c>
      <c r="L389">
        <f>(2*k_p4_2+C389*(6*k_p4_3+12*k_p4_4*C389))/k_sx^2</f>
        <v/>
      </c>
      <c r="M389">
        <f>D389/B389</f>
        <v/>
      </c>
      <c r="N389">
        <f>E389/B389</f>
        <v/>
      </c>
      <c r="O389">
        <f>F389/B389</f>
        <v/>
      </c>
      <c r="P389">
        <f>G389/B389</f>
        <v/>
      </c>
      <c r="Q389">
        <f>CHOOSE(k_model,D389,E389,F389,G389)</f>
        <v/>
      </c>
      <c r="R389">
        <f>CHOOSE(k_model,H389,I389,J389,K389)</f>
        <v/>
      </c>
    </row>
    <row r="390">
      <c r="A390" t="n">
        <v>388</v>
      </c>
      <c r="B390">
        <f>k_lo+k_rng*A390/1000</f>
        <v/>
      </c>
      <c r="C390">
        <f>(B390-k_mx)/k_sx</f>
        <v/>
      </c>
      <c r="D390">
        <f>k_p2_0+C390*(k_p2_1+C390*k_p2_2)</f>
        <v/>
      </c>
      <c r="E390">
        <f>k_p3_0+C390*(k_p3_1+C390*(k_p3_2+C390*k_p3_3))</f>
        <v/>
      </c>
      <c r="F390">
        <f>k_p4_0+C390*(k_p4_1+C390*(k_p4_2+C390*(k_p4_3+C390*k_p4_4)))</f>
        <v/>
      </c>
      <c r="G390">
        <f>k_ea+k_eb*EXP(k_ec*C390)</f>
        <v/>
      </c>
      <c r="H390">
        <f>(k_p2_1+2*k_p2_2*C390)/k_sx</f>
        <v/>
      </c>
      <c r="I390">
        <f>(k_p3_1+C390*(2*k_p3_2+3*k_p3_3*C390))/k_sx</f>
        <v/>
      </c>
      <c r="J390">
        <f>(k_p4_1+C390*(2*k_p4_2+C390*(3*k_p4_3+4*k_p4_4*C390)))/k_sx</f>
        <v/>
      </c>
      <c r="K390">
        <f>k_eb*k_ec*EXP(k_ec*C390)/k_sx</f>
        <v/>
      </c>
      <c r="L390">
        <f>(2*k_p4_2+C390*(6*k_p4_3+12*k_p4_4*C390))/k_sx^2</f>
        <v/>
      </c>
      <c r="M390">
        <f>D390/B390</f>
        <v/>
      </c>
      <c r="N390">
        <f>E390/B390</f>
        <v/>
      </c>
      <c r="O390">
        <f>F390/B390</f>
        <v/>
      </c>
      <c r="P390">
        <f>G390/B390</f>
        <v/>
      </c>
      <c r="Q390">
        <f>CHOOSE(k_model,D390,E390,F390,G390)</f>
        <v/>
      </c>
      <c r="R390">
        <f>CHOOSE(k_model,H390,I390,J390,K390)</f>
        <v/>
      </c>
    </row>
    <row r="391">
      <c r="A391" t="n">
        <v>389</v>
      </c>
      <c r="B391">
        <f>k_lo+k_rng*A391/1000</f>
        <v/>
      </c>
      <c r="C391">
        <f>(B391-k_mx)/k_sx</f>
        <v/>
      </c>
      <c r="D391">
        <f>k_p2_0+C391*(k_p2_1+C391*k_p2_2)</f>
        <v/>
      </c>
      <c r="E391">
        <f>k_p3_0+C391*(k_p3_1+C391*(k_p3_2+C391*k_p3_3))</f>
        <v/>
      </c>
      <c r="F391">
        <f>k_p4_0+C391*(k_p4_1+C391*(k_p4_2+C391*(k_p4_3+C391*k_p4_4)))</f>
        <v/>
      </c>
      <c r="G391">
        <f>k_ea+k_eb*EXP(k_ec*C391)</f>
        <v/>
      </c>
      <c r="H391">
        <f>(k_p2_1+2*k_p2_2*C391)/k_sx</f>
        <v/>
      </c>
      <c r="I391">
        <f>(k_p3_1+C391*(2*k_p3_2+3*k_p3_3*C391))/k_sx</f>
        <v/>
      </c>
      <c r="J391">
        <f>(k_p4_1+C391*(2*k_p4_2+C391*(3*k_p4_3+4*k_p4_4*C391)))/k_sx</f>
        <v/>
      </c>
      <c r="K391">
        <f>k_eb*k_ec*EXP(k_ec*C391)/k_sx</f>
        <v/>
      </c>
      <c r="L391">
        <f>(2*k_p4_2+C391*(6*k_p4_3+12*k_p4_4*C391))/k_sx^2</f>
        <v/>
      </c>
      <c r="M391">
        <f>D391/B391</f>
        <v/>
      </c>
      <c r="N391">
        <f>E391/B391</f>
        <v/>
      </c>
      <c r="O391">
        <f>F391/B391</f>
        <v/>
      </c>
      <c r="P391">
        <f>G391/B391</f>
        <v/>
      </c>
      <c r="Q391">
        <f>CHOOSE(k_model,D391,E391,F391,G391)</f>
        <v/>
      </c>
      <c r="R391">
        <f>CHOOSE(k_model,H391,I391,J391,K391)</f>
        <v/>
      </c>
    </row>
    <row r="392">
      <c r="A392" t="n">
        <v>390</v>
      </c>
      <c r="B392">
        <f>k_lo+k_rng*A392/1000</f>
        <v/>
      </c>
      <c r="C392">
        <f>(B392-k_mx)/k_sx</f>
        <v/>
      </c>
      <c r="D392">
        <f>k_p2_0+C392*(k_p2_1+C392*k_p2_2)</f>
        <v/>
      </c>
      <c r="E392">
        <f>k_p3_0+C392*(k_p3_1+C392*(k_p3_2+C392*k_p3_3))</f>
        <v/>
      </c>
      <c r="F392">
        <f>k_p4_0+C392*(k_p4_1+C392*(k_p4_2+C392*(k_p4_3+C392*k_p4_4)))</f>
        <v/>
      </c>
      <c r="G392">
        <f>k_ea+k_eb*EXP(k_ec*C392)</f>
        <v/>
      </c>
      <c r="H392">
        <f>(k_p2_1+2*k_p2_2*C392)/k_sx</f>
        <v/>
      </c>
      <c r="I392">
        <f>(k_p3_1+C392*(2*k_p3_2+3*k_p3_3*C392))/k_sx</f>
        <v/>
      </c>
      <c r="J392">
        <f>(k_p4_1+C392*(2*k_p4_2+C392*(3*k_p4_3+4*k_p4_4*C392)))/k_sx</f>
        <v/>
      </c>
      <c r="K392">
        <f>k_eb*k_ec*EXP(k_ec*C392)/k_sx</f>
        <v/>
      </c>
      <c r="L392">
        <f>(2*k_p4_2+C392*(6*k_p4_3+12*k_p4_4*C392))/k_sx^2</f>
        <v/>
      </c>
      <c r="M392">
        <f>D392/B392</f>
        <v/>
      </c>
      <c r="N392">
        <f>E392/B392</f>
        <v/>
      </c>
      <c r="O392">
        <f>F392/B392</f>
        <v/>
      </c>
      <c r="P392">
        <f>G392/B392</f>
        <v/>
      </c>
      <c r="Q392">
        <f>CHOOSE(k_model,D392,E392,F392,G392)</f>
        <v/>
      </c>
      <c r="R392">
        <f>CHOOSE(k_model,H392,I392,J392,K392)</f>
        <v/>
      </c>
    </row>
    <row r="393">
      <c r="A393" t="n">
        <v>391</v>
      </c>
      <c r="B393">
        <f>k_lo+k_rng*A393/1000</f>
        <v/>
      </c>
      <c r="C393">
        <f>(B393-k_mx)/k_sx</f>
        <v/>
      </c>
      <c r="D393">
        <f>k_p2_0+C393*(k_p2_1+C393*k_p2_2)</f>
        <v/>
      </c>
      <c r="E393">
        <f>k_p3_0+C393*(k_p3_1+C393*(k_p3_2+C393*k_p3_3))</f>
        <v/>
      </c>
      <c r="F393">
        <f>k_p4_0+C393*(k_p4_1+C393*(k_p4_2+C393*(k_p4_3+C393*k_p4_4)))</f>
        <v/>
      </c>
      <c r="G393">
        <f>k_ea+k_eb*EXP(k_ec*C393)</f>
        <v/>
      </c>
      <c r="H393">
        <f>(k_p2_1+2*k_p2_2*C393)/k_sx</f>
        <v/>
      </c>
      <c r="I393">
        <f>(k_p3_1+C393*(2*k_p3_2+3*k_p3_3*C393))/k_sx</f>
        <v/>
      </c>
      <c r="J393">
        <f>(k_p4_1+C393*(2*k_p4_2+C393*(3*k_p4_3+4*k_p4_4*C393)))/k_sx</f>
        <v/>
      </c>
      <c r="K393">
        <f>k_eb*k_ec*EXP(k_ec*C393)/k_sx</f>
        <v/>
      </c>
      <c r="L393">
        <f>(2*k_p4_2+C393*(6*k_p4_3+12*k_p4_4*C393))/k_sx^2</f>
        <v/>
      </c>
      <c r="M393">
        <f>D393/B393</f>
        <v/>
      </c>
      <c r="N393">
        <f>E393/B393</f>
        <v/>
      </c>
      <c r="O393">
        <f>F393/B393</f>
        <v/>
      </c>
      <c r="P393">
        <f>G393/B393</f>
        <v/>
      </c>
      <c r="Q393">
        <f>CHOOSE(k_model,D393,E393,F393,G393)</f>
        <v/>
      </c>
      <c r="R393">
        <f>CHOOSE(k_model,H393,I393,J393,K393)</f>
        <v/>
      </c>
    </row>
    <row r="394">
      <c r="A394" t="n">
        <v>392</v>
      </c>
      <c r="B394">
        <f>k_lo+k_rng*A394/1000</f>
        <v/>
      </c>
      <c r="C394">
        <f>(B394-k_mx)/k_sx</f>
        <v/>
      </c>
      <c r="D394">
        <f>k_p2_0+C394*(k_p2_1+C394*k_p2_2)</f>
        <v/>
      </c>
      <c r="E394">
        <f>k_p3_0+C394*(k_p3_1+C394*(k_p3_2+C394*k_p3_3))</f>
        <v/>
      </c>
      <c r="F394">
        <f>k_p4_0+C394*(k_p4_1+C394*(k_p4_2+C394*(k_p4_3+C394*k_p4_4)))</f>
        <v/>
      </c>
      <c r="G394">
        <f>k_ea+k_eb*EXP(k_ec*C394)</f>
        <v/>
      </c>
      <c r="H394">
        <f>(k_p2_1+2*k_p2_2*C394)/k_sx</f>
        <v/>
      </c>
      <c r="I394">
        <f>(k_p3_1+C394*(2*k_p3_2+3*k_p3_3*C394))/k_sx</f>
        <v/>
      </c>
      <c r="J394">
        <f>(k_p4_1+C394*(2*k_p4_2+C394*(3*k_p4_3+4*k_p4_4*C394)))/k_sx</f>
        <v/>
      </c>
      <c r="K394">
        <f>k_eb*k_ec*EXP(k_ec*C394)/k_sx</f>
        <v/>
      </c>
      <c r="L394">
        <f>(2*k_p4_2+C394*(6*k_p4_3+12*k_p4_4*C394))/k_sx^2</f>
        <v/>
      </c>
      <c r="M394">
        <f>D394/B394</f>
        <v/>
      </c>
      <c r="N394">
        <f>E394/B394</f>
        <v/>
      </c>
      <c r="O394">
        <f>F394/B394</f>
        <v/>
      </c>
      <c r="P394">
        <f>G394/B394</f>
        <v/>
      </c>
      <c r="Q394">
        <f>CHOOSE(k_model,D394,E394,F394,G394)</f>
        <v/>
      </c>
      <c r="R394">
        <f>CHOOSE(k_model,H394,I394,J394,K394)</f>
        <v/>
      </c>
    </row>
    <row r="395">
      <c r="A395" t="n">
        <v>393</v>
      </c>
      <c r="B395">
        <f>k_lo+k_rng*A395/1000</f>
        <v/>
      </c>
      <c r="C395">
        <f>(B395-k_mx)/k_sx</f>
        <v/>
      </c>
      <c r="D395">
        <f>k_p2_0+C395*(k_p2_1+C395*k_p2_2)</f>
        <v/>
      </c>
      <c r="E395">
        <f>k_p3_0+C395*(k_p3_1+C395*(k_p3_2+C395*k_p3_3))</f>
        <v/>
      </c>
      <c r="F395">
        <f>k_p4_0+C395*(k_p4_1+C395*(k_p4_2+C395*(k_p4_3+C395*k_p4_4)))</f>
        <v/>
      </c>
      <c r="G395">
        <f>k_ea+k_eb*EXP(k_ec*C395)</f>
        <v/>
      </c>
      <c r="H395">
        <f>(k_p2_1+2*k_p2_2*C395)/k_sx</f>
        <v/>
      </c>
      <c r="I395">
        <f>(k_p3_1+C395*(2*k_p3_2+3*k_p3_3*C395))/k_sx</f>
        <v/>
      </c>
      <c r="J395">
        <f>(k_p4_1+C395*(2*k_p4_2+C395*(3*k_p4_3+4*k_p4_4*C395)))/k_sx</f>
        <v/>
      </c>
      <c r="K395">
        <f>k_eb*k_ec*EXP(k_ec*C395)/k_sx</f>
        <v/>
      </c>
      <c r="L395">
        <f>(2*k_p4_2+C395*(6*k_p4_3+12*k_p4_4*C395))/k_sx^2</f>
        <v/>
      </c>
      <c r="M395">
        <f>D395/B395</f>
        <v/>
      </c>
      <c r="N395">
        <f>E395/B395</f>
        <v/>
      </c>
      <c r="O395">
        <f>F395/B395</f>
        <v/>
      </c>
      <c r="P395">
        <f>G395/B395</f>
        <v/>
      </c>
      <c r="Q395">
        <f>CHOOSE(k_model,D395,E395,F395,G395)</f>
        <v/>
      </c>
      <c r="R395">
        <f>CHOOSE(k_model,H395,I395,J395,K395)</f>
        <v/>
      </c>
    </row>
    <row r="396">
      <c r="A396" t="n">
        <v>394</v>
      </c>
      <c r="B396">
        <f>k_lo+k_rng*A396/1000</f>
        <v/>
      </c>
      <c r="C396">
        <f>(B396-k_mx)/k_sx</f>
        <v/>
      </c>
      <c r="D396">
        <f>k_p2_0+C396*(k_p2_1+C396*k_p2_2)</f>
        <v/>
      </c>
      <c r="E396">
        <f>k_p3_0+C396*(k_p3_1+C396*(k_p3_2+C396*k_p3_3))</f>
        <v/>
      </c>
      <c r="F396">
        <f>k_p4_0+C396*(k_p4_1+C396*(k_p4_2+C396*(k_p4_3+C396*k_p4_4)))</f>
        <v/>
      </c>
      <c r="G396">
        <f>k_ea+k_eb*EXP(k_ec*C396)</f>
        <v/>
      </c>
      <c r="H396">
        <f>(k_p2_1+2*k_p2_2*C396)/k_sx</f>
        <v/>
      </c>
      <c r="I396">
        <f>(k_p3_1+C396*(2*k_p3_2+3*k_p3_3*C396))/k_sx</f>
        <v/>
      </c>
      <c r="J396">
        <f>(k_p4_1+C396*(2*k_p4_2+C396*(3*k_p4_3+4*k_p4_4*C396)))/k_sx</f>
        <v/>
      </c>
      <c r="K396">
        <f>k_eb*k_ec*EXP(k_ec*C396)/k_sx</f>
        <v/>
      </c>
      <c r="L396">
        <f>(2*k_p4_2+C396*(6*k_p4_3+12*k_p4_4*C396))/k_sx^2</f>
        <v/>
      </c>
      <c r="M396">
        <f>D396/B396</f>
        <v/>
      </c>
      <c r="N396">
        <f>E396/B396</f>
        <v/>
      </c>
      <c r="O396">
        <f>F396/B396</f>
        <v/>
      </c>
      <c r="P396">
        <f>G396/B396</f>
        <v/>
      </c>
      <c r="Q396">
        <f>CHOOSE(k_model,D396,E396,F396,G396)</f>
        <v/>
      </c>
      <c r="R396">
        <f>CHOOSE(k_model,H396,I396,J396,K396)</f>
        <v/>
      </c>
    </row>
    <row r="397">
      <c r="A397" t="n">
        <v>395</v>
      </c>
      <c r="B397">
        <f>k_lo+k_rng*A397/1000</f>
        <v/>
      </c>
      <c r="C397">
        <f>(B397-k_mx)/k_sx</f>
        <v/>
      </c>
      <c r="D397">
        <f>k_p2_0+C397*(k_p2_1+C397*k_p2_2)</f>
        <v/>
      </c>
      <c r="E397">
        <f>k_p3_0+C397*(k_p3_1+C397*(k_p3_2+C397*k_p3_3))</f>
        <v/>
      </c>
      <c r="F397">
        <f>k_p4_0+C397*(k_p4_1+C397*(k_p4_2+C397*(k_p4_3+C397*k_p4_4)))</f>
        <v/>
      </c>
      <c r="G397">
        <f>k_ea+k_eb*EXP(k_ec*C397)</f>
        <v/>
      </c>
      <c r="H397">
        <f>(k_p2_1+2*k_p2_2*C397)/k_sx</f>
        <v/>
      </c>
      <c r="I397">
        <f>(k_p3_1+C397*(2*k_p3_2+3*k_p3_3*C397))/k_sx</f>
        <v/>
      </c>
      <c r="J397">
        <f>(k_p4_1+C397*(2*k_p4_2+C397*(3*k_p4_3+4*k_p4_4*C397)))/k_sx</f>
        <v/>
      </c>
      <c r="K397">
        <f>k_eb*k_ec*EXP(k_ec*C397)/k_sx</f>
        <v/>
      </c>
      <c r="L397">
        <f>(2*k_p4_2+C397*(6*k_p4_3+12*k_p4_4*C397))/k_sx^2</f>
        <v/>
      </c>
      <c r="M397">
        <f>D397/B397</f>
        <v/>
      </c>
      <c r="N397">
        <f>E397/B397</f>
        <v/>
      </c>
      <c r="O397">
        <f>F397/B397</f>
        <v/>
      </c>
      <c r="P397">
        <f>G397/B397</f>
        <v/>
      </c>
      <c r="Q397">
        <f>CHOOSE(k_model,D397,E397,F397,G397)</f>
        <v/>
      </c>
      <c r="R397">
        <f>CHOOSE(k_model,H397,I397,J397,K397)</f>
        <v/>
      </c>
    </row>
    <row r="398">
      <c r="A398" t="n">
        <v>396</v>
      </c>
      <c r="B398">
        <f>k_lo+k_rng*A398/1000</f>
        <v/>
      </c>
      <c r="C398">
        <f>(B398-k_mx)/k_sx</f>
        <v/>
      </c>
      <c r="D398">
        <f>k_p2_0+C398*(k_p2_1+C398*k_p2_2)</f>
        <v/>
      </c>
      <c r="E398">
        <f>k_p3_0+C398*(k_p3_1+C398*(k_p3_2+C398*k_p3_3))</f>
        <v/>
      </c>
      <c r="F398">
        <f>k_p4_0+C398*(k_p4_1+C398*(k_p4_2+C398*(k_p4_3+C398*k_p4_4)))</f>
        <v/>
      </c>
      <c r="G398">
        <f>k_ea+k_eb*EXP(k_ec*C398)</f>
        <v/>
      </c>
      <c r="H398">
        <f>(k_p2_1+2*k_p2_2*C398)/k_sx</f>
        <v/>
      </c>
      <c r="I398">
        <f>(k_p3_1+C398*(2*k_p3_2+3*k_p3_3*C398))/k_sx</f>
        <v/>
      </c>
      <c r="J398">
        <f>(k_p4_1+C398*(2*k_p4_2+C398*(3*k_p4_3+4*k_p4_4*C398)))/k_sx</f>
        <v/>
      </c>
      <c r="K398">
        <f>k_eb*k_ec*EXP(k_ec*C398)/k_sx</f>
        <v/>
      </c>
      <c r="L398">
        <f>(2*k_p4_2+C398*(6*k_p4_3+12*k_p4_4*C398))/k_sx^2</f>
        <v/>
      </c>
      <c r="M398">
        <f>D398/B398</f>
        <v/>
      </c>
      <c r="N398">
        <f>E398/B398</f>
        <v/>
      </c>
      <c r="O398">
        <f>F398/B398</f>
        <v/>
      </c>
      <c r="P398">
        <f>G398/B398</f>
        <v/>
      </c>
      <c r="Q398">
        <f>CHOOSE(k_model,D398,E398,F398,G398)</f>
        <v/>
      </c>
      <c r="R398">
        <f>CHOOSE(k_model,H398,I398,J398,K398)</f>
        <v/>
      </c>
    </row>
    <row r="399">
      <c r="A399" t="n">
        <v>397</v>
      </c>
      <c r="B399">
        <f>k_lo+k_rng*A399/1000</f>
        <v/>
      </c>
      <c r="C399">
        <f>(B399-k_mx)/k_sx</f>
        <v/>
      </c>
      <c r="D399">
        <f>k_p2_0+C399*(k_p2_1+C399*k_p2_2)</f>
        <v/>
      </c>
      <c r="E399">
        <f>k_p3_0+C399*(k_p3_1+C399*(k_p3_2+C399*k_p3_3))</f>
        <v/>
      </c>
      <c r="F399">
        <f>k_p4_0+C399*(k_p4_1+C399*(k_p4_2+C399*(k_p4_3+C399*k_p4_4)))</f>
        <v/>
      </c>
      <c r="G399">
        <f>k_ea+k_eb*EXP(k_ec*C399)</f>
        <v/>
      </c>
      <c r="H399">
        <f>(k_p2_1+2*k_p2_2*C399)/k_sx</f>
        <v/>
      </c>
      <c r="I399">
        <f>(k_p3_1+C399*(2*k_p3_2+3*k_p3_3*C399))/k_sx</f>
        <v/>
      </c>
      <c r="J399">
        <f>(k_p4_1+C399*(2*k_p4_2+C399*(3*k_p4_3+4*k_p4_4*C399)))/k_sx</f>
        <v/>
      </c>
      <c r="K399">
        <f>k_eb*k_ec*EXP(k_ec*C399)/k_sx</f>
        <v/>
      </c>
      <c r="L399">
        <f>(2*k_p4_2+C399*(6*k_p4_3+12*k_p4_4*C399))/k_sx^2</f>
        <v/>
      </c>
      <c r="M399">
        <f>D399/B399</f>
        <v/>
      </c>
      <c r="N399">
        <f>E399/B399</f>
        <v/>
      </c>
      <c r="O399">
        <f>F399/B399</f>
        <v/>
      </c>
      <c r="P399">
        <f>G399/B399</f>
        <v/>
      </c>
      <c r="Q399">
        <f>CHOOSE(k_model,D399,E399,F399,G399)</f>
        <v/>
      </c>
      <c r="R399">
        <f>CHOOSE(k_model,H399,I399,J399,K399)</f>
        <v/>
      </c>
    </row>
    <row r="400">
      <c r="A400" t="n">
        <v>398</v>
      </c>
      <c r="B400">
        <f>k_lo+k_rng*A400/1000</f>
        <v/>
      </c>
      <c r="C400">
        <f>(B400-k_mx)/k_sx</f>
        <v/>
      </c>
      <c r="D400">
        <f>k_p2_0+C400*(k_p2_1+C400*k_p2_2)</f>
        <v/>
      </c>
      <c r="E400">
        <f>k_p3_0+C400*(k_p3_1+C400*(k_p3_2+C400*k_p3_3))</f>
        <v/>
      </c>
      <c r="F400">
        <f>k_p4_0+C400*(k_p4_1+C400*(k_p4_2+C400*(k_p4_3+C400*k_p4_4)))</f>
        <v/>
      </c>
      <c r="G400">
        <f>k_ea+k_eb*EXP(k_ec*C400)</f>
        <v/>
      </c>
      <c r="H400">
        <f>(k_p2_1+2*k_p2_2*C400)/k_sx</f>
        <v/>
      </c>
      <c r="I400">
        <f>(k_p3_1+C400*(2*k_p3_2+3*k_p3_3*C400))/k_sx</f>
        <v/>
      </c>
      <c r="J400">
        <f>(k_p4_1+C400*(2*k_p4_2+C400*(3*k_p4_3+4*k_p4_4*C400)))/k_sx</f>
        <v/>
      </c>
      <c r="K400">
        <f>k_eb*k_ec*EXP(k_ec*C400)/k_sx</f>
        <v/>
      </c>
      <c r="L400">
        <f>(2*k_p4_2+C400*(6*k_p4_3+12*k_p4_4*C400))/k_sx^2</f>
        <v/>
      </c>
      <c r="M400">
        <f>D400/B400</f>
        <v/>
      </c>
      <c r="N400">
        <f>E400/B400</f>
        <v/>
      </c>
      <c r="O400">
        <f>F400/B400</f>
        <v/>
      </c>
      <c r="P400">
        <f>G400/B400</f>
        <v/>
      </c>
      <c r="Q400">
        <f>CHOOSE(k_model,D400,E400,F400,G400)</f>
        <v/>
      </c>
      <c r="R400">
        <f>CHOOSE(k_model,H400,I400,J400,K400)</f>
        <v/>
      </c>
    </row>
    <row r="401">
      <c r="A401" t="n">
        <v>399</v>
      </c>
      <c r="B401">
        <f>k_lo+k_rng*A401/1000</f>
        <v/>
      </c>
      <c r="C401">
        <f>(B401-k_mx)/k_sx</f>
        <v/>
      </c>
      <c r="D401">
        <f>k_p2_0+C401*(k_p2_1+C401*k_p2_2)</f>
        <v/>
      </c>
      <c r="E401">
        <f>k_p3_0+C401*(k_p3_1+C401*(k_p3_2+C401*k_p3_3))</f>
        <v/>
      </c>
      <c r="F401">
        <f>k_p4_0+C401*(k_p4_1+C401*(k_p4_2+C401*(k_p4_3+C401*k_p4_4)))</f>
        <v/>
      </c>
      <c r="G401">
        <f>k_ea+k_eb*EXP(k_ec*C401)</f>
        <v/>
      </c>
      <c r="H401">
        <f>(k_p2_1+2*k_p2_2*C401)/k_sx</f>
        <v/>
      </c>
      <c r="I401">
        <f>(k_p3_1+C401*(2*k_p3_2+3*k_p3_3*C401))/k_sx</f>
        <v/>
      </c>
      <c r="J401">
        <f>(k_p4_1+C401*(2*k_p4_2+C401*(3*k_p4_3+4*k_p4_4*C401)))/k_sx</f>
        <v/>
      </c>
      <c r="K401">
        <f>k_eb*k_ec*EXP(k_ec*C401)/k_sx</f>
        <v/>
      </c>
      <c r="L401">
        <f>(2*k_p4_2+C401*(6*k_p4_3+12*k_p4_4*C401))/k_sx^2</f>
        <v/>
      </c>
      <c r="M401">
        <f>D401/B401</f>
        <v/>
      </c>
      <c r="N401">
        <f>E401/B401</f>
        <v/>
      </c>
      <c r="O401">
        <f>F401/B401</f>
        <v/>
      </c>
      <c r="P401">
        <f>G401/B401</f>
        <v/>
      </c>
      <c r="Q401">
        <f>CHOOSE(k_model,D401,E401,F401,G401)</f>
        <v/>
      </c>
      <c r="R401">
        <f>CHOOSE(k_model,H401,I401,J401,K401)</f>
        <v/>
      </c>
    </row>
    <row r="402">
      <c r="A402" t="n">
        <v>400</v>
      </c>
      <c r="B402">
        <f>k_lo+k_rng*A402/1000</f>
        <v/>
      </c>
      <c r="C402">
        <f>(B402-k_mx)/k_sx</f>
        <v/>
      </c>
      <c r="D402">
        <f>k_p2_0+C402*(k_p2_1+C402*k_p2_2)</f>
        <v/>
      </c>
      <c r="E402">
        <f>k_p3_0+C402*(k_p3_1+C402*(k_p3_2+C402*k_p3_3))</f>
        <v/>
      </c>
      <c r="F402">
        <f>k_p4_0+C402*(k_p4_1+C402*(k_p4_2+C402*(k_p4_3+C402*k_p4_4)))</f>
        <v/>
      </c>
      <c r="G402">
        <f>k_ea+k_eb*EXP(k_ec*C402)</f>
        <v/>
      </c>
      <c r="H402">
        <f>(k_p2_1+2*k_p2_2*C402)/k_sx</f>
        <v/>
      </c>
      <c r="I402">
        <f>(k_p3_1+C402*(2*k_p3_2+3*k_p3_3*C402))/k_sx</f>
        <v/>
      </c>
      <c r="J402">
        <f>(k_p4_1+C402*(2*k_p4_2+C402*(3*k_p4_3+4*k_p4_4*C402)))/k_sx</f>
        <v/>
      </c>
      <c r="K402">
        <f>k_eb*k_ec*EXP(k_ec*C402)/k_sx</f>
        <v/>
      </c>
      <c r="L402">
        <f>(2*k_p4_2+C402*(6*k_p4_3+12*k_p4_4*C402))/k_sx^2</f>
        <v/>
      </c>
      <c r="M402">
        <f>D402/B402</f>
        <v/>
      </c>
      <c r="N402">
        <f>E402/B402</f>
        <v/>
      </c>
      <c r="O402">
        <f>F402/B402</f>
        <v/>
      </c>
      <c r="P402">
        <f>G402/B402</f>
        <v/>
      </c>
      <c r="Q402">
        <f>CHOOSE(k_model,D402,E402,F402,G402)</f>
        <v/>
      </c>
      <c r="R402">
        <f>CHOOSE(k_model,H402,I402,J402,K402)</f>
        <v/>
      </c>
    </row>
    <row r="403">
      <c r="A403" t="n">
        <v>401</v>
      </c>
      <c r="B403">
        <f>k_lo+k_rng*A403/1000</f>
        <v/>
      </c>
      <c r="C403">
        <f>(B403-k_mx)/k_sx</f>
        <v/>
      </c>
      <c r="D403">
        <f>k_p2_0+C403*(k_p2_1+C403*k_p2_2)</f>
        <v/>
      </c>
      <c r="E403">
        <f>k_p3_0+C403*(k_p3_1+C403*(k_p3_2+C403*k_p3_3))</f>
        <v/>
      </c>
      <c r="F403">
        <f>k_p4_0+C403*(k_p4_1+C403*(k_p4_2+C403*(k_p4_3+C403*k_p4_4)))</f>
        <v/>
      </c>
      <c r="G403">
        <f>k_ea+k_eb*EXP(k_ec*C403)</f>
        <v/>
      </c>
      <c r="H403">
        <f>(k_p2_1+2*k_p2_2*C403)/k_sx</f>
        <v/>
      </c>
      <c r="I403">
        <f>(k_p3_1+C403*(2*k_p3_2+3*k_p3_3*C403))/k_sx</f>
        <v/>
      </c>
      <c r="J403">
        <f>(k_p4_1+C403*(2*k_p4_2+C403*(3*k_p4_3+4*k_p4_4*C403)))/k_sx</f>
        <v/>
      </c>
      <c r="K403">
        <f>k_eb*k_ec*EXP(k_ec*C403)/k_sx</f>
        <v/>
      </c>
      <c r="L403">
        <f>(2*k_p4_2+C403*(6*k_p4_3+12*k_p4_4*C403))/k_sx^2</f>
        <v/>
      </c>
      <c r="M403">
        <f>D403/B403</f>
        <v/>
      </c>
      <c r="N403">
        <f>E403/B403</f>
        <v/>
      </c>
      <c r="O403">
        <f>F403/B403</f>
        <v/>
      </c>
      <c r="P403">
        <f>G403/B403</f>
        <v/>
      </c>
      <c r="Q403">
        <f>CHOOSE(k_model,D403,E403,F403,G403)</f>
        <v/>
      </c>
      <c r="R403">
        <f>CHOOSE(k_model,H403,I403,J403,K403)</f>
        <v/>
      </c>
    </row>
    <row r="404">
      <c r="A404" t="n">
        <v>402</v>
      </c>
      <c r="B404">
        <f>k_lo+k_rng*A404/1000</f>
        <v/>
      </c>
      <c r="C404">
        <f>(B404-k_mx)/k_sx</f>
        <v/>
      </c>
      <c r="D404">
        <f>k_p2_0+C404*(k_p2_1+C404*k_p2_2)</f>
        <v/>
      </c>
      <c r="E404">
        <f>k_p3_0+C404*(k_p3_1+C404*(k_p3_2+C404*k_p3_3))</f>
        <v/>
      </c>
      <c r="F404">
        <f>k_p4_0+C404*(k_p4_1+C404*(k_p4_2+C404*(k_p4_3+C404*k_p4_4)))</f>
        <v/>
      </c>
      <c r="G404">
        <f>k_ea+k_eb*EXP(k_ec*C404)</f>
        <v/>
      </c>
      <c r="H404">
        <f>(k_p2_1+2*k_p2_2*C404)/k_sx</f>
        <v/>
      </c>
      <c r="I404">
        <f>(k_p3_1+C404*(2*k_p3_2+3*k_p3_3*C404))/k_sx</f>
        <v/>
      </c>
      <c r="J404">
        <f>(k_p4_1+C404*(2*k_p4_2+C404*(3*k_p4_3+4*k_p4_4*C404)))/k_sx</f>
        <v/>
      </c>
      <c r="K404">
        <f>k_eb*k_ec*EXP(k_ec*C404)/k_sx</f>
        <v/>
      </c>
      <c r="L404">
        <f>(2*k_p4_2+C404*(6*k_p4_3+12*k_p4_4*C404))/k_sx^2</f>
        <v/>
      </c>
      <c r="M404">
        <f>D404/B404</f>
        <v/>
      </c>
      <c r="N404">
        <f>E404/B404</f>
        <v/>
      </c>
      <c r="O404">
        <f>F404/B404</f>
        <v/>
      </c>
      <c r="P404">
        <f>G404/B404</f>
        <v/>
      </c>
      <c r="Q404">
        <f>CHOOSE(k_model,D404,E404,F404,G404)</f>
        <v/>
      </c>
      <c r="R404">
        <f>CHOOSE(k_model,H404,I404,J404,K404)</f>
        <v/>
      </c>
    </row>
    <row r="405">
      <c r="A405" t="n">
        <v>403</v>
      </c>
      <c r="B405">
        <f>k_lo+k_rng*A405/1000</f>
        <v/>
      </c>
      <c r="C405">
        <f>(B405-k_mx)/k_sx</f>
        <v/>
      </c>
      <c r="D405">
        <f>k_p2_0+C405*(k_p2_1+C405*k_p2_2)</f>
        <v/>
      </c>
      <c r="E405">
        <f>k_p3_0+C405*(k_p3_1+C405*(k_p3_2+C405*k_p3_3))</f>
        <v/>
      </c>
      <c r="F405">
        <f>k_p4_0+C405*(k_p4_1+C405*(k_p4_2+C405*(k_p4_3+C405*k_p4_4)))</f>
        <v/>
      </c>
      <c r="G405">
        <f>k_ea+k_eb*EXP(k_ec*C405)</f>
        <v/>
      </c>
      <c r="H405">
        <f>(k_p2_1+2*k_p2_2*C405)/k_sx</f>
        <v/>
      </c>
      <c r="I405">
        <f>(k_p3_1+C405*(2*k_p3_2+3*k_p3_3*C405))/k_sx</f>
        <v/>
      </c>
      <c r="J405">
        <f>(k_p4_1+C405*(2*k_p4_2+C405*(3*k_p4_3+4*k_p4_4*C405)))/k_sx</f>
        <v/>
      </c>
      <c r="K405">
        <f>k_eb*k_ec*EXP(k_ec*C405)/k_sx</f>
        <v/>
      </c>
      <c r="L405">
        <f>(2*k_p4_2+C405*(6*k_p4_3+12*k_p4_4*C405))/k_sx^2</f>
        <v/>
      </c>
      <c r="M405">
        <f>D405/B405</f>
        <v/>
      </c>
      <c r="N405">
        <f>E405/B405</f>
        <v/>
      </c>
      <c r="O405">
        <f>F405/B405</f>
        <v/>
      </c>
      <c r="P405">
        <f>G405/B405</f>
        <v/>
      </c>
      <c r="Q405">
        <f>CHOOSE(k_model,D405,E405,F405,G405)</f>
        <v/>
      </c>
      <c r="R405">
        <f>CHOOSE(k_model,H405,I405,J405,K405)</f>
        <v/>
      </c>
    </row>
    <row r="406">
      <c r="A406" t="n">
        <v>404</v>
      </c>
      <c r="B406">
        <f>k_lo+k_rng*A406/1000</f>
        <v/>
      </c>
      <c r="C406">
        <f>(B406-k_mx)/k_sx</f>
        <v/>
      </c>
      <c r="D406">
        <f>k_p2_0+C406*(k_p2_1+C406*k_p2_2)</f>
        <v/>
      </c>
      <c r="E406">
        <f>k_p3_0+C406*(k_p3_1+C406*(k_p3_2+C406*k_p3_3))</f>
        <v/>
      </c>
      <c r="F406">
        <f>k_p4_0+C406*(k_p4_1+C406*(k_p4_2+C406*(k_p4_3+C406*k_p4_4)))</f>
        <v/>
      </c>
      <c r="G406">
        <f>k_ea+k_eb*EXP(k_ec*C406)</f>
        <v/>
      </c>
      <c r="H406">
        <f>(k_p2_1+2*k_p2_2*C406)/k_sx</f>
        <v/>
      </c>
      <c r="I406">
        <f>(k_p3_1+C406*(2*k_p3_2+3*k_p3_3*C406))/k_sx</f>
        <v/>
      </c>
      <c r="J406">
        <f>(k_p4_1+C406*(2*k_p4_2+C406*(3*k_p4_3+4*k_p4_4*C406)))/k_sx</f>
        <v/>
      </c>
      <c r="K406">
        <f>k_eb*k_ec*EXP(k_ec*C406)/k_sx</f>
        <v/>
      </c>
      <c r="L406">
        <f>(2*k_p4_2+C406*(6*k_p4_3+12*k_p4_4*C406))/k_sx^2</f>
        <v/>
      </c>
      <c r="M406">
        <f>D406/B406</f>
        <v/>
      </c>
      <c r="N406">
        <f>E406/B406</f>
        <v/>
      </c>
      <c r="O406">
        <f>F406/B406</f>
        <v/>
      </c>
      <c r="P406">
        <f>G406/B406</f>
        <v/>
      </c>
      <c r="Q406">
        <f>CHOOSE(k_model,D406,E406,F406,G406)</f>
        <v/>
      </c>
      <c r="R406">
        <f>CHOOSE(k_model,H406,I406,J406,K406)</f>
        <v/>
      </c>
    </row>
    <row r="407">
      <c r="A407" t="n">
        <v>405</v>
      </c>
      <c r="B407">
        <f>k_lo+k_rng*A407/1000</f>
        <v/>
      </c>
      <c r="C407">
        <f>(B407-k_mx)/k_sx</f>
        <v/>
      </c>
      <c r="D407">
        <f>k_p2_0+C407*(k_p2_1+C407*k_p2_2)</f>
        <v/>
      </c>
      <c r="E407">
        <f>k_p3_0+C407*(k_p3_1+C407*(k_p3_2+C407*k_p3_3))</f>
        <v/>
      </c>
      <c r="F407">
        <f>k_p4_0+C407*(k_p4_1+C407*(k_p4_2+C407*(k_p4_3+C407*k_p4_4)))</f>
        <v/>
      </c>
      <c r="G407">
        <f>k_ea+k_eb*EXP(k_ec*C407)</f>
        <v/>
      </c>
      <c r="H407">
        <f>(k_p2_1+2*k_p2_2*C407)/k_sx</f>
        <v/>
      </c>
      <c r="I407">
        <f>(k_p3_1+C407*(2*k_p3_2+3*k_p3_3*C407))/k_sx</f>
        <v/>
      </c>
      <c r="J407">
        <f>(k_p4_1+C407*(2*k_p4_2+C407*(3*k_p4_3+4*k_p4_4*C407)))/k_sx</f>
        <v/>
      </c>
      <c r="K407">
        <f>k_eb*k_ec*EXP(k_ec*C407)/k_sx</f>
        <v/>
      </c>
      <c r="L407">
        <f>(2*k_p4_2+C407*(6*k_p4_3+12*k_p4_4*C407))/k_sx^2</f>
        <v/>
      </c>
      <c r="M407">
        <f>D407/B407</f>
        <v/>
      </c>
      <c r="N407">
        <f>E407/B407</f>
        <v/>
      </c>
      <c r="O407">
        <f>F407/B407</f>
        <v/>
      </c>
      <c r="P407">
        <f>G407/B407</f>
        <v/>
      </c>
      <c r="Q407">
        <f>CHOOSE(k_model,D407,E407,F407,G407)</f>
        <v/>
      </c>
      <c r="R407">
        <f>CHOOSE(k_model,H407,I407,J407,K407)</f>
        <v/>
      </c>
    </row>
    <row r="408">
      <c r="A408" t="n">
        <v>406</v>
      </c>
      <c r="B408">
        <f>k_lo+k_rng*A408/1000</f>
        <v/>
      </c>
      <c r="C408">
        <f>(B408-k_mx)/k_sx</f>
        <v/>
      </c>
      <c r="D408">
        <f>k_p2_0+C408*(k_p2_1+C408*k_p2_2)</f>
        <v/>
      </c>
      <c r="E408">
        <f>k_p3_0+C408*(k_p3_1+C408*(k_p3_2+C408*k_p3_3))</f>
        <v/>
      </c>
      <c r="F408">
        <f>k_p4_0+C408*(k_p4_1+C408*(k_p4_2+C408*(k_p4_3+C408*k_p4_4)))</f>
        <v/>
      </c>
      <c r="G408">
        <f>k_ea+k_eb*EXP(k_ec*C408)</f>
        <v/>
      </c>
      <c r="H408">
        <f>(k_p2_1+2*k_p2_2*C408)/k_sx</f>
        <v/>
      </c>
      <c r="I408">
        <f>(k_p3_1+C408*(2*k_p3_2+3*k_p3_3*C408))/k_sx</f>
        <v/>
      </c>
      <c r="J408">
        <f>(k_p4_1+C408*(2*k_p4_2+C408*(3*k_p4_3+4*k_p4_4*C408)))/k_sx</f>
        <v/>
      </c>
      <c r="K408">
        <f>k_eb*k_ec*EXP(k_ec*C408)/k_sx</f>
        <v/>
      </c>
      <c r="L408">
        <f>(2*k_p4_2+C408*(6*k_p4_3+12*k_p4_4*C408))/k_sx^2</f>
        <v/>
      </c>
      <c r="M408">
        <f>D408/B408</f>
        <v/>
      </c>
      <c r="N408">
        <f>E408/B408</f>
        <v/>
      </c>
      <c r="O408">
        <f>F408/B408</f>
        <v/>
      </c>
      <c r="P408">
        <f>G408/B408</f>
        <v/>
      </c>
      <c r="Q408">
        <f>CHOOSE(k_model,D408,E408,F408,G408)</f>
        <v/>
      </c>
      <c r="R408">
        <f>CHOOSE(k_model,H408,I408,J408,K408)</f>
        <v/>
      </c>
    </row>
    <row r="409">
      <c r="A409" t="n">
        <v>407</v>
      </c>
      <c r="B409">
        <f>k_lo+k_rng*A409/1000</f>
        <v/>
      </c>
      <c r="C409">
        <f>(B409-k_mx)/k_sx</f>
        <v/>
      </c>
      <c r="D409">
        <f>k_p2_0+C409*(k_p2_1+C409*k_p2_2)</f>
        <v/>
      </c>
      <c r="E409">
        <f>k_p3_0+C409*(k_p3_1+C409*(k_p3_2+C409*k_p3_3))</f>
        <v/>
      </c>
      <c r="F409">
        <f>k_p4_0+C409*(k_p4_1+C409*(k_p4_2+C409*(k_p4_3+C409*k_p4_4)))</f>
        <v/>
      </c>
      <c r="G409">
        <f>k_ea+k_eb*EXP(k_ec*C409)</f>
        <v/>
      </c>
      <c r="H409">
        <f>(k_p2_1+2*k_p2_2*C409)/k_sx</f>
        <v/>
      </c>
      <c r="I409">
        <f>(k_p3_1+C409*(2*k_p3_2+3*k_p3_3*C409))/k_sx</f>
        <v/>
      </c>
      <c r="J409">
        <f>(k_p4_1+C409*(2*k_p4_2+C409*(3*k_p4_3+4*k_p4_4*C409)))/k_sx</f>
        <v/>
      </c>
      <c r="K409">
        <f>k_eb*k_ec*EXP(k_ec*C409)/k_sx</f>
        <v/>
      </c>
      <c r="L409">
        <f>(2*k_p4_2+C409*(6*k_p4_3+12*k_p4_4*C409))/k_sx^2</f>
        <v/>
      </c>
      <c r="M409">
        <f>D409/B409</f>
        <v/>
      </c>
      <c r="N409">
        <f>E409/B409</f>
        <v/>
      </c>
      <c r="O409">
        <f>F409/B409</f>
        <v/>
      </c>
      <c r="P409">
        <f>G409/B409</f>
        <v/>
      </c>
      <c r="Q409">
        <f>CHOOSE(k_model,D409,E409,F409,G409)</f>
        <v/>
      </c>
      <c r="R409">
        <f>CHOOSE(k_model,H409,I409,J409,K409)</f>
        <v/>
      </c>
    </row>
    <row r="410">
      <c r="A410" t="n">
        <v>408</v>
      </c>
      <c r="B410">
        <f>k_lo+k_rng*A410/1000</f>
        <v/>
      </c>
      <c r="C410">
        <f>(B410-k_mx)/k_sx</f>
        <v/>
      </c>
      <c r="D410">
        <f>k_p2_0+C410*(k_p2_1+C410*k_p2_2)</f>
        <v/>
      </c>
      <c r="E410">
        <f>k_p3_0+C410*(k_p3_1+C410*(k_p3_2+C410*k_p3_3))</f>
        <v/>
      </c>
      <c r="F410">
        <f>k_p4_0+C410*(k_p4_1+C410*(k_p4_2+C410*(k_p4_3+C410*k_p4_4)))</f>
        <v/>
      </c>
      <c r="G410">
        <f>k_ea+k_eb*EXP(k_ec*C410)</f>
        <v/>
      </c>
      <c r="H410">
        <f>(k_p2_1+2*k_p2_2*C410)/k_sx</f>
        <v/>
      </c>
      <c r="I410">
        <f>(k_p3_1+C410*(2*k_p3_2+3*k_p3_3*C410))/k_sx</f>
        <v/>
      </c>
      <c r="J410">
        <f>(k_p4_1+C410*(2*k_p4_2+C410*(3*k_p4_3+4*k_p4_4*C410)))/k_sx</f>
        <v/>
      </c>
      <c r="K410">
        <f>k_eb*k_ec*EXP(k_ec*C410)/k_sx</f>
        <v/>
      </c>
      <c r="L410">
        <f>(2*k_p4_2+C410*(6*k_p4_3+12*k_p4_4*C410))/k_sx^2</f>
        <v/>
      </c>
      <c r="M410">
        <f>D410/B410</f>
        <v/>
      </c>
      <c r="N410">
        <f>E410/B410</f>
        <v/>
      </c>
      <c r="O410">
        <f>F410/B410</f>
        <v/>
      </c>
      <c r="P410">
        <f>G410/B410</f>
        <v/>
      </c>
      <c r="Q410">
        <f>CHOOSE(k_model,D410,E410,F410,G410)</f>
        <v/>
      </c>
      <c r="R410">
        <f>CHOOSE(k_model,H410,I410,J410,K410)</f>
        <v/>
      </c>
    </row>
    <row r="411">
      <c r="A411" t="n">
        <v>409</v>
      </c>
      <c r="B411">
        <f>k_lo+k_rng*A411/1000</f>
        <v/>
      </c>
      <c r="C411">
        <f>(B411-k_mx)/k_sx</f>
        <v/>
      </c>
      <c r="D411">
        <f>k_p2_0+C411*(k_p2_1+C411*k_p2_2)</f>
        <v/>
      </c>
      <c r="E411">
        <f>k_p3_0+C411*(k_p3_1+C411*(k_p3_2+C411*k_p3_3))</f>
        <v/>
      </c>
      <c r="F411">
        <f>k_p4_0+C411*(k_p4_1+C411*(k_p4_2+C411*(k_p4_3+C411*k_p4_4)))</f>
        <v/>
      </c>
      <c r="G411">
        <f>k_ea+k_eb*EXP(k_ec*C411)</f>
        <v/>
      </c>
      <c r="H411">
        <f>(k_p2_1+2*k_p2_2*C411)/k_sx</f>
        <v/>
      </c>
      <c r="I411">
        <f>(k_p3_1+C411*(2*k_p3_2+3*k_p3_3*C411))/k_sx</f>
        <v/>
      </c>
      <c r="J411">
        <f>(k_p4_1+C411*(2*k_p4_2+C411*(3*k_p4_3+4*k_p4_4*C411)))/k_sx</f>
        <v/>
      </c>
      <c r="K411">
        <f>k_eb*k_ec*EXP(k_ec*C411)/k_sx</f>
        <v/>
      </c>
      <c r="L411">
        <f>(2*k_p4_2+C411*(6*k_p4_3+12*k_p4_4*C411))/k_sx^2</f>
        <v/>
      </c>
      <c r="M411">
        <f>D411/B411</f>
        <v/>
      </c>
      <c r="N411">
        <f>E411/B411</f>
        <v/>
      </c>
      <c r="O411">
        <f>F411/B411</f>
        <v/>
      </c>
      <c r="P411">
        <f>G411/B411</f>
        <v/>
      </c>
      <c r="Q411">
        <f>CHOOSE(k_model,D411,E411,F411,G411)</f>
        <v/>
      </c>
      <c r="R411">
        <f>CHOOSE(k_model,H411,I411,J411,K411)</f>
        <v/>
      </c>
    </row>
    <row r="412">
      <c r="A412" t="n">
        <v>410</v>
      </c>
      <c r="B412">
        <f>k_lo+k_rng*A412/1000</f>
        <v/>
      </c>
      <c r="C412">
        <f>(B412-k_mx)/k_sx</f>
        <v/>
      </c>
      <c r="D412">
        <f>k_p2_0+C412*(k_p2_1+C412*k_p2_2)</f>
        <v/>
      </c>
      <c r="E412">
        <f>k_p3_0+C412*(k_p3_1+C412*(k_p3_2+C412*k_p3_3))</f>
        <v/>
      </c>
      <c r="F412">
        <f>k_p4_0+C412*(k_p4_1+C412*(k_p4_2+C412*(k_p4_3+C412*k_p4_4)))</f>
        <v/>
      </c>
      <c r="G412">
        <f>k_ea+k_eb*EXP(k_ec*C412)</f>
        <v/>
      </c>
      <c r="H412">
        <f>(k_p2_1+2*k_p2_2*C412)/k_sx</f>
        <v/>
      </c>
      <c r="I412">
        <f>(k_p3_1+C412*(2*k_p3_2+3*k_p3_3*C412))/k_sx</f>
        <v/>
      </c>
      <c r="J412">
        <f>(k_p4_1+C412*(2*k_p4_2+C412*(3*k_p4_3+4*k_p4_4*C412)))/k_sx</f>
        <v/>
      </c>
      <c r="K412">
        <f>k_eb*k_ec*EXP(k_ec*C412)/k_sx</f>
        <v/>
      </c>
      <c r="L412">
        <f>(2*k_p4_2+C412*(6*k_p4_3+12*k_p4_4*C412))/k_sx^2</f>
        <v/>
      </c>
      <c r="M412">
        <f>D412/B412</f>
        <v/>
      </c>
      <c r="N412">
        <f>E412/B412</f>
        <v/>
      </c>
      <c r="O412">
        <f>F412/B412</f>
        <v/>
      </c>
      <c r="P412">
        <f>G412/B412</f>
        <v/>
      </c>
      <c r="Q412">
        <f>CHOOSE(k_model,D412,E412,F412,G412)</f>
        <v/>
      </c>
      <c r="R412">
        <f>CHOOSE(k_model,H412,I412,J412,K412)</f>
        <v/>
      </c>
    </row>
    <row r="413">
      <c r="A413" t="n">
        <v>411</v>
      </c>
      <c r="B413">
        <f>k_lo+k_rng*A413/1000</f>
        <v/>
      </c>
      <c r="C413">
        <f>(B413-k_mx)/k_sx</f>
        <v/>
      </c>
      <c r="D413">
        <f>k_p2_0+C413*(k_p2_1+C413*k_p2_2)</f>
        <v/>
      </c>
      <c r="E413">
        <f>k_p3_0+C413*(k_p3_1+C413*(k_p3_2+C413*k_p3_3))</f>
        <v/>
      </c>
      <c r="F413">
        <f>k_p4_0+C413*(k_p4_1+C413*(k_p4_2+C413*(k_p4_3+C413*k_p4_4)))</f>
        <v/>
      </c>
      <c r="G413">
        <f>k_ea+k_eb*EXP(k_ec*C413)</f>
        <v/>
      </c>
      <c r="H413">
        <f>(k_p2_1+2*k_p2_2*C413)/k_sx</f>
        <v/>
      </c>
      <c r="I413">
        <f>(k_p3_1+C413*(2*k_p3_2+3*k_p3_3*C413))/k_sx</f>
        <v/>
      </c>
      <c r="J413">
        <f>(k_p4_1+C413*(2*k_p4_2+C413*(3*k_p4_3+4*k_p4_4*C413)))/k_sx</f>
        <v/>
      </c>
      <c r="K413">
        <f>k_eb*k_ec*EXP(k_ec*C413)/k_sx</f>
        <v/>
      </c>
      <c r="L413">
        <f>(2*k_p4_2+C413*(6*k_p4_3+12*k_p4_4*C413))/k_sx^2</f>
        <v/>
      </c>
      <c r="M413">
        <f>D413/B413</f>
        <v/>
      </c>
      <c r="N413">
        <f>E413/B413</f>
        <v/>
      </c>
      <c r="O413">
        <f>F413/B413</f>
        <v/>
      </c>
      <c r="P413">
        <f>G413/B413</f>
        <v/>
      </c>
      <c r="Q413">
        <f>CHOOSE(k_model,D413,E413,F413,G413)</f>
        <v/>
      </c>
      <c r="R413">
        <f>CHOOSE(k_model,H413,I413,J413,K413)</f>
        <v/>
      </c>
    </row>
    <row r="414">
      <c r="A414" t="n">
        <v>412</v>
      </c>
      <c r="B414">
        <f>k_lo+k_rng*A414/1000</f>
        <v/>
      </c>
      <c r="C414">
        <f>(B414-k_mx)/k_sx</f>
        <v/>
      </c>
      <c r="D414">
        <f>k_p2_0+C414*(k_p2_1+C414*k_p2_2)</f>
        <v/>
      </c>
      <c r="E414">
        <f>k_p3_0+C414*(k_p3_1+C414*(k_p3_2+C414*k_p3_3))</f>
        <v/>
      </c>
      <c r="F414">
        <f>k_p4_0+C414*(k_p4_1+C414*(k_p4_2+C414*(k_p4_3+C414*k_p4_4)))</f>
        <v/>
      </c>
      <c r="G414">
        <f>k_ea+k_eb*EXP(k_ec*C414)</f>
        <v/>
      </c>
      <c r="H414">
        <f>(k_p2_1+2*k_p2_2*C414)/k_sx</f>
        <v/>
      </c>
      <c r="I414">
        <f>(k_p3_1+C414*(2*k_p3_2+3*k_p3_3*C414))/k_sx</f>
        <v/>
      </c>
      <c r="J414">
        <f>(k_p4_1+C414*(2*k_p4_2+C414*(3*k_p4_3+4*k_p4_4*C414)))/k_sx</f>
        <v/>
      </c>
      <c r="K414">
        <f>k_eb*k_ec*EXP(k_ec*C414)/k_sx</f>
        <v/>
      </c>
      <c r="L414">
        <f>(2*k_p4_2+C414*(6*k_p4_3+12*k_p4_4*C414))/k_sx^2</f>
        <v/>
      </c>
      <c r="M414">
        <f>D414/B414</f>
        <v/>
      </c>
      <c r="N414">
        <f>E414/B414</f>
        <v/>
      </c>
      <c r="O414">
        <f>F414/B414</f>
        <v/>
      </c>
      <c r="P414">
        <f>G414/B414</f>
        <v/>
      </c>
      <c r="Q414">
        <f>CHOOSE(k_model,D414,E414,F414,G414)</f>
        <v/>
      </c>
      <c r="R414">
        <f>CHOOSE(k_model,H414,I414,J414,K414)</f>
        <v/>
      </c>
    </row>
    <row r="415">
      <c r="A415" t="n">
        <v>413</v>
      </c>
      <c r="B415">
        <f>k_lo+k_rng*A415/1000</f>
        <v/>
      </c>
      <c r="C415">
        <f>(B415-k_mx)/k_sx</f>
        <v/>
      </c>
      <c r="D415">
        <f>k_p2_0+C415*(k_p2_1+C415*k_p2_2)</f>
        <v/>
      </c>
      <c r="E415">
        <f>k_p3_0+C415*(k_p3_1+C415*(k_p3_2+C415*k_p3_3))</f>
        <v/>
      </c>
      <c r="F415">
        <f>k_p4_0+C415*(k_p4_1+C415*(k_p4_2+C415*(k_p4_3+C415*k_p4_4)))</f>
        <v/>
      </c>
      <c r="G415">
        <f>k_ea+k_eb*EXP(k_ec*C415)</f>
        <v/>
      </c>
      <c r="H415">
        <f>(k_p2_1+2*k_p2_2*C415)/k_sx</f>
        <v/>
      </c>
      <c r="I415">
        <f>(k_p3_1+C415*(2*k_p3_2+3*k_p3_3*C415))/k_sx</f>
        <v/>
      </c>
      <c r="J415">
        <f>(k_p4_1+C415*(2*k_p4_2+C415*(3*k_p4_3+4*k_p4_4*C415)))/k_sx</f>
        <v/>
      </c>
      <c r="K415">
        <f>k_eb*k_ec*EXP(k_ec*C415)/k_sx</f>
        <v/>
      </c>
      <c r="L415">
        <f>(2*k_p4_2+C415*(6*k_p4_3+12*k_p4_4*C415))/k_sx^2</f>
        <v/>
      </c>
      <c r="M415">
        <f>D415/B415</f>
        <v/>
      </c>
      <c r="N415">
        <f>E415/B415</f>
        <v/>
      </c>
      <c r="O415">
        <f>F415/B415</f>
        <v/>
      </c>
      <c r="P415">
        <f>G415/B415</f>
        <v/>
      </c>
      <c r="Q415">
        <f>CHOOSE(k_model,D415,E415,F415,G415)</f>
        <v/>
      </c>
      <c r="R415">
        <f>CHOOSE(k_model,H415,I415,J415,K415)</f>
        <v/>
      </c>
    </row>
    <row r="416">
      <c r="A416" t="n">
        <v>414</v>
      </c>
      <c r="B416">
        <f>k_lo+k_rng*A416/1000</f>
        <v/>
      </c>
      <c r="C416">
        <f>(B416-k_mx)/k_sx</f>
        <v/>
      </c>
      <c r="D416">
        <f>k_p2_0+C416*(k_p2_1+C416*k_p2_2)</f>
        <v/>
      </c>
      <c r="E416">
        <f>k_p3_0+C416*(k_p3_1+C416*(k_p3_2+C416*k_p3_3))</f>
        <v/>
      </c>
      <c r="F416">
        <f>k_p4_0+C416*(k_p4_1+C416*(k_p4_2+C416*(k_p4_3+C416*k_p4_4)))</f>
        <v/>
      </c>
      <c r="G416">
        <f>k_ea+k_eb*EXP(k_ec*C416)</f>
        <v/>
      </c>
      <c r="H416">
        <f>(k_p2_1+2*k_p2_2*C416)/k_sx</f>
        <v/>
      </c>
      <c r="I416">
        <f>(k_p3_1+C416*(2*k_p3_2+3*k_p3_3*C416))/k_sx</f>
        <v/>
      </c>
      <c r="J416">
        <f>(k_p4_1+C416*(2*k_p4_2+C416*(3*k_p4_3+4*k_p4_4*C416)))/k_sx</f>
        <v/>
      </c>
      <c r="K416">
        <f>k_eb*k_ec*EXP(k_ec*C416)/k_sx</f>
        <v/>
      </c>
      <c r="L416">
        <f>(2*k_p4_2+C416*(6*k_p4_3+12*k_p4_4*C416))/k_sx^2</f>
        <v/>
      </c>
      <c r="M416">
        <f>D416/B416</f>
        <v/>
      </c>
      <c r="N416">
        <f>E416/B416</f>
        <v/>
      </c>
      <c r="O416">
        <f>F416/B416</f>
        <v/>
      </c>
      <c r="P416">
        <f>G416/B416</f>
        <v/>
      </c>
      <c r="Q416">
        <f>CHOOSE(k_model,D416,E416,F416,G416)</f>
        <v/>
      </c>
      <c r="R416">
        <f>CHOOSE(k_model,H416,I416,J416,K416)</f>
        <v/>
      </c>
    </row>
    <row r="417">
      <c r="A417" t="n">
        <v>415</v>
      </c>
      <c r="B417">
        <f>k_lo+k_rng*A417/1000</f>
        <v/>
      </c>
      <c r="C417">
        <f>(B417-k_mx)/k_sx</f>
        <v/>
      </c>
      <c r="D417">
        <f>k_p2_0+C417*(k_p2_1+C417*k_p2_2)</f>
        <v/>
      </c>
      <c r="E417">
        <f>k_p3_0+C417*(k_p3_1+C417*(k_p3_2+C417*k_p3_3))</f>
        <v/>
      </c>
      <c r="F417">
        <f>k_p4_0+C417*(k_p4_1+C417*(k_p4_2+C417*(k_p4_3+C417*k_p4_4)))</f>
        <v/>
      </c>
      <c r="G417">
        <f>k_ea+k_eb*EXP(k_ec*C417)</f>
        <v/>
      </c>
      <c r="H417">
        <f>(k_p2_1+2*k_p2_2*C417)/k_sx</f>
        <v/>
      </c>
      <c r="I417">
        <f>(k_p3_1+C417*(2*k_p3_2+3*k_p3_3*C417))/k_sx</f>
        <v/>
      </c>
      <c r="J417">
        <f>(k_p4_1+C417*(2*k_p4_2+C417*(3*k_p4_3+4*k_p4_4*C417)))/k_sx</f>
        <v/>
      </c>
      <c r="K417">
        <f>k_eb*k_ec*EXP(k_ec*C417)/k_sx</f>
        <v/>
      </c>
      <c r="L417">
        <f>(2*k_p4_2+C417*(6*k_p4_3+12*k_p4_4*C417))/k_sx^2</f>
        <v/>
      </c>
      <c r="M417">
        <f>D417/B417</f>
        <v/>
      </c>
      <c r="N417">
        <f>E417/B417</f>
        <v/>
      </c>
      <c r="O417">
        <f>F417/B417</f>
        <v/>
      </c>
      <c r="P417">
        <f>G417/B417</f>
        <v/>
      </c>
      <c r="Q417">
        <f>CHOOSE(k_model,D417,E417,F417,G417)</f>
        <v/>
      </c>
      <c r="R417">
        <f>CHOOSE(k_model,H417,I417,J417,K417)</f>
        <v/>
      </c>
    </row>
    <row r="418">
      <c r="A418" t="n">
        <v>416</v>
      </c>
      <c r="B418">
        <f>k_lo+k_rng*A418/1000</f>
        <v/>
      </c>
      <c r="C418">
        <f>(B418-k_mx)/k_sx</f>
        <v/>
      </c>
      <c r="D418">
        <f>k_p2_0+C418*(k_p2_1+C418*k_p2_2)</f>
        <v/>
      </c>
      <c r="E418">
        <f>k_p3_0+C418*(k_p3_1+C418*(k_p3_2+C418*k_p3_3))</f>
        <v/>
      </c>
      <c r="F418">
        <f>k_p4_0+C418*(k_p4_1+C418*(k_p4_2+C418*(k_p4_3+C418*k_p4_4)))</f>
        <v/>
      </c>
      <c r="G418">
        <f>k_ea+k_eb*EXP(k_ec*C418)</f>
        <v/>
      </c>
      <c r="H418">
        <f>(k_p2_1+2*k_p2_2*C418)/k_sx</f>
        <v/>
      </c>
      <c r="I418">
        <f>(k_p3_1+C418*(2*k_p3_2+3*k_p3_3*C418))/k_sx</f>
        <v/>
      </c>
      <c r="J418">
        <f>(k_p4_1+C418*(2*k_p4_2+C418*(3*k_p4_3+4*k_p4_4*C418)))/k_sx</f>
        <v/>
      </c>
      <c r="K418">
        <f>k_eb*k_ec*EXP(k_ec*C418)/k_sx</f>
        <v/>
      </c>
      <c r="L418">
        <f>(2*k_p4_2+C418*(6*k_p4_3+12*k_p4_4*C418))/k_sx^2</f>
        <v/>
      </c>
      <c r="M418">
        <f>D418/B418</f>
        <v/>
      </c>
      <c r="N418">
        <f>E418/B418</f>
        <v/>
      </c>
      <c r="O418">
        <f>F418/B418</f>
        <v/>
      </c>
      <c r="P418">
        <f>G418/B418</f>
        <v/>
      </c>
      <c r="Q418">
        <f>CHOOSE(k_model,D418,E418,F418,G418)</f>
        <v/>
      </c>
      <c r="R418">
        <f>CHOOSE(k_model,H418,I418,J418,K418)</f>
        <v/>
      </c>
    </row>
    <row r="419">
      <c r="A419" t="n">
        <v>417</v>
      </c>
      <c r="B419">
        <f>k_lo+k_rng*A419/1000</f>
        <v/>
      </c>
      <c r="C419">
        <f>(B419-k_mx)/k_sx</f>
        <v/>
      </c>
      <c r="D419">
        <f>k_p2_0+C419*(k_p2_1+C419*k_p2_2)</f>
        <v/>
      </c>
      <c r="E419">
        <f>k_p3_0+C419*(k_p3_1+C419*(k_p3_2+C419*k_p3_3))</f>
        <v/>
      </c>
      <c r="F419">
        <f>k_p4_0+C419*(k_p4_1+C419*(k_p4_2+C419*(k_p4_3+C419*k_p4_4)))</f>
        <v/>
      </c>
      <c r="G419">
        <f>k_ea+k_eb*EXP(k_ec*C419)</f>
        <v/>
      </c>
      <c r="H419">
        <f>(k_p2_1+2*k_p2_2*C419)/k_sx</f>
        <v/>
      </c>
      <c r="I419">
        <f>(k_p3_1+C419*(2*k_p3_2+3*k_p3_3*C419))/k_sx</f>
        <v/>
      </c>
      <c r="J419">
        <f>(k_p4_1+C419*(2*k_p4_2+C419*(3*k_p4_3+4*k_p4_4*C419)))/k_sx</f>
        <v/>
      </c>
      <c r="K419">
        <f>k_eb*k_ec*EXP(k_ec*C419)/k_sx</f>
        <v/>
      </c>
      <c r="L419">
        <f>(2*k_p4_2+C419*(6*k_p4_3+12*k_p4_4*C419))/k_sx^2</f>
        <v/>
      </c>
      <c r="M419">
        <f>D419/B419</f>
        <v/>
      </c>
      <c r="N419">
        <f>E419/B419</f>
        <v/>
      </c>
      <c r="O419">
        <f>F419/B419</f>
        <v/>
      </c>
      <c r="P419">
        <f>G419/B419</f>
        <v/>
      </c>
      <c r="Q419">
        <f>CHOOSE(k_model,D419,E419,F419,G419)</f>
        <v/>
      </c>
      <c r="R419">
        <f>CHOOSE(k_model,H419,I419,J419,K419)</f>
        <v/>
      </c>
    </row>
    <row r="420">
      <c r="A420" t="n">
        <v>418</v>
      </c>
      <c r="B420">
        <f>k_lo+k_rng*A420/1000</f>
        <v/>
      </c>
      <c r="C420">
        <f>(B420-k_mx)/k_sx</f>
        <v/>
      </c>
      <c r="D420">
        <f>k_p2_0+C420*(k_p2_1+C420*k_p2_2)</f>
        <v/>
      </c>
      <c r="E420">
        <f>k_p3_0+C420*(k_p3_1+C420*(k_p3_2+C420*k_p3_3))</f>
        <v/>
      </c>
      <c r="F420">
        <f>k_p4_0+C420*(k_p4_1+C420*(k_p4_2+C420*(k_p4_3+C420*k_p4_4)))</f>
        <v/>
      </c>
      <c r="G420">
        <f>k_ea+k_eb*EXP(k_ec*C420)</f>
        <v/>
      </c>
      <c r="H420">
        <f>(k_p2_1+2*k_p2_2*C420)/k_sx</f>
        <v/>
      </c>
      <c r="I420">
        <f>(k_p3_1+C420*(2*k_p3_2+3*k_p3_3*C420))/k_sx</f>
        <v/>
      </c>
      <c r="J420">
        <f>(k_p4_1+C420*(2*k_p4_2+C420*(3*k_p4_3+4*k_p4_4*C420)))/k_sx</f>
        <v/>
      </c>
      <c r="K420">
        <f>k_eb*k_ec*EXP(k_ec*C420)/k_sx</f>
        <v/>
      </c>
      <c r="L420">
        <f>(2*k_p4_2+C420*(6*k_p4_3+12*k_p4_4*C420))/k_sx^2</f>
        <v/>
      </c>
      <c r="M420">
        <f>D420/B420</f>
        <v/>
      </c>
      <c r="N420">
        <f>E420/B420</f>
        <v/>
      </c>
      <c r="O420">
        <f>F420/B420</f>
        <v/>
      </c>
      <c r="P420">
        <f>G420/B420</f>
        <v/>
      </c>
      <c r="Q420">
        <f>CHOOSE(k_model,D420,E420,F420,G420)</f>
        <v/>
      </c>
      <c r="R420">
        <f>CHOOSE(k_model,H420,I420,J420,K420)</f>
        <v/>
      </c>
    </row>
    <row r="421">
      <c r="A421" t="n">
        <v>419</v>
      </c>
      <c r="B421">
        <f>k_lo+k_rng*A421/1000</f>
        <v/>
      </c>
      <c r="C421">
        <f>(B421-k_mx)/k_sx</f>
        <v/>
      </c>
      <c r="D421">
        <f>k_p2_0+C421*(k_p2_1+C421*k_p2_2)</f>
        <v/>
      </c>
      <c r="E421">
        <f>k_p3_0+C421*(k_p3_1+C421*(k_p3_2+C421*k_p3_3))</f>
        <v/>
      </c>
      <c r="F421">
        <f>k_p4_0+C421*(k_p4_1+C421*(k_p4_2+C421*(k_p4_3+C421*k_p4_4)))</f>
        <v/>
      </c>
      <c r="G421">
        <f>k_ea+k_eb*EXP(k_ec*C421)</f>
        <v/>
      </c>
      <c r="H421">
        <f>(k_p2_1+2*k_p2_2*C421)/k_sx</f>
        <v/>
      </c>
      <c r="I421">
        <f>(k_p3_1+C421*(2*k_p3_2+3*k_p3_3*C421))/k_sx</f>
        <v/>
      </c>
      <c r="J421">
        <f>(k_p4_1+C421*(2*k_p4_2+C421*(3*k_p4_3+4*k_p4_4*C421)))/k_sx</f>
        <v/>
      </c>
      <c r="K421">
        <f>k_eb*k_ec*EXP(k_ec*C421)/k_sx</f>
        <v/>
      </c>
      <c r="L421">
        <f>(2*k_p4_2+C421*(6*k_p4_3+12*k_p4_4*C421))/k_sx^2</f>
        <v/>
      </c>
      <c r="M421">
        <f>D421/B421</f>
        <v/>
      </c>
      <c r="N421">
        <f>E421/B421</f>
        <v/>
      </c>
      <c r="O421">
        <f>F421/B421</f>
        <v/>
      </c>
      <c r="P421">
        <f>G421/B421</f>
        <v/>
      </c>
      <c r="Q421">
        <f>CHOOSE(k_model,D421,E421,F421,G421)</f>
        <v/>
      </c>
      <c r="R421">
        <f>CHOOSE(k_model,H421,I421,J421,K421)</f>
        <v/>
      </c>
    </row>
    <row r="422">
      <c r="A422" t="n">
        <v>420</v>
      </c>
      <c r="B422">
        <f>k_lo+k_rng*A422/1000</f>
        <v/>
      </c>
      <c r="C422">
        <f>(B422-k_mx)/k_sx</f>
        <v/>
      </c>
      <c r="D422">
        <f>k_p2_0+C422*(k_p2_1+C422*k_p2_2)</f>
        <v/>
      </c>
      <c r="E422">
        <f>k_p3_0+C422*(k_p3_1+C422*(k_p3_2+C422*k_p3_3))</f>
        <v/>
      </c>
      <c r="F422">
        <f>k_p4_0+C422*(k_p4_1+C422*(k_p4_2+C422*(k_p4_3+C422*k_p4_4)))</f>
        <v/>
      </c>
      <c r="G422">
        <f>k_ea+k_eb*EXP(k_ec*C422)</f>
        <v/>
      </c>
      <c r="H422">
        <f>(k_p2_1+2*k_p2_2*C422)/k_sx</f>
        <v/>
      </c>
      <c r="I422">
        <f>(k_p3_1+C422*(2*k_p3_2+3*k_p3_3*C422))/k_sx</f>
        <v/>
      </c>
      <c r="J422">
        <f>(k_p4_1+C422*(2*k_p4_2+C422*(3*k_p4_3+4*k_p4_4*C422)))/k_sx</f>
        <v/>
      </c>
      <c r="K422">
        <f>k_eb*k_ec*EXP(k_ec*C422)/k_sx</f>
        <v/>
      </c>
      <c r="L422">
        <f>(2*k_p4_2+C422*(6*k_p4_3+12*k_p4_4*C422))/k_sx^2</f>
        <v/>
      </c>
      <c r="M422">
        <f>D422/B422</f>
        <v/>
      </c>
      <c r="N422">
        <f>E422/B422</f>
        <v/>
      </c>
      <c r="O422">
        <f>F422/B422</f>
        <v/>
      </c>
      <c r="P422">
        <f>G422/B422</f>
        <v/>
      </c>
      <c r="Q422">
        <f>CHOOSE(k_model,D422,E422,F422,G422)</f>
        <v/>
      </c>
      <c r="R422">
        <f>CHOOSE(k_model,H422,I422,J422,K422)</f>
        <v/>
      </c>
    </row>
    <row r="423">
      <c r="A423" t="n">
        <v>421</v>
      </c>
      <c r="B423">
        <f>k_lo+k_rng*A423/1000</f>
        <v/>
      </c>
      <c r="C423">
        <f>(B423-k_mx)/k_sx</f>
        <v/>
      </c>
      <c r="D423">
        <f>k_p2_0+C423*(k_p2_1+C423*k_p2_2)</f>
        <v/>
      </c>
      <c r="E423">
        <f>k_p3_0+C423*(k_p3_1+C423*(k_p3_2+C423*k_p3_3))</f>
        <v/>
      </c>
      <c r="F423">
        <f>k_p4_0+C423*(k_p4_1+C423*(k_p4_2+C423*(k_p4_3+C423*k_p4_4)))</f>
        <v/>
      </c>
      <c r="G423">
        <f>k_ea+k_eb*EXP(k_ec*C423)</f>
        <v/>
      </c>
      <c r="H423">
        <f>(k_p2_1+2*k_p2_2*C423)/k_sx</f>
        <v/>
      </c>
      <c r="I423">
        <f>(k_p3_1+C423*(2*k_p3_2+3*k_p3_3*C423))/k_sx</f>
        <v/>
      </c>
      <c r="J423">
        <f>(k_p4_1+C423*(2*k_p4_2+C423*(3*k_p4_3+4*k_p4_4*C423)))/k_sx</f>
        <v/>
      </c>
      <c r="K423">
        <f>k_eb*k_ec*EXP(k_ec*C423)/k_sx</f>
        <v/>
      </c>
      <c r="L423">
        <f>(2*k_p4_2+C423*(6*k_p4_3+12*k_p4_4*C423))/k_sx^2</f>
        <v/>
      </c>
      <c r="M423">
        <f>D423/B423</f>
        <v/>
      </c>
      <c r="N423">
        <f>E423/B423</f>
        <v/>
      </c>
      <c r="O423">
        <f>F423/B423</f>
        <v/>
      </c>
      <c r="P423">
        <f>G423/B423</f>
        <v/>
      </c>
      <c r="Q423">
        <f>CHOOSE(k_model,D423,E423,F423,G423)</f>
        <v/>
      </c>
      <c r="R423">
        <f>CHOOSE(k_model,H423,I423,J423,K423)</f>
        <v/>
      </c>
    </row>
    <row r="424">
      <c r="A424" t="n">
        <v>422</v>
      </c>
      <c r="B424">
        <f>k_lo+k_rng*A424/1000</f>
        <v/>
      </c>
      <c r="C424">
        <f>(B424-k_mx)/k_sx</f>
        <v/>
      </c>
      <c r="D424">
        <f>k_p2_0+C424*(k_p2_1+C424*k_p2_2)</f>
        <v/>
      </c>
      <c r="E424">
        <f>k_p3_0+C424*(k_p3_1+C424*(k_p3_2+C424*k_p3_3))</f>
        <v/>
      </c>
      <c r="F424">
        <f>k_p4_0+C424*(k_p4_1+C424*(k_p4_2+C424*(k_p4_3+C424*k_p4_4)))</f>
        <v/>
      </c>
      <c r="G424">
        <f>k_ea+k_eb*EXP(k_ec*C424)</f>
        <v/>
      </c>
      <c r="H424">
        <f>(k_p2_1+2*k_p2_2*C424)/k_sx</f>
        <v/>
      </c>
      <c r="I424">
        <f>(k_p3_1+C424*(2*k_p3_2+3*k_p3_3*C424))/k_sx</f>
        <v/>
      </c>
      <c r="J424">
        <f>(k_p4_1+C424*(2*k_p4_2+C424*(3*k_p4_3+4*k_p4_4*C424)))/k_sx</f>
        <v/>
      </c>
      <c r="K424">
        <f>k_eb*k_ec*EXP(k_ec*C424)/k_sx</f>
        <v/>
      </c>
      <c r="L424">
        <f>(2*k_p4_2+C424*(6*k_p4_3+12*k_p4_4*C424))/k_sx^2</f>
        <v/>
      </c>
      <c r="M424">
        <f>D424/B424</f>
        <v/>
      </c>
      <c r="N424">
        <f>E424/B424</f>
        <v/>
      </c>
      <c r="O424">
        <f>F424/B424</f>
        <v/>
      </c>
      <c r="P424">
        <f>G424/B424</f>
        <v/>
      </c>
      <c r="Q424">
        <f>CHOOSE(k_model,D424,E424,F424,G424)</f>
        <v/>
      </c>
      <c r="R424">
        <f>CHOOSE(k_model,H424,I424,J424,K424)</f>
        <v/>
      </c>
    </row>
    <row r="425">
      <c r="A425" t="n">
        <v>423</v>
      </c>
      <c r="B425">
        <f>k_lo+k_rng*A425/1000</f>
        <v/>
      </c>
      <c r="C425">
        <f>(B425-k_mx)/k_sx</f>
        <v/>
      </c>
      <c r="D425">
        <f>k_p2_0+C425*(k_p2_1+C425*k_p2_2)</f>
        <v/>
      </c>
      <c r="E425">
        <f>k_p3_0+C425*(k_p3_1+C425*(k_p3_2+C425*k_p3_3))</f>
        <v/>
      </c>
      <c r="F425">
        <f>k_p4_0+C425*(k_p4_1+C425*(k_p4_2+C425*(k_p4_3+C425*k_p4_4)))</f>
        <v/>
      </c>
      <c r="G425">
        <f>k_ea+k_eb*EXP(k_ec*C425)</f>
        <v/>
      </c>
      <c r="H425">
        <f>(k_p2_1+2*k_p2_2*C425)/k_sx</f>
        <v/>
      </c>
      <c r="I425">
        <f>(k_p3_1+C425*(2*k_p3_2+3*k_p3_3*C425))/k_sx</f>
        <v/>
      </c>
      <c r="J425">
        <f>(k_p4_1+C425*(2*k_p4_2+C425*(3*k_p4_3+4*k_p4_4*C425)))/k_sx</f>
        <v/>
      </c>
      <c r="K425">
        <f>k_eb*k_ec*EXP(k_ec*C425)/k_sx</f>
        <v/>
      </c>
      <c r="L425">
        <f>(2*k_p4_2+C425*(6*k_p4_3+12*k_p4_4*C425))/k_sx^2</f>
        <v/>
      </c>
      <c r="M425">
        <f>D425/B425</f>
        <v/>
      </c>
      <c r="N425">
        <f>E425/B425</f>
        <v/>
      </c>
      <c r="O425">
        <f>F425/B425</f>
        <v/>
      </c>
      <c r="P425">
        <f>G425/B425</f>
        <v/>
      </c>
      <c r="Q425">
        <f>CHOOSE(k_model,D425,E425,F425,G425)</f>
        <v/>
      </c>
      <c r="R425">
        <f>CHOOSE(k_model,H425,I425,J425,K425)</f>
        <v/>
      </c>
    </row>
    <row r="426">
      <c r="A426" t="n">
        <v>424</v>
      </c>
      <c r="B426">
        <f>k_lo+k_rng*A426/1000</f>
        <v/>
      </c>
      <c r="C426">
        <f>(B426-k_mx)/k_sx</f>
        <v/>
      </c>
      <c r="D426">
        <f>k_p2_0+C426*(k_p2_1+C426*k_p2_2)</f>
        <v/>
      </c>
      <c r="E426">
        <f>k_p3_0+C426*(k_p3_1+C426*(k_p3_2+C426*k_p3_3))</f>
        <v/>
      </c>
      <c r="F426">
        <f>k_p4_0+C426*(k_p4_1+C426*(k_p4_2+C426*(k_p4_3+C426*k_p4_4)))</f>
        <v/>
      </c>
      <c r="G426">
        <f>k_ea+k_eb*EXP(k_ec*C426)</f>
        <v/>
      </c>
      <c r="H426">
        <f>(k_p2_1+2*k_p2_2*C426)/k_sx</f>
        <v/>
      </c>
      <c r="I426">
        <f>(k_p3_1+C426*(2*k_p3_2+3*k_p3_3*C426))/k_sx</f>
        <v/>
      </c>
      <c r="J426">
        <f>(k_p4_1+C426*(2*k_p4_2+C426*(3*k_p4_3+4*k_p4_4*C426)))/k_sx</f>
        <v/>
      </c>
      <c r="K426">
        <f>k_eb*k_ec*EXP(k_ec*C426)/k_sx</f>
        <v/>
      </c>
      <c r="L426">
        <f>(2*k_p4_2+C426*(6*k_p4_3+12*k_p4_4*C426))/k_sx^2</f>
        <v/>
      </c>
      <c r="M426">
        <f>D426/B426</f>
        <v/>
      </c>
      <c r="N426">
        <f>E426/B426</f>
        <v/>
      </c>
      <c r="O426">
        <f>F426/B426</f>
        <v/>
      </c>
      <c r="P426">
        <f>G426/B426</f>
        <v/>
      </c>
      <c r="Q426">
        <f>CHOOSE(k_model,D426,E426,F426,G426)</f>
        <v/>
      </c>
      <c r="R426">
        <f>CHOOSE(k_model,H426,I426,J426,K426)</f>
        <v/>
      </c>
    </row>
    <row r="427">
      <c r="A427" t="n">
        <v>425</v>
      </c>
      <c r="B427">
        <f>k_lo+k_rng*A427/1000</f>
        <v/>
      </c>
      <c r="C427">
        <f>(B427-k_mx)/k_sx</f>
        <v/>
      </c>
      <c r="D427">
        <f>k_p2_0+C427*(k_p2_1+C427*k_p2_2)</f>
        <v/>
      </c>
      <c r="E427">
        <f>k_p3_0+C427*(k_p3_1+C427*(k_p3_2+C427*k_p3_3))</f>
        <v/>
      </c>
      <c r="F427">
        <f>k_p4_0+C427*(k_p4_1+C427*(k_p4_2+C427*(k_p4_3+C427*k_p4_4)))</f>
        <v/>
      </c>
      <c r="G427">
        <f>k_ea+k_eb*EXP(k_ec*C427)</f>
        <v/>
      </c>
      <c r="H427">
        <f>(k_p2_1+2*k_p2_2*C427)/k_sx</f>
        <v/>
      </c>
      <c r="I427">
        <f>(k_p3_1+C427*(2*k_p3_2+3*k_p3_3*C427))/k_sx</f>
        <v/>
      </c>
      <c r="J427">
        <f>(k_p4_1+C427*(2*k_p4_2+C427*(3*k_p4_3+4*k_p4_4*C427)))/k_sx</f>
        <v/>
      </c>
      <c r="K427">
        <f>k_eb*k_ec*EXP(k_ec*C427)/k_sx</f>
        <v/>
      </c>
      <c r="L427">
        <f>(2*k_p4_2+C427*(6*k_p4_3+12*k_p4_4*C427))/k_sx^2</f>
        <v/>
      </c>
      <c r="M427">
        <f>D427/B427</f>
        <v/>
      </c>
      <c r="N427">
        <f>E427/B427</f>
        <v/>
      </c>
      <c r="O427">
        <f>F427/B427</f>
        <v/>
      </c>
      <c r="P427">
        <f>G427/B427</f>
        <v/>
      </c>
      <c r="Q427">
        <f>CHOOSE(k_model,D427,E427,F427,G427)</f>
        <v/>
      </c>
      <c r="R427">
        <f>CHOOSE(k_model,H427,I427,J427,K427)</f>
        <v/>
      </c>
    </row>
    <row r="428">
      <c r="A428" t="n">
        <v>426</v>
      </c>
      <c r="B428">
        <f>k_lo+k_rng*A428/1000</f>
        <v/>
      </c>
      <c r="C428">
        <f>(B428-k_mx)/k_sx</f>
        <v/>
      </c>
      <c r="D428">
        <f>k_p2_0+C428*(k_p2_1+C428*k_p2_2)</f>
        <v/>
      </c>
      <c r="E428">
        <f>k_p3_0+C428*(k_p3_1+C428*(k_p3_2+C428*k_p3_3))</f>
        <v/>
      </c>
      <c r="F428">
        <f>k_p4_0+C428*(k_p4_1+C428*(k_p4_2+C428*(k_p4_3+C428*k_p4_4)))</f>
        <v/>
      </c>
      <c r="G428">
        <f>k_ea+k_eb*EXP(k_ec*C428)</f>
        <v/>
      </c>
      <c r="H428">
        <f>(k_p2_1+2*k_p2_2*C428)/k_sx</f>
        <v/>
      </c>
      <c r="I428">
        <f>(k_p3_1+C428*(2*k_p3_2+3*k_p3_3*C428))/k_sx</f>
        <v/>
      </c>
      <c r="J428">
        <f>(k_p4_1+C428*(2*k_p4_2+C428*(3*k_p4_3+4*k_p4_4*C428)))/k_sx</f>
        <v/>
      </c>
      <c r="K428">
        <f>k_eb*k_ec*EXP(k_ec*C428)/k_sx</f>
        <v/>
      </c>
      <c r="L428">
        <f>(2*k_p4_2+C428*(6*k_p4_3+12*k_p4_4*C428))/k_sx^2</f>
        <v/>
      </c>
      <c r="M428">
        <f>D428/B428</f>
        <v/>
      </c>
      <c r="N428">
        <f>E428/B428</f>
        <v/>
      </c>
      <c r="O428">
        <f>F428/B428</f>
        <v/>
      </c>
      <c r="P428">
        <f>G428/B428</f>
        <v/>
      </c>
      <c r="Q428">
        <f>CHOOSE(k_model,D428,E428,F428,G428)</f>
        <v/>
      </c>
      <c r="R428">
        <f>CHOOSE(k_model,H428,I428,J428,K428)</f>
        <v/>
      </c>
    </row>
    <row r="429">
      <c r="A429" t="n">
        <v>427</v>
      </c>
      <c r="B429">
        <f>k_lo+k_rng*A429/1000</f>
        <v/>
      </c>
      <c r="C429">
        <f>(B429-k_mx)/k_sx</f>
        <v/>
      </c>
      <c r="D429">
        <f>k_p2_0+C429*(k_p2_1+C429*k_p2_2)</f>
        <v/>
      </c>
      <c r="E429">
        <f>k_p3_0+C429*(k_p3_1+C429*(k_p3_2+C429*k_p3_3))</f>
        <v/>
      </c>
      <c r="F429">
        <f>k_p4_0+C429*(k_p4_1+C429*(k_p4_2+C429*(k_p4_3+C429*k_p4_4)))</f>
        <v/>
      </c>
      <c r="G429">
        <f>k_ea+k_eb*EXP(k_ec*C429)</f>
        <v/>
      </c>
      <c r="H429">
        <f>(k_p2_1+2*k_p2_2*C429)/k_sx</f>
        <v/>
      </c>
      <c r="I429">
        <f>(k_p3_1+C429*(2*k_p3_2+3*k_p3_3*C429))/k_sx</f>
        <v/>
      </c>
      <c r="J429">
        <f>(k_p4_1+C429*(2*k_p4_2+C429*(3*k_p4_3+4*k_p4_4*C429)))/k_sx</f>
        <v/>
      </c>
      <c r="K429">
        <f>k_eb*k_ec*EXP(k_ec*C429)/k_sx</f>
        <v/>
      </c>
      <c r="L429">
        <f>(2*k_p4_2+C429*(6*k_p4_3+12*k_p4_4*C429))/k_sx^2</f>
        <v/>
      </c>
      <c r="M429">
        <f>D429/B429</f>
        <v/>
      </c>
      <c r="N429">
        <f>E429/B429</f>
        <v/>
      </c>
      <c r="O429">
        <f>F429/B429</f>
        <v/>
      </c>
      <c r="P429">
        <f>G429/B429</f>
        <v/>
      </c>
      <c r="Q429">
        <f>CHOOSE(k_model,D429,E429,F429,G429)</f>
        <v/>
      </c>
      <c r="R429">
        <f>CHOOSE(k_model,H429,I429,J429,K429)</f>
        <v/>
      </c>
    </row>
    <row r="430">
      <c r="A430" t="n">
        <v>428</v>
      </c>
      <c r="B430">
        <f>k_lo+k_rng*A430/1000</f>
        <v/>
      </c>
      <c r="C430">
        <f>(B430-k_mx)/k_sx</f>
        <v/>
      </c>
      <c r="D430">
        <f>k_p2_0+C430*(k_p2_1+C430*k_p2_2)</f>
        <v/>
      </c>
      <c r="E430">
        <f>k_p3_0+C430*(k_p3_1+C430*(k_p3_2+C430*k_p3_3))</f>
        <v/>
      </c>
      <c r="F430">
        <f>k_p4_0+C430*(k_p4_1+C430*(k_p4_2+C430*(k_p4_3+C430*k_p4_4)))</f>
        <v/>
      </c>
      <c r="G430">
        <f>k_ea+k_eb*EXP(k_ec*C430)</f>
        <v/>
      </c>
      <c r="H430">
        <f>(k_p2_1+2*k_p2_2*C430)/k_sx</f>
        <v/>
      </c>
      <c r="I430">
        <f>(k_p3_1+C430*(2*k_p3_2+3*k_p3_3*C430))/k_sx</f>
        <v/>
      </c>
      <c r="J430">
        <f>(k_p4_1+C430*(2*k_p4_2+C430*(3*k_p4_3+4*k_p4_4*C430)))/k_sx</f>
        <v/>
      </c>
      <c r="K430">
        <f>k_eb*k_ec*EXP(k_ec*C430)/k_sx</f>
        <v/>
      </c>
      <c r="L430">
        <f>(2*k_p4_2+C430*(6*k_p4_3+12*k_p4_4*C430))/k_sx^2</f>
        <v/>
      </c>
      <c r="M430">
        <f>D430/B430</f>
        <v/>
      </c>
      <c r="N430">
        <f>E430/B430</f>
        <v/>
      </c>
      <c r="O430">
        <f>F430/B430</f>
        <v/>
      </c>
      <c r="P430">
        <f>G430/B430</f>
        <v/>
      </c>
      <c r="Q430">
        <f>CHOOSE(k_model,D430,E430,F430,G430)</f>
        <v/>
      </c>
      <c r="R430">
        <f>CHOOSE(k_model,H430,I430,J430,K430)</f>
        <v/>
      </c>
    </row>
    <row r="431">
      <c r="A431" t="n">
        <v>429</v>
      </c>
      <c r="B431">
        <f>k_lo+k_rng*A431/1000</f>
        <v/>
      </c>
      <c r="C431">
        <f>(B431-k_mx)/k_sx</f>
        <v/>
      </c>
      <c r="D431">
        <f>k_p2_0+C431*(k_p2_1+C431*k_p2_2)</f>
        <v/>
      </c>
      <c r="E431">
        <f>k_p3_0+C431*(k_p3_1+C431*(k_p3_2+C431*k_p3_3))</f>
        <v/>
      </c>
      <c r="F431">
        <f>k_p4_0+C431*(k_p4_1+C431*(k_p4_2+C431*(k_p4_3+C431*k_p4_4)))</f>
        <v/>
      </c>
      <c r="G431">
        <f>k_ea+k_eb*EXP(k_ec*C431)</f>
        <v/>
      </c>
      <c r="H431">
        <f>(k_p2_1+2*k_p2_2*C431)/k_sx</f>
        <v/>
      </c>
      <c r="I431">
        <f>(k_p3_1+C431*(2*k_p3_2+3*k_p3_3*C431))/k_sx</f>
        <v/>
      </c>
      <c r="J431">
        <f>(k_p4_1+C431*(2*k_p4_2+C431*(3*k_p4_3+4*k_p4_4*C431)))/k_sx</f>
        <v/>
      </c>
      <c r="K431">
        <f>k_eb*k_ec*EXP(k_ec*C431)/k_sx</f>
        <v/>
      </c>
      <c r="L431">
        <f>(2*k_p4_2+C431*(6*k_p4_3+12*k_p4_4*C431))/k_sx^2</f>
        <v/>
      </c>
      <c r="M431">
        <f>D431/B431</f>
        <v/>
      </c>
      <c r="N431">
        <f>E431/B431</f>
        <v/>
      </c>
      <c r="O431">
        <f>F431/B431</f>
        <v/>
      </c>
      <c r="P431">
        <f>G431/B431</f>
        <v/>
      </c>
      <c r="Q431">
        <f>CHOOSE(k_model,D431,E431,F431,G431)</f>
        <v/>
      </c>
      <c r="R431">
        <f>CHOOSE(k_model,H431,I431,J431,K431)</f>
        <v/>
      </c>
    </row>
    <row r="432">
      <c r="A432" t="n">
        <v>430</v>
      </c>
      <c r="B432">
        <f>k_lo+k_rng*A432/1000</f>
        <v/>
      </c>
      <c r="C432">
        <f>(B432-k_mx)/k_sx</f>
        <v/>
      </c>
      <c r="D432">
        <f>k_p2_0+C432*(k_p2_1+C432*k_p2_2)</f>
        <v/>
      </c>
      <c r="E432">
        <f>k_p3_0+C432*(k_p3_1+C432*(k_p3_2+C432*k_p3_3))</f>
        <v/>
      </c>
      <c r="F432">
        <f>k_p4_0+C432*(k_p4_1+C432*(k_p4_2+C432*(k_p4_3+C432*k_p4_4)))</f>
        <v/>
      </c>
      <c r="G432">
        <f>k_ea+k_eb*EXP(k_ec*C432)</f>
        <v/>
      </c>
      <c r="H432">
        <f>(k_p2_1+2*k_p2_2*C432)/k_sx</f>
        <v/>
      </c>
      <c r="I432">
        <f>(k_p3_1+C432*(2*k_p3_2+3*k_p3_3*C432))/k_sx</f>
        <v/>
      </c>
      <c r="J432">
        <f>(k_p4_1+C432*(2*k_p4_2+C432*(3*k_p4_3+4*k_p4_4*C432)))/k_sx</f>
        <v/>
      </c>
      <c r="K432">
        <f>k_eb*k_ec*EXP(k_ec*C432)/k_sx</f>
        <v/>
      </c>
      <c r="L432">
        <f>(2*k_p4_2+C432*(6*k_p4_3+12*k_p4_4*C432))/k_sx^2</f>
        <v/>
      </c>
      <c r="M432">
        <f>D432/B432</f>
        <v/>
      </c>
      <c r="N432">
        <f>E432/B432</f>
        <v/>
      </c>
      <c r="O432">
        <f>F432/B432</f>
        <v/>
      </c>
      <c r="P432">
        <f>G432/B432</f>
        <v/>
      </c>
      <c r="Q432">
        <f>CHOOSE(k_model,D432,E432,F432,G432)</f>
        <v/>
      </c>
      <c r="R432">
        <f>CHOOSE(k_model,H432,I432,J432,K432)</f>
        <v/>
      </c>
    </row>
    <row r="433">
      <c r="A433" t="n">
        <v>431</v>
      </c>
      <c r="B433">
        <f>k_lo+k_rng*A433/1000</f>
        <v/>
      </c>
      <c r="C433">
        <f>(B433-k_mx)/k_sx</f>
        <v/>
      </c>
      <c r="D433">
        <f>k_p2_0+C433*(k_p2_1+C433*k_p2_2)</f>
        <v/>
      </c>
      <c r="E433">
        <f>k_p3_0+C433*(k_p3_1+C433*(k_p3_2+C433*k_p3_3))</f>
        <v/>
      </c>
      <c r="F433">
        <f>k_p4_0+C433*(k_p4_1+C433*(k_p4_2+C433*(k_p4_3+C433*k_p4_4)))</f>
        <v/>
      </c>
      <c r="G433">
        <f>k_ea+k_eb*EXP(k_ec*C433)</f>
        <v/>
      </c>
      <c r="H433">
        <f>(k_p2_1+2*k_p2_2*C433)/k_sx</f>
        <v/>
      </c>
      <c r="I433">
        <f>(k_p3_1+C433*(2*k_p3_2+3*k_p3_3*C433))/k_sx</f>
        <v/>
      </c>
      <c r="J433">
        <f>(k_p4_1+C433*(2*k_p4_2+C433*(3*k_p4_3+4*k_p4_4*C433)))/k_sx</f>
        <v/>
      </c>
      <c r="K433">
        <f>k_eb*k_ec*EXP(k_ec*C433)/k_sx</f>
        <v/>
      </c>
      <c r="L433">
        <f>(2*k_p4_2+C433*(6*k_p4_3+12*k_p4_4*C433))/k_sx^2</f>
        <v/>
      </c>
      <c r="M433">
        <f>D433/B433</f>
        <v/>
      </c>
      <c r="N433">
        <f>E433/B433</f>
        <v/>
      </c>
      <c r="O433">
        <f>F433/B433</f>
        <v/>
      </c>
      <c r="P433">
        <f>G433/B433</f>
        <v/>
      </c>
      <c r="Q433">
        <f>CHOOSE(k_model,D433,E433,F433,G433)</f>
        <v/>
      </c>
      <c r="R433">
        <f>CHOOSE(k_model,H433,I433,J433,K433)</f>
        <v/>
      </c>
    </row>
    <row r="434">
      <c r="A434" t="n">
        <v>432</v>
      </c>
      <c r="B434">
        <f>k_lo+k_rng*A434/1000</f>
        <v/>
      </c>
      <c r="C434">
        <f>(B434-k_mx)/k_sx</f>
        <v/>
      </c>
      <c r="D434">
        <f>k_p2_0+C434*(k_p2_1+C434*k_p2_2)</f>
        <v/>
      </c>
      <c r="E434">
        <f>k_p3_0+C434*(k_p3_1+C434*(k_p3_2+C434*k_p3_3))</f>
        <v/>
      </c>
      <c r="F434">
        <f>k_p4_0+C434*(k_p4_1+C434*(k_p4_2+C434*(k_p4_3+C434*k_p4_4)))</f>
        <v/>
      </c>
      <c r="G434">
        <f>k_ea+k_eb*EXP(k_ec*C434)</f>
        <v/>
      </c>
      <c r="H434">
        <f>(k_p2_1+2*k_p2_2*C434)/k_sx</f>
        <v/>
      </c>
      <c r="I434">
        <f>(k_p3_1+C434*(2*k_p3_2+3*k_p3_3*C434))/k_sx</f>
        <v/>
      </c>
      <c r="J434">
        <f>(k_p4_1+C434*(2*k_p4_2+C434*(3*k_p4_3+4*k_p4_4*C434)))/k_sx</f>
        <v/>
      </c>
      <c r="K434">
        <f>k_eb*k_ec*EXP(k_ec*C434)/k_sx</f>
        <v/>
      </c>
      <c r="L434">
        <f>(2*k_p4_2+C434*(6*k_p4_3+12*k_p4_4*C434))/k_sx^2</f>
        <v/>
      </c>
      <c r="M434">
        <f>D434/B434</f>
        <v/>
      </c>
      <c r="N434">
        <f>E434/B434</f>
        <v/>
      </c>
      <c r="O434">
        <f>F434/B434</f>
        <v/>
      </c>
      <c r="P434">
        <f>G434/B434</f>
        <v/>
      </c>
      <c r="Q434">
        <f>CHOOSE(k_model,D434,E434,F434,G434)</f>
        <v/>
      </c>
      <c r="R434">
        <f>CHOOSE(k_model,H434,I434,J434,K434)</f>
        <v/>
      </c>
    </row>
    <row r="435">
      <c r="A435" t="n">
        <v>433</v>
      </c>
      <c r="B435">
        <f>k_lo+k_rng*A435/1000</f>
        <v/>
      </c>
      <c r="C435">
        <f>(B435-k_mx)/k_sx</f>
        <v/>
      </c>
      <c r="D435">
        <f>k_p2_0+C435*(k_p2_1+C435*k_p2_2)</f>
        <v/>
      </c>
      <c r="E435">
        <f>k_p3_0+C435*(k_p3_1+C435*(k_p3_2+C435*k_p3_3))</f>
        <v/>
      </c>
      <c r="F435">
        <f>k_p4_0+C435*(k_p4_1+C435*(k_p4_2+C435*(k_p4_3+C435*k_p4_4)))</f>
        <v/>
      </c>
      <c r="G435">
        <f>k_ea+k_eb*EXP(k_ec*C435)</f>
        <v/>
      </c>
      <c r="H435">
        <f>(k_p2_1+2*k_p2_2*C435)/k_sx</f>
        <v/>
      </c>
      <c r="I435">
        <f>(k_p3_1+C435*(2*k_p3_2+3*k_p3_3*C435))/k_sx</f>
        <v/>
      </c>
      <c r="J435">
        <f>(k_p4_1+C435*(2*k_p4_2+C435*(3*k_p4_3+4*k_p4_4*C435)))/k_sx</f>
        <v/>
      </c>
      <c r="K435">
        <f>k_eb*k_ec*EXP(k_ec*C435)/k_sx</f>
        <v/>
      </c>
      <c r="L435">
        <f>(2*k_p4_2+C435*(6*k_p4_3+12*k_p4_4*C435))/k_sx^2</f>
        <v/>
      </c>
      <c r="M435">
        <f>D435/B435</f>
        <v/>
      </c>
      <c r="N435">
        <f>E435/B435</f>
        <v/>
      </c>
      <c r="O435">
        <f>F435/B435</f>
        <v/>
      </c>
      <c r="P435">
        <f>G435/B435</f>
        <v/>
      </c>
      <c r="Q435">
        <f>CHOOSE(k_model,D435,E435,F435,G435)</f>
        <v/>
      </c>
      <c r="R435">
        <f>CHOOSE(k_model,H435,I435,J435,K435)</f>
        <v/>
      </c>
    </row>
    <row r="436">
      <c r="A436" t="n">
        <v>434</v>
      </c>
      <c r="B436">
        <f>k_lo+k_rng*A436/1000</f>
        <v/>
      </c>
      <c r="C436">
        <f>(B436-k_mx)/k_sx</f>
        <v/>
      </c>
      <c r="D436">
        <f>k_p2_0+C436*(k_p2_1+C436*k_p2_2)</f>
        <v/>
      </c>
      <c r="E436">
        <f>k_p3_0+C436*(k_p3_1+C436*(k_p3_2+C436*k_p3_3))</f>
        <v/>
      </c>
      <c r="F436">
        <f>k_p4_0+C436*(k_p4_1+C436*(k_p4_2+C436*(k_p4_3+C436*k_p4_4)))</f>
        <v/>
      </c>
      <c r="G436">
        <f>k_ea+k_eb*EXP(k_ec*C436)</f>
        <v/>
      </c>
      <c r="H436">
        <f>(k_p2_1+2*k_p2_2*C436)/k_sx</f>
        <v/>
      </c>
      <c r="I436">
        <f>(k_p3_1+C436*(2*k_p3_2+3*k_p3_3*C436))/k_sx</f>
        <v/>
      </c>
      <c r="J436">
        <f>(k_p4_1+C436*(2*k_p4_2+C436*(3*k_p4_3+4*k_p4_4*C436)))/k_sx</f>
        <v/>
      </c>
      <c r="K436">
        <f>k_eb*k_ec*EXP(k_ec*C436)/k_sx</f>
        <v/>
      </c>
      <c r="L436">
        <f>(2*k_p4_2+C436*(6*k_p4_3+12*k_p4_4*C436))/k_sx^2</f>
        <v/>
      </c>
      <c r="M436">
        <f>D436/B436</f>
        <v/>
      </c>
      <c r="N436">
        <f>E436/B436</f>
        <v/>
      </c>
      <c r="O436">
        <f>F436/B436</f>
        <v/>
      </c>
      <c r="P436">
        <f>G436/B436</f>
        <v/>
      </c>
      <c r="Q436">
        <f>CHOOSE(k_model,D436,E436,F436,G436)</f>
        <v/>
      </c>
      <c r="R436">
        <f>CHOOSE(k_model,H436,I436,J436,K436)</f>
        <v/>
      </c>
    </row>
    <row r="437">
      <c r="A437" t="n">
        <v>435</v>
      </c>
      <c r="B437">
        <f>k_lo+k_rng*A437/1000</f>
        <v/>
      </c>
      <c r="C437">
        <f>(B437-k_mx)/k_sx</f>
        <v/>
      </c>
      <c r="D437">
        <f>k_p2_0+C437*(k_p2_1+C437*k_p2_2)</f>
        <v/>
      </c>
      <c r="E437">
        <f>k_p3_0+C437*(k_p3_1+C437*(k_p3_2+C437*k_p3_3))</f>
        <v/>
      </c>
      <c r="F437">
        <f>k_p4_0+C437*(k_p4_1+C437*(k_p4_2+C437*(k_p4_3+C437*k_p4_4)))</f>
        <v/>
      </c>
      <c r="G437">
        <f>k_ea+k_eb*EXP(k_ec*C437)</f>
        <v/>
      </c>
      <c r="H437">
        <f>(k_p2_1+2*k_p2_2*C437)/k_sx</f>
        <v/>
      </c>
      <c r="I437">
        <f>(k_p3_1+C437*(2*k_p3_2+3*k_p3_3*C437))/k_sx</f>
        <v/>
      </c>
      <c r="J437">
        <f>(k_p4_1+C437*(2*k_p4_2+C437*(3*k_p4_3+4*k_p4_4*C437)))/k_sx</f>
        <v/>
      </c>
      <c r="K437">
        <f>k_eb*k_ec*EXP(k_ec*C437)/k_sx</f>
        <v/>
      </c>
      <c r="L437">
        <f>(2*k_p4_2+C437*(6*k_p4_3+12*k_p4_4*C437))/k_sx^2</f>
        <v/>
      </c>
      <c r="M437">
        <f>D437/B437</f>
        <v/>
      </c>
      <c r="N437">
        <f>E437/B437</f>
        <v/>
      </c>
      <c r="O437">
        <f>F437/B437</f>
        <v/>
      </c>
      <c r="P437">
        <f>G437/B437</f>
        <v/>
      </c>
      <c r="Q437">
        <f>CHOOSE(k_model,D437,E437,F437,G437)</f>
        <v/>
      </c>
      <c r="R437">
        <f>CHOOSE(k_model,H437,I437,J437,K437)</f>
        <v/>
      </c>
    </row>
    <row r="438">
      <c r="A438" t="n">
        <v>436</v>
      </c>
      <c r="B438">
        <f>k_lo+k_rng*A438/1000</f>
        <v/>
      </c>
      <c r="C438">
        <f>(B438-k_mx)/k_sx</f>
        <v/>
      </c>
      <c r="D438">
        <f>k_p2_0+C438*(k_p2_1+C438*k_p2_2)</f>
        <v/>
      </c>
      <c r="E438">
        <f>k_p3_0+C438*(k_p3_1+C438*(k_p3_2+C438*k_p3_3))</f>
        <v/>
      </c>
      <c r="F438">
        <f>k_p4_0+C438*(k_p4_1+C438*(k_p4_2+C438*(k_p4_3+C438*k_p4_4)))</f>
        <v/>
      </c>
      <c r="G438">
        <f>k_ea+k_eb*EXP(k_ec*C438)</f>
        <v/>
      </c>
      <c r="H438">
        <f>(k_p2_1+2*k_p2_2*C438)/k_sx</f>
        <v/>
      </c>
      <c r="I438">
        <f>(k_p3_1+C438*(2*k_p3_2+3*k_p3_3*C438))/k_sx</f>
        <v/>
      </c>
      <c r="J438">
        <f>(k_p4_1+C438*(2*k_p4_2+C438*(3*k_p4_3+4*k_p4_4*C438)))/k_sx</f>
        <v/>
      </c>
      <c r="K438">
        <f>k_eb*k_ec*EXP(k_ec*C438)/k_sx</f>
        <v/>
      </c>
      <c r="L438">
        <f>(2*k_p4_2+C438*(6*k_p4_3+12*k_p4_4*C438))/k_sx^2</f>
        <v/>
      </c>
      <c r="M438">
        <f>D438/B438</f>
        <v/>
      </c>
      <c r="N438">
        <f>E438/B438</f>
        <v/>
      </c>
      <c r="O438">
        <f>F438/B438</f>
        <v/>
      </c>
      <c r="P438">
        <f>G438/B438</f>
        <v/>
      </c>
      <c r="Q438">
        <f>CHOOSE(k_model,D438,E438,F438,G438)</f>
        <v/>
      </c>
      <c r="R438">
        <f>CHOOSE(k_model,H438,I438,J438,K438)</f>
        <v/>
      </c>
    </row>
    <row r="439">
      <c r="A439" t="n">
        <v>437</v>
      </c>
      <c r="B439">
        <f>k_lo+k_rng*A439/1000</f>
        <v/>
      </c>
      <c r="C439">
        <f>(B439-k_mx)/k_sx</f>
        <v/>
      </c>
      <c r="D439">
        <f>k_p2_0+C439*(k_p2_1+C439*k_p2_2)</f>
        <v/>
      </c>
      <c r="E439">
        <f>k_p3_0+C439*(k_p3_1+C439*(k_p3_2+C439*k_p3_3))</f>
        <v/>
      </c>
      <c r="F439">
        <f>k_p4_0+C439*(k_p4_1+C439*(k_p4_2+C439*(k_p4_3+C439*k_p4_4)))</f>
        <v/>
      </c>
      <c r="G439">
        <f>k_ea+k_eb*EXP(k_ec*C439)</f>
        <v/>
      </c>
      <c r="H439">
        <f>(k_p2_1+2*k_p2_2*C439)/k_sx</f>
        <v/>
      </c>
      <c r="I439">
        <f>(k_p3_1+C439*(2*k_p3_2+3*k_p3_3*C439))/k_sx</f>
        <v/>
      </c>
      <c r="J439">
        <f>(k_p4_1+C439*(2*k_p4_2+C439*(3*k_p4_3+4*k_p4_4*C439)))/k_sx</f>
        <v/>
      </c>
      <c r="K439">
        <f>k_eb*k_ec*EXP(k_ec*C439)/k_sx</f>
        <v/>
      </c>
      <c r="L439">
        <f>(2*k_p4_2+C439*(6*k_p4_3+12*k_p4_4*C439))/k_sx^2</f>
        <v/>
      </c>
      <c r="M439">
        <f>D439/B439</f>
        <v/>
      </c>
      <c r="N439">
        <f>E439/B439</f>
        <v/>
      </c>
      <c r="O439">
        <f>F439/B439</f>
        <v/>
      </c>
      <c r="P439">
        <f>G439/B439</f>
        <v/>
      </c>
      <c r="Q439">
        <f>CHOOSE(k_model,D439,E439,F439,G439)</f>
        <v/>
      </c>
      <c r="R439">
        <f>CHOOSE(k_model,H439,I439,J439,K439)</f>
        <v/>
      </c>
    </row>
    <row r="440">
      <c r="A440" t="n">
        <v>438</v>
      </c>
      <c r="B440">
        <f>k_lo+k_rng*A440/1000</f>
        <v/>
      </c>
      <c r="C440">
        <f>(B440-k_mx)/k_sx</f>
        <v/>
      </c>
      <c r="D440">
        <f>k_p2_0+C440*(k_p2_1+C440*k_p2_2)</f>
        <v/>
      </c>
      <c r="E440">
        <f>k_p3_0+C440*(k_p3_1+C440*(k_p3_2+C440*k_p3_3))</f>
        <v/>
      </c>
      <c r="F440">
        <f>k_p4_0+C440*(k_p4_1+C440*(k_p4_2+C440*(k_p4_3+C440*k_p4_4)))</f>
        <v/>
      </c>
      <c r="G440">
        <f>k_ea+k_eb*EXP(k_ec*C440)</f>
        <v/>
      </c>
      <c r="H440">
        <f>(k_p2_1+2*k_p2_2*C440)/k_sx</f>
        <v/>
      </c>
      <c r="I440">
        <f>(k_p3_1+C440*(2*k_p3_2+3*k_p3_3*C440))/k_sx</f>
        <v/>
      </c>
      <c r="J440">
        <f>(k_p4_1+C440*(2*k_p4_2+C440*(3*k_p4_3+4*k_p4_4*C440)))/k_sx</f>
        <v/>
      </c>
      <c r="K440">
        <f>k_eb*k_ec*EXP(k_ec*C440)/k_sx</f>
        <v/>
      </c>
      <c r="L440">
        <f>(2*k_p4_2+C440*(6*k_p4_3+12*k_p4_4*C440))/k_sx^2</f>
        <v/>
      </c>
      <c r="M440">
        <f>D440/B440</f>
        <v/>
      </c>
      <c r="N440">
        <f>E440/B440</f>
        <v/>
      </c>
      <c r="O440">
        <f>F440/B440</f>
        <v/>
      </c>
      <c r="P440">
        <f>G440/B440</f>
        <v/>
      </c>
      <c r="Q440">
        <f>CHOOSE(k_model,D440,E440,F440,G440)</f>
        <v/>
      </c>
      <c r="R440">
        <f>CHOOSE(k_model,H440,I440,J440,K440)</f>
        <v/>
      </c>
    </row>
    <row r="441">
      <c r="A441" t="n">
        <v>439</v>
      </c>
      <c r="B441">
        <f>k_lo+k_rng*A441/1000</f>
        <v/>
      </c>
      <c r="C441">
        <f>(B441-k_mx)/k_sx</f>
        <v/>
      </c>
      <c r="D441">
        <f>k_p2_0+C441*(k_p2_1+C441*k_p2_2)</f>
        <v/>
      </c>
      <c r="E441">
        <f>k_p3_0+C441*(k_p3_1+C441*(k_p3_2+C441*k_p3_3))</f>
        <v/>
      </c>
      <c r="F441">
        <f>k_p4_0+C441*(k_p4_1+C441*(k_p4_2+C441*(k_p4_3+C441*k_p4_4)))</f>
        <v/>
      </c>
      <c r="G441">
        <f>k_ea+k_eb*EXP(k_ec*C441)</f>
        <v/>
      </c>
      <c r="H441">
        <f>(k_p2_1+2*k_p2_2*C441)/k_sx</f>
        <v/>
      </c>
      <c r="I441">
        <f>(k_p3_1+C441*(2*k_p3_2+3*k_p3_3*C441))/k_sx</f>
        <v/>
      </c>
      <c r="J441">
        <f>(k_p4_1+C441*(2*k_p4_2+C441*(3*k_p4_3+4*k_p4_4*C441)))/k_sx</f>
        <v/>
      </c>
      <c r="K441">
        <f>k_eb*k_ec*EXP(k_ec*C441)/k_sx</f>
        <v/>
      </c>
      <c r="L441">
        <f>(2*k_p4_2+C441*(6*k_p4_3+12*k_p4_4*C441))/k_sx^2</f>
        <v/>
      </c>
      <c r="M441">
        <f>D441/B441</f>
        <v/>
      </c>
      <c r="N441">
        <f>E441/B441</f>
        <v/>
      </c>
      <c r="O441">
        <f>F441/B441</f>
        <v/>
      </c>
      <c r="P441">
        <f>G441/B441</f>
        <v/>
      </c>
      <c r="Q441">
        <f>CHOOSE(k_model,D441,E441,F441,G441)</f>
        <v/>
      </c>
      <c r="R441">
        <f>CHOOSE(k_model,H441,I441,J441,K441)</f>
        <v/>
      </c>
    </row>
    <row r="442">
      <c r="A442" t="n">
        <v>440</v>
      </c>
      <c r="B442">
        <f>k_lo+k_rng*A442/1000</f>
        <v/>
      </c>
      <c r="C442">
        <f>(B442-k_mx)/k_sx</f>
        <v/>
      </c>
      <c r="D442">
        <f>k_p2_0+C442*(k_p2_1+C442*k_p2_2)</f>
        <v/>
      </c>
      <c r="E442">
        <f>k_p3_0+C442*(k_p3_1+C442*(k_p3_2+C442*k_p3_3))</f>
        <v/>
      </c>
      <c r="F442">
        <f>k_p4_0+C442*(k_p4_1+C442*(k_p4_2+C442*(k_p4_3+C442*k_p4_4)))</f>
        <v/>
      </c>
      <c r="G442">
        <f>k_ea+k_eb*EXP(k_ec*C442)</f>
        <v/>
      </c>
      <c r="H442">
        <f>(k_p2_1+2*k_p2_2*C442)/k_sx</f>
        <v/>
      </c>
      <c r="I442">
        <f>(k_p3_1+C442*(2*k_p3_2+3*k_p3_3*C442))/k_sx</f>
        <v/>
      </c>
      <c r="J442">
        <f>(k_p4_1+C442*(2*k_p4_2+C442*(3*k_p4_3+4*k_p4_4*C442)))/k_sx</f>
        <v/>
      </c>
      <c r="K442">
        <f>k_eb*k_ec*EXP(k_ec*C442)/k_sx</f>
        <v/>
      </c>
      <c r="L442">
        <f>(2*k_p4_2+C442*(6*k_p4_3+12*k_p4_4*C442))/k_sx^2</f>
        <v/>
      </c>
      <c r="M442">
        <f>D442/B442</f>
        <v/>
      </c>
      <c r="N442">
        <f>E442/B442</f>
        <v/>
      </c>
      <c r="O442">
        <f>F442/B442</f>
        <v/>
      </c>
      <c r="P442">
        <f>G442/B442</f>
        <v/>
      </c>
      <c r="Q442">
        <f>CHOOSE(k_model,D442,E442,F442,G442)</f>
        <v/>
      </c>
      <c r="R442">
        <f>CHOOSE(k_model,H442,I442,J442,K442)</f>
        <v/>
      </c>
    </row>
    <row r="443">
      <c r="A443" t="n">
        <v>441</v>
      </c>
      <c r="B443">
        <f>k_lo+k_rng*A443/1000</f>
        <v/>
      </c>
      <c r="C443">
        <f>(B443-k_mx)/k_sx</f>
        <v/>
      </c>
      <c r="D443">
        <f>k_p2_0+C443*(k_p2_1+C443*k_p2_2)</f>
        <v/>
      </c>
      <c r="E443">
        <f>k_p3_0+C443*(k_p3_1+C443*(k_p3_2+C443*k_p3_3))</f>
        <v/>
      </c>
      <c r="F443">
        <f>k_p4_0+C443*(k_p4_1+C443*(k_p4_2+C443*(k_p4_3+C443*k_p4_4)))</f>
        <v/>
      </c>
      <c r="G443">
        <f>k_ea+k_eb*EXP(k_ec*C443)</f>
        <v/>
      </c>
      <c r="H443">
        <f>(k_p2_1+2*k_p2_2*C443)/k_sx</f>
        <v/>
      </c>
      <c r="I443">
        <f>(k_p3_1+C443*(2*k_p3_2+3*k_p3_3*C443))/k_sx</f>
        <v/>
      </c>
      <c r="J443">
        <f>(k_p4_1+C443*(2*k_p4_2+C443*(3*k_p4_3+4*k_p4_4*C443)))/k_sx</f>
        <v/>
      </c>
      <c r="K443">
        <f>k_eb*k_ec*EXP(k_ec*C443)/k_sx</f>
        <v/>
      </c>
      <c r="L443">
        <f>(2*k_p4_2+C443*(6*k_p4_3+12*k_p4_4*C443))/k_sx^2</f>
        <v/>
      </c>
      <c r="M443">
        <f>D443/B443</f>
        <v/>
      </c>
      <c r="N443">
        <f>E443/B443</f>
        <v/>
      </c>
      <c r="O443">
        <f>F443/B443</f>
        <v/>
      </c>
      <c r="P443">
        <f>G443/B443</f>
        <v/>
      </c>
      <c r="Q443">
        <f>CHOOSE(k_model,D443,E443,F443,G443)</f>
        <v/>
      </c>
      <c r="R443">
        <f>CHOOSE(k_model,H443,I443,J443,K443)</f>
        <v/>
      </c>
    </row>
    <row r="444">
      <c r="A444" t="n">
        <v>442</v>
      </c>
      <c r="B444">
        <f>k_lo+k_rng*A444/1000</f>
        <v/>
      </c>
      <c r="C444">
        <f>(B444-k_mx)/k_sx</f>
        <v/>
      </c>
      <c r="D444">
        <f>k_p2_0+C444*(k_p2_1+C444*k_p2_2)</f>
        <v/>
      </c>
      <c r="E444">
        <f>k_p3_0+C444*(k_p3_1+C444*(k_p3_2+C444*k_p3_3))</f>
        <v/>
      </c>
      <c r="F444">
        <f>k_p4_0+C444*(k_p4_1+C444*(k_p4_2+C444*(k_p4_3+C444*k_p4_4)))</f>
        <v/>
      </c>
      <c r="G444">
        <f>k_ea+k_eb*EXP(k_ec*C444)</f>
        <v/>
      </c>
      <c r="H444">
        <f>(k_p2_1+2*k_p2_2*C444)/k_sx</f>
        <v/>
      </c>
      <c r="I444">
        <f>(k_p3_1+C444*(2*k_p3_2+3*k_p3_3*C444))/k_sx</f>
        <v/>
      </c>
      <c r="J444">
        <f>(k_p4_1+C444*(2*k_p4_2+C444*(3*k_p4_3+4*k_p4_4*C444)))/k_sx</f>
        <v/>
      </c>
      <c r="K444">
        <f>k_eb*k_ec*EXP(k_ec*C444)/k_sx</f>
        <v/>
      </c>
      <c r="L444">
        <f>(2*k_p4_2+C444*(6*k_p4_3+12*k_p4_4*C444))/k_sx^2</f>
        <v/>
      </c>
      <c r="M444">
        <f>D444/B444</f>
        <v/>
      </c>
      <c r="N444">
        <f>E444/B444</f>
        <v/>
      </c>
      <c r="O444">
        <f>F444/B444</f>
        <v/>
      </c>
      <c r="P444">
        <f>G444/B444</f>
        <v/>
      </c>
      <c r="Q444">
        <f>CHOOSE(k_model,D444,E444,F444,G444)</f>
        <v/>
      </c>
      <c r="R444">
        <f>CHOOSE(k_model,H444,I444,J444,K444)</f>
        <v/>
      </c>
    </row>
    <row r="445">
      <c r="A445" t="n">
        <v>443</v>
      </c>
      <c r="B445">
        <f>k_lo+k_rng*A445/1000</f>
        <v/>
      </c>
      <c r="C445">
        <f>(B445-k_mx)/k_sx</f>
        <v/>
      </c>
      <c r="D445">
        <f>k_p2_0+C445*(k_p2_1+C445*k_p2_2)</f>
        <v/>
      </c>
      <c r="E445">
        <f>k_p3_0+C445*(k_p3_1+C445*(k_p3_2+C445*k_p3_3))</f>
        <v/>
      </c>
      <c r="F445">
        <f>k_p4_0+C445*(k_p4_1+C445*(k_p4_2+C445*(k_p4_3+C445*k_p4_4)))</f>
        <v/>
      </c>
      <c r="G445">
        <f>k_ea+k_eb*EXP(k_ec*C445)</f>
        <v/>
      </c>
      <c r="H445">
        <f>(k_p2_1+2*k_p2_2*C445)/k_sx</f>
        <v/>
      </c>
      <c r="I445">
        <f>(k_p3_1+C445*(2*k_p3_2+3*k_p3_3*C445))/k_sx</f>
        <v/>
      </c>
      <c r="J445">
        <f>(k_p4_1+C445*(2*k_p4_2+C445*(3*k_p4_3+4*k_p4_4*C445)))/k_sx</f>
        <v/>
      </c>
      <c r="K445">
        <f>k_eb*k_ec*EXP(k_ec*C445)/k_sx</f>
        <v/>
      </c>
      <c r="L445">
        <f>(2*k_p4_2+C445*(6*k_p4_3+12*k_p4_4*C445))/k_sx^2</f>
        <v/>
      </c>
      <c r="M445">
        <f>D445/B445</f>
        <v/>
      </c>
      <c r="N445">
        <f>E445/B445</f>
        <v/>
      </c>
      <c r="O445">
        <f>F445/B445</f>
        <v/>
      </c>
      <c r="P445">
        <f>G445/B445</f>
        <v/>
      </c>
      <c r="Q445">
        <f>CHOOSE(k_model,D445,E445,F445,G445)</f>
        <v/>
      </c>
      <c r="R445">
        <f>CHOOSE(k_model,H445,I445,J445,K445)</f>
        <v/>
      </c>
    </row>
    <row r="446">
      <c r="A446" t="n">
        <v>444</v>
      </c>
      <c r="B446">
        <f>k_lo+k_rng*A446/1000</f>
        <v/>
      </c>
      <c r="C446">
        <f>(B446-k_mx)/k_sx</f>
        <v/>
      </c>
      <c r="D446">
        <f>k_p2_0+C446*(k_p2_1+C446*k_p2_2)</f>
        <v/>
      </c>
      <c r="E446">
        <f>k_p3_0+C446*(k_p3_1+C446*(k_p3_2+C446*k_p3_3))</f>
        <v/>
      </c>
      <c r="F446">
        <f>k_p4_0+C446*(k_p4_1+C446*(k_p4_2+C446*(k_p4_3+C446*k_p4_4)))</f>
        <v/>
      </c>
      <c r="G446">
        <f>k_ea+k_eb*EXP(k_ec*C446)</f>
        <v/>
      </c>
      <c r="H446">
        <f>(k_p2_1+2*k_p2_2*C446)/k_sx</f>
        <v/>
      </c>
      <c r="I446">
        <f>(k_p3_1+C446*(2*k_p3_2+3*k_p3_3*C446))/k_sx</f>
        <v/>
      </c>
      <c r="J446">
        <f>(k_p4_1+C446*(2*k_p4_2+C446*(3*k_p4_3+4*k_p4_4*C446)))/k_sx</f>
        <v/>
      </c>
      <c r="K446">
        <f>k_eb*k_ec*EXP(k_ec*C446)/k_sx</f>
        <v/>
      </c>
      <c r="L446">
        <f>(2*k_p4_2+C446*(6*k_p4_3+12*k_p4_4*C446))/k_sx^2</f>
        <v/>
      </c>
      <c r="M446">
        <f>D446/B446</f>
        <v/>
      </c>
      <c r="N446">
        <f>E446/B446</f>
        <v/>
      </c>
      <c r="O446">
        <f>F446/B446</f>
        <v/>
      </c>
      <c r="P446">
        <f>G446/B446</f>
        <v/>
      </c>
      <c r="Q446">
        <f>CHOOSE(k_model,D446,E446,F446,G446)</f>
        <v/>
      </c>
      <c r="R446">
        <f>CHOOSE(k_model,H446,I446,J446,K446)</f>
        <v/>
      </c>
    </row>
    <row r="447">
      <c r="A447" t="n">
        <v>445</v>
      </c>
      <c r="B447">
        <f>k_lo+k_rng*A447/1000</f>
        <v/>
      </c>
      <c r="C447">
        <f>(B447-k_mx)/k_sx</f>
        <v/>
      </c>
      <c r="D447">
        <f>k_p2_0+C447*(k_p2_1+C447*k_p2_2)</f>
        <v/>
      </c>
      <c r="E447">
        <f>k_p3_0+C447*(k_p3_1+C447*(k_p3_2+C447*k_p3_3))</f>
        <v/>
      </c>
      <c r="F447">
        <f>k_p4_0+C447*(k_p4_1+C447*(k_p4_2+C447*(k_p4_3+C447*k_p4_4)))</f>
        <v/>
      </c>
      <c r="G447">
        <f>k_ea+k_eb*EXP(k_ec*C447)</f>
        <v/>
      </c>
      <c r="H447">
        <f>(k_p2_1+2*k_p2_2*C447)/k_sx</f>
        <v/>
      </c>
      <c r="I447">
        <f>(k_p3_1+C447*(2*k_p3_2+3*k_p3_3*C447))/k_sx</f>
        <v/>
      </c>
      <c r="J447">
        <f>(k_p4_1+C447*(2*k_p4_2+C447*(3*k_p4_3+4*k_p4_4*C447)))/k_sx</f>
        <v/>
      </c>
      <c r="K447">
        <f>k_eb*k_ec*EXP(k_ec*C447)/k_sx</f>
        <v/>
      </c>
      <c r="L447">
        <f>(2*k_p4_2+C447*(6*k_p4_3+12*k_p4_4*C447))/k_sx^2</f>
        <v/>
      </c>
      <c r="M447">
        <f>D447/B447</f>
        <v/>
      </c>
      <c r="N447">
        <f>E447/B447</f>
        <v/>
      </c>
      <c r="O447">
        <f>F447/B447</f>
        <v/>
      </c>
      <c r="P447">
        <f>G447/B447</f>
        <v/>
      </c>
      <c r="Q447">
        <f>CHOOSE(k_model,D447,E447,F447,G447)</f>
        <v/>
      </c>
      <c r="R447">
        <f>CHOOSE(k_model,H447,I447,J447,K447)</f>
        <v/>
      </c>
    </row>
    <row r="448">
      <c r="A448" t="n">
        <v>446</v>
      </c>
      <c r="B448">
        <f>k_lo+k_rng*A448/1000</f>
        <v/>
      </c>
      <c r="C448">
        <f>(B448-k_mx)/k_sx</f>
        <v/>
      </c>
      <c r="D448">
        <f>k_p2_0+C448*(k_p2_1+C448*k_p2_2)</f>
        <v/>
      </c>
      <c r="E448">
        <f>k_p3_0+C448*(k_p3_1+C448*(k_p3_2+C448*k_p3_3))</f>
        <v/>
      </c>
      <c r="F448">
        <f>k_p4_0+C448*(k_p4_1+C448*(k_p4_2+C448*(k_p4_3+C448*k_p4_4)))</f>
        <v/>
      </c>
      <c r="G448">
        <f>k_ea+k_eb*EXP(k_ec*C448)</f>
        <v/>
      </c>
      <c r="H448">
        <f>(k_p2_1+2*k_p2_2*C448)/k_sx</f>
        <v/>
      </c>
      <c r="I448">
        <f>(k_p3_1+C448*(2*k_p3_2+3*k_p3_3*C448))/k_sx</f>
        <v/>
      </c>
      <c r="J448">
        <f>(k_p4_1+C448*(2*k_p4_2+C448*(3*k_p4_3+4*k_p4_4*C448)))/k_sx</f>
        <v/>
      </c>
      <c r="K448">
        <f>k_eb*k_ec*EXP(k_ec*C448)/k_sx</f>
        <v/>
      </c>
      <c r="L448">
        <f>(2*k_p4_2+C448*(6*k_p4_3+12*k_p4_4*C448))/k_sx^2</f>
        <v/>
      </c>
      <c r="M448">
        <f>D448/B448</f>
        <v/>
      </c>
      <c r="N448">
        <f>E448/B448</f>
        <v/>
      </c>
      <c r="O448">
        <f>F448/B448</f>
        <v/>
      </c>
      <c r="P448">
        <f>G448/B448</f>
        <v/>
      </c>
      <c r="Q448">
        <f>CHOOSE(k_model,D448,E448,F448,G448)</f>
        <v/>
      </c>
      <c r="R448">
        <f>CHOOSE(k_model,H448,I448,J448,K448)</f>
        <v/>
      </c>
    </row>
    <row r="449">
      <c r="A449" t="n">
        <v>447</v>
      </c>
      <c r="B449">
        <f>k_lo+k_rng*A449/1000</f>
        <v/>
      </c>
      <c r="C449">
        <f>(B449-k_mx)/k_sx</f>
        <v/>
      </c>
      <c r="D449">
        <f>k_p2_0+C449*(k_p2_1+C449*k_p2_2)</f>
        <v/>
      </c>
      <c r="E449">
        <f>k_p3_0+C449*(k_p3_1+C449*(k_p3_2+C449*k_p3_3))</f>
        <v/>
      </c>
      <c r="F449">
        <f>k_p4_0+C449*(k_p4_1+C449*(k_p4_2+C449*(k_p4_3+C449*k_p4_4)))</f>
        <v/>
      </c>
      <c r="G449">
        <f>k_ea+k_eb*EXP(k_ec*C449)</f>
        <v/>
      </c>
      <c r="H449">
        <f>(k_p2_1+2*k_p2_2*C449)/k_sx</f>
        <v/>
      </c>
      <c r="I449">
        <f>(k_p3_1+C449*(2*k_p3_2+3*k_p3_3*C449))/k_sx</f>
        <v/>
      </c>
      <c r="J449">
        <f>(k_p4_1+C449*(2*k_p4_2+C449*(3*k_p4_3+4*k_p4_4*C449)))/k_sx</f>
        <v/>
      </c>
      <c r="K449">
        <f>k_eb*k_ec*EXP(k_ec*C449)/k_sx</f>
        <v/>
      </c>
      <c r="L449">
        <f>(2*k_p4_2+C449*(6*k_p4_3+12*k_p4_4*C449))/k_sx^2</f>
        <v/>
      </c>
      <c r="M449">
        <f>D449/B449</f>
        <v/>
      </c>
      <c r="N449">
        <f>E449/B449</f>
        <v/>
      </c>
      <c r="O449">
        <f>F449/B449</f>
        <v/>
      </c>
      <c r="P449">
        <f>G449/B449</f>
        <v/>
      </c>
      <c r="Q449">
        <f>CHOOSE(k_model,D449,E449,F449,G449)</f>
        <v/>
      </c>
      <c r="R449">
        <f>CHOOSE(k_model,H449,I449,J449,K449)</f>
        <v/>
      </c>
    </row>
    <row r="450">
      <c r="A450" t="n">
        <v>448</v>
      </c>
      <c r="B450">
        <f>k_lo+k_rng*A450/1000</f>
        <v/>
      </c>
      <c r="C450">
        <f>(B450-k_mx)/k_sx</f>
        <v/>
      </c>
      <c r="D450">
        <f>k_p2_0+C450*(k_p2_1+C450*k_p2_2)</f>
        <v/>
      </c>
      <c r="E450">
        <f>k_p3_0+C450*(k_p3_1+C450*(k_p3_2+C450*k_p3_3))</f>
        <v/>
      </c>
      <c r="F450">
        <f>k_p4_0+C450*(k_p4_1+C450*(k_p4_2+C450*(k_p4_3+C450*k_p4_4)))</f>
        <v/>
      </c>
      <c r="G450">
        <f>k_ea+k_eb*EXP(k_ec*C450)</f>
        <v/>
      </c>
      <c r="H450">
        <f>(k_p2_1+2*k_p2_2*C450)/k_sx</f>
        <v/>
      </c>
      <c r="I450">
        <f>(k_p3_1+C450*(2*k_p3_2+3*k_p3_3*C450))/k_sx</f>
        <v/>
      </c>
      <c r="J450">
        <f>(k_p4_1+C450*(2*k_p4_2+C450*(3*k_p4_3+4*k_p4_4*C450)))/k_sx</f>
        <v/>
      </c>
      <c r="K450">
        <f>k_eb*k_ec*EXP(k_ec*C450)/k_sx</f>
        <v/>
      </c>
      <c r="L450">
        <f>(2*k_p4_2+C450*(6*k_p4_3+12*k_p4_4*C450))/k_sx^2</f>
        <v/>
      </c>
      <c r="M450">
        <f>D450/B450</f>
        <v/>
      </c>
      <c r="N450">
        <f>E450/B450</f>
        <v/>
      </c>
      <c r="O450">
        <f>F450/B450</f>
        <v/>
      </c>
      <c r="P450">
        <f>G450/B450</f>
        <v/>
      </c>
      <c r="Q450">
        <f>CHOOSE(k_model,D450,E450,F450,G450)</f>
        <v/>
      </c>
      <c r="R450">
        <f>CHOOSE(k_model,H450,I450,J450,K450)</f>
        <v/>
      </c>
    </row>
    <row r="451">
      <c r="A451" t="n">
        <v>449</v>
      </c>
      <c r="B451">
        <f>k_lo+k_rng*A451/1000</f>
        <v/>
      </c>
      <c r="C451">
        <f>(B451-k_mx)/k_sx</f>
        <v/>
      </c>
      <c r="D451">
        <f>k_p2_0+C451*(k_p2_1+C451*k_p2_2)</f>
        <v/>
      </c>
      <c r="E451">
        <f>k_p3_0+C451*(k_p3_1+C451*(k_p3_2+C451*k_p3_3))</f>
        <v/>
      </c>
      <c r="F451">
        <f>k_p4_0+C451*(k_p4_1+C451*(k_p4_2+C451*(k_p4_3+C451*k_p4_4)))</f>
        <v/>
      </c>
      <c r="G451">
        <f>k_ea+k_eb*EXP(k_ec*C451)</f>
        <v/>
      </c>
      <c r="H451">
        <f>(k_p2_1+2*k_p2_2*C451)/k_sx</f>
        <v/>
      </c>
      <c r="I451">
        <f>(k_p3_1+C451*(2*k_p3_2+3*k_p3_3*C451))/k_sx</f>
        <v/>
      </c>
      <c r="J451">
        <f>(k_p4_1+C451*(2*k_p4_2+C451*(3*k_p4_3+4*k_p4_4*C451)))/k_sx</f>
        <v/>
      </c>
      <c r="K451">
        <f>k_eb*k_ec*EXP(k_ec*C451)/k_sx</f>
        <v/>
      </c>
      <c r="L451">
        <f>(2*k_p4_2+C451*(6*k_p4_3+12*k_p4_4*C451))/k_sx^2</f>
        <v/>
      </c>
      <c r="M451">
        <f>D451/B451</f>
        <v/>
      </c>
      <c r="N451">
        <f>E451/B451</f>
        <v/>
      </c>
      <c r="O451">
        <f>F451/B451</f>
        <v/>
      </c>
      <c r="P451">
        <f>G451/B451</f>
        <v/>
      </c>
      <c r="Q451">
        <f>CHOOSE(k_model,D451,E451,F451,G451)</f>
        <v/>
      </c>
      <c r="R451">
        <f>CHOOSE(k_model,H451,I451,J451,K451)</f>
        <v/>
      </c>
    </row>
    <row r="452">
      <c r="A452" t="n">
        <v>450</v>
      </c>
      <c r="B452">
        <f>k_lo+k_rng*A452/1000</f>
        <v/>
      </c>
      <c r="C452">
        <f>(B452-k_mx)/k_sx</f>
        <v/>
      </c>
      <c r="D452">
        <f>k_p2_0+C452*(k_p2_1+C452*k_p2_2)</f>
        <v/>
      </c>
      <c r="E452">
        <f>k_p3_0+C452*(k_p3_1+C452*(k_p3_2+C452*k_p3_3))</f>
        <v/>
      </c>
      <c r="F452">
        <f>k_p4_0+C452*(k_p4_1+C452*(k_p4_2+C452*(k_p4_3+C452*k_p4_4)))</f>
        <v/>
      </c>
      <c r="G452">
        <f>k_ea+k_eb*EXP(k_ec*C452)</f>
        <v/>
      </c>
      <c r="H452">
        <f>(k_p2_1+2*k_p2_2*C452)/k_sx</f>
        <v/>
      </c>
      <c r="I452">
        <f>(k_p3_1+C452*(2*k_p3_2+3*k_p3_3*C452))/k_sx</f>
        <v/>
      </c>
      <c r="J452">
        <f>(k_p4_1+C452*(2*k_p4_2+C452*(3*k_p4_3+4*k_p4_4*C452)))/k_sx</f>
        <v/>
      </c>
      <c r="K452">
        <f>k_eb*k_ec*EXP(k_ec*C452)/k_sx</f>
        <v/>
      </c>
      <c r="L452">
        <f>(2*k_p4_2+C452*(6*k_p4_3+12*k_p4_4*C452))/k_sx^2</f>
        <v/>
      </c>
      <c r="M452">
        <f>D452/B452</f>
        <v/>
      </c>
      <c r="N452">
        <f>E452/B452</f>
        <v/>
      </c>
      <c r="O452">
        <f>F452/B452</f>
        <v/>
      </c>
      <c r="P452">
        <f>G452/B452</f>
        <v/>
      </c>
      <c r="Q452">
        <f>CHOOSE(k_model,D452,E452,F452,G452)</f>
        <v/>
      </c>
      <c r="R452">
        <f>CHOOSE(k_model,H452,I452,J452,K452)</f>
        <v/>
      </c>
    </row>
    <row r="453">
      <c r="A453" t="n">
        <v>451</v>
      </c>
      <c r="B453">
        <f>k_lo+k_rng*A453/1000</f>
        <v/>
      </c>
      <c r="C453">
        <f>(B453-k_mx)/k_sx</f>
        <v/>
      </c>
      <c r="D453">
        <f>k_p2_0+C453*(k_p2_1+C453*k_p2_2)</f>
        <v/>
      </c>
      <c r="E453">
        <f>k_p3_0+C453*(k_p3_1+C453*(k_p3_2+C453*k_p3_3))</f>
        <v/>
      </c>
      <c r="F453">
        <f>k_p4_0+C453*(k_p4_1+C453*(k_p4_2+C453*(k_p4_3+C453*k_p4_4)))</f>
        <v/>
      </c>
      <c r="G453">
        <f>k_ea+k_eb*EXP(k_ec*C453)</f>
        <v/>
      </c>
      <c r="H453">
        <f>(k_p2_1+2*k_p2_2*C453)/k_sx</f>
        <v/>
      </c>
      <c r="I453">
        <f>(k_p3_1+C453*(2*k_p3_2+3*k_p3_3*C453))/k_sx</f>
        <v/>
      </c>
      <c r="J453">
        <f>(k_p4_1+C453*(2*k_p4_2+C453*(3*k_p4_3+4*k_p4_4*C453)))/k_sx</f>
        <v/>
      </c>
      <c r="K453">
        <f>k_eb*k_ec*EXP(k_ec*C453)/k_sx</f>
        <v/>
      </c>
      <c r="L453">
        <f>(2*k_p4_2+C453*(6*k_p4_3+12*k_p4_4*C453))/k_sx^2</f>
        <v/>
      </c>
      <c r="M453">
        <f>D453/B453</f>
        <v/>
      </c>
      <c r="N453">
        <f>E453/B453</f>
        <v/>
      </c>
      <c r="O453">
        <f>F453/B453</f>
        <v/>
      </c>
      <c r="P453">
        <f>G453/B453</f>
        <v/>
      </c>
      <c r="Q453">
        <f>CHOOSE(k_model,D453,E453,F453,G453)</f>
        <v/>
      </c>
      <c r="R453">
        <f>CHOOSE(k_model,H453,I453,J453,K453)</f>
        <v/>
      </c>
    </row>
    <row r="454">
      <c r="A454" t="n">
        <v>452</v>
      </c>
      <c r="B454">
        <f>k_lo+k_rng*A454/1000</f>
        <v/>
      </c>
      <c r="C454">
        <f>(B454-k_mx)/k_sx</f>
        <v/>
      </c>
      <c r="D454">
        <f>k_p2_0+C454*(k_p2_1+C454*k_p2_2)</f>
        <v/>
      </c>
      <c r="E454">
        <f>k_p3_0+C454*(k_p3_1+C454*(k_p3_2+C454*k_p3_3))</f>
        <v/>
      </c>
      <c r="F454">
        <f>k_p4_0+C454*(k_p4_1+C454*(k_p4_2+C454*(k_p4_3+C454*k_p4_4)))</f>
        <v/>
      </c>
      <c r="G454">
        <f>k_ea+k_eb*EXP(k_ec*C454)</f>
        <v/>
      </c>
      <c r="H454">
        <f>(k_p2_1+2*k_p2_2*C454)/k_sx</f>
        <v/>
      </c>
      <c r="I454">
        <f>(k_p3_1+C454*(2*k_p3_2+3*k_p3_3*C454))/k_sx</f>
        <v/>
      </c>
      <c r="J454">
        <f>(k_p4_1+C454*(2*k_p4_2+C454*(3*k_p4_3+4*k_p4_4*C454)))/k_sx</f>
        <v/>
      </c>
      <c r="K454">
        <f>k_eb*k_ec*EXP(k_ec*C454)/k_sx</f>
        <v/>
      </c>
      <c r="L454">
        <f>(2*k_p4_2+C454*(6*k_p4_3+12*k_p4_4*C454))/k_sx^2</f>
        <v/>
      </c>
      <c r="M454">
        <f>D454/B454</f>
        <v/>
      </c>
      <c r="N454">
        <f>E454/B454</f>
        <v/>
      </c>
      <c r="O454">
        <f>F454/B454</f>
        <v/>
      </c>
      <c r="P454">
        <f>G454/B454</f>
        <v/>
      </c>
      <c r="Q454">
        <f>CHOOSE(k_model,D454,E454,F454,G454)</f>
        <v/>
      </c>
      <c r="R454">
        <f>CHOOSE(k_model,H454,I454,J454,K454)</f>
        <v/>
      </c>
    </row>
    <row r="455">
      <c r="A455" t="n">
        <v>453</v>
      </c>
      <c r="B455">
        <f>k_lo+k_rng*A455/1000</f>
        <v/>
      </c>
      <c r="C455">
        <f>(B455-k_mx)/k_sx</f>
        <v/>
      </c>
      <c r="D455">
        <f>k_p2_0+C455*(k_p2_1+C455*k_p2_2)</f>
        <v/>
      </c>
      <c r="E455">
        <f>k_p3_0+C455*(k_p3_1+C455*(k_p3_2+C455*k_p3_3))</f>
        <v/>
      </c>
      <c r="F455">
        <f>k_p4_0+C455*(k_p4_1+C455*(k_p4_2+C455*(k_p4_3+C455*k_p4_4)))</f>
        <v/>
      </c>
      <c r="G455">
        <f>k_ea+k_eb*EXP(k_ec*C455)</f>
        <v/>
      </c>
      <c r="H455">
        <f>(k_p2_1+2*k_p2_2*C455)/k_sx</f>
        <v/>
      </c>
      <c r="I455">
        <f>(k_p3_1+C455*(2*k_p3_2+3*k_p3_3*C455))/k_sx</f>
        <v/>
      </c>
      <c r="J455">
        <f>(k_p4_1+C455*(2*k_p4_2+C455*(3*k_p4_3+4*k_p4_4*C455)))/k_sx</f>
        <v/>
      </c>
      <c r="K455">
        <f>k_eb*k_ec*EXP(k_ec*C455)/k_sx</f>
        <v/>
      </c>
      <c r="L455">
        <f>(2*k_p4_2+C455*(6*k_p4_3+12*k_p4_4*C455))/k_sx^2</f>
        <v/>
      </c>
      <c r="M455">
        <f>D455/B455</f>
        <v/>
      </c>
      <c r="N455">
        <f>E455/B455</f>
        <v/>
      </c>
      <c r="O455">
        <f>F455/B455</f>
        <v/>
      </c>
      <c r="P455">
        <f>G455/B455</f>
        <v/>
      </c>
      <c r="Q455">
        <f>CHOOSE(k_model,D455,E455,F455,G455)</f>
        <v/>
      </c>
      <c r="R455">
        <f>CHOOSE(k_model,H455,I455,J455,K455)</f>
        <v/>
      </c>
    </row>
    <row r="456">
      <c r="A456" t="n">
        <v>454</v>
      </c>
      <c r="B456">
        <f>k_lo+k_rng*A456/1000</f>
        <v/>
      </c>
      <c r="C456">
        <f>(B456-k_mx)/k_sx</f>
        <v/>
      </c>
      <c r="D456">
        <f>k_p2_0+C456*(k_p2_1+C456*k_p2_2)</f>
        <v/>
      </c>
      <c r="E456">
        <f>k_p3_0+C456*(k_p3_1+C456*(k_p3_2+C456*k_p3_3))</f>
        <v/>
      </c>
      <c r="F456">
        <f>k_p4_0+C456*(k_p4_1+C456*(k_p4_2+C456*(k_p4_3+C456*k_p4_4)))</f>
        <v/>
      </c>
      <c r="G456">
        <f>k_ea+k_eb*EXP(k_ec*C456)</f>
        <v/>
      </c>
      <c r="H456">
        <f>(k_p2_1+2*k_p2_2*C456)/k_sx</f>
        <v/>
      </c>
      <c r="I456">
        <f>(k_p3_1+C456*(2*k_p3_2+3*k_p3_3*C456))/k_sx</f>
        <v/>
      </c>
      <c r="J456">
        <f>(k_p4_1+C456*(2*k_p4_2+C456*(3*k_p4_3+4*k_p4_4*C456)))/k_sx</f>
        <v/>
      </c>
      <c r="K456">
        <f>k_eb*k_ec*EXP(k_ec*C456)/k_sx</f>
        <v/>
      </c>
      <c r="L456">
        <f>(2*k_p4_2+C456*(6*k_p4_3+12*k_p4_4*C456))/k_sx^2</f>
        <v/>
      </c>
      <c r="M456">
        <f>D456/B456</f>
        <v/>
      </c>
      <c r="N456">
        <f>E456/B456</f>
        <v/>
      </c>
      <c r="O456">
        <f>F456/B456</f>
        <v/>
      </c>
      <c r="P456">
        <f>G456/B456</f>
        <v/>
      </c>
      <c r="Q456">
        <f>CHOOSE(k_model,D456,E456,F456,G456)</f>
        <v/>
      </c>
      <c r="R456">
        <f>CHOOSE(k_model,H456,I456,J456,K456)</f>
        <v/>
      </c>
    </row>
    <row r="457">
      <c r="A457" t="n">
        <v>455</v>
      </c>
      <c r="B457">
        <f>k_lo+k_rng*A457/1000</f>
        <v/>
      </c>
      <c r="C457">
        <f>(B457-k_mx)/k_sx</f>
        <v/>
      </c>
      <c r="D457">
        <f>k_p2_0+C457*(k_p2_1+C457*k_p2_2)</f>
        <v/>
      </c>
      <c r="E457">
        <f>k_p3_0+C457*(k_p3_1+C457*(k_p3_2+C457*k_p3_3))</f>
        <v/>
      </c>
      <c r="F457">
        <f>k_p4_0+C457*(k_p4_1+C457*(k_p4_2+C457*(k_p4_3+C457*k_p4_4)))</f>
        <v/>
      </c>
      <c r="G457">
        <f>k_ea+k_eb*EXP(k_ec*C457)</f>
        <v/>
      </c>
      <c r="H457">
        <f>(k_p2_1+2*k_p2_2*C457)/k_sx</f>
        <v/>
      </c>
      <c r="I457">
        <f>(k_p3_1+C457*(2*k_p3_2+3*k_p3_3*C457))/k_sx</f>
        <v/>
      </c>
      <c r="J457">
        <f>(k_p4_1+C457*(2*k_p4_2+C457*(3*k_p4_3+4*k_p4_4*C457)))/k_sx</f>
        <v/>
      </c>
      <c r="K457">
        <f>k_eb*k_ec*EXP(k_ec*C457)/k_sx</f>
        <v/>
      </c>
      <c r="L457">
        <f>(2*k_p4_2+C457*(6*k_p4_3+12*k_p4_4*C457))/k_sx^2</f>
        <v/>
      </c>
      <c r="M457">
        <f>D457/B457</f>
        <v/>
      </c>
      <c r="N457">
        <f>E457/B457</f>
        <v/>
      </c>
      <c r="O457">
        <f>F457/B457</f>
        <v/>
      </c>
      <c r="P457">
        <f>G457/B457</f>
        <v/>
      </c>
      <c r="Q457">
        <f>CHOOSE(k_model,D457,E457,F457,G457)</f>
        <v/>
      </c>
      <c r="R457">
        <f>CHOOSE(k_model,H457,I457,J457,K457)</f>
        <v/>
      </c>
    </row>
    <row r="458">
      <c r="A458" t="n">
        <v>456</v>
      </c>
      <c r="B458">
        <f>k_lo+k_rng*A458/1000</f>
        <v/>
      </c>
      <c r="C458">
        <f>(B458-k_mx)/k_sx</f>
        <v/>
      </c>
      <c r="D458">
        <f>k_p2_0+C458*(k_p2_1+C458*k_p2_2)</f>
        <v/>
      </c>
      <c r="E458">
        <f>k_p3_0+C458*(k_p3_1+C458*(k_p3_2+C458*k_p3_3))</f>
        <v/>
      </c>
      <c r="F458">
        <f>k_p4_0+C458*(k_p4_1+C458*(k_p4_2+C458*(k_p4_3+C458*k_p4_4)))</f>
        <v/>
      </c>
      <c r="G458">
        <f>k_ea+k_eb*EXP(k_ec*C458)</f>
        <v/>
      </c>
      <c r="H458">
        <f>(k_p2_1+2*k_p2_2*C458)/k_sx</f>
        <v/>
      </c>
      <c r="I458">
        <f>(k_p3_1+C458*(2*k_p3_2+3*k_p3_3*C458))/k_sx</f>
        <v/>
      </c>
      <c r="J458">
        <f>(k_p4_1+C458*(2*k_p4_2+C458*(3*k_p4_3+4*k_p4_4*C458)))/k_sx</f>
        <v/>
      </c>
      <c r="K458">
        <f>k_eb*k_ec*EXP(k_ec*C458)/k_sx</f>
        <v/>
      </c>
      <c r="L458">
        <f>(2*k_p4_2+C458*(6*k_p4_3+12*k_p4_4*C458))/k_sx^2</f>
        <v/>
      </c>
      <c r="M458">
        <f>D458/B458</f>
        <v/>
      </c>
      <c r="N458">
        <f>E458/B458</f>
        <v/>
      </c>
      <c r="O458">
        <f>F458/B458</f>
        <v/>
      </c>
      <c r="P458">
        <f>G458/B458</f>
        <v/>
      </c>
      <c r="Q458">
        <f>CHOOSE(k_model,D458,E458,F458,G458)</f>
        <v/>
      </c>
      <c r="R458">
        <f>CHOOSE(k_model,H458,I458,J458,K458)</f>
        <v/>
      </c>
    </row>
    <row r="459">
      <c r="A459" t="n">
        <v>457</v>
      </c>
      <c r="B459">
        <f>k_lo+k_rng*A459/1000</f>
        <v/>
      </c>
      <c r="C459">
        <f>(B459-k_mx)/k_sx</f>
        <v/>
      </c>
      <c r="D459">
        <f>k_p2_0+C459*(k_p2_1+C459*k_p2_2)</f>
        <v/>
      </c>
      <c r="E459">
        <f>k_p3_0+C459*(k_p3_1+C459*(k_p3_2+C459*k_p3_3))</f>
        <v/>
      </c>
      <c r="F459">
        <f>k_p4_0+C459*(k_p4_1+C459*(k_p4_2+C459*(k_p4_3+C459*k_p4_4)))</f>
        <v/>
      </c>
      <c r="G459">
        <f>k_ea+k_eb*EXP(k_ec*C459)</f>
        <v/>
      </c>
      <c r="H459">
        <f>(k_p2_1+2*k_p2_2*C459)/k_sx</f>
        <v/>
      </c>
      <c r="I459">
        <f>(k_p3_1+C459*(2*k_p3_2+3*k_p3_3*C459))/k_sx</f>
        <v/>
      </c>
      <c r="J459">
        <f>(k_p4_1+C459*(2*k_p4_2+C459*(3*k_p4_3+4*k_p4_4*C459)))/k_sx</f>
        <v/>
      </c>
      <c r="K459">
        <f>k_eb*k_ec*EXP(k_ec*C459)/k_sx</f>
        <v/>
      </c>
      <c r="L459">
        <f>(2*k_p4_2+C459*(6*k_p4_3+12*k_p4_4*C459))/k_sx^2</f>
        <v/>
      </c>
      <c r="M459">
        <f>D459/B459</f>
        <v/>
      </c>
      <c r="N459">
        <f>E459/B459</f>
        <v/>
      </c>
      <c r="O459">
        <f>F459/B459</f>
        <v/>
      </c>
      <c r="P459">
        <f>G459/B459</f>
        <v/>
      </c>
      <c r="Q459">
        <f>CHOOSE(k_model,D459,E459,F459,G459)</f>
        <v/>
      </c>
      <c r="R459">
        <f>CHOOSE(k_model,H459,I459,J459,K459)</f>
        <v/>
      </c>
    </row>
    <row r="460">
      <c r="A460" t="n">
        <v>458</v>
      </c>
      <c r="B460">
        <f>k_lo+k_rng*A460/1000</f>
        <v/>
      </c>
      <c r="C460">
        <f>(B460-k_mx)/k_sx</f>
        <v/>
      </c>
      <c r="D460">
        <f>k_p2_0+C460*(k_p2_1+C460*k_p2_2)</f>
        <v/>
      </c>
      <c r="E460">
        <f>k_p3_0+C460*(k_p3_1+C460*(k_p3_2+C460*k_p3_3))</f>
        <v/>
      </c>
      <c r="F460">
        <f>k_p4_0+C460*(k_p4_1+C460*(k_p4_2+C460*(k_p4_3+C460*k_p4_4)))</f>
        <v/>
      </c>
      <c r="G460">
        <f>k_ea+k_eb*EXP(k_ec*C460)</f>
        <v/>
      </c>
      <c r="H460">
        <f>(k_p2_1+2*k_p2_2*C460)/k_sx</f>
        <v/>
      </c>
      <c r="I460">
        <f>(k_p3_1+C460*(2*k_p3_2+3*k_p3_3*C460))/k_sx</f>
        <v/>
      </c>
      <c r="J460">
        <f>(k_p4_1+C460*(2*k_p4_2+C460*(3*k_p4_3+4*k_p4_4*C460)))/k_sx</f>
        <v/>
      </c>
      <c r="K460">
        <f>k_eb*k_ec*EXP(k_ec*C460)/k_sx</f>
        <v/>
      </c>
      <c r="L460">
        <f>(2*k_p4_2+C460*(6*k_p4_3+12*k_p4_4*C460))/k_sx^2</f>
        <v/>
      </c>
      <c r="M460">
        <f>D460/B460</f>
        <v/>
      </c>
      <c r="N460">
        <f>E460/B460</f>
        <v/>
      </c>
      <c r="O460">
        <f>F460/B460</f>
        <v/>
      </c>
      <c r="P460">
        <f>G460/B460</f>
        <v/>
      </c>
      <c r="Q460">
        <f>CHOOSE(k_model,D460,E460,F460,G460)</f>
        <v/>
      </c>
      <c r="R460">
        <f>CHOOSE(k_model,H460,I460,J460,K460)</f>
        <v/>
      </c>
    </row>
    <row r="461">
      <c r="A461" t="n">
        <v>459</v>
      </c>
      <c r="B461">
        <f>k_lo+k_rng*A461/1000</f>
        <v/>
      </c>
      <c r="C461">
        <f>(B461-k_mx)/k_sx</f>
        <v/>
      </c>
      <c r="D461">
        <f>k_p2_0+C461*(k_p2_1+C461*k_p2_2)</f>
        <v/>
      </c>
      <c r="E461">
        <f>k_p3_0+C461*(k_p3_1+C461*(k_p3_2+C461*k_p3_3))</f>
        <v/>
      </c>
      <c r="F461">
        <f>k_p4_0+C461*(k_p4_1+C461*(k_p4_2+C461*(k_p4_3+C461*k_p4_4)))</f>
        <v/>
      </c>
      <c r="G461">
        <f>k_ea+k_eb*EXP(k_ec*C461)</f>
        <v/>
      </c>
      <c r="H461">
        <f>(k_p2_1+2*k_p2_2*C461)/k_sx</f>
        <v/>
      </c>
      <c r="I461">
        <f>(k_p3_1+C461*(2*k_p3_2+3*k_p3_3*C461))/k_sx</f>
        <v/>
      </c>
      <c r="J461">
        <f>(k_p4_1+C461*(2*k_p4_2+C461*(3*k_p4_3+4*k_p4_4*C461)))/k_sx</f>
        <v/>
      </c>
      <c r="K461">
        <f>k_eb*k_ec*EXP(k_ec*C461)/k_sx</f>
        <v/>
      </c>
      <c r="L461">
        <f>(2*k_p4_2+C461*(6*k_p4_3+12*k_p4_4*C461))/k_sx^2</f>
        <v/>
      </c>
      <c r="M461">
        <f>D461/B461</f>
        <v/>
      </c>
      <c r="N461">
        <f>E461/B461</f>
        <v/>
      </c>
      <c r="O461">
        <f>F461/B461</f>
        <v/>
      </c>
      <c r="P461">
        <f>G461/B461</f>
        <v/>
      </c>
      <c r="Q461">
        <f>CHOOSE(k_model,D461,E461,F461,G461)</f>
        <v/>
      </c>
      <c r="R461">
        <f>CHOOSE(k_model,H461,I461,J461,K461)</f>
        <v/>
      </c>
    </row>
    <row r="462">
      <c r="A462" t="n">
        <v>460</v>
      </c>
      <c r="B462">
        <f>k_lo+k_rng*A462/1000</f>
        <v/>
      </c>
      <c r="C462">
        <f>(B462-k_mx)/k_sx</f>
        <v/>
      </c>
      <c r="D462">
        <f>k_p2_0+C462*(k_p2_1+C462*k_p2_2)</f>
        <v/>
      </c>
      <c r="E462">
        <f>k_p3_0+C462*(k_p3_1+C462*(k_p3_2+C462*k_p3_3))</f>
        <v/>
      </c>
      <c r="F462">
        <f>k_p4_0+C462*(k_p4_1+C462*(k_p4_2+C462*(k_p4_3+C462*k_p4_4)))</f>
        <v/>
      </c>
      <c r="G462">
        <f>k_ea+k_eb*EXP(k_ec*C462)</f>
        <v/>
      </c>
      <c r="H462">
        <f>(k_p2_1+2*k_p2_2*C462)/k_sx</f>
        <v/>
      </c>
      <c r="I462">
        <f>(k_p3_1+C462*(2*k_p3_2+3*k_p3_3*C462))/k_sx</f>
        <v/>
      </c>
      <c r="J462">
        <f>(k_p4_1+C462*(2*k_p4_2+C462*(3*k_p4_3+4*k_p4_4*C462)))/k_sx</f>
        <v/>
      </c>
      <c r="K462">
        <f>k_eb*k_ec*EXP(k_ec*C462)/k_sx</f>
        <v/>
      </c>
      <c r="L462">
        <f>(2*k_p4_2+C462*(6*k_p4_3+12*k_p4_4*C462))/k_sx^2</f>
        <v/>
      </c>
      <c r="M462">
        <f>D462/B462</f>
        <v/>
      </c>
      <c r="N462">
        <f>E462/B462</f>
        <v/>
      </c>
      <c r="O462">
        <f>F462/B462</f>
        <v/>
      </c>
      <c r="P462">
        <f>G462/B462</f>
        <v/>
      </c>
      <c r="Q462">
        <f>CHOOSE(k_model,D462,E462,F462,G462)</f>
        <v/>
      </c>
      <c r="R462">
        <f>CHOOSE(k_model,H462,I462,J462,K462)</f>
        <v/>
      </c>
    </row>
    <row r="463">
      <c r="A463" t="n">
        <v>461</v>
      </c>
      <c r="B463">
        <f>k_lo+k_rng*A463/1000</f>
        <v/>
      </c>
      <c r="C463">
        <f>(B463-k_mx)/k_sx</f>
        <v/>
      </c>
      <c r="D463">
        <f>k_p2_0+C463*(k_p2_1+C463*k_p2_2)</f>
        <v/>
      </c>
      <c r="E463">
        <f>k_p3_0+C463*(k_p3_1+C463*(k_p3_2+C463*k_p3_3))</f>
        <v/>
      </c>
      <c r="F463">
        <f>k_p4_0+C463*(k_p4_1+C463*(k_p4_2+C463*(k_p4_3+C463*k_p4_4)))</f>
        <v/>
      </c>
      <c r="G463">
        <f>k_ea+k_eb*EXP(k_ec*C463)</f>
        <v/>
      </c>
      <c r="H463">
        <f>(k_p2_1+2*k_p2_2*C463)/k_sx</f>
        <v/>
      </c>
      <c r="I463">
        <f>(k_p3_1+C463*(2*k_p3_2+3*k_p3_3*C463))/k_sx</f>
        <v/>
      </c>
      <c r="J463">
        <f>(k_p4_1+C463*(2*k_p4_2+C463*(3*k_p4_3+4*k_p4_4*C463)))/k_sx</f>
        <v/>
      </c>
      <c r="K463">
        <f>k_eb*k_ec*EXP(k_ec*C463)/k_sx</f>
        <v/>
      </c>
      <c r="L463">
        <f>(2*k_p4_2+C463*(6*k_p4_3+12*k_p4_4*C463))/k_sx^2</f>
        <v/>
      </c>
      <c r="M463">
        <f>D463/B463</f>
        <v/>
      </c>
      <c r="N463">
        <f>E463/B463</f>
        <v/>
      </c>
      <c r="O463">
        <f>F463/B463</f>
        <v/>
      </c>
      <c r="P463">
        <f>G463/B463</f>
        <v/>
      </c>
      <c r="Q463">
        <f>CHOOSE(k_model,D463,E463,F463,G463)</f>
        <v/>
      </c>
      <c r="R463">
        <f>CHOOSE(k_model,H463,I463,J463,K463)</f>
        <v/>
      </c>
    </row>
    <row r="464">
      <c r="A464" t="n">
        <v>462</v>
      </c>
      <c r="B464">
        <f>k_lo+k_rng*A464/1000</f>
        <v/>
      </c>
      <c r="C464">
        <f>(B464-k_mx)/k_sx</f>
        <v/>
      </c>
      <c r="D464">
        <f>k_p2_0+C464*(k_p2_1+C464*k_p2_2)</f>
        <v/>
      </c>
      <c r="E464">
        <f>k_p3_0+C464*(k_p3_1+C464*(k_p3_2+C464*k_p3_3))</f>
        <v/>
      </c>
      <c r="F464">
        <f>k_p4_0+C464*(k_p4_1+C464*(k_p4_2+C464*(k_p4_3+C464*k_p4_4)))</f>
        <v/>
      </c>
      <c r="G464">
        <f>k_ea+k_eb*EXP(k_ec*C464)</f>
        <v/>
      </c>
      <c r="H464">
        <f>(k_p2_1+2*k_p2_2*C464)/k_sx</f>
        <v/>
      </c>
      <c r="I464">
        <f>(k_p3_1+C464*(2*k_p3_2+3*k_p3_3*C464))/k_sx</f>
        <v/>
      </c>
      <c r="J464">
        <f>(k_p4_1+C464*(2*k_p4_2+C464*(3*k_p4_3+4*k_p4_4*C464)))/k_sx</f>
        <v/>
      </c>
      <c r="K464">
        <f>k_eb*k_ec*EXP(k_ec*C464)/k_sx</f>
        <v/>
      </c>
      <c r="L464">
        <f>(2*k_p4_2+C464*(6*k_p4_3+12*k_p4_4*C464))/k_sx^2</f>
        <v/>
      </c>
      <c r="M464">
        <f>D464/B464</f>
        <v/>
      </c>
      <c r="N464">
        <f>E464/B464</f>
        <v/>
      </c>
      <c r="O464">
        <f>F464/B464</f>
        <v/>
      </c>
      <c r="P464">
        <f>G464/B464</f>
        <v/>
      </c>
      <c r="Q464">
        <f>CHOOSE(k_model,D464,E464,F464,G464)</f>
        <v/>
      </c>
      <c r="R464">
        <f>CHOOSE(k_model,H464,I464,J464,K464)</f>
        <v/>
      </c>
    </row>
    <row r="465">
      <c r="A465" t="n">
        <v>463</v>
      </c>
      <c r="B465">
        <f>k_lo+k_rng*A465/1000</f>
        <v/>
      </c>
      <c r="C465">
        <f>(B465-k_mx)/k_sx</f>
        <v/>
      </c>
      <c r="D465">
        <f>k_p2_0+C465*(k_p2_1+C465*k_p2_2)</f>
        <v/>
      </c>
      <c r="E465">
        <f>k_p3_0+C465*(k_p3_1+C465*(k_p3_2+C465*k_p3_3))</f>
        <v/>
      </c>
      <c r="F465">
        <f>k_p4_0+C465*(k_p4_1+C465*(k_p4_2+C465*(k_p4_3+C465*k_p4_4)))</f>
        <v/>
      </c>
      <c r="G465">
        <f>k_ea+k_eb*EXP(k_ec*C465)</f>
        <v/>
      </c>
      <c r="H465">
        <f>(k_p2_1+2*k_p2_2*C465)/k_sx</f>
        <v/>
      </c>
      <c r="I465">
        <f>(k_p3_1+C465*(2*k_p3_2+3*k_p3_3*C465))/k_sx</f>
        <v/>
      </c>
      <c r="J465">
        <f>(k_p4_1+C465*(2*k_p4_2+C465*(3*k_p4_3+4*k_p4_4*C465)))/k_sx</f>
        <v/>
      </c>
      <c r="K465">
        <f>k_eb*k_ec*EXP(k_ec*C465)/k_sx</f>
        <v/>
      </c>
      <c r="L465">
        <f>(2*k_p4_2+C465*(6*k_p4_3+12*k_p4_4*C465))/k_sx^2</f>
        <v/>
      </c>
      <c r="M465">
        <f>D465/B465</f>
        <v/>
      </c>
      <c r="N465">
        <f>E465/B465</f>
        <v/>
      </c>
      <c r="O465">
        <f>F465/B465</f>
        <v/>
      </c>
      <c r="P465">
        <f>G465/B465</f>
        <v/>
      </c>
      <c r="Q465">
        <f>CHOOSE(k_model,D465,E465,F465,G465)</f>
        <v/>
      </c>
      <c r="R465">
        <f>CHOOSE(k_model,H465,I465,J465,K465)</f>
        <v/>
      </c>
    </row>
    <row r="466">
      <c r="A466" t="n">
        <v>464</v>
      </c>
      <c r="B466">
        <f>k_lo+k_rng*A466/1000</f>
        <v/>
      </c>
      <c r="C466">
        <f>(B466-k_mx)/k_sx</f>
        <v/>
      </c>
      <c r="D466">
        <f>k_p2_0+C466*(k_p2_1+C466*k_p2_2)</f>
        <v/>
      </c>
      <c r="E466">
        <f>k_p3_0+C466*(k_p3_1+C466*(k_p3_2+C466*k_p3_3))</f>
        <v/>
      </c>
      <c r="F466">
        <f>k_p4_0+C466*(k_p4_1+C466*(k_p4_2+C466*(k_p4_3+C466*k_p4_4)))</f>
        <v/>
      </c>
      <c r="G466">
        <f>k_ea+k_eb*EXP(k_ec*C466)</f>
        <v/>
      </c>
      <c r="H466">
        <f>(k_p2_1+2*k_p2_2*C466)/k_sx</f>
        <v/>
      </c>
      <c r="I466">
        <f>(k_p3_1+C466*(2*k_p3_2+3*k_p3_3*C466))/k_sx</f>
        <v/>
      </c>
      <c r="J466">
        <f>(k_p4_1+C466*(2*k_p4_2+C466*(3*k_p4_3+4*k_p4_4*C466)))/k_sx</f>
        <v/>
      </c>
      <c r="K466">
        <f>k_eb*k_ec*EXP(k_ec*C466)/k_sx</f>
        <v/>
      </c>
      <c r="L466">
        <f>(2*k_p4_2+C466*(6*k_p4_3+12*k_p4_4*C466))/k_sx^2</f>
        <v/>
      </c>
      <c r="M466">
        <f>D466/B466</f>
        <v/>
      </c>
      <c r="N466">
        <f>E466/B466</f>
        <v/>
      </c>
      <c r="O466">
        <f>F466/B466</f>
        <v/>
      </c>
      <c r="P466">
        <f>G466/B466</f>
        <v/>
      </c>
      <c r="Q466">
        <f>CHOOSE(k_model,D466,E466,F466,G466)</f>
        <v/>
      </c>
      <c r="R466">
        <f>CHOOSE(k_model,H466,I466,J466,K466)</f>
        <v/>
      </c>
    </row>
    <row r="467">
      <c r="A467" t="n">
        <v>465</v>
      </c>
      <c r="B467">
        <f>k_lo+k_rng*A467/1000</f>
        <v/>
      </c>
      <c r="C467">
        <f>(B467-k_mx)/k_sx</f>
        <v/>
      </c>
      <c r="D467">
        <f>k_p2_0+C467*(k_p2_1+C467*k_p2_2)</f>
        <v/>
      </c>
      <c r="E467">
        <f>k_p3_0+C467*(k_p3_1+C467*(k_p3_2+C467*k_p3_3))</f>
        <v/>
      </c>
      <c r="F467">
        <f>k_p4_0+C467*(k_p4_1+C467*(k_p4_2+C467*(k_p4_3+C467*k_p4_4)))</f>
        <v/>
      </c>
      <c r="G467">
        <f>k_ea+k_eb*EXP(k_ec*C467)</f>
        <v/>
      </c>
      <c r="H467">
        <f>(k_p2_1+2*k_p2_2*C467)/k_sx</f>
        <v/>
      </c>
      <c r="I467">
        <f>(k_p3_1+C467*(2*k_p3_2+3*k_p3_3*C467))/k_sx</f>
        <v/>
      </c>
      <c r="J467">
        <f>(k_p4_1+C467*(2*k_p4_2+C467*(3*k_p4_3+4*k_p4_4*C467)))/k_sx</f>
        <v/>
      </c>
      <c r="K467">
        <f>k_eb*k_ec*EXP(k_ec*C467)/k_sx</f>
        <v/>
      </c>
      <c r="L467">
        <f>(2*k_p4_2+C467*(6*k_p4_3+12*k_p4_4*C467))/k_sx^2</f>
        <v/>
      </c>
      <c r="M467">
        <f>D467/B467</f>
        <v/>
      </c>
      <c r="N467">
        <f>E467/B467</f>
        <v/>
      </c>
      <c r="O467">
        <f>F467/B467</f>
        <v/>
      </c>
      <c r="P467">
        <f>G467/B467</f>
        <v/>
      </c>
      <c r="Q467">
        <f>CHOOSE(k_model,D467,E467,F467,G467)</f>
        <v/>
      </c>
      <c r="R467">
        <f>CHOOSE(k_model,H467,I467,J467,K467)</f>
        <v/>
      </c>
    </row>
    <row r="468">
      <c r="A468" t="n">
        <v>466</v>
      </c>
      <c r="B468">
        <f>k_lo+k_rng*A468/1000</f>
        <v/>
      </c>
      <c r="C468">
        <f>(B468-k_mx)/k_sx</f>
        <v/>
      </c>
      <c r="D468">
        <f>k_p2_0+C468*(k_p2_1+C468*k_p2_2)</f>
        <v/>
      </c>
      <c r="E468">
        <f>k_p3_0+C468*(k_p3_1+C468*(k_p3_2+C468*k_p3_3))</f>
        <v/>
      </c>
      <c r="F468">
        <f>k_p4_0+C468*(k_p4_1+C468*(k_p4_2+C468*(k_p4_3+C468*k_p4_4)))</f>
        <v/>
      </c>
      <c r="G468">
        <f>k_ea+k_eb*EXP(k_ec*C468)</f>
        <v/>
      </c>
      <c r="H468">
        <f>(k_p2_1+2*k_p2_2*C468)/k_sx</f>
        <v/>
      </c>
      <c r="I468">
        <f>(k_p3_1+C468*(2*k_p3_2+3*k_p3_3*C468))/k_sx</f>
        <v/>
      </c>
      <c r="J468">
        <f>(k_p4_1+C468*(2*k_p4_2+C468*(3*k_p4_3+4*k_p4_4*C468)))/k_sx</f>
        <v/>
      </c>
      <c r="K468">
        <f>k_eb*k_ec*EXP(k_ec*C468)/k_sx</f>
        <v/>
      </c>
      <c r="L468">
        <f>(2*k_p4_2+C468*(6*k_p4_3+12*k_p4_4*C468))/k_sx^2</f>
        <v/>
      </c>
      <c r="M468">
        <f>D468/B468</f>
        <v/>
      </c>
      <c r="N468">
        <f>E468/B468</f>
        <v/>
      </c>
      <c r="O468">
        <f>F468/B468</f>
        <v/>
      </c>
      <c r="P468">
        <f>G468/B468</f>
        <v/>
      </c>
      <c r="Q468">
        <f>CHOOSE(k_model,D468,E468,F468,G468)</f>
        <v/>
      </c>
      <c r="R468">
        <f>CHOOSE(k_model,H468,I468,J468,K468)</f>
        <v/>
      </c>
    </row>
    <row r="469">
      <c r="A469" t="n">
        <v>467</v>
      </c>
      <c r="B469">
        <f>k_lo+k_rng*A469/1000</f>
        <v/>
      </c>
      <c r="C469">
        <f>(B469-k_mx)/k_sx</f>
        <v/>
      </c>
      <c r="D469">
        <f>k_p2_0+C469*(k_p2_1+C469*k_p2_2)</f>
        <v/>
      </c>
      <c r="E469">
        <f>k_p3_0+C469*(k_p3_1+C469*(k_p3_2+C469*k_p3_3))</f>
        <v/>
      </c>
      <c r="F469">
        <f>k_p4_0+C469*(k_p4_1+C469*(k_p4_2+C469*(k_p4_3+C469*k_p4_4)))</f>
        <v/>
      </c>
      <c r="G469">
        <f>k_ea+k_eb*EXP(k_ec*C469)</f>
        <v/>
      </c>
      <c r="H469">
        <f>(k_p2_1+2*k_p2_2*C469)/k_sx</f>
        <v/>
      </c>
      <c r="I469">
        <f>(k_p3_1+C469*(2*k_p3_2+3*k_p3_3*C469))/k_sx</f>
        <v/>
      </c>
      <c r="J469">
        <f>(k_p4_1+C469*(2*k_p4_2+C469*(3*k_p4_3+4*k_p4_4*C469)))/k_sx</f>
        <v/>
      </c>
      <c r="K469">
        <f>k_eb*k_ec*EXP(k_ec*C469)/k_sx</f>
        <v/>
      </c>
      <c r="L469">
        <f>(2*k_p4_2+C469*(6*k_p4_3+12*k_p4_4*C469))/k_sx^2</f>
        <v/>
      </c>
      <c r="M469">
        <f>D469/B469</f>
        <v/>
      </c>
      <c r="N469">
        <f>E469/B469</f>
        <v/>
      </c>
      <c r="O469">
        <f>F469/B469</f>
        <v/>
      </c>
      <c r="P469">
        <f>G469/B469</f>
        <v/>
      </c>
      <c r="Q469">
        <f>CHOOSE(k_model,D469,E469,F469,G469)</f>
        <v/>
      </c>
      <c r="R469">
        <f>CHOOSE(k_model,H469,I469,J469,K469)</f>
        <v/>
      </c>
    </row>
    <row r="470">
      <c r="A470" t="n">
        <v>468</v>
      </c>
      <c r="B470">
        <f>k_lo+k_rng*A470/1000</f>
        <v/>
      </c>
      <c r="C470">
        <f>(B470-k_mx)/k_sx</f>
        <v/>
      </c>
      <c r="D470">
        <f>k_p2_0+C470*(k_p2_1+C470*k_p2_2)</f>
        <v/>
      </c>
      <c r="E470">
        <f>k_p3_0+C470*(k_p3_1+C470*(k_p3_2+C470*k_p3_3))</f>
        <v/>
      </c>
      <c r="F470">
        <f>k_p4_0+C470*(k_p4_1+C470*(k_p4_2+C470*(k_p4_3+C470*k_p4_4)))</f>
        <v/>
      </c>
      <c r="G470">
        <f>k_ea+k_eb*EXP(k_ec*C470)</f>
        <v/>
      </c>
      <c r="H470">
        <f>(k_p2_1+2*k_p2_2*C470)/k_sx</f>
        <v/>
      </c>
      <c r="I470">
        <f>(k_p3_1+C470*(2*k_p3_2+3*k_p3_3*C470))/k_sx</f>
        <v/>
      </c>
      <c r="J470">
        <f>(k_p4_1+C470*(2*k_p4_2+C470*(3*k_p4_3+4*k_p4_4*C470)))/k_sx</f>
        <v/>
      </c>
      <c r="K470">
        <f>k_eb*k_ec*EXP(k_ec*C470)/k_sx</f>
        <v/>
      </c>
      <c r="L470">
        <f>(2*k_p4_2+C470*(6*k_p4_3+12*k_p4_4*C470))/k_sx^2</f>
        <v/>
      </c>
      <c r="M470">
        <f>D470/B470</f>
        <v/>
      </c>
      <c r="N470">
        <f>E470/B470</f>
        <v/>
      </c>
      <c r="O470">
        <f>F470/B470</f>
        <v/>
      </c>
      <c r="P470">
        <f>G470/B470</f>
        <v/>
      </c>
      <c r="Q470">
        <f>CHOOSE(k_model,D470,E470,F470,G470)</f>
        <v/>
      </c>
      <c r="R470">
        <f>CHOOSE(k_model,H470,I470,J470,K470)</f>
        <v/>
      </c>
    </row>
    <row r="471">
      <c r="A471" t="n">
        <v>469</v>
      </c>
      <c r="B471">
        <f>k_lo+k_rng*A471/1000</f>
        <v/>
      </c>
      <c r="C471">
        <f>(B471-k_mx)/k_sx</f>
        <v/>
      </c>
      <c r="D471">
        <f>k_p2_0+C471*(k_p2_1+C471*k_p2_2)</f>
        <v/>
      </c>
      <c r="E471">
        <f>k_p3_0+C471*(k_p3_1+C471*(k_p3_2+C471*k_p3_3))</f>
        <v/>
      </c>
      <c r="F471">
        <f>k_p4_0+C471*(k_p4_1+C471*(k_p4_2+C471*(k_p4_3+C471*k_p4_4)))</f>
        <v/>
      </c>
      <c r="G471">
        <f>k_ea+k_eb*EXP(k_ec*C471)</f>
        <v/>
      </c>
      <c r="H471">
        <f>(k_p2_1+2*k_p2_2*C471)/k_sx</f>
        <v/>
      </c>
      <c r="I471">
        <f>(k_p3_1+C471*(2*k_p3_2+3*k_p3_3*C471))/k_sx</f>
        <v/>
      </c>
      <c r="J471">
        <f>(k_p4_1+C471*(2*k_p4_2+C471*(3*k_p4_3+4*k_p4_4*C471)))/k_sx</f>
        <v/>
      </c>
      <c r="K471">
        <f>k_eb*k_ec*EXP(k_ec*C471)/k_sx</f>
        <v/>
      </c>
      <c r="L471">
        <f>(2*k_p4_2+C471*(6*k_p4_3+12*k_p4_4*C471))/k_sx^2</f>
        <v/>
      </c>
      <c r="M471">
        <f>D471/B471</f>
        <v/>
      </c>
      <c r="N471">
        <f>E471/B471</f>
        <v/>
      </c>
      <c r="O471">
        <f>F471/B471</f>
        <v/>
      </c>
      <c r="P471">
        <f>G471/B471</f>
        <v/>
      </c>
      <c r="Q471">
        <f>CHOOSE(k_model,D471,E471,F471,G471)</f>
        <v/>
      </c>
      <c r="R471">
        <f>CHOOSE(k_model,H471,I471,J471,K471)</f>
        <v/>
      </c>
    </row>
    <row r="472">
      <c r="A472" t="n">
        <v>470</v>
      </c>
      <c r="B472">
        <f>k_lo+k_rng*A472/1000</f>
        <v/>
      </c>
      <c r="C472">
        <f>(B472-k_mx)/k_sx</f>
        <v/>
      </c>
      <c r="D472">
        <f>k_p2_0+C472*(k_p2_1+C472*k_p2_2)</f>
        <v/>
      </c>
      <c r="E472">
        <f>k_p3_0+C472*(k_p3_1+C472*(k_p3_2+C472*k_p3_3))</f>
        <v/>
      </c>
      <c r="F472">
        <f>k_p4_0+C472*(k_p4_1+C472*(k_p4_2+C472*(k_p4_3+C472*k_p4_4)))</f>
        <v/>
      </c>
      <c r="G472">
        <f>k_ea+k_eb*EXP(k_ec*C472)</f>
        <v/>
      </c>
      <c r="H472">
        <f>(k_p2_1+2*k_p2_2*C472)/k_sx</f>
        <v/>
      </c>
      <c r="I472">
        <f>(k_p3_1+C472*(2*k_p3_2+3*k_p3_3*C472))/k_sx</f>
        <v/>
      </c>
      <c r="J472">
        <f>(k_p4_1+C472*(2*k_p4_2+C472*(3*k_p4_3+4*k_p4_4*C472)))/k_sx</f>
        <v/>
      </c>
      <c r="K472">
        <f>k_eb*k_ec*EXP(k_ec*C472)/k_sx</f>
        <v/>
      </c>
      <c r="L472">
        <f>(2*k_p4_2+C472*(6*k_p4_3+12*k_p4_4*C472))/k_sx^2</f>
        <v/>
      </c>
      <c r="M472">
        <f>D472/B472</f>
        <v/>
      </c>
      <c r="N472">
        <f>E472/B472</f>
        <v/>
      </c>
      <c r="O472">
        <f>F472/B472</f>
        <v/>
      </c>
      <c r="P472">
        <f>G472/B472</f>
        <v/>
      </c>
      <c r="Q472">
        <f>CHOOSE(k_model,D472,E472,F472,G472)</f>
        <v/>
      </c>
      <c r="R472">
        <f>CHOOSE(k_model,H472,I472,J472,K472)</f>
        <v/>
      </c>
    </row>
    <row r="473">
      <c r="A473" t="n">
        <v>471</v>
      </c>
      <c r="B473">
        <f>k_lo+k_rng*A473/1000</f>
        <v/>
      </c>
      <c r="C473">
        <f>(B473-k_mx)/k_sx</f>
        <v/>
      </c>
      <c r="D473">
        <f>k_p2_0+C473*(k_p2_1+C473*k_p2_2)</f>
        <v/>
      </c>
      <c r="E473">
        <f>k_p3_0+C473*(k_p3_1+C473*(k_p3_2+C473*k_p3_3))</f>
        <v/>
      </c>
      <c r="F473">
        <f>k_p4_0+C473*(k_p4_1+C473*(k_p4_2+C473*(k_p4_3+C473*k_p4_4)))</f>
        <v/>
      </c>
      <c r="G473">
        <f>k_ea+k_eb*EXP(k_ec*C473)</f>
        <v/>
      </c>
      <c r="H473">
        <f>(k_p2_1+2*k_p2_2*C473)/k_sx</f>
        <v/>
      </c>
      <c r="I473">
        <f>(k_p3_1+C473*(2*k_p3_2+3*k_p3_3*C473))/k_sx</f>
        <v/>
      </c>
      <c r="J473">
        <f>(k_p4_1+C473*(2*k_p4_2+C473*(3*k_p4_3+4*k_p4_4*C473)))/k_sx</f>
        <v/>
      </c>
      <c r="K473">
        <f>k_eb*k_ec*EXP(k_ec*C473)/k_sx</f>
        <v/>
      </c>
      <c r="L473">
        <f>(2*k_p4_2+C473*(6*k_p4_3+12*k_p4_4*C473))/k_sx^2</f>
        <v/>
      </c>
      <c r="M473">
        <f>D473/B473</f>
        <v/>
      </c>
      <c r="N473">
        <f>E473/B473</f>
        <v/>
      </c>
      <c r="O473">
        <f>F473/B473</f>
        <v/>
      </c>
      <c r="P473">
        <f>G473/B473</f>
        <v/>
      </c>
      <c r="Q473">
        <f>CHOOSE(k_model,D473,E473,F473,G473)</f>
        <v/>
      </c>
      <c r="R473">
        <f>CHOOSE(k_model,H473,I473,J473,K473)</f>
        <v/>
      </c>
    </row>
    <row r="474">
      <c r="A474" t="n">
        <v>472</v>
      </c>
      <c r="B474">
        <f>k_lo+k_rng*A474/1000</f>
        <v/>
      </c>
      <c r="C474">
        <f>(B474-k_mx)/k_sx</f>
        <v/>
      </c>
      <c r="D474">
        <f>k_p2_0+C474*(k_p2_1+C474*k_p2_2)</f>
        <v/>
      </c>
      <c r="E474">
        <f>k_p3_0+C474*(k_p3_1+C474*(k_p3_2+C474*k_p3_3))</f>
        <v/>
      </c>
      <c r="F474">
        <f>k_p4_0+C474*(k_p4_1+C474*(k_p4_2+C474*(k_p4_3+C474*k_p4_4)))</f>
        <v/>
      </c>
      <c r="G474">
        <f>k_ea+k_eb*EXP(k_ec*C474)</f>
        <v/>
      </c>
      <c r="H474">
        <f>(k_p2_1+2*k_p2_2*C474)/k_sx</f>
        <v/>
      </c>
      <c r="I474">
        <f>(k_p3_1+C474*(2*k_p3_2+3*k_p3_3*C474))/k_sx</f>
        <v/>
      </c>
      <c r="J474">
        <f>(k_p4_1+C474*(2*k_p4_2+C474*(3*k_p4_3+4*k_p4_4*C474)))/k_sx</f>
        <v/>
      </c>
      <c r="K474">
        <f>k_eb*k_ec*EXP(k_ec*C474)/k_sx</f>
        <v/>
      </c>
      <c r="L474">
        <f>(2*k_p4_2+C474*(6*k_p4_3+12*k_p4_4*C474))/k_sx^2</f>
        <v/>
      </c>
      <c r="M474">
        <f>D474/B474</f>
        <v/>
      </c>
      <c r="N474">
        <f>E474/B474</f>
        <v/>
      </c>
      <c r="O474">
        <f>F474/B474</f>
        <v/>
      </c>
      <c r="P474">
        <f>G474/B474</f>
        <v/>
      </c>
      <c r="Q474">
        <f>CHOOSE(k_model,D474,E474,F474,G474)</f>
        <v/>
      </c>
      <c r="R474">
        <f>CHOOSE(k_model,H474,I474,J474,K474)</f>
        <v/>
      </c>
    </row>
    <row r="475">
      <c r="A475" t="n">
        <v>473</v>
      </c>
      <c r="B475">
        <f>k_lo+k_rng*A475/1000</f>
        <v/>
      </c>
      <c r="C475">
        <f>(B475-k_mx)/k_sx</f>
        <v/>
      </c>
      <c r="D475">
        <f>k_p2_0+C475*(k_p2_1+C475*k_p2_2)</f>
        <v/>
      </c>
      <c r="E475">
        <f>k_p3_0+C475*(k_p3_1+C475*(k_p3_2+C475*k_p3_3))</f>
        <v/>
      </c>
      <c r="F475">
        <f>k_p4_0+C475*(k_p4_1+C475*(k_p4_2+C475*(k_p4_3+C475*k_p4_4)))</f>
        <v/>
      </c>
      <c r="G475">
        <f>k_ea+k_eb*EXP(k_ec*C475)</f>
        <v/>
      </c>
      <c r="H475">
        <f>(k_p2_1+2*k_p2_2*C475)/k_sx</f>
        <v/>
      </c>
      <c r="I475">
        <f>(k_p3_1+C475*(2*k_p3_2+3*k_p3_3*C475))/k_sx</f>
        <v/>
      </c>
      <c r="J475">
        <f>(k_p4_1+C475*(2*k_p4_2+C475*(3*k_p4_3+4*k_p4_4*C475)))/k_sx</f>
        <v/>
      </c>
      <c r="K475">
        <f>k_eb*k_ec*EXP(k_ec*C475)/k_sx</f>
        <v/>
      </c>
      <c r="L475">
        <f>(2*k_p4_2+C475*(6*k_p4_3+12*k_p4_4*C475))/k_sx^2</f>
        <v/>
      </c>
      <c r="M475">
        <f>D475/B475</f>
        <v/>
      </c>
      <c r="N475">
        <f>E475/B475</f>
        <v/>
      </c>
      <c r="O475">
        <f>F475/B475</f>
        <v/>
      </c>
      <c r="P475">
        <f>G475/B475</f>
        <v/>
      </c>
      <c r="Q475">
        <f>CHOOSE(k_model,D475,E475,F475,G475)</f>
        <v/>
      </c>
      <c r="R475">
        <f>CHOOSE(k_model,H475,I475,J475,K475)</f>
        <v/>
      </c>
    </row>
    <row r="476">
      <c r="A476" t="n">
        <v>474</v>
      </c>
      <c r="B476">
        <f>k_lo+k_rng*A476/1000</f>
        <v/>
      </c>
      <c r="C476">
        <f>(B476-k_mx)/k_sx</f>
        <v/>
      </c>
      <c r="D476">
        <f>k_p2_0+C476*(k_p2_1+C476*k_p2_2)</f>
        <v/>
      </c>
      <c r="E476">
        <f>k_p3_0+C476*(k_p3_1+C476*(k_p3_2+C476*k_p3_3))</f>
        <v/>
      </c>
      <c r="F476">
        <f>k_p4_0+C476*(k_p4_1+C476*(k_p4_2+C476*(k_p4_3+C476*k_p4_4)))</f>
        <v/>
      </c>
      <c r="G476">
        <f>k_ea+k_eb*EXP(k_ec*C476)</f>
        <v/>
      </c>
      <c r="H476">
        <f>(k_p2_1+2*k_p2_2*C476)/k_sx</f>
        <v/>
      </c>
      <c r="I476">
        <f>(k_p3_1+C476*(2*k_p3_2+3*k_p3_3*C476))/k_sx</f>
        <v/>
      </c>
      <c r="J476">
        <f>(k_p4_1+C476*(2*k_p4_2+C476*(3*k_p4_3+4*k_p4_4*C476)))/k_sx</f>
        <v/>
      </c>
      <c r="K476">
        <f>k_eb*k_ec*EXP(k_ec*C476)/k_sx</f>
        <v/>
      </c>
      <c r="L476">
        <f>(2*k_p4_2+C476*(6*k_p4_3+12*k_p4_4*C476))/k_sx^2</f>
        <v/>
      </c>
      <c r="M476">
        <f>D476/B476</f>
        <v/>
      </c>
      <c r="N476">
        <f>E476/B476</f>
        <v/>
      </c>
      <c r="O476">
        <f>F476/B476</f>
        <v/>
      </c>
      <c r="P476">
        <f>G476/B476</f>
        <v/>
      </c>
      <c r="Q476">
        <f>CHOOSE(k_model,D476,E476,F476,G476)</f>
        <v/>
      </c>
      <c r="R476">
        <f>CHOOSE(k_model,H476,I476,J476,K476)</f>
        <v/>
      </c>
    </row>
    <row r="477">
      <c r="A477" t="n">
        <v>475</v>
      </c>
      <c r="B477">
        <f>k_lo+k_rng*A477/1000</f>
        <v/>
      </c>
      <c r="C477">
        <f>(B477-k_mx)/k_sx</f>
        <v/>
      </c>
      <c r="D477">
        <f>k_p2_0+C477*(k_p2_1+C477*k_p2_2)</f>
        <v/>
      </c>
      <c r="E477">
        <f>k_p3_0+C477*(k_p3_1+C477*(k_p3_2+C477*k_p3_3))</f>
        <v/>
      </c>
      <c r="F477">
        <f>k_p4_0+C477*(k_p4_1+C477*(k_p4_2+C477*(k_p4_3+C477*k_p4_4)))</f>
        <v/>
      </c>
      <c r="G477">
        <f>k_ea+k_eb*EXP(k_ec*C477)</f>
        <v/>
      </c>
      <c r="H477">
        <f>(k_p2_1+2*k_p2_2*C477)/k_sx</f>
        <v/>
      </c>
      <c r="I477">
        <f>(k_p3_1+C477*(2*k_p3_2+3*k_p3_3*C477))/k_sx</f>
        <v/>
      </c>
      <c r="J477">
        <f>(k_p4_1+C477*(2*k_p4_2+C477*(3*k_p4_3+4*k_p4_4*C477)))/k_sx</f>
        <v/>
      </c>
      <c r="K477">
        <f>k_eb*k_ec*EXP(k_ec*C477)/k_sx</f>
        <v/>
      </c>
      <c r="L477">
        <f>(2*k_p4_2+C477*(6*k_p4_3+12*k_p4_4*C477))/k_sx^2</f>
        <v/>
      </c>
      <c r="M477">
        <f>D477/B477</f>
        <v/>
      </c>
      <c r="N477">
        <f>E477/B477</f>
        <v/>
      </c>
      <c r="O477">
        <f>F477/B477</f>
        <v/>
      </c>
      <c r="P477">
        <f>G477/B477</f>
        <v/>
      </c>
      <c r="Q477">
        <f>CHOOSE(k_model,D477,E477,F477,G477)</f>
        <v/>
      </c>
      <c r="R477">
        <f>CHOOSE(k_model,H477,I477,J477,K477)</f>
        <v/>
      </c>
    </row>
    <row r="478">
      <c r="A478" t="n">
        <v>476</v>
      </c>
      <c r="B478">
        <f>k_lo+k_rng*A478/1000</f>
        <v/>
      </c>
      <c r="C478">
        <f>(B478-k_mx)/k_sx</f>
        <v/>
      </c>
      <c r="D478">
        <f>k_p2_0+C478*(k_p2_1+C478*k_p2_2)</f>
        <v/>
      </c>
      <c r="E478">
        <f>k_p3_0+C478*(k_p3_1+C478*(k_p3_2+C478*k_p3_3))</f>
        <v/>
      </c>
      <c r="F478">
        <f>k_p4_0+C478*(k_p4_1+C478*(k_p4_2+C478*(k_p4_3+C478*k_p4_4)))</f>
        <v/>
      </c>
      <c r="G478">
        <f>k_ea+k_eb*EXP(k_ec*C478)</f>
        <v/>
      </c>
      <c r="H478">
        <f>(k_p2_1+2*k_p2_2*C478)/k_sx</f>
        <v/>
      </c>
      <c r="I478">
        <f>(k_p3_1+C478*(2*k_p3_2+3*k_p3_3*C478))/k_sx</f>
        <v/>
      </c>
      <c r="J478">
        <f>(k_p4_1+C478*(2*k_p4_2+C478*(3*k_p4_3+4*k_p4_4*C478)))/k_sx</f>
        <v/>
      </c>
      <c r="K478">
        <f>k_eb*k_ec*EXP(k_ec*C478)/k_sx</f>
        <v/>
      </c>
      <c r="L478">
        <f>(2*k_p4_2+C478*(6*k_p4_3+12*k_p4_4*C478))/k_sx^2</f>
        <v/>
      </c>
      <c r="M478">
        <f>D478/B478</f>
        <v/>
      </c>
      <c r="N478">
        <f>E478/B478</f>
        <v/>
      </c>
      <c r="O478">
        <f>F478/B478</f>
        <v/>
      </c>
      <c r="P478">
        <f>G478/B478</f>
        <v/>
      </c>
      <c r="Q478">
        <f>CHOOSE(k_model,D478,E478,F478,G478)</f>
        <v/>
      </c>
      <c r="R478">
        <f>CHOOSE(k_model,H478,I478,J478,K478)</f>
        <v/>
      </c>
    </row>
    <row r="479">
      <c r="A479" t="n">
        <v>477</v>
      </c>
      <c r="B479">
        <f>k_lo+k_rng*A479/1000</f>
        <v/>
      </c>
      <c r="C479">
        <f>(B479-k_mx)/k_sx</f>
        <v/>
      </c>
      <c r="D479">
        <f>k_p2_0+C479*(k_p2_1+C479*k_p2_2)</f>
        <v/>
      </c>
      <c r="E479">
        <f>k_p3_0+C479*(k_p3_1+C479*(k_p3_2+C479*k_p3_3))</f>
        <v/>
      </c>
      <c r="F479">
        <f>k_p4_0+C479*(k_p4_1+C479*(k_p4_2+C479*(k_p4_3+C479*k_p4_4)))</f>
        <v/>
      </c>
      <c r="G479">
        <f>k_ea+k_eb*EXP(k_ec*C479)</f>
        <v/>
      </c>
      <c r="H479">
        <f>(k_p2_1+2*k_p2_2*C479)/k_sx</f>
        <v/>
      </c>
      <c r="I479">
        <f>(k_p3_1+C479*(2*k_p3_2+3*k_p3_3*C479))/k_sx</f>
        <v/>
      </c>
      <c r="J479">
        <f>(k_p4_1+C479*(2*k_p4_2+C479*(3*k_p4_3+4*k_p4_4*C479)))/k_sx</f>
        <v/>
      </c>
      <c r="K479">
        <f>k_eb*k_ec*EXP(k_ec*C479)/k_sx</f>
        <v/>
      </c>
      <c r="L479">
        <f>(2*k_p4_2+C479*(6*k_p4_3+12*k_p4_4*C479))/k_sx^2</f>
        <v/>
      </c>
      <c r="M479">
        <f>D479/B479</f>
        <v/>
      </c>
      <c r="N479">
        <f>E479/B479</f>
        <v/>
      </c>
      <c r="O479">
        <f>F479/B479</f>
        <v/>
      </c>
      <c r="P479">
        <f>G479/B479</f>
        <v/>
      </c>
      <c r="Q479">
        <f>CHOOSE(k_model,D479,E479,F479,G479)</f>
        <v/>
      </c>
      <c r="R479">
        <f>CHOOSE(k_model,H479,I479,J479,K479)</f>
        <v/>
      </c>
    </row>
    <row r="480">
      <c r="A480" t="n">
        <v>478</v>
      </c>
      <c r="B480">
        <f>k_lo+k_rng*A480/1000</f>
        <v/>
      </c>
      <c r="C480">
        <f>(B480-k_mx)/k_sx</f>
        <v/>
      </c>
      <c r="D480">
        <f>k_p2_0+C480*(k_p2_1+C480*k_p2_2)</f>
        <v/>
      </c>
      <c r="E480">
        <f>k_p3_0+C480*(k_p3_1+C480*(k_p3_2+C480*k_p3_3))</f>
        <v/>
      </c>
      <c r="F480">
        <f>k_p4_0+C480*(k_p4_1+C480*(k_p4_2+C480*(k_p4_3+C480*k_p4_4)))</f>
        <v/>
      </c>
      <c r="G480">
        <f>k_ea+k_eb*EXP(k_ec*C480)</f>
        <v/>
      </c>
      <c r="H480">
        <f>(k_p2_1+2*k_p2_2*C480)/k_sx</f>
        <v/>
      </c>
      <c r="I480">
        <f>(k_p3_1+C480*(2*k_p3_2+3*k_p3_3*C480))/k_sx</f>
        <v/>
      </c>
      <c r="J480">
        <f>(k_p4_1+C480*(2*k_p4_2+C480*(3*k_p4_3+4*k_p4_4*C480)))/k_sx</f>
        <v/>
      </c>
      <c r="K480">
        <f>k_eb*k_ec*EXP(k_ec*C480)/k_sx</f>
        <v/>
      </c>
      <c r="L480">
        <f>(2*k_p4_2+C480*(6*k_p4_3+12*k_p4_4*C480))/k_sx^2</f>
        <v/>
      </c>
      <c r="M480">
        <f>D480/B480</f>
        <v/>
      </c>
      <c r="N480">
        <f>E480/B480</f>
        <v/>
      </c>
      <c r="O480">
        <f>F480/B480</f>
        <v/>
      </c>
      <c r="P480">
        <f>G480/B480</f>
        <v/>
      </c>
      <c r="Q480">
        <f>CHOOSE(k_model,D480,E480,F480,G480)</f>
        <v/>
      </c>
      <c r="R480">
        <f>CHOOSE(k_model,H480,I480,J480,K480)</f>
        <v/>
      </c>
    </row>
    <row r="481">
      <c r="A481" t="n">
        <v>479</v>
      </c>
      <c r="B481">
        <f>k_lo+k_rng*A481/1000</f>
        <v/>
      </c>
      <c r="C481">
        <f>(B481-k_mx)/k_sx</f>
        <v/>
      </c>
      <c r="D481">
        <f>k_p2_0+C481*(k_p2_1+C481*k_p2_2)</f>
        <v/>
      </c>
      <c r="E481">
        <f>k_p3_0+C481*(k_p3_1+C481*(k_p3_2+C481*k_p3_3))</f>
        <v/>
      </c>
      <c r="F481">
        <f>k_p4_0+C481*(k_p4_1+C481*(k_p4_2+C481*(k_p4_3+C481*k_p4_4)))</f>
        <v/>
      </c>
      <c r="G481">
        <f>k_ea+k_eb*EXP(k_ec*C481)</f>
        <v/>
      </c>
      <c r="H481">
        <f>(k_p2_1+2*k_p2_2*C481)/k_sx</f>
        <v/>
      </c>
      <c r="I481">
        <f>(k_p3_1+C481*(2*k_p3_2+3*k_p3_3*C481))/k_sx</f>
        <v/>
      </c>
      <c r="J481">
        <f>(k_p4_1+C481*(2*k_p4_2+C481*(3*k_p4_3+4*k_p4_4*C481)))/k_sx</f>
        <v/>
      </c>
      <c r="K481">
        <f>k_eb*k_ec*EXP(k_ec*C481)/k_sx</f>
        <v/>
      </c>
      <c r="L481">
        <f>(2*k_p4_2+C481*(6*k_p4_3+12*k_p4_4*C481))/k_sx^2</f>
        <v/>
      </c>
      <c r="M481">
        <f>D481/B481</f>
        <v/>
      </c>
      <c r="N481">
        <f>E481/B481</f>
        <v/>
      </c>
      <c r="O481">
        <f>F481/B481</f>
        <v/>
      </c>
      <c r="P481">
        <f>G481/B481</f>
        <v/>
      </c>
      <c r="Q481">
        <f>CHOOSE(k_model,D481,E481,F481,G481)</f>
        <v/>
      </c>
      <c r="R481">
        <f>CHOOSE(k_model,H481,I481,J481,K481)</f>
        <v/>
      </c>
    </row>
    <row r="482">
      <c r="A482" t="n">
        <v>480</v>
      </c>
      <c r="B482">
        <f>k_lo+k_rng*A482/1000</f>
        <v/>
      </c>
      <c r="C482">
        <f>(B482-k_mx)/k_sx</f>
        <v/>
      </c>
      <c r="D482">
        <f>k_p2_0+C482*(k_p2_1+C482*k_p2_2)</f>
        <v/>
      </c>
      <c r="E482">
        <f>k_p3_0+C482*(k_p3_1+C482*(k_p3_2+C482*k_p3_3))</f>
        <v/>
      </c>
      <c r="F482">
        <f>k_p4_0+C482*(k_p4_1+C482*(k_p4_2+C482*(k_p4_3+C482*k_p4_4)))</f>
        <v/>
      </c>
      <c r="G482">
        <f>k_ea+k_eb*EXP(k_ec*C482)</f>
        <v/>
      </c>
      <c r="H482">
        <f>(k_p2_1+2*k_p2_2*C482)/k_sx</f>
        <v/>
      </c>
      <c r="I482">
        <f>(k_p3_1+C482*(2*k_p3_2+3*k_p3_3*C482))/k_sx</f>
        <v/>
      </c>
      <c r="J482">
        <f>(k_p4_1+C482*(2*k_p4_2+C482*(3*k_p4_3+4*k_p4_4*C482)))/k_sx</f>
        <v/>
      </c>
      <c r="K482">
        <f>k_eb*k_ec*EXP(k_ec*C482)/k_sx</f>
        <v/>
      </c>
      <c r="L482">
        <f>(2*k_p4_2+C482*(6*k_p4_3+12*k_p4_4*C482))/k_sx^2</f>
        <v/>
      </c>
      <c r="M482">
        <f>D482/B482</f>
        <v/>
      </c>
      <c r="N482">
        <f>E482/B482</f>
        <v/>
      </c>
      <c r="O482">
        <f>F482/B482</f>
        <v/>
      </c>
      <c r="P482">
        <f>G482/B482</f>
        <v/>
      </c>
      <c r="Q482">
        <f>CHOOSE(k_model,D482,E482,F482,G482)</f>
        <v/>
      </c>
      <c r="R482">
        <f>CHOOSE(k_model,H482,I482,J482,K482)</f>
        <v/>
      </c>
    </row>
    <row r="483">
      <c r="A483" t="n">
        <v>481</v>
      </c>
      <c r="B483">
        <f>k_lo+k_rng*A483/1000</f>
        <v/>
      </c>
      <c r="C483">
        <f>(B483-k_mx)/k_sx</f>
        <v/>
      </c>
      <c r="D483">
        <f>k_p2_0+C483*(k_p2_1+C483*k_p2_2)</f>
        <v/>
      </c>
      <c r="E483">
        <f>k_p3_0+C483*(k_p3_1+C483*(k_p3_2+C483*k_p3_3))</f>
        <v/>
      </c>
      <c r="F483">
        <f>k_p4_0+C483*(k_p4_1+C483*(k_p4_2+C483*(k_p4_3+C483*k_p4_4)))</f>
        <v/>
      </c>
      <c r="G483">
        <f>k_ea+k_eb*EXP(k_ec*C483)</f>
        <v/>
      </c>
      <c r="H483">
        <f>(k_p2_1+2*k_p2_2*C483)/k_sx</f>
        <v/>
      </c>
      <c r="I483">
        <f>(k_p3_1+C483*(2*k_p3_2+3*k_p3_3*C483))/k_sx</f>
        <v/>
      </c>
      <c r="J483">
        <f>(k_p4_1+C483*(2*k_p4_2+C483*(3*k_p4_3+4*k_p4_4*C483)))/k_sx</f>
        <v/>
      </c>
      <c r="K483">
        <f>k_eb*k_ec*EXP(k_ec*C483)/k_sx</f>
        <v/>
      </c>
      <c r="L483">
        <f>(2*k_p4_2+C483*(6*k_p4_3+12*k_p4_4*C483))/k_sx^2</f>
        <v/>
      </c>
      <c r="M483">
        <f>D483/B483</f>
        <v/>
      </c>
      <c r="N483">
        <f>E483/B483</f>
        <v/>
      </c>
      <c r="O483">
        <f>F483/B483</f>
        <v/>
      </c>
      <c r="P483">
        <f>G483/B483</f>
        <v/>
      </c>
      <c r="Q483">
        <f>CHOOSE(k_model,D483,E483,F483,G483)</f>
        <v/>
      </c>
      <c r="R483">
        <f>CHOOSE(k_model,H483,I483,J483,K483)</f>
        <v/>
      </c>
    </row>
    <row r="484">
      <c r="A484" t="n">
        <v>482</v>
      </c>
      <c r="B484">
        <f>k_lo+k_rng*A484/1000</f>
        <v/>
      </c>
      <c r="C484">
        <f>(B484-k_mx)/k_sx</f>
        <v/>
      </c>
      <c r="D484">
        <f>k_p2_0+C484*(k_p2_1+C484*k_p2_2)</f>
        <v/>
      </c>
      <c r="E484">
        <f>k_p3_0+C484*(k_p3_1+C484*(k_p3_2+C484*k_p3_3))</f>
        <v/>
      </c>
      <c r="F484">
        <f>k_p4_0+C484*(k_p4_1+C484*(k_p4_2+C484*(k_p4_3+C484*k_p4_4)))</f>
        <v/>
      </c>
      <c r="G484">
        <f>k_ea+k_eb*EXP(k_ec*C484)</f>
        <v/>
      </c>
      <c r="H484">
        <f>(k_p2_1+2*k_p2_2*C484)/k_sx</f>
        <v/>
      </c>
      <c r="I484">
        <f>(k_p3_1+C484*(2*k_p3_2+3*k_p3_3*C484))/k_sx</f>
        <v/>
      </c>
      <c r="J484">
        <f>(k_p4_1+C484*(2*k_p4_2+C484*(3*k_p4_3+4*k_p4_4*C484)))/k_sx</f>
        <v/>
      </c>
      <c r="K484">
        <f>k_eb*k_ec*EXP(k_ec*C484)/k_sx</f>
        <v/>
      </c>
      <c r="L484">
        <f>(2*k_p4_2+C484*(6*k_p4_3+12*k_p4_4*C484))/k_sx^2</f>
        <v/>
      </c>
      <c r="M484">
        <f>D484/B484</f>
        <v/>
      </c>
      <c r="N484">
        <f>E484/B484</f>
        <v/>
      </c>
      <c r="O484">
        <f>F484/B484</f>
        <v/>
      </c>
      <c r="P484">
        <f>G484/B484</f>
        <v/>
      </c>
      <c r="Q484">
        <f>CHOOSE(k_model,D484,E484,F484,G484)</f>
        <v/>
      </c>
      <c r="R484">
        <f>CHOOSE(k_model,H484,I484,J484,K484)</f>
        <v/>
      </c>
    </row>
    <row r="485">
      <c r="A485" t="n">
        <v>483</v>
      </c>
      <c r="B485">
        <f>k_lo+k_rng*A485/1000</f>
        <v/>
      </c>
      <c r="C485">
        <f>(B485-k_mx)/k_sx</f>
        <v/>
      </c>
      <c r="D485">
        <f>k_p2_0+C485*(k_p2_1+C485*k_p2_2)</f>
        <v/>
      </c>
      <c r="E485">
        <f>k_p3_0+C485*(k_p3_1+C485*(k_p3_2+C485*k_p3_3))</f>
        <v/>
      </c>
      <c r="F485">
        <f>k_p4_0+C485*(k_p4_1+C485*(k_p4_2+C485*(k_p4_3+C485*k_p4_4)))</f>
        <v/>
      </c>
      <c r="G485">
        <f>k_ea+k_eb*EXP(k_ec*C485)</f>
        <v/>
      </c>
      <c r="H485">
        <f>(k_p2_1+2*k_p2_2*C485)/k_sx</f>
        <v/>
      </c>
      <c r="I485">
        <f>(k_p3_1+C485*(2*k_p3_2+3*k_p3_3*C485))/k_sx</f>
        <v/>
      </c>
      <c r="J485">
        <f>(k_p4_1+C485*(2*k_p4_2+C485*(3*k_p4_3+4*k_p4_4*C485)))/k_sx</f>
        <v/>
      </c>
      <c r="K485">
        <f>k_eb*k_ec*EXP(k_ec*C485)/k_sx</f>
        <v/>
      </c>
      <c r="L485">
        <f>(2*k_p4_2+C485*(6*k_p4_3+12*k_p4_4*C485))/k_sx^2</f>
        <v/>
      </c>
      <c r="M485">
        <f>D485/B485</f>
        <v/>
      </c>
      <c r="N485">
        <f>E485/B485</f>
        <v/>
      </c>
      <c r="O485">
        <f>F485/B485</f>
        <v/>
      </c>
      <c r="P485">
        <f>G485/B485</f>
        <v/>
      </c>
      <c r="Q485">
        <f>CHOOSE(k_model,D485,E485,F485,G485)</f>
        <v/>
      </c>
      <c r="R485">
        <f>CHOOSE(k_model,H485,I485,J485,K485)</f>
        <v/>
      </c>
    </row>
    <row r="486">
      <c r="A486" t="n">
        <v>484</v>
      </c>
      <c r="B486">
        <f>k_lo+k_rng*A486/1000</f>
        <v/>
      </c>
      <c r="C486">
        <f>(B486-k_mx)/k_sx</f>
        <v/>
      </c>
      <c r="D486">
        <f>k_p2_0+C486*(k_p2_1+C486*k_p2_2)</f>
        <v/>
      </c>
      <c r="E486">
        <f>k_p3_0+C486*(k_p3_1+C486*(k_p3_2+C486*k_p3_3))</f>
        <v/>
      </c>
      <c r="F486">
        <f>k_p4_0+C486*(k_p4_1+C486*(k_p4_2+C486*(k_p4_3+C486*k_p4_4)))</f>
        <v/>
      </c>
      <c r="G486">
        <f>k_ea+k_eb*EXP(k_ec*C486)</f>
        <v/>
      </c>
      <c r="H486">
        <f>(k_p2_1+2*k_p2_2*C486)/k_sx</f>
        <v/>
      </c>
      <c r="I486">
        <f>(k_p3_1+C486*(2*k_p3_2+3*k_p3_3*C486))/k_sx</f>
        <v/>
      </c>
      <c r="J486">
        <f>(k_p4_1+C486*(2*k_p4_2+C486*(3*k_p4_3+4*k_p4_4*C486)))/k_sx</f>
        <v/>
      </c>
      <c r="K486">
        <f>k_eb*k_ec*EXP(k_ec*C486)/k_sx</f>
        <v/>
      </c>
      <c r="L486">
        <f>(2*k_p4_2+C486*(6*k_p4_3+12*k_p4_4*C486))/k_sx^2</f>
        <v/>
      </c>
      <c r="M486">
        <f>D486/B486</f>
        <v/>
      </c>
      <c r="N486">
        <f>E486/B486</f>
        <v/>
      </c>
      <c r="O486">
        <f>F486/B486</f>
        <v/>
      </c>
      <c r="P486">
        <f>G486/B486</f>
        <v/>
      </c>
      <c r="Q486">
        <f>CHOOSE(k_model,D486,E486,F486,G486)</f>
        <v/>
      </c>
      <c r="R486">
        <f>CHOOSE(k_model,H486,I486,J486,K486)</f>
        <v/>
      </c>
    </row>
    <row r="487">
      <c r="A487" t="n">
        <v>485</v>
      </c>
      <c r="B487">
        <f>k_lo+k_rng*A487/1000</f>
        <v/>
      </c>
      <c r="C487">
        <f>(B487-k_mx)/k_sx</f>
        <v/>
      </c>
      <c r="D487">
        <f>k_p2_0+C487*(k_p2_1+C487*k_p2_2)</f>
        <v/>
      </c>
      <c r="E487">
        <f>k_p3_0+C487*(k_p3_1+C487*(k_p3_2+C487*k_p3_3))</f>
        <v/>
      </c>
      <c r="F487">
        <f>k_p4_0+C487*(k_p4_1+C487*(k_p4_2+C487*(k_p4_3+C487*k_p4_4)))</f>
        <v/>
      </c>
      <c r="G487">
        <f>k_ea+k_eb*EXP(k_ec*C487)</f>
        <v/>
      </c>
      <c r="H487">
        <f>(k_p2_1+2*k_p2_2*C487)/k_sx</f>
        <v/>
      </c>
      <c r="I487">
        <f>(k_p3_1+C487*(2*k_p3_2+3*k_p3_3*C487))/k_sx</f>
        <v/>
      </c>
      <c r="J487">
        <f>(k_p4_1+C487*(2*k_p4_2+C487*(3*k_p4_3+4*k_p4_4*C487)))/k_sx</f>
        <v/>
      </c>
      <c r="K487">
        <f>k_eb*k_ec*EXP(k_ec*C487)/k_sx</f>
        <v/>
      </c>
      <c r="L487">
        <f>(2*k_p4_2+C487*(6*k_p4_3+12*k_p4_4*C487))/k_sx^2</f>
        <v/>
      </c>
      <c r="M487">
        <f>D487/B487</f>
        <v/>
      </c>
      <c r="N487">
        <f>E487/B487</f>
        <v/>
      </c>
      <c r="O487">
        <f>F487/B487</f>
        <v/>
      </c>
      <c r="P487">
        <f>G487/B487</f>
        <v/>
      </c>
      <c r="Q487">
        <f>CHOOSE(k_model,D487,E487,F487,G487)</f>
        <v/>
      </c>
      <c r="R487">
        <f>CHOOSE(k_model,H487,I487,J487,K487)</f>
        <v/>
      </c>
    </row>
    <row r="488">
      <c r="A488" t="n">
        <v>486</v>
      </c>
      <c r="B488">
        <f>k_lo+k_rng*A488/1000</f>
        <v/>
      </c>
      <c r="C488">
        <f>(B488-k_mx)/k_sx</f>
        <v/>
      </c>
      <c r="D488">
        <f>k_p2_0+C488*(k_p2_1+C488*k_p2_2)</f>
        <v/>
      </c>
      <c r="E488">
        <f>k_p3_0+C488*(k_p3_1+C488*(k_p3_2+C488*k_p3_3))</f>
        <v/>
      </c>
      <c r="F488">
        <f>k_p4_0+C488*(k_p4_1+C488*(k_p4_2+C488*(k_p4_3+C488*k_p4_4)))</f>
        <v/>
      </c>
      <c r="G488">
        <f>k_ea+k_eb*EXP(k_ec*C488)</f>
        <v/>
      </c>
      <c r="H488">
        <f>(k_p2_1+2*k_p2_2*C488)/k_sx</f>
        <v/>
      </c>
      <c r="I488">
        <f>(k_p3_1+C488*(2*k_p3_2+3*k_p3_3*C488))/k_sx</f>
        <v/>
      </c>
      <c r="J488">
        <f>(k_p4_1+C488*(2*k_p4_2+C488*(3*k_p4_3+4*k_p4_4*C488)))/k_sx</f>
        <v/>
      </c>
      <c r="K488">
        <f>k_eb*k_ec*EXP(k_ec*C488)/k_sx</f>
        <v/>
      </c>
      <c r="L488">
        <f>(2*k_p4_2+C488*(6*k_p4_3+12*k_p4_4*C488))/k_sx^2</f>
        <v/>
      </c>
      <c r="M488">
        <f>D488/B488</f>
        <v/>
      </c>
      <c r="N488">
        <f>E488/B488</f>
        <v/>
      </c>
      <c r="O488">
        <f>F488/B488</f>
        <v/>
      </c>
      <c r="P488">
        <f>G488/B488</f>
        <v/>
      </c>
      <c r="Q488">
        <f>CHOOSE(k_model,D488,E488,F488,G488)</f>
        <v/>
      </c>
      <c r="R488">
        <f>CHOOSE(k_model,H488,I488,J488,K488)</f>
        <v/>
      </c>
    </row>
    <row r="489">
      <c r="A489" t="n">
        <v>487</v>
      </c>
      <c r="B489">
        <f>k_lo+k_rng*A489/1000</f>
        <v/>
      </c>
      <c r="C489">
        <f>(B489-k_mx)/k_sx</f>
        <v/>
      </c>
      <c r="D489">
        <f>k_p2_0+C489*(k_p2_1+C489*k_p2_2)</f>
        <v/>
      </c>
      <c r="E489">
        <f>k_p3_0+C489*(k_p3_1+C489*(k_p3_2+C489*k_p3_3))</f>
        <v/>
      </c>
      <c r="F489">
        <f>k_p4_0+C489*(k_p4_1+C489*(k_p4_2+C489*(k_p4_3+C489*k_p4_4)))</f>
        <v/>
      </c>
      <c r="G489">
        <f>k_ea+k_eb*EXP(k_ec*C489)</f>
        <v/>
      </c>
      <c r="H489">
        <f>(k_p2_1+2*k_p2_2*C489)/k_sx</f>
        <v/>
      </c>
      <c r="I489">
        <f>(k_p3_1+C489*(2*k_p3_2+3*k_p3_3*C489))/k_sx</f>
        <v/>
      </c>
      <c r="J489">
        <f>(k_p4_1+C489*(2*k_p4_2+C489*(3*k_p4_3+4*k_p4_4*C489)))/k_sx</f>
        <v/>
      </c>
      <c r="K489">
        <f>k_eb*k_ec*EXP(k_ec*C489)/k_sx</f>
        <v/>
      </c>
      <c r="L489">
        <f>(2*k_p4_2+C489*(6*k_p4_3+12*k_p4_4*C489))/k_sx^2</f>
        <v/>
      </c>
      <c r="M489">
        <f>D489/B489</f>
        <v/>
      </c>
      <c r="N489">
        <f>E489/B489</f>
        <v/>
      </c>
      <c r="O489">
        <f>F489/B489</f>
        <v/>
      </c>
      <c r="P489">
        <f>G489/B489</f>
        <v/>
      </c>
      <c r="Q489">
        <f>CHOOSE(k_model,D489,E489,F489,G489)</f>
        <v/>
      </c>
      <c r="R489">
        <f>CHOOSE(k_model,H489,I489,J489,K489)</f>
        <v/>
      </c>
    </row>
    <row r="490">
      <c r="A490" t="n">
        <v>488</v>
      </c>
      <c r="B490">
        <f>k_lo+k_rng*A490/1000</f>
        <v/>
      </c>
      <c r="C490">
        <f>(B490-k_mx)/k_sx</f>
        <v/>
      </c>
      <c r="D490">
        <f>k_p2_0+C490*(k_p2_1+C490*k_p2_2)</f>
        <v/>
      </c>
      <c r="E490">
        <f>k_p3_0+C490*(k_p3_1+C490*(k_p3_2+C490*k_p3_3))</f>
        <v/>
      </c>
      <c r="F490">
        <f>k_p4_0+C490*(k_p4_1+C490*(k_p4_2+C490*(k_p4_3+C490*k_p4_4)))</f>
        <v/>
      </c>
      <c r="G490">
        <f>k_ea+k_eb*EXP(k_ec*C490)</f>
        <v/>
      </c>
      <c r="H490">
        <f>(k_p2_1+2*k_p2_2*C490)/k_sx</f>
        <v/>
      </c>
      <c r="I490">
        <f>(k_p3_1+C490*(2*k_p3_2+3*k_p3_3*C490))/k_sx</f>
        <v/>
      </c>
      <c r="J490">
        <f>(k_p4_1+C490*(2*k_p4_2+C490*(3*k_p4_3+4*k_p4_4*C490)))/k_sx</f>
        <v/>
      </c>
      <c r="K490">
        <f>k_eb*k_ec*EXP(k_ec*C490)/k_sx</f>
        <v/>
      </c>
      <c r="L490">
        <f>(2*k_p4_2+C490*(6*k_p4_3+12*k_p4_4*C490))/k_sx^2</f>
        <v/>
      </c>
      <c r="M490">
        <f>D490/B490</f>
        <v/>
      </c>
      <c r="N490">
        <f>E490/B490</f>
        <v/>
      </c>
      <c r="O490">
        <f>F490/B490</f>
        <v/>
      </c>
      <c r="P490">
        <f>G490/B490</f>
        <v/>
      </c>
      <c r="Q490">
        <f>CHOOSE(k_model,D490,E490,F490,G490)</f>
        <v/>
      </c>
      <c r="R490">
        <f>CHOOSE(k_model,H490,I490,J490,K490)</f>
        <v/>
      </c>
    </row>
    <row r="491">
      <c r="A491" t="n">
        <v>489</v>
      </c>
      <c r="B491">
        <f>k_lo+k_rng*A491/1000</f>
        <v/>
      </c>
      <c r="C491">
        <f>(B491-k_mx)/k_sx</f>
        <v/>
      </c>
      <c r="D491">
        <f>k_p2_0+C491*(k_p2_1+C491*k_p2_2)</f>
        <v/>
      </c>
      <c r="E491">
        <f>k_p3_0+C491*(k_p3_1+C491*(k_p3_2+C491*k_p3_3))</f>
        <v/>
      </c>
      <c r="F491">
        <f>k_p4_0+C491*(k_p4_1+C491*(k_p4_2+C491*(k_p4_3+C491*k_p4_4)))</f>
        <v/>
      </c>
      <c r="G491">
        <f>k_ea+k_eb*EXP(k_ec*C491)</f>
        <v/>
      </c>
      <c r="H491">
        <f>(k_p2_1+2*k_p2_2*C491)/k_sx</f>
        <v/>
      </c>
      <c r="I491">
        <f>(k_p3_1+C491*(2*k_p3_2+3*k_p3_3*C491))/k_sx</f>
        <v/>
      </c>
      <c r="J491">
        <f>(k_p4_1+C491*(2*k_p4_2+C491*(3*k_p4_3+4*k_p4_4*C491)))/k_sx</f>
        <v/>
      </c>
      <c r="K491">
        <f>k_eb*k_ec*EXP(k_ec*C491)/k_sx</f>
        <v/>
      </c>
      <c r="L491">
        <f>(2*k_p4_2+C491*(6*k_p4_3+12*k_p4_4*C491))/k_sx^2</f>
        <v/>
      </c>
      <c r="M491">
        <f>D491/B491</f>
        <v/>
      </c>
      <c r="N491">
        <f>E491/B491</f>
        <v/>
      </c>
      <c r="O491">
        <f>F491/B491</f>
        <v/>
      </c>
      <c r="P491">
        <f>G491/B491</f>
        <v/>
      </c>
      <c r="Q491">
        <f>CHOOSE(k_model,D491,E491,F491,G491)</f>
        <v/>
      </c>
      <c r="R491">
        <f>CHOOSE(k_model,H491,I491,J491,K491)</f>
        <v/>
      </c>
    </row>
    <row r="492">
      <c r="A492" t="n">
        <v>490</v>
      </c>
      <c r="B492">
        <f>k_lo+k_rng*A492/1000</f>
        <v/>
      </c>
      <c r="C492">
        <f>(B492-k_mx)/k_sx</f>
        <v/>
      </c>
      <c r="D492">
        <f>k_p2_0+C492*(k_p2_1+C492*k_p2_2)</f>
        <v/>
      </c>
      <c r="E492">
        <f>k_p3_0+C492*(k_p3_1+C492*(k_p3_2+C492*k_p3_3))</f>
        <v/>
      </c>
      <c r="F492">
        <f>k_p4_0+C492*(k_p4_1+C492*(k_p4_2+C492*(k_p4_3+C492*k_p4_4)))</f>
        <v/>
      </c>
      <c r="G492">
        <f>k_ea+k_eb*EXP(k_ec*C492)</f>
        <v/>
      </c>
      <c r="H492">
        <f>(k_p2_1+2*k_p2_2*C492)/k_sx</f>
        <v/>
      </c>
      <c r="I492">
        <f>(k_p3_1+C492*(2*k_p3_2+3*k_p3_3*C492))/k_sx</f>
        <v/>
      </c>
      <c r="J492">
        <f>(k_p4_1+C492*(2*k_p4_2+C492*(3*k_p4_3+4*k_p4_4*C492)))/k_sx</f>
        <v/>
      </c>
      <c r="K492">
        <f>k_eb*k_ec*EXP(k_ec*C492)/k_sx</f>
        <v/>
      </c>
      <c r="L492">
        <f>(2*k_p4_2+C492*(6*k_p4_3+12*k_p4_4*C492))/k_sx^2</f>
        <v/>
      </c>
      <c r="M492">
        <f>D492/B492</f>
        <v/>
      </c>
      <c r="N492">
        <f>E492/B492</f>
        <v/>
      </c>
      <c r="O492">
        <f>F492/B492</f>
        <v/>
      </c>
      <c r="P492">
        <f>G492/B492</f>
        <v/>
      </c>
      <c r="Q492">
        <f>CHOOSE(k_model,D492,E492,F492,G492)</f>
        <v/>
      </c>
      <c r="R492">
        <f>CHOOSE(k_model,H492,I492,J492,K492)</f>
        <v/>
      </c>
    </row>
    <row r="493">
      <c r="A493" t="n">
        <v>491</v>
      </c>
      <c r="B493">
        <f>k_lo+k_rng*A493/1000</f>
        <v/>
      </c>
      <c r="C493">
        <f>(B493-k_mx)/k_sx</f>
        <v/>
      </c>
      <c r="D493">
        <f>k_p2_0+C493*(k_p2_1+C493*k_p2_2)</f>
        <v/>
      </c>
      <c r="E493">
        <f>k_p3_0+C493*(k_p3_1+C493*(k_p3_2+C493*k_p3_3))</f>
        <v/>
      </c>
      <c r="F493">
        <f>k_p4_0+C493*(k_p4_1+C493*(k_p4_2+C493*(k_p4_3+C493*k_p4_4)))</f>
        <v/>
      </c>
      <c r="G493">
        <f>k_ea+k_eb*EXP(k_ec*C493)</f>
        <v/>
      </c>
      <c r="H493">
        <f>(k_p2_1+2*k_p2_2*C493)/k_sx</f>
        <v/>
      </c>
      <c r="I493">
        <f>(k_p3_1+C493*(2*k_p3_2+3*k_p3_3*C493))/k_sx</f>
        <v/>
      </c>
      <c r="J493">
        <f>(k_p4_1+C493*(2*k_p4_2+C493*(3*k_p4_3+4*k_p4_4*C493)))/k_sx</f>
        <v/>
      </c>
      <c r="K493">
        <f>k_eb*k_ec*EXP(k_ec*C493)/k_sx</f>
        <v/>
      </c>
      <c r="L493">
        <f>(2*k_p4_2+C493*(6*k_p4_3+12*k_p4_4*C493))/k_sx^2</f>
        <v/>
      </c>
      <c r="M493">
        <f>D493/B493</f>
        <v/>
      </c>
      <c r="N493">
        <f>E493/B493</f>
        <v/>
      </c>
      <c r="O493">
        <f>F493/B493</f>
        <v/>
      </c>
      <c r="P493">
        <f>G493/B493</f>
        <v/>
      </c>
      <c r="Q493">
        <f>CHOOSE(k_model,D493,E493,F493,G493)</f>
        <v/>
      </c>
      <c r="R493">
        <f>CHOOSE(k_model,H493,I493,J493,K493)</f>
        <v/>
      </c>
    </row>
    <row r="494">
      <c r="A494" t="n">
        <v>492</v>
      </c>
      <c r="B494">
        <f>k_lo+k_rng*A494/1000</f>
        <v/>
      </c>
      <c r="C494">
        <f>(B494-k_mx)/k_sx</f>
        <v/>
      </c>
      <c r="D494">
        <f>k_p2_0+C494*(k_p2_1+C494*k_p2_2)</f>
        <v/>
      </c>
      <c r="E494">
        <f>k_p3_0+C494*(k_p3_1+C494*(k_p3_2+C494*k_p3_3))</f>
        <v/>
      </c>
      <c r="F494">
        <f>k_p4_0+C494*(k_p4_1+C494*(k_p4_2+C494*(k_p4_3+C494*k_p4_4)))</f>
        <v/>
      </c>
      <c r="G494">
        <f>k_ea+k_eb*EXP(k_ec*C494)</f>
        <v/>
      </c>
      <c r="H494">
        <f>(k_p2_1+2*k_p2_2*C494)/k_sx</f>
        <v/>
      </c>
      <c r="I494">
        <f>(k_p3_1+C494*(2*k_p3_2+3*k_p3_3*C494))/k_sx</f>
        <v/>
      </c>
      <c r="J494">
        <f>(k_p4_1+C494*(2*k_p4_2+C494*(3*k_p4_3+4*k_p4_4*C494)))/k_sx</f>
        <v/>
      </c>
      <c r="K494">
        <f>k_eb*k_ec*EXP(k_ec*C494)/k_sx</f>
        <v/>
      </c>
      <c r="L494">
        <f>(2*k_p4_2+C494*(6*k_p4_3+12*k_p4_4*C494))/k_sx^2</f>
        <v/>
      </c>
      <c r="M494">
        <f>D494/B494</f>
        <v/>
      </c>
      <c r="N494">
        <f>E494/B494</f>
        <v/>
      </c>
      <c r="O494">
        <f>F494/B494</f>
        <v/>
      </c>
      <c r="P494">
        <f>G494/B494</f>
        <v/>
      </c>
      <c r="Q494">
        <f>CHOOSE(k_model,D494,E494,F494,G494)</f>
        <v/>
      </c>
      <c r="R494">
        <f>CHOOSE(k_model,H494,I494,J494,K494)</f>
        <v/>
      </c>
    </row>
    <row r="495">
      <c r="A495" t="n">
        <v>493</v>
      </c>
      <c r="B495">
        <f>k_lo+k_rng*A495/1000</f>
        <v/>
      </c>
      <c r="C495">
        <f>(B495-k_mx)/k_sx</f>
        <v/>
      </c>
      <c r="D495">
        <f>k_p2_0+C495*(k_p2_1+C495*k_p2_2)</f>
        <v/>
      </c>
      <c r="E495">
        <f>k_p3_0+C495*(k_p3_1+C495*(k_p3_2+C495*k_p3_3))</f>
        <v/>
      </c>
      <c r="F495">
        <f>k_p4_0+C495*(k_p4_1+C495*(k_p4_2+C495*(k_p4_3+C495*k_p4_4)))</f>
        <v/>
      </c>
      <c r="G495">
        <f>k_ea+k_eb*EXP(k_ec*C495)</f>
        <v/>
      </c>
      <c r="H495">
        <f>(k_p2_1+2*k_p2_2*C495)/k_sx</f>
        <v/>
      </c>
      <c r="I495">
        <f>(k_p3_1+C495*(2*k_p3_2+3*k_p3_3*C495))/k_sx</f>
        <v/>
      </c>
      <c r="J495">
        <f>(k_p4_1+C495*(2*k_p4_2+C495*(3*k_p4_3+4*k_p4_4*C495)))/k_sx</f>
        <v/>
      </c>
      <c r="K495">
        <f>k_eb*k_ec*EXP(k_ec*C495)/k_sx</f>
        <v/>
      </c>
      <c r="L495">
        <f>(2*k_p4_2+C495*(6*k_p4_3+12*k_p4_4*C495))/k_sx^2</f>
        <v/>
      </c>
      <c r="M495">
        <f>D495/B495</f>
        <v/>
      </c>
      <c r="N495">
        <f>E495/B495</f>
        <v/>
      </c>
      <c r="O495">
        <f>F495/B495</f>
        <v/>
      </c>
      <c r="P495">
        <f>G495/B495</f>
        <v/>
      </c>
      <c r="Q495">
        <f>CHOOSE(k_model,D495,E495,F495,G495)</f>
        <v/>
      </c>
      <c r="R495">
        <f>CHOOSE(k_model,H495,I495,J495,K495)</f>
        <v/>
      </c>
    </row>
    <row r="496">
      <c r="A496" t="n">
        <v>494</v>
      </c>
      <c r="B496">
        <f>k_lo+k_rng*A496/1000</f>
        <v/>
      </c>
      <c r="C496">
        <f>(B496-k_mx)/k_sx</f>
        <v/>
      </c>
      <c r="D496">
        <f>k_p2_0+C496*(k_p2_1+C496*k_p2_2)</f>
        <v/>
      </c>
      <c r="E496">
        <f>k_p3_0+C496*(k_p3_1+C496*(k_p3_2+C496*k_p3_3))</f>
        <v/>
      </c>
      <c r="F496">
        <f>k_p4_0+C496*(k_p4_1+C496*(k_p4_2+C496*(k_p4_3+C496*k_p4_4)))</f>
        <v/>
      </c>
      <c r="G496">
        <f>k_ea+k_eb*EXP(k_ec*C496)</f>
        <v/>
      </c>
      <c r="H496">
        <f>(k_p2_1+2*k_p2_2*C496)/k_sx</f>
        <v/>
      </c>
      <c r="I496">
        <f>(k_p3_1+C496*(2*k_p3_2+3*k_p3_3*C496))/k_sx</f>
        <v/>
      </c>
      <c r="J496">
        <f>(k_p4_1+C496*(2*k_p4_2+C496*(3*k_p4_3+4*k_p4_4*C496)))/k_sx</f>
        <v/>
      </c>
      <c r="K496">
        <f>k_eb*k_ec*EXP(k_ec*C496)/k_sx</f>
        <v/>
      </c>
      <c r="L496">
        <f>(2*k_p4_2+C496*(6*k_p4_3+12*k_p4_4*C496))/k_sx^2</f>
        <v/>
      </c>
      <c r="M496">
        <f>D496/B496</f>
        <v/>
      </c>
      <c r="N496">
        <f>E496/B496</f>
        <v/>
      </c>
      <c r="O496">
        <f>F496/B496</f>
        <v/>
      </c>
      <c r="P496">
        <f>G496/B496</f>
        <v/>
      </c>
      <c r="Q496">
        <f>CHOOSE(k_model,D496,E496,F496,G496)</f>
        <v/>
      </c>
      <c r="R496">
        <f>CHOOSE(k_model,H496,I496,J496,K496)</f>
        <v/>
      </c>
    </row>
    <row r="497">
      <c r="A497" t="n">
        <v>495</v>
      </c>
      <c r="B497">
        <f>k_lo+k_rng*A497/1000</f>
        <v/>
      </c>
      <c r="C497">
        <f>(B497-k_mx)/k_sx</f>
        <v/>
      </c>
      <c r="D497">
        <f>k_p2_0+C497*(k_p2_1+C497*k_p2_2)</f>
        <v/>
      </c>
      <c r="E497">
        <f>k_p3_0+C497*(k_p3_1+C497*(k_p3_2+C497*k_p3_3))</f>
        <v/>
      </c>
      <c r="F497">
        <f>k_p4_0+C497*(k_p4_1+C497*(k_p4_2+C497*(k_p4_3+C497*k_p4_4)))</f>
        <v/>
      </c>
      <c r="G497">
        <f>k_ea+k_eb*EXP(k_ec*C497)</f>
        <v/>
      </c>
      <c r="H497">
        <f>(k_p2_1+2*k_p2_2*C497)/k_sx</f>
        <v/>
      </c>
      <c r="I497">
        <f>(k_p3_1+C497*(2*k_p3_2+3*k_p3_3*C497))/k_sx</f>
        <v/>
      </c>
      <c r="J497">
        <f>(k_p4_1+C497*(2*k_p4_2+C497*(3*k_p4_3+4*k_p4_4*C497)))/k_sx</f>
        <v/>
      </c>
      <c r="K497">
        <f>k_eb*k_ec*EXP(k_ec*C497)/k_sx</f>
        <v/>
      </c>
      <c r="L497">
        <f>(2*k_p4_2+C497*(6*k_p4_3+12*k_p4_4*C497))/k_sx^2</f>
        <v/>
      </c>
      <c r="M497">
        <f>D497/B497</f>
        <v/>
      </c>
      <c r="N497">
        <f>E497/B497</f>
        <v/>
      </c>
      <c r="O497">
        <f>F497/B497</f>
        <v/>
      </c>
      <c r="P497">
        <f>G497/B497</f>
        <v/>
      </c>
      <c r="Q497">
        <f>CHOOSE(k_model,D497,E497,F497,G497)</f>
        <v/>
      </c>
      <c r="R497">
        <f>CHOOSE(k_model,H497,I497,J497,K497)</f>
        <v/>
      </c>
    </row>
    <row r="498">
      <c r="A498" t="n">
        <v>496</v>
      </c>
      <c r="B498">
        <f>k_lo+k_rng*A498/1000</f>
        <v/>
      </c>
      <c r="C498">
        <f>(B498-k_mx)/k_sx</f>
        <v/>
      </c>
      <c r="D498">
        <f>k_p2_0+C498*(k_p2_1+C498*k_p2_2)</f>
        <v/>
      </c>
      <c r="E498">
        <f>k_p3_0+C498*(k_p3_1+C498*(k_p3_2+C498*k_p3_3))</f>
        <v/>
      </c>
      <c r="F498">
        <f>k_p4_0+C498*(k_p4_1+C498*(k_p4_2+C498*(k_p4_3+C498*k_p4_4)))</f>
        <v/>
      </c>
      <c r="G498">
        <f>k_ea+k_eb*EXP(k_ec*C498)</f>
        <v/>
      </c>
      <c r="H498">
        <f>(k_p2_1+2*k_p2_2*C498)/k_sx</f>
        <v/>
      </c>
      <c r="I498">
        <f>(k_p3_1+C498*(2*k_p3_2+3*k_p3_3*C498))/k_sx</f>
        <v/>
      </c>
      <c r="J498">
        <f>(k_p4_1+C498*(2*k_p4_2+C498*(3*k_p4_3+4*k_p4_4*C498)))/k_sx</f>
        <v/>
      </c>
      <c r="K498">
        <f>k_eb*k_ec*EXP(k_ec*C498)/k_sx</f>
        <v/>
      </c>
      <c r="L498">
        <f>(2*k_p4_2+C498*(6*k_p4_3+12*k_p4_4*C498))/k_sx^2</f>
        <v/>
      </c>
      <c r="M498">
        <f>D498/B498</f>
        <v/>
      </c>
      <c r="N498">
        <f>E498/B498</f>
        <v/>
      </c>
      <c r="O498">
        <f>F498/B498</f>
        <v/>
      </c>
      <c r="P498">
        <f>G498/B498</f>
        <v/>
      </c>
      <c r="Q498">
        <f>CHOOSE(k_model,D498,E498,F498,G498)</f>
        <v/>
      </c>
      <c r="R498">
        <f>CHOOSE(k_model,H498,I498,J498,K498)</f>
        <v/>
      </c>
    </row>
    <row r="499">
      <c r="A499" t="n">
        <v>497</v>
      </c>
      <c r="B499">
        <f>k_lo+k_rng*A499/1000</f>
        <v/>
      </c>
      <c r="C499">
        <f>(B499-k_mx)/k_sx</f>
        <v/>
      </c>
      <c r="D499">
        <f>k_p2_0+C499*(k_p2_1+C499*k_p2_2)</f>
        <v/>
      </c>
      <c r="E499">
        <f>k_p3_0+C499*(k_p3_1+C499*(k_p3_2+C499*k_p3_3))</f>
        <v/>
      </c>
      <c r="F499">
        <f>k_p4_0+C499*(k_p4_1+C499*(k_p4_2+C499*(k_p4_3+C499*k_p4_4)))</f>
        <v/>
      </c>
      <c r="G499">
        <f>k_ea+k_eb*EXP(k_ec*C499)</f>
        <v/>
      </c>
      <c r="H499">
        <f>(k_p2_1+2*k_p2_2*C499)/k_sx</f>
        <v/>
      </c>
      <c r="I499">
        <f>(k_p3_1+C499*(2*k_p3_2+3*k_p3_3*C499))/k_sx</f>
        <v/>
      </c>
      <c r="J499">
        <f>(k_p4_1+C499*(2*k_p4_2+C499*(3*k_p4_3+4*k_p4_4*C499)))/k_sx</f>
        <v/>
      </c>
      <c r="K499">
        <f>k_eb*k_ec*EXP(k_ec*C499)/k_sx</f>
        <v/>
      </c>
      <c r="L499">
        <f>(2*k_p4_2+C499*(6*k_p4_3+12*k_p4_4*C499))/k_sx^2</f>
        <v/>
      </c>
      <c r="M499">
        <f>D499/B499</f>
        <v/>
      </c>
      <c r="N499">
        <f>E499/B499</f>
        <v/>
      </c>
      <c r="O499">
        <f>F499/B499</f>
        <v/>
      </c>
      <c r="P499">
        <f>G499/B499</f>
        <v/>
      </c>
      <c r="Q499">
        <f>CHOOSE(k_model,D499,E499,F499,G499)</f>
        <v/>
      </c>
      <c r="R499">
        <f>CHOOSE(k_model,H499,I499,J499,K499)</f>
        <v/>
      </c>
    </row>
    <row r="500">
      <c r="A500" t="n">
        <v>498</v>
      </c>
      <c r="B500">
        <f>k_lo+k_rng*A500/1000</f>
        <v/>
      </c>
      <c r="C500">
        <f>(B500-k_mx)/k_sx</f>
        <v/>
      </c>
      <c r="D500">
        <f>k_p2_0+C500*(k_p2_1+C500*k_p2_2)</f>
        <v/>
      </c>
      <c r="E500">
        <f>k_p3_0+C500*(k_p3_1+C500*(k_p3_2+C500*k_p3_3))</f>
        <v/>
      </c>
      <c r="F500">
        <f>k_p4_0+C500*(k_p4_1+C500*(k_p4_2+C500*(k_p4_3+C500*k_p4_4)))</f>
        <v/>
      </c>
      <c r="G500">
        <f>k_ea+k_eb*EXP(k_ec*C500)</f>
        <v/>
      </c>
      <c r="H500">
        <f>(k_p2_1+2*k_p2_2*C500)/k_sx</f>
        <v/>
      </c>
      <c r="I500">
        <f>(k_p3_1+C500*(2*k_p3_2+3*k_p3_3*C500))/k_sx</f>
        <v/>
      </c>
      <c r="J500">
        <f>(k_p4_1+C500*(2*k_p4_2+C500*(3*k_p4_3+4*k_p4_4*C500)))/k_sx</f>
        <v/>
      </c>
      <c r="K500">
        <f>k_eb*k_ec*EXP(k_ec*C500)/k_sx</f>
        <v/>
      </c>
      <c r="L500">
        <f>(2*k_p4_2+C500*(6*k_p4_3+12*k_p4_4*C500))/k_sx^2</f>
        <v/>
      </c>
      <c r="M500">
        <f>D500/B500</f>
        <v/>
      </c>
      <c r="N500">
        <f>E500/B500</f>
        <v/>
      </c>
      <c r="O500">
        <f>F500/B500</f>
        <v/>
      </c>
      <c r="P500">
        <f>G500/B500</f>
        <v/>
      </c>
      <c r="Q500">
        <f>CHOOSE(k_model,D500,E500,F500,G500)</f>
        <v/>
      </c>
      <c r="R500">
        <f>CHOOSE(k_model,H500,I500,J500,K500)</f>
        <v/>
      </c>
    </row>
    <row r="501">
      <c r="A501" t="n">
        <v>499</v>
      </c>
      <c r="B501">
        <f>k_lo+k_rng*A501/1000</f>
        <v/>
      </c>
      <c r="C501">
        <f>(B501-k_mx)/k_sx</f>
        <v/>
      </c>
      <c r="D501">
        <f>k_p2_0+C501*(k_p2_1+C501*k_p2_2)</f>
        <v/>
      </c>
      <c r="E501">
        <f>k_p3_0+C501*(k_p3_1+C501*(k_p3_2+C501*k_p3_3))</f>
        <v/>
      </c>
      <c r="F501">
        <f>k_p4_0+C501*(k_p4_1+C501*(k_p4_2+C501*(k_p4_3+C501*k_p4_4)))</f>
        <v/>
      </c>
      <c r="G501">
        <f>k_ea+k_eb*EXP(k_ec*C501)</f>
        <v/>
      </c>
      <c r="H501">
        <f>(k_p2_1+2*k_p2_2*C501)/k_sx</f>
        <v/>
      </c>
      <c r="I501">
        <f>(k_p3_1+C501*(2*k_p3_2+3*k_p3_3*C501))/k_sx</f>
        <v/>
      </c>
      <c r="J501">
        <f>(k_p4_1+C501*(2*k_p4_2+C501*(3*k_p4_3+4*k_p4_4*C501)))/k_sx</f>
        <v/>
      </c>
      <c r="K501">
        <f>k_eb*k_ec*EXP(k_ec*C501)/k_sx</f>
        <v/>
      </c>
      <c r="L501">
        <f>(2*k_p4_2+C501*(6*k_p4_3+12*k_p4_4*C501))/k_sx^2</f>
        <v/>
      </c>
      <c r="M501">
        <f>D501/B501</f>
        <v/>
      </c>
      <c r="N501">
        <f>E501/B501</f>
        <v/>
      </c>
      <c r="O501">
        <f>F501/B501</f>
        <v/>
      </c>
      <c r="P501">
        <f>G501/B501</f>
        <v/>
      </c>
      <c r="Q501">
        <f>CHOOSE(k_model,D501,E501,F501,G501)</f>
        <v/>
      </c>
      <c r="R501">
        <f>CHOOSE(k_model,H501,I501,J501,K501)</f>
        <v/>
      </c>
    </row>
    <row r="502">
      <c r="A502" t="n">
        <v>500</v>
      </c>
      <c r="B502">
        <f>k_lo+k_rng*A502/1000</f>
        <v/>
      </c>
      <c r="C502">
        <f>(B502-k_mx)/k_sx</f>
        <v/>
      </c>
      <c r="D502">
        <f>k_p2_0+C502*(k_p2_1+C502*k_p2_2)</f>
        <v/>
      </c>
      <c r="E502">
        <f>k_p3_0+C502*(k_p3_1+C502*(k_p3_2+C502*k_p3_3))</f>
        <v/>
      </c>
      <c r="F502">
        <f>k_p4_0+C502*(k_p4_1+C502*(k_p4_2+C502*(k_p4_3+C502*k_p4_4)))</f>
        <v/>
      </c>
      <c r="G502">
        <f>k_ea+k_eb*EXP(k_ec*C502)</f>
        <v/>
      </c>
      <c r="H502">
        <f>(k_p2_1+2*k_p2_2*C502)/k_sx</f>
        <v/>
      </c>
      <c r="I502">
        <f>(k_p3_1+C502*(2*k_p3_2+3*k_p3_3*C502))/k_sx</f>
        <v/>
      </c>
      <c r="J502">
        <f>(k_p4_1+C502*(2*k_p4_2+C502*(3*k_p4_3+4*k_p4_4*C502)))/k_sx</f>
        <v/>
      </c>
      <c r="K502">
        <f>k_eb*k_ec*EXP(k_ec*C502)/k_sx</f>
        <v/>
      </c>
      <c r="L502">
        <f>(2*k_p4_2+C502*(6*k_p4_3+12*k_p4_4*C502))/k_sx^2</f>
        <v/>
      </c>
      <c r="M502">
        <f>D502/B502</f>
        <v/>
      </c>
      <c r="N502">
        <f>E502/B502</f>
        <v/>
      </c>
      <c r="O502">
        <f>F502/B502</f>
        <v/>
      </c>
      <c r="P502">
        <f>G502/B502</f>
        <v/>
      </c>
      <c r="Q502">
        <f>CHOOSE(k_model,D502,E502,F502,G502)</f>
        <v/>
      </c>
      <c r="R502">
        <f>CHOOSE(k_model,H502,I502,J502,K502)</f>
        <v/>
      </c>
    </row>
    <row r="503">
      <c r="A503" t="n">
        <v>501</v>
      </c>
      <c r="B503">
        <f>k_lo+k_rng*A503/1000</f>
        <v/>
      </c>
      <c r="C503">
        <f>(B503-k_mx)/k_sx</f>
        <v/>
      </c>
      <c r="D503">
        <f>k_p2_0+C503*(k_p2_1+C503*k_p2_2)</f>
        <v/>
      </c>
      <c r="E503">
        <f>k_p3_0+C503*(k_p3_1+C503*(k_p3_2+C503*k_p3_3))</f>
        <v/>
      </c>
      <c r="F503">
        <f>k_p4_0+C503*(k_p4_1+C503*(k_p4_2+C503*(k_p4_3+C503*k_p4_4)))</f>
        <v/>
      </c>
      <c r="G503">
        <f>k_ea+k_eb*EXP(k_ec*C503)</f>
        <v/>
      </c>
      <c r="H503">
        <f>(k_p2_1+2*k_p2_2*C503)/k_sx</f>
        <v/>
      </c>
      <c r="I503">
        <f>(k_p3_1+C503*(2*k_p3_2+3*k_p3_3*C503))/k_sx</f>
        <v/>
      </c>
      <c r="J503">
        <f>(k_p4_1+C503*(2*k_p4_2+C503*(3*k_p4_3+4*k_p4_4*C503)))/k_sx</f>
        <v/>
      </c>
      <c r="K503">
        <f>k_eb*k_ec*EXP(k_ec*C503)/k_sx</f>
        <v/>
      </c>
      <c r="L503">
        <f>(2*k_p4_2+C503*(6*k_p4_3+12*k_p4_4*C503))/k_sx^2</f>
        <v/>
      </c>
      <c r="M503">
        <f>D503/B503</f>
        <v/>
      </c>
      <c r="N503">
        <f>E503/B503</f>
        <v/>
      </c>
      <c r="O503">
        <f>F503/B503</f>
        <v/>
      </c>
      <c r="P503">
        <f>G503/B503</f>
        <v/>
      </c>
      <c r="Q503">
        <f>CHOOSE(k_model,D503,E503,F503,G503)</f>
        <v/>
      </c>
      <c r="R503">
        <f>CHOOSE(k_model,H503,I503,J503,K503)</f>
        <v/>
      </c>
    </row>
    <row r="504">
      <c r="A504" t="n">
        <v>502</v>
      </c>
      <c r="B504">
        <f>k_lo+k_rng*A504/1000</f>
        <v/>
      </c>
      <c r="C504">
        <f>(B504-k_mx)/k_sx</f>
        <v/>
      </c>
      <c r="D504">
        <f>k_p2_0+C504*(k_p2_1+C504*k_p2_2)</f>
        <v/>
      </c>
      <c r="E504">
        <f>k_p3_0+C504*(k_p3_1+C504*(k_p3_2+C504*k_p3_3))</f>
        <v/>
      </c>
      <c r="F504">
        <f>k_p4_0+C504*(k_p4_1+C504*(k_p4_2+C504*(k_p4_3+C504*k_p4_4)))</f>
        <v/>
      </c>
      <c r="G504">
        <f>k_ea+k_eb*EXP(k_ec*C504)</f>
        <v/>
      </c>
      <c r="H504">
        <f>(k_p2_1+2*k_p2_2*C504)/k_sx</f>
        <v/>
      </c>
      <c r="I504">
        <f>(k_p3_1+C504*(2*k_p3_2+3*k_p3_3*C504))/k_sx</f>
        <v/>
      </c>
      <c r="J504">
        <f>(k_p4_1+C504*(2*k_p4_2+C504*(3*k_p4_3+4*k_p4_4*C504)))/k_sx</f>
        <v/>
      </c>
      <c r="K504">
        <f>k_eb*k_ec*EXP(k_ec*C504)/k_sx</f>
        <v/>
      </c>
      <c r="L504">
        <f>(2*k_p4_2+C504*(6*k_p4_3+12*k_p4_4*C504))/k_sx^2</f>
        <v/>
      </c>
      <c r="M504">
        <f>D504/B504</f>
        <v/>
      </c>
      <c r="N504">
        <f>E504/B504</f>
        <v/>
      </c>
      <c r="O504">
        <f>F504/B504</f>
        <v/>
      </c>
      <c r="P504">
        <f>G504/B504</f>
        <v/>
      </c>
      <c r="Q504">
        <f>CHOOSE(k_model,D504,E504,F504,G504)</f>
        <v/>
      </c>
      <c r="R504">
        <f>CHOOSE(k_model,H504,I504,J504,K504)</f>
        <v/>
      </c>
    </row>
    <row r="505">
      <c r="A505" t="n">
        <v>503</v>
      </c>
      <c r="B505">
        <f>k_lo+k_rng*A505/1000</f>
        <v/>
      </c>
      <c r="C505">
        <f>(B505-k_mx)/k_sx</f>
        <v/>
      </c>
      <c r="D505">
        <f>k_p2_0+C505*(k_p2_1+C505*k_p2_2)</f>
        <v/>
      </c>
      <c r="E505">
        <f>k_p3_0+C505*(k_p3_1+C505*(k_p3_2+C505*k_p3_3))</f>
        <v/>
      </c>
      <c r="F505">
        <f>k_p4_0+C505*(k_p4_1+C505*(k_p4_2+C505*(k_p4_3+C505*k_p4_4)))</f>
        <v/>
      </c>
      <c r="G505">
        <f>k_ea+k_eb*EXP(k_ec*C505)</f>
        <v/>
      </c>
      <c r="H505">
        <f>(k_p2_1+2*k_p2_2*C505)/k_sx</f>
        <v/>
      </c>
      <c r="I505">
        <f>(k_p3_1+C505*(2*k_p3_2+3*k_p3_3*C505))/k_sx</f>
        <v/>
      </c>
      <c r="J505">
        <f>(k_p4_1+C505*(2*k_p4_2+C505*(3*k_p4_3+4*k_p4_4*C505)))/k_sx</f>
        <v/>
      </c>
      <c r="K505">
        <f>k_eb*k_ec*EXP(k_ec*C505)/k_sx</f>
        <v/>
      </c>
      <c r="L505">
        <f>(2*k_p4_2+C505*(6*k_p4_3+12*k_p4_4*C505))/k_sx^2</f>
        <v/>
      </c>
      <c r="M505">
        <f>D505/B505</f>
        <v/>
      </c>
      <c r="N505">
        <f>E505/B505</f>
        <v/>
      </c>
      <c r="O505">
        <f>F505/B505</f>
        <v/>
      </c>
      <c r="P505">
        <f>G505/B505</f>
        <v/>
      </c>
      <c r="Q505">
        <f>CHOOSE(k_model,D505,E505,F505,G505)</f>
        <v/>
      </c>
      <c r="R505">
        <f>CHOOSE(k_model,H505,I505,J505,K505)</f>
        <v/>
      </c>
    </row>
    <row r="506">
      <c r="A506" t="n">
        <v>504</v>
      </c>
      <c r="B506">
        <f>k_lo+k_rng*A506/1000</f>
        <v/>
      </c>
      <c r="C506">
        <f>(B506-k_mx)/k_sx</f>
        <v/>
      </c>
      <c r="D506">
        <f>k_p2_0+C506*(k_p2_1+C506*k_p2_2)</f>
        <v/>
      </c>
      <c r="E506">
        <f>k_p3_0+C506*(k_p3_1+C506*(k_p3_2+C506*k_p3_3))</f>
        <v/>
      </c>
      <c r="F506">
        <f>k_p4_0+C506*(k_p4_1+C506*(k_p4_2+C506*(k_p4_3+C506*k_p4_4)))</f>
        <v/>
      </c>
      <c r="G506">
        <f>k_ea+k_eb*EXP(k_ec*C506)</f>
        <v/>
      </c>
      <c r="H506">
        <f>(k_p2_1+2*k_p2_2*C506)/k_sx</f>
        <v/>
      </c>
      <c r="I506">
        <f>(k_p3_1+C506*(2*k_p3_2+3*k_p3_3*C506))/k_sx</f>
        <v/>
      </c>
      <c r="J506">
        <f>(k_p4_1+C506*(2*k_p4_2+C506*(3*k_p4_3+4*k_p4_4*C506)))/k_sx</f>
        <v/>
      </c>
      <c r="K506">
        <f>k_eb*k_ec*EXP(k_ec*C506)/k_sx</f>
        <v/>
      </c>
      <c r="L506">
        <f>(2*k_p4_2+C506*(6*k_p4_3+12*k_p4_4*C506))/k_sx^2</f>
        <v/>
      </c>
      <c r="M506">
        <f>D506/B506</f>
        <v/>
      </c>
      <c r="N506">
        <f>E506/B506</f>
        <v/>
      </c>
      <c r="O506">
        <f>F506/B506</f>
        <v/>
      </c>
      <c r="P506">
        <f>G506/B506</f>
        <v/>
      </c>
      <c r="Q506">
        <f>CHOOSE(k_model,D506,E506,F506,G506)</f>
        <v/>
      </c>
      <c r="R506">
        <f>CHOOSE(k_model,H506,I506,J506,K506)</f>
        <v/>
      </c>
    </row>
    <row r="507">
      <c r="A507" t="n">
        <v>505</v>
      </c>
      <c r="B507">
        <f>k_lo+k_rng*A507/1000</f>
        <v/>
      </c>
      <c r="C507">
        <f>(B507-k_mx)/k_sx</f>
        <v/>
      </c>
      <c r="D507">
        <f>k_p2_0+C507*(k_p2_1+C507*k_p2_2)</f>
        <v/>
      </c>
      <c r="E507">
        <f>k_p3_0+C507*(k_p3_1+C507*(k_p3_2+C507*k_p3_3))</f>
        <v/>
      </c>
      <c r="F507">
        <f>k_p4_0+C507*(k_p4_1+C507*(k_p4_2+C507*(k_p4_3+C507*k_p4_4)))</f>
        <v/>
      </c>
      <c r="G507">
        <f>k_ea+k_eb*EXP(k_ec*C507)</f>
        <v/>
      </c>
      <c r="H507">
        <f>(k_p2_1+2*k_p2_2*C507)/k_sx</f>
        <v/>
      </c>
      <c r="I507">
        <f>(k_p3_1+C507*(2*k_p3_2+3*k_p3_3*C507))/k_sx</f>
        <v/>
      </c>
      <c r="J507">
        <f>(k_p4_1+C507*(2*k_p4_2+C507*(3*k_p4_3+4*k_p4_4*C507)))/k_sx</f>
        <v/>
      </c>
      <c r="K507">
        <f>k_eb*k_ec*EXP(k_ec*C507)/k_sx</f>
        <v/>
      </c>
      <c r="L507">
        <f>(2*k_p4_2+C507*(6*k_p4_3+12*k_p4_4*C507))/k_sx^2</f>
        <v/>
      </c>
      <c r="M507">
        <f>D507/B507</f>
        <v/>
      </c>
      <c r="N507">
        <f>E507/B507</f>
        <v/>
      </c>
      <c r="O507">
        <f>F507/B507</f>
        <v/>
      </c>
      <c r="P507">
        <f>G507/B507</f>
        <v/>
      </c>
      <c r="Q507">
        <f>CHOOSE(k_model,D507,E507,F507,G507)</f>
        <v/>
      </c>
      <c r="R507">
        <f>CHOOSE(k_model,H507,I507,J507,K507)</f>
        <v/>
      </c>
    </row>
    <row r="508">
      <c r="A508" t="n">
        <v>506</v>
      </c>
      <c r="B508">
        <f>k_lo+k_rng*A508/1000</f>
        <v/>
      </c>
      <c r="C508">
        <f>(B508-k_mx)/k_sx</f>
        <v/>
      </c>
      <c r="D508">
        <f>k_p2_0+C508*(k_p2_1+C508*k_p2_2)</f>
        <v/>
      </c>
      <c r="E508">
        <f>k_p3_0+C508*(k_p3_1+C508*(k_p3_2+C508*k_p3_3))</f>
        <v/>
      </c>
      <c r="F508">
        <f>k_p4_0+C508*(k_p4_1+C508*(k_p4_2+C508*(k_p4_3+C508*k_p4_4)))</f>
        <v/>
      </c>
      <c r="G508">
        <f>k_ea+k_eb*EXP(k_ec*C508)</f>
        <v/>
      </c>
      <c r="H508">
        <f>(k_p2_1+2*k_p2_2*C508)/k_sx</f>
        <v/>
      </c>
      <c r="I508">
        <f>(k_p3_1+C508*(2*k_p3_2+3*k_p3_3*C508))/k_sx</f>
        <v/>
      </c>
      <c r="J508">
        <f>(k_p4_1+C508*(2*k_p4_2+C508*(3*k_p4_3+4*k_p4_4*C508)))/k_sx</f>
        <v/>
      </c>
      <c r="K508">
        <f>k_eb*k_ec*EXP(k_ec*C508)/k_sx</f>
        <v/>
      </c>
      <c r="L508">
        <f>(2*k_p4_2+C508*(6*k_p4_3+12*k_p4_4*C508))/k_sx^2</f>
        <v/>
      </c>
      <c r="M508">
        <f>D508/B508</f>
        <v/>
      </c>
      <c r="N508">
        <f>E508/B508</f>
        <v/>
      </c>
      <c r="O508">
        <f>F508/B508</f>
        <v/>
      </c>
      <c r="P508">
        <f>G508/B508</f>
        <v/>
      </c>
      <c r="Q508">
        <f>CHOOSE(k_model,D508,E508,F508,G508)</f>
        <v/>
      </c>
      <c r="R508">
        <f>CHOOSE(k_model,H508,I508,J508,K508)</f>
        <v/>
      </c>
    </row>
    <row r="509">
      <c r="A509" t="n">
        <v>507</v>
      </c>
      <c r="B509">
        <f>k_lo+k_rng*A509/1000</f>
        <v/>
      </c>
      <c r="C509">
        <f>(B509-k_mx)/k_sx</f>
        <v/>
      </c>
      <c r="D509">
        <f>k_p2_0+C509*(k_p2_1+C509*k_p2_2)</f>
        <v/>
      </c>
      <c r="E509">
        <f>k_p3_0+C509*(k_p3_1+C509*(k_p3_2+C509*k_p3_3))</f>
        <v/>
      </c>
      <c r="F509">
        <f>k_p4_0+C509*(k_p4_1+C509*(k_p4_2+C509*(k_p4_3+C509*k_p4_4)))</f>
        <v/>
      </c>
      <c r="G509">
        <f>k_ea+k_eb*EXP(k_ec*C509)</f>
        <v/>
      </c>
      <c r="H509">
        <f>(k_p2_1+2*k_p2_2*C509)/k_sx</f>
        <v/>
      </c>
      <c r="I509">
        <f>(k_p3_1+C509*(2*k_p3_2+3*k_p3_3*C509))/k_sx</f>
        <v/>
      </c>
      <c r="J509">
        <f>(k_p4_1+C509*(2*k_p4_2+C509*(3*k_p4_3+4*k_p4_4*C509)))/k_sx</f>
        <v/>
      </c>
      <c r="K509">
        <f>k_eb*k_ec*EXP(k_ec*C509)/k_sx</f>
        <v/>
      </c>
      <c r="L509">
        <f>(2*k_p4_2+C509*(6*k_p4_3+12*k_p4_4*C509))/k_sx^2</f>
        <v/>
      </c>
      <c r="M509">
        <f>D509/B509</f>
        <v/>
      </c>
      <c r="N509">
        <f>E509/B509</f>
        <v/>
      </c>
      <c r="O509">
        <f>F509/B509</f>
        <v/>
      </c>
      <c r="P509">
        <f>G509/B509</f>
        <v/>
      </c>
      <c r="Q509">
        <f>CHOOSE(k_model,D509,E509,F509,G509)</f>
        <v/>
      </c>
      <c r="R509">
        <f>CHOOSE(k_model,H509,I509,J509,K509)</f>
        <v/>
      </c>
    </row>
    <row r="510">
      <c r="A510" t="n">
        <v>508</v>
      </c>
      <c r="B510">
        <f>k_lo+k_rng*A510/1000</f>
        <v/>
      </c>
      <c r="C510">
        <f>(B510-k_mx)/k_sx</f>
        <v/>
      </c>
      <c r="D510">
        <f>k_p2_0+C510*(k_p2_1+C510*k_p2_2)</f>
        <v/>
      </c>
      <c r="E510">
        <f>k_p3_0+C510*(k_p3_1+C510*(k_p3_2+C510*k_p3_3))</f>
        <v/>
      </c>
      <c r="F510">
        <f>k_p4_0+C510*(k_p4_1+C510*(k_p4_2+C510*(k_p4_3+C510*k_p4_4)))</f>
        <v/>
      </c>
      <c r="G510">
        <f>k_ea+k_eb*EXP(k_ec*C510)</f>
        <v/>
      </c>
      <c r="H510">
        <f>(k_p2_1+2*k_p2_2*C510)/k_sx</f>
        <v/>
      </c>
      <c r="I510">
        <f>(k_p3_1+C510*(2*k_p3_2+3*k_p3_3*C510))/k_sx</f>
        <v/>
      </c>
      <c r="J510">
        <f>(k_p4_1+C510*(2*k_p4_2+C510*(3*k_p4_3+4*k_p4_4*C510)))/k_sx</f>
        <v/>
      </c>
      <c r="K510">
        <f>k_eb*k_ec*EXP(k_ec*C510)/k_sx</f>
        <v/>
      </c>
      <c r="L510">
        <f>(2*k_p4_2+C510*(6*k_p4_3+12*k_p4_4*C510))/k_sx^2</f>
        <v/>
      </c>
      <c r="M510">
        <f>D510/B510</f>
        <v/>
      </c>
      <c r="N510">
        <f>E510/B510</f>
        <v/>
      </c>
      <c r="O510">
        <f>F510/B510</f>
        <v/>
      </c>
      <c r="P510">
        <f>G510/B510</f>
        <v/>
      </c>
      <c r="Q510">
        <f>CHOOSE(k_model,D510,E510,F510,G510)</f>
        <v/>
      </c>
      <c r="R510">
        <f>CHOOSE(k_model,H510,I510,J510,K510)</f>
        <v/>
      </c>
    </row>
    <row r="511">
      <c r="A511" t="n">
        <v>509</v>
      </c>
      <c r="B511">
        <f>k_lo+k_rng*A511/1000</f>
        <v/>
      </c>
      <c r="C511">
        <f>(B511-k_mx)/k_sx</f>
        <v/>
      </c>
      <c r="D511">
        <f>k_p2_0+C511*(k_p2_1+C511*k_p2_2)</f>
        <v/>
      </c>
      <c r="E511">
        <f>k_p3_0+C511*(k_p3_1+C511*(k_p3_2+C511*k_p3_3))</f>
        <v/>
      </c>
      <c r="F511">
        <f>k_p4_0+C511*(k_p4_1+C511*(k_p4_2+C511*(k_p4_3+C511*k_p4_4)))</f>
        <v/>
      </c>
      <c r="G511">
        <f>k_ea+k_eb*EXP(k_ec*C511)</f>
        <v/>
      </c>
      <c r="H511">
        <f>(k_p2_1+2*k_p2_2*C511)/k_sx</f>
        <v/>
      </c>
      <c r="I511">
        <f>(k_p3_1+C511*(2*k_p3_2+3*k_p3_3*C511))/k_sx</f>
        <v/>
      </c>
      <c r="J511">
        <f>(k_p4_1+C511*(2*k_p4_2+C511*(3*k_p4_3+4*k_p4_4*C511)))/k_sx</f>
        <v/>
      </c>
      <c r="K511">
        <f>k_eb*k_ec*EXP(k_ec*C511)/k_sx</f>
        <v/>
      </c>
      <c r="L511">
        <f>(2*k_p4_2+C511*(6*k_p4_3+12*k_p4_4*C511))/k_sx^2</f>
        <v/>
      </c>
      <c r="M511">
        <f>D511/B511</f>
        <v/>
      </c>
      <c r="N511">
        <f>E511/B511</f>
        <v/>
      </c>
      <c r="O511">
        <f>F511/B511</f>
        <v/>
      </c>
      <c r="P511">
        <f>G511/B511</f>
        <v/>
      </c>
      <c r="Q511">
        <f>CHOOSE(k_model,D511,E511,F511,G511)</f>
        <v/>
      </c>
      <c r="R511">
        <f>CHOOSE(k_model,H511,I511,J511,K511)</f>
        <v/>
      </c>
    </row>
    <row r="512">
      <c r="A512" t="n">
        <v>510</v>
      </c>
      <c r="B512">
        <f>k_lo+k_rng*A512/1000</f>
        <v/>
      </c>
      <c r="C512">
        <f>(B512-k_mx)/k_sx</f>
        <v/>
      </c>
      <c r="D512">
        <f>k_p2_0+C512*(k_p2_1+C512*k_p2_2)</f>
        <v/>
      </c>
      <c r="E512">
        <f>k_p3_0+C512*(k_p3_1+C512*(k_p3_2+C512*k_p3_3))</f>
        <v/>
      </c>
      <c r="F512">
        <f>k_p4_0+C512*(k_p4_1+C512*(k_p4_2+C512*(k_p4_3+C512*k_p4_4)))</f>
        <v/>
      </c>
      <c r="G512">
        <f>k_ea+k_eb*EXP(k_ec*C512)</f>
        <v/>
      </c>
      <c r="H512">
        <f>(k_p2_1+2*k_p2_2*C512)/k_sx</f>
        <v/>
      </c>
      <c r="I512">
        <f>(k_p3_1+C512*(2*k_p3_2+3*k_p3_3*C512))/k_sx</f>
        <v/>
      </c>
      <c r="J512">
        <f>(k_p4_1+C512*(2*k_p4_2+C512*(3*k_p4_3+4*k_p4_4*C512)))/k_sx</f>
        <v/>
      </c>
      <c r="K512">
        <f>k_eb*k_ec*EXP(k_ec*C512)/k_sx</f>
        <v/>
      </c>
      <c r="L512">
        <f>(2*k_p4_2+C512*(6*k_p4_3+12*k_p4_4*C512))/k_sx^2</f>
        <v/>
      </c>
      <c r="M512">
        <f>D512/B512</f>
        <v/>
      </c>
      <c r="N512">
        <f>E512/B512</f>
        <v/>
      </c>
      <c r="O512">
        <f>F512/B512</f>
        <v/>
      </c>
      <c r="P512">
        <f>G512/B512</f>
        <v/>
      </c>
      <c r="Q512">
        <f>CHOOSE(k_model,D512,E512,F512,G512)</f>
        <v/>
      </c>
      <c r="R512">
        <f>CHOOSE(k_model,H512,I512,J512,K512)</f>
        <v/>
      </c>
    </row>
    <row r="513">
      <c r="A513" t="n">
        <v>511</v>
      </c>
      <c r="B513">
        <f>k_lo+k_rng*A513/1000</f>
        <v/>
      </c>
      <c r="C513">
        <f>(B513-k_mx)/k_sx</f>
        <v/>
      </c>
      <c r="D513">
        <f>k_p2_0+C513*(k_p2_1+C513*k_p2_2)</f>
        <v/>
      </c>
      <c r="E513">
        <f>k_p3_0+C513*(k_p3_1+C513*(k_p3_2+C513*k_p3_3))</f>
        <v/>
      </c>
      <c r="F513">
        <f>k_p4_0+C513*(k_p4_1+C513*(k_p4_2+C513*(k_p4_3+C513*k_p4_4)))</f>
        <v/>
      </c>
      <c r="G513">
        <f>k_ea+k_eb*EXP(k_ec*C513)</f>
        <v/>
      </c>
      <c r="H513">
        <f>(k_p2_1+2*k_p2_2*C513)/k_sx</f>
        <v/>
      </c>
      <c r="I513">
        <f>(k_p3_1+C513*(2*k_p3_2+3*k_p3_3*C513))/k_sx</f>
        <v/>
      </c>
      <c r="J513">
        <f>(k_p4_1+C513*(2*k_p4_2+C513*(3*k_p4_3+4*k_p4_4*C513)))/k_sx</f>
        <v/>
      </c>
      <c r="K513">
        <f>k_eb*k_ec*EXP(k_ec*C513)/k_sx</f>
        <v/>
      </c>
      <c r="L513">
        <f>(2*k_p4_2+C513*(6*k_p4_3+12*k_p4_4*C513))/k_sx^2</f>
        <v/>
      </c>
      <c r="M513">
        <f>D513/B513</f>
        <v/>
      </c>
      <c r="N513">
        <f>E513/B513</f>
        <v/>
      </c>
      <c r="O513">
        <f>F513/B513</f>
        <v/>
      </c>
      <c r="P513">
        <f>G513/B513</f>
        <v/>
      </c>
      <c r="Q513">
        <f>CHOOSE(k_model,D513,E513,F513,G513)</f>
        <v/>
      </c>
      <c r="R513">
        <f>CHOOSE(k_model,H513,I513,J513,K513)</f>
        <v/>
      </c>
    </row>
    <row r="514">
      <c r="A514" t="n">
        <v>512</v>
      </c>
      <c r="B514">
        <f>k_lo+k_rng*A514/1000</f>
        <v/>
      </c>
      <c r="C514">
        <f>(B514-k_mx)/k_sx</f>
        <v/>
      </c>
      <c r="D514">
        <f>k_p2_0+C514*(k_p2_1+C514*k_p2_2)</f>
        <v/>
      </c>
      <c r="E514">
        <f>k_p3_0+C514*(k_p3_1+C514*(k_p3_2+C514*k_p3_3))</f>
        <v/>
      </c>
      <c r="F514">
        <f>k_p4_0+C514*(k_p4_1+C514*(k_p4_2+C514*(k_p4_3+C514*k_p4_4)))</f>
        <v/>
      </c>
      <c r="G514">
        <f>k_ea+k_eb*EXP(k_ec*C514)</f>
        <v/>
      </c>
      <c r="H514">
        <f>(k_p2_1+2*k_p2_2*C514)/k_sx</f>
        <v/>
      </c>
      <c r="I514">
        <f>(k_p3_1+C514*(2*k_p3_2+3*k_p3_3*C514))/k_sx</f>
        <v/>
      </c>
      <c r="J514">
        <f>(k_p4_1+C514*(2*k_p4_2+C514*(3*k_p4_3+4*k_p4_4*C514)))/k_sx</f>
        <v/>
      </c>
      <c r="K514">
        <f>k_eb*k_ec*EXP(k_ec*C514)/k_sx</f>
        <v/>
      </c>
      <c r="L514">
        <f>(2*k_p4_2+C514*(6*k_p4_3+12*k_p4_4*C514))/k_sx^2</f>
        <v/>
      </c>
      <c r="M514">
        <f>D514/B514</f>
        <v/>
      </c>
      <c r="N514">
        <f>E514/B514</f>
        <v/>
      </c>
      <c r="O514">
        <f>F514/B514</f>
        <v/>
      </c>
      <c r="P514">
        <f>G514/B514</f>
        <v/>
      </c>
      <c r="Q514">
        <f>CHOOSE(k_model,D514,E514,F514,G514)</f>
        <v/>
      </c>
      <c r="R514">
        <f>CHOOSE(k_model,H514,I514,J514,K514)</f>
        <v/>
      </c>
    </row>
    <row r="515">
      <c r="A515" t="n">
        <v>513</v>
      </c>
      <c r="B515">
        <f>k_lo+k_rng*A515/1000</f>
        <v/>
      </c>
      <c r="C515">
        <f>(B515-k_mx)/k_sx</f>
        <v/>
      </c>
      <c r="D515">
        <f>k_p2_0+C515*(k_p2_1+C515*k_p2_2)</f>
        <v/>
      </c>
      <c r="E515">
        <f>k_p3_0+C515*(k_p3_1+C515*(k_p3_2+C515*k_p3_3))</f>
        <v/>
      </c>
      <c r="F515">
        <f>k_p4_0+C515*(k_p4_1+C515*(k_p4_2+C515*(k_p4_3+C515*k_p4_4)))</f>
        <v/>
      </c>
      <c r="G515">
        <f>k_ea+k_eb*EXP(k_ec*C515)</f>
        <v/>
      </c>
      <c r="H515">
        <f>(k_p2_1+2*k_p2_2*C515)/k_sx</f>
        <v/>
      </c>
      <c r="I515">
        <f>(k_p3_1+C515*(2*k_p3_2+3*k_p3_3*C515))/k_sx</f>
        <v/>
      </c>
      <c r="J515">
        <f>(k_p4_1+C515*(2*k_p4_2+C515*(3*k_p4_3+4*k_p4_4*C515)))/k_sx</f>
        <v/>
      </c>
      <c r="K515">
        <f>k_eb*k_ec*EXP(k_ec*C515)/k_sx</f>
        <v/>
      </c>
      <c r="L515">
        <f>(2*k_p4_2+C515*(6*k_p4_3+12*k_p4_4*C515))/k_sx^2</f>
        <v/>
      </c>
      <c r="M515">
        <f>D515/B515</f>
        <v/>
      </c>
      <c r="N515">
        <f>E515/B515</f>
        <v/>
      </c>
      <c r="O515">
        <f>F515/B515</f>
        <v/>
      </c>
      <c r="P515">
        <f>G515/B515</f>
        <v/>
      </c>
      <c r="Q515">
        <f>CHOOSE(k_model,D515,E515,F515,G515)</f>
        <v/>
      </c>
      <c r="R515">
        <f>CHOOSE(k_model,H515,I515,J515,K515)</f>
        <v/>
      </c>
    </row>
    <row r="516">
      <c r="A516" t="n">
        <v>514</v>
      </c>
      <c r="B516">
        <f>k_lo+k_rng*A516/1000</f>
        <v/>
      </c>
      <c r="C516">
        <f>(B516-k_mx)/k_sx</f>
        <v/>
      </c>
      <c r="D516">
        <f>k_p2_0+C516*(k_p2_1+C516*k_p2_2)</f>
        <v/>
      </c>
      <c r="E516">
        <f>k_p3_0+C516*(k_p3_1+C516*(k_p3_2+C516*k_p3_3))</f>
        <v/>
      </c>
      <c r="F516">
        <f>k_p4_0+C516*(k_p4_1+C516*(k_p4_2+C516*(k_p4_3+C516*k_p4_4)))</f>
        <v/>
      </c>
      <c r="G516">
        <f>k_ea+k_eb*EXP(k_ec*C516)</f>
        <v/>
      </c>
      <c r="H516">
        <f>(k_p2_1+2*k_p2_2*C516)/k_sx</f>
        <v/>
      </c>
      <c r="I516">
        <f>(k_p3_1+C516*(2*k_p3_2+3*k_p3_3*C516))/k_sx</f>
        <v/>
      </c>
      <c r="J516">
        <f>(k_p4_1+C516*(2*k_p4_2+C516*(3*k_p4_3+4*k_p4_4*C516)))/k_sx</f>
        <v/>
      </c>
      <c r="K516">
        <f>k_eb*k_ec*EXP(k_ec*C516)/k_sx</f>
        <v/>
      </c>
      <c r="L516">
        <f>(2*k_p4_2+C516*(6*k_p4_3+12*k_p4_4*C516))/k_sx^2</f>
        <v/>
      </c>
      <c r="M516">
        <f>D516/B516</f>
        <v/>
      </c>
      <c r="N516">
        <f>E516/B516</f>
        <v/>
      </c>
      <c r="O516">
        <f>F516/B516</f>
        <v/>
      </c>
      <c r="P516">
        <f>G516/B516</f>
        <v/>
      </c>
      <c r="Q516">
        <f>CHOOSE(k_model,D516,E516,F516,G516)</f>
        <v/>
      </c>
      <c r="R516">
        <f>CHOOSE(k_model,H516,I516,J516,K516)</f>
        <v/>
      </c>
    </row>
    <row r="517">
      <c r="A517" t="n">
        <v>515</v>
      </c>
      <c r="B517">
        <f>k_lo+k_rng*A517/1000</f>
        <v/>
      </c>
      <c r="C517">
        <f>(B517-k_mx)/k_sx</f>
        <v/>
      </c>
      <c r="D517">
        <f>k_p2_0+C517*(k_p2_1+C517*k_p2_2)</f>
        <v/>
      </c>
      <c r="E517">
        <f>k_p3_0+C517*(k_p3_1+C517*(k_p3_2+C517*k_p3_3))</f>
        <v/>
      </c>
      <c r="F517">
        <f>k_p4_0+C517*(k_p4_1+C517*(k_p4_2+C517*(k_p4_3+C517*k_p4_4)))</f>
        <v/>
      </c>
      <c r="G517">
        <f>k_ea+k_eb*EXP(k_ec*C517)</f>
        <v/>
      </c>
      <c r="H517">
        <f>(k_p2_1+2*k_p2_2*C517)/k_sx</f>
        <v/>
      </c>
      <c r="I517">
        <f>(k_p3_1+C517*(2*k_p3_2+3*k_p3_3*C517))/k_sx</f>
        <v/>
      </c>
      <c r="J517">
        <f>(k_p4_1+C517*(2*k_p4_2+C517*(3*k_p4_3+4*k_p4_4*C517)))/k_sx</f>
        <v/>
      </c>
      <c r="K517">
        <f>k_eb*k_ec*EXP(k_ec*C517)/k_sx</f>
        <v/>
      </c>
      <c r="L517">
        <f>(2*k_p4_2+C517*(6*k_p4_3+12*k_p4_4*C517))/k_sx^2</f>
        <v/>
      </c>
      <c r="M517">
        <f>D517/B517</f>
        <v/>
      </c>
      <c r="N517">
        <f>E517/B517</f>
        <v/>
      </c>
      <c r="O517">
        <f>F517/B517</f>
        <v/>
      </c>
      <c r="P517">
        <f>G517/B517</f>
        <v/>
      </c>
      <c r="Q517">
        <f>CHOOSE(k_model,D517,E517,F517,G517)</f>
        <v/>
      </c>
      <c r="R517">
        <f>CHOOSE(k_model,H517,I517,J517,K517)</f>
        <v/>
      </c>
    </row>
    <row r="518">
      <c r="A518" t="n">
        <v>516</v>
      </c>
      <c r="B518">
        <f>k_lo+k_rng*A518/1000</f>
        <v/>
      </c>
      <c r="C518">
        <f>(B518-k_mx)/k_sx</f>
        <v/>
      </c>
      <c r="D518">
        <f>k_p2_0+C518*(k_p2_1+C518*k_p2_2)</f>
        <v/>
      </c>
      <c r="E518">
        <f>k_p3_0+C518*(k_p3_1+C518*(k_p3_2+C518*k_p3_3))</f>
        <v/>
      </c>
      <c r="F518">
        <f>k_p4_0+C518*(k_p4_1+C518*(k_p4_2+C518*(k_p4_3+C518*k_p4_4)))</f>
        <v/>
      </c>
      <c r="G518">
        <f>k_ea+k_eb*EXP(k_ec*C518)</f>
        <v/>
      </c>
      <c r="H518">
        <f>(k_p2_1+2*k_p2_2*C518)/k_sx</f>
        <v/>
      </c>
      <c r="I518">
        <f>(k_p3_1+C518*(2*k_p3_2+3*k_p3_3*C518))/k_sx</f>
        <v/>
      </c>
      <c r="J518">
        <f>(k_p4_1+C518*(2*k_p4_2+C518*(3*k_p4_3+4*k_p4_4*C518)))/k_sx</f>
        <v/>
      </c>
      <c r="K518">
        <f>k_eb*k_ec*EXP(k_ec*C518)/k_sx</f>
        <v/>
      </c>
      <c r="L518">
        <f>(2*k_p4_2+C518*(6*k_p4_3+12*k_p4_4*C518))/k_sx^2</f>
        <v/>
      </c>
      <c r="M518">
        <f>D518/B518</f>
        <v/>
      </c>
      <c r="N518">
        <f>E518/B518</f>
        <v/>
      </c>
      <c r="O518">
        <f>F518/B518</f>
        <v/>
      </c>
      <c r="P518">
        <f>G518/B518</f>
        <v/>
      </c>
      <c r="Q518">
        <f>CHOOSE(k_model,D518,E518,F518,G518)</f>
        <v/>
      </c>
      <c r="R518">
        <f>CHOOSE(k_model,H518,I518,J518,K518)</f>
        <v/>
      </c>
    </row>
    <row r="519">
      <c r="A519" t="n">
        <v>517</v>
      </c>
      <c r="B519">
        <f>k_lo+k_rng*A519/1000</f>
        <v/>
      </c>
      <c r="C519">
        <f>(B519-k_mx)/k_sx</f>
        <v/>
      </c>
      <c r="D519">
        <f>k_p2_0+C519*(k_p2_1+C519*k_p2_2)</f>
        <v/>
      </c>
      <c r="E519">
        <f>k_p3_0+C519*(k_p3_1+C519*(k_p3_2+C519*k_p3_3))</f>
        <v/>
      </c>
      <c r="F519">
        <f>k_p4_0+C519*(k_p4_1+C519*(k_p4_2+C519*(k_p4_3+C519*k_p4_4)))</f>
        <v/>
      </c>
      <c r="G519">
        <f>k_ea+k_eb*EXP(k_ec*C519)</f>
        <v/>
      </c>
      <c r="H519">
        <f>(k_p2_1+2*k_p2_2*C519)/k_sx</f>
        <v/>
      </c>
      <c r="I519">
        <f>(k_p3_1+C519*(2*k_p3_2+3*k_p3_3*C519))/k_sx</f>
        <v/>
      </c>
      <c r="J519">
        <f>(k_p4_1+C519*(2*k_p4_2+C519*(3*k_p4_3+4*k_p4_4*C519)))/k_sx</f>
        <v/>
      </c>
      <c r="K519">
        <f>k_eb*k_ec*EXP(k_ec*C519)/k_sx</f>
        <v/>
      </c>
      <c r="L519">
        <f>(2*k_p4_2+C519*(6*k_p4_3+12*k_p4_4*C519))/k_sx^2</f>
        <v/>
      </c>
      <c r="M519">
        <f>D519/B519</f>
        <v/>
      </c>
      <c r="N519">
        <f>E519/B519</f>
        <v/>
      </c>
      <c r="O519">
        <f>F519/B519</f>
        <v/>
      </c>
      <c r="P519">
        <f>G519/B519</f>
        <v/>
      </c>
      <c r="Q519">
        <f>CHOOSE(k_model,D519,E519,F519,G519)</f>
        <v/>
      </c>
      <c r="R519">
        <f>CHOOSE(k_model,H519,I519,J519,K519)</f>
        <v/>
      </c>
    </row>
    <row r="520">
      <c r="A520" t="n">
        <v>518</v>
      </c>
      <c r="B520">
        <f>k_lo+k_rng*A520/1000</f>
        <v/>
      </c>
      <c r="C520">
        <f>(B520-k_mx)/k_sx</f>
        <v/>
      </c>
      <c r="D520">
        <f>k_p2_0+C520*(k_p2_1+C520*k_p2_2)</f>
        <v/>
      </c>
      <c r="E520">
        <f>k_p3_0+C520*(k_p3_1+C520*(k_p3_2+C520*k_p3_3))</f>
        <v/>
      </c>
      <c r="F520">
        <f>k_p4_0+C520*(k_p4_1+C520*(k_p4_2+C520*(k_p4_3+C520*k_p4_4)))</f>
        <v/>
      </c>
      <c r="G520">
        <f>k_ea+k_eb*EXP(k_ec*C520)</f>
        <v/>
      </c>
      <c r="H520">
        <f>(k_p2_1+2*k_p2_2*C520)/k_sx</f>
        <v/>
      </c>
      <c r="I520">
        <f>(k_p3_1+C520*(2*k_p3_2+3*k_p3_3*C520))/k_sx</f>
        <v/>
      </c>
      <c r="J520">
        <f>(k_p4_1+C520*(2*k_p4_2+C520*(3*k_p4_3+4*k_p4_4*C520)))/k_sx</f>
        <v/>
      </c>
      <c r="K520">
        <f>k_eb*k_ec*EXP(k_ec*C520)/k_sx</f>
        <v/>
      </c>
      <c r="L520">
        <f>(2*k_p4_2+C520*(6*k_p4_3+12*k_p4_4*C520))/k_sx^2</f>
        <v/>
      </c>
      <c r="M520">
        <f>D520/B520</f>
        <v/>
      </c>
      <c r="N520">
        <f>E520/B520</f>
        <v/>
      </c>
      <c r="O520">
        <f>F520/B520</f>
        <v/>
      </c>
      <c r="P520">
        <f>G520/B520</f>
        <v/>
      </c>
      <c r="Q520">
        <f>CHOOSE(k_model,D520,E520,F520,G520)</f>
        <v/>
      </c>
      <c r="R520">
        <f>CHOOSE(k_model,H520,I520,J520,K520)</f>
        <v/>
      </c>
    </row>
    <row r="521">
      <c r="A521" t="n">
        <v>519</v>
      </c>
      <c r="B521">
        <f>k_lo+k_rng*A521/1000</f>
        <v/>
      </c>
      <c r="C521">
        <f>(B521-k_mx)/k_sx</f>
        <v/>
      </c>
      <c r="D521">
        <f>k_p2_0+C521*(k_p2_1+C521*k_p2_2)</f>
        <v/>
      </c>
      <c r="E521">
        <f>k_p3_0+C521*(k_p3_1+C521*(k_p3_2+C521*k_p3_3))</f>
        <v/>
      </c>
      <c r="F521">
        <f>k_p4_0+C521*(k_p4_1+C521*(k_p4_2+C521*(k_p4_3+C521*k_p4_4)))</f>
        <v/>
      </c>
      <c r="G521">
        <f>k_ea+k_eb*EXP(k_ec*C521)</f>
        <v/>
      </c>
      <c r="H521">
        <f>(k_p2_1+2*k_p2_2*C521)/k_sx</f>
        <v/>
      </c>
      <c r="I521">
        <f>(k_p3_1+C521*(2*k_p3_2+3*k_p3_3*C521))/k_sx</f>
        <v/>
      </c>
      <c r="J521">
        <f>(k_p4_1+C521*(2*k_p4_2+C521*(3*k_p4_3+4*k_p4_4*C521)))/k_sx</f>
        <v/>
      </c>
      <c r="K521">
        <f>k_eb*k_ec*EXP(k_ec*C521)/k_sx</f>
        <v/>
      </c>
      <c r="L521">
        <f>(2*k_p4_2+C521*(6*k_p4_3+12*k_p4_4*C521))/k_sx^2</f>
        <v/>
      </c>
      <c r="M521">
        <f>D521/B521</f>
        <v/>
      </c>
      <c r="N521">
        <f>E521/B521</f>
        <v/>
      </c>
      <c r="O521">
        <f>F521/B521</f>
        <v/>
      </c>
      <c r="P521">
        <f>G521/B521</f>
        <v/>
      </c>
      <c r="Q521">
        <f>CHOOSE(k_model,D521,E521,F521,G521)</f>
        <v/>
      </c>
      <c r="R521">
        <f>CHOOSE(k_model,H521,I521,J521,K521)</f>
        <v/>
      </c>
    </row>
    <row r="522">
      <c r="A522" t="n">
        <v>520</v>
      </c>
      <c r="B522">
        <f>k_lo+k_rng*A522/1000</f>
        <v/>
      </c>
      <c r="C522">
        <f>(B522-k_mx)/k_sx</f>
        <v/>
      </c>
      <c r="D522">
        <f>k_p2_0+C522*(k_p2_1+C522*k_p2_2)</f>
        <v/>
      </c>
      <c r="E522">
        <f>k_p3_0+C522*(k_p3_1+C522*(k_p3_2+C522*k_p3_3))</f>
        <v/>
      </c>
      <c r="F522">
        <f>k_p4_0+C522*(k_p4_1+C522*(k_p4_2+C522*(k_p4_3+C522*k_p4_4)))</f>
        <v/>
      </c>
      <c r="G522">
        <f>k_ea+k_eb*EXP(k_ec*C522)</f>
        <v/>
      </c>
      <c r="H522">
        <f>(k_p2_1+2*k_p2_2*C522)/k_sx</f>
        <v/>
      </c>
      <c r="I522">
        <f>(k_p3_1+C522*(2*k_p3_2+3*k_p3_3*C522))/k_sx</f>
        <v/>
      </c>
      <c r="J522">
        <f>(k_p4_1+C522*(2*k_p4_2+C522*(3*k_p4_3+4*k_p4_4*C522)))/k_sx</f>
        <v/>
      </c>
      <c r="K522">
        <f>k_eb*k_ec*EXP(k_ec*C522)/k_sx</f>
        <v/>
      </c>
      <c r="L522">
        <f>(2*k_p4_2+C522*(6*k_p4_3+12*k_p4_4*C522))/k_sx^2</f>
        <v/>
      </c>
      <c r="M522">
        <f>D522/B522</f>
        <v/>
      </c>
      <c r="N522">
        <f>E522/B522</f>
        <v/>
      </c>
      <c r="O522">
        <f>F522/B522</f>
        <v/>
      </c>
      <c r="P522">
        <f>G522/B522</f>
        <v/>
      </c>
      <c r="Q522">
        <f>CHOOSE(k_model,D522,E522,F522,G522)</f>
        <v/>
      </c>
      <c r="R522">
        <f>CHOOSE(k_model,H522,I522,J522,K522)</f>
        <v/>
      </c>
    </row>
    <row r="523">
      <c r="A523" t="n">
        <v>521</v>
      </c>
      <c r="B523">
        <f>k_lo+k_rng*A523/1000</f>
        <v/>
      </c>
      <c r="C523">
        <f>(B523-k_mx)/k_sx</f>
        <v/>
      </c>
      <c r="D523">
        <f>k_p2_0+C523*(k_p2_1+C523*k_p2_2)</f>
        <v/>
      </c>
      <c r="E523">
        <f>k_p3_0+C523*(k_p3_1+C523*(k_p3_2+C523*k_p3_3))</f>
        <v/>
      </c>
      <c r="F523">
        <f>k_p4_0+C523*(k_p4_1+C523*(k_p4_2+C523*(k_p4_3+C523*k_p4_4)))</f>
        <v/>
      </c>
      <c r="G523">
        <f>k_ea+k_eb*EXP(k_ec*C523)</f>
        <v/>
      </c>
      <c r="H523">
        <f>(k_p2_1+2*k_p2_2*C523)/k_sx</f>
        <v/>
      </c>
      <c r="I523">
        <f>(k_p3_1+C523*(2*k_p3_2+3*k_p3_3*C523))/k_sx</f>
        <v/>
      </c>
      <c r="J523">
        <f>(k_p4_1+C523*(2*k_p4_2+C523*(3*k_p4_3+4*k_p4_4*C523)))/k_sx</f>
        <v/>
      </c>
      <c r="K523">
        <f>k_eb*k_ec*EXP(k_ec*C523)/k_sx</f>
        <v/>
      </c>
      <c r="L523">
        <f>(2*k_p4_2+C523*(6*k_p4_3+12*k_p4_4*C523))/k_sx^2</f>
        <v/>
      </c>
      <c r="M523">
        <f>D523/B523</f>
        <v/>
      </c>
      <c r="N523">
        <f>E523/B523</f>
        <v/>
      </c>
      <c r="O523">
        <f>F523/B523</f>
        <v/>
      </c>
      <c r="P523">
        <f>G523/B523</f>
        <v/>
      </c>
      <c r="Q523">
        <f>CHOOSE(k_model,D523,E523,F523,G523)</f>
        <v/>
      </c>
      <c r="R523">
        <f>CHOOSE(k_model,H523,I523,J523,K523)</f>
        <v/>
      </c>
    </row>
    <row r="524">
      <c r="A524" t="n">
        <v>522</v>
      </c>
      <c r="B524">
        <f>k_lo+k_rng*A524/1000</f>
        <v/>
      </c>
      <c r="C524">
        <f>(B524-k_mx)/k_sx</f>
        <v/>
      </c>
      <c r="D524">
        <f>k_p2_0+C524*(k_p2_1+C524*k_p2_2)</f>
        <v/>
      </c>
      <c r="E524">
        <f>k_p3_0+C524*(k_p3_1+C524*(k_p3_2+C524*k_p3_3))</f>
        <v/>
      </c>
      <c r="F524">
        <f>k_p4_0+C524*(k_p4_1+C524*(k_p4_2+C524*(k_p4_3+C524*k_p4_4)))</f>
        <v/>
      </c>
      <c r="G524">
        <f>k_ea+k_eb*EXP(k_ec*C524)</f>
        <v/>
      </c>
      <c r="H524">
        <f>(k_p2_1+2*k_p2_2*C524)/k_sx</f>
        <v/>
      </c>
      <c r="I524">
        <f>(k_p3_1+C524*(2*k_p3_2+3*k_p3_3*C524))/k_sx</f>
        <v/>
      </c>
      <c r="J524">
        <f>(k_p4_1+C524*(2*k_p4_2+C524*(3*k_p4_3+4*k_p4_4*C524)))/k_sx</f>
        <v/>
      </c>
      <c r="K524">
        <f>k_eb*k_ec*EXP(k_ec*C524)/k_sx</f>
        <v/>
      </c>
      <c r="L524">
        <f>(2*k_p4_2+C524*(6*k_p4_3+12*k_p4_4*C524))/k_sx^2</f>
        <v/>
      </c>
      <c r="M524">
        <f>D524/B524</f>
        <v/>
      </c>
      <c r="N524">
        <f>E524/B524</f>
        <v/>
      </c>
      <c r="O524">
        <f>F524/B524</f>
        <v/>
      </c>
      <c r="P524">
        <f>G524/B524</f>
        <v/>
      </c>
      <c r="Q524">
        <f>CHOOSE(k_model,D524,E524,F524,G524)</f>
        <v/>
      </c>
      <c r="R524">
        <f>CHOOSE(k_model,H524,I524,J524,K524)</f>
        <v/>
      </c>
    </row>
    <row r="525">
      <c r="A525" t="n">
        <v>523</v>
      </c>
      <c r="B525">
        <f>k_lo+k_rng*A525/1000</f>
        <v/>
      </c>
      <c r="C525">
        <f>(B525-k_mx)/k_sx</f>
        <v/>
      </c>
      <c r="D525">
        <f>k_p2_0+C525*(k_p2_1+C525*k_p2_2)</f>
        <v/>
      </c>
      <c r="E525">
        <f>k_p3_0+C525*(k_p3_1+C525*(k_p3_2+C525*k_p3_3))</f>
        <v/>
      </c>
      <c r="F525">
        <f>k_p4_0+C525*(k_p4_1+C525*(k_p4_2+C525*(k_p4_3+C525*k_p4_4)))</f>
        <v/>
      </c>
      <c r="G525">
        <f>k_ea+k_eb*EXP(k_ec*C525)</f>
        <v/>
      </c>
      <c r="H525">
        <f>(k_p2_1+2*k_p2_2*C525)/k_sx</f>
        <v/>
      </c>
      <c r="I525">
        <f>(k_p3_1+C525*(2*k_p3_2+3*k_p3_3*C525))/k_sx</f>
        <v/>
      </c>
      <c r="J525">
        <f>(k_p4_1+C525*(2*k_p4_2+C525*(3*k_p4_3+4*k_p4_4*C525)))/k_sx</f>
        <v/>
      </c>
      <c r="K525">
        <f>k_eb*k_ec*EXP(k_ec*C525)/k_sx</f>
        <v/>
      </c>
      <c r="L525">
        <f>(2*k_p4_2+C525*(6*k_p4_3+12*k_p4_4*C525))/k_sx^2</f>
        <v/>
      </c>
      <c r="M525">
        <f>D525/B525</f>
        <v/>
      </c>
      <c r="N525">
        <f>E525/B525</f>
        <v/>
      </c>
      <c r="O525">
        <f>F525/B525</f>
        <v/>
      </c>
      <c r="P525">
        <f>G525/B525</f>
        <v/>
      </c>
      <c r="Q525">
        <f>CHOOSE(k_model,D525,E525,F525,G525)</f>
        <v/>
      </c>
      <c r="R525">
        <f>CHOOSE(k_model,H525,I525,J525,K525)</f>
        <v/>
      </c>
    </row>
    <row r="526">
      <c r="A526" t="n">
        <v>524</v>
      </c>
      <c r="B526">
        <f>k_lo+k_rng*A526/1000</f>
        <v/>
      </c>
      <c r="C526">
        <f>(B526-k_mx)/k_sx</f>
        <v/>
      </c>
      <c r="D526">
        <f>k_p2_0+C526*(k_p2_1+C526*k_p2_2)</f>
        <v/>
      </c>
      <c r="E526">
        <f>k_p3_0+C526*(k_p3_1+C526*(k_p3_2+C526*k_p3_3))</f>
        <v/>
      </c>
      <c r="F526">
        <f>k_p4_0+C526*(k_p4_1+C526*(k_p4_2+C526*(k_p4_3+C526*k_p4_4)))</f>
        <v/>
      </c>
      <c r="G526">
        <f>k_ea+k_eb*EXP(k_ec*C526)</f>
        <v/>
      </c>
      <c r="H526">
        <f>(k_p2_1+2*k_p2_2*C526)/k_sx</f>
        <v/>
      </c>
      <c r="I526">
        <f>(k_p3_1+C526*(2*k_p3_2+3*k_p3_3*C526))/k_sx</f>
        <v/>
      </c>
      <c r="J526">
        <f>(k_p4_1+C526*(2*k_p4_2+C526*(3*k_p4_3+4*k_p4_4*C526)))/k_sx</f>
        <v/>
      </c>
      <c r="K526">
        <f>k_eb*k_ec*EXP(k_ec*C526)/k_sx</f>
        <v/>
      </c>
      <c r="L526">
        <f>(2*k_p4_2+C526*(6*k_p4_3+12*k_p4_4*C526))/k_sx^2</f>
        <v/>
      </c>
      <c r="M526">
        <f>D526/B526</f>
        <v/>
      </c>
      <c r="N526">
        <f>E526/B526</f>
        <v/>
      </c>
      <c r="O526">
        <f>F526/B526</f>
        <v/>
      </c>
      <c r="P526">
        <f>G526/B526</f>
        <v/>
      </c>
      <c r="Q526">
        <f>CHOOSE(k_model,D526,E526,F526,G526)</f>
        <v/>
      </c>
      <c r="R526">
        <f>CHOOSE(k_model,H526,I526,J526,K526)</f>
        <v/>
      </c>
    </row>
    <row r="527">
      <c r="A527" t="n">
        <v>525</v>
      </c>
      <c r="B527">
        <f>k_lo+k_rng*A527/1000</f>
        <v/>
      </c>
      <c r="C527">
        <f>(B527-k_mx)/k_sx</f>
        <v/>
      </c>
      <c r="D527">
        <f>k_p2_0+C527*(k_p2_1+C527*k_p2_2)</f>
        <v/>
      </c>
      <c r="E527">
        <f>k_p3_0+C527*(k_p3_1+C527*(k_p3_2+C527*k_p3_3))</f>
        <v/>
      </c>
      <c r="F527">
        <f>k_p4_0+C527*(k_p4_1+C527*(k_p4_2+C527*(k_p4_3+C527*k_p4_4)))</f>
        <v/>
      </c>
      <c r="G527">
        <f>k_ea+k_eb*EXP(k_ec*C527)</f>
        <v/>
      </c>
      <c r="H527">
        <f>(k_p2_1+2*k_p2_2*C527)/k_sx</f>
        <v/>
      </c>
      <c r="I527">
        <f>(k_p3_1+C527*(2*k_p3_2+3*k_p3_3*C527))/k_sx</f>
        <v/>
      </c>
      <c r="J527">
        <f>(k_p4_1+C527*(2*k_p4_2+C527*(3*k_p4_3+4*k_p4_4*C527)))/k_sx</f>
        <v/>
      </c>
      <c r="K527">
        <f>k_eb*k_ec*EXP(k_ec*C527)/k_sx</f>
        <v/>
      </c>
      <c r="L527">
        <f>(2*k_p4_2+C527*(6*k_p4_3+12*k_p4_4*C527))/k_sx^2</f>
        <v/>
      </c>
      <c r="M527">
        <f>D527/B527</f>
        <v/>
      </c>
      <c r="N527">
        <f>E527/B527</f>
        <v/>
      </c>
      <c r="O527">
        <f>F527/B527</f>
        <v/>
      </c>
      <c r="P527">
        <f>G527/B527</f>
        <v/>
      </c>
      <c r="Q527">
        <f>CHOOSE(k_model,D527,E527,F527,G527)</f>
        <v/>
      </c>
      <c r="R527">
        <f>CHOOSE(k_model,H527,I527,J527,K527)</f>
        <v/>
      </c>
    </row>
    <row r="528">
      <c r="A528" t="n">
        <v>526</v>
      </c>
      <c r="B528">
        <f>k_lo+k_rng*A528/1000</f>
        <v/>
      </c>
      <c r="C528">
        <f>(B528-k_mx)/k_sx</f>
        <v/>
      </c>
      <c r="D528">
        <f>k_p2_0+C528*(k_p2_1+C528*k_p2_2)</f>
        <v/>
      </c>
      <c r="E528">
        <f>k_p3_0+C528*(k_p3_1+C528*(k_p3_2+C528*k_p3_3))</f>
        <v/>
      </c>
      <c r="F528">
        <f>k_p4_0+C528*(k_p4_1+C528*(k_p4_2+C528*(k_p4_3+C528*k_p4_4)))</f>
        <v/>
      </c>
      <c r="G528">
        <f>k_ea+k_eb*EXP(k_ec*C528)</f>
        <v/>
      </c>
      <c r="H528">
        <f>(k_p2_1+2*k_p2_2*C528)/k_sx</f>
        <v/>
      </c>
      <c r="I528">
        <f>(k_p3_1+C528*(2*k_p3_2+3*k_p3_3*C528))/k_sx</f>
        <v/>
      </c>
      <c r="J528">
        <f>(k_p4_1+C528*(2*k_p4_2+C528*(3*k_p4_3+4*k_p4_4*C528)))/k_sx</f>
        <v/>
      </c>
      <c r="K528">
        <f>k_eb*k_ec*EXP(k_ec*C528)/k_sx</f>
        <v/>
      </c>
      <c r="L528">
        <f>(2*k_p4_2+C528*(6*k_p4_3+12*k_p4_4*C528))/k_sx^2</f>
        <v/>
      </c>
      <c r="M528">
        <f>D528/B528</f>
        <v/>
      </c>
      <c r="N528">
        <f>E528/B528</f>
        <v/>
      </c>
      <c r="O528">
        <f>F528/B528</f>
        <v/>
      </c>
      <c r="P528">
        <f>G528/B528</f>
        <v/>
      </c>
      <c r="Q528">
        <f>CHOOSE(k_model,D528,E528,F528,G528)</f>
        <v/>
      </c>
      <c r="R528">
        <f>CHOOSE(k_model,H528,I528,J528,K528)</f>
        <v/>
      </c>
    </row>
    <row r="529">
      <c r="A529" t="n">
        <v>527</v>
      </c>
      <c r="B529">
        <f>k_lo+k_rng*A529/1000</f>
        <v/>
      </c>
      <c r="C529">
        <f>(B529-k_mx)/k_sx</f>
        <v/>
      </c>
      <c r="D529">
        <f>k_p2_0+C529*(k_p2_1+C529*k_p2_2)</f>
        <v/>
      </c>
      <c r="E529">
        <f>k_p3_0+C529*(k_p3_1+C529*(k_p3_2+C529*k_p3_3))</f>
        <v/>
      </c>
      <c r="F529">
        <f>k_p4_0+C529*(k_p4_1+C529*(k_p4_2+C529*(k_p4_3+C529*k_p4_4)))</f>
        <v/>
      </c>
      <c r="G529">
        <f>k_ea+k_eb*EXP(k_ec*C529)</f>
        <v/>
      </c>
      <c r="H529">
        <f>(k_p2_1+2*k_p2_2*C529)/k_sx</f>
        <v/>
      </c>
      <c r="I529">
        <f>(k_p3_1+C529*(2*k_p3_2+3*k_p3_3*C529))/k_sx</f>
        <v/>
      </c>
      <c r="J529">
        <f>(k_p4_1+C529*(2*k_p4_2+C529*(3*k_p4_3+4*k_p4_4*C529)))/k_sx</f>
        <v/>
      </c>
      <c r="K529">
        <f>k_eb*k_ec*EXP(k_ec*C529)/k_sx</f>
        <v/>
      </c>
      <c r="L529">
        <f>(2*k_p4_2+C529*(6*k_p4_3+12*k_p4_4*C529))/k_sx^2</f>
        <v/>
      </c>
      <c r="M529">
        <f>D529/B529</f>
        <v/>
      </c>
      <c r="N529">
        <f>E529/B529</f>
        <v/>
      </c>
      <c r="O529">
        <f>F529/B529</f>
        <v/>
      </c>
      <c r="P529">
        <f>G529/B529</f>
        <v/>
      </c>
      <c r="Q529">
        <f>CHOOSE(k_model,D529,E529,F529,G529)</f>
        <v/>
      </c>
      <c r="R529">
        <f>CHOOSE(k_model,H529,I529,J529,K529)</f>
        <v/>
      </c>
    </row>
    <row r="530">
      <c r="A530" t="n">
        <v>528</v>
      </c>
      <c r="B530">
        <f>k_lo+k_rng*A530/1000</f>
        <v/>
      </c>
      <c r="C530">
        <f>(B530-k_mx)/k_sx</f>
        <v/>
      </c>
      <c r="D530">
        <f>k_p2_0+C530*(k_p2_1+C530*k_p2_2)</f>
        <v/>
      </c>
      <c r="E530">
        <f>k_p3_0+C530*(k_p3_1+C530*(k_p3_2+C530*k_p3_3))</f>
        <v/>
      </c>
      <c r="F530">
        <f>k_p4_0+C530*(k_p4_1+C530*(k_p4_2+C530*(k_p4_3+C530*k_p4_4)))</f>
        <v/>
      </c>
      <c r="G530">
        <f>k_ea+k_eb*EXP(k_ec*C530)</f>
        <v/>
      </c>
      <c r="H530">
        <f>(k_p2_1+2*k_p2_2*C530)/k_sx</f>
        <v/>
      </c>
      <c r="I530">
        <f>(k_p3_1+C530*(2*k_p3_2+3*k_p3_3*C530))/k_sx</f>
        <v/>
      </c>
      <c r="J530">
        <f>(k_p4_1+C530*(2*k_p4_2+C530*(3*k_p4_3+4*k_p4_4*C530)))/k_sx</f>
        <v/>
      </c>
      <c r="K530">
        <f>k_eb*k_ec*EXP(k_ec*C530)/k_sx</f>
        <v/>
      </c>
      <c r="L530">
        <f>(2*k_p4_2+C530*(6*k_p4_3+12*k_p4_4*C530))/k_sx^2</f>
        <v/>
      </c>
      <c r="M530">
        <f>D530/B530</f>
        <v/>
      </c>
      <c r="N530">
        <f>E530/B530</f>
        <v/>
      </c>
      <c r="O530">
        <f>F530/B530</f>
        <v/>
      </c>
      <c r="P530">
        <f>G530/B530</f>
        <v/>
      </c>
      <c r="Q530">
        <f>CHOOSE(k_model,D530,E530,F530,G530)</f>
        <v/>
      </c>
      <c r="R530">
        <f>CHOOSE(k_model,H530,I530,J530,K530)</f>
        <v/>
      </c>
    </row>
    <row r="531">
      <c r="A531" t="n">
        <v>529</v>
      </c>
      <c r="B531">
        <f>k_lo+k_rng*A531/1000</f>
        <v/>
      </c>
      <c r="C531">
        <f>(B531-k_mx)/k_sx</f>
        <v/>
      </c>
      <c r="D531">
        <f>k_p2_0+C531*(k_p2_1+C531*k_p2_2)</f>
        <v/>
      </c>
      <c r="E531">
        <f>k_p3_0+C531*(k_p3_1+C531*(k_p3_2+C531*k_p3_3))</f>
        <v/>
      </c>
      <c r="F531">
        <f>k_p4_0+C531*(k_p4_1+C531*(k_p4_2+C531*(k_p4_3+C531*k_p4_4)))</f>
        <v/>
      </c>
      <c r="G531">
        <f>k_ea+k_eb*EXP(k_ec*C531)</f>
        <v/>
      </c>
      <c r="H531">
        <f>(k_p2_1+2*k_p2_2*C531)/k_sx</f>
        <v/>
      </c>
      <c r="I531">
        <f>(k_p3_1+C531*(2*k_p3_2+3*k_p3_3*C531))/k_sx</f>
        <v/>
      </c>
      <c r="J531">
        <f>(k_p4_1+C531*(2*k_p4_2+C531*(3*k_p4_3+4*k_p4_4*C531)))/k_sx</f>
        <v/>
      </c>
      <c r="K531">
        <f>k_eb*k_ec*EXP(k_ec*C531)/k_sx</f>
        <v/>
      </c>
      <c r="L531">
        <f>(2*k_p4_2+C531*(6*k_p4_3+12*k_p4_4*C531))/k_sx^2</f>
        <v/>
      </c>
      <c r="M531">
        <f>D531/B531</f>
        <v/>
      </c>
      <c r="N531">
        <f>E531/B531</f>
        <v/>
      </c>
      <c r="O531">
        <f>F531/B531</f>
        <v/>
      </c>
      <c r="P531">
        <f>G531/B531</f>
        <v/>
      </c>
      <c r="Q531">
        <f>CHOOSE(k_model,D531,E531,F531,G531)</f>
        <v/>
      </c>
      <c r="R531">
        <f>CHOOSE(k_model,H531,I531,J531,K531)</f>
        <v/>
      </c>
    </row>
    <row r="532">
      <c r="A532" t="n">
        <v>530</v>
      </c>
      <c r="B532">
        <f>k_lo+k_rng*A532/1000</f>
        <v/>
      </c>
      <c r="C532">
        <f>(B532-k_mx)/k_sx</f>
        <v/>
      </c>
      <c r="D532">
        <f>k_p2_0+C532*(k_p2_1+C532*k_p2_2)</f>
        <v/>
      </c>
      <c r="E532">
        <f>k_p3_0+C532*(k_p3_1+C532*(k_p3_2+C532*k_p3_3))</f>
        <v/>
      </c>
      <c r="F532">
        <f>k_p4_0+C532*(k_p4_1+C532*(k_p4_2+C532*(k_p4_3+C532*k_p4_4)))</f>
        <v/>
      </c>
      <c r="G532">
        <f>k_ea+k_eb*EXP(k_ec*C532)</f>
        <v/>
      </c>
      <c r="H532">
        <f>(k_p2_1+2*k_p2_2*C532)/k_sx</f>
        <v/>
      </c>
      <c r="I532">
        <f>(k_p3_1+C532*(2*k_p3_2+3*k_p3_3*C532))/k_sx</f>
        <v/>
      </c>
      <c r="J532">
        <f>(k_p4_1+C532*(2*k_p4_2+C532*(3*k_p4_3+4*k_p4_4*C532)))/k_sx</f>
        <v/>
      </c>
      <c r="K532">
        <f>k_eb*k_ec*EXP(k_ec*C532)/k_sx</f>
        <v/>
      </c>
      <c r="L532">
        <f>(2*k_p4_2+C532*(6*k_p4_3+12*k_p4_4*C532))/k_sx^2</f>
        <v/>
      </c>
      <c r="M532">
        <f>D532/B532</f>
        <v/>
      </c>
      <c r="N532">
        <f>E532/B532</f>
        <v/>
      </c>
      <c r="O532">
        <f>F532/B532</f>
        <v/>
      </c>
      <c r="P532">
        <f>G532/B532</f>
        <v/>
      </c>
      <c r="Q532">
        <f>CHOOSE(k_model,D532,E532,F532,G532)</f>
        <v/>
      </c>
      <c r="R532">
        <f>CHOOSE(k_model,H532,I532,J532,K532)</f>
        <v/>
      </c>
    </row>
    <row r="533">
      <c r="A533" t="n">
        <v>531</v>
      </c>
      <c r="B533">
        <f>k_lo+k_rng*A533/1000</f>
        <v/>
      </c>
      <c r="C533">
        <f>(B533-k_mx)/k_sx</f>
        <v/>
      </c>
      <c r="D533">
        <f>k_p2_0+C533*(k_p2_1+C533*k_p2_2)</f>
        <v/>
      </c>
      <c r="E533">
        <f>k_p3_0+C533*(k_p3_1+C533*(k_p3_2+C533*k_p3_3))</f>
        <v/>
      </c>
      <c r="F533">
        <f>k_p4_0+C533*(k_p4_1+C533*(k_p4_2+C533*(k_p4_3+C533*k_p4_4)))</f>
        <v/>
      </c>
      <c r="G533">
        <f>k_ea+k_eb*EXP(k_ec*C533)</f>
        <v/>
      </c>
      <c r="H533">
        <f>(k_p2_1+2*k_p2_2*C533)/k_sx</f>
        <v/>
      </c>
      <c r="I533">
        <f>(k_p3_1+C533*(2*k_p3_2+3*k_p3_3*C533))/k_sx</f>
        <v/>
      </c>
      <c r="J533">
        <f>(k_p4_1+C533*(2*k_p4_2+C533*(3*k_p4_3+4*k_p4_4*C533)))/k_sx</f>
        <v/>
      </c>
      <c r="K533">
        <f>k_eb*k_ec*EXP(k_ec*C533)/k_sx</f>
        <v/>
      </c>
      <c r="L533">
        <f>(2*k_p4_2+C533*(6*k_p4_3+12*k_p4_4*C533))/k_sx^2</f>
        <v/>
      </c>
      <c r="M533">
        <f>D533/B533</f>
        <v/>
      </c>
      <c r="N533">
        <f>E533/B533</f>
        <v/>
      </c>
      <c r="O533">
        <f>F533/B533</f>
        <v/>
      </c>
      <c r="P533">
        <f>G533/B533</f>
        <v/>
      </c>
      <c r="Q533">
        <f>CHOOSE(k_model,D533,E533,F533,G533)</f>
        <v/>
      </c>
      <c r="R533">
        <f>CHOOSE(k_model,H533,I533,J533,K533)</f>
        <v/>
      </c>
    </row>
    <row r="534">
      <c r="A534" t="n">
        <v>532</v>
      </c>
      <c r="B534">
        <f>k_lo+k_rng*A534/1000</f>
        <v/>
      </c>
      <c r="C534">
        <f>(B534-k_mx)/k_sx</f>
        <v/>
      </c>
      <c r="D534">
        <f>k_p2_0+C534*(k_p2_1+C534*k_p2_2)</f>
        <v/>
      </c>
      <c r="E534">
        <f>k_p3_0+C534*(k_p3_1+C534*(k_p3_2+C534*k_p3_3))</f>
        <v/>
      </c>
      <c r="F534">
        <f>k_p4_0+C534*(k_p4_1+C534*(k_p4_2+C534*(k_p4_3+C534*k_p4_4)))</f>
        <v/>
      </c>
      <c r="G534">
        <f>k_ea+k_eb*EXP(k_ec*C534)</f>
        <v/>
      </c>
      <c r="H534">
        <f>(k_p2_1+2*k_p2_2*C534)/k_sx</f>
        <v/>
      </c>
      <c r="I534">
        <f>(k_p3_1+C534*(2*k_p3_2+3*k_p3_3*C534))/k_sx</f>
        <v/>
      </c>
      <c r="J534">
        <f>(k_p4_1+C534*(2*k_p4_2+C534*(3*k_p4_3+4*k_p4_4*C534)))/k_sx</f>
        <v/>
      </c>
      <c r="K534">
        <f>k_eb*k_ec*EXP(k_ec*C534)/k_sx</f>
        <v/>
      </c>
      <c r="L534">
        <f>(2*k_p4_2+C534*(6*k_p4_3+12*k_p4_4*C534))/k_sx^2</f>
        <v/>
      </c>
      <c r="M534">
        <f>D534/B534</f>
        <v/>
      </c>
      <c r="N534">
        <f>E534/B534</f>
        <v/>
      </c>
      <c r="O534">
        <f>F534/B534</f>
        <v/>
      </c>
      <c r="P534">
        <f>G534/B534</f>
        <v/>
      </c>
      <c r="Q534">
        <f>CHOOSE(k_model,D534,E534,F534,G534)</f>
        <v/>
      </c>
      <c r="R534">
        <f>CHOOSE(k_model,H534,I534,J534,K534)</f>
        <v/>
      </c>
    </row>
    <row r="535">
      <c r="A535" t="n">
        <v>533</v>
      </c>
      <c r="B535">
        <f>k_lo+k_rng*A535/1000</f>
        <v/>
      </c>
      <c r="C535">
        <f>(B535-k_mx)/k_sx</f>
        <v/>
      </c>
      <c r="D535">
        <f>k_p2_0+C535*(k_p2_1+C535*k_p2_2)</f>
        <v/>
      </c>
      <c r="E535">
        <f>k_p3_0+C535*(k_p3_1+C535*(k_p3_2+C535*k_p3_3))</f>
        <v/>
      </c>
      <c r="F535">
        <f>k_p4_0+C535*(k_p4_1+C535*(k_p4_2+C535*(k_p4_3+C535*k_p4_4)))</f>
        <v/>
      </c>
      <c r="G535">
        <f>k_ea+k_eb*EXP(k_ec*C535)</f>
        <v/>
      </c>
      <c r="H535">
        <f>(k_p2_1+2*k_p2_2*C535)/k_sx</f>
        <v/>
      </c>
      <c r="I535">
        <f>(k_p3_1+C535*(2*k_p3_2+3*k_p3_3*C535))/k_sx</f>
        <v/>
      </c>
      <c r="J535">
        <f>(k_p4_1+C535*(2*k_p4_2+C535*(3*k_p4_3+4*k_p4_4*C535)))/k_sx</f>
        <v/>
      </c>
      <c r="K535">
        <f>k_eb*k_ec*EXP(k_ec*C535)/k_sx</f>
        <v/>
      </c>
      <c r="L535">
        <f>(2*k_p4_2+C535*(6*k_p4_3+12*k_p4_4*C535))/k_sx^2</f>
        <v/>
      </c>
      <c r="M535">
        <f>D535/B535</f>
        <v/>
      </c>
      <c r="N535">
        <f>E535/B535</f>
        <v/>
      </c>
      <c r="O535">
        <f>F535/B535</f>
        <v/>
      </c>
      <c r="P535">
        <f>G535/B535</f>
        <v/>
      </c>
      <c r="Q535">
        <f>CHOOSE(k_model,D535,E535,F535,G535)</f>
        <v/>
      </c>
      <c r="R535">
        <f>CHOOSE(k_model,H535,I535,J535,K535)</f>
        <v/>
      </c>
    </row>
    <row r="536">
      <c r="A536" t="n">
        <v>534</v>
      </c>
      <c r="B536">
        <f>k_lo+k_rng*A536/1000</f>
        <v/>
      </c>
      <c r="C536">
        <f>(B536-k_mx)/k_sx</f>
        <v/>
      </c>
      <c r="D536">
        <f>k_p2_0+C536*(k_p2_1+C536*k_p2_2)</f>
        <v/>
      </c>
      <c r="E536">
        <f>k_p3_0+C536*(k_p3_1+C536*(k_p3_2+C536*k_p3_3))</f>
        <v/>
      </c>
      <c r="F536">
        <f>k_p4_0+C536*(k_p4_1+C536*(k_p4_2+C536*(k_p4_3+C536*k_p4_4)))</f>
        <v/>
      </c>
      <c r="G536">
        <f>k_ea+k_eb*EXP(k_ec*C536)</f>
        <v/>
      </c>
      <c r="H536">
        <f>(k_p2_1+2*k_p2_2*C536)/k_sx</f>
        <v/>
      </c>
      <c r="I536">
        <f>(k_p3_1+C536*(2*k_p3_2+3*k_p3_3*C536))/k_sx</f>
        <v/>
      </c>
      <c r="J536">
        <f>(k_p4_1+C536*(2*k_p4_2+C536*(3*k_p4_3+4*k_p4_4*C536)))/k_sx</f>
        <v/>
      </c>
      <c r="K536">
        <f>k_eb*k_ec*EXP(k_ec*C536)/k_sx</f>
        <v/>
      </c>
      <c r="L536">
        <f>(2*k_p4_2+C536*(6*k_p4_3+12*k_p4_4*C536))/k_sx^2</f>
        <v/>
      </c>
      <c r="M536">
        <f>D536/B536</f>
        <v/>
      </c>
      <c r="N536">
        <f>E536/B536</f>
        <v/>
      </c>
      <c r="O536">
        <f>F536/B536</f>
        <v/>
      </c>
      <c r="P536">
        <f>G536/B536</f>
        <v/>
      </c>
      <c r="Q536">
        <f>CHOOSE(k_model,D536,E536,F536,G536)</f>
        <v/>
      </c>
      <c r="R536">
        <f>CHOOSE(k_model,H536,I536,J536,K536)</f>
        <v/>
      </c>
    </row>
    <row r="537">
      <c r="A537" t="n">
        <v>535</v>
      </c>
      <c r="B537">
        <f>k_lo+k_rng*A537/1000</f>
        <v/>
      </c>
      <c r="C537">
        <f>(B537-k_mx)/k_sx</f>
        <v/>
      </c>
      <c r="D537">
        <f>k_p2_0+C537*(k_p2_1+C537*k_p2_2)</f>
        <v/>
      </c>
      <c r="E537">
        <f>k_p3_0+C537*(k_p3_1+C537*(k_p3_2+C537*k_p3_3))</f>
        <v/>
      </c>
      <c r="F537">
        <f>k_p4_0+C537*(k_p4_1+C537*(k_p4_2+C537*(k_p4_3+C537*k_p4_4)))</f>
        <v/>
      </c>
      <c r="G537">
        <f>k_ea+k_eb*EXP(k_ec*C537)</f>
        <v/>
      </c>
      <c r="H537">
        <f>(k_p2_1+2*k_p2_2*C537)/k_sx</f>
        <v/>
      </c>
      <c r="I537">
        <f>(k_p3_1+C537*(2*k_p3_2+3*k_p3_3*C537))/k_sx</f>
        <v/>
      </c>
      <c r="J537">
        <f>(k_p4_1+C537*(2*k_p4_2+C537*(3*k_p4_3+4*k_p4_4*C537)))/k_sx</f>
        <v/>
      </c>
      <c r="K537">
        <f>k_eb*k_ec*EXP(k_ec*C537)/k_sx</f>
        <v/>
      </c>
      <c r="L537">
        <f>(2*k_p4_2+C537*(6*k_p4_3+12*k_p4_4*C537))/k_sx^2</f>
        <v/>
      </c>
      <c r="M537">
        <f>D537/B537</f>
        <v/>
      </c>
      <c r="N537">
        <f>E537/B537</f>
        <v/>
      </c>
      <c r="O537">
        <f>F537/B537</f>
        <v/>
      </c>
      <c r="P537">
        <f>G537/B537</f>
        <v/>
      </c>
      <c r="Q537">
        <f>CHOOSE(k_model,D537,E537,F537,G537)</f>
        <v/>
      </c>
      <c r="R537">
        <f>CHOOSE(k_model,H537,I537,J537,K537)</f>
        <v/>
      </c>
    </row>
    <row r="538">
      <c r="A538" t="n">
        <v>536</v>
      </c>
      <c r="B538">
        <f>k_lo+k_rng*A538/1000</f>
        <v/>
      </c>
      <c r="C538">
        <f>(B538-k_mx)/k_sx</f>
        <v/>
      </c>
      <c r="D538">
        <f>k_p2_0+C538*(k_p2_1+C538*k_p2_2)</f>
        <v/>
      </c>
      <c r="E538">
        <f>k_p3_0+C538*(k_p3_1+C538*(k_p3_2+C538*k_p3_3))</f>
        <v/>
      </c>
      <c r="F538">
        <f>k_p4_0+C538*(k_p4_1+C538*(k_p4_2+C538*(k_p4_3+C538*k_p4_4)))</f>
        <v/>
      </c>
      <c r="G538">
        <f>k_ea+k_eb*EXP(k_ec*C538)</f>
        <v/>
      </c>
      <c r="H538">
        <f>(k_p2_1+2*k_p2_2*C538)/k_sx</f>
        <v/>
      </c>
      <c r="I538">
        <f>(k_p3_1+C538*(2*k_p3_2+3*k_p3_3*C538))/k_sx</f>
        <v/>
      </c>
      <c r="J538">
        <f>(k_p4_1+C538*(2*k_p4_2+C538*(3*k_p4_3+4*k_p4_4*C538)))/k_sx</f>
        <v/>
      </c>
      <c r="K538">
        <f>k_eb*k_ec*EXP(k_ec*C538)/k_sx</f>
        <v/>
      </c>
      <c r="L538">
        <f>(2*k_p4_2+C538*(6*k_p4_3+12*k_p4_4*C538))/k_sx^2</f>
        <v/>
      </c>
      <c r="M538">
        <f>D538/B538</f>
        <v/>
      </c>
      <c r="N538">
        <f>E538/B538</f>
        <v/>
      </c>
      <c r="O538">
        <f>F538/B538</f>
        <v/>
      </c>
      <c r="P538">
        <f>G538/B538</f>
        <v/>
      </c>
      <c r="Q538">
        <f>CHOOSE(k_model,D538,E538,F538,G538)</f>
        <v/>
      </c>
      <c r="R538">
        <f>CHOOSE(k_model,H538,I538,J538,K538)</f>
        <v/>
      </c>
    </row>
    <row r="539">
      <c r="A539" t="n">
        <v>537</v>
      </c>
      <c r="B539">
        <f>k_lo+k_rng*A539/1000</f>
        <v/>
      </c>
      <c r="C539">
        <f>(B539-k_mx)/k_sx</f>
        <v/>
      </c>
      <c r="D539">
        <f>k_p2_0+C539*(k_p2_1+C539*k_p2_2)</f>
        <v/>
      </c>
      <c r="E539">
        <f>k_p3_0+C539*(k_p3_1+C539*(k_p3_2+C539*k_p3_3))</f>
        <v/>
      </c>
      <c r="F539">
        <f>k_p4_0+C539*(k_p4_1+C539*(k_p4_2+C539*(k_p4_3+C539*k_p4_4)))</f>
        <v/>
      </c>
      <c r="G539">
        <f>k_ea+k_eb*EXP(k_ec*C539)</f>
        <v/>
      </c>
      <c r="H539">
        <f>(k_p2_1+2*k_p2_2*C539)/k_sx</f>
        <v/>
      </c>
      <c r="I539">
        <f>(k_p3_1+C539*(2*k_p3_2+3*k_p3_3*C539))/k_sx</f>
        <v/>
      </c>
      <c r="J539">
        <f>(k_p4_1+C539*(2*k_p4_2+C539*(3*k_p4_3+4*k_p4_4*C539)))/k_sx</f>
        <v/>
      </c>
      <c r="K539">
        <f>k_eb*k_ec*EXP(k_ec*C539)/k_sx</f>
        <v/>
      </c>
      <c r="L539">
        <f>(2*k_p4_2+C539*(6*k_p4_3+12*k_p4_4*C539))/k_sx^2</f>
        <v/>
      </c>
      <c r="M539">
        <f>D539/B539</f>
        <v/>
      </c>
      <c r="N539">
        <f>E539/B539</f>
        <v/>
      </c>
      <c r="O539">
        <f>F539/B539</f>
        <v/>
      </c>
      <c r="P539">
        <f>G539/B539</f>
        <v/>
      </c>
      <c r="Q539">
        <f>CHOOSE(k_model,D539,E539,F539,G539)</f>
        <v/>
      </c>
      <c r="R539">
        <f>CHOOSE(k_model,H539,I539,J539,K539)</f>
        <v/>
      </c>
    </row>
    <row r="540">
      <c r="A540" t="n">
        <v>538</v>
      </c>
      <c r="B540">
        <f>k_lo+k_rng*A540/1000</f>
        <v/>
      </c>
      <c r="C540">
        <f>(B540-k_mx)/k_sx</f>
        <v/>
      </c>
      <c r="D540">
        <f>k_p2_0+C540*(k_p2_1+C540*k_p2_2)</f>
        <v/>
      </c>
      <c r="E540">
        <f>k_p3_0+C540*(k_p3_1+C540*(k_p3_2+C540*k_p3_3))</f>
        <v/>
      </c>
      <c r="F540">
        <f>k_p4_0+C540*(k_p4_1+C540*(k_p4_2+C540*(k_p4_3+C540*k_p4_4)))</f>
        <v/>
      </c>
      <c r="G540">
        <f>k_ea+k_eb*EXP(k_ec*C540)</f>
        <v/>
      </c>
      <c r="H540">
        <f>(k_p2_1+2*k_p2_2*C540)/k_sx</f>
        <v/>
      </c>
      <c r="I540">
        <f>(k_p3_1+C540*(2*k_p3_2+3*k_p3_3*C540))/k_sx</f>
        <v/>
      </c>
      <c r="J540">
        <f>(k_p4_1+C540*(2*k_p4_2+C540*(3*k_p4_3+4*k_p4_4*C540)))/k_sx</f>
        <v/>
      </c>
      <c r="K540">
        <f>k_eb*k_ec*EXP(k_ec*C540)/k_sx</f>
        <v/>
      </c>
      <c r="L540">
        <f>(2*k_p4_2+C540*(6*k_p4_3+12*k_p4_4*C540))/k_sx^2</f>
        <v/>
      </c>
      <c r="M540">
        <f>D540/B540</f>
        <v/>
      </c>
      <c r="N540">
        <f>E540/B540</f>
        <v/>
      </c>
      <c r="O540">
        <f>F540/B540</f>
        <v/>
      </c>
      <c r="P540">
        <f>G540/B540</f>
        <v/>
      </c>
      <c r="Q540">
        <f>CHOOSE(k_model,D540,E540,F540,G540)</f>
        <v/>
      </c>
      <c r="R540">
        <f>CHOOSE(k_model,H540,I540,J540,K540)</f>
        <v/>
      </c>
    </row>
    <row r="541">
      <c r="A541" t="n">
        <v>539</v>
      </c>
      <c r="B541">
        <f>k_lo+k_rng*A541/1000</f>
        <v/>
      </c>
      <c r="C541">
        <f>(B541-k_mx)/k_sx</f>
        <v/>
      </c>
      <c r="D541">
        <f>k_p2_0+C541*(k_p2_1+C541*k_p2_2)</f>
        <v/>
      </c>
      <c r="E541">
        <f>k_p3_0+C541*(k_p3_1+C541*(k_p3_2+C541*k_p3_3))</f>
        <v/>
      </c>
      <c r="F541">
        <f>k_p4_0+C541*(k_p4_1+C541*(k_p4_2+C541*(k_p4_3+C541*k_p4_4)))</f>
        <v/>
      </c>
      <c r="G541">
        <f>k_ea+k_eb*EXP(k_ec*C541)</f>
        <v/>
      </c>
      <c r="H541">
        <f>(k_p2_1+2*k_p2_2*C541)/k_sx</f>
        <v/>
      </c>
      <c r="I541">
        <f>(k_p3_1+C541*(2*k_p3_2+3*k_p3_3*C541))/k_sx</f>
        <v/>
      </c>
      <c r="J541">
        <f>(k_p4_1+C541*(2*k_p4_2+C541*(3*k_p4_3+4*k_p4_4*C541)))/k_sx</f>
        <v/>
      </c>
      <c r="K541">
        <f>k_eb*k_ec*EXP(k_ec*C541)/k_sx</f>
        <v/>
      </c>
      <c r="L541">
        <f>(2*k_p4_2+C541*(6*k_p4_3+12*k_p4_4*C541))/k_sx^2</f>
        <v/>
      </c>
      <c r="M541">
        <f>D541/B541</f>
        <v/>
      </c>
      <c r="N541">
        <f>E541/B541</f>
        <v/>
      </c>
      <c r="O541">
        <f>F541/B541</f>
        <v/>
      </c>
      <c r="P541">
        <f>G541/B541</f>
        <v/>
      </c>
      <c r="Q541">
        <f>CHOOSE(k_model,D541,E541,F541,G541)</f>
        <v/>
      </c>
      <c r="R541">
        <f>CHOOSE(k_model,H541,I541,J541,K541)</f>
        <v/>
      </c>
    </row>
    <row r="542">
      <c r="A542" t="n">
        <v>540</v>
      </c>
      <c r="B542">
        <f>k_lo+k_rng*A542/1000</f>
        <v/>
      </c>
      <c r="C542">
        <f>(B542-k_mx)/k_sx</f>
        <v/>
      </c>
      <c r="D542">
        <f>k_p2_0+C542*(k_p2_1+C542*k_p2_2)</f>
        <v/>
      </c>
      <c r="E542">
        <f>k_p3_0+C542*(k_p3_1+C542*(k_p3_2+C542*k_p3_3))</f>
        <v/>
      </c>
      <c r="F542">
        <f>k_p4_0+C542*(k_p4_1+C542*(k_p4_2+C542*(k_p4_3+C542*k_p4_4)))</f>
        <v/>
      </c>
      <c r="G542">
        <f>k_ea+k_eb*EXP(k_ec*C542)</f>
        <v/>
      </c>
      <c r="H542">
        <f>(k_p2_1+2*k_p2_2*C542)/k_sx</f>
        <v/>
      </c>
      <c r="I542">
        <f>(k_p3_1+C542*(2*k_p3_2+3*k_p3_3*C542))/k_sx</f>
        <v/>
      </c>
      <c r="J542">
        <f>(k_p4_1+C542*(2*k_p4_2+C542*(3*k_p4_3+4*k_p4_4*C542)))/k_sx</f>
        <v/>
      </c>
      <c r="K542">
        <f>k_eb*k_ec*EXP(k_ec*C542)/k_sx</f>
        <v/>
      </c>
      <c r="L542">
        <f>(2*k_p4_2+C542*(6*k_p4_3+12*k_p4_4*C542))/k_sx^2</f>
        <v/>
      </c>
      <c r="M542">
        <f>D542/B542</f>
        <v/>
      </c>
      <c r="N542">
        <f>E542/B542</f>
        <v/>
      </c>
      <c r="O542">
        <f>F542/B542</f>
        <v/>
      </c>
      <c r="P542">
        <f>G542/B542</f>
        <v/>
      </c>
      <c r="Q542">
        <f>CHOOSE(k_model,D542,E542,F542,G542)</f>
        <v/>
      </c>
      <c r="R542">
        <f>CHOOSE(k_model,H542,I542,J542,K542)</f>
        <v/>
      </c>
    </row>
    <row r="543">
      <c r="A543" t="n">
        <v>541</v>
      </c>
      <c r="B543">
        <f>k_lo+k_rng*A543/1000</f>
        <v/>
      </c>
      <c r="C543">
        <f>(B543-k_mx)/k_sx</f>
        <v/>
      </c>
      <c r="D543">
        <f>k_p2_0+C543*(k_p2_1+C543*k_p2_2)</f>
        <v/>
      </c>
      <c r="E543">
        <f>k_p3_0+C543*(k_p3_1+C543*(k_p3_2+C543*k_p3_3))</f>
        <v/>
      </c>
      <c r="F543">
        <f>k_p4_0+C543*(k_p4_1+C543*(k_p4_2+C543*(k_p4_3+C543*k_p4_4)))</f>
        <v/>
      </c>
      <c r="G543">
        <f>k_ea+k_eb*EXP(k_ec*C543)</f>
        <v/>
      </c>
      <c r="H543">
        <f>(k_p2_1+2*k_p2_2*C543)/k_sx</f>
        <v/>
      </c>
      <c r="I543">
        <f>(k_p3_1+C543*(2*k_p3_2+3*k_p3_3*C543))/k_sx</f>
        <v/>
      </c>
      <c r="J543">
        <f>(k_p4_1+C543*(2*k_p4_2+C543*(3*k_p4_3+4*k_p4_4*C543)))/k_sx</f>
        <v/>
      </c>
      <c r="K543">
        <f>k_eb*k_ec*EXP(k_ec*C543)/k_sx</f>
        <v/>
      </c>
      <c r="L543">
        <f>(2*k_p4_2+C543*(6*k_p4_3+12*k_p4_4*C543))/k_sx^2</f>
        <v/>
      </c>
      <c r="M543">
        <f>D543/B543</f>
        <v/>
      </c>
      <c r="N543">
        <f>E543/B543</f>
        <v/>
      </c>
      <c r="O543">
        <f>F543/B543</f>
        <v/>
      </c>
      <c r="P543">
        <f>G543/B543</f>
        <v/>
      </c>
      <c r="Q543">
        <f>CHOOSE(k_model,D543,E543,F543,G543)</f>
        <v/>
      </c>
      <c r="R543">
        <f>CHOOSE(k_model,H543,I543,J543,K543)</f>
        <v/>
      </c>
    </row>
    <row r="544">
      <c r="A544" t="n">
        <v>542</v>
      </c>
      <c r="B544">
        <f>k_lo+k_rng*A544/1000</f>
        <v/>
      </c>
      <c r="C544">
        <f>(B544-k_mx)/k_sx</f>
        <v/>
      </c>
      <c r="D544">
        <f>k_p2_0+C544*(k_p2_1+C544*k_p2_2)</f>
        <v/>
      </c>
      <c r="E544">
        <f>k_p3_0+C544*(k_p3_1+C544*(k_p3_2+C544*k_p3_3))</f>
        <v/>
      </c>
      <c r="F544">
        <f>k_p4_0+C544*(k_p4_1+C544*(k_p4_2+C544*(k_p4_3+C544*k_p4_4)))</f>
        <v/>
      </c>
      <c r="G544">
        <f>k_ea+k_eb*EXP(k_ec*C544)</f>
        <v/>
      </c>
      <c r="H544">
        <f>(k_p2_1+2*k_p2_2*C544)/k_sx</f>
        <v/>
      </c>
      <c r="I544">
        <f>(k_p3_1+C544*(2*k_p3_2+3*k_p3_3*C544))/k_sx</f>
        <v/>
      </c>
      <c r="J544">
        <f>(k_p4_1+C544*(2*k_p4_2+C544*(3*k_p4_3+4*k_p4_4*C544)))/k_sx</f>
        <v/>
      </c>
      <c r="K544">
        <f>k_eb*k_ec*EXP(k_ec*C544)/k_sx</f>
        <v/>
      </c>
      <c r="L544">
        <f>(2*k_p4_2+C544*(6*k_p4_3+12*k_p4_4*C544))/k_sx^2</f>
        <v/>
      </c>
      <c r="M544">
        <f>D544/B544</f>
        <v/>
      </c>
      <c r="N544">
        <f>E544/B544</f>
        <v/>
      </c>
      <c r="O544">
        <f>F544/B544</f>
        <v/>
      </c>
      <c r="P544">
        <f>G544/B544</f>
        <v/>
      </c>
      <c r="Q544">
        <f>CHOOSE(k_model,D544,E544,F544,G544)</f>
        <v/>
      </c>
      <c r="R544">
        <f>CHOOSE(k_model,H544,I544,J544,K544)</f>
        <v/>
      </c>
    </row>
    <row r="545">
      <c r="A545" t="n">
        <v>543</v>
      </c>
      <c r="B545">
        <f>k_lo+k_rng*A545/1000</f>
        <v/>
      </c>
      <c r="C545">
        <f>(B545-k_mx)/k_sx</f>
        <v/>
      </c>
      <c r="D545">
        <f>k_p2_0+C545*(k_p2_1+C545*k_p2_2)</f>
        <v/>
      </c>
      <c r="E545">
        <f>k_p3_0+C545*(k_p3_1+C545*(k_p3_2+C545*k_p3_3))</f>
        <v/>
      </c>
      <c r="F545">
        <f>k_p4_0+C545*(k_p4_1+C545*(k_p4_2+C545*(k_p4_3+C545*k_p4_4)))</f>
        <v/>
      </c>
      <c r="G545">
        <f>k_ea+k_eb*EXP(k_ec*C545)</f>
        <v/>
      </c>
      <c r="H545">
        <f>(k_p2_1+2*k_p2_2*C545)/k_sx</f>
        <v/>
      </c>
      <c r="I545">
        <f>(k_p3_1+C545*(2*k_p3_2+3*k_p3_3*C545))/k_sx</f>
        <v/>
      </c>
      <c r="J545">
        <f>(k_p4_1+C545*(2*k_p4_2+C545*(3*k_p4_3+4*k_p4_4*C545)))/k_sx</f>
        <v/>
      </c>
      <c r="K545">
        <f>k_eb*k_ec*EXP(k_ec*C545)/k_sx</f>
        <v/>
      </c>
      <c r="L545">
        <f>(2*k_p4_2+C545*(6*k_p4_3+12*k_p4_4*C545))/k_sx^2</f>
        <v/>
      </c>
      <c r="M545">
        <f>D545/B545</f>
        <v/>
      </c>
      <c r="N545">
        <f>E545/B545</f>
        <v/>
      </c>
      <c r="O545">
        <f>F545/B545</f>
        <v/>
      </c>
      <c r="P545">
        <f>G545/B545</f>
        <v/>
      </c>
      <c r="Q545">
        <f>CHOOSE(k_model,D545,E545,F545,G545)</f>
        <v/>
      </c>
      <c r="R545">
        <f>CHOOSE(k_model,H545,I545,J545,K545)</f>
        <v/>
      </c>
    </row>
    <row r="546">
      <c r="A546" t="n">
        <v>544</v>
      </c>
      <c r="B546">
        <f>k_lo+k_rng*A546/1000</f>
        <v/>
      </c>
      <c r="C546">
        <f>(B546-k_mx)/k_sx</f>
        <v/>
      </c>
      <c r="D546">
        <f>k_p2_0+C546*(k_p2_1+C546*k_p2_2)</f>
        <v/>
      </c>
      <c r="E546">
        <f>k_p3_0+C546*(k_p3_1+C546*(k_p3_2+C546*k_p3_3))</f>
        <v/>
      </c>
      <c r="F546">
        <f>k_p4_0+C546*(k_p4_1+C546*(k_p4_2+C546*(k_p4_3+C546*k_p4_4)))</f>
        <v/>
      </c>
      <c r="G546">
        <f>k_ea+k_eb*EXP(k_ec*C546)</f>
        <v/>
      </c>
      <c r="H546">
        <f>(k_p2_1+2*k_p2_2*C546)/k_sx</f>
        <v/>
      </c>
      <c r="I546">
        <f>(k_p3_1+C546*(2*k_p3_2+3*k_p3_3*C546))/k_sx</f>
        <v/>
      </c>
      <c r="J546">
        <f>(k_p4_1+C546*(2*k_p4_2+C546*(3*k_p4_3+4*k_p4_4*C546)))/k_sx</f>
        <v/>
      </c>
      <c r="K546">
        <f>k_eb*k_ec*EXP(k_ec*C546)/k_sx</f>
        <v/>
      </c>
      <c r="L546">
        <f>(2*k_p4_2+C546*(6*k_p4_3+12*k_p4_4*C546))/k_sx^2</f>
        <v/>
      </c>
      <c r="M546">
        <f>D546/B546</f>
        <v/>
      </c>
      <c r="N546">
        <f>E546/B546</f>
        <v/>
      </c>
      <c r="O546">
        <f>F546/B546</f>
        <v/>
      </c>
      <c r="P546">
        <f>G546/B546</f>
        <v/>
      </c>
      <c r="Q546">
        <f>CHOOSE(k_model,D546,E546,F546,G546)</f>
        <v/>
      </c>
      <c r="R546">
        <f>CHOOSE(k_model,H546,I546,J546,K546)</f>
        <v/>
      </c>
    </row>
    <row r="547">
      <c r="A547" t="n">
        <v>545</v>
      </c>
      <c r="B547">
        <f>k_lo+k_rng*A547/1000</f>
        <v/>
      </c>
      <c r="C547">
        <f>(B547-k_mx)/k_sx</f>
        <v/>
      </c>
      <c r="D547">
        <f>k_p2_0+C547*(k_p2_1+C547*k_p2_2)</f>
        <v/>
      </c>
      <c r="E547">
        <f>k_p3_0+C547*(k_p3_1+C547*(k_p3_2+C547*k_p3_3))</f>
        <v/>
      </c>
      <c r="F547">
        <f>k_p4_0+C547*(k_p4_1+C547*(k_p4_2+C547*(k_p4_3+C547*k_p4_4)))</f>
        <v/>
      </c>
      <c r="G547">
        <f>k_ea+k_eb*EXP(k_ec*C547)</f>
        <v/>
      </c>
      <c r="H547">
        <f>(k_p2_1+2*k_p2_2*C547)/k_sx</f>
        <v/>
      </c>
      <c r="I547">
        <f>(k_p3_1+C547*(2*k_p3_2+3*k_p3_3*C547))/k_sx</f>
        <v/>
      </c>
      <c r="J547">
        <f>(k_p4_1+C547*(2*k_p4_2+C547*(3*k_p4_3+4*k_p4_4*C547)))/k_sx</f>
        <v/>
      </c>
      <c r="K547">
        <f>k_eb*k_ec*EXP(k_ec*C547)/k_sx</f>
        <v/>
      </c>
      <c r="L547">
        <f>(2*k_p4_2+C547*(6*k_p4_3+12*k_p4_4*C547))/k_sx^2</f>
        <v/>
      </c>
      <c r="M547">
        <f>D547/B547</f>
        <v/>
      </c>
      <c r="N547">
        <f>E547/B547</f>
        <v/>
      </c>
      <c r="O547">
        <f>F547/B547</f>
        <v/>
      </c>
      <c r="P547">
        <f>G547/B547</f>
        <v/>
      </c>
      <c r="Q547">
        <f>CHOOSE(k_model,D547,E547,F547,G547)</f>
        <v/>
      </c>
      <c r="R547">
        <f>CHOOSE(k_model,H547,I547,J547,K547)</f>
        <v/>
      </c>
    </row>
    <row r="548">
      <c r="A548" t="n">
        <v>546</v>
      </c>
      <c r="B548">
        <f>k_lo+k_rng*A548/1000</f>
        <v/>
      </c>
      <c r="C548">
        <f>(B548-k_mx)/k_sx</f>
        <v/>
      </c>
      <c r="D548">
        <f>k_p2_0+C548*(k_p2_1+C548*k_p2_2)</f>
        <v/>
      </c>
      <c r="E548">
        <f>k_p3_0+C548*(k_p3_1+C548*(k_p3_2+C548*k_p3_3))</f>
        <v/>
      </c>
      <c r="F548">
        <f>k_p4_0+C548*(k_p4_1+C548*(k_p4_2+C548*(k_p4_3+C548*k_p4_4)))</f>
        <v/>
      </c>
      <c r="G548">
        <f>k_ea+k_eb*EXP(k_ec*C548)</f>
        <v/>
      </c>
      <c r="H548">
        <f>(k_p2_1+2*k_p2_2*C548)/k_sx</f>
        <v/>
      </c>
      <c r="I548">
        <f>(k_p3_1+C548*(2*k_p3_2+3*k_p3_3*C548))/k_sx</f>
        <v/>
      </c>
      <c r="J548">
        <f>(k_p4_1+C548*(2*k_p4_2+C548*(3*k_p4_3+4*k_p4_4*C548)))/k_sx</f>
        <v/>
      </c>
      <c r="K548">
        <f>k_eb*k_ec*EXP(k_ec*C548)/k_sx</f>
        <v/>
      </c>
      <c r="L548">
        <f>(2*k_p4_2+C548*(6*k_p4_3+12*k_p4_4*C548))/k_sx^2</f>
        <v/>
      </c>
      <c r="M548">
        <f>D548/B548</f>
        <v/>
      </c>
      <c r="N548">
        <f>E548/B548</f>
        <v/>
      </c>
      <c r="O548">
        <f>F548/B548</f>
        <v/>
      </c>
      <c r="P548">
        <f>G548/B548</f>
        <v/>
      </c>
      <c r="Q548">
        <f>CHOOSE(k_model,D548,E548,F548,G548)</f>
        <v/>
      </c>
      <c r="R548">
        <f>CHOOSE(k_model,H548,I548,J548,K548)</f>
        <v/>
      </c>
    </row>
    <row r="549">
      <c r="A549" t="n">
        <v>547</v>
      </c>
      <c r="B549">
        <f>k_lo+k_rng*A549/1000</f>
        <v/>
      </c>
      <c r="C549">
        <f>(B549-k_mx)/k_sx</f>
        <v/>
      </c>
      <c r="D549">
        <f>k_p2_0+C549*(k_p2_1+C549*k_p2_2)</f>
        <v/>
      </c>
      <c r="E549">
        <f>k_p3_0+C549*(k_p3_1+C549*(k_p3_2+C549*k_p3_3))</f>
        <v/>
      </c>
      <c r="F549">
        <f>k_p4_0+C549*(k_p4_1+C549*(k_p4_2+C549*(k_p4_3+C549*k_p4_4)))</f>
        <v/>
      </c>
      <c r="G549">
        <f>k_ea+k_eb*EXP(k_ec*C549)</f>
        <v/>
      </c>
      <c r="H549">
        <f>(k_p2_1+2*k_p2_2*C549)/k_sx</f>
        <v/>
      </c>
      <c r="I549">
        <f>(k_p3_1+C549*(2*k_p3_2+3*k_p3_3*C549))/k_sx</f>
        <v/>
      </c>
      <c r="J549">
        <f>(k_p4_1+C549*(2*k_p4_2+C549*(3*k_p4_3+4*k_p4_4*C549)))/k_sx</f>
        <v/>
      </c>
      <c r="K549">
        <f>k_eb*k_ec*EXP(k_ec*C549)/k_sx</f>
        <v/>
      </c>
      <c r="L549">
        <f>(2*k_p4_2+C549*(6*k_p4_3+12*k_p4_4*C549))/k_sx^2</f>
        <v/>
      </c>
      <c r="M549">
        <f>D549/B549</f>
        <v/>
      </c>
      <c r="N549">
        <f>E549/B549</f>
        <v/>
      </c>
      <c r="O549">
        <f>F549/B549</f>
        <v/>
      </c>
      <c r="P549">
        <f>G549/B549</f>
        <v/>
      </c>
      <c r="Q549">
        <f>CHOOSE(k_model,D549,E549,F549,G549)</f>
        <v/>
      </c>
      <c r="R549">
        <f>CHOOSE(k_model,H549,I549,J549,K549)</f>
        <v/>
      </c>
    </row>
    <row r="550">
      <c r="A550" t="n">
        <v>548</v>
      </c>
      <c r="B550">
        <f>k_lo+k_rng*A550/1000</f>
        <v/>
      </c>
      <c r="C550">
        <f>(B550-k_mx)/k_sx</f>
        <v/>
      </c>
      <c r="D550">
        <f>k_p2_0+C550*(k_p2_1+C550*k_p2_2)</f>
        <v/>
      </c>
      <c r="E550">
        <f>k_p3_0+C550*(k_p3_1+C550*(k_p3_2+C550*k_p3_3))</f>
        <v/>
      </c>
      <c r="F550">
        <f>k_p4_0+C550*(k_p4_1+C550*(k_p4_2+C550*(k_p4_3+C550*k_p4_4)))</f>
        <v/>
      </c>
      <c r="G550">
        <f>k_ea+k_eb*EXP(k_ec*C550)</f>
        <v/>
      </c>
      <c r="H550">
        <f>(k_p2_1+2*k_p2_2*C550)/k_sx</f>
        <v/>
      </c>
      <c r="I550">
        <f>(k_p3_1+C550*(2*k_p3_2+3*k_p3_3*C550))/k_sx</f>
        <v/>
      </c>
      <c r="J550">
        <f>(k_p4_1+C550*(2*k_p4_2+C550*(3*k_p4_3+4*k_p4_4*C550)))/k_sx</f>
        <v/>
      </c>
      <c r="K550">
        <f>k_eb*k_ec*EXP(k_ec*C550)/k_sx</f>
        <v/>
      </c>
      <c r="L550">
        <f>(2*k_p4_2+C550*(6*k_p4_3+12*k_p4_4*C550))/k_sx^2</f>
        <v/>
      </c>
      <c r="M550">
        <f>D550/B550</f>
        <v/>
      </c>
      <c r="N550">
        <f>E550/B550</f>
        <v/>
      </c>
      <c r="O550">
        <f>F550/B550</f>
        <v/>
      </c>
      <c r="P550">
        <f>G550/B550</f>
        <v/>
      </c>
      <c r="Q550">
        <f>CHOOSE(k_model,D550,E550,F550,G550)</f>
        <v/>
      </c>
      <c r="R550">
        <f>CHOOSE(k_model,H550,I550,J550,K550)</f>
        <v/>
      </c>
    </row>
    <row r="551">
      <c r="A551" t="n">
        <v>549</v>
      </c>
      <c r="B551">
        <f>k_lo+k_rng*A551/1000</f>
        <v/>
      </c>
      <c r="C551">
        <f>(B551-k_mx)/k_sx</f>
        <v/>
      </c>
      <c r="D551">
        <f>k_p2_0+C551*(k_p2_1+C551*k_p2_2)</f>
        <v/>
      </c>
      <c r="E551">
        <f>k_p3_0+C551*(k_p3_1+C551*(k_p3_2+C551*k_p3_3))</f>
        <v/>
      </c>
      <c r="F551">
        <f>k_p4_0+C551*(k_p4_1+C551*(k_p4_2+C551*(k_p4_3+C551*k_p4_4)))</f>
        <v/>
      </c>
      <c r="G551">
        <f>k_ea+k_eb*EXP(k_ec*C551)</f>
        <v/>
      </c>
      <c r="H551">
        <f>(k_p2_1+2*k_p2_2*C551)/k_sx</f>
        <v/>
      </c>
      <c r="I551">
        <f>(k_p3_1+C551*(2*k_p3_2+3*k_p3_3*C551))/k_sx</f>
        <v/>
      </c>
      <c r="J551">
        <f>(k_p4_1+C551*(2*k_p4_2+C551*(3*k_p4_3+4*k_p4_4*C551)))/k_sx</f>
        <v/>
      </c>
      <c r="K551">
        <f>k_eb*k_ec*EXP(k_ec*C551)/k_sx</f>
        <v/>
      </c>
      <c r="L551">
        <f>(2*k_p4_2+C551*(6*k_p4_3+12*k_p4_4*C551))/k_sx^2</f>
        <v/>
      </c>
      <c r="M551">
        <f>D551/B551</f>
        <v/>
      </c>
      <c r="N551">
        <f>E551/B551</f>
        <v/>
      </c>
      <c r="O551">
        <f>F551/B551</f>
        <v/>
      </c>
      <c r="P551">
        <f>G551/B551</f>
        <v/>
      </c>
      <c r="Q551">
        <f>CHOOSE(k_model,D551,E551,F551,G551)</f>
        <v/>
      </c>
      <c r="R551">
        <f>CHOOSE(k_model,H551,I551,J551,K551)</f>
        <v/>
      </c>
    </row>
    <row r="552">
      <c r="A552" t="n">
        <v>550</v>
      </c>
      <c r="B552">
        <f>k_lo+k_rng*A552/1000</f>
        <v/>
      </c>
      <c r="C552">
        <f>(B552-k_mx)/k_sx</f>
        <v/>
      </c>
      <c r="D552">
        <f>k_p2_0+C552*(k_p2_1+C552*k_p2_2)</f>
        <v/>
      </c>
      <c r="E552">
        <f>k_p3_0+C552*(k_p3_1+C552*(k_p3_2+C552*k_p3_3))</f>
        <v/>
      </c>
      <c r="F552">
        <f>k_p4_0+C552*(k_p4_1+C552*(k_p4_2+C552*(k_p4_3+C552*k_p4_4)))</f>
        <v/>
      </c>
      <c r="G552">
        <f>k_ea+k_eb*EXP(k_ec*C552)</f>
        <v/>
      </c>
      <c r="H552">
        <f>(k_p2_1+2*k_p2_2*C552)/k_sx</f>
        <v/>
      </c>
      <c r="I552">
        <f>(k_p3_1+C552*(2*k_p3_2+3*k_p3_3*C552))/k_sx</f>
        <v/>
      </c>
      <c r="J552">
        <f>(k_p4_1+C552*(2*k_p4_2+C552*(3*k_p4_3+4*k_p4_4*C552)))/k_sx</f>
        <v/>
      </c>
      <c r="K552">
        <f>k_eb*k_ec*EXP(k_ec*C552)/k_sx</f>
        <v/>
      </c>
      <c r="L552">
        <f>(2*k_p4_2+C552*(6*k_p4_3+12*k_p4_4*C552))/k_sx^2</f>
        <v/>
      </c>
      <c r="M552">
        <f>D552/B552</f>
        <v/>
      </c>
      <c r="N552">
        <f>E552/B552</f>
        <v/>
      </c>
      <c r="O552">
        <f>F552/B552</f>
        <v/>
      </c>
      <c r="P552">
        <f>G552/B552</f>
        <v/>
      </c>
      <c r="Q552">
        <f>CHOOSE(k_model,D552,E552,F552,G552)</f>
        <v/>
      </c>
      <c r="R552">
        <f>CHOOSE(k_model,H552,I552,J552,K552)</f>
        <v/>
      </c>
    </row>
    <row r="553">
      <c r="A553" t="n">
        <v>551</v>
      </c>
      <c r="B553">
        <f>k_lo+k_rng*A553/1000</f>
        <v/>
      </c>
      <c r="C553">
        <f>(B553-k_mx)/k_sx</f>
        <v/>
      </c>
      <c r="D553">
        <f>k_p2_0+C553*(k_p2_1+C553*k_p2_2)</f>
        <v/>
      </c>
      <c r="E553">
        <f>k_p3_0+C553*(k_p3_1+C553*(k_p3_2+C553*k_p3_3))</f>
        <v/>
      </c>
      <c r="F553">
        <f>k_p4_0+C553*(k_p4_1+C553*(k_p4_2+C553*(k_p4_3+C553*k_p4_4)))</f>
        <v/>
      </c>
      <c r="G553">
        <f>k_ea+k_eb*EXP(k_ec*C553)</f>
        <v/>
      </c>
      <c r="H553">
        <f>(k_p2_1+2*k_p2_2*C553)/k_sx</f>
        <v/>
      </c>
      <c r="I553">
        <f>(k_p3_1+C553*(2*k_p3_2+3*k_p3_3*C553))/k_sx</f>
        <v/>
      </c>
      <c r="J553">
        <f>(k_p4_1+C553*(2*k_p4_2+C553*(3*k_p4_3+4*k_p4_4*C553)))/k_sx</f>
        <v/>
      </c>
      <c r="K553">
        <f>k_eb*k_ec*EXP(k_ec*C553)/k_sx</f>
        <v/>
      </c>
      <c r="L553">
        <f>(2*k_p4_2+C553*(6*k_p4_3+12*k_p4_4*C553))/k_sx^2</f>
        <v/>
      </c>
      <c r="M553">
        <f>D553/B553</f>
        <v/>
      </c>
      <c r="N553">
        <f>E553/B553</f>
        <v/>
      </c>
      <c r="O553">
        <f>F553/B553</f>
        <v/>
      </c>
      <c r="P553">
        <f>G553/B553</f>
        <v/>
      </c>
      <c r="Q553">
        <f>CHOOSE(k_model,D553,E553,F553,G553)</f>
        <v/>
      </c>
      <c r="R553">
        <f>CHOOSE(k_model,H553,I553,J553,K553)</f>
        <v/>
      </c>
    </row>
    <row r="554">
      <c r="A554" t="n">
        <v>552</v>
      </c>
      <c r="B554">
        <f>k_lo+k_rng*A554/1000</f>
        <v/>
      </c>
      <c r="C554">
        <f>(B554-k_mx)/k_sx</f>
        <v/>
      </c>
      <c r="D554">
        <f>k_p2_0+C554*(k_p2_1+C554*k_p2_2)</f>
        <v/>
      </c>
      <c r="E554">
        <f>k_p3_0+C554*(k_p3_1+C554*(k_p3_2+C554*k_p3_3))</f>
        <v/>
      </c>
      <c r="F554">
        <f>k_p4_0+C554*(k_p4_1+C554*(k_p4_2+C554*(k_p4_3+C554*k_p4_4)))</f>
        <v/>
      </c>
      <c r="G554">
        <f>k_ea+k_eb*EXP(k_ec*C554)</f>
        <v/>
      </c>
      <c r="H554">
        <f>(k_p2_1+2*k_p2_2*C554)/k_sx</f>
        <v/>
      </c>
      <c r="I554">
        <f>(k_p3_1+C554*(2*k_p3_2+3*k_p3_3*C554))/k_sx</f>
        <v/>
      </c>
      <c r="J554">
        <f>(k_p4_1+C554*(2*k_p4_2+C554*(3*k_p4_3+4*k_p4_4*C554)))/k_sx</f>
        <v/>
      </c>
      <c r="K554">
        <f>k_eb*k_ec*EXP(k_ec*C554)/k_sx</f>
        <v/>
      </c>
      <c r="L554">
        <f>(2*k_p4_2+C554*(6*k_p4_3+12*k_p4_4*C554))/k_sx^2</f>
        <v/>
      </c>
      <c r="M554">
        <f>D554/B554</f>
        <v/>
      </c>
      <c r="N554">
        <f>E554/B554</f>
        <v/>
      </c>
      <c r="O554">
        <f>F554/B554</f>
        <v/>
      </c>
      <c r="P554">
        <f>G554/B554</f>
        <v/>
      </c>
      <c r="Q554">
        <f>CHOOSE(k_model,D554,E554,F554,G554)</f>
        <v/>
      </c>
      <c r="R554">
        <f>CHOOSE(k_model,H554,I554,J554,K554)</f>
        <v/>
      </c>
    </row>
    <row r="555">
      <c r="A555" t="n">
        <v>553</v>
      </c>
      <c r="B555">
        <f>k_lo+k_rng*A555/1000</f>
        <v/>
      </c>
      <c r="C555">
        <f>(B555-k_mx)/k_sx</f>
        <v/>
      </c>
      <c r="D555">
        <f>k_p2_0+C555*(k_p2_1+C555*k_p2_2)</f>
        <v/>
      </c>
      <c r="E555">
        <f>k_p3_0+C555*(k_p3_1+C555*(k_p3_2+C555*k_p3_3))</f>
        <v/>
      </c>
      <c r="F555">
        <f>k_p4_0+C555*(k_p4_1+C555*(k_p4_2+C555*(k_p4_3+C555*k_p4_4)))</f>
        <v/>
      </c>
      <c r="G555">
        <f>k_ea+k_eb*EXP(k_ec*C555)</f>
        <v/>
      </c>
      <c r="H555">
        <f>(k_p2_1+2*k_p2_2*C555)/k_sx</f>
        <v/>
      </c>
      <c r="I555">
        <f>(k_p3_1+C555*(2*k_p3_2+3*k_p3_3*C555))/k_sx</f>
        <v/>
      </c>
      <c r="J555">
        <f>(k_p4_1+C555*(2*k_p4_2+C555*(3*k_p4_3+4*k_p4_4*C555)))/k_sx</f>
        <v/>
      </c>
      <c r="K555">
        <f>k_eb*k_ec*EXP(k_ec*C555)/k_sx</f>
        <v/>
      </c>
      <c r="L555">
        <f>(2*k_p4_2+C555*(6*k_p4_3+12*k_p4_4*C555))/k_sx^2</f>
        <v/>
      </c>
      <c r="M555">
        <f>D555/B555</f>
        <v/>
      </c>
      <c r="N555">
        <f>E555/B555</f>
        <v/>
      </c>
      <c r="O555">
        <f>F555/B555</f>
        <v/>
      </c>
      <c r="P555">
        <f>G555/B555</f>
        <v/>
      </c>
      <c r="Q555">
        <f>CHOOSE(k_model,D555,E555,F555,G555)</f>
        <v/>
      </c>
      <c r="R555">
        <f>CHOOSE(k_model,H555,I555,J555,K555)</f>
        <v/>
      </c>
    </row>
    <row r="556">
      <c r="A556" t="n">
        <v>554</v>
      </c>
      <c r="B556">
        <f>k_lo+k_rng*A556/1000</f>
        <v/>
      </c>
      <c r="C556">
        <f>(B556-k_mx)/k_sx</f>
        <v/>
      </c>
      <c r="D556">
        <f>k_p2_0+C556*(k_p2_1+C556*k_p2_2)</f>
        <v/>
      </c>
      <c r="E556">
        <f>k_p3_0+C556*(k_p3_1+C556*(k_p3_2+C556*k_p3_3))</f>
        <v/>
      </c>
      <c r="F556">
        <f>k_p4_0+C556*(k_p4_1+C556*(k_p4_2+C556*(k_p4_3+C556*k_p4_4)))</f>
        <v/>
      </c>
      <c r="G556">
        <f>k_ea+k_eb*EXP(k_ec*C556)</f>
        <v/>
      </c>
      <c r="H556">
        <f>(k_p2_1+2*k_p2_2*C556)/k_sx</f>
        <v/>
      </c>
      <c r="I556">
        <f>(k_p3_1+C556*(2*k_p3_2+3*k_p3_3*C556))/k_sx</f>
        <v/>
      </c>
      <c r="J556">
        <f>(k_p4_1+C556*(2*k_p4_2+C556*(3*k_p4_3+4*k_p4_4*C556)))/k_sx</f>
        <v/>
      </c>
      <c r="K556">
        <f>k_eb*k_ec*EXP(k_ec*C556)/k_sx</f>
        <v/>
      </c>
      <c r="L556">
        <f>(2*k_p4_2+C556*(6*k_p4_3+12*k_p4_4*C556))/k_sx^2</f>
        <v/>
      </c>
      <c r="M556">
        <f>D556/B556</f>
        <v/>
      </c>
      <c r="N556">
        <f>E556/B556</f>
        <v/>
      </c>
      <c r="O556">
        <f>F556/B556</f>
        <v/>
      </c>
      <c r="P556">
        <f>G556/B556</f>
        <v/>
      </c>
      <c r="Q556">
        <f>CHOOSE(k_model,D556,E556,F556,G556)</f>
        <v/>
      </c>
      <c r="R556">
        <f>CHOOSE(k_model,H556,I556,J556,K556)</f>
        <v/>
      </c>
    </row>
    <row r="557">
      <c r="A557" t="n">
        <v>555</v>
      </c>
      <c r="B557">
        <f>k_lo+k_rng*A557/1000</f>
        <v/>
      </c>
      <c r="C557">
        <f>(B557-k_mx)/k_sx</f>
        <v/>
      </c>
      <c r="D557">
        <f>k_p2_0+C557*(k_p2_1+C557*k_p2_2)</f>
        <v/>
      </c>
      <c r="E557">
        <f>k_p3_0+C557*(k_p3_1+C557*(k_p3_2+C557*k_p3_3))</f>
        <v/>
      </c>
      <c r="F557">
        <f>k_p4_0+C557*(k_p4_1+C557*(k_p4_2+C557*(k_p4_3+C557*k_p4_4)))</f>
        <v/>
      </c>
      <c r="G557">
        <f>k_ea+k_eb*EXP(k_ec*C557)</f>
        <v/>
      </c>
      <c r="H557">
        <f>(k_p2_1+2*k_p2_2*C557)/k_sx</f>
        <v/>
      </c>
      <c r="I557">
        <f>(k_p3_1+C557*(2*k_p3_2+3*k_p3_3*C557))/k_sx</f>
        <v/>
      </c>
      <c r="J557">
        <f>(k_p4_1+C557*(2*k_p4_2+C557*(3*k_p4_3+4*k_p4_4*C557)))/k_sx</f>
        <v/>
      </c>
      <c r="K557">
        <f>k_eb*k_ec*EXP(k_ec*C557)/k_sx</f>
        <v/>
      </c>
      <c r="L557">
        <f>(2*k_p4_2+C557*(6*k_p4_3+12*k_p4_4*C557))/k_sx^2</f>
        <v/>
      </c>
      <c r="M557">
        <f>D557/B557</f>
        <v/>
      </c>
      <c r="N557">
        <f>E557/B557</f>
        <v/>
      </c>
      <c r="O557">
        <f>F557/B557</f>
        <v/>
      </c>
      <c r="P557">
        <f>G557/B557</f>
        <v/>
      </c>
      <c r="Q557">
        <f>CHOOSE(k_model,D557,E557,F557,G557)</f>
        <v/>
      </c>
      <c r="R557">
        <f>CHOOSE(k_model,H557,I557,J557,K557)</f>
        <v/>
      </c>
    </row>
    <row r="558">
      <c r="A558" t="n">
        <v>556</v>
      </c>
      <c r="B558">
        <f>k_lo+k_rng*A558/1000</f>
        <v/>
      </c>
      <c r="C558">
        <f>(B558-k_mx)/k_sx</f>
        <v/>
      </c>
      <c r="D558">
        <f>k_p2_0+C558*(k_p2_1+C558*k_p2_2)</f>
        <v/>
      </c>
      <c r="E558">
        <f>k_p3_0+C558*(k_p3_1+C558*(k_p3_2+C558*k_p3_3))</f>
        <v/>
      </c>
      <c r="F558">
        <f>k_p4_0+C558*(k_p4_1+C558*(k_p4_2+C558*(k_p4_3+C558*k_p4_4)))</f>
        <v/>
      </c>
      <c r="G558">
        <f>k_ea+k_eb*EXP(k_ec*C558)</f>
        <v/>
      </c>
      <c r="H558">
        <f>(k_p2_1+2*k_p2_2*C558)/k_sx</f>
        <v/>
      </c>
      <c r="I558">
        <f>(k_p3_1+C558*(2*k_p3_2+3*k_p3_3*C558))/k_sx</f>
        <v/>
      </c>
      <c r="J558">
        <f>(k_p4_1+C558*(2*k_p4_2+C558*(3*k_p4_3+4*k_p4_4*C558)))/k_sx</f>
        <v/>
      </c>
      <c r="K558">
        <f>k_eb*k_ec*EXP(k_ec*C558)/k_sx</f>
        <v/>
      </c>
      <c r="L558">
        <f>(2*k_p4_2+C558*(6*k_p4_3+12*k_p4_4*C558))/k_sx^2</f>
        <v/>
      </c>
      <c r="M558">
        <f>D558/B558</f>
        <v/>
      </c>
      <c r="N558">
        <f>E558/B558</f>
        <v/>
      </c>
      <c r="O558">
        <f>F558/B558</f>
        <v/>
      </c>
      <c r="P558">
        <f>G558/B558</f>
        <v/>
      </c>
      <c r="Q558">
        <f>CHOOSE(k_model,D558,E558,F558,G558)</f>
        <v/>
      </c>
      <c r="R558">
        <f>CHOOSE(k_model,H558,I558,J558,K558)</f>
        <v/>
      </c>
    </row>
    <row r="559">
      <c r="A559" t="n">
        <v>557</v>
      </c>
      <c r="B559">
        <f>k_lo+k_rng*A559/1000</f>
        <v/>
      </c>
      <c r="C559">
        <f>(B559-k_mx)/k_sx</f>
        <v/>
      </c>
      <c r="D559">
        <f>k_p2_0+C559*(k_p2_1+C559*k_p2_2)</f>
        <v/>
      </c>
      <c r="E559">
        <f>k_p3_0+C559*(k_p3_1+C559*(k_p3_2+C559*k_p3_3))</f>
        <v/>
      </c>
      <c r="F559">
        <f>k_p4_0+C559*(k_p4_1+C559*(k_p4_2+C559*(k_p4_3+C559*k_p4_4)))</f>
        <v/>
      </c>
      <c r="G559">
        <f>k_ea+k_eb*EXP(k_ec*C559)</f>
        <v/>
      </c>
      <c r="H559">
        <f>(k_p2_1+2*k_p2_2*C559)/k_sx</f>
        <v/>
      </c>
      <c r="I559">
        <f>(k_p3_1+C559*(2*k_p3_2+3*k_p3_3*C559))/k_sx</f>
        <v/>
      </c>
      <c r="J559">
        <f>(k_p4_1+C559*(2*k_p4_2+C559*(3*k_p4_3+4*k_p4_4*C559)))/k_sx</f>
        <v/>
      </c>
      <c r="K559">
        <f>k_eb*k_ec*EXP(k_ec*C559)/k_sx</f>
        <v/>
      </c>
      <c r="L559">
        <f>(2*k_p4_2+C559*(6*k_p4_3+12*k_p4_4*C559))/k_sx^2</f>
        <v/>
      </c>
      <c r="M559">
        <f>D559/B559</f>
        <v/>
      </c>
      <c r="N559">
        <f>E559/B559</f>
        <v/>
      </c>
      <c r="O559">
        <f>F559/B559</f>
        <v/>
      </c>
      <c r="P559">
        <f>G559/B559</f>
        <v/>
      </c>
      <c r="Q559">
        <f>CHOOSE(k_model,D559,E559,F559,G559)</f>
        <v/>
      </c>
      <c r="R559">
        <f>CHOOSE(k_model,H559,I559,J559,K559)</f>
        <v/>
      </c>
    </row>
    <row r="560">
      <c r="A560" t="n">
        <v>558</v>
      </c>
      <c r="B560">
        <f>k_lo+k_rng*A560/1000</f>
        <v/>
      </c>
      <c r="C560">
        <f>(B560-k_mx)/k_sx</f>
        <v/>
      </c>
      <c r="D560">
        <f>k_p2_0+C560*(k_p2_1+C560*k_p2_2)</f>
        <v/>
      </c>
      <c r="E560">
        <f>k_p3_0+C560*(k_p3_1+C560*(k_p3_2+C560*k_p3_3))</f>
        <v/>
      </c>
      <c r="F560">
        <f>k_p4_0+C560*(k_p4_1+C560*(k_p4_2+C560*(k_p4_3+C560*k_p4_4)))</f>
        <v/>
      </c>
      <c r="G560">
        <f>k_ea+k_eb*EXP(k_ec*C560)</f>
        <v/>
      </c>
      <c r="H560">
        <f>(k_p2_1+2*k_p2_2*C560)/k_sx</f>
        <v/>
      </c>
      <c r="I560">
        <f>(k_p3_1+C560*(2*k_p3_2+3*k_p3_3*C560))/k_sx</f>
        <v/>
      </c>
      <c r="J560">
        <f>(k_p4_1+C560*(2*k_p4_2+C560*(3*k_p4_3+4*k_p4_4*C560)))/k_sx</f>
        <v/>
      </c>
      <c r="K560">
        <f>k_eb*k_ec*EXP(k_ec*C560)/k_sx</f>
        <v/>
      </c>
      <c r="L560">
        <f>(2*k_p4_2+C560*(6*k_p4_3+12*k_p4_4*C560))/k_sx^2</f>
        <v/>
      </c>
      <c r="M560">
        <f>D560/B560</f>
        <v/>
      </c>
      <c r="N560">
        <f>E560/B560</f>
        <v/>
      </c>
      <c r="O560">
        <f>F560/B560</f>
        <v/>
      </c>
      <c r="P560">
        <f>G560/B560</f>
        <v/>
      </c>
      <c r="Q560">
        <f>CHOOSE(k_model,D560,E560,F560,G560)</f>
        <v/>
      </c>
      <c r="R560">
        <f>CHOOSE(k_model,H560,I560,J560,K560)</f>
        <v/>
      </c>
    </row>
    <row r="561">
      <c r="A561" t="n">
        <v>559</v>
      </c>
      <c r="B561">
        <f>k_lo+k_rng*A561/1000</f>
        <v/>
      </c>
      <c r="C561">
        <f>(B561-k_mx)/k_sx</f>
        <v/>
      </c>
      <c r="D561">
        <f>k_p2_0+C561*(k_p2_1+C561*k_p2_2)</f>
        <v/>
      </c>
      <c r="E561">
        <f>k_p3_0+C561*(k_p3_1+C561*(k_p3_2+C561*k_p3_3))</f>
        <v/>
      </c>
      <c r="F561">
        <f>k_p4_0+C561*(k_p4_1+C561*(k_p4_2+C561*(k_p4_3+C561*k_p4_4)))</f>
        <v/>
      </c>
      <c r="G561">
        <f>k_ea+k_eb*EXP(k_ec*C561)</f>
        <v/>
      </c>
      <c r="H561">
        <f>(k_p2_1+2*k_p2_2*C561)/k_sx</f>
        <v/>
      </c>
      <c r="I561">
        <f>(k_p3_1+C561*(2*k_p3_2+3*k_p3_3*C561))/k_sx</f>
        <v/>
      </c>
      <c r="J561">
        <f>(k_p4_1+C561*(2*k_p4_2+C561*(3*k_p4_3+4*k_p4_4*C561)))/k_sx</f>
        <v/>
      </c>
      <c r="K561">
        <f>k_eb*k_ec*EXP(k_ec*C561)/k_sx</f>
        <v/>
      </c>
      <c r="L561">
        <f>(2*k_p4_2+C561*(6*k_p4_3+12*k_p4_4*C561))/k_sx^2</f>
        <v/>
      </c>
      <c r="M561">
        <f>D561/B561</f>
        <v/>
      </c>
      <c r="N561">
        <f>E561/B561</f>
        <v/>
      </c>
      <c r="O561">
        <f>F561/B561</f>
        <v/>
      </c>
      <c r="P561">
        <f>G561/B561</f>
        <v/>
      </c>
      <c r="Q561">
        <f>CHOOSE(k_model,D561,E561,F561,G561)</f>
        <v/>
      </c>
      <c r="R561">
        <f>CHOOSE(k_model,H561,I561,J561,K561)</f>
        <v/>
      </c>
    </row>
    <row r="562">
      <c r="A562" t="n">
        <v>560</v>
      </c>
      <c r="B562">
        <f>k_lo+k_rng*A562/1000</f>
        <v/>
      </c>
      <c r="C562">
        <f>(B562-k_mx)/k_sx</f>
        <v/>
      </c>
      <c r="D562">
        <f>k_p2_0+C562*(k_p2_1+C562*k_p2_2)</f>
        <v/>
      </c>
      <c r="E562">
        <f>k_p3_0+C562*(k_p3_1+C562*(k_p3_2+C562*k_p3_3))</f>
        <v/>
      </c>
      <c r="F562">
        <f>k_p4_0+C562*(k_p4_1+C562*(k_p4_2+C562*(k_p4_3+C562*k_p4_4)))</f>
        <v/>
      </c>
      <c r="G562">
        <f>k_ea+k_eb*EXP(k_ec*C562)</f>
        <v/>
      </c>
      <c r="H562">
        <f>(k_p2_1+2*k_p2_2*C562)/k_sx</f>
        <v/>
      </c>
      <c r="I562">
        <f>(k_p3_1+C562*(2*k_p3_2+3*k_p3_3*C562))/k_sx</f>
        <v/>
      </c>
      <c r="J562">
        <f>(k_p4_1+C562*(2*k_p4_2+C562*(3*k_p4_3+4*k_p4_4*C562)))/k_sx</f>
        <v/>
      </c>
      <c r="K562">
        <f>k_eb*k_ec*EXP(k_ec*C562)/k_sx</f>
        <v/>
      </c>
      <c r="L562">
        <f>(2*k_p4_2+C562*(6*k_p4_3+12*k_p4_4*C562))/k_sx^2</f>
        <v/>
      </c>
      <c r="M562">
        <f>D562/B562</f>
        <v/>
      </c>
      <c r="N562">
        <f>E562/B562</f>
        <v/>
      </c>
      <c r="O562">
        <f>F562/B562</f>
        <v/>
      </c>
      <c r="P562">
        <f>G562/B562</f>
        <v/>
      </c>
      <c r="Q562">
        <f>CHOOSE(k_model,D562,E562,F562,G562)</f>
        <v/>
      </c>
      <c r="R562">
        <f>CHOOSE(k_model,H562,I562,J562,K562)</f>
        <v/>
      </c>
    </row>
    <row r="563">
      <c r="A563" t="n">
        <v>561</v>
      </c>
      <c r="B563">
        <f>k_lo+k_rng*A563/1000</f>
        <v/>
      </c>
      <c r="C563">
        <f>(B563-k_mx)/k_sx</f>
        <v/>
      </c>
      <c r="D563">
        <f>k_p2_0+C563*(k_p2_1+C563*k_p2_2)</f>
        <v/>
      </c>
      <c r="E563">
        <f>k_p3_0+C563*(k_p3_1+C563*(k_p3_2+C563*k_p3_3))</f>
        <v/>
      </c>
      <c r="F563">
        <f>k_p4_0+C563*(k_p4_1+C563*(k_p4_2+C563*(k_p4_3+C563*k_p4_4)))</f>
        <v/>
      </c>
      <c r="G563">
        <f>k_ea+k_eb*EXP(k_ec*C563)</f>
        <v/>
      </c>
      <c r="H563">
        <f>(k_p2_1+2*k_p2_2*C563)/k_sx</f>
        <v/>
      </c>
      <c r="I563">
        <f>(k_p3_1+C563*(2*k_p3_2+3*k_p3_3*C563))/k_sx</f>
        <v/>
      </c>
      <c r="J563">
        <f>(k_p4_1+C563*(2*k_p4_2+C563*(3*k_p4_3+4*k_p4_4*C563)))/k_sx</f>
        <v/>
      </c>
      <c r="K563">
        <f>k_eb*k_ec*EXP(k_ec*C563)/k_sx</f>
        <v/>
      </c>
      <c r="L563">
        <f>(2*k_p4_2+C563*(6*k_p4_3+12*k_p4_4*C563))/k_sx^2</f>
        <v/>
      </c>
      <c r="M563">
        <f>D563/B563</f>
        <v/>
      </c>
      <c r="N563">
        <f>E563/B563</f>
        <v/>
      </c>
      <c r="O563">
        <f>F563/B563</f>
        <v/>
      </c>
      <c r="P563">
        <f>G563/B563</f>
        <v/>
      </c>
      <c r="Q563">
        <f>CHOOSE(k_model,D563,E563,F563,G563)</f>
        <v/>
      </c>
      <c r="R563">
        <f>CHOOSE(k_model,H563,I563,J563,K563)</f>
        <v/>
      </c>
    </row>
    <row r="564">
      <c r="A564" t="n">
        <v>562</v>
      </c>
      <c r="B564">
        <f>k_lo+k_rng*A564/1000</f>
        <v/>
      </c>
      <c r="C564">
        <f>(B564-k_mx)/k_sx</f>
        <v/>
      </c>
      <c r="D564">
        <f>k_p2_0+C564*(k_p2_1+C564*k_p2_2)</f>
        <v/>
      </c>
      <c r="E564">
        <f>k_p3_0+C564*(k_p3_1+C564*(k_p3_2+C564*k_p3_3))</f>
        <v/>
      </c>
      <c r="F564">
        <f>k_p4_0+C564*(k_p4_1+C564*(k_p4_2+C564*(k_p4_3+C564*k_p4_4)))</f>
        <v/>
      </c>
      <c r="G564">
        <f>k_ea+k_eb*EXP(k_ec*C564)</f>
        <v/>
      </c>
      <c r="H564">
        <f>(k_p2_1+2*k_p2_2*C564)/k_sx</f>
        <v/>
      </c>
      <c r="I564">
        <f>(k_p3_1+C564*(2*k_p3_2+3*k_p3_3*C564))/k_sx</f>
        <v/>
      </c>
      <c r="J564">
        <f>(k_p4_1+C564*(2*k_p4_2+C564*(3*k_p4_3+4*k_p4_4*C564)))/k_sx</f>
        <v/>
      </c>
      <c r="K564">
        <f>k_eb*k_ec*EXP(k_ec*C564)/k_sx</f>
        <v/>
      </c>
      <c r="L564">
        <f>(2*k_p4_2+C564*(6*k_p4_3+12*k_p4_4*C564))/k_sx^2</f>
        <v/>
      </c>
      <c r="M564">
        <f>D564/B564</f>
        <v/>
      </c>
      <c r="N564">
        <f>E564/B564</f>
        <v/>
      </c>
      <c r="O564">
        <f>F564/B564</f>
        <v/>
      </c>
      <c r="P564">
        <f>G564/B564</f>
        <v/>
      </c>
      <c r="Q564">
        <f>CHOOSE(k_model,D564,E564,F564,G564)</f>
        <v/>
      </c>
      <c r="R564">
        <f>CHOOSE(k_model,H564,I564,J564,K564)</f>
        <v/>
      </c>
    </row>
    <row r="565">
      <c r="A565" t="n">
        <v>563</v>
      </c>
      <c r="B565">
        <f>k_lo+k_rng*A565/1000</f>
        <v/>
      </c>
      <c r="C565">
        <f>(B565-k_mx)/k_sx</f>
        <v/>
      </c>
      <c r="D565">
        <f>k_p2_0+C565*(k_p2_1+C565*k_p2_2)</f>
        <v/>
      </c>
      <c r="E565">
        <f>k_p3_0+C565*(k_p3_1+C565*(k_p3_2+C565*k_p3_3))</f>
        <v/>
      </c>
      <c r="F565">
        <f>k_p4_0+C565*(k_p4_1+C565*(k_p4_2+C565*(k_p4_3+C565*k_p4_4)))</f>
        <v/>
      </c>
      <c r="G565">
        <f>k_ea+k_eb*EXP(k_ec*C565)</f>
        <v/>
      </c>
      <c r="H565">
        <f>(k_p2_1+2*k_p2_2*C565)/k_sx</f>
        <v/>
      </c>
      <c r="I565">
        <f>(k_p3_1+C565*(2*k_p3_2+3*k_p3_3*C565))/k_sx</f>
        <v/>
      </c>
      <c r="J565">
        <f>(k_p4_1+C565*(2*k_p4_2+C565*(3*k_p4_3+4*k_p4_4*C565)))/k_sx</f>
        <v/>
      </c>
      <c r="K565">
        <f>k_eb*k_ec*EXP(k_ec*C565)/k_sx</f>
        <v/>
      </c>
      <c r="L565">
        <f>(2*k_p4_2+C565*(6*k_p4_3+12*k_p4_4*C565))/k_sx^2</f>
        <v/>
      </c>
      <c r="M565">
        <f>D565/B565</f>
        <v/>
      </c>
      <c r="N565">
        <f>E565/B565</f>
        <v/>
      </c>
      <c r="O565">
        <f>F565/B565</f>
        <v/>
      </c>
      <c r="P565">
        <f>G565/B565</f>
        <v/>
      </c>
      <c r="Q565">
        <f>CHOOSE(k_model,D565,E565,F565,G565)</f>
        <v/>
      </c>
      <c r="R565">
        <f>CHOOSE(k_model,H565,I565,J565,K565)</f>
        <v/>
      </c>
    </row>
    <row r="566">
      <c r="A566" t="n">
        <v>564</v>
      </c>
      <c r="B566">
        <f>k_lo+k_rng*A566/1000</f>
        <v/>
      </c>
      <c r="C566">
        <f>(B566-k_mx)/k_sx</f>
        <v/>
      </c>
      <c r="D566">
        <f>k_p2_0+C566*(k_p2_1+C566*k_p2_2)</f>
        <v/>
      </c>
      <c r="E566">
        <f>k_p3_0+C566*(k_p3_1+C566*(k_p3_2+C566*k_p3_3))</f>
        <v/>
      </c>
      <c r="F566">
        <f>k_p4_0+C566*(k_p4_1+C566*(k_p4_2+C566*(k_p4_3+C566*k_p4_4)))</f>
        <v/>
      </c>
      <c r="G566">
        <f>k_ea+k_eb*EXP(k_ec*C566)</f>
        <v/>
      </c>
      <c r="H566">
        <f>(k_p2_1+2*k_p2_2*C566)/k_sx</f>
        <v/>
      </c>
      <c r="I566">
        <f>(k_p3_1+C566*(2*k_p3_2+3*k_p3_3*C566))/k_sx</f>
        <v/>
      </c>
      <c r="J566">
        <f>(k_p4_1+C566*(2*k_p4_2+C566*(3*k_p4_3+4*k_p4_4*C566)))/k_sx</f>
        <v/>
      </c>
      <c r="K566">
        <f>k_eb*k_ec*EXP(k_ec*C566)/k_sx</f>
        <v/>
      </c>
      <c r="L566">
        <f>(2*k_p4_2+C566*(6*k_p4_3+12*k_p4_4*C566))/k_sx^2</f>
        <v/>
      </c>
      <c r="M566">
        <f>D566/B566</f>
        <v/>
      </c>
      <c r="N566">
        <f>E566/B566</f>
        <v/>
      </c>
      <c r="O566">
        <f>F566/B566</f>
        <v/>
      </c>
      <c r="P566">
        <f>G566/B566</f>
        <v/>
      </c>
      <c r="Q566">
        <f>CHOOSE(k_model,D566,E566,F566,G566)</f>
        <v/>
      </c>
      <c r="R566">
        <f>CHOOSE(k_model,H566,I566,J566,K566)</f>
        <v/>
      </c>
    </row>
    <row r="567">
      <c r="A567" t="n">
        <v>565</v>
      </c>
      <c r="B567">
        <f>k_lo+k_rng*A567/1000</f>
        <v/>
      </c>
      <c r="C567">
        <f>(B567-k_mx)/k_sx</f>
        <v/>
      </c>
      <c r="D567">
        <f>k_p2_0+C567*(k_p2_1+C567*k_p2_2)</f>
        <v/>
      </c>
      <c r="E567">
        <f>k_p3_0+C567*(k_p3_1+C567*(k_p3_2+C567*k_p3_3))</f>
        <v/>
      </c>
      <c r="F567">
        <f>k_p4_0+C567*(k_p4_1+C567*(k_p4_2+C567*(k_p4_3+C567*k_p4_4)))</f>
        <v/>
      </c>
      <c r="G567">
        <f>k_ea+k_eb*EXP(k_ec*C567)</f>
        <v/>
      </c>
      <c r="H567">
        <f>(k_p2_1+2*k_p2_2*C567)/k_sx</f>
        <v/>
      </c>
      <c r="I567">
        <f>(k_p3_1+C567*(2*k_p3_2+3*k_p3_3*C567))/k_sx</f>
        <v/>
      </c>
      <c r="J567">
        <f>(k_p4_1+C567*(2*k_p4_2+C567*(3*k_p4_3+4*k_p4_4*C567)))/k_sx</f>
        <v/>
      </c>
      <c r="K567">
        <f>k_eb*k_ec*EXP(k_ec*C567)/k_sx</f>
        <v/>
      </c>
      <c r="L567">
        <f>(2*k_p4_2+C567*(6*k_p4_3+12*k_p4_4*C567))/k_sx^2</f>
        <v/>
      </c>
      <c r="M567">
        <f>D567/B567</f>
        <v/>
      </c>
      <c r="N567">
        <f>E567/B567</f>
        <v/>
      </c>
      <c r="O567">
        <f>F567/B567</f>
        <v/>
      </c>
      <c r="P567">
        <f>G567/B567</f>
        <v/>
      </c>
      <c r="Q567">
        <f>CHOOSE(k_model,D567,E567,F567,G567)</f>
        <v/>
      </c>
      <c r="R567">
        <f>CHOOSE(k_model,H567,I567,J567,K567)</f>
        <v/>
      </c>
    </row>
    <row r="568">
      <c r="A568" t="n">
        <v>566</v>
      </c>
      <c r="B568">
        <f>k_lo+k_rng*A568/1000</f>
        <v/>
      </c>
      <c r="C568">
        <f>(B568-k_mx)/k_sx</f>
        <v/>
      </c>
      <c r="D568">
        <f>k_p2_0+C568*(k_p2_1+C568*k_p2_2)</f>
        <v/>
      </c>
      <c r="E568">
        <f>k_p3_0+C568*(k_p3_1+C568*(k_p3_2+C568*k_p3_3))</f>
        <v/>
      </c>
      <c r="F568">
        <f>k_p4_0+C568*(k_p4_1+C568*(k_p4_2+C568*(k_p4_3+C568*k_p4_4)))</f>
        <v/>
      </c>
      <c r="G568">
        <f>k_ea+k_eb*EXP(k_ec*C568)</f>
        <v/>
      </c>
      <c r="H568">
        <f>(k_p2_1+2*k_p2_2*C568)/k_sx</f>
        <v/>
      </c>
      <c r="I568">
        <f>(k_p3_1+C568*(2*k_p3_2+3*k_p3_3*C568))/k_sx</f>
        <v/>
      </c>
      <c r="J568">
        <f>(k_p4_1+C568*(2*k_p4_2+C568*(3*k_p4_3+4*k_p4_4*C568)))/k_sx</f>
        <v/>
      </c>
      <c r="K568">
        <f>k_eb*k_ec*EXP(k_ec*C568)/k_sx</f>
        <v/>
      </c>
      <c r="L568">
        <f>(2*k_p4_2+C568*(6*k_p4_3+12*k_p4_4*C568))/k_sx^2</f>
        <v/>
      </c>
      <c r="M568">
        <f>D568/B568</f>
        <v/>
      </c>
      <c r="N568">
        <f>E568/B568</f>
        <v/>
      </c>
      <c r="O568">
        <f>F568/B568</f>
        <v/>
      </c>
      <c r="P568">
        <f>G568/B568</f>
        <v/>
      </c>
      <c r="Q568">
        <f>CHOOSE(k_model,D568,E568,F568,G568)</f>
        <v/>
      </c>
      <c r="R568">
        <f>CHOOSE(k_model,H568,I568,J568,K568)</f>
        <v/>
      </c>
    </row>
    <row r="569">
      <c r="A569" t="n">
        <v>567</v>
      </c>
      <c r="B569">
        <f>k_lo+k_rng*A569/1000</f>
        <v/>
      </c>
      <c r="C569">
        <f>(B569-k_mx)/k_sx</f>
        <v/>
      </c>
      <c r="D569">
        <f>k_p2_0+C569*(k_p2_1+C569*k_p2_2)</f>
        <v/>
      </c>
      <c r="E569">
        <f>k_p3_0+C569*(k_p3_1+C569*(k_p3_2+C569*k_p3_3))</f>
        <v/>
      </c>
      <c r="F569">
        <f>k_p4_0+C569*(k_p4_1+C569*(k_p4_2+C569*(k_p4_3+C569*k_p4_4)))</f>
        <v/>
      </c>
      <c r="G569">
        <f>k_ea+k_eb*EXP(k_ec*C569)</f>
        <v/>
      </c>
      <c r="H569">
        <f>(k_p2_1+2*k_p2_2*C569)/k_sx</f>
        <v/>
      </c>
      <c r="I569">
        <f>(k_p3_1+C569*(2*k_p3_2+3*k_p3_3*C569))/k_sx</f>
        <v/>
      </c>
      <c r="J569">
        <f>(k_p4_1+C569*(2*k_p4_2+C569*(3*k_p4_3+4*k_p4_4*C569)))/k_sx</f>
        <v/>
      </c>
      <c r="K569">
        <f>k_eb*k_ec*EXP(k_ec*C569)/k_sx</f>
        <v/>
      </c>
      <c r="L569">
        <f>(2*k_p4_2+C569*(6*k_p4_3+12*k_p4_4*C569))/k_sx^2</f>
        <v/>
      </c>
      <c r="M569">
        <f>D569/B569</f>
        <v/>
      </c>
      <c r="N569">
        <f>E569/B569</f>
        <v/>
      </c>
      <c r="O569">
        <f>F569/B569</f>
        <v/>
      </c>
      <c r="P569">
        <f>G569/B569</f>
        <v/>
      </c>
      <c r="Q569">
        <f>CHOOSE(k_model,D569,E569,F569,G569)</f>
        <v/>
      </c>
      <c r="R569">
        <f>CHOOSE(k_model,H569,I569,J569,K569)</f>
        <v/>
      </c>
    </row>
    <row r="570">
      <c r="A570" t="n">
        <v>568</v>
      </c>
      <c r="B570">
        <f>k_lo+k_rng*A570/1000</f>
        <v/>
      </c>
      <c r="C570">
        <f>(B570-k_mx)/k_sx</f>
        <v/>
      </c>
      <c r="D570">
        <f>k_p2_0+C570*(k_p2_1+C570*k_p2_2)</f>
        <v/>
      </c>
      <c r="E570">
        <f>k_p3_0+C570*(k_p3_1+C570*(k_p3_2+C570*k_p3_3))</f>
        <v/>
      </c>
      <c r="F570">
        <f>k_p4_0+C570*(k_p4_1+C570*(k_p4_2+C570*(k_p4_3+C570*k_p4_4)))</f>
        <v/>
      </c>
      <c r="G570">
        <f>k_ea+k_eb*EXP(k_ec*C570)</f>
        <v/>
      </c>
      <c r="H570">
        <f>(k_p2_1+2*k_p2_2*C570)/k_sx</f>
        <v/>
      </c>
      <c r="I570">
        <f>(k_p3_1+C570*(2*k_p3_2+3*k_p3_3*C570))/k_sx</f>
        <v/>
      </c>
      <c r="J570">
        <f>(k_p4_1+C570*(2*k_p4_2+C570*(3*k_p4_3+4*k_p4_4*C570)))/k_sx</f>
        <v/>
      </c>
      <c r="K570">
        <f>k_eb*k_ec*EXP(k_ec*C570)/k_sx</f>
        <v/>
      </c>
      <c r="L570">
        <f>(2*k_p4_2+C570*(6*k_p4_3+12*k_p4_4*C570))/k_sx^2</f>
        <v/>
      </c>
      <c r="M570">
        <f>D570/B570</f>
        <v/>
      </c>
      <c r="N570">
        <f>E570/B570</f>
        <v/>
      </c>
      <c r="O570">
        <f>F570/B570</f>
        <v/>
      </c>
      <c r="P570">
        <f>G570/B570</f>
        <v/>
      </c>
      <c r="Q570">
        <f>CHOOSE(k_model,D570,E570,F570,G570)</f>
        <v/>
      </c>
      <c r="R570">
        <f>CHOOSE(k_model,H570,I570,J570,K570)</f>
        <v/>
      </c>
    </row>
    <row r="571">
      <c r="A571" t="n">
        <v>569</v>
      </c>
      <c r="B571">
        <f>k_lo+k_rng*A571/1000</f>
        <v/>
      </c>
      <c r="C571">
        <f>(B571-k_mx)/k_sx</f>
        <v/>
      </c>
      <c r="D571">
        <f>k_p2_0+C571*(k_p2_1+C571*k_p2_2)</f>
        <v/>
      </c>
      <c r="E571">
        <f>k_p3_0+C571*(k_p3_1+C571*(k_p3_2+C571*k_p3_3))</f>
        <v/>
      </c>
      <c r="F571">
        <f>k_p4_0+C571*(k_p4_1+C571*(k_p4_2+C571*(k_p4_3+C571*k_p4_4)))</f>
        <v/>
      </c>
      <c r="G571">
        <f>k_ea+k_eb*EXP(k_ec*C571)</f>
        <v/>
      </c>
      <c r="H571">
        <f>(k_p2_1+2*k_p2_2*C571)/k_sx</f>
        <v/>
      </c>
      <c r="I571">
        <f>(k_p3_1+C571*(2*k_p3_2+3*k_p3_3*C571))/k_sx</f>
        <v/>
      </c>
      <c r="J571">
        <f>(k_p4_1+C571*(2*k_p4_2+C571*(3*k_p4_3+4*k_p4_4*C571)))/k_sx</f>
        <v/>
      </c>
      <c r="K571">
        <f>k_eb*k_ec*EXP(k_ec*C571)/k_sx</f>
        <v/>
      </c>
      <c r="L571">
        <f>(2*k_p4_2+C571*(6*k_p4_3+12*k_p4_4*C571))/k_sx^2</f>
        <v/>
      </c>
      <c r="M571">
        <f>D571/B571</f>
        <v/>
      </c>
      <c r="N571">
        <f>E571/B571</f>
        <v/>
      </c>
      <c r="O571">
        <f>F571/B571</f>
        <v/>
      </c>
      <c r="P571">
        <f>G571/B571</f>
        <v/>
      </c>
      <c r="Q571">
        <f>CHOOSE(k_model,D571,E571,F571,G571)</f>
        <v/>
      </c>
      <c r="R571">
        <f>CHOOSE(k_model,H571,I571,J571,K571)</f>
        <v/>
      </c>
    </row>
    <row r="572">
      <c r="A572" t="n">
        <v>570</v>
      </c>
      <c r="B572">
        <f>k_lo+k_rng*A572/1000</f>
        <v/>
      </c>
      <c r="C572">
        <f>(B572-k_mx)/k_sx</f>
        <v/>
      </c>
      <c r="D572">
        <f>k_p2_0+C572*(k_p2_1+C572*k_p2_2)</f>
        <v/>
      </c>
      <c r="E572">
        <f>k_p3_0+C572*(k_p3_1+C572*(k_p3_2+C572*k_p3_3))</f>
        <v/>
      </c>
      <c r="F572">
        <f>k_p4_0+C572*(k_p4_1+C572*(k_p4_2+C572*(k_p4_3+C572*k_p4_4)))</f>
        <v/>
      </c>
      <c r="G572">
        <f>k_ea+k_eb*EXP(k_ec*C572)</f>
        <v/>
      </c>
      <c r="H572">
        <f>(k_p2_1+2*k_p2_2*C572)/k_sx</f>
        <v/>
      </c>
      <c r="I572">
        <f>(k_p3_1+C572*(2*k_p3_2+3*k_p3_3*C572))/k_sx</f>
        <v/>
      </c>
      <c r="J572">
        <f>(k_p4_1+C572*(2*k_p4_2+C572*(3*k_p4_3+4*k_p4_4*C572)))/k_sx</f>
        <v/>
      </c>
      <c r="K572">
        <f>k_eb*k_ec*EXP(k_ec*C572)/k_sx</f>
        <v/>
      </c>
      <c r="L572">
        <f>(2*k_p4_2+C572*(6*k_p4_3+12*k_p4_4*C572))/k_sx^2</f>
        <v/>
      </c>
      <c r="M572">
        <f>D572/B572</f>
        <v/>
      </c>
      <c r="N572">
        <f>E572/B572</f>
        <v/>
      </c>
      <c r="O572">
        <f>F572/B572</f>
        <v/>
      </c>
      <c r="P572">
        <f>G572/B572</f>
        <v/>
      </c>
      <c r="Q572">
        <f>CHOOSE(k_model,D572,E572,F572,G572)</f>
        <v/>
      </c>
      <c r="R572">
        <f>CHOOSE(k_model,H572,I572,J572,K572)</f>
        <v/>
      </c>
    </row>
    <row r="573">
      <c r="A573" t="n">
        <v>571</v>
      </c>
      <c r="B573">
        <f>k_lo+k_rng*A573/1000</f>
        <v/>
      </c>
      <c r="C573">
        <f>(B573-k_mx)/k_sx</f>
        <v/>
      </c>
      <c r="D573">
        <f>k_p2_0+C573*(k_p2_1+C573*k_p2_2)</f>
        <v/>
      </c>
      <c r="E573">
        <f>k_p3_0+C573*(k_p3_1+C573*(k_p3_2+C573*k_p3_3))</f>
        <v/>
      </c>
      <c r="F573">
        <f>k_p4_0+C573*(k_p4_1+C573*(k_p4_2+C573*(k_p4_3+C573*k_p4_4)))</f>
        <v/>
      </c>
      <c r="G573">
        <f>k_ea+k_eb*EXP(k_ec*C573)</f>
        <v/>
      </c>
      <c r="H573">
        <f>(k_p2_1+2*k_p2_2*C573)/k_sx</f>
        <v/>
      </c>
      <c r="I573">
        <f>(k_p3_1+C573*(2*k_p3_2+3*k_p3_3*C573))/k_sx</f>
        <v/>
      </c>
      <c r="J573">
        <f>(k_p4_1+C573*(2*k_p4_2+C573*(3*k_p4_3+4*k_p4_4*C573)))/k_sx</f>
        <v/>
      </c>
      <c r="K573">
        <f>k_eb*k_ec*EXP(k_ec*C573)/k_sx</f>
        <v/>
      </c>
      <c r="L573">
        <f>(2*k_p4_2+C573*(6*k_p4_3+12*k_p4_4*C573))/k_sx^2</f>
        <v/>
      </c>
      <c r="M573">
        <f>D573/B573</f>
        <v/>
      </c>
      <c r="N573">
        <f>E573/B573</f>
        <v/>
      </c>
      <c r="O573">
        <f>F573/B573</f>
        <v/>
      </c>
      <c r="P573">
        <f>G573/B573</f>
        <v/>
      </c>
      <c r="Q573">
        <f>CHOOSE(k_model,D573,E573,F573,G573)</f>
        <v/>
      </c>
      <c r="R573">
        <f>CHOOSE(k_model,H573,I573,J573,K573)</f>
        <v/>
      </c>
    </row>
    <row r="574">
      <c r="A574" t="n">
        <v>572</v>
      </c>
      <c r="B574">
        <f>k_lo+k_rng*A574/1000</f>
        <v/>
      </c>
      <c r="C574">
        <f>(B574-k_mx)/k_sx</f>
        <v/>
      </c>
      <c r="D574">
        <f>k_p2_0+C574*(k_p2_1+C574*k_p2_2)</f>
        <v/>
      </c>
      <c r="E574">
        <f>k_p3_0+C574*(k_p3_1+C574*(k_p3_2+C574*k_p3_3))</f>
        <v/>
      </c>
      <c r="F574">
        <f>k_p4_0+C574*(k_p4_1+C574*(k_p4_2+C574*(k_p4_3+C574*k_p4_4)))</f>
        <v/>
      </c>
      <c r="G574">
        <f>k_ea+k_eb*EXP(k_ec*C574)</f>
        <v/>
      </c>
      <c r="H574">
        <f>(k_p2_1+2*k_p2_2*C574)/k_sx</f>
        <v/>
      </c>
      <c r="I574">
        <f>(k_p3_1+C574*(2*k_p3_2+3*k_p3_3*C574))/k_sx</f>
        <v/>
      </c>
      <c r="J574">
        <f>(k_p4_1+C574*(2*k_p4_2+C574*(3*k_p4_3+4*k_p4_4*C574)))/k_sx</f>
        <v/>
      </c>
      <c r="K574">
        <f>k_eb*k_ec*EXP(k_ec*C574)/k_sx</f>
        <v/>
      </c>
      <c r="L574">
        <f>(2*k_p4_2+C574*(6*k_p4_3+12*k_p4_4*C574))/k_sx^2</f>
        <v/>
      </c>
      <c r="M574">
        <f>D574/B574</f>
        <v/>
      </c>
      <c r="N574">
        <f>E574/B574</f>
        <v/>
      </c>
      <c r="O574">
        <f>F574/B574</f>
        <v/>
      </c>
      <c r="P574">
        <f>G574/B574</f>
        <v/>
      </c>
      <c r="Q574">
        <f>CHOOSE(k_model,D574,E574,F574,G574)</f>
        <v/>
      </c>
      <c r="R574">
        <f>CHOOSE(k_model,H574,I574,J574,K574)</f>
        <v/>
      </c>
    </row>
    <row r="575">
      <c r="A575" t="n">
        <v>573</v>
      </c>
      <c r="B575">
        <f>k_lo+k_rng*A575/1000</f>
        <v/>
      </c>
      <c r="C575">
        <f>(B575-k_mx)/k_sx</f>
        <v/>
      </c>
      <c r="D575">
        <f>k_p2_0+C575*(k_p2_1+C575*k_p2_2)</f>
        <v/>
      </c>
      <c r="E575">
        <f>k_p3_0+C575*(k_p3_1+C575*(k_p3_2+C575*k_p3_3))</f>
        <v/>
      </c>
      <c r="F575">
        <f>k_p4_0+C575*(k_p4_1+C575*(k_p4_2+C575*(k_p4_3+C575*k_p4_4)))</f>
        <v/>
      </c>
      <c r="G575">
        <f>k_ea+k_eb*EXP(k_ec*C575)</f>
        <v/>
      </c>
      <c r="H575">
        <f>(k_p2_1+2*k_p2_2*C575)/k_sx</f>
        <v/>
      </c>
      <c r="I575">
        <f>(k_p3_1+C575*(2*k_p3_2+3*k_p3_3*C575))/k_sx</f>
        <v/>
      </c>
      <c r="J575">
        <f>(k_p4_1+C575*(2*k_p4_2+C575*(3*k_p4_3+4*k_p4_4*C575)))/k_sx</f>
        <v/>
      </c>
      <c r="K575">
        <f>k_eb*k_ec*EXP(k_ec*C575)/k_sx</f>
        <v/>
      </c>
      <c r="L575">
        <f>(2*k_p4_2+C575*(6*k_p4_3+12*k_p4_4*C575))/k_sx^2</f>
        <v/>
      </c>
      <c r="M575">
        <f>D575/B575</f>
        <v/>
      </c>
      <c r="N575">
        <f>E575/B575</f>
        <v/>
      </c>
      <c r="O575">
        <f>F575/B575</f>
        <v/>
      </c>
      <c r="P575">
        <f>G575/B575</f>
        <v/>
      </c>
      <c r="Q575">
        <f>CHOOSE(k_model,D575,E575,F575,G575)</f>
        <v/>
      </c>
      <c r="R575">
        <f>CHOOSE(k_model,H575,I575,J575,K575)</f>
        <v/>
      </c>
    </row>
    <row r="576">
      <c r="A576" t="n">
        <v>574</v>
      </c>
      <c r="B576">
        <f>k_lo+k_rng*A576/1000</f>
        <v/>
      </c>
      <c r="C576">
        <f>(B576-k_mx)/k_sx</f>
        <v/>
      </c>
      <c r="D576">
        <f>k_p2_0+C576*(k_p2_1+C576*k_p2_2)</f>
        <v/>
      </c>
      <c r="E576">
        <f>k_p3_0+C576*(k_p3_1+C576*(k_p3_2+C576*k_p3_3))</f>
        <v/>
      </c>
      <c r="F576">
        <f>k_p4_0+C576*(k_p4_1+C576*(k_p4_2+C576*(k_p4_3+C576*k_p4_4)))</f>
        <v/>
      </c>
      <c r="G576">
        <f>k_ea+k_eb*EXP(k_ec*C576)</f>
        <v/>
      </c>
      <c r="H576">
        <f>(k_p2_1+2*k_p2_2*C576)/k_sx</f>
        <v/>
      </c>
      <c r="I576">
        <f>(k_p3_1+C576*(2*k_p3_2+3*k_p3_3*C576))/k_sx</f>
        <v/>
      </c>
      <c r="J576">
        <f>(k_p4_1+C576*(2*k_p4_2+C576*(3*k_p4_3+4*k_p4_4*C576)))/k_sx</f>
        <v/>
      </c>
      <c r="K576">
        <f>k_eb*k_ec*EXP(k_ec*C576)/k_sx</f>
        <v/>
      </c>
      <c r="L576">
        <f>(2*k_p4_2+C576*(6*k_p4_3+12*k_p4_4*C576))/k_sx^2</f>
        <v/>
      </c>
      <c r="M576">
        <f>D576/B576</f>
        <v/>
      </c>
      <c r="N576">
        <f>E576/B576</f>
        <v/>
      </c>
      <c r="O576">
        <f>F576/B576</f>
        <v/>
      </c>
      <c r="P576">
        <f>G576/B576</f>
        <v/>
      </c>
      <c r="Q576">
        <f>CHOOSE(k_model,D576,E576,F576,G576)</f>
        <v/>
      </c>
      <c r="R576">
        <f>CHOOSE(k_model,H576,I576,J576,K576)</f>
        <v/>
      </c>
    </row>
    <row r="577">
      <c r="A577" t="n">
        <v>575</v>
      </c>
      <c r="B577">
        <f>k_lo+k_rng*A577/1000</f>
        <v/>
      </c>
      <c r="C577">
        <f>(B577-k_mx)/k_sx</f>
        <v/>
      </c>
      <c r="D577">
        <f>k_p2_0+C577*(k_p2_1+C577*k_p2_2)</f>
        <v/>
      </c>
      <c r="E577">
        <f>k_p3_0+C577*(k_p3_1+C577*(k_p3_2+C577*k_p3_3))</f>
        <v/>
      </c>
      <c r="F577">
        <f>k_p4_0+C577*(k_p4_1+C577*(k_p4_2+C577*(k_p4_3+C577*k_p4_4)))</f>
        <v/>
      </c>
      <c r="G577">
        <f>k_ea+k_eb*EXP(k_ec*C577)</f>
        <v/>
      </c>
      <c r="H577">
        <f>(k_p2_1+2*k_p2_2*C577)/k_sx</f>
        <v/>
      </c>
      <c r="I577">
        <f>(k_p3_1+C577*(2*k_p3_2+3*k_p3_3*C577))/k_sx</f>
        <v/>
      </c>
      <c r="J577">
        <f>(k_p4_1+C577*(2*k_p4_2+C577*(3*k_p4_3+4*k_p4_4*C577)))/k_sx</f>
        <v/>
      </c>
      <c r="K577">
        <f>k_eb*k_ec*EXP(k_ec*C577)/k_sx</f>
        <v/>
      </c>
      <c r="L577">
        <f>(2*k_p4_2+C577*(6*k_p4_3+12*k_p4_4*C577))/k_sx^2</f>
        <v/>
      </c>
      <c r="M577">
        <f>D577/B577</f>
        <v/>
      </c>
      <c r="N577">
        <f>E577/B577</f>
        <v/>
      </c>
      <c r="O577">
        <f>F577/B577</f>
        <v/>
      </c>
      <c r="P577">
        <f>G577/B577</f>
        <v/>
      </c>
      <c r="Q577">
        <f>CHOOSE(k_model,D577,E577,F577,G577)</f>
        <v/>
      </c>
      <c r="R577">
        <f>CHOOSE(k_model,H577,I577,J577,K577)</f>
        <v/>
      </c>
    </row>
    <row r="578">
      <c r="A578" t="n">
        <v>576</v>
      </c>
      <c r="B578">
        <f>k_lo+k_rng*A578/1000</f>
        <v/>
      </c>
      <c r="C578">
        <f>(B578-k_mx)/k_sx</f>
        <v/>
      </c>
      <c r="D578">
        <f>k_p2_0+C578*(k_p2_1+C578*k_p2_2)</f>
        <v/>
      </c>
      <c r="E578">
        <f>k_p3_0+C578*(k_p3_1+C578*(k_p3_2+C578*k_p3_3))</f>
        <v/>
      </c>
      <c r="F578">
        <f>k_p4_0+C578*(k_p4_1+C578*(k_p4_2+C578*(k_p4_3+C578*k_p4_4)))</f>
        <v/>
      </c>
      <c r="G578">
        <f>k_ea+k_eb*EXP(k_ec*C578)</f>
        <v/>
      </c>
      <c r="H578">
        <f>(k_p2_1+2*k_p2_2*C578)/k_sx</f>
        <v/>
      </c>
      <c r="I578">
        <f>(k_p3_1+C578*(2*k_p3_2+3*k_p3_3*C578))/k_sx</f>
        <v/>
      </c>
      <c r="J578">
        <f>(k_p4_1+C578*(2*k_p4_2+C578*(3*k_p4_3+4*k_p4_4*C578)))/k_sx</f>
        <v/>
      </c>
      <c r="K578">
        <f>k_eb*k_ec*EXP(k_ec*C578)/k_sx</f>
        <v/>
      </c>
      <c r="L578">
        <f>(2*k_p4_2+C578*(6*k_p4_3+12*k_p4_4*C578))/k_sx^2</f>
        <v/>
      </c>
      <c r="M578">
        <f>D578/B578</f>
        <v/>
      </c>
      <c r="N578">
        <f>E578/B578</f>
        <v/>
      </c>
      <c r="O578">
        <f>F578/B578</f>
        <v/>
      </c>
      <c r="P578">
        <f>G578/B578</f>
        <v/>
      </c>
      <c r="Q578">
        <f>CHOOSE(k_model,D578,E578,F578,G578)</f>
        <v/>
      </c>
      <c r="R578">
        <f>CHOOSE(k_model,H578,I578,J578,K578)</f>
        <v/>
      </c>
    </row>
    <row r="579">
      <c r="A579" t="n">
        <v>577</v>
      </c>
      <c r="B579">
        <f>k_lo+k_rng*A579/1000</f>
        <v/>
      </c>
      <c r="C579">
        <f>(B579-k_mx)/k_sx</f>
        <v/>
      </c>
      <c r="D579">
        <f>k_p2_0+C579*(k_p2_1+C579*k_p2_2)</f>
        <v/>
      </c>
      <c r="E579">
        <f>k_p3_0+C579*(k_p3_1+C579*(k_p3_2+C579*k_p3_3))</f>
        <v/>
      </c>
      <c r="F579">
        <f>k_p4_0+C579*(k_p4_1+C579*(k_p4_2+C579*(k_p4_3+C579*k_p4_4)))</f>
        <v/>
      </c>
      <c r="G579">
        <f>k_ea+k_eb*EXP(k_ec*C579)</f>
        <v/>
      </c>
      <c r="H579">
        <f>(k_p2_1+2*k_p2_2*C579)/k_sx</f>
        <v/>
      </c>
      <c r="I579">
        <f>(k_p3_1+C579*(2*k_p3_2+3*k_p3_3*C579))/k_sx</f>
        <v/>
      </c>
      <c r="J579">
        <f>(k_p4_1+C579*(2*k_p4_2+C579*(3*k_p4_3+4*k_p4_4*C579)))/k_sx</f>
        <v/>
      </c>
      <c r="K579">
        <f>k_eb*k_ec*EXP(k_ec*C579)/k_sx</f>
        <v/>
      </c>
      <c r="L579">
        <f>(2*k_p4_2+C579*(6*k_p4_3+12*k_p4_4*C579))/k_sx^2</f>
        <v/>
      </c>
      <c r="M579">
        <f>D579/B579</f>
        <v/>
      </c>
      <c r="N579">
        <f>E579/B579</f>
        <v/>
      </c>
      <c r="O579">
        <f>F579/B579</f>
        <v/>
      </c>
      <c r="P579">
        <f>G579/B579</f>
        <v/>
      </c>
      <c r="Q579">
        <f>CHOOSE(k_model,D579,E579,F579,G579)</f>
        <v/>
      </c>
      <c r="R579">
        <f>CHOOSE(k_model,H579,I579,J579,K579)</f>
        <v/>
      </c>
    </row>
    <row r="580">
      <c r="A580" t="n">
        <v>578</v>
      </c>
      <c r="B580">
        <f>k_lo+k_rng*A580/1000</f>
        <v/>
      </c>
      <c r="C580">
        <f>(B580-k_mx)/k_sx</f>
        <v/>
      </c>
      <c r="D580">
        <f>k_p2_0+C580*(k_p2_1+C580*k_p2_2)</f>
        <v/>
      </c>
      <c r="E580">
        <f>k_p3_0+C580*(k_p3_1+C580*(k_p3_2+C580*k_p3_3))</f>
        <v/>
      </c>
      <c r="F580">
        <f>k_p4_0+C580*(k_p4_1+C580*(k_p4_2+C580*(k_p4_3+C580*k_p4_4)))</f>
        <v/>
      </c>
      <c r="G580">
        <f>k_ea+k_eb*EXP(k_ec*C580)</f>
        <v/>
      </c>
      <c r="H580">
        <f>(k_p2_1+2*k_p2_2*C580)/k_sx</f>
        <v/>
      </c>
      <c r="I580">
        <f>(k_p3_1+C580*(2*k_p3_2+3*k_p3_3*C580))/k_sx</f>
        <v/>
      </c>
      <c r="J580">
        <f>(k_p4_1+C580*(2*k_p4_2+C580*(3*k_p4_3+4*k_p4_4*C580)))/k_sx</f>
        <v/>
      </c>
      <c r="K580">
        <f>k_eb*k_ec*EXP(k_ec*C580)/k_sx</f>
        <v/>
      </c>
      <c r="L580">
        <f>(2*k_p4_2+C580*(6*k_p4_3+12*k_p4_4*C580))/k_sx^2</f>
        <v/>
      </c>
      <c r="M580">
        <f>D580/B580</f>
        <v/>
      </c>
      <c r="N580">
        <f>E580/B580</f>
        <v/>
      </c>
      <c r="O580">
        <f>F580/B580</f>
        <v/>
      </c>
      <c r="P580">
        <f>G580/B580</f>
        <v/>
      </c>
      <c r="Q580">
        <f>CHOOSE(k_model,D580,E580,F580,G580)</f>
        <v/>
      </c>
      <c r="R580">
        <f>CHOOSE(k_model,H580,I580,J580,K580)</f>
        <v/>
      </c>
    </row>
    <row r="581">
      <c r="A581" t="n">
        <v>579</v>
      </c>
      <c r="B581">
        <f>k_lo+k_rng*A581/1000</f>
        <v/>
      </c>
      <c r="C581">
        <f>(B581-k_mx)/k_sx</f>
        <v/>
      </c>
      <c r="D581">
        <f>k_p2_0+C581*(k_p2_1+C581*k_p2_2)</f>
        <v/>
      </c>
      <c r="E581">
        <f>k_p3_0+C581*(k_p3_1+C581*(k_p3_2+C581*k_p3_3))</f>
        <v/>
      </c>
      <c r="F581">
        <f>k_p4_0+C581*(k_p4_1+C581*(k_p4_2+C581*(k_p4_3+C581*k_p4_4)))</f>
        <v/>
      </c>
      <c r="G581">
        <f>k_ea+k_eb*EXP(k_ec*C581)</f>
        <v/>
      </c>
      <c r="H581">
        <f>(k_p2_1+2*k_p2_2*C581)/k_sx</f>
        <v/>
      </c>
      <c r="I581">
        <f>(k_p3_1+C581*(2*k_p3_2+3*k_p3_3*C581))/k_sx</f>
        <v/>
      </c>
      <c r="J581">
        <f>(k_p4_1+C581*(2*k_p4_2+C581*(3*k_p4_3+4*k_p4_4*C581)))/k_sx</f>
        <v/>
      </c>
      <c r="K581">
        <f>k_eb*k_ec*EXP(k_ec*C581)/k_sx</f>
        <v/>
      </c>
      <c r="L581">
        <f>(2*k_p4_2+C581*(6*k_p4_3+12*k_p4_4*C581))/k_sx^2</f>
        <v/>
      </c>
      <c r="M581">
        <f>D581/B581</f>
        <v/>
      </c>
      <c r="N581">
        <f>E581/B581</f>
        <v/>
      </c>
      <c r="O581">
        <f>F581/B581</f>
        <v/>
      </c>
      <c r="P581">
        <f>G581/B581</f>
        <v/>
      </c>
      <c r="Q581">
        <f>CHOOSE(k_model,D581,E581,F581,G581)</f>
        <v/>
      </c>
      <c r="R581">
        <f>CHOOSE(k_model,H581,I581,J581,K581)</f>
        <v/>
      </c>
    </row>
    <row r="582">
      <c r="A582" t="n">
        <v>580</v>
      </c>
      <c r="B582">
        <f>k_lo+k_rng*A582/1000</f>
        <v/>
      </c>
      <c r="C582">
        <f>(B582-k_mx)/k_sx</f>
        <v/>
      </c>
      <c r="D582">
        <f>k_p2_0+C582*(k_p2_1+C582*k_p2_2)</f>
        <v/>
      </c>
      <c r="E582">
        <f>k_p3_0+C582*(k_p3_1+C582*(k_p3_2+C582*k_p3_3))</f>
        <v/>
      </c>
      <c r="F582">
        <f>k_p4_0+C582*(k_p4_1+C582*(k_p4_2+C582*(k_p4_3+C582*k_p4_4)))</f>
        <v/>
      </c>
      <c r="G582">
        <f>k_ea+k_eb*EXP(k_ec*C582)</f>
        <v/>
      </c>
      <c r="H582">
        <f>(k_p2_1+2*k_p2_2*C582)/k_sx</f>
        <v/>
      </c>
      <c r="I582">
        <f>(k_p3_1+C582*(2*k_p3_2+3*k_p3_3*C582))/k_sx</f>
        <v/>
      </c>
      <c r="J582">
        <f>(k_p4_1+C582*(2*k_p4_2+C582*(3*k_p4_3+4*k_p4_4*C582)))/k_sx</f>
        <v/>
      </c>
      <c r="K582">
        <f>k_eb*k_ec*EXP(k_ec*C582)/k_sx</f>
        <v/>
      </c>
      <c r="L582">
        <f>(2*k_p4_2+C582*(6*k_p4_3+12*k_p4_4*C582))/k_sx^2</f>
        <v/>
      </c>
      <c r="M582">
        <f>D582/B582</f>
        <v/>
      </c>
      <c r="N582">
        <f>E582/B582</f>
        <v/>
      </c>
      <c r="O582">
        <f>F582/B582</f>
        <v/>
      </c>
      <c r="P582">
        <f>G582/B582</f>
        <v/>
      </c>
      <c r="Q582">
        <f>CHOOSE(k_model,D582,E582,F582,G582)</f>
        <v/>
      </c>
      <c r="R582">
        <f>CHOOSE(k_model,H582,I582,J582,K582)</f>
        <v/>
      </c>
    </row>
    <row r="583">
      <c r="A583" t="n">
        <v>581</v>
      </c>
      <c r="B583">
        <f>k_lo+k_rng*A583/1000</f>
        <v/>
      </c>
      <c r="C583">
        <f>(B583-k_mx)/k_sx</f>
        <v/>
      </c>
      <c r="D583">
        <f>k_p2_0+C583*(k_p2_1+C583*k_p2_2)</f>
        <v/>
      </c>
      <c r="E583">
        <f>k_p3_0+C583*(k_p3_1+C583*(k_p3_2+C583*k_p3_3))</f>
        <v/>
      </c>
      <c r="F583">
        <f>k_p4_0+C583*(k_p4_1+C583*(k_p4_2+C583*(k_p4_3+C583*k_p4_4)))</f>
        <v/>
      </c>
      <c r="G583">
        <f>k_ea+k_eb*EXP(k_ec*C583)</f>
        <v/>
      </c>
      <c r="H583">
        <f>(k_p2_1+2*k_p2_2*C583)/k_sx</f>
        <v/>
      </c>
      <c r="I583">
        <f>(k_p3_1+C583*(2*k_p3_2+3*k_p3_3*C583))/k_sx</f>
        <v/>
      </c>
      <c r="J583">
        <f>(k_p4_1+C583*(2*k_p4_2+C583*(3*k_p4_3+4*k_p4_4*C583)))/k_sx</f>
        <v/>
      </c>
      <c r="K583">
        <f>k_eb*k_ec*EXP(k_ec*C583)/k_sx</f>
        <v/>
      </c>
      <c r="L583">
        <f>(2*k_p4_2+C583*(6*k_p4_3+12*k_p4_4*C583))/k_sx^2</f>
        <v/>
      </c>
      <c r="M583">
        <f>D583/B583</f>
        <v/>
      </c>
      <c r="N583">
        <f>E583/B583</f>
        <v/>
      </c>
      <c r="O583">
        <f>F583/B583</f>
        <v/>
      </c>
      <c r="P583">
        <f>G583/B583</f>
        <v/>
      </c>
      <c r="Q583">
        <f>CHOOSE(k_model,D583,E583,F583,G583)</f>
        <v/>
      </c>
      <c r="R583">
        <f>CHOOSE(k_model,H583,I583,J583,K583)</f>
        <v/>
      </c>
    </row>
    <row r="584">
      <c r="A584" t="n">
        <v>582</v>
      </c>
      <c r="B584">
        <f>k_lo+k_rng*A584/1000</f>
        <v/>
      </c>
      <c r="C584">
        <f>(B584-k_mx)/k_sx</f>
        <v/>
      </c>
      <c r="D584">
        <f>k_p2_0+C584*(k_p2_1+C584*k_p2_2)</f>
        <v/>
      </c>
      <c r="E584">
        <f>k_p3_0+C584*(k_p3_1+C584*(k_p3_2+C584*k_p3_3))</f>
        <v/>
      </c>
      <c r="F584">
        <f>k_p4_0+C584*(k_p4_1+C584*(k_p4_2+C584*(k_p4_3+C584*k_p4_4)))</f>
        <v/>
      </c>
      <c r="G584">
        <f>k_ea+k_eb*EXP(k_ec*C584)</f>
        <v/>
      </c>
      <c r="H584">
        <f>(k_p2_1+2*k_p2_2*C584)/k_sx</f>
        <v/>
      </c>
      <c r="I584">
        <f>(k_p3_1+C584*(2*k_p3_2+3*k_p3_3*C584))/k_sx</f>
        <v/>
      </c>
      <c r="J584">
        <f>(k_p4_1+C584*(2*k_p4_2+C584*(3*k_p4_3+4*k_p4_4*C584)))/k_sx</f>
        <v/>
      </c>
      <c r="K584">
        <f>k_eb*k_ec*EXP(k_ec*C584)/k_sx</f>
        <v/>
      </c>
      <c r="L584">
        <f>(2*k_p4_2+C584*(6*k_p4_3+12*k_p4_4*C584))/k_sx^2</f>
        <v/>
      </c>
      <c r="M584">
        <f>D584/B584</f>
        <v/>
      </c>
      <c r="N584">
        <f>E584/B584</f>
        <v/>
      </c>
      <c r="O584">
        <f>F584/B584</f>
        <v/>
      </c>
      <c r="P584">
        <f>G584/B584</f>
        <v/>
      </c>
      <c r="Q584">
        <f>CHOOSE(k_model,D584,E584,F584,G584)</f>
        <v/>
      </c>
      <c r="R584">
        <f>CHOOSE(k_model,H584,I584,J584,K584)</f>
        <v/>
      </c>
    </row>
    <row r="585">
      <c r="A585" t="n">
        <v>583</v>
      </c>
      <c r="B585">
        <f>k_lo+k_rng*A585/1000</f>
        <v/>
      </c>
      <c r="C585">
        <f>(B585-k_mx)/k_sx</f>
        <v/>
      </c>
      <c r="D585">
        <f>k_p2_0+C585*(k_p2_1+C585*k_p2_2)</f>
        <v/>
      </c>
      <c r="E585">
        <f>k_p3_0+C585*(k_p3_1+C585*(k_p3_2+C585*k_p3_3))</f>
        <v/>
      </c>
      <c r="F585">
        <f>k_p4_0+C585*(k_p4_1+C585*(k_p4_2+C585*(k_p4_3+C585*k_p4_4)))</f>
        <v/>
      </c>
      <c r="G585">
        <f>k_ea+k_eb*EXP(k_ec*C585)</f>
        <v/>
      </c>
      <c r="H585">
        <f>(k_p2_1+2*k_p2_2*C585)/k_sx</f>
        <v/>
      </c>
      <c r="I585">
        <f>(k_p3_1+C585*(2*k_p3_2+3*k_p3_3*C585))/k_sx</f>
        <v/>
      </c>
      <c r="J585">
        <f>(k_p4_1+C585*(2*k_p4_2+C585*(3*k_p4_3+4*k_p4_4*C585)))/k_sx</f>
        <v/>
      </c>
      <c r="K585">
        <f>k_eb*k_ec*EXP(k_ec*C585)/k_sx</f>
        <v/>
      </c>
      <c r="L585">
        <f>(2*k_p4_2+C585*(6*k_p4_3+12*k_p4_4*C585))/k_sx^2</f>
        <v/>
      </c>
      <c r="M585">
        <f>D585/B585</f>
        <v/>
      </c>
      <c r="N585">
        <f>E585/B585</f>
        <v/>
      </c>
      <c r="O585">
        <f>F585/B585</f>
        <v/>
      </c>
      <c r="P585">
        <f>G585/B585</f>
        <v/>
      </c>
      <c r="Q585">
        <f>CHOOSE(k_model,D585,E585,F585,G585)</f>
        <v/>
      </c>
      <c r="R585">
        <f>CHOOSE(k_model,H585,I585,J585,K585)</f>
        <v/>
      </c>
    </row>
    <row r="586">
      <c r="A586" t="n">
        <v>584</v>
      </c>
      <c r="B586">
        <f>k_lo+k_rng*A586/1000</f>
        <v/>
      </c>
      <c r="C586">
        <f>(B586-k_mx)/k_sx</f>
        <v/>
      </c>
      <c r="D586">
        <f>k_p2_0+C586*(k_p2_1+C586*k_p2_2)</f>
        <v/>
      </c>
      <c r="E586">
        <f>k_p3_0+C586*(k_p3_1+C586*(k_p3_2+C586*k_p3_3))</f>
        <v/>
      </c>
      <c r="F586">
        <f>k_p4_0+C586*(k_p4_1+C586*(k_p4_2+C586*(k_p4_3+C586*k_p4_4)))</f>
        <v/>
      </c>
      <c r="G586">
        <f>k_ea+k_eb*EXP(k_ec*C586)</f>
        <v/>
      </c>
      <c r="H586">
        <f>(k_p2_1+2*k_p2_2*C586)/k_sx</f>
        <v/>
      </c>
      <c r="I586">
        <f>(k_p3_1+C586*(2*k_p3_2+3*k_p3_3*C586))/k_sx</f>
        <v/>
      </c>
      <c r="J586">
        <f>(k_p4_1+C586*(2*k_p4_2+C586*(3*k_p4_3+4*k_p4_4*C586)))/k_sx</f>
        <v/>
      </c>
      <c r="K586">
        <f>k_eb*k_ec*EXP(k_ec*C586)/k_sx</f>
        <v/>
      </c>
      <c r="L586">
        <f>(2*k_p4_2+C586*(6*k_p4_3+12*k_p4_4*C586))/k_sx^2</f>
        <v/>
      </c>
      <c r="M586">
        <f>D586/B586</f>
        <v/>
      </c>
      <c r="N586">
        <f>E586/B586</f>
        <v/>
      </c>
      <c r="O586">
        <f>F586/B586</f>
        <v/>
      </c>
      <c r="P586">
        <f>G586/B586</f>
        <v/>
      </c>
      <c r="Q586">
        <f>CHOOSE(k_model,D586,E586,F586,G586)</f>
        <v/>
      </c>
      <c r="R586">
        <f>CHOOSE(k_model,H586,I586,J586,K586)</f>
        <v/>
      </c>
    </row>
    <row r="587">
      <c r="A587" t="n">
        <v>585</v>
      </c>
      <c r="B587">
        <f>k_lo+k_rng*A587/1000</f>
        <v/>
      </c>
      <c r="C587">
        <f>(B587-k_mx)/k_sx</f>
        <v/>
      </c>
      <c r="D587">
        <f>k_p2_0+C587*(k_p2_1+C587*k_p2_2)</f>
        <v/>
      </c>
      <c r="E587">
        <f>k_p3_0+C587*(k_p3_1+C587*(k_p3_2+C587*k_p3_3))</f>
        <v/>
      </c>
      <c r="F587">
        <f>k_p4_0+C587*(k_p4_1+C587*(k_p4_2+C587*(k_p4_3+C587*k_p4_4)))</f>
        <v/>
      </c>
      <c r="G587">
        <f>k_ea+k_eb*EXP(k_ec*C587)</f>
        <v/>
      </c>
      <c r="H587">
        <f>(k_p2_1+2*k_p2_2*C587)/k_sx</f>
        <v/>
      </c>
      <c r="I587">
        <f>(k_p3_1+C587*(2*k_p3_2+3*k_p3_3*C587))/k_sx</f>
        <v/>
      </c>
      <c r="J587">
        <f>(k_p4_1+C587*(2*k_p4_2+C587*(3*k_p4_3+4*k_p4_4*C587)))/k_sx</f>
        <v/>
      </c>
      <c r="K587">
        <f>k_eb*k_ec*EXP(k_ec*C587)/k_sx</f>
        <v/>
      </c>
      <c r="L587">
        <f>(2*k_p4_2+C587*(6*k_p4_3+12*k_p4_4*C587))/k_sx^2</f>
        <v/>
      </c>
      <c r="M587">
        <f>D587/B587</f>
        <v/>
      </c>
      <c r="N587">
        <f>E587/B587</f>
        <v/>
      </c>
      <c r="O587">
        <f>F587/B587</f>
        <v/>
      </c>
      <c r="P587">
        <f>G587/B587</f>
        <v/>
      </c>
      <c r="Q587">
        <f>CHOOSE(k_model,D587,E587,F587,G587)</f>
        <v/>
      </c>
      <c r="R587">
        <f>CHOOSE(k_model,H587,I587,J587,K587)</f>
        <v/>
      </c>
    </row>
    <row r="588">
      <c r="A588" t="n">
        <v>586</v>
      </c>
      <c r="B588">
        <f>k_lo+k_rng*A588/1000</f>
        <v/>
      </c>
      <c r="C588">
        <f>(B588-k_mx)/k_sx</f>
        <v/>
      </c>
      <c r="D588">
        <f>k_p2_0+C588*(k_p2_1+C588*k_p2_2)</f>
        <v/>
      </c>
      <c r="E588">
        <f>k_p3_0+C588*(k_p3_1+C588*(k_p3_2+C588*k_p3_3))</f>
        <v/>
      </c>
      <c r="F588">
        <f>k_p4_0+C588*(k_p4_1+C588*(k_p4_2+C588*(k_p4_3+C588*k_p4_4)))</f>
        <v/>
      </c>
      <c r="G588">
        <f>k_ea+k_eb*EXP(k_ec*C588)</f>
        <v/>
      </c>
      <c r="H588">
        <f>(k_p2_1+2*k_p2_2*C588)/k_sx</f>
        <v/>
      </c>
      <c r="I588">
        <f>(k_p3_1+C588*(2*k_p3_2+3*k_p3_3*C588))/k_sx</f>
        <v/>
      </c>
      <c r="J588">
        <f>(k_p4_1+C588*(2*k_p4_2+C588*(3*k_p4_3+4*k_p4_4*C588)))/k_sx</f>
        <v/>
      </c>
      <c r="K588">
        <f>k_eb*k_ec*EXP(k_ec*C588)/k_sx</f>
        <v/>
      </c>
      <c r="L588">
        <f>(2*k_p4_2+C588*(6*k_p4_3+12*k_p4_4*C588))/k_sx^2</f>
        <v/>
      </c>
      <c r="M588">
        <f>D588/B588</f>
        <v/>
      </c>
      <c r="N588">
        <f>E588/B588</f>
        <v/>
      </c>
      <c r="O588">
        <f>F588/B588</f>
        <v/>
      </c>
      <c r="P588">
        <f>G588/B588</f>
        <v/>
      </c>
      <c r="Q588">
        <f>CHOOSE(k_model,D588,E588,F588,G588)</f>
        <v/>
      </c>
      <c r="R588">
        <f>CHOOSE(k_model,H588,I588,J588,K588)</f>
        <v/>
      </c>
    </row>
    <row r="589">
      <c r="A589" t="n">
        <v>587</v>
      </c>
      <c r="B589">
        <f>k_lo+k_rng*A589/1000</f>
        <v/>
      </c>
      <c r="C589">
        <f>(B589-k_mx)/k_sx</f>
        <v/>
      </c>
      <c r="D589">
        <f>k_p2_0+C589*(k_p2_1+C589*k_p2_2)</f>
        <v/>
      </c>
      <c r="E589">
        <f>k_p3_0+C589*(k_p3_1+C589*(k_p3_2+C589*k_p3_3))</f>
        <v/>
      </c>
      <c r="F589">
        <f>k_p4_0+C589*(k_p4_1+C589*(k_p4_2+C589*(k_p4_3+C589*k_p4_4)))</f>
        <v/>
      </c>
      <c r="G589">
        <f>k_ea+k_eb*EXP(k_ec*C589)</f>
        <v/>
      </c>
      <c r="H589">
        <f>(k_p2_1+2*k_p2_2*C589)/k_sx</f>
        <v/>
      </c>
      <c r="I589">
        <f>(k_p3_1+C589*(2*k_p3_2+3*k_p3_3*C589))/k_sx</f>
        <v/>
      </c>
      <c r="J589">
        <f>(k_p4_1+C589*(2*k_p4_2+C589*(3*k_p4_3+4*k_p4_4*C589)))/k_sx</f>
        <v/>
      </c>
      <c r="K589">
        <f>k_eb*k_ec*EXP(k_ec*C589)/k_sx</f>
        <v/>
      </c>
      <c r="L589">
        <f>(2*k_p4_2+C589*(6*k_p4_3+12*k_p4_4*C589))/k_sx^2</f>
        <v/>
      </c>
      <c r="M589">
        <f>D589/B589</f>
        <v/>
      </c>
      <c r="N589">
        <f>E589/B589</f>
        <v/>
      </c>
      <c r="O589">
        <f>F589/B589</f>
        <v/>
      </c>
      <c r="P589">
        <f>G589/B589</f>
        <v/>
      </c>
      <c r="Q589">
        <f>CHOOSE(k_model,D589,E589,F589,G589)</f>
        <v/>
      </c>
      <c r="R589">
        <f>CHOOSE(k_model,H589,I589,J589,K589)</f>
        <v/>
      </c>
    </row>
    <row r="590">
      <c r="A590" t="n">
        <v>588</v>
      </c>
      <c r="B590">
        <f>k_lo+k_rng*A590/1000</f>
        <v/>
      </c>
      <c r="C590">
        <f>(B590-k_mx)/k_sx</f>
        <v/>
      </c>
      <c r="D590">
        <f>k_p2_0+C590*(k_p2_1+C590*k_p2_2)</f>
        <v/>
      </c>
      <c r="E590">
        <f>k_p3_0+C590*(k_p3_1+C590*(k_p3_2+C590*k_p3_3))</f>
        <v/>
      </c>
      <c r="F590">
        <f>k_p4_0+C590*(k_p4_1+C590*(k_p4_2+C590*(k_p4_3+C590*k_p4_4)))</f>
        <v/>
      </c>
      <c r="G590">
        <f>k_ea+k_eb*EXP(k_ec*C590)</f>
        <v/>
      </c>
      <c r="H590">
        <f>(k_p2_1+2*k_p2_2*C590)/k_sx</f>
        <v/>
      </c>
      <c r="I590">
        <f>(k_p3_1+C590*(2*k_p3_2+3*k_p3_3*C590))/k_sx</f>
        <v/>
      </c>
      <c r="J590">
        <f>(k_p4_1+C590*(2*k_p4_2+C590*(3*k_p4_3+4*k_p4_4*C590)))/k_sx</f>
        <v/>
      </c>
      <c r="K590">
        <f>k_eb*k_ec*EXP(k_ec*C590)/k_sx</f>
        <v/>
      </c>
      <c r="L590">
        <f>(2*k_p4_2+C590*(6*k_p4_3+12*k_p4_4*C590))/k_sx^2</f>
        <v/>
      </c>
      <c r="M590">
        <f>D590/B590</f>
        <v/>
      </c>
      <c r="N590">
        <f>E590/B590</f>
        <v/>
      </c>
      <c r="O590">
        <f>F590/B590</f>
        <v/>
      </c>
      <c r="P590">
        <f>G590/B590</f>
        <v/>
      </c>
      <c r="Q590">
        <f>CHOOSE(k_model,D590,E590,F590,G590)</f>
        <v/>
      </c>
      <c r="R590">
        <f>CHOOSE(k_model,H590,I590,J590,K590)</f>
        <v/>
      </c>
    </row>
    <row r="591">
      <c r="A591" t="n">
        <v>589</v>
      </c>
      <c r="B591">
        <f>k_lo+k_rng*A591/1000</f>
        <v/>
      </c>
      <c r="C591">
        <f>(B591-k_mx)/k_sx</f>
        <v/>
      </c>
      <c r="D591">
        <f>k_p2_0+C591*(k_p2_1+C591*k_p2_2)</f>
        <v/>
      </c>
      <c r="E591">
        <f>k_p3_0+C591*(k_p3_1+C591*(k_p3_2+C591*k_p3_3))</f>
        <v/>
      </c>
      <c r="F591">
        <f>k_p4_0+C591*(k_p4_1+C591*(k_p4_2+C591*(k_p4_3+C591*k_p4_4)))</f>
        <v/>
      </c>
      <c r="G591">
        <f>k_ea+k_eb*EXP(k_ec*C591)</f>
        <v/>
      </c>
      <c r="H591">
        <f>(k_p2_1+2*k_p2_2*C591)/k_sx</f>
        <v/>
      </c>
      <c r="I591">
        <f>(k_p3_1+C591*(2*k_p3_2+3*k_p3_3*C591))/k_sx</f>
        <v/>
      </c>
      <c r="J591">
        <f>(k_p4_1+C591*(2*k_p4_2+C591*(3*k_p4_3+4*k_p4_4*C591)))/k_sx</f>
        <v/>
      </c>
      <c r="K591">
        <f>k_eb*k_ec*EXP(k_ec*C591)/k_sx</f>
        <v/>
      </c>
      <c r="L591">
        <f>(2*k_p4_2+C591*(6*k_p4_3+12*k_p4_4*C591))/k_sx^2</f>
        <v/>
      </c>
      <c r="M591">
        <f>D591/B591</f>
        <v/>
      </c>
      <c r="N591">
        <f>E591/B591</f>
        <v/>
      </c>
      <c r="O591">
        <f>F591/B591</f>
        <v/>
      </c>
      <c r="P591">
        <f>G591/B591</f>
        <v/>
      </c>
      <c r="Q591">
        <f>CHOOSE(k_model,D591,E591,F591,G591)</f>
        <v/>
      </c>
      <c r="R591">
        <f>CHOOSE(k_model,H591,I591,J591,K591)</f>
        <v/>
      </c>
    </row>
    <row r="592">
      <c r="A592" t="n">
        <v>590</v>
      </c>
      <c r="B592">
        <f>k_lo+k_rng*A592/1000</f>
        <v/>
      </c>
      <c r="C592">
        <f>(B592-k_mx)/k_sx</f>
        <v/>
      </c>
      <c r="D592">
        <f>k_p2_0+C592*(k_p2_1+C592*k_p2_2)</f>
        <v/>
      </c>
      <c r="E592">
        <f>k_p3_0+C592*(k_p3_1+C592*(k_p3_2+C592*k_p3_3))</f>
        <v/>
      </c>
      <c r="F592">
        <f>k_p4_0+C592*(k_p4_1+C592*(k_p4_2+C592*(k_p4_3+C592*k_p4_4)))</f>
        <v/>
      </c>
      <c r="G592">
        <f>k_ea+k_eb*EXP(k_ec*C592)</f>
        <v/>
      </c>
      <c r="H592">
        <f>(k_p2_1+2*k_p2_2*C592)/k_sx</f>
        <v/>
      </c>
      <c r="I592">
        <f>(k_p3_1+C592*(2*k_p3_2+3*k_p3_3*C592))/k_sx</f>
        <v/>
      </c>
      <c r="J592">
        <f>(k_p4_1+C592*(2*k_p4_2+C592*(3*k_p4_3+4*k_p4_4*C592)))/k_sx</f>
        <v/>
      </c>
      <c r="K592">
        <f>k_eb*k_ec*EXP(k_ec*C592)/k_sx</f>
        <v/>
      </c>
      <c r="L592">
        <f>(2*k_p4_2+C592*(6*k_p4_3+12*k_p4_4*C592))/k_sx^2</f>
        <v/>
      </c>
      <c r="M592">
        <f>D592/B592</f>
        <v/>
      </c>
      <c r="N592">
        <f>E592/B592</f>
        <v/>
      </c>
      <c r="O592">
        <f>F592/B592</f>
        <v/>
      </c>
      <c r="P592">
        <f>G592/B592</f>
        <v/>
      </c>
      <c r="Q592">
        <f>CHOOSE(k_model,D592,E592,F592,G592)</f>
        <v/>
      </c>
      <c r="R592">
        <f>CHOOSE(k_model,H592,I592,J592,K592)</f>
        <v/>
      </c>
    </row>
    <row r="593">
      <c r="A593" t="n">
        <v>591</v>
      </c>
      <c r="B593">
        <f>k_lo+k_rng*A593/1000</f>
        <v/>
      </c>
      <c r="C593">
        <f>(B593-k_mx)/k_sx</f>
        <v/>
      </c>
      <c r="D593">
        <f>k_p2_0+C593*(k_p2_1+C593*k_p2_2)</f>
        <v/>
      </c>
      <c r="E593">
        <f>k_p3_0+C593*(k_p3_1+C593*(k_p3_2+C593*k_p3_3))</f>
        <v/>
      </c>
      <c r="F593">
        <f>k_p4_0+C593*(k_p4_1+C593*(k_p4_2+C593*(k_p4_3+C593*k_p4_4)))</f>
        <v/>
      </c>
      <c r="G593">
        <f>k_ea+k_eb*EXP(k_ec*C593)</f>
        <v/>
      </c>
      <c r="H593">
        <f>(k_p2_1+2*k_p2_2*C593)/k_sx</f>
        <v/>
      </c>
      <c r="I593">
        <f>(k_p3_1+C593*(2*k_p3_2+3*k_p3_3*C593))/k_sx</f>
        <v/>
      </c>
      <c r="J593">
        <f>(k_p4_1+C593*(2*k_p4_2+C593*(3*k_p4_3+4*k_p4_4*C593)))/k_sx</f>
        <v/>
      </c>
      <c r="K593">
        <f>k_eb*k_ec*EXP(k_ec*C593)/k_sx</f>
        <v/>
      </c>
      <c r="L593">
        <f>(2*k_p4_2+C593*(6*k_p4_3+12*k_p4_4*C593))/k_sx^2</f>
        <v/>
      </c>
      <c r="M593">
        <f>D593/B593</f>
        <v/>
      </c>
      <c r="N593">
        <f>E593/B593</f>
        <v/>
      </c>
      <c r="O593">
        <f>F593/B593</f>
        <v/>
      </c>
      <c r="P593">
        <f>G593/B593</f>
        <v/>
      </c>
      <c r="Q593">
        <f>CHOOSE(k_model,D593,E593,F593,G593)</f>
        <v/>
      </c>
      <c r="R593">
        <f>CHOOSE(k_model,H593,I593,J593,K593)</f>
        <v/>
      </c>
    </row>
    <row r="594">
      <c r="A594" t="n">
        <v>592</v>
      </c>
      <c r="B594">
        <f>k_lo+k_rng*A594/1000</f>
        <v/>
      </c>
      <c r="C594">
        <f>(B594-k_mx)/k_sx</f>
        <v/>
      </c>
      <c r="D594">
        <f>k_p2_0+C594*(k_p2_1+C594*k_p2_2)</f>
        <v/>
      </c>
      <c r="E594">
        <f>k_p3_0+C594*(k_p3_1+C594*(k_p3_2+C594*k_p3_3))</f>
        <v/>
      </c>
      <c r="F594">
        <f>k_p4_0+C594*(k_p4_1+C594*(k_p4_2+C594*(k_p4_3+C594*k_p4_4)))</f>
        <v/>
      </c>
      <c r="G594">
        <f>k_ea+k_eb*EXP(k_ec*C594)</f>
        <v/>
      </c>
      <c r="H594">
        <f>(k_p2_1+2*k_p2_2*C594)/k_sx</f>
        <v/>
      </c>
      <c r="I594">
        <f>(k_p3_1+C594*(2*k_p3_2+3*k_p3_3*C594))/k_sx</f>
        <v/>
      </c>
      <c r="J594">
        <f>(k_p4_1+C594*(2*k_p4_2+C594*(3*k_p4_3+4*k_p4_4*C594)))/k_sx</f>
        <v/>
      </c>
      <c r="K594">
        <f>k_eb*k_ec*EXP(k_ec*C594)/k_sx</f>
        <v/>
      </c>
      <c r="L594">
        <f>(2*k_p4_2+C594*(6*k_p4_3+12*k_p4_4*C594))/k_sx^2</f>
        <v/>
      </c>
      <c r="M594">
        <f>D594/B594</f>
        <v/>
      </c>
      <c r="N594">
        <f>E594/B594</f>
        <v/>
      </c>
      <c r="O594">
        <f>F594/B594</f>
        <v/>
      </c>
      <c r="P594">
        <f>G594/B594</f>
        <v/>
      </c>
      <c r="Q594">
        <f>CHOOSE(k_model,D594,E594,F594,G594)</f>
        <v/>
      </c>
      <c r="R594">
        <f>CHOOSE(k_model,H594,I594,J594,K594)</f>
        <v/>
      </c>
    </row>
    <row r="595">
      <c r="A595" t="n">
        <v>593</v>
      </c>
      <c r="B595">
        <f>k_lo+k_rng*A595/1000</f>
        <v/>
      </c>
      <c r="C595">
        <f>(B595-k_mx)/k_sx</f>
        <v/>
      </c>
      <c r="D595">
        <f>k_p2_0+C595*(k_p2_1+C595*k_p2_2)</f>
        <v/>
      </c>
      <c r="E595">
        <f>k_p3_0+C595*(k_p3_1+C595*(k_p3_2+C595*k_p3_3))</f>
        <v/>
      </c>
      <c r="F595">
        <f>k_p4_0+C595*(k_p4_1+C595*(k_p4_2+C595*(k_p4_3+C595*k_p4_4)))</f>
        <v/>
      </c>
      <c r="G595">
        <f>k_ea+k_eb*EXP(k_ec*C595)</f>
        <v/>
      </c>
      <c r="H595">
        <f>(k_p2_1+2*k_p2_2*C595)/k_sx</f>
        <v/>
      </c>
      <c r="I595">
        <f>(k_p3_1+C595*(2*k_p3_2+3*k_p3_3*C595))/k_sx</f>
        <v/>
      </c>
      <c r="J595">
        <f>(k_p4_1+C595*(2*k_p4_2+C595*(3*k_p4_3+4*k_p4_4*C595)))/k_sx</f>
        <v/>
      </c>
      <c r="K595">
        <f>k_eb*k_ec*EXP(k_ec*C595)/k_sx</f>
        <v/>
      </c>
      <c r="L595">
        <f>(2*k_p4_2+C595*(6*k_p4_3+12*k_p4_4*C595))/k_sx^2</f>
        <v/>
      </c>
      <c r="M595">
        <f>D595/B595</f>
        <v/>
      </c>
      <c r="N595">
        <f>E595/B595</f>
        <v/>
      </c>
      <c r="O595">
        <f>F595/B595</f>
        <v/>
      </c>
      <c r="P595">
        <f>G595/B595</f>
        <v/>
      </c>
      <c r="Q595">
        <f>CHOOSE(k_model,D595,E595,F595,G595)</f>
        <v/>
      </c>
      <c r="R595">
        <f>CHOOSE(k_model,H595,I595,J595,K595)</f>
        <v/>
      </c>
    </row>
    <row r="596">
      <c r="A596" t="n">
        <v>594</v>
      </c>
      <c r="B596">
        <f>k_lo+k_rng*A596/1000</f>
        <v/>
      </c>
      <c r="C596">
        <f>(B596-k_mx)/k_sx</f>
        <v/>
      </c>
      <c r="D596">
        <f>k_p2_0+C596*(k_p2_1+C596*k_p2_2)</f>
        <v/>
      </c>
      <c r="E596">
        <f>k_p3_0+C596*(k_p3_1+C596*(k_p3_2+C596*k_p3_3))</f>
        <v/>
      </c>
      <c r="F596">
        <f>k_p4_0+C596*(k_p4_1+C596*(k_p4_2+C596*(k_p4_3+C596*k_p4_4)))</f>
        <v/>
      </c>
      <c r="G596">
        <f>k_ea+k_eb*EXP(k_ec*C596)</f>
        <v/>
      </c>
      <c r="H596">
        <f>(k_p2_1+2*k_p2_2*C596)/k_sx</f>
        <v/>
      </c>
      <c r="I596">
        <f>(k_p3_1+C596*(2*k_p3_2+3*k_p3_3*C596))/k_sx</f>
        <v/>
      </c>
      <c r="J596">
        <f>(k_p4_1+C596*(2*k_p4_2+C596*(3*k_p4_3+4*k_p4_4*C596)))/k_sx</f>
        <v/>
      </c>
      <c r="K596">
        <f>k_eb*k_ec*EXP(k_ec*C596)/k_sx</f>
        <v/>
      </c>
      <c r="L596">
        <f>(2*k_p4_2+C596*(6*k_p4_3+12*k_p4_4*C596))/k_sx^2</f>
        <v/>
      </c>
      <c r="M596">
        <f>D596/B596</f>
        <v/>
      </c>
      <c r="N596">
        <f>E596/B596</f>
        <v/>
      </c>
      <c r="O596">
        <f>F596/B596</f>
        <v/>
      </c>
      <c r="P596">
        <f>G596/B596</f>
        <v/>
      </c>
      <c r="Q596">
        <f>CHOOSE(k_model,D596,E596,F596,G596)</f>
        <v/>
      </c>
      <c r="R596">
        <f>CHOOSE(k_model,H596,I596,J596,K596)</f>
        <v/>
      </c>
    </row>
    <row r="597">
      <c r="A597" t="n">
        <v>595</v>
      </c>
      <c r="B597">
        <f>k_lo+k_rng*A597/1000</f>
        <v/>
      </c>
      <c r="C597">
        <f>(B597-k_mx)/k_sx</f>
        <v/>
      </c>
      <c r="D597">
        <f>k_p2_0+C597*(k_p2_1+C597*k_p2_2)</f>
        <v/>
      </c>
      <c r="E597">
        <f>k_p3_0+C597*(k_p3_1+C597*(k_p3_2+C597*k_p3_3))</f>
        <v/>
      </c>
      <c r="F597">
        <f>k_p4_0+C597*(k_p4_1+C597*(k_p4_2+C597*(k_p4_3+C597*k_p4_4)))</f>
        <v/>
      </c>
      <c r="G597">
        <f>k_ea+k_eb*EXP(k_ec*C597)</f>
        <v/>
      </c>
      <c r="H597">
        <f>(k_p2_1+2*k_p2_2*C597)/k_sx</f>
        <v/>
      </c>
      <c r="I597">
        <f>(k_p3_1+C597*(2*k_p3_2+3*k_p3_3*C597))/k_sx</f>
        <v/>
      </c>
      <c r="J597">
        <f>(k_p4_1+C597*(2*k_p4_2+C597*(3*k_p4_3+4*k_p4_4*C597)))/k_sx</f>
        <v/>
      </c>
      <c r="K597">
        <f>k_eb*k_ec*EXP(k_ec*C597)/k_sx</f>
        <v/>
      </c>
      <c r="L597">
        <f>(2*k_p4_2+C597*(6*k_p4_3+12*k_p4_4*C597))/k_sx^2</f>
        <v/>
      </c>
      <c r="M597">
        <f>D597/B597</f>
        <v/>
      </c>
      <c r="N597">
        <f>E597/B597</f>
        <v/>
      </c>
      <c r="O597">
        <f>F597/B597</f>
        <v/>
      </c>
      <c r="P597">
        <f>G597/B597</f>
        <v/>
      </c>
      <c r="Q597">
        <f>CHOOSE(k_model,D597,E597,F597,G597)</f>
        <v/>
      </c>
      <c r="R597">
        <f>CHOOSE(k_model,H597,I597,J597,K597)</f>
        <v/>
      </c>
    </row>
    <row r="598">
      <c r="A598" t="n">
        <v>596</v>
      </c>
      <c r="B598">
        <f>k_lo+k_rng*A598/1000</f>
        <v/>
      </c>
      <c r="C598">
        <f>(B598-k_mx)/k_sx</f>
        <v/>
      </c>
      <c r="D598">
        <f>k_p2_0+C598*(k_p2_1+C598*k_p2_2)</f>
        <v/>
      </c>
      <c r="E598">
        <f>k_p3_0+C598*(k_p3_1+C598*(k_p3_2+C598*k_p3_3))</f>
        <v/>
      </c>
      <c r="F598">
        <f>k_p4_0+C598*(k_p4_1+C598*(k_p4_2+C598*(k_p4_3+C598*k_p4_4)))</f>
        <v/>
      </c>
      <c r="G598">
        <f>k_ea+k_eb*EXP(k_ec*C598)</f>
        <v/>
      </c>
      <c r="H598">
        <f>(k_p2_1+2*k_p2_2*C598)/k_sx</f>
        <v/>
      </c>
      <c r="I598">
        <f>(k_p3_1+C598*(2*k_p3_2+3*k_p3_3*C598))/k_sx</f>
        <v/>
      </c>
      <c r="J598">
        <f>(k_p4_1+C598*(2*k_p4_2+C598*(3*k_p4_3+4*k_p4_4*C598)))/k_sx</f>
        <v/>
      </c>
      <c r="K598">
        <f>k_eb*k_ec*EXP(k_ec*C598)/k_sx</f>
        <v/>
      </c>
      <c r="L598">
        <f>(2*k_p4_2+C598*(6*k_p4_3+12*k_p4_4*C598))/k_sx^2</f>
        <v/>
      </c>
      <c r="M598">
        <f>D598/B598</f>
        <v/>
      </c>
      <c r="N598">
        <f>E598/B598</f>
        <v/>
      </c>
      <c r="O598">
        <f>F598/B598</f>
        <v/>
      </c>
      <c r="P598">
        <f>G598/B598</f>
        <v/>
      </c>
      <c r="Q598">
        <f>CHOOSE(k_model,D598,E598,F598,G598)</f>
        <v/>
      </c>
      <c r="R598">
        <f>CHOOSE(k_model,H598,I598,J598,K598)</f>
        <v/>
      </c>
    </row>
    <row r="599">
      <c r="A599" t="n">
        <v>597</v>
      </c>
      <c r="B599">
        <f>k_lo+k_rng*A599/1000</f>
        <v/>
      </c>
      <c r="C599">
        <f>(B599-k_mx)/k_sx</f>
        <v/>
      </c>
      <c r="D599">
        <f>k_p2_0+C599*(k_p2_1+C599*k_p2_2)</f>
        <v/>
      </c>
      <c r="E599">
        <f>k_p3_0+C599*(k_p3_1+C599*(k_p3_2+C599*k_p3_3))</f>
        <v/>
      </c>
      <c r="F599">
        <f>k_p4_0+C599*(k_p4_1+C599*(k_p4_2+C599*(k_p4_3+C599*k_p4_4)))</f>
        <v/>
      </c>
      <c r="G599">
        <f>k_ea+k_eb*EXP(k_ec*C599)</f>
        <v/>
      </c>
      <c r="H599">
        <f>(k_p2_1+2*k_p2_2*C599)/k_sx</f>
        <v/>
      </c>
      <c r="I599">
        <f>(k_p3_1+C599*(2*k_p3_2+3*k_p3_3*C599))/k_sx</f>
        <v/>
      </c>
      <c r="J599">
        <f>(k_p4_1+C599*(2*k_p4_2+C599*(3*k_p4_3+4*k_p4_4*C599)))/k_sx</f>
        <v/>
      </c>
      <c r="K599">
        <f>k_eb*k_ec*EXP(k_ec*C599)/k_sx</f>
        <v/>
      </c>
      <c r="L599">
        <f>(2*k_p4_2+C599*(6*k_p4_3+12*k_p4_4*C599))/k_sx^2</f>
        <v/>
      </c>
      <c r="M599">
        <f>D599/B599</f>
        <v/>
      </c>
      <c r="N599">
        <f>E599/B599</f>
        <v/>
      </c>
      <c r="O599">
        <f>F599/B599</f>
        <v/>
      </c>
      <c r="P599">
        <f>G599/B599</f>
        <v/>
      </c>
      <c r="Q599">
        <f>CHOOSE(k_model,D599,E599,F599,G599)</f>
        <v/>
      </c>
      <c r="R599">
        <f>CHOOSE(k_model,H599,I599,J599,K599)</f>
        <v/>
      </c>
    </row>
    <row r="600">
      <c r="A600" t="n">
        <v>598</v>
      </c>
      <c r="B600">
        <f>k_lo+k_rng*A600/1000</f>
        <v/>
      </c>
      <c r="C600">
        <f>(B600-k_mx)/k_sx</f>
        <v/>
      </c>
      <c r="D600">
        <f>k_p2_0+C600*(k_p2_1+C600*k_p2_2)</f>
        <v/>
      </c>
      <c r="E600">
        <f>k_p3_0+C600*(k_p3_1+C600*(k_p3_2+C600*k_p3_3))</f>
        <v/>
      </c>
      <c r="F600">
        <f>k_p4_0+C600*(k_p4_1+C600*(k_p4_2+C600*(k_p4_3+C600*k_p4_4)))</f>
        <v/>
      </c>
      <c r="G600">
        <f>k_ea+k_eb*EXP(k_ec*C600)</f>
        <v/>
      </c>
      <c r="H600">
        <f>(k_p2_1+2*k_p2_2*C600)/k_sx</f>
        <v/>
      </c>
      <c r="I600">
        <f>(k_p3_1+C600*(2*k_p3_2+3*k_p3_3*C600))/k_sx</f>
        <v/>
      </c>
      <c r="J600">
        <f>(k_p4_1+C600*(2*k_p4_2+C600*(3*k_p4_3+4*k_p4_4*C600)))/k_sx</f>
        <v/>
      </c>
      <c r="K600">
        <f>k_eb*k_ec*EXP(k_ec*C600)/k_sx</f>
        <v/>
      </c>
      <c r="L600">
        <f>(2*k_p4_2+C600*(6*k_p4_3+12*k_p4_4*C600))/k_sx^2</f>
        <v/>
      </c>
      <c r="M600">
        <f>D600/B600</f>
        <v/>
      </c>
      <c r="N600">
        <f>E600/B600</f>
        <v/>
      </c>
      <c r="O600">
        <f>F600/B600</f>
        <v/>
      </c>
      <c r="P600">
        <f>G600/B600</f>
        <v/>
      </c>
      <c r="Q600">
        <f>CHOOSE(k_model,D600,E600,F600,G600)</f>
        <v/>
      </c>
      <c r="R600">
        <f>CHOOSE(k_model,H600,I600,J600,K600)</f>
        <v/>
      </c>
    </row>
    <row r="601">
      <c r="A601" t="n">
        <v>599</v>
      </c>
      <c r="B601">
        <f>k_lo+k_rng*A601/1000</f>
        <v/>
      </c>
      <c r="C601">
        <f>(B601-k_mx)/k_sx</f>
        <v/>
      </c>
      <c r="D601">
        <f>k_p2_0+C601*(k_p2_1+C601*k_p2_2)</f>
        <v/>
      </c>
      <c r="E601">
        <f>k_p3_0+C601*(k_p3_1+C601*(k_p3_2+C601*k_p3_3))</f>
        <v/>
      </c>
      <c r="F601">
        <f>k_p4_0+C601*(k_p4_1+C601*(k_p4_2+C601*(k_p4_3+C601*k_p4_4)))</f>
        <v/>
      </c>
      <c r="G601">
        <f>k_ea+k_eb*EXP(k_ec*C601)</f>
        <v/>
      </c>
      <c r="H601">
        <f>(k_p2_1+2*k_p2_2*C601)/k_sx</f>
        <v/>
      </c>
      <c r="I601">
        <f>(k_p3_1+C601*(2*k_p3_2+3*k_p3_3*C601))/k_sx</f>
        <v/>
      </c>
      <c r="J601">
        <f>(k_p4_1+C601*(2*k_p4_2+C601*(3*k_p4_3+4*k_p4_4*C601)))/k_sx</f>
        <v/>
      </c>
      <c r="K601">
        <f>k_eb*k_ec*EXP(k_ec*C601)/k_sx</f>
        <v/>
      </c>
      <c r="L601">
        <f>(2*k_p4_2+C601*(6*k_p4_3+12*k_p4_4*C601))/k_sx^2</f>
        <v/>
      </c>
      <c r="M601">
        <f>D601/B601</f>
        <v/>
      </c>
      <c r="N601">
        <f>E601/B601</f>
        <v/>
      </c>
      <c r="O601">
        <f>F601/B601</f>
        <v/>
      </c>
      <c r="P601">
        <f>G601/B601</f>
        <v/>
      </c>
      <c r="Q601">
        <f>CHOOSE(k_model,D601,E601,F601,G601)</f>
        <v/>
      </c>
      <c r="R601">
        <f>CHOOSE(k_model,H601,I601,J601,K601)</f>
        <v/>
      </c>
    </row>
    <row r="602">
      <c r="A602" t="n">
        <v>600</v>
      </c>
      <c r="B602">
        <f>k_lo+k_rng*A602/1000</f>
        <v/>
      </c>
      <c r="C602">
        <f>(B602-k_mx)/k_sx</f>
        <v/>
      </c>
      <c r="D602">
        <f>k_p2_0+C602*(k_p2_1+C602*k_p2_2)</f>
        <v/>
      </c>
      <c r="E602">
        <f>k_p3_0+C602*(k_p3_1+C602*(k_p3_2+C602*k_p3_3))</f>
        <v/>
      </c>
      <c r="F602">
        <f>k_p4_0+C602*(k_p4_1+C602*(k_p4_2+C602*(k_p4_3+C602*k_p4_4)))</f>
        <v/>
      </c>
      <c r="G602">
        <f>k_ea+k_eb*EXP(k_ec*C602)</f>
        <v/>
      </c>
      <c r="H602">
        <f>(k_p2_1+2*k_p2_2*C602)/k_sx</f>
        <v/>
      </c>
      <c r="I602">
        <f>(k_p3_1+C602*(2*k_p3_2+3*k_p3_3*C602))/k_sx</f>
        <v/>
      </c>
      <c r="J602">
        <f>(k_p4_1+C602*(2*k_p4_2+C602*(3*k_p4_3+4*k_p4_4*C602)))/k_sx</f>
        <v/>
      </c>
      <c r="K602">
        <f>k_eb*k_ec*EXP(k_ec*C602)/k_sx</f>
        <v/>
      </c>
      <c r="L602">
        <f>(2*k_p4_2+C602*(6*k_p4_3+12*k_p4_4*C602))/k_sx^2</f>
        <v/>
      </c>
      <c r="M602">
        <f>D602/B602</f>
        <v/>
      </c>
      <c r="N602">
        <f>E602/B602</f>
        <v/>
      </c>
      <c r="O602">
        <f>F602/B602</f>
        <v/>
      </c>
      <c r="P602">
        <f>G602/B602</f>
        <v/>
      </c>
      <c r="Q602">
        <f>CHOOSE(k_model,D602,E602,F602,G602)</f>
        <v/>
      </c>
      <c r="R602">
        <f>CHOOSE(k_model,H602,I602,J602,K602)</f>
        <v/>
      </c>
    </row>
    <row r="603">
      <c r="A603" t="n">
        <v>601</v>
      </c>
      <c r="B603">
        <f>k_lo+k_rng*A603/1000</f>
        <v/>
      </c>
      <c r="C603">
        <f>(B603-k_mx)/k_sx</f>
        <v/>
      </c>
      <c r="D603">
        <f>k_p2_0+C603*(k_p2_1+C603*k_p2_2)</f>
        <v/>
      </c>
      <c r="E603">
        <f>k_p3_0+C603*(k_p3_1+C603*(k_p3_2+C603*k_p3_3))</f>
        <v/>
      </c>
      <c r="F603">
        <f>k_p4_0+C603*(k_p4_1+C603*(k_p4_2+C603*(k_p4_3+C603*k_p4_4)))</f>
        <v/>
      </c>
      <c r="G603">
        <f>k_ea+k_eb*EXP(k_ec*C603)</f>
        <v/>
      </c>
      <c r="H603">
        <f>(k_p2_1+2*k_p2_2*C603)/k_sx</f>
        <v/>
      </c>
      <c r="I603">
        <f>(k_p3_1+C603*(2*k_p3_2+3*k_p3_3*C603))/k_sx</f>
        <v/>
      </c>
      <c r="J603">
        <f>(k_p4_1+C603*(2*k_p4_2+C603*(3*k_p4_3+4*k_p4_4*C603)))/k_sx</f>
        <v/>
      </c>
      <c r="K603">
        <f>k_eb*k_ec*EXP(k_ec*C603)/k_sx</f>
        <v/>
      </c>
      <c r="L603">
        <f>(2*k_p4_2+C603*(6*k_p4_3+12*k_p4_4*C603))/k_sx^2</f>
        <v/>
      </c>
      <c r="M603">
        <f>D603/B603</f>
        <v/>
      </c>
      <c r="N603">
        <f>E603/B603</f>
        <v/>
      </c>
      <c r="O603">
        <f>F603/B603</f>
        <v/>
      </c>
      <c r="P603">
        <f>G603/B603</f>
        <v/>
      </c>
      <c r="Q603">
        <f>CHOOSE(k_model,D603,E603,F603,G603)</f>
        <v/>
      </c>
      <c r="R603">
        <f>CHOOSE(k_model,H603,I603,J603,K603)</f>
        <v/>
      </c>
    </row>
    <row r="604">
      <c r="A604" t="n">
        <v>602</v>
      </c>
      <c r="B604">
        <f>k_lo+k_rng*A604/1000</f>
        <v/>
      </c>
      <c r="C604">
        <f>(B604-k_mx)/k_sx</f>
        <v/>
      </c>
      <c r="D604">
        <f>k_p2_0+C604*(k_p2_1+C604*k_p2_2)</f>
        <v/>
      </c>
      <c r="E604">
        <f>k_p3_0+C604*(k_p3_1+C604*(k_p3_2+C604*k_p3_3))</f>
        <v/>
      </c>
      <c r="F604">
        <f>k_p4_0+C604*(k_p4_1+C604*(k_p4_2+C604*(k_p4_3+C604*k_p4_4)))</f>
        <v/>
      </c>
      <c r="G604">
        <f>k_ea+k_eb*EXP(k_ec*C604)</f>
        <v/>
      </c>
      <c r="H604">
        <f>(k_p2_1+2*k_p2_2*C604)/k_sx</f>
        <v/>
      </c>
      <c r="I604">
        <f>(k_p3_1+C604*(2*k_p3_2+3*k_p3_3*C604))/k_sx</f>
        <v/>
      </c>
      <c r="J604">
        <f>(k_p4_1+C604*(2*k_p4_2+C604*(3*k_p4_3+4*k_p4_4*C604)))/k_sx</f>
        <v/>
      </c>
      <c r="K604">
        <f>k_eb*k_ec*EXP(k_ec*C604)/k_sx</f>
        <v/>
      </c>
      <c r="L604">
        <f>(2*k_p4_2+C604*(6*k_p4_3+12*k_p4_4*C604))/k_sx^2</f>
        <v/>
      </c>
      <c r="M604">
        <f>D604/B604</f>
        <v/>
      </c>
      <c r="N604">
        <f>E604/B604</f>
        <v/>
      </c>
      <c r="O604">
        <f>F604/B604</f>
        <v/>
      </c>
      <c r="P604">
        <f>G604/B604</f>
        <v/>
      </c>
      <c r="Q604">
        <f>CHOOSE(k_model,D604,E604,F604,G604)</f>
        <v/>
      </c>
      <c r="R604">
        <f>CHOOSE(k_model,H604,I604,J604,K604)</f>
        <v/>
      </c>
    </row>
    <row r="605">
      <c r="A605" t="n">
        <v>603</v>
      </c>
      <c r="B605">
        <f>k_lo+k_rng*A605/1000</f>
        <v/>
      </c>
      <c r="C605">
        <f>(B605-k_mx)/k_sx</f>
        <v/>
      </c>
      <c r="D605">
        <f>k_p2_0+C605*(k_p2_1+C605*k_p2_2)</f>
        <v/>
      </c>
      <c r="E605">
        <f>k_p3_0+C605*(k_p3_1+C605*(k_p3_2+C605*k_p3_3))</f>
        <v/>
      </c>
      <c r="F605">
        <f>k_p4_0+C605*(k_p4_1+C605*(k_p4_2+C605*(k_p4_3+C605*k_p4_4)))</f>
        <v/>
      </c>
      <c r="G605">
        <f>k_ea+k_eb*EXP(k_ec*C605)</f>
        <v/>
      </c>
      <c r="H605">
        <f>(k_p2_1+2*k_p2_2*C605)/k_sx</f>
        <v/>
      </c>
      <c r="I605">
        <f>(k_p3_1+C605*(2*k_p3_2+3*k_p3_3*C605))/k_sx</f>
        <v/>
      </c>
      <c r="J605">
        <f>(k_p4_1+C605*(2*k_p4_2+C605*(3*k_p4_3+4*k_p4_4*C605)))/k_sx</f>
        <v/>
      </c>
      <c r="K605">
        <f>k_eb*k_ec*EXP(k_ec*C605)/k_sx</f>
        <v/>
      </c>
      <c r="L605">
        <f>(2*k_p4_2+C605*(6*k_p4_3+12*k_p4_4*C605))/k_sx^2</f>
        <v/>
      </c>
      <c r="M605">
        <f>D605/B605</f>
        <v/>
      </c>
      <c r="N605">
        <f>E605/B605</f>
        <v/>
      </c>
      <c r="O605">
        <f>F605/B605</f>
        <v/>
      </c>
      <c r="P605">
        <f>G605/B605</f>
        <v/>
      </c>
      <c r="Q605">
        <f>CHOOSE(k_model,D605,E605,F605,G605)</f>
        <v/>
      </c>
      <c r="R605">
        <f>CHOOSE(k_model,H605,I605,J605,K605)</f>
        <v/>
      </c>
    </row>
    <row r="606">
      <c r="A606" t="n">
        <v>604</v>
      </c>
      <c r="B606">
        <f>k_lo+k_rng*A606/1000</f>
        <v/>
      </c>
      <c r="C606">
        <f>(B606-k_mx)/k_sx</f>
        <v/>
      </c>
      <c r="D606">
        <f>k_p2_0+C606*(k_p2_1+C606*k_p2_2)</f>
        <v/>
      </c>
      <c r="E606">
        <f>k_p3_0+C606*(k_p3_1+C606*(k_p3_2+C606*k_p3_3))</f>
        <v/>
      </c>
      <c r="F606">
        <f>k_p4_0+C606*(k_p4_1+C606*(k_p4_2+C606*(k_p4_3+C606*k_p4_4)))</f>
        <v/>
      </c>
      <c r="G606">
        <f>k_ea+k_eb*EXP(k_ec*C606)</f>
        <v/>
      </c>
      <c r="H606">
        <f>(k_p2_1+2*k_p2_2*C606)/k_sx</f>
        <v/>
      </c>
      <c r="I606">
        <f>(k_p3_1+C606*(2*k_p3_2+3*k_p3_3*C606))/k_sx</f>
        <v/>
      </c>
      <c r="J606">
        <f>(k_p4_1+C606*(2*k_p4_2+C606*(3*k_p4_3+4*k_p4_4*C606)))/k_sx</f>
        <v/>
      </c>
      <c r="K606">
        <f>k_eb*k_ec*EXP(k_ec*C606)/k_sx</f>
        <v/>
      </c>
      <c r="L606">
        <f>(2*k_p4_2+C606*(6*k_p4_3+12*k_p4_4*C606))/k_sx^2</f>
        <v/>
      </c>
      <c r="M606">
        <f>D606/B606</f>
        <v/>
      </c>
      <c r="N606">
        <f>E606/B606</f>
        <v/>
      </c>
      <c r="O606">
        <f>F606/B606</f>
        <v/>
      </c>
      <c r="P606">
        <f>G606/B606</f>
        <v/>
      </c>
      <c r="Q606">
        <f>CHOOSE(k_model,D606,E606,F606,G606)</f>
        <v/>
      </c>
      <c r="R606">
        <f>CHOOSE(k_model,H606,I606,J606,K606)</f>
        <v/>
      </c>
    </row>
    <row r="607">
      <c r="A607" t="n">
        <v>605</v>
      </c>
      <c r="B607">
        <f>k_lo+k_rng*A607/1000</f>
        <v/>
      </c>
      <c r="C607">
        <f>(B607-k_mx)/k_sx</f>
        <v/>
      </c>
      <c r="D607">
        <f>k_p2_0+C607*(k_p2_1+C607*k_p2_2)</f>
        <v/>
      </c>
      <c r="E607">
        <f>k_p3_0+C607*(k_p3_1+C607*(k_p3_2+C607*k_p3_3))</f>
        <v/>
      </c>
      <c r="F607">
        <f>k_p4_0+C607*(k_p4_1+C607*(k_p4_2+C607*(k_p4_3+C607*k_p4_4)))</f>
        <v/>
      </c>
      <c r="G607">
        <f>k_ea+k_eb*EXP(k_ec*C607)</f>
        <v/>
      </c>
      <c r="H607">
        <f>(k_p2_1+2*k_p2_2*C607)/k_sx</f>
        <v/>
      </c>
      <c r="I607">
        <f>(k_p3_1+C607*(2*k_p3_2+3*k_p3_3*C607))/k_sx</f>
        <v/>
      </c>
      <c r="J607">
        <f>(k_p4_1+C607*(2*k_p4_2+C607*(3*k_p4_3+4*k_p4_4*C607)))/k_sx</f>
        <v/>
      </c>
      <c r="K607">
        <f>k_eb*k_ec*EXP(k_ec*C607)/k_sx</f>
        <v/>
      </c>
      <c r="L607">
        <f>(2*k_p4_2+C607*(6*k_p4_3+12*k_p4_4*C607))/k_sx^2</f>
        <v/>
      </c>
      <c r="M607">
        <f>D607/B607</f>
        <v/>
      </c>
      <c r="N607">
        <f>E607/B607</f>
        <v/>
      </c>
      <c r="O607">
        <f>F607/B607</f>
        <v/>
      </c>
      <c r="P607">
        <f>G607/B607</f>
        <v/>
      </c>
      <c r="Q607">
        <f>CHOOSE(k_model,D607,E607,F607,G607)</f>
        <v/>
      </c>
      <c r="R607">
        <f>CHOOSE(k_model,H607,I607,J607,K607)</f>
        <v/>
      </c>
    </row>
    <row r="608">
      <c r="A608" t="n">
        <v>606</v>
      </c>
      <c r="B608">
        <f>k_lo+k_rng*A608/1000</f>
        <v/>
      </c>
      <c r="C608">
        <f>(B608-k_mx)/k_sx</f>
        <v/>
      </c>
      <c r="D608">
        <f>k_p2_0+C608*(k_p2_1+C608*k_p2_2)</f>
        <v/>
      </c>
      <c r="E608">
        <f>k_p3_0+C608*(k_p3_1+C608*(k_p3_2+C608*k_p3_3))</f>
        <v/>
      </c>
      <c r="F608">
        <f>k_p4_0+C608*(k_p4_1+C608*(k_p4_2+C608*(k_p4_3+C608*k_p4_4)))</f>
        <v/>
      </c>
      <c r="G608">
        <f>k_ea+k_eb*EXP(k_ec*C608)</f>
        <v/>
      </c>
      <c r="H608">
        <f>(k_p2_1+2*k_p2_2*C608)/k_sx</f>
        <v/>
      </c>
      <c r="I608">
        <f>(k_p3_1+C608*(2*k_p3_2+3*k_p3_3*C608))/k_sx</f>
        <v/>
      </c>
      <c r="J608">
        <f>(k_p4_1+C608*(2*k_p4_2+C608*(3*k_p4_3+4*k_p4_4*C608)))/k_sx</f>
        <v/>
      </c>
      <c r="K608">
        <f>k_eb*k_ec*EXP(k_ec*C608)/k_sx</f>
        <v/>
      </c>
      <c r="L608">
        <f>(2*k_p4_2+C608*(6*k_p4_3+12*k_p4_4*C608))/k_sx^2</f>
        <v/>
      </c>
      <c r="M608">
        <f>D608/B608</f>
        <v/>
      </c>
      <c r="N608">
        <f>E608/B608</f>
        <v/>
      </c>
      <c r="O608">
        <f>F608/B608</f>
        <v/>
      </c>
      <c r="P608">
        <f>G608/B608</f>
        <v/>
      </c>
      <c r="Q608">
        <f>CHOOSE(k_model,D608,E608,F608,G608)</f>
        <v/>
      </c>
      <c r="R608">
        <f>CHOOSE(k_model,H608,I608,J608,K608)</f>
        <v/>
      </c>
    </row>
    <row r="609">
      <c r="A609" t="n">
        <v>607</v>
      </c>
      <c r="B609">
        <f>k_lo+k_rng*A609/1000</f>
        <v/>
      </c>
      <c r="C609">
        <f>(B609-k_mx)/k_sx</f>
        <v/>
      </c>
      <c r="D609">
        <f>k_p2_0+C609*(k_p2_1+C609*k_p2_2)</f>
        <v/>
      </c>
      <c r="E609">
        <f>k_p3_0+C609*(k_p3_1+C609*(k_p3_2+C609*k_p3_3))</f>
        <v/>
      </c>
      <c r="F609">
        <f>k_p4_0+C609*(k_p4_1+C609*(k_p4_2+C609*(k_p4_3+C609*k_p4_4)))</f>
        <v/>
      </c>
      <c r="G609">
        <f>k_ea+k_eb*EXP(k_ec*C609)</f>
        <v/>
      </c>
      <c r="H609">
        <f>(k_p2_1+2*k_p2_2*C609)/k_sx</f>
        <v/>
      </c>
      <c r="I609">
        <f>(k_p3_1+C609*(2*k_p3_2+3*k_p3_3*C609))/k_sx</f>
        <v/>
      </c>
      <c r="J609">
        <f>(k_p4_1+C609*(2*k_p4_2+C609*(3*k_p4_3+4*k_p4_4*C609)))/k_sx</f>
        <v/>
      </c>
      <c r="K609">
        <f>k_eb*k_ec*EXP(k_ec*C609)/k_sx</f>
        <v/>
      </c>
      <c r="L609">
        <f>(2*k_p4_2+C609*(6*k_p4_3+12*k_p4_4*C609))/k_sx^2</f>
        <v/>
      </c>
      <c r="M609">
        <f>D609/B609</f>
        <v/>
      </c>
      <c r="N609">
        <f>E609/B609</f>
        <v/>
      </c>
      <c r="O609">
        <f>F609/B609</f>
        <v/>
      </c>
      <c r="P609">
        <f>G609/B609</f>
        <v/>
      </c>
      <c r="Q609">
        <f>CHOOSE(k_model,D609,E609,F609,G609)</f>
        <v/>
      </c>
      <c r="R609">
        <f>CHOOSE(k_model,H609,I609,J609,K609)</f>
        <v/>
      </c>
    </row>
    <row r="610">
      <c r="A610" t="n">
        <v>608</v>
      </c>
      <c r="B610">
        <f>k_lo+k_rng*A610/1000</f>
        <v/>
      </c>
      <c r="C610">
        <f>(B610-k_mx)/k_sx</f>
        <v/>
      </c>
      <c r="D610">
        <f>k_p2_0+C610*(k_p2_1+C610*k_p2_2)</f>
        <v/>
      </c>
      <c r="E610">
        <f>k_p3_0+C610*(k_p3_1+C610*(k_p3_2+C610*k_p3_3))</f>
        <v/>
      </c>
      <c r="F610">
        <f>k_p4_0+C610*(k_p4_1+C610*(k_p4_2+C610*(k_p4_3+C610*k_p4_4)))</f>
        <v/>
      </c>
      <c r="G610">
        <f>k_ea+k_eb*EXP(k_ec*C610)</f>
        <v/>
      </c>
      <c r="H610">
        <f>(k_p2_1+2*k_p2_2*C610)/k_sx</f>
        <v/>
      </c>
      <c r="I610">
        <f>(k_p3_1+C610*(2*k_p3_2+3*k_p3_3*C610))/k_sx</f>
        <v/>
      </c>
      <c r="J610">
        <f>(k_p4_1+C610*(2*k_p4_2+C610*(3*k_p4_3+4*k_p4_4*C610)))/k_sx</f>
        <v/>
      </c>
      <c r="K610">
        <f>k_eb*k_ec*EXP(k_ec*C610)/k_sx</f>
        <v/>
      </c>
      <c r="L610">
        <f>(2*k_p4_2+C610*(6*k_p4_3+12*k_p4_4*C610))/k_sx^2</f>
        <v/>
      </c>
      <c r="M610">
        <f>D610/B610</f>
        <v/>
      </c>
      <c r="N610">
        <f>E610/B610</f>
        <v/>
      </c>
      <c r="O610">
        <f>F610/B610</f>
        <v/>
      </c>
      <c r="P610">
        <f>G610/B610</f>
        <v/>
      </c>
      <c r="Q610">
        <f>CHOOSE(k_model,D610,E610,F610,G610)</f>
        <v/>
      </c>
      <c r="R610">
        <f>CHOOSE(k_model,H610,I610,J610,K610)</f>
        <v/>
      </c>
    </row>
    <row r="611">
      <c r="A611" t="n">
        <v>609</v>
      </c>
      <c r="B611">
        <f>k_lo+k_rng*A611/1000</f>
        <v/>
      </c>
      <c r="C611">
        <f>(B611-k_mx)/k_sx</f>
        <v/>
      </c>
      <c r="D611">
        <f>k_p2_0+C611*(k_p2_1+C611*k_p2_2)</f>
        <v/>
      </c>
      <c r="E611">
        <f>k_p3_0+C611*(k_p3_1+C611*(k_p3_2+C611*k_p3_3))</f>
        <v/>
      </c>
      <c r="F611">
        <f>k_p4_0+C611*(k_p4_1+C611*(k_p4_2+C611*(k_p4_3+C611*k_p4_4)))</f>
        <v/>
      </c>
      <c r="G611">
        <f>k_ea+k_eb*EXP(k_ec*C611)</f>
        <v/>
      </c>
      <c r="H611">
        <f>(k_p2_1+2*k_p2_2*C611)/k_sx</f>
        <v/>
      </c>
      <c r="I611">
        <f>(k_p3_1+C611*(2*k_p3_2+3*k_p3_3*C611))/k_sx</f>
        <v/>
      </c>
      <c r="J611">
        <f>(k_p4_1+C611*(2*k_p4_2+C611*(3*k_p4_3+4*k_p4_4*C611)))/k_sx</f>
        <v/>
      </c>
      <c r="K611">
        <f>k_eb*k_ec*EXP(k_ec*C611)/k_sx</f>
        <v/>
      </c>
      <c r="L611">
        <f>(2*k_p4_2+C611*(6*k_p4_3+12*k_p4_4*C611))/k_sx^2</f>
        <v/>
      </c>
      <c r="M611">
        <f>D611/B611</f>
        <v/>
      </c>
      <c r="N611">
        <f>E611/B611</f>
        <v/>
      </c>
      <c r="O611">
        <f>F611/B611</f>
        <v/>
      </c>
      <c r="P611">
        <f>G611/B611</f>
        <v/>
      </c>
      <c r="Q611">
        <f>CHOOSE(k_model,D611,E611,F611,G611)</f>
        <v/>
      </c>
      <c r="R611">
        <f>CHOOSE(k_model,H611,I611,J611,K611)</f>
        <v/>
      </c>
    </row>
    <row r="612">
      <c r="A612" t="n">
        <v>610</v>
      </c>
      <c r="B612">
        <f>k_lo+k_rng*A612/1000</f>
        <v/>
      </c>
      <c r="C612">
        <f>(B612-k_mx)/k_sx</f>
        <v/>
      </c>
      <c r="D612">
        <f>k_p2_0+C612*(k_p2_1+C612*k_p2_2)</f>
        <v/>
      </c>
      <c r="E612">
        <f>k_p3_0+C612*(k_p3_1+C612*(k_p3_2+C612*k_p3_3))</f>
        <v/>
      </c>
      <c r="F612">
        <f>k_p4_0+C612*(k_p4_1+C612*(k_p4_2+C612*(k_p4_3+C612*k_p4_4)))</f>
        <v/>
      </c>
      <c r="G612">
        <f>k_ea+k_eb*EXP(k_ec*C612)</f>
        <v/>
      </c>
      <c r="H612">
        <f>(k_p2_1+2*k_p2_2*C612)/k_sx</f>
        <v/>
      </c>
      <c r="I612">
        <f>(k_p3_1+C612*(2*k_p3_2+3*k_p3_3*C612))/k_sx</f>
        <v/>
      </c>
      <c r="J612">
        <f>(k_p4_1+C612*(2*k_p4_2+C612*(3*k_p4_3+4*k_p4_4*C612)))/k_sx</f>
        <v/>
      </c>
      <c r="K612">
        <f>k_eb*k_ec*EXP(k_ec*C612)/k_sx</f>
        <v/>
      </c>
      <c r="L612">
        <f>(2*k_p4_2+C612*(6*k_p4_3+12*k_p4_4*C612))/k_sx^2</f>
        <v/>
      </c>
      <c r="M612">
        <f>D612/B612</f>
        <v/>
      </c>
      <c r="N612">
        <f>E612/B612</f>
        <v/>
      </c>
      <c r="O612">
        <f>F612/B612</f>
        <v/>
      </c>
      <c r="P612">
        <f>G612/B612</f>
        <v/>
      </c>
      <c r="Q612">
        <f>CHOOSE(k_model,D612,E612,F612,G612)</f>
        <v/>
      </c>
      <c r="R612">
        <f>CHOOSE(k_model,H612,I612,J612,K612)</f>
        <v/>
      </c>
    </row>
    <row r="613">
      <c r="A613" t="n">
        <v>611</v>
      </c>
      <c r="B613">
        <f>k_lo+k_rng*A613/1000</f>
        <v/>
      </c>
      <c r="C613">
        <f>(B613-k_mx)/k_sx</f>
        <v/>
      </c>
      <c r="D613">
        <f>k_p2_0+C613*(k_p2_1+C613*k_p2_2)</f>
        <v/>
      </c>
      <c r="E613">
        <f>k_p3_0+C613*(k_p3_1+C613*(k_p3_2+C613*k_p3_3))</f>
        <v/>
      </c>
      <c r="F613">
        <f>k_p4_0+C613*(k_p4_1+C613*(k_p4_2+C613*(k_p4_3+C613*k_p4_4)))</f>
        <v/>
      </c>
      <c r="G613">
        <f>k_ea+k_eb*EXP(k_ec*C613)</f>
        <v/>
      </c>
      <c r="H613">
        <f>(k_p2_1+2*k_p2_2*C613)/k_sx</f>
        <v/>
      </c>
      <c r="I613">
        <f>(k_p3_1+C613*(2*k_p3_2+3*k_p3_3*C613))/k_sx</f>
        <v/>
      </c>
      <c r="J613">
        <f>(k_p4_1+C613*(2*k_p4_2+C613*(3*k_p4_3+4*k_p4_4*C613)))/k_sx</f>
        <v/>
      </c>
      <c r="K613">
        <f>k_eb*k_ec*EXP(k_ec*C613)/k_sx</f>
        <v/>
      </c>
      <c r="L613">
        <f>(2*k_p4_2+C613*(6*k_p4_3+12*k_p4_4*C613))/k_sx^2</f>
        <v/>
      </c>
      <c r="M613">
        <f>D613/B613</f>
        <v/>
      </c>
      <c r="N613">
        <f>E613/B613</f>
        <v/>
      </c>
      <c r="O613">
        <f>F613/B613</f>
        <v/>
      </c>
      <c r="P613">
        <f>G613/B613</f>
        <v/>
      </c>
      <c r="Q613">
        <f>CHOOSE(k_model,D613,E613,F613,G613)</f>
        <v/>
      </c>
      <c r="R613">
        <f>CHOOSE(k_model,H613,I613,J613,K613)</f>
        <v/>
      </c>
    </row>
    <row r="614">
      <c r="A614" t="n">
        <v>612</v>
      </c>
      <c r="B614">
        <f>k_lo+k_rng*A614/1000</f>
        <v/>
      </c>
      <c r="C614">
        <f>(B614-k_mx)/k_sx</f>
        <v/>
      </c>
      <c r="D614">
        <f>k_p2_0+C614*(k_p2_1+C614*k_p2_2)</f>
        <v/>
      </c>
      <c r="E614">
        <f>k_p3_0+C614*(k_p3_1+C614*(k_p3_2+C614*k_p3_3))</f>
        <v/>
      </c>
      <c r="F614">
        <f>k_p4_0+C614*(k_p4_1+C614*(k_p4_2+C614*(k_p4_3+C614*k_p4_4)))</f>
        <v/>
      </c>
      <c r="G614">
        <f>k_ea+k_eb*EXP(k_ec*C614)</f>
        <v/>
      </c>
      <c r="H614">
        <f>(k_p2_1+2*k_p2_2*C614)/k_sx</f>
        <v/>
      </c>
      <c r="I614">
        <f>(k_p3_1+C614*(2*k_p3_2+3*k_p3_3*C614))/k_sx</f>
        <v/>
      </c>
      <c r="J614">
        <f>(k_p4_1+C614*(2*k_p4_2+C614*(3*k_p4_3+4*k_p4_4*C614)))/k_sx</f>
        <v/>
      </c>
      <c r="K614">
        <f>k_eb*k_ec*EXP(k_ec*C614)/k_sx</f>
        <v/>
      </c>
      <c r="L614">
        <f>(2*k_p4_2+C614*(6*k_p4_3+12*k_p4_4*C614))/k_sx^2</f>
        <v/>
      </c>
      <c r="M614">
        <f>D614/B614</f>
        <v/>
      </c>
      <c r="N614">
        <f>E614/B614</f>
        <v/>
      </c>
      <c r="O614">
        <f>F614/B614</f>
        <v/>
      </c>
      <c r="P614">
        <f>G614/B614</f>
        <v/>
      </c>
      <c r="Q614">
        <f>CHOOSE(k_model,D614,E614,F614,G614)</f>
        <v/>
      </c>
      <c r="R614">
        <f>CHOOSE(k_model,H614,I614,J614,K614)</f>
        <v/>
      </c>
    </row>
    <row r="615">
      <c r="A615" t="n">
        <v>613</v>
      </c>
      <c r="B615">
        <f>k_lo+k_rng*A615/1000</f>
        <v/>
      </c>
      <c r="C615">
        <f>(B615-k_mx)/k_sx</f>
        <v/>
      </c>
      <c r="D615">
        <f>k_p2_0+C615*(k_p2_1+C615*k_p2_2)</f>
        <v/>
      </c>
      <c r="E615">
        <f>k_p3_0+C615*(k_p3_1+C615*(k_p3_2+C615*k_p3_3))</f>
        <v/>
      </c>
      <c r="F615">
        <f>k_p4_0+C615*(k_p4_1+C615*(k_p4_2+C615*(k_p4_3+C615*k_p4_4)))</f>
        <v/>
      </c>
      <c r="G615">
        <f>k_ea+k_eb*EXP(k_ec*C615)</f>
        <v/>
      </c>
      <c r="H615">
        <f>(k_p2_1+2*k_p2_2*C615)/k_sx</f>
        <v/>
      </c>
      <c r="I615">
        <f>(k_p3_1+C615*(2*k_p3_2+3*k_p3_3*C615))/k_sx</f>
        <v/>
      </c>
      <c r="J615">
        <f>(k_p4_1+C615*(2*k_p4_2+C615*(3*k_p4_3+4*k_p4_4*C615)))/k_sx</f>
        <v/>
      </c>
      <c r="K615">
        <f>k_eb*k_ec*EXP(k_ec*C615)/k_sx</f>
        <v/>
      </c>
      <c r="L615">
        <f>(2*k_p4_2+C615*(6*k_p4_3+12*k_p4_4*C615))/k_sx^2</f>
        <v/>
      </c>
      <c r="M615">
        <f>D615/B615</f>
        <v/>
      </c>
      <c r="N615">
        <f>E615/B615</f>
        <v/>
      </c>
      <c r="O615">
        <f>F615/B615</f>
        <v/>
      </c>
      <c r="P615">
        <f>G615/B615</f>
        <v/>
      </c>
      <c r="Q615">
        <f>CHOOSE(k_model,D615,E615,F615,G615)</f>
        <v/>
      </c>
      <c r="R615">
        <f>CHOOSE(k_model,H615,I615,J615,K615)</f>
        <v/>
      </c>
    </row>
    <row r="616">
      <c r="A616" t="n">
        <v>614</v>
      </c>
      <c r="B616">
        <f>k_lo+k_rng*A616/1000</f>
        <v/>
      </c>
      <c r="C616">
        <f>(B616-k_mx)/k_sx</f>
        <v/>
      </c>
      <c r="D616">
        <f>k_p2_0+C616*(k_p2_1+C616*k_p2_2)</f>
        <v/>
      </c>
      <c r="E616">
        <f>k_p3_0+C616*(k_p3_1+C616*(k_p3_2+C616*k_p3_3))</f>
        <v/>
      </c>
      <c r="F616">
        <f>k_p4_0+C616*(k_p4_1+C616*(k_p4_2+C616*(k_p4_3+C616*k_p4_4)))</f>
        <v/>
      </c>
      <c r="G616">
        <f>k_ea+k_eb*EXP(k_ec*C616)</f>
        <v/>
      </c>
      <c r="H616">
        <f>(k_p2_1+2*k_p2_2*C616)/k_sx</f>
        <v/>
      </c>
      <c r="I616">
        <f>(k_p3_1+C616*(2*k_p3_2+3*k_p3_3*C616))/k_sx</f>
        <v/>
      </c>
      <c r="J616">
        <f>(k_p4_1+C616*(2*k_p4_2+C616*(3*k_p4_3+4*k_p4_4*C616)))/k_sx</f>
        <v/>
      </c>
      <c r="K616">
        <f>k_eb*k_ec*EXP(k_ec*C616)/k_sx</f>
        <v/>
      </c>
      <c r="L616">
        <f>(2*k_p4_2+C616*(6*k_p4_3+12*k_p4_4*C616))/k_sx^2</f>
        <v/>
      </c>
      <c r="M616">
        <f>D616/B616</f>
        <v/>
      </c>
      <c r="N616">
        <f>E616/B616</f>
        <v/>
      </c>
      <c r="O616">
        <f>F616/B616</f>
        <v/>
      </c>
      <c r="P616">
        <f>G616/B616</f>
        <v/>
      </c>
      <c r="Q616">
        <f>CHOOSE(k_model,D616,E616,F616,G616)</f>
        <v/>
      </c>
      <c r="R616">
        <f>CHOOSE(k_model,H616,I616,J616,K616)</f>
        <v/>
      </c>
    </row>
    <row r="617">
      <c r="A617" t="n">
        <v>615</v>
      </c>
      <c r="B617">
        <f>k_lo+k_rng*A617/1000</f>
        <v/>
      </c>
      <c r="C617">
        <f>(B617-k_mx)/k_sx</f>
        <v/>
      </c>
      <c r="D617">
        <f>k_p2_0+C617*(k_p2_1+C617*k_p2_2)</f>
        <v/>
      </c>
      <c r="E617">
        <f>k_p3_0+C617*(k_p3_1+C617*(k_p3_2+C617*k_p3_3))</f>
        <v/>
      </c>
      <c r="F617">
        <f>k_p4_0+C617*(k_p4_1+C617*(k_p4_2+C617*(k_p4_3+C617*k_p4_4)))</f>
        <v/>
      </c>
      <c r="G617">
        <f>k_ea+k_eb*EXP(k_ec*C617)</f>
        <v/>
      </c>
      <c r="H617">
        <f>(k_p2_1+2*k_p2_2*C617)/k_sx</f>
        <v/>
      </c>
      <c r="I617">
        <f>(k_p3_1+C617*(2*k_p3_2+3*k_p3_3*C617))/k_sx</f>
        <v/>
      </c>
      <c r="J617">
        <f>(k_p4_1+C617*(2*k_p4_2+C617*(3*k_p4_3+4*k_p4_4*C617)))/k_sx</f>
        <v/>
      </c>
      <c r="K617">
        <f>k_eb*k_ec*EXP(k_ec*C617)/k_sx</f>
        <v/>
      </c>
      <c r="L617">
        <f>(2*k_p4_2+C617*(6*k_p4_3+12*k_p4_4*C617))/k_sx^2</f>
        <v/>
      </c>
      <c r="M617">
        <f>D617/B617</f>
        <v/>
      </c>
      <c r="N617">
        <f>E617/B617</f>
        <v/>
      </c>
      <c r="O617">
        <f>F617/B617</f>
        <v/>
      </c>
      <c r="P617">
        <f>G617/B617</f>
        <v/>
      </c>
      <c r="Q617">
        <f>CHOOSE(k_model,D617,E617,F617,G617)</f>
        <v/>
      </c>
      <c r="R617">
        <f>CHOOSE(k_model,H617,I617,J617,K617)</f>
        <v/>
      </c>
    </row>
    <row r="618">
      <c r="A618" t="n">
        <v>616</v>
      </c>
      <c r="B618">
        <f>k_lo+k_rng*A618/1000</f>
        <v/>
      </c>
      <c r="C618">
        <f>(B618-k_mx)/k_sx</f>
        <v/>
      </c>
      <c r="D618">
        <f>k_p2_0+C618*(k_p2_1+C618*k_p2_2)</f>
        <v/>
      </c>
      <c r="E618">
        <f>k_p3_0+C618*(k_p3_1+C618*(k_p3_2+C618*k_p3_3))</f>
        <v/>
      </c>
      <c r="F618">
        <f>k_p4_0+C618*(k_p4_1+C618*(k_p4_2+C618*(k_p4_3+C618*k_p4_4)))</f>
        <v/>
      </c>
      <c r="G618">
        <f>k_ea+k_eb*EXP(k_ec*C618)</f>
        <v/>
      </c>
      <c r="H618">
        <f>(k_p2_1+2*k_p2_2*C618)/k_sx</f>
        <v/>
      </c>
      <c r="I618">
        <f>(k_p3_1+C618*(2*k_p3_2+3*k_p3_3*C618))/k_sx</f>
        <v/>
      </c>
      <c r="J618">
        <f>(k_p4_1+C618*(2*k_p4_2+C618*(3*k_p4_3+4*k_p4_4*C618)))/k_sx</f>
        <v/>
      </c>
      <c r="K618">
        <f>k_eb*k_ec*EXP(k_ec*C618)/k_sx</f>
        <v/>
      </c>
      <c r="L618">
        <f>(2*k_p4_2+C618*(6*k_p4_3+12*k_p4_4*C618))/k_sx^2</f>
        <v/>
      </c>
      <c r="M618">
        <f>D618/B618</f>
        <v/>
      </c>
      <c r="N618">
        <f>E618/B618</f>
        <v/>
      </c>
      <c r="O618">
        <f>F618/B618</f>
        <v/>
      </c>
      <c r="P618">
        <f>G618/B618</f>
        <v/>
      </c>
      <c r="Q618">
        <f>CHOOSE(k_model,D618,E618,F618,G618)</f>
        <v/>
      </c>
      <c r="R618">
        <f>CHOOSE(k_model,H618,I618,J618,K618)</f>
        <v/>
      </c>
    </row>
    <row r="619">
      <c r="A619" t="n">
        <v>617</v>
      </c>
      <c r="B619">
        <f>k_lo+k_rng*A619/1000</f>
        <v/>
      </c>
      <c r="C619">
        <f>(B619-k_mx)/k_sx</f>
        <v/>
      </c>
      <c r="D619">
        <f>k_p2_0+C619*(k_p2_1+C619*k_p2_2)</f>
        <v/>
      </c>
      <c r="E619">
        <f>k_p3_0+C619*(k_p3_1+C619*(k_p3_2+C619*k_p3_3))</f>
        <v/>
      </c>
      <c r="F619">
        <f>k_p4_0+C619*(k_p4_1+C619*(k_p4_2+C619*(k_p4_3+C619*k_p4_4)))</f>
        <v/>
      </c>
      <c r="G619">
        <f>k_ea+k_eb*EXP(k_ec*C619)</f>
        <v/>
      </c>
      <c r="H619">
        <f>(k_p2_1+2*k_p2_2*C619)/k_sx</f>
        <v/>
      </c>
      <c r="I619">
        <f>(k_p3_1+C619*(2*k_p3_2+3*k_p3_3*C619))/k_sx</f>
        <v/>
      </c>
      <c r="J619">
        <f>(k_p4_1+C619*(2*k_p4_2+C619*(3*k_p4_3+4*k_p4_4*C619)))/k_sx</f>
        <v/>
      </c>
      <c r="K619">
        <f>k_eb*k_ec*EXP(k_ec*C619)/k_sx</f>
        <v/>
      </c>
      <c r="L619">
        <f>(2*k_p4_2+C619*(6*k_p4_3+12*k_p4_4*C619))/k_sx^2</f>
        <v/>
      </c>
      <c r="M619">
        <f>D619/B619</f>
        <v/>
      </c>
      <c r="N619">
        <f>E619/B619</f>
        <v/>
      </c>
      <c r="O619">
        <f>F619/B619</f>
        <v/>
      </c>
      <c r="P619">
        <f>G619/B619</f>
        <v/>
      </c>
      <c r="Q619">
        <f>CHOOSE(k_model,D619,E619,F619,G619)</f>
        <v/>
      </c>
      <c r="R619">
        <f>CHOOSE(k_model,H619,I619,J619,K619)</f>
        <v/>
      </c>
    </row>
    <row r="620">
      <c r="A620" t="n">
        <v>618</v>
      </c>
      <c r="B620">
        <f>k_lo+k_rng*A620/1000</f>
        <v/>
      </c>
      <c r="C620">
        <f>(B620-k_mx)/k_sx</f>
        <v/>
      </c>
      <c r="D620">
        <f>k_p2_0+C620*(k_p2_1+C620*k_p2_2)</f>
        <v/>
      </c>
      <c r="E620">
        <f>k_p3_0+C620*(k_p3_1+C620*(k_p3_2+C620*k_p3_3))</f>
        <v/>
      </c>
      <c r="F620">
        <f>k_p4_0+C620*(k_p4_1+C620*(k_p4_2+C620*(k_p4_3+C620*k_p4_4)))</f>
        <v/>
      </c>
      <c r="G620">
        <f>k_ea+k_eb*EXP(k_ec*C620)</f>
        <v/>
      </c>
      <c r="H620">
        <f>(k_p2_1+2*k_p2_2*C620)/k_sx</f>
        <v/>
      </c>
      <c r="I620">
        <f>(k_p3_1+C620*(2*k_p3_2+3*k_p3_3*C620))/k_sx</f>
        <v/>
      </c>
      <c r="J620">
        <f>(k_p4_1+C620*(2*k_p4_2+C620*(3*k_p4_3+4*k_p4_4*C620)))/k_sx</f>
        <v/>
      </c>
      <c r="K620">
        <f>k_eb*k_ec*EXP(k_ec*C620)/k_sx</f>
        <v/>
      </c>
      <c r="L620">
        <f>(2*k_p4_2+C620*(6*k_p4_3+12*k_p4_4*C620))/k_sx^2</f>
        <v/>
      </c>
      <c r="M620">
        <f>D620/B620</f>
        <v/>
      </c>
      <c r="N620">
        <f>E620/B620</f>
        <v/>
      </c>
      <c r="O620">
        <f>F620/B620</f>
        <v/>
      </c>
      <c r="P620">
        <f>G620/B620</f>
        <v/>
      </c>
      <c r="Q620">
        <f>CHOOSE(k_model,D620,E620,F620,G620)</f>
        <v/>
      </c>
      <c r="R620">
        <f>CHOOSE(k_model,H620,I620,J620,K620)</f>
        <v/>
      </c>
    </row>
    <row r="621">
      <c r="A621" t="n">
        <v>619</v>
      </c>
      <c r="B621">
        <f>k_lo+k_rng*A621/1000</f>
        <v/>
      </c>
      <c r="C621">
        <f>(B621-k_mx)/k_sx</f>
        <v/>
      </c>
      <c r="D621">
        <f>k_p2_0+C621*(k_p2_1+C621*k_p2_2)</f>
        <v/>
      </c>
      <c r="E621">
        <f>k_p3_0+C621*(k_p3_1+C621*(k_p3_2+C621*k_p3_3))</f>
        <v/>
      </c>
      <c r="F621">
        <f>k_p4_0+C621*(k_p4_1+C621*(k_p4_2+C621*(k_p4_3+C621*k_p4_4)))</f>
        <v/>
      </c>
      <c r="G621">
        <f>k_ea+k_eb*EXP(k_ec*C621)</f>
        <v/>
      </c>
      <c r="H621">
        <f>(k_p2_1+2*k_p2_2*C621)/k_sx</f>
        <v/>
      </c>
      <c r="I621">
        <f>(k_p3_1+C621*(2*k_p3_2+3*k_p3_3*C621))/k_sx</f>
        <v/>
      </c>
      <c r="J621">
        <f>(k_p4_1+C621*(2*k_p4_2+C621*(3*k_p4_3+4*k_p4_4*C621)))/k_sx</f>
        <v/>
      </c>
      <c r="K621">
        <f>k_eb*k_ec*EXP(k_ec*C621)/k_sx</f>
        <v/>
      </c>
      <c r="L621">
        <f>(2*k_p4_2+C621*(6*k_p4_3+12*k_p4_4*C621))/k_sx^2</f>
        <v/>
      </c>
      <c r="M621">
        <f>D621/B621</f>
        <v/>
      </c>
      <c r="N621">
        <f>E621/B621</f>
        <v/>
      </c>
      <c r="O621">
        <f>F621/B621</f>
        <v/>
      </c>
      <c r="P621">
        <f>G621/B621</f>
        <v/>
      </c>
      <c r="Q621">
        <f>CHOOSE(k_model,D621,E621,F621,G621)</f>
        <v/>
      </c>
      <c r="R621">
        <f>CHOOSE(k_model,H621,I621,J621,K621)</f>
        <v/>
      </c>
    </row>
    <row r="622">
      <c r="A622" t="n">
        <v>620</v>
      </c>
      <c r="B622">
        <f>k_lo+k_rng*A622/1000</f>
        <v/>
      </c>
      <c r="C622">
        <f>(B622-k_mx)/k_sx</f>
        <v/>
      </c>
      <c r="D622">
        <f>k_p2_0+C622*(k_p2_1+C622*k_p2_2)</f>
        <v/>
      </c>
      <c r="E622">
        <f>k_p3_0+C622*(k_p3_1+C622*(k_p3_2+C622*k_p3_3))</f>
        <v/>
      </c>
      <c r="F622">
        <f>k_p4_0+C622*(k_p4_1+C622*(k_p4_2+C622*(k_p4_3+C622*k_p4_4)))</f>
        <v/>
      </c>
      <c r="G622">
        <f>k_ea+k_eb*EXP(k_ec*C622)</f>
        <v/>
      </c>
      <c r="H622">
        <f>(k_p2_1+2*k_p2_2*C622)/k_sx</f>
        <v/>
      </c>
      <c r="I622">
        <f>(k_p3_1+C622*(2*k_p3_2+3*k_p3_3*C622))/k_sx</f>
        <v/>
      </c>
      <c r="J622">
        <f>(k_p4_1+C622*(2*k_p4_2+C622*(3*k_p4_3+4*k_p4_4*C622)))/k_sx</f>
        <v/>
      </c>
      <c r="K622">
        <f>k_eb*k_ec*EXP(k_ec*C622)/k_sx</f>
        <v/>
      </c>
      <c r="L622">
        <f>(2*k_p4_2+C622*(6*k_p4_3+12*k_p4_4*C622))/k_sx^2</f>
        <v/>
      </c>
      <c r="M622">
        <f>D622/B622</f>
        <v/>
      </c>
      <c r="N622">
        <f>E622/B622</f>
        <v/>
      </c>
      <c r="O622">
        <f>F622/B622</f>
        <v/>
      </c>
      <c r="P622">
        <f>G622/B622</f>
        <v/>
      </c>
      <c r="Q622">
        <f>CHOOSE(k_model,D622,E622,F622,G622)</f>
        <v/>
      </c>
      <c r="R622">
        <f>CHOOSE(k_model,H622,I622,J622,K622)</f>
        <v/>
      </c>
    </row>
    <row r="623">
      <c r="A623" t="n">
        <v>621</v>
      </c>
      <c r="B623">
        <f>k_lo+k_rng*A623/1000</f>
        <v/>
      </c>
      <c r="C623">
        <f>(B623-k_mx)/k_sx</f>
        <v/>
      </c>
      <c r="D623">
        <f>k_p2_0+C623*(k_p2_1+C623*k_p2_2)</f>
        <v/>
      </c>
      <c r="E623">
        <f>k_p3_0+C623*(k_p3_1+C623*(k_p3_2+C623*k_p3_3))</f>
        <v/>
      </c>
      <c r="F623">
        <f>k_p4_0+C623*(k_p4_1+C623*(k_p4_2+C623*(k_p4_3+C623*k_p4_4)))</f>
        <v/>
      </c>
      <c r="G623">
        <f>k_ea+k_eb*EXP(k_ec*C623)</f>
        <v/>
      </c>
      <c r="H623">
        <f>(k_p2_1+2*k_p2_2*C623)/k_sx</f>
        <v/>
      </c>
      <c r="I623">
        <f>(k_p3_1+C623*(2*k_p3_2+3*k_p3_3*C623))/k_sx</f>
        <v/>
      </c>
      <c r="J623">
        <f>(k_p4_1+C623*(2*k_p4_2+C623*(3*k_p4_3+4*k_p4_4*C623)))/k_sx</f>
        <v/>
      </c>
      <c r="K623">
        <f>k_eb*k_ec*EXP(k_ec*C623)/k_sx</f>
        <v/>
      </c>
      <c r="L623">
        <f>(2*k_p4_2+C623*(6*k_p4_3+12*k_p4_4*C623))/k_sx^2</f>
        <v/>
      </c>
      <c r="M623">
        <f>D623/B623</f>
        <v/>
      </c>
      <c r="N623">
        <f>E623/B623</f>
        <v/>
      </c>
      <c r="O623">
        <f>F623/B623</f>
        <v/>
      </c>
      <c r="P623">
        <f>G623/B623</f>
        <v/>
      </c>
      <c r="Q623">
        <f>CHOOSE(k_model,D623,E623,F623,G623)</f>
        <v/>
      </c>
      <c r="R623">
        <f>CHOOSE(k_model,H623,I623,J623,K623)</f>
        <v/>
      </c>
    </row>
    <row r="624">
      <c r="A624" t="n">
        <v>622</v>
      </c>
      <c r="B624">
        <f>k_lo+k_rng*A624/1000</f>
        <v/>
      </c>
      <c r="C624">
        <f>(B624-k_mx)/k_sx</f>
        <v/>
      </c>
      <c r="D624">
        <f>k_p2_0+C624*(k_p2_1+C624*k_p2_2)</f>
        <v/>
      </c>
      <c r="E624">
        <f>k_p3_0+C624*(k_p3_1+C624*(k_p3_2+C624*k_p3_3))</f>
        <v/>
      </c>
      <c r="F624">
        <f>k_p4_0+C624*(k_p4_1+C624*(k_p4_2+C624*(k_p4_3+C624*k_p4_4)))</f>
        <v/>
      </c>
      <c r="G624">
        <f>k_ea+k_eb*EXP(k_ec*C624)</f>
        <v/>
      </c>
      <c r="H624">
        <f>(k_p2_1+2*k_p2_2*C624)/k_sx</f>
        <v/>
      </c>
      <c r="I624">
        <f>(k_p3_1+C624*(2*k_p3_2+3*k_p3_3*C624))/k_sx</f>
        <v/>
      </c>
      <c r="J624">
        <f>(k_p4_1+C624*(2*k_p4_2+C624*(3*k_p4_3+4*k_p4_4*C624)))/k_sx</f>
        <v/>
      </c>
      <c r="K624">
        <f>k_eb*k_ec*EXP(k_ec*C624)/k_sx</f>
        <v/>
      </c>
      <c r="L624">
        <f>(2*k_p4_2+C624*(6*k_p4_3+12*k_p4_4*C624))/k_sx^2</f>
        <v/>
      </c>
      <c r="M624">
        <f>D624/B624</f>
        <v/>
      </c>
      <c r="N624">
        <f>E624/B624</f>
        <v/>
      </c>
      <c r="O624">
        <f>F624/B624</f>
        <v/>
      </c>
      <c r="P624">
        <f>G624/B624</f>
        <v/>
      </c>
      <c r="Q624">
        <f>CHOOSE(k_model,D624,E624,F624,G624)</f>
        <v/>
      </c>
      <c r="R624">
        <f>CHOOSE(k_model,H624,I624,J624,K624)</f>
        <v/>
      </c>
    </row>
    <row r="625">
      <c r="A625" t="n">
        <v>623</v>
      </c>
      <c r="B625">
        <f>k_lo+k_rng*A625/1000</f>
        <v/>
      </c>
      <c r="C625">
        <f>(B625-k_mx)/k_sx</f>
        <v/>
      </c>
      <c r="D625">
        <f>k_p2_0+C625*(k_p2_1+C625*k_p2_2)</f>
        <v/>
      </c>
      <c r="E625">
        <f>k_p3_0+C625*(k_p3_1+C625*(k_p3_2+C625*k_p3_3))</f>
        <v/>
      </c>
      <c r="F625">
        <f>k_p4_0+C625*(k_p4_1+C625*(k_p4_2+C625*(k_p4_3+C625*k_p4_4)))</f>
        <v/>
      </c>
      <c r="G625">
        <f>k_ea+k_eb*EXP(k_ec*C625)</f>
        <v/>
      </c>
      <c r="H625">
        <f>(k_p2_1+2*k_p2_2*C625)/k_sx</f>
        <v/>
      </c>
      <c r="I625">
        <f>(k_p3_1+C625*(2*k_p3_2+3*k_p3_3*C625))/k_sx</f>
        <v/>
      </c>
      <c r="J625">
        <f>(k_p4_1+C625*(2*k_p4_2+C625*(3*k_p4_3+4*k_p4_4*C625)))/k_sx</f>
        <v/>
      </c>
      <c r="K625">
        <f>k_eb*k_ec*EXP(k_ec*C625)/k_sx</f>
        <v/>
      </c>
      <c r="L625">
        <f>(2*k_p4_2+C625*(6*k_p4_3+12*k_p4_4*C625))/k_sx^2</f>
        <v/>
      </c>
      <c r="M625">
        <f>D625/B625</f>
        <v/>
      </c>
      <c r="N625">
        <f>E625/B625</f>
        <v/>
      </c>
      <c r="O625">
        <f>F625/B625</f>
        <v/>
      </c>
      <c r="P625">
        <f>G625/B625</f>
        <v/>
      </c>
      <c r="Q625">
        <f>CHOOSE(k_model,D625,E625,F625,G625)</f>
        <v/>
      </c>
      <c r="R625">
        <f>CHOOSE(k_model,H625,I625,J625,K625)</f>
        <v/>
      </c>
    </row>
    <row r="626">
      <c r="A626" t="n">
        <v>624</v>
      </c>
      <c r="B626">
        <f>k_lo+k_rng*A626/1000</f>
        <v/>
      </c>
      <c r="C626">
        <f>(B626-k_mx)/k_sx</f>
        <v/>
      </c>
      <c r="D626">
        <f>k_p2_0+C626*(k_p2_1+C626*k_p2_2)</f>
        <v/>
      </c>
      <c r="E626">
        <f>k_p3_0+C626*(k_p3_1+C626*(k_p3_2+C626*k_p3_3))</f>
        <v/>
      </c>
      <c r="F626">
        <f>k_p4_0+C626*(k_p4_1+C626*(k_p4_2+C626*(k_p4_3+C626*k_p4_4)))</f>
        <v/>
      </c>
      <c r="G626">
        <f>k_ea+k_eb*EXP(k_ec*C626)</f>
        <v/>
      </c>
      <c r="H626">
        <f>(k_p2_1+2*k_p2_2*C626)/k_sx</f>
        <v/>
      </c>
      <c r="I626">
        <f>(k_p3_1+C626*(2*k_p3_2+3*k_p3_3*C626))/k_sx</f>
        <v/>
      </c>
      <c r="J626">
        <f>(k_p4_1+C626*(2*k_p4_2+C626*(3*k_p4_3+4*k_p4_4*C626)))/k_sx</f>
        <v/>
      </c>
      <c r="K626">
        <f>k_eb*k_ec*EXP(k_ec*C626)/k_sx</f>
        <v/>
      </c>
      <c r="L626">
        <f>(2*k_p4_2+C626*(6*k_p4_3+12*k_p4_4*C626))/k_sx^2</f>
        <v/>
      </c>
      <c r="M626">
        <f>D626/B626</f>
        <v/>
      </c>
      <c r="N626">
        <f>E626/B626</f>
        <v/>
      </c>
      <c r="O626">
        <f>F626/B626</f>
        <v/>
      </c>
      <c r="P626">
        <f>G626/B626</f>
        <v/>
      </c>
      <c r="Q626">
        <f>CHOOSE(k_model,D626,E626,F626,G626)</f>
        <v/>
      </c>
      <c r="R626">
        <f>CHOOSE(k_model,H626,I626,J626,K626)</f>
        <v/>
      </c>
    </row>
    <row r="627">
      <c r="A627" t="n">
        <v>625</v>
      </c>
      <c r="B627">
        <f>k_lo+k_rng*A627/1000</f>
        <v/>
      </c>
      <c r="C627">
        <f>(B627-k_mx)/k_sx</f>
        <v/>
      </c>
      <c r="D627">
        <f>k_p2_0+C627*(k_p2_1+C627*k_p2_2)</f>
        <v/>
      </c>
      <c r="E627">
        <f>k_p3_0+C627*(k_p3_1+C627*(k_p3_2+C627*k_p3_3))</f>
        <v/>
      </c>
      <c r="F627">
        <f>k_p4_0+C627*(k_p4_1+C627*(k_p4_2+C627*(k_p4_3+C627*k_p4_4)))</f>
        <v/>
      </c>
      <c r="G627">
        <f>k_ea+k_eb*EXP(k_ec*C627)</f>
        <v/>
      </c>
      <c r="H627">
        <f>(k_p2_1+2*k_p2_2*C627)/k_sx</f>
        <v/>
      </c>
      <c r="I627">
        <f>(k_p3_1+C627*(2*k_p3_2+3*k_p3_3*C627))/k_sx</f>
        <v/>
      </c>
      <c r="J627">
        <f>(k_p4_1+C627*(2*k_p4_2+C627*(3*k_p4_3+4*k_p4_4*C627)))/k_sx</f>
        <v/>
      </c>
      <c r="K627">
        <f>k_eb*k_ec*EXP(k_ec*C627)/k_sx</f>
        <v/>
      </c>
      <c r="L627">
        <f>(2*k_p4_2+C627*(6*k_p4_3+12*k_p4_4*C627))/k_sx^2</f>
        <v/>
      </c>
      <c r="M627">
        <f>D627/B627</f>
        <v/>
      </c>
      <c r="N627">
        <f>E627/B627</f>
        <v/>
      </c>
      <c r="O627">
        <f>F627/B627</f>
        <v/>
      </c>
      <c r="P627">
        <f>G627/B627</f>
        <v/>
      </c>
      <c r="Q627">
        <f>CHOOSE(k_model,D627,E627,F627,G627)</f>
        <v/>
      </c>
      <c r="R627">
        <f>CHOOSE(k_model,H627,I627,J627,K627)</f>
        <v/>
      </c>
    </row>
    <row r="628">
      <c r="A628" t="n">
        <v>626</v>
      </c>
      <c r="B628">
        <f>k_lo+k_rng*A628/1000</f>
        <v/>
      </c>
      <c r="C628">
        <f>(B628-k_mx)/k_sx</f>
        <v/>
      </c>
      <c r="D628">
        <f>k_p2_0+C628*(k_p2_1+C628*k_p2_2)</f>
        <v/>
      </c>
      <c r="E628">
        <f>k_p3_0+C628*(k_p3_1+C628*(k_p3_2+C628*k_p3_3))</f>
        <v/>
      </c>
      <c r="F628">
        <f>k_p4_0+C628*(k_p4_1+C628*(k_p4_2+C628*(k_p4_3+C628*k_p4_4)))</f>
        <v/>
      </c>
      <c r="G628">
        <f>k_ea+k_eb*EXP(k_ec*C628)</f>
        <v/>
      </c>
      <c r="H628">
        <f>(k_p2_1+2*k_p2_2*C628)/k_sx</f>
        <v/>
      </c>
      <c r="I628">
        <f>(k_p3_1+C628*(2*k_p3_2+3*k_p3_3*C628))/k_sx</f>
        <v/>
      </c>
      <c r="J628">
        <f>(k_p4_1+C628*(2*k_p4_2+C628*(3*k_p4_3+4*k_p4_4*C628)))/k_sx</f>
        <v/>
      </c>
      <c r="K628">
        <f>k_eb*k_ec*EXP(k_ec*C628)/k_sx</f>
        <v/>
      </c>
      <c r="L628">
        <f>(2*k_p4_2+C628*(6*k_p4_3+12*k_p4_4*C628))/k_sx^2</f>
        <v/>
      </c>
      <c r="M628">
        <f>D628/B628</f>
        <v/>
      </c>
      <c r="N628">
        <f>E628/B628</f>
        <v/>
      </c>
      <c r="O628">
        <f>F628/B628</f>
        <v/>
      </c>
      <c r="P628">
        <f>G628/B628</f>
        <v/>
      </c>
      <c r="Q628">
        <f>CHOOSE(k_model,D628,E628,F628,G628)</f>
        <v/>
      </c>
      <c r="R628">
        <f>CHOOSE(k_model,H628,I628,J628,K628)</f>
        <v/>
      </c>
    </row>
    <row r="629">
      <c r="A629" t="n">
        <v>627</v>
      </c>
      <c r="B629">
        <f>k_lo+k_rng*A629/1000</f>
        <v/>
      </c>
      <c r="C629">
        <f>(B629-k_mx)/k_sx</f>
        <v/>
      </c>
      <c r="D629">
        <f>k_p2_0+C629*(k_p2_1+C629*k_p2_2)</f>
        <v/>
      </c>
      <c r="E629">
        <f>k_p3_0+C629*(k_p3_1+C629*(k_p3_2+C629*k_p3_3))</f>
        <v/>
      </c>
      <c r="F629">
        <f>k_p4_0+C629*(k_p4_1+C629*(k_p4_2+C629*(k_p4_3+C629*k_p4_4)))</f>
        <v/>
      </c>
      <c r="G629">
        <f>k_ea+k_eb*EXP(k_ec*C629)</f>
        <v/>
      </c>
      <c r="H629">
        <f>(k_p2_1+2*k_p2_2*C629)/k_sx</f>
        <v/>
      </c>
      <c r="I629">
        <f>(k_p3_1+C629*(2*k_p3_2+3*k_p3_3*C629))/k_sx</f>
        <v/>
      </c>
      <c r="J629">
        <f>(k_p4_1+C629*(2*k_p4_2+C629*(3*k_p4_3+4*k_p4_4*C629)))/k_sx</f>
        <v/>
      </c>
      <c r="K629">
        <f>k_eb*k_ec*EXP(k_ec*C629)/k_sx</f>
        <v/>
      </c>
      <c r="L629">
        <f>(2*k_p4_2+C629*(6*k_p4_3+12*k_p4_4*C629))/k_sx^2</f>
        <v/>
      </c>
      <c r="M629">
        <f>D629/B629</f>
        <v/>
      </c>
      <c r="N629">
        <f>E629/B629</f>
        <v/>
      </c>
      <c r="O629">
        <f>F629/B629</f>
        <v/>
      </c>
      <c r="P629">
        <f>G629/B629</f>
        <v/>
      </c>
      <c r="Q629">
        <f>CHOOSE(k_model,D629,E629,F629,G629)</f>
        <v/>
      </c>
      <c r="R629">
        <f>CHOOSE(k_model,H629,I629,J629,K629)</f>
        <v/>
      </c>
    </row>
    <row r="630">
      <c r="A630" t="n">
        <v>628</v>
      </c>
      <c r="B630">
        <f>k_lo+k_rng*A630/1000</f>
        <v/>
      </c>
      <c r="C630">
        <f>(B630-k_mx)/k_sx</f>
        <v/>
      </c>
      <c r="D630">
        <f>k_p2_0+C630*(k_p2_1+C630*k_p2_2)</f>
        <v/>
      </c>
      <c r="E630">
        <f>k_p3_0+C630*(k_p3_1+C630*(k_p3_2+C630*k_p3_3))</f>
        <v/>
      </c>
      <c r="F630">
        <f>k_p4_0+C630*(k_p4_1+C630*(k_p4_2+C630*(k_p4_3+C630*k_p4_4)))</f>
        <v/>
      </c>
      <c r="G630">
        <f>k_ea+k_eb*EXP(k_ec*C630)</f>
        <v/>
      </c>
      <c r="H630">
        <f>(k_p2_1+2*k_p2_2*C630)/k_sx</f>
        <v/>
      </c>
      <c r="I630">
        <f>(k_p3_1+C630*(2*k_p3_2+3*k_p3_3*C630))/k_sx</f>
        <v/>
      </c>
      <c r="J630">
        <f>(k_p4_1+C630*(2*k_p4_2+C630*(3*k_p4_3+4*k_p4_4*C630)))/k_sx</f>
        <v/>
      </c>
      <c r="K630">
        <f>k_eb*k_ec*EXP(k_ec*C630)/k_sx</f>
        <v/>
      </c>
      <c r="L630">
        <f>(2*k_p4_2+C630*(6*k_p4_3+12*k_p4_4*C630))/k_sx^2</f>
        <v/>
      </c>
      <c r="M630">
        <f>D630/B630</f>
        <v/>
      </c>
      <c r="N630">
        <f>E630/B630</f>
        <v/>
      </c>
      <c r="O630">
        <f>F630/B630</f>
        <v/>
      </c>
      <c r="P630">
        <f>G630/B630</f>
        <v/>
      </c>
      <c r="Q630">
        <f>CHOOSE(k_model,D630,E630,F630,G630)</f>
        <v/>
      </c>
      <c r="R630">
        <f>CHOOSE(k_model,H630,I630,J630,K630)</f>
        <v/>
      </c>
    </row>
    <row r="631">
      <c r="A631" t="n">
        <v>629</v>
      </c>
      <c r="B631">
        <f>k_lo+k_rng*A631/1000</f>
        <v/>
      </c>
      <c r="C631">
        <f>(B631-k_mx)/k_sx</f>
        <v/>
      </c>
      <c r="D631">
        <f>k_p2_0+C631*(k_p2_1+C631*k_p2_2)</f>
        <v/>
      </c>
      <c r="E631">
        <f>k_p3_0+C631*(k_p3_1+C631*(k_p3_2+C631*k_p3_3))</f>
        <v/>
      </c>
      <c r="F631">
        <f>k_p4_0+C631*(k_p4_1+C631*(k_p4_2+C631*(k_p4_3+C631*k_p4_4)))</f>
        <v/>
      </c>
      <c r="G631">
        <f>k_ea+k_eb*EXP(k_ec*C631)</f>
        <v/>
      </c>
      <c r="H631">
        <f>(k_p2_1+2*k_p2_2*C631)/k_sx</f>
        <v/>
      </c>
      <c r="I631">
        <f>(k_p3_1+C631*(2*k_p3_2+3*k_p3_3*C631))/k_sx</f>
        <v/>
      </c>
      <c r="J631">
        <f>(k_p4_1+C631*(2*k_p4_2+C631*(3*k_p4_3+4*k_p4_4*C631)))/k_sx</f>
        <v/>
      </c>
      <c r="K631">
        <f>k_eb*k_ec*EXP(k_ec*C631)/k_sx</f>
        <v/>
      </c>
      <c r="L631">
        <f>(2*k_p4_2+C631*(6*k_p4_3+12*k_p4_4*C631))/k_sx^2</f>
        <v/>
      </c>
      <c r="M631">
        <f>D631/B631</f>
        <v/>
      </c>
      <c r="N631">
        <f>E631/B631</f>
        <v/>
      </c>
      <c r="O631">
        <f>F631/B631</f>
        <v/>
      </c>
      <c r="P631">
        <f>G631/B631</f>
        <v/>
      </c>
      <c r="Q631">
        <f>CHOOSE(k_model,D631,E631,F631,G631)</f>
        <v/>
      </c>
      <c r="R631">
        <f>CHOOSE(k_model,H631,I631,J631,K631)</f>
        <v/>
      </c>
    </row>
    <row r="632">
      <c r="A632" t="n">
        <v>630</v>
      </c>
      <c r="B632">
        <f>k_lo+k_rng*A632/1000</f>
        <v/>
      </c>
      <c r="C632">
        <f>(B632-k_mx)/k_sx</f>
        <v/>
      </c>
      <c r="D632">
        <f>k_p2_0+C632*(k_p2_1+C632*k_p2_2)</f>
        <v/>
      </c>
      <c r="E632">
        <f>k_p3_0+C632*(k_p3_1+C632*(k_p3_2+C632*k_p3_3))</f>
        <v/>
      </c>
      <c r="F632">
        <f>k_p4_0+C632*(k_p4_1+C632*(k_p4_2+C632*(k_p4_3+C632*k_p4_4)))</f>
        <v/>
      </c>
      <c r="G632">
        <f>k_ea+k_eb*EXP(k_ec*C632)</f>
        <v/>
      </c>
      <c r="H632">
        <f>(k_p2_1+2*k_p2_2*C632)/k_sx</f>
        <v/>
      </c>
      <c r="I632">
        <f>(k_p3_1+C632*(2*k_p3_2+3*k_p3_3*C632))/k_sx</f>
        <v/>
      </c>
      <c r="J632">
        <f>(k_p4_1+C632*(2*k_p4_2+C632*(3*k_p4_3+4*k_p4_4*C632)))/k_sx</f>
        <v/>
      </c>
      <c r="K632">
        <f>k_eb*k_ec*EXP(k_ec*C632)/k_sx</f>
        <v/>
      </c>
      <c r="L632">
        <f>(2*k_p4_2+C632*(6*k_p4_3+12*k_p4_4*C632))/k_sx^2</f>
        <v/>
      </c>
      <c r="M632">
        <f>D632/B632</f>
        <v/>
      </c>
      <c r="N632">
        <f>E632/B632</f>
        <v/>
      </c>
      <c r="O632">
        <f>F632/B632</f>
        <v/>
      </c>
      <c r="P632">
        <f>G632/B632</f>
        <v/>
      </c>
      <c r="Q632">
        <f>CHOOSE(k_model,D632,E632,F632,G632)</f>
        <v/>
      </c>
      <c r="R632">
        <f>CHOOSE(k_model,H632,I632,J632,K632)</f>
        <v/>
      </c>
    </row>
    <row r="633">
      <c r="A633" t="n">
        <v>631</v>
      </c>
      <c r="B633">
        <f>k_lo+k_rng*A633/1000</f>
        <v/>
      </c>
      <c r="C633">
        <f>(B633-k_mx)/k_sx</f>
        <v/>
      </c>
      <c r="D633">
        <f>k_p2_0+C633*(k_p2_1+C633*k_p2_2)</f>
        <v/>
      </c>
      <c r="E633">
        <f>k_p3_0+C633*(k_p3_1+C633*(k_p3_2+C633*k_p3_3))</f>
        <v/>
      </c>
      <c r="F633">
        <f>k_p4_0+C633*(k_p4_1+C633*(k_p4_2+C633*(k_p4_3+C633*k_p4_4)))</f>
        <v/>
      </c>
      <c r="G633">
        <f>k_ea+k_eb*EXP(k_ec*C633)</f>
        <v/>
      </c>
      <c r="H633">
        <f>(k_p2_1+2*k_p2_2*C633)/k_sx</f>
        <v/>
      </c>
      <c r="I633">
        <f>(k_p3_1+C633*(2*k_p3_2+3*k_p3_3*C633))/k_sx</f>
        <v/>
      </c>
      <c r="J633">
        <f>(k_p4_1+C633*(2*k_p4_2+C633*(3*k_p4_3+4*k_p4_4*C633)))/k_sx</f>
        <v/>
      </c>
      <c r="K633">
        <f>k_eb*k_ec*EXP(k_ec*C633)/k_sx</f>
        <v/>
      </c>
      <c r="L633">
        <f>(2*k_p4_2+C633*(6*k_p4_3+12*k_p4_4*C633))/k_sx^2</f>
        <v/>
      </c>
      <c r="M633">
        <f>D633/B633</f>
        <v/>
      </c>
      <c r="N633">
        <f>E633/B633</f>
        <v/>
      </c>
      <c r="O633">
        <f>F633/B633</f>
        <v/>
      </c>
      <c r="P633">
        <f>G633/B633</f>
        <v/>
      </c>
      <c r="Q633">
        <f>CHOOSE(k_model,D633,E633,F633,G633)</f>
        <v/>
      </c>
      <c r="R633">
        <f>CHOOSE(k_model,H633,I633,J633,K633)</f>
        <v/>
      </c>
    </row>
    <row r="634">
      <c r="A634" t="n">
        <v>632</v>
      </c>
      <c r="B634">
        <f>k_lo+k_rng*A634/1000</f>
        <v/>
      </c>
      <c r="C634">
        <f>(B634-k_mx)/k_sx</f>
        <v/>
      </c>
      <c r="D634">
        <f>k_p2_0+C634*(k_p2_1+C634*k_p2_2)</f>
        <v/>
      </c>
      <c r="E634">
        <f>k_p3_0+C634*(k_p3_1+C634*(k_p3_2+C634*k_p3_3))</f>
        <v/>
      </c>
      <c r="F634">
        <f>k_p4_0+C634*(k_p4_1+C634*(k_p4_2+C634*(k_p4_3+C634*k_p4_4)))</f>
        <v/>
      </c>
      <c r="G634">
        <f>k_ea+k_eb*EXP(k_ec*C634)</f>
        <v/>
      </c>
      <c r="H634">
        <f>(k_p2_1+2*k_p2_2*C634)/k_sx</f>
        <v/>
      </c>
      <c r="I634">
        <f>(k_p3_1+C634*(2*k_p3_2+3*k_p3_3*C634))/k_sx</f>
        <v/>
      </c>
      <c r="J634">
        <f>(k_p4_1+C634*(2*k_p4_2+C634*(3*k_p4_3+4*k_p4_4*C634)))/k_sx</f>
        <v/>
      </c>
      <c r="K634">
        <f>k_eb*k_ec*EXP(k_ec*C634)/k_sx</f>
        <v/>
      </c>
      <c r="L634">
        <f>(2*k_p4_2+C634*(6*k_p4_3+12*k_p4_4*C634))/k_sx^2</f>
        <v/>
      </c>
      <c r="M634">
        <f>D634/B634</f>
        <v/>
      </c>
      <c r="N634">
        <f>E634/B634</f>
        <v/>
      </c>
      <c r="O634">
        <f>F634/B634</f>
        <v/>
      </c>
      <c r="P634">
        <f>G634/B634</f>
        <v/>
      </c>
      <c r="Q634">
        <f>CHOOSE(k_model,D634,E634,F634,G634)</f>
        <v/>
      </c>
      <c r="R634">
        <f>CHOOSE(k_model,H634,I634,J634,K634)</f>
        <v/>
      </c>
    </row>
    <row r="635">
      <c r="A635" t="n">
        <v>633</v>
      </c>
      <c r="B635">
        <f>k_lo+k_rng*A635/1000</f>
        <v/>
      </c>
      <c r="C635">
        <f>(B635-k_mx)/k_sx</f>
        <v/>
      </c>
      <c r="D635">
        <f>k_p2_0+C635*(k_p2_1+C635*k_p2_2)</f>
        <v/>
      </c>
      <c r="E635">
        <f>k_p3_0+C635*(k_p3_1+C635*(k_p3_2+C635*k_p3_3))</f>
        <v/>
      </c>
      <c r="F635">
        <f>k_p4_0+C635*(k_p4_1+C635*(k_p4_2+C635*(k_p4_3+C635*k_p4_4)))</f>
        <v/>
      </c>
      <c r="G635">
        <f>k_ea+k_eb*EXP(k_ec*C635)</f>
        <v/>
      </c>
      <c r="H635">
        <f>(k_p2_1+2*k_p2_2*C635)/k_sx</f>
        <v/>
      </c>
      <c r="I635">
        <f>(k_p3_1+C635*(2*k_p3_2+3*k_p3_3*C635))/k_sx</f>
        <v/>
      </c>
      <c r="J635">
        <f>(k_p4_1+C635*(2*k_p4_2+C635*(3*k_p4_3+4*k_p4_4*C635)))/k_sx</f>
        <v/>
      </c>
      <c r="K635">
        <f>k_eb*k_ec*EXP(k_ec*C635)/k_sx</f>
        <v/>
      </c>
      <c r="L635">
        <f>(2*k_p4_2+C635*(6*k_p4_3+12*k_p4_4*C635))/k_sx^2</f>
        <v/>
      </c>
      <c r="M635">
        <f>D635/B635</f>
        <v/>
      </c>
      <c r="N635">
        <f>E635/B635</f>
        <v/>
      </c>
      <c r="O635">
        <f>F635/B635</f>
        <v/>
      </c>
      <c r="P635">
        <f>G635/B635</f>
        <v/>
      </c>
      <c r="Q635">
        <f>CHOOSE(k_model,D635,E635,F635,G635)</f>
        <v/>
      </c>
      <c r="R635">
        <f>CHOOSE(k_model,H635,I635,J635,K635)</f>
        <v/>
      </c>
    </row>
    <row r="636">
      <c r="A636" t="n">
        <v>634</v>
      </c>
      <c r="B636">
        <f>k_lo+k_rng*A636/1000</f>
        <v/>
      </c>
      <c r="C636">
        <f>(B636-k_mx)/k_sx</f>
        <v/>
      </c>
      <c r="D636">
        <f>k_p2_0+C636*(k_p2_1+C636*k_p2_2)</f>
        <v/>
      </c>
      <c r="E636">
        <f>k_p3_0+C636*(k_p3_1+C636*(k_p3_2+C636*k_p3_3))</f>
        <v/>
      </c>
      <c r="F636">
        <f>k_p4_0+C636*(k_p4_1+C636*(k_p4_2+C636*(k_p4_3+C636*k_p4_4)))</f>
        <v/>
      </c>
      <c r="G636">
        <f>k_ea+k_eb*EXP(k_ec*C636)</f>
        <v/>
      </c>
      <c r="H636">
        <f>(k_p2_1+2*k_p2_2*C636)/k_sx</f>
        <v/>
      </c>
      <c r="I636">
        <f>(k_p3_1+C636*(2*k_p3_2+3*k_p3_3*C636))/k_sx</f>
        <v/>
      </c>
      <c r="J636">
        <f>(k_p4_1+C636*(2*k_p4_2+C636*(3*k_p4_3+4*k_p4_4*C636)))/k_sx</f>
        <v/>
      </c>
      <c r="K636">
        <f>k_eb*k_ec*EXP(k_ec*C636)/k_sx</f>
        <v/>
      </c>
      <c r="L636">
        <f>(2*k_p4_2+C636*(6*k_p4_3+12*k_p4_4*C636))/k_sx^2</f>
        <v/>
      </c>
      <c r="M636">
        <f>D636/B636</f>
        <v/>
      </c>
      <c r="N636">
        <f>E636/B636</f>
        <v/>
      </c>
      <c r="O636">
        <f>F636/B636</f>
        <v/>
      </c>
      <c r="P636">
        <f>G636/B636</f>
        <v/>
      </c>
      <c r="Q636">
        <f>CHOOSE(k_model,D636,E636,F636,G636)</f>
        <v/>
      </c>
      <c r="R636">
        <f>CHOOSE(k_model,H636,I636,J636,K636)</f>
        <v/>
      </c>
    </row>
    <row r="637">
      <c r="A637" t="n">
        <v>635</v>
      </c>
      <c r="B637">
        <f>k_lo+k_rng*A637/1000</f>
        <v/>
      </c>
      <c r="C637">
        <f>(B637-k_mx)/k_sx</f>
        <v/>
      </c>
      <c r="D637">
        <f>k_p2_0+C637*(k_p2_1+C637*k_p2_2)</f>
        <v/>
      </c>
      <c r="E637">
        <f>k_p3_0+C637*(k_p3_1+C637*(k_p3_2+C637*k_p3_3))</f>
        <v/>
      </c>
      <c r="F637">
        <f>k_p4_0+C637*(k_p4_1+C637*(k_p4_2+C637*(k_p4_3+C637*k_p4_4)))</f>
        <v/>
      </c>
      <c r="G637">
        <f>k_ea+k_eb*EXP(k_ec*C637)</f>
        <v/>
      </c>
      <c r="H637">
        <f>(k_p2_1+2*k_p2_2*C637)/k_sx</f>
        <v/>
      </c>
      <c r="I637">
        <f>(k_p3_1+C637*(2*k_p3_2+3*k_p3_3*C637))/k_sx</f>
        <v/>
      </c>
      <c r="J637">
        <f>(k_p4_1+C637*(2*k_p4_2+C637*(3*k_p4_3+4*k_p4_4*C637)))/k_sx</f>
        <v/>
      </c>
      <c r="K637">
        <f>k_eb*k_ec*EXP(k_ec*C637)/k_sx</f>
        <v/>
      </c>
      <c r="L637">
        <f>(2*k_p4_2+C637*(6*k_p4_3+12*k_p4_4*C637))/k_sx^2</f>
        <v/>
      </c>
      <c r="M637">
        <f>D637/B637</f>
        <v/>
      </c>
      <c r="N637">
        <f>E637/B637</f>
        <v/>
      </c>
      <c r="O637">
        <f>F637/B637</f>
        <v/>
      </c>
      <c r="P637">
        <f>G637/B637</f>
        <v/>
      </c>
      <c r="Q637">
        <f>CHOOSE(k_model,D637,E637,F637,G637)</f>
        <v/>
      </c>
      <c r="R637">
        <f>CHOOSE(k_model,H637,I637,J637,K637)</f>
        <v/>
      </c>
    </row>
    <row r="638">
      <c r="A638" t="n">
        <v>636</v>
      </c>
      <c r="B638">
        <f>k_lo+k_rng*A638/1000</f>
        <v/>
      </c>
      <c r="C638">
        <f>(B638-k_mx)/k_sx</f>
        <v/>
      </c>
      <c r="D638">
        <f>k_p2_0+C638*(k_p2_1+C638*k_p2_2)</f>
        <v/>
      </c>
      <c r="E638">
        <f>k_p3_0+C638*(k_p3_1+C638*(k_p3_2+C638*k_p3_3))</f>
        <v/>
      </c>
      <c r="F638">
        <f>k_p4_0+C638*(k_p4_1+C638*(k_p4_2+C638*(k_p4_3+C638*k_p4_4)))</f>
        <v/>
      </c>
      <c r="G638">
        <f>k_ea+k_eb*EXP(k_ec*C638)</f>
        <v/>
      </c>
      <c r="H638">
        <f>(k_p2_1+2*k_p2_2*C638)/k_sx</f>
        <v/>
      </c>
      <c r="I638">
        <f>(k_p3_1+C638*(2*k_p3_2+3*k_p3_3*C638))/k_sx</f>
        <v/>
      </c>
      <c r="J638">
        <f>(k_p4_1+C638*(2*k_p4_2+C638*(3*k_p4_3+4*k_p4_4*C638)))/k_sx</f>
        <v/>
      </c>
      <c r="K638">
        <f>k_eb*k_ec*EXP(k_ec*C638)/k_sx</f>
        <v/>
      </c>
      <c r="L638">
        <f>(2*k_p4_2+C638*(6*k_p4_3+12*k_p4_4*C638))/k_sx^2</f>
        <v/>
      </c>
      <c r="M638">
        <f>D638/B638</f>
        <v/>
      </c>
      <c r="N638">
        <f>E638/B638</f>
        <v/>
      </c>
      <c r="O638">
        <f>F638/B638</f>
        <v/>
      </c>
      <c r="P638">
        <f>G638/B638</f>
        <v/>
      </c>
      <c r="Q638">
        <f>CHOOSE(k_model,D638,E638,F638,G638)</f>
        <v/>
      </c>
      <c r="R638">
        <f>CHOOSE(k_model,H638,I638,J638,K638)</f>
        <v/>
      </c>
    </row>
    <row r="639">
      <c r="A639" t="n">
        <v>637</v>
      </c>
      <c r="B639">
        <f>k_lo+k_rng*A639/1000</f>
        <v/>
      </c>
      <c r="C639">
        <f>(B639-k_mx)/k_sx</f>
        <v/>
      </c>
      <c r="D639">
        <f>k_p2_0+C639*(k_p2_1+C639*k_p2_2)</f>
        <v/>
      </c>
      <c r="E639">
        <f>k_p3_0+C639*(k_p3_1+C639*(k_p3_2+C639*k_p3_3))</f>
        <v/>
      </c>
      <c r="F639">
        <f>k_p4_0+C639*(k_p4_1+C639*(k_p4_2+C639*(k_p4_3+C639*k_p4_4)))</f>
        <v/>
      </c>
      <c r="G639">
        <f>k_ea+k_eb*EXP(k_ec*C639)</f>
        <v/>
      </c>
      <c r="H639">
        <f>(k_p2_1+2*k_p2_2*C639)/k_sx</f>
        <v/>
      </c>
      <c r="I639">
        <f>(k_p3_1+C639*(2*k_p3_2+3*k_p3_3*C639))/k_sx</f>
        <v/>
      </c>
      <c r="J639">
        <f>(k_p4_1+C639*(2*k_p4_2+C639*(3*k_p4_3+4*k_p4_4*C639)))/k_sx</f>
        <v/>
      </c>
      <c r="K639">
        <f>k_eb*k_ec*EXP(k_ec*C639)/k_sx</f>
        <v/>
      </c>
      <c r="L639">
        <f>(2*k_p4_2+C639*(6*k_p4_3+12*k_p4_4*C639))/k_sx^2</f>
        <v/>
      </c>
      <c r="M639">
        <f>D639/B639</f>
        <v/>
      </c>
      <c r="N639">
        <f>E639/B639</f>
        <v/>
      </c>
      <c r="O639">
        <f>F639/B639</f>
        <v/>
      </c>
      <c r="P639">
        <f>G639/B639</f>
        <v/>
      </c>
      <c r="Q639">
        <f>CHOOSE(k_model,D639,E639,F639,G639)</f>
        <v/>
      </c>
      <c r="R639">
        <f>CHOOSE(k_model,H639,I639,J639,K639)</f>
        <v/>
      </c>
    </row>
    <row r="640">
      <c r="A640" t="n">
        <v>638</v>
      </c>
      <c r="B640">
        <f>k_lo+k_rng*A640/1000</f>
        <v/>
      </c>
      <c r="C640">
        <f>(B640-k_mx)/k_sx</f>
        <v/>
      </c>
      <c r="D640">
        <f>k_p2_0+C640*(k_p2_1+C640*k_p2_2)</f>
        <v/>
      </c>
      <c r="E640">
        <f>k_p3_0+C640*(k_p3_1+C640*(k_p3_2+C640*k_p3_3))</f>
        <v/>
      </c>
      <c r="F640">
        <f>k_p4_0+C640*(k_p4_1+C640*(k_p4_2+C640*(k_p4_3+C640*k_p4_4)))</f>
        <v/>
      </c>
      <c r="G640">
        <f>k_ea+k_eb*EXP(k_ec*C640)</f>
        <v/>
      </c>
      <c r="H640">
        <f>(k_p2_1+2*k_p2_2*C640)/k_sx</f>
        <v/>
      </c>
      <c r="I640">
        <f>(k_p3_1+C640*(2*k_p3_2+3*k_p3_3*C640))/k_sx</f>
        <v/>
      </c>
      <c r="J640">
        <f>(k_p4_1+C640*(2*k_p4_2+C640*(3*k_p4_3+4*k_p4_4*C640)))/k_sx</f>
        <v/>
      </c>
      <c r="K640">
        <f>k_eb*k_ec*EXP(k_ec*C640)/k_sx</f>
        <v/>
      </c>
      <c r="L640">
        <f>(2*k_p4_2+C640*(6*k_p4_3+12*k_p4_4*C640))/k_sx^2</f>
        <v/>
      </c>
      <c r="M640">
        <f>D640/B640</f>
        <v/>
      </c>
      <c r="N640">
        <f>E640/B640</f>
        <v/>
      </c>
      <c r="O640">
        <f>F640/B640</f>
        <v/>
      </c>
      <c r="P640">
        <f>G640/B640</f>
        <v/>
      </c>
      <c r="Q640">
        <f>CHOOSE(k_model,D640,E640,F640,G640)</f>
        <v/>
      </c>
      <c r="R640">
        <f>CHOOSE(k_model,H640,I640,J640,K640)</f>
        <v/>
      </c>
    </row>
    <row r="641">
      <c r="A641" t="n">
        <v>639</v>
      </c>
      <c r="B641">
        <f>k_lo+k_rng*A641/1000</f>
        <v/>
      </c>
      <c r="C641">
        <f>(B641-k_mx)/k_sx</f>
        <v/>
      </c>
      <c r="D641">
        <f>k_p2_0+C641*(k_p2_1+C641*k_p2_2)</f>
        <v/>
      </c>
      <c r="E641">
        <f>k_p3_0+C641*(k_p3_1+C641*(k_p3_2+C641*k_p3_3))</f>
        <v/>
      </c>
      <c r="F641">
        <f>k_p4_0+C641*(k_p4_1+C641*(k_p4_2+C641*(k_p4_3+C641*k_p4_4)))</f>
        <v/>
      </c>
      <c r="G641">
        <f>k_ea+k_eb*EXP(k_ec*C641)</f>
        <v/>
      </c>
      <c r="H641">
        <f>(k_p2_1+2*k_p2_2*C641)/k_sx</f>
        <v/>
      </c>
      <c r="I641">
        <f>(k_p3_1+C641*(2*k_p3_2+3*k_p3_3*C641))/k_sx</f>
        <v/>
      </c>
      <c r="J641">
        <f>(k_p4_1+C641*(2*k_p4_2+C641*(3*k_p4_3+4*k_p4_4*C641)))/k_sx</f>
        <v/>
      </c>
      <c r="K641">
        <f>k_eb*k_ec*EXP(k_ec*C641)/k_sx</f>
        <v/>
      </c>
      <c r="L641">
        <f>(2*k_p4_2+C641*(6*k_p4_3+12*k_p4_4*C641))/k_sx^2</f>
        <v/>
      </c>
      <c r="M641">
        <f>D641/B641</f>
        <v/>
      </c>
      <c r="N641">
        <f>E641/B641</f>
        <v/>
      </c>
      <c r="O641">
        <f>F641/B641</f>
        <v/>
      </c>
      <c r="P641">
        <f>G641/B641</f>
        <v/>
      </c>
      <c r="Q641">
        <f>CHOOSE(k_model,D641,E641,F641,G641)</f>
        <v/>
      </c>
      <c r="R641">
        <f>CHOOSE(k_model,H641,I641,J641,K641)</f>
        <v/>
      </c>
    </row>
    <row r="642">
      <c r="A642" t="n">
        <v>640</v>
      </c>
      <c r="B642">
        <f>k_lo+k_rng*A642/1000</f>
        <v/>
      </c>
      <c r="C642">
        <f>(B642-k_mx)/k_sx</f>
        <v/>
      </c>
      <c r="D642">
        <f>k_p2_0+C642*(k_p2_1+C642*k_p2_2)</f>
        <v/>
      </c>
      <c r="E642">
        <f>k_p3_0+C642*(k_p3_1+C642*(k_p3_2+C642*k_p3_3))</f>
        <v/>
      </c>
      <c r="F642">
        <f>k_p4_0+C642*(k_p4_1+C642*(k_p4_2+C642*(k_p4_3+C642*k_p4_4)))</f>
        <v/>
      </c>
      <c r="G642">
        <f>k_ea+k_eb*EXP(k_ec*C642)</f>
        <v/>
      </c>
      <c r="H642">
        <f>(k_p2_1+2*k_p2_2*C642)/k_sx</f>
        <v/>
      </c>
      <c r="I642">
        <f>(k_p3_1+C642*(2*k_p3_2+3*k_p3_3*C642))/k_sx</f>
        <v/>
      </c>
      <c r="J642">
        <f>(k_p4_1+C642*(2*k_p4_2+C642*(3*k_p4_3+4*k_p4_4*C642)))/k_sx</f>
        <v/>
      </c>
      <c r="K642">
        <f>k_eb*k_ec*EXP(k_ec*C642)/k_sx</f>
        <v/>
      </c>
      <c r="L642">
        <f>(2*k_p4_2+C642*(6*k_p4_3+12*k_p4_4*C642))/k_sx^2</f>
        <v/>
      </c>
      <c r="M642">
        <f>D642/B642</f>
        <v/>
      </c>
      <c r="N642">
        <f>E642/B642</f>
        <v/>
      </c>
      <c r="O642">
        <f>F642/B642</f>
        <v/>
      </c>
      <c r="P642">
        <f>G642/B642</f>
        <v/>
      </c>
      <c r="Q642">
        <f>CHOOSE(k_model,D642,E642,F642,G642)</f>
        <v/>
      </c>
      <c r="R642">
        <f>CHOOSE(k_model,H642,I642,J642,K642)</f>
        <v/>
      </c>
    </row>
    <row r="643">
      <c r="A643" t="n">
        <v>641</v>
      </c>
      <c r="B643">
        <f>k_lo+k_rng*A643/1000</f>
        <v/>
      </c>
      <c r="C643">
        <f>(B643-k_mx)/k_sx</f>
        <v/>
      </c>
      <c r="D643">
        <f>k_p2_0+C643*(k_p2_1+C643*k_p2_2)</f>
        <v/>
      </c>
      <c r="E643">
        <f>k_p3_0+C643*(k_p3_1+C643*(k_p3_2+C643*k_p3_3))</f>
        <v/>
      </c>
      <c r="F643">
        <f>k_p4_0+C643*(k_p4_1+C643*(k_p4_2+C643*(k_p4_3+C643*k_p4_4)))</f>
        <v/>
      </c>
      <c r="G643">
        <f>k_ea+k_eb*EXP(k_ec*C643)</f>
        <v/>
      </c>
      <c r="H643">
        <f>(k_p2_1+2*k_p2_2*C643)/k_sx</f>
        <v/>
      </c>
      <c r="I643">
        <f>(k_p3_1+C643*(2*k_p3_2+3*k_p3_3*C643))/k_sx</f>
        <v/>
      </c>
      <c r="J643">
        <f>(k_p4_1+C643*(2*k_p4_2+C643*(3*k_p4_3+4*k_p4_4*C643)))/k_sx</f>
        <v/>
      </c>
      <c r="K643">
        <f>k_eb*k_ec*EXP(k_ec*C643)/k_sx</f>
        <v/>
      </c>
      <c r="L643">
        <f>(2*k_p4_2+C643*(6*k_p4_3+12*k_p4_4*C643))/k_sx^2</f>
        <v/>
      </c>
      <c r="M643">
        <f>D643/B643</f>
        <v/>
      </c>
      <c r="N643">
        <f>E643/B643</f>
        <v/>
      </c>
      <c r="O643">
        <f>F643/B643</f>
        <v/>
      </c>
      <c r="P643">
        <f>G643/B643</f>
        <v/>
      </c>
      <c r="Q643">
        <f>CHOOSE(k_model,D643,E643,F643,G643)</f>
        <v/>
      </c>
      <c r="R643">
        <f>CHOOSE(k_model,H643,I643,J643,K643)</f>
        <v/>
      </c>
    </row>
    <row r="644">
      <c r="A644" t="n">
        <v>642</v>
      </c>
      <c r="B644">
        <f>k_lo+k_rng*A644/1000</f>
        <v/>
      </c>
      <c r="C644">
        <f>(B644-k_mx)/k_sx</f>
        <v/>
      </c>
      <c r="D644">
        <f>k_p2_0+C644*(k_p2_1+C644*k_p2_2)</f>
        <v/>
      </c>
      <c r="E644">
        <f>k_p3_0+C644*(k_p3_1+C644*(k_p3_2+C644*k_p3_3))</f>
        <v/>
      </c>
      <c r="F644">
        <f>k_p4_0+C644*(k_p4_1+C644*(k_p4_2+C644*(k_p4_3+C644*k_p4_4)))</f>
        <v/>
      </c>
      <c r="G644">
        <f>k_ea+k_eb*EXP(k_ec*C644)</f>
        <v/>
      </c>
      <c r="H644">
        <f>(k_p2_1+2*k_p2_2*C644)/k_sx</f>
        <v/>
      </c>
      <c r="I644">
        <f>(k_p3_1+C644*(2*k_p3_2+3*k_p3_3*C644))/k_sx</f>
        <v/>
      </c>
      <c r="J644">
        <f>(k_p4_1+C644*(2*k_p4_2+C644*(3*k_p4_3+4*k_p4_4*C644)))/k_sx</f>
        <v/>
      </c>
      <c r="K644">
        <f>k_eb*k_ec*EXP(k_ec*C644)/k_sx</f>
        <v/>
      </c>
      <c r="L644">
        <f>(2*k_p4_2+C644*(6*k_p4_3+12*k_p4_4*C644))/k_sx^2</f>
        <v/>
      </c>
      <c r="M644">
        <f>D644/B644</f>
        <v/>
      </c>
      <c r="N644">
        <f>E644/B644</f>
        <v/>
      </c>
      <c r="O644">
        <f>F644/B644</f>
        <v/>
      </c>
      <c r="P644">
        <f>G644/B644</f>
        <v/>
      </c>
      <c r="Q644">
        <f>CHOOSE(k_model,D644,E644,F644,G644)</f>
        <v/>
      </c>
      <c r="R644">
        <f>CHOOSE(k_model,H644,I644,J644,K644)</f>
        <v/>
      </c>
    </row>
    <row r="645">
      <c r="A645" t="n">
        <v>643</v>
      </c>
      <c r="B645">
        <f>k_lo+k_rng*A645/1000</f>
        <v/>
      </c>
      <c r="C645">
        <f>(B645-k_mx)/k_sx</f>
        <v/>
      </c>
      <c r="D645">
        <f>k_p2_0+C645*(k_p2_1+C645*k_p2_2)</f>
        <v/>
      </c>
      <c r="E645">
        <f>k_p3_0+C645*(k_p3_1+C645*(k_p3_2+C645*k_p3_3))</f>
        <v/>
      </c>
      <c r="F645">
        <f>k_p4_0+C645*(k_p4_1+C645*(k_p4_2+C645*(k_p4_3+C645*k_p4_4)))</f>
        <v/>
      </c>
      <c r="G645">
        <f>k_ea+k_eb*EXP(k_ec*C645)</f>
        <v/>
      </c>
      <c r="H645">
        <f>(k_p2_1+2*k_p2_2*C645)/k_sx</f>
        <v/>
      </c>
      <c r="I645">
        <f>(k_p3_1+C645*(2*k_p3_2+3*k_p3_3*C645))/k_sx</f>
        <v/>
      </c>
      <c r="J645">
        <f>(k_p4_1+C645*(2*k_p4_2+C645*(3*k_p4_3+4*k_p4_4*C645)))/k_sx</f>
        <v/>
      </c>
      <c r="K645">
        <f>k_eb*k_ec*EXP(k_ec*C645)/k_sx</f>
        <v/>
      </c>
      <c r="L645">
        <f>(2*k_p4_2+C645*(6*k_p4_3+12*k_p4_4*C645))/k_sx^2</f>
        <v/>
      </c>
      <c r="M645">
        <f>D645/B645</f>
        <v/>
      </c>
      <c r="N645">
        <f>E645/B645</f>
        <v/>
      </c>
      <c r="O645">
        <f>F645/B645</f>
        <v/>
      </c>
      <c r="P645">
        <f>G645/B645</f>
        <v/>
      </c>
      <c r="Q645">
        <f>CHOOSE(k_model,D645,E645,F645,G645)</f>
        <v/>
      </c>
      <c r="R645">
        <f>CHOOSE(k_model,H645,I645,J645,K645)</f>
        <v/>
      </c>
    </row>
    <row r="646">
      <c r="A646" t="n">
        <v>644</v>
      </c>
      <c r="B646">
        <f>k_lo+k_rng*A646/1000</f>
        <v/>
      </c>
      <c r="C646">
        <f>(B646-k_mx)/k_sx</f>
        <v/>
      </c>
      <c r="D646">
        <f>k_p2_0+C646*(k_p2_1+C646*k_p2_2)</f>
        <v/>
      </c>
      <c r="E646">
        <f>k_p3_0+C646*(k_p3_1+C646*(k_p3_2+C646*k_p3_3))</f>
        <v/>
      </c>
      <c r="F646">
        <f>k_p4_0+C646*(k_p4_1+C646*(k_p4_2+C646*(k_p4_3+C646*k_p4_4)))</f>
        <v/>
      </c>
      <c r="G646">
        <f>k_ea+k_eb*EXP(k_ec*C646)</f>
        <v/>
      </c>
      <c r="H646">
        <f>(k_p2_1+2*k_p2_2*C646)/k_sx</f>
        <v/>
      </c>
      <c r="I646">
        <f>(k_p3_1+C646*(2*k_p3_2+3*k_p3_3*C646))/k_sx</f>
        <v/>
      </c>
      <c r="J646">
        <f>(k_p4_1+C646*(2*k_p4_2+C646*(3*k_p4_3+4*k_p4_4*C646)))/k_sx</f>
        <v/>
      </c>
      <c r="K646">
        <f>k_eb*k_ec*EXP(k_ec*C646)/k_sx</f>
        <v/>
      </c>
      <c r="L646">
        <f>(2*k_p4_2+C646*(6*k_p4_3+12*k_p4_4*C646))/k_sx^2</f>
        <v/>
      </c>
      <c r="M646">
        <f>D646/B646</f>
        <v/>
      </c>
      <c r="N646">
        <f>E646/B646</f>
        <v/>
      </c>
      <c r="O646">
        <f>F646/B646</f>
        <v/>
      </c>
      <c r="P646">
        <f>G646/B646</f>
        <v/>
      </c>
      <c r="Q646">
        <f>CHOOSE(k_model,D646,E646,F646,G646)</f>
        <v/>
      </c>
      <c r="R646">
        <f>CHOOSE(k_model,H646,I646,J646,K646)</f>
        <v/>
      </c>
    </row>
    <row r="647">
      <c r="A647" t="n">
        <v>645</v>
      </c>
      <c r="B647">
        <f>k_lo+k_rng*A647/1000</f>
        <v/>
      </c>
      <c r="C647">
        <f>(B647-k_mx)/k_sx</f>
        <v/>
      </c>
      <c r="D647">
        <f>k_p2_0+C647*(k_p2_1+C647*k_p2_2)</f>
        <v/>
      </c>
      <c r="E647">
        <f>k_p3_0+C647*(k_p3_1+C647*(k_p3_2+C647*k_p3_3))</f>
        <v/>
      </c>
      <c r="F647">
        <f>k_p4_0+C647*(k_p4_1+C647*(k_p4_2+C647*(k_p4_3+C647*k_p4_4)))</f>
        <v/>
      </c>
      <c r="G647">
        <f>k_ea+k_eb*EXP(k_ec*C647)</f>
        <v/>
      </c>
      <c r="H647">
        <f>(k_p2_1+2*k_p2_2*C647)/k_sx</f>
        <v/>
      </c>
      <c r="I647">
        <f>(k_p3_1+C647*(2*k_p3_2+3*k_p3_3*C647))/k_sx</f>
        <v/>
      </c>
      <c r="J647">
        <f>(k_p4_1+C647*(2*k_p4_2+C647*(3*k_p4_3+4*k_p4_4*C647)))/k_sx</f>
        <v/>
      </c>
      <c r="K647">
        <f>k_eb*k_ec*EXP(k_ec*C647)/k_sx</f>
        <v/>
      </c>
      <c r="L647">
        <f>(2*k_p4_2+C647*(6*k_p4_3+12*k_p4_4*C647))/k_sx^2</f>
        <v/>
      </c>
      <c r="M647">
        <f>D647/B647</f>
        <v/>
      </c>
      <c r="N647">
        <f>E647/B647</f>
        <v/>
      </c>
      <c r="O647">
        <f>F647/B647</f>
        <v/>
      </c>
      <c r="P647">
        <f>G647/B647</f>
        <v/>
      </c>
      <c r="Q647">
        <f>CHOOSE(k_model,D647,E647,F647,G647)</f>
        <v/>
      </c>
      <c r="R647">
        <f>CHOOSE(k_model,H647,I647,J647,K647)</f>
        <v/>
      </c>
    </row>
    <row r="648">
      <c r="A648" t="n">
        <v>646</v>
      </c>
      <c r="B648">
        <f>k_lo+k_rng*A648/1000</f>
        <v/>
      </c>
      <c r="C648">
        <f>(B648-k_mx)/k_sx</f>
        <v/>
      </c>
      <c r="D648">
        <f>k_p2_0+C648*(k_p2_1+C648*k_p2_2)</f>
        <v/>
      </c>
      <c r="E648">
        <f>k_p3_0+C648*(k_p3_1+C648*(k_p3_2+C648*k_p3_3))</f>
        <v/>
      </c>
      <c r="F648">
        <f>k_p4_0+C648*(k_p4_1+C648*(k_p4_2+C648*(k_p4_3+C648*k_p4_4)))</f>
        <v/>
      </c>
      <c r="G648">
        <f>k_ea+k_eb*EXP(k_ec*C648)</f>
        <v/>
      </c>
      <c r="H648">
        <f>(k_p2_1+2*k_p2_2*C648)/k_sx</f>
        <v/>
      </c>
      <c r="I648">
        <f>(k_p3_1+C648*(2*k_p3_2+3*k_p3_3*C648))/k_sx</f>
        <v/>
      </c>
      <c r="J648">
        <f>(k_p4_1+C648*(2*k_p4_2+C648*(3*k_p4_3+4*k_p4_4*C648)))/k_sx</f>
        <v/>
      </c>
      <c r="K648">
        <f>k_eb*k_ec*EXP(k_ec*C648)/k_sx</f>
        <v/>
      </c>
      <c r="L648">
        <f>(2*k_p4_2+C648*(6*k_p4_3+12*k_p4_4*C648))/k_sx^2</f>
        <v/>
      </c>
      <c r="M648">
        <f>D648/B648</f>
        <v/>
      </c>
      <c r="N648">
        <f>E648/B648</f>
        <v/>
      </c>
      <c r="O648">
        <f>F648/B648</f>
        <v/>
      </c>
      <c r="P648">
        <f>G648/B648</f>
        <v/>
      </c>
      <c r="Q648">
        <f>CHOOSE(k_model,D648,E648,F648,G648)</f>
        <v/>
      </c>
      <c r="R648">
        <f>CHOOSE(k_model,H648,I648,J648,K648)</f>
        <v/>
      </c>
    </row>
    <row r="649">
      <c r="A649" t="n">
        <v>647</v>
      </c>
      <c r="B649">
        <f>k_lo+k_rng*A649/1000</f>
        <v/>
      </c>
      <c r="C649">
        <f>(B649-k_mx)/k_sx</f>
        <v/>
      </c>
      <c r="D649">
        <f>k_p2_0+C649*(k_p2_1+C649*k_p2_2)</f>
        <v/>
      </c>
      <c r="E649">
        <f>k_p3_0+C649*(k_p3_1+C649*(k_p3_2+C649*k_p3_3))</f>
        <v/>
      </c>
      <c r="F649">
        <f>k_p4_0+C649*(k_p4_1+C649*(k_p4_2+C649*(k_p4_3+C649*k_p4_4)))</f>
        <v/>
      </c>
      <c r="G649">
        <f>k_ea+k_eb*EXP(k_ec*C649)</f>
        <v/>
      </c>
      <c r="H649">
        <f>(k_p2_1+2*k_p2_2*C649)/k_sx</f>
        <v/>
      </c>
      <c r="I649">
        <f>(k_p3_1+C649*(2*k_p3_2+3*k_p3_3*C649))/k_sx</f>
        <v/>
      </c>
      <c r="J649">
        <f>(k_p4_1+C649*(2*k_p4_2+C649*(3*k_p4_3+4*k_p4_4*C649)))/k_sx</f>
        <v/>
      </c>
      <c r="K649">
        <f>k_eb*k_ec*EXP(k_ec*C649)/k_sx</f>
        <v/>
      </c>
      <c r="L649">
        <f>(2*k_p4_2+C649*(6*k_p4_3+12*k_p4_4*C649))/k_sx^2</f>
        <v/>
      </c>
      <c r="M649">
        <f>D649/B649</f>
        <v/>
      </c>
      <c r="N649">
        <f>E649/B649</f>
        <v/>
      </c>
      <c r="O649">
        <f>F649/B649</f>
        <v/>
      </c>
      <c r="P649">
        <f>G649/B649</f>
        <v/>
      </c>
      <c r="Q649">
        <f>CHOOSE(k_model,D649,E649,F649,G649)</f>
        <v/>
      </c>
      <c r="R649">
        <f>CHOOSE(k_model,H649,I649,J649,K649)</f>
        <v/>
      </c>
    </row>
    <row r="650">
      <c r="A650" t="n">
        <v>648</v>
      </c>
      <c r="B650">
        <f>k_lo+k_rng*A650/1000</f>
        <v/>
      </c>
      <c r="C650">
        <f>(B650-k_mx)/k_sx</f>
        <v/>
      </c>
      <c r="D650">
        <f>k_p2_0+C650*(k_p2_1+C650*k_p2_2)</f>
        <v/>
      </c>
      <c r="E650">
        <f>k_p3_0+C650*(k_p3_1+C650*(k_p3_2+C650*k_p3_3))</f>
        <v/>
      </c>
      <c r="F650">
        <f>k_p4_0+C650*(k_p4_1+C650*(k_p4_2+C650*(k_p4_3+C650*k_p4_4)))</f>
        <v/>
      </c>
      <c r="G650">
        <f>k_ea+k_eb*EXP(k_ec*C650)</f>
        <v/>
      </c>
      <c r="H650">
        <f>(k_p2_1+2*k_p2_2*C650)/k_sx</f>
        <v/>
      </c>
      <c r="I650">
        <f>(k_p3_1+C650*(2*k_p3_2+3*k_p3_3*C650))/k_sx</f>
        <v/>
      </c>
      <c r="J650">
        <f>(k_p4_1+C650*(2*k_p4_2+C650*(3*k_p4_3+4*k_p4_4*C650)))/k_sx</f>
        <v/>
      </c>
      <c r="K650">
        <f>k_eb*k_ec*EXP(k_ec*C650)/k_sx</f>
        <v/>
      </c>
      <c r="L650">
        <f>(2*k_p4_2+C650*(6*k_p4_3+12*k_p4_4*C650))/k_sx^2</f>
        <v/>
      </c>
      <c r="M650">
        <f>D650/B650</f>
        <v/>
      </c>
      <c r="N650">
        <f>E650/B650</f>
        <v/>
      </c>
      <c r="O650">
        <f>F650/B650</f>
        <v/>
      </c>
      <c r="P650">
        <f>G650/B650</f>
        <v/>
      </c>
      <c r="Q650">
        <f>CHOOSE(k_model,D650,E650,F650,G650)</f>
        <v/>
      </c>
      <c r="R650">
        <f>CHOOSE(k_model,H650,I650,J650,K650)</f>
        <v/>
      </c>
    </row>
    <row r="651">
      <c r="A651" t="n">
        <v>649</v>
      </c>
      <c r="B651">
        <f>k_lo+k_rng*A651/1000</f>
        <v/>
      </c>
      <c r="C651">
        <f>(B651-k_mx)/k_sx</f>
        <v/>
      </c>
      <c r="D651">
        <f>k_p2_0+C651*(k_p2_1+C651*k_p2_2)</f>
        <v/>
      </c>
      <c r="E651">
        <f>k_p3_0+C651*(k_p3_1+C651*(k_p3_2+C651*k_p3_3))</f>
        <v/>
      </c>
      <c r="F651">
        <f>k_p4_0+C651*(k_p4_1+C651*(k_p4_2+C651*(k_p4_3+C651*k_p4_4)))</f>
        <v/>
      </c>
      <c r="G651">
        <f>k_ea+k_eb*EXP(k_ec*C651)</f>
        <v/>
      </c>
      <c r="H651">
        <f>(k_p2_1+2*k_p2_2*C651)/k_sx</f>
        <v/>
      </c>
      <c r="I651">
        <f>(k_p3_1+C651*(2*k_p3_2+3*k_p3_3*C651))/k_sx</f>
        <v/>
      </c>
      <c r="J651">
        <f>(k_p4_1+C651*(2*k_p4_2+C651*(3*k_p4_3+4*k_p4_4*C651)))/k_sx</f>
        <v/>
      </c>
      <c r="K651">
        <f>k_eb*k_ec*EXP(k_ec*C651)/k_sx</f>
        <v/>
      </c>
      <c r="L651">
        <f>(2*k_p4_2+C651*(6*k_p4_3+12*k_p4_4*C651))/k_sx^2</f>
        <v/>
      </c>
      <c r="M651">
        <f>D651/B651</f>
        <v/>
      </c>
      <c r="N651">
        <f>E651/B651</f>
        <v/>
      </c>
      <c r="O651">
        <f>F651/B651</f>
        <v/>
      </c>
      <c r="P651">
        <f>G651/B651</f>
        <v/>
      </c>
      <c r="Q651">
        <f>CHOOSE(k_model,D651,E651,F651,G651)</f>
        <v/>
      </c>
      <c r="R651">
        <f>CHOOSE(k_model,H651,I651,J651,K651)</f>
        <v/>
      </c>
    </row>
    <row r="652">
      <c r="A652" t="n">
        <v>650</v>
      </c>
      <c r="B652">
        <f>k_lo+k_rng*A652/1000</f>
        <v/>
      </c>
      <c r="C652">
        <f>(B652-k_mx)/k_sx</f>
        <v/>
      </c>
      <c r="D652">
        <f>k_p2_0+C652*(k_p2_1+C652*k_p2_2)</f>
        <v/>
      </c>
      <c r="E652">
        <f>k_p3_0+C652*(k_p3_1+C652*(k_p3_2+C652*k_p3_3))</f>
        <v/>
      </c>
      <c r="F652">
        <f>k_p4_0+C652*(k_p4_1+C652*(k_p4_2+C652*(k_p4_3+C652*k_p4_4)))</f>
        <v/>
      </c>
      <c r="G652">
        <f>k_ea+k_eb*EXP(k_ec*C652)</f>
        <v/>
      </c>
      <c r="H652">
        <f>(k_p2_1+2*k_p2_2*C652)/k_sx</f>
        <v/>
      </c>
      <c r="I652">
        <f>(k_p3_1+C652*(2*k_p3_2+3*k_p3_3*C652))/k_sx</f>
        <v/>
      </c>
      <c r="J652">
        <f>(k_p4_1+C652*(2*k_p4_2+C652*(3*k_p4_3+4*k_p4_4*C652)))/k_sx</f>
        <v/>
      </c>
      <c r="K652">
        <f>k_eb*k_ec*EXP(k_ec*C652)/k_sx</f>
        <v/>
      </c>
      <c r="L652">
        <f>(2*k_p4_2+C652*(6*k_p4_3+12*k_p4_4*C652))/k_sx^2</f>
        <v/>
      </c>
      <c r="M652">
        <f>D652/B652</f>
        <v/>
      </c>
      <c r="N652">
        <f>E652/B652</f>
        <v/>
      </c>
      <c r="O652">
        <f>F652/B652</f>
        <v/>
      </c>
      <c r="P652">
        <f>G652/B652</f>
        <v/>
      </c>
      <c r="Q652">
        <f>CHOOSE(k_model,D652,E652,F652,G652)</f>
        <v/>
      </c>
      <c r="R652">
        <f>CHOOSE(k_model,H652,I652,J652,K652)</f>
        <v/>
      </c>
    </row>
    <row r="653">
      <c r="A653" t="n">
        <v>651</v>
      </c>
      <c r="B653">
        <f>k_lo+k_rng*A653/1000</f>
        <v/>
      </c>
      <c r="C653">
        <f>(B653-k_mx)/k_sx</f>
        <v/>
      </c>
      <c r="D653">
        <f>k_p2_0+C653*(k_p2_1+C653*k_p2_2)</f>
        <v/>
      </c>
      <c r="E653">
        <f>k_p3_0+C653*(k_p3_1+C653*(k_p3_2+C653*k_p3_3))</f>
        <v/>
      </c>
      <c r="F653">
        <f>k_p4_0+C653*(k_p4_1+C653*(k_p4_2+C653*(k_p4_3+C653*k_p4_4)))</f>
        <v/>
      </c>
      <c r="G653">
        <f>k_ea+k_eb*EXP(k_ec*C653)</f>
        <v/>
      </c>
      <c r="H653">
        <f>(k_p2_1+2*k_p2_2*C653)/k_sx</f>
        <v/>
      </c>
      <c r="I653">
        <f>(k_p3_1+C653*(2*k_p3_2+3*k_p3_3*C653))/k_sx</f>
        <v/>
      </c>
      <c r="J653">
        <f>(k_p4_1+C653*(2*k_p4_2+C653*(3*k_p4_3+4*k_p4_4*C653)))/k_sx</f>
        <v/>
      </c>
      <c r="K653">
        <f>k_eb*k_ec*EXP(k_ec*C653)/k_sx</f>
        <v/>
      </c>
      <c r="L653">
        <f>(2*k_p4_2+C653*(6*k_p4_3+12*k_p4_4*C653))/k_sx^2</f>
        <v/>
      </c>
      <c r="M653">
        <f>D653/B653</f>
        <v/>
      </c>
      <c r="N653">
        <f>E653/B653</f>
        <v/>
      </c>
      <c r="O653">
        <f>F653/B653</f>
        <v/>
      </c>
      <c r="P653">
        <f>G653/B653</f>
        <v/>
      </c>
      <c r="Q653">
        <f>CHOOSE(k_model,D653,E653,F653,G653)</f>
        <v/>
      </c>
      <c r="R653">
        <f>CHOOSE(k_model,H653,I653,J653,K653)</f>
        <v/>
      </c>
    </row>
    <row r="654">
      <c r="A654" t="n">
        <v>652</v>
      </c>
      <c r="B654">
        <f>k_lo+k_rng*A654/1000</f>
        <v/>
      </c>
      <c r="C654">
        <f>(B654-k_mx)/k_sx</f>
        <v/>
      </c>
      <c r="D654">
        <f>k_p2_0+C654*(k_p2_1+C654*k_p2_2)</f>
        <v/>
      </c>
      <c r="E654">
        <f>k_p3_0+C654*(k_p3_1+C654*(k_p3_2+C654*k_p3_3))</f>
        <v/>
      </c>
      <c r="F654">
        <f>k_p4_0+C654*(k_p4_1+C654*(k_p4_2+C654*(k_p4_3+C654*k_p4_4)))</f>
        <v/>
      </c>
      <c r="G654">
        <f>k_ea+k_eb*EXP(k_ec*C654)</f>
        <v/>
      </c>
      <c r="H654">
        <f>(k_p2_1+2*k_p2_2*C654)/k_sx</f>
        <v/>
      </c>
      <c r="I654">
        <f>(k_p3_1+C654*(2*k_p3_2+3*k_p3_3*C654))/k_sx</f>
        <v/>
      </c>
      <c r="J654">
        <f>(k_p4_1+C654*(2*k_p4_2+C654*(3*k_p4_3+4*k_p4_4*C654)))/k_sx</f>
        <v/>
      </c>
      <c r="K654">
        <f>k_eb*k_ec*EXP(k_ec*C654)/k_sx</f>
        <v/>
      </c>
      <c r="L654">
        <f>(2*k_p4_2+C654*(6*k_p4_3+12*k_p4_4*C654))/k_sx^2</f>
        <v/>
      </c>
      <c r="M654">
        <f>D654/B654</f>
        <v/>
      </c>
      <c r="N654">
        <f>E654/B654</f>
        <v/>
      </c>
      <c r="O654">
        <f>F654/B654</f>
        <v/>
      </c>
      <c r="P654">
        <f>G654/B654</f>
        <v/>
      </c>
      <c r="Q654">
        <f>CHOOSE(k_model,D654,E654,F654,G654)</f>
        <v/>
      </c>
      <c r="R654">
        <f>CHOOSE(k_model,H654,I654,J654,K654)</f>
        <v/>
      </c>
    </row>
    <row r="655">
      <c r="A655" t="n">
        <v>653</v>
      </c>
      <c r="B655">
        <f>k_lo+k_rng*A655/1000</f>
        <v/>
      </c>
      <c r="C655">
        <f>(B655-k_mx)/k_sx</f>
        <v/>
      </c>
      <c r="D655">
        <f>k_p2_0+C655*(k_p2_1+C655*k_p2_2)</f>
        <v/>
      </c>
      <c r="E655">
        <f>k_p3_0+C655*(k_p3_1+C655*(k_p3_2+C655*k_p3_3))</f>
        <v/>
      </c>
      <c r="F655">
        <f>k_p4_0+C655*(k_p4_1+C655*(k_p4_2+C655*(k_p4_3+C655*k_p4_4)))</f>
        <v/>
      </c>
      <c r="G655">
        <f>k_ea+k_eb*EXP(k_ec*C655)</f>
        <v/>
      </c>
      <c r="H655">
        <f>(k_p2_1+2*k_p2_2*C655)/k_sx</f>
        <v/>
      </c>
      <c r="I655">
        <f>(k_p3_1+C655*(2*k_p3_2+3*k_p3_3*C655))/k_sx</f>
        <v/>
      </c>
      <c r="J655">
        <f>(k_p4_1+C655*(2*k_p4_2+C655*(3*k_p4_3+4*k_p4_4*C655)))/k_sx</f>
        <v/>
      </c>
      <c r="K655">
        <f>k_eb*k_ec*EXP(k_ec*C655)/k_sx</f>
        <v/>
      </c>
      <c r="L655">
        <f>(2*k_p4_2+C655*(6*k_p4_3+12*k_p4_4*C655))/k_sx^2</f>
        <v/>
      </c>
      <c r="M655">
        <f>D655/B655</f>
        <v/>
      </c>
      <c r="N655">
        <f>E655/B655</f>
        <v/>
      </c>
      <c r="O655">
        <f>F655/B655</f>
        <v/>
      </c>
      <c r="P655">
        <f>G655/B655</f>
        <v/>
      </c>
      <c r="Q655">
        <f>CHOOSE(k_model,D655,E655,F655,G655)</f>
        <v/>
      </c>
      <c r="R655">
        <f>CHOOSE(k_model,H655,I655,J655,K655)</f>
        <v/>
      </c>
    </row>
    <row r="656">
      <c r="A656" t="n">
        <v>654</v>
      </c>
      <c r="B656">
        <f>k_lo+k_rng*A656/1000</f>
        <v/>
      </c>
      <c r="C656">
        <f>(B656-k_mx)/k_sx</f>
        <v/>
      </c>
      <c r="D656">
        <f>k_p2_0+C656*(k_p2_1+C656*k_p2_2)</f>
        <v/>
      </c>
      <c r="E656">
        <f>k_p3_0+C656*(k_p3_1+C656*(k_p3_2+C656*k_p3_3))</f>
        <v/>
      </c>
      <c r="F656">
        <f>k_p4_0+C656*(k_p4_1+C656*(k_p4_2+C656*(k_p4_3+C656*k_p4_4)))</f>
        <v/>
      </c>
      <c r="G656">
        <f>k_ea+k_eb*EXP(k_ec*C656)</f>
        <v/>
      </c>
      <c r="H656">
        <f>(k_p2_1+2*k_p2_2*C656)/k_sx</f>
        <v/>
      </c>
      <c r="I656">
        <f>(k_p3_1+C656*(2*k_p3_2+3*k_p3_3*C656))/k_sx</f>
        <v/>
      </c>
      <c r="J656">
        <f>(k_p4_1+C656*(2*k_p4_2+C656*(3*k_p4_3+4*k_p4_4*C656)))/k_sx</f>
        <v/>
      </c>
      <c r="K656">
        <f>k_eb*k_ec*EXP(k_ec*C656)/k_sx</f>
        <v/>
      </c>
      <c r="L656">
        <f>(2*k_p4_2+C656*(6*k_p4_3+12*k_p4_4*C656))/k_sx^2</f>
        <v/>
      </c>
      <c r="M656">
        <f>D656/B656</f>
        <v/>
      </c>
      <c r="N656">
        <f>E656/B656</f>
        <v/>
      </c>
      <c r="O656">
        <f>F656/B656</f>
        <v/>
      </c>
      <c r="P656">
        <f>G656/B656</f>
        <v/>
      </c>
      <c r="Q656">
        <f>CHOOSE(k_model,D656,E656,F656,G656)</f>
        <v/>
      </c>
      <c r="R656">
        <f>CHOOSE(k_model,H656,I656,J656,K656)</f>
        <v/>
      </c>
    </row>
    <row r="657">
      <c r="A657" t="n">
        <v>655</v>
      </c>
      <c r="B657">
        <f>k_lo+k_rng*A657/1000</f>
        <v/>
      </c>
      <c r="C657">
        <f>(B657-k_mx)/k_sx</f>
        <v/>
      </c>
      <c r="D657">
        <f>k_p2_0+C657*(k_p2_1+C657*k_p2_2)</f>
        <v/>
      </c>
      <c r="E657">
        <f>k_p3_0+C657*(k_p3_1+C657*(k_p3_2+C657*k_p3_3))</f>
        <v/>
      </c>
      <c r="F657">
        <f>k_p4_0+C657*(k_p4_1+C657*(k_p4_2+C657*(k_p4_3+C657*k_p4_4)))</f>
        <v/>
      </c>
      <c r="G657">
        <f>k_ea+k_eb*EXP(k_ec*C657)</f>
        <v/>
      </c>
      <c r="H657">
        <f>(k_p2_1+2*k_p2_2*C657)/k_sx</f>
        <v/>
      </c>
      <c r="I657">
        <f>(k_p3_1+C657*(2*k_p3_2+3*k_p3_3*C657))/k_sx</f>
        <v/>
      </c>
      <c r="J657">
        <f>(k_p4_1+C657*(2*k_p4_2+C657*(3*k_p4_3+4*k_p4_4*C657)))/k_sx</f>
        <v/>
      </c>
      <c r="K657">
        <f>k_eb*k_ec*EXP(k_ec*C657)/k_sx</f>
        <v/>
      </c>
      <c r="L657">
        <f>(2*k_p4_2+C657*(6*k_p4_3+12*k_p4_4*C657))/k_sx^2</f>
        <v/>
      </c>
      <c r="M657">
        <f>D657/B657</f>
        <v/>
      </c>
      <c r="N657">
        <f>E657/B657</f>
        <v/>
      </c>
      <c r="O657">
        <f>F657/B657</f>
        <v/>
      </c>
      <c r="P657">
        <f>G657/B657</f>
        <v/>
      </c>
      <c r="Q657">
        <f>CHOOSE(k_model,D657,E657,F657,G657)</f>
        <v/>
      </c>
      <c r="R657">
        <f>CHOOSE(k_model,H657,I657,J657,K657)</f>
        <v/>
      </c>
    </row>
    <row r="658">
      <c r="A658" t="n">
        <v>656</v>
      </c>
      <c r="B658">
        <f>k_lo+k_rng*A658/1000</f>
        <v/>
      </c>
      <c r="C658">
        <f>(B658-k_mx)/k_sx</f>
        <v/>
      </c>
      <c r="D658">
        <f>k_p2_0+C658*(k_p2_1+C658*k_p2_2)</f>
        <v/>
      </c>
      <c r="E658">
        <f>k_p3_0+C658*(k_p3_1+C658*(k_p3_2+C658*k_p3_3))</f>
        <v/>
      </c>
      <c r="F658">
        <f>k_p4_0+C658*(k_p4_1+C658*(k_p4_2+C658*(k_p4_3+C658*k_p4_4)))</f>
        <v/>
      </c>
      <c r="G658">
        <f>k_ea+k_eb*EXP(k_ec*C658)</f>
        <v/>
      </c>
      <c r="H658">
        <f>(k_p2_1+2*k_p2_2*C658)/k_sx</f>
        <v/>
      </c>
      <c r="I658">
        <f>(k_p3_1+C658*(2*k_p3_2+3*k_p3_3*C658))/k_sx</f>
        <v/>
      </c>
      <c r="J658">
        <f>(k_p4_1+C658*(2*k_p4_2+C658*(3*k_p4_3+4*k_p4_4*C658)))/k_sx</f>
        <v/>
      </c>
      <c r="K658">
        <f>k_eb*k_ec*EXP(k_ec*C658)/k_sx</f>
        <v/>
      </c>
      <c r="L658">
        <f>(2*k_p4_2+C658*(6*k_p4_3+12*k_p4_4*C658))/k_sx^2</f>
        <v/>
      </c>
      <c r="M658">
        <f>D658/B658</f>
        <v/>
      </c>
      <c r="N658">
        <f>E658/B658</f>
        <v/>
      </c>
      <c r="O658">
        <f>F658/B658</f>
        <v/>
      </c>
      <c r="P658">
        <f>G658/B658</f>
        <v/>
      </c>
      <c r="Q658">
        <f>CHOOSE(k_model,D658,E658,F658,G658)</f>
        <v/>
      </c>
      <c r="R658">
        <f>CHOOSE(k_model,H658,I658,J658,K658)</f>
        <v/>
      </c>
    </row>
    <row r="659">
      <c r="A659" t="n">
        <v>657</v>
      </c>
      <c r="B659">
        <f>k_lo+k_rng*A659/1000</f>
        <v/>
      </c>
      <c r="C659">
        <f>(B659-k_mx)/k_sx</f>
        <v/>
      </c>
      <c r="D659">
        <f>k_p2_0+C659*(k_p2_1+C659*k_p2_2)</f>
        <v/>
      </c>
      <c r="E659">
        <f>k_p3_0+C659*(k_p3_1+C659*(k_p3_2+C659*k_p3_3))</f>
        <v/>
      </c>
      <c r="F659">
        <f>k_p4_0+C659*(k_p4_1+C659*(k_p4_2+C659*(k_p4_3+C659*k_p4_4)))</f>
        <v/>
      </c>
      <c r="G659">
        <f>k_ea+k_eb*EXP(k_ec*C659)</f>
        <v/>
      </c>
      <c r="H659">
        <f>(k_p2_1+2*k_p2_2*C659)/k_sx</f>
        <v/>
      </c>
      <c r="I659">
        <f>(k_p3_1+C659*(2*k_p3_2+3*k_p3_3*C659))/k_sx</f>
        <v/>
      </c>
      <c r="J659">
        <f>(k_p4_1+C659*(2*k_p4_2+C659*(3*k_p4_3+4*k_p4_4*C659)))/k_sx</f>
        <v/>
      </c>
      <c r="K659">
        <f>k_eb*k_ec*EXP(k_ec*C659)/k_sx</f>
        <v/>
      </c>
      <c r="L659">
        <f>(2*k_p4_2+C659*(6*k_p4_3+12*k_p4_4*C659))/k_sx^2</f>
        <v/>
      </c>
      <c r="M659">
        <f>D659/B659</f>
        <v/>
      </c>
      <c r="N659">
        <f>E659/B659</f>
        <v/>
      </c>
      <c r="O659">
        <f>F659/B659</f>
        <v/>
      </c>
      <c r="P659">
        <f>G659/B659</f>
        <v/>
      </c>
      <c r="Q659">
        <f>CHOOSE(k_model,D659,E659,F659,G659)</f>
        <v/>
      </c>
      <c r="R659">
        <f>CHOOSE(k_model,H659,I659,J659,K659)</f>
        <v/>
      </c>
    </row>
    <row r="660">
      <c r="A660" t="n">
        <v>658</v>
      </c>
      <c r="B660">
        <f>k_lo+k_rng*A660/1000</f>
        <v/>
      </c>
      <c r="C660">
        <f>(B660-k_mx)/k_sx</f>
        <v/>
      </c>
      <c r="D660">
        <f>k_p2_0+C660*(k_p2_1+C660*k_p2_2)</f>
        <v/>
      </c>
      <c r="E660">
        <f>k_p3_0+C660*(k_p3_1+C660*(k_p3_2+C660*k_p3_3))</f>
        <v/>
      </c>
      <c r="F660">
        <f>k_p4_0+C660*(k_p4_1+C660*(k_p4_2+C660*(k_p4_3+C660*k_p4_4)))</f>
        <v/>
      </c>
      <c r="G660">
        <f>k_ea+k_eb*EXP(k_ec*C660)</f>
        <v/>
      </c>
      <c r="H660">
        <f>(k_p2_1+2*k_p2_2*C660)/k_sx</f>
        <v/>
      </c>
      <c r="I660">
        <f>(k_p3_1+C660*(2*k_p3_2+3*k_p3_3*C660))/k_sx</f>
        <v/>
      </c>
      <c r="J660">
        <f>(k_p4_1+C660*(2*k_p4_2+C660*(3*k_p4_3+4*k_p4_4*C660)))/k_sx</f>
        <v/>
      </c>
      <c r="K660">
        <f>k_eb*k_ec*EXP(k_ec*C660)/k_sx</f>
        <v/>
      </c>
      <c r="L660">
        <f>(2*k_p4_2+C660*(6*k_p4_3+12*k_p4_4*C660))/k_sx^2</f>
        <v/>
      </c>
      <c r="M660">
        <f>D660/B660</f>
        <v/>
      </c>
      <c r="N660">
        <f>E660/B660</f>
        <v/>
      </c>
      <c r="O660">
        <f>F660/B660</f>
        <v/>
      </c>
      <c r="P660">
        <f>G660/B660</f>
        <v/>
      </c>
      <c r="Q660">
        <f>CHOOSE(k_model,D660,E660,F660,G660)</f>
        <v/>
      </c>
      <c r="R660">
        <f>CHOOSE(k_model,H660,I660,J660,K660)</f>
        <v/>
      </c>
    </row>
    <row r="661">
      <c r="A661" t="n">
        <v>659</v>
      </c>
      <c r="B661">
        <f>k_lo+k_rng*A661/1000</f>
        <v/>
      </c>
      <c r="C661">
        <f>(B661-k_mx)/k_sx</f>
        <v/>
      </c>
      <c r="D661">
        <f>k_p2_0+C661*(k_p2_1+C661*k_p2_2)</f>
        <v/>
      </c>
      <c r="E661">
        <f>k_p3_0+C661*(k_p3_1+C661*(k_p3_2+C661*k_p3_3))</f>
        <v/>
      </c>
      <c r="F661">
        <f>k_p4_0+C661*(k_p4_1+C661*(k_p4_2+C661*(k_p4_3+C661*k_p4_4)))</f>
        <v/>
      </c>
      <c r="G661">
        <f>k_ea+k_eb*EXP(k_ec*C661)</f>
        <v/>
      </c>
      <c r="H661">
        <f>(k_p2_1+2*k_p2_2*C661)/k_sx</f>
        <v/>
      </c>
      <c r="I661">
        <f>(k_p3_1+C661*(2*k_p3_2+3*k_p3_3*C661))/k_sx</f>
        <v/>
      </c>
      <c r="J661">
        <f>(k_p4_1+C661*(2*k_p4_2+C661*(3*k_p4_3+4*k_p4_4*C661)))/k_sx</f>
        <v/>
      </c>
      <c r="K661">
        <f>k_eb*k_ec*EXP(k_ec*C661)/k_sx</f>
        <v/>
      </c>
      <c r="L661">
        <f>(2*k_p4_2+C661*(6*k_p4_3+12*k_p4_4*C661))/k_sx^2</f>
        <v/>
      </c>
      <c r="M661">
        <f>D661/B661</f>
        <v/>
      </c>
      <c r="N661">
        <f>E661/B661</f>
        <v/>
      </c>
      <c r="O661">
        <f>F661/B661</f>
        <v/>
      </c>
      <c r="P661">
        <f>G661/B661</f>
        <v/>
      </c>
      <c r="Q661">
        <f>CHOOSE(k_model,D661,E661,F661,G661)</f>
        <v/>
      </c>
      <c r="R661">
        <f>CHOOSE(k_model,H661,I661,J661,K661)</f>
        <v/>
      </c>
    </row>
    <row r="662">
      <c r="A662" t="n">
        <v>660</v>
      </c>
      <c r="B662">
        <f>k_lo+k_rng*A662/1000</f>
        <v/>
      </c>
      <c r="C662">
        <f>(B662-k_mx)/k_sx</f>
        <v/>
      </c>
      <c r="D662">
        <f>k_p2_0+C662*(k_p2_1+C662*k_p2_2)</f>
        <v/>
      </c>
      <c r="E662">
        <f>k_p3_0+C662*(k_p3_1+C662*(k_p3_2+C662*k_p3_3))</f>
        <v/>
      </c>
      <c r="F662">
        <f>k_p4_0+C662*(k_p4_1+C662*(k_p4_2+C662*(k_p4_3+C662*k_p4_4)))</f>
        <v/>
      </c>
      <c r="G662">
        <f>k_ea+k_eb*EXP(k_ec*C662)</f>
        <v/>
      </c>
      <c r="H662">
        <f>(k_p2_1+2*k_p2_2*C662)/k_sx</f>
        <v/>
      </c>
      <c r="I662">
        <f>(k_p3_1+C662*(2*k_p3_2+3*k_p3_3*C662))/k_sx</f>
        <v/>
      </c>
      <c r="J662">
        <f>(k_p4_1+C662*(2*k_p4_2+C662*(3*k_p4_3+4*k_p4_4*C662)))/k_sx</f>
        <v/>
      </c>
      <c r="K662">
        <f>k_eb*k_ec*EXP(k_ec*C662)/k_sx</f>
        <v/>
      </c>
      <c r="L662">
        <f>(2*k_p4_2+C662*(6*k_p4_3+12*k_p4_4*C662))/k_sx^2</f>
        <v/>
      </c>
      <c r="M662">
        <f>D662/B662</f>
        <v/>
      </c>
      <c r="N662">
        <f>E662/B662</f>
        <v/>
      </c>
      <c r="O662">
        <f>F662/B662</f>
        <v/>
      </c>
      <c r="P662">
        <f>G662/B662</f>
        <v/>
      </c>
      <c r="Q662">
        <f>CHOOSE(k_model,D662,E662,F662,G662)</f>
        <v/>
      </c>
      <c r="R662">
        <f>CHOOSE(k_model,H662,I662,J662,K662)</f>
        <v/>
      </c>
    </row>
    <row r="663">
      <c r="A663" t="n">
        <v>661</v>
      </c>
      <c r="B663">
        <f>k_lo+k_rng*A663/1000</f>
        <v/>
      </c>
      <c r="C663">
        <f>(B663-k_mx)/k_sx</f>
        <v/>
      </c>
      <c r="D663">
        <f>k_p2_0+C663*(k_p2_1+C663*k_p2_2)</f>
        <v/>
      </c>
      <c r="E663">
        <f>k_p3_0+C663*(k_p3_1+C663*(k_p3_2+C663*k_p3_3))</f>
        <v/>
      </c>
      <c r="F663">
        <f>k_p4_0+C663*(k_p4_1+C663*(k_p4_2+C663*(k_p4_3+C663*k_p4_4)))</f>
        <v/>
      </c>
      <c r="G663">
        <f>k_ea+k_eb*EXP(k_ec*C663)</f>
        <v/>
      </c>
      <c r="H663">
        <f>(k_p2_1+2*k_p2_2*C663)/k_sx</f>
        <v/>
      </c>
      <c r="I663">
        <f>(k_p3_1+C663*(2*k_p3_2+3*k_p3_3*C663))/k_sx</f>
        <v/>
      </c>
      <c r="J663">
        <f>(k_p4_1+C663*(2*k_p4_2+C663*(3*k_p4_3+4*k_p4_4*C663)))/k_sx</f>
        <v/>
      </c>
      <c r="K663">
        <f>k_eb*k_ec*EXP(k_ec*C663)/k_sx</f>
        <v/>
      </c>
      <c r="L663">
        <f>(2*k_p4_2+C663*(6*k_p4_3+12*k_p4_4*C663))/k_sx^2</f>
        <v/>
      </c>
      <c r="M663">
        <f>D663/B663</f>
        <v/>
      </c>
      <c r="N663">
        <f>E663/B663</f>
        <v/>
      </c>
      <c r="O663">
        <f>F663/B663</f>
        <v/>
      </c>
      <c r="P663">
        <f>G663/B663</f>
        <v/>
      </c>
      <c r="Q663">
        <f>CHOOSE(k_model,D663,E663,F663,G663)</f>
        <v/>
      </c>
      <c r="R663">
        <f>CHOOSE(k_model,H663,I663,J663,K663)</f>
        <v/>
      </c>
    </row>
    <row r="664">
      <c r="A664" t="n">
        <v>662</v>
      </c>
      <c r="B664">
        <f>k_lo+k_rng*A664/1000</f>
        <v/>
      </c>
      <c r="C664">
        <f>(B664-k_mx)/k_sx</f>
        <v/>
      </c>
      <c r="D664">
        <f>k_p2_0+C664*(k_p2_1+C664*k_p2_2)</f>
        <v/>
      </c>
      <c r="E664">
        <f>k_p3_0+C664*(k_p3_1+C664*(k_p3_2+C664*k_p3_3))</f>
        <v/>
      </c>
      <c r="F664">
        <f>k_p4_0+C664*(k_p4_1+C664*(k_p4_2+C664*(k_p4_3+C664*k_p4_4)))</f>
        <v/>
      </c>
      <c r="G664">
        <f>k_ea+k_eb*EXP(k_ec*C664)</f>
        <v/>
      </c>
      <c r="H664">
        <f>(k_p2_1+2*k_p2_2*C664)/k_sx</f>
        <v/>
      </c>
      <c r="I664">
        <f>(k_p3_1+C664*(2*k_p3_2+3*k_p3_3*C664))/k_sx</f>
        <v/>
      </c>
      <c r="J664">
        <f>(k_p4_1+C664*(2*k_p4_2+C664*(3*k_p4_3+4*k_p4_4*C664)))/k_sx</f>
        <v/>
      </c>
      <c r="K664">
        <f>k_eb*k_ec*EXP(k_ec*C664)/k_sx</f>
        <v/>
      </c>
      <c r="L664">
        <f>(2*k_p4_2+C664*(6*k_p4_3+12*k_p4_4*C664))/k_sx^2</f>
        <v/>
      </c>
      <c r="M664">
        <f>D664/B664</f>
        <v/>
      </c>
      <c r="N664">
        <f>E664/B664</f>
        <v/>
      </c>
      <c r="O664">
        <f>F664/B664</f>
        <v/>
      </c>
      <c r="P664">
        <f>G664/B664</f>
        <v/>
      </c>
      <c r="Q664">
        <f>CHOOSE(k_model,D664,E664,F664,G664)</f>
        <v/>
      </c>
      <c r="R664">
        <f>CHOOSE(k_model,H664,I664,J664,K664)</f>
        <v/>
      </c>
    </row>
    <row r="665">
      <c r="A665" t="n">
        <v>663</v>
      </c>
      <c r="B665">
        <f>k_lo+k_rng*A665/1000</f>
        <v/>
      </c>
      <c r="C665">
        <f>(B665-k_mx)/k_sx</f>
        <v/>
      </c>
      <c r="D665">
        <f>k_p2_0+C665*(k_p2_1+C665*k_p2_2)</f>
        <v/>
      </c>
      <c r="E665">
        <f>k_p3_0+C665*(k_p3_1+C665*(k_p3_2+C665*k_p3_3))</f>
        <v/>
      </c>
      <c r="F665">
        <f>k_p4_0+C665*(k_p4_1+C665*(k_p4_2+C665*(k_p4_3+C665*k_p4_4)))</f>
        <v/>
      </c>
      <c r="G665">
        <f>k_ea+k_eb*EXP(k_ec*C665)</f>
        <v/>
      </c>
      <c r="H665">
        <f>(k_p2_1+2*k_p2_2*C665)/k_sx</f>
        <v/>
      </c>
      <c r="I665">
        <f>(k_p3_1+C665*(2*k_p3_2+3*k_p3_3*C665))/k_sx</f>
        <v/>
      </c>
      <c r="J665">
        <f>(k_p4_1+C665*(2*k_p4_2+C665*(3*k_p4_3+4*k_p4_4*C665)))/k_sx</f>
        <v/>
      </c>
      <c r="K665">
        <f>k_eb*k_ec*EXP(k_ec*C665)/k_sx</f>
        <v/>
      </c>
      <c r="L665">
        <f>(2*k_p4_2+C665*(6*k_p4_3+12*k_p4_4*C665))/k_sx^2</f>
        <v/>
      </c>
      <c r="M665">
        <f>D665/B665</f>
        <v/>
      </c>
      <c r="N665">
        <f>E665/B665</f>
        <v/>
      </c>
      <c r="O665">
        <f>F665/B665</f>
        <v/>
      </c>
      <c r="P665">
        <f>G665/B665</f>
        <v/>
      </c>
      <c r="Q665">
        <f>CHOOSE(k_model,D665,E665,F665,G665)</f>
        <v/>
      </c>
      <c r="R665">
        <f>CHOOSE(k_model,H665,I665,J665,K665)</f>
        <v/>
      </c>
    </row>
    <row r="666">
      <c r="A666" t="n">
        <v>664</v>
      </c>
      <c r="B666">
        <f>k_lo+k_rng*A666/1000</f>
        <v/>
      </c>
      <c r="C666">
        <f>(B666-k_mx)/k_sx</f>
        <v/>
      </c>
      <c r="D666">
        <f>k_p2_0+C666*(k_p2_1+C666*k_p2_2)</f>
        <v/>
      </c>
      <c r="E666">
        <f>k_p3_0+C666*(k_p3_1+C666*(k_p3_2+C666*k_p3_3))</f>
        <v/>
      </c>
      <c r="F666">
        <f>k_p4_0+C666*(k_p4_1+C666*(k_p4_2+C666*(k_p4_3+C666*k_p4_4)))</f>
        <v/>
      </c>
      <c r="G666">
        <f>k_ea+k_eb*EXP(k_ec*C666)</f>
        <v/>
      </c>
      <c r="H666">
        <f>(k_p2_1+2*k_p2_2*C666)/k_sx</f>
        <v/>
      </c>
      <c r="I666">
        <f>(k_p3_1+C666*(2*k_p3_2+3*k_p3_3*C666))/k_sx</f>
        <v/>
      </c>
      <c r="J666">
        <f>(k_p4_1+C666*(2*k_p4_2+C666*(3*k_p4_3+4*k_p4_4*C666)))/k_sx</f>
        <v/>
      </c>
      <c r="K666">
        <f>k_eb*k_ec*EXP(k_ec*C666)/k_sx</f>
        <v/>
      </c>
      <c r="L666">
        <f>(2*k_p4_2+C666*(6*k_p4_3+12*k_p4_4*C666))/k_sx^2</f>
        <v/>
      </c>
      <c r="M666">
        <f>D666/B666</f>
        <v/>
      </c>
      <c r="N666">
        <f>E666/B666</f>
        <v/>
      </c>
      <c r="O666">
        <f>F666/B666</f>
        <v/>
      </c>
      <c r="P666">
        <f>G666/B666</f>
        <v/>
      </c>
      <c r="Q666">
        <f>CHOOSE(k_model,D666,E666,F666,G666)</f>
        <v/>
      </c>
      <c r="R666">
        <f>CHOOSE(k_model,H666,I666,J666,K666)</f>
        <v/>
      </c>
    </row>
    <row r="667">
      <c r="A667" t="n">
        <v>665</v>
      </c>
      <c r="B667">
        <f>k_lo+k_rng*A667/1000</f>
        <v/>
      </c>
      <c r="C667">
        <f>(B667-k_mx)/k_sx</f>
        <v/>
      </c>
      <c r="D667">
        <f>k_p2_0+C667*(k_p2_1+C667*k_p2_2)</f>
        <v/>
      </c>
      <c r="E667">
        <f>k_p3_0+C667*(k_p3_1+C667*(k_p3_2+C667*k_p3_3))</f>
        <v/>
      </c>
      <c r="F667">
        <f>k_p4_0+C667*(k_p4_1+C667*(k_p4_2+C667*(k_p4_3+C667*k_p4_4)))</f>
        <v/>
      </c>
      <c r="G667">
        <f>k_ea+k_eb*EXP(k_ec*C667)</f>
        <v/>
      </c>
      <c r="H667">
        <f>(k_p2_1+2*k_p2_2*C667)/k_sx</f>
        <v/>
      </c>
      <c r="I667">
        <f>(k_p3_1+C667*(2*k_p3_2+3*k_p3_3*C667))/k_sx</f>
        <v/>
      </c>
      <c r="J667">
        <f>(k_p4_1+C667*(2*k_p4_2+C667*(3*k_p4_3+4*k_p4_4*C667)))/k_sx</f>
        <v/>
      </c>
      <c r="K667">
        <f>k_eb*k_ec*EXP(k_ec*C667)/k_sx</f>
        <v/>
      </c>
      <c r="L667">
        <f>(2*k_p4_2+C667*(6*k_p4_3+12*k_p4_4*C667))/k_sx^2</f>
        <v/>
      </c>
      <c r="M667">
        <f>D667/B667</f>
        <v/>
      </c>
      <c r="N667">
        <f>E667/B667</f>
        <v/>
      </c>
      <c r="O667">
        <f>F667/B667</f>
        <v/>
      </c>
      <c r="P667">
        <f>G667/B667</f>
        <v/>
      </c>
      <c r="Q667">
        <f>CHOOSE(k_model,D667,E667,F667,G667)</f>
        <v/>
      </c>
      <c r="R667">
        <f>CHOOSE(k_model,H667,I667,J667,K667)</f>
        <v/>
      </c>
    </row>
    <row r="668">
      <c r="A668" t="n">
        <v>666</v>
      </c>
      <c r="B668">
        <f>k_lo+k_rng*A668/1000</f>
        <v/>
      </c>
      <c r="C668">
        <f>(B668-k_mx)/k_sx</f>
        <v/>
      </c>
      <c r="D668">
        <f>k_p2_0+C668*(k_p2_1+C668*k_p2_2)</f>
        <v/>
      </c>
      <c r="E668">
        <f>k_p3_0+C668*(k_p3_1+C668*(k_p3_2+C668*k_p3_3))</f>
        <v/>
      </c>
      <c r="F668">
        <f>k_p4_0+C668*(k_p4_1+C668*(k_p4_2+C668*(k_p4_3+C668*k_p4_4)))</f>
        <v/>
      </c>
      <c r="G668">
        <f>k_ea+k_eb*EXP(k_ec*C668)</f>
        <v/>
      </c>
      <c r="H668">
        <f>(k_p2_1+2*k_p2_2*C668)/k_sx</f>
        <v/>
      </c>
      <c r="I668">
        <f>(k_p3_1+C668*(2*k_p3_2+3*k_p3_3*C668))/k_sx</f>
        <v/>
      </c>
      <c r="J668">
        <f>(k_p4_1+C668*(2*k_p4_2+C668*(3*k_p4_3+4*k_p4_4*C668)))/k_sx</f>
        <v/>
      </c>
      <c r="K668">
        <f>k_eb*k_ec*EXP(k_ec*C668)/k_sx</f>
        <v/>
      </c>
      <c r="L668">
        <f>(2*k_p4_2+C668*(6*k_p4_3+12*k_p4_4*C668))/k_sx^2</f>
        <v/>
      </c>
      <c r="M668">
        <f>D668/B668</f>
        <v/>
      </c>
      <c r="N668">
        <f>E668/B668</f>
        <v/>
      </c>
      <c r="O668">
        <f>F668/B668</f>
        <v/>
      </c>
      <c r="P668">
        <f>G668/B668</f>
        <v/>
      </c>
      <c r="Q668">
        <f>CHOOSE(k_model,D668,E668,F668,G668)</f>
        <v/>
      </c>
      <c r="R668">
        <f>CHOOSE(k_model,H668,I668,J668,K668)</f>
        <v/>
      </c>
    </row>
    <row r="669">
      <c r="A669" t="n">
        <v>667</v>
      </c>
      <c r="B669">
        <f>k_lo+k_rng*A669/1000</f>
        <v/>
      </c>
      <c r="C669">
        <f>(B669-k_mx)/k_sx</f>
        <v/>
      </c>
      <c r="D669">
        <f>k_p2_0+C669*(k_p2_1+C669*k_p2_2)</f>
        <v/>
      </c>
      <c r="E669">
        <f>k_p3_0+C669*(k_p3_1+C669*(k_p3_2+C669*k_p3_3))</f>
        <v/>
      </c>
      <c r="F669">
        <f>k_p4_0+C669*(k_p4_1+C669*(k_p4_2+C669*(k_p4_3+C669*k_p4_4)))</f>
        <v/>
      </c>
      <c r="G669">
        <f>k_ea+k_eb*EXP(k_ec*C669)</f>
        <v/>
      </c>
      <c r="H669">
        <f>(k_p2_1+2*k_p2_2*C669)/k_sx</f>
        <v/>
      </c>
      <c r="I669">
        <f>(k_p3_1+C669*(2*k_p3_2+3*k_p3_3*C669))/k_sx</f>
        <v/>
      </c>
      <c r="J669">
        <f>(k_p4_1+C669*(2*k_p4_2+C669*(3*k_p4_3+4*k_p4_4*C669)))/k_sx</f>
        <v/>
      </c>
      <c r="K669">
        <f>k_eb*k_ec*EXP(k_ec*C669)/k_sx</f>
        <v/>
      </c>
      <c r="L669">
        <f>(2*k_p4_2+C669*(6*k_p4_3+12*k_p4_4*C669))/k_sx^2</f>
        <v/>
      </c>
      <c r="M669">
        <f>D669/B669</f>
        <v/>
      </c>
      <c r="N669">
        <f>E669/B669</f>
        <v/>
      </c>
      <c r="O669">
        <f>F669/B669</f>
        <v/>
      </c>
      <c r="P669">
        <f>G669/B669</f>
        <v/>
      </c>
      <c r="Q669">
        <f>CHOOSE(k_model,D669,E669,F669,G669)</f>
        <v/>
      </c>
      <c r="R669">
        <f>CHOOSE(k_model,H669,I669,J669,K669)</f>
        <v/>
      </c>
    </row>
    <row r="670">
      <c r="A670" t="n">
        <v>668</v>
      </c>
      <c r="B670">
        <f>k_lo+k_rng*A670/1000</f>
        <v/>
      </c>
      <c r="C670">
        <f>(B670-k_mx)/k_sx</f>
        <v/>
      </c>
      <c r="D670">
        <f>k_p2_0+C670*(k_p2_1+C670*k_p2_2)</f>
        <v/>
      </c>
      <c r="E670">
        <f>k_p3_0+C670*(k_p3_1+C670*(k_p3_2+C670*k_p3_3))</f>
        <v/>
      </c>
      <c r="F670">
        <f>k_p4_0+C670*(k_p4_1+C670*(k_p4_2+C670*(k_p4_3+C670*k_p4_4)))</f>
        <v/>
      </c>
      <c r="G670">
        <f>k_ea+k_eb*EXP(k_ec*C670)</f>
        <v/>
      </c>
      <c r="H670">
        <f>(k_p2_1+2*k_p2_2*C670)/k_sx</f>
        <v/>
      </c>
      <c r="I670">
        <f>(k_p3_1+C670*(2*k_p3_2+3*k_p3_3*C670))/k_sx</f>
        <v/>
      </c>
      <c r="J670">
        <f>(k_p4_1+C670*(2*k_p4_2+C670*(3*k_p4_3+4*k_p4_4*C670)))/k_sx</f>
        <v/>
      </c>
      <c r="K670">
        <f>k_eb*k_ec*EXP(k_ec*C670)/k_sx</f>
        <v/>
      </c>
      <c r="L670">
        <f>(2*k_p4_2+C670*(6*k_p4_3+12*k_p4_4*C670))/k_sx^2</f>
        <v/>
      </c>
      <c r="M670">
        <f>D670/B670</f>
        <v/>
      </c>
      <c r="N670">
        <f>E670/B670</f>
        <v/>
      </c>
      <c r="O670">
        <f>F670/B670</f>
        <v/>
      </c>
      <c r="P670">
        <f>G670/B670</f>
        <v/>
      </c>
      <c r="Q670">
        <f>CHOOSE(k_model,D670,E670,F670,G670)</f>
        <v/>
      </c>
      <c r="R670">
        <f>CHOOSE(k_model,H670,I670,J670,K670)</f>
        <v/>
      </c>
    </row>
    <row r="671">
      <c r="A671" t="n">
        <v>669</v>
      </c>
      <c r="B671">
        <f>k_lo+k_rng*A671/1000</f>
        <v/>
      </c>
      <c r="C671">
        <f>(B671-k_mx)/k_sx</f>
        <v/>
      </c>
      <c r="D671">
        <f>k_p2_0+C671*(k_p2_1+C671*k_p2_2)</f>
        <v/>
      </c>
      <c r="E671">
        <f>k_p3_0+C671*(k_p3_1+C671*(k_p3_2+C671*k_p3_3))</f>
        <v/>
      </c>
      <c r="F671">
        <f>k_p4_0+C671*(k_p4_1+C671*(k_p4_2+C671*(k_p4_3+C671*k_p4_4)))</f>
        <v/>
      </c>
      <c r="G671">
        <f>k_ea+k_eb*EXP(k_ec*C671)</f>
        <v/>
      </c>
      <c r="H671">
        <f>(k_p2_1+2*k_p2_2*C671)/k_sx</f>
        <v/>
      </c>
      <c r="I671">
        <f>(k_p3_1+C671*(2*k_p3_2+3*k_p3_3*C671))/k_sx</f>
        <v/>
      </c>
      <c r="J671">
        <f>(k_p4_1+C671*(2*k_p4_2+C671*(3*k_p4_3+4*k_p4_4*C671)))/k_sx</f>
        <v/>
      </c>
      <c r="K671">
        <f>k_eb*k_ec*EXP(k_ec*C671)/k_sx</f>
        <v/>
      </c>
      <c r="L671">
        <f>(2*k_p4_2+C671*(6*k_p4_3+12*k_p4_4*C671))/k_sx^2</f>
        <v/>
      </c>
      <c r="M671">
        <f>D671/B671</f>
        <v/>
      </c>
      <c r="N671">
        <f>E671/B671</f>
        <v/>
      </c>
      <c r="O671">
        <f>F671/B671</f>
        <v/>
      </c>
      <c r="P671">
        <f>G671/B671</f>
        <v/>
      </c>
      <c r="Q671">
        <f>CHOOSE(k_model,D671,E671,F671,G671)</f>
        <v/>
      </c>
      <c r="R671">
        <f>CHOOSE(k_model,H671,I671,J671,K671)</f>
        <v/>
      </c>
    </row>
    <row r="672">
      <c r="A672" t="n">
        <v>670</v>
      </c>
      <c r="B672">
        <f>k_lo+k_rng*A672/1000</f>
        <v/>
      </c>
      <c r="C672">
        <f>(B672-k_mx)/k_sx</f>
        <v/>
      </c>
      <c r="D672">
        <f>k_p2_0+C672*(k_p2_1+C672*k_p2_2)</f>
        <v/>
      </c>
      <c r="E672">
        <f>k_p3_0+C672*(k_p3_1+C672*(k_p3_2+C672*k_p3_3))</f>
        <v/>
      </c>
      <c r="F672">
        <f>k_p4_0+C672*(k_p4_1+C672*(k_p4_2+C672*(k_p4_3+C672*k_p4_4)))</f>
        <v/>
      </c>
      <c r="G672">
        <f>k_ea+k_eb*EXP(k_ec*C672)</f>
        <v/>
      </c>
      <c r="H672">
        <f>(k_p2_1+2*k_p2_2*C672)/k_sx</f>
        <v/>
      </c>
      <c r="I672">
        <f>(k_p3_1+C672*(2*k_p3_2+3*k_p3_3*C672))/k_sx</f>
        <v/>
      </c>
      <c r="J672">
        <f>(k_p4_1+C672*(2*k_p4_2+C672*(3*k_p4_3+4*k_p4_4*C672)))/k_sx</f>
        <v/>
      </c>
      <c r="K672">
        <f>k_eb*k_ec*EXP(k_ec*C672)/k_sx</f>
        <v/>
      </c>
      <c r="L672">
        <f>(2*k_p4_2+C672*(6*k_p4_3+12*k_p4_4*C672))/k_sx^2</f>
        <v/>
      </c>
      <c r="M672">
        <f>D672/B672</f>
        <v/>
      </c>
      <c r="N672">
        <f>E672/B672</f>
        <v/>
      </c>
      <c r="O672">
        <f>F672/B672</f>
        <v/>
      </c>
      <c r="P672">
        <f>G672/B672</f>
        <v/>
      </c>
      <c r="Q672">
        <f>CHOOSE(k_model,D672,E672,F672,G672)</f>
        <v/>
      </c>
      <c r="R672">
        <f>CHOOSE(k_model,H672,I672,J672,K672)</f>
        <v/>
      </c>
    </row>
    <row r="673">
      <c r="A673" t="n">
        <v>671</v>
      </c>
      <c r="B673">
        <f>k_lo+k_rng*A673/1000</f>
        <v/>
      </c>
      <c r="C673">
        <f>(B673-k_mx)/k_sx</f>
        <v/>
      </c>
      <c r="D673">
        <f>k_p2_0+C673*(k_p2_1+C673*k_p2_2)</f>
        <v/>
      </c>
      <c r="E673">
        <f>k_p3_0+C673*(k_p3_1+C673*(k_p3_2+C673*k_p3_3))</f>
        <v/>
      </c>
      <c r="F673">
        <f>k_p4_0+C673*(k_p4_1+C673*(k_p4_2+C673*(k_p4_3+C673*k_p4_4)))</f>
        <v/>
      </c>
      <c r="G673">
        <f>k_ea+k_eb*EXP(k_ec*C673)</f>
        <v/>
      </c>
      <c r="H673">
        <f>(k_p2_1+2*k_p2_2*C673)/k_sx</f>
        <v/>
      </c>
      <c r="I673">
        <f>(k_p3_1+C673*(2*k_p3_2+3*k_p3_3*C673))/k_sx</f>
        <v/>
      </c>
      <c r="J673">
        <f>(k_p4_1+C673*(2*k_p4_2+C673*(3*k_p4_3+4*k_p4_4*C673)))/k_sx</f>
        <v/>
      </c>
      <c r="K673">
        <f>k_eb*k_ec*EXP(k_ec*C673)/k_sx</f>
        <v/>
      </c>
      <c r="L673">
        <f>(2*k_p4_2+C673*(6*k_p4_3+12*k_p4_4*C673))/k_sx^2</f>
        <v/>
      </c>
      <c r="M673">
        <f>D673/B673</f>
        <v/>
      </c>
      <c r="N673">
        <f>E673/B673</f>
        <v/>
      </c>
      <c r="O673">
        <f>F673/B673</f>
        <v/>
      </c>
      <c r="P673">
        <f>G673/B673</f>
        <v/>
      </c>
      <c r="Q673">
        <f>CHOOSE(k_model,D673,E673,F673,G673)</f>
        <v/>
      </c>
      <c r="R673">
        <f>CHOOSE(k_model,H673,I673,J673,K673)</f>
        <v/>
      </c>
    </row>
    <row r="674">
      <c r="A674" t="n">
        <v>672</v>
      </c>
      <c r="B674">
        <f>k_lo+k_rng*A674/1000</f>
        <v/>
      </c>
      <c r="C674">
        <f>(B674-k_mx)/k_sx</f>
        <v/>
      </c>
      <c r="D674">
        <f>k_p2_0+C674*(k_p2_1+C674*k_p2_2)</f>
        <v/>
      </c>
      <c r="E674">
        <f>k_p3_0+C674*(k_p3_1+C674*(k_p3_2+C674*k_p3_3))</f>
        <v/>
      </c>
      <c r="F674">
        <f>k_p4_0+C674*(k_p4_1+C674*(k_p4_2+C674*(k_p4_3+C674*k_p4_4)))</f>
        <v/>
      </c>
      <c r="G674">
        <f>k_ea+k_eb*EXP(k_ec*C674)</f>
        <v/>
      </c>
      <c r="H674">
        <f>(k_p2_1+2*k_p2_2*C674)/k_sx</f>
        <v/>
      </c>
      <c r="I674">
        <f>(k_p3_1+C674*(2*k_p3_2+3*k_p3_3*C674))/k_sx</f>
        <v/>
      </c>
      <c r="J674">
        <f>(k_p4_1+C674*(2*k_p4_2+C674*(3*k_p4_3+4*k_p4_4*C674)))/k_sx</f>
        <v/>
      </c>
      <c r="K674">
        <f>k_eb*k_ec*EXP(k_ec*C674)/k_sx</f>
        <v/>
      </c>
      <c r="L674">
        <f>(2*k_p4_2+C674*(6*k_p4_3+12*k_p4_4*C674))/k_sx^2</f>
        <v/>
      </c>
      <c r="M674">
        <f>D674/B674</f>
        <v/>
      </c>
      <c r="N674">
        <f>E674/B674</f>
        <v/>
      </c>
      <c r="O674">
        <f>F674/B674</f>
        <v/>
      </c>
      <c r="P674">
        <f>G674/B674</f>
        <v/>
      </c>
      <c r="Q674">
        <f>CHOOSE(k_model,D674,E674,F674,G674)</f>
        <v/>
      </c>
      <c r="R674">
        <f>CHOOSE(k_model,H674,I674,J674,K674)</f>
        <v/>
      </c>
    </row>
    <row r="675">
      <c r="A675" t="n">
        <v>673</v>
      </c>
      <c r="B675">
        <f>k_lo+k_rng*A675/1000</f>
        <v/>
      </c>
      <c r="C675">
        <f>(B675-k_mx)/k_sx</f>
        <v/>
      </c>
      <c r="D675">
        <f>k_p2_0+C675*(k_p2_1+C675*k_p2_2)</f>
        <v/>
      </c>
      <c r="E675">
        <f>k_p3_0+C675*(k_p3_1+C675*(k_p3_2+C675*k_p3_3))</f>
        <v/>
      </c>
      <c r="F675">
        <f>k_p4_0+C675*(k_p4_1+C675*(k_p4_2+C675*(k_p4_3+C675*k_p4_4)))</f>
        <v/>
      </c>
      <c r="G675">
        <f>k_ea+k_eb*EXP(k_ec*C675)</f>
        <v/>
      </c>
      <c r="H675">
        <f>(k_p2_1+2*k_p2_2*C675)/k_sx</f>
        <v/>
      </c>
      <c r="I675">
        <f>(k_p3_1+C675*(2*k_p3_2+3*k_p3_3*C675))/k_sx</f>
        <v/>
      </c>
      <c r="J675">
        <f>(k_p4_1+C675*(2*k_p4_2+C675*(3*k_p4_3+4*k_p4_4*C675)))/k_sx</f>
        <v/>
      </c>
      <c r="K675">
        <f>k_eb*k_ec*EXP(k_ec*C675)/k_sx</f>
        <v/>
      </c>
      <c r="L675">
        <f>(2*k_p4_2+C675*(6*k_p4_3+12*k_p4_4*C675))/k_sx^2</f>
        <v/>
      </c>
      <c r="M675">
        <f>D675/B675</f>
        <v/>
      </c>
      <c r="N675">
        <f>E675/B675</f>
        <v/>
      </c>
      <c r="O675">
        <f>F675/B675</f>
        <v/>
      </c>
      <c r="P675">
        <f>G675/B675</f>
        <v/>
      </c>
      <c r="Q675">
        <f>CHOOSE(k_model,D675,E675,F675,G675)</f>
        <v/>
      </c>
      <c r="R675">
        <f>CHOOSE(k_model,H675,I675,J675,K675)</f>
        <v/>
      </c>
    </row>
    <row r="676">
      <c r="A676" t="n">
        <v>674</v>
      </c>
      <c r="B676">
        <f>k_lo+k_rng*A676/1000</f>
        <v/>
      </c>
      <c r="C676">
        <f>(B676-k_mx)/k_sx</f>
        <v/>
      </c>
      <c r="D676">
        <f>k_p2_0+C676*(k_p2_1+C676*k_p2_2)</f>
        <v/>
      </c>
      <c r="E676">
        <f>k_p3_0+C676*(k_p3_1+C676*(k_p3_2+C676*k_p3_3))</f>
        <v/>
      </c>
      <c r="F676">
        <f>k_p4_0+C676*(k_p4_1+C676*(k_p4_2+C676*(k_p4_3+C676*k_p4_4)))</f>
        <v/>
      </c>
      <c r="G676">
        <f>k_ea+k_eb*EXP(k_ec*C676)</f>
        <v/>
      </c>
      <c r="H676">
        <f>(k_p2_1+2*k_p2_2*C676)/k_sx</f>
        <v/>
      </c>
      <c r="I676">
        <f>(k_p3_1+C676*(2*k_p3_2+3*k_p3_3*C676))/k_sx</f>
        <v/>
      </c>
      <c r="J676">
        <f>(k_p4_1+C676*(2*k_p4_2+C676*(3*k_p4_3+4*k_p4_4*C676)))/k_sx</f>
        <v/>
      </c>
      <c r="K676">
        <f>k_eb*k_ec*EXP(k_ec*C676)/k_sx</f>
        <v/>
      </c>
      <c r="L676">
        <f>(2*k_p4_2+C676*(6*k_p4_3+12*k_p4_4*C676))/k_sx^2</f>
        <v/>
      </c>
      <c r="M676">
        <f>D676/B676</f>
        <v/>
      </c>
      <c r="N676">
        <f>E676/B676</f>
        <v/>
      </c>
      <c r="O676">
        <f>F676/B676</f>
        <v/>
      </c>
      <c r="P676">
        <f>G676/B676</f>
        <v/>
      </c>
      <c r="Q676">
        <f>CHOOSE(k_model,D676,E676,F676,G676)</f>
        <v/>
      </c>
      <c r="R676">
        <f>CHOOSE(k_model,H676,I676,J676,K676)</f>
        <v/>
      </c>
    </row>
    <row r="677">
      <c r="A677" t="n">
        <v>675</v>
      </c>
      <c r="B677">
        <f>k_lo+k_rng*A677/1000</f>
        <v/>
      </c>
      <c r="C677">
        <f>(B677-k_mx)/k_sx</f>
        <v/>
      </c>
      <c r="D677">
        <f>k_p2_0+C677*(k_p2_1+C677*k_p2_2)</f>
        <v/>
      </c>
      <c r="E677">
        <f>k_p3_0+C677*(k_p3_1+C677*(k_p3_2+C677*k_p3_3))</f>
        <v/>
      </c>
      <c r="F677">
        <f>k_p4_0+C677*(k_p4_1+C677*(k_p4_2+C677*(k_p4_3+C677*k_p4_4)))</f>
        <v/>
      </c>
      <c r="G677">
        <f>k_ea+k_eb*EXP(k_ec*C677)</f>
        <v/>
      </c>
      <c r="H677">
        <f>(k_p2_1+2*k_p2_2*C677)/k_sx</f>
        <v/>
      </c>
      <c r="I677">
        <f>(k_p3_1+C677*(2*k_p3_2+3*k_p3_3*C677))/k_sx</f>
        <v/>
      </c>
      <c r="J677">
        <f>(k_p4_1+C677*(2*k_p4_2+C677*(3*k_p4_3+4*k_p4_4*C677)))/k_sx</f>
        <v/>
      </c>
      <c r="K677">
        <f>k_eb*k_ec*EXP(k_ec*C677)/k_sx</f>
        <v/>
      </c>
      <c r="L677">
        <f>(2*k_p4_2+C677*(6*k_p4_3+12*k_p4_4*C677))/k_sx^2</f>
        <v/>
      </c>
      <c r="M677">
        <f>D677/B677</f>
        <v/>
      </c>
      <c r="N677">
        <f>E677/B677</f>
        <v/>
      </c>
      <c r="O677">
        <f>F677/B677</f>
        <v/>
      </c>
      <c r="P677">
        <f>G677/B677</f>
        <v/>
      </c>
      <c r="Q677">
        <f>CHOOSE(k_model,D677,E677,F677,G677)</f>
        <v/>
      </c>
      <c r="R677">
        <f>CHOOSE(k_model,H677,I677,J677,K677)</f>
        <v/>
      </c>
    </row>
    <row r="678">
      <c r="A678" t="n">
        <v>676</v>
      </c>
      <c r="B678">
        <f>k_lo+k_rng*A678/1000</f>
        <v/>
      </c>
      <c r="C678">
        <f>(B678-k_mx)/k_sx</f>
        <v/>
      </c>
      <c r="D678">
        <f>k_p2_0+C678*(k_p2_1+C678*k_p2_2)</f>
        <v/>
      </c>
      <c r="E678">
        <f>k_p3_0+C678*(k_p3_1+C678*(k_p3_2+C678*k_p3_3))</f>
        <v/>
      </c>
      <c r="F678">
        <f>k_p4_0+C678*(k_p4_1+C678*(k_p4_2+C678*(k_p4_3+C678*k_p4_4)))</f>
        <v/>
      </c>
      <c r="G678">
        <f>k_ea+k_eb*EXP(k_ec*C678)</f>
        <v/>
      </c>
      <c r="H678">
        <f>(k_p2_1+2*k_p2_2*C678)/k_sx</f>
        <v/>
      </c>
      <c r="I678">
        <f>(k_p3_1+C678*(2*k_p3_2+3*k_p3_3*C678))/k_sx</f>
        <v/>
      </c>
      <c r="J678">
        <f>(k_p4_1+C678*(2*k_p4_2+C678*(3*k_p4_3+4*k_p4_4*C678)))/k_sx</f>
        <v/>
      </c>
      <c r="K678">
        <f>k_eb*k_ec*EXP(k_ec*C678)/k_sx</f>
        <v/>
      </c>
      <c r="L678">
        <f>(2*k_p4_2+C678*(6*k_p4_3+12*k_p4_4*C678))/k_sx^2</f>
        <v/>
      </c>
      <c r="M678">
        <f>D678/B678</f>
        <v/>
      </c>
      <c r="N678">
        <f>E678/B678</f>
        <v/>
      </c>
      <c r="O678">
        <f>F678/B678</f>
        <v/>
      </c>
      <c r="P678">
        <f>G678/B678</f>
        <v/>
      </c>
      <c r="Q678">
        <f>CHOOSE(k_model,D678,E678,F678,G678)</f>
        <v/>
      </c>
      <c r="R678">
        <f>CHOOSE(k_model,H678,I678,J678,K678)</f>
        <v/>
      </c>
    </row>
    <row r="679">
      <c r="A679" t="n">
        <v>677</v>
      </c>
      <c r="B679">
        <f>k_lo+k_rng*A679/1000</f>
        <v/>
      </c>
      <c r="C679">
        <f>(B679-k_mx)/k_sx</f>
        <v/>
      </c>
      <c r="D679">
        <f>k_p2_0+C679*(k_p2_1+C679*k_p2_2)</f>
        <v/>
      </c>
      <c r="E679">
        <f>k_p3_0+C679*(k_p3_1+C679*(k_p3_2+C679*k_p3_3))</f>
        <v/>
      </c>
      <c r="F679">
        <f>k_p4_0+C679*(k_p4_1+C679*(k_p4_2+C679*(k_p4_3+C679*k_p4_4)))</f>
        <v/>
      </c>
      <c r="G679">
        <f>k_ea+k_eb*EXP(k_ec*C679)</f>
        <v/>
      </c>
      <c r="H679">
        <f>(k_p2_1+2*k_p2_2*C679)/k_sx</f>
        <v/>
      </c>
      <c r="I679">
        <f>(k_p3_1+C679*(2*k_p3_2+3*k_p3_3*C679))/k_sx</f>
        <v/>
      </c>
      <c r="J679">
        <f>(k_p4_1+C679*(2*k_p4_2+C679*(3*k_p4_3+4*k_p4_4*C679)))/k_sx</f>
        <v/>
      </c>
      <c r="K679">
        <f>k_eb*k_ec*EXP(k_ec*C679)/k_sx</f>
        <v/>
      </c>
      <c r="L679">
        <f>(2*k_p4_2+C679*(6*k_p4_3+12*k_p4_4*C679))/k_sx^2</f>
        <v/>
      </c>
      <c r="M679">
        <f>D679/B679</f>
        <v/>
      </c>
      <c r="N679">
        <f>E679/B679</f>
        <v/>
      </c>
      <c r="O679">
        <f>F679/B679</f>
        <v/>
      </c>
      <c r="P679">
        <f>G679/B679</f>
        <v/>
      </c>
      <c r="Q679">
        <f>CHOOSE(k_model,D679,E679,F679,G679)</f>
        <v/>
      </c>
      <c r="R679">
        <f>CHOOSE(k_model,H679,I679,J679,K679)</f>
        <v/>
      </c>
    </row>
    <row r="680">
      <c r="A680" t="n">
        <v>678</v>
      </c>
      <c r="B680">
        <f>k_lo+k_rng*A680/1000</f>
        <v/>
      </c>
      <c r="C680">
        <f>(B680-k_mx)/k_sx</f>
        <v/>
      </c>
      <c r="D680">
        <f>k_p2_0+C680*(k_p2_1+C680*k_p2_2)</f>
        <v/>
      </c>
      <c r="E680">
        <f>k_p3_0+C680*(k_p3_1+C680*(k_p3_2+C680*k_p3_3))</f>
        <v/>
      </c>
      <c r="F680">
        <f>k_p4_0+C680*(k_p4_1+C680*(k_p4_2+C680*(k_p4_3+C680*k_p4_4)))</f>
        <v/>
      </c>
      <c r="G680">
        <f>k_ea+k_eb*EXP(k_ec*C680)</f>
        <v/>
      </c>
      <c r="H680">
        <f>(k_p2_1+2*k_p2_2*C680)/k_sx</f>
        <v/>
      </c>
      <c r="I680">
        <f>(k_p3_1+C680*(2*k_p3_2+3*k_p3_3*C680))/k_sx</f>
        <v/>
      </c>
      <c r="J680">
        <f>(k_p4_1+C680*(2*k_p4_2+C680*(3*k_p4_3+4*k_p4_4*C680)))/k_sx</f>
        <v/>
      </c>
      <c r="K680">
        <f>k_eb*k_ec*EXP(k_ec*C680)/k_sx</f>
        <v/>
      </c>
      <c r="L680">
        <f>(2*k_p4_2+C680*(6*k_p4_3+12*k_p4_4*C680))/k_sx^2</f>
        <v/>
      </c>
      <c r="M680">
        <f>D680/B680</f>
        <v/>
      </c>
      <c r="N680">
        <f>E680/B680</f>
        <v/>
      </c>
      <c r="O680">
        <f>F680/B680</f>
        <v/>
      </c>
      <c r="P680">
        <f>G680/B680</f>
        <v/>
      </c>
      <c r="Q680">
        <f>CHOOSE(k_model,D680,E680,F680,G680)</f>
        <v/>
      </c>
      <c r="R680">
        <f>CHOOSE(k_model,H680,I680,J680,K680)</f>
        <v/>
      </c>
    </row>
    <row r="681">
      <c r="A681" t="n">
        <v>679</v>
      </c>
      <c r="B681">
        <f>k_lo+k_rng*A681/1000</f>
        <v/>
      </c>
      <c r="C681">
        <f>(B681-k_mx)/k_sx</f>
        <v/>
      </c>
      <c r="D681">
        <f>k_p2_0+C681*(k_p2_1+C681*k_p2_2)</f>
        <v/>
      </c>
      <c r="E681">
        <f>k_p3_0+C681*(k_p3_1+C681*(k_p3_2+C681*k_p3_3))</f>
        <v/>
      </c>
      <c r="F681">
        <f>k_p4_0+C681*(k_p4_1+C681*(k_p4_2+C681*(k_p4_3+C681*k_p4_4)))</f>
        <v/>
      </c>
      <c r="G681">
        <f>k_ea+k_eb*EXP(k_ec*C681)</f>
        <v/>
      </c>
      <c r="H681">
        <f>(k_p2_1+2*k_p2_2*C681)/k_sx</f>
        <v/>
      </c>
      <c r="I681">
        <f>(k_p3_1+C681*(2*k_p3_2+3*k_p3_3*C681))/k_sx</f>
        <v/>
      </c>
      <c r="J681">
        <f>(k_p4_1+C681*(2*k_p4_2+C681*(3*k_p4_3+4*k_p4_4*C681)))/k_sx</f>
        <v/>
      </c>
      <c r="K681">
        <f>k_eb*k_ec*EXP(k_ec*C681)/k_sx</f>
        <v/>
      </c>
      <c r="L681">
        <f>(2*k_p4_2+C681*(6*k_p4_3+12*k_p4_4*C681))/k_sx^2</f>
        <v/>
      </c>
      <c r="M681">
        <f>D681/B681</f>
        <v/>
      </c>
      <c r="N681">
        <f>E681/B681</f>
        <v/>
      </c>
      <c r="O681">
        <f>F681/B681</f>
        <v/>
      </c>
      <c r="P681">
        <f>G681/B681</f>
        <v/>
      </c>
      <c r="Q681">
        <f>CHOOSE(k_model,D681,E681,F681,G681)</f>
        <v/>
      </c>
      <c r="R681">
        <f>CHOOSE(k_model,H681,I681,J681,K681)</f>
        <v/>
      </c>
    </row>
    <row r="682">
      <c r="A682" t="n">
        <v>680</v>
      </c>
      <c r="B682">
        <f>k_lo+k_rng*A682/1000</f>
        <v/>
      </c>
      <c r="C682">
        <f>(B682-k_mx)/k_sx</f>
        <v/>
      </c>
      <c r="D682">
        <f>k_p2_0+C682*(k_p2_1+C682*k_p2_2)</f>
        <v/>
      </c>
      <c r="E682">
        <f>k_p3_0+C682*(k_p3_1+C682*(k_p3_2+C682*k_p3_3))</f>
        <v/>
      </c>
      <c r="F682">
        <f>k_p4_0+C682*(k_p4_1+C682*(k_p4_2+C682*(k_p4_3+C682*k_p4_4)))</f>
        <v/>
      </c>
      <c r="G682">
        <f>k_ea+k_eb*EXP(k_ec*C682)</f>
        <v/>
      </c>
      <c r="H682">
        <f>(k_p2_1+2*k_p2_2*C682)/k_sx</f>
        <v/>
      </c>
      <c r="I682">
        <f>(k_p3_1+C682*(2*k_p3_2+3*k_p3_3*C682))/k_sx</f>
        <v/>
      </c>
      <c r="J682">
        <f>(k_p4_1+C682*(2*k_p4_2+C682*(3*k_p4_3+4*k_p4_4*C682)))/k_sx</f>
        <v/>
      </c>
      <c r="K682">
        <f>k_eb*k_ec*EXP(k_ec*C682)/k_sx</f>
        <v/>
      </c>
      <c r="L682">
        <f>(2*k_p4_2+C682*(6*k_p4_3+12*k_p4_4*C682))/k_sx^2</f>
        <v/>
      </c>
      <c r="M682">
        <f>D682/B682</f>
        <v/>
      </c>
      <c r="N682">
        <f>E682/B682</f>
        <v/>
      </c>
      <c r="O682">
        <f>F682/B682</f>
        <v/>
      </c>
      <c r="P682">
        <f>G682/B682</f>
        <v/>
      </c>
      <c r="Q682">
        <f>CHOOSE(k_model,D682,E682,F682,G682)</f>
        <v/>
      </c>
      <c r="R682">
        <f>CHOOSE(k_model,H682,I682,J682,K682)</f>
        <v/>
      </c>
    </row>
    <row r="683">
      <c r="A683" t="n">
        <v>681</v>
      </c>
      <c r="B683">
        <f>k_lo+k_rng*A683/1000</f>
        <v/>
      </c>
      <c r="C683">
        <f>(B683-k_mx)/k_sx</f>
        <v/>
      </c>
      <c r="D683">
        <f>k_p2_0+C683*(k_p2_1+C683*k_p2_2)</f>
        <v/>
      </c>
      <c r="E683">
        <f>k_p3_0+C683*(k_p3_1+C683*(k_p3_2+C683*k_p3_3))</f>
        <v/>
      </c>
      <c r="F683">
        <f>k_p4_0+C683*(k_p4_1+C683*(k_p4_2+C683*(k_p4_3+C683*k_p4_4)))</f>
        <v/>
      </c>
      <c r="G683">
        <f>k_ea+k_eb*EXP(k_ec*C683)</f>
        <v/>
      </c>
      <c r="H683">
        <f>(k_p2_1+2*k_p2_2*C683)/k_sx</f>
        <v/>
      </c>
      <c r="I683">
        <f>(k_p3_1+C683*(2*k_p3_2+3*k_p3_3*C683))/k_sx</f>
        <v/>
      </c>
      <c r="J683">
        <f>(k_p4_1+C683*(2*k_p4_2+C683*(3*k_p4_3+4*k_p4_4*C683)))/k_sx</f>
        <v/>
      </c>
      <c r="K683">
        <f>k_eb*k_ec*EXP(k_ec*C683)/k_sx</f>
        <v/>
      </c>
      <c r="L683">
        <f>(2*k_p4_2+C683*(6*k_p4_3+12*k_p4_4*C683))/k_sx^2</f>
        <v/>
      </c>
      <c r="M683">
        <f>D683/B683</f>
        <v/>
      </c>
      <c r="N683">
        <f>E683/B683</f>
        <v/>
      </c>
      <c r="O683">
        <f>F683/B683</f>
        <v/>
      </c>
      <c r="P683">
        <f>G683/B683</f>
        <v/>
      </c>
      <c r="Q683">
        <f>CHOOSE(k_model,D683,E683,F683,G683)</f>
        <v/>
      </c>
      <c r="R683">
        <f>CHOOSE(k_model,H683,I683,J683,K683)</f>
        <v/>
      </c>
    </row>
    <row r="684">
      <c r="A684" t="n">
        <v>682</v>
      </c>
      <c r="B684">
        <f>k_lo+k_rng*A684/1000</f>
        <v/>
      </c>
      <c r="C684">
        <f>(B684-k_mx)/k_sx</f>
        <v/>
      </c>
      <c r="D684">
        <f>k_p2_0+C684*(k_p2_1+C684*k_p2_2)</f>
        <v/>
      </c>
      <c r="E684">
        <f>k_p3_0+C684*(k_p3_1+C684*(k_p3_2+C684*k_p3_3))</f>
        <v/>
      </c>
      <c r="F684">
        <f>k_p4_0+C684*(k_p4_1+C684*(k_p4_2+C684*(k_p4_3+C684*k_p4_4)))</f>
        <v/>
      </c>
      <c r="G684">
        <f>k_ea+k_eb*EXP(k_ec*C684)</f>
        <v/>
      </c>
      <c r="H684">
        <f>(k_p2_1+2*k_p2_2*C684)/k_sx</f>
        <v/>
      </c>
      <c r="I684">
        <f>(k_p3_1+C684*(2*k_p3_2+3*k_p3_3*C684))/k_sx</f>
        <v/>
      </c>
      <c r="J684">
        <f>(k_p4_1+C684*(2*k_p4_2+C684*(3*k_p4_3+4*k_p4_4*C684)))/k_sx</f>
        <v/>
      </c>
      <c r="K684">
        <f>k_eb*k_ec*EXP(k_ec*C684)/k_sx</f>
        <v/>
      </c>
      <c r="L684">
        <f>(2*k_p4_2+C684*(6*k_p4_3+12*k_p4_4*C684))/k_sx^2</f>
        <v/>
      </c>
      <c r="M684">
        <f>D684/B684</f>
        <v/>
      </c>
      <c r="N684">
        <f>E684/B684</f>
        <v/>
      </c>
      <c r="O684">
        <f>F684/B684</f>
        <v/>
      </c>
      <c r="P684">
        <f>G684/B684</f>
        <v/>
      </c>
      <c r="Q684">
        <f>CHOOSE(k_model,D684,E684,F684,G684)</f>
        <v/>
      </c>
      <c r="R684">
        <f>CHOOSE(k_model,H684,I684,J684,K684)</f>
        <v/>
      </c>
    </row>
    <row r="685">
      <c r="A685" t="n">
        <v>683</v>
      </c>
      <c r="B685">
        <f>k_lo+k_rng*A685/1000</f>
        <v/>
      </c>
      <c r="C685">
        <f>(B685-k_mx)/k_sx</f>
        <v/>
      </c>
      <c r="D685">
        <f>k_p2_0+C685*(k_p2_1+C685*k_p2_2)</f>
        <v/>
      </c>
      <c r="E685">
        <f>k_p3_0+C685*(k_p3_1+C685*(k_p3_2+C685*k_p3_3))</f>
        <v/>
      </c>
      <c r="F685">
        <f>k_p4_0+C685*(k_p4_1+C685*(k_p4_2+C685*(k_p4_3+C685*k_p4_4)))</f>
        <v/>
      </c>
      <c r="G685">
        <f>k_ea+k_eb*EXP(k_ec*C685)</f>
        <v/>
      </c>
      <c r="H685">
        <f>(k_p2_1+2*k_p2_2*C685)/k_sx</f>
        <v/>
      </c>
      <c r="I685">
        <f>(k_p3_1+C685*(2*k_p3_2+3*k_p3_3*C685))/k_sx</f>
        <v/>
      </c>
      <c r="J685">
        <f>(k_p4_1+C685*(2*k_p4_2+C685*(3*k_p4_3+4*k_p4_4*C685)))/k_sx</f>
        <v/>
      </c>
      <c r="K685">
        <f>k_eb*k_ec*EXP(k_ec*C685)/k_sx</f>
        <v/>
      </c>
      <c r="L685">
        <f>(2*k_p4_2+C685*(6*k_p4_3+12*k_p4_4*C685))/k_sx^2</f>
        <v/>
      </c>
      <c r="M685">
        <f>D685/B685</f>
        <v/>
      </c>
      <c r="N685">
        <f>E685/B685</f>
        <v/>
      </c>
      <c r="O685">
        <f>F685/B685</f>
        <v/>
      </c>
      <c r="P685">
        <f>G685/B685</f>
        <v/>
      </c>
      <c r="Q685">
        <f>CHOOSE(k_model,D685,E685,F685,G685)</f>
        <v/>
      </c>
      <c r="R685">
        <f>CHOOSE(k_model,H685,I685,J685,K685)</f>
        <v/>
      </c>
    </row>
    <row r="686">
      <c r="A686" t="n">
        <v>684</v>
      </c>
      <c r="B686">
        <f>k_lo+k_rng*A686/1000</f>
        <v/>
      </c>
      <c r="C686">
        <f>(B686-k_mx)/k_sx</f>
        <v/>
      </c>
      <c r="D686">
        <f>k_p2_0+C686*(k_p2_1+C686*k_p2_2)</f>
        <v/>
      </c>
      <c r="E686">
        <f>k_p3_0+C686*(k_p3_1+C686*(k_p3_2+C686*k_p3_3))</f>
        <v/>
      </c>
      <c r="F686">
        <f>k_p4_0+C686*(k_p4_1+C686*(k_p4_2+C686*(k_p4_3+C686*k_p4_4)))</f>
        <v/>
      </c>
      <c r="G686">
        <f>k_ea+k_eb*EXP(k_ec*C686)</f>
        <v/>
      </c>
      <c r="H686">
        <f>(k_p2_1+2*k_p2_2*C686)/k_sx</f>
        <v/>
      </c>
      <c r="I686">
        <f>(k_p3_1+C686*(2*k_p3_2+3*k_p3_3*C686))/k_sx</f>
        <v/>
      </c>
      <c r="J686">
        <f>(k_p4_1+C686*(2*k_p4_2+C686*(3*k_p4_3+4*k_p4_4*C686)))/k_sx</f>
        <v/>
      </c>
      <c r="K686">
        <f>k_eb*k_ec*EXP(k_ec*C686)/k_sx</f>
        <v/>
      </c>
      <c r="L686">
        <f>(2*k_p4_2+C686*(6*k_p4_3+12*k_p4_4*C686))/k_sx^2</f>
        <v/>
      </c>
      <c r="M686">
        <f>D686/B686</f>
        <v/>
      </c>
      <c r="N686">
        <f>E686/B686</f>
        <v/>
      </c>
      <c r="O686">
        <f>F686/B686</f>
        <v/>
      </c>
      <c r="P686">
        <f>G686/B686</f>
        <v/>
      </c>
      <c r="Q686">
        <f>CHOOSE(k_model,D686,E686,F686,G686)</f>
        <v/>
      </c>
      <c r="R686">
        <f>CHOOSE(k_model,H686,I686,J686,K686)</f>
        <v/>
      </c>
    </row>
    <row r="687">
      <c r="A687" t="n">
        <v>685</v>
      </c>
      <c r="B687">
        <f>k_lo+k_rng*A687/1000</f>
        <v/>
      </c>
      <c r="C687">
        <f>(B687-k_mx)/k_sx</f>
        <v/>
      </c>
      <c r="D687">
        <f>k_p2_0+C687*(k_p2_1+C687*k_p2_2)</f>
        <v/>
      </c>
      <c r="E687">
        <f>k_p3_0+C687*(k_p3_1+C687*(k_p3_2+C687*k_p3_3))</f>
        <v/>
      </c>
      <c r="F687">
        <f>k_p4_0+C687*(k_p4_1+C687*(k_p4_2+C687*(k_p4_3+C687*k_p4_4)))</f>
        <v/>
      </c>
      <c r="G687">
        <f>k_ea+k_eb*EXP(k_ec*C687)</f>
        <v/>
      </c>
      <c r="H687">
        <f>(k_p2_1+2*k_p2_2*C687)/k_sx</f>
        <v/>
      </c>
      <c r="I687">
        <f>(k_p3_1+C687*(2*k_p3_2+3*k_p3_3*C687))/k_sx</f>
        <v/>
      </c>
      <c r="J687">
        <f>(k_p4_1+C687*(2*k_p4_2+C687*(3*k_p4_3+4*k_p4_4*C687)))/k_sx</f>
        <v/>
      </c>
      <c r="K687">
        <f>k_eb*k_ec*EXP(k_ec*C687)/k_sx</f>
        <v/>
      </c>
      <c r="L687">
        <f>(2*k_p4_2+C687*(6*k_p4_3+12*k_p4_4*C687))/k_sx^2</f>
        <v/>
      </c>
      <c r="M687">
        <f>D687/B687</f>
        <v/>
      </c>
      <c r="N687">
        <f>E687/B687</f>
        <v/>
      </c>
      <c r="O687">
        <f>F687/B687</f>
        <v/>
      </c>
      <c r="P687">
        <f>G687/B687</f>
        <v/>
      </c>
      <c r="Q687">
        <f>CHOOSE(k_model,D687,E687,F687,G687)</f>
        <v/>
      </c>
      <c r="R687">
        <f>CHOOSE(k_model,H687,I687,J687,K687)</f>
        <v/>
      </c>
    </row>
    <row r="688">
      <c r="A688" t="n">
        <v>686</v>
      </c>
      <c r="B688">
        <f>k_lo+k_rng*A688/1000</f>
        <v/>
      </c>
      <c r="C688">
        <f>(B688-k_mx)/k_sx</f>
        <v/>
      </c>
      <c r="D688">
        <f>k_p2_0+C688*(k_p2_1+C688*k_p2_2)</f>
        <v/>
      </c>
      <c r="E688">
        <f>k_p3_0+C688*(k_p3_1+C688*(k_p3_2+C688*k_p3_3))</f>
        <v/>
      </c>
      <c r="F688">
        <f>k_p4_0+C688*(k_p4_1+C688*(k_p4_2+C688*(k_p4_3+C688*k_p4_4)))</f>
        <v/>
      </c>
      <c r="G688">
        <f>k_ea+k_eb*EXP(k_ec*C688)</f>
        <v/>
      </c>
      <c r="H688">
        <f>(k_p2_1+2*k_p2_2*C688)/k_sx</f>
        <v/>
      </c>
      <c r="I688">
        <f>(k_p3_1+C688*(2*k_p3_2+3*k_p3_3*C688))/k_sx</f>
        <v/>
      </c>
      <c r="J688">
        <f>(k_p4_1+C688*(2*k_p4_2+C688*(3*k_p4_3+4*k_p4_4*C688)))/k_sx</f>
        <v/>
      </c>
      <c r="K688">
        <f>k_eb*k_ec*EXP(k_ec*C688)/k_sx</f>
        <v/>
      </c>
      <c r="L688">
        <f>(2*k_p4_2+C688*(6*k_p4_3+12*k_p4_4*C688))/k_sx^2</f>
        <v/>
      </c>
      <c r="M688">
        <f>D688/B688</f>
        <v/>
      </c>
      <c r="N688">
        <f>E688/B688</f>
        <v/>
      </c>
      <c r="O688">
        <f>F688/B688</f>
        <v/>
      </c>
      <c r="P688">
        <f>G688/B688</f>
        <v/>
      </c>
      <c r="Q688">
        <f>CHOOSE(k_model,D688,E688,F688,G688)</f>
        <v/>
      </c>
      <c r="R688">
        <f>CHOOSE(k_model,H688,I688,J688,K688)</f>
        <v/>
      </c>
    </row>
    <row r="689">
      <c r="A689" t="n">
        <v>687</v>
      </c>
      <c r="B689">
        <f>k_lo+k_rng*A689/1000</f>
        <v/>
      </c>
      <c r="C689">
        <f>(B689-k_mx)/k_sx</f>
        <v/>
      </c>
      <c r="D689">
        <f>k_p2_0+C689*(k_p2_1+C689*k_p2_2)</f>
        <v/>
      </c>
      <c r="E689">
        <f>k_p3_0+C689*(k_p3_1+C689*(k_p3_2+C689*k_p3_3))</f>
        <v/>
      </c>
      <c r="F689">
        <f>k_p4_0+C689*(k_p4_1+C689*(k_p4_2+C689*(k_p4_3+C689*k_p4_4)))</f>
        <v/>
      </c>
      <c r="G689">
        <f>k_ea+k_eb*EXP(k_ec*C689)</f>
        <v/>
      </c>
      <c r="H689">
        <f>(k_p2_1+2*k_p2_2*C689)/k_sx</f>
        <v/>
      </c>
      <c r="I689">
        <f>(k_p3_1+C689*(2*k_p3_2+3*k_p3_3*C689))/k_sx</f>
        <v/>
      </c>
      <c r="J689">
        <f>(k_p4_1+C689*(2*k_p4_2+C689*(3*k_p4_3+4*k_p4_4*C689)))/k_sx</f>
        <v/>
      </c>
      <c r="K689">
        <f>k_eb*k_ec*EXP(k_ec*C689)/k_sx</f>
        <v/>
      </c>
      <c r="L689">
        <f>(2*k_p4_2+C689*(6*k_p4_3+12*k_p4_4*C689))/k_sx^2</f>
        <v/>
      </c>
      <c r="M689">
        <f>D689/B689</f>
        <v/>
      </c>
      <c r="N689">
        <f>E689/B689</f>
        <v/>
      </c>
      <c r="O689">
        <f>F689/B689</f>
        <v/>
      </c>
      <c r="P689">
        <f>G689/B689</f>
        <v/>
      </c>
      <c r="Q689">
        <f>CHOOSE(k_model,D689,E689,F689,G689)</f>
        <v/>
      </c>
      <c r="R689">
        <f>CHOOSE(k_model,H689,I689,J689,K689)</f>
        <v/>
      </c>
    </row>
    <row r="690">
      <c r="A690" t="n">
        <v>688</v>
      </c>
      <c r="B690">
        <f>k_lo+k_rng*A690/1000</f>
        <v/>
      </c>
      <c r="C690">
        <f>(B690-k_mx)/k_sx</f>
        <v/>
      </c>
      <c r="D690">
        <f>k_p2_0+C690*(k_p2_1+C690*k_p2_2)</f>
        <v/>
      </c>
      <c r="E690">
        <f>k_p3_0+C690*(k_p3_1+C690*(k_p3_2+C690*k_p3_3))</f>
        <v/>
      </c>
      <c r="F690">
        <f>k_p4_0+C690*(k_p4_1+C690*(k_p4_2+C690*(k_p4_3+C690*k_p4_4)))</f>
        <v/>
      </c>
      <c r="G690">
        <f>k_ea+k_eb*EXP(k_ec*C690)</f>
        <v/>
      </c>
      <c r="H690">
        <f>(k_p2_1+2*k_p2_2*C690)/k_sx</f>
        <v/>
      </c>
      <c r="I690">
        <f>(k_p3_1+C690*(2*k_p3_2+3*k_p3_3*C690))/k_sx</f>
        <v/>
      </c>
      <c r="J690">
        <f>(k_p4_1+C690*(2*k_p4_2+C690*(3*k_p4_3+4*k_p4_4*C690)))/k_sx</f>
        <v/>
      </c>
      <c r="K690">
        <f>k_eb*k_ec*EXP(k_ec*C690)/k_sx</f>
        <v/>
      </c>
      <c r="L690">
        <f>(2*k_p4_2+C690*(6*k_p4_3+12*k_p4_4*C690))/k_sx^2</f>
        <v/>
      </c>
      <c r="M690">
        <f>D690/B690</f>
        <v/>
      </c>
      <c r="N690">
        <f>E690/B690</f>
        <v/>
      </c>
      <c r="O690">
        <f>F690/B690</f>
        <v/>
      </c>
      <c r="P690">
        <f>G690/B690</f>
        <v/>
      </c>
      <c r="Q690">
        <f>CHOOSE(k_model,D690,E690,F690,G690)</f>
        <v/>
      </c>
      <c r="R690">
        <f>CHOOSE(k_model,H690,I690,J690,K690)</f>
        <v/>
      </c>
    </row>
    <row r="691">
      <c r="A691" t="n">
        <v>689</v>
      </c>
      <c r="B691">
        <f>k_lo+k_rng*A691/1000</f>
        <v/>
      </c>
      <c r="C691">
        <f>(B691-k_mx)/k_sx</f>
        <v/>
      </c>
      <c r="D691">
        <f>k_p2_0+C691*(k_p2_1+C691*k_p2_2)</f>
        <v/>
      </c>
      <c r="E691">
        <f>k_p3_0+C691*(k_p3_1+C691*(k_p3_2+C691*k_p3_3))</f>
        <v/>
      </c>
      <c r="F691">
        <f>k_p4_0+C691*(k_p4_1+C691*(k_p4_2+C691*(k_p4_3+C691*k_p4_4)))</f>
        <v/>
      </c>
      <c r="G691">
        <f>k_ea+k_eb*EXP(k_ec*C691)</f>
        <v/>
      </c>
      <c r="H691">
        <f>(k_p2_1+2*k_p2_2*C691)/k_sx</f>
        <v/>
      </c>
      <c r="I691">
        <f>(k_p3_1+C691*(2*k_p3_2+3*k_p3_3*C691))/k_sx</f>
        <v/>
      </c>
      <c r="J691">
        <f>(k_p4_1+C691*(2*k_p4_2+C691*(3*k_p4_3+4*k_p4_4*C691)))/k_sx</f>
        <v/>
      </c>
      <c r="K691">
        <f>k_eb*k_ec*EXP(k_ec*C691)/k_sx</f>
        <v/>
      </c>
      <c r="L691">
        <f>(2*k_p4_2+C691*(6*k_p4_3+12*k_p4_4*C691))/k_sx^2</f>
        <v/>
      </c>
      <c r="M691">
        <f>D691/B691</f>
        <v/>
      </c>
      <c r="N691">
        <f>E691/B691</f>
        <v/>
      </c>
      <c r="O691">
        <f>F691/B691</f>
        <v/>
      </c>
      <c r="P691">
        <f>G691/B691</f>
        <v/>
      </c>
      <c r="Q691">
        <f>CHOOSE(k_model,D691,E691,F691,G691)</f>
        <v/>
      </c>
      <c r="R691">
        <f>CHOOSE(k_model,H691,I691,J691,K691)</f>
        <v/>
      </c>
    </row>
    <row r="692">
      <c r="A692" t="n">
        <v>690</v>
      </c>
      <c r="B692">
        <f>k_lo+k_rng*A692/1000</f>
        <v/>
      </c>
      <c r="C692">
        <f>(B692-k_mx)/k_sx</f>
        <v/>
      </c>
      <c r="D692">
        <f>k_p2_0+C692*(k_p2_1+C692*k_p2_2)</f>
        <v/>
      </c>
      <c r="E692">
        <f>k_p3_0+C692*(k_p3_1+C692*(k_p3_2+C692*k_p3_3))</f>
        <v/>
      </c>
      <c r="F692">
        <f>k_p4_0+C692*(k_p4_1+C692*(k_p4_2+C692*(k_p4_3+C692*k_p4_4)))</f>
        <v/>
      </c>
      <c r="G692">
        <f>k_ea+k_eb*EXP(k_ec*C692)</f>
        <v/>
      </c>
      <c r="H692">
        <f>(k_p2_1+2*k_p2_2*C692)/k_sx</f>
        <v/>
      </c>
      <c r="I692">
        <f>(k_p3_1+C692*(2*k_p3_2+3*k_p3_3*C692))/k_sx</f>
        <v/>
      </c>
      <c r="J692">
        <f>(k_p4_1+C692*(2*k_p4_2+C692*(3*k_p4_3+4*k_p4_4*C692)))/k_sx</f>
        <v/>
      </c>
      <c r="K692">
        <f>k_eb*k_ec*EXP(k_ec*C692)/k_sx</f>
        <v/>
      </c>
      <c r="L692">
        <f>(2*k_p4_2+C692*(6*k_p4_3+12*k_p4_4*C692))/k_sx^2</f>
        <v/>
      </c>
      <c r="M692">
        <f>D692/B692</f>
        <v/>
      </c>
      <c r="N692">
        <f>E692/B692</f>
        <v/>
      </c>
      <c r="O692">
        <f>F692/B692</f>
        <v/>
      </c>
      <c r="P692">
        <f>G692/B692</f>
        <v/>
      </c>
      <c r="Q692">
        <f>CHOOSE(k_model,D692,E692,F692,G692)</f>
        <v/>
      </c>
      <c r="R692">
        <f>CHOOSE(k_model,H692,I692,J692,K692)</f>
        <v/>
      </c>
    </row>
    <row r="693">
      <c r="A693" t="n">
        <v>691</v>
      </c>
      <c r="B693">
        <f>k_lo+k_rng*A693/1000</f>
        <v/>
      </c>
      <c r="C693">
        <f>(B693-k_mx)/k_sx</f>
        <v/>
      </c>
      <c r="D693">
        <f>k_p2_0+C693*(k_p2_1+C693*k_p2_2)</f>
        <v/>
      </c>
      <c r="E693">
        <f>k_p3_0+C693*(k_p3_1+C693*(k_p3_2+C693*k_p3_3))</f>
        <v/>
      </c>
      <c r="F693">
        <f>k_p4_0+C693*(k_p4_1+C693*(k_p4_2+C693*(k_p4_3+C693*k_p4_4)))</f>
        <v/>
      </c>
      <c r="G693">
        <f>k_ea+k_eb*EXP(k_ec*C693)</f>
        <v/>
      </c>
      <c r="H693">
        <f>(k_p2_1+2*k_p2_2*C693)/k_sx</f>
        <v/>
      </c>
      <c r="I693">
        <f>(k_p3_1+C693*(2*k_p3_2+3*k_p3_3*C693))/k_sx</f>
        <v/>
      </c>
      <c r="J693">
        <f>(k_p4_1+C693*(2*k_p4_2+C693*(3*k_p4_3+4*k_p4_4*C693)))/k_sx</f>
        <v/>
      </c>
      <c r="K693">
        <f>k_eb*k_ec*EXP(k_ec*C693)/k_sx</f>
        <v/>
      </c>
      <c r="L693">
        <f>(2*k_p4_2+C693*(6*k_p4_3+12*k_p4_4*C693))/k_sx^2</f>
        <v/>
      </c>
      <c r="M693">
        <f>D693/B693</f>
        <v/>
      </c>
      <c r="N693">
        <f>E693/B693</f>
        <v/>
      </c>
      <c r="O693">
        <f>F693/B693</f>
        <v/>
      </c>
      <c r="P693">
        <f>G693/B693</f>
        <v/>
      </c>
      <c r="Q693">
        <f>CHOOSE(k_model,D693,E693,F693,G693)</f>
        <v/>
      </c>
      <c r="R693">
        <f>CHOOSE(k_model,H693,I693,J693,K693)</f>
        <v/>
      </c>
    </row>
    <row r="694">
      <c r="A694" t="n">
        <v>692</v>
      </c>
      <c r="B694">
        <f>k_lo+k_rng*A694/1000</f>
        <v/>
      </c>
      <c r="C694">
        <f>(B694-k_mx)/k_sx</f>
        <v/>
      </c>
      <c r="D694">
        <f>k_p2_0+C694*(k_p2_1+C694*k_p2_2)</f>
        <v/>
      </c>
      <c r="E694">
        <f>k_p3_0+C694*(k_p3_1+C694*(k_p3_2+C694*k_p3_3))</f>
        <v/>
      </c>
      <c r="F694">
        <f>k_p4_0+C694*(k_p4_1+C694*(k_p4_2+C694*(k_p4_3+C694*k_p4_4)))</f>
        <v/>
      </c>
      <c r="G694">
        <f>k_ea+k_eb*EXP(k_ec*C694)</f>
        <v/>
      </c>
      <c r="H694">
        <f>(k_p2_1+2*k_p2_2*C694)/k_sx</f>
        <v/>
      </c>
      <c r="I694">
        <f>(k_p3_1+C694*(2*k_p3_2+3*k_p3_3*C694))/k_sx</f>
        <v/>
      </c>
      <c r="J694">
        <f>(k_p4_1+C694*(2*k_p4_2+C694*(3*k_p4_3+4*k_p4_4*C694)))/k_sx</f>
        <v/>
      </c>
      <c r="K694">
        <f>k_eb*k_ec*EXP(k_ec*C694)/k_sx</f>
        <v/>
      </c>
      <c r="L694">
        <f>(2*k_p4_2+C694*(6*k_p4_3+12*k_p4_4*C694))/k_sx^2</f>
        <v/>
      </c>
      <c r="M694">
        <f>D694/B694</f>
        <v/>
      </c>
      <c r="N694">
        <f>E694/B694</f>
        <v/>
      </c>
      <c r="O694">
        <f>F694/B694</f>
        <v/>
      </c>
      <c r="P694">
        <f>G694/B694</f>
        <v/>
      </c>
      <c r="Q694">
        <f>CHOOSE(k_model,D694,E694,F694,G694)</f>
        <v/>
      </c>
      <c r="R694">
        <f>CHOOSE(k_model,H694,I694,J694,K694)</f>
        <v/>
      </c>
    </row>
    <row r="695">
      <c r="A695" t="n">
        <v>693</v>
      </c>
      <c r="B695">
        <f>k_lo+k_rng*A695/1000</f>
        <v/>
      </c>
      <c r="C695">
        <f>(B695-k_mx)/k_sx</f>
        <v/>
      </c>
      <c r="D695">
        <f>k_p2_0+C695*(k_p2_1+C695*k_p2_2)</f>
        <v/>
      </c>
      <c r="E695">
        <f>k_p3_0+C695*(k_p3_1+C695*(k_p3_2+C695*k_p3_3))</f>
        <v/>
      </c>
      <c r="F695">
        <f>k_p4_0+C695*(k_p4_1+C695*(k_p4_2+C695*(k_p4_3+C695*k_p4_4)))</f>
        <v/>
      </c>
      <c r="G695">
        <f>k_ea+k_eb*EXP(k_ec*C695)</f>
        <v/>
      </c>
      <c r="H695">
        <f>(k_p2_1+2*k_p2_2*C695)/k_sx</f>
        <v/>
      </c>
      <c r="I695">
        <f>(k_p3_1+C695*(2*k_p3_2+3*k_p3_3*C695))/k_sx</f>
        <v/>
      </c>
      <c r="J695">
        <f>(k_p4_1+C695*(2*k_p4_2+C695*(3*k_p4_3+4*k_p4_4*C695)))/k_sx</f>
        <v/>
      </c>
      <c r="K695">
        <f>k_eb*k_ec*EXP(k_ec*C695)/k_sx</f>
        <v/>
      </c>
      <c r="L695">
        <f>(2*k_p4_2+C695*(6*k_p4_3+12*k_p4_4*C695))/k_sx^2</f>
        <v/>
      </c>
      <c r="M695">
        <f>D695/B695</f>
        <v/>
      </c>
      <c r="N695">
        <f>E695/B695</f>
        <v/>
      </c>
      <c r="O695">
        <f>F695/B695</f>
        <v/>
      </c>
      <c r="P695">
        <f>G695/B695</f>
        <v/>
      </c>
      <c r="Q695">
        <f>CHOOSE(k_model,D695,E695,F695,G695)</f>
        <v/>
      </c>
      <c r="R695">
        <f>CHOOSE(k_model,H695,I695,J695,K695)</f>
        <v/>
      </c>
    </row>
    <row r="696">
      <c r="A696" t="n">
        <v>694</v>
      </c>
      <c r="B696">
        <f>k_lo+k_rng*A696/1000</f>
        <v/>
      </c>
      <c r="C696">
        <f>(B696-k_mx)/k_sx</f>
        <v/>
      </c>
      <c r="D696">
        <f>k_p2_0+C696*(k_p2_1+C696*k_p2_2)</f>
        <v/>
      </c>
      <c r="E696">
        <f>k_p3_0+C696*(k_p3_1+C696*(k_p3_2+C696*k_p3_3))</f>
        <v/>
      </c>
      <c r="F696">
        <f>k_p4_0+C696*(k_p4_1+C696*(k_p4_2+C696*(k_p4_3+C696*k_p4_4)))</f>
        <v/>
      </c>
      <c r="G696">
        <f>k_ea+k_eb*EXP(k_ec*C696)</f>
        <v/>
      </c>
      <c r="H696">
        <f>(k_p2_1+2*k_p2_2*C696)/k_sx</f>
        <v/>
      </c>
      <c r="I696">
        <f>(k_p3_1+C696*(2*k_p3_2+3*k_p3_3*C696))/k_sx</f>
        <v/>
      </c>
      <c r="J696">
        <f>(k_p4_1+C696*(2*k_p4_2+C696*(3*k_p4_3+4*k_p4_4*C696)))/k_sx</f>
        <v/>
      </c>
      <c r="K696">
        <f>k_eb*k_ec*EXP(k_ec*C696)/k_sx</f>
        <v/>
      </c>
      <c r="L696">
        <f>(2*k_p4_2+C696*(6*k_p4_3+12*k_p4_4*C696))/k_sx^2</f>
        <v/>
      </c>
      <c r="M696">
        <f>D696/B696</f>
        <v/>
      </c>
      <c r="N696">
        <f>E696/B696</f>
        <v/>
      </c>
      <c r="O696">
        <f>F696/B696</f>
        <v/>
      </c>
      <c r="P696">
        <f>G696/B696</f>
        <v/>
      </c>
      <c r="Q696">
        <f>CHOOSE(k_model,D696,E696,F696,G696)</f>
        <v/>
      </c>
      <c r="R696">
        <f>CHOOSE(k_model,H696,I696,J696,K696)</f>
        <v/>
      </c>
    </row>
    <row r="697">
      <c r="A697" t="n">
        <v>695</v>
      </c>
      <c r="B697">
        <f>k_lo+k_rng*A697/1000</f>
        <v/>
      </c>
      <c r="C697">
        <f>(B697-k_mx)/k_sx</f>
        <v/>
      </c>
      <c r="D697">
        <f>k_p2_0+C697*(k_p2_1+C697*k_p2_2)</f>
        <v/>
      </c>
      <c r="E697">
        <f>k_p3_0+C697*(k_p3_1+C697*(k_p3_2+C697*k_p3_3))</f>
        <v/>
      </c>
      <c r="F697">
        <f>k_p4_0+C697*(k_p4_1+C697*(k_p4_2+C697*(k_p4_3+C697*k_p4_4)))</f>
        <v/>
      </c>
      <c r="G697">
        <f>k_ea+k_eb*EXP(k_ec*C697)</f>
        <v/>
      </c>
      <c r="H697">
        <f>(k_p2_1+2*k_p2_2*C697)/k_sx</f>
        <v/>
      </c>
      <c r="I697">
        <f>(k_p3_1+C697*(2*k_p3_2+3*k_p3_3*C697))/k_sx</f>
        <v/>
      </c>
      <c r="J697">
        <f>(k_p4_1+C697*(2*k_p4_2+C697*(3*k_p4_3+4*k_p4_4*C697)))/k_sx</f>
        <v/>
      </c>
      <c r="K697">
        <f>k_eb*k_ec*EXP(k_ec*C697)/k_sx</f>
        <v/>
      </c>
      <c r="L697">
        <f>(2*k_p4_2+C697*(6*k_p4_3+12*k_p4_4*C697))/k_sx^2</f>
        <v/>
      </c>
      <c r="M697">
        <f>D697/B697</f>
        <v/>
      </c>
      <c r="N697">
        <f>E697/B697</f>
        <v/>
      </c>
      <c r="O697">
        <f>F697/B697</f>
        <v/>
      </c>
      <c r="P697">
        <f>G697/B697</f>
        <v/>
      </c>
      <c r="Q697">
        <f>CHOOSE(k_model,D697,E697,F697,G697)</f>
        <v/>
      </c>
      <c r="R697">
        <f>CHOOSE(k_model,H697,I697,J697,K697)</f>
        <v/>
      </c>
    </row>
    <row r="698">
      <c r="A698" t="n">
        <v>696</v>
      </c>
      <c r="B698">
        <f>k_lo+k_rng*A698/1000</f>
        <v/>
      </c>
      <c r="C698">
        <f>(B698-k_mx)/k_sx</f>
        <v/>
      </c>
      <c r="D698">
        <f>k_p2_0+C698*(k_p2_1+C698*k_p2_2)</f>
        <v/>
      </c>
      <c r="E698">
        <f>k_p3_0+C698*(k_p3_1+C698*(k_p3_2+C698*k_p3_3))</f>
        <v/>
      </c>
      <c r="F698">
        <f>k_p4_0+C698*(k_p4_1+C698*(k_p4_2+C698*(k_p4_3+C698*k_p4_4)))</f>
        <v/>
      </c>
      <c r="G698">
        <f>k_ea+k_eb*EXP(k_ec*C698)</f>
        <v/>
      </c>
      <c r="H698">
        <f>(k_p2_1+2*k_p2_2*C698)/k_sx</f>
        <v/>
      </c>
      <c r="I698">
        <f>(k_p3_1+C698*(2*k_p3_2+3*k_p3_3*C698))/k_sx</f>
        <v/>
      </c>
      <c r="J698">
        <f>(k_p4_1+C698*(2*k_p4_2+C698*(3*k_p4_3+4*k_p4_4*C698)))/k_sx</f>
        <v/>
      </c>
      <c r="K698">
        <f>k_eb*k_ec*EXP(k_ec*C698)/k_sx</f>
        <v/>
      </c>
      <c r="L698">
        <f>(2*k_p4_2+C698*(6*k_p4_3+12*k_p4_4*C698))/k_sx^2</f>
        <v/>
      </c>
      <c r="M698">
        <f>D698/B698</f>
        <v/>
      </c>
      <c r="N698">
        <f>E698/B698</f>
        <v/>
      </c>
      <c r="O698">
        <f>F698/B698</f>
        <v/>
      </c>
      <c r="P698">
        <f>G698/B698</f>
        <v/>
      </c>
      <c r="Q698">
        <f>CHOOSE(k_model,D698,E698,F698,G698)</f>
        <v/>
      </c>
      <c r="R698">
        <f>CHOOSE(k_model,H698,I698,J698,K698)</f>
        <v/>
      </c>
    </row>
    <row r="699">
      <c r="A699" t="n">
        <v>697</v>
      </c>
      <c r="B699">
        <f>k_lo+k_rng*A699/1000</f>
        <v/>
      </c>
      <c r="C699">
        <f>(B699-k_mx)/k_sx</f>
        <v/>
      </c>
      <c r="D699">
        <f>k_p2_0+C699*(k_p2_1+C699*k_p2_2)</f>
        <v/>
      </c>
      <c r="E699">
        <f>k_p3_0+C699*(k_p3_1+C699*(k_p3_2+C699*k_p3_3))</f>
        <v/>
      </c>
      <c r="F699">
        <f>k_p4_0+C699*(k_p4_1+C699*(k_p4_2+C699*(k_p4_3+C699*k_p4_4)))</f>
        <v/>
      </c>
      <c r="G699">
        <f>k_ea+k_eb*EXP(k_ec*C699)</f>
        <v/>
      </c>
      <c r="H699">
        <f>(k_p2_1+2*k_p2_2*C699)/k_sx</f>
        <v/>
      </c>
      <c r="I699">
        <f>(k_p3_1+C699*(2*k_p3_2+3*k_p3_3*C699))/k_sx</f>
        <v/>
      </c>
      <c r="J699">
        <f>(k_p4_1+C699*(2*k_p4_2+C699*(3*k_p4_3+4*k_p4_4*C699)))/k_sx</f>
        <v/>
      </c>
      <c r="K699">
        <f>k_eb*k_ec*EXP(k_ec*C699)/k_sx</f>
        <v/>
      </c>
      <c r="L699">
        <f>(2*k_p4_2+C699*(6*k_p4_3+12*k_p4_4*C699))/k_sx^2</f>
        <v/>
      </c>
      <c r="M699">
        <f>D699/B699</f>
        <v/>
      </c>
      <c r="N699">
        <f>E699/B699</f>
        <v/>
      </c>
      <c r="O699">
        <f>F699/B699</f>
        <v/>
      </c>
      <c r="P699">
        <f>G699/B699</f>
        <v/>
      </c>
      <c r="Q699">
        <f>CHOOSE(k_model,D699,E699,F699,G699)</f>
        <v/>
      </c>
      <c r="R699">
        <f>CHOOSE(k_model,H699,I699,J699,K699)</f>
        <v/>
      </c>
    </row>
    <row r="700">
      <c r="A700" t="n">
        <v>698</v>
      </c>
      <c r="B700">
        <f>k_lo+k_rng*A700/1000</f>
        <v/>
      </c>
      <c r="C700">
        <f>(B700-k_mx)/k_sx</f>
        <v/>
      </c>
      <c r="D700">
        <f>k_p2_0+C700*(k_p2_1+C700*k_p2_2)</f>
        <v/>
      </c>
      <c r="E700">
        <f>k_p3_0+C700*(k_p3_1+C700*(k_p3_2+C700*k_p3_3))</f>
        <v/>
      </c>
      <c r="F700">
        <f>k_p4_0+C700*(k_p4_1+C700*(k_p4_2+C700*(k_p4_3+C700*k_p4_4)))</f>
        <v/>
      </c>
      <c r="G700">
        <f>k_ea+k_eb*EXP(k_ec*C700)</f>
        <v/>
      </c>
      <c r="H700">
        <f>(k_p2_1+2*k_p2_2*C700)/k_sx</f>
        <v/>
      </c>
      <c r="I700">
        <f>(k_p3_1+C700*(2*k_p3_2+3*k_p3_3*C700))/k_sx</f>
        <v/>
      </c>
      <c r="J700">
        <f>(k_p4_1+C700*(2*k_p4_2+C700*(3*k_p4_3+4*k_p4_4*C700)))/k_sx</f>
        <v/>
      </c>
      <c r="K700">
        <f>k_eb*k_ec*EXP(k_ec*C700)/k_sx</f>
        <v/>
      </c>
      <c r="L700">
        <f>(2*k_p4_2+C700*(6*k_p4_3+12*k_p4_4*C700))/k_sx^2</f>
        <v/>
      </c>
      <c r="M700">
        <f>D700/B700</f>
        <v/>
      </c>
      <c r="N700">
        <f>E700/B700</f>
        <v/>
      </c>
      <c r="O700">
        <f>F700/B700</f>
        <v/>
      </c>
      <c r="P700">
        <f>G700/B700</f>
        <v/>
      </c>
      <c r="Q700">
        <f>CHOOSE(k_model,D700,E700,F700,G700)</f>
        <v/>
      </c>
      <c r="R700">
        <f>CHOOSE(k_model,H700,I700,J700,K700)</f>
        <v/>
      </c>
    </row>
    <row r="701">
      <c r="A701" t="n">
        <v>699</v>
      </c>
      <c r="B701">
        <f>k_lo+k_rng*A701/1000</f>
        <v/>
      </c>
      <c r="C701">
        <f>(B701-k_mx)/k_sx</f>
        <v/>
      </c>
      <c r="D701">
        <f>k_p2_0+C701*(k_p2_1+C701*k_p2_2)</f>
        <v/>
      </c>
      <c r="E701">
        <f>k_p3_0+C701*(k_p3_1+C701*(k_p3_2+C701*k_p3_3))</f>
        <v/>
      </c>
      <c r="F701">
        <f>k_p4_0+C701*(k_p4_1+C701*(k_p4_2+C701*(k_p4_3+C701*k_p4_4)))</f>
        <v/>
      </c>
      <c r="G701">
        <f>k_ea+k_eb*EXP(k_ec*C701)</f>
        <v/>
      </c>
      <c r="H701">
        <f>(k_p2_1+2*k_p2_2*C701)/k_sx</f>
        <v/>
      </c>
      <c r="I701">
        <f>(k_p3_1+C701*(2*k_p3_2+3*k_p3_3*C701))/k_sx</f>
        <v/>
      </c>
      <c r="J701">
        <f>(k_p4_1+C701*(2*k_p4_2+C701*(3*k_p4_3+4*k_p4_4*C701)))/k_sx</f>
        <v/>
      </c>
      <c r="K701">
        <f>k_eb*k_ec*EXP(k_ec*C701)/k_sx</f>
        <v/>
      </c>
      <c r="L701">
        <f>(2*k_p4_2+C701*(6*k_p4_3+12*k_p4_4*C701))/k_sx^2</f>
        <v/>
      </c>
      <c r="M701">
        <f>D701/B701</f>
        <v/>
      </c>
      <c r="N701">
        <f>E701/B701</f>
        <v/>
      </c>
      <c r="O701">
        <f>F701/B701</f>
        <v/>
      </c>
      <c r="P701">
        <f>G701/B701</f>
        <v/>
      </c>
      <c r="Q701">
        <f>CHOOSE(k_model,D701,E701,F701,G701)</f>
        <v/>
      </c>
      <c r="R701">
        <f>CHOOSE(k_model,H701,I701,J701,K701)</f>
        <v/>
      </c>
    </row>
    <row r="702">
      <c r="A702" t="n">
        <v>700</v>
      </c>
      <c r="B702">
        <f>k_lo+k_rng*A702/1000</f>
        <v/>
      </c>
      <c r="C702">
        <f>(B702-k_mx)/k_sx</f>
        <v/>
      </c>
      <c r="D702">
        <f>k_p2_0+C702*(k_p2_1+C702*k_p2_2)</f>
        <v/>
      </c>
      <c r="E702">
        <f>k_p3_0+C702*(k_p3_1+C702*(k_p3_2+C702*k_p3_3))</f>
        <v/>
      </c>
      <c r="F702">
        <f>k_p4_0+C702*(k_p4_1+C702*(k_p4_2+C702*(k_p4_3+C702*k_p4_4)))</f>
        <v/>
      </c>
      <c r="G702">
        <f>k_ea+k_eb*EXP(k_ec*C702)</f>
        <v/>
      </c>
      <c r="H702">
        <f>(k_p2_1+2*k_p2_2*C702)/k_sx</f>
        <v/>
      </c>
      <c r="I702">
        <f>(k_p3_1+C702*(2*k_p3_2+3*k_p3_3*C702))/k_sx</f>
        <v/>
      </c>
      <c r="J702">
        <f>(k_p4_1+C702*(2*k_p4_2+C702*(3*k_p4_3+4*k_p4_4*C702)))/k_sx</f>
        <v/>
      </c>
      <c r="K702">
        <f>k_eb*k_ec*EXP(k_ec*C702)/k_sx</f>
        <v/>
      </c>
      <c r="L702">
        <f>(2*k_p4_2+C702*(6*k_p4_3+12*k_p4_4*C702))/k_sx^2</f>
        <v/>
      </c>
      <c r="M702">
        <f>D702/B702</f>
        <v/>
      </c>
      <c r="N702">
        <f>E702/B702</f>
        <v/>
      </c>
      <c r="O702">
        <f>F702/B702</f>
        <v/>
      </c>
      <c r="P702">
        <f>G702/B702</f>
        <v/>
      </c>
      <c r="Q702">
        <f>CHOOSE(k_model,D702,E702,F702,G702)</f>
        <v/>
      </c>
      <c r="R702">
        <f>CHOOSE(k_model,H702,I702,J702,K702)</f>
        <v/>
      </c>
    </row>
    <row r="703">
      <c r="A703" t="n">
        <v>701</v>
      </c>
      <c r="B703">
        <f>k_lo+k_rng*A703/1000</f>
        <v/>
      </c>
      <c r="C703">
        <f>(B703-k_mx)/k_sx</f>
        <v/>
      </c>
      <c r="D703">
        <f>k_p2_0+C703*(k_p2_1+C703*k_p2_2)</f>
        <v/>
      </c>
      <c r="E703">
        <f>k_p3_0+C703*(k_p3_1+C703*(k_p3_2+C703*k_p3_3))</f>
        <v/>
      </c>
      <c r="F703">
        <f>k_p4_0+C703*(k_p4_1+C703*(k_p4_2+C703*(k_p4_3+C703*k_p4_4)))</f>
        <v/>
      </c>
      <c r="G703">
        <f>k_ea+k_eb*EXP(k_ec*C703)</f>
        <v/>
      </c>
      <c r="H703">
        <f>(k_p2_1+2*k_p2_2*C703)/k_sx</f>
        <v/>
      </c>
      <c r="I703">
        <f>(k_p3_1+C703*(2*k_p3_2+3*k_p3_3*C703))/k_sx</f>
        <v/>
      </c>
      <c r="J703">
        <f>(k_p4_1+C703*(2*k_p4_2+C703*(3*k_p4_3+4*k_p4_4*C703)))/k_sx</f>
        <v/>
      </c>
      <c r="K703">
        <f>k_eb*k_ec*EXP(k_ec*C703)/k_sx</f>
        <v/>
      </c>
      <c r="L703">
        <f>(2*k_p4_2+C703*(6*k_p4_3+12*k_p4_4*C703))/k_sx^2</f>
        <v/>
      </c>
      <c r="M703">
        <f>D703/B703</f>
        <v/>
      </c>
      <c r="N703">
        <f>E703/B703</f>
        <v/>
      </c>
      <c r="O703">
        <f>F703/B703</f>
        <v/>
      </c>
      <c r="P703">
        <f>G703/B703</f>
        <v/>
      </c>
      <c r="Q703">
        <f>CHOOSE(k_model,D703,E703,F703,G703)</f>
        <v/>
      </c>
      <c r="R703">
        <f>CHOOSE(k_model,H703,I703,J703,K703)</f>
        <v/>
      </c>
    </row>
    <row r="704">
      <c r="A704" t="n">
        <v>702</v>
      </c>
      <c r="B704">
        <f>k_lo+k_rng*A704/1000</f>
        <v/>
      </c>
      <c r="C704">
        <f>(B704-k_mx)/k_sx</f>
        <v/>
      </c>
      <c r="D704">
        <f>k_p2_0+C704*(k_p2_1+C704*k_p2_2)</f>
        <v/>
      </c>
      <c r="E704">
        <f>k_p3_0+C704*(k_p3_1+C704*(k_p3_2+C704*k_p3_3))</f>
        <v/>
      </c>
      <c r="F704">
        <f>k_p4_0+C704*(k_p4_1+C704*(k_p4_2+C704*(k_p4_3+C704*k_p4_4)))</f>
        <v/>
      </c>
      <c r="G704">
        <f>k_ea+k_eb*EXP(k_ec*C704)</f>
        <v/>
      </c>
      <c r="H704">
        <f>(k_p2_1+2*k_p2_2*C704)/k_sx</f>
        <v/>
      </c>
      <c r="I704">
        <f>(k_p3_1+C704*(2*k_p3_2+3*k_p3_3*C704))/k_sx</f>
        <v/>
      </c>
      <c r="J704">
        <f>(k_p4_1+C704*(2*k_p4_2+C704*(3*k_p4_3+4*k_p4_4*C704)))/k_sx</f>
        <v/>
      </c>
      <c r="K704">
        <f>k_eb*k_ec*EXP(k_ec*C704)/k_sx</f>
        <v/>
      </c>
      <c r="L704">
        <f>(2*k_p4_2+C704*(6*k_p4_3+12*k_p4_4*C704))/k_sx^2</f>
        <v/>
      </c>
      <c r="M704">
        <f>D704/B704</f>
        <v/>
      </c>
      <c r="N704">
        <f>E704/B704</f>
        <v/>
      </c>
      <c r="O704">
        <f>F704/B704</f>
        <v/>
      </c>
      <c r="P704">
        <f>G704/B704</f>
        <v/>
      </c>
      <c r="Q704">
        <f>CHOOSE(k_model,D704,E704,F704,G704)</f>
        <v/>
      </c>
      <c r="R704">
        <f>CHOOSE(k_model,H704,I704,J704,K704)</f>
        <v/>
      </c>
    </row>
    <row r="705">
      <c r="A705" t="n">
        <v>703</v>
      </c>
      <c r="B705">
        <f>k_lo+k_rng*A705/1000</f>
        <v/>
      </c>
      <c r="C705">
        <f>(B705-k_mx)/k_sx</f>
        <v/>
      </c>
      <c r="D705">
        <f>k_p2_0+C705*(k_p2_1+C705*k_p2_2)</f>
        <v/>
      </c>
      <c r="E705">
        <f>k_p3_0+C705*(k_p3_1+C705*(k_p3_2+C705*k_p3_3))</f>
        <v/>
      </c>
      <c r="F705">
        <f>k_p4_0+C705*(k_p4_1+C705*(k_p4_2+C705*(k_p4_3+C705*k_p4_4)))</f>
        <v/>
      </c>
      <c r="G705">
        <f>k_ea+k_eb*EXP(k_ec*C705)</f>
        <v/>
      </c>
      <c r="H705">
        <f>(k_p2_1+2*k_p2_2*C705)/k_sx</f>
        <v/>
      </c>
      <c r="I705">
        <f>(k_p3_1+C705*(2*k_p3_2+3*k_p3_3*C705))/k_sx</f>
        <v/>
      </c>
      <c r="J705">
        <f>(k_p4_1+C705*(2*k_p4_2+C705*(3*k_p4_3+4*k_p4_4*C705)))/k_sx</f>
        <v/>
      </c>
      <c r="K705">
        <f>k_eb*k_ec*EXP(k_ec*C705)/k_sx</f>
        <v/>
      </c>
      <c r="L705">
        <f>(2*k_p4_2+C705*(6*k_p4_3+12*k_p4_4*C705))/k_sx^2</f>
        <v/>
      </c>
      <c r="M705">
        <f>D705/B705</f>
        <v/>
      </c>
      <c r="N705">
        <f>E705/B705</f>
        <v/>
      </c>
      <c r="O705">
        <f>F705/B705</f>
        <v/>
      </c>
      <c r="P705">
        <f>G705/B705</f>
        <v/>
      </c>
      <c r="Q705">
        <f>CHOOSE(k_model,D705,E705,F705,G705)</f>
        <v/>
      </c>
      <c r="R705">
        <f>CHOOSE(k_model,H705,I705,J705,K705)</f>
        <v/>
      </c>
    </row>
    <row r="706">
      <c r="A706" t="n">
        <v>704</v>
      </c>
      <c r="B706">
        <f>k_lo+k_rng*A706/1000</f>
        <v/>
      </c>
      <c r="C706">
        <f>(B706-k_mx)/k_sx</f>
        <v/>
      </c>
      <c r="D706">
        <f>k_p2_0+C706*(k_p2_1+C706*k_p2_2)</f>
        <v/>
      </c>
      <c r="E706">
        <f>k_p3_0+C706*(k_p3_1+C706*(k_p3_2+C706*k_p3_3))</f>
        <v/>
      </c>
      <c r="F706">
        <f>k_p4_0+C706*(k_p4_1+C706*(k_p4_2+C706*(k_p4_3+C706*k_p4_4)))</f>
        <v/>
      </c>
      <c r="G706">
        <f>k_ea+k_eb*EXP(k_ec*C706)</f>
        <v/>
      </c>
      <c r="H706">
        <f>(k_p2_1+2*k_p2_2*C706)/k_sx</f>
        <v/>
      </c>
      <c r="I706">
        <f>(k_p3_1+C706*(2*k_p3_2+3*k_p3_3*C706))/k_sx</f>
        <v/>
      </c>
      <c r="J706">
        <f>(k_p4_1+C706*(2*k_p4_2+C706*(3*k_p4_3+4*k_p4_4*C706)))/k_sx</f>
        <v/>
      </c>
      <c r="K706">
        <f>k_eb*k_ec*EXP(k_ec*C706)/k_sx</f>
        <v/>
      </c>
      <c r="L706">
        <f>(2*k_p4_2+C706*(6*k_p4_3+12*k_p4_4*C706))/k_sx^2</f>
        <v/>
      </c>
      <c r="M706">
        <f>D706/B706</f>
        <v/>
      </c>
      <c r="N706">
        <f>E706/B706</f>
        <v/>
      </c>
      <c r="O706">
        <f>F706/B706</f>
        <v/>
      </c>
      <c r="P706">
        <f>G706/B706</f>
        <v/>
      </c>
      <c r="Q706">
        <f>CHOOSE(k_model,D706,E706,F706,G706)</f>
        <v/>
      </c>
      <c r="R706">
        <f>CHOOSE(k_model,H706,I706,J706,K706)</f>
        <v/>
      </c>
    </row>
    <row r="707">
      <c r="A707" t="n">
        <v>705</v>
      </c>
      <c r="B707">
        <f>k_lo+k_rng*A707/1000</f>
        <v/>
      </c>
      <c r="C707">
        <f>(B707-k_mx)/k_sx</f>
        <v/>
      </c>
      <c r="D707">
        <f>k_p2_0+C707*(k_p2_1+C707*k_p2_2)</f>
        <v/>
      </c>
      <c r="E707">
        <f>k_p3_0+C707*(k_p3_1+C707*(k_p3_2+C707*k_p3_3))</f>
        <v/>
      </c>
      <c r="F707">
        <f>k_p4_0+C707*(k_p4_1+C707*(k_p4_2+C707*(k_p4_3+C707*k_p4_4)))</f>
        <v/>
      </c>
      <c r="G707">
        <f>k_ea+k_eb*EXP(k_ec*C707)</f>
        <v/>
      </c>
      <c r="H707">
        <f>(k_p2_1+2*k_p2_2*C707)/k_sx</f>
        <v/>
      </c>
      <c r="I707">
        <f>(k_p3_1+C707*(2*k_p3_2+3*k_p3_3*C707))/k_sx</f>
        <v/>
      </c>
      <c r="J707">
        <f>(k_p4_1+C707*(2*k_p4_2+C707*(3*k_p4_3+4*k_p4_4*C707)))/k_sx</f>
        <v/>
      </c>
      <c r="K707">
        <f>k_eb*k_ec*EXP(k_ec*C707)/k_sx</f>
        <v/>
      </c>
      <c r="L707">
        <f>(2*k_p4_2+C707*(6*k_p4_3+12*k_p4_4*C707))/k_sx^2</f>
        <v/>
      </c>
      <c r="M707">
        <f>D707/B707</f>
        <v/>
      </c>
      <c r="N707">
        <f>E707/B707</f>
        <v/>
      </c>
      <c r="O707">
        <f>F707/B707</f>
        <v/>
      </c>
      <c r="P707">
        <f>G707/B707</f>
        <v/>
      </c>
      <c r="Q707">
        <f>CHOOSE(k_model,D707,E707,F707,G707)</f>
        <v/>
      </c>
      <c r="R707">
        <f>CHOOSE(k_model,H707,I707,J707,K707)</f>
        <v/>
      </c>
    </row>
    <row r="708">
      <c r="A708" t="n">
        <v>706</v>
      </c>
      <c r="B708">
        <f>k_lo+k_rng*A708/1000</f>
        <v/>
      </c>
      <c r="C708">
        <f>(B708-k_mx)/k_sx</f>
        <v/>
      </c>
      <c r="D708">
        <f>k_p2_0+C708*(k_p2_1+C708*k_p2_2)</f>
        <v/>
      </c>
      <c r="E708">
        <f>k_p3_0+C708*(k_p3_1+C708*(k_p3_2+C708*k_p3_3))</f>
        <v/>
      </c>
      <c r="F708">
        <f>k_p4_0+C708*(k_p4_1+C708*(k_p4_2+C708*(k_p4_3+C708*k_p4_4)))</f>
        <v/>
      </c>
      <c r="G708">
        <f>k_ea+k_eb*EXP(k_ec*C708)</f>
        <v/>
      </c>
      <c r="H708">
        <f>(k_p2_1+2*k_p2_2*C708)/k_sx</f>
        <v/>
      </c>
      <c r="I708">
        <f>(k_p3_1+C708*(2*k_p3_2+3*k_p3_3*C708))/k_sx</f>
        <v/>
      </c>
      <c r="J708">
        <f>(k_p4_1+C708*(2*k_p4_2+C708*(3*k_p4_3+4*k_p4_4*C708)))/k_sx</f>
        <v/>
      </c>
      <c r="K708">
        <f>k_eb*k_ec*EXP(k_ec*C708)/k_sx</f>
        <v/>
      </c>
      <c r="L708">
        <f>(2*k_p4_2+C708*(6*k_p4_3+12*k_p4_4*C708))/k_sx^2</f>
        <v/>
      </c>
      <c r="M708">
        <f>D708/B708</f>
        <v/>
      </c>
      <c r="N708">
        <f>E708/B708</f>
        <v/>
      </c>
      <c r="O708">
        <f>F708/B708</f>
        <v/>
      </c>
      <c r="P708">
        <f>G708/B708</f>
        <v/>
      </c>
      <c r="Q708">
        <f>CHOOSE(k_model,D708,E708,F708,G708)</f>
        <v/>
      </c>
      <c r="R708">
        <f>CHOOSE(k_model,H708,I708,J708,K708)</f>
        <v/>
      </c>
    </row>
    <row r="709">
      <c r="A709" t="n">
        <v>707</v>
      </c>
      <c r="B709">
        <f>k_lo+k_rng*A709/1000</f>
        <v/>
      </c>
      <c r="C709">
        <f>(B709-k_mx)/k_sx</f>
        <v/>
      </c>
      <c r="D709">
        <f>k_p2_0+C709*(k_p2_1+C709*k_p2_2)</f>
        <v/>
      </c>
      <c r="E709">
        <f>k_p3_0+C709*(k_p3_1+C709*(k_p3_2+C709*k_p3_3))</f>
        <v/>
      </c>
      <c r="F709">
        <f>k_p4_0+C709*(k_p4_1+C709*(k_p4_2+C709*(k_p4_3+C709*k_p4_4)))</f>
        <v/>
      </c>
      <c r="G709">
        <f>k_ea+k_eb*EXP(k_ec*C709)</f>
        <v/>
      </c>
      <c r="H709">
        <f>(k_p2_1+2*k_p2_2*C709)/k_sx</f>
        <v/>
      </c>
      <c r="I709">
        <f>(k_p3_1+C709*(2*k_p3_2+3*k_p3_3*C709))/k_sx</f>
        <v/>
      </c>
      <c r="J709">
        <f>(k_p4_1+C709*(2*k_p4_2+C709*(3*k_p4_3+4*k_p4_4*C709)))/k_sx</f>
        <v/>
      </c>
      <c r="K709">
        <f>k_eb*k_ec*EXP(k_ec*C709)/k_sx</f>
        <v/>
      </c>
      <c r="L709">
        <f>(2*k_p4_2+C709*(6*k_p4_3+12*k_p4_4*C709))/k_sx^2</f>
        <v/>
      </c>
      <c r="M709">
        <f>D709/B709</f>
        <v/>
      </c>
      <c r="N709">
        <f>E709/B709</f>
        <v/>
      </c>
      <c r="O709">
        <f>F709/B709</f>
        <v/>
      </c>
      <c r="P709">
        <f>G709/B709</f>
        <v/>
      </c>
      <c r="Q709">
        <f>CHOOSE(k_model,D709,E709,F709,G709)</f>
        <v/>
      </c>
      <c r="R709">
        <f>CHOOSE(k_model,H709,I709,J709,K709)</f>
        <v/>
      </c>
    </row>
    <row r="710">
      <c r="A710" t="n">
        <v>708</v>
      </c>
      <c r="B710">
        <f>k_lo+k_rng*A710/1000</f>
        <v/>
      </c>
      <c r="C710">
        <f>(B710-k_mx)/k_sx</f>
        <v/>
      </c>
      <c r="D710">
        <f>k_p2_0+C710*(k_p2_1+C710*k_p2_2)</f>
        <v/>
      </c>
      <c r="E710">
        <f>k_p3_0+C710*(k_p3_1+C710*(k_p3_2+C710*k_p3_3))</f>
        <v/>
      </c>
      <c r="F710">
        <f>k_p4_0+C710*(k_p4_1+C710*(k_p4_2+C710*(k_p4_3+C710*k_p4_4)))</f>
        <v/>
      </c>
      <c r="G710">
        <f>k_ea+k_eb*EXP(k_ec*C710)</f>
        <v/>
      </c>
      <c r="H710">
        <f>(k_p2_1+2*k_p2_2*C710)/k_sx</f>
        <v/>
      </c>
      <c r="I710">
        <f>(k_p3_1+C710*(2*k_p3_2+3*k_p3_3*C710))/k_sx</f>
        <v/>
      </c>
      <c r="J710">
        <f>(k_p4_1+C710*(2*k_p4_2+C710*(3*k_p4_3+4*k_p4_4*C710)))/k_sx</f>
        <v/>
      </c>
      <c r="K710">
        <f>k_eb*k_ec*EXP(k_ec*C710)/k_sx</f>
        <v/>
      </c>
      <c r="L710">
        <f>(2*k_p4_2+C710*(6*k_p4_3+12*k_p4_4*C710))/k_sx^2</f>
        <v/>
      </c>
      <c r="M710">
        <f>D710/B710</f>
        <v/>
      </c>
      <c r="N710">
        <f>E710/B710</f>
        <v/>
      </c>
      <c r="O710">
        <f>F710/B710</f>
        <v/>
      </c>
      <c r="P710">
        <f>G710/B710</f>
        <v/>
      </c>
      <c r="Q710">
        <f>CHOOSE(k_model,D710,E710,F710,G710)</f>
        <v/>
      </c>
      <c r="R710">
        <f>CHOOSE(k_model,H710,I710,J710,K710)</f>
        <v/>
      </c>
    </row>
    <row r="711">
      <c r="A711" t="n">
        <v>709</v>
      </c>
      <c r="B711">
        <f>k_lo+k_rng*A711/1000</f>
        <v/>
      </c>
      <c r="C711">
        <f>(B711-k_mx)/k_sx</f>
        <v/>
      </c>
      <c r="D711">
        <f>k_p2_0+C711*(k_p2_1+C711*k_p2_2)</f>
        <v/>
      </c>
      <c r="E711">
        <f>k_p3_0+C711*(k_p3_1+C711*(k_p3_2+C711*k_p3_3))</f>
        <v/>
      </c>
      <c r="F711">
        <f>k_p4_0+C711*(k_p4_1+C711*(k_p4_2+C711*(k_p4_3+C711*k_p4_4)))</f>
        <v/>
      </c>
      <c r="G711">
        <f>k_ea+k_eb*EXP(k_ec*C711)</f>
        <v/>
      </c>
      <c r="H711">
        <f>(k_p2_1+2*k_p2_2*C711)/k_sx</f>
        <v/>
      </c>
      <c r="I711">
        <f>(k_p3_1+C711*(2*k_p3_2+3*k_p3_3*C711))/k_sx</f>
        <v/>
      </c>
      <c r="J711">
        <f>(k_p4_1+C711*(2*k_p4_2+C711*(3*k_p4_3+4*k_p4_4*C711)))/k_sx</f>
        <v/>
      </c>
      <c r="K711">
        <f>k_eb*k_ec*EXP(k_ec*C711)/k_sx</f>
        <v/>
      </c>
      <c r="L711">
        <f>(2*k_p4_2+C711*(6*k_p4_3+12*k_p4_4*C711))/k_sx^2</f>
        <v/>
      </c>
      <c r="M711">
        <f>D711/B711</f>
        <v/>
      </c>
      <c r="N711">
        <f>E711/B711</f>
        <v/>
      </c>
      <c r="O711">
        <f>F711/B711</f>
        <v/>
      </c>
      <c r="P711">
        <f>G711/B711</f>
        <v/>
      </c>
      <c r="Q711">
        <f>CHOOSE(k_model,D711,E711,F711,G711)</f>
        <v/>
      </c>
      <c r="R711">
        <f>CHOOSE(k_model,H711,I711,J711,K711)</f>
        <v/>
      </c>
    </row>
    <row r="712">
      <c r="A712" t="n">
        <v>710</v>
      </c>
      <c r="B712">
        <f>k_lo+k_rng*A712/1000</f>
        <v/>
      </c>
      <c r="C712">
        <f>(B712-k_mx)/k_sx</f>
        <v/>
      </c>
      <c r="D712">
        <f>k_p2_0+C712*(k_p2_1+C712*k_p2_2)</f>
        <v/>
      </c>
      <c r="E712">
        <f>k_p3_0+C712*(k_p3_1+C712*(k_p3_2+C712*k_p3_3))</f>
        <v/>
      </c>
      <c r="F712">
        <f>k_p4_0+C712*(k_p4_1+C712*(k_p4_2+C712*(k_p4_3+C712*k_p4_4)))</f>
        <v/>
      </c>
      <c r="G712">
        <f>k_ea+k_eb*EXP(k_ec*C712)</f>
        <v/>
      </c>
      <c r="H712">
        <f>(k_p2_1+2*k_p2_2*C712)/k_sx</f>
        <v/>
      </c>
      <c r="I712">
        <f>(k_p3_1+C712*(2*k_p3_2+3*k_p3_3*C712))/k_sx</f>
        <v/>
      </c>
      <c r="J712">
        <f>(k_p4_1+C712*(2*k_p4_2+C712*(3*k_p4_3+4*k_p4_4*C712)))/k_sx</f>
        <v/>
      </c>
      <c r="K712">
        <f>k_eb*k_ec*EXP(k_ec*C712)/k_sx</f>
        <v/>
      </c>
      <c r="L712">
        <f>(2*k_p4_2+C712*(6*k_p4_3+12*k_p4_4*C712))/k_sx^2</f>
        <v/>
      </c>
      <c r="M712">
        <f>D712/B712</f>
        <v/>
      </c>
      <c r="N712">
        <f>E712/B712</f>
        <v/>
      </c>
      <c r="O712">
        <f>F712/B712</f>
        <v/>
      </c>
      <c r="P712">
        <f>G712/B712</f>
        <v/>
      </c>
      <c r="Q712">
        <f>CHOOSE(k_model,D712,E712,F712,G712)</f>
        <v/>
      </c>
      <c r="R712">
        <f>CHOOSE(k_model,H712,I712,J712,K712)</f>
        <v/>
      </c>
    </row>
    <row r="713">
      <c r="A713" t="n">
        <v>711</v>
      </c>
      <c r="B713">
        <f>k_lo+k_rng*A713/1000</f>
        <v/>
      </c>
      <c r="C713">
        <f>(B713-k_mx)/k_sx</f>
        <v/>
      </c>
      <c r="D713">
        <f>k_p2_0+C713*(k_p2_1+C713*k_p2_2)</f>
        <v/>
      </c>
      <c r="E713">
        <f>k_p3_0+C713*(k_p3_1+C713*(k_p3_2+C713*k_p3_3))</f>
        <v/>
      </c>
      <c r="F713">
        <f>k_p4_0+C713*(k_p4_1+C713*(k_p4_2+C713*(k_p4_3+C713*k_p4_4)))</f>
        <v/>
      </c>
      <c r="G713">
        <f>k_ea+k_eb*EXP(k_ec*C713)</f>
        <v/>
      </c>
      <c r="H713">
        <f>(k_p2_1+2*k_p2_2*C713)/k_sx</f>
        <v/>
      </c>
      <c r="I713">
        <f>(k_p3_1+C713*(2*k_p3_2+3*k_p3_3*C713))/k_sx</f>
        <v/>
      </c>
      <c r="J713">
        <f>(k_p4_1+C713*(2*k_p4_2+C713*(3*k_p4_3+4*k_p4_4*C713)))/k_sx</f>
        <v/>
      </c>
      <c r="K713">
        <f>k_eb*k_ec*EXP(k_ec*C713)/k_sx</f>
        <v/>
      </c>
      <c r="L713">
        <f>(2*k_p4_2+C713*(6*k_p4_3+12*k_p4_4*C713))/k_sx^2</f>
        <v/>
      </c>
      <c r="M713">
        <f>D713/B713</f>
        <v/>
      </c>
      <c r="N713">
        <f>E713/B713</f>
        <v/>
      </c>
      <c r="O713">
        <f>F713/B713</f>
        <v/>
      </c>
      <c r="P713">
        <f>G713/B713</f>
        <v/>
      </c>
      <c r="Q713">
        <f>CHOOSE(k_model,D713,E713,F713,G713)</f>
        <v/>
      </c>
      <c r="R713">
        <f>CHOOSE(k_model,H713,I713,J713,K713)</f>
        <v/>
      </c>
    </row>
    <row r="714">
      <c r="A714" t="n">
        <v>712</v>
      </c>
      <c r="B714">
        <f>k_lo+k_rng*A714/1000</f>
        <v/>
      </c>
      <c r="C714">
        <f>(B714-k_mx)/k_sx</f>
        <v/>
      </c>
      <c r="D714">
        <f>k_p2_0+C714*(k_p2_1+C714*k_p2_2)</f>
        <v/>
      </c>
      <c r="E714">
        <f>k_p3_0+C714*(k_p3_1+C714*(k_p3_2+C714*k_p3_3))</f>
        <v/>
      </c>
      <c r="F714">
        <f>k_p4_0+C714*(k_p4_1+C714*(k_p4_2+C714*(k_p4_3+C714*k_p4_4)))</f>
        <v/>
      </c>
      <c r="G714">
        <f>k_ea+k_eb*EXP(k_ec*C714)</f>
        <v/>
      </c>
      <c r="H714">
        <f>(k_p2_1+2*k_p2_2*C714)/k_sx</f>
        <v/>
      </c>
      <c r="I714">
        <f>(k_p3_1+C714*(2*k_p3_2+3*k_p3_3*C714))/k_sx</f>
        <v/>
      </c>
      <c r="J714">
        <f>(k_p4_1+C714*(2*k_p4_2+C714*(3*k_p4_3+4*k_p4_4*C714)))/k_sx</f>
        <v/>
      </c>
      <c r="K714">
        <f>k_eb*k_ec*EXP(k_ec*C714)/k_sx</f>
        <v/>
      </c>
      <c r="L714">
        <f>(2*k_p4_2+C714*(6*k_p4_3+12*k_p4_4*C714))/k_sx^2</f>
        <v/>
      </c>
      <c r="M714">
        <f>D714/B714</f>
        <v/>
      </c>
      <c r="N714">
        <f>E714/B714</f>
        <v/>
      </c>
      <c r="O714">
        <f>F714/B714</f>
        <v/>
      </c>
      <c r="P714">
        <f>G714/B714</f>
        <v/>
      </c>
      <c r="Q714">
        <f>CHOOSE(k_model,D714,E714,F714,G714)</f>
        <v/>
      </c>
      <c r="R714">
        <f>CHOOSE(k_model,H714,I714,J714,K714)</f>
        <v/>
      </c>
    </row>
    <row r="715">
      <c r="A715" t="n">
        <v>713</v>
      </c>
      <c r="B715">
        <f>k_lo+k_rng*A715/1000</f>
        <v/>
      </c>
      <c r="C715">
        <f>(B715-k_mx)/k_sx</f>
        <v/>
      </c>
      <c r="D715">
        <f>k_p2_0+C715*(k_p2_1+C715*k_p2_2)</f>
        <v/>
      </c>
      <c r="E715">
        <f>k_p3_0+C715*(k_p3_1+C715*(k_p3_2+C715*k_p3_3))</f>
        <v/>
      </c>
      <c r="F715">
        <f>k_p4_0+C715*(k_p4_1+C715*(k_p4_2+C715*(k_p4_3+C715*k_p4_4)))</f>
        <v/>
      </c>
      <c r="G715">
        <f>k_ea+k_eb*EXP(k_ec*C715)</f>
        <v/>
      </c>
      <c r="H715">
        <f>(k_p2_1+2*k_p2_2*C715)/k_sx</f>
        <v/>
      </c>
      <c r="I715">
        <f>(k_p3_1+C715*(2*k_p3_2+3*k_p3_3*C715))/k_sx</f>
        <v/>
      </c>
      <c r="J715">
        <f>(k_p4_1+C715*(2*k_p4_2+C715*(3*k_p4_3+4*k_p4_4*C715)))/k_sx</f>
        <v/>
      </c>
      <c r="K715">
        <f>k_eb*k_ec*EXP(k_ec*C715)/k_sx</f>
        <v/>
      </c>
      <c r="L715">
        <f>(2*k_p4_2+C715*(6*k_p4_3+12*k_p4_4*C715))/k_sx^2</f>
        <v/>
      </c>
      <c r="M715">
        <f>D715/B715</f>
        <v/>
      </c>
      <c r="N715">
        <f>E715/B715</f>
        <v/>
      </c>
      <c r="O715">
        <f>F715/B715</f>
        <v/>
      </c>
      <c r="P715">
        <f>G715/B715</f>
        <v/>
      </c>
      <c r="Q715">
        <f>CHOOSE(k_model,D715,E715,F715,G715)</f>
        <v/>
      </c>
      <c r="R715">
        <f>CHOOSE(k_model,H715,I715,J715,K715)</f>
        <v/>
      </c>
    </row>
    <row r="716">
      <c r="A716" t="n">
        <v>714</v>
      </c>
      <c r="B716">
        <f>k_lo+k_rng*A716/1000</f>
        <v/>
      </c>
      <c r="C716">
        <f>(B716-k_mx)/k_sx</f>
        <v/>
      </c>
      <c r="D716">
        <f>k_p2_0+C716*(k_p2_1+C716*k_p2_2)</f>
        <v/>
      </c>
      <c r="E716">
        <f>k_p3_0+C716*(k_p3_1+C716*(k_p3_2+C716*k_p3_3))</f>
        <v/>
      </c>
      <c r="F716">
        <f>k_p4_0+C716*(k_p4_1+C716*(k_p4_2+C716*(k_p4_3+C716*k_p4_4)))</f>
        <v/>
      </c>
      <c r="G716">
        <f>k_ea+k_eb*EXP(k_ec*C716)</f>
        <v/>
      </c>
      <c r="H716">
        <f>(k_p2_1+2*k_p2_2*C716)/k_sx</f>
        <v/>
      </c>
      <c r="I716">
        <f>(k_p3_1+C716*(2*k_p3_2+3*k_p3_3*C716))/k_sx</f>
        <v/>
      </c>
      <c r="J716">
        <f>(k_p4_1+C716*(2*k_p4_2+C716*(3*k_p4_3+4*k_p4_4*C716)))/k_sx</f>
        <v/>
      </c>
      <c r="K716">
        <f>k_eb*k_ec*EXP(k_ec*C716)/k_sx</f>
        <v/>
      </c>
      <c r="L716">
        <f>(2*k_p4_2+C716*(6*k_p4_3+12*k_p4_4*C716))/k_sx^2</f>
        <v/>
      </c>
      <c r="M716">
        <f>D716/B716</f>
        <v/>
      </c>
      <c r="N716">
        <f>E716/B716</f>
        <v/>
      </c>
      <c r="O716">
        <f>F716/B716</f>
        <v/>
      </c>
      <c r="P716">
        <f>G716/B716</f>
        <v/>
      </c>
      <c r="Q716">
        <f>CHOOSE(k_model,D716,E716,F716,G716)</f>
        <v/>
      </c>
      <c r="R716">
        <f>CHOOSE(k_model,H716,I716,J716,K716)</f>
        <v/>
      </c>
    </row>
    <row r="717">
      <c r="A717" t="n">
        <v>715</v>
      </c>
      <c r="B717">
        <f>k_lo+k_rng*A717/1000</f>
        <v/>
      </c>
      <c r="C717">
        <f>(B717-k_mx)/k_sx</f>
        <v/>
      </c>
      <c r="D717">
        <f>k_p2_0+C717*(k_p2_1+C717*k_p2_2)</f>
        <v/>
      </c>
      <c r="E717">
        <f>k_p3_0+C717*(k_p3_1+C717*(k_p3_2+C717*k_p3_3))</f>
        <v/>
      </c>
      <c r="F717">
        <f>k_p4_0+C717*(k_p4_1+C717*(k_p4_2+C717*(k_p4_3+C717*k_p4_4)))</f>
        <v/>
      </c>
      <c r="G717">
        <f>k_ea+k_eb*EXP(k_ec*C717)</f>
        <v/>
      </c>
      <c r="H717">
        <f>(k_p2_1+2*k_p2_2*C717)/k_sx</f>
        <v/>
      </c>
      <c r="I717">
        <f>(k_p3_1+C717*(2*k_p3_2+3*k_p3_3*C717))/k_sx</f>
        <v/>
      </c>
      <c r="J717">
        <f>(k_p4_1+C717*(2*k_p4_2+C717*(3*k_p4_3+4*k_p4_4*C717)))/k_sx</f>
        <v/>
      </c>
      <c r="K717">
        <f>k_eb*k_ec*EXP(k_ec*C717)/k_sx</f>
        <v/>
      </c>
      <c r="L717">
        <f>(2*k_p4_2+C717*(6*k_p4_3+12*k_p4_4*C717))/k_sx^2</f>
        <v/>
      </c>
      <c r="M717">
        <f>D717/B717</f>
        <v/>
      </c>
      <c r="N717">
        <f>E717/B717</f>
        <v/>
      </c>
      <c r="O717">
        <f>F717/B717</f>
        <v/>
      </c>
      <c r="P717">
        <f>G717/B717</f>
        <v/>
      </c>
      <c r="Q717">
        <f>CHOOSE(k_model,D717,E717,F717,G717)</f>
        <v/>
      </c>
      <c r="R717">
        <f>CHOOSE(k_model,H717,I717,J717,K717)</f>
        <v/>
      </c>
    </row>
    <row r="718">
      <c r="A718" t="n">
        <v>716</v>
      </c>
      <c r="B718">
        <f>k_lo+k_rng*A718/1000</f>
        <v/>
      </c>
      <c r="C718">
        <f>(B718-k_mx)/k_sx</f>
        <v/>
      </c>
      <c r="D718">
        <f>k_p2_0+C718*(k_p2_1+C718*k_p2_2)</f>
        <v/>
      </c>
      <c r="E718">
        <f>k_p3_0+C718*(k_p3_1+C718*(k_p3_2+C718*k_p3_3))</f>
        <v/>
      </c>
      <c r="F718">
        <f>k_p4_0+C718*(k_p4_1+C718*(k_p4_2+C718*(k_p4_3+C718*k_p4_4)))</f>
        <v/>
      </c>
      <c r="G718">
        <f>k_ea+k_eb*EXP(k_ec*C718)</f>
        <v/>
      </c>
      <c r="H718">
        <f>(k_p2_1+2*k_p2_2*C718)/k_sx</f>
        <v/>
      </c>
      <c r="I718">
        <f>(k_p3_1+C718*(2*k_p3_2+3*k_p3_3*C718))/k_sx</f>
        <v/>
      </c>
      <c r="J718">
        <f>(k_p4_1+C718*(2*k_p4_2+C718*(3*k_p4_3+4*k_p4_4*C718)))/k_sx</f>
        <v/>
      </c>
      <c r="K718">
        <f>k_eb*k_ec*EXP(k_ec*C718)/k_sx</f>
        <v/>
      </c>
      <c r="L718">
        <f>(2*k_p4_2+C718*(6*k_p4_3+12*k_p4_4*C718))/k_sx^2</f>
        <v/>
      </c>
      <c r="M718">
        <f>D718/B718</f>
        <v/>
      </c>
      <c r="N718">
        <f>E718/B718</f>
        <v/>
      </c>
      <c r="O718">
        <f>F718/B718</f>
        <v/>
      </c>
      <c r="P718">
        <f>G718/B718</f>
        <v/>
      </c>
      <c r="Q718">
        <f>CHOOSE(k_model,D718,E718,F718,G718)</f>
        <v/>
      </c>
      <c r="R718">
        <f>CHOOSE(k_model,H718,I718,J718,K718)</f>
        <v/>
      </c>
    </row>
    <row r="719">
      <c r="A719" t="n">
        <v>717</v>
      </c>
      <c r="B719">
        <f>k_lo+k_rng*A719/1000</f>
        <v/>
      </c>
      <c r="C719">
        <f>(B719-k_mx)/k_sx</f>
        <v/>
      </c>
      <c r="D719">
        <f>k_p2_0+C719*(k_p2_1+C719*k_p2_2)</f>
        <v/>
      </c>
      <c r="E719">
        <f>k_p3_0+C719*(k_p3_1+C719*(k_p3_2+C719*k_p3_3))</f>
        <v/>
      </c>
      <c r="F719">
        <f>k_p4_0+C719*(k_p4_1+C719*(k_p4_2+C719*(k_p4_3+C719*k_p4_4)))</f>
        <v/>
      </c>
      <c r="G719">
        <f>k_ea+k_eb*EXP(k_ec*C719)</f>
        <v/>
      </c>
      <c r="H719">
        <f>(k_p2_1+2*k_p2_2*C719)/k_sx</f>
        <v/>
      </c>
      <c r="I719">
        <f>(k_p3_1+C719*(2*k_p3_2+3*k_p3_3*C719))/k_sx</f>
        <v/>
      </c>
      <c r="J719">
        <f>(k_p4_1+C719*(2*k_p4_2+C719*(3*k_p4_3+4*k_p4_4*C719)))/k_sx</f>
        <v/>
      </c>
      <c r="K719">
        <f>k_eb*k_ec*EXP(k_ec*C719)/k_sx</f>
        <v/>
      </c>
      <c r="L719">
        <f>(2*k_p4_2+C719*(6*k_p4_3+12*k_p4_4*C719))/k_sx^2</f>
        <v/>
      </c>
      <c r="M719">
        <f>D719/B719</f>
        <v/>
      </c>
      <c r="N719">
        <f>E719/B719</f>
        <v/>
      </c>
      <c r="O719">
        <f>F719/B719</f>
        <v/>
      </c>
      <c r="P719">
        <f>G719/B719</f>
        <v/>
      </c>
      <c r="Q719">
        <f>CHOOSE(k_model,D719,E719,F719,G719)</f>
        <v/>
      </c>
      <c r="R719">
        <f>CHOOSE(k_model,H719,I719,J719,K719)</f>
        <v/>
      </c>
    </row>
    <row r="720">
      <c r="A720" t="n">
        <v>718</v>
      </c>
      <c r="B720">
        <f>k_lo+k_rng*A720/1000</f>
        <v/>
      </c>
      <c r="C720">
        <f>(B720-k_mx)/k_sx</f>
        <v/>
      </c>
      <c r="D720">
        <f>k_p2_0+C720*(k_p2_1+C720*k_p2_2)</f>
        <v/>
      </c>
      <c r="E720">
        <f>k_p3_0+C720*(k_p3_1+C720*(k_p3_2+C720*k_p3_3))</f>
        <v/>
      </c>
      <c r="F720">
        <f>k_p4_0+C720*(k_p4_1+C720*(k_p4_2+C720*(k_p4_3+C720*k_p4_4)))</f>
        <v/>
      </c>
      <c r="G720">
        <f>k_ea+k_eb*EXP(k_ec*C720)</f>
        <v/>
      </c>
      <c r="H720">
        <f>(k_p2_1+2*k_p2_2*C720)/k_sx</f>
        <v/>
      </c>
      <c r="I720">
        <f>(k_p3_1+C720*(2*k_p3_2+3*k_p3_3*C720))/k_sx</f>
        <v/>
      </c>
      <c r="J720">
        <f>(k_p4_1+C720*(2*k_p4_2+C720*(3*k_p4_3+4*k_p4_4*C720)))/k_sx</f>
        <v/>
      </c>
      <c r="K720">
        <f>k_eb*k_ec*EXP(k_ec*C720)/k_sx</f>
        <v/>
      </c>
      <c r="L720">
        <f>(2*k_p4_2+C720*(6*k_p4_3+12*k_p4_4*C720))/k_sx^2</f>
        <v/>
      </c>
      <c r="M720">
        <f>D720/B720</f>
        <v/>
      </c>
      <c r="N720">
        <f>E720/B720</f>
        <v/>
      </c>
      <c r="O720">
        <f>F720/B720</f>
        <v/>
      </c>
      <c r="P720">
        <f>G720/B720</f>
        <v/>
      </c>
      <c r="Q720">
        <f>CHOOSE(k_model,D720,E720,F720,G720)</f>
        <v/>
      </c>
      <c r="R720">
        <f>CHOOSE(k_model,H720,I720,J720,K720)</f>
        <v/>
      </c>
    </row>
    <row r="721">
      <c r="A721" t="n">
        <v>719</v>
      </c>
      <c r="B721">
        <f>k_lo+k_rng*A721/1000</f>
        <v/>
      </c>
      <c r="C721">
        <f>(B721-k_mx)/k_sx</f>
        <v/>
      </c>
      <c r="D721">
        <f>k_p2_0+C721*(k_p2_1+C721*k_p2_2)</f>
        <v/>
      </c>
      <c r="E721">
        <f>k_p3_0+C721*(k_p3_1+C721*(k_p3_2+C721*k_p3_3))</f>
        <v/>
      </c>
      <c r="F721">
        <f>k_p4_0+C721*(k_p4_1+C721*(k_p4_2+C721*(k_p4_3+C721*k_p4_4)))</f>
        <v/>
      </c>
      <c r="G721">
        <f>k_ea+k_eb*EXP(k_ec*C721)</f>
        <v/>
      </c>
      <c r="H721">
        <f>(k_p2_1+2*k_p2_2*C721)/k_sx</f>
        <v/>
      </c>
      <c r="I721">
        <f>(k_p3_1+C721*(2*k_p3_2+3*k_p3_3*C721))/k_sx</f>
        <v/>
      </c>
      <c r="J721">
        <f>(k_p4_1+C721*(2*k_p4_2+C721*(3*k_p4_3+4*k_p4_4*C721)))/k_sx</f>
        <v/>
      </c>
      <c r="K721">
        <f>k_eb*k_ec*EXP(k_ec*C721)/k_sx</f>
        <v/>
      </c>
      <c r="L721">
        <f>(2*k_p4_2+C721*(6*k_p4_3+12*k_p4_4*C721))/k_sx^2</f>
        <v/>
      </c>
      <c r="M721">
        <f>D721/B721</f>
        <v/>
      </c>
      <c r="N721">
        <f>E721/B721</f>
        <v/>
      </c>
      <c r="O721">
        <f>F721/B721</f>
        <v/>
      </c>
      <c r="P721">
        <f>G721/B721</f>
        <v/>
      </c>
      <c r="Q721">
        <f>CHOOSE(k_model,D721,E721,F721,G721)</f>
        <v/>
      </c>
      <c r="R721">
        <f>CHOOSE(k_model,H721,I721,J721,K721)</f>
        <v/>
      </c>
    </row>
    <row r="722">
      <c r="A722" t="n">
        <v>720</v>
      </c>
      <c r="B722">
        <f>k_lo+k_rng*A722/1000</f>
        <v/>
      </c>
      <c r="C722">
        <f>(B722-k_mx)/k_sx</f>
        <v/>
      </c>
      <c r="D722">
        <f>k_p2_0+C722*(k_p2_1+C722*k_p2_2)</f>
        <v/>
      </c>
      <c r="E722">
        <f>k_p3_0+C722*(k_p3_1+C722*(k_p3_2+C722*k_p3_3))</f>
        <v/>
      </c>
      <c r="F722">
        <f>k_p4_0+C722*(k_p4_1+C722*(k_p4_2+C722*(k_p4_3+C722*k_p4_4)))</f>
        <v/>
      </c>
      <c r="G722">
        <f>k_ea+k_eb*EXP(k_ec*C722)</f>
        <v/>
      </c>
      <c r="H722">
        <f>(k_p2_1+2*k_p2_2*C722)/k_sx</f>
        <v/>
      </c>
      <c r="I722">
        <f>(k_p3_1+C722*(2*k_p3_2+3*k_p3_3*C722))/k_sx</f>
        <v/>
      </c>
      <c r="J722">
        <f>(k_p4_1+C722*(2*k_p4_2+C722*(3*k_p4_3+4*k_p4_4*C722)))/k_sx</f>
        <v/>
      </c>
      <c r="K722">
        <f>k_eb*k_ec*EXP(k_ec*C722)/k_sx</f>
        <v/>
      </c>
      <c r="L722">
        <f>(2*k_p4_2+C722*(6*k_p4_3+12*k_p4_4*C722))/k_sx^2</f>
        <v/>
      </c>
      <c r="M722">
        <f>D722/B722</f>
        <v/>
      </c>
      <c r="N722">
        <f>E722/B722</f>
        <v/>
      </c>
      <c r="O722">
        <f>F722/B722</f>
        <v/>
      </c>
      <c r="P722">
        <f>G722/B722</f>
        <v/>
      </c>
      <c r="Q722">
        <f>CHOOSE(k_model,D722,E722,F722,G722)</f>
        <v/>
      </c>
      <c r="R722">
        <f>CHOOSE(k_model,H722,I722,J722,K722)</f>
        <v/>
      </c>
    </row>
    <row r="723">
      <c r="A723" t="n">
        <v>721</v>
      </c>
      <c r="B723">
        <f>k_lo+k_rng*A723/1000</f>
        <v/>
      </c>
      <c r="C723">
        <f>(B723-k_mx)/k_sx</f>
        <v/>
      </c>
      <c r="D723">
        <f>k_p2_0+C723*(k_p2_1+C723*k_p2_2)</f>
        <v/>
      </c>
      <c r="E723">
        <f>k_p3_0+C723*(k_p3_1+C723*(k_p3_2+C723*k_p3_3))</f>
        <v/>
      </c>
      <c r="F723">
        <f>k_p4_0+C723*(k_p4_1+C723*(k_p4_2+C723*(k_p4_3+C723*k_p4_4)))</f>
        <v/>
      </c>
      <c r="G723">
        <f>k_ea+k_eb*EXP(k_ec*C723)</f>
        <v/>
      </c>
      <c r="H723">
        <f>(k_p2_1+2*k_p2_2*C723)/k_sx</f>
        <v/>
      </c>
      <c r="I723">
        <f>(k_p3_1+C723*(2*k_p3_2+3*k_p3_3*C723))/k_sx</f>
        <v/>
      </c>
      <c r="J723">
        <f>(k_p4_1+C723*(2*k_p4_2+C723*(3*k_p4_3+4*k_p4_4*C723)))/k_sx</f>
        <v/>
      </c>
      <c r="K723">
        <f>k_eb*k_ec*EXP(k_ec*C723)/k_sx</f>
        <v/>
      </c>
      <c r="L723">
        <f>(2*k_p4_2+C723*(6*k_p4_3+12*k_p4_4*C723))/k_sx^2</f>
        <v/>
      </c>
      <c r="M723">
        <f>D723/B723</f>
        <v/>
      </c>
      <c r="N723">
        <f>E723/B723</f>
        <v/>
      </c>
      <c r="O723">
        <f>F723/B723</f>
        <v/>
      </c>
      <c r="P723">
        <f>G723/B723</f>
        <v/>
      </c>
      <c r="Q723">
        <f>CHOOSE(k_model,D723,E723,F723,G723)</f>
        <v/>
      </c>
      <c r="R723">
        <f>CHOOSE(k_model,H723,I723,J723,K723)</f>
        <v/>
      </c>
    </row>
    <row r="724">
      <c r="A724" t="n">
        <v>722</v>
      </c>
      <c r="B724">
        <f>k_lo+k_rng*A724/1000</f>
        <v/>
      </c>
      <c r="C724">
        <f>(B724-k_mx)/k_sx</f>
        <v/>
      </c>
      <c r="D724">
        <f>k_p2_0+C724*(k_p2_1+C724*k_p2_2)</f>
        <v/>
      </c>
      <c r="E724">
        <f>k_p3_0+C724*(k_p3_1+C724*(k_p3_2+C724*k_p3_3))</f>
        <v/>
      </c>
      <c r="F724">
        <f>k_p4_0+C724*(k_p4_1+C724*(k_p4_2+C724*(k_p4_3+C724*k_p4_4)))</f>
        <v/>
      </c>
      <c r="G724">
        <f>k_ea+k_eb*EXP(k_ec*C724)</f>
        <v/>
      </c>
      <c r="H724">
        <f>(k_p2_1+2*k_p2_2*C724)/k_sx</f>
        <v/>
      </c>
      <c r="I724">
        <f>(k_p3_1+C724*(2*k_p3_2+3*k_p3_3*C724))/k_sx</f>
        <v/>
      </c>
      <c r="J724">
        <f>(k_p4_1+C724*(2*k_p4_2+C724*(3*k_p4_3+4*k_p4_4*C724)))/k_sx</f>
        <v/>
      </c>
      <c r="K724">
        <f>k_eb*k_ec*EXP(k_ec*C724)/k_sx</f>
        <v/>
      </c>
      <c r="L724">
        <f>(2*k_p4_2+C724*(6*k_p4_3+12*k_p4_4*C724))/k_sx^2</f>
        <v/>
      </c>
      <c r="M724">
        <f>D724/B724</f>
        <v/>
      </c>
      <c r="N724">
        <f>E724/B724</f>
        <v/>
      </c>
      <c r="O724">
        <f>F724/B724</f>
        <v/>
      </c>
      <c r="P724">
        <f>G724/B724</f>
        <v/>
      </c>
      <c r="Q724">
        <f>CHOOSE(k_model,D724,E724,F724,G724)</f>
        <v/>
      </c>
      <c r="R724">
        <f>CHOOSE(k_model,H724,I724,J724,K724)</f>
        <v/>
      </c>
    </row>
    <row r="725">
      <c r="A725" t="n">
        <v>723</v>
      </c>
      <c r="B725">
        <f>k_lo+k_rng*A725/1000</f>
        <v/>
      </c>
      <c r="C725">
        <f>(B725-k_mx)/k_sx</f>
        <v/>
      </c>
      <c r="D725">
        <f>k_p2_0+C725*(k_p2_1+C725*k_p2_2)</f>
        <v/>
      </c>
      <c r="E725">
        <f>k_p3_0+C725*(k_p3_1+C725*(k_p3_2+C725*k_p3_3))</f>
        <v/>
      </c>
      <c r="F725">
        <f>k_p4_0+C725*(k_p4_1+C725*(k_p4_2+C725*(k_p4_3+C725*k_p4_4)))</f>
        <v/>
      </c>
      <c r="G725">
        <f>k_ea+k_eb*EXP(k_ec*C725)</f>
        <v/>
      </c>
      <c r="H725">
        <f>(k_p2_1+2*k_p2_2*C725)/k_sx</f>
        <v/>
      </c>
      <c r="I725">
        <f>(k_p3_1+C725*(2*k_p3_2+3*k_p3_3*C725))/k_sx</f>
        <v/>
      </c>
      <c r="J725">
        <f>(k_p4_1+C725*(2*k_p4_2+C725*(3*k_p4_3+4*k_p4_4*C725)))/k_sx</f>
        <v/>
      </c>
      <c r="K725">
        <f>k_eb*k_ec*EXP(k_ec*C725)/k_sx</f>
        <v/>
      </c>
      <c r="L725">
        <f>(2*k_p4_2+C725*(6*k_p4_3+12*k_p4_4*C725))/k_sx^2</f>
        <v/>
      </c>
      <c r="M725">
        <f>D725/B725</f>
        <v/>
      </c>
      <c r="N725">
        <f>E725/B725</f>
        <v/>
      </c>
      <c r="O725">
        <f>F725/B725</f>
        <v/>
      </c>
      <c r="P725">
        <f>G725/B725</f>
        <v/>
      </c>
      <c r="Q725">
        <f>CHOOSE(k_model,D725,E725,F725,G725)</f>
        <v/>
      </c>
      <c r="R725">
        <f>CHOOSE(k_model,H725,I725,J725,K725)</f>
        <v/>
      </c>
    </row>
    <row r="726">
      <c r="A726" t="n">
        <v>724</v>
      </c>
      <c r="B726">
        <f>k_lo+k_rng*A726/1000</f>
        <v/>
      </c>
      <c r="C726">
        <f>(B726-k_mx)/k_sx</f>
        <v/>
      </c>
      <c r="D726">
        <f>k_p2_0+C726*(k_p2_1+C726*k_p2_2)</f>
        <v/>
      </c>
      <c r="E726">
        <f>k_p3_0+C726*(k_p3_1+C726*(k_p3_2+C726*k_p3_3))</f>
        <v/>
      </c>
      <c r="F726">
        <f>k_p4_0+C726*(k_p4_1+C726*(k_p4_2+C726*(k_p4_3+C726*k_p4_4)))</f>
        <v/>
      </c>
      <c r="G726">
        <f>k_ea+k_eb*EXP(k_ec*C726)</f>
        <v/>
      </c>
      <c r="H726">
        <f>(k_p2_1+2*k_p2_2*C726)/k_sx</f>
        <v/>
      </c>
      <c r="I726">
        <f>(k_p3_1+C726*(2*k_p3_2+3*k_p3_3*C726))/k_sx</f>
        <v/>
      </c>
      <c r="J726">
        <f>(k_p4_1+C726*(2*k_p4_2+C726*(3*k_p4_3+4*k_p4_4*C726)))/k_sx</f>
        <v/>
      </c>
      <c r="K726">
        <f>k_eb*k_ec*EXP(k_ec*C726)/k_sx</f>
        <v/>
      </c>
      <c r="L726">
        <f>(2*k_p4_2+C726*(6*k_p4_3+12*k_p4_4*C726))/k_sx^2</f>
        <v/>
      </c>
      <c r="M726">
        <f>D726/B726</f>
        <v/>
      </c>
      <c r="N726">
        <f>E726/B726</f>
        <v/>
      </c>
      <c r="O726">
        <f>F726/B726</f>
        <v/>
      </c>
      <c r="P726">
        <f>G726/B726</f>
        <v/>
      </c>
      <c r="Q726">
        <f>CHOOSE(k_model,D726,E726,F726,G726)</f>
        <v/>
      </c>
      <c r="R726">
        <f>CHOOSE(k_model,H726,I726,J726,K726)</f>
        <v/>
      </c>
    </row>
    <row r="727">
      <c r="A727" t="n">
        <v>725</v>
      </c>
      <c r="B727">
        <f>k_lo+k_rng*A727/1000</f>
        <v/>
      </c>
      <c r="C727">
        <f>(B727-k_mx)/k_sx</f>
        <v/>
      </c>
      <c r="D727">
        <f>k_p2_0+C727*(k_p2_1+C727*k_p2_2)</f>
        <v/>
      </c>
      <c r="E727">
        <f>k_p3_0+C727*(k_p3_1+C727*(k_p3_2+C727*k_p3_3))</f>
        <v/>
      </c>
      <c r="F727">
        <f>k_p4_0+C727*(k_p4_1+C727*(k_p4_2+C727*(k_p4_3+C727*k_p4_4)))</f>
        <v/>
      </c>
      <c r="G727">
        <f>k_ea+k_eb*EXP(k_ec*C727)</f>
        <v/>
      </c>
      <c r="H727">
        <f>(k_p2_1+2*k_p2_2*C727)/k_sx</f>
        <v/>
      </c>
      <c r="I727">
        <f>(k_p3_1+C727*(2*k_p3_2+3*k_p3_3*C727))/k_sx</f>
        <v/>
      </c>
      <c r="J727">
        <f>(k_p4_1+C727*(2*k_p4_2+C727*(3*k_p4_3+4*k_p4_4*C727)))/k_sx</f>
        <v/>
      </c>
      <c r="K727">
        <f>k_eb*k_ec*EXP(k_ec*C727)/k_sx</f>
        <v/>
      </c>
      <c r="L727">
        <f>(2*k_p4_2+C727*(6*k_p4_3+12*k_p4_4*C727))/k_sx^2</f>
        <v/>
      </c>
      <c r="M727">
        <f>D727/B727</f>
        <v/>
      </c>
      <c r="N727">
        <f>E727/B727</f>
        <v/>
      </c>
      <c r="O727">
        <f>F727/B727</f>
        <v/>
      </c>
      <c r="P727">
        <f>G727/B727</f>
        <v/>
      </c>
      <c r="Q727">
        <f>CHOOSE(k_model,D727,E727,F727,G727)</f>
        <v/>
      </c>
      <c r="R727">
        <f>CHOOSE(k_model,H727,I727,J727,K727)</f>
        <v/>
      </c>
    </row>
    <row r="728">
      <c r="A728" t="n">
        <v>726</v>
      </c>
      <c r="B728">
        <f>k_lo+k_rng*A728/1000</f>
        <v/>
      </c>
      <c r="C728">
        <f>(B728-k_mx)/k_sx</f>
        <v/>
      </c>
      <c r="D728">
        <f>k_p2_0+C728*(k_p2_1+C728*k_p2_2)</f>
        <v/>
      </c>
      <c r="E728">
        <f>k_p3_0+C728*(k_p3_1+C728*(k_p3_2+C728*k_p3_3))</f>
        <v/>
      </c>
      <c r="F728">
        <f>k_p4_0+C728*(k_p4_1+C728*(k_p4_2+C728*(k_p4_3+C728*k_p4_4)))</f>
        <v/>
      </c>
      <c r="G728">
        <f>k_ea+k_eb*EXP(k_ec*C728)</f>
        <v/>
      </c>
      <c r="H728">
        <f>(k_p2_1+2*k_p2_2*C728)/k_sx</f>
        <v/>
      </c>
      <c r="I728">
        <f>(k_p3_1+C728*(2*k_p3_2+3*k_p3_3*C728))/k_sx</f>
        <v/>
      </c>
      <c r="J728">
        <f>(k_p4_1+C728*(2*k_p4_2+C728*(3*k_p4_3+4*k_p4_4*C728)))/k_sx</f>
        <v/>
      </c>
      <c r="K728">
        <f>k_eb*k_ec*EXP(k_ec*C728)/k_sx</f>
        <v/>
      </c>
      <c r="L728">
        <f>(2*k_p4_2+C728*(6*k_p4_3+12*k_p4_4*C728))/k_sx^2</f>
        <v/>
      </c>
      <c r="M728">
        <f>D728/B728</f>
        <v/>
      </c>
      <c r="N728">
        <f>E728/B728</f>
        <v/>
      </c>
      <c r="O728">
        <f>F728/B728</f>
        <v/>
      </c>
      <c r="P728">
        <f>G728/B728</f>
        <v/>
      </c>
      <c r="Q728">
        <f>CHOOSE(k_model,D728,E728,F728,G728)</f>
        <v/>
      </c>
      <c r="R728">
        <f>CHOOSE(k_model,H728,I728,J728,K728)</f>
        <v/>
      </c>
    </row>
    <row r="729">
      <c r="A729" t="n">
        <v>727</v>
      </c>
      <c r="B729">
        <f>k_lo+k_rng*A729/1000</f>
        <v/>
      </c>
      <c r="C729">
        <f>(B729-k_mx)/k_sx</f>
        <v/>
      </c>
      <c r="D729">
        <f>k_p2_0+C729*(k_p2_1+C729*k_p2_2)</f>
        <v/>
      </c>
      <c r="E729">
        <f>k_p3_0+C729*(k_p3_1+C729*(k_p3_2+C729*k_p3_3))</f>
        <v/>
      </c>
      <c r="F729">
        <f>k_p4_0+C729*(k_p4_1+C729*(k_p4_2+C729*(k_p4_3+C729*k_p4_4)))</f>
        <v/>
      </c>
      <c r="G729">
        <f>k_ea+k_eb*EXP(k_ec*C729)</f>
        <v/>
      </c>
      <c r="H729">
        <f>(k_p2_1+2*k_p2_2*C729)/k_sx</f>
        <v/>
      </c>
      <c r="I729">
        <f>(k_p3_1+C729*(2*k_p3_2+3*k_p3_3*C729))/k_sx</f>
        <v/>
      </c>
      <c r="J729">
        <f>(k_p4_1+C729*(2*k_p4_2+C729*(3*k_p4_3+4*k_p4_4*C729)))/k_sx</f>
        <v/>
      </c>
      <c r="K729">
        <f>k_eb*k_ec*EXP(k_ec*C729)/k_sx</f>
        <v/>
      </c>
      <c r="L729">
        <f>(2*k_p4_2+C729*(6*k_p4_3+12*k_p4_4*C729))/k_sx^2</f>
        <v/>
      </c>
      <c r="M729">
        <f>D729/B729</f>
        <v/>
      </c>
      <c r="N729">
        <f>E729/B729</f>
        <v/>
      </c>
      <c r="O729">
        <f>F729/B729</f>
        <v/>
      </c>
      <c r="P729">
        <f>G729/B729</f>
        <v/>
      </c>
      <c r="Q729">
        <f>CHOOSE(k_model,D729,E729,F729,G729)</f>
        <v/>
      </c>
      <c r="R729">
        <f>CHOOSE(k_model,H729,I729,J729,K729)</f>
        <v/>
      </c>
    </row>
    <row r="730">
      <c r="A730" t="n">
        <v>728</v>
      </c>
      <c r="B730">
        <f>k_lo+k_rng*A730/1000</f>
        <v/>
      </c>
      <c r="C730">
        <f>(B730-k_mx)/k_sx</f>
        <v/>
      </c>
      <c r="D730">
        <f>k_p2_0+C730*(k_p2_1+C730*k_p2_2)</f>
        <v/>
      </c>
      <c r="E730">
        <f>k_p3_0+C730*(k_p3_1+C730*(k_p3_2+C730*k_p3_3))</f>
        <v/>
      </c>
      <c r="F730">
        <f>k_p4_0+C730*(k_p4_1+C730*(k_p4_2+C730*(k_p4_3+C730*k_p4_4)))</f>
        <v/>
      </c>
      <c r="G730">
        <f>k_ea+k_eb*EXP(k_ec*C730)</f>
        <v/>
      </c>
      <c r="H730">
        <f>(k_p2_1+2*k_p2_2*C730)/k_sx</f>
        <v/>
      </c>
      <c r="I730">
        <f>(k_p3_1+C730*(2*k_p3_2+3*k_p3_3*C730))/k_sx</f>
        <v/>
      </c>
      <c r="J730">
        <f>(k_p4_1+C730*(2*k_p4_2+C730*(3*k_p4_3+4*k_p4_4*C730)))/k_sx</f>
        <v/>
      </c>
      <c r="K730">
        <f>k_eb*k_ec*EXP(k_ec*C730)/k_sx</f>
        <v/>
      </c>
      <c r="L730">
        <f>(2*k_p4_2+C730*(6*k_p4_3+12*k_p4_4*C730))/k_sx^2</f>
        <v/>
      </c>
      <c r="M730">
        <f>D730/B730</f>
        <v/>
      </c>
      <c r="N730">
        <f>E730/B730</f>
        <v/>
      </c>
      <c r="O730">
        <f>F730/B730</f>
        <v/>
      </c>
      <c r="P730">
        <f>G730/B730</f>
        <v/>
      </c>
      <c r="Q730">
        <f>CHOOSE(k_model,D730,E730,F730,G730)</f>
        <v/>
      </c>
      <c r="R730">
        <f>CHOOSE(k_model,H730,I730,J730,K730)</f>
        <v/>
      </c>
    </row>
    <row r="731">
      <c r="A731" t="n">
        <v>729</v>
      </c>
      <c r="B731">
        <f>k_lo+k_rng*A731/1000</f>
        <v/>
      </c>
      <c r="C731">
        <f>(B731-k_mx)/k_sx</f>
        <v/>
      </c>
      <c r="D731">
        <f>k_p2_0+C731*(k_p2_1+C731*k_p2_2)</f>
        <v/>
      </c>
      <c r="E731">
        <f>k_p3_0+C731*(k_p3_1+C731*(k_p3_2+C731*k_p3_3))</f>
        <v/>
      </c>
      <c r="F731">
        <f>k_p4_0+C731*(k_p4_1+C731*(k_p4_2+C731*(k_p4_3+C731*k_p4_4)))</f>
        <v/>
      </c>
      <c r="G731">
        <f>k_ea+k_eb*EXP(k_ec*C731)</f>
        <v/>
      </c>
      <c r="H731">
        <f>(k_p2_1+2*k_p2_2*C731)/k_sx</f>
        <v/>
      </c>
      <c r="I731">
        <f>(k_p3_1+C731*(2*k_p3_2+3*k_p3_3*C731))/k_sx</f>
        <v/>
      </c>
      <c r="J731">
        <f>(k_p4_1+C731*(2*k_p4_2+C731*(3*k_p4_3+4*k_p4_4*C731)))/k_sx</f>
        <v/>
      </c>
      <c r="K731">
        <f>k_eb*k_ec*EXP(k_ec*C731)/k_sx</f>
        <v/>
      </c>
      <c r="L731">
        <f>(2*k_p4_2+C731*(6*k_p4_3+12*k_p4_4*C731))/k_sx^2</f>
        <v/>
      </c>
      <c r="M731">
        <f>D731/B731</f>
        <v/>
      </c>
      <c r="N731">
        <f>E731/B731</f>
        <v/>
      </c>
      <c r="O731">
        <f>F731/B731</f>
        <v/>
      </c>
      <c r="P731">
        <f>G731/B731</f>
        <v/>
      </c>
      <c r="Q731">
        <f>CHOOSE(k_model,D731,E731,F731,G731)</f>
        <v/>
      </c>
      <c r="R731">
        <f>CHOOSE(k_model,H731,I731,J731,K731)</f>
        <v/>
      </c>
    </row>
    <row r="732">
      <c r="A732" t="n">
        <v>730</v>
      </c>
      <c r="B732">
        <f>k_lo+k_rng*A732/1000</f>
        <v/>
      </c>
      <c r="C732">
        <f>(B732-k_mx)/k_sx</f>
        <v/>
      </c>
      <c r="D732">
        <f>k_p2_0+C732*(k_p2_1+C732*k_p2_2)</f>
        <v/>
      </c>
      <c r="E732">
        <f>k_p3_0+C732*(k_p3_1+C732*(k_p3_2+C732*k_p3_3))</f>
        <v/>
      </c>
      <c r="F732">
        <f>k_p4_0+C732*(k_p4_1+C732*(k_p4_2+C732*(k_p4_3+C732*k_p4_4)))</f>
        <v/>
      </c>
      <c r="G732">
        <f>k_ea+k_eb*EXP(k_ec*C732)</f>
        <v/>
      </c>
      <c r="H732">
        <f>(k_p2_1+2*k_p2_2*C732)/k_sx</f>
        <v/>
      </c>
      <c r="I732">
        <f>(k_p3_1+C732*(2*k_p3_2+3*k_p3_3*C732))/k_sx</f>
        <v/>
      </c>
      <c r="J732">
        <f>(k_p4_1+C732*(2*k_p4_2+C732*(3*k_p4_3+4*k_p4_4*C732)))/k_sx</f>
        <v/>
      </c>
      <c r="K732">
        <f>k_eb*k_ec*EXP(k_ec*C732)/k_sx</f>
        <v/>
      </c>
      <c r="L732">
        <f>(2*k_p4_2+C732*(6*k_p4_3+12*k_p4_4*C732))/k_sx^2</f>
        <v/>
      </c>
      <c r="M732">
        <f>D732/B732</f>
        <v/>
      </c>
      <c r="N732">
        <f>E732/B732</f>
        <v/>
      </c>
      <c r="O732">
        <f>F732/B732</f>
        <v/>
      </c>
      <c r="P732">
        <f>G732/B732</f>
        <v/>
      </c>
      <c r="Q732">
        <f>CHOOSE(k_model,D732,E732,F732,G732)</f>
        <v/>
      </c>
      <c r="R732">
        <f>CHOOSE(k_model,H732,I732,J732,K732)</f>
        <v/>
      </c>
    </row>
    <row r="733">
      <c r="A733" t="n">
        <v>731</v>
      </c>
      <c r="B733">
        <f>k_lo+k_rng*A733/1000</f>
        <v/>
      </c>
      <c r="C733">
        <f>(B733-k_mx)/k_sx</f>
        <v/>
      </c>
      <c r="D733">
        <f>k_p2_0+C733*(k_p2_1+C733*k_p2_2)</f>
        <v/>
      </c>
      <c r="E733">
        <f>k_p3_0+C733*(k_p3_1+C733*(k_p3_2+C733*k_p3_3))</f>
        <v/>
      </c>
      <c r="F733">
        <f>k_p4_0+C733*(k_p4_1+C733*(k_p4_2+C733*(k_p4_3+C733*k_p4_4)))</f>
        <v/>
      </c>
      <c r="G733">
        <f>k_ea+k_eb*EXP(k_ec*C733)</f>
        <v/>
      </c>
      <c r="H733">
        <f>(k_p2_1+2*k_p2_2*C733)/k_sx</f>
        <v/>
      </c>
      <c r="I733">
        <f>(k_p3_1+C733*(2*k_p3_2+3*k_p3_3*C733))/k_sx</f>
        <v/>
      </c>
      <c r="J733">
        <f>(k_p4_1+C733*(2*k_p4_2+C733*(3*k_p4_3+4*k_p4_4*C733)))/k_sx</f>
        <v/>
      </c>
      <c r="K733">
        <f>k_eb*k_ec*EXP(k_ec*C733)/k_sx</f>
        <v/>
      </c>
      <c r="L733">
        <f>(2*k_p4_2+C733*(6*k_p4_3+12*k_p4_4*C733))/k_sx^2</f>
        <v/>
      </c>
      <c r="M733">
        <f>D733/B733</f>
        <v/>
      </c>
      <c r="N733">
        <f>E733/B733</f>
        <v/>
      </c>
      <c r="O733">
        <f>F733/B733</f>
        <v/>
      </c>
      <c r="P733">
        <f>G733/B733</f>
        <v/>
      </c>
      <c r="Q733">
        <f>CHOOSE(k_model,D733,E733,F733,G733)</f>
        <v/>
      </c>
      <c r="R733">
        <f>CHOOSE(k_model,H733,I733,J733,K733)</f>
        <v/>
      </c>
    </row>
    <row r="734">
      <c r="A734" t="n">
        <v>732</v>
      </c>
      <c r="B734">
        <f>k_lo+k_rng*A734/1000</f>
        <v/>
      </c>
      <c r="C734">
        <f>(B734-k_mx)/k_sx</f>
        <v/>
      </c>
      <c r="D734">
        <f>k_p2_0+C734*(k_p2_1+C734*k_p2_2)</f>
        <v/>
      </c>
      <c r="E734">
        <f>k_p3_0+C734*(k_p3_1+C734*(k_p3_2+C734*k_p3_3))</f>
        <v/>
      </c>
      <c r="F734">
        <f>k_p4_0+C734*(k_p4_1+C734*(k_p4_2+C734*(k_p4_3+C734*k_p4_4)))</f>
        <v/>
      </c>
      <c r="G734">
        <f>k_ea+k_eb*EXP(k_ec*C734)</f>
        <v/>
      </c>
      <c r="H734">
        <f>(k_p2_1+2*k_p2_2*C734)/k_sx</f>
        <v/>
      </c>
      <c r="I734">
        <f>(k_p3_1+C734*(2*k_p3_2+3*k_p3_3*C734))/k_sx</f>
        <v/>
      </c>
      <c r="J734">
        <f>(k_p4_1+C734*(2*k_p4_2+C734*(3*k_p4_3+4*k_p4_4*C734)))/k_sx</f>
        <v/>
      </c>
      <c r="K734">
        <f>k_eb*k_ec*EXP(k_ec*C734)/k_sx</f>
        <v/>
      </c>
      <c r="L734">
        <f>(2*k_p4_2+C734*(6*k_p4_3+12*k_p4_4*C734))/k_sx^2</f>
        <v/>
      </c>
      <c r="M734">
        <f>D734/B734</f>
        <v/>
      </c>
      <c r="N734">
        <f>E734/B734</f>
        <v/>
      </c>
      <c r="O734">
        <f>F734/B734</f>
        <v/>
      </c>
      <c r="P734">
        <f>G734/B734</f>
        <v/>
      </c>
      <c r="Q734">
        <f>CHOOSE(k_model,D734,E734,F734,G734)</f>
        <v/>
      </c>
      <c r="R734">
        <f>CHOOSE(k_model,H734,I734,J734,K734)</f>
        <v/>
      </c>
    </row>
    <row r="735">
      <c r="A735" t="n">
        <v>733</v>
      </c>
      <c r="B735">
        <f>k_lo+k_rng*A735/1000</f>
        <v/>
      </c>
      <c r="C735">
        <f>(B735-k_mx)/k_sx</f>
        <v/>
      </c>
      <c r="D735">
        <f>k_p2_0+C735*(k_p2_1+C735*k_p2_2)</f>
        <v/>
      </c>
      <c r="E735">
        <f>k_p3_0+C735*(k_p3_1+C735*(k_p3_2+C735*k_p3_3))</f>
        <v/>
      </c>
      <c r="F735">
        <f>k_p4_0+C735*(k_p4_1+C735*(k_p4_2+C735*(k_p4_3+C735*k_p4_4)))</f>
        <v/>
      </c>
      <c r="G735">
        <f>k_ea+k_eb*EXP(k_ec*C735)</f>
        <v/>
      </c>
      <c r="H735">
        <f>(k_p2_1+2*k_p2_2*C735)/k_sx</f>
        <v/>
      </c>
      <c r="I735">
        <f>(k_p3_1+C735*(2*k_p3_2+3*k_p3_3*C735))/k_sx</f>
        <v/>
      </c>
      <c r="J735">
        <f>(k_p4_1+C735*(2*k_p4_2+C735*(3*k_p4_3+4*k_p4_4*C735)))/k_sx</f>
        <v/>
      </c>
      <c r="K735">
        <f>k_eb*k_ec*EXP(k_ec*C735)/k_sx</f>
        <v/>
      </c>
      <c r="L735">
        <f>(2*k_p4_2+C735*(6*k_p4_3+12*k_p4_4*C735))/k_sx^2</f>
        <v/>
      </c>
      <c r="M735">
        <f>D735/B735</f>
        <v/>
      </c>
      <c r="N735">
        <f>E735/B735</f>
        <v/>
      </c>
      <c r="O735">
        <f>F735/B735</f>
        <v/>
      </c>
      <c r="P735">
        <f>G735/B735</f>
        <v/>
      </c>
      <c r="Q735">
        <f>CHOOSE(k_model,D735,E735,F735,G735)</f>
        <v/>
      </c>
      <c r="R735">
        <f>CHOOSE(k_model,H735,I735,J735,K735)</f>
        <v/>
      </c>
    </row>
    <row r="736">
      <c r="A736" t="n">
        <v>734</v>
      </c>
      <c r="B736">
        <f>k_lo+k_rng*A736/1000</f>
        <v/>
      </c>
      <c r="C736">
        <f>(B736-k_mx)/k_sx</f>
        <v/>
      </c>
      <c r="D736">
        <f>k_p2_0+C736*(k_p2_1+C736*k_p2_2)</f>
        <v/>
      </c>
      <c r="E736">
        <f>k_p3_0+C736*(k_p3_1+C736*(k_p3_2+C736*k_p3_3))</f>
        <v/>
      </c>
      <c r="F736">
        <f>k_p4_0+C736*(k_p4_1+C736*(k_p4_2+C736*(k_p4_3+C736*k_p4_4)))</f>
        <v/>
      </c>
      <c r="G736">
        <f>k_ea+k_eb*EXP(k_ec*C736)</f>
        <v/>
      </c>
      <c r="H736">
        <f>(k_p2_1+2*k_p2_2*C736)/k_sx</f>
        <v/>
      </c>
      <c r="I736">
        <f>(k_p3_1+C736*(2*k_p3_2+3*k_p3_3*C736))/k_sx</f>
        <v/>
      </c>
      <c r="J736">
        <f>(k_p4_1+C736*(2*k_p4_2+C736*(3*k_p4_3+4*k_p4_4*C736)))/k_sx</f>
        <v/>
      </c>
      <c r="K736">
        <f>k_eb*k_ec*EXP(k_ec*C736)/k_sx</f>
        <v/>
      </c>
      <c r="L736">
        <f>(2*k_p4_2+C736*(6*k_p4_3+12*k_p4_4*C736))/k_sx^2</f>
        <v/>
      </c>
      <c r="M736">
        <f>D736/B736</f>
        <v/>
      </c>
      <c r="N736">
        <f>E736/B736</f>
        <v/>
      </c>
      <c r="O736">
        <f>F736/B736</f>
        <v/>
      </c>
      <c r="P736">
        <f>G736/B736</f>
        <v/>
      </c>
      <c r="Q736">
        <f>CHOOSE(k_model,D736,E736,F736,G736)</f>
        <v/>
      </c>
      <c r="R736">
        <f>CHOOSE(k_model,H736,I736,J736,K736)</f>
        <v/>
      </c>
    </row>
    <row r="737">
      <c r="A737" t="n">
        <v>735</v>
      </c>
      <c r="B737">
        <f>k_lo+k_rng*A737/1000</f>
        <v/>
      </c>
      <c r="C737">
        <f>(B737-k_mx)/k_sx</f>
        <v/>
      </c>
      <c r="D737">
        <f>k_p2_0+C737*(k_p2_1+C737*k_p2_2)</f>
        <v/>
      </c>
      <c r="E737">
        <f>k_p3_0+C737*(k_p3_1+C737*(k_p3_2+C737*k_p3_3))</f>
        <v/>
      </c>
      <c r="F737">
        <f>k_p4_0+C737*(k_p4_1+C737*(k_p4_2+C737*(k_p4_3+C737*k_p4_4)))</f>
        <v/>
      </c>
      <c r="G737">
        <f>k_ea+k_eb*EXP(k_ec*C737)</f>
        <v/>
      </c>
      <c r="H737">
        <f>(k_p2_1+2*k_p2_2*C737)/k_sx</f>
        <v/>
      </c>
      <c r="I737">
        <f>(k_p3_1+C737*(2*k_p3_2+3*k_p3_3*C737))/k_sx</f>
        <v/>
      </c>
      <c r="J737">
        <f>(k_p4_1+C737*(2*k_p4_2+C737*(3*k_p4_3+4*k_p4_4*C737)))/k_sx</f>
        <v/>
      </c>
      <c r="K737">
        <f>k_eb*k_ec*EXP(k_ec*C737)/k_sx</f>
        <v/>
      </c>
      <c r="L737">
        <f>(2*k_p4_2+C737*(6*k_p4_3+12*k_p4_4*C737))/k_sx^2</f>
        <v/>
      </c>
      <c r="M737">
        <f>D737/B737</f>
        <v/>
      </c>
      <c r="N737">
        <f>E737/B737</f>
        <v/>
      </c>
      <c r="O737">
        <f>F737/B737</f>
        <v/>
      </c>
      <c r="P737">
        <f>G737/B737</f>
        <v/>
      </c>
      <c r="Q737">
        <f>CHOOSE(k_model,D737,E737,F737,G737)</f>
        <v/>
      </c>
      <c r="R737">
        <f>CHOOSE(k_model,H737,I737,J737,K737)</f>
        <v/>
      </c>
    </row>
    <row r="738">
      <c r="A738" t="n">
        <v>736</v>
      </c>
      <c r="B738">
        <f>k_lo+k_rng*A738/1000</f>
        <v/>
      </c>
      <c r="C738">
        <f>(B738-k_mx)/k_sx</f>
        <v/>
      </c>
      <c r="D738">
        <f>k_p2_0+C738*(k_p2_1+C738*k_p2_2)</f>
        <v/>
      </c>
      <c r="E738">
        <f>k_p3_0+C738*(k_p3_1+C738*(k_p3_2+C738*k_p3_3))</f>
        <v/>
      </c>
      <c r="F738">
        <f>k_p4_0+C738*(k_p4_1+C738*(k_p4_2+C738*(k_p4_3+C738*k_p4_4)))</f>
        <v/>
      </c>
      <c r="G738">
        <f>k_ea+k_eb*EXP(k_ec*C738)</f>
        <v/>
      </c>
      <c r="H738">
        <f>(k_p2_1+2*k_p2_2*C738)/k_sx</f>
        <v/>
      </c>
      <c r="I738">
        <f>(k_p3_1+C738*(2*k_p3_2+3*k_p3_3*C738))/k_sx</f>
        <v/>
      </c>
      <c r="J738">
        <f>(k_p4_1+C738*(2*k_p4_2+C738*(3*k_p4_3+4*k_p4_4*C738)))/k_sx</f>
        <v/>
      </c>
      <c r="K738">
        <f>k_eb*k_ec*EXP(k_ec*C738)/k_sx</f>
        <v/>
      </c>
      <c r="L738">
        <f>(2*k_p4_2+C738*(6*k_p4_3+12*k_p4_4*C738))/k_sx^2</f>
        <v/>
      </c>
      <c r="M738">
        <f>D738/B738</f>
        <v/>
      </c>
      <c r="N738">
        <f>E738/B738</f>
        <v/>
      </c>
      <c r="O738">
        <f>F738/B738</f>
        <v/>
      </c>
      <c r="P738">
        <f>G738/B738</f>
        <v/>
      </c>
      <c r="Q738">
        <f>CHOOSE(k_model,D738,E738,F738,G738)</f>
        <v/>
      </c>
      <c r="R738">
        <f>CHOOSE(k_model,H738,I738,J738,K738)</f>
        <v/>
      </c>
    </row>
    <row r="739">
      <c r="A739" t="n">
        <v>737</v>
      </c>
      <c r="B739">
        <f>k_lo+k_rng*A739/1000</f>
        <v/>
      </c>
      <c r="C739">
        <f>(B739-k_mx)/k_sx</f>
        <v/>
      </c>
      <c r="D739">
        <f>k_p2_0+C739*(k_p2_1+C739*k_p2_2)</f>
        <v/>
      </c>
      <c r="E739">
        <f>k_p3_0+C739*(k_p3_1+C739*(k_p3_2+C739*k_p3_3))</f>
        <v/>
      </c>
      <c r="F739">
        <f>k_p4_0+C739*(k_p4_1+C739*(k_p4_2+C739*(k_p4_3+C739*k_p4_4)))</f>
        <v/>
      </c>
      <c r="G739">
        <f>k_ea+k_eb*EXP(k_ec*C739)</f>
        <v/>
      </c>
      <c r="H739">
        <f>(k_p2_1+2*k_p2_2*C739)/k_sx</f>
        <v/>
      </c>
      <c r="I739">
        <f>(k_p3_1+C739*(2*k_p3_2+3*k_p3_3*C739))/k_sx</f>
        <v/>
      </c>
      <c r="J739">
        <f>(k_p4_1+C739*(2*k_p4_2+C739*(3*k_p4_3+4*k_p4_4*C739)))/k_sx</f>
        <v/>
      </c>
      <c r="K739">
        <f>k_eb*k_ec*EXP(k_ec*C739)/k_sx</f>
        <v/>
      </c>
      <c r="L739">
        <f>(2*k_p4_2+C739*(6*k_p4_3+12*k_p4_4*C739))/k_sx^2</f>
        <v/>
      </c>
      <c r="M739">
        <f>D739/B739</f>
        <v/>
      </c>
      <c r="N739">
        <f>E739/B739</f>
        <v/>
      </c>
      <c r="O739">
        <f>F739/B739</f>
        <v/>
      </c>
      <c r="P739">
        <f>G739/B739</f>
        <v/>
      </c>
      <c r="Q739">
        <f>CHOOSE(k_model,D739,E739,F739,G739)</f>
        <v/>
      </c>
      <c r="R739">
        <f>CHOOSE(k_model,H739,I739,J739,K739)</f>
        <v/>
      </c>
    </row>
    <row r="740">
      <c r="A740" t="n">
        <v>738</v>
      </c>
      <c r="B740">
        <f>k_lo+k_rng*A740/1000</f>
        <v/>
      </c>
      <c r="C740">
        <f>(B740-k_mx)/k_sx</f>
        <v/>
      </c>
      <c r="D740">
        <f>k_p2_0+C740*(k_p2_1+C740*k_p2_2)</f>
        <v/>
      </c>
      <c r="E740">
        <f>k_p3_0+C740*(k_p3_1+C740*(k_p3_2+C740*k_p3_3))</f>
        <v/>
      </c>
      <c r="F740">
        <f>k_p4_0+C740*(k_p4_1+C740*(k_p4_2+C740*(k_p4_3+C740*k_p4_4)))</f>
        <v/>
      </c>
      <c r="G740">
        <f>k_ea+k_eb*EXP(k_ec*C740)</f>
        <v/>
      </c>
      <c r="H740">
        <f>(k_p2_1+2*k_p2_2*C740)/k_sx</f>
        <v/>
      </c>
      <c r="I740">
        <f>(k_p3_1+C740*(2*k_p3_2+3*k_p3_3*C740))/k_sx</f>
        <v/>
      </c>
      <c r="J740">
        <f>(k_p4_1+C740*(2*k_p4_2+C740*(3*k_p4_3+4*k_p4_4*C740)))/k_sx</f>
        <v/>
      </c>
      <c r="K740">
        <f>k_eb*k_ec*EXP(k_ec*C740)/k_sx</f>
        <v/>
      </c>
      <c r="L740">
        <f>(2*k_p4_2+C740*(6*k_p4_3+12*k_p4_4*C740))/k_sx^2</f>
        <v/>
      </c>
      <c r="M740">
        <f>D740/B740</f>
        <v/>
      </c>
      <c r="N740">
        <f>E740/B740</f>
        <v/>
      </c>
      <c r="O740">
        <f>F740/B740</f>
        <v/>
      </c>
      <c r="P740">
        <f>G740/B740</f>
        <v/>
      </c>
      <c r="Q740">
        <f>CHOOSE(k_model,D740,E740,F740,G740)</f>
        <v/>
      </c>
      <c r="R740">
        <f>CHOOSE(k_model,H740,I740,J740,K740)</f>
        <v/>
      </c>
    </row>
    <row r="741">
      <c r="A741" t="n">
        <v>739</v>
      </c>
      <c r="B741">
        <f>k_lo+k_rng*A741/1000</f>
        <v/>
      </c>
      <c r="C741">
        <f>(B741-k_mx)/k_sx</f>
        <v/>
      </c>
      <c r="D741">
        <f>k_p2_0+C741*(k_p2_1+C741*k_p2_2)</f>
        <v/>
      </c>
      <c r="E741">
        <f>k_p3_0+C741*(k_p3_1+C741*(k_p3_2+C741*k_p3_3))</f>
        <v/>
      </c>
      <c r="F741">
        <f>k_p4_0+C741*(k_p4_1+C741*(k_p4_2+C741*(k_p4_3+C741*k_p4_4)))</f>
        <v/>
      </c>
      <c r="G741">
        <f>k_ea+k_eb*EXP(k_ec*C741)</f>
        <v/>
      </c>
      <c r="H741">
        <f>(k_p2_1+2*k_p2_2*C741)/k_sx</f>
        <v/>
      </c>
      <c r="I741">
        <f>(k_p3_1+C741*(2*k_p3_2+3*k_p3_3*C741))/k_sx</f>
        <v/>
      </c>
      <c r="J741">
        <f>(k_p4_1+C741*(2*k_p4_2+C741*(3*k_p4_3+4*k_p4_4*C741)))/k_sx</f>
        <v/>
      </c>
      <c r="K741">
        <f>k_eb*k_ec*EXP(k_ec*C741)/k_sx</f>
        <v/>
      </c>
      <c r="L741">
        <f>(2*k_p4_2+C741*(6*k_p4_3+12*k_p4_4*C741))/k_sx^2</f>
        <v/>
      </c>
      <c r="M741">
        <f>D741/B741</f>
        <v/>
      </c>
      <c r="N741">
        <f>E741/B741</f>
        <v/>
      </c>
      <c r="O741">
        <f>F741/B741</f>
        <v/>
      </c>
      <c r="P741">
        <f>G741/B741</f>
        <v/>
      </c>
      <c r="Q741">
        <f>CHOOSE(k_model,D741,E741,F741,G741)</f>
        <v/>
      </c>
      <c r="R741">
        <f>CHOOSE(k_model,H741,I741,J741,K741)</f>
        <v/>
      </c>
    </row>
    <row r="742">
      <c r="A742" t="n">
        <v>740</v>
      </c>
      <c r="B742">
        <f>k_lo+k_rng*A742/1000</f>
        <v/>
      </c>
      <c r="C742">
        <f>(B742-k_mx)/k_sx</f>
        <v/>
      </c>
      <c r="D742">
        <f>k_p2_0+C742*(k_p2_1+C742*k_p2_2)</f>
        <v/>
      </c>
      <c r="E742">
        <f>k_p3_0+C742*(k_p3_1+C742*(k_p3_2+C742*k_p3_3))</f>
        <v/>
      </c>
      <c r="F742">
        <f>k_p4_0+C742*(k_p4_1+C742*(k_p4_2+C742*(k_p4_3+C742*k_p4_4)))</f>
        <v/>
      </c>
      <c r="G742">
        <f>k_ea+k_eb*EXP(k_ec*C742)</f>
        <v/>
      </c>
      <c r="H742">
        <f>(k_p2_1+2*k_p2_2*C742)/k_sx</f>
        <v/>
      </c>
      <c r="I742">
        <f>(k_p3_1+C742*(2*k_p3_2+3*k_p3_3*C742))/k_sx</f>
        <v/>
      </c>
      <c r="J742">
        <f>(k_p4_1+C742*(2*k_p4_2+C742*(3*k_p4_3+4*k_p4_4*C742)))/k_sx</f>
        <v/>
      </c>
      <c r="K742">
        <f>k_eb*k_ec*EXP(k_ec*C742)/k_sx</f>
        <v/>
      </c>
      <c r="L742">
        <f>(2*k_p4_2+C742*(6*k_p4_3+12*k_p4_4*C742))/k_sx^2</f>
        <v/>
      </c>
      <c r="M742">
        <f>D742/B742</f>
        <v/>
      </c>
      <c r="N742">
        <f>E742/B742</f>
        <v/>
      </c>
      <c r="O742">
        <f>F742/B742</f>
        <v/>
      </c>
      <c r="P742">
        <f>G742/B742</f>
        <v/>
      </c>
      <c r="Q742">
        <f>CHOOSE(k_model,D742,E742,F742,G742)</f>
        <v/>
      </c>
      <c r="R742">
        <f>CHOOSE(k_model,H742,I742,J742,K742)</f>
        <v/>
      </c>
    </row>
    <row r="743">
      <c r="A743" t="n">
        <v>741</v>
      </c>
      <c r="B743">
        <f>k_lo+k_rng*A743/1000</f>
        <v/>
      </c>
      <c r="C743">
        <f>(B743-k_mx)/k_sx</f>
        <v/>
      </c>
      <c r="D743">
        <f>k_p2_0+C743*(k_p2_1+C743*k_p2_2)</f>
        <v/>
      </c>
      <c r="E743">
        <f>k_p3_0+C743*(k_p3_1+C743*(k_p3_2+C743*k_p3_3))</f>
        <v/>
      </c>
      <c r="F743">
        <f>k_p4_0+C743*(k_p4_1+C743*(k_p4_2+C743*(k_p4_3+C743*k_p4_4)))</f>
        <v/>
      </c>
      <c r="G743">
        <f>k_ea+k_eb*EXP(k_ec*C743)</f>
        <v/>
      </c>
      <c r="H743">
        <f>(k_p2_1+2*k_p2_2*C743)/k_sx</f>
        <v/>
      </c>
      <c r="I743">
        <f>(k_p3_1+C743*(2*k_p3_2+3*k_p3_3*C743))/k_sx</f>
        <v/>
      </c>
      <c r="J743">
        <f>(k_p4_1+C743*(2*k_p4_2+C743*(3*k_p4_3+4*k_p4_4*C743)))/k_sx</f>
        <v/>
      </c>
      <c r="K743">
        <f>k_eb*k_ec*EXP(k_ec*C743)/k_sx</f>
        <v/>
      </c>
      <c r="L743">
        <f>(2*k_p4_2+C743*(6*k_p4_3+12*k_p4_4*C743))/k_sx^2</f>
        <v/>
      </c>
      <c r="M743">
        <f>D743/B743</f>
        <v/>
      </c>
      <c r="N743">
        <f>E743/B743</f>
        <v/>
      </c>
      <c r="O743">
        <f>F743/B743</f>
        <v/>
      </c>
      <c r="P743">
        <f>G743/B743</f>
        <v/>
      </c>
      <c r="Q743">
        <f>CHOOSE(k_model,D743,E743,F743,G743)</f>
        <v/>
      </c>
      <c r="R743">
        <f>CHOOSE(k_model,H743,I743,J743,K743)</f>
        <v/>
      </c>
    </row>
    <row r="744">
      <c r="A744" t="n">
        <v>742</v>
      </c>
      <c r="B744">
        <f>k_lo+k_rng*A744/1000</f>
        <v/>
      </c>
      <c r="C744">
        <f>(B744-k_mx)/k_sx</f>
        <v/>
      </c>
      <c r="D744">
        <f>k_p2_0+C744*(k_p2_1+C744*k_p2_2)</f>
        <v/>
      </c>
      <c r="E744">
        <f>k_p3_0+C744*(k_p3_1+C744*(k_p3_2+C744*k_p3_3))</f>
        <v/>
      </c>
      <c r="F744">
        <f>k_p4_0+C744*(k_p4_1+C744*(k_p4_2+C744*(k_p4_3+C744*k_p4_4)))</f>
        <v/>
      </c>
      <c r="G744">
        <f>k_ea+k_eb*EXP(k_ec*C744)</f>
        <v/>
      </c>
      <c r="H744">
        <f>(k_p2_1+2*k_p2_2*C744)/k_sx</f>
        <v/>
      </c>
      <c r="I744">
        <f>(k_p3_1+C744*(2*k_p3_2+3*k_p3_3*C744))/k_sx</f>
        <v/>
      </c>
      <c r="J744">
        <f>(k_p4_1+C744*(2*k_p4_2+C744*(3*k_p4_3+4*k_p4_4*C744)))/k_sx</f>
        <v/>
      </c>
      <c r="K744">
        <f>k_eb*k_ec*EXP(k_ec*C744)/k_sx</f>
        <v/>
      </c>
      <c r="L744">
        <f>(2*k_p4_2+C744*(6*k_p4_3+12*k_p4_4*C744))/k_sx^2</f>
        <v/>
      </c>
      <c r="M744">
        <f>D744/B744</f>
        <v/>
      </c>
      <c r="N744">
        <f>E744/B744</f>
        <v/>
      </c>
      <c r="O744">
        <f>F744/B744</f>
        <v/>
      </c>
      <c r="P744">
        <f>G744/B744</f>
        <v/>
      </c>
      <c r="Q744">
        <f>CHOOSE(k_model,D744,E744,F744,G744)</f>
        <v/>
      </c>
      <c r="R744">
        <f>CHOOSE(k_model,H744,I744,J744,K744)</f>
        <v/>
      </c>
    </row>
    <row r="745">
      <c r="A745" t="n">
        <v>743</v>
      </c>
      <c r="B745">
        <f>k_lo+k_rng*A745/1000</f>
        <v/>
      </c>
      <c r="C745">
        <f>(B745-k_mx)/k_sx</f>
        <v/>
      </c>
      <c r="D745">
        <f>k_p2_0+C745*(k_p2_1+C745*k_p2_2)</f>
        <v/>
      </c>
      <c r="E745">
        <f>k_p3_0+C745*(k_p3_1+C745*(k_p3_2+C745*k_p3_3))</f>
        <v/>
      </c>
      <c r="F745">
        <f>k_p4_0+C745*(k_p4_1+C745*(k_p4_2+C745*(k_p4_3+C745*k_p4_4)))</f>
        <v/>
      </c>
      <c r="G745">
        <f>k_ea+k_eb*EXP(k_ec*C745)</f>
        <v/>
      </c>
      <c r="H745">
        <f>(k_p2_1+2*k_p2_2*C745)/k_sx</f>
        <v/>
      </c>
      <c r="I745">
        <f>(k_p3_1+C745*(2*k_p3_2+3*k_p3_3*C745))/k_sx</f>
        <v/>
      </c>
      <c r="J745">
        <f>(k_p4_1+C745*(2*k_p4_2+C745*(3*k_p4_3+4*k_p4_4*C745)))/k_sx</f>
        <v/>
      </c>
      <c r="K745">
        <f>k_eb*k_ec*EXP(k_ec*C745)/k_sx</f>
        <v/>
      </c>
      <c r="L745">
        <f>(2*k_p4_2+C745*(6*k_p4_3+12*k_p4_4*C745))/k_sx^2</f>
        <v/>
      </c>
      <c r="M745">
        <f>D745/B745</f>
        <v/>
      </c>
      <c r="N745">
        <f>E745/B745</f>
        <v/>
      </c>
      <c r="O745">
        <f>F745/B745</f>
        <v/>
      </c>
      <c r="P745">
        <f>G745/B745</f>
        <v/>
      </c>
      <c r="Q745">
        <f>CHOOSE(k_model,D745,E745,F745,G745)</f>
        <v/>
      </c>
      <c r="R745">
        <f>CHOOSE(k_model,H745,I745,J745,K745)</f>
        <v/>
      </c>
    </row>
    <row r="746">
      <c r="A746" t="n">
        <v>744</v>
      </c>
      <c r="B746">
        <f>k_lo+k_rng*A746/1000</f>
        <v/>
      </c>
      <c r="C746">
        <f>(B746-k_mx)/k_sx</f>
        <v/>
      </c>
      <c r="D746">
        <f>k_p2_0+C746*(k_p2_1+C746*k_p2_2)</f>
        <v/>
      </c>
      <c r="E746">
        <f>k_p3_0+C746*(k_p3_1+C746*(k_p3_2+C746*k_p3_3))</f>
        <v/>
      </c>
      <c r="F746">
        <f>k_p4_0+C746*(k_p4_1+C746*(k_p4_2+C746*(k_p4_3+C746*k_p4_4)))</f>
        <v/>
      </c>
      <c r="G746">
        <f>k_ea+k_eb*EXP(k_ec*C746)</f>
        <v/>
      </c>
      <c r="H746">
        <f>(k_p2_1+2*k_p2_2*C746)/k_sx</f>
        <v/>
      </c>
      <c r="I746">
        <f>(k_p3_1+C746*(2*k_p3_2+3*k_p3_3*C746))/k_sx</f>
        <v/>
      </c>
      <c r="J746">
        <f>(k_p4_1+C746*(2*k_p4_2+C746*(3*k_p4_3+4*k_p4_4*C746)))/k_sx</f>
        <v/>
      </c>
      <c r="K746">
        <f>k_eb*k_ec*EXP(k_ec*C746)/k_sx</f>
        <v/>
      </c>
      <c r="L746">
        <f>(2*k_p4_2+C746*(6*k_p4_3+12*k_p4_4*C746))/k_sx^2</f>
        <v/>
      </c>
      <c r="M746">
        <f>D746/B746</f>
        <v/>
      </c>
      <c r="N746">
        <f>E746/B746</f>
        <v/>
      </c>
      <c r="O746">
        <f>F746/B746</f>
        <v/>
      </c>
      <c r="P746">
        <f>G746/B746</f>
        <v/>
      </c>
      <c r="Q746">
        <f>CHOOSE(k_model,D746,E746,F746,G746)</f>
        <v/>
      </c>
      <c r="R746">
        <f>CHOOSE(k_model,H746,I746,J746,K746)</f>
        <v/>
      </c>
    </row>
    <row r="747">
      <c r="A747" t="n">
        <v>745</v>
      </c>
      <c r="B747">
        <f>k_lo+k_rng*A747/1000</f>
        <v/>
      </c>
      <c r="C747">
        <f>(B747-k_mx)/k_sx</f>
        <v/>
      </c>
      <c r="D747">
        <f>k_p2_0+C747*(k_p2_1+C747*k_p2_2)</f>
        <v/>
      </c>
      <c r="E747">
        <f>k_p3_0+C747*(k_p3_1+C747*(k_p3_2+C747*k_p3_3))</f>
        <v/>
      </c>
      <c r="F747">
        <f>k_p4_0+C747*(k_p4_1+C747*(k_p4_2+C747*(k_p4_3+C747*k_p4_4)))</f>
        <v/>
      </c>
      <c r="G747">
        <f>k_ea+k_eb*EXP(k_ec*C747)</f>
        <v/>
      </c>
      <c r="H747">
        <f>(k_p2_1+2*k_p2_2*C747)/k_sx</f>
        <v/>
      </c>
      <c r="I747">
        <f>(k_p3_1+C747*(2*k_p3_2+3*k_p3_3*C747))/k_sx</f>
        <v/>
      </c>
      <c r="J747">
        <f>(k_p4_1+C747*(2*k_p4_2+C747*(3*k_p4_3+4*k_p4_4*C747)))/k_sx</f>
        <v/>
      </c>
      <c r="K747">
        <f>k_eb*k_ec*EXP(k_ec*C747)/k_sx</f>
        <v/>
      </c>
      <c r="L747">
        <f>(2*k_p4_2+C747*(6*k_p4_3+12*k_p4_4*C747))/k_sx^2</f>
        <v/>
      </c>
      <c r="M747">
        <f>D747/B747</f>
        <v/>
      </c>
      <c r="N747">
        <f>E747/B747</f>
        <v/>
      </c>
      <c r="O747">
        <f>F747/B747</f>
        <v/>
      </c>
      <c r="P747">
        <f>G747/B747</f>
        <v/>
      </c>
      <c r="Q747">
        <f>CHOOSE(k_model,D747,E747,F747,G747)</f>
        <v/>
      </c>
      <c r="R747">
        <f>CHOOSE(k_model,H747,I747,J747,K747)</f>
        <v/>
      </c>
    </row>
    <row r="748">
      <c r="A748" t="n">
        <v>746</v>
      </c>
      <c r="B748">
        <f>k_lo+k_rng*A748/1000</f>
        <v/>
      </c>
      <c r="C748">
        <f>(B748-k_mx)/k_sx</f>
        <v/>
      </c>
      <c r="D748">
        <f>k_p2_0+C748*(k_p2_1+C748*k_p2_2)</f>
        <v/>
      </c>
      <c r="E748">
        <f>k_p3_0+C748*(k_p3_1+C748*(k_p3_2+C748*k_p3_3))</f>
        <v/>
      </c>
      <c r="F748">
        <f>k_p4_0+C748*(k_p4_1+C748*(k_p4_2+C748*(k_p4_3+C748*k_p4_4)))</f>
        <v/>
      </c>
      <c r="G748">
        <f>k_ea+k_eb*EXP(k_ec*C748)</f>
        <v/>
      </c>
      <c r="H748">
        <f>(k_p2_1+2*k_p2_2*C748)/k_sx</f>
        <v/>
      </c>
      <c r="I748">
        <f>(k_p3_1+C748*(2*k_p3_2+3*k_p3_3*C748))/k_sx</f>
        <v/>
      </c>
      <c r="J748">
        <f>(k_p4_1+C748*(2*k_p4_2+C748*(3*k_p4_3+4*k_p4_4*C748)))/k_sx</f>
        <v/>
      </c>
      <c r="K748">
        <f>k_eb*k_ec*EXP(k_ec*C748)/k_sx</f>
        <v/>
      </c>
      <c r="L748">
        <f>(2*k_p4_2+C748*(6*k_p4_3+12*k_p4_4*C748))/k_sx^2</f>
        <v/>
      </c>
      <c r="M748">
        <f>D748/B748</f>
        <v/>
      </c>
      <c r="N748">
        <f>E748/B748</f>
        <v/>
      </c>
      <c r="O748">
        <f>F748/B748</f>
        <v/>
      </c>
      <c r="P748">
        <f>G748/B748</f>
        <v/>
      </c>
      <c r="Q748">
        <f>CHOOSE(k_model,D748,E748,F748,G748)</f>
        <v/>
      </c>
      <c r="R748">
        <f>CHOOSE(k_model,H748,I748,J748,K748)</f>
        <v/>
      </c>
    </row>
    <row r="749">
      <c r="A749" t="n">
        <v>747</v>
      </c>
      <c r="B749">
        <f>k_lo+k_rng*A749/1000</f>
        <v/>
      </c>
      <c r="C749">
        <f>(B749-k_mx)/k_sx</f>
        <v/>
      </c>
      <c r="D749">
        <f>k_p2_0+C749*(k_p2_1+C749*k_p2_2)</f>
        <v/>
      </c>
      <c r="E749">
        <f>k_p3_0+C749*(k_p3_1+C749*(k_p3_2+C749*k_p3_3))</f>
        <v/>
      </c>
      <c r="F749">
        <f>k_p4_0+C749*(k_p4_1+C749*(k_p4_2+C749*(k_p4_3+C749*k_p4_4)))</f>
        <v/>
      </c>
      <c r="G749">
        <f>k_ea+k_eb*EXP(k_ec*C749)</f>
        <v/>
      </c>
      <c r="H749">
        <f>(k_p2_1+2*k_p2_2*C749)/k_sx</f>
        <v/>
      </c>
      <c r="I749">
        <f>(k_p3_1+C749*(2*k_p3_2+3*k_p3_3*C749))/k_sx</f>
        <v/>
      </c>
      <c r="J749">
        <f>(k_p4_1+C749*(2*k_p4_2+C749*(3*k_p4_3+4*k_p4_4*C749)))/k_sx</f>
        <v/>
      </c>
      <c r="K749">
        <f>k_eb*k_ec*EXP(k_ec*C749)/k_sx</f>
        <v/>
      </c>
      <c r="L749">
        <f>(2*k_p4_2+C749*(6*k_p4_3+12*k_p4_4*C749))/k_sx^2</f>
        <v/>
      </c>
      <c r="M749">
        <f>D749/B749</f>
        <v/>
      </c>
      <c r="N749">
        <f>E749/B749</f>
        <v/>
      </c>
      <c r="O749">
        <f>F749/B749</f>
        <v/>
      </c>
      <c r="P749">
        <f>G749/B749</f>
        <v/>
      </c>
      <c r="Q749">
        <f>CHOOSE(k_model,D749,E749,F749,G749)</f>
        <v/>
      </c>
      <c r="R749">
        <f>CHOOSE(k_model,H749,I749,J749,K749)</f>
        <v/>
      </c>
    </row>
    <row r="750">
      <c r="A750" t="n">
        <v>748</v>
      </c>
      <c r="B750">
        <f>k_lo+k_rng*A750/1000</f>
        <v/>
      </c>
      <c r="C750">
        <f>(B750-k_mx)/k_sx</f>
        <v/>
      </c>
      <c r="D750">
        <f>k_p2_0+C750*(k_p2_1+C750*k_p2_2)</f>
        <v/>
      </c>
      <c r="E750">
        <f>k_p3_0+C750*(k_p3_1+C750*(k_p3_2+C750*k_p3_3))</f>
        <v/>
      </c>
      <c r="F750">
        <f>k_p4_0+C750*(k_p4_1+C750*(k_p4_2+C750*(k_p4_3+C750*k_p4_4)))</f>
        <v/>
      </c>
      <c r="G750">
        <f>k_ea+k_eb*EXP(k_ec*C750)</f>
        <v/>
      </c>
      <c r="H750">
        <f>(k_p2_1+2*k_p2_2*C750)/k_sx</f>
        <v/>
      </c>
      <c r="I750">
        <f>(k_p3_1+C750*(2*k_p3_2+3*k_p3_3*C750))/k_sx</f>
        <v/>
      </c>
      <c r="J750">
        <f>(k_p4_1+C750*(2*k_p4_2+C750*(3*k_p4_3+4*k_p4_4*C750)))/k_sx</f>
        <v/>
      </c>
      <c r="K750">
        <f>k_eb*k_ec*EXP(k_ec*C750)/k_sx</f>
        <v/>
      </c>
      <c r="L750">
        <f>(2*k_p4_2+C750*(6*k_p4_3+12*k_p4_4*C750))/k_sx^2</f>
        <v/>
      </c>
      <c r="M750">
        <f>D750/B750</f>
        <v/>
      </c>
      <c r="N750">
        <f>E750/B750</f>
        <v/>
      </c>
      <c r="O750">
        <f>F750/B750</f>
        <v/>
      </c>
      <c r="P750">
        <f>G750/B750</f>
        <v/>
      </c>
      <c r="Q750">
        <f>CHOOSE(k_model,D750,E750,F750,G750)</f>
        <v/>
      </c>
      <c r="R750">
        <f>CHOOSE(k_model,H750,I750,J750,K750)</f>
        <v/>
      </c>
    </row>
    <row r="751">
      <c r="A751" t="n">
        <v>749</v>
      </c>
      <c r="B751">
        <f>k_lo+k_rng*A751/1000</f>
        <v/>
      </c>
      <c r="C751">
        <f>(B751-k_mx)/k_sx</f>
        <v/>
      </c>
      <c r="D751">
        <f>k_p2_0+C751*(k_p2_1+C751*k_p2_2)</f>
        <v/>
      </c>
      <c r="E751">
        <f>k_p3_0+C751*(k_p3_1+C751*(k_p3_2+C751*k_p3_3))</f>
        <v/>
      </c>
      <c r="F751">
        <f>k_p4_0+C751*(k_p4_1+C751*(k_p4_2+C751*(k_p4_3+C751*k_p4_4)))</f>
        <v/>
      </c>
      <c r="G751">
        <f>k_ea+k_eb*EXP(k_ec*C751)</f>
        <v/>
      </c>
      <c r="H751">
        <f>(k_p2_1+2*k_p2_2*C751)/k_sx</f>
        <v/>
      </c>
      <c r="I751">
        <f>(k_p3_1+C751*(2*k_p3_2+3*k_p3_3*C751))/k_sx</f>
        <v/>
      </c>
      <c r="J751">
        <f>(k_p4_1+C751*(2*k_p4_2+C751*(3*k_p4_3+4*k_p4_4*C751)))/k_sx</f>
        <v/>
      </c>
      <c r="K751">
        <f>k_eb*k_ec*EXP(k_ec*C751)/k_sx</f>
        <v/>
      </c>
      <c r="L751">
        <f>(2*k_p4_2+C751*(6*k_p4_3+12*k_p4_4*C751))/k_sx^2</f>
        <v/>
      </c>
      <c r="M751">
        <f>D751/B751</f>
        <v/>
      </c>
      <c r="N751">
        <f>E751/B751</f>
        <v/>
      </c>
      <c r="O751">
        <f>F751/B751</f>
        <v/>
      </c>
      <c r="P751">
        <f>G751/B751</f>
        <v/>
      </c>
      <c r="Q751">
        <f>CHOOSE(k_model,D751,E751,F751,G751)</f>
        <v/>
      </c>
      <c r="R751">
        <f>CHOOSE(k_model,H751,I751,J751,K751)</f>
        <v/>
      </c>
    </row>
    <row r="752">
      <c r="A752" t="n">
        <v>750</v>
      </c>
      <c r="B752">
        <f>k_lo+k_rng*A752/1000</f>
        <v/>
      </c>
      <c r="C752">
        <f>(B752-k_mx)/k_sx</f>
        <v/>
      </c>
      <c r="D752">
        <f>k_p2_0+C752*(k_p2_1+C752*k_p2_2)</f>
        <v/>
      </c>
      <c r="E752">
        <f>k_p3_0+C752*(k_p3_1+C752*(k_p3_2+C752*k_p3_3))</f>
        <v/>
      </c>
      <c r="F752">
        <f>k_p4_0+C752*(k_p4_1+C752*(k_p4_2+C752*(k_p4_3+C752*k_p4_4)))</f>
        <v/>
      </c>
      <c r="G752">
        <f>k_ea+k_eb*EXP(k_ec*C752)</f>
        <v/>
      </c>
      <c r="H752">
        <f>(k_p2_1+2*k_p2_2*C752)/k_sx</f>
        <v/>
      </c>
      <c r="I752">
        <f>(k_p3_1+C752*(2*k_p3_2+3*k_p3_3*C752))/k_sx</f>
        <v/>
      </c>
      <c r="J752">
        <f>(k_p4_1+C752*(2*k_p4_2+C752*(3*k_p4_3+4*k_p4_4*C752)))/k_sx</f>
        <v/>
      </c>
      <c r="K752">
        <f>k_eb*k_ec*EXP(k_ec*C752)/k_sx</f>
        <v/>
      </c>
      <c r="L752">
        <f>(2*k_p4_2+C752*(6*k_p4_3+12*k_p4_4*C752))/k_sx^2</f>
        <v/>
      </c>
      <c r="M752">
        <f>D752/B752</f>
        <v/>
      </c>
      <c r="N752">
        <f>E752/B752</f>
        <v/>
      </c>
      <c r="O752">
        <f>F752/B752</f>
        <v/>
      </c>
      <c r="P752">
        <f>G752/B752</f>
        <v/>
      </c>
      <c r="Q752">
        <f>CHOOSE(k_model,D752,E752,F752,G752)</f>
        <v/>
      </c>
      <c r="R752">
        <f>CHOOSE(k_model,H752,I752,J752,K752)</f>
        <v/>
      </c>
    </row>
    <row r="753">
      <c r="A753" t="n">
        <v>751</v>
      </c>
      <c r="B753">
        <f>k_lo+k_rng*A753/1000</f>
        <v/>
      </c>
      <c r="C753">
        <f>(B753-k_mx)/k_sx</f>
        <v/>
      </c>
      <c r="D753">
        <f>k_p2_0+C753*(k_p2_1+C753*k_p2_2)</f>
        <v/>
      </c>
      <c r="E753">
        <f>k_p3_0+C753*(k_p3_1+C753*(k_p3_2+C753*k_p3_3))</f>
        <v/>
      </c>
      <c r="F753">
        <f>k_p4_0+C753*(k_p4_1+C753*(k_p4_2+C753*(k_p4_3+C753*k_p4_4)))</f>
        <v/>
      </c>
      <c r="G753">
        <f>k_ea+k_eb*EXP(k_ec*C753)</f>
        <v/>
      </c>
      <c r="H753">
        <f>(k_p2_1+2*k_p2_2*C753)/k_sx</f>
        <v/>
      </c>
      <c r="I753">
        <f>(k_p3_1+C753*(2*k_p3_2+3*k_p3_3*C753))/k_sx</f>
        <v/>
      </c>
      <c r="J753">
        <f>(k_p4_1+C753*(2*k_p4_2+C753*(3*k_p4_3+4*k_p4_4*C753)))/k_sx</f>
        <v/>
      </c>
      <c r="K753">
        <f>k_eb*k_ec*EXP(k_ec*C753)/k_sx</f>
        <v/>
      </c>
      <c r="L753">
        <f>(2*k_p4_2+C753*(6*k_p4_3+12*k_p4_4*C753))/k_sx^2</f>
        <v/>
      </c>
      <c r="M753">
        <f>D753/B753</f>
        <v/>
      </c>
      <c r="N753">
        <f>E753/B753</f>
        <v/>
      </c>
      <c r="O753">
        <f>F753/B753</f>
        <v/>
      </c>
      <c r="P753">
        <f>G753/B753</f>
        <v/>
      </c>
      <c r="Q753">
        <f>CHOOSE(k_model,D753,E753,F753,G753)</f>
        <v/>
      </c>
      <c r="R753">
        <f>CHOOSE(k_model,H753,I753,J753,K753)</f>
        <v/>
      </c>
    </row>
    <row r="754">
      <c r="A754" t="n">
        <v>752</v>
      </c>
      <c r="B754">
        <f>k_lo+k_rng*A754/1000</f>
        <v/>
      </c>
      <c r="C754">
        <f>(B754-k_mx)/k_sx</f>
        <v/>
      </c>
      <c r="D754">
        <f>k_p2_0+C754*(k_p2_1+C754*k_p2_2)</f>
        <v/>
      </c>
      <c r="E754">
        <f>k_p3_0+C754*(k_p3_1+C754*(k_p3_2+C754*k_p3_3))</f>
        <v/>
      </c>
      <c r="F754">
        <f>k_p4_0+C754*(k_p4_1+C754*(k_p4_2+C754*(k_p4_3+C754*k_p4_4)))</f>
        <v/>
      </c>
      <c r="G754">
        <f>k_ea+k_eb*EXP(k_ec*C754)</f>
        <v/>
      </c>
      <c r="H754">
        <f>(k_p2_1+2*k_p2_2*C754)/k_sx</f>
        <v/>
      </c>
      <c r="I754">
        <f>(k_p3_1+C754*(2*k_p3_2+3*k_p3_3*C754))/k_sx</f>
        <v/>
      </c>
      <c r="J754">
        <f>(k_p4_1+C754*(2*k_p4_2+C754*(3*k_p4_3+4*k_p4_4*C754)))/k_sx</f>
        <v/>
      </c>
      <c r="K754">
        <f>k_eb*k_ec*EXP(k_ec*C754)/k_sx</f>
        <v/>
      </c>
      <c r="L754">
        <f>(2*k_p4_2+C754*(6*k_p4_3+12*k_p4_4*C754))/k_sx^2</f>
        <v/>
      </c>
      <c r="M754">
        <f>D754/B754</f>
        <v/>
      </c>
      <c r="N754">
        <f>E754/B754</f>
        <v/>
      </c>
      <c r="O754">
        <f>F754/B754</f>
        <v/>
      </c>
      <c r="P754">
        <f>G754/B754</f>
        <v/>
      </c>
      <c r="Q754">
        <f>CHOOSE(k_model,D754,E754,F754,G754)</f>
        <v/>
      </c>
      <c r="R754">
        <f>CHOOSE(k_model,H754,I754,J754,K754)</f>
        <v/>
      </c>
    </row>
    <row r="755">
      <c r="A755" t="n">
        <v>753</v>
      </c>
      <c r="B755">
        <f>k_lo+k_rng*A755/1000</f>
        <v/>
      </c>
      <c r="C755">
        <f>(B755-k_mx)/k_sx</f>
        <v/>
      </c>
      <c r="D755">
        <f>k_p2_0+C755*(k_p2_1+C755*k_p2_2)</f>
        <v/>
      </c>
      <c r="E755">
        <f>k_p3_0+C755*(k_p3_1+C755*(k_p3_2+C755*k_p3_3))</f>
        <v/>
      </c>
      <c r="F755">
        <f>k_p4_0+C755*(k_p4_1+C755*(k_p4_2+C755*(k_p4_3+C755*k_p4_4)))</f>
        <v/>
      </c>
      <c r="G755">
        <f>k_ea+k_eb*EXP(k_ec*C755)</f>
        <v/>
      </c>
      <c r="H755">
        <f>(k_p2_1+2*k_p2_2*C755)/k_sx</f>
        <v/>
      </c>
      <c r="I755">
        <f>(k_p3_1+C755*(2*k_p3_2+3*k_p3_3*C755))/k_sx</f>
        <v/>
      </c>
      <c r="J755">
        <f>(k_p4_1+C755*(2*k_p4_2+C755*(3*k_p4_3+4*k_p4_4*C755)))/k_sx</f>
        <v/>
      </c>
      <c r="K755">
        <f>k_eb*k_ec*EXP(k_ec*C755)/k_sx</f>
        <v/>
      </c>
      <c r="L755">
        <f>(2*k_p4_2+C755*(6*k_p4_3+12*k_p4_4*C755))/k_sx^2</f>
        <v/>
      </c>
      <c r="M755">
        <f>D755/B755</f>
        <v/>
      </c>
      <c r="N755">
        <f>E755/B755</f>
        <v/>
      </c>
      <c r="O755">
        <f>F755/B755</f>
        <v/>
      </c>
      <c r="P755">
        <f>G755/B755</f>
        <v/>
      </c>
      <c r="Q755">
        <f>CHOOSE(k_model,D755,E755,F755,G755)</f>
        <v/>
      </c>
      <c r="R755">
        <f>CHOOSE(k_model,H755,I755,J755,K755)</f>
        <v/>
      </c>
    </row>
    <row r="756">
      <c r="A756" t="n">
        <v>754</v>
      </c>
      <c r="B756">
        <f>k_lo+k_rng*A756/1000</f>
        <v/>
      </c>
      <c r="C756">
        <f>(B756-k_mx)/k_sx</f>
        <v/>
      </c>
      <c r="D756">
        <f>k_p2_0+C756*(k_p2_1+C756*k_p2_2)</f>
        <v/>
      </c>
      <c r="E756">
        <f>k_p3_0+C756*(k_p3_1+C756*(k_p3_2+C756*k_p3_3))</f>
        <v/>
      </c>
      <c r="F756">
        <f>k_p4_0+C756*(k_p4_1+C756*(k_p4_2+C756*(k_p4_3+C756*k_p4_4)))</f>
        <v/>
      </c>
      <c r="G756">
        <f>k_ea+k_eb*EXP(k_ec*C756)</f>
        <v/>
      </c>
      <c r="H756">
        <f>(k_p2_1+2*k_p2_2*C756)/k_sx</f>
        <v/>
      </c>
      <c r="I756">
        <f>(k_p3_1+C756*(2*k_p3_2+3*k_p3_3*C756))/k_sx</f>
        <v/>
      </c>
      <c r="J756">
        <f>(k_p4_1+C756*(2*k_p4_2+C756*(3*k_p4_3+4*k_p4_4*C756)))/k_sx</f>
        <v/>
      </c>
      <c r="K756">
        <f>k_eb*k_ec*EXP(k_ec*C756)/k_sx</f>
        <v/>
      </c>
      <c r="L756">
        <f>(2*k_p4_2+C756*(6*k_p4_3+12*k_p4_4*C756))/k_sx^2</f>
        <v/>
      </c>
      <c r="M756">
        <f>D756/B756</f>
        <v/>
      </c>
      <c r="N756">
        <f>E756/B756</f>
        <v/>
      </c>
      <c r="O756">
        <f>F756/B756</f>
        <v/>
      </c>
      <c r="P756">
        <f>G756/B756</f>
        <v/>
      </c>
      <c r="Q756">
        <f>CHOOSE(k_model,D756,E756,F756,G756)</f>
        <v/>
      </c>
      <c r="R756">
        <f>CHOOSE(k_model,H756,I756,J756,K756)</f>
        <v/>
      </c>
    </row>
    <row r="757">
      <c r="A757" t="n">
        <v>755</v>
      </c>
      <c r="B757">
        <f>k_lo+k_rng*A757/1000</f>
        <v/>
      </c>
      <c r="C757">
        <f>(B757-k_mx)/k_sx</f>
        <v/>
      </c>
      <c r="D757">
        <f>k_p2_0+C757*(k_p2_1+C757*k_p2_2)</f>
        <v/>
      </c>
      <c r="E757">
        <f>k_p3_0+C757*(k_p3_1+C757*(k_p3_2+C757*k_p3_3))</f>
        <v/>
      </c>
      <c r="F757">
        <f>k_p4_0+C757*(k_p4_1+C757*(k_p4_2+C757*(k_p4_3+C757*k_p4_4)))</f>
        <v/>
      </c>
      <c r="G757">
        <f>k_ea+k_eb*EXP(k_ec*C757)</f>
        <v/>
      </c>
      <c r="H757">
        <f>(k_p2_1+2*k_p2_2*C757)/k_sx</f>
        <v/>
      </c>
      <c r="I757">
        <f>(k_p3_1+C757*(2*k_p3_2+3*k_p3_3*C757))/k_sx</f>
        <v/>
      </c>
      <c r="J757">
        <f>(k_p4_1+C757*(2*k_p4_2+C757*(3*k_p4_3+4*k_p4_4*C757)))/k_sx</f>
        <v/>
      </c>
      <c r="K757">
        <f>k_eb*k_ec*EXP(k_ec*C757)/k_sx</f>
        <v/>
      </c>
      <c r="L757">
        <f>(2*k_p4_2+C757*(6*k_p4_3+12*k_p4_4*C757))/k_sx^2</f>
        <v/>
      </c>
      <c r="M757">
        <f>D757/B757</f>
        <v/>
      </c>
      <c r="N757">
        <f>E757/B757</f>
        <v/>
      </c>
      <c r="O757">
        <f>F757/B757</f>
        <v/>
      </c>
      <c r="P757">
        <f>G757/B757</f>
        <v/>
      </c>
      <c r="Q757">
        <f>CHOOSE(k_model,D757,E757,F757,G757)</f>
        <v/>
      </c>
      <c r="R757">
        <f>CHOOSE(k_model,H757,I757,J757,K757)</f>
        <v/>
      </c>
    </row>
    <row r="758">
      <c r="A758" t="n">
        <v>756</v>
      </c>
      <c r="B758">
        <f>k_lo+k_rng*A758/1000</f>
        <v/>
      </c>
      <c r="C758">
        <f>(B758-k_mx)/k_sx</f>
        <v/>
      </c>
      <c r="D758">
        <f>k_p2_0+C758*(k_p2_1+C758*k_p2_2)</f>
        <v/>
      </c>
      <c r="E758">
        <f>k_p3_0+C758*(k_p3_1+C758*(k_p3_2+C758*k_p3_3))</f>
        <v/>
      </c>
      <c r="F758">
        <f>k_p4_0+C758*(k_p4_1+C758*(k_p4_2+C758*(k_p4_3+C758*k_p4_4)))</f>
        <v/>
      </c>
      <c r="G758">
        <f>k_ea+k_eb*EXP(k_ec*C758)</f>
        <v/>
      </c>
      <c r="H758">
        <f>(k_p2_1+2*k_p2_2*C758)/k_sx</f>
        <v/>
      </c>
      <c r="I758">
        <f>(k_p3_1+C758*(2*k_p3_2+3*k_p3_3*C758))/k_sx</f>
        <v/>
      </c>
      <c r="J758">
        <f>(k_p4_1+C758*(2*k_p4_2+C758*(3*k_p4_3+4*k_p4_4*C758)))/k_sx</f>
        <v/>
      </c>
      <c r="K758">
        <f>k_eb*k_ec*EXP(k_ec*C758)/k_sx</f>
        <v/>
      </c>
      <c r="L758">
        <f>(2*k_p4_2+C758*(6*k_p4_3+12*k_p4_4*C758))/k_sx^2</f>
        <v/>
      </c>
      <c r="M758">
        <f>D758/B758</f>
        <v/>
      </c>
      <c r="N758">
        <f>E758/B758</f>
        <v/>
      </c>
      <c r="O758">
        <f>F758/B758</f>
        <v/>
      </c>
      <c r="P758">
        <f>G758/B758</f>
        <v/>
      </c>
      <c r="Q758">
        <f>CHOOSE(k_model,D758,E758,F758,G758)</f>
        <v/>
      </c>
      <c r="R758">
        <f>CHOOSE(k_model,H758,I758,J758,K758)</f>
        <v/>
      </c>
    </row>
    <row r="759">
      <c r="A759" t="n">
        <v>757</v>
      </c>
      <c r="B759">
        <f>k_lo+k_rng*A759/1000</f>
        <v/>
      </c>
      <c r="C759">
        <f>(B759-k_mx)/k_sx</f>
        <v/>
      </c>
      <c r="D759">
        <f>k_p2_0+C759*(k_p2_1+C759*k_p2_2)</f>
        <v/>
      </c>
      <c r="E759">
        <f>k_p3_0+C759*(k_p3_1+C759*(k_p3_2+C759*k_p3_3))</f>
        <v/>
      </c>
      <c r="F759">
        <f>k_p4_0+C759*(k_p4_1+C759*(k_p4_2+C759*(k_p4_3+C759*k_p4_4)))</f>
        <v/>
      </c>
      <c r="G759">
        <f>k_ea+k_eb*EXP(k_ec*C759)</f>
        <v/>
      </c>
      <c r="H759">
        <f>(k_p2_1+2*k_p2_2*C759)/k_sx</f>
        <v/>
      </c>
      <c r="I759">
        <f>(k_p3_1+C759*(2*k_p3_2+3*k_p3_3*C759))/k_sx</f>
        <v/>
      </c>
      <c r="J759">
        <f>(k_p4_1+C759*(2*k_p4_2+C759*(3*k_p4_3+4*k_p4_4*C759)))/k_sx</f>
        <v/>
      </c>
      <c r="K759">
        <f>k_eb*k_ec*EXP(k_ec*C759)/k_sx</f>
        <v/>
      </c>
      <c r="L759">
        <f>(2*k_p4_2+C759*(6*k_p4_3+12*k_p4_4*C759))/k_sx^2</f>
        <v/>
      </c>
      <c r="M759">
        <f>D759/B759</f>
        <v/>
      </c>
      <c r="N759">
        <f>E759/B759</f>
        <v/>
      </c>
      <c r="O759">
        <f>F759/B759</f>
        <v/>
      </c>
      <c r="P759">
        <f>G759/B759</f>
        <v/>
      </c>
      <c r="Q759">
        <f>CHOOSE(k_model,D759,E759,F759,G759)</f>
        <v/>
      </c>
      <c r="R759">
        <f>CHOOSE(k_model,H759,I759,J759,K759)</f>
        <v/>
      </c>
    </row>
    <row r="760">
      <c r="A760" t="n">
        <v>758</v>
      </c>
      <c r="B760">
        <f>k_lo+k_rng*A760/1000</f>
        <v/>
      </c>
      <c r="C760">
        <f>(B760-k_mx)/k_sx</f>
        <v/>
      </c>
      <c r="D760">
        <f>k_p2_0+C760*(k_p2_1+C760*k_p2_2)</f>
        <v/>
      </c>
      <c r="E760">
        <f>k_p3_0+C760*(k_p3_1+C760*(k_p3_2+C760*k_p3_3))</f>
        <v/>
      </c>
      <c r="F760">
        <f>k_p4_0+C760*(k_p4_1+C760*(k_p4_2+C760*(k_p4_3+C760*k_p4_4)))</f>
        <v/>
      </c>
      <c r="G760">
        <f>k_ea+k_eb*EXP(k_ec*C760)</f>
        <v/>
      </c>
      <c r="H760">
        <f>(k_p2_1+2*k_p2_2*C760)/k_sx</f>
        <v/>
      </c>
      <c r="I760">
        <f>(k_p3_1+C760*(2*k_p3_2+3*k_p3_3*C760))/k_sx</f>
        <v/>
      </c>
      <c r="J760">
        <f>(k_p4_1+C760*(2*k_p4_2+C760*(3*k_p4_3+4*k_p4_4*C760)))/k_sx</f>
        <v/>
      </c>
      <c r="K760">
        <f>k_eb*k_ec*EXP(k_ec*C760)/k_sx</f>
        <v/>
      </c>
      <c r="L760">
        <f>(2*k_p4_2+C760*(6*k_p4_3+12*k_p4_4*C760))/k_sx^2</f>
        <v/>
      </c>
      <c r="M760">
        <f>D760/B760</f>
        <v/>
      </c>
      <c r="N760">
        <f>E760/B760</f>
        <v/>
      </c>
      <c r="O760">
        <f>F760/B760</f>
        <v/>
      </c>
      <c r="P760">
        <f>G760/B760</f>
        <v/>
      </c>
      <c r="Q760">
        <f>CHOOSE(k_model,D760,E760,F760,G760)</f>
        <v/>
      </c>
      <c r="R760">
        <f>CHOOSE(k_model,H760,I760,J760,K760)</f>
        <v/>
      </c>
    </row>
    <row r="761">
      <c r="A761" t="n">
        <v>759</v>
      </c>
      <c r="B761">
        <f>k_lo+k_rng*A761/1000</f>
        <v/>
      </c>
      <c r="C761">
        <f>(B761-k_mx)/k_sx</f>
        <v/>
      </c>
      <c r="D761">
        <f>k_p2_0+C761*(k_p2_1+C761*k_p2_2)</f>
        <v/>
      </c>
      <c r="E761">
        <f>k_p3_0+C761*(k_p3_1+C761*(k_p3_2+C761*k_p3_3))</f>
        <v/>
      </c>
      <c r="F761">
        <f>k_p4_0+C761*(k_p4_1+C761*(k_p4_2+C761*(k_p4_3+C761*k_p4_4)))</f>
        <v/>
      </c>
      <c r="G761">
        <f>k_ea+k_eb*EXP(k_ec*C761)</f>
        <v/>
      </c>
      <c r="H761">
        <f>(k_p2_1+2*k_p2_2*C761)/k_sx</f>
        <v/>
      </c>
      <c r="I761">
        <f>(k_p3_1+C761*(2*k_p3_2+3*k_p3_3*C761))/k_sx</f>
        <v/>
      </c>
      <c r="J761">
        <f>(k_p4_1+C761*(2*k_p4_2+C761*(3*k_p4_3+4*k_p4_4*C761)))/k_sx</f>
        <v/>
      </c>
      <c r="K761">
        <f>k_eb*k_ec*EXP(k_ec*C761)/k_sx</f>
        <v/>
      </c>
      <c r="L761">
        <f>(2*k_p4_2+C761*(6*k_p4_3+12*k_p4_4*C761))/k_sx^2</f>
        <v/>
      </c>
      <c r="M761">
        <f>D761/B761</f>
        <v/>
      </c>
      <c r="N761">
        <f>E761/B761</f>
        <v/>
      </c>
      <c r="O761">
        <f>F761/B761</f>
        <v/>
      </c>
      <c r="P761">
        <f>G761/B761</f>
        <v/>
      </c>
      <c r="Q761">
        <f>CHOOSE(k_model,D761,E761,F761,G761)</f>
        <v/>
      </c>
      <c r="R761">
        <f>CHOOSE(k_model,H761,I761,J761,K761)</f>
        <v/>
      </c>
    </row>
    <row r="762">
      <c r="A762" t="n">
        <v>760</v>
      </c>
      <c r="B762">
        <f>k_lo+k_rng*A762/1000</f>
        <v/>
      </c>
      <c r="C762">
        <f>(B762-k_mx)/k_sx</f>
        <v/>
      </c>
      <c r="D762">
        <f>k_p2_0+C762*(k_p2_1+C762*k_p2_2)</f>
        <v/>
      </c>
      <c r="E762">
        <f>k_p3_0+C762*(k_p3_1+C762*(k_p3_2+C762*k_p3_3))</f>
        <v/>
      </c>
      <c r="F762">
        <f>k_p4_0+C762*(k_p4_1+C762*(k_p4_2+C762*(k_p4_3+C762*k_p4_4)))</f>
        <v/>
      </c>
      <c r="G762">
        <f>k_ea+k_eb*EXP(k_ec*C762)</f>
        <v/>
      </c>
      <c r="H762">
        <f>(k_p2_1+2*k_p2_2*C762)/k_sx</f>
        <v/>
      </c>
      <c r="I762">
        <f>(k_p3_1+C762*(2*k_p3_2+3*k_p3_3*C762))/k_sx</f>
        <v/>
      </c>
      <c r="J762">
        <f>(k_p4_1+C762*(2*k_p4_2+C762*(3*k_p4_3+4*k_p4_4*C762)))/k_sx</f>
        <v/>
      </c>
      <c r="K762">
        <f>k_eb*k_ec*EXP(k_ec*C762)/k_sx</f>
        <v/>
      </c>
      <c r="L762">
        <f>(2*k_p4_2+C762*(6*k_p4_3+12*k_p4_4*C762))/k_sx^2</f>
        <v/>
      </c>
      <c r="M762">
        <f>D762/B762</f>
        <v/>
      </c>
      <c r="N762">
        <f>E762/B762</f>
        <v/>
      </c>
      <c r="O762">
        <f>F762/B762</f>
        <v/>
      </c>
      <c r="P762">
        <f>G762/B762</f>
        <v/>
      </c>
      <c r="Q762">
        <f>CHOOSE(k_model,D762,E762,F762,G762)</f>
        <v/>
      </c>
      <c r="R762">
        <f>CHOOSE(k_model,H762,I762,J762,K762)</f>
        <v/>
      </c>
    </row>
    <row r="763">
      <c r="A763" t="n">
        <v>761</v>
      </c>
      <c r="B763">
        <f>k_lo+k_rng*A763/1000</f>
        <v/>
      </c>
      <c r="C763">
        <f>(B763-k_mx)/k_sx</f>
        <v/>
      </c>
      <c r="D763">
        <f>k_p2_0+C763*(k_p2_1+C763*k_p2_2)</f>
        <v/>
      </c>
      <c r="E763">
        <f>k_p3_0+C763*(k_p3_1+C763*(k_p3_2+C763*k_p3_3))</f>
        <v/>
      </c>
      <c r="F763">
        <f>k_p4_0+C763*(k_p4_1+C763*(k_p4_2+C763*(k_p4_3+C763*k_p4_4)))</f>
        <v/>
      </c>
      <c r="G763">
        <f>k_ea+k_eb*EXP(k_ec*C763)</f>
        <v/>
      </c>
      <c r="H763">
        <f>(k_p2_1+2*k_p2_2*C763)/k_sx</f>
        <v/>
      </c>
      <c r="I763">
        <f>(k_p3_1+C763*(2*k_p3_2+3*k_p3_3*C763))/k_sx</f>
        <v/>
      </c>
      <c r="J763">
        <f>(k_p4_1+C763*(2*k_p4_2+C763*(3*k_p4_3+4*k_p4_4*C763)))/k_sx</f>
        <v/>
      </c>
      <c r="K763">
        <f>k_eb*k_ec*EXP(k_ec*C763)/k_sx</f>
        <v/>
      </c>
      <c r="L763">
        <f>(2*k_p4_2+C763*(6*k_p4_3+12*k_p4_4*C763))/k_sx^2</f>
        <v/>
      </c>
      <c r="M763">
        <f>D763/B763</f>
        <v/>
      </c>
      <c r="N763">
        <f>E763/B763</f>
        <v/>
      </c>
      <c r="O763">
        <f>F763/B763</f>
        <v/>
      </c>
      <c r="P763">
        <f>G763/B763</f>
        <v/>
      </c>
      <c r="Q763">
        <f>CHOOSE(k_model,D763,E763,F763,G763)</f>
        <v/>
      </c>
      <c r="R763">
        <f>CHOOSE(k_model,H763,I763,J763,K763)</f>
        <v/>
      </c>
    </row>
    <row r="764">
      <c r="A764" t="n">
        <v>762</v>
      </c>
      <c r="B764">
        <f>k_lo+k_rng*A764/1000</f>
        <v/>
      </c>
      <c r="C764">
        <f>(B764-k_mx)/k_sx</f>
        <v/>
      </c>
      <c r="D764">
        <f>k_p2_0+C764*(k_p2_1+C764*k_p2_2)</f>
        <v/>
      </c>
      <c r="E764">
        <f>k_p3_0+C764*(k_p3_1+C764*(k_p3_2+C764*k_p3_3))</f>
        <v/>
      </c>
      <c r="F764">
        <f>k_p4_0+C764*(k_p4_1+C764*(k_p4_2+C764*(k_p4_3+C764*k_p4_4)))</f>
        <v/>
      </c>
      <c r="G764">
        <f>k_ea+k_eb*EXP(k_ec*C764)</f>
        <v/>
      </c>
      <c r="H764">
        <f>(k_p2_1+2*k_p2_2*C764)/k_sx</f>
        <v/>
      </c>
      <c r="I764">
        <f>(k_p3_1+C764*(2*k_p3_2+3*k_p3_3*C764))/k_sx</f>
        <v/>
      </c>
      <c r="J764">
        <f>(k_p4_1+C764*(2*k_p4_2+C764*(3*k_p4_3+4*k_p4_4*C764)))/k_sx</f>
        <v/>
      </c>
      <c r="K764">
        <f>k_eb*k_ec*EXP(k_ec*C764)/k_sx</f>
        <v/>
      </c>
      <c r="L764">
        <f>(2*k_p4_2+C764*(6*k_p4_3+12*k_p4_4*C764))/k_sx^2</f>
        <v/>
      </c>
      <c r="M764">
        <f>D764/B764</f>
        <v/>
      </c>
      <c r="N764">
        <f>E764/B764</f>
        <v/>
      </c>
      <c r="O764">
        <f>F764/B764</f>
        <v/>
      </c>
      <c r="P764">
        <f>G764/B764</f>
        <v/>
      </c>
      <c r="Q764">
        <f>CHOOSE(k_model,D764,E764,F764,G764)</f>
        <v/>
      </c>
      <c r="R764">
        <f>CHOOSE(k_model,H764,I764,J764,K764)</f>
        <v/>
      </c>
    </row>
    <row r="765">
      <c r="A765" t="n">
        <v>763</v>
      </c>
      <c r="B765">
        <f>k_lo+k_rng*A765/1000</f>
        <v/>
      </c>
      <c r="C765">
        <f>(B765-k_mx)/k_sx</f>
        <v/>
      </c>
      <c r="D765">
        <f>k_p2_0+C765*(k_p2_1+C765*k_p2_2)</f>
        <v/>
      </c>
      <c r="E765">
        <f>k_p3_0+C765*(k_p3_1+C765*(k_p3_2+C765*k_p3_3))</f>
        <v/>
      </c>
      <c r="F765">
        <f>k_p4_0+C765*(k_p4_1+C765*(k_p4_2+C765*(k_p4_3+C765*k_p4_4)))</f>
        <v/>
      </c>
      <c r="G765">
        <f>k_ea+k_eb*EXP(k_ec*C765)</f>
        <v/>
      </c>
      <c r="H765">
        <f>(k_p2_1+2*k_p2_2*C765)/k_sx</f>
        <v/>
      </c>
      <c r="I765">
        <f>(k_p3_1+C765*(2*k_p3_2+3*k_p3_3*C765))/k_sx</f>
        <v/>
      </c>
      <c r="J765">
        <f>(k_p4_1+C765*(2*k_p4_2+C765*(3*k_p4_3+4*k_p4_4*C765)))/k_sx</f>
        <v/>
      </c>
      <c r="K765">
        <f>k_eb*k_ec*EXP(k_ec*C765)/k_sx</f>
        <v/>
      </c>
      <c r="L765">
        <f>(2*k_p4_2+C765*(6*k_p4_3+12*k_p4_4*C765))/k_sx^2</f>
        <v/>
      </c>
      <c r="M765">
        <f>D765/B765</f>
        <v/>
      </c>
      <c r="N765">
        <f>E765/B765</f>
        <v/>
      </c>
      <c r="O765">
        <f>F765/B765</f>
        <v/>
      </c>
      <c r="P765">
        <f>G765/B765</f>
        <v/>
      </c>
      <c r="Q765">
        <f>CHOOSE(k_model,D765,E765,F765,G765)</f>
        <v/>
      </c>
      <c r="R765">
        <f>CHOOSE(k_model,H765,I765,J765,K765)</f>
        <v/>
      </c>
    </row>
    <row r="766">
      <c r="A766" t="n">
        <v>764</v>
      </c>
      <c r="B766">
        <f>k_lo+k_rng*A766/1000</f>
        <v/>
      </c>
      <c r="C766">
        <f>(B766-k_mx)/k_sx</f>
        <v/>
      </c>
      <c r="D766">
        <f>k_p2_0+C766*(k_p2_1+C766*k_p2_2)</f>
        <v/>
      </c>
      <c r="E766">
        <f>k_p3_0+C766*(k_p3_1+C766*(k_p3_2+C766*k_p3_3))</f>
        <v/>
      </c>
      <c r="F766">
        <f>k_p4_0+C766*(k_p4_1+C766*(k_p4_2+C766*(k_p4_3+C766*k_p4_4)))</f>
        <v/>
      </c>
      <c r="G766">
        <f>k_ea+k_eb*EXP(k_ec*C766)</f>
        <v/>
      </c>
      <c r="H766">
        <f>(k_p2_1+2*k_p2_2*C766)/k_sx</f>
        <v/>
      </c>
      <c r="I766">
        <f>(k_p3_1+C766*(2*k_p3_2+3*k_p3_3*C766))/k_sx</f>
        <v/>
      </c>
      <c r="J766">
        <f>(k_p4_1+C766*(2*k_p4_2+C766*(3*k_p4_3+4*k_p4_4*C766)))/k_sx</f>
        <v/>
      </c>
      <c r="K766">
        <f>k_eb*k_ec*EXP(k_ec*C766)/k_sx</f>
        <v/>
      </c>
      <c r="L766">
        <f>(2*k_p4_2+C766*(6*k_p4_3+12*k_p4_4*C766))/k_sx^2</f>
        <v/>
      </c>
      <c r="M766">
        <f>D766/B766</f>
        <v/>
      </c>
      <c r="N766">
        <f>E766/B766</f>
        <v/>
      </c>
      <c r="O766">
        <f>F766/B766</f>
        <v/>
      </c>
      <c r="P766">
        <f>G766/B766</f>
        <v/>
      </c>
      <c r="Q766">
        <f>CHOOSE(k_model,D766,E766,F766,G766)</f>
        <v/>
      </c>
      <c r="R766">
        <f>CHOOSE(k_model,H766,I766,J766,K766)</f>
        <v/>
      </c>
    </row>
    <row r="767">
      <c r="A767" t="n">
        <v>765</v>
      </c>
      <c r="B767">
        <f>k_lo+k_rng*A767/1000</f>
        <v/>
      </c>
      <c r="C767">
        <f>(B767-k_mx)/k_sx</f>
        <v/>
      </c>
      <c r="D767">
        <f>k_p2_0+C767*(k_p2_1+C767*k_p2_2)</f>
        <v/>
      </c>
      <c r="E767">
        <f>k_p3_0+C767*(k_p3_1+C767*(k_p3_2+C767*k_p3_3))</f>
        <v/>
      </c>
      <c r="F767">
        <f>k_p4_0+C767*(k_p4_1+C767*(k_p4_2+C767*(k_p4_3+C767*k_p4_4)))</f>
        <v/>
      </c>
      <c r="G767">
        <f>k_ea+k_eb*EXP(k_ec*C767)</f>
        <v/>
      </c>
      <c r="H767">
        <f>(k_p2_1+2*k_p2_2*C767)/k_sx</f>
        <v/>
      </c>
      <c r="I767">
        <f>(k_p3_1+C767*(2*k_p3_2+3*k_p3_3*C767))/k_sx</f>
        <v/>
      </c>
      <c r="J767">
        <f>(k_p4_1+C767*(2*k_p4_2+C767*(3*k_p4_3+4*k_p4_4*C767)))/k_sx</f>
        <v/>
      </c>
      <c r="K767">
        <f>k_eb*k_ec*EXP(k_ec*C767)/k_sx</f>
        <v/>
      </c>
      <c r="L767">
        <f>(2*k_p4_2+C767*(6*k_p4_3+12*k_p4_4*C767))/k_sx^2</f>
        <v/>
      </c>
      <c r="M767">
        <f>D767/B767</f>
        <v/>
      </c>
      <c r="N767">
        <f>E767/B767</f>
        <v/>
      </c>
      <c r="O767">
        <f>F767/B767</f>
        <v/>
      </c>
      <c r="P767">
        <f>G767/B767</f>
        <v/>
      </c>
      <c r="Q767">
        <f>CHOOSE(k_model,D767,E767,F767,G767)</f>
        <v/>
      </c>
      <c r="R767">
        <f>CHOOSE(k_model,H767,I767,J767,K767)</f>
        <v/>
      </c>
    </row>
    <row r="768">
      <c r="A768" t="n">
        <v>766</v>
      </c>
      <c r="B768">
        <f>k_lo+k_rng*A768/1000</f>
        <v/>
      </c>
      <c r="C768">
        <f>(B768-k_mx)/k_sx</f>
        <v/>
      </c>
      <c r="D768">
        <f>k_p2_0+C768*(k_p2_1+C768*k_p2_2)</f>
        <v/>
      </c>
      <c r="E768">
        <f>k_p3_0+C768*(k_p3_1+C768*(k_p3_2+C768*k_p3_3))</f>
        <v/>
      </c>
      <c r="F768">
        <f>k_p4_0+C768*(k_p4_1+C768*(k_p4_2+C768*(k_p4_3+C768*k_p4_4)))</f>
        <v/>
      </c>
      <c r="G768">
        <f>k_ea+k_eb*EXP(k_ec*C768)</f>
        <v/>
      </c>
      <c r="H768">
        <f>(k_p2_1+2*k_p2_2*C768)/k_sx</f>
        <v/>
      </c>
      <c r="I768">
        <f>(k_p3_1+C768*(2*k_p3_2+3*k_p3_3*C768))/k_sx</f>
        <v/>
      </c>
      <c r="J768">
        <f>(k_p4_1+C768*(2*k_p4_2+C768*(3*k_p4_3+4*k_p4_4*C768)))/k_sx</f>
        <v/>
      </c>
      <c r="K768">
        <f>k_eb*k_ec*EXP(k_ec*C768)/k_sx</f>
        <v/>
      </c>
      <c r="L768">
        <f>(2*k_p4_2+C768*(6*k_p4_3+12*k_p4_4*C768))/k_sx^2</f>
        <v/>
      </c>
      <c r="M768">
        <f>D768/B768</f>
        <v/>
      </c>
      <c r="N768">
        <f>E768/B768</f>
        <v/>
      </c>
      <c r="O768">
        <f>F768/B768</f>
        <v/>
      </c>
      <c r="P768">
        <f>G768/B768</f>
        <v/>
      </c>
      <c r="Q768">
        <f>CHOOSE(k_model,D768,E768,F768,G768)</f>
        <v/>
      </c>
      <c r="R768">
        <f>CHOOSE(k_model,H768,I768,J768,K768)</f>
        <v/>
      </c>
    </row>
    <row r="769">
      <c r="A769" t="n">
        <v>767</v>
      </c>
      <c r="B769">
        <f>k_lo+k_rng*A769/1000</f>
        <v/>
      </c>
      <c r="C769">
        <f>(B769-k_mx)/k_sx</f>
        <v/>
      </c>
      <c r="D769">
        <f>k_p2_0+C769*(k_p2_1+C769*k_p2_2)</f>
        <v/>
      </c>
      <c r="E769">
        <f>k_p3_0+C769*(k_p3_1+C769*(k_p3_2+C769*k_p3_3))</f>
        <v/>
      </c>
      <c r="F769">
        <f>k_p4_0+C769*(k_p4_1+C769*(k_p4_2+C769*(k_p4_3+C769*k_p4_4)))</f>
        <v/>
      </c>
      <c r="G769">
        <f>k_ea+k_eb*EXP(k_ec*C769)</f>
        <v/>
      </c>
      <c r="H769">
        <f>(k_p2_1+2*k_p2_2*C769)/k_sx</f>
        <v/>
      </c>
      <c r="I769">
        <f>(k_p3_1+C769*(2*k_p3_2+3*k_p3_3*C769))/k_sx</f>
        <v/>
      </c>
      <c r="J769">
        <f>(k_p4_1+C769*(2*k_p4_2+C769*(3*k_p4_3+4*k_p4_4*C769)))/k_sx</f>
        <v/>
      </c>
      <c r="K769">
        <f>k_eb*k_ec*EXP(k_ec*C769)/k_sx</f>
        <v/>
      </c>
      <c r="L769">
        <f>(2*k_p4_2+C769*(6*k_p4_3+12*k_p4_4*C769))/k_sx^2</f>
        <v/>
      </c>
      <c r="M769">
        <f>D769/B769</f>
        <v/>
      </c>
      <c r="N769">
        <f>E769/B769</f>
        <v/>
      </c>
      <c r="O769">
        <f>F769/B769</f>
        <v/>
      </c>
      <c r="P769">
        <f>G769/B769</f>
        <v/>
      </c>
      <c r="Q769">
        <f>CHOOSE(k_model,D769,E769,F769,G769)</f>
        <v/>
      </c>
      <c r="R769">
        <f>CHOOSE(k_model,H769,I769,J769,K769)</f>
        <v/>
      </c>
    </row>
    <row r="770">
      <c r="A770" t="n">
        <v>768</v>
      </c>
      <c r="B770">
        <f>k_lo+k_rng*A770/1000</f>
        <v/>
      </c>
      <c r="C770">
        <f>(B770-k_mx)/k_sx</f>
        <v/>
      </c>
      <c r="D770">
        <f>k_p2_0+C770*(k_p2_1+C770*k_p2_2)</f>
        <v/>
      </c>
      <c r="E770">
        <f>k_p3_0+C770*(k_p3_1+C770*(k_p3_2+C770*k_p3_3))</f>
        <v/>
      </c>
      <c r="F770">
        <f>k_p4_0+C770*(k_p4_1+C770*(k_p4_2+C770*(k_p4_3+C770*k_p4_4)))</f>
        <v/>
      </c>
      <c r="G770">
        <f>k_ea+k_eb*EXP(k_ec*C770)</f>
        <v/>
      </c>
      <c r="H770">
        <f>(k_p2_1+2*k_p2_2*C770)/k_sx</f>
        <v/>
      </c>
      <c r="I770">
        <f>(k_p3_1+C770*(2*k_p3_2+3*k_p3_3*C770))/k_sx</f>
        <v/>
      </c>
      <c r="J770">
        <f>(k_p4_1+C770*(2*k_p4_2+C770*(3*k_p4_3+4*k_p4_4*C770)))/k_sx</f>
        <v/>
      </c>
      <c r="K770">
        <f>k_eb*k_ec*EXP(k_ec*C770)/k_sx</f>
        <v/>
      </c>
      <c r="L770">
        <f>(2*k_p4_2+C770*(6*k_p4_3+12*k_p4_4*C770))/k_sx^2</f>
        <v/>
      </c>
      <c r="M770">
        <f>D770/B770</f>
        <v/>
      </c>
      <c r="N770">
        <f>E770/B770</f>
        <v/>
      </c>
      <c r="O770">
        <f>F770/B770</f>
        <v/>
      </c>
      <c r="P770">
        <f>G770/B770</f>
        <v/>
      </c>
      <c r="Q770">
        <f>CHOOSE(k_model,D770,E770,F770,G770)</f>
        <v/>
      </c>
      <c r="R770">
        <f>CHOOSE(k_model,H770,I770,J770,K770)</f>
        <v/>
      </c>
    </row>
    <row r="771">
      <c r="A771" t="n">
        <v>769</v>
      </c>
      <c r="B771">
        <f>k_lo+k_rng*A771/1000</f>
        <v/>
      </c>
      <c r="C771">
        <f>(B771-k_mx)/k_sx</f>
        <v/>
      </c>
      <c r="D771">
        <f>k_p2_0+C771*(k_p2_1+C771*k_p2_2)</f>
        <v/>
      </c>
      <c r="E771">
        <f>k_p3_0+C771*(k_p3_1+C771*(k_p3_2+C771*k_p3_3))</f>
        <v/>
      </c>
      <c r="F771">
        <f>k_p4_0+C771*(k_p4_1+C771*(k_p4_2+C771*(k_p4_3+C771*k_p4_4)))</f>
        <v/>
      </c>
      <c r="G771">
        <f>k_ea+k_eb*EXP(k_ec*C771)</f>
        <v/>
      </c>
      <c r="H771">
        <f>(k_p2_1+2*k_p2_2*C771)/k_sx</f>
        <v/>
      </c>
      <c r="I771">
        <f>(k_p3_1+C771*(2*k_p3_2+3*k_p3_3*C771))/k_sx</f>
        <v/>
      </c>
      <c r="J771">
        <f>(k_p4_1+C771*(2*k_p4_2+C771*(3*k_p4_3+4*k_p4_4*C771)))/k_sx</f>
        <v/>
      </c>
      <c r="K771">
        <f>k_eb*k_ec*EXP(k_ec*C771)/k_sx</f>
        <v/>
      </c>
      <c r="L771">
        <f>(2*k_p4_2+C771*(6*k_p4_3+12*k_p4_4*C771))/k_sx^2</f>
        <v/>
      </c>
      <c r="M771">
        <f>D771/B771</f>
        <v/>
      </c>
      <c r="N771">
        <f>E771/B771</f>
        <v/>
      </c>
      <c r="O771">
        <f>F771/B771</f>
        <v/>
      </c>
      <c r="P771">
        <f>G771/B771</f>
        <v/>
      </c>
      <c r="Q771">
        <f>CHOOSE(k_model,D771,E771,F771,G771)</f>
        <v/>
      </c>
      <c r="R771">
        <f>CHOOSE(k_model,H771,I771,J771,K771)</f>
        <v/>
      </c>
    </row>
    <row r="772">
      <c r="A772" t="n">
        <v>770</v>
      </c>
      <c r="B772">
        <f>k_lo+k_rng*A772/1000</f>
        <v/>
      </c>
      <c r="C772">
        <f>(B772-k_mx)/k_sx</f>
        <v/>
      </c>
      <c r="D772">
        <f>k_p2_0+C772*(k_p2_1+C772*k_p2_2)</f>
        <v/>
      </c>
      <c r="E772">
        <f>k_p3_0+C772*(k_p3_1+C772*(k_p3_2+C772*k_p3_3))</f>
        <v/>
      </c>
      <c r="F772">
        <f>k_p4_0+C772*(k_p4_1+C772*(k_p4_2+C772*(k_p4_3+C772*k_p4_4)))</f>
        <v/>
      </c>
      <c r="G772">
        <f>k_ea+k_eb*EXP(k_ec*C772)</f>
        <v/>
      </c>
      <c r="H772">
        <f>(k_p2_1+2*k_p2_2*C772)/k_sx</f>
        <v/>
      </c>
      <c r="I772">
        <f>(k_p3_1+C772*(2*k_p3_2+3*k_p3_3*C772))/k_sx</f>
        <v/>
      </c>
      <c r="J772">
        <f>(k_p4_1+C772*(2*k_p4_2+C772*(3*k_p4_3+4*k_p4_4*C772)))/k_sx</f>
        <v/>
      </c>
      <c r="K772">
        <f>k_eb*k_ec*EXP(k_ec*C772)/k_sx</f>
        <v/>
      </c>
      <c r="L772">
        <f>(2*k_p4_2+C772*(6*k_p4_3+12*k_p4_4*C772))/k_sx^2</f>
        <v/>
      </c>
      <c r="M772">
        <f>D772/B772</f>
        <v/>
      </c>
      <c r="N772">
        <f>E772/B772</f>
        <v/>
      </c>
      <c r="O772">
        <f>F772/B772</f>
        <v/>
      </c>
      <c r="P772">
        <f>G772/B772</f>
        <v/>
      </c>
      <c r="Q772">
        <f>CHOOSE(k_model,D772,E772,F772,G772)</f>
        <v/>
      </c>
      <c r="R772">
        <f>CHOOSE(k_model,H772,I772,J772,K772)</f>
        <v/>
      </c>
    </row>
    <row r="773">
      <c r="A773" t="n">
        <v>771</v>
      </c>
      <c r="B773">
        <f>k_lo+k_rng*A773/1000</f>
        <v/>
      </c>
      <c r="C773">
        <f>(B773-k_mx)/k_sx</f>
        <v/>
      </c>
      <c r="D773">
        <f>k_p2_0+C773*(k_p2_1+C773*k_p2_2)</f>
        <v/>
      </c>
      <c r="E773">
        <f>k_p3_0+C773*(k_p3_1+C773*(k_p3_2+C773*k_p3_3))</f>
        <v/>
      </c>
      <c r="F773">
        <f>k_p4_0+C773*(k_p4_1+C773*(k_p4_2+C773*(k_p4_3+C773*k_p4_4)))</f>
        <v/>
      </c>
      <c r="G773">
        <f>k_ea+k_eb*EXP(k_ec*C773)</f>
        <v/>
      </c>
      <c r="H773">
        <f>(k_p2_1+2*k_p2_2*C773)/k_sx</f>
        <v/>
      </c>
      <c r="I773">
        <f>(k_p3_1+C773*(2*k_p3_2+3*k_p3_3*C773))/k_sx</f>
        <v/>
      </c>
      <c r="J773">
        <f>(k_p4_1+C773*(2*k_p4_2+C773*(3*k_p4_3+4*k_p4_4*C773)))/k_sx</f>
        <v/>
      </c>
      <c r="K773">
        <f>k_eb*k_ec*EXP(k_ec*C773)/k_sx</f>
        <v/>
      </c>
      <c r="L773">
        <f>(2*k_p4_2+C773*(6*k_p4_3+12*k_p4_4*C773))/k_sx^2</f>
        <v/>
      </c>
      <c r="M773">
        <f>D773/B773</f>
        <v/>
      </c>
      <c r="N773">
        <f>E773/B773</f>
        <v/>
      </c>
      <c r="O773">
        <f>F773/B773</f>
        <v/>
      </c>
      <c r="P773">
        <f>G773/B773</f>
        <v/>
      </c>
      <c r="Q773">
        <f>CHOOSE(k_model,D773,E773,F773,G773)</f>
        <v/>
      </c>
      <c r="R773">
        <f>CHOOSE(k_model,H773,I773,J773,K773)</f>
        <v/>
      </c>
    </row>
    <row r="774">
      <c r="A774" t="n">
        <v>772</v>
      </c>
      <c r="B774">
        <f>k_lo+k_rng*A774/1000</f>
        <v/>
      </c>
      <c r="C774">
        <f>(B774-k_mx)/k_sx</f>
        <v/>
      </c>
      <c r="D774">
        <f>k_p2_0+C774*(k_p2_1+C774*k_p2_2)</f>
        <v/>
      </c>
      <c r="E774">
        <f>k_p3_0+C774*(k_p3_1+C774*(k_p3_2+C774*k_p3_3))</f>
        <v/>
      </c>
      <c r="F774">
        <f>k_p4_0+C774*(k_p4_1+C774*(k_p4_2+C774*(k_p4_3+C774*k_p4_4)))</f>
        <v/>
      </c>
      <c r="G774">
        <f>k_ea+k_eb*EXP(k_ec*C774)</f>
        <v/>
      </c>
      <c r="H774">
        <f>(k_p2_1+2*k_p2_2*C774)/k_sx</f>
        <v/>
      </c>
      <c r="I774">
        <f>(k_p3_1+C774*(2*k_p3_2+3*k_p3_3*C774))/k_sx</f>
        <v/>
      </c>
      <c r="J774">
        <f>(k_p4_1+C774*(2*k_p4_2+C774*(3*k_p4_3+4*k_p4_4*C774)))/k_sx</f>
        <v/>
      </c>
      <c r="K774">
        <f>k_eb*k_ec*EXP(k_ec*C774)/k_sx</f>
        <v/>
      </c>
      <c r="L774">
        <f>(2*k_p4_2+C774*(6*k_p4_3+12*k_p4_4*C774))/k_sx^2</f>
        <v/>
      </c>
      <c r="M774">
        <f>D774/B774</f>
        <v/>
      </c>
      <c r="N774">
        <f>E774/B774</f>
        <v/>
      </c>
      <c r="O774">
        <f>F774/B774</f>
        <v/>
      </c>
      <c r="P774">
        <f>G774/B774</f>
        <v/>
      </c>
      <c r="Q774">
        <f>CHOOSE(k_model,D774,E774,F774,G774)</f>
        <v/>
      </c>
      <c r="R774">
        <f>CHOOSE(k_model,H774,I774,J774,K774)</f>
        <v/>
      </c>
    </row>
    <row r="775">
      <c r="A775" t="n">
        <v>773</v>
      </c>
      <c r="B775">
        <f>k_lo+k_rng*A775/1000</f>
        <v/>
      </c>
      <c r="C775">
        <f>(B775-k_mx)/k_sx</f>
        <v/>
      </c>
      <c r="D775">
        <f>k_p2_0+C775*(k_p2_1+C775*k_p2_2)</f>
        <v/>
      </c>
      <c r="E775">
        <f>k_p3_0+C775*(k_p3_1+C775*(k_p3_2+C775*k_p3_3))</f>
        <v/>
      </c>
      <c r="F775">
        <f>k_p4_0+C775*(k_p4_1+C775*(k_p4_2+C775*(k_p4_3+C775*k_p4_4)))</f>
        <v/>
      </c>
      <c r="G775">
        <f>k_ea+k_eb*EXP(k_ec*C775)</f>
        <v/>
      </c>
      <c r="H775">
        <f>(k_p2_1+2*k_p2_2*C775)/k_sx</f>
        <v/>
      </c>
      <c r="I775">
        <f>(k_p3_1+C775*(2*k_p3_2+3*k_p3_3*C775))/k_sx</f>
        <v/>
      </c>
      <c r="J775">
        <f>(k_p4_1+C775*(2*k_p4_2+C775*(3*k_p4_3+4*k_p4_4*C775)))/k_sx</f>
        <v/>
      </c>
      <c r="K775">
        <f>k_eb*k_ec*EXP(k_ec*C775)/k_sx</f>
        <v/>
      </c>
      <c r="L775">
        <f>(2*k_p4_2+C775*(6*k_p4_3+12*k_p4_4*C775))/k_sx^2</f>
        <v/>
      </c>
      <c r="M775">
        <f>D775/B775</f>
        <v/>
      </c>
      <c r="N775">
        <f>E775/B775</f>
        <v/>
      </c>
      <c r="O775">
        <f>F775/B775</f>
        <v/>
      </c>
      <c r="P775">
        <f>G775/B775</f>
        <v/>
      </c>
      <c r="Q775">
        <f>CHOOSE(k_model,D775,E775,F775,G775)</f>
        <v/>
      </c>
      <c r="R775">
        <f>CHOOSE(k_model,H775,I775,J775,K775)</f>
        <v/>
      </c>
    </row>
    <row r="776">
      <c r="A776" t="n">
        <v>774</v>
      </c>
      <c r="B776">
        <f>k_lo+k_rng*A776/1000</f>
        <v/>
      </c>
      <c r="C776">
        <f>(B776-k_mx)/k_sx</f>
        <v/>
      </c>
      <c r="D776">
        <f>k_p2_0+C776*(k_p2_1+C776*k_p2_2)</f>
        <v/>
      </c>
      <c r="E776">
        <f>k_p3_0+C776*(k_p3_1+C776*(k_p3_2+C776*k_p3_3))</f>
        <v/>
      </c>
      <c r="F776">
        <f>k_p4_0+C776*(k_p4_1+C776*(k_p4_2+C776*(k_p4_3+C776*k_p4_4)))</f>
        <v/>
      </c>
      <c r="G776">
        <f>k_ea+k_eb*EXP(k_ec*C776)</f>
        <v/>
      </c>
      <c r="H776">
        <f>(k_p2_1+2*k_p2_2*C776)/k_sx</f>
        <v/>
      </c>
      <c r="I776">
        <f>(k_p3_1+C776*(2*k_p3_2+3*k_p3_3*C776))/k_sx</f>
        <v/>
      </c>
      <c r="J776">
        <f>(k_p4_1+C776*(2*k_p4_2+C776*(3*k_p4_3+4*k_p4_4*C776)))/k_sx</f>
        <v/>
      </c>
      <c r="K776">
        <f>k_eb*k_ec*EXP(k_ec*C776)/k_sx</f>
        <v/>
      </c>
      <c r="L776">
        <f>(2*k_p4_2+C776*(6*k_p4_3+12*k_p4_4*C776))/k_sx^2</f>
        <v/>
      </c>
      <c r="M776">
        <f>D776/B776</f>
        <v/>
      </c>
      <c r="N776">
        <f>E776/B776</f>
        <v/>
      </c>
      <c r="O776">
        <f>F776/B776</f>
        <v/>
      </c>
      <c r="P776">
        <f>G776/B776</f>
        <v/>
      </c>
      <c r="Q776">
        <f>CHOOSE(k_model,D776,E776,F776,G776)</f>
        <v/>
      </c>
      <c r="R776">
        <f>CHOOSE(k_model,H776,I776,J776,K776)</f>
        <v/>
      </c>
    </row>
    <row r="777">
      <c r="A777" t="n">
        <v>775</v>
      </c>
      <c r="B777">
        <f>k_lo+k_rng*A777/1000</f>
        <v/>
      </c>
      <c r="C777">
        <f>(B777-k_mx)/k_sx</f>
        <v/>
      </c>
      <c r="D777">
        <f>k_p2_0+C777*(k_p2_1+C777*k_p2_2)</f>
        <v/>
      </c>
      <c r="E777">
        <f>k_p3_0+C777*(k_p3_1+C777*(k_p3_2+C777*k_p3_3))</f>
        <v/>
      </c>
      <c r="F777">
        <f>k_p4_0+C777*(k_p4_1+C777*(k_p4_2+C777*(k_p4_3+C777*k_p4_4)))</f>
        <v/>
      </c>
      <c r="G777">
        <f>k_ea+k_eb*EXP(k_ec*C777)</f>
        <v/>
      </c>
      <c r="H777">
        <f>(k_p2_1+2*k_p2_2*C777)/k_sx</f>
        <v/>
      </c>
      <c r="I777">
        <f>(k_p3_1+C777*(2*k_p3_2+3*k_p3_3*C777))/k_sx</f>
        <v/>
      </c>
      <c r="J777">
        <f>(k_p4_1+C777*(2*k_p4_2+C777*(3*k_p4_3+4*k_p4_4*C777)))/k_sx</f>
        <v/>
      </c>
      <c r="K777">
        <f>k_eb*k_ec*EXP(k_ec*C777)/k_sx</f>
        <v/>
      </c>
      <c r="L777">
        <f>(2*k_p4_2+C777*(6*k_p4_3+12*k_p4_4*C777))/k_sx^2</f>
        <v/>
      </c>
      <c r="M777">
        <f>D777/B777</f>
        <v/>
      </c>
      <c r="N777">
        <f>E777/B777</f>
        <v/>
      </c>
      <c r="O777">
        <f>F777/B777</f>
        <v/>
      </c>
      <c r="P777">
        <f>G777/B777</f>
        <v/>
      </c>
      <c r="Q777">
        <f>CHOOSE(k_model,D777,E777,F777,G777)</f>
        <v/>
      </c>
      <c r="R777">
        <f>CHOOSE(k_model,H777,I777,J777,K777)</f>
        <v/>
      </c>
    </row>
    <row r="778">
      <c r="A778" t="n">
        <v>776</v>
      </c>
      <c r="B778">
        <f>k_lo+k_rng*A778/1000</f>
        <v/>
      </c>
      <c r="C778">
        <f>(B778-k_mx)/k_sx</f>
        <v/>
      </c>
      <c r="D778">
        <f>k_p2_0+C778*(k_p2_1+C778*k_p2_2)</f>
        <v/>
      </c>
      <c r="E778">
        <f>k_p3_0+C778*(k_p3_1+C778*(k_p3_2+C778*k_p3_3))</f>
        <v/>
      </c>
      <c r="F778">
        <f>k_p4_0+C778*(k_p4_1+C778*(k_p4_2+C778*(k_p4_3+C778*k_p4_4)))</f>
        <v/>
      </c>
      <c r="G778">
        <f>k_ea+k_eb*EXP(k_ec*C778)</f>
        <v/>
      </c>
      <c r="H778">
        <f>(k_p2_1+2*k_p2_2*C778)/k_sx</f>
        <v/>
      </c>
      <c r="I778">
        <f>(k_p3_1+C778*(2*k_p3_2+3*k_p3_3*C778))/k_sx</f>
        <v/>
      </c>
      <c r="J778">
        <f>(k_p4_1+C778*(2*k_p4_2+C778*(3*k_p4_3+4*k_p4_4*C778)))/k_sx</f>
        <v/>
      </c>
      <c r="K778">
        <f>k_eb*k_ec*EXP(k_ec*C778)/k_sx</f>
        <v/>
      </c>
      <c r="L778">
        <f>(2*k_p4_2+C778*(6*k_p4_3+12*k_p4_4*C778))/k_sx^2</f>
        <v/>
      </c>
      <c r="M778">
        <f>D778/B778</f>
        <v/>
      </c>
      <c r="N778">
        <f>E778/B778</f>
        <v/>
      </c>
      <c r="O778">
        <f>F778/B778</f>
        <v/>
      </c>
      <c r="P778">
        <f>G778/B778</f>
        <v/>
      </c>
      <c r="Q778">
        <f>CHOOSE(k_model,D778,E778,F778,G778)</f>
        <v/>
      </c>
      <c r="R778">
        <f>CHOOSE(k_model,H778,I778,J778,K778)</f>
        <v/>
      </c>
    </row>
    <row r="779">
      <c r="A779" t="n">
        <v>777</v>
      </c>
      <c r="B779">
        <f>k_lo+k_rng*A779/1000</f>
        <v/>
      </c>
      <c r="C779">
        <f>(B779-k_mx)/k_sx</f>
        <v/>
      </c>
      <c r="D779">
        <f>k_p2_0+C779*(k_p2_1+C779*k_p2_2)</f>
        <v/>
      </c>
      <c r="E779">
        <f>k_p3_0+C779*(k_p3_1+C779*(k_p3_2+C779*k_p3_3))</f>
        <v/>
      </c>
      <c r="F779">
        <f>k_p4_0+C779*(k_p4_1+C779*(k_p4_2+C779*(k_p4_3+C779*k_p4_4)))</f>
        <v/>
      </c>
      <c r="G779">
        <f>k_ea+k_eb*EXP(k_ec*C779)</f>
        <v/>
      </c>
      <c r="H779">
        <f>(k_p2_1+2*k_p2_2*C779)/k_sx</f>
        <v/>
      </c>
      <c r="I779">
        <f>(k_p3_1+C779*(2*k_p3_2+3*k_p3_3*C779))/k_sx</f>
        <v/>
      </c>
      <c r="J779">
        <f>(k_p4_1+C779*(2*k_p4_2+C779*(3*k_p4_3+4*k_p4_4*C779)))/k_sx</f>
        <v/>
      </c>
      <c r="K779">
        <f>k_eb*k_ec*EXP(k_ec*C779)/k_sx</f>
        <v/>
      </c>
      <c r="L779">
        <f>(2*k_p4_2+C779*(6*k_p4_3+12*k_p4_4*C779))/k_sx^2</f>
        <v/>
      </c>
      <c r="M779">
        <f>D779/B779</f>
        <v/>
      </c>
      <c r="N779">
        <f>E779/B779</f>
        <v/>
      </c>
      <c r="O779">
        <f>F779/B779</f>
        <v/>
      </c>
      <c r="P779">
        <f>G779/B779</f>
        <v/>
      </c>
      <c r="Q779">
        <f>CHOOSE(k_model,D779,E779,F779,G779)</f>
        <v/>
      </c>
      <c r="R779">
        <f>CHOOSE(k_model,H779,I779,J779,K779)</f>
        <v/>
      </c>
    </row>
    <row r="780">
      <c r="A780" t="n">
        <v>778</v>
      </c>
      <c r="B780">
        <f>k_lo+k_rng*A780/1000</f>
        <v/>
      </c>
      <c r="C780">
        <f>(B780-k_mx)/k_sx</f>
        <v/>
      </c>
      <c r="D780">
        <f>k_p2_0+C780*(k_p2_1+C780*k_p2_2)</f>
        <v/>
      </c>
      <c r="E780">
        <f>k_p3_0+C780*(k_p3_1+C780*(k_p3_2+C780*k_p3_3))</f>
        <v/>
      </c>
      <c r="F780">
        <f>k_p4_0+C780*(k_p4_1+C780*(k_p4_2+C780*(k_p4_3+C780*k_p4_4)))</f>
        <v/>
      </c>
      <c r="G780">
        <f>k_ea+k_eb*EXP(k_ec*C780)</f>
        <v/>
      </c>
      <c r="H780">
        <f>(k_p2_1+2*k_p2_2*C780)/k_sx</f>
        <v/>
      </c>
      <c r="I780">
        <f>(k_p3_1+C780*(2*k_p3_2+3*k_p3_3*C780))/k_sx</f>
        <v/>
      </c>
      <c r="J780">
        <f>(k_p4_1+C780*(2*k_p4_2+C780*(3*k_p4_3+4*k_p4_4*C780)))/k_sx</f>
        <v/>
      </c>
      <c r="K780">
        <f>k_eb*k_ec*EXP(k_ec*C780)/k_sx</f>
        <v/>
      </c>
      <c r="L780">
        <f>(2*k_p4_2+C780*(6*k_p4_3+12*k_p4_4*C780))/k_sx^2</f>
        <v/>
      </c>
      <c r="M780">
        <f>D780/B780</f>
        <v/>
      </c>
      <c r="N780">
        <f>E780/B780</f>
        <v/>
      </c>
      <c r="O780">
        <f>F780/B780</f>
        <v/>
      </c>
      <c r="P780">
        <f>G780/B780</f>
        <v/>
      </c>
      <c r="Q780">
        <f>CHOOSE(k_model,D780,E780,F780,G780)</f>
        <v/>
      </c>
      <c r="R780">
        <f>CHOOSE(k_model,H780,I780,J780,K780)</f>
        <v/>
      </c>
    </row>
    <row r="781">
      <c r="A781" t="n">
        <v>779</v>
      </c>
      <c r="B781">
        <f>k_lo+k_rng*A781/1000</f>
        <v/>
      </c>
      <c r="C781">
        <f>(B781-k_mx)/k_sx</f>
        <v/>
      </c>
      <c r="D781">
        <f>k_p2_0+C781*(k_p2_1+C781*k_p2_2)</f>
        <v/>
      </c>
      <c r="E781">
        <f>k_p3_0+C781*(k_p3_1+C781*(k_p3_2+C781*k_p3_3))</f>
        <v/>
      </c>
      <c r="F781">
        <f>k_p4_0+C781*(k_p4_1+C781*(k_p4_2+C781*(k_p4_3+C781*k_p4_4)))</f>
        <v/>
      </c>
      <c r="G781">
        <f>k_ea+k_eb*EXP(k_ec*C781)</f>
        <v/>
      </c>
      <c r="H781">
        <f>(k_p2_1+2*k_p2_2*C781)/k_sx</f>
        <v/>
      </c>
      <c r="I781">
        <f>(k_p3_1+C781*(2*k_p3_2+3*k_p3_3*C781))/k_sx</f>
        <v/>
      </c>
      <c r="J781">
        <f>(k_p4_1+C781*(2*k_p4_2+C781*(3*k_p4_3+4*k_p4_4*C781)))/k_sx</f>
        <v/>
      </c>
      <c r="K781">
        <f>k_eb*k_ec*EXP(k_ec*C781)/k_sx</f>
        <v/>
      </c>
      <c r="L781">
        <f>(2*k_p4_2+C781*(6*k_p4_3+12*k_p4_4*C781))/k_sx^2</f>
        <v/>
      </c>
      <c r="M781">
        <f>D781/B781</f>
        <v/>
      </c>
      <c r="N781">
        <f>E781/B781</f>
        <v/>
      </c>
      <c r="O781">
        <f>F781/B781</f>
        <v/>
      </c>
      <c r="P781">
        <f>G781/B781</f>
        <v/>
      </c>
      <c r="Q781">
        <f>CHOOSE(k_model,D781,E781,F781,G781)</f>
        <v/>
      </c>
      <c r="R781">
        <f>CHOOSE(k_model,H781,I781,J781,K781)</f>
        <v/>
      </c>
    </row>
    <row r="782">
      <c r="A782" t="n">
        <v>780</v>
      </c>
      <c r="B782">
        <f>k_lo+k_rng*A782/1000</f>
        <v/>
      </c>
      <c r="C782">
        <f>(B782-k_mx)/k_sx</f>
        <v/>
      </c>
      <c r="D782">
        <f>k_p2_0+C782*(k_p2_1+C782*k_p2_2)</f>
        <v/>
      </c>
      <c r="E782">
        <f>k_p3_0+C782*(k_p3_1+C782*(k_p3_2+C782*k_p3_3))</f>
        <v/>
      </c>
      <c r="F782">
        <f>k_p4_0+C782*(k_p4_1+C782*(k_p4_2+C782*(k_p4_3+C782*k_p4_4)))</f>
        <v/>
      </c>
      <c r="G782">
        <f>k_ea+k_eb*EXP(k_ec*C782)</f>
        <v/>
      </c>
      <c r="H782">
        <f>(k_p2_1+2*k_p2_2*C782)/k_sx</f>
        <v/>
      </c>
      <c r="I782">
        <f>(k_p3_1+C782*(2*k_p3_2+3*k_p3_3*C782))/k_sx</f>
        <v/>
      </c>
      <c r="J782">
        <f>(k_p4_1+C782*(2*k_p4_2+C782*(3*k_p4_3+4*k_p4_4*C782)))/k_sx</f>
        <v/>
      </c>
      <c r="K782">
        <f>k_eb*k_ec*EXP(k_ec*C782)/k_sx</f>
        <v/>
      </c>
      <c r="L782">
        <f>(2*k_p4_2+C782*(6*k_p4_3+12*k_p4_4*C782))/k_sx^2</f>
        <v/>
      </c>
      <c r="M782">
        <f>D782/B782</f>
        <v/>
      </c>
      <c r="N782">
        <f>E782/B782</f>
        <v/>
      </c>
      <c r="O782">
        <f>F782/B782</f>
        <v/>
      </c>
      <c r="P782">
        <f>G782/B782</f>
        <v/>
      </c>
      <c r="Q782">
        <f>CHOOSE(k_model,D782,E782,F782,G782)</f>
        <v/>
      </c>
      <c r="R782">
        <f>CHOOSE(k_model,H782,I782,J782,K782)</f>
        <v/>
      </c>
    </row>
    <row r="783">
      <c r="A783" t="n">
        <v>781</v>
      </c>
      <c r="B783">
        <f>k_lo+k_rng*A783/1000</f>
        <v/>
      </c>
      <c r="C783">
        <f>(B783-k_mx)/k_sx</f>
        <v/>
      </c>
      <c r="D783">
        <f>k_p2_0+C783*(k_p2_1+C783*k_p2_2)</f>
        <v/>
      </c>
      <c r="E783">
        <f>k_p3_0+C783*(k_p3_1+C783*(k_p3_2+C783*k_p3_3))</f>
        <v/>
      </c>
      <c r="F783">
        <f>k_p4_0+C783*(k_p4_1+C783*(k_p4_2+C783*(k_p4_3+C783*k_p4_4)))</f>
        <v/>
      </c>
      <c r="G783">
        <f>k_ea+k_eb*EXP(k_ec*C783)</f>
        <v/>
      </c>
      <c r="H783">
        <f>(k_p2_1+2*k_p2_2*C783)/k_sx</f>
        <v/>
      </c>
      <c r="I783">
        <f>(k_p3_1+C783*(2*k_p3_2+3*k_p3_3*C783))/k_sx</f>
        <v/>
      </c>
      <c r="J783">
        <f>(k_p4_1+C783*(2*k_p4_2+C783*(3*k_p4_3+4*k_p4_4*C783)))/k_sx</f>
        <v/>
      </c>
      <c r="K783">
        <f>k_eb*k_ec*EXP(k_ec*C783)/k_sx</f>
        <v/>
      </c>
      <c r="L783">
        <f>(2*k_p4_2+C783*(6*k_p4_3+12*k_p4_4*C783))/k_sx^2</f>
        <v/>
      </c>
      <c r="M783">
        <f>D783/B783</f>
        <v/>
      </c>
      <c r="N783">
        <f>E783/B783</f>
        <v/>
      </c>
      <c r="O783">
        <f>F783/B783</f>
        <v/>
      </c>
      <c r="P783">
        <f>G783/B783</f>
        <v/>
      </c>
      <c r="Q783">
        <f>CHOOSE(k_model,D783,E783,F783,G783)</f>
        <v/>
      </c>
      <c r="R783">
        <f>CHOOSE(k_model,H783,I783,J783,K783)</f>
        <v/>
      </c>
    </row>
    <row r="784">
      <c r="A784" t="n">
        <v>782</v>
      </c>
      <c r="B784">
        <f>k_lo+k_rng*A784/1000</f>
        <v/>
      </c>
      <c r="C784">
        <f>(B784-k_mx)/k_sx</f>
        <v/>
      </c>
      <c r="D784">
        <f>k_p2_0+C784*(k_p2_1+C784*k_p2_2)</f>
        <v/>
      </c>
      <c r="E784">
        <f>k_p3_0+C784*(k_p3_1+C784*(k_p3_2+C784*k_p3_3))</f>
        <v/>
      </c>
      <c r="F784">
        <f>k_p4_0+C784*(k_p4_1+C784*(k_p4_2+C784*(k_p4_3+C784*k_p4_4)))</f>
        <v/>
      </c>
      <c r="G784">
        <f>k_ea+k_eb*EXP(k_ec*C784)</f>
        <v/>
      </c>
      <c r="H784">
        <f>(k_p2_1+2*k_p2_2*C784)/k_sx</f>
        <v/>
      </c>
      <c r="I784">
        <f>(k_p3_1+C784*(2*k_p3_2+3*k_p3_3*C784))/k_sx</f>
        <v/>
      </c>
      <c r="J784">
        <f>(k_p4_1+C784*(2*k_p4_2+C784*(3*k_p4_3+4*k_p4_4*C784)))/k_sx</f>
        <v/>
      </c>
      <c r="K784">
        <f>k_eb*k_ec*EXP(k_ec*C784)/k_sx</f>
        <v/>
      </c>
      <c r="L784">
        <f>(2*k_p4_2+C784*(6*k_p4_3+12*k_p4_4*C784))/k_sx^2</f>
        <v/>
      </c>
      <c r="M784">
        <f>D784/B784</f>
        <v/>
      </c>
      <c r="N784">
        <f>E784/B784</f>
        <v/>
      </c>
      <c r="O784">
        <f>F784/B784</f>
        <v/>
      </c>
      <c r="P784">
        <f>G784/B784</f>
        <v/>
      </c>
      <c r="Q784">
        <f>CHOOSE(k_model,D784,E784,F784,G784)</f>
        <v/>
      </c>
      <c r="R784">
        <f>CHOOSE(k_model,H784,I784,J784,K784)</f>
        <v/>
      </c>
    </row>
    <row r="785">
      <c r="A785" t="n">
        <v>783</v>
      </c>
      <c r="B785">
        <f>k_lo+k_rng*A785/1000</f>
        <v/>
      </c>
      <c r="C785">
        <f>(B785-k_mx)/k_sx</f>
        <v/>
      </c>
      <c r="D785">
        <f>k_p2_0+C785*(k_p2_1+C785*k_p2_2)</f>
        <v/>
      </c>
      <c r="E785">
        <f>k_p3_0+C785*(k_p3_1+C785*(k_p3_2+C785*k_p3_3))</f>
        <v/>
      </c>
      <c r="F785">
        <f>k_p4_0+C785*(k_p4_1+C785*(k_p4_2+C785*(k_p4_3+C785*k_p4_4)))</f>
        <v/>
      </c>
      <c r="G785">
        <f>k_ea+k_eb*EXP(k_ec*C785)</f>
        <v/>
      </c>
      <c r="H785">
        <f>(k_p2_1+2*k_p2_2*C785)/k_sx</f>
        <v/>
      </c>
      <c r="I785">
        <f>(k_p3_1+C785*(2*k_p3_2+3*k_p3_3*C785))/k_sx</f>
        <v/>
      </c>
      <c r="J785">
        <f>(k_p4_1+C785*(2*k_p4_2+C785*(3*k_p4_3+4*k_p4_4*C785)))/k_sx</f>
        <v/>
      </c>
      <c r="K785">
        <f>k_eb*k_ec*EXP(k_ec*C785)/k_sx</f>
        <v/>
      </c>
      <c r="L785">
        <f>(2*k_p4_2+C785*(6*k_p4_3+12*k_p4_4*C785))/k_sx^2</f>
        <v/>
      </c>
      <c r="M785">
        <f>D785/B785</f>
        <v/>
      </c>
      <c r="N785">
        <f>E785/B785</f>
        <v/>
      </c>
      <c r="O785">
        <f>F785/B785</f>
        <v/>
      </c>
      <c r="P785">
        <f>G785/B785</f>
        <v/>
      </c>
      <c r="Q785">
        <f>CHOOSE(k_model,D785,E785,F785,G785)</f>
        <v/>
      </c>
      <c r="R785">
        <f>CHOOSE(k_model,H785,I785,J785,K785)</f>
        <v/>
      </c>
    </row>
    <row r="786">
      <c r="A786" t="n">
        <v>784</v>
      </c>
      <c r="B786">
        <f>k_lo+k_rng*A786/1000</f>
        <v/>
      </c>
      <c r="C786">
        <f>(B786-k_mx)/k_sx</f>
        <v/>
      </c>
      <c r="D786">
        <f>k_p2_0+C786*(k_p2_1+C786*k_p2_2)</f>
        <v/>
      </c>
      <c r="E786">
        <f>k_p3_0+C786*(k_p3_1+C786*(k_p3_2+C786*k_p3_3))</f>
        <v/>
      </c>
      <c r="F786">
        <f>k_p4_0+C786*(k_p4_1+C786*(k_p4_2+C786*(k_p4_3+C786*k_p4_4)))</f>
        <v/>
      </c>
      <c r="G786">
        <f>k_ea+k_eb*EXP(k_ec*C786)</f>
        <v/>
      </c>
      <c r="H786">
        <f>(k_p2_1+2*k_p2_2*C786)/k_sx</f>
        <v/>
      </c>
      <c r="I786">
        <f>(k_p3_1+C786*(2*k_p3_2+3*k_p3_3*C786))/k_sx</f>
        <v/>
      </c>
      <c r="J786">
        <f>(k_p4_1+C786*(2*k_p4_2+C786*(3*k_p4_3+4*k_p4_4*C786)))/k_sx</f>
        <v/>
      </c>
      <c r="K786">
        <f>k_eb*k_ec*EXP(k_ec*C786)/k_sx</f>
        <v/>
      </c>
      <c r="L786">
        <f>(2*k_p4_2+C786*(6*k_p4_3+12*k_p4_4*C786))/k_sx^2</f>
        <v/>
      </c>
      <c r="M786">
        <f>D786/B786</f>
        <v/>
      </c>
      <c r="N786">
        <f>E786/B786</f>
        <v/>
      </c>
      <c r="O786">
        <f>F786/B786</f>
        <v/>
      </c>
      <c r="P786">
        <f>G786/B786</f>
        <v/>
      </c>
      <c r="Q786">
        <f>CHOOSE(k_model,D786,E786,F786,G786)</f>
        <v/>
      </c>
      <c r="R786">
        <f>CHOOSE(k_model,H786,I786,J786,K786)</f>
        <v/>
      </c>
    </row>
    <row r="787">
      <c r="A787" t="n">
        <v>785</v>
      </c>
      <c r="B787">
        <f>k_lo+k_rng*A787/1000</f>
        <v/>
      </c>
      <c r="C787">
        <f>(B787-k_mx)/k_sx</f>
        <v/>
      </c>
      <c r="D787">
        <f>k_p2_0+C787*(k_p2_1+C787*k_p2_2)</f>
        <v/>
      </c>
      <c r="E787">
        <f>k_p3_0+C787*(k_p3_1+C787*(k_p3_2+C787*k_p3_3))</f>
        <v/>
      </c>
      <c r="F787">
        <f>k_p4_0+C787*(k_p4_1+C787*(k_p4_2+C787*(k_p4_3+C787*k_p4_4)))</f>
        <v/>
      </c>
      <c r="G787">
        <f>k_ea+k_eb*EXP(k_ec*C787)</f>
        <v/>
      </c>
      <c r="H787">
        <f>(k_p2_1+2*k_p2_2*C787)/k_sx</f>
        <v/>
      </c>
      <c r="I787">
        <f>(k_p3_1+C787*(2*k_p3_2+3*k_p3_3*C787))/k_sx</f>
        <v/>
      </c>
      <c r="J787">
        <f>(k_p4_1+C787*(2*k_p4_2+C787*(3*k_p4_3+4*k_p4_4*C787)))/k_sx</f>
        <v/>
      </c>
      <c r="K787">
        <f>k_eb*k_ec*EXP(k_ec*C787)/k_sx</f>
        <v/>
      </c>
      <c r="L787">
        <f>(2*k_p4_2+C787*(6*k_p4_3+12*k_p4_4*C787))/k_sx^2</f>
        <v/>
      </c>
      <c r="M787">
        <f>D787/B787</f>
        <v/>
      </c>
      <c r="N787">
        <f>E787/B787</f>
        <v/>
      </c>
      <c r="O787">
        <f>F787/B787</f>
        <v/>
      </c>
      <c r="P787">
        <f>G787/B787</f>
        <v/>
      </c>
      <c r="Q787">
        <f>CHOOSE(k_model,D787,E787,F787,G787)</f>
        <v/>
      </c>
      <c r="R787">
        <f>CHOOSE(k_model,H787,I787,J787,K787)</f>
        <v/>
      </c>
    </row>
    <row r="788">
      <c r="A788" t="n">
        <v>786</v>
      </c>
      <c r="B788">
        <f>k_lo+k_rng*A788/1000</f>
        <v/>
      </c>
      <c r="C788">
        <f>(B788-k_mx)/k_sx</f>
        <v/>
      </c>
      <c r="D788">
        <f>k_p2_0+C788*(k_p2_1+C788*k_p2_2)</f>
        <v/>
      </c>
      <c r="E788">
        <f>k_p3_0+C788*(k_p3_1+C788*(k_p3_2+C788*k_p3_3))</f>
        <v/>
      </c>
      <c r="F788">
        <f>k_p4_0+C788*(k_p4_1+C788*(k_p4_2+C788*(k_p4_3+C788*k_p4_4)))</f>
        <v/>
      </c>
      <c r="G788">
        <f>k_ea+k_eb*EXP(k_ec*C788)</f>
        <v/>
      </c>
      <c r="H788">
        <f>(k_p2_1+2*k_p2_2*C788)/k_sx</f>
        <v/>
      </c>
      <c r="I788">
        <f>(k_p3_1+C788*(2*k_p3_2+3*k_p3_3*C788))/k_sx</f>
        <v/>
      </c>
      <c r="J788">
        <f>(k_p4_1+C788*(2*k_p4_2+C788*(3*k_p4_3+4*k_p4_4*C788)))/k_sx</f>
        <v/>
      </c>
      <c r="K788">
        <f>k_eb*k_ec*EXP(k_ec*C788)/k_sx</f>
        <v/>
      </c>
      <c r="L788">
        <f>(2*k_p4_2+C788*(6*k_p4_3+12*k_p4_4*C788))/k_sx^2</f>
        <v/>
      </c>
      <c r="M788">
        <f>D788/B788</f>
        <v/>
      </c>
      <c r="N788">
        <f>E788/B788</f>
        <v/>
      </c>
      <c r="O788">
        <f>F788/B788</f>
        <v/>
      </c>
      <c r="P788">
        <f>G788/B788</f>
        <v/>
      </c>
      <c r="Q788">
        <f>CHOOSE(k_model,D788,E788,F788,G788)</f>
        <v/>
      </c>
      <c r="R788">
        <f>CHOOSE(k_model,H788,I788,J788,K788)</f>
        <v/>
      </c>
    </row>
    <row r="789">
      <c r="A789" t="n">
        <v>787</v>
      </c>
      <c r="B789">
        <f>k_lo+k_rng*A789/1000</f>
        <v/>
      </c>
      <c r="C789">
        <f>(B789-k_mx)/k_sx</f>
        <v/>
      </c>
      <c r="D789">
        <f>k_p2_0+C789*(k_p2_1+C789*k_p2_2)</f>
        <v/>
      </c>
      <c r="E789">
        <f>k_p3_0+C789*(k_p3_1+C789*(k_p3_2+C789*k_p3_3))</f>
        <v/>
      </c>
      <c r="F789">
        <f>k_p4_0+C789*(k_p4_1+C789*(k_p4_2+C789*(k_p4_3+C789*k_p4_4)))</f>
        <v/>
      </c>
      <c r="G789">
        <f>k_ea+k_eb*EXP(k_ec*C789)</f>
        <v/>
      </c>
      <c r="H789">
        <f>(k_p2_1+2*k_p2_2*C789)/k_sx</f>
        <v/>
      </c>
      <c r="I789">
        <f>(k_p3_1+C789*(2*k_p3_2+3*k_p3_3*C789))/k_sx</f>
        <v/>
      </c>
      <c r="J789">
        <f>(k_p4_1+C789*(2*k_p4_2+C789*(3*k_p4_3+4*k_p4_4*C789)))/k_sx</f>
        <v/>
      </c>
      <c r="K789">
        <f>k_eb*k_ec*EXP(k_ec*C789)/k_sx</f>
        <v/>
      </c>
      <c r="L789">
        <f>(2*k_p4_2+C789*(6*k_p4_3+12*k_p4_4*C789))/k_sx^2</f>
        <v/>
      </c>
      <c r="M789">
        <f>D789/B789</f>
        <v/>
      </c>
      <c r="N789">
        <f>E789/B789</f>
        <v/>
      </c>
      <c r="O789">
        <f>F789/B789</f>
        <v/>
      </c>
      <c r="P789">
        <f>G789/B789</f>
        <v/>
      </c>
      <c r="Q789">
        <f>CHOOSE(k_model,D789,E789,F789,G789)</f>
        <v/>
      </c>
      <c r="R789">
        <f>CHOOSE(k_model,H789,I789,J789,K789)</f>
        <v/>
      </c>
    </row>
    <row r="790">
      <c r="A790" t="n">
        <v>788</v>
      </c>
      <c r="B790">
        <f>k_lo+k_rng*A790/1000</f>
        <v/>
      </c>
      <c r="C790">
        <f>(B790-k_mx)/k_sx</f>
        <v/>
      </c>
      <c r="D790">
        <f>k_p2_0+C790*(k_p2_1+C790*k_p2_2)</f>
        <v/>
      </c>
      <c r="E790">
        <f>k_p3_0+C790*(k_p3_1+C790*(k_p3_2+C790*k_p3_3))</f>
        <v/>
      </c>
      <c r="F790">
        <f>k_p4_0+C790*(k_p4_1+C790*(k_p4_2+C790*(k_p4_3+C790*k_p4_4)))</f>
        <v/>
      </c>
      <c r="G790">
        <f>k_ea+k_eb*EXP(k_ec*C790)</f>
        <v/>
      </c>
      <c r="H790">
        <f>(k_p2_1+2*k_p2_2*C790)/k_sx</f>
        <v/>
      </c>
      <c r="I790">
        <f>(k_p3_1+C790*(2*k_p3_2+3*k_p3_3*C790))/k_sx</f>
        <v/>
      </c>
      <c r="J790">
        <f>(k_p4_1+C790*(2*k_p4_2+C790*(3*k_p4_3+4*k_p4_4*C790)))/k_sx</f>
        <v/>
      </c>
      <c r="K790">
        <f>k_eb*k_ec*EXP(k_ec*C790)/k_sx</f>
        <v/>
      </c>
      <c r="L790">
        <f>(2*k_p4_2+C790*(6*k_p4_3+12*k_p4_4*C790))/k_sx^2</f>
        <v/>
      </c>
      <c r="M790">
        <f>D790/B790</f>
        <v/>
      </c>
      <c r="N790">
        <f>E790/B790</f>
        <v/>
      </c>
      <c r="O790">
        <f>F790/B790</f>
        <v/>
      </c>
      <c r="P790">
        <f>G790/B790</f>
        <v/>
      </c>
      <c r="Q790">
        <f>CHOOSE(k_model,D790,E790,F790,G790)</f>
        <v/>
      </c>
      <c r="R790">
        <f>CHOOSE(k_model,H790,I790,J790,K790)</f>
        <v/>
      </c>
    </row>
    <row r="791">
      <c r="A791" t="n">
        <v>789</v>
      </c>
      <c r="B791">
        <f>k_lo+k_rng*A791/1000</f>
        <v/>
      </c>
      <c r="C791">
        <f>(B791-k_mx)/k_sx</f>
        <v/>
      </c>
      <c r="D791">
        <f>k_p2_0+C791*(k_p2_1+C791*k_p2_2)</f>
        <v/>
      </c>
      <c r="E791">
        <f>k_p3_0+C791*(k_p3_1+C791*(k_p3_2+C791*k_p3_3))</f>
        <v/>
      </c>
      <c r="F791">
        <f>k_p4_0+C791*(k_p4_1+C791*(k_p4_2+C791*(k_p4_3+C791*k_p4_4)))</f>
        <v/>
      </c>
      <c r="G791">
        <f>k_ea+k_eb*EXP(k_ec*C791)</f>
        <v/>
      </c>
      <c r="H791">
        <f>(k_p2_1+2*k_p2_2*C791)/k_sx</f>
        <v/>
      </c>
      <c r="I791">
        <f>(k_p3_1+C791*(2*k_p3_2+3*k_p3_3*C791))/k_sx</f>
        <v/>
      </c>
      <c r="J791">
        <f>(k_p4_1+C791*(2*k_p4_2+C791*(3*k_p4_3+4*k_p4_4*C791)))/k_sx</f>
        <v/>
      </c>
      <c r="K791">
        <f>k_eb*k_ec*EXP(k_ec*C791)/k_sx</f>
        <v/>
      </c>
      <c r="L791">
        <f>(2*k_p4_2+C791*(6*k_p4_3+12*k_p4_4*C791))/k_sx^2</f>
        <v/>
      </c>
      <c r="M791">
        <f>D791/B791</f>
        <v/>
      </c>
      <c r="N791">
        <f>E791/B791</f>
        <v/>
      </c>
      <c r="O791">
        <f>F791/B791</f>
        <v/>
      </c>
      <c r="P791">
        <f>G791/B791</f>
        <v/>
      </c>
      <c r="Q791">
        <f>CHOOSE(k_model,D791,E791,F791,G791)</f>
        <v/>
      </c>
      <c r="R791">
        <f>CHOOSE(k_model,H791,I791,J791,K791)</f>
        <v/>
      </c>
    </row>
    <row r="792">
      <c r="A792" t="n">
        <v>790</v>
      </c>
      <c r="B792">
        <f>k_lo+k_rng*A792/1000</f>
        <v/>
      </c>
      <c r="C792">
        <f>(B792-k_mx)/k_sx</f>
        <v/>
      </c>
      <c r="D792">
        <f>k_p2_0+C792*(k_p2_1+C792*k_p2_2)</f>
        <v/>
      </c>
      <c r="E792">
        <f>k_p3_0+C792*(k_p3_1+C792*(k_p3_2+C792*k_p3_3))</f>
        <v/>
      </c>
      <c r="F792">
        <f>k_p4_0+C792*(k_p4_1+C792*(k_p4_2+C792*(k_p4_3+C792*k_p4_4)))</f>
        <v/>
      </c>
      <c r="G792">
        <f>k_ea+k_eb*EXP(k_ec*C792)</f>
        <v/>
      </c>
      <c r="H792">
        <f>(k_p2_1+2*k_p2_2*C792)/k_sx</f>
        <v/>
      </c>
      <c r="I792">
        <f>(k_p3_1+C792*(2*k_p3_2+3*k_p3_3*C792))/k_sx</f>
        <v/>
      </c>
      <c r="J792">
        <f>(k_p4_1+C792*(2*k_p4_2+C792*(3*k_p4_3+4*k_p4_4*C792)))/k_sx</f>
        <v/>
      </c>
      <c r="K792">
        <f>k_eb*k_ec*EXP(k_ec*C792)/k_sx</f>
        <v/>
      </c>
      <c r="L792">
        <f>(2*k_p4_2+C792*(6*k_p4_3+12*k_p4_4*C792))/k_sx^2</f>
        <v/>
      </c>
      <c r="M792">
        <f>D792/B792</f>
        <v/>
      </c>
      <c r="N792">
        <f>E792/B792</f>
        <v/>
      </c>
      <c r="O792">
        <f>F792/B792</f>
        <v/>
      </c>
      <c r="P792">
        <f>G792/B792</f>
        <v/>
      </c>
      <c r="Q792">
        <f>CHOOSE(k_model,D792,E792,F792,G792)</f>
        <v/>
      </c>
      <c r="R792">
        <f>CHOOSE(k_model,H792,I792,J792,K792)</f>
        <v/>
      </c>
    </row>
    <row r="793">
      <c r="A793" t="n">
        <v>791</v>
      </c>
      <c r="B793">
        <f>k_lo+k_rng*A793/1000</f>
        <v/>
      </c>
      <c r="C793">
        <f>(B793-k_mx)/k_sx</f>
        <v/>
      </c>
      <c r="D793">
        <f>k_p2_0+C793*(k_p2_1+C793*k_p2_2)</f>
        <v/>
      </c>
      <c r="E793">
        <f>k_p3_0+C793*(k_p3_1+C793*(k_p3_2+C793*k_p3_3))</f>
        <v/>
      </c>
      <c r="F793">
        <f>k_p4_0+C793*(k_p4_1+C793*(k_p4_2+C793*(k_p4_3+C793*k_p4_4)))</f>
        <v/>
      </c>
      <c r="G793">
        <f>k_ea+k_eb*EXP(k_ec*C793)</f>
        <v/>
      </c>
      <c r="H793">
        <f>(k_p2_1+2*k_p2_2*C793)/k_sx</f>
        <v/>
      </c>
      <c r="I793">
        <f>(k_p3_1+C793*(2*k_p3_2+3*k_p3_3*C793))/k_sx</f>
        <v/>
      </c>
      <c r="J793">
        <f>(k_p4_1+C793*(2*k_p4_2+C793*(3*k_p4_3+4*k_p4_4*C793)))/k_sx</f>
        <v/>
      </c>
      <c r="K793">
        <f>k_eb*k_ec*EXP(k_ec*C793)/k_sx</f>
        <v/>
      </c>
      <c r="L793">
        <f>(2*k_p4_2+C793*(6*k_p4_3+12*k_p4_4*C793))/k_sx^2</f>
        <v/>
      </c>
      <c r="M793">
        <f>D793/B793</f>
        <v/>
      </c>
      <c r="N793">
        <f>E793/B793</f>
        <v/>
      </c>
      <c r="O793">
        <f>F793/B793</f>
        <v/>
      </c>
      <c r="P793">
        <f>G793/B793</f>
        <v/>
      </c>
      <c r="Q793">
        <f>CHOOSE(k_model,D793,E793,F793,G793)</f>
        <v/>
      </c>
      <c r="R793">
        <f>CHOOSE(k_model,H793,I793,J793,K793)</f>
        <v/>
      </c>
    </row>
    <row r="794">
      <c r="A794" t="n">
        <v>792</v>
      </c>
      <c r="B794">
        <f>k_lo+k_rng*A794/1000</f>
        <v/>
      </c>
      <c r="C794">
        <f>(B794-k_mx)/k_sx</f>
        <v/>
      </c>
      <c r="D794">
        <f>k_p2_0+C794*(k_p2_1+C794*k_p2_2)</f>
        <v/>
      </c>
      <c r="E794">
        <f>k_p3_0+C794*(k_p3_1+C794*(k_p3_2+C794*k_p3_3))</f>
        <v/>
      </c>
      <c r="F794">
        <f>k_p4_0+C794*(k_p4_1+C794*(k_p4_2+C794*(k_p4_3+C794*k_p4_4)))</f>
        <v/>
      </c>
      <c r="G794">
        <f>k_ea+k_eb*EXP(k_ec*C794)</f>
        <v/>
      </c>
      <c r="H794">
        <f>(k_p2_1+2*k_p2_2*C794)/k_sx</f>
        <v/>
      </c>
      <c r="I794">
        <f>(k_p3_1+C794*(2*k_p3_2+3*k_p3_3*C794))/k_sx</f>
        <v/>
      </c>
      <c r="J794">
        <f>(k_p4_1+C794*(2*k_p4_2+C794*(3*k_p4_3+4*k_p4_4*C794)))/k_sx</f>
        <v/>
      </c>
      <c r="K794">
        <f>k_eb*k_ec*EXP(k_ec*C794)/k_sx</f>
        <v/>
      </c>
      <c r="L794">
        <f>(2*k_p4_2+C794*(6*k_p4_3+12*k_p4_4*C794))/k_sx^2</f>
        <v/>
      </c>
      <c r="M794">
        <f>D794/B794</f>
        <v/>
      </c>
      <c r="N794">
        <f>E794/B794</f>
        <v/>
      </c>
      <c r="O794">
        <f>F794/B794</f>
        <v/>
      </c>
      <c r="P794">
        <f>G794/B794</f>
        <v/>
      </c>
      <c r="Q794">
        <f>CHOOSE(k_model,D794,E794,F794,G794)</f>
        <v/>
      </c>
      <c r="R794">
        <f>CHOOSE(k_model,H794,I794,J794,K794)</f>
        <v/>
      </c>
    </row>
    <row r="795">
      <c r="A795" t="n">
        <v>793</v>
      </c>
      <c r="B795">
        <f>k_lo+k_rng*A795/1000</f>
        <v/>
      </c>
      <c r="C795">
        <f>(B795-k_mx)/k_sx</f>
        <v/>
      </c>
      <c r="D795">
        <f>k_p2_0+C795*(k_p2_1+C795*k_p2_2)</f>
        <v/>
      </c>
      <c r="E795">
        <f>k_p3_0+C795*(k_p3_1+C795*(k_p3_2+C795*k_p3_3))</f>
        <v/>
      </c>
      <c r="F795">
        <f>k_p4_0+C795*(k_p4_1+C795*(k_p4_2+C795*(k_p4_3+C795*k_p4_4)))</f>
        <v/>
      </c>
      <c r="G795">
        <f>k_ea+k_eb*EXP(k_ec*C795)</f>
        <v/>
      </c>
      <c r="H795">
        <f>(k_p2_1+2*k_p2_2*C795)/k_sx</f>
        <v/>
      </c>
      <c r="I795">
        <f>(k_p3_1+C795*(2*k_p3_2+3*k_p3_3*C795))/k_sx</f>
        <v/>
      </c>
      <c r="J795">
        <f>(k_p4_1+C795*(2*k_p4_2+C795*(3*k_p4_3+4*k_p4_4*C795)))/k_sx</f>
        <v/>
      </c>
      <c r="K795">
        <f>k_eb*k_ec*EXP(k_ec*C795)/k_sx</f>
        <v/>
      </c>
      <c r="L795">
        <f>(2*k_p4_2+C795*(6*k_p4_3+12*k_p4_4*C795))/k_sx^2</f>
        <v/>
      </c>
      <c r="M795">
        <f>D795/B795</f>
        <v/>
      </c>
      <c r="N795">
        <f>E795/B795</f>
        <v/>
      </c>
      <c r="O795">
        <f>F795/B795</f>
        <v/>
      </c>
      <c r="P795">
        <f>G795/B795</f>
        <v/>
      </c>
      <c r="Q795">
        <f>CHOOSE(k_model,D795,E795,F795,G795)</f>
        <v/>
      </c>
      <c r="R795">
        <f>CHOOSE(k_model,H795,I795,J795,K795)</f>
        <v/>
      </c>
    </row>
    <row r="796">
      <c r="A796" t="n">
        <v>794</v>
      </c>
      <c r="B796">
        <f>k_lo+k_rng*A796/1000</f>
        <v/>
      </c>
      <c r="C796">
        <f>(B796-k_mx)/k_sx</f>
        <v/>
      </c>
      <c r="D796">
        <f>k_p2_0+C796*(k_p2_1+C796*k_p2_2)</f>
        <v/>
      </c>
      <c r="E796">
        <f>k_p3_0+C796*(k_p3_1+C796*(k_p3_2+C796*k_p3_3))</f>
        <v/>
      </c>
      <c r="F796">
        <f>k_p4_0+C796*(k_p4_1+C796*(k_p4_2+C796*(k_p4_3+C796*k_p4_4)))</f>
        <v/>
      </c>
      <c r="G796">
        <f>k_ea+k_eb*EXP(k_ec*C796)</f>
        <v/>
      </c>
      <c r="H796">
        <f>(k_p2_1+2*k_p2_2*C796)/k_sx</f>
        <v/>
      </c>
      <c r="I796">
        <f>(k_p3_1+C796*(2*k_p3_2+3*k_p3_3*C796))/k_sx</f>
        <v/>
      </c>
      <c r="J796">
        <f>(k_p4_1+C796*(2*k_p4_2+C796*(3*k_p4_3+4*k_p4_4*C796)))/k_sx</f>
        <v/>
      </c>
      <c r="K796">
        <f>k_eb*k_ec*EXP(k_ec*C796)/k_sx</f>
        <v/>
      </c>
      <c r="L796">
        <f>(2*k_p4_2+C796*(6*k_p4_3+12*k_p4_4*C796))/k_sx^2</f>
        <v/>
      </c>
      <c r="M796">
        <f>D796/B796</f>
        <v/>
      </c>
      <c r="N796">
        <f>E796/B796</f>
        <v/>
      </c>
      <c r="O796">
        <f>F796/B796</f>
        <v/>
      </c>
      <c r="P796">
        <f>G796/B796</f>
        <v/>
      </c>
      <c r="Q796">
        <f>CHOOSE(k_model,D796,E796,F796,G796)</f>
        <v/>
      </c>
      <c r="R796">
        <f>CHOOSE(k_model,H796,I796,J796,K796)</f>
        <v/>
      </c>
    </row>
    <row r="797">
      <c r="A797" t="n">
        <v>795</v>
      </c>
      <c r="B797">
        <f>k_lo+k_rng*A797/1000</f>
        <v/>
      </c>
      <c r="C797">
        <f>(B797-k_mx)/k_sx</f>
        <v/>
      </c>
      <c r="D797">
        <f>k_p2_0+C797*(k_p2_1+C797*k_p2_2)</f>
        <v/>
      </c>
      <c r="E797">
        <f>k_p3_0+C797*(k_p3_1+C797*(k_p3_2+C797*k_p3_3))</f>
        <v/>
      </c>
      <c r="F797">
        <f>k_p4_0+C797*(k_p4_1+C797*(k_p4_2+C797*(k_p4_3+C797*k_p4_4)))</f>
        <v/>
      </c>
      <c r="G797">
        <f>k_ea+k_eb*EXP(k_ec*C797)</f>
        <v/>
      </c>
      <c r="H797">
        <f>(k_p2_1+2*k_p2_2*C797)/k_sx</f>
        <v/>
      </c>
      <c r="I797">
        <f>(k_p3_1+C797*(2*k_p3_2+3*k_p3_3*C797))/k_sx</f>
        <v/>
      </c>
      <c r="J797">
        <f>(k_p4_1+C797*(2*k_p4_2+C797*(3*k_p4_3+4*k_p4_4*C797)))/k_sx</f>
        <v/>
      </c>
      <c r="K797">
        <f>k_eb*k_ec*EXP(k_ec*C797)/k_sx</f>
        <v/>
      </c>
      <c r="L797">
        <f>(2*k_p4_2+C797*(6*k_p4_3+12*k_p4_4*C797))/k_sx^2</f>
        <v/>
      </c>
      <c r="M797">
        <f>D797/B797</f>
        <v/>
      </c>
      <c r="N797">
        <f>E797/B797</f>
        <v/>
      </c>
      <c r="O797">
        <f>F797/B797</f>
        <v/>
      </c>
      <c r="P797">
        <f>G797/B797</f>
        <v/>
      </c>
      <c r="Q797">
        <f>CHOOSE(k_model,D797,E797,F797,G797)</f>
        <v/>
      </c>
      <c r="R797">
        <f>CHOOSE(k_model,H797,I797,J797,K797)</f>
        <v/>
      </c>
    </row>
    <row r="798">
      <c r="A798" t="n">
        <v>796</v>
      </c>
      <c r="B798">
        <f>k_lo+k_rng*A798/1000</f>
        <v/>
      </c>
      <c r="C798">
        <f>(B798-k_mx)/k_sx</f>
        <v/>
      </c>
      <c r="D798">
        <f>k_p2_0+C798*(k_p2_1+C798*k_p2_2)</f>
        <v/>
      </c>
      <c r="E798">
        <f>k_p3_0+C798*(k_p3_1+C798*(k_p3_2+C798*k_p3_3))</f>
        <v/>
      </c>
      <c r="F798">
        <f>k_p4_0+C798*(k_p4_1+C798*(k_p4_2+C798*(k_p4_3+C798*k_p4_4)))</f>
        <v/>
      </c>
      <c r="G798">
        <f>k_ea+k_eb*EXP(k_ec*C798)</f>
        <v/>
      </c>
      <c r="H798">
        <f>(k_p2_1+2*k_p2_2*C798)/k_sx</f>
        <v/>
      </c>
      <c r="I798">
        <f>(k_p3_1+C798*(2*k_p3_2+3*k_p3_3*C798))/k_sx</f>
        <v/>
      </c>
      <c r="J798">
        <f>(k_p4_1+C798*(2*k_p4_2+C798*(3*k_p4_3+4*k_p4_4*C798)))/k_sx</f>
        <v/>
      </c>
      <c r="K798">
        <f>k_eb*k_ec*EXP(k_ec*C798)/k_sx</f>
        <v/>
      </c>
      <c r="L798">
        <f>(2*k_p4_2+C798*(6*k_p4_3+12*k_p4_4*C798))/k_sx^2</f>
        <v/>
      </c>
      <c r="M798">
        <f>D798/B798</f>
        <v/>
      </c>
      <c r="N798">
        <f>E798/B798</f>
        <v/>
      </c>
      <c r="O798">
        <f>F798/B798</f>
        <v/>
      </c>
      <c r="P798">
        <f>G798/B798</f>
        <v/>
      </c>
      <c r="Q798">
        <f>CHOOSE(k_model,D798,E798,F798,G798)</f>
        <v/>
      </c>
      <c r="R798">
        <f>CHOOSE(k_model,H798,I798,J798,K798)</f>
        <v/>
      </c>
    </row>
    <row r="799">
      <c r="A799" t="n">
        <v>797</v>
      </c>
      <c r="B799">
        <f>k_lo+k_rng*A799/1000</f>
        <v/>
      </c>
      <c r="C799">
        <f>(B799-k_mx)/k_sx</f>
        <v/>
      </c>
      <c r="D799">
        <f>k_p2_0+C799*(k_p2_1+C799*k_p2_2)</f>
        <v/>
      </c>
      <c r="E799">
        <f>k_p3_0+C799*(k_p3_1+C799*(k_p3_2+C799*k_p3_3))</f>
        <v/>
      </c>
      <c r="F799">
        <f>k_p4_0+C799*(k_p4_1+C799*(k_p4_2+C799*(k_p4_3+C799*k_p4_4)))</f>
        <v/>
      </c>
      <c r="G799">
        <f>k_ea+k_eb*EXP(k_ec*C799)</f>
        <v/>
      </c>
      <c r="H799">
        <f>(k_p2_1+2*k_p2_2*C799)/k_sx</f>
        <v/>
      </c>
      <c r="I799">
        <f>(k_p3_1+C799*(2*k_p3_2+3*k_p3_3*C799))/k_sx</f>
        <v/>
      </c>
      <c r="J799">
        <f>(k_p4_1+C799*(2*k_p4_2+C799*(3*k_p4_3+4*k_p4_4*C799)))/k_sx</f>
        <v/>
      </c>
      <c r="K799">
        <f>k_eb*k_ec*EXP(k_ec*C799)/k_sx</f>
        <v/>
      </c>
      <c r="L799">
        <f>(2*k_p4_2+C799*(6*k_p4_3+12*k_p4_4*C799))/k_sx^2</f>
        <v/>
      </c>
      <c r="M799">
        <f>D799/B799</f>
        <v/>
      </c>
      <c r="N799">
        <f>E799/B799</f>
        <v/>
      </c>
      <c r="O799">
        <f>F799/B799</f>
        <v/>
      </c>
      <c r="P799">
        <f>G799/B799</f>
        <v/>
      </c>
      <c r="Q799">
        <f>CHOOSE(k_model,D799,E799,F799,G799)</f>
        <v/>
      </c>
      <c r="R799">
        <f>CHOOSE(k_model,H799,I799,J799,K799)</f>
        <v/>
      </c>
    </row>
    <row r="800">
      <c r="A800" t="n">
        <v>798</v>
      </c>
      <c r="B800">
        <f>k_lo+k_rng*A800/1000</f>
        <v/>
      </c>
      <c r="C800">
        <f>(B800-k_mx)/k_sx</f>
        <v/>
      </c>
      <c r="D800">
        <f>k_p2_0+C800*(k_p2_1+C800*k_p2_2)</f>
        <v/>
      </c>
      <c r="E800">
        <f>k_p3_0+C800*(k_p3_1+C800*(k_p3_2+C800*k_p3_3))</f>
        <v/>
      </c>
      <c r="F800">
        <f>k_p4_0+C800*(k_p4_1+C800*(k_p4_2+C800*(k_p4_3+C800*k_p4_4)))</f>
        <v/>
      </c>
      <c r="G800">
        <f>k_ea+k_eb*EXP(k_ec*C800)</f>
        <v/>
      </c>
      <c r="H800">
        <f>(k_p2_1+2*k_p2_2*C800)/k_sx</f>
        <v/>
      </c>
      <c r="I800">
        <f>(k_p3_1+C800*(2*k_p3_2+3*k_p3_3*C800))/k_sx</f>
        <v/>
      </c>
      <c r="J800">
        <f>(k_p4_1+C800*(2*k_p4_2+C800*(3*k_p4_3+4*k_p4_4*C800)))/k_sx</f>
        <v/>
      </c>
      <c r="K800">
        <f>k_eb*k_ec*EXP(k_ec*C800)/k_sx</f>
        <v/>
      </c>
      <c r="L800">
        <f>(2*k_p4_2+C800*(6*k_p4_3+12*k_p4_4*C800))/k_sx^2</f>
        <v/>
      </c>
      <c r="M800">
        <f>D800/B800</f>
        <v/>
      </c>
      <c r="N800">
        <f>E800/B800</f>
        <v/>
      </c>
      <c r="O800">
        <f>F800/B800</f>
        <v/>
      </c>
      <c r="P800">
        <f>G800/B800</f>
        <v/>
      </c>
      <c r="Q800">
        <f>CHOOSE(k_model,D800,E800,F800,G800)</f>
        <v/>
      </c>
      <c r="R800">
        <f>CHOOSE(k_model,H800,I800,J800,K800)</f>
        <v/>
      </c>
    </row>
    <row r="801">
      <c r="A801" t="n">
        <v>799</v>
      </c>
      <c r="B801">
        <f>k_lo+k_rng*A801/1000</f>
        <v/>
      </c>
      <c r="C801">
        <f>(B801-k_mx)/k_sx</f>
        <v/>
      </c>
      <c r="D801">
        <f>k_p2_0+C801*(k_p2_1+C801*k_p2_2)</f>
        <v/>
      </c>
      <c r="E801">
        <f>k_p3_0+C801*(k_p3_1+C801*(k_p3_2+C801*k_p3_3))</f>
        <v/>
      </c>
      <c r="F801">
        <f>k_p4_0+C801*(k_p4_1+C801*(k_p4_2+C801*(k_p4_3+C801*k_p4_4)))</f>
        <v/>
      </c>
      <c r="G801">
        <f>k_ea+k_eb*EXP(k_ec*C801)</f>
        <v/>
      </c>
      <c r="H801">
        <f>(k_p2_1+2*k_p2_2*C801)/k_sx</f>
        <v/>
      </c>
      <c r="I801">
        <f>(k_p3_1+C801*(2*k_p3_2+3*k_p3_3*C801))/k_sx</f>
        <v/>
      </c>
      <c r="J801">
        <f>(k_p4_1+C801*(2*k_p4_2+C801*(3*k_p4_3+4*k_p4_4*C801)))/k_sx</f>
        <v/>
      </c>
      <c r="K801">
        <f>k_eb*k_ec*EXP(k_ec*C801)/k_sx</f>
        <v/>
      </c>
      <c r="L801">
        <f>(2*k_p4_2+C801*(6*k_p4_3+12*k_p4_4*C801))/k_sx^2</f>
        <v/>
      </c>
      <c r="M801">
        <f>D801/B801</f>
        <v/>
      </c>
      <c r="N801">
        <f>E801/B801</f>
        <v/>
      </c>
      <c r="O801">
        <f>F801/B801</f>
        <v/>
      </c>
      <c r="P801">
        <f>G801/B801</f>
        <v/>
      </c>
      <c r="Q801">
        <f>CHOOSE(k_model,D801,E801,F801,G801)</f>
        <v/>
      </c>
      <c r="R801">
        <f>CHOOSE(k_model,H801,I801,J801,K801)</f>
        <v/>
      </c>
    </row>
    <row r="802">
      <c r="A802" t="n">
        <v>800</v>
      </c>
      <c r="B802">
        <f>k_lo+k_rng*A802/1000</f>
        <v/>
      </c>
      <c r="C802">
        <f>(B802-k_mx)/k_sx</f>
        <v/>
      </c>
      <c r="D802">
        <f>k_p2_0+C802*(k_p2_1+C802*k_p2_2)</f>
        <v/>
      </c>
      <c r="E802">
        <f>k_p3_0+C802*(k_p3_1+C802*(k_p3_2+C802*k_p3_3))</f>
        <v/>
      </c>
      <c r="F802">
        <f>k_p4_0+C802*(k_p4_1+C802*(k_p4_2+C802*(k_p4_3+C802*k_p4_4)))</f>
        <v/>
      </c>
      <c r="G802">
        <f>k_ea+k_eb*EXP(k_ec*C802)</f>
        <v/>
      </c>
      <c r="H802">
        <f>(k_p2_1+2*k_p2_2*C802)/k_sx</f>
        <v/>
      </c>
      <c r="I802">
        <f>(k_p3_1+C802*(2*k_p3_2+3*k_p3_3*C802))/k_sx</f>
        <v/>
      </c>
      <c r="J802">
        <f>(k_p4_1+C802*(2*k_p4_2+C802*(3*k_p4_3+4*k_p4_4*C802)))/k_sx</f>
        <v/>
      </c>
      <c r="K802">
        <f>k_eb*k_ec*EXP(k_ec*C802)/k_sx</f>
        <v/>
      </c>
      <c r="L802">
        <f>(2*k_p4_2+C802*(6*k_p4_3+12*k_p4_4*C802))/k_sx^2</f>
        <v/>
      </c>
      <c r="M802">
        <f>D802/B802</f>
        <v/>
      </c>
      <c r="N802">
        <f>E802/B802</f>
        <v/>
      </c>
      <c r="O802">
        <f>F802/B802</f>
        <v/>
      </c>
      <c r="P802">
        <f>G802/B802</f>
        <v/>
      </c>
      <c r="Q802">
        <f>CHOOSE(k_model,D802,E802,F802,G802)</f>
        <v/>
      </c>
      <c r="R802">
        <f>CHOOSE(k_model,H802,I802,J802,K802)</f>
        <v/>
      </c>
    </row>
    <row r="803">
      <c r="A803" t="n">
        <v>801</v>
      </c>
      <c r="B803">
        <f>k_lo+k_rng*A803/1000</f>
        <v/>
      </c>
      <c r="C803">
        <f>(B803-k_mx)/k_sx</f>
        <v/>
      </c>
      <c r="D803">
        <f>k_p2_0+C803*(k_p2_1+C803*k_p2_2)</f>
        <v/>
      </c>
      <c r="E803">
        <f>k_p3_0+C803*(k_p3_1+C803*(k_p3_2+C803*k_p3_3))</f>
        <v/>
      </c>
      <c r="F803">
        <f>k_p4_0+C803*(k_p4_1+C803*(k_p4_2+C803*(k_p4_3+C803*k_p4_4)))</f>
        <v/>
      </c>
      <c r="G803">
        <f>k_ea+k_eb*EXP(k_ec*C803)</f>
        <v/>
      </c>
      <c r="H803">
        <f>(k_p2_1+2*k_p2_2*C803)/k_sx</f>
        <v/>
      </c>
      <c r="I803">
        <f>(k_p3_1+C803*(2*k_p3_2+3*k_p3_3*C803))/k_sx</f>
        <v/>
      </c>
      <c r="J803">
        <f>(k_p4_1+C803*(2*k_p4_2+C803*(3*k_p4_3+4*k_p4_4*C803)))/k_sx</f>
        <v/>
      </c>
      <c r="K803">
        <f>k_eb*k_ec*EXP(k_ec*C803)/k_sx</f>
        <v/>
      </c>
      <c r="L803">
        <f>(2*k_p4_2+C803*(6*k_p4_3+12*k_p4_4*C803))/k_sx^2</f>
        <v/>
      </c>
      <c r="M803">
        <f>D803/B803</f>
        <v/>
      </c>
      <c r="N803">
        <f>E803/B803</f>
        <v/>
      </c>
      <c r="O803">
        <f>F803/B803</f>
        <v/>
      </c>
      <c r="P803">
        <f>G803/B803</f>
        <v/>
      </c>
      <c r="Q803">
        <f>CHOOSE(k_model,D803,E803,F803,G803)</f>
        <v/>
      </c>
      <c r="R803">
        <f>CHOOSE(k_model,H803,I803,J803,K803)</f>
        <v/>
      </c>
    </row>
    <row r="804">
      <c r="A804" t="n">
        <v>802</v>
      </c>
      <c r="B804">
        <f>k_lo+k_rng*A804/1000</f>
        <v/>
      </c>
      <c r="C804">
        <f>(B804-k_mx)/k_sx</f>
        <v/>
      </c>
      <c r="D804">
        <f>k_p2_0+C804*(k_p2_1+C804*k_p2_2)</f>
        <v/>
      </c>
      <c r="E804">
        <f>k_p3_0+C804*(k_p3_1+C804*(k_p3_2+C804*k_p3_3))</f>
        <v/>
      </c>
      <c r="F804">
        <f>k_p4_0+C804*(k_p4_1+C804*(k_p4_2+C804*(k_p4_3+C804*k_p4_4)))</f>
        <v/>
      </c>
      <c r="G804">
        <f>k_ea+k_eb*EXP(k_ec*C804)</f>
        <v/>
      </c>
      <c r="H804">
        <f>(k_p2_1+2*k_p2_2*C804)/k_sx</f>
        <v/>
      </c>
      <c r="I804">
        <f>(k_p3_1+C804*(2*k_p3_2+3*k_p3_3*C804))/k_sx</f>
        <v/>
      </c>
      <c r="J804">
        <f>(k_p4_1+C804*(2*k_p4_2+C804*(3*k_p4_3+4*k_p4_4*C804)))/k_sx</f>
        <v/>
      </c>
      <c r="K804">
        <f>k_eb*k_ec*EXP(k_ec*C804)/k_sx</f>
        <v/>
      </c>
      <c r="L804">
        <f>(2*k_p4_2+C804*(6*k_p4_3+12*k_p4_4*C804))/k_sx^2</f>
        <v/>
      </c>
      <c r="M804">
        <f>D804/B804</f>
        <v/>
      </c>
      <c r="N804">
        <f>E804/B804</f>
        <v/>
      </c>
      <c r="O804">
        <f>F804/B804</f>
        <v/>
      </c>
      <c r="P804">
        <f>G804/B804</f>
        <v/>
      </c>
      <c r="Q804">
        <f>CHOOSE(k_model,D804,E804,F804,G804)</f>
        <v/>
      </c>
      <c r="R804">
        <f>CHOOSE(k_model,H804,I804,J804,K804)</f>
        <v/>
      </c>
    </row>
    <row r="805">
      <c r="A805" t="n">
        <v>803</v>
      </c>
      <c r="B805">
        <f>k_lo+k_rng*A805/1000</f>
        <v/>
      </c>
      <c r="C805">
        <f>(B805-k_mx)/k_sx</f>
        <v/>
      </c>
      <c r="D805">
        <f>k_p2_0+C805*(k_p2_1+C805*k_p2_2)</f>
        <v/>
      </c>
      <c r="E805">
        <f>k_p3_0+C805*(k_p3_1+C805*(k_p3_2+C805*k_p3_3))</f>
        <v/>
      </c>
      <c r="F805">
        <f>k_p4_0+C805*(k_p4_1+C805*(k_p4_2+C805*(k_p4_3+C805*k_p4_4)))</f>
        <v/>
      </c>
      <c r="G805">
        <f>k_ea+k_eb*EXP(k_ec*C805)</f>
        <v/>
      </c>
      <c r="H805">
        <f>(k_p2_1+2*k_p2_2*C805)/k_sx</f>
        <v/>
      </c>
      <c r="I805">
        <f>(k_p3_1+C805*(2*k_p3_2+3*k_p3_3*C805))/k_sx</f>
        <v/>
      </c>
      <c r="J805">
        <f>(k_p4_1+C805*(2*k_p4_2+C805*(3*k_p4_3+4*k_p4_4*C805)))/k_sx</f>
        <v/>
      </c>
      <c r="K805">
        <f>k_eb*k_ec*EXP(k_ec*C805)/k_sx</f>
        <v/>
      </c>
      <c r="L805">
        <f>(2*k_p4_2+C805*(6*k_p4_3+12*k_p4_4*C805))/k_sx^2</f>
        <v/>
      </c>
      <c r="M805">
        <f>D805/B805</f>
        <v/>
      </c>
      <c r="N805">
        <f>E805/B805</f>
        <v/>
      </c>
      <c r="O805">
        <f>F805/B805</f>
        <v/>
      </c>
      <c r="P805">
        <f>G805/B805</f>
        <v/>
      </c>
      <c r="Q805">
        <f>CHOOSE(k_model,D805,E805,F805,G805)</f>
        <v/>
      </c>
      <c r="R805">
        <f>CHOOSE(k_model,H805,I805,J805,K805)</f>
        <v/>
      </c>
    </row>
    <row r="806">
      <c r="A806" t="n">
        <v>804</v>
      </c>
      <c r="B806">
        <f>k_lo+k_rng*A806/1000</f>
        <v/>
      </c>
      <c r="C806">
        <f>(B806-k_mx)/k_sx</f>
        <v/>
      </c>
      <c r="D806">
        <f>k_p2_0+C806*(k_p2_1+C806*k_p2_2)</f>
        <v/>
      </c>
      <c r="E806">
        <f>k_p3_0+C806*(k_p3_1+C806*(k_p3_2+C806*k_p3_3))</f>
        <v/>
      </c>
      <c r="F806">
        <f>k_p4_0+C806*(k_p4_1+C806*(k_p4_2+C806*(k_p4_3+C806*k_p4_4)))</f>
        <v/>
      </c>
      <c r="G806">
        <f>k_ea+k_eb*EXP(k_ec*C806)</f>
        <v/>
      </c>
      <c r="H806">
        <f>(k_p2_1+2*k_p2_2*C806)/k_sx</f>
        <v/>
      </c>
      <c r="I806">
        <f>(k_p3_1+C806*(2*k_p3_2+3*k_p3_3*C806))/k_sx</f>
        <v/>
      </c>
      <c r="J806">
        <f>(k_p4_1+C806*(2*k_p4_2+C806*(3*k_p4_3+4*k_p4_4*C806)))/k_sx</f>
        <v/>
      </c>
      <c r="K806">
        <f>k_eb*k_ec*EXP(k_ec*C806)/k_sx</f>
        <v/>
      </c>
      <c r="L806">
        <f>(2*k_p4_2+C806*(6*k_p4_3+12*k_p4_4*C806))/k_sx^2</f>
        <v/>
      </c>
      <c r="M806">
        <f>D806/B806</f>
        <v/>
      </c>
      <c r="N806">
        <f>E806/B806</f>
        <v/>
      </c>
      <c r="O806">
        <f>F806/B806</f>
        <v/>
      </c>
      <c r="P806">
        <f>G806/B806</f>
        <v/>
      </c>
      <c r="Q806">
        <f>CHOOSE(k_model,D806,E806,F806,G806)</f>
        <v/>
      </c>
      <c r="R806">
        <f>CHOOSE(k_model,H806,I806,J806,K806)</f>
        <v/>
      </c>
    </row>
    <row r="807">
      <c r="A807" t="n">
        <v>805</v>
      </c>
      <c r="B807">
        <f>k_lo+k_rng*A807/1000</f>
        <v/>
      </c>
      <c r="C807">
        <f>(B807-k_mx)/k_sx</f>
        <v/>
      </c>
      <c r="D807">
        <f>k_p2_0+C807*(k_p2_1+C807*k_p2_2)</f>
        <v/>
      </c>
      <c r="E807">
        <f>k_p3_0+C807*(k_p3_1+C807*(k_p3_2+C807*k_p3_3))</f>
        <v/>
      </c>
      <c r="F807">
        <f>k_p4_0+C807*(k_p4_1+C807*(k_p4_2+C807*(k_p4_3+C807*k_p4_4)))</f>
        <v/>
      </c>
      <c r="G807">
        <f>k_ea+k_eb*EXP(k_ec*C807)</f>
        <v/>
      </c>
      <c r="H807">
        <f>(k_p2_1+2*k_p2_2*C807)/k_sx</f>
        <v/>
      </c>
      <c r="I807">
        <f>(k_p3_1+C807*(2*k_p3_2+3*k_p3_3*C807))/k_sx</f>
        <v/>
      </c>
      <c r="J807">
        <f>(k_p4_1+C807*(2*k_p4_2+C807*(3*k_p4_3+4*k_p4_4*C807)))/k_sx</f>
        <v/>
      </c>
      <c r="K807">
        <f>k_eb*k_ec*EXP(k_ec*C807)/k_sx</f>
        <v/>
      </c>
      <c r="L807">
        <f>(2*k_p4_2+C807*(6*k_p4_3+12*k_p4_4*C807))/k_sx^2</f>
        <v/>
      </c>
      <c r="M807">
        <f>D807/B807</f>
        <v/>
      </c>
      <c r="N807">
        <f>E807/B807</f>
        <v/>
      </c>
      <c r="O807">
        <f>F807/B807</f>
        <v/>
      </c>
      <c r="P807">
        <f>G807/B807</f>
        <v/>
      </c>
      <c r="Q807">
        <f>CHOOSE(k_model,D807,E807,F807,G807)</f>
        <v/>
      </c>
      <c r="R807">
        <f>CHOOSE(k_model,H807,I807,J807,K807)</f>
        <v/>
      </c>
    </row>
    <row r="808">
      <c r="A808" t="n">
        <v>806</v>
      </c>
      <c r="B808">
        <f>k_lo+k_rng*A808/1000</f>
        <v/>
      </c>
      <c r="C808">
        <f>(B808-k_mx)/k_sx</f>
        <v/>
      </c>
      <c r="D808">
        <f>k_p2_0+C808*(k_p2_1+C808*k_p2_2)</f>
        <v/>
      </c>
      <c r="E808">
        <f>k_p3_0+C808*(k_p3_1+C808*(k_p3_2+C808*k_p3_3))</f>
        <v/>
      </c>
      <c r="F808">
        <f>k_p4_0+C808*(k_p4_1+C808*(k_p4_2+C808*(k_p4_3+C808*k_p4_4)))</f>
        <v/>
      </c>
      <c r="G808">
        <f>k_ea+k_eb*EXP(k_ec*C808)</f>
        <v/>
      </c>
      <c r="H808">
        <f>(k_p2_1+2*k_p2_2*C808)/k_sx</f>
        <v/>
      </c>
      <c r="I808">
        <f>(k_p3_1+C808*(2*k_p3_2+3*k_p3_3*C808))/k_sx</f>
        <v/>
      </c>
      <c r="J808">
        <f>(k_p4_1+C808*(2*k_p4_2+C808*(3*k_p4_3+4*k_p4_4*C808)))/k_sx</f>
        <v/>
      </c>
      <c r="K808">
        <f>k_eb*k_ec*EXP(k_ec*C808)/k_sx</f>
        <v/>
      </c>
      <c r="L808">
        <f>(2*k_p4_2+C808*(6*k_p4_3+12*k_p4_4*C808))/k_sx^2</f>
        <v/>
      </c>
      <c r="M808">
        <f>D808/B808</f>
        <v/>
      </c>
      <c r="N808">
        <f>E808/B808</f>
        <v/>
      </c>
      <c r="O808">
        <f>F808/B808</f>
        <v/>
      </c>
      <c r="P808">
        <f>G808/B808</f>
        <v/>
      </c>
      <c r="Q808">
        <f>CHOOSE(k_model,D808,E808,F808,G808)</f>
        <v/>
      </c>
      <c r="R808">
        <f>CHOOSE(k_model,H808,I808,J808,K808)</f>
        <v/>
      </c>
    </row>
    <row r="809">
      <c r="A809" t="n">
        <v>807</v>
      </c>
      <c r="B809">
        <f>k_lo+k_rng*A809/1000</f>
        <v/>
      </c>
      <c r="C809">
        <f>(B809-k_mx)/k_sx</f>
        <v/>
      </c>
      <c r="D809">
        <f>k_p2_0+C809*(k_p2_1+C809*k_p2_2)</f>
        <v/>
      </c>
      <c r="E809">
        <f>k_p3_0+C809*(k_p3_1+C809*(k_p3_2+C809*k_p3_3))</f>
        <v/>
      </c>
      <c r="F809">
        <f>k_p4_0+C809*(k_p4_1+C809*(k_p4_2+C809*(k_p4_3+C809*k_p4_4)))</f>
        <v/>
      </c>
      <c r="G809">
        <f>k_ea+k_eb*EXP(k_ec*C809)</f>
        <v/>
      </c>
      <c r="H809">
        <f>(k_p2_1+2*k_p2_2*C809)/k_sx</f>
        <v/>
      </c>
      <c r="I809">
        <f>(k_p3_1+C809*(2*k_p3_2+3*k_p3_3*C809))/k_sx</f>
        <v/>
      </c>
      <c r="J809">
        <f>(k_p4_1+C809*(2*k_p4_2+C809*(3*k_p4_3+4*k_p4_4*C809)))/k_sx</f>
        <v/>
      </c>
      <c r="K809">
        <f>k_eb*k_ec*EXP(k_ec*C809)/k_sx</f>
        <v/>
      </c>
      <c r="L809">
        <f>(2*k_p4_2+C809*(6*k_p4_3+12*k_p4_4*C809))/k_sx^2</f>
        <v/>
      </c>
      <c r="M809">
        <f>D809/B809</f>
        <v/>
      </c>
      <c r="N809">
        <f>E809/B809</f>
        <v/>
      </c>
      <c r="O809">
        <f>F809/B809</f>
        <v/>
      </c>
      <c r="P809">
        <f>G809/B809</f>
        <v/>
      </c>
      <c r="Q809">
        <f>CHOOSE(k_model,D809,E809,F809,G809)</f>
        <v/>
      </c>
      <c r="R809">
        <f>CHOOSE(k_model,H809,I809,J809,K809)</f>
        <v/>
      </c>
    </row>
    <row r="810">
      <c r="A810" t="n">
        <v>808</v>
      </c>
      <c r="B810">
        <f>k_lo+k_rng*A810/1000</f>
        <v/>
      </c>
      <c r="C810">
        <f>(B810-k_mx)/k_sx</f>
        <v/>
      </c>
      <c r="D810">
        <f>k_p2_0+C810*(k_p2_1+C810*k_p2_2)</f>
        <v/>
      </c>
      <c r="E810">
        <f>k_p3_0+C810*(k_p3_1+C810*(k_p3_2+C810*k_p3_3))</f>
        <v/>
      </c>
      <c r="F810">
        <f>k_p4_0+C810*(k_p4_1+C810*(k_p4_2+C810*(k_p4_3+C810*k_p4_4)))</f>
        <v/>
      </c>
      <c r="G810">
        <f>k_ea+k_eb*EXP(k_ec*C810)</f>
        <v/>
      </c>
      <c r="H810">
        <f>(k_p2_1+2*k_p2_2*C810)/k_sx</f>
        <v/>
      </c>
      <c r="I810">
        <f>(k_p3_1+C810*(2*k_p3_2+3*k_p3_3*C810))/k_sx</f>
        <v/>
      </c>
      <c r="J810">
        <f>(k_p4_1+C810*(2*k_p4_2+C810*(3*k_p4_3+4*k_p4_4*C810)))/k_sx</f>
        <v/>
      </c>
      <c r="K810">
        <f>k_eb*k_ec*EXP(k_ec*C810)/k_sx</f>
        <v/>
      </c>
      <c r="L810">
        <f>(2*k_p4_2+C810*(6*k_p4_3+12*k_p4_4*C810))/k_sx^2</f>
        <v/>
      </c>
      <c r="M810">
        <f>D810/B810</f>
        <v/>
      </c>
      <c r="N810">
        <f>E810/B810</f>
        <v/>
      </c>
      <c r="O810">
        <f>F810/B810</f>
        <v/>
      </c>
      <c r="P810">
        <f>G810/B810</f>
        <v/>
      </c>
      <c r="Q810">
        <f>CHOOSE(k_model,D810,E810,F810,G810)</f>
        <v/>
      </c>
      <c r="R810">
        <f>CHOOSE(k_model,H810,I810,J810,K810)</f>
        <v/>
      </c>
    </row>
    <row r="811">
      <c r="A811" t="n">
        <v>809</v>
      </c>
      <c r="B811">
        <f>k_lo+k_rng*A811/1000</f>
        <v/>
      </c>
      <c r="C811">
        <f>(B811-k_mx)/k_sx</f>
        <v/>
      </c>
      <c r="D811">
        <f>k_p2_0+C811*(k_p2_1+C811*k_p2_2)</f>
        <v/>
      </c>
      <c r="E811">
        <f>k_p3_0+C811*(k_p3_1+C811*(k_p3_2+C811*k_p3_3))</f>
        <v/>
      </c>
      <c r="F811">
        <f>k_p4_0+C811*(k_p4_1+C811*(k_p4_2+C811*(k_p4_3+C811*k_p4_4)))</f>
        <v/>
      </c>
      <c r="G811">
        <f>k_ea+k_eb*EXP(k_ec*C811)</f>
        <v/>
      </c>
      <c r="H811">
        <f>(k_p2_1+2*k_p2_2*C811)/k_sx</f>
        <v/>
      </c>
      <c r="I811">
        <f>(k_p3_1+C811*(2*k_p3_2+3*k_p3_3*C811))/k_sx</f>
        <v/>
      </c>
      <c r="J811">
        <f>(k_p4_1+C811*(2*k_p4_2+C811*(3*k_p4_3+4*k_p4_4*C811)))/k_sx</f>
        <v/>
      </c>
      <c r="K811">
        <f>k_eb*k_ec*EXP(k_ec*C811)/k_sx</f>
        <v/>
      </c>
      <c r="L811">
        <f>(2*k_p4_2+C811*(6*k_p4_3+12*k_p4_4*C811))/k_sx^2</f>
        <v/>
      </c>
      <c r="M811">
        <f>D811/B811</f>
        <v/>
      </c>
      <c r="N811">
        <f>E811/B811</f>
        <v/>
      </c>
      <c r="O811">
        <f>F811/B811</f>
        <v/>
      </c>
      <c r="P811">
        <f>G811/B811</f>
        <v/>
      </c>
      <c r="Q811">
        <f>CHOOSE(k_model,D811,E811,F811,G811)</f>
        <v/>
      </c>
      <c r="R811">
        <f>CHOOSE(k_model,H811,I811,J811,K811)</f>
        <v/>
      </c>
    </row>
    <row r="812">
      <c r="A812" t="n">
        <v>810</v>
      </c>
      <c r="B812">
        <f>k_lo+k_rng*A812/1000</f>
        <v/>
      </c>
      <c r="C812">
        <f>(B812-k_mx)/k_sx</f>
        <v/>
      </c>
      <c r="D812">
        <f>k_p2_0+C812*(k_p2_1+C812*k_p2_2)</f>
        <v/>
      </c>
      <c r="E812">
        <f>k_p3_0+C812*(k_p3_1+C812*(k_p3_2+C812*k_p3_3))</f>
        <v/>
      </c>
      <c r="F812">
        <f>k_p4_0+C812*(k_p4_1+C812*(k_p4_2+C812*(k_p4_3+C812*k_p4_4)))</f>
        <v/>
      </c>
      <c r="G812">
        <f>k_ea+k_eb*EXP(k_ec*C812)</f>
        <v/>
      </c>
      <c r="H812">
        <f>(k_p2_1+2*k_p2_2*C812)/k_sx</f>
        <v/>
      </c>
      <c r="I812">
        <f>(k_p3_1+C812*(2*k_p3_2+3*k_p3_3*C812))/k_sx</f>
        <v/>
      </c>
      <c r="J812">
        <f>(k_p4_1+C812*(2*k_p4_2+C812*(3*k_p4_3+4*k_p4_4*C812)))/k_sx</f>
        <v/>
      </c>
      <c r="K812">
        <f>k_eb*k_ec*EXP(k_ec*C812)/k_sx</f>
        <v/>
      </c>
      <c r="L812">
        <f>(2*k_p4_2+C812*(6*k_p4_3+12*k_p4_4*C812))/k_sx^2</f>
        <v/>
      </c>
      <c r="M812">
        <f>D812/B812</f>
        <v/>
      </c>
      <c r="N812">
        <f>E812/B812</f>
        <v/>
      </c>
      <c r="O812">
        <f>F812/B812</f>
        <v/>
      </c>
      <c r="P812">
        <f>G812/B812</f>
        <v/>
      </c>
      <c r="Q812">
        <f>CHOOSE(k_model,D812,E812,F812,G812)</f>
        <v/>
      </c>
      <c r="R812">
        <f>CHOOSE(k_model,H812,I812,J812,K812)</f>
        <v/>
      </c>
    </row>
    <row r="813">
      <c r="A813" t="n">
        <v>811</v>
      </c>
      <c r="B813">
        <f>k_lo+k_rng*A813/1000</f>
        <v/>
      </c>
      <c r="C813">
        <f>(B813-k_mx)/k_sx</f>
        <v/>
      </c>
      <c r="D813">
        <f>k_p2_0+C813*(k_p2_1+C813*k_p2_2)</f>
        <v/>
      </c>
      <c r="E813">
        <f>k_p3_0+C813*(k_p3_1+C813*(k_p3_2+C813*k_p3_3))</f>
        <v/>
      </c>
      <c r="F813">
        <f>k_p4_0+C813*(k_p4_1+C813*(k_p4_2+C813*(k_p4_3+C813*k_p4_4)))</f>
        <v/>
      </c>
      <c r="G813">
        <f>k_ea+k_eb*EXP(k_ec*C813)</f>
        <v/>
      </c>
      <c r="H813">
        <f>(k_p2_1+2*k_p2_2*C813)/k_sx</f>
        <v/>
      </c>
      <c r="I813">
        <f>(k_p3_1+C813*(2*k_p3_2+3*k_p3_3*C813))/k_sx</f>
        <v/>
      </c>
      <c r="J813">
        <f>(k_p4_1+C813*(2*k_p4_2+C813*(3*k_p4_3+4*k_p4_4*C813)))/k_sx</f>
        <v/>
      </c>
      <c r="K813">
        <f>k_eb*k_ec*EXP(k_ec*C813)/k_sx</f>
        <v/>
      </c>
      <c r="L813">
        <f>(2*k_p4_2+C813*(6*k_p4_3+12*k_p4_4*C813))/k_sx^2</f>
        <v/>
      </c>
      <c r="M813">
        <f>D813/B813</f>
        <v/>
      </c>
      <c r="N813">
        <f>E813/B813</f>
        <v/>
      </c>
      <c r="O813">
        <f>F813/B813</f>
        <v/>
      </c>
      <c r="P813">
        <f>G813/B813</f>
        <v/>
      </c>
      <c r="Q813">
        <f>CHOOSE(k_model,D813,E813,F813,G813)</f>
        <v/>
      </c>
      <c r="R813">
        <f>CHOOSE(k_model,H813,I813,J813,K813)</f>
        <v/>
      </c>
    </row>
    <row r="814">
      <c r="A814" t="n">
        <v>812</v>
      </c>
      <c r="B814">
        <f>k_lo+k_rng*A814/1000</f>
        <v/>
      </c>
      <c r="C814">
        <f>(B814-k_mx)/k_sx</f>
        <v/>
      </c>
      <c r="D814">
        <f>k_p2_0+C814*(k_p2_1+C814*k_p2_2)</f>
        <v/>
      </c>
      <c r="E814">
        <f>k_p3_0+C814*(k_p3_1+C814*(k_p3_2+C814*k_p3_3))</f>
        <v/>
      </c>
      <c r="F814">
        <f>k_p4_0+C814*(k_p4_1+C814*(k_p4_2+C814*(k_p4_3+C814*k_p4_4)))</f>
        <v/>
      </c>
      <c r="G814">
        <f>k_ea+k_eb*EXP(k_ec*C814)</f>
        <v/>
      </c>
      <c r="H814">
        <f>(k_p2_1+2*k_p2_2*C814)/k_sx</f>
        <v/>
      </c>
      <c r="I814">
        <f>(k_p3_1+C814*(2*k_p3_2+3*k_p3_3*C814))/k_sx</f>
        <v/>
      </c>
      <c r="J814">
        <f>(k_p4_1+C814*(2*k_p4_2+C814*(3*k_p4_3+4*k_p4_4*C814)))/k_sx</f>
        <v/>
      </c>
      <c r="K814">
        <f>k_eb*k_ec*EXP(k_ec*C814)/k_sx</f>
        <v/>
      </c>
      <c r="L814">
        <f>(2*k_p4_2+C814*(6*k_p4_3+12*k_p4_4*C814))/k_sx^2</f>
        <v/>
      </c>
      <c r="M814">
        <f>D814/B814</f>
        <v/>
      </c>
      <c r="N814">
        <f>E814/B814</f>
        <v/>
      </c>
      <c r="O814">
        <f>F814/B814</f>
        <v/>
      </c>
      <c r="P814">
        <f>G814/B814</f>
        <v/>
      </c>
      <c r="Q814">
        <f>CHOOSE(k_model,D814,E814,F814,G814)</f>
        <v/>
      </c>
      <c r="R814">
        <f>CHOOSE(k_model,H814,I814,J814,K814)</f>
        <v/>
      </c>
    </row>
    <row r="815">
      <c r="A815" t="n">
        <v>813</v>
      </c>
      <c r="B815">
        <f>k_lo+k_rng*A815/1000</f>
        <v/>
      </c>
      <c r="C815">
        <f>(B815-k_mx)/k_sx</f>
        <v/>
      </c>
      <c r="D815">
        <f>k_p2_0+C815*(k_p2_1+C815*k_p2_2)</f>
        <v/>
      </c>
      <c r="E815">
        <f>k_p3_0+C815*(k_p3_1+C815*(k_p3_2+C815*k_p3_3))</f>
        <v/>
      </c>
      <c r="F815">
        <f>k_p4_0+C815*(k_p4_1+C815*(k_p4_2+C815*(k_p4_3+C815*k_p4_4)))</f>
        <v/>
      </c>
      <c r="G815">
        <f>k_ea+k_eb*EXP(k_ec*C815)</f>
        <v/>
      </c>
      <c r="H815">
        <f>(k_p2_1+2*k_p2_2*C815)/k_sx</f>
        <v/>
      </c>
      <c r="I815">
        <f>(k_p3_1+C815*(2*k_p3_2+3*k_p3_3*C815))/k_sx</f>
        <v/>
      </c>
      <c r="J815">
        <f>(k_p4_1+C815*(2*k_p4_2+C815*(3*k_p4_3+4*k_p4_4*C815)))/k_sx</f>
        <v/>
      </c>
      <c r="K815">
        <f>k_eb*k_ec*EXP(k_ec*C815)/k_sx</f>
        <v/>
      </c>
      <c r="L815">
        <f>(2*k_p4_2+C815*(6*k_p4_3+12*k_p4_4*C815))/k_sx^2</f>
        <v/>
      </c>
      <c r="M815">
        <f>D815/B815</f>
        <v/>
      </c>
      <c r="N815">
        <f>E815/B815</f>
        <v/>
      </c>
      <c r="O815">
        <f>F815/B815</f>
        <v/>
      </c>
      <c r="P815">
        <f>G815/B815</f>
        <v/>
      </c>
      <c r="Q815">
        <f>CHOOSE(k_model,D815,E815,F815,G815)</f>
        <v/>
      </c>
      <c r="R815">
        <f>CHOOSE(k_model,H815,I815,J815,K815)</f>
        <v/>
      </c>
    </row>
    <row r="816">
      <c r="A816" t="n">
        <v>814</v>
      </c>
      <c r="B816">
        <f>k_lo+k_rng*A816/1000</f>
        <v/>
      </c>
      <c r="C816">
        <f>(B816-k_mx)/k_sx</f>
        <v/>
      </c>
      <c r="D816">
        <f>k_p2_0+C816*(k_p2_1+C816*k_p2_2)</f>
        <v/>
      </c>
      <c r="E816">
        <f>k_p3_0+C816*(k_p3_1+C816*(k_p3_2+C816*k_p3_3))</f>
        <v/>
      </c>
      <c r="F816">
        <f>k_p4_0+C816*(k_p4_1+C816*(k_p4_2+C816*(k_p4_3+C816*k_p4_4)))</f>
        <v/>
      </c>
      <c r="G816">
        <f>k_ea+k_eb*EXP(k_ec*C816)</f>
        <v/>
      </c>
      <c r="H816">
        <f>(k_p2_1+2*k_p2_2*C816)/k_sx</f>
        <v/>
      </c>
      <c r="I816">
        <f>(k_p3_1+C816*(2*k_p3_2+3*k_p3_3*C816))/k_sx</f>
        <v/>
      </c>
      <c r="J816">
        <f>(k_p4_1+C816*(2*k_p4_2+C816*(3*k_p4_3+4*k_p4_4*C816)))/k_sx</f>
        <v/>
      </c>
      <c r="K816">
        <f>k_eb*k_ec*EXP(k_ec*C816)/k_sx</f>
        <v/>
      </c>
      <c r="L816">
        <f>(2*k_p4_2+C816*(6*k_p4_3+12*k_p4_4*C816))/k_sx^2</f>
        <v/>
      </c>
      <c r="M816">
        <f>D816/B816</f>
        <v/>
      </c>
      <c r="N816">
        <f>E816/B816</f>
        <v/>
      </c>
      <c r="O816">
        <f>F816/B816</f>
        <v/>
      </c>
      <c r="P816">
        <f>G816/B816</f>
        <v/>
      </c>
      <c r="Q816">
        <f>CHOOSE(k_model,D816,E816,F816,G816)</f>
        <v/>
      </c>
      <c r="R816">
        <f>CHOOSE(k_model,H816,I816,J816,K816)</f>
        <v/>
      </c>
    </row>
    <row r="817">
      <c r="A817" t="n">
        <v>815</v>
      </c>
      <c r="B817">
        <f>k_lo+k_rng*A817/1000</f>
        <v/>
      </c>
      <c r="C817">
        <f>(B817-k_mx)/k_sx</f>
        <v/>
      </c>
      <c r="D817">
        <f>k_p2_0+C817*(k_p2_1+C817*k_p2_2)</f>
        <v/>
      </c>
      <c r="E817">
        <f>k_p3_0+C817*(k_p3_1+C817*(k_p3_2+C817*k_p3_3))</f>
        <v/>
      </c>
      <c r="F817">
        <f>k_p4_0+C817*(k_p4_1+C817*(k_p4_2+C817*(k_p4_3+C817*k_p4_4)))</f>
        <v/>
      </c>
      <c r="G817">
        <f>k_ea+k_eb*EXP(k_ec*C817)</f>
        <v/>
      </c>
      <c r="H817">
        <f>(k_p2_1+2*k_p2_2*C817)/k_sx</f>
        <v/>
      </c>
      <c r="I817">
        <f>(k_p3_1+C817*(2*k_p3_2+3*k_p3_3*C817))/k_sx</f>
        <v/>
      </c>
      <c r="J817">
        <f>(k_p4_1+C817*(2*k_p4_2+C817*(3*k_p4_3+4*k_p4_4*C817)))/k_sx</f>
        <v/>
      </c>
      <c r="K817">
        <f>k_eb*k_ec*EXP(k_ec*C817)/k_sx</f>
        <v/>
      </c>
      <c r="L817">
        <f>(2*k_p4_2+C817*(6*k_p4_3+12*k_p4_4*C817))/k_sx^2</f>
        <v/>
      </c>
      <c r="M817">
        <f>D817/B817</f>
        <v/>
      </c>
      <c r="N817">
        <f>E817/B817</f>
        <v/>
      </c>
      <c r="O817">
        <f>F817/B817</f>
        <v/>
      </c>
      <c r="P817">
        <f>G817/B817</f>
        <v/>
      </c>
      <c r="Q817">
        <f>CHOOSE(k_model,D817,E817,F817,G817)</f>
        <v/>
      </c>
      <c r="R817">
        <f>CHOOSE(k_model,H817,I817,J817,K817)</f>
        <v/>
      </c>
    </row>
    <row r="818">
      <c r="A818" t="n">
        <v>816</v>
      </c>
      <c r="B818">
        <f>k_lo+k_rng*A818/1000</f>
        <v/>
      </c>
      <c r="C818">
        <f>(B818-k_mx)/k_sx</f>
        <v/>
      </c>
      <c r="D818">
        <f>k_p2_0+C818*(k_p2_1+C818*k_p2_2)</f>
        <v/>
      </c>
      <c r="E818">
        <f>k_p3_0+C818*(k_p3_1+C818*(k_p3_2+C818*k_p3_3))</f>
        <v/>
      </c>
      <c r="F818">
        <f>k_p4_0+C818*(k_p4_1+C818*(k_p4_2+C818*(k_p4_3+C818*k_p4_4)))</f>
        <v/>
      </c>
      <c r="G818">
        <f>k_ea+k_eb*EXP(k_ec*C818)</f>
        <v/>
      </c>
      <c r="H818">
        <f>(k_p2_1+2*k_p2_2*C818)/k_sx</f>
        <v/>
      </c>
      <c r="I818">
        <f>(k_p3_1+C818*(2*k_p3_2+3*k_p3_3*C818))/k_sx</f>
        <v/>
      </c>
      <c r="J818">
        <f>(k_p4_1+C818*(2*k_p4_2+C818*(3*k_p4_3+4*k_p4_4*C818)))/k_sx</f>
        <v/>
      </c>
      <c r="K818">
        <f>k_eb*k_ec*EXP(k_ec*C818)/k_sx</f>
        <v/>
      </c>
      <c r="L818">
        <f>(2*k_p4_2+C818*(6*k_p4_3+12*k_p4_4*C818))/k_sx^2</f>
        <v/>
      </c>
      <c r="M818">
        <f>D818/B818</f>
        <v/>
      </c>
      <c r="N818">
        <f>E818/B818</f>
        <v/>
      </c>
      <c r="O818">
        <f>F818/B818</f>
        <v/>
      </c>
      <c r="P818">
        <f>G818/B818</f>
        <v/>
      </c>
      <c r="Q818">
        <f>CHOOSE(k_model,D818,E818,F818,G818)</f>
        <v/>
      </c>
      <c r="R818">
        <f>CHOOSE(k_model,H818,I818,J818,K818)</f>
        <v/>
      </c>
    </row>
    <row r="819">
      <c r="A819" t="n">
        <v>817</v>
      </c>
      <c r="B819">
        <f>k_lo+k_rng*A819/1000</f>
        <v/>
      </c>
      <c r="C819">
        <f>(B819-k_mx)/k_sx</f>
        <v/>
      </c>
      <c r="D819">
        <f>k_p2_0+C819*(k_p2_1+C819*k_p2_2)</f>
        <v/>
      </c>
      <c r="E819">
        <f>k_p3_0+C819*(k_p3_1+C819*(k_p3_2+C819*k_p3_3))</f>
        <v/>
      </c>
      <c r="F819">
        <f>k_p4_0+C819*(k_p4_1+C819*(k_p4_2+C819*(k_p4_3+C819*k_p4_4)))</f>
        <v/>
      </c>
      <c r="G819">
        <f>k_ea+k_eb*EXP(k_ec*C819)</f>
        <v/>
      </c>
      <c r="H819">
        <f>(k_p2_1+2*k_p2_2*C819)/k_sx</f>
        <v/>
      </c>
      <c r="I819">
        <f>(k_p3_1+C819*(2*k_p3_2+3*k_p3_3*C819))/k_sx</f>
        <v/>
      </c>
      <c r="J819">
        <f>(k_p4_1+C819*(2*k_p4_2+C819*(3*k_p4_3+4*k_p4_4*C819)))/k_sx</f>
        <v/>
      </c>
      <c r="K819">
        <f>k_eb*k_ec*EXP(k_ec*C819)/k_sx</f>
        <v/>
      </c>
      <c r="L819">
        <f>(2*k_p4_2+C819*(6*k_p4_3+12*k_p4_4*C819))/k_sx^2</f>
        <v/>
      </c>
      <c r="M819">
        <f>D819/B819</f>
        <v/>
      </c>
      <c r="N819">
        <f>E819/B819</f>
        <v/>
      </c>
      <c r="O819">
        <f>F819/B819</f>
        <v/>
      </c>
      <c r="P819">
        <f>G819/B819</f>
        <v/>
      </c>
      <c r="Q819">
        <f>CHOOSE(k_model,D819,E819,F819,G819)</f>
        <v/>
      </c>
      <c r="R819">
        <f>CHOOSE(k_model,H819,I819,J819,K819)</f>
        <v/>
      </c>
    </row>
    <row r="820">
      <c r="A820" t="n">
        <v>818</v>
      </c>
      <c r="B820">
        <f>k_lo+k_rng*A820/1000</f>
        <v/>
      </c>
      <c r="C820">
        <f>(B820-k_mx)/k_sx</f>
        <v/>
      </c>
      <c r="D820">
        <f>k_p2_0+C820*(k_p2_1+C820*k_p2_2)</f>
        <v/>
      </c>
      <c r="E820">
        <f>k_p3_0+C820*(k_p3_1+C820*(k_p3_2+C820*k_p3_3))</f>
        <v/>
      </c>
      <c r="F820">
        <f>k_p4_0+C820*(k_p4_1+C820*(k_p4_2+C820*(k_p4_3+C820*k_p4_4)))</f>
        <v/>
      </c>
      <c r="G820">
        <f>k_ea+k_eb*EXP(k_ec*C820)</f>
        <v/>
      </c>
      <c r="H820">
        <f>(k_p2_1+2*k_p2_2*C820)/k_sx</f>
        <v/>
      </c>
      <c r="I820">
        <f>(k_p3_1+C820*(2*k_p3_2+3*k_p3_3*C820))/k_sx</f>
        <v/>
      </c>
      <c r="J820">
        <f>(k_p4_1+C820*(2*k_p4_2+C820*(3*k_p4_3+4*k_p4_4*C820)))/k_sx</f>
        <v/>
      </c>
      <c r="K820">
        <f>k_eb*k_ec*EXP(k_ec*C820)/k_sx</f>
        <v/>
      </c>
      <c r="L820">
        <f>(2*k_p4_2+C820*(6*k_p4_3+12*k_p4_4*C820))/k_sx^2</f>
        <v/>
      </c>
      <c r="M820">
        <f>D820/B820</f>
        <v/>
      </c>
      <c r="N820">
        <f>E820/B820</f>
        <v/>
      </c>
      <c r="O820">
        <f>F820/B820</f>
        <v/>
      </c>
      <c r="P820">
        <f>G820/B820</f>
        <v/>
      </c>
      <c r="Q820">
        <f>CHOOSE(k_model,D820,E820,F820,G820)</f>
        <v/>
      </c>
      <c r="R820">
        <f>CHOOSE(k_model,H820,I820,J820,K820)</f>
        <v/>
      </c>
    </row>
    <row r="821">
      <c r="A821" t="n">
        <v>819</v>
      </c>
      <c r="B821">
        <f>k_lo+k_rng*A821/1000</f>
        <v/>
      </c>
      <c r="C821">
        <f>(B821-k_mx)/k_sx</f>
        <v/>
      </c>
      <c r="D821">
        <f>k_p2_0+C821*(k_p2_1+C821*k_p2_2)</f>
        <v/>
      </c>
      <c r="E821">
        <f>k_p3_0+C821*(k_p3_1+C821*(k_p3_2+C821*k_p3_3))</f>
        <v/>
      </c>
      <c r="F821">
        <f>k_p4_0+C821*(k_p4_1+C821*(k_p4_2+C821*(k_p4_3+C821*k_p4_4)))</f>
        <v/>
      </c>
      <c r="G821">
        <f>k_ea+k_eb*EXP(k_ec*C821)</f>
        <v/>
      </c>
      <c r="H821">
        <f>(k_p2_1+2*k_p2_2*C821)/k_sx</f>
        <v/>
      </c>
      <c r="I821">
        <f>(k_p3_1+C821*(2*k_p3_2+3*k_p3_3*C821))/k_sx</f>
        <v/>
      </c>
      <c r="J821">
        <f>(k_p4_1+C821*(2*k_p4_2+C821*(3*k_p4_3+4*k_p4_4*C821)))/k_sx</f>
        <v/>
      </c>
      <c r="K821">
        <f>k_eb*k_ec*EXP(k_ec*C821)/k_sx</f>
        <v/>
      </c>
      <c r="L821">
        <f>(2*k_p4_2+C821*(6*k_p4_3+12*k_p4_4*C821))/k_sx^2</f>
        <v/>
      </c>
      <c r="M821">
        <f>D821/B821</f>
        <v/>
      </c>
      <c r="N821">
        <f>E821/B821</f>
        <v/>
      </c>
      <c r="O821">
        <f>F821/B821</f>
        <v/>
      </c>
      <c r="P821">
        <f>G821/B821</f>
        <v/>
      </c>
      <c r="Q821">
        <f>CHOOSE(k_model,D821,E821,F821,G821)</f>
        <v/>
      </c>
      <c r="R821">
        <f>CHOOSE(k_model,H821,I821,J821,K821)</f>
        <v/>
      </c>
    </row>
    <row r="822">
      <c r="A822" t="n">
        <v>820</v>
      </c>
      <c r="B822">
        <f>k_lo+k_rng*A822/1000</f>
        <v/>
      </c>
      <c r="C822">
        <f>(B822-k_mx)/k_sx</f>
        <v/>
      </c>
      <c r="D822">
        <f>k_p2_0+C822*(k_p2_1+C822*k_p2_2)</f>
        <v/>
      </c>
      <c r="E822">
        <f>k_p3_0+C822*(k_p3_1+C822*(k_p3_2+C822*k_p3_3))</f>
        <v/>
      </c>
      <c r="F822">
        <f>k_p4_0+C822*(k_p4_1+C822*(k_p4_2+C822*(k_p4_3+C822*k_p4_4)))</f>
        <v/>
      </c>
      <c r="G822">
        <f>k_ea+k_eb*EXP(k_ec*C822)</f>
        <v/>
      </c>
      <c r="H822">
        <f>(k_p2_1+2*k_p2_2*C822)/k_sx</f>
        <v/>
      </c>
      <c r="I822">
        <f>(k_p3_1+C822*(2*k_p3_2+3*k_p3_3*C822))/k_sx</f>
        <v/>
      </c>
      <c r="J822">
        <f>(k_p4_1+C822*(2*k_p4_2+C822*(3*k_p4_3+4*k_p4_4*C822)))/k_sx</f>
        <v/>
      </c>
      <c r="K822">
        <f>k_eb*k_ec*EXP(k_ec*C822)/k_sx</f>
        <v/>
      </c>
      <c r="L822">
        <f>(2*k_p4_2+C822*(6*k_p4_3+12*k_p4_4*C822))/k_sx^2</f>
        <v/>
      </c>
      <c r="M822">
        <f>D822/B822</f>
        <v/>
      </c>
      <c r="N822">
        <f>E822/B822</f>
        <v/>
      </c>
      <c r="O822">
        <f>F822/B822</f>
        <v/>
      </c>
      <c r="P822">
        <f>G822/B822</f>
        <v/>
      </c>
      <c r="Q822">
        <f>CHOOSE(k_model,D822,E822,F822,G822)</f>
        <v/>
      </c>
      <c r="R822">
        <f>CHOOSE(k_model,H822,I822,J822,K822)</f>
        <v/>
      </c>
    </row>
    <row r="823">
      <c r="A823" t="n">
        <v>821</v>
      </c>
      <c r="B823">
        <f>k_lo+k_rng*A823/1000</f>
        <v/>
      </c>
      <c r="C823">
        <f>(B823-k_mx)/k_sx</f>
        <v/>
      </c>
      <c r="D823">
        <f>k_p2_0+C823*(k_p2_1+C823*k_p2_2)</f>
        <v/>
      </c>
      <c r="E823">
        <f>k_p3_0+C823*(k_p3_1+C823*(k_p3_2+C823*k_p3_3))</f>
        <v/>
      </c>
      <c r="F823">
        <f>k_p4_0+C823*(k_p4_1+C823*(k_p4_2+C823*(k_p4_3+C823*k_p4_4)))</f>
        <v/>
      </c>
      <c r="G823">
        <f>k_ea+k_eb*EXP(k_ec*C823)</f>
        <v/>
      </c>
      <c r="H823">
        <f>(k_p2_1+2*k_p2_2*C823)/k_sx</f>
        <v/>
      </c>
      <c r="I823">
        <f>(k_p3_1+C823*(2*k_p3_2+3*k_p3_3*C823))/k_sx</f>
        <v/>
      </c>
      <c r="J823">
        <f>(k_p4_1+C823*(2*k_p4_2+C823*(3*k_p4_3+4*k_p4_4*C823)))/k_sx</f>
        <v/>
      </c>
      <c r="K823">
        <f>k_eb*k_ec*EXP(k_ec*C823)/k_sx</f>
        <v/>
      </c>
      <c r="L823">
        <f>(2*k_p4_2+C823*(6*k_p4_3+12*k_p4_4*C823))/k_sx^2</f>
        <v/>
      </c>
      <c r="M823">
        <f>D823/B823</f>
        <v/>
      </c>
      <c r="N823">
        <f>E823/B823</f>
        <v/>
      </c>
      <c r="O823">
        <f>F823/B823</f>
        <v/>
      </c>
      <c r="P823">
        <f>G823/B823</f>
        <v/>
      </c>
      <c r="Q823">
        <f>CHOOSE(k_model,D823,E823,F823,G823)</f>
        <v/>
      </c>
      <c r="R823">
        <f>CHOOSE(k_model,H823,I823,J823,K823)</f>
        <v/>
      </c>
    </row>
    <row r="824">
      <c r="A824" t="n">
        <v>822</v>
      </c>
      <c r="B824">
        <f>k_lo+k_rng*A824/1000</f>
        <v/>
      </c>
      <c r="C824">
        <f>(B824-k_mx)/k_sx</f>
        <v/>
      </c>
      <c r="D824">
        <f>k_p2_0+C824*(k_p2_1+C824*k_p2_2)</f>
        <v/>
      </c>
      <c r="E824">
        <f>k_p3_0+C824*(k_p3_1+C824*(k_p3_2+C824*k_p3_3))</f>
        <v/>
      </c>
      <c r="F824">
        <f>k_p4_0+C824*(k_p4_1+C824*(k_p4_2+C824*(k_p4_3+C824*k_p4_4)))</f>
        <v/>
      </c>
      <c r="G824">
        <f>k_ea+k_eb*EXP(k_ec*C824)</f>
        <v/>
      </c>
      <c r="H824">
        <f>(k_p2_1+2*k_p2_2*C824)/k_sx</f>
        <v/>
      </c>
      <c r="I824">
        <f>(k_p3_1+C824*(2*k_p3_2+3*k_p3_3*C824))/k_sx</f>
        <v/>
      </c>
      <c r="J824">
        <f>(k_p4_1+C824*(2*k_p4_2+C824*(3*k_p4_3+4*k_p4_4*C824)))/k_sx</f>
        <v/>
      </c>
      <c r="K824">
        <f>k_eb*k_ec*EXP(k_ec*C824)/k_sx</f>
        <v/>
      </c>
      <c r="L824">
        <f>(2*k_p4_2+C824*(6*k_p4_3+12*k_p4_4*C824))/k_sx^2</f>
        <v/>
      </c>
      <c r="M824">
        <f>D824/B824</f>
        <v/>
      </c>
      <c r="N824">
        <f>E824/B824</f>
        <v/>
      </c>
      <c r="O824">
        <f>F824/B824</f>
        <v/>
      </c>
      <c r="P824">
        <f>G824/B824</f>
        <v/>
      </c>
      <c r="Q824">
        <f>CHOOSE(k_model,D824,E824,F824,G824)</f>
        <v/>
      </c>
      <c r="R824">
        <f>CHOOSE(k_model,H824,I824,J824,K824)</f>
        <v/>
      </c>
    </row>
    <row r="825">
      <c r="A825" t="n">
        <v>823</v>
      </c>
      <c r="B825">
        <f>k_lo+k_rng*A825/1000</f>
        <v/>
      </c>
      <c r="C825">
        <f>(B825-k_mx)/k_sx</f>
        <v/>
      </c>
      <c r="D825">
        <f>k_p2_0+C825*(k_p2_1+C825*k_p2_2)</f>
        <v/>
      </c>
      <c r="E825">
        <f>k_p3_0+C825*(k_p3_1+C825*(k_p3_2+C825*k_p3_3))</f>
        <v/>
      </c>
      <c r="F825">
        <f>k_p4_0+C825*(k_p4_1+C825*(k_p4_2+C825*(k_p4_3+C825*k_p4_4)))</f>
        <v/>
      </c>
      <c r="G825">
        <f>k_ea+k_eb*EXP(k_ec*C825)</f>
        <v/>
      </c>
      <c r="H825">
        <f>(k_p2_1+2*k_p2_2*C825)/k_sx</f>
        <v/>
      </c>
      <c r="I825">
        <f>(k_p3_1+C825*(2*k_p3_2+3*k_p3_3*C825))/k_sx</f>
        <v/>
      </c>
      <c r="J825">
        <f>(k_p4_1+C825*(2*k_p4_2+C825*(3*k_p4_3+4*k_p4_4*C825)))/k_sx</f>
        <v/>
      </c>
      <c r="K825">
        <f>k_eb*k_ec*EXP(k_ec*C825)/k_sx</f>
        <v/>
      </c>
      <c r="L825">
        <f>(2*k_p4_2+C825*(6*k_p4_3+12*k_p4_4*C825))/k_sx^2</f>
        <v/>
      </c>
      <c r="M825">
        <f>D825/B825</f>
        <v/>
      </c>
      <c r="N825">
        <f>E825/B825</f>
        <v/>
      </c>
      <c r="O825">
        <f>F825/B825</f>
        <v/>
      </c>
      <c r="P825">
        <f>G825/B825</f>
        <v/>
      </c>
      <c r="Q825">
        <f>CHOOSE(k_model,D825,E825,F825,G825)</f>
        <v/>
      </c>
      <c r="R825">
        <f>CHOOSE(k_model,H825,I825,J825,K825)</f>
        <v/>
      </c>
    </row>
    <row r="826">
      <c r="A826" t="n">
        <v>824</v>
      </c>
      <c r="B826">
        <f>k_lo+k_rng*A826/1000</f>
        <v/>
      </c>
      <c r="C826">
        <f>(B826-k_mx)/k_sx</f>
        <v/>
      </c>
      <c r="D826">
        <f>k_p2_0+C826*(k_p2_1+C826*k_p2_2)</f>
        <v/>
      </c>
      <c r="E826">
        <f>k_p3_0+C826*(k_p3_1+C826*(k_p3_2+C826*k_p3_3))</f>
        <v/>
      </c>
      <c r="F826">
        <f>k_p4_0+C826*(k_p4_1+C826*(k_p4_2+C826*(k_p4_3+C826*k_p4_4)))</f>
        <v/>
      </c>
      <c r="G826">
        <f>k_ea+k_eb*EXP(k_ec*C826)</f>
        <v/>
      </c>
      <c r="H826">
        <f>(k_p2_1+2*k_p2_2*C826)/k_sx</f>
        <v/>
      </c>
      <c r="I826">
        <f>(k_p3_1+C826*(2*k_p3_2+3*k_p3_3*C826))/k_sx</f>
        <v/>
      </c>
      <c r="J826">
        <f>(k_p4_1+C826*(2*k_p4_2+C826*(3*k_p4_3+4*k_p4_4*C826)))/k_sx</f>
        <v/>
      </c>
      <c r="K826">
        <f>k_eb*k_ec*EXP(k_ec*C826)/k_sx</f>
        <v/>
      </c>
      <c r="L826">
        <f>(2*k_p4_2+C826*(6*k_p4_3+12*k_p4_4*C826))/k_sx^2</f>
        <v/>
      </c>
      <c r="M826">
        <f>D826/B826</f>
        <v/>
      </c>
      <c r="N826">
        <f>E826/B826</f>
        <v/>
      </c>
      <c r="O826">
        <f>F826/B826</f>
        <v/>
      </c>
      <c r="P826">
        <f>G826/B826</f>
        <v/>
      </c>
      <c r="Q826">
        <f>CHOOSE(k_model,D826,E826,F826,G826)</f>
        <v/>
      </c>
      <c r="R826">
        <f>CHOOSE(k_model,H826,I826,J826,K826)</f>
        <v/>
      </c>
    </row>
    <row r="827">
      <c r="A827" t="n">
        <v>825</v>
      </c>
      <c r="B827">
        <f>k_lo+k_rng*A827/1000</f>
        <v/>
      </c>
      <c r="C827">
        <f>(B827-k_mx)/k_sx</f>
        <v/>
      </c>
      <c r="D827">
        <f>k_p2_0+C827*(k_p2_1+C827*k_p2_2)</f>
        <v/>
      </c>
      <c r="E827">
        <f>k_p3_0+C827*(k_p3_1+C827*(k_p3_2+C827*k_p3_3))</f>
        <v/>
      </c>
      <c r="F827">
        <f>k_p4_0+C827*(k_p4_1+C827*(k_p4_2+C827*(k_p4_3+C827*k_p4_4)))</f>
        <v/>
      </c>
      <c r="G827">
        <f>k_ea+k_eb*EXP(k_ec*C827)</f>
        <v/>
      </c>
      <c r="H827">
        <f>(k_p2_1+2*k_p2_2*C827)/k_sx</f>
        <v/>
      </c>
      <c r="I827">
        <f>(k_p3_1+C827*(2*k_p3_2+3*k_p3_3*C827))/k_sx</f>
        <v/>
      </c>
      <c r="J827">
        <f>(k_p4_1+C827*(2*k_p4_2+C827*(3*k_p4_3+4*k_p4_4*C827)))/k_sx</f>
        <v/>
      </c>
      <c r="K827">
        <f>k_eb*k_ec*EXP(k_ec*C827)/k_sx</f>
        <v/>
      </c>
      <c r="L827">
        <f>(2*k_p4_2+C827*(6*k_p4_3+12*k_p4_4*C827))/k_sx^2</f>
        <v/>
      </c>
      <c r="M827">
        <f>D827/B827</f>
        <v/>
      </c>
      <c r="N827">
        <f>E827/B827</f>
        <v/>
      </c>
      <c r="O827">
        <f>F827/B827</f>
        <v/>
      </c>
      <c r="P827">
        <f>G827/B827</f>
        <v/>
      </c>
      <c r="Q827">
        <f>CHOOSE(k_model,D827,E827,F827,G827)</f>
        <v/>
      </c>
      <c r="R827">
        <f>CHOOSE(k_model,H827,I827,J827,K827)</f>
        <v/>
      </c>
    </row>
    <row r="828">
      <c r="A828" t="n">
        <v>826</v>
      </c>
      <c r="B828">
        <f>k_lo+k_rng*A828/1000</f>
        <v/>
      </c>
      <c r="C828">
        <f>(B828-k_mx)/k_sx</f>
        <v/>
      </c>
      <c r="D828">
        <f>k_p2_0+C828*(k_p2_1+C828*k_p2_2)</f>
        <v/>
      </c>
      <c r="E828">
        <f>k_p3_0+C828*(k_p3_1+C828*(k_p3_2+C828*k_p3_3))</f>
        <v/>
      </c>
      <c r="F828">
        <f>k_p4_0+C828*(k_p4_1+C828*(k_p4_2+C828*(k_p4_3+C828*k_p4_4)))</f>
        <v/>
      </c>
      <c r="G828">
        <f>k_ea+k_eb*EXP(k_ec*C828)</f>
        <v/>
      </c>
      <c r="H828">
        <f>(k_p2_1+2*k_p2_2*C828)/k_sx</f>
        <v/>
      </c>
      <c r="I828">
        <f>(k_p3_1+C828*(2*k_p3_2+3*k_p3_3*C828))/k_sx</f>
        <v/>
      </c>
      <c r="J828">
        <f>(k_p4_1+C828*(2*k_p4_2+C828*(3*k_p4_3+4*k_p4_4*C828)))/k_sx</f>
        <v/>
      </c>
      <c r="K828">
        <f>k_eb*k_ec*EXP(k_ec*C828)/k_sx</f>
        <v/>
      </c>
      <c r="L828">
        <f>(2*k_p4_2+C828*(6*k_p4_3+12*k_p4_4*C828))/k_sx^2</f>
        <v/>
      </c>
      <c r="M828">
        <f>D828/B828</f>
        <v/>
      </c>
      <c r="N828">
        <f>E828/B828</f>
        <v/>
      </c>
      <c r="O828">
        <f>F828/B828</f>
        <v/>
      </c>
      <c r="P828">
        <f>G828/B828</f>
        <v/>
      </c>
      <c r="Q828">
        <f>CHOOSE(k_model,D828,E828,F828,G828)</f>
        <v/>
      </c>
      <c r="R828">
        <f>CHOOSE(k_model,H828,I828,J828,K828)</f>
        <v/>
      </c>
    </row>
    <row r="829">
      <c r="A829" t="n">
        <v>827</v>
      </c>
      <c r="B829">
        <f>k_lo+k_rng*A829/1000</f>
        <v/>
      </c>
      <c r="C829">
        <f>(B829-k_mx)/k_sx</f>
        <v/>
      </c>
      <c r="D829">
        <f>k_p2_0+C829*(k_p2_1+C829*k_p2_2)</f>
        <v/>
      </c>
      <c r="E829">
        <f>k_p3_0+C829*(k_p3_1+C829*(k_p3_2+C829*k_p3_3))</f>
        <v/>
      </c>
      <c r="F829">
        <f>k_p4_0+C829*(k_p4_1+C829*(k_p4_2+C829*(k_p4_3+C829*k_p4_4)))</f>
        <v/>
      </c>
      <c r="G829">
        <f>k_ea+k_eb*EXP(k_ec*C829)</f>
        <v/>
      </c>
      <c r="H829">
        <f>(k_p2_1+2*k_p2_2*C829)/k_sx</f>
        <v/>
      </c>
      <c r="I829">
        <f>(k_p3_1+C829*(2*k_p3_2+3*k_p3_3*C829))/k_sx</f>
        <v/>
      </c>
      <c r="J829">
        <f>(k_p4_1+C829*(2*k_p4_2+C829*(3*k_p4_3+4*k_p4_4*C829)))/k_sx</f>
        <v/>
      </c>
      <c r="K829">
        <f>k_eb*k_ec*EXP(k_ec*C829)/k_sx</f>
        <v/>
      </c>
      <c r="L829">
        <f>(2*k_p4_2+C829*(6*k_p4_3+12*k_p4_4*C829))/k_sx^2</f>
        <v/>
      </c>
      <c r="M829">
        <f>D829/B829</f>
        <v/>
      </c>
      <c r="N829">
        <f>E829/B829</f>
        <v/>
      </c>
      <c r="O829">
        <f>F829/B829</f>
        <v/>
      </c>
      <c r="P829">
        <f>G829/B829</f>
        <v/>
      </c>
      <c r="Q829">
        <f>CHOOSE(k_model,D829,E829,F829,G829)</f>
        <v/>
      </c>
      <c r="R829">
        <f>CHOOSE(k_model,H829,I829,J829,K829)</f>
        <v/>
      </c>
    </row>
    <row r="830">
      <c r="A830" t="n">
        <v>828</v>
      </c>
      <c r="B830">
        <f>k_lo+k_rng*A830/1000</f>
        <v/>
      </c>
      <c r="C830">
        <f>(B830-k_mx)/k_sx</f>
        <v/>
      </c>
      <c r="D830">
        <f>k_p2_0+C830*(k_p2_1+C830*k_p2_2)</f>
        <v/>
      </c>
      <c r="E830">
        <f>k_p3_0+C830*(k_p3_1+C830*(k_p3_2+C830*k_p3_3))</f>
        <v/>
      </c>
      <c r="F830">
        <f>k_p4_0+C830*(k_p4_1+C830*(k_p4_2+C830*(k_p4_3+C830*k_p4_4)))</f>
        <v/>
      </c>
      <c r="G830">
        <f>k_ea+k_eb*EXP(k_ec*C830)</f>
        <v/>
      </c>
      <c r="H830">
        <f>(k_p2_1+2*k_p2_2*C830)/k_sx</f>
        <v/>
      </c>
      <c r="I830">
        <f>(k_p3_1+C830*(2*k_p3_2+3*k_p3_3*C830))/k_sx</f>
        <v/>
      </c>
      <c r="J830">
        <f>(k_p4_1+C830*(2*k_p4_2+C830*(3*k_p4_3+4*k_p4_4*C830)))/k_sx</f>
        <v/>
      </c>
      <c r="K830">
        <f>k_eb*k_ec*EXP(k_ec*C830)/k_sx</f>
        <v/>
      </c>
      <c r="L830">
        <f>(2*k_p4_2+C830*(6*k_p4_3+12*k_p4_4*C830))/k_sx^2</f>
        <v/>
      </c>
      <c r="M830">
        <f>D830/B830</f>
        <v/>
      </c>
      <c r="N830">
        <f>E830/B830</f>
        <v/>
      </c>
      <c r="O830">
        <f>F830/B830</f>
        <v/>
      </c>
      <c r="P830">
        <f>G830/B830</f>
        <v/>
      </c>
      <c r="Q830">
        <f>CHOOSE(k_model,D830,E830,F830,G830)</f>
        <v/>
      </c>
      <c r="R830">
        <f>CHOOSE(k_model,H830,I830,J830,K830)</f>
        <v/>
      </c>
    </row>
    <row r="831">
      <c r="A831" t="n">
        <v>829</v>
      </c>
      <c r="B831">
        <f>k_lo+k_rng*A831/1000</f>
        <v/>
      </c>
      <c r="C831">
        <f>(B831-k_mx)/k_sx</f>
        <v/>
      </c>
      <c r="D831">
        <f>k_p2_0+C831*(k_p2_1+C831*k_p2_2)</f>
        <v/>
      </c>
      <c r="E831">
        <f>k_p3_0+C831*(k_p3_1+C831*(k_p3_2+C831*k_p3_3))</f>
        <v/>
      </c>
      <c r="F831">
        <f>k_p4_0+C831*(k_p4_1+C831*(k_p4_2+C831*(k_p4_3+C831*k_p4_4)))</f>
        <v/>
      </c>
      <c r="G831">
        <f>k_ea+k_eb*EXP(k_ec*C831)</f>
        <v/>
      </c>
      <c r="H831">
        <f>(k_p2_1+2*k_p2_2*C831)/k_sx</f>
        <v/>
      </c>
      <c r="I831">
        <f>(k_p3_1+C831*(2*k_p3_2+3*k_p3_3*C831))/k_sx</f>
        <v/>
      </c>
      <c r="J831">
        <f>(k_p4_1+C831*(2*k_p4_2+C831*(3*k_p4_3+4*k_p4_4*C831)))/k_sx</f>
        <v/>
      </c>
      <c r="K831">
        <f>k_eb*k_ec*EXP(k_ec*C831)/k_sx</f>
        <v/>
      </c>
      <c r="L831">
        <f>(2*k_p4_2+C831*(6*k_p4_3+12*k_p4_4*C831))/k_sx^2</f>
        <v/>
      </c>
      <c r="M831">
        <f>D831/B831</f>
        <v/>
      </c>
      <c r="N831">
        <f>E831/B831</f>
        <v/>
      </c>
      <c r="O831">
        <f>F831/B831</f>
        <v/>
      </c>
      <c r="P831">
        <f>G831/B831</f>
        <v/>
      </c>
      <c r="Q831">
        <f>CHOOSE(k_model,D831,E831,F831,G831)</f>
        <v/>
      </c>
      <c r="R831">
        <f>CHOOSE(k_model,H831,I831,J831,K831)</f>
        <v/>
      </c>
    </row>
    <row r="832">
      <c r="A832" t="n">
        <v>830</v>
      </c>
      <c r="B832">
        <f>k_lo+k_rng*A832/1000</f>
        <v/>
      </c>
      <c r="C832">
        <f>(B832-k_mx)/k_sx</f>
        <v/>
      </c>
      <c r="D832">
        <f>k_p2_0+C832*(k_p2_1+C832*k_p2_2)</f>
        <v/>
      </c>
      <c r="E832">
        <f>k_p3_0+C832*(k_p3_1+C832*(k_p3_2+C832*k_p3_3))</f>
        <v/>
      </c>
      <c r="F832">
        <f>k_p4_0+C832*(k_p4_1+C832*(k_p4_2+C832*(k_p4_3+C832*k_p4_4)))</f>
        <v/>
      </c>
      <c r="G832">
        <f>k_ea+k_eb*EXP(k_ec*C832)</f>
        <v/>
      </c>
      <c r="H832">
        <f>(k_p2_1+2*k_p2_2*C832)/k_sx</f>
        <v/>
      </c>
      <c r="I832">
        <f>(k_p3_1+C832*(2*k_p3_2+3*k_p3_3*C832))/k_sx</f>
        <v/>
      </c>
      <c r="J832">
        <f>(k_p4_1+C832*(2*k_p4_2+C832*(3*k_p4_3+4*k_p4_4*C832)))/k_sx</f>
        <v/>
      </c>
      <c r="K832">
        <f>k_eb*k_ec*EXP(k_ec*C832)/k_sx</f>
        <v/>
      </c>
      <c r="L832">
        <f>(2*k_p4_2+C832*(6*k_p4_3+12*k_p4_4*C832))/k_sx^2</f>
        <v/>
      </c>
      <c r="M832">
        <f>D832/B832</f>
        <v/>
      </c>
      <c r="N832">
        <f>E832/B832</f>
        <v/>
      </c>
      <c r="O832">
        <f>F832/B832</f>
        <v/>
      </c>
      <c r="P832">
        <f>G832/B832</f>
        <v/>
      </c>
      <c r="Q832">
        <f>CHOOSE(k_model,D832,E832,F832,G832)</f>
        <v/>
      </c>
      <c r="R832">
        <f>CHOOSE(k_model,H832,I832,J832,K832)</f>
        <v/>
      </c>
    </row>
    <row r="833">
      <c r="A833" t="n">
        <v>831</v>
      </c>
      <c r="B833">
        <f>k_lo+k_rng*A833/1000</f>
        <v/>
      </c>
      <c r="C833">
        <f>(B833-k_mx)/k_sx</f>
        <v/>
      </c>
      <c r="D833">
        <f>k_p2_0+C833*(k_p2_1+C833*k_p2_2)</f>
        <v/>
      </c>
      <c r="E833">
        <f>k_p3_0+C833*(k_p3_1+C833*(k_p3_2+C833*k_p3_3))</f>
        <v/>
      </c>
      <c r="F833">
        <f>k_p4_0+C833*(k_p4_1+C833*(k_p4_2+C833*(k_p4_3+C833*k_p4_4)))</f>
        <v/>
      </c>
      <c r="G833">
        <f>k_ea+k_eb*EXP(k_ec*C833)</f>
        <v/>
      </c>
      <c r="H833">
        <f>(k_p2_1+2*k_p2_2*C833)/k_sx</f>
        <v/>
      </c>
      <c r="I833">
        <f>(k_p3_1+C833*(2*k_p3_2+3*k_p3_3*C833))/k_sx</f>
        <v/>
      </c>
      <c r="J833">
        <f>(k_p4_1+C833*(2*k_p4_2+C833*(3*k_p4_3+4*k_p4_4*C833)))/k_sx</f>
        <v/>
      </c>
      <c r="K833">
        <f>k_eb*k_ec*EXP(k_ec*C833)/k_sx</f>
        <v/>
      </c>
      <c r="L833">
        <f>(2*k_p4_2+C833*(6*k_p4_3+12*k_p4_4*C833))/k_sx^2</f>
        <v/>
      </c>
      <c r="M833">
        <f>D833/B833</f>
        <v/>
      </c>
      <c r="N833">
        <f>E833/B833</f>
        <v/>
      </c>
      <c r="O833">
        <f>F833/B833</f>
        <v/>
      </c>
      <c r="P833">
        <f>G833/B833</f>
        <v/>
      </c>
      <c r="Q833">
        <f>CHOOSE(k_model,D833,E833,F833,G833)</f>
        <v/>
      </c>
      <c r="R833">
        <f>CHOOSE(k_model,H833,I833,J833,K833)</f>
        <v/>
      </c>
    </row>
    <row r="834">
      <c r="A834" t="n">
        <v>832</v>
      </c>
      <c r="B834">
        <f>k_lo+k_rng*A834/1000</f>
        <v/>
      </c>
      <c r="C834">
        <f>(B834-k_mx)/k_sx</f>
        <v/>
      </c>
      <c r="D834">
        <f>k_p2_0+C834*(k_p2_1+C834*k_p2_2)</f>
        <v/>
      </c>
      <c r="E834">
        <f>k_p3_0+C834*(k_p3_1+C834*(k_p3_2+C834*k_p3_3))</f>
        <v/>
      </c>
      <c r="F834">
        <f>k_p4_0+C834*(k_p4_1+C834*(k_p4_2+C834*(k_p4_3+C834*k_p4_4)))</f>
        <v/>
      </c>
      <c r="G834">
        <f>k_ea+k_eb*EXP(k_ec*C834)</f>
        <v/>
      </c>
      <c r="H834">
        <f>(k_p2_1+2*k_p2_2*C834)/k_sx</f>
        <v/>
      </c>
      <c r="I834">
        <f>(k_p3_1+C834*(2*k_p3_2+3*k_p3_3*C834))/k_sx</f>
        <v/>
      </c>
      <c r="J834">
        <f>(k_p4_1+C834*(2*k_p4_2+C834*(3*k_p4_3+4*k_p4_4*C834)))/k_sx</f>
        <v/>
      </c>
      <c r="K834">
        <f>k_eb*k_ec*EXP(k_ec*C834)/k_sx</f>
        <v/>
      </c>
      <c r="L834">
        <f>(2*k_p4_2+C834*(6*k_p4_3+12*k_p4_4*C834))/k_sx^2</f>
        <v/>
      </c>
      <c r="M834">
        <f>D834/B834</f>
        <v/>
      </c>
      <c r="N834">
        <f>E834/B834</f>
        <v/>
      </c>
      <c r="O834">
        <f>F834/B834</f>
        <v/>
      </c>
      <c r="P834">
        <f>G834/B834</f>
        <v/>
      </c>
      <c r="Q834">
        <f>CHOOSE(k_model,D834,E834,F834,G834)</f>
        <v/>
      </c>
      <c r="R834">
        <f>CHOOSE(k_model,H834,I834,J834,K834)</f>
        <v/>
      </c>
    </row>
    <row r="835">
      <c r="A835" t="n">
        <v>833</v>
      </c>
      <c r="B835">
        <f>k_lo+k_rng*A835/1000</f>
        <v/>
      </c>
      <c r="C835">
        <f>(B835-k_mx)/k_sx</f>
        <v/>
      </c>
      <c r="D835">
        <f>k_p2_0+C835*(k_p2_1+C835*k_p2_2)</f>
        <v/>
      </c>
      <c r="E835">
        <f>k_p3_0+C835*(k_p3_1+C835*(k_p3_2+C835*k_p3_3))</f>
        <v/>
      </c>
      <c r="F835">
        <f>k_p4_0+C835*(k_p4_1+C835*(k_p4_2+C835*(k_p4_3+C835*k_p4_4)))</f>
        <v/>
      </c>
      <c r="G835">
        <f>k_ea+k_eb*EXP(k_ec*C835)</f>
        <v/>
      </c>
      <c r="H835">
        <f>(k_p2_1+2*k_p2_2*C835)/k_sx</f>
        <v/>
      </c>
      <c r="I835">
        <f>(k_p3_1+C835*(2*k_p3_2+3*k_p3_3*C835))/k_sx</f>
        <v/>
      </c>
      <c r="J835">
        <f>(k_p4_1+C835*(2*k_p4_2+C835*(3*k_p4_3+4*k_p4_4*C835)))/k_sx</f>
        <v/>
      </c>
      <c r="K835">
        <f>k_eb*k_ec*EXP(k_ec*C835)/k_sx</f>
        <v/>
      </c>
      <c r="L835">
        <f>(2*k_p4_2+C835*(6*k_p4_3+12*k_p4_4*C835))/k_sx^2</f>
        <v/>
      </c>
      <c r="M835">
        <f>D835/B835</f>
        <v/>
      </c>
      <c r="N835">
        <f>E835/B835</f>
        <v/>
      </c>
      <c r="O835">
        <f>F835/B835</f>
        <v/>
      </c>
      <c r="P835">
        <f>G835/B835</f>
        <v/>
      </c>
      <c r="Q835">
        <f>CHOOSE(k_model,D835,E835,F835,G835)</f>
        <v/>
      </c>
      <c r="R835">
        <f>CHOOSE(k_model,H835,I835,J835,K835)</f>
        <v/>
      </c>
    </row>
    <row r="836">
      <c r="A836" t="n">
        <v>834</v>
      </c>
      <c r="B836">
        <f>k_lo+k_rng*A836/1000</f>
        <v/>
      </c>
      <c r="C836">
        <f>(B836-k_mx)/k_sx</f>
        <v/>
      </c>
      <c r="D836">
        <f>k_p2_0+C836*(k_p2_1+C836*k_p2_2)</f>
        <v/>
      </c>
      <c r="E836">
        <f>k_p3_0+C836*(k_p3_1+C836*(k_p3_2+C836*k_p3_3))</f>
        <v/>
      </c>
      <c r="F836">
        <f>k_p4_0+C836*(k_p4_1+C836*(k_p4_2+C836*(k_p4_3+C836*k_p4_4)))</f>
        <v/>
      </c>
      <c r="G836">
        <f>k_ea+k_eb*EXP(k_ec*C836)</f>
        <v/>
      </c>
      <c r="H836">
        <f>(k_p2_1+2*k_p2_2*C836)/k_sx</f>
        <v/>
      </c>
      <c r="I836">
        <f>(k_p3_1+C836*(2*k_p3_2+3*k_p3_3*C836))/k_sx</f>
        <v/>
      </c>
      <c r="J836">
        <f>(k_p4_1+C836*(2*k_p4_2+C836*(3*k_p4_3+4*k_p4_4*C836)))/k_sx</f>
        <v/>
      </c>
      <c r="K836">
        <f>k_eb*k_ec*EXP(k_ec*C836)/k_sx</f>
        <v/>
      </c>
      <c r="L836">
        <f>(2*k_p4_2+C836*(6*k_p4_3+12*k_p4_4*C836))/k_sx^2</f>
        <v/>
      </c>
      <c r="M836">
        <f>D836/B836</f>
        <v/>
      </c>
      <c r="N836">
        <f>E836/B836</f>
        <v/>
      </c>
      <c r="O836">
        <f>F836/B836</f>
        <v/>
      </c>
      <c r="P836">
        <f>G836/B836</f>
        <v/>
      </c>
      <c r="Q836">
        <f>CHOOSE(k_model,D836,E836,F836,G836)</f>
        <v/>
      </c>
      <c r="R836">
        <f>CHOOSE(k_model,H836,I836,J836,K836)</f>
        <v/>
      </c>
    </row>
    <row r="837">
      <c r="A837" t="n">
        <v>835</v>
      </c>
      <c r="B837">
        <f>k_lo+k_rng*A837/1000</f>
        <v/>
      </c>
      <c r="C837">
        <f>(B837-k_mx)/k_sx</f>
        <v/>
      </c>
      <c r="D837">
        <f>k_p2_0+C837*(k_p2_1+C837*k_p2_2)</f>
        <v/>
      </c>
      <c r="E837">
        <f>k_p3_0+C837*(k_p3_1+C837*(k_p3_2+C837*k_p3_3))</f>
        <v/>
      </c>
      <c r="F837">
        <f>k_p4_0+C837*(k_p4_1+C837*(k_p4_2+C837*(k_p4_3+C837*k_p4_4)))</f>
        <v/>
      </c>
      <c r="G837">
        <f>k_ea+k_eb*EXP(k_ec*C837)</f>
        <v/>
      </c>
      <c r="H837">
        <f>(k_p2_1+2*k_p2_2*C837)/k_sx</f>
        <v/>
      </c>
      <c r="I837">
        <f>(k_p3_1+C837*(2*k_p3_2+3*k_p3_3*C837))/k_sx</f>
        <v/>
      </c>
      <c r="J837">
        <f>(k_p4_1+C837*(2*k_p4_2+C837*(3*k_p4_3+4*k_p4_4*C837)))/k_sx</f>
        <v/>
      </c>
      <c r="K837">
        <f>k_eb*k_ec*EXP(k_ec*C837)/k_sx</f>
        <v/>
      </c>
      <c r="L837">
        <f>(2*k_p4_2+C837*(6*k_p4_3+12*k_p4_4*C837))/k_sx^2</f>
        <v/>
      </c>
      <c r="M837">
        <f>D837/B837</f>
        <v/>
      </c>
      <c r="N837">
        <f>E837/B837</f>
        <v/>
      </c>
      <c r="O837">
        <f>F837/B837</f>
        <v/>
      </c>
      <c r="P837">
        <f>G837/B837</f>
        <v/>
      </c>
      <c r="Q837">
        <f>CHOOSE(k_model,D837,E837,F837,G837)</f>
        <v/>
      </c>
      <c r="R837">
        <f>CHOOSE(k_model,H837,I837,J837,K837)</f>
        <v/>
      </c>
    </row>
    <row r="838">
      <c r="A838" t="n">
        <v>836</v>
      </c>
      <c r="B838">
        <f>k_lo+k_rng*A838/1000</f>
        <v/>
      </c>
      <c r="C838">
        <f>(B838-k_mx)/k_sx</f>
        <v/>
      </c>
      <c r="D838">
        <f>k_p2_0+C838*(k_p2_1+C838*k_p2_2)</f>
        <v/>
      </c>
      <c r="E838">
        <f>k_p3_0+C838*(k_p3_1+C838*(k_p3_2+C838*k_p3_3))</f>
        <v/>
      </c>
      <c r="F838">
        <f>k_p4_0+C838*(k_p4_1+C838*(k_p4_2+C838*(k_p4_3+C838*k_p4_4)))</f>
        <v/>
      </c>
      <c r="G838">
        <f>k_ea+k_eb*EXP(k_ec*C838)</f>
        <v/>
      </c>
      <c r="H838">
        <f>(k_p2_1+2*k_p2_2*C838)/k_sx</f>
        <v/>
      </c>
      <c r="I838">
        <f>(k_p3_1+C838*(2*k_p3_2+3*k_p3_3*C838))/k_sx</f>
        <v/>
      </c>
      <c r="J838">
        <f>(k_p4_1+C838*(2*k_p4_2+C838*(3*k_p4_3+4*k_p4_4*C838)))/k_sx</f>
        <v/>
      </c>
      <c r="K838">
        <f>k_eb*k_ec*EXP(k_ec*C838)/k_sx</f>
        <v/>
      </c>
      <c r="L838">
        <f>(2*k_p4_2+C838*(6*k_p4_3+12*k_p4_4*C838))/k_sx^2</f>
        <v/>
      </c>
      <c r="M838">
        <f>D838/B838</f>
        <v/>
      </c>
      <c r="N838">
        <f>E838/B838</f>
        <v/>
      </c>
      <c r="O838">
        <f>F838/B838</f>
        <v/>
      </c>
      <c r="P838">
        <f>G838/B838</f>
        <v/>
      </c>
      <c r="Q838">
        <f>CHOOSE(k_model,D838,E838,F838,G838)</f>
        <v/>
      </c>
      <c r="R838">
        <f>CHOOSE(k_model,H838,I838,J838,K838)</f>
        <v/>
      </c>
    </row>
    <row r="839">
      <c r="A839" t="n">
        <v>837</v>
      </c>
      <c r="B839">
        <f>k_lo+k_rng*A839/1000</f>
        <v/>
      </c>
      <c r="C839">
        <f>(B839-k_mx)/k_sx</f>
        <v/>
      </c>
      <c r="D839">
        <f>k_p2_0+C839*(k_p2_1+C839*k_p2_2)</f>
        <v/>
      </c>
      <c r="E839">
        <f>k_p3_0+C839*(k_p3_1+C839*(k_p3_2+C839*k_p3_3))</f>
        <v/>
      </c>
      <c r="F839">
        <f>k_p4_0+C839*(k_p4_1+C839*(k_p4_2+C839*(k_p4_3+C839*k_p4_4)))</f>
        <v/>
      </c>
      <c r="G839">
        <f>k_ea+k_eb*EXP(k_ec*C839)</f>
        <v/>
      </c>
      <c r="H839">
        <f>(k_p2_1+2*k_p2_2*C839)/k_sx</f>
        <v/>
      </c>
      <c r="I839">
        <f>(k_p3_1+C839*(2*k_p3_2+3*k_p3_3*C839))/k_sx</f>
        <v/>
      </c>
      <c r="J839">
        <f>(k_p4_1+C839*(2*k_p4_2+C839*(3*k_p4_3+4*k_p4_4*C839)))/k_sx</f>
        <v/>
      </c>
      <c r="K839">
        <f>k_eb*k_ec*EXP(k_ec*C839)/k_sx</f>
        <v/>
      </c>
      <c r="L839">
        <f>(2*k_p4_2+C839*(6*k_p4_3+12*k_p4_4*C839))/k_sx^2</f>
        <v/>
      </c>
      <c r="M839">
        <f>D839/B839</f>
        <v/>
      </c>
      <c r="N839">
        <f>E839/B839</f>
        <v/>
      </c>
      <c r="O839">
        <f>F839/B839</f>
        <v/>
      </c>
      <c r="P839">
        <f>G839/B839</f>
        <v/>
      </c>
      <c r="Q839">
        <f>CHOOSE(k_model,D839,E839,F839,G839)</f>
        <v/>
      </c>
      <c r="R839">
        <f>CHOOSE(k_model,H839,I839,J839,K839)</f>
        <v/>
      </c>
    </row>
    <row r="840">
      <c r="A840" t="n">
        <v>838</v>
      </c>
      <c r="B840">
        <f>k_lo+k_rng*A840/1000</f>
        <v/>
      </c>
      <c r="C840">
        <f>(B840-k_mx)/k_sx</f>
        <v/>
      </c>
      <c r="D840">
        <f>k_p2_0+C840*(k_p2_1+C840*k_p2_2)</f>
        <v/>
      </c>
      <c r="E840">
        <f>k_p3_0+C840*(k_p3_1+C840*(k_p3_2+C840*k_p3_3))</f>
        <v/>
      </c>
      <c r="F840">
        <f>k_p4_0+C840*(k_p4_1+C840*(k_p4_2+C840*(k_p4_3+C840*k_p4_4)))</f>
        <v/>
      </c>
      <c r="G840">
        <f>k_ea+k_eb*EXP(k_ec*C840)</f>
        <v/>
      </c>
      <c r="H840">
        <f>(k_p2_1+2*k_p2_2*C840)/k_sx</f>
        <v/>
      </c>
      <c r="I840">
        <f>(k_p3_1+C840*(2*k_p3_2+3*k_p3_3*C840))/k_sx</f>
        <v/>
      </c>
      <c r="J840">
        <f>(k_p4_1+C840*(2*k_p4_2+C840*(3*k_p4_3+4*k_p4_4*C840)))/k_sx</f>
        <v/>
      </c>
      <c r="K840">
        <f>k_eb*k_ec*EXP(k_ec*C840)/k_sx</f>
        <v/>
      </c>
      <c r="L840">
        <f>(2*k_p4_2+C840*(6*k_p4_3+12*k_p4_4*C840))/k_sx^2</f>
        <v/>
      </c>
      <c r="M840">
        <f>D840/B840</f>
        <v/>
      </c>
      <c r="N840">
        <f>E840/B840</f>
        <v/>
      </c>
      <c r="O840">
        <f>F840/B840</f>
        <v/>
      </c>
      <c r="P840">
        <f>G840/B840</f>
        <v/>
      </c>
      <c r="Q840">
        <f>CHOOSE(k_model,D840,E840,F840,G840)</f>
        <v/>
      </c>
      <c r="R840">
        <f>CHOOSE(k_model,H840,I840,J840,K840)</f>
        <v/>
      </c>
    </row>
    <row r="841">
      <c r="A841" t="n">
        <v>839</v>
      </c>
      <c r="B841">
        <f>k_lo+k_rng*A841/1000</f>
        <v/>
      </c>
      <c r="C841">
        <f>(B841-k_mx)/k_sx</f>
        <v/>
      </c>
      <c r="D841">
        <f>k_p2_0+C841*(k_p2_1+C841*k_p2_2)</f>
        <v/>
      </c>
      <c r="E841">
        <f>k_p3_0+C841*(k_p3_1+C841*(k_p3_2+C841*k_p3_3))</f>
        <v/>
      </c>
      <c r="F841">
        <f>k_p4_0+C841*(k_p4_1+C841*(k_p4_2+C841*(k_p4_3+C841*k_p4_4)))</f>
        <v/>
      </c>
      <c r="G841">
        <f>k_ea+k_eb*EXP(k_ec*C841)</f>
        <v/>
      </c>
      <c r="H841">
        <f>(k_p2_1+2*k_p2_2*C841)/k_sx</f>
        <v/>
      </c>
      <c r="I841">
        <f>(k_p3_1+C841*(2*k_p3_2+3*k_p3_3*C841))/k_sx</f>
        <v/>
      </c>
      <c r="J841">
        <f>(k_p4_1+C841*(2*k_p4_2+C841*(3*k_p4_3+4*k_p4_4*C841)))/k_sx</f>
        <v/>
      </c>
      <c r="K841">
        <f>k_eb*k_ec*EXP(k_ec*C841)/k_sx</f>
        <v/>
      </c>
      <c r="L841">
        <f>(2*k_p4_2+C841*(6*k_p4_3+12*k_p4_4*C841))/k_sx^2</f>
        <v/>
      </c>
      <c r="M841">
        <f>D841/B841</f>
        <v/>
      </c>
      <c r="N841">
        <f>E841/B841</f>
        <v/>
      </c>
      <c r="O841">
        <f>F841/B841</f>
        <v/>
      </c>
      <c r="P841">
        <f>G841/B841</f>
        <v/>
      </c>
      <c r="Q841">
        <f>CHOOSE(k_model,D841,E841,F841,G841)</f>
        <v/>
      </c>
      <c r="R841">
        <f>CHOOSE(k_model,H841,I841,J841,K841)</f>
        <v/>
      </c>
    </row>
    <row r="842">
      <c r="A842" t="n">
        <v>840</v>
      </c>
      <c r="B842">
        <f>k_lo+k_rng*A842/1000</f>
        <v/>
      </c>
      <c r="C842">
        <f>(B842-k_mx)/k_sx</f>
        <v/>
      </c>
      <c r="D842">
        <f>k_p2_0+C842*(k_p2_1+C842*k_p2_2)</f>
        <v/>
      </c>
      <c r="E842">
        <f>k_p3_0+C842*(k_p3_1+C842*(k_p3_2+C842*k_p3_3))</f>
        <v/>
      </c>
      <c r="F842">
        <f>k_p4_0+C842*(k_p4_1+C842*(k_p4_2+C842*(k_p4_3+C842*k_p4_4)))</f>
        <v/>
      </c>
      <c r="G842">
        <f>k_ea+k_eb*EXP(k_ec*C842)</f>
        <v/>
      </c>
      <c r="H842">
        <f>(k_p2_1+2*k_p2_2*C842)/k_sx</f>
        <v/>
      </c>
      <c r="I842">
        <f>(k_p3_1+C842*(2*k_p3_2+3*k_p3_3*C842))/k_sx</f>
        <v/>
      </c>
      <c r="J842">
        <f>(k_p4_1+C842*(2*k_p4_2+C842*(3*k_p4_3+4*k_p4_4*C842)))/k_sx</f>
        <v/>
      </c>
      <c r="K842">
        <f>k_eb*k_ec*EXP(k_ec*C842)/k_sx</f>
        <v/>
      </c>
      <c r="L842">
        <f>(2*k_p4_2+C842*(6*k_p4_3+12*k_p4_4*C842))/k_sx^2</f>
        <v/>
      </c>
      <c r="M842">
        <f>D842/B842</f>
        <v/>
      </c>
      <c r="N842">
        <f>E842/B842</f>
        <v/>
      </c>
      <c r="O842">
        <f>F842/B842</f>
        <v/>
      </c>
      <c r="P842">
        <f>G842/B842</f>
        <v/>
      </c>
      <c r="Q842">
        <f>CHOOSE(k_model,D842,E842,F842,G842)</f>
        <v/>
      </c>
      <c r="R842">
        <f>CHOOSE(k_model,H842,I842,J842,K842)</f>
        <v/>
      </c>
    </row>
    <row r="843">
      <c r="A843" t="n">
        <v>841</v>
      </c>
      <c r="B843">
        <f>k_lo+k_rng*A843/1000</f>
        <v/>
      </c>
      <c r="C843">
        <f>(B843-k_mx)/k_sx</f>
        <v/>
      </c>
      <c r="D843">
        <f>k_p2_0+C843*(k_p2_1+C843*k_p2_2)</f>
        <v/>
      </c>
      <c r="E843">
        <f>k_p3_0+C843*(k_p3_1+C843*(k_p3_2+C843*k_p3_3))</f>
        <v/>
      </c>
      <c r="F843">
        <f>k_p4_0+C843*(k_p4_1+C843*(k_p4_2+C843*(k_p4_3+C843*k_p4_4)))</f>
        <v/>
      </c>
      <c r="G843">
        <f>k_ea+k_eb*EXP(k_ec*C843)</f>
        <v/>
      </c>
      <c r="H843">
        <f>(k_p2_1+2*k_p2_2*C843)/k_sx</f>
        <v/>
      </c>
      <c r="I843">
        <f>(k_p3_1+C843*(2*k_p3_2+3*k_p3_3*C843))/k_sx</f>
        <v/>
      </c>
      <c r="J843">
        <f>(k_p4_1+C843*(2*k_p4_2+C843*(3*k_p4_3+4*k_p4_4*C843)))/k_sx</f>
        <v/>
      </c>
      <c r="K843">
        <f>k_eb*k_ec*EXP(k_ec*C843)/k_sx</f>
        <v/>
      </c>
      <c r="L843">
        <f>(2*k_p4_2+C843*(6*k_p4_3+12*k_p4_4*C843))/k_sx^2</f>
        <v/>
      </c>
      <c r="M843">
        <f>D843/B843</f>
        <v/>
      </c>
      <c r="N843">
        <f>E843/B843</f>
        <v/>
      </c>
      <c r="O843">
        <f>F843/B843</f>
        <v/>
      </c>
      <c r="P843">
        <f>G843/B843</f>
        <v/>
      </c>
      <c r="Q843">
        <f>CHOOSE(k_model,D843,E843,F843,G843)</f>
        <v/>
      </c>
      <c r="R843">
        <f>CHOOSE(k_model,H843,I843,J843,K843)</f>
        <v/>
      </c>
    </row>
    <row r="844">
      <c r="A844" t="n">
        <v>842</v>
      </c>
      <c r="B844">
        <f>k_lo+k_rng*A844/1000</f>
        <v/>
      </c>
      <c r="C844">
        <f>(B844-k_mx)/k_sx</f>
        <v/>
      </c>
      <c r="D844">
        <f>k_p2_0+C844*(k_p2_1+C844*k_p2_2)</f>
        <v/>
      </c>
      <c r="E844">
        <f>k_p3_0+C844*(k_p3_1+C844*(k_p3_2+C844*k_p3_3))</f>
        <v/>
      </c>
      <c r="F844">
        <f>k_p4_0+C844*(k_p4_1+C844*(k_p4_2+C844*(k_p4_3+C844*k_p4_4)))</f>
        <v/>
      </c>
      <c r="G844">
        <f>k_ea+k_eb*EXP(k_ec*C844)</f>
        <v/>
      </c>
      <c r="H844">
        <f>(k_p2_1+2*k_p2_2*C844)/k_sx</f>
        <v/>
      </c>
      <c r="I844">
        <f>(k_p3_1+C844*(2*k_p3_2+3*k_p3_3*C844))/k_sx</f>
        <v/>
      </c>
      <c r="J844">
        <f>(k_p4_1+C844*(2*k_p4_2+C844*(3*k_p4_3+4*k_p4_4*C844)))/k_sx</f>
        <v/>
      </c>
      <c r="K844">
        <f>k_eb*k_ec*EXP(k_ec*C844)/k_sx</f>
        <v/>
      </c>
      <c r="L844">
        <f>(2*k_p4_2+C844*(6*k_p4_3+12*k_p4_4*C844))/k_sx^2</f>
        <v/>
      </c>
      <c r="M844">
        <f>D844/B844</f>
        <v/>
      </c>
      <c r="N844">
        <f>E844/B844</f>
        <v/>
      </c>
      <c r="O844">
        <f>F844/B844</f>
        <v/>
      </c>
      <c r="P844">
        <f>G844/B844</f>
        <v/>
      </c>
      <c r="Q844">
        <f>CHOOSE(k_model,D844,E844,F844,G844)</f>
        <v/>
      </c>
      <c r="R844">
        <f>CHOOSE(k_model,H844,I844,J844,K844)</f>
        <v/>
      </c>
    </row>
    <row r="845">
      <c r="A845" t="n">
        <v>843</v>
      </c>
      <c r="B845">
        <f>k_lo+k_rng*A845/1000</f>
        <v/>
      </c>
      <c r="C845">
        <f>(B845-k_mx)/k_sx</f>
        <v/>
      </c>
      <c r="D845">
        <f>k_p2_0+C845*(k_p2_1+C845*k_p2_2)</f>
        <v/>
      </c>
      <c r="E845">
        <f>k_p3_0+C845*(k_p3_1+C845*(k_p3_2+C845*k_p3_3))</f>
        <v/>
      </c>
      <c r="F845">
        <f>k_p4_0+C845*(k_p4_1+C845*(k_p4_2+C845*(k_p4_3+C845*k_p4_4)))</f>
        <v/>
      </c>
      <c r="G845">
        <f>k_ea+k_eb*EXP(k_ec*C845)</f>
        <v/>
      </c>
      <c r="H845">
        <f>(k_p2_1+2*k_p2_2*C845)/k_sx</f>
        <v/>
      </c>
      <c r="I845">
        <f>(k_p3_1+C845*(2*k_p3_2+3*k_p3_3*C845))/k_sx</f>
        <v/>
      </c>
      <c r="J845">
        <f>(k_p4_1+C845*(2*k_p4_2+C845*(3*k_p4_3+4*k_p4_4*C845)))/k_sx</f>
        <v/>
      </c>
      <c r="K845">
        <f>k_eb*k_ec*EXP(k_ec*C845)/k_sx</f>
        <v/>
      </c>
      <c r="L845">
        <f>(2*k_p4_2+C845*(6*k_p4_3+12*k_p4_4*C845))/k_sx^2</f>
        <v/>
      </c>
      <c r="M845">
        <f>D845/B845</f>
        <v/>
      </c>
      <c r="N845">
        <f>E845/B845</f>
        <v/>
      </c>
      <c r="O845">
        <f>F845/B845</f>
        <v/>
      </c>
      <c r="P845">
        <f>G845/B845</f>
        <v/>
      </c>
      <c r="Q845">
        <f>CHOOSE(k_model,D845,E845,F845,G845)</f>
        <v/>
      </c>
      <c r="R845">
        <f>CHOOSE(k_model,H845,I845,J845,K845)</f>
        <v/>
      </c>
    </row>
    <row r="846">
      <c r="A846" t="n">
        <v>844</v>
      </c>
      <c r="B846">
        <f>k_lo+k_rng*A846/1000</f>
        <v/>
      </c>
      <c r="C846">
        <f>(B846-k_mx)/k_sx</f>
        <v/>
      </c>
      <c r="D846">
        <f>k_p2_0+C846*(k_p2_1+C846*k_p2_2)</f>
        <v/>
      </c>
      <c r="E846">
        <f>k_p3_0+C846*(k_p3_1+C846*(k_p3_2+C846*k_p3_3))</f>
        <v/>
      </c>
      <c r="F846">
        <f>k_p4_0+C846*(k_p4_1+C846*(k_p4_2+C846*(k_p4_3+C846*k_p4_4)))</f>
        <v/>
      </c>
      <c r="G846">
        <f>k_ea+k_eb*EXP(k_ec*C846)</f>
        <v/>
      </c>
      <c r="H846">
        <f>(k_p2_1+2*k_p2_2*C846)/k_sx</f>
        <v/>
      </c>
      <c r="I846">
        <f>(k_p3_1+C846*(2*k_p3_2+3*k_p3_3*C846))/k_sx</f>
        <v/>
      </c>
      <c r="J846">
        <f>(k_p4_1+C846*(2*k_p4_2+C846*(3*k_p4_3+4*k_p4_4*C846)))/k_sx</f>
        <v/>
      </c>
      <c r="K846">
        <f>k_eb*k_ec*EXP(k_ec*C846)/k_sx</f>
        <v/>
      </c>
      <c r="L846">
        <f>(2*k_p4_2+C846*(6*k_p4_3+12*k_p4_4*C846))/k_sx^2</f>
        <v/>
      </c>
      <c r="M846">
        <f>D846/B846</f>
        <v/>
      </c>
      <c r="N846">
        <f>E846/B846</f>
        <v/>
      </c>
      <c r="O846">
        <f>F846/B846</f>
        <v/>
      </c>
      <c r="P846">
        <f>G846/B846</f>
        <v/>
      </c>
      <c r="Q846">
        <f>CHOOSE(k_model,D846,E846,F846,G846)</f>
        <v/>
      </c>
      <c r="R846">
        <f>CHOOSE(k_model,H846,I846,J846,K846)</f>
        <v/>
      </c>
    </row>
    <row r="847">
      <c r="A847" t="n">
        <v>845</v>
      </c>
      <c r="B847">
        <f>k_lo+k_rng*A847/1000</f>
        <v/>
      </c>
      <c r="C847">
        <f>(B847-k_mx)/k_sx</f>
        <v/>
      </c>
      <c r="D847">
        <f>k_p2_0+C847*(k_p2_1+C847*k_p2_2)</f>
        <v/>
      </c>
      <c r="E847">
        <f>k_p3_0+C847*(k_p3_1+C847*(k_p3_2+C847*k_p3_3))</f>
        <v/>
      </c>
      <c r="F847">
        <f>k_p4_0+C847*(k_p4_1+C847*(k_p4_2+C847*(k_p4_3+C847*k_p4_4)))</f>
        <v/>
      </c>
      <c r="G847">
        <f>k_ea+k_eb*EXP(k_ec*C847)</f>
        <v/>
      </c>
      <c r="H847">
        <f>(k_p2_1+2*k_p2_2*C847)/k_sx</f>
        <v/>
      </c>
      <c r="I847">
        <f>(k_p3_1+C847*(2*k_p3_2+3*k_p3_3*C847))/k_sx</f>
        <v/>
      </c>
      <c r="J847">
        <f>(k_p4_1+C847*(2*k_p4_2+C847*(3*k_p4_3+4*k_p4_4*C847)))/k_sx</f>
        <v/>
      </c>
      <c r="K847">
        <f>k_eb*k_ec*EXP(k_ec*C847)/k_sx</f>
        <v/>
      </c>
      <c r="L847">
        <f>(2*k_p4_2+C847*(6*k_p4_3+12*k_p4_4*C847))/k_sx^2</f>
        <v/>
      </c>
      <c r="M847">
        <f>D847/B847</f>
        <v/>
      </c>
      <c r="N847">
        <f>E847/B847</f>
        <v/>
      </c>
      <c r="O847">
        <f>F847/B847</f>
        <v/>
      </c>
      <c r="P847">
        <f>G847/B847</f>
        <v/>
      </c>
      <c r="Q847">
        <f>CHOOSE(k_model,D847,E847,F847,G847)</f>
        <v/>
      </c>
      <c r="R847">
        <f>CHOOSE(k_model,H847,I847,J847,K847)</f>
        <v/>
      </c>
    </row>
    <row r="848">
      <c r="A848" t="n">
        <v>846</v>
      </c>
      <c r="B848">
        <f>k_lo+k_rng*A848/1000</f>
        <v/>
      </c>
      <c r="C848">
        <f>(B848-k_mx)/k_sx</f>
        <v/>
      </c>
      <c r="D848">
        <f>k_p2_0+C848*(k_p2_1+C848*k_p2_2)</f>
        <v/>
      </c>
      <c r="E848">
        <f>k_p3_0+C848*(k_p3_1+C848*(k_p3_2+C848*k_p3_3))</f>
        <v/>
      </c>
      <c r="F848">
        <f>k_p4_0+C848*(k_p4_1+C848*(k_p4_2+C848*(k_p4_3+C848*k_p4_4)))</f>
        <v/>
      </c>
      <c r="G848">
        <f>k_ea+k_eb*EXP(k_ec*C848)</f>
        <v/>
      </c>
      <c r="H848">
        <f>(k_p2_1+2*k_p2_2*C848)/k_sx</f>
        <v/>
      </c>
      <c r="I848">
        <f>(k_p3_1+C848*(2*k_p3_2+3*k_p3_3*C848))/k_sx</f>
        <v/>
      </c>
      <c r="J848">
        <f>(k_p4_1+C848*(2*k_p4_2+C848*(3*k_p4_3+4*k_p4_4*C848)))/k_sx</f>
        <v/>
      </c>
      <c r="K848">
        <f>k_eb*k_ec*EXP(k_ec*C848)/k_sx</f>
        <v/>
      </c>
      <c r="L848">
        <f>(2*k_p4_2+C848*(6*k_p4_3+12*k_p4_4*C848))/k_sx^2</f>
        <v/>
      </c>
      <c r="M848">
        <f>D848/B848</f>
        <v/>
      </c>
      <c r="N848">
        <f>E848/B848</f>
        <v/>
      </c>
      <c r="O848">
        <f>F848/B848</f>
        <v/>
      </c>
      <c r="P848">
        <f>G848/B848</f>
        <v/>
      </c>
      <c r="Q848">
        <f>CHOOSE(k_model,D848,E848,F848,G848)</f>
        <v/>
      </c>
      <c r="R848">
        <f>CHOOSE(k_model,H848,I848,J848,K848)</f>
        <v/>
      </c>
    </row>
    <row r="849">
      <c r="A849" t="n">
        <v>847</v>
      </c>
      <c r="B849">
        <f>k_lo+k_rng*A849/1000</f>
        <v/>
      </c>
      <c r="C849">
        <f>(B849-k_mx)/k_sx</f>
        <v/>
      </c>
      <c r="D849">
        <f>k_p2_0+C849*(k_p2_1+C849*k_p2_2)</f>
        <v/>
      </c>
      <c r="E849">
        <f>k_p3_0+C849*(k_p3_1+C849*(k_p3_2+C849*k_p3_3))</f>
        <v/>
      </c>
      <c r="F849">
        <f>k_p4_0+C849*(k_p4_1+C849*(k_p4_2+C849*(k_p4_3+C849*k_p4_4)))</f>
        <v/>
      </c>
      <c r="G849">
        <f>k_ea+k_eb*EXP(k_ec*C849)</f>
        <v/>
      </c>
      <c r="H849">
        <f>(k_p2_1+2*k_p2_2*C849)/k_sx</f>
        <v/>
      </c>
      <c r="I849">
        <f>(k_p3_1+C849*(2*k_p3_2+3*k_p3_3*C849))/k_sx</f>
        <v/>
      </c>
      <c r="J849">
        <f>(k_p4_1+C849*(2*k_p4_2+C849*(3*k_p4_3+4*k_p4_4*C849)))/k_sx</f>
        <v/>
      </c>
      <c r="K849">
        <f>k_eb*k_ec*EXP(k_ec*C849)/k_sx</f>
        <v/>
      </c>
      <c r="L849">
        <f>(2*k_p4_2+C849*(6*k_p4_3+12*k_p4_4*C849))/k_sx^2</f>
        <v/>
      </c>
      <c r="M849">
        <f>D849/B849</f>
        <v/>
      </c>
      <c r="N849">
        <f>E849/B849</f>
        <v/>
      </c>
      <c r="O849">
        <f>F849/B849</f>
        <v/>
      </c>
      <c r="P849">
        <f>G849/B849</f>
        <v/>
      </c>
      <c r="Q849">
        <f>CHOOSE(k_model,D849,E849,F849,G849)</f>
        <v/>
      </c>
      <c r="R849">
        <f>CHOOSE(k_model,H849,I849,J849,K849)</f>
        <v/>
      </c>
    </row>
    <row r="850">
      <c r="A850" t="n">
        <v>848</v>
      </c>
      <c r="B850">
        <f>k_lo+k_rng*A850/1000</f>
        <v/>
      </c>
      <c r="C850">
        <f>(B850-k_mx)/k_sx</f>
        <v/>
      </c>
      <c r="D850">
        <f>k_p2_0+C850*(k_p2_1+C850*k_p2_2)</f>
        <v/>
      </c>
      <c r="E850">
        <f>k_p3_0+C850*(k_p3_1+C850*(k_p3_2+C850*k_p3_3))</f>
        <v/>
      </c>
      <c r="F850">
        <f>k_p4_0+C850*(k_p4_1+C850*(k_p4_2+C850*(k_p4_3+C850*k_p4_4)))</f>
        <v/>
      </c>
      <c r="G850">
        <f>k_ea+k_eb*EXP(k_ec*C850)</f>
        <v/>
      </c>
      <c r="H850">
        <f>(k_p2_1+2*k_p2_2*C850)/k_sx</f>
        <v/>
      </c>
      <c r="I850">
        <f>(k_p3_1+C850*(2*k_p3_2+3*k_p3_3*C850))/k_sx</f>
        <v/>
      </c>
      <c r="J850">
        <f>(k_p4_1+C850*(2*k_p4_2+C850*(3*k_p4_3+4*k_p4_4*C850)))/k_sx</f>
        <v/>
      </c>
      <c r="K850">
        <f>k_eb*k_ec*EXP(k_ec*C850)/k_sx</f>
        <v/>
      </c>
      <c r="L850">
        <f>(2*k_p4_2+C850*(6*k_p4_3+12*k_p4_4*C850))/k_sx^2</f>
        <v/>
      </c>
      <c r="M850">
        <f>D850/B850</f>
        <v/>
      </c>
      <c r="N850">
        <f>E850/B850</f>
        <v/>
      </c>
      <c r="O850">
        <f>F850/B850</f>
        <v/>
      </c>
      <c r="P850">
        <f>G850/B850</f>
        <v/>
      </c>
      <c r="Q850">
        <f>CHOOSE(k_model,D850,E850,F850,G850)</f>
        <v/>
      </c>
      <c r="R850">
        <f>CHOOSE(k_model,H850,I850,J850,K850)</f>
        <v/>
      </c>
    </row>
    <row r="851">
      <c r="A851" t="n">
        <v>849</v>
      </c>
      <c r="B851">
        <f>k_lo+k_rng*A851/1000</f>
        <v/>
      </c>
      <c r="C851">
        <f>(B851-k_mx)/k_sx</f>
        <v/>
      </c>
      <c r="D851">
        <f>k_p2_0+C851*(k_p2_1+C851*k_p2_2)</f>
        <v/>
      </c>
      <c r="E851">
        <f>k_p3_0+C851*(k_p3_1+C851*(k_p3_2+C851*k_p3_3))</f>
        <v/>
      </c>
      <c r="F851">
        <f>k_p4_0+C851*(k_p4_1+C851*(k_p4_2+C851*(k_p4_3+C851*k_p4_4)))</f>
        <v/>
      </c>
      <c r="G851">
        <f>k_ea+k_eb*EXP(k_ec*C851)</f>
        <v/>
      </c>
      <c r="H851">
        <f>(k_p2_1+2*k_p2_2*C851)/k_sx</f>
        <v/>
      </c>
      <c r="I851">
        <f>(k_p3_1+C851*(2*k_p3_2+3*k_p3_3*C851))/k_sx</f>
        <v/>
      </c>
      <c r="J851">
        <f>(k_p4_1+C851*(2*k_p4_2+C851*(3*k_p4_3+4*k_p4_4*C851)))/k_sx</f>
        <v/>
      </c>
      <c r="K851">
        <f>k_eb*k_ec*EXP(k_ec*C851)/k_sx</f>
        <v/>
      </c>
      <c r="L851">
        <f>(2*k_p4_2+C851*(6*k_p4_3+12*k_p4_4*C851))/k_sx^2</f>
        <v/>
      </c>
      <c r="M851">
        <f>D851/B851</f>
        <v/>
      </c>
      <c r="N851">
        <f>E851/B851</f>
        <v/>
      </c>
      <c r="O851">
        <f>F851/B851</f>
        <v/>
      </c>
      <c r="P851">
        <f>G851/B851</f>
        <v/>
      </c>
      <c r="Q851">
        <f>CHOOSE(k_model,D851,E851,F851,G851)</f>
        <v/>
      </c>
      <c r="R851">
        <f>CHOOSE(k_model,H851,I851,J851,K851)</f>
        <v/>
      </c>
    </row>
    <row r="852">
      <c r="A852" t="n">
        <v>850</v>
      </c>
      <c r="B852">
        <f>k_lo+k_rng*A852/1000</f>
        <v/>
      </c>
      <c r="C852">
        <f>(B852-k_mx)/k_sx</f>
        <v/>
      </c>
      <c r="D852">
        <f>k_p2_0+C852*(k_p2_1+C852*k_p2_2)</f>
        <v/>
      </c>
      <c r="E852">
        <f>k_p3_0+C852*(k_p3_1+C852*(k_p3_2+C852*k_p3_3))</f>
        <v/>
      </c>
      <c r="F852">
        <f>k_p4_0+C852*(k_p4_1+C852*(k_p4_2+C852*(k_p4_3+C852*k_p4_4)))</f>
        <v/>
      </c>
      <c r="G852">
        <f>k_ea+k_eb*EXP(k_ec*C852)</f>
        <v/>
      </c>
      <c r="H852">
        <f>(k_p2_1+2*k_p2_2*C852)/k_sx</f>
        <v/>
      </c>
      <c r="I852">
        <f>(k_p3_1+C852*(2*k_p3_2+3*k_p3_3*C852))/k_sx</f>
        <v/>
      </c>
      <c r="J852">
        <f>(k_p4_1+C852*(2*k_p4_2+C852*(3*k_p4_3+4*k_p4_4*C852)))/k_sx</f>
        <v/>
      </c>
      <c r="K852">
        <f>k_eb*k_ec*EXP(k_ec*C852)/k_sx</f>
        <v/>
      </c>
      <c r="L852">
        <f>(2*k_p4_2+C852*(6*k_p4_3+12*k_p4_4*C852))/k_sx^2</f>
        <v/>
      </c>
      <c r="M852">
        <f>D852/B852</f>
        <v/>
      </c>
      <c r="N852">
        <f>E852/B852</f>
        <v/>
      </c>
      <c r="O852">
        <f>F852/B852</f>
        <v/>
      </c>
      <c r="P852">
        <f>G852/B852</f>
        <v/>
      </c>
      <c r="Q852">
        <f>CHOOSE(k_model,D852,E852,F852,G852)</f>
        <v/>
      </c>
      <c r="R852">
        <f>CHOOSE(k_model,H852,I852,J852,K852)</f>
        <v/>
      </c>
    </row>
    <row r="853">
      <c r="A853" t="n">
        <v>851</v>
      </c>
      <c r="B853">
        <f>k_lo+k_rng*A853/1000</f>
        <v/>
      </c>
      <c r="C853">
        <f>(B853-k_mx)/k_sx</f>
        <v/>
      </c>
      <c r="D853">
        <f>k_p2_0+C853*(k_p2_1+C853*k_p2_2)</f>
        <v/>
      </c>
      <c r="E853">
        <f>k_p3_0+C853*(k_p3_1+C853*(k_p3_2+C853*k_p3_3))</f>
        <v/>
      </c>
      <c r="F853">
        <f>k_p4_0+C853*(k_p4_1+C853*(k_p4_2+C853*(k_p4_3+C853*k_p4_4)))</f>
        <v/>
      </c>
      <c r="G853">
        <f>k_ea+k_eb*EXP(k_ec*C853)</f>
        <v/>
      </c>
      <c r="H853">
        <f>(k_p2_1+2*k_p2_2*C853)/k_sx</f>
        <v/>
      </c>
      <c r="I853">
        <f>(k_p3_1+C853*(2*k_p3_2+3*k_p3_3*C853))/k_sx</f>
        <v/>
      </c>
      <c r="J853">
        <f>(k_p4_1+C853*(2*k_p4_2+C853*(3*k_p4_3+4*k_p4_4*C853)))/k_sx</f>
        <v/>
      </c>
      <c r="K853">
        <f>k_eb*k_ec*EXP(k_ec*C853)/k_sx</f>
        <v/>
      </c>
      <c r="L853">
        <f>(2*k_p4_2+C853*(6*k_p4_3+12*k_p4_4*C853))/k_sx^2</f>
        <v/>
      </c>
      <c r="M853">
        <f>D853/B853</f>
        <v/>
      </c>
      <c r="N853">
        <f>E853/B853</f>
        <v/>
      </c>
      <c r="O853">
        <f>F853/B853</f>
        <v/>
      </c>
      <c r="P853">
        <f>G853/B853</f>
        <v/>
      </c>
      <c r="Q853">
        <f>CHOOSE(k_model,D853,E853,F853,G853)</f>
        <v/>
      </c>
      <c r="R853">
        <f>CHOOSE(k_model,H853,I853,J853,K853)</f>
        <v/>
      </c>
    </row>
    <row r="854">
      <c r="A854" t="n">
        <v>852</v>
      </c>
      <c r="B854">
        <f>k_lo+k_rng*A854/1000</f>
        <v/>
      </c>
      <c r="C854">
        <f>(B854-k_mx)/k_sx</f>
        <v/>
      </c>
      <c r="D854">
        <f>k_p2_0+C854*(k_p2_1+C854*k_p2_2)</f>
        <v/>
      </c>
      <c r="E854">
        <f>k_p3_0+C854*(k_p3_1+C854*(k_p3_2+C854*k_p3_3))</f>
        <v/>
      </c>
      <c r="F854">
        <f>k_p4_0+C854*(k_p4_1+C854*(k_p4_2+C854*(k_p4_3+C854*k_p4_4)))</f>
        <v/>
      </c>
      <c r="G854">
        <f>k_ea+k_eb*EXP(k_ec*C854)</f>
        <v/>
      </c>
      <c r="H854">
        <f>(k_p2_1+2*k_p2_2*C854)/k_sx</f>
        <v/>
      </c>
      <c r="I854">
        <f>(k_p3_1+C854*(2*k_p3_2+3*k_p3_3*C854))/k_sx</f>
        <v/>
      </c>
      <c r="J854">
        <f>(k_p4_1+C854*(2*k_p4_2+C854*(3*k_p4_3+4*k_p4_4*C854)))/k_sx</f>
        <v/>
      </c>
      <c r="K854">
        <f>k_eb*k_ec*EXP(k_ec*C854)/k_sx</f>
        <v/>
      </c>
      <c r="L854">
        <f>(2*k_p4_2+C854*(6*k_p4_3+12*k_p4_4*C854))/k_sx^2</f>
        <v/>
      </c>
      <c r="M854">
        <f>D854/B854</f>
        <v/>
      </c>
      <c r="N854">
        <f>E854/B854</f>
        <v/>
      </c>
      <c r="O854">
        <f>F854/B854</f>
        <v/>
      </c>
      <c r="P854">
        <f>G854/B854</f>
        <v/>
      </c>
      <c r="Q854">
        <f>CHOOSE(k_model,D854,E854,F854,G854)</f>
        <v/>
      </c>
      <c r="R854">
        <f>CHOOSE(k_model,H854,I854,J854,K854)</f>
        <v/>
      </c>
    </row>
    <row r="855">
      <c r="A855" t="n">
        <v>853</v>
      </c>
      <c r="B855">
        <f>k_lo+k_rng*A855/1000</f>
        <v/>
      </c>
      <c r="C855">
        <f>(B855-k_mx)/k_sx</f>
        <v/>
      </c>
      <c r="D855">
        <f>k_p2_0+C855*(k_p2_1+C855*k_p2_2)</f>
        <v/>
      </c>
      <c r="E855">
        <f>k_p3_0+C855*(k_p3_1+C855*(k_p3_2+C855*k_p3_3))</f>
        <v/>
      </c>
      <c r="F855">
        <f>k_p4_0+C855*(k_p4_1+C855*(k_p4_2+C855*(k_p4_3+C855*k_p4_4)))</f>
        <v/>
      </c>
      <c r="G855">
        <f>k_ea+k_eb*EXP(k_ec*C855)</f>
        <v/>
      </c>
      <c r="H855">
        <f>(k_p2_1+2*k_p2_2*C855)/k_sx</f>
        <v/>
      </c>
      <c r="I855">
        <f>(k_p3_1+C855*(2*k_p3_2+3*k_p3_3*C855))/k_sx</f>
        <v/>
      </c>
      <c r="J855">
        <f>(k_p4_1+C855*(2*k_p4_2+C855*(3*k_p4_3+4*k_p4_4*C855)))/k_sx</f>
        <v/>
      </c>
      <c r="K855">
        <f>k_eb*k_ec*EXP(k_ec*C855)/k_sx</f>
        <v/>
      </c>
      <c r="L855">
        <f>(2*k_p4_2+C855*(6*k_p4_3+12*k_p4_4*C855))/k_sx^2</f>
        <v/>
      </c>
      <c r="M855">
        <f>D855/B855</f>
        <v/>
      </c>
      <c r="N855">
        <f>E855/B855</f>
        <v/>
      </c>
      <c r="O855">
        <f>F855/B855</f>
        <v/>
      </c>
      <c r="P855">
        <f>G855/B855</f>
        <v/>
      </c>
      <c r="Q855">
        <f>CHOOSE(k_model,D855,E855,F855,G855)</f>
        <v/>
      </c>
      <c r="R855">
        <f>CHOOSE(k_model,H855,I855,J855,K855)</f>
        <v/>
      </c>
    </row>
    <row r="856">
      <c r="A856" t="n">
        <v>854</v>
      </c>
      <c r="B856">
        <f>k_lo+k_rng*A856/1000</f>
        <v/>
      </c>
      <c r="C856">
        <f>(B856-k_mx)/k_sx</f>
        <v/>
      </c>
      <c r="D856">
        <f>k_p2_0+C856*(k_p2_1+C856*k_p2_2)</f>
        <v/>
      </c>
      <c r="E856">
        <f>k_p3_0+C856*(k_p3_1+C856*(k_p3_2+C856*k_p3_3))</f>
        <v/>
      </c>
      <c r="F856">
        <f>k_p4_0+C856*(k_p4_1+C856*(k_p4_2+C856*(k_p4_3+C856*k_p4_4)))</f>
        <v/>
      </c>
      <c r="G856">
        <f>k_ea+k_eb*EXP(k_ec*C856)</f>
        <v/>
      </c>
      <c r="H856">
        <f>(k_p2_1+2*k_p2_2*C856)/k_sx</f>
        <v/>
      </c>
      <c r="I856">
        <f>(k_p3_1+C856*(2*k_p3_2+3*k_p3_3*C856))/k_sx</f>
        <v/>
      </c>
      <c r="J856">
        <f>(k_p4_1+C856*(2*k_p4_2+C856*(3*k_p4_3+4*k_p4_4*C856)))/k_sx</f>
        <v/>
      </c>
      <c r="K856">
        <f>k_eb*k_ec*EXP(k_ec*C856)/k_sx</f>
        <v/>
      </c>
      <c r="L856">
        <f>(2*k_p4_2+C856*(6*k_p4_3+12*k_p4_4*C856))/k_sx^2</f>
        <v/>
      </c>
      <c r="M856">
        <f>D856/B856</f>
        <v/>
      </c>
      <c r="N856">
        <f>E856/B856</f>
        <v/>
      </c>
      <c r="O856">
        <f>F856/B856</f>
        <v/>
      </c>
      <c r="P856">
        <f>G856/B856</f>
        <v/>
      </c>
      <c r="Q856">
        <f>CHOOSE(k_model,D856,E856,F856,G856)</f>
        <v/>
      </c>
      <c r="R856">
        <f>CHOOSE(k_model,H856,I856,J856,K856)</f>
        <v/>
      </c>
    </row>
    <row r="857">
      <c r="A857" t="n">
        <v>855</v>
      </c>
      <c r="B857">
        <f>k_lo+k_rng*A857/1000</f>
        <v/>
      </c>
      <c r="C857">
        <f>(B857-k_mx)/k_sx</f>
        <v/>
      </c>
      <c r="D857">
        <f>k_p2_0+C857*(k_p2_1+C857*k_p2_2)</f>
        <v/>
      </c>
      <c r="E857">
        <f>k_p3_0+C857*(k_p3_1+C857*(k_p3_2+C857*k_p3_3))</f>
        <v/>
      </c>
      <c r="F857">
        <f>k_p4_0+C857*(k_p4_1+C857*(k_p4_2+C857*(k_p4_3+C857*k_p4_4)))</f>
        <v/>
      </c>
      <c r="G857">
        <f>k_ea+k_eb*EXP(k_ec*C857)</f>
        <v/>
      </c>
      <c r="H857">
        <f>(k_p2_1+2*k_p2_2*C857)/k_sx</f>
        <v/>
      </c>
      <c r="I857">
        <f>(k_p3_1+C857*(2*k_p3_2+3*k_p3_3*C857))/k_sx</f>
        <v/>
      </c>
      <c r="J857">
        <f>(k_p4_1+C857*(2*k_p4_2+C857*(3*k_p4_3+4*k_p4_4*C857)))/k_sx</f>
        <v/>
      </c>
      <c r="K857">
        <f>k_eb*k_ec*EXP(k_ec*C857)/k_sx</f>
        <v/>
      </c>
      <c r="L857">
        <f>(2*k_p4_2+C857*(6*k_p4_3+12*k_p4_4*C857))/k_sx^2</f>
        <v/>
      </c>
      <c r="M857">
        <f>D857/B857</f>
        <v/>
      </c>
      <c r="N857">
        <f>E857/B857</f>
        <v/>
      </c>
      <c r="O857">
        <f>F857/B857</f>
        <v/>
      </c>
      <c r="P857">
        <f>G857/B857</f>
        <v/>
      </c>
      <c r="Q857">
        <f>CHOOSE(k_model,D857,E857,F857,G857)</f>
        <v/>
      </c>
      <c r="R857">
        <f>CHOOSE(k_model,H857,I857,J857,K857)</f>
        <v/>
      </c>
    </row>
    <row r="858">
      <c r="A858" t="n">
        <v>856</v>
      </c>
      <c r="B858">
        <f>k_lo+k_rng*A858/1000</f>
        <v/>
      </c>
      <c r="C858">
        <f>(B858-k_mx)/k_sx</f>
        <v/>
      </c>
      <c r="D858">
        <f>k_p2_0+C858*(k_p2_1+C858*k_p2_2)</f>
        <v/>
      </c>
      <c r="E858">
        <f>k_p3_0+C858*(k_p3_1+C858*(k_p3_2+C858*k_p3_3))</f>
        <v/>
      </c>
      <c r="F858">
        <f>k_p4_0+C858*(k_p4_1+C858*(k_p4_2+C858*(k_p4_3+C858*k_p4_4)))</f>
        <v/>
      </c>
      <c r="G858">
        <f>k_ea+k_eb*EXP(k_ec*C858)</f>
        <v/>
      </c>
      <c r="H858">
        <f>(k_p2_1+2*k_p2_2*C858)/k_sx</f>
        <v/>
      </c>
      <c r="I858">
        <f>(k_p3_1+C858*(2*k_p3_2+3*k_p3_3*C858))/k_sx</f>
        <v/>
      </c>
      <c r="J858">
        <f>(k_p4_1+C858*(2*k_p4_2+C858*(3*k_p4_3+4*k_p4_4*C858)))/k_sx</f>
        <v/>
      </c>
      <c r="K858">
        <f>k_eb*k_ec*EXP(k_ec*C858)/k_sx</f>
        <v/>
      </c>
      <c r="L858">
        <f>(2*k_p4_2+C858*(6*k_p4_3+12*k_p4_4*C858))/k_sx^2</f>
        <v/>
      </c>
      <c r="M858">
        <f>D858/B858</f>
        <v/>
      </c>
      <c r="N858">
        <f>E858/B858</f>
        <v/>
      </c>
      <c r="O858">
        <f>F858/B858</f>
        <v/>
      </c>
      <c r="P858">
        <f>G858/B858</f>
        <v/>
      </c>
      <c r="Q858">
        <f>CHOOSE(k_model,D858,E858,F858,G858)</f>
        <v/>
      </c>
      <c r="R858">
        <f>CHOOSE(k_model,H858,I858,J858,K858)</f>
        <v/>
      </c>
    </row>
    <row r="859">
      <c r="A859" t="n">
        <v>857</v>
      </c>
      <c r="B859">
        <f>k_lo+k_rng*A859/1000</f>
        <v/>
      </c>
      <c r="C859">
        <f>(B859-k_mx)/k_sx</f>
        <v/>
      </c>
      <c r="D859">
        <f>k_p2_0+C859*(k_p2_1+C859*k_p2_2)</f>
        <v/>
      </c>
      <c r="E859">
        <f>k_p3_0+C859*(k_p3_1+C859*(k_p3_2+C859*k_p3_3))</f>
        <v/>
      </c>
      <c r="F859">
        <f>k_p4_0+C859*(k_p4_1+C859*(k_p4_2+C859*(k_p4_3+C859*k_p4_4)))</f>
        <v/>
      </c>
      <c r="G859">
        <f>k_ea+k_eb*EXP(k_ec*C859)</f>
        <v/>
      </c>
      <c r="H859">
        <f>(k_p2_1+2*k_p2_2*C859)/k_sx</f>
        <v/>
      </c>
      <c r="I859">
        <f>(k_p3_1+C859*(2*k_p3_2+3*k_p3_3*C859))/k_sx</f>
        <v/>
      </c>
      <c r="J859">
        <f>(k_p4_1+C859*(2*k_p4_2+C859*(3*k_p4_3+4*k_p4_4*C859)))/k_sx</f>
        <v/>
      </c>
      <c r="K859">
        <f>k_eb*k_ec*EXP(k_ec*C859)/k_sx</f>
        <v/>
      </c>
      <c r="L859">
        <f>(2*k_p4_2+C859*(6*k_p4_3+12*k_p4_4*C859))/k_sx^2</f>
        <v/>
      </c>
      <c r="M859">
        <f>D859/B859</f>
        <v/>
      </c>
      <c r="N859">
        <f>E859/B859</f>
        <v/>
      </c>
      <c r="O859">
        <f>F859/B859</f>
        <v/>
      </c>
      <c r="P859">
        <f>G859/B859</f>
        <v/>
      </c>
      <c r="Q859">
        <f>CHOOSE(k_model,D859,E859,F859,G859)</f>
        <v/>
      </c>
      <c r="R859">
        <f>CHOOSE(k_model,H859,I859,J859,K859)</f>
        <v/>
      </c>
    </row>
    <row r="860">
      <c r="A860" t="n">
        <v>858</v>
      </c>
      <c r="B860">
        <f>k_lo+k_rng*A860/1000</f>
        <v/>
      </c>
      <c r="C860">
        <f>(B860-k_mx)/k_sx</f>
        <v/>
      </c>
      <c r="D860">
        <f>k_p2_0+C860*(k_p2_1+C860*k_p2_2)</f>
        <v/>
      </c>
      <c r="E860">
        <f>k_p3_0+C860*(k_p3_1+C860*(k_p3_2+C860*k_p3_3))</f>
        <v/>
      </c>
      <c r="F860">
        <f>k_p4_0+C860*(k_p4_1+C860*(k_p4_2+C860*(k_p4_3+C860*k_p4_4)))</f>
        <v/>
      </c>
      <c r="G860">
        <f>k_ea+k_eb*EXP(k_ec*C860)</f>
        <v/>
      </c>
      <c r="H860">
        <f>(k_p2_1+2*k_p2_2*C860)/k_sx</f>
        <v/>
      </c>
      <c r="I860">
        <f>(k_p3_1+C860*(2*k_p3_2+3*k_p3_3*C860))/k_sx</f>
        <v/>
      </c>
      <c r="J860">
        <f>(k_p4_1+C860*(2*k_p4_2+C860*(3*k_p4_3+4*k_p4_4*C860)))/k_sx</f>
        <v/>
      </c>
      <c r="K860">
        <f>k_eb*k_ec*EXP(k_ec*C860)/k_sx</f>
        <v/>
      </c>
      <c r="L860">
        <f>(2*k_p4_2+C860*(6*k_p4_3+12*k_p4_4*C860))/k_sx^2</f>
        <v/>
      </c>
      <c r="M860">
        <f>D860/B860</f>
        <v/>
      </c>
      <c r="N860">
        <f>E860/B860</f>
        <v/>
      </c>
      <c r="O860">
        <f>F860/B860</f>
        <v/>
      </c>
      <c r="P860">
        <f>G860/B860</f>
        <v/>
      </c>
      <c r="Q860">
        <f>CHOOSE(k_model,D860,E860,F860,G860)</f>
        <v/>
      </c>
      <c r="R860">
        <f>CHOOSE(k_model,H860,I860,J860,K860)</f>
        <v/>
      </c>
    </row>
    <row r="861">
      <c r="A861" t="n">
        <v>859</v>
      </c>
      <c r="B861">
        <f>k_lo+k_rng*A861/1000</f>
        <v/>
      </c>
      <c r="C861">
        <f>(B861-k_mx)/k_sx</f>
        <v/>
      </c>
      <c r="D861">
        <f>k_p2_0+C861*(k_p2_1+C861*k_p2_2)</f>
        <v/>
      </c>
      <c r="E861">
        <f>k_p3_0+C861*(k_p3_1+C861*(k_p3_2+C861*k_p3_3))</f>
        <v/>
      </c>
      <c r="F861">
        <f>k_p4_0+C861*(k_p4_1+C861*(k_p4_2+C861*(k_p4_3+C861*k_p4_4)))</f>
        <v/>
      </c>
      <c r="G861">
        <f>k_ea+k_eb*EXP(k_ec*C861)</f>
        <v/>
      </c>
      <c r="H861">
        <f>(k_p2_1+2*k_p2_2*C861)/k_sx</f>
        <v/>
      </c>
      <c r="I861">
        <f>(k_p3_1+C861*(2*k_p3_2+3*k_p3_3*C861))/k_sx</f>
        <v/>
      </c>
      <c r="J861">
        <f>(k_p4_1+C861*(2*k_p4_2+C861*(3*k_p4_3+4*k_p4_4*C861)))/k_sx</f>
        <v/>
      </c>
      <c r="K861">
        <f>k_eb*k_ec*EXP(k_ec*C861)/k_sx</f>
        <v/>
      </c>
      <c r="L861">
        <f>(2*k_p4_2+C861*(6*k_p4_3+12*k_p4_4*C861))/k_sx^2</f>
        <v/>
      </c>
      <c r="M861">
        <f>D861/B861</f>
        <v/>
      </c>
      <c r="N861">
        <f>E861/B861</f>
        <v/>
      </c>
      <c r="O861">
        <f>F861/B861</f>
        <v/>
      </c>
      <c r="P861">
        <f>G861/B861</f>
        <v/>
      </c>
      <c r="Q861">
        <f>CHOOSE(k_model,D861,E861,F861,G861)</f>
        <v/>
      </c>
      <c r="R861">
        <f>CHOOSE(k_model,H861,I861,J861,K861)</f>
        <v/>
      </c>
    </row>
    <row r="862">
      <c r="A862" t="n">
        <v>860</v>
      </c>
      <c r="B862">
        <f>k_lo+k_rng*A862/1000</f>
        <v/>
      </c>
      <c r="C862">
        <f>(B862-k_mx)/k_sx</f>
        <v/>
      </c>
      <c r="D862">
        <f>k_p2_0+C862*(k_p2_1+C862*k_p2_2)</f>
        <v/>
      </c>
      <c r="E862">
        <f>k_p3_0+C862*(k_p3_1+C862*(k_p3_2+C862*k_p3_3))</f>
        <v/>
      </c>
      <c r="F862">
        <f>k_p4_0+C862*(k_p4_1+C862*(k_p4_2+C862*(k_p4_3+C862*k_p4_4)))</f>
        <v/>
      </c>
      <c r="G862">
        <f>k_ea+k_eb*EXP(k_ec*C862)</f>
        <v/>
      </c>
      <c r="H862">
        <f>(k_p2_1+2*k_p2_2*C862)/k_sx</f>
        <v/>
      </c>
      <c r="I862">
        <f>(k_p3_1+C862*(2*k_p3_2+3*k_p3_3*C862))/k_sx</f>
        <v/>
      </c>
      <c r="J862">
        <f>(k_p4_1+C862*(2*k_p4_2+C862*(3*k_p4_3+4*k_p4_4*C862)))/k_sx</f>
        <v/>
      </c>
      <c r="K862">
        <f>k_eb*k_ec*EXP(k_ec*C862)/k_sx</f>
        <v/>
      </c>
      <c r="L862">
        <f>(2*k_p4_2+C862*(6*k_p4_3+12*k_p4_4*C862))/k_sx^2</f>
        <v/>
      </c>
      <c r="M862">
        <f>D862/B862</f>
        <v/>
      </c>
      <c r="N862">
        <f>E862/B862</f>
        <v/>
      </c>
      <c r="O862">
        <f>F862/B862</f>
        <v/>
      </c>
      <c r="P862">
        <f>G862/B862</f>
        <v/>
      </c>
      <c r="Q862">
        <f>CHOOSE(k_model,D862,E862,F862,G862)</f>
        <v/>
      </c>
      <c r="R862">
        <f>CHOOSE(k_model,H862,I862,J862,K862)</f>
        <v/>
      </c>
    </row>
    <row r="863">
      <c r="A863" t="n">
        <v>861</v>
      </c>
      <c r="B863">
        <f>k_lo+k_rng*A863/1000</f>
        <v/>
      </c>
      <c r="C863">
        <f>(B863-k_mx)/k_sx</f>
        <v/>
      </c>
      <c r="D863">
        <f>k_p2_0+C863*(k_p2_1+C863*k_p2_2)</f>
        <v/>
      </c>
      <c r="E863">
        <f>k_p3_0+C863*(k_p3_1+C863*(k_p3_2+C863*k_p3_3))</f>
        <v/>
      </c>
      <c r="F863">
        <f>k_p4_0+C863*(k_p4_1+C863*(k_p4_2+C863*(k_p4_3+C863*k_p4_4)))</f>
        <v/>
      </c>
      <c r="G863">
        <f>k_ea+k_eb*EXP(k_ec*C863)</f>
        <v/>
      </c>
      <c r="H863">
        <f>(k_p2_1+2*k_p2_2*C863)/k_sx</f>
        <v/>
      </c>
      <c r="I863">
        <f>(k_p3_1+C863*(2*k_p3_2+3*k_p3_3*C863))/k_sx</f>
        <v/>
      </c>
      <c r="J863">
        <f>(k_p4_1+C863*(2*k_p4_2+C863*(3*k_p4_3+4*k_p4_4*C863)))/k_sx</f>
        <v/>
      </c>
      <c r="K863">
        <f>k_eb*k_ec*EXP(k_ec*C863)/k_sx</f>
        <v/>
      </c>
      <c r="L863">
        <f>(2*k_p4_2+C863*(6*k_p4_3+12*k_p4_4*C863))/k_sx^2</f>
        <v/>
      </c>
      <c r="M863">
        <f>D863/B863</f>
        <v/>
      </c>
      <c r="N863">
        <f>E863/B863</f>
        <v/>
      </c>
      <c r="O863">
        <f>F863/B863</f>
        <v/>
      </c>
      <c r="P863">
        <f>G863/B863</f>
        <v/>
      </c>
      <c r="Q863">
        <f>CHOOSE(k_model,D863,E863,F863,G863)</f>
        <v/>
      </c>
      <c r="R863">
        <f>CHOOSE(k_model,H863,I863,J863,K863)</f>
        <v/>
      </c>
    </row>
    <row r="864">
      <c r="A864" t="n">
        <v>862</v>
      </c>
      <c r="B864">
        <f>k_lo+k_rng*A864/1000</f>
        <v/>
      </c>
      <c r="C864">
        <f>(B864-k_mx)/k_sx</f>
        <v/>
      </c>
      <c r="D864">
        <f>k_p2_0+C864*(k_p2_1+C864*k_p2_2)</f>
        <v/>
      </c>
      <c r="E864">
        <f>k_p3_0+C864*(k_p3_1+C864*(k_p3_2+C864*k_p3_3))</f>
        <v/>
      </c>
      <c r="F864">
        <f>k_p4_0+C864*(k_p4_1+C864*(k_p4_2+C864*(k_p4_3+C864*k_p4_4)))</f>
        <v/>
      </c>
      <c r="G864">
        <f>k_ea+k_eb*EXP(k_ec*C864)</f>
        <v/>
      </c>
      <c r="H864">
        <f>(k_p2_1+2*k_p2_2*C864)/k_sx</f>
        <v/>
      </c>
      <c r="I864">
        <f>(k_p3_1+C864*(2*k_p3_2+3*k_p3_3*C864))/k_sx</f>
        <v/>
      </c>
      <c r="J864">
        <f>(k_p4_1+C864*(2*k_p4_2+C864*(3*k_p4_3+4*k_p4_4*C864)))/k_sx</f>
        <v/>
      </c>
      <c r="K864">
        <f>k_eb*k_ec*EXP(k_ec*C864)/k_sx</f>
        <v/>
      </c>
      <c r="L864">
        <f>(2*k_p4_2+C864*(6*k_p4_3+12*k_p4_4*C864))/k_sx^2</f>
        <v/>
      </c>
      <c r="M864">
        <f>D864/B864</f>
        <v/>
      </c>
      <c r="N864">
        <f>E864/B864</f>
        <v/>
      </c>
      <c r="O864">
        <f>F864/B864</f>
        <v/>
      </c>
      <c r="P864">
        <f>G864/B864</f>
        <v/>
      </c>
      <c r="Q864">
        <f>CHOOSE(k_model,D864,E864,F864,G864)</f>
        <v/>
      </c>
      <c r="R864">
        <f>CHOOSE(k_model,H864,I864,J864,K864)</f>
        <v/>
      </c>
    </row>
    <row r="865">
      <c r="A865" t="n">
        <v>863</v>
      </c>
      <c r="B865">
        <f>k_lo+k_rng*A865/1000</f>
        <v/>
      </c>
      <c r="C865">
        <f>(B865-k_mx)/k_sx</f>
        <v/>
      </c>
      <c r="D865">
        <f>k_p2_0+C865*(k_p2_1+C865*k_p2_2)</f>
        <v/>
      </c>
      <c r="E865">
        <f>k_p3_0+C865*(k_p3_1+C865*(k_p3_2+C865*k_p3_3))</f>
        <v/>
      </c>
      <c r="F865">
        <f>k_p4_0+C865*(k_p4_1+C865*(k_p4_2+C865*(k_p4_3+C865*k_p4_4)))</f>
        <v/>
      </c>
      <c r="G865">
        <f>k_ea+k_eb*EXP(k_ec*C865)</f>
        <v/>
      </c>
      <c r="H865">
        <f>(k_p2_1+2*k_p2_2*C865)/k_sx</f>
        <v/>
      </c>
      <c r="I865">
        <f>(k_p3_1+C865*(2*k_p3_2+3*k_p3_3*C865))/k_sx</f>
        <v/>
      </c>
      <c r="J865">
        <f>(k_p4_1+C865*(2*k_p4_2+C865*(3*k_p4_3+4*k_p4_4*C865)))/k_sx</f>
        <v/>
      </c>
      <c r="K865">
        <f>k_eb*k_ec*EXP(k_ec*C865)/k_sx</f>
        <v/>
      </c>
      <c r="L865">
        <f>(2*k_p4_2+C865*(6*k_p4_3+12*k_p4_4*C865))/k_sx^2</f>
        <v/>
      </c>
      <c r="M865">
        <f>D865/B865</f>
        <v/>
      </c>
      <c r="N865">
        <f>E865/B865</f>
        <v/>
      </c>
      <c r="O865">
        <f>F865/B865</f>
        <v/>
      </c>
      <c r="P865">
        <f>G865/B865</f>
        <v/>
      </c>
      <c r="Q865">
        <f>CHOOSE(k_model,D865,E865,F865,G865)</f>
        <v/>
      </c>
      <c r="R865">
        <f>CHOOSE(k_model,H865,I865,J865,K865)</f>
        <v/>
      </c>
    </row>
    <row r="866">
      <c r="A866" t="n">
        <v>864</v>
      </c>
      <c r="B866">
        <f>k_lo+k_rng*A866/1000</f>
        <v/>
      </c>
      <c r="C866">
        <f>(B866-k_mx)/k_sx</f>
        <v/>
      </c>
      <c r="D866">
        <f>k_p2_0+C866*(k_p2_1+C866*k_p2_2)</f>
        <v/>
      </c>
      <c r="E866">
        <f>k_p3_0+C866*(k_p3_1+C866*(k_p3_2+C866*k_p3_3))</f>
        <v/>
      </c>
      <c r="F866">
        <f>k_p4_0+C866*(k_p4_1+C866*(k_p4_2+C866*(k_p4_3+C866*k_p4_4)))</f>
        <v/>
      </c>
      <c r="G866">
        <f>k_ea+k_eb*EXP(k_ec*C866)</f>
        <v/>
      </c>
      <c r="H866">
        <f>(k_p2_1+2*k_p2_2*C866)/k_sx</f>
        <v/>
      </c>
      <c r="I866">
        <f>(k_p3_1+C866*(2*k_p3_2+3*k_p3_3*C866))/k_sx</f>
        <v/>
      </c>
      <c r="J866">
        <f>(k_p4_1+C866*(2*k_p4_2+C866*(3*k_p4_3+4*k_p4_4*C866)))/k_sx</f>
        <v/>
      </c>
      <c r="K866">
        <f>k_eb*k_ec*EXP(k_ec*C866)/k_sx</f>
        <v/>
      </c>
      <c r="L866">
        <f>(2*k_p4_2+C866*(6*k_p4_3+12*k_p4_4*C866))/k_sx^2</f>
        <v/>
      </c>
      <c r="M866">
        <f>D866/B866</f>
        <v/>
      </c>
      <c r="N866">
        <f>E866/B866</f>
        <v/>
      </c>
      <c r="O866">
        <f>F866/B866</f>
        <v/>
      </c>
      <c r="P866">
        <f>G866/B866</f>
        <v/>
      </c>
      <c r="Q866">
        <f>CHOOSE(k_model,D866,E866,F866,G866)</f>
        <v/>
      </c>
      <c r="R866">
        <f>CHOOSE(k_model,H866,I866,J866,K866)</f>
        <v/>
      </c>
    </row>
    <row r="867">
      <c r="A867" t="n">
        <v>865</v>
      </c>
      <c r="B867">
        <f>k_lo+k_rng*A867/1000</f>
        <v/>
      </c>
      <c r="C867">
        <f>(B867-k_mx)/k_sx</f>
        <v/>
      </c>
      <c r="D867">
        <f>k_p2_0+C867*(k_p2_1+C867*k_p2_2)</f>
        <v/>
      </c>
      <c r="E867">
        <f>k_p3_0+C867*(k_p3_1+C867*(k_p3_2+C867*k_p3_3))</f>
        <v/>
      </c>
      <c r="F867">
        <f>k_p4_0+C867*(k_p4_1+C867*(k_p4_2+C867*(k_p4_3+C867*k_p4_4)))</f>
        <v/>
      </c>
      <c r="G867">
        <f>k_ea+k_eb*EXP(k_ec*C867)</f>
        <v/>
      </c>
      <c r="H867">
        <f>(k_p2_1+2*k_p2_2*C867)/k_sx</f>
        <v/>
      </c>
      <c r="I867">
        <f>(k_p3_1+C867*(2*k_p3_2+3*k_p3_3*C867))/k_sx</f>
        <v/>
      </c>
      <c r="J867">
        <f>(k_p4_1+C867*(2*k_p4_2+C867*(3*k_p4_3+4*k_p4_4*C867)))/k_sx</f>
        <v/>
      </c>
      <c r="K867">
        <f>k_eb*k_ec*EXP(k_ec*C867)/k_sx</f>
        <v/>
      </c>
      <c r="L867">
        <f>(2*k_p4_2+C867*(6*k_p4_3+12*k_p4_4*C867))/k_sx^2</f>
        <v/>
      </c>
      <c r="M867">
        <f>D867/B867</f>
        <v/>
      </c>
      <c r="N867">
        <f>E867/B867</f>
        <v/>
      </c>
      <c r="O867">
        <f>F867/B867</f>
        <v/>
      </c>
      <c r="P867">
        <f>G867/B867</f>
        <v/>
      </c>
      <c r="Q867">
        <f>CHOOSE(k_model,D867,E867,F867,G867)</f>
        <v/>
      </c>
      <c r="R867">
        <f>CHOOSE(k_model,H867,I867,J867,K867)</f>
        <v/>
      </c>
    </row>
    <row r="868">
      <c r="A868" t="n">
        <v>866</v>
      </c>
      <c r="B868">
        <f>k_lo+k_rng*A868/1000</f>
        <v/>
      </c>
      <c r="C868">
        <f>(B868-k_mx)/k_sx</f>
        <v/>
      </c>
      <c r="D868">
        <f>k_p2_0+C868*(k_p2_1+C868*k_p2_2)</f>
        <v/>
      </c>
      <c r="E868">
        <f>k_p3_0+C868*(k_p3_1+C868*(k_p3_2+C868*k_p3_3))</f>
        <v/>
      </c>
      <c r="F868">
        <f>k_p4_0+C868*(k_p4_1+C868*(k_p4_2+C868*(k_p4_3+C868*k_p4_4)))</f>
        <v/>
      </c>
      <c r="G868">
        <f>k_ea+k_eb*EXP(k_ec*C868)</f>
        <v/>
      </c>
      <c r="H868">
        <f>(k_p2_1+2*k_p2_2*C868)/k_sx</f>
        <v/>
      </c>
      <c r="I868">
        <f>(k_p3_1+C868*(2*k_p3_2+3*k_p3_3*C868))/k_sx</f>
        <v/>
      </c>
      <c r="J868">
        <f>(k_p4_1+C868*(2*k_p4_2+C868*(3*k_p4_3+4*k_p4_4*C868)))/k_sx</f>
        <v/>
      </c>
      <c r="K868">
        <f>k_eb*k_ec*EXP(k_ec*C868)/k_sx</f>
        <v/>
      </c>
      <c r="L868">
        <f>(2*k_p4_2+C868*(6*k_p4_3+12*k_p4_4*C868))/k_sx^2</f>
        <v/>
      </c>
      <c r="M868">
        <f>D868/B868</f>
        <v/>
      </c>
      <c r="N868">
        <f>E868/B868</f>
        <v/>
      </c>
      <c r="O868">
        <f>F868/B868</f>
        <v/>
      </c>
      <c r="P868">
        <f>G868/B868</f>
        <v/>
      </c>
      <c r="Q868">
        <f>CHOOSE(k_model,D868,E868,F868,G868)</f>
        <v/>
      </c>
      <c r="R868">
        <f>CHOOSE(k_model,H868,I868,J868,K868)</f>
        <v/>
      </c>
    </row>
    <row r="869">
      <c r="A869" t="n">
        <v>867</v>
      </c>
      <c r="B869">
        <f>k_lo+k_rng*A869/1000</f>
        <v/>
      </c>
      <c r="C869">
        <f>(B869-k_mx)/k_sx</f>
        <v/>
      </c>
      <c r="D869">
        <f>k_p2_0+C869*(k_p2_1+C869*k_p2_2)</f>
        <v/>
      </c>
      <c r="E869">
        <f>k_p3_0+C869*(k_p3_1+C869*(k_p3_2+C869*k_p3_3))</f>
        <v/>
      </c>
      <c r="F869">
        <f>k_p4_0+C869*(k_p4_1+C869*(k_p4_2+C869*(k_p4_3+C869*k_p4_4)))</f>
        <v/>
      </c>
      <c r="G869">
        <f>k_ea+k_eb*EXP(k_ec*C869)</f>
        <v/>
      </c>
      <c r="H869">
        <f>(k_p2_1+2*k_p2_2*C869)/k_sx</f>
        <v/>
      </c>
      <c r="I869">
        <f>(k_p3_1+C869*(2*k_p3_2+3*k_p3_3*C869))/k_sx</f>
        <v/>
      </c>
      <c r="J869">
        <f>(k_p4_1+C869*(2*k_p4_2+C869*(3*k_p4_3+4*k_p4_4*C869)))/k_sx</f>
        <v/>
      </c>
      <c r="K869">
        <f>k_eb*k_ec*EXP(k_ec*C869)/k_sx</f>
        <v/>
      </c>
      <c r="L869">
        <f>(2*k_p4_2+C869*(6*k_p4_3+12*k_p4_4*C869))/k_sx^2</f>
        <v/>
      </c>
      <c r="M869">
        <f>D869/B869</f>
        <v/>
      </c>
      <c r="N869">
        <f>E869/B869</f>
        <v/>
      </c>
      <c r="O869">
        <f>F869/B869</f>
        <v/>
      </c>
      <c r="P869">
        <f>G869/B869</f>
        <v/>
      </c>
      <c r="Q869">
        <f>CHOOSE(k_model,D869,E869,F869,G869)</f>
        <v/>
      </c>
      <c r="R869">
        <f>CHOOSE(k_model,H869,I869,J869,K869)</f>
        <v/>
      </c>
    </row>
    <row r="870">
      <c r="A870" t="n">
        <v>868</v>
      </c>
      <c r="B870">
        <f>k_lo+k_rng*A870/1000</f>
        <v/>
      </c>
      <c r="C870">
        <f>(B870-k_mx)/k_sx</f>
        <v/>
      </c>
      <c r="D870">
        <f>k_p2_0+C870*(k_p2_1+C870*k_p2_2)</f>
        <v/>
      </c>
      <c r="E870">
        <f>k_p3_0+C870*(k_p3_1+C870*(k_p3_2+C870*k_p3_3))</f>
        <v/>
      </c>
      <c r="F870">
        <f>k_p4_0+C870*(k_p4_1+C870*(k_p4_2+C870*(k_p4_3+C870*k_p4_4)))</f>
        <v/>
      </c>
      <c r="G870">
        <f>k_ea+k_eb*EXP(k_ec*C870)</f>
        <v/>
      </c>
      <c r="H870">
        <f>(k_p2_1+2*k_p2_2*C870)/k_sx</f>
        <v/>
      </c>
      <c r="I870">
        <f>(k_p3_1+C870*(2*k_p3_2+3*k_p3_3*C870))/k_sx</f>
        <v/>
      </c>
      <c r="J870">
        <f>(k_p4_1+C870*(2*k_p4_2+C870*(3*k_p4_3+4*k_p4_4*C870)))/k_sx</f>
        <v/>
      </c>
      <c r="K870">
        <f>k_eb*k_ec*EXP(k_ec*C870)/k_sx</f>
        <v/>
      </c>
      <c r="L870">
        <f>(2*k_p4_2+C870*(6*k_p4_3+12*k_p4_4*C870))/k_sx^2</f>
        <v/>
      </c>
      <c r="M870">
        <f>D870/B870</f>
        <v/>
      </c>
      <c r="N870">
        <f>E870/B870</f>
        <v/>
      </c>
      <c r="O870">
        <f>F870/B870</f>
        <v/>
      </c>
      <c r="P870">
        <f>G870/B870</f>
        <v/>
      </c>
      <c r="Q870">
        <f>CHOOSE(k_model,D870,E870,F870,G870)</f>
        <v/>
      </c>
      <c r="R870">
        <f>CHOOSE(k_model,H870,I870,J870,K870)</f>
        <v/>
      </c>
    </row>
    <row r="871">
      <c r="A871" t="n">
        <v>869</v>
      </c>
      <c r="B871">
        <f>k_lo+k_rng*A871/1000</f>
        <v/>
      </c>
      <c r="C871">
        <f>(B871-k_mx)/k_sx</f>
        <v/>
      </c>
      <c r="D871">
        <f>k_p2_0+C871*(k_p2_1+C871*k_p2_2)</f>
        <v/>
      </c>
      <c r="E871">
        <f>k_p3_0+C871*(k_p3_1+C871*(k_p3_2+C871*k_p3_3))</f>
        <v/>
      </c>
      <c r="F871">
        <f>k_p4_0+C871*(k_p4_1+C871*(k_p4_2+C871*(k_p4_3+C871*k_p4_4)))</f>
        <v/>
      </c>
      <c r="G871">
        <f>k_ea+k_eb*EXP(k_ec*C871)</f>
        <v/>
      </c>
      <c r="H871">
        <f>(k_p2_1+2*k_p2_2*C871)/k_sx</f>
        <v/>
      </c>
      <c r="I871">
        <f>(k_p3_1+C871*(2*k_p3_2+3*k_p3_3*C871))/k_sx</f>
        <v/>
      </c>
      <c r="J871">
        <f>(k_p4_1+C871*(2*k_p4_2+C871*(3*k_p4_3+4*k_p4_4*C871)))/k_sx</f>
        <v/>
      </c>
      <c r="K871">
        <f>k_eb*k_ec*EXP(k_ec*C871)/k_sx</f>
        <v/>
      </c>
      <c r="L871">
        <f>(2*k_p4_2+C871*(6*k_p4_3+12*k_p4_4*C871))/k_sx^2</f>
        <v/>
      </c>
      <c r="M871">
        <f>D871/B871</f>
        <v/>
      </c>
      <c r="N871">
        <f>E871/B871</f>
        <v/>
      </c>
      <c r="O871">
        <f>F871/B871</f>
        <v/>
      </c>
      <c r="P871">
        <f>G871/B871</f>
        <v/>
      </c>
      <c r="Q871">
        <f>CHOOSE(k_model,D871,E871,F871,G871)</f>
        <v/>
      </c>
      <c r="R871">
        <f>CHOOSE(k_model,H871,I871,J871,K871)</f>
        <v/>
      </c>
    </row>
    <row r="872">
      <c r="A872" t="n">
        <v>870</v>
      </c>
      <c r="B872">
        <f>k_lo+k_rng*A872/1000</f>
        <v/>
      </c>
      <c r="C872">
        <f>(B872-k_mx)/k_sx</f>
        <v/>
      </c>
      <c r="D872">
        <f>k_p2_0+C872*(k_p2_1+C872*k_p2_2)</f>
        <v/>
      </c>
      <c r="E872">
        <f>k_p3_0+C872*(k_p3_1+C872*(k_p3_2+C872*k_p3_3))</f>
        <v/>
      </c>
      <c r="F872">
        <f>k_p4_0+C872*(k_p4_1+C872*(k_p4_2+C872*(k_p4_3+C872*k_p4_4)))</f>
        <v/>
      </c>
      <c r="G872">
        <f>k_ea+k_eb*EXP(k_ec*C872)</f>
        <v/>
      </c>
      <c r="H872">
        <f>(k_p2_1+2*k_p2_2*C872)/k_sx</f>
        <v/>
      </c>
      <c r="I872">
        <f>(k_p3_1+C872*(2*k_p3_2+3*k_p3_3*C872))/k_sx</f>
        <v/>
      </c>
      <c r="J872">
        <f>(k_p4_1+C872*(2*k_p4_2+C872*(3*k_p4_3+4*k_p4_4*C872)))/k_sx</f>
        <v/>
      </c>
      <c r="K872">
        <f>k_eb*k_ec*EXP(k_ec*C872)/k_sx</f>
        <v/>
      </c>
      <c r="L872">
        <f>(2*k_p4_2+C872*(6*k_p4_3+12*k_p4_4*C872))/k_sx^2</f>
        <v/>
      </c>
      <c r="M872">
        <f>D872/B872</f>
        <v/>
      </c>
      <c r="N872">
        <f>E872/B872</f>
        <v/>
      </c>
      <c r="O872">
        <f>F872/B872</f>
        <v/>
      </c>
      <c r="P872">
        <f>G872/B872</f>
        <v/>
      </c>
      <c r="Q872">
        <f>CHOOSE(k_model,D872,E872,F872,G872)</f>
        <v/>
      </c>
      <c r="R872">
        <f>CHOOSE(k_model,H872,I872,J872,K872)</f>
        <v/>
      </c>
    </row>
    <row r="873">
      <c r="A873" t="n">
        <v>871</v>
      </c>
      <c r="B873">
        <f>k_lo+k_rng*A873/1000</f>
        <v/>
      </c>
      <c r="C873">
        <f>(B873-k_mx)/k_sx</f>
        <v/>
      </c>
      <c r="D873">
        <f>k_p2_0+C873*(k_p2_1+C873*k_p2_2)</f>
        <v/>
      </c>
      <c r="E873">
        <f>k_p3_0+C873*(k_p3_1+C873*(k_p3_2+C873*k_p3_3))</f>
        <v/>
      </c>
      <c r="F873">
        <f>k_p4_0+C873*(k_p4_1+C873*(k_p4_2+C873*(k_p4_3+C873*k_p4_4)))</f>
        <v/>
      </c>
      <c r="G873">
        <f>k_ea+k_eb*EXP(k_ec*C873)</f>
        <v/>
      </c>
      <c r="H873">
        <f>(k_p2_1+2*k_p2_2*C873)/k_sx</f>
        <v/>
      </c>
      <c r="I873">
        <f>(k_p3_1+C873*(2*k_p3_2+3*k_p3_3*C873))/k_sx</f>
        <v/>
      </c>
      <c r="J873">
        <f>(k_p4_1+C873*(2*k_p4_2+C873*(3*k_p4_3+4*k_p4_4*C873)))/k_sx</f>
        <v/>
      </c>
      <c r="K873">
        <f>k_eb*k_ec*EXP(k_ec*C873)/k_sx</f>
        <v/>
      </c>
      <c r="L873">
        <f>(2*k_p4_2+C873*(6*k_p4_3+12*k_p4_4*C873))/k_sx^2</f>
        <v/>
      </c>
      <c r="M873">
        <f>D873/B873</f>
        <v/>
      </c>
      <c r="N873">
        <f>E873/B873</f>
        <v/>
      </c>
      <c r="O873">
        <f>F873/B873</f>
        <v/>
      </c>
      <c r="P873">
        <f>G873/B873</f>
        <v/>
      </c>
      <c r="Q873">
        <f>CHOOSE(k_model,D873,E873,F873,G873)</f>
        <v/>
      </c>
      <c r="R873">
        <f>CHOOSE(k_model,H873,I873,J873,K873)</f>
        <v/>
      </c>
    </row>
    <row r="874">
      <c r="A874" t="n">
        <v>872</v>
      </c>
      <c r="B874">
        <f>k_lo+k_rng*A874/1000</f>
        <v/>
      </c>
      <c r="C874">
        <f>(B874-k_mx)/k_sx</f>
        <v/>
      </c>
      <c r="D874">
        <f>k_p2_0+C874*(k_p2_1+C874*k_p2_2)</f>
        <v/>
      </c>
      <c r="E874">
        <f>k_p3_0+C874*(k_p3_1+C874*(k_p3_2+C874*k_p3_3))</f>
        <v/>
      </c>
      <c r="F874">
        <f>k_p4_0+C874*(k_p4_1+C874*(k_p4_2+C874*(k_p4_3+C874*k_p4_4)))</f>
        <v/>
      </c>
      <c r="G874">
        <f>k_ea+k_eb*EXP(k_ec*C874)</f>
        <v/>
      </c>
      <c r="H874">
        <f>(k_p2_1+2*k_p2_2*C874)/k_sx</f>
        <v/>
      </c>
      <c r="I874">
        <f>(k_p3_1+C874*(2*k_p3_2+3*k_p3_3*C874))/k_sx</f>
        <v/>
      </c>
      <c r="J874">
        <f>(k_p4_1+C874*(2*k_p4_2+C874*(3*k_p4_3+4*k_p4_4*C874)))/k_sx</f>
        <v/>
      </c>
      <c r="K874">
        <f>k_eb*k_ec*EXP(k_ec*C874)/k_sx</f>
        <v/>
      </c>
      <c r="L874">
        <f>(2*k_p4_2+C874*(6*k_p4_3+12*k_p4_4*C874))/k_sx^2</f>
        <v/>
      </c>
      <c r="M874">
        <f>D874/B874</f>
        <v/>
      </c>
      <c r="N874">
        <f>E874/B874</f>
        <v/>
      </c>
      <c r="O874">
        <f>F874/B874</f>
        <v/>
      </c>
      <c r="P874">
        <f>G874/B874</f>
        <v/>
      </c>
      <c r="Q874">
        <f>CHOOSE(k_model,D874,E874,F874,G874)</f>
        <v/>
      </c>
      <c r="R874">
        <f>CHOOSE(k_model,H874,I874,J874,K874)</f>
        <v/>
      </c>
    </row>
    <row r="875">
      <c r="A875" t="n">
        <v>873</v>
      </c>
      <c r="B875">
        <f>k_lo+k_rng*A875/1000</f>
        <v/>
      </c>
      <c r="C875">
        <f>(B875-k_mx)/k_sx</f>
        <v/>
      </c>
      <c r="D875">
        <f>k_p2_0+C875*(k_p2_1+C875*k_p2_2)</f>
        <v/>
      </c>
      <c r="E875">
        <f>k_p3_0+C875*(k_p3_1+C875*(k_p3_2+C875*k_p3_3))</f>
        <v/>
      </c>
      <c r="F875">
        <f>k_p4_0+C875*(k_p4_1+C875*(k_p4_2+C875*(k_p4_3+C875*k_p4_4)))</f>
        <v/>
      </c>
      <c r="G875">
        <f>k_ea+k_eb*EXP(k_ec*C875)</f>
        <v/>
      </c>
      <c r="H875">
        <f>(k_p2_1+2*k_p2_2*C875)/k_sx</f>
        <v/>
      </c>
      <c r="I875">
        <f>(k_p3_1+C875*(2*k_p3_2+3*k_p3_3*C875))/k_sx</f>
        <v/>
      </c>
      <c r="J875">
        <f>(k_p4_1+C875*(2*k_p4_2+C875*(3*k_p4_3+4*k_p4_4*C875)))/k_sx</f>
        <v/>
      </c>
      <c r="K875">
        <f>k_eb*k_ec*EXP(k_ec*C875)/k_sx</f>
        <v/>
      </c>
      <c r="L875">
        <f>(2*k_p4_2+C875*(6*k_p4_3+12*k_p4_4*C875))/k_sx^2</f>
        <v/>
      </c>
      <c r="M875">
        <f>D875/B875</f>
        <v/>
      </c>
      <c r="N875">
        <f>E875/B875</f>
        <v/>
      </c>
      <c r="O875">
        <f>F875/B875</f>
        <v/>
      </c>
      <c r="P875">
        <f>G875/B875</f>
        <v/>
      </c>
      <c r="Q875">
        <f>CHOOSE(k_model,D875,E875,F875,G875)</f>
        <v/>
      </c>
      <c r="R875">
        <f>CHOOSE(k_model,H875,I875,J875,K875)</f>
        <v/>
      </c>
    </row>
    <row r="876">
      <c r="A876" t="n">
        <v>874</v>
      </c>
      <c r="B876">
        <f>k_lo+k_rng*A876/1000</f>
        <v/>
      </c>
      <c r="C876">
        <f>(B876-k_mx)/k_sx</f>
        <v/>
      </c>
      <c r="D876">
        <f>k_p2_0+C876*(k_p2_1+C876*k_p2_2)</f>
        <v/>
      </c>
      <c r="E876">
        <f>k_p3_0+C876*(k_p3_1+C876*(k_p3_2+C876*k_p3_3))</f>
        <v/>
      </c>
      <c r="F876">
        <f>k_p4_0+C876*(k_p4_1+C876*(k_p4_2+C876*(k_p4_3+C876*k_p4_4)))</f>
        <v/>
      </c>
      <c r="G876">
        <f>k_ea+k_eb*EXP(k_ec*C876)</f>
        <v/>
      </c>
      <c r="H876">
        <f>(k_p2_1+2*k_p2_2*C876)/k_sx</f>
        <v/>
      </c>
      <c r="I876">
        <f>(k_p3_1+C876*(2*k_p3_2+3*k_p3_3*C876))/k_sx</f>
        <v/>
      </c>
      <c r="J876">
        <f>(k_p4_1+C876*(2*k_p4_2+C876*(3*k_p4_3+4*k_p4_4*C876)))/k_sx</f>
        <v/>
      </c>
      <c r="K876">
        <f>k_eb*k_ec*EXP(k_ec*C876)/k_sx</f>
        <v/>
      </c>
      <c r="L876">
        <f>(2*k_p4_2+C876*(6*k_p4_3+12*k_p4_4*C876))/k_sx^2</f>
        <v/>
      </c>
      <c r="M876">
        <f>D876/B876</f>
        <v/>
      </c>
      <c r="N876">
        <f>E876/B876</f>
        <v/>
      </c>
      <c r="O876">
        <f>F876/B876</f>
        <v/>
      </c>
      <c r="P876">
        <f>G876/B876</f>
        <v/>
      </c>
      <c r="Q876">
        <f>CHOOSE(k_model,D876,E876,F876,G876)</f>
        <v/>
      </c>
      <c r="R876">
        <f>CHOOSE(k_model,H876,I876,J876,K876)</f>
        <v/>
      </c>
    </row>
    <row r="877">
      <c r="A877" t="n">
        <v>875</v>
      </c>
      <c r="B877">
        <f>k_lo+k_rng*A877/1000</f>
        <v/>
      </c>
      <c r="C877">
        <f>(B877-k_mx)/k_sx</f>
        <v/>
      </c>
      <c r="D877">
        <f>k_p2_0+C877*(k_p2_1+C877*k_p2_2)</f>
        <v/>
      </c>
      <c r="E877">
        <f>k_p3_0+C877*(k_p3_1+C877*(k_p3_2+C877*k_p3_3))</f>
        <v/>
      </c>
      <c r="F877">
        <f>k_p4_0+C877*(k_p4_1+C877*(k_p4_2+C877*(k_p4_3+C877*k_p4_4)))</f>
        <v/>
      </c>
      <c r="G877">
        <f>k_ea+k_eb*EXP(k_ec*C877)</f>
        <v/>
      </c>
      <c r="H877">
        <f>(k_p2_1+2*k_p2_2*C877)/k_sx</f>
        <v/>
      </c>
      <c r="I877">
        <f>(k_p3_1+C877*(2*k_p3_2+3*k_p3_3*C877))/k_sx</f>
        <v/>
      </c>
      <c r="J877">
        <f>(k_p4_1+C877*(2*k_p4_2+C877*(3*k_p4_3+4*k_p4_4*C877)))/k_sx</f>
        <v/>
      </c>
      <c r="K877">
        <f>k_eb*k_ec*EXP(k_ec*C877)/k_sx</f>
        <v/>
      </c>
      <c r="L877">
        <f>(2*k_p4_2+C877*(6*k_p4_3+12*k_p4_4*C877))/k_sx^2</f>
        <v/>
      </c>
      <c r="M877">
        <f>D877/B877</f>
        <v/>
      </c>
      <c r="N877">
        <f>E877/B877</f>
        <v/>
      </c>
      <c r="O877">
        <f>F877/B877</f>
        <v/>
      </c>
      <c r="P877">
        <f>G877/B877</f>
        <v/>
      </c>
      <c r="Q877">
        <f>CHOOSE(k_model,D877,E877,F877,G877)</f>
        <v/>
      </c>
      <c r="R877">
        <f>CHOOSE(k_model,H877,I877,J877,K877)</f>
        <v/>
      </c>
    </row>
    <row r="878">
      <c r="A878" t="n">
        <v>876</v>
      </c>
      <c r="B878">
        <f>k_lo+k_rng*A878/1000</f>
        <v/>
      </c>
      <c r="C878">
        <f>(B878-k_mx)/k_sx</f>
        <v/>
      </c>
      <c r="D878">
        <f>k_p2_0+C878*(k_p2_1+C878*k_p2_2)</f>
        <v/>
      </c>
      <c r="E878">
        <f>k_p3_0+C878*(k_p3_1+C878*(k_p3_2+C878*k_p3_3))</f>
        <v/>
      </c>
      <c r="F878">
        <f>k_p4_0+C878*(k_p4_1+C878*(k_p4_2+C878*(k_p4_3+C878*k_p4_4)))</f>
        <v/>
      </c>
      <c r="G878">
        <f>k_ea+k_eb*EXP(k_ec*C878)</f>
        <v/>
      </c>
      <c r="H878">
        <f>(k_p2_1+2*k_p2_2*C878)/k_sx</f>
        <v/>
      </c>
      <c r="I878">
        <f>(k_p3_1+C878*(2*k_p3_2+3*k_p3_3*C878))/k_sx</f>
        <v/>
      </c>
      <c r="J878">
        <f>(k_p4_1+C878*(2*k_p4_2+C878*(3*k_p4_3+4*k_p4_4*C878)))/k_sx</f>
        <v/>
      </c>
      <c r="K878">
        <f>k_eb*k_ec*EXP(k_ec*C878)/k_sx</f>
        <v/>
      </c>
      <c r="L878">
        <f>(2*k_p4_2+C878*(6*k_p4_3+12*k_p4_4*C878))/k_sx^2</f>
        <v/>
      </c>
      <c r="M878">
        <f>D878/B878</f>
        <v/>
      </c>
      <c r="N878">
        <f>E878/B878</f>
        <v/>
      </c>
      <c r="O878">
        <f>F878/B878</f>
        <v/>
      </c>
      <c r="P878">
        <f>G878/B878</f>
        <v/>
      </c>
      <c r="Q878">
        <f>CHOOSE(k_model,D878,E878,F878,G878)</f>
        <v/>
      </c>
      <c r="R878">
        <f>CHOOSE(k_model,H878,I878,J878,K878)</f>
        <v/>
      </c>
    </row>
    <row r="879">
      <c r="A879" t="n">
        <v>877</v>
      </c>
      <c r="B879">
        <f>k_lo+k_rng*A879/1000</f>
        <v/>
      </c>
      <c r="C879">
        <f>(B879-k_mx)/k_sx</f>
        <v/>
      </c>
      <c r="D879">
        <f>k_p2_0+C879*(k_p2_1+C879*k_p2_2)</f>
        <v/>
      </c>
      <c r="E879">
        <f>k_p3_0+C879*(k_p3_1+C879*(k_p3_2+C879*k_p3_3))</f>
        <v/>
      </c>
      <c r="F879">
        <f>k_p4_0+C879*(k_p4_1+C879*(k_p4_2+C879*(k_p4_3+C879*k_p4_4)))</f>
        <v/>
      </c>
      <c r="G879">
        <f>k_ea+k_eb*EXP(k_ec*C879)</f>
        <v/>
      </c>
      <c r="H879">
        <f>(k_p2_1+2*k_p2_2*C879)/k_sx</f>
        <v/>
      </c>
      <c r="I879">
        <f>(k_p3_1+C879*(2*k_p3_2+3*k_p3_3*C879))/k_sx</f>
        <v/>
      </c>
      <c r="J879">
        <f>(k_p4_1+C879*(2*k_p4_2+C879*(3*k_p4_3+4*k_p4_4*C879)))/k_sx</f>
        <v/>
      </c>
      <c r="K879">
        <f>k_eb*k_ec*EXP(k_ec*C879)/k_sx</f>
        <v/>
      </c>
      <c r="L879">
        <f>(2*k_p4_2+C879*(6*k_p4_3+12*k_p4_4*C879))/k_sx^2</f>
        <v/>
      </c>
      <c r="M879">
        <f>D879/B879</f>
        <v/>
      </c>
      <c r="N879">
        <f>E879/B879</f>
        <v/>
      </c>
      <c r="O879">
        <f>F879/B879</f>
        <v/>
      </c>
      <c r="P879">
        <f>G879/B879</f>
        <v/>
      </c>
      <c r="Q879">
        <f>CHOOSE(k_model,D879,E879,F879,G879)</f>
        <v/>
      </c>
      <c r="R879">
        <f>CHOOSE(k_model,H879,I879,J879,K879)</f>
        <v/>
      </c>
    </row>
    <row r="880">
      <c r="A880" t="n">
        <v>878</v>
      </c>
      <c r="B880">
        <f>k_lo+k_rng*A880/1000</f>
        <v/>
      </c>
      <c r="C880">
        <f>(B880-k_mx)/k_sx</f>
        <v/>
      </c>
      <c r="D880">
        <f>k_p2_0+C880*(k_p2_1+C880*k_p2_2)</f>
        <v/>
      </c>
      <c r="E880">
        <f>k_p3_0+C880*(k_p3_1+C880*(k_p3_2+C880*k_p3_3))</f>
        <v/>
      </c>
      <c r="F880">
        <f>k_p4_0+C880*(k_p4_1+C880*(k_p4_2+C880*(k_p4_3+C880*k_p4_4)))</f>
        <v/>
      </c>
      <c r="G880">
        <f>k_ea+k_eb*EXP(k_ec*C880)</f>
        <v/>
      </c>
      <c r="H880">
        <f>(k_p2_1+2*k_p2_2*C880)/k_sx</f>
        <v/>
      </c>
      <c r="I880">
        <f>(k_p3_1+C880*(2*k_p3_2+3*k_p3_3*C880))/k_sx</f>
        <v/>
      </c>
      <c r="J880">
        <f>(k_p4_1+C880*(2*k_p4_2+C880*(3*k_p4_3+4*k_p4_4*C880)))/k_sx</f>
        <v/>
      </c>
      <c r="K880">
        <f>k_eb*k_ec*EXP(k_ec*C880)/k_sx</f>
        <v/>
      </c>
      <c r="L880">
        <f>(2*k_p4_2+C880*(6*k_p4_3+12*k_p4_4*C880))/k_sx^2</f>
        <v/>
      </c>
      <c r="M880">
        <f>D880/B880</f>
        <v/>
      </c>
      <c r="N880">
        <f>E880/B880</f>
        <v/>
      </c>
      <c r="O880">
        <f>F880/B880</f>
        <v/>
      </c>
      <c r="P880">
        <f>G880/B880</f>
        <v/>
      </c>
      <c r="Q880">
        <f>CHOOSE(k_model,D880,E880,F880,G880)</f>
        <v/>
      </c>
      <c r="R880">
        <f>CHOOSE(k_model,H880,I880,J880,K880)</f>
        <v/>
      </c>
    </row>
    <row r="881">
      <c r="A881" t="n">
        <v>879</v>
      </c>
      <c r="B881">
        <f>k_lo+k_rng*A881/1000</f>
        <v/>
      </c>
      <c r="C881">
        <f>(B881-k_mx)/k_sx</f>
        <v/>
      </c>
      <c r="D881">
        <f>k_p2_0+C881*(k_p2_1+C881*k_p2_2)</f>
        <v/>
      </c>
      <c r="E881">
        <f>k_p3_0+C881*(k_p3_1+C881*(k_p3_2+C881*k_p3_3))</f>
        <v/>
      </c>
      <c r="F881">
        <f>k_p4_0+C881*(k_p4_1+C881*(k_p4_2+C881*(k_p4_3+C881*k_p4_4)))</f>
        <v/>
      </c>
      <c r="G881">
        <f>k_ea+k_eb*EXP(k_ec*C881)</f>
        <v/>
      </c>
      <c r="H881">
        <f>(k_p2_1+2*k_p2_2*C881)/k_sx</f>
        <v/>
      </c>
      <c r="I881">
        <f>(k_p3_1+C881*(2*k_p3_2+3*k_p3_3*C881))/k_sx</f>
        <v/>
      </c>
      <c r="J881">
        <f>(k_p4_1+C881*(2*k_p4_2+C881*(3*k_p4_3+4*k_p4_4*C881)))/k_sx</f>
        <v/>
      </c>
      <c r="K881">
        <f>k_eb*k_ec*EXP(k_ec*C881)/k_sx</f>
        <v/>
      </c>
      <c r="L881">
        <f>(2*k_p4_2+C881*(6*k_p4_3+12*k_p4_4*C881))/k_sx^2</f>
        <v/>
      </c>
      <c r="M881">
        <f>D881/B881</f>
        <v/>
      </c>
      <c r="N881">
        <f>E881/B881</f>
        <v/>
      </c>
      <c r="O881">
        <f>F881/B881</f>
        <v/>
      </c>
      <c r="P881">
        <f>G881/B881</f>
        <v/>
      </c>
      <c r="Q881">
        <f>CHOOSE(k_model,D881,E881,F881,G881)</f>
        <v/>
      </c>
      <c r="R881">
        <f>CHOOSE(k_model,H881,I881,J881,K881)</f>
        <v/>
      </c>
    </row>
    <row r="882">
      <c r="A882" t="n">
        <v>880</v>
      </c>
      <c r="B882">
        <f>k_lo+k_rng*A882/1000</f>
        <v/>
      </c>
      <c r="C882">
        <f>(B882-k_mx)/k_sx</f>
        <v/>
      </c>
      <c r="D882">
        <f>k_p2_0+C882*(k_p2_1+C882*k_p2_2)</f>
        <v/>
      </c>
      <c r="E882">
        <f>k_p3_0+C882*(k_p3_1+C882*(k_p3_2+C882*k_p3_3))</f>
        <v/>
      </c>
      <c r="F882">
        <f>k_p4_0+C882*(k_p4_1+C882*(k_p4_2+C882*(k_p4_3+C882*k_p4_4)))</f>
        <v/>
      </c>
      <c r="G882">
        <f>k_ea+k_eb*EXP(k_ec*C882)</f>
        <v/>
      </c>
      <c r="H882">
        <f>(k_p2_1+2*k_p2_2*C882)/k_sx</f>
        <v/>
      </c>
      <c r="I882">
        <f>(k_p3_1+C882*(2*k_p3_2+3*k_p3_3*C882))/k_sx</f>
        <v/>
      </c>
      <c r="J882">
        <f>(k_p4_1+C882*(2*k_p4_2+C882*(3*k_p4_3+4*k_p4_4*C882)))/k_sx</f>
        <v/>
      </c>
      <c r="K882">
        <f>k_eb*k_ec*EXP(k_ec*C882)/k_sx</f>
        <v/>
      </c>
      <c r="L882">
        <f>(2*k_p4_2+C882*(6*k_p4_3+12*k_p4_4*C882))/k_sx^2</f>
        <v/>
      </c>
      <c r="M882">
        <f>D882/B882</f>
        <v/>
      </c>
      <c r="N882">
        <f>E882/B882</f>
        <v/>
      </c>
      <c r="O882">
        <f>F882/B882</f>
        <v/>
      </c>
      <c r="P882">
        <f>G882/B882</f>
        <v/>
      </c>
      <c r="Q882">
        <f>CHOOSE(k_model,D882,E882,F882,G882)</f>
        <v/>
      </c>
      <c r="R882">
        <f>CHOOSE(k_model,H882,I882,J882,K882)</f>
        <v/>
      </c>
    </row>
    <row r="883">
      <c r="A883" t="n">
        <v>881</v>
      </c>
      <c r="B883">
        <f>k_lo+k_rng*A883/1000</f>
        <v/>
      </c>
      <c r="C883">
        <f>(B883-k_mx)/k_sx</f>
        <v/>
      </c>
      <c r="D883">
        <f>k_p2_0+C883*(k_p2_1+C883*k_p2_2)</f>
        <v/>
      </c>
      <c r="E883">
        <f>k_p3_0+C883*(k_p3_1+C883*(k_p3_2+C883*k_p3_3))</f>
        <v/>
      </c>
      <c r="F883">
        <f>k_p4_0+C883*(k_p4_1+C883*(k_p4_2+C883*(k_p4_3+C883*k_p4_4)))</f>
        <v/>
      </c>
      <c r="G883">
        <f>k_ea+k_eb*EXP(k_ec*C883)</f>
        <v/>
      </c>
      <c r="H883">
        <f>(k_p2_1+2*k_p2_2*C883)/k_sx</f>
        <v/>
      </c>
      <c r="I883">
        <f>(k_p3_1+C883*(2*k_p3_2+3*k_p3_3*C883))/k_sx</f>
        <v/>
      </c>
      <c r="J883">
        <f>(k_p4_1+C883*(2*k_p4_2+C883*(3*k_p4_3+4*k_p4_4*C883)))/k_sx</f>
        <v/>
      </c>
      <c r="K883">
        <f>k_eb*k_ec*EXP(k_ec*C883)/k_sx</f>
        <v/>
      </c>
      <c r="L883">
        <f>(2*k_p4_2+C883*(6*k_p4_3+12*k_p4_4*C883))/k_sx^2</f>
        <v/>
      </c>
      <c r="M883">
        <f>D883/B883</f>
        <v/>
      </c>
      <c r="N883">
        <f>E883/B883</f>
        <v/>
      </c>
      <c r="O883">
        <f>F883/B883</f>
        <v/>
      </c>
      <c r="P883">
        <f>G883/B883</f>
        <v/>
      </c>
      <c r="Q883">
        <f>CHOOSE(k_model,D883,E883,F883,G883)</f>
        <v/>
      </c>
      <c r="R883">
        <f>CHOOSE(k_model,H883,I883,J883,K883)</f>
        <v/>
      </c>
    </row>
    <row r="884">
      <c r="A884" t="n">
        <v>882</v>
      </c>
      <c r="B884">
        <f>k_lo+k_rng*A884/1000</f>
        <v/>
      </c>
      <c r="C884">
        <f>(B884-k_mx)/k_sx</f>
        <v/>
      </c>
      <c r="D884">
        <f>k_p2_0+C884*(k_p2_1+C884*k_p2_2)</f>
        <v/>
      </c>
      <c r="E884">
        <f>k_p3_0+C884*(k_p3_1+C884*(k_p3_2+C884*k_p3_3))</f>
        <v/>
      </c>
      <c r="F884">
        <f>k_p4_0+C884*(k_p4_1+C884*(k_p4_2+C884*(k_p4_3+C884*k_p4_4)))</f>
        <v/>
      </c>
      <c r="G884">
        <f>k_ea+k_eb*EXP(k_ec*C884)</f>
        <v/>
      </c>
      <c r="H884">
        <f>(k_p2_1+2*k_p2_2*C884)/k_sx</f>
        <v/>
      </c>
      <c r="I884">
        <f>(k_p3_1+C884*(2*k_p3_2+3*k_p3_3*C884))/k_sx</f>
        <v/>
      </c>
      <c r="J884">
        <f>(k_p4_1+C884*(2*k_p4_2+C884*(3*k_p4_3+4*k_p4_4*C884)))/k_sx</f>
        <v/>
      </c>
      <c r="K884">
        <f>k_eb*k_ec*EXP(k_ec*C884)/k_sx</f>
        <v/>
      </c>
      <c r="L884">
        <f>(2*k_p4_2+C884*(6*k_p4_3+12*k_p4_4*C884))/k_sx^2</f>
        <v/>
      </c>
      <c r="M884">
        <f>D884/B884</f>
        <v/>
      </c>
      <c r="N884">
        <f>E884/B884</f>
        <v/>
      </c>
      <c r="O884">
        <f>F884/B884</f>
        <v/>
      </c>
      <c r="P884">
        <f>G884/B884</f>
        <v/>
      </c>
      <c r="Q884">
        <f>CHOOSE(k_model,D884,E884,F884,G884)</f>
        <v/>
      </c>
      <c r="R884">
        <f>CHOOSE(k_model,H884,I884,J884,K884)</f>
        <v/>
      </c>
    </row>
    <row r="885">
      <c r="A885" t="n">
        <v>883</v>
      </c>
      <c r="B885">
        <f>k_lo+k_rng*A885/1000</f>
        <v/>
      </c>
      <c r="C885">
        <f>(B885-k_mx)/k_sx</f>
        <v/>
      </c>
      <c r="D885">
        <f>k_p2_0+C885*(k_p2_1+C885*k_p2_2)</f>
        <v/>
      </c>
      <c r="E885">
        <f>k_p3_0+C885*(k_p3_1+C885*(k_p3_2+C885*k_p3_3))</f>
        <v/>
      </c>
      <c r="F885">
        <f>k_p4_0+C885*(k_p4_1+C885*(k_p4_2+C885*(k_p4_3+C885*k_p4_4)))</f>
        <v/>
      </c>
      <c r="G885">
        <f>k_ea+k_eb*EXP(k_ec*C885)</f>
        <v/>
      </c>
      <c r="H885">
        <f>(k_p2_1+2*k_p2_2*C885)/k_sx</f>
        <v/>
      </c>
      <c r="I885">
        <f>(k_p3_1+C885*(2*k_p3_2+3*k_p3_3*C885))/k_sx</f>
        <v/>
      </c>
      <c r="J885">
        <f>(k_p4_1+C885*(2*k_p4_2+C885*(3*k_p4_3+4*k_p4_4*C885)))/k_sx</f>
        <v/>
      </c>
      <c r="K885">
        <f>k_eb*k_ec*EXP(k_ec*C885)/k_sx</f>
        <v/>
      </c>
      <c r="L885">
        <f>(2*k_p4_2+C885*(6*k_p4_3+12*k_p4_4*C885))/k_sx^2</f>
        <v/>
      </c>
      <c r="M885">
        <f>D885/B885</f>
        <v/>
      </c>
      <c r="N885">
        <f>E885/B885</f>
        <v/>
      </c>
      <c r="O885">
        <f>F885/B885</f>
        <v/>
      </c>
      <c r="P885">
        <f>G885/B885</f>
        <v/>
      </c>
      <c r="Q885">
        <f>CHOOSE(k_model,D885,E885,F885,G885)</f>
        <v/>
      </c>
      <c r="R885">
        <f>CHOOSE(k_model,H885,I885,J885,K885)</f>
        <v/>
      </c>
    </row>
    <row r="886">
      <c r="A886" t="n">
        <v>884</v>
      </c>
      <c r="B886">
        <f>k_lo+k_rng*A886/1000</f>
        <v/>
      </c>
      <c r="C886">
        <f>(B886-k_mx)/k_sx</f>
        <v/>
      </c>
      <c r="D886">
        <f>k_p2_0+C886*(k_p2_1+C886*k_p2_2)</f>
        <v/>
      </c>
      <c r="E886">
        <f>k_p3_0+C886*(k_p3_1+C886*(k_p3_2+C886*k_p3_3))</f>
        <v/>
      </c>
      <c r="F886">
        <f>k_p4_0+C886*(k_p4_1+C886*(k_p4_2+C886*(k_p4_3+C886*k_p4_4)))</f>
        <v/>
      </c>
      <c r="G886">
        <f>k_ea+k_eb*EXP(k_ec*C886)</f>
        <v/>
      </c>
      <c r="H886">
        <f>(k_p2_1+2*k_p2_2*C886)/k_sx</f>
        <v/>
      </c>
      <c r="I886">
        <f>(k_p3_1+C886*(2*k_p3_2+3*k_p3_3*C886))/k_sx</f>
        <v/>
      </c>
      <c r="J886">
        <f>(k_p4_1+C886*(2*k_p4_2+C886*(3*k_p4_3+4*k_p4_4*C886)))/k_sx</f>
        <v/>
      </c>
      <c r="K886">
        <f>k_eb*k_ec*EXP(k_ec*C886)/k_sx</f>
        <v/>
      </c>
      <c r="L886">
        <f>(2*k_p4_2+C886*(6*k_p4_3+12*k_p4_4*C886))/k_sx^2</f>
        <v/>
      </c>
      <c r="M886">
        <f>D886/B886</f>
        <v/>
      </c>
      <c r="N886">
        <f>E886/B886</f>
        <v/>
      </c>
      <c r="O886">
        <f>F886/B886</f>
        <v/>
      </c>
      <c r="P886">
        <f>G886/B886</f>
        <v/>
      </c>
      <c r="Q886">
        <f>CHOOSE(k_model,D886,E886,F886,G886)</f>
        <v/>
      </c>
      <c r="R886">
        <f>CHOOSE(k_model,H886,I886,J886,K886)</f>
        <v/>
      </c>
    </row>
    <row r="887">
      <c r="A887" t="n">
        <v>885</v>
      </c>
      <c r="B887">
        <f>k_lo+k_rng*A887/1000</f>
        <v/>
      </c>
      <c r="C887">
        <f>(B887-k_mx)/k_sx</f>
        <v/>
      </c>
      <c r="D887">
        <f>k_p2_0+C887*(k_p2_1+C887*k_p2_2)</f>
        <v/>
      </c>
      <c r="E887">
        <f>k_p3_0+C887*(k_p3_1+C887*(k_p3_2+C887*k_p3_3))</f>
        <v/>
      </c>
      <c r="F887">
        <f>k_p4_0+C887*(k_p4_1+C887*(k_p4_2+C887*(k_p4_3+C887*k_p4_4)))</f>
        <v/>
      </c>
      <c r="G887">
        <f>k_ea+k_eb*EXP(k_ec*C887)</f>
        <v/>
      </c>
      <c r="H887">
        <f>(k_p2_1+2*k_p2_2*C887)/k_sx</f>
        <v/>
      </c>
      <c r="I887">
        <f>(k_p3_1+C887*(2*k_p3_2+3*k_p3_3*C887))/k_sx</f>
        <v/>
      </c>
      <c r="J887">
        <f>(k_p4_1+C887*(2*k_p4_2+C887*(3*k_p4_3+4*k_p4_4*C887)))/k_sx</f>
        <v/>
      </c>
      <c r="K887">
        <f>k_eb*k_ec*EXP(k_ec*C887)/k_sx</f>
        <v/>
      </c>
      <c r="L887">
        <f>(2*k_p4_2+C887*(6*k_p4_3+12*k_p4_4*C887))/k_sx^2</f>
        <v/>
      </c>
      <c r="M887">
        <f>D887/B887</f>
        <v/>
      </c>
      <c r="N887">
        <f>E887/B887</f>
        <v/>
      </c>
      <c r="O887">
        <f>F887/B887</f>
        <v/>
      </c>
      <c r="P887">
        <f>G887/B887</f>
        <v/>
      </c>
      <c r="Q887">
        <f>CHOOSE(k_model,D887,E887,F887,G887)</f>
        <v/>
      </c>
      <c r="R887">
        <f>CHOOSE(k_model,H887,I887,J887,K887)</f>
        <v/>
      </c>
    </row>
    <row r="888">
      <c r="A888" t="n">
        <v>886</v>
      </c>
      <c r="B888">
        <f>k_lo+k_rng*A888/1000</f>
        <v/>
      </c>
      <c r="C888">
        <f>(B888-k_mx)/k_sx</f>
        <v/>
      </c>
      <c r="D888">
        <f>k_p2_0+C888*(k_p2_1+C888*k_p2_2)</f>
        <v/>
      </c>
      <c r="E888">
        <f>k_p3_0+C888*(k_p3_1+C888*(k_p3_2+C888*k_p3_3))</f>
        <v/>
      </c>
      <c r="F888">
        <f>k_p4_0+C888*(k_p4_1+C888*(k_p4_2+C888*(k_p4_3+C888*k_p4_4)))</f>
        <v/>
      </c>
      <c r="G888">
        <f>k_ea+k_eb*EXP(k_ec*C888)</f>
        <v/>
      </c>
      <c r="H888">
        <f>(k_p2_1+2*k_p2_2*C888)/k_sx</f>
        <v/>
      </c>
      <c r="I888">
        <f>(k_p3_1+C888*(2*k_p3_2+3*k_p3_3*C888))/k_sx</f>
        <v/>
      </c>
      <c r="J888">
        <f>(k_p4_1+C888*(2*k_p4_2+C888*(3*k_p4_3+4*k_p4_4*C888)))/k_sx</f>
        <v/>
      </c>
      <c r="K888">
        <f>k_eb*k_ec*EXP(k_ec*C888)/k_sx</f>
        <v/>
      </c>
      <c r="L888">
        <f>(2*k_p4_2+C888*(6*k_p4_3+12*k_p4_4*C888))/k_sx^2</f>
        <v/>
      </c>
      <c r="M888">
        <f>D888/B888</f>
        <v/>
      </c>
      <c r="N888">
        <f>E888/B888</f>
        <v/>
      </c>
      <c r="O888">
        <f>F888/B888</f>
        <v/>
      </c>
      <c r="P888">
        <f>G888/B888</f>
        <v/>
      </c>
      <c r="Q888">
        <f>CHOOSE(k_model,D888,E888,F888,G888)</f>
        <v/>
      </c>
      <c r="R888">
        <f>CHOOSE(k_model,H888,I888,J888,K888)</f>
        <v/>
      </c>
    </row>
    <row r="889">
      <c r="A889" t="n">
        <v>887</v>
      </c>
      <c r="B889">
        <f>k_lo+k_rng*A889/1000</f>
        <v/>
      </c>
      <c r="C889">
        <f>(B889-k_mx)/k_sx</f>
        <v/>
      </c>
      <c r="D889">
        <f>k_p2_0+C889*(k_p2_1+C889*k_p2_2)</f>
        <v/>
      </c>
      <c r="E889">
        <f>k_p3_0+C889*(k_p3_1+C889*(k_p3_2+C889*k_p3_3))</f>
        <v/>
      </c>
      <c r="F889">
        <f>k_p4_0+C889*(k_p4_1+C889*(k_p4_2+C889*(k_p4_3+C889*k_p4_4)))</f>
        <v/>
      </c>
      <c r="G889">
        <f>k_ea+k_eb*EXP(k_ec*C889)</f>
        <v/>
      </c>
      <c r="H889">
        <f>(k_p2_1+2*k_p2_2*C889)/k_sx</f>
        <v/>
      </c>
      <c r="I889">
        <f>(k_p3_1+C889*(2*k_p3_2+3*k_p3_3*C889))/k_sx</f>
        <v/>
      </c>
      <c r="J889">
        <f>(k_p4_1+C889*(2*k_p4_2+C889*(3*k_p4_3+4*k_p4_4*C889)))/k_sx</f>
        <v/>
      </c>
      <c r="K889">
        <f>k_eb*k_ec*EXP(k_ec*C889)/k_sx</f>
        <v/>
      </c>
      <c r="L889">
        <f>(2*k_p4_2+C889*(6*k_p4_3+12*k_p4_4*C889))/k_sx^2</f>
        <v/>
      </c>
      <c r="M889">
        <f>D889/B889</f>
        <v/>
      </c>
      <c r="N889">
        <f>E889/B889</f>
        <v/>
      </c>
      <c r="O889">
        <f>F889/B889</f>
        <v/>
      </c>
      <c r="P889">
        <f>G889/B889</f>
        <v/>
      </c>
      <c r="Q889">
        <f>CHOOSE(k_model,D889,E889,F889,G889)</f>
        <v/>
      </c>
      <c r="R889">
        <f>CHOOSE(k_model,H889,I889,J889,K889)</f>
        <v/>
      </c>
    </row>
    <row r="890">
      <c r="A890" t="n">
        <v>888</v>
      </c>
      <c r="B890">
        <f>k_lo+k_rng*A890/1000</f>
        <v/>
      </c>
      <c r="C890">
        <f>(B890-k_mx)/k_sx</f>
        <v/>
      </c>
      <c r="D890">
        <f>k_p2_0+C890*(k_p2_1+C890*k_p2_2)</f>
        <v/>
      </c>
      <c r="E890">
        <f>k_p3_0+C890*(k_p3_1+C890*(k_p3_2+C890*k_p3_3))</f>
        <v/>
      </c>
      <c r="F890">
        <f>k_p4_0+C890*(k_p4_1+C890*(k_p4_2+C890*(k_p4_3+C890*k_p4_4)))</f>
        <v/>
      </c>
      <c r="G890">
        <f>k_ea+k_eb*EXP(k_ec*C890)</f>
        <v/>
      </c>
      <c r="H890">
        <f>(k_p2_1+2*k_p2_2*C890)/k_sx</f>
        <v/>
      </c>
      <c r="I890">
        <f>(k_p3_1+C890*(2*k_p3_2+3*k_p3_3*C890))/k_sx</f>
        <v/>
      </c>
      <c r="J890">
        <f>(k_p4_1+C890*(2*k_p4_2+C890*(3*k_p4_3+4*k_p4_4*C890)))/k_sx</f>
        <v/>
      </c>
      <c r="K890">
        <f>k_eb*k_ec*EXP(k_ec*C890)/k_sx</f>
        <v/>
      </c>
      <c r="L890">
        <f>(2*k_p4_2+C890*(6*k_p4_3+12*k_p4_4*C890))/k_sx^2</f>
        <v/>
      </c>
      <c r="M890">
        <f>D890/B890</f>
        <v/>
      </c>
      <c r="N890">
        <f>E890/B890</f>
        <v/>
      </c>
      <c r="O890">
        <f>F890/B890</f>
        <v/>
      </c>
      <c r="P890">
        <f>G890/B890</f>
        <v/>
      </c>
      <c r="Q890">
        <f>CHOOSE(k_model,D890,E890,F890,G890)</f>
        <v/>
      </c>
      <c r="R890">
        <f>CHOOSE(k_model,H890,I890,J890,K890)</f>
        <v/>
      </c>
    </row>
    <row r="891">
      <c r="A891" t="n">
        <v>889</v>
      </c>
      <c r="B891">
        <f>k_lo+k_rng*A891/1000</f>
        <v/>
      </c>
      <c r="C891">
        <f>(B891-k_mx)/k_sx</f>
        <v/>
      </c>
      <c r="D891">
        <f>k_p2_0+C891*(k_p2_1+C891*k_p2_2)</f>
        <v/>
      </c>
      <c r="E891">
        <f>k_p3_0+C891*(k_p3_1+C891*(k_p3_2+C891*k_p3_3))</f>
        <v/>
      </c>
      <c r="F891">
        <f>k_p4_0+C891*(k_p4_1+C891*(k_p4_2+C891*(k_p4_3+C891*k_p4_4)))</f>
        <v/>
      </c>
      <c r="G891">
        <f>k_ea+k_eb*EXP(k_ec*C891)</f>
        <v/>
      </c>
      <c r="H891">
        <f>(k_p2_1+2*k_p2_2*C891)/k_sx</f>
        <v/>
      </c>
      <c r="I891">
        <f>(k_p3_1+C891*(2*k_p3_2+3*k_p3_3*C891))/k_sx</f>
        <v/>
      </c>
      <c r="J891">
        <f>(k_p4_1+C891*(2*k_p4_2+C891*(3*k_p4_3+4*k_p4_4*C891)))/k_sx</f>
        <v/>
      </c>
      <c r="K891">
        <f>k_eb*k_ec*EXP(k_ec*C891)/k_sx</f>
        <v/>
      </c>
      <c r="L891">
        <f>(2*k_p4_2+C891*(6*k_p4_3+12*k_p4_4*C891))/k_sx^2</f>
        <v/>
      </c>
      <c r="M891">
        <f>D891/B891</f>
        <v/>
      </c>
      <c r="N891">
        <f>E891/B891</f>
        <v/>
      </c>
      <c r="O891">
        <f>F891/B891</f>
        <v/>
      </c>
      <c r="P891">
        <f>G891/B891</f>
        <v/>
      </c>
      <c r="Q891">
        <f>CHOOSE(k_model,D891,E891,F891,G891)</f>
        <v/>
      </c>
      <c r="R891">
        <f>CHOOSE(k_model,H891,I891,J891,K891)</f>
        <v/>
      </c>
    </row>
    <row r="892">
      <c r="A892" t="n">
        <v>890</v>
      </c>
      <c r="B892">
        <f>k_lo+k_rng*A892/1000</f>
        <v/>
      </c>
      <c r="C892">
        <f>(B892-k_mx)/k_sx</f>
        <v/>
      </c>
      <c r="D892">
        <f>k_p2_0+C892*(k_p2_1+C892*k_p2_2)</f>
        <v/>
      </c>
      <c r="E892">
        <f>k_p3_0+C892*(k_p3_1+C892*(k_p3_2+C892*k_p3_3))</f>
        <v/>
      </c>
      <c r="F892">
        <f>k_p4_0+C892*(k_p4_1+C892*(k_p4_2+C892*(k_p4_3+C892*k_p4_4)))</f>
        <v/>
      </c>
      <c r="G892">
        <f>k_ea+k_eb*EXP(k_ec*C892)</f>
        <v/>
      </c>
      <c r="H892">
        <f>(k_p2_1+2*k_p2_2*C892)/k_sx</f>
        <v/>
      </c>
      <c r="I892">
        <f>(k_p3_1+C892*(2*k_p3_2+3*k_p3_3*C892))/k_sx</f>
        <v/>
      </c>
      <c r="J892">
        <f>(k_p4_1+C892*(2*k_p4_2+C892*(3*k_p4_3+4*k_p4_4*C892)))/k_sx</f>
        <v/>
      </c>
      <c r="K892">
        <f>k_eb*k_ec*EXP(k_ec*C892)/k_sx</f>
        <v/>
      </c>
      <c r="L892">
        <f>(2*k_p4_2+C892*(6*k_p4_3+12*k_p4_4*C892))/k_sx^2</f>
        <v/>
      </c>
      <c r="M892">
        <f>D892/B892</f>
        <v/>
      </c>
      <c r="N892">
        <f>E892/B892</f>
        <v/>
      </c>
      <c r="O892">
        <f>F892/B892</f>
        <v/>
      </c>
      <c r="P892">
        <f>G892/B892</f>
        <v/>
      </c>
      <c r="Q892">
        <f>CHOOSE(k_model,D892,E892,F892,G892)</f>
        <v/>
      </c>
      <c r="R892">
        <f>CHOOSE(k_model,H892,I892,J892,K892)</f>
        <v/>
      </c>
    </row>
    <row r="893">
      <c r="A893" t="n">
        <v>891</v>
      </c>
      <c r="B893">
        <f>k_lo+k_rng*A893/1000</f>
        <v/>
      </c>
      <c r="C893">
        <f>(B893-k_mx)/k_sx</f>
        <v/>
      </c>
      <c r="D893">
        <f>k_p2_0+C893*(k_p2_1+C893*k_p2_2)</f>
        <v/>
      </c>
      <c r="E893">
        <f>k_p3_0+C893*(k_p3_1+C893*(k_p3_2+C893*k_p3_3))</f>
        <v/>
      </c>
      <c r="F893">
        <f>k_p4_0+C893*(k_p4_1+C893*(k_p4_2+C893*(k_p4_3+C893*k_p4_4)))</f>
        <v/>
      </c>
      <c r="G893">
        <f>k_ea+k_eb*EXP(k_ec*C893)</f>
        <v/>
      </c>
      <c r="H893">
        <f>(k_p2_1+2*k_p2_2*C893)/k_sx</f>
        <v/>
      </c>
      <c r="I893">
        <f>(k_p3_1+C893*(2*k_p3_2+3*k_p3_3*C893))/k_sx</f>
        <v/>
      </c>
      <c r="J893">
        <f>(k_p4_1+C893*(2*k_p4_2+C893*(3*k_p4_3+4*k_p4_4*C893)))/k_sx</f>
        <v/>
      </c>
      <c r="K893">
        <f>k_eb*k_ec*EXP(k_ec*C893)/k_sx</f>
        <v/>
      </c>
      <c r="L893">
        <f>(2*k_p4_2+C893*(6*k_p4_3+12*k_p4_4*C893))/k_sx^2</f>
        <v/>
      </c>
      <c r="M893">
        <f>D893/B893</f>
        <v/>
      </c>
      <c r="N893">
        <f>E893/B893</f>
        <v/>
      </c>
      <c r="O893">
        <f>F893/B893</f>
        <v/>
      </c>
      <c r="P893">
        <f>G893/B893</f>
        <v/>
      </c>
      <c r="Q893">
        <f>CHOOSE(k_model,D893,E893,F893,G893)</f>
        <v/>
      </c>
      <c r="R893">
        <f>CHOOSE(k_model,H893,I893,J893,K893)</f>
        <v/>
      </c>
    </row>
    <row r="894">
      <c r="A894" t="n">
        <v>892</v>
      </c>
      <c r="B894">
        <f>k_lo+k_rng*A894/1000</f>
        <v/>
      </c>
      <c r="C894">
        <f>(B894-k_mx)/k_sx</f>
        <v/>
      </c>
      <c r="D894">
        <f>k_p2_0+C894*(k_p2_1+C894*k_p2_2)</f>
        <v/>
      </c>
      <c r="E894">
        <f>k_p3_0+C894*(k_p3_1+C894*(k_p3_2+C894*k_p3_3))</f>
        <v/>
      </c>
      <c r="F894">
        <f>k_p4_0+C894*(k_p4_1+C894*(k_p4_2+C894*(k_p4_3+C894*k_p4_4)))</f>
        <v/>
      </c>
      <c r="G894">
        <f>k_ea+k_eb*EXP(k_ec*C894)</f>
        <v/>
      </c>
      <c r="H894">
        <f>(k_p2_1+2*k_p2_2*C894)/k_sx</f>
        <v/>
      </c>
      <c r="I894">
        <f>(k_p3_1+C894*(2*k_p3_2+3*k_p3_3*C894))/k_sx</f>
        <v/>
      </c>
      <c r="J894">
        <f>(k_p4_1+C894*(2*k_p4_2+C894*(3*k_p4_3+4*k_p4_4*C894)))/k_sx</f>
        <v/>
      </c>
      <c r="K894">
        <f>k_eb*k_ec*EXP(k_ec*C894)/k_sx</f>
        <v/>
      </c>
      <c r="L894">
        <f>(2*k_p4_2+C894*(6*k_p4_3+12*k_p4_4*C894))/k_sx^2</f>
        <v/>
      </c>
      <c r="M894">
        <f>D894/B894</f>
        <v/>
      </c>
      <c r="N894">
        <f>E894/B894</f>
        <v/>
      </c>
      <c r="O894">
        <f>F894/B894</f>
        <v/>
      </c>
      <c r="P894">
        <f>G894/B894</f>
        <v/>
      </c>
      <c r="Q894">
        <f>CHOOSE(k_model,D894,E894,F894,G894)</f>
        <v/>
      </c>
      <c r="R894">
        <f>CHOOSE(k_model,H894,I894,J894,K894)</f>
        <v/>
      </c>
    </row>
    <row r="895">
      <c r="A895" t="n">
        <v>893</v>
      </c>
      <c r="B895">
        <f>k_lo+k_rng*A895/1000</f>
        <v/>
      </c>
      <c r="C895">
        <f>(B895-k_mx)/k_sx</f>
        <v/>
      </c>
      <c r="D895">
        <f>k_p2_0+C895*(k_p2_1+C895*k_p2_2)</f>
        <v/>
      </c>
      <c r="E895">
        <f>k_p3_0+C895*(k_p3_1+C895*(k_p3_2+C895*k_p3_3))</f>
        <v/>
      </c>
      <c r="F895">
        <f>k_p4_0+C895*(k_p4_1+C895*(k_p4_2+C895*(k_p4_3+C895*k_p4_4)))</f>
        <v/>
      </c>
      <c r="G895">
        <f>k_ea+k_eb*EXP(k_ec*C895)</f>
        <v/>
      </c>
      <c r="H895">
        <f>(k_p2_1+2*k_p2_2*C895)/k_sx</f>
        <v/>
      </c>
      <c r="I895">
        <f>(k_p3_1+C895*(2*k_p3_2+3*k_p3_3*C895))/k_sx</f>
        <v/>
      </c>
      <c r="J895">
        <f>(k_p4_1+C895*(2*k_p4_2+C895*(3*k_p4_3+4*k_p4_4*C895)))/k_sx</f>
        <v/>
      </c>
      <c r="K895">
        <f>k_eb*k_ec*EXP(k_ec*C895)/k_sx</f>
        <v/>
      </c>
      <c r="L895">
        <f>(2*k_p4_2+C895*(6*k_p4_3+12*k_p4_4*C895))/k_sx^2</f>
        <v/>
      </c>
      <c r="M895">
        <f>D895/B895</f>
        <v/>
      </c>
      <c r="N895">
        <f>E895/B895</f>
        <v/>
      </c>
      <c r="O895">
        <f>F895/B895</f>
        <v/>
      </c>
      <c r="P895">
        <f>G895/B895</f>
        <v/>
      </c>
      <c r="Q895">
        <f>CHOOSE(k_model,D895,E895,F895,G895)</f>
        <v/>
      </c>
      <c r="R895">
        <f>CHOOSE(k_model,H895,I895,J895,K895)</f>
        <v/>
      </c>
    </row>
    <row r="896">
      <c r="A896" t="n">
        <v>894</v>
      </c>
      <c r="B896">
        <f>k_lo+k_rng*A896/1000</f>
        <v/>
      </c>
      <c r="C896">
        <f>(B896-k_mx)/k_sx</f>
        <v/>
      </c>
      <c r="D896">
        <f>k_p2_0+C896*(k_p2_1+C896*k_p2_2)</f>
        <v/>
      </c>
      <c r="E896">
        <f>k_p3_0+C896*(k_p3_1+C896*(k_p3_2+C896*k_p3_3))</f>
        <v/>
      </c>
      <c r="F896">
        <f>k_p4_0+C896*(k_p4_1+C896*(k_p4_2+C896*(k_p4_3+C896*k_p4_4)))</f>
        <v/>
      </c>
      <c r="G896">
        <f>k_ea+k_eb*EXP(k_ec*C896)</f>
        <v/>
      </c>
      <c r="H896">
        <f>(k_p2_1+2*k_p2_2*C896)/k_sx</f>
        <v/>
      </c>
      <c r="I896">
        <f>(k_p3_1+C896*(2*k_p3_2+3*k_p3_3*C896))/k_sx</f>
        <v/>
      </c>
      <c r="J896">
        <f>(k_p4_1+C896*(2*k_p4_2+C896*(3*k_p4_3+4*k_p4_4*C896)))/k_sx</f>
        <v/>
      </c>
      <c r="K896">
        <f>k_eb*k_ec*EXP(k_ec*C896)/k_sx</f>
        <v/>
      </c>
      <c r="L896">
        <f>(2*k_p4_2+C896*(6*k_p4_3+12*k_p4_4*C896))/k_sx^2</f>
        <v/>
      </c>
      <c r="M896">
        <f>D896/B896</f>
        <v/>
      </c>
      <c r="N896">
        <f>E896/B896</f>
        <v/>
      </c>
      <c r="O896">
        <f>F896/B896</f>
        <v/>
      </c>
      <c r="P896">
        <f>G896/B896</f>
        <v/>
      </c>
      <c r="Q896">
        <f>CHOOSE(k_model,D896,E896,F896,G896)</f>
        <v/>
      </c>
      <c r="R896">
        <f>CHOOSE(k_model,H896,I896,J896,K896)</f>
        <v/>
      </c>
    </row>
    <row r="897">
      <c r="A897" t="n">
        <v>895</v>
      </c>
      <c r="B897">
        <f>k_lo+k_rng*A897/1000</f>
        <v/>
      </c>
      <c r="C897">
        <f>(B897-k_mx)/k_sx</f>
        <v/>
      </c>
      <c r="D897">
        <f>k_p2_0+C897*(k_p2_1+C897*k_p2_2)</f>
        <v/>
      </c>
      <c r="E897">
        <f>k_p3_0+C897*(k_p3_1+C897*(k_p3_2+C897*k_p3_3))</f>
        <v/>
      </c>
      <c r="F897">
        <f>k_p4_0+C897*(k_p4_1+C897*(k_p4_2+C897*(k_p4_3+C897*k_p4_4)))</f>
        <v/>
      </c>
      <c r="G897">
        <f>k_ea+k_eb*EXP(k_ec*C897)</f>
        <v/>
      </c>
      <c r="H897">
        <f>(k_p2_1+2*k_p2_2*C897)/k_sx</f>
        <v/>
      </c>
      <c r="I897">
        <f>(k_p3_1+C897*(2*k_p3_2+3*k_p3_3*C897))/k_sx</f>
        <v/>
      </c>
      <c r="J897">
        <f>(k_p4_1+C897*(2*k_p4_2+C897*(3*k_p4_3+4*k_p4_4*C897)))/k_sx</f>
        <v/>
      </c>
      <c r="K897">
        <f>k_eb*k_ec*EXP(k_ec*C897)/k_sx</f>
        <v/>
      </c>
      <c r="L897">
        <f>(2*k_p4_2+C897*(6*k_p4_3+12*k_p4_4*C897))/k_sx^2</f>
        <v/>
      </c>
      <c r="M897">
        <f>D897/B897</f>
        <v/>
      </c>
      <c r="N897">
        <f>E897/B897</f>
        <v/>
      </c>
      <c r="O897">
        <f>F897/B897</f>
        <v/>
      </c>
      <c r="P897">
        <f>G897/B897</f>
        <v/>
      </c>
      <c r="Q897">
        <f>CHOOSE(k_model,D897,E897,F897,G897)</f>
        <v/>
      </c>
      <c r="R897">
        <f>CHOOSE(k_model,H897,I897,J897,K897)</f>
        <v/>
      </c>
    </row>
    <row r="898">
      <c r="A898" t="n">
        <v>896</v>
      </c>
      <c r="B898">
        <f>k_lo+k_rng*A898/1000</f>
        <v/>
      </c>
      <c r="C898">
        <f>(B898-k_mx)/k_sx</f>
        <v/>
      </c>
      <c r="D898">
        <f>k_p2_0+C898*(k_p2_1+C898*k_p2_2)</f>
        <v/>
      </c>
      <c r="E898">
        <f>k_p3_0+C898*(k_p3_1+C898*(k_p3_2+C898*k_p3_3))</f>
        <v/>
      </c>
      <c r="F898">
        <f>k_p4_0+C898*(k_p4_1+C898*(k_p4_2+C898*(k_p4_3+C898*k_p4_4)))</f>
        <v/>
      </c>
      <c r="G898">
        <f>k_ea+k_eb*EXP(k_ec*C898)</f>
        <v/>
      </c>
      <c r="H898">
        <f>(k_p2_1+2*k_p2_2*C898)/k_sx</f>
        <v/>
      </c>
      <c r="I898">
        <f>(k_p3_1+C898*(2*k_p3_2+3*k_p3_3*C898))/k_sx</f>
        <v/>
      </c>
      <c r="J898">
        <f>(k_p4_1+C898*(2*k_p4_2+C898*(3*k_p4_3+4*k_p4_4*C898)))/k_sx</f>
        <v/>
      </c>
      <c r="K898">
        <f>k_eb*k_ec*EXP(k_ec*C898)/k_sx</f>
        <v/>
      </c>
      <c r="L898">
        <f>(2*k_p4_2+C898*(6*k_p4_3+12*k_p4_4*C898))/k_sx^2</f>
        <v/>
      </c>
      <c r="M898">
        <f>D898/B898</f>
        <v/>
      </c>
      <c r="N898">
        <f>E898/B898</f>
        <v/>
      </c>
      <c r="O898">
        <f>F898/B898</f>
        <v/>
      </c>
      <c r="P898">
        <f>G898/B898</f>
        <v/>
      </c>
      <c r="Q898">
        <f>CHOOSE(k_model,D898,E898,F898,G898)</f>
        <v/>
      </c>
      <c r="R898">
        <f>CHOOSE(k_model,H898,I898,J898,K898)</f>
        <v/>
      </c>
    </row>
    <row r="899">
      <c r="A899" t="n">
        <v>897</v>
      </c>
      <c r="B899">
        <f>k_lo+k_rng*A899/1000</f>
        <v/>
      </c>
      <c r="C899">
        <f>(B899-k_mx)/k_sx</f>
        <v/>
      </c>
      <c r="D899">
        <f>k_p2_0+C899*(k_p2_1+C899*k_p2_2)</f>
        <v/>
      </c>
      <c r="E899">
        <f>k_p3_0+C899*(k_p3_1+C899*(k_p3_2+C899*k_p3_3))</f>
        <v/>
      </c>
      <c r="F899">
        <f>k_p4_0+C899*(k_p4_1+C899*(k_p4_2+C899*(k_p4_3+C899*k_p4_4)))</f>
        <v/>
      </c>
      <c r="G899">
        <f>k_ea+k_eb*EXP(k_ec*C899)</f>
        <v/>
      </c>
      <c r="H899">
        <f>(k_p2_1+2*k_p2_2*C899)/k_sx</f>
        <v/>
      </c>
      <c r="I899">
        <f>(k_p3_1+C899*(2*k_p3_2+3*k_p3_3*C899))/k_sx</f>
        <v/>
      </c>
      <c r="J899">
        <f>(k_p4_1+C899*(2*k_p4_2+C899*(3*k_p4_3+4*k_p4_4*C899)))/k_sx</f>
        <v/>
      </c>
      <c r="K899">
        <f>k_eb*k_ec*EXP(k_ec*C899)/k_sx</f>
        <v/>
      </c>
      <c r="L899">
        <f>(2*k_p4_2+C899*(6*k_p4_3+12*k_p4_4*C899))/k_sx^2</f>
        <v/>
      </c>
      <c r="M899">
        <f>D899/B899</f>
        <v/>
      </c>
      <c r="N899">
        <f>E899/B899</f>
        <v/>
      </c>
      <c r="O899">
        <f>F899/B899</f>
        <v/>
      </c>
      <c r="P899">
        <f>G899/B899</f>
        <v/>
      </c>
      <c r="Q899">
        <f>CHOOSE(k_model,D899,E899,F899,G899)</f>
        <v/>
      </c>
      <c r="R899">
        <f>CHOOSE(k_model,H899,I899,J899,K899)</f>
        <v/>
      </c>
    </row>
    <row r="900">
      <c r="A900" t="n">
        <v>898</v>
      </c>
      <c r="B900">
        <f>k_lo+k_rng*A900/1000</f>
        <v/>
      </c>
      <c r="C900">
        <f>(B900-k_mx)/k_sx</f>
        <v/>
      </c>
      <c r="D900">
        <f>k_p2_0+C900*(k_p2_1+C900*k_p2_2)</f>
        <v/>
      </c>
      <c r="E900">
        <f>k_p3_0+C900*(k_p3_1+C900*(k_p3_2+C900*k_p3_3))</f>
        <v/>
      </c>
      <c r="F900">
        <f>k_p4_0+C900*(k_p4_1+C900*(k_p4_2+C900*(k_p4_3+C900*k_p4_4)))</f>
        <v/>
      </c>
      <c r="G900">
        <f>k_ea+k_eb*EXP(k_ec*C900)</f>
        <v/>
      </c>
      <c r="H900">
        <f>(k_p2_1+2*k_p2_2*C900)/k_sx</f>
        <v/>
      </c>
      <c r="I900">
        <f>(k_p3_1+C900*(2*k_p3_2+3*k_p3_3*C900))/k_sx</f>
        <v/>
      </c>
      <c r="J900">
        <f>(k_p4_1+C900*(2*k_p4_2+C900*(3*k_p4_3+4*k_p4_4*C900)))/k_sx</f>
        <v/>
      </c>
      <c r="K900">
        <f>k_eb*k_ec*EXP(k_ec*C900)/k_sx</f>
        <v/>
      </c>
      <c r="L900">
        <f>(2*k_p4_2+C900*(6*k_p4_3+12*k_p4_4*C900))/k_sx^2</f>
        <v/>
      </c>
      <c r="M900">
        <f>D900/B900</f>
        <v/>
      </c>
      <c r="N900">
        <f>E900/B900</f>
        <v/>
      </c>
      <c r="O900">
        <f>F900/B900</f>
        <v/>
      </c>
      <c r="P900">
        <f>G900/B900</f>
        <v/>
      </c>
      <c r="Q900">
        <f>CHOOSE(k_model,D900,E900,F900,G900)</f>
        <v/>
      </c>
      <c r="R900">
        <f>CHOOSE(k_model,H900,I900,J900,K900)</f>
        <v/>
      </c>
    </row>
    <row r="901">
      <c r="A901" t="n">
        <v>899</v>
      </c>
      <c r="B901">
        <f>k_lo+k_rng*A901/1000</f>
        <v/>
      </c>
      <c r="C901">
        <f>(B901-k_mx)/k_sx</f>
        <v/>
      </c>
      <c r="D901">
        <f>k_p2_0+C901*(k_p2_1+C901*k_p2_2)</f>
        <v/>
      </c>
      <c r="E901">
        <f>k_p3_0+C901*(k_p3_1+C901*(k_p3_2+C901*k_p3_3))</f>
        <v/>
      </c>
      <c r="F901">
        <f>k_p4_0+C901*(k_p4_1+C901*(k_p4_2+C901*(k_p4_3+C901*k_p4_4)))</f>
        <v/>
      </c>
      <c r="G901">
        <f>k_ea+k_eb*EXP(k_ec*C901)</f>
        <v/>
      </c>
      <c r="H901">
        <f>(k_p2_1+2*k_p2_2*C901)/k_sx</f>
        <v/>
      </c>
      <c r="I901">
        <f>(k_p3_1+C901*(2*k_p3_2+3*k_p3_3*C901))/k_sx</f>
        <v/>
      </c>
      <c r="J901">
        <f>(k_p4_1+C901*(2*k_p4_2+C901*(3*k_p4_3+4*k_p4_4*C901)))/k_sx</f>
        <v/>
      </c>
      <c r="K901">
        <f>k_eb*k_ec*EXP(k_ec*C901)/k_sx</f>
        <v/>
      </c>
      <c r="L901">
        <f>(2*k_p4_2+C901*(6*k_p4_3+12*k_p4_4*C901))/k_sx^2</f>
        <v/>
      </c>
      <c r="M901">
        <f>D901/B901</f>
        <v/>
      </c>
      <c r="N901">
        <f>E901/B901</f>
        <v/>
      </c>
      <c r="O901">
        <f>F901/B901</f>
        <v/>
      </c>
      <c r="P901">
        <f>G901/B901</f>
        <v/>
      </c>
      <c r="Q901">
        <f>CHOOSE(k_model,D901,E901,F901,G901)</f>
        <v/>
      </c>
      <c r="R901">
        <f>CHOOSE(k_model,H901,I901,J901,K901)</f>
        <v/>
      </c>
    </row>
    <row r="902">
      <c r="A902" t="n">
        <v>900</v>
      </c>
      <c r="B902">
        <f>k_lo+k_rng*A902/1000</f>
        <v/>
      </c>
      <c r="C902">
        <f>(B902-k_mx)/k_sx</f>
        <v/>
      </c>
      <c r="D902">
        <f>k_p2_0+C902*(k_p2_1+C902*k_p2_2)</f>
        <v/>
      </c>
      <c r="E902">
        <f>k_p3_0+C902*(k_p3_1+C902*(k_p3_2+C902*k_p3_3))</f>
        <v/>
      </c>
      <c r="F902">
        <f>k_p4_0+C902*(k_p4_1+C902*(k_p4_2+C902*(k_p4_3+C902*k_p4_4)))</f>
        <v/>
      </c>
      <c r="G902">
        <f>k_ea+k_eb*EXP(k_ec*C902)</f>
        <v/>
      </c>
      <c r="H902">
        <f>(k_p2_1+2*k_p2_2*C902)/k_sx</f>
        <v/>
      </c>
      <c r="I902">
        <f>(k_p3_1+C902*(2*k_p3_2+3*k_p3_3*C902))/k_sx</f>
        <v/>
      </c>
      <c r="J902">
        <f>(k_p4_1+C902*(2*k_p4_2+C902*(3*k_p4_3+4*k_p4_4*C902)))/k_sx</f>
        <v/>
      </c>
      <c r="K902">
        <f>k_eb*k_ec*EXP(k_ec*C902)/k_sx</f>
        <v/>
      </c>
      <c r="L902">
        <f>(2*k_p4_2+C902*(6*k_p4_3+12*k_p4_4*C902))/k_sx^2</f>
        <v/>
      </c>
      <c r="M902">
        <f>D902/B902</f>
        <v/>
      </c>
      <c r="N902">
        <f>E902/B902</f>
        <v/>
      </c>
      <c r="O902">
        <f>F902/B902</f>
        <v/>
      </c>
      <c r="P902">
        <f>G902/B902</f>
        <v/>
      </c>
      <c r="Q902">
        <f>CHOOSE(k_model,D902,E902,F902,G902)</f>
        <v/>
      </c>
      <c r="R902">
        <f>CHOOSE(k_model,H902,I902,J902,K902)</f>
        <v/>
      </c>
    </row>
    <row r="903">
      <c r="A903" t="n">
        <v>901</v>
      </c>
      <c r="B903">
        <f>k_lo+k_rng*A903/1000</f>
        <v/>
      </c>
      <c r="C903">
        <f>(B903-k_mx)/k_sx</f>
        <v/>
      </c>
      <c r="D903">
        <f>k_p2_0+C903*(k_p2_1+C903*k_p2_2)</f>
        <v/>
      </c>
      <c r="E903">
        <f>k_p3_0+C903*(k_p3_1+C903*(k_p3_2+C903*k_p3_3))</f>
        <v/>
      </c>
      <c r="F903">
        <f>k_p4_0+C903*(k_p4_1+C903*(k_p4_2+C903*(k_p4_3+C903*k_p4_4)))</f>
        <v/>
      </c>
      <c r="G903">
        <f>k_ea+k_eb*EXP(k_ec*C903)</f>
        <v/>
      </c>
      <c r="H903">
        <f>(k_p2_1+2*k_p2_2*C903)/k_sx</f>
        <v/>
      </c>
      <c r="I903">
        <f>(k_p3_1+C903*(2*k_p3_2+3*k_p3_3*C903))/k_sx</f>
        <v/>
      </c>
      <c r="J903">
        <f>(k_p4_1+C903*(2*k_p4_2+C903*(3*k_p4_3+4*k_p4_4*C903)))/k_sx</f>
        <v/>
      </c>
      <c r="K903">
        <f>k_eb*k_ec*EXP(k_ec*C903)/k_sx</f>
        <v/>
      </c>
      <c r="L903">
        <f>(2*k_p4_2+C903*(6*k_p4_3+12*k_p4_4*C903))/k_sx^2</f>
        <v/>
      </c>
      <c r="M903">
        <f>D903/B903</f>
        <v/>
      </c>
      <c r="N903">
        <f>E903/B903</f>
        <v/>
      </c>
      <c r="O903">
        <f>F903/B903</f>
        <v/>
      </c>
      <c r="P903">
        <f>G903/B903</f>
        <v/>
      </c>
      <c r="Q903">
        <f>CHOOSE(k_model,D903,E903,F903,G903)</f>
        <v/>
      </c>
      <c r="R903">
        <f>CHOOSE(k_model,H903,I903,J903,K903)</f>
        <v/>
      </c>
    </row>
    <row r="904">
      <c r="A904" t="n">
        <v>902</v>
      </c>
      <c r="B904">
        <f>k_lo+k_rng*A904/1000</f>
        <v/>
      </c>
      <c r="C904">
        <f>(B904-k_mx)/k_sx</f>
        <v/>
      </c>
      <c r="D904">
        <f>k_p2_0+C904*(k_p2_1+C904*k_p2_2)</f>
        <v/>
      </c>
      <c r="E904">
        <f>k_p3_0+C904*(k_p3_1+C904*(k_p3_2+C904*k_p3_3))</f>
        <v/>
      </c>
      <c r="F904">
        <f>k_p4_0+C904*(k_p4_1+C904*(k_p4_2+C904*(k_p4_3+C904*k_p4_4)))</f>
        <v/>
      </c>
      <c r="G904">
        <f>k_ea+k_eb*EXP(k_ec*C904)</f>
        <v/>
      </c>
      <c r="H904">
        <f>(k_p2_1+2*k_p2_2*C904)/k_sx</f>
        <v/>
      </c>
      <c r="I904">
        <f>(k_p3_1+C904*(2*k_p3_2+3*k_p3_3*C904))/k_sx</f>
        <v/>
      </c>
      <c r="J904">
        <f>(k_p4_1+C904*(2*k_p4_2+C904*(3*k_p4_3+4*k_p4_4*C904)))/k_sx</f>
        <v/>
      </c>
      <c r="K904">
        <f>k_eb*k_ec*EXP(k_ec*C904)/k_sx</f>
        <v/>
      </c>
      <c r="L904">
        <f>(2*k_p4_2+C904*(6*k_p4_3+12*k_p4_4*C904))/k_sx^2</f>
        <v/>
      </c>
      <c r="M904">
        <f>D904/B904</f>
        <v/>
      </c>
      <c r="N904">
        <f>E904/B904</f>
        <v/>
      </c>
      <c r="O904">
        <f>F904/B904</f>
        <v/>
      </c>
      <c r="P904">
        <f>G904/B904</f>
        <v/>
      </c>
      <c r="Q904">
        <f>CHOOSE(k_model,D904,E904,F904,G904)</f>
        <v/>
      </c>
      <c r="R904">
        <f>CHOOSE(k_model,H904,I904,J904,K904)</f>
        <v/>
      </c>
    </row>
    <row r="905">
      <c r="A905" t="n">
        <v>903</v>
      </c>
      <c r="B905">
        <f>k_lo+k_rng*A905/1000</f>
        <v/>
      </c>
      <c r="C905">
        <f>(B905-k_mx)/k_sx</f>
        <v/>
      </c>
      <c r="D905">
        <f>k_p2_0+C905*(k_p2_1+C905*k_p2_2)</f>
        <v/>
      </c>
      <c r="E905">
        <f>k_p3_0+C905*(k_p3_1+C905*(k_p3_2+C905*k_p3_3))</f>
        <v/>
      </c>
      <c r="F905">
        <f>k_p4_0+C905*(k_p4_1+C905*(k_p4_2+C905*(k_p4_3+C905*k_p4_4)))</f>
        <v/>
      </c>
      <c r="G905">
        <f>k_ea+k_eb*EXP(k_ec*C905)</f>
        <v/>
      </c>
      <c r="H905">
        <f>(k_p2_1+2*k_p2_2*C905)/k_sx</f>
        <v/>
      </c>
      <c r="I905">
        <f>(k_p3_1+C905*(2*k_p3_2+3*k_p3_3*C905))/k_sx</f>
        <v/>
      </c>
      <c r="J905">
        <f>(k_p4_1+C905*(2*k_p4_2+C905*(3*k_p4_3+4*k_p4_4*C905)))/k_sx</f>
        <v/>
      </c>
      <c r="K905">
        <f>k_eb*k_ec*EXP(k_ec*C905)/k_sx</f>
        <v/>
      </c>
      <c r="L905">
        <f>(2*k_p4_2+C905*(6*k_p4_3+12*k_p4_4*C905))/k_sx^2</f>
        <v/>
      </c>
      <c r="M905">
        <f>D905/B905</f>
        <v/>
      </c>
      <c r="N905">
        <f>E905/B905</f>
        <v/>
      </c>
      <c r="O905">
        <f>F905/B905</f>
        <v/>
      </c>
      <c r="P905">
        <f>G905/B905</f>
        <v/>
      </c>
      <c r="Q905">
        <f>CHOOSE(k_model,D905,E905,F905,G905)</f>
        <v/>
      </c>
      <c r="R905">
        <f>CHOOSE(k_model,H905,I905,J905,K905)</f>
        <v/>
      </c>
    </row>
    <row r="906">
      <c r="A906" t="n">
        <v>904</v>
      </c>
      <c r="B906">
        <f>k_lo+k_rng*A906/1000</f>
        <v/>
      </c>
      <c r="C906">
        <f>(B906-k_mx)/k_sx</f>
        <v/>
      </c>
      <c r="D906">
        <f>k_p2_0+C906*(k_p2_1+C906*k_p2_2)</f>
        <v/>
      </c>
      <c r="E906">
        <f>k_p3_0+C906*(k_p3_1+C906*(k_p3_2+C906*k_p3_3))</f>
        <v/>
      </c>
      <c r="F906">
        <f>k_p4_0+C906*(k_p4_1+C906*(k_p4_2+C906*(k_p4_3+C906*k_p4_4)))</f>
        <v/>
      </c>
      <c r="G906">
        <f>k_ea+k_eb*EXP(k_ec*C906)</f>
        <v/>
      </c>
      <c r="H906">
        <f>(k_p2_1+2*k_p2_2*C906)/k_sx</f>
        <v/>
      </c>
      <c r="I906">
        <f>(k_p3_1+C906*(2*k_p3_2+3*k_p3_3*C906))/k_sx</f>
        <v/>
      </c>
      <c r="J906">
        <f>(k_p4_1+C906*(2*k_p4_2+C906*(3*k_p4_3+4*k_p4_4*C906)))/k_sx</f>
        <v/>
      </c>
      <c r="K906">
        <f>k_eb*k_ec*EXP(k_ec*C906)/k_sx</f>
        <v/>
      </c>
      <c r="L906">
        <f>(2*k_p4_2+C906*(6*k_p4_3+12*k_p4_4*C906))/k_sx^2</f>
        <v/>
      </c>
      <c r="M906">
        <f>D906/B906</f>
        <v/>
      </c>
      <c r="N906">
        <f>E906/B906</f>
        <v/>
      </c>
      <c r="O906">
        <f>F906/B906</f>
        <v/>
      </c>
      <c r="P906">
        <f>G906/B906</f>
        <v/>
      </c>
      <c r="Q906">
        <f>CHOOSE(k_model,D906,E906,F906,G906)</f>
        <v/>
      </c>
      <c r="R906">
        <f>CHOOSE(k_model,H906,I906,J906,K906)</f>
        <v/>
      </c>
    </row>
    <row r="907">
      <c r="A907" t="n">
        <v>905</v>
      </c>
      <c r="B907">
        <f>k_lo+k_rng*A907/1000</f>
        <v/>
      </c>
      <c r="C907">
        <f>(B907-k_mx)/k_sx</f>
        <v/>
      </c>
      <c r="D907">
        <f>k_p2_0+C907*(k_p2_1+C907*k_p2_2)</f>
        <v/>
      </c>
      <c r="E907">
        <f>k_p3_0+C907*(k_p3_1+C907*(k_p3_2+C907*k_p3_3))</f>
        <v/>
      </c>
      <c r="F907">
        <f>k_p4_0+C907*(k_p4_1+C907*(k_p4_2+C907*(k_p4_3+C907*k_p4_4)))</f>
        <v/>
      </c>
      <c r="G907">
        <f>k_ea+k_eb*EXP(k_ec*C907)</f>
        <v/>
      </c>
      <c r="H907">
        <f>(k_p2_1+2*k_p2_2*C907)/k_sx</f>
        <v/>
      </c>
      <c r="I907">
        <f>(k_p3_1+C907*(2*k_p3_2+3*k_p3_3*C907))/k_sx</f>
        <v/>
      </c>
      <c r="J907">
        <f>(k_p4_1+C907*(2*k_p4_2+C907*(3*k_p4_3+4*k_p4_4*C907)))/k_sx</f>
        <v/>
      </c>
      <c r="K907">
        <f>k_eb*k_ec*EXP(k_ec*C907)/k_sx</f>
        <v/>
      </c>
      <c r="L907">
        <f>(2*k_p4_2+C907*(6*k_p4_3+12*k_p4_4*C907))/k_sx^2</f>
        <v/>
      </c>
      <c r="M907">
        <f>D907/B907</f>
        <v/>
      </c>
      <c r="N907">
        <f>E907/B907</f>
        <v/>
      </c>
      <c r="O907">
        <f>F907/B907</f>
        <v/>
      </c>
      <c r="P907">
        <f>G907/B907</f>
        <v/>
      </c>
      <c r="Q907">
        <f>CHOOSE(k_model,D907,E907,F907,G907)</f>
        <v/>
      </c>
      <c r="R907">
        <f>CHOOSE(k_model,H907,I907,J907,K907)</f>
        <v/>
      </c>
    </row>
    <row r="908">
      <c r="A908" t="n">
        <v>906</v>
      </c>
      <c r="B908">
        <f>k_lo+k_rng*A908/1000</f>
        <v/>
      </c>
      <c r="C908">
        <f>(B908-k_mx)/k_sx</f>
        <v/>
      </c>
      <c r="D908">
        <f>k_p2_0+C908*(k_p2_1+C908*k_p2_2)</f>
        <v/>
      </c>
      <c r="E908">
        <f>k_p3_0+C908*(k_p3_1+C908*(k_p3_2+C908*k_p3_3))</f>
        <v/>
      </c>
      <c r="F908">
        <f>k_p4_0+C908*(k_p4_1+C908*(k_p4_2+C908*(k_p4_3+C908*k_p4_4)))</f>
        <v/>
      </c>
      <c r="G908">
        <f>k_ea+k_eb*EXP(k_ec*C908)</f>
        <v/>
      </c>
      <c r="H908">
        <f>(k_p2_1+2*k_p2_2*C908)/k_sx</f>
        <v/>
      </c>
      <c r="I908">
        <f>(k_p3_1+C908*(2*k_p3_2+3*k_p3_3*C908))/k_sx</f>
        <v/>
      </c>
      <c r="J908">
        <f>(k_p4_1+C908*(2*k_p4_2+C908*(3*k_p4_3+4*k_p4_4*C908)))/k_sx</f>
        <v/>
      </c>
      <c r="K908">
        <f>k_eb*k_ec*EXP(k_ec*C908)/k_sx</f>
        <v/>
      </c>
      <c r="L908">
        <f>(2*k_p4_2+C908*(6*k_p4_3+12*k_p4_4*C908))/k_sx^2</f>
        <v/>
      </c>
      <c r="M908">
        <f>D908/B908</f>
        <v/>
      </c>
      <c r="N908">
        <f>E908/B908</f>
        <v/>
      </c>
      <c r="O908">
        <f>F908/B908</f>
        <v/>
      </c>
      <c r="P908">
        <f>G908/B908</f>
        <v/>
      </c>
      <c r="Q908">
        <f>CHOOSE(k_model,D908,E908,F908,G908)</f>
        <v/>
      </c>
      <c r="R908">
        <f>CHOOSE(k_model,H908,I908,J908,K908)</f>
        <v/>
      </c>
    </row>
    <row r="909">
      <c r="A909" t="n">
        <v>907</v>
      </c>
      <c r="B909">
        <f>k_lo+k_rng*A909/1000</f>
        <v/>
      </c>
      <c r="C909">
        <f>(B909-k_mx)/k_sx</f>
        <v/>
      </c>
      <c r="D909">
        <f>k_p2_0+C909*(k_p2_1+C909*k_p2_2)</f>
        <v/>
      </c>
      <c r="E909">
        <f>k_p3_0+C909*(k_p3_1+C909*(k_p3_2+C909*k_p3_3))</f>
        <v/>
      </c>
      <c r="F909">
        <f>k_p4_0+C909*(k_p4_1+C909*(k_p4_2+C909*(k_p4_3+C909*k_p4_4)))</f>
        <v/>
      </c>
      <c r="G909">
        <f>k_ea+k_eb*EXP(k_ec*C909)</f>
        <v/>
      </c>
      <c r="H909">
        <f>(k_p2_1+2*k_p2_2*C909)/k_sx</f>
        <v/>
      </c>
      <c r="I909">
        <f>(k_p3_1+C909*(2*k_p3_2+3*k_p3_3*C909))/k_sx</f>
        <v/>
      </c>
      <c r="J909">
        <f>(k_p4_1+C909*(2*k_p4_2+C909*(3*k_p4_3+4*k_p4_4*C909)))/k_sx</f>
        <v/>
      </c>
      <c r="K909">
        <f>k_eb*k_ec*EXP(k_ec*C909)/k_sx</f>
        <v/>
      </c>
      <c r="L909">
        <f>(2*k_p4_2+C909*(6*k_p4_3+12*k_p4_4*C909))/k_sx^2</f>
        <v/>
      </c>
      <c r="M909">
        <f>D909/B909</f>
        <v/>
      </c>
      <c r="N909">
        <f>E909/B909</f>
        <v/>
      </c>
      <c r="O909">
        <f>F909/B909</f>
        <v/>
      </c>
      <c r="P909">
        <f>G909/B909</f>
        <v/>
      </c>
      <c r="Q909">
        <f>CHOOSE(k_model,D909,E909,F909,G909)</f>
        <v/>
      </c>
      <c r="R909">
        <f>CHOOSE(k_model,H909,I909,J909,K909)</f>
        <v/>
      </c>
    </row>
    <row r="910">
      <c r="A910" t="n">
        <v>908</v>
      </c>
      <c r="B910">
        <f>k_lo+k_rng*A910/1000</f>
        <v/>
      </c>
      <c r="C910">
        <f>(B910-k_mx)/k_sx</f>
        <v/>
      </c>
      <c r="D910">
        <f>k_p2_0+C910*(k_p2_1+C910*k_p2_2)</f>
        <v/>
      </c>
      <c r="E910">
        <f>k_p3_0+C910*(k_p3_1+C910*(k_p3_2+C910*k_p3_3))</f>
        <v/>
      </c>
      <c r="F910">
        <f>k_p4_0+C910*(k_p4_1+C910*(k_p4_2+C910*(k_p4_3+C910*k_p4_4)))</f>
        <v/>
      </c>
      <c r="G910">
        <f>k_ea+k_eb*EXP(k_ec*C910)</f>
        <v/>
      </c>
      <c r="H910">
        <f>(k_p2_1+2*k_p2_2*C910)/k_sx</f>
        <v/>
      </c>
      <c r="I910">
        <f>(k_p3_1+C910*(2*k_p3_2+3*k_p3_3*C910))/k_sx</f>
        <v/>
      </c>
      <c r="J910">
        <f>(k_p4_1+C910*(2*k_p4_2+C910*(3*k_p4_3+4*k_p4_4*C910)))/k_sx</f>
        <v/>
      </c>
      <c r="K910">
        <f>k_eb*k_ec*EXP(k_ec*C910)/k_sx</f>
        <v/>
      </c>
      <c r="L910">
        <f>(2*k_p4_2+C910*(6*k_p4_3+12*k_p4_4*C910))/k_sx^2</f>
        <v/>
      </c>
      <c r="M910">
        <f>D910/B910</f>
        <v/>
      </c>
      <c r="N910">
        <f>E910/B910</f>
        <v/>
      </c>
      <c r="O910">
        <f>F910/B910</f>
        <v/>
      </c>
      <c r="P910">
        <f>G910/B910</f>
        <v/>
      </c>
      <c r="Q910">
        <f>CHOOSE(k_model,D910,E910,F910,G910)</f>
        <v/>
      </c>
      <c r="R910">
        <f>CHOOSE(k_model,H910,I910,J910,K910)</f>
        <v/>
      </c>
    </row>
    <row r="911">
      <c r="A911" t="n">
        <v>909</v>
      </c>
      <c r="B911">
        <f>k_lo+k_rng*A911/1000</f>
        <v/>
      </c>
      <c r="C911">
        <f>(B911-k_mx)/k_sx</f>
        <v/>
      </c>
      <c r="D911">
        <f>k_p2_0+C911*(k_p2_1+C911*k_p2_2)</f>
        <v/>
      </c>
      <c r="E911">
        <f>k_p3_0+C911*(k_p3_1+C911*(k_p3_2+C911*k_p3_3))</f>
        <v/>
      </c>
      <c r="F911">
        <f>k_p4_0+C911*(k_p4_1+C911*(k_p4_2+C911*(k_p4_3+C911*k_p4_4)))</f>
        <v/>
      </c>
      <c r="G911">
        <f>k_ea+k_eb*EXP(k_ec*C911)</f>
        <v/>
      </c>
      <c r="H911">
        <f>(k_p2_1+2*k_p2_2*C911)/k_sx</f>
        <v/>
      </c>
      <c r="I911">
        <f>(k_p3_1+C911*(2*k_p3_2+3*k_p3_3*C911))/k_sx</f>
        <v/>
      </c>
      <c r="J911">
        <f>(k_p4_1+C911*(2*k_p4_2+C911*(3*k_p4_3+4*k_p4_4*C911)))/k_sx</f>
        <v/>
      </c>
      <c r="K911">
        <f>k_eb*k_ec*EXP(k_ec*C911)/k_sx</f>
        <v/>
      </c>
      <c r="L911">
        <f>(2*k_p4_2+C911*(6*k_p4_3+12*k_p4_4*C911))/k_sx^2</f>
        <v/>
      </c>
      <c r="M911">
        <f>D911/B911</f>
        <v/>
      </c>
      <c r="N911">
        <f>E911/B911</f>
        <v/>
      </c>
      <c r="O911">
        <f>F911/B911</f>
        <v/>
      </c>
      <c r="P911">
        <f>G911/B911</f>
        <v/>
      </c>
      <c r="Q911">
        <f>CHOOSE(k_model,D911,E911,F911,G911)</f>
        <v/>
      </c>
      <c r="R911">
        <f>CHOOSE(k_model,H911,I911,J911,K911)</f>
        <v/>
      </c>
    </row>
    <row r="912">
      <c r="A912" t="n">
        <v>910</v>
      </c>
      <c r="B912">
        <f>k_lo+k_rng*A912/1000</f>
        <v/>
      </c>
      <c r="C912">
        <f>(B912-k_mx)/k_sx</f>
        <v/>
      </c>
      <c r="D912">
        <f>k_p2_0+C912*(k_p2_1+C912*k_p2_2)</f>
        <v/>
      </c>
      <c r="E912">
        <f>k_p3_0+C912*(k_p3_1+C912*(k_p3_2+C912*k_p3_3))</f>
        <v/>
      </c>
      <c r="F912">
        <f>k_p4_0+C912*(k_p4_1+C912*(k_p4_2+C912*(k_p4_3+C912*k_p4_4)))</f>
        <v/>
      </c>
      <c r="G912">
        <f>k_ea+k_eb*EXP(k_ec*C912)</f>
        <v/>
      </c>
      <c r="H912">
        <f>(k_p2_1+2*k_p2_2*C912)/k_sx</f>
        <v/>
      </c>
      <c r="I912">
        <f>(k_p3_1+C912*(2*k_p3_2+3*k_p3_3*C912))/k_sx</f>
        <v/>
      </c>
      <c r="J912">
        <f>(k_p4_1+C912*(2*k_p4_2+C912*(3*k_p4_3+4*k_p4_4*C912)))/k_sx</f>
        <v/>
      </c>
      <c r="K912">
        <f>k_eb*k_ec*EXP(k_ec*C912)/k_sx</f>
        <v/>
      </c>
      <c r="L912">
        <f>(2*k_p4_2+C912*(6*k_p4_3+12*k_p4_4*C912))/k_sx^2</f>
        <v/>
      </c>
      <c r="M912">
        <f>D912/B912</f>
        <v/>
      </c>
      <c r="N912">
        <f>E912/B912</f>
        <v/>
      </c>
      <c r="O912">
        <f>F912/B912</f>
        <v/>
      </c>
      <c r="P912">
        <f>G912/B912</f>
        <v/>
      </c>
      <c r="Q912">
        <f>CHOOSE(k_model,D912,E912,F912,G912)</f>
        <v/>
      </c>
      <c r="R912">
        <f>CHOOSE(k_model,H912,I912,J912,K912)</f>
        <v/>
      </c>
    </row>
    <row r="913">
      <c r="A913" t="n">
        <v>911</v>
      </c>
      <c r="B913">
        <f>k_lo+k_rng*A913/1000</f>
        <v/>
      </c>
      <c r="C913">
        <f>(B913-k_mx)/k_sx</f>
        <v/>
      </c>
      <c r="D913">
        <f>k_p2_0+C913*(k_p2_1+C913*k_p2_2)</f>
        <v/>
      </c>
      <c r="E913">
        <f>k_p3_0+C913*(k_p3_1+C913*(k_p3_2+C913*k_p3_3))</f>
        <v/>
      </c>
      <c r="F913">
        <f>k_p4_0+C913*(k_p4_1+C913*(k_p4_2+C913*(k_p4_3+C913*k_p4_4)))</f>
        <v/>
      </c>
      <c r="G913">
        <f>k_ea+k_eb*EXP(k_ec*C913)</f>
        <v/>
      </c>
      <c r="H913">
        <f>(k_p2_1+2*k_p2_2*C913)/k_sx</f>
        <v/>
      </c>
      <c r="I913">
        <f>(k_p3_1+C913*(2*k_p3_2+3*k_p3_3*C913))/k_sx</f>
        <v/>
      </c>
      <c r="J913">
        <f>(k_p4_1+C913*(2*k_p4_2+C913*(3*k_p4_3+4*k_p4_4*C913)))/k_sx</f>
        <v/>
      </c>
      <c r="K913">
        <f>k_eb*k_ec*EXP(k_ec*C913)/k_sx</f>
        <v/>
      </c>
      <c r="L913">
        <f>(2*k_p4_2+C913*(6*k_p4_3+12*k_p4_4*C913))/k_sx^2</f>
        <v/>
      </c>
      <c r="M913">
        <f>D913/B913</f>
        <v/>
      </c>
      <c r="N913">
        <f>E913/B913</f>
        <v/>
      </c>
      <c r="O913">
        <f>F913/B913</f>
        <v/>
      </c>
      <c r="P913">
        <f>G913/B913</f>
        <v/>
      </c>
      <c r="Q913">
        <f>CHOOSE(k_model,D913,E913,F913,G913)</f>
        <v/>
      </c>
      <c r="R913">
        <f>CHOOSE(k_model,H913,I913,J913,K913)</f>
        <v/>
      </c>
    </row>
    <row r="914">
      <c r="A914" t="n">
        <v>912</v>
      </c>
      <c r="B914">
        <f>k_lo+k_rng*A914/1000</f>
        <v/>
      </c>
      <c r="C914">
        <f>(B914-k_mx)/k_sx</f>
        <v/>
      </c>
      <c r="D914">
        <f>k_p2_0+C914*(k_p2_1+C914*k_p2_2)</f>
        <v/>
      </c>
      <c r="E914">
        <f>k_p3_0+C914*(k_p3_1+C914*(k_p3_2+C914*k_p3_3))</f>
        <v/>
      </c>
      <c r="F914">
        <f>k_p4_0+C914*(k_p4_1+C914*(k_p4_2+C914*(k_p4_3+C914*k_p4_4)))</f>
        <v/>
      </c>
      <c r="G914">
        <f>k_ea+k_eb*EXP(k_ec*C914)</f>
        <v/>
      </c>
      <c r="H914">
        <f>(k_p2_1+2*k_p2_2*C914)/k_sx</f>
        <v/>
      </c>
      <c r="I914">
        <f>(k_p3_1+C914*(2*k_p3_2+3*k_p3_3*C914))/k_sx</f>
        <v/>
      </c>
      <c r="J914">
        <f>(k_p4_1+C914*(2*k_p4_2+C914*(3*k_p4_3+4*k_p4_4*C914)))/k_sx</f>
        <v/>
      </c>
      <c r="K914">
        <f>k_eb*k_ec*EXP(k_ec*C914)/k_sx</f>
        <v/>
      </c>
      <c r="L914">
        <f>(2*k_p4_2+C914*(6*k_p4_3+12*k_p4_4*C914))/k_sx^2</f>
        <v/>
      </c>
      <c r="M914">
        <f>D914/B914</f>
        <v/>
      </c>
      <c r="N914">
        <f>E914/B914</f>
        <v/>
      </c>
      <c r="O914">
        <f>F914/B914</f>
        <v/>
      </c>
      <c r="P914">
        <f>G914/B914</f>
        <v/>
      </c>
      <c r="Q914">
        <f>CHOOSE(k_model,D914,E914,F914,G914)</f>
        <v/>
      </c>
      <c r="R914">
        <f>CHOOSE(k_model,H914,I914,J914,K914)</f>
        <v/>
      </c>
    </row>
    <row r="915">
      <c r="A915" t="n">
        <v>913</v>
      </c>
      <c r="B915">
        <f>k_lo+k_rng*A915/1000</f>
        <v/>
      </c>
      <c r="C915">
        <f>(B915-k_mx)/k_sx</f>
        <v/>
      </c>
      <c r="D915">
        <f>k_p2_0+C915*(k_p2_1+C915*k_p2_2)</f>
        <v/>
      </c>
      <c r="E915">
        <f>k_p3_0+C915*(k_p3_1+C915*(k_p3_2+C915*k_p3_3))</f>
        <v/>
      </c>
      <c r="F915">
        <f>k_p4_0+C915*(k_p4_1+C915*(k_p4_2+C915*(k_p4_3+C915*k_p4_4)))</f>
        <v/>
      </c>
      <c r="G915">
        <f>k_ea+k_eb*EXP(k_ec*C915)</f>
        <v/>
      </c>
      <c r="H915">
        <f>(k_p2_1+2*k_p2_2*C915)/k_sx</f>
        <v/>
      </c>
      <c r="I915">
        <f>(k_p3_1+C915*(2*k_p3_2+3*k_p3_3*C915))/k_sx</f>
        <v/>
      </c>
      <c r="J915">
        <f>(k_p4_1+C915*(2*k_p4_2+C915*(3*k_p4_3+4*k_p4_4*C915)))/k_sx</f>
        <v/>
      </c>
      <c r="K915">
        <f>k_eb*k_ec*EXP(k_ec*C915)/k_sx</f>
        <v/>
      </c>
      <c r="L915">
        <f>(2*k_p4_2+C915*(6*k_p4_3+12*k_p4_4*C915))/k_sx^2</f>
        <v/>
      </c>
      <c r="M915">
        <f>D915/B915</f>
        <v/>
      </c>
      <c r="N915">
        <f>E915/B915</f>
        <v/>
      </c>
      <c r="O915">
        <f>F915/B915</f>
        <v/>
      </c>
      <c r="P915">
        <f>G915/B915</f>
        <v/>
      </c>
      <c r="Q915">
        <f>CHOOSE(k_model,D915,E915,F915,G915)</f>
        <v/>
      </c>
      <c r="R915">
        <f>CHOOSE(k_model,H915,I915,J915,K915)</f>
        <v/>
      </c>
    </row>
    <row r="916">
      <c r="A916" t="n">
        <v>914</v>
      </c>
      <c r="B916">
        <f>k_lo+k_rng*A916/1000</f>
        <v/>
      </c>
      <c r="C916">
        <f>(B916-k_mx)/k_sx</f>
        <v/>
      </c>
      <c r="D916">
        <f>k_p2_0+C916*(k_p2_1+C916*k_p2_2)</f>
        <v/>
      </c>
      <c r="E916">
        <f>k_p3_0+C916*(k_p3_1+C916*(k_p3_2+C916*k_p3_3))</f>
        <v/>
      </c>
      <c r="F916">
        <f>k_p4_0+C916*(k_p4_1+C916*(k_p4_2+C916*(k_p4_3+C916*k_p4_4)))</f>
        <v/>
      </c>
      <c r="G916">
        <f>k_ea+k_eb*EXP(k_ec*C916)</f>
        <v/>
      </c>
      <c r="H916">
        <f>(k_p2_1+2*k_p2_2*C916)/k_sx</f>
        <v/>
      </c>
      <c r="I916">
        <f>(k_p3_1+C916*(2*k_p3_2+3*k_p3_3*C916))/k_sx</f>
        <v/>
      </c>
      <c r="J916">
        <f>(k_p4_1+C916*(2*k_p4_2+C916*(3*k_p4_3+4*k_p4_4*C916)))/k_sx</f>
        <v/>
      </c>
      <c r="K916">
        <f>k_eb*k_ec*EXP(k_ec*C916)/k_sx</f>
        <v/>
      </c>
      <c r="L916">
        <f>(2*k_p4_2+C916*(6*k_p4_3+12*k_p4_4*C916))/k_sx^2</f>
        <v/>
      </c>
      <c r="M916">
        <f>D916/B916</f>
        <v/>
      </c>
      <c r="N916">
        <f>E916/B916</f>
        <v/>
      </c>
      <c r="O916">
        <f>F916/B916</f>
        <v/>
      </c>
      <c r="P916">
        <f>G916/B916</f>
        <v/>
      </c>
      <c r="Q916">
        <f>CHOOSE(k_model,D916,E916,F916,G916)</f>
        <v/>
      </c>
      <c r="R916">
        <f>CHOOSE(k_model,H916,I916,J916,K916)</f>
        <v/>
      </c>
    </row>
    <row r="917">
      <c r="A917" t="n">
        <v>915</v>
      </c>
      <c r="B917">
        <f>k_lo+k_rng*A917/1000</f>
        <v/>
      </c>
      <c r="C917">
        <f>(B917-k_mx)/k_sx</f>
        <v/>
      </c>
      <c r="D917">
        <f>k_p2_0+C917*(k_p2_1+C917*k_p2_2)</f>
        <v/>
      </c>
      <c r="E917">
        <f>k_p3_0+C917*(k_p3_1+C917*(k_p3_2+C917*k_p3_3))</f>
        <v/>
      </c>
      <c r="F917">
        <f>k_p4_0+C917*(k_p4_1+C917*(k_p4_2+C917*(k_p4_3+C917*k_p4_4)))</f>
        <v/>
      </c>
      <c r="G917">
        <f>k_ea+k_eb*EXP(k_ec*C917)</f>
        <v/>
      </c>
      <c r="H917">
        <f>(k_p2_1+2*k_p2_2*C917)/k_sx</f>
        <v/>
      </c>
      <c r="I917">
        <f>(k_p3_1+C917*(2*k_p3_2+3*k_p3_3*C917))/k_sx</f>
        <v/>
      </c>
      <c r="J917">
        <f>(k_p4_1+C917*(2*k_p4_2+C917*(3*k_p4_3+4*k_p4_4*C917)))/k_sx</f>
        <v/>
      </c>
      <c r="K917">
        <f>k_eb*k_ec*EXP(k_ec*C917)/k_sx</f>
        <v/>
      </c>
      <c r="L917">
        <f>(2*k_p4_2+C917*(6*k_p4_3+12*k_p4_4*C917))/k_sx^2</f>
        <v/>
      </c>
      <c r="M917">
        <f>D917/B917</f>
        <v/>
      </c>
      <c r="N917">
        <f>E917/B917</f>
        <v/>
      </c>
      <c r="O917">
        <f>F917/B917</f>
        <v/>
      </c>
      <c r="P917">
        <f>G917/B917</f>
        <v/>
      </c>
      <c r="Q917">
        <f>CHOOSE(k_model,D917,E917,F917,G917)</f>
        <v/>
      </c>
      <c r="R917">
        <f>CHOOSE(k_model,H917,I917,J917,K917)</f>
        <v/>
      </c>
    </row>
    <row r="918">
      <c r="A918" t="n">
        <v>916</v>
      </c>
      <c r="B918">
        <f>k_lo+k_rng*A918/1000</f>
        <v/>
      </c>
      <c r="C918">
        <f>(B918-k_mx)/k_sx</f>
        <v/>
      </c>
      <c r="D918">
        <f>k_p2_0+C918*(k_p2_1+C918*k_p2_2)</f>
        <v/>
      </c>
      <c r="E918">
        <f>k_p3_0+C918*(k_p3_1+C918*(k_p3_2+C918*k_p3_3))</f>
        <v/>
      </c>
      <c r="F918">
        <f>k_p4_0+C918*(k_p4_1+C918*(k_p4_2+C918*(k_p4_3+C918*k_p4_4)))</f>
        <v/>
      </c>
      <c r="G918">
        <f>k_ea+k_eb*EXP(k_ec*C918)</f>
        <v/>
      </c>
      <c r="H918">
        <f>(k_p2_1+2*k_p2_2*C918)/k_sx</f>
        <v/>
      </c>
      <c r="I918">
        <f>(k_p3_1+C918*(2*k_p3_2+3*k_p3_3*C918))/k_sx</f>
        <v/>
      </c>
      <c r="J918">
        <f>(k_p4_1+C918*(2*k_p4_2+C918*(3*k_p4_3+4*k_p4_4*C918)))/k_sx</f>
        <v/>
      </c>
      <c r="K918">
        <f>k_eb*k_ec*EXP(k_ec*C918)/k_sx</f>
        <v/>
      </c>
      <c r="L918">
        <f>(2*k_p4_2+C918*(6*k_p4_3+12*k_p4_4*C918))/k_sx^2</f>
        <v/>
      </c>
      <c r="M918">
        <f>D918/B918</f>
        <v/>
      </c>
      <c r="N918">
        <f>E918/B918</f>
        <v/>
      </c>
      <c r="O918">
        <f>F918/B918</f>
        <v/>
      </c>
      <c r="P918">
        <f>G918/B918</f>
        <v/>
      </c>
      <c r="Q918">
        <f>CHOOSE(k_model,D918,E918,F918,G918)</f>
        <v/>
      </c>
      <c r="R918">
        <f>CHOOSE(k_model,H918,I918,J918,K918)</f>
        <v/>
      </c>
    </row>
    <row r="919">
      <c r="A919" t="n">
        <v>917</v>
      </c>
      <c r="B919">
        <f>k_lo+k_rng*A919/1000</f>
        <v/>
      </c>
      <c r="C919">
        <f>(B919-k_mx)/k_sx</f>
        <v/>
      </c>
      <c r="D919">
        <f>k_p2_0+C919*(k_p2_1+C919*k_p2_2)</f>
        <v/>
      </c>
      <c r="E919">
        <f>k_p3_0+C919*(k_p3_1+C919*(k_p3_2+C919*k_p3_3))</f>
        <v/>
      </c>
      <c r="F919">
        <f>k_p4_0+C919*(k_p4_1+C919*(k_p4_2+C919*(k_p4_3+C919*k_p4_4)))</f>
        <v/>
      </c>
      <c r="G919">
        <f>k_ea+k_eb*EXP(k_ec*C919)</f>
        <v/>
      </c>
      <c r="H919">
        <f>(k_p2_1+2*k_p2_2*C919)/k_sx</f>
        <v/>
      </c>
      <c r="I919">
        <f>(k_p3_1+C919*(2*k_p3_2+3*k_p3_3*C919))/k_sx</f>
        <v/>
      </c>
      <c r="J919">
        <f>(k_p4_1+C919*(2*k_p4_2+C919*(3*k_p4_3+4*k_p4_4*C919)))/k_sx</f>
        <v/>
      </c>
      <c r="K919">
        <f>k_eb*k_ec*EXP(k_ec*C919)/k_sx</f>
        <v/>
      </c>
      <c r="L919">
        <f>(2*k_p4_2+C919*(6*k_p4_3+12*k_p4_4*C919))/k_sx^2</f>
        <v/>
      </c>
      <c r="M919">
        <f>D919/B919</f>
        <v/>
      </c>
      <c r="N919">
        <f>E919/B919</f>
        <v/>
      </c>
      <c r="O919">
        <f>F919/B919</f>
        <v/>
      </c>
      <c r="P919">
        <f>G919/B919</f>
        <v/>
      </c>
      <c r="Q919">
        <f>CHOOSE(k_model,D919,E919,F919,G919)</f>
        <v/>
      </c>
      <c r="R919">
        <f>CHOOSE(k_model,H919,I919,J919,K919)</f>
        <v/>
      </c>
    </row>
    <row r="920">
      <c r="A920" t="n">
        <v>918</v>
      </c>
      <c r="B920">
        <f>k_lo+k_rng*A920/1000</f>
        <v/>
      </c>
      <c r="C920">
        <f>(B920-k_mx)/k_sx</f>
        <v/>
      </c>
      <c r="D920">
        <f>k_p2_0+C920*(k_p2_1+C920*k_p2_2)</f>
        <v/>
      </c>
      <c r="E920">
        <f>k_p3_0+C920*(k_p3_1+C920*(k_p3_2+C920*k_p3_3))</f>
        <v/>
      </c>
      <c r="F920">
        <f>k_p4_0+C920*(k_p4_1+C920*(k_p4_2+C920*(k_p4_3+C920*k_p4_4)))</f>
        <v/>
      </c>
      <c r="G920">
        <f>k_ea+k_eb*EXP(k_ec*C920)</f>
        <v/>
      </c>
      <c r="H920">
        <f>(k_p2_1+2*k_p2_2*C920)/k_sx</f>
        <v/>
      </c>
      <c r="I920">
        <f>(k_p3_1+C920*(2*k_p3_2+3*k_p3_3*C920))/k_sx</f>
        <v/>
      </c>
      <c r="J920">
        <f>(k_p4_1+C920*(2*k_p4_2+C920*(3*k_p4_3+4*k_p4_4*C920)))/k_sx</f>
        <v/>
      </c>
      <c r="K920">
        <f>k_eb*k_ec*EXP(k_ec*C920)/k_sx</f>
        <v/>
      </c>
      <c r="L920">
        <f>(2*k_p4_2+C920*(6*k_p4_3+12*k_p4_4*C920))/k_sx^2</f>
        <v/>
      </c>
      <c r="M920">
        <f>D920/B920</f>
        <v/>
      </c>
      <c r="N920">
        <f>E920/B920</f>
        <v/>
      </c>
      <c r="O920">
        <f>F920/B920</f>
        <v/>
      </c>
      <c r="P920">
        <f>G920/B920</f>
        <v/>
      </c>
      <c r="Q920">
        <f>CHOOSE(k_model,D920,E920,F920,G920)</f>
        <v/>
      </c>
      <c r="R920">
        <f>CHOOSE(k_model,H920,I920,J920,K920)</f>
        <v/>
      </c>
    </row>
    <row r="921">
      <c r="A921" t="n">
        <v>919</v>
      </c>
      <c r="B921">
        <f>k_lo+k_rng*A921/1000</f>
        <v/>
      </c>
      <c r="C921">
        <f>(B921-k_mx)/k_sx</f>
        <v/>
      </c>
      <c r="D921">
        <f>k_p2_0+C921*(k_p2_1+C921*k_p2_2)</f>
        <v/>
      </c>
      <c r="E921">
        <f>k_p3_0+C921*(k_p3_1+C921*(k_p3_2+C921*k_p3_3))</f>
        <v/>
      </c>
      <c r="F921">
        <f>k_p4_0+C921*(k_p4_1+C921*(k_p4_2+C921*(k_p4_3+C921*k_p4_4)))</f>
        <v/>
      </c>
      <c r="G921">
        <f>k_ea+k_eb*EXP(k_ec*C921)</f>
        <v/>
      </c>
      <c r="H921">
        <f>(k_p2_1+2*k_p2_2*C921)/k_sx</f>
        <v/>
      </c>
      <c r="I921">
        <f>(k_p3_1+C921*(2*k_p3_2+3*k_p3_3*C921))/k_sx</f>
        <v/>
      </c>
      <c r="J921">
        <f>(k_p4_1+C921*(2*k_p4_2+C921*(3*k_p4_3+4*k_p4_4*C921)))/k_sx</f>
        <v/>
      </c>
      <c r="K921">
        <f>k_eb*k_ec*EXP(k_ec*C921)/k_sx</f>
        <v/>
      </c>
      <c r="L921">
        <f>(2*k_p4_2+C921*(6*k_p4_3+12*k_p4_4*C921))/k_sx^2</f>
        <v/>
      </c>
      <c r="M921">
        <f>D921/B921</f>
        <v/>
      </c>
      <c r="N921">
        <f>E921/B921</f>
        <v/>
      </c>
      <c r="O921">
        <f>F921/B921</f>
        <v/>
      </c>
      <c r="P921">
        <f>G921/B921</f>
        <v/>
      </c>
      <c r="Q921">
        <f>CHOOSE(k_model,D921,E921,F921,G921)</f>
        <v/>
      </c>
      <c r="R921">
        <f>CHOOSE(k_model,H921,I921,J921,K921)</f>
        <v/>
      </c>
    </row>
    <row r="922">
      <c r="A922" t="n">
        <v>920</v>
      </c>
      <c r="B922">
        <f>k_lo+k_rng*A922/1000</f>
        <v/>
      </c>
      <c r="C922">
        <f>(B922-k_mx)/k_sx</f>
        <v/>
      </c>
      <c r="D922">
        <f>k_p2_0+C922*(k_p2_1+C922*k_p2_2)</f>
        <v/>
      </c>
      <c r="E922">
        <f>k_p3_0+C922*(k_p3_1+C922*(k_p3_2+C922*k_p3_3))</f>
        <v/>
      </c>
      <c r="F922">
        <f>k_p4_0+C922*(k_p4_1+C922*(k_p4_2+C922*(k_p4_3+C922*k_p4_4)))</f>
        <v/>
      </c>
      <c r="G922">
        <f>k_ea+k_eb*EXP(k_ec*C922)</f>
        <v/>
      </c>
      <c r="H922">
        <f>(k_p2_1+2*k_p2_2*C922)/k_sx</f>
        <v/>
      </c>
      <c r="I922">
        <f>(k_p3_1+C922*(2*k_p3_2+3*k_p3_3*C922))/k_sx</f>
        <v/>
      </c>
      <c r="J922">
        <f>(k_p4_1+C922*(2*k_p4_2+C922*(3*k_p4_3+4*k_p4_4*C922)))/k_sx</f>
        <v/>
      </c>
      <c r="K922">
        <f>k_eb*k_ec*EXP(k_ec*C922)/k_sx</f>
        <v/>
      </c>
      <c r="L922">
        <f>(2*k_p4_2+C922*(6*k_p4_3+12*k_p4_4*C922))/k_sx^2</f>
        <v/>
      </c>
      <c r="M922">
        <f>D922/B922</f>
        <v/>
      </c>
      <c r="N922">
        <f>E922/B922</f>
        <v/>
      </c>
      <c r="O922">
        <f>F922/B922</f>
        <v/>
      </c>
      <c r="P922">
        <f>G922/B922</f>
        <v/>
      </c>
      <c r="Q922">
        <f>CHOOSE(k_model,D922,E922,F922,G922)</f>
        <v/>
      </c>
      <c r="R922">
        <f>CHOOSE(k_model,H922,I922,J922,K922)</f>
        <v/>
      </c>
    </row>
    <row r="923">
      <c r="A923" t="n">
        <v>921</v>
      </c>
      <c r="B923">
        <f>k_lo+k_rng*A923/1000</f>
        <v/>
      </c>
      <c r="C923">
        <f>(B923-k_mx)/k_sx</f>
        <v/>
      </c>
      <c r="D923">
        <f>k_p2_0+C923*(k_p2_1+C923*k_p2_2)</f>
        <v/>
      </c>
      <c r="E923">
        <f>k_p3_0+C923*(k_p3_1+C923*(k_p3_2+C923*k_p3_3))</f>
        <v/>
      </c>
      <c r="F923">
        <f>k_p4_0+C923*(k_p4_1+C923*(k_p4_2+C923*(k_p4_3+C923*k_p4_4)))</f>
        <v/>
      </c>
      <c r="G923">
        <f>k_ea+k_eb*EXP(k_ec*C923)</f>
        <v/>
      </c>
      <c r="H923">
        <f>(k_p2_1+2*k_p2_2*C923)/k_sx</f>
        <v/>
      </c>
      <c r="I923">
        <f>(k_p3_1+C923*(2*k_p3_2+3*k_p3_3*C923))/k_sx</f>
        <v/>
      </c>
      <c r="J923">
        <f>(k_p4_1+C923*(2*k_p4_2+C923*(3*k_p4_3+4*k_p4_4*C923)))/k_sx</f>
        <v/>
      </c>
      <c r="K923">
        <f>k_eb*k_ec*EXP(k_ec*C923)/k_sx</f>
        <v/>
      </c>
      <c r="L923">
        <f>(2*k_p4_2+C923*(6*k_p4_3+12*k_p4_4*C923))/k_sx^2</f>
        <v/>
      </c>
      <c r="M923">
        <f>D923/B923</f>
        <v/>
      </c>
      <c r="N923">
        <f>E923/B923</f>
        <v/>
      </c>
      <c r="O923">
        <f>F923/B923</f>
        <v/>
      </c>
      <c r="P923">
        <f>G923/B923</f>
        <v/>
      </c>
      <c r="Q923">
        <f>CHOOSE(k_model,D923,E923,F923,G923)</f>
        <v/>
      </c>
      <c r="R923">
        <f>CHOOSE(k_model,H923,I923,J923,K923)</f>
        <v/>
      </c>
    </row>
    <row r="924">
      <c r="A924" t="n">
        <v>922</v>
      </c>
      <c r="B924">
        <f>k_lo+k_rng*A924/1000</f>
        <v/>
      </c>
      <c r="C924">
        <f>(B924-k_mx)/k_sx</f>
        <v/>
      </c>
      <c r="D924">
        <f>k_p2_0+C924*(k_p2_1+C924*k_p2_2)</f>
        <v/>
      </c>
      <c r="E924">
        <f>k_p3_0+C924*(k_p3_1+C924*(k_p3_2+C924*k_p3_3))</f>
        <v/>
      </c>
      <c r="F924">
        <f>k_p4_0+C924*(k_p4_1+C924*(k_p4_2+C924*(k_p4_3+C924*k_p4_4)))</f>
        <v/>
      </c>
      <c r="G924">
        <f>k_ea+k_eb*EXP(k_ec*C924)</f>
        <v/>
      </c>
      <c r="H924">
        <f>(k_p2_1+2*k_p2_2*C924)/k_sx</f>
        <v/>
      </c>
      <c r="I924">
        <f>(k_p3_1+C924*(2*k_p3_2+3*k_p3_3*C924))/k_sx</f>
        <v/>
      </c>
      <c r="J924">
        <f>(k_p4_1+C924*(2*k_p4_2+C924*(3*k_p4_3+4*k_p4_4*C924)))/k_sx</f>
        <v/>
      </c>
      <c r="K924">
        <f>k_eb*k_ec*EXP(k_ec*C924)/k_sx</f>
        <v/>
      </c>
      <c r="L924">
        <f>(2*k_p4_2+C924*(6*k_p4_3+12*k_p4_4*C924))/k_sx^2</f>
        <v/>
      </c>
      <c r="M924">
        <f>D924/B924</f>
        <v/>
      </c>
      <c r="N924">
        <f>E924/B924</f>
        <v/>
      </c>
      <c r="O924">
        <f>F924/B924</f>
        <v/>
      </c>
      <c r="P924">
        <f>G924/B924</f>
        <v/>
      </c>
      <c r="Q924">
        <f>CHOOSE(k_model,D924,E924,F924,G924)</f>
        <v/>
      </c>
      <c r="R924">
        <f>CHOOSE(k_model,H924,I924,J924,K924)</f>
        <v/>
      </c>
    </row>
    <row r="925">
      <c r="A925" t="n">
        <v>923</v>
      </c>
      <c r="B925">
        <f>k_lo+k_rng*A925/1000</f>
        <v/>
      </c>
      <c r="C925">
        <f>(B925-k_mx)/k_sx</f>
        <v/>
      </c>
      <c r="D925">
        <f>k_p2_0+C925*(k_p2_1+C925*k_p2_2)</f>
        <v/>
      </c>
      <c r="E925">
        <f>k_p3_0+C925*(k_p3_1+C925*(k_p3_2+C925*k_p3_3))</f>
        <v/>
      </c>
      <c r="F925">
        <f>k_p4_0+C925*(k_p4_1+C925*(k_p4_2+C925*(k_p4_3+C925*k_p4_4)))</f>
        <v/>
      </c>
      <c r="G925">
        <f>k_ea+k_eb*EXP(k_ec*C925)</f>
        <v/>
      </c>
      <c r="H925">
        <f>(k_p2_1+2*k_p2_2*C925)/k_sx</f>
        <v/>
      </c>
      <c r="I925">
        <f>(k_p3_1+C925*(2*k_p3_2+3*k_p3_3*C925))/k_sx</f>
        <v/>
      </c>
      <c r="J925">
        <f>(k_p4_1+C925*(2*k_p4_2+C925*(3*k_p4_3+4*k_p4_4*C925)))/k_sx</f>
        <v/>
      </c>
      <c r="K925">
        <f>k_eb*k_ec*EXP(k_ec*C925)/k_sx</f>
        <v/>
      </c>
      <c r="L925">
        <f>(2*k_p4_2+C925*(6*k_p4_3+12*k_p4_4*C925))/k_sx^2</f>
        <v/>
      </c>
      <c r="M925">
        <f>D925/B925</f>
        <v/>
      </c>
      <c r="N925">
        <f>E925/B925</f>
        <v/>
      </c>
      <c r="O925">
        <f>F925/B925</f>
        <v/>
      </c>
      <c r="P925">
        <f>G925/B925</f>
        <v/>
      </c>
      <c r="Q925">
        <f>CHOOSE(k_model,D925,E925,F925,G925)</f>
        <v/>
      </c>
      <c r="R925">
        <f>CHOOSE(k_model,H925,I925,J925,K925)</f>
        <v/>
      </c>
    </row>
    <row r="926">
      <c r="A926" t="n">
        <v>924</v>
      </c>
      <c r="B926">
        <f>k_lo+k_rng*A926/1000</f>
        <v/>
      </c>
      <c r="C926">
        <f>(B926-k_mx)/k_sx</f>
        <v/>
      </c>
      <c r="D926">
        <f>k_p2_0+C926*(k_p2_1+C926*k_p2_2)</f>
        <v/>
      </c>
      <c r="E926">
        <f>k_p3_0+C926*(k_p3_1+C926*(k_p3_2+C926*k_p3_3))</f>
        <v/>
      </c>
      <c r="F926">
        <f>k_p4_0+C926*(k_p4_1+C926*(k_p4_2+C926*(k_p4_3+C926*k_p4_4)))</f>
        <v/>
      </c>
      <c r="G926">
        <f>k_ea+k_eb*EXP(k_ec*C926)</f>
        <v/>
      </c>
      <c r="H926">
        <f>(k_p2_1+2*k_p2_2*C926)/k_sx</f>
        <v/>
      </c>
      <c r="I926">
        <f>(k_p3_1+C926*(2*k_p3_2+3*k_p3_3*C926))/k_sx</f>
        <v/>
      </c>
      <c r="J926">
        <f>(k_p4_1+C926*(2*k_p4_2+C926*(3*k_p4_3+4*k_p4_4*C926)))/k_sx</f>
        <v/>
      </c>
      <c r="K926">
        <f>k_eb*k_ec*EXP(k_ec*C926)/k_sx</f>
        <v/>
      </c>
      <c r="L926">
        <f>(2*k_p4_2+C926*(6*k_p4_3+12*k_p4_4*C926))/k_sx^2</f>
        <v/>
      </c>
      <c r="M926">
        <f>D926/B926</f>
        <v/>
      </c>
      <c r="N926">
        <f>E926/B926</f>
        <v/>
      </c>
      <c r="O926">
        <f>F926/B926</f>
        <v/>
      </c>
      <c r="P926">
        <f>G926/B926</f>
        <v/>
      </c>
      <c r="Q926">
        <f>CHOOSE(k_model,D926,E926,F926,G926)</f>
        <v/>
      </c>
      <c r="R926">
        <f>CHOOSE(k_model,H926,I926,J926,K926)</f>
        <v/>
      </c>
    </row>
    <row r="927">
      <c r="A927" t="n">
        <v>925</v>
      </c>
      <c r="B927">
        <f>k_lo+k_rng*A927/1000</f>
        <v/>
      </c>
      <c r="C927">
        <f>(B927-k_mx)/k_sx</f>
        <v/>
      </c>
      <c r="D927">
        <f>k_p2_0+C927*(k_p2_1+C927*k_p2_2)</f>
        <v/>
      </c>
      <c r="E927">
        <f>k_p3_0+C927*(k_p3_1+C927*(k_p3_2+C927*k_p3_3))</f>
        <v/>
      </c>
      <c r="F927">
        <f>k_p4_0+C927*(k_p4_1+C927*(k_p4_2+C927*(k_p4_3+C927*k_p4_4)))</f>
        <v/>
      </c>
      <c r="G927">
        <f>k_ea+k_eb*EXP(k_ec*C927)</f>
        <v/>
      </c>
      <c r="H927">
        <f>(k_p2_1+2*k_p2_2*C927)/k_sx</f>
        <v/>
      </c>
      <c r="I927">
        <f>(k_p3_1+C927*(2*k_p3_2+3*k_p3_3*C927))/k_sx</f>
        <v/>
      </c>
      <c r="J927">
        <f>(k_p4_1+C927*(2*k_p4_2+C927*(3*k_p4_3+4*k_p4_4*C927)))/k_sx</f>
        <v/>
      </c>
      <c r="K927">
        <f>k_eb*k_ec*EXP(k_ec*C927)/k_sx</f>
        <v/>
      </c>
      <c r="L927">
        <f>(2*k_p4_2+C927*(6*k_p4_3+12*k_p4_4*C927))/k_sx^2</f>
        <v/>
      </c>
      <c r="M927">
        <f>D927/B927</f>
        <v/>
      </c>
      <c r="N927">
        <f>E927/B927</f>
        <v/>
      </c>
      <c r="O927">
        <f>F927/B927</f>
        <v/>
      </c>
      <c r="P927">
        <f>G927/B927</f>
        <v/>
      </c>
      <c r="Q927">
        <f>CHOOSE(k_model,D927,E927,F927,G927)</f>
        <v/>
      </c>
      <c r="R927">
        <f>CHOOSE(k_model,H927,I927,J927,K927)</f>
        <v/>
      </c>
    </row>
    <row r="928">
      <c r="A928" t="n">
        <v>926</v>
      </c>
      <c r="B928">
        <f>k_lo+k_rng*A928/1000</f>
        <v/>
      </c>
      <c r="C928">
        <f>(B928-k_mx)/k_sx</f>
        <v/>
      </c>
      <c r="D928">
        <f>k_p2_0+C928*(k_p2_1+C928*k_p2_2)</f>
        <v/>
      </c>
      <c r="E928">
        <f>k_p3_0+C928*(k_p3_1+C928*(k_p3_2+C928*k_p3_3))</f>
        <v/>
      </c>
      <c r="F928">
        <f>k_p4_0+C928*(k_p4_1+C928*(k_p4_2+C928*(k_p4_3+C928*k_p4_4)))</f>
        <v/>
      </c>
      <c r="G928">
        <f>k_ea+k_eb*EXP(k_ec*C928)</f>
        <v/>
      </c>
      <c r="H928">
        <f>(k_p2_1+2*k_p2_2*C928)/k_sx</f>
        <v/>
      </c>
      <c r="I928">
        <f>(k_p3_1+C928*(2*k_p3_2+3*k_p3_3*C928))/k_sx</f>
        <v/>
      </c>
      <c r="J928">
        <f>(k_p4_1+C928*(2*k_p4_2+C928*(3*k_p4_3+4*k_p4_4*C928)))/k_sx</f>
        <v/>
      </c>
      <c r="K928">
        <f>k_eb*k_ec*EXP(k_ec*C928)/k_sx</f>
        <v/>
      </c>
      <c r="L928">
        <f>(2*k_p4_2+C928*(6*k_p4_3+12*k_p4_4*C928))/k_sx^2</f>
        <v/>
      </c>
      <c r="M928">
        <f>D928/B928</f>
        <v/>
      </c>
      <c r="N928">
        <f>E928/B928</f>
        <v/>
      </c>
      <c r="O928">
        <f>F928/B928</f>
        <v/>
      </c>
      <c r="P928">
        <f>G928/B928</f>
        <v/>
      </c>
      <c r="Q928">
        <f>CHOOSE(k_model,D928,E928,F928,G928)</f>
        <v/>
      </c>
      <c r="R928">
        <f>CHOOSE(k_model,H928,I928,J928,K928)</f>
        <v/>
      </c>
    </row>
    <row r="929">
      <c r="A929" t="n">
        <v>927</v>
      </c>
      <c r="B929">
        <f>k_lo+k_rng*A929/1000</f>
        <v/>
      </c>
      <c r="C929">
        <f>(B929-k_mx)/k_sx</f>
        <v/>
      </c>
      <c r="D929">
        <f>k_p2_0+C929*(k_p2_1+C929*k_p2_2)</f>
        <v/>
      </c>
      <c r="E929">
        <f>k_p3_0+C929*(k_p3_1+C929*(k_p3_2+C929*k_p3_3))</f>
        <v/>
      </c>
      <c r="F929">
        <f>k_p4_0+C929*(k_p4_1+C929*(k_p4_2+C929*(k_p4_3+C929*k_p4_4)))</f>
        <v/>
      </c>
      <c r="G929">
        <f>k_ea+k_eb*EXP(k_ec*C929)</f>
        <v/>
      </c>
      <c r="H929">
        <f>(k_p2_1+2*k_p2_2*C929)/k_sx</f>
        <v/>
      </c>
      <c r="I929">
        <f>(k_p3_1+C929*(2*k_p3_2+3*k_p3_3*C929))/k_sx</f>
        <v/>
      </c>
      <c r="J929">
        <f>(k_p4_1+C929*(2*k_p4_2+C929*(3*k_p4_3+4*k_p4_4*C929)))/k_sx</f>
        <v/>
      </c>
      <c r="K929">
        <f>k_eb*k_ec*EXP(k_ec*C929)/k_sx</f>
        <v/>
      </c>
      <c r="L929">
        <f>(2*k_p4_2+C929*(6*k_p4_3+12*k_p4_4*C929))/k_sx^2</f>
        <v/>
      </c>
      <c r="M929">
        <f>D929/B929</f>
        <v/>
      </c>
      <c r="N929">
        <f>E929/B929</f>
        <v/>
      </c>
      <c r="O929">
        <f>F929/B929</f>
        <v/>
      </c>
      <c r="P929">
        <f>G929/B929</f>
        <v/>
      </c>
      <c r="Q929">
        <f>CHOOSE(k_model,D929,E929,F929,G929)</f>
        <v/>
      </c>
      <c r="R929">
        <f>CHOOSE(k_model,H929,I929,J929,K929)</f>
        <v/>
      </c>
    </row>
    <row r="930">
      <c r="A930" t="n">
        <v>928</v>
      </c>
      <c r="B930">
        <f>k_lo+k_rng*A930/1000</f>
        <v/>
      </c>
      <c r="C930">
        <f>(B930-k_mx)/k_sx</f>
        <v/>
      </c>
      <c r="D930">
        <f>k_p2_0+C930*(k_p2_1+C930*k_p2_2)</f>
        <v/>
      </c>
      <c r="E930">
        <f>k_p3_0+C930*(k_p3_1+C930*(k_p3_2+C930*k_p3_3))</f>
        <v/>
      </c>
      <c r="F930">
        <f>k_p4_0+C930*(k_p4_1+C930*(k_p4_2+C930*(k_p4_3+C930*k_p4_4)))</f>
        <v/>
      </c>
      <c r="G930">
        <f>k_ea+k_eb*EXP(k_ec*C930)</f>
        <v/>
      </c>
      <c r="H930">
        <f>(k_p2_1+2*k_p2_2*C930)/k_sx</f>
        <v/>
      </c>
      <c r="I930">
        <f>(k_p3_1+C930*(2*k_p3_2+3*k_p3_3*C930))/k_sx</f>
        <v/>
      </c>
      <c r="J930">
        <f>(k_p4_1+C930*(2*k_p4_2+C930*(3*k_p4_3+4*k_p4_4*C930)))/k_sx</f>
        <v/>
      </c>
      <c r="K930">
        <f>k_eb*k_ec*EXP(k_ec*C930)/k_sx</f>
        <v/>
      </c>
      <c r="L930">
        <f>(2*k_p4_2+C930*(6*k_p4_3+12*k_p4_4*C930))/k_sx^2</f>
        <v/>
      </c>
      <c r="M930">
        <f>D930/B930</f>
        <v/>
      </c>
      <c r="N930">
        <f>E930/B930</f>
        <v/>
      </c>
      <c r="O930">
        <f>F930/B930</f>
        <v/>
      </c>
      <c r="P930">
        <f>G930/B930</f>
        <v/>
      </c>
      <c r="Q930">
        <f>CHOOSE(k_model,D930,E930,F930,G930)</f>
        <v/>
      </c>
      <c r="R930">
        <f>CHOOSE(k_model,H930,I930,J930,K930)</f>
        <v/>
      </c>
    </row>
    <row r="931">
      <c r="A931" t="n">
        <v>929</v>
      </c>
      <c r="B931">
        <f>k_lo+k_rng*A931/1000</f>
        <v/>
      </c>
      <c r="C931">
        <f>(B931-k_mx)/k_sx</f>
        <v/>
      </c>
      <c r="D931">
        <f>k_p2_0+C931*(k_p2_1+C931*k_p2_2)</f>
        <v/>
      </c>
      <c r="E931">
        <f>k_p3_0+C931*(k_p3_1+C931*(k_p3_2+C931*k_p3_3))</f>
        <v/>
      </c>
      <c r="F931">
        <f>k_p4_0+C931*(k_p4_1+C931*(k_p4_2+C931*(k_p4_3+C931*k_p4_4)))</f>
        <v/>
      </c>
      <c r="G931">
        <f>k_ea+k_eb*EXP(k_ec*C931)</f>
        <v/>
      </c>
      <c r="H931">
        <f>(k_p2_1+2*k_p2_2*C931)/k_sx</f>
        <v/>
      </c>
      <c r="I931">
        <f>(k_p3_1+C931*(2*k_p3_2+3*k_p3_3*C931))/k_sx</f>
        <v/>
      </c>
      <c r="J931">
        <f>(k_p4_1+C931*(2*k_p4_2+C931*(3*k_p4_3+4*k_p4_4*C931)))/k_sx</f>
        <v/>
      </c>
      <c r="K931">
        <f>k_eb*k_ec*EXP(k_ec*C931)/k_sx</f>
        <v/>
      </c>
      <c r="L931">
        <f>(2*k_p4_2+C931*(6*k_p4_3+12*k_p4_4*C931))/k_sx^2</f>
        <v/>
      </c>
      <c r="M931">
        <f>D931/B931</f>
        <v/>
      </c>
      <c r="N931">
        <f>E931/B931</f>
        <v/>
      </c>
      <c r="O931">
        <f>F931/B931</f>
        <v/>
      </c>
      <c r="P931">
        <f>G931/B931</f>
        <v/>
      </c>
      <c r="Q931">
        <f>CHOOSE(k_model,D931,E931,F931,G931)</f>
        <v/>
      </c>
      <c r="R931">
        <f>CHOOSE(k_model,H931,I931,J931,K931)</f>
        <v/>
      </c>
    </row>
    <row r="932">
      <c r="A932" t="n">
        <v>930</v>
      </c>
      <c r="B932">
        <f>k_lo+k_rng*A932/1000</f>
        <v/>
      </c>
      <c r="C932">
        <f>(B932-k_mx)/k_sx</f>
        <v/>
      </c>
      <c r="D932">
        <f>k_p2_0+C932*(k_p2_1+C932*k_p2_2)</f>
        <v/>
      </c>
      <c r="E932">
        <f>k_p3_0+C932*(k_p3_1+C932*(k_p3_2+C932*k_p3_3))</f>
        <v/>
      </c>
      <c r="F932">
        <f>k_p4_0+C932*(k_p4_1+C932*(k_p4_2+C932*(k_p4_3+C932*k_p4_4)))</f>
        <v/>
      </c>
      <c r="G932">
        <f>k_ea+k_eb*EXP(k_ec*C932)</f>
        <v/>
      </c>
      <c r="H932">
        <f>(k_p2_1+2*k_p2_2*C932)/k_sx</f>
        <v/>
      </c>
      <c r="I932">
        <f>(k_p3_1+C932*(2*k_p3_2+3*k_p3_3*C932))/k_sx</f>
        <v/>
      </c>
      <c r="J932">
        <f>(k_p4_1+C932*(2*k_p4_2+C932*(3*k_p4_3+4*k_p4_4*C932)))/k_sx</f>
        <v/>
      </c>
      <c r="K932">
        <f>k_eb*k_ec*EXP(k_ec*C932)/k_sx</f>
        <v/>
      </c>
      <c r="L932">
        <f>(2*k_p4_2+C932*(6*k_p4_3+12*k_p4_4*C932))/k_sx^2</f>
        <v/>
      </c>
      <c r="M932">
        <f>D932/B932</f>
        <v/>
      </c>
      <c r="N932">
        <f>E932/B932</f>
        <v/>
      </c>
      <c r="O932">
        <f>F932/B932</f>
        <v/>
      </c>
      <c r="P932">
        <f>G932/B932</f>
        <v/>
      </c>
      <c r="Q932">
        <f>CHOOSE(k_model,D932,E932,F932,G932)</f>
        <v/>
      </c>
      <c r="R932">
        <f>CHOOSE(k_model,H932,I932,J932,K932)</f>
        <v/>
      </c>
    </row>
    <row r="933">
      <c r="A933" t="n">
        <v>931</v>
      </c>
      <c r="B933">
        <f>k_lo+k_rng*A933/1000</f>
        <v/>
      </c>
      <c r="C933">
        <f>(B933-k_mx)/k_sx</f>
        <v/>
      </c>
      <c r="D933">
        <f>k_p2_0+C933*(k_p2_1+C933*k_p2_2)</f>
        <v/>
      </c>
      <c r="E933">
        <f>k_p3_0+C933*(k_p3_1+C933*(k_p3_2+C933*k_p3_3))</f>
        <v/>
      </c>
      <c r="F933">
        <f>k_p4_0+C933*(k_p4_1+C933*(k_p4_2+C933*(k_p4_3+C933*k_p4_4)))</f>
        <v/>
      </c>
      <c r="G933">
        <f>k_ea+k_eb*EXP(k_ec*C933)</f>
        <v/>
      </c>
      <c r="H933">
        <f>(k_p2_1+2*k_p2_2*C933)/k_sx</f>
        <v/>
      </c>
      <c r="I933">
        <f>(k_p3_1+C933*(2*k_p3_2+3*k_p3_3*C933))/k_sx</f>
        <v/>
      </c>
      <c r="J933">
        <f>(k_p4_1+C933*(2*k_p4_2+C933*(3*k_p4_3+4*k_p4_4*C933)))/k_sx</f>
        <v/>
      </c>
      <c r="K933">
        <f>k_eb*k_ec*EXP(k_ec*C933)/k_sx</f>
        <v/>
      </c>
      <c r="L933">
        <f>(2*k_p4_2+C933*(6*k_p4_3+12*k_p4_4*C933))/k_sx^2</f>
        <v/>
      </c>
      <c r="M933">
        <f>D933/B933</f>
        <v/>
      </c>
      <c r="N933">
        <f>E933/B933</f>
        <v/>
      </c>
      <c r="O933">
        <f>F933/B933</f>
        <v/>
      </c>
      <c r="P933">
        <f>G933/B933</f>
        <v/>
      </c>
      <c r="Q933">
        <f>CHOOSE(k_model,D933,E933,F933,G933)</f>
        <v/>
      </c>
      <c r="R933">
        <f>CHOOSE(k_model,H933,I933,J933,K933)</f>
        <v/>
      </c>
    </row>
    <row r="934">
      <c r="A934" t="n">
        <v>932</v>
      </c>
      <c r="B934">
        <f>k_lo+k_rng*A934/1000</f>
        <v/>
      </c>
      <c r="C934">
        <f>(B934-k_mx)/k_sx</f>
        <v/>
      </c>
      <c r="D934">
        <f>k_p2_0+C934*(k_p2_1+C934*k_p2_2)</f>
        <v/>
      </c>
      <c r="E934">
        <f>k_p3_0+C934*(k_p3_1+C934*(k_p3_2+C934*k_p3_3))</f>
        <v/>
      </c>
      <c r="F934">
        <f>k_p4_0+C934*(k_p4_1+C934*(k_p4_2+C934*(k_p4_3+C934*k_p4_4)))</f>
        <v/>
      </c>
      <c r="G934">
        <f>k_ea+k_eb*EXP(k_ec*C934)</f>
        <v/>
      </c>
      <c r="H934">
        <f>(k_p2_1+2*k_p2_2*C934)/k_sx</f>
        <v/>
      </c>
      <c r="I934">
        <f>(k_p3_1+C934*(2*k_p3_2+3*k_p3_3*C934))/k_sx</f>
        <v/>
      </c>
      <c r="J934">
        <f>(k_p4_1+C934*(2*k_p4_2+C934*(3*k_p4_3+4*k_p4_4*C934)))/k_sx</f>
        <v/>
      </c>
      <c r="K934">
        <f>k_eb*k_ec*EXP(k_ec*C934)/k_sx</f>
        <v/>
      </c>
      <c r="L934">
        <f>(2*k_p4_2+C934*(6*k_p4_3+12*k_p4_4*C934))/k_sx^2</f>
        <v/>
      </c>
      <c r="M934">
        <f>D934/B934</f>
        <v/>
      </c>
      <c r="N934">
        <f>E934/B934</f>
        <v/>
      </c>
      <c r="O934">
        <f>F934/B934</f>
        <v/>
      </c>
      <c r="P934">
        <f>G934/B934</f>
        <v/>
      </c>
      <c r="Q934">
        <f>CHOOSE(k_model,D934,E934,F934,G934)</f>
        <v/>
      </c>
      <c r="R934">
        <f>CHOOSE(k_model,H934,I934,J934,K934)</f>
        <v/>
      </c>
    </row>
    <row r="935">
      <c r="A935" t="n">
        <v>933</v>
      </c>
      <c r="B935">
        <f>k_lo+k_rng*A935/1000</f>
        <v/>
      </c>
      <c r="C935">
        <f>(B935-k_mx)/k_sx</f>
        <v/>
      </c>
      <c r="D935">
        <f>k_p2_0+C935*(k_p2_1+C935*k_p2_2)</f>
        <v/>
      </c>
      <c r="E935">
        <f>k_p3_0+C935*(k_p3_1+C935*(k_p3_2+C935*k_p3_3))</f>
        <v/>
      </c>
      <c r="F935">
        <f>k_p4_0+C935*(k_p4_1+C935*(k_p4_2+C935*(k_p4_3+C935*k_p4_4)))</f>
        <v/>
      </c>
      <c r="G935">
        <f>k_ea+k_eb*EXP(k_ec*C935)</f>
        <v/>
      </c>
      <c r="H935">
        <f>(k_p2_1+2*k_p2_2*C935)/k_sx</f>
        <v/>
      </c>
      <c r="I935">
        <f>(k_p3_1+C935*(2*k_p3_2+3*k_p3_3*C935))/k_sx</f>
        <v/>
      </c>
      <c r="J935">
        <f>(k_p4_1+C935*(2*k_p4_2+C935*(3*k_p4_3+4*k_p4_4*C935)))/k_sx</f>
        <v/>
      </c>
      <c r="K935">
        <f>k_eb*k_ec*EXP(k_ec*C935)/k_sx</f>
        <v/>
      </c>
      <c r="L935">
        <f>(2*k_p4_2+C935*(6*k_p4_3+12*k_p4_4*C935))/k_sx^2</f>
        <v/>
      </c>
      <c r="M935">
        <f>D935/B935</f>
        <v/>
      </c>
      <c r="N935">
        <f>E935/B935</f>
        <v/>
      </c>
      <c r="O935">
        <f>F935/B935</f>
        <v/>
      </c>
      <c r="P935">
        <f>G935/B935</f>
        <v/>
      </c>
      <c r="Q935">
        <f>CHOOSE(k_model,D935,E935,F935,G935)</f>
        <v/>
      </c>
      <c r="R935">
        <f>CHOOSE(k_model,H935,I935,J935,K935)</f>
        <v/>
      </c>
    </row>
    <row r="936">
      <c r="A936" t="n">
        <v>934</v>
      </c>
      <c r="B936">
        <f>k_lo+k_rng*A936/1000</f>
        <v/>
      </c>
      <c r="C936">
        <f>(B936-k_mx)/k_sx</f>
        <v/>
      </c>
      <c r="D936">
        <f>k_p2_0+C936*(k_p2_1+C936*k_p2_2)</f>
        <v/>
      </c>
      <c r="E936">
        <f>k_p3_0+C936*(k_p3_1+C936*(k_p3_2+C936*k_p3_3))</f>
        <v/>
      </c>
      <c r="F936">
        <f>k_p4_0+C936*(k_p4_1+C936*(k_p4_2+C936*(k_p4_3+C936*k_p4_4)))</f>
        <v/>
      </c>
      <c r="G936">
        <f>k_ea+k_eb*EXP(k_ec*C936)</f>
        <v/>
      </c>
      <c r="H936">
        <f>(k_p2_1+2*k_p2_2*C936)/k_sx</f>
        <v/>
      </c>
      <c r="I936">
        <f>(k_p3_1+C936*(2*k_p3_2+3*k_p3_3*C936))/k_sx</f>
        <v/>
      </c>
      <c r="J936">
        <f>(k_p4_1+C936*(2*k_p4_2+C936*(3*k_p4_3+4*k_p4_4*C936)))/k_sx</f>
        <v/>
      </c>
      <c r="K936">
        <f>k_eb*k_ec*EXP(k_ec*C936)/k_sx</f>
        <v/>
      </c>
      <c r="L936">
        <f>(2*k_p4_2+C936*(6*k_p4_3+12*k_p4_4*C936))/k_sx^2</f>
        <v/>
      </c>
      <c r="M936">
        <f>D936/B936</f>
        <v/>
      </c>
      <c r="N936">
        <f>E936/B936</f>
        <v/>
      </c>
      <c r="O936">
        <f>F936/B936</f>
        <v/>
      </c>
      <c r="P936">
        <f>G936/B936</f>
        <v/>
      </c>
      <c r="Q936">
        <f>CHOOSE(k_model,D936,E936,F936,G936)</f>
        <v/>
      </c>
      <c r="R936">
        <f>CHOOSE(k_model,H936,I936,J936,K936)</f>
        <v/>
      </c>
    </row>
    <row r="937">
      <c r="A937" t="n">
        <v>935</v>
      </c>
      <c r="B937">
        <f>k_lo+k_rng*A937/1000</f>
        <v/>
      </c>
      <c r="C937">
        <f>(B937-k_mx)/k_sx</f>
        <v/>
      </c>
      <c r="D937">
        <f>k_p2_0+C937*(k_p2_1+C937*k_p2_2)</f>
        <v/>
      </c>
      <c r="E937">
        <f>k_p3_0+C937*(k_p3_1+C937*(k_p3_2+C937*k_p3_3))</f>
        <v/>
      </c>
      <c r="F937">
        <f>k_p4_0+C937*(k_p4_1+C937*(k_p4_2+C937*(k_p4_3+C937*k_p4_4)))</f>
        <v/>
      </c>
      <c r="G937">
        <f>k_ea+k_eb*EXP(k_ec*C937)</f>
        <v/>
      </c>
      <c r="H937">
        <f>(k_p2_1+2*k_p2_2*C937)/k_sx</f>
        <v/>
      </c>
      <c r="I937">
        <f>(k_p3_1+C937*(2*k_p3_2+3*k_p3_3*C937))/k_sx</f>
        <v/>
      </c>
      <c r="J937">
        <f>(k_p4_1+C937*(2*k_p4_2+C937*(3*k_p4_3+4*k_p4_4*C937)))/k_sx</f>
        <v/>
      </c>
      <c r="K937">
        <f>k_eb*k_ec*EXP(k_ec*C937)/k_sx</f>
        <v/>
      </c>
      <c r="L937">
        <f>(2*k_p4_2+C937*(6*k_p4_3+12*k_p4_4*C937))/k_sx^2</f>
        <v/>
      </c>
      <c r="M937">
        <f>D937/B937</f>
        <v/>
      </c>
      <c r="N937">
        <f>E937/B937</f>
        <v/>
      </c>
      <c r="O937">
        <f>F937/B937</f>
        <v/>
      </c>
      <c r="P937">
        <f>G937/B937</f>
        <v/>
      </c>
      <c r="Q937">
        <f>CHOOSE(k_model,D937,E937,F937,G937)</f>
        <v/>
      </c>
      <c r="R937">
        <f>CHOOSE(k_model,H937,I937,J937,K937)</f>
        <v/>
      </c>
    </row>
    <row r="938">
      <c r="A938" t="n">
        <v>936</v>
      </c>
      <c r="B938">
        <f>k_lo+k_rng*A938/1000</f>
        <v/>
      </c>
      <c r="C938">
        <f>(B938-k_mx)/k_sx</f>
        <v/>
      </c>
      <c r="D938">
        <f>k_p2_0+C938*(k_p2_1+C938*k_p2_2)</f>
        <v/>
      </c>
      <c r="E938">
        <f>k_p3_0+C938*(k_p3_1+C938*(k_p3_2+C938*k_p3_3))</f>
        <v/>
      </c>
      <c r="F938">
        <f>k_p4_0+C938*(k_p4_1+C938*(k_p4_2+C938*(k_p4_3+C938*k_p4_4)))</f>
        <v/>
      </c>
      <c r="G938">
        <f>k_ea+k_eb*EXP(k_ec*C938)</f>
        <v/>
      </c>
      <c r="H938">
        <f>(k_p2_1+2*k_p2_2*C938)/k_sx</f>
        <v/>
      </c>
      <c r="I938">
        <f>(k_p3_1+C938*(2*k_p3_2+3*k_p3_3*C938))/k_sx</f>
        <v/>
      </c>
      <c r="J938">
        <f>(k_p4_1+C938*(2*k_p4_2+C938*(3*k_p4_3+4*k_p4_4*C938)))/k_sx</f>
        <v/>
      </c>
      <c r="K938">
        <f>k_eb*k_ec*EXP(k_ec*C938)/k_sx</f>
        <v/>
      </c>
      <c r="L938">
        <f>(2*k_p4_2+C938*(6*k_p4_3+12*k_p4_4*C938))/k_sx^2</f>
        <v/>
      </c>
      <c r="M938">
        <f>D938/B938</f>
        <v/>
      </c>
      <c r="N938">
        <f>E938/B938</f>
        <v/>
      </c>
      <c r="O938">
        <f>F938/B938</f>
        <v/>
      </c>
      <c r="P938">
        <f>G938/B938</f>
        <v/>
      </c>
      <c r="Q938">
        <f>CHOOSE(k_model,D938,E938,F938,G938)</f>
        <v/>
      </c>
      <c r="R938">
        <f>CHOOSE(k_model,H938,I938,J938,K938)</f>
        <v/>
      </c>
    </row>
    <row r="939">
      <c r="A939" t="n">
        <v>937</v>
      </c>
      <c r="B939">
        <f>k_lo+k_rng*A939/1000</f>
        <v/>
      </c>
      <c r="C939">
        <f>(B939-k_mx)/k_sx</f>
        <v/>
      </c>
      <c r="D939">
        <f>k_p2_0+C939*(k_p2_1+C939*k_p2_2)</f>
        <v/>
      </c>
      <c r="E939">
        <f>k_p3_0+C939*(k_p3_1+C939*(k_p3_2+C939*k_p3_3))</f>
        <v/>
      </c>
      <c r="F939">
        <f>k_p4_0+C939*(k_p4_1+C939*(k_p4_2+C939*(k_p4_3+C939*k_p4_4)))</f>
        <v/>
      </c>
      <c r="G939">
        <f>k_ea+k_eb*EXP(k_ec*C939)</f>
        <v/>
      </c>
      <c r="H939">
        <f>(k_p2_1+2*k_p2_2*C939)/k_sx</f>
        <v/>
      </c>
      <c r="I939">
        <f>(k_p3_1+C939*(2*k_p3_2+3*k_p3_3*C939))/k_sx</f>
        <v/>
      </c>
      <c r="J939">
        <f>(k_p4_1+C939*(2*k_p4_2+C939*(3*k_p4_3+4*k_p4_4*C939)))/k_sx</f>
        <v/>
      </c>
      <c r="K939">
        <f>k_eb*k_ec*EXP(k_ec*C939)/k_sx</f>
        <v/>
      </c>
      <c r="L939">
        <f>(2*k_p4_2+C939*(6*k_p4_3+12*k_p4_4*C939))/k_sx^2</f>
        <v/>
      </c>
      <c r="M939">
        <f>D939/B939</f>
        <v/>
      </c>
      <c r="N939">
        <f>E939/B939</f>
        <v/>
      </c>
      <c r="O939">
        <f>F939/B939</f>
        <v/>
      </c>
      <c r="P939">
        <f>G939/B939</f>
        <v/>
      </c>
      <c r="Q939">
        <f>CHOOSE(k_model,D939,E939,F939,G939)</f>
        <v/>
      </c>
      <c r="R939">
        <f>CHOOSE(k_model,H939,I939,J939,K939)</f>
        <v/>
      </c>
    </row>
    <row r="940">
      <c r="A940" t="n">
        <v>938</v>
      </c>
      <c r="B940">
        <f>k_lo+k_rng*A940/1000</f>
        <v/>
      </c>
      <c r="C940">
        <f>(B940-k_mx)/k_sx</f>
        <v/>
      </c>
      <c r="D940">
        <f>k_p2_0+C940*(k_p2_1+C940*k_p2_2)</f>
        <v/>
      </c>
      <c r="E940">
        <f>k_p3_0+C940*(k_p3_1+C940*(k_p3_2+C940*k_p3_3))</f>
        <v/>
      </c>
      <c r="F940">
        <f>k_p4_0+C940*(k_p4_1+C940*(k_p4_2+C940*(k_p4_3+C940*k_p4_4)))</f>
        <v/>
      </c>
      <c r="G940">
        <f>k_ea+k_eb*EXP(k_ec*C940)</f>
        <v/>
      </c>
      <c r="H940">
        <f>(k_p2_1+2*k_p2_2*C940)/k_sx</f>
        <v/>
      </c>
      <c r="I940">
        <f>(k_p3_1+C940*(2*k_p3_2+3*k_p3_3*C940))/k_sx</f>
        <v/>
      </c>
      <c r="J940">
        <f>(k_p4_1+C940*(2*k_p4_2+C940*(3*k_p4_3+4*k_p4_4*C940)))/k_sx</f>
        <v/>
      </c>
      <c r="K940">
        <f>k_eb*k_ec*EXP(k_ec*C940)/k_sx</f>
        <v/>
      </c>
      <c r="L940">
        <f>(2*k_p4_2+C940*(6*k_p4_3+12*k_p4_4*C940))/k_sx^2</f>
        <v/>
      </c>
      <c r="M940">
        <f>D940/B940</f>
        <v/>
      </c>
      <c r="N940">
        <f>E940/B940</f>
        <v/>
      </c>
      <c r="O940">
        <f>F940/B940</f>
        <v/>
      </c>
      <c r="P940">
        <f>G940/B940</f>
        <v/>
      </c>
      <c r="Q940">
        <f>CHOOSE(k_model,D940,E940,F940,G940)</f>
        <v/>
      </c>
      <c r="R940">
        <f>CHOOSE(k_model,H940,I940,J940,K940)</f>
        <v/>
      </c>
    </row>
    <row r="941">
      <c r="A941" t="n">
        <v>939</v>
      </c>
      <c r="B941">
        <f>k_lo+k_rng*A941/1000</f>
        <v/>
      </c>
      <c r="C941">
        <f>(B941-k_mx)/k_sx</f>
        <v/>
      </c>
      <c r="D941">
        <f>k_p2_0+C941*(k_p2_1+C941*k_p2_2)</f>
        <v/>
      </c>
      <c r="E941">
        <f>k_p3_0+C941*(k_p3_1+C941*(k_p3_2+C941*k_p3_3))</f>
        <v/>
      </c>
      <c r="F941">
        <f>k_p4_0+C941*(k_p4_1+C941*(k_p4_2+C941*(k_p4_3+C941*k_p4_4)))</f>
        <v/>
      </c>
      <c r="G941">
        <f>k_ea+k_eb*EXP(k_ec*C941)</f>
        <v/>
      </c>
      <c r="H941">
        <f>(k_p2_1+2*k_p2_2*C941)/k_sx</f>
        <v/>
      </c>
      <c r="I941">
        <f>(k_p3_1+C941*(2*k_p3_2+3*k_p3_3*C941))/k_sx</f>
        <v/>
      </c>
      <c r="J941">
        <f>(k_p4_1+C941*(2*k_p4_2+C941*(3*k_p4_3+4*k_p4_4*C941)))/k_sx</f>
        <v/>
      </c>
      <c r="K941">
        <f>k_eb*k_ec*EXP(k_ec*C941)/k_sx</f>
        <v/>
      </c>
      <c r="L941">
        <f>(2*k_p4_2+C941*(6*k_p4_3+12*k_p4_4*C941))/k_sx^2</f>
        <v/>
      </c>
      <c r="M941">
        <f>D941/B941</f>
        <v/>
      </c>
      <c r="N941">
        <f>E941/B941</f>
        <v/>
      </c>
      <c r="O941">
        <f>F941/B941</f>
        <v/>
      </c>
      <c r="P941">
        <f>G941/B941</f>
        <v/>
      </c>
      <c r="Q941">
        <f>CHOOSE(k_model,D941,E941,F941,G941)</f>
        <v/>
      </c>
      <c r="R941">
        <f>CHOOSE(k_model,H941,I941,J941,K941)</f>
        <v/>
      </c>
    </row>
    <row r="942">
      <c r="A942" t="n">
        <v>940</v>
      </c>
      <c r="B942">
        <f>k_lo+k_rng*A942/1000</f>
        <v/>
      </c>
      <c r="C942">
        <f>(B942-k_mx)/k_sx</f>
        <v/>
      </c>
      <c r="D942">
        <f>k_p2_0+C942*(k_p2_1+C942*k_p2_2)</f>
        <v/>
      </c>
      <c r="E942">
        <f>k_p3_0+C942*(k_p3_1+C942*(k_p3_2+C942*k_p3_3))</f>
        <v/>
      </c>
      <c r="F942">
        <f>k_p4_0+C942*(k_p4_1+C942*(k_p4_2+C942*(k_p4_3+C942*k_p4_4)))</f>
        <v/>
      </c>
      <c r="G942">
        <f>k_ea+k_eb*EXP(k_ec*C942)</f>
        <v/>
      </c>
      <c r="H942">
        <f>(k_p2_1+2*k_p2_2*C942)/k_sx</f>
        <v/>
      </c>
      <c r="I942">
        <f>(k_p3_1+C942*(2*k_p3_2+3*k_p3_3*C942))/k_sx</f>
        <v/>
      </c>
      <c r="J942">
        <f>(k_p4_1+C942*(2*k_p4_2+C942*(3*k_p4_3+4*k_p4_4*C942)))/k_sx</f>
        <v/>
      </c>
      <c r="K942">
        <f>k_eb*k_ec*EXP(k_ec*C942)/k_sx</f>
        <v/>
      </c>
      <c r="L942">
        <f>(2*k_p4_2+C942*(6*k_p4_3+12*k_p4_4*C942))/k_sx^2</f>
        <v/>
      </c>
      <c r="M942">
        <f>D942/B942</f>
        <v/>
      </c>
      <c r="N942">
        <f>E942/B942</f>
        <v/>
      </c>
      <c r="O942">
        <f>F942/B942</f>
        <v/>
      </c>
      <c r="P942">
        <f>G942/B942</f>
        <v/>
      </c>
      <c r="Q942">
        <f>CHOOSE(k_model,D942,E942,F942,G942)</f>
        <v/>
      </c>
      <c r="R942">
        <f>CHOOSE(k_model,H942,I942,J942,K942)</f>
        <v/>
      </c>
    </row>
    <row r="943">
      <c r="A943" t="n">
        <v>941</v>
      </c>
      <c r="B943">
        <f>k_lo+k_rng*A943/1000</f>
        <v/>
      </c>
      <c r="C943">
        <f>(B943-k_mx)/k_sx</f>
        <v/>
      </c>
      <c r="D943">
        <f>k_p2_0+C943*(k_p2_1+C943*k_p2_2)</f>
        <v/>
      </c>
      <c r="E943">
        <f>k_p3_0+C943*(k_p3_1+C943*(k_p3_2+C943*k_p3_3))</f>
        <v/>
      </c>
      <c r="F943">
        <f>k_p4_0+C943*(k_p4_1+C943*(k_p4_2+C943*(k_p4_3+C943*k_p4_4)))</f>
        <v/>
      </c>
      <c r="G943">
        <f>k_ea+k_eb*EXP(k_ec*C943)</f>
        <v/>
      </c>
      <c r="H943">
        <f>(k_p2_1+2*k_p2_2*C943)/k_sx</f>
        <v/>
      </c>
      <c r="I943">
        <f>(k_p3_1+C943*(2*k_p3_2+3*k_p3_3*C943))/k_sx</f>
        <v/>
      </c>
      <c r="J943">
        <f>(k_p4_1+C943*(2*k_p4_2+C943*(3*k_p4_3+4*k_p4_4*C943)))/k_sx</f>
        <v/>
      </c>
      <c r="K943">
        <f>k_eb*k_ec*EXP(k_ec*C943)/k_sx</f>
        <v/>
      </c>
      <c r="L943">
        <f>(2*k_p4_2+C943*(6*k_p4_3+12*k_p4_4*C943))/k_sx^2</f>
        <v/>
      </c>
      <c r="M943">
        <f>D943/B943</f>
        <v/>
      </c>
      <c r="N943">
        <f>E943/B943</f>
        <v/>
      </c>
      <c r="O943">
        <f>F943/B943</f>
        <v/>
      </c>
      <c r="P943">
        <f>G943/B943</f>
        <v/>
      </c>
      <c r="Q943">
        <f>CHOOSE(k_model,D943,E943,F943,G943)</f>
        <v/>
      </c>
      <c r="R943">
        <f>CHOOSE(k_model,H943,I943,J943,K943)</f>
        <v/>
      </c>
    </row>
    <row r="944">
      <c r="A944" t="n">
        <v>942</v>
      </c>
      <c r="B944">
        <f>k_lo+k_rng*A944/1000</f>
        <v/>
      </c>
      <c r="C944">
        <f>(B944-k_mx)/k_sx</f>
        <v/>
      </c>
      <c r="D944">
        <f>k_p2_0+C944*(k_p2_1+C944*k_p2_2)</f>
        <v/>
      </c>
      <c r="E944">
        <f>k_p3_0+C944*(k_p3_1+C944*(k_p3_2+C944*k_p3_3))</f>
        <v/>
      </c>
      <c r="F944">
        <f>k_p4_0+C944*(k_p4_1+C944*(k_p4_2+C944*(k_p4_3+C944*k_p4_4)))</f>
        <v/>
      </c>
      <c r="G944">
        <f>k_ea+k_eb*EXP(k_ec*C944)</f>
        <v/>
      </c>
      <c r="H944">
        <f>(k_p2_1+2*k_p2_2*C944)/k_sx</f>
        <v/>
      </c>
      <c r="I944">
        <f>(k_p3_1+C944*(2*k_p3_2+3*k_p3_3*C944))/k_sx</f>
        <v/>
      </c>
      <c r="J944">
        <f>(k_p4_1+C944*(2*k_p4_2+C944*(3*k_p4_3+4*k_p4_4*C944)))/k_sx</f>
        <v/>
      </c>
      <c r="K944">
        <f>k_eb*k_ec*EXP(k_ec*C944)/k_sx</f>
        <v/>
      </c>
      <c r="L944">
        <f>(2*k_p4_2+C944*(6*k_p4_3+12*k_p4_4*C944))/k_sx^2</f>
        <v/>
      </c>
      <c r="M944">
        <f>D944/B944</f>
        <v/>
      </c>
      <c r="N944">
        <f>E944/B944</f>
        <v/>
      </c>
      <c r="O944">
        <f>F944/B944</f>
        <v/>
      </c>
      <c r="P944">
        <f>G944/B944</f>
        <v/>
      </c>
      <c r="Q944">
        <f>CHOOSE(k_model,D944,E944,F944,G944)</f>
        <v/>
      </c>
      <c r="R944">
        <f>CHOOSE(k_model,H944,I944,J944,K944)</f>
        <v/>
      </c>
    </row>
    <row r="945">
      <c r="A945" t="n">
        <v>943</v>
      </c>
      <c r="B945">
        <f>k_lo+k_rng*A945/1000</f>
        <v/>
      </c>
      <c r="C945">
        <f>(B945-k_mx)/k_sx</f>
        <v/>
      </c>
      <c r="D945">
        <f>k_p2_0+C945*(k_p2_1+C945*k_p2_2)</f>
        <v/>
      </c>
      <c r="E945">
        <f>k_p3_0+C945*(k_p3_1+C945*(k_p3_2+C945*k_p3_3))</f>
        <v/>
      </c>
      <c r="F945">
        <f>k_p4_0+C945*(k_p4_1+C945*(k_p4_2+C945*(k_p4_3+C945*k_p4_4)))</f>
        <v/>
      </c>
      <c r="G945">
        <f>k_ea+k_eb*EXP(k_ec*C945)</f>
        <v/>
      </c>
      <c r="H945">
        <f>(k_p2_1+2*k_p2_2*C945)/k_sx</f>
        <v/>
      </c>
      <c r="I945">
        <f>(k_p3_1+C945*(2*k_p3_2+3*k_p3_3*C945))/k_sx</f>
        <v/>
      </c>
      <c r="J945">
        <f>(k_p4_1+C945*(2*k_p4_2+C945*(3*k_p4_3+4*k_p4_4*C945)))/k_sx</f>
        <v/>
      </c>
      <c r="K945">
        <f>k_eb*k_ec*EXP(k_ec*C945)/k_sx</f>
        <v/>
      </c>
      <c r="L945">
        <f>(2*k_p4_2+C945*(6*k_p4_3+12*k_p4_4*C945))/k_sx^2</f>
        <v/>
      </c>
      <c r="M945">
        <f>D945/B945</f>
        <v/>
      </c>
      <c r="N945">
        <f>E945/B945</f>
        <v/>
      </c>
      <c r="O945">
        <f>F945/B945</f>
        <v/>
      </c>
      <c r="P945">
        <f>G945/B945</f>
        <v/>
      </c>
      <c r="Q945">
        <f>CHOOSE(k_model,D945,E945,F945,G945)</f>
        <v/>
      </c>
      <c r="R945">
        <f>CHOOSE(k_model,H945,I945,J945,K945)</f>
        <v/>
      </c>
    </row>
    <row r="946">
      <c r="A946" t="n">
        <v>944</v>
      </c>
      <c r="B946">
        <f>k_lo+k_rng*A946/1000</f>
        <v/>
      </c>
      <c r="C946">
        <f>(B946-k_mx)/k_sx</f>
        <v/>
      </c>
      <c r="D946">
        <f>k_p2_0+C946*(k_p2_1+C946*k_p2_2)</f>
        <v/>
      </c>
      <c r="E946">
        <f>k_p3_0+C946*(k_p3_1+C946*(k_p3_2+C946*k_p3_3))</f>
        <v/>
      </c>
      <c r="F946">
        <f>k_p4_0+C946*(k_p4_1+C946*(k_p4_2+C946*(k_p4_3+C946*k_p4_4)))</f>
        <v/>
      </c>
      <c r="G946">
        <f>k_ea+k_eb*EXP(k_ec*C946)</f>
        <v/>
      </c>
      <c r="H946">
        <f>(k_p2_1+2*k_p2_2*C946)/k_sx</f>
        <v/>
      </c>
      <c r="I946">
        <f>(k_p3_1+C946*(2*k_p3_2+3*k_p3_3*C946))/k_sx</f>
        <v/>
      </c>
      <c r="J946">
        <f>(k_p4_1+C946*(2*k_p4_2+C946*(3*k_p4_3+4*k_p4_4*C946)))/k_sx</f>
        <v/>
      </c>
      <c r="K946">
        <f>k_eb*k_ec*EXP(k_ec*C946)/k_sx</f>
        <v/>
      </c>
      <c r="L946">
        <f>(2*k_p4_2+C946*(6*k_p4_3+12*k_p4_4*C946))/k_sx^2</f>
        <v/>
      </c>
      <c r="M946">
        <f>D946/B946</f>
        <v/>
      </c>
      <c r="N946">
        <f>E946/B946</f>
        <v/>
      </c>
      <c r="O946">
        <f>F946/B946</f>
        <v/>
      </c>
      <c r="P946">
        <f>G946/B946</f>
        <v/>
      </c>
      <c r="Q946">
        <f>CHOOSE(k_model,D946,E946,F946,G946)</f>
        <v/>
      </c>
      <c r="R946">
        <f>CHOOSE(k_model,H946,I946,J946,K946)</f>
        <v/>
      </c>
    </row>
    <row r="947">
      <c r="A947" t="n">
        <v>945</v>
      </c>
      <c r="B947">
        <f>k_lo+k_rng*A947/1000</f>
        <v/>
      </c>
      <c r="C947">
        <f>(B947-k_mx)/k_sx</f>
        <v/>
      </c>
      <c r="D947">
        <f>k_p2_0+C947*(k_p2_1+C947*k_p2_2)</f>
        <v/>
      </c>
      <c r="E947">
        <f>k_p3_0+C947*(k_p3_1+C947*(k_p3_2+C947*k_p3_3))</f>
        <v/>
      </c>
      <c r="F947">
        <f>k_p4_0+C947*(k_p4_1+C947*(k_p4_2+C947*(k_p4_3+C947*k_p4_4)))</f>
        <v/>
      </c>
      <c r="G947">
        <f>k_ea+k_eb*EXP(k_ec*C947)</f>
        <v/>
      </c>
      <c r="H947">
        <f>(k_p2_1+2*k_p2_2*C947)/k_sx</f>
        <v/>
      </c>
      <c r="I947">
        <f>(k_p3_1+C947*(2*k_p3_2+3*k_p3_3*C947))/k_sx</f>
        <v/>
      </c>
      <c r="J947">
        <f>(k_p4_1+C947*(2*k_p4_2+C947*(3*k_p4_3+4*k_p4_4*C947)))/k_sx</f>
        <v/>
      </c>
      <c r="K947">
        <f>k_eb*k_ec*EXP(k_ec*C947)/k_sx</f>
        <v/>
      </c>
      <c r="L947">
        <f>(2*k_p4_2+C947*(6*k_p4_3+12*k_p4_4*C947))/k_sx^2</f>
        <v/>
      </c>
      <c r="M947">
        <f>D947/B947</f>
        <v/>
      </c>
      <c r="N947">
        <f>E947/B947</f>
        <v/>
      </c>
      <c r="O947">
        <f>F947/B947</f>
        <v/>
      </c>
      <c r="P947">
        <f>G947/B947</f>
        <v/>
      </c>
      <c r="Q947">
        <f>CHOOSE(k_model,D947,E947,F947,G947)</f>
        <v/>
      </c>
      <c r="R947">
        <f>CHOOSE(k_model,H947,I947,J947,K947)</f>
        <v/>
      </c>
    </row>
    <row r="948">
      <c r="A948" t="n">
        <v>946</v>
      </c>
      <c r="B948">
        <f>k_lo+k_rng*A948/1000</f>
        <v/>
      </c>
      <c r="C948">
        <f>(B948-k_mx)/k_sx</f>
        <v/>
      </c>
      <c r="D948">
        <f>k_p2_0+C948*(k_p2_1+C948*k_p2_2)</f>
        <v/>
      </c>
      <c r="E948">
        <f>k_p3_0+C948*(k_p3_1+C948*(k_p3_2+C948*k_p3_3))</f>
        <v/>
      </c>
      <c r="F948">
        <f>k_p4_0+C948*(k_p4_1+C948*(k_p4_2+C948*(k_p4_3+C948*k_p4_4)))</f>
        <v/>
      </c>
      <c r="G948">
        <f>k_ea+k_eb*EXP(k_ec*C948)</f>
        <v/>
      </c>
      <c r="H948">
        <f>(k_p2_1+2*k_p2_2*C948)/k_sx</f>
        <v/>
      </c>
      <c r="I948">
        <f>(k_p3_1+C948*(2*k_p3_2+3*k_p3_3*C948))/k_sx</f>
        <v/>
      </c>
      <c r="J948">
        <f>(k_p4_1+C948*(2*k_p4_2+C948*(3*k_p4_3+4*k_p4_4*C948)))/k_sx</f>
        <v/>
      </c>
      <c r="K948">
        <f>k_eb*k_ec*EXP(k_ec*C948)/k_sx</f>
        <v/>
      </c>
      <c r="L948">
        <f>(2*k_p4_2+C948*(6*k_p4_3+12*k_p4_4*C948))/k_sx^2</f>
        <v/>
      </c>
      <c r="M948">
        <f>D948/B948</f>
        <v/>
      </c>
      <c r="N948">
        <f>E948/B948</f>
        <v/>
      </c>
      <c r="O948">
        <f>F948/B948</f>
        <v/>
      </c>
      <c r="P948">
        <f>G948/B948</f>
        <v/>
      </c>
      <c r="Q948">
        <f>CHOOSE(k_model,D948,E948,F948,G948)</f>
        <v/>
      </c>
      <c r="R948">
        <f>CHOOSE(k_model,H948,I948,J948,K948)</f>
        <v/>
      </c>
    </row>
    <row r="949">
      <c r="A949" t="n">
        <v>947</v>
      </c>
      <c r="B949">
        <f>k_lo+k_rng*A949/1000</f>
        <v/>
      </c>
      <c r="C949">
        <f>(B949-k_mx)/k_sx</f>
        <v/>
      </c>
      <c r="D949">
        <f>k_p2_0+C949*(k_p2_1+C949*k_p2_2)</f>
        <v/>
      </c>
      <c r="E949">
        <f>k_p3_0+C949*(k_p3_1+C949*(k_p3_2+C949*k_p3_3))</f>
        <v/>
      </c>
      <c r="F949">
        <f>k_p4_0+C949*(k_p4_1+C949*(k_p4_2+C949*(k_p4_3+C949*k_p4_4)))</f>
        <v/>
      </c>
      <c r="G949">
        <f>k_ea+k_eb*EXP(k_ec*C949)</f>
        <v/>
      </c>
      <c r="H949">
        <f>(k_p2_1+2*k_p2_2*C949)/k_sx</f>
        <v/>
      </c>
      <c r="I949">
        <f>(k_p3_1+C949*(2*k_p3_2+3*k_p3_3*C949))/k_sx</f>
        <v/>
      </c>
      <c r="J949">
        <f>(k_p4_1+C949*(2*k_p4_2+C949*(3*k_p4_3+4*k_p4_4*C949)))/k_sx</f>
        <v/>
      </c>
      <c r="K949">
        <f>k_eb*k_ec*EXP(k_ec*C949)/k_sx</f>
        <v/>
      </c>
      <c r="L949">
        <f>(2*k_p4_2+C949*(6*k_p4_3+12*k_p4_4*C949))/k_sx^2</f>
        <v/>
      </c>
      <c r="M949">
        <f>D949/B949</f>
        <v/>
      </c>
      <c r="N949">
        <f>E949/B949</f>
        <v/>
      </c>
      <c r="O949">
        <f>F949/B949</f>
        <v/>
      </c>
      <c r="P949">
        <f>G949/B949</f>
        <v/>
      </c>
      <c r="Q949">
        <f>CHOOSE(k_model,D949,E949,F949,G949)</f>
        <v/>
      </c>
      <c r="R949">
        <f>CHOOSE(k_model,H949,I949,J949,K949)</f>
        <v/>
      </c>
    </row>
    <row r="950">
      <c r="A950" t="n">
        <v>948</v>
      </c>
      <c r="B950">
        <f>k_lo+k_rng*A950/1000</f>
        <v/>
      </c>
      <c r="C950">
        <f>(B950-k_mx)/k_sx</f>
        <v/>
      </c>
      <c r="D950">
        <f>k_p2_0+C950*(k_p2_1+C950*k_p2_2)</f>
        <v/>
      </c>
      <c r="E950">
        <f>k_p3_0+C950*(k_p3_1+C950*(k_p3_2+C950*k_p3_3))</f>
        <v/>
      </c>
      <c r="F950">
        <f>k_p4_0+C950*(k_p4_1+C950*(k_p4_2+C950*(k_p4_3+C950*k_p4_4)))</f>
        <v/>
      </c>
      <c r="G950">
        <f>k_ea+k_eb*EXP(k_ec*C950)</f>
        <v/>
      </c>
      <c r="H950">
        <f>(k_p2_1+2*k_p2_2*C950)/k_sx</f>
        <v/>
      </c>
      <c r="I950">
        <f>(k_p3_1+C950*(2*k_p3_2+3*k_p3_3*C950))/k_sx</f>
        <v/>
      </c>
      <c r="J950">
        <f>(k_p4_1+C950*(2*k_p4_2+C950*(3*k_p4_3+4*k_p4_4*C950)))/k_sx</f>
        <v/>
      </c>
      <c r="K950">
        <f>k_eb*k_ec*EXP(k_ec*C950)/k_sx</f>
        <v/>
      </c>
      <c r="L950">
        <f>(2*k_p4_2+C950*(6*k_p4_3+12*k_p4_4*C950))/k_sx^2</f>
        <v/>
      </c>
      <c r="M950">
        <f>D950/B950</f>
        <v/>
      </c>
      <c r="N950">
        <f>E950/B950</f>
        <v/>
      </c>
      <c r="O950">
        <f>F950/B950</f>
        <v/>
      </c>
      <c r="P950">
        <f>G950/B950</f>
        <v/>
      </c>
      <c r="Q950">
        <f>CHOOSE(k_model,D950,E950,F950,G950)</f>
        <v/>
      </c>
      <c r="R950">
        <f>CHOOSE(k_model,H950,I950,J950,K950)</f>
        <v/>
      </c>
    </row>
    <row r="951">
      <c r="A951" t="n">
        <v>949</v>
      </c>
      <c r="B951">
        <f>k_lo+k_rng*A951/1000</f>
        <v/>
      </c>
      <c r="C951">
        <f>(B951-k_mx)/k_sx</f>
        <v/>
      </c>
      <c r="D951">
        <f>k_p2_0+C951*(k_p2_1+C951*k_p2_2)</f>
        <v/>
      </c>
      <c r="E951">
        <f>k_p3_0+C951*(k_p3_1+C951*(k_p3_2+C951*k_p3_3))</f>
        <v/>
      </c>
      <c r="F951">
        <f>k_p4_0+C951*(k_p4_1+C951*(k_p4_2+C951*(k_p4_3+C951*k_p4_4)))</f>
        <v/>
      </c>
      <c r="G951">
        <f>k_ea+k_eb*EXP(k_ec*C951)</f>
        <v/>
      </c>
      <c r="H951">
        <f>(k_p2_1+2*k_p2_2*C951)/k_sx</f>
        <v/>
      </c>
      <c r="I951">
        <f>(k_p3_1+C951*(2*k_p3_2+3*k_p3_3*C951))/k_sx</f>
        <v/>
      </c>
      <c r="J951">
        <f>(k_p4_1+C951*(2*k_p4_2+C951*(3*k_p4_3+4*k_p4_4*C951)))/k_sx</f>
        <v/>
      </c>
      <c r="K951">
        <f>k_eb*k_ec*EXP(k_ec*C951)/k_sx</f>
        <v/>
      </c>
      <c r="L951">
        <f>(2*k_p4_2+C951*(6*k_p4_3+12*k_p4_4*C951))/k_sx^2</f>
        <v/>
      </c>
      <c r="M951">
        <f>D951/B951</f>
        <v/>
      </c>
      <c r="N951">
        <f>E951/B951</f>
        <v/>
      </c>
      <c r="O951">
        <f>F951/B951</f>
        <v/>
      </c>
      <c r="P951">
        <f>G951/B951</f>
        <v/>
      </c>
      <c r="Q951">
        <f>CHOOSE(k_model,D951,E951,F951,G951)</f>
        <v/>
      </c>
      <c r="R951">
        <f>CHOOSE(k_model,H951,I951,J951,K951)</f>
        <v/>
      </c>
    </row>
    <row r="952">
      <c r="A952" t="n">
        <v>950</v>
      </c>
      <c r="B952">
        <f>k_lo+k_rng*A952/1000</f>
        <v/>
      </c>
      <c r="C952">
        <f>(B952-k_mx)/k_sx</f>
        <v/>
      </c>
      <c r="D952">
        <f>k_p2_0+C952*(k_p2_1+C952*k_p2_2)</f>
        <v/>
      </c>
      <c r="E952">
        <f>k_p3_0+C952*(k_p3_1+C952*(k_p3_2+C952*k_p3_3))</f>
        <v/>
      </c>
      <c r="F952">
        <f>k_p4_0+C952*(k_p4_1+C952*(k_p4_2+C952*(k_p4_3+C952*k_p4_4)))</f>
        <v/>
      </c>
      <c r="G952">
        <f>k_ea+k_eb*EXP(k_ec*C952)</f>
        <v/>
      </c>
      <c r="H952">
        <f>(k_p2_1+2*k_p2_2*C952)/k_sx</f>
        <v/>
      </c>
      <c r="I952">
        <f>(k_p3_1+C952*(2*k_p3_2+3*k_p3_3*C952))/k_sx</f>
        <v/>
      </c>
      <c r="J952">
        <f>(k_p4_1+C952*(2*k_p4_2+C952*(3*k_p4_3+4*k_p4_4*C952)))/k_sx</f>
        <v/>
      </c>
      <c r="K952">
        <f>k_eb*k_ec*EXP(k_ec*C952)/k_sx</f>
        <v/>
      </c>
      <c r="L952">
        <f>(2*k_p4_2+C952*(6*k_p4_3+12*k_p4_4*C952))/k_sx^2</f>
        <v/>
      </c>
      <c r="M952">
        <f>D952/B952</f>
        <v/>
      </c>
      <c r="N952">
        <f>E952/B952</f>
        <v/>
      </c>
      <c r="O952">
        <f>F952/B952</f>
        <v/>
      </c>
      <c r="P952">
        <f>G952/B952</f>
        <v/>
      </c>
      <c r="Q952">
        <f>CHOOSE(k_model,D952,E952,F952,G952)</f>
        <v/>
      </c>
      <c r="R952">
        <f>CHOOSE(k_model,H952,I952,J952,K952)</f>
        <v/>
      </c>
    </row>
    <row r="953">
      <c r="A953" t="n">
        <v>951</v>
      </c>
      <c r="B953">
        <f>k_lo+k_rng*A953/1000</f>
        <v/>
      </c>
      <c r="C953">
        <f>(B953-k_mx)/k_sx</f>
        <v/>
      </c>
      <c r="D953">
        <f>k_p2_0+C953*(k_p2_1+C953*k_p2_2)</f>
        <v/>
      </c>
      <c r="E953">
        <f>k_p3_0+C953*(k_p3_1+C953*(k_p3_2+C953*k_p3_3))</f>
        <v/>
      </c>
      <c r="F953">
        <f>k_p4_0+C953*(k_p4_1+C953*(k_p4_2+C953*(k_p4_3+C953*k_p4_4)))</f>
        <v/>
      </c>
      <c r="G953">
        <f>k_ea+k_eb*EXP(k_ec*C953)</f>
        <v/>
      </c>
      <c r="H953">
        <f>(k_p2_1+2*k_p2_2*C953)/k_sx</f>
        <v/>
      </c>
      <c r="I953">
        <f>(k_p3_1+C953*(2*k_p3_2+3*k_p3_3*C953))/k_sx</f>
        <v/>
      </c>
      <c r="J953">
        <f>(k_p4_1+C953*(2*k_p4_2+C953*(3*k_p4_3+4*k_p4_4*C953)))/k_sx</f>
        <v/>
      </c>
      <c r="K953">
        <f>k_eb*k_ec*EXP(k_ec*C953)/k_sx</f>
        <v/>
      </c>
      <c r="L953">
        <f>(2*k_p4_2+C953*(6*k_p4_3+12*k_p4_4*C953))/k_sx^2</f>
        <v/>
      </c>
      <c r="M953">
        <f>D953/B953</f>
        <v/>
      </c>
      <c r="N953">
        <f>E953/B953</f>
        <v/>
      </c>
      <c r="O953">
        <f>F953/B953</f>
        <v/>
      </c>
      <c r="P953">
        <f>G953/B953</f>
        <v/>
      </c>
      <c r="Q953">
        <f>CHOOSE(k_model,D953,E953,F953,G953)</f>
        <v/>
      </c>
      <c r="R953">
        <f>CHOOSE(k_model,H953,I953,J953,K953)</f>
        <v/>
      </c>
    </row>
    <row r="954">
      <c r="A954" t="n">
        <v>952</v>
      </c>
      <c r="B954">
        <f>k_lo+k_rng*A954/1000</f>
        <v/>
      </c>
      <c r="C954">
        <f>(B954-k_mx)/k_sx</f>
        <v/>
      </c>
      <c r="D954">
        <f>k_p2_0+C954*(k_p2_1+C954*k_p2_2)</f>
        <v/>
      </c>
      <c r="E954">
        <f>k_p3_0+C954*(k_p3_1+C954*(k_p3_2+C954*k_p3_3))</f>
        <v/>
      </c>
      <c r="F954">
        <f>k_p4_0+C954*(k_p4_1+C954*(k_p4_2+C954*(k_p4_3+C954*k_p4_4)))</f>
        <v/>
      </c>
      <c r="G954">
        <f>k_ea+k_eb*EXP(k_ec*C954)</f>
        <v/>
      </c>
      <c r="H954">
        <f>(k_p2_1+2*k_p2_2*C954)/k_sx</f>
        <v/>
      </c>
      <c r="I954">
        <f>(k_p3_1+C954*(2*k_p3_2+3*k_p3_3*C954))/k_sx</f>
        <v/>
      </c>
      <c r="J954">
        <f>(k_p4_1+C954*(2*k_p4_2+C954*(3*k_p4_3+4*k_p4_4*C954)))/k_sx</f>
        <v/>
      </c>
      <c r="K954">
        <f>k_eb*k_ec*EXP(k_ec*C954)/k_sx</f>
        <v/>
      </c>
      <c r="L954">
        <f>(2*k_p4_2+C954*(6*k_p4_3+12*k_p4_4*C954))/k_sx^2</f>
        <v/>
      </c>
      <c r="M954">
        <f>D954/B954</f>
        <v/>
      </c>
      <c r="N954">
        <f>E954/B954</f>
        <v/>
      </c>
      <c r="O954">
        <f>F954/B954</f>
        <v/>
      </c>
      <c r="P954">
        <f>G954/B954</f>
        <v/>
      </c>
      <c r="Q954">
        <f>CHOOSE(k_model,D954,E954,F954,G954)</f>
        <v/>
      </c>
      <c r="R954">
        <f>CHOOSE(k_model,H954,I954,J954,K954)</f>
        <v/>
      </c>
    </row>
    <row r="955">
      <c r="A955" t="n">
        <v>953</v>
      </c>
      <c r="B955">
        <f>k_lo+k_rng*A955/1000</f>
        <v/>
      </c>
      <c r="C955">
        <f>(B955-k_mx)/k_sx</f>
        <v/>
      </c>
      <c r="D955">
        <f>k_p2_0+C955*(k_p2_1+C955*k_p2_2)</f>
        <v/>
      </c>
      <c r="E955">
        <f>k_p3_0+C955*(k_p3_1+C955*(k_p3_2+C955*k_p3_3))</f>
        <v/>
      </c>
      <c r="F955">
        <f>k_p4_0+C955*(k_p4_1+C955*(k_p4_2+C955*(k_p4_3+C955*k_p4_4)))</f>
        <v/>
      </c>
      <c r="G955">
        <f>k_ea+k_eb*EXP(k_ec*C955)</f>
        <v/>
      </c>
      <c r="H955">
        <f>(k_p2_1+2*k_p2_2*C955)/k_sx</f>
        <v/>
      </c>
      <c r="I955">
        <f>(k_p3_1+C955*(2*k_p3_2+3*k_p3_3*C955))/k_sx</f>
        <v/>
      </c>
      <c r="J955">
        <f>(k_p4_1+C955*(2*k_p4_2+C955*(3*k_p4_3+4*k_p4_4*C955)))/k_sx</f>
        <v/>
      </c>
      <c r="K955">
        <f>k_eb*k_ec*EXP(k_ec*C955)/k_sx</f>
        <v/>
      </c>
      <c r="L955">
        <f>(2*k_p4_2+C955*(6*k_p4_3+12*k_p4_4*C955))/k_sx^2</f>
        <v/>
      </c>
      <c r="M955">
        <f>D955/B955</f>
        <v/>
      </c>
      <c r="N955">
        <f>E955/B955</f>
        <v/>
      </c>
      <c r="O955">
        <f>F955/B955</f>
        <v/>
      </c>
      <c r="P955">
        <f>G955/B955</f>
        <v/>
      </c>
      <c r="Q955">
        <f>CHOOSE(k_model,D955,E955,F955,G955)</f>
        <v/>
      </c>
      <c r="R955">
        <f>CHOOSE(k_model,H955,I955,J955,K955)</f>
        <v/>
      </c>
    </row>
    <row r="956">
      <c r="A956" t="n">
        <v>954</v>
      </c>
      <c r="B956">
        <f>k_lo+k_rng*A956/1000</f>
        <v/>
      </c>
      <c r="C956">
        <f>(B956-k_mx)/k_sx</f>
        <v/>
      </c>
      <c r="D956">
        <f>k_p2_0+C956*(k_p2_1+C956*k_p2_2)</f>
        <v/>
      </c>
      <c r="E956">
        <f>k_p3_0+C956*(k_p3_1+C956*(k_p3_2+C956*k_p3_3))</f>
        <v/>
      </c>
      <c r="F956">
        <f>k_p4_0+C956*(k_p4_1+C956*(k_p4_2+C956*(k_p4_3+C956*k_p4_4)))</f>
        <v/>
      </c>
      <c r="G956">
        <f>k_ea+k_eb*EXP(k_ec*C956)</f>
        <v/>
      </c>
      <c r="H956">
        <f>(k_p2_1+2*k_p2_2*C956)/k_sx</f>
        <v/>
      </c>
      <c r="I956">
        <f>(k_p3_1+C956*(2*k_p3_2+3*k_p3_3*C956))/k_sx</f>
        <v/>
      </c>
      <c r="J956">
        <f>(k_p4_1+C956*(2*k_p4_2+C956*(3*k_p4_3+4*k_p4_4*C956)))/k_sx</f>
        <v/>
      </c>
      <c r="K956">
        <f>k_eb*k_ec*EXP(k_ec*C956)/k_sx</f>
        <v/>
      </c>
      <c r="L956">
        <f>(2*k_p4_2+C956*(6*k_p4_3+12*k_p4_4*C956))/k_sx^2</f>
        <v/>
      </c>
      <c r="M956">
        <f>D956/B956</f>
        <v/>
      </c>
      <c r="N956">
        <f>E956/B956</f>
        <v/>
      </c>
      <c r="O956">
        <f>F956/B956</f>
        <v/>
      </c>
      <c r="P956">
        <f>G956/B956</f>
        <v/>
      </c>
      <c r="Q956">
        <f>CHOOSE(k_model,D956,E956,F956,G956)</f>
        <v/>
      </c>
      <c r="R956">
        <f>CHOOSE(k_model,H956,I956,J956,K956)</f>
        <v/>
      </c>
    </row>
    <row r="957">
      <c r="A957" t="n">
        <v>955</v>
      </c>
      <c r="B957">
        <f>k_lo+k_rng*A957/1000</f>
        <v/>
      </c>
      <c r="C957">
        <f>(B957-k_mx)/k_sx</f>
        <v/>
      </c>
      <c r="D957">
        <f>k_p2_0+C957*(k_p2_1+C957*k_p2_2)</f>
        <v/>
      </c>
      <c r="E957">
        <f>k_p3_0+C957*(k_p3_1+C957*(k_p3_2+C957*k_p3_3))</f>
        <v/>
      </c>
      <c r="F957">
        <f>k_p4_0+C957*(k_p4_1+C957*(k_p4_2+C957*(k_p4_3+C957*k_p4_4)))</f>
        <v/>
      </c>
      <c r="G957">
        <f>k_ea+k_eb*EXP(k_ec*C957)</f>
        <v/>
      </c>
      <c r="H957">
        <f>(k_p2_1+2*k_p2_2*C957)/k_sx</f>
        <v/>
      </c>
      <c r="I957">
        <f>(k_p3_1+C957*(2*k_p3_2+3*k_p3_3*C957))/k_sx</f>
        <v/>
      </c>
      <c r="J957">
        <f>(k_p4_1+C957*(2*k_p4_2+C957*(3*k_p4_3+4*k_p4_4*C957)))/k_sx</f>
        <v/>
      </c>
      <c r="K957">
        <f>k_eb*k_ec*EXP(k_ec*C957)/k_sx</f>
        <v/>
      </c>
      <c r="L957">
        <f>(2*k_p4_2+C957*(6*k_p4_3+12*k_p4_4*C957))/k_sx^2</f>
        <v/>
      </c>
      <c r="M957">
        <f>D957/B957</f>
        <v/>
      </c>
      <c r="N957">
        <f>E957/B957</f>
        <v/>
      </c>
      <c r="O957">
        <f>F957/B957</f>
        <v/>
      </c>
      <c r="P957">
        <f>G957/B957</f>
        <v/>
      </c>
      <c r="Q957">
        <f>CHOOSE(k_model,D957,E957,F957,G957)</f>
        <v/>
      </c>
      <c r="R957">
        <f>CHOOSE(k_model,H957,I957,J957,K957)</f>
        <v/>
      </c>
    </row>
    <row r="958">
      <c r="A958" t="n">
        <v>956</v>
      </c>
      <c r="B958">
        <f>k_lo+k_rng*A958/1000</f>
        <v/>
      </c>
      <c r="C958">
        <f>(B958-k_mx)/k_sx</f>
        <v/>
      </c>
      <c r="D958">
        <f>k_p2_0+C958*(k_p2_1+C958*k_p2_2)</f>
        <v/>
      </c>
      <c r="E958">
        <f>k_p3_0+C958*(k_p3_1+C958*(k_p3_2+C958*k_p3_3))</f>
        <v/>
      </c>
      <c r="F958">
        <f>k_p4_0+C958*(k_p4_1+C958*(k_p4_2+C958*(k_p4_3+C958*k_p4_4)))</f>
        <v/>
      </c>
      <c r="G958">
        <f>k_ea+k_eb*EXP(k_ec*C958)</f>
        <v/>
      </c>
      <c r="H958">
        <f>(k_p2_1+2*k_p2_2*C958)/k_sx</f>
        <v/>
      </c>
      <c r="I958">
        <f>(k_p3_1+C958*(2*k_p3_2+3*k_p3_3*C958))/k_sx</f>
        <v/>
      </c>
      <c r="J958">
        <f>(k_p4_1+C958*(2*k_p4_2+C958*(3*k_p4_3+4*k_p4_4*C958)))/k_sx</f>
        <v/>
      </c>
      <c r="K958">
        <f>k_eb*k_ec*EXP(k_ec*C958)/k_sx</f>
        <v/>
      </c>
      <c r="L958">
        <f>(2*k_p4_2+C958*(6*k_p4_3+12*k_p4_4*C958))/k_sx^2</f>
        <v/>
      </c>
      <c r="M958">
        <f>D958/B958</f>
        <v/>
      </c>
      <c r="N958">
        <f>E958/B958</f>
        <v/>
      </c>
      <c r="O958">
        <f>F958/B958</f>
        <v/>
      </c>
      <c r="P958">
        <f>G958/B958</f>
        <v/>
      </c>
      <c r="Q958">
        <f>CHOOSE(k_model,D958,E958,F958,G958)</f>
        <v/>
      </c>
      <c r="R958">
        <f>CHOOSE(k_model,H958,I958,J958,K958)</f>
        <v/>
      </c>
    </row>
    <row r="959">
      <c r="A959" t="n">
        <v>957</v>
      </c>
      <c r="B959">
        <f>k_lo+k_rng*A959/1000</f>
        <v/>
      </c>
      <c r="C959">
        <f>(B959-k_mx)/k_sx</f>
        <v/>
      </c>
      <c r="D959">
        <f>k_p2_0+C959*(k_p2_1+C959*k_p2_2)</f>
        <v/>
      </c>
      <c r="E959">
        <f>k_p3_0+C959*(k_p3_1+C959*(k_p3_2+C959*k_p3_3))</f>
        <v/>
      </c>
      <c r="F959">
        <f>k_p4_0+C959*(k_p4_1+C959*(k_p4_2+C959*(k_p4_3+C959*k_p4_4)))</f>
        <v/>
      </c>
      <c r="G959">
        <f>k_ea+k_eb*EXP(k_ec*C959)</f>
        <v/>
      </c>
      <c r="H959">
        <f>(k_p2_1+2*k_p2_2*C959)/k_sx</f>
        <v/>
      </c>
      <c r="I959">
        <f>(k_p3_1+C959*(2*k_p3_2+3*k_p3_3*C959))/k_sx</f>
        <v/>
      </c>
      <c r="J959">
        <f>(k_p4_1+C959*(2*k_p4_2+C959*(3*k_p4_3+4*k_p4_4*C959)))/k_sx</f>
        <v/>
      </c>
      <c r="K959">
        <f>k_eb*k_ec*EXP(k_ec*C959)/k_sx</f>
        <v/>
      </c>
      <c r="L959">
        <f>(2*k_p4_2+C959*(6*k_p4_3+12*k_p4_4*C959))/k_sx^2</f>
        <v/>
      </c>
      <c r="M959">
        <f>D959/B959</f>
        <v/>
      </c>
      <c r="N959">
        <f>E959/B959</f>
        <v/>
      </c>
      <c r="O959">
        <f>F959/B959</f>
        <v/>
      </c>
      <c r="P959">
        <f>G959/B959</f>
        <v/>
      </c>
      <c r="Q959">
        <f>CHOOSE(k_model,D959,E959,F959,G959)</f>
        <v/>
      </c>
      <c r="R959">
        <f>CHOOSE(k_model,H959,I959,J959,K959)</f>
        <v/>
      </c>
    </row>
    <row r="960">
      <c r="A960" t="n">
        <v>958</v>
      </c>
      <c r="B960">
        <f>k_lo+k_rng*A960/1000</f>
        <v/>
      </c>
      <c r="C960">
        <f>(B960-k_mx)/k_sx</f>
        <v/>
      </c>
      <c r="D960">
        <f>k_p2_0+C960*(k_p2_1+C960*k_p2_2)</f>
        <v/>
      </c>
      <c r="E960">
        <f>k_p3_0+C960*(k_p3_1+C960*(k_p3_2+C960*k_p3_3))</f>
        <v/>
      </c>
      <c r="F960">
        <f>k_p4_0+C960*(k_p4_1+C960*(k_p4_2+C960*(k_p4_3+C960*k_p4_4)))</f>
        <v/>
      </c>
      <c r="G960">
        <f>k_ea+k_eb*EXP(k_ec*C960)</f>
        <v/>
      </c>
      <c r="H960">
        <f>(k_p2_1+2*k_p2_2*C960)/k_sx</f>
        <v/>
      </c>
      <c r="I960">
        <f>(k_p3_1+C960*(2*k_p3_2+3*k_p3_3*C960))/k_sx</f>
        <v/>
      </c>
      <c r="J960">
        <f>(k_p4_1+C960*(2*k_p4_2+C960*(3*k_p4_3+4*k_p4_4*C960)))/k_sx</f>
        <v/>
      </c>
      <c r="K960">
        <f>k_eb*k_ec*EXP(k_ec*C960)/k_sx</f>
        <v/>
      </c>
      <c r="L960">
        <f>(2*k_p4_2+C960*(6*k_p4_3+12*k_p4_4*C960))/k_sx^2</f>
        <v/>
      </c>
      <c r="M960">
        <f>D960/B960</f>
        <v/>
      </c>
      <c r="N960">
        <f>E960/B960</f>
        <v/>
      </c>
      <c r="O960">
        <f>F960/B960</f>
        <v/>
      </c>
      <c r="P960">
        <f>G960/B960</f>
        <v/>
      </c>
      <c r="Q960">
        <f>CHOOSE(k_model,D960,E960,F960,G960)</f>
        <v/>
      </c>
      <c r="R960">
        <f>CHOOSE(k_model,H960,I960,J960,K960)</f>
        <v/>
      </c>
    </row>
    <row r="961">
      <c r="A961" t="n">
        <v>959</v>
      </c>
      <c r="B961">
        <f>k_lo+k_rng*A961/1000</f>
        <v/>
      </c>
      <c r="C961">
        <f>(B961-k_mx)/k_sx</f>
        <v/>
      </c>
      <c r="D961">
        <f>k_p2_0+C961*(k_p2_1+C961*k_p2_2)</f>
        <v/>
      </c>
      <c r="E961">
        <f>k_p3_0+C961*(k_p3_1+C961*(k_p3_2+C961*k_p3_3))</f>
        <v/>
      </c>
      <c r="F961">
        <f>k_p4_0+C961*(k_p4_1+C961*(k_p4_2+C961*(k_p4_3+C961*k_p4_4)))</f>
        <v/>
      </c>
      <c r="G961">
        <f>k_ea+k_eb*EXP(k_ec*C961)</f>
        <v/>
      </c>
      <c r="H961">
        <f>(k_p2_1+2*k_p2_2*C961)/k_sx</f>
        <v/>
      </c>
      <c r="I961">
        <f>(k_p3_1+C961*(2*k_p3_2+3*k_p3_3*C961))/k_sx</f>
        <v/>
      </c>
      <c r="J961">
        <f>(k_p4_1+C961*(2*k_p4_2+C961*(3*k_p4_3+4*k_p4_4*C961)))/k_sx</f>
        <v/>
      </c>
      <c r="K961">
        <f>k_eb*k_ec*EXP(k_ec*C961)/k_sx</f>
        <v/>
      </c>
      <c r="L961">
        <f>(2*k_p4_2+C961*(6*k_p4_3+12*k_p4_4*C961))/k_sx^2</f>
        <v/>
      </c>
      <c r="M961">
        <f>D961/B961</f>
        <v/>
      </c>
      <c r="N961">
        <f>E961/B961</f>
        <v/>
      </c>
      <c r="O961">
        <f>F961/B961</f>
        <v/>
      </c>
      <c r="P961">
        <f>G961/B961</f>
        <v/>
      </c>
      <c r="Q961">
        <f>CHOOSE(k_model,D961,E961,F961,G961)</f>
        <v/>
      </c>
      <c r="R961">
        <f>CHOOSE(k_model,H961,I961,J961,K961)</f>
        <v/>
      </c>
    </row>
    <row r="962">
      <c r="A962" t="n">
        <v>960</v>
      </c>
      <c r="B962">
        <f>k_lo+k_rng*A962/1000</f>
        <v/>
      </c>
      <c r="C962">
        <f>(B962-k_mx)/k_sx</f>
        <v/>
      </c>
      <c r="D962">
        <f>k_p2_0+C962*(k_p2_1+C962*k_p2_2)</f>
        <v/>
      </c>
      <c r="E962">
        <f>k_p3_0+C962*(k_p3_1+C962*(k_p3_2+C962*k_p3_3))</f>
        <v/>
      </c>
      <c r="F962">
        <f>k_p4_0+C962*(k_p4_1+C962*(k_p4_2+C962*(k_p4_3+C962*k_p4_4)))</f>
        <v/>
      </c>
      <c r="G962">
        <f>k_ea+k_eb*EXP(k_ec*C962)</f>
        <v/>
      </c>
      <c r="H962">
        <f>(k_p2_1+2*k_p2_2*C962)/k_sx</f>
        <v/>
      </c>
      <c r="I962">
        <f>(k_p3_1+C962*(2*k_p3_2+3*k_p3_3*C962))/k_sx</f>
        <v/>
      </c>
      <c r="J962">
        <f>(k_p4_1+C962*(2*k_p4_2+C962*(3*k_p4_3+4*k_p4_4*C962)))/k_sx</f>
        <v/>
      </c>
      <c r="K962">
        <f>k_eb*k_ec*EXP(k_ec*C962)/k_sx</f>
        <v/>
      </c>
      <c r="L962">
        <f>(2*k_p4_2+C962*(6*k_p4_3+12*k_p4_4*C962))/k_sx^2</f>
        <v/>
      </c>
      <c r="M962">
        <f>D962/B962</f>
        <v/>
      </c>
      <c r="N962">
        <f>E962/B962</f>
        <v/>
      </c>
      <c r="O962">
        <f>F962/B962</f>
        <v/>
      </c>
      <c r="P962">
        <f>G962/B962</f>
        <v/>
      </c>
      <c r="Q962">
        <f>CHOOSE(k_model,D962,E962,F962,G962)</f>
        <v/>
      </c>
      <c r="R962">
        <f>CHOOSE(k_model,H962,I962,J962,K962)</f>
        <v/>
      </c>
    </row>
    <row r="963">
      <c r="A963" t="n">
        <v>961</v>
      </c>
      <c r="B963">
        <f>k_lo+k_rng*A963/1000</f>
        <v/>
      </c>
      <c r="C963">
        <f>(B963-k_mx)/k_sx</f>
        <v/>
      </c>
      <c r="D963">
        <f>k_p2_0+C963*(k_p2_1+C963*k_p2_2)</f>
        <v/>
      </c>
      <c r="E963">
        <f>k_p3_0+C963*(k_p3_1+C963*(k_p3_2+C963*k_p3_3))</f>
        <v/>
      </c>
      <c r="F963">
        <f>k_p4_0+C963*(k_p4_1+C963*(k_p4_2+C963*(k_p4_3+C963*k_p4_4)))</f>
        <v/>
      </c>
      <c r="G963">
        <f>k_ea+k_eb*EXP(k_ec*C963)</f>
        <v/>
      </c>
      <c r="H963">
        <f>(k_p2_1+2*k_p2_2*C963)/k_sx</f>
        <v/>
      </c>
      <c r="I963">
        <f>(k_p3_1+C963*(2*k_p3_2+3*k_p3_3*C963))/k_sx</f>
        <v/>
      </c>
      <c r="J963">
        <f>(k_p4_1+C963*(2*k_p4_2+C963*(3*k_p4_3+4*k_p4_4*C963)))/k_sx</f>
        <v/>
      </c>
      <c r="K963">
        <f>k_eb*k_ec*EXP(k_ec*C963)/k_sx</f>
        <v/>
      </c>
      <c r="L963">
        <f>(2*k_p4_2+C963*(6*k_p4_3+12*k_p4_4*C963))/k_sx^2</f>
        <v/>
      </c>
      <c r="M963">
        <f>D963/B963</f>
        <v/>
      </c>
      <c r="N963">
        <f>E963/B963</f>
        <v/>
      </c>
      <c r="O963">
        <f>F963/B963</f>
        <v/>
      </c>
      <c r="P963">
        <f>G963/B963</f>
        <v/>
      </c>
      <c r="Q963">
        <f>CHOOSE(k_model,D963,E963,F963,G963)</f>
        <v/>
      </c>
      <c r="R963">
        <f>CHOOSE(k_model,H963,I963,J963,K963)</f>
        <v/>
      </c>
    </row>
    <row r="964">
      <c r="A964" t="n">
        <v>962</v>
      </c>
      <c r="B964">
        <f>k_lo+k_rng*A964/1000</f>
        <v/>
      </c>
      <c r="C964">
        <f>(B964-k_mx)/k_sx</f>
        <v/>
      </c>
      <c r="D964">
        <f>k_p2_0+C964*(k_p2_1+C964*k_p2_2)</f>
        <v/>
      </c>
      <c r="E964">
        <f>k_p3_0+C964*(k_p3_1+C964*(k_p3_2+C964*k_p3_3))</f>
        <v/>
      </c>
      <c r="F964">
        <f>k_p4_0+C964*(k_p4_1+C964*(k_p4_2+C964*(k_p4_3+C964*k_p4_4)))</f>
        <v/>
      </c>
      <c r="G964">
        <f>k_ea+k_eb*EXP(k_ec*C964)</f>
        <v/>
      </c>
      <c r="H964">
        <f>(k_p2_1+2*k_p2_2*C964)/k_sx</f>
        <v/>
      </c>
      <c r="I964">
        <f>(k_p3_1+C964*(2*k_p3_2+3*k_p3_3*C964))/k_sx</f>
        <v/>
      </c>
      <c r="J964">
        <f>(k_p4_1+C964*(2*k_p4_2+C964*(3*k_p4_3+4*k_p4_4*C964)))/k_sx</f>
        <v/>
      </c>
      <c r="K964">
        <f>k_eb*k_ec*EXP(k_ec*C964)/k_sx</f>
        <v/>
      </c>
      <c r="L964">
        <f>(2*k_p4_2+C964*(6*k_p4_3+12*k_p4_4*C964))/k_sx^2</f>
        <v/>
      </c>
      <c r="M964">
        <f>D964/B964</f>
        <v/>
      </c>
      <c r="N964">
        <f>E964/B964</f>
        <v/>
      </c>
      <c r="O964">
        <f>F964/B964</f>
        <v/>
      </c>
      <c r="P964">
        <f>G964/B964</f>
        <v/>
      </c>
      <c r="Q964">
        <f>CHOOSE(k_model,D964,E964,F964,G964)</f>
        <v/>
      </c>
      <c r="R964">
        <f>CHOOSE(k_model,H964,I964,J964,K964)</f>
        <v/>
      </c>
    </row>
    <row r="965">
      <c r="A965" t="n">
        <v>963</v>
      </c>
      <c r="B965">
        <f>k_lo+k_rng*A965/1000</f>
        <v/>
      </c>
      <c r="C965">
        <f>(B965-k_mx)/k_sx</f>
        <v/>
      </c>
      <c r="D965">
        <f>k_p2_0+C965*(k_p2_1+C965*k_p2_2)</f>
        <v/>
      </c>
      <c r="E965">
        <f>k_p3_0+C965*(k_p3_1+C965*(k_p3_2+C965*k_p3_3))</f>
        <v/>
      </c>
      <c r="F965">
        <f>k_p4_0+C965*(k_p4_1+C965*(k_p4_2+C965*(k_p4_3+C965*k_p4_4)))</f>
        <v/>
      </c>
      <c r="G965">
        <f>k_ea+k_eb*EXP(k_ec*C965)</f>
        <v/>
      </c>
      <c r="H965">
        <f>(k_p2_1+2*k_p2_2*C965)/k_sx</f>
        <v/>
      </c>
      <c r="I965">
        <f>(k_p3_1+C965*(2*k_p3_2+3*k_p3_3*C965))/k_sx</f>
        <v/>
      </c>
      <c r="J965">
        <f>(k_p4_1+C965*(2*k_p4_2+C965*(3*k_p4_3+4*k_p4_4*C965)))/k_sx</f>
        <v/>
      </c>
      <c r="K965">
        <f>k_eb*k_ec*EXP(k_ec*C965)/k_sx</f>
        <v/>
      </c>
      <c r="L965">
        <f>(2*k_p4_2+C965*(6*k_p4_3+12*k_p4_4*C965))/k_sx^2</f>
        <v/>
      </c>
      <c r="M965">
        <f>D965/B965</f>
        <v/>
      </c>
      <c r="N965">
        <f>E965/B965</f>
        <v/>
      </c>
      <c r="O965">
        <f>F965/B965</f>
        <v/>
      </c>
      <c r="P965">
        <f>G965/B965</f>
        <v/>
      </c>
      <c r="Q965">
        <f>CHOOSE(k_model,D965,E965,F965,G965)</f>
        <v/>
      </c>
      <c r="R965">
        <f>CHOOSE(k_model,H965,I965,J965,K965)</f>
        <v/>
      </c>
    </row>
    <row r="966">
      <c r="A966" t="n">
        <v>964</v>
      </c>
      <c r="B966">
        <f>k_lo+k_rng*A966/1000</f>
        <v/>
      </c>
      <c r="C966">
        <f>(B966-k_mx)/k_sx</f>
        <v/>
      </c>
      <c r="D966">
        <f>k_p2_0+C966*(k_p2_1+C966*k_p2_2)</f>
        <v/>
      </c>
      <c r="E966">
        <f>k_p3_0+C966*(k_p3_1+C966*(k_p3_2+C966*k_p3_3))</f>
        <v/>
      </c>
      <c r="F966">
        <f>k_p4_0+C966*(k_p4_1+C966*(k_p4_2+C966*(k_p4_3+C966*k_p4_4)))</f>
        <v/>
      </c>
      <c r="G966">
        <f>k_ea+k_eb*EXP(k_ec*C966)</f>
        <v/>
      </c>
      <c r="H966">
        <f>(k_p2_1+2*k_p2_2*C966)/k_sx</f>
        <v/>
      </c>
      <c r="I966">
        <f>(k_p3_1+C966*(2*k_p3_2+3*k_p3_3*C966))/k_sx</f>
        <v/>
      </c>
      <c r="J966">
        <f>(k_p4_1+C966*(2*k_p4_2+C966*(3*k_p4_3+4*k_p4_4*C966)))/k_sx</f>
        <v/>
      </c>
      <c r="K966">
        <f>k_eb*k_ec*EXP(k_ec*C966)/k_sx</f>
        <v/>
      </c>
      <c r="L966">
        <f>(2*k_p4_2+C966*(6*k_p4_3+12*k_p4_4*C966))/k_sx^2</f>
        <v/>
      </c>
      <c r="M966">
        <f>D966/B966</f>
        <v/>
      </c>
      <c r="N966">
        <f>E966/B966</f>
        <v/>
      </c>
      <c r="O966">
        <f>F966/B966</f>
        <v/>
      </c>
      <c r="P966">
        <f>G966/B966</f>
        <v/>
      </c>
      <c r="Q966">
        <f>CHOOSE(k_model,D966,E966,F966,G966)</f>
        <v/>
      </c>
      <c r="R966">
        <f>CHOOSE(k_model,H966,I966,J966,K966)</f>
        <v/>
      </c>
    </row>
    <row r="967">
      <c r="A967" t="n">
        <v>965</v>
      </c>
      <c r="B967">
        <f>k_lo+k_rng*A967/1000</f>
        <v/>
      </c>
      <c r="C967">
        <f>(B967-k_mx)/k_sx</f>
        <v/>
      </c>
      <c r="D967">
        <f>k_p2_0+C967*(k_p2_1+C967*k_p2_2)</f>
        <v/>
      </c>
      <c r="E967">
        <f>k_p3_0+C967*(k_p3_1+C967*(k_p3_2+C967*k_p3_3))</f>
        <v/>
      </c>
      <c r="F967">
        <f>k_p4_0+C967*(k_p4_1+C967*(k_p4_2+C967*(k_p4_3+C967*k_p4_4)))</f>
        <v/>
      </c>
      <c r="G967">
        <f>k_ea+k_eb*EXP(k_ec*C967)</f>
        <v/>
      </c>
      <c r="H967">
        <f>(k_p2_1+2*k_p2_2*C967)/k_sx</f>
        <v/>
      </c>
      <c r="I967">
        <f>(k_p3_1+C967*(2*k_p3_2+3*k_p3_3*C967))/k_sx</f>
        <v/>
      </c>
      <c r="J967">
        <f>(k_p4_1+C967*(2*k_p4_2+C967*(3*k_p4_3+4*k_p4_4*C967)))/k_sx</f>
        <v/>
      </c>
      <c r="K967">
        <f>k_eb*k_ec*EXP(k_ec*C967)/k_sx</f>
        <v/>
      </c>
      <c r="L967">
        <f>(2*k_p4_2+C967*(6*k_p4_3+12*k_p4_4*C967))/k_sx^2</f>
        <v/>
      </c>
      <c r="M967">
        <f>D967/B967</f>
        <v/>
      </c>
      <c r="N967">
        <f>E967/B967</f>
        <v/>
      </c>
      <c r="O967">
        <f>F967/B967</f>
        <v/>
      </c>
      <c r="P967">
        <f>G967/B967</f>
        <v/>
      </c>
      <c r="Q967">
        <f>CHOOSE(k_model,D967,E967,F967,G967)</f>
        <v/>
      </c>
      <c r="R967">
        <f>CHOOSE(k_model,H967,I967,J967,K967)</f>
        <v/>
      </c>
    </row>
    <row r="968">
      <c r="A968" t="n">
        <v>966</v>
      </c>
      <c r="B968">
        <f>k_lo+k_rng*A968/1000</f>
        <v/>
      </c>
      <c r="C968">
        <f>(B968-k_mx)/k_sx</f>
        <v/>
      </c>
      <c r="D968">
        <f>k_p2_0+C968*(k_p2_1+C968*k_p2_2)</f>
        <v/>
      </c>
      <c r="E968">
        <f>k_p3_0+C968*(k_p3_1+C968*(k_p3_2+C968*k_p3_3))</f>
        <v/>
      </c>
      <c r="F968">
        <f>k_p4_0+C968*(k_p4_1+C968*(k_p4_2+C968*(k_p4_3+C968*k_p4_4)))</f>
        <v/>
      </c>
      <c r="G968">
        <f>k_ea+k_eb*EXP(k_ec*C968)</f>
        <v/>
      </c>
      <c r="H968">
        <f>(k_p2_1+2*k_p2_2*C968)/k_sx</f>
        <v/>
      </c>
      <c r="I968">
        <f>(k_p3_1+C968*(2*k_p3_2+3*k_p3_3*C968))/k_sx</f>
        <v/>
      </c>
      <c r="J968">
        <f>(k_p4_1+C968*(2*k_p4_2+C968*(3*k_p4_3+4*k_p4_4*C968)))/k_sx</f>
        <v/>
      </c>
      <c r="K968">
        <f>k_eb*k_ec*EXP(k_ec*C968)/k_sx</f>
        <v/>
      </c>
      <c r="L968">
        <f>(2*k_p4_2+C968*(6*k_p4_3+12*k_p4_4*C968))/k_sx^2</f>
        <v/>
      </c>
      <c r="M968">
        <f>D968/B968</f>
        <v/>
      </c>
      <c r="N968">
        <f>E968/B968</f>
        <v/>
      </c>
      <c r="O968">
        <f>F968/B968</f>
        <v/>
      </c>
      <c r="P968">
        <f>G968/B968</f>
        <v/>
      </c>
      <c r="Q968">
        <f>CHOOSE(k_model,D968,E968,F968,G968)</f>
        <v/>
      </c>
      <c r="R968">
        <f>CHOOSE(k_model,H968,I968,J968,K968)</f>
        <v/>
      </c>
    </row>
    <row r="969">
      <c r="A969" t="n">
        <v>967</v>
      </c>
      <c r="B969">
        <f>k_lo+k_rng*A969/1000</f>
        <v/>
      </c>
      <c r="C969">
        <f>(B969-k_mx)/k_sx</f>
        <v/>
      </c>
      <c r="D969">
        <f>k_p2_0+C969*(k_p2_1+C969*k_p2_2)</f>
        <v/>
      </c>
      <c r="E969">
        <f>k_p3_0+C969*(k_p3_1+C969*(k_p3_2+C969*k_p3_3))</f>
        <v/>
      </c>
      <c r="F969">
        <f>k_p4_0+C969*(k_p4_1+C969*(k_p4_2+C969*(k_p4_3+C969*k_p4_4)))</f>
        <v/>
      </c>
      <c r="G969">
        <f>k_ea+k_eb*EXP(k_ec*C969)</f>
        <v/>
      </c>
      <c r="H969">
        <f>(k_p2_1+2*k_p2_2*C969)/k_sx</f>
        <v/>
      </c>
      <c r="I969">
        <f>(k_p3_1+C969*(2*k_p3_2+3*k_p3_3*C969))/k_sx</f>
        <v/>
      </c>
      <c r="J969">
        <f>(k_p4_1+C969*(2*k_p4_2+C969*(3*k_p4_3+4*k_p4_4*C969)))/k_sx</f>
        <v/>
      </c>
      <c r="K969">
        <f>k_eb*k_ec*EXP(k_ec*C969)/k_sx</f>
        <v/>
      </c>
      <c r="L969">
        <f>(2*k_p4_2+C969*(6*k_p4_3+12*k_p4_4*C969))/k_sx^2</f>
        <v/>
      </c>
      <c r="M969">
        <f>D969/B969</f>
        <v/>
      </c>
      <c r="N969">
        <f>E969/B969</f>
        <v/>
      </c>
      <c r="O969">
        <f>F969/B969</f>
        <v/>
      </c>
      <c r="P969">
        <f>G969/B969</f>
        <v/>
      </c>
      <c r="Q969">
        <f>CHOOSE(k_model,D969,E969,F969,G969)</f>
        <v/>
      </c>
      <c r="R969">
        <f>CHOOSE(k_model,H969,I969,J969,K969)</f>
        <v/>
      </c>
    </row>
    <row r="970">
      <c r="A970" t="n">
        <v>968</v>
      </c>
      <c r="B970">
        <f>k_lo+k_rng*A970/1000</f>
        <v/>
      </c>
      <c r="C970">
        <f>(B970-k_mx)/k_sx</f>
        <v/>
      </c>
      <c r="D970">
        <f>k_p2_0+C970*(k_p2_1+C970*k_p2_2)</f>
        <v/>
      </c>
      <c r="E970">
        <f>k_p3_0+C970*(k_p3_1+C970*(k_p3_2+C970*k_p3_3))</f>
        <v/>
      </c>
      <c r="F970">
        <f>k_p4_0+C970*(k_p4_1+C970*(k_p4_2+C970*(k_p4_3+C970*k_p4_4)))</f>
        <v/>
      </c>
      <c r="G970">
        <f>k_ea+k_eb*EXP(k_ec*C970)</f>
        <v/>
      </c>
      <c r="H970">
        <f>(k_p2_1+2*k_p2_2*C970)/k_sx</f>
        <v/>
      </c>
      <c r="I970">
        <f>(k_p3_1+C970*(2*k_p3_2+3*k_p3_3*C970))/k_sx</f>
        <v/>
      </c>
      <c r="J970">
        <f>(k_p4_1+C970*(2*k_p4_2+C970*(3*k_p4_3+4*k_p4_4*C970)))/k_sx</f>
        <v/>
      </c>
      <c r="K970">
        <f>k_eb*k_ec*EXP(k_ec*C970)/k_sx</f>
        <v/>
      </c>
      <c r="L970">
        <f>(2*k_p4_2+C970*(6*k_p4_3+12*k_p4_4*C970))/k_sx^2</f>
        <v/>
      </c>
      <c r="M970">
        <f>D970/B970</f>
        <v/>
      </c>
      <c r="N970">
        <f>E970/B970</f>
        <v/>
      </c>
      <c r="O970">
        <f>F970/B970</f>
        <v/>
      </c>
      <c r="P970">
        <f>G970/B970</f>
        <v/>
      </c>
      <c r="Q970">
        <f>CHOOSE(k_model,D970,E970,F970,G970)</f>
        <v/>
      </c>
      <c r="R970">
        <f>CHOOSE(k_model,H970,I970,J970,K970)</f>
        <v/>
      </c>
    </row>
    <row r="971">
      <c r="A971" t="n">
        <v>969</v>
      </c>
      <c r="B971">
        <f>k_lo+k_rng*A971/1000</f>
        <v/>
      </c>
      <c r="C971">
        <f>(B971-k_mx)/k_sx</f>
        <v/>
      </c>
      <c r="D971">
        <f>k_p2_0+C971*(k_p2_1+C971*k_p2_2)</f>
        <v/>
      </c>
      <c r="E971">
        <f>k_p3_0+C971*(k_p3_1+C971*(k_p3_2+C971*k_p3_3))</f>
        <v/>
      </c>
      <c r="F971">
        <f>k_p4_0+C971*(k_p4_1+C971*(k_p4_2+C971*(k_p4_3+C971*k_p4_4)))</f>
        <v/>
      </c>
      <c r="G971">
        <f>k_ea+k_eb*EXP(k_ec*C971)</f>
        <v/>
      </c>
      <c r="H971">
        <f>(k_p2_1+2*k_p2_2*C971)/k_sx</f>
        <v/>
      </c>
      <c r="I971">
        <f>(k_p3_1+C971*(2*k_p3_2+3*k_p3_3*C971))/k_sx</f>
        <v/>
      </c>
      <c r="J971">
        <f>(k_p4_1+C971*(2*k_p4_2+C971*(3*k_p4_3+4*k_p4_4*C971)))/k_sx</f>
        <v/>
      </c>
      <c r="K971">
        <f>k_eb*k_ec*EXP(k_ec*C971)/k_sx</f>
        <v/>
      </c>
      <c r="L971">
        <f>(2*k_p4_2+C971*(6*k_p4_3+12*k_p4_4*C971))/k_sx^2</f>
        <v/>
      </c>
      <c r="M971">
        <f>D971/B971</f>
        <v/>
      </c>
      <c r="N971">
        <f>E971/B971</f>
        <v/>
      </c>
      <c r="O971">
        <f>F971/B971</f>
        <v/>
      </c>
      <c r="P971">
        <f>G971/B971</f>
        <v/>
      </c>
      <c r="Q971">
        <f>CHOOSE(k_model,D971,E971,F971,G971)</f>
        <v/>
      </c>
      <c r="R971">
        <f>CHOOSE(k_model,H971,I971,J971,K971)</f>
        <v/>
      </c>
    </row>
    <row r="972">
      <c r="A972" t="n">
        <v>970</v>
      </c>
      <c r="B972">
        <f>k_lo+k_rng*A972/1000</f>
        <v/>
      </c>
      <c r="C972">
        <f>(B972-k_mx)/k_sx</f>
        <v/>
      </c>
      <c r="D972">
        <f>k_p2_0+C972*(k_p2_1+C972*k_p2_2)</f>
        <v/>
      </c>
      <c r="E972">
        <f>k_p3_0+C972*(k_p3_1+C972*(k_p3_2+C972*k_p3_3))</f>
        <v/>
      </c>
      <c r="F972">
        <f>k_p4_0+C972*(k_p4_1+C972*(k_p4_2+C972*(k_p4_3+C972*k_p4_4)))</f>
        <v/>
      </c>
      <c r="G972">
        <f>k_ea+k_eb*EXP(k_ec*C972)</f>
        <v/>
      </c>
      <c r="H972">
        <f>(k_p2_1+2*k_p2_2*C972)/k_sx</f>
        <v/>
      </c>
      <c r="I972">
        <f>(k_p3_1+C972*(2*k_p3_2+3*k_p3_3*C972))/k_sx</f>
        <v/>
      </c>
      <c r="J972">
        <f>(k_p4_1+C972*(2*k_p4_2+C972*(3*k_p4_3+4*k_p4_4*C972)))/k_sx</f>
        <v/>
      </c>
      <c r="K972">
        <f>k_eb*k_ec*EXP(k_ec*C972)/k_sx</f>
        <v/>
      </c>
      <c r="L972">
        <f>(2*k_p4_2+C972*(6*k_p4_3+12*k_p4_4*C972))/k_sx^2</f>
        <v/>
      </c>
      <c r="M972">
        <f>D972/B972</f>
        <v/>
      </c>
      <c r="N972">
        <f>E972/B972</f>
        <v/>
      </c>
      <c r="O972">
        <f>F972/B972</f>
        <v/>
      </c>
      <c r="P972">
        <f>G972/B972</f>
        <v/>
      </c>
      <c r="Q972">
        <f>CHOOSE(k_model,D972,E972,F972,G972)</f>
        <v/>
      </c>
      <c r="R972">
        <f>CHOOSE(k_model,H972,I972,J972,K972)</f>
        <v/>
      </c>
    </row>
    <row r="973">
      <c r="A973" t="n">
        <v>971</v>
      </c>
      <c r="B973">
        <f>k_lo+k_rng*A973/1000</f>
        <v/>
      </c>
      <c r="C973">
        <f>(B973-k_mx)/k_sx</f>
        <v/>
      </c>
      <c r="D973">
        <f>k_p2_0+C973*(k_p2_1+C973*k_p2_2)</f>
        <v/>
      </c>
      <c r="E973">
        <f>k_p3_0+C973*(k_p3_1+C973*(k_p3_2+C973*k_p3_3))</f>
        <v/>
      </c>
      <c r="F973">
        <f>k_p4_0+C973*(k_p4_1+C973*(k_p4_2+C973*(k_p4_3+C973*k_p4_4)))</f>
        <v/>
      </c>
      <c r="G973">
        <f>k_ea+k_eb*EXP(k_ec*C973)</f>
        <v/>
      </c>
      <c r="H973">
        <f>(k_p2_1+2*k_p2_2*C973)/k_sx</f>
        <v/>
      </c>
      <c r="I973">
        <f>(k_p3_1+C973*(2*k_p3_2+3*k_p3_3*C973))/k_sx</f>
        <v/>
      </c>
      <c r="J973">
        <f>(k_p4_1+C973*(2*k_p4_2+C973*(3*k_p4_3+4*k_p4_4*C973)))/k_sx</f>
        <v/>
      </c>
      <c r="K973">
        <f>k_eb*k_ec*EXP(k_ec*C973)/k_sx</f>
        <v/>
      </c>
      <c r="L973">
        <f>(2*k_p4_2+C973*(6*k_p4_3+12*k_p4_4*C973))/k_sx^2</f>
        <v/>
      </c>
      <c r="M973">
        <f>D973/B973</f>
        <v/>
      </c>
      <c r="N973">
        <f>E973/B973</f>
        <v/>
      </c>
      <c r="O973">
        <f>F973/B973</f>
        <v/>
      </c>
      <c r="P973">
        <f>G973/B973</f>
        <v/>
      </c>
      <c r="Q973">
        <f>CHOOSE(k_model,D973,E973,F973,G973)</f>
        <v/>
      </c>
      <c r="R973">
        <f>CHOOSE(k_model,H973,I973,J973,K973)</f>
        <v/>
      </c>
    </row>
    <row r="974">
      <c r="A974" t="n">
        <v>972</v>
      </c>
      <c r="B974">
        <f>k_lo+k_rng*A974/1000</f>
        <v/>
      </c>
      <c r="C974">
        <f>(B974-k_mx)/k_sx</f>
        <v/>
      </c>
      <c r="D974">
        <f>k_p2_0+C974*(k_p2_1+C974*k_p2_2)</f>
        <v/>
      </c>
      <c r="E974">
        <f>k_p3_0+C974*(k_p3_1+C974*(k_p3_2+C974*k_p3_3))</f>
        <v/>
      </c>
      <c r="F974">
        <f>k_p4_0+C974*(k_p4_1+C974*(k_p4_2+C974*(k_p4_3+C974*k_p4_4)))</f>
        <v/>
      </c>
      <c r="G974">
        <f>k_ea+k_eb*EXP(k_ec*C974)</f>
        <v/>
      </c>
      <c r="H974">
        <f>(k_p2_1+2*k_p2_2*C974)/k_sx</f>
        <v/>
      </c>
      <c r="I974">
        <f>(k_p3_1+C974*(2*k_p3_2+3*k_p3_3*C974))/k_sx</f>
        <v/>
      </c>
      <c r="J974">
        <f>(k_p4_1+C974*(2*k_p4_2+C974*(3*k_p4_3+4*k_p4_4*C974)))/k_sx</f>
        <v/>
      </c>
      <c r="K974">
        <f>k_eb*k_ec*EXP(k_ec*C974)/k_sx</f>
        <v/>
      </c>
      <c r="L974">
        <f>(2*k_p4_2+C974*(6*k_p4_3+12*k_p4_4*C974))/k_sx^2</f>
        <v/>
      </c>
      <c r="M974">
        <f>D974/B974</f>
        <v/>
      </c>
      <c r="N974">
        <f>E974/B974</f>
        <v/>
      </c>
      <c r="O974">
        <f>F974/B974</f>
        <v/>
      </c>
      <c r="P974">
        <f>G974/B974</f>
        <v/>
      </c>
      <c r="Q974">
        <f>CHOOSE(k_model,D974,E974,F974,G974)</f>
        <v/>
      </c>
      <c r="R974">
        <f>CHOOSE(k_model,H974,I974,J974,K974)</f>
        <v/>
      </c>
    </row>
    <row r="975">
      <c r="A975" t="n">
        <v>973</v>
      </c>
      <c r="B975">
        <f>k_lo+k_rng*A975/1000</f>
        <v/>
      </c>
      <c r="C975">
        <f>(B975-k_mx)/k_sx</f>
        <v/>
      </c>
      <c r="D975">
        <f>k_p2_0+C975*(k_p2_1+C975*k_p2_2)</f>
        <v/>
      </c>
      <c r="E975">
        <f>k_p3_0+C975*(k_p3_1+C975*(k_p3_2+C975*k_p3_3))</f>
        <v/>
      </c>
      <c r="F975">
        <f>k_p4_0+C975*(k_p4_1+C975*(k_p4_2+C975*(k_p4_3+C975*k_p4_4)))</f>
        <v/>
      </c>
      <c r="G975">
        <f>k_ea+k_eb*EXP(k_ec*C975)</f>
        <v/>
      </c>
      <c r="H975">
        <f>(k_p2_1+2*k_p2_2*C975)/k_sx</f>
        <v/>
      </c>
      <c r="I975">
        <f>(k_p3_1+C975*(2*k_p3_2+3*k_p3_3*C975))/k_sx</f>
        <v/>
      </c>
      <c r="J975">
        <f>(k_p4_1+C975*(2*k_p4_2+C975*(3*k_p4_3+4*k_p4_4*C975)))/k_sx</f>
        <v/>
      </c>
      <c r="K975">
        <f>k_eb*k_ec*EXP(k_ec*C975)/k_sx</f>
        <v/>
      </c>
      <c r="L975">
        <f>(2*k_p4_2+C975*(6*k_p4_3+12*k_p4_4*C975))/k_sx^2</f>
        <v/>
      </c>
      <c r="M975">
        <f>D975/B975</f>
        <v/>
      </c>
      <c r="N975">
        <f>E975/B975</f>
        <v/>
      </c>
      <c r="O975">
        <f>F975/B975</f>
        <v/>
      </c>
      <c r="P975">
        <f>G975/B975</f>
        <v/>
      </c>
      <c r="Q975">
        <f>CHOOSE(k_model,D975,E975,F975,G975)</f>
        <v/>
      </c>
      <c r="R975">
        <f>CHOOSE(k_model,H975,I975,J975,K975)</f>
        <v/>
      </c>
    </row>
    <row r="976">
      <c r="A976" t="n">
        <v>974</v>
      </c>
      <c r="B976">
        <f>k_lo+k_rng*A976/1000</f>
        <v/>
      </c>
      <c r="C976">
        <f>(B976-k_mx)/k_sx</f>
        <v/>
      </c>
      <c r="D976">
        <f>k_p2_0+C976*(k_p2_1+C976*k_p2_2)</f>
        <v/>
      </c>
      <c r="E976">
        <f>k_p3_0+C976*(k_p3_1+C976*(k_p3_2+C976*k_p3_3))</f>
        <v/>
      </c>
      <c r="F976">
        <f>k_p4_0+C976*(k_p4_1+C976*(k_p4_2+C976*(k_p4_3+C976*k_p4_4)))</f>
        <v/>
      </c>
      <c r="G976">
        <f>k_ea+k_eb*EXP(k_ec*C976)</f>
        <v/>
      </c>
      <c r="H976">
        <f>(k_p2_1+2*k_p2_2*C976)/k_sx</f>
        <v/>
      </c>
      <c r="I976">
        <f>(k_p3_1+C976*(2*k_p3_2+3*k_p3_3*C976))/k_sx</f>
        <v/>
      </c>
      <c r="J976">
        <f>(k_p4_1+C976*(2*k_p4_2+C976*(3*k_p4_3+4*k_p4_4*C976)))/k_sx</f>
        <v/>
      </c>
      <c r="K976">
        <f>k_eb*k_ec*EXP(k_ec*C976)/k_sx</f>
        <v/>
      </c>
      <c r="L976">
        <f>(2*k_p4_2+C976*(6*k_p4_3+12*k_p4_4*C976))/k_sx^2</f>
        <v/>
      </c>
      <c r="M976">
        <f>D976/B976</f>
        <v/>
      </c>
      <c r="N976">
        <f>E976/B976</f>
        <v/>
      </c>
      <c r="O976">
        <f>F976/B976</f>
        <v/>
      </c>
      <c r="P976">
        <f>G976/B976</f>
        <v/>
      </c>
      <c r="Q976">
        <f>CHOOSE(k_model,D976,E976,F976,G976)</f>
        <v/>
      </c>
      <c r="R976">
        <f>CHOOSE(k_model,H976,I976,J976,K976)</f>
        <v/>
      </c>
    </row>
    <row r="977">
      <c r="A977" t="n">
        <v>975</v>
      </c>
      <c r="B977">
        <f>k_lo+k_rng*A977/1000</f>
        <v/>
      </c>
      <c r="C977">
        <f>(B977-k_mx)/k_sx</f>
        <v/>
      </c>
      <c r="D977">
        <f>k_p2_0+C977*(k_p2_1+C977*k_p2_2)</f>
        <v/>
      </c>
      <c r="E977">
        <f>k_p3_0+C977*(k_p3_1+C977*(k_p3_2+C977*k_p3_3))</f>
        <v/>
      </c>
      <c r="F977">
        <f>k_p4_0+C977*(k_p4_1+C977*(k_p4_2+C977*(k_p4_3+C977*k_p4_4)))</f>
        <v/>
      </c>
      <c r="G977">
        <f>k_ea+k_eb*EXP(k_ec*C977)</f>
        <v/>
      </c>
      <c r="H977">
        <f>(k_p2_1+2*k_p2_2*C977)/k_sx</f>
        <v/>
      </c>
      <c r="I977">
        <f>(k_p3_1+C977*(2*k_p3_2+3*k_p3_3*C977))/k_sx</f>
        <v/>
      </c>
      <c r="J977">
        <f>(k_p4_1+C977*(2*k_p4_2+C977*(3*k_p4_3+4*k_p4_4*C977)))/k_sx</f>
        <v/>
      </c>
      <c r="K977">
        <f>k_eb*k_ec*EXP(k_ec*C977)/k_sx</f>
        <v/>
      </c>
      <c r="L977">
        <f>(2*k_p4_2+C977*(6*k_p4_3+12*k_p4_4*C977))/k_sx^2</f>
        <v/>
      </c>
      <c r="M977">
        <f>D977/B977</f>
        <v/>
      </c>
      <c r="N977">
        <f>E977/B977</f>
        <v/>
      </c>
      <c r="O977">
        <f>F977/B977</f>
        <v/>
      </c>
      <c r="P977">
        <f>G977/B977</f>
        <v/>
      </c>
      <c r="Q977">
        <f>CHOOSE(k_model,D977,E977,F977,G977)</f>
        <v/>
      </c>
      <c r="R977">
        <f>CHOOSE(k_model,H977,I977,J977,K977)</f>
        <v/>
      </c>
    </row>
    <row r="978">
      <c r="A978" t="n">
        <v>976</v>
      </c>
      <c r="B978">
        <f>k_lo+k_rng*A978/1000</f>
        <v/>
      </c>
      <c r="C978">
        <f>(B978-k_mx)/k_sx</f>
        <v/>
      </c>
      <c r="D978">
        <f>k_p2_0+C978*(k_p2_1+C978*k_p2_2)</f>
        <v/>
      </c>
      <c r="E978">
        <f>k_p3_0+C978*(k_p3_1+C978*(k_p3_2+C978*k_p3_3))</f>
        <v/>
      </c>
      <c r="F978">
        <f>k_p4_0+C978*(k_p4_1+C978*(k_p4_2+C978*(k_p4_3+C978*k_p4_4)))</f>
        <v/>
      </c>
      <c r="G978">
        <f>k_ea+k_eb*EXP(k_ec*C978)</f>
        <v/>
      </c>
      <c r="H978">
        <f>(k_p2_1+2*k_p2_2*C978)/k_sx</f>
        <v/>
      </c>
      <c r="I978">
        <f>(k_p3_1+C978*(2*k_p3_2+3*k_p3_3*C978))/k_sx</f>
        <v/>
      </c>
      <c r="J978">
        <f>(k_p4_1+C978*(2*k_p4_2+C978*(3*k_p4_3+4*k_p4_4*C978)))/k_sx</f>
        <v/>
      </c>
      <c r="K978">
        <f>k_eb*k_ec*EXP(k_ec*C978)/k_sx</f>
        <v/>
      </c>
      <c r="L978">
        <f>(2*k_p4_2+C978*(6*k_p4_3+12*k_p4_4*C978))/k_sx^2</f>
        <v/>
      </c>
      <c r="M978">
        <f>D978/B978</f>
        <v/>
      </c>
      <c r="N978">
        <f>E978/B978</f>
        <v/>
      </c>
      <c r="O978">
        <f>F978/B978</f>
        <v/>
      </c>
      <c r="P978">
        <f>G978/B978</f>
        <v/>
      </c>
      <c r="Q978">
        <f>CHOOSE(k_model,D978,E978,F978,G978)</f>
        <v/>
      </c>
      <c r="R978">
        <f>CHOOSE(k_model,H978,I978,J978,K978)</f>
        <v/>
      </c>
    </row>
    <row r="979">
      <c r="A979" t="n">
        <v>977</v>
      </c>
      <c r="B979">
        <f>k_lo+k_rng*A979/1000</f>
        <v/>
      </c>
      <c r="C979">
        <f>(B979-k_mx)/k_sx</f>
        <v/>
      </c>
      <c r="D979">
        <f>k_p2_0+C979*(k_p2_1+C979*k_p2_2)</f>
        <v/>
      </c>
      <c r="E979">
        <f>k_p3_0+C979*(k_p3_1+C979*(k_p3_2+C979*k_p3_3))</f>
        <v/>
      </c>
      <c r="F979">
        <f>k_p4_0+C979*(k_p4_1+C979*(k_p4_2+C979*(k_p4_3+C979*k_p4_4)))</f>
        <v/>
      </c>
      <c r="G979">
        <f>k_ea+k_eb*EXP(k_ec*C979)</f>
        <v/>
      </c>
      <c r="H979">
        <f>(k_p2_1+2*k_p2_2*C979)/k_sx</f>
        <v/>
      </c>
      <c r="I979">
        <f>(k_p3_1+C979*(2*k_p3_2+3*k_p3_3*C979))/k_sx</f>
        <v/>
      </c>
      <c r="J979">
        <f>(k_p4_1+C979*(2*k_p4_2+C979*(3*k_p4_3+4*k_p4_4*C979)))/k_sx</f>
        <v/>
      </c>
      <c r="K979">
        <f>k_eb*k_ec*EXP(k_ec*C979)/k_sx</f>
        <v/>
      </c>
      <c r="L979">
        <f>(2*k_p4_2+C979*(6*k_p4_3+12*k_p4_4*C979))/k_sx^2</f>
        <v/>
      </c>
      <c r="M979">
        <f>D979/B979</f>
        <v/>
      </c>
      <c r="N979">
        <f>E979/B979</f>
        <v/>
      </c>
      <c r="O979">
        <f>F979/B979</f>
        <v/>
      </c>
      <c r="P979">
        <f>G979/B979</f>
        <v/>
      </c>
      <c r="Q979">
        <f>CHOOSE(k_model,D979,E979,F979,G979)</f>
        <v/>
      </c>
      <c r="R979">
        <f>CHOOSE(k_model,H979,I979,J979,K979)</f>
        <v/>
      </c>
    </row>
    <row r="980">
      <c r="A980" t="n">
        <v>978</v>
      </c>
      <c r="B980">
        <f>k_lo+k_rng*A980/1000</f>
        <v/>
      </c>
      <c r="C980">
        <f>(B980-k_mx)/k_sx</f>
        <v/>
      </c>
      <c r="D980">
        <f>k_p2_0+C980*(k_p2_1+C980*k_p2_2)</f>
        <v/>
      </c>
      <c r="E980">
        <f>k_p3_0+C980*(k_p3_1+C980*(k_p3_2+C980*k_p3_3))</f>
        <v/>
      </c>
      <c r="F980">
        <f>k_p4_0+C980*(k_p4_1+C980*(k_p4_2+C980*(k_p4_3+C980*k_p4_4)))</f>
        <v/>
      </c>
      <c r="G980">
        <f>k_ea+k_eb*EXP(k_ec*C980)</f>
        <v/>
      </c>
      <c r="H980">
        <f>(k_p2_1+2*k_p2_2*C980)/k_sx</f>
        <v/>
      </c>
      <c r="I980">
        <f>(k_p3_1+C980*(2*k_p3_2+3*k_p3_3*C980))/k_sx</f>
        <v/>
      </c>
      <c r="J980">
        <f>(k_p4_1+C980*(2*k_p4_2+C980*(3*k_p4_3+4*k_p4_4*C980)))/k_sx</f>
        <v/>
      </c>
      <c r="K980">
        <f>k_eb*k_ec*EXP(k_ec*C980)/k_sx</f>
        <v/>
      </c>
      <c r="L980">
        <f>(2*k_p4_2+C980*(6*k_p4_3+12*k_p4_4*C980))/k_sx^2</f>
        <v/>
      </c>
      <c r="M980">
        <f>D980/B980</f>
        <v/>
      </c>
      <c r="N980">
        <f>E980/B980</f>
        <v/>
      </c>
      <c r="O980">
        <f>F980/B980</f>
        <v/>
      </c>
      <c r="P980">
        <f>G980/B980</f>
        <v/>
      </c>
      <c r="Q980">
        <f>CHOOSE(k_model,D980,E980,F980,G980)</f>
        <v/>
      </c>
      <c r="R980">
        <f>CHOOSE(k_model,H980,I980,J980,K980)</f>
        <v/>
      </c>
    </row>
    <row r="981">
      <c r="A981" t="n">
        <v>979</v>
      </c>
      <c r="B981">
        <f>k_lo+k_rng*A981/1000</f>
        <v/>
      </c>
      <c r="C981">
        <f>(B981-k_mx)/k_sx</f>
        <v/>
      </c>
      <c r="D981">
        <f>k_p2_0+C981*(k_p2_1+C981*k_p2_2)</f>
        <v/>
      </c>
      <c r="E981">
        <f>k_p3_0+C981*(k_p3_1+C981*(k_p3_2+C981*k_p3_3))</f>
        <v/>
      </c>
      <c r="F981">
        <f>k_p4_0+C981*(k_p4_1+C981*(k_p4_2+C981*(k_p4_3+C981*k_p4_4)))</f>
        <v/>
      </c>
      <c r="G981">
        <f>k_ea+k_eb*EXP(k_ec*C981)</f>
        <v/>
      </c>
      <c r="H981">
        <f>(k_p2_1+2*k_p2_2*C981)/k_sx</f>
        <v/>
      </c>
      <c r="I981">
        <f>(k_p3_1+C981*(2*k_p3_2+3*k_p3_3*C981))/k_sx</f>
        <v/>
      </c>
      <c r="J981">
        <f>(k_p4_1+C981*(2*k_p4_2+C981*(3*k_p4_3+4*k_p4_4*C981)))/k_sx</f>
        <v/>
      </c>
      <c r="K981">
        <f>k_eb*k_ec*EXP(k_ec*C981)/k_sx</f>
        <v/>
      </c>
      <c r="L981">
        <f>(2*k_p4_2+C981*(6*k_p4_3+12*k_p4_4*C981))/k_sx^2</f>
        <v/>
      </c>
      <c r="M981">
        <f>D981/B981</f>
        <v/>
      </c>
      <c r="N981">
        <f>E981/B981</f>
        <v/>
      </c>
      <c r="O981">
        <f>F981/B981</f>
        <v/>
      </c>
      <c r="P981">
        <f>G981/B981</f>
        <v/>
      </c>
      <c r="Q981">
        <f>CHOOSE(k_model,D981,E981,F981,G981)</f>
        <v/>
      </c>
      <c r="R981">
        <f>CHOOSE(k_model,H981,I981,J981,K981)</f>
        <v/>
      </c>
    </row>
    <row r="982">
      <c r="A982" t="n">
        <v>980</v>
      </c>
      <c r="B982">
        <f>k_lo+k_rng*A982/1000</f>
        <v/>
      </c>
      <c r="C982">
        <f>(B982-k_mx)/k_sx</f>
        <v/>
      </c>
      <c r="D982">
        <f>k_p2_0+C982*(k_p2_1+C982*k_p2_2)</f>
        <v/>
      </c>
      <c r="E982">
        <f>k_p3_0+C982*(k_p3_1+C982*(k_p3_2+C982*k_p3_3))</f>
        <v/>
      </c>
      <c r="F982">
        <f>k_p4_0+C982*(k_p4_1+C982*(k_p4_2+C982*(k_p4_3+C982*k_p4_4)))</f>
        <v/>
      </c>
      <c r="G982">
        <f>k_ea+k_eb*EXP(k_ec*C982)</f>
        <v/>
      </c>
      <c r="H982">
        <f>(k_p2_1+2*k_p2_2*C982)/k_sx</f>
        <v/>
      </c>
      <c r="I982">
        <f>(k_p3_1+C982*(2*k_p3_2+3*k_p3_3*C982))/k_sx</f>
        <v/>
      </c>
      <c r="J982">
        <f>(k_p4_1+C982*(2*k_p4_2+C982*(3*k_p4_3+4*k_p4_4*C982)))/k_sx</f>
        <v/>
      </c>
      <c r="K982">
        <f>k_eb*k_ec*EXP(k_ec*C982)/k_sx</f>
        <v/>
      </c>
      <c r="L982">
        <f>(2*k_p4_2+C982*(6*k_p4_3+12*k_p4_4*C982))/k_sx^2</f>
        <v/>
      </c>
      <c r="M982">
        <f>D982/B982</f>
        <v/>
      </c>
      <c r="N982">
        <f>E982/B982</f>
        <v/>
      </c>
      <c r="O982">
        <f>F982/B982</f>
        <v/>
      </c>
      <c r="P982">
        <f>G982/B982</f>
        <v/>
      </c>
      <c r="Q982">
        <f>CHOOSE(k_model,D982,E982,F982,G982)</f>
        <v/>
      </c>
      <c r="R982">
        <f>CHOOSE(k_model,H982,I982,J982,K982)</f>
        <v/>
      </c>
    </row>
    <row r="983">
      <c r="A983" t="n">
        <v>981</v>
      </c>
      <c r="B983">
        <f>k_lo+k_rng*A983/1000</f>
        <v/>
      </c>
      <c r="C983">
        <f>(B983-k_mx)/k_sx</f>
        <v/>
      </c>
      <c r="D983">
        <f>k_p2_0+C983*(k_p2_1+C983*k_p2_2)</f>
        <v/>
      </c>
      <c r="E983">
        <f>k_p3_0+C983*(k_p3_1+C983*(k_p3_2+C983*k_p3_3))</f>
        <v/>
      </c>
      <c r="F983">
        <f>k_p4_0+C983*(k_p4_1+C983*(k_p4_2+C983*(k_p4_3+C983*k_p4_4)))</f>
        <v/>
      </c>
      <c r="G983">
        <f>k_ea+k_eb*EXP(k_ec*C983)</f>
        <v/>
      </c>
      <c r="H983">
        <f>(k_p2_1+2*k_p2_2*C983)/k_sx</f>
        <v/>
      </c>
      <c r="I983">
        <f>(k_p3_1+C983*(2*k_p3_2+3*k_p3_3*C983))/k_sx</f>
        <v/>
      </c>
      <c r="J983">
        <f>(k_p4_1+C983*(2*k_p4_2+C983*(3*k_p4_3+4*k_p4_4*C983)))/k_sx</f>
        <v/>
      </c>
      <c r="K983">
        <f>k_eb*k_ec*EXP(k_ec*C983)/k_sx</f>
        <v/>
      </c>
      <c r="L983">
        <f>(2*k_p4_2+C983*(6*k_p4_3+12*k_p4_4*C983))/k_sx^2</f>
        <v/>
      </c>
      <c r="M983">
        <f>D983/B983</f>
        <v/>
      </c>
      <c r="N983">
        <f>E983/B983</f>
        <v/>
      </c>
      <c r="O983">
        <f>F983/B983</f>
        <v/>
      </c>
      <c r="P983">
        <f>G983/B983</f>
        <v/>
      </c>
      <c r="Q983">
        <f>CHOOSE(k_model,D983,E983,F983,G983)</f>
        <v/>
      </c>
      <c r="R983">
        <f>CHOOSE(k_model,H983,I983,J983,K983)</f>
        <v/>
      </c>
    </row>
    <row r="984">
      <c r="A984" t="n">
        <v>982</v>
      </c>
      <c r="B984">
        <f>k_lo+k_rng*A984/1000</f>
        <v/>
      </c>
      <c r="C984">
        <f>(B984-k_mx)/k_sx</f>
        <v/>
      </c>
      <c r="D984">
        <f>k_p2_0+C984*(k_p2_1+C984*k_p2_2)</f>
        <v/>
      </c>
      <c r="E984">
        <f>k_p3_0+C984*(k_p3_1+C984*(k_p3_2+C984*k_p3_3))</f>
        <v/>
      </c>
      <c r="F984">
        <f>k_p4_0+C984*(k_p4_1+C984*(k_p4_2+C984*(k_p4_3+C984*k_p4_4)))</f>
        <v/>
      </c>
      <c r="G984">
        <f>k_ea+k_eb*EXP(k_ec*C984)</f>
        <v/>
      </c>
      <c r="H984">
        <f>(k_p2_1+2*k_p2_2*C984)/k_sx</f>
        <v/>
      </c>
      <c r="I984">
        <f>(k_p3_1+C984*(2*k_p3_2+3*k_p3_3*C984))/k_sx</f>
        <v/>
      </c>
      <c r="J984">
        <f>(k_p4_1+C984*(2*k_p4_2+C984*(3*k_p4_3+4*k_p4_4*C984)))/k_sx</f>
        <v/>
      </c>
      <c r="K984">
        <f>k_eb*k_ec*EXP(k_ec*C984)/k_sx</f>
        <v/>
      </c>
      <c r="L984">
        <f>(2*k_p4_2+C984*(6*k_p4_3+12*k_p4_4*C984))/k_sx^2</f>
        <v/>
      </c>
      <c r="M984">
        <f>D984/B984</f>
        <v/>
      </c>
      <c r="N984">
        <f>E984/B984</f>
        <v/>
      </c>
      <c r="O984">
        <f>F984/B984</f>
        <v/>
      </c>
      <c r="P984">
        <f>G984/B984</f>
        <v/>
      </c>
      <c r="Q984">
        <f>CHOOSE(k_model,D984,E984,F984,G984)</f>
        <v/>
      </c>
      <c r="R984">
        <f>CHOOSE(k_model,H984,I984,J984,K984)</f>
        <v/>
      </c>
    </row>
    <row r="985">
      <c r="A985" t="n">
        <v>983</v>
      </c>
      <c r="B985">
        <f>k_lo+k_rng*A985/1000</f>
        <v/>
      </c>
      <c r="C985">
        <f>(B985-k_mx)/k_sx</f>
        <v/>
      </c>
      <c r="D985">
        <f>k_p2_0+C985*(k_p2_1+C985*k_p2_2)</f>
        <v/>
      </c>
      <c r="E985">
        <f>k_p3_0+C985*(k_p3_1+C985*(k_p3_2+C985*k_p3_3))</f>
        <v/>
      </c>
      <c r="F985">
        <f>k_p4_0+C985*(k_p4_1+C985*(k_p4_2+C985*(k_p4_3+C985*k_p4_4)))</f>
        <v/>
      </c>
      <c r="G985">
        <f>k_ea+k_eb*EXP(k_ec*C985)</f>
        <v/>
      </c>
      <c r="H985">
        <f>(k_p2_1+2*k_p2_2*C985)/k_sx</f>
        <v/>
      </c>
      <c r="I985">
        <f>(k_p3_1+C985*(2*k_p3_2+3*k_p3_3*C985))/k_sx</f>
        <v/>
      </c>
      <c r="J985">
        <f>(k_p4_1+C985*(2*k_p4_2+C985*(3*k_p4_3+4*k_p4_4*C985)))/k_sx</f>
        <v/>
      </c>
      <c r="K985">
        <f>k_eb*k_ec*EXP(k_ec*C985)/k_sx</f>
        <v/>
      </c>
      <c r="L985">
        <f>(2*k_p4_2+C985*(6*k_p4_3+12*k_p4_4*C985))/k_sx^2</f>
        <v/>
      </c>
      <c r="M985">
        <f>D985/B985</f>
        <v/>
      </c>
      <c r="N985">
        <f>E985/B985</f>
        <v/>
      </c>
      <c r="O985">
        <f>F985/B985</f>
        <v/>
      </c>
      <c r="P985">
        <f>G985/B985</f>
        <v/>
      </c>
      <c r="Q985">
        <f>CHOOSE(k_model,D985,E985,F985,G985)</f>
        <v/>
      </c>
      <c r="R985">
        <f>CHOOSE(k_model,H985,I985,J985,K985)</f>
        <v/>
      </c>
    </row>
    <row r="986">
      <c r="A986" t="n">
        <v>984</v>
      </c>
      <c r="B986">
        <f>k_lo+k_rng*A986/1000</f>
        <v/>
      </c>
      <c r="C986">
        <f>(B986-k_mx)/k_sx</f>
        <v/>
      </c>
      <c r="D986">
        <f>k_p2_0+C986*(k_p2_1+C986*k_p2_2)</f>
        <v/>
      </c>
      <c r="E986">
        <f>k_p3_0+C986*(k_p3_1+C986*(k_p3_2+C986*k_p3_3))</f>
        <v/>
      </c>
      <c r="F986">
        <f>k_p4_0+C986*(k_p4_1+C986*(k_p4_2+C986*(k_p4_3+C986*k_p4_4)))</f>
        <v/>
      </c>
      <c r="G986">
        <f>k_ea+k_eb*EXP(k_ec*C986)</f>
        <v/>
      </c>
      <c r="H986">
        <f>(k_p2_1+2*k_p2_2*C986)/k_sx</f>
        <v/>
      </c>
      <c r="I986">
        <f>(k_p3_1+C986*(2*k_p3_2+3*k_p3_3*C986))/k_sx</f>
        <v/>
      </c>
      <c r="J986">
        <f>(k_p4_1+C986*(2*k_p4_2+C986*(3*k_p4_3+4*k_p4_4*C986)))/k_sx</f>
        <v/>
      </c>
      <c r="K986">
        <f>k_eb*k_ec*EXP(k_ec*C986)/k_sx</f>
        <v/>
      </c>
      <c r="L986">
        <f>(2*k_p4_2+C986*(6*k_p4_3+12*k_p4_4*C986))/k_sx^2</f>
        <v/>
      </c>
      <c r="M986">
        <f>D986/B986</f>
        <v/>
      </c>
      <c r="N986">
        <f>E986/B986</f>
        <v/>
      </c>
      <c r="O986">
        <f>F986/B986</f>
        <v/>
      </c>
      <c r="P986">
        <f>G986/B986</f>
        <v/>
      </c>
      <c r="Q986">
        <f>CHOOSE(k_model,D986,E986,F986,G986)</f>
        <v/>
      </c>
      <c r="R986">
        <f>CHOOSE(k_model,H986,I986,J986,K986)</f>
        <v/>
      </c>
    </row>
    <row r="987">
      <c r="A987" t="n">
        <v>985</v>
      </c>
      <c r="B987">
        <f>k_lo+k_rng*A987/1000</f>
        <v/>
      </c>
      <c r="C987">
        <f>(B987-k_mx)/k_sx</f>
        <v/>
      </c>
      <c r="D987">
        <f>k_p2_0+C987*(k_p2_1+C987*k_p2_2)</f>
        <v/>
      </c>
      <c r="E987">
        <f>k_p3_0+C987*(k_p3_1+C987*(k_p3_2+C987*k_p3_3))</f>
        <v/>
      </c>
      <c r="F987">
        <f>k_p4_0+C987*(k_p4_1+C987*(k_p4_2+C987*(k_p4_3+C987*k_p4_4)))</f>
        <v/>
      </c>
      <c r="G987">
        <f>k_ea+k_eb*EXP(k_ec*C987)</f>
        <v/>
      </c>
      <c r="H987">
        <f>(k_p2_1+2*k_p2_2*C987)/k_sx</f>
        <v/>
      </c>
      <c r="I987">
        <f>(k_p3_1+C987*(2*k_p3_2+3*k_p3_3*C987))/k_sx</f>
        <v/>
      </c>
      <c r="J987">
        <f>(k_p4_1+C987*(2*k_p4_2+C987*(3*k_p4_3+4*k_p4_4*C987)))/k_sx</f>
        <v/>
      </c>
      <c r="K987">
        <f>k_eb*k_ec*EXP(k_ec*C987)/k_sx</f>
        <v/>
      </c>
      <c r="L987">
        <f>(2*k_p4_2+C987*(6*k_p4_3+12*k_p4_4*C987))/k_sx^2</f>
        <v/>
      </c>
      <c r="M987">
        <f>D987/B987</f>
        <v/>
      </c>
      <c r="N987">
        <f>E987/B987</f>
        <v/>
      </c>
      <c r="O987">
        <f>F987/B987</f>
        <v/>
      </c>
      <c r="P987">
        <f>G987/B987</f>
        <v/>
      </c>
      <c r="Q987">
        <f>CHOOSE(k_model,D987,E987,F987,G987)</f>
        <v/>
      </c>
      <c r="R987">
        <f>CHOOSE(k_model,H987,I987,J987,K987)</f>
        <v/>
      </c>
    </row>
    <row r="988">
      <c r="A988" t="n">
        <v>986</v>
      </c>
      <c r="B988">
        <f>k_lo+k_rng*A988/1000</f>
        <v/>
      </c>
      <c r="C988">
        <f>(B988-k_mx)/k_sx</f>
        <v/>
      </c>
      <c r="D988">
        <f>k_p2_0+C988*(k_p2_1+C988*k_p2_2)</f>
        <v/>
      </c>
      <c r="E988">
        <f>k_p3_0+C988*(k_p3_1+C988*(k_p3_2+C988*k_p3_3))</f>
        <v/>
      </c>
      <c r="F988">
        <f>k_p4_0+C988*(k_p4_1+C988*(k_p4_2+C988*(k_p4_3+C988*k_p4_4)))</f>
        <v/>
      </c>
      <c r="G988">
        <f>k_ea+k_eb*EXP(k_ec*C988)</f>
        <v/>
      </c>
      <c r="H988">
        <f>(k_p2_1+2*k_p2_2*C988)/k_sx</f>
        <v/>
      </c>
      <c r="I988">
        <f>(k_p3_1+C988*(2*k_p3_2+3*k_p3_3*C988))/k_sx</f>
        <v/>
      </c>
      <c r="J988">
        <f>(k_p4_1+C988*(2*k_p4_2+C988*(3*k_p4_3+4*k_p4_4*C988)))/k_sx</f>
        <v/>
      </c>
      <c r="K988">
        <f>k_eb*k_ec*EXP(k_ec*C988)/k_sx</f>
        <v/>
      </c>
      <c r="L988">
        <f>(2*k_p4_2+C988*(6*k_p4_3+12*k_p4_4*C988))/k_sx^2</f>
        <v/>
      </c>
      <c r="M988">
        <f>D988/B988</f>
        <v/>
      </c>
      <c r="N988">
        <f>E988/B988</f>
        <v/>
      </c>
      <c r="O988">
        <f>F988/B988</f>
        <v/>
      </c>
      <c r="P988">
        <f>G988/B988</f>
        <v/>
      </c>
      <c r="Q988">
        <f>CHOOSE(k_model,D988,E988,F988,G988)</f>
        <v/>
      </c>
      <c r="R988">
        <f>CHOOSE(k_model,H988,I988,J988,K988)</f>
        <v/>
      </c>
    </row>
    <row r="989">
      <c r="A989" t="n">
        <v>987</v>
      </c>
      <c r="B989">
        <f>k_lo+k_rng*A989/1000</f>
        <v/>
      </c>
      <c r="C989">
        <f>(B989-k_mx)/k_sx</f>
        <v/>
      </c>
      <c r="D989">
        <f>k_p2_0+C989*(k_p2_1+C989*k_p2_2)</f>
        <v/>
      </c>
      <c r="E989">
        <f>k_p3_0+C989*(k_p3_1+C989*(k_p3_2+C989*k_p3_3))</f>
        <v/>
      </c>
      <c r="F989">
        <f>k_p4_0+C989*(k_p4_1+C989*(k_p4_2+C989*(k_p4_3+C989*k_p4_4)))</f>
        <v/>
      </c>
      <c r="G989">
        <f>k_ea+k_eb*EXP(k_ec*C989)</f>
        <v/>
      </c>
      <c r="H989">
        <f>(k_p2_1+2*k_p2_2*C989)/k_sx</f>
        <v/>
      </c>
      <c r="I989">
        <f>(k_p3_1+C989*(2*k_p3_2+3*k_p3_3*C989))/k_sx</f>
        <v/>
      </c>
      <c r="J989">
        <f>(k_p4_1+C989*(2*k_p4_2+C989*(3*k_p4_3+4*k_p4_4*C989)))/k_sx</f>
        <v/>
      </c>
      <c r="K989">
        <f>k_eb*k_ec*EXP(k_ec*C989)/k_sx</f>
        <v/>
      </c>
      <c r="L989">
        <f>(2*k_p4_2+C989*(6*k_p4_3+12*k_p4_4*C989))/k_sx^2</f>
        <v/>
      </c>
      <c r="M989">
        <f>D989/B989</f>
        <v/>
      </c>
      <c r="N989">
        <f>E989/B989</f>
        <v/>
      </c>
      <c r="O989">
        <f>F989/B989</f>
        <v/>
      </c>
      <c r="P989">
        <f>G989/B989</f>
        <v/>
      </c>
      <c r="Q989">
        <f>CHOOSE(k_model,D989,E989,F989,G989)</f>
        <v/>
      </c>
      <c r="R989">
        <f>CHOOSE(k_model,H989,I989,J989,K989)</f>
        <v/>
      </c>
    </row>
    <row r="990">
      <c r="A990" t="n">
        <v>988</v>
      </c>
      <c r="B990">
        <f>k_lo+k_rng*A990/1000</f>
        <v/>
      </c>
      <c r="C990">
        <f>(B990-k_mx)/k_sx</f>
        <v/>
      </c>
      <c r="D990">
        <f>k_p2_0+C990*(k_p2_1+C990*k_p2_2)</f>
        <v/>
      </c>
      <c r="E990">
        <f>k_p3_0+C990*(k_p3_1+C990*(k_p3_2+C990*k_p3_3))</f>
        <v/>
      </c>
      <c r="F990">
        <f>k_p4_0+C990*(k_p4_1+C990*(k_p4_2+C990*(k_p4_3+C990*k_p4_4)))</f>
        <v/>
      </c>
      <c r="G990">
        <f>k_ea+k_eb*EXP(k_ec*C990)</f>
        <v/>
      </c>
      <c r="H990">
        <f>(k_p2_1+2*k_p2_2*C990)/k_sx</f>
        <v/>
      </c>
      <c r="I990">
        <f>(k_p3_1+C990*(2*k_p3_2+3*k_p3_3*C990))/k_sx</f>
        <v/>
      </c>
      <c r="J990">
        <f>(k_p4_1+C990*(2*k_p4_2+C990*(3*k_p4_3+4*k_p4_4*C990)))/k_sx</f>
        <v/>
      </c>
      <c r="K990">
        <f>k_eb*k_ec*EXP(k_ec*C990)/k_sx</f>
        <v/>
      </c>
      <c r="L990">
        <f>(2*k_p4_2+C990*(6*k_p4_3+12*k_p4_4*C990))/k_sx^2</f>
        <v/>
      </c>
      <c r="M990">
        <f>D990/B990</f>
        <v/>
      </c>
      <c r="N990">
        <f>E990/B990</f>
        <v/>
      </c>
      <c r="O990">
        <f>F990/B990</f>
        <v/>
      </c>
      <c r="P990">
        <f>G990/B990</f>
        <v/>
      </c>
      <c r="Q990">
        <f>CHOOSE(k_model,D990,E990,F990,G990)</f>
        <v/>
      </c>
      <c r="R990">
        <f>CHOOSE(k_model,H990,I990,J990,K990)</f>
        <v/>
      </c>
    </row>
    <row r="991">
      <c r="A991" t="n">
        <v>989</v>
      </c>
      <c r="B991">
        <f>k_lo+k_rng*A991/1000</f>
        <v/>
      </c>
      <c r="C991">
        <f>(B991-k_mx)/k_sx</f>
        <v/>
      </c>
      <c r="D991">
        <f>k_p2_0+C991*(k_p2_1+C991*k_p2_2)</f>
        <v/>
      </c>
      <c r="E991">
        <f>k_p3_0+C991*(k_p3_1+C991*(k_p3_2+C991*k_p3_3))</f>
        <v/>
      </c>
      <c r="F991">
        <f>k_p4_0+C991*(k_p4_1+C991*(k_p4_2+C991*(k_p4_3+C991*k_p4_4)))</f>
        <v/>
      </c>
      <c r="G991">
        <f>k_ea+k_eb*EXP(k_ec*C991)</f>
        <v/>
      </c>
      <c r="H991">
        <f>(k_p2_1+2*k_p2_2*C991)/k_sx</f>
        <v/>
      </c>
      <c r="I991">
        <f>(k_p3_1+C991*(2*k_p3_2+3*k_p3_3*C991))/k_sx</f>
        <v/>
      </c>
      <c r="J991">
        <f>(k_p4_1+C991*(2*k_p4_2+C991*(3*k_p4_3+4*k_p4_4*C991)))/k_sx</f>
        <v/>
      </c>
      <c r="K991">
        <f>k_eb*k_ec*EXP(k_ec*C991)/k_sx</f>
        <v/>
      </c>
      <c r="L991">
        <f>(2*k_p4_2+C991*(6*k_p4_3+12*k_p4_4*C991))/k_sx^2</f>
        <v/>
      </c>
      <c r="M991">
        <f>D991/B991</f>
        <v/>
      </c>
      <c r="N991">
        <f>E991/B991</f>
        <v/>
      </c>
      <c r="O991">
        <f>F991/B991</f>
        <v/>
      </c>
      <c r="P991">
        <f>G991/B991</f>
        <v/>
      </c>
      <c r="Q991">
        <f>CHOOSE(k_model,D991,E991,F991,G991)</f>
        <v/>
      </c>
      <c r="R991">
        <f>CHOOSE(k_model,H991,I991,J991,K991)</f>
        <v/>
      </c>
    </row>
    <row r="992">
      <c r="A992" t="n">
        <v>990</v>
      </c>
      <c r="B992">
        <f>k_lo+k_rng*A992/1000</f>
        <v/>
      </c>
      <c r="C992">
        <f>(B992-k_mx)/k_sx</f>
        <v/>
      </c>
      <c r="D992">
        <f>k_p2_0+C992*(k_p2_1+C992*k_p2_2)</f>
        <v/>
      </c>
      <c r="E992">
        <f>k_p3_0+C992*(k_p3_1+C992*(k_p3_2+C992*k_p3_3))</f>
        <v/>
      </c>
      <c r="F992">
        <f>k_p4_0+C992*(k_p4_1+C992*(k_p4_2+C992*(k_p4_3+C992*k_p4_4)))</f>
        <v/>
      </c>
      <c r="G992">
        <f>k_ea+k_eb*EXP(k_ec*C992)</f>
        <v/>
      </c>
      <c r="H992">
        <f>(k_p2_1+2*k_p2_2*C992)/k_sx</f>
        <v/>
      </c>
      <c r="I992">
        <f>(k_p3_1+C992*(2*k_p3_2+3*k_p3_3*C992))/k_sx</f>
        <v/>
      </c>
      <c r="J992">
        <f>(k_p4_1+C992*(2*k_p4_2+C992*(3*k_p4_3+4*k_p4_4*C992)))/k_sx</f>
        <v/>
      </c>
      <c r="K992">
        <f>k_eb*k_ec*EXP(k_ec*C992)/k_sx</f>
        <v/>
      </c>
      <c r="L992">
        <f>(2*k_p4_2+C992*(6*k_p4_3+12*k_p4_4*C992))/k_sx^2</f>
        <v/>
      </c>
      <c r="M992">
        <f>D992/B992</f>
        <v/>
      </c>
      <c r="N992">
        <f>E992/B992</f>
        <v/>
      </c>
      <c r="O992">
        <f>F992/B992</f>
        <v/>
      </c>
      <c r="P992">
        <f>G992/B992</f>
        <v/>
      </c>
      <c r="Q992">
        <f>CHOOSE(k_model,D992,E992,F992,G992)</f>
        <v/>
      </c>
      <c r="R992">
        <f>CHOOSE(k_model,H992,I992,J992,K992)</f>
        <v/>
      </c>
    </row>
    <row r="993">
      <c r="A993" t="n">
        <v>991</v>
      </c>
      <c r="B993">
        <f>k_lo+k_rng*A993/1000</f>
        <v/>
      </c>
      <c r="C993">
        <f>(B993-k_mx)/k_sx</f>
        <v/>
      </c>
      <c r="D993">
        <f>k_p2_0+C993*(k_p2_1+C993*k_p2_2)</f>
        <v/>
      </c>
      <c r="E993">
        <f>k_p3_0+C993*(k_p3_1+C993*(k_p3_2+C993*k_p3_3))</f>
        <v/>
      </c>
      <c r="F993">
        <f>k_p4_0+C993*(k_p4_1+C993*(k_p4_2+C993*(k_p4_3+C993*k_p4_4)))</f>
        <v/>
      </c>
      <c r="G993">
        <f>k_ea+k_eb*EXP(k_ec*C993)</f>
        <v/>
      </c>
      <c r="H993">
        <f>(k_p2_1+2*k_p2_2*C993)/k_sx</f>
        <v/>
      </c>
      <c r="I993">
        <f>(k_p3_1+C993*(2*k_p3_2+3*k_p3_3*C993))/k_sx</f>
        <v/>
      </c>
      <c r="J993">
        <f>(k_p4_1+C993*(2*k_p4_2+C993*(3*k_p4_3+4*k_p4_4*C993)))/k_sx</f>
        <v/>
      </c>
      <c r="K993">
        <f>k_eb*k_ec*EXP(k_ec*C993)/k_sx</f>
        <v/>
      </c>
      <c r="L993">
        <f>(2*k_p4_2+C993*(6*k_p4_3+12*k_p4_4*C993))/k_sx^2</f>
        <v/>
      </c>
      <c r="M993">
        <f>D993/B993</f>
        <v/>
      </c>
      <c r="N993">
        <f>E993/B993</f>
        <v/>
      </c>
      <c r="O993">
        <f>F993/B993</f>
        <v/>
      </c>
      <c r="P993">
        <f>G993/B993</f>
        <v/>
      </c>
      <c r="Q993">
        <f>CHOOSE(k_model,D993,E993,F993,G993)</f>
        <v/>
      </c>
      <c r="R993">
        <f>CHOOSE(k_model,H993,I993,J993,K993)</f>
        <v/>
      </c>
    </row>
    <row r="994">
      <c r="A994" t="n">
        <v>992</v>
      </c>
      <c r="B994">
        <f>k_lo+k_rng*A994/1000</f>
        <v/>
      </c>
      <c r="C994">
        <f>(B994-k_mx)/k_sx</f>
        <v/>
      </c>
      <c r="D994">
        <f>k_p2_0+C994*(k_p2_1+C994*k_p2_2)</f>
        <v/>
      </c>
      <c r="E994">
        <f>k_p3_0+C994*(k_p3_1+C994*(k_p3_2+C994*k_p3_3))</f>
        <v/>
      </c>
      <c r="F994">
        <f>k_p4_0+C994*(k_p4_1+C994*(k_p4_2+C994*(k_p4_3+C994*k_p4_4)))</f>
        <v/>
      </c>
      <c r="G994">
        <f>k_ea+k_eb*EXP(k_ec*C994)</f>
        <v/>
      </c>
      <c r="H994">
        <f>(k_p2_1+2*k_p2_2*C994)/k_sx</f>
        <v/>
      </c>
      <c r="I994">
        <f>(k_p3_1+C994*(2*k_p3_2+3*k_p3_3*C994))/k_sx</f>
        <v/>
      </c>
      <c r="J994">
        <f>(k_p4_1+C994*(2*k_p4_2+C994*(3*k_p4_3+4*k_p4_4*C994)))/k_sx</f>
        <v/>
      </c>
      <c r="K994">
        <f>k_eb*k_ec*EXP(k_ec*C994)/k_sx</f>
        <v/>
      </c>
      <c r="L994">
        <f>(2*k_p4_2+C994*(6*k_p4_3+12*k_p4_4*C994))/k_sx^2</f>
        <v/>
      </c>
      <c r="M994">
        <f>D994/B994</f>
        <v/>
      </c>
      <c r="N994">
        <f>E994/B994</f>
        <v/>
      </c>
      <c r="O994">
        <f>F994/B994</f>
        <v/>
      </c>
      <c r="P994">
        <f>G994/B994</f>
        <v/>
      </c>
      <c r="Q994">
        <f>CHOOSE(k_model,D994,E994,F994,G994)</f>
        <v/>
      </c>
      <c r="R994">
        <f>CHOOSE(k_model,H994,I994,J994,K994)</f>
        <v/>
      </c>
    </row>
    <row r="995">
      <c r="A995" t="n">
        <v>993</v>
      </c>
      <c r="B995">
        <f>k_lo+k_rng*A995/1000</f>
        <v/>
      </c>
      <c r="C995">
        <f>(B995-k_mx)/k_sx</f>
        <v/>
      </c>
      <c r="D995">
        <f>k_p2_0+C995*(k_p2_1+C995*k_p2_2)</f>
        <v/>
      </c>
      <c r="E995">
        <f>k_p3_0+C995*(k_p3_1+C995*(k_p3_2+C995*k_p3_3))</f>
        <v/>
      </c>
      <c r="F995">
        <f>k_p4_0+C995*(k_p4_1+C995*(k_p4_2+C995*(k_p4_3+C995*k_p4_4)))</f>
        <v/>
      </c>
      <c r="G995">
        <f>k_ea+k_eb*EXP(k_ec*C995)</f>
        <v/>
      </c>
      <c r="H995">
        <f>(k_p2_1+2*k_p2_2*C995)/k_sx</f>
        <v/>
      </c>
      <c r="I995">
        <f>(k_p3_1+C995*(2*k_p3_2+3*k_p3_3*C995))/k_sx</f>
        <v/>
      </c>
      <c r="J995">
        <f>(k_p4_1+C995*(2*k_p4_2+C995*(3*k_p4_3+4*k_p4_4*C995)))/k_sx</f>
        <v/>
      </c>
      <c r="K995">
        <f>k_eb*k_ec*EXP(k_ec*C995)/k_sx</f>
        <v/>
      </c>
      <c r="L995">
        <f>(2*k_p4_2+C995*(6*k_p4_3+12*k_p4_4*C995))/k_sx^2</f>
        <v/>
      </c>
      <c r="M995">
        <f>D995/B995</f>
        <v/>
      </c>
      <c r="N995">
        <f>E995/B995</f>
        <v/>
      </c>
      <c r="O995">
        <f>F995/B995</f>
        <v/>
      </c>
      <c r="P995">
        <f>G995/B995</f>
        <v/>
      </c>
      <c r="Q995">
        <f>CHOOSE(k_model,D995,E995,F995,G995)</f>
        <v/>
      </c>
      <c r="R995">
        <f>CHOOSE(k_model,H995,I995,J995,K995)</f>
        <v/>
      </c>
    </row>
    <row r="996">
      <c r="A996" t="n">
        <v>994</v>
      </c>
      <c r="B996">
        <f>k_lo+k_rng*A996/1000</f>
        <v/>
      </c>
      <c r="C996">
        <f>(B996-k_mx)/k_sx</f>
        <v/>
      </c>
      <c r="D996">
        <f>k_p2_0+C996*(k_p2_1+C996*k_p2_2)</f>
        <v/>
      </c>
      <c r="E996">
        <f>k_p3_0+C996*(k_p3_1+C996*(k_p3_2+C996*k_p3_3))</f>
        <v/>
      </c>
      <c r="F996">
        <f>k_p4_0+C996*(k_p4_1+C996*(k_p4_2+C996*(k_p4_3+C996*k_p4_4)))</f>
        <v/>
      </c>
      <c r="G996">
        <f>k_ea+k_eb*EXP(k_ec*C996)</f>
        <v/>
      </c>
      <c r="H996">
        <f>(k_p2_1+2*k_p2_2*C996)/k_sx</f>
        <v/>
      </c>
      <c r="I996">
        <f>(k_p3_1+C996*(2*k_p3_2+3*k_p3_3*C996))/k_sx</f>
        <v/>
      </c>
      <c r="J996">
        <f>(k_p4_1+C996*(2*k_p4_2+C996*(3*k_p4_3+4*k_p4_4*C996)))/k_sx</f>
        <v/>
      </c>
      <c r="K996">
        <f>k_eb*k_ec*EXP(k_ec*C996)/k_sx</f>
        <v/>
      </c>
      <c r="L996">
        <f>(2*k_p4_2+C996*(6*k_p4_3+12*k_p4_4*C996))/k_sx^2</f>
        <v/>
      </c>
      <c r="M996">
        <f>D996/B996</f>
        <v/>
      </c>
      <c r="N996">
        <f>E996/B996</f>
        <v/>
      </c>
      <c r="O996">
        <f>F996/B996</f>
        <v/>
      </c>
      <c r="P996">
        <f>G996/B996</f>
        <v/>
      </c>
      <c r="Q996">
        <f>CHOOSE(k_model,D996,E996,F996,G996)</f>
        <v/>
      </c>
      <c r="R996">
        <f>CHOOSE(k_model,H996,I996,J996,K996)</f>
        <v/>
      </c>
    </row>
    <row r="997">
      <c r="A997" t="n">
        <v>995</v>
      </c>
      <c r="B997">
        <f>k_lo+k_rng*A997/1000</f>
        <v/>
      </c>
      <c r="C997">
        <f>(B997-k_mx)/k_sx</f>
        <v/>
      </c>
      <c r="D997">
        <f>k_p2_0+C997*(k_p2_1+C997*k_p2_2)</f>
        <v/>
      </c>
      <c r="E997">
        <f>k_p3_0+C997*(k_p3_1+C997*(k_p3_2+C997*k_p3_3))</f>
        <v/>
      </c>
      <c r="F997">
        <f>k_p4_0+C997*(k_p4_1+C997*(k_p4_2+C997*(k_p4_3+C997*k_p4_4)))</f>
        <v/>
      </c>
      <c r="G997">
        <f>k_ea+k_eb*EXP(k_ec*C997)</f>
        <v/>
      </c>
      <c r="H997">
        <f>(k_p2_1+2*k_p2_2*C997)/k_sx</f>
        <v/>
      </c>
      <c r="I997">
        <f>(k_p3_1+C997*(2*k_p3_2+3*k_p3_3*C997))/k_sx</f>
        <v/>
      </c>
      <c r="J997">
        <f>(k_p4_1+C997*(2*k_p4_2+C997*(3*k_p4_3+4*k_p4_4*C997)))/k_sx</f>
        <v/>
      </c>
      <c r="K997">
        <f>k_eb*k_ec*EXP(k_ec*C997)/k_sx</f>
        <v/>
      </c>
      <c r="L997">
        <f>(2*k_p4_2+C997*(6*k_p4_3+12*k_p4_4*C997))/k_sx^2</f>
        <v/>
      </c>
      <c r="M997">
        <f>D997/B997</f>
        <v/>
      </c>
      <c r="N997">
        <f>E997/B997</f>
        <v/>
      </c>
      <c r="O997">
        <f>F997/B997</f>
        <v/>
      </c>
      <c r="P997">
        <f>G997/B997</f>
        <v/>
      </c>
      <c r="Q997">
        <f>CHOOSE(k_model,D997,E997,F997,G997)</f>
        <v/>
      </c>
      <c r="R997">
        <f>CHOOSE(k_model,H997,I997,J997,K997)</f>
        <v/>
      </c>
    </row>
    <row r="998">
      <c r="A998" t="n">
        <v>996</v>
      </c>
      <c r="B998">
        <f>k_lo+k_rng*A998/1000</f>
        <v/>
      </c>
      <c r="C998">
        <f>(B998-k_mx)/k_sx</f>
        <v/>
      </c>
      <c r="D998">
        <f>k_p2_0+C998*(k_p2_1+C998*k_p2_2)</f>
        <v/>
      </c>
      <c r="E998">
        <f>k_p3_0+C998*(k_p3_1+C998*(k_p3_2+C998*k_p3_3))</f>
        <v/>
      </c>
      <c r="F998">
        <f>k_p4_0+C998*(k_p4_1+C998*(k_p4_2+C998*(k_p4_3+C998*k_p4_4)))</f>
        <v/>
      </c>
      <c r="G998">
        <f>k_ea+k_eb*EXP(k_ec*C998)</f>
        <v/>
      </c>
      <c r="H998">
        <f>(k_p2_1+2*k_p2_2*C998)/k_sx</f>
        <v/>
      </c>
      <c r="I998">
        <f>(k_p3_1+C998*(2*k_p3_2+3*k_p3_3*C998))/k_sx</f>
        <v/>
      </c>
      <c r="J998">
        <f>(k_p4_1+C998*(2*k_p4_2+C998*(3*k_p4_3+4*k_p4_4*C998)))/k_sx</f>
        <v/>
      </c>
      <c r="K998">
        <f>k_eb*k_ec*EXP(k_ec*C998)/k_sx</f>
        <v/>
      </c>
      <c r="L998">
        <f>(2*k_p4_2+C998*(6*k_p4_3+12*k_p4_4*C998))/k_sx^2</f>
        <v/>
      </c>
      <c r="M998">
        <f>D998/B998</f>
        <v/>
      </c>
      <c r="N998">
        <f>E998/B998</f>
        <v/>
      </c>
      <c r="O998">
        <f>F998/B998</f>
        <v/>
      </c>
      <c r="P998">
        <f>G998/B998</f>
        <v/>
      </c>
      <c r="Q998">
        <f>CHOOSE(k_model,D998,E998,F998,G998)</f>
        <v/>
      </c>
      <c r="R998">
        <f>CHOOSE(k_model,H998,I998,J998,K998)</f>
        <v/>
      </c>
    </row>
    <row r="999">
      <c r="A999" t="n">
        <v>997</v>
      </c>
      <c r="B999">
        <f>k_lo+k_rng*A999/1000</f>
        <v/>
      </c>
      <c r="C999">
        <f>(B999-k_mx)/k_sx</f>
        <v/>
      </c>
      <c r="D999">
        <f>k_p2_0+C999*(k_p2_1+C999*k_p2_2)</f>
        <v/>
      </c>
      <c r="E999">
        <f>k_p3_0+C999*(k_p3_1+C999*(k_p3_2+C999*k_p3_3))</f>
        <v/>
      </c>
      <c r="F999">
        <f>k_p4_0+C999*(k_p4_1+C999*(k_p4_2+C999*(k_p4_3+C999*k_p4_4)))</f>
        <v/>
      </c>
      <c r="G999">
        <f>k_ea+k_eb*EXP(k_ec*C999)</f>
        <v/>
      </c>
      <c r="H999">
        <f>(k_p2_1+2*k_p2_2*C999)/k_sx</f>
        <v/>
      </c>
      <c r="I999">
        <f>(k_p3_1+C999*(2*k_p3_2+3*k_p3_3*C999))/k_sx</f>
        <v/>
      </c>
      <c r="J999">
        <f>(k_p4_1+C999*(2*k_p4_2+C999*(3*k_p4_3+4*k_p4_4*C999)))/k_sx</f>
        <v/>
      </c>
      <c r="K999">
        <f>k_eb*k_ec*EXP(k_ec*C999)/k_sx</f>
        <v/>
      </c>
      <c r="L999">
        <f>(2*k_p4_2+C999*(6*k_p4_3+12*k_p4_4*C999))/k_sx^2</f>
        <v/>
      </c>
      <c r="M999">
        <f>D999/B999</f>
        <v/>
      </c>
      <c r="N999">
        <f>E999/B999</f>
        <v/>
      </c>
      <c r="O999">
        <f>F999/B999</f>
        <v/>
      </c>
      <c r="P999">
        <f>G999/B999</f>
        <v/>
      </c>
      <c r="Q999">
        <f>CHOOSE(k_model,D999,E999,F999,G999)</f>
        <v/>
      </c>
      <c r="R999">
        <f>CHOOSE(k_model,H999,I999,J999,K999)</f>
        <v/>
      </c>
    </row>
    <row r="1000">
      <c r="A1000" t="n">
        <v>998</v>
      </c>
      <c r="B1000">
        <f>k_lo+k_rng*A1000/1000</f>
        <v/>
      </c>
      <c r="C1000">
        <f>(B1000-k_mx)/k_sx</f>
        <v/>
      </c>
      <c r="D1000">
        <f>k_p2_0+C1000*(k_p2_1+C1000*k_p2_2)</f>
        <v/>
      </c>
      <c r="E1000">
        <f>k_p3_0+C1000*(k_p3_1+C1000*(k_p3_2+C1000*k_p3_3))</f>
        <v/>
      </c>
      <c r="F1000">
        <f>k_p4_0+C1000*(k_p4_1+C1000*(k_p4_2+C1000*(k_p4_3+C1000*k_p4_4)))</f>
        <v/>
      </c>
      <c r="G1000">
        <f>k_ea+k_eb*EXP(k_ec*C1000)</f>
        <v/>
      </c>
      <c r="H1000">
        <f>(k_p2_1+2*k_p2_2*C1000)/k_sx</f>
        <v/>
      </c>
      <c r="I1000">
        <f>(k_p3_1+C1000*(2*k_p3_2+3*k_p3_3*C1000))/k_sx</f>
        <v/>
      </c>
      <c r="J1000">
        <f>(k_p4_1+C1000*(2*k_p4_2+C1000*(3*k_p4_3+4*k_p4_4*C1000)))/k_sx</f>
        <v/>
      </c>
      <c r="K1000">
        <f>k_eb*k_ec*EXP(k_ec*C1000)/k_sx</f>
        <v/>
      </c>
      <c r="L1000">
        <f>(2*k_p4_2+C1000*(6*k_p4_3+12*k_p4_4*C1000))/k_sx^2</f>
        <v/>
      </c>
      <c r="M1000">
        <f>D1000/B1000</f>
        <v/>
      </c>
      <c r="N1000">
        <f>E1000/B1000</f>
        <v/>
      </c>
      <c r="O1000">
        <f>F1000/B1000</f>
        <v/>
      </c>
      <c r="P1000">
        <f>G1000/B1000</f>
        <v/>
      </c>
      <c r="Q1000">
        <f>CHOOSE(k_model,D1000,E1000,F1000,G1000)</f>
        <v/>
      </c>
      <c r="R1000">
        <f>CHOOSE(k_model,H1000,I1000,J1000,K1000)</f>
        <v/>
      </c>
    </row>
    <row r="1001">
      <c r="A1001" t="n">
        <v>999</v>
      </c>
      <c r="B1001">
        <f>k_lo+k_rng*A1001/1000</f>
        <v/>
      </c>
      <c r="C1001">
        <f>(B1001-k_mx)/k_sx</f>
        <v/>
      </c>
      <c r="D1001">
        <f>k_p2_0+C1001*(k_p2_1+C1001*k_p2_2)</f>
        <v/>
      </c>
      <c r="E1001">
        <f>k_p3_0+C1001*(k_p3_1+C1001*(k_p3_2+C1001*k_p3_3))</f>
        <v/>
      </c>
      <c r="F1001">
        <f>k_p4_0+C1001*(k_p4_1+C1001*(k_p4_2+C1001*(k_p4_3+C1001*k_p4_4)))</f>
        <v/>
      </c>
      <c r="G1001">
        <f>k_ea+k_eb*EXP(k_ec*C1001)</f>
        <v/>
      </c>
      <c r="H1001">
        <f>(k_p2_1+2*k_p2_2*C1001)/k_sx</f>
        <v/>
      </c>
      <c r="I1001">
        <f>(k_p3_1+C1001*(2*k_p3_2+3*k_p3_3*C1001))/k_sx</f>
        <v/>
      </c>
      <c r="J1001">
        <f>(k_p4_1+C1001*(2*k_p4_2+C1001*(3*k_p4_3+4*k_p4_4*C1001)))/k_sx</f>
        <v/>
      </c>
      <c r="K1001">
        <f>k_eb*k_ec*EXP(k_ec*C1001)/k_sx</f>
        <v/>
      </c>
      <c r="L1001">
        <f>(2*k_p4_2+C1001*(6*k_p4_3+12*k_p4_4*C1001))/k_sx^2</f>
        <v/>
      </c>
      <c r="M1001">
        <f>D1001/B1001</f>
        <v/>
      </c>
      <c r="N1001">
        <f>E1001/B1001</f>
        <v/>
      </c>
      <c r="O1001">
        <f>F1001/B1001</f>
        <v/>
      </c>
      <c r="P1001">
        <f>G1001/B1001</f>
        <v/>
      </c>
      <c r="Q1001">
        <f>CHOOSE(k_model,D1001,E1001,F1001,G1001)</f>
        <v/>
      </c>
      <c r="R1001">
        <f>CHOOSE(k_model,H1001,I1001,J1001,K1001)</f>
        <v/>
      </c>
    </row>
    <row r="1002">
      <c r="A1002" t="n">
        <v>1000</v>
      </c>
      <c r="B1002">
        <f>k_lo+k_rng*A1002/1000</f>
        <v/>
      </c>
      <c r="C1002">
        <f>(B1002-k_mx)/k_sx</f>
        <v/>
      </c>
      <c r="D1002">
        <f>k_p2_0+C1002*(k_p2_1+C1002*k_p2_2)</f>
        <v/>
      </c>
      <c r="E1002">
        <f>k_p3_0+C1002*(k_p3_1+C1002*(k_p3_2+C1002*k_p3_3))</f>
        <v/>
      </c>
      <c r="F1002">
        <f>k_p4_0+C1002*(k_p4_1+C1002*(k_p4_2+C1002*(k_p4_3+C1002*k_p4_4)))</f>
        <v/>
      </c>
      <c r="G1002">
        <f>k_ea+k_eb*EXP(k_ec*C1002)</f>
        <v/>
      </c>
      <c r="H1002">
        <f>(k_p2_1+2*k_p2_2*C1002)/k_sx</f>
        <v/>
      </c>
      <c r="I1002">
        <f>(k_p3_1+C1002*(2*k_p3_2+3*k_p3_3*C1002))/k_sx</f>
        <v/>
      </c>
      <c r="J1002">
        <f>(k_p4_1+C1002*(2*k_p4_2+C1002*(3*k_p4_3+4*k_p4_4*C1002)))/k_sx</f>
        <v/>
      </c>
      <c r="K1002">
        <f>k_eb*k_ec*EXP(k_ec*C1002)/k_sx</f>
        <v/>
      </c>
      <c r="L1002">
        <f>(2*k_p4_2+C1002*(6*k_p4_3+12*k_p4_4*C1002))/k_sx^2</f>
        <v/>
      </c>
      <c r="M1002">
        <f>D1002/B1002</f>
        <v/>
      </c>
      <c r="N1002">
        <f>E1002/B1002</f>
        <v/>
      </c>
      <c r="O1002">
        <f>F1002/B1002</f>
        <v/>
      </c>
      <c r="P1002">
        <f>G1002/B1002</f>
        <v/>
      </c>
      <c r="Q1002">
        <f>CHOOSE(k_model,D1002,E1002,F1002,G1002)</f>
        <v/>
      </c>
      <c r="R1002">
        <f>CHOOSE(k_model,H1002,I1002,J1002,K1002)</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93"/>
  <sheetViews>
    <sheetView showGridLines="0" workbookViewId="0">
      <selection activeCell="A1" sqref="A1"/>
    </sheetView>
  </sheetViews>
  <sheetFormatPr baseColWidth="8" defaultRowHeight="15"/>
  <sheetData>
    <row r="1">
      <c r="A1" s="57" t="inlineStr">
        <is>
          <t>Exponentialfit a + b·e^(c·t): Rastersuche über c mit zweifacher Verfeinerung (ersetzt Goldener-Schnitt-Suche)</t>
        </is>
      </c>
    </row>
    <row r="3">
      <c r="A3" s="7" t="inlineStr">
        <is>
          <t>Stufe 1 bestes c</t>
        </is>
      </c>
      <c r="B3">
        <f>INDEX(A10:A409,MATCH(MIN(H10:H409),H10:H409,0))</f>
        <v/>
      </c>
    </row>
    <row r="4">
      <c r="A4" s="7" t="inlineStr">
        <is>
          <t>min. SSE (final)</t>
        </is>
      </c>
      <c r="B4">
        <f>MIN(H453:H493)</f>
        <v/>
      </c>
    </row>
    <row r="5">
      <c r="A5" s="7" t="inlineStr">
        <is>
          <t>c final</t>
        </is>
      </c>
      <c r="B5">
        <f>INDEX(A453:A493,B8)</f>
        <v/>
      </c>
    </row>
    <row r="6">
      <c r="A6" s="7" t="inlineStr">
        <is>
          <t>a final</t>
        </is>
      </c>
      <c r="B6">
        <f>INDEX(G453:G493,B8)</f>
        <v/>
      </c>
    </row>
    <row r="7">
      <c r="A7" s="7" t="inlineStr">
        <is>
          <t>b final</t>
        </is>
      </c>
      <c r="B7">
        <f>INDEX(F453:F493,B8)</f>
        <v/>
      </c>
    </row>
    <row r="8">
      <c r="A8" t="inlineStr">
        <is>
          <t>Zeile final</t>
        </is>
      </c>
      <c r="B8">
        <f>MATCH(B4,H453:H493,0)</f>
        <v/>
      </c>
    </row>
    <row r="9">
      <c r="A9" s="57" t="inlineStr">
        <is>
          <t>c</t>
        </is>
      </c>
      <c r="B9" s="57" t="inlineStr">
        <is>
          <t>Σe</t>
        </is>
      </c>
      <c r="C9" s="57" t="inlineStr">
        <is>
          <t>Σe²</t>
        </is>
      </c>
      <c r="D9" s="57" t="inlineStr">
        <is>
          <t>Σe·y</t>
        </is>
      </c>
      <c r="E9" s="57" t="inlineStr">
        <is>
          <t>det</t>
        </is>
      </c>
      <c r="F9" s="57" t="inlineStr">
        <is>
          <t>b</t>
        </is>
      </c>
      <c r="G9" s="57" t="inlineStr">
        <is>
          <t>a</t>
        </is>
      </c>
      <c r="H9" s="57" t="inlineStr">
        <is>
          <t>SSE</t>
        </is>
      </c>
    </row>
    <row r="10">
      <c r="A10" t="n">
        <v>0.02</v>
      </c>
      <c r="B10">
        <f>SUMPRODUCT(Calc!$K$3:$K$22,EXP(A10*Calc!$L$3:$L$22))</f>
        <v/>
      </c>
      <c r="C10">
        <f>SUMPRODUCT(Calc!$K$3:$K$22,EXP(2*A10*Calc!$L$3:$L$22))</f>
        <v/>
      </c>
      <c r="D10">
        <f>SUMPRODUCT(Calc!$K$3:$K$22,EXP(A10*Calc!$L$3:$L$22),Calc!$I$3:$I$22)</f>
        <v/>
      </c>
      <c r="E10">
        <f>k_n*C10-B10^2</f>
        <v/>
      </c>
      <c r="F10">
        <f>IF(ABS(E10)&lt;1E-14,0,(k_n*D10-B10*k_n*k_ymean)/E10)</f>
        <v/>
      </c>
      <c r="G10">
        <f>IF(k_n&gt;0,(k_n*k_ymean-F10*B10)/k_n,0)</f>
        <v/>
      </c>
      <c r="H10">
        <f>IF(AND(F10&gt;0,ABS(E10)&gt;=1E-14),SUMPRODUCT(Calc!$K$3:$K$22,(Calc!$I$3:$I$22-G10-F10*EXP(A10*Calc!$L$3:$L$22))^2),1E+300)</f>
        <v/>
      </c>
    </row>
    <row r="11">
      <c r="A11" t="n">
        <v>0.04</v>
      </c>
      <c r="B11">
        <f>SUMPRODUCT(Calc!$K$3:$K$22,EXP(A11*Calc!$L$3:$L$22))</f>
        <v/>
      </c>
      <c r="C11">
        <f>SUMPRODUCT(Calc!$K$3:$K$22,EXP(2*A11*Calc!$L$3:$L$22))</f>
        <v/>
      </c>
      <c r="D11">
        <f>SUMPRODUCT(Calc!$K$3:$K$22,EXP(A11*Calc!$L$3:$L$22),Calc!$I$3:$I$22)</f>
        <v/>
      </c>
      <c r="E11">
        <f>k_n*C11-B11^2</f>
        <v/>
      </c>
      <c r="F11">
        <f>IF(ABS(E11)&lt;1E-14,0,(k_n*D11-B11*k_n*k_ymean)/E11)</f>
        <v/>
      </c>
      <c r="G11">
        <f>IF(k_n&gt;0,(k_n*k_ymean-F11*B11)/k_n,0)</f>
        <v/>
      </c>
      <c r="H11">
        <f>IF(AND(F11&gt;0,ABS(E11)&gt;=1E-14),SUMPRODUCT(Calc!$K$3:$K$22,(Calc!$I$3:$I$22-G11-F11*EXP(A11*Calc!$L$3:$L$22))^2),1E+300)</f>
        <v/>
      </c>
    </row>
    <row r="12">
      <c r="A12" t="n">
        <v>0.06</v>
      </c>
      <c r="B12">
        <f>SUMPRODUCT(Calc!$K$3:$K$22,EXP(A12*Calc!$L$3:$L$22))</f>
        <v/>
      </c>
      <c r="C12">
        <f>SUMPRODUCT(Calc!$K$3:$K$22,EXP(2*A12*Calc!$L$3:$L$22))</f>
        <v/>
      </c>
      <c r="D12">
        <f>SUMPRODUCT(Calc!$K$3:$K$22,EXP(A12*Calc!$L$3:$L$22),Calc!$I$3:$I$22)</f>
        <v/>
      </c>
      <c r="E12">
        <f>k_n*C12-B12^2</f>
        <v/>
      </c>
      <c r="F12">
        <f>IF(ABS(E12)&lt;1E-14,0,(k_n*D12-B12*k_n*k_ymean)/E12)</f>
        <v/>
      </c>
      <c r="G12">
        <f>IF(k_n&gt;0,(k_n*k_ymean-F12*B12)/k_n,0)</f>
        <v/>
      </c>
      <c r="H12">
        <f>IF(AND(F12&gt;0,ABS(E12)&gt;=1E-14),SUMPRODUCT(Calc!$K$3:$K$22,(Calc!$I$3:$I$22-G12-F12*EXP(A12*Calc!$L$3:$L$22))^2),1E+300)</f>
        <v/>
      </c>
    </row>
    <row r="13">
      <c r="A13" t="n">
        <v>0.08</v>
      </c>
      <c r="B13">
        <f>SUMPRODUCT(Calc!$K$3:$K$22,EXP(A13*Calc!$L$3:$L$22))</f>
        <v/>
      </c>
      <c r="C13">
        <f>SUMPRODUCT(Calc!$K$3:$K$22,EXP(2*A13*Calc!$L$3:$L$22))</f>
        <v/>
      </c>
      <c r="D13">
        <f>SUMPRODUCT(Calc!$K$3:$K$22,EXP(A13*Calc!$L$3:$L$22),Calc!$I$3:$I$22)</f>
        <v/>
      </c>
      <c r="E13">
        <f>k_n*C13-B13^2</f>
        <v/>
      </c>
      <c r="F13">
        <f>IF(ABS(E13)&lt;1E-14,0,(k_n*D13-B13*k_n*k_ymean)/E13)</f>
        <v/>
      </c>
      <c r="G13">
        <f>IF(k_n&gt;0,(k_n*k_ymean-F13*B13)/k_n,0)</f>
        <v/>
      </c>
      <c r="H13">
        <f>IF(AND(F13&gt;0,ABS(E13)&gt;=1E-14),SUMPRODUCT(Calc!$K$3:$K$22,(Calc!$I$3:$I$22-G13-F13*EXP(A13*Calc!$L$3:$L$22))^2),1E+300)</f>
        <v/>
      </c>
    </row>
    <row r="14">
      <c r="A14" t="n">
        <v>0.1</v>
      </c>
      <c r="B14">
        <f>SUMPRODUCT(Calc!$K$3:$K$22,EXP(A14*Calc!$L$3:$L$22))</f>
        <v/>
      </c>
      <c r="C14">
        <f>SUMPRODUCT(Calc!$K$3:$K$22,EXP(2*A14*Calc!$L$3:$L$22))</f>
        <v/>
      </c>
      <c r="D14">
        <f>SUMPRODUCT(Calc!$K$3:$K$22,EXP(A14*Calc!$L$3:$L$22),Calc!$I$3:$I$22)</f>
        <v/>
      </c>
      <c r="E14">
        <f>k_n*C14-B14^2</f>
        <v/>
      </c>
      <c r="F14">
        <f>IF(ABS(E14)&lt;1E-14,0,(k_n*D14-B14*k_n*k_ymean)/E14)</f>
        <v/>
      </c>
      <c r="G14">
        <f>IF(k_n&gt;0,(k_n*k_ymean-F14*B14)/k_n,0)</f>
        <v/>
      </c>
      <c r="H14">
        <f>IF(AND(F14&gt;0,ABS(E14)&gt;=1E-14),SUMPRODUCT(Calc!$K$3:$K$22,(Calc!$I$3:$I$22-G14-F14*EXP(A14*Calc!$L$3:$L$22))^2),1E+300)</f>
        <v/>
      </c>
    </row>
    <row r="15">
      <c r="A15" t="n">
        <v>0.12</v>
      </c>
      <c r="B15">
        <f>SUMPRODUCT(Calc!$K$3:$K$22,EXP(A15*Calc!$L$3:$L$22))</f>
        <v/>
      </c>
      <c r="C15">
        <f>SUMPRODUCT(Calc!$K$3:$K$22,EXP(2*A15*Calc!$L$3:$L$22))</f>
        <v/>
      </c>
      <c r="D15">
        <f>SUMPRODUCT(Calc!$K$3:$K$22,EXP(A15*Calc!$L$3:$L$22),Calc!$I$3:$I$22)</f>
        <v/>
      </c>
      <c r="E15">
        <f>k_n*C15-B15^2</f>
        <v/>
      </c>
      <c r="F15">
        <f>IF(ABS(E15)&lt;1E-14,0,(k_n*D15-B15*k_n*k_ymean)/E15)</f>
        <v/>
      </c>
      <c r="G15">
        <f>IF(k_n&gt;0,(k_n*k_ymean-F15*B15)/k_n,0)</f>
        <v/>
      </c>
      <c r="H15">
        <f>IF(AND(F15&gt;0,ABS(E15)&gt;=1E-14),SUMPRODUCT(Calc!$K$3:$K$22,(Calc!$I$3:$I$22-G15-F15*EXP(A15*Calc!$L$3:$L$22))^2),1E+300)</f>
        <v/>
      </c>
    </row>
    <row r="16">
      <c r="A16" t="n">
        <v>0.14</v>
      </c>
      <c r="B16">
        <f>SUMPRODUCT(Calc!$K$3:$K$22,EXP(A16*Calc!$L$3:$L$22))</f>
        <v/>
      </c>
      <c r="C16">
        <f>SUMPRODUCT(Calc!$K$3:$K$22,EXP(2*A16*Calc!$L$3:$L$22))</f>
        <v/>
      </c>
      <c r="D16">
        <f>SUMPRODUCT(Calc!$K$3:$K$22,EXP(A16*Calc!$L$3:$L$22),Calc!$I$3:$I$22)</f>
        <v/>
      </c>
      <c r="E16">
        <f>k_n*C16-B16^2</f>
        <v/>
      </c>
      <c r="F16">
        <f>IF(ABS(E16)&lt;1E-14,0,(k_n*D16-B16*k_n*k_ymean)/E16)</f>
        <v/>
      </c>
      <c r="G16">
        <f>IF(k_n&gt;0,(k_n*k_ymean-F16*B16)/k_n,0)</f>
        <v/>
      </c>
      <c r="H16">
        <f>IF(AND(F16&gt;0,ABS(E16)&gt;=1E-14),SUMPRODUCT(Calc!$K$3:$K$22,(Calc!$I$3:$I$22-G16-F16*EXP(A16*Calc!$L$3:$L$22))^2),1E+300)</f>
        <v/>
      </c>
    </row>
    <row r="17">
      <c r="A17" t="n">
        <v>0.16</v>
      </c>
      <c r="B17">
        <f>SUMPRODUCT(Calc!$K$3:$K$22,EXP(A17*Calc!$L$3:$L$22))</f>
        <v/>
      </c>
      <c r="C17">
        <f>SUMPRODUCT(Calc!$K$3:$K$22,EXP(2*A17*Calc!$L$3:$L$22))</f>
        <v/>
      </c>
      <c r="D17">
        <f>SUMPRODUCT(Calc!$K$3:$K$22,EXP(A17*Calc!$L$3:$L$22),Calc!$I$3:$I$22)</f>
        <v/>
      </c>
      <c r="E17">
        <f>k_n*C17-B17^2</f>
        <v/>
      </c>
      <c r="F17">
        <f>IF(ABS(E17)&lt;1E-14,0,(k_n*D17-B17*k_n*k_ymean)/E17)</f>
        <v/>
      </c>
      <c r="G17">
        <f>IF(k_n&gt;0,(k_n*k_ymean-F17*B17)/k_n,0)</f>
        <v/>
      </c>
      <c r="H17">
        <f>IF(AND(F17&gt;0,ABS(E17)&gt;=1E-14),SUMPRODUCT(Calc!$K$3:$K$22,(Calc!$I$3:$I$22-G17-F17*EXP(A17*Calc!$L$3:$L$22))^2),1E+300)</f>
        <v/>
      </c>
    </row>
    <row r="18">
      <c r="A18" t="n">
        <v>0.18</v>
      </c>
      <c r="B18">
        <f>SUMPRODUCT(Calc!$K$3:$K$22,EXP(A18*Calc!$L$3:$L$22))</f>
        <v/>
      </c>
      <c r="C18">
        <f>SUMPRODUCT(Calc!$K$3:$K$22,EXP(2*A18*Calc!$L$3:$L$22))</f>
        <v/>
      </c>
      <c r="D18">
        <f>SUMPRODUCT(Calc!$K$3:$K$22,EXP(A18*Calc!$L$3:$L$22),Calc!$I$3:$I$22)</f>
        <v/>
      </c>
      <c r="E18">
        <f>k_n*C18-B18^2</f>
        <v/>
      </c>
      <c r="F18">
        <f>IF(ABS(E18)&lt;1E-14,0,(k_n*D18-B18*k_n*k_ymean)/E18)</f>
        <v/>
      </c>
      <c r="G18">
        <f>IF(k_n&gt;0,(k_n*k_ymean-F18*B18)/k_n,0)</f>
        <v/>
      </c>
      <c r="H18">
        <f>IF(AND(F18&gt;0,ABS(E18)&gt;=1E-14),SUMPRODUCT(Calc!$K$3:$K$22,(Calc!$I$3:$I$22-G18-F18*EXP(A18*Calc!$L$3:$L$22))^2),1E+300)</f>
        <v/>
      </c>
    </row>
    <row r="19">
      <c r="A19" t="n">
        <v>0.2</v>
      </c>
      <c r="B19">
        <f>SUMPRODUCT(Calc!$K$3:$K$22,EXP(A19*Calc!$L$3:$L$22))</f>
        <v/>
      </c>
      <c r="C19">
        <f>SUMPRODUCT(Calc!$K$3:$K$22,EXP(2*A19*Calc!$L$3:$L$22))</f>
        <v/>
      </c>
      <c r="D19">
        <f>SUMPRODUCT(Calc!$K$3:$K$22,EXP(A19*Calc!$L$3:$L$22),Calc!$I$3:$I$22)</f>
        <v/>
      </c>
      <c r="E19">
        <f>k_n*C19-B19^2</f>
        <v/>
      </c>
      <c r="F19">
        <f>IF(ABS(E19)&lt;1E-14,0,(k_n*D19-B19*k_n*k_ymean)/E19)</f>
        <v/>
      </c>
      <c r="G19">
        <f>IF(k_n&gt;0,(k_n*k_ymean-F19*B19)/k_n,0)</f>
        <v/>
      </c>
      <c r="H19">
        <f>IF(AND(F19&gt;0,ABS(E19)&gt;=1E-14),SUMPRODUCT(Calc!$K$3:$K$22,(Calc!$I$3:$I$22-G19-F19*EXP(A19*Calc!$L$3:$L$22))^2),1E+300)</f>
        <v/>
      </c>
    </row>
    <row r="20">
      <c r="A20" t="n">
        <v>0.22</v>
      </c>
      <c r="B20">
        <f>SUMPRODUCT(Calc!$K$3:$K$22,EXP(A20*Calc!$L$3:$L$22))</f>
        <v/>
      </c>
      <c r="C20">
        <f>SUMPRODUCT(Calc!$K$3:$K$22,EXP(2*A20*Calc!$L$3:$L$22))</f>
        <v/>
      </c>
      <c r="D20">
        <f>SUMPRODUCT(Calc!$K$3:$K$22,EXP(A20*Calc!$L$3:$L$22),Calc!$I$3:$I$22)</f>
        <v/>
      </c>
      <c r="E20">
        <f>k_n*C20-B20^2</f>
        <v/>
      </c>
      <c r="F20">
        <f>IF(ABS(E20)&lt;1E-14,0,(k_n*D20-B20*k_n*k_ymean)/E20)</f>
        <v/>
      </c>
      <c r="G20">
        <f>IF(k_n&gt;0,(k_n*k_ymean-F20*B20)/k_n,0)</f>
        <v/>
      </c>
      <c r="H20">
        <f>IF(AND(F20&gt;0,ABS(E20)&gt;=1E-14),SUMPRODUCT(Calc!$K$3:$K$22,(Calc!$I$3:$I$22-G20-F20*EXP(A20*Calc!$L$3:$L$22))^2),1E+300)</f>
        <v/>
      </c>
    </row>
    <row r="21">
      <c r="A21" t="n">
        <v>0.24</v>
      </c>
      <c r="B21">
        <f>SUMPRODUCT(Calc!$K$3:$K$22,EXP(A21*Calc!$L$3:$L$22))</f>
        <v/>
      </c>
      <c r="C21">
        <f>SUMPRODUCT(Calc!$K$3:$K$22,EXP(2*A21*Calc!$L$3:$L$22))</f>
        <v/>
      </c>
      <c r="D21">
        <f>SUMPRODUCT(Calc!$K$3:$K$22,EXP(A21*Calc!$L$3:$L$22),Calc!$I$3:$I$22)</f>
        <v/>
      </c>
      <c r="E21">
        <f>k_n*C21-B21^2</f>
        <v/>
      </c>
      <c r="F21">
        <f>IF(ABS(E21)&lt;1E-14,0,(k_n*D21-B21*k_n*k_ymean)/E21)</f>
        <v/>
      </c>
      <c r="G21">
        <f>IF(k_n&gt;0,(k_n*k_ymean-F21*B21)/k_n,0)</f>
        <v/>
      </c>
      <c r="H21">
        <f>IF(AND(F21&gt;0,ABS(E21)&gt;=1E-14),SUMPRODUCT(Calc!$K$3:$K$22,(Calc!$I$3:$I$22-G21-F21*EXP(A21*Calc!$L$3:$L$22))^2),1E+300)</f>
        <v/>
      </c>
    </row>
    <row r="22">
      <c r="A22" t="n">
        <v>0.26</v>
      </c>
      <c r="B22">
        <f>SUMPRODUCT(Calc!$K$3:$K$22,EXP(A22*Calc!$L$3:$L$22))</f>
        <v/>
      </c>
      <c r="C22">
        <f>SUMPRODUCT(Calc!$K$3:$K$22,EXP(2*A22*Calc!$L$3:$L$22))</f>
        <v/>
      </c>
      <c r="D22">
        <f>SUMPRODUCT(Calc!$K$3:$K$22,EXP(A22*Calc!$L$3:$L$22),Calc!$I$3:$I$22)</f>
        <v/>
      </c>
      <c r="E22">
        <f>k_n*C22-B22^2</f>
        <v/>
      </c>
      <c r="F22">
        <f>IF(ABS(E22)&lt;1E-14,0,(k_n*D22-B22*k_n*k_ymean)/E22)</f>
        <v/>
      </c>
      <c r="G22">
        <f>IF(k_n&gt;0,(k_n*k_ymean-F22*B22)/k_n,0)</f>
        <v/>
      </c>
      <c r="H22">
        <f>IF(AND(F22&gt;0,ABS(E22)&gt;=1E-14),SUMPRODUCT(Calc!$K$3:$K$22,(Calc!$I$3:$I$22-G22-F22*EXP(A22*Calc!$L$3:$L$22))^2),1E+300)</f>
        <v/>
      </c>
    </row>
    <row r="23">
      <c r="A23" t="n">
        <v>0.28</v>
      </c>
      <c r="B23">
        <f>SUMPRODUCT(Calc!$K$3:$K$22,EXP(A23*Calc!$L$3:$L$22))</f>
        <v/>
      </c>
      <c r="C23">
        <f>SUMPRODUCT(Calc!$K$3:$K$22,EXP(2*A23*Calc!$L$3:$L$22))</f>
        <v/>
      </c>
      <c r="D23">
        <f>SUMPRODUCT(Calc!$K$3:$K$22,EXP(A23*Calc!$L$3:$L$22),Calc!$I$3:$I$22)</f>
        <v/>
      </c>
      <c r="E23">
        <f>k_n*C23-B23^2</f>
        <v/>
      </c>
      <c r="F23">
        <f>IF(ABS(E23)&lt;1E-14,0,(k_n*D23-B23*k_n*k_ymean)/E23)</f>
        <v/>
      </c>
      <c r="G23">
        <f>IF(k_n&gt;0,(k_n*k_ymean-F23*B23)/k_n,0)</f>
        <v/>
      </c>
      <c r="H23">
        <f>IF(AND(F23&gt;0,ABS(E23)&gt;=1E-14),SUMPRODUCT(Calc!$K$3:$K$22,(Calc!$I$3:$I$22-G23-F23*EXP(A23*Calc!$L$3:$L$22))^2),1E+300)</f>
        <v/>
      </c>
    </row>
    <row r="24">
      <c r="A24" t="n">
        <v>0.3</v>
      </c>
      <c r="B24">
        <f>SUMPRODUCT(Calc!$K$3:$K$22,EXP(A24*Calc!$L$3:$L$22))</f>
        <v/>
      </c>
      <c r="C24">
        <f>SUMPRODUCT(Calc!$K$3:$K$22,EXP(2*A24*Calc!$L$3:$L$22))</f>
        <v/>
      </c>
      <c r="D24">
        <f>SUMPRODUCT(Calc!$K$3:$K$22,EXP(A24*Calc!$L$3:$L$22),Calc!$I$3:$I$22)</f>
        <v/>
      </c>
      <c r="E24">
        <f>k_n*C24-B24^2</f>
        <v/>
      </c>
      <c r="F24">
        <f>IF(ABS(E24)&lt;1E-14,0,(k_n*D24-B24*k_n*k_ymean)/E24)</f>
        <v/>
      </c>
      <c r="G24">
        <f>IF(k_n&gt;0,(k_n*k_ymean-F24*B24)/k_n,0)</f>
        <v/>
      </c>
      <c r="H24">
        <f>IF(AND(F24&gt;0,ABS(E24)&gt;=1E-14),SUMPRODUCT(Calc!$K$3:$K$22,(Calc!$I$3:$I$22-G24-F24*EXP(A24*Calc!$L$3:$L$22))^2),1E+300)</f>
        <v/>
      </c>
    </row>
    <row r="25">
      <c r="A25" t="n">
        <v>0.32</v>
      </c>
      <c r="B25">
        <f>SUMPRODUCT(Calc!$K$3:$K$22,EXP(A25*Calc!$L$3:$L$22))</f>
        <v/>
      </c>
      <c r="C25">
        <f>SUMPRODUCT(Calc!$K$3:$K$22,EXP(2*A25*Calc!$L$3:$L$22))</f>
        <v/>
      </c>
      <c r="D25">
        <f>SUMPRODUCT(Calc!$K$3:$K$22,EXP(A25*Calc!$L$3:$L$22),Calc!$I$3:$I$22)</f>
        <v/>
      </c>
      <c r="E25">
        <f>k_n*C25-B25^2</f>
        <v/>
      </c>
      <c r="F25">
        <f>IF(ABS(E25)&lt;1E-14,0,(k_n*D25-B25*k_n*k_ymean)/E25)</f>
        <v/>
      </c>
      <c r="G25">
        <f>IF(k_n&gt;0,(k_n*k_ymean-F25*B25)/k_n,0)</f>
        <v/>
      </c>
      <c r="H25">
        <f>IF(AND(F25&gt;0,ABS(E25)&gt;=1E-14),SUMPRODUCT(Calc!$K$3:$K$22,(Calc!$I$3:$I$22-G25-F25*EXP(A25*Calc!$L$3:$L$22))^2),1E+300)</f>
        <v/>
      </c>
    </row>
    <row r="26">
      <c r="A26" t="n">
        <v>0.34</v>
      </c>
      <c r="B26">
        <f>SUMPRODUCT(Calc!$K$3:$K$22,EXP(A26*Calc!$L$3:$L$22))</f>
        <v/>
      </c>
      <c r="C26">
        <f>SUMPRODUCT(Calc!$K$3:$K$22,EXP(2*A26*Calc!$L$3:$L$22))</f>
        <v/>
      </c>
      <c r="D26">
        <f>SUMPRODUCT(Calc!$K$3:$K$22,EXP(A26*Calc!$L$3:$L$22),Calc!$I$3:$I$22)</f>
        <v/>
      </c>
      <c r="E26">
        <f>k_n*C26-B26^2</f>
        <v/>
      </c>
      <c r="F26">
        <f>IF(ABS(E26)&lt;1E-14,0,(k_n*D26-B26*k_n*k_ymean)/E26)</f>
        <v/>
      </c>
      <c r="G26">
        <f>IF(k_n&gt;0,(k_n*k_ymean-F26*B26)/k_n,0)</f>
        <v/>
      </c>
      <c r="H26">
        <f>IF(AND(F26&gt;0,ABS(E26)&gt;=1E-14),SUMPRODUCT(Calc!$K$3:$K$22,(Calc!$I$3:$I$22-G26-F26*EXP(A26*Calc!$L$3:$L$22))^2),1E+300)</f>
        <v/>
      </c>
    </row>
    <row r="27">
      <c r="A27" t="n">
        <v>0.36</v>
      </c>
      <c r="B27">
        <f>SUMPRODUCT(Calc!$K$3:$K$22,EXP(A27*Calc!$L$3:$L$22))</f>
        <v/>
      </c>
      <c r="C27">
        <f>SUMPRODUCT(Calc!$K$3:$K$22,EXP(2*A27*Calc!$L$3:$L$22))</f>
        <v/>
      </c>
      <c r="D27">
        <f>SUMPRODUCT(Calc!$K$3:$K$22,EXP(A27*Calc!$L$3:$L$22),Calc!$I$3:$I$22)</f>
        <v/>
      </c>
      <c r="E27">
        <f>k_n*C27-B27^2</f>
        <v/>
      </c>
      <c r="F27">
        <f>IF(ABS(E27)&lt;1E-14,0,(k_n*D27-B27*k_n*k_ymean)/E27)</f>
        <v/>
      </c>
      <c r="G27">
        <f>IF(k_n&gt;0,(k_n*k_ymean-F27*B27)/k_n,0)</f>
        <v/>
      </c>
      <c r="H27">
        <f>IF(AND(F27&gt;0,ABS(E27)&gt;=1E-14),SUMPRODUCT(Calc!$K$3:$K$22,(Calc!$I$3:$I$22-G27-F27*EXP(A27*Calc!$L$3:$L$22))^2),1E+300)</f>
        <v/>
      </c>
    </row>
    <row r="28">
      <c r="A28" t="n">
        <v>0.38</v>
      </c>
      <c r="B28">
        <f>SUMPRODUCT(Calc!$K$3:$K$22,EXP(A28*Calc!$L$3:$L$22))</f>
        <v/>
      </c>
      <c r="C28">
        <f>SUMPRODUCT(Calc!$K$3:$K$22,EXP(2*A28*Calc!$L$3:$L$22))</f>
        <v/>
      </c>
      <c r="D28">
        <f>SUMPRODUCT(Calc!$K$3:$K$22,EXP(A28*Calc!$L$3:$L$22),Calc!$I$3:$I$22)</f>
        <v/>
      </c>
      <c r="E28">
        <f>k_n*C28-B28^2</f>
        <v/>
      </c>
      <c r="F28">
        <f>IF(ABS(E28)&lt;1E-14,0,(k_n*D28-B28*k_n*k_ymean)/E28)</f>
        <v/>
      </c>
      <c r="G28">
        <f>IF(k_n&gt;0,(k_n*k_ymean-F28*B28)/k_n,0)</f>
        <v/>
      </c>
      <c r="H28">
        <f>IF(AND(F28&gt;0,ABS(E28)&gt;=1E-14),SUMPRODUCT(Calc!$K$3:$K$22,(Calc!$I$3:$I$22-G28-F28*EXP(A28*Calc!$L$3:$L$22))^2),1E+300)</f>
        <v/>
      </c>
    </row>
    <row r="29">
      <c r="A29" t="n">
        <v>0.4</v>
      </c>
      <c r="B29">
        <f>SUMPRODUCT(Calc!$K$3:$K$22,EXP(A29*Calc!$L$3:$L$22))</f>
        <v/>
      </c>
      <c r="C29">
        <f>SUMPRODUCT(Calc!$K$3:$K$22,EXP(2*A29*Calc!$L$3:$L$22))</f>
        <v/>
      </c>
      <c r="D29">
        <f>SUMPRODUCT(Calc!$K$3:$K$22,EXP(A29*Calc!$L$3:$L$22),Calc!$I$3:$I$22)</f>
        <v/>
      </c>
      <c r="E29">
        <f>k_n*C29-B29^2</f>
        <v/>
      </c>
      <c r="F29">
        <f>IF(ABS(E29)&lt;1E-14,0,(k_n*D29-B29*k_n*k_ymean)/E29)</f>
        <v/>
      </c>
      <c r="G29">
        <f>IF(k_n&gt;0,(k_n*k_ymean-F29*B29)/k_n,0)</f>
        <v/>
      </c>
      <c r="H29">
        <f>IF(AND(F29&gt;0,ABS(E29)&gt;=1E-14),SUMPRODUCT(Calc!$K$3:$K$22,(Calc!$I$3:$I$22-G29-F29*EXP(A29*Calc!$L$3:$L$22))^2),1E+300)</f>
        <v/>
      </c>
    </row>
    <row r="30">
      <c r="A30" t="n">
        <v>0.42</v>
      </c>
      <c r="B30">
        <f>SUMPRODUCT(Calc!$K$3:$K$22,EXP(A30*Calc!$L$3:$L$22))</f>
        <v/>
      </c>
      <c r="C30">
        <f>SUMPRODUCT(Calc!$K$3:$K$22,EXP(2*A30*Calc!$L$3:$L$22))</f>
        <v/>
      </c>
      <c r="D30">
        <f>SUMPRODUCT(Calc!$K$3:$K$22,EXP(A30*Calc!$L$3:$L$22),Calc!$I$3:$I$22)</f>
        <v/>
      </c>
      <c r="E30">
        <f>k_n*C30-B30^2</f>
        <v/>
      </c>
      <c r="F30">
        <f>IF(ABS(E30)&lt;1E-14,0,(k_n*D30-B30*k_n*k_ymean)/E30)</f>
        <v/>
      </c>
      <c r="G30">
        <f>IF(k_n&gt;0,(k_n*k_ymean-F30*B30)/k_n,0)</f>
        <v/>
      </c>
      <c r="H30">
        <f>IF(AND(F30&gt;0,ABS(E30)&gt;=1E-14),SUMPRODUCT(Calc!$K$3:$K$22,(Calc!$I$3:$I$22-G30-F30*EXP(A30*Calc!$L$3:$L$22))^2),1E+300)</f>
        <v/>
      </c>
    </row>
    <row r="31">
      <c r="A31" t="n">
        <v>0.44</v>
      </c>
      <c r="B31">
        <f>SUMPRODUCT(Calc!$K$3:$K$22,EXP(A31*Calc!$L$3:$L$22))</f>
        <v/>
      </c>
      <c r="C31">
        <f>SUMPRODUCT(Calc!$K$3:$K$22,EXP(2*A31*Calc!$L$3:$L$22))</f>
        <v/>
      </c>
      <c r="D31">
        <f>SUMPRODUCT(Calc!$K$3:$K$22,EXP(A31*Calc!$L$3:$L$22),Calc!$I$3:$I$22)</f>
        <v/>
      </c>
      <c r="E31">
        <f>k_n*C31-B31^2</f>
        <v/>
      </c>
      <c r="F31">
        <f>IF(ABS(E31)&lt;1E-14,0,(k_n*D31-B31*k_n*k_ymean)/E31)</f>
        <v/>
      </c>
      <c r="G31">
        <f>IF(k_n&gt;0,(k_n*k_ymean-F31*B31)/k_n,0)</f>
        <v/>
      </c>
      <c r="H31">
        <f>IF(AND(F31&gt;0,ABS(E31)&gt;=1E-14),SUMPRODUCT(Calc!$K$3:$K$22,(Calc!$I$3:$I$22-G31-F31*EXP(A31*Calc!$L$3:$L$22))^2),1E+300)</f>
        <v/>
      </c>
    </row>
    <row r="32">
      <c r="A32" t="n">
        <v>0.46</v>
      </c>
      <c r="B32">
        <f>SUMPRODUCT(Calc!$K$3:$K$22,EXP(A32*Calc!$L$3:$L$22))</f>
        <v/>
      </c>
      <c r="C32">
        <f>SUMPRODUCT(Calc!$K$3:$K$22,EXP(2*A32*Calc!$L$3:$L$22))</f>
        <v/>
      </c>
      <c r="D32">
        <f>SUMPRODUCT(Calc!$K$3:$K$22,EXP(A32*Calc!$L$3:$L$22),Calc!$I$3:$I$22)</f>
        <v/>
      </c>
      <c r="E32">
        <f>k_n*C32-B32^2</f>
        <v/>
      </c>
      <c r="F32">
        <f>IF(ABS(E32)&lt;1E-14,0,(k_n*D32-B32*k_n*k_ymean)/E32)</f>
        <v/>
      </c>
      <c r="G32">
        <f>IF(k_n&gt;0,(k_n*k_ymean-F32*B32)/k_n,0)</f>
        <v/>
      </c>
      <c r="H32">
        <f>IF(AND(F32&gt;0,ABS(E32)&gt;=1E-14),SUMPRODUCT(Calc!$K$3:$K$22,(Calc!$I$3:$I$22-G32-F32*EXP(A32*Calc!$L$3:$L$22))^2),1E+300)</f>
        <v/>
      </c>
    </row>
    <row r="33">
      <c r="A33" t="n">
        <v>0.48</v>
      </c>
      <c r="B33">
        <f>SUMPRODUCT(Calc!$K$3:$K$22,EXP(A33*Calc!$L$3:$L$22))</f>
        <v/>
      </c>
      <c r="C33">
        <f>SUMPRODUCT(Calc!$K$3:$K$22,EXP(2*A33*Calc!$L$3:$L$22))</f>
        <v/>
      </c>
      <c r="D33">
        <f>SUMPRODUCT(Calc!$K$3:$K$22,EXP(A33*Calc!$L$3:$L$22),Calc!$I$3:$I$22)</f>
        <v/>
      </c>
      <c r="E33">
        <f>k_n*C33-B33^2</f>
        <v/>
      </c>
      <c r="F33">
        <f>IF(ABS(E33)&lt;1E-14,0,(k_n*D33-B33*k_n*k_ymean)/E33)</f>
        <v/>
      </c>
      <c r="G33">
        <f>IF(k_n&gt;0,(k_n*k_ymean-F33*B33)/k_n,0)</f>
        <v/>
      </c>
      <c r="H33">
        <f>IF(AND(F33&gt;0,ABS(E33)&gt;=1E-14),SUMPRODUCT(Calc!$K$3:$K$22,(Calc!$I$3:$I$22-G33-F33*EXP(A33*Calc!$L$3:$L$22))^2),1E+300)</f>
        <v/>
      </c>
    </row>
    <row r="34">
      <c r="A34" t="n">
        <v>0.5</v>
      </c>
      <c r="B34">
        <f>SUMPRODUCT(Calc!$K$3:$K$22,EXP(A34*Calc!$L$3:$L$22))</f>
        <v/>
      </c>
      <c r="C34">
        <f>SUMPRODUCT(Calc!$K$3:$K$22,EXP(2*A34*Calc!$L$3:$L$22))</f>
        <v/>
      </c>
      <c r="D34">
        <f>SUMPRODUCT(Calc!$K$3:$K$22,EXP(A34*Calc!$L$3:$L$22),Calc!$I$3:$I$22)</f>
        <v/>
      </c>
      <c r="E34">
        <f>k_n*C34-B34^2</f>
        <v/>
      </c>
      <c r="F34">
        <f>IF(ABS(E34)&lt;1E-14,0,(k_n*D34-B34*k_n*k_ymean)/E34)</f>
        <v/>
      </c>
      <c r="G34">
        <f>IF(k_n&gt;0,(k_n*k_ymean-F34*B34)/k_n,0)</f>
        <v/>
      </c>
      <c r="H34">
        <f>IF(AND(F34&gt;0,ABS(E34)&gt;=1E-14),SUMPRODUCT(Calc!$K$3:$K$22,(Calc!$I$3:$I$22-G34-F34*EXP(A34*Calc!$L$3:$L$22))^2),1E+300)</f>
        <v/>
      </c>
    </row>
    <row r="35">
      <c r="A35" t="n">
        <v>0.52</v>
      </c>
      <c r="B35">
        <f>SUMPRODUCT(Calc!$K$3:$K$22,EXP(A35*Calc!$L$3:$L$22))</f>
        <v/>
      </c>
      <c r="C35">
        <f>SUMPRODUCT(Calc!$K$3:$K$22,EXP(2*A35*Calc!$L$3:$L$22))</f>
        <v/>
      </c>
      <c r="D35">
        <f>SUMPRODUCT(Calc!$K$3:$K$22,EXP(A35*Calc!$L$3:$L$22),Calc!$I$3:$I$22)</f>
        <v/>
      </c>
      <c r="E35">
        <f>k_n*C35-B35^2</f>
        <v/>
      </c>
      <c r="F35">
        <f>IF(ABS(E35)&lt;1E-14,0,(k_n*D35-B35*k_n*k_ymean)/E35)</f>
        <v/>
      </c>
      <c r="G35">
        <f>IF(k_n&gt;0,(k_n*k_ymean-F35*B35)/k_n,0)</f>
        <v/>
      </c>
      <c r="H35">
        <f>IF(AND(F35&gt;0,ABS(E35)&gt;=1E-14),SUMPRODUCT(Calc!$K$3:$K$22,(Calc!$I$3:$I$22-G35-F35*EXP(A35*Calc!$L$3:$L$22))^2),1E+300)</f>
        <v/>
      </c>
    </row>
    <row r="36">
      <c r="A36" t="n">
        <v>0.54</v>
      </c>
      <c r="B36">
        <f>SUMPRODUCT(Calc!$K$3:$K$22,EXP(A36*Calc!$L$3:$L$22))</f>
        <v/>
      </c>
      <c r="C36">
        <f>SUMPRODUCT(Calc!$K$3:$K$22,EXP(2*A36*Calc!$L$3:$L$22))</f>
        <v/>
      </c>
      <c r="D36">
        <f>SUMPRODUCT(Calc!$K$3:$K$22,EXP(A36*Calc!$L$3:$L$22),Calc!$I$3:$I$22)</f>
        <v/>
      </c>
      <c r="E36">
        <f>k_n*C36-B36^2</f>
        <v/>
      </c>
      <c r="F36">
        <f>IF(ABS(E36)&lt;1E-14,0,(k_n*D36-B36*k_n*k_ymean)/E36)</f>
        <v/>
      </c>
      <c r="G36">
        <f>IF(k_n&gt;0,(k_n*k_ymean-F36*B36)/k_n,0)</f>
        <v/>
      </c>
      <c r="H36">
        <f>IF(AND(F36&gt;0,ABS(E36)&gt;=1E-14),SUMPRODUCT(Calc!$K$3:$K$22,(Calc!$I$3:$I$22-G36-F36*EXP(A36*Calc!$L$3:$L$22))^2),1E+300)</f>
        <v/>
      </c>
    </row>
    <row r="37">
      <c r="A37" t="n">
        <v>0.5600000000000001</v>
      </c>
      <c r="B37">
        <f>SUMPRODUCT(Calc!$K$3:$K$22,EXP(A37*Calc!$L$3:$L$22))</f>
        <v/>
      </c>
      <c r="C37">
        <f>SUMPRODUCT(Calc!$K$3:$K$22,EXP(2*A37*Calc!$L$3:$L$22))</f>
        <v/>
      </c>
      <c r="D37">
        <f>SUMPRODUCT(Calc!$K$3:$K$22,EXP(A37*Calc!$L$3:$L$22),Calc!$I$3:$I$22)</f>
        <v/>
      </c>
      <c r="E37">
        <f>k_n*C37-B37^2</f>
        <v/>
      </c>
      <c r="F37">
        <f>IF(ABS(E37)&lt;1E-14,0,(k_n*D37-B37*k_n*k_ymean)/E37)</f>
        <v/>
      </c>
      <c r="G37">
        <f>IF(k_n&gt;0,(k_n*k_ymean-F37*B37)/k_n,0)</f>
        <v/>
      </c>
      <c r="H37">
        <f>IF(AND(F37&gt;0,ABS(E37)&gt;=1E-14),SUMPRODUCT(Calc!$K$3:$K$22,(Calc!$I$3:$I$22-G37-F37*EXP(A37*Calc!$L$3:$L$22))^2),1E+300)</f>
        <v/>
      </c>
    </row>
    <row r="38">
      <c r="A38" t="n">
        <v>0.58</v>
      </c>
      <c r="B38">
        <f>SUMPRODUCT(Calc!$K$3:$K$22,EXP(A38*Calc!$L$3:$L$22))</f>
        <v/>
      </c>
      <c r="C38">
        <f>SUMPRODUCT(Calc!$K$3:$K$22,EXP(2*A38*Calc!$L$3:$L$22))</f>
        <v/>
      </c>
      <c r="D38">
        <f>SUMPRODUCT(Calc!$K$3:$K$22,EXP(A38*Calc!$L$3:$L$22),Calc!$I$3:$I$22)</f>
        <v/>
      </c>
      <c r="E38">
        <f>k_n*C38-B38^2</f>
        <v/>
      </c>
      <c r="F38">
        <f>IF(ABS(E38)&lt;1E-14,0,(k_n*D38-B38*k_n*k_ymean)/E38)</f>
        <v/>
      </c>
      <c r="G38">
        <f>IF(k_n&gt;0,(k_n*k_ymean-F38*B38)/k_n,0)</f>
        <v/>
      </c>
      <c r="H38">
        <f>IF(AND(F38&gt;0,ABS(E38)&gt;=1E-14),SUMPRODUCT(Calc!$K$3:$K$22,(Calc!$I$3:$I$22-G38-F38*EXP(A38*Calc!$L$3:$L$22))^2),1E+300)</f>
        <v/>
      </c>
    </row>
    <row r="39">
      <c r="A39" t="n">
        <v>0.6</v>
      </c>
      <c r="B39">
        <f>SUMPRODUCT(Calc!$K$3:$K$22,EXP(A39*Calc!$L$3:$L$22))</f>
        <v/>
      </c>
      <c r="C39">
        <f>SUMPRODUCT(Calc!$K$3:$K$22,EXP(2*A39*Calc!$L$3:$L$22))</f>
        <v/>
      </c>
      <c r="D39">
        <f>SUMPRODUCT(Calc!$K$3:$K$22,EXP(A39*Calc!$L$3:$L$22),Calc!$I$3:$I$22)</f>
        <v/>
      </c>
      <c r="E39">
        <f>k_n*C39-B39^2</f>
        <v/>
      </c>
      <c r="F39">
        <f>IF(ABS(E39)&lt;1E-14,0,(k_n*D39-B39*k_n*k_ymean)/E39)</f>
        <v/>
      </c>
      <c r="G39">
        <f>IF(k_n&gt;0,(k_n*k_ymean-F39*B39)/k_n,0)</f>
        <v/>
      </c>
      <c r="H39">
        <f>IF(AND(F39&gt;0,ABS(E39)&gt;=1E-14),SUMPRODUCT(Calc!$K$3:$K$22,(Calc!$I$3:$I$22-G39-F39*EXP(A39*Calc!$L$3:$L$22))^2),1E+300)</f>
        <v/>
      </c>
    </row>
    <row r="40">
      <c r="A40" t="n">
        <v>0.62</v>
      </c>
      <c r="B40">
        <f>SUMPRODUCT(Calc!$K$3:$K$22,EXP(A40*Calc!$L$3:$L$22))</f>
        <v/>
      </c>
      <c r="C40">
        <f>SUMPRODUCT(Calc!$K$3:$K$22,EXP(2*A40*Calc!$L$3:$L$22))</f>
        <v/>
      </c>
      <c r="D40">
        <f>SUMPRODUCT(Calc!$K$3:$K$22,EXP(A40*Calc!$L$3:$L$22),Calc!$I$3:$I$22)</f>
        <v/>
      </c>
      <c r="E40">
        <f>k_n*C40-B40^2</f>
        <v/>
      </c>
      <c r="F40">
        <f>IF(ABS(E40)&lt;1E-14,0,(k_n*D40-B40*k_n*k_ymean)/E40)</f>
        <v/>
      </c>
      <c r="G40">
        <f>IF(k_n&gt;0,(k_n*k_ymean-F40*B40)/k_n,0)</f>
        <v/>
      </c>
      <c r="H40">
        <f>IF(AND(F40&gt;0,ABS(E40)&gt;=1E-14),SUMPRODUCT(Calc!$K$3:$K$22,(Calc!$I$3:$I$22-G40-F40*EXP(A40*Calc!$L$3:$L$22))^2),1E+300)</f>
        <v/>
      </c>
    </row>
    <row r="41">
      <c r="A41" t="n">
        <v>0.64</v>
      </c>
      <c r="B41">
        <f>SUMPRODUCT(Calc!$K$3:$K$22,EXP(A41*Calc!$L$3:$L$22))</f>
        <v/>
      </c>
      <c r="C41">
        <f>SUMPRODUCT(Calc!$K$3:$K$22,EXP(2*A41*Calc!$L$3:$L$22))</f>
        <v/>
      </c>
      <c r="D41">
        <f>SUMPRODUCT(Calc!$K$3:$K$22,EXP(A41*Calc!$L$3:$L$22),Calc!$I$3:$I$22)</f>
        <v/>
      </c>
      <c r="E41">
        <f>k_n*C41-B41^2</f>
        <v/>
      </c>
      <c r="F41">
        <f>IF(ABS(E41)&lt;1E-14,0,(k_n*D41-B41*k_n*k_ymean)/E41)</f>
        <v/>
      </c>
      <c r="G41">
        <f>IF(k_n&gt;0,(k_n*k_ymean-F41*B41)/k_n,0)</f>
        <v/>
      </c>
      <c r="H41">
        <f>IF(AND(F41&gt;0,ABS(E41)&gt;=1E-14),SUMPRODUCT(Calc!$K$3:$K$22,(Calc!$I$3:$I$22-G41-F41*EXP(A41*Calc!$L$3:$L$22))^2),1E+300)</f>
        <v/>
      </c>
    </row>
    <row r="42">
      <c r="A42" t="n">
        <v>0.66</v>
      </c>
      <c r="B42">
        <f>SUMPRODUCT(Calc!$K$3:$K$22,EXP(A42*Calc!$L$3:$L$22))</f>
        <v/>
      </c>
      <c r="C42">
        <f>SUMPRODUCT(Calc!$K$3:$K$22,EXP(2*A42*Calc!$L$3:$L$22))</f>
        <v/>
      </c>
      <c r="D42">
        <f>SUMPRODUCT(Calc!$K$3:$K$22,EXP(A42*Calc!$L$3:$L$22),Calc!$I$3:$I$22)</f>
        <v/>
      </c>
      <c r="E42">
        <f>k_n*C42-B42^2</f>
        <v/>
      </c>
      <c r="F42">
        <f>IF(ABS(E42)&lt;1E-14,0,(k_n*D42-B42*k_n*k_ymean)/E42)</f>
        <v/>
      </c>
      <c r="G42">
        <f>IF(k_n&gt;0,(k_n*k_ymean-F42*B42)/k_n,0)</f>
        <v/>
      </c>
      <c r="H42">
        <f>IF(AND(F42&gt;0,ABS(E42)&gt;=1E-14),SUMPRODUCT(Calc!$K$3:$K$22,(Calc!$I$3:$I$22-G42-F42*EXP(A42*Calc!$L$3:$L$22))^2),1E+300)</f>
        <v/>
      </c>
    </row>
    <row r="43">
      <c r="A43" t="n">
        <v>0.68</v>
      </c>
      <c r="B43">
        <f>SUMPRODUCT(Calc!$K$3:$K$22,EXP(A43*Calc!$L$3:$L$22))</f>
        <v/>
      </c>
      <c r="C43">
        <f>SUMPRODUCT(Calc!$K$3:$K$22,EXP(2*A43*Calc!$L$3:$L$22))</f>
        <v/>
      </c>
      <c r="D43">
        <f>SUMPRODUCT(Calc!$K$3:$K$22,EXP(A43*Calc!$L$3:$L$22),Calc!$I$3:$I$22)</f>
        <v/>
      </c>
      <c r="E43">
        <f>k_n*C43-B43^2</f>
        <v/>
      </c>
      <c r="F43">
        <f>IF(ABS(E43)&lt;1E-14,0,(k_n*D43-B43*k_n*k_ymean)/E43)</f>
        <v/>
      </c>
      <c r="G43">
        <f>IF(k_n&gt;0,(k_n*k_ymean-F43*B43)/k_n,0)</f>
        <v/>
      </c>
      <c r="H43">
        <f>IF(AND(F43&gt;0,ABS(E43)&gt;=1E-14),SUMPRODUCT(Calc!$K$3:$K$22,(Calc!$I$3:$I$22-G43-F43*EXP(A43*Calc!$L$3:$L$22))^2),1E+300)</f>
        <v/>
      </c>
    </row>
    <row r="44">
      <c r="A44" t="n">
        <v>0.7</v>
      </c>
      <c r="B44">
        <f>SUMPRODUCT(Calc!$K$3:$K$22,EXP(A44*Calc!$L$3:$L$22))</f>
        <v/>
      </c>
      <c r="C44">
        <f>SUMPRODUCT(Calc!$K$3:$K$22,EXP(2*A44*Calc!$L$3:$L$22))</f>
        <v/>
      </c>
      <c r="D44">
        <f>SUMPRODUCT(Calc!$K$3:$K$22,EXP(A44*Calc!$L$3:$L$22),Calc!$I$3:$I$22)</f>
        <v/>
      </c>
      <c r="E44">
        <f>k_n*C44-B44^2</f>
        <v/>
      </c>
      <c r="F44">
        <f>IF(ABS(E44)&lt;1E-14,0,(k_n*D44-B44*k_n*k_ymean)/E44)</f>
        <v/>
      </c>
      <c r="G44">
        <f>IF(k_n&gt;0,(k_n*k_ymean-F44*B44)/k_n,0)</f>
        <v/>
      </c>
      <c r="H44">
        <f>IF(AND(F44&gt;0,ABS(E44)&gt;=1E-14),SUMPRODUCT(Calc!$K$3:$K$22,(Calc!$I$3:$I$22-G44-F44*EXP(A44*Calc!$L$3:$L$22))^2),1E+300)</f>
        <v/>
      </c>
    </row>
    <row r="45">
      <c r="A45" t="n">
        <v>0.72</v>
      </c>
      <c r="B45">
        <f>SUMPRODUCT(Calc!$K$3:$K$22,EXP(A45*Calc!$L$3:$L$22))</f>
        <v/>
      </c>
      <c r="C45">
        <f>SUMPRODUCT(Calc!$K$3:$K$22,EXP(2*A45*Calc!$L$3:$L$22))</f>
        <v/>
      </c>
      <c r="D45">
        <f>SUMPRODUCT(Calc!$K$3:$K$22,EXP(A45*Calc!$L$3:$L$22),Calc!$I$3:$I$22)</f>
        <v/>
      </c>
      <c r="E45">
        <f>k_n*C45-B45^2</f>
        <v/>
      </c>
      <c r="F45">
        <f>IF(ABS(E45)&lt;1E-14,0,(k_n*D45-B45*k_n*k_ymean)/E45)</f>
        <v/>
      </c>
      <c r="G45">
        <f>IF(k_n&gt;0,(k_n*k_ymean-F45*B45)/k_n,0)</f>
        <v/>
      </c>
      <c r="H45">
        <f>IF(AND(F45&gt;0,ABS(E45)&gt;=1E-14),SUMPRODUCT(Calc!$K$3:$K$22,(Calc!$I$3:$I$22-G45-F45*EXP(A45*Calc!$L$3:$L$22))^2),1E+300)</f>
        <v/>
      </c>
    </row>
    <row r="46">
      <c r="A46" t="n">
        <v>0.74</v>
      </c>
      <c r="B46">
        <f>SUMPRODUCT(Calc!$K$3:$K$22,EXP(A46*Calc!$L$3:$L$22))</f>
        <v/>
      </c>
      <c r="C46">
        <f>SUMPRODUCT(Calc!$K$3:$K$22,EXP(2*A46*Calc!$L$3:$L$22))</f>
        <v/>
      </c>
      <c r="D46">
        <f>SUMPRODUCT(Calc!$K$3:$K$22,EXP(A46*Calc!$L$3:$L$22),Calc!$I$3:$I$22)</f>
        <v/>
      </c>
      <c r="E46">
        <f>k_n*C46-B46^2</f>
        <v/>
      </c>
      <c r="F46">
        <f>IF(ABS(E46)&lt;1E-14,0,(k_n*D46-B46*k_n*k_ymean)/E46)</f>
        <v/>
      </c>
      <c r="G46">
        <f>IF(k_n&gt;0,(k_n*k_ymean-F46*B46)/k_n,0)</f>
        <v/>
      </c>
      <c r="H46">
        <f>IF(AND(F46&gt;0,ABS(E46)&gt;=1E-14),SUMPRODUCT(Calc!$K$3:$K$22,(Calc!$I$3:$I$22-G46-F46*EXP(A46*Calc!$L$3:$L$22))^2),1E+300)</f>
        <v/>
      </c>
    </row>
    <row r="47">
      <c r="A47" t="n">
        <v>0.76</v>
      </c>
      <c r="B47">
        <f>SUMPRODUCT(Calc!$K$3:$K$22,EXP(A47*Calc!$L$3:$L$22))</f>
        <v/>
      </c>
      <c r="C47">
        <f>SUMPRODUCT(Calc!$K$3:$K$22,EXP(2*A47*Calc!$L$3:$L$22))</f>
        <v/>
      </c>
      <c r="D47">
        <f>SUMPRODUCT(Calc!$K$3:$K$22,EXP(A47*Calc!$L$3:$L$22),Calc!$I$3:$I$22)</f>
        <v/>
      </c>
      <c r="E47">
        <f>k_n*C47-B47^2</f>
        <v/>
      </c>
      <c r="F47">
        <f>IF(ABS(E47)&lt;1E-14,0,(k_n*D47-B47*k_n*k_ymean)/E47)</f>
        <v/>
      </c>
      <c r="G47">
        <f>IF(k_n&gt;0,(k_n*k_ymean-F47*B47)/k_n,0)</f>
        <v/>
      </c>
      <c r="H47">
        <f>IF(AND(F47&gt;0,ABS(E47)&gt;=1E-14),SUMPRODUCT(Calc!$K$3:$K$22,(Calc!$I$3:$I$22-G47-F47*EXP(A47*Calc!$L$3:$L$22))^2),1E+300)</f>
        <v/>
      </c>
    </row>
    <row r="48">
      <c r="A48" t="n">
        <v>0.78</v>
      </c>
      <c r="B48">
        <f>SUMPRODUCT(Calc!$K$3:$K$22,EXP(A48*Calc!$L$3:$L$22))</f>
        <v/>
      </c>
      <c r="C48">
        <f>SUMPRODUCT(Calc!$K$3:$K$22,EXP(2*A48*Calc!$L$3:$L$22))</f>
        <v/>
      </c>
      <c r="D48">
        <f>SUMPRODUCT(Calc!$K$3:$K$22,EXP(A48*Calc!$L$3:$L$22),Calc!$I$3:$I$22)</f>
        <v/>
      </c>
      <c r="E48">
        <f>k_n*C48-B48^2</f>
        <v/>
      </c>
      <c r="F48">
        <f>IF(ABS(E48)&lt;1E-14,0,(k_n*D48-B48*k_n*k_ymean)/E48)</f>
        <v/>
      </c>
      <c r="G48">
        <f>IF(k_n&gt;0,(k_n*k_ymean-F48*B48)/k_n,0)</f>
        <v/>
      </c>
      <c r="H48">
        <f>IF(AND(F48&gt;0,ABS(E48)&gt;=1E-14),SUMPRODUCT(Calc!$K$3:$K$22,(Calc!$I$3:$I$22-G48-F48*EXP(A48*Calc!$L$3:$L$22))^2),1E+300)</f>
        <v/>
      </c>
    </row>
    <row r="49">
      <c r="A49" t="n">
        <v>0.8</v>
      </c>
      <c r="B49">
        <f>SUMPRODUCT(Calc!$K$3:$K$22,EXP(A49*Calc!$L$3:$L$22))</f>
        <v/>
      </c>
      <c r="C49">
        <f>SUMPRODUCT(Calc!$K$3:$K$22,EXP(2*A49*Calc!$L$3:$L$22))</f>
        <v/>
      </c>
      <c r="D49">
        <f>SUMPRODUCT(Calc!$K$3:$K$22,EXP(A49*Calc!$L$3:$L$22),Calc!$I$3:$I$22)</f>
        <v/>
      </c>
      <c r="E49">
        <f>k_n*C49-B49^2</f>
        <v/>
      </c>
      <c r="F49">
        <f>IF(ABS(E49)&lt;1E-14,0,(k_n*D49-B49*k_n*k_ymean)/E49)</f>
        <v/>
      </c>
      <c r="G49">
        <f>IF(k_n&gt;0,(k_n*k_ymean-F49*B49)/k_n,0)</f>
        <v/>
      </c>
      <c r="H49">
        <f>IF(AND(F49&gt;0,ABS(E49)&gt;=1E-14),SUMPRODUCT(Calc!$K$3:$K$22,(Calc!$I$3:$I$22-G49-F49*EXP(A49*Calc!$L$3:$L$22))^2),1E+300)</f>
        <v/>
      </c>
    </row>
    <row r="50">
      <c r="A50" t="n">
        <v>0.82</v>
      </c>
      <c r="B50">
        <f>SUMPRODUCT(Calc!$K$3:$K$22,EXP(A50*Calc!$L$3:$L$22))</f>
        <v/>
      </c>
      <c r="C50">
        <f>SUMPRODUCT(Calc!$K$3:$K$22,EXP(2*A50*Calc!$L$3:$L$22))</f>
        <v/>
      </c>
      <c r="D50">
        <f>SUMPRODUCT(Calc!$K$3:$K$22,EXP(A50*Calc!$L$3:$L$22),Calc!$I$3:$I$22)</f>
        <v/>
      </c>
      <c r="E50">
        <f>k_n*C50-B50^2</f>
        <v/>
      </c>
      <c r="F50">
        <f>IF(ABS(E50)&lt;1E-14,0,(k_n*D50-B50*k_n*k_ymean)/E50)</f>
        <v/>
      </c>
      <c r="G50">
        <f>IF(k_n&gt;0,(k_n*k_ymean-F50*B50)/k_n,0)</f>
        <v/>
      </c>
      <c r="H50">
        <f>IF(AND(F50&gt;0,ABS(E50)&gt;=1E-14),SUMPRODUCT(Calc!$K$3:$K$22,(Calc!$I$3:$I$22-G50-F50*EXP(A50*Calc!$L$3:$L$22))^2),1E+300)</f>
        <v/>
      </c>
    </row>
    <row r="51">
      <c r="A51" t="n">
        <v>0.84</v>
      </c>
      <c r="B51">
        <f>SUMPRODUCT(Calc!$K$3:$K$22,EXP(A51*Calc!$L$3:$L$22))</f>
        <v/>
      </c>
      <c r="C51">
        <f>SUMPRODUCT(Calc!$K$3:$K$22,EXP(2*A51*Calc!$L$3:$L$22))</f>
        <v/>
      </c>
      <c r="D51">
        <f>SUMPRODUCT(Calc!$K$3:$K$22,EXP(A51*Calc!$L$3:$L$22),Calc!$I$3:$I$22)</f>
        <v/>
      </c>
      <c r="E51">
        <f>k_n*C51-B51^2</f>
        <v/>
      </c>
      <c r="F51">
        <f>IF(ABS(E51)&lt;1E-14,0,(k_n*D51-B51*k_n*k_ymean)/E51)</f>
        <v/>
      </c>
      <c r="G51">
        <f>IF(k_n&gt;0,(k_n*k_ymean-F51*B51)/k_n,0)</f>
        <v/>
      </c>
      <c r="H51">
        <f>IF(AND(F51&gt;0,ABS(E51)&gt;=1E-14),SUMPRODUCT(Calc!$K$3:$K$22,(Calc!$I$3:$I$22-G51-F51*EXP(A51*Calc!$L$3:$L$22))^2),1E+300)</f>
        <v/>
      </c>
    </row>
    <row r="52">
      <c r="A52" t="n">
        <v>0.86</v>
      </c>
      <c r="B52">
        <f>SUMPRODUCT(Calc!$K$3:$K$22,EXP(A52*Calc!$L$3:$L$22))</f>
        <v/>
      </c>
      <c r="C52">
        <f>SUMPRODUCT(Calc!$K$3:$K$22,EXP(2*A52*Calc!$L$3:$L$22))</f>
        <v/>
      </c>
      <c r="D52">
        <f>SUMPRODUCT(Calc!$K$3:$K$22,EXP(A52*Calc!$L$3:$L$22),Calc!$I$3:$I$22)</f>
        <v/>
      </c>
      <c r="E52">
        <f>k_n*C52-B52^2</f>
        <v/>
      </c>
      <c r="F52">
        <f>IF(ABS(E52)&lt;1E-14,0,(k_n*D52-B52*k_n*k_ymean)/E52)</f>
        <v/>
      </c>
      <c r="G52">
        <f>IF(k_n&gt;0,(k_n*k_ymean-F52*B52)/k_n,0)</f>
        <v/>
      </c>
      <c r="H52">
        <f>IF(AND(F52&gt;0,ABS(E52)&gt;=1E-14),SUMPRODUCT(Calc!$K$3:$K$22,(Calc!$I$3:$I$22-G52-F52*EXP(A52*Calc!$L$3:$L$22))^2),1E+300)</f>
        <v/>
      </c>
    </row>
    <row r="53">
      <c r="A53" t="n">
        <v>0.88</v>
      </c>
      <c r="B53">
        <f>SUMPRODUCT(Calc!$K$3:$K$22,EXP(A53*Calc!$L$3:$L$22))</f>
        <v/>
      </c>
      <c r="C53">
        <f>SUMPRODUCT(Calc!$K$3:$K$22,EXP(2*A53*Calc!$L$3:$L$22))</f>
        <v/>
      </c>
      <c r="D53">
        <f>SUMPRODUCT(Calc!$K$3:$K$22,EXP(A53*Calc!$L$3:$L$22),Calc!$I$3:$I$22)</f>
        <v/>
      </c>
      <c r="E53">
        <f>k_n*C53-B53^2</f>
        <v/>
      </c>
      <c r="F53">
        <f>IF(ABS(E53)&lt;1E-14,0,(k_n*D53-B53*k_n*k_ymean)/E53)</f>
        <v/>
      </c>
      <c r="G53">
        <f>IF(k_n&gt;0,(k_n*k_ymean-F53*B53)/k_n,0)</f>
        <v/>
      </c>
      <c r="H53">
        <f>IF(AND(F53&gt;0,ABS(E53)&gt;=1E-14),SUMPRODUCT(Calc!$K$3:$K$22,(Calc!$I$3:$I$22-G53-F53*EXP(A53*Calc!$L$3:$L$22))^2),1E+300)</f>
        <v/>
      </c>
    </row>
    <row r="54">
      <c r="A54" t="n">
        <v>0.9</v>
      </c>
      <c r="B54">
        <f>SUMPRODUCT(Calc!$K$3:$K$22,EXP(A54*Calc!$L$3:$L$22))</f>
        <v/>
      </c>
      <c r="C54">
        <f>SUMPRODUCT(Calc!$K$3:$K$22,EXP(2*A54*Calc!$L$3:$L$22))</f>
        <v/>
      </c>
      <c r="D54">
        <f>SUMPRODUCT(Calc!$K$3:$K$22,EXP(A54*Calc!$L$3:$L$22),Calc!$I$3:$I$22)</f>
        <v/>
      </c>
      <c r="E54">
        <f>k_n*C54-B54^2</f>
        <v/>
      </c>
      <c r="F54">
        <f>IF(ABS(E54)&lt;1E-14,0,(k_n*D54-B54*k_n*k_ymean)/E54)</f>
        <v/>
      </c>
      <c r="G54">
        <f>IF(k_n&gt;0,(k_n*k_ymean-F54*B54)/k_n,0)</f>
        <v/>
      </c>
      <c r="H54">
        <f>IF(AND(F54&gt;0,ABS(E54)&gt;=1E-14),SUMPRODUCT(Calc!$K$3:$K$22,(Calc!$I$3:$I$22-G54-F54*EXP(A54*Calc!$L$3:$L$22))^2),1E+300)</f>
        <v/>
      </c>
    </row>
    <row r="55">
      <c r="A55" t="n">
        <v>0.92</v>
      </c>
      <c r="B55">
        <f>SUMPRODUCT(Calc!$K$3:$K$22,EXP(A55*Calc!$L$3:$L$22))</f>
        <v/>
      </c>
      <c r="C55">
        <f>SUMPRODUCT(Calc!$K$3:$K$22,EXP(2*A55*Calc!$L$3:$L$22))</f>
        <v/>
      </c>
      <c r="D55">
        <f>SUMPRODUCT(Calc!$K$3:$K$22,EXP(A55*Calc!$L$3:$L$22),Calc!$I$3:$I$22)</f>
        <v/>
      </c>
      <c r="E55">
        <f>k_n*C55-B55^2</f>
        <v/>
      </c>
      <c r="F55">
        <f>IF(ABS(E55)&lt;1E-14,0,(k_n*D55-B55*k_n*k_ymean)/E55)</f>
        <v/>
      </c>
      <c r="G55">
        <f>IF(k_n&gt;0,(k_n*k_ymean-F55*B55)/k_n,0)</f>
        <v/>
      </c>
      <c r="H55">
        <f>IF(AND(F55&gt;0,ABS(E55)&gt;=1E-14),SUMPRODUCT(Calc!$K$3:$K$22,(Calc!$I$3:$I$22-G55-F55*EXP(A55*Calc!$L$3:$L$22))^2),1E+300)</f>
        <v/>
      </c>
    </row>
    <row r="56">
      <c r="A56" t="n">
        <v>0.9399999999999999</v>
      </c>
      <c r="B56">
        <f>SUMPRODUCT(Calc!$K$3:$K$22,EXP(A56*Calc!$L$3:$L$22))</f>
        <v/>
      </c>
      <c r="C56">
        <f>SUMPRODUCT(Calc!$K$3:$K$22,EXP(2*A56*Calc!$L$3:$L$22))</f>
        <v/>
      </c>
      <c r="D56">
        <f>SUMPRODUCT(Calc!$K$3:$K$22,EXP(A56*Calc!$L$3:$L$22),Calc!$I$3:$I$22)</f>
        <v/>
      </c>
      <c r="E56">
        <f>k_n*C56-B56^2</f>
        <v/>
      </c>
      <c r="F56">
        <f>IF(ABS(E56)&lt;1E-14,0,(k_n*D56-B56*k_n*k_ymean)/E56)</f>
        <v/>
      </c>
      <c r="G56">
        <f>IF(k_n&gt;0,(k_n*k_ymean-F56*B56)/k_n,0)</f>
        <v/>
      </c>
      <c r="H56">
        <f>IF(AND(F56&gt;0,ABS(E56)&gt;=1E-14),SUMPRODUCT(Calc!$K$3:$K$22,(Calc!$I$3:$I$22-G56-F56*EXP(A56*Calc!$L$3:$L$22))^2),1E+300)</f>
        <v/>
      </c>
    </row>
    <row r="57">
      <c r="A57" t="n">
        <v>0.96</v>
      </c>
      <c r="B57">
        <f>SUMPRODUCT(Calc!$K$3:$K$22,EXP(A57*Calc!$L$3:$L$22))</f>
        <v/>
      </c>
      <c r="C57">
        <f>SUMPRODUCT(Calc!$K$3:$K$22,EXP(2*A57*Calc!$L$3:$L$22))</f>
        <v/>
      </c>
      <c r="D57">
        <f>SUMPRODUCT(Calc!$K$3:$K$22,EXP(A57*Calc!$L$3:$L$22),Calc!$I$3:$I$22)</f>
        <v/>
      </c>
      <c r="E57">
        <f>k_n*C57-B57^2</f>
        <v/>
      </c>
      <c r="F57">
        <f>IF(ABS(E57)&lt;1E-14,0,(k_n*D57-B57*k_n*k_ymean)/E57)</f>
        <v/>
      </c>
      <c r="G57">
        <f>IF(k_n&gt;0,(k_n*k_ymean-F57*B57)/k_n,0)</f>
        <v/>
      </c>
      <c r="H57">
        <f>IF(AND(F57&gt;0,ABS(E57)&gt;=1E-14),SUMPRODUCT(Calc!$K$3:$K$22,(Calc!$I$3:$I$22-G57-F57*EXP(A57*Calc!$L$3:$L$22))^2),1E+300)</f>
        <v/>
      </c>
    </row>
    <row r="58">
      <c r="A58" t="n">
        <v>0.98</v>
      </c>
      <c r="B58">
        <f>SUMPRODUCT(Calc!$K$3:$K$22,EXP(A58*Calc!$L$3:$L$22))</f>
        <v/>
      </c>
      <c r="C58">
        <f>SUMPRODUCT(Calc!$K$3:$K$22,EXP(2*A58*Calc!$L$3:$L$22))</f>
        <v/>
      </c>
      <c r="D58">
        <f>SUMPRODUCT(Calc!$K$3:$K$22,EXP(A58*Calc!$L$3:$L$22),Calc!$I$3:$I$22)</f>
        <v/>
      </c>
      <c r="E58">
        <f>k_n*C58-B58^2</f>
        <v/>
      </c>
      <c r="F58">
        <f>IF(ABS(E58)&lt;1E-14,0,(k_n*D58-B58*k_n*k_ymean)/E58)</f>
        <v/>
      </c>
      <c r="G58">
        <f>IF(k_n&gt;0,(k_n*k_ymean-F58*B58)/k_n,0)</f>
        <v/>
      </c>
      <c r="H58">
        <f>IF(AND(F58&gt;0,ABS(E58)&gt;=1E-14),SUMPRODUCT(Calc!$K$3:$K$22,(Calc!$I$3:$I$22-G58-F58*EXP(A58*Calc!$L$3:$L$22))^2),1E+300)</f>
        <v/>
      </c>
    </row>
    <row r="59">
      <c r="A59" t="n">
        <v>1</v>
      </c>
      <c r="B59">
        <f>SUMPRODUCT(Calc!$K$3:$K$22,EXP(A59*Calc!$L$3:$L$22))</f>
        <v/>
      </c>
      <c r="C59">
        <f>SUMPRODUCT(Calc!$K$3:$K$22,EXP(2*A59*Calc!$L$3:$L$22))</f>
        <v/>
      </c>
      <c r="D59">
        <f>SUMPRODUCT(Calc!$K$3:$K$22,EXP(A59*Calc!$L$3:$L$22),Calc!$I$3:$I$22)</f>
        <v/>
      </c>
      <c r="E59">
        <f>k_n*C59-B59^2</f>
        <v/>
      </c>
      <c r="F59">
        <f>IF(ABS(E59)&lt;1E-14,0,(k_n*D59-B59*k_n*k_ymean)/E59)</f>
        <v/>
      </c>
      <c r="G59">
        <f>IF(k_n&gt;0,(k_n*k_ymean-F59*B59)/k_n,0)</f>
        <v/>
      </c>
      <c r="H59">
        <f>IF(AND(F59&gt;0,ABS(E59)&gt;=1E-14),SUMPRODUCT(Calc!$K$3:$K$22,(Calc!$I$3:$I$22-G59-F59*EXP(A59*Calc!$L$3:$L$22))^2),1E+300)</f>
        <v/>
      </c>
    </row>
    <row r="60">
      <c r="A60" t="n">
        <v>1.02</v>
      </c>
      <c r="B60">
        <f>SUMPRODUCT(Calc!$K$3:$K$22,EXP(A60*Calc!$L$3:$L$22))</f>
        <v/>
      </c>
      <c r="C60">
        <f>SUMPRODUCT(Calc!$K$3:$K$22,EXP(2*A60*Calc!$L$3:$L$22))</f>
        <v/>
      </c>
      <c r="D60">
        <f>SUMPRODUCT(Calc!$K$3:$K$22,EXP(A60*Calc!$L$3:$L$22),Calc!$I$3:$I$22)</f>
        <v/>
      </c>
      <c r="E60">
        <f>k_n*C60-B60^2</f>
        <v/>
      </c>
      <c r="F60">
        <f>IF(ABS(E60)&lt;1E-14,0,(k_n*D60-B60*k_n*k_ymean)/E60)</f>
        <v/>
      </c>
      <c r="G60">
        <f>IF(k_n&gt;0,(k_n*k_ymean-F60*B60)/k_n,0)</f>
        <v/>
      </c>
      <c r="H60">
        <f>IF(AND(F60&gt;0,ABS(E60)&gt;=1E-14),SUMPRODUCT(Calc!$K$3:$K$22,(Calc!$I$3:$I$22-G60-F60*EXP(A60*Calc!$L$3:$L$22))^2),1E+300)</f>
        <v/>
      </c>
    </row>
    <row r="61">
      <c r="A61" t="n">
        <v>1.04</v>
      </c>
      <c r="B61">
        <f>SUMPRODUCT(Calc!$K$3:$K$22,EXP(A61*Calc!$L$3:$L$22))</f>
        <v/>
      </c>
      <c r="C61">
        <f>SUMPRODUCT(Calc!$K$3:$K$22,EXP(2*A61*Calc!$L$3:$L$22))</f>
        <v/>
      </c>
      <c r="D61">
        <f>SUMPRODUCT(Calc!$K$3:$K$22,EXP(A61*Calc!$L$3:$L$22),Calc!$I$3:$I$22)</f>
        <v/>
      </c>
      <c r="E61">
        <f>k_n*C61-B61^2</f>
        <v/>
      </c>
      <c r="F61">
        <f>IF(ABS(E61)&lt;1E-14,0,(k_n*D61-B61*k_n*k_ymean)/E61)</f>
        <v/>
      </c>
      <c r="G61">
        <f>IF(k_n&gt;0,(k_n*k_ymean-F61*B61)/k_n,0)</f>
        <v/>
      </c>
      <c r="H61">
        <f>IF(AND(F61&gt;0,ABS(E61)&gt;=1E-14),SUMPRODUCT(Calc!$K$3:$K$22,(Calc!$I$3:$I$22-G61-F61*EXP(A61*Calc!$L$3:$L$22))^2),1E+300)</f>
        <v/>
      </c>
    </row>
    <row r="62">
      <c r="A62" t="n">
        <v>1.06</v>
      </c>
      <c r="B62">
        <f>SUMPRODUCT(Calc!$K$3:$K$22,EXP(A62*Calc!$L$3:$L$22))</f>
        <v/>
      </c>
      <c r="C62">
        <f>SUMPRODUCT(Calc!$K$3:$K$22,EXP(2*A62*Calc!$L$3:$L$22))</f>
        <v/>
      </c>
      <c r="D62">
        <f>SUMPRODUCT(Calc!$K$3:$K$22,EXP(A62*Calc!$L$3:$L$22),Calc!$I$3:$I$22)</f>
        <v/>
      </c>
      <c r="E62">
        <f>k_n*C62-B62^2</f>
        <v/>
      </c>
      <c r="F62">
        <f>IF(ABS(E62)&lt;1E-14,0,(k_n*D62-B62*k_n*k_ymean)/E62)</f>
        <v/>
      </c>
      <c r="G62">
        <f>IF(k_n&gt;0,(k_n*k_ymean-F62*B62)/k_n,0)</f>
        <v/>
      </c>
      <c r="H62">
        <f>IF(AND(F62&gt;0,ABS(E62)&gt;=1E-14),SUMPRODUCT(Calc!$K$3:$K$22,(Calc!$I$3:$I$22-G62-F62*EXP(A62*Calc!$L$3:$L$22))^2),1E+300)</f>
        <v/>
      </c>
    </row>
    <row r="63">
      <c r="A63" t="n">
        <v>1.08</v>
      </c>
      <c r="B63">
        <f>SUMPRODUCT(Calc!$K$3:$K$22,EXP(A63*Calc!$L$3:$L$22))</f>
        <v/>
      </c>
      <c r="C63">
        <f>SUMPRODUCT(Calc!$K$3:$K$22,EXP(2*A63*Calc!$L$3:$L$22))</f>
        <v/>
      </c>
      <c r="D63">
        <f>SUMPRODUCT(Calc!$K$3:$K$22,EXP(A63*Calc!$L$3:$L$22),Calc!$I$3:$I$22)</f>
        <v/>
      </c>
      <c r="E63">
        <f>k_n*C63-B63^2</f>
        <v/>
      </c>
      <c r="F63">
        <f>IF(ABS(E63)&lt;1E-14,0,(k_n*D63-B63*k_n*k_ymean)/E63)</f>
        <v/>
      </c>
      <c r="G63">
        <f>IF(k_n&gt;0,(k_n*k_ymean-F63*B63)/k_n,0)</f>
        <v/>
      </c>
      <c r="H63">
        <f>IF(AND(F63&gt;0,ABS(E63)&gt;=1E-14),SUMPRODUCT(Calc!$K$3:$K$22,(Calc!$I$3:$I$22-G63-F63*EXP(A63*Calc!$L$3:$L$22))^2),1E+300)</f>
        <v/>
      </c>
    </row>
    <row r="64">
      <c r="A64" t="n">
        <v>1.1</v>
      </c>
      <c r="B64">
        <f>SUMPRODUCT(Calc!$K$3:$K$22,EXP(A64*Calc!$L$3:$L$22))</f>
        <v/>
      </c>
      <c r="C64">
        <f>SUMPRODUCT(Calc!$K$3:$K$22,EXP(2*A64*Calc!$L$3:$L$22))</f>
        <v/>
      </c>
      <c r="D64">
        <f>SUMPRODUCT(Calc!$K$3:$K$22,EXP(A64*Calc!$L$3:$L$22),Calc!$I$3:$I$22)</f>
        <v/>
      </c>
      <c r="E64">
        <f>k_n*C64-B64^2</f>
        <v/>
      </c>
      <c r="F64">
        <f>IF(ABS(E64)&lt;1E-14,0,(k_n*D64-B64*k_n*k_ymean)/E64)</f>
        <v/>
      </c>
      <c r="G64">
        <f>IF(k_n&gt;0,(k_n*k_ymean-F64*B64)/k_n,0)</f>
        <v/>
      </c>
      <c r="H64">
        <f>IF(AND(F64&gt;0,ABS(E64)&gt;=1E-14),SUMPRODUCT(Calc!$K$3:$K$22,(Calc!$I$3:$I$22-G64-F64*EXP(A64*Calc!$L$3:$L$22))^2),1E+300)</f>
        <v/>
      </c>
    </row>
    <row r="65">
      <c r="A65" t="n">
        <v>1.12</v>
      </c>
      <c r="B65">
        <f>SUMPRODUCT(Calc!$K$3:$K$22,EXP(A65*Calc!$L$3:$L$22))</f>
        <v/>
      </c>
      <c r="C65">
        <f>SUMPRODUCT(Calc!$K$3:$K$22,EXP(2*A65*Calc!$L$3:$L$22))</f>
        <v/>
      </c>
      <c r="D65">
        <f>SUMPRODUCT(Calc!$K$3:$K$22,EXP(A65*Calc!$L$3:$L$22),Calc!$I$3:$I$22)</f>
        <v/>
      </c>
      <c r="E65">
        <f>k_n*C65-B65^2</f>
        <v/>
      </c>
      <c r="F65">
        <f>IF(ABS(E65)&lt;1E-14,0,(k_n*D65-B65*k_n*k_ymean)/E65)</f>
        <v/>
      </c>
      <c r="G65">
        <f>IF(k_n&gt;0,(k_n*k_ymean-F65*B65)/k_n,0)</f>
        <v/>
      </c>
      <c r="H65">
        <f>IF(AND(F65&gt;0,ABS(E65)&gt;=1E-14),SUMPRODUCT(Calc!$K$3:$K$22,(Calc!$I$3:$I$22-G65-F65*EXP(A65*Calc!$L$3:$L$22))^2),1E+300)</f>
        <v/>
      </c>
    </row>
    <row r="66">
      <c r="A66" t="n">
        <v>1.14</v>
      </c>
      <c r="B66">
        <f>SUMPRODUCT(Calc!$K$3:$K$22,EXP(A66*Calc!$L$3:$L$22))</f>
        <v/>
      </c>
      <c r="C66">
        <f>SUMPRODUCT(Calc!$K$3:$K$22,EXP(2*A66*Calc!$L$3:$L$22))</f>
        <v/>
      </c>
      <c r="D66">
        <f>SUMPRODUCT(Calc!$K$3:$K$22,EXP(A66*Calc!$L$3:$L$22),Calc!$I$3:$I$22)</f>
        <v/>
      </c>
      <c r="E66">
        <f>k_n*C66-B66^2</f>
        <v/>
      </c>
      <c r="F66">
        <f>IF(ABS(E66)&lt;1E-14,0,(k_n*D66-B66*k_n*k_ymean)/E66)</f>
        <v/>
      </c>
      <c r="G66">
        <f>IF(k_n&gt;0,(k_n*k_ymean-F66*B66)/k_n,0)</f>
        <v/>
      </c>
      <c r="H66">
        <f>IF(AND(F66&gt;0,ABS(E66)&gt;=1E-14),SUMPRODUCT(Calc!$K$3:$K$22,(Calc!$I$3:$I$22-G66-F66*EXP(A66*Calc!$L$3:$L$22))^2),1E+300)</f>
        <v/>
      </c>
    </row>
    <row r="67">
      <c r="A67" t="n">
        <v>1.16</v>
      </c>
      <c r="B67">
        <f>SUMPRODUCT(Calc!$K$3:$K$22,EXP(A67*Calc!$L$3:$L$22))</f>
        <v/>
      </c>
      <c r="C67">
        <f>SUMPRODUCT(Calc!$K$3:$K$22,EXP(2*A67*Calc!$L$3:$L$22))</f>
        <v/>
      </c>
      <c r="D67">
        <f>SUMPRODUCT(Calc!$K$3:$K$22,EXP(A67*Calc!$L$3:$L$22),Calc!$I$3:$I$22)</f>
        <v/>
      </c>
      <c r="E67">
        <f>k_n*C67-B67^2</f>
        <v/>
      </c>
      <c r="F67">
        <f>IF(ABS(E67)&lt;1E-14,0,(k_n*D67-B67*k_n*k_ymean)/E67)</f>
        <v/>
      </c>
      <c r="G67">
        <f>IF(k_n&gt;0,(k_n*k_ymean-F67*B67)/k_n,0)</f>
        <v/>
      </c>
      <c r="H67">
        <f>IF(AND(F67&gt;0,ABS(E67)&gt;=1E-14),SUMPRODUCT(Calc!$K$3:$K$22,(Calc!$I$3:$I$22-G67-F67*EXP(A67*Calc!$L$3:$L$22))^2),1E+300)</f>
        <v/>
      </c>
    </row>
    <row r="68">
      <c r="A68" t="n">
        <v>1.18</v>
      </c>
      <c r="B68">
        <f>SUMPRODUCT(Calc!$K$3:$K$22,EXP(A68*Calc!$L$3:$L$22))</f>
        <v/>
      </c>
      <c r="C68">
        <f>SUMPRODUCT(Calc!$K$3:$K$22,EXP(2*A68*Calc!$L$3:$L$22))</f>
        <v/>
      </c>
      <c r="D68">
        <f>SUMPRODUCT(Calc!$K$3:$K$22,EXP(A68*Calc!$L$3:$L$22),Calc!$I$3:$I$22)</f>
        <v/>
      </c>
      <c r="E68">
        <f>k_n*C68-B68^2</f>
        <v/>
      </c>
      <c r="F68">
        <f>IF(ABS(E68)&lt;1E-14,0,(k_n*D68-B68*k_n*k_ymean)/E68)</f>
        <v/>
      </c>
      <c r="G68">
        <f>IF(k_n&gt;0,(k_n*k_ymean-F68*B68)/k_n,0)</f>
        <v/>
      </c>
      <c r="H68">
        <f>IF(AND(F68&gt;0,ABS(E68)&gt;=1E-14),SUMPRODUCT(Calc!$K$3:$K$22,(Calc!$I$3:$I$22-G68-F68*EXP(A68*Calc!$L$3:$L$22))^2),1E+300)</f>
        <v/>
      </c>
    </row>
    <row r="69">
      <c r="A69" t="n">
        <v>1.2</v>
      </c>
      <c r="B69">
        <f>SUMPRODUCT(Calc!$K$3:$K$22,EXP(A69*Calc!$L$3:$L$22))</f>
        <v/>
      </c>
      <c r="C69">
        <f>SUMPRODUCT(Calc!$K$3:$K$22,EXP(2*A69*Calc!$L$3:$L$22))</f>
        <v/>
      </c>
      <c r="D69">
        <f>SUMPRODUCT(Calc!$K$3:$K$22,EXP(A69*Calc!$L$3:$L$22),Calc!$I$3:$I$22)</f>
        <v/>
      </c>
      <c r="E69">
        <f>k_n*C69-B69^2</f>
        <v/>
      </c>
      <c r="F69">
        <f>IF(ABS(E69)&lt;1E-14,0,(k_n*D69-B69*k_n*k_ymean)/E69)</f>
        <v/>
      </c>
      <c r="G69">
        <f>IF(k_n&gt;0,(k_n*k_ymean-F69*B69)/k_n,0)</f>
        <v/>
      </c>
      <c r="H69">
        <f>IF(AND(F69&gt;0,ABS(E69)&gt;=1E-14),SUMPRODUCT(Calc!$K$3:$K$22,(Calc!$I$3:$I$22-G69-F69*EXP(A69*Calc!$L$3:$L$22))^2),1E+300)</f>
        <v/>
      </c>
    </row>
    <row r="70">
      <c r="A70" t="n">
        <v>1.22</v>
      </c>
      <c r="B70">
        <f>SUMPRODUCT(Calc!$K$3:$K$22,EXP(A70*Calc!$L$3:$L$22))</f>
        <v/>
      </c>
      <c r="C70">
        <f>SUMPRODUCT(Calc!$K$3:$K$22,EXP(2*A70*Calc!$L$3:$L$22))</f>
        <v/>
      </c>
      <c r="D70">
        <f>SUMPRODUCT(Calc!$K$3:$K$22,EXP(A70*Calc!$L$3:$L$22),Calc!$I$3:$I$22)</f>
        <v/>
      </c>
      <c r="E70">
        <f>k_n*C70-B70^2</f>
        <v/>
      </c>
      <c r="F70">
        <f>IF(ABS(E70)&lt;1E-14,0,(k_n*D70-B70*k_n*k_ymean)/E70)</f>
        <v/>
      </c>
      <c r="G70">
        <f>IF(k_n&gt;0,(k_n*k_ymean-F70*B70)/k_n,0)</f>
        <v/>
      </c>
      <c r="H70">
        <f>IF(AND(F70&gt;0,ABS(E70)&gt;=1E-14),SUMPRODUCT(Calc!$K$3:$K$22,(Calc!$I$3:$I$22-G70-F70*EXP(A70*Calc!$L$3:$L$22))^2),1E+300)</f>
        <v/>
      </c>
    </row>
    <row r="71">
      <c r="A71" t="n">
        <v>1.24</v>
      </c>
      <c r="B71">
        <f>SUMPRODUCT(Calc!$K$3:$K$22,EXP(A71*Calc!$L$3:$L$22))</f>
        <v/>
      </c>
      <c r="C71">
        <f>SUMPRODUCT(Calc!$K$3:$K$22,EXP(2*A71*Calc!$L$3:$L$22))</f>
        <v/>
      </c>
      <c r="D71">
        <f>SUMPRODUCT(Calc!$K$3:$K$22,EXP(A71*Calc!$L$3:$L$22),Calc!$I$3:$I$22)</f>
        <v/>
      </c>
      <c r="E71">
        <f>k_n*C71-B71^2</f>
        <v/>
      </c>
      <c r="F71">
        <f>IF(ABS(E71)&lt;1E-14,0,(k_n*D71-B71*k_n*k_ymean)/E71)</f>
        <v/>
      </c>
      <c r="G71">
        <f>IF(k_n&gt;0,(k_n*k_ymean-F71*B71)/k_n,0)</f>
        <v/>
      </c>
      <c r="H71">
        <f>IF(AND(F71&gt;0,ABS(E71)&gt;=1E-14),SUMPRODUCT(Calc!$K$3:$K$22,(Calc!$I$3:$I$22-G71-F71*EXP(A71*Calc!$L$3:$L$22))^2),1E+300)</f>
        <v/>
      </c>
    </row>
    <row r="72">
      <c r="A72" t="n">
        <v>1.26</v>
      </c>
      <c r="B72">
        <f>SUMPRODUCT(Calc!$K$3:$K$22,EXP(A72*Calc!$L$3:$L$22))</f>
        <v/>
      </c>
      <c r="C72">
        <f>SUMPRODUCT(Calc!$K$3:$K$22,EXP(2*A72*Calc!$L$3:$L$22))</f>
        <v/>
      </c>
      <c r="D72">
        <f>SUMPRODUCT(Calc!$K$3:$K$22,EXP(A72*Calc!$L$3:$L$22),Calc!$I$3:$I$22)</f>
        <v/>
      </c>
      <c r="E72">
        <f>k_n*C72-B72^2</f>
        <v/>
      </c>
      <c r="F72">
        <f>IF(ABS(E72)&lt;1E-14,0,(k_n*D72-B72*k_n*k_ymean)/E72)</f>
        <v/>
      </c>
      <c r="G72">
        <f>IF(k_n&gt;0,(k_n*k_ymean-F72*B72)/k_n,0)</f>
        <v/>
      </c>
      <c r="H72">
        <f>IF(AND(F72&gt;0,ABS(E72)&gt;=1E-14),SUMPRODUCT(Calc!$K$3:$K$22,(Calc!$I$3:$I$22-G72-F72*EXP(A72*Calc!$L$3:$L$22))^2),1E+300)</f>
        <v/>
      </c>
    </row>
    <row r="73">
      <c r="A73" t="n">
        <v>1.28</v>
      </c>
      <c r="B73">
        <f>SUMPRODUCT(Calc!$K$3:$K$22,EXP(A73*Calc!$L$3:$L$22))</f>
        <v/>
      </c>
      <c r="C73">
        <f>SUMPRODUCT(Calc!$K$3:$K$22,EXP(2*A73*Calc!$L$3:$L$22))</f>
        <v/>
      </c>
      <c r="D73">
        <f>SUMPRODUCT(Calc!$K$3:$K$22,EXP(A73*Calc!$L$3:$L$22),Calc!$I$3:$I$22)</f>
        <v/>
      </c>
      <c r="E73">
        <f>k_n*C73-B73^2</f>
        <v/>
      </c>
      <c r="F73">
        <f>IF(ABS(E73)&lt;1E-14,0,(k_n*D73-B73*k_n*k_ymean)/E73)</f>
        <v/>
      </c>
      <c r="G73">
        <f>IF(k_n&gt;0,(k_n*k_ymean-F73*B73)/k_n,0)</f>
        <v/>
      </c>
      <c r="H73">
        <f>IF(AND(F73&gt;0,ABS(E73)&gt;=1E-14),SUMPRODUCT(Calc!$K$3:$K$22,(Calc!$I$3:$I$22-G73-F73*EXP(A73*Calc!$L$3:$L$22))^2),1E+300)</f>
        <v/>
      </c>
    </row>
    <row r="74">
      <c r="A74" t="n">
        <v>1.3</v>
      </c>
      <c r="B74">
        <f>SUMPRODUCT(Calc!$K$3:$K$22,EXP(A74*Calc!$L$3:$L$22))</f>
        <v/>
      </c>
      <c r="C74">
        <f>SUMPRODUCT(Calc!$K$3:$K$22,EXP(2*A74*Calc!$L$3:$L$22))</f>
        <v/>
      </c>
      <c r="D74">
        <f>SUMPRODUCT(Calc!$K$3:$K$22,EXP(A74*Calc!$L$3:$L$22),Calc!$I$3:$I$22)</f>
        <v/>
      </c>
      <c r="E74">
        <f>k_n*C74-B74^2</f>
        <v/>
      </c>
      <c r="F74">
        <f>IF(ABS(E74)&lt;1E-14,0,(k_n*D74-B74*k_n*k_ymean)/E74)</f>
        <v/>
      </c>
      <c r="G74">
        <f>IF(k_n&gt;0,(k_n*k_ymean-F74*B74)/k_n,0)</f>
        <v/>
      </c>
      <c r="H74">
        <f>IF(AND(F74&gt;0,ABS(E74)&gt;=1E-14),SUMPRODUCT(Calc!$K$3:$K$22,(Calc!$I$3:$I$22-G74-F74*EXP(A74*Calc!$L$3:$L$22))^2),1E+300)</f>
        <v/>
      </c>
    </row>
    <row r="75">
      <c r="A75" t="n">
        <v>1.32</v>
      </c>
      <c r="B75">
        <f>SUMPRODUCT(Calc!$K$3:$K$22,EXP(A75*Calc!$L$3:$L$22))</f>
        <v/>
      </c>
      <c r="C75">
        <f>SUMPRODUCT(Calc!$K$3:$K$22,EXP(2*A75*Calc!$L$3:$L$22))</f>
        <v/>
      </c>
      <c r="D75">
        <f>SUMPRODUCT(Calc!$K$3:$K$22,EXP(A75*Calc!$L$3:$L$22),Calc!$I$3:$I$22)</f>
        <v/>
      </c>
      <c r="E75">
        <f>k_n*C75-B75^2</f>
        <v/>
      </c>
      <c r="F75">
        <f>IF(ABS(E75)&lt;1E-14,0,(k_n*D75-B75*k_n*k_ymean)/E75)</f>
        <v/>
      </c>
      <c r="G75">
        <f>IF(k_n&gt;0,(k_n*k_ymean-F75*B75)/k_n,0)</f>
        <v/>
      </c>
      <c r="H75">
        <f>IF(AND(F75&gt;0,ABS(E75)&gt;=1E-14),SUMPRODUCT(Calc!$K$3:$K$22,(Calc!$I$3:$I$22-G75-F75*EXP(A75*Calc!$L$3:$L$22))^2),1E+300)</f>
        <v/>
      </c>
    </row>
    <row r="76">
      <c r="A76" t="n">
        <v>1.34</v>
      </c>
      <c r="B76">
        <f>SUMPRODUCT(Calc!$K$3:$K$22,EXP(A76*Calc!$L$3:$L$22))</f>
        <v/>
      </c>
      <c r="C76">
        <f>SUMPRODUCT(Calc!$K$3:$K$22,EXP(2*A76*Calc!$L$3:$L$22))</f>
        <v/>
      </c>
      <c r="D76">
        <f>SUMPRODUCT(Calc!$K$3:$K$22,EXP(A76*Calc!$L$3:$L$22),Calc!$I$3:$I$22)</f>
        <v/>
      </c>
      <c r="E76">
        <f>k_n*C76-B76^2</f>
        <v/>
      </c>
      <c r="F76">
        <f>IF(ABS(E76)&lt;1E-14,0,(k_n*D76-B76*k_n*k_ymean)/E76)</f>
        <v/>
      </c>
      <c r="G76">
        <f>IF(k_n&gt;0,(k_n*k_ymean-F76*B76)/k_n,0)</f>
        <v/>
      </c>
      <c r="H76">
        <f>IF(AND(F76&gt;0,ABS(E76)&gt;=1E-14),SUMPRODUCT(Calc!$K$3:$K$22,(Calc!$I$3:$I$22-G76-F76*EXP(A76*Calc!$L$3:$L$22))^2),1E+300)</f>
        <v/>
      </c>
    </row>
    <row r="77">
      <c r="A77" t="n">
        <v>1.36</v>
      </c>
      <c r="B77">
        <f>SUMPRODUCT(Calc!$K$3:$K$22,EXP(A77*Calc!$L$3:$L$22))</f>
        <v/>
      </c>
      <c r="C77">
        <f>SUMPRODUCT(Calc!$K$3:$K$22,EXP(2*A77*Calc!$L$3:$L$22))</f>
        <v/>
      </c>
      <c r="D77">
        <f>SUMPRODUCT(Calc!$K$3:$K$22,EXP(A77*Calc!$L$3:$L$22),Calc!$I$3:$I$22)</f>
        <v/>
      </c>
      <c r="E77">
        <f>k_n*C77-B77^2</f>
        <v/>
      </c>
      <c r="F77">
        <f>IF(ABS(E77)&lt;1E-14,0,(k_n*D77-B77*k_n*k_ymean)/E77)</f>
        <v/>
      </c>
      <c r="G77">
        <f>IF(k_n&gt;0,(k_n*k_ymean-F77*B77)/k_n,0)</f>
        <v/>
      </c>
      <c r="H77">
        <f>IF(AND(F77&gt;0,ABS(E77)&gt;=1E-14),SUMPRODUCT(Calc!$K$3:$K$22,(Calc!$I$3:$I$22-G77-F77*EXP(A77*Calc!$L$3:$L$22))^2),1E+300)</f>
        <v/>
      </c>
    </row>
    <row r="78">
      <c r="A78" t="n">
        <v>1.38</v>
      </c>
      <c r="B78">
        <f>SUMPRODUCT(Calc!$K$3:$K$22,EXP(A78*Calc!$L$3:$L$22))</f>
        <v/>
      </c>
      <c r="C78">
        <f>SUMPRODUCT(Calc!$K$3:$K$22,EXP(2*A78*Calc!$L$3:$L$22))</f>
        <v/>
      </c>
      <c r="D78">
        <f>SUMPRODUCT(Calc!$K$3:$K$22,EXP(A78*Calc!$L$3:$L$22),Calc!$I$3:$I$22)</f>
        <v/>
      </c>
      <c r="E78">
        <f>k_n*C78-B78^2</f>
        <v/>
      </c>
      <c r="F78">
        <f>IF(ABS(E78)&lt;1E-14,0,(k_n*D78-B78*k_n*k_ymean)/E78)</f>
        <v/>
      </c>
      <c r="G78">
        <f>IF(k_n&gt;0,(k_n*k_ymean-F78*B78)/k_n,0)</f>
        <v/>
      </c>
      <c r="H78">
        <f>IF(AND(F78&gt;0,ABS(E78)&gt;=1E-14),SUMPRODUCT(Calc!$K$3:$K$22,(Calc!$I$3:$I$22-G78-F78*EXP(A78*Calc!$L$3:$L$22))^2),1E+300)</f>
        <v/>
      </c>
    </row>
    <row r="79">
      <c r="A79" t="n">
        <v>1.4</v>
      </c>
      <c r="B79">
        <f>SUMPRODUCT(Calc!$K$3:$K$22,EXP(A79*Calc!$L$3:$L$22))</f>
        <v/>
      </c>
      <c r="C79">
        <f>SUMPRODUCT(Calc!$K$3:$K$22,EXP(2*A79*Calc!$L$3:$L$22))</f>
        <v/>
      </c>
      <c r="D79">
        <f>SUMPRODUCT(Calc!$K$3:$K$22,EXP(A79*Calc!$L$3:$L$22),Calc!$I$3:$I$22)</f>
        <v/>
      </c>
      <c r="E79">
        <f>k_n*C79-B79^2</f>
        <v/>
      </c>
      <c r="F79">
        <f>IF(ABS(E79)&lt;1E-14,0,(k_n*D79-B79*k_n*k_ymean)/E79)</f>
        <v/>
      </c>
      <c r="G79">
        <f>IF(k_n&gt;0,(k_n*k_ymean-F79*B79)/k_n,0)</f>
        <v/>
      </c>
      <c r="H79">
        <f>IF(AND(F79&gt;0,ABS(E79)&gt;=1E-14),SUMPRODUCT(Calc!$K$3:$K$22,(Calc!$I$3:$I$22-G79-F79*EXP(A79*Calc!$L$3:$L$22))^2),1E+300)</f>
        <v/>
      </c>
    </row>
    <row r="80">
      <c r="A80" t="n">
        <v>1.42</v>
      </c>
      <c r="B80">
        <f>SUMPRODUCT(Calc!$K$3:$K$22,EXP(A80*Calc!$L$3:$L$22))</f>
        <v/>
      </c>
      <c r="C80">
        <f>SUMPRODUCT(Calc!$K$3:$K$22,EXP(2*A80*Calc!$L$3:$L$22))</f>
        <v/>
      </c>
      <c r="D80">
        <f>SUMPRODUCT(Calc!$K$3:$K$22,EXP(A80*Calc!$L$3:$L$22),Calc!$I$3:$I$22)</f>
        <v/>
      </c>
      <c r="E80">
        <f>k_n*C80-B80^2</f>
        <v/>
      </c>
      <c r="F80">
        <f>IF(ABS(E80)&lt;1E-14,0,(k_n*D80-B80*k_n*k_ymean)/E80)</f>
        <v/>
      </c>
      <c r="G80">
        <f>IF(k_n&gt;0,(k_n*k_ymean-F80*B80)/k_n,0)</f>
        <v/>
      </c>
      <c r="H80">
        <f>IF(AND(F80&gt;0,ABS(E80)&gt;=1E-14),SUMPRODUCT(Calc!$K$3:$K$22,(Calc!$I$3:$I$22-G80-F80*EXP(A80*Calc!$L$3:$L$22))^2),1E+300)</f>
        <v/>
      </c>
    </row>
    <row r="81">
      <c r="A81" t="n">
        <v>1.44</v>
      </c>
      <c r="B81">
        <f>SUMPRODUCT(Calc!$K$3:$K$22,EXP(A81*Calc!$L$3:$L$22))</f>
        <v/>
      </c>
      <c r="C81">
        <f>SUMPRODUCT(Calc!$K$3:$K$22,EXP(2*A81*Calc!$L$3:$L$22))</f>
        <v/>
      </c>
      <c r="D81">
        <f>SUMPRODUCT(Calc!$K$3:$K$22,EXP(A81*Calc!$L$3:$L$22),Calc!$I$3:$I$22)</f>
        <v/>
      </c>
      <c r="E81">
        <f>k_n*C81-B81^2</f>
        <v/>
      </c>
      <c r="F81">
        <f>IF(ABS(E81)&lt;1E-14,0,(k_n*D81-B81*k_n*k_ymean)/E81)</f>
        <v/>
      </c>
      <c r="G81">
        <f>IF(k_n&gt;0,(k_n*k_ymean-F81*B81)/k_n,0)</f>
        <v/>
      </c>
      <c r="H81">
        <f>IF(AND(F81&gt;0,ABS(E81)&gt;=1E-14),SUMPRODUCT(Calc!$K$3:$K$22,(Calc!$I$3:$I$22-G81-F81*EXP(A81*Calc!$L$3:$L$22))^2),1E+300)</f>
        <v/>
      </c>
    </row>
    <row r="82">
      <c r="A82" t="n">
        <v>1.46</v>
      </c>
      <c r="B82">
        <f>SUMPRODUCT(Calc!$K$3:$K$22,EXP(A82*Calc!$L$3:$L$22))</f>
        <v/>
      </c>
      <c r="C82">
        <f>SUMPRODUCT(Calc!$K$3:$K$22,EXP(2*A82*Calc!$L$3:$L$22))</f>
        <v/>
      </c>
      <c r="D82">
        <f>SUMPRODUCT(Calc!$K$3:$K$22,EXP(A82*Calc!$L$3:$L$22),Calc!$I$3:$I$22)</f>
        <v/>
      </c>
      <c r="E82">
        <f>k_n*C82-B82^2</f>
        <v/>
      </c>
      <c r="F82">
        <f>IF(ABS(E82)&lt;1E-14,0,(k_n*D82-B82*k_n*k_ymean)/E82)</f>
        <v/>
      </c>
      <c r="G82">
        <f>IF(k_n&gt;0,(k_n*k_ymean-F82*B82)/k_n,0)</f>
        <v/>
      </c>
      <c r="H82">
        <f>IF(AND(F82&gt;0,ABS(E82)&gt;=1E-14),SUMPRODUCT(Calc!$K$3:$K$22,(Calc!$I$3:$I$22-G82-F82*EXP(A82*Calc!$L$3:$L$22))^2),1E+300)</f>
        <v/>
      </c>
    </row>
    <row r="83">
      <c r="A83" t="n">
        <v>1.48</v>
      </c>
      <c r="B83">
        <f>SUMPRODUCT(Calc!$K$3:$K$22,EXP(A83*Calc!$L$3:$L$22))</f>
        <v/>
      </c>
      <c r="C83">
        <f>SUMPRODUCT(Calc!$K$3:$K$22,EXP(2*A83*Calc!$L$3:$L$22))</f>
        <v/>
      </c>
      <c r="D83">
        <f>SUMPRODUCT(Calc!$K$3:$K$22,EXP(A83*Calc!$L$3:$L$22),Calc!$I$3:$I$22)</f>
        <v/>
      </c>
      <c r="E83">
        <f>k_n*C83-B83^2</f>
        <v/>
      </c>
      <c r="F83">
        <f>IF(ABS(E83)&lt;1E-14,0,(k_n*D83-B83*k_n*k_ymean)/E83)</f>
        <v/>
      </c>
      <c r="G83">
        <f>IF(k_n&gt;0,(k_n*k_ymean-F83*B83)/k_n,0)</f>
        <v/>
      </c>
      <c r="H83">
        <f>IF(AND(F83&gt;0,ABS(E83)&gt;=1E-14),SUMPRODUCT(Calc!$K$3:$K$22,(Calc!$I$3:$I$22-G83-F83*EXP(A83*Calc!$L$3:$L$22))^2),1E+300)</f>
        <v/>
      </c>
    </row>
    <row r="84">
      <c r="A84" t="n">
        <v>1.5</v>
      </c>
      <c r="B84">
        <f>SUMPRODUCT(Calc!$K$3:$K$22,EXP(A84*Calc!$L$3:$L$22))</f>
        <v/>
      </c>
      <c r="C84">
        <f>SUMPRODUCT(Calc!$K$3:$K$22,EXP(2*A84*Calc!$L$3:$L$22))</f>
        <v/>
      </c>
      <c r="D84">
        <f>SUMPRODUCT(Calc!$K$3:$K$22,EXP(A84*Calc!$L$3:$L$22),Calc!$I$3:$I$22)</f>
        <v/>
      </c>
      <c r="E84">
        <f>k_n*C84-B84^2</f>
        <v/>
      </c>
      <c r="F84">
        <f>IF(ABS(E84)&lt;1E-14,0,(k_n*D84-B84*k_n*k_ymean)/E84)</f>
        <v/>
      </c>
      <c r="G84">
        <f>IF(k_n&gt;0,(k_n*k_ymean-F84*B84)/k_n,0)</f>
        <v/>
      </c>
      <c r="H84">
        <f>IF(AND(F84&gt;0,ABS(E84)&gt;=1E-14),SUMPRODUCT(Calc!$K$3:$K$22,(Calc!$I$3:$I$22-G84-F84*EXP(A84*Calc!$L$3:$L$22))^2),1E+300)</f>
        <v/>
      </c>
    </row>
    <row r="85">
      <c r="A85" t="n">
        <v>1.52</v>
      </c>
      <c r="B85">
        <f>SUMPRODUCT(Calc!$K$3:$K$22,EXP(A85*Calc!$L$3:$L$22))</f>
        <v/>
      </c>
      <c r="C85">
        <f>SUMPRODUCT(Calc!$K$3:$K$22,EXP(2*A85*Calc!$L$3:$L$22))</f>
        <v/>
      </c>
      <c r="D85">
        <f>SUMPRODUCT(Calc!$K$3:$K$22,EXP(A85*Calc!$L$3:$L$22),Calc!$I$3:$I$22)</f>
        <v/>
      </c>
      <c r="E85">
        <f>k_n*C85-B85^2</f>
        <v/>
      </c>
      <c r="F85">
        <f>IF(ABS(E85)&lt;1E-14,0,(k_n*D85-B85*k_n*k_ymean)/E85)</f>
        <v/>
      </c>
      <c r="G85">
        <f>IF(k_n&gt;0,(k_n*k_ymean-F85*B85)/k_n,0)</f>
        <v/>
      </c>
      <c r="H85">
        <f>IF(AND(F85&gt;0,ABS(E85)&gt;=1E-14),SUMPRODUCT(Calc!$K$3:$K$22,(Calc!$I$3:$I$22-G85-F85*EXP(A85*Calc!$L$3:$L$22))^2),1E+300)</f>
        <v/>
      </c>
    </row>
    <row r="86">
      <c r="A86" t="n">
        <v>1.54</v>
      </c>
      <c r="B86">
        <f>SUMPRODUCT(Calc!$K$3:$K$22,EXP(A86*Calc!$L$3:$L$22))</f>
        <v/>
      </c>
      <c r="C86">
        <f>SUMPRODUCT(Calc!$K$3:$K$22,EXP(2*A86*Calc!$L$3:$L$22))</f>
        <v/>
      </c>
      <c r="D86">
        <f>SUMPRODUCT(Calc!$K$3:$K$22,EXP(A86*Calc!$L$3:$L$22),Calc!$I$3:$I$22)</f>
        <v/>
      </c>
      <c r="E86">
        <f>k_n*C86-B86^2</f>
        <v/>
      </c>
      <c r="F86">
        <f>IF(ABS(E86)&lt;1E-14,0,(k_n*D86-B86*k_n*k_ymean)/E86)</f>
        <v/>
      </c>
      <c r="G86">
        <f>IF(k_n&gt;0,(k_n*k_ymean-F86*B86)/k_n,0)</f>
        <v/>
      </c>
      <c r="H86">
        <f>IF(AND(F86&gt;0,ABS(E86)&gt;=1E-14),SUMPRODUCT(Calc!$K$3:$K$22,(Calc!$I$3:$I$22-G86-F86*EXP(A86*Calc!$L$3:$L$22))^2),1E+300)</f>
        <v/>
      </c>
    </row>
    <row r="87">
      <c r="A87" t="n">
        <v>1.56</v>
      </c>
      <c r="B87">
        <f>SUMPRODUCT(Calc!$K$3:$K$22,EXP(A87*Calc!$L$3:$L$22))</f>
        <v/>
      </c>
      <c r="C87">
        <f>SUMPRODUCT(Calc!$K$3:$K$22,EXP(2*A87*Calc!$L$3:$L$22))</f>
        <v/>
      </c>
      <c r="D87">
        <f>SUMPRODUCT(Calc!$K$3:$K$22,EXP(A87*Calc!$L$3:$L$22),Calc!$I$3:$I$22)</f>
        <v/>
      </c>
      <c r="E87">
        <f>k_n*C87-B87^2</f>
        <v/>
      </c>
      <c r="F87">
        <f>IF(ABS(E87)&lt;1E-14,0,(k_n*D87-B87*k_n*k_ymean)/E87)</f>
        <v/>
      </c>
      <c r="G87">
        <f>IF(k_n&gt;0,(k_n*k_ymean-F87*B87)/k_n,0)</f>
        <v/>
      </c>
      <c r="H87">
        <f>IF(AND(F87&gt;0,ABS(E87)&gt;=1E-14),SUMPRODUCT(Calc!$K$3:$K$22,(Calc!$I$3:$I$22-G87-F87*EXP(A87*Calc!$L$3:$L$22))^2),1E+300)</f>
        <v/>
      </c>
    </row>
    <row r="88">
      <c r="A88" t="n">
        <v>1.58</v>
      </c>
      <c r="B88">
        <f>SUMPRODUCT(Calc!$K$3:$K$22,EXP(A88*Calc!$L$3:$L$22))</f>
        <v/>
      </c>
      <c r="C88">
        <f>SUMPRODUCT(Calc!$K$3:$K$22,EXP(2*A88*Calc!$L$3:$L$22))</f>
        <v/>
      </c>
      <c r="D88">
        <f>SUMPRODUCT(Calc!$K$3:$K$22,EXP(A88*Calc!$L$3:$L$22),Calc!$I$3:$I$22)</f>
        <v/>
      </c>
      <c r="E88">
        <f>k_n*C88-B88^2</f>
        <v/>
      </c>
      <c r="F88">
        <f>IF(ABS(E88)&lt;1E-14,0,(k_n*D88-B88*k_n*k_ymean)/E88)</f>
        <v/>
      </c>
      <c r="G88">
        <f>IF(k_n&gt;0,(k_n*k_ymean-F88*B88)/k_n,0)</f>
        <v/>
      </c>
      <c r="H88">
        <f>IF(AND(F88&gt;0,ABS(E88)&gt;=1E-14),SUMPRODUCT(Calc!$K$3:$K$22,(Calc!$I$3:$I$22-G88-F88*EXP(A88*Calc!$L$3:$L$22))^2),1E+300)</f>
        <v/>
      </c>
    </row>
    <row r="89">
      <c r="A89" t="n">
        <v>1.6</v>
      </c>
      <c r="B89">
        <f>SUMPRODUCT(Calc!$K$3:$K$22,EXP(A89*Calc!$L$3:$L$22))</f>
        <v/>
      </c>
      <c r="C89">
        <f>SUMPRODUCT(Calc!$K$3:$K$22,EXP(2*A89*Calc!$L$3:$L$22))</f>
        <v/>
      </c>
      <c r="D89">
        <f>SUMPRODUCT(Calc!$K$3:$K$22,EXP(A89*Calc!$L$3:$L$22),Calc!$I$3:$I$22)</f>
        <v/>
      </c>
      <c r="E89">
        <f>k_n*C89-B89^2</f>
        <v/>
      </c>
      <c r="F89">
        <f>IF(ABS(E89)&lt;1E-14,0,(k_n*D89-B89*k_n*k_ymean)/E89)</f>
        <v/>
      </c>
      <c r="G89">
        <f>IF(k_n&gt;0,(k_n*k_ymean-F89*B89)/k_n,0)</f>
        <v/>
      </c>
      <c r="H89">
        <f>IF(AND(F89&gt;0,ABS(E89)&gt;=1E-14),SUMPRODUCT(Calc!$K$3:$K$22,(Calc!$I$3:$I$22-G89-F89*EXP(A89*Calc!$L$3:$L$22))^2),1E+300)</f>
        <v/>
      </c>
    </row>
    <row r="90">
      <c r="A90" t="n">
        <v>1.62</v>
      </c>
      <c r="B90">
        <f>SUMPRODUCT(Calc!$K$3:$K$22,EXP(A90*Calc!$L$3:$L$22))</f>
        <v/>
      </c>
      <c r="C90">
        <f>SUMPRODUCT(Calc!$K$3:$K$22,EXP(2*A90*Calc!$L$3:$L$22))</f>
        <v/>
      </c>
      <c r="D90">
        <f>SUMPRODUCT(Calc!$K$3:$K$22,EXP(A90*Calc!$L$3:$L$22),Calc!$I$3:$I$22)</f>
        <v/>
      </c>
      <c r="E90">
        <f>k_n*C90-B90^2</f>
        <v/>
      </c>
      <c r="F90">
        <f>IF(ABS(E90)&lt;1E-14,0,(k_n*D90-B90*k_n*k_ymean)/E90)</f>
        <v/>
      </c>
      <c r="G90">
        <f>IF(k_n&gt;0,(k_n*k_ymean-F90*B90)/k_n,0)</f>
        <v/>
      </c>
      <c r="H90">
        <f>IF(AND(F90&gt;0,ABS(E90)&gt;=1E-14),SUMPRODUCT(Calc!$K$3:$K$22,(Calc!$I$3:$I$22-G90-F90*EXP(A90*Calc!$L$3:$L$22))^2),1E+300)</f>
        <v/>
      </c>
    </row>
    <row r="91">
      <c r="A91" t="n">
        <v>1.64</v>
      </c>
      <c r="B91">
        <f>SUMPRODUCT(Calc!$K$3:$K$22,EXP(A91*Calc!$L$3:$L$22))</f>
        <v/>
      </c>
      <c r="C91">
        <f>SUMPRODUCT(Calc!$K$3:$K$22,EXP(2*A91*Calc!$L$3:$L$22))</f>
        <v/>
      </c>
      <c r="D91">
        <f>SUMPRODUCT(Calc!$K$3:$K$22,EXP(A91*Calc!$L$3:$L$22),Calc!$I$3:$I$22)</f>
        <v/>
      </c>
      <c r="E91">
        <f>k_n*C91-B91^2</f>
        <v/>
      </c>
      <c r="F91">
        <f>IF(ABS(E91)&lt;1E-14,0,(k_n*D91-B91*k_n*k_ymean)/E91)</f>
        <v/>
      </c>
      <c r="G91">
        <f>IF(k_n&gt;0,(k_n*k_ymean-F91*B91)/k_n,0)</f>
        <v/>
      </c>
      <c r="H91">
        <f>IF(AND(F91&gt;0,ABS(E91)&gt;=1E-14),SUMPRODUCT(Calc!$K$3:$K$22,(Calc!$I$3:$I$22-G91-F91*EXP(A91*Calc!$L$3:$L$22))^2),1E+300)</f>
        <v/>
      </c>
    </row>
    <row r="92">
      <c r="A92" t="n">
        <v>1.66</v>
      </c>
      <c r="B92">
        <f>SUMPRODUCT(Calc!$K$3:$K$22,EXP(A92*Calc!$L$3:$L$22))</f>
        <v/>
      </c>
      <c r="C92">
        <f>SUMPRODUCT(Calc!$K$3:$K$22,EXP(2*A92*Calc!$L$3:$L$22))</f>
        <v/>
      </c>
      <c r="D92">
        <f>SUMPRODUCT(Calc!$K$3:$K$22,EXP(A92*Calc!$L$3:$L$22),Calc!$I$3:$I$22)</f>
        <v/>
      </c>
      <c r="E92">
        <f>k_n*C92-B92^2</f>
        <v/>
      </c>
      <c r="F92">
        <f>IF(ABS(E92)&lt;1E-14,0,(k_n*D92-B92*k_n*k_ymean)/E92)</f>
        <v/>
      </c>
      <c r="G92">
        <f>IF(k_n&gt;0,(k_n*k_ymean-F92*B92)/k_n,0)</f>
        <v/>
      </c>
      <c r="H92">
        <f>IF(AND(F92&gt;0,ABS(E92)&gt;=1E-14),SUMPRODUCT(Calc!$K$3:$K$22,(Calc!$I$3:$I$22-G92-F92*EXP(A92*Calc!$L$3:$L$22))^2),1E+300)</f>
        <v/>
      </c>
    </row>
    <row r="93">
      <c r="A93" t="n">
        <v>1.68</v>
      </c>
      <c r="B93">
        <f>SUMPRODUCT(Calc!$K$3:$K$22,EXP(A93*Calc!$L$3:$L$22))</f>
        <v/>
      </c>
      <c r="C93">
        <f>SUMPRODUCT(Calc!$K$3:$K$22,EXP(2*A93*Calc!$L$3:$L$22))</f>
        <v/>
      </c>
      <c r="D93">
        <f>SUMPRODUCT(Calc!$K$3:$K$22,EXP(A93*Calc!$L$3:$L$22),Calc!$I$3:$I$22)</f>
        <v/>
      </c>
      <c r="E93">
        <f>k_n*C93-B93^2</f>
        <v/>
      </c>
      <c r="F93">
        <f>IF(ABS(E93)&lt;1E-14,0,(k_n*D93-B93*k_n*k_ymean)/E93)</f>
        <v/>
      </c>
      <c r="G93">
        <f>IF(k_n&gt;0,(k_n*k_ymean-F93*B93)/k_n,0)</f>
        <v/>
      </c>
      <c r="H93">
        <f>IF(AND(F93&gt;0,ABS(E93)&gt;=1E-14),SUMPRODUCT(Calc!$K$3:$K$22,(Calc!$I$3:$I$22-G93-F93*EXP(A93*Calc!$L$3:$L$22))^2),1E+300)</f>
        <v/>
      </c>
    </row>
    <row r="94">
      <c r="A94" t="n">
        <v>1.7</v>
      </c>
      <c r="B94">
        <f>SUMPRODUCT(Calc!$K$3:$K$22,EXP(A94*Calc!$L$3:$L$22))</f>
        <v/>
      </c>
      <c r="C94">
        <f>SUMPRODUCT(Calc!$K$3:$K$22,EXP(2*A94*Calc!$L$3:$L$22))</f>
        <v/>
      </c>
      <c r="D94">
        <f>SUMPRODUCT(Calc!$K$3:$K$22,EXP(A94*Calc!$L$3:$L$22),Calc!$I$3:$I$22)</f>
        <v/>
      </c>
      <c r="E94">
        <f>k_n*C94-B94^2</f>
        <v/>
      </c>
      <c r="F94">
        <f>IF(ABS(E94)&lt;1E-14,0,(k_n*D94-B94*k_n*k_ymean)/E94)</f>
        <v/>
      </c>
      <c r="G94">
        <f>IF(k_n&gt;0,(k_n*k_ymean-F94*B94)/k_n,0)</f>
        <v/>
      </c>
      <c r="H94">
        <f>IF(AND(F94&gt;0,ABS(E94)&gt;=1E-14),SUMPRODUCT(Calc!$K$3:$K$22,(Calc!$I$3:$I$22-G94-F94*EXP(A94*Calc!$L$3:$L$22))^2),1E+300)</f>
        <v/>
      </c>
    </row>
    <row r="95">
      <c r="A95" t="n">
        <v>1.72</v>
      </c>
      <c r="B95">
        <f>SUMPRODUCT(Calc!$K$3:$K$22,EXP(A95*Calc!$L$3:$L$22))</f>
        <v/>
      </c>
      <c r="C95">
        <f>SUMPRODUCT(Calc!$K$3:$K$22,EXP(2*A95*Calc!$L$3:$L$22))</f>
        <v/>
      </c>
      <c r="D95">
        <f>SUMPRODUCT(Calc!$K$3:$K$22,EXP(A95*Calc!$L$3:$L$22),Calc!$I$3:$I$22)</f>
        <v/>
      </c>
      <c r="E95">
        <f>k_n*C95-B95^2</f>
        <v/>
      </c>
      <c r="F95">
        <f>IF(ABS(E95)&lt;1E-14,0,(k_n*D95-B95*k_n*k_ymean)/E95)</f>
        <v/>
      </c>
      <c r="G95">
        <f>IF(k_n&gt;0,(k_n*k_ymean-F95*B95)/k_n,0)</f>
        <v/>
      </c>
      <c r="H95">
        <f>IF(AND(F95&gt;0,ABS(E95)&gt;=1E-14),SUMPRODUCT(Calc!$K$3:$K$22,(Calc!$I$3:$I$22-G95-F95*EXP(A95*Calc!$L$3:$L$22))^2),1E+300)</f>
        <v/>
      </c>
    </row>
    <row r="96">
      <c r="A96" t="n">
        <v>1.74</v>
      </c>
      <c r="B96">
        <f>SUMPRODUCT(Calc!$K$3:$K$22,EXP(A96*Calc!$L$3:$L$22))</f>
        <v/>
      </c>
      <c r="C96">
        <f>SUMPRODUCT(Calc!$K$3:$K$22,EXP(2*A96*Calc!$L$3:$L$22))</f>
        <v/>
      </c>
      <c r="D96">
        <f>SUMPRODUCT(Calc!$K$3:$K$22,EXP(A96*Calc!$L$3:$L$22),Calc!$I$3:$I$22)</f>
        <v/>
      </c>
      <c r="E96">
        <f>k_n*C96-B96^2</f>
        <v/>
      </c>
      <c r="F96">
        <f>IF(ABS(E96)&lt;1E-14,0,(k_n*D96-B96*k_n*k_ymean)/E96)</f>
        <v/>
      </c>
      <c r="G96">
        <f>IF(k_n&gt;0,(k_n*k_ymean-F96*B96)/k_n,0)</f>
        <v/>
      </c>
      <c r="H96">
        <f>IF(AND(F96&gt;0,ABS(E96)&gt;=1E-14),SUMPRODUCT(Calc!$K$3:$K$22,(Calc!$I$3:$I$22-G96-F96*EXP(A96*Calc!$L$3:$L$22))^2),1E+300)</f>
        <v/>
      </c>
    </row>
    <row r="97">
      <c r="A97" t="n">
        <v>1.76</v>
      </c>
      <c r="B97">
        <f>SUMPRODUCT(Calc!$K$3:$K$22,EXP(A97*Calc!$L$3:$L$22))</f>
        <v/>
      </c>
      <c r="C97">
        <f>SUMPRODUCT(Calc!$K$3:$K$22,EXP(2*A97*Calc!$L$3:$L$22))</f>
        <v/>
      </c>
      <c r="D97">
        <f>SUMPRODUCT(Calc!$K$3:$K$22,EXP(A97*Calc!$L$3:$L$22),Calc!$I$3:$I$22)</f>
        <v/>
      </c>
      <c r="E97">
        <f>k_n*C97-B97^2</f>
        <v/>
      </c>
      <c r="F97">
        <f>IF(ABS(E97)&lt;1E-14,0,(k_n*D97-B97*k_n*k_ymean)/E97)</f>
        <v/>
      </c>
      <c r="G97">
        <f>IF(k_n&gt;0,(k_n*k_ymean-F97*B97)/k_n,0)</f>
        <v/>
      </c>
      <c r="H97">
        <f>IF(AND(F97&gt;0,ABS(E97)&gt;=1E-14),SUMPRODUCT(Calc!$K$3:$K$22,(Calc!$I$3:$I$22-G97-F97*EXP(A97*Calc!$L$3:$L$22))^2),1E+300)</f>
        <v/>
      </c>
    </row>
    <row r="98">
      <c r="A98" t="n">
        <v>1.78</v>
      </c>
      <c r="B98">
        <f>SUMPRODUCT(Calc!$K$3:$K$22,EXP(A98*Calc!$L$3:$L$22))</f>
        <v/>
      </c>
      <c r="C98">
        <f>SUMPRODUCT(Calc!$K$3:$K$22,EXP(2*A98*Calc!$L$3:$L$22))</f>
        <v/>
      </c>
      <c r="D98">
        <f>SUMPRODUCT(Calc!$K$3:$K$22,EXP(A98*Calc!$L$3:$L$22),Calc!$I$3:$I$22)</f>
        <v/>
      </c>
      <c r="E98">
        <f>k_n*C98-B98^2</f>
        <v/>
      </c>
      <c r="F98">
        <f>IF(ABS(E98)&lt;1E-14,0,(k_n*D98-B98*k_n*k_ymean)/E98)</f>
        <v/>
      </c>
      <c r="G98">
        <f>IF(k_n&gt;0,(k_n*k_ymean-F98*B98)/k_n,0)</f>
        <v/>
      </c>
      <c r="H98">
        <f>IF(AND(F98&gt;0,ABS(E98)&gt;=1E-14),SUMPRODUCT(Calc!$K$3:$K$22,(Calc!$I$3:$I$22-G98-F98*EXP(A98*Calc!$L$3:$L$22))^2),1E+300)</f>
        <v/>
      </c>
    </row>
    <row r="99">
      <c r="A99" t="n">
        <v>1.8</v>
      </c>
      <c r="B99">
        <f>SUMPRODUCT(Calc!$K$3:$K$22,EXP(A99*Calc!$L$3:$L$22))</f>
        <v/>
      </c>
      <c r="C99">
        <f>SUMPRODUCT(Calc!$K$3:$K$22,EXP(2*A99*Calc!$L$3:$L$22))</f>
        <v/>
      </c>
      <c r="D99">
        <f>SUMPRODUCT(Calc!$K$3:$K$22,EXP(A99*Calc!$L$3:$L$22),Calc!$I$3:$I$22)</f>
        <v/>
      </c>
      <c r="E99">
        <f>k_n*C99-B99^2</f>
        <v/>
      </c>
      <c r="F99">
        <f>IF(ABS(E99)&lt;1E-14,0,(k_n*D99-B99*k_n*k_ymean)/E99)</f>
        <v/>
      </c>
      <c r="G99">
        <f>IF(k_n&gt;0,(k_n*k_ymean-F99*B99)/k_n,0)</f>
        <v/>
      </c>
      <c r="H99">
        <f>IF(AND(F99&gt;0,ABS(E99)&gt;=1E-14),SUMPRODUCT(Calc!$K$3:$K$22,(Calc!$I$3:$I$22-G99-F99*EXP(A99*Calc!$L$3:$L$22))^2),1E+300)</f>
        <v/>
      </c>
    </row>
    <row r="100">
      <c r="A100" t="n">
        <v>1.82</v>
      </c>
      <c r="B100">
        <f>SUMPRODUCT(Calc!$K$3:$K$22,EXP(A100*Calc!$L$3:$L$22))</f>
        <v/>
      </c>
      <c r="C100">
        <f>SUMPRODUCT(Calc!$K$3:$K$22,EXP(2*A100*Calc!$L$3:$L$22))</f>
        <v/>
      </c>
      <c r="D100">
        <f>SUMPRODUCT(Calc!$K$3:$K$22,EXP(A100*Calc!$L$3:$L$22),Calc!$I$3:$I$22)</f>
        <v/>
      </c>
      <c r="E100">
        <f>k_n*C100-B100^2</f>
        <v/>
      </c>
      <c r="F100">
        <f>IF(ABS(E100)&lt;1E-14,0,(k_n*D100-B100*k_n*k_ymean)/E100)</f>
        <v/>
      </c>
      <c r="G100">
        <f>IF(k_n&gt;0,(k_n*k_ymean-F100*B100)/k_n,0)</f>
        <v/>
      </c>
      <c r="H100">
        <f>IF(AND(F100&gt;0,ABS(E100)&gt;=1E-14),SUMPRODUCT(Calc!$K$3:$K$22,(Calc!$I$3:$I$22-G100-F100*EXP(A100*Calc!$L$3:$L$22))^2),1E+300)</f>
        <v/>
      </c>
    </row>
    <row r="101">
      <c r="A101" t="n">
        <v>1.84</v>
      </c>
      <c r="B101">
        <f>SUMPRODUCT(Calc!$K$3:$K$22,EXP(A101*Calc!$L$3:$L$22))</f>
        <v/>
      </c>
      <c r="C101">
        <f>SUMPRODUCT(Calc!$K$3:$K$22,EXP(2*A101*Calc!$L$3:$L$22))</f>
        <v/>
      </c>
      <c r="D101">
        <f>SUMPRODUCT(Calc!$K$3:$K$22,EXP(A101*Calc!$L$3:$L$22),Calc!$I$3:$I$22)</f>
        <v/>
      </c>
      <c r="E101">
        <f>k_n*C101-B101^2</f>
        <v/>
      </c>
      <c r="F101">
        <f>IF(ABS(E101)&lt;1E-14,0,(k_n*D101-B101*k_n*k_ymean)/E101)</f>
        <v/>
      </c>
      <c r="G101">
        <f>IF(k_n&gt;0,(k_n*k_ymean-F101*B101)/k_n,0)</f>
        <v/>
      </c>
      <c r="H101">
        <f>IF(AND(F101&gt;0,ABS(E101)&gt;=1E-14),SUMPRODUCT(Calc!$K$3:$K$22,(Calc!$I$3:$I$22-G101-F101*EXP(A101*Calc!$L$3:$L$22))^2),1E+300)</f>
        <v/>
      </c>
    </row>
    <row r="102">
      <c r="A102" t="n">
        <v>1.86</v>
      </c>
      <c r="B102">
        <f>SUMPRODUCT(Calc!$K$3:$K$22,EXP(A102*Calc!$L$3:$L$22))</f>
        <v/>
      </c>
      <c r="C102">
        <f>SUMPRODUCT(Calc!$K$3:$K$22,EXP(2*A102*Calc!$L$3:$L$22))</f>
        <v/>
      </c>
      <c r="D102">
        <f>SUMPRODUCT(Calc!$K$3:$K$22,EXP(A102*Calc!$L$3:$L$22),Calc!$I$3:$I$22)</f>
        <v/>
      </c>
      <c r="E102">
        <f>k_n*C102-B102^2</f>
        <v/>
      </c>
      <c r="F102">
        <f>IF(ABS(E102)&lt;1E-14,0,(k_n*D102-B102*k_n*k_ymean)/E102)</f>
        <v/>
      </c>
      <c r="G102">
        <f>IF(k_n&gt;0,(k_n*k_ymean-F102*B102)/k_n,0)</f>
        <v/>
      </c>
      <c r="H102">
        <f>IF(AND(F102&gt;0,ABS(E102)&gt;=1E-14),SUMPRODUCT(Calc!$K$3:$K$22,(Calc!$I$3:$I$22-G102-F102*EXP(A102*Calc!$L$3:$L$22))^2),1E+300)</f>
        <v/>
      </c>
    </row>
    <row r="103">
      <c r="A103" t="n">
        <v>1.88</v>
      </c>
      <c r="B103">
        <f>SUMPRODUCT(Calc!$K$3:$K$22,EXP(A103*Calc!$L$3:$L$22))</f>
        <v/>
      </c>
      <c r="C103">
        <f>SUMPRODUCT(Calc!$K$3:$K$22,EXP(2*A103*Calc!$L$3:$L$22))</f>
        <v/>
      </c>
      <c r="D103">
        <f>SUMPRODUCT(Calc!$K$3:$K$22,EXP(A103*Calc!$L$3:$L$22),Calc!$I$3:$I$22)</f>
        <v/>
      </c>
      <c r="E103">
        <f>k_n*C103-B103^2</f>
        <v/>
      </c>
      <c r="F103">
        <f>IF(ABS(E103)&lt;1E-14,0,(k_n*D103-B103*k_n*k_ymean)/E103)</f>
        <v/>
      </c>
      <c r="G103">
        <f>IF(k_n&gt;0,(k_n*k_ymean-F103*B103)/k_n,0)</f>
        <v/>
      </c>
      <c r="H103">
        <f>IF(AND(F103&gt;0,ABS(E103)&gt;=1E-14),SUMPRODUCT(Calc!$K$3:$K$22,(Calc!$I$3:$I$22-G103-F103*EXP(A103*Calc!$L$3:$L$22))^2),1E+300)</f>
        <v/>
      </c>
    </row>
    <row r="104">
      <c r="A104" t="n">
        <v>1.9</v>
      </c>
      <c r="B104">
        <f>SUMPRODUCT(Calc!$K$3:$K$22,EXP(A104*Calc!$L$3:$L$22))</f>
        <v/>
      </c>
      <c r="C104">
        <f>SUMPRODUCT(Calc!$K$3:$K$22,EXP(2*A104*Calc!$L$3:$L$22))</f>
        <v/>
      </c>
      <c r="D104">
        <f>SUMPRODUCT(Calc!$K$3:$K$22,EXP(A104*Calc!$L$3:$L$22),Calc!$I$3:$I$22)</f>
        <v/>
      </c>
      <c r="E104">
        <f>k_n*C104-B104^2</f>
        <v/>
      </c>
      <c r="F104">
        <f>IF(ABS(E104)&lt;1E-14,0,(k_n*D104-B104*k_n*k_ymean)/E104)</f>
        <v/>
      </c>
      <c r="G104">
        <f>IF(k_n&gt;0,(k_n*k_ymean-F104*B104)/k_n,0)</f>
        <v/>
      </c>
      <c r="H104">
        <f>IF(AND(F104&gt;0,ABS(E104)&gt;=1E-14),SUMPRODUCT(Calc!$K$3:$K$22,(Calc!$I$3:$I$22-G104-F104*EXP(A104*Calc!$L$3:$L$22))^2),1E+300)</f>
        <v/>
      </c>
    </row>
    <row r="105">
      <c r="A105" t="n">
        <v>1.92</v>
      </c>
      <c r="B105">
        <f>SUMPRODUCT(Calc!$K$3:$K$22,EXP(A105*Calc!$L$3:$L$22))</f>
        <v/>
      </c>
      <c r="C105">
        <f>SUMPRODUCT(Calc!$K$3:$K$22,EXP(2*A105*Calc!$L$3:$L$22))</f>
        <v/>
      </c>
      <c r="D105">
        <f>SUMPRODUCT(Calc!$K$3:$K$22,EXP(A105*Calc!$L$3:$L$22),Calc!$I$3:$I$22)</f>
        <v/>
      </c>
      <c r="E105">
        <f>k_n*C105-B105^2</f>
        <v/>
      </c>
      <c r="F105">
        <f>IF(ABS(E105)&lt;1E-14,0,(k_n*D105-B105*k_n*k_ymean)/E105)</f>
        <v/>
      </c>
      <c r="G105">
        <f>IF(k_n&gt;0,(k_n*k_ymean-F105*B105)/k_n,0)</f>
        <v/>
      </c>
      <c r="H105">
        <f>IF(AND(F105&gt;0,ABS(E105)&gt;=1E-14),SUMPRODUCT(Calc!$K$3:$K$22,(Calc!$I$3:$I$22-G105-F105*EXP(A105*Calc!$L$3:$L$22))^2),1E+300)</f>
        <v/>
      </c>
    </row>
    <row r="106">
      <c r="A106" t="n">
        <v>1.94</v>
      </c>
      <c r="B106">
        <f>SUMPRODUCT(Calc!$K$3:$K$22,EXP(A106*Calc!$L$3:$L$22))</f>
        <v/>
      </c>
      <c r="C106">
        <f>SUMPRODUCT(Calc!$K$3:$K$22,EXP(2*A106*Calc!$L$3:$L$22))</f>
        <v/>
      </c>
      <c r="D106">
        <f>SUMPRODUCT(Calc!$K$3:$K$22,EXP(A106*Calc!$L$3:$L$22),Calc!$I$3:$I$22)</f>
        <v/>
      </c>
      <c r="E106">
        <f>k_n*C106-B106^2</f>
        <v/>
      </c>
      <c r="F106">
        <f>IF(ABS(E106)&lt;1E-14,0,(k_n*D106-B106*k_n*k_ymean)/E106)</f>
        <v/>
      </c>
      <c r="G106">
        <f>IF(k_n&gt;0,(k_n*k_ymean-F106*B106)/k_n,0)</f>
        <v/>
      </c>
      <c r="H106">
        <f>IF(AND(F106&gt;0,ABS(E106)&gt;=1E-14),SUMPRODUCT(Calc!$K$3:$K$22,(Calc!$I$3:$I$22-G106-F106*EXP(A106*Calc!$L$3:$L$22))^2),1E+300)</f>
        <v/>
      </c>
    </row>
    <row r="107">
      <c r="A107" t="n">
        <v>1.96</v>
      </c>
      <c r="B107">
        <f>SUMPRODUCT(Calc!$K$3:$K$22,EXP(A107*Calc!$L$3:$L$22))</f>
        <v/>
      </c>
      <c r="C107">
        <f>SUMPRODUCT(Calc!$K$3:$K$22,EXP(2*A107*Calc!$L$3:$L$22))</f>
        <v/>
      </c>
      <c r="D107">
        <f>SUMPRODUCT(Calc!$K$3:$K$22,EXP(A107*Calc!$L$3:$L$22),Calc!$I$3:$I$22)</f>
        <v/>
      </c>
      <c r="E107">
        <f>k_n*C107-B107^2</f>
        <v/>
      </c>
      <c r="F107">
        <f>IF(ABS(E107)&lt;1E-14,0,(k_n*D107-B107*k_n*k_ymean)/E107)</f>
        <v/>
      </c>
      <c r="G107">
        <f>IF(k_n&gt;0,(k_n*k_ymean-F107*B107)/k_n,0)</f>
        <v/>
      </c>
      <c r="H107">
        <f>IF(AND(F107&gt;0,ABS(E107)&gt;=1E-14),SUMPRODUCT(Calc!$K$3:$K$22,(Calc!$I$3:$I$22-G107-F107*EXP(A107*Calc!$L$3:$L$22))^2),1E+300)</f>
        <v/>
      </c>
    </row>
    <row r="108">
      <c r="A108" t="n">
        <v>1.98</v>
      </c>
      <c r="B108">
        <f>SUMPRODUCT(Calc!$K$3:$K$22,EXP(A108*Calc!$L$3:$L$22))</f>
        <v/>
      </c>
      <c r="C108">
        <f>SUMPRODUCT(Calc!$K$3:$K$22,EXP(2*A108*Calc!$L$3:$L$22))</f>
        <v/>
      </c>
      <c r="D108">
        <f>SUMPRODUCT(Calc!$K$3:$K$22,EXP(A108*Calc!$L$3:$L$22),Calc!$I$3:$I$22)</f>
        <v/>
      </c>
      <c r="E108">
        <f>k_n*C108-B108^2</f>
        <v/>
      </c>
      <c r="F108">
        <f>IF(ABS(E108)&lt;1E-14,0,(k_n*D108-B108*k_n*k_ymean)/E108)</f>
        <v/>
      </c>
      <c r="G108">
        <f>IF(k_n&gt;0,(k_n*k_ymean-F108*B108)/k_n,0)</f>
        <v/>
      </c>
      <c r="H108">
        <f>IF(AND(F108&gt;0,ABS(E108)&gt;=1E-14),SUMPRODUCT(Calc!$K$3:$K$22,(Calc!$I$3:$I$22-G108-F108*EXP(A108*Calc!$L$3:$L$22))^2),1E+300)</f>
        <v/>
      </c>
    </row>
    <row r="109">
      <c r="A109" t="n">
        <v>2</v>
      </c>
      <c r="B109">
        <f>SUMPRODUCT(Calc!$K$3:$K$22,EXP(A109*Calc!$L$3:$L$22))</f>
        <v/>
      </c>
      <c r="C109">
        <f>SUMPRODUCT(Calc!$K$3:$K$22,EXP(2*A109*Calc!$L$3:$L$22))</f>
        <v/>
      </c>
      <c r="D109">
        <f>SUMPRODUCT(Calc!$K$3:$K$22,EXP(A109*Calc!$L$3:$L$22),Calc!$I$3:$I$22)</f>
        <v/>
      </c>
      <c r="E109">
        <f>k_n*C109-B109^2</f>
        <v/>
      </c>
      <c r="F109">
        <f>IF(ABS(E109)&lt;1E-14,0,(k_n*D109-B109*k_n*k_ymean)/E109)</f>
        <v/>
      </c>
      <c r="G109">
        <f>IF(k_n&gt;0,(k_n*k_ymean-F109*B109)/k_n,0)</f>
        <v/>
      </c>
      <c r="H109">
        <f>IF(AND(F109&gt;0,ABS(E109)&gt;=1E-14),SUMPRODUCT(Calc!$K$3:$K$22,(Calc!$I$3:$I$22-G109-F109*EXP(A109*Calc!$L$3:$L$22))^2),1E+300)</f>
        <v/>
      </c>
    </row>
    <row r="110">
      <c r="A110" t="n">
        <v>2.02</v>
      </c>
      <c r="B110">
        <f>SUMPRODUCT(Calc!$K$3:$K$22,EXP(A110*Calc!$L$3:$L$22))</f>
        <v/>
      </c>
      <c r="C110">
        <f>SUMPRODUCT(Calc!$K$3:$K$22,EXP(2*A110*Calc!$L$3:$L$22))</f>
        <v/>
      </c>
      <c r="D110">
        <f>SUMPRODUCT(Calc!$K$3:$K$22,EXP(A110*Calc!$L$3:$L$22),Calc!$I$3:$I$22)</f>
        <v/>
      </c>
      <c r="E110">
        <f>k_n*C110-B110^2</f>
        <v/>
      </c>
      <c r="F110">
        <f>IF(ABS(E110)&lt;1E-14,0,(k_n*D110-B110*k_n*k_ymean)/E110)</f>
        <v/>
      </c>
      <c r="G110">
        <f>IF(k_n&gt;0,(k_n*k_ymean-F110*B110)/k_n,0)</f>
        <v/>
      </c>
      <c r="H110">
        <f>IF(AND(F110&gt;0,ABS(E110)&gt;=1E-14),SUMPRODUCT(Calc!$K$3:$K$22,(Calc!$I$3:$I$22-G110-F110*EXP(A110*Calc!$L$3:$L$22))^2),1E+300)</f>
        <v/>
      </c>
    </row>
    <row r="111">
      <c r="A111" t="n">
        <v>2.04</v>
      </c>
      <c r="B111">
        <f>SUMPRODUCT(Calc!$K$3:$K$22,EXP(A111*Calc!$L$3:$L$22))</f>
        <v/>
      </c>
      <c r="C111">
        <f>SUMPRODUCT(Calc!$K$3:$K$22,EXP(2*A111*Calc!$L$3:$L$22))</f>
        <v/>
      </c>
      <c r="D111">
        <f>SUMPRODUCT(Calc!$K$3:$K$22,EXP(A111*Calc!$L$3:$L$22),Calc!$I$3:$I$22)</f>
        <v/>
      </c>
      <c r="E111">
        <f>k_n*C111-B111^2</f>
        <v/>
      </c>
      <c r="F111">
        <f>IF(ABS(E111)&lt;1E-14,0,(k_n*D111-B111*k_n*k_ymean)/E111)</f>
        <v/>
      </c>
      <c r="G111">
        <f>IF(k_n&gt;0,(k_n*k_ymean-F111*B111)/k_n,0)</f>
        <v/>
      </c>
      <c r="H111">
        <f>IF(AND(F111&gt;0,ABS(E111)&gt;=1E-14),SUMPRODUCT(Calc!$K$3:$K$22,(Calc!$I$3:$I$22-G111-F111*EXP(A111*Calc!$L$3:$L$22))^2),1E+300)</f>
        <v/>
      </c>
    </row>
    <row r="112">
      <c r="A112" t="n">
        <v>2.06</v>
      </c>
      <c r="B112">
        <f>SUMPRODUCT(Calc!$K$3:$K$22,EXP(A112*Calc!$L$3:$L$22))</f>
        <v/>
      </c>
      <c r="C112">
        <f>SUMPRODUCT(Calc!$K$3:$K$22,EXP(2*A112*Calc!$L$3:$L$22))</f>
        <v/>
      </c>
      <c r="D112">
        <f>SUMPRODUCT(Calc!$K$3:$K$22,EXP(A112*Calc!$L$3:$L$22),Calc!$I$3:$I$22)</f>
        <v/>
      </c>
      <c r="E112">
        <f>k_n*C112-B112^2</f>
        <v/>
      </c>
      <c r="F112">
        <f>IF(ABS(E112)&lt;1E-14,0,(k_n*D112-B112*k_n*k_ymean)/E112)</f>
        <v/>
      </c>
      <c r="G112">
        <f>IF(k_n&gt;0,(k_n*k_ymean-F112*B112)/k_n,0)</f>
        <v/>
      </c>
      <c r="H112">
        <f>IF(AND(F112&gt;0,ABS(E112)&gt;=1E-14),SUMPRODUCT(Calc!$K$3:$K$22,(Calc!$I$3:$I$22-G112-F112*EXP(A112*Calc!$L$3:$L$22))^2),1E+300)</f>
        <v/>
      </c>
    </row>
    <row r="113">
      <c r="A113" t="n">
        <v>2.08</v>
      </c>
      <c r="B113">
        <f>SUMPRODUCT(Calc!$K$3:$K$22,EXP(A113*Calc!$L$3:$L$22))</f>
        <v/>
      </c>
      <c r="C113">
        <f>SUMPRODUCT(Calc!$K$3:$K$22,EXP(2*A113*Calc!$L$3:$L$22))</f>
        <v/>
      </c>
      <c r="D113">
        <f>SUMPRODUCT(Calc!$K$3:$K$22,EXP(A113*Calc!$L$3:$L$22),Calc!$I$3:$I$22)</f>
        <v/>
      </c>
      <c r="E113">
        <f>k_n*C113-B113^2</f>
        <v/>
      </c>
      <c r="F113">
        <f>IF(ABS(E113)&lt;1E-14,0,(k_n*D113-B113*k_n*k_ymean)/E113)</f>
        <v/>
      </c>
      <c r="G113">
        <f>IF(k_n&gt;0,(k_n*k_ymean-F113*B113)/k_n,0)</f>
        <v/>
      </c>
      <c r="H113">
        <f>IF(AND(F113&gt;0,ABS(E113)&gt;=1E-14),SUMPRODUCT(Calc!$K$3:$K$22,(Calc!$I$3:$I$22-G113-F113*EXP(A113*Calc!$L$3:$L$22))^2),1E+300)</f>
        <v/>
      </c>
    </row>
    <row r="114">
      <c r="A114" t="n">
        <v>2.1</v>
      </c>
      <c r="B114">
        <f>SUMPRODUCT(Calc!$K$3:$K$22,EXP(A114*Calc!$L$3:$L$22))</f>
        <v/>
      </c>
      <c r="C114">
        <f>SUMPRODUCT(Calc!$K$3:$K$22,EXP(2*A114*Calc!$L$3:$L$22))</f>
        <v/>
      </c>
      <c r="D114">
        <f>SUMPRODUCT(Calc!$K$3:$K$22,EXP(A114*Calc!$L$3:$L$22),Calc!$I$3:$I$22)</f>
        <v/>
      </c>
      <c r="E114">
        <f>k_n*C114-B114^2</f>
        <v/>
      </c>
      <c r="F114">
        <f>IF(ABS(E114)&lt;1E-14,0,(k_n*D114-B114*k_n*k_ymean)/E114)</f>
        <v/>
      </c>
      <c r="G114">
        <f>IF(k_n&gt;0,(k_n*k_ymean-F114*B114)/k_n,0)</f>
        <v/>
      </c>
      <c r="H114">
        <f>IF(AND(F114&gt;0,ABS(E114)&gt;=1E-14),SUMPRODUCT(Calc!$K$3:$K$22,(Calc!$I$3:$I$22-G114-F114*EXP(A114*Calc!$L$3:$L$22))^2),1E+300)</f>
        <v/>
      </c>
    </row>
    <row r="115">
      <c r="A115" t="n">
        <v>2.12</v>
      </c>
      <c r="B115">
        <f>SUMPRODUCT(Calc!$K$3:$K$22,EXP(A115*Calc!$L$3:$L$22))</f>
        <v/>
      </c>
      <c r="C115">
        <f>SUMPRODUCT(Calc!$K$3:$K$22,EXP(2*A115*Calc!$L$3:$L$22))</f>
        <v/>
      </c>
      <c r="D115">
        <f>SUMPRODUCT(Calc!$K$3:$K$22,EXP(A115*Calc!$L$3:$L$22),Calc!$I$3:$I$22)</f>
        <v/>
      </c>
      <c r="E115">
        <f>k_n*C115-B115^2</f>
        <v/>
      </c>
      <c r="F115">
        <f>IF(ABS(E115)&lt;1E-14,0,(k_n*D115-B115*k_n*k_ymean)/E115)</f>
        <v/>
      </c>
      <c r="G115">
        <f>IF(k_n&gt;0,(k_n*k_ymean-F115*B115)/k_n,0)</f>
        <v/>
      </c>
      <c r="H115">
        <f>IF(AND(F115&gt;0,ABS(E115)&gt;=1E-14),SUMPRODUCT(Calc!$K$3:$K$22,(Calc!$I$3:$I$22-G115-F115*EXP(A115*Calc!$L$3:$L$22))^2),1E+300)</f>
        <v/>
      </c>
    </row>
    <row r="116">
      <c r="A116" t="n">
        <v>2.14</v>
      </c>
      <c r="B116">
        <f>SUMPRODUCT(Calc!$K$3:$K$22,EXP(A116*Calc!$L$3:$L$22))</f>
        <v/>
      </c>
      <c r="C116">
        <f>SUMPRODUCT(Calc!$K$3:$K$22,EXP(2*A116*Calc!$L$3:$L$22))</f>
        <v/>
      </c>
      <c r="D116">
        <f>SUMPRODUCT(Calc!$K$3:$K$22,EXP(A116*Calc!$L$3:$L$22),Calc!$I$3:$I$22)</f>
        <v/>
      </c>
      <c r="E116">
        <f>k_n*C116-B116^2</f>
        <v/>
      </c>
      <c r="F116">
        <f>IF(ABS(E116)&lt;1E-14,0,(k_n*D116-B116*k_n*k_ymean)/E116)</f>
        <v/>
      </c>
      <c r="G116">
        <f>IF(k_n&gt;0,(k_n*k_ymean-F116*B116)/k_n,0)</f>
        <v/>
      </c>
      <c r="H116">
        <f>IF(AND(F116&gt;0,ABS(E116)&gt;=1E-14),SUMPRODUCT(Calc!$K$3:$K$22,(Calc!$I$3:$I$22-G116-F116*EXP(A116*Calc!$L$3:$L$22))^2),1E+300)</f>
        <v/>
      </c>
    </row>
    <row r="117">
      <c r="A117" t="n">
        <v>2.16</v>
      </c>
      <c r="B117">
        <f>SUMPRODUCT(Calc!$K$3:$K$22,EXP(A117*Calc!$L$3:$L$22))</f>
        <v/>
      </c>
      <c r="C117">
        <f>SUMPRODUCT(Calc!$K$3:$K$22,EXP(2*A117*Calc!$L$3:$L$22))</f>
        <v/>
      </c>
      <c r="D117">
        <f>SUMPRODUCT(Calc!$K$3:$K$22,EXP(A117*Calc!$L$3:$L$22),Calc!$I$3:$I$22)</f>
        <v/>
      </c>
      <c r="E117">
        <f>k_n*C117-B117^2</f>
        <v/>
      </c>
      <c r="F117">
        <f>IF(ABS(E117)&lt;1E-14,0,(k_n*D117-B117*k_n*k_ymean)/E117)</f>
        <v/>
      </c>
      <c r="G117">
        <f>IF(k_n&gt;0,(k_n*k_ymean-F117*B117)/k_n,0)</f>
        <v/>
      </c>
      <c r="H117">
        <f>IF(AND(F117&gt;0,ABS(E117)&gt;=1E-14),SUMPRODUCT(Calc!$K$3:$K$22,(Calc!$I$3:$I$22-G117-F117*EXP(A117*Calc!$L$3:$L$22))^2),1E+300)</f>
        <v/>
      </c>
    </row>
    <row r="118">
      <c r="A118" t="n">
        <v>2.18</v>
      </c>
      <c r="B118">
        <f>SUMPRODUCT(Calc!$K$3:$K$22,EXP(A118*Calc!$L$3:$L$22))</f>
        <v/>
      </c>
      <c r="C118">
        <f>SUMPRODUCT(Calc!$K$3:$K$22,EXP(2*A118*Calc!$L$3:$L$22))</f>
        <v/>
      </c>
      <c r="D118">
        <f>SUMPRODUCT(Calc!$K$3:$K$22,EXP(A118*Calc!$L$3:$L$22),Calc!$I$3:$I$22)</f>
        <v/>
      </c>
      <c r="E118">
        <f>k_n*C118-B118^2</f>
        <v/>
      </c>
      <c r="F118">
        <f>IF(ABS(E118)&lt;1E-14,0,(k_n*D118-B118*k_n*k_ymean)/E118)</f>
        <v/>
      </c>
      <c r="G118">
        <f>IF(k_n&gt;0,(k_n*k_ymean-F118*B118)/k_n,0)</f>
        <v/>
      </c>
      <c r="H118">
        <f>IF(AND(F118&gt;0,ABS(E118)&gt;=1E-14),SUMPRODUCT(Calc!$K$3:$K$22,(Calc!$I$3:$I$22-G118-F118*EXP(A118*Calc!$L$3:$L$22))^2),1E+300)</f>
        <v/>
      </c>
    </row>
    <row r="119">
      <c r="A119" t="n">
        <v>2.2</v>
      </c>
      <c r="B119">
        <f>SUMPRODUCT(Calc!$K$3:$K$22,EXP(A119*Calc!$L$3:$L$22))</f>
        <v/>
      </c>
      <c r="C119">
        <f>SUMPRODUCT(Calc!$K$3:$K$22,EXP(2*A119*Calc!$L$3:$L$22))</f>
        <v/>
      </c>
      <c r="D119">
        <f>SUMPRODUCT(Calc!$K$3:$K$22,EXP(A119*Calc!$L$3:$L$22),Calc!$I$3:$I$22)</f>
        <v/>
      </c>
      <c r="E119">
        <f>k_n*C119-B119^2</f>
        <v/>
      </c>
      <c r="F119">
        <f>IF(ABS(E119)&lt;1E-14,0,(k_n*D119-B119*k_n*k_ymean)/E119)</f>
        <v/>
      </c>
      <c r="G119">
        <f>IF(k_n&gt;0,(k_n*k_ymean-F119*B119)/k_n,0)</f>
        <v/>
      </c>
      <c r="H119">
        <f>IF(AND(F119&gt;0,ABS(E119)&gt;=1E-14),SUMPRODUCT(Calc!$K$3:$K$22,(Calc!$I$3:$I$22-G119-F119*EXP(A119*Calc!$L$3:$L$22))^2),1E+300)</f>
        <v/>
      </c>
    </row>
    <row r="120">
      <c r="A120" t="n">
        <v>2.22</v>
      </c>
      <c r="B120">
        <f>SUMPRODUCT(Calc!$K$3:$K$22,EXP(A120*Calc!$L$3:$L$22))</f>
        <v/>
      </c>
      <c r="C120">
        <f>SUMPRODUCT(Calc!$K$3:$K$22,EXP(2*A120*Calc!$L$3:$L$22))</f>
        <v/>
      </c>
      <c r="D120">
        <f>SUMPRODUCT(Calc!$K$3:$K$22,EXP(A120*Calc!$L$3:$L$22),Calc!$I$3:$I$22)</f>
        <v/>
      </c>
      <c r="E120">
        <f>k_n*C120-B120^2</f>
        <v/>
      </c>
      <c r="F120">
        <f>IF(ABS(E120)&lt;1E-14,0,(k_n*D120-B120*k_n*k_ymean)/E120)</f>
        <v/>
      </c>
      <c r="G120">
        <f>IF(k_n&gt;0,(k_n*k_ymean-F120*B120)/k_n,0)</f>
        <v/>
      </c>
      <c r="H120">
        <f>IF(AND(F120&gt;0,ABS(E120)&gt;=1E-14),SUMPRODUCT(Calc!$K$3:$K$22,(Calc!$I$3:$I$22-G120-F120*EXP(A120*Calc!$L$3:$L$22))^2),1E+300)</f>
        <v/>
      </c>
    </row>
    <row r="121">
      <c r="A121" t="n">
        <v>2.24</v>
      </c>
      <c r="B121">
        <f>SUMPRODUCT(Calc!$K$3:$K$22,EXP(A121*Calc!$L$3:$L$22))</f>
        <v/>
      </c>
      <c r="C121">
        <f>SUMPRODUCT(Calc!$K$3:$K$22,EXP(2*A121*Calc!$L$3:$L$22))</f>
        <v/>
      </c>
      <c r="D121">
        <f>SUMPRODUCT(Calc!$K$3:$K$22,EXP(A121*Calc!$L$3:$L$22),Calc!$I$3:$I$22)</f>
        <v/>
      </c>
      <c r="E121">
        <f>k_n*C121-B121^2</f>
        <v/>
      </c>
      <c r="F121">
        <f>IF(ABS(E121)&lt;1E-14,0,(k_n*D121-B121*k_n*k_ymean)/E121)</f>
        <v/>
      </c>
      <c r="G121">
        <f>IF(k_n&gt;0,(k_n*k_ymean-F121*B121)/k_n,0)</f>
        <v/>
      </c>
      <c r="H121">
        <f>IF(AND(F121&gt;0,ABS(E121)&gt;=1E-14),SUMPRODUCT(Calc!$K$3:$K$22,(Calc!$I$3:$I$22-G121-F121*EXP(A121*Calc!$L$3:$L$22))^2),1E+300)</f>
        <v/>
      </c>
    </row>
    <row r="122">
      <c r="A122" t="n">
        <v>2.26</v>
      </c>
      <c r="B122">
        <f>SUMPRODUCT(Calc!$K$3:$K$22,EXP(A122*Calc!$L$3:$L$22))</f>
        <v/>
      </c>
      <c r="C122">
        <f>SUMPRODUCT(Calc!$K$3:$K$22,EXP(2*A122*Calc!$L$3:$L$22))</f>
        <v/>
      </c>
      <c r="D122">
        <f>SUMPRODUCT(Calc!$K$3:$K$22,EXP(A122*Calc!$L$3:$L$22),Calc!$I$3:$I$22)</f>
        <v/>
      </c>
      <c r="E122">
        <f>k_n*C122-B122^2</f>
        <v/>
      </c>
      <c r="F122">
        <f>IF(ABS(E122)&lt;1E-14,0,(k_n*D122-B122*k_n*k_ymean)/E122)</f>
        <v/>
      </c>
      <c r="G122">
        <f>IF(k_n&gt;0,(k_n*k_ymean-F122*B122)/k_n,0)</f>
        <v/>
      </c>
      <c r="H122">
        <f>IF(AND(F122&gt;0,ABS(E122)&gt;=1E-14),SUMPRODUCT(Calc!$K$3:$K$22,(Calc!$I$3:$I$22-G122-F122*EXP(A122*Calc!$L$3:$L$22))^2),1E+300)</f>
        <v/>
      </c>
    </row>
    <row r="123">
      <c r="A123" t="n">
        <v>2.28</v>
      </c>
      <c r="B123">
        <f>SUMPRODUCT(Calc!$K$3:$K$22,EXP(A123*Calc!$L$3:$L$22))</f>
        <v/>
      </c>
      <c r="C123">
        <f>SUMPRODUCT(Calc!$K$3:$K$22,EXP(2*A123*Calc!$L$3:$L$22))</f>
        <v/>
      </c>
      <c r="D123">
        <f>SUMPRODUCT(Calc!$K$3:$K$22,EXP(A123*Calc!$L$3:$L$22),Calc!$I$3:$I$22)</f>
        <v/>
      </c>
      <c r="E123">
        <f>k_n*C123-B123^2</f>
        <v/>
      </c>
      <c r="F123">
        <f>IF(ABS(E123)&lt;1E-14,0,(k_n*D123-B123*k_n*k_ymean)/E123)</f>
        <v/>
      </c>
      <c r="G123">
        <f>IF(k_n&gt;0,(k_n*k_ymean-F123*B123)/k_n,0)</f>
        <v/>
      </c>
      <c r="H123">
        <f>IF(AND(F123&gt;0,ABS(E123)&gt;=1E-14),SUMPRODUCT(Calc!$K$3:$K$22,(Calc!$I$3:$I$22-G123-F123*EXP(A123*Calc!$L$3:$L$22))^2),1E+300)</f>
        <v/>
      </c>
    </row>
    <row r="124">
      <c r="A124" t="n">
        <v>2.3</v>
      </c>
      <c r="B124">
        <f>SUMPRODUCT(Calc!$K$3:$K$22,EXP(A124*Calc!$L$3:$L$22))</f>
        <v/>
      </c>
      <c r="C124">
        <f>SUMPRODUCT(Calc!$K$3:$K$22,EXP(2*A124*Calc!$L$3:$L$22))</f>
        <v/>
      </c>
      <c r="D124">
        <f>SUMPRODUCT(Calc!$K$3:$K$22,EXP(A124*Calc!$L$3:$L$22),Calc!$I$3:$I$22)</f>
        <v/>
      </c>
      <c r="E124">
        <f>k_n*C124-B124^2</f>
        <v/>
      </c>
      <c r="F124">
        <f>IF(ABS(E124)&lt;1E-14,0,(k_n*D124-B124*k_n*k_ymean)/E124)</f>
        <v/>
      </c>
      <c r="G124">
        <f>IF(k_n&gt;0,(k_n*k_ymean-F124*B124)/k_n,0)</f>
        <v/>
      </c>
      <c r="H124">
        <f>IF(AND(F124&gt;0,ABS(E124)&gt;=1E-14),SUMPRODUCT(Calc!$K$3:$K$22,(Calc!$I$3:$I$22-G124-F124*EXP(A124*Calc!$L$3:$L$22))^2),1E+300)</f>
        <v/>
      </c>
    </row>
    <row r="125">
      <c r="A125" t="n">
        <v>2.32</v>
      </c>
      <c r="B125">
        <f>SUMPRODUCT(Calc!$K$3:$K$22,EXP(A125*Calc!$L$3:$L$22))</f>
        <v/>
      </c>
      <c r="C125">
        <f>SUMPRODUCT(Calc!$K$3:$K$22,EXP(2*A125*Calc!$L$3:$L$22))</f>
        <v/>
      </c>
      <c r="D125">
        <f>SUMPRODUCT(Calc!$K$3:$K$22,EXP(A125*Calc!$L$3:$L$22),Calc!$I$3:$I$22)</f>
        <v/>
      </c>
      <c r="E125">
        <f>k_n*C125-B125^2</f>
        <v/>
      </c>
      <c r="F125">
        <f>IF(ABS(E125)&lt;1E-14,0,(k_n*D125-B125*k_n*k_ymean)/E125)</f>
        <v/>
      </c>
      <c r="G125">
        <f>IF(k_n&gt;0,(k_n*k_ymean-F125*B125)/k_n,0)</f>
        <v/>
      </c>
      <c r="H125">
        <f>IF(AND(F125&gt;0,ABS(E125)&gt;=1E-14),SUMPRODUCT(Calc!$K$3:$K$22,(Calc!$I$3:$I$22-G125-F125*EXP(A125*Calc!$L$3:$L$22))^2),1E+300)</f>
        <v/>
      </c>
    </row>
    <row r="126">
      <c r="A126" t="n">
        <v>2.34</v>
      </c>
      <c r="B126">
        <f>SUMPRODUCT(Calc!$K$3:$K$22,EXP(A126*Calc!$L$3:$L$22))</f>
        <v/>
      </c>
      <c r="C126">
        <f>SUMPRODUCT(Calc!$K$3:$K$22,EXP(2*A126*Calc!$L$3:$L$22))</f>
        <v/>
      </c>
      <c r="D126">
        <f>SUMPRODUCT(Calc!$K$3:$K$22,EXP(A126*Calc!$L$3:$L$22),Calc!$I$3:$I$22)</f>
        <v/>
      </c>
      <c r="E126">
        <f>k_n*C126-B126^2</f>
        <v/>
      </c>
      <c r="F126">
        <f>IF(ABS(E126)&lt;1E-14,0,(k_n*D126-B126*k_n*k_ymean)/E126)</f>
        <v/>
      </c>
      <c r="G126">
        <f>IF(k_n&gt;0,(k_n*k_ymean-F126*B126)/k_n,0)</f>
        <v/>
      </c>
      <c r="H126">
        <f>IF(AND(F126&gt;0,ABS(E126)&gt;=1E-14),SUMPRODUCT(Calc!$K$3:$K$22,(Calc!$I$3:$I$22-G126-F126*EXP(A126*Calc!$L$3:$L$22))^2),1E+300)</f>
        <v/>
      </c>
    </row>
    <row r="127">
      <c r="A127" t="n">
        <v>2.36</v>
      </c>
      <c r="B127">
        <f>SUMPRODUCT(Calc!$K$3:$K$22,EXP(A127*Calc!$L$3:$L$22))</f>
        <v/>
      </c>
      <c r="C127">
        <f>SUMPRODUCT(Calc!$K$3:$K$22,EXP(2*A127*Calc!$L$3:$L$22))</f>
        <v/>
      </c>
      <c r="D127">
        <f>SUMPRODUCT(Calc!$K$3:$K$22,EXP(A127*Calc!$L$3:$L$22),Calc!$I$3:$I$22)</f>
        <v/>
      </c>
      <c r="E127">
        <f>k_n*C127-B127^2</f>
        <v/>
      </c>
      <c r="F127">
        <f>IF(ABS(E127)&lt;1E-14,0,(k_n*D127-B127*k_n*k_ymean)/E127)</f>
        <v/>
      </c>
      <c r="G127">
        <f>IF(k_n&gt;0,(k_n*k_ymean-F127*B127)/k_n,0)</f>
        <v/>
      </c>
      <c r="H127">
        <f>IF(AND(F127&gt;0,ABS(E127)&gt;=1E-14),SUMPRODUCT(Calc!$K$3:$K$22,(Calc!$I$3:$I$22-G127-F127*EXP(A127*Calc!$L$3:$L$22))^2),1E+300)</f>
        <v/>
      </c>
    </row>
    <row r="128">
      <c r="A128" t="n">
        <v>2.38</v>
      </c>
      <c r="B128">
        <f>SUMPRODUCT(Calc!$K$3:$K$22,EXP(A128*Calc!$L$3:$L$22))</f>
        <v/>
      </c>
      <c r="C128">
        <f>SUMPRODUCT(Calc!$K$3:$K$22,EXP(2*A128*Calc!$L$3:$L$22))</f>
        <v/>
      </c>
      <c r="D128">
        <f>SUMPRODUCT(Calc!$K$3:$K$22,EXP(A128*Calc!$L$3:$L$22),Calc!$I$3:$I$22)</f>
        <v/>
      </c>
      <c r="E128">
        <f>k_n*C128-B128^2</f>
        <v/>
      </c>
      <c r="F128">
        <f>IF(ABS(E128)&lt;1E-14,0,(k_n*D128-B128*k_n*k_ymean)/E128)</f>
        <v/>
      </c>
      <c r="G128">
        <f>IF(k_n&gt;0,(k_n*k_ymean-F128*B128)/k_n,0)</f>
        <v/>
      </c>
      <c r="H128">
        <f>IF(AND(F128&gt;0,ABS(E128)&gt;=1E-14),SUMPRODUCT(Calc!$K$3:$K$22,(Calc!$I$3:$I$22-G128-F128*EXP(A128*Calc!$L$3:$L$22))^2),1E+300)</f>
        <v/>
      </c>
    </row>
    <row r="129">
      <c r="A129" t="n">
        <v>2.4</v>
      </c>
      <c r="B129">
        <f>SUMPRODUCT(Calc!$K$3:$K$22,EXP(A129*Calc!$L$3:$L$22))</f>
        <v/>
      </c>
      <c r="C129">
        <f>SUMPRODUCT(Calc!$K$3:$K$22,EXP(2*A129*Calc!$L$3:$L$22))</f>
        <v/>
      </c>
      <c r="D129">
        <f>SUMPRODUCT(Calc!$K$3:$K$22,EXP(A129*Calc!$L$3:$L$22),Calc!$I$3:$I$22)</f>
        <v/>
      </c>
      <c r="E129">
        <f>k_n*C129-B129^2</f>
        <v/>
      </c>
      <c r="F129">
        <f>IF(ABS(E129)&lt;1E-14,0,(k_n*D129-B129*k_n*k_ymean)/E129)</f>
        <v/>
      </c>
      <c r="G129">
        <f>IF(k_n&gt;0,(k_n*k_ymean-F129*B129)/k_n,0)</f>
        <v/>
      </c>
      <c r="H129">
        <f>IF(AND(F129&gt;0,ABS(E129)&gt;=1E-14),SUMPRODUCT(Calc!$K$3:$K$22,(Calc!$I$3:$I$22-G129-F129*EXP(A129*Calc!$L$3:$L$22))^2),1E+300)</f>
        <v/>
      </c>
    </row>
    <row r="130">
      <c r="A130" t="n">
        <v>2.42</v>
      </c>
      <c r="B130">
        <f>SUMPRODUCT(Calc!$K$3:$K$22,EXP(A130*Calc!$L$3:$L$22))</f>
        <v/>
      </c>
      <c r="C130">
        <f>SUMPRODUCT(Calc!$K$3:$K$22,EXP(2*A130*Calc!$L$3:$L$22))</f>
        <v/>
      </c>
      <c r="D130">
        <f>SUMPRODUCT(Calc!$K$3:$K$22,EXP(A130*Calc!$L$3:$L$22),Calc!$I$3:$I$22)</f>
        <v/>
      </c>
      <c r="E130">
        <f>k_n*C130-B130^2</f>
        <v/>
      </c>
      <c r="F130">
        <f>IF(ABS(E130)&lt;1E-14,0,(k_n*D130-B130*k_n*k_ymean)/E130)</f>
        <v/>
      </c>
      <c r="G130">
        <f>IF(k_n&gt;0,(k_n*k_ymean-F130*B130)/k_n,0)</f>
        <v/>
      </c>
      <c r="H130">
        <f>IF(AND(F130&gt;0,ABS(E130)&gt;=1E-14),SUMPRODUCT(Calc!$K$3:$K$22,(Calc!$I$3:$I$22-G130-F130*EXP(A130*Calc!$L$3:$L$22))^2),1E+300)</f>
        <v/>
      </c>
    </row>
    <row r="131">
      <c r="A131" t="n">
        <v>2.44</v>
      </c>
      <c r="B131">
        <f>SUMPRODUCT(Calc!$K$3:$K$22,EXP(A131*Calc!$L$3:$L$22))</f>
        <v/>
      </c>
      <c r="C131">
        <f>SUMPRODUCT(Calc!$K$3:$K$22,EXP(2*A131*Calc!$L$3:$L$22))</f>
        <v/>
      </c>
      <c r="D131">
        <f>SUMPRODUCT(Calc!$K$3:$K$22,EXP(A131*Calc!$L$3:$L$22),Calc!$I$3:$I$22)</f>
        <v/>
      </c>
      <c r="E131">
        <f>k_n*C131-B131^2</f>
        <v/>
      </c>
      <c r="F131">
        <f>IF(ABS(E131)&lt;1E-14,0,(k_n*D131-B131*k_n*k_ymean)/E131)</f>
        <v/>
      </c>
      <c r="G131">
        <f>IF(k_n&gt;0,(k_n*k_ymean-F131*B131)/k_n,0)</f>
        <v/>
      </c>
      <c r="H131">
        <f>IF(AND(F131&gt;0,ABS(E131)&gt;=1E-14),SUMPRODUCT(Calc!$K$3:$K$22,(Calc!$I$3:$I$22-G131-F131*EXP(A131*Calc!$L$3:$L$22))^2),1E+300)</f>
        <v/>
      </c>
    </row>
    <row r="132">
      <c r="A132" t="n">
        <v>2.46</v>
      </c>
      <c r="B132">
        <f>SUMPRODUCT(Calc!$K$3:$K$22,EXP(A132*Calc!$L$3:$L$22))</f>
        <v/>
      </c>
      <c r="C132">
        <f>SUMPRODUCT(Calc!$K$3:$K$22,EXP(2*A132*Calc!$L$3:$L$22))</f>
        <v/>
      </c>
      <c r="D132">
        <f>SUMPRODUCT(Calc!$K$3:$K$22,EXP(A132*Calc!$L$3:$L$22),Calc!$I$3:$I$22)</f>
        <v/>
      </c>
      <c r="E132">
        <f>k_n*C132-B132^2</f>
        <v/>
      </c>
      <c r="F132">
        <f>IF(ABS(E132)&lt;1E-14,0,(k_n*D132-B132*k_n*k_ymean)/E132)</f>
        <v/>
      </c>
      <c r="G132">
        <f>IF(k_n&gt;0,(k_n*k_ymean-F132*B132)/k_n,0)</f>
        <v/>
      </c>
      <c r="H132">
        <f>IF(AND(F132&gt;0,ABS(E132)&gt;=1E-14),SUMPRODUCT(Calc!$K$3:$K$22,(Calc!$I$3:$I$22-G132-F132*EXP(A132*Calc!$L$3:$L$22))^2),1E+300)</f>
        <v/>
      </c>
    </row>
    <row r="133">
      <c r="A133" t="n">
        <v>2.48</v>
      </c>
      <c r="B133">
        <f>SUMPRODUCT(Calc!$K$3:$K$22,EXP(A133*Calc!$L$3:$L$22))</f>
        <v/>
      </c>
      <c r="C133">
        <f>SUMPRODUCT(Calc!$K$3:$K$22,EXP(2*A133*Calc!$L$3:$L$22))</f>
        <v/>
      </c>
      <c r="D133">
        <f>SUMPRODUCT(Calc!$K$3:$K$22,EXP(A133*Calc!$L$3:$L$22),Calc!$I$3:$I$22)</f>
        <v/>
      </c>
      <c r="E133">
        <f>k_n*C133-B133^2</f>
        <v/>
      </c>
      <c r="F133">
        <f>IF(ABS(E133)&lt;1E-14,0,(k_n*D133-B133*k_n*k_ymean)/E133)</f>
        <v/>
      </c>
      <c r="G133">
        <f>IF(k_n&gt;0,(k_n*k_ymean-F133*B133)/k_n,0)</f>
        <v/>
      </c>
      <c r="H133">
        <f>IF(AND(F133&gt;0,ABS(E133)&gt;=1E-14),SUMPRODUCT(Calc!$K$3:$K$22,(Calc!$I$3:$I$22-G133-F133*EXP(A133*Calc!$L$3:$L$22))^2),1E+300)</f>
        <v/>
      </c>
    </row>
    <row r="134">
      <c r="A134" t="n">
        <v>2.5</v>
      </c>
      <c r="B134">
        <f>SUMPRODUCT(Calc!$K$3:$K$22,EXP(A134*Calc!$L$3:$L$22))</f>
        <v/>
      </c>
      <c r="C134">
        <f>SUMPRODUCT(Calc!$K$3:$K$22,EXP(2*A134*Calc!$L$3:$L$22))</f>
        <v/>
      </c>
      <c r="D134">
        <f>SUMPRODUCT(Calc!$K$3:$K$22,EXP(A134*Calc!$L$3:$L$22),Calc!$I$3:$I$22)</f>
        <v/>
      </c>
      <c r="E134">
        <f>k_n*C134-B134^2</f>
        <v/>
      </c>
      <c r="F134">
        <f>IF(ABS(E134)&lt;1E-14,0,(k_n*D134-B134*k_n*k_ymean)/E134)</f>
        <v/>
      </c>
      <c r="G134">
        <f>IF(k_n&gt;0,(k_n*k_ymean-F134*B134)/k_n,0)</f>
        <v/>
      </c>
      <c r="H134">
        <f>IF(AND(F134&gt;0,ABS(E134)&gt;=1E-14),SUMPRODUCT(Calc!$K$3:$K$22,(Calc!$I$3:$I$22-G134-F134*EXP(A134*Calc!$L$3:$L$22))^2),1E+300)</f>
        <v/>
      </c>
    </row>
    <row r="135">
      <c r="A135" t="n">
        <v>2.52</v>
      </c>
      <c r="B135">
        <f>SUMPRODUCT(Calc!$K$3:$K$22,EXP(A135*Calc!$L$3:$L$22))</f>
        <v/>
      </c>
      <c r="C135">
        <f>SUMPRODUCT(Calc!$K$3:$K$22,EXP(2*A135*Calc!$L$3:$L$22))</f>
        <v/>
      </c>
      <c r="D135">
        <f>SUMPRODUCT(Calc!$K$3:$K$22,EXP(A135*Calc!$L$3:$L$22),Calc!$I$3:$I$22)</f>
        <v/>
      </c>
      <c r="E135">
        <f>k_n*C135-B135^2</f>
        <v/>
      </c>
      <c r="F135">
        <f>IF(ABS(E135)&lt;1E-14,0,(k_n*D135-B135*k_n*k_ymean)/E135)</f>
        <v/>
      </c>
      <c r="G135">
        <f>IF(k_n&gt;0,(k_n*k_ymean-F135*B135)/k_n,0)</f>
        <v/>
      </c>
      <c r="H135">
        <f>IF(AND(F135&gt;0,ABS(E135)&gt;=1E-14),SUMPRODUCT(Calc!$K$3:$K$22,(Calc!$I$3:$I$22-G135-F135*EXP(A135*Calc!$L$3:$L$22))^2),1E+300)</f>
        <v/>
      </c>
    </row>
    <row r="136">
      <c r="A136" t="n">
        <v>2.54</v>
      </c>
      <c r="B136">
        <f>SUMPRODUCT(Calc!$K$3:$K$22,EXP(A136*Calc!$L$3:$L$22))</f>
        <v/>
      </c>
      <c r="C136">
        <f>SUMPRODUCT(Calc!$K$3:$K$22,EXP(2*A136*Calc!$L$3:$L$22))</f>
        <v/>
      </c>
      <c r="D136">
        <f>SUMPRODUCT(Calc!$K$3:$K$22,EXP(A136*Calc!$L$3:$L$22),Calc!$I$3:$I$22)</f>
        <v/>
      </c>
      <c r="E136">
        <f>k_n*C136-B136^2</f>
        <v/>
      </c>
      <c r="F136">
        <f>IF(ABS(E136)&lt;1E-14,0,(k_n*D136-B136*k_n*k_ymean)/E136)</f>
        <v/>
      </c>
      <c r="G136">
        <f>IF(k_n&gt;0,(k_n*k_ymean-F136*B136)/k_n,0)</f>
        <v/>
      </c>
      <c r="H136">
        <f>IF(AND(F136&gt;0,ABS(E136)&gt;=1E-14),SUMPRODUCT(Calc!$K$3:$K$22,(Calc!$I$3:$I$22-G136-F136*EXP(A136*Calc!$L$3:$L$22))^2),1E+300)</f>
        <v/>
      </c>
    </row>
    <row r="137">
      <c r="A137" t="n">
        <v>2.56</v>
      </c>
      <c r="B137">
        <f>SUMPRODUCT(Calc!$K$3:$K$22,EXP(A137*Calc!$L$3:$L$22))</f>
        <v/>
      </c>
      <c r="C137">
        <f>SUMPRODUCT(Calc!$K$3:$K$22,EXP(2*A137*Calc!$L$3:$L$22))</f>
        <v/>
      </c>
      <c r="D137">
        <f>SUMPRODUCT(Calc!$K$3:$K$22,EXP(A137*Calc!$L$3:$L$22),Calc!$I$3:$I$22)</f>
        <v/>
      </c>
      <c r="E137">
        <f>k_n*C137-B137^2</f>
        <v/>
      </c>
      <c r="F137">
        <f>IF(ABS(E137)&lt;1E-14,0,(k_n*D137-B137*k_n*k_ymean)/E137)</f>
        <v/>
      </c>
      <c r="G137">
        <f>IF(k_n&gt;0,(k_n*k_ymean-F137*B137)/k_n,0)</f>
        <v/>
      </c>
      <c r="H137">
        <f>IF(AND(F137&gt;0,ABS(E137)&gt;=1E-14),SUMPRODUCT(Calc!$K$3:$K$22,(Calc!$I$3:$I$22-G137-F137*EXP(A137*Calc!$L$3:$L$22))^2),1E+300)</f>
        <v/>
      </c>
    </row>
    <row r="138">
      <c r="A138" t="n">
        <v>2.58</v>
      </c>
      <c r="B138">
        <f>SUMPRODUCT(Calc!$K$3:$K$22,EXP(A138*Calc!$L$3:$L$22))</f>
        <v/>
      </c>
      <c r="C138">
        <f>SUMPRODUCT(Calc!$K$3:$K$22,EXP(2*A138*Calc!$L$3:$L$22))</f>
        <v/>
      </c>
      <c r="D138">
        <f>SUMPRODUCT(Calc!$K$3:$K$22,EXP(A138*Calc!$L$3:$L$22),Calc!$I$3:$I$22)</f>
        <v/>
      </c>
      <c r="E138">
        <f>k_n*C138-B138^2</f>
        <v/>
      </c>
      <c r="F138">
        <f>IF(ABS(E138)&lt;1E-14,0,(k_n*D138-B138*k_n*k_ymean)/E138)</f>
        <v/>
      </c>
      <c r="G138">
        <f>IF(k_n&gt;0,(k_n*k_ymean-F138*B138)/k_n,0)</f>
        <v/>
      </c>
      <c r="H138">
        <f>IF(AND(F138&gt;0,ABS(E138)&gt;=1E-14),SUMPRODUCT(Calc!$K$3:$K$22,(Calc!$I$3:$I$22-G138-F138*EXP(A138*Calc!$L$3:$L$22))^2),1E+300)</f>
        <v/>
      </c>
    </row>
    <row r="139">
      <c r="A139" t="n">
        <v>2.6</v>
      </c>
      <c r="B139">
        <f>SUMPRODUCT(Calc!$K$3:$K$22,EXP(A139*Calc!$L$3:$L$22))</f>
        <v/>
      </c>
      <c r="C139">
        <f>SUMPRODUCT(Calc!$K$3:$K$22,EXP(2*A139*Calc!$L$3:$L$22))</f>
        <v/>
      </c>
      <c r="D139">
        <f>SUMPRODUCT(Calc!$K$3:$K$22,EXP(A139*Calc!$L$3:$L$22),Calc!$I$3:$I$22)</f>
        <v/>
      </c>
      <c r="E139">
        <f>k_n*C139-B139^2</f>
        <v/>
      </c>
      <c r="F139">
        <f>IF(ABS(E139)&lt;1E-14,0,(k_n*D139-B139*k_n*k_ymean)/E139)</f>
        <v/>
      </c>
      <c r="G139">
        <f>IF(k_n&gt;0,(k_n*k_ymean-F139*B139)/k_n,0)</f>
        <v/>
      </c>
      <c r="H139">
        <f>IF(AND(F139&gt;0,ABS(E139)&gt;=1E-14),SUMPRODUCT(Calc!$K$3:$K$22,(Calc!$I$3:$I$22-G139-F139*EXP(A139*Calc!$L$3:$L$22))^2),1E+300)</f>
        <v/>
      </c>
    </row>
    <row r="140">
      <c r="A140" t="n">
        <v>2.62</v>
      </c>
      <c r="B140">
        <f>SUMPRODUCT(Calc!$K$3:$K$22,EXP(A140*Calc!$L$3:$L$22))</f>
        <v/>
      </c>
      <c r="C140">
        <f>SUMPRODUCT(Calc!$K$3:$K$22,EXP(2*A140*Calc!$L$3:$L$22))</f>
        <v/>
      </c>
      <c r="D140">
        <f>SUMPRODUCT(Calc!$K$3:$K$22,EXP(A140*Calc!$L$3:$L$22),Calc!$I$3:$I$22)</f>
        <v/>
      </c>
      <c r="E140">
        <f>k_n*C140-B140^2</f>
        <v/>
      </c>
      <c r="F140">
        <f>IF(ABS(E140)&lt;1E-14,0,(k_n*D140-B140*k_n*k_ymean)/E140)</f>
        <v/>
      </c>
      <c r="G140">
        <f>IF(k_n&gt;0,(k_n*k_ymean-F140*B140)/k_n,0)</f>
        <v/>
      </c>
      <c r="H140">
        <f>IF(AND(F140&gt;0,ABS(E140)&gt;=1E-14),SUMPRODUCT(Calc!$K$3:$K$22,(Calc!$I$3:$I$22-G140-F140*EXP(A140*Calc!$L$3:$L$22))^2),1E+300)</f>
        <v/>
      </c>
    </row>
    <row r="141">
      <c r="A141" t="n">
        <v>2.64</v>
      </c>
      <c r="B141">
        <f>SUMPRODUCT(Calc!$K$3:$K$22,EXP(A141*Calc!$L$3:$L$22))</f>
        <v/>
      </c>
      <c r="C141">
        <f>SUMPRODUCT(Calc!$K$3:$K$22,EXP(2*A141*Calc!$L$3:$L$22))</f>
        <v/>
      </c>
      <c r="D141">
        <f>SUMPRODUCT(Calc!$K$3:$K$22,EXP(A141*Calc!$L$3:$L$22),Calc!$I$3:$I$22)</f>
        <v/>
      </c>
      <c r="E141">
        <f>k_n*C141-B141^2</f>
        <v/>
      </c>
      <c r="F141">
        <f>IF(ABS(E141)&lt;1E-14,0,(k_n*D141-B141*k_n*k_ymean)/E141)</f>
        <v/>
      </c>
      <c r="G141">
        <f>IF(k_n&gt;0,(k_n*k_ymean-F141*B141)/k_n,0)</f>
        <v/>
      </c>
      <c r="H141">
        <f>IF(AND(F141&gt;0,ABS(E141)&gt;=1E-14),SUMPRODUCT(Calc!$K$3:$K$22,(Calc!$I$3:$I$22-G141-F141*EXP(A141*Calc!$L$3:$L$22))^2),1E+300)</f>
        <v/>
      </c>
    </row>
    <row r="142">
      <c r="A142" t="n">
        <v>2.66</v>
      </c>
      <c r="B142">
        <f>SUMPRODUCT(Calc!$K$3:$K$22,EXP(A142*Calc!$L$3:$L$22))</f>
        <v/>
      </c>
      <c r="C142">
        <f>SUMPRODUCT(Calc!$K$3:$K$22,EXP(2*A142*Calc!$L$3:$L$22))</f>
        <v/>
      </c>
      <c r="D142">
        <f>SUMPRODUCT(Calc!$K$3:$K$22,EXP(A142*Calc!$L$3:$L$22),Calc!$I$3:$I$22)</f>
        <v/>
      </c>
      <c r="E142">
        <f>k_n*C142-B142^2</f>
        <v/>
      </c>
      <c r="F142">
        <f>IF(ABS(E142)&lt;1E-14,0,(k_n*D142-B142*k_n*k_ymean)/E142)</f>
        <v/>
      </c>
      <c r="G142">
        <f>IF(k_n&gt;0,(k_n*k_ymean-F142*B142)/k_n,0)</f>
        <v/>
      </c>
      <c r="H142">
        <f>IF(AND(F142&gt;0,ABS(E142)&gt;=1E-14),SUMPRODUCT(Calc!$K$3:$K$22,(Calc!$I$3:$I$22-G142-F142*EXP(A142*Calc!$L$3:$L$22))^2),1E+300)</f>
        <v/>
      </c>
    </row>
    <row r="143">
      <c r="A143" t="n">
        <v>2.68</v>
      </c>
      <c r="B143">
        <f>SUMPRODUCT(Calc!$K$3:$K$22,EXP(A143*Calc!$L$3:$L$22))</f>
        <v/>
      </c>
      <c r="C143">
        <f>SUMPRODUCT(Calc!$K$3:$K$22,EXP(2*A143*Calc!$L$3:$L$22))</f>
        <v/>
      </c>
      <c r="D143">
        <f>SUMPRODUCT(Calc!$K$3:$K$22,EXP(A143*Calc!$L$3:$L$22),Calc!$I$3:$I$22)</f>
        <v/>
      </c>
      <c r="E143">
        <f>k_n*C143-B143^2</f>
        <v/>
      </c>
      <c r="F143">
        <f>IF(ABS(E143)&lt;1E-14,0,(k_n*D143-B143*k_n*k_ymean)/E143)</f>
        <v/>
      </c>
      <c r="G143">
        <f>IF(k_n&gt;0,(k_n*k_ymean-F143*B143)/k_n,0)</f>
        <v/>
      </c>
      <c r="H143">
        <f>IF(AND(F143&gt;0,ABS(E143)&gt;=1E-14),SUMPRODUCT(Calc!$K$3:$K$22,(Calc!$I$3:$I$22-G143-F143*EXP(A143*Calc!$L$3:$L$22))^2),1E+300)</f>
        <v/>
      </c>
    </row>
    <row r="144">
      <c r="A144" t="n">
        <v>2.7</v>
      </c>
      <c r="B144">
        <f>SUMPRODUCT(Calc!$K$3:$K$22,EXP(A144*Calc!$L$3:$L$22))</f>
        <v/>
      </c>
      <c r="C144">
        <f>SUMPRODUCT(Calc!$K$3:$K$22,EXP(2*A144*Calc!$L$3:$L$22))</f>
        <v/>
      </c>
      <c r="D144">
        <f>SUMPRODUCT(Calc!$K$3:$K$22,EXP(A144*Calc!$L$3:$L$22),Calc!$I$3:$I$22)</f>
        <v/>
      </c>
      <c r="E144">
        <f>k_n*C144-B144^2</f>
        <v/>
      </c>
      <c r="F144">
        <f>IF(ABS(E144)&lt;1E-14,0,(k_n*D144-B144*k_n*k_ymean)/E144)</f>
        <v/>
      </c>
      <c r="G144">
        <f>IF(k_n&gt;0,(k_n*k_ymean-F144*B144)/k_n,0)</f>
        <v/>
      </c>
      <c r="H144">
        <f>IF(AND(F144&gt;0,ABS(E144)&gt;=1E-14),SUMPRODUCT(Calc!$K$3:$K$22,(Calc!$I$3:$I$22-G144-F144*EXP(A144*Calc!$L$3:$L$22))^2),1E+300)</f>
        <v/>
      </c>
    </row>
    <row r="145">
      <c r="A145" t="n">
        <v>2.72</v>
      </c>
      <c r="B145">
        <f>SUMPRODUCT(Calc!$K$3:$K$22,EXP(A145*Calc!$L$3:$L$22))</f>
        <v/>
      </c>
      <c r="C145">
        <f>SUMPRODUCT(Calc!$K$3:$K$22,EXP(2*A145*Calc!$L$3:$L$22))</f>
        <v/>
      </c>
      <c r="D145">
        <f>SUMPRODUCT(Calc!$K$3:$K$22,EXP(A145*Calc!$L$3:$L$22),Calc!$I$3:$I$22)</f>
        <v/>
      </c>
      <c r="E145">
        <f>k_n*C145-B145^2</f>
        <v/>
      </c>
      <c r="F145">
        <f>IF(ABS(E145)&lt;1E-14,0,(k_n*D145-B145*k_n*k_ymean)/E145)</f>
        <v/>
      </c>
      <c r="G145">
        <f>IF(k_n&gt;0,(k_n*k_ymean-F145*B145)/k_n,0)</f>
        <v/>
      </c>
      <c r="H145">
        <f>IF(AND(F145&gt;0,ABS(E145)&gt;=1E-14),SUMPRODUCT(Calc!$K$3:$K$22,(Calc!$I$3:$I$22-G145-F145*EXP(A145*Calc!$L$3:$L$22))^2),1E+300)</f>
        <v/>
      </c>
    </row>
    <row r="146">
      <c r="A146" t="n">
        <v>2.74</v>
      </c>
      <c r="B146">
        <f>SUMPRODUCT(Calc!$K$3:$K$22,EXP(A146*Calc!$L$3:$L$22))</f>
        <v/>
      </c>
      <c r="C146">
        <f>SUMPRODUCT(Calc!$K$3:$K$22,EXP(2*A146*Calc!$L$3:$L$22))</f>
        <v/>
      </c>
      <c r="D146">
        <f>SUMPRODUCT(Calc!$K$3:$K$22,EXP(A146*Calc!$L$3:$L$22),Calc!$I$3:$I$22)</f>
        <v/>
      </c>
      <c r="E146">
        <f>k_n*C146-B146^2</f>
        <v/>
      </c>
      <c r="F146">
        <f>IF(ABS(E146)&lt;1E-14,0,(k_n*D146-B146*k_n*k_ymean)/E146)</f>
        <v/>
      </c>
      <c r="G146">
        <f>IF(k_n&gt;0,(k_n*k_ymean-F146*B146)/k_n,0)</f>
        <v/>
      </c>
      <c r="H146">
        <f>IF(AND(F146&gt;0,ABS(E146)&gt;=1E-14),SUMPRODUCT(Calc!$K$3:$K$22,(Calc!$I$3:$I$22-G146-F146*EXP(A146*Calc!$L$3:$L$22))^2),1E+300)</f>
        <v/>
      </c>
    </row>
    <row r="147">
      <c r="A147" t="n">
        <v>2.76</v>
      </c>
      <c r="B147">
        <f>SUMPRODUCT(Calc!$K$3:$K$22,EXP(A147*Calc!$L$3:$L$22))</f>
        <v/>
      </c>
      <c r="C147">
        <f>SUMPRODUCT(Calc!$K$3:$K$22,EXP(2*A147*Calc!$L$3:$L$22))</f>
        <v/>
      </c>
      <c r="D147">
        <f>SUMPRODUCT(Calc!$K$3:$K$22,EXP(A147*Calc!$L$3:$L$22),Calc!$I$3:$I$22)</f>
        <v/>
      </c>
      <c r="E147">
        <f>k_n*C147-B147^2</f>
        <v/>
      </c>
      <c r="F147">
        <f>IF(ABS(E147)&lt;1E-14,0,(k_n*D147-B147*k_n*k_ymean)/E147)</f>
        <v/>
      </c>
      <c r="G147">
        <f>IF(k_n&gt;0,(k_n*k_ymean-F147*B147)/k_n,0)</f>
        <v/>
      </c>
      <c r="H147">
        <f>IF(AND(F147&gt;0,ABS(E147)&gt;=1E-14),SUMPRODUCT(Calc!$K$3:$K$22,(Calc!$I$3:$I$22-G147-F147*EXP(A147*Calc!$L$3:$L$22))^2),1E+300)</f>
        <v/>
      </c>
    </row>
    <row r="148">
      <c r="A148" t="n">
        <v>2.78</v>
      </c>
      <c r="B148">
        <f>SUMPRODUCT(Calc!$K$3:$K$22,EXP(A148*Calc!$L$3:$L$22))</f>
        <v/>
      </c>
      <c r="C148">
        <f>SUMPRODUCT(Calc!$K$3:$K$22,EXP(2*A148*Calc!$L$3:$L$22))</f>
        <v/>
      </c>
      <c r="D148">
        <f>SUMPRODUCT(Calc!$K$3:$K$22,EXP(A148*Calc!$L$3:$L$22),Calc!$I$3:$I$22)</f>
        <v/>
      </c>
      <c r="E148">
        <f>k_n*C148-B148^2</f>
        <v/>
      </c>
      <c r="F148">
        <f>IF(ABS(E148)&lt;1E-14,0,(k_n*D148-B148*k_n*k_ymean)/E148)</f>
        <v/>
      </c>
      <c r="G148">
        <f>IF(k_n&gt;0,(k_n*k_ymean-F148*B148)/k_n,0)</f>
        <v/>
      </c>
      <c r="H148">
        <f>IF(AND(F148&gt;0,ABS(E148)&gt;=1E-14),SUMPRODUCT(Calc!$K$3:$K$22,(Calc!$I$3:$I$22-G148-F148*EXP(A148*Calc!$L$3:$L$22))^2),1E+300)</f>
        <v/>
      </c>
    </row>
    <row r="149">
      <c r="A149" t="n">
        <v>2.8</v>
      </c>
      <c r="B149">
        <f>SUMPRODUCT(Calc!$K$3:$K$22,EXP(A149*Calc!$L$3:$L$22))</f>
        <v/>
      </c>
      <c r="C149">
        <f>SUMPRODUCT(Calc!$K$3:$K$22,EXP(2*A149*Calc!$L$3:$L$22))</f>
        <v/>
      </c>
      <c r="D149">
        <f>SUMPRODUCT(Calc!$K$3:$K$22,EXP(A149*Calc!$L$3:$L$22),Calc!$I$3:$I$22)</f>
        <v/>
      </c>
      <c r="E149">
        <f>k_n*C149-B149^2</f>
        <v/>
      </c>
      <c r="F149">
        <f>IF(ABS(E149)&lt;1E-14,0,(k_n*D149-B149*k_n*k_ymean)/E149)</f>
        <v/>
      </c>
      <c r="G149">
        <f>IF(k_n&gt;0,(k_n*k_ymean-F149*B149)/k_n,0)</f>
        <v/>
      </c>
      <c r="H149">
        <f>IF(AND(F149&gt;0,ABS(E149)&gt;=1E-14),SUMPRODUCT(Calc!$K$3:$K$22,(Calc!$I$3:$I$22-G149-F149*EXP(A149*Calc!$L$3:$L$22))^2),1E+300)</f>
        <v/>
      </c>
    </row>
    <row r="150">
      <c r="A150" t="n">
        <v>2.82</v>
      </c>
      <c r="B150">
        <f>SUMPRODUCT(Calc!$K$3:$K$22,EXP(A150*Calc!$L$3:$L$22))</f>
        <v/>
      </c>
      <c r="C150">
        <f>SUMPRODUCT(Calc!$K$3:$K$22,EXP(2*A150*Calc!$L$3:$L$22))</f>
        <v/>
      </c>
      <c r="D150">
        <f>SUMPRODUCT(Calc!$K$3:$K$22,EXP(A150*Calc!$L$3:$L$22),Calc!$I$3:$I$22)</f>
        <v/>
      </c>
      <c r="E150">
        <f>k_n*C150-B150^2</f>
        <v/>
      </c>
      <c r="F150">
        <f>IF(ABS(E150)&lt;1E-14,0,(k_n*D150-B150*k_n*k_ymean)/E150)</f>
        <v/>
      </c>
      <c r="G150">
        <f>IF(k_n&gt;0,(k_n*k_ymean-F150*B150)/k_n,0)</f>
        <v/>
      </c>
      <c r="H150">
        <f>IF(AND(F150&gt;0,ABS(E150)&gt;=1E-14),SUMPRODUCT(Calc!$K$3:$K$22,(Calc!$I$3:$I$22-G150-F150*EXP(A150*Calc!$L$3:$L$22))^2),1E+300)</f>
        <v/>
      </c>
    </row>
    <row r="151">
      <c r="A151" t="n">
        <v>2.84</v>
      </c>
      <c r="B151">
        <f>SUMPRODUCT(Calc!$K$3:$K$22,EXP(A151*Calc!$L$3:$L$22))</f>
        <v/>
      </c>
      <c r="C151">
        <f>SUMPRODUCT(Calc!$K$3:$K$22,EXP(2*A151*Calc!$L$3:$L$22))</f>
        <v/>
      </c>
      <c r="D151">
        <f>SUMPRODUCT(Calc!$K$3:$K$22,EXP(A151*Calc!$L$3:$L$22),Calc!$I$3:$I$22)</f>
        <v/>
      </c>
      <c r="E151">
        <f>k_n*C151-B151^2</f>
        <v/>
      </c>
      <c r="F151">
        <f>IF(ABS(E151)&lt;1E-14,0,(k_n*D151-B151*k_n*k_ymean)/E151)</f>
        <v/>
      </c>
      <c r="G151">
        <f>IF(k_n&gt;0,(k_n*k_ymean-F151*B151)/k_n,0)</f>
        <v/>
      </c>
      <c r="H151">
        <f>IF(AND(F151&gt;0,ABS(E151)&gt;=1E-14),SUMPRODUCT(Calc!$K$3:$K$22,(Calc!$I$3:$I$22-G151-F151*EXP(A151*Calc!$L$3:$L$22))^2),1E+300)</f>
        <v/>
      </c>
    </row>
    <row r="152">
      <c r="A152" t="n">
        <v>2.86</v>
      </c>
      <c r="B152">
        <f>SUMPRODUCT(Calc!$K$3:$K$22,EXP(A152*Calc!$L$3:$L$22))</f>
        <v/>
      </c>
      <c r="C152">
        <f>SUMPRODUCT(Calc!$K$3:$K$22,EXP(2*A152*Calc!$L$3:$L$22))</f>
        <v/>
      </c>
      <c r="D152">
        <f>SUMPRODUCT(Calc!$K$3:$K$22,EXP(A152*Calc!$L$3:$L$22),Calc!$I$3:$I$22)</f>
        <v/>
      </c>
      <c r="E152">
        <f>k_n*C152-B152^2</f>
        <v/>
      </c>
      <c r="F152">
        <f>IF(ABS(E152)&lt;1E-14,0,(k_n*D152-B152*k_n*k_ymean)/E152)</f>
        <v/>
      </c>
      <c r="G152">
        <f>IF(k_n&gt;0,(k_n*k_ymean-F152*B152)/k_n,0)</f>
        <v/>
      </c>
      <c r="H152">
        <f>IF(AND(F152&gt;0,ABS(E152)&gt;=1E-14),SUMPRODUCT(Calc!$K$3:$K$22,(Calc!$I$3:$I$22-G152-F152*EXP(A152*Calc!$L$3:$L$22))^2),1E+300)</f>
        <v/>
      </c>
    </row>
    <row r="153">
      <c r="A153" t="n">
        <v>2.88</v>
      </c>
      <c r="B153">
        <f>SUMPRODUCT(Calc!$K$3:$K$22,EXP(A153*Calc!$L$3:$L$22))</f>
        <v/>
      </c>
      <c r="C153">
        <f>SUMPRODUCT(Calc!$K$3:$K$22,EXP(2*A153*Calc!$L$3:$L$22))</f>
        <v/>
      </c>
      <c r="D153">
        <f>SUMPRODUCT(Calc!$K$3:$K$22,EXP(A153*Calc!$L$3:$L$22),Calc!$I$3:$I$22)</f>
        <v/>
      </c>
      <c r="E153">
        <f>k_n*C153-B153^2</f>
        <v/>
      </c>
      <c r="F153">
        <f>IF(ABS(E153)&lt;1E-14,0,(k_n*D153-B153*k_n*k_ymean)/E153)</f>
        <v/>
      </c>
      <c r="G153">
        <f>IF(k_n&gt;0,(k_n*k_ymean-F153*B153)/k_n,0)</f>
        <v/>
      </c>
      <c r="H153">
        <f>IF(AND(F153&gt;0,ABS(E153)&gt;=1E-14),SUMPRODUCT(Calc!$K$3:$K$22,(Calc!$I$3:$I$22-G153-F153*EXP(A153*Calc!$L$3:$L$22))^2),1E+300)</f>
        <v/>
      </c>
    </row>
    <row r="154">
      <c r="A154" t="n">
        <v>2.9</v>
      </c>
      <c r="B154">
        <f>SUMPRODUCT(Calc!$K$3:$K$22,EXP(A154*Calc!$L$3:$L$22))</f>
        <v/>
      </c>
      <c r="C154">
        <f>SUMPRODUCT(Calc!$K$3:$K$22,EXP(2*A154*Calc!$L$3:$L$22))</f>
        <v/>
      </c>
      <c r="D154">
        <f>SUMPRODUCT(Calc!$K$3:$K$22,EXP(A154*Calc!$L$3:$L$22),Calc!$I$3:$I$22)</f>
        <v/>
      </c>
      <c r="E154">
        <f>k_n*C154-B154^2</f>
        <v/>
      </c>
      <c r="F154">
        <f>IF(ABS(E154)&lt;1E-14,0,(k_n*D154-B154*k_n*k_ymean)/E154)</f>
        <v/>
      </c>
      <c r="G154">
        <f>IF(k_n&gt;0,(k_n*k_ymean-F154*B154)/k_n,0)</f>
        <v/>
      </c>
      <c r="H154">
        <f>IF(AND(F154&gt;0,ABS(E154)&gt;=1E-14),SUMPRODUCT(Calc!$K$3:$K$22,(Calc!$I$3:$I$22-G154-F154*EXP(A154*Calc!$L$3:$L$22))^2),1E+300)</f>
        <v/>
      </c>
    </row>
    <row r="155">
      <c r="A155" t="n">
        <v>2.92</v>
      </c>
      <c r="B155">
        <f>SUMPRODUCT(Calc!$K$3:$K$22,EXP(A155*Calc!$L$3:$L$22))</f>
        <v/>
      </c>
      <c r="C155">
        <f>SUMPRODUCT(Calc!$K$3:$K$22,EXP(2*A155*Calc!$L$3:$L$22))</f>
        <v/>
      </c>
      <c r="D155">
        <f>SUMPRODUCT(Calc!$K$3:$K$22,EXP(A155*Calc!$L$3:$L$22),Calc!$I$3:$I$22)</f>
        <v/>
      </c>
      <c r="E155">
        <f>k_n*C155-B155^2</f>
        <v/>
      </c>
      <c r="F155">
        <f>IF(ABS(E155)&lt;1E-14,0,(k_n*D155-B155*k_n*k_ymean)/E155)</f>
        <v/>
      </c>
      <c r="G155">
        <f>IF(k_n&gt;0,(k_n*k_ymean-F155*B155)/k_n,0)</f>
        <v/>
      </c>
      <c r="H155">
        <f>IF(AND(F155&gt;0,ABS(E155)&gt;=1E-14),SUMPRODUCT(Calc!$K$3:$K$22,(Calc!$I$3:$I$22-G155-F155*EXP(A155*Calc!$L$3:$L$22))^2),1E+300)</f>
        <v/>
      </c>
    </row>
    <row r="156">
      <c r="A156" t="n">
        <v>2.94</v>
      </c>
      <c r="B156">
        <f>SUMPRODUCT(Calc!$K$3:$K$22,EXP(A156*Calc!$L$3:$L$22))</f>
        <v/>
      </c>
      <c r="C156">
        <f>SUMPRODUCT(Calc!$K$3:$K$22,EXP(2*A156*Calc!$L$3:$L$22))</f>
        <v/>
      </c>
      <c r="D156">
        <f>SUMPRODUCT(Calc!$K$3:$K$22,EXP(A156*Calc!$L$3:$L$22),Calc!$I$3:$I$22)</f>
        <v/>
      </c>
      <c r="E156">
        <f>k_n*C156-B156^2</f>
        <v/>
      </c>
      <c r="F156">
        <f>IF(ABS(E156)&lt;1E-14,0,(k_n*D156-B156*k_n*k_ymean)/E156)</f>
        <v/>
      </c>
      <c r="G156">
        <f>IF(k_n&gt;0,(k_n*k_ymean-F156*B156)/k_n,0)</f>
        <v/>
      </c>
      <c r="H156">
        <f>IF(AND(F156&gt;0,ABS(E156)&gt;=1E-14),SUMPRODUCT(Calc!$K$3:$K$22,(Calc!$I$3:$I$22-G156-F156*EXP(A156*Calc!$L$3:$L$22))^2),1E+300)</f>
        <v/>
      </c>
    </row>
    <row r="157">
      <c r="A157" t="n">
        <v>2.96</v>
      </c>
      <c r="B157">
        <f>SUMPRODUCT(Calc!$K$3:$K$22,EXP(A157*Calc!$L$3:$L$22))</f>
        <v/>
      </c>
      <c r="C157">
        <f>SUMPRODUCT(Calc!$K$3:$K$22,EXP(2*A157*Calc!$L$3:$L$22))</f>
        <v/>
      </c>
      <c r="D157">
        <f>SUMPRODUCT(Calc!$K$3:$K$22,EXP(A157*Calc!$L$3:$L$22),Calc!$I$3:$I$22)</f>
        <v/>
      </c>
      <c r="E157">
        <f>k_n*C157-B157^2</f>
        <v/>
      </c>
      <c r="F157">
        <f>IF(ABS(E157)&lt;1E-14,0,(k_n*D157-B157*k_n*k_ymean)/E157)</f>
        <v/>
      </c>
      <c r="G157">
        <f>IF(k_n&gt;0,(k_n*k_ymean-F157*B157)/k_n,0)</f>
        <v/>
      </c>
      <c r="H157">
        <f>IF(AND(F157&gt;0,ABS(E157)&gt;=1E-14),SUMPRODUCT(Calc!$K$3:$K$22,(Calc!$I$3:$I$22-G157-F157*EXP(A157*Calc!$L$3:$L$22))^2),1E+300)</f>
        <v/>
      </c>
    </row>
    <row r="158">
      <c r="A158" t="n">
        <v>2.98</v>
      </c>
      <c r="B158">
        <f>SUMPRODUCT(Calc!$K$3:$K$22,EXP(A158*Calc!$L$3:$L$22))</f>
        <v/>
      </c>
      <c r="C158">
        <f>SUMPRODUCT(Calc!$K$3:$K$22,EXP(2*A158*Calc!$L$3:$L$22))</f>
        <v/>
      </c>
      <c r="D158">
        <f>SUMPRODUCT(Calc!$K$3:$K$22,EXP(A158*Calc!$L$3:$L$22),Calc!$I$3:$I$22)</f>
        <v/>
      </c>
      <c r="E158">
        <f>k_n*C158-B158^2</f>
        <v/>
      </c>
      <c r="F158">
        <f>IF(ABS(E158)&lt;1E-14,0,(k_n*D158-B158*k_n*k_ymean)/E158)</f>
        <v/>
      </c>
      <c r="G158">
        <f>IF(k_n&gt;0,(k_n*k_ymean-F158*B158)/k_n,0)</f>
        <v/>
      </c>
      <c r="H158">
        <f>IF(AND(F158&gt;0,ABS(E158)&gt;=1E-14),SUMPRODUCT(Calc!$K$3:$K$22,(Calc!$I$3:$I$22-G158-F158*EXP(A158*Calc!$L$3:$L$22))^2),1E+300)</f>
        <v/>
      </c>
    </row>
    <row r="159">
      <c r="A159" t="n">
        <v>3</v>
      </c>
      <c r="B159">
        <f>SUMPRODUCT(Calc!$K$3:$K$22,EXP(A159*Calc!$L$3:$L$22))</f>
        <v/>
      </c>
      <c r="C159">
        <f>SUMPRODUCT(Calc!$K$3:$K$22,EXP(2*A159*Calc!$L$3:$L$22))</f>
        <v/>
      </c>
      <c r="D159">
        <f>SUMPRODUCT(Calc!$K$3:$K$22,EXP(A159*Calc!$L$3:$L$22),Calc!$I$3:$I$22)</f>
        <v/>
      </c>
      <c r="E159">
        <f>k_n*C159-B159^2</f>
        <v/>
      </c>
      <c r="F159">
        <f>IF(ABS(E159)&lt;1E-14,0,(k_n*D159-B159*k_n*k_ymean)/E159)</f>
        <v/>
      </c>
      <c r="G159">
        <f>IF(k_n&gt;0,(k_n*k_ymean-F159*B159)/k_n,0)</f>
        <v/>
      </c>
      <c r="H159">
        <f>IF(AND(F159&gt;0,ABS(E159)&gt;=1E-14),SUMPRODUCT(Calc!$K$3:$K$22,(Calc!$I$3:$I$22-G159-F159*EXP(A159*Calc!$L$3:$L$22))^2),1E+300)</f>
        <v/>
      </c>
    </row>
    <row r="160">
      <c r="A160" t="n">
        <v>3.02</v>
      </c>
      <c r="B160">
        <f>SUMPRODUCT(Calc!$K$3:$K$22,EXP(A160*Calc!$L$3:$L$22))</f>
        <v/>
      </c>
      <c r="C160">
        <f>SUMPRODUCT(Calc!$K$3:$K$22,EXP(2*A160*Calc!$L$3:$L$22))</f>
        <v/>
      </c>
      <c r="D160">
        <f>SUMPRODUCT(Calc!$K$3:$K$22,EXP(A160*Calc!$L$3:$L$22),Calc!$I$3:$I$22)</f>
        <v/>
      </c>
      <c r="E160">
        <f>k_n*C160-B160^2</f>
        <v/>
      </c>
      <c r="F160">
        <f>IF(ABS(E160)&lt;1E-14,0,(k_n*D160-B160*k_n*k_ymean)/E160)</f>
        <v/>
      </c>
      <c r="G160">
        <f>IF(k_n&gt;0,(k_n*k_ymean-F160*B160)/k_n,0)</f>
        <v/>
      </c>
      <c r="H160">
        <f>IF(AND(F160&gt;0,ABS(E160)&gt;=1E-14),SUMPRODUCT(Calc!$K$3:$K$22,(Calc!$I$3:$I$22-G160-F160*EXP(A160*Calc!$L$3:$L$22))^2),1E+300)</f>
        <v/>
      </c>
    </row>
    <row r="161">
      <c r="A161" t="n">
        <v>3.04</v>
      </c>
      <c r="B161">
        <f>SUMPRODUCT(Calc!$K$3:$K$22,EXP(A161*Calc!$L$3:$L$22))</f>
        <v/>
      </c>
      <c r="C161">
        <f>SUMPRODUCT(Calc!$K$3:$K$22,EXP(2*A161*Calc!$L$3:$L$22))</f>
        <v/>
      </c>
      <c r="D161">
        <f>SUMPRODUCT(Calc!$K$3:$K$22,EXP(A161*Calc!$L$3:$L$22),Calc!$I$3:$I$22)</f>
        <v/>
      </c>
      <c r="E161">
        <f>k_n*C161-B161^2</f>
        <v/>
      </c>
      <c r="F161">
        <f>IF(ABS(E161)&lt;1E-14,0,(k_n*D161-B161*k_n*k_ymean)/E161)</f>
        <v/>
      </c>
      <c r="G161">
        <f>IF(k_n&gt;0,(k_n*k_ymean-F161*B161)/k_n,0)</f>
        <v/>
      </c>
      <c r="H161">
        <f>IF(AND(F161&gt;0,ABS(E161)&gt;=1E-14),SUMPRODUCT(Calc!$K$3:$K$22,(Calc!$I$3:$I$22-G161-F161*EXP(A161*Calc!$L$3:$L$22))^2),1E+300)</f>
        <v/>
      </c>
    </row>
    <row r="162">
      <c r="A162" t="n">
        <v>3.06</v>
      </c>
      <c r="B162">
        <f>SUMPRODUCT(Calc!$K$3:$K$22,EXP(A162*Calc!$L$3:$L$22))</f>
        <v/>
      </c>
      <c r="C162">
        <f>SUMPRODUCT(Calc!$K$3:$K$22,EXP(2*A162*Calc!$L$3:$L$22))</f>
        <v/>
      </c>
      <c r="D162">
        <f>SUMPRODUCT(Calc!$K$3:$K$22,EXP(A162*Calc!$L$3:$L$22),Calc!$I$3:$I$22)</f>
        <v/>
      </c>
      <c r="E162">
        <f>k_n*C162-B162^2</f>
        <v/>
      </c>
      <c r="F162">
        <f>IF(ABS(E162)&lt;1E-14,0,(k_n*D162-B162*k_n*k_ymean)/E162)</f>
        <v/>
      </c>
      <c r="G162">
        <f>IF(k_n&gt;0,(k_n*k_ymean-F162*B162)/k_n,0)</f>
        <v/>
      </c>
      <c r="H162">
        <f>IF(AND(F162&gt;0,ABS(E162)&gt;=1E-14),SUMPRODUCT(Calc!$K$3:$K$22,(Calc!$I$3:$I$22-G162-F162*EXP(A162*Calc!$L$3:$L$22))^2),1E+300)</f>
        <v/>
      </c>
    </row>
    <row r="163">
      <c r="A163" t="n">
        <v>3.08</v>
      </c>
      <c r="B163">
        <f>SUMPRODUCT(Calc!$K$3:$K$22,EXP(A163*Calc!$L$3:$L$22))</f>
        <v/>
      </c>
      <c r="C163">
        <f>SUMPRODUCT(Calc!$K$3:$K$22,EXP(2*A163*Calc!$L$3:$L$22))</f>
        <v/>
      </c>
      <c r="D163">
        <f>SUMPRODUCT(Calc!$K$3:$K$22,EXP(A163*Calc!$L$3:$L$22),Calc!$I$3:$I$22)</f>
        <v/>
      </c>
      <c r="E163">
        <f>k_n*C163-B163^2</f>
        <v/>
      </c>
      <c r="F163">
        <f>IF(ABS(E163)&lt;1E-14,0,(k_n*D163-B163*k_n*k_ymean)/E163)</f>
        <v/>
      </c>
      <c r="G163">
        <f>IF(k_n&gt;0,(k_n*k_ymean-F163*B163)/k_n,0)</f>
        <v/>
      </c>
      <c r="H163">
        <f>IF(AND(F163&gt;0,ABS(E163)&gt;=1E-14),SUMPRODUCT(Calc!$K$3:$K$22,(Calc!$I$3:$I$22-G163-F163*EXP(A163*Calc!$L$3:$L$22))^2),1E+300)</f>
        <v/>
      </c>
    </row>
    <row r="164">
      <c r="A164" t="n">
        <v>3.1</v>
      </c>
      <c r="B164">
        <f>SUMPRODUCT(Calc!$K$3:$K$22,EXP(A164*Calc!$L$3:$L$22))</f>
        <v/>
      </c>
      <c r="C164">
        <f>SUMPRODUCT(Calc!$K$3:$K$22,EXP(2*A164*Calc!$L$3:$L$22))</f>
        <v/>
      </c>
      <c r="D164">
        <f>SUMPRODUCT(Calc!$K$3:$K$22,EXP(A164*Calc!$L$3:$L$22),Calc!$I$3:$I$22)</f>
        <v/>
      </c>
      <c r="E164">
        <f>k_n*C164-B164^2</f>
        <v/>
      </c>
      <c r="F164">
        <f>IF(ABS(E164)&lt;1E-14,0,(k_n*D164-B164*k_n*k_ymean)/E164)</f>
        <v/>
      </c>
      <c r="G164">
        <f>IF(k_n&gt;0,(k_n*k_ymean-F164*B164)/k_n,0)</f>
        <v/>
      </c>
      <c r="H164">
        <f>IF(AND(F164&gt;0,ABS(E164)&gt;=1E-14),SUMPRODUCT(Calc!$K$3:$K$22,(Calc!$I$3:$I$22-G164-F164*EXP(A164*Calc!$L$3:$L$22))^2),1E+300)</f>
        <v/>
      </c>
    </row>
    <row r="165">
      <c r="A165" t="n">
        <v>3.12</v>
      </c>
      <c r="B165">
        <f>SUMPRODUCT(Calc!$K$3:$K$22,EXP(A165*Calc!$L$3:$L$22))</f>
        <v/>
      </c>
      <c r="C165">
        <f>SUMPRODUCT(Calc!$K$3:$K$22,EXP(2*A165*Calc!$L$3:$L$22))</f>
        <v/>
      </c>
      <c r="D165">
        <f>SUMPRODUCT(Calc!$K$3:$K$22,EXP(A165*Calc!$L$3:$L$22),Calc!$I$3:$I$22)</f>
        <v/>
      </c>
      <c r="E165">
        <f>k_n*C165-B165^2</f>
        <v/>
      </c>
      <c r="F165">
        <f>IF(ABS(E165)&lt;1E-14,0,(k_n*D165-B165*k_n*k_ymean)/E165)</f>
        <v/>
      </c>
      <c r="G165">
        <f>IF(k_n&gt;0,(k_n*k_ymean-F165*B165)/k_n,0)</f>
        <v/>
      </c>
      <c r="H165">
        <f>IF(AND(F165&gt;0,ABS(E165)&gt;=1E-14),SUMPRODUCT(Calc!$K$3:$K$22,(Calc!$I$3:$I$22-G165-F165*EXP(A165*Calc!$L$3:$L$22))^2),1E+300)</f>
        <v/>
      </c>
    </row>
    <row r="166">
      <c r="A166" t="n">
        <v>3.14</v>
      </c>
      <c r="B166">
        <f>SUMPRODUCT(Calc!$K$3:$K$22,EXP(A166*Calc!$L$3:$L$22))</f>
        <v/>
      </c>
      <c r="C166">
        <f>SUMPRODUCT(Calc!$K$3:$K$22,EXP(2*A166*Calc!$L$3:$L$22))</f>
        <v/>
      </c>
      <c r="D166">
        <f>SUMPRODUCT(Calc!$K$3:$K$22,EXP(A166*Calc!$L$3:$L$22),Calc!$I$3:$I$22)</f>
        <v/>
      </c>
      <c r="E166">
        <f>k_n*C166-B166^2</f>
        <v/>
      </c>
      <c r="F166">
        <f>IF(ABS(E166)&lt;1E-14,0,(k_n*D166-B166*k_n*k_ymean)/E166)</f>
        <v/>
      </c>
      <c r="G166">
        <f>IF(k_n&gt;0,(k_n*k_ymean-F166*B166)/k_n,0)</f>
        <v/>
      </c>
      <c r="H166">
        <f>IF(AND(F166&gt;0,ABS(E166)&gt;=1E-14),SUMPRODUCT(Calc!$K$3:$K$22,(Calc!$I$3:$I$22-G166-F166*EXP(A166*Calc!$L$3:$L$22))^2),1E+300)</f>
        <v/>
      </c>
    </row>
    <row r="167">
      <c r="A167" t="n">
        <v>3.16</v>
      </c>
      <c r="B167">
        <f>SUMPRODUCT(Calc!$K$3:$K$22,EXP(A167*Calc!$L$3:$L$22))</f>
        <v/>
      </c>
      <c r="C167">
        <f>SUMPRODUCT(Calc!$K$3:$K$22,EXP(2*A167*Calc!$L$3:$L$22))</f>
        <v/>
      </c>
      <c r="D167">
        <f>SUMPRODUCT(Calc!$K$3:$K$22,EXP(A167*Calc!$L$3:$L$22),Calc!$I$3:$I$22)</f>
        <v/>
      </c>
      <c r="E167">
        <f>k_n*C167-B167^2</f>
        <v/>
      </c>
      <c r="F167">
        <f>IF(ABS(E167)&lt;1E-14,0,(k_n*D167-B167*k_n*k_ymean)/E167)</f>
        <v/>
      </c>
      <c r="G167">
        <f>IF(k_n&gt;0,(k_n*k_ymean-F167*B167)/k_n,0)</f>
        <v/>
      </c>
      <c r="H167">
        <f>IF(AND(F167&gt;0,ABS(E167)&gt;=1E-14),SUMPRODUCT(Calc!$K$3:$K$22,(Calc!$I$3:$I$22-G167-F167*EXP(A167*Calc!$L$3:$L$22))^2),1E+300)</f>
        <v/>
      </c>
    </row>
    <row r="168">
      <c r="A168" t="n">
        <v>3.18</v>
      </c>
      <c r="B168">
        <f>SUMPRODUCT(Calc!$K$3:$K$22,EXP(A168*Calc!$L$3:$L$22))</f>
        <v/>
      </c>
      <c r="C168">
        <f>SUMPRODUCT(Calc!$K$3:$K$22,EXP(2*A168*Calc!$L$3:$L$22))</f>
        <v/>
      </c>
      <c r="D168">
        <f>SUMPRODUCT(Calc!$K$3:$K$22,EXP(A168*Calc!$L$3:$L$22),Calc!$I$3:$I$22)</f>
        <v/>
      </c>
      <c r="E168">
        <f>k_n*C168-B168^2</f>
        <v/>
      </c>
      <c r="F168">
        <f>IF(ABS(E168)&lt;1E-14,0,(k_n*D168-B168*k_n*k_ymean)/E168)</f>
        <v/>
      </c>
      <c r="G168">
        <f>IF(k_n&gt;0,(k_n*k_ymean-F168*B168)/k_n,0)</f>
        <v/>
      </c>
      <c r="H168">
        <f>IF(AND(F168&gt;0,ABS(E168)&gt;=1E-14),SUMPRODUCT(Calc!$K$3:$K$22,(Calc!$I$3:$I$22-G168-F168*EXP(A168*Calc!$L$3:$L$22))^2),1E+300)</f>
        <v/>
      </c>
    </row>
    <row r="169">
      <c r="A169" t="n">
        <v>3.2</v>
      </c>
      <c r="B169">
        <f>SUMPRODUCT(Calc!$K$3:$K$22,EXP(A169*Calc!$L$3:$L$22))</f>
        <v/>
      </c>
      <c r="C169">
        <f>SUMPRODUCT(Calc!$K$3:$K$22,EXP(2*A169*Calc!$L$3:$L$22))</f>
        <v/>
      </c>
      <c r="D169">
        <f>SUMPRODUCT(Calc!$K$3:$K$22,EXP(A169*Calc!$L$3:$L$22),Calc!$I$3:$I$22)</f>
        <v/>
      </c>
      <c r="E169">
        <f>k_n*C169-B169^2</f>
        <v/>
      </c>
      <c r="F169">
        <f>IF(ABS(E169)&lt;1E-14,0,(k_n*D169-B169*k_n*k_ymean)/E169)</f>
        <v/>
      </c>
      <c r="G169">
        <f>IF(k_n&gt;0,(k_n*k_ymean-F169*B169)/k_n,0)</f>
        <v/>
      </c>
      <c r="H169">
        <f>IF(AND(F169&gt;0,ABS(E169)&gt;=1E-14),SUMPRODUCT(Calc!$K$3:$K$22,(Calc!$I$3:$I$22-G169-F169*EXP(A169*Calc!$L$3:$L$22))^2),1E+300)</f>
        <v/>
      </c>
    </row>
    <row r="170">
      <c r="A170" t="n">
        <v>3.22</v>
      </c>
      <c r="B170">
        <f>SUMPRODUCT(Calc!$K$3:$K$22,EXP(A170*Calc!$L$3:$L$22))</f>
        <v/>
      </c>
      <c r="C170">
        <f>SUMPRODUCT(Calc!$K$3:$K$22,EXP(2*A170*Calc!$L$3:$L$22))</f>
        <v/>
      </c>
      <c r="D170">
        <f>SUMPRODUCT(Calc!$K$3:$K$22,EXP(A170*Calc!$L$3:$L$22),Calc!$I$3:$I$22)</f>
        <v/>
      </c>
      <c r="E170">
        <f>k_n*C170-B170^2</f>
        <v/>
      </c>
      <c r="F170">
        <f>IF(ABS(E170)&lt;1E-14,0,(k_n*D170-B170*k_n*k_ymean)/E170)</f>
        <v/>
      </c>
      <c r="G170">
        <f>IF(k_n&gt;0,(k_n*k_ymean-F170*B170)/k_n,0)</f>
        <v/>
      </c>
      <c r="H170">
        <f>IF(AND(F170&gt;0,ABS(E170)&gt;=1E-14),SUMPRODUCT(Calc!$K$3:$K$22,(Calc!$I$3:$I$22-G170-F170*EXP(A170*Calc!$L$3:$L$22))^2),1E+300)</f>
        <v/>
      </c>
    </row>
    <row r="171">
      <c r="A171" t="n">
        <v>3.24</v>
      </c>
      <c r="B171">
        <f>SUMPRODUCT(Calc!$K$3:$K$22,EXP(A171*Calc!$L$3:$L$22))</f>
        <v/>
      </c>
      <c r="C171">
        <f>SUMPRODUCT(Calc!$K$3:$K$22,EXP(2*A171*Calc!$L$3:$L$22))</f>
        <v/>
      </c>
      <c r="D171">
        <f>SUMPRODUCT(Calc!$K$3:$K$22,EXP(A171*Calc!$L$3:$L$22),Calc!$I$3:$I$22)</f>
        <v/>
      </c>
      <c r="E171">
        <f>k_n*C171-B171^2</f>
        <v/>
      </c>
      <c r="F171">
        <f>IF(ABS(E171)&lt;1E-14,0,(k_n*D171-B171*k_n*k_ymean)/E171)</f>
        <v/>
      </c>
      <c r="G171">
        <f>IF(k_n&gt;0,(k_n*k_ymean-F171*B171)/k_n,0)</f>
        <v/>
      </c>
      <c r="H171">
        <f>IF(AND(F171&gt;0,ABS(E171)&gt;=1E-14),SUMPRODUCT(Calc!$K$3:$K$22,(Calc!$I$3:$I$22-G171-F171*EXP(A171*Calc!$L$3:$L$22))^2),1E+300)</f>
        <v/>
      </c>
    </row>
    <row r="172">
      <c r="A172" t="n">
        <v>3.26</v>
      </c>
      <c r="B172">
        <f>SUMPRODUCT(Calc!$K$3:$K$22,EXP(A172*Calc!$L$3:$L$22))</f>
        <v/>
      </c>
      <c r="C172">
        <f>SUMPRODUCT(Calc!$K$3:$K$22,EXP(2*A172*Calc!$L$3:$L$22))</f>
        <v/>
      </c>
      <c r="D172">
        <f>SUMPRODUCT(Calc!$K$3:$K$22,EXP(A172*Calc!$L$3:$L$22),Calc!$I$3:$I$22)</f>
        <v/>
      </c>
      <c r="E172">
        <f>k_n*C172-B172^2</f>
        <v/>
      </c>
      <c r="F172">
        <f>IF(ABS(E172)&lt;1E-14,0,(k_n*D172-B172*k_n*k_ymean)/E172)</f>
        <v/>
      </c>
      <c r="G172">
        <f>IF(k_n&gt;0,(k_n*k_ymean-F172*B172)/k_n,0)</f>
        <v/>
      </c>
      <c r="H172">
        <f>IF(AND(F172&gt;0,ABS(E172)&gt;=1E-14),SUMPRODUCT(Calc!$K$3:$K$22,(Calc!$I$3:$I$22-G172-F172*EXP(A172*Calc!$L$3:$L$22))^2),1E+300)</f>
        <v/>
      </c>
    </row>
    <row r="173">
      <c r="A173" t="n">
        <v>3.28</v>
      </c>
      <c r="B173">
        <f>SUMPRODUCT(Calc!$K$3:$K$22,EXP(A173*Calc!$L$3:$L$22))</f>
        <v/>
      </c>
      <c r="C173">
        <f>SUMPRODUCT(Calc!$K$3:$K$22,EXP(2*A173*Calc!$L$3:$L$22))</f>
        <v/>
      </c>
      <c r="D173">
        <f>SUMPRODUCT(Calc!$K$3:$K$22,EXP(A173*Calc!$L$3:$L$22),Calc!$I$3:$I$22)</f>
        <v/>
      </c>
      <c r="E173">
        <f>k_n*C173-B173^2</f>
        <v/>
      </c>
      <c r="F173">
        <f>IF(ABS(E173)&lt;1E-14,0,(k_n*D173-B173*k_n*k_ymean)/E173)</f>
        <v/>
      </c>
      <c r="G173">
        <f>IF(k_n&gt;0,(k_n*k_ymean-F173*B173)/k_n,0)</f>
        <v/>
      </c>
      <c r="H173">
        <f>IF(AND(F173&gt;0,ABS(E173)&gt;=1E-14),SUMPRODUCT(Calc!$K$3:$K$22,(Calc!$I$3:$I$22-G173-F173*EXP(A173*Calc!$L$3:$L$22))^2),1E+300)</f>
        <v/>
      </c>
    </row>
    <row r="174">
      <c r="A174" t="n">
        <v>3.3</v>
      </c>
      <c r="B174">
        <f>SUMPRODUCT(Calc!$K$3:$K$22,EXP(A174*Calc!$L$3:$L$22))</f>
        <v/>
      </c>
      <c r="C174">
        <f>SUMPRODUCT(Calc!$K$3:$K$22,EXP(2*A174*Calc!$L$3:$L$22))</f>
        <v/>
      </c>
      <c r="D174">
        <f>SUMPRODUCT(Calc!$K$3:$K$22,EXP(A174*Calc!$L$3:$L$22),Calc!$I$3:$I$22)</f>
        <v/>
      </c>
      <c r="E174">
        <f>k_n*C174-B174^2</f>
        <v/>
      </c>
      <c r="F174">
        <f>IF(ABS(E174)&lt;1E-14,0,(k_n*D174-B174*k_n*k_ymean)/E174)</f>
        <v/>
      </c>
      <c r="G174">
        <f>IF(k_n&gt;0,(k_n*k_ymean-F174*B174)/k_n,0)</f>
        <v/>
      </c>
      <c r="H174">
        <f>IF(AND(F174&gt;0,ABS(E174)&gt;=1E-14),SUMPRODUCT(Calc!$K$3:$K$22,(Calc!$I$3:$I$22-G174-F174*EXP(A174*Calc!$L$3:$L$22))^2),1E+300)</f>
        <v/>
      </c>
    </row>
    <row r="175">
      <c r="A175" t="n">
        <v>3.32</v>
      </c>
      <c r="B175">
        <f>SUMPRODUCT(Calc!$K$3:$K$22,EXP(A175*Calc!$L$3:$L$22))</f>
        <v/>
      </c>
      <c r="C175">
        <f>SUMPRODUCT(Calc!$K$3:$K$22,EXP(2*A175*Calc!$L$3:$L$22))</f>
        <v/>
      </c>
      <c r="D175">
        <f>SUMPRODUCT(Calc!$K$3:$K$22,EXP(A175*Calc!$L$3:$L$22),Calc!$I$3:$I$22)</f>
        <v/>
      </c>
      <c r="E175">
        <f>k_n*C175-B175^2</f>
        <v/>
      </c>
      <c r="F175">
        <f>IF(ABS(E175)&lt;1E-14,0,(k_n*D175-B175*k_n*k_ymean)/E175)</f>
        <v/>
      </c>
      <c r="G175">
        <f>IF(k_n&gt;0,(k_n*k_ymean-F175*B175)/k_n,0)</f>
        <v/>
      </c>
      <c r="H175">
        <f>IF(AND(F175&gt;0,ABS(E175)&gt;=1E-14),SUMPRODUCT(Calc!$K$3:$K$22,(Calc!$I$3:$I$22-G175-F175*EXP(A175*Calc!$L$3:$L$22))^2),1E+300)</f>
        <v/>
      </c>
    </row>
    <row r="176">
      <c r="A176" t="n">
        <v>3.34</v>
      </c>
      <c r="B176">
        <f>SUMPRODUCT(Calc!$K$3:$K$22,EXP(A176*Calc!$L$3:$L$22))</f>
        <v/>
      </c>
      <c r="C176">
        <f>SUMPRODUCT(Calc!$K$3:$K$22,EXP(2*A176*Calc!$L$3:$L$22))</f>
        <v/>
      </c>
      <c r="D176">
        <f>SUMPRODUCT(Calc!$K$3:$K$22,EXP(A176*Calc!$L$3:$L$22),Calc!$I$3:$I$22)</f>
        <v/>
      </c>
      <c r="E176">
        <f>k_n*C176-B176^2</f>
        <v/>
      </c>
      <c r="F176">
        <f>IF(ABS(E176)&lt;1E-14,0,(k_n*D176-B176*k_n*k_ymean)/E176)</f>
        <v/>
      </c>
      <c r="G176">
        <f>IF(k_n&gt;0,(k_n*k_ymean-F176*B176)/k_n,0)</f>
        <v/>
      </c>
      <c r="H176">
        <f>IF(AND(F176&gt;0,ABS(E176)&gt;=1E-14),SUMPRODUCT(Calc!$K$3:$K$22,(Calc!$I$3:$I$22-G176-F176*EXP(A176*Calc!$L$3:$L$22))^2),1E+300)</f>
        <v/>
      </c>
    </row>
    <row r="177">
      <c r="A177" t="n">
        <v>3.36</v>
      </c>
      <c r="B177">
        <f>SUMPRODUCT(Calc!$K$3:$K$22,EXP(A177*Calc!$L$3:$L$22))</f>
        <v/>
      </c>
      <c r="C177">
        <f>SUMPRODUCT(Calc!$K$3:$K$22,EXP(2*A177*Calc!$L$3:$L$22))</f>
        <v/>
      </c>
      <c r="D177">
        <f>SUMPRODUCT(Calc!$K$3:$K$22,EXP(A177*Calc!$L$3:$L$22),Calc!$I$3:$I$22)</f>
        <v/>
      </c>
      <c r="E177">
        <f>k_n*C177-B177^2</f>
        <v/>
      </c>
      <c r="F177">
        <f>IF(ABS(E177)&lt;1E-14,0,(k_n*D177-B177*k_n*k_ymean)/E177)</f>
        <v/>
      </c>
      <c r="G177">
        <f>IF(k_n&gt;0,(k_n*k_ymean-F177*B177)/k_n,0)</f>
        <v/>
      </c>
      <c r="H177">
        <f>IF(AND(F177&gt;0,ABS(E177)&gt;=1E-14),SUMPRODUCT(Calc!$K$3:$K$22,(Calc!$I$3:$I$22-G177-F177*EXP(A177*Calc!$L$3:$L$22))^2),1E+300)</f>
        <v/>
      </c>
    </row>
    <row r="178">
      <c r="A178" t="n">
        <v>3.38</v>
      </c>
      <c r="B178">
        <f>SUMPRODUCT(Calc!$K$3:$K$22,EXP(A178*Calc!$L$3:$L$22))</f>
        <v/>
      </c>
      <c r="C178">
        <f>SUMPRODUCT(Calc!$K$3:$K$22,EXP(2*A178*Calc!$L$3:$L$22))</f>
        <v/>
      </c>
      <c r="D178">
        <f>SUMPRODUCT(Calc!$K$3:$K$22,EXP(A178*Calc!$L$3:$L$22),Calc!$I$3:$I$22)</f>
        <v/>
      </c>
      <c r="E178">
        <f>k_n*C178-B178^2</f>
        <v/>
      </c>
      <c r="F178">
        <f>IF(ABS(E178)&lt;1E-14,0,(k_n*D178-B178*k_n*k_ymean)/E178)</f>
        <v/>
      </c>
      <c r="G178">
        <f>IF(k_n&gt;0,(k_n*k_ymean-F178*B178)/k_n,0)</f>
        <v/>
      </c>
      <c r="H178">
        <f>IF(AND(F178&gt;0,ABS(E178)&gt;=1E-14),SUMPRODUCT(Calc!$K$3:$K$22,(Calc!$I$3:$I$22-G178-F178*EXP(A178*Calc!$L$3:$L$22))^2),1E+300)</f>
        <v/>
      </c>
    </row>
    <row r="179">
      <c r="A179" t="n">
        <v>3.4</v>
      </c>
      <c r="B179">
        <f>SUMPRODUCT(Calc!$K$3:$K$22,EXP(A179*Calc!$L$3:$L$22))</f>
        <v/>
      </c>
      <c r="C179">
        <f>SUMPRODUCT(Calc!$K$3:$K$22,EXP(2*A179*Calc!$L$3:$L$22))</f>
        <v/>
      </c>
      <c r="D179">
        <f>SUMPRODUCT(Calc!$K$3:$K$22,EXP(A179*Calc!$L$3:$L$22),Calc!$I$3:$I$22)</f>
        <v/>
      </c>
      <c r="E179">
        <f>k_n*C179-B179^2</f>
        <v/>
      </c>
      <c r="F179">
        <f>IF(ABS(E179)&lt;1E-14,0,(k_n*D179-B179*k_n*k_ymean)/E179)</f>
        <v/>
      </c>
      <c r="G179">
        <f>IF(k_n&gt;0,(k_n*k_ymean-F179*B179)/k_n,0)</f>
        <v/>
      </c>
      <c r="H179">
        <f>IF(AND(F179&gt;0,ABS(E179)&gt;=1E-14),SUMPRODUCT(Calc!$K$3:$K$22,(Calc!$I$3:$I$22-G179-F179*EXP(A179*Calc!$L$3:$L$22))^2),1E+300)</f>
        <v/>
      </c>
    </row>
    <row r="180">
      <c r="A180" t="n">
        <v>3.42</v>
      </c>
      <c r="B180">
        <f>SUMPRODUCT(Calc!$K$3:$K$22,EXP(A180*Calc!$L$3:$L$22))</f>
        <v/>
      </c>
      <c r="C180">
        <f>SUMPRODUCT(Calc!$K$3:$K$22,EXP(2*A180*Calc!$L$3:$L$22))</f>
        <v/>
      </c>
      <c r="D180">
        <f>SUMPRODUCT(Calc!$K$3:$K$22,EXP(A180*Calc!$L$3:$L$22),Calc!$I$3:$I$22)</f>
        <v/>
      </c>
      <c r="E180">
        <f>k_n*C180-B180^2</f>
        <v/>
      </c>
      <c r="F180">
        <f>IF(ABS(E180)&lt;1E-14,0,(k_n*D180-B180*k_n*k_ymean)/E180)</f>
        <v/>
      </c>
      <c r="G180">
        <f>IF(k_n&gt;0,(k_n*k_ymean-F180*B180)/k_n,0)</f>
        <v/>
      </c>
      <c r="H180">
        <f>IF(AND(F180&gt;0,ABS(E180)&gt;=1E-14),SUMPRODUCT(Calc!$K$3:$K$22,(Calc!$I$3:$I$22-G180-F180*EXP(A180*Calc!$L$3:$L$22))^2),1E+300)</f>
        <v/>
      </c>
    </row>
    <row r="181">
      <c r="A181" t="n">
        <v>3.44</v>
      </c>
      <c r="B181">
        <f>SUMPRODUCT(Calc!$K$3:$K$22,EXP(A181*Calc!$L$3:$L$22))</f>
        <v/>
      </c>
      <c r="C181">
        <f>SUMPRODUCT(Calc!$K$3:$K$22,EXP(2*A181*Calc!$L$3:$L$22))</f>
        <v/>
      </c>
      <c r="D181">
        <f>SUMPRODUCT(Calc!$K$3:$K$22,EXP(A181*Calc!$L$3:$L$22),Calc!$I$3:$I$22)</f>
        <v/>
      </c>
      <c r="E181">
        <f>k_n*C181-B181^2</f>
        <v/>
      </c>
      <c r="F181">
        <f>IF(ABS(E181)&lt;1E-14,0,(k_n*D181-B181*k_n*k_ymean)/E181)</f>
        <v/>
      </c>
      <c r="G181">
        <f>IF(k_n&gt;0,(k_n*k_ymean-F181*B181)/k_n,0)</f>
        <v/>
      </c>
      <c r="H181">
        <f>IF(AND(F181&gt;0,ABS(E181)&gt;=1E-14),SUMPRODUCT(Calc!$K$3:$K$22,(Calc!$I$3:$I$22-G181-F181*EXP(A181*Calc!$L$3:$L$22))^2),1E+300)</f>
        <v/>
      </c>
    </row>
    <row r="182">
      <c r="A182" t="n">
        <v>3.46</v>
      </c>
      <c r="B182">
        <f>SUMPRODUCT(Calc!$K$3:$K$22,EXP(A182*Calc!$L$3:$L$22))</f>
        <v/>
      </c>
      <c r="C182">
        <f>SUMPRODUCT(Calc!$K$3:$K$22,EXP(2*A182*Calc!$L$3:$L$22))</f>
        <v/>
      </c>
      <c r="D182">
        <f>SUMPRODUCT(Calc!$K$3:$K$22,EXP(A182*Calc!$L$3:$L$22),Calc!$I$3:$I$22)</f>
        <v/>
      </c>
      <c r="E182">
        <f>k_n*C182-B182^2</f>
        <v/>
      </c>
      <c r="F182">
        <f>IF(ABS(E182)&lt;1E-14,0,(k_n*D182-B182*k_n*k_ymean)/E182)</f>
        <v/>
      </c>
      <c r="G182">
        <f>IF(k_n&gt;0,(k_n*k_ymean-F182*B182)/k_n,0)</f>
        <v/>
      </c>
      <c r="H182">
        <f>IF(AND(F182&gt;0,ABS(E182)&gt;=1E-14),SUMPRODUCT(Calc!$K$3:$K$22,(Calc!$I$3:$I$22-G182-F182*EXP(A182*Calc!$L$3:$L$22))^2),1E+300)</f>
        <v/>
      </c>
    </row>
    <row r="183">
      <c r="A183" t="n">
        <v>3.48</v>
      </c>
      <c r="B183">
        <f>SUMPRODUCT(Calc!$K$3:$K$22,EXP(A183*Calc!$L$3:$L$22))</f>
        <v/>
      </c>
      <c r="C183">
        <f>SUMPRODUCT(Calc!$K$3:$K$22,EXP(2*A183*Calc!$L$3:$L$22))</f>
        <v/>
      </c>
      <c r="D183">
        <f>SUMPRODUCT(Calc!$K$3:$K$22,EXP(A183*Calc!$L$3:$L$22),Calc!$I$3:$I$22)</f>
        <v/>
      </c>
      <c r="E183">
        <f>k_n*C183-B183^2</f>
        <v/>
      </c>
      <c r="F183">
        <f>IF(ABS(E183)&lt;1E-14,0,(k_n*D183-B183*k_n*k_ymean)/E183)</f>
        <v/>
      </c>
      <c r="G183">
        <f>IF(k_n&gt;0,(k_n*k_ymean-F183*B183)/k_n,0)</f>
        <v/>
      </c>
      <c r="H183">
        <f>IF(AND(F183&gt;0,ABS(E183)&gt;=1E-14),SUMPRODUCT(Calc!$K$3:$K$22,(Calc!$I$3:$I$22-G183-F183*EXP(A183*Calc!$L$3:$L$22))^2),1E+300)</f>
        <v/>
      </c>
    </row>
    <row r="184">
      <c r="A184" t="n">
        <v>3.5</v>
      </c>
      <c r="B184">
        <f>SUMPRODUCT(Calc!$K$3:$K$22,EXP(A184*Calc!$L$3:$L$22))</f>
        <v/>
      </c>
      <c r="C184">
        <f>SUMPRODUCT(Calc!$K$3:$K$22,EXP(2*A184*Calc!$L$3:$L$22))</f>
        <v/>
      </c>
      <c r="D184">
        <f>SUMPRODUCT(Calc!$K$3:$K$22,EXP(A184*Calc!$L$3:$L$22),Calc!$I$3:$I$22)</f>
        <v/>
      </c>
      <c r="E184">
        <f>k_n*C184-B184^2</f>
        <v/>
      </c>
      <c r="F184">
        <f>IF(ABS(E184)&lt;1E-14,0,(k_n*D184-B184*k_n*k_ymean)/E184)</f>
        <v/>
      </c>
      <c r="G184">
        <f>IF(k_n&gt;0,(k_n*k_ymean-F184*B184)/k_n,0)</f>
        <v/>
      </c>
      <c r="H184">
        <f>IF(AND(F184&gt;0,ABS(E184)&gt;=1E-14),SUMPRODUCT(Calc!$K$3:$K$22,(Calc!$I$3:$I$22-G184-F184*EXP(A184*Calc!$L$3:$L$22))^2),1E+300)</f>
        <v/>
      </c>
    </row>
    <row r="185">
      <c r="A185" t="n">
        <v>3.52</v>
      </c>
      <c r="B185">
        <f>SUMPRODUCT(Calc!$K$3:$K$22,EXP(A185*Calc!$L$3:$L$22))</f>
        <v/>
      </c>
      <c r="C185">
        <f>SUMPRODUCT(Calc!$K$3:$K$22,EXP(2*A185*Calc!$L$3:$L$22))</f>
        <v/>
      </c>
      <c r="D185">
        <f>SUMPRODUCT(Calc!$K$3:$K$22,EXP(A185*Calc!$L$3:$L$22),Calc!$I$3:$I$22)</f>
        <v/>
      </c>
      <c r="E185">
        <f>k_n*C185-B185^2</f>
        <v/>
      </c>
      <c r="F185">
        <f>IF(ABS(E185)&lt;1E-14,0,(k_n*D185-B185*k_n*k_ymean)/E185)</f>
        <v/>
      </c>
      <c r="G185">
        <f>IF(k_n&gt;0,(k_n*k_ymean-F185*B185)/k_n,0)</f>
        <v/>
      </c>
      <c r="H185">
        <f>IF(AND(F185&gt;0,ABS(E185)&gt;=1E-14),SUMPRODUCT(Calc!$K$3:$K$22,(Calc!$I$3:$I$22-G185-F185*EXP(A185*Calc!$L$3:$L$22))^2),1E+300)</f>
        <v/>
      </c>
    </row>
    <row r="186">
      <c r="A186" t="n">
        <v>3.54</v>
      </c>
      <c r="B186">
        <f>SUMPRODUCT(Calc!$K$3:$K$22,EXP(A186*Calc!$L$3:$L$22))</f>
        <v/>
      </c>
      <c r="C186">
        <f>SUMPRODUCT(Calc!$K$3:$K$22,EXP(2*A186*Calc!$L$3:$L$22))</f>
        <v/>
      </c>
      <c r="D186">
        <f>SUMPRODUCT(Calc!$K$3:$K$22,EXP(A186*Calc!$L$3:$L$22),Calc!$I$3:$I$22)</f>
        <v/>
      </c>
      <c r="E186">
        <f>k_n*C186-B186^2</f>
        <v/>
      </c>
      <c r="F186">
        <f>IF(ABS(E186)&lt;1E-14,0,(k_n*D186-B186*k_n*k_ymean)/E186)</f>
        <v/>
      </c>
      <c r="G186">
        <f>IF(k_n&gt;0,(k_n*k_ymean-F186*B186)/k_n,0)</f>
        <v/>
      </c>
      <c r="H186">
        <f>IF(AND(F186&gt;0,ABS(E186)&gt;=1E-14),SUMPRODUCT(Calc!$K$3:$K$22,(Calc!$I$3:$I$22-G186-F186*EXP(A186*Calc!$L$3:$L$22))^2),1E+300)</f>
        <v/>
      </c>
    </row>
    <row r="187">
      <c r="A187" t="n">
        <v>3.56</v>
      </c>
      <c r="B187">
        <f>SUMPRODUCT(Calc!$K$3:$K$22,EXP(A187*Calc!$L$3:$L$22))</f>
        <v/>
      </c>
      <c r="C187">
        <f>SUMPRODUCT(Calc!$K$3:$K$22,EXP(2*A187*Calc!$L$3:$L$22))</f>
        <v/>
      </c>
      <c r="D187">
        <f>SUMPRODUCT(Calc!$K$3:$K$22,EXP(A187*Calc!$L$3:$L$22),Calc!$I$3:$I$22)</f>
        <v/>
      </c>
      <c r="E187">
        <f>k_n*C187-B187^2</f>
        <v/>
      </c>
      <c r="F187">
        <f>IF(ABS(E187)&lt;1E-14,0,(k_n*D187-B187*k_n*k_ymean)/E187)</f>
        <v/>
      </c>
      <c r="G187">
        <f>IF(k_n&gt;0,(k_n*k_ymean-F187*B187)/k_n,0)</f>
        <v/>
      </c>
      <c r="H187">
        <f>IF(AND(F187&gt;0,ABS(E187)&gt;=1E-14),SUMPRODUCT(Calc!$K$3:$K$22,(Calc!$I$3:$I$22-G187-F187*EXP(A187*Calc!$L$3:$L$22))^2),1E+300)</f>
        <v/>
      </c>
    </row>
    <row r="188">
      <c r="A188" t="n">
        <v>3.58</v>
      </c>
      <c r="B188">
        <f>SUMPRODUCT(Calc!$K$3:$K$22,EXP(A188*Calc!$L$3:$L$22))</f>
        <v/>
      </c>
      <c r="C188">
        <f>SUMPRODUCT(Calc!$K$3:$K$22,EXP(2*A188*Calc!$L$3:$L$22))</f>
        <v/>
      </c>
      <c r="D188">
        <f>SUMPRODUCT(Calc!$K$3:$K$22,EXP(A188*Calc!$L$3:$L$22),Calc!$I$3:$I$22)</f>
        <v/>
      </c>
      <c r="E188">
        <f>k_n*C188-B188^2</f>
        <v/>
      </c>
      <c r="F188">
        <f>IF(ABS(E188)&lt;1E-14,0,(k_n*D188-B188*k_n*k_ymean)/E188)</f>
        <v/>
      </c>
      <c r="G188">
        <f>IF(k_n&gt;0,(k_n*k_ymean-F188*B188)/k_n,0)</f>
        <v/>
      </c>
      <c r="H188">
        <f>IF(AND(F188&gt;0,ABS(E188)&gt;=1E-14),SUMPRODUCT(Calc!$K$3:$K$22,(Calc!$I$3:$I$22-G188-F188*EXP(A188*Calc!$L$3:$L$22))^2),1E+300)</f>
        <v/>
      </c>
    </row>
    <row r="189">
      <c r="A189" t="n">
        <v>3.6</v>
      </c>
      <c r="B189">
        <f>SUMPRODUCT(Calc!$K$3:$K$22,EXP(A189*Calc!$L$3:$L$22))</f>
        <v/>
      </c>
      <c r="C189">
        <f>SUMPRODUCT(Calc!$K$3:$K$22,EXP(2*A189*Calc!$L$3:$L$22))</f>
        <v/>
      </c>
      <c r="D189">
        <f>SUMPRODUCT(Calc!$K$3:$K$22,EXP(A189*Calc!$L$3:$L$22),Calc!$I$3:$I$22)</f>
        <v/>
      </c>
      <c r="E189">
        <f>k_n*C189-B189^2</f>
        <v/>
      </c>
      <c r="F189">
        <f>IF(ABS(E189)&lt;1E-14,0,(k_n*D189-B189*k_n*k_ymean)/E189)</f>
        <v/>
      </c>
      <c r="G189">
        <f>IF(k_n&gt;0,(k_n*k_ymean-F189*B189)/k_n,0)</f>
        <v/>
      </c>
      <c r="H189">
        <f>IF(AND(F189&gt;0,ABS(E189)&gt;=1E-14),SUMPRODUCT(Calc!$K$3:$K$22,(Calc!$I$3:$I$22-G189-F189*EXP(A189*Calc!$L$3:$L$22))^2),1E+300)</f>
        <v/>
      </c>
    </row>
    <row r="190">
      <c r="A190" t="n">
        <v>3.62</v>
      </c>
      <c r="B190">
        <f>SUMPRODUCT(Calc!$K$3:$K$22,EXP(A190*Calc!$L$3:$L$22))</f>
        <v/>
      </c>
      <c r="C190">
        <f>SUMPRODUCT(Calc!$K$3:$K$22,EXP(2*A190*Calc!$L$3:$L$22))</f>
        <v/>
      </c>
      <c r="D190">
        <f>SUMPRODUCT(Calc!$K$3:$K$22,EXP(A190*Calc!$L$3:$L$22),Calc!$I$3:$I$22)</f>
        <v/>
      </c>
      <c r="E190">
        <f>k_n*C190-B190^2</f>
        <v/>
      </c>
      <c r="F190">
        <f>IF(ABS(E190)&lt;1E-14,0,(k_n*D190-B190*k_n*k_ymean)/E190)</f>
        <v/>
      </c>
      <c r="G190">
        <f>IF(k_n&gt;0,(k_n*k_ymean-F190*B190)/k_n,0)</f>
        <v/>
      </c>
      <c r="H190">
        <f>IF(AND(F190&gt;0,ABS(E190)&gt;=1E-14),SUMPRODUCT(Calc!$K$3:$K$22,(Calc!$I$3:$I$22-G190-F190*EXP(A190*Calc!$L$3:$L$22))^2),1E+300)</f>
        <v/>
      </c>
    </row>
    <row r="191">
      <c r="A191" t="n">
        <v>3.64</v>
      </c>
      <c r="B191">
        <f>SUMPRODUCT(Calc!$K$3:$K$22,EXP(A191*Calc!$L$3:$L$22))</f>
        <v/>
      </c>
      <c r="C191">
        <f>SUMPRODUCT(Calc!$K$3:$K$22,EXP(2*A191*Calc!$L$3:$L$22))</f>
        <v/>
      </c>
      <c r="D191">
        <f>SUMPRODUCT(Calc!$K$3:$K$22,EXP(A191*Calc!$L$3:$L$22),Calc!$I$3:$I$22)</f>
        <v/>
      </c>
      <c r="E191">
        <f>k_n*C191-B191^2</f>
        <v/>
      </c>
      <c r="F191">
        <f>IF(ABS(E191)&lt;1E-14,0,(k_n*D191-B191*k_n*k_ymean)/E191)</f>
        <v/>
      </c>
      <c r="G191">
        <f>IF(k_n&gt;0,(k_n*k_ymean-F191*B191)/k_n,0)</f>
        <v/>
      </c>
      <c r="H191">
        <f>IF(AND(F191&gt;0,ABS(E191)&gt;=1E-14),SUMPRODUCT(Calc!$K$3:$K$22,(Calc!$I$3:$I$22-G191-F191*EXP(A191*Calc!$L$3:$L$22))^2),1E+300)</f>
        <v/>
      </c>
    </row>
    <row r="192">
      <c r="A192" t="n">
        <v>3.66</v>
      </c>
      <c r="B192">
        <f>SUMPRODUCT(Calc!$K$3:$K$22,EXP(A192*Calc!$L$3:$L$22))</f>
        <v/>
      </c>
      <c r="C192">
        <f>SUMPRODUCT(Calc!$K$3:$K$22,EXP(2*A192*Calc!$L$3:$L$22))</f>
        <v/>
      </c>
      <c r="D192">
        <f>SUMPRODUCT(Calc!$K$3:$K$22,EXP(A192*Calc!$L$3:$L$22),Calc!$I$3:$I$22)</f>
        <v/>
      </c>
      <c r="E192">
        <f>k_n*C192-B192^2</f>
        <v/>
      </c>
      <c r="F192">
        <f>IF(ABS(E192)&lt;1E-14,0,(k_n*D192-B192*k_n*k_ymean)/E192)</f>
        <v/>
      </c>
      <c r="G192">
        <f>IF(k_n&gt;0,(k_n*k_ymean-F192*B192)/k_n,0)</f>
        <v/>
      </c>
      <c r="H192">
        <f>IF(AND(F192&gt;0,ABS(E192)&gt;=1E-14),SUMPRODUCT(Calc!$K$3:$K$22,(Calc!$I$3:$I$22-G192-F192*EXP(A192*Calc!$L$3:$L$22))^2),1E+300)</f>
        <v/>
      </c>
    </row>
    <row r="193">
      <c r="A193" t="n">
        <v>3.68</v>
      </c>
      <c r="B193">
        <f>SUMPRODUCT(Calc!$K$3:$K$22,EXP(A193*Calc!$L$3:$L$22))</f>
        <v/>
      </c>
      <c r="C193">
        <f>SUMPRODUCT(Calc!$K$3:$K$22,EXP(2*A193*Calc!$L$3:$L$22))</f>
        <v/>
      </c>
      <c r="D193">
        <f>SUMPRODUCT(Calc!$K$3:$K$22,EXP(A193*Calc!$L$3:$L$22),Calc!$I$3:$I$22)</f>
        <v/>
      </c>
      <c r="E193">
        <f>k_n*C193-B193^2</f>
        <v/>
      </c>
      <c r="F193">
        <f>IF(ABS(E193)&lt;1E-14,0,(k_n*D193-B193*k_n*k_ymean)/E193)</f>
        <v/>
      </c>
      <c r="G193">
        <f>IF(k_n&gt;0,(k_n*k_ymean-F193*B193)/k_n,0)</f>
        <v/>
      </c>
      <c r="H193">
        <f>IF(AND(F193&gt;0,ABS(E193)&gt;=1E-14),SUMPRODUCT(Calc!$K$3:$K$22,(Calc!$I$3:$I$22-G193-F193*EXP(A193*Calc!$L$3:$L$22))^2),1E+300)</f>
        <v/>
      </c>
    </row>
    <row r="194">
      <c r="A194" t="n">
        <v>3.7</v>
      </c>
      <c r="B194">
        <f>SUMPRODUCT(Calc!$K$3:$K$22,EXP(A194*Calc!$L$3:$L$22))</f>
        <v/>
      </c>
      <c r="C194">
        <f>SUMPRODUCT(Calc!$K$3:$K$22,EXP(2*A194*Calc!$L$3:$L$22))</f>
        <v/>
      </c>
      <c r="D194">
        <f>SUMPRODUCT(Calc!$K$3:$K$22,EXP(A194*Calc!$L$3:$L$22),Calc!$I$3:$I$22)</f>
        <v/>
      </c>
      <c r="E194">
        <f>k_n*C194-B194^2</f>
        <v/>
      </c>
      <c r="F194">
        <f>IF(ABS(E194)&lt;1E-14,0,(k_n*D194-B194*k_n*k_ymean)/E194)</f>
        <v/>
      </c>
      <c r="G194">
        <f>IF(k_n&gt;0,(k_n*k_ymean-F194*B194)/k_n,0)</f>
        <v/>
      </c>
      <c r="H194">
        <f>IF(AND(F194&gt;0,ABS(E194)&gt;=1E-14),SUMPRODUCT(Calc!$K$3:$K$22,(Calc!$I$3:$I$22-G194-F194*EXP(A194*Calc!$L$3:$L$22))^2),1E+300)</f>
        <v/>
      </c>
    </row>
    <row r="195">
      <c r="A195" t="n">
        <v>3.72</v>
      </c>
      <c r="B195">
        <f>SUMPRODUCT(Calc!$K$3:$K$22,EXP(A195*Calc!$L$3:$L$22))</f>
        <v/>
      </c>
      <c r="C195">
        <f>SUMPRODUCT(Calc!$K$3:$K$22,EXP(2*A195*Calc!$L$3:$L$22))</f>
        <v/>
      </c>
      <c r="D195">
        <f>SUMPRODUCT(Calc!$K$3:$K$22,EXP(A195*Calc!$L$3:$L$22),Calc!$I$3:$I$22)</f>
        <v/>
      </c>
      <c r="E195">
        <f>k_n*C195-B195^2</f>
        <v/>
      </c>
      <c r="F195">
        <f>IF(ABS(E195)&lt;1E-14,0,(k_n*D195-B195*k_n*k_ymean)/E195)</f>
        <v/>
      </c>
      <c r="G195">
        <f>IF(k_n&gt;0,(k_n*k_ymean-F195*B195)/k_n,0)</f>
        <v/>
      </c>
      <c r="H195">
        <f>IF(AND(F195&gt;0,ABS(E195)&gt;=1E-14),SUMPRODUCT(Calc!$K$3:$K$22,(Calc!$I$3:$I$22-G195-F195*EXP(A195*Calc!$L$3:$L$22))^2),1E+300)</f>
        <v/>
      </c>
    </row>
    <row r="196">
      <c r="A196" t="n">
        <v>3.74</v>
      </c>
      <c r="B196">
        <f>SUMPRODUCT(Calc!$K$3:$K$22,EXP(A196*Calc!$L$3:$L$22))</f>
        <v/>
      </c>
      <c r="C196">
        <f>SUMPRODUCT(Calc!$K$3:$K$22,EXP(2*A196*Calc!$L$3:$L$22))</f>
        <v/>
      </c>
      <c r="D196">
        <f>SUMPRODUCT(Calc!$K$3:$K$22,EXP(A196*Calc!$L$3:$L$22),Calc!$I$3:$I$22)</f>
        <v/>
      </c>
      <c r="E196">
        <f>k_n*C196-B196^2</f>
        <v/>
      </c>
      <c r="F196">
        <f>IF(ABS(E196)&lt;1E-14,0,(k_n*D196-B196*k_n*k_ymean)/E196)</f>
        <v/>
      </c>
      <c r="G196">
        <f>IF(k_n&gt;0,(k_n*k_ymean-F196*B196)/k_n,0)</f>
        <v/>
      </c>
      <c r="H196">
        <f>IF(AND(F196&gt;0,ABS(E196)&gt;=1E-14),SUMPRODUCT(Calc!$K$3:$K$22,(Calc!$I$3:$I$22-G196-F196*EXP(A196*Calc!$L$3:$L$22))^2),1E+300)</f>
        <v/>
      </c>
    </row>
    <row r="197">
      <c r="A197" t="n">
        <v>3.76</v>
      </c>
      <c r="B197">
        <f>SUMPRODUCT(Calc!$K$3:$K$22,EXP(A197*Calc!$L$3:$L$22))</f>
        <v/>
      </c>
      <c r="C197">
        <f>SUMPRODUCT(Calc!$K$3:$K$22,EXP(2*A197*Calc!$L$3:$L$22))</f>
        <v/>
      </c>
      <c r="D197">
        <f>SUMPRODUCT(Calc!$K$3:$K$22,EXP(A197*Calc!$L$3:$L$22),Calc!$I$3:$I$22)</f>
        <v/>
      </c>
      <c r="E197">
        <f>k_n*C197-B197^2</f>
        <v/>
      </c>
      <c r="F197">
        <f>IF(ABS(E197)&lt;1E-14,0,(k_n*D197-B197*k_n*k_ymean)/E197)</f>
        <v/>
      </c>
      <c r="G197">
        <f>IF(k_n&gt;0,(k_n*k_ymean-F197*B197)/k_n,0)</f>
        <v/>
      </c>
      <c r="H197">
        <f>IF(AND(F197&gt;0,ABS(E197)&gt;=1E-14),SUMPRODUCT(Calc!$K$3:$K$22,(Calc!$I$3:$I$22-G197-F197*EXP(A197*Calc!$L$3:$L$22))^2),1E+300)</f>
        <v/>
      </c>
    </row>
    <row r="198">
      <c r="A198" t="n">
        <v>3.78</v>
      </c>
      <c r="B198">
        <f>SUMPRODUCT(Calc!$K$3:$K$22,EXP(A198*Calc!$L$3:$L$22))</f>
        <v/>
      </c>
      <c r="C198">
        <f>SUMPRODUCT(Calc!$K$3:$K$22,EXP(2*A198*Calc!$L$3:$L$22))</f>
        <v/>
      </c>
      <c r="D198">
        <f>SUMPRODUCT(Calc!$K$3:$K$22,EXP(A198*Calc!$L$3:$L$22),Calc!$I$3:$I$22)</f>
        <v/>
      </c>
      <c r="E198">
        <f>k_n*C198-B198^2</f>
        <v/>
      </c>
      <c r="F198">
        <f>IF(ABS(E198)&lt;1E-14,0,(k_n*D198-B198*k_n*k_ymean)/E198)</f>
        <v/>
      </c>
      <c r="G198">
        <f>IF(k_n&gt;0,(k_n*k_ymean-F198*B198)/k_n,0)</f>
        <v/>
      </c>
      <c r="H198">
        <f>IF(AND(F198&gt;0,ABS(E198)&gt;=1E-14),SUMPRODUCT(Calc!$K$3:$K$22,(Calc!$I$3:$I$22-G198-F198*EXP(A198*Calc!$L$3:$L$22))^2),1E+300)</f>
        <v/>
      </c>
    </row>
    <row r="199">
      <c r="A199" t="n">
        <v>3.8</v>
      </c>
      <c r="B199">
        <f>SUMPRODUCT(Calc!$K$3:$K$22,EXP(A199*Calc!$L$3:$L$22))</f>
        <v/>
      </c>
      <c r="C199">
        <f>SUMPRODUCT(Calc!$K$3:$K$22,EXP(2*A199*Calc!$L$3:$L$22))</f>
        <v/>
      </c>
      <c r="D199">
        <f>SUMPRODUCT(Calc!$K$3:$K$22,EXP(A199*Calc!$L$3:$L$22),Calc!$I$3:$I$22)</f>
        <v/>
      </c>
      <c r="E199">
        <f>k_n*C199-B199^2</f>
        <v/>
      </c>
      <c r="F199">
        <f>IF(ABS(E199)&lt;1E-14,0,(k_n*D199-B199*k_n*k_ymean)/E199)</f>
        <v/>
      </c>
      <c r="G199">
        <f>IF(k_n&gt;0,(k_n*k_ymean-F199*B199)/k_n,0)</f>
        <v/>
      </c>
      <c r="H199">
        <f>IF(AND(F199&gt;0,ABS(E199)&gt;=1E-14),SUMPRODUCT(Calc!$K$3:$K$22,(Calc!$I$3:$I$22-G199-F199*EXP(A199*Calc!$L$3:$L$22))^2),1E+300)</f>
        <v/>
      </c>
    </row>
    <row r="200">
      <c r="A200" t="n">
        <v>3.82</v>
      </c>
      <c r="B200">
        <f>SUMPRODUCT(Calc!$K$3:$K$22,EXP(A200*Calc!$L$3:$L$22))</f>
        <v/>
      </c>
      <c r="C200">
        <f>SUMPRODUCT(Calc!$K$3:$K$22,EXP(2*A200*Calc!$L$3:$L$22))</f>
        <v/>
      </c>
      <c r="D200">
        <f>SUMPRODUCT(Calc!$K$3:$K$22,EXP(A200*Calc!$L$3:$L$22),Calc!$I$3:$I$22)</f>
        <v/>
      </c>
      <c r="E200">
        <f>k_n*C200-B200^2</f>
        <v/>
      </c>
      <c r="F200">
        <f>IF(ABS(E200)&lt;1E-14,0,(k_n*D200-B200*k_n*k_ymean)/E200)</f>
        <v/>
      </c>
      <c r="G200">
        <f>IF(k_n&gt;0,(k_n*k_ymean-F200*B200)/k_n,0)</f>
        <v/>
      </c>
      <c r="H200">
        <f>IF(AND(F200&gt;0,ABS(E200)&gt;=1E-14),SUMPRODUCT(Calc!$K$3:$K$22,(Calc!$I$3:$I$22-G200-F200*EXP(A200*Calc!$L$3:$L$22))^2),1E+300)</f>
        <v/>
      </c>
    </row>
    <row r="201">
      <c r="A201" t="n">
        <v>3.84</v>
      </c>
      <c r="B201">
        <f>SUMPRODUCT(Calc!$K$3:$K$22,EXP(A201*Calc!$L$3:$L$22))</f>
        <v/>
      </c>
      <c r="C201">
        <f>SUMPRODUCT(Calc!$K$3:$K$22,EXP(2*A201*Calc!$L$3:$L$22))</f>
        <v/>
      </c>
      <c r="D201">
        <f>SUMPRODUCT(Calc!$K$3:$K$22,EXP(A201*Calc!$L$3:$L$22),Calc!$I$3:$I$22)</f>
        <v/>
      </c>
      <c r="E201">
        <f>k_n*C201-B201^2</f>
        <v/>
      </c>
      <c r="F201">
        <f>IF(ABS(E201)&lt;1E-14,0,(k_n*D201-B201*k_n*k_ymean)/E201)</f>
        <v/>
      </c>
      <c r="G201">
        <f>IF(k_n&gt;0,(k_n*k_ymean-F201*B201)/k_n,0)</f>
        <v/>
      </c>
      <c r="H201">
        <f>IF(AND(F201&gt;0,ABS(E201)&gt;=1E-14),SUMPRODUCT(Calc!$K$3:$K$22,(Calc!$I$3:$I$22-G201-F201*EXP(A201*Calc!$L$3:$L$22))^2),1E+300)</f>
        <v/>
      </c>
    </row>
    <row r="202">
      <c r="A202" t="n">
        <v>3.86</v>
      </c>
      <c r="B202">
        <f>SUMPRODUCT(Calc!$K$3:$K$22,EXP(A202*Calc!$L$3:$L$22))</f>
        <v/>
      </c>
      <c r="C202">
        <f>SUMPRODUCT(Calc!$K$3:$K$22,EXP(2*A202*Calc!$L$3:$L$22))</f>
        <v/>
      </c>
      <c r="D202">
        <f>SUMPRODUCT(Calc!$K$3:$K$22,EXP(A202*Calc!$L$3:$L$22),Calc!$I$3:$I$22)</f>
        <v/>
      </c>
      <c r="E202">
        <f>k_n*C202-B202^2</f>
        <v/>
      </c>
      <c r="F202">
        <f>IF(ABS(E202)&lt;1E-14,0,(k_n*D202-B202*k_n*k_ymean)/E202)</f>
        <v/>
      </c>
      <c r="G202">
        <f>IF(k_n&gt;0,(k_n*k_ymean-F202*B202)/k_n,0)</f>
        <v/>
      </c>
      <c r="H202">
        <f>IF(AND(F202&gt;0,ABS(E202)&gt;=1E-14),SUMPRODUCT(Calc!$K$3:$K$22,(Calc!$I$3:$I$22-G202-F202*EXP(A202*Calc!$L$3:$L$22))^2),1E+300)</f>
        <v/>
      </c>
    </row>
    <row r="203">
      <c r="A203" t="n">
        <v>3.88</v>
      </c>
      <c r="B203">
        <f>SUMPRODUCT(Calc!$K$3:$K$22,EXP(A203*Calc!$L$3:$L$22))</f>
        <v/>
      </c>
      <c r="C203">
        <f>SUMPRODUCT(Calc!$K$3:$K$22,EXP(2*A203*Calc!$L$3:$L$22))</f>
        <v/>
      </c>
      <c r="D203">
        <f>SUMPRODUCT(Calc!$K$3:$K$22,EXP(A203*Calc!$L$3:$L$22),Calc!$I$3:$I$22)</f>
        <v/>
      </c>
      <c r="E203">
        <f>k_n*C203-B203^2</f>
        <v/>
      </c>
      <c r="F203">
        <f>IF(ABS(E203)&lt;1E-14,0,(k_n*D203-B203*k_n*k_ymean)/E203)</f>
        <v/>
      </c>
      <c r="G203">
        <f>IF(k_n&gt;0,(k_n*k_ymean-F203*B203)/k_n,0)</f>
        <v/>
      </c>
      <c r="H203">
        <f>IF(AND(F203&gt;0,ABS(E203)&gt;=1E-14),SUMPRODUCT(Calc!$K$3:$K$22,(Calc!$I$3:$I$22-G203-F203*EXP(A203*Calc!$L$3:$L$22))^2),1E+300)</f>
        <v/>
      </c>
    </row>
    <row r="204">
      <c r="A204" t="n">
        <v>3.9</v>
      </c>
      <c r="B204">
        <f>SUMPRODUCT(Calc!$K$3:$K$22,EXP(A204*Calc!$L$3:$L$22))</f>
        <v/>
      </c>
      <c r="C204">
        <f>SUMPRODUCT(Calc!$K$3:$K$22,EXP(2*A204*Calc!$L$3:$L$22))</f>
        <v/>
      </c>
      <c r="D204">
        <f>SUMPRODUCT(Calc!$K$3:$K$22,EXP(A204*Calc!$L$3:$L$22),Calc!$I$3:$I$22)</f>
        <v/>
      </c>
      <c r="E204">
        <f>k_n*C204-B204^2</f>
        <v/>
      </c>
      <c r="F204">
        <f>IF(ABS(E204)&lt;1E-14,0,(k_n*D204-B204*k_n*k_ymean)/E204)</f>
        <v/>
      </c>
      <c r="G204">
        <f>IF(k_n&gt;0,(k_n*k_ymean-F204*B204)/k_n,0)</f>
        <v/>
      </c>
      <c r="H204">
        <f>IF(AND(F204&gt;0,ABS(E204)&gt;=1E-14),SUMPRODUCT(Calc!$K$3:$K$22,(Calc!$I$3:$I$22-G204-F204*EXP(A204*Calc!$L$3:$L$22))^2),1E+300)</f>
        <v/>
      </c>
    </row>
    <row r="205">
      <c r="A205" t="n">
        <v>3.92</v>
      </c>
      <c r="B205">
        <f>SUMPRODUCT(Calc!$K$3:$K$22,EXP(A205*Calc!$L$3:$L$22))</f>
        <v/>
      </c>
      <c r="C205">
        <f>SUMPRODUCT(Calc!$K$3:$K$22,EXP(2*A205*Calc!$L$3:$L$22))</f>
        <v/>
      </c>
      <c r="D205">
        <f>SUMPRODUCT(Calc!$K$3:$K$22,EXP(A205*Calc!$L$3:$L$22),Calc!$I$3:$I$22)</f>
        <v/>
      </c>
      <c r="E205">
        <f>k_n*C205-B205^2</f>
        <v/>
      </c>
      <c r="F205">
        <f>IF(ABS(E205)&lt;1E-14,0,(k_n*D205-B205*k_n*k_ymean)/E205)</f>
        <v/>
      </c>
      <c r="G205">
        <f>IF(k_n&gt;0,(k_n*k_ymean-F205*B205)/k_n,0)</f>
        <v/>
      </c>
      <c r="H205">
        <f>IF(AND(F205&gt;0,ABS(E205)&gt;=1E-14),SUMPRODUCT(Calc!$K$3:$K$22,(Calc!$I$3:$I$22-G205-F205*EXP(A205*Calc!$L$3:$L$22))^2),1E+300)</f>
        <v/>
      </c>
    </row>
    <row r="206">
      <c r="A206" t="n">
        <v>3.94</v>
      </c>
      <c r="B206">
        <f>SUMPRODUCT(Calc!$K$3:$K$22,EXP(A206*Calc!$L$3:$L$22))</f>
        <v/>
      </c>
      <c r="C206">
        <f>SUMPRODUCT(Calc!$K$3:$K$22,EXP(2*A206*Calc!$L$3:$L$22))</f>
        <v/>
      </c>
      <c r="D206">
        <f>SUMPRODUCT(Calc!$K$3:$K$22,EXP(A206*Calc!$L$3:$L$22),Calc!$I$3:$I$22)</f>
        <v/>
      </c>
      <c r="E206">
        <f>k_n*C206-B206^2</f>
        <v/>
      </c>
      <c r="F206">
        <f>IF(ABS(E206)&lt;1E-14,0,(k_n*D206-B206*k_n*k_ymean)/E206)</f>
        <v/>
      </c>
      <c r="G206">
        <f>IF(k_n&gt;0,(k_n*k_ymean-F206*B206)/k_n,0)</f>
        <v/>
      </c>
      <c r="H206">
        <f>IF(AND(F206&gt;0,ABS(E206)&gt;=1E-14),SUMPRODUCT(Calc!$K$3:$K$22,(Calc!$I$3:$I$22-G206-F206*EXP(A206*Calc!$L$3:$L$22))^2),1E+300)</f>
        <v/>
      </c>
    </row>
    <row r="207">
      <c r="A207" t="n">
        <v>3.96</v>
      </c>
      <c r="B207">
        <f>SUMPRODUCT(Calc!$K$3:$K$22,EXP(A207*Calc!$L$3:$L$22))</f>
        <v/>
      </c>
      <c r="C207">
        <f>SUMPRODUCT(Calc!$K$3:$K$22,EXP(2*A207*Calc!$L$3:$L$22))</f>
        <v/>
      </c>
      <c r="D207">
        <f>SUMPRODUCT(Calc!$K$3:$K$22,EXP(A207*Calc!$L$3:$L$22),Calc!$I$3:$I$22)</f>
        <v/>
      </c>
      <c r="E207">
        <f>k_n*C207-B207^2</f>
        <v/>
      </c>
      <c r="F207">
        <f>IF(ABS(E207)&lt;1E-14,0,(k_n*D207-B207*k_n*k_ymean)/E207)</f>
        <v/>
      </c>
      <c r="G207">
        <f>IF(k_n&gt;0,(k_n*k_ymean-F207*B207)/k_n,0)</f>
        <v/>
      </c>
      <c r="H207">
        <f>IF(AND(F207&gt;0,ABS(E207)&gt;=1E-14),SUMPRODUCT(Calc!$K$3:$K$22,(Calc!$I$3:$I$22-G207-F207*EXP(A207*Calc!$L$3:$L$22))^2),1E+300)</f>
        <v/>
      </c>
    </row>
    <row r="208">
      <c r="A208" t="n">
        <v>3.98</v>
      </c>
      <c r="B208">
        <f>SUMPRODUCT(Calc!$K$3:$K$22,EXP(A208*Calc!$L$3:$L$22))</f>
        <v/>
      </c>
      <c r="C208">
        <f>SUMPRODUCT(Calc!$K$3:$K$22,EXP(2*A208*Calc!$L$3:$L$22))</f>
        <v/>
      </c>
      <c r="D208">
        <f>SUMPRODUCT(Calc!$K$3:$K$22,EXP(A208*Calc!$L$3:$L$22),Calc!$I$3:$I$22)</f>
        <v/>
      </c>
      <c r="E208">
        <f>k_n*C208-B208^2</f>
        <v/>
      </c>
      <c r="F208">
        <f>IF(ABS(E208)&lt;1E-14,0,(k_n*D208-B208*k_n*k_ymean)/E208)</f>
        <v/>
      </c>
      <c r="G208">
        <f>IF(k_n&gt;0,(k_n*k_ymean-F208*B208)/k_n,0)</f>
        <v/>
      </c>
      <c r="H208">
        <f>IF(AND(F208&gt;0,ABS(E208)&gt;=1E-14),SUMPRODUCT(Calc!$K$3:$K$22,(Calc!$I$3:$I$22-G208-F208*EXP(A208*Calc!$L$3:$L$22))^2),1E+300)</f>
        <v/>
      </c>
    </row>
    <row r="209">
      <c r="A209" t="n">
        <v>4</v>
      </c>
      <c r="B209">
        <f>SUMPRODUCT(Calc!$K$3:$K$22,EXP(A209*Calc!$L$3:$L$22))</f>
        <v/>
      </c>
      <c r="C209">
        <f>SUMPRODUCT(Calc!$K$3:$K$22,EXP(2*A209*Calc!$L$3:$L$22))</f>
        <v/>
      </c>
      <c r="D209">
        <f>SUMPRODUCT(Calc!$K$3:$K$22,EXP(A209*Calc!$L$3:$L$22),Calc!$I$3:$I$22)</f>
        <v/>
      </c>
      <c r="E209">
        <f>k_n*C209-B209^2</f>
        <v/>
      </c>
      <c r="F209">
        <f>IF(ABS(E209)&lt;1E-14,0,(k_n*D209-B209*k_n*k_ymean)/E209)</f>
        <v/>
      </c>
      <c r="G209">
        <f>IF(k_n&gt;0,(k_n*k_ymean-F209*B209)/k_n,0)</f>
        <v/>
      </c>
      <c r="H209">
        <f>IF(AND(F209&gt;0,ABS(E209)&gt;=1E-14),SUMPRODUCT(Calc!$K$3:$K$22,(Calc!$I$3:$I$22-G209-F209*EXP(A209*Calc!$L$3:$L$22))^2),1E+300)</f>
        <v/>
      </c>
    </row>
    <row r="210">
      <c r="A210" t="n">
        <v>4.02</v>
      </c>
      <c r="B210">
        <f>SUMPRODUCT(Calc!$K$3:$K$22,EXP(A210*Calc!$L$3:$L$22))</f>
        <v/>
      </c>
      <c r="C210">
        <f>SUMPRODUCT(Calc!$K$3:$K$22,EXP(2*A210*Calc!$L$3:$L$22))</f>
        <v/>
      </c>
      <c r="D210">
        <f>SUMPRODUCT(Calc!$K$3:$K$22,EXP(A210*Calc!$L$3:$L$22),Calc!$I$3:$I$22)</f>
        <v/>
      </c>
      <c r="E210">
        <f>k_n*C210-B210^2</f>
        <v/>
      </c>
      <c r="F210">
        <f>IF(ABS(E210)&lt;1E-14,0,(k_n*D210-B210*k_n*k_ymean)/E210)</f>
        <v/>
      </c>
      <c r="G210">
        <f>IF(k_n&gt;0,(k_n*k_ymean-F210*B210)/k_n,0)</f>
        <v/>
      </c>
      <c r="H210">
        <f>IF(AND(F210&gt;0,ABS(E210)&gt;=1E-14),SUMPRODUCT(Calc!$K$3:$K$22,(Calc!$I$3:$I$22-G210-F210*EXP(A210*Calc!$L$3:$L$22))^2),1E+300)</f>
        <v/>
      </c>
    </row>
    <row r="211">
      <c r="A211" t="n">
        <v>4.04</v>
      </c>
      <c r="B211">
        <f>SUMPRODUCT(Calc!$K$3:$K$22,EXP(A211*Calc!$L$3:$L$22))</f>
        <v/>
      </c>
      <c r="C211">
        <f>SUMPRODUCT(Calc!$K$3:$K$22,EXP(2*A211*Calc!$L$3:$L$22))</f>
        <v/>
      </c>
      <c r="D211">
        <f>SUMPRODUCT(Calc!$K$3:$K$22,EXP(A211*Calc!$L$3:$L$22),Calc!$I$3:$I$22)</f>
        <v/>
      </c>
      <c r="E211">
        <f>k_n*C211-B211^2</f>
        <v/>
      </c>
      <c r="F211">
        <f>IF(ABS(E211)&lt;1E-14,0,(k_n*D211-B211*k_n*k_ymean)/E211)</f>
        <v/>
      </c>
      <c r="G211">
        <f>IF(k_n&gt;0,(k_n*k_ymean-F211*B211)/k_n,0)</f>
        <v/>
      </c>
      <c r="H211">
        <f>IF(AND(F211&gt;0,ABS(E211)&gt;=1E-14),SUMPRODUCT(Calc!$K$3:$K$22,(Calc!$I$3:$I$22-G211-F211*EXP(A211*Calc!$L$3:$L$22))^2),1E+300)</f>
        <v/>
      </c>
    </row>
    <row r="212">
      <c r="A212" t="n">
        <v>4.06</v>
      </c>
      <c r="B212">
        <f>SUMPRODUCT(Calc!$K$3:$K$22,EXP(A212*Calc!$L$3:$L$22))</f>
        <v/>
      </c>
      <c r="C212">
        <f>SUMPRODUCT(Calc!$K$3:$K$22,EXP(2*A212*Calc!$L$3:$L$22))</f>
        <v/>
      </c>
      <c r="D212">
        <f>SUMPRODUCT(Calc!$K$3:$K$22,EXP(A212*Calc!$L$3:$L$22),Calc!$I$3:$I$22)</f>
        <v/>
      </c>
      <c r="E212">
        <f>k_n*C212-B212^2</f>
        <v/>
      </c>
      <c r="F212">
        <f>IF(ABS(E212)&lt;1E-14,0,(k_n*D212-B212*k_n*k_ymean)/E212)</f>
        <v/>
      </c>
      <c r="G212">
        <f>IF(k_n&gt;0,(k_n*k_ymean-F212*B212)/k_n,0)</f>
        <v/>
      </c>
      <c r="H212">
        <f>IF(AND(F212&gt;0,ABS(E212)&gt;=1E-14),SUMPRODUCT(Calc!$K$3:$K$22,(Calc!$I$3:$I$22-G212-F212*EXP(A212*Calc!$L$3:$L$22))^2),1E+300)</f>
        <v/>
      </c>
    </row>
    <row r="213">
      <c r="A213" t="n">
        <v>4.08</v>
      </c>
      <c r="B213">
        <f>SUMPRODUCT(Calc!$K$3:$K$22,EXP(A213*Calc!$L$3:$L$22))</f>
        <v/>
      </c>
      <c r="C213">
        <f>SUMPRODUCT(Calc!$K$3:$K$22,EXP(2*A213*Calc!$L$3:$L$22))</f>
        <v/>
      </c>
      <c r="D213">
        <f>SUMPRODUCT(Calc!$K$3:$K$22,EXP(A213*Calc!$L$3:$L$22),Calc!$I$3:$I$22)</f>
        <v/>
      </c>
      <c r="E213">
        <f>k_n*C213-B213^2</f>
        <v/>
      </c>
      <c r="F213">
        <f>IF(ABS(E213)&lt;1E-14,0,(k_n*D213-B213*k_n*k_ymean)/E213)</f>
        <v/>
      </c>
      <c r="G213">
        <f>IF(k_n&gt;0,(k_n*k_ymean-F213*B213)/k_n,0)</f>
        <v/>
      </c>
      <c r="H213">
        <f>IF(AND(F213&gt;0,ABS(E213)&gt;=1E-14),SUMPRODUCT(Calc!$K$3:$K$22,(Calc!$I$3:$I$22-G213-F213*EXP(A213*Calc!$L$3:$L$22))^2),1E+300)</f>
        <v/>
      </c>
    </row>
    <row r="214">
      <c r="A214" t="n">
        <v>4.1</v>
      </c>
      <c r="B214">
        <f>SUMPRODUCT(Calc!$K$3:$K$22,EXP(A214*Calc!$L$3:$L$22))</f>
        <v/>
      </c>
      <c r="C214">
        <f>SUMPRODUCT(Calc!$K$3:$K$22,EXP(2*A214*Calc!$L$3:$L$22))</f>
        <v/>
      </c>
      <c r="D214">
        <f>SUMPRODUCT(Calc!$K$3:$K$22,EXP(A214*Calc!$L$3:$L$22),Calc!$I$3:$I$22)</f>
        <v/>
      </c>
      <c r="E214">
        <f>k_n*C214-B214^2</f>
        <v/>
      </c>
      <c r="F214">
        <f>IF(ABS(E214)&lt;1E-14,0,(k_n*D214-B214*k_n*k_ymean)/E214)</f>
        <v/>
      </c>
      <c r="G214">
        <f>IF(k_n&gt;0,(k_n*k_ymean-F214*B214)/k_n,0)</f>
        <v/>
      </c>
      <c r="H214">
        <f>IF(AND(F214&gt;0,ABS(E214)&gt;=1E-14),SUMPRODUCT(Calc!$K$3:$K$22,(Calc!$I$3:$I$22-G214-F214*EXP(A214*Calc!$L$3:$L$22))^2),1E+300)</f>
        <v/>
      </c>
    </row>
    <row r="215">
      <c r="A215" t="n">
        <v>4.12</v>
      </c>
      <c r="B215">
        <f>SUMPRODUCT(Calc!$K$3:$K$22,EXP(A215*Calc!$L$3:$L$22))</f>
        <v/>
      </c>
      <c r="C215">
        <f>SUMPRODUCT(Calc!$K$3:$K$22,EXP(2*A215*Calc!$L$3:$L$22))</f>
        <v/>
      </c>
      <c r="D215">
        <f>SUMPRODUCT(Calc!$K$3:$K$22,EXP(A215*Calc!$L$3:$L$22),Calc!$I$3:$I$22)</f>
        <v/>
      </c>
      <c r="E215">
        <f>k_n*C215-B215^2</f>
        <v/>
      </c>
      <c r="F215">
        <f>IF(ABS(E215)&lt;1E-14,0,(k_n*D215-B215*k_n*k_ymean)/E215)</f>
        <v/>
      </c>
      <c r="G215">
        <f>IF(k_n&gt;0,(k_n*k_ymean-F215*B215)/k_n,0)</f>
        <v/>
      </c>
      <c r="H215">
        <f>IF(AND(F215&gt;0,ABS(E215)&gt;=1E-14),SUMPRODUCT(Calc!$K$3:$K$22,(Calc!$I$3:$I$22-G215-F215*EXP(A215*Calc!$L$3:$L$22))^2),1E+300)</f>
        <v/>
      </c>
    </row>
    <row r="216">
      <c r="A216" t="n">
        <v>4.14</v>
      </c>
      <c r="B216">
        <f>SUMPRODUCT(Calc!$K$3:$K$22,EXP(A216*Calc!$L$3:$L$22))</f>
        <v/>
      </c>
      <c r="C216">
        <f>SUMPRODUCT(Calc!$K$3:$K$22,EXP(2*A216*Calc!$L$3:$L$22))</f>
        <v/>
      </c>
      <c r="D216">
        <f>SUMPRODUCT(Calc!$K$3:$K$22,EXP(A216*Calc!$L$3:$L$22),Calc!$I$3:$I$22)</f>
        <v/>
      </c>
      <c r="E216">
        <f>k_n*C216-B216^2</f>
        <v/>
      </c>
      <c r="F216">
        <f>IF(ABS(E216)&lt;1E-14,0,(k_n*D216-B216*k_n*k_ymean)/E216)</f>
        <v/>
      </c>
      <c r="G216">
        <f>IF(k_n&gt;0,(k_n*k_ymean-F216*B216)/k_n,0)</f>
        <v/>
      </c>
      <c r="H216">
        <f>IF(AND(F216&gt;0,ABS(E216)&gt;=1E-14),SUMPRODUCT(Calc!$K$3:$K$22,(Calc!$I$3:$I$22-G216-F216*EXP(A216*Calc!$L$3:$L$22))^2),1E+300)</f>
        <v/>
      </c>
    </row>
    <row r="217">
      <c r="A217" t="n">
        <v>4.16</v>
      </c>
      <c r="B217">
        <f>SUMPRODUCT(Calc!$K$3:$K$22,EXP(A217*Calc!$L$3:$L$22))</f>
        <v/>
      </c>
      <c r="C217">
        <f>SUMPRODUCT(Calc!$K$3:$K$22,EXP(2*A217*Calc!$L$3:$L$22))</f>
        <v/>
      </c>
      <c r="D217">
        <f>SUMPRODUCT(Calc!$K$3:$K$22,EXP(A217*Calc!$L$3:$L$22),Calc!$I$3:$I$22)</f>
        <v/>
      </c>
      <c r="E217">
        <f>k_n*C217-B217^2</f>
        <v/>
      </c>
      <c r="F217">
        <f>IF(ABS(E217)&lt;1E-14,0,(k_n*D217-B217*k_n*k_ymean)/E217)</f>
        <v/>
      </c>
      <c r="G217">
        <f>IF(k_n&gt;0,(k_n*k_ymean-F217*B217)/k_n,0)</f>
        <v/>
      </c>
      <c r="H217">
        <f>IF(AND(F217&gt;0,ABS(E217)&gt;=1E-14),SUMPRODUCT(Calc!$K$3:$K$22,(Calc!$I$3:$I$22-G217-F217*EXP(A217*Calc!$L$3:$L$22))^2),1E+300)</f>
        <v/>
      </c>
    </row>
    <row r="218">
      <c r="A218" t="n">
        <v>4.18</v>
      </c>
      <c r="B218">
        <f>SUMPRODUCT(Calc!$K$3:$K$22,EXP(A218*Calc!$L$3:$L$22))</f>
        <v/>
      </c>
      <c r="C218">
        <f>SUMPRODUCT(Calc!$K$3:$K$22,EXP(2*A218*Calc!$L$3:$L$22))</f>
        <v/>
      </c>
      <c r="D218">
        <f>SUMPRODUCT(Calc!$K$3:$K$22,EXP(A218*Calc!$L$3:$L$22),Calc!$I$3:$I$22)</f>
        <v/>
      </c>
      <c r="E218">
        <f>k_n*C218-B218^2</f>
        <v/>
      </c>
      <c r="F218">
        <f>IF(ABS(E218)&lt;1E-14,0,(k_n*D218-B218*k_n*k_ymean)/E218)</f>
        <v/>
      </c>
      <c r="G218">
        <f>IF(k_n&gt;0,(k_n*k_ymean-F218*B218)/k_n,0)</f>
        <v/>
      </c>
      <c r="H218">
        <f>IF(AND(F218&gt;0,ABS(E218)&gt;=1E-14),SUMPRODUCT(Calc!$K$3:$K$22,(Calc!$I$3:$I$22-G218-F218*EXP(A218*Calc!$L$3:$L$22))^2),1E+300)</f>
        <v/>
      </c>
    </row>
    <row r="219">
      <c r="A219" t="n">
        <v>4.2</v>
      </c>
      <c r="B219">
        <f>SUMPRODUCT(Calc!$K$3:$K$22,EXP(A219*Calc!$L$3:$L$22))</f>
        <v/>
      </c>
      <c r="C219">
        <f>SUMPRODUCT(Calc!$K$3:$K$22,EXP(2*A219*Calc!$L$3:$L$22))</f>
        <v/>
      </c>
      <c r="D219">
        <f>SUMPRODUCT(Calc!$K$3:$K$22,EXP(A219*Calc!$L$3:$L$22),Calc!$I$3:$I$22)</f>
        <v/>
      </c>
      <c r="E219">
        <f>k_n*C219-B219^2</f>
        <v/>
      </c>
      <c r="F219">
        <f>IF(ABS(E219)&lt;1E-14,0,(k_n*D219-B219*k_n*k_ymean)/E219)</f>
        <v/>
      </c>
      <c r="G219">
        <f>IF(k_n&gt;0,(k_n*k_ymean-F219*B219)/k_n,0)</f>
        <v/>
      </c>
      <c r="H219">
        <f>IF(AND(F219&gt;0,ABS(E219)&gt;=1E-14),SUMPRODUCT(Calc!$K$3:$K$22,(Calc!$I$3:$I$22-G219-F219*EXP(A219*Calc!$L$3:$L$22))^2),1E+300)</f>
        <v/>
      </c>
    </row>
    <row r="220">
      <c r="A220" t="n">
        <v>4.22</v>
      </c>
      <c r="B220">
        <f>SUMPRODUCT(Calc!$K$3:$K$22,EXP(A220*Calc!$L$3:$L$22))</f>
        <v/>
      </c>
      <c r="C220">
        <f>SUMPRODUCT(Calc!$K$3:$K$22,EXP(2*A220*Calc!$L$3:$L$22))</f>
        <v/>
      </c>
      <c r="D220">
        <f>SUMPRODUCT(Calc!$K$3:$K$22,EXP(A220*Calc!$L$3:$L$22),Calc!$I$3:$I$22)</f>
        <v/>
      </c>
      <c r="E220">
        <f>k_n*C220-B220^2</f>
        <v/>
      </c>
      <c r="F220">
        <f>IF(ABS(E220)&lt;1E-14,0,(k_n*D220-B220*k_n*k_ymean)/E220)</f>
        <v/>
      </c>
      <c r="G220">
        <f>IF(k_n&gt;0,(k_n*k_ymean-F220*B220)/k_n,0)</f>
        <v/>
      </c>
      <c r="H220">
        <f>IF(AND(F220&gt;0,ABS(E220)&gt;=1E-14),SUMPRODUCT(Calc!$K$3:$K$22,(Calc!$I$3:$I$22-G220-F220*EXP(A220*Calc!$L$3:$L$22))^2),1E+300)</f>
        <v/>
      </c>
    </row>
    <row r="221">
      <c r="A221" t="n">
        <v>4.24</v>
      </c>
      <c r="B221">
        <f>SUMPRODUCT(Calc!$K$3:$K$22,EXP(A221*Calc!$L$3:$L$22))</f>
        <v/>
      </c>
      <c r="C221">
        <f>SUMPRODUCT(Calc!$K$3:$K$22,EXP(2*A221*Calc!$L$3:$L$22))</f>
        <v/>
      </c>
      <c r="D221">
        <f>SUMPRODUCT(Calc!$K$3:$K$22,EXP(A221*Calc!$L$3:$L$22),Calc!$I$3:$I$22)</f>
        <v/>
      </c>
      <c r="E221">
        <f>k_n*C221-B221^2</f>
        <v/>
      </c>
      <c r="F221">
        <f>IF(ABS(E221)&lt;1E-14,0,(k_n*D221-B221*k_n*k_ymean)/E221)</f>
        <v/>
      </c>
      <c r="G221">
        <f>IF(k_n&gt;0,(k_n*k_ymean-F221*B221)/k_n,0)</f>
        <v/>
      </c>
      <c r="H221">
        <f>IF(AND(F221&gt;0,ABS(E221)&gt;=1E-14),SUMPRODUCT(Calc!$K$3:$K$22,(Calc!$I$3:$I$22-G221-F221*EXP(A221*Calc!$L$3:$L$22))^2),1E+300)</f>
        <v/>
      </c>
    </row>
    <row r="222">
      <c r="A222" t="n">
        <v>4.26</v>
      </c>
      <c r="B222">
        <f>SUMPRODUCT(Calc!$K$3:$K$22,EXP(A222*Calc!$L$3:$L$22))</f>
        <v/>
      </c>
      <c r="C222">
        <f>SUMPRODUCT(Calc!$K$3:$K$22,EXP(2*A222*Calc!$L$3:$L$22))</f>
        <v/>
      </c>
      <c r="D222">
        <f>SUMPRODUCT(Calc!$K$3:$K$22,EXP(A222*Calc!$L$3:$L$22),Calc!$I$3:$I$22)</f>
        <v/>
      </c>
      <c r="E222">
        <f>k_n*C222-B222^2</f>
        <v/>
      </c>
      <c r="F222">
        <f>IF(ABS(E222)&lt;1E-14,0,(k_n*D222-B222*k_n*k_ymean)/E222)</f>
        <v/>
      </c>
      <c r="G222">
        <f>IF(k_n&gt;0,(k_n*k_ymean-F222*B222)/k_n,0)</f>
        <v/>
      </c>
      <c r="H222">
        <f>IF(AND(F222&gt;0,ABS(E222)&gt;=1E-14),SUMPRODUCT(Calc!$K$3:$K$22,(Calc!$I$3:$I$22-G222-F222*EXP(A222*Calc!$L$3:$L$22))^2),1E+300)</f>
        <v/>
      </c>
    </row>
    <row r="223">
      <c r="A223" t="n">
        <v>4.28</v>
      </c>
      <c r="B223">
        <f>SUMPRODUCT(Calc!$K$3:$K$22,EXP(A223*Calc!$L$3:$L$22))</f>
        <v/>
      </c>
      <c r="C223">
        <f>SUMPRODUCT(Calc!$K$3:$K$22,EXP(2*A223*Calc!$L$3:$L$22))</f>
        <v/>
      </c>
      <c r="D223">
        <f>SUMPRODUCT(Calc!$K$3:$K$22,EXP(A223*Calc!$L$3:$L$22),Calc!$I$3:$I$22)</f>
        <v/>
      </c>
      <c r="E223">
        <f>k_n*C223-B223^2</f>
        <v/>
      </c>
      <c r="F223">
        <f>IF(ABS(E223)&lt;1E-14,0,(k_n*D223-B223*k_n*k_ymean)/E223)</f>
        <v/>
      </c>
      <c r="G223">
        <f>IF(k_n&gt;0,(k_n*k_ymean-F223*B223)/k_n,0)</f>
        <v/>
      </c>
      <c r="H223">
        <f>IF(AND(F223&gt;0,ABS(E223)&gt;=1E-14),SUMPRODUCT(Calc!$K$3:$K$22,(Calc!$I$3:$I$22-G223-F223*EXP(A223*Calc!$L$3:$L$22))^2),1E+300)</f>
        <v/>
      </c>
    </row>
    <row r="224">
      <c r="A224" t="n">
        <v>4.3</v>
      </c>
      <c r="B224">
        <f>SUMPRODUCT(Calc!$K$3:$K$22,EXP(A224*Calc!$L$3:$L$22))</f>
        <v/>
      </c>
      <c r="C224">
        <f>SUMPRODUCT(Calc!$K$3:$K$22,EXP(2*A224*Calc!$L$3:$L$22))</f>
        <v/>
      </c>
      <c r="D224">
        <f>SUMPRODUCT(Calc!$K$3:$K$22,EXP(A224*Calc!$L$3:$L$22),Calc!$I$3:$I$22)</f>
        <v/>
      </c>
      <c r="E224">
        <f>k_n*C224-B224^2</f>
        <v/>
      </c>
      <c r="F224">
        <f>IF(ABS(E224)&lt;1E-14,0,(k_n*D224-B224*k_n*k_ymean)/E224)</f>
        <v/>
      </c>
      <c r="G224">
        <f>IF(k_n&gt;0,(k_n*k_ymean-F224*B224)/k_n,0)</f>
        <v/>
      </c>
      <c r="H224">
        <f>IF(AND(F224&gt;0,ABS(E224)&gt;=1E-14),SUMPRODUCT(Calc!$K$3:$K$22,(Calc!$I$3:$I$22-G224-F224*EXP(A224*Calc!$L$3:$L$22))^2),1E+300)</f>
        <v/>
      </c>
    </row>
    <row r="225">
      <c r="A225" t="n">
        <v>4.32</v>
      </c>
      <c r="B225">
        <f>SUMPRODUCT(Calc!$K$3:$K$22,EXP(A225*Calc!$L$3:$L$22))</f>
        <v/>
      </c>
      <c r="C225">
        <f>SUMPRODUCT(Calc!$K$3:$K$22,EXP(2*A225*Calc!$L$3:$L$22))</f>
        <v/>
      </c>
      <c r="D225">
        <f>SUMPRODUCT(Calc!$K$3:$K$22,EXP(A225*Calc!$L$3:$L$22),Calc!$I$3:$I$22)</f>
        <v/>
      </c>
      <c r="E225">
        <f>k_n*C225-B225^2</f>
        <v/>
      </c>
      <c r="F225">
        <f>IF(ABS(E225)&lt;1E-14,0,(k_n*D225-B225*k_n*k_ymean)/E225)</f>
        <v/>
      </c>
      <c r="G225">
        <f>IF(k_n&gt;0,(k_n*k_ymean-F225*B225)/k_n,0)</f>
        <v/>
      </c>
      <c r="H225">
        <f>IF(AND(F225&gt;0,ABS(E225)&gt;=1E-14),SUMPRODUCT(Calc!$K$3:$K$22,(Calc!$I$3:$I$22-G225-F225*EXP(A225*Calc!$L$3:$L$22))^2),1E+300)</f>
        <v/>
      </c>
    </row>
    <row r="226">
      <c r="A226" t="n">
        <v>4.34</v>
      </c>
      <c r="B226">
        <f>SUMPRODUCT(Calc!$K$3:$K$22,EXP(A226*Calc!$L$3:$L$22))</f>
        <v/>
      </c>
      <c r="C226">
        <f>SUMPRODUCT(Calc!$K$3:$K$22,EXP(2*A226*Calc!$L$3:$L$22))</f>
        <v/>
      </c>
      <c r="D226">
        <f>SUMPRODUCT(Calc!$K$3:$K$22,EXP(A226*Calc!$L$3:$L$22),Calc!$I$3:$I$22)</f>
        <v/>
      </c>
      <c r="E226">
        <f>k_n*C226-B226^2</f>
        <v/>
      </c>
      <c r="F226">
        <f>IF(ABS(E226)&lt;1E-14,0,(k_n*D226-B226*k_n*k_ymean)/E226)</f>
        <v/>
      </c>
      <c r="G226">
        <f>IF(k_n&gt;0,(k_n*k_ymean-F226*B226)/k_n,0)</f>
        <v/>
      </c>
      <c r="H226">
        <f>IF(AND(F226&gt;0,ABS(E226)&gt;=1E-14),SUMPRODUCT(Calc!$K$3:$K$22,(Calc!$I$3:$I$22-G226-F226*EXP(A226*Calc!$L$3:$L$22))^2),1E+300)</f>
        <v/>
      </c>
    </row>
    <row r="227">
      <c r="A227" t="n">
        <v>4.36</v>
      </c>
      <c r="B227">
        <f>SUMPRODUCT(Calc!$K$3:$K$22,EXP(A227*Calc!$L$3:$L$22))</f>
        <v/>
      </c>
      <c r="C227">
        <f>SUMPRODUCT(Calc!$K$3:$K$22,EXP(2*A227*Calc!$L$3:$L$22))</f>
        <v/>
      </c>
      <c r="D227">
        <f>SUMPRODUCT(Calc!$K$3:$K$22,EXP(A227*Calc!$L$3:$L$22),Calc!$I$3:$I$22)</f>
        <v/>
      </c>
      <c r="E227">
        <f>k_n*C227-B227^2</f>
        <v/>
      </c>
      <c r="F227">
        <f>IF(ABS(E227)&lt;1E-14,0,(k_n*D227-B227*k_n*k_ymean)/E227)</f>
        <v/>
      </c>
      <c r="G227">
        <f>IF(k_n&gt;0,(k_n*k_ymean-F227*B227)/k_n,0)</f>
        <v/>
      </c>
      <c r="H227">
        <f>IF(AND(F227&gt;0,ABS(E227)&gt;=1E-14),SUMPRODUCT(Calc!$K$3:$K$22,(Calc!$I$3:$I$22-G227-F227*EXP(A227*Calc!$L$3:$L$22))^2),1E+300)</f>
        <v/>
      </c>
    </row>
    <row r="228">
      <c r="A228" t="n">
        <v>4.38</v>
      </c>
      <c r="B228">
        <f>SUMPRODUCT(Calc!$K$3:$K$22,EXP(A228*Calc!$L$3:$L$22))</f>
        <v/>
      </c>
      <c r="C228">
        <f>SUMPRODUCT(Calc!$K$3:$K$22,EXP(2*A228*Calc!$L$3:$L$22))</f>
        <v/>
      </c>
      <c r="D228">
        <f>SUMPRODUCT(Calc!$K$3:$K$22,EXP(A228*Calc!$L$3:$L$22),Calc!$I$3:$I$22)</f>
        <v/>
      </c>
      <c r="E228">
        <f>k_n*C228-B228^2</f>
        <v/>
      </c>
      <c r="F228">
        <f>IF(ABS(E228)&lt;1E-14,0,(k_n*D228-B228*k_n*k_ymean)/E228)</f>
        <v/>
      </c>
      <c r="G228">
        <f>IF(k_n&gt;0,(k_n*k_ymean-F228*B228)/k_n,0)</f>
        <v/>
      </c>
      <c r="H228">
        <f>IF(AND(F228&gt;0,ABS(E228)&gt;=1E-14),SUMPRODUCT(Calc!$K$3:$K$22,(Calc!$I$3:$I$22-G228-F228*EXP(A228*Calc!$L$3:$L$22))^2),1E+300)</f>
        <v/>
      </c>
    </row>
    <row r="229">
      <c r="A229" t="n">
        <v>4.4</v>
      </c>
      <c r="B229">
        <f>SUMPRODUCT(Calc!$K$3:$K$22,EXP(A229*Calc!$L$3:$L$22))</f>
        <v/>
      </c>
      <c r="C229">
        <f>SUMPRODUCT(Calc!$K$3:$K$22,EXP(2*A229*Calc!$L$3:$L$22))</f>
        <v/>
      </c>
      <c r="D229">
        <f>SUMPRODUCT(Calc!$K$3:$K$22,EXP(A229*Calc!$L$3:$L$22),Calc!$I$3:$I$22)</f>
        <v/>
      </c>
      <c r="E229">
        <f>k_n*C229-B229^2</f>
        <v/>
      </c>
      <c r="F229">
        <f>IF(ABS(E229)&lt;1E-14,0,(k_n*D229-B229*k_n*k_ymean)/E229)</f>
        <v/>
      </c>
      <c r="G229">
        <f>IF(k_n&gt;0,(k_n*k_ymean-F229*B229)/k_n,0)</f>
        <v/>
      </c>
      <c r="H229">
        <f>IF(AND(F229&gt;0,ABS(E229)&gt;=1E-14),SUMPRODUCT(Calc!$K$3:$K$22,(Calc!$I$3:$I$22-G229-F229*EXP(A229*Calc!$L$3:$L$22))^2),1E+300)</f>
        <v/>
      </c>
    </row>
    <row r="230">
      <c r="A230" t="n">
        <v>4.42</v>
      </c>
      <c r="B230">
        <f>SUMPRODUCT(Calc!$K$3:$K$22,EXP(A230*Calc!$L$3:$L$22))</f>
        <v/>
      </c>
      <c r="C230">
        <f>SUMPRODUCT(Calc!$K$3:$K$22,EXP(2*A230*Calc!$L$3:$L$22))</f>
        <v/>
      </c>
      <c r="D230">
        <f>SUMPRODUCT(Calc!$K$3:$K$22,EXP(A230*Calc!$L$3:$L$22),Calc!$I$3:$I$22)</f>
        <v/>
      </c>
      <c r="E230">
        <f>k_n*C230-B230^2</f>
        <v/>
      </c>
      <c r="F230">
        <f>IF(ABS(E230)&lt;1E-14,0,(k_n*D230-B230*k_n*k_ymean)/E230)</f>
        <v/>
      </c>
      <c r="G230">
        <f>IF(k_n&gt;0,(k_n*k_ymean-F230*B230)/k_n,0)</f>
        <v/>
      </c>
      <c r="H230">
        <f>IF(AND(F230&gt;0,ABS(E230)&gt;=1E-14),SUMPRODUCT(Calc!$K$3:$K$22,(Calc!$I$3:$I$22-G230-F230*EXP(A230*Calc!$L$3:$L$22))^2),1E+300)</f>
        <v/>
      </c>
    </row>
    <row r="231">
      <c r="A231" t="n">
        <v>4.44</v>
      </c>
      <c r="B231">
        <f>SUMPRODUCT(Calc!$K$3:$K$22,EXP(A231*Calc!$L$3:$L$22))</f>
        <v/>
      </c>
      <c r="C231">
        <f>SUMPRODUCT(Calc!$K$3:$K$22,EXP(2*A231*Calc!$L$3:$L$22))</f>
        <v/>
      </c>
      <c r="D231">
        <f>SUMPRODUCT(Calc!$K$3:$K$22,EXP(A231*Calc!$L$3:$L$22),Calc!$I$3:$I$22)</f>
        <v/>
      </c>
      <c r="E231">
        <f>k_n*C231-B231^2</f>
        <v/>
      </c>
      <c r="F231">
        <f>IF(ABS(E231)&lt;1E-14,0,(k_n*D231-B231*k_n*k_ymean)/E231)</f>
        <v/>
      </c>
      <c r="G231">
        <f>IF(k_n&gt;0,(k_n*k_ymean-F231*B231)/k_n,0)</f>
        <v/>
      </c>
      <c r="H231">
        <f>IF(AND(F231&gt;0,ABS(E231)&gt;=1E-14),SUMPRODUCT(Calc!$K$3:$K$22,(Calc!$I$3:$I$22-G231-F231*EXP(A231*Calc!$L$3:$L$22))^2),1E+300)</f>
        <v/>
      </c>
    </row>
    <row r="232">
      <c r="A232" t="n">
        <v>4.46</v>
      </c>
      <c r="B232">
        <f>SUMPRODUCT(Calc!$K$3:$K$22,EXP(A232*Calc!$L$3:$L$22))</f>
        <v/>
      </c>
      <c r="C232">
        <f>SUMPRODUCT(Calc!$K$3:$K$22,EXP(2*A232*Calc!$L$3:$L$22))</f>
        <v/>
      </c>
      <c r="D232">
        <f>SUMPRODUCT(Calc!$K$3:$K$22,EXP(A232*Calc!$L$3:$L$22),Calc!$I$3:$I$22)</f>
        <v/>
      </c>
      <c r="E232">
        <f>k_n*C232-B232^2</f>
        <v/>
      </c>
      <c r="F232">
        <f>IF(ABS(E232)&lt;1E-14,0,(k_n*D232-B232*k_n*k_ymean)/E232)</f>
        <v/>
      </c>
      <c r="G232">
        <f>IF(k_n&gt;0,(k_n*k_ymean-F232*B232)/k_n,0)</f>
        <v/>
      </c>
      <c r="H232">
        <f>IF(AND(F232&gt;0,ABS(E232)&gt;=1E-14),SUMPRODUCT(Calc!$K$3:$K$22,(Calc!$I$3:$I$22-G232-F232*EXP(A232*Calc!$L$3:$L$22))^2),1E+300)</f>
        <v/>
      </c>
    </row>
    <row r="233">
      <c r="A233" t="n">
        <v>4.48</v>
      </c>
      <c r="B233">
        <f>SUMPRODUCT(Calc!$K$3:$K$22,EXP(A233*Calc!$L$3:$L$22))</f>
        <v/>
      </c>
      <c r="C233">
        <f>SUMPRODUCT(Calc!$K$3:$K$22,EXP(2*A233*Calc!$L$3:$L$22))</f>
        <v/>
      </c>
      <c r="D233">
        <f>SUMPRODUCT(Calc!$K$3:$K$22,EXP(A233*Calc!$L$3:$L$22),Calc!$I$3:$I$22)</f>
        <v/>
      </c>
      <c r="E233">
        <f>k_n*C233-B233^2</f>
        <v/>
      </c>
      <c r="F233">
        <f>IF(ABS(E233)&lt;1E-14,0,(k_n*D233-B233*k_n*k_ymean)/E233)</f>
        <v/>
      </c>
      <c r="G233">
        <f>IF(k_n&gt;0,(k_n*k_ymean-F233*B233)/k_n,0)</f>
        <v/>
      </c>
      <c r="H233">
        <f>IF(AND(F233&gt;0,ABS(E233)&gt;=1E-14),SUMPRODUCT(Calc!$K$3:$K$22,(Calc!$I$3:$I$22-G233-F233*EXP(A233*Calc!$L$3:$L$22))^2),1E+300)</f>
        <v/>
      </c>
    </row>
    <row r="234">
      <c r="A234" t="n">
        <v>4.5</v>
      </c>
      <c r="B234">
        <f>SUMPRODUCT(Calc!$K$3:$K$22,EXP(A234*Calc!$L$3:$L$22))</f>
        <v/>
      </c>
      <c r="C234">
        <f>SUMPRODUCT(Calc!$K$3:$K$22,EXP(2*A234*Calc!$L$3:$L$22))</f>
        <v/>
      </c>
      <c r="D234">
        <f>SUMPRODUCT(Calc!$K$3:$K$22,EXP(A234*Calc!$L$3:$L$22),Calc!$I$3:$I$22)</f>
        <v/>
      </c>
      <c r="E234">
        <f>k_n*C234-B234^2</f>
        <v/>
      </c>
      <c r="F234">
        <f>IF(ABS(E234)&lt;1E-14,0,(k_n*D234-B234*k_n*k_ymean)/E234)</f>
        <v/>
      </c>
      <c r="G234">
        <f>IF(k_n&gt;0,(k_n*k_ymean-F234*B234)/k_n,0)</f>
        <v/>
      </c>
      <c r="H234">
        <f>IF(AND(F234&gt;0,ABS(E234)&gt;=1E-14),SUMPRODUCT(Calc!$K$3:$K$22,(Calc!$I$3:$I$22-G234-F234*EXP(A234*Calc!$L$3:$L$22))^2),1E+300)</f>
        <v/>
      </c>
    </row>
    <row r="235">
      <c r="A235" t="n">
        <v>4.52</v>
      </c>
      <c r="B235">
        <f>SUMPRODUCT(Calc!$K$3:$K$22,EXP(A235*Calc!$L$3:$L$22))</f>
        <v/>
      </c>
      <c r="C235">
        <f>SUMPRODUCT(Calc!$K$3:$K$22,EXP(2*A235*Calc!$L$3:$L$22))</f>
        <v/>
      </c>
      <c r="D235">
        <f>SUMPRODUCT(Calc!$K$3:$K$22,EXP(A235*Calc!$L$3:$L$22),Calc!$I$3:$I$22)</f>
        <v/>
      </c>
      <c r="E235">
        <f>k_n*C235-B235^2</f>
        <v/>
      </c>
      <c r="F235">
        <f>IF(ABS(E235)&lt;1E-14,0,(k_n*D235-B235*k_n*k_ymean)/E235)</f>
        <v/>
      </c>
      <c r="G235">
        <f>IF(k_n&gt;0,(k_n*k_ymean-F235*B235)/k_n,0)</f>
        <v/>
      </c>
      <c r="H235">
        <f>IF(AND(F235&gt;0,ABS(E235)&gt;=1E-14),SUMPRODUCT(Calc!$K$3:$K$22,(Calc!$I$3:$I$22-G235-F235*EXP(A235*Calc!$L$3:$L$22))^2),1E+300)</f>
        <v/>
      </c>
    </row>
    <row r="236">
      <c r="A236" t="n">
        <v>4.54</v>
      </c>
      <c r="B236">
        <f>SUMPRODUCT(Calc!$K$3:$K$22,EXP(A236*Calc!$L$3:$L$22))</f>
        <v/>
      </c>
      <c r="C236">
        <f>SUMPRODUCT(Calc!$K$3:$K$22,EXP(2*A236*Calc!$L$3:$L$22))</f>
        <v/>
      </c>
      <c r="D236">
        <f>SUMPRODUCT(Calc!$K$3:$K$22,EXP(A236*Calc!$L$3:$L$22),Calc!$I$3:$I$22)</f>
        <v/>
      </c>
      <c r="E236">
        <f>k_n*C236-B236^2</f>
        <v/>
      </c>
      <c r="F236">
        <f>IF(ABS(E236)&lt;1E-14,0,(k_n*D236-B236*k_n*k_ymean)/E236)</f>
        <v/>
      </c>
      <c r="G236">
        <f>IF(k_n&gt;0,(k_n*k_ymean-F236*B236)/k_n,0)</f>
        <v/>
      </c>
      <c r="H236">
        <f>IF(AND(F236&gt;0,ABS(E236)&gt;=1E-14),SUMPRODUCT(Calc!$K$3:$K$22,(Calc!$I$3:$I$22-G236-F236*EXP(A236*Calc!$L$3:$L$22))^2),1E+300)</f>
        <v/>
      </c>
    </row>
    <row r="237">
      <c r="A237" t="n">
        <v>4.56</v>
      </c>
      <c r="B237">
        <f>SUMPRODUCT(Calc!$K$3:$K$22,EXP(A237*Calc!$L$3:$L$22))</f>
        <v/>
      </c>
      <c r="C237">
        <f>SUMPRODUCT(Calc!$K$3:$K$22,EXP(2*A237*Calc!$L$3:$L$22))</f>
        <v/>
      </c>
      <c r="D237">
        <f>SUMPRODUCT(Calc!$K$3:$K$22,EXP(A237*Calc!$L$3:$L$22),Calc!$I$3:$I$22)</f>
        <v/>
      </c>
      <c r="E237">
        <f>k_n*C237-B237^2</f>
        <v/>
      </c>
      <c r="F237">
        <f>IF(ABS(E237)&lt;1E-14,0,(k_n*D237-B237*k_n*k_ymean)/E237)</f>
        <v/>
      </c>
      <c r="G237">
        <f>IF(k_n&gt;0,(k_n*k_ymean-F237*B237)/k_n,0)</f>
        <v/>
      </c>
      <c r="H237">
        <f>IF(AND(F237&gt;0,ABS(E237)&gt;=1E-14),SUMPRODUCT(Calc!$K$3:$K$22,(Calc!$I$3:$I$22-G237-F237*EXP(A237*Calc!$L$3:$L$22))^2),1E+300)</f>
        <v/>
      </c>
    </row>
    <row r="238">
      <c r="A238" t="n">
        <v>4.58</v>
      </c>
      <c r="B238">
        <f>SUMPRODUCT(Calc!$K$3:$K$22,EXP(A238*Calc!$L$3:$L$22))</f>
        <v/>
      </c>
      <c r="C238">
        <f>SUMPRODUCT(Calc!$K$3:$K$22,EXP(2*A238*Calc!$L$3:$L$22))</f>
        <v/>
      </c>
      <c r="D238">
        <f>SUMPRODUCT(Calc!$K$3:$K$22,EXP(A238*Calc!$L$3:$L$22),Calc!$I$3:$I$22)</f>
        <v/>
      </c>
      <c r="E238">
        <f>k_n*C238-B238^2</f>
        <v/>
      </c>
      <c r="F238">
        <f>IF(ABS(E238)&lt;1E-14,0,(k_n*D238-B238*k_n*k_ymean)/E238)</f>
        <v/>
      </c>
      <c r="G238">
        <f>IF(k_n&gt;0,(k_n*k_ymean-F238*B238)/k_n,0)</f>
        <v/>
      </c>
      <c r="H238">
        <f>IF(AND(F238&gt;0,ABS(E238)&gt;=1E-14),SUMPRODUCT(Calc!$K$3:$K$22,(Calc!$I$3:$I$22-G238-F238*EXP(A238*Calc!$L$3:$L$22))^2),1E+300)</f>
        <v/>
      </c>
    </row>
    <row r="239">
      <c r="A239" t="n">
        <v>4.6</v>
      </c>
      <c r="B239">
        <f>SUMPRODUCT(Calc!$K$3:$K$22,EXP(A239*Calc!$L$3:$L$22))</f>
        <v/>
      </c>
      <c r="C239">
        <f>SUMPRODUCT(Calc!$K$3:$K$22,EXP(2*A239*Calc!$L$3:$L$22))</f>
        <v/>
      </c>
      <c r="D239">
        <f>SUMPRODUCT(Calc!$K$3:$K$22,EXP(A239*Calc!$L$3:$L$22),Calc!$I$3:$I$22)</f>
        <v/>
      </c>
      <c r="E239">
        <f>k_n*C239-B239^2</f>
        <v/>
      </c>
      <c r="F239">
        <f>IF(ABS(E239)&lt;1E-14,0,(k_n*D239-B239*k_n*k_ymean)/E239)</f>
        <v/>
      </c>
      <c r="G239">
        <f>IF(k_n&gt;0,(k_n*k_ymean-F239*B239)/k_n,0)</f>
        <v/>
      </c>
      <c r="H239">
        <f>IF(AND(F239&gt;0,ABS(E239)&gt;=1E-14),SUMPRODUCT(Calc!$K$3:$K$22,(Calc!$I$3:$I$22-G239-F239*EXP(A239*Calc!$L$3:$L$22))^2),1E+300)</f>
        <v/>
      </c>
    </row>
    <row r="240">
      <c r="A240" t="n">
        <v>4.62</v>
      </c>
      <c r="B240">
        <f>SUMPRODUCT(Calc!$K$3:$K$22,EXP(A240*Calc!$L$3:$L$22))</f>
        <v/>
      </c>
      <c r="C240">
        <f>SUMPRODUCT(Calc!$K$3:$K$22,EXP(2*A240*Calc!$L$3:$L$22))</f>
        <v/>
      </c>
      <c r="D240">
        <f>SUMPRODUCT(Calc!$K$3:$K$22,EXP(A240*Calc!$L$3:$L$22),Calc!$I$3:$I$22)</f>
        <v/>
      </c>
      <c r="E240">
        <f>k_n*C240-B240^2</f>
        <v/>
      </c>
      <c r="F240">
        <f>IF(ABS(E240)&lt;1E-14,0,(k_n*D240-B240*k_n*k_ymean)/E240)</f>
        <v/>
      </c>
      <c r="G240">
        <f>IF(k_n&gt;0,(k_n*k_ymean-F240*B240)/k_n,0)</f>
        <v/>
      </c>
      <c r="H240">
        <f>IF(AND(F240&gt;0,ABS(E240)&gt;=1E-14),SUMPRODUCT(Calc!$K$3:$K$22,(Calc!$I$3:$I$22-G240-F240*EXP(A240*Calc!$L$3:$L$22))^2),1E+300)</f>
        <v/>
      </c>
    </row>
    <row r="241">
      <c r="A241" t="n">
        <v>4.64</v>
      </c>
      <c r="B241">
        <f>SUMPRODUCT(Calc!$K$3:$K$22,EXP(A241*Calc!$L$3:$L$22))</f>
        <v/>
      </c>
      <c r="C241">
        <f>SUMPRODUCT(Calc!$K$3:$K$22,EXP(2*A241*Calc!$L$3:$L$22))</f>
        <v/>
      </c>
      <c r="D241">
        <f>SUMPRODUCT(Calc!$K$3:$K$22,EXP(A241*Calc!$L$3:$L$22),Calc!$I$3:$I$22)</f>
        <v/>
      </c>
      <c r="E241">
        <f>k_n*C241-B241^2</f>
        <v/>
      </c>
      <c r="F241">
        <f>IF(ABS(E241)&lt;1E-14,0,(k_n*D241-B241*k_n*k_ymean)/E241)</f>
        <v/>
      </c>
      <c r="G241">
        <f>IF(k_n&gt;0,(k_n*k_ymean-F241*B241)/k_n,0)</f>
        <v/>
      </c>
      <c r="H241">
        <f>IF(AND(F241&gt;0,ABS(E241)&gt;=1E-14),SUMPRODUCT(Calc!$K$3:$K$22,(Calc!$I$3:$I$22-G241-F241*EXP(A241*Calc!$L$3:$L$22))^2),1E+300)</f>
        <v/>
      </c>
    </row>
    <row r="242">
      <c r="A242" t="n">
        <v>4.66</v>
      </c>
      <c r="B242">
        <f>SUMPRODUCT(Calc!$K$3:$K$22,EXP(A242*Calc!$L$3:$L$22))</f>
        <v/>
      </c>
      <c r="C242">
        <f>SUMPRODUCT(Calc!$K$3:$K$22,EXP(2*A242*Calc!$L$3:$L$22))</f>
        <v/>
      </c>
      <c r="D242">
        <f>SUMPRODUCT(Calc!$K$3:$K$22,EXP(A242*Calc!$L$3:$L$22),Calc!$I$3:$I$22)</f>
        <v/>
      </c>
      <c r="E242">
        <f>k_n*C242-B242^2</f>
        <v/>
      </c>
      <c r="F242">
        <f>IF(ABS(E242)&lt;1E-14,0,(k_n*D242-B242*k_n*k_ymean)/E242)</f>
        <v/>
      </c>
      <c r="G242">
        <f>IF(k_n&gt;0,(k_n*k_ymean-F242*B242)/k_n,0)</f>
        <v/>
      </c>
      <c r="H242">
        <f>IF(AND(F242&gt;0,ABS(E242)&gt;=1E-14),SUMPRODUCT(Calc!$K$3:$K$22,(Calc!$I$3:$I$22-G242-F242*EXP(A242*Calc!$L$3:$L$22))^2),1E+300)</f>
        <v/>
      </c>
    </row>
    <row r="243">
      <c r="A243" t="n">
        <v>4.68</v>
      </c>
      <c r="B243">
        <f>SUMPRODUCT(Calc!$K$3:$K$22,EXP(A243*Calc!$L$3:$L$22))</f>
        <v/>
      </c>
      <c r="C243">
        <f>SUMPRODUCT(Calc!$K$3:$K$22,EXP(2*A243*Calc!$L$3:$L$22))</f>
        <v/>
      </c>
      <c r="D243">
        <f>SUMPRODUCT(Calc!$K$3:$K$22,EXP(A243*Calc!$L$3:$L$22),Calc!$I$3:$I$22)</f>
        <v/>
      </c>
      <c r="E243">
        <f>k_n*C243-B243^2</f>
        <v/>
      </c>
      <c r="F243">
        <f>IF(ABS(E243)&lt;1E-14,0,(k_n*D243-B243*k_n*k_ymean)/E243)</f>
        <v/>
      </c>
      <c r="G243">
        <f>IF(k_n&gt;0,(k_n*k_ymean-F243*B243)/k_n,0)</f>
        <v/>
      </c>
      <c r="H243">
        <f>IF(AND(F243&gt;0,ABS(E243)&gt;=1E-14),SUMPRODUCT(Calc!$K$3:$K$22,(Calc!$I$3:$I$22-G243-F243*EXP(A243*Calc!$L$3:$L$22))^2),1E+300)</f>
        <v/>
      </c>
    </row>
    <row r="244">
      <c r="A244" t="n">
        <v>4.7</v>
      </c>
      <c r="B244">
        <f>SUMPRODUCT(Calc!$K$3:$K$22,EXP(A244*Calc!$L$3:$L$22))</f>
        <v/>
      </c>
      <c r="C244">
        <f>SUMPRODUCT(Calc!$K$3:$K$22,EXP(2*A244*Calc!$L$3:$L$22))</f>
        <v/>
      </c>
      <c r="D244">
        <f>SUMPRODUCT(Calc!$K$3:$K$22,EXP(A244*Calc!$L$3:$L$22),Calc!$I$3:$I$22)</f>
        <v/>
      </c>
      <c r="E244">
        <f>k_n*C244-B244^2</f>
        <v/>
      </c>
      <c r="F244">
        <f>IF(ABS(E244)&lt;1E-14,0,(k_n*D244-B244*k_n*k_ymean)/E244)</f>
        <v/>
      </c>
      <c r="G244">
        <f>IF(k_n&gt;0,(k_n*k_ymean-F244*B244)/k_n,0)</f>
        <v/>
      </c>
      <c r="H244">
        <f>IF(AND(F244&gt;0,ABS(E244)&gt;=1E-14),SUMPRODUCT(Calc!$K$3:$K$22,(Calc!$I$3:$I$22-G244-F244*EXP(A244*Calc!$L$3:$L$22))^2),1E+300)</f>
        <v/>
      </c>
    </row>
    <row r="245">
      <c r="A245" t="n">
        <v>4.72</v>
      </c>
      <c r="B245">
        <f>SUMPRODUCT(Calc!$K$3:$K$22,EXP(A245*Calc!$L$3:$L$22))</f>
        <v/>
      </c>
      <c r="C245">
        <f>SUMPRODUCT(Calc!$K$3:$K$22,EXP(2*A245*Calc!$L$3:$L$22))</f>
        <v/>
      </c>
      <c r="D245">
        <f>SUMPRODUCT(Calc!$K$3:$K$22,EXP(A245*Calc!$L$3:$L$22),Calc!$I$3:$I$22)</f>
        <v/>
      </c>
      <c r="E245">
        <f>k_n*C245-B245^2</f>
        <v/>
      </c>
      <c r="F245">
        <f>IF(ABS(E245)&lt;1E-14,0,(k_n*D245-B245*k_n*k_ymean)/E245)</f>
        <v/>
      </c>
      <c r="G245">
        <f>IF(k_n&gt;0,(k_n*k_ymean-F245*B245)/k_n,0)</f>
        <v/>
      </c>
      <c r="H245">
        <f>IF(AND(F245&gt;0,ABS(E245)&gt;=1E-14),SUMPRODUCT(Calc!$K$3:$K$22,(Calc!$I$3:$I$22-G245-F245*EXP(A245*Calc!$L$3:$L$22))^2),1E+300)</f>
        <v/>
      </c>
    </row>
    <row r="246">
      <c r="A246" t="n">
        <v>4.74</v>
      </c>
      <c r="B246">
        <f>SUMPRODUCT(Calc!$K$3:$K$22,EXP(A246*Calc!$L$3:$L$22))</f>
        <v/>
      </c>
      <c r="C246">
        <f>SUMPRODUCT(Calc!$K$3:$K$22,EXP(2*A246*Calc!$L$3:$L$22))</f>
        <v/>
      </c>
      <c r="D246">
        <f>SUMPRODUCT(Calc!$K$3:$K$22,EXP(A246*Calc!$L$3:$L$22),Calc!$I$3:$I$22)</f>
        <v/>
      </c>
      <c r="E246">
        <f>k_n*C246-B246^2</f>
        <v/>
      </c>
      <c r="F246">
        <f>IF(ABS(E246)&lt;1E-14,0,(k_n*D246-B246*k_n*k_ymean)/E246)</f>
        <v/>
      </c>
      <c r="G246">
        <f>IF(k_n&gt;0,(k_n*k_ymean-F246*B246)/k_n,0)</f>
        <v/>
      </c>
      <c r="H246">
        <f>IF(AND(F246&gt;0,ABS(E246)&gt;=1E-14),SUMPRODUCT(Calc!$K$3:$K$22,(Calc!$I$3:$I$22-G246-F246*EXP(A246*Calc!$L$3:$L$22))^2),1E+300)</f>
        <v/>
      </c>
    </row>
    <row r="247">
      <c r="A247" t="n">
        <v>4.76</v>
      </c>
      <c r="B247">
        <f>SUMPRODUCT(Calc!$K$3:$K$22,EXP(A247*Calc!$L$3:$L$22))</f>
        <v/>
      </c>
      <c r="C247">
        <f>SUMPRODUCT(Calc!$K$3:$K$22,EXP(2*A247*Calc!$L$3:$L$22))</f>
        <v/>
      </c>
      <c r="D247">
        <f>SUMPRODUCT(Calc!$K$3:$K$22,EXP(A247*Calc!$L$3:$L$22),Calc!$I$3:$I$22)</f>
        <v/>
      </c>
      <c r="E247">
        <f>k_n*C247-B247^2</f>
        <v/>
      </c>
      <c r="F247">
        <f>IF(ABS(E247)&lt;1E-14,0,(k_n*D247-B247*k_n*k_ymean)/E247)</f>
        <v/>
      </c>
      <c r="G247">
        <f>IF(k_n&gt;0,(k_n*k_ymean-F247*B247)/k_n,0)</f>
        <v/>
      </c>
      <c r="H247">
        <f>IF(AND(F247&gt;0,ABS(E247)&gt;=1E-14),SUMPRODUCT(Calc!$K$3:$K$22,(Calc!$I$3:$I$22-G247-F247*EXP(A247*Calc!$L$3:$L$22))^2),1E+300)</f>
        <v/>
      </c>
    </row>
    <row r="248">
      <c r="A248" t="n">
        <v>4.78</v>
      </c>
      <c r="B248">
        <f>SUMPRODUCT(Calc!$K$3:$K$22,EXP(A248*Calc!$L$3:$L$22))</f>
        <v/>
      </c>
      <c r="C248">
        <f>SUMPRODUCT(Calc!$K$3:$K$22,EXP(2*A248*Calc!$L$3:$L$22))</f>
        <v/>
      </c>
      <c r="D248">
        <f>SUMPRODUCT(Calc!$K$3:$K$22,EXP(A248*Calc!$L$3:$L$22),Calc!$I$3:$I$22)</f>
        <v/>
      </c>
      <c r="E248">
        <f>k_n*C248-B248^2</f>
        <v/>
      </c>
      <c r="F248">
        <f>IF(ABS(E248)&lt;1E-14,0,(k_n*D248-B248*k_n*k_ymean)/E248)</f>
        <v/>
      </c>
      <c r="G248">
        <f>IF(k_n&gt;0,(k_n*k_ymean-F248*B248)/k_n,0)</f>
        <v/>
      </c>
      <c r="H248">
        <f>IF(AND(F248&gt;0,ABS(E248)&gt;=1E-14),SUMPRODUCT(Calc!$K$3:$K$22,(Calc!$I$3:$I$22-G248-F248*EXP(A248*Calc!$L$3:$L$22))^2),1E+300)</f>
        <v/>
      </c>
    </row>
    <row r="249">
      <c r="A249" t="n">
        <v>4.8</v>
      </c>
      <c r="B249">
        <f>SUMPRODUCT(Calc!$K$3:$K$22,EXP(A249*Calc!$L$3:$L$22))</f>
        <v/>
      </c>
      <c r="C249">
        <f>SUMPRODUCT(Calc!$K$3:$K$22,EXP(2*A249*Calc!$L$3:$L$22))</f>
        <v/>
      </c>
      <c r="D249">
        <f>SUMPRODUCT(Calc!$K$3:$K$22,EXP(A249*Calc!$L$3:$L$22),Calc!$I$3:$I$22)</f>
        <v/>
      </c>
      <c r="E249">
        <f>k_n*C249-B249^2</f>
        <v/>
      </c>
      <c r="F249">
        <f>IF(ABS(E249)&lt;1E-14,0,(k_n*D249-B249*k_n*k_ymean)/E249)</f>
        <v/>
      </c>
      <c r="G249">
        <f>IF(k_n&gt;0,(k_n*k_ymean-F249*B249)/k_n,0)</f>
        <v/>
      </c>
      <c r="H249">
        <f>IF(AND(F249&gt;0,ABS(E249)&gt;=1E-14),SUMPRODUCT(Calc!$K$3:$K$22,(Calc!$I$3:$I$22-G249-F249*EXP(A249*Calc!$L$3:$L$22))^2),1E+300)</f>
        <v/>
      </c>
    </row>
    <row r="250">
      <c r="A250" t="n">
        <v>4.82</v>
      </c>
      <c r="B250">
        <f>SUMPRODUCT(Calc!$K$3:$K$22,EXP(A250*Calc!$L$3:$L$22))</f>
        <v/>
      </c>
      <c r="C250">
        <f>SUMPRODUCT(Calc!$K$3:$K$22,EXP(2*A250*Calc!$L$3:$L$22))</f>
        <v/>
      </c>
      <c r="D250">
        <f>SUMPRODUCT(Calc!$K$3:$K$22,EXP(A250*Calc!$L$3:$L$22),Calc!$I$3:$I$22)</f>
        <v/>
      </c>
      <c r="E250">
        <f>k_n*C250-B250^2</f>
        <v/>
      </c>
      <c r="F250">
        <f>IF(ABS(E250)&lt;1E-14,0,(k_n*D250-B250*k_n*k_ymean)/E250)</f>
        <v/>
      </c>
      <c r="G250">
        <f>IF(k_n&gt;0,(k_n*k_ymean-F250*B250)/k_n,0)</f>
        <v/>
      </c>
      <c r="H250">
        <f>IF(AND(F250&gt;0,ABS(E250)&gt;=1E-14),SUMPRODUCT(Calc!$K$3:$K$22,(Calc!$I$3:$I$22-G250-F250*EXP(A250*Calc!$L$3:$L$22))^2),1E+300)</f>
        <v/>
      </c>
    </row>
    <row r="251">
      <c r="A251" t="n">
        <v>4.84</v>
      </c>
      <c r="B251">
        <f>SUMPRODUCT(Calc!$K$3:$K$22,EXP(A251*Calc!$L$3:$L$22))</f>
        <v/>
      </c>
      <c r="C251">
        <f>SUMPRODUCT(Calc!$K$3:$K$22,EXP(2*A251*Calc!$L$3:$L$22))</f>
        <v/>
      </c>
      <c r="D251">
        <f>SUMPRODUCT(Calc!$K$3:$K$22,EXP(A251*Calc!$L$3:$L$22),Calc!$I$3:$I$22)</f>
        <v/>
      </c>
      <c r="E251">
        <f>k_n*C251-B251^2</f>
        <v/>
      </c>
      <c r="F251">
        <f>IF(ABS(E251)&lt;1E-14,0,(k_n*D251-B251*k_n*k_ymean)/E251)</f>
        <v/>
      </c>
      <c r="G251">
        <f>IF(k_n&gt;0,(k_n*k_ymean-F251*B251)/k_n,0)</f>
        <v/>
      </c>
      <c r="H251">
        <f>IF(AND(F251&gt;0,ABS(E251)&gt;=1E-14),SUMPRODUCT(Calc!$K$3:$K$22,(Calc!$I$3:$I$22-G251-F251*EXP(A251*Calc!$L$3:$L$22))^2),1E+300)</f>
        <v/>
      </c>
    </row>
    <row r="252">
      <c r="A252" t="n">
        <v>4.86</v>
      </c>
      <c r="B252">
        <f>SUMPRODUCT(Calc!$K$3:$K$22,EXP(A252*Calc!$L$3:$L$22))</f>
        <v/>
      </c>
      <c r="C252">
        <f>SUMPRODUCT(Calc!$K$3:$K$22,EXP(2*A252*Calc!$L$3:$L$22))</f>
        <v/>
      </c>
      <c r="D252">
        <f>SUMPRODUCT(Calc!$K$3:$K$22,EXP(A252*Calc!$L$3:$L$22),Calc!$I$3:$I$22)</f>
        <v/>
      </c>
      <c r="E252">
        <f>k_n*C252-B252^2</f>
        <v/>
      </c>
      <c r="F252">
        <f>IF(ABS(E252)&lt;1E-14,0,(k_n*D252-B252*k_n*k_ymean)/E252)</f>
        <v/>
      </c>
      <c r="G252">
        <f>IF(k_n&gt;0,(k_n*k_ymean-F252*B252)/k_n,0)</f>
        <v/>
      </c>
      <c r="H252">
        <f>IF(AND(F252&gt;0,ABS(E252)&gt;=1E-14),SUMPRODUCT(Calc!$K$3:$K$22,(Calc!$I$3:$I$22-G252-F252*EXP(A252*Calc!$L$3:$L$22))^2),1E+300)</f>
        <v/>
      </c>
    </row>
    <row r="253">
      <c r="A253" t="n">
        <v>4.88</v>
      </c>
      <c r="B253">
        <f>SUMPRODUCT(Calc!$K$3:$K$22,EXP(A253*Calc!$L$3:$L$22))</f>
        <v/>
      </c>
      <c r="C253">
        <f>SUMPRODUCT(Calc!$K$3:$K$22,EXP(2*A253*Calc!$L$3:$L$22))</f>
        <v/>
      </c>
      <c r="D253">
        <f>SUMPRODUCT(Calc!$K$3:$K$22,EXP(A253*Calc!$L$3:$L$22),Calc!$I$3:$I$22)</f>
        <v/>
      </c>
      <c r="E253">
        <f>k_n*C253-B253^2</f>
        <v/>
      </c>
      <c r="F253">
        <f>IF(ABS(E253)&lt;1E-14,0,(k_n*D253-B253*k_n*k_ymean)/E253)</f>
        <v/>
      </c>
      <c r="G253">
        <f>IF(k_n&gt;0,(k_n*k_ymean-F253*B253)/k_n,0)</f>
        <v/>
      </c>
      <c r="H253">
        <f>IF(AND(F253&gt;0,ABS(E253)&gt;=1E-14),SUMPRODUCT(Calc!$K$3:$K$22,(Calc!$I$3:$I$22-G253-F253*EXP(A253*Calc!$L$3:$L$22))^2),1E+300)</f>
        <v/>
      </c>
    </row>
    <row r="254">
      <c r="A254" t="n">
        <v>4.9</v>
      </c>
      <c r="B254">
        <f>SUMPRODUCT(Calc!$K$3:$K$22,EXP(A254*Calc!$L$3:$L$22))</f>
        <v/>
      </c>
      <c r="C254">
        <f>SUMPRODUCT(Calc!$K$3:$K$22,EXP(2*A254*Calc!$L$3:$L$22))</f>
        <v/>
      </c>
      <c r="D254">
        <f>SUMPRODUCT(Calc!$K$3:$K$22,EXP(A254*Calc!$L$3:$L$22),Calc!$I$3:$I$22)</f>
        <v/>
      </c>
      <c r="E254">
        <f>k_n*C254-B254^2</f>
        <v/>
      </c>
      <c r="F254">
        <f>IF(ABS(E254)&lt;1E-14,0,(k_n*D254-B254*k_n*k_ymean)/E254)</f>
        <v/>
      </c>
      <c r="G254">
        <f>IF(k_n&gt;0,(k_n*k_ymean-F254*B254)/k_n,0)</f>
        <v/>
      </c>
      <c r="H254">
        <f>IF(AND(F254&gt;0,ABS(E254)&gt;=1E-14),SUMPRODUCT(Calc!$K$3:$K$22,(Calc!$I$3:$I$22-G254-F254*EXP(A254*Calc!$L$3:$L$22))^2),1E+300)</f>
        <v/>
      </c>
    </row>
    <row r="255">
      <c r="A255" t="n">
        <v>4.92</v>
      </c>
      <c r="B255">
        <f>SUMPRODUCT(Calc!$K$3:$K$22,EXP(A255*Calc!$L$3:$L$22))</f>
        <v/>
      </c>
      <c r="C255">
        <f>SUMPRODUCT(Calc!$K$3:$K$22,EXP(2*A255*Calc!$L$3:$L$22))</f>
        <v/>
      </c>
      <c r="D255">
        <f>SUMPRODUCT(Calc!$K$3:$K$22,EXP(A255*Calc!$L$3:$L$22),Calc!$I$3:$I$22)</f>
        <v/>
      </c>
      <c r="E255">
        <f>k_n*C255-B255^2</f>
        <v/>
      </c>
      <c r="F255">
        <f>IF(ABS(E255)&lt;1E-14,0,(k_n*D255-B255*k_n*k_ymean)/E255)</f>
        <v/>
      </c>
      <c r="G255">
        <f>IF(k_n&gt;0,(k_n*k_ymean-F255*B255)/k_n,0)</f>
        <v/>
      </c>
      <c r="H255">
        <f>IF(AND(F255&gt;0,ABS(E255)&gt;=1E-14),SUMPRODUCT(Calc!$K$3:$K$22,(Calc!$I$3:$I$22-G255-F255*EXP(A255*Calc!$L$3:$L$22))^2),1E+300)</f>
        <v/>
      </c>
    </row>
    <row r="256">
      <c r="A256" t="n">
        <v>4.94</v>
      </c>
      <c r="B256">
        <f>SUMPRODUCT(Calc!$K$3:$K$22,EXP(A256*Calc!$L$3:$L$22))</f>
        <v/>
      </c>
      <c r="C256">
        <f>SUMPRODUCT(Calc!$K$3:$K$22,EXP(2*A256*Calc!$L$3:$L$22))</f>
        <v/>
      </c>
      <c r="D256">
        <f>SUMPRODUCT(Calc!$K$3:$K$22,EXP(A256*Calc!$L$3:$L$22),Calc!$I$3:$I$22)</f>
        <v/>
      </c>
      <c r="E256">
        <f>k_n*C256-B256^2</f>
        <v/>
      </c>
      <c r="F256">
        <f>IF(ABS(E256)&lt;1E-14,0,(k_n*D256-B256*k_n*k_ymean)/E256)</f>
        <v/>
      </c>
      <c r="G256">
        <f>IF(k_n&gt;0,(k_n*k_ymean-F256*B256)/k_n,0)</f>
        <v/>
      </c>
      <c r="H256">
        <f>IF(AND(F256&gt;0,ABS(E256)&gt;=1E-14),SUMPRODUCT(Calc!$K$3:$K$22,(Calc!$I$3:$I$22-G256-F256*EXP(A256*Calc!$L$3:$L$22))^2),1E+300)</f>
        <v/>
      </c>
    </row>
    <row r="257">
      <c r="A257" t="n">
        <v>4.96</v>
      </c>
      <c r="B257">
        <f>SUMPRODUCT(Calc!$K$3:$K$22,EXP(A257*Calc!$L$3:$L$22))</f>
        <v/>
      </c>
      <c r="C257">
        <f>SUMPRODUCT(Calc!$K$3:$K$22,EXP(2*A257*Calc!$L$3:$L$22))</f>
        <v/>
      </c>
      <c r="D257">
        <f>SUMPRODUCT(Calc!$K$3:$K$22,EXP(A257*Calc!$L$3:$L$22),Calc!$I$3:$I$22)</f>
        <v/>
      </c>
      <c r="E257">
        <f>k_n*C257-B257^2</f>
        <v/>
      </c>
      <c r="F257">
        <f>IF(ABS(E257)&lt;1E-14,0,(k_n*D257-B257*k_n*k_ymean)/E257)</f>
        <v/>
      </c>
      <c r="G257">
        <f>IF(k_n&gt;0,(k_n*k_ymean-F257*B257)/k_n,0)</f>
        <v/>
      </c>
      <c r="H257">
        <f>IF(AND(F257&gt;0,ABS(E257)&gt;=1E-14),SUMPRODUCT(Calc!$K$3:$K$22,(Calc!$I$3:$I$22-G257-F257*EXP(A257*Calc!$L$3:$L$22))^2),1E+300)</f>
        <v/>
      </c>
    </row>
    <row r="258">
      <c r="A258" t="n">
        <v>4.98</v>
      </c>
      <c r="B258">
        <f>SUMPRODUCT(Calc!$K$3:$K$22,EXP(A258*Calc!$L$3:$L$22))</f>
        <v/>
      </c>
      <c r="C258">
        <f>SUMPRODUCT(Calc!$K$3:$K$22,EXP(2*A258*Calc!$L$3:$L$22))</f>
        <v/>
      </c>
      <c r="D258">
        <f>SUMPRODUCT(Calc!$K$3:$K$22,EXP(A258*Calc!$L$3:$L$22),Calc!$I$3:$I$22)</f>
        <v/>
      </c>
      <c r="E258">
        <f>k_n*C258-B258^2</f>
        <v/>
      </c>
      <c r="F258">
        <f>IF(ABS(E258)&lt;1E-14,0,(k_n*D258-B258*k_n*k_ymean)/E258)</f>
        <v/>
      </c>
      <c r="G258">
        <f>IF(k_n&gt;0,(k_n*k_ymean-F258*B258)/k_n,0)</f>
        <v/>
      </c>
      <c r="H258">
        <f>IF(AND(F258&gt;0,ABS(E258)&gt;=1E-14),SUMPRODUCT(Calc!$K$3:$K$22,(Calc!$I$3:$I$22-G258-F258*EXP(A258*Calc!$L$3:$L$22))^2),1E+300)</f>
        <v/>
      </c>
    </row>
    <row r="259">
      <c r="A259" t="n">
        <v>5</v>
      </c>
      <c r="B259">
        <f>SUMPRODUCT(Calc!$K$3:$K$22,EXP(A259*Calc!$L$3:$L$22))</f>
        <v/>
      </c>
      <c r="C259">
        <f>SUMPRODUCT(Calc!$K$3:$K$22,EXP(2*A259*Calc!$L$3:$L$22))</f>
        <v/>
      </c>
      <c r="D259">
        <f>SUMPRODUCT(Calc!$K$3:$K$22,EXP(A259*Calc!$L$3:$L$22),Calc!$I$3:$I$22)</f>
        <v/>
      </c>
      <c r="E259">
        <f>k_n*C259-B259^2</f>
        <v/>
      </c>
      <c r="F259">
        <f>IF(ABS(E259)&lt;1E-14,0,(k_n*D259-B259*k_n*k_ymean)/E259)</f>
        <v/>
      </c>
      <c r="G259">
        <f>IF(k_n&gt;0,(k_n*k_ymean-F259*B259)/k_n,0)</f>
        <v/>
      </c>
      <c r="H259">
        <f>IF(AND(F259&gt;0,ABS(E259)&gt;=1E-14),SUMPRODUCT(Calc!$K$3:$K$22,(Calc!$I$3:$I$22-G259-F259*EXP(A259*Calc!$L$3:$L$22))^2),1E+300)</f>
        <v/>
      </c>
    </row>
    <row r="260">
      <c r="A260" t="n">
        <v>5.02</v>
      </c>
      <c r="B260">
        <f>SUMPRODUCT(Calc!$K$3:$K$22,EXP(A260*Calc!$L$3:$L$22))</f>
        <v/>
      </c>
      <c r="C260">
        <f>SUMPRODUCT(Calc!$K$3:$K$22,EXP(2*A260*Calc!$L$3:$L$22))</f>
        <v/>
      </c>
      <c r="D260">
        <f>SUMPRODUCT(Calc!$K$3:$K$22,EXP(A260*Calc!$L$3:$L$22),Calc!$I$3:$I$22)</f>
        <v/>
      </c>
      <c r="E260">
        <f>k_n*C260-B260^2</f>
        <v/>
      </c>
      <c r="F260">
        <f>IF(ABS(E260)&lt;1E-14,0,(k_n*D260-B260*k_n*k_ymean)/E260)</f>
        <v/>
      </c>
      <c r="G260">
        <f>IF(k_n&gt;0,(k_n*k_ymean-F260*B260)/k_n,0)</f>
        <v/>
      </c>
      <c r="H260">
        <f>IF(AND(F260&gt;0,ABS(E260)&gt;=1E-14),SUMPRODUCT(Calc!$K$3:$K$22,(Calc!$I$3:$I$22-G260-F260*EXP(A260*Calc!$L$3:$L$22))^2),1E+300)</f>
        <v/>
      </c>
    </row>
    <row r="261">
      <c r="A261" t="n">
        <v>5.04</v>
      </c>
      <c r="B261">
        <f>SUMPRODUCT(Calc!$K$3:$K$22,EXP(A261*Calc!$L$3:$L$22))</f>
        <v/>
      </c>
      <c r="C261">
        <f>SUMPRODUCT(Calc!$K$3:$K$22,EXP(2*A261*Calc!$L$3:$L$22))</f>
        <v/>
      </c>
      <c r="D261">
        <f>SUMPRODUCT(Calc!$K$3:$K$22,EXP(A261*Calc!$L$3:$L$22),Calc!$I$3:$I$22)</f>
        <v/>
      </c>
      <c r="E261">
        <f>k_n*C261-B261^2</f>
        <v/>
      </c>
      <c r="F261">
        <f>IF(ABS(E261)&lt;1E-14,0,(k_n*D261-B261*k_n*k_ymean)/E261)</f>
        <v/>
      </c>
      <c r="G261">
        <f>IF(k_n&gt;0,(k_n*k_ymean-F261*B261)/k_n,0)</f>
        <v/>
      </c>
      <c r="H261">
        <f>IF(AND(F261&gt;0,ABS(E261)&gt;=1E-14),SUMPRODUCT(Calc!$K$3:$K$22,(Calc!$I$3:$I$22-G261-F261*EXP(A261*Calc!$L$3:$L$22))^2),1E+300)</f>
        <v/>
      </c>
    </row>
    <row r="262">
      <c r="A262" t="n">
        <v>5.06</v>
      </c>
      <c r="B262">
        <f>SUMPRODUCT(Calc!$K$3:$K$22,EXP(A262*Calc!$L$3:$L$22))</f>
        <v/>
      </c>
      <c r="C262">
        <f>SUMPRODUCT(Calc!$K$3:$K$22,EXP(2*A262*Calc!$L$3:$L$22))</f>
        <v/>
      </c>
      <c r="D262">
        <f>SUMPRODUCT(Calc!$K$3:$K$22,EXP(A262*Calc!$L$3:$L$22),Calc!$I$3:$I$22)</f>
        <v/>
      </c>
      <c r="E262">
        <f>k_n*C262-B262^2</f>
        <v/>
      </c>
      <c r="F262">
        <f>IF(ABS(E262)&lt;1E-14,0,(k_n*D262-B262*k_n*k_ymean)/E262)</f>
        <v/>
      </c>
      <c r="G262">
        <f>IF(k_n&gt;0,(k_n*k_ymean-F262*B262)/k_n,0)</f>
        <v/>
      </c>
      <c r="H262">
        <f>IF(AND(F262&gt;0,ABS(E262)&gt;=1E-14),SUMPRODUCT(Calc!$K$3:$K$22,(Calc!$I$3:$I$22-G262-F262*EXP(A262*Calc!$L$3:$L$22))^2),1E+300)</f>
        <v/>
      </c>
    </row>
    <row r="263">
      <c r="A263" t="n">
        <v>5.08</v>
      </c>
      <c r="B263">
        <f>SUMPRODUCT(Calc!$K$3:$K$22,EXP(A263*Calc!$L$3:$L$22))</f>
        <v/>
      </c>
      <c r="C263">
        <f>SUMPRODUCT(Calc!$K$3:$K$22,EXP(2*A263*Calc!$L$3:$L$22))</f>
        <v/>
      </c>
      <c r="D263">
        <f>SUMPRODUCT(Calc!$K$3:$K$22,EXP(A263*Calc!$L$3:$L$22),Calc!$I$3:$I$22)</f>
        <v/>
      </c>
      <c r="E263">
        <f>k_n*C263-B263^2</f>
        <v/>
      </c>
      <c r="F263">
        <f>IF(ABS(E263)&lt;1E-14,0,(k_n*D263-B263*k_n*k_ymean)/E263)</f>
        <v/>
      </c>
      <c r="G263">
        <f>IF(k_n&gt;0,(k_n*k_ymean-F263*B263)/k_n,0)</f>
        <v/>
      </c>
      <c r="H263">
        <f>IF(AND(F263&gt;0,ABS(E263)&gt;=1E-14),SUMPRODUCT(Calc!$K$3:$K$22,(Calc!$I$3:$I$22-G263-F263*EXP(A263*Calc!$L$3:$L$22))^2),1E+300)</f>
        <v/>
      </c>
    </row>
    <row r="264">
      <c r="A264" t="n">
        <v>5.1</v>
      </c>
      <c r="B264">
        <f>SUMPRODUCT(Calc!$K$3:$K$22,EXP(A264*Calc!$L$3:$L$22))</f>
        <v/>
      </c>
      <c r="C264">
        <f>SUMPRODUCT(Calc!$K$3:$K$22,EXP(2*A264*Calc!$L$3:$L$22))</f>
        <v/>
      </c>
      <c r="D264">
        <f>SUMPRODUCT(Calc!$K$3:$K$22,EXP(A264*Calc!$L$3:$L$22),Calc!$I$3:$I$22)</f>
        <v/>
      </c>
      <c r="E264">
        <f>k_n*C264-B264^2</f>
        <v/>
      </c>
      <c r="F264">
        <f>IF(ABS(E264)&lt;1E-14,0,(k_n*D264-B264*k_n*k_ymean)/E264)</f>
        <v/>
      </c>
      <c r="G264">
        <f>IF(k_n&gt;0,(k_n*k_ymean-F264*B264)/k_n,0)</f>
        <v/>
      </c>
      <c r="H264">
        <f>IF(AND(F264&gt;0,ABS(E264)&gt;=1E-14),SUMPRODUCT(Calc!$K$3:$K$22,(Calc!$I$3:$I$22-G264-F264*EXP(A264*Calc!$L$3:$L$22))^2),1E+300)</f>
        <v/>
      </c>
    </row>
    <row r="265">
      <c r="A265" t="n">
        <v>5.12</v>
      </c>
      <c r="B265">
        <f>SUMPRODUCT(Calc!$K$3:$K$22,EXP(A265*Calc!$L$3:$L$22))</f>
        <v/>
      </c>
      <c r="C265">
        <f>SUMPRODUCT(Calc!$K$3:$K$22,EXP(2*A265*Calc!$L$3:$L$22))</f>
        <v/>
      </c>
      <c r="D265">
        <f>SUMPRODUCT(Calc!$K$3:$K$22,EXP(A265*Calc!$L$3:$L$22),Calc!$I$3:$I$22)</f>
        <v/>
      </c>
      <c r="E265">
        <f>k_n*C265-B265^2</f>
        <v/>
      </c>
      <c r="F265">
        <f>IF(ABS(E265)&lt;1E-14,0,(k_n*D265-B265*k_n*k_ymean)/E265)</f>
        <v/>
      </c>
      <c r="G265">
        <f>IF(k_n&gt;0,(k_n*k_ymean-F265*B265)/k_n,0)</f>
        <v/>
      </c>
      <c r="H265">
        <f>IF(AND(F265&gt;0,ABS(E265)&gt;=1E-14),SUMPRODUCT(Calc!$K$3:$K$22,(Calc!$I$3:$I$22-G265-F265*EXP(A265*Calc!$L$3:$L$22))^2),1E+300)</f>
        <v/>
      </c>
    </row>
    <row r="266">
      <c r="A266" t="n">
        <v>5.14</v>
      </c>
      <c r="B266">
        <f>SUMPRODUCT(Calc!$K$3:$K$22,EXP(A266*Calc!$L$3:$L$22))</f>
        <v/>
      </c>
      <c r="C266">
        <f>SUMPRODUCT(Calc!$K$3:$K$22,EXP(2*A266*Calc!$L$3:$L$22))</f>
        <v/>
      </c>
      <c r="D266">
        <f>SUMPRODUCT(Calc!$K$3:$K$22,EXP(A266*Calc!$L$3:$L$22),Calc!$I$3:$I$22)</f>
        <v/>
      </c>
      <c r="E266">
        <f>k_n*C266-B266^2</f>
        <v/>
      </c>
      <c r="F266">
        <f>IF(ABS(E266)&lt;1E-14,0,(k_n*D266-B266*k_n*k_ymean)/E266)</f>
        <v/>
      </c>
      <c r="G266">
        <f>IF(k_n&gt;0,(k_n*k_ymean-F266*B266)/k_n,0)</f>
        <v/>
      </c>
      <c r="H266">
        <f>IF(AND(F266&gt;0,ABS(E266)&gt;=1E-14),SUMPRODUCT(Calc!$K$3:$K$22,(Calc!$I$3:$I$22-G266-F266*EXP(A266*Calc!$L$3:$L$22))^2),1E+300)</f>
        <v/>
      </c>
    </row>
    <row r="267">
      <c r="A267" t="n">
        <v>5.16</v>
      </c>
      <c r="B267">
        <f>SUMPRODUCT(Calc!$K$3:$K$22,EXP(A267*Calc!$L$3:$L$22))</f>
        <v/>
      </c>
      <c r="C267">
        <f>SUMPRODUCT(Calc!$K$3:$K$22,EXP(2*A267*Calc!$L$3:$L$22))</f>
        <v/>
      </c>
      <c r="D267">
        <f>SUMPRODUCT(Calc!$K$3:$K$22,EXP(A267*Calc!$L$3:$L$22),Calc!$I$3:$I$22)</f>
        <v/>
      </c>
      <c r="E267">
        <f>k_n*C267-B267^2</f>
        <v/>
      </c>
      <c r="F267">
        <f>IF(ABS(E267)&lt;1E-14,0,(k_n*D267-B267*k_n*k_ymean)/E267)</f>
        <v/>
      </c>
      <c r="G267">
        <f>IF(k_n&gt;0,(k_n*k_ymean-F267*B267)/k_n,0)</f>
        <v/>
      </c>
      <c r="H267">
        <f>IF(AND(F267&gt;0,ABS(E267)&gt;=1E-14),SUMPRODUCT(Calc!$K$3:$K$22,(Calc!$I$3:$I$22-G267-F267*EXP(A267*Calc!$L$3:$L$22))^2),1E+300)</f>
        <v/>
      </c>
    </row>
    <row r="268">
      <c r="A268" t="n">
        <v>5.18</v>
      </c>
      <c r="B268">
        <f>SUMPRODUCT(Calc!$K$3:$K$22,EXP(A268*Calc!$L$3:$L$22))</f>
        <v/>
      </c>
      <c r="C268">
        <f>SUMPRODUCT(Calc!$K$3:$K$22,EXP(2*A268*Calc!$L$3:$L$22))</f>
        <v/>
      </c>
      <c r="D268">
        <f>SUMPRODUCT(Calc!$K$3:$K$22,EXP(A268*Calc!$L$3:$L$22),Calc!$I$3:$I$22)</f>
        <v/>
      </c>
      <c r="E268">
        <f>k_n*C268-B268^2</f>
        <v/>
      </c>
      <c r="F268">
        <f>IF(ABS(E268)&lt;1E-14,0,(k_n*D268-B268*k_n*k_ymean)/E268)</f>
        <v/>
      </c>
      <c r="G268">
        <f>IF(k_n&gt;0,(k_n*k_ymean-F268*B268)/k_n,0)</f>
        <v/>
      </c>
      <c r="H268">
        <f>IF(AND(F268&gt;0,ABS(E268)&gt;=1E-14),SUMPRODUCT(Calc!$K$3:$K$22,(Calc!$I$3:$I$22-G268-F268*EXP(A268*Calc!$L$3:$L$22))^2),1E+300)</f>
        <v/>
      </c>
    </row>
    <row r="269">
      <c r="A269" t="n">
        <v>5.2</v>
      </c>
      <c r="B269">
        <f>SUMPRODUCT(Calc!$K$3:$K$22,EXP(A269*Calc!$L$3:$L$22))</f>
        <v/>
      </c>
      <c r="C269">
        <f>SUMPRODUCT(Calc!$K$3:$K$22,EXP(2*A269*Calc!$L$3:$L$22))</f>
        <v/>
      </c>
      <c r="D269">
        <f>SUMPRODUCT(Calc!$K$3:$K$22,EXP(A269*Calc!$L$3:$L$22),Calc!$I$3:$I$22)</f>
        <v/>
      </c>
      <c r="E269">
        <f>k_n*C269-B269^2</f>
        <v/>
      </c>
      <c r="F269">
        <f>IF(ABS(E269)&lt;1E-14,0,(k_n*D269-B269*k_n*k_ymean)/E269)</f>
        <v/>
      </c>
      <c r="G269">
        <f>IF(k_n&gt;0,(k_n*k_ymean-F269*B269)/k_n,0)</f>
        <v/>
      </c>
      <c r="H269">
        <f>IF(AND(F269&gt;0,ABS(E269)&gt;=1E-14),SUMPRODUCT(Calc!$K$3:$K$22,(Calc!$I$3:$I$22-G269-F269*EXP(A269*Calc!$L$3:$L$22))^2),1E+300)</f>
        <v/>
      </c>
    </row>
    <row r="270">
      <c r="A270" t="n">
        <v>5.22</v>
      </c>
      <c r="B270">
        <f>SUMPRODUCT(Calc!$K$3:$K$22,EXP(A270*Calc!$L$3:$L$22))</f>
        <v/>
      </c>
      <c r="C270">
        <f>SUMPRODUCT(Calc!$K$3:$K$22,EXP(2*A270*Calc!$L$3:$L$22))</f>
        <v/>
      </c>
      <c r="D270">
        <f>SUMPRODUCT(Calc!$K$3:$K$22,EXP(A270*Calc!$L$3:$L$22),Calc!$I$3:$I$22)</f>
        <v/>
      </c>
      <c r="E270">
        <f>k_n*C270-B270^2</f>
        <v/>
      </c>
      <c r="F270">
        <f>IF(ABS(E270)&lt;1E-14,0,(k_n*D270-B270*k_n*k_ymean)/E270)</f>
        <v/>
      </c>
      <c r="G270">
        <f>IF(k_n&gt;0,(k_n*k_ymean-F270*B270)/k_n,0)</f>
        <v/>
      </c>
      <c r="H270">
        <f>IF(AND(F270&gt;0,ABS(E270)&gt;=1E-14),SUMPRODUCT(Calc!$K$3:$K$22,(Calc!$I$3:$I$22-G270-F270*EXP(A270*Calc!$L$3:$L$22))^2),1E+300)</f>
        <v/>
      </c>
    </row>
    <row r="271">
      <c r="A271" t="n">
        <v>5.24</v>
      </c>
      <c r="B271">
        <f>SUMPRODUCT(Calc!$K$3:$K$22,EXP(A271*Calc!$L$3:$L$22))</f>
        <v/>
      </c>
      <c r="C271">
        <f>SUMPRODUCT(Calc!$K$3:$K$22,EXP(2*A271*Calc!$L$3:$L$22))</f>
        <v/>
      </c>
      <c r="D271">
        <f>SUMPRODUCT(Calc!$K$3:$K$22,EXP(A271*Calc!$L$3:$L$22),Calc!$I$3:$I$22)</f>
        <v/>
      </c>
      <c r="E271">
        <f>k_n*C271-B271^2</f>
        <v/>
      </c>
      <c r="F271">
        <f>IF(ABS(E271)&lt;1E-14,0,(k_n*D271-B271*k_n*k_ymean)/E271)</f>
        <v/>
      </c>
      <c r="G271">
        <f>IF(k_n&gt;0,(k_n*k_ymean-F271*B271)/k_n,0)</f>
        <v/>
      </c>
      <c r="H271">
        <f>IF(AND(F271&gt;0,ABS(E271)&gt;=1E-14),SUMPRODUCT(Calc!$K$3:$K$22,(Calc!$I$3:$I$22-G271-F271*EXP(A271*Calc!$L$3:$L$22))^2),1E+300)</f>
        <v/>
      </c>
    </row>
    <row r="272">
      <c r="A272" t="n">
        <v>5.26</v>
      </c>
      <c r="B272">
        <f>SUMPRODUCT(Calc!$K$3:$K$22,EXP(A272*Calc!$L$3:$L$22))</f>
        <v/>
      </c>
      <c r="C272">
        <f>SUMPRODUCT(Calc!$K$3:$K$22,EXP(2*A272*Calc!$L$3:$L$22))</f>
        <v/>
      </c>
      <c r="D272">
        <f>SUMPRODUCT(Calc!$K$3:$K$22,EXP(A272*Calc!$L$3:$L$22),Calc!$I$3:$I$22)</f>
        <v/>
      </c>
      <c r="E272">
        <f>k_n*C272-B272^2</f>
        <v/>
      </c>
      <c r="F272">
        <f>IF(ABS(E272)&lt;1E-14,0,(k_n*D272-B272*k_n*k_ymean)/E272)</f>
        <v/>
      </c>
      <c r="G272">
        <f>IF(k_n&gt;0,(k_n*k_ymean-F272*B272)/k_n,0)</f>
        <v/>
      </c>
      <c r="H272">
        <f>IF(AND(F272&gt;0,ABS(E272)&gt;=1E-14),SUMPRODUCT(Calc!$K$3:$K$22,(Calc!$I$3:$I$22-G272-F272*EXP(A272*Calc!$L$3:$L$22))^2),1E+300)</f>
        <v/>
      </c>
    </row>
    <row r="273">
      <c r="A273" t="n">
        <v>5.28</v>
      </c>
      <c r="B273">
        <f>SUMPRODUCT(Calc!$K$3:$K$22,EXP(A273*Calc!$L$3:$L$22))</f>
        <v/>
      </c>
      <c r="C273">
        <f>SUMPRODUCT(Calc!$K$3:$K$22,EXP(2*A273*Calc!$L$3:$L$22))</f>
        <v/>
      </c>
      <c r="D273">
        <f>SUMPRODUCT(Calc!$K$3:$K$22,EXP(A273*Calc!$L$3:$L$22),Calc!$I$3:$I$22)</f>
        <v/>
      </c>
      <c r="E273">
        <f>k_n*C273-B273^2</f>
        <v/>
      </c>
      <c r="F273">
        <f>IF(ABS(E273)&lt;1E-14,0,(k_n*D273-B273*k_n*k_ymean)/E273)</f>
        <v/>
      </c>
      <c r="G273">
        <f>IF(k_n&gt;0,(k_n*k_ymean-F273*B273)/k_n,0)</f>
        <v/>
      </c>
      <c r="H273">
        <f>IF(AND(F273&gt;0,ABS(E273)&gt;=1E-14),SUMPRODUCT(Calc!$K$3:$K$22,(Calc!$I$3:$I$22-G273-F273*EXP(A273*Calc!$L$3:$L$22))^2),1E+300)</f>
        <v/>
      </c>
    </row>
    <row r="274">
      <c r="A274" t="n">
        <v>5.3</v>
      </c>
      <c r="B274">
        <f>SUMPRODUCT(Calc!$K$3:$K$22,EXP(A274*Calc!$L$3:$L$22))</f>
        <v/>
      </c>
      <c r="C274">
        <f>SUMPRODUCT(Calc!$K$3:$K$22,EXP(2*A274*Calc!$L$3:$L$22))</f>
        <v/>
      </c>
      <c r="D274">
        <f>SUMPRODUCT(Calc!$K$3:$K$22,EXP(A274*Calc!$L$3:$L$22),Calc!$I$3:$I$22)</f>
        <v/>
      </c>
      <c r="E274">
        <f>k_n*C274-B274^2</f>
        <v/>
      </c>
      <c r="F274">
        <f>IF(ABS(E274)&lt;1E-14,0,(k_n*D274-B274*k_n*k_ymean)/E274)</f>
        <v/>
      </c>
      <c r="G274">
        <f>IF(k_n&gt;0,(k_n*k_ymean-F274*B274)/k_n,0)</f>
        <v/>
      </c>
      <c r="H274">
        <f>IF(AND(F274&gt;0,ABS(E274)&gt;=1E-14),SUMPRODUCT(Calc!$K$3:$K$22,(Calc!$I$3:$I$22-G274-F274*EXP(A274*Calc!$L$3:$L$22))^2),1E+300)</f>
        <v/>
      </c>
    </row>
    <row r="275">
      <c r="A275" t="n">
        <v>5.32</v>
      </c>
      <c r="B275">
        <f>SUMPRODUCT(Calc!$K$3:$K$22,EXP(A275*Calc!$L$3:$L$22))</f>
        <v/>
      </c>
      <c r="C275">
        <f>SUMPRODUCT(Calc!$K$3:$K$22,EXP(2*A275*Calc!$L$3:$L$22))</f>
        <v/>
      </c>
      <c r="D275">
        <f>SUMPRODUCT(Calc!$K$3:$K$22,EXP(A275*Calc!$L$3:$L$22),Calc!$I$3:$I$22)</f>
        <v/>
      </c>
      <c r="E275">
        <f>k_n*C275-B275^2</f>
        <v/>
      </c>
      <c r="F275">
        <f>IF(ABS(E275)&lt;1E-14,0,(k_n*D275-B275*k_n*k_ymean)/E275)</f>
        <v/>
      </c>
      <c r="G275">
        <f>IF(k_n&gt;0,(k_n*k_ymean-F275*B275)/k_n,0)</f>
        <v/>
      </c>
      <c r="H275">
        <f>IF(AND(F275&gt;0,ABS(E275)&gt;=1E-14),SUMPRODUCT(Calc!$K$3:$K$22,(Calc!$I$3:$I$22-G275-F275*EXP(A275*Calc!$L$3:$L$22))^2),1E+300)</f>
        <v/>
      </c>
    </row>
    <row r="276">
      <c r="A276" t="n">
        <v>5.34</v>
      </c>
      <c r="B276">
        <f>SUMPRODUCT(Calc!$K$3:$K$22,EXP(A276*Calc!$L$3:$L$22))</f>
        <v/>
      </c>
      <c r="C276">
        <f>SUMPRODUCT(Calc!$K$3:$K$22,EXP(2*A276*Calc!$L$3:$L$22))</f>
        <v/>
      </c>
      <c r="D276">
        <f>SUMPRODUCT(Calc!$K$3:$K$22,EXP(A276*Calc!$L$3:$L$22),Calc!$I$3:$I$22)</f>
        <v/>
      </c>
      <c r="E276">
        <f>k_n*C276-B276^2</f>
        <v/>
      </c>
      <c r="F276">
        <f>IF(ABS(E276)&lt;1E-14,0,(k_n*D276-B276*k_n*k_ymean)/E276)</f>
        <v/>
      </c>
      <c r="G276">
        <f>IF(k_n&gt;0,(k_n*k_ymean-F276*B276)/k_n,0)</f>
        <v/>
      </c>
      <c r="H276">
        <f>IF(AND(F276&gt;0,ABS(E276)&gt;=1E-14),SUMPRODUCT(Calc!$K$3:$K$22,(Calc!$I$3:$I$22-G276-F276*EXP(A276*Calc!$L$3:$L$22))^2),1E+300)</f>
        <v/>
      </c>
    </row>
    <row r="277">
      <c r="A277" t="n">
        <v>5.36</v>
      </c>
      <c r="B277">
        <f>SUMPRODUCT(Calc!$K$3:$K$22,EXP(A277*Calc!$L$3:$L$22))</f>
        <v/>
      </c>
      <c r="C277">
        <f>SUMPRODUCT(Calc!$K$3:$K$22,EXP(2*A277*Calc!$L$3:$L$22))</f>
        <v/>
      </c>
      <c r="D277">
        <f>SUMPRODUCT(Calc!$K$3:$K$22,EXP(A277*Calc!$L$3:$L$22),Calc!$I$3:$I$22)</f>
        <v/>
      </c>
      <c r="E277">
        <f>k_n*C277-B277^2</f>
        <v/>
      </c>
      <c r="F277">
        <f>IF(ABS(E277)&lt;1E-14,0,(k_n*D277-B277*k_n*k_ymean)/E277)</f>
        <v/>
      </c>
      <c r="G277">
        <f>IF(k_n&gt;0,(k_n*k_ymean-F277*B277)/k_n,0)</f>
        <v/>
      </c>
      <c r="H277">
        <f>IF(AND(F277&gt;0,ABS(E277)&gt;=1E-14),SUMPRODUCT(Calc!$K$3:$K$22,(Calc!$I$3:$I$22-G277-F277*EXP(A277*Calc!$L$3:$L$22))^2),1E+300)</f>
        <v/>
      </c>
    </row>
    <row r="278">
      <c r="A278" t="n">
        <v>5.38</v>
      </c>
      <c r="B278">
        <f>SUMPRODUCT(Calc!$K$3:$K$22,EXP(A278*Calc!$L$3:$L$22))</f>
        <v/>
      </c>
      <c r="C278">
        <f>SUMPRODUCT(Calc!$K$3:$K$22,EXP(2*A278*Calc!$L$3:$L$22))</f>
        <v/>
      </c>
      <c r="D278">
        <f>SUMPRODUCT(Calc!$K$3:$K$22,EXP(A278*Calc!$L$3:$L$22),Calc!$I$3:$I$22)</f>
        <v/>
      </c>
      <c r="E278">
        <f>k_n*C278-B278^2</f>
        <v/>
      </c>
      <c r="F278">
        <f>IF(ABS(E278)&lt;1E-14,0,(k_n*D278-B278*k_n*k_ymean)/E278)</f>
        <v/>
      </c>
      <c r="G278">
        <f>IF(k_n&gt;0,(k_n*k_ymean-F278*B278)/k_n,0)</f>
        <v/>
      </c>
      <c r="H278">
        <f>IF(AND(F278&gt;0,ABS(E278)&gt;=1E-14),SUMPRODUCT(Calc!$K$3:$K$22,(Calc!$I$3:$I$22-G278-F278*EXP(A278*Calc!$L$3:$L$22))^2),1E+300)</f>
        <v/>
      </c>
    </row>
    <row r="279">
      <c r="A279" t="n">
        <v>5.4</v>
      </c>
      <c r="B279">
        <f>SUMPRODUCT(Calc!$K$3:$K$22,EXP(A279*Calc!$L$3:$L$22))</f>
        <v/>
      </c>
      <c r="C279">
        <f>SUMPRODUCT(Calc!$K$3:$K$22,EXP(2*A279*Calc!$L$3:$L$22))</f>
        <v/>
      </c>
      <c r="D279">
        <f>SUMPRODUCT(Calc!$K$3:$K$22,EXP(A279*Calc!$L$3:$L$22),Calc!$I$3:$I$22)</f>
        <v/>
      </c>
      <c r="E279">
        <f>k_n*C279-B279^2</f>
        <v/>
      </c>
      <c r="F279">
        <f>IF(ABS(E279)&lt;1E-14,0,(k_n*D279-B279*k_n*k_ymean)/E279)</f>
        <v/>
      </c>
      <c r="G279">
        <f>IF(k_n&gt;0,(k_n*k_ymean-F279*B279)/k_n,0)</f>
        <v/>
      </c>
      <c r="H279">
        <f>IF(AND(F279&gt;0,ABS(E279)&gt;=1E-14),SUMPRODUCT(Calc!$K$3:$K$22,(Calc!$I$3:$I$22-G279-F279*EXP(A279*Calc!$L$3:$L$22))^2),1E+300)</f>
        <v/>
      </c>
    </row>
    <row r="280">
      <c r="A280" t="n">
        <v>5.42</v>
      </c>
      <c r="B280">
        <f>SUMPRODUCT(Calc!$K$3:$K$22,EXP(A280*Calc!$L$3:$L$22))</f>
        <v/>
      </c>
      <c r="C280">
        <f>SUMPRODUCT(Calc!$K$3:$K$22,EXP(2*A280*Calc!$L$3:$L$22))</f>
        <v/>
      </c>
      <c r="D280">
        <f>SUMPRODUCT(Calc!$K$3:$K$22,EXP(A280*Calc!$L$3:$L$22),Calc!$I$3:$I$22)</f>
        <v/>
      </c>
      <c r="E280">
        <f>k_n*C280-B280^2</f>
        <v/>
      </c>
      <c r="F280">
        <f>IF(ABS(E280)&lt;1E-14,0,(k_n*D280-B280*k_n*k_ymean)/E280)</f>
        <v/>
      </c>
      <c r="G280">
        <f>IF(k_n&gt;0,(k_n*k_ymean-F280*B280)/k_n,0)</f>
        <v/>
      </c>
      <c r="H280">
        <f>IF(AND(F280&gt;0,ABS(E280)&gt;=1E-14),SUMPRODUCT(Calc!$K$3:$K$22,(Calc!$I$3:$I$22-G280-F280*EXP(A280*Calc!$L$3:$L$22))^2),1E+300)</f>
        <v/>
      </c>
    </row>
    <row r="281">
      <c r="A281" t="n">
        <v>5.44</v>
      </c>
      <c r="B281">
        <f>SUMPRODUCT(Calc!$K$3:$K$22,EXP(A281*Calc!$L$3:$L$22))</f>
        <v/>
      </c>
      <c r="C281">
        <f>SUMPRODUCT(Calc!$K$3:$K$22,EXP(2*A281*Calc!$L$3:$L$22))</f>
        <v/>
      </c>
      <c r="D281">
        <f>SUMPRODUCT(Calc!$K$3:$K$22,EXP(A281*Calc!$L$3:$L$22),Calc!$I$3:$I$22)</f>
        <v/>
      </c>
      <c r="E281">
        <f>k_n*C281-B281^2</f>
        <v/>
      </c>
      <c r="F281">
        <f>IF(ABS(E281)&lt;1E-14,0,(k_n*D281-B281*k_n*k_ymean)/E281)</f>
        <v/>
      </c>
      <c r="G281">
        <f>IF(k_n&gt;0,(k_n*k_ymean-F281*B281)/k_n,0)</f>
        <v/>
      </c>
      <c r="H281">
        <f>IF(AND(F281&gt;0,ABS(E281)&gt;=1E-14),SUMPRODUCT(Calc!$K$3:$K$22,(Calc!$I$3:$I$22-G281-F281*EXP(A281*Calc!$L$3:$L$22))^2),1E+300)</f>
        <v/>
      </c>
    </row>
    <row r="282">
      <c r="A282" t="n">
        <v>5.46</v>
      </c>
      <c r="B282">
        <f>SUMPRODUCT(Calc!$K$3:$K$22,EXP(A282*Calc!$L$3:$L$22))</f>
        <v/>
      </c>
      <c r="C282">
        <f>SUMPRODUCT(Calc!$K$3:$K$22,EXP(2*A282*Calc!$L$3:$L$22))</f>
        <v/>
      </c>
      <c r="D282">
        <f>SUMPRODUCT(Calc!$K$3:$K$22,EXP(A282*Calc!$L$3:$L$22),Calc!$I$3:$I$22)</f>
        <v/>
      </c>
      <c r="E282">
        <f>k_n*C282-B282^2</f>
        <v/>
      </c>
      <c r="F282">
        <f>IF(ABS(E282)&lt;1E-14,0,(k_n*D282-B282*k_n*k_ymean)/E282)</f>
        <v/>
      </c>
      <c r="G282">
        <f>IF(k_n&gt;0,(k_n*k_ymean-F282*B282)/k_n,0)</f>
        <v/>
      </c>
      <c r="H282">
        <f>IF(AND(F282&gt;0,ABS(E282)&gt;=1E-14),SUMPRODUCT(Calc!$K$3:$K$22,(Calc!$I$3:$I$22-G282-F282*EXP(A282*Calc!$L$3:$L$22))^2),1E+300)</f>
        <v/>
      </c>
    </row>
    <row r="283">
      <c r="A283" t="n">
        <v>5.48</v>
      </c>
      <c r="B283">
        <f>SUMPRODUCT(Calc!$K$3:$K$22,EXP(A283*Calc!$L$3:$L$22))</f>
        <v/>
      </c>
      <c r="C283">
        <f>SUMPRODUCT(Calc!$K$3:$K$22,EXP(2*A283*Calc!$L$3:$L$22))</f>
        <v/>
      </c>
      <c r="D283">
        <f>SUMPRODUCT(Calc!$K$3:$K$22,EXP(A283*Calc!$L$3:$L$22),Calc!$I$3:$I$22)</f>
        <v/>
      </c>
      <c r="E283">
        <f>k_n*C283-B283^2</f>
        <v/>
      </c>
      <c r="F283">
        <f>IF(ABS(E283)&lt;1E-14,0,(k_n*D283-B283*k_n*k_ymean)/E283)</f>
        <v/>
      </c>
      <c r="G283">
        <f>IF(k_n&gt;0,(k_n*k_ymean-F283*B283)/k_n,0)</f>
        <v/>
      </c>
      <c r="H283">
        <f>IF(AND(F283&gt;0,ABS(E283)&gt;=1E-14),SUMPRODUCT(Calc!$K$3:$K$22,(Calc!$I$3:$I$22-G283-F283*EXP(A283*Calc!$L$3:$L$22))^2),1E+300)</f>
        <v/>
      </c>
    </row>
    <row r="284">
      <c r="A284" t="n">
        <v>5.5</v>
      </c>
      <c r="B284">
        <f>SUMPRODUCT(Calc!$K$3:$K$22,EXP(A284*Calc!$L$3:$L$22))</f>
        <v/>
      </c>
      <c r="C284">
        <f>SUMPRODUCT(Calc!$K$3:$K$22,EXP(2*A284*Calc!$L$3:$L$22))</f>
        <v/>
      </c>
      <c r="D284">
        <f>SUMPRODUCT(Calc!$K$3:$K$22,EXP(A284*Calc!$L$3:$L$22),Calc!$I$3:$I$22)</f>
        <v/>
      </c>
      <c r="E284">
        <f>k_n*C284-B284^2</f>
        <v/>
      </c>
      <c r="F284">
        <f>IF(ABS(E284)&lt;1E-14,0,(k_n*D284-B284*k_n*k_ymean)/E284)</f>
        <v/>
      </c>
      <c r="G284">
        <f>IF(k_n&gt;0,(k_n*k_ymean-F284*B284)/k_n,0)</f>
        <v/>
      </c>
      <c r="H284">
        <f>IF(AND(F284&gt;0,ABS(E284)&gt;=1E-14),SUMPRODUCT(Calc!$K$3:$K$22,(Calc!$I$3:$I$22-G284-F284*EXP(A284*Calc!$L$3:$L$22))^2),1E+300)</f>
        <v/>
      </c>
    </row>
    <row r="285">
      <c r="A285" t="n">
        <v>5.52</v>
      </c>
      <c r="B285">
        <f>SUMPRODUCT(Calc!$K$3:$K$22,EXP(A285*Calc!$L$3:$L$22))</f>
        <v/>
      </c>
      <c r="C285">
        <f>SUMPRODUCT(Calc!$K$3:$K$22,EXP(2*A285*Calc!$L$3:$L$22))</f>
        <v/>
      </c>
      <c r="D285">
        <f>SUMPRODUCT(Calc!$K$3:$K$22,EXP(A285*Calc!$L$3:$L$22),Calc!$I$3:$I$22)</f>
        <v/>
      </c>
      <c r="E285">
        <f>k_n*C285-B285^2</f>
        <v/>
      </c>
      <c r="F285">
        <f>IF(ABS(E285)&lt;1E-14,0,(k_n*D285-B285*k_n*k_ymean)/E285)</f>
        <v/>
      </c>
      <c r="G285">
        <f>IF(k_n&gt;0,(k_n*k_ymean-F285*B285)/k_n,0)</f>
        <v/>
      </c>
      <c r="H285">
        <f>IF(AND(F285&gt;0,ABS(E285)&gt;=1E-14),SUMPRODUCT(Calc!$K$3:$K$22,(Calc!$I$3:$I$22-G285-F285*EXP(A285*Calc!$L$3:$L$22))^2),1E+300)</f>
        <v/>
      </c>
    </row>
    <row r="286">
      <c r="A286" t="n">
        <v>5.54</v>
      </c>
      <c r="B286">
        <f>SUMPRODUCT(Calc!$K$3:$K$22,EXP(A286*Calc!$L$3:$L$22))</f>
        <v/>
      </c>
      <c r="C286">
        <f>SUMPRODUCT(Calc!$K$3:$K$22,EXP(2*A286*Calc!$L$3:$L$22))</f>
        <v/>
      </c>
      <c r="D286">
        <f>SUMPRODUCT(Calc!$K$3:$K$22,EXP(A286*Calc!$L$3:$L$22),Calc!$I$3:$I$22)</f>
        <v/>
      </c>
      <c r="E286">
        <f>k_n*C286-B286^2</f>
        <v/>
      </c>
      <c r="F286">
        <f>IF(ABS(E286)&lt;1E-14,0,(k_n*D286-B286*k_n*k_ymean)/E286)</f>
        <v/>
      </c>
      <c r="G286">
        <f>IF(k_n&gt;0,(k_n*k_ymean-F286*B286)/k_n,0)</f>
        <v/>
      </c>
      <c r="H286">
        <f>IF(AND(F286&gt;0,ABS(E286)&gt;=1E-14),SUMPRODUCT(Calc!$K$3:$K$22,(Calc!$I$3:$I$22-G286-F286*EXP(A286*Calc!$L$3:$L$22))^2),1E+300)</f>
        <v/>
      </c>
    </row>
    <row r="287">
      <c r="A287" t="n">
        <v>5.56</v>
      </c>
      <c r="B287">
        <f>SUMPRODUCT(Calc!$K$3:$K$22,EXP(A287*Calc!$L$3:$L$22))</f>
        <v/>
      </c>
      <c r="C287">
        <f>SUMPRODUCT(Calc!$K$3:$K$22,EXP(2*A287*Calc!$L$3:$L$22))</f>
        <v/>
      </c>
      <c r="D287">
        <f>SUMPRODUCT(Calc!$K$3:$K$22,EXP(A287*Calc!$L$3:$L$22),Calc!$I$3:$I$22)</f>
        <v/>
      </c>
      <c r="E287">
        <f>k_n*C287-B287^2</f>
        <v/>
      </c>
      <c r="F287">
        <f>IF(ABS(E287)&lt;1E-14,0,(k_n*D287-B287*k_n*k_ymean)/E287)</f>
        <v/>
      </c>
      <c r="G287">
        <f>IF(k_n&gt;0,(k_n*k_ymean-F287*B287)/k_n,0)</f>
        <v/>
      </c>
      <c r="H287">
        <f>IF(AND(F287&gt;0,ABS(E287)&gt;=1E-14),SUMPRODUCT(Calc!$K$3:$K$22,(Calc!$I$3:$I$22-G287-F287*EXP(A287*Calc!$L$3:$L$22))^2),1E+300)</f>
        <v/>
      </c>
    </row>
    <row r="288">
      <c r="A288" t="n">
        <v>5.58</v>
      </c>
      <c r="B288">
        <f>SUMPRODUCT(Calc!$K$3:$K$22,EXP(A288*Calc!$L$3:$L$22))</f>
        <v/>
      </c>
      <c r="C288">
        <f>SUMPRODUCT(Calc!$K$3:$K$22,EXP(2*A288*Calc!$L$3:$L$22))</f>
        <v/>
      </c>
      <c r="D288">
        <f>SUMPRODUCT(Calc!$K$3:$K$22,EXP(A288*Calc!$L$3:$L$22),Calc!$I$3:$I$22)</f>
        <v/>
      </c>
      <c r="E288">
        <f>k_n*C288-B288^2</f>
        <v/>
      </c>
      <c r="F288">
        <f>IF(ABS(E288)&lt;1E-14,0,(k_n*D288-B288*k_n*k_ymean)/E288)</f>
        <v/>
      </c>
      <c r="G288">
        <f>IF(k_n&gt;0,(k_n*k_ymean-F288*B288)/k_n,0)</f>
        <v/>
      </c>
      <c r="H288">
        <f>IF(AND(F288&gt;0,ABS(E288)&gt;=1E-14),SUMPRODUCT(Calc!$K$3:$K$22,(Calc!$I$3:$I$22-G288-F288*EXP(A288*Calc!$L$3:$L$22))^2),1E+300)</f>
        <v/>
      </c>
    </row>
    <row r="289">
      <c r="A289" t="n">
        <v>5.6</v>
      </c>
      <c r="B289">
        <f>SUMPRODUCT(Calc!$K$3:$K$22,EXP(A289*Calc!$L$3:$L$22))</f>
        <v/>
      </c>
      <c r="C289">
        <f>SUMPRODUCT(Calc!$K$3:$K$22,EXP(2*A289*Calc!$L$3:$L$22))</f>
        <v/>
      </c>
      <c r="D289">
        <f>SUMPRODUCT(Calc!$K$3:$K$22,EXP(A289*Calc!$L$3:$L$22),Calc!$I$3:$I$22)</f>
        <v/>
      </c>
      <c r="E289">
        <f>k_n*C289-B289^2</f>
        <v/>
      </c>
      <c r="F289">
        <f>IF(ABS(E289)&lt;1E-14,0,(k_n*D289-B289*k_n*k_ymean)/E289)</f>
        <v/>
      </c>
      <c r="G289">
        <f>IF(k_n&gt;0,(k_n*k_ymean-F289*B289)/k_n,0)</f>
        <v/>
      </c>
      <c r="H289">
        <f>IF(AND(F289&gt;0,ABS(E289)&gt;=1E-14),SUMPRODUCT(Calc!$K$3:$K$22,(Calc!$I$3:$I$22-G289-F289*EXP(A289*Calc!$L$3:$L$22))^2),1E+300)</f>
        <v/>
      </c>
    </row>
    <row r="290">
      <c r="A290" t="n">
        <v>5.62</v>
      </c>
      <c r="B290">
        <f>SUMPRODUCT(Calc!$K$3:$K$22,EXP(A290*Calc!$L$3:$L$22))</f>
        <v/>
      </c>
      <c r="C290">
        <f>SUMPRODUCT(Calc!$K$3:$K$22,EXP(2*A290*Calc!$L$3:$L$22))</f>
        <v/>
      </c>
      <c r="D290">
        <f>SUMPRODUCT(Calc!$K$3:$K$22,EXP(A290*Calc!$L$3:$L$22),Calc!$I$3:$I$22)</f>
        <v/>
      </c>
      <c r="E290">
        <f>k_n*C290-B290^2</f>
        <v/>
      </c>
      <c r="F290">
        <f>IF(ABS(E290)&lt;1E-14,0,(k_n*D290-B290*k_n*k_ymean)/E290)</f>
        <v/>
      </c>
      <c r="G290">
        <f>IF(k_n&gt;0,(k_n*k_ymean-F290*B290)/k_n,0)</f>
        <v/>
      </c>
      <c r="H290">
        <f>IF(AND(F290&gt;0,ABS(E290)&gt;=1E-14),SUMPRODUCT(Calc!$K$3:$K$22,(Calc!$I$3:$I$22-G290-F290*EXP(A290*Calc!$L$3:$L$22))^2),1E+300)</f>
        <v/>
      </c>
    </row>
    <row r="291">
      <c r="A291" t="n">
        <v>5.64</v>
      </c>
      <c r="B291">
        <f>SUMPRODUCT(Calc!$K$3:$K$22,EXP(A291*Calc!$L$3:$L$22))</f>
        <v/>
      </c>
      <c r="C291">
        <f>SUMPRODUCT(Calc!$K$3:$K$22,EXP(2*A291*Calc!$L$3:$L$22))</f>
        <v/>
      </c>
      <c r="D291">
        <f>SUMPRODUCT(Calc!$K$3:$K$22,EXP(A291*Calc!$L$3:$L$22),Calc!$I$3:$I$22)</f>
        <v/>
      </c>
      <c r="E291">
        <f>k_n*C291-B291^2</f>
        <v/>
      </c>
      <c r="F291">
        <f>IF(ABS(E291)&lt;1E-14,0,(k_n*D291-B291*k_n*k_ymean)/E291)</f>
        <v/>
      </c>
      <c r="G291">
        <f>IF(k_n&gt;0,(k_n*k_ymean-F291*B291)/k_n,0)</f>
        <v/>
      </c>
      <c r="H291">
        <f>IF(AND(F291&gt;0,ABS(E291)&gt;=1E-14),SUMPRODUCT(Calc!$K$3:$K$22,(Calc!$I$3:$I$22-G291-F291*EXP(A291*Calc!$L$3:$L$22))^2),1E+300)</f>
        <v/>
      </c>
    </row>
    <row r="292">
      <c r="A292" t="n">
        <v>5.66</v>
      </c>
      <c r="B292">
        <f>SUMPRODUCT(Calc!$K$3:$K$22,EXP(A292*Calc!$L$3:$L$22))</f>
        <v/>
      </c>
      <c r="C292">
        <f>SUMPRODUCT(Calc!$K$3:$K$22,EXP(2*A292*Calc!$L$3:$L$22))</f>
        <v/>
      </c>
      <c r="D292">
        <f>SUMPRODUCT(Calc!$K$3:$K$22,EXP(A292*Calc!$L$3:$L$22),Calc!$I$3:$I$22)</f>
        <v/>
      </c>
      <c r="E292">
        <f>k_n*C292-B292^2</f>
        <v/>
      </c>
      <c r="F292">
        <f>IF(ABS(E292)&lt;1E-14,0,(k_n*D292-B292*k_n*k_ymean)/E292)</f>
        <v/>
      </c>
      <c r="G292">
        <f>IF(k_n&gt;0,(k_n*k_ymean-F292*B292)/k_n,0)</f>
        <v/>
      </c>
      <c r="H292">
        <f>IF(AND(F292&gt;0,ABS(E292)&gt;=1E-14),SUMPRODUCT(Calc!$K$3:$K$22,(Calc!$I$3:$I$22-G292-F292*EXP(A292*Calc!$L$3:$L$22))^2),1E+300)</f>
        <v/>
      </c>
    </row>
    <row r="293">
      <c r="A293" t="n">
        <v>5.68</v>
      </c>
      <c r="B293">
        <f>SUMPRODUCT(Calc!$K$3:$K$22,EXP(A293*Calc!$L$3:$L$22))</f>
        <v/>
      </c>
      <c r="C293">
        <f>SUMPRODUCT(Calc!$K$3:$K$22,EXP(2*A293*Calc!$L$3:$L$22))</f>
        <v/>
      </c>
      <c r="D293">
        <f>SUMPRODUCT(Calc!$K$3:$K$22,EXP(A293*Calc!$L$3:$L$22),Calc!$I$3:$I$22)</f>
        <v/>
      </c>
      <c r="E293">
        <f>k_n*C293-B293^2</f>
        <v/>
      </c>
      <c r="F293">
        <f>IF(ABS(E293)&lt;1E-14,0,(k_n*D293-B293*k_n*k_ymean)/E293)</f>
        <v/>
      </c>
      <c r="G293">
        <f>IF(k_n&gt;0,(k_n*k_ymean-F293*B293)/k_n,0)</f>
        <v/>
      </c>
      <c r="H293">
        <f>IF(AND(F293&gt;0,ABS(E293)&gt;=1E-14),SUMPRODUCT(Calc!$K$3:$K$22,(Calc!$I$3:$I$22-G293-F293*EXP(A293*Calc!$L$3:$L$22))^2),1E+300)</f>
        <v/>
      </c>
    </row>
    <row r="294">
      <c r="A294" t="n">
        <v>5.7</v>
      </c>
      <c r="B294">
        <f>SUMPRODUCT(Calc!$K$3:$K$22,EXP(A294*Calc!$L$3:$L$22))</f>
        <v/>
      </c>
      <c r="C294">
        <f>SUMPRODUCT(Calc!$K$3:$K$22,EXP(2*A294*Calc!$L$3:$L$22))</f>
        <v/>
      </c>
      <c r="D294">
        <f>SUMPRODUCT(Calc!$K$3:$K$22,EXP(A294*Calc!$L$3:$L$22),Calc!$I$3:$I$22)</f>
        <v/>
      </c>
      <c r="E294">
        <f>k_n*C294-B294^2</f>
        <v/>
      </c>
      <c r="F294">
        <f>IF(ABS(E294)&lt;1E-14,0,(k_n*D294-B294*k_n*k_ymean)/E294)</f>
        <v/>
      </c>
      <c r="G294">
        <f>IF(k_n&gt;0,(k_n*k_ymean-F294*B294)/k_n,0)</f>
        <v/>
      </c>
      <c r="H294">
        <f>IF(AND(F294&gt;0,ABS(E294)&gt;=1E-14),SUMPRODUCT(Calc!$K$3:$K$22,(Calc!$I$3:$I$22-G294-F294*EXP(A294*Calc!$L$3:$L$22))^2),1E+300)</f>
        <v/>
      </c>
    </row>
    <row r="295">
      <c r="A295" t="n">
        <v>5.72</v>
      </c>
      <c r="B295">
        <f>SUMPRODUCT(Calc!$K$3:$K$22,EXP(A295*Calc!$L$3:$L$22))</f>
        <v/>
      </c>
      <c r="C295">
        <f>SUMPRODUCT(Calc!$K$3:$K$22,EXP(2*A295*Calc!$L$3:$L$22))</f>
        <v/>
      </c>
      <c r="D295">
        <f>SUMPRODUCT(Calc!$K$3:$K$22,EXP(A295*Calc!$L$3:$L$22),Calc!$I$3:$I$22)</f>
        <v/>
      </c>
      <c r="E295">
        <f>k_n*C295-B295^2</f>
        <v/>
      </c>
      <c r="F295">
        <f>IF(ABS(E295)&lt;1E-14,0,(k_n*D295-B295*k_n*k_ymean)/E295)</f>
        <v/>
      </c>
      <c r="G295">
        <f>IF(k_n&gt;0,(k_n*k_ymean-F295*B295)/k_n,0)</f>
        <v/>
      </c>
      <c r="H295">
        <f>IF(AND(F295&gt;0,ABS(E295)&gt;=1E-14),SUMPRODUCT(Calc!$K$3:$K$22,(Calc!$I$3:$I$22-G295-F295*EXP(A295*Calc!$L$3:$L$22))^2),1E+300)</f>
        <v/>
      </c>
    </row>
    <row r="296">
      <c r="A296" t="n">
        <v>5.74</v>
      </c>
      <c r="B296">
        <f>SUMPRODUCT(Calc!$K$3:$K$22,EXP(A296*Calc!$L$3:$L$22))</f>
        <v/>
      </c>
      <c r="C296">
        <f>SUMPRODUCT(Calc!$K$3:$K$22,EXP(2*A296*Calc!$L$3:$L$22))</f>
        <v/>
      </c>
      <c r="D296">
        <f>SUMPRODUCT(Calc!$K$3:$K$22,EXP(A296*Calc!$L$3:$L$22),Calc!$I$3:$I$22)</f>
        <v/>
      </c>
      <c r="E296">
        <f>k_n*C296-B296^2</f>
        <v/>
      </c>
      <c r="F296">
        <f>IF(ABS(E296)&lt;1E-14,0,(k_n*D296-B296*k_n*k_ymean)/E296)</f>
        <v/>
      </c>
      <c r="G296">
        <f>IF(k_n&gt;0,(k_n*k_ymean-F296*B296)/k_n,0)</f>
        <v/>
      </c>
      <c r="H296">
        <f>IF(AND(F296&gt;0,ABS(E296)&gt;=1E-14),SUMPRODUCT(Calc!$K$3:$K$22,(Calc!$I$3:$I$22-G296-F296*EXP(A296*Calc!$L$3:$L$22))^2),1E+300)</f>
        <v/>
      </c>
    </row>
    <row r="297">
      <c r="A297" t="n">
        <v>5.76</v>
      </c>
      <c r="B297">
        <f>SUMPRODUCT(Calc!$K$3:$K$22,EXP(A297*Calc!$L$3:$L$22))</f>
        <v/>
      </c>
      <c r="C297">
        <f>SUMPRODUCT(Calc!$K$3:$K$22,EXP(2*A297*Calc!$L$3:$L$22))</f>
        <v/>
      </c>
      <c r="D297">
        <f>SUMPRODUCT(Calc!$K$3:$K$22,EXP(A297*Calc!$L$3:$L$22),Calc!$I$3:$I$22)</f>
        <v/>
      </c>
      <c r="E297">
        <f>k_n*C297-B297^2</f>
        <v/>
      </c>
      <c r="F297">
        <f>IF(ABS(E297)&lt;1E-14,0,(k_n*D297-B297*k_n*k_ymean)/E297)</f>
        <v/>
      </c>
      <c r="G297">
        <f>IF(k_n&gt;0,(k_n*k_ymean-F297*B297)/k_n,0)</f>
        <v/>
      </c>
      <c r="H297">
        <f>IF(AND(F297&gt;0,ABS(E297)&gt;=1E-14),SUMPRODUCT(Calc!$K$3:$K$22,(Calc!$I$3:$I$22-G297-F297*EXP(A297*Calc!$L$3:$L$22))^2),1E+300)</f>
        <v/>
      </c>
    </row>
    <row r="298">
      <c r="A298" t="n">
        <v>5.78</v>
      </c>
      <c r="B298">
        <f>SUMPRODUCT(Calc!$K$3:$K$22,EXP(A298*Calc!$L$3:$L$22))</f>
        <v/>
      </c>
      <c r="C298">
        <f>SUMPRODUCT(Calc!$K$3:$K$22,EXP(2*A298*Calc!$L$3:$L$22))</f>
        <v/>
      </c>
      <c r="D298">
        <f>SUMPRODUCT(Calc!$K$3:$K$22,EXP(A298*Calc!$L$3:$L$22),Calc!$I$3:$I$22)</f>
        <v/>
      </c>
      <c r="E298">
        <f>k_n*C298-B298^2</f>
        <v/>
      </c>
      <c r="F298">
        <f>IF(ABS(E298)&lt;1E-14,0,(k_n*D298-B298*k_n*k_ymean)/E298)</f>
        <v/>
      </c>
      <c r="G298">
        <f>IF(k_n&gt;0,(k_n*k_ymean-F298*B298)/k_n,0)</f>
        <v/>
      </c>
      <c r="H298">
        <f>IF(AND(F298&gt;0,ABS(E298)&gt;=1E-14),SUMPRODUCT(Calc!$K$3:$K$22,(Calc!$I$3:$I$22-G298-F298*EXP(A298*Calc!$L$3:$L$22))^2),1E+300)</f>
        <v/>
      </c>
    </row>
    <row r="299">
      <c r="A299" t="n">
        <v>5.8</v>
      </c>
      <c r="B299">
        <f>SUMPRODUCT(Calc!$K$3:$K$22,EXP(A299*Calc!$L$3:$L$22))</f>
        <v/>
      </c>
      <c r="C299">
        <f>SUMPRODUCT(Calc!$K$3:$K$22,EXP(2*A299*Calc!$L$3:$L$22))</f>
        <v/>
      </c>
      <c r="D299">
        <f>SUMPRODUCT(Calc!$K$3:$K$22,EXP(A299*Calc!$L$3:$L$22),Calc!$I$3:$I$22)</f>
        <v/>
      </c>
      <c r="E299">
        <f>k_n*C299-B299^2</f>
        <v/>
      </c>
      <c r="F299">
        <f>IF(ABS(E299)&lt;1E-14,0,(k_n*D299-B299*k_n*k_ymean)/E299)</f>
        <v/>
      </c>
      <c r="G299">
        <f>IF(k_n&gt;0,(k_n*k_ymean-F299*B299)/k_n,0)</f>
        <v/>
      </c>
      <c r="H299">
        <f>IF(AND(F299&gt;0,ABS(E299)&gt;=1E-14),SUMPRODUCT(Calc!$K$3:$K$22,(Calc!$I$3:$I$22-G299-F299*EXP(A299*Calc!$L$3:$L$22))^2),1E+300)</f>
        <v/>
      </c>
    </row>
    <row r="300">
      <c r="A300" t="n">
        <v>5.82</v>
      </c>
      <c r="B300">
        <f>SUMPRODUCT(Calc!$K$3:$K$22,EXP(A300*Calc!$L$3:$L$22))</f>
        <v/>
      </c>
      <c r="C300">
        <f>SUMPRODUCT(Calc!$K$3:$K$22,EXP(2*A300*Calc!$L$3:$L$22))</f>
        <v/>
      </c>
      <c r="D300">
        <f>SUMPRODUCT(Calc!$K$3:$K$22,EXP(A300*Calc!$L$3:$L$22),Calc!$I$3:$I$22)</f>
        <v/>
      </c>
      <c r="E300">
        <f>k_n*C300-B300^2</f>
        <v/>
      </c>
      <c r="F300">
        <f>IF(ABS(E300)&lt;1E-14,0,(k_n*D300-B300*k_n*k_ymean)/E300)</f>
        <v/>
      </c>
      <c r="G300">
        <f>IF(k_n&gt;0,(k_n*k_ymean-F300*B300)/k_n,0)</f>
        <v/>
      </c>
      <c r="H300">
        <f>IF(AND(F300&gt;0,ABS(E300)&gt;=1E-14),SUMPRODUCT(Calc!$K$3:$K$22,(Calc!$I$3:$I$22-G300-F300*EXP(A300*Calc!$L$3:$L$22))^2),1E+300)</f>
        <v/>
      </c>
    </row>
    <row r="301">
      <c r="A301" t="n">
        <v>5.84</v>
      </c>
      <c r="B301">
        <f>SUMPRODUCT(Calc!$K$3:$K$22,EXP(A301*Calc!$L$3:$L$22))</f>
        <v/>
      </c>
      <c r="C301">
        <f>SUMPRODUCT(Calc!$K$3:$K$22,EXP(2*A301*Calc!$L$3:$L$22))</f>
        <v/>
      </c>
      <c r="D301">
        <f>SUMPRODUCT(Calc!$K$3:$K$22,EXP(A301*Calc!$L$3:$L$22),Calc!$I$3:$I$22)</f>
        <v/>
      </c>
      <c r="E301">
        <f>k_n*C301-B301^2</f>
        <v/>
      </c>
      <c r="F301">
        <f>IF(ABS(E301)&lt;1E-14,0,(k_n*D301-B301*k_n*k_ymean)/E301)</f>
        <v/>
      </c>
      <c r="G301">
        <f>IF(k_n&gt;0,(k_n*k_ymean-F301*B301)/k_n,0)</f>
        <v/>
      </c>
      <c r="H301">
        <f>IF(AND(F301&gt;0,ABS(E301)&gt;=1E-14),SUMPRODUCT(Calc!$K$3:$K$22,(Calc!$I$3:$I$22-G301-F301*EXP(A301*Calc!$L$3:$L$22))^2),1E+300)</f>
        <v/>
      </c>
    </row>
    <row r="302">
      <c r="A302" t="n">
        <v>5.86</v>
      </c>
      <c r="B302">
        <f>SUMPRODUCT(Calc!$K$3:$K$22,EXP(A302*Calc!$L$3:$L$22))</f>
        <v/>
      </c>
      <c r="C302">
        <f>SUMPRODUCT(Calc!$K$3:$K$22,EXP(2*A302*Calc!$L$3:$L$22))</f>
        <v/>
      </c>
      <c r="D302">
        <f>SUMPRODUCT(Calc!$K$3:$K$22,EXP(A302*Calc!$L$3:$L$22),Calc!$I$3:$I$22)</f>
        <v/>
      </c>
      <c r="E302">
        <f>k_n*C302-B302^2</f>
        <v/>
      </c>
      <c r="F302">
        <f>IF(ABS(E302)&lt;1E-14,0,(k_n*D302-B302*k_n*k_ymean)/E302)</f>
        <v/>
      </c>
      <c r="G302">
        <f>IF(k_n&gt;0,(k_n*k_ymean-F302*B302)/k_n,0)</f>
        <v/>
      </c>
      <c r="H302">
        <f>IF(AND(F302&gt;0,ABS(E302)&gt;=1E-14),SUMPRODUCT(Calc!$K$3:$K$22,(Calc!$I$3:$I$22-G302-F302*EXP(A302*Calc!$L$3:$L$22))^2),1E+300)</f>
        <v/>
      </c>
    </row>
    <row r="303">
      <c r="A303" t="n">
        <v>5.88</v>
      </c>
      <c r="B303">
        <f>SUMPRODUCT(Calc!$K$3:$K$22,EXP(A303*Calc!$L$3:$L$22))</f>
        <v/>
      </c>
      <c r="C303">
        <f>SUMPRODUCT(Calc!$K$3:$K$22,EXP(2*A303*Calc!$L$3:$L$22))</f>
        <v/>
      </c>
      <c r="D303">
        <f>SUMPRODUCT(Calc!$K$3:$K$22,EXP(A303*Calc!$L$3:$L$22),Calc!$I$3:$I$22)</f>
        <v/>
      </c>
      <c r="E303">
        <f>k_n*C303-B303^2</f>
        <v/>
      </c>
      <c r="F303">
        <f>IF(ABS(E303)&lt;1E-14,0,(k_n*D303-B303*k_n*k_ymean)/E303)</f>
        <v/>
      </c>
      <c r="G303">
        <f>IF(k_n&gt;0,(k_n*k_ymean-F303*B303)/k_n,0)</f>
        <v/>
      </c>
      <c r="H303">
        <f>IF(AND(F303&gt;0,ABS(E303)&gt;=1E-14),SUMPRODUCT(Calc!$K$3:$K$22,(Calc!$I$3:$I$22-G303-F303*EXP(A303*Calc!$L$3:$L$22))^2),1E+300)</f>
        <v/>
      </c>
    </row>
    <row r="304">
      <c r="A304" t="n">
        <v>5.9</v>
      </c>
      <c r="B304">
        <f>SUMPRODUCT(Calc!$K$3:$K$22,EXP(A304*Calc!$L$3:$L$22))</f>
        <v/>
      </c>
      <c r="C304">
        <f>SUMPRODUCT(Calc!$K$3:$K$22,EXP(2*A304*Calc!$L$3:$L$22))</f>
        <v/>
      </c>
      <c r="D304">
        <f>SUMPRODUCT(Calc!$K$3:$K$22,EXP(A304*Calc!$L$3:$L$22),Calc!$I$3:$I$22)</f>
        <v/>
      </c>
      <c r="E304">
        <f>k_n*C304-B304^2</f>
        <v/>
      </c>
      <c r="F304">
        <f>IF(ABS(E304)&lt;1E-14,0,(k_n*D304-B304*k_n*k_ymean)/E304)</f>
        <v/>
      </c>
      <c r="G304">
        <f>IF(k_n&gt;0,(k_n*k_ymean-F304*B304)/k_n,0)</f>
        <v/>
      </c>
      <c r="H304">
        <f>IF(AND(F304&gt;0,ABS(E304)&gt;=1E-14),SUMPRODUCT(Calc!$K$3:$K$22,(Calc!$I$3:$I$22-G304-F304*EXP(A304*Calc!$L$3:$L$22))^2),1E+300)</f>
        <v/>
      </c>
    </row>
    <row r="305">
      <c r="A305" t="n">
        <v>5.92</v>
      </c>
      <c r="B305">
        <f>SUMPRODUCT(Calc!$K$3:$K$22,EXP(A305*Calc!$L$3:$L$22))</f>
        <v/>
      </c>
      <c r="C305">
        <f>SUMPRODUCT(Calc!$K$3:$K$22,EXP(2*A305*Calc!$L$3:$L$22))</f>
        <v/>
      </c>
      <c r="D305">
        <f>SUMPRODUCT(Calc!$K$3:$K$22,EXP(A305*Calc!$L$3:$L$22),Calc!$I$3:$I$22)</f>
        <v/>
      </c>
      <c r="E305">
        <f>k_n*C305-B305^2</f>
        <v/>
      </c>
      <c r="F305">
        <f>IF(ABS(E305)&lt;1E-14,0,(k_n*D305-B305*k_n*k_ymean)/E305)</f>
        <v/>
      </c>
      <c r="G305">
        <f>IF(k_n&gt;0,(k_n*k_ymean-F305*B305)/k_n,0)</f>
        <v/>
      </c>
      <c r="H305">
        <f>IF(AND(F305&gt;0,ABS(E305)&gt;=1E-14),SUMPRODUCT(Calc!$K$3:$K$22,(Calc!$I$3:$I$22-G305-F305*EXP(A305*Calc!$L$3:$L$22))^2),1E+300)</f>
        <v/>
      </c>
    </row>
    <row r="306">
      <c r="A306" t="n">
        <v>5.94</v>
      </c>
      <c r="B306">
        <f>SUMPRODUCT(Calc!$K$3:$K$22,EXP(A306*Calc!$L$3:$L$22))</f>
        <v/>
      </c>
      <c r="C306">
        <f>SUMPRODUCT(Calc!$K$3:$K$22,EXP(2*A306*Calc!$L$3:$L$22))</f>
        <v/>
      </c>
      <c r="D306">
        <f>SUMPRODUCT(Calc!$K$3:$K$22,EXP(A306*Calc!$L$3:$L$22),Calc!$I$3:$I$22)</f>
        <v/>
      </c>
      <c r="E306">
        <f>k_n*C306-B306^2</f>
        <v/>
      </c>
      <c r="F306">
        <f>IF(ABS(E306)&lt;1E-14,0,(k_n*D306-B306*k_n*k_ymean)/E306)</f>
        <v/>
      </c>
      <c r="G306">
        <f>IF(k_n&gt;0,(k_n*k_ymean-F306*B306)/k_n,0)</f>
        <v/>
      </c>
      <c r="H306">
        <f>IF(AND(F306&gt;0,ABS(E306)&gt;=1E-14),SUMPRODUCT(Calc!$K$3:$K$22,(Calc!$I$3:$I$22-G306-F306*EXP(A306*Calc!$L$3:$L$22))^2),1E+300)</f>
        <v/>
      </c>
    </row>
    <row r="307">
      <c r="A307" t="n">
        <v>5.96</v>
      </c>
      <c r="B307">
        <f>SUMPRODUCT(Calc!$K$3:$K$22,EXP(A307*Calc!$L$3:$L$22))</f>
        <v/>
      </c>
      <c r="C307">
        <f>SUMPRODUCT(Calc!$K$3:$K$22,EXP(2*A307*Calc!$L$3:$L$22))</f>
        <v/>
      </c>
      <c r="D307">
        <f>SUMPRODUCT(Calc!$K$3:$K$22,EXP(A307*Calc!$L$3:$L$22),Calc!$I$3:$I$22)</f>
        <v/>
      </c>
      <c r="E307">
        <f>k_n*C307-B307^2</f>
        <v/>
      </c>
      <c r="F307">
        <f>IF(ABS(E307)&lt;1E-14,0,(k_n*D307-B307*k_n*k_ymean)/E307)</f>
        <v/>
      </c>
      <c r="G307">
        <f>IF(k_n&gt;0,(k_n*k_ymean-F307*B307)/k_n,0)</f>
        <v/>
      </c>
      <c r="H307">
        <f>IF(AND(F307&gt;0,ABS(E307)&gt;=1E-14),SUMPRODUCT(Calc!$K$3:$K$22,(Calc!$I$3:$I$22-G307-F307*EXP(A307*Calc!$L$3:$L$22))^2),1E+300)</f>
        <v/>
      </c>
    </row>
    <row r="308">
      <c r="A308" t="n">
        <v>5.98</v>
      </c>
      <c r="B308">
        <f>SUMPRODUCT(Calc!$K$3:$K$22,EXP(A308*Calc!$L$3:$L$22))</f>
        <v/>
      </c>
      <c r="C308">
        <f>SUMPRODUCT(Calc!$K$3:$K$22,EXP(2*A308*Calc!$L$3:$L$22))</f>
        <v/>
      </c>
      <c r="D308">
        <f>SUMPRODUCT(Calc!$K$3:$K$22,EXP(A308*Calc!$L$3:$L$22),Calc!$I$3:$I$22)</f>
        <v/>
      </c>
      <c r="E308">
        <f>k_n*C308-B308^2</f>
        <v/>
      </c>
      <c r="F308">
        <f>IF(ABS(E308)&lt;1E-14,0,(k_n*D308-B308*k_n*k_ymean)/E308)</f>
        <v/>
      </c>
      <c r="G308">
        <f>IF(k_n&gt;0,(k_n*k_ymean-F308*B308)/k_n,0)</f>
        <v/>
      </c>
      <c r="H308">
        <f>IF(AND(F308&gt;0,ABS(E308)&gt;=1E-14),SUMPRODUCT(Calc!$K$3:$K$22,(Calc!$I$3:$I$22-G308-F308*EXP(A308*Calc!$L$3:$L$22))^2),1E+300)</f>
        <v/>
      </c>
    </row>
    <row r="309">
      <c r="A309" t="n">
        <v>6</v>
      </c>
      <c r="B309">
        <f>SUMPRODUCT(Calc!$K$3:$K$22,EXP(A309*Calc!$L$3:$L$22))</f>
        <v/>
      </c>
      <c r="C309">
        <f>SUMPRODUCT(Calc!$K$3:$K$22,EXP(2*A309*Calc!$L$3:$L$22))</f>
        <v/>
      </c>
      <c r="D309">
        <f>SUMPRODUCT(Calc!$K$3:$K$22,EXP(A309*Calc!$L$3:$L$22),Calc!$I$3:$I$22)</f>
        <v/>
      </c>
      <c r="E309">
        <f>k_n*C309-B309^2</f>
        <v/>
      </c>
      <c r="F309">
        <f>IF(ABS(E309)&lt;1E-14,0,(k_n*D309-B309*k_n*k_ymean)/E309)</f>
        <v/>
      </c>
      <c r="G309">
        <f>IF(k_n&gt;0,(k_n*k_ymean-F309*B309)/k_n,0)</f>
        <v/>
      </c>
      <c r="H309">
        <f>IF(AND(F309&gt;0,ABS(E309)&gt;=1E-14),SUMPRODUCT(Calc!$K$3:$K$22,(Calc!$I$3:$I$22-G309-F309*EXP(A309*Calc!$L$3:$L$22))^2),1E+300)</f>
        <v/>
      </c>
    </row>
    <row r="310">
      <c r="A310" t="n">
        <v>6.02</v>
      </c>
      <c r="B310">
        <f>SUMPRODUCT(Calc!$K$3:$K$22,EXP(A310*Calc!$L$3:$L$22))</f>
        <v/>
      </c>
      <c r="C310">
        <f>SUMPRODUCT(Calc!$K$3:$K$22,EXP(2*A310*Calc!$L$3:$L$22))</f>
        <v/>
      </c>
      <c r="D310">
        <f>SUMPRODUCT(Calc!$K$3:$K$22,EXP(A310*Calc!$L$3:$L$22),Calc!$I$3:$I$22)</f>
        <v/>
      </c>
      <c r="E310">
        <f>k_n*C310-B310^2</f>
        <v/>
      </c>
      <c r="F310">
        <f>IF(ABS(E310)&lt;1E-14,0,(k_n*D310-B310*k_n*k_ymean)/E310)</f>
        <v/>
      </c>
      <c r="G310">
        <f>IF(k_n&gt;0,(k_n*k_ymean-F310*B310)/k_n,0)</f>
        <v/>
      </c>
      <c r="H310">
        <f>IF(AND(F310&gt;0,ABS(E310)&gt;=1E-14),SUMPRODUCT(Calc!$K$3:$K$22,(Calc!$I$3:$I$22-G310-F310*EXP(A310*Calc!$L$3:$L$22))^2),1E+300)</f>
        <v/>
      </c>
    </row>
    <row r="311">
      <c r="A311" t="n">
        <v>6.04</v>
      </c>
      <c r="B311">
        <f>SUMPRODUCT(Calc!$K$3:$K$22,EXP(A311*Calc!$L$3:$L$22))</f>
        <v/>
      </c>
      <c r="C311">
        <f>SUMPRODUCT(Calc!$K$3:$K$22,EXP(2*A311*Calc!$L$3:$L$22))</f>
        <v/>
      </c>
      <c r="D311">
        <f>SUMPRODUCT(Calc!$K$3:$K$22,EXP(A311*Calc!$L$3:$L$22),Calc!$I$3:$I$22)</f>
        <v/>
      </c>
      <c r="E311">
        <f>k_n*C311-B311^2</f>
        <v/>
      </c>
      <c r="F311">
        <f>IF(ABS(E311)&lt;1E-14,0,(k_n*D311-B311*k_n*k_ymean)/E311)</f>
        <v/>
      </c>
      <c r="G311">
        <f>IF(k_n&gt;0,(k_n*k_ymean-F311*B311)/k_n,0)</f>
        <v/>
      </c>
      <c r="H311">
        <f>IF(AND(F311&gt;0,ABS(E311)&gt;=1E-14),SUMPRODUCT(Calc!$K$3:$K$22,(Calc!$I$3:$I$22-G311-F311*EXP(A311*Calc!$L$3:$L$22))^2),1E+300)</f>
        <v/>
      </c>
    </row>
    <row r="312">
      <c r="A312" t="n">
        <v>6.06</v>
      </c>
      <c r="B312">
        <f>SUMPRODUCT(Calc!$K$3:$K$22,EXP(A312*Calc!$L$3:$L$22))</f>
        <v/>
      </c>
      <c r="C312">
        <f>SUMPRODUCT(Calc!$K$3:$K$22,EXP(2*A312*Calc!$L$3:$L$22))</f>
        <v/>
      </c>
      <c r="D312">
        <f>SUMPRODUCT(Calc!$K$3:$K$22,EXP(A312*Calc!$L$3:$L$22),Calc!$I$3:$I$22)</f>
        <v/>
      </c>
      <c r="E312">
        <f>k_n*C312-B312^2</f>
        <v/>
      </c>
      <c r="F312">
        <f>IF(ABS(E312)&lt;1E-14,0,(k_n*D312-B312*k_n*k_ymean)/E312)</f>
        <v/>
      </c>
      <c r="G312">
        <f>IF(k_n&gt;0,(k_n*k_ymean-F312*B312)/k_n,0)</f>
        <v/>
      </c>
      <c r="H312">
        <f>IF(AND(F312&gt;0,ABS(E312)&gt;=1E-14),SUMPRODUCT(Calc!$K$3:$K$22,(Calc!$I$3:$I$22-G312-F312*EXP(A312*Calc!$L$3:$L$22))^2),1E+300)</f>
        <v/>
      </c>
    </row>
    <row r="313">
      <c r="A313" t="n">
        <v>6.08</v>
      </c>
      <c r="B313">
        <f>SUMPRODUCT(Calc!$K$3:$K$22,EXP(A313*Calc!$L$3:$L$22))</f>
        <v/>
      </c>
      <c r="C313">
        <f>SUMPRODUCT(Calc!$K$3:$K$22,EXP(2*A313*Calc!$L$3:$L$22))</f>
        <v/>
      </c>
      <c r="D313">
        <f>SUMPRODUCT(Calc!$K$3:$K$22,EXP(A313*Calc!$L$3:$L$22),Calc!$I$3:$I$22)</f>
        <v/>
      </c>
      <c r="E313">
        <f>k_n*C313-B313^2</f>
        <v/>
      </c>
      <c r="F313">
        <f>IF(ABS(E313)&lt;1E-14,0,(k_n*D313-B313*k_n*k_ymean)/E313)</f>
        <v/>
      </c>
      <c r="G313">
        <f>IF(k_n&gt;0,(k_n*k_ymean-F313*B313)/k_n,0)</f>
        <v/>
      </c>
      <c r="H313">
        <f>IF(AND(F313&gt;0,ABS(E313)&gt;=1E-14),SUMPRODUCT(Calc!$K$3:$K$22,(Calc!$I$3:$I$22-G313-F313*EXP(A313*Calc!$L$3:$L$22))^2),1E+300)</f>
        <v/>
      </c>
    </row>
    <row r="314">
      <c r="A314" t="n">
        <v>6.1</v>
      </c>
      <c r="B314">
        <f>SUMPRODUCT(Calc!$K$3:$K$22,EXP(A314*Calc!$L$3:$L$22))</f>
        <v/>
      </c>
      <c r="C314">
        <f>SUMPRODUCT(Calc!$K$3:$K$22,EXP(2*A314*Calc!$L$3:$L$22))</f>
        <v/>
      </c>
      <c r="D314">
        <f>SUMPRODUCT(Calc!$K$3:$K$22,EXP(A314*Calc!$L$3:$L$22),Calc!$I$3:$I$22)</f>
        <v/>
      </c>
      <c r="E314">
        <f>k_n*C314-B314^2</f>
        <v/>
      </c>
      <c r="F314">
        <f>IF(ABS(E314)&lt;1E-14,0,(k_n*D314-B314*k_n*k_ymean)/E314)</f>
        <v/>
      </c>
      <c r="G314">
        <f>IF(k_n&gt;0,(k_n*k_ymean-F314*B314)/k_n,0)</f>
        <v/>
      </c>
      <c r="H314">
        <f>IF(AND(F314&gt;0,ABS(E314)&gt;=1E-14),SUMPRODUCT(Calc!$K$3:$K$22,(Calc!$I$3:$I$22-G314-F314*EXP(A314*Calc!$L$3:$L$22))^2),1E+300)</f>
        <v/>
      </c>
    </row>
    <row r="315">
      <c r="A315" t="n">
        <v>6.12</v>
      </c>
      <c r="B315">
        <f>SUMPRODUCT(Calc!$K$3:$K$22,EXP(A315*Calc!$L$3:$L$22))</f>
        <v/>
      </c>
      <c r="C315">
        <f>SUMPRODUCT(Calc!$K$3:$K$22,EXP(2*A315*Calc!$L$3:$L$22))</f>
        <v/>
      </c>
      <c r="D315">
        <f>SUMPRODUCT(Calc!$K$3:$K$22,EXP(A315*Calc!$L$3:$L$22),Calc!$I$3:$I$22)</f>
        <v/>
      </c>
      <c r="E315">
        <f>k_n*C315-B315^2</f>
        <v/>
      </c>
      <c r="F315">
        <f>IF(ABS(E315)&lt;1E-14,0,(k_n*D315-B315*k_n*k_ymean)/E315)</f>
        <v/>
      </c>
      <c r="G315">
        <f>IF(k_n&gt;0,(k_n*k_ymean-F315*B315)/k_n,0)</f>
        <v/>
      </c>
      <c r="H315">
        <f>IF(AND(F315&gt;0,ABS(E315)&gt;=1E-14),SUMPRODUCT(Calc!$K$3:$K$22,(Calc!$I$3:$I$22-G315-F315*EXP(A315*Calc!$L$3:$L$22))^2),1E+300)</f>
        <v/>
      </c>
    </row>
    <row r="316">
      <c r="A316" t="n">
        <v>6.14</v>
      </c>
      <c r="B316">
        <f>SUMPRODUCT(Calc!$K$3:$K$22,EXP(A316*Calc!$L$3:$L$22))</f>
        <v/>
      </c>
      <c r="C316">
        <f>SUMPRODUCT(Calc!$K$3:$K$22,EXP(2*A316*Calc!$L$3:$L$22))</f>
        <v/>
      </c>
      <c r="D316">
        <f>SUMPRODUCT(Calc!$K$3:$K$22,EXP(A316*Calc!$L$3:$L$22),Calc!$I$3:$I$22)</f>
        <v/>
      </c>
      <c r="E316">
        <f>k_n*C316-B316^2</f>
        <v/>
      </c>
      <c r="F316">
        <f>IF(ABS(E316)&lt;1E-14,0,(k_n*D316-B316*k_n*k_ymean)/E316)</f>
        <v/>
      </c>
      <c r="G316">
        <f>IF(k_n&gt;0,(k_n*k_ymean-F316*B316)/k_n,0)</f>
        <v/>
      </c>
      <c r="H316">
        <f>IF(AND(F316&gt;0,ABS(E316)&gt;=1E-14),SUMPRODUCT(Calc!$K$3:$K$22,(Calc!$I$3:$I$22-G316-F316*EXP(A316*Calc!$L$3:$L$22))^2),1E+300)</f>
        <v/>
      </c>
    </row>
    <row r="317">
      <c r="A317" t="n">
        <v>6.16</v>
      </c>
      <c r="B317">
        <f>SUMPRODUCT(Calc!$K$3:$K$22,EXP(A317*Calc!$L$3:$L$22))</f>
        <v/>
      </c>
      <c r="C317">
        <f>SUMPRODUCT(Calc!$K$3:$K$22,EXP(2*A317*Calc!$L$3:$L$22))</f>
        <v/>
      </c>
      <c r="D317">
        <f>SUMPRODUCT(Calc!$K$3:$K$22,EXP(A317*Calc!$L$3:$L$22),Calc!$I$3:$I$22)</f>
        <v/>
      </c>
      <c r="E317">
        <f>k_n*C317-B317^2</f>
        <v/>
      </c>
      <c r="F317">
        <f>IF(ABS(E317)&lt;1E-14,0,(k_n*D317-B317*k_n*k_ymean)/E317)</f>
        <v/>
      </c>
      <c r="G317">
        <f>IF(k_n&gt;0,(k_n*k_ymean-F317*B317)/k_n,0)</f>
        <v/>
      </c>
      <c r="H317">
        <f>IF(AND(F317&gt;0,ABS(E317)&gt;=1E-14),SUMPRODUCT(Calc!$K$3:$K$22,(Calc!$I$3:$I$22-G317-F317*EXP(A317*Calc!$L$3:$L$22))^2),1E+300)</f>
        <v/>
      </c>
    </row>
    <row r="318">
      <c r="A318" t="n">
        <v>6.18</v>
      </c>
      <c r="B318">
        <f>SUMPRODUCT(Calc!$K$3:$K$22,EXP(A318*Calc!$L$3:$L$22))</f>
        <v/>
      </c>
      <c r="C318">
        <f>SUMPRODUCT(Calc!$K$3:$K$22,EXP(2*A318*Calc!$L$3:$L$22))</f>
        <v/>
      </c>
      <c r="D318">
        <f>SUMPRODUCT(Calc!$K$3:$K$22,EXP(A318*Calc!$L$3:$L$22),Calc!$I$3:$I$22)</f>
        <v/>
      </c>
      <c r="E318">
        <f>k_n*C318-B318^2</f>
        <v/>
      </c>
      <c r="F318">
        <f>IF(ABS(E318)&lt;1E-14,0,(k_n*D318-B318*k_n*k_ymean)/E318)</f>
        <v/>
      </c>
      <c r="G318">
        <f>IF(k_n&gt;0,(k_n*k_ymean-F318*B318)/k_n,0)</f>
        <v/>
      </c>
      <c r="H318">
        <f>IF(AND(F318&gt;0,ABS(E318)&gt;=1E-14),SUMPRODUCT(Calc!$K$3:$K$22,(Calc!$I$3:$I$22-G318-F318*EXP(A318*Calc!$L$3:$L$22))^2),1E+300)</f>
        <v/>
      </c>
    </row>
    <row r="319">
      <c r="A319" t="n">
        <v>6.2</v>
      </c>
      <c r="B319">
        <f>SUMPRODUCT(Calc!$K$3:$K$22,EXP(A319*Calc!$L$3:$L$22))</f>
        <v/>
      </c>
      <c r="C319">
        <f>SUMPRODUCT(Calc!$K$3:$K$22,EXP(2*A319*Calc!$L$3:$L$22))</f>
        <v/>
      </c>
      <c r="D319">
        <f>SUMPRODUCT(Calc!$K$3:$K$22,EXP(A319*Calc!$L$3:$L$22),Calc!$I$3:$I$22)</f>
        <v/>
      </c>
      <c r="E319">
        <f>k_n*C319-B319^2</f>
        <v/>
      </c>
      <c r="F319">
        <f>IF(ABS(E319)&lt;1E-14,0,(k_n*D319-B319*k_n*k_ymean)/E319)</f>
        <v/>
      </c>
      <c r="G319">
        <f>IF(k_n&gt;0,(k_n*k_ymean-F319*B319)/k_n,0)</f>
        <v/>
      </c>
      <c r="H319">
        <f>IF(AND(F319&gt;0,ABS(E319)&gt;=1E-14),SUMPRODUCT(Calc!$K$3:$K$22,(Calc!$I$3:$I$22-G319-F319*EXP(A319*Calc!$L$3:$L$22))^2),1E+300)</f>
        <v/>
      </c>
    </row>
    <row r="320">
      <c r="A320" t="n">
        <v>6.22</v>
      </c>
      <c r="B320">
        <f>SUMPRODUCT(Calc!$K$3:$K$22,EXP(A320*Calc!$L$3:$L$22))</f>
        <v/>
      </c>
      <c r="C320">
        <f>SUMPRODUCT(Calc!$K$3:$K$22,EXP(2*A320*Calc!$L$3:$L$22))</f>
        <v/>
      </c>
      <c r="D320">
        <f>SUMPRODUCT(Calc!$K$3:$K$22,EXP(A320*Calc!$L$3:$L$22),Calc!$I$3:$I$22)</f>
        <v/>
      </c>
      <c r="E320">
        <f>k_n*C320-B320^2</f>
        <v/>
      </c>
      <c r="F320">
        <f>IF(ABS(E320)&lt;1E-14,0,(k_n*D320-B320*k_n*k_ymean)/E320)</f>
        <v/>
      </c>
      <c r="G320">
        <f>IF(k_n&gt;0,(k_n*k_ymean-F320*B320)/k_n,0)</f>
        <v/>
      </c>
      <c r="H320">
        <f>IF(AND(F320&gt;0,ABS(E320)&gt;=1E-14),SUMPRODUCT(Calc!$K$3:$K$22,(Calc!$I$3:$I$22-G320-F320*EXP(A320*Calc!$L$3:$L$22))^2),1E+300)</f>
        <v/>
      </c>
    </row>
    <row r="321">
      <c r="A321" t="n">
        <v>6.24</v>
      </c>
      <c r="B321">
        <f>SUMPRODUCT(Calc!$K$3:$K$22,EXP(A321*Calc!$L$3:$L$22))</f>
        <v/>
      </c>
      <c r="C321">
        <f>SUMPRODUCT(Calc!$K$3:$K$22,EXP(2*A321*Calc!$L$3:$L$22))</f>
        <v/>
      </c>
      <c r="D321">
        <f>SUMPRODUCT(Calc!$K$3:$K$22,EXP(A321*Calc!$L$3:$L$22),Calc!$I$3:$I$22)</f>
        <v/>
      </c>
      <c r="E321">
        <f>k_n*C321-B321^2</f>
        <v/>
      </c>
      <c r="F321">
        <f>IF(ABS(E321)&lt;1E-14,0,(k_n*D321-B321*k_n*k_ymean)/E321)</f>
        <v/>
      </c>
      <c r="G321">
        <f>IF(k_n&gt;0,(k_n*k_ymean-F321*B321)/k_n,0)</f>
        <v/>
      </c>
      <c r="H321">
        <f>IF(AND(F321&gt;0,ABS(E321)&gt;=1E-14),SUMPRODUCT(Calc!$K$3:$K$22,(Calc!$I$3:$I$22-G321-F321*EXP(A321*Calc!$L$3:$L$22))^2),1E+300)</f>
        <v/>
      </c>
    </row>
    <row r="322">
      <c r="A322" t="n">
        <v>6.26</v>
      </c>
      <c r="B322">
        <f>SUMPRODUCT(Calc!$K$3:$K$22,EXP(A322*Calc!$L$3:$L$22))</f>
        <v/>
      </c>
      <c r="C322">
        <f>SUMPRODUCT(Calc!$K$3:$K$22,EXP(2*A322*Calc!$L$3:$L$22))</f>
        <v/>
      </c>
      <c r="D322">
        <f>SUMPRODUCT(Calc!$K$3:$K$22,EXP(A322*Calc!$L$3:$L$22),Calc!$I$3:$I$22)</f>
        <v/>
      </c>
      <c r="E322">
        <f>k_n*C322-B322^2</f>
        <v/>
      </c>
      <c r="F322">
        <f>IF(ABS(E322)&lt;1E-14,0,(k_n*D322-B322*k_n*k_ymean)/E322)</f>
        <v/>
      </c>
      <c r="G322">
        <f>IF(k_n&gt;0,(k_n*k_ymean-F322*B322)/k_n,0)</f>
        <v/>
      </c>
      <c r="H322">
        <f>IF(AND(F322&gt;0,ABS(E322)&gt;=1E-14),SUMPRODUCT(Calc!$K$3:$K$22,(Calc!$I$3:$I$22-G322-F322*EXP(A322*Calc!$L$3:$L$22))^2),1E+300)</f>
        <v/>
      </c>
    </row>
    <row r="323">
      <c r="A323" t="n">
        <v>6.28</v>
      </c>
      <c r="B323">
        <f>SUMPRODUCT(Calc!$K$3:$K$22,EXP(A323*Calc!$L$3:$L$22))</f>
        <v/>
      </c>
      <c r="C323">
        <f>SUMPRODUCT(Calc!$K$3:$K$22,EXP(2*A323*Calc!$L$3:$L$22))</f>
        <v/>
      </c>
      <c r="D323">
        <f>SUMPRODUCT(Calc!$K$3:$K$22,EXP(A323*Calc!$L$3:$L$22),Calc!$I$3:$I$22)</f>
        <v/>
      </c>
      <c r="E323">
        <f>k_n*C323-B323^2</f>
        <v/>
      </c>
      <c r="F323">
        <f>IF(ABS(E323)&lt;1E-14,0,(k_n*D323-B323*k_n*k_ymean)/E323)</f>
        <v/>
      </c>
      <c r="G323">
        <f>IF(k_n&gt;0,(k_n*k_ymean-F323*B323)/k_n,0)</f>
        <v/>
      </c>
      <c r="H323">
        <f>IF(AND(F323&gt;0,ABS(E323)&gt;=1E-14),SUMPRODUCT(Calc!$K$3:$K$22,(Calc!$I$3:$I$22-G323-F323*EXP(A323*Calc!$L$3:$L$22))^2),1E+300)</f>
        <v/>
      </c>
    </row>
    <row r="324">
      <c r="A324" t="n">
        <v>6.3</v>
      </c>
      <c r="B324">
        <f>SUMPRODUCT(Calc!$K$3:$K$22,EXP(A324*Calc!$L$3:$L$22))</f>
        <v/>
      </c>
      <c r="C324">
        <f>SUMPRODUCT(Calc!$K$3:$K$22,EXP(2*A324*Calc!$L$3:$L$22))</f>
        <v/>
      </c>
      <c r="D324">
        <f>SUMPRODUCT(Calc!$K$3:$K$22,EXP(A324*Calc!$L$3:$L$22),Calc!$I$3:$I$22)</f>
        <v/>
      </c>
      <c r="E324">
        <f>k_n*C324-B324^2</f>
        <v/>
      </c>
      <c r="F324">
        <f>IF(ABS(E324)&lt;1E-14,0,(k_n*D324-B324*k_n*k_ymean)/E324)</f>
        <v/>
      </c>
      <c r="G324">
        <f>IF(k_n&gt;0,(k_n*k_ymean-F324*B324)/k_n,0)</f>
        <v/>
      </c>
      <c r="H324">
        <f>IF(AND(F324&gt;0,ABS(E324)&gt;=1E-14),SUMPRODUCT(Calc!$K$3:$K$22,(Calc!$I$3:$I$22-G324-F324*EXP(A324*Calc!$L$3:$L$22))^2),1E+300)</f>
        <v/>
      </c>
    </row>
    <row r="325">
      <c r="A325" t="n">
        <v>6.32</v>
      </c>
      <c r="B325">
        <f>SUMPRODUCT(Calc!$K$3:$K$22,EXP(A325*Calc!$L$3:$L$22))</f>
        <v/>
      </c>
      <c r="C325">
        <f>SUMPRODUCT(Calc!$K$3:$K$22,EXP(2*A325*Calc!$L$3:$L$22))</f>
        <v/>
      </c>
      <c r="D325">
        <f>SUMPRODUCT(Calc!$K$3:$K$22,EXP(A325*Calc!$L$3:$L$22),Calc!$I$3:$I$22)</f>
        <v/>
      </c>
      <c r="E325">
        <f>k_n*C325-B325^2</f>
        <v/>
      </c>
      <c r="F325">
        <f>IF(ABS(E325)&lt;1E-14,0,(k_n*D325-B325*k_n*k_ymean)/E325)</f>
        <v/>
      </c>
      <c r="G325">
        <f>IF(k_n&gt;0,(k_n*k_ymean-F325*B325)/k_n,0)</f>
        <v/>
      </c>
      <c r="H325">
        <f>IF(AND(F325&gt;0,ABS(E325)&gt;=1E-14),SUMPRODUCT(Calc!$K$3:$K$22,(Calc!$I$3:$I$22-G325-F325*EXP(A325*Calc!$L$3:$L$22))^2),1E+300)</f>
        <v/>
      </c>
    </row>
    <row r="326">
      <c r="A326" t="n">
        <v>6.34</v>
      </c>
      <c r="B326">
        <f>SUMPRODUCT(Calc!$K$3:$K$22,EXP(A326*Calc!$L$3:$L$22))</f>
        <v/>
      </c>
      <c r="C326">
        <f>SUMPRODUCT(Calc!$K$3:$K$22,EXP(2*A326*Calc!$L$3:$L$22))</f>
        <v/>
      </c>
      <c r="D326">
        <f>SUMPRODUCT(Calc!$K$3:$K$22,EXP(A326*Calc!$L$3:$L$22),Calc!$I$3:$I$22)</f>
        <v/>
      </c>
      <c r="E326">
        <f>k_n*C326-B326^2</f>
        <v/>
      </c>
      <c r="F326">
        <f>IF(ABS(E326)&lt;1E-14,0,(k_n*D326-B326*k_n*k_ymean)/E326)</f>
        <v/>
      </c>
      <c r="G326">
        <f>IF(k_n&gt;0,(k_n*k_ymean-F326*B326)/k_n,0)</f>
        <v/>
      </c>
      <c r="H326">
        <f>IF(AND(F326&gt;0,ABS(E326)&gt;=1E-14),SUMPRODUCT(Calc!$K$3:$K$22,(Calc!$I$3:$I$22-G326-F326*EXP(A326*Calc!$L$3:$L$22))^2),1E+300)</f>
        <v/>
      </c>
    </row>
    <row r="327">
      <c r="A327" t="n">
        <v>6.36</v>
      </c>
      <c r="B327">
        <f>SUMPRODUCT(Calc!$K$3:$K$22,EXP(A327*Calc!$L$3:$L$22))</f>
        <v/>
      </c>
      <c r="C327">
        <f>SUMPRODUCT(Calc!$K$3:$K$22,EXP(2*A327*Calc!$L$3:$L$22))</f>
        <v/>
      </c>
      <c r="D327">
        <f>SUMPRODUCT(Calc!$K$3:$K$22,EXP(A327*Calc!$L$3:$L$22),Calc!$I$3:$I$22)</f>
        <v/>
      </c>
      <c r="E327">
        <f>k_n*C327-B327^2</f>
        <v/>
      </c>
      <c r="F327">
        <f>IF(ABS(E327)&lt;1E-14,0,(k_n*D327-B327*k_n*k_ymean)/E327)</f>
        <v/>
      </c>
      <c r="G327">
        <f>IF(k_n&gt;0,(k_n*k_ymean-F327*B327)/k_n,0)</f>
        <v/>
      </c>
      <c r="H327">
        <f>IF(AND(F327&gt;0,ABS(E327)&gt;=1E-14),SUMPRODUCT(Calc!$K$3:$K$22,(Calc!$I$3:$I$22-G327-F327*EXP(A327*Calc!$L$3:$L$22))^2),1E+300)</f>
        <v/>
      </c>
    </row>
    <row r="328">
      <c r="A328" t="n">
        <v>6.38</v>
      </c>
      <c r="B328">
        <f>SUMPRODUCT(Calc!$K$3:$K$22,EXP(A328*Calc!$L$3:$L$22))</f>
        <v/>
      </c>
      <c r="C328">
        <f>SUMPRODUCT(Calc!$K$3:$K$22,EXP(2*A328*Calc!$L$3:$L$22))</f>
        <v/>
      </c>
      <c r="D328">
        <f>SUMPRODUCT(Calc!$K$3:$K$22,EXP(A328*Calc!$L$3:$L$22),Calc!$I$3:$I$22)</f>
        <v/>
      </c>
      <c r="E328">
        <f>k_n*C328-B328^2</f>
        <v/>
      </c>
      <c r="F328">
        <f>IF(ABS(E328)&lt;1E-14,0,(k_n*D328-B328*k_n*k_ymean)/E328)</f>
        <v/>
      </c>
      <c r="G328">
        <f>IF(k_n&gt;0,(k_n*k_ymean-F328*B328)/k_n,0)</f>
        <v/>
      </c>
      <c r="H328">
        <f>IF(AND(F328&gt;0,ABS(E328)&gt;=1E-14),SUMPRODUCT(Calc!$K$3:$K$22,(Calc!$I$3:$I$22-G328-F328*EXP(A328*Calc!$L$3:$L$22))^2),1E+300)</f>
        <v/>
      </c>
    </row>
    <row r="329">
      <c r="A329" t="n">
        <v>6.4</v>
      </c>
      <c r="B329">
        <f>SUMPRODUCT(Calc!$K$3:$K$22,EXP(A329*Calc!$L$3:$L$22))</f>
        <v/>
      </c>
      <c r="C329">
        <f>SUMPRODUCT(Calc!$K$3:$K$22,EXP(2*A329*Calc!$L$3:$L$22))</f>
        <v/>
      </c>
      <c r="D329">
        <f>SUMPRODUCT(Calc!$K$3:$K$22,EXP(A329*Calc!$L$3:$L$22),Calc!$I$3:$I$22)</f>
        <v/>
      </c>
      <c r="E329">
        <f>k_n*C329-B329^2</f>
        <v/>
      </c>
      <c r="F329">
        <f>IF(ABS(E329)&lt;1E-14,0,(k_n*D329-B329*k_n*k_ymean)/E329)</f>
        <v/>
      </c>
      <c r="G329">
        <f>IF(k_n&gt;0,(k_n*k_ymean-F329*B329)/k_n,0)</f>
        <v/>
      </c>
      <c r="H329">
        <f>IF(AND(F329&gt;0,ABS(E329)&gt;=1E-14),SUMPRODUCT(Calc!$K$3:$K$22,(Calc!$I$3:$I$22-G329-F329*EXP(A329*Calc!$L$3:$L$22))^2),1E+300)</f>
        <v/>
      </c>
    </row>
    <row r="330">
      <c r="A330" t="n">
        <v>6.42</v>
      </c>
      <c r="B330">
        <f>SUMPRODUCT(Calc!$K$3:$K$22,EXP(A330*Calc!$L$3:$L$22))</f>
        <v/>
      </c>
      <c r="C330">
        <f>SUMPRODUCT(Calc!$K$3:$K$22,EXP(2*A330*Calc!$L$3:$L$22))</f>
        <v/>
      </c>
      <c r="D330">
        <f>SUMPRODUCT(Calc!$K$3:$K$22,EXP(A330*Calc!$L$3:$L$22),Calc!$I$3:$I$22)</f>
        <v/>
      </c>
      <c r="E330">
        <f>k_n*C330-B330^2</f>
        <v/>
      </c>
      <c r="F330">
        <f>IF(ABS(E330)&lt;1E-14,0,(k_n*D330-B330*k_n*k_ymean)/E330)</f>
        <v/>
      </c>
      <c r="G330">
        <f>IF(k_n&gt;0,(k_n*k_ymean-F330*B330)/k_n,0)</f>
        <v/>
      </c>
      <c r="H330">
        <f>IF(AND(F330&gt;0,ABS(E330)&gt;=1E-14),SUMPRODUCT(Calc!$K$3:$K$22,(Calc!$I$3:$I$22-G330-F330*EXP(A330*Calc!$L$3:$L$22))^2),1E+300)</f>
        <v/>
      </c>
    </row>
    <row r="331">
      <c r="A331" t="n">
        <v>6.44</v>
      </c>
      <c r="B331">
        <f>SUMPRODUCT(Calc!$K$3:$K$22,EXP(A331*Calc!$L$3:$L$22))</f>
        <v/>
      </c>
      <c r="C331">
        <f>SUMPRODUCT(Calc!$K$3:$K$22,EXP(2*A331*Calc!$L$3:$L$22))</f>
        <v/>
      </c>
      <c r="D331">
        <f>SUMPRODUCT(Calc!$K$3:$K$22,EXP(A331*Calc!$L$3:$L$22),Calc!$I$3:$I$22)</f>
        <v/>
      </c>
      <c r="E331">
        <f>k_n*C331-B331^2</f>
        <v/>
      </c>
      <c r="F331">
        <f>IF(ABS(E331)&lt;1E-14,0,(k_n*D331-B331*k_n*k_ymean)/E331)</f>
        <v/>
      </c>
      <c r="G331">
        <f>IF(k_n&gt;0,(k_n*k_ymean-F331*B331)/k_n,0)</f>
        <v/>
      </c>
      <c r="H331">
        <f>IF(AND(F331&gt;0,ABS(E331)&gt;=1E-14),SUMPRODUCT(Calc!$K$3:$K$22,(Calc!$I$3:$I$22-G331-F331*EXP(A331*Calc!$L$3:$L$22))^2),1E+300)</f>
        <v/>
      </c>
    </row>
    <row r="332">
      <c r="A332" t="n">
        <v>6.46</v>
      </c>
      <c r="B332">
        <f>SUMPRODUCT(Calc!$K$3:$K$22,EXP(A332*Calc!$L$3:$L$22))</f>
        <v/>
      </c>
      <c r="C332">
        <f>SUMPRODUCT(Calc!$K$3:$K$22,EXP(2*A332*Calc!$L$3:$L$22))</f>
        <v/>
      </c>
      <c r="D332">
        <f>SUMPRODUCT(Calc!$K$3:$K$22,EXP(A332*Calc!$L$3:$L$22),Calc!$I$3:$I$22)</f>
        <v/>
      </c>
      <c r="E332">
        <f>k_n*C332-B332^2</f>
        <v/>
      </c>
      <c r="F332">
        <f>IF(ABS(E332)&lt;1E-14,0,(k_n*D332-B332*k_n*k_ymean)/E332)</f>
        <v/>
      </c>
      <c r="G332">
        <f>IF(k_n&gt;0,(k_n*k_ymean-F332*B332)/k_n,0)</f>
        <v/>
      </c>
      <c r="H332">
        <f>IF(AND(F332&gt;0,ABS(E332)&gt;=1E-14),SUMPRODUCT(Calc!$K$3:$K$22,(Calc!$I$3:$I$22-G332-F332*EXP(A332*Calc!$L$3:$L$22))^2),1E+300)</f>
        <v/>
      </c>
    </row>
    <row r="333">
      <c r="A333" t="n">
        <v>6.48</v>
      </c>
      <c r="B333">
        <f>SUMPRODUCT(Calc!$K$3:$K$22,EXP(A333*Calc!$L$3:$L$22))</f>
        <v/>
      </c>
      <c r="C333">
        <f>SUMPRODUCT(Calc!$K$3:$K$22,EXP(2*A333*Calc!$L$3:$L$22))</f>
        <v/>
      </c>
      <c r="D333">
        <f>SUMPRODUCT(Calc!$K$3:$K$22,EXP(A333*Calc!$L$3:$L$22),Calc!$I$3:$I$22)</f>
        <v/>
      </c>
      <c r="E333">
        <f>k_n*C333-B333^2</f>
        <v/>
      </c>
      <c r="F333">
        <f>IF(ABS(E333)&lt;1E-14,0,(k_n*D333-B333*k_n*k_ymean)/E333)</f>
        <v/>
      </c>
      <c r="G333">
        <f>IF(k_n&gt;0,(k_n*k_ymean-F333*B333)/k_n,0)</f>
        <v/>
      </c>
      <c r="H333">
        <f>IF(AND(F333&gt;0,ABS(E333)&gt;=1E-14),SUMPRODUCT(Calc!$K$3:$K$22,(Calc!$I$3:$I$22-G333-F333*EXP(A333*Calc!$L$3:$L$22))^2),1E+300)</f>
        <v/>
      </c>
    </row>
    <row r="334">
      <c r="A334" t="n">
        <v>6.5</v>
      </c>
      <c r="B334">
        <f>SUMPRODUCT(Calc!$K$3:$K$22,EXP(A334*Calc!$L$3:$L$22))</f>
        <v/>
      </c>
      <c r="C334">
        <f>SUMPRODUCT(Calc!$K$3:$K$22,EXP(2*A334*Calc!$L$3:$L$22))</f>
        <v/>
      </c>
      <c r="D334">
        <f>SUMPRODUCT(Calc!$K$3:$K$22,EXP(A334*Calc!$L$3:$L$22),Calc!$I$3:$I$22)</f>
        <v/>
      </c>
      <c r="E334">
        <f>k_n*C334-B334^2</f>
        <v/>
      </c>
      <c r="F334">
        <f>IF(ABS(E334)&lt;1E-14,0,(k_n*D334-B334*k_n*k_ymean)/E334)</f>
        <v/>
      </c>
      <c r="G334">
        <f>IF(k_n&gt;0,(k_n*k_ymean-F334*B334)/k_n,0)</f>
        <v/>
      </c>
      <c r="H334">
        <f>IF(AND(F334&gt;0,ABS(E334)&gt;=1E-14),SUMPRODUCT(Calc!$K$3:$K$22,(Calc!$I$3:$I$22-G334-F334*EXP(A334*Calc!$L$3:$L$22))^2),1E+300)</f>
        <v/>
      </c>
    </row>
    <row r="335">
      <c r="A335" t="n">
        <v>6.52</v>
      </c>
      <c r="B335">
        <f>SUMPRODUCT(Calc!$K$3:$K$22,EXP(A335*Calc!$L$3:$L$22))</f>
        <v/>
      </c>
      <c r="C335">
        <f>SUMPRODUCT(Calc!$K$3:$K$22,EXP(2*A335*Calc!$L$3:$L$22))</f>
        <v/>
      </c>
      <c r="D335">
        <f>SUMPRODUCT(Calc!$K$3:$K$22,EXP(A335*Calc!$L$3:$L$22),Calc!$I$3:$I$22)</f>
        <v/>
      </c>
      <c r="E335">
        <f>k_n*C335-B335^2</f>
        <v/>
      </c>
      <c r="F335">
        <f>IF(ABS(E335)&lt;1E-14,0,(k_n*D335-B335*k_n*k_ymean)/E335)</f>
        <v/>
      </c>
      <c r="G335">
        <f>IF(k_n&gt;0,(k_n*k_ymean-F335*B335)/k_n,0)</f>
        <v/>
      </c>
      <c r="H335">
        <f>IF(AND(F335&gt;0,ABS(E335)&gt;=1E-14),SUMPRODUCT(Calc!$K$3:$K$22,(Calc!$I$3:$I$22-G335-F335*EXP(A335*Calc!$L$3:$L$22))^2),1E+300)</f>
        <v/>
      </c>
    </row>
    <row r="336">
      <c r="A336" t="n">
        <v>6.54</v>
      </c>
      <c r="B336">
        <f>SUMPRODUCT(Calc!$K$3:$K$22,EXP(A336*Calc!$L$3:$L$22))</f>
        <v/>
      </c>
      <c r="C336">
        <f>SUMPRODUCT(Calc!$K$3:$K$22,EXP(2*A336*Calc!$L$3:$L$22))</f>
        <v/>
      </c>
      <c r="D336">
        <f>SUMPRODUCT(Calc!$K$3:$K$22,EXP(A336*Calc!$L$3:$L$22),Calc!$I$3:$I$22)</f>
        <v/>
      </c>
      <c r="E336">
        <f>k_n*C336-B336^2</f>
        <v/>
      </c>
      <c r="F336">
        <f>IF(ABS(E336)&lt;1E-14,0,(k_n*D336-B336*k_n*k_ymean)/E336)</f>
        <v/>
      </c>
      <c r="G336">
        <f>IF(k_n&gt;0,(k_n*k_ymean-F336*B336)/k_n,0)</f>
        <v/>
      </c>
      <c r="H336">
        <f>IF(AND(F336&gt;0,ABS(E336)&gt;=1E-14),SUMPRODUCT(Calc!$K$3:$K$22,(Calc!$I$3:$I$22-G336-F336*EXP(A336*Calc!$L$3:$L$22))^2),1E+300)</f>
        <v/>
      </c>
    </row>
    <row r="337">
      <c r="A337" t="n">
        <v>6.56</v>
      </c>
      <c r="B337">
        <f>SUMPRODUCT(Calc!$K$3:$K$22,EXP(A337*Calc!$L$3:$L$22))</f>
        <v/>
      </c>
      <c r="C337">
        <f>SUMPRODUCT(Calc!$K$3:$K$22,EXP(2*A337*Calc!$L$3:$L$22))</f>
        <v/>
      </c>
      <c r="D337">
        <f>SUMPRODUCT(Calc!$K$3:$K$22,EXP(A337*Calc!$L$3:$L$22),Calc!$I$3:$I$22)</f>
        <v/>
      </c>
      <c r="E337">
        <f>k_n*C337-B337^2</f>
        <v/>
      </c>
      <c r="F337">
        <f>IF(ABS(E337)&lt;1E-14,0,(k_n*D337-B337*k_n*k_ymean)/E337)</f>
        <v/>
      </c>
      <c r="G337">
        <f>IF(k_n&gt;0,(k_n*k_ymean-F337*B337)/k_n,0)</f>
        <v/>
      </c>
      <c r="H337">
        <f>IF(AND(F337&gt;0,ABS(E337)&gt;=1E-14),SUMPRODUCT(Calc!$K$3:$K$22,(Calc!$I$3:$I$22-G337-F337*EXP(A337*Calc!$L$3:$L$22))^2),1E+300)</f>
        <v/>
      </c>
    </row>
    <row r="338">
      <c r="A338" t="n">
        <v>6.58</v>
      </c>
      <c r="B338">
        <f>SUMPRODUCT(Calc!$K$3:$K$22,EXP(A338*Calc!$L$3:$L$22))</f>
        <v/>
      </c>
      <c r="C338">
        <f>SUMPRODUCT(Calc!$K$3:$K$22,EXP(2*A338*Calc!$L$3:$L$22))</f>
        <v/>
      </c>
      <c r="D338">
        <f>SUMPRODUCT(Calc!$K$3:$K$22,EXP(A338*Calc!$L$3:$L$22),Calc!$I$3:$I$22)</f>
        <v/>
      </c>
      <c r="E338">
        <f>k_n*C338-B338^2</f>
        <v/>
      </c>
      <c r="F338">
        <f>IF(ABS(E338)&lt;1E-14,0,(k_n*D338-B338*k_n*k_ymean)/E338)</f>
        <v/>
      </c>
      <c r="G338">
        <f>IF(k_n&gt;0,(k_n*k_ymean-F338*B338)/k_n,0)</f>
        <v/>
      </c>
      <c r="H338">
        <f>IF(AND(F338&gt;0,ABS(E338)&gt;=1E-14),SUMPRODUCT(Calc!$K$3:$K$22,(Calc!$I$3:$I$22-G338-F338*EXP(A338*Calc!$L$3:$L$22))^2),1E+300)</f>
        <v/>
      </c>
    </row>
    <row r="339">
      <c r="A339" t="n">
        <v>6.6</v>
      </c>
      <c r="B339">
        <f>SUMPRODUCT(Calc!$K$3:$K$22,EXP(A339*Calc!$L$3:$L$22))</f>
        <v/>
      </c>
      <c r="C339">
        <f>SUMPRODUCT(Calc!$K$3:$K$22,EXP(2*A339*Calc!$L$3:$L$22))</f>
        <v/>
      </c>
      <c r="D339">
        <f>SUMPRODUCT(Calc!$K$3:$K$22,EXP(A339*Calc!$L$3:$L$22),Calc!$I$3:$I$22)</f>
        <v/>
      </c>
      <c r="E339">
        <f>k_n*C339-B339^2</f>
        <v/>
      </c>
      <c r="F339">
        <f>IF(ABS(E339)&lt;1E-14,0,(k_n*D339-B339*k_n*k_ymean)/E339)</f>
        <v/>
      </c>
      <c r="G339">
        <f>IF(k_n&gt;0,(k_n*k_ymean-F339*B339)/k_n,0)</f>
        <v/>
      </c>
      <c r="H339">
        <f>IF(AND(F339&gt;0,ABS(E339)&gt;=1E-14),SUMPRODUCT(Calc!$K$3:$K$22,(Calc!$I$3:$I$22-G339-F339*EXP(A339*Calc!$L$3:$L$22))^2),1E+300)</f>
        <v/>
      </c>
    </row>
    <row r="340">
      <c r="A340" t="n">
        <v>6.62</v>
      </c>
      <c r="B340">
        <f>SUMPRODUCT(Calc!$K$3:$K$22,EXP(A340*Calc!$L$3:$L$22))</f>
        <v/>
      </c>
      <c r="C340">
        <f>SUMPRODUCT(Calc!$K$3:$K$22,EXP(2*A340*Calc!$L$3:$L$22))</f>
        <v/>
      </c>
      <c r="D340">
        <f>SUMPRODUCT(Calc!$K$3:$K$22,EXP(A340*Calc!$L$3:$L$22),Calc!$I$3:$I$22)</f>
        <v/>
      </c>
      <c r="E340">
        <f>k_n*C340-B340^2</f>
        <v/>
      </c>
      <c r="F340">
        <f>IF(ABS(E340)&lt;1E-14,0,(k_n*D340-B340*k_n*k_ymean)/E340)</f>
        <v/>
      </c>
      <c r="G340">
        <f>IF(k_n&gt;0,(k_n*k_ymean-F340*B340)/k_n,0)</f>
        <v/>
      </c>
      <c r="H340">
        <f>IF(AND(F340&gt;0,ABS(E340)&gt;=1E-14),SUMPRODUCT(Calc!$K$3:$K$22,(Calc!$I$3:$I$22-G340-F340*EXP(A340*Calc!$L$3:$L$22))^2),1E+300)</f>
        <v/>
      </c>
    </row>
    <row r="341">
      <c r="A341" t="n">
        <v>6.64</v>
      </c>
      <c r="B341">
        <f>SUMPRODUCT(Calc!$K$3:$K$22,EXP(A341*Calc!$L$3:$L$22))</f>
        <v/>
      </c>
      <c r="C341">
        <f>SUMPRODUCT(Calc!$K$3:$K$22,EXP(2*A341*Calc!$L$3:$L$22))</f>
        <v/>
      </c>
      <c r="D341">
        <f>SUMPRODUCT(Calc!$K$3:$K$22,EXP(A341*Calc!$L$3:$L$22),Calc!$I$3:$I$22)</f>
        <v/>
      </c>
      <c r="E341">
        <f>k_n*C341-B341^2</f>
        <v/>
      </c>
      <c r="F341">
        <f>IF(ABS(E341)&lt;1E-14,0,(k_n*D341-B341*k_n*k_ymean)/E341)</f>
        <v/>
      </c>
      <c r="G341">
        <f>IF(k_n&gt;0,(k_n*k_ymean-F341*B341)/k_n,0)</f>
        <v/>
      </c>
      <c r="H341">
        <f>IF(AND(F341&gt;0,ABS(E341)&gt;=1E-14),SUMPRODUCT(Calc!$K$3:$K$22,(Calc!$I$3:$I$22-G341-F341*EXP(A341*Calc!$L$3:$L$22))^2),1E+300)</f>
        <v/>
      </c>
    </row>
    <row r="342">
      <c r="A342" t="n">
        <v>6.66</v>
      </c>
      <c r="B342">
        <f>SUMPRODUCT(Calc!$K$3:$K$22,EXP(A342*Calc!$L$3:$L$22))</f>
        <v/>
      </c>
      <c r="C342">
        <f>SUMPRODUCT(Calc!$K$3:$K$22,EXP(2*A342*Calc!$L$3:$L$22))</f>
        <v/>
      </c>
      <c r="D342">
        <f>SUMPRODUCT(Calc!$K$3:$K$22,EXP(A342*Calc!$L$3:$L$22),Calc!$I$3:$I$22)</f>
        <v/>
      </c>
      <c r="E342">
        <f>k_n*C342-B342^2</f>
        <v/>
      </c>
      <c r="F342">
        <f>IF(ABS(E342)&lt;1E-14,0,(k_n*D342-B342*k_n*k_ymean)/E342)</f>
        <v/>
      </c>
      <c r="G342">
        <f>IF(k_n&gt;0,(k_n*k_ymean-F342*B342)/k_n,0)</f>
        <v/>
      </c>
      <c r="H342">
        <f>IF(AND(F342&gt;0,ABS(E342)&gt;=1E-14),SUMPRODUCT(Calc!$K$3:$K$22,(Calc!$I$3:$I$22-G342-F342*EXP(A342*Calc!$L$3:$L$22))^2),1E+300)</f>
        <v/>
      </c>
    </row>
    <row r="343">
      <c r="A343" t="n">
        <v>6.68</v>
      </c>
      <c r="B343">
        <f>SUMPRODUCT(Calc!$K$3:$K$22,EXP(A343*Calc!$L$3:$L$22))</f>
        <v/>
      </c>
      <c r="C343">
        <f>SUMPRODUCT(Calc!$K$3:$K$22,EXP(2*A343*Calc!$L$3:$L$22))</f>
        <v/>
      </c>
      <c r="D343">
        <f>SUMPRODUCT(Calc!$K$3:$K$22,EXP(A343*Calc!$L$3:$L$22),Calc!$I$3:$I$22)</f>
        <v/>
      </c>
      <c r="E343">
        <f>k_n*C343-B343^2</f>
        <v/>
      </c>
      <c r="F343">
        <f>IF(ABS(E343)&lt;1E-14,0,(k_n*D343-B343*k_n*k_ymean)/E343)</f>
        <v/>
      </c>
      <c r="G343">
        <f>IF(k_n&gt;0,(k_n*k_ymean-F343*B343)/k_n,0)</f>
        <v/>
      </c>
      <c r="H343">
        <f>IF(AND(F343&gt;0,ABS(E343)&gt;=1E-14),SUMPRODUCT(Calc!$K$3:$K$22,(Calc!$I$3:$I$22-G343-F343*EXP(A343*Calc!$L$3:$L$22))^2),1E+300)</f>
        <v/>
      </c>
    </row>
    <row r="344">
      <c r="A344" t="n">
        <v>6.7</v>
      </c>
      <c r="B344">
        <f>SUMPRODUCT(Calc!$K$3:$K$22,EXP(A344*Calc!$L$3:$L$22))</f>
        <v/>
      </c>
      <c r="C344">
        <f>SUMPRODUCT(Calc!$K$3:$K$22,EXP(2*A344*Calc!$L$3:$L$22))</f>
        <v/>
      </c>
      <c r="D344">
        <f>SUMPRODUCT(Calc!$K$3:$K$22,EXP(A344*Calc!$L$3:$L$22),Calc!$I$3:$I$22)</f>
        <v/>
      </c>
      <c r="E344">
        <f>k_n*C344-B344^2</f>
        <v/>
      </c>
      <c r="F344">
        <f>IF(ABS(E344)&lt;1E-14,0,(k_n*D344-B344*k_n*k_ymean)/E344)</f>
        <v/>
      </c>
      <c r="G344">
        <f>IF(k_n&gt;0,(k_n*k_ymean-F344*B344)/k_n,0)</f>
        <v/>
      </c>
      <c r="H344">
        <f>IF(AND(F344&gt;0,ABS(E344)&gt;=1E-14),SUMPRODUCT(Calc!$K$3:$K$22,(Calc!$I$3:$I$22-G344-F344*EXP(A344*Calc!$L$3:$L$22))^2),1E+300)</f>
        <v/>
      </c>
    </row>
    <row r="345">
      <c r="A345" t="n">
        <v>6.72</v>
      </c>
      <c r="B345">
        <f>SUMPRODUCT(Calc!$K$3:$K$22,EXP(A345*Calc!$L$3:$L$22))</f>
        <v/>
      </c>
      <c r="C345">
        <f>SUMPRODUCT(Calc!$K$3:$K$22,EXP(2*A345*Calc!$L$3:$L$22))</f>
        <v/>
      </c>
      <c r="D345">
        <f>SUMPRODUCT(Calc!$K$3:$K$22,EXP(A345*Calc!$L$3:$L$22),Calc!$I$3:$I$22)</f>
        <v/>
      </c>
      <c r="E345">
        <f>k_n*C345-B345^2</f>
        <v/>
      </c>
      <c r="F345">
        <f>IF(ABS(E345)&lt;1E-14,0,(k_n*D345-B345*k_n*k_ymean)/E345)</f>
        <v/>
      </c>
      <c r="G345">
        <f>IF(k_n&gt;0,(k_n*k_ymean-F345*B345)/k_n,0)</f>
        <v/>
      </c>
      <c r="H345">
        <f>IF(AND(F345&gt;0,ABS(E345)&gt;=1E-14),SUMPRODUCT(Calc!$K$3:$K$22,(Calc!$I$3:$I$22-G345-F345*EXP(A345*Calc!$L$3:$L$22))^2),1E+300)</f>
        <v/>
      </c>
    </row>
    <row r="346">
      <c r="A346" t="n">
        <v>6.74</v>
      </c>
      <c r="B346">
        <f>SUMPRODUCT(Calc!$K$3:$K$22,EXP(A346*Calc!$L$3:$L$22))</f>
        <v/>
      </c>
      <c r="C346">
        <f>SUMPRODUCT(Calc!$K$3:$K$22,EXP(2*A346*Calc!$L$3:$L$22))</f>
        <v/>
      </c>
      <c r="D346">
        <f>SUMPRODUCT(Calc!$K$3:$K$22,EXP(A346*Calc!$L$3:$L$22),Calc!$I$3:$I$22)</f>
        <v/>
      </c>
      <c r="E346">
        <f>k_n*C346-B346^2</f>
        <v/>
      </c>
      <c r="F346">
        <f>IF(ABS(E346)&lt;1E-14,0,(k_n*D346-B346*k_n*k_ymean)/E346)</f>
        <v/>
      </c>
      <c r="G346">
        <f>IF(k_n&gt;0,(k_n*k_ymean-F346*B346)/k_n,0)</f>
        <v/>
      </c>
      <c r="H346">
        <f>IF(AND(F346&gt;0,ABS(E346)&gt;=1E-14),SUMPRODUCT(Calc!$K$3:$K$22,(Calc!$I$3:$I$22-G346-F346*EXP(A346*Calc!$L$3:$L$22))^2),1E+300)</f>
        <v/>
      </c>
    </row>
    <row r="347">
      <c r="A347" t="n">
        <v>6.76</v>
      </c>
      <c r="B347">
        <f>SUMPRODUCT(Calc!$K$3:$K$22,EXP(A347*Calc!$L$3:$L$22))</f>
        <v/>
      </c>
      <c r="C347">
        <f>SUMPRODUCT(Calc!$K$3:$K$22,EXP(2*A347*Calc!$L$3:$L$22))</f>
        <v/>
      </c>
      <c r="D347">
        <f>SUMPRODUCT(Calc!$K$3:$K$22,EXP(A347*Calc!$L$3:$L$22),Calc!$I$3:$I$22)</f>
        <v/>
      </c>
      <c r="E347">
        <f>k_n*C347-B347^2</f>
        <v/>
      </c>
      <c r="F347">
        <f>IF(ABS(E347)&lt;1E-14,0,(k_n*D347-B347*k_n*k_ymean)/E347)</f>
        <v/>
      </c>
      <c r="G347">
        <f>IF(k_n&gt;0,(k_n*k_ymean-F347*B347)/k_n,0)</f>
        <v/>
      </c>
      <c r="H347">
        <f>IF(AND(F347&gt;0,ABS(E347)&gt;=1E-14),SUMPRODUCT(Calc!$K$3:$K$22,(Calc!$I$3:$I$22-G347-F347*EXP(A347*Calc!$L$3:$L$22))^2),1E+300)</f>
        <v/>
      </c>
    </row>
    <row r="348">
      <c r="A348" t="n">
        <v>6.78</v>
      </c>
      <c r="B348">
        <f>SUMPRODUCT(Calc!$K$3:$K$22,EXP(A348*Calc!$L$3:$L$22))</f>
        <v/>
      </c>
      <c r="C348">
        <f>SUMPRODUCT(Calc!$K$3:$K$22,EXP(2*A348*Calc!$L$3:$L$22))</f>
        <v/>
      </c>
      <c r="D348">
        <f>SUMPRODUCT(Calc!$K$3:$K$22,EXP(A348*Calc!$L$3:$L$22),Calc!$I$3:$I$22)</f>
        <v/>
      </c>
      <c r="E348">
        <f>k_n*C348-B348^2</f>
        <v/>
      </c>
      <c r="F348">
        <f>IF(ABS(E348)&lt;1E-14,0,(k_n*D348-B348*k_n*k_ymean)/E348)</f>
        <v/>
      </c>
      <c r="G348">
        <f>IF(k_n&gt;0,(k_n*k_ymean-F348*B348)/k_n,0)</f>
        <v/>
      </c>
      <c r="H348">
        <f>IF(AND(F348&gt;0,ABS(E348)&gt;=1E-14),SUMPRODUCT(Calc!$K$3:$K$22,(Calc!$I$3:$I$22-G348-F348*EXP(A348*Calc!$L$3:$L$22))^2),1E+300)</f>
        <v/>
      </c>
    </row>
    <row r="349">
      <c r="A349" t="n">
        <v>6.8</v>
      </c>
      <c r="B349">
        <f>SUMPRODUCT(Calc!$K$3:$K$22,EXP(A349*Calc!$L$3:$L$22))</f>
        <v/>
      </c>
      <c r="C349">
        <f>SUMPRODUCT(Calc!$K$3:$K$22,EXP(2*A349*Calc!$L$3:$L$22))</f>
        <v/>
      </c>
      <c r="D349">
        <f>SUMPRODUCT(Calc!$K$3:$K$22,EXP(A349*Calc!$L$3:$L$22),Calc!$I$3:$I$22)</f>
        <v/>
      </c>
      <c r="E349">
        <f>k_n*C349-B349^2</f>
        <v/>
      </c>
      <c r="F349">
        <f>IF(ABS(E349)&lt;1E-14,0,(k_n*D349-B349*k_n*k_ymean)/E349)</f>
        <v/>
      </c>
      <c r="G349">
        <f>IF(k_n&gt;0,(k_n*k_ymean-F349*B349)/k_n,0)</f>
        <v/>
      </c>
      <c r="H349">
        <f>IF(AND(F349&gt;0,ABS(E349)&gt;=1E-14),SUMPRODUCT(Calc!$K$3:$K$22,(Calc!$I$3:$I$22-G349-F349*EXP(A349*Calc!$L$3:$L$22))^2),1E+300)</f>
        <v/>
      </c>
    </row>
    <row r="350">
      <c r="A350" t="n">
        <v>6.82</v>
      </c>
      <c r="B350">
        <f>SUMPRODUCT(Calc!$K$3:$K$22,EXP(A350*Calc!$L$3:$L$22))</f>
        <v/>
      </c>
      <c r="C350">
        <f>SUMPRODUCT(Calc!$K$3:$K$22,EXP(2*A350*Calc!$L$3:$L$22))</f>
        <v/>
      </c>
      <c r="D350">
        <f>SUMPRODUCT(Calc!$K$3:$K$22,EXP(A350*Calc!$L$3:$L$22),Calc!$I$3:$I$22)</f>
        <v/>
      </c>
      <c r="E350">
        <f>k_n*C350-B350^2</f>
        <v/>
      </c>
      <c r="F350">
        <f>IF(ABS(E350)&lt;1E-14,0,(k_n*D350-B350*k_n*k_ymean)/E350)</f>
        <v/>
      </c>
      <c r="G350">
        <f>IF(k_n&gt;0,(k_n*k_ymean-F350*B350)/k_n,0)</f>
        <v/>
      </c>
      <c r="H350">
        <f>IF(AND(F350&gt;0,ABS(E350)&gt;=1E-14),SUMPRODUCT(Calc!$K$3:$K$22,(Calc!$I$3:$I$22-G350-F350*EXP(A350*Calc!$L$3:$L$22))^2),1E+300)</f>
        <v/>
      </c>
    </row>
    <row r="351">
      <c r="A351" t="n">
        <v>6.84</v>
      </c>
      <c r="B351">
        <f>SUMPRODUCT(Calc!$K$3:$K$22,EXP(A351*Calc!$L$3:$L$22))</f>
        <v/>
      </c>
      <c r="C351">
        <f>SUMPRODUCT(Calc!$K$3:$K$22,EXP(2*A351*Calc!$L$3:$L$22))</f>
        <v/>
      </c>
      <c r="D351">
        <f>SUMPRODUCT(Calc!$K$3:$K$22,EXP(A351*Calc!$L$3:$L$22),Calc!$I$3:$I$22)</f>
        <v/>
      </c>
      <c r="E351">
        <f>k_n*C351-B351^2</f>
        <v/>
      </c>
      <c r="F351">
        <f>IF(ABS(E351)&lt;1E-14,0,(k_n*D351-B351*k_n*k_ymean)/E351)</f>
        <v/>
      </c>
      <c r="G351">
        <f>IF(k_n&gt;0,(k_n*k_ymean-F351*B351)/k_n,0)</f>
        <v/>
      </c>
      <c r="H351">
        <f>IF(AND(F351&gt;0,ABS(E351)&gt;=1E-14),SUMPRODUCT(Calc!$K$3:$K$22,(Calc!$I$3:$I$22-G351-F351*EXP(A351*Calc!$L$3:$L$22))^2),1E+300)</f>
        <v/>
      </c>
    </row>
    <row r="352">
      <c r="A352" t="n">
        <v>6.86</v>
      </c>
      <c r="B352">
        <f>SUMPRODUCT(Calc!$K$3:$K$22,EXP(A352*Calc!$L$3:$L$22))</f>
        <v/>
      </c>
      <c r="C352">
        <f>SUMPRODUCT(Calc!$K$3:$K$22,EXP(2*A352*Calc!$L$3:$L$22))</f>
        <v/>
      </c>
      <c r="D352">
        <f>SUMPRODUCT(Calc!$K$3:$K$22,EXP(A352*Calc!$L$3:$L$22),Calc!$I$3:$I$22)</f>
        <v/>
      </c>
      <c r="E352">
        <f>k_n*C352-B352^2</f>
        <v/>
      </c>
      <c r="F352">
        <f>IF(ABS(E352)&lt;1E-14,0,(k_n*D352-B352*k_n*k_ymean)/E352)</f>
        <v/>
      </c>
      <c r="G352">
        <f>IF(k_n&gt;0,(k_n*k_ymean-F352*B352)/k_n,0)</f>
        <v/>
      </c>
      <c r="H352">
        <f>IF(AND(F352&gt;0,ABS(E352)&gt;=1E-14),SUMPRODUCT(Calc!$K$3:$K$22,(Calc!$I$3:$I$22-G352-F352*EXP(A352*Calc!$L$3:$L$22))^2),1E+300)</f>
        <v/>
      </c>
    </row>
    <row r="353">
      <c r="A353" t="n">
        <v>6.88</v>
      </c>
      <c r="B353">
        <f>SUMPRODUCT(Calc!$K$3:$K$22,EXP(A353*Calc!$L$3:$L$22))</f>
        <v/>
      </c>
      <c r="C353">
        <f>SUMPRODUCT(Calc!$K$3:$K$22,EXP(2*A353*Calc!$L$3:$L$22))</f>
        <v/>
      </c>
      <c r="D353">
        <f>SUMPRODUCT(Calc!$K$3:$K$22,EXP(A353*Calc!$L$3:$L$22),Calc!$I$3:$I$22)</f>
        <v/>
      </c>
      <c r="E353">
        <f>k_n*C353-B353^2</f>
        <v/>
      </c>
      <c r="F353">
        <f>IF(ABS(E353)&lt;1E-14,0,(k_n*D353-B353*k_n*k_ymean)/E353)</f>
        <v/>
      </c>
      <c r="G353">
        <f>IF(k_n&gt;0,(k_n*k_ymean-F353*B353)/k_n,0)</f>
        <v/>
      </c>
      <c r="H353">
        <f>IF(AND(F353&gt;0,ABS(E353)&gt;=1E-14),SUMPRODUCT(Calc!$K$3:$K$22,(Calc!$I$3:$I$22-G353-F353*EXP(A353*Calc!$L$3:$L$22))^2),1E+300)</f>
        <v/>
      </c>
    </row>
    <row r="354">
      <c r="A354" t="n">
        <v>6.9</v>
      </c>
      <c r="B354">
        <f>SUMPRODUCT(Calc!$K$3:$K$22,EXP(A354*Calc!$L$3:$L$22))</f>
        <v/>
      </c>
      <c r="C354">
        <f>SUMPRODUCT(Calc!$K$3:$K$22,EXP(2*A354*Calc!$L$3:$L$22))</f>
        <v/>
      </c>
      <c r="D354">
        <f>SUMPRODUCT(Calc!$K$3:$K$22,EXP(A354*Calc!$L$3:$L$22),Calc!$I$3:$I$22)</f>
        <v/>
      </c>
      <c r="E354">
        <f>k_n*C354-B354^2</f>
        <v/>
      </c>
      <c r="F354">
        <f>IF(ABS(E354)&lt;1E-14,0,(k_n*D354-B354*k_n*k_ymean)/E354)</f>
        <v/>
      </c>
      <c r="G354">
        <f>IF(k_n&gt;0,(k_n*k_ymean-F354*B354)/k_n,0)</f>
        <v/>
      </c>
      <c r="H354">
        <f>IF(AND(F354&gt;0,ABS(E354)&gt;=1E-14),SUMPRODUCT(Calc!$K$3:$K$22,(Calc!$I$3:$I$22-G354-F354*EXP(A354*Calc!$L$3:$L$22))^2),1E+300)</f>
        <v/>
      </c>
    </row>
    <row r="355">
      <c r="A355" t="n">
        <v>6.92</v>
      </c>
      <c r="B355">
        <f>SUMPRODUCT(Calc!$K$3:$K$22,EXP(A355*Calc!$L$3:$L$22))</f>
        <v/>
      </c>
      <c r="C355">
        <f>SUMPRODUCT(Calc!$K$3:$K$22,EXP(2*A355*Calc!$L$3:$L$22))</f>
        <v/>
      </c>
      <c r="D355">
        <f>SUMPRODUCT(Calc!$K$3:$K$22,EXP(A355*Calc!$L$3:$L$22),Calc!$I$3:$I$22)</f>
        <v/>
      </c>
      <c r="E355">
        <f>k_n*C355-B355^2</f>
        <v/>
      </c>
      <c r="F355">
        <f>IF(ABS(E355)&lt;1E-14,0,(k_n*D355-B355*k_n*k_ymean)/E355)</f>
        <v/>
      </c>
      <c r="G355">
        <f>IF(k_n&gt;0,(k_n*k_ymean-F355*B355)/k_n,0)</f>
        <v/>
      </c>
      <c r="H355">
        <f>IF(AND(F355&gt;0,ABS(E355)&gt;=1E-14),SUMPRODUCT(Calc!$K$3:$K$22,(Calc!$I$3:$I$22-G355-F355*EXP(A355*Calc!$L$3:$L$22))^2),1E+300)</f>
        <v/>
      </c>
    </row>
    <row r="356">
      <c r="A356" t="n">
        <v>6.94</v>
      </c>
      <c r="B356">
        <f>SUMPRODUCT(Calc!$K$3:$K$22,EXP(A356*Calc!$L$3:$L$22))</f>
        <v/>
      </c>
      <c r="C356">
        <f>SUMPRODUCT(Calc!$K$3:$K$22,EXP(2*A356*Calc!$L$3:$L$22))</f>
        <v/>
      </c>
      <c r="D356">
        <f>SUMPRODUCT(Calc!$K$3:$K$22,EXP(A356*Calc!$L$3:$L$22),Calc!$I$3:$I$22)</f>
        <v/>
      </c>
      <c r="E356">
        <f>k_n*C356-B356^2</f>
        <v/>
      </c>
      <c r="F356">
        <f>IF(ABS(E356)&lt;1E-14,0,(k_n*D356-B356*k_n*k_ymean)/E356)</f>
        <v/>
      </c>
      <c r="G356">
        <f>IF(k_n&gt;0,(k_n*k_ymean-F356*B356)/k_n,0)</f>
        <v/>
      </c>
      <c r="H356">
        <f>IF(AND(F356&gt;0,ABS(E356)&gt;=1E-14),SUMPRODUCT(Calc!$K$3:$K$22,(Calc!$I$3:$I$22-G356-F356*EXP(A356*Calc!$L$3:$L$22))^2),1E+300)</f>
        <v/>
      </c>
    </row>
    <row r="357">
      <c r="A357" t="n">
        <v>6.96</v>
      </c>
      <c r="B357">
        <f>SUMPRODUCT(Calc!$K$3:$K$22,EXP(A357*Calc!$L$3:$L$22))</f>
        <v/>
      </c>
      <c r="C357">
        <f>SUMPRODUCT(Calc!$K$3:$K$22,EXP(2*A357*Calc!$L$3:$L$22))</f>
        <v/>
      </c>
      <c r="D357">
        <f>SUMPRODUCT(Calc!$K$3:$K$22,EXP(A357*Calc!$L$3:$L$22),Calc!$I$3:$I$22)</f>
        <v/>
      </c>
      <c r="E357">
        <f>k_n*C357-B357^2</f>
        <v/>
      </c>
      <c r="F357">
        <f>IF(ABS(E357)&lt;1E-14,0,(k_n*D357-B357*k_n*k_ymean)/E357)</f>
        <v/>
      </c>
      <c r="G357">
        <f>IF(k_n&gt;0,(k_n*k_ymean-F357*B357)/k_n,0)</f>
        <v/>
      </c>
      <c r="H357">
        <f>IF(AND(F357&gt;0,ABS(E357)&gt;=1E-14),SUMPRODUCT(Calc!$K$3:$K$22,(Calc!$I$3:$I$22-G357-F357*EXP(A357*Calc!$L$3:$L$22))^2),1E+300)</f>
        <v/>
      </c>
    </row>
    <row r="358">
      <c r="A358" t="n">
        <v>6.98</v>
      </c>
      <c r="B358">
        <f>SUMPRODUCT(Calc!$K$3:$K$22,EXP(A358*Calc!$L$3:$L$22))</f>
        <v/>
      </c>
      <c r="C358">
        <f>SUMPRODUCT(Calc!$K$3:$K$22,EXP(2*A358*Calc!$L$3:$L$22))</f>
        <v/>
      </c>
      <c r="D358">
        <f>SUMPRODUCT(Calc!$K$3:$K$22,EXP(A358*Calc!$L$3:$L$22),Calc!$I$3:$I$22)</f>
        <v/>
      </c>
      <c r="E358">
        <f>k_n*C358-B358^2</f>
        <v/>
      </c>
      <c r="F358">
        <f>IF(ABS(E358)&lt;1E-14,0,(k_n*D358-B358*k_n*k_ymean)/E358)</f>
        <v/>
      </c>
      <c r="G358">
        <f>IF(k_n&gt;0,(k_n*k_ymean-F358*B358)/k_n,0)</f>
        <v/>
      </c>
      <c r="H358">
        <f>IF(AND(F358&gt;0,ABS(E358)&gt;=1E-14),SUMPRODUCT(Calc!$K$3:$K$22,(Calc!$I$3:$I$22-G358-F358*EXP(A358*Calc!$L$3:$L$22))^2),1E+300)</f>
        <v/>
      </c>
    </row>
    <row r="359">
      <c r="A359" t="n">
        <v>7</v>
      </c>
      <c r="B359">
        <f>SUMPRODUCT(Calc!$K$3:$K$22,EXP(A359*Calc!$L$3:$L$22))</f>
        <v/>
      </c>
      <c r="C359">
        <f>SUMPRODUCT(Calc!$K$3:$K$22,EXP(2*A359*Calc!$L$3:$L$22))</f>
        <v/>
      </c>
      <c r="D359">
        <f>SUMPRODUCT(Calc!$K$3:$K$22,EXP(A359*Calc!$L$3:$L$22),Calc!$I$3:$I$22)</f>
        <v/>
      </c>
      <c r="E359">
        <f>k_n*C359-B359^2</f>
        <v/>
      </c>
      <c r="F359">
        <f>IF(ABS(E359)&lt;1E-14,0,(k_n*D359-B359*k_n*k_ymean)/E359)</f>
        <v/>
      </c>
      <c r="G359">
        <f>IF(k_n&gt;0,(k_n*k_ymean-F359*B359)/k_n,0)</f>
        <v/>
      </c>
      <c r="H359">
        <f>IF(AND(F359&gt;0,ABS(E359)&gt;=1E-14),SUMPRODUCT(Calc!$K$3:$K$22,(Calc!$I$3:$I$22-G359-F359*EXP(A359*Calc!$L$3:$L$22))^2),1E+300)</f>
        <v/>
      </c>
    </row>
    <row r="360">
      <c r="A360" t="n">
        <v>7.02</v>
      </c>
      <c r="B360">
        <f>SUMPRODUCT(Calc!$K$3:$K$22,EXP(A360*Calc!$L$3:$L$22))</f>
        <v/>
      </c>
      <c r="C360">
        <f>SUMPRODUCT(Calc!$K$3:$K$22,EXP(2*A360*Calc!$L$3:$L$22))</f>
        <v/>
      </c>
      <c r="D360">
        <f>SUMPRODUCT(Calc!$K$3:$K$22,EXP(A360*Calc!$L$3:$L$22),Calc!$I$3:$I$22)</f>
        <v/>
      </c>
      <c r="E360">
        <f>k_n*C360-B360^2</f>
        <v/>
      </c>
      <c r="F360">
        <f>IF(ABS(E360)&lt;1E-14,0,(k_n*D360-B360*k_n*k_ymean)/E360)</f>
        <v/>
      </c>
      <c r="G360">
        <f>IF(k_n&gt;0,(k_n*k_ymean-F360*B360)/k_n,0)</f>
        <v/>
      </c>
      <c r="H360">
        <f>IF(AND(F360&gt;0,ABS(E360)&gt;=1E-14),SUMPRODUCT(Calc!$K$3:$K$22,(Calc!$I$3:$I$22-G360-F360*EXP(A360*Calc!$L$3:$L$22))^2),1E+300)</f>
        <v/>
      </c>
    </row>
    <row r="361">
      <c r="A361" t="n">
        <v>7.04</v>
      </c>
      <c r="B361">
        <f>SUMPRODUCT(Calc!$K$3:$K$22,EXP(A361*Calc!$L$3:$L$22))</f>
        <v/>
      </c>
      <c r="C361">
        <f>SUMPRODUCT(Calc!$K$3:$K$22,EXP(2*A361*Calc!$L$3:$L$22))</f>
        <v/>
      </c>
      <c r="D361">
        <f>SUMPRODUCT(Calc!$K$3:$K$22,EXP(A361*Calc!$L$3:$L$22),Calc!$I$3:$I$22)</f>
        <v/>
      </c>
      <c r="E361">
        <f>k_n*C361-B361^2</f>
        <v/>
      </c>
      <c r="F361">
        <f>IF(ABS(E361)&lt;1E-14,0,(k_n*D361-B361*k_n*k_ymean)/E361)</f>
        <v/>
      </c>
      <c r="G361">
        <f>IF(k_n&gt;0,(k_n*k_ymean-F361*B361)/k_n,0)</f>
        <v/>
      </c>
      <c r="H361">
        <f>IF(AND(F361&gt;0,ABS(E361)&gt;=1E-14),SUMPRODUCT(Calc!$K$3:$K$22,(Calc!$I$3:$I$22-G361-F361*EXP(A361*Calc!$L$3:$L$22))^2),1E+300)</f>
        <v/>
      </c>
    </row>
    <row r="362">
      <c r="A362" t="n">
        <v>7.06</v>
      </c>
      <c r="B362">
        <f>SUMPRODUCT(Calc!$K$3:$K$22,EXP(A362*Calc!$L$3:$L$22))</f>
        <v/>
      </c>
      <c r="C362">
        <f>SUMPRODUCT(Calc!$K$3:$K$22,EXP(2*A362*Calc!$L$3:$L$22))</f>
        <v/>
      </c>
      <c r="D362">
        <f>SUMPRODUCT(Calc!$K$3:$K$22,EXP(A362*Calc!$L$3:$L$22),Calc!$I$3:$I$22)</f>
        <v/>
      </c>
      <c r="E362">
        <f>k_n*C362-B362^2</f>
        <v/>
      </c>
      <c r="F362">
        <f>IF(ABS(E362)&lt;1E-14,0,(k_n*D362-B362*k_n*k_ymean)/E362)</f>
        <v/>
      </c>
      <c r="G362">
        <f>IF(k_n&gt;0,(k_n*k_ymean-F362*B362)/k_n,0)</f>
        <v/>
      </c>
      <c r="H362">
        <f>IF(AND(F362&gt;0,ABS(E362)&gt;=1E-14),SUMPRODUCT(Calc!$K$3:$K$22,(Calc!$I$3:$I$22-G362-F362*EXP(A362*Calc!$L$3:$L$22))^2),1E+300)</f>
        <v/>
      </c>
    </row>
    <row r="363">
      <c r="A363" t="n">
        <v>7.08</v>
      </c>
      <c r="B363">
        <f>SUMPRODUCT(Calc!$K$3:$K$22,EXP(A363*Calc!$L$3:$L$22))</f>
        <v/>
      </c>
      <c r="C363">
        <f>SUMPRODUCT(Calc!$K$3:$K$22,EXP(2*A363*Calc!$L$3:$L$22))</f>
        <v/>
      </c>
      <c r="D363">
        <f>SUMPRODUCT(Calc!$K$3:$K$22,EXP(A363*Calc!$L$3:$L$22),Calc!$I$3:$I$22)</f>
        <v/>
      </c>
      <c r="E363">
        <f>k_n*C363-B363^2</f>
        <v/>
      </c>
      <c r="F363">
        <f>IF(ABS(E363)&lt;1E-14,0,(k_n*D363-B363*k_n*k_ymean)/E363)</f>
        <v/>
      </c>
      <c r="G363">
        <f>IF(k_n&gt;0,(k_n*k_ymean-F363*B363)/k_n,0)</f>
        <v/>
      </c>
      <c r="H363">
        <f>IF(AND(F363&gt;0,ABS(E363)&gt;=1E-14),SUMPRODUCT(Calc!$K$3:$K$22,(Calc!$I$3:$I$22-G363-F363*EXP(A363*Calc!$L$3:$L$22))^2),1E+300)</f>
        <v/>
      </c>
    </row>
    <row r="364">
      <c r="A364" t="n">
        <v>7.1</v>
      </c>
      <c r="B364">
        <f>SUMPRODUCT(Calc!$K$3:$K$22,EXP(A364*Calc!$L$3:$L$22))</f>
        <v/>
      </c>
      <c r="C364">
        <f>SUMPRODUCT(Calc!$K$3:$K$22,EXP(2*A364*Calc!$L$3:$L$22))</f>
        <v/>
      </c>
      <c r="D364">
        <f>SUMPRODUCT(Calc!$K$3:$K$22,EXP(A364*Calc!$L$3:$L$22),Calc!$I$3:$I$22)</f>
        <v/>
      </c>
      <c r="E364">
        <f>k_n*C364-B364^2</f>
        <v/>
      </c>
      <c r="F364">
        <f>IF(ABS(E364)&lt;1E-14,0,(k_n*D364-B364*k_n*k_ymean)/E364)</f>
        <v/>
      </c>
      <c r="G364">
        <f>IF(k_n&gt;0,(k_n*k_ymean-F364*B364)/k_n,0)</f>
        <v/>
      </c>
      <c r="H364">
        <f>IF(AND(F364&gt;0,ABS(E364)&gt;=1E-14),SUMPRODUCT(Calc!$K$3:$K$22,(Calc!$I$3:$I$22-G364-F364*EXP(A364*Calc!$L$3:$L$22))^2),1E+300)</f>
        <v/>
      </c>
    </row>
    <row r="365">
      <c r="A365" t="n">
        <v>7.12</v>
      </c>
      <c r="B365">
        <f>SUMPRODUCT(Calc!$K$3:$K$22,EXP(A365*Calc!$L$3:$L$22))</f>
        <v/>
      </c>
      <c r="C365">
        <f>SUMPRODUCT(Calc!$K$3:$K$22,EXP(2*A365*Calc!$L$3:$L$22))</f>
        <v/>
      </c>
      <c r="D365">
        <f>SUMPRODUCT(Calc!$K$3:$K$22,EXP(A365*Calc!$L$3:$L$22),Calc!$I$3:$I$22)</f>
        <v/>
      </c>
      <c r="E365">
        <f>k_n*C365-B365^2</f>
        <v/>
      </c>
      <c r="F365">
        <f>IF(ABS(E365)&lt;1E-14,0,(k_n*D365-B365*k_n*k_ymean)/E365)</f>
        <v/>
      </c>
      <c r="G365">
        <f>IF(k_n&gt;0,(k_n*k_ymean-F365*B365)/k_n,0)</f>
        <v/>
      </c>
      <c r="H365">
        <f>IF(AND(F365&gt;0,ABS(E365)&gt;=1E-14),SUMPRODUCT(Calc!$K$3:$K$22,(Calc!$I$3:$I$22-G365-F365*EXP(A365*Calc!$L$3:$L$22))^2),1E+300)</f>
        <v/>
      </c>
    </row>
    <row r="366">
      <c r="A366" t="n">
        <v>7.14</v>
      </c>
      <c r="B366">
        <f>SUMPRODUCT(Calc!$K$3:$K$22,EXP(A366*Calc!$L$3:$L$22))</f>
        <v/>
      </c>
      <c r="C366">
        <f>SUMPRODUCT(Calc!$K$3:$K$22,EXP(2*A366*Calc!$L$3:$L$22))</f>
        <v/>
      </c>
      <c r="D366">
        <f>SUMPRODUCT(Calc!$K$3:$K$22,EXP(A366*Calc!$L$3:$L$22),Calc!$I$3:$I$22)</f>
        <v/>
      </c>
      <c r="E366">
        <f>k_n*C366-B366^2</f>
        <v/>
      </c>
      <c r="F366">
        <f>IF(ABS(E366)&lt;1E-14,0,(k_n*D366-B366*k_n*k_ymean)/E366)</f>
        <v/>
      </c>
      <c r="G366">
        <f>IF(k_n&gt;0,(k_n*k_ymean-F366*B366)/k_n,0)</f>
        <v/>
      </c>
      <c r="H366">
        <f>IF(AND(F366&gt;0,ABS(E366)&gt;=1E-14),SUMPRODUCT(Calc!$K$3:$K$22,(Calc!$I$3:$I$22-G366-F366*EXP(A366*Calc!$L$3:$L$22))^2),1E+300)</f>
        <v/>
      </c>
    </row>
    <row r="367">
      <c r="A367" t="n">
        <v>7.16</v>
      </c>
      <c r="B367">
        <f>SUMPRODUCT(Calc!$K$3:$K$22,EXP(A367*Calc!$L$3:$L$22))</f>
        <v/>
      </c>
      <c r="C367">
        <f>SUMPRODUCT(Calc!$K$3:$K$22,EXP(2*A367*Calc!$L$3:$L$22))</f>
        <v/>
      </c>
      <c r="D367">
        <f>SUMPRODUCT(Calc!$K$3:$K$22,EXP(A367*Calc!$L$3:$L$22),Calc!$I$3:$I$22)</f>
        <v/>
      </c>
      <c r="E367">
        <f>k_n*C367-B367^2</f>
        <v/>
      </c>
      <c r="F367">
        <f>IF(ABS(E367)&lt;1E-14,0,(k_n*D367-B367*k_n*k_ymean)/E367)</f>
        <v/>
      </c>
      <c r="G367">
        <f>IF(k_n&gt;0,(k_n*k_ymean-F367*B367)/k_n,0)</f>
        <v/>
      </c>
      <c r="H367">
        <f>IF(AND(F367&gt;0,ABS(E367)&gt;=1E-14),SUMPRODUCT(Calc!$K$3:$K$22,(Calc!$I$3:$I$22-G367-F367*EXP(A367*Calc!$L$3:$L$22))^2),1E+300)</f>
        <v/>
      </c>
    </row>
    <row r="368">
      <c r="A368" t="n">
        <v>7.18</v>
      </c>
      <c r="B368">
        <f>SUMPRODUCT(Calc!$K$3:$K$22,EXP(A368*Calc!$L$3:$L$22))</f>
        <v/>
      </c>
      <c r="C368">
        <f>SUMPRODUCT(Calc!$K$3:$K$22,EXP(2*A368*Calc!$L$3:$L$22))</f>
        <v/>
      </c>
      <c r="D368">
        <f>SUMPRODUCT(Calc!$K$3:$K$22,EXP(A368*Calc!$L$3:$L$22),Calc!$I$3:$I$22)</f>
        <v/>
      </c>
      <c r="E368">
        <f>k_n*C368-B368^2</f>
        <v/>
      </c>
      <c r="F368">
        <f>IF(ABS(E368)&lt;1E-14,0,(k_n*D368-B368*k_n*k_ymean)/E368)</f>
        <v/>
      </c>
      <c r="G368">
        <f>IF(k_n&gt;0,(k_n*k_ymean-F368*B368)/k_n,0)</f>
        <v/>
      </c>
      <c r="H368">
        <f>IF(AND(F368&gt;0,ABS(E368)&gt;=1E-14),SUMPRODUCT(Calc!$K$3:$K$22,(Calc!$I$3:$I$22-G368-F368*EXP(A368*Calc!$L$3:$L$22))^2),1E+300)</f>
        <v/>
      </c>
    </row>
    <row r="369">
      <c r="A369" t="n">
        <v>7.2</v>
      </c>
      <c r="B369">
        <f>SUMPRODUCT(Calc!$K$3:$K$22,EXP(A369*Calc!$L$3:$L$22))</f>
        <v/>
      </c>
      <c r="C369">
        <f>SUMPRODUCT(Calc!$K$3:$K$22,EXP(2*A369*Calc!$L$3:$L$22))</f>
        <v/>
      </c>
      <c r="D369">
        <f>SUMPRODUCT(Calc!$K$3:$K$22,EXP(A369*Calc!$L$3:$L$22),Calc!$I$3:$I$22)</f>
        <v/>
      </c>
      <c r="E369">
        <f>k_n*C369-B369^2</f>
        <v/>
      </c>
      <c r="F369">
        <f>IF(ABS(E369)&lt;1E-14,0,(k_n*D369-B369*k_n*k_ymean)/E369)</f>
        <v/>
      </c>
      <c r="G369">
        <f>IF(k_n&gt;0,(k_n*k_ymean-F369*B369)/k_n,0)</f>
        <v/>
      </c>
      <c r="H369">
        <f>IF(AND(F369&gt;0,ABS(E369)&gt;=1E-14),SUMPRODUCT(Calc!$K$3:$K$22,(Calc!$I$3:$I$22-G369-F369*EXP(A369*Calc!$L$3:$L$22))^2),1E+300)</f>
        <v/>
      </c>
    </row>
    <row r="370">
      <c r="A370" t="n">
        <v>7.22</v>
      </c>
      <c r="B370">
        <f>SUMPRODUCT(Calc!$K$3:$K$22,EXP(A370*Calc!$L$3:$L$22))</f>
        <v/>
      </c>
      <c r="C370">
        <f>SUMPRODUCT(Calc!$K$3:$K$22,EXP(2*A370*Calc!$L$3:$L$22))</f>
        <v/>
      </c>
      <c r="D370">
        <f>SUMPRODUCT(Calc!$K$3:$K$22,EXP(A370*Calc!$L$3:$L$22),Calc!$I$3:$I$22)</f>
        <v/>
      </c>
      <c r="E370">
        <f>k_n*C370-B370^2</f>
        <v/>
      </c>
      <c r="F370">
        <f>IF(ABS(E370)&lt;1E-14,0,(k_n*D370-B370*k_n*k_ymean)/E370)</f>
        <v/>
      </c>
      <c r="G370">
        <f>IF(k_n&gt;0,(k_n*k_ymean-F370*B370)/k_n,0)</f>
        <v/>
      </c>
      <c r="H370">
        <f>IF(AND(F370&gt;0,ABS(E370)&gt;=1E-14),SUMPRODUCT(Calc!$K$3:$K$22,(Calc!$I$3:$I$22-G370-F370*EXP(A370*Calc!$L$3:$L$22))^2),1E+300)</f>
        <v/>
      </c>
    </row>
    <row r="371">
      <c r="A371" t="n">
        <v>7.24</v>
      </c>
      <c r="B371">
        <f>SUMPRODUCT(Calc!$K$3:$K$22,EXP(A371*Calc!$L$3:$L$22))</f>
        <v/>
      </c>
      <c r="C371">
        <f>SUMPRODUCT(Calc!$K$3:$K$22,EXP(2*A371*Calc!$L$3:$L$22))</f>
        <v/>
      </c>
      <c r="D371">
        <f>SUMPRODUCT(Calc!$K$3:$K$22,EXP(A371*Calc!$L$3:$L$22),Calc!$I$3:$I$22)</f>
        <v/>
      </c>
      <c r="E371">
        <f>k_n*C371-B371^2</f>
        <v/>
      </c>
      <c r="F371">
        <f>IF(ABS(E371)&lt;1E-14,0,(k_n*D371-B371*k_n*k_ymean)/E371)</f>
        <v/>
      </c>
      <c r="G371">
        <f>IF(k_n&gt;0,(k_n*k_ymean-F371*B371)/k_n,0)</f>
        <v/>
      </c>
      <c r="H371">
        <f>IF(AND(F371&gt;0,ABS(E371)&gt;=1E-14),SUMPRODUCT(Calc!$K$3:$K$22,(Calc!$I$3:$I$22-G371-F371*EXP(A371*Calc!$L$3:$L$22))^2),1E+300)</f>
        <v/>
      </c>
    </row>
    <row r="372">
      <c r="A372" t="n">
        <v>7.26</v>
      </c>
      <c r="B372">
        <f>SUMPRODUCT(Calc!$K$3:$K$22,EXP(A372*Calc!$L$3:$L$22))</f>
        <v/>
      </c>
      <c r="C372">
        <f>SUMPRODUCT(Calc!$K$3:$K$22,EXP(2*A372*Calc!$L$3:$L$22))</f>
        <v/>
      </c>
      <c r="D372">
        <f>SUMPRODUCT(Calc!$K$3:$K$22,EXP(A372*Calc!$L$3:$L$22),Calc!$I$3:$I$22)</f>
        <v/>
      </c>
      <c r="E372">
        <f>k_n*C372-B372^2</f>
        <v/>
      </c>
      <c r="F372">
        <f>IF(ABS(E372)&lt;1E-14,0,(k_n*D372-B372*k_n*k_ymean)/E372)</f>
        <v/>
      </c>
      <c r="G372">
        <f>IF(k_n&gt;0,(k_n*k_ymean-F372*B372)/k_n,0)</f>
        <v/>
      </c>
      <c r="H372">
        <f>IF(AND(F372&gt;0,ABS(E372)&gt;=1E-14),SUMPRODUCT(Calc!$K$3:$K$22,(Calc!$I$3:$I$22-G372-F372*EXP(A372*Calc!$L$3:$L$22))^2),1E+300)</f>
        <v/>
      </c>
    </row>
    <row r="373">
      <c r="A373" t="n">
        <v>7.28</v>
      </c>
      <c r="B373">
        <f>SUMPRODUCT(Calc!$K$3:$K$22,EXP(A373*Calc!$L$3:$L$22))</f>
        <v/>
      </c>
      <c r="C373">
        <f>SUMPRODUCT(Calc!$K$3:$K$22,EXP(2*A373*Calc!$L$3:$L$22))</f>
        <v/>
      </c>
      <c r="D373">
        <f>SUMPRODUCT(Calc!$K$3:$K$22,EXP(A373*Calc!$L$3:$L$22),Calc!$I$3:$I$22)</f>
        <v/>
      </c>
      <c r="E373">
        <f>k_n*C373-B373^2</f>
        <v/>
      </c>
      <c r="F373">
        <f>IF(ABS(E373)&lt;1E-14,0,(k_n*D373-B373*k_n*k_ymean)/E373)</f>
        <v/>
      </c>
      <c r="G373">
        <f>IF(k_n&gt;0,(k_n*k_ymean-F373*B373)/k_n,0)</f>
        <v/>
      </c>
      <c r="H373">
        <f>IF(AND(F373&gt;0,ABS(E373)&gt;=1E-14),SUMPRODUCT(Calc!$K$3:$K$22,(Calc!$I$3:$I$22-G373-F373*EXP(A373*Calc!$L$3:$L$22))^2),1E+300)</f>
        <v/>
      </c>
    </row>
    <row r="374">
      <c r="A374" t="n">
        <v>7.3</v>
      </c>
      <c r="B374">
        <f>SUMPRODUCT(Calc!$K$3:$K$22,EXP(A374*Calc!$L$3:$L$22))</f>
        <v/>
      </c>
      <c r="C374">
        <f>SUMPRODUCT(Calc!$K$3:$K$22,EXP(2*A374*Calc!$L$3:$L$22))</f>
        <v/>
      </c>
      <c r="D374">
        <f>SUMPRODUCT(Calc!$K$3:$K$22,EXP(A374*Calc!$L$3:$L$22),Calc!$I$3:$I$22)</f>
        <v/>
      </c>
      <c r="E374">
        <f>k_n*C374-B374^2</f>
        <v/>
      </c>
      <c r="F374">
        <f>IF(ABS(E374)&lt;1E-14,0,(k_n*D374-B374*k_n*k_ymean)/E374)</f>
        <v/>
      </c>
      <c r="G374">
        <f>IF(k_n&gt;0,(k_n*k_ymean-F374*B374)/k_n,0)</f>
        <v/>
      </c>
      <c r="H374">
        <f>IF(AND(F374&gt;0,ABS(E374)&gt;=1E-14),SUMPRODUCT(Calc!$K$3:$K$22,(Calc!$I$3:$I$22-G374-F374*EXP(A374*Calc!$L$3:$L$22))^2),1E+300)</f>
        <v/>
      </c>
    </row>
    <row r="375">
      <c r="A375" t="n">
        <v>7.32</v>
      </c>
      <c r="B375">
        <f>SUMPRODUCT(Calc!$K$3:$K$22,EXP(A375*Calc!$L$3:$L$22))</f>
        <v/>
      </c>
      <c r="C375">
        <f>SUMPRODUCT(Calc!$K$3:$K$22,EXP(2*A375*Calc!$L$3:$L$22))</f>
        <v/>
      </c>
      <c r="D375">
        <f>SUMPRODUCT(Calc!$K$3:$K$22,EXP(A375*Calc!$L$3:$L$22),Calc!$I$3:$I$22)</f>
        <v/>
      </c>
      <c r="E375">
        <f>k_n*C375-B375^2</f>
        <v/>
      </c>
      <c r="F375">
        <f>IF(ABS(E375)&lt;1E-14,0,(k_n*D375-B375*k_n*k_ymean)/E375)</f>
        <v/>
      </c>
      <c r="G375">
        <f>IF(k_n&gt;0,(k_n*k_ymean-F375*B375)/k_n,0)</f>
        <v/>
      </c>
      <c r="H375">
        <f>IF(AND(F375&gt;0,ABS(E375)&gt;=1E-14),SUMPRODUCT(Calc!$K$3:$K$22,(Calc!$I$3:$I$22-G375-F375*EXP(A375*Calc!$L$3:$L$22))^2),1E+300)</f>
        <v/>
      </c>
    </row>
    <row r="376">
      <c r="A376" t="n">
        <v>7.34</v>
      </c>
      <c r="B376">
        <f>SUMPRODUCT(Calc!$K$3:$K$22,EXP(A376*Calc!$L$3:$L$22))</f>
        <v/>
      </c>
      <c r="C376">
        <f>SUMPRODUCT(Calc!$K$3:$K$22,EXP(2*A376*Calc!$L$3:$L$22))</f>
        <v/>
      </c>
      <c r="D376">
        <f>SUMPRODUCT(Calc!$K$3:$K$22,EXP(A376*Calc!$L$3:$L$22),Calc!$I$3:$I$22)</f>
        <v/>
      </c>
      <c r="E376">
        <f>k_n*C376-B376^2</f>
        <v/>
      </c>
      <c r="F376">
        <f>IF(ABS(E376)&lt;1E-14,0,(k_n*D376-B376*k_n*k_ymean)/E376)</f>
        <v/>
      </c>
      <c r="G376">
        <f>IF(k_n&gt;0,(k_n*k_ymean-F376*B376)/k_n,0)</f>
        <v/>
      </c>
      <c r="H376">
        <f>IF(AND(F376&gt;0,ABS(E376)&gt;=1E-14),SUMPRODUCT(Calc!$K$3:$K$22,(Calc!$I$3:$I$22-G376-F376*EXP(A376*Calc!$L$3:$L$22))^2),1E+300)</f>
        <v/>
      </c>
    </row>
    <row r="377">
      <c r="A377" t="n">
        <v>7.36</v>
      </c>
      <c r="B377">
        <f>SUMPRODUCT(Calc!$K$3:$K$22,EXP(A377*Calc!$L$3:$L$22))</f>
        <v/>
      </c>
      <c r="C377">
        <f>SUMPRODUCT(Calc!$K$3:$K$22,EXP(2*A377*Calc!$L$3:$L$22))</f>
        <v/>
      </c>
      <c r="D377">
        <f>SUMPRODUCT(Calc!$K$3:$K$22,EXP(A377*Calc!$L$3:$L$22),Calc!$I$3:$I$22)</f>
        <v/>
      </c>
      <c r="E377">
        <f>k_n*C377-B377^2</f>
        <v/>
      </c>
      <c r="F377">
        <f>IF(ABS(E377)&lt;1E-14,0,(k_n*D377-B377*k_n*k_ymean)/E377)</f>
        <v/>
      </c>
      <c r="G377">
        <f>IF(k_n&gt;0,(k_n*k_ymean-F377*B377)/k_n,0)</f>
        <v/>
      </c>
      <c r="H377">
        <f>IF(AND(F377&gt;0,ABS(E377)&gt;=1E-14),SUMPRODUCT(Calc!$K$3:$K$22,(Calc!$I$3:$I$22-G377-F377*EXP(A377*Calc!$L$3:$L$22))^2),1E+300)</f>
        <v/>
      </c>
    </row>
    <row r="378">
      <c r="A378" t="n">
        <v>7.38</v>
      </c>
      <c r="B378">
        <f>SUMPRODUCT(Calc!$K$3:$K$22,EXP(A378*Calc!$L$3:$L$22))</f>
        <v/>
      </c>
      <c r="C378">
        <f>SUMPRODUCT(Calc!$K$3:$K$22,EXP(2*A378*Calc!$L$3:$L$22))</f>
        <v/>
      </c>
      <c r="D378">
        <f>SUMPRODUCT(Calc!$K$3:$K$22,EXP(A378*Calc!$L$3:$L$22),Calc!$I$3:$I$22)</f>
        <v/>
      </c>
      <c r="E378">
        <f>k_n*C378-B378^2</f>
        <v/>
      </c>
      <c r="F378">
        <f>IF(ABS(E378)&lt;1E-14,0,(k_n*D378-B378*k_n*k_ymean)/E378)</f>
        <v/>
      </c>
      <c r="G378">
        <f>IF(k_n&gt;0,(k_n*k_ymean-F378*B378)/k_n,0)</f>
        <v/>
      </c>
      <c r="H378">
        <f>IF(AND(F378&gt;0,ABS(E378)&gt;=1E-14),SUMPRODUCT(Calc!$K$3:$K$22,(Calc!$I$3:$I$22-G378-F378*EXP(A378*Calc!$L$3:$L$22))^2),1E+300)</f>
        <v/>
      </c>
    </row>
    <row r="379">
      <c r="A379" t="n">
        <v>7.4</v>
      </c>
      <c r="B379">
        <f>SUMPRODUCT(Calc!$K$3:$K$22,EXP(A379*Calc!$L$3:$L$22))</f>
        <v/>
      </c>
      <c r="C379">
        <f>SUMPRODUCT(Calc!$K$3:$K$22,EXP(2*A379*Calc!$L$3:$L$22))</f>
        <v/>
      </c>
      <c r="D379">
        <f>SUMPRODUCT(Calc!$K$3:$K$22,EXP(A379*Calc!$L$3:$L$22),Calc!$I$3:$I$22)</f>
        <v/>
      </c>
      <c r="E379">
        <f>k_n*C379-B379^2</f>
        <v/>
      </c>
      <c r="F379">
        <f>IF(ABS(E379)&lt;1E-14,0,(k_n*D379-B379*k_n*k_ymean)/E379)</f>
        <v/>
      </c>
      <c r="G379">
        <f>IF(k_n&gt;0,(k_n*k_ymean-F379*B379)/k_n,0)</f>
        <v/>
      </c>
      <c r="H379">
        <f>IF(AND(F379&gt;0,ABS(E379)&gt;=1E-14),SUMPRODUCT(Calc!$K$3:$K$22,(Calc!$I$3:$I$22-G379-F379*EXP(A379*Calc!$L$3:$L$22))^2),1E+300)</f>
        <v/>
      </c>
    </row>
    <row r="380">
      <c r="A380" t="n">
        <v>7.42</v>
      </c>
      <c r="B380">
        <f>SUMPRODUCT(Calc!$K$3:$K$22,EXP(A380*Calc!$L$3:$L$22))</f>
        <v/>
      </c>
      <c r="C380">
        <f>SUMPRODUCT(Calc!$K$3:$K$22,EXP(2*A380*Calc!$L$3:$L$22))</f>
        <v/>
      </c>
      <c r="D380">
        <f>SUMPRODUCT(Calc!$K$3:$K$22,EXP(A380*Calc!$L$3:$L$22),Calc!$I$3:$I$22)</f>
        <v/>
      </c>
      <c r="E380">
        <f>k_n*C380-B380^2</f>
        <v/>
      </c>
      <c r="F380">
        <f>IF(ABS(E380)&lt;1E-14,0,(k_n*D380-B380*k_n*k_ymean)/E380)</f>
        <v/>
      </c>
      <c r="G380">
        <f>IF(k_n&gt;0,(k_n*k_ymean-F380*B380)/k_n,0)</f>
        <v/>
      </c>
      <c r="H380">
        <f>IF(AND(F380&gt;0,ABS(E380)&gt;=1E-14),SUMPRODUCT(Calc!$K$3:$K$22,(Calc!$I$3:$I$22-G380-F380*EXP(A380*Calc!$L$3:$L$22))^2),1E+300)</f>
        <v/>
      </c>
    </row>
    <row r="381">
      <c r="A381" t="n">
        <v>7.44</v>
      </c>
      <c r="B381">
        <f>SUMPRODUCT(Calc!$K$3:$K$22,EXP(A381*Calc!$L$3:$L$22))</f>
        <v/>
      </c>
      <c r="C381">
        <f>SUMPRODUCT(Calc!$K$3:$K$22,EXP(2*A381*Calc!$L$3:$L$22))</f>
        <v/>
      </c>
      <c r="D381">
        <f>SUMPRODUCT(Calc!$K$3:$K$22,EXP(A381*Calc!$L$3:$L$22),Calc!$I$3:$I$22)</f>
        <v/>
      </c>
      <c r="E381">
        <f>k_n*C381-B381^2</f>
        <v/>
      </c>
      <c r="F381">
        <f>IF(ABS(E381)&lt;1E-14,0,(k_n*D381-B381*k_n*k_ymean)/E381)</f>
        <v/>
      </c>
      <c r="G381">
        <f>IF(k_n&gt;0,(k_n*k_ymean-F381*B381)/k_n,0)</f>
        <v/>
      </c>
      <c r="H381">
        <f>IF(AND(F381&gt;0,ABS(E381)&gt;=1E-14),SUMPRODUCT(Calc!$K$3:$K$22,(Calc!$I$3:$I$22-G381-F381*EXP(A381*Calc!$L$3:$L$22))^2),1E+300)</f>
        <v/>
      </c>
    </row>
    <row r="382">
      <c r="A382" t="n">
        <v>7.46</v>
      </c>
      <c r="B382">
        <f>SUMPRODUCT(Calc!$K$3:$K$22,EXP(A382*Calc!$L$3:$L$22))</f>
        <v/>
      </c>
      <c r="C382">
        <f>SUMPRODUCT(Calc!$K$3:$K$22,EXP(2*A382*Calc!$L$3:$L$22))</f>
        <v/>
      </c>
      <c r="D382">
        <f>SUMPRODUCT(Calc!$K$3:$K$22,EXP(A382*Calc!$L$3:$L$22),Calc!$I$3:$I$22)</f>
        <v/>
      </c>
      <c r="E382">
        <f>k_n*C382-B382^2</f>
        <v/>
      </c>
      <c r="F382">
        <f>IF(ABS(E382)&lt;1E-14,0,(k_n*D382-B382*k_n*k_ymean)/E382)</f>
        <v/>
      </c>
      <c r="G382">
        <f>IF(k_n&gt;0,(k_n*k_ymean-F382*B382)/k_n,0)</f>
        <v/>
      </c>
      <c r="H382">
        <f>IF(AND(F382&gt;0,ABS(E382)&gt;=1E-14),SUMPRODUCT(Calc!$K$3:$K$22,(Calc!$I$3:$I$22-G382-F382*EXP(A382*Calc!$L$3:$L$22))^2),1E+300)</f>
        <v/>
      </c>
    </row>
    <row r="383">
      <c r="A383" t="n">
        <v>7.48</v>
      </c>
      <c r="B383">
        <f>SUMPRODUCT(Calc!$K$3:$K$22,EXP(A383*Calc!$L$3:$L$22))</f>
        <v/>
      </c>
      <c r="C383">
        <f>SUMPRODUCT(Calc!$K$3:$K$22,EXP(2*A383*Calc!$L$3:$L$22))</f>
        <v/>
      </c>
      <c r="D383">
        <f>SUMPRODUCT(Calc!$K$3:$K$22,EXP(A383*Calc!$L$3:$L$22),Calc!$I$3:$I$22)</f>
        <v/>
      </c>
      <c r="E383">
        <f>k_n*C383-B383^2</f>
        <v/>
      </c>
      <c r="F383">
        <f>IF(ABS(E383)&lt;1E-14,0,(k_n*D383-B383*k_n*k_ymean)/E383)</f>
        <v/>
      </c>
      <c r="G383">
        <f>IF(k_n&gt;0,(k_n*k_ymean-F383*B383)/k_n,0)</f>
        <v/>
      </c>
      <c r="H383">
        <f>IF(AND(F383&gt;0,ABS(E383)&gt;=1E-14),SUMPRODUCT(Calc!$K$3:$K$22,(Calc!$I$3:$I$22-G383-F383*EXP(A383*Calc!$L$3:$L$22))^2),1E+300)</f>
        <v/>
      </c>
    </row>
    <row r="384">
      <c r="A384" t="n">
        <v>7.5</v>
      </c>
      <c r="B384">
        <f>SUMPRODUCT(Calc!$K$3:$K$22,EXP(A384*Calc!$L$3:$L$22))</f>
        <v/>
      </c>
      <c r="C384">
        <f>SUMPRODUCT(Calc!$K$3:$K$22,EXP(2*A384*Calc!$L$3:$L$22))</f>
        <v/>
      </c>
      <c r="D384">
        <f>SUMPRODUCT(Calc!$K$3:$K$22,EXP(A384*Calc!$L$3:$L$22),Calc!$I$3:$I$22)</f>
        <v/>
      </c>
      <c r="E384">
        <f>k_n*C384-B384^2</f>
        <v/>
      </c>
      <c r="F384">
        <f>IF(ABS(E384)&lt;1E-14,0,(k_n*D384-B384*k_n*k_ymean)/E384)</f>
        <v/>
      </c>
      <c r="G384">
        <f>IF(k_n&gt;0,(k_n*k_ymean-F384*B384)/k_n,0)</f>
        <v/>
      </c>
      <c r="H384">
        <f>IF(AND(F384&gt;0,ABS(E384)&gt;=1E-14),SUMPRODUCT(Calc!$K$3:$K$22,(Calc!$I$3:$I$22-G384-F384*EXP(A384*Calc!$L$3:$L$22))^2),1E+300)</f>
        <v/>
      </c>
    </row>
    <row r="385">
      <c r="A385" t="n">
        <v>7.52</v>
      </c>
      <c r="B385">
        <f>SUMPRODUCT(Calc!$K$3:$K$22,EXP(A385*Calc!$L$3:$L$22))</f>
        <v/>
      </c>
      <c r="C385">
        <f>SUMPRODUCT(Calc!$K$3:$K$22,EXP(2*A385*Calc!$L$3:$L$22))</f>
        <v/>
      </c>
      <c r="D385">
        <f>SUMPRODUCT(Calc!$K$3:$K$22,EXP(A385*Calc!$L$3:$L$22),Calc!$I$3:$I$22)</f>
        <v/>
      </c>
      <c r="E385">
        <f>k_n*C385-B385^2</f>
        <v/>
      </c>
      <c r="F385">
        <f>IF(ABS(E385)&lt;1E-14,0,(k_n*D385-B385*k_n*k_ymean)/E385)</f>
        <v/>
      </c>
      <c r="G385">
        <f>IF(k_n&gt;0,(k_n*k_ymean-F385*B385)/k_n,0)</f>
        <v/>
      </c>
      <c r="H385">
        <f>IF(AND(F385&gt;0,ABS(E385)&gt;=1E-14),SUMPRODUCT(Calc!$K$3:$K$22,(Calc!$I$3:$I$22-G385-F385*EXP(A385*Calc!$L$3:$L$22))^2),1E+300)</f>
        <v/>
      </c>
    </row>
    <row r="386">
      <c r="A386" t="n">
        <v>7.54</v>
      </c>
      <c r="B386">
        <f>SUMPRODUCT(Calc!$K$3:$K$22,EXP(A386*Calc!$L$3:$L$22))</f>
        <v/>
      </c>
      <c r="C386">
        <f>SUMPRODUCT(Calc!$K$3:$K$22,EXP(2*A386*Calc!$L$3:$L$22))</f>
        <v/>
      </c>
      <c r="D386">
        <f>SUMPRODUCT(Calc!$K$3:$K$22,EXP(A386*Calc!$L$3:$L$22),Calc!$I$3:$I$22)</f>
        <v/>
      </c>
      <c r="E386">
        <f>k_n*C386-B386^2</f>
        <v/>
      </c>
      <c r="F386">
        <f>IF(ABS(E386)&lt;1E-14,0,(k_n*D386-B386*k_n*k_ymean)/E386)</f>
        <v/>
      </c>
      <c r="G386">
        <f>IF(k_n&gt;0,(k_n*k_ymean-F386*B386)/k_n,0)</f>
        <v/>
      </c>
      <c r="H386">
        <f>IF(AND(F386&gt;0,ABS(E386)&gt;=1E-14),SUMPRODUCT(Calc!$K$3:$K$22,(Calc!$I$3:$I$22-G386-F386*EXP(A386*Calc!$L$3:$L$22))^2),1E+300)</f>
        <v/>
      </c>
    </row>
    <row r="387">
      <c r="A387" t="n">
        <v>7.56</v>
      </c>
      <c r="B387">
        <f>SUMPRODUCT(Calc!$K$3:$K$22,EXP(A387*Calc!$L$3:$L$22))</f>
        <v/>
      </c>
      <c r="C387">
        <f>SUMPRODUCT(Calc!$K$3:$K$22,EXP(2*A387*Calc!$L$3:$L$22))</f>
        <v/>
      </c>
      <c r="D387">
        <f>SUMPRODUCT(Calc!$K$3:$K$22,EXP(A387*Calc!$L$3:$L$22),Calc!$I$3:$I$22)</f>
        <v/>
      </c>
      <c r="E387">
        <f>k_n*C387-B387^2</f>
        <v/>
      </c>
      <c r="F387">
        <f>IF(ABS(E387)&lt;1E-14,0,(k_n*D387-B387*k_n*k_ymean)/E387)</f>
        <v/>
      </c>
      <c r="G387">
        <f>IF(k_n&gt;0,(k_n*k_ymean-F387*B387)/k_n,0)</f>
        <v/>
      </c>
      <c r="H387">
        <f>IF(AND(F387&gt;0,ABS(E387)&gt;=1E-14),SUMPRODUCT(Calc!$K$3:$K$22,(Calc!$I$3:$I$22-G387-F387*EXP(A387*Calc!$L$3:$L$22))^2),1E+300)</f>
        <v/>
      </c>
    </row>
    <row r="388">
      <c r="A388" t="n">
        <v>7.58</v>
      </c>
      <c r="B388">
        <f>SUMPRODUCT(Calc!$K$3:$K$22,EXP(A388*Calc!$L$3:$L$22))</f>
        <v/>
      </c>
      <c r="C388">
        <f>SUMPRODUCT(Calc!$K$3:$K$22,EXP(2*A388*Calc!$L$3:$L$22))</f>
        <v/>
      </c>
      <c r="D388">
        <f>SUMPRODUCT(Calc!$K$3:$K$22,EXP(A388*Calc!$L$3:$L$22),Calc!$I$3:$I$22)</f>
        <v/>
      </c>
      <c r="E388">
        <f>k_n*C388-B388^2</f>
        <v/>
      </c>
      <c r="F388">
        <f>IF(ABS(E388)&lt;1E-14,0,(k_n*D388-B388*k_n*k_ymean)/E388)</f>
        <v/>
      </c>
      <c r="G388">
        <f>IF(k_n&gt;0,(k_n*k_ymean-F388*B388)/k_n,0)</f>
        <v/>
      </c>
      <c r="H388">
        <f>IF(AND(F388&gt;0,ABS(E388)&gt;=1E-14),SUMPRODUCT(Calc!$K$3:$K$22,(Calc!$I$3:$I$22-G388-F388*EXP(A388*Calc!$L$3:$L$22))^2),1E+300)</f>
        <v/>
      </c>
    </row>
    <row r="389">
      <c r="A389" t="n">
        <v>7.6</v>
      </c>
      <c r="B389">
        <f>SUMPRODUCT(Calc!$K$3:$K$22,EXP(A389*Calc!$L$3:$L$22))</f>
        <v/>
      </c>
      <c r="C389">
        <f>SUMPRODUCT(Calc!$K$3:$K$22,EXP(2*A389*Calc!$L$3:$L$22))</f>
        <v/>
      </c>
      <c r="D389">
        <f>SUMPRODUCT(Calc!$K$3:$K$22,EXP(A389*Calc!$L$3:$L$22),Calc!$I$3:$I$22)</f>
        <v/>
      </c>
      <c r="E389">
        <f>k_n*C389-B389^2</f>
        <v/>
      </c>
      <c r="F389">
        <f>IF(ABS(E389)&lt;1E-14,0,(k_n*D389-B389*k_n*k_ymean)/E389)</f>
        <v/>
      </c>
      <c r="G389">
        <f>IF(k_n&gt;0,(k_n*k_ymean-F389*B389)/k_n,0)</f>
        <v/>
      </c>
      <c r="H389">
        <f>IF(AND(F389&gt;0,ABS(E389)&gt;=1E-14),SUMPRODUCT(Calc!$K$3:$K$22,(Calc!$I$3:$I$22-G389-F389*EXP(A389*Calc!$L$3:$L$22))^2),1E+300)</f>
        <v/>
      </c>
    </row>
    <row r="390">
      <c r="A390" t="n">
        <v>7.62</v>
      </c>
      <c r="B390">
        <f>SUMPRODUCT(Calc!$K$3:$K$22,EXP(A390*Calc!$L$3:$L$22))</f>
        <v/>
      </c>
      <c r="C390">
        <f>SUMPRODUCT(Calc!$K$3:$K$22,EXP(2*A390*Calc!$L$3:$L$22))</f>
        <v/>
      </c>
      <c r="D390">
        <f>SUMPRODUCT(Calc!$K$3:$K$22,EXP(A390*Calc!$L$3:$L$22),Calc!$I$3:$I$22)</f>
        <v/>
      </c>
      <c r="E390">
        <f>k_n*C390-B390^2</f>
        <v/>
      </c>
      <c r="F390">
        <f>IF(ABS(E390)&lt;1E-14,0,(k_n*D390-B390*k_n*k_ymean)/E390)</f>
        <v/>
      </c>
      <c r="G390">
        <f>IF(k_n&gt;0,(k_n*k_ymean-F390*B390)/k_n,0)</f>
        <v/>
      </c>
      <c r="H390">
        <f>IF(AND(F390&gt;0,ABS(E390)&gt;=1E-14),SUMPRODUCT(Calc!$K$3:$K$22,(Calc!$I$3:$I$22-G390-F390*EXP(A390*Calc!$L$3:$L$22))^2),1E+300)</f>
        <v/>
      </c>
    </row>
    <row r="391">
      <c r="A391" t="n">
        <v>7.64</v>
      </c>
      <c r="B391">
        <f>SUMPRODUCT(Calc!$K$3:$K$22,EXP(A391*Calc!$L$3:$L$22))</f>
        <v/>
      </c>
      <c r="C391">
        <f>SUMPRODUCT(Calc!$K$3:$K$22,EXP(2*A391*Calc!$L$3:$L$22))</f>
        <v/>
      </c>
      <c r="D391">
        <f>SUMPRODUCT(Calc!$K$3:$K$22,EXP(A391*Calc!$L$3:$L$22),Calc!$I$3:$I$22)</f>
        <v/>
      </c>
      <c r="E391">
        <f>k_n*C391-B391^2</f>
        <v/>
      </c>
      <c r="F391">
        <f>IF(ABS(E391)&lt;1E-14,0,(k_n*D391-B391*k_n*k_ymean)/E391)</f>
        <v/>
      </c>
      <c r="G391">
        <f>IF(k_n&gt;0,(k_n*k_ymean-F391*B391)/k_n,0)</f>
        <v/>
      </c>
      <c r="H391">
        <f>IF(AND(F391&gt;0,ABS(E391)&gt;=1E-14),SUMPRODUCT(Calc!$K$3:$K$22,(Calc!$I$3:$I$22-G391-F391*EXP(A391*Calc!$L$3:$L$22))^2),1E+300)</f>
        <v/>
      </c>
    </row>
    <row r="392">
      <c r="A392" t="n">
        <v>7.66</v>
      </c>
      <c r="B392">
        <f>SUMPRODUCT(Calc!$K$3:$K$22,EXP(A392*Calc!$L$3:$L$22))</f>
        <v/>
      </c>
      <c r="C392">
        <f>SUMPRODUCT(Calc!$K$3:$K$22,EXP(2*A392*Calc!$L$3:$L$22))</f>
        <v/>
      </c>
      <c r="D392">
        <f>SUMPRODUCT(Calc!$K$3:$K$22,EXP(A392*Calc!$L$3:$L$22),Calc!$I$3:$I$22)</f>
        <v/>
      </c>
      <c r="E392">
        <f>k_n*C392-B392^2</f>
        <v/>
      </c>
      <c r="F392">
        <f>IF(ABS(E392)&lt;1E-14,0,(k_n*D392-B392*k_n*k_ymean)/E392)</f>
        <v/>
      </c>
      <c r="G392">
        <f>IF(k_n&gt;0,(k_n*k_ymean-F392*B392)/k_n,0)</f>
        <v/>
      </c>
      <c r="H392">
        <f>IF(AND(F392&gt;0,ABS(E392)&gt;=1E-14),SUMPRODUCT(Calc!$K$3:$K$22,(Calc!$I$3:$I$22-G392-F392*EXP(A392*Calc!$L$3:$L$22))^2),1E+300)</f>
        <v/>
      </c>
    </row>
    <row r="393">
      <c r="A393" t="n">
        <v>7.68</v>
      </c>
      <c r="B393">
        <f>SUMPRODUCT(Calc!$K$3:$K$22,EXP(A393*Calc!$L$3:$L$22))</f>
        <v/>
      </c>
      <c r="C393">
        <f>SUMPRODUCT(Calc!$K$3:$K$22,EXP(2*A393*Calc!$L$3:$L$22))</f>
        <v/>
      </c>
      <c r="D393">
        <f>SUMPRODUCT(Calc!$K$3:$K$22,EXP(A393*Calc!$L$3:$L$22),Calc!$I$3:$I$22)</f>
        <v/>
      </c>
      <c r="E393">
        <f>k_n*C393-B393^2</f>
        <v/>
      </c>
      <c r="F393">
        <f>IF(ABS(E393)&lt;1E-14,0,(k_n*D393-B393*k_n*k_ymean)/E393)</f>
        <v/>
      </c>
      <c r="G393">
        <f>IF(k_n&gt;0,(k_n*k_ymean-F393*B393)/k_n,0)</f>
        <v/>
      </c>
      <c r="H393">
        <f>IF(AND(F393&gt;0,ABS(E393)&gt;=1E-14),SUMPRODUCT(Calc!$K$3:$K$22,(Calc!$I$3:$I$22-G393-F393*EXP(A393*Calc!$L$3:$L$22))^2),1E+300)</f>
        <v/>
      </c>
    </row>
    <row r="394">
      <c r="A394" t="n">
        <v>7.7</v>
      </c>
      <c r="B394">
        <f>SUMPRODUCT(Calc!$K$3:$K$22,EXP(A394*Calc!$L$3:$L$22))</f>
        <v/>
      </c>
      <c r="C394">
        <f>SUMPRODUCT(Calc!$K$3:$K$22,EXP(2*A394*Calc!$L$3:$L$22))</f>
        <v/>
      </c>
      <c r="D394">
        <f>SUMPRODUCT(Calc!$K$3:$K$22,EXP(A394*Calc!$L$3:$L$22),Calc!$I$3:$I$22)</f>
        <v/>
      </c>
      <c r="E394">
        <f>k_n*C394-B394^2</f>
        <v/>
      </c>
      <c r="F394">
        <f>IF(ABS(E394)&lt;1E-14,0,(k_n*D394-B394*k_n*k_ymean)/E394)</f>
        <v/>
      </c>
      <c r="G394">
        <f>IF(k_n&gt;0,(k_n*k_ymean-F394*B394)/k_n,0)</f>
        <v/>
      </c>
      <c r="H394">
        <f>IF(AND(F394&gt;0,ABS(E394)&gt;=1E-14),SUMPRODUCT(Calc!$K$3:$K$22,(Calc!$I$3:$I$22-G394-F394*EXP(A394*Calc!$L$3:$L$22))^2),1E+300)</f>
        <v/>
      </c>
    </row>
    <row r="395">
      <c r="A395" t="n">
        <v>7.72</v>
      </c>
      <c r="B395">
        <f>SUMPRODUCT(Calc!$K$3:$K$22,EXP(A395*Calc!$L$3:$L$22))</f>
        <v/>
      </c>
      <c r="C395">
        <f>SUMPRODUCT(Calc!$K$3:$K$22,EXP(2*A395*Calc!$L$3:$L$22))</f>
        <v/>
      </c>
      <c r="D395">
        <f>SUMPRODUCT(Calc!$K$3:$K$22,EXP(A395*Calc!$L$3:$L$22),Calc!$I$3:$I$22)</f>
        <v/>
      </c>
      <c r="E395">
        <f>k_n*C395-B395^2</f>
        <v/>
      </c>
      <c r="F395">
        <f>IF(ABS(E395)&lt;1E-14,0,(k_n*D395-B395*k_n*k_ymean)/E395)</f>
        <v/>
      </c>
      <c r="G395">
        <f>IF(k_n&gt;0,(k_n*k_ymean-F395*B395)/k_n,0)</f>
        <v/>
      </c>
      <c r="H395">
        <f>IF(AND(F395&gt;0,ABS(E395)&gt;=1E-14),SUMPRODUCT(Calc!$K$3:$K$22,(Calc!$I$3:$I$22-G395-F395*EXP(A395*Calc!$L$3:$L$22))^2),1E+300)</f>
        <v/>
      </c>
    </row>
    <row r="396">
      <c r="A396" t="n">
        <v>7.74</v>
      </c>
      <c r="B396">
        <f>SUMPRODUCT(Calc!$K$3:$K$22,EXP(A396*Calc!$L$3:$L$22))</f>
        <v/>
      </c>
      <c r="C396">
        <f>SUMPRODUCT(Calc!$K$3:$K$22,EXP(2*A396*Calc!$L$3:$L$22))</f>
        <v/>
      </c>
      <c r="D396">
        <f>SUMPRODUCT(Calc!$K$3:$K$22,EXP(A396*Calc!$L$3:$L$22),Calc!$I$3:$I$22)</f>
        <v/>
      </c>
      <c r="E396">
        <f>k_n*C396-B396^2</f>
        <v/>
      </c>
      <c r="F396">
        <f>IF(ABS(E396)&lt;1E-14,0,(k_n*D396-B396*k_n*k_ymean)/E396)</f>
        <v/>
      </c>
      <c r="G396">
        <f>IF(k_n&gt;0,(k_n*k_ymean-F396*B396)/k_n,0)</f>
        <v/>
      </c>
      <c r="H396">
        <f>IF(AND(F396&gt;0,ABS(E396)&gt;=1E-14),SUMPRODUCT(Calc!$K$3:$K$22,(Calc!$I$3:$I$22-G396-F396*EXP(A396*Calc!$L$3:$L$22))^2),1E+300)</f>
        <v/>
      </c>
    </row>
    <row r="397">
      <c r="A397" t="n">
        <v>7.76</v>
      </c>
      <c r="B397">
        <f>SUMPRODUCT(Calc!$K$3:$K$22,EXP(A397*Calc!$L$3:$L$22))</f>
        <v/>
      </c>
      <c r="C397">
        <f>SUMPRODUCT(Calc!$K$3:$K$22,EXP(2*A397*Calc!$L$3:$L$22))</f>
        <v/>
      </c>
      <c r="D397">
        <f>SUMPRODUCT(Calc!$K$3:$K$22,EXP(A397*Calc!$L$3:$L$22),Calc!$I$3:$I$22)</f>
        <v/>
      </c>
      <c r="E397">
        <f>k_n*C397-B397^2</f>
        <v/>
      </c>
      <c r="F397">
        <f>IF(ABS(E397)&lt;1E-14,0,(k_n*D397-B397*k_n*k_ymean)/E397)</f>
        <v/>
      </c>
      <c r="G397">
        <f>IF(k_n&gt;0,(k_n*k_ymean-F397*B397)/k_n,0)</f>
        <v/>
      </c>
      <c r="H397">
        <f>IF(AND(F397&gt;0,ABS(E397)&gt;=1E-14),SUMPRODUCT(Calc!$K$3:$K$22,(Calc!$I$3:$I$22-G397-F397*EXP(A397*Calc!$L$3:$L$22))^2),1E+300)</f>
        <v/>
      </c>
    </row>
    <row r="398">
      <c r="A398" t="n">
        <v>7.78</v>
      </c>
      <c r="B398">
        <f>SUMPRODUCT(Calc!$K$3:$K$22,EXP(A398*Calc!$L$3:$L$22))</f>
        <v/>
      </c>
      <c r="C398">
        <f>SUMPRODUCT(Calc!$K$3:$K$22,EXP(2*A398*Calc!$L$3:$L$22))</f>
        <v/>
      </c>
      <c r="D398">
        <f>SUMPRODUCT(Calc!$K$3:$K$22,EXP(A398*Calc!$L$3:$L$22),Calc!$I$3:$I$22)</f>
        <v/>
      </c>
      <c r="E398">
        <f>k_n*C398-B398^2</f>
        <v/>
      </c>
      <c r="F398">
        <f>IF(ABS(E398)&lt;1E-14,0,(k_n*D398-B398*k_n*k_ymean)/E398)</f>
        <v/>
      </c>
      <c r="G398">
        <f>IF(k_n&gt;0,(k_n*k_ymean-F398*B398)/k_n,0)</f>
        <v/>
      </c>
      <c r="H398">
        <f>IF(AND(F398&gt;0,ABS(E398)&gt;=1E-14),SUMPRODUCT(Calc!$K$3:$K$22,(Calc!$I$3:$I$22-G398-F398*EXP(A398*Calc!$L$3:$L$22))^2),1E+300)</f>
        <v/>
      </c>
    </row>
    <row r="399">
      <c r="A399" t="n">
        <v>7.8</v>
      </c>
      <c r="B399">
        <f>SUMPRODUCT(Calc!$K$3:$K$22,EXP(A399*Calc!$L$3:$L$22))</f>
        <v/>
      </c>
      <c r="C399">
        <f>SUMPRODUCT(Calc!$K$3:$K$22,EXP(2*A399*Calc!$L$3:$L$22))</f>
        <v/>
      </c>
      <c r="D399">
        <f>SUMPRODUCT(Calc!$K$3:$K$22,EXP(A399*Calc!$L$3:$L$22),Calc!$I$3:$I$22)</f>
        <v/>
      </c>
      <c r="E399">
        <f>k_n*C399-B399^2</f>
        <v/>
      </c>
      <c r="F399">
        <f>IF(ABS(E399)&lt;1E-14,0,(k_n*D399-B399*k_n*k_ymean)/E399)</f>
        <v/>
      </c>
      <c r="G399">
        <f>IF(k_n&gt;0,(k_n*k_ymean-F399*B399)/k_n,0)</f>
        <v/>
      </c>
      <c r="H399">
        <f>IF(AND(F399&gt;0,ABS(E399)&gt;=1E-14),SUMPRODUCT(Calc!$K$3:$K$22,(Calc!$I$3:$I$22-G399-F399*EXP(A399*Calc!$L$3:$L$22))^2),1E+300)</f>
        <v/>
      </c>
    </row>
    <row r="400">
      <c r="A400" t="n">
        <v>7.82</v>
      </c>
      <c r="B400">
        <f>SUMPRODUCT(Calc!$K$3:$K$22,EXP(A400*Calc!$L$3:$L$22))</f>
        <v/>
      </c>
      <c r="C400">
        <f>SUMPRODUCT(Calc!$K$3:$K$22,EXP(2*A400*Calc!$L$3:$L$22))</f>
        <v/>
      </c>
      <c r="D400">
        <f>SUMPRODUCT(Calc!$K$3:$K$22,EXP(A400*Calc!$L$3:$L$22),Calc!$I$3:$I$22)</f>
        <v/>
      </c>
      <c r="E400">
        <f>k_n*C400-B400^2</f>
        <v/>
      </c>
      <c r="F400">
        <f>IF(ABS(E400)&lt;1E-14,0,(k_n*D400-B400*k_n*k_ymean)/E400)</f>
        <v/>
      </c>
      <c r="G400">
        <f>IF(k_n&gt;0,(k_n*k_ymean-F400*B400)/k_n,0)</f>
        <v/>
      </c>
      <c r="H400">
        <f>IF(AND(F400&gt;0,ABS(E400)&gt;=1E-14),SUMPRODUCT(Calc!$K$3:$K$22,(Calc!$I$3:$I$22-G400-F400*EXP(A400*Calc!$L$3:$L$22))^2),1E+300)</f>
        <v/>
      </c>
    </row>
    <row r="401">
      <c r="A401" t="n">
        <v>7.84</v>
      </c>
      <c r="B401">
        <f>SUMPRODUCT(Calc!$K$3:$K$22,EXP(A401*Calc!$L$3:$L$22))</f>
        <v/>
      </c>
      <c r="C401">
        <f>SUMPRODUCT(Calc!$K$3:$K$22,EXP(2*A401*Calc!$L$3:$L$22))</f>
        <v/>
      </c>
      <c r="D401">
        <f>SUMPRODUCT(Calc!$K$3:$K$22,EXP(A401*Calc!$L$3:$L$22),Calc!$I$3:$I$22)</f>
        <v/>
      </c>
      <c r="E401">
        <f>k_n*C401-B401^2</f>
        <v/>
      </c>
      <c r="F401">
        <f>IF(ABS(E401)&lt;1E-14,0,(k_n*D401-B401*k_n*k_ymean)/E401)</f>
        <v/>
      </c>
      <c r="G401">
        <f>IF(k_n&gt;0,(k_n*k_ymean-F401*B401)/k_n,0)</f>
        <v/>
      </c>
      <c r="H401">
        <f>IF(AND(F401&gt;0,ABS(E401)&gt;=1E-14),SUMPRODUCT(Calc!$K$3:$K$22,(Calc!$I$3:$I$22-G401-F401*EXP(A401*Calc!$L$3:$L$22))^2),1E+300)</f>
        <v/>
      </c>
    </row>
    <row r="402">
      <c r="A402" t="n">
        <v>7.86</v>
      </c>
      <c r="B402">
        <f>SUMPRODUCT(Calc!$K$3:$K$22,EXP(A402*Calc!$L$3:$L$22))</f>
        <v/>
      </c>
      <c r="C402">
        <f>SUMPRODUCT(Calc!$K$3:$K$22,EXP(2*A402*Calc!$L$3:$L$22))</f>
        <v/>
      </c>
      <c r="D402">
        <f>SUMPRODUCT(Calc!$K$3:$K$22,EXP(A402*Calc!$L$3:$L$22),Calc!$I$3:$I$22)</f>
        <v/>
      </c>
      <c r="E402">
        <f>k_n*C402-B402^2</f>
        <v/>
      </c>
      <c r="F402">
        <f>IF(ABS(E402)&lt;1E-14,0,(k_n*D402-B402*k_n*k_ymean)/E402)</f>
        <v/>
      </c>
      <c r="G402">
        <f>IF(k_n&gt;0,(k_n*k_ymean-F402*B402)/k_n,0)</f>
        <v/>
      </c>
      <c r="H402">
        <f>IF(AND(F402&gt;0,ABS(E402)&gt;=1E-14),SUMPRODUCT(Calc!$K$3:$K$22,(Calc!$I$3:$I$22-G402-F402*EXP(A402*Calc!$L$3:$L$22))^2),1E+300)</f>
        <v/>
      </c>
    </row>
    <row r="403">
      <c r="A403" t="n">
        <v>7.88</v>
      </c>
      <c r="B403">
        <f>SUMPRODUCT(Calc!$K$3:$K$22,EXP(A403*Calc!$L$3:$L$22))</f>
        <v/>
      </c>
      <c r="C403">
        <f>SUMPRODUCT(Calc!$K$3:$K$22,EXP(2*A403*Calc!$L$3:$L$22))</f>
        <v/>
      </c>
      <c r="D403">
        <f>SUMPRODUCT(Calc!$K$3:$K$22,EXP(A403*Calc!$L$3:$L$22),Calc!$I$3:$I$22)</f>
        <v/>
      </c>
      <c r="E403">
        <f>k_n*C403-B403^2</f>
        <v/>
      </c>
      <c r="F403">
        <f>IF(ABS(E403)&lt;1E-14,0,(k_n*D403-B403*k_n*k_ymean)/E403)</f>
        <v/>
      </c>
      <c r="G403">
        <f>IF(k_n&gt;0,(k_n*k_ymean-F403*B403)/k_n,0)</f>
        <v/>
      </c>
      <c r="H403">
        <f>IF(AND(F403&gt;0,ABS(E403)&gt;=1E-14),SUMPRODUCT(Calc!$K$3:$K$22,(Calc!$I$3:$I$22-G403-F403*EXP(A403*Calc!$L$3:$L$22))^2),1E+300)</f>
        <v/>
      </c>
    </row>
    <row r="404">
      <c r="A404" t="n">
        <v>7.9</v>
      </c>
      <c r="B404">
        <f>SUMPRODUCT(Calc!$K$3:$K$22,EXP(A404*Calc!$L$3:$L$22))</f>
        <v/>
      </c>
      <c r="C404">
        <f>SUMPRODUCT(Calc!$K$3:$K$22,EXP(2*A404*Calc!$L$3:$L$22))</f>
        <v/>
      </c>
      <c r="D404">
        <f>SUMPRODUCT(Calc!$K$3:$K$22,EXP(A404*Calc!$L$3:$L$22),Calc!$I$3:$I$22)</f>
        <v/>
      </c>
      <c r="E404">
        <f>k_n*C404-B404^2</f>
        <v/>
      </c>
      <c r="F404">
        <f>IF(ABS(E404)&lt;1E-14,0,(k_n*D404-B404*k_n*k_ymean)/E404)</f>
        <v/>
      </c>
      <c r="G404">
        <f>IF(k_n&gt;0,(k_n*k_ymean-F404*B404)/k_n,0)</f>
        <v/>
      </c>
      <c r="H404">
        <f>IF(AND(F404&gt;0,ABS(E404)&gt;=1E-14),SUMPRODUCT(Calc!$K$3:$K$22,(Calc!$I$3:$I$22-G404-F404*EXP(A404*Calc!$L$3:$L$22))^2),1E+300)</f>
        <v/>
      </c>
    </row>
    <row r="405">
      <c r="A405" t="n">
        <v>7.92</v>
      </c>
      <c r="B405">
        <f>SUMPRODUCT(Calc!$K$3:$K$22,EXP(A405*Calc!$L$3:$L$22))</f>
        <v/>
      </c>
      <c r="C405">
        <f>SUMPRODUCT(Calc!$K$3:$K$22,EXP(2*A405*Calc!$L$3:$L$22))</f>
        <v/>
      </c>
      <c r="D405">
        <f>SUMPRODUCT(Calc!$K$3:$K$22,EXP(A405*Calc!$L$3:$L$22),Calc!$I$3:$I$22)</f>
        <v/>
      </c>
      <c r="E405">
        <f>k_n*C405-B405^2</f>
        <v/>
      </c>
      <c r="F405">
        <f>IF(ABS(E405)&lt;1E-14,0,(k_n*D405-B405*k_n*k_ymean)/E405)</f>
        <v/>
      </c>
      <c r="G405">
        <f>IF(k_n&gt;0,(k_n*k_ymean-F405*B405)/k_n,0)</f>
        <v/>
      </c>
      <c r="H405">
        <f>IF(AND(F405&gt;0,ABS(E405)&gt;=1E-14),SUMPRODUCT(Calc!$K$3:$K$22,(Calc!$I$3:$I$22-G405-F405*EXP(A405*Calc!$L$3:$L$22))^2),1E+300)</f>
        <v/>
      </c>
    </row>
    <row r="406">
      <c r="A406" t="n">
        <v>7.94</v>
      </c>
      <c r="B406">
        <f>SUMPRODUCT(Calc!$K$3:$K$22,EXP(A406*Calc!$L$3:$L$22))</f>
        <v/>
      </c>
      <c r="C406">
        <f>SUMPRODUCT(Calc!$K$3:$K$22,EXP(2*A406*Calc!$L$3:$L$22))</f>
        <v/>
      </c>
      <c r="D406">
        <f>SUMPRODUCT(Calc!$K$3:$K$22,EXP(A406*Calc!$L$3:$L$22),Calc!$I$3:$I$22)</f>
        <v/>
      </c>
      <c r="E406">
        <f>k_n*C406-B406^2</f>
        <v/>
      </c>
      <c r="F406">
        <f>IF(ABS(E406)&lt;1E-14,0,(k_n*D406-B406*k_n*k_ymean)/E406)</f>
        <v/>
      </c>
      <c r="G406">
        <f>IF(k_n&gt;0,(k_n*k_ymean-F406*B406)/k_n,0)</f>
        <v/>
      </c>
      <c r="H406">
        <f>IF(AND(F406&gt;0,ABS(E406)&gt;=1E-14),SUMPRODUCT(Calc!$K$3:$K$22,(Calc!$I$3:$I$22-G406-F406*EXP(A406*Calc!$L$3:$L$22))^2),1E+300)</f>
        <v/>
      </c>
    </row>
    <row r="407">
      <c r="A407" t="n">
        <v>7.96</v>
      </c>
      <c r="B407">
        <f>SUMPRODUCT(Calc!$K$3:$K$22,EXP(A407*Calc!$L$3:$L$22))</f>
        <v/>
      </c>
      <c r="C407">
        <f>SUMPRODUCT(Calc!$K$3:$K$22,EXP(2*A407*Calc!$L$3:$L$22))</f>
        <v/>
      </c>
      <c r="D407">
        <f>SUMPRODUCT(Calc!$K$3:$K$22,EXP(A407*Calc!$L$3:$L$22),Calc!$I$3:$I$22)</f>
        <v/>
      </c>
      <c r="E407">
        <f>k_n*C407-B407^2</f>
        <v/>
      </c>
      <c r="F407">
        <f>IF(ABS(E407)&lt;1E-14,0,(k_n*D407-B407*k_n*k_ymean)/E407)</f>
        <v/>
      </c>
      <c r="G407">
        <f>IF(k_n&gt;0,(k_n*k_ymean-F407*B407)/k_n,0)</f>
        <v/>
      </c>
      <c r="H407">
        <f>IF(AND(F407&gt;0,ABS(E407)&gt;=1E-14),SUMPRODUCT(Calc!$K$3:$K$22,(Calc!$I$3:$I$22-G407-F407*EXP(A407*Calc!$L$3:$L$22))^2),1E+300)</f>
        <v/>
      </c>
    </row>
    <row r="408">
      <c r="A408" t="n">
        <v>7.98</v>
      </c>
      <c r="B408">
        <f>SUMPRODUCT(Calc!$K$3:$K$22,EXP(A408*Calc!$L$3:$L$22))</f>
        <v/>
      </c>
      <c r="C408">
        <f>SUMPRODUCT(Calc!$K$3:$K$22,EXP(2*A408*Calc!$L$3:$L$22))</f>
        <v/>
      </c>
      <c r="D408">
        <f>SUMPRODUCT(Calc!$K$3:$K$22,EXP(A408*Calc!$L$3:$L$22),Calc!$I$3:$I$22)</f>
        <v/>
      </c>
      <c r="E408">
        <f>k_n*C408-B408^2</f>
        <v/>
      </c>
      <c r="F408">
        <f>IF(ABS(E408)&lt;1E-14,0,(k_n*D408-B408*k_n*k_ymean)/E408)</f>
        <v/>
      </c>
      <c r="G408">
        <f>IF(k_n&gt;0,(k_n*k_ymean-F408*B408)/k_n,0)</f>
        <v/>
      </c>
      <c r="H408">
        <f>IF(AND(F408&gt;0,ABS(E408)&gt;=1E-14),SUMPRODUCT(Calc!$K$3:$K$22,(Calc!$I$3:$I$22-G408-F408*EXP(A408*Calc!$L$3:$L$22))^2),1E+300)</f>
        <v/>
      </c>
    </row>
    <row r="409">
      <c r="A409" t="n">
        <v>8</v>
      </c>
      <c r="B409">
        <f>SUMPRODUCT(Calc!$K$3:$K$22,EXP(A409*Calc!$L$3:$L$22))</f>
        <v/>
      </c>
      <c r="C409">
        <f>SUMPRODUCT(Calc!$K$3:$K$22,EXP(2*A409*Calc!$L$3:$L$22))</f>
        <v/>
      </c>
      <c r="D409">
        <f>SUMPRODUCT(Calc!$K$3:$K$22,EXP(A409*Calc!$L$3:$L$22),Calc!$I$3:$I$22)</f>
        <v/>
      </c>
      <c r="E409">
        <f>k_n*C409-B409^2</f>
        <v/>
      </c>
      <c r="F409">
        <f>IF(ABS(E409)&lt;1E-14,0,(k_n*D409-B409*k_n*k_ymean)/E409)</f>
        <v/>
      </c>
      <c r="G409">
        <f>IF(k_n&gt;0,(k_n*k_ymean-F409*B409)/k_n,0)</f>
        <v/>
      </c>
      <c r="H409">
        <f>IF(AND(F409&gt;0,ABS(E409)&gt;=1E-14),SUMPRODUCT(Calc!$K$3:$K$22,(Calc!$I$3:$I$22-G409-F409*EXP(A409*Calc!$L$3:$L$22))^2),1E+300)</f>
        <v/>
      </c>
    </row>
    <row r="411">
      <c r="A411">
        <f>MAX(0.0001,$B$3-0.02)+($B$3+0.02-MAX(0.0001,$B$3-0.02))*0/40</f>
        <v/>
      </c>
      <c r="B411">
        <f>SUMPRODUCT(Calc!$K$3:$K$22,EXP(A411*Calc!$L$3:$L$22))</f>
        <v/>
      </c>
      <c r="C411">
        <f>SUMPRODUCT(Calc!$K$3:$K$22,EXP(2*A411*Calc!$L$3:$L$22))</f>
        <v/>
      </c>
      <c r="D411">
        <f>SUMPRODUCT(Calc!$K$3:$K$22,EXP(A411*Calc!$L$3:$L$22),Calc!$I$3:$I$22)</f>
        <v/>
      </c>
      <c r="E411">
        <f>k_n*C411-B411^2</f>
        <v/>
      </c>
      <c r="F411">
        <f>IF(ABS(E411)&lt;1E-14,0,(k_n*D411-B411*k_n*k_ymean)/E411)</f>
        <v/>
      </c>
      <c r="G411">
        <f>IF(k_n&gt;0,(k_n*k_ymean-F411*B411)/k_n,0)</f>
        <v/>
      </c>
      <c r="H411">
        <f>IF(AND(F411&gt;0,ABS(E411)&gt;=1E-14),SUMPRODUCT(Calc!$K$3:$K$22,(Calc!$I$3:$I$22-G411-F411*EXP(A411*Calc!$L$3:$L$22))^2),1E+300)</f>
        <v/>
      </c>
      <c r="J411" t="inlineStr">
        <is>
          <t>bestes c Stufe 2</t>
        </is>
      </c>
      <c r="K411">
        <f>INDEX(A411:A451,MATCH(MIN(H411:H451),H411:H451,0))</f>
        <v/>
      </c>
    </row>
    <row r="412">
      <c r="A412">
        <f>MAX(0.0001,$B$3-0.02)+($B$3+0.02-MAX(0.0001,$B$3-0.02))*1/40</f>
        <v/>
      </c>
      <c r="B412">
        <f>SUMPRODUCT(Calc!$K$3:$K$22,EXP(A412*Calc!$L$3:$L$22))</f>
        <v/>
      </c>
      <c r="C412">
        <f>SUMPRODUCT(Calc!$K$3:$K$22,EXP(2*A412*Calc!$L$3:$L$22))</f>
        <v/>
      </c>
      <c r="D412">
        <f>SUMPRODUCT(Calc!$K$3:$K$22,EXP(A412*Calc!$L$3:$L$22),Calc!$I$3:$I$22)</f>
        <v/>
      </c>
      <c r="E412">
        <f>k_n*C412-B412^2</f>
        <v/>
      </c>
      <c r="F412">
        <f>IF(ABS(E412)&lt;1E-14,0,(k_n*D412-B412*k_n*k_ymean)/E412)</f>
        <v/>
      </c>
      <c r="G412">
        <f>IF(k_n&gt;0,(k_n*k_ymean-F412*B412)/k_n,0)</f>
        <v/>
      </c>
      <c r="H412">
        <f>IF(AND(F412&gt;0,ABS(E412)&gt;=1E-14),SUMPRODUCT(Calc!$K$3:$K$22,(Calc!$I$3:$I$22-G412-F412*EXP(A412*Calc!$L$3:$L$22))^2),1E+300)</f>
        <v/>
      </c>
    </row>
    <row r="413">
      <c r="A413">
        <f>MAX(0.0001,$B$3-0.02)+($B$3+0.02-MAX(0.0001,$B$3-0.02))*2/40</f>
        <v/>
      </c>
      <c r="B413">
        <f>SUMPRODUCT(Calc!$K$3:$K$22,EXP(A413*Calc!$L$3:$L$22))</f>
        <v/>
      </c>
      <c r="C413">
        <f>SUMPRODUCT(Calc!$K$3:$K$22,EXP(2*A413*Calc!$L$3:$L$22))</f>
        <v/>
      </c>
      <c r="D413">
        <f>SUMPRODUCT(Calc!$K$3:$K$22,EXP(A413*Calc!$L$3:$L$22),Calc!$I$3:$I$22)</f>
        <v/>
      </c>
      <c r="E413">
        <f>k_n*C413-B413^2</f>
        <v/>
      </c>
      <c r="F413">
        <f>IF(ABS(E413)&lt;1E-14,0,(k_n*D413-B413*k_n*k_ymean)/E413)</f>
        <v/>
      </c>
      <c r="G413">
        <f>IF(k_n&gt;0,(k_n*k_ymean-F413*B413)/k_n,0)</f>
        <v/>
      </c>
      <c r="H413">
        <f>IF(AND(F413&gt;0,ABS(E413)&gt;=1E-14),SUMPRODUCT(Calc!$K$3:$K$22,(Calc!$I$3:$I$22-G413-F413*EXP(A413*Calc!$L$3:$L$22))^2),1E+300)</f>
        <v/>
      </c>
    </row>
    <row r="414">
      <c r="A414">
        <f>MAX(0.0001,$B$3-0.02)+($B$3+0.02-MAX(0.0001,$B$3-0.02))*3/40</f>
        <v/>
      </c>
      <c r="B414">
        <f>SUMPRODUCT(Calc!$K$3:$K$22,EXP(A414*Calc!$L$3:$L$22))</f>
        <v/>
      </c>
      <c r="C414">
        <f>SUMPRODUCT(Calc!$K$3:$K$22,EXP(2*A414*Calc!$L$3:$L$22))</f>
        <v/>
      </c>
      <c r="D414">
        <f>SUMPRODUCT(Calc!$K$3:$K$22,EXP(A414*Calc!$L$3:$L$22),Calc!$I$3:$I$22)</f>
        <v/>
      </c>
      <c r="E414">
        <f>k_n*C414-B414^2</f>
        <v/>
      </c>
      <c r="F414">
        <f>IF(ABS(E414)&lt;1E-14,0,(k_n*D414-B414*k_n*k_ymean)/E414)</f>
        <v/>
      </c>
      <c r="G414">
        <f>IF(k_n&gt;0,(k_n*k_ymean-F414*B414)/k_n,0)</f>
        <v/>
      </c>
      <c r="H414">
        <f>IF(AND(F414&gt;0,ABS(E414)&gt;=1E-14),SUMPRODUCT(Calc!$K$3:$K$22,(Calc!$I$3:$I$22-G414-F414*EXP(A414*Calc!$L$3:$L$22))^2),1E+300)</f>
        <v/>
      </c>
    </row>
    <row r="415">
      <c r="A415">
        <f>MAX(0.0001,$B$3-0.02)+($B$3+0.02-MAX(0.0001,$B$3-0.02))*4/40</f>
        <v/>
      </c>
      <c r="B415">
        <f>SUMPRODUCT(Calc!$K$3:$K$22,EXP(A415*Calc!$L$3:$L$22))</f>
        <v/>
      </c>
      <c r="C415">
        <f>SUMPRODUCT(Calc!$K$3:$K$22,EXP(2*A415*Calc!$L$3:$L$22))</f>
        <v/>
      </c>
      <c r="D415">
        <f>SUMPRODUCT(Calc!$K$3:$K$22,EXP(A415*Calc!$L$3:$L$22),Calc!$I$3:$I$22)</f>
        <v/>
      </c>
      <c r="E415">
        <f>k_n*C415-B415^2</f>
        <v/>
      </c>
      <c r="F415">
        <f>IF(ABS(E415)&lt;1E-14,0,(k_n*D415-B415*k_n*k_ymean)/E415)</f>
        <v/>
      </c>
      <c r="G415">
        <f>IF(k_n&gt;0,(k_n*k_ymean-F415*B415)/k_n,0)</f>
        <v/>
      </c>
      <c r="H415">
        <f>IF(AND(F415&gt;0,ABS(E415)&gt;=1E-14),SUMPRODUCT(Calc!$K$3:$K$22,(Calc!$I$3:$I$22-G415-F415*EXP(A415*Calc!$L$3:$L$22))^2),1E+300)</f>
        <v/>
      </c>
    </row>
    <row r="416">
      <c r="A416">
        <f>MAX(0.0001,$B$3-0.02)+($B$3+0.02-MAX(0.0001,$B$3-0.02))*5/40</f>
        <v/>
      </c>
      <c r="B416">
        <f>SUMPRODUCT(Calc!$K$3:$K$22,EXP(A416*Calc!$L$3:$L$22))</f>
        <v/>
      </c>
      <c r="C416">
        <f>SUMPRODUCT(Calc!$K$3:$K$22,EXP(2*A416*Calc!$L$3:$L$22))</f>
        <v/>
      </c>
      <c r="D416">
        <f>SUMPRODUCT(Calc!$K$3:$K$22,EXP(A416*Calc!$L$3:$L$22),Calc!$I$3:$I$22)</f>
        <v/>
      </c>
      <c r="E416">
        <f>k_n*C416-B416^2</f>
        <v/>
      </c>
      <c r="F416">
        <f>IF(ABS(E416)&lt;1E-14,0,(k_n*D416-B416*k_n*k_ymean)/E416)</f>
        <v/>
      </c>
      <c r="G416">
        <f>IF(k_n&gt;0,(k_n*k_ymean-F416*B416)/k_n,0)</f>
        <v/>
      </c>
      <c r="H416">
        <f>IF(AND(F416&gt;0,ABS(E416)&gt;=1E-14),SUMPRODUCT(Calc!$K$3:$K$22,(Calc!$I$3:$I$22-G416-F416*EXP(A416*Calc!$L$3:$L$22))^2),1E+300)</f>
        <v/>
      </c>
    </row>
    <row r="417">
      <c r="A417">
        <f>MAX(0.0001,$B$3-0.02)+($B$3+0.02-MAX(0.0001,$B$3-0.02))*6/40</f>
        <v/>
      </c>
      <c r="B417">
        <f>SUMPRODUCT(Calc!$K$3:$K$22,EXP(A417*Calc!$L$3:$L$22))</f>
        <v/>
      </c>
      <c r="C417">
        <f>SUMPRODUCT(Calc!$K$3:$K$22,EXP(2*A417*Calc!$L$3:$L$22))</f>
        <v/>
      </c>
      <c r="D417">
        <f>SUMPRODUCT(Calc!$K$3:$K$22,EXP(A417*Calc!$L$3:$L$22),Calc!$I$3:$I$22)</f>
        <v/>
      </c>
      <c r="E417">
        <f>k_n*C417-B417^2</f>
        <v/>
      </c>
      <c r="F417">
        <f>IF(ABS(E417)&lt;1E-14,0,(k_n*D417-B417*k_n*k_ymean)/E417)</f>
        <v/>
      </c>
      <c r="G417">
        <f>IF(k_n&gt;0,(k_n*k_ymean-F417*B417)/k_n,0)</f>
        <v/>
      </c>
      <c r="H417">
        <f>IF(AND(F417&gt;0,ABS(E417)&gt;=1E-14),SUMPRODUCT(Calc!$K$3:$K$22,(Calc!$I$3:$I$22-G417-F417*EXP(A417*Calc!$L$3:$L$22))^2),1E+300)</f>
        <v/>
      </c>
    </row>
    <row r="418">
      <c r="A418">
        <f>MAX(0.0001,$B$3-0.02)+($B$3+0.02-MAX(0.0001,$B$3-0.02))*7/40</f>
        <v/>
      </c>
      <c r="B418">
        <f>SUMPRODUCT(Calc!$K$3:$K$22,EXP(A418*Calc!$L$3:$L$22))</f>
        <v/>
      </c>
      <c r="C418">
        <f>SUMPRODUCT(Calc!$K$3:$K$22,EXP(2*A418*Calc!$L$3:$L$22))</f>
        <v/>
      </c>
      <c r="D418">
        <f>SUMPRODUCT(Calc!$K$3:$K$22,EXP(A418*Calc!$L$3:$L$22),Calc!$I$3:$I$22)</f>
        <v/>
      </c>
      <c r="E418">
        <f>k_n*C418-B418^2</f>
        <v/>
      </c>
      <c r="F418">
        <f>IF(ABS(E418)&lt;1E-14,0,(k_n*D418-B418*k_n*k_ymean)/E418)</f>
        <v/>
      </c>
      <c r="G418">
        <f>IF(k_n&gt;0,(k_n*k_ymean-F418*B418)/k_n,0)</f>
        <v/>
      </c>
      <c r="H418">
        <f>IF(AND(F418&gt;0,ABS(E418)&gt;=1E-14),SUMPRODUCT(Calc!$K$3:$K$22,(Calc!$I$3:$I$22-G418-F418*EXP(A418*Calc!$L$3:$L$22))^2),1E+300)</f>
        <v/>
      </c>
    </row>
    <row r="419">
      <c r="A419">
        <f>MAX(0.0001,$B$3-0.02)+($B$3+0.02-MAX(0.0001,$B$3-0.02))*8/40</f>
        <v/>
      </c>
      <c r="B419">
        <f>SUMPRODUCT(Calc!$K$3:$K$22,EXP(A419*Calc!$L$3:$L$22))</f>
        <v/>
      </c>
      <c r="C419">
        <f>SUMPRODUCT(Calc!$K$3:$K$22,EXP(2*A419*Calc!$L$3:$L$22))</f>
        <v/>
      </c>
      <c r="D419">
        <f>SUMPRODUCT(Calc!$K$3:$K$22,EXP(A419*Calc!$L$3:$L$22),Calc!$I$3:$I$22)</f>
        <v/>
      </c>
      <c r="E419">
        <f>k_n*C419-B419^2</f>
        <v/>
      </c>
      <c r="F419">
        <f>IF(ABS(E419)&lt;1E-14,0,(k_n*D419-B419*k_n*k_ymean)/E419)</f>
        <v/>
      </c>
      <c r="G419">
        <f>IF(k_n&gt;0,(k_n*k_ymean-F419*B419)/k_n,0)</f>
        <v/>
      </c>
      <c r="H419">
        <f>IF(AND(F419&gt;0,ABS(E419)&gt;=1E-14),SUMPRODUCT(Calc!$K$3:$K$22,(Calc!$I$3:$I$22-G419-F419*EXP(A419*Calc!$L$3:$L$22))^2),1E+300)</f>
        <v/>
      </c>
    </row>
    <row r="420">
      <c r="A420">
        <f>MAX(0.0001,$B$3-0.02)+($B$3+0.02-MAX(0.0001,$B$3-0.02))*9/40</f>
        <v/>
      </c>
      <c r="B420">
        <f>SUMPRODUCT(Calc!$K$3:$K$22,EXP(A420*Calc!$L$3:$L$22))</f>
        <v/>
      </c>
      <c r="C420">
        <f>SUMPRODUCT(Calc!$K$3:$K$22,EXP(2*A420*Calc!$L$3:$L$22))</f>
        <v/>
      </c>
      <c r="D420">
        <f>SUMPRODUCT(Calc!$K$3:$K$22,EXP(A420*Calc!$L$3:$L$22),Calc!$I$3:$I$22)</f>
        <v/>
      </c>
      <c r="E420">
        <f>k_n*C420-B420^2</f>
        <v/>
      </c>
      <c r="F420">
        <f>IF(ABS(E420)&lt;1E-14,0,(k_n*D420-B420*k_n*k_ymean)/E420)</f>
        <v/>
      </c>
      <c r="G420">
        <f>IF(k_n&gt;0,(k_n*k_ymean-F420*B420)/k_n,0)</f>
        <v/>
      </c>
      <c r="H420">
        <f>IF(AND(F420&gt;0,ABS(E420)&gt;=1E-14),SUMPRODUCT(Calc!$K$3:$K$22,(Calc!$I$3:$I$22-G420-F420*EXP(A420*Calc!$L$3:$L$22))^2),1E+300)</f>
        <v/>
      </c>
    </row>
    <row r="421">
      <c r="A421">
        <f>MAX(0.0001,$B$3-0.02)+($B$3+0.02-MAX(0.0001,$B$3-0.02))*10/40</f>
        <v/>
      </c>
      <c r="B421">
        <f>SUMPRODUCT(Calc!$K$3:$K$22,EXP(A421*Calc!$L$3:$L$22))</f>
        <v/>
      </c>
      <c r="C421">
        <f>SUMPRODUCT(Calc!$K$3:$K$22,EXP(2*A421*Calc!$L$3:$L$22))</f>
        <v/>
      </c>
      <c r="D421">
        <f>SUMPRODUCT(Calc!$K$3:$K$22,EXP(A421*Calc!$L$3:$L$22),Calc!$I$3:$I$22)</f>
        <v/>
      </c>
      <c r="E421">
        <f>k_n*C421-B421^2</f>
        <v/>
      </c>
      <c r="F421">
        <f>IF(ABS(E421)&lt;1E-14,0,(k_n*D421-B421*k_n*k_ymean)/E421)</f>
        <v/>
      </c>
      <c r="G421">
        <f>IF(k_n&gt;0,(k_n*k_ymean-F421*B421)/k_n,0)</f>
        <v/>
      </c>
      <c r="H421">
        <f>IF(AND(F421&gt;0,ABS(E421)&gt;=1E-14),SUMPRODUCT(Calc!$K$3:$K$22,(Calc!$I$3:$I$22-G421-F421*EXP(A421*Calc!$L$3:$L$22))^2),1E+300)</f>
        <v/>
      </c>
    </row>
    <row r="422">
      <c r="A422">
        <f>MAX(0.0001,$B$3-0.02)+($B$3+0.02-MAX(0.0001,$B$3-0.02))*11/40</f>
        <v/>
      </c>
      <c r="B422">
        <f>SUMPRODUCT(Calc!$K$3:$K$22,EXP(A422*Calc!$L$3:$L$22))</f>
        <v/>
      </c>
      <c r="C422">
        <f>SUMPRODUCT(Calc!$K$3:$K$22,EXP(2*A422*Calc!$L$3:$L$22))</f>
        <v/>
      </c>
      <c r="D422">
        <f>SUMPRODUCT(Calc!$K$3:$K$22,EXP(A422*Calc!$L$3:$L$22),Calc!$I$3:$I$22)</f>
        <v/>
      </c>
      <c r="E422">
        <f>k_n*C422-B422^2</f>
        <v/>
      </c>
      <c r="F422">
        <f>IF(ABS(E422)&lt;1E-14,0,(k_n*D422-B422*k_n*k_ymean)/E422)</f>
        <v/>
      </c>
      <c r="G422">
        <f>IF(k_n&gt;0,(k_n*k_ymean-F422*B422)/k_n,0)</f>
        <v/>
      </c>
      <c r="H422">
        <f>IF(AND(F422&gt;0,ABS(E422)&gt;=1E-14),SUMPRODUCT(Calc!$K$3:$K$22,(Calc!$I$3:$I$22-G422-F422*EXP(A422*Calc!$L$3:$L$22))^2),1E+300)</f>
        <v/>
      </c>
    </row>
    <row r="423">
      <c r="A423">
        <f>MAX(0.0001,$B$3-0.02)+($B$3+0.02-MAX(0.0001,$B$3-0.02))*12/40</f>
        <v/>
      </c>
      <c r="B423">
        <f>SUMPRODUCT(Calc!$K$3:$K$22,EXP(A423*Calc!$L$3:$L$22))</f>
        <v/>
      </c>
      <c r="C423">
        <f>SUMPRODUCT(Calc!$K$3:$K$22,EXP(2*A423*Calc!$L$3:$L$22))</f>
        <v/>
      </c>
      <c r="D423">
        <f>SUMPRODUCT(Calc!$K$3:$K$22,EXP(A423*Calc!$L$3:$L$22),Calc!$I$3:$I$22)</f>
        <v/>
      </c>
      <c r="E423">
        <f>k_n*C423-B423^2</f>
        <v/>
      </c>
      <c r="F423">
        <f>IF(ABS(E423)&lt;1E-14,0,(k_n*D423-B423*k_n*k_ymean)/E423)</f>
        <v/>
      </c>
      <c r="G423">
        <f>IF(k_n&gt;0,(k_n*k_ymean-F423*B423)/k_n,0)</f>
        <v/>
      </c>
      <c r="H423">
        <f>IF(AND(F423&gt;0,ABS(E423)&gt;=1E-14),SUMPRODUCT(Calc!$K$3:$K$22,(Calc!$I$3:$I$22-G423-F423*EXP(A423*Calc!$L$3:$L$22))^2),1E+300)</f>
        <v/>
      </c>
    </row>
    <row r="424">
      <c r="A424">
        <f>MAX(0.0001,$B$3-0.02)+($B$3+0.02-MAX(0.0001,$B$3-0.02))*13/40</f>
        <v/>
      </c>
      <c r="B424">
        <f>SUMPRODUCT(Calc!$K$3:$K$22,EXP(A424*Calc!$L$3:$L$22))</f>
        <v/>
      </c>
      <c r="C424">
        <f>SUMPRODUCT(Calc!$K$3:$K$22,EXP(2*A424*Calc!$L$3:$L$22))</f>
        <v/>
      </c>
      <c r="D424">
        <f>SUMPRODUCT(Calc!$K$3:$K$22,EXP(A424*Calc!$L$3:$L$22),Calc!$I$3:$I$22)</f>
        <v/>
      </c>
      <c r="E424">
        <f>k_n*C424-B424^2</f>
        <v/>
      </c>
      <c r="F424">
        <f>IF(ABS(E424)&lt;1E-14,0,(k_n*D424-B424*k_n*k_ymean)/E424)</f>
        <v/>
      </c>
      <c r="G424">
        <f>IF(k_n&gt;0,(k_n*k_ymean-F424*B424)/k_n,0)</f>
        <v/>
      </c>
      <c r="H424">
        <f>IF(AND(F424&gt;0,ABS(E424)&gt;=1E-14),SUMPRODUCT(Calc!$K$3:$K$22,(Calc!$I$3:$I$22-G424-F424*EXP(A424*Calc!$L$3:$L$22))^2),1E+300)</f>
        <v/>
      </c>
    </row>
    <row r="425">
      <c r="A425">
        <f>MAX(0.0001,$B$3-0.02)+($B$3+0.02-MAX(0.0001,$B$3-0.02))*14/40</f>
        <v/>
      </c>
      <c r="B425">
        <f>SUMPRODUCT(Calc!$K$3:$K$22,EXP(A425*Calc!$L$3:$L$22))</f>
        <v/>
      </c>
      <c r="C425">
        <f>SUMPRODUCT(Calc!$K$3:$K$22,EXP(2*A425*Calc!$L$3:$L$22))</f>
        <v/>
      </c>
      <c r="D425">
        <f>SUMPRODUCT(Calc!$K$3:$K$22,EXP(A425*Calc!$L$3:$L$22),Calc!$I$3:$I$22)</f>
        <v/>
      </c>
      <c r="E425">
        <f>k_n*C425-B425^2</f>
        <v/>
      </c>
      <c r="F425">
        <f>IF(ABS(E425)&lt;1E-14,0,(k_n*D425-B425*k_n*k_ymean)/E425)</f>
        <v/>
      </c>
      <c r="G425">
        <f>IF(k_n&gt;0,(k_n*k_ymean-F425*B425)/k_n,0)</f>
        <v/>
      </c>
      <c r="H425">
        <f>IF(AND(F425&gt;0,ABS(E425)&gt;=1E-14),SUMPRODUCT(Calc!$K$3:$K$22,(Calc!$I$3:$I$22-G425-F425*EXP(A425*Calc!$L$3:$L$22))^2),1E+300)</f>
        <v/>
      </c>
    </row>
    <row r="426">
      <c r="A426">
        <f>MAX(0.0001,$B$3-0.02)+($B$3+0.02-MAX(0.0001,$B$3-0.02))*15/40</f>
        <v/>
      </c>
      <c r="B426">
        <f>SUMPRODUCT(Calc!$K$3:$K$22,EXP(A426*Calc!$L$3:$L$22))</f>
        <v/>
      </c>
      <c r="C426">
        <f>SUMPRODUCT(Calc!$K$3:$K$22,EXP(2*A426*Calc!$L$3:$L$22))</f>
        <v/>
      </c>
      <c r="D426">
        <f>SUMPRODUCT(Calc!$K$3:$K$22,EXP(A426*Calc!$L$3:$L$22),Calc!$I$3:$I$22)</f>
        <v/>
      </c>
      <c r="E426">
        <f>k_n*C426-B426^2</f>
        <v/>
      </c>
      <c r="F426">
        <f>IF(ABS(E426)&lt;1E-14,0,(k_n*D426-B426*k_n*k_ymean)/E426)</f>
        <v/>
      </c>
      <c r="G426">
        <f>IF(k_n&gt;0,(k_n*k_ymean-F426*B426)/k_n,0)</f>
        <v/>
      </c>
      <c r="H426">
        <f>IF(AND(F426&gt;0,ABS(E426)&gt;=1E-14),SUMPRODUCT(Calc!$K$3:$K$22,(Calc!$I$3:$I$22-G426-F426*EXP(A426*Calc!$L$3:$L$22))^2),1E+300)</f>
        <v/>
      </c>
    </row>
    <row r="427">
      <c r="A427">
        <f>MAX(0.0001,$B$3-0.02)+($B$3+0.02-MAX(0.0001,$B$3-0.02))*16/40</f>
        <v/>
      </c>
      <c r="B427">
        <f>SUMPRODUCT(Calc!$K$3:$K$22,EXP(A427*Calc!$L$3:$L$22))</f>
        <v/>
      </c>
      <c r="C427">
        <f>SUMPRODUCT(Calc!$K$3:$K$22,EXP(2*A427*Calc!$L$3:$L$22))</f>
        <v/>
      </c>
      <c r="D427">
        <f>SUMPRODUCT(Calc!$K$3:$K$22,EXP(A427*Calc!$L$3:$L$22),Calc!$I$3:$I$22)</f>
        <v/>
      </c>
      <c r="E427">
        <f>k_n*C427-B427^2</f>
        <v/>
      </c>
      <c r="F427">
        <f>IF(ABS(E427)&lt;1E-14,0,(k_n*D427-B427*k_n*k_ymean)/E427)</f>
        <v/>
      </c>
      <c r="G427">
        <f>IF(k_n&gt;0,(k_n*k_ymean-F427*B427)/k_n,0)</f>
        <v/>
      </c>
      <c r="H427">
        <f>IF(AND(F427&gt;0,ABS(E427)&gt;=1E-14),SUMPRODUCT(Calc!$K$3:$K$22,(Calc!$I$3:$I$22-G427-F427*EXP(A427*Calc!$L$3:$L$22))^2),1E+300)</f>
        <v/>
      </c>
    </row>
    <row r="428">
      <c r="A428">
        <f>MAX(0.0001,$B$3-0.02)+($B$3+0.02-MAX(0.0001,$B$3-0.02))*17/40</f>
        <v/>
      </c>
      <c r="B428">
        <f>SUMPRODUCT(Calc!$K$3:$K$22,EXP(A428*Calc!$L$3:$L$22))</f>
        <v/>
      </c>
      <c r="C428">
        <f>SUMPRODUCT(Calc!$K$3:$K$22,EXP(2*A428*Calc!$L$3:$L$22))</f>
        <v/>
      </c>
      <c r="D428">
        <f>SUMPRODUCT(Calc!$K$3:$K$22,EXP(A428*Calc!$L$3:$L$22),Calc!$I$3:$I$22)</f>
        <v/>
      </c>
      <c r="E428">
        <f>k_n*C428-B428^2</f>
        <v/>
      </c>
      <c r="F428">
        <f>IF(ABS(E428)&lt;1E-14,0,(k_n*D428-B428*k_n*k_ymean)/E428)</f>
        <v/>
      </c>
      <c r="G428">
        <f>IF(k_n&gt;0,(k_n*k_ymean-F428*B428)/k_n,0)</f>
        <v/>
      </c>
      <c r="H428">
        <f>IF(AND(F428&gt;0,ABS(E428)&gt;=1E-14),SUMPRODUCT(Calc!$K$3:$K$22,(Calc!$I$3:$I$22-G428-F428*EXP(A428*Calc!$L$3:$L$22))^2),1E+300)</f>
        <v/>
      </c>
    </row>
    <row r="429">
      <c r="A429">
        <f>MAX(0.0001,$B$3-0.02)+($B$3+0.02-MAX(0.0001,$B$3-0.02))*18/40</f>
        <v/>
      </c>
      <c r="B429">
        <f>SUMPRODUCT(Calc!$K$3:$K$22,EXP(A429*Calc!$L$3:$L$22))</f>
        <v/>
      </c>
      <c r="C429">
        <f>SUMPRODUCT(Calc!$K$3:$K$22,EXP(2*A429*Calc!$L$3:$L$22))</f>
        <v/>
      </c>
      <c r="D429">
        <f>SUMPRODUCT(Calc!$K$3:$K$22,EXP(A429*Calc!$L$3:$L$22),Calc!$I$3:$I$22)</f>
        <v/>
      </c>
      <c r="E429">
        <f>k_n*C429-B429^2</f>
        <v/>
      </c>
      <c r="F429">
        <f>IF(ABS(E429)&lt;1E-14,0,(k_n*D429-B429*k_n*k_ymean)/E429)</f>
        <v/>
      </c>
      <c r="G429">
        <f>IF(k_n&gt;0,(k_n*k_ymean-F429*B429)/k_n,0)</f>
        <v/>
      </c>
      <c r="H429">
        <f>IF(AND(F429&gt;0,ABS(E429)&gt;=1E-14),SUMPRODUCT(Calc!$K$3:$K$22,(Calc!$I$3:$I$22-G429-F429*EXP(A429*Calc!$L$3:$L$22))^2),1E+300)</f>
        <v/>
      </c>
    </row>
    <row r="430">
      <c r="A430">
        <f>MAX(0.0001,$B$3-0.02)+($B$3+0.02-MAX(0.0001,$B$3-0.02))*19/40</f>
        <v/>
      </c>
      <c r="B430">
        <f>SUMPRODUCT(Calc!$K$3:$K$22,EXP(A430*Calc!$L$3:$L$22))</f>
        <v/>
      </c>
      <c r="C430">
        <f>SUMPRODUCT(Calc!$K$3:$K$22,EXP(2*A430*Calc!$L$3:$L$22))</f>
        <v/>
      </c>
      <c r="D430">
        <f>SUMPRODUCT(Calc!$K$3:$K$22,EXP(A430*Calc!$L$3:$L$22),Calc!$I$3:$I$22)</f>
        <v/>
      </c>
      <c r="E430">
        <f>k_n*C430-B430^2</f>
        <v/>
      </c>
      <c r="F430">
        <f>IF(ABS(E430)&lt;1E-14,0,(k_n*D430-B430*k_n*k_ymean)/E430)</f>
        <v/>
      </c>
      <c r="G430">
        <f>IF(k_n&gt;0,(k_n*k_ymean-F430*B430)/k_n,0)</f>
        <v/>
      </c>
      <c r="H430">
        <f>IF(AND(F430&gt;0,ABS(E430)&gt;=1E-14),SUMPRODUCT(Calc!$K$3:$K$22,(Calc!$I$3:$I$22-G430-F430*EXP(A430*Calc!$L$3:$L$22))^2),1E+300)</f>
        <v/>
      </c>
    </row>
    <row r="431">
      <c r="A431">
        <f>MAX(0.0001,$B$3-0.02)+($B$3+0.02-MAX(0.0001,$B$3-0.02))*20/40</f>
        <v/>
      </c>
      <c r="B431">
        <f>SUMPRODUCT(Calc!$K$3:$K$22,EXP(A431*Calc!$L$3:$L$22))</f>
        <v/>
      </c>
      <c r="C431">
        <f>SUMPRODUCT(Calc!$K$3:$K$22,EXP(2*A431*Calc!$L$3:$L$22))</f>
        <v/>
      </c>
      <c r="D431">
        <f>SUMPRODUCT(Calc!$K$3:$K$22,EXP(A431*Calc!$L$3:$L$22),Calc!$I$3:$I$22)</f>
        <v/>
      </c>
      <c r="E431">
        <f>k_n*C431-B431^2</f>
        <v/>
      </c>
      <c r="F431">
        <f>IF(ABS(E431)&lt;1E-14,0,(k_n*D431-B431*k_n*k_ymean)/E431)</f>
        <v/>
      </c>
      <c r="G431">
        <f>IF(k_n&gt;0,(k_n*k_ymean-F431*B431)/k_n,0)</f>
        <v/>
      </c>
      <c r="H431">
        <f>IF(AND(F431&gt;0,ABS(E431)&gt;=1E-14),SUMPRODUCT(Calc!$K$3:$K$22,(Calc!$I$3:$I$22-G431-F431*EXP(A431*Calc!$L$3:$L$22))^2),1E+300)</f>
        <v/>
      </c>
    </row>
    <row r="432">
      <c r="A432">
        <f>MAX(0.0001,$B$3-0.02)+($B$3+0.02-MAX(0.0001,$B$3-0.02))*21/40</f>
        <v/>
      </c>
      <c r="B432">
        <f>SUMPRODUCT(Calc!$K$3:$K$22,EXP(A432*Calc!$L$3:$L$22))</f>
        <v/>
      </c>
      <c r="C432">
        <f>SUMPRODUCT(Calc!$K$3:$K$22,EXP(2*A432*Calc!$L$3:$L$22))</f>
        <v/>
      </c>
      <c r="D432">
        <f>SUMPRODUCT(Calc!$K$3:$K$22,EXP(A432*Calc!$L$3:$L$22),Calc!$I$3:$I$22)</f>
        <v/>
      </c>
      <c r="E432">
        <f>k_n*C432-B432^2</f>
        <v/>
      </c>
      <c r="F432">
        <f>IF(ABS(E432)&lt;1E-14,0,(k_n*D432-B432*k_n*k_ymean)/E432)</f>
        <v/>
      </c>
      <c r="G432">
        <f>IF(k_n&gt;0,(k_n*k_ymean-F432*B432)/k_n,0)</f>
        <v/>
      </c>
      <c r="H432">
        <f>IF(AND(F432&gt;0,ABS(E432)&gt;=1E-14),SUMPRODUCT(Calc!$K$3:$K$22,(Calc!$I$3:$I$22-G432-F432*EXP(A432*Calc!$L$3:$L$22))^2),1E+300)</f>
        <v/>
      </c>
    </row>
    <row r="433">
      <c r="A433">
        <f>MAX(0.0001,$B$3-0.02)+($B$3+0.02-MAX(0.0001,$B$3-0.02))*22/40</f>
        <v/>
      </c>
      <c r="B433">
        <f>SUMPRODUCT(Calc!$K$3:$K$22,EXP(A433*Calc!$L$3:$L$22))</f>
        <v/>
      </c>
      <c r="C433">
        <f>SUMPRODUCT(Calc!$K$3:$K$22,EXP(2*A433*Calc!$L$3:$L$22))</f>
        <v/>
      </c>
      <c r="D433">
        <f>SUMPRODUCT(Calc!$K$3:$K$22,EXP(A433*Calc!$L$3:$L$22),Calc!$I$3:$I$22)</f>
        <v/>
      </c>
      <c r="E433">
        <f>k_n*C433-B433^2</f>
        <v/>
      </c>
      <c r="F433">
        <f>IF(ABS(E433)&lt;1E-14,0,(k_n*D433-B433*k_n*k_ymean)/E433)</f>
        <v/>
      </c>
      <c r="G433">
        <f>IF(k_n&gt;0,(k_n*k_ymean-F433*B433)/k_n,0)</f>
        <v/>
      </c>
      <c r="H433">
        <f>IF(AND(F433&gt;0,ABS(E433)&gt;=1E-14),SUMPRODUCT(Calc!$K$3:$K$22,(Calc!$I$3:$I$22-G433-F433*EXP(A433*Calc!$L$3:$L$22))^2),1E+300)</f>
        <v/>
      </c>
    </row>
    <row r="434">
      <c r="A434">
        <f>MAX(0.0001,$B$3-0.02)+($B$3+0.02-MAX(0.0001,$B$3-0.02))*23/40</f>
        <v/>
      </c>
      <c r="B434">
        <f>SUMPRODUCT(Calc!$K$3:$K$22,EXP(A434*Calc!$L$3:$L$22))</f>
        <v/>
      </c>
      <c r="C434">
        <f>SUMPRODUCT(Calc!$K$3:$K$22,EXP(2*A434*Calc!$L$3:$L$22))</f>
        <v/>
      </c>
      <c r="D434">
        <f>SUMPRODUCT(Calc!$K$3:$K$22,EXP(A434*Calc!$L$3:$L$22),Calc!$I$3:$I$22)</f>
        <v/>
      </c>
      <c r="E434">
        <f>k_n*C434-B434^2</f>
        <v/>
      </c>
      <c r="F434">
        <f>IF(ABS(E434)&lt;1E-14,0,(k_n*D434-B434*k_n*k_ymean)/E434)</f>
        <v/>
      </c>
      <c r="G434">
        <f>IF(k_n&gt;0,(k_n*k_ymean-F434*B434)/k_n,0)</f>
        <v/>
      </c>
      <c r="H434">
        <f>IF(AND(F434&gt;0,ABS(E434)&gt;=1E-14),SUMPRODUCT(Calc!$K$3:$K$22,(Calc!$I$3:$I$22-G434-F434*EXP(A434*Calc!$L$3:$L$22))^2),1E+300)</f>
        <v/>
      </c>
    </row>
    <row r="435">
      <c r="A435">
        <f>MAX(0.0001,$B$3-0.02)+($B$3+0.02-MAX(0.0001,$B$3-0.02))*24/40</f>
        <v/>
      </c>
      <c r="B435">
        <f>SUMPRODUCT(Calc!$K$3:$K$22,EXP(A435*Calc!$L$3:$L$22))</f>
        <v/>
      </c>
      <c r="C435">
        <f>SUMPRODUCT(Calc!$K$3:$K$22,EXP(2*A435*Calc!$L$3:$L$22))</f>
        <v/>
      </c>
      <c r="D435">
        <f>SUMPRODUCT(Calc!$K$3:$K$22,EXP(A435*Calc!$L$3:$L$22),Calc!$I$3:$I$22)</f>
        <v/>
      </c>
      <c r="E435">
        <f>k_n*C435-B435^2</f>
        <v/>
      </c>
      <c r="F435">
        <f>IF(ABS(E435)&lt;1E-14,0,(k_n*D435-B435*k_n*k_ymean)/E435)</f>
        <v/>
      </c>
      <c r="G435">
        <f>IF(k_n&gt;0,(k_n*k_ymean-F435*B435)/k_n,0)</f>
        <v/>
      </c>
      <c r="H435">
        <f>IF(AND(F435&gt;0,ABS(E435)&gt;=1E-14),SUMPRODUCT(Calc!$K$3:$K$22,(Calc!$I$3:$I$22-G435-F435*EXP(A435*Calc!$L$3:$L$22))^2),1E+300)</f>
        <v/>
      </c>
    </row>
    <row r="436">
      <c r="A436">
        <f>MAX(0.0001,$B$3-0.02)+($B$3+0.02-MAX(0.0001,$B$3-0.02))*25/40</f>
        <v/>
      </c>
      <c r="B436">
        <f>SUMPRODUCT(Calc!$K$3:$K$22,EXP(A436*Calc!$L$3:$L$22))</f>
        <v/>
      </c>
      <c r="C436">
        <f>SUMPRODUCT(Calc!$K$3:$K$22,EXP(2*A436*Calc!$L$3:$L$22))</f>
        <v/>
      </c>
      <c r="D436">
        <f>SUMPRODUCT(Calc!$K$3:$K$22,EXP(A436*Calc!$L$3:$L$22),Calc!$I$3:$I$22)</f>
        <v/>
      </c>
      <c r="E436">
        <f>k_n*C436-B436^2</f>
        <v/>
      </c>
      <c r="F436">
        <f>IF(ABS(E436)&lt;1E-14,0,(k_n*D436-B436*k_n*k_ymean)/E436)</f>
        <v/>
      </c>
      <c r="G436">
        <f>IF(k_n&gt;0,(k_n*k_ymean-F436*B436)/k_n,0)</f>
        <v/>
      </c>
      <c r="H436">
        <f>IF(AND(F436&gt;0,ABS(E436)&gt;=1E-14),SUMPRODUCT(Calc!$K$3:$K$22,(Calc!$I$3:$I$22-G436-F436*EXP(A436*Calc!$L$3:$L$22))^2),1E+300)</f>
        <v/>
      </c>
    </row>
    <row r="437">
      <c r="A437">
        <f>MAX(0.0001,$B$3-0.02)+($B$3+0.02-MAX(0.0001,$B$3-0.02))*26/40</f>
        <v/>
      </c>
      <c r="B437">
        <f>SUMPRODUCT(Calc!$K$3:$K$22,EXP(A437*Calc!$L$3:$L$22))</f>
        <v/>
      </c>
      <c r="C437">
        <f>SUMPRODUCT(Calc!$K$3:$K$22,EXP(2*A437*Calc!$L$3:$L$22))</f>
        <v/>
      </c>
      <c r="D437">
        <f>SUMPRODUCT(Calc!$K$3:$K$22,EXP(A437*Calc!$L$3:$L$22),Calc!$I$3:$I$22)</f>
        <v/>
      </c>
      <c r="E437">
        <f>k_n*C437-B437^2</f>
        <v/>
      </c>
      <c r="F437">
        <f>IF(ABS(E437)&lt;1E-14,0,(k_n*D437-B437*k_n*k_ymean)/E437)</f>
        <v/>
      </c>
      <c r="G437">
        <f>IF(k_n&gt;0,(k_n*k_ymean-F437*B437)/k_n,0)</f>
        <v/>
      </c>
      <c r="H437">
        <f>IF(AND(F437&gt;0,ABS(E437)&gt;=1E-14),SUMPRODUCT(Calc!$K$3:$K$22,(Calc!$I$3:$I$22-G437-F437*EXP(A437*Calc!$L$3:$L$22))^2),1E+300)</f>
        <v/>
      </c>
    </row>
    <row r="438">
      <c r="A438">
        <f>MAX(0.0001,$B$3-0.02)+($B$3+0.02-MAX(0.0001,$B$3-0.02))*27/40</f>
        <v/>
      </c>
      <c r="B438">
        <f>SUMPRODUCT(Calc!$K$3:$K$22,EXP(A438*Calc!$L$3:$L$22))</f>
        <v/>
      </c>
      <c r="C438">
        <f>SUMPRODUCT(Calc!$K$3:$K$22,EXP(2*A438*Calc!$L$3:$L$22))</f>
        <v/>
      </c>
      <c r="D438">
        <f>SUMPRODUCT(Calc!$K$3:$K$22,EXP(A438*Calc!$L$3:$L$22),Calc!$I$3:$I$22)</f>
        <v/>
      </c>
      <c r="E438">
        <f>k_n*C438-B438^2</f>
        <v/>
      </c>
      <c r="F438">
        <f>IF(ABS(E438)&lt;1E-14,0,(k_n*D438-B438*k_n*k_ymean)/E438)</f>
        <v/>
      </c>
      <c r="G438">
        <f>IF(k_n&gt;0,(k_n*k_ymean-F438*B438)/k_n,0)</f>
        <v/>
      </c>
      <c r="H438">
        <f>IF(AND(F438&gt;0,ABS(E438)&gt;=1E-14),SUMPRODUCT(Calc!$K$3:$K$22,(Calc!$I$3:$I$22-G438-F438*EXP(A438*Calc!$L$3:$L$22))^2),1E+300)</f>
        <v/>
      </c>
    </row>
    <row r="439">
      <c r="A439">
        <f>MAX(0.0001,$B$3-0.02)+($B$3+0.02-MAX(0.0001,$B$3-0.02))*28/40</f>
        <v/>
      </c>
      <c r="B439">
        <f>SUMPRODUCT(Calc!$K$3:$K$22,EXP(A439*Calc!$L$3:$L$22))</f>
        <v/>
      </c>
      <c r="C439">
        <f>SUMPRODUCT(Calc!$K$3:$K$22,EXP(2*A439*Calc!$L$3:$L$22))</f>
        <v/>
      </c>
      <c r="D439">
        <f>SUMPRODUCT(Calc!$K$3:$K$22,EXP(A439*Calc!$L$3:$L$22),Calc!$I$3:$I$22)</f>
        <v/>
      </c>
      <c r="E439">
        <f>k_n*C439-B439^2</f>
        <v/>
      </c>
      <c r="F439">
        <f>IF(ABS(E439)&lt;1E-14,0,(k_n*D439-B439*k_n*k_ymean)/E439)</f>
        <v/>
      </c>
      <c r="G439">
        <f>IF(k_n&gt;0,(k_n*k_ymean-F439*B439)/k_n,0)</f>
        <v/>
      </c>
      <c r="H439">
        <f>IF(AND(F439&gt;0,ABS(E439)&gt;=1E-14),SUMPRODUCT(Calc!$K$3:$K$22,(Calc!$I$3:$I$22-G439-F439*EXP(A439*Calc!$L$3:$L$22))^2),1E+300)</f>
        <v/>
      </c>
    </row>
    <row r="440">
      <c r="A440">
        <f>MAX(0.0001,$B$3-0.02)+($B$3+0.02-MAX(0.0001,$B$3-0.02))*29/40</f>
        <v/>
      </c>
      <c r="B440">
        <f>SUMPRODUCT(Calc!$K$3:$K$22,EXP(A440*Calc!$L$3:$L$22))</f>
        <v/>
      </c>
      <c r="C440">
        <f>SUMPRODUCT(Calc!$K$3:$K$22,EXP(2*A440*Calc!$L$3:$L$22))</f>
        <v/>
      </c>
      <c r="D440">
        <f>SUMPRODUCT(Calc!$K$3:$K$22,EXP(A440*Calc!$L$3:$L$22),Calc!$I$3:$I$22)</f>
        <v/>
      </c>
      <c r="E440">
        <f>k_n*C440-B440^2</f>
        <v/>
      </c>
      <c r="F440">
        <f>IF(ABS(E440)&lt;1E-14,0,(k_n*D440-B440*k_n*k_ymean)/E440)</f>
        <v/>
      </c>
      <c r="G440">
        <f>IF(k_n&gt;0,(k_n*k_ymean-F440*B440)/k_n,0)</f>
        <v/>
      </c>
      <c r="H440">
        <f>IF(AND(F440&gt;0,ABS(E440)&gt;=1E-14),SUMPRODUCT(Calc!$K$3:$K$22,(Calc!$I$3:$I$22-G440-F440*EXP(A440*Calc!$L$3:$L$22))^2),1E+300)</f>
        <v/>
      </c>
    </row>
    <row r="441">
      <c r="A441">
        <f>MAX(0.0001,$B$3-0.02)+($B$3+0.02-MAX(0.0001,$B$3-0.02))*30/40</f>
        <v/>
      </c>
      <c r="B441">
        <f>SUMPRODUCT(Calc!$K$3:$K$22,EXP(A441*Calc!$L$3:$L$22))</f>
        <v/>
      </c>
      <c r="C441">
        <f>SUMPRODUCT(Calc!$K$3:$K$22,EXP(2*A441*Calc!$L$3:$L$22))</f>
        <v/>
      </c>
      <c r="D441">
        <f>SUMPRODUCT(Calc!$K$3:$K$22,EXP(A441*Calc!$L$3:$L$22),Calc!$I$3:$I$22)</f>
        <v/>
      </c>
      <c r="E441">
        <f>k_n*C441-B441^2</f>
        <v/>
      </c>
      <c r="F441">
        <f>IF(ABS(E441)&lt;1E-14,0,(k_n*D441-B441*k_n*k_ymean)/E441)</f>
        <v/>
      </c>
      <c r="G441">
        <f>IF(k_n&gt;0,(k_n*k_ymean-F441*B441)/k_n,0)</f>
        <v/>
      </c>
      <c r="H441">
        <f>IF(AND(F441&gt;0,ABS(E441)&gt;=1E-14),SUMPRODUCT(Calc!$K$3:$K$22,(Calc!$I$3:$I$22-G441-F441*EXP(A441*Calc!$L$3:$L$22))^2),1E+300)</f>
        <v/>
      </c>
    </row>
    <row r="442">
      <c r="A442">
        <f>MAX(0.0001,$B$3-0.02)+($B$3+0.02-MAX(0.0001,$B$3-0.02))*31/40</f>
        <v/>
      </c>
      <c r="B442">
        <f>SUMPRODUCT(Calc!$K$3:$K$22,EXP(A442*Calc!$L$3:$L$22))</f>
        <v/>
      </c>
      <c r="C442">
        <f>SUMPRODUCT(Calc!$K$3:$K$22,EXP(2*A442*Calc!$L$3:$L$22))</f>
        <v/>
      </c>
      <c r="D442">
        <f>SUMPRODUCT(Calc!$K$3:$K$22,EXP(A442*Calc!$L$3:$L$22),Calc!$I$3:$I$22)</f>
        <v/>
      </c>
      <c r="E442">
        <f>k_n*C442-B442^2</f>
        <v/>
      </c>
      <c r="F442">
        <f>IF(ABS(E442)&lt;1E-14,0,(k_n*D442-B442*k_n*k_ymean)/E442)</f>
        <v/>
      </c>
      <c r="G442">
        <f>IF(k_n&gt;0,(k_n*k_ymean-F442*B442)/k_n,0)</f>
        <v/>
      </c>
      <c r="H442">
        <f>IF(AND(F442&gt;0,ABS(E442)&gt;=1E-14),SUMPRODUCT(Calc!$K$3:$K$22,(Calc!$I$3:$I$22-G442-F442*EXP(A442*Calc!$L$3:$L$22))^2),1E+300)</f>
        <v/>
      </c>
    </row>
    <row r="443">
      <c r="A443">
        <f>MAX(0.0001,$B$3-0.02)+($B$3+0.02-MAX(0.0001,$B$3-0.02))*32/40</f>
        <v/>
      </c>
      <c r="B443">
        <f>SUMPRODUCT(Calc!$K$3:$K$22,EXP(A443*Calc!$L$3:$L$22))</f>
        <v/>
      </c>
      <c r="C443">
        <f>SUMPRODUCT(Calc!$K$3:$K$22,EXP(2*A443*Calc!$L$3:$L$22))</f>
        <v/>
      </c>
      <c r="D443">
        <f>SUMPRODUCT(Calc!$K$3:$K$22,EXP(A443*Calc!$L$3:$L$22),Calc!$I$3:$I$22)</f>
        <v/>
      </c>
      <c r="E443">
        <f>k_n*C443-B443^2</f>
        <v/>
      </c>
      <c r="F443">
        <f>IF(ABS(E443)&lt;1E-14,0,(k_n*D443-B443*k_n*k_ymean)/E443)</f>
        <v/>
      </c>
      <c r="G443">
        <f>IF(k_n&gt;0,(k_n*k_ymean-F443*B443)/k_n,0)</f>
        <v/>
      </c>
      <c r="H443">
        <f>IF(AND(F443&gt;0,ABS(E443)&gt;=1E-14),SUMPRODUCT(Calc!$K$3:$K$22,(Calc!$I$3:$I$22-G443-F443*EXP(A443*Calc!$L$3:$L$22))^2),1E+300)</f>
        <v/>
      </c>
    </row>
    <row r="444">
      <c r="A444">
        <f>MAX(0.0001,$B$3-0.02)+($B$3+0.02-MAX(0.0001,$B$3-0.02))*33/40</f>
        <v/>
      </c>
      <c r="B444">
        <f>SUMPRODUCT(Calc!$K$3:$K$22,EXP(A444*Calc!$L$3:$L$22))</f>
        <v/>
      </c>
      <c r="C444">
        <f>SUMPRODUCT(Calc!$K$3:$K$22,EXP(2*A444*Calc!$L$3:$L$22))</f>
        <v/>
      </c>
      <c r="D444">
        <f>SUMPRODUCT(Calc!$K$3:$K$22,EXP(A444*Calc!$L$3:$L$22),Calc!$I$3:$I$22)</f>
        <v/>
      </c>
      <c r="E444">
        <f>k_n*C444-B444^2</f>
        <v/>
      </c>
      <c r="F444">
        <f>IF(ABS(E444)&lt;1E-14,0,(k_n*D444-B444*k_n*k_ymean)/E444)</f>
        <v/>
      </c>
      <c r="G444">
        <f>IF(k_n&gt;0,(k_n*k_ymean-F444*B444)/k_n,0)</f>
        <v/>
      </c>
      <c r="H444">
        <f>IF(AND(F444&gt;0,ABS(E444)&gt;=1E-14),SUMPRODUCT(Calc!$K$3:$K$22,(Calc!$I$3:$I$22-G444-F444*EXP(A444*Calc!$L$3:$L$22))^2),1E+300)</f>
        <v/>
      </c>
    </row>
    <row r="445">
      <c r="A445">
        <f>MAX(0.0001,$B$3-0.02)+($B$3+0.02-MAX(0.0001,$B$3-0.02))*34/40</f>
        <v/>
      </c>
      <c r="B445">
        <f>SUMPRODUCT(Calc!$K$3:$K$22,EXP(A445*Calc!$L$3:$L$22))</f>
        <v/>
      </c>
      <c r="C445">
        <f>SUMPRODUCT(Calc!$K$3:$K$22,EXP(2*A445*Calc!$L$3:$L$22))</f>
        <v/>
      </c>
      <c r="D445">
        <f>SUMPRODUCT(Calc!$K$3:$K$22,EXP(A445*Calc!$L$3:$L$22),Calc!$I$3:$I$22)</f>
        <v/>
      </c>
      <c r="E445">
        <f>k_n*C445-B445^2</f>
        <v/>
      </c>
      <c r="F445">
        <f>IF(ABS(E445)&lt;1E-14,0,(k_n*D445-B445*k_n*k_ymean)/E445)</f>
        <v/>
      </c>
      <c r="G445">
        <f>IF(k_n&gt;0,(k_n*k_ymean-F445*B445)/k_n,0)</f>
        <v/>
      </c>
      <c r="H445">
        <f>IF(AND(F445&gt;0,ABS(E445)&gt;=1E-14),SUMPRODUCT(Calc!$K$3:$K$22,(Calc!$I$3:$I$22-G445-F445*EXP(A445*Calc!$L$3:$L$22))^2),1E+300)</f>
        <v/>
      </c>
    </row>
    <row r="446">
      <c r="A446">
        <f>MAX(0.0001,$B$3-0.02)+($B$3+0.02-MAX(0.0001,$B$3-0.02))*35/40</f>
        <v/>
      </c>
      <c r="B446">
        <f>SUMPRODUCT(Calc!$K$3:$K$22,EXP(A446*Calc!$L$3:$L$22))</f>
        <v/>
      </c>
      <c r="C446">
        <f>SUMPRODUCT(Calc!$K$3:$K$22,EXP(2*A446*Calc!$L$3:$L$22))</f>
        <v/>
      </c>
      <c r="D446">
        <f>SUMPRODUCT(Calc!$K$3:$K$22,EXP(A446*Calc!$L$3:$L$22),Calc!$I$3:$I$22)</f>
        <v/>
      </c>
      <c r="E446">
        <f>k_n*C446-B446^2</f>
        <v/>
      </c>
      <c r="F446">
        <f>IF(ABS(E446)&lt;1E-14,0,(k_n*D446-B446*k_n*k_ymean)/E446)</f>
        <v/>
      </c>
      <c r="G446">
        <f>IF(k_n&gt;0,(k_n*k_ymean-F446*B446)/k_n,0)</f>
        <v/>
      </c>
      <c r="H446">
        <f>IF(AND(F446&gt;0,ABS(E446)&gt;=1E-14),SUMPRODUCT(Calc!$K$3:$K$22,(Calc!$I$3:$I$22-G446-F446*EXP(A446*Calc!$L$3:$L$22))^2),1E+300)</f>
        <v/>
      </c>
    </row>
    <row r="447">
      <c r="A447">
        <f>MAX(0.0001,$B$3-0.02)+($B$3+0.02-MAX(0.0001,$B$3-0.02))*36/40</f>
        <v/>
      </c>
      <c r="B447">
        <f>SUMPRODUCT(Calc!$K$3:$K$22,EXP(A447*Calc!$L$3:$L$22))</f>
        <v/>
      </c>
      <c r="C447">
        <f>SUMPRODUCT(Calc!$K$3:$K$22,EXP(2*A447*Calc!$L$3:$L$22))</f>
        <v/>
      </c>
      <c r="D447">
        <f>SUMPRODUCT(Calc!$K$3:$K$22,EXP(A447*Calc!$L$3:$L$22),Calc!$I$3:$I$22)</f>
        <v/>
      </c>
      <c r="E447">
        <f>k_n*C447-B447^2</f>
        <v/>
      </c>
      <c r="F447">
        <f>IF(ABS(E447)&lt;1E-14,0,(k_n*D447-B447*k_n*k_ymean)/E447)</f>
        <v/>
      </c>
      <c r="G447">
        <f>IF(k_n&gt;0,(k_n*k_ymean-F447*B447)/k_n,0)</f>
        <v/>
      </c>
      <c r="H447">
        <f>IF(AND(F447&gt;0,ABS(E447)&gt;=1E-14),SUMPRODUCT(Calc!$K$3:$K$22,(Calc!$I$3:$I$22-G447-F447*EXP(A447*Calc!$L$3:$L$22))^2),1E+300)</f>
        <v/>
      </c>
    </row>
    <row r="448">
      <c r="A448">
        <f>MAX(0.0001,$B$3-0.02)+($B$3+0.02-MAX(0.0001,$B$3-0.02))*37/40</f>
        <v/>
      </c>
      <c r="B448">
        <f>SUMPRODUCT(Calc!$K$3:$K$22,EXP(A448*Calc!$L$3:$L$22))</f>
        <v/>
      </c>
      <c r="C448">
        <f>SUMPRODUCT(Calc!$K$3:$K$22,EXP(2*A448*Calc!$L$3:$L$22))</f>
        <v/>
      </c>
      <c r="D448">
        <f>SUMPRODUCT(Calc!$K$3:$K$22,EXP(A448*Calc!$L$3:$L$22),Calc!$I$3:$I$22)</f>
        <v/>
      </c>
      <c r="E448">
        <f>k_n*C448-B448^2</f>
        <v/>
      </c>
      <c r="F448">
        <f>IF(ABS(E448)&lt;1E-14,0,(k_n*D448-B448*k_n*k_ymean)/E448)</f>
        <v/>
      </c>
      <c r="G448">
        <f>IF(k_n&gt;0,(k_n*k_ymean-F448*B448)/k_n,0)</f>
        <v/>
      </c>
      <c r="H448">
        <f>IF(AND(F448&gt;0,ABS(E448)&gt;=1E-14),SUMPRODUCT(Calc!$K$3:$K$22,(Calc!$I$3:$I$22-G448-F448*EXP(A448*Calc!$L$3:$L$22))^2),1E+300)</f>
        <v/>
      </c>
    </row>
    <row r="449">
      <c r="A449">
        <f>MAX(0.0001,$B$3-0.02)+($B$3+0.02-MAX(0.0001,$B$3-0.02))*38/40</f>
        <v/>
      </c>
      <c r="B449">
        <f>SUMPRODUCT(Calc!$K$3:$K$22,EXP(A449*Calc!$L$3:$L$22))</f>
        <v/>
      </c>
      <c r="C449">
        <f>SUMPRODUCT(Calc!$K$3:$K$22,EXP(2*A449*Calc!$L$3:$L$22))</f>
        <v/>
      </c>
      <c r="D449">
        <f>SUMPRODUCT(Calc!$K$3:$K$22,EXP(A449*Calc!$L$3:$L$22),Calc!$I$3:$I$22)</f>
        <v/>
      </c>
      <c r="E449">
        <f>k_n*C449-B449^2</f>
        <v/>
      </c>
      <c r="F449">
        <f>IF(ABS(E449)&lt;1E-14,0,(k_n*D449-B449*k_n*k_ymean)/E449)</f>
        <v/>
      </c>
      <c r="G449">
        <f>IF(k_n&gt;0,(k_n*k_ymean-F449*B449)/k_n,0)</f>
        <v/>
      </c>
      <c r="H449">
        <f>IF(AND(F449&gt;0,ABS(E449)&gt;=1E-14),SUMPRODUCT(Calc!$K$3:$K$22,(Calc!$I$3:$I$22-G449-F449*EXP(A449*Calc!$L$3:$L$22))^2),1E+300)</f>
        <v/>
      </c>
    </row>
    <row r="450">
      <c r="A450">
        <f>MAX(0.0001,$B$3-0.02)+($B$3+0.02-MAX(0.0001,$B$3-0.02))*39/40</f>
        <v/>
      </c>
      <c r="B450">
        <f>SUMPRODUCT(Calc!$K$3:$K$22,EXP(A450*Calc!$L$3:$L$22))</f>
        <v/>
      </c>
      <c r="C450">
        <f>SUMPRODUCT(Calc!$K$3:$K$22,EXP(2*A450*Calc!$L$3:$L$22))</f>
        <v/>
      </c>
      <c r="D450">
        <f>SUMPRODUCT(Calc!$K$3:$K$22,EXP(A450*Calc!$L$3:$L$22),Calc!$I$3:$I$22)</f>
        <v/>
      </c>
      <c r="E450">
        <f>k_n*C450-B450^2</f>
        <v/>
      </c>
      <c r="F450">
        <f>IF(ABS(E450)&lt;1E-14,0,(k_n*D450-B450*k_n*k_ymean)/E450)</f>
        <v/>
      </c>
      <c r="G450">
        <f>IF(k_n&gt;0,(k_n*k_ymean-F450*B450)/k_n,0)</f>
        <v/>
      </c>
      <c r="H450">
        <f>IF(AND(F450&gt;0,ABS(E450)&gt;=1E-14),SUMPRODUCT(Calc!$K$3:$K$22,(Calc!$I$3:$I$22-G450-F450*EXP(A450*Calc!$L$3:$L$22))^2),1E+300)</f>
        <v/>
      </c>
    </row>
    <row r="451">
      <c r="A451">
        <f>MAX(0.0001,$B$3-0.02)+($B$3+0.02-MAX(0.0001,$B$3-0.02))*40/40</f>
        <v/>
      </c>
      <c r="B451">
        <f>SUMPRODUCT(Calc!$K$3:$K$22,EXP(A451*Calc!$L$3:$L$22))</f>
        <v/>
      </c>
      <c r="C451">
        <f>SUMPRODUCT(Calc!$K$3:$K$22,EXP(2*A451*Calc!$L$3:$L$22))</f>
        <v/>
      </c>
      <c r="D451">
        <f>SUMPRODUCT(Calc!$K$3:$K$22,EXP(A451*Calc!$L$3:$L$22),Calc!$I$3:$I$22)</f>
        <v/>
      </c>
      <c r="E451">
        <f>k_n*C451-B451^2</f>
        <v/>
      </c>
      <c r="F451">
        <f>IF(ABS(E451)&lt;1E-14,0,(k_n*D451-B451*k_n*k_ymean)/E451)</f>
        <v/>
      </c>
      <c r="G451">
        <f>IF(k_n&gt;0,(k_n*k_ymean-F451*B451)/k_n,0)</f>
        <v/>
      </c>
      <c r="H451">
        <f>IF(AND(F451&gt;0,ABS(E451)&gt;=1E-14),SUMPRODUCT(Calc!$K$3:$K$22,(Calc!$I$3:$I$22-G451-F451*EXP(A451*Calc!$L$3:$L$22))^2),1E+300)</f>
        <v/>
      </c>
    </row>
    <row r="453">
      <c r="A453">
        <f>MAX(0.0001,$K$411-0.001)+($K$411+0.001-MAX(0.0001,$K$411-0.001))*0/40</f>
        <v/>
      </c>
      <c r="B453">
        <f>SUMPRODUCT(Calc!$K$3:$K$22,EXP(A453*Calc!$L$3:$L$22))</f>
        <v/>
      </c>
      <c r="C453">
        <f>SUMPRODUCT(Calc!$K$3:$K$22,EXP(2*A453*Calc!$L$3:$L$22))</f>
        <v/>
      </c>
      <c r="D453">
        <f>SUMPRODUCT(Calc!$K$3:$K$22,EXP(A453*Calc!$L$3:$L$22),Calc!$I$3:$I$22)</f>
        <v/>
      </c>
      <c r="E453">
        <f>k_n*C453-B453^2</f>
        <v/>
      </c>
      <c r="F453">
        <f>IF(ABS(E453)&lt;1E-14,0,(k_n*D453-B453*k_n*k_ymean)/E453)</f>
        <v/>
      </c>
      <c r="G453">
        <f>IF(k_n&gt;0,(k_n*k_ymean-F453*B453)/k_n,0)</f>
        <v/>
      </c>
      <c r="H453">
        <f>IF(AND(F453&gt;0,ABS(E453)&gt;=1E-14),SUMPRODUCT(Calc!$K$3:$K$22,(Calc!$I$3:$I$22-G453-F453*EXP(A453*Calc!$L$3:$L$22))^2),1E+300)</f>
        <v/>
      </c>
    </row>
    <row r="454">
      <c r="A454">
        <f>MAX(0.0001,$K$411-0.001)+($K$411+0.001-MAX(0.0001,$K$411-0.001))*1/40</f>
        <v/>
      </c>
      <c r="B454">
        <f>SUMPRODUCT(Calc!$K$3:$K$22,EXP(A454*Calc!$L$3:$L$22))</f>
        <v/>
      </c>
      <c r="C454">
        <f>SUMPRODUCT(Calc!$K$3:$K$22,EXP(2*A454*Calc!$L$3:$L$22))</f>
        <v/>
      </c>
      <c r="D454">
        <f>SUMPRODUCT(Calc!$K$3:$K$22,EXP(A454*Calc!$L$3:$L$22),Calc!$I$3:$I$22)</f>
        <v/>
      </c>
      <c r="E454">
        <f>k_n*C454-B454^2</f>
        <v/>
      </c>
      <c r="F454">
        <f>IF(ABS(E454)&lt;1E-14,0,(k_n*D454-B454*k_n*k_ymean)/E454)</f>
        <v/>
      </c>
      <c r="G454">
        <f>IF(k_n&gt;0,(k_n*k_ymean-F454*B454)/k_n,0)</f>
        <v/>
      </c>
      <c r="H454">
        <f>IF(AND(F454&gt;0,ABS(E454)&gt;=1E-14),SUMPRODUCT(Calc!$K$3:$K$22,(Calc!$I$3:$I$22-G454-F454*EXP(A454*Calc!$L$3:$L$22))^2),1E+300)</f>
        <v/>
      </c>
    </row>
    <row r="455">
      <c r="A455">
        <f>MAX(0.0001,$K$411-0.001)+($K$411+0.001-MAX(0.0001,$K$411-0.001))*2/40</f>
        <v/>
      </c>
      <c r="B455">
        <f>SUMPRODUCT(Calc!$K$3:$K$22,EXP(A455*Calc!$L$3:$L$22))</f>
        <v/>
      </c>
      <c r="C455">
        <f>SUMPRODUCT(Calc!$K$3:$K$22,EXP(2*A455*Calc!$L$3:$L$22))</f>
        <v/>
      </c>
      <c r="D455">
        <f>SUMPRODUCT(Calc!$K$3:$K$22,EXP(A455*Calc!$L$3:$L$22),Calc!$I$3:$I$22)</f>
        <v/>
      </c>
      <c r="E455">
        <f>k_n*C455-B455^2</f>
        <v/>
      </c>
      <c r="F455">
        <f>IF(ABS(E455)&lt;1E-14,0,(k_n*D455-B455*k_n*k_ymean)/E455)</f>
        <v/>
      </c>
      <c r="G455">
        <f>IF(k_n&gt;0,(k_n*k_ymean-F455*B455)/k_n,0)</f>
        <v/>
      </c>
      <c r="H455">
        <f>IF(AND(F455&gt;0,ABS(E455)&gt;=1E-14),SUMPRODUCT(Calc!$K$3:$K$22,(Calc!$I$3:$I$22-G455-F455*EXP(A455*Calc!$L$3:$L$22))^2),1E+300)</f>
        <v/>
      </c>
    </row>
    <row r="456">
      <c r="A456">
        <f>MAX(0.0001,$K$411-0.001)+($K$411+0.001-MAX(0.0001,$K$411-0.001))*3/40</f>
        <v/>
      </c>
      <c r="B456">
        <f>SUMPRODUCT(Calc!$K$3:$K$22,EXP(A456*Calc!$L$3:$L$22))</f>
        <v/>
      </c>
      <c r="C456">
        <f>SUMPRODUCT(Calc!$K$3:$K$22,EXP(2*A456*Calc!$L$3:$L$22))</f>
        <v/>
      </c>
      <c r="D456">
        <f>SUMPRODUCT(Calc!$K$3:$K$22,EXP(A456*Calc!$L$3:$L$22),Calc!$I$3:$I$22)</f>
        <v/>
      </c>
      <c r="E456">
        <f>k_n*C456-B456^2</f>
        <v/>
      </c>
      <c r="F456">
        <f>IF(ABS(E456)&lt;1E-14,0,(k_n*D456-B456*k_n*k_ymean)/E456)</f>
        <v/>
      </c>
      <c r="G456">
        <f>IF(k_n&gt;0,(k_n*k_ymean-F456*B456)/k_n,0)</f>
        <v/>
      </c>
      <c r="H456">
        <f>IF(AND(F456&gt;0,ABS(E456)&gt;=1E-14),SUMPRODUCT(Calc!$K$3:$K$22,(Calc!$I$3:$I$22-G456-F456*EXP(A456*Calc!$L$3:$L$22))^2),1E+300)</f>
        <v/>
      </c>
    </row>
    <row r="457">
      <c r="A457">
        <f>MAX(0.0001,$K$411-0.001)+($K$411+0.001-MAX(0.0001,$K$411-0.001))*4/40</f>
        <v/>
      </c>
      <c r="B457">
        <f>SUMPRODUCT(Calc!$K$3:$K$22,EXP(A457*Calc!$L$3:$L$22))</f>
        <v/>
      </c>
      <c r="C457">
        <f>SUMPRODUCT(Calc!$K$3:$K$22,EXP(2*A457*Calc!$L$3:$L$22))</f>
        <v/>
      </c>
      <c r="D457">
        <f>SUMPRODUCT(Calc!$K$3:$K$22,EXP(A457*Calc!$L$3:$L$22),Calc!$I$3:$I$22)</f>
        <v/>
      </c>
      <c r="E457">
        <f>k_n*C457-B457^2</f>
        <v/>
      </c>
      <c r="F457">
        <f>IF(ABS(E457)&lt;1E-14,0,(k_n*D457-B457*k_n*k_ymean)/E457)</f>
        <v/>
      </c>
      <c r="G457">
        <f>IF(k_n&gt;0,(k_n*k_ymean-F457*B457)/k_n,0)</f>
        <v/>
      </c>
      <c r="H457">
        <f>IF(AND(F457&gt;0,ABS(E457)&gt;=1E-14),SUMPRODUCT(Calc!$K$3:$K$22,(Calc!$I$3:$I$22-G457-F457*EXP(A457*Calc!$L$3:$L$22))^2),1E+300)</f>
        <v/>
      </c>
    </row>
    <row r="458">
      <c r="A458">
        <f>MAX(0.0001,$K$411-0.001)+($K$411+0.001-MAX(0.0001,$K$411-0.001))*5/40</f>
        <v/>
      </c>
      <c r="B458">
        <f>SUMPRODUCT(Calc!$K$3:$K$22,EXP(A458*Calc!$L$3:$L$22))</f>
        <v/>
      </c>
      <c r="C458">
        <f>SUMPRODUCT(Calc!$K$3:$K$22,EXP(2*A458*Calc!$L$3:$L$22))</f>
        <v/>
      </c>
      <c r="D458">
        <f>SUMPRODUCT(Calc!$K$3:$K$22,EXP(A458*Calc!$L$3:$L$22),Calc!$I$3:$I$22)</f>
        <v/>
      </c>
      <c r="E458">
        <f>k_n*C458-B458^2</f>
        <v/>
      </c>
      <c r="F458">
        <f>IF(ABS(E458)&lt;1E-14,0,(k_n*D458-B458*k_n*k_ymean)/E458)</f>
        <v/>
      </c>
      <c r="G458">
        <f>IF(k_n&gt;0,(k_n*k_ymean-F458*B458)/k_n,0)</f>
        <v/>
      </c>
      <c r="H458">
        <f>IF(AND(F458&gt;0,ABS(E458)&gt;=1E-14),SUMPRODUCT(Calc!$K$3:$K$22,(Calc!$I$3:$I$22-G458-F458*EXP(A458*Calc!$L$3:$L$22))^2),1E+300)</f>
        <v/>
      </c>
    </row>
    <row r="459">
      <c r="A459">
        <f>MAX(0.0001,$K$411-0.001)+($K$411+0.001-MAX(0.0001,$K$411-0.001))*6/40</f>
        <v/>
      </c>
      <c r="B459">
        <f>SUMPRODUCT(Calc!$K$3:$K$22,EXP(A459*Calc!$L$3:$L$22))</f>
        <v/>
      </c>
      <c r="C459">
        <f>SUMPRODUCT(Calc!$K$3:$K$22,EXP(2*A459*Calc!$L$3:$L$22))</f>
        <v/>
      </c>
      <c r="D459">
        <f>SUMPRODUCT(Calc!$K$3:$K$22,EXP(A459*Calc!$L$3:$L$22),Calc!$I$3:$I$22)</f>
        <v/>
      </c>
      <c r="E459">
        <f>k_n*C459-B459^2</f>
        <v/>
      </c>
      <c r="F459">
        <f>IF(ABS(E459)&lt;1E-14,0,(k_n*D459-B459*k_n*k_ymean)/E459)</f>
        <v/>
      </c>
      <c r="G459">
        <f>IF(k_n&gt;0,(k_n*k_ymean-F459*B459)/k_n,0)</f>
        <v/>
      </c>
      <c r="H459">
        <f>IF(AND(F459&gt;0,ABS(E459)&gt;=1E-14),SUMPRODUCT(Calc!$K$3:$K$22,(Calc!$I$3:$I$22-G459-F459*EXP(A459*Calc!$L$3:$L$22))^2),1E+300)</f>
        <v/>
      </c>
    </row>
    <row r="460">
      <c r="A460">
        <f>MAX(0.0001,$K$411-0.001)+($K$411+0.001-MAX(0.0001,$K$411-0.001))*7/40</f>
        <v/>
      </c>
      <c r="B460">
        <f>SUMPRODUCT(Calc!$K$3:$K$22,EXP(A460*Calc!$L$3:$L$22))</f>
        <v/>
      </c>
      <c r="C460">
        <f>SUMPRODUCT(Calc!$K$3:$K$22,EXP(2*A460*Calc!$L$3:$L$22))</f>
        <v/>
      </c>
      <c r="D460">
        <f>SUMPRODUCT(Calc!$K$3:$K$22,EXP(A460*Calc!$L$3:$L$22),Calc!$I$3:$I$22)</f>
        <v/>
      </c>
      <c r="E460">
        <f>k_n*C460-B460^2</f>
        <v/>
      </c>
      <c r="F460">
        <f>IF(ABS(E460)&lt;1E-14,0,(k_n*D460-B460*k_n*k_ymean)/E460)</f>
        <v/>
      </c>
      <c r="G460">
        <f>IF(k_n&gt;0,(k_n*k_ymean-F460*B460)/k_n,0)</f>
        <v/>
      </c>
      <c r="H460">
        <f>IF(AND(F460&gt;0,ABS(E460)&gt;=1E-14),SUMPRODUCT(Calc!$K$3:$K$22,(Calc!$I$3:$I$22-G460-F460*EXP(A460*Calc!$L$3:$L$22))^2),1E+300)</f>
        <v/>
      </c>
    </row>
    <row r="461">
      <c r="A461">
        <f>MAX(0.0001,$K$411-0.001)+($K$411+0.001-MAX(0.0001,$K$411-0.001))*8/40</f>
        <v/>
      </c>
      <c r="B461">
        <f>SUMPRODUCT(Calc!$K$3:$K$22,EXP(A461*Calc!$L$3:$L$22))</f>
        <v/>
      </c>
      <c r="C461">
        <f>SUMPRODUCT(Calc!$K$3:$K$22,EXP(2*A461*Calc!$L$3:$L$22))</f>
        <v/>
      </c>
      <c r="D461">
        <f>SUMPRODUCT(Calc!$K$3:$K$22,EXP(A461*Calc!$L$3:$L$22),Calc!$I$3:$I$22)</f>
        <v/>
      </c>
      <c r="E461">
        <f>k_n*C461-B461^2</f>
        <v/>
      </c>
      <c r="F461">
        <f>IF(ABS(E461)&lt;1E-14,0,(k_n*D461-B461*k_n*k_ymean)/E461)</f>
        <v/>
      </c>
      <c r="G461">
        <f>IF(k_n&gt;0,(k_n*k_ymean-F461*B461)/k_n,0)</f>
        <v/>
      </c>
      <c r="H461">
        <f>IF(AND(F461&gt;0,ABS(E461)&gt;=1E-14),SUMPRODUCT(Calc!$K$3:$K$22,(Calc!$I$3:$I$22-G461-F461*EXP(A461*Calc!$L$3:$L$22))^2),1E+300)</f>
        <v/>
      </c>
    </row>
    <row r="462">
      <c r="A462">
        <f>MAX(0.0001,$K$411-0.001)+($K$411+0.001-MAX(0.0001,$K$411-0.001))*9/40</f>
        <v/>
      </c>
      <c r="B462">
        <f>SUMPRODUCT(Calc!$K$3:$K$22,EXP(A462*Calc!$L$3:$L$22))</f>
        <v/>
      </c>
      <c r="C462">
        <f>SUMPRODUCT(Calc!$K$3:$K$22,EXP(2*A462*Calc!$L$3:$L$22))</f>
        <v/>
      </c>
      <c r="D462">
        <f>SUMPRODUCT(Calc!$K$3:$K$22,EXP(A462*Calc!$L$3:$L$22),Calc!$I$3:$I$22)</f>
        <v/>
      </c>
      <c r="E462">
        <f>k_n*C462-B462^2</f>
        <v/>
      </c>
      <c r="F462">
        <f>IF(ABS(E462)&lt;1E-14,0,(k_n*D462-B462*k_n*k_ymean)/E462)</f>
        <v/>
      </c>
      <c r="G462">
        <f>IF(k_n&gt;0,(k_n*k_ymean-F462*B462)/k_n,0)</f>
        <v/>
      </c>
      <c r="H462">
        <f>IF(AND(F462&gt;0,ABS(E462)&gt;=1E-14),SUMPRODUCT(Calc!$K$3:$K$22,(Calc!$I$3:$I$22-G462-F462*EXP(A462*Calc!$L$3:$L$22))^2),1E+300)</f>
        <v/>
      </c>
    </row>
    <row r="463">
      <c r="A463">
        <f>MAX(0.0001,$K$411-0.001)+($K$411+0.001-MAX(0.0001,$K$411-0.001))*10/40</f>
        <v/>
      </c>
      <c r="B463">
        <f>SUMPRODUCT(Calc!$K$3:$K$22,EXP(A463*Calc!$L$3:$L$22))</f>
        <v/>
      </c>
      <c r="C463">
        <f>SUMPRODUCT(Calc!$K$3:$K$22,EXP(2*A463*Calc!$L$3:$L$22))</f>
        <v/>
      </c>
      <c r="D463">
        <f>SUMPRODUCT(Calc!$K$3:$K$22,EXP(A463*Calc!$L$3:$L$22),Calc!$I$3:$I$22)</f>
        <v/>
      </c>
      <c r="E463">
        <f>k_n*C463-B463^2</f>
        <v/>
      </c>
      <c r="F463">
        <f>IF(ABS(E463)&lt;1E-14,0,(k_n*D463-B463*k_n*k_ymean)/E463)</f>
        <v/>
      </c>
      <c r="G463">
        <f>IF(k_n&gt;0,(k_n*k_ymean-F463*B463)/k_n,0)</f>
        <v/>
      </c>
      <c r="H463">
        <f>IF(AND(F463&gt;0,ABS(E463)&gt;=1E-14),SUMPRODUCT(Calc!$K$3:$K$22,(Calc!$I$3:$I$22-G463-F463*EXP(A463*Calc!$L$3:$L$22))^2),1E+300)</f>
        <v/>
      </c>
    </row>
    <row r="464">
      <c r="A464">
        <f>MAX(0.0001,$K$411-0.001)+($K$411+0.001-MAX(0.0001,$K$411-0.001))*11/40</f>
        <v/>
      </c>
      <c r="B464">
        <f>SUMPRODUCT(Calc!$K$3:$K$22,EXP(A464*Calc!$L$3:$L$22))</f>
        <v/>
      </c>
      <c r="C464">
        <f>SUMPRODUCT(Calc!$K$3:$K$22,EXP(2*A464*Calc!$L$3:$L$22))</f>
        <v/>
      </c>
      <c r="D464">
        <f>SUMPRODUCT(Calc!$K$3:$K$22,EXP(A464*Calc!$L$3:$L$22),Calc!$I$3:$I$22)</f>
        <v/>
      </c>
      <c r="E464">
        <f>k_n*C464-B464^2</f>
        <v/>
      </c>
      <c r="F464">
        <f>IF(ABS(E464)&lt;1E-14,0,(k_n*D464-B464*k_n*k_ymean)/E464)</f>
        <v/>
      </c>
      <c r="G464">
        <f>IF(k_n&gt;0,(k_n*k_ymean-F464*B464)/k_n,0)</f>
        <v/>
      </c>
      <c r="H464">
        <f>IF(AND(F464&gt;0,ABS(E464)&gt;=1E-14),SUMPRODUCT(Calc!$K$3:$K$22,(Calc!$I$3:$I$22-G464-F464*EXP(A464*Calc!$L$3:$L$22))^2),1E+300)</f>
        <v/>
      </c>
    </row>
    <row r="465">
      <c r="A465">
        <f>MAX(0.0001,$K$411-0.001)+($K$411+0.001-MAX(0.0001,$K$411-0.001))*12/40</f>
        <v/>
      </c>
      <c r="B465">
        <f>SUMPRODUCT(Calc!$K$3:$K$22,EXP(A465*Calc!$L$3:$L$22))</f>
        <v/>
      </c>
      <c r="C465">
        <f>SUMPRODUCT(Calc!$K$3:$K$22,EXP(2*A465*Calc!$L$3:$L$22))</f>
        <v/>
      </c>
      <c r="D465">
        <f>SUMPRODUCT(Calc!$K$3:$K$22,EXP(A465*Calc!$L$3:$L$22),Calc!$I$3:$I$22)</f>
        <v/>
      </c>
      <c r="E465">
        <f>k_n*C465-B465^2</f>
        <v/>
      </c>
      <c r="F465">
        <f>IF(ABS(E465)&lt;1E-14,0,(k_n*D465-B465*k_n*k_ymean)/E465)</f>
        <v/>
      </c>
      <c r="G465">
        <f>IF(k_n&gt;0,(k_n*k_ymean-F465*B465)/k_n,0)</f>
        <v/>
      </c>
      <c r="H465">
        <f>IF(AND(F465&gt;0,ABS(E465)&gt;=1E-14),SUMPRODUCT(Calc!$K$3:$K$22,(Calc!$I$3:$I$22-G465-F465*EXP(A465*Calc!$L$3:$L$22))^2),1E+300)</f>
        <v/>
      </c>
    </row>
    <row r="466">
      <c r="A466">
        <f>MAX(0.0001,$K$411-0.001)+($K$411+0.001-MAX(0.0001,$K$411-0.001))*13/40</f>
        <v/>
      </c>
      <c r="B466">
        <f>SUMPRODUCT(Calc!$K$3:$K$22,EXP(A466*Calc!$L$3:$L$22))</f>
        <v/>
      </c>
      <c r="C466">
        <f>SUMPRODUCT(Calc!$K$3:$K$22,EXP(2*A466*Calc!$L$3:$L$22))</f>
        <v/>
      </c>
      <c r="D466">
        <f>SUMPRODUCT(Calc!$K$3:$K$22,EXP(A466*Calc!$L$3:$L$22),Calc!$I$3:$I$22)</f>
        <v/>
      </c>
      <c r="E466">
        <f>k_n*C466-B466^2</f>
        <v/>
      </c>
      <c r="F466">
        <f>IF(ABS(E466)&lt;1E-14,0,(k_n*D466-B466*k_n*k_ymean)/E466)</f>
        <v/>
      </c>
      <c r="G466">
        <f>IF(k_n&gt;0,(k_n*k_ymean-F466*B466)/k_n,0)</f>
        <v/>
      </c>
      <c r="H466">
        <f>IF(AND(F466&gt;0,ABS(E466)&gt;=1E-14),SUMPRODUCT(Calc!$K$3:$K$22,(Calc!$I$3:$I$22-G466-F466*EXP(A466*Calc!$L$3:$L$22))^2),1E+300)</f>
        <v/>
      </c>
    </row>
    <row r="467">
      <c r="A467">
        <f>MAX(0.0001,$K$411-0.001)+($K$411+0.001-MAX(0.0001,$K$411-0.001))*14/40</f>
        <v/>
      </c>
      <c r="B467">
        <f>SUMPRODUCT(Calc!$K$3:$K$22,EXP(A467*Calc!$L$3:$L$22))</f>
        <v/>
      </c>
      <c r="C467">
        <f>SUMPRODUCT(Calc!$K$3:$K$22,EXP(2*A467*Calc!$L$3:$L$22))</f>
        <v/>
      </c>
      <c r="D467">
        <f>SUMPRODUCT(Calc!$K$3:$K$22,EXP(A467*Calc!$L$3:$L$22),Calc!$I$3:$I$22)</f>
        <v/>
      </c>
      <c r="E467">
        <f>k_n*C467-B467^2</f>
        <v/>
      </c>
      <c r="F467">
        <f>IF(ABS(E467)&lt;1E-14,0,(k_n*D467-B467*k_n*k_ymean)/E467)</f>
        <v/>
      </c>
      <c r="G467">
        <f>IF(k_n&gt;0,(k_n*k_ymean-F467*B467)/k_n,0)</f>
        <v/>
      </c>
      <c r="H467">
        <f>IF(AND(F467&gt;0,ABS(E467)&gt;=1E-14),SUMPRODUCT(Calc!$K$3:$K$22,(Calc!$I$3:$I$22-G467-F467*EXP(A467*Calc!$L$3:$L$22))^2),1E+300)</f>
        <v/>
      </c>
    </row>
    <row r="468">
      <c r="A468">
        <f>MAX(0.0001,$K$411-0.001)+($K$411+0.001-MAX(0.0001,$K$411-0.001))*15/40</f>
        <v/>
      </c>
      <c r="B468">
        <f>SUMPRODUCT(Calc!$K$3:$K$22,EXP(A468*Calc!$L$3:$L$22))</f>
        <v/>
      </c>
      <c r="C468">
        <f>SUMPRODUCT(Calc!$K$3:$K$22,EXP(2*A468*Calc!$L$3:$L$22))</f>
        <v/>
      </c>
      <c r="D468">
        <f>SUMPRODUCT(Calc!$K$3:$K$22,EXP(A468*Calc!$L$3:$L$22),Calc!$I$3:$I$22)</f>
        <v/>
      </c>
      <c r="E468">
        <f>k_n*C468-B468^2</f>
        <v/>
      </c>
      <c r="F468">
        <f>IF(ABS(E468)&lt;1E-14,0,(k_n*D468-B468*k_n*k_ymean)/E468)</f>
        <v/>
      </c>
      <c r="G468">
        <f>IF(k_n&gt;0,(k_n*k_ymean-F468*B468)/k_n,0)</f>
        <v/>
      </c>
      <c r="H468">
        <f>IF(AND(F468&gt;0,ABS(E468)&gt;=1E-14),SUMPRODUCT(Calc!$K$3:$K$22,(Calc!$I$3:$I$22-G468-F468*EXP(A468*Calc!$L$3:$L$22))^2),1E+300)</f>
        <v/>
      </c>
    </row>
    <row r="469">
      <c r="A469">
        <f>MAX(0.0001,$K$411-0.001)+($K$411+0.001-MAX(0.0001,$K$411-0.001))*16/40</f>
        <v/>
      </c>
      <c r="B469">
        <f>SUMPRODUCT(Calc!$K$3:$K$22,EXP(A469*Calc!$L$3:$L$22))</f>
        <v/>
      </c>
      <c r="C469">
        <f>SUMPRODUCT(Calc!$K$3:$K$22,EXP(2*A469*Calc!$L$3:$L$22))</f>
        <v/>
      </c>
      <c r="D469">
        <f>SUMPRODUCT(Calc!$K$3:$K$22,EXP(A469*Calc!$L$3:$L$22),Calc!$I$3:$I$22)</f>
        <v/>
      </c>
      <c r="E469">
        <f>k_n*C469-B469^2</f>
        <v/>
      </c>
      <c r="F469">
        <f>IF(ABS(E469)&lt;1E-14,0,(k_n*D469-B469*k_n*k_ymean)/E469)</f>
        <v/>
      </c>
      <c r="G469">
        <f>IF(k_n&gt;0,(k_n*k_ymean-F469*B469)/k_n,0)</f>
        <v/>
      </c>
      <c r="H469">
        <f>IF(AND(F469&gt;0,ABS(E469)&gt;=1E-14),SUMPRODUCT(Calc!$K$3:$K$22,(Calc!$I$3:$I$22-G469-F469*EXP(A469*Calc!$L$3:$L$22))^2),1E+300)</f>
        <v/>
      </c>
    </row>
    <row r="470">
      <c r="A470">
        <f>MAX(0.0001,$K$411-0.001)+($K$411+0.001-MAX(0.0001,$K$411-0.001))*17/40</f>
        <v/>
      </c>
      <c r="B470">
        <f>SUMPRODUCT(Calc!$K$3:$K$22,EXP(A470*Calc!$L$3:$L$22))</f>
        <v/>
      </c>
      <c r="C470">
        <f>SUMPRODUCT(Calc!$K$3:$K$22,EXP(2*A470*Calc!$L$3:$L$22))</f>
        <v/>
      </c>
      <c r="D470">
        <f>SUMPRODUCT(Calc!$K$3:$K$22,EXP(A470*Calc!$L$3:$L$22),Calc!$I$3:$I$22)</f>
        <v/>
      </c>
      <c r="E470">
        <f>k_n*C470-B470^2</f>
        <v/>
      </c>
      <c r="F470">
        <f>IF(ABS(E470)&lt;1E-14,0,(k_n*D470-B470*k_n*k_ymean)/E470)</f>
        <v/>
      </c>
      <c r="G470">
        <f>IF(k_n&gt;0,(k_n*k_ymean-F470*B470)/k_n,0)</f>
        <v/>
      </c>
      <c r="H470">
        <f>IF(AND(F470&gt;0,ABS(E470)&gt;=1E-14),SUMPRODUCT(Calc!$K$3:$K$22,(Calc!$I$3:$I$22-G470-F470*EXP(A470*Calc!$L$3:$L$22))^2),1E+300)</f>
        <v/>
      </c>
    </row>
    <row r="471">
      <c r="A471">
        <f>MAX(0.0001,$K$411-0.001)+($K$411+0.001-MAX(0.0001,$K$411-0.001))*18/40</f>
        <v/>
      </c>
      <c r="B471">
        <f>SUMPRODUCT(Calc!$K$3:$K$22,EXP(A471*Calc!$L$3:$L$22))</f>
        <v/>
      </c>
      <c r="C471">
        <f>SUMPRODUCT(Calc!$K$3:$K$22,EXP(2*A471*Calc!$L$3:$L$22))</f>
        <v/>
      </c>
      <c r="D471">
        <f>SUMPRODUCT(Calc!$K$3:$K$22,EXP(A471*Calc!$L$3:$L$22),Calc!$I$3:$I$22)</f>
        <v/>
      </c>
      <c r="E471">
        <f>k_n*C471-B471^2</f>
        <v/>
      </c>
      <c r="F471">
        <f>IF(ABS(E471)&lt;1E-14,0,(k_n*D471-B471*k_n*k_ymean)/E471)</f>
        <v/>
      </c>
      <c r="G471">
        <f>IF(k_n&gt;0,(k_n*k_ymean-F471*B471)/k_n,0)</f>
        <v/>
      </c>
      <c r="H471">
        <f>IF(AND(F471&gt;0,ABS(E471)&gt;=1E-14),SUMPRODUCT(Calc!$K$3:$K$22,(Calc!$I$3:$I$22-G471-F471*EXP(A471*Calc!$L$3:$L$22))^2),1E+300)</f>
        <v/>
      </c>
    </row>
    <row r="472">
      <c r="A472">
        <f>MAX(0.0001,$K$411-0.001)+($K$411+0.001-MAX(0.0001,$K$411-0.001))*19/40</f>
        <v/>
      </c>
      <c r="B472">
        <f>SUMPRODUCT(Calc!$K$3:$K$22,EXP(A472*Calc!$L$3:$L$22))</f>
        <v/>
      </c>
      <c r="C472">
        <f>SUMPRODUCT(Calc!$K$3:$K$22,EXP(2*A472*Calc!$L$3:$L$22))</f>
        <v/>
      </c>
      <c r="D472">
        <f>SUMPRODUCT(Calc!$K$3:$K$22,EXP(A472*Calc!$L$3:$L$22),Calc!$I$3:$I$22)</f>
        <v/>
      </c>
      <c r="E472">
        <f>k_n*C472-B472^2</f>
        <v/>
      </c>
      <c r="F472">
        <f>IF(ABS(E472)&lt;1E-14,0,(k_n*D472-B472*k_n*k_ymean)/E472)</f>
        <v/>
      </c>
      <c r="G472">
        <f>IF(k_n&gt;0,(k_n*k_ymean-F472*B472)/k_n,0)</f>
        <v/>
      </c>
      <c r="H472">
        <f>IF(AND(F472&gt;0,ABS(E472)&gt;=1E-14),SUMPRODUCT(Calc!$K$3:$K$22,(Calc!$I$3:$I$22-G472-F472*EXP(A472*Calc!$L$3:$L$22))^2),1E+300)</f>
        <v/>
      </c>
    </row>
    <row r="473">
      <c r="A473">
        <f>MAX(0.0001,$K$411-0.001)+($K$411+0.001-MAX(0.0001,$K$411-0.001))*20/40</f>
        <v/>
      </c>
      <c r="B473">
        <f>SUMPRODUCT(Calc!$K$3:$K$22,EXP(A473*Calc!$L$3:$L$22))</f>
        <v/>
      </c>
      <c r="C473">
        <f>SUMPRODUCT(Calc!$K$3:$K$22,EXP(2*A473*Calc!$L$3:$L$22))</f>
        <v/>
      </c>
      <c r="D473">
        <f>SUMPRODUCT(Calc!$K$3:$K$22,EXP(A473*Calc!$L$3:$L$22),Calc!$I$3:$I$22)</f>
        <v/>
      </c>
      <c r="E473">
        <f>k_n*C473-B473^2</f>
        <v/>
      </c>
      <c r="F473">
        <f>IF(ABS(E473)&lt;1E-14,0,(k_n*D473-B473*k_n*k_ymean)/E473)</f>
        <v/>
      </c>
      <c r="G473">
        <f>IF(k_n&gt;0,(k_n*k_ymean-F473*B473)/k_n,0)</f>
        <v/>
      </c>
      <c r="H473">
        <f>IF(AND(F473&gt;0,ABS(E473)&gt;=1E-14),SUMPRODUCT(Calc!$K$3:$K$22,(Calc!$I$3:$I$22-G473-F473*EXP(A473*Calc!$L$3:$L$22))^2),1E+300)</f>
        <v/>
      </c>
    </row>
    <row r="474">
      <c r="A474">
        <f>MAX(0.0001,$K$411-0.001)+($K$411+0.001-MAX(0.0001,$K$411-0.001))*21/40</f>
        <v/>
      </c>
      <c r="B474">
        <f>SUMPRODUCT(Calc!$K$3:$K$22,EXP(A474*Calc!$L$3:$L$22))</f>
        <v/>
      </c>
      <c r="C474">
        <f>SUMPRODUCT(Calc!$K$3:$K$22,EXP(2*A474*Calc!$L$3:$L$22))</f>
        <v/>
      </c>
      <c r="D474">
        <f>SUMPRODUCT(Calc!$K$3:$K$22,EXP(A474*Calc!$L$3:$L$22),Calc!$I$3:$I$22)</f>
        <v/>
      </c>
      <c r="E474">
        <f>k_n*C474-B474^2</f>
        <v/>
      </c>
      <c r="F474">
        <f>IF(ABS(E474)&lt;1E-14,0,(k_n*D474-B474*k_n*k_ymean)/E474)</f>
        <v/>
      </c>
      <c r="G474">
        <f>IF(k_n&gt;0,(k_n*k_ymean-F474*B474)/k_n,0)</f>
        <v/>
      </c>
      <c r="H474">
        <f>IF(AND(F474&gt;0,ABS(E474)&gt;=1E-14),SUMPRODUCT(Calc!$K$3:$K$22,(Calc!$I$3:$I$22-G474-F474*EXP(A474*Calc!$L$3:$L$22))^2),1E+300)</f>
        <v/>
      </c>
    </row>
    <row r="475">
      <c r="A475">
        <f>MAX(0.0001,$K$411-0.001)+($K$411+0.001-MAX(0.0001,$K$411-0.001))*22/40</f>
        <v/>
      </c>
      <c r="B475">
        <f>SUMPRODUCT(Calc!$K$3:$K$22,EXP(A475*Calc!$L$3:$L$22))</f>
        <v/>
      </c>
      <c r="C475">
        <f>SUMPRODUCT(Calc!$K$3:$K$22,EXP(2*A475*Calc!$L$3:$L$22))</f>
        <v/>
      </c>
      <c r="D475">
        <f>SUMPRODUCT(Calc!$K$3:$K$22,EXP(A475*Calc!$L$3:$L$22),Calc!$I$3:$I$22)</f>
        <v/>
      </c>
      <c r="E475">
        <f>k_n*C475-B475^2</f>
        <v/>
      </c>
      <c r="F475">
        <f>IF(ABS(E475)&lt;1E-14,0,(k_n*D475-B475*k_n*k_ymean)/E475)</f>
        <v/>
      </c>
      <c r="G475">
        <f>IF(k_n&gt;0,(k_n*k_ymean-F475*B475)/k_n,0)</f>
        <v/>
      </c>
      <c r="H475">
        <f>IF(AND(F475&gt;0,ABS(E475)&gt;=1E-14),SUMPRODUCT(Calc!$K$3:$K$22,(Calc!$I$3:$I$22-G475-F475*EXP(A475*Calc!$L$3:$L$22))^2),1E+300)</f>
        <v/>
      </c>
    </row>
    <row r="476">
      <c r="A476">
        <f>MAX(0.0001,$K$411-0.001)+($K$411+0.001-MAX(0.0001,$K$411-0.001))*23/40</f>
        <v/>
      </c>
      <c r="B476">
        <f>SUMPRODUCT(Calc!$K$3:$K$22,EXP(A476*Calc!$L$3:$L$22))</f>
        <v/>
      </c>
      <c r="C476">
        <f>SUMPRODUCT(Calc!$K$3:$K$22,EXP(2*A476*Calc!$L$3:$L$22))</f>
        <v/>
      </c>
      <c r="D476">
        <f>SUMPRODUCT(Calc!$K$3:$K$22,EXP(A476*Calc!$L$3:$L$22),Calc!$I$3:$I$22)</f>
        <v/>
      </c>
      <c r="E476">
        <f>k_n*C476-B476^2</f>
        <v/>
      </c>
      <c r="F476">
        <f>IF(ABS(E476)&lt;1E-14,0,(k_n*D476-B476*k_n*k_ymean)/E476)</f>
        <v/>
      </c>
      <c r="G476">
        <f>IF(k_n&gt;0,(k_n*k_ymean-F476*B476)/k_n,0)</f>
        <v/>
      </c>
      <c r="H476">
        <f>IF(AND(F476&gt;0,ABS(E476)&gt;=1E-14),SUMPRODUCT(Calc!$K$3:$K$22,(Calc!$I$3:$I$22-G476-F476*EXP(A476*Calc!$L$3:$L$22))^2),1E+300)</f>
        <v/>
      </c>
    </row>
    <row r="477">
      <c r="A477">
        <f>MAX(0.0001,$K$411-0.001)+($K$411+0.001-MAX(0.0001,$K$411-0.001))*24/40</f>
        <v/>
      </c>
      <c r="B477">
        <f>SUMPRODUCT(Calc!$K$3:$K$22,EXP(A477*Calc!$L$3:$L$22))</f>
        <v/>
      </c>
      <c r="C477">
        <f>SUMPRODUCT(Calc!$K$3:$K$22,EXP(2*A477*Calc!$L$3:$L$22))</f>
        <v/>
      </c>
      <c r="D477">
        <f>SUMPRODUCT(Calc!$K$3:$K$22,EXP(A477*Calc!$L$3:$L$22),Calc!$I$3:$I$22)</f>
        <v/>
      </c>
      <c r="E477">
        <f>k_n*C477-B477^2</f>
        <v/>
      </c>
      <c r="F477">
        <f>IF(ABS(E477)&lt;1E-14,0,(k_n*D477-B477*k_n*k_ymean)/E477)</f>
        <v/>
      </c>
      <c r="G477">
        <f>IF(k_n&gt;0,(k_n*k_ymean-F477*B477)/k_n,0)</f>
        <v/>
      </c>
      <c r="H477">
        <f>IF(AND(F477&gt;0,ABS(E477)&gt;=1E-14),SUMPRODUCT(Calc!$K$3:$K$22,(Calc!$I$3:$I$22-G477-F477*EXP(A477*Calc!$L$3:$L$22))^2),1E+300)</f>
        <v/>
      </c>
    </row>
    <row r="478">
      <c r="A478">
        <f>MAX(0.0001,$K$411-0.001)+($K$411+0.001-MAX(0.0001,$K$411-0.001))*25/40</f>
        <v/>
      </c>
      <c r="B478">
        <f>SUMPRODUCT(Calc!$K$3:$K$22,EXP(A478*Calc!$L$3:$L$22))</f>
        <v/>
      </c>
      <c r="C478">
        <f>SUMPRODUCT(Calc!$K$3:$K$22,EXP(2*A478*Calc!$L$3:$L$22))</f>
        <v/>
      </c>
      <c r="D478">
        <f>SUMPRODUCT(Calc!$K$3:$K$22,EXP(A478*Calc!$L$3:$L$22),Calc!$I$3:$I$22)</f>
        <v/>
      </c>
      <c r="E478">
        <f>k_n*C478-B478^2</f>
        <v/>
      </c>
      <c r="F478">
        <f>IF(ABS(E478)&lt;1E-14,0,(k_n*D478-B478*k_n*k_ymean)/E478)</f>
        <v/>
      </c>
      <c r="G478">
        <f>IF(k_n&gt;0,(k_n*k_ymean-F478*B478)/k_n,0)</f>
        <v/>
      </c>
      <c r="H478">
        <f>IF(AND(F478&gt;0,ABS(E478)&gt;=1E-14),SUMPRODUCT(Calc!$K$3:$K$22,(Calc!$I$3:$I$22-G478-F478*EXP(A478*Calc!$L$3:$L$22))^2),1E+300)</f>
        <v/>
      </c>
    </row>
    <row r="479">
      <c r="A479">
        <f>MAX(0.0001,$K$411-0.001)+($K$411+0.001-MAX(0.0001,$K$411-0.001))*26/40</f>
        <v/>
      </c>
      <c r="B479">
        <f>SUMPRODUCT(Calc!$K$3:$K$22,EXP(A479*Calc!$L$3:$L$22))</f>
        <v/>
      </c>
      <c r="C479">
        <f>SUMPRODUCT(Calc!$K$3:$K$22,EXP(2*A479*Calc!$L$3:$L$22))</f>
        <v/>
      </c>
      <c r="D479">
        <f>SUMPRODUCT(Calc!$K$3:$K$22,EXP(A479*Calc!$L$3:$L$22),Calc!$I$3:$I$22)</f>
        <v/>
      </c>
      <c r="E479">
        <f>k_n*C479-B479^2</f>
        <v/>
      </c>
      <c r="F479">
        <f>IF(ABS(E479)&lt;1E-14,0,(k_n*D479-B479*k_n*k_ymean)/E479)</f>
        <v/>
      </c>
      <c r="G479">
        <f>IF(k_n&gt;0,(k_n*k_ymean-F479*B479)/k_n,0)</f>
        <v/>
      </c>
      <c r="H479">
        <f>IF(AND(F479&gt;0,ABS(E479)&gt;=1E-14),SUMPRODUCT(Calc!$K$3:$K$22,(Calc!$I$3:$I$22-G479-F479*EXP(A479*Calc!$L$3:$L$22))^2),1E+300)</f>
        <v/>
      </c>
    </row>
    <row r="480">
      <c r="A480">
        <f>MAX(0.0001,$K$411-0.001)+($K$411+0.001-MAX(0.0001,$K$411-0.001))*27/40</f>
        <v/>
      </c>
      <c r="B480">
        <f>SUMPRODUCT(Calc!$K$3:$K$22,EXP(A480*Calc!$L$3:$L$22))</f>
        <v/>
      </c>
      <c r="C480">
        <f>SUMPRODUCT(Calc!$K$3:$K$22,EXP(2*A480*Calc!$L$3:$L$22))</f>
        <v/>
      </c>
      <c r="D480">
        <f>SUMPRODUCT(Calc!$K$3:$K$22,EXP(A480*Calc!$L$3:$L$22),Calc!$I$3:$I$22)</f>
        <v/>
      </c>
      <c r="E480">
        <f>k_n*C480-B480^2</f>
        <v/>
      </c>
      <c r="F480">
        <f>IF(ABS(E480)&lt;1E-14,0,(k_n*D480-B480*k_n*k_ymean)/E480)</f>
        <v/>
      </c>
      <c r="G480">
        <f>IF(k_n&gt;0,(k_n*k_ymean-F480*B480)/k_n,0)</f>
        <v/>
      </c>
      <c r="H480">
        <f>IF(AND(F480&gt;0,ABS(E480)&gt;=1E-14),SUMPRODUCT(Calc!$K$3:$K$22,(Calc!$I$3:$I$22-G480-F480*EXP(A480*Calc!$L$3:$L$22))^2),1E+300)</f>
        <v/>
      </c>
    </row>
    <row r="481">
      <c r="A481">
        <f>MAX(0.0001,$K$411-0.001)+($K$411+0.001-MAX(0.0001,$K$411-0.001))*28/40</f>
        <v/>
      </c>
      <c r="B481">
        <f>SUMPRODUCT(Calc!$K$3:$K$22,EXP(A481*Calc!$L$3:$L$22))</f>
        <v/>
      </c>
      <c r="C481">
        <f>SUMPRODUCT(Calc!$K$3:$K$22,EXP(2*A481*Calc!$L$3:$L$22))</f>
        <v/>
      </c>
      <c r="D481">
        <f>SUMPRODUCT(Calc!$K$3:$K$22,EXP(A481*Calc!$L$3:$L$22),Calc!$I$3:$I$22)</f>
        <v/>
      </c>
      <c r="E481">
        <f>k_n*C481-B481^2</f>
        <v/>
      </c>
      <c r="F481">
        <f>IF(ABS(E481)&lt;1E-14,0,(k_n*D481-B481*k_n*k_ymean)/E481)</f>
        <v/>
      </c>
      <c r="G481">
        <f>IF(k_n&gt;0,(k_n*k_ymean-F481*B481)/k_n,0)</f>
        <v/>
      </c>
      <c r="H481">
        <f>IF(AND(F481&gt;0,ABS(E481)&gt;=1E-14),SUMPRODUCT(Calc!$K$3:$K$22,(Calc!$I$3:$I$22-G481-F481*EXP(A481*Calc!$L$3:$L$22))^2),1E+300)</f>
        <v/>
      </c>
    </row>
    <row r="482">
      <c r="A482">
        <f>MAX(0.0001,$K$411-0.001)+($K$411+0.001-MAX(0.0001,$K$411-0.001))*29/40</f>
        <v/>
      </c>
      <c r="B482">
        <f>SUMPRODUCT(Calc!$K$3:$K$22,EXP(A482*Calc!$L$3:$L$22))</f>
        <v/>
      </c>
      <c r="C482">
        <f>SUMPRODUCT(Calc!$K$3:$K$22,EXP(2*A482*Calc!$L$3:$L$22))</f>
        <v/>
      </c>
      <c r="D482">
        <f>SUMPRODUCT(Calc!$K$3:$K$22,EXP(A482*Calc!$L$3:$L$22),Calc!$I$3:$I$22)</f>
        <v/>
      </c>
      <c r="E482">
        <f>k_n*C482-B482^2</f>
        <v/>
      </c>
      <c r="F482">
        <f>IF(ABS(E482)&lt;1E-14,0,(k_n*D482-B482*k_n*k_ymean)/E482)</f>
        <v/>
      </c>
      <c r="G482">
        <f>IF(k_n&gt;0,(k_n*k_ymean-F482*B482)/k_n,0)</f>
        <v/>
      </c>
      <c r="H482">
        <f>IF(AND(F482&gt;0,ABS(E482)&gt;=1E-14),SUMPRODUCT(Calc!$K$3:$K$22,(Calc!$I$3:$I$22-G482-F482*EXP(A482*Calc!$L$3:$L$22))^2),1E+300)</f>
        <v/>
      </c>
    </row>
    <row r="483">
      <c r="A483">
        <f>MAX(0.0001,$K$411-0.001)+($K$411+0.001-MAX(0.0001,$K$411-0.001))*30/40</f>
        <v/>
      </c>
      <c r="B483">
        <f>SUMPRODUCT(Calc!$K$3:$K$22,EXP(A483*Calc!$L$3:$L$22))</f>
        <v/>
      </c>
      <c r="C483">
        <f>SUMPRODUCT(Calc!$K$3:$K$22,EXP(2*A483*Calc!$L$3:$L$22))</f>
        <v/>
      </c>
      <c r="D483">
        <f>SUMPRODUCT(Calc!$K$3:$K$22,EXP(A483*Calc!$L$3:$L$22),Calc!$I$3:$I$22)</f>
        <v/>
      </c>
      <c r="E483">
        <f>k_n*C483-B483^2</f>
        <v/>
      </c>
      <c r="F483">
        <f>IF(ABS(E483)&lt;1E-14,0,(k_n*D483-B483*k_n*k_ymean)/E483)</f>
        <v/>
      </c>
      <c r="G483">
        <f>IF(k_n&gt;0,(k_n*k_ymean-F483*B483)/k_n,0)</f>
        <v/>
      </c>
      <c r="H483">
        <f>IF(AND(F483&gt;0,ABS(E483)&gt;=1E-14),SUMPRODUCT(Calc!$K$3:$K$22,(Calc!$I$3:$I$22-G483-F483*EXP(A483*Calc!$L$3:$L$22))^2),1E+300)</f>
        <v/>
      </c>
    </row>
    <row r="484">
      <c r="A484">
        <f>MAX(0.0001,$K$411-0.001)+($K$411+0.001-MAX(0.0001,$K$411-0.001))*31/40</f>
        <v/>
      </c>
      <c r="B484">
        <f>SUMPRODUCT(Calc!$K$3:$K$22,EXP(A484*Calc!$L$3:$L$22))</f>
        <v/>
      </c>
      <c r="C484">
        <f>SUMPRODUCT(Calc!$K$3:$K$22,EXP(2*A484*Calc!$L$3:$L$22))</f>
        <v/>
      </c>
      <c r="D484">
        <f>SUMPRODUCT(Calc!$K$3:$K$22,EXP(A484*Calc!$L$3:$L$22),Calc!$I$3:$I$22)</f>
        <v/>
      </c>
      <c r="E484">
        <f>k_n*C484-B484^2</f>
        <v/>
      </c>
      <c r="F484">
        <f>IF(ABS(E484)&lt;1E-14,0,(k_n*D484-B484*k_n*k_ymean)/E484)</f>
        <v/>
      </c>
      <c r="G484">
        <f>IF(k_n&gt;0,(k_n*k_ymean-F484*B484)/k_n,0)</f>
        <v/>
      </c>
      <c r="H484">
        <f>IF(AND(F484&gt;0,ABS(E484)&gt;=1E-14),SUMPRODUCT(Calc!$K$3:$K$22,(Calc!$I$3:$I$22-G484-F484*EXP(A484*Calc!$L$3:$L$22))^2),1E+300)</f>
        <v/>
      </c>
    </row>
    <row r="485">
      <c r="A485">
        <f>MAX(0.0001,$K$411-0.001)+($K$411+0.001-MAX(0.0001,$K$411-0.001))*32/40</f>
        <v/>
      </c>
      <c r="B485">
        <f>SUMPRODUCT(Calc!$K$3:$K$22,EXP(A485*Calc!$L$3:$L$22))</f>
        <v/>
      </c>
      <c r="C485">
        <f>SUMPRODUCT(Calc!$K$3:$K$22,EXP(2*A485*Calc!$L$3:$L$22))</f>
        <v/>
      </c>
      <c r="D485">
        <f>SUMPRODUCT(Calc!$K$3:$K$22,EXP(A485*Calc!$L$3:$L$22),Calc!$I$3:$I$22)</f>
        <v/>
      </c>
      <c r="E485">
        <f>k_n*C485-B485^2</f>
        <v/>
      </c>
      <c r="F485">
        <f>IF(ABS(E485)&lt;1E-14,0,(k_n*D485-B485*k_n*k_ymean)/E485)</f>
        <v/>
      </c>
      <c r="G485">
        <f>IF(k_n&gt;0,(k_n*k_ymean-F485*B485)/k_n,0)</f>
        <v/>
      </c>
      <c r="H485">
        <f>IF(AND(F485&gt;0,ABS(E485)&gt;=1E-14),SUMPRODUCT(Calc!$K$3:$K$22,(Calc!$I$3:$I$22-G485-F485*EXP(A485*Calc!$L$3:$L$22))^2),1E+300)</f>
        <v/>
      </c>
    </row>
    <row r="486">
      <c r="A486">
        <f>MAX(0.0001,$K$411-0.001)+($K$411+0.001-MAX(0.0001,$K$411-0.001))*33/40</f>
        <v/>
      </c>
      <c r="B486">
        <f>SUMPRODUCT(Calc!$K$3:$K$22,EXP(A486*Calc!$L$3:$L$22))</f>
        <v/>
      </c>
      <c r="C486">
        <f>SUMPRODUCT(Calc!$K$3:$K$22,EXP(2*A486*Calc!$L$3:$L$22))</f>
        <v/>
      </c>
      <c r="D486">
        <f>SUMPRODUCT(Calc!$K$3:$K$22,EXP(A486*Calc!$L$3:$L$22),Calc!$I$3:$I$22)</f>
        <v/>
      </c>
      <c r="E486">
        <f>k_n*C486-B486^2</f>
        <v/>
      </c>
      <c r="F486">
        <f>IF(ABS(E486)&lt;1E-14,0,(k_n*D486-B486*k_n*k_ymean)/E486)</f>
        <v/>
      </c>
      <c r="G486">
        <f>IF(k_n&gt;0,(k_n*k_ymean-F486*B486)/k_n,0)</f>
        <v/>
      </c>
      <c r="H486">
        <f>IF(AND(F486&gt;0,ABS(E486)&gt;=1E-14),SUMPRODUCT(Calc!$K$3:$K$22,(Calc!$I$3:$I$22-G486-F486*EXP(A486*Calc!$L$3:$L$22))^2),1E+300)</f>
        <v/>
      </c>
    </row>
    <row r="487">
      <c r="A487">
        <f>MAX(0.0001,$K$411-0.001)+($K$411+0.001-MAX(0.0001,$K$411-0.001))*34/40</f>
        <v/>
      </c>
      <c r="B487">
        <f>SUMPRODUCT(Calc!$K$3:$K$22,EXP(A487*Calc!$L$3:$L$22))</f>
        <v/>
      </c>
      <c r="C487">
        <f>SUMPRODUCT(Calc!$K$3:$K$22,EXP(2*A487*Calc!$L$3:$L$22))</f>
        <v/>
      </c>
      <c r="D487">
        <f>SUMPRODUCT(Calc!$K$3:$K$22,EXP(A487*Calc!$L$3:$L$22),Calc!$I$3:$I$22)</f>
        <v/>
      </c>
      <c r="E487">
        <f>k_n*C487-B487^2</f>
        <v/>
      </c>
      <c r="F487">
        <f>IF(ABS(E487)&lt;1E-14,0,(k_n*D487-B487*k_n*k_ymean)/E487)</f>
        <v/>
      </c>
      <c r="G487">
        <f>IF(k_n&gt;0,(k_n*k_ymean-F487*B487)/k_n,0)</f>
        <v/>
      </c>
      <c r="H487">
        <f>IF(AND(F487&gt;0,ABS(E487)&gt;=1E-14),SUMPRODUCT(Calc!$K$3:$K$22,(Calc!$I$3:$I$22-G487-F487*EXP(A487*Calc!$L$3:$L$22))^2),1E+300)</f>
        <v/>
      </c>
    </row>
    <row r="488">
      <c r="A488">
        <f>MAX(0.0001,$K$411-0.001)+($K$411+0.001-MAX(0.0001,$K$411-0.001))*35/40</f>
        <v/>
      </c>
      <c r="B488">
        <f>SUMPRODUCT(Calc!$K$3:$K$22,EXP(A488*Calc!$L$3:$L$22))</f>
        <v/>
      </c>
      <c r="C488">
        <f>SUMPRODUCT(Calc!$K$3:$K$22,EXP(2*A488*Calc!$L$3:$L$22))</f>
        <v/>
      </c>
      <c r="D488">
        <f>SUMPRODUCT(Calc!$K$3:$K$22,EXP(A488*Calc!$L$3:$L$22),Calc!$I$3:$I$22)</f>
        <v/>
      </c>
      <c r="E488">
        <f>k_n*C488-B488^2</f>
        <v/>
      </c>
      <c r="F488">
        <f>IF(ABS(E488)&lt;1E-14,0,(k_n*D488-B488*k_n*k_ymean)/E488)</f>
        <v/>
      </c>
      <c r="G488">
        <f>IF(k_n&gt;0,(k_n*k_ymean-F488*B488)/k_n,0)</f>
        <v/>
      </c>
      <c r="H488">
        <f>IF(AND(F488&gt;0,ABS(E488)&gt;=1E-14),SUMPRODUCT(Calc!$K$3:$K$22,(Calc!$I$3:$I$22-G488-F488*EXP(A488*Calc!$L$3:$L$22))^2),1E+300)</f>
        <v/>
      </c>
    </row>
    <row r="489">
      <c r="A489">
        <f>MAX(0.0001,$K$411-0.001)+($K$411+0.001-MAX(0.0001,$K$411-0.001))*36/40</f>
        <v/>
      </c>
      <c r="B489">
        <f>SUMPRODUCT(Calc!$K$3:$K$22,EXP(A489*Calc!$L$3:$L$22))</f>
        <v/>
      </c>
      <c r="C489">
        <f>SUMPRODUCT(Calc!$K$3:$K$22,EXP(2*A489*Calc!$L$3:$L$22))</f>
        <v/>
      </c>
      <c r="D489">
        <f>SUMPRODUCT(Calc!$K$3:$K$22,EXP(A489*Calc!$L$3:$L$22),Calc!$I$3:$I$22)</f>
        <v/>
      </c>
      <c r="E489">
        <f>k_n*C489-B489^2</f>
        <v/>
      </c>
      <c r="F489">
        <f>IF(ABS(E489)&lt;1E-14,0,(k_n*D489-B489*k_n*k_ymean)/E489)</f>
        <v/>
      </c>
      <c r="G489">
        <f>IF(k_n&gt;0,(k_n*k_ymean-F489*B489)/k_n,0)</f>
        <v/>
      </c>
      <c r="H489">
        <f>IF(AND(F489&gt;0,ABS(E489)&gt;=1E-14),SUMPRODUCT(Calc!$K$3:$K$22,(Calc!$I$3:$I$22-G489-F489*EXP(A489*Calc!$L$3:$L$22))^2),1E+300)</f>
        <v/>
      </c>
    </row>
    <row r="490">
      <c r="A490">
        <f>MAX(0.0001,$K$411-0.001)+($K$411+0.001-MAX(0.0001,$K$411-0.001))*37/40</f>
        <v/>
      </c>
      <c r="B490">
        <f>SUMPRODUCT(Calc!$K$3:$K$22,EXP(A490*Calc!$L$3:$L$22))</f>
        <v/>
      </c>
      <c r="C490">
        <f>SUMPRODUCT(Calc!$K$3:$K$22,EXP(2*A490*Calc!$L$3:$L$22))</f>
        <v/>
      </c>
      <c r="D490">
        <f>SUMPRODUCT(Calc!$K$3:$K$22,EXP(A490*Calc!$L$3:$L$22),Calc!$I$3:$I$22)</f>
        <v/>
      </c>
      <c r="E490">
        <f>k_n*C490-B490^2</f>
        <v/>
      </c>
      <c r="F490">
        <f>IF(ABS(E490)&lt;1E-14,0,(k_n*D490-B490*k_n*k_ymean)/E490)</f>
        <v/>
      </c>
      <c r="G490">
        <f>IF(k_n&gt;0,(k_n*k_ymean-F490*B490)/k_n,0)</f>
        <v/>
      </c>
      <c r="H490">
        <f>IF(AND(F490&gt;0,ABS(E490)&gt;=1E-14),SUMPRODUCT(Calc!$K$3:$K$22,(Calc!$I$3:$I$22-G490-F490*EXP(A490*Calc!$L$3:$L$22))^2),1E+300)</f>
        <v/>
      </c>
    </row>
    <row r="491">
      <c r="A491">
        <f>MAX(0.0001,$K$411-0.001)+($K$411+0.001-MAX(0.0001,$K$411-0.001))*38/40</f>
        <v/>
      </c>
      <c r="B491">
        <f>SUMPRODUCT(Calc!$K$3:$K$22,EXP(A491*Calc!$L$3:$L$22))</f>
        <v/>
      </c>
      <c r="C491">
        <f>SUMPRODUCT(Calc!$K$3:$K$22,EXP(2*A491*Calc!$L$3:$L$22))</f>
        <v/>
      </c>
      <c r="D491">
        <f>SUMPRODUCT(Calc!$K$3:$K$22,EXP(A491*Calc!$L$3:$L$22),Calc!$I$3:$I$22)</f>
        <v/>
      </c>
      <c r="E491">
        <f>k_n*C491-B491^2</f>
        <v/>
      </c>
      <c r="F491">
        <f>IF(ABS(E491)&lt;1E-14,0,(k_n*D491-B491*k_n*k_ymean)/E491)</f>
        <v/>
      </c>
      <c r="G491">
        <f>IF(k_n&gt;0,(k_n*k_ymean-F491*B491)/k_n,0)</f>
        <v/>
      </c>
      <c r="H491">
        <f>IF(AND(F491&gt;0,ABS(E491)&gt;=1E-14),SUMPRODUCT(Calc!$K$3:$K$22,(Calc!$I$3:$I$22-G491-F491*EXP(A491*Calc!$L$3:$L$22))^2),1E+300)</f>
        <v/>
      </c>
    </row>
    <row r="492">
      <c r="A492">
        <f>MAX(0.0001,$K$411-0.001)+($K$411+0.001-MAX(0.0001,$K$411-0.001))*39/40</f>
        <v/>
      </c>
      <c r="B492">
        <f>SUMPRODUCT(Calc!$K$3:$K$22,EXP(A492*Calc!$L$3:$L$22))</f>
        <v/>
      </c>
      <c r="C492">
        <f>SUMPRODUCT(Calc!$K$3:$K$22,EXP(2*A492*Calc!$L$3:$L$22))</f>
        <v/>
      </c>
      <c r="D492">
        <f>SUMPRODUCT(Calc!$K$3:$K$22,EXP(A492*Calc!$L$3:$L$22),Calc!$I$3:$I$22)</f>
        <v/>
      </c>
      <c r="E492">
        <f>k_n*C492-B492^2</f>
        <v/>
      </c>
      <c r="F492">
        <f>IF(ABS(E492)&lt;1E-14,0,(k_n*D492-B492*k_n*k_ymean)/E492)</f>
        <v/>
      </c>
      <c r="G492">
        <f>IF(k_n&gt;0,(k_n*k_ymean-F492*B492)/k_n,0)</f>
        <v/>
      </c>
      <c r="H492">
        <f>IF(AND(F492&gt;0,ABS(E492)&gt;=1E-14),SUMPRODUCT(Calc!$K$3:$K$22,(Calc!$I$3:$I$22-G492-F492*EXP(A492*Calc!$L$3:$L$22))^2),1E+300)</f>
        <v/>
      </c>
    </row>
    <row r="493">
      <c r="A493">
        <f>MAX(0.0001,$K$411-0.001)+($K$411+0.001-MAX(0.0001,$K$411-0.001))*40/40</f>
        <v/>
      </c>
      <c r="B493">
        <f>SUMPRODUCT(Calc!$K$3:$K$22,EXP(A493*Calc!$L$3:$L$22))</f>
        <v/>
      </c>
      <c r="C493">
        <f>SUMPRODUCT(Calc!$K$3:$K$22,EXP(2*A493*Calc!$L$3:$L$22))</f>
        <v/>
      </c>
      <c r="D493">
        <f>SUMPRODUCT(Calc!$K$3:$K$22,EXP(A493*Calc!$L$3:$L$22),Calc!$I$3:$I$22)</f>
        <v/>
      </c>
      <c r="E493">
        <f>k_n*C493-B493^2</f>
        <v/>
      </c>
      <c r="F493">
        <f>IF(ABS(E493)&lt;1E-14,0,(k_n*D493-B493*k_n*k_ymean)/E493)</f>
        <v/>
      </c>
      <c r="G493">
        <f>IF(k_n&gt;0,(k_n*k_ymean-F493*B493)/k_n,0)</f>
        <v/>
      </c>
      <c r="H493">
        <f>IF(AND(F493&gt;0,ABS(E493)&gt;=1E-14),SUMPRODUCT(Calc!$K$3:$K$22,(Calc!$I$3:$I$22-G493-F493*EXP(A493*Calc!$L$3:$L$22))^2),1E+300)</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923"/>
  <sheetViews>
    <sheetView showGridLines="0" workbookViewId="0">
      <selection activeCell="A1" sqref="A1"/>
    </sheetView>
  </sheetViews>
  <sheetFormatPr baseColWidth="8" defaultRowHeight="15"/>
  <sheetData>
    <row r="1">
      <c r="A1" s="57" t="inlineStr">
        <is>
          <t>LTP-Konzept nach Hofmann/Pokan: zwei sequenzielle Breakpoint-Regressionen (Raster 400 + Verfeinerung 40)</t>
        </is>
      </c>
    </row>
    <row r="3">
      <c r="A3" s="57" t="inlineStr">
        <is>
          <t>Parameter</t>
        </is>
      </c>
    </row>
    <row r="4">
      <c r="A4" t="inlineStr">
        <is>
          <t>Stufen im Suchbereich bis ROI</t>
        </is>
      </c>
      <c r="B4">
        <f>SUMPRODUCT(Calc!$K$3:$K$22*(Calc!$G$3:$G$22&lt;=k_roi*k_hi+1E-9))</f>
        <v/>
      </c>
      <c r="D4" t="inlineStr">
        <is>
          <t>Stufen &lt; LTP1</t>
        </is>
      </c>
      <c r="E4">
        <f>SUMPRODUCT(Calc!$K$3:$K$22*(Calc!$G$3:$G$22&lt;LTP!$B$463))</f>
        <v/>
      </c>
      <c r="G4" t="inlineStr">
        <is>
          <t>k_h1ok</t>
        </is>
      </c>
      <c r="H4">
        <f>AND(k_n&gt;=5,LTP!$B$461)</f>
        <v/>
      </c>
    </row>
    <row r="5">
      <c r="A5" t="inlineStr">
        <is>
          <t>m1 (Stufen für LTP1)</t>
        </is>
      </c>
      <c r="B5">
        <f>MIN(k_n,MAX(B4,MIN(4,k_n)))</f>
        <v/>
      </c>
      <c r="D5" t="inlineStr">
        <is>
          <t>Start s2</t>
        </is>
      </c>
      <c r="E5">
        <f>MIN(E4+1,MAX(1,k_n-3))</f>
        <v/>
      </c>
      <c r="G5" t="inlineStr">
        <is>
          <t>k_hk1</t>
        </is>
      </c>
      <c r="H5">
        <f>LTP!$B$463</f>
        <v/>
      </c>
    </row>
    <row r="6">
      <c r="A6" t="inlineStr">
        <is>
          <t>Erweiterung LTP1</t>
        </is>
      </c>
      <c r="B6">
        <f>B5-B4</f>
        <v/>
      </c>
      <c r="D6" t="inlineStr">
        <is>
          <t>Erweiterung LTP2</t>
        </is>
      </c>
      <c r="E6">
        <f>E4+1-E5</f>
        <v/>
      </c>
      <c r="G6" t="inlineStr">
        <is>
          <t>k_h2ok</t>
        </is>
      </c>
      <c r="H6">
        <f>AND(k_h1ok,LTP!$B$919,LTP!$B$921&gt;LTP!$B$463)</f>
        <v/>
      </c>
    </row>
    <row r="7">
      <c r="G7" t="inlineStr">
        <is>
          <t>k_hk2</t>
        </is>
      </c>
      <c r="H7">
        <f>LTP!$B$921</f>
        <v/>
      </c>
    </row>
    <row r="9">
      <c r="A9" s="57" t="inlineStr">
        <is>
          <t>LTP1-Suche (erste Stufe bis ROI)</t>
        </is>
      </c>
    </row>
    <row r="10">
      <c r="B10" s="57" t="inlineStr">
        <is>
          <t>nm</t>
        </is>
      </c>
      <c r="C10" s="57" t="inlineStr">
        <is>
          <t>Sx</t>
        </is>
      </c>
      <c r="D10" s="57" t="inlineStr">
        <is>
          <t>Sy</t>
        </is>
      </c>
      <c r="E10" s="57" t="inlineStr">
        <is>
          <t>Sxx</t>
        </is>
      </c>
      <c r="F10" s="57" t="inlineStr">
        <is>
          <t>Sxy</t>
        </is>
      </c>
      <c r="G10" s="57" t="inlineStr">
        <is>
          <t>Syy</t>
        </is>
      </c>
      <c r="H10" s="57" t="inlineStr">
        <is>
          <t>Cxx</t>
        </is>
      </c>
      <c r="I10" s="57" t="inlineStr">
        <is>
          <t>Cxy</t>
        </is>
      </c>
      <c r="J10" s="57" t="inlineStr">
        <is>
          <t>Cyy</t>
        </is>
      </c>
      <c r="K10" s="57" t="inlineStr">
        <is>
          <t>lo</t>
        </is>
      </c>
      <c r="L10" s="57" t="inlineStr">
        <is>
          <t>hi</t>
        </is>
      </c>
    </row>
    <row r="11">
      <c r="B11">
        <f>SUMPRODUCT((Calc!$F$3:$F$22&lt;=LTP!$B$5)*Calc!$K$3:$K$22)</f>
        <v/>
      </c>
      <c r="C11">
        <f>SUMPRODUCT((Calc!$F$3:$F$22&lt;=LTP!$B$5)*Calc!$K$3:$K$22,Calc!$G$3:$G$22)</f>
        <v/>
      </c>
      <c r="D11">
        <f>SUMPRODUCT((Calc!$F$3:$F$22&lt;=LTP!$B$5)*Calc!$K$3:$K$22,Calc!$I$3:$I$22)</f>
        <v/>
      </c>
      <c r="E11">
        <f>SUMPRODUCT((Calc!$F$3:$F$22&lt;=LTP!$B$5)*Calc!$K$3:$K$22,Calc!$G$3:$G$22^2)</f>
        <v/>
      </c>
      <c r="F11">
        <f>SUMPRODUCT((Calc!$F$3:$F$22&lt;=LTP!$B$5)*Calc!$K$3:$K$22,Calc!$G$3:$G$22,Calc!$I$3:$I$22)</f>
        <v/>
      </c>
      <c r="G11">
        <f>SUMPRODUCT((Calc!$F$3:$F$22&lt;=LTP!$B$5)*Calc!$K$3:$K$22,Calc!$I$3:$I$22^2)</f>
        <v/>
      </c>
      <c r="H11">
        <f>IF($B$11&gt;0,$E$11-$C$11^2/$B$11,0)</f>
        <v/>
      </c>
      <c r="I11">
        <f>IF($B$11&gt;0,$F$11-$C$11*$D$11/$B$11,0)</f>
        <v/>
      </c>
      <c r="J11">
        <f>IF($B$11&gt;0,$G$11-$D$11^2/$B$11,0)</f>
        <v/>
      </c>
      <c r="K11">
        <f>Calc!$G$3</f>
        <v/>
      </c>
      <c r="L11">
        <f>INDEX(Calc!$G$3:$G$22,LTP!$B$5)</f>
        <v/>
      </c>
    </row>
    <row r="13">
      <c r="A13" s="57" t="inlineStr">
        <is>
          <t>k</t>
        </is>
      </c>
      <c r="B13" s="57" t="inlineStr">
        <is>
          <t>L</t>
        </is>
      </c>
      <c r="C13" s="57" t="inlineStr">
        <is>
          <t>gültig</t>
        </is>
      </c>
      <c r="D13" s="57" t="inlineStr">
        <is>
          <t>Sh</t>
        </is>
      </c>
      <c r="E13" s="57" t="inlineStr">
        <is>
          <t>Shh</t>
        </is>
      </c>
      <c r="F13" s="57" t="inlineStr">
        <is>
          <t>Sxh</t>
        </is>
      </c>
      <c r="G13" s="57" t="inlineStr">
        <is>
          <t>Shy</t>
        </is>
      </c>
      <c r="H13" s="57" t="inlineStr">
        <is>
          <t>Cxh</t>
        </is>
      </c>
      <c r="I13" s="57" t="inlineStr">
        <is>
          <t>Chh</t>
        </is>
      </c>
      <c r="J13" s="57" t="inlineStr">
        <is>
          <t>Chy</t>
        </is>
      </c>
      <c r="K13" s="57" t="inlineStr">
        <is>
          <t>det</t>
        </is>
      </c>
      <c r="L13" s="57" t="inlineStr">
        <is>
          <t>c2</t>
        </is>
      </c>
      <c r="M13" s="57" t="inlineStr">
        <is>
          <t>c1</t>
        </is>
      </c>
      <c r="N13" s="57" t="inlineStr">
        <is>
          <t>SSE</t>
        </is>
      </c>
      <c r="O13" s="57" t="inlineStr">
        <is>
          <t>Score</t>
        </is>
      </c>
    </row>
    <row r="14">
      <c r="A14">
        <f>$K$11+($L$11-$K$11)*0/400</f>
        <v/>
      </c>
      <c r="B14">
        <f>SUMPRODUCT((Calc!$F$3:$F$22&lt;=LTP!$B$5)*Calc!$K$3:$K$22*(Calc!$G$3:$G$22&lt;=A14))</f>
        <v/>
      </c>
      <c r="C14">
        <f>AND(B14&gt;=2,$B$11-B14&gt;=2)</f>
        <v/>
      </c>
      <c r="D14">
        <f>SUMPRODUCT((Calc!$F$3:$F$22&lt;=LTP!$B$5)*Calc!$K$3:$K$22*(Calc!$G$3:$G$22&gt;A14)*(Calc!$G$3:$G$22-A14))</f>
        <v/>
      </c>
      <c r="E14">
        <f>SUMPRODUCT((Calc!$F$3:$F$22&lt;=LTP!$B$5)*Calc!$K$3:$K$22*(Calc!$G$3:$G$22&gt;A14)*(Calc!$G$3:$G$22-A14)^2)</f>
        <v/>
      </c>
      <c r="F14">
        <f>SUMPRODUCT((Calc!$F$3:$F$22&lt;=LTP!$B$5)*Calc!$K$3:$K$22*(Calc!$G$3:$G$22&gt;A14)*(Calc!$G$3:$G$22-A14)*Calc!$G$3:$G$22)</f>
        <v/>
      </c>
      <c r="G14">
        <f>SUMPRODUCT((Calc!$F$3:$F$22&lt;=LTP!$B$5)*Calc!$K$3:$K$22*(Calc!$G$3:$G$22&gt;A14)*(Calc!$G$3:$G$22-A14)*Calc!$I$3:$I$22)</f>
        <v/>
      </c>
      <c r="H14">
        <f>IF($B$11&gt;0,F14-$C$11*D14/$B$11,0)</f>
        <v/>
      </c>
      <c r="I14">
        <f>IF($B$11&gt;0,E14-D14^2/$B$11,0)</f>
        <v/>
      </c>
      <c r="J14">
        <f>IF($B$11&gt;0,G14-D14*$D$11/$B$11,0)</f>
        <v/>
      </c>
      <c r="K14">
        <f>$H$11*I14-H14^2</f>
        <v/>
      </c>
      <c r="L14">
        <f>IF(ABS(K14)&gt;1E-12,($H$11*J14-H14*$I$11)/K14,0)</f>
        <v/>
      </c>
      <c r="M14">
        <f>IF(ABS(K14)&gt;1E-12,(I14*$I$11-H14*J14)/K14,0)</f>
        <v/>
      </c>
      <c r="N14">
        <f>$J$11-M14*$I$11-L14*J14</f>
        <v/>
      </c>
      <c r="O14">
        <f>IF(AND(C14,ABS(K14)&gt;1E-12,L14&gt;0),N14,1E+300)</f>
        <v/>
      </c>
    </row>
    <row r="15">
      <c r="A15">
        <f>$K$11+($L$11-$K$11)*1/400</f>
        <v/>
      </c>
      <c r="B15">
        <f>SUMPRODUCT((Calc!$F$3:$F$22&lt;=LTP!$B$5)*Calc!$K$3:$K$22*(Calc!$G$3:$G$22&lt;=A15))</f>
        <v/>
      </c>
      <c r="C15">
        <f>AND(B15&gt;=2,$B$11-B15&gt;=2)</f>
        <v/>
      </c>
      <c r="D15">
        <f>SUMPRODUCT((Calc!$F$3:$F$22&lt;=LTP!$B$5)*Calc!$K$3:$K$22*(Calc!$G$3:$G$22&gt;A15)*(Calc!$G$3:$G$22-A15))</f>
        <v/>
      </c>
      <c r="E15">
        <f>SUMPRODUCT((Calc!$F$3:$F$22&lt;=LTP!$B$5)*Calc!$K$3:$K$22*(Calc!$G$3:$G$22&gt;A15)*(Calc!$G$3:$G$22-A15)^2)</f>
        <v/>
      </c>
      <c r="F15">
        <f>SUMPRODUCT((Calc!$F$3:$F$22&lt;=LTP!$B$5)*Calc!$K$3:$K$22*(Calc!$G$3:$G$22&gt;A15)*(Calc!$G$3:$G$22-A15)*Calc!$G$3:$G$22)</f>
        <v/>
      </c>
      <c r="G15">
        <f>SUMPRODUCT((Calc!$F$3:$F$22&lt;=LTP!$B$5)*Calc!$K$3:$K$22*(Calc!$G$3:$G$22&gt;A15)*(Calc!$G$3:$G$22-A15)*Calc!$I$3:$I$22)</f>
        <v/>
      </c>
      <c r="H15">
        <f>IF($B$11&gt;0,F15-$C$11*D15/$B$11,0)</f>
        <v/>
      </c>
      <c r="I15">
        <f>IF($B$11&gt;0,E15-D15^2/$B$11,0)</f>
        <v/>
      </c>
      <c r="J15">
        <f>IF($B$11&gt;0,G15-D15*$D$11/$B$11,0)</f>
        <v/>
      </c>
      <c r="K15">
        <f>$H$11*I15-H15^2</f>
        <v/>
      </c>
      <c r="L15">
        <f>IF(ABS(K15)&gt;1E-12,($H$11*J15-H15*$I$11)/K15,0)</f>
        <v/>
      </c>
      <c r="M15">
        <f>IF(ABS(K15)&gt;1E-12,(I15*$I$11-H15*J15)/K15,0)</f>
        <v/>
      </c>
      <c r="N15">
        <f>$J$11-M15*$I$11-L15*J15</f>
        <v/>
      </c>
      <c r="O15">
        <f>IF(AND(C15,ABS(K15)&gt;1E-12,L15&gt;0),N15,1E+300)</f>
        <v/>
      </c>
    </row>
    <row r="16">
      <c r="A16">
        <f>$K$11+($L$11-$K$11)*2/400</f>
        <v/>
      </c>
      <c r="B16">
        <f>SUMPRODUCT((Calc!$F$3:$F$22&lt;=LTP!$B$5)*Calc!$K$3:$K$22*(Calc!$G$3:$G$22&lt;=A16))</f>
        <v/>
      </c>
      <c r="C16">
        <f>AND(B16&gt;=2,$B$11-B16&gt;=2)</f>
        <v/>
      </c>
      <c r="D16">
        <f>SUMPRODUCT((Calc!$F$3:$F$22&lt;=LTP!$B$5)*Calc!$K$3:$K$22*(Calc!$G$3:$G$22&gt;A16)*(Calc!$G$3:$G$22-A16))</f>
        <v/>
      </c>
      <c r="E16">
        <f>SUMPRODUCT((Calc!$F$3:$F$22&lt;=LTP!$B$5)*Calc!$K$3:$K$22*(Calc!$G$3:$G$22&gt;A16)*(Calc!$G$3:$G$22-A16)^2)</f>
        <v/>
      </c>
      <c r="F16">
        <f>SUMPRODUCT((Calc!$F$3:$F$22&lt;=LTP!$B$5)*Calc!$K$3:$K$22*(Calc!$G$3:$G$22&gt;A16)*(Calc!$G$3:$G$22-A16)*Calc!$G$3:$G$22)</f>
        <v/>
      </c>
      <c r="G16">
        <f>SUMPRODUCT((Calc!$F$3:$F$22&lt;=LTP!$B$5)*Calc!$K$3:$K$22*(Calc!$G$3:$G$22&gt;A16)*(Calc!$G$3:$G$22-A16)*Calc!$I$3:$I$22)</f>
        <v/>
      </c>
      <c r="H16">
        <f>IF($B$11&gt;0,F16-$C$11*D16/$B$11,0)</f>
        <v/>
      </c>
      <c r="I16">
        <f>IF($B$11&gt;0,E16-D16^2/$B$11,0)</f>
        <v/>
      </c>
      <c r="J16">
        <f>IF($B$11&gt;0,G16-D16*$D$11/$B$11,0)</f>
        <v/>
      </c>
      <c r="K16">
        <f>$H$11*I16-H16^2</f>
        <v/>
      </c>
      <c r="L16">
        <f>IF(ABS(K16)&gt;1E-12,($H$11*J16-H16*$I$11)/K16,0)</f>
        <v/>
      </c>
      <c r="M16">
        <f>IF(ABS(K16)&gt;1E-12,(I16*$I$11-H16*J16)/K16,0)</f>
        <v/>
      </c>
      <c r="N16">
        <f>$J$11-M16*$I$11-L16*J16</f>
        <v/>
      </c>
      <c r="O16">
        <f>IF(AND(C16,ABS(K16)&gt;1E-12,L16&gt;0),N16,1E+300)</f>
        <v/>
      </c>
    </row>
    <row r="17">
      <c r="A17">
        <f>$K$11+($L$11-$K$11)*3/400</f>
        <v/>
      </c>
      <c r="B17">
        <f>SUMPRODUCT((Calc!$F$3:$F$22&lt;=LTP!$B$5)*Calc!$K$3:$K$22*(Calc!$G$3:$G$22&lt;=A17))</f>
        <v/>
      </c>
      <c r="C17">
        <f>AND(B17&gt;=2,$B$11-B17&gt;=2)</f>
        <v/>
      </c>
      <c r="D17">
        <f>SUMPRODUCT((Calc!$F$3:$F$22&lt;=LTP!$B$5)*Calc!$K$3:$K$22*(Calc!$G$3:$G$22&gt;A17)*(Calc!$G$3:$G$22-A17))</f>
        <v/>
      </c>
      <c r="E17">
        <f>SUMPRODUCT((Calc!$F$3:$F$22&lt;=LTP!$B$5)*Calc!$K$3:$K$22*(Calc!$G$3:$G$22&gt;A17)*(Calc!$G$3:$G$22-A17)^2)</f>
        <v/>
      </c>
      <c r="F17">
        <f>SUMPRODUCT((Calc!$F$3:$F$22&lt;=LTP!$B$5)*Calc!$K$3:$K$22*(Calc!$G$3:$G$22&gt;A17)*(Calc!$G$3:$G$22-A17)*Calc!$G$3:$G$22)</f>
        <v/>
      </c>
      <c r="G17">
        <f>SUMPRODUCT((Calc!$F$3:$F$22&lt;=LTP!$B$5)*Calc!$K$3:$K$22*(Calc!$G$3:$G$22&gt;A17)*(Calc!$G$3:$G$22-A17)*Calc!$I$3:$I$22)</f>
        <v/>
      </c>
      <c r="H17">
        <f>IF($B$11&gt;0,F17-$C$11*D17/$B$11,0)</f>
        <v/>
      </c>
      <c r="I17">
        <f>IF($B$11&gt;0,E17-D17^2/$B$11,0)</f>
        <v/>
      </c>
      <c r="J17">
        <f>IF($B$11&gt;0,G17-D17*$D$11/$B$11,0)</f>
        <v/>
      </c>
      <c r="K17">
        <f>$H$11*I17-H17^2</f>
        <v/>
      </c>
      <c r="L17">
        <f>IF(ABS(K17)&gt;1E-12,($H$11*J17-H17*$I$11)/K17,0)</f>
        <v/>
      </c>
      <c r="M17">
        <f>IF(ABS(K17)&gt;1E-12,(I17*$I$11-H17*J17)/K17,0)</f>
        <v/>
      </c>
      <c r="N17">
        <f>$J$11-M17*$I$11-L17*J17</f>
        <v/>
      </c>
      <c r="O17">
        <f>IF(AND(C17,ABS(K17)&gt;1E-12,L17&gt;0),N17,1E+300)</f>
        <v/>
      </c>
    </row>
    <row r="18">
      <c r="A18">
        <f>$K$11+($L$11-$K$11)*4/400</f>
        <v/>
      </c>
      <c r="B18">
        <f>SUMPRODUCT((Calc!$F$3:$F$22&lt;=LTP!$B$5)*Calc!$K$3:$K$22*(Calc!$G$3:$G$22&lt;=A18))</f>
        <v/>
      </c>
      <c r="C18">
        <f>AND(B18&gt;=2,$B$11-B18&gt;=2)</f>
        <v/>
      </c>
      <c r="D18">
        <f>SUMPRODUCT((Calc!$F$3:$F$22&lt;=LTP!$B$5)*Calc!$K$3:$K$22*(Calc!$G$3:$G$22&gt;A18)*(Calc!$G$3:$G$22-A18))</f>
        <v/>
      </c>
      <c r="E18">
        <f>SUMPRODUCT((Calc!$F$3:$F$22&lt;=LTP!$B$5)*Calc!$K$3:$K$22*(Calc!$G$3:$G$22&gt;A18)*(Calc!$G$3:$G$22-A18)^2)</f>
        <v/>
      </c>
      <c r="F18">
        <f>SUMPRODUCT((Calc!$F$3:$F$22&lt;=LTP!$B$5)*Calc!$K$3:$K$22*(Calc!$G$3:$G$22&gt;A18)*(Calc!$G$3:$G$22-A18)*Calc!$G$3:$G$22)</f>
        <v/>
      </c>
      <c r="G18">
        <f>SUMPRODUCT((Calc!$F$3:$F$22&lt;=LTP!$B$5)*Calc!$K$3:$K$22*(Calc!$G$3:$G$22&gt;A18)*(Calc!$G$3:$G$22-A18)*Calc!$I$3:$I$22)</f>
        <v/>
      </c>
      <c r="H18">
        <f>IF($B$11&gt;0,F18-$C$11*D18/$B$11,0)</f>
        <v/>
      </c>
      <c r="I18">
        <f>IF($B$11&gt;0,E18-D18^2/$B$11,0)</f>
        <v/>
      </c>
      <c r="J18">
        <f>IF($B$11&gt;0,G18-D18*$D$11/$B$11,0)</f>
        <v/>
      </c>
      <c r="K18">
        <f>$H$11*I18-H18^2</f>
        <v/>
      </c>
      <c r="L18">
        <f>IF(ABS(K18)&gt;1E-12,($H$11*J18-H18*$I$11)/K18,0)</f>
        <v/>
      </c>
      <c r="M18">
        <f>IF(ABS(K18)&gt;1E-12,(I18*$I$11-H18*J18)/K18,0)</f>
        <v/>
      </c>
      <c r="N18">
        <f>$J$11-M18*$I$11-L18*J18</f>
        <v/>
      </c>
      <c r="O18">
        <f>IF(AND(C18,ABS(K18)&gt;1E-12,L18&gt;0),N18,1E+300)</f>
        <v/>
      </c>
    </row>
    <row r="19">
      <c r="A19">
        <f>$K$11+($L$11-$K$11)*5/400</f>
        <v/>
      </c>
      <c r="B19">
        <f>SUMPRODUCT((Calc!$F$3:$F$22&lt;=LTP!$B$5)*Calc!$K$3:$K$22*(Calc!$G$3:$G$22&lt;=A19))</f>
        <v/>
      </c>
      <c r="C19">
        <f>AND(B19&gt;=2,$B$11-B19&gt;=2)</f>
        <v/>
      </c>
      <c r="D19">
        <f>SUMPRODUCT((Calc!$F$3:$F$22&lt;=LTP!$B$5)*Calc!$K$3:$K$22*(Calc!$G$3:$G$22&gt;A19)*(Calc!$G$3:$G$22-A19))</f>
        <v/>
      </c>
      <c r="E19">
        <f>SUMPRODUCT((Calc!$F$3:$F$22&lt;=LTP!$B$5)*Calc!$K$3:$K$22*(Calc!$G$3:$G$22&gt;A19)*(Calc!$G$3:$G$22-A19)^2)</f>
        <v/>
      </c>
      <c r="F19">
        <f>SUMPRODUCT((Calc!$F$3:$F$22&lt;=LTP!$B$5)*Calc!$K$3:$K$22*(Calc!$G$3:$G$22&gt;A19)*(Calc!$G$3:$G$22-A19)*Calc!$G$3:$G$22)</f>
        <v/>
      </c>
      <c r="G19">
        <f>SUMPRODUCT((Calc!$F$3:$F$22&lt;=LTP!$B$5)*Calc!$K$3:$K$22*(Calc!$G$3:$G$22&gt;A19)*(Calc!$G$3:$G$22-A19)*Calc!$I$3:$I$22)</f>
        <v/>
      </c>
      <c r="H19">
        <f>IF($B$11&gt;0,F19-$C$11*D19/$B$11,0)</f>
        <v/>
      </c>
      <c r="I19">
        <f>IF($B$11&gt;0,E19-D19^2/$B$11,0)</f>
        <v/>
      </c>
      <c r="J19">
        <f>IF($B$11&gt;0,G19-D19*$D$11/$B$11,0)</f>
        <v/>
      </c>
      <c r="K19">
        <f>$H$11*I19-H19^2</f>
        <v/>
      </c>
      <c r="L19">
        <f>IF(ABS(K19)&gt;1E-12,($H$11*J19-H19*$I$11)/K19,0)</f>
        <v/>
      </c>
      <c r="M19">
        <f>IF(ABS(K19)&gt;1E-12,(I19*$I$11-H19*J19)/K19,0)</f>
        <v/>
      </c>
      <c r="N19">
        <f>$J$11-M19*$I$11-L19*J19</f>
        <v/>
      </c>
      <c r="O19">
        <f>IF(AND(C19,ABS(K19)&gt;1E-12,L19&gt;0),N19,1E+300)</f>
        <v/>
      </c>
    </row>
    <row r="20">
      <c r="A20">
        <f>$K$11+($L$11-$K$11)*6/400</f>
        <v/>
      </c>
      <c r="B20">
        <f>SUMPRODUCT((Calc!$F$3:$F$22&lt;=LTP!$B$5)*Calc!$K$3:$K$22*(Calc!$G$3:$G$22&lt;=A20))</f>
        <v/>
      </c>
      <c r="C20">
        <f>AND(B20&gt;=2,$B$11-B20&gt;=2)</f>
        <v/>
      </c>
      <c r="D20">
        <f>SUMPRODUCT((Calc!$F$3:$F$22&lt;=LTP!$B$5)*Calc!$K$3:$K$22*(Calc!$G$3:$G$22&gt;A20)*(Calc!$G$3:$G$22-A20))</f>
        <v/>
      </c>
      <c r="E20">
        <f>SUMPRODUCT((Calc!$F$3:$F$22&lt;=LTP!$B$5)*Calc!$K$3:$K$22*(Calc!$G$3:$G$22&gt;A20)*(Calc!$G$3:$G$22-A20)^2)</f>
        <v/>
      </c>
      <c r="F20">
        <f>SUMPRODUCT((Calc!$F$3:$F$22&lt;=LTP!$B$5)*Calc!$K$3:$K$22*(Calc!$G$3:$G$22&gt;A20)*(Calc!$G$3:$G$22-A20)*Calc!$G$3:$G$22)</f>
        <v/>
      </c>
      <c r="G20">
        <f>SUMPRODUCT((Calc!$F$3:$F$22&lt;=LTP!$B$5)*Calc!$K$3:$K$22*(Calc!$G$3:$G$22&gt;A20)*(Calc!$G$3:$G$22-A20)*Calc!$I$3:$I$22)</f>
        <v/>
      </c>
      <c r="H20">
        <f>IF($B$11&gt;0,F20-$C$11*D20/$B$11,0)</f>
        <v/>
      </c>
      <c r="I20">
        <f>IF($B$11&gt;0,E20-D20^2/$B$11,0)</f>
        <v/>
      </c>
      <c r="J20">
        <f>IF($B$11&gt;0,G20-D20*$D$11/$B$11,0)</f>
        <v/>
      </c>
      <c r="K20">
        <f>$H$11*I20-H20^2</f>
        <v/>
      </c>
      <c r="L20">
        <f>IF(ABS(K20)&gt;1E-12,($H$11*J20-H20*$I$11)/K20,0)</f>
        <v/>
      </c>
      <c r="M20">
        <f>IF(ABS(K20)&gt;1E-12,(I20*$I$11-H20*J20)/K20,0)</f>
        <v/>
      </c>
      <c r="N20">
        <f>$J$11-M20*$I$11-L20*J20</f>
        <v/>
      </c>
      <c r="O20">
        <f>IF(AND(C20,ABS(K20)&gt;1E-12,L20&gt;0),N20,1E+300)</f>
        <v/>
      </c>
    </row>
    <row r="21">
      <c r="A21">
        <f>$K$11+($L$11-$K$11)*7/400</f>
        <v/>
      </c>
      <c r="B21">
        <f>SUMPRODUCT((Calc!$F$3:$F$22&lt;=LTP!$B$5)*Calc!$K$3:$K$22*(Calc!$G$3:$G$22&lt;=A21))</f>
        <v/>
      </c>
      <c r="C21">
        <f>AND(B21&gt;=2,$B$11-B21&gt;=2)</f>
        <v/>
      </c>
      <c r="D21">
        <f>SUMPRODUCT((Calc!$F$3:$F$22&lt;=LTP!$B$5)*Calc!$K$3:$K$22*(Calc!$G$3:$G$22&gt;A21)*(Calc!$G$3:$G$22-A21))</f>
        <v/>
      </c>
      <c r="E21">
        <f>SUMPRODUCT((Calc!$F$3:$F$22&lt;=LTP!$B$5)*Calc!$K$3:$K$22*(Calc!$G$3:$G$22&gt;A21)*(Calc!$G$3:$G$22-A21)^2)</f>
        <v/>
      </c>
      <c r="F21">
        <f>SUMPRODUCT((Calc!$F$3:$F$22&lt;=LTP!$B$5)*Calc!$K$3:$K$22*(Calc!$G$3:$G$22&gt;A21)*(Calc!$G$3:$G$22-A21)*Calc!$G$3:$G$22)</f>
        <v/>
      </c>
      <c r="G21">
        <f>SUMPRODUCT((Calc!$F$3:$F$22&lt;=LTP!$B$5)*Calc!$K$3:$K$22*(Calc!$G$3:$G$22&gt;A21)*(Calc!$G$3:$G$22-A21)*Calc!$I$3:$I$22)</f>
        <v/>
      </c>
      <c r="H21">
        <f>IF($B$11&gt;0,F21-$C$11*D21/$B$11,0)</f>
        <v/>
      </c>
      <c r="I21">
        <f>IF($B$11&gt;0,E21-D21^2/$B$11,0)</f>
        <v/>
      </c>
      <c r="J21">
        <f>IF($B$11&gt;0,G21-D21*$D$11/$B$11,0)</f>
        <v/>
      </c>
      <c r="K21">
        <f>$H$11*I21-H21^2</f>
        <v/>
      </c>
      <c r="L21">
        <f>IF(ABS(K21)&gt;1E-12,($H$11*J21-H21*$I$11)/K21,0)</f>
        <v/>
      </c>
      <c r="M21">
        <f>IF(ABS(K21)&gt;1E-12,(I21*$I$11-H21*J21)/K21,0)</f>
        <v/>
      </c>
      <c r="N21">
        <f>$J$11-M21*$I$11-L21*J21</f>
        <v/>
      </c>
      <c r="O21">
        <f>IF(AND(C21,ABS(K21)&gt;1E-12,L21&gt;0),N21,1E+300)</f>
        <v/>
      </c>
    </row>
    <row r="22">
      <c r="A22">
        <f>$K$11+($L$11-$K$11)*8/400</f>
        <v/>
      </c>
      <c r="B22">
        <f>SUMPRODUCT((Calc!$F$3:$F$22&lt;=LTP!$B$5)*Calc!$K$3:$K$22*(Calc!$G$3:$G$22&lt;=A22))</f>
        <v/>
      </c>
      <c r="C22">
        <f>AND(B22&gt;=2,$B$11-B22&gt;=2)</f>
        <v/>
      </c>
      <c r="D22">
        <f>SUMPRODUCT((Calc!$F$3:$F$22&lt;=LTP!$B$5)*Calc!$K$3:$K$22*(Calc!$G$3:$G$22&gt;A22)*(Calc!$G$3:$G$22-A22))</f>
        <v/>
      </c>
      <c r="E22">
        <f>SUMPRODUCT((Calc!$F$3:$F$22&lt;=LTP!$B$5)*Calc!$K$3:$K$22*(Calc!$G$3:$G$22&gt;A22)*(Calc!$G$3:$G$22-A22)^2)</f>
        <v/>
      </c>
      <c r="F22">
        <f>SUMPRODUCT((Calc!$F$3:$F$22&lt;=LTP!$B$5)*Calc!$K$3:$K$22*(Calc!$G$3:$G$22&gt;A22)*(Calc!$G$3:$G$22-A22)*Calc!$G$3:$G$22)</f>
        <v/>
      </c>
      <c r="G22">
        <f>SUMPRODUCT((Calc!$F$3:$F$22&lt;=LTP!$B$5)*Calc!$K$3:$K$22*(Calc!$G$3:$G$22&gt;A22)*(Calc!$G$3:$G$22-A22)*Calc!$I$3:$I$22)</f>
        <v/>
      </c>
      <c r="H22">
        <f>IF($B$11&gt;0,F22-$C$11*D22/$B$11,0)</f>
        <v/>
      </c>
      <c r="I22">
        <f>IF($B$11&gt;0,E22-D22^2/$B$11,0)</f>
        <v/>
      </c>
      <c r="J22">
        <f>IF($B$11&gt;0,G22-D22*$D$11/$B$11,0)</f>
        <v/>
      </c>
      <c r="K22">
        <f>$H$11*I22-H22^2</f>
        <v/>
      </c>
      <c r="L22">
        <f>IF(ABS(K22)&gt;1E-12,($H$11*J22-H22*$I$11)/K22,0)</f>
        <v/>
      </c>
      <c r="M22">
        <f>IF(ABS(K22)&gt;1E-12,(I22*$I$11-H22*J22)/K22,0)</f>
        <v/>
      </c>
      <c r="N22">
        <f>$J$11-M22*$I$11-L22*J22</f>
        <v/>
      </c>
      <c r="O22">
        <f>IF(AND(C22,ABS(K22)&gt;1E-12,L22&gt;0),N22,1E+300)</f>
        <v/>
      </c>
    </row>
    <row r="23">
      <c r="A23">
        <f>$K$11+($L$11-$K$11)*9/400</f>
        <v/>
      </c>
      <c r="B23">
        <f>SUMPRODUCT((Calc!$F$3:$F$22&lt;=LTP!$B$5)*Calc!$K$3:$K$22*(Calc!$G$3:$G$22&lt;=A23))</f>
        <v/>
      </c>
      <c r="C23">
        <f>AND(B23&gt;=2,$B$11-B23&gt;=2)</f>
        <v/>
      </c>
      <c r="D23">
        <f>SUMPRODUCT((Calc!$F$3:$F$22&lt;=LTP!$B$5)*Calc!$K$3:$K$22*(Calc!$G$3:$G$22&gt;A23)*(Calc!$G$3:$G$22-A23))</f>
        <v/>
      </c>
      <c r="E23">
        <f>SUMPRODUCT((Calc!$F$3:$F$22&lt;=LTP!$B$5)*Calc!$K$3:$K$22*(Calc!$G$3:$G$22&gt;A23)*(Calc!$G$3:$G$22-A23)^2)</f>
        <v/>
      </c>
      <c r="F23">
        <f>SUMPRODUCT((Calc!$F$3:$F$22&lt;=LTP!$B$5)*Calc!$K$3:$K$22*(Calc!$G$3:$G$22&gt;A23)*(Calc!$G$3:$G$22-A23)*Calc!$G$3:$G$22)</f>
        <v/>
      </c>
      <c r="G23">
        <f>SUMPRODUCT((Calc!$F$3:$F$22&lt;=LTP!$B$5)*Calc!$K$3:$K$22*(Calc!$G$3:$G$22&gt;A23)*(Calc!$G$3:$G$22-A23)*Calc!$I$3:$I$22)</f>
        <v/>
      </c>
      <c r="H23">
        <f>IF($B$11&gt;0,F23-$C$11*D23/$B$11,0)</f>
        <v/>
      </c>
      <c r="I23">
        <f>IF($B$11&gt;0,E23-D23^2/$B$11,0)</f>
        <v/>
      </c>
      <c r="J23">
        <f>IF($B$11&gt;0,G23-D23*$D$11/$B$11,0)</f>
        <v/>
      </c>
      <c r="K23">
        <f>$H$11*I23-H23^2</f>
        <v/>
      </c>
      <c r="L23">
        <f>IF(ABS(K23)&gt;1E-12,($H$11*J23-H23*$I$11)/K23,0)</f>
        <v/>
      </c>
      <c r="M23">
        <f>IF(ABS(K23)&gt;1E-12,(I23*$I$11-H23*J23)/K23,0)</f>
        <v/>
      </c>
      <c r="N23">
        <f>$J$11-M23*$I$11-L23*J23</f>
        <v/>
      </c>
      <c r="O23">
        <f>IF(AND(C23,ABS(K23)&gt;1E-12,L23&gt;0),N23,1E+300)</f>
        <v/>
      </c>
    </row>
    <row r="24">
      <c r="A24">
        <f>$K$11+($L$11-$K$11)*10/400</f>
        <v/>
      </c>
      <c r="B24">
        <f>SUMPRODUCT((Calc!$F$3:$F$22&lt;=LTP!$B$5)*Calc!$K$3:$K$22*(Calc!$G$3:$G$22&lt;=A24))</f>
        <v/>
      </c>
      <c r="C24">
        <f>AND(B24&gt;=2,$B$11-B24&gt;=2)</f>
        <v/>
      </c>
      <c r="D24">
        <f>SUMPRODUCT((Calc!$F$3:$F$22&lt;=LTP!$B$5)*Calc!$K$3:$K$22*(Calc!$G$3:$G$22&gt;A24)*(Calc!$G$3:$G$22-A24))</f>
        <v/>
      </c>
      <c r="E24">
        <f>SUMPRODUCT((Calc!$F$3:$F$22&lt;=LTP!$B$5)*Calc!$K$3:$K$22*(Calc!$G$3:$G$22&gt;A24)*(Calc!$G$3:$G$22-A24)^2)</f>
        <v/>
      </c>
      <c r="F24">
        <f>SUMPRODUCT((Calc!$F$3:$F$22&lt;=LTP!$B$5)*Calc!$K$3:$K$22*(Calc!$G$3:$G$22&gt;A24)*(Calc!$G$3:$G$22-A24)*Calc!$G$3:$G$22)</f>
        <v/>
      </c>
      <c r="G24">
        <f>SUMPRODUCT((Calc!$F$3:$F$22&lt;=LTP!$B$5)*Calc!$K$3:$K$22*(Calc!$G$3:$G$22&gt;A24)*(Calc!$G$3:$G$22-A24)*Calc!$I$3:$I$22)</f>
        <v/>
      </c>
      <c r="H24">
        <f>IF($B$11&gt;0,F24-$C$11*D24/$B$11,0)</f>
        <v/>
      </c>
      <c r="I24">
        <f>IF($B$11&gt;0,E24-D24^2/$B$11,0)</f>
        <v/>
      </c>
      <c r="J24">
        <f>IF($B$11&gt;0,G24-D24*$D$11/$B$11,0)</f>
        <v/>
      </c>
      <c r="K24">
        <f>$H$11*I24-H24^2</f>
        <v/>
      </c>
      <c r="L24">
        <f>IF(ABS(K24)&gt;1E-12,($H$11*J24-H24*$I$11)/K24,0)</f>
        <v/>
      </c>
      <c r="M24">
        <f>IF(ABS(K24)&gt;1E-12,(I24*$I$11-H24*J24)/K24,0)</f>
        <v/>
      </c>
      <c r="N24">
        <f>$J$11-M24*$I$11-L24*J24</f>
        <v/>
      </c>
      <c r="O24">
        <f>IF(AND(C24,ABS(K24)&gt;1E-12,L24&gt;0),N24,1E+300)</f>
        <v/>
      </c>
    </row>
    <row r="25">
      <c r="A25">
        <f>$K$11+($L$11-$K$11)*11/400</f>
        <v/>
      </c>
      <c r="B25">
        <f>SUMPRODUCT((Calc!$F$3:$F$22&lt;=LTP!$B$5)*Calc!$K$3:$K$22*(Calc!$G$3:$G$22&lt;=A25))</f>
        <v/>
      </c>
      <c r="C25">
        <f>AND(B25&gt;=2,$B$11-B25&gt;=2)</f>
        <v/>
      </c>
      <c r="D25">
        <f>SUMPRODUCT((Calc!$F$3:$F$22&lt;=LTP!$B$5)*Calc!$K$3:$K$22*(Calc!$G$3:$G$22&gt;A25)*(Calc!$G$3:$G$22-A25))</f>
        <v/>
      </c>
      <c r="E25">
        <f>SUMPRODUCT((Calc!$F$3:$F$22&lt;=LTP!$B$5)*Calc!$K$3:$K$22*(Calc!$G$3:$G$22&gt;A25)*(Calc!$G$3:$G$22-A25)^2)</f>
        <v/>
      </c>
      <c r="F25">
        <f>SUMPRODUCT((Calc!$F$3:$F$22&lt;=LTP!$B$5)*Calc!$K$3:$K$22*(Calc!$G$3:$G$22&gt;A25)*(Calc!$G$3:$G$22-A25)*Calc!$G$3:$G$22)</f>
        <v/>
      </c>
      <c r="G25">
        <f>SUMPRODUCT((Calc!$F$3:$F$22&lt;=LTP!$B$5)*Calc!$K$3:$K$22*(Calc!$G$3:$G$22&gt;A25)*(Calc!$G$3:$G$22-A25)*Calc!$I$3:$I$22)</f>
        <v/>
      </c>
      <c r="H25">
        <f>IF($B$11&gt;0,F25-$C$11*D25/$B$11,0)</f>
        <v/>
      </c>
      <c r="I25">
        <f>IF($B$11&gt;0,E25-D25^2/$B$11,0)</f>
        <v/>
      </c>
      <c r="J25">
        <f>IF($B$11&gt;0,G25-D25*$D$11/$B$11,0)</f>
        <v/>
      </c>
      <c r="K25">
        <f>$H$11*I25-H25^2</f>
        <v/>
      </c>
      <c r="L25">
        <f>IF(ABS(K25)&gt;1E-12,($H$11*J25-H25*$I$11)/K25,0)</f>
        <v/>
      </c>
      <c r="M25">
        <f>IF(ABS(K25)&gt;1E-12,(I25*$I$11-H25*J25)/K25,0)</f>
        <v/>
      </c>
      <c r="N25">
        <f>$J$11-M25*$I$11-L25*J25</f>
        <v/>
      </c>
      <c r="O25">
        <f>IF(AND(C25,ABS(K25)&gt;1E-12,L25&gt;0),N25,1E+300)</f>
        <v/>
      </c>
    </row>
    <row r="26">
      <c r="A26">
        <f>$K$11+($L$11-$K$11)*12/400</f>
        <v/>
      </c>
      <c r="B26">
        <f>SUMPRODUCT((Calc!$F$3:$F$22&lt;=LTP!$B$5)*Calc!$K$3:$K$22*(Calc!$G$3:$G$22&lt;=A26))</f>
        <v/>
      </c>
      <c r="C26">
        <f>AND(B26&gt;=2,$B$11-B26&gt;=2)</f>
        <v/>
      </c>
      <c r="D26">
        <f>SUMPRODUCT((Calc!$F$3:$F$22&lt;=LTP!$B$5)*Calc!$K$3:$K$22*(Calc!$G$3:$G$22&gt;A26)*(Calc!$G$3:$G$22-A26))</f>
        <v/>
      </c>
      <c r="E26">
        <f>SUMPRODUCT((Calc!$F$3:$F$22&lt;=LTP!$B$5)*Calc!$K$3:$K$22*(Calc!$G$3:$G$22&gt;A26)*(Calc!$G$3:$G$22-A26)^2)</f>
        <v/>
      </c>
      <c r="F26">
        <f>SUMPRODUCT((Calc!$F$3:$F$22&lt;=LTP!$B$5)*Calc!$K$3:$K$22*(Calc!$G$3:$G$22&gt;A26)*(Calc!$G$3:$G$22-A26)*Calc!$G$3:$G$22)</f>
        <v/>
      </c>
      <c r="G26">
        <f>SUMPRODUCT((Calc!$F$3:$F$22&lt;=LTP!$B$5)*Calc!$K$3:$K$22*(Calc!$G$3:$G$22&gt;A26)*(Calc!$G$3:$G$22-A26)*Calc!$I$3:$I$22)</f>
        <v/>
      </c>
      <c r="H26">
        <f>IF($B$11&gt;0,F26-$C$11*D26/$B$11,0)</f>
        <v/>
      </c>
      <c r="I26">
        <f>IF($B$11&gt;0,E26-D26^2/$B$11,0)</f>
        <v/>
      </c>
      <c r="J26">
        <f>IF($B$11&gt;0,G26-D26*$D$11/$B$11,0)</f>
        <v/>
      </c>
      <c r="K26">
        <f>$H$11*I26-H26^2</f>
        <v/>
      </c>
      <c r="L26">
        <f>IF(ABS(K26)&gt;1E-12,($H$11*J26-H26*$I$11)/K26,0)</f>
        <v/>
      </c>
      <c r="M26">
        <f>IF(ABS(K26)&gt;1E-12,(I26*$I$11-H26*J26)/K26,0)</f>
        <v/>
      </c>
      <c r="N26">
        <f>$J$11-M26*$I$11-L26*J26</f>
        <v/>
      </c>
      <c r="O26">
        <f>IF(AND(C26,ABS(K26)&gt;1E-12,L26&gt;0),N26,1E+300)</f>
        <v/>
      </c>
    </row>
    <row r="27">
      <c r="A27">
        <f>$K$11+($L$11-$K$11)*13/400</f>
        <v/>
      </c>
      <c r="B27">
        <f>SUMPRODUCT((Calc!$F$3:$F$22&lt;=LTP!$B$5)*Calc!$K$3:$K$22*(Calc!$G$3:$G$22&lt;=A27))</f>
        <v/>
      </c>
      <c r="C27">
        <f>AND(B27&gt;=2,$B$11-B27&gt;=2)</f>
        <v/>
      </c>
      <c r="D27">
        <f>SUMPRODUCT((Calc!$F$3:$F$22&lt;=LTP!$B$5)*Calc!$K$3:$K$22*(Calc!$G$3:$G$22&gt;A27)*(Calc!$G$3:$G$22-A27))</f>
        <v/>
      </c>
      <c r="E27">
        <f>SUMPRODUCT((Calc!$F$3:$F$22&lt;=LTP!$B$5)*Calc!$K$3:$K$22*(Calc!$G$3:$G$22&gt;A27)*(Calc!$G$3:$G$22-A27)^2)</f>
        <v/>
      </c>
      <c r="F27">
        <f>SUMPRODUCT((Calc!$F$3:$F$22&lt;=LTP!$B$5)*Calc!$K$3:$K$22*(Calc!$G$3:$G$22&gt;A27)*(Calc!$G$3:$G$22-A27)*Calc!$G$3:$G$22)</f>
        <v/>
      </c>
      <c r="G27">
        <f>SUMPRODUCT((Calc!$F$3:$F$22&lt;=LTP!$B$5)*Calc!$K$3:$K$22*(Calc!$G$3:$G$22&gt;A27)*(Calc!$G$3:$G$22-A27)*Calc!$I$3:$I$22)</f>
        <v/>
      </c>
      <c r="H27">
        <f>IF($B$11&gt;0,F27-$C$11*D27/$B$11,0)</f>
        <v/>
      </c>
      <c r="I27">
        <f>IF($B$11&gt;0,E27-D27^2/$B$11,0)</f>
        <v/>
      </c>
      <c r="J27">
        <f>IF($B$11&gt;0,G27-D27*$D$11/$B$11,0)</f>
        <v/>
      </c>
      <c r="K27">
        <f>$H$11*I27-H27^2</f>
        <v/>
      </c>
      <c r="L27">
        <f>IF(ABS(K27)&gt;1E-12,($H$11*J27-H27*$I$11)/K27,0)</f>
        <v/>
      </c>
      <c r="M27">
        <f>IF(ABS(K27)&gt;1E-12,(I27*$I$11-H27*J27)/K27,0)</f>
        <v/>
      </c>
      <c r="N27">
        <f>$J$11-M27*$I$11-L27*J27</f>
        <v/>
      </c>
      <c r="O27">
        <f>IF(AND(C27,ABS(K27)&gt;1E-12,L27&gt;0),N27,1E+300)</f>
        <v/>
      </c>
    </row>
    <row r="28">
      <c r="A28">
        <f>$K$11+($L$11-$K$11)*14/400</f>
        <v/>
      </c>
      <c r="B28">
        <f>SUMPRODUCT((Calc!$F$3:$F$22&lt;=LTP!$B$5)*Calc!$K$3:$K$22*(Calc!$G$3:$G$22&lt;=A28))</f>
        <v/>
      </c>
      <c r="C28">
        <f>AND(B28&gt;=2,$B$11-B28&gt;=2)</f>
        <v/>
      </c>
      <c r="D28">
        <f>SUMPRODUCT((Calc!$F$3:$F$22&lt;=LTP!$B$5)*Calc!$K$3:$K$22*(Calc!$G$3:$G$22&gt;A28)*(Calc!$G$3:$G$22-A28))</f>
        <v/>
      </c>
      <c r="E28">
        <f>SUMPRODUCT((Calc!$F$3:$F$22&lt;=LTP!$B$5)*Calc!$K$3:$K$22*(Calc!$G$3:$G$22&gt;A28)*(Calc!$G$3:$G$22-A28)^2)</f>
        <v/>
      </c>
      <c r="F28">
        <f>SUMPRODUCT((Calc!$F$3:$F$22&lt;=LTP!$B$5)*Calc!$K$3:$K$22*(Calc!$G$3:$G$22&gt;A28)*(Calc!$G$3:$G$22-A28)*Calc!$G$3:$G$22)</f>
        <v/>
      </c>
      <c r="G28">
        <f>SUMPRODUCT((Calc!$F$3:$F$22&lt;=LTP!$B$5)*Calc!$K$3:$K$22*(Calc!$G$3:$G$22&gt;A28)*(Calc!$G$3:$G$22-A28)*Calc!$I$3:$I$22)</f>
        <v/>
      </c>
      <c r="H28">
        <f>IF($B$11&gt;0,F28-$C$11*D28/$B$11,0)</f>
        <v/>
      </c>
      <c r="I28">
        <f>IF($B$11&gt;0,E28-D28^2/$B$11,0)</f>
        <v/>
      </c>
      <c r="J28">
        <f>IF($B$11&gt;0,G28-D28*$D$11/$B$11,0)</f>
        <v/>
      </c>
      <c r="K28">
        <f>$H$11*I28-H28^2</f>
        <v/>
      </c>
      <c r="L28">
        <f>IF(ABS(K28)&gt;1E-12,($H$11*J28-H28*$I$11)/K28,0)</f>
        <v/>
      </c>
      <c r="M28">
        <f>IF(ABS(K28)&gt;1E-12,(I28*$I$11-H28*J28)/K28,0)</f>
        <v/>
      </c>
      <c r="N28">
        <f>$J$11-M28*$I$11-L28*J28</f>
        <v/>
      </c>
      <c r="O28">
        <f>IF(AND(C28,ABS(K28)&gt;1E-12,L28&gt;0),N28,1E+300)</f>
        <v/>
      </c>
    </row>
    <row r="29">
      <c r="A29">
        <f>$K$11+($L$11-$K$11)*15/400</f>
        <v/>
      </c>
      <c r="B29">
        <f>SUMPRODUCT((Calc!$F$3:$F$22&lt;=LTP!$B$5)*Calc!$K$3:$K$22*(Calc!$G$3:$G$22&lt;=A29))</f>
        <v/>
      </c>
      <c r="C29">
        <f>AND(B29&gt;=2,$B$11-B29&gt;=2)</f>
        <v/>
      </c>
      <c r="D29">
        <f>SUMPRODUCT((Calc!$F$3:$F$22&lt;=LTP!$B$5)*Calc!$K$3:$K$22*(Calc!$G$3:$G$22&gt;A29)*(Calc!$G$3:$G$22-A29))</f>
        <v/>
      </c>
      <c r="E29">
        <f>SUMPRODUCT((Calc!$F$3:$F$22&lt;=LTP!$B$5)*Calc!$K$3:$K$22*(Calc!$G$3:$G$22&gt;A29)*(Calc!$G$3:$G$22-A29)^2)</f>
        <v/>
      </c>
      <c r="F29">
        <f>SUMPRODUCT((Calc!$F$3:$F$22&lt;=LTP!$B$5)*Calc!$K$3:$K$22*(Calc!$G$3:$G$22&gt;A29)*(Calc!$G$3:$G$22-A29)*Calc!$G$3:$G$22)</f>
        <v/>
      </c>
      <c r="G29">
        <f>SUMPRODUCT((Calc!$F$3:$F$22&lt;=LTP!$B$5)*Calc!$K$3:$K$22*(Calc!$G$3:$G$22&gt;A29)*(Calc!$G$3:$G$22-A29)*Calc!$I$3:$I$22)</f>
        <v/>
      </c>
      <c r="H29">
        <f>IF($B$11&gt;0,F29-$C$11*D29/$B$11,0)</f>
        <v/>
      </c>
      <c r="I29">
        <f>IF($B$11&gt;0,E29-D29^2/$B$11,0)</f>
        <v/>
      </c>
      <c r="J29">
        <f>IF($B$11&gt;0,G29-D29*$D$11/$B$11,0)</f>
        <v/>
      </c>
      <c r="K29">
        <f>$H$11*I29-H29^2</f>
        <v/>
      </c>
      <c r="L29">
        <f>IF(ABS(K29)&gt;1E-12,($H$11*J29-H29*$I$11)/K29,0)</f>
        <v/>
      </c>
      <c r="M29">
        <f>IF(ABS(K29)&gt;1E-12,(I29*$I$11-H29*J29)/K29,0)</f>
        <v/>
      </c>
      <c r="N29">
        <f>$J$11-M29*$I$11-L29*J29</f>
        <v/>
      </c>
      <c r="O29">
        <f>IF(AND(C29,ABS(K29)&gt;1E-12,L29&gt;0),N29,1E+300)</f>
        <v/>
      </c>
    </row>
    <row r="30">
      <c r="A30">
        <f>$K$11+($L$11-$K$11)*16/400</f>
        <v/>
      </c>
      <c r="B30">
        <f>SUMPRODUCT((Calc!$F$3:$F$22&lt;=LTP!$B$5)*Calc!$K$3:$K$22*(Calc!$G$3:$G$22&lt;=A30))</f>
        <v/>
      </c>
      <c r="C30">
        <f>AND(B30&gt;=2,$B$11-B30&gt;=2)</f>
        <v/>
      </c>
      <c r="D30">
        <f>SUMPRODUCT((Calc!$F$3:$F$22&lt;=LTP!$B$5)*Calc!$K$3:$K$22*(Calc!$G$3:$G$22&gt;A30)*(Calc!$G$3:$G$22-A30))</f>
        <v/>
      </c>
      <c r="E30">
        <f>SUMPRODUCT((Calc!$F$3:$F$22&lt;=LTP!$B$5)*Calc!$K$3:$K$22*(Calc!$G$3:$G$22&gt;A30)*(Calc!$G$3:$G$22-A30)^2)</f>
        <v/>
      </c>
      <c r="F30">
        <f>SUMPRODUCT((Calc!$F$3:$F$22&lt;=LTP!$B$5)*Calc!$K$3:$K$22*(Calc!$G$3:$G$22&gt;A30)*(Calc!$G$3:$G$22-A30)*Calc!$G$3:$G$22)</f>
        <v/>
      </c>
      <c r="G30">
        <f>SUMPRODUCT((Calc!$F$3:$F$22&lt;=LTP!$B$5)*Calc!$K$3:$K$22*(Calc!$G$3:$G$22&gt;A30)*(Calc!$G$3:$G$22-A30)*Calc!$I$3:$I$22)</f>
        <v/>
      </c>
      <c r="H30">
        <f>IF($B$11&gt;0,F30-$C$11*D30/$B$11,0)</f>
        <v/>
      </c>
      <c r="I30">
        <f>IF($B$11&gt;0,E30-D30^2/$B$11,0)</f>
        <v/>
      </c>
      <c r="J30">
        <f>IF($B$11&gt;0,G30-D30*$D$11/$B$11,0)</f>
        <v/>
      </c>
      <c r="K30">
        <f>$H$11*I30-H30^2</f>
        <v/>
      </c>
      <c r="L30">
        <f>IF(ABS(K30)&gt;1E-12,($H$11*J30-H30*$I$11)/K30,0)</f>
        <v/>
      </c>
      <c r="M30">
        <f>IF(ABS(K30)&gt;1E-12,(I30*$I$11-H30*J30)/K30,0)</f>
        <v/>
      </c>
      <c r="N30">
        <f>$J$11-M30*$I$11-L30*J30</f>
        <v/>
      </c>
      <c r="O30">
        <f>IF(AND(C30,ABS(K30)&gt;1E-12,L30&gt;0),N30,1E+300)</f>
        <v/>
      </c>
    </row>
    <row r="31">
      <c r="A31">
        <f>$K$11+($L$11-$K$11)*17/400</f>
        <v/>
      </c>
      <c r="B31">
        <f>SUMPRODUCT((Calc!$F$3:$F$22&lt;=LTP!$B$5)*Calc!$K$3:$K$22*(Calc!$G$3:$G$22&lt;=A31))</f>
        <v/>
      </c>
      <c r="C31">
        <f>AND(B31&gt;=2,$B$11-B31&gt;=2)</f>
        <v/>
      </c>
      <c r="D31">
        <f>SUMPRODUCT((Calc!$F$3:$F$22&lt;=LTP!$B$5)*Calc!$K$3:$K$22*(Calc!$G$3:$G$22&gt;A31)*(Calc!$G$3:$G$22-A31))</f>
        <v/>
      </c>
      <c r="E31">
        <f>SUMPRODUCT((Calc!$F$3:$F$22&lt;=LTP!$B$5)*Calc!$K$3:$K$22*(Calc!$G$3:$G$22&gt;A31)*(Calc!$G$3:$G$22-A31)^2)</f>
        <v/>
      </c>
      <c r="F31">
        <f>SUMPRODUCT((Calc!$F$3:$F$22&lt;=LTP!$B$5)*Calc!$K$3:$K$22*(Calc!$G$3:$G$22&gt;A31)*(Calc!$G$3:$G$22-A31)*Calc!$G$3:$G$22)</f>
        <v/>
      </c>
      <c r="G31">
        <f>SUMPRODUCT((Calc!$F$3:$F$22&lt;=LTP!$B$5)*Calc!$K$3:$K$22*(Calc!$G$3:$G$22&gt;A31)*(Calc!$G$3:$G$22-A31)*Calc!$I$3:$I$22)</f>
        <v/>
      </c>
      <c r="H31">
        <f>IF($B$11&gt;0,F31-$C$11*D31/$B$11,0)</f>
        <v/>
      </c>
      <c r="I31">
        <f>IF($B$11&gt;0,E31-D31^2/$B$11,0)</f>
        <v/>
      </c>
      <c r="J31">
        <f>IF($B$11&gt;0,G31-D31*$D$11/$B$11,0)</f>
        <v/>
      </c>
      <c r="K31">
        <f>$H$11*I31-H31^2</f>
        <v/>
      </c>
      <c r="L31">
        <f>IF(ABS(K31)&gt;1E-12,($H$11*J31-H31*$I$11)/K31,0)</f>
        <v/>
      </c>
      <c r="M31">
        <f>IF(ABS(K31)&gt;1E-12,(I31*$I$11-H31*J31)/K31,0)</f>
        <v/>
      </c>
      <c r="N31">
        <f>$J$11-M31*$I$11-L31*J31</f>
        <v/>
      </c>
      <c r="O31">
        <f>IF(AND(C31,ABS(K31)&gt;1E-12,L31&gt;0),N31,1E+300)</f>
        <v/>
      </c>
    </row>
    <row r="32">
      <c r="A32">
        <f>$K$11+($L$11-$K$11)*18/400</f>
        <v/>
      </c>
      <c r="B32">
        <f>SUMPRODUCT((Calc!$F$3:$F$22&lt;=LTP!$B$5)*Calc!$K$3:$K$22*(Calc!$G$3:$G$22&lt;=A32))</f>
        <v/>
      </c>
      <c r="C32">
        <f>AND(B32&gt;=2,$B$11-B32&gt;=2)</f>
        <v/>
      </c>
      <c r="D32">
        <f>SUMPRODUCT((Calc!$F$3:$F$22&lt;=LTP!$B$5)*Calc!$K$3:$K$22*(Calc!$G$3:$G$22&gt;A32)*(Calc!$G$3:$G$22-A32))</f>
        <v/>
      </c>
      <c r="E32">
        <f>SUMPRODUCT((Calc!$F$3:$F$22&lt;=LTP!$B$5)*Calc!$K$3:$K$22*(Calc!$G$3:$G$22&gt;A32)*(Calc!$G$3:$G$22-A32)^2)</f>
        <v/>
      </c>
      <c r="F32">
        <f>SUMPRODUCT((Calc!$F$3:$F$22&lt;=LTP!$B$5)*Calc!$K$3:$K$22*(Calc!$G$3:$G$22&gt;A32)*(Calc!$G$3:$G$22-A32)*Calc!$G$3:$G$22)</f>
        <v/>
      </c>
      <c r="G32">
        <f>SUMPRODUCT((Calc!$F$3:$F$22&lt;=LTP!$B$5)*Calc!$K$3:$K$22*(Calc!$G$3:$G$22&gt;A32)*(Calc!$G$3:$G$22-A32)*Calc!$I$3:$I$22)</f>
        <v/>
      </c>
      <c r="H32">
        <f>IF($B$11&gt;0,F32-$C$11*D32/$B$11,0)</f>
        <v/>
      </c>
      <c r="I32">
        <f>IF($B$11&gt;0,E32-D32^2/$B$11,0)</f>
        <v/>
      </c>
      <c r="J32">
        <f>IF($B$11&gt;0,G32-D32*$D$11/$B$11,0)</f>
        <v/>
      </c>
      <c r="K32">
        <f>$H$11*I32-H32^2</f>
        <v/>
      </c>
      <c r="L32">
        <f>IF(ABS(K32)&gt;1E-12,($H$11*J32-H32*$I$11)/K32,0)</f>
        <v/>
      </c>
      <c r="M32">
        <f>IF(ABS(K32)&gt;1E-12,(I32*$I$11-H32*J32)/K32,0)</f>
        <v/>
      </c>
      <c r="N32">
        <f>$J$11-M32*$I$11-L32*J32</f>
        <v/>
      </c>
      <c r="O32">
        <f>IF(AND(C32,ABS(K32)&gt;1E-12,L32&gt;0),N32,1E+300)</f>
        <v/>
      </c>
    </row>
    <row r="33">
      <c r="A33">
        <f>$K$11+($L$11-$K$11)*19/400</f>
        <v/>
      </c>
      <c r="B33">
        <f>SUMPRODUCT((Calc!$F$3:$F$22&lt;=LTP!$B$5)*Calc!$K$3:$K$22*(Calc!$G$3:$G$22&lt;=A33))</f>
        <v/>
      </c>
      <c r="C33">
        <f>AND(B33&gt;=2,$B$11-B33&gt;=2)</f>
        <v/>
      </c>
      <c r="D33">
        <f>SUMPRODUCT((Calc!$F$3:$F$22&lt;=LTP!$B$5)*Calc!$K$3:$K$22*(Calc!$G$3:$G$22&gt;A33)*(Calc!$G$3:$G$22-A33))</f>
        <v/>
      </c>
      <c r="E33">
        <f>SUMPRODUCT((Calc!$F$3:$F$22&lt;=LTP!$B$5)*Calc!$K$3:$K$22*(Calc!$G$3:$G$22&gt;A33)*(Calc!$G$3:$G$22-A33)^2)</f>
        <v/>
      </c>
      <c r="F33">
        <f>SUMPRODUCT((Calc!$F$3:$F$22&lt;=LTP!$B$5)*Calc!$K$3:$K$22*(Calc!$G$3:$G$22&gt;A33)*(Calc!$G$3:$G$22-A33)*Calc!$G$3:$G$22)</f>
        <v/>
      </c>
      <c r="G33">
        <f>SUMPRODUCT((Calc!$F$3:$F$22&lt;=LTP!$B$5)*Calc!$K$3:$K$22*(Calc!$G$3:$G$22&gt;A33)*(Calc!$G$3:$G$22-A33)*Calc!$I$3:$I$22)</f>
        <v/>
      </c>
      <c r="H33">
        <f>IF($B$11&gt;0,F33-$C$11*D33/$B$11,0)</f>
        <v/>
      </c>
      <c r="I33">
        <f>IF($B$11&gt;0,E33-D33^2/$B$11,0)</f>
        <v/>
      </c>
      <c r="J33">
        <f>IF($B$11&gt;0,G33-D33*$D$11/$B$11,0)</f>
        <v/>
      </c>
      <c r="K33">
        <f>$H$11*I33-H33^2</f>
        <v/>
      </c>
      <c r="L33">
        <f>IF(ABS(K33)&gt;1E-12,($H$11*J33-H33*$I$11)/K33,0)</f>
        <v/>
      </c>
      <c r="M33">
        <f>IF(ABS(K33)&gt;1E-12,(I33*$I$11-H33*J33)/K33,0)</f>
        <v/>
      </c>
      <c r="N33">
        <f>$J$11-M33*$I$11-L33*J33</f>
        <v/>
      </c>
      <c r="O33">
        <f>IF(AND(C33,ABS(K33)&gt;1E-12,L33&gt;0),N33,1E+300)</f>
        <v/>
      </c>
    </row>
    <row r="34">
      <c r="A34">
        <f>$K$11+($L$11-$K$11)*20/400</f>
        <v/>
      </c>
      <c r="B34">
        <f>SUMPRODUCT((Calc!$F$3:$F$22&lt;=LTP!$B$5)*Calc!$K$3:$K$22*(Calc!$G$3:$G$22&lt;=A34))</f>
        <v/>
      </c>
      <c r="C34">
        <f>AND(B34&gt;=2,$B$11-B34&gt;=2)</f>
        <v/>
      </c>
      <c r="D34">
        <f>SUMPRODUCT((Calc!$F$3:$F$22&lt;=LTP!$B$5)*Calc!$K$3:$K$22*(Calc!$G$3:$G$22&gt;A34)*(Calc!$G$3:$G$22-A34))</f>
        <v/>
      </c>
      <c r="E34">
        <f>SUMPRODUCT((Calc!$F$3:$F$22&lt;=LTP!$B$5)*Calc!$K$3:$K$22*(Calc!$G$3:$G$22&gt;A34)*(Calc!$G$3:$G$22-A34)^2)</f>
        <v/>
      </c>
      <c r="F34">
        <f>SUMPRODUCT((Calc!$F$3:$F$22&lt;=LTP!$B$5)*Calc!$K$3:$K$22*(Calc!$G$3:$G$22&gt;A34)*(Calc!$G$3:$G$22-A34)*Calc!$G$3:$G$22)</f>
        <v/>
      </c>
      <c r="G34">
        <f>SUMPRODUCT((Calc!$F$3:$F$22&lt;=LTP!$B$5)*Calc!$K$3:$K$22*(Calc!$G$3:$G$22&gt;A34)*(Calc!$G$3:$G$22-A34)*Calc!$I$3:$I$22)</f>
        <v/>
      </c>
      <c r="H34">
        <f>IF($B$11&gt;0,F34-$C$11*D34/$B$11,0)</f>
        <v/>
      </c>
      <c r="I34">
        <f>IF($B$11&gt;0,E34-D34^2/$B$11,0)</f>
        <v/>
      </c>
      <c r="J34">
        <f>IF($B$11&gt;0,G34-D34*$D$11/$B$11,0)</f>
        <v/>
      </c>
      <c r="K34">
        <f>$H$11*I34-H34^2</f>
        <v/>
      </c>
      <c r="L34">
        <f>IF(ABS(K34)&gt;1E-12,($H$11*J34-H34*$I$11)/K34,0)</f>
        <v/>
      </c>
      <c r="M34">
        <f>IF(ABS(K34)&gt;1E-12,(I34*$I$11-H34*J34)/K34,0)</f>
        <v/>
      </c>
      <c r="N34">
        <f>$J$11-M34*$I$11-L34*J34</f>
        <v/>
      </c>
      <c r="O34">
        <f>IF(AND(C34,ABS(K34)&gt;1E-12,L34&gt;0),N34,1E+300)</f>
        <v/>
      </c>
    </row>
    <row r="35">
      <c r="A35">
        <f>$K$11+($L$11-$K$11)*21/400</f>
        <v/>
      </c>
      <c r="B35">
        <f>SUMPRODUCT((Calc!$F$3:$F$22&lt;=LTP!$B$5)*Calc!$K$3:$K$22*(Calc!$G$3:$G$22&lt;=A35))</f>
        <v/>
      </c>
      <c r="C35">
        <f>AND(B35&gt;=2,$B$11-B35&gt;=2)</f>
        <v/>
      </c>
      <c r="D35">
        <f>SUMPRODUCT((Calc!$F$3:$F$22&lt;=LTP!$B$5)*Calc!$K$3:$K$22*(Calc!$G$3:$G$22&gt;A35)*(Calc!$G$3:$G$22-A35))</f>
        <v/>
      </c>
      <c r="E35">
        <f>SUMPRODUCT((Calc!$F$3:$F$22&lt;=LTP!$B$5)*Calc!$K$3:$K$22*(Calc!$G$3:$G$22&gt;A35)*(Calc!$G$3:$G$22-A35)^2)</f>
        <v/>
      </c>
      <c r="F35">
        <f>SUMPRODUCT((Calc!$F$3:$F$22&lt;=LTP!$B$5)*Calc!$K$3:$K$22*(Calc!$G$3:$G$22&gt;A35)*(Calc!$G$3:$G$22-A35)*Calc!$G$3:$G$22)</f>
        <v/>
      </c>
      <c r="G35">
        <f>SUMPRODUCT((Calc!$F$3:$F$22&lt;=LTP!$B$5)*Calc!$K$3:$K$22*(Calc!$G$3:$G$22&gt;A35)*(Calc!$G$3:$G$22-A35)*Calc!$I$3:$I$22)</f>
        <v/>
      </c>
      <c r="H35">
        <f>IF($B$11&gt;0,F35-$C$11*D35/$B$11,0)</f>
        <v/>
      </c>
      <c r="I35">
        <f>IF($B$11&gt;0,E35-D35^2/$B$11,0)</f>
        <v/>
      </c>
      <c r="J35">
        <f>IF($B$11&gt;0,G35-D35*$D$11/$B$11,0)</f>
        <v/>
      </c>
      <c r="K35">
        <f>$H$11*I35-H35^2</f>
        <v/>
      </c>
      <c r="L35">
        <f>IF(ABS(K35)&gt;1E-12,($H$11*J35-H35*$I$11)/K35,0)</f>
        <v/>
      </c>
      <c r="M35">
        <f>IF(ABS(K35)&gt;1E-12,(I35*$I$11-H35*J35)/K35,0)</f>
        <v/>
      </c>
      <c r="N35">
        <f>$J$11-M35*$I$11-L35*J35</f>
        <v/>
      </c>
      <c r="O35">
        <f>IF(AND(C35,ABS(K35)&gt;1E-12,L35&gt;0),N35,1E+300)</f>
        <v/>
      </c>
    </row>
    <row r="36">
      <c r="A36">
        <f>$K$11+($L$11-$K$11)*22/400</f>
        <v/>
      </c>
      <c r="B36">
        <f>SUMPRODUCT((Calc!$F$3:$F$22&lt;=LTP!$B$5)*Calc!$K$3:$K$22*(Calc!$G$3:$G$22&lt;=A36))</f>
        <v/>
      </c>
      <c r="C36">
        <f>AND(B36&gt;=2,$B$11-B36&gt;=2)</f>
        <v/>
      </c>
      <c r="D36">
        <f>SUMPRODUCT((Calc!$F$3:$F$22&lt;=LTP!$B$5)*Calc!$K$3:$K$22*(Calc!$G$3:$G$22&gt;A36)*(Calc!$G$3:$G$22-A36))</f>
        <v/>
      </c>
      <c r="E36">
        <f>SUMPRODUCT((Calc!$F$3:$F$22&lt;=LTP!$B$5)*Calc!$K$3:$K$22*(Calc!$G$3:$G$22&gt;A36)*(Calc!$G$3:$G$22-A36)^2)</f>
        <v/>
      </c>
      <c r="F36">
        <f>SUMPRODUCT((Calc!$F$3:$F$22&lt;=LTP!$B$5)*Calc!$K$3:$K$22*(Calc!$G$3:$G$22&gt;A36)*(Calc!$G$3:$G$22-A36)*Calc!$G$3:$G$22)</f>
        <v/>
      </c>
      <c r="G36">
        <f>SUMPRODUCT((Calc!$F$3:$F$22&lt;=LTP!$B$5)*Calc!$K$3:$K$22*(Calc!$G$3:$G$22&gt;A36)*(Calc!$G$3:$G$22-A36)*Calc!$I$3:$I$22)</f>
        <v/>
      </c>
      <c r="H36">
        <f>IF($B$11&gt;0,F36-$C$11*D36/$B$11,0)</f>
        <v/>
      </c>
      <c r="I36">
        <f>IF($B$11&gt;0,E36-D36^2/$B$11,0)</f>
        <v/>
      </c>
      <c r="J36">
        <f>IF($B$11&gt;0,G36-D36*$D$11/$B$11,0)</f>
        <v/>
      </c>
      <c r="K36">
        <f>$H$11*I36-H36^2</f>
        <v/>
      </c>
      <c r="L36">
        <f>IF(ABS(K36)&gt;1E-12,($H$11*J36-H36*$I$11)/K36,0)</f>
        <v/>
      </c>
      <c r="M36">
        <f>IF(ABS(K36)&gt;1E-12,(I36*$I$11-H36*J36)/K36,0)</f>
        <v/>
      </c>
      <c r="N36">
        <f>$J$11-M36*$I$11-L36*J36</f>
        <v/>
      </c>
      <c r="O36">
        <f>IF(AND(C36,ABS(K36)&gt;1E-12,L36&gt;0),N36,1E+300)</f>
        <v/>
      </c>
    </row>
    <row r="37">
      <c r="A37">
        <f>$K$11+($L$11-$K$11)*23/400</f>
        <v/>
      </c>
      <c r="B37">
        <f>SUMPRODUCT((Calc!$F$3:$F$22&lt;=LTP!$B$5)*Calc!$K$3:$K$22*(Calc!$G$3:$G$22&lt;=A37))</f>
        <v/>
      </c>
      <c r="C37">
        <f>AND(B37&gt;=2,$B$11-B37&gt;=2)</f>
        <v/>
      </c>
      <c r="D37">
        <f>SUMPRODUCT((Calc!$F$3:$F$22&lt;=LTP!$B$5)*Calc!$K$3:$K$22*(Calc!$G$3:$G$22&gt;A37)*(Calc!$G$3:$G$22-A37))</f>
        <v/>
      </c>
      <c r="E37">
        <f>SUMPRODUCT((Calc!$F$3:$F$22&lt;=LTP!$B$5)*Calc!$K$3:$K$22*(Calc!$G$3:$G$22&gt;A37)*(Calc!$G$3:$G$22-A37)^2)</f>
        <v/>
      </c>
      <c r="F37">
        <f>SUMPRODUCT((Calc!$F$3:$F$22&lt;=LTP!$B$5)*Calc!$K$3:$K$22*(Calc!$G$3:$G$22&gt;A37)*(Calc!$G$3:$G$22-A37)*Calc!$G$3:$G$22)</f>
        <v/>
      </c>
      <c r="G37">
        <f>SUMPRODUCT((Calc!$F$3:$F$22&lt;=LTP!$B$5)*Calc!$K$3:$K$22*(Calc!$G$3:$G$22&gt;A37)*(Calc!$G$3:$G$22-A37)*Calc!$I$3:$I$22)</f>
        <v/>
      </c>
      <c r="H37">
        <f>IF($B$11&gt;0,F37-$C$11*D37/$B$11,0)</f>
        <v/>
      </c>
      <c r="I37">
        <f>IF($B$11&gt;0,E37-D37^2/$B$11,0)</f>
        <v/>
      </c>
      <c r="J37">
        <f>IF($B$11&gt;0,G37-D37*$D$11/$B$11,0)</f>
        <v/>
      </c>
      <c r="K37">
        <f>$H$11*I37-H37^2</f>
        <v/>
      </c>
      <c r="L37">
        <f>IF(ABS(K37)&gt;1E-12,($H$11*J37-H37*$I$11)/K37,0)</f>
        <v/>
      </c>
      <c r="M37">
        <f>IF(ABS(K37)&gt;1E-12,(I37*$I$11-H37*J37)/K37,0)</f>
        <v/>
      </c>
      <c r="N37">
        <f>$J$11-M37*$I$11-L37*J37</f>
        <v/>
      </c>
      <c r="O37">
        <f>IF(AND(C37,ABS(K37)&gt;1E-12,L37&gt;0),N37,1E+300)</f>
        <v/>
      </c>
    </row>
    <row r="38">
      <c r="A38">
        <f>$K$11+($L$11-$K$11)*24/400</f>
        <v/>
      </c>
      <c r="B38">
        <f>SUMPRODUCT((Calc!$F$3:$F$22&lt;=LTP!$B$5)*Calc!$K$3:$K$22*(Calc!$G$3:$G$22&lt;=A38))</f>
        <v/>
      </c>
      <c r="C38">
        <f>AND(B38&gt;=2,$B$11-B38&gt;=2)</f>
        <v/>
      </c>
      <c r="D38">
        <f>SUMPRODUCT((Calc!$F$3:$F$22&lt;=LTP!$B$5)*Calc!$K$3:$K$22*(Calc!$G$3:$G$22&gt;A38)*(Calc!$G$3:$G$22-A38))</f>
        <v/>
      </c>
      <c r="E38">
        <f>SUMPRODUCT((Calc!$F$3:$F$22&lt;=LTP!$B$5)*Calc!$K$3:$K$22*(Calc!$G$3:$G$22&gt;A38)*(Calc!$G$3:$G$22-A38)^2)</f>
        <v/>
      </c>
      <c r="F38">
        <f>SUMPRODUCT((Calc!$F$3:$F$22&lt;=LTP!$B$5)*Calc!$K$3:$K$22*(Calc!$G$3:$G$22&gt;A38)*(Calc!$G$3:$G$22-A38)*Calc!$G$3:$G$22)</f>
        <v/>
      </c>
      <c r="G38">
        <f>SUMPRODUCT((Calc!$F$3:$F$22&lt;=LTP!$B$5)*Calc!$K$3:$K$22*(Calc!$G$3:$G$22&gt;A38)*(Calc!$G$3:$G$22-A38)*Calc!$I$3:$I$22)</f>
        <v/>
      </c>
      <c r="H38">
        <f>IF($B$11&gt;0,F38-$C$11*D38/$B$11,0)</f>
        <v/>
      </c>
      <c r="I38">
        <f>IF($B$11&gt;0,E38-D38^2/$B$11,0)</f>
        <v/>
      </c>
      <c r="J38">
        <f>IF($B$11&gt;0,G38-D38*$D$11/$B$11,0)</f>
        <v/>
      </c>
      <c r="K38">
        <f>$H$11*I38-H38^2</f>
        <v/>
      </c>
      <c r="L38">
        <f>IF(ABS(K38)&gt;1E-12,($H$11*J38-H38*$I$11)/K38,0)</f>
        <v/>
      </c>
      <c r="M38">
        <f>IF(ABS(K38)&gt;1E-12,(I38*$I$11-H38*J38)/K38,0)</f>
        <v/>
      </c>
      <c r="N38">
        <f>$J$11-M38*$I$11-L38*J38</f>
        <v/>
      </c>
      <c r="O38">
        <f>IF(AND(C38,ABS(K38)&gt;1E-12,L38&gt;0),N38,1E+300)</f>
        <v/>
      </c>
    </row>
    <row r="39">
      <c r="A39">
        <f>$K$11+($L$11-$K$11)*25/400</f>
        <v/>
      </c>
      <c r="B39">
        <f>SUMPRODUCT((Calc!$F$3:$F$22&lt;=LTP!$B$5)*Calc!$K$3:$K$22*(Calc!$G$3:$G$22&lt;=A39))</f>
        <v/>
      </c>
      <c r="C39">
        <f>AND(B39&gt;=2,$B$11-B39&gt;=2)</f>
        <v/>
      </c>
      <c r="D39">
        <f>SUMPRODUCT((Calc!$F$3:$F$22&lt;=LTP!$B$5)*Calc!$K$3:$K$22*(Calc!$G$3:$G$22&gt;A39)*(Calc!$G$3:$G$22-A39))</f>
        <v/>
      </c>
      <c r="E39">
        <f>SUMPRODUCT((Calc!$F$3:$F$22&lt;=LTP!$B$5)*Calc!$K$3:$K$22*(Calc!$G$3:$G$22&gt;A39)*(Calc!$G$3:$G$22-A39)^2)</f>
        <v/>
      </c>
      <c r="F39">
        <f>SUMPRODUCT((Calc!$F$3:$F$22&lt;=LTP!$B$5)*Calc!$K$3:$K$22*(Calc!$G$3:$G$22&gt;A39)*(Calc!$G$3:$G$22-A39)*Calc!$G$3:$G$22)</f>
        <v/>
      </c>
      <c r="G39">
        <f>SUMPRODUCT((Calc!$F$3:$F$22&lt;=LTP!$B$5)*Calc!$K$3:$K$22*(Calc!$G$3:$G$22&gt;A39)*(Calc!$G$3:$G$22-A39)*Calc!$I$3:$I$22)</f>
        <v/>
      </c>
      <c r="H39">
        <f>IF($B$11&gt;0,F39-$C$11*D39/$B$11,0)</f>
        <v/>
      </c>
      <c r="I39">
        <f>IF($B$11&gt;0,E39-D39^2/$B$11,0)</f>
        <v/>
      </c>
      <c r="J39">
        <f>IF($B$11&gt;0,G39-D39*$D$11/$B$11,0)</f>
        <v/>
      </c>
      <c r="K39">
        <f>$H$11*I39-H39^2</f>
        <v/>
      </c>
      <c r="L39">
        <f>IF(ABS(K39)&gt;1E-12,($H$11*J39-H39*$I$11)/K39,0)</f>
        <v/>
      </c>
      <c r="M39">
        <f>IF(ABS(K39)&gt;1E-12,(I39*$I$11-H39*J39)/K39,0)</f>
        <v/>
      </c>
      <c r="N39">
        <f>$J$11-M39*$I$11-L39*J39</f>
        <v/>
      </c>
      <c r="O39">
        <f>IF(AND(C39,ABS(K39)&gt;1E-12,L39&gt;0),N39,1E+300)</f>
        <v/>
      </c>
    </row>
    <row r="40">
      <c r="A40">
        <f>$K$11+($L$11-$K$11)*26/400</f>
        <v/>
      </c>
      <c r="B40">
        <f>SUMPRODUCT((Calc!$F$3:$F$22&lt;=LTP!$B$5)*Calc!$K$3:$K$22*(Calc!$G$3:$G$22&lt;=A40))</f>
        <v/>
      </c>
      <c r="C40">
        <f>AND(B40&gt;=2,$B$11-B40&gt;=2)</f>
        <v/>
      </c>
      <c r="D40">
        <f>SUMPRODUCT((Calc!$F$3:$F$22&lt;=LTP!$B$5)*Calc!$K$3:$K$22*(Calc!$G$3:$G$22&gt;A40)*(Calc!$G$3:$G$22-A40))</f>
        <v/>
      </c>
      <c r="E40">
        <f>SUMPRODUCT((Calc!$F$3:$F$22&lt;=LTP!$B$5)*Calc!$K$3:$K$22*(Calc!$G$3:$G$22&gt;A40)*(Calc!$G$3:$G$22-A40)^2)</f>
        <v/>
      </c>
      <c r="F40">
        <f>SUMPRODUCT((Calc!$F$3:$F$22&lt;=LTP!$B$5)*Calc!$K$3:$K$22*(Calc!$G$3:$G$22&gt;A40)*(Calc!$G$3:$G$22-A40)*Calc!$G$3:$G$22)</f>
        <v/>
      </c>
      <c r="G40">
        <f>SUMPRODUCT((Calc!$F$3:$F$22&lt;=LTP!$B$5)*Calc!$K$3:$K$22*(Calc!$G$3:$G$22&gt;A40)*(Calc!$G$3:$G$22-A40)*Calc!$I$3:$I$22)</f>
        <v/>
      </c>
      <c r="H40">
        <f>IF($B$11&gt;0,F40-$C$11*D40/$B$11,0)</f>
        <v/>
      </c>
      <c r="I40">
        <f>IF($B$11&gt;0,E40-D40^2/$B$11,0)</f>
        <v/>
      </c>
      <c r="J40">
        <f>IF($B$11&gt;0,G40-D40*$D$11/$B$11,0)</f>
        <v/>
      </c>
      <c r="K40">
        <f>$H$11*I40-H40^2</f>
        <v/>
      </c>
      <c r="L40">
        <f>IF(ABS(K40)&gt;1E-12,($H$11*J40-H40*$I$11)/K40,0)</f>
        <v/>
      </c>
      <c r="M40">
        <f>IF(ABS(K40)&gt;1E-12,(I40*$I$11-H40*J40)/K40,0)</f>
        <v/>
      </c>
      <c r="N40">
        <f>$J$11-M40*$I$11-L40*J40</f>
        <v/>
      </c>
      <c r="O40">
        <f>IF(AND(C40,ABS(K40)&gt;1E-12,L40&gt;0),N40,1E+300)</f>
        <v/>
      </c>
    </row>
    <row r="41">
      <c r="A41">
        <f>$K$11+($L$11-$K$11)*27/400</f>
        <v/>
      </c>
      <c r="B41">
        <f>SUMPRODUCT((Calc!$F$3:$F$22&lt;=LTP!$B$5)*Calc!$K$3:$K$22*(Calc!$G$3:$G$22&lt;=A41))</f>
        <v/>
      </c>
      <c r="C41">
        <f>AND(B41&gt;=2,$B$11-B41&gt;=2)</f>
        <v/>
      </c>
      <c r="D41">
        <f>SUMPRODUCT((Calc!$F$3:$F$22&lt;=LTP!$B$5)*Calc!$K$3:$K$22*(Calc!$G$3:$G$22&gt;A41)*(Calc!$G$3:$G$22-A41))</f>
        <v/>
      </c>
      <c r="E41">
        <f>SUMPRODUCT((Calc!$F$3:$F$22&lt;=LTP!$B$5)*Calc!$K$3:$K$22*(Calc!$G$3:$G$22&gt;A41)*(Calc!$G$3:$G$22-A41)^2)</f>
        <v/>
      </c>
      <c r="F41">
        <f>SUMPRODUCT((Calc!$F$3:$F$22&lt;=LTP!$B$5)*Calc!$K$3:$K$22*(Calc!$G$3:$G$22&gt;A41)*(Calc!$G$3:$G$22-A41)*Calc!$G$3:$G$22)</f>
        <v/>
      </c>
      <c r="G41">
        <f>SUMPRODUCT((Calc!$F$3:$F$22&lt;=LTP!$B$5)*Calc!$K$3:$K$22*(Calc!$G$3:$G$22&gt;A41)*(Calc!$G$3:$G$22-A41)*Calc!$I$3:$I$22)</f>
        <v/>
      </c>
      <c r="H41">
        <f>IF($B$11&gt;0,F41-$C$11*D41/$B$11,0)</f>
        <v/>
      </c>
      <c r="I41">
        <f>IF($B$11&gt;0,E41-D41^2/$B$11,0)</f>
        <v/>
      </c>
      <c r="J41">
        <f>IF($B$11&gt;0,G41-D41*$D$11/$B$11,0)</f>
        <v/>
      </c>
      <c r="K41">
        <f>$H$11*I41-H41^2</f>
        <v/>
      </c>
      <c r="L41">
        <f>IF(ABS(K41)&gt;1E-12,($H$11*J41-H41*$I$11)/K41,0)</f>
        <v/>
      </c>
      <c r="M41">
        <f>IF(ABS(K41)&gt;1E-12,(I41*$I$11-H41*J41)/K41,0)</f>
        <v/>
      </c>
      <c r="N41">
        <f>$J$11-M41*$I$11-L41*J41</f>
        <v/>
      </c>
      <c r="O41">
        <f>IF(AND(C41,ABS(K41)&gt;1E-12,L41&gt;0),N41,1E+300)</f>
        <v/>
      </c>
    </row>
    <row r="42">
      <c r="A42">
        <f>$K$11+($L$11-$K$11)*28/400</f>
        <v/>
      </c>
      <c r="B42">
        <f>SUMPRODUCT((Calc!$F$3:$F$22&lt;=LTP!$B$5)*Calc!$K$3:$K$22*(Calc!$G$3:$G$22&lt;=A42))</f>
        <v/>
      </c>
      <c r="C42">
        <f>AND(B42&gt;=2,$B$11-B42&gt;=2)</f>
        <v/>
      </c>
      <c r="D42">
        <f>SUMPRODUCT((Calc!$F$3:$F$22&lt;=LTP!$B$5)*Calc!$K$3:$K$22*(Calc!$G$3:$G$22&gt;A42)*(Calc!$G$3:$G$22-A42))</f>
        <v/>
      </c>
      <c r="E42">
        <f>SUMPRODUCT((Calc!$F$3:$F$22&lt;=LTP!$B$5)*Calc!$K$3:$K$22*(Calc!$G$3:$G$22&gt;A42)*(Calc!$G$3:$G$22-A42)^2)</f>
        <v/>
      </c>
      <c r="F42">
        <f>SUMPRODUCT((Calc!$F$3:$F$22&lt;=LTP!$B$5)*Calc!$K$3:$K$22*(Calc!$G$3:$G$22&gt;A42)*(Calc!$G$3:$G$22-A42)*Calc!$G$3:$G$22)</f>
        <v/>
      </c>
      <c r="G42">
        <f>SUMPRODUCT((Calc!$F$3:$F$22&lt;=LTP!$B$5)*Calc!$K$3:$K$22*(Calc!$G$3:$G$22&gt;A42)*(Calc!$G$3:$G$22-A42)*Calc!$I$3:$I$22)</f>
        <v/>
      </c>
      <c r="H42">
        <f>IF($B$11&gt;0,F42-$C$11*D42/$B$11,0)</f>
        <v/>
      </c>
      <c r="I42">
        <f>IF($B$11&gt;0,E42-D42^2/$B$11,0)</f>
        <v/>
      </c>
      <c r="J42">
        <f>IF($B$11&gt;0,G42-D42*$D$11/$B$11,0)</f>
        <v/>
      </c>
      <c r="K42">
        <f>$H$11*I42-H42^2</f>
        <v/>
      </c>
      <c r="L42">
        <f>IF(ABS(K42)&gt;1E-12,($H$11*J42-H42*$I$11)/K42,0)</f>
        <v/>
      </c>
      <c r="M42">
        <f>IF(ABS(K42)&gt;1E-12,(I42*$I$11-H42*J42)/K42,0)</f>
        <v/>
      </c>
      <c r="N42">
        <f>$J$11-M42*$I$11-L42*J42</f>
        <v/>
      </c>
      <c r="O42">
        <f>IF(AND(C42,ABS(K42)&gt;1E-12,L42&gt;0),N42,1E+300)</f>
        <v/>
      </c>
    </row>
    <row r="43">
      <c r="A43">
        <f>$K$11+($L$11-$K$11)*29/400</f>
        <v/>
      </c>
      <c r="B43">
        <f>SUMPRODUCT((Calc!$F$3:$F$22&lt;=LTP!$B$5)*Calc!$K$3:$K$22*(Calc!$G$3:$G$22&lt;=A43))</f>
        <v/>
      </c>
      <c r="C43">
        <f>AND(B43&gt;=2,$B$11-B43&gt;=2)</f>
        <v/>
      </c>
      <c r="D43">
        <f>SUMPRODUCT((Calc!$F$3:$F$22&lt;=LTP!$B$5)*Calc!$K$3:$K$22*(Calc!$G$3:$G$22&gt;A43)*(Calc!$G$3:$G$22-A43))</f>
        <v/>
      </c>
      <c r="E43">
        <f>SUMPRODUCT((Calc!$F$3:$F$22&lt;=LTP!$B$5)*Calc!$K$3:$K$22*(Calc!$G$3:$G$22&gt;A43)*(Calc!$G$3:$G$22-A43)^2)</f>
        <v/>
      </c>
      <c r="F43">
        <f>SUMPRODUCT((Calc!$F$3:$F$22&lt;=LTP!$B$5)*Calc!$K$3:$K$22*(Calc!$G$3:$G$22&gt;A43)*(Calc!$G$3:$G$22-A43)*Calc!$G$3:$G$22)</f>
        <v/>
      </c>
      <c r="G43">
        <f>SUMPRODUCT((Calc!$F$3:$F$22&lt;=LTP!$B$5)*Calc!$K$3:$K$22*(Calc!$G$3:$G$22&gt;A43)*(Calc!$G$3:$G$22-A43)*Calc!$I$3:$I$22)</f>
        <v/>
      </c>
      <c r="H43">
        <f>IF($B$11&gt;0,F43-$C$11*D43/$B$11,0)</f>
        <v/>
      </c>
      <c r="I43">
        <f>IF($B$11&gt;0,E43-D43^2/$B$11,0)</f>
        <v/>
      </c>
      <c r="J43">
        <f>IF($B$11&gt;0,G43-D43*$D$11/$B$11,0)</f>
        <v/>
      </c>
      <c r="K43">
        <f>$H$11*I43-H43^2</f>
        <v/>
      </c>
      <c r="L43">
        <f>IF(ABS(K43)&gt;1E-12,($H$11*J43-H43*$I$11)/K43,0)</f>
        <v/>
      </c>
      <c r="M43">
        <f>IF(ABS(K43)&gt;1E-12,(I43*$I$11-H43*J43)/K43,0)</f>
        <v/>
      </c>
      <c r="N43">
        <f>$J$11-M43*$I$11-L43*J43</f>
        <v/>
      </c>
      <c r="O43">
        <f>IF(AND(C43,ABS(K43)&gt;1E-12,L43&gt;0),N43,1E+300)</f>
        <v/>
      </c>
    </row>
    <row r="44">
      <c r="A44">
        <f>$K$11+($L$11-$K$11)*30/400</f>
        <v/>
      </c>
      <c r="B44">
        <f>SUMPRODUCT((Calc!$F$3:$F$22&lt;=LTP!$B$5)*Calc!$K$3:$K$22*(Calc!$G$3:$G$22&lt;=A44))</f>
        <v/>
      </c>
      <c r="C44">
        <f>AND(B44&gt;=2,$B$11-B44&gt;=2)</f>
        <v/>
      </c>
      <c r="D44">
        <f>SUMPRODUCT((Calc!$F$3:$F$22&lt;=LTP!$B$5)*Calc!$K$3:$K$22*(Calc!$G$3:$G$22&gt;A44)*(Calc!$G$3:$G$22-A44))</f>
        <v/>
      </c>
      <c r="E44">
        <f>SUMPRODUCT((Calc!$F$3:$F$22&lt;=LTP!$B$5)*Calc!$K$3:$K$22*(Calc!$G$3:$G$22&gt;A44)*(Calc!$G$3:$G$22-A44)^2)</f>
        <v/>
      </c>
      <c r="F44">
        <f>SUMPRODUCT((Calc!$F$3:$F$22&lt;=LTP!$B$5)*Calc!$K$3:$K$22*(Calc!$G$3:$G$22&gt;A44)*(Calc!$G$3:$G$22-A44)*Calc!$G$3:$G$22)</f>
        <v/>
      </c>
      <c r="G44">
        <f>SUMPRODUCT((Calc!$F$3:$F$22&lt;=LTP!$B$5)*Calc!$K$3:$K$22*(Calc!$G$3:$G$22&gt;A44)*(Calc!$G$3:$G$22-A44)*Calc!$I$3:$I$22)</f>
        <v/>
      </c>
      <c r="H44">
        <f>IF($B$11&gt;0,F44-$C$11*D44/$B$11,0)</f>
        <v/>
      </c>
      <c r="I44">
        <f>IF($B$11&gt;0,E44-D44^2/$B$11,0)</f>
        <v/>
      </c>
      <c r="J44">
        <f>IF($B$11&gt;0,G44-D44*$D$11/$B$11,0)</f>
        <v/>
      </c>
      <c r="K44">
        <f>$H$11*I44-H44^2</f>
        <v/>
      </c>
      <c r="L44">
        <f>IF(ABS(K44)&gt;1E-12,($H$11*J44-H44*$I$11)/K44,0)</f>
        <v/>
      </c>
      <c r="M44">
        <f>IF(ABS(K44)&gt;1E-12,(I44*$I$11-H44*J44)/K44,0)</f>
        <v/>
      </c>
      <c r="N44">
        <f>$J$11-M44*$I$11-L44*J44</f>
        <v/>
      </c>
      <c r="O44">
        <f>IF(AND(C44,ABS(K44)&gt;1E-12,L44&gt;0),N44,1E+300)</f>
        <v/>
      </c>
    </row>
    <row r="45">
      <c r="A45">
        <f>$K$11+($L$11-$K$11)*31/400</f>
        <v/>
      </c>
      <c r="B45">
        <f>SUMPRODUCT((Calc!$F$3:$F$22&lt;=LTP!$B$5)*Calc!$K$3:$K$22*(Calc!$G$3:$G$22&lt;=A45))</f>
        <v/>
      </c>
      <c r="C45">
        <f>AND(B45&gt;=2,$B$11-B45&gt;=2)</f>
        <v/>
      </c>
      <c r="D45">
        <f>SUMPRODUCT((Calc!$F$3:$F$22&lt;=LTP!$B$5)*Calc!$K$3:$K$22*(Calc!$G$3:$G$22&gt;A45)*(Calc!$G$3:$G$22-A45))</f>
        <v/>
      </c>
      <c r="E45">
        <f>SUMPRODUCT((Calc!$F$3:$F$22&lt;=LTP!$B$5)*Calc!$K$3:$K$22*(Calc!$G$3:$G$22&gt;A45)*(Calc!$G$3:$G$22-A45)^2)</f>
        <v/>
      </c>
      <c r="F45">
        <f>SUMPRODUCT((Calc!$F$3:$F$22&lt;=LTP!$B$5)*Calc!$K$3:$K$22*(Calc!$G$3:$G$22&gt;A45)*(Calc!$G$3:$G$22-A45)*Calc!$G$3:$G$22)</f>
        <v/>
      </c>
      <c r="G45">
        <f>SUMPRODUCT((Calc!$F$3:$F$22&lt;=LTP!$B$5)*Calc!$K$3:$K$22*(Calc!$G$3:$G$22&gt;A45)*(Calc!$G$3:$G$22-A45)*Calc!$I$3:$I$22)</f>
        <v/>
      </c>
      <c r="H45">
        <f>IF($B$11&gt;0,F45-$C$11*D45/$B$11,0)</f>
        <v/>
      </c>
      <c r="I45">
        <f>IF($B$11&gt;0,E45-D45^2/$B$11,0)</f>
        <v/>
      </c>
      <c r="J45">
        <f>IF($B$11&gt;0,G45-D45*$D$11/$B$11,0)</f>
        <v/>
      </c>
      <c r="K45">
        <f>$H$11*I45-H45^2</f>
        <v/>
      </c>
      <c r="L45">
        <f>IF(ABS(K45)&gt;1E-12,($H$11*J45-H45*$I$11)/K45,0)</f>
        <v/>
      </c>
      <c r="M45">
        <f>IF(ABS(K45)&gt;1E-12,(I45*$I$11-H45*J45)/K45,0)</f>
        <v/>
      </c>
      <c r="N45">
        <f>$J$11-M45*$I$11-L45*J45</f>
        <v/>
      </c>
      <c r="O45">
        <f>IF(AND(C45,ABS(K45)&gt;1E-12,L45&gt;0),N45,1E+300)</f>
        <v/>
      </c>
    </row>
    <row r="46">
      <c r="A46">
        <f>$K$11+($L$11-$K$11)*32/400</f>
        <v/>
      </c>
      <c r="B46">
        <f>SUMPRODUCT((Calc!$F$3:$F$22&lt;=LTP!$B$5)*Calc!$K$3:$K$22*(Calc!$G$3:$G$22&lt;=A46))</f>
        <v/>
      </c>
      <c r="C46">
        <f>AND(B46&gt;=2,$B$11-B46&gt;=2)</f>
        <v/>
      </c>
      <c r="D46">
        <f>SUMPRODUCT((Calc!$F$3:$F$22&lt;=LTP!$B$5)*Calc!$K$3:$K$22*(Calc!$G$3:$G$22&gt;A46)*(Calc!$G$3:$G$22-A46))</f>
        <v/>
      </c>
      <c r="E46">
        <f>SUMPRODUCT((Calc!$F$3:$F$22&lt;=LTP!$B$5)*Calc!$K$3:$K$22*(Calc!$G$3:$G$22&gt;A46)*(Calc!$G$3:$G$22-A46)^2)</f>
        <v/>
      </c>
      <c r="F46">
        <f>SUMPRODUCT((Calc!$F$3:$F$22&lt;=LTP!$B$5)*Calc!$K$3:$K$22*(Calc!$G$3:$G$22&gt;A46)*(Calc!$G$3:$G$22-A46)*Calc!$G$3:$G$22)</f>
        <v/>
      </c>
      <c r="G46">
        <f>SUMPRODUCT((Calc!$F$3:$F$22&lt;=LTP!$B$5)*Calc!$K$3:$K$22*(Calc!$G$3:$G$22&gt;A46)*(Calc!$G$3:$G$22-A46)*Calc!$I$3:$I$22)</f>
        <v/>
      </c>
      <c r="H46">
        <f>IF($B$11&gt;0,F46-$C$11*D46/$B$11,0)</f>
        <v/>
      </c>
      <c r="I46">
        <f>IF($B$11&gt;0,E46-D46^2/$B$11,0)</f>
        <v/>
      </c>
      <c r="J46">
        <f>IF($B$11&gt;0,G46-D46*$D$11/$B$11,0)</f>
        <v/>
      </c>
      <c r="K46">
        <f>$H$11*I46-H46^2</f>
        <v/>
      </c>
      <c r="L46">
        <f>IF(ABS(K46)&gt;1E-12,($H$11*J46-H46*$I$11)/K46,0)</f>
        <v/>
      </c>
      <c r="M46">
        <f>IF(ABS(K46)&gt;1E-12,(I46*$I$11-H46*J46)/K46,0)</f>
        <v/>
      </c>
      <c r="N46">
        <f>$J$11-M46*$I$11-L46*J46</f>
        <v/>
      </c>
      <c r="O46">
        <f>IF(AND(C46,ABS(K46)&gt;1E-12,L46&gt;0),N46,1E+300)</f>
        <v/>
      </c>
    </row>
    <row r="47">
      <c r="A47">
        <f>$K$11+($L$11-$K$11)*33/400</f>
        <v/>
      </c>
      <c r="B47">
        <f>SUMPRODUCT((Calc!$F$3:$F$22&lt;=LTP!$B$5)*Calc!$K$3:$K$22*(Calc!$G$3:$G$22&lt;=A47))</f>
        <v/>
      </c>
      <c r="C47">
        <f>AND(B47&gt;=2,$B$11-B47&gt;=2)</f>
        <v/>
      </c>
      <c r="D47">
        <f>SUMPRODUCT((Calc!$F$3:$F$22&lt;=LTP!$B$5)*Calc!$K$3:$K$22*(Calc!$G$3:$G$22&gt;A47)*(Calc!$G$3:$G$22-A47))</f>
        <v/>
      </c>
      <c r="E47">
        <f>SUMPRODUCT((Calc!$F$3:$F$22&lt;=LTP!$B$5)*Calc!$K$3:$K$22*(Calc!$G$3:$G$22&gt;A47)*(Calc!$G$3:$G$22-A47)^2)</f>
        <v/>
      </c>
      <c r="F47">
        <f>SUMPRODUCT((Calc!$F$3:$F$22&lt;=LTP!$B$5)*Calc!$K$3:$K$22*(Calc!$G$3:$G$22&gt;A47)*(Calc!$G$3:$G$22-A47)*Calc!$G$3:$G$22)</f>
        <v/>
      </c>
      <c r="G47">
        <f>SUMPRODUCT((Calc!$F$3:$F$22&lt;=LTP!$B$5)*Calc!$K$3:$K$22*(Calc!$G$3:$G$22&gt;A47)*(Calc!$G$3:$G$22-A47)*Calc!$I$3:$I$22)</f>
        <v/>
      </c>
      <c r="H47">
        <f>IF($B$11&gt;0,F47-$C$11*D47/$B$11,0)</f>
        <v/>
      </c>
      <c r="I47">
        <f>IF($B$11&gt;0,E47-D47^2/$B$11,0)</f>
        <v/>
      </c>
      <c r="J47">
        <f>IF($B$11&gt;0,G47-D47*$D$11/$B$11,0)</f>
        <v/>
      </c>
      <c r="K47">
        <f>$H$11*I47-H47^2</f>
        <v/>
      </c>
      <c r="L47">
        <f>IF(ABS(K47)&gt;1E-12,($H$11*J47-H47*$I$11)/K47,0)</f>
        <v/>
      </c>
      <c r="M47">
        <f>IF(ABS(K47)&gt;1E-12,(I47*$I$11-H47*J47)/K47,0)</f>
        <v/>
      </c>
      <c r="N47">
        <f>$J$11-M47*$I$11-L47*J47</f>
        <v/>
      </c>
      <c r="O47">
        <f>IF(AND(C47,ABS(K47)&gt;1E-12,L47&gt;0),N47,1E+300)</f>
        <v/>
      </c>
    </row>
    <row r="48">
      <c r="A48">
        <f>$K$11+($L$11-$K$11)*34/400</f>
        <v/>
      </c>
      <c r="B48">
        <f>SUMPRODUCT((Calc!$F$3:$F$22&lt;=LTP!$B$5)*Calc!$K$3:$K$22*(Calc!$G$3:$G$22&lt;=A48))</f>
        <v/>
      </c>
      <c r="C48">
        <f>AND(B48&gt;=2,$B$11-B48&gt;=2)</f>
        <v/>
      </c>
      <c r="D48">
        <f>SUMPRODUCT((Calc!$F$3:$F$22&lt;=LTP!$B$5)*Calc!$K$3:$K$22*(Calc!$G$3:$G$22&gt;A48)*(Calc!$G$3:$G$22-A48))</f>
        <v/>
      </c>
      <c r="E48">
        <f>SUMPRODUCT((Calc!$F$3:$F$22&lt;=LTP!$B$5)*Calc!$K$3:$K$22*(Calc!$G$3:$G$22&gt;A48)*(Calc!$G$3:$G$22-A48)^2)</f>
        <v/>
      </c>
      <c r="F48">
        <f>SUMPRODUCT((Calc!$F$3:$F$22&lt;=LTP!$B$5)*Calc!$K$3:$K$22*(Calc!$G$3:$G$22&gt;A48)*(Calc!$G$3:$G$22-A48)*Calc!$G$3:$G$22)</f>
        <v/>
      </c>
      <c r="G48">
        <f>SUMPRODUCT((Calc!$F$3:$F$22&lt;=LTP!$B$5)*Calc!$K$3:$K$22*(Calc!$G$3:$G$22&gt;A48)*(Calc!$G$3:$G$22-A48)*Calc!$I$3:$I$22)</f>
        <v/>
      </c>
      <c r="H48">
        <f>IF($B$11&gt;0,F48-$C$11*D48/$B$11,0)</f>
        <v/>
      </c>
      <c r="I48">
        <f>IF($B$11&gt;0,E48-D48^2/$B$11,0)</f>
        <v/>
      </c>
      <c r="J48">
        <f>IF($B$11&gt;0,G48-D48*$D$11/$B$11,0)</f>
        <v/>
      </c>
      <c r="K48">
        <f>$H$11*I48-H48^2</f>
        <v/>
      </c>
      <c r="L48">
        <f>IF(ABS(K48)&gt;1E-12,($H$11*J48-H48*$I$11)/K48,0)</f>
        <v/>
      </c>
      <c r="M48">
        <f>IF(ABS(K48)&gt;1E-12,(I48*$I$11-H48*J48)/K48,0)</f>
        <v/>
      </c>
      <c r="N48">
        <f>$J$11-M48*$I$11-L48*J48</f>
        <v/>
      </c>
      <c r="O48">
        <f>IF(AND(C48,ABS(K48)&gt;1E-12,L48&gt;0),N48,1E+300)</f>
        <v/>
      </c>
    </row>
    <row r="49">
      <c r="A49">
        <f>$K$11+($L$11-$K$11)*35/400</f>
        <v/>
      </c>
      <c r="B49">
        <f>SUMPRODUCT((Calc!$F$3:$F$22&lt;=LTP!$B$5)*Calc!$K$3:$K$22*(Calc!$G$3:$G$22&lt;=A49))</f>
        <v/>
      </c>
      <c r="C49">
        <f>AND(B49&gt;=2,$B$11-B49&gt;=2)</f>
        <v/>
      </c>
      <c r="D49">
        <f>SUMPRODUCT((Calc!$F$3:$F$22&lt;=LTP!$B$5)*Calc!$K$3:$K$22*(Calc!$G$3:$G$22&gt;A49)*(Calc!$G$3:$G$22-A49))</f>
        <v/>
      </c>
      <c r="E49">
        <f>SUMPRODUCT((Calc!$F$3:$F$22&lt;=LTP!$B$5)*Calc!$K$3:$K$22*(Calc!$G$3:$G$22&gt;A49)*(Calc!$G$3:$G$22-A49)^2)</f>
        <v/>
      </c>
      <c r="F49">
        <f>SUMPRODUCT((Calc!$F$3:$F$22&lt;=LTP!$B$5)*Calc!$K$3:$K$22*(Calc!$G$3:$G$22&gt;A49)*(Calc!$G$3:$G$22-A49)*Calc!$G$3:$G$22)</f>
        <v/>
      </c>
      <c r="G49">
        <f>SUMPRODUCT((Calc!$F$3:$F$22&lt;=LTP!$B$5)*Calc!$K$3:$K$22*(Calc!$G$3:$G$22&gt;A49)*(Calc!$G$3:$G$22-A49)*Calc!$I$3:$I$22)</f>
        <v/>
      </c>
      <c r="H49">
        <f>IF($B$11&gt;0,F49-$C$11*D49/$B$11,0)</f>
        <v/>
      </c>
      <c r="I49">
        <f>IF($B$11&gt;0,E49-D49^2/$B$11,0)</f>
        <v/>
      </c>
      <c r="J49">
        <f>IF($B$11&gt;0,G49-D49*$D$11/$B$11,0)</f>
        <v/>
      </c>
      <c r="K49">
        <f>$H$11*I49-H49^2</f>
        <v/>
      </c>
      <c r="L49">
        <f>IF(ABS(K49)&gt;1E-12,($H$11*J49-H49*$I$11)/K49,0)</f>
        <v/>
      </c>
      <c r="M49">
        <f>IF(ABS(K49)&gt;1E-12,(I49*$I$11-H49*J49)/K49,0)</f>
        <v/>
      </c>
      <c r="N49">
        <f>$J$11-M49*$I$11-L49*J49</f>
        <v/>
      </c>
      <c r="O49">
        <f>IF(AND(C49,ABS(K49)&gt;1E-12,L49&gt;0),N49,1E+300)</f>
        <v/>
      </c>
    </row>
    <row r="50">
      <c r="A50">
        <f>$K$11+($L$11-$K$11)*36/400</f>
        <v/>
      </c>
      <c r="B50">
        <f>SUMPRODUCT((Calc!$F$3:$F$22&lt;=LTP!$B$5)*Calc!$K$3:$K$22*(Calc!$G$3:$G$22&lt;=A50))</f>
        <v/>
      </c>
      <c r="C50">
        <f>AND(B50&gt;=2,$B$11-B50&gt;=2)</f>
        <v/>
      </c>
      <c r="D50">
        <f>SUMPRODUCT((Calc!$F$3:$F$22&lt;=LTP!$B$5)*Calc!$K$3:$K$22*(Calc!$G$3:$G$22&gt;A50)*(Calc!$G$3:$G$22-A50))</f>
        <v/>
      </c>
      <c r="E50">
        <f>SUMPRODUCT((Calc!$F$3:$F$22&lt;=LTP!$B$5)*Calc!$K$3:$K$22*(Calc!$G$3:$G$22&gt;A50)*(Calc!$G$3:$G$22-A50)^2)</f>
        <v/>
      </c>
      <c r="F50">
        <f>SUMPRODUCT((Calc!$F$3:$F$22&lt;=LTP!$B$5)*Calc!$K$3:$K$22*(Calc!$G$3:$G$22&gt;A50)*(Calc!$G$3:$G$22-A50)*Calc!$G$3:$G$22)</f>
        <v/>
      </c>
      <c r="G50">
        <f>SUMPRODUCT((Calc!$F$3:$F$22&lt;=LTP!$B$5)*Calc!$K$3:$K$22*(Calc!$G$3:$G$22&gt;A50)*(Calc!$G$3:$G$22-A50)*Calc!$I$3:$I$22)</f>
        <v/>
      </c>
      <c r="H50">
        <f>IF($B$11&gt;0,F50-$C$11*D50/$B$11,0)</f>
        <v/>
      </c>
      <c r="I50">
        <f>IF($B$11&gt;0,E50-D50^2/$B$11,0)</f>
        <v/>
      </c>
      <c r="J50">
        <f>IF($B$11&gt;0,G50-D50*$D$11/$B$11,0)</f>
        <v/>
      </c>
      <c r="K50">
        <f>$H$11*I50-H50^2</f>
        <v/>
      </c>
      <c r="L50">
        <f>IF(ABS(K50)&gt;1E-12,($H$11*J50-H50*$I$11)/K50,0)</f>
        <v/>
      </c>
      <c r="M50">
        <f>IF(ABS(K50)&gt;1E-12,(I50*$I$11-H50*J50)/K50,0)</f>
        <v/>
      </c>
      <c r="N50">
        <f>$J$11-M50*$I$11-L50*J50</f>
        <v/>
      </c>
      <c r="O50">
        <f>IF(AND(C50,ABS(K50)&gt;1E-12,L50&gt;0),N50,1E+300)</f>
        <v/>
      </c>
    </row>
    <row r="51">
      <c r="A51">
        <f>$K$11+($L$11-$K$11)*37/400</f>
        <v/>
      </c>
      <c r="B51">
        <f>SUMPRODUCT((Calc!$F$3:$F$22&lt;=LTP!$B$5)*Calc!$K$3:$K$22*(Calc!$G$3:$G$22&lt;=A51))</f>
        <v/>
      </c>
      <c r="C51">
        <f>AND(B51&gt;=2,$B$11-B51&gt;=2)</f>
        <v/>
      </c>
      <c r="D51">
        <f>SUMPRODUCT((Calc!$F$3:$F$22&lt;=LTP!$B$5)*Calc!$K$3:$K$22*(Calc!$G$3:$G$22&gt;A51)*(Calc!$G$3:$G$22-A51))</f>
        <v/>
      </c>
      <c r="E51">
        <f>SUMPRODUCT((Calc!$F$3:$F$22&lt;=LTP!$B$5)*Calc!$K$3:$K$22*(Calc!$G$3:$G$22&gt;A51)*(Calc!$G$3:$G$22-A51)^2)</f>
        <v/>
      </c>
      <c r="F51">
        <f>SUMPRODUCT((Calc!$F$3:$F$22&lt;=LTP!$B$5)*Calc!$K$3:$K$22*(Calc!$G$3:$G$22&gt;A51)*(Calc!$G$3:$G$22-A51)*Calc!$G$3:$G$22)</f>
        <v/>
      </c>
      <c r="G51">
        <f>SUMPRODUCT((Calc!$F$3:$F$22&lt;=LTP!$B$5)*Calc!$K$3:$K$22*(Calc!$G$3:$G$22&gt;A51)*(Calc!$G$3:$G$22-A51)*Calc!$I$3:$I$22)</f>
        <v/>
      </c>
      <c r="H51">
        <f>IF($B$11&gt;0,F51-$C$11*D51/$B$11,0)</f>
        <v/>
      </c>
      <c r="I51">
        <f>IF($B$11&gt;0,E51-D51^2/$B$11,0)</f>
        <v/>
      </c>
      <c r="J51">
        <f>IF($B$11&gt;0,G51-D51*$D$11/$B$11,0)</f>
        <v/>
      </c>
      <c r="K51">
        <f>$H$11*I51-H51^2</f>
        <v/>
      </c>
      <c r="L51">
        <f>IF(ABS(K51)&gt;1E-12,($H$11*J51-H51*$I$11)/K51,0)</f>
        <v/>
      </c>
      <c r="M51">
        <f>IF(ABS(K51)&gt;1E-12,(I51*$I$11-H51*J51)/K51,0)</f>
        <v/>
      </c>
      <c r="N51">
        <f>$J$11-M51*$I$11-L51*J51</f>
        <v/>
      </c>
      <c r="O51">
        <f>IF(AND(C51,ABS(K51)&gt;1E-12,L51&gt;0),N51,1E+300)</f>
        <v/>
      </c>
    </row>
    <row r="52">
      <c r="A52">
        <f>$K$11+($L$11-$K$11)*38/400</f>
        <v/>
      </c>
      <c r="B52">
        <f>SUMPRODUCT((Calc!$F$3:$F$22&lt;=LTP!$B$5)*Calc!$K$3:$K$22*(Calc!$G$3:$G$22&lt;=A52))</f>
        <v/>
      </c>
      <c r="C52">
        <f>AND(B52&gt;=2,$B$11-B52&gt;=2)</f>
        <v/>
      </c>
      <c r="D52">
        <f>SUMPRODUCT((Calc!$F$3:$F$22&lt;=LTP!$B$5)*Calc!$K$3:$K$22*(Calc!$G$3:$G$22&gt;A52)*(Calc!$G$3:$G$22-A52))</f>
        <v/>
      </c>
      <c r="E52">
        <f>SUMPRODUCT((Calc!$F$3:$F$22&lt;=LTP!$B$5)*Calc!$K$3:$K$22*(Calc!$G$3:$G$22&gt;A52)*(Calc!$G$3:$G$22-A52)^2)</f>
        <v/>
      </c>
      <c r="F52">
        <f>SUMPRODUCT((Calc!$F$3:$F$22&lt;=LTP!$B$5)*Calc!$K$3:$K$22*(Calc!$G$3:$G$22&gt;A52)*(Calc!$G$3:$G$22-A52)*Calc!$G$3:$G$22)</f>
        <v/>
      </c>
      <c r="G52">
        <f>SUMPRODUCT((Calc!$F$3:$F$22&lt;=LTP!$B$5)*Calc!$K$3:$K$22*(Calc!$G$3:$G$22&gt;A52)*(Calc!$G$3:$G$22-A52)*Calc!$I$3:$I$22)</f>
        <v/>
      </c>
      <c r="H52">
        <f>IF($B$11&gt;0,F52-$C$11*D52/$B$11,0)</f>
        <v/>
      </c>
      <c r="I52">
        <f>IF($B$11&gt;0,E52-D52^2/$B$11,0)</f>
        <v/>
      </c>
      <c r="J52">
        <f>IF($B$11&gt;0,G52-D52*$D$11/$B$11,0)</f>
        <v/>
      </c>
      <c r="K52">
        <f>$H$11*I52-H52^2</f>
        <v/>
      </c>
      <c r="L52">
        <f>IF(ABS(K52)&gt;1E-12,($H$11*J52-H52*$I$11)/K52,0)</f>
        <v/>
      </c>
      <c r="M52">
        <f>IF(ABS(K52)&gt;1E-12,(I52*$I$11-H52*J52)/K52,0)</f>
        <v/>
      </c>
      <c r="N52">
        <f>$J$11-M52*$I$11-L52*J52</f>
        <v/>
      </c>
      <c r="O52">
        <f>IF(AND(C52,ABS(K52)&gt;1E-12,L52&gt;0),N52,1E+300)</f>
        <v/>
      </c>
    </row>
    <row r="53">
      <c r="A53">
        <f>$K$11+($L$11-$K$11)*39/400</f>
        <v/>
      </c>
      <c r="B53">
        <f>SUMPRODUCT((Calc!$F$3:$F$22&lt;=LTP!$B$5)*Calc!$K$3:$K$22*(Calc!$G$3:$G$22&lt;=A53))</f>
        <v/>
      </c>
      <c r="C53">
        <f>AND(B53&gt;=2,$B$11-B53&gt;=2)</f>
        <v/>
      </c>
      <c r="D53">
        <f>SUMPRODUCT((Calc!$F$3:$F$22&lt;=LTP!$B$5)*Calc!$K$3:$K$22*(Calc!$G$3:$G$22&gt;A53)*(Calc!$G$3:$G$22-A53))</f>
        <v/>
      </c>
      <c r="E53">
        <f>SUMPRODUCT((Calc!$F$3:$F$22&lt;=LTP!$B$5)*Calc!$K$3:$K$22*(Calc!$G$3:$G$22&gt;A53)*(Calc!$G$3:$G$22-A53)^2)</f>
        <v/>
      </c>
      <c r="F53">
        <f>SUMPRODUCT((Calc!$F$3:$F$22&lt;=LTP!$B$5)*Calc!$K$3:$K$22*(Calc!$G$3:$G$22&gt;A53)*(Calc!$G$3:$G$22-A53)*Calc!$G$3:$G$22)</f>
        <v/>
      </c>
      <c r="G53">
        <f>SUMPRODUCT((Calc!$F$3:$F$22&lt;=LTP!$B$5)*Calc!$K$3:$K$22*(Calc!$G$3:$G$22&gt;A53)*(Calc!$G$3:$G$22-A53)*Calc!$I$3:$I$22)</f>
        <v/>
      </c>
      <c r="H53">
        <f>IF($B$11&gt;0,F53-$C$11*D53/$B$11,0)</f>
        <v/>
      </c>
      <c r="I53">
        <f>IF($B$11&gt;0,E53-D53^2/$B$11,0)</f>
        <v/>
      </c>
      <c r="J53">
        <f>IF($B$11&gt;0,G53-D53*$D$11/$B$11,0)</f>
        <v/>
      </c>
      <c r="K53">
        <f>$H$11*I53-H53^2</f>
        <v/>
      </c>
      <c r="L53">
        <f>IF(ABS(K53)&gt;1E-12,($H$11*J53-H53*$I$11)/K53,0)</f>
        <v/>
      </c>
      <c r="M53">
        <f>IF(ABS(K53)&gt;1E-12,(I53*$I$11-H53*J53)/K53,0)</f>
        <v/>
      </c>
      <c r="N53">
        <f>$J$11-M53*$I$11-L53*J53</f>
        <v/>
      </c>
      <c r="O53">
        <f>IF(AND(C53,ABS(K53)&gt;1E-12,L53&gt;0),N53,1E+300)</f>
        <v/>
      </c>
    </row>
    <row r="54">
      <c r="A54">
        <f>$K$11+($L$11-$K$11)*40/400</f>
        <v/>
      </c>
      <c r="B54">
        <f>SUMPRODUCT((Calc!$F$3:$F$22&lt;=LTP!$B$5)*Calc!$K$3:$K$22*(Calc!$G$3:$G$22&lt;=A54))</f>
        <v/>
      </c>
      <c r="C54">
        <f>AND(B54&gt;=2,$B$11-B54&gt;=2)</f>
        <v/>
      </c>
      <c r="D54">
        <f>SUMPRODUCT((Calc!$F$3:$F$22&lt;=LTP!$B$5)*Calc!$K$3:$K$22*(Calc!$G$3:$G$22&gt;A54)*(Calc!$G$3:$G$22-A54))</f>
        <v/>
      </c>
      <c r="E54">
        <f>SUMPRODUCT((Calc!$F$3:$F$22&lt;=LTP!$B$5)*Calc!$K$3:$K$22*(Calc!$G$3:$G$22&gt;A54)*(Calc!$G$3:$G$22-A54)^2)</f>
        <v/>
      </c>
      <c r="F54">
        <f>SUMPRODUCT((Calc!$F$3:$F$22&lt;=LTP!$B$5)*Calc!$K$3:$K$22*(Calc!$G$3:$G$22&gt;A54)*(Calc!$G$3:$G$22-A54)*Calc!$G$3:$G$22)</f>
        <v/>
      </c>
      <c r="G54">
        <f>SUMPRODUCT((Calc!$F$3:$F$22&lt;=LTP!$B$5)*Calc!$K$3:$K$22*(Calc!$G$3:$G$22&gt;A54)*(Calc!$G$3:$G$22-A54)*Calc!$I$3:$I$22)</f>
        <v/>
      </c>
      <c r="H54">
        <f>IF($B$11&gt;0,F54-$C$11*D54/$B$11,0)</f>
        <v/>
      </c>
      <c r="I54">
        <f>IF($B$11&gt;0,E54-D54^2/$B$11,0)</f>
        <v/>
      </c>
      <c r="J54">
        <f>IF($B$11&gt;0,G54-D54*$D$11/$B$11,0)</f>
        <v/>
      </c>
      <c r="K54">
        <f>$H$11*I54-H54^2</f>
        <v/>
      </c>
      <c r="L54">
        <f>IF(ABS(K54)&gt;1E-12,($H$11*J54-H54*$I$11)/K54,0)</f>
        <v/>
      </c>
      <c r="M54">
        <f>IF(ABS(K54)&gt;1E-12,(I54*$I$11-H54*J54)/K54,0)</f>
        <v/>
      </c>
      <c r="N54">
        <f>$J$11-M54*$I$11-L54*J54</f>
        <v/>
      </c>
      <c r="O54">
        <f>IF(AND(C54,ABS(K54)&gt;1E-12,L54&gt;0),N54,1E+300)</f>
        <v/>
      </c>
    </row>
    <row r="55">
      <c r="A55">
        <f>$K$11+($L$11-$K$11)*41/400</f>
        <v/>
      </c>
      <c r="B55">
        <f>SUMPRODUCT((Calc!$F$3:$F$22&lt;=LTP!$B$5)*Calc!$K$3:$K$22*(Calc!$G$3:$G$22&lt;=A55))</f>
        <v/>
      </c>
      <c r="C55">
        <f>AND(B55&gt;=2,$B$11-B55&gt;=2)</f>
        <v/>
      </c>
      <c r="D55">
        <f>SUMPRODUCT((Calc!$F$3:$F$22&lt;=LTP!$B$5)*Calc!$K$3:$K$22*(Calc!$G$3:$G$22&gt;A55)*(Calc!$G$3:$G$22-A55))</f>
        <v/>
      </c>
      <c r="E55">
        <f>SUMPRODUCT((Calc!$F$3:$F$22&lt;=LTP!$B$5)*Calc!$K$3:$K$22*(Calc!$G$3:$G$22&gt;A55)*(Calc!$G$3:$G$22-A55)^2)</f>
        <v/>
      </c>
      <c r="F55">
        <f>SUMPRODUCT((Calc!$F$3:$F$22&lt;=LTP!$B$5)*Calc!$K$3:$K$22*(Calc!$G$3:$G$22&gt;A55)*(Calc!$G$3:$G$22-A55)*Calc!$G$3:$G$22)</f>
        <v/>
      </c>
      <c r="G55">
        <f>SUMPRODUCT((Calc!$F$3:$F$22&lt;=LTP!$B$5)*Calc!$K$3:$K$22*(Calc!$G$3:$G$22&gt;A55)*(Calc!$G$3:$G$22-A55)*Calc!$I$3:$I$22)</f>
        <v/>
      </c>
      <c r="H55">
        <f>IF($B$11&gt;0,F55-$C$11*D55/$B$11,0)</f>
        <v/>
      </c>
      <c r="I55">
        <f>IF($B$11&gt;0,E55-D55^2/$B$11,0)</f>
        <v/>
      </c>
      <c r="J55">
        <f>IF($B$11&gt;0,G55-D55*$D$11/$B$11,0)</f>
        <v/>
      </c>
      <c r="K55">
        <f>$H$11*I55-H55^2</f>
        <v/>
      </c>
      <c r="L55">
        <f>IF(ABS(K55)&gt;1E-12,($H$11*J55-H55*$I$11)/K55,0)</f>
        <v/>
      </c>
      <c r="M55">
        <f>IF(ABS(K55)&gt;1E-12,(I55*$I$11-H55*J55)/K55,0)</f>
        <v/>
      </c>
      <c r="N55">
        <f>$J$11-M55*$I$11-L55*J55</f>
        <v/>
      </c>
      <c r="O55">
        <f>IF(AND(C55,ABS(K55)&gt;1E-12,L55&gt;0),N55,1E+300)</f>
        <v/>
      </c>
    </row>
    <row r="56">
      <c r="A56">
        <f>$K$11+($L$11-$K$11)*42/400</f>
        <v/>
      </c>
      <c r="B56">
        <f>SUMPRODUCT((Calc!$F$3:$F$22&lt;=LTP!$B$5)*Calc!$K$3:$K$22*(Calc!$G$3:$G$22&lt;=A56))</f>
        <v/>
      </c>
      <c r="C56">
        <f>AND(B56&gt;=2,$B$11-B56&gt;=2)</f>
        <v/>
      </c>
      <c r="D56">
        <f>SUMPRODUCT((Calc!$F$3:$F$22&lt;=LTP!$B$5)*Calc!$K$3:$K$22*(Calc!$G$3:$G$22&gt;A56)*(Calc!$G$3:$G$22-A56))</f>
        <v/>
      </c>
      <c r="E56">
        <f>SUMPRODUCT((Calc!$F$3:$F$22&lt;=LTP!$B$5)*Calc!$K$3:$K$22*(Calc!$G$3:$G$22&gt;A56)*(Calc!$G$3:$G$22-A56)^2)</f>
        <v/>
      </c>
      <c r="F56">
        <f>SUMPRODUCT((Calc!$F$3:$F$22&lt;=LTP!$B$5)*Calc!$K$3:$K$22*(Calc!$G$3:$G$22&gt;A56)*(Calc!$G$3:$G$22-A56)*Calc!$G$3:$G$22)</f>
        <v/>
      </c>
      <c r="G56">
        <f>SUMPRODUCT((Calc!$F$3:$F$22&lt;=LTP!$B$5)*Calc!$K$3:$K$22*(Calc!$G$3:$G$22&gt;A56)*(Calc!$G$3:$G$22-A56)*Calc!$I$3:$I$22)</f>
        <v/>
      </c>
      <c r="H56">
        <f>IF($B$11&gt;0,F56-$C$11*D56/$B$11,0)</f>
        <v/>
      </c>
      <c r="I56">
        <f>IF($B$11&gt;0,E56-D56^2/$B$11,0)</f>
        <v/>
      </c>
      <c r="J56">
        <f>IF($B$11&gt;0,G56-D56*$D$11/$B$11,0)</f>
        <v/>
      </c>
      <c r="K56">
        <f>$H$11*I56-H56^2</f>
        <v/>
      </c>
      <c r="L56">
        <f>IF(ABS(K56)&gt;1E-12,($H$11*J56-H56*$I$11)/K56,0)</f>
        <v/>
      </c>
      <c r="M56">
        <f>IF(ABS(K56)&gt;1E-12,(I56*$I$11-H56*J56)/K56,0)</f>
        <v/>
      </c>
      <c r="N56">
        <f>$J$11-M56*$I$11-L56*J56</f>
        <v/>
      </c>
      <c r="O56">
        <f>IF(AND(C56,ABS(K56)&gt;1E-12,L56&gt;0),N56,1E+300)</f>
        <v/>
      </c>
    </row>
    <row r="57">
      <c r="A57">
        <f>$K$11+($L$11-$K$11)*43/400</f>
        <v/>
      </c>
      <c r="B57">
        <f>SUMPRODUCT((Calc!$F$3:$F$22&lt;=LTP!$B$5)*Calc!$K$3:$K$22*(Calc!$G$3:$G$22&lt;=A57))</f>
        <v/>
      </c>
      <c r="C57">
        <f>AND(B57&gt;=2,$B$11-B57&gt;=2)</f>
        <v/>
      </c>
      <c r="D57">
        <f>SUMPRODUCT((Calc!$F$3:$F$22&lt;=LTP!$B$5)*Calc!$K$3:$K$22*(Calc!$G$3:$G$22&gt;A57)*(Calc!$G$3:$G$22-A57))</f>
        <v/>
      </c>
      <c r="E57">
        <f>SUMPRODUCT((Calc!$F$3:$F$22&lt;=LTP!$B$5)*Calc!$K$3:$K$22*(Calc!$G$3:$G$22&gt;A57)*(Calc!$G$3:$G$22-A57)^2)</f>
        <v/>
      </c>
      <c r="F57">
        <f>SUMPRODUCT((Calc!$F$3:$F$22&lt;=LTP!$B$5)*Calc!$K$3:$K$22*(Calc!$G$3:$G$22&gt;A57)*(Calc!$G$3:$G$22-A57)*Calc!$G$3:$G$22)</f>
        <v/>
      </c>
      <c r="G57">
        <f>SUMPRODUCT((Calc!$F$3:$F$22&lt;=LTP!$B$5)*Calc!$K$3:$K$22*(Calc!$G$3:$G$22&gt;A57)*(Calc!$G$3:$G$22-A57)*Calc!$I$3:$I$22)</f>
        <v/>
      </c>
      <c r="H57">
        <f>IF($B$11&gt;0,F57-$C$11*D57/$B$11,0)</f>
        <v/>
      </c>
      <c r="I57">
        <f>IF($B$11&gt;0,E57-D57^2/$B$11,0)</f>
        <v/>
      </c>
      <c r="J57">
        <f>IF($B$11&gt;0,G57-D57*$D$11/$B$11,0)</f>
        <v/>
      </c>
      <c r="K57">
        <f>$H$11*I57-H57^2</f>
        <v/>
      </c>
      <c r="L57">
        <f>IF(ABS(K57)&gt;1E-12,($H$11*J57-H57*$I$11)/K57,0)</f>
        <v/>
      </c>
      <c r="M57">
        <f>IF(ABS(K57)&gt;1E-12,(I57*$I$11-H57*J57)/K57,0)</f>
        <v/>
      </c>
      <c r="N57">
        <f>$J$11-M57*$I$11-L57*J57</f>
        <v/>
      </c>
      <c r="O57">
        <f>IF(AND(C57,ABS(K57)&gt;1E-12,L57&gt;0),N57,1E+300)</f>
        <v/>
      </c>
    </row>
    <row r="58">
      <c r="A58">
        <f>$K$11+($L$11-$K$11)*44/400</f>
        <v/>
      </c>
      <c r="B58">
        <f>SUMPRODUCT((Calc!$F$3:$F$22&lt;=LTP!$B$5)*Calc!$K$3:$K$22*(Calc!$G$3:$G$22&lt;=A58))</f>
        <v/>
      </c>
      <c r="C58">
        <f>AND(B58&gt;=2,$B$11-B58&gt;=2)</f>
        <v/>
      </c>
      <c r="D58">
        <f>SUMPRODUCT((Calc!$F$3:$F$22&lt;=LTP!$B$5)*Calc!$K$3:$K$22*(Calc!$G$3:$G$22&gt;A58)*(Calc!$G$3:$G$22-A58))</f>
        <v/>
      </c>
      <c r="E58">
        <f>SUMPRODUCT((Calc!$F$3:$F$22&lt;=LTP!$B$5)*Calc!$K$3:$K$22*(Calc!$G$3:$G$22&gt;A58)*(Calc!$G$3:$G$22-A58)^2)</f>
        <v/>
      </c>
      <c r="F58">
        <f>SUMPRODUCT((Calc!$F$3:$F$22&lt;=LTP!$B$5)*Calc!$K$3:$K$22*(Calc!$G$3:$G$22&gt;A58)*(Calc!$G$3:$G$22-A58)*Calc!$G$3:$G$22)</f>
        <v/>
      </c>
      <c r="G58">
        <f>SUMPRODUCT((Calc!$F$3:$F$22&lt;=LTP!$B$5)*Calc!$K$3:$K$22*(Calc!$G$3:$G$22&gt;A58)*(Calc!$G$3:$G$22-A58)*Calc!$I$3:$I$22)</f>
        <v/>
      </c>
      <c r="H58">
        <f>IF($B$11&gt;0,F58-$C$11*D58/$B$11,0)</f>
        <v/>
      </c>
      <c r="I58">
        <f>IF($B$11&gt;0,E58-D58^2/$B$11,0)</f>
        <v/>
      </c>
      <c r="J58">
        <f>IF($B$11&gt;0,G58-D58*$D$11/$B$11,0)</f>
        <v/>
      </c>
      <c r="K58">
        <f>$H$11*I58-H58^2</f>
        <v/>
      </c>
      <c r="L58">
        <f>IF(ABS(K58)&gt;1E-12,($H$11*J58-H58*$I$11)/K58,0)</f>
        <v/>
      </c>
      <c r="M58">
        <f>IF(ABS(K58)&gt;1E-12,(I58*$I$11-H58*J58)/K58,0)</f>
        <v/>
      </c>
      <c r="N58">
        <f>$J$11-M58*$I$11-L58*J58</f>
        <v/>
      </c>
      <c r="O58">
        <f>IF(AND(C58,ABS(K58)&gt;1E-12,L58&gt;0),N58,1E+300)</f>
        <v/>
      </c>
    </row>
    <row r="59">
      <c r="A59">
        <f>$K$11+($L$11-$K$11)*45/400</f>
        <v/>
      </c>
      <c r="B59">
        <f>SUMPRODUCT((Calc!$F$3:$F$22&lt;=LTP!$B$5)*Calc!$K$3:$K$22*(Calc!$G$3:$G$22&lt;=A59))</f>
        <v/>
      </c>
      <c r="C59">
        <f>AND(B59&gt;=2,$B$11-B59&gt;=2)</f>
        <v/>
      </c>
      <c r="D59">
        <f>SUMPRODUCT((Calc!$F$3:$F$22&lt;=LTP!$B$5)*Calc!$K$3:$K$22*(Calc!$G$3:$G$22&gt;A59)*(Calc!$G$3:$G$22-A59))</f>
        <v/>
      </c>
      <c r="E59">
        <f>SUMPRODUCT((Calc!$F$3:$F$22&lt;=LTP!$B$5)*Calc!$K$3:$K$22*(Calc!$G$3:$G$22&gt;A59)*(Calc!$G$3:$G$22-A59)^2)</f>
        <v/>
      </c>
      <c r="F59">
        <f>SUMPRODUCT((Calc!$F$3:$F$22&lt;=LTP!$B$5)*Calc!$K$3:$K$22*(Calc!$G$3:$G$22&gt;A59)*(Calc!$G$3:$G$22-A59)*Calc!$G$3:$G$22)</f>
        <v/>
      </c>
      <c r="G59">
        <f>SUMPRODUCT((Calc!$F$3:$F$22&lt;=LTP!$B$5)*Calc!$K$3:$K$22*(Calc!$G$3:$G$22&gt;A59)*(Calc!$G$3:$G$22-A59)*Calc!$I$3:$I$22)</f>
        <v/>
      </c>
      <c r="H59">
        <f>IF($B$11&gt;0,F59-$C$11*D59/$B$11,0)</f>
        <v/>
      </c>
      <c r="I59">
        <f>IF($B$11&gt;0,E59-D59^2/$B$11,0)</f>
        <v/>
      </c>
      <c r="J59">
        <f>IF($B$11&gt;0,G59-D59*$D$11/$B$11,0)</f>
        <v/>
      </c>
      <c r="K59">
        <f>$H$11*I59-H59^2</f>
        <v/>
      </c>
      <c r="L59">
        <f>IF(ABS(K59)&gt;1E-12,($H$11*J59-H59*$I$11)/K59,0)</f>
        <v/>
      </c>
      <c r="M59">
        <f>IF(ABS(K59)&gt;1E-12,(I59*$I$11-H59*J59)/K59,0)</f>
        <v/>
      </c>
      <c r="N59">
        <f>$J$11-M59*$I$11-L59*J59</f>
        <v/>
      </c>
      <c r="O59">
        <f>IF(AND(C59,ABS(K59)&gt;1E-12,L59&gt;0),N59,1E+300)</f>
        <v/>
      </c>
    </row>
    <row r="60">
      <c r="A60">
        <f>$K$11+($L$11-$K$11)*46/400</f>
        <v/>
      </c>
      <c r="B60">
        <f>SUMPRODUCT((Calc!$F$3:$F$22&lt;=LTP!$B$5)*Calc!$K$3:$K$22*(Calc!$G$3:$G$22&lt;=A60))</f>
        <v/>
      </c>
      <c r="C60">
        <f>AND(B60&gt;=2,$B$11-B60&gt;=2)</f>
        <v/>
      </c>
      <c r="D60">
        <f>SUMPRODUCT((Calc!$F$3:$F$22&lt;=LTP!$B$5)*Calc!$K$3:$K$22*(Calc!$G$3:$G$22&gt;A60)*(Calc!$G$3:$G$22-A60))</f>
        <v/>
      </c>
      <c r="E60">
        <f>SUMPRODUCT((Calc!$F$3:$F$22&lt;=LTP!$B$5)*Calc!$K$3:$K$22*(Calc!$G$3:$G$22&gt;A60)*(Calc!$G$3:$G$22-A60)^2)</f>
        <v/>
      </c>
      <c r="F60">
        <f>SUMPRODUCT((Calc!$F$3:$F$22&lt;=LTP!$B$5)*Calc!$K$3:$K$22*(Calc!$G$3:$G$22&gt;A60)*(Calc!$G$3:$G$22-A60)*Calc!$G$3:$G$22)</f>
        <v/>
      </c>
      <c r="G60">
        <f>SUMPRODUCT((Calc!$F$3:$F$22&lt;=LTP!$B$5)*Calc!$K$3:$K$22*(Calc!$G$3:$G$22&gt;A60)*(Calc!$G$3:$G$22-A60)*Calc!$I$3:$I$22)</f>
        <v/>
      </c>
      <c r="H60">
        <f>IF($B$11&gt;0,F60-$C$11*D60/$B$11,0)</f>
        <v/>
      </c>
      <c r="I60">
        <f>IF($B$11&gt;0,E60-D60^2/$B$11,0)</f>
        <v/>
      </c>
      <c r="J60">
        <f>IF($B$11&gt;0,G60-D60*$D$11/$B$11,0)</f>
        <v/>
      </c>
      <c r="K60">
        <f>$H$11*I60-H60^2</f>
        <v/>
      </c>
      <c r="L60">
        <f>IF(ABS(K60)&gt;1E-12,($H$11*J60-H60*$I$11)/K60,0)</f>
        <v/>
      </c>
      <c r="M60">
        <f>IF(ABS(K60)&gt;1E-12,(I60*$I$11-H60*J60)/K60,0)</f>
        <v/>
      </c>
      <c r="N60">
        <f>$J$11-M60*$I$11-L60*J60</f>
        <v/>
      </c>
      <c r="O60">
        <f>IF(AND(C60,ABS(K60)&gt;1E-12,L60&gt;0),N60,1E+300)</f>
        <v/>
      </c>
    </row>
    <row r="61">
      <c r="A61">
        <f>$K$11+($L$11-$K$11)*47/400</f>
        <v/>
      </c>
      <c r="B61">
        <f>SUMPRODUCT((Calc!$F$3:$F$22&lt;=LTP!$B$5)*Calc!$K$3:$K$22*(Calc!$G$3:$G$22&lt;=A61))</f>
        <v/>
      </c>
      <c r="C61">
        <f>AND(B61&gt;=2,$B$11-B61&gt;=2)</f>
        <v/>
      </c>
      <c r="D61">
        <f>SUMPRODUCT((Calc!$F$3:$F$22&lt;=LTP!$B$5)*Calc!$K$3:$K$22*(Calc!$G$3:$G$22&gt;A61)*(Calc!$G$3:$G$22-A61))</f>
        <v/>
      </c>
      <c r="E61">
        <f>SUMPRODUCT((Calc!$F$3:$F$22&lt;=LTP!$B$5)*Calc!$K$3:$K$22*(Calc!$G$3:$G$22&gt;A61)*(Calc!$G$3:$G$22-A61)^2)</f>
        <v/>
      </c>
      <c r="F61">
        <f>SUMPRODUCT((Calc!$F$3:$F$22&lt;=LTP!$B$5)*Calc!$K$3:$K$22*(Calc!$G$3:$G$22&gt;A61)*(Calc!$G$3:$G$22-A61)*Calc!$G$3:$G$22)</f>
        <v/>
      </c>
      <c r="G61">
        <f>SUMPRODUCT((Calc!$F$3:$F$22&lt;=LTP!$B$5)*Calc!$K$3:$K$22*(Calc!$G$3:$G$22&gt;A61)*(Calc!$G$3:$G$22-A61)*Calc!$I$3:$I$22)</f>
        <v/>
      </c>
      <c r="H61">
        <f>IF($B$11&gt;0,F61-$C$11*D61/$B$11,0)</f>
        <v/>
      </c>
      <c r="I61">
        <f>IF($B$11&gt;0,E61-D61^2/$B$11,0)</f>
        <v/>
      </c>
      <c r="J61">
        <f>IF($B$11&gt;0,G61-D61*$D$11/$B$11,0)</f>
        <v/>
      </c>
      <c r="K61">
        <f>$H$11*I61-H61^2</f>
        <v/>
      </c>
      <c r="L61">
        <f>IF(ABS(K61)&gt;1E-12,($H$11*J61-H61*$I$11)/K61,0)</f>
        <v/>
      </c>
      <c r="M61">
        <f>IF(ABS(K61)&gt;1E-12,(I61*$I$11-H61*J61)/K61,0)</f>
        <v/>
      </c>
      <c r="N61">
        <f>$J$11-M61*$I$11-L61*J61</f>
        <v/>
      </c>
      <c r="O61">
        <f>IF(AND(C61,ABS(K61)&gt;1E-12,L61&gt;0),N61,1E+300)</f>
        <v/>
      </c>
    </row>
    <row r="62">
      <c r="A62">
        <f>$K$11+($L$11-$K$11)*48/400</f>
        <v/>
      </c>
      <c r="B62">
        <f>SUMPRODUCT((Calc!$F$3:$F$22&lt;=LTP!$B$5)*Calc!$K$3:$K$22*(Calc!$G$3:$G$22&lt;=A62))</f>
        <v/>
      </c>
      <c r="C62">
        <f>AND(B62&gt;=2,$B$11-B62&gt;=2)</f>
        <v/>
      </c>
      <c r="D62">
        <f>SUMPRODUCT((Calc!$F$3:$F$22&lt;=LTP!$B$5)*Calc!$K$3:$K$22*(Calc!$G$3:$G$22&gt;A62)*(Calc!$G$3:$G$22-A62))</f>
        <v/>
      </c>
      <c r="E62">
        <f>SUMPRODUCT((Calc!$F$3:$F$22&lt;=LTP!$B$5)*Calc!$K$3:$K$22*(Calc!$G$3:$G$22&gt;A62)*(Calc!$G$3:$G$22-A62)^2)</f>
        <v/>
      </c>
      <c r="F62">
        <f>SUMPRODUCT((Calc!$F$3:$F$22&lt;=LTP!$B$5)*Calc!$K$3:$K$22*(Calc!$G$3:$G$22&gt;A62)*(Calc!$G$3:$G$22-A62)*Calc!$G$3:$G$22)</f>
        <v/>
      </c>
      <c r="G62">
        <f>SUMPRODUCT((Calc!$F$3:$F$22&lt;=LTP!$B$5)*Calc!$K$3:$K$22*(Calc!$G$3:$G$22&gt;A62)*(Calc!$G$3:$G$22-A62)*Calc!$I$3:$I$22)</f>
        <v/>
      </c>
      <c r="H62">
        <f>IF($B$11&gt;0,F62-$C$11*D62/$B$11,0)</f>
        <v/>
      </c>
      <c r="I62">
        <f>IF($B$11&gt;0,E62-D62^2/$B$11,0)</f>
        <v/>
      </c>
      <c r="J62">
        <f>IF($B$11&gt;0,G62-D62*$D$11/$B$11,0)</f>
        <v/>
      </c>
      <c r="K62">
        <f>$H$11*I62-H62^2</f>
        <v/>
      </c>
      <c r="L62">
        <f>IF(ABS(K62)&gt;1E-12,($H$11*J62-H62*$I$11)/K62,0)</f>
        <v/>
      </c>
      <c r="M62">
        <f>IF(ABS(K62)&gt;1E-12,(I62*$I$11-H62*J62)/K62,0)</f>
        <v/>
      </c>
      <c r="N62">
        <f>$J$11-M62*$I$11-L62*J62</f>
        <v/>
      </c>
      <c r="O62">
        <f>IF(AND(C62,ABS(K62)&gt;1E-12,L62&gt;0),N62,1E+300)</f>
        <v/>
      </c>
    </row>
    <row r="63">
      <c r="A63">
        <f>$K$11+($L$11-$K$11)*49/400</f>
        <v/>
      </c>
      <c r="B63">
        <f>SUMPRODUCT((Calc!$F$3:$F$22&lt;=LTP!$B$5)*Calc!$K$3:$K$22*(Calc!$G$3:$G$22&lt;=A63))</f>
        <v/>
      </c>
      <c r="C63">
        <f>AND(B63&gt;=2,$B$11-B63&gt;=2)</f>
        <v/>
      </c>
      <c r="D63">
        <f>SUMPRODUCT((Calc!$F$3:$F$22&lt;=LTP!$B$5)*Calc!$K$3:$K$22*(Calc!$G$3:$G$22&gt;A63)*(Calc!$G$3:$G$22-A63))</f>
        <v/>
      </c>
      <c r="E63">
        <f>SUMPRODUCT((Calc!$F$3:$F$22&lt;=LTP!$B$5)*Calc!$K$3:$K$22*(Calc!$G$3:$G$22&gt;A63)*(Calc!$G$3:$G$22-A63)^2)</f>
        <v/>
      </c>
      <c r="F63">
        <f>SUMPRODUCT((Calc!$F$3:$F$22&lt;=LTP!$B$5)*Calc!$K$3:$K$22*(Calc!$G$3:$G$22&gt;A63)*(Calc!$G$3:$G$22-A63)*Calc!$G$3:$G$22)</f>
        <v/>
      </c>
      <c r="G63">
        <f>SUMPRODUCT((Calc!$F$3:$F$22&lt;=LTP!$B$5)*Calc!$K$3:$K$22*(Calc!$G$3:$G$22&gt;A63)*(Calc!$G$3:$G$22-A63)*Calc!$I$3:$I$22)</f>
        <v/>
      </c>
      <c r="H63">
        <f>IF($B$11&gt;0,F63-$C$11*D63/$B$11,0)</f>
        <v/>
      </c>
      <c r="I63">
        <f>IF($B$11&gt;0,E63-D63^2/$B$11,0)</f>
        <v/>
      </c>
      <c r="J63">
        <f>IF($B$11&gt;0,G63-D63*$D$11/$B$11,0)</f>
        <v/>
      </c>
      <c r="K63">
        <f>$H$11*I63-H63^2</f>
        <v/>
      </c>
      <c r="L63">
        <f>IF(ABS(K63)&gt;1E-12,($H$11*J63-H63*$I$11)/K63,0)</f>
        <v/>
      </c>
      <c r="M63">
        <f>IF(ABS(K63)&gt;1E-12,(I63*$I$11-H63*J63)/K63,0)</f>
        <v/>
      </c>
      <c r="N63">
        <f>$J$11-M63*$I$11-L63*J63</f>
        <v/>
      </c>
      <c r="O63">
        <f>IF(AND(C63,ABS(K63)&gt;1E-12,L63&gt;0),N63,1E+300)</f>
        <v/>
      </c>
    </row>
    <row r="64">
      <c r="A64">
        <f>$K$11+($L$11-$K$11)*50/400</f>
        <v/>
      </c>
      <c r="B64">
        <f>SUMPRODUCT((Calc!$F$3:$F$22&lt;=LTP!$B$5)*Calc!$K$3:$K$22*(Calc!$G$3:$G$22&lt;=A64))</f>
        <v/>
      </c>
      <c r="C64">
        <f>AND(B64&gt;=2,$B$11-B64&gt;=2)</f>
        <v/>
      </c>
      <c r="D64">
        <f>SUMPRODUCT((Calc!$F$3:$F$22&lt;=LTP!$B$5)*Calc!$K$3:$K$22*(Calc!$G$3:$G$22&gt;A64)*(Calc!$G$3:$G$22-A64))</f>
        <v/>
      </c>
      <c r="E64">
        <f>SUMPRODUCT((Calc!$F$3:$F$22&lt;=LTP!$B$5)*Calc!$K$3:$K$22*(Calc!$G$3:$G$22&gt;A64)*(Calc!$G$3:$G$22-A64)^2)</f>
        <v/>
      </c>
      <c r="F64">
        <f>SUMPRODUCT((Calc!$F$3:$F$22&lt;=LTP!$B$5)*Calc!$K$3:$K$22*(Calc!$G$3:$G$22&gt;A64)*(Calc!$G$3:$G$22-A64)*Calc!$G$3:$G$22)</f>
        <v/>
      </c>
      <c r="G64">
        <f>SUMPRODUCT((Calc!$F$3:$F$22&lt;=LTP!$B$5)*Calc!$K$3:$K$22*(Calc!$G$3:$G$22&gt;A64)*(Calc!$G$3:$G$22-A64)*Calc!$I$3:$I$22)</f>
        <v/>
      </c>
      <c r="H64">
        <f>IF($B$11&gt;0,F64-$C$11*D64/$B$11,0)</f>
        <v/>
      </c>
      <c r="I64">
        <f>IF($B$11&gt;0,E64-D64^2/$B$11,0)</f>
        <v/>
      </c>
      <c r="J64">
        <f>IF($B$11&gt;0,G64-D64*$D$11/$B$11,0)</f>
        <v/>
      </c>
      <c r="K64">
        <f>$H$11*I64-H64^2</f>
        <v/>
      </c>
      <c r="L64">
        <f>IF(ABS(K64)&gt;1E-12,($H$11*J64-H64*$I$11)/K64,0)</f>
        <v/>
      </c>
      <c r="M64">
        <f>IF(ABS(K64)&gt;1E-12,(I64*$I$11-H64*J64)/K64,0)</f>
        <v/>
      </c>
      <c r="N64">
        <f>$J$11-M64*$I$11-L64*J64</f>
        <v/>
      </c>
      <c r="O64">
        <f>IF(AND(C64,ABS(K64)&gt;1E-12,L64&gt;0),N64,1E+300)</f>
        <v/>
      </c>
    </row>
    <row r="65">
      <c r="A65">
        <f>$K$11+($L$11-$K$11)*51/400</f>
        <v/>
      </c>
      <c r="B65">
        <f>SUMPRODUCT((Calc!$F$3:$F$22&lt;=LTP!$B$5)*Calc!$K$3:$K$22*(Calc!$G$3:$G$22&lt;=A65))</f>
        <v/>
      </c>
      <c r="C65">
        <f>AND(B65&gt;=2,$B$11-B65&gt;=2)</f>
        <v/>
      </c>
      <c r="D65">
        <f>SUMPRODUCT((Calc!$F$3:$F$22&lt;=LTP!$B$5)*Calc!$K$3:$K$22*(Calc!$G$3:$G$22&gt;A65)*(Calc!$G$3:$G$22-A65))</f>
        <v/>
      </c>
      <c r="E65">
        <f>SUMPRODUCT((Calc!$F$3:$F$22&lt;=LTP!$B$5)*Calc!$K$3:$K$22*(Calc!$G$3:$G$22&gt;A65)*(Calc!$G$3:$G$22-A65)^2)</f>
        <v/>
      </c>
      <c r="F65">
        <f>SUMPRODUCT((Calc!$F$3:$F$22&lt;=LTP!$B$5)*Calc!$K$3:$K$22*(Calc!$G$3:$G$22&gt;A65)*(Calc!$G$3:$G$22-A65)*Calc!$G$3:$G$22)</f>
        <v/>
      </c>
      <c r="G65">
        <f>SUMPRODUCT((Calc!$F$3:$F$22&lt;=LTP!$B$5)*Calc!$K$3:$K$22*(Calc!$G$3:$G$22&gt;A65)*(Calc!$G$3:$G$22-A65)*Calc!$I$3:$I$22)</f>
        <v/>
      </c>
      <c r="H65">
        <f>IF($B$11&gt;0,F65-$C$11*D65/$B$11,0)</f>
        <v/>
      </c>
      <c r="I65">
        <f>IF($B$11&gt;0,E65-D65^2/$B$11,0)</f>
        <v/>
      </c>
      <c r="J65">
        <f>IF($B$11&gt;0,G65-D65*$D$11/$B$11,0)</f>
        <v/>
      </c>
      <c r="K65">
        <f>$H$11*I65-H65^2</f>
        <v/>
      </c>
      <c r="L65">
        <f>IF(ABS(K65)&gt;1E-12,($H$11*J65-H65*$I$11)/K65,0)</f>
        <v/>
      </c>
      <c r="M65">
        <f>IF(ABS(K65)&gt;1E-12,(I65*$I$11-H65*J65)/K65,0)</f>
        <v/>
      </c>
      <c r="N65">
        <f>$J$11-M65*$I$11-L65*J65</f>
        <v/>
      </c>
      <c r="O65">
        <f>IF(AND(C65,ABS(K65)&gt;1E-12,L65&gt;0),N65,1E+300)</f>
        <v/>
      </c>
    </row>
    <row r="66">
      <c r="A66">
        <f>$K$11+($L$11-$K$11)*52/400</f>
        <v/>
      </c>
      <c r="B66">
        <f>SUMPRODUCT((Calc!$F$3:$F$22&lt;=LTP!$B$5)*Calc!$K$3:$K$22*(Calc!$G$3:$G$22&lt;=A66))</f>
        <v/>
      </c>
      <c r="C66">
        <f>AND(B66&gt;=2,$B$11-B66&gt;=2)</f>
        <v/>
      </c>
      <c r="D66">
        <f>SUMPRODUCT((Calc!$F$3:$F$22&lt;=LTP!$B$5)*Calc!$K$3:$K$22*(Calc!$G$3:$G$22&gt;A66)*(Calc!$G$3:$G$22-A66))</f>
        <v/>
      </c>
      <c r="E66">
        <f>SUMPRODUCT((Calc!$F$3:$F$22&lt;=LTP!$B$5)*Calc!$K$3:$K$22*(Calc!$G$3:$G$22&gt;A66)*(Calc!$G$3:$G$22-A66)^2)</f>
        <v/>
      </c>
      <c r="F66">
        <f>SUMPRODUCT((Calc!$F$3:$F$22&lt;=LTP!$B$5)*Calc!$K$3:$K$22*(Calc!$G$3:$G$22&gt;A66)*(Calc!$G$3:$G$22-A66)*Calc!$G$3:$G$22)</f>
        <v/>
      </c>
      <c r="G66">
        <f>SUMPRODUCT((Calc!$F$3:$F$22&lt;=LTP!$B$5)*Calc!$K$3:$K$22*(Calc!$G$3:$G$22&gt;A66)*(Calc!$G$3:$G$22-A66)*Calc!$I$3:$I$22)</f>
        <v/>
      </c>
      <c r="H66">
        <f>IF($B$11&gt;0,F66-$C$11*D66/$B$11,0)</f>
        <v/>
      </c>
      <c r="I66">
        <f>IF($B$11&gt;0,E66-D66^2/$B$11,0)</f>
        <v/>
      </c>
      <c r="J66">
        <f>IF($B$11&gt;0,G66-D66*$D$11/$B$11,0)</f>
        <v/>
      </c>
      <c r="K66">
        <f>$H$11*I66-H66^2</f>
        <v/>
      </c>
      <c r="L66">
        <f>IF(ABS(K66)&gt;1E-12,($H$11*J66-H66*$I$11)/K66,0)</f>
        <v/>
      </c>
      <c r="M66">
        <f>IF(ABS(K66)&gt;1E-12,(I66*$I$11-H66*J66)/K66,0)</f>
        <v/>
      </c>
      <c r="N66">
        <f>$J$11-M66*$I$11-L66*J66</f>
        <v/>
      </c>
      <c r="O66">
        <f>IF(AND(C66,ABS(K66)&gt;1E-12,L66&gt;0),N66,1E+300)</f>
        <v/>
      </c>
    </row>
    <row r="67">
      <c r="A67">
        <f>$K$11+($L$11-$K$11)*53/400</f>
        <v/>
      </c>
      <c r="B67">
        <f>SUMPRODUCT((Calc!$F$3:$F$22&lt;=LTP!$B$5)*Calc!$K$3:$K$22*(Calc!$G$3:$G$22&lt;=A67))</f>
        <v/>
      </c>
      <c r="C67">
        <f>AND(B67&gt;=2,$B$11-B67&gt;=2)</f>
        <v/>
      </c>
      <c r="D67">
        <f>SUMPRODUCT((Calc!$F$3:$F$22&lt;=LTP!$B$5)*Calc!$K$3:$K$22*(Calc!$G$3:$G$22&gt;A67)*(Calc!$G$3:$G$22-A67))</f>
        <v/>
      </c>
      <c r="E67">
        <f>SUMPRODUCT((Calc!$F$3:$F$22&lt;=LTP!$B$5)*Calc!$K$3:$K$22*(Calc!$G$3:$G$22&gt;A67)*(Calc!$G$3:$G$22-A67)^2)</f>
        <v/>
      </c>
      <c r="F67">
        <f>SUMPRODUCT((Calc!$F$3:$F$22&lt;=LTP!$B$5)*Calc!$K$3:$K$22*(Calc!$G$3:$G$22&gt;A67)*(Calc!$G$3:$G$22-A67)*Calc!$G$3:$G$22)</f>
        <v/>
      </c>
      <c r="G67">
        <f>SUMPRODUCT((Calc!$F$3:$F$22&lt;=LTP!$B$5)*Calc!$K$3:$K$22*(Calc!$G$3:$G$22&gt;A67)*(Calc!$G$3:$G$22-A67)*Calc!$I$3:$I$22)</f>
        <v/>
      </c>
      <c r="H67">
        <f>IF($B$11&gt;0,F67-$C$11*D67/$B$11,0)</f>
        <v/>
      </c>
      <c r="I67">
        <f>IF($B$11&gt;0,E67-D67^2/$B$11,0)</f>
        <v/>
      </c>
      <c r="J67">
        <f>IF($B$11&gt;0,G67-D67*$D$11/$B$11,0)</f>
        <v/>
      </c>
      <c r="K67">
        <f>$H$11*I67-H67^2</f>
        <v/>
      </c>
      <c r="L67">
        <f>IF(ABS(K67)&gt;1E-12,($H$11*J67-H67*$I$11)/K67,0)</f>
        <v/>
      </c>
      <c r="M67">
        <f>IF(ABS(K67)&gt;1E-12,(I67*$I$11-H67*J67)/K67,0)</f>
        <v/>
      </c>
      <c r="N67">
        <f>$J$11-M67*$I$11-L67*J67</f>
        <v/>
      </c>
      <c r="O67">
        <f>IF(AND(C67,ABS(K67)&gt;1E-12,L67&gt;0),N67,1E+300)</f>
        <v/>
      </c>
    </row>
    <row r="68">
      <c r="A68">
        <f>$K$11+($L$11-$K$11)*54/400</f>
        <v/>
      </c>
      <c r="B68">
        <f>SUMPRODUCT((Calc!$F$3:$F$22&lt;=LTP!$B$5)*Calc!$K$3:$K$22*(Calc!$G$3:$G$22&lt;=A68))</f>
        <v/>
      </c>
      <c r="C68">
        <f>AND(B68&gt;=2,$B$11-B68&gt;=2)</f>
        <v/>
      </c>
      <c r="D68">
        <f>SUMPRODUCT((Calc!$F$3:$F$22&lt;=LTP!$B$5)*Calc!$K$3:$K$22*(Calc!$G$3:$G$22&gt;A68)*(Calc!$G$3:$G$22-A68))</f>
        <v/>
      </c>
      <c r="E68">
        <f>SUMPRODUCT((Calc!$F$3:$F$22&lt;=LTP!$B$5)*Calc!$K$3:$K$22*(Calc!$G$3:$G$22&gt;A68)*(Calc!$G$3:$G$22-A68)^2)</f>
        <v/>
      </c>
      <c r="F68">
        <f>SUMPRODUCT((Calc!$F$3:$F$22&lt;=LTP!$B$5)*Calc!$K$3:$K$22*(Calc!$G$3:$G$22&gt;A68)*(Calc!$G$3:$G$22-A68)*Calc!$G$3:$G$22)</f>
        <v/>
      </c>
      <c r="G68">
        <f>SUMPRODUCT((Calc!$F$3:$F$22&lt;=LTP!$B$5)*Calc!$K$3:$K$22*(Calc!$G$3:$G$22&gt;A68)*(Calc!$G$3:$G$22-A68)*Calc!$I$3:$I$22)</f>
        <v/>
      </c>
      <c r="H68">
        <f>IF($B$11&gt;0,F68-$C$11*D68/$B$11,0)</f>
        <v/>
      </c>
      <c r="I68">
        <f>IF($B$11&gt;0,E68-D68^2/$B$11,0)</f>
        <v/>
      </c>
      <c r="J68">
        <f>IF($B$11&gt;0,G68-D68*$D$11/$B$11,0)</f>
        <v/>
      </c>
      <c r="K68">
        <f>$H$11*I68-H68^2</f>
        <v/>
      </c>
      <c r="L68">
        <f>IF(ABS(K68)&gt;1E-12,($H$11*J68-H68*$I$11)/K68,0)</f>
        <v/>
      </c>
      <c r="M68">
        <f>IF(ABS(K68)&gt;1E-12,(I68*$I$11-H68*J68)/K68,0)</f>
        <v/>
      </c>
      <c r="N68">
        <f>$J$11-M68*$I$11-L68*J68</f>
        <v/>
      </c>
      <c r="O68">
        <f>IF(AND(C68,ABS(K68)&gt;1E-12,L68&gt;0),N68,1E+300)</f>
        <v/>
      </c>
    </row>
    <row r="69">
      <c r="A69">
        <f>$K$11+($L$11-$K$11)*55/400</f>
        <v/>
      </c>
      <c r="B69">
        <f>SUMPRODUCT((Calc!$F$3:$F$22&lt;=LTP!$B$5)*Calc!$K$3:$K$22*(Calc!$G$3:$G$22&lt;=A69))</f>
        <v/>
      </c>
      <c r="C69">
        <f>AND(B69&gt;=2,$B$11-B69&gt;=2)</f>
        <v/>
      </c>
      <c r="D69">
        <f>SUMPRODUCT((Calc!$F$3:$F$22&lt;=LTP!$B$5)*Calc!$K$3:$K$22*(Calc!$G$3:$G$22&gt;A69)*(Calc!$G$3:$G$22-A69))</f>
        <v/>
      </c>
      <c r="E69">
        <f>SUMPRODUCT((Calc!$F$3:$F$22&lt;=LTP!$B$5)*Calc!$K$3:$K$22*(Calc!$G$3:$G$22&gt;A69)*(Calc!$G$3:$G$22-A69)^2)</f>
        <v/>
      </c>
      <c r="F69">
        <f>SUMPRODUCT((Calc!$F$3:$F$22&lt;=LTP!$B$5)*Calc!$K$3:$K$22*(Calc!$G$3:$G$22&gt;A69)*(Calc!$G$3:$G$22-A69)*Calc!$G$3:$G$22)</f>
        <v/>
      </c>
      <c r="G69">
        <f>SUMPRODUCT((Calc!$F$3:$F$22&lt;=LTP!$B$5)*Calc!$K$3:$K$22*(Calc!$G$3:$G$22&gt;A69)*(Calc!$G$3:$G$22-A69)*Calc!$I$3:$I$22)</f>
        <v/>
      </c>
      <c r="H69">
        <f>IF($B$11&gt;0,F69-$C$11*D69/$B$11,0)</f>
        <v/>
      </c>
      <c r="I69">
        <f>IF($B$11&gt;0,E69-D69^2/$B$11,0)</f>
        <v/>
      </c>
      <c r="J69">
        <f>IF($B$11&gt;0,G69-D69*$D$11/$B$11,0)</f>
        <v/>
      </c>
      <c r="K69">
        <f>$H$11*I69-H69^2</f>
        <v/>
      </c>
      <c r="L69">
        <f>IF(ABS(K69)&gt;1E-12,($H$11*J69-H69*$I$11)/K69,0)</f>
        <v/>
      </c>
      <c r="M69">
        <f>IF(ABS(K69)&gt;1E-12,(I69*$I$11-H69*J69)/K69,0)</f>
        <v/>
      </c>
      <c r="N69">
        <f>$J$11-M69*$I$11-L69*J69</f>
        <v/>
      </c>
      <c r="O69">
        <f>IF(AND(C69,ABS(K69)&gt;1E-12,L69&gt;0),N69,1E+300)</f>
        <v/>
      </c>
    </row>
    <row r="70">
      <c r="A70">
        <f>$K$11+($L$11-$K$11)*56/400</f>
        <v/>
      </c>
      <c r="B70">
        <f>SUMPRODUCT((Calc!$F$3:$F$22&lt;=LTP!$B$5)*Calc!$K$3:$K$22*(Calc!$G$3:$G$22&lt;=A70))</f>
        <v/>
      </c>
      <c r="C70">
        <f>AND(B70&gt;=2,$B$11-B70&gt;=2)</f>
        <v/>
      </c>
      <c r="D70">
        <f>SUMPRODUCT((Calc!$F$3:$F$22&lt;=LTP!$B$5)*Calc!$K$3:$K$22*(Calc!$G$3:$G$22&gt;A70)*(Calc!$G$3:$G$22-A70))</f>
        <v/>
      </c>
      <c r="E70">
        <f>SUMPRODUCT((Calc!$F$3:$F$22&lt;=LTP!$B$5)*Calc!$K$3:$K$22*(Calc!$G$3:$G$22&gt;A70)*(Calc!$G$3:$G$22-A70)^2)</f>
        <v/>
      </c>
      <c r="F70">
        <f>SUMPRODUCT((Calc!$F$3:$F$22&lt;=LTP!$B$5)*Calc!$K$3:$K$22*(Calc!$G$3:$G$22&gt;A70)*(Calc!$G$3:$G$22-A70)*Calc!$G$3:$G$22)</f>
        <v/>
      </c>
      <c r="G70">
        <f>SUMPRODUCT((Calc!$F$3:$F$22&lt;=LTP!$B$5)*Calc!$K$3:$K$22*(Calc!$G$3:$G$22&gt;A70)*(Calc!$G$3:$G$22-A70)*Calc!$I$3:$I$22)</f>
        <v/>
      </c>
      <c r="H70">
        <f>IF($B$11&gt;0,F70-$C$11*D70/$B$11,0)</f>
        <v/>
      </c>
      <c r="I70">
        <f>IF($B$11&gt;0,E70-D70^2/$B$11,0)</f>
        <v/>
      </c>
      <c r="J70">
        <f>IF($B$11&gt;0,G70-D70*$D$11/$B$11,0)</f>
        <v/>
      </c>
      <c r="K70">
        <f>$H$11*I70-H70^2</f>
        <v/>
      </c>
      <c r="L70">
        <f>IF(ABS(K70)&gt;1E-12,($H$11*J70-H70*$I$11)/K70,0)</f>
        <v/>
      </c>
      <c r="M70">
        <f>IF(ABS(K70)&gt;1E-12,(I70*$I$11-H70*J70)/K70,0)</f>
        <v/>
      </c>
      <c r="N70">
        <f>$J$11-M70*$I$11-L70*J70</f>
        <v/>
      </c>
      <c r="O70">
        <f>IF(AND(C70,ABS(K70)&gt;1E-12,L70&gt;0),N70,1E+300)</f>
        <v/>
      </c>
    </row>
    <row r="71">
      <c r="A71">
        <f>$K$11+($L$11-$K$11)*57/400</f>
        <v/>
      </c>
      <c r="B71">
        <f>SUMPRODUCT((Calc!$F$3:$F$22&lt;=LTP!$B$5)*Calc!$K$3:$K$22*(Calc!$G$3:$G$22&lt;=A71))</f>
        <v/>
      </c>
      <c r="C71">
        <f>AND(B71&gt;=2,$B$11-B71&gt;=2)</f>
        <v/>
      </c>
      <c r="D71">
        <f>SUMPRODUCT((Calc!$F$3:$F$22&lt;=LTP!$B$5)*Calc!$K$3:$K$22*(Calc!$G$3:$G$22&gt;A71)*(Calc!$G$3:$G$22-A71))</f>
        <v/>
      </c>
      <c r="E71">
        <f>SUMPRODUCT((Calc!$F$3:$F$22&lt;=LTP!$B$5)*Calc!$K$3:$K$22*(Calc!$G$3:$G$22&gt;A71)*(Calc!$G$3:$G$22-A71)^2)</f>
        <v/>
      </c>
      <c r="F71">
        <f>SUMPRODUCT((Calc!$F$3:$F$22&lt;=LTP!$B$5)*Calc!$K$3:$K$22*(Calc!$G$3:$G$22&gt;A71)*(Calc!$G$3:$G$22-A71)*Calc!$G$3:$G$22)</f>
        <v/>
      </c>
      <c r="G71">
        <f>SUMPRODUCT((Calc!$F$3:$F$22&lt;=LTP!$B$5)*Calc!$K$3:$K$22*(Calc!$G$3:$G$22&gt;A71)*(Calc!$G$3:$G$22-A71)*Calc!$I$3:$I$22)</f>
        <v/>
      </c>
      <c r="H71">
        <f>IF($B$11&gt;0,F71-$C$11*D71/$B$11,0)</f>
        <v/>
      </c>
      <c r="I71">
        <f>IF($B$11&gt;0,E71-D71^2/$B$11,0)</f>
        <v/>
      </c>
      <c r="J71">
        <f>IF($B$11&gt;0,G71-D71*$D$11/$B$11,0)</f>
        <v/>
      </c>
      <c r="K71">
        <f>$H$11*I71-H71^2</f>
        <v/>
      </c>
      <c r="L71">
        <f>IF(ABS(K71)&gt;1E-12,($H$11*J71-H71*$I$11)/K71,0)</f>
        <v/>
      </c>
      <c r="M71">
        <f>IF(ABS(K71)&gt;1E-12,(I71*$I$11-H71*J71)/K71,0)</f>
        <v/>
      </c>
      <c r="N71">
        <f>$J$11-M71*$I$11-L71*J71</f>
        <v/>
      </c>
      <c r="O71">
        <f>IF(AND(C71,ABS(K71)&gt;1E-12,L71&gt;0),N71,1E+300)</f>
        <v/>
      </c>
    </row>
    <row r="72">
      <c r="A72">
        <f>$K$11+($L$11-$K$11)*58/400</f>
        <v/>
      </c>
      <c r="B72">
        <f>SUMPRODUCT((Calc!$F$3:$F$22&lt;=LTP!$B$5)*Calc!$K$3:$K$22*(Calc!$G$3:$G$22&lt;=A72))</f>
        <v/>
      </c>
      <c r="C72">
        <f>AND(B72&gt;=2,$B$11-B72&gt;=2)</f>
        <v/>
      </c>
      <c r="D72">
        <f>SUMPRODUCT((Calc!$F$3:$F$22&lt;=LTP!$B$5)*Calc!$K$3:$K$22*(Calc!$G$3:$G$22&gt;A72)*(Calc!$G$3:$G$22-A72))</f>
        <v/>
      </c>
      <c r="E72">
        <f>SUMPRODUCT((Calc!$F$3:$F$22&lt;=LTP!$B$5)*Calc!$K$3:$K$22*(Calc!$G$3:$G$22&gt;A72)*(Calc!$G$3:$G$22-A72)^2)</f>
        <v/>
      </c>
      <c r="F72">
        <f>SUMPRODUCT((Calc!$F$3:$F$22&lt;=LTP!$B$5)*Calc!$K$3:$K$22*(Calc!$G$3:$G$22&gt;A72)*(Calc!$G$3:$G$22-A72)*Calc!$G$3:$G$22)</f>
        <v/>
      </c>
      <c r="G72">
        <f>SUMPRODUCT((Calc!$F$3:$F$22&lt;=LTP!$B$5)*Calc!$K$3:$K$22*(Calc!$G$3:$G$22&gt;A72)*(Calc!$G$3:$G$22-A72)*Calc!$I$3:$I$22)</f>
        <v/>
      </c>
      <c r="H72">
        <f>IF($B$11&gt;0,F72-$C$11*D72/$B$11,0)</f>
        <v/>
      </c>
      <c r="I72">
        <f>IF($B$11&gt;0,E72-D72^2/$B$11,0)</f>
        <v/>
      </c>
      <c r="J72">
        <f>IF($B$11&gt;0,G72-D72*$D$11/$B$11,0)</f>
        <v/>
      </c>
      <c r="K72">
        <f>$H$11*I72-H72^2</f>
        <v/>
      </c>
      <c r="L72">
        <f>IF(ABS(K72)&gt;1E-12,($H$11*J72-H72*$I$11)/K72,0)</f>
        <v/>
      </c>
      <c r="M72">
        <f>IF(ABS(K72)&gt;1E-12,(I72*$I$11-H72*J72)/K72,0)</f>
        <v/>
      </c>
      <c r="N72">
        <f>$J$11-M72*$I$11-L72*J72</f>
        <v/>
      </c>
      <c r="O72">
        <f>IF(AND(C72,ABS(K72)&gt;1E-12,L72&gt;0),N72,1E+300)</f>
        <v/>
      </c>
    </row>
    <row r="73">
      <c r="A73">
        <f>$K$11+($L$11-$K$11)*59/400</f>
        <v/>
      </c>
      <c r="B73">
        <f>SUMPRODUCT((Calc!$F$3:$F$22&lt;=LTP!$B$5)*Calc!$K$3:$K$22*(Calc!$G$3:$G$22&lt;=A73))</f>
        <v/>
      </c>
      <c r="C73">
        <f>AND(B73&gt;=2,$B$11-B73&gt;=2)</f>
        <v/>
      </c>
      <c r="D73">
        <f>SUMPRODUCT((Calc!$F$3:$F$22&lt;=LTP!$B$5)*Calc!$K$3:$K$22*(Calc!$G$3:$G$22&gt;A73)*(Calc!$G$3:$G$22-A73))</f>
        <v/>
      </c>
      <c r="E73">
        <f>SUMPRODUCT((Calc!$F$3:$F$22&lt;=LTP!$B$5)*Calc!$K$3:$K$22*(Calc!$G$3:$G$22&gt;A73)*(Calc!$G$3:$G$22-A73)^2)</f>
        <v/>
      </c>
      <c r="F73">
        <f>SUMPRODUCT((Calc!$F$3:$F$22&lt;=LTP!$B$5)*Calc!$K$3:$K$22*(Calc!$G$3:$G$22&gt;A73)*(Calc!$G$3:$G$22-A73)*Calc!$G$3:$G$22)</f>
        <v/>
      </c>
      <c r="G73">
        <f>SUMPRODUCT((Calc!$F$3:$F$22&lt;=LTP!$B$5)*Calc!$K$3:$K$22*(Calc!$G$3:$G$22&gt;A73)*(Calc!$G$3:$G$22-A73)*Calc!$I$3:$I$22)</f>
        <v/>
      </c>
      <c r="H73">
        <f>IF($B$11&gt;0,F73-$C$11*D73/$B$11,0)</f>
        <v/>
      </c>
      <c r="I73">
        <f>IF($B$11&gt;0,E73-D73^2/$B$11,0)</f>
        <v/>
      </c>
      <c r="J73">
        <f>IF($B$11&gt;0,G73-D73*$D$11/$B$11,0)</f>
        <v/>
      </c>
      <c r="K73">
        <f>$H$11*I73-H73^2</f>
        <v/>
      </c>
      <c r="L73">
        <f>IF(ABS(K73)&gt;1E-12,($H$11*J73-H73*$I$11)/K73,0)</f>
        <v/>
      </c>
      <c r="M73">
        <f>IF(ABS(K73)&gt;1E-12,(I73*$I$11-H73*J73)/K73,0)</f>
        <v/>
      </c>
      <c r="N73">
        <f>$J$11-M73*$I$11-L73*J73</f>
        <v/>
      </c>
      <c r="O73">
        <f>IF(AND(C73,ABS(K73)&gt;1E-12,L73&gt;0),N73,1E+300)</f>
        <v/>
      </c>
    </row>
    <row r="74">
      <c r="A74">
        <f>$K$11+($L$11-$K$11)*60/400</f>
        <v/>
      </c>
      <c r="B74">
        <f>SUMPRODUCT((Calc!$F$3:$F$22&lt;=LTP!$B$5)*Calc!$K$3:$K$22*(Calc!$G$3:$G$22&lt;=A74))</f>
        <v/>
      </c>
      <c r="C74">
        <f>AND(B74&gt;=2,$B$11-B74&gt;=2)</f>
        <v/>
      </c>
      <c r="D74">
        <f>SUMPRODUCT((Calc!$F$3:$F$22&lt;=LTP!$B$5)*Calc!$K$3:$K$22*(Calc!$G$3:$G$22&gt;A74)*(Calc!$G$3:$G$22-A74))</f>
        <v/>
      </c>
      <c r="E74">
        <f>SUMPRODUCT((Calc!$F$3:$F$22&lt;=LTP!$B$5)*Calc!$K$3:$K$22*(Calc!$G$3:$G$22&gt;A74)*(Calc!$G$3:$G$22-A74)^2)</f>
        <v/>
      </c>
      <c r="F74">
        <f>SUMPRODUCT((Calc!$F$3:$F$22&lt;=LTP!$B$5)*Calc!$K$3:$K$22*(Calc!$G$3:$G$22&gt;A74)*(Calc!$G$3:$G$22-A74)*Calc!$G$3:$G$22)</f>
        <v/>
      </c>
      <c r="G74">
        <f>SUMPRODUCT((Calc!$F$3:$F$22&lt;=LTP!$B$5)*Calc!$K$3:$K$22*(Calc!$G$3:$G$22&gt;A74)*(Calc!$G$3:$G$22-A74)*Calc!$I$3:$I$22)</f>
        <v/>
      </c>
      <c r="H74">
        <f>IF($B$11&gt;0,F74-$C$11*D74/$B$11,0)</f>
        <v/>
      </c>
      <c r="I74">
        <f>IF($B$11&gt;0,E74-D74^2/$B$11,0)</f>
        <v/>
      </c>
      <c r="J74">
        <f>IF($B$11&gt;0,G74-D74*$D$11/$B$11,0)</f>
        <v/>
      </c>
      <c r="K74">
        <f>$H$11*I74-H74^2</f>
        <v/>
      </c>
      <c r="L74">
        <f>IF(ABS(K74)&gt;1E-12,($H$11*J74-H74*$I$11)/K74,0)</f>
        <v/>
      </c>
      <c r="M74">
        <f>IF(ABS(K74)&gt;1E-12,(I74*$I$11-H74*J74)/K74,0)</f>
        <v/>
      </c>
      <c r="N74">
        <f>$J$11-M74*$I$11-L74*J74</f>
        <v/>
      </c>
      <c r="O74">
        <f>IF(AND(C74,ABS(K74)&gt;1E-12,L74&gt;0),N74,1E+300)</f>
        <v/>
      </c>
    </row>
    <row r="75">
      <c r="A75">
        <f>$K$11+($L$11-$K$11)*61/400</f>
        <v/>
      </c>
      <c r="B75">
        <f>SUMPRODUCT((Calc!$F$3:$F$22&lt;=LTP!$B$5)*Calc!$K$3:$K$22*(Calc!$G$3:$G$22&lt;=A75))</f>
        <v/>
      </c>
      <c r="C75">
        <f>AND(B75&gt;=2,$B$11-B75&gt;=2)</f>
        <v/>
      </c>
      <c r="D75">
        <f>SUMPRODUCT((Calc!$F$3:$F$22&lt;=LTP!$B$5)*Calc!$K$3:$K$22*(Calc!$G$3:$G$22&gt;A75)*(Calc!$G$3:$G$22-A75))</f>
        <v/>
      </c>
      <c r="E75">
        <f>SUMPRODUCT((Calc!$F$3:$F$22&lt;=LTP!$B$5)*Calc!$K$3:$K$22*(Calc!$G$3:$G$22&gt;A75)*(Calc!$G$3:$G$22-A75)^2)</f>
        <v/>
      </c>
      <c r="F75">
        <f>SUMPRODUCT((Calc!$F$3:$F$22&lt;=LTP!$B$5)*Calc!$K$3:$K$22*(Calc!$G$3:$G$22&gt;A75)*(Calc!$G$3:$G$22-A75)*Calc!$G$3:$G$22)</f>
        <v/>
      </c>
      <c r="G75">
        <f>SUMPRODUCT((Calc!$F$3:$F$22&lt;=LTP!$B$5)*Calc!$K$3:$K$22*(Calc!$G$3:$G$22&gt;A75)*(Calc!$G$3:$G$22-A75)*Calc!$I$3:$I$22)</f>
        <v/>
      </c>
      <c r="H75">
        <f>IF($B$11&gt;0,F75-$C$11*D75/$B$11,0)</f>
        <v/>
      </c>
      <c r="I75">
        <f>IF($B$11&gt;0,E75-D75^2/$B$11,0)</f>
        <v/>
      </c>
      <c r="J75">
        <f>IF($B$11&gt;0,G75-D75*$D$11/$B$11,0)</f>
        <v/>
      </c>
      <c r="K75">
        <f>$H$11*I75-H75^2</f>
        <v/>
      </c>
      <c r="L75">
        <f>IF(ABS(K75)&gt;1E-12,($H$11*J75-H75*$I$11)/K75,0)</f>
        <v/>
      </c>
      <c r="M75">
        <f>IF(ABS(K75)&gt;1E-12,(I75*$I$11-H75*J75)/K75,0)</f>
        <v/>
      </c>
      <c r="N75">
        <f>$J$11-M75*$I$11-L75*J75</f>
        <v/>
      </c>
      <c r="O75">
        <f>IF(AND(C75,ABS(K75)&gt;1E-12,L75&gt;0),N75,1E+300)</f>
        <v/>
      </c>
    </row>
    <row r="76">
      <c r="A76">
        <f>$K$11+($L$11-$K$11)*62/400</f>
        <v/>
      </c>
      <c r="B76">
        <f>SUMPRODUCT((Calc!$F$3:$F$22&lt;=LTP!$B$5)*Calc!$K$3:$K$22*(Calc!$G$3:$G$22&lt;=A76))</f>
        <v/>
      </c>
      <c r="C76">
        <f>AND(B76&gt;=2,$B$11-B76&gt;=2)</f>
        <v/>
      </c>
      <c r="D76">
        <f>SUMPRODUCT((Calc!$F$3:$F$22&lt;=LTP!$B$5)*Calc!$K$3:$K$22*(Calc!$G$3:$G$22&gt;A76)*(Calc!$G$3:$G$22-A76))</f>
        <v/>
      </c>
      <c r="E76">
        <f>SUMPRODUCT((Calc!$F$3:$F$22&lt;=LTP!$B$5)*Calc!$K$3:$K$22*(Calc!$G$3:$G$22&gt;A76)*(Calc!$G$3:$G$22-A76)^2)</f>
        <v/>
      </c>
      <c r="F76">
        <f>SUMPRODUCT((Calc!$F$3:$F$22&lt;=LTP!$B$5)*Calc!$K$3:$K$22*(Calc!$G$3:$G$22&gt;A76)*(Calc!$G$3:$G$22-A76)*Calc!$G$3:$G$22)</f>
        <v/>
      </c>
      <c r="G76">
        <f>SUMPRODUCT((Calc!$F$3:$F$22&lt;=LTP!$B$5)*Calc!$K$3:$K$22*(Calc!$G$3:$G$22&gt;A76)*(Calc!$G$3:$G$22-A76)*Calc!$I$3:$I$22)</f>
        <v/>
      </c>
      <c r="H76">
        <f>IF($B$11&gt;0,F76-$C$11*D76/$B$11,0)</f>
        <v/>
      </c>
      <c r="I76">
        <f>IF($B$11&gt;0,E76-D76^2/$B$11,0)</f>
        <v/>
      </c>
      <c r="J76">
        <f>IF($B$11&gt;0,G76-D76*$D$11/$B$11,0)</f>
        <v/>
      </c>
      <c r="K76">
        <f>$H$11*I76-H76^2</f>
        <v/>
      </c>
      <c r="L76">
        <f>IF(ABS(K76)&gt;1E-12,($H$11*J76-H76*$I$11)/K76,0)</f>
        <v/>
      </c>
      <c r="M76">
        <f>IF(ABS(K76)&gt;1E-12,(I76*$I$11-H76*J76)/K76,0)</f>
        <v/>
      </c>
      <c r="N76">
        <f>$J$11-M76*$I$11-L76*J76</f>
        <v/>
      </c>
      <c r="O76">
        <f>IF(AND(C76,ABS(K76)&gt;1E-12,L76&gt;0),N76,1E+300)</f>
        <v/>
      </c>
    </row>
    <row r="77">
      <c r="A77">
        <f>$K$11+($L$11-$K$11)*63/400</f>
        <v/>
      </c>
      <c r="B77">
        <f>SUMPRODUCT((Calc!$F$3:$F$22&lt;=LTP!$B$5)*Calc!$K$3:$K$22*(Calc!$G$3:$G$22&lt;=A77))</f>
        <v/>
      </c>
      <c r="C77">
        <f>AND(B77&gt;=2,$B$11-B77&gt;=2)</f>
        <v/>
      </c>
      <c r="D77">
        <f>SUMPRODUCT((Calc!$F$3:$F$22&lt;=LTP!$B$5)*Calc!$K$3:$K$22*(Calc!$G$3:$G$22&gt;A77)*(Calc!$G$3:$G$22-A77))</f>
        <v/>
      </c>
      <c r="E77">
        <f>SUMPRODUCT((Calc!$F$3:$F$22&lt;=LTP!$B$5)*Calc!$K$3:$K$22*(Calc!$G$3:$G$22&gt;A77)*(Calc!$G$3:$G$22-A77)^2)</f>
        <v/>
      </c>
      <c r="F77">
        <f>SUMPRODUCT((Calc!$F$3:$F$22&lt;=LTP!$B$5)*Calc!$K$3:$K$22*(Calc!$G$3:$G$22&gt;A77)*(Calc!$G$3:$G$22-A77)*Calc!$G$3:$G$22)</f>
        <v/>
      </c>
      <c r="G77">
        <f>SUMPRODUCT((Calc!$F$3:$F$22&lt;=LTP!$B$5)*Calc!$K$3:$K$22*(Calc!$G$3:$G$22&gt;A77)*(Calc!$G$3:$G$22-A77)*Calc!$I$3:$I$22)</f>
        <v/>
      </c>
      <c r="H77">
        <f>IF($B$11&gt;0,F77-$C$11*D77/$B$11,0)</f>
        <v/>
      </c>
      <c r="I77">
        <f>IF($B$11&gt;0,E77-D77^2/$B$11,0)</f>
        <v/>
      </c>
      <c r="J77">
        <f>IF($B$11&gt;0,G77-D77*$D$11/$B$11,0)</f>
        <v/>
      </c>
      <c r="K77">
        <f>$H$11*I77-H77^2</f>
        <v/>
      </c>
      <c r="L77">
        <f>IF(ABS(K77)&gt;1E-12,($H$11*J77-H77*$I$11)/K77,0)</f>
        <v/>
      </c>
      <c r="M77">
        <f>IF(ABS(K77)&gt;1E-12,(I77*$I$11-H77*J77)/K77,0)</f>
        <v/>
      </c>
      <c r="N77">
        <f>$J$11-M77*$I$11-L77*J77</f>
        <v/>
      </c>
      <c r="O77">
        <f>IF(AND(C77,ABS(K77)&gt;1E-12,L77&gt;0),N77,1E+300)</f>
        <v/>
      </c>
    </row>
    <row r="78">
      <c r="A78">
        <f>$K$11+($L$11-$K$11)*64/400</f>
        <v/>
      </c>
      <c r="B78">
        <f>SUMPRODUCT((Calc!$F$3:$F$22&lt;=LTP!$B$5)*Calc!$K$3:$K$22*(Calc!$G$3:$G$22&lt;=A78))</f>
        <v/>
      </c>
      <c r="C78">
        <f>AND(B78&gt;=2,$B$11-B78&gt;=2)</f>
        <v/>
      </c>
      <c r="D78">
        <f>SUMPRODUCT((Calc!$F$3:$F$22&lt;=LTP!$B$5)*Calc!$K$3:$K$22*(Calc!$G$3:$G$22&gt;A78)*(Calc!$G$3:$G$22-A78))</f>
        <v/>
      </c>
      <c r="E78">
        <f>SUMPRODUCT((Calc!$F$3:$F$22&lt;=LTP!$B$5)*Calc!$K$3:$K$22*(Calc!$G$3:$G$22&gt;A78)*(Calc!$G$3:$G$22-A78)^2)</f>
        <v/>
      </c>
      <c r="F78">
        <f>SUMPRODUCT((Calc!$F$3:$F$22&lt;=LTP!$B$5)*Calc!$K$3:$K$22*(Calc!$G$3:$G$22&gt;A78)*(Calc!$G$3:$G$22-A78)*Calc!$G$3:$G$22)</f>
        <v/>
      </c>
      <c r="G78">
        <f>SUMPRODUCT((Calc!$F$3:$F$22&lt;=LTP!$B$5)*Calc!$K$3:$K$22*(Calc!$G$3:$G$22&gt;A78)*(Calc!$G$3:$G$22-A78)*Calc!$I$3:$I$22)</f>
        <v/>
      </c>
      <c r="H78">
        <f>IF($B$11&gt;0,F78-$C$11*D78/$B$11,0)</f>
        <v/>
      </c>
      <c r="I78">
        <f>IF($B$11&gt;0,E78-D78^2/$B$11,0)</f>
        <v/>
      </c>
      <c r="J78">
        <f>IF($B$11&gt;0,G78-D78*$D$11/$B$11,0)</f>
        <v/>
      </c>
      <c r="K78">
        <f>$H$11*I78-H78^2</f>
        <v/>
      </c>
      <c r="L78">
        <f>IF(ABS(K78)&gt;1E-12,($H$11*J78-H78*$I$11)/K78,0)</f>
        <v/>
      </c>
      <c r="M78">
        <f>IF(ABS(K78)&gt;1E-12,(I78*$I$11-H78*J78)/K78,0)</f>
        <v/>
      </c>
      <c r="N78">
        <f>$J$11-M78*$I$11-L78*J78</f>
        <v/>
      </c>
      <c r="O78">
        <f>IF(AND(C78,ABS(K78)&gt;1E-12,L78&gt;0),N78,1E+300)</f>
        <v/>
      </c>
    </row>
    <row r="79">
      <c r="A79">
        <f>$K$11+($L$11-$K$11)*65/400</f>
        <v/>
      </c>
      <c r="B79">
        <f>SUMPRODUCT((Calc!$F$3:$F$22&lt;=LTP!$B$5)*Calc!$K$3:$K$22*(Calc!$G$3:$G$22&lt;=A79))</f>
        <v/>
      </c>
      <c r="C79">
        <f>AND(B79&gt;=2,$B$11-B79&gt;=2)</f>
        <v/>
      </c>
      <c r="D79">
        <f>SUMPRODUCT((Calc!$F$3:$F$22&lt;=LTP!$B$5)*Calc!$K$3:$K$22*(Calc!$G$3:$G$22&gt;A79)*(Calc!$G$3:$G$22-A79))</f>
        <v/>
      </c>
      <c r="E79">
        <f>SUMPRODUCT((Calc!$F$3:$F$22&lt;=LTP!$B$5)*Calc!$K$3:$K$22*(Calc!$G$3:$G$22&gt;A79)*(Calc!$G$3:$G$22-A79)^2)</f>
        <v/>
      </c>
      <c r="F79">
        <f>SUMPRODUCT((Calc!$F$3:$F$22&lt;=LTP!$B$5)*Calc!$K$3:$K$22*(Calc!$G$3:$G$22&gt;A79)*(Calc!$G$3:$G$22-A79)*Calc!$G$3:$G$22)</f>
        <v/>
      </c>
      <c r="G79">
        <f>SUMPRODUCT((Calc!$F$3:$F$22&lt;=LTP!$B$5)*Calc!$K$3:$K$22*(Calc!$G$3:$G$22&gt;A79)*(Calc!$G$3:$G$22-A79)*Calc!$I$3:$I$22)</f>
        <v/>
      </c>
      <c r="H79">
        <f>IF($B$11&gt;0,F79-$C$11*D79/$B$11,0)</f>
        <v/>
      </c>
      <c r="I79">
        <f>IF($B$11&gt;0,E79-D79^2/$B$11,0)</f>
        <v/>
      </c>
      <c r="J79">
        <f>IF($B$11&gt;0,G79-D79*$D$11/$B$11,0)</f>
        <v/>
      </c>
      <c r="K79">
        <f>$H$11*I79-H79^2</f>
        <v/>
      </c>
      <c r="L79">
        <f>IF(ABS(K79)&gt;1E-12,($H$11*J79-H79*$I$11)/K79,0)</f>
        <v/>
      </c>
      <c r="M79">
        <f>IF(ABS(K79)&gt;1E-12,(I79*$I$11-H79*J79)/K79,0)</f>
        <v/>
      </c>
      <c r="N79">
        <f>$J$11-M79*$I$11-L79*J79</f>
        <v/>
      </c>
      <c r="O79">
        <f>IF(AND(C79,ABS(K79)&gt;1E-12,L79&gt;0),N79,1E+300)</f>
        <v/>
      </c>
    </row>
    <row r="80">
      <c r="A80">
        <f>$K$11+($L$11-$K$11)*66/400</f>
        <v/>
      </c>
      <c r="B80">
        <f>SUMPRODUCT((Calc!$F$3:$F$22&lt;=LTP!$B$5)*Calc!$K$3:$K$22*(Calc!$G$3:$G$22&lt;=A80))</f>
        <v/>
      </c>
      <c r="C80">
        <f>AND(B80&gt;=2,$B$11-B80&gt;=2)</f>
        <v/>
      </c>
      <c r="D80">
        <f>SUMPRODUCT((Calc!$F$3:$F$22&lt;=LTP!$B$5)*Calc!$K$3:$K$22*(Calc!$G$3:$G$22&gt;A80)*(Calc!$G$3:$G$22-A80))</f>
        <v/>
      </c>
      <c r="E80">
        <f>SUMPRODUCT((Calc!$F$3:$F$22&lt;=LTP!$B$5)*Calc!$K$3:$K$22*(Calc!$G$3:$G$22&gt;A80)*(Calc!$G$3:$G$22-A80)^2)</f>
        <v/>
      </c>
      <c r="F80">
        <f>SUMPRODUCT((Calc!$F$3:$F$22&lt;=LTP!$B$5)*Calc!$K$3:$K$22*(Calc!$G$3:$G$22&gt;A80)*(Calc!$G$3:$G$22-A80)*Calc!$G$3:$G$22)</f>
        <v/>
      </c>
      <c r="G80">
        <f>SUMPRODUCT((Calc!$F$3:$F$22&lt;=LTP!$B$5)*Calc!$K$3:$K$22*(Calc!$G$3:$G$22&gt;A80)*(Calc!$G$3:$G$22-A80)*Calc!$I$3:$I$22)</f>
        <v/>
      </c>
      <c r="H80">
        <f>IF($B$11&gt;0,F80-$C$11*D80/$B$11,0)</f>
        <v/>
      </c>
      <c r="I80">
        <f>IF($B$11&gt;0,E80-D80^2/$B$11,0)</f>
        <v/>
      </c>
      <c r="J80">
        <f>IF($B$11&gt;0,G80-D80*$D$11/$B$11,0)</f>
        <v/>
      </c>
      <c r="K80">
        <f>$H$11*I80-H80^2</f>
        <v/>
      </c>
      <c r="L80">
        <f>IF(ABS(K80)&gt;1E-12,($H$11*J80-H80*$I$11)/K80,0)</f>
        <v/>
      </c>
      <c r="M80">
        <f>IF(ABS(K80)&gt;1E-12,(I80*$I$11-H80*J80)/K80,0)</f>
        <v/>
      </c>
      <c r="N80">
        <f>$J$11-M80*$I$11-L80*J80</f>
        <v/>
      </c>
      <c r="O80">
        <f>IF(AND(C80,ABS(K80)&gt;1E-12,L80&gt;0),N80,1E+300)</f>
        <v/>
      </c>
    </row>
    <row r="81">
      <c r="A81">
        <f>$K$11+($L$11-$K$11)*67/400</f>
        <v/>
      </c>
      <c r="B81">
        <f>SUMPRODUCT((Calc!$F$3:$F$22&lt;=LTP!$B$5)*Calc!$K$3:$K$22*(Calc!$G$3:$G$22&lt;=A81))</f>
        <v/>
      </c>
      <c r="C81">
        <f>AND(B81&gt;=2,$B$11-B81&gt;=2)</f>
        <v/>
      </c>
      <c r="D81">
        <f>SUMPRODUCT((Calc!$F$3:$F$22&lt;=LTP!$B$5)*Calc!$K$3:$K$22*(Calc!$G$3:$G$22&gt;A81)*(Calc!$G$3:$G$22-A81))</f>
        <v/>
      </c>
      <c r="E81">
        <f>SUMPRODUCT((Calc!$F$3:$F$22&lt;=LTP!$B$5)*Calc!$K$3:$K$22*(Calc!$G$3:$G$22&gt;A81)*(Calc!$G$3:$G$22-A81)^2)</f>
        <v/>
      </c>
      <c r="F81">
        <f>SUMPRODUCT((Calc!$F$3:$F$22&lt;=LTP!$B$5)*Calc!$K$3:$K$22*(Calc!$G$3:$G$22&gt;A81)*(Calc!$G$3:$G$22-A81)*Calc!$G$3:$G$22)</f>
        <v/>
      </c>
      <c r="G81">
        <f>SUMPRODUCT((Calc!$F$3:$F$22&lt;=LTP!$B$5)*Calc!$K$3:$K$22*(Calc!$G$3:$G$22&gt;A81)*(Calc!$G$3:$G$22-A81)*Calc!$I$3:$I$22)</f>
        <v/>
      </c>
      <c r="H81">
        <f>IF($B$11&gt;0,F81-$C$11*D81/$B$11,0)</f>
        <v/>
      </c>
      <c r="I81">
        <f>IF($B$11&gt;0,E81-D81^2/$B$11,0)</f>
        <v/>
      </c>
      <c r="J81">
        <f>IF($B$11&gt;0,G81-D81*$D$11/$B$11,0)</f>
        <v/>
      </c>
      <c r="K81">
        <f>$H$11*I81-H81^2</f>
        <v/>
      </c>
      <c r="L81">
        <f>IF(ABS(K81)&gt;1E-12,($H$11*J81-H81*$I$11)/K81,0)</f>
        <v/>
      </c>
      <c r="M81">
        <f>IF(ABS(K81)&gt;1E-12,(I81*$I$11-H81*J81)/K81,0)</f>
        <v/>
      </c>
      <c r="N81">
        <f>$J$11-M81*$I$11-L81*J81</f>
        <v/>
      </c>
      <c r="O81">
        <f>IF(AND(C81,ABS(K81)&gt;1E-12,L81&gt;0),N81,1E+300)</f>
        <v/>
      </c>
    </row>
    <row r="82">
      <c r="A82">
        <f>$K$11+($L$11-$K$11)*68/400</f>
        <v/>
      </c>
      <c r="B82">
        <f>SUMPRODUCT((Calc!$F$3:$F$22&lt;=LTP!$B$5)*Calc!$K$3:$K$22*(Calc!$G$3:$G$22&lt;=A82))</f>
        <v/>
      </c>
      <c r="C82">
        <f>AND(B82&gt;=2,$B$11-B82&gt;=2)</f>
        <v/>
      </c>
      <c r="D82">
        <f>SUMPRODUCT((Calc!$F$3:$F$22&lt;=LTP!$B$5)*Calc!$K$3:$K$22*(Calc!$G$3:$G$22&gt;A82)*(Calc!$G$3:$G$22-A82))</f>
        <v/>
      </c>
      <c r="E82">
        <f>SUMPRODUCT((Calc!$F$3:$F$22&lt;=LTP!$B$5)*Calc!$K$3:$K$22*(Calc!$G$3:$G$22&gt;A82)*(Calc!$G$3:$G$22-A82)^2)</f>
        <v/>
      </c>
      <c r="F82">
        <f>SUMPRODUCT((Calc!$F$3:$F$22&lt;=LTP!$B$5)*Calc!$K$3:$K$22*(Calc!$G$3:$G$22&gt;A82)*(Calc!$G$3:$G$22-A82)*Calc!$G$3:$G$22)</f>
        <v/>
      </c>
      <c r="G82">
        <f>SUMPRODUCT((Calc!$F$3:$F$22&lt;=LTP!$B$5)*Calc!$K$3:$K$22*(Calc!$G$3:$G$22&gt;A82)*(Calc!$G$3:$G$22-A82)*Calc!$I$3:$I$22)</f>
        <v/>
      </c>
      <c r="H82">
        <f>IF($B$11&gt;0,F82-$C$11*D82/$B$11,0)</f>
        <v/>
      </c>
      <c r="I82">
        <f>IF($B$11&gt;0,E82-D82^2/$B$11,0)</f>
        <v/>
      </c>
      <c r="J82">
        <f>IF($B$11&gt;0,G82-D82*$D$11/$B$11,0)</f>
        <v/>
      </c>
      <c r="K82">
        <f>$H$11*I82-H82^2</f>
        <v/>
      </c>
      <c r="L82">
        <f>IF(ABS(K82)&gt;1E-12,($H$11*J82-H82*$I$11)/K82,0)</f>
        <v/>
      </c>
      <c r="M82">
        <f>IF(ABS(K82)&gt;1E-12,(I82*$I$11-H82*J82)/K82,0)</f>
        <v/>
      </c>
      <c r="N82">
        <f>$J$11-M82*$I$11-L82*J82</f>
        <v/>
      </c>
      <c r="O82">
        <f>IF(AND(C82,ABS(K82)&gt;1E-12,L82&gt;0),N82,1E+300)</f>
        <v/>
      </c>
    </row>
    <row r="83">
      <c r="A83">
        <f>$K$11+($L$11-$K$11)*69/400</f>
        <v/>
      </c>
      <c r="B83">
        <f>SUMPRODUCT((Calc!$F$3:$F$22&lt;=LTP!$B$5)*Calc!$K$3:$K$22*(Calc!$G$3:$G$22&lt;=A83))</f>
        <v/>
      </c>
      <c r="C83">
        <f>AND(B83&gt;=2,$B$11-B83&gt;=2)</f>
        <v/>
      </c>
      <c r="D83">
        <f>SUMPRODUCT((Calc!$F$3:$F$22&lt;=LTP!$B$5)*Calc!$K$3:$K$22*(Calc!$G$3:$G$22&gt;A83)*(Calc!$G$3:$G$22-A83))</f>
        <v/>
      </c>
      <c r="E83">
        <f>SUMPRODUCT((Calc!$F$3:$F$22&lt;=LTP!$B$5)*Calc!$K$3:$K$22*(Calc!$G$3:$G$22&gt;A83)*(Calc!$G$3:$G$22-A83)^2)</f>
        <v/>
      </c>
      <c r="F83">
        <f>SUMPRODUCT((Calc!$F$3:$F$22&lt;=LTP!$B$5)*Calc!$K$3:$K$22*(Calc!$G$3:$G$22&gt;A83)*(Calc!$G$3:$G$22-A83)*Calc!$G$3:$G$22)</f>
        <v/>
      </c>
      <c r="G83">
        <f>SUMPRODUCT((Calc!$F$3:$F$22&lt;=LTP!$B$5)*Calc!$K$3:$K$22*(Calc!$G$3:$G$22&gt;A83)*(Calc!$G$3:$G$22-A83)*Calc!$I$3:$I$22)</f>
        <v/>
      </c>
      <c r="H83">
        <f>IF($B$11&gt;0,F83-$C$11*D83/$B$11,0)</f>
        <v/>
      </c>
      <c r="I83">
        <f>IF($B$11&gt;0,E83-D83^2/$B$11,0)</f>
        <v/>
      </c>
      <c r="J83">
        <f>IF($B$11&gt;0,G83-D83*$D$11/$B$11,0)</f>
        <v/>
      </c>
      <c r="K83">
        <f>$H$11*I83-H83^2</f>
        <v/>
      </c>
      <c r="L83">
        <f>IF(ABS(K83)&gt;1E-12,($H$11*J83-H83*$I$11)/K83,0)</f>
        <v/>
      </c>
      <c r="M83">
        <f>IF(ABS(K83)&gt;1E-12,(I83*$I$11-H83*J83)/K83,0)</f>
        <v/>
      </c>
      <c r="N83">
        <f>$J$11-M83*$I$11-L83*J83</f>
        <v/>
      </c>
      <c r="O83">
        <f>IF(AND(C83,ABS(K83)&gt;1E-12,L83&gt;0),N83,1E+300)</f>
        <v/>
      </c>
    </row>
    <row r="84">
      <c r="A84">
        <f>$K$11+($L$11-$K$11)*70/400</f>
        <v/>
      </c>
      <c r="B84">
        <f>SUMPRODUCT((Calc!$F$3:$F$22&lt;=LTP!$B$5)*Calc!$K$3:$K$22*(Calc!$G$3:$G$22&lt;=A84))</f>
        <v/>
      </c>
      <c r="C84">
        <f>AND(B84&gt;=2,$B$11-B84&gt;=2)</f>
        <v/>
      </c>
      <c r="D84">
        <f>SUMPRODUCT((Calc!$F$3:$F$22&lt;=LTP!$B$5)*Calc!$K$3:$K$22*(Calc!$G$3:$G$22&gt;A84)*(Calc!$G$3:$G$22-A84))</f>
        <v/>
      </c>
      <c r="E84">
        <f>SUMPRODUCT((Calc!$F$3:$F$22&lt;=LTP!$B$5)*Calc!$K$3:$K$22*(Calc!$G$3:$G$22&gt;A84)*(Calc!$G$3:$G$22-A84)^2)</f>
        <v/>
      </c>
      <c r="F84">
        <f>SUMPRODUCT((Calc!$F$3:$F$22&lt;=LTP!$B$5)*Calc!$K$3:$K$22*(Calc!$G$3:$G$22&gt;A84)*(Calc!$G$3:$G$22-A84)*Calc!$G$3:$G$22)</f>
        <v/>
      </c>
      <c r="G84">
        <f>SUMPRODUCT((Calc!$F$3:$F$22&lt;=LTP!$B$5)*Calc!$K$3:$K$22*(Calc!$G$3:$G$22&gt;A84)*(Calc!$G$3:$G$22-A84)*Calc!$I$3:$I$22)</f>
        <v/>
      </c>
      <c r="H84">
        <f>IF($B$11&gt;0,F84-$C$11*D84/$B$11,0)</f>
        <v/>
      </c>
      <c r="I84">
        <f>IF($B$11&gt;0,E84-D84^2/$B$11,0)</f>
        <v/>
      </c>
      <c r="J84">
        <f>IF($B$11&gt;0,G84-D84*$D$11/$B$11,0)</f>
        <v/>
      </c>
      <c r="K84">
        <f>$H$11*I84-H84^2</f>
        <v/>
      </c>
      <c r="L84">
        <f>IF(ABS(K84)&gt;1E-12,($H$11*J84-H84*$I$11)/K84,0)</f>
        <v/>
      </c>
      <c r="M84">
        <f>IF(ABS(K84)&gt;1E-12,(I84*$I$11-H84*J84)/K84,0)</f>
        <v/>
      </c>
      <c r="N84">
        <f>$J$11-M84*$I$11-L84*J84</f>
        <v/>
      </c>
      <c r="O84">
        <f>IF(AND(C84,ABS(K84)&gt;1E-12,L84&gt;0),N84,1E+300)</f>
        <v/>
      </c>
    </row>
    <row r="85">
      <c r="A85">
        <f>$K$11+($L$11-$K$11)*71/400</f>
        <v/>
      </c>
      <c r="B85">
        <f>SUMPRODUCT((Calc!$F$3:$F$22&lt;=LTP!$B$5)*Calc!$K$3:$K$22*(Calc!$G$3:$G$22&lt;=A85))</f>
        <v/>
      </c>
      <c r="C85">
        <f>AND(B85&gt;=2,$B$11-B85&gt;=2)</f>
        <v/>
      </c>
      <c r="D85">
        <f>SUMPRODUCT((Calc!$F$3:$F$22&lt;=LTP!$B$5)*Calc!$K$3:$K$22*(Calc!$G$3:$G$22&gt;A85)*(Calc!$G$3:$G$22-A85))</f>
        <v/>
      </c>
      <c r="E85">
        <f>SUMPRODUCT((Calc!$F$3:$F$22&lt;=LTP!$B$5)*Calc!$K$3:$K$22*(Calc!$G$3:$G$22&gt;A85)*(Calc!$G$3:$G$22-A85)^2)</f>
        <v/>
      </c>
      <c r="F85">
        <f>SUMPRODUCT((Calc!$F$3:$F$22&lt;=LTP!$B$5)*Calc!$K$3:$K$22*(Calc!$G$3:$G$22&gt;A85)*(Calc!$G$3:$G$22-A85)*Calc!$G$3:$G$22)</f>
        <v/>
      </c>
      <c r="G85">
        <f>SUMPRODUCT((Calc!$F$3:$F$22&lt;=LTP!$B$5)*Calc!$K$3:$K$22*(Calc!$G$3:$G$22&gt;A85)*(Calc!$G$3:$G$22-A85)*Calc!$I$3:$I$22)</f>
        <v/>
      </c>
      <c r="H85">
        <f>IF($B$11&gt;0,F85-$C$11*D85/$B$11,0)</f>
        <v/>
      </c>
      <c r="I85">
        <f>IF($B$11&gt;0,E85-D85^2/$B$11,0)</f>
        <v/>
      </c>
      <c r="J85">
        <f>IF($B$11&gt;0,G85-D85*$D$11/$B$11,0)</f>
        <v/>
      </c>
      <c r="K85">
        <f>$H$11*I85-H85^2</f>
        <v/>
      </c>
      <c r="L85">
        <f>IF(ABS(K85)&gt;1E-12,($H$11*J85-H85*$I$11)/K85,0)</f>
        <v/>
      </c>
      <c r="M85">
        <f>IF(ABS(K85)&gt;1E-12,(I85*$I$11-H85*J85)/K85,0)</f>
        <v/>
      </c>
      <c r="N85">
        <f>$J$11-M85*$I$11-L85*J85</f>
        <v/>
      </c>
      <c r="O85">
        <f>IF(AND(C85,ABS(K85)&gt;1E-12,L85&gt;0),N85,1E+300)</f>
        <v/>
      </c>
    </row>
    <row r="86">
      <c r="A86">
        <f>$K$11+($L$11-$K$11)*72/400</f>
        <v/>
      </c>
      <c r="B86">
        <f>SUMPRODUCT((Calc!$F$3:$F$22&lt;=LTP!$B$5)*Calc!$K$3:$K$22*(Calc!$G$3:$G$22&lt;=A86))</f>
        <v/>
      </c>
      <c r="C86">
        <f>AND(B86&gt;=2,$B$11-B86&gt;=2)</f>
        <v/>
      </c>
      <c r="D86">
        <f>SUMPRODUCT((Calc!$F$3:$F$22&lt;=LTP!$B$5)*Calc!$K$3:$K$22*(Calc!$G$3:$G$22&gt;A86)*(Calc!$G$3:$G$22-A86))</f>
        <v/>
      </c>
      <c r="E86">
        <f>SUMPRODUCT((Calc!$F$3:$F$22&lt;=LTP!$B$5)*Calc!$K$3:$K$22*(Calc!$G$3:$G$22&gt;A86)*(Calc!$G$3:$G$22-A86)^2)</f>
        <v/>
      </c>
      <c r="F86">
        <f>SUMPRODUCT((Calc!$F$3:$F$22&lt;=LTP!$B$5)*Calc!$K$3:$K$22*(Calc!$G$3:$G$22&gt;A86)*(Calc!$G$3:$G$22-A86)*Calc!$G$3:$G$22)</f>
        <v/>
      </c>
      <c r="G86">
        <f>SUMPRODUCT((Calc!$F$3:$F$22&lt;=LTP!$B$5)*Calc!$K$3:$K$22*(Calc!$G$3:$G$22&gt;A86)*(Calc!$G$3:$G$22-A86)*Calc!$I$3:$I$22)</f>
        <v/>
      </c>
      <c r="H86">
        <f>IF($B$11&gt;0,F86-$C$11*D86/$B$11,0)</f>
        <v/>
      </c>
      <c r="I86">
        <f>IF($B$11&gt;0,E86-D86^2/$B$11,0)</f>
        <v/>
      </c>
      <c r="J86">
        <f>IF($B$11&gt;0,G86-D86*$D$11/$B$11,0)</f>
        <v/>
      </c>
      <c r="K86">
        <f>$H$11*I86-H86^2</f>
        <v/>
      </c>
      <c r="L86">
        <f>IF(ABS(K86)&gt;1E-12,($H$11*J86-H86*$I$11)/K86,0)</f>
        <v/>
      </c>
      <c r="M86">
        <f>IF(ABS(K86)&gt;1E-12,(I86*$I$11-H86*J86)/K86,0)</f>
        <v/>
      </c>
      <c r="N86">
        <f>$J$11-M86*$I$11-L86*J86</f>
        <v/>
      </c>
      <c r="O86">
        <f>IF(AND(C86,ABS(K86)&gt;1E-12,L86&gt;0),N86,1E+300)</f>
        <v/>
      </c>
    </row>
    <row r="87">
      <c r="A87">
        <f>$K$11+($L$11-$K$11)*73/400</f>
        <v/>
      </c>
      <c r="B87">
        <f>SUMPRODUCT((Calc!$F$3:$F$22&lt;=LTP!$B$5)*Calc!$K$3:$K$22*(Calc!$G$3:$G$22&lt;=A87))</f>
        <v/>
      </c>
      <c r="C87">
        <f>AND(B87&gt;=2,$B$11-B87&gt;=2)</f>
        <v/>
      </c>
      <c r="D87">
        <f>SUMPRODUCT((Calc!$F$3:$F$22&lt;=LTP!$B$5)*Calc!$K$3:$K$22*(Calc!$G$3:$G$22&gt;A87)*(Calc!$G$3:$G$22-A87))</f>
        <v/>
      </c>
      <c r="E87">
        <f>SUMPRODUCT((Calc!$F$3:$F$22&lt;=LTP!$B$5)*Calc!$K$3:$K$22*(Calc!$G$3:$G$22&gt;A87)*(Calc!$G$3:$G$22-A87)^2)</f>
        <v/>
      </c>
      <c r="F87">
        <f>SUMPRODUCT((Calc!$F$3:$F$22&lt;=LTP!$B$5)*Calc!$K$3:$K$22*(Calc!$G$3:$G$22&gt;A87)*(Calc!$G$3:$G$22-A87)*Calc!$G$3:$G$22)</f>
        <v/>
      </c>
      <c r="G87">
        <f>SUMPRODUCT((Calc!$F$3:$F$22&lt;=LTP!$B$5)*Calc!$K$3:$K$22*(Calc!$G$3:$G$22&gt;A87)*(Calc!$G$3:$G$22-A87)*Calc!$I$3:$I$22)</f>
        <v/>
      </c>
      <c r="H87">
        <f>IF($B$11&gt;0,F87-$C$11*D87/$B$11,0)</f>
        <v/>
      </c>
      <c r="I87">
        <f>IF($B$11&gt;0,E87-D87^2/$B$11,0)</f>
        <v/>
      </c>
      <c r="J87">
        <f>IF($B$11&gt;0,G87-D87*$D$11/$B$11,0)</f>
        <v/>
      </c>
      <c r="K87">
        <f>$H$11*I87-H87^2</f>
        <v/>
      </c>
      <c r="L87">
        <f>IF(ABS(K87)&gt;1E-12,($H$11*J87-H87*$I$11)/K87,0)</f>
        <v/>
      </c>
      <c r="M87">
        <f>IF(ABS(K87)&gt;1E-12,(I87*$I$11-H87*J87)/K87,0)</f>
        <v/>
      </c>
      <c r="N87">
        <f>$J$11-M87*$I$11-L87*J87</f>
        <v/>
      </c>
      <c r="O87">
        <f>IF(AND(C87,ABS(K87)&gt;1E-12,L87&gt;0),N87,1E+300)</f>
        <v/>
      </c>
    </row>
    <row r="88">
      <c r="A88">
        <f>$K$11+($L$11-$K$11)*74/400</f>
        <v/>
      </c>
      <c r="B88">
        <f>SUMPRODUCT((Calc!$F$3:$F$22&lt;=LTP!$B$5)*Calc!$K$3:$K$22*(Calc!$G$3:$G$22&lt;=A88))</f>
        <v/>
      </c>
      <c r="C88">
        <f>AND(B88&gt;=2,$B$11-B88&gt;=2)</f>
        <v/>
      </c>
      <c r="D88">
        <f>SUMPRODUCT((Calc!$F$3:$F$22&lt;=LTP!$B$5)*Calc!$K$3:$K$22*(Calc!$G$3:$G$22&gt;A88)*(Calc!$G$3:$G$22-A88))</f>
        <v/>
      </c>
      <c r="E88">
        <f>SUMPRODUCT((Calc!$F$3:$F$22&lt;=LTP!$B$5)*Calc!$K$3:$K$22*(Calc!$G$3:$G$22&gt;A88)*(Calc!$G$3:$G$22-A88)^2)</f>
        <v/>
      </c>
      <c r="F88">
        <f>SUMPRODUCT((Calc!$F$3:$F$22&lt;=LTP!$B$5)*Calc!$K$3:$K$22*(Calc!$G$3:$G$22&gt;A88)*(Calc!$G$3:$G$22-A88)*Calc!$G$3:$G$22)</f>
        <v/>
      </c>
      <c r="G88">
        <f>SUMPRODUCT((Calc!$F$3:$F$22&lt;=LTP!$B$5)*Calc!$K$3:$K$22*(Calc!$G$3:$G$22&gt;A88)*(Calc!$G$3:$G$22-A88)*Calc!$I$3:$I$22)</f>
        <v/>
      </c>
      <c r="H88">
        <f>IF($B$11&gt;0,F88-$C$11*D88/$B$11,0)</f>
        <v/>
      </c>
      <c r="I88">
        <f>IF($B$11&gt;0,E88-D88^2/$B$11,0)</f>
        <v/>
      </c>
      <c r="J88">
        <f>IF($B$11&gt;0,G88-D88*$D$11/$B$11,0)</f>
        <v/>
      </c>
      <c r="K88">
        <f>$H$11*I88-H88^2</f>
        <v/>
      </c>
      <c r="L88">
        <f>IF(ABS(K88)&gt;1E-12,($H$11*J88-H88*$I$11)/K88,0)</f>
        <v/>
      </c>
      <c r="M88">
        <f>IF(ABS(K88)&gt;1E-12,(I88*$I$11-H88*J88)/K88,0)</f>
        <v/>
      </c>
      <c r="N88">
        <f>$J$11-M88*$I$11-L88*J88</f>
        <v/>
      </c>
      <c r="O88">
        <f>IF(AND(C88,ABS(K88)&gt;1E-12,L88&gt;0),N88,1E+300)</f>
        <v/>
      </c>
    </row>
    <row r="89">
      <c r="A89">
        <f>$K$11+($L$11-$K$11)*75/400</f>
        <v/>
      </c>
      <c r="B89">
        <f>SUMPRODUCT((Calc!$F$3:$F$22&lt;=LTP!$B$5)*Calc!$K$3:$K$22*(Calc!$G$3:$G$22&lt;=A89))</f>
        <v/>
      </c>
      <c r="C89">
        <f>AND(B89&gt;=2,$B$11-B89&gt;=2)</f>
        <v/>
      </c>
      <c r="D89">
        <f>SUMPRODUCT((Calc!$F$3:$F$22&lt;=LTP!$B$5)*Calc!$K$3:$K$22*(Calc!$G$3:$G$22&gt;A89)*(Calc!$G$3:$G$22-A89))</f>
        <v/>
      </c>
      <c r="E89">
        <f>SUMPRODUCT((Calc!$F$3:$F$22&lt;=LTP!$B$5)*Calc!$K$3:$K$22*(Calc!$G$3:$G$22&gt;A89)*(Calc!$G$3:$G$22-A89)^2)</f>
        <v/>
      </c>
      <c r="F89">
        <f>SUMPRODUCT((Calc!$F$3:$F$22&lt;=LTP!$B$5)*Calc!$K$3:$K$22*(Calc!$G$3:$G$22&gt;A89)*(Calc!$G$3:$G$22-A89)*Calc!$G$3:$G$22)</f>
        <v/>
      </c>
      <c r="G89">
        <f>SUMPRODUCT((Calc!$F$3:$F$22&lt;=LTP!$B$5)*Calc!$K$3:$K$22*(Calc!$G$3:$G$22&gt;A89)*(Calc!$G$3:$G$22-A89)*Calc!$I$3:$I$22)</f>
        <v/>
      </c>
      <c r="H89">
        <f>IF($B$11&gt;0,F89-$C$11*D89/$B$11,0)</f>
        <v/>
      </c>
      <c r="I89">
        <f>IF($B$11&gt;0,E89-D89^2/$B$11,0)</f>
        <v/>
      </c>
      <c r="J89">
        <f>IF($B$11&gt;0,G89-D89*$D$11/$B$11,0)</f>
        <v/>
      </c>
      <c r="K89">
        <f>$H$11*I89-H89^2</f>
        <v/>
      </c>
      <c r="L89">
        <f>IF(ABS(K89)&gt;1E-12,($H$11*J89-H89*$I$11)/K89,0)</f>
        <v/>
      </c>
      <c r="M89">
        <f>IF(ABS(K89)&gt;1E-12,(I89*$I$11-H89*J89)/K89,0)</f>
        <v/>
      </c>
      <c r="N89">
        <f>$J$11-M89*$I$11-L89*J89</f>
        <v/>
      </c>
      <c r="O89">
        <f>IF(AND(C89,ABS(K89)&gt;1E-12,L89&gt;0),N89,1E+300)</f>
        <v/>
      </c>
    </row>
    <row r="90">
      <c r="A90">
        <f>$K$11+($L$11-$K$11)*76/400</f>
        <v/>
      </c>
      <c r="B90">
        <f>SUMPRODUCT((Calc!$F$3:$F$22&lt;=LTP!$B$5)*Calc!$K$3:$K$22*(Calc!$G$3:$G$22&lt;=A90))</f>
        <v/>
      </c>
      <c r="C90">
        <f>AND(B90&gt;=2,$B$11-B90&gt;=2)</f>
        <v/>
      </c>
      <c r="D90">
        <f>SUMPRODUCT((Calc!$F$3:$F$22&lt;=LTP!$B$5)*Calc!$K$3:$K$22*(Calc!$G$3:$G$22&gt;A90)*(Calc!$G$3:$G$22-A90))</f>
        <v/>
      </c>
      <c r="E90">
        <f>SUMPRODUCT((Calc!$F$3:$F$22&lt;=LTP!$B$5)*Calc!$K$3:$K$22*(Calc!$G$3:$G$22&gt;A90)*(Calc!$G$3:$G$22-A90)^2)</f>
        <v/>
      </c>
      <c r="F90">
        <f>SUMPRODUCT((Calc!$F$3:$F$22&lt;=LTP!$B$5)*Calc!$K$3:$K$22*(Calc!$G$3:$G$22&gt;A90)*(Calc!$G$3:$G$22-A90)*Calc!$G$3:$G$22)</f>
        <v/>
      </c>
      <c r="G90">
        <f>SUMPRODUCT((Calc!$F$3:$F$22&lt;=LTP!$B$5)*Calc!$K$3:$K$22*(Calc!$G$3:$G$22&gt;A90)*(Calc!$G$3:$G$22-A90)*Calc!$I$3:$I$22)</f>
        <v/>
      </c>
      <c r="H90">
        <f>IF($B$11&gt;0,F90-$C$11*D90/$B$11,0)</f>
        <v/>
      </c>
      <c r="I90">
        <f>IF($B$11&gt;0,E90-D90^2/$B$11,0)</f>
        <v/>
      </c>
      <c r="J90">
        <f>IF($B$11&gt;0,G90-D90*$D$11/$B$11,0)</f>
        <v/>
      </c>
      <c r="K90">
        <f>$H$11*I90-H90^2</f>
        <v/>
      </c>
      <c r="L90">
        <f>IF(ABS(K90)&gt;1E-12,($H$11*J90-H90*$I$11)/K90,0)</f>
        <v/>
      </c>
      <c r="M90">
        <f>IF(ABS(K90)&gt;1E-12,(I90*$I$11-H90*J90)/K90,0)</f>
        <v/>
      </c>
      <c r="N90">
        <f>$J$11-M90*$I$11-L90*J90</f>
        <v/>
      </c>
      <c r="O90">
        <f>IF(AND(C90,ABS(K90)&gt;1E-12,L90&gt;0),N90,1E+300)</f>
        <v/>
      </c>
    </row>
    <row r="91">
      <c r="A91">
        <f>$K$11+($L$11-$K$11)*77/400</f>
        <v/>
      </c>
      <c r="B91">
        <f>SUMPRODUCT((Calc!$F$3:$F$22&lt;=LTP!$B$5)*Calc!$K$3:$K$22*(Calc!$G$3:$G$22&lt;=A91))</f>
        <v/>
      </c>
      <c r="C91">
        <f>AND(B91&gt;=2,$B$11-B91&gt;=2)</f>
        <v/>
      </c>
      <c r="D91">
        <f>SUMPRODUCT((Calc!$F$3:$F$22&lt;=LTP!$B$5)*Calc!$K$3:$K$22*(Calc!$G$3:$G$22&gt;A91)*(Calc!$G$3:$G$22-A91))</f>
        <v/>
      </c>
      <c r="E91">
        <f>SUMPRODUCT((Calc!$F$3:$F$22&lt;=LTP!$B$5)*Calc!$K$3:$K$22*(Calc!$G$3:$G$22&gt;A91)*(Calc!$G$3:$G$22-A91)^2)</f>
        <v/>
      </c>
      <c r="F91">
        <f>SUMPRODUCT((Calc!$F$3:$F$22&lt;=LTP!$B$5)*Calc!$K$3:$K$22*(Calc!$G$3:$G$22&gt;A91)*(Calc!$G$3:$G$22-A91)*Calc!$G$3:$G$22)</f>
        <v/>
      </c>
      <c r="G91">
        <f>SUMPRODUCT((Calc!$F$3:$F$22&lt;=LTP!$B$5)*Calc!$K$3:$K$22*(Calc!$G$3:$G$22&gt;A91)*(Calc!$G$3:$G$22-A91)*Calc!$I$3:$I$22)</f>
        <v/>
      </c>
      <c r="H91">
        <f>IF($B$11&gt;0,F91-$C$11*D91/$B$11,0)</f>
        <v/>
      </c>
      <c r="I91">
        <f>IF($B$11&gt;0,E91-D91^2/$B$11,0)</f>
        <v/>
      </c>
      <c r="J91">
        <f>IF($B$11&gt;0,G91-D91*$D$11/$B$11,0)</f>
        <v/>
      </c>
      <c r="K91">
        <f>$H$11*I91-H91^2</f>
        <v/>
      </c>
      <c r="L91">
        <f>IF(ABS(K91)&gt;1E-12,($H$11*J91-H91*$I$11)/K91,0)</f>
        <v/>
      </c>
      <c r="M91">
        <f>IF(ABS(K91)&gt;1E-12,(I91*$I$11-H91*J91)/K91,0)</f>
        <v/>
      </c>
      <c r="N91">
        <f>$J$11-M91*$I$11-L91*J91</f>
        <v/>
      </c>
      <c r="O91">
        <f>IF(AND(C91,ABS(K91)&gt;1E-12,L91&gt;0),N91,1E+300)</f>
        <v/>
      </c>
    </row>
    <row r="92">
      <c r="A92">
        <f>$K$11+($L$11-$K$11)*78/400</f>
        <v/>
      </c>
      <c r="B92">
        <f>SUMPRODUCT((Calc!$F$3:$F$22&lt;=LTP!$B$5)*Calc!$K$3:$K$22*(Calc!$G$3:$G$22&lt;=A92))</f>
        <v/>
      </c>
      <c r="C92">
        <f>AND(B92&gt;=2,$B$11-B92&gt;=2)</f>
        <v/>
      </c>
      <c r="D92">
        <f>SUMPRODUCT((Calc!$F$3:$F$22&lt;=LTP!$B$5)*Calc!$K$3:$K$22*(Calc!$G$3:$G$22&gt;A92)*(Calc!$G$3:$G$22-A92))</f>
        <v/>
      </c>
      <c r="E92">
        <f>SUMPRODUCT((Calc!$F$3:$F$22&lt;=LTP!$B$5)*Calc!$K$3:$K$22*(Calc!$G$3:$G$22&gt;A92)*(Calc!$G$3:$G$22-A92)^2)</f>
        <v/>
      </c>
      <c r="F92">
        <f>SUMPRODUCT((Calc!$F$3:$F$22&lt;=LTP!$B$5)*Calc!$K$3:$K$22*(Calc!$G$3:$G$22&gt;A92)*(Calc!$G$3:$G$22-A92)*Calc!$G$3:$G$22)</f>
        <v/>
      </c>
      <c r="G92">
        <f>SUMPRODUCT((Calc!$F$3:$F$22&lt;=LTP!$B$5)*Calc!$K$3:$K$22*(Calc!$G$3:$G$22&gt;A92)*(Calc!$G$3:$G$22-A92)*Calc!$I$3:$I$22)</f>
        <v/>
      </c>
      <c r="H92">
        <f>IF($B$11&gt;0,F92-$C$11*D92/$B$11,0)</f>
        <v/>
      </c>
      <c r="I92">
        <f>IF($B$11&gt;0,E92-D92^2/$B$11,0)</f>
        <v/>
      </c>
      <c r="J92">
        <f>IF($B$11&gt;0,G92-D92*$D$11/$B$11,0)</f>
        <v/>
      </c>
      <c r="K92">
        <f>$H$11*I92-H92^2</f>
        <v/>
      </c>
      <c r="L92">
        <f>IF(ABS(K92)&gt;1E-12,($H$11*J92-H92*$I$11)/K92,0)</f>
        <v/>
      </c>
      <c r="M92">
        <f>IF(ABS(K92)&gt;1E-12,(I92*$I$11-H92*J92)/K92,0)</f>
        <v/>
      </c>
      <c r="N92">
        <f>$J$11-M92*$I$11-L92*J92</f>
        <v/>
      </c>
      <c r="O92">
        <f>IF(AND(C92,ABS(K92)&gt;1E-12,L92&gt;0),N92,1E+300)</f>
        <v/>
      </c>
    </row>
    <row r="93">
      <c r="A93">
        <f>$K$11+($L$11-$K$11)*79/400</f>
        <v/>
      </c>
      <c r="B93">
        <f>SUMPRODUCT((Calc!$F$3:$F$22&lt;=LTP!$B$5)*Calc!$K$3:$K$22*(Calc!$G$3:$G$22&lt;=A93))</f>
        <v/>
      </c>
      <c r="C93">
        <f>AND(B93&gt;=2,$B$11-B93&gt;=2)</f>
        <v/>
      </c>
      <c r="D93">
        <f>SUMPRODUCT((Calc!$F$3:$F$22&lt;=LTP!$B$5)*Calc!$K$3:$K$22*(Calc!$G$3:$G$22&gt;A93)*(Calc!$G$3:$G$22-A93))</f>
        <v/>
      </c>
      <c r="E93">
        <f>SUMPRODUCT((Calc!$F$3:$F$22&lt;=LTP!$B$5)*Calc!$K$3:$K$22*(Calc!$G$3:$G$22&gt;A93)*(Calc!$G$3:$G$22-A93)^2)</f>
        <v/>
      </c>
      <c r="F93">
        <f>SUMPRODUCT((Calc!$F$3:$F$22&lt;=LTP!$B$5)*Calc!$K$3:$K$22*(Calc!$G$3:$G$22&gt;A93)*(Calc!$G$3:$G$22-A93)*Calc!$G$3:$G$22)</f>
        <v/>
      </c>
      <c r="G93">
        <f>SUMPRODUCT((Calc!$F$3:$F$22&lt;=LTP!$B$5)*Calc!$K$3:$K$22*(Calc!$G$3:$G$22&gt;A93)*(Calc!$G$3:$G$22-A93)*Calc!$I$3:$I$22)</f>
        <v/>
      </c>
      <c r="H93">
        <f>IF($B$11&gt;0,F93-$C$11*D93/$B$11,0)</f>
        <v/>
      </c>
      <c r="I93">
        <f>IF($B$11&gt;0,E93-D93^2/$B$11,0)</f>
        <v/>
      </c>
      <c r="J93">
        <f>IF($B$11&gt;0,G93-D93*$D$11/$B$11,0)</f>
        <v/>
      </c>
      <c r="K93">
        <f>$H$11*I93-H93^2</f>
        <v/>
      </c>
      <c r="L93">
        <f>IF(ABS(K93)&gt;1E-12,($H$11*J93-H93*$I$11)/K93,0)</f>
        <v/>
      </c>
      <c r="M93">
        <f>IF(ABS(K93)&gt;1E-12,(I93*$I$11-H93*J93)/K93,0)</f>
        <v/>
      </c>
      <c r="N93">
        <f>$J$11-M93*$I$11-L93*J93</f>
        <v/>
      </c>
      <c r="O93">
        <f>IF(AND(C93,ABS(K93)&gt;1E-12,L93&gt;0),N93,1E+300)</f>
        <v/>
      </c>
    </row>
    <row r="94">
      <c r="A94">
        <f>$K$11+($L$11-$K$11)*80/400</f>
        <v/>
      </c>
      <c r="B94">
        <f>SUMPRODUCT((Calc!$F$3:$F$22&lt;=LTP!$B$5)*Calc!$K$3:$K$22*(Calc!$G$3:$G$22&lt;=A94))</f>
        <v/>
      </c>
      <c r="C94">
        <f>AND(B94&gt;=2,$B$11-B94&gt;=2)</f>
        <v/>
      </c>
      <c r="D94">
        <f>SUMPRODUCT((Calc!$F$3:$F$22&lt;=LTP!$B$5)*Calc!$K$3:$K$22*(Calc!$G$3:$G$22&gt;A94)*(Calc!$G$3:$G$22-A94))</f>
        <v/>
      </c>
      <c r="E94">
        <f>SUMPRODUCT((Calc!$F$3:$F$22&lt;=LTP!$B$5)*Calc!$K$3:$K$22*(Calc!$G$3:$G$22&gt;A94)*(Calc!$G$3:$G$22-A94)^2)</f>
        <v/>
      </c>
      <c r="F94">
        <f>SUMPRODUCT((Calc!$F$3:$F$22&lt;=LTP!$B$5)*Calc!$K$3:$K$22*(Calc!$G$3:$G$22&gt;A94)*(Calc!$G$3:$G$22-A94)*Calc!$G$3:$G$22)</f>
        <v/>
      </c>
      <c r="G94">
        <f>SUMPRODUCT((Calc!$F$3:$F$22&lt;=LTP!$B$5)*Calc!$K$3:$K$22*(Calc!$G$3:$G$22&gt;A94)*(Calc!$G$3:$G$22-A94)*Calc!$I$3:$I$22)</f>
        <v/>
      </c>
      <c r="H94">
        <f>IF($B$11&gt;0,F94-$C$11*D94/$B$11,0)</f>
        <v/>
      </c>
      <c r="I94">
        <f>IF($B$11&gt;0,E94-D94^2/$B$11,0)</f>
        <v/>
      </c>
      <c r="J94">
        <f>IF($B$11&gt;0,G94-D94*$D$11/$B$11,0)</f>
        <v/>
      </c>
      <c r="K94">
        <f>$H$11*I94-H94^2</f>
        <v/>
      </c>
      <c r="L94">
        <f>IF(ABS(K94)&gt;1E-12,($H$11*J94-H94*$I$11)/K94,0)</f>
        <v/>
      </c>
      <c r="M94">
        <f>IF(ABS(K94)&gt;1E-12,(I94*$I$11-H94*J94)/K94,0)</f>
        <v/>
      </c>
      <c r="N94">
        <f>$J$11-M94*$I$11-L94*J94</f>
        <v/>
      </c>
      <c r="O94">
        <f>IF(AND(C94,ABS(K94)&gt;1E-12,L94&gt;0),N94,1E+300)</f>
        <v/>
      </c>
    </row>
    <row r="95">
      <c r="A95">
        <f>$K$11+($L$11-$K$11)*81/400</f>
        <v/>
      </c>
      <c r="B95">
        <f>SUMPRODUCT((Calc!$F$3:$F$22&lt;=LTP!$B$5)*Calc!$K$3:$K$22*(Calc!$G$3:$G$22&lt;=A95))</f>
        <v/>
      </c>
      <c r="C95">
        <f>AND(B95&gt;=2,$B$11-B95&gt;=2)</f>
        <v/>
      </c>
      <c r="D95">
        <f>SUMPRODUCT((Calc!$F$3:$F$22&lt;=LTP!$B$5)*Calc!$K$3:$K$22*(Calc!$G$3:$G$22&gt;A95)*(Calc!$G$3:$G$22-A95))</f>
        <v/>
      </c>
      <c r="E95">
        <f>SUMPRODUCT((Calc!$F$3:$F$22&lt;=LTP!$B$5)*Calc!$K$3:$K$22*(Calc!$G$3:$G$22&gt;A95)*(Calc!$G$3:$G$22-A95)^2)</f>
        <v/>
      </c>
      <c r="F95">
        <f>SUMPRODUCT((Calc!$F$3:$F$22&lt;=LTP!$B$5)*Calc!$K$3:$K$22*(Calc!$G$3:$G$22&gt;A95)*(Calc!$G$3:$G$22-A95)*Calc!$G$3:$G$22)</f>
        <v/>
      </c>
      <c r="G95">
        <f>SUMPRODUCT((Calc!$F$3:$F$22&lt;=LTP!$B$5)*Calc!$K$3:$K$22*(Calc!$G$3:$G$22&gt;A95)*(Calc!$G$3:$G$22-A95)*Calc!$I$3:$I$22)</f>
        <v/>
      </c>
      <c r="H95">
        <f>IF($B$11&gt;0,F95-$C$11*D95/$B$11,0)</f>
        <v/>
      </c>
      <c r="I95">
        <f>IF($B$11&gt;0,E95-D95^2/$B$11,0)</f>
        <v/>
      </c>
      <c r="J95">
        <f>IF($B$11&gt;0,G95-D95*$D$11/$B$11,0)</f>
        <v/>
      </c>
      <c r="K95">
        <f>$H$11*I95-H95^2</f>
        <v/>
      </c>
      <c r="L95">
        <f>IF(ABS(K95)&gt;1E-12,($H$11*J95-H95*$I$11)/K95,0)</f>
        <v/>
      </c>
      <c r="M95">
        <f>IF(ABS(K95)&gt;1E-12,(I95*$I$11-H95*J95)/K95,0)</f>
        <v/>
      </c>
      <c r="N95">
        <f>$J$11-M95*$I$11-L95*J95</f>
        <v/>
      </c>
      <c r="O95">
        <f>IF(AND(C95,ABS(K95)&gt;1E-12,L95&gt;0),N95,1E+300)</f>
        <v/>
      </c>
    </row>
    <row r="96">
      <c r="A96">
        <f>$K$11+($L$11-$K$11)*82/400</f>
        <v/>
      </c>
      <c r="B96">
        <f>SUMPRODUCT((Calc!$F$3:$F$22&lt;=LTP!$B$5)*Calc!$K$3:$K$22*(Calc!$G$3:$G$22&lt;=A96))</f>
        <v/>
      </c>
      <c r="C96">
        <f>AND(B96&gt;=2,$B$11-B96&gt;=2)</f>
        <v/>
      </c>
      <c r="D96">
        <f>SUMPRODUCT((Calc!$F$3:$F$22&lt;=LTP!$B$5)*Calc!$K$3:$K$22*(Calc!$G$3:$G$22&gt;A96)*(Calc!$G$3:$G$22-A96))</f>
        <v/>
      </c>
      <c r="E96">
        <f>SUMPRODUCT((Calc!$F$3:$F$22&lt;=LTP!$B$5)*Calc!$K$3:$K$22*(Calc!$G$3:$G$22&gt;A96)*(Calc!$G$3:$G$22-A96)^2)</f>
        <v/>
      </c>
      <c r="F96">
        <f>SUMPRODUCT((Calc!$F$3:$F$22&lt;=LTP!$B$5)*Calc!$K$3:$K$22*(Calc!$G$3:$G$22&gt;A96)*(Calc!$G$3:$G$22-A96)*Calc!$G$3:$G$22)</f>
        <v/>
      </c>
      <c r="G96">
        <f>SUMPRODUCT((Calc!$F$3:$F$22&lt;=LTP!$B$5)*Calc!$K$3:$K$22*(Calc!$G$3:$G$22&gt;A96)*(Calc!$G$3:$G$22-A96)*Calc!$I$3:$I$22)</f>
        <v/>
      </c>
      <c r="H96">
        <f>IF($B$11&gt;0,F96-$C$11*D96/$B$11,0)</f>
        <v/>
      </c>
      <c r="I96">
        <f>IF($B$11&gt;0,E96-D96^2/$B$11,0)</f>
        <v/>
      </c>
      <c r="J96">
        <f>IF($B$11&gt;0,G96-D96*$D$11/$B$11,0)</f>
        <v/>
      </c>
      <c r="K96">
        <f>$H$11*I96-H96^2</f>
        <v/>
      </c>
      <c r="L96">
        <f>IF(ABS(K96)&gt;1E-12,($H$11*J96-H96*$I$11)/K96,0)</f>
        <v/>
      </c>
      <c r="M96">
        <f>IF(ABS(K96)&gt;1E-12,(I96*$I$11-H96*J96)/K96,0)</f>
        <v/>
      </c>
      <c r="N96">
        <f>$J$11-M96*$I$11-L96*J96</f>
        <v/>
      </c>
      <c r="O96">
        <f>IF(AND(C96,ABS(K96)&gt;1E-12,L96&gt;0),N96,1E+300)</f>
        <v/>
      </c>
    </row>
    <row r="97">
      <c r="A97">
        <f>$K$11+($L$11-$K$11)*83/400</f>
        <v/>
      </c>
      <c r="B97">
        <f>SUMPRODUCT((Calc!$F$3:$F$22&lt;=LTP!$B$5)*Calc!$K$3:$K$22*(Calc!$G$3:$G$22&lt;=A97))</f>
        <v/>
      </c>
      <c r="C97">
        <f>AND(B97&gt;=2,$B$11-B97&gt;=2)</f>
        <v/>
      </c>
      <c r="D97">
        <f>SUMPRODUCT((Calc!$F$3:$F$22&lt;=LTP!$B$5)*Calc!$K$3:$K$22*(Calc!$G$3:$G$22&gt;A97)*(Calc!$G$3:$G$22-A97))</f>
        <v/>
      </c>
      <c r="E97">
        <f>SUMPRODUCT((Calc!$F$3:$F$22&lt;=LTP!$B$5)*Calc!$K$3:$K$22*(Calc!$G$3:$G$22&gt;A97)*(Calc!$G$3:$G$22-A97)^2)</f>
        <v/>
      </c>
      <c r="F97">
        <f>SUMPRODUCT((Calc!$F$3:$F$22&lt;=LTP!$B$5)*Calc!$K$3:$K$22*(Calc!$G$3:$G$22&gt;A97)*(Calc!$G$3:$G$22-A97)*Calc!$G$3:$G$22)</f>
        <v/>
      </c>
      <c r="G97">
        <f>SUMPRODUCT((Calc!$F$3:$F$22&lt;=LTP!$B$5)*Calc!$K$3:$K$22*(Calc!$G$3:$G$22&gt;A97)*(Calc!$G$3:$G$22-A97)*Calc!$I$3:$I$22)</f>
        <v/>
      </c>
      <c r="H97">
        <f>IF($B$11&gt;0,F97-$C$11*D97/$B$11,0)</f>
        <v/>
      </c>
      <c r="I97">
        <f>IF($B$11&gt;0,E97-D97^2/$B$11,0)</f>
        <v/>
      </c>
      <c r="J97">
        <f>IF($B$11&gt;0,G97-D97*$D$11/$B$11,0)</f>
        <v/>
      </c>
      <c r="K97">
        <f>$H$11*I97-H97^2</f>
        <v/>
      </c>
      <c r="L97">
        <f>IF(ABS(K97)&gt;1E-12,($H$11*J97-H97*$I$11)/K97,0)</f>
        <v/>
      </c>
      <c r="M97">
        <f>IF(ABS(K97)&gt;1E-12,(I97*$I$11-H97*J97)/K97,0)</f>
        <v/>
      </c>
      <c r="N97">
        <f>$J$11-M97*$I$11-L97*J97</f>
        <v/>
      </c>
      <c r="O97">
        <f>IF(AND(C97,ABS(K97)&gt;1E-12,L97&gt;0),N97,1E+300)</f>
        <v/>
      </c>
    </row>
    <row r="98">
      <c r="A98">
        <f>$K$11+($L$11-$K$11)*84/400</f>
        <v/>
      </c>
      <c r="B98">
        <f>SUMPRODUCT((Calc!$F$3:$F$22&lt;=LTP!$B$5)*Calc!$K$3:$K$22*(Calc!$G$3:$G$22&lt;=A98))</f>
        <v/>
      </c>
      <c r="C98">
        <f>AND(B98&gt;=2,$B$11-B98&gt;=2)</f>
        <v/>
      </c>
      <c r="D98">
        <f>SUMPRODUCT((Calc!$F$3:$F$22&lt;=LTP!$B$5)*Calc!$K$3:$K$22*(Calc!$G$3:$G$22&gt;A98)*(Calc!$G$3:$G$22-A98))</f>
        <v/>
      </c>
      <c r="E98">
        <f>SUMPRODUCT((Calc!$F$3:$F$22&lt;=LTP!$B$5)*Calc!$K$3:$K$22*(Calc!$G$3:$G$22&gt;A98)*(Calc!$G$3:$G$22-A98)^2)</f>
        <v/>
      </c>
      <c r="F98">
        <f>SUMPRODUCT((Calc!$F$3:$F$22&lt;=LTP!$B$5)*Calc!$K$3:$K$22*(Calc!$G$3:$G$22&gt;A98)*(Calc!$G$3:$G$22-A98)*Calc!$G$3:$G$22)</f>
        <v/>
      </c>
      <c r="G98">
        <f>SUMPRODUCT((Calc!$F$3:$F$22&lt;=LTP!$B$5)*Calc!$K$3:$K$22*(Calc!$G$3:$G$22&gt;A98)*(Calc!$G$3:$G$22-A98)*Calc!$I$3:$I$22)</f>
        <v/>
      </c>
      <c r="H98">
        <f>IF($B$11&gt;0,F98-$C$11*D98/$B$11,0)</f>
        <v/>
      </c>
      <c r="I98">
        <f>IF($B$11&gt;0,E98-D98^2/$B$11,0)</f>
        <v/>
      </c>
      <c r="J98">
        <f>IF($B$11&gt;0,G98-D98*$D$11/$B$11,0)</f>
        <v/>
      </c>
      <c r="K98">
        <f>$H$11*I98-H98^2</f>
        <v/>
      </c>
      <c r="L98">
        <f>IF(ABS(K98)&gt;1E-12,($H$11*J98-H98*$I$11)/K98,0)</f>
        <v/>
      </c>
      <c r="M98">
        <f>IF(ABS(K98)&gt;1E-12,(I98*$I$11-H98*J98)/K98,0)</f>
        <v/>
      </c>
      <c r="N98">
        <f>$J$11-M98*$I$11-L98*J98</f>
        <v/>
      </c>
      <c r="O98">
        <f>IF(AND(C98,ABS(K98)&gt;1E-12,L98&gt;0),N98,1E+300)</f>
        <v/>
      </c>
    </row>
    <row r="99">
      <c r="A99">
        <f>$K$11+($L$11-$K$11)*85/400</f>
        <v/>
      </c>
      <c r="B99">
        <f>SUMPRODUCT((Calc!$F$3:$F$22&lt;=LTP!$B$5)*Calc!$K$3:$K$22*(Calc!$G$3:$G$22&lt;=A99))</f>
        <v/>
      </c>
      <c r="C99">
        <f>AND(B99&gt;=2,$B$11-B99&gt;=2)</f>
        <v/>
      </c>
      <c r="D99">
        <f>SUMPRODUCT((Calc!$F$3:$F$22&lt;=LTP!$B$5)*Calc!$K$3:$K$22*(Calc!$G$3:$G$22&gt;A99)*(Calc!$G$3:$G$22-A99))</f>
        <v/>
      </c>
      <c r="E99">
        <f>SUMPRODUCT((Calc!$F$3:$F$22&lt;=LTP!$B$5)*Calc!$K$3:$K$22*(Calc!$G$3:$G$22&gt;A99)*(Calc!$G$3:$G$22-A99)^2)</f>
        <v/>
      </c>
      <c r="F99">
        <f>SUMPRODUCT((Calc!$F$3:$F$22&lt;=LTP!$B$5)*Calc!$K$3:$K$22*(Calc!$G$3:$G$22&gt;A99)*(Calc!$G$3:$G$22-A99)*Calc!$G$3:$G$22)</f>
        <v/>
      </c>
      <c r="G99">
        <f>SUMPRODUCT((Calc!$F$3:$F$22&lt;=LTP!$B$5)*Calc!$K$3:$K$22*(Calc!$G$3:$G$22&gt;A99)*(Calc!$G$3:$G$22-A99)*Calc!$I$3:$I$22)</f>
        <v/>
      </c>
      <c r="H99">
        <f>IF($B$11&gt;0,F99-$C$11*D99/$B$11,0)</f>
        <v/>
      </c>
      <c r="I99">
        <f>IF($B$11&gt;0,E99-D99^2/$B$11,0)</f>
        <v/>
      </c>
      <c r="J99">
        <f>IF($B$11&gt;0,G99-D99*$D$11/$B$11,0)</f>
        <v/>
      </c>
      <c r="K99">
        <f>$H$11*I99-H99^2</f>
        <v/>
      </c>
      <c r="L99">
        <f>IF(ABS(K99)&gt;1E-12,($H$11*J99-H99*$I$11)/K99,0)</f>
        <v/>
      </c>
      <c r="M99">
        <f>IF(ABS(K99)&gt;1E-12,(I99*$I$11-H99*J99)/K99,0)</f>
        <v/>
      </c>
      <c r="N99">
        <f>$J$11-M99*$I$11-L99*J99</f>
        <v/>
      </c>
      <c r="O99">
        <f>IF(AND(C99,ABS(K99)&gt;1E-12,L99&gt;0),N99,1E+300)</f>
        <v/>
      </c>
    </row>
    <row r="100">
      <c r="A100">
        <f>$K$11+($L$11-$K$11)*86/400</f>
        <v/>
      </c>
      <c r="B100">
        <f>SUMPRODUCT((Calc!$F$3:$F$22&lt;=LTP!$B$5)*Calc!$K$3:$K$22*(Calc!$G$3:$G$22&lt;=A100))</f>
        <v/>
      </c>
      <c r="C100">
        <f>AND(B100&gt;=2,$B$11-B100&gt;=2)</f>
        <v/>
      </c>
      <c r="D100">
        <f>SUMPRODUCT((Calc!$F$3:$F$22&lt;=LTP!$B$5)*Calc!$K$3:$K$22*(Calc!$G$3:$G$22&gt;A100)*(Calc!$G$3:$G$22-A100))</f>
        <v/>
      </c>
      <c r="E100">
        <f>SUMPRODUCT((Calc!$F$3:$F$22&lt;=LTP!$B$5)*Calc!$K$3:$K$22*(Calc!$G$3:$G$22&gt;A100)*(Calc!$G$3:$G$22-A100)^2)</f>
        <v/>
      </c>
      <c r="F100">
        <f>SUMPRODUCT((Calc!$F$3:$F$22&lt;=LTP!$B$5)*Calc!$K$3:$K$22*(Calc!$G$3:$G$22&gt;A100)*(Calc!$G$3:$G$22-A100)*Calc!$G$3:$G$22)</f>
        <v/>
      </c>
      <c r="G100">
        <f>SUMPRODUCT((Calc!$F$3:$F$22&lt;=LTP!$B$5)*Calc!$K$3:$K$22*(Calc!$G$3:$G$22&gt;A100)*(Calc!$G$3:$G$22-A100)*Calc!$I$3:$I$22)</f>
        <v/>
      </c>
      <c r="H100">
        <f>IF($B$11&gt;0,F100-$C$11*D100/$B$11,0)</f>
        <v/>
      </c>
      <c r="I100">
        <f>IF($B$11&gt;0,E100-D100^2/$B$11,0)</f>
        <v/>
      </c>
      <c r="J100">
        <f>IF($B$11&gt;0,G100-D100*$D$11/$B$11,0)</f>
        <v/>
      </c>
      <c r="K100">
        <f>$H$11*I100-H100^2</f>
        <v/>
      </c>
      <c r="L100">
        <f>IF(ABS(K100)&gt;1E-12,($H$11*J100-H100*$I$11)/K100,0)</f>
        <v/>
      </c>
      <c r="M100">
        <f>IF(ABS(K100)&gt;1E-12,(I100*$I$11-H100*J100)/K100,0)</f>
        <v/>
      </c>
      <c r="N100">
        <f>$J$11-M100*$I$11-L100*J100</f>
        <v/>
      </c>
      <c r="O100">
        <f>IF(AND(C100,ABS(K100)&gt;1E-12,L100&gt;0),N100,1E+300)</f>
        <v/>
      </c>
    </row>
    <row r="101">
      <c r="A101">
        <f>$K$11+($L$11-$K$11)*87/400</f>
        <v/>
      </c>
      <c r="B101">
        <f>SUMPRODUCT((Calc!$F$3:$F$22&lt;=LTP!$B$5)*Calc!$K$3:$K$22*(Calc!$G$3:$G$22&lt;=A101))</f>
        <v/>
      </c>
      <c r="C101">
        <f>AND(B101&gt;=2,$B$11-B101&gt;=2)</f>
        <v/>
      </c>
      <c r="D101">
        <f>SUMPRODUCT((Calc!$F$3:$F$22&lt;=LTP!$B$5)*Calc!$K$3:$K$22*(Calc!$G$3:$G$22&gt;A101)*(Calc!$G$3:$G$22-A101))</f>
        <v/>
      </c>
      <c r="E101">
        <f>SUMPRODUCT((Calc!$F$3:$F$22&lt;=LTP!$B$5)*Calc!$K$3:$K$22*(Calc!$G$3:$G$22&gt;A101)*(Calc!$G$3:$G$22-A101)^2)</f>
        <v/>
      </c>
      <c r="F101">
        <f>SUMPRODUCT((Calc!$F$3:$F$22&lt;=LTP!$B$5)*Calc!$K$3:$K$22*(Calc!$G$3:$G$22&gt;A101)*(Calc!$G$3:$G$22-A101)*Calc!$G$3:$G$22)</f>
        <v/>
      </c>
      <c r="G101">
        <f>SUMPRODUCT((Calc!$F$3:$F$22&lt;=LTP!$B$5)*Calc!$K$3:$K$22*(Calc!$G$3:$G$22&gt;A101)*(Calc!$G$3:$G$22-A101)*Calc!$I$3:$I$22)</f>
        <v/>
      </c>
      <c r="H101">
        <f>IF($B$11&gt;0,F101-$C$11*D101/$B$11,0)</f>
        <v/>
      </c>
      <c r="I101">
        <f>IF($B$11&gt;0,E101-D101^2/$B$11,0)</f>
        <v/>
      </c>
      <c r="J101">
        <f>IF($B$11&gt;0,G101-D101*$D$11/$B$11,0)</f>
        <v/>
      </c>
      <c r="K101">
        <f>$H$11*I101-H101^2</f>
        <v/>
      </c>
      <c r="L101">
        <f>IF(ABS(K101)&gt;1E-12,($H$11*J101-H101*$I$11)/K101,0)</f>
        <v/>
      </c>
      <c r="M101">
        <f>IF(ABS(K101)&gt;1E-12,(I101*$I$11-H101*J101)/K101,0)</f>
        <v/>
      </c>
      <c r="N101">
        <f>$J$11-M101*$I$11-L101*J101</f>
        <v/>
      </c>
      <c r="O101">
        <f>IF(AND(C101,ABS(K101)&gt;1E-12,L101&gt;0),N101,1E+300)</f>
        <v/>
      </c>
    </row>
    <row r="102">
      <c r="A102">
        <f>$K$11+($L$11-$K$11)*88/400</f>
        <v/>
      </c>
      <c r="B102">
        <f>SUMPRODUCT((Calc!$F$3:$F$22&lt;=LTP!$B$5)*Calc!$K$3:$K$22*(Calc!$G$3:$G$22&lt;=A102))</f>
        <v/>
      </c>
      <c r="C102">
        <f>AND(B102&gt;=2,$B$11-B102&gt;=2)</f>
        <v/>
      </c>
      <c r="D102">
        <f>SUMPRODUCT((Calc!$F$3:$F$22&lt;=LTP!$B$5)*Calc!$K$3:$K$22*(Calc!$G$3:$G$22&gt;A102)*(Calc!$G$3:$G$22-A102))</f>
        <v/>
      </c>
      <c r="E102">
        <f>SUMPRODUCT((Calc!$F$3:$F$22&lt;=LTP!$B$5)*Calc!$K$3:$K$22*(Calc!$G$3:$G$22&gt;A102)*(Calc!$G$3:$G$22-A102)^2)</f>
        <v/>
      </c>
      <c r="F102">
        <f>SUMPRODUCT((Calc!$F$3:$F$22&lt;=LTP!$B$5)*Calc!$K$3:$K$22*(Calc!$G$3:$G$22&gt;A102)*(Calc!$G$3:$G$22-A102)*Calc!$G$3:$G$22)</f>
        <v/>
      </c>
      <c r="G102">
        <f>SUMPRODUCT((Calc!$F$3:$F$22&lt;=LTP!$B$5)*Calc!$K$3:$K$22*(Calc!$G$3:$G$22&gt;A102)*(Calc!$G$3:$G$22-A102)*Calc!$I$3:$I$22)</f>
        <v/>
      </c>
      <c r="H102">
        <f>IF($B$11&gt;0,F102-$C$11*D102/$B$11,0)</f>
        <v/>
      </c>
      <c r="I102">
        <f>IF($B$11&gt;0,E102-D102^2/$B$11,0)</f>
        <v/>
      </c>
      <c r="J102">
        <f>IF($B$11&gt;0,G102-D102*$D$11/$B$11,0)</f>
        <v/>
      </c>
      <c r="K102">
        <f>$H$11*I102-H102^2</f>
        <v/>
      </c>
      <c r="L102">
        <f>IF(ABS(K102)&gt;1E-12,($H$11*J102-H102*$I$11)/K102,0)</f>
        <v/>
      </c>
      <c r="M102">
        <f>IF(ABS(K102)&gt;1E-12,(I102*$I$11-H102*J102)/K102,0)</f>
        <v/>
      </c>
      <c r="N102">
        <f>$J$11-M102*$I$11-L102*J102</f>
        <v/>
      </c>
      <c r="O102">
        <f>IF(AND(C102,ABS(K102)&gt;1E-12,L102&gt;0),N102,1E+300)</f>
        <v/>
      </c>
    </row>
    <row r="103">
      <c r="A103">
        <f>$K$11+($L$11-$K$11)*89/400</f>
        <v/>
      </c>
      <c r="B103">
        <f>SUMPRODUCT((Calc!$F$3:$F$22&lt;=LTP!$B$5)*Calc!$K$3:$K$22*(Calc!$G$3:$G$22&lt;=A103))</f>
        <v/>
      </c>
      <c r="C103">
        <f>AND(B103&gt;=2,$B$11-B103&gt;=2)</f>
        <v/>
      </c>
      <c r="D103">
        <f>SUMPRODUCT((Calc!$F$3:$F$22&lt;=LTP!$B$5)*Calc!$K$3:$K$22*(Calc!$G$3:$G$22&gt;A103)*(Calc!$G$3:$G$22-A103))</f>
        <v/>
      </c>
      <c r="E103">
        <f>SUMPRODUCT((Calc!$F$3:$F$22&lt;=LTP!$B$5)*Calc!$K$3:$K$22*(Calc!$G$3:$G$22&gt;A103)*(Calc!$G$3:$G$22-A103)^2)</f>
        <v/>
      </c>
      <c r="F103">
        <f>SUMPRODUCT((Calc!$F$3:$F$22&lt;=LTP!$B$5)*Calc!$K$3:$K$22*(Calc!$G$3:$G$22&gt;A103)*(Calc!$G$3:$G$22-A103)*Calc!$G$3:$G$22)</f>
        <v/>
      </c>
      <c r="G103">
        <f>SUMPRODUCT((Calc!$F$3:$F$22&lt;=LTP!$B$5)*Calc!$K$3:$K$22*(Calc!$G$3:$G$22&gt;A103)*(Calc!$G$3:$G$22-A103)*Calc!$I$3:$I$22)</f>
        <v/>
      </c>
      <c r="H103">
        <f>IF($B$11&gt;0,F103-$C$11*D103/$B$11,0)</f>
        <v/>
      </c>
      <c r="I103">
        <f>IF($B$11&gt;0,E103-D103^2/$B$11,0)</f>
        <v/>
      </c>
      <c r="J103">
        <f>IF($B$11&gt;0,G103-D103*$D$11/$B$11,0)</f>
        <v/>
      </c>
      <c r="K103">
        <f>$H$11*I103-H103^2</f>
        <v/>
      </c>
      <c r="L103">
        <f>IF(ABS(K103)&gt;1E-12,($H$11*J103-H103*$I$11)/K103,0)</f>
        <v/>
      </c>
      <c r="M103">
        <f>IF(ABS(K103)&gt;1E-12,(I103*$I$11-H103*J103)/K103,0)</f>
        <v/>
      </c>
      <c r="N103">
        <f>$J$11-M103*$I$11-L103*J103</f>
        <v/>
      </c>
      <c r="O103">
        <f>IF(AND(C103,ABS(K103)&gt;1E-12,L103&gt;0),N103,1E+300)</f>
        <v/>
      </c>
    </row>
    <row r="104">
      <c r="A104">
        <f>$K$11+($L$11-$K$11)*90/400</f>
        <v/>
      </c>
      <c r="B104">
        <f>SUMPRODUCT((Calc!$F$3:$F$22&lt;=LTP!$B$5)*Calc!$K$3:$K$22*(Calc!$G$3:$G$22&lt;=A104))</f>
        <v/>
      </c>
      <c r="C104">
        <f>AND(B104&gt;=2,$B$11-B104&gt;=2)</f>
        <v/>
      </c>
      <c r="D104">
        <f>SUMPRODUCT((Calc!$F$3:$F$22&lt;=LTP!$B$5)*Calc!$K$3:$K$22*(Calc!$G$3:$G$22&gt;A104)*(Calc!$G$3:$G$22-A104))</f>
        <v/>
      </c>
      <c r="E104">
        <f>SUMPRODUCT((Calc!$F$3:$F$22&lt;=LTP!$B$5)*Calc!$K$3:$K$22*(Calc!$G$3:$G$22&gt;A104)*(Calc!$G$3:$G$22-A104)^2)</f>
        <v/>
      </c>
      <c r="F104">
        <f>SUMPRODUCT((Calc!$F$3:$F$22&lt;=LTP!$B$5)*Calc!$K$3:$K$22*(Calc!$G$3:$G$22&gt;A104)*(Calc!$G$3:$G$22-A104)*Calc!$G$3:$G$22)</f>
        <v/>
      </c>
      <c r="G104">
        <f>SUMPRODUCT((Calc!$F$3:$F$22&lt;=LTP!$B$5)*Calc!$K$3:$K$22*(Calc!$G$3:$G$22&gt;A104)*(Calc!$G$3:$G$22-A104)*Calc!$I$3:$I$22)</f>
        <v/>
      </c>
      <c r="H104">
        <f>IF($B$11&gt;0,F104-$C$11*D104/$B$11,0)</f>
        <v/>
      </c>
      <c r="I104">
        <f>IF($B$11&gt;0,E104-D104^2/$B$11,0)</f>
        <v/>
      </c>
      <c r="J104">
        <f>IF($B$11&gt;0,G104-D104*$D$11/$B$11,0)</f>
        <v/>
      </c>
      <c r="K104">
        <f>$H$11*I104-H104^2</f>
        <v/>
      </c>
      <c r="L104">
        <f>IF(ABS(K104)&gt;1E-12,($H$11*J104-H104*$I$11)/K104,0)</f>
        <v/>
      </c>
      <c r="M104">
        <f>IF(ABS(K104)&gt;1E-12,(I104*$I$11-H104*J104)/K104,0)</f>
        <v/>
      </c>
      <c r="N104">
        <f>$J$11-M104*$I$11-L104*J104</f>
        <v/>
      </c>
      <c r="O104">
        <f>IF(AND(C104,ABS(K104)&gt;1E-12,L104&gt;0),N104,1E+300)</f>
        <v/>
      </c>
    </row>
    <row r="105">
      <c r="A105">
        <f>$K$11+($L$11-$K$11)*91/400</f>
        <v/>
      </c>
      <c r="B105">
        <f>SUMPRODUCT((Calc!$F$3:$F$22&lt;=LTP!$B$5)*Calc!$K$3:$K$22*(Calc!$G$3:$G$22&lt;=A105))</f>
        <v/>
      </c>
      <c r="C105">
        <f>AND(B105&gt;=2,$B$11-B105&gt;=2)</f>
        <v/>
      </c>
      <c r="D105">
        <f>SUMPRODUCT((Calc!$F$3:$F$22&lt;=LTP!$B$5)*Calc!$K$3:$K$22*(Calc!$G$3:$G$22&gt;A105)*(Calc!$G$3:$G$22-A105))</f>
        <v/>
      </c>
      <c r="E105">
        <f>SUMPRODUCT((Calc!$F$3:$F$22&lt;=LTP!$B$5)*Calc!$K$3:$K$22*(Calc!$G$3:$G$22&gt;A105)*(Calc!$G$3:$G$22-A105)^2)</f>
        <v/>
      </c>
      <c r="F105">
        <f>SUMPRODUCT((Calc!$F$3:$F$22&lt;=LTP!$B$5)*Calc!$K$3:$K$22*(Calc!$G$3:$G$22&gt;A105)*(Calc!$G$3:$G$22-A105)*Calc!$G$3:$G$22)</f>
        <v/>
      </c>
      <c r="G105">
        <f>SUMPRODUCT((Calc!$F$3:$F$22&lt;=LTP!$B$5)*Calc!$K$3:$K$22*(Calc!$G$3:$G$22&gt;A105)*(Calc!$G$3:$G$22-A105)*Calc!$I$3:$I$22)</f>
        <v/>
      </c>
      <c r="H105">
        <f>IF($B$11&gt;0,F105-$C$11*D105/$B$11,0)</f>
        <v/>
      </c>
      <c r="I105">
        <f>IF($B$11&gt;0,E105-D105^2/$B$11,0)</f>
        <v/>
      </c>
      <c r="J105">
        <f>IF($B$11&gt;0,G105-D105*$D$11/$B$11,0)</f>
        <v/>
      </c>
      <c r="K105">
        <f>$H$11*I105-H105^2</f>
        <v/>
      </c>
      <c r="L105">
        <f>IF(ABS(K105)&gt;1E-12,($H$11*J105-H105*$I$11)/K105,0)</f>
        <v/>
      </c>
      <c r="M105">
        <f>IF(ABS(K105)&gt;1E-12,(I105*$I$11-H105*J105)/K105,0)</f>
        <v/>
      </c>
      <c r="N105">
        <f>$J$11-M105*$I$11-L105*J105</f>
        <v/>
      </c>
      <c r="O105">
        <f>IF(AND(C105,ABS(K105)&gt;1E-12,L105&gt;0),N105,1E+300)</f>
        <v/>
      </c>
    </row>
    <row r="106">
      <c r="A106">
        <f>$K$11+($L$11-$K$11)*92/400</f>
        <v/>
      </c>
      <c r="B106">
        <f>SUMPRODUCT((Calc!$F$3:$F$22&lt;=LTP!$B$5)*Calc!$K$3:$K$22*(Calc!$G$3:$G$22&lt;=A106))</f>
        <v/>
      </c>
      <c r="C106">
        <f>AND(B106&gt;=2,$B$11-B106&gt;=2)</f>
        <v/>
      </c>
      <c r="D106">
        <f>SUMPRODUCT((Calc!$F$3:$F$22&lt;=LTP!$B$5)*Calc!$K$3:$K$22*(Calc!$G$3:$G$22&gt;A106)*(Calc!$G$3:$G$22-A106))</f>
        <v/>
      </c>
      <c r="E106">
        <f>SUMPRODUCT((Calc!$F$3:$F$22&lt;=LTP!$B$5)*Calc!$K$3:$K$22*(Calc!$G$3:$G$22&gt;A106)*(Calc!$G$3:$G$22-A106)^2)</f>
        <v/>
      </c>
      <c r="F106">
        <f>SUMPRODUCT((Calc!$F$3:$F$22&lt;=LTP!$B$5)*Calc!$K$3:$K$22*(Calc!$G$3:$G$22&gt;A106)*(Calc!$G$3:$G$22-A106)*Calc!$G$3:$G$22)</f>
        <v/>
      </c>
      <c r="G106">
        <f>SUMPRODUCT((Calc!$F$3:$F$22&lt;=LTP!$B$5)*Calc!$K$3:$K$22*(Calc!$G$3:$G$22&gt;A106)*(Calc!$G$3:$G$22-A106)*Calc!$I$3:$I$22)</f>
        <v/>
      </c>
      <c r="H106">
        <f>IF($B$11&gt;0,F106-$C$11*D106/$B$11,0)</f>
        <v/>
      </c>
      <c r="I106">
        <f>IF($B$11&gt;0,E106-D106^2/$B$11,0)</f>
        <v/>
      </c>
      <c r="J106">
        <f>IF($B$11&gt;0,G106-D106*$D$11/$B$11,0)</f>
        <v/>
      </c>
      <c r="K106">
        <f>$H$11*I106-H106^2</f>
        <v/>
      </c>
      <c r="L106">
        <f>IF(ABS(K106)&gt;1E-12,($H$11*J106-H106*$I$11)/K106,0)</f>
        <v/>
      </c>
      <c r="M106">
        <f>IF(ABS(K106)&gt;1E-12,(I106*$I$11-H106*J106)/K106,0)</f>
        <v/>
      </c>
      <c r="N106">
        <f>$J$11-M106*$I$11-L106*J106</f>
        <v/>
      </c>
      <c r="O106">
        <f>IF(AND(C106,ABS(K106)&gt;1E-12,L106&gt;0),N106,1E+300)</f>
        <v/>
      </c>
    </row>
    <row r="107">
      <c r="A107">
        <f>$K$11+($L$11-$K$11)*93/400</f>
        <v/>
      </c>
      <c r="B107">
        <f>SUMPRODUCT((Calc!$F$3:$F$22&lt;=LTP!$B$5)*Calc!$K$3:$K$22*(Calc!$G$3:$G$22&lt;=A107))</f>
        <v/>
      </c>
      <c r="C107">
        <f>AND(B107&gt;=2,$B$11-B107&gt;=2)</f>
        <v/>
      </c>
      <c r="D107">
        <f>SUMPRODUCT((Calc!$F$3:$F$22&lt;=LTP!$B$5)*Calc!$K$3:$K$22*(Calc!$G$3:$G$22&gt;A107)*(Calc!$G$3:$G$22-A107))</f>
        <v/>
      </c>
      <c r="E107">
        <f>SUMPRODUCT((Calc!$F$3:$F$22&lt;=LTP!$B$5)*Calc!$K$3:$K$22*(Calc!$G$3:$G$22&gt;A107)*(Calc!$G$3:$G$22-A107)^2)</f>
        <v/>
      </c>
      <c r="F107">
        <f>SUMPRODUCT((Calc!$F$3:$F$22&lt;=LTP!$B$5)*Calc!$K$3:$K$22*(Calc!$G$3:$G$22&gt;A107)*(Calc!$G$3:$G$22-A107)*Calc!$G$3:$G$22)</f>
        <v/>
      </c>
      <c r="G107">
        <f>SUMPRODUCT((Calc!$F$3:$F$22&lt;=LTP!$B$5)*Calc!$K$3:$K$22*(Calc!$G$3:$G$22&gt;A107)*(Calc!$G$3:$G$22-A107)*Calc!$I$3:$I$22)</f>
        <v/>
      </c>
      <c r="H107">
        <f>IF($B$11&gt;0,F107-$C$11*D107/$B$11,0)</f>
        <v/>
      </c>
      <c r="I107">
        <f>IF($B$11&gt;0,E107-D107^2/$B$11,0)</f>
        <v/>
      </c>
      <c r="J107">
        <f>IF($B$11&gt;0,G107-D107*$D$11/$B$11,0)</f>
        <v/>
      </c>
      <c r="K107">
        <f>$H$11*I107-H107^2</f>
        <v/>
      </c>
      <c r="L107">
        <f>IF(ABS(K107)&gt;1E-12,($H$11*J107-H107*$I$11)/K107,0)</f>
        <v/>
      </c>
      <c r="M107">
        <f>IF(ABS(K107)&gt;1E-12,(I107*$I$11-H107*J107)/K107,0)</f>
        <v/>
      </c>
      <c r="N107">
        <f>$J$11-M107*$I$11-L107*J107</f>
        <v/>
      </c>
      <c r="O107">
        <f>IF(AND(C107,ABS(K107)&gt;1E-12,L107&gt;0),N107,1E+300)</f>
        <v/>
      </c>
    </row>
    <row r="108">
      <c r="A108">
        <f>$K$11+($L$11-$K$11)*94/400</f>
        <v/>
      </c>
      <c r="B108">
        <f>SUMPRODUCT((Calc!$F$3:$F$22&lt;=LTP!$B$5)*Calc!$K$3:$K$22*(Calc!$G$3:$G$22&lt;=A108))</f>
        <v/>
      </c>
      <c r="C108">
        <f>AND(B108&gt;=2,$B$11-B108&gt;=2)</f>
        <v/>
      </c>
      <c r="D108">
        <f>SUMPRODUCT((Calc!$F$3:$F$22&lt;=LTP!$B$5)*Calc!$K$3:$K$22*(Calc!$G$3:$G$22&gt;A108)*(Calc!$G$3:$G$22-A108))</f>
        <v/>
      </c>
      <c r="E108">
        <f>SUMPRODUCT((Calc!$F$3:$F$22&lt;=LTP!$B$5)*Calc!$K$3:$K$22*(Calc!$G$3:$G$22&gt;A108)*(Calc!$G$3:$G$22-A108)^2)</f>
        <v/>
      </c>
      <c r="F108">
        <f>SUMPRODUCT((Calc!$F$3:$F$22&lt;=LTP!$B$5)*Calc!$K$3:$K$22*(Calc!$G$3:$G$22&gt;A108)*(Calc!$G$3:$G$22-A108)*Calc!$G$3:$G$22)</f>
        <v/>
      </c>
      <c r="G108">
        <f>SUMPRODUCT((Calc!$F$3:$F$22&lt;=LTP!$B$5)*Calc!$K$3:$K$22*(Calc!$G$3:$G$22&gt;A108)*(Calc!$G$3:$G$22-A108)*Calc!$I$3:$I$22)</f>
        <v/>
      </c>
      <c r="H108">
        <f>IF($B$11&gt;0,F108-$C$11*D108/$B$11,0)</f>
        <v/>
      </c>
      <c r="I108">
        <f>IF($B$11&gt;0,E108-D108^2/$B$11,0)</f>
        <v/>
      </c>
      <c r="J108">
        <f>IF($B$11&gt;0,G108-D108*$D$11/$B$11,0)</f>
        <v/>
      </c>
      <c r="K108">
        <f>$H$11*I108-H108^2</f>
        <v/>
      </c>
      <c r="L108">
        <f>IF(ABS(K108)&gt;1E-12,($H$11*J108-H108*$I$11)/K108,0)</f>
        <v/>
      </c>
      <c r="M108">
        <f>IF(ABS(K108)&gt;1E-12,(I108*$I$11-H108*J108)/K108,0)</f>
        <v/>
      </c>
      <c r="N108">
        <f>$J$11-M108*$I$11-L108*J108</f>
        <v/>
      </c>
      <c r="O108">
        <f>IF(AND(C108,ABS(K108)&gt;1E-12,L108&gt;0),N108,1E+300)</f>
        <v/>
      </c>
    </row>
    <row r="109">
      <c r="A109">
        <f>$K$11+($L$11-$K$11)*95/400</f>
        <v/>
      </c>
      <c r="B109">
        <f>SUMPRODUCT((Calc!$F$3:$F$22&lt;=LTP!$B$5)*Calc!$K$3:$K$22*(Calc!$G$3:$G$22&lt;=A109))</f>
        <v/>
      </c>
      <c r="C109">
        <f>AND(B109&gt;=2,$B$11-B109&gt;=2)</f>
        <v/>
      </c>
      <c r="D109">
        <f>SUMPRODUCT((Calc!$F$3:$F$22&lt;=LTP!$B$5)*Calc!$K$3:$K$22*(Calc!$G$3:$G$22&gt;A109)*(Calc!$G$3:$G$22-A109))</f>
        <v/>
      </c>
      <c r="E109">
        <f>SUMPRODUCT((Calc!$F$3:$F$22&lt;=LTP!$B$5)*Calc!$K$3:$K$22*(Calc!$G$3:$G$22&gt;A109)*(Calc!$G$3:$G$22-A109)^2)</f>
        <v/>
      </c>
      <c r="F109">
        <f>SUMPRODUCT((Calc!$F$3:$F$22&lt;=LTP!$B$5)*Calc!$K$3:$K$22*(Calc!$G$3:$G$22&gt;A109)*(Calc!$G$3:$G$22-A109)*Calc!$G$3:$G$22)</f>
        <v/>
      </c>
      <c r="G109">
        <f>SUMPRODUCT((Calc!$F$3:$F$22&lt;=LTP!$B$5)*Calc!$K$3:$K$22*(Calc!$G$3:$G$22&gt;A109)*(Calc!$G$3:$G$22-A109)*Calc!$I$3:$I$22)</f>
        <v/>
      </c>
      <c r="H109">
        <f>IF($B$11&gt;0,F109-$C$11*D109/$B$11,0)</f>
        <v/>
      </c>
      <c r="I109">
        <f>IF($B$11&gt;0,E109-D109^2/$B$11,0)</f>
        <v/>
      </c>
      <c r="J109">
        <f>IF($B$11&gt;0,G109-D109*$D$11/$B$11,0)</f>
        <v/>
      </c>
      <c r="K109">
        <f>$H$11*I109-H109^2</f>
        <v/>
      </c>
      <c r="L109">
        <f>IF(ABS(K109)&gt;1E-12,($H$11*J109-H109*$I$11)/K109,0)</f>
        <v/>
      </c>
      <c r="M109">
        <f>IF(ABS(K109)&gt;1E-12,(I109*$I$11-H109*J109)/K109,0)</f>
        <v/>
      </c>
      <c r="N109">
        <f>$J$11-M109*$I$11-L109*J109</f>
        <v/>
      </c>
      <c r="O109">
        <f>IF(AND(C109,ABS(K109)&gt;1E-12,L109&gt;0),N109,1E+300)</f>
        <v/>
      </c>
    </row>
    <row r="110">
      <c r="A110">
        <f>$K$11+($L$11-$K$11)*96/400</f>
        <v/>
      </c>
      <c r="B110">
        <f>SUMPRODUCT((Calc!$F$3:$F$22&lt;=LTP!$B$5)*Calc!$K$3:$K$22*(Calc!$G$3:$G$22&lt;=A110))</f>
        <v/>
      </c>
      <c r="C110">
        <f>AND(B110&gt;=2,$B$11-B110&gt;=2)</f>
        <v/>
      </c>
      <c r="D110">
        <f>SUMPRODUCT((Calc!$F$3:$F$22&lt;=LTP!$B$5)*Calc!$K$3:$K$22*(Calc!$G$3:$G$22&gt;A110)*(Calc!$G$3:$G$22-A110))</f>
        <v/>
      </c>
      <c r="E110">
        <f>SUMPRODUCT((Calc!$F$3:$F$22&lt;=LTP!$B$5)*Calc!$K$3:$K$22*(Calc!$G$3:$G$22&gt;A110)*(Calc!$G$3:$G$22-A110)^2)</f>
        <v/>
      </c>
      <c r="F110">
        <f>SUMPRODUCT((Calc!$F$3:$F$22&lt;=LTP!$B$5)*Calc!$K$3:$K$22*(Calc!$G$3:$G$22&gt;A110)*(Calc!$G$3:$G$22-A110)*Calc!$G$3:$G$22)</f>
        <v/>
      </c>
      <c r="G110">
        <f>SUMPRODUCT((Calc!$F$3:$F$22&lt;=LTP!$B$5)*Calc!$K$3:$K$22*(Calc!$G$3:$G$22&gt;A110)*(Calc!$G$3:$G$22-A110)*Calc!$I$3:$I$22)</f>
        <v/>
      </c>
      <c r="H110">
        <f>IF($B$11&gt;0,F110-$C$11*D110/$B$11,0)</f>
        <v/>
      </c>
      <c r="I110">
        <f>IF($B$11&gt;0,E110-D110^2/$B$11,0)</f>
        <v/>
      </c>
      <c r="J110">
        <f>IF($B$11&gt;0,G110-D110*$D$11/$B$11,0)</f>
        <v/>
      </c>
      <c r="K110">
        <f>$H$11*I110-H110^2</f>
        <v/>
      </c>
      <c r="L110">
        <f>IF(ABS(K110)&gt;1E-12,($H$11*J110-H110*$I$11)/K110,0)</f>
        <v/>
      </c>
      <c r="M110">
        <f>IF(ABS(K110)&gt;1E-12,(I110*$I$11-H110*J110)/K110,0)</f>
        <v/>
      </c>
      <c r="N110">
        <f>$J$11-M110*$I$11-L110*J110</f>
        <v/>
      </c>
      <c r="O110">
        <f>IF(AND(C110,ABS(K110)&gt;1E-12,L110&gt;0),N110,1E+300)</f>
        <v/>
      </c>
    </row>
    <row r="111">
      <c r="A111">
        <f>$K$11+($L$11-$K$11)*97/400</f>
        <v/>
      </c>
      <c r="B111">
        <f>SUMPRODUCT((Calc!$F$3:$F$22&lt;=LTP!$B$5)*Calc!$K$3:$K$22*(Calc!$G$3:$G$22&lt;=A111))</f>
        <v/>
      </c>
      <c r="C111">
        <f>AND(B111&gt;=2,$B$11-B111&gt;=2)</f>
        <v/>
      </c>
      <c r="D111">
        <f>SUMPRODUCT((Calc!$F$3:$F$22&lt;=LTP!$B$5)*Calc!$K$3:$K$22*(Calc!$G$3:$G$22&gt;A111)*(Calc!$G$3:$G$22-A111))</f>
        <v/>
      </c>
      <c r="E111">
        <f>SUMPRODUCT((Calc!$F$3:$F$22&lt;=LTP!$B$5)*Calc!$K$3:$K$22*(Calc!$G$3:$G$22&gt;A111)*(Calc!$G$3:$G$22-A111)^2)</f>
        <v/>
      </c>
      <c r="F111">
        <f>SUMPRODUCT((Calc!$F$3:$F$22&lt;=LTP!$B$5)*Calc!$K$3:$K$22*(Calc!$G$3:$G$22&gt;A111)*(Calc!$G$3:$G$22-A111)*Calc!$G$3:$G$22)</f>
        <v/>
      </c>
      <c r="G111">
        <f>SUMPRODUCT((Calc!$F$3:$F$22&lt;=LTP!$B$5)*Calc!$K$3:$K$22*(Calc!$G$3:$G$22&gt;A111)*(Calc!$G$3:$G$22-A111)*Calc!$I$3:$I$22)</f>
        <v/>
      </c>
      <c r="H111">
        <f>IF($B$11&gt;0,F111-$C$11*D111/$B$11,0)</f>
        <v/>
      </c>
      <c r="I111">
        <f>IF($B$11&gt;0,E111-D111^2/$B$11,0)</f>
        <v/>
      </c>
      <c r="J111">
        <f>IF($B$11&gt;0,G111-D111*$D$11/$B$11,0)</f>
        <v/>
      </c>
      <c r="K111">
        <f>$H$11*I111-H111^2</f>
        <v/>
      </c>
      <c r="L111">
        <f>IF(ABS(K111)&gt;1E-12,($H$11*J111-H111*$I$11)/K111,0)</f>
        <v/>
      </c>
      <c r="M111">
        <f>IF(ABS(K111)&gt;1E-12,(I111*$I$11-H111*J111)/K111,0)</f>
        <v/>
      </c>
      <c r="N111">
        <f>$J$11-M111*$I$11-L111*J111</f>
        <v/>
      </c>
      <c r="O111">
        <f>IF(AND(C111,ABS(K111)&gt;1E-12,L111&gt;0),N111,1E+300)</f>
        <v/>
      </c>
    </row>
    <row r="112">
      <c r="A112">
        <f>$K$11+($L$11-$K$11)*98/400</f>
        <v/>
      </c>
      <c r="B112">
        <f>SUMPRODUCT((Calc!$F$3:$F$22&lt;=LTP!$B$5)*Calc!$K$3:$K$22*(Calc!$G$3:$G$22&lt;=A112))</f>
        <v/>
      </c>
      <c r="C112">
        <f>AND(B112&gt;=2,$B$11-B112&gt;=2)</f>
        <v/>
      </c>
      <c r="D112">
        <f>SUMPRODUCT((Calc!$F$3:$F$22&lt;=LTP!$B$5)*Calc!$K$3:$K$22*(Calc!$G$3:$G$22&gt;A112)*(Calc!$G$3:$G$22-A112))</f>
        <v/>
      </c>
      <c r="E112">
        <f>SUMPRODUCT((Calc!$F$3:$F$22&lt;=LTP!$B$5)*Calc!$K$3:$K$22*(Calc!$G$3:$G$22&gt;A112)*(Calc!$G$3:$G$22-A112)^2)</f>
        <v/>
      </c>
      <c r="F112">
        <f>SUMPRODUCT((Calc!$F$3:$F$22&lt;=LTP!$B$5)*Calc!$K$3:$K$22*(Calc!$G$3:$G$22&gt;A112)*(Calc!$G$3:$G$22-A112)*Calc!$G$3:$G$22)</f>
        <v/>
      </c>
      <c r="G112">
        <f>SUMPRODUCT((Calc!$F$3:$F$22&lt;=LTP!$B$5)*Calc!$K$3:$K$22*(Calc!$G$3:$G$22&gt;A112)*(Calc!$G$3:$G$22-A112)*Calc!$I$3:$I$22)</f>
        <v/>
      </c>
      <c r="H112">
        <f>IF($B$11&gt;0,F112-$C$11*D112/$B$11,0)</f>
        <v/>
      </c>
      <c r="I112">
        <f>IF($B$11&gt;0,E112-D112^2/$B$11,0)</f>
        <v/>
      </c>
      <c r="J112">
        <f>IF($B$11&gt;0,G112-D112*$D$11/$B$11,0)</f>
        <v/>
      </c>
      <c r="K112">
        <f>$H$11*I112-H112^2</f>
        <v/>
      </c>
      <c r="L112">
        <f>IF(ABS(K112)&gt;1E-12,($H$11*J112-H112*$I$11)/K112,0)</f>
        <v/>
      </c>
      <c r="M112">
        <f>IF(ABS(K112)&gt;1E-12,(I112*$I$11-H112*J112)/K112,0)</f>
        <v/>
      </c>
      <c r="N112">
        <f>$J$11-M112*$I$11-L112*J112</f>
        <v/>
      </c>
      <c r="O112">
        <f>IF(AND(C112,ABS(K112)&gt;1E-12,L112&gt;0),N112,1E+300)</f>
        <v/>
      </c>
    </row>
    <row r="113">
      <c r="A113">
        <f>$K$11+($L$11-$K$11)*99/400</f>
        <v/>
      </c>
      <c r="B113">
        <f>SUMPRODUCT((Calc!$F$3:$F$22&lt;=LTP!$B$5)*Calc!$K$3:$K$22*(Calc!$G$3:$G$22&lt;=A113))</f>
        <v/>
      </c>
      <c r="C113">
        <f>AND(B113&gt;=2,$B$11-B113&gt;=2)</f>
        <v/>
      </c>
      <c r="D113">
        <f>SUMPRODUCT((Calc!$F$3:$F$22&lt;=LTP!$B$5)*Calc!$K$3:$K$22*(Calc!$G$3:$G$22&gt;A113)*(Calc!$G$3:$G$22-A113))</f>
        <v/>
      </c>
      <c r="E113">
        <f>SUMPRODUCT((Calc!$F$3:$F$22&lt;=LTP!$B$5)*Calc!$K$3:$K$22*(Calc!$G$3:$G$22&gt;A113)*(Calc!$G$3:$G$22-A113)^2)</f>
        <v/>
      </c>
      <c r="F113">
        <f>SUMPRODUCT((Calc!$F$3:$F$22&lt;=LTP!$B$5)*Calc!$K$3:$K$22*(Calc!$G$3:$G$22&gt;A113)*(Calc!$G$3:$G$22-A113)*Calc!$G$3:$G$22)</f>
        <v/>
      </c>
      <c r="G113">
        <f>SUMPRODUCT((Calc!$F$3:$F$22&lt;=LTP!$B$5)*Calc!$K$3:$K$22*(Calc!$G$3:$G$22&gt;A113)*(Calc!$G$3:$G$22-A113)*Calc!$I$3:$I$22)</f>
        <v/>
      </c>
      <c r="H113">
        <f>IF($B$11&gt;0,F113-$C$11*D113/$B$11,0)</f>
        <v/>
      </c>
      <c r="I113">
        <f>IF($B$11&gt;0,E113-D113^2/$B$11,0)</f>
        <v/>
      </c>
      <c r="J113">
        <f>IF($B$11&gt;0,G113-D113*$D$11/$B$11,0)</f>
        <v/>
      </c>
      <c r="K113">
        <f>$H$11*I113-H113^2</f>
        <v/>
      </c>
      <c r="L113">
        <f>IF(ABS(K113)&gt;1E-12,($H$11*J113-H113*$I$11)/K113,0)</f>
        <v/>
      </c>
      <c r="M113">
        <f>IF(ABS(K113)&gt;1E-12,(I113*$I$11-H113*J113)/K113,0)</f>
        <v/>
      </c>
      <c r="N113">
        <f>$J$11-M113*$I$11-L113*J113</f>
        <v/>
      </c>
      <c r="O113">
        <f>IF(AND(C113,ABS(K113)&gt;1E-12,L113&gt;0),N113,1E+300)</f>
        <v/>
      </c>
    </row>
    <row r="114">
      <c r="A114">
        <f>$K$11+($L$11-$K$11)*100/400</f>
        <v/>
      </c>
      <c r="B114">
        <f>SUMPRODUCT((Calc!$F$3:$F$22&lt;=LTP!$B$5)*Calc!$K$3:$K$22*(Calc!$G$3:$G$22&lt;=A114))</f>
        <v/>
      </c>
      <c r="C114">
        <f>AND(B114&gt;=2,$B$11-B114&gt;=2)</f>
        <v/>
      </c>
      <c r="D114">
        <f>SUMPRODUCT((Calc!$F$3:$F$22&lt;=LTP!$B$5)*Calc!$K$3:$K$22*(Calc!$G$3:$G$22&gt;A114)*(Calc!$G$3:$G$22-A114))</f>
        <v/>
      </c>
      <c r="E114">
        <f>SUMPRODUCT((Calc!$F$3:$F$22&lt;=LTP!$B$5)*Calc!$K$3:$K$22*(Calc!$G$3:$G$22&gt;A114)*(Calc!$G$3:$G$22-A114)^2)</f>
        <v/>
      </c>
      <c r="F114">
        <f>SUMPRODUCT((Calc!$F$3:$F$22&lt;=LTP!$B$5)*Calc!$K$3:$K$22*(Calc!$G$3:$G$22&gt;A114)*(Calc!$G$3:$G$22-A114)*Calc!$G$3:$G$22)</f>
        <v/>
      </c>
      <c r="G114">
        <f>SUMPRODUCT((Calc!$F$3:$F$22&lt;=LTP!$B$5)*Calc!$K$3:$K$22*(Calc!$G$3:$G$22&gt;A114)*(Calc!$G$3:$G$22-A114)*Calc!$I$3:$I$22)</f>
        <v/>
      </c>
      <c r="H114">
        <f>IF($B$11&gt;0,F114-$C$11*D114/$B$11,0)</f>
        <v/>
      </c>
      <c r="I114">
        <f>IF($B$11&gt;0,E114-D114^2/$B$11,0)</f>
        <v/>
      </c>
      <c r="J114">
        <f>IF($B$11&gt;0,G114-D114*$D$11/$B$11,0)</f>
        <v/>
      </c>
      <c r="K114">
        <f>$H$11*I114-H114^2</f>
        <v/>
      </c>
      <c r="L114">
        <f>IF(ABS(K114)&gt;1E-12,($H$11*J114-H114*$I$11)/K114,0)</f>
        <v/>
      </c>
      <c r="M114">
        <f>IF(ABS(K114)&gt;1E-12,(I114*$I$11-H114*J114)/K114,0)</f>
        <v/>
      </c>
      <c r="N114">
        <f>$J$11-M114*$I$11-L114*J114</f>
        <v/>
      </c>
      <c r="O114">
        <f>IF(AND(C114,ABS(K114)&gt;1E-12,L114&gt;0),N114,1E+300)</f>
        <v/>
      </c>
    </row>
    <row r="115">
      <c r="A115">
        <f>$K$11+($L$11-$K$11)*101/400</f>
        <v/>
      </c>
      <c r="B115">
        <f>SUMPRODUCT((Calc!$F$3:$F$22&lt;=LTP!$B$5)*Calc!$K$3:$K$22*(Calc!$G$3:$G$22&lt;=A115))</f>
        <v/>
      </c>
      <c r="C115">
        <f>AND(B115&gt;=2,$B$11-B115&gt;=2)</f>
        <v/>
      </c>
      <c r="D115">
        <f>SUMPRODUCT((Calc!$F$3:$F$22&lt;=LTP!$B$5)*Calc!$K$3:$K$22*(Calc!$G$3:$G$22&gt;A115)*(Calc!$G$3:$G$22-A115))</f>
        <v/>
      </c>
      <c r="E115">
        <f>SUMPRODUCT((Calc!$F$3:$F$22&lt;=LTP!$B$5)*Calc!$K$3:$K$22*(Calc!$G$3:$G$22&gt;A115)*(Calc!$G$3:$G$22-A115)^2)</f>
        <v/>
      </c>
      <c r="F115">
        <f>SUMPRODUCT((Calc!$F$3:$F$22&lt;=LTP!$B$5)*Calc!$K$3:$K$22*(Calc!$G$3:$G$22&gt;A115)*(Calc!$G$3:$G$22-A115)*Calc!$G$3:$G$22)</f>
        <v/>
      </c>
      <c r="G115">
        <f>SUMPRODUCT((Calc!$F$3:$F$22&lt;=LTP!$B$5)*Calc!$K$3:$K$22*(Calc!$G$3:$G$22&gt;A115)*(Calc!$G$3:$G$22-A115)*Calc!$I$3:$I$22)</f>
        <v/>
      </c>
      <c r="H115">
        <f>IF($B$11&gt;0,F115-$C$11*D115/$B$11,0)</f>
        <v/>
      </c>
      <c r="I115">
        <f>IF($B$11&gt;0,E115-D115^2/$B$11,0)</f>
        <v/>
      </c>
      <c r="J115">
        <f>IF($B$11&gt;0,G115-D115*$D$11/$B$11,0)</f>
        <v/>
      </c>
      <c r="K115">
        <f>$H$11*I115-H115^2</f>
        <v/>
      </c>
      <c r="L115">
        <f>IF(ABS(K115)&gt;1E-12,($H$11*J115-H115*$I$11)/K115,0)</f>
        <v/>
      </c>
      <c r="M115">
        <f>IF(ABS(K115)&gt;1E-12,(I115*$I$11-H115*J115)/K115,0)</f>
        <v/>
      </c>
      <c r="N115">
        <f>$J$11-M115*$I$11-L115*J115</f>
        <v/>
      </c>
      <c r="O115">
        <f>IF(AND(C115,ABS(K115)&gt;1E-12,L115&gt;0),N115,1E+300)</f>
        <v/>
      </c>
    </row>
    <row r="116">
      <c r="A116">
        <f>$K$11+($L$11-$K$11)*102/400</f>
        <v/>
      </c>
      <c r="B116">
        <f>SUMPRODUCT((Calc!$F$3:$F$22&lt;=LTP!$B$5)*Calc!$K$3:$K$22*(Calc!$G$3:$G$22&lt;=A116))</f>
        <v/>
      </c>
      <c r="C116">
        <f>AND(B116&gt;=2,$B$11-B116&gt;=2)</f>
        <v/>
      </c>
      <c r="D116">
        <f>SUMPRODUCT((Calc!$F$3:$F$22&lt;=LTP!$B$5)*Calc!$K$3:$K$22*(Calc!$G$3:$G$22&gt;A116)*(Calc!$G$3:$G$22-A116))</f>
        <v/>
      </c>
      <c r="E116">
        <f>SUMPRODUCT((Calc!$F$3:$F$22&lt;=LTP!$B$5)*Calc!$K$3:$K$22*(Calc!$G$3:$G$22&gt;A116)*(Calc!$G$3:$G$22-A116)^2)</f>
        <v/>
      </c>
      <c r="F116">
        <f>SUMPRODUCT((Calc!$F$3:$F$22&lt;=LTP!$B$5)*Calc!$K$3:$K$22*(Calc!$G$3:$G$22&gt;A116)*(Calc!$G$3:$G$22-A116)*Calc!$G$3:$G$22)</f>
        <v/>
      </c>
      <c r="G116">
        <f>SUMPRODUCT((Calc!$F$3:$F$22&lt;=LTP!$B$5)*Calc!$K$3:$K$22*(Calc!$G$3:$G$22&gt;A116)*(Calc!$G$3:$G$22-A116)*Calc!$I$3:$I$22)</f>
        <v/>
      </c>
      <c r="H116">
        <f>IF($B$11&gt;0,F116-$C$11*D116/$B$11,0)</f>
        <v/>
      </c>
      <c r="I116">
        <f>IF($B$11&gt;0,E116-D116^2/$B$11,0)</f>
        <v/>
      </c>
      <c r="J116">
        <f>IF($B$11&gt;0,G116-D116*$D$11/$B$11,0)</f>
        <v/>
      </c>
      <c r="K116">
        <f>$H$11*I116-H116^2</f>
        <v/>
      </c>
      <c r="L116">
        <f>IF(ABS(K116)&gt;1E-12,($H$11*J116-H116*$I$11)/K116,0)</f>
        <v/>
      </c>
      <c r="M116">
        <f>IF(ABS(K116)&gt;1E-12,(I116*$I$11-H116*J116)/K116,0)</f>
        <v/>
      </c>
      <c r="N116">
        <f>$J$11-M116*$I$11-L116*J116</f>
        <v/>
      </c>
      <c r="O116">
        <f>IF(AND(C116,ABS(K116)&gt;1E-12,L116&gt;0),N116,1E+300)</f>
        <v/>
      </c>
    </row>
    <row r="117">
      <c r="A117">
        <f>$K$11+($L$11-$K$11)*103/400</f>
        <v/>
      </c>
      <c r="B117">
        <f>SUMPRODUCT((Calc!$F$3:$F$22&lt;=LTP!$B$5)*Calc!$K$3:$K$22*(Calc!$G$3:$G$22&lt;=A117))</f>
        <v/>
      </c>
      <c r="C117">
        <f>AND(B117&gt;=2,$B$11-B117&gt;=2)</f>
        <v/>
      </c>
      <c r="D117">
        <f>SUMPRODUCT((Calc!$F$3:$F$22&lt;=LTP!$B$5)*Calc!$K$3:$K$22*(Calc!$G$3:$G$22&gt;A117)*(Calc!$G$3:$G$22-A117))</f>
        <v/>
      </c>
      <c r="E117">
        <f>SUMPRODUCT((Calc!$F$3:$F$22&lt;=LTP!$B$5)*Calc!$K$3:$K$22*(Calc!$G$3:$G$22&gt;A117)*(Calc!$G$3:$G$22-A117)^2)</f>
        <v/>
      </c>
      <c r="F117">
        <f>SUMPRODUCT((Calc!$F$3:$F$22&lt;=LTP!$B$5)*Calc!$K$3:$K$22*(Calc!$G$3:$G$22&gt;A117)*(Calc!$G$3:$G$22-A117)*Calc!$G$3:$G$22)</f>
        <v/>
      </c>
      <c r="G117">
        <f>SUMPRODUCT((Calc!$F$3:$F$22&lt;=LTP!$B$5)*Calc!$K$3:$K$22*(Calc!$G$3:$G$22&gt;A117)*(Calc!$G$3:$G$22-A117)*Calc!$I$3:$I$22)</f>
        <v/>
      </c>
      <c r="H117">
        <f>IF($B$11&gt;0,F117-$C$11*D117/$B$11,0)</f>
        <v/>
      </c>
      <c r="I117">
        <f>IF($B$11&gt;0,E117-D117^2/$B$11,0)</f>
        <v/>
      </c>
      <c r="J117">
        <f>IF($B$11&gt;0,G117-D117*$D$11/$B$11,0)</f>
        <v/>
      </c>
      <c r="K117">
        <f>$H$11*I117-H117^2</f>
        <v/>
      </c>
      <c r="L117">
        <f>IF(ABS(K117)&gt;1E-12,($H$11*J117-H117*$I$11)/K117,0)</f>
        <v/>
      </c>
      <c r="M117">
        <f>IF(ABS(K117)&gt;1E-12,(I117*$I$11-H117*J117)/K117,0)</f>
        <v/>
      </c>
      <c r="N117">
        <f>$J$11-M117*$I$11-L117*J117</f>
        <v/>
      </c>
      <c r="O117">
        <f>IF(AND(C117,ABS(K117)&gt;1E-12,L117&gt;0),N117,1E+300)</f>
        <v/>
      </c>
    </row>
    <row r="118">
      <c r="A118">
        <f>$K$11+($L$11-$K$11)*104/400</f>
        <v/>
      </c>
      <c r="B118">
        <f>SUMPRODUCT((Calc!$F$3:$F$22&lt;=LTP!$B$5)*Calc!$K$3:$K$22*(Calc!$G$3:$G$22&lt;=A118))</f>
        <v/>
      </c>
      <c r="C118">
        <f>AND(B118&gt;=2,$B$11-B118&gt;=2)</f>
        <v/>
      </c>
      <c r="D118">
        <f>SUMPRODUCT((Calc!$F$3:$F$22&lt;=LTP!$B$5)*Calc!$K$3:$K$22*(Calc!$G$3:$G$22&gt;A118)*(Calc!$G$3:$G$22-A118))</f>
        <v/>
      </c>
      <c r="E118">
        <f>SUMPRODUCT((Calc!$F$3:$F$22&lt;=LTP!$B$5)*Calc!$K$3:$K$22*(Calc!$G$3:$G$22&gt;A118)*(Calc!$G$3:$G$22-A118)^2)</f>
        <v/>
      </c>
      <c r="F118">
        <f>SUMPRODUCT((Calc!$F$3:$F$22&lt;=LTP!$B$5)*Calc!$K$3:$K$22*(Calc!$G$3:$G$22&gt;A118)*(Calc!$G$3:$G$22-A118)*Calc!$G$3:$G$22)</f>
        <v/>
      </c>
      <c r="G118">
        <f>SUMPRODUCT((Calc!$F$3:$F$22&lt;=LTP!$B$5)*Calc!$K$3:$K$22*(Calc!$G$3:$G$22&gt;A118)*(Calc!$G$3:$G$22-A118)*Calc!$I$3:$I$22)</f>
        <v/>
      </c>
      <c r="H118">
        <f>IF($B$11&gt;0,F118-$C$11*D118/$B$11,0)</f>
        <v/>
      </c>
      <c r="I118">
        <f>IF($B$11&gt;0,E118-D118^2/$B$11,0)</f>
        <v/>
      </c>
      <c r="J118">
        <f>IF($B$11&gt;0,G118-D118*$D$11/$B$11,0)</f>
        <v/>
      </c>
      <c r="K118">
        <f>$H$11*I118-H118^2</f>
        <v/>
      </c>
      <c r="L118">
        <f>IF(ABS(K118)&gt;1E-12,($H$11*J118-H118*$I$11)/K118,0)</f>
        <v/>
      </c>
      <c r="M118">
        <f>IF(ABS(K118)&gt;1E-12,(I118*$I$11-H118*J118)/K118,0)</f>
        <v/>
      </c>
      <c r="N118">
        <f>$J$11-M118*$I$11-L118*J118</f>
        <v/>
      </c>
      <c r="O118">
        <f>IF(AND(C118,ABS(K118)&gt;1E-12,L118&gt;0),N118,1E+300)</f>
        <v/>
      </c>
    </row>
    <row r="119">
      <c r="A119">
        <f>$K$11+($L$11-$K$11)*105/400</f>
        <v/>
      </c>
      <c r="B119">
        <f>SUMPRODUCT((Calc!$F$3:$F$22&lt;=LTP!$B$5)*Calc!$K$3:$K$22*(Calc!$G$3:$G$22&lt;=A119))</f>
        <v/>
      </c>
      <c r="C119">
        <f>AND(B119&gt;=2,$B$11-B119&gt;=2)</f>
        <v/>
      </c>
      <c r="D119">
        <f>SUMPRODUCT((Calc!$F$3:$F$22&lt;=LTP!$B$5)*Calc!$K$3:$K$22*(Calc!$G$3:$G$22&gt;A119)*(Calc!$G$3:$G$22-A119))</f>
        <v/>
      </c>
      <c r="E119">
        <f>SUMPRODUCT((Calc!$F$3:$F$22&lt;=LTP!$B$5)*Calc!$K$3:$K$22*(Calc!$G$3:$G$22&gt;A119)*(Calc!$G$3:$G$22-A119)^2)</f>
        <v/>
      </c>
      <c r="F119">
        <f>SUMPRODUCT((Calc!$F$3:$F$22&lt;=LTP!$B$5)*Calc!$K$3:$K$22*(Calc!$G$3:$G$22&gt;A119)*(Calc!$G$3:$G$22-A119)*Calc!$G$3:$G$22)</f>
        <v/>
      </c>
      <c r="G119">
        <f>SUMPRODUCT((Calc!$F$3:$F$22&lt;=LTP!$B$5)*Calc!$K$3:$K$22*(Calc!$G$3:$G$22&gt;A119)*(Calc!$G$3:$G$22-A119)*Calc!$I$3:$I$22)</f>
        <v/>
      </c>
      <c r="H119">
        <f>IF($B$11&gt;0,F119-$C$11*D119/$B$11,0)</f>
        <v/>
      </c>
      <c r="I119">
        <f>IF($B$11&gt;0,E119-D119^2/$B$11,0)</f>
        <v/>
      </c>
      <c r="J119">
        <f>IF($B$11&gt;0,G119-D119*$D$11/$B$11,0)</f>
        <v/>
      </c>
      <c r="K119">
        <f>$H$11*I119-H119^2</f>
        <v/>
      </c>
      <c r="L119">
        <f>IF(ABS(K119)&gt;1E-12,($H$11*J119-H119*$I$11)/K119,0)</f>
        <v/>
      </c>
      <c r="M119">
        <f>IF(ABS(K119)&gt;1E-12,(I119*$I$11-H119*J119)/K119,0)</f>
        <v/>
      </c>
      <c r="N119">
        <f>$J$11-M119*$I$11-L119*J119</f>
        <v/>
      </c>
      <c r="O119">
        <f>IF(AND(C119,ABS(K119)&gt;1E-12,L119&gt;0),N119,1E+300)</f>
        <v/>
      </c>
    </row>
    <row r="120">
      <c r="A120">
        <f>$K$11+($L$11-$K$11)*106/400</f>
        <v/>
      </c>
      <c r="B120">
        <f>SUMPRODUCT((Calc!$F$3:$F$22&lt;=LTP!$B$5)*Calc!$K$3:$K$22*(Calc!$G$3:$G$22&lt;=A120))</f>
        <v/>
      </c>
      <c r="C120">
        <f>AND(B120&gt;=2,$B$11-B120&gt;=2)</f>
        <v/>
      </c>
      <c r="D120">
        <f>SUMPRODUCT((Calc!$F$3:$F$22&lt;=LTP!$B$5)*Calc!$K$3:$K$22*(Calc!$G$3:$G$22&gt;A120)*(Calc!$G$3:$G$22-A120))</f>
        <v/>
      </c>
      <c r="E120">
        <f>SUMPRODUCT((Calc!$F$3:$F$22&lt;=LTP!$B$5)*Calc!$K$3:$K$22*(Calc!$G$3:$G$22&gt;A120)*(Calc!$G$3:$G$22-A120)^2)</f>
        <v/>
      </c>
      <c r="F120">
        <f>SUMPRODUCT((Calc!$F$3:$F$22&lt;=LTP!$B$5)*Calc!$K$3:$K$22*(Calc!$G$3:$G$22&gt;A120)*(Calc!$G$3:$G$22-A120)*Calc!$G$3:$G$22)</f>
        <v/>
      </c>
      <c r="G120">
        <f>SUMPRODUCT((Calc!$F$3:$F$22&lt;=LTP!$B$5)*Calc!$K$3:$K$22*(Calc!$G$3:$G$22&gt;A120)*(Calc!$G$3:$G$22-A120)*Calc!$I$3:$I$22)</f>
        <v/>
      </c>
      <c r="H120">
        <f>IF($B$11&gt;0,F120-$C$11*D120/$B$11,0)</f>
        <v/>
      </c>
      <c r="I120">
        <f>IF($B$11&gt;0,E120-D120^2/$B$11,0)</f>
        <v/>
      </c>
      <c r="J120">
        <f>IF($B$11&gt;0,G120-D120*$D$11/$B$11,0)</f>
        <v/>
      </c>
      <c r="K120">
        <f>$H$11*I120-H120^2</f>
        <v/>
      </c>
      <c r="L120">
        <f>IF(ABS(K120)&gt;1E-12,($H$11*J120-H120*$I$11)/K120,0)</f>
        <v/>
      </c>
      <c r="M120">
        <f>IF(ABS(K120)&gt;1E-12,(I120*$I$11-H120*J120)/K120,0)</f>
        <v/>
      </c>
      <c r="N120">
        <f>$J$11-M120*$I$11-L120*J120</f>
        <v/>
      </c>
      <c r="O120">
        <f>IF(AND(C120,ABS(K120)&gt;1E-12,L120&gt;0),N120,1E+300)</f>
        <v/>
      </c>
    </row>
    <row r="121">
      <c r="A121">
        <f>$K$11+($L$11-$K$11)*107/400</f>
        <v/>
      </c>
      <c r="B121">
        <f>SUMPRODUCT((Calc!$F$3:$F$22&lt;=LTP!$B$5)*Calc!$K$3:$K$22*(Calc!$G$3:$G$22&lt;=A121))</f>
        <v/>
      </c>
      <c r="C121">
        <f>AND(B121&gt;=2,$B$11-B121&gt;=2)</f>
        <v/>
      </c>
      <c r="D121">
        <f>SUMPRODUCT((Calc!$F$3:$F$22&lt;=LTP!$B$5)*Calc!$K$3:$K$22*(Calc!$G$3:$G$22&gt;A121)*(Calc!$G$3:$G$22-A121))</f>
        <v/>
      </c>
      <c r="E121">
        <f>SUMPRODUCT((Calc!$F$3:$F$22&lt;=LTP!$B$5)*Calc!$K$3:$K$22*(Calc!$G$3:$G$22&gt;A121)*(Calc!$G$3:$G$22-A121)^2)</f>
        <v/>
      </c>
      <c r="F121">
        <f>SUMPRODUCT((Calc!$F$3:$F$22&lt;=LTP!$B$5)*Calc!$K$3:$K$22*(Calc!$G$3:$G$22&gt;A121)*(Calc!$G$3:$G$22-A121)*Calc!$G$3:$G$22)</f>
        <v/>
      </c>
      <c r="G121">
        <f>SUMPRODUCT((Calc!$F$3:$F$22&lt;=LTP!$B$5)*Calc!$K$3:$K$22*(Calc!$G$3:$G$22&gt;A121)*(Calc!$G$3:$G$22-A121)*Calc!$I$3:$I$22)</f>
        <v/>
      </c>
      <c r="H121">
        <f>IF($B$11&gt;0,F121-$C$11*D121/$B$11,0)</f>
        <v/>
      </c>
      <c r="I121">
        <f>IF($B$11&gt;0,E121-D121^2/$B$11,0)</f>
        <v/>
      </c>
      <c r="J121">
        <f>IF($B$11&gt;0,G121-D121*$D$11/$B$11,0)</f>
        <v/>
      </c>
      <c r="K121">
        <f>$H$11*I121-H121^2</f>
        <v/>
      </c>
      <c r="L121">
        <f>IF(ABS(K121)&gt;1E-12,($H$11*J121-H121*$I$11)/K121,0)</f>
        <v/>
      </c>
      <c r="M121">
        <f>IF(ABS(K121)&gt;1E-12,(I121*$I$11-H121*J121)/K121,0)</f>
        <v/>
      </c>
      <c r="N121">
        <f>$J$11-M121*$I$11-L121*J121</f>
        <v/>
      </c>
      <c r="O121">
        <f>IF(AND(C121,ABS(K121)&gt;1E-12,L121&gt;0),N121,1E+300)</f>
        <v/>
      </c>
    </row>
    <row r="122">
      <c r="A122">
        <f>$K$11+($L$11-$K$11)*108/400</f>
        <v/>
      </c>
      <c r="B122">
        <f>SUMPRODUCT((Calc!$F$3:$F$22&lt;=LTP!$B$5)*Calc!$K$3:$K$22*(Calc!$G$3:$G$22&lt;=A122))</f>
        <v/>
      </c>
      <c r="C122">
        <f>AND(B122&gt;=2,$B$11-B122&gt;=2)</f>
        <v/>
      </c>
      <c r="D122">
        <f>SUMPRODUCT((Calc!$F$3:$F$22&lt;=LTP!$B$5)*Calc!$K$3:$K$22*(Calc!$G$3:$G$22&gt;A122)*(Calc!$G$3:$G$22-A122))</f>
        <v/>
      </c>
      <c r="E122">
        <f>SUMPRODUCT((Calc!$F$3:$F$22&lt;=LTP!$B$5)*Calc!$K$3:$K$22*(Calc!$G$3:$G$22&gt;A122)*(Calc!$G$3:$G$22-A122)^2)</f>
        <v/>
      </c>
      <c r="F122">
        <f>SUMPRODUCT((Calc!$F$3:$F$22&lt;=LTP!$B$5)*Calc!$K$3:$K$22*(Calc!$G$3:$G$22&gt;A122)*(Calc!$G$3:$G$22-A122)*Calc!$G$3:$G$22)</f>
        <v/>
      </c>
      <c r="G122">
        <f>SUMPRODUCT((Calc!$F$3:$F$22&lt;=LTP!$B$5)*Calc!$K$3:$K$22*(Calc!$G$3:$G$22&gt;A122)*(Calc!$G$3:$G$22-A122)*Calc!$I$3:$I$22)</f>
        <v/>
      </c>
      <c r="H122">
        <f>IF($B$11&gt;0,F122-$C$11*D122/$B$11,0)</f>
        <v/>
      </c>
      <c r="I122">
        <f>IF($B$11&gt;0,E122-D122^2/$B$11,0)</f>
        <v/>
      </c>
      <c r="J122">
        <f>IF($B$11&gt;0,G122-D122*$D$11/$B$11,0)</f>
        <v/>
      </c>
      <c r="K122">
        <f>$H$11*I122-H122^2</f>
        <v/>
      </c>
      <c r="L122">
        <f>IF(ABS(K122)&gt;1E-12,($H$11*J122-H122*$I$11)/K122,0)</f>
        <v/>
      </c>
      <c r="M122">
        <f>IF(ABS(K122)&gt;1E-12,(I122*$I$11-H122*J122)/K122,0)</f>
        <v/>
      </c>
      <c r="N122">
        <f>$J$11-M122*$I$11-L122*J122</f>
        <v/>
      </c>
      <c r="O122">
        <f>IF(AND(C122,ABS(K122)&gt;1E-12,L122&gt;0),N122,1E+300)</f>
        <v/>
      </c>
    </row>
    <row r="123">
      <c r="A123">
        <f>$K$11+($L$11-$K$11)*109/400</f>
        <v/>
      </c>
      <c r="B123">
        <f>SUMPRODUCT((Calc!$F$3:$F$22&lt;=LTP!$B$5)*Calc!$K$3:$K$22*(Calc!$G$3:$G$22&lt;=A123))</f>
        <v/>
      </c>
      <c r="C123">
        <f>AND(B123&gt;=2,$B$11-B123&gt;=2)</f>
        <v/>
      </c>
      <c r="D123">
        <f>SUMPRODUCT((Calc!$F$3:$F$22&lt;=LTP!$B$5)*Calc!$K$3:$K$22*(Calc!$G$3:$G$22&gt;A123)*(Calc!$G$3:$G$22-A123))</f>
        <v/>
      </c>
      <c r="E123">
        <f>SUMPRODUCT((Calc!$F$3:$F$22&lt;=LTP!$B$5)*Calc!$K$3:$K$22*(Calc!$G$3:$G$22&gt;A123)*(Calc!$G$3:$G$22-A123)^2)</f>
        <v/>
      </c>
      <c r="F123">
        <f>SUMPRODUCT((Calc!$F$3:$F$22&lt;=LTP!$B$5)*Calc!$K$3:$K$22*(Calc!$G$3:$G$22&gt;A123)*(Calc!$G$3:$G$22-A123)*Calc!$G$3:$G$22)</f>
        <v/>
      </c>
      <c r="G123">
        <f>SUMPRODUCT((Calc!$F$3:$F$22&lt;=LTP!$B$5)*Calc!$K$3:$K$22*(Calc!$G$3:$G$22&gt;A123)*(Calc!$G$3:$G$22-A123)*Calc!$I$3:$I$22)</f>
        <v/>
      </c>
      <c r="H123">
        <f>IF($B$11&gt;0,F123-$C$11*D123/$B$11,0)</f>
        <v/>
      </c>
      <c r="I123">
        <f>IF($B$11&gt;0,E123-D123^2/$B$11,0)</f>
        <v/>
      </c>
      <c r="J123">
        <f>IF($B$11&gt;0,G123-D123*$D$11/$B$11,0)</f>
        <v/>
      </c>
      <c r="K123">
        <f>$H$11*I123-H123^2</f>
        <v/>
      </c>
      <c r="L123">
        <f>IF(ABS(K123)&gt;1E-12,($H$11*J123-H123*$I$11)/K123,0)</f>
        <v/>
      </c>
      <c r="M123">
        <f>IF(ABS(K123)&gt;1E-12,(I123*$I$11-H123*J123)/K123,0)</f>
        <v/>
      </c>
      <c r="N123">
        <f>$J$11-M123*$I$11-L123*J123</f>
        <v/>
      </c>
      <c r="O123">
        <f>IF(AND(C123,ABS(K123)&gt;1E-12,L123&gt;0),N123,1E+300)</f>
        <v/>
      </c>
    </row>
    <row r="124">
      <c r="A124">
        <f>$K$11+($L$11-$K$11)*110/400</f>
        <v/>
      </c>
      <c r="B124">
        <f>SUMPRODUCT((Calc!$F$3:$F$22&lt;=LTP!$B$5)*Calc!$K$3:$K$22*(Calc!$G$3:$G$22&lt;=A124))</f>
        <v/>
      </c>
      <c r="C124">
        <f>AND(B124&gt;=2,$B$11-B124&gt;=2)</f>
        <v/>
      </c>
      <c r="D124">
        <f>SUMPRODUCT((Calc!$F$3:$F$22&lt;=LTP!$B$5)*Calc!$K$3:$K$22*(Calc!$G$3:$G$22&gt;A124)*(Calc!$G$3:$G$22-A124))</f>
        <v/>
      </c>
      <c r="E124">
        <f>SUMPRODUCT((Calc!$F$3:$F$22&lt;=LTP!$B$5)*Calc!$K$3:$K$22*(Calc!$G$3:$G$22&gt;A124)*(Calc!$G$3:$G$22-A124)^2)</f>
        <v/>
      </c>
      <c r="F124">
        <f>SUMPRODUCT((Calc!$F$3:$F$22&lt;=LTP!$B$5)*Calc!$K$3:$K$22*(Calc!$G$3:$G$22&gt;A124)*(Calc!$G$3:$G$22-A124)*Calc!$G$3:$G$22)</f>
        <v/>
      </c>
      <c r="G124">
        <f>SUMPRODUCT((Calc!$F$3:$F$22&lt;=LTP!$B$5)*Calc!$K$3:$K$22*(Calc!$G$3:$G$22&gt;A124)*(Calc!$G$3:$G$22-A124)*Calc!$I$3:$I$22)</f>
        <v/>
      </c>
      <c r="H124">
        <f>IF($B$11&gt;0,F124-$C$11*D124/$B$11,0)</f>
        <v/>
      </c>
      <c r="I124">
        <f>IF($B$11&gt;0,E124-D124^2/$B$11,0)</f>
        <v/>
      </c>
      <c r="J124">
        <f>IF($B$11&gt;0,G124-D124*$D$11/$B$11,0)</f>
        <v/>
      </c>
      <c r="K124">
        <f>$H$11*I124-H124^2</f>
        <v/>
      </c>
      <c r="L124">
        <f>IF(ABS(K124)&gt;1E-12,($H$11*J124-H124*$I$11)/K124,0)</f>
        <v/>
      </c>
      <c r="M124">
        <f>IF(ABS(K124)&gt;1E-12,(I124*$I$11-H124*J124)/K124,0)</f>
        <v/>
      </c>
      <c r="N124">
        <f>$J$11-M124*$I$11-L124*J124</f>
        <v/>
      </c>
      <c r="O124">
        <f>IF(AND(C124,ABS(K124)&gt;1E-12,L124&gt;0),N124,1E+300)</f>
        <v/>
      </c>
    </row>
    <row r="125">
      <c r="A125">
        <f>$K$11+($L$11-$K$11)*111/400</f>
        <v/>
      </c>
      <c r="B125">
        <f>SUMPRODUCT((Calc!$F$3:$F$22&lt;=LTP!$B$5)*Calc!$K$3:$K$22*(Calc!$G$3:$G$22&lt;=A125))</f>
        <v/>
      </c>
      <c r="C125">
        <f>AND(B125&gt;=2,$B$11-B125&gt;=2)</f>
        <v/>
      </c>
      <c r="D125">
        <f>SUMPRODUCT((Calc!$F$3:$F$22&lt;=LTP!$B$5)*Calc!$K$3:$K$22*(Calc!$G$3:$G$22&gt;A125)*(Calc!$G$3:$G$22-A125))</f>
        <v/>
      </c>
      <c r="E125">
        <f>SUMPRODUCT((Calc!$F$3:$F$22&lt;=LTP!$B$5)*Calc!$K$3:$K$22*(Calc!$G$3:$G$22&gt;A125)*(Calc!$G$3:$G$22-A125)^2)</f>
        <v/>
      </c>
      <c r="F125">
        <f>SUMPRODUCT((Calc!$F$3:$F$22&lt;=LTP!$B$5)*Calc!$K$3:$K$22*(Calc!$G$3:$G$22&gt;A125)*(Calc!$G$3:$G$22-A125)*Calc!$G$3:$G$22)</f>
        <v/>
      </c>
      <c r="G125">
        <f>SUMPRODUCT((Calc!$F$3:$F$22&lt;=LTP!$B$5)*Calc!$K$3:$K$22*(Calc!$G$3:$G$22&gt;A125)*(Calc!$G$3:$G$22-A125)*Calc!$I$3:$I$22)</f>
        <v/>
      </c>
      <c r="H125">
        <f>IF($B$11&gt;0,F125-$C$11*D125/$B$11,0)</f>
        <v/>
      </c>
      <c r="I125">
        <f>IF($B$11&gt;0,E125-D125^2/$B$11,0)</f>
        <v/>
      </c>
      <c r="J125">
        <f>IF($B$11&gt;0,G125-D125*$D$11/$B$11,0)</f>
        <v/>
      </c>
      <c r="K125">
        <f>$H$11*I125-H125^2</f>
        <v/>
      </c>
      <c r="L125">
        <f>IF(ABS(K125)&gt;1E-12,($H$11*J125-H125*$I$11)/K125,0)</f>
        <v/>
      </c>
      <c r="M125">
        <f>IF(ABS(K125)&gt;1E-12,(I125*$I$11-H125*J125)/K125,0)</f>
        <v/>
      </c>
      <c r="N125">
        <f>$J$11-M125*$I$11-L125*J125</f>
        <v/>
      </c>
      <c r="O125">
        <f>IF(AND(C125,ABS(K125)&gt;1E-12,L125&gt;0),N125,1E+300)</f>
        <v/>
      </c>
    </row>
    <row r="126">
      <c r="A126">
        <f>$K$11+($L$11-$K$11)*112/400</f>
        <v/>
      </c>
      <c r="B126">
        <f>SUMPRODUCT((Calc!$F$3:$F$22&lt;=LTP!$B$5)*Calc!$K$3:$K$22*(Calc!$G$3:$G$22&lt;=A126))</f>
        <v/>
      </c>
      <c r="C126">
        <f>AND(B126&gt;=2,$B$11-B126&gt;=2)</f>
        <v/>
      </c>
      <c r="D126">
        <f>SUMPRODUCT((Calc!$F$3:$F$22&lt;=LTP!$B$5)*Calc!$K$3:$K$22*(Calc!$G$3:$G$22&gt;A126)*(Calc!$G$3:$G$22-A126))</f>
        <v/>
      </c>
      <c r="E126">
        <f>SUMPRODUCT((Calc!$F$3:$F$22&lt;=LTP!$B$5)*Calc!$K$3:$K$22*(Calc!$G$3:$G$22&gt;A126)*(Calc!$G$3:$G$22-A126)^2)</f>
        <v/>
      </c>
      <c r="F126">
        <f>SUMPRODUCT((Calc!$F$3:$F$22&lt;=LTP!$B$5)*Calc!$K$3:$K$22*(Calc!$G$3:$G$22&gt;A126)*(Calc!$G$3:$G$22-A126)*Calc!$G$3:$G$22)</f>
        <v/>
      </c>
      <c r="G126">
        <f>SUMPRODUCT((Calc!$F$3:$F$22&lt;=LTP!$B$5)*Calc!$K$3:$K$22*(Calc!$G$3:$G$22&gt;A126)*(Calc!$G$3:$G$22-A126)*Calc!$I$3:$I$22)</f>
        <v/>
      </c>
      <c r="H126">
        <f>IF($B$11&gt;0,F126-$C$11*D126/$B$11,0)</f>
        <v/>
      </c>
      <c r="I126">
        <f>IF($B$11&gt;0,E126-D126^2/$B$11,0)</f>
        <v/>
      </c>
      <c r="J126">
        <f>IF($B$11&gt;0,G126-D126*$D$11/$B$11,0)</f>
        <v/>
      </c>
      <c r="K126">
        <f>$H$11*I126-H126^2</f>
        <v/>
      </c>
      <c r="L126">
        <f>IF(ABS(K126)&gt;1E-12,($H$11*J126-H126*$I$11)/K126,0)</f>
        <v/>
      </c>
      <c r="M126">
        <f>IF(ABS(K126)&gt;1E-12,(I126*$I$11-H126*J126)/K126,0)</f>
        <v/>
      </c>
      <c r="N126">
        <f>$J$11-M126*$I$11-L126*J126</f>
        <v/>
      </c>
      <c r="O126">
        <f>IF(AND(C126,ABS(K126)&gt;1E-12,L126&gt;0),N126,1E+300)</f>
        <v/>
      </c>
    </row>
    <row r="127">
      <c r="A127">
        <f>$K$11+($L$11-$K$11)*113/400</f>
        <v/>
      </c>
      <c r="B127">
        <f>SUMPRODUCT((Calc!$F$3:$F$22&lt;=LTP!$B$5)*Calc!$K$3:$K$22*(Calc!$G$3:$G$22&lt;=A127))</f>
        <v/>
      </c>
      <c r="C127">
        <f>AND(B127&gt;=2,$B$11-B127&gt;=2)</f>
        <v/>
      </c>
      <c r="D127">
        <f>SUMPRODUCT((Calc!$F$3:$F$22&lt;=LTP!$B$5)*Calc!$K$3:$K$22*(Calc!$G$3:$G$22&gt;A127)*(Calc!$G$3:$G$22-A127))</f>
        <v/>
      </c>
      <c r="E127">
        <f>SUMPRODUCT((Calc!$F$3:$F$22&lt;=LTP!$B$5)*Calc!$K$3:$K$22*(Calc!$G$3:$G$22&gt;A127)*(Calc!$G$3:$G$22-A127)^2)</f>
        <v/>
      </c>
      <c r="F127">
        <f>SUMPRODUCT((Calc!$F$3:$F$22&lt;=LTP!$B$5)*Calc!$K$3:$K$22*(Calc!$G$3:$G$22&gt;A127)*(Calc!$G$3:$G$22-A127)*Calc!$G$3:$G$22)</f>
        <v/>
      </c>
      <c r="G127">
        <f>SUMPRODUCT((Calc!$F$3:$F$22&lt;=LTP!$B$5)*Calc!$K$3:$K$22*(Calc!$G$3:$G$22&gt;A127)*(Calc!$G$3:$G$22-A127)*Calc!$I$3:$I$22)</f>
        <v/>
      </c>
      <c r="H127">
        <f>IF($B$11&gt;0,F127-$C$11*D127/$B$11,0)</f>
        <v/>
      </c>
      <c r="I127">
        <f>IF($B$11&gt;0,E127-D127^2/$B$11,0)</f>
        <v/>
      </c>
      <c r="J127">
        <f>IF($B$11&gt;0,G127-D127*$D$11/$B$11,0)</f>
        <v/>
      </c>
      <c r="K127">
        <f>$H$11*I127-H127^2</f>
        <v/>
      </c>
      <c r="L127">
        <f>IF(ABS(K127)&gt;1E-12,($H$11*J127-H127*$I$11)/K127,0)</f>
        <v/>
      </c>
      <c r="M127">
        <f>IF(ABS(K127)&gt;1E-12,(I127*$I$11-H127*J127)/K127,0)</f>
        <v/>
      </c>
      <c r="N127">
        <f>$J$11-M127*$I$11-L127*J127</f>
        <v/>
      </c>
      <c r="O127">
        <f>IF(AND(C127,ABS(K127)&gt;1E-12,L127&gt;0),N127,1E+300)</f>
        <v/>
      </c>
    </row>
    <row r="128">
      <c r="A128">
        <f>$K$11+($L$11-$K$11)*114/400</f>
        <v/>
      </c>
      <c r="B128">
        <f>SUMPRODUCT((Calc!$F$3:$F$22&lt;=LTP!$B$5)*Calc!$K$3:$K$22*(Calc!$G$3:$G$22&lt;=A128))</f>
        <v/>
      </c>
      <c r="C128">
        <f>AND(B128&gt;=2,$B$11-B128&gt;=2)</f>
        <v/>
      </c>
      <c r="D128">
        <f>SUMPRODUCT((Calc!$F$3:$F$22&lt;=LTP!$B$5)*Calc!$K$3:$K$22*(Calc!$G$3:$G$22&gt;A128)*(Calc!$G$3:$G$22-A128))</f>
        <v/>
      </c>
      <c r="E128">
        <f>SUMPRODUCT((Calc!$F$3:$F$22&lt;=LTP!$B$5)*Calc!$K$3:$K$22*(Calc!$G$3:$G$22&gt;A128)*(Calc!$G$3:$G$22-A128)^2)</f>
        <v/>
      </c>
      <c r="F128">
        <f>SUMPRODUCT((Calc!$F$3:$F$22&lt;=LTP!$B$5)*Calc!$K$3:$K$22*(Calc!$G$3:$G$22&gt;A128)*(Calc!$G$3:$G$22-A128)*Calc!$G$3:$G$22)</f>
        <v/>
      </c>
      <c r="G128">
        <f>SUMPRODUCT((Calc!$F$3:$F$22&lt;=LTP!$B$5)*Calc!$K$3:$K$22*(Calc!$G$3:$G$22&gt;A128)*(Calc!$G$3:$G$22-A128)*Calc!$I$3:$I$22)</f>
        <v/>
      </c>
      <c r="H128">
        <f>IF($B$11&gt;0,F128-$C$11*D128/$B$11,0)</f>
        <v/>
      </c>
      <c r="I128">
        <f>IF($B$11&gt;0,E128-D128^2/$B$11,0)</f>
        <v/>
      </c>
      <c r="J128">
        <f>IF($B$11&gt;0,G128-D128*$D$11/$B$11,0)</f>
        <v/>
      </c>
      <c r="K128">
        <f>$H$11*I128-H128^2</f>
        <v/>
      </c>
      <c r="L128">
        <f>IF(ABS(K128)&gt;1E-12,($H$11*J128-H128*$I$11)/K128,0)</f>
        <v/>
      </c>
      <c r="M128">
        <f>IF(ABS(K128)&gt;1E-12,(I128*$I$11-H128*J128)/K128,0)</f>
        <v/>
      </c>
      <c r="N128">
        <f>$J$11-M128*$I$11-L128*J128</f>
        <v/>
      </c>
      <c r="O128">
        <f>IF(AND(C128,ABS(K128)&gt;1E-12,L128&gt;0),N128,1E+300)</f>
        <v/>
      </c>
    </row>
    <row r="129">
      <c r="A129">
        <f>$K$11+($L$11-$K$11)*115/400</f>
        <v/>
      </c>
      <c r="B129">
        <f>SUMPRODUCT((Calc!$F$3:$F$22&lt;=LTP!$B$5)*Calc!$K$3:$K$22*(Calc!$G$3:$G$22&lt;=A129))</f>
        <v/>
      </c>
      <c r="C129">
        <f>AND(B129&gt;=2,$B$11-B129&gt;=2)</f>
        <v/>
      </c>
      <c r="D129">
        <f>SUMPRODUCT((Calc!$F$3:$F$22&lt;=LTP!$B$5)*Calc!$K$3:$K$22*(Calc!$G$3:$G$22&gt;A129)*(Calc!$G$3:$G$22-A129))</f>
        <v/>
      </c>
      <c r="E129">
        <f>SUMPRODUCT((Calc!$F$3:$F$22&lt;=LTP!$B$5)*Calc!$K$3:$K$22*(Calc!$G$3:$G$22&gt;A129)*(Calc!$G$3:$G$22-A129)^2)</f>
        <v/>
      </c>
      <c r="F129">
        <f>SUMPRODUCT((Calc!$F$3:$F$22&lt;=LTP!$B$5)*Calc!$K$3:$K$22*(Calc!$G$3:$G$22&gt;A129)*(Calc!$G$3:$G$22-A129)*Calc!$G$3:$G$22)</f>
        <v/>
      </c>
      <c r="G129">
        <f>SUMPRODUCT((Calc!$F$3:$F$22&lt;=LTP!$B$5)*Calc!$K$3:$K$22*(Calc!$G$3:$G$22&gt;A129)*(Calc!$G$3:$G$22-A129)*Calc!$I$3:$I$22)</f>
        <v/>
      </c>
      <c r="H129">
        <f>IF($B$11&gt;0,F129-$C$11*D129/$B$11,0)</f>
        <v/>
      </c>
      <c r="I129">
        <f>IF($B$11&gt;0,E129-D129^2/$B$11,0)</f>
        <v/>
      </c>
      <c r="J129">
        <f>IF($B$11&gt;0,G129-D129*$D$11/$B$11,0)</f>
        <v/>
      </c>
      <c r="K129">
        <f>$H$11*I129-H129^2</f>
        <v/>
      </c>
      <c r="L129">
        <f>IF(ABS(K129)&gt;1E-12,($H$11*J129-H129*$I$11)/K129,0)</f>
        <v/>
      </c>
      <c r="M129">
        <f>IF(ABS(K129)&gt;1E-12,(I129*$I$11-H129*J129)/K129,0)</f>
        <v/>
      </c>
      <c r="N129">
        <f>$J$11-M129*$I$11-L129*J129</f>
        <v/>
      </c>
      <c r="O129">
        <f>IF(AND(C129,ABS(K129)&gt;1E-12,L129&gt;0),N129,1E+300)</f>
        <v/>
      </c>
    </row>
    <row r="130">
      <c r="A130">
        <f>$K$11+($L$11-$K$11)*116/400</f>
        <v/>
      </c>
      <c r="B130">
        <f>SUMPRODUCT((Calc!$F$3:$F$22&lt;=LTP!$B$5)*Calc!$K$3:$K$22*(Calc!$G$3:$G$22&lt;=A130))</f>
        <v/>
      </c>
      <c r="C130">
        <f>AND(B130&gt;=2,$B$11-B130&gt;=2)</f>
        <v/>
      </c>
      <c r="D130">
        <f>SUMPRODUCT((Calc!$F$3:$F$22&lt;=LTP!$B$5)*Calc!$K$3:$K$22*(Calc!$G$3:$G$22&gt;A130)*(Calc!$G$3:$G$22-A130))</f>
        <v/>
      </c>
      <c r="E130">
        <f>SUMPRODUCT((Calc!$F$3:$F$22&lt;=LTP!$B$5)*Calc!$K$3:$K$22*(Calc!$G$3:$G$22&gt;A130)*(Calc!$G$3:$G$22-A130)^2)</f>
        <v/>
      </c>
      <c r="F130">
        <f>SUMPRODUCT((Calc!$F$3:$F$22&lt;=LTP!$B$5)*Calc!$K$3:$K$22*(Calc!$G$3:$G$22&gt;A130)*(Calc!$G$3:$G$22-A130)*Calc!$G$3:$G$22)</f>
        <v/>
      </c>
      <c r="G130">
        <f>SUMPRODUCT((Calc!$F$3:$F$22&lt;=LTP!$B$5)*Calc!$K$3:$K$22*(Calc!$G$3:$G$22&gt;A130)*(Calc!$G$3:$G$22-A130)*Calc!$I$3:$I$22)</f>
        <v/>
      </c>
      <c r="H130">
        <f>IF($B$11&gt;0,F130-$C$11*D130/$B$11,0)</f>
        <v/>
      </c>
      <c r="I130">
        <f>IF($B$11&gt;0,E130-D130^2/$B$11,0)</f>
        <v/>
      </c>
      <c r="J130">
        <f>IF($B$11&gt;0,G130-D130*$D$11/$B$11,0)</f>
        <v/>
      </c>
      <c r="K130">
        <f>$H$11*I130-H130^2</f>
        <v/>
      </c>
      <c r="L130">
        <f>IF(ABS(K130)&gt;1E-12,($H$11*J130-H130*$I$11)/K130,0)</f>
        <v/>
      </c>
      <c r="M130">
        <f>IF(ABS(K130)&gt;1E-12,(I130*$I$11-H130*J130)/K130,0)</f>
        <v/>
      </c>
      <c r="N130">
        <f>$J$11-M130*$I$11-L130*J130</f>
        <v/>
      </c>
      <c r="O130">
        <f>IF(AND(C130,ABS(K130)&gt;1E-12,L130&gt;0),N130,1E+300)</f>
        <v/>
      </c>
    </row>
    <row r="131">
      <c r="A131">
        <f>$K$11+($L$11-$K$11)*117/400</f>
        <v/>
      </c>
      <c r="B131">
        <f>SUMPRODUCT((Calc!$F$3:$F$22&lt;=LTP!$B$5)*Calc!$K$3:$K$22*(Calc!$G$3:$G$22&lt;=A131))</f>
        <v/>
      </c>
      <c r="C131">
        <f>AND(B131&gt;=2,$B$11-B131&gt;=2)</f>
        <v/>
      </c>
      <c r="D131">
        <f>SUMPRODUCT((Calc!$F$3:$F$22&lt;=LTP!$B$5)*Calc!$K$3:$K$22*(Calc!$G$3:$G$22&gt;A131)*(Calc!$G$3:$G$22-A131))</f>
        <v/>
      </c>
      <c r="E131">
        <f>SUMPRODUCT((Calc!$F$3:$F$22&lt;=LTP!$B$5)*Calc!$K$3:$K$22*(Calc!$G$3:$G$22&gt;A131)*(Calc!$G$3:$G$22-A131)^2)</f>
        <v/>
      </c>
      <c r="F131">
        <f>SUMPRODUCT((Calc!$F$3:$F$22&lt;=LTP!$B$5)*Calc!$K$3:$K$22*(Calc!$G$3:$G$22&gt;A131)*(Calc!$G$3:$G$22-A131)*Calc!$G$3:$G$22)</f>
        <v/>
      </c>
      <c r="G131">
        <f>SUMPRODUCT((Calc!$F$3:$F$22&lt;=LTP!$B$5)*Calc!$K$3:$K$22*(Calc!$G$3:$G$22&gt;A131)*(Calc!$G$3:$G$22-A131)*Calc!$I$3:$I$22)</f>
        <v/>
      </c>
      <c r="H131">
        <f>IF($B$11&gt;0,F131-$C$11*D131/$B$11,0)</f>
        <v/>
      </c>
      <c r="I131">
        <f>IF($B$11&gt;0,E131-D131^2/$B$11,0)</f>
        <v/>
      </c>
      <c r="J131">
        <f>IF($B$11&gt;0,G131-D131*$D$11/$B$11,0)</f>
        <v/>
      </c>
      <c r="K131">
        <f>$H$11*I131-H131^2</f>
        <v/>
      </c>
      <c r="L131">
        <f>IF(ABS(K131)&gt;1E-12,($H$11*J131-H131*$I$11)/K131,0)</f>
        <v/>
      </c>
      <c r="M131">
        <f>IF(ABS(K131)&gt;1E-12,(I131*$I$11-H131*J131)/K131,0)</f>
        <v/>
      </c>
      <c r="N131">
        <f>$J$11-M131*$I$11-L131*J131</f>
        <v/>
      </c>
      <c r="O131">
        <f>IF(AND(C131,ABS(K131)&gt;1E-12,L131&gt;0),N131,1E+300)</f>
        <v/>
      </c>
    </row>
    <row r="132">
      <c r="A132">
        <f>$K$11+($L$11-$K$11)*118/400</f>
        <v/>
      </c>
      <c r="B132">
        <f>SUMPRODUCT((Calc!$F$3:$F$22&lt;=LTP!$B$5)*Calc!$K$3:$K$22*(Calc!$G$3:$G$22&lt;=A132))</f>
        <v/>
      </c>
      <c r="C132">
        <f>AND(B132&gt;=2,$B$11-B132&gt;=2)</f>
        <v/>
      </c>
      <c r="D132">
        <f>SUMPRODUCT((Calc!$F$3:$F$22&lt;=LTP!$B$5)*Calc!$K$3:$K$22*(Calc!$G$3:$G$22&gt;A132)*(Calc!$G$3:$G$22-A132))</f>
        <v/>
      </c>
      <c r="E132">
        <f>SUMPRODUCT((Calc!$F$3:$F$22&lt;=LTP!$B$5)*Calc!$K$3:$K$22*(Calc!$G$3:$G$22&gt;A132)*(Calc!$G$3:$G$22-A132)^2)</f>
        <v/>
      </c>
      <c r="F132">
        <f>SUMPRODUCT((Calc!$F$3:$F$22&lt;=LTP!$B$5)*Calc!$K$3:$K$22*(Calc!$G$3:$G$22&gt;A132)*(Calc!$G$3:$G$22-A132)*Calc!$G$3:$G$22)</f>
        <v/>
      </c>
      <c r="G132">
        <f>SUMPRODUCT((Calc!$F$3:$F$22&lt;=LTP!$B$5)*Calc!$K$3:$K$22*(Calc!$G$3:$G$22&gt;A132)*(Calc!$G$3:$G$22-A132)*Calc!$I$3:$I$22)</f>
        <v/>
      </c>
      <c r="H132">
        <f>IF($B$11&gt;0,F132-$C$11*D132/$B$11,0)</f>
        <v/>
      </c>
      <c r="I132">
        <f>IF($B$11&gt;0,E132-D132^2/$B$11,0)</f>
        <v/>
      </c>
      <c r="J132">
        <f>IF($B$11&gt;0,G132-D132*$D$11/$B$11,0)</f>
        <v/>
      </c>
      <c r="K132">
        <f>$H$11*I132-H132^2</f>
        <v/>
      </c>
      <c r="L132">
        <f>IF(ABS(K132)&gt;1E-12,($H$11*J132-H132*$I$11)/K132,0)</f>
        <v/>
      </c>
      <c r="M132">
        <f>IF(ABS(K132)&gt;1E-12,(I132*$I$11-H132*J132)/K132,0)</f>
        <v/>
      </c>
      <c r="N132">
        <f>$J$11-M132*$I$11-L132*J132</f>
        <v/>
      </c>
      <c r="O132">
        <f>IF(AND(C132,ABS(K132)&gt;1E-12,L132&gt;0),N132,1E+300)</f>
        <v/>
      </c>
    </row>
    <row r="133">
      <c r="A133">
        <f>$K$11+($L$11-$K$11)*119/400</f>
        <v/>
      </c>
      <c r="B133">
        <f>SUMPRODUCT((Calc!$F$3:$F$22&lt;=LTP!$B$5)*Calc!$K$3:$K$22*(Calc!$G$3:$G$22&lt;=A133))</f>
        <v/>
      </c>
      <c r="C133">
        <f>AND(B133&gt;=2,$B$11-B133&gt;=2)</f>
        <v/>
      </c>
      <c r="D133">
        <f>SUMPRODUCT((Calc!$F$3:$F$22&lt;=LTP!$B$5)*Calc!$K$3:$K$22*(Calc!$G$3:$G$22&gt;A133)*(Calc!$G$3:$G$22-A133))</f>
        <v/>
      </c>
      <c r="E133">
        <f>SUMPRODUCT((Calc!$F$3:$F$22&lt;=LTP!$B$5)*Calc!$K$3:$K$22*(Calc!$G$3:$G$22&gt;A133)*(Calc!$G$3:$G$22-A133)^2)</f>
        <v/>
      </c>
      <c r="F133">
        <f>SUMPRODUCT((Calc!$F$3:$F$22&lt;=LTP!$B$5)*Calc!$K$3:$K$22*(Calc!$G$3:$G$22&gt;A133)*(Calc!$G$3:$G$22-A133)*Calc!$G$3:$G$22)</f>
        <v/>
      </c>
      <c r="G133">
        <f>SUMPRODUCT((Calc!$F$3:$F$22&lt;=LTP!$B$5)*Calc!$K$3:$K$22*(Calc!$G$3:$G$22&gt;A133)*(Calc!$G$3:$G$22-A133)*Calc!$I$3:$I$22)</f>
        <v/>
      </c>
      <c r="H133">
        <f>IF($B$11&gt;0,F133-$C$11*D133/$B$11,0)</f>
        <v/>
      </c>
      <c r="I133">
        <f>IF($B$11&gt;0,E133-D133^2/$B$11,0)</f>
        <v/>
      </c>
      <c r="J133">
        <f>IF($B$11&gt;0,G133-D133*$D$11/$B$11,0)</f>
        <v/>
      </c>
      <c r="K133">
        <f>$H$11*I133-H133^2</f>
        <v/>
      </c>
      <c r="L133">
        <f>IF(ABS(K133)&gt;1E-12,($H$11*J133-H133*$I$11)/K133,0)</f>
        <v/>
      </c>
      <c r="M133">
        <f>IF(ABS(K133)&gt;1E-12,(I133*$I$11-H133*J133)/K133,0)</f>
        <v/>
      </c>
      <c r="N133">
        <f>$J$11-M133*$I$11-L133*J133</f>
        <v/>
      </c>
      <c r="O133">
        <f>IF(AND(C133,ABS(K133)&gt;1E-12,L133&gt;0),N133,1E+300)</f>
        <v/>
      </c>
    </row>
    <row r="134">
      <c r="A134">
        <f>$K$11+($L$11-$K$11)*120/400</f>
        <v/>
      </c>
      <c r="B134">
        <f>SUMPRODUCT((Calc!$F$3:$F$22&lt;=LTP!$B$5)*Calc!$K$3:$K$22*(Calc!$G$3:$G$22&lt;=A134))</f>
        <v/>
      </c>
      <c r="C134">
        <f>AND(B134&gt;=2,$B$11-B134&gt;=2)</f>
        <v/>
      </c>
      <c r="D134">
        <f>SUMPRODUCT((Calc!$F$3:$F$22&lt;=LTP!$B$5)*Calc!$K$3:$K$22*(Calc!$G$3:$G$22&gt;A134)*(Calc!$G$3:$G$22-A134))</f>
        <v/>
      </c>
      <c r="E134">
        <f>SUMPRODUCT((Calc!$F$3:$F$22&lt;=LTP!$B$5)*Calc!$K$3:$K$22*(Calc!$G$3:$G$22&gt;A134)*(Calc!$G$3:$G$22-A134)^2)</f>
        <v/>
      </c>
      <c r="F134">
        <f>SUMPRODUCT((Calc!$F$3:$F$22&lt;=LTP!$B$5)*Calc!$K$3:$K$22*(Calc!$G$3:$G$22&gt;A134)*(Calc!$G$3:$G$22-A134)*Calc!$G$3:$G$22)</f>
        <v/>
      </c>
      <c r="G134">
        <f>SUMPRODUCT((Calc!$F$3:$F$22&lt;=LTP!$B$5)*Calc!$K$3:$K$22*(Calc!$G$3:$G$22&gt;A134)*(Calc!$G$3:$G$22-A134)*Calc!$I$3:$I$22)</f>
        <v/>
      </c>
      <c r="H134">
        <f>IF($B$11&gt;0,F134-$C$11*D134/$B$11,0)</f>
        <v/>
      </c>
      <c r="I134">
        <f>IF($B$11&gt;0,E134-D134^2/$B$11,0)</f>
        <v/>
      </c>
      <c r="J134">
        <f>IF($B$11&gt;0,G134-D134*$D$11/$B$11,0)</f>
        <v/>
      </c>
      <c r="K134">
        <f>$H$11*I134-H134^2</f>
        <v/>
      </c>
      <c r="L134">
        <f>IF(ABS(K134)&gt;1E-12,($H$11*J134-H134*$I$11)/K134,0)</f>
        <v/>
      </c>
      <c r="M134">
        <f>IF(ABS(K134)&gt;1E-12,(I134*$I$11-H134*J134)/K134,0)</f>
        <v/>
      </c>
      <c r="N134">
        <f>$J$11-M134*$I$11-L134*J134</f>
        <v/>
      </c>
      <c r="O134">
        <f>IF(AND(C134,ABS(K134)&gt;1E-12,L134&gt;0),N134,1E+300)</f>
        <v/>
      </c>
    </row>
    <row r="135">
      <c r="A135">
        <f>$K$11+($L$11-$K$11)*121/400</f>
        <v/>
      </c>
      <c r="B135">
        <f>SUMPRODUCT((Calc!$F$3:$F$22&lt;=LTP!$B$5)*Calc!$K$3:$K$22*(Calc!$G$3:$G$22&lt;=A135))</f>
        <v/>
      </c>
      <c r="C135">
        <f>AND(B135&gt;=2,$B$11-B135&gt;=2)</f>
        <v/>
      </c>
      <c r="D135">
        <f>SUMPRODUCT((Calc!$F$3:$F$22&lt;=LTP!$B$5)*Calc!$K$3:$K$22*(Calc!$G$3:$G$22&gt;A135)*(Calc!$G$3:$G$22-A135))</f>
        <v/>
      </c>
      <c r="E135">
        <f>SUMPRODUCT((Calc!$F$3:$F$22&lt;=LTP!$B$5)*Calc!$K$3:$K$22*(Calc!$G$3:$G$22&gt;A135)*(Calc!$G$3:$G$22-A135)^2)</f>
        <v/>
      </c>
      <c r="F135">
        <f>SUMPRODUCT((Calc!$F$3:$F$22&lt;=LTP!$B$5)*Calc!$K$3:$K$22*(Calc!$G$3:$G$22&gt;A135)*(Calc!$G$3:$G$22-A135)*Calc!$G$3:$G$22)</f>
        <v/>
      </c>
      <c r="G135">
        <f>SUMPRODUCT((Calc!$F$3:$F$22&lt;=LTP!$B$5)*Calc!$K$3:$K$22*(Calc!$G$3:$G$22&gt;A135)*(Calc!$G$3:$G$22-A135)*Calc!$I$3:$I$22)</f>
        <v/>
      </c>
      <c r="H135">
        <f>IF($B$11&gt;0,F135-$C$11*D135/$B$11,0)</f>
        <v/>
      </c>
      <c r="I135">
        <f>IF($B$11&gt;0,E135-D135^2/$B$11,0)</f>
        <v/>
      </c>
      <c r="J135">
        <f>IF($B$11&gt;0,G135-D135*$D$11/$B$11,0)</f>
        <v/>
      </c>
      <c r="K135">
        <f>$H$11*I135-H135^2</f>
        <v/>
      </c>
      <c r="L135">
        <f>IF(ABS(K135)&gt;1E-12,($H$11*J135-H135*$I$11)/K135,0)</f>
        <v/>
      </c>
      <c r="M135">
        <f>IF(ABS(K135)&gt;1E-12,(I135*$I$11-H135*J135)/K135,0)</f>
        <v/>
      </c>
      <c r="N135">
        <f>$J$11-M135*$I$11-L135*J135</f>
        <v/>
      </c>
      <c r="O135">
        <f>IF(AND(C135,ABS(K135)&gt;1E-12,L135&gt;0),N135,1E+300)</f>
        <v/>
      </c>
    </row>
    <row r="136">
      <c r="A136">
        <f>$K$11+($L$11-$K$11)*122/400</f>
        <v/>
      </c>
      <c r="B136">
        <f>SUMPRODUCT((Calc!$F$3:$F$22&lt;=LTP!$B$5)*Calc!$K$3:$K$22*(Calc!$G$3:$G$22&lt;=A136))</f>
        <v/>
      </c>
      <c r="C136">
        <f>AND(B136&gt;=2,$B$11-B136&gt;=2)</f>
        <v/>
      </c>
      <c r="D136">
        <f>SUMPRODUCT((Calc!$F$3:$F$22&lt;=LTP!$B$5)*Calc!$K$3:$K$22*(Calc!$G$3:$G$22&gt;A136)*(Calc!$G$3:$G$22-A136))</f>
        <v/>
      </c>
      <c r="E136">
        <f>SUMPRODUCT((Calc!$F$3:$F$22&lt;=LTP!$B$5)*Calc!$K$3:$K$22*(Calc!$G$3:$G$22&gt;A136)*(Calc!$G$3:$G$22-A136)^2)</f>
        <v/>
      </c>
      <c r="F136">
        <f>SUMPRODUCT((Calc!$F$3:$F$22&lt;=LTP!$B$5)*Calc!$K$3:$K$22*(Calc!$G$3:$G$22&gt;A136)*(Calc!$G$3:$G$22-A136)*Calc!$G$3:$G$22)</f>
        <v/>
      </c>
      <c r="G136">
        <f>SUMPRODUCT((Calc!$F$3:$F$22&lt;=LTP!$B$5)*Calc!$K$3:$K$22*(Calc!$G$3:$G$22&gt;A136)*(Calc!$G$3:$G$22-A136)*Calc!$I$3:$I$22)</f>
        <v/>
      </c>
      <c r="H136">
        <f>IF($B$11&gt;0,F136-$C$11*D136/$B$11,0)</f>
        <v/>
      </c>
      <c r="I136">
        <f>IF($B$11&gt;0,E136-D136^2/$B$11,0)</f>
        <v/>
      </c>
      <c r="J136">
        <f>IF($B$11&gt;0,G136-D136*$D$11/$B$11,0)</f>
        <v/>
      </c>
      <c r="K136">
        <f>$H$11*I136-H136^2</f>
        <v/>
      </c>
      <c r="L136">
        <f>IF(ABS(K136)&gt;1E-12,($H$11*J136-H136*$I$11)/K136,0)</f>
        <v/>
      </c>
      <c r="M136">
        <f>IF(ABS(K136)&gt;1E-12,(I136*$I$11-H136*J136)/K136,0)</f>
        <v/>
      </c>
      <c r="N136">
        <f>$J$11-M136*$I$11-L136*J136</f>
        <v/>
      </c>
      <c r="O136">
        <f>IF(AND(C136,ABS(K136)&gt;1E-12,L136&gt;0),N136,1E+300)</f>
        <v/>
      </c>
    </row>
    <row r="137">
      <c r="A137">
        <f>$K$11+($L$11-$K$11)*123/400</f>
        <v/>
      </c>
      <c r="B137">
        <f>SUMPRODUCT((Calc!$F$3:$F$22&lt;=LTP!$B$5)*Calc!$K$3:$K$22*(Calc!$G$3:$G$22&lt;=A137))</f>
        <v/>
      </c>
      <c r="C137">
        <f>AND(B137&gt;=2,$B$11-B137&gt;=2)</f>
        <v/>
      </c>
      <c r="D137">
        <f>SUMPRODUCT((Calc!$F$3:$F$22&lt;=LTP!$B$5)*Calc!$K$3:$K$22*(Calc!$G$3:$G$22&gt;A137)*(Calc!$G$3:$G$22-A137))</f>
        <v/>
      </c>
      <c r="E137">
        <f>SUMPRODUCT((Calc!$F$3:$F$22&lt;=LTP!$B$5)*Calc!$K$3:$K$22*(Calc!$G$3:$G$22&gt;A137)*(Calc!$G$3:$G$22-A137)^2)</f>
        <v/>
      </c>
      <c r="F137">
        <f>SUMPRODUCT((Calc!$F$3:$F$22&lt;=LTP!$B$5)*Calc!$K$3:$K$22*(Calc!$G$3:$G$22&gt;A137)*(Calc!$G$3:$G$22-A137)*Calc!$G$3:$G$22)</f>
        <v/>
      </c>
      <c r="G137">
        <f>SUMPRODUCT((Calc!$F$3:$F$22&lt;=LTP!$B$5)*Calc!$K$3:$K$22*(Calc!$G$3:$G$22&gt;A137)*(Calc!$G$3:$G$22-A137)*Calc!$I$3:$I$22)</f>
        <v/>
      </c>
      <c r="H137">
        <f>IF($B$11&gt;0,F137-$C$11*D137/$B$11,0)</f>
        <v/>
      </c>
      <c r="I137">
        <f>IF($B$11&gt;0,E137-D137^2/$B$11,0)</f>
        <v/>
      </c>
      <c r="J137">
        <f>IF($B$11&gt;0,G137-D137*$D$11/$B$11,0)</f>
        <v/>
      </c>
      <c r="K137">
        <f>$H$11*I137-H137^2</f>
        <v/>
      </c>
      <c r="L137">
        <f>IF(ABS(K137)&gt;1E-12,($H$11*J137-H137*$I$11)/K137,0)</f>
        <v/>
      </c>
      <c r="M137">
        <f>IF(ABS(K137)&gt;1E-12,(I137*$I$11-H137*J137)/K137,0)</f>
        <v/>
      </c>
      <c r="N137">
        <f>$J$11-M137*$I$11-L137*J137</f>
        <v/>
      </c>
      <c r="O137">
        <f>IF(AND(C137,ABS(K137)&gt;1E-12,L137&gt;0),N137,1E+300)</f>
        <v/>
      </c>
    </row>
    <row r="138">
      <c r="A138">
        <f>$K$11+($L$11-$K$11)*124/400</f>
        <v/>
      </c>
      <c r="B138">
        <f>SUMPRODUCT((Calc!$F$3:$F$22&lt;=LTP!$B$5)*Calc!$K$3:$K$22*(Calc!$G$3:$G$22&lt;=A138))</f>
        <v/>
      </c>
      <c r="C138">
        <f>AND(B138&gt;=2,$B$11-B138&gt;=2)</f>
        <v/>
      </c>
      <c r="D138">
        <f>SUMPRODUCT((Calc!$F$3:$F$22&lt;=LTP!$B$5)*Calc!$K$3:$K$22*(Calc!$G$3:$G$22&gt;A138)*(Calc!$G$3:$G$22-A138))</f>
        <v/>
      </c>
      <c r="E138">
        <f>SUMPRODUCT((Calc!$F$3:$F$22&lt;=LTP!$B$5)*Calc!$K$3:$K$22*(Calc!$G$3:$G$22&gt;A138)*(Calc!$G$3:$G$22-A138)^2)</f>
        <v/>
      </c>
      <c r="F138">
        <f>SUMPRODUCT((Calc!$F$3:$F$22&lt;=LTP!$B$5)*Calc!$K$3:$K$22*(Calc!$G$3:$G$22&gt;A138)*(Calc!$G$3:$G$22-A138)*Calc!$G$3:$G$22)</f>
        <v/>
      </c>
      <c r="G138">
        <f>SUMPRODUCT((Calc!$F$3:$F$22&lt;=LTP!$B$5)*Calc!$K$3:$K$22*(Calc!$G$3:$G$22&gt;A138)*(Calc!$G$3:$G$22-A138)*Calc!$I$3:$I$22)</f>
        <v/>
      </c>
      <c r="H138">
        <f>IF($B$11&gt;0,F138-$C$11*D138/$B$11,0)</f>
        <v/>
      </c>
      <c r="I138">
        <f>IF($B$11&gt;0,E138-D138^2/$B$11,0)</f>
        <v/>
      </c>
      <c r="J138">
        <f>IF($B$11&gt;0,G138-D138*$D$11/$B$11,0)</f>
        <v/>
      </c>
      <c r="K138">
        <f>$H$11*I138-H138^2</f>
        <v/>
      </c>
      <c r="L138">
        <f>IF(ABS(K138)&gt;1E-12,($H$11*J138-H138*$I$11)/K138,0)</f>
        <v/>
      </c>
      <c r="M138">
        <f>IF(ABS(K138)&gt;1E-12,(I138*$I$11-H138*J138)/K138,0)</f>
        <v/>
      </c>
      <c r="N138">
        <f>$J$11-M138*$I$11-L138*J138</f>
        <v/>
      </c>
      <c r="O138">
        <f>IF(AND(C138,ABS(K138)&gt;1E-12,L138&gt;0),N138,1E+300)</f>
        <v/>
      </c>
    </row>
    <row r="139">
      <c r="A139">
        <f>$K$11+($L$11-$K$11)*125/400</f>
        <v/>
      </c>
      <c r="B139">
        <f>SUMPRODUCT((Calc!$F$3:$F$22&lt;=LTP!$B$5)*Calc!$K$3:$K$22*(Calc!$G$3:$G$22&lt;=A139))</f>
        <v/>
      </c>
      <c r="C139">
        <f>AND(B139&gt;=2,$B$11-B139&gt;=2)</f>
        <v/>
      </c>
      <c r="D139">
        <f>SUMPRODUCT((Calc!$F$3:$F$22&lt;=LTP!$B$5)*Calc!$K$3:$K$22*(Calc!$G$3:$G$22&gt;A139)*(Calc!$G$3:$G$22-A139))</f>
        <v/>
      </c>
      <c r="E139">
        <f>SUMPRODUCT((Calc!$F$3:$F$22&lt;=LTP!$B$5)*Calc!$K$3:$K$22*(Calc!$G$3:$G$22&gt;A139)*(Calc!$G$3:$G$22-A139)^2)</f>
        <v/>
      </c>
      <c r="F139">
        <f>SUMPRODUCT((Calc!$F$3:$F$22&lt;=LTP!$B$5)*Calc!$K$3:$K$22*(Calc!$G$3:$G$22&gt;A139)*(Calc!$G$3:$G$22-A139)*Calc!$G$3:$G$22)</f>
        <v/>
      </c>
      <c r="G139">
        <f>SUMPRODUCT((Calc!$F$3:$F$22&lt;=LTP!$B$5)*Calc!$K$3:$K$22*(Calc!$G$3:$G$22&gt;A139)*(Calc!$G$3:$G$22-A139)*Calc!$I$3:$I$22)</f>
        <v/>
      </c>
      <c r="H139">
        <f>IF($B$11&gt;0,F139-$C$11*D139/$B$11,0)</f>
        <v/>
      </c>
      <c r="I139">
        <f>IF($B$11&gt;0,E139-D139^2/$B$11,0)</f>
        <v/>
      </c>
      <c r="J139">
        <f>IF($B$11&gt;0,G139-D139*$D$11/$B$11,0)</f>
        <v/>
      </c>
      <c r="K139">
        <f>$H$11*I139-H139^2</f>
        <v/>
      </c>
      <c r="L139">
        <f>IF(ABS(K139)&gt;1E-12,($H$11*J139-H139*$I$11)/K139,0)</f>
        <v/>
      </c>
      <c r="M139">
        <f>IF(ABS(K139)&gt;1E-12,(I139*$I$11-H139*J139)/K139,0)</f>
        <v/>
      </c>
      <c r="N139">
        <f>$J$11-M139*$I$11-L139*J139</f>
        <v/>
      </c>
      <c r="O139">
        <f>IF(AND(C139,ABS(K139)&gt;1E-12,L139&gt;0),N139,1E+300)</f>
        <v/>
      </c>
    </row>
    <row r="140">
      <c r="A140">
        <f>$K$11+($L$11-$K$11)*126/400</f>
        <v/>
      </c>
      <c r="B140">
        <f>SUMPRODUCT((Calc!$F$3:$F$22&lt;=LTP!$B$5)*Calc!$K$3:$K$22*(Calc!$G$3:$G$22&lt;=A140))</f>
        <v/>
      </c>
      <c r="C140">
        <f>AND(B140&gt;=2,$B$11-B140&gt;=2)</f>
        <v/>
      </c>
      <c r="D140">
        <f>SUMPRODUCT((Calc!$F$3:$F$22&lt;=LTP!$B$5)*Calc!$K$3:$K$22*(Calc!$G$3:$G$22&gt;A140)*(Calc!$G$3:$G$22-A140))</f>
        <v/>
      </c>
      <c r="E140">
        <f>SUMPRODUCT((Calc!$F$3:$F$22&lt;=LTP!$B$5)*Calc!$K$3:$K$22*(Calc!$G$3:$G$22&gt;A140)*(Calc!$G$3:$G$22-A140)^2)</f>
        <v/>
      </c>
      <c r="F140">
        <f>SUMPRODUCT((Calc!$F$3:$F$22&lt;=LTP!$B$5)*Calc!$K$3:$K$22*(Calc!$G$3:$G$22&gt;A140)*(Calc!$G$3:$G$22-A140)*Calc!$G$3:$G$22)</f>
        <v/>
      </c>
      <c r="G140">
        <f>SUMPRODUCT((Calc!$F$3:$F$22&lt;=LTP!$B$5)*Calc!$K$3:$K$22*(Calc!$G$3:$G$22&gt;A140)*(Calc!$G$3:$G$22-A140)*Calc!$I$3:$I$22)</f>
        <v/>
      </c>
      <c r="H140">
        <f>IF($B$11&gt;0,F140-$C$11*D140/$B$11,0)</f>
        <v/>
      </c>
      <c r="I140">
        <f>IF($B$11&gt;0,E140-D140^2/$B$11,0)</f>
        <v/>
      </c>
      <c r="J140">
        <f>IF($B$11&gt;0,G140-D140*$D$11/$B$11,0)</f>
        <v/>
      </c>
      <c r="K140">
        <f>$H$11*I140-H140^2</f>
        <v/>
      </c>
      <c r="L140">
        <f>IF(ABS(K140)&gt;1E-12,($H$11*J140-H140*$I$11)/K140,0)</f>
        <v/>
      </c>
      <c r="M140">
        <f>IF(ABS(K140)&gt;1E-12,(I140*$I$11-H140*J140)/K140,0)</f>
        <v/>
      </c>
      <c r="N140">
        <f>$J$11-M140*$I$11-L140*J140</f>
        <v/>
      </c>
      <c r="O140">
        <f>IF(AND(C140,ABS(K140)&gt;1E-12,L140&gt;0),N140,1E+300)</f>
        <v/>
      </c>
    </row>
    <row r="141">
      <c r="A141">
        <f>$K$11+($L$11-$K$11)*127/400</f>
        <v/>
      </c>
      <c r="B141">
        <f>SUMPRODUCT((Calc!$F$3:$F$22&lt;=LTP!$B$5)*Calc!$K$3:$K$22*(Calc!$G$3:$G$22&lt;=A141))</f>
        <v/>
      </c>
      <c r="C141">
        <f>AND(B141&gt;=2,$B$11-B141&gt;=2)</f>
        <v/>
      </c>
      <c r="D141">
        <f>SUMPRODUCT((Calc!$F$3:$F$22&lt;=LTP!$B$5)*Calc!$K$3:$K$22*(Calc!$G$3:$G$22&gt;A141)*(Calc!$G$3:$G$22-A141))</f>
        <v/>
      </c>
      <c r="E141">
        <f>SUMPRODUCT((Calc!$F$3:$F$22&lt;=LTP!$B$5)*Calc!$K$3:$K$22*(Calc!$G$3:$G$22&gt;A141)*(Calc!$G$3:$G$22-A141)^2)</f>
        <v/>
      </c>
      <c r="F141">
        <f>SUMPRODUCT((Calc!$F$3:$F$22&lt;=LTP!$B$5)*Calc!$K$3:$K$22*(Calc!$G$3:$G$22&gt;A141)*(Calc!$G$3:$G$22-A141)*Calc!$G$3:$G$22)</f>
        <v/>
      </c>
      <c r="G141">
        <f>SUMPRODUCT((Calc!$F$3:$F$22&lt;=LTP!$B$5)*Calc!$K$3:$K$22*(Calc!$G$3:$G$22&gt;A141)*(Calc!$G$3:$G$22-A141)*Calc!$I$3:$I$22)</f>
        <v/>
      </c>
      <c r="H141">
        <f>IF($B$11&gt;0,F141-$C$11*D141/$B$11,0)</f>
        <v/>
      </c>
      <c r="I141">
        <f>IF($B$11&gt;0,E141-D141^2/$B$11,0)</f>
        <v/>
      </c>
      <c r="J141">
        <f>IF($B$11&gt;0,G141-D141*$D$11/$B$11,0)</f>
        <v/>
      </c>
      <c r="K141">
        <f>$H$11*I141-H141^2</f>
        <v/>
      </c>
      <c r="L141">
        <f>IF(ABS(K141)&gt;1E-12,($H$11*J141-H141*$I$11)/K141,0)</f>
        <v/>
      </c>
      <c r="M141">
        <f>IF(ABS(K141)&gt;1E-12,(I141*$I$11-H141*J141)/K141,0)</f>
        <v/>
      </c>
      <c r="N141">
        <f>$J$11-M141*$I$11-L141*J141</f>
        <v/>
      </c>
      <c r="O141">
        <f>IF(AND(C141,ABS(K141)&gt;1E-12,L141&gt;0),N141,1E+300)</f>
        <v/>
      </c>
    </row>
    <row r="142">
      <c r="A142">
        <f>$K$11+($L$11-$K$11)*128/400</f>
        <v/>
      </c>
      <c r="B142">
        <f>SUMPRODUCT((Calc!$F$3:$F$22&lt;=LTP!$B$5)*Calc!$K$3:$K$22*(Calc!$G$3:$G$22&lt;=A142))</f>
        <v/>
      </c>
      <c r="C142">
        <f>AND(B142&gt;=2,$B$11-B142&gt;=2)</f>
        <v/>
      </c>
      <c r="D142">
        <f>SUMPRODUCT((Calc!$F$3:$F$22&lt;=LTP!$B$5)*Calc!$K$3:$K$22*(Calc!$G$3:$G$22&gt;A142)*(Calc!$G$3:$G$22-A142))</f>
        <v/>
      </c>
      <c r="E142">
        <f>SUMPRODUCT((Calc!$F$3:$F$22&lt;=LTP!$B$5)*Calc!$K$3:$K$22*(Calc!$G$3:$G$22&gt;A142)*(Calc!$G$3:$G$22-A142)^2)</f>
        <v/>
      </c>
      <c r="F142">
        <f>SUMPRODUCT((Calc!$F$3:$F$22&lt;=LTP!$B$5)*Calc!$K$3:$K$22*(Calc!$G$3:$G$22&gt;A142)*(Calc!$G$3:$G$22-A142)*Calc!$G$3:$G$22)</f>
        <v/>
      </c>
      <c r="G142">
        <f>SUMPRODUCT((Calc!$F$3:$F$22&lt;=LTP!$B$5)*Calc!$K$3:$K$22*(Calc!$G$3:$G$22&gt;A142)*(Calc!$G$3:$G$22-A142)*Calc!$I$3:$I$22)</f>
        <v/>
      </c>
      <c r="H142">
        <f>IF($B$11&gt;0,F142-$C$11*D142/$B$11,0)</f>
        <v/>
      </c>
      <c r="I142">
        <f>IF($B$11&gt;0,E142-D142^2/$B$11,0)</f>
        <v/>
      </c>
      <c r="J142">
        <f>IF($B$11&gt;0,G142-D142*$D$11/$B$11,0)</f>
        <v/>
      </c>
      <c r="K142">
        <f>$H$11*I142-H142^2</f>
        <v/>
      </c>
      <c r="L142">
        <f>IF(ABS(K142)&gt;1E-12,($H$11*J142-H142*$I$11)/K142,0)</f>
        <v/>
      </c>
      <c r="M142">
        <f>IF(ABS(K142)&gt;1E-12,(I142*$I$11-H142*J142)/K142,0)</f>
        <v/>
      </c>
      <c r="N142">
        <f>$J$11-M142*$I$11-L142*J142</f>
        <v/>
      </c>
      <c r="O142">
        <f>IF(AND(C142,ABS(K142)&gt;1E-12,L142&gt;0),N142,1E+300)</f>
        <v/>
      </c>
    </row>
    <row r="143">
      <c r="A143">
        <f>$K$11+($L$11-$K$11)*129/400</f>
        <v/>
      </c>
      <c r="B143">
        <f>SUMPRODUCT((Calc!$F$3:$F$22&lt;=LTP!$B$5)*Calc!$K$3:$K$22*(Calc!$G$3:$G$22&lt;=A143))</f>
        <v/>
      </c>
      <c r="C143">
        <f>AND(B143&gt;=2,$B$11-B143&gt;=2)</f>
        <v/>
      </c>
      <c r="D143">
        <f>SUMPRODUCT((Calc!$F$3:$F$22&lt;=LTP!$B$5)*Calc!$K$3:$K$22*(Calc!$G$3:$G$22&gt;A143)*(Calc!$G$3:$G$22-A143))</f>
        <v/>
      </c>
      <c r="E143">
        <f>SUMPRODUCT((Calc!$F$3:$F$22&lt;=LTP!$B$5)*Calc!$K$3:$K$22*(Calc!$G$3:$G$22&gt;A143)*(Calc!$G$3:$G$22-A143)^2)</f>
        <v/>
      </c>
      <c r="F143">
        <f>SUMPRODUCT((Calc!$F$3:$F$22&lt;=LTP!$B$5)*Calc!$K$3:$K$22*(Calc!$G$3:$G$22&gt;A143)*(Calc!$G$3:$G$22-A143)*Calc!$G$3:$G$22)</f>
        <v/>
      </c>
      <c r="G143">
        <f>SUMPRODUCT((Calc!$F$3:$F$22&lt;=LTP!$B$5)*Calc!$K$3:$K$22*(Calc!$G$3:$G$22&gt;A143)*(Calc!$G$3:$G$22-A143)*Calc!$I$3:$I$22)</f>
        <v/>
      </c>
      <c r="H143">
        <f>IF($B$11&gt;0,F143-$C$11*D143/$B$11,0)</f>
        <v/>
      </c>
      <c r="I143">
        <f>IF($B$11&gt;0,E143-D143^2/$B$11,0)</f>
        <v/>
      </c>
      <c r="J143">
        <f>IF($B$11&gt;0,G143-D143*$D$11/$B$11,0)</f>
        <v/>
      </c>
      <c r="K143">
        <f>$H$11*I143-H143^2</f>
        <v/>
      </c>
      <c r="L143">
        <f>IF(ABS(K143)&gt;1E-12,($H$11*J143-H143*$I$11)/K143,0)</f>
        <v/>
      </c>
      <c r="M143">
        <f>IF(ABS(K143)&gt;1E-12,(I143*$I$11-H143*J143)/K143,0)</f>
        <v/>
      </c>
      <c r="N143">
        <f>$J$11-M143*$I$11-L143*J143</f>
        <v/>
      </c>
      <c r="O143">
        <f>IF(AND(C143,ABS(K143)&gt;1E-12,L143&gt;0),N143,1E+300)</f>
        <v/>
      </c>
    </row>
    <row r="144">
      <c r="A144">
        <f>$K$11+($L$11-$K$11)*130/400</f>
        <v/>
      </c>
      <c r="B144">
        <f>SUMPRODUCT((Calc!$F$3:$F$22&lt;=LTP!$B$5)*Calc!$K$3:$K$22*(Calc!$G$3:$G$22&lt;=A144))</f>
        <v/>
      </c>
      <c r="C144">
        <f>AND(B144&gt;=2,$B$11-B144&gt;=2)</f>
        <v/>
      </c>
      <c r="D144">
        <f>SUMPRODUCT((Calc!$F$3:$F$22&lt;=LTP!$B$5)*Calc!$K$3:$K$22*(Calc!$G$3:$G$22&gt;A144)*(Calc!$G$3:$G$22-A144))</f>
        <v/>
      </c>
      <c r="E144">
        <f>SUMPRODUCT((Calc!$F$3:$F$22&lt;=LTP!$B$5)*Calc!$K$3:$K$22*(Calc!$G$3:$G$22&gt;A144)*(Calc!$G$3:$G$22-A144)^2)</f>
        <v/>
      </c>
      <c r="F144">
        <f>SUMPRODUCT((Calc!$F$3:$F$22&lt;=LTP!$B$5)*Calc!$K$3:$K$22*(Calc!$G$3:$G$22&gt;A144)*(Calc!$G$3:$G$22-A144)*Calc!$G$3:$G$22)</f>
        <v/>
      </c>
      <c r="G144">
        <f>SUMPRODUCT((Calc!$F$3:$F$22&lt;=LTP!$B$5)*Calc!$K$3:$K$22*(Calc!$G$3:$G$22&gt;A144)*(Calc!$G$3:$G$22-A144)*Calc!$I$3:$I$22)</f>
        <v/>
      </c>
      <c r="H144">
        <f>IF($B$11&gt;0,F144-$C$11*D144/$B$11,0)</f>
        <v/>
      </c>
      <c r="I144">
        <f>IF($B$11&gt;0,E144-D144^2/$B$11,0)</f>
        <v/>
      </c>
      <c r="J144">
        <f>IF($B$11&gt;0,G144-D144*$D$11/$B$11,0)</f>
        <v/>
      </c>
      <c r="K144">
        <f>$H$11*I144-H144^2</f>
        <v/>
      </c>
      <c r="L144">
        <f>IF(ABS(K144)&gt;1E-12,($H$11*J144-H144*$I$11)/K144,0)</f>
        <v/>
      </c>
      <c r="M144">
        <f>IF(ABS(K144)&gt;1E-12,(I144*$I$11-H144*J144)/K144,0)</f>
        <v/>
      </c>
      <c r="N144">
        <f>$J$11-M144*$I$11-L144*J144</f>
        <v/>
      </c>
      <c r="O144">
        <f>IF(AND(C144,ABS(K144)&gt;1E-12,L144&gt;0),N144,1E+300)</f>
        <v/>
      </c>
    </row>
    <row r="145">
      <c r="A145">
        <f>$K$11+($L$11-$K$11)*131/400</f>
        <v/>
      </c>
      <c r="B145">
        <f>SUMPRODUCT((Calc!$F$3:$F$22&lt;=LTP!$B$5)*Calc!$K$3:$K$22*(Calc!$G$3:$G$22&lt;=A145))</f>
        <v/>
      </c>
      <c r="C145">
        <f>AND(B145&gt;=2,$B$11-B145&gt;=2)</f>
        <v/>
      </c>
      <c r="D145">
        <f>SUMPRODUCT((Calc!$F$3:$F$22&lt;=LTP!$B$5)*Calc!$K$3:$K$22*(Calc!$G$3:$G$22&gt;A145)*(Calc!$G$3:$G$22-A145))</f>
        <v/>
      </c>
      <c r="E145">
        <f>SUMPRODUCT((Calc!$F$3:$F$22&lt;=LTP!$B$5)*Calc!$K$3:$K$22*(Calc!$G$3:$G$22&gt;A145)*(Calc!$G$3:$G$22-A145)^2)</f>
        <v/>
      </c>
      <c r="F145">
        <f>SUMPRODUCT((Calc!$F$3:$F$22&lt;=LTP!$B$5)*Calc!$K$3:$K$22*(Calc!$G$3:$G$22&gt;A145)*(Calc!$G$3:$G$22-A145)*Calc!$G$3:$G$22)</f>
        <v/>
      </c>
      <c r="G145">
        <f>SUMPRODUCT((Calc!$F$3:$F$22&lt;=LTP!$B$5)*Calc!$K$3:$K$22*(Calc!$G$3:$G$22&gt;A145)*(Calc!$G$3:$G$22-A145)*Calc!$I$3:$I$22)</f>
        <v/>
      </c>
      <c r="H145">
        <f>IF($B$11&gt;0,F145-$C$11*D145/$B$11,0)</f>
        <v/>
      </c>
      <c r="I145">
        <f>IF($B$11&gt;0,E145-D145^2/$B$11,0)</f>
        <v/>
      </c>
      <c r="J145">
        <f>IF($B$11&gt;0,G145-D145*$D$11/$B$11,0)</f>
        <v/>
      </c>
      <c r="K145">
        <f>$H$11*I145-H145^2</f>
        <v/>
      </c>
      <c r="L145">
        <f>IF(ABS(K145)&gt;1E-12,($H$11*J145-H145*$I$11)/K145,0)</f>
        <v/>
      </c>
      <c r="M145">
        <f>IF(ABS(K145)&gt;1E-12,(I145*$I$11-H145*J145)/K145,0)</f>
        <v/>
      </c>
      <c r="N145">
        <f>$J$11-M145*$I$11-L145*J145</f>
        <v/>
      </c>
      <c r="O145">
        <f>IF(AND(C145,ABS(K145)&gt;1E-12,L145&gt;0),N145,1E+300)</f>
        <v/>
      </c>
    </row>
    <row r="146">
      <c r="A146">
        <f>$K$11+($L$11-$K$11)*132/400</f>
        <v/>
      </c>
      <c r="B146">
        <f>SUMPRODUCT((Calc!$F$3:$F$22&lt;=LTP!$B$5)*Calc!$K$3:$K$22*(Calc!$G$3:$G$22&lt;=A146))</f>
        <v/>
      </c>
      <c r="C146">
        <f>AND(B146&gt;=2,$B$11-B146&gt;=2)</f>
        <v/>
      </c>
      <c r="D146">
        <f>SUMPRODUCT((Calc!$F$3:$F$22&lt;=LTP!$B$5)*Calc!$K$3:$K$22*(Calc!$G$3:$G$22&gt;A146)*(Calc!$G$3:$G$22-A146))</f>
        <v/>
      </c>
      <c r="E146">
        <f>SUMPRODUCT((Calc!$F$3:$F$22&lt;=LTP!$B$5)*Calc!$K$3:$K$22*(Calc!$G$3:$G$22&gt;A146)*(Calc!$G$3:$G$22-A146)^2)</f>
        <v/>
      </c>
      <c r="F146">
        <f>SUMPRODUCT((Calc!$F$3:$F$22&lt;=LTP!$B$5)*Calc!$K$3:$K$22*(Calc!$G$3:$G$22&gt;A146)*(Calc!$G$3:$G$22-A146)*Calc!$G$3:$G$22)</f>
        <v/>
      </c>
      <c r="G146">
        <f>SUMPRODUCT((Calc!$F$3:$F$22&lt;=LTP!$B$5)*Calc!$K$3:$K$22*(Calc!$G$3:$G$22&gt;A146)*(Calc!$G$3:$G$22-A146)*Calc!$I$3:$I$22)</f>
        <v/>
      </c>
      <c r="H146">
        <f>IF($B$11&gt;0,F146-$C$11*D146/$B$11,0)</f>
        <v/>
      </c>
      <c r="I146">
        <f>IF($B$11&gt;0,E146-D146^2/$B$11,0)</f>
        <v/>
      </c>
      <c r="J146">
        <f>IF($B$11&gt;0,G146-D146*$D$11/$B$11,0)</f>
        <v/>
      </c>
      <c r="K146">
        <f>$H$11*I146-H146^2</f>
        <v/>
      </c>
      <c r="L146">
        <f>IF(ABS(K146)&gt;1E-12,($H$11*J146-H146*$I$11)/K146,0)</f>
        <v/>
      </c>
      <c r="M146">
        <f>IF(ABS(K146)&gt;1E-12,(I146*$I$11-H146*J146)/K146,0)</f>
        <v/>
      </c>
      <c r="N146">
        <f>$J$11-M146*$I$11-L146*J146</f>
        <v/>
      </c>
      <c r="O146">
        <f>IF(AND(C146,ABS(K146)&gt;1E-12,L146&gt;0),N146,1E+300)</f>
        <v/>
      </c>
    </row>
    <row r="147">
      <c r="A147">
        <f>$K$11+($L$11-$K$11)*133/400</f>
        <v/>
      </c>
      <c r="B147">
        <f>SUMPRODUCT((Calc!$F$3:$F$22&lt;=LTP!$B$5)*Calc!$K$3:$K$22*(Calc!$G$3:$G$22&lt;=A147))</f>
        <v/>
      </c>
      <c r="C147">
        <f>AND(B147&gt;=2,$B$11-B147&gt;=2)</f>
        <v/>
      </c>
      <c r="D147">
        <f>SUMPRODUCT((Calc!$F$3:$F$22&lt;=LTP!$B$5)*Calc!$K$3:$K$22*(Calc!$G$3:$G$22&gt;A147)*(Calc!$G$3:$G$22-A147))</f>
        <v/>
      </c>
      <c r="E147">
        <f>SUMPRODUCT((Calc!$F$3:$F$22&lt;=LTP!$B$5)*Calc!$K$3:$K$22*(Calc!$G$3:$G$22&gt;A147)*(Calc!$G$3:$G$22-A147)^2)</f>
        <v/>
      </c>
      <c r="F147">
        <f>SUMPRODUCT((Calc!$F$3:$F$22&lt;=LTP!$B$5)*Calc!$K$3:$K$22*(Calc!$G$3:$G$22&gt;A147)*(Calc!$G$3:$G$22-A147)*Calc!$G$3:$G$22)</f>
        <v/>
      </c>
      <c r="G147">
        <f>SUMPRODUCT((Calc!$F$3:$F$22&lt;=LTP!$B$5)*Calc!$K$3:$K$22*(Calc!$G$3:$G$22&gt;A147)*(Calc!$G$3:$G$22-A147)*Calc!$I$3:$I$22)</f>
        <v/>
      </c>
      <c r="H147">
        <f>IF($B$11&gt;0,F147-$C$11*D147/$B$11,0)</f>
        <v/>
      </c>
      <c r="I147">
        <f>IF($B$11&gt;0,E147-D147^2/$B$11,0)</f>
        <v/>
      </c>
      <c r="J147">
        <f>IF($B$11&gt;0,G147-D147*$D$11/$B$11,0)</f>
        <v/>
      </c>
      <c r="K147">
        <f>$H$11*I147-H147^2</f>
        <v/>
      </c>
      <c r="L147">
        <f>IF(ABS(K147)&gt;1E-12,($H$11*J147-H147*$I$11)/K147,0)</f>
        <v/>
      </c>
      <c r="M147">
        <f>IF(ABS(K147)&gt;1E-12,(I147*$I$11-H147*J147)/K147,0)</f>
        <v/>
      </c>
      <c r="N147">
        <f>$J$11-M147*$I$11-L147*J147</f>
        <v/>
      </c>
      <c r="O147">
        <f>IF(AND(C147,ABS(K147)&gt;1E-12,L147&gt;0),N147,1E+300)</f>
        <v/>
      </c>
    </row>
    <row r="148">
      <c r="A148">
        <f>$K$11+($L$11-$K$11)*134/400</f>
        <v/>
      </c>
      <c r="B148">
        <f>SUMPRODUCT((Calc!$F$3:$F$22&lt;=LTP!$B$5)*Calc!$K$3:$K$22*(Calc!$G$3:$G$22&lt;=A148))</f>
        <v/>
      </c>
      <c r="C148">
        <f>AND(B148&gt;=2,$B$11-B148&gt;=2)</f>
        <v/>
      </c>
      <c r="D148">
        <f>SUMPRODUCT((Calc!$F$3:$F$22&lt;=LTP!$B$5)*Calc!$K$3:$K$22*(Calc!$G$3:$G$22&gt;A148)*(Calc!$G$3:$G$22-A148))</f>
        <v/>
      </c>
      <c r="E148">
        <f>SUMPRODUCT((Calc!$F$3:$F$22&lt;=LTP!$B$5)*Calc!$K$3:$K$22*(Calc!$G$3:$G$22&gt;A148)*(Calc!$G$3:$G$22-A148)^2)</f>
        <v/>
      </c>
      <c r="F148">
        <f>SUMPRODUCT((Calc!$F$3:$F$22&lt;=LTP!$B$5)*Calc!$K$3:$K$22*(Calc!$G$3:$G$22&gt;A148)*(Calc!$G$3:$G$22-A148)*Calc!$G$3:$G$22)</f>
        <v/>
      </c>
      <c r="G148">
        <f>SUMPRODUCT((Calc!$F$3:$F$22&lt;=LTP!$B$5)*Calc!$K$3:$K$22*(Calc!$G$3:$G$22&gt;A148)*(Calc!$G$3:$G$22-A148)*Calc!$I$3:$I$22)</f>
        <v/>
      </c>
      <c r="H148">
        <f>IF($B$11&gt;0,F148-$C$11*D148/$B$11,0)</f>
        <v/>
      </c>
      <c r="I148">
        <f>IF($B$11&gt;0,E148-D148^2/$B$11,0)</f>
        <v/>
      </c>
      <c r="J148">
        <f>IF($B$11&gt;0,G148-D148*$D$11/$B$11,0)</f>
        <v/>
      </c>
      <c r="K148">
        <f>$H$11*I148-H148^2</f>
        <v/>
      </c>
      <c r="L148">
        <f>IF(ABS(K148)&gt;1E-12,($H$11*J148-H148*$I$11)/K148,0)</f>
        <v/>
      </c>
      <c r="M148">
        <f>IF(ABS(K148)&gt;1E-12,(I148*$I$11-H148*J148)/K148,0)</f>
        <v/>
      </c>
      <c r="N148">
        <f>$J$11-M148*$I$11-L148*J148</f>
        <v/>
      </c>
      <c r="O148">
        <f>IF(AND(C148,ABS(K148)&gt;1E-12,L148&gt;0),N148,1E+300)</f>
        <v/>
      </c>
    </row>
    <row r="149">
      <c r="A149">
        <f>$K$11+($L$11-$K$11)*135/400</f>
        <v/>
      </c>
      <c r="B149">
        <f>SUMPRODUCT((Calc!$F$3:$F$22&lt;=LTP!$B$5)*Calc!$K$3:$K$22*(Calc!$G$3:$G$22&lt;=A149))</f>
        <v/>
      </c>
      <c r="C149">
        <f>AND(B149&gt;=2,$B$11-B149&gt;=2)</f>
        <v/>
      </c>
      <c r="D149">
        <f>SUMPRODUCT((Calc!$F$3:$F$22&lt;=LTP!$B$5)*Calc!$K$3:$K$22*(Calc!$G$3:$G$22&gt;A149)*(Calc!$G$3:$G$22-A149))</f>
        <v/>
      </c>
      <c r="E149">
        <f>SUMPRODUCT((Calc!$F$3:$F$22&lt;=LTP!$B$5)*Calc!$K$3:$K$22*(Calc!$G$3:$G$22&gt;A149)*(Calc!$G$3:$G$22-A149)^2)</f>
        <v/>
      </c>
      <c r="F149">
        <f>SUMPRODUCT((Calc!$F$3:$F$22&lt;=LTP!$B$5)*Calc!$K$3:$K$22*(Calc!$G$3:$G$22&gt;A149)*(Calc!$G$3:$G$22-A149)*Calc!$G$3:$G$22)</f>
        <v/>
      </c>
      <c r="G149">
        <f>SUMPRODUCT((Calc!$F$3:$F$22&lt;=LTP!$B$5)*Calc!$K$3:$K$22*(Calc!$G$3:$G$22&gt;A149)*(Calc!$G$3:$G$22-A149)*Calc!$I$3:$I$22)</f>
        <v/>
      </c>
      <c r="H149">
        <f>IF($B$11&gt;0,F149-$C$11*D149/$B$11,0)</f>
        <v/>
      </c>
      <c r="I149">
        <f>IF($B$11&gt;0,E149-D149^2/$B$11,0)</f>
        <v/>
      </c>
      <c r="J149">
        <f>IF($B$11&gt;0,G149-D149*$D$11/$B$11,0)</f>
        <v/>
      </c>
      <c r="K149">
        <f>$H$11*I149-H149^2</f>
        <v/>
      </c>
      <c r="L149">
        <f>IF(ABS(K149)&gt;1E-12,($H$11*J149-H149*$I$11)/K149,0)</f>
        <v/>
      </c>
      <c r="M149">
        <f>IF(ABS(K149)&gt;1E-12,(I149*$I$11-H149*J149)/K149,0)</f>
        <v/>
      </c>
      <c r="N149">
        <f>$J$11-M149*$I$11-L149*J149</f>
        <v/>
      </c>
      <c r="O149">
        <f>IF(AND(C149,ABS(K149)&gt;1E-12,L149&gt;0),N149,1E+300)</f>
        <v/>
      </c>
    </row>
    <row r="150">
      <c r="A150">
        <f>$K$11+($L$11-$K$11)*136/400</f>
        <v/>
      </c>
      <c r="B150">
        <f>SUMPRODUCT((Calc!$F$3:$F$22&lt;=LTP!$B$5)*Calc!$K$3:$K$22*(Calc!$G$3:$G$22&lt;=A150))</f>
        <v/>
      </c>
      <c r="C150">
        <f>AND(B150&gt;=2,$B$11-B150&gt;=2)</f>
        <v/>
      </c>
      <c r="D150">
        <f>SUMPRODUCT((Calc!$F$3:$F$22&lt;=LTP!$B$5)*Calc!$K$3:$K$22*(Calc!$G$3:$G$22&gt;A150)*(Calc!$G$3:$G$22-A150))</f>
        <v/>
      </c>
      <c r="E150">
        <f>SUMPRODUCT((Calc!$F$3:$F$22&lt;=LTP!$B$5)*Calc!$K$3:$K$22*(Calc!$G$3:$G$22&gt;A150)*(Calc!$G$3:$G$22-A150)^2)</f>
        <v/>
      </c>
      <c r="F150">
        <f>SUMPRODUCT((Calc!$F$3:$F$22&lt;=LTP!$B$5)*Calc!$K$3:$K$22*(Calc!$G$3:$G$22&gt;A150)*(Calc!$G$3:$G$22-A150)*Calc!$G$3:$G$22)</f>
        <v/>
      </c>
      <c r="G150">
        <f>SUMPRODUCT((Calc!$F$3:$F$22&lt;=LTP!$B$5)*Calc!$K$3:$K$22*(Calc!$G$3:$G$22&gt;A150)*(Calc!$G$3:$G$22-A150)*Calc!$I$3:$I$22)</f>
        <v/>
      </c>
      <c r="H150">
        <f>IF($B$11&gt;0,F150-$C$11*D150/$B$11,0)</f>
        <v/>
      </c>
      <c r="I150">
        <f>IF($B$11&gt;0,E150-D150^2/$B$11,0)</f>
        <v/>
      </c>
      <c r="J150">
        <f>IF($B$11&gt;0,G150-D150*$D$11/$B$11,0)</f>
        <v/>
      </c>
      <c r="K150">
        <f>$H$11*I150-H150^2</f>
        <v/>
      </c>
      <c r="L150">
        <f>IF(ABS(K150)&gt;1E-12,($H$11*J150-H150*$I$11)/K150,0)</f>
        <v/>
      </c>
      <c r="M150">
        <f>IF(ABS(K150)&gt;1E-12,(I150*$I$11-H150*J150)/K150,0)</f>
        <v/>
      </c>
      <c r="N150">
        <f>$J$11-M150*$I$11-L150*J150</f>
        <v/>
      </c>
      <c r="O150">
        <f>IF(AND(C150,ABS(K150)&gt;1E-12,L150&gt;0),N150,1E+300)</f>
        <v/>
      </c>
    </row>
    <row r="151">
      <c r="A151">
        <f>$K$11+($L$11-$K$11)*137/400</f>
        <v/>
      </c>
      <c r="B151">
        <f>SUMPRODUCT((Calc!$F$3:$F$22&lt;=LTP!$B$5)*Calc!$K$3:$K$22*(Calc!$G$3:$G$22&lt;=A151))</f>
        <v/>
      </c>
      <c r="C151">
        <f>AND(B151&gt;=2,$B$11-B151&gt;=2)</f>
        <v/>
      </c>
      <c r="D151">
        <f>SUMPRODUCT((Calc!$F$3:$F$22&lt;=LTP!$B$5)*Calc!$K$3:$K$22*(Calc!$G$3:$G$22&gt;A151)*(Calc!$G$3:$G$22-A151))</f>
        <v/>
      </c>
      <c r="E151">
        <f>SUMPRODUCT((Calc!$F$3:$F$22&lt;=LTP!$B$5)*Calc!$K$3:$K$22*(Calc!$G$3:$G$22&gt;A151)*(Calc!$G$3:$G$22-A151)^2)</f>
        <v/>
      </c>
      <c r="F151">
        <f>SUMPRODUCT((Calc!$F$3:$F$22&lt;=LTP!$B$5)*Calc!$K$3:$K$22*(Calc!$G$3:$G$22&gt;A151)*(Calc!$G$3:$G$22-A151)*Calc!$G$3:$G$22)</f>
        <v/>
      </c>
      <c r="G151">
        <f>SUMPRODUCT((Calc!$F$3:$F$22&lt;=LTP!$B$5)*Calc!$K$3:$K$22*(Calc!$G$3:$G$22&gt;A151)*(Calc!$G$3:$G$22-A151)*Calc!$I$3:$I$22)</f>
        <v/>
      </c>
      <c r="H151">
        <f>IF($B$11&gt;0,F151-$C$11*D151/$B$11,0)</f>
        <v/>
      </c>
      <c r="I151">
        <f>IF($B$11&gt;0,E151-D151^2/$B$11,0)</f>
        <v/>
      </c>
      <c r="J151">
        <f>IF($B$11&gt;0,G151-D151*$D$11/$B$11,0)</f>
        <v/>
      </c>
      <c r="K151">
        <f>$H$11*I151-H151^2</f>
        <v/>
      </c>
      <c r="L151">
        <f>IF(ABS(K151)&gt;1E-12,($H$11*J151-H151*$I$11)/K151,0)</f>
        <v/>
      </c>
      <c r="M151">
        <f>IF(ABS(K151)&gt;1E-12,(I151*$I$11-H151*J151)/K151,0)</f>
        <v/>
      </c>
      <c r="N151">
        <f>$J$11-M151*$I$11-L151*J151</f>
        <v/>
      </c>
      <c r="O151">
        <f>IF(AND(C151,ABS(K151)&gt;1E-12,L151&gt;0),N151,1E+300)</f>
        <v/>
      </c>
    </row>
    <row r="152">
      <c r="A152">
        <f>$K$11+($L$11-$K$11)*138/400</f>
        <v/>
      </c>
      <c r="B152">
        <f>SUMPRODUCT((Calc!$F$3:$F$22&lt;=LTP!$B$5)*Calc!$K$3:$K$22*(Calc!$G$3:$G$22&lt;=A152))</f>
        <v/>
      </c>
      <c r="C152">
        <f>AND(B152&gt;=2,$B$11-B152&gt;=2)</f>
        <v/>
      </c>
      <c r="D152">
        <f>SUMPRODUCT((Calc!$F$3:$F$22&lt;=LTP!$B$5)*Calc!$K$3:$K$22*(Calc!$G$3:$G$22&gt;A152)*(Calc!$G$3:$G$22-A152))</f>
        <v/>
      </c>
      <c r="E152">
        <f>SUMPRODUCT((Calc!$F$3:$F$22&lt;=LTP!$B$5)*Calc!$K$3:$K$22*(Calc!$G$3:$G$22&gt;A152)*(Calc!$G$3:$G$22-A152)^2)</f>
        <v/>
      </c>
      <c r="F152">
        <f>SUMPRODUCT((Calc!$F$3:$F$22&lt;=LTP!$B$5)*Calc!$K$3:$K$22*(Calc!$G$3:$G$22&gt;A152)*(Calc!$G$3:$G$22-A152)*Calc!$G$3:$G$22)</f>
        <v/>
      </c>
      <c r="G152">
        <f>SUMPRODUCT((Calc!$F$3:$F$22&lt;=LTP!$B$5)*Calc!$K$3:$K$22*(Calc!$G$3:$G$22&gt;A152)*(Calc!$G$3:$G$22-A152)*Calc!$I$3:$I$22)</f>
        <v/>
      </c>
      <c r="H152">
        <f>IF($B$11&gt;0,F152-$C$11*D152/$B$11,0)</f>
        <v/>
      </c>
      <c r="I152">
        <f>IF($B$11&gt;0,E152-D152^2/$B$11,0)</f>
        <v/>
      </c>
      <c r="J152">
        <f>IF($B$11&gt;0,G152-D152*$D$11/$B$11,0)</f>
        <v/>
      </c>
      <c r="K152">
        <f>$H$11*I152-H152^2</f>
        <v/>
      </c>
      <c r="L152">
        <f>IF(ABS(K152)&gt;1E-12,($H$11*J152-H152*$I$11)/K152,0)</f>
        <v/>
      </c>
      <c r="M152">
        <f>IF(ABS(K152)&gt;1E-12,(I152*$I$11-H152*J152)/K152,0)</f>
        <v/>
      </c>
      <c r="N152">
        <f>$J$11-M152*$I$11-L152*J152</f>
        <v/>
      </c>
      <c r="O152">
        <f>IF(AND(C152,ABS(K152)&gt;1E-12,L152&gt;0),N152,1E+300)</f>
        <v/>
      </c>
    </row>
    <row r="153">
      <c r="A153">
        <f>$K$11+($L$11-$K$11)*139/400</f>
        <v/>
      </c>
      <c r="B153">
        <f>SUMPRODUCT((Calc!$F$3:$F$22&lt;=LTP!$B$5)*Calc!$K$3:$K$22*(Calc!$G$3:$G$22&lt;=A153))</f>
        <v/>
      </c>
      <c r="C153">
        <f>AND(B153&gt;=2,$B$11-B153&gt;=2)</f>
        <v/>
      </c>
      <c r="D153">
        <f>SUMPRODUCT((Calc!$F$3:$F$22&lt;=LTP!$B$5)*Calc!$K$3:$K$22*(Calc!$G$3:$G$22&gt;A153)*(Calc!$G$3:$G$22-A153))</f>
        <v/>
      </c>
      <c r="E153">
        <f>SUMPRODUCT((Calc!$F$3:$F$22&lt;=LTP!$B$5)*Calc!$K$3:$K$22*(Calc!$G$3:$G$22&gt;A153)*(Calc!$G$3:$G$22-A153)^2)</f>
        <v/>
      </c>
      <c r="F153">
        <f>SUMPRODUCT((Calc!$F$3:$F$22&lt;=LTP!$B$5)*Calc!$K$3:$K$22*(Calc!$G$3:$G$22&gt;A153)*(Calc!$G$3:$G$22-A153)*Calc!$G$3:$G$22)</f>
        <v/>
      </c>
      <c r="G153">
        <f>SUMPRODUCT((Calc!$F$3:$F$22&lt;=LTP!$B$5)*Calc!$K$3:$K$22*(Calc!$G$3:$G$22&gt;A153)*(Calc!$G$3:$G$22-A153)*Calc!$I$3:$I$22)</f>
        <v/>
      </c>
      <c r="H153">
        <f>IF($B$11&gt;0,F153-$C$11*D153/$B$11,0)</f>
        <v/>
      </c>
      <c r="I153">
        <f>IF($B$11&gt;0,E153-D153^2/$B$11,0)</f>
        <v/>
      </c>
      <c r="J153">
        <f>IF($B$11&gt;0,G153-D153*$D$11/$B$11,0)</f>
        <v/>
      </c>
      <c r="K153">
        <f>$H$11*I153-H153^2</f>
        <v/>
      </c>
      <c r="L153">
        <f>IF(ABS(K153)&gt;1E-12,($H$11*J153-H153*$I$11)/K153,0)</f>
        <v/>
      </c>
      <c r="M153">
        <f>IF(ABS(K153)&gt;1E-12,(I153*$I$11-H153*J153)/K153,0)</f>
        <v/>
      </c>
      <c r="N153">
        <f>$J$11-M153*$I$11-L153*J153</f>
        <v/>
      </c>
      <c r="O153">
        <f>IF(AND(C153,ABS(K153)&gt;1E-12,L153&gt;0),N153,1E+300)</f>
        <v/>
      </c>
    </row>
    <row r="154">
      <c r="A154">
        <f>$K$11+($L$11-$K$11)*140/400</f>
        <v/>
      </c>
      <c r="B154">
        <f>SUMPRODUCT((Calc!$F$3:$F$22&lt;=LTP!$B$5)*Calc!$K$3:$K$22*(Calc!$G$3:$G$22&lt;=A154))</f>
        <v/>
      </c>
      <c r="C154">
        <f>AND(B154&gt;=2,$B$11-B154&gt;=2)</f>
        <v/>
      </c>
      <c r="D154">
        <f>SUMPRODUCT((Calc!$F$3:$F$22&lt;=LTP!$B$5)*Calc!$K$3:$K$22*(Calc!$G$3:$G$22&gt;A154)*(Calc!$G$3:$G$22-A154))</f>
        <v/>
      </c>
      <c r="E154">
        <f>SUMPRODUCT((Calc!$F$3:$F$22&lt;=LTP!$B$5)*Calc!$K$3:$K$22*(Calc!$G$3:$G$22&gt;A154)*(Calc!$G$3:$G$22-A154)^2)</f>
        <v/>
      </c>
      <c r="F154">
        <f>SUMPRODUCT((Calc!$F$3:$F$22&lt;=LTP!$B$5)*Calc!$K$3:$K$22*(Calc!$G$3:$G$22&gt;A154)*(Calc!$G$3:$G$22-A154)*Calc!$G$3:$G$22)</f>
        <v/>
      </c>
      <c r="G154">
        <f>SUMPRODUCT((Calc!$F$3:$F$22&lt;=LTP!$B$5)*Calc!$K$3:$K$22*(Calc!$G$3:$G$22&gt;A154)*(Calc!$G$3:$G$22-A154)*Calc!$I$3:$I$22)</f>
        <v/>
      </c>
      <c r="H154">
        <f>IF($B$11&gt;0,F154-$C$11*D154/$B$11,0)</f>
        <v/>
      </c>
      <c r="I154">
        <f>IF($B$11&gt;0,E154-D154^2/$B$11,0)</f>
        <v/>
      </c>
      <c r="J154">
        <f>IF($B$11&gt;0,G154-D154*$D$11/$B$11,0)</f>
        <v/>
      </c>
      <c r="K154">
        <f>$H$11*I154-H154^2</f>
        <v/>
      </c>
      <c r="L154">
        <f>IF(ABS(K154)&gt;1E-12,($H$11*J154-H154*$I$11)/K154,0)</f>
        <v/>
      </c>
      <c r="M154">
        <f>IF(ABS(K154)&gt;1E-12,(I154*$I$11-H154*J154)/K154,0)</f>
        <v/>
      </c>
      <c r="N154">
        <f>$J$11-M154*$I$11-L154*J154</f>
        <v/>
      </c>
      <c r="O154">
        <f>IF(AND(C154,ABS(K154)&gt;1E-12,L154&gt;0),N154,1E+300)</f>
        <v/>
      </c>
    </row>
    <row r="155">
      <c r="A155">
        <f>$K$11+($L$11-$K$11)*141/400</f>
        <v/>
      </c>
      <c r="B155">
        <f>SUMPRODUCT((Calc!$F$3:$F$22&lt;=LTP!$B$5)*Calc!$K$3:$K$22*(Calc!$G$3:$G$22&lt;=A155))</f>
        <v/>
      </c>
      <c r="C155">
        <f>AND(B155&gt;=2,$B$11-B155&gt;=2)</f>
        <v/>
      </c>
      <c r="D155">
        <f>SUMPRODUCT((Calc!$F$3:$F$22&lt;=LTP!$B$5)*Calc!$K$3:$K$22*(Calc!$G$3:$G$22&gt;A155)*(Calc!$G$3:$G$22-A155))</f>
        <v/>
      </c>
      <c r="E155">
        <f>SUMPRODUCT((Calc!$F$3:$F$22&lt;=LTP!$B$5)*Calc!$K$3:$K$22*(Calc!$G$3:$G$22&gt;A155)*(Calc!$G$3:$G$22-A155)^2)</f>
        <v/>
      </c>
      <c r="F155">
        <f>SUMPRODUCT((Calc!$F$3:$F$22&lt;=LTP!$B$5)*Calc!$K$3:$K$22*(Calc!$G$3:$G$22&gt;A155)*(Calc!$G$3:$G$22-A155)*Calc!$G$3:$G$22)</f>
        <v/>
      </c>
      <c r="G155">
        <f>SUMPRODUCT((Calc!$F$3:$F$22&lt;=LTP!$B$5)*Calc!$K$3:$K$22*(Calc!$G$3:$G$22&gt;A155)*(Calc!$G$3:$G$22-A155)*Calc!$I$3:$I$22)</f>
        <v/>
      </c>
      <c r="H155">
        <f>IF($B$11&gt;0,F155-$C$11*D155/$B$11,0)</f>
        <v/>
      </c>
      <c r="I155">
        <f>IF($B$11&gt;0,E155-D155^2/$B$11,0)</f>
        <v/>
      </c>
      <c r="J155">
        <f>IF($B$11&gt;0,G155-D155*$D$11/$B$11,0)</f>
        <v/>
      </c>
      <c r="K155">
        <f>$H$11*I155-H155^2</f>
        <v/>
      </c>
      <c r="L155">
        <f>IF(ABS(K155)&gt;1E-12,($H$11*J155-H155*$I$11)/K155,0)</f>
        <v/>
      </c>
      <c r="M155">
        <f>IF(ABS(K155)&gt;1E-12,(I155*$I$11-H155*J155)/K155,0)</f>
        <v/>
      </c>
      <c r="N155">
        <f>$J$11-M155*$I$11-L155*J155</f>
        <v/>
      </c>
      <c r="O155">
        <f>IF(AND(C155,ABS(K155)&gt;1E-12,L155&gt;0),N155,1E+300)</f>
        <v/>
      </c>
    </row>
    <row r="156">
      <c r="A156">
        <f>$K$11+($L$11-$K$11)*142/400</f>
        <v/>
      </c>
      <c r="B156">
        <f>SUMPRODUCT((Calc!$F$3:$F$22&lt;=LTP!$B$5)*Calc!$K$3:$K$22*(Calc!$G$3:$G$22&lt;=A156))</f>
        <v/>
      </c>
      <c r="C156">
        <f>AND(B156&gt;=2,$B$11-B156&gt;=2)</f>
        <v/>
      </c>
      <c r="D156">
        <f>SUMPRODUCT((Calc!$F$3:$F$22&lt;=LTP!$B$5)*Calc!$K$3:$K$22*(Calc!$G$3:$G$22&gt;A156)*(Calc!$G$3:$G$22-A156))</f>
        <v/>
      </c>
      <c r="E156">
        <f>SUMPRODUCT((Calc!$F$3:$F$22&lt;=LTP!$B$5)*Calc!$K$3:$K$22*(Calc!$G$3:$G$22&gt;A156)*(Calc!$G$3:$G$22-A156)^2)</f>
        <v/>
      </c>
      <c r="F156">
        <f>SUMPRODUCT((Calc!$F$3:$F$22&lt;=LTP!$B$5)*Calc!$K$3:$K$22*(Calc!$G$3:$G$22&gt;A156)*(Calc!$G$3:$G$22-A156)*Calc!$G$3:$G$22)</f>
        <v/>
      </c>
      <c r="G156">
        <f>SUMPRODUCT((Calc!$F$3:$F$22&lt;=LTP!$B$5)*Calc!$K$3:$K$22*(Calc!$G$3:$G$22&gt;A156)*(Calc!$G$3:$G$22-A156)*Calc!$I$3:$I$22)</f>
        <v/>
      </c>
      <c r="H156">
        <f>IF($B$11&gt;0,F156-$C$11*D156/$B$11,0)</f>
        <v/>
      </c>
      <c r="I156">
        <f>IF($B$11&gt;0,E156-D156^2/$B$11,0)</f>
        <v/>
      </c>
      <c r="J156">
        <f>IF($B$11&gt;0,G156-D156*$D$11/$B$11,0)</f>
        <v/>
      </c>
      <c r="K156">
        <f>$H$11*I156-H156^2</f>
        <v/>
      </c>
      <c r="L156">
        <f>IF(ABS(K156)&gt;1E-12,($H$11*J156-H156*$I$11)/K156,0)</f>
        <v/>
      </c>
      <c r="M156">
        <f>IF(ABS(K156)&gt;1E-12,(I156*$I$11-H156*J156)/K156,0)</f>
        <v/>
      </c>
      <c r="N156">
        <f>$J$11-M156*$I$11-L156*J156</f>
        <v/>
      </c>
      <c r="O156">
        <f>IF(AND(C156,ABS(K156)&gt;1E-12,L156&gt;0),N156,1E+300)</f>
        <v/>
      </c>
    </row>
    <row r="157">
      <c r="A157">
        <f>$K$11+($L$11-$K$11)*143/400</f>
        <v/>
      </c>
      <c r="B157">
        <f>SUMPRODUCT((Calc!$F$3:$F$22&lt;=LTP!$B$5)*Calc!$K$3:$K$22*(Calc!$G$3:$G$22&lt;=A157))</f>
        <v/>
      </c>
      <c r="C157">
        <f>AND(B157&gt;=2,$B$11-B157&gt;=2)</f>
        <v/>
      </c>
      <c r="D157">
        <f>SUMPRODUCT((Calc!$F$3:$F$22&lt;=LTP!$B$5)*Calc!$K$3:$K$22*(Calc!$G$3:$G$22&gt;A157)*(Calc!$G$3:$G$22-A157))</f>
        <v/>
      </c>
      <c r="E157">
        <f>SUMPRODUCT((Calc!$F$3:$F$22&lt;=LTP!$B$5)*Calc!$K$3:$K$22*(Calc!$G$3:$G$22&gt;A157)*(Calc!$G$3:$G$22-A157)^2)</f>
        <v/>
      </c>
      <c r="F157">
        <f>SUMPRODUCT((Calc!$F$3:$F$22&lt;=LTP!$B$5)*Calc!$K$3:$K$22*(Calc!$G$3:$G$22&gt;A157)*(Calc!$G$3:$G$22-A157)*Calc!$G$3:$G$22)</f>
        <v/>
      </c>
      <c r="G157">
        <f>SUMPRODUCT((Calc!$F$3:$F$22&lt;=LTP!$B$5)*Calc!$K$3:$K$22*(Calc!$G$3:$G$22&gt;A157)*(Calc!$G$3:$G$22-A157)*Calc!$I$3:$I$22)</f>
        <v/>
      </c>
      <c r="H157">
        <f>IF($B$11&gt;0,F157-$C$11*D157/$B$11,0)</f>
        <v/>
      </c>
      <c r="I157">
        <f>IF($B$11&gt;0,E157-D157^2/$B$11,0)</f>
        <v/>
      </c>
      <c r="J157">
        <f>IF($B$11&gt;0,G157-D157*$D$11/$B$11,0)</f>
        <v/>
      </c>
      <c r="K157">
        <f>$H$11*I157-H157^2</f>
        <v/>
      </c>
      <c r="L157">
        <f>IF(ABS(K157)&gt;1E-12,($H$11*J157-H157*$I$11)/K157,0)</f>
        <v/>
      </c>
      <c r="M157">
        <f>IF(ABS(K157)&gt;1E-12,(I157*$I$11-H157*J157)/K157,0)</f>
        <v/>
      </c>
      <c r="N157">
        <f>$J$11-M157*$I$11-L157*J157</f>
        <v/>
      </c>
      <c r="O157">
        <f>IF(AND(C157,ABS(K157)&gt;1E-12,L157&gt;0),N157,1E+300)</f>
        <v/>
      </c>
    </row>
    <row r="158">
      <c r="A158">
        <f>$K$11+($L$11-$K$11)*144/400</f>
        <v/>
      </c>
      <c r="B158">
        <f>SUMPRODUCT((Calc!$F$3:$F$22&lt;=LTP!$B$5)*Calc!$K$3:$K$22*(Calc!$G$3:$G$22&lt;=A158))</f>
        <v/>
      </c>
      <c r="C158">
        <f>AND(B158&gt;=2,$B$11-B158&gt;=2)</f>
        <v/>
      </c>
      <c r="D158">
        <f>SUMPRODUCT((Calc!$F$3:$F$22&lt;=LTP!$B$5)*Calc!$K$3:$K$22*(Calc!$G$3:$G$22&gt;A158)*(Calc!$G$3:$G$22-A158))</f>
        <v/>
      </c>
      <c r="E158">
        <f>SUMPRODUCT((Calc!$F$3:$F$22&lt;=LTP!$B$5)*Calc!$K$3:$K$22*(Calc!$G$3:$G$22&gt;A158)*(Calc!$G$3:$G$22-A158)^2)</f>
        <v/>
      </c>
      <c r="F158">
        <f>SUMPRODUCT((Calc!$F$3:$F$22&lt;=LTP!$B$5)*Calc!$K$3:$K$22*(Calc!$G$3:$G$22&gt;A158)*(Calc!$G$3:$G$22-A158)*Calc!$G$3:$G$22)</f>
        <v/>
      </c>
      <c r="G158">
        <f>SUMPRODUCT((Calc!$F$3:$F$22&lt;=LTP!$B$5)*Calc!$K$3:$K$22*(Calc!$G$3:$G$22&gt;A158)*(Calc!$G$3:$G$22-A158)*Calc!$I$3:$I$22)</f>
        <v/>
      </c>
      <c r="H158">
        <f>IF($B$11&gt;0,F158-$C$11*D158/$B$11,0)</f>
        <v/>
      </c>
      <c r="I158">
        <f>IF($B$11&gt;0,E158-D158^2/$B$11,0)</f>
        <v/>
      </c>
      <c r="J158">
        <f>IF($B$11&gt;0,G158-D158*$D$11/$B$11,0)</f>
        <v/>
      </c>
      <c r="K158">
        <f>$H$11*I158-H158^2</f>
        <v/>
      </c>
      <c r="L158">
        <f>IF(ABS(K158)&gt;1E-12,($H$11*J158-H158*$I$11)/K158,0)</f>
        <v/>
      </c>
      <c r="M158">
        <f>IF(ABS(K158)&gt;1E-12,(I158*$I$11-H158*J158)/K158,0)</f>
        <v/>
      </c>
      <c r="N158">
        <f>$J$11-M158*$I$11-L158*J158</f>
        <v/>
      </c>
      <c r="O158">
        <f>IF(AND(C158,ABS(K158)&gt;1E-12,L158&gt;0),N158,1E+300)</f>
        <v/>
      </c>
    </row>
    <row r="159">
      <c r="A159">
        <f>$K$11+($L$11-$K$11)*145/400</f>
        <v/>
      </c>
      <c r="B159">
        <f>SUMPRODUCT((Calc!$F$3:$F$22&lt;=LTP!$B$5)*Calc!$K$3:$K$22*(Calc!$G$3:$G$22&lt;=A159))</f>
        <v/>
      </c>
      <c r="C159">
        <f>AND(B159&gt;=2,$B$11-B159&gt;=2)</f>
        <v/>
      </c>
      <c r="D159">
        <f>SUMPRODUCT((Calc!$F$3:$F$22&lt;=LTP!$B$5)*Calc!$K$3:$K$22*(Calc!$G$3:$G$22&gt;A159)*(Calc!$G$3:$G$22-A159))</f>
        <v/>
      </c>
      <c r="E159">
        <f>SUMPRODUCT((Calc!$F$3:$F$22&lt;=LTP!$B$5)*Calc!$K$3:$K$22*(Calc!$G$3:$G$22&gt;A159)*(Calc!$G$3:$G$22-A159)^2)</f>
        <v/>
      </c>
      <c r="F159">
        <f>SUMPRODUCT((Calc!$F$3:$F$22&lt;=LTP!$B$5)*Calc!$K$3:$K$22*(Calc!$G$3:$G$22&gt;A159)*(Calc!$G$3:$G$22-A159)*Calc!$G$3:$G$22)</f>
        <v/>
      </c>
      <c r="G159">
        <f>SUMPRODUCT((Calc!$F$3:$F$22&lt;=LTP!$B$5)*Calc!$K$3:$K$22*(Calc!$G$3:$G$22&gt;A159)*(Calc!$G$3:$G$22-A159)*Calc!$I$3:$I$22)</f>
        <v/>
      </c>
      <c r="H159">
        <f>IF($B$11&gt;0,F159-$C$11*D159/$B$11,0)</f>
        <v/>
      </c>
      <c r="I159">
        <f>IF($B$11&gt;0,E159-D159^2/$B$11,0)</f>
        <v/>
      </c>
      <c r="J159">
        <f>IF($B$11&gt;0,G159-D159*$D$11/$B$11,0)</f>
        <v/>
      </c>
      <c r="K159">
        <f>$H$11*I159-H159^2</f>
        <v/>
      </c>
      <c r="L159">
        <f>IF(ABS(K159)&gt;1E-12,($H$11*J159-H159*$I$11)/K159,0)</f>
        <v/>
      </c>
      <c r="M159">
        <f>IF(ABS(K159)&gt;1E-12,(I159*$I$11-H159*J159)/K159,0)</f>
        <v/>
      </c>
      <c r="N159">
        <f>$J$11-M159*$I$11-L159*J159</f>
        <v/>
      </c>
      <c r="O159">
        <f>IF(AND(C159,ABS(K159)&gt;1E-12,L159&gt;0),N159,1E+300)</f>
        <v/>
      </c>
    </row>
    <row r="160">
      <c r="A160">
        <f>$K$11+($L$11-$K$11)*146/400</f>
        <v/>
      </c>
      <c r="B160">
        <f>SUMPRODUCT((Calc!$F$3:$F$22&lt;=LTP!$B$5)*Calc!$K$3:$K$22*(Calc!$G$3:$G$22&lt;=A160))</f>
        <v/>
      </c>
      <c r="C160">
        <f>AND(B160&gt;=2,$B$11-B160&gt;=2)</f>
        <v/>
      </c>
      <c r="D160">
        <f>SUMPRODUCT((Calc!$F$3:$F$22&lt;=LTP!$B$5)*Calc!$K$3:$K$22*(Calc!$G$3:$G$22&gt;A160)*(Calc!$G$3:$G$22-A160))</f>
        <v/>
      </c>
      <c r="E160">
        <f>SUMPRODUCT((Calc!$F$3:$F$22&lt;=LTP!$B$5)*Calc!$K$3:$K$22*(Calc!$G$3:$G$22&gt;A160)*(Calc!$G$3:$G$22-A160)^2)</f>
        <v/>
      </c>
      <c r="F160">
        <f>SUMPRODUCT((Calc!$F$3:$F$22&lt;=LTP!$B$5)*Calc!$K$3:$K$22*(Calc!$G$3:$G$22&gt;A160)*(Calc!$G$3:$G$22-A160)*Calc!$G$3:$G$22)</f>
        <v/>
      </c>
      <c r="G160">
        <f>SUMPRODUCT((Calc!$F$3:$F$22&lt;=LTP!$B$5)*Calc!$K$3:$K$22*(Calc!$G$3:$G$22&gt;A160)*(Calc!$G$3:$G$22-A160)*Calc!$I$3:$I$22)</f>
        <v/>
      </c>
      <c r="H160">
        <f>IF($B$11&gt;0,F160-$C$11*D160/$B$11,0)</f>
        <v/>
      </c>
      <c r="I160">
        <f>IF($B$11&gt;0,E160-D160^2/$B$11,0)</f>
        <v/>
      </c>
      <c r="J160">
        <f>IF($B$11&gt;0,G160-D160*$D$11/$B$11,0)</f>
        <v/>
      </c>
      <c r="K160">
        <f>$H$11*I160-H160^2</f>
        <v/>
      </c>
      <c r="L160">
        <f>IF(ABS(K160)&gt;1E-12,($H$11*J160-H160*$I$11)/K160,0)</f>
        <v/>
      </c>
      <c r="M160">
        <f>IF(ABS(K160)&gt;1E-12,(I160*$I$11-H160*J160)/K160,0)</f>
        <v/>
      </c>
      <c r="N160">
        <f>$J$11-M160*$I$11-L160*J160</f>
        <v/>
      </c>
      <c r="O160">
        <f>IF(AND(C160,ABS(K160)&gt;1E-12,L160&gt;0),N160,1E+300)</f>
        <v/>
      </c>
    </row>
    <row r="161">
      <c r="A161">
        <f>$K$11+($L$11-$K$11)*147/400</f>
        <v/>
      </c>
      <c r="B161">
        <f>SUMPRODUCT((Calc!$F$3:$F$22&lt;=LTP!$B$5)*Calc!$K$3:$K$22*(Calc!$G$3:$G$22&lt;=A161))</f>
        <v/>
      </c>
      <c r="C161">
        <f>AND(B161&gt;=2,$B$11-B161&gt;=2)</f>
        <v/>
      </c>
      <c r="D161">
        <f>SUMPRODUCT((Calc!$F$3:$F$22&lt;=LTP!$B$5)*Calc!$K$3:$K$22*(Calc!$G$3:$G$22&gt;A161)*(Calc!$G$3:$G$22-A161))</f>
        <v/>
      </c>
      <c r="E161">
        <f>SUMPRODUCT((Calc!$F$3:$F$22&lt;=LTP!$B$5)*Calc!$K$3:$K$22*(Calc!$G$3:$G$22&gt;A161)*(Calc!$G$3:$G$22-A161)^2)</f>
        <v/>
      </c>
      <c r="F161">
        <f>SUMPRODUCT((Calc!$F$3:$F$22&lt;=LTP!$B$5)*Calc!$K$3:$K$22*(Calc!$G$3:$G$22&gt;A161)*(Calc!$G$3:$G$22-A161)*Calc!$G$3:$G$22)</f>
        <v/>
      </c>
      <c r="G161">
        <f>SUMPRODUCT((Calc!$F$3:$F$22&lt;=LTP!$B$5)*Calc!$K$3:$K$22*(Calc!$G$3:$G$22&gt;A161)*(Calc!$G$3:$G$22-A161)*Calc!$I$3:$I$22)</f>
        <v/>
      </c>
      <c r="H161">
        <f>IF($B$11&gt;0,F161-$C$11*D161/$B$11,0)</f>
        <v/>
      </c>
      <c r="I161">
        <f>IF($B$11&gt;0,E161-D161^2/$B$11,0)</f>
        <v/>
      </c>
      <c r="J161">
        <f>IF($B$11&gt;0,G161-D161*$D$11/$B$11,0)</f>
        <v/>
      </c>
      <c r="K161">
        <f>$H$11*I161-H161^2</f>
        <v/>
      </c>
      <c r="L161">
        <f>IF(ABS(K161)&gt;1E-12,($H$11*J161-H161*$I$11)/K161,0)</f>
        <v/>
      </c>
      <c r="M161">
        <f>IF(ABS(K161)&gt;1E-12,(I161*$I$11-H161*J161)/K161,0)</f>
        <v/>
      </c>
      <c r="N161">
        <f>$J$11-M161*$I$11-L161*J161</f>
        <v/>
      </c>
      <c r="O161">
        <f>IF(AND(C161,ABS(K161)&gt;1E-12,L161&gt;0),N161,1E+300)</f>
        <v/>
      </c>
    </row>
    <row r="162">
      <c r="A162">
        <f>$K$11+($L$11-$K$11)*148/400</f>
        <v/>
      </c>
      <c r="B162">
        <f>SUMPRODUCT((Calc!$F$3:$F$22&lt;=LTP!$B$5)*Calc!$K$3:$K$22*(Calc!$G$3:$G$22&lt;=A162))</f>
        <v/>
      </c>
      <c r="C162">
        <f>AND(B162&gt;=2,$B$11-B162&gt;=2)</f>
        <v/>
      </c>
      <c r="D162">
        <f>SUMPRODUCT((Calc!$F$3:$F$22&lt;=LTP!$B$5)*Calc!$K$3:$K$22*(Calc!$G$3:$G$22&gt;A162)*(Calc!$G$3:$G$22-A162))</f>
        <v/>
      </c>
      <c r="E162">
        <f>SUMPRODUCT((Calc!$F$3:$F$22&lt;=LTP!$B$5)*Calc!$K$3:$K$22*(Calc!$G$3:$G$22&gt;A162)*(Calc!$G$3:$G$22-A162)^2)</f>
        <v/>
      </c>
      <c r="F162">
        <f>SUMPRODUCT((Calc!$F$3:$F$22&lt;=LTP!$B$5)*Calc!$K$3:$K$22*(Calc!$G$3:$G$22&gt;A162)*(Calc!$G$3:$G$22-A162)*Calc!$G$3:$G$22)</f>
        <v/>
      </c>
      <c r="G162">
        <f>SUMPRODUCT((Calc!$F$3:$F$22&lt;=LTP!$B$5)*Calc!$K$3:$K$22*(Calc!$G$3:$G$22&gt;A162)*(Calc!$G$3:$G$22-A162)*Calc!$I$3:$I$22)</f>
        <v/>
      </c>
      <c r="H162">
        <f>IF($B$11&gt;0,F162-$C$11*D162/$B$11,0)</f>
        <v/>
      </c>
      <c r="I162">
        <f>IF($B$11&gt;0,E162-D162^2/$B$11,0)</f>
        <v/>
      </c>
      <c r="J162">
        <f>IF($B$11&gt;0,G162-D162*$D$11/$B$11,0)</f>
        <v/>
      </c>
      <c r="K162">
        <f>$H$11*I162-H162^2</f>
        <v/>
      </c>
      <c r="L162">
        <f>IF(ABS(K162)&gt;1E-12,($H$11*J162-H162*$I$11)/K162,0)</f>
        <v/>
      </c>
      <c r="M162">
        <f>IF(ABS(K162)&gt;1E-12,(I162*$I$11-H162*J162)/K162,0)</f>
        <v/>
      </c>
      <c r="N162">
        <f>$J$11-M162*$I$11-L162*J162</f>
        <v/>
      </c>
      <c r="O162">
        <f>IF(AND(C162,ABS(K162)&gt;1E-12,L162&gt;0),N162,1E+300)</f>
        <v/>
      </c>
    </row>
    <row r="163">
      <c r="A163">
        <f>$K$11+($L$11-$K$11)*149/400</f>
        <v/>
      </c>
      <c r="B163">
        <f>SUMPRODUCT((Calc!$F$3:$F$22&lt;=LTP!$B$5)*Calc!$K$3:$K$22*(Calc!$G$3:$G$22&lt;=A163))</f>
        <v/>
      </c>
      <c r="C163">
        <f>AND(B163&gt;=2,$B$11-B163&gt;=2)</f>
        <v/>
      </c>
      <c r="D163">
        <f>SUMPRODUCT((Calc!$F$3:$F$22&lt;=LTP!$B$5)*Calc!$K$3:$K$22*(Calc!$G$3:$G$22&gt;A163)*(Calc!$G$3:$G$22-A163))</f>
        <v/>
      </c>
      <c r="E163">
        <f>SUMPRODUCT((Calc!$F$3:$F$22&lt;=LTP!$B$5)*Calc!$K$3:$K$22*(Calc!$G$3:$G$22&gt;A163)*(Calc!$G$3:$G$22-A163)^2)</f>
        <v/>
      </c>
      <c r="F163">
        <f>SUMPRODUCT((Calc!$F$3:$F$22&lt;=LTP!$B$5)*Calc!$K$3:$K$22*(Calc!$G$3:$G$22&gt;A163)*(Calc!$G$3:$G$22-A163)*Calc!$G$3:$G$22)</f>
        <v/>
      </c>
      <c r="G163">
        <f>SUMPRODUCT((Calc!$F$3:$F$22&lt;=LTP!$B$5)*Calc!$K$3:$K$22*(Calc!$G$3:$G$22&gt;A163)*(Calc!$G$3:$G$22-A163)*Calc!$I$3:$I$22)</f>
        <v/>
      </c>
      <c r="H163">
        <f>IF($B$11&gt;0,F163-$C$11*D163/$B$11,0)</f>
        <v/>
      </c>
      <c r="I163">
        <f>IF($B$11&gt;0,E163-D163^2/$B$11,0)</f>
        <v/>
      </c>
      <c r="J163">
        <f>IF($B$11&gt;0,G163-D163*$D$11/$B$11,0)</f>
        <v/>
      </c>
      <c r="K163">
        <f>$H$11*I163-H163^2</f>
        <v/>
      </c>
      <c r="L163">
        <f>IF(ABS(K163)&gt;1E-12,($H$11*J163-H163*$I$11)/K163,0)</f>
        <v/>
      </c>
      <c r="M163">
        <f>IF(ABS(K163)&gt;1E-12,(I163*$I$11-H163*J163)/K163,0)</f>
        <v/>
      </c>
      <c r="N163">
        <f>$J$11-M163*$I$11-L163*J163</f>
        <v/>
      </c>
      <c r="O163">
        <f>IF(AND(C163,ABS(K163)&gt;1E-12,L163&gt;0),N163,1E+300)</f>
        <v/>
      </c>
    </row>
    <row r="164">
      <c r="A164">
        <f>$K$11+($L$11-$K$11)*150/400</f>
        <v/>
      </c>
      <c r="B164">
        <f>SUMPRODUCT((Calc!$F$3:$F$22&lt;=LTP!$B$5)*Calc!$K$3:$K$22*(Calc!$G$3:$G$22&lt;=A164))</f>
        <v/>
      </c>
      <c r="C164">
        <f>AND(B164&gt;=2,$B$11-B164&gt;=2)</f>
        <v/>
      </c>
      <c r="D164">
        <f>SUMPRODUCT((Calc!$F$3:$F$22&lt;=LTP!$B$5)*Calc!$K$3:$K$22*(Calc!$G$3:$G$22&gt;A164)*(Calc!$G$3:$G$22-A164))</f>
        <v/>
      </c>
      <c r="E164">
        <f>SUMPRODUCT((Calc!$F$3:$F$22&lt;=LTP!$B$5)*Calc!$K$3:$K$22*(Calc!$G$3:$G$22&gt;A164)*(Calc!$G$3:$G$22-A164)^2)</f>
        <v/>
      </c>
      <c r="F164">
        <f>SUMPRODUCT((Calc!$F$3:$F$22&lt;=LTP!$B$5)*Calc!$K$3:$K$22*(Calc!$G$3:$G$22&gt;A164)*(Calc!$G$3:$G$22-A164)*Calc!$G$3:$G$22)</f>
        <v/>
      </c>
      <c r="G164">
        <f>SUMPRODUCT((Calc!$F$3:$F$22&lt;=LTP!$B$5)*Calc!$K$3:$K$22*(Calc!$G$3:$G$22&gt;A164)*(Calc!$G$3:$G$22-A164)*Calc!$I$3:$I$22)</f>
        <v/>
      </c>
      <c r="H164">
        <f>IF($B$11&gt;0,F164-$C$11*D164/$B$11,0)</f>
        <v/>
      </c>
      <c r="I164">
        <f>IF($B$11&gt;0,E164-D164^2/$B$11,0)</f>
        <v/>
      </c>
      <c r="J164">
        <f>IF($B$11&gt;0,G164-D164*$D$11/$B$11,0)</f>
        <v/>
      </c>
      <c r="K164">
        <f>$H$11*I164-H164^2</f>
        <v/>
      </c>
      <c r="L164">
        <f>IF(ABS(K164)&gt;1E-12,($H$11*J164-H164*$I$11)/K164,0)</f>
        <v/>
      </c>
      <c r="M164">
        <f>IF(ABS(K164)&gt;1E-12,(I164*$I$11-H164*J164)/K164,0)</f>
        <v/>
      </c>
      <c r="N164">
        <f>$J$11-M164*$I$11-L164*J164</f>
        <v/>
      </c>
      <c r="O164">
        <f>IF(AND(C164,ABS(K164)&gt;1E-12,L164&gt;0),N164,1E+300)</f>
        <v/>
      </c>
    </row>
    <row r="165">
      <c r="A165">
        <f>$K$11+($L$11-$K$11)*151/400</f>
        <v/>
      </c>
      <c r="B165">
        <f>SUMPRODUCT((Calc!$F$3:$F$22&lt;=LTP!$B$5)*Calc!$K$3:$K$22*(Calc!$G$3:$G$22&lt;=A165))</f>
        <v/>
      </c>
      <c r="C165">
        <f>AND(B165&gt;=2,$B$11-B165&gt;=2)</f>
        <v/>
      </c>
      <c r="D165">
        <f>SUMPRODUCT((Calc!$F$3:$F$22&lt;=LTP!$B$5)*Calc!$K$3:$K$22*(Calc!$G$3:$G$22&gt;A165)*(Calc!$G$3:$G$22-A165))</f>
        <v/>
      </c>
      <c r="E165">
        <f>SUMPRODUCT((Calc!$F$3:$F$22&lt;=LTP!$B$5)*Calc!$K$3:$K$22*(Calc!$G$3:$G$22&gt;A165)*(Calc!$G$3:$G$22-A165)^2)</f>
        <v/>
      </c>
      <c r="F165">
        <f>SUMPRODUCT((Calc!$F$3:$F$22&lt;=LTP!$B$5)*Calc!$K$3:$K$22*(Calc!$G$3:$G$22&gt;A165)*(Calc!$G$3:$G$22-A165)*Calc!$G$3:$G$22)</f>
        <v/>
      </c>
      <c r="G165">
        <f>SUMPRODUCT((Calc!$F$3:$F$22&lt;=LTP!$B$5)*Calc!$K$3:$K$22*(Calc!$G$3:$G$22&gt;A165)*(Calc!$G$3:$G$22-A165)*Calc!$I$3:$I$22)</f>
        <v/>
      </c>
      <c r="H165">
        <f>IF($B$11&gt;0,F165-$C$11*D165/$B$11,0)</f>
        <v/>
      </c>
      <c r="I165">
        <f>IF($B$11&gt;0,E165-D165^2/$B$11,0)</f>
        <v/>
      </c>
      <c r="J165">
        <f>IF($B$11&gt;0,G165-D165*$D$11/$B$11,0)</f>
        <v/>
      </c>
      <c r="K165">
        <f>$H$11*I165-H165^2</f>
        <v/>
      </c>
      <c r="L165">
        <f>IF(ABS(K165)&gt;1E-12,($H$11*J165-H165*$I$11)/K165,0)</f>
        <v/>
      </c>
      <c r="M165">
        <f>IF(ABS(K165)&gt;1E-12,(I165*$I$11-H165*J165)/K165,0)</f>
        <v/>
      </c>
      <c r="N165">
        <f>$J$11-M165*$I$11-L165*J165</f>
        <v/>
      </c>
      <c r="O165">
        <f>IF(AND(C165,ABS(K165)&gt;1E-12,L165&gt;0),N165,1E+300)</f>
        <v/>
      </c>
    </row>
    <row r="166">
      <c r="A166">
        <f>$K$11+($L$11-$K$11)*152/400</f>
        <v/>
      </c>
      <c r="B166">
        <f>SUMPRODUCT((Calc!$F$3:$F$22&lt;=LTP!$B$5)*Calc!$K$3:$K$22*(Calc!$G$3:$G$22&lt;=A166))</f>
        <v/>
      </c>
      <c r="C166">
        <f>AND(B166&gt;=2,$B$11-B166&gt;=2)</f>
        <v/>
      </c>
      <c r="D166">
        <f>SUMPRODUCT((Calc!$F$3:$F$22&lt;=LTP!$B$5)*Calc!$K$3:$K$22*(Calc!$G$3:$G$22&gt;A166)*(Calc!$G$3:$G$22-A166))</f>
        <v/>
      </c>
      <c r="E166">
        <f>SUMPRODUCT((Calc!$F$3:$F$22&lt;=LTP!$B$5)*Calc!$K$3:$K$22*(Calc!$G$3:$G$22&gt;A166)*(Calc!$G$3:$G$22-A166)^2)</f>
        <v/>
      </c>
      <c r="F166">
        <f>SUMPRODUCT((Calc!$F$3:$F$22&lt;=LTP!$B$5)*Calc!$K$3:$K$22*(Calc!$G$3:$G$22&gt;A166)*(Calc!$G$3:$G$22-A166)*Calc!$G$3:$G$22)</f>
        <v/>
      </c>
      <c r="G166">
        <f>SUMPRODUCT((Calc!$F$3:$F$22&lt;=LTP!$B$5)*Calc!$K$3:$K$22*(Calc!$G$3:$G$22&gt;A166)*(Calc!$G$3:$G$22-A166)*Calc!$I$3:$I$22)</f>
        <v/>
      </c>
      <c r="H166">
        <f>IF($B$11&gt;0,F166-$C$11*D166/$B$11,0)</f>
        <v/>
      </c>
      <c r="I166">
        <f>IF($B$11&gt;0,E166-D166^2/$B$11,0)</f>
        <v/>
      </c>
      <c r="J166">
        <f>IF($B$11&gt;0,G166-D166*$D$11/$B$11,0)</f>
        <v/>
      </c>
      <c r="K166">
        <f>$H$11*I166-H166^2</f>
        <v/>
      </c>
      <c r="L166">
        <f>IF(ABS(K166)&gt;1E-12,($H$11*J166-H166*$I$11)/K166,0)</f>
        <v/>
      </c>
      <c r="M166">
        <f>IF(ABS(K166)&gt;1E-12,(I166*$I$11-H166*J166)/K166,0)</f>
        <v/>
      </c>
      <c r="N166">
        <f>$J$11-M166*$I$11-L166*J166</f>
        <v/>
      </c>
      <c r="O166">
        <f>IF(AND(C166,ABS(K166)&gt;1E-12,L166&gt;0),N166,1E+300)</f>
        <v/>
      </c>
    </row>
    <row r="167">
      <c r="A167">
        <f>$K$11+($L$11-$K$11)*153/400</f>
        <v/>
      </c>
      <c r="B167">
        <f>SUMPRODUCT((Calc!$F$3:$F$22&lt;=LTP!$B$5)*Calc!$K$3:$K$22*(Calc!$G$3:$G$22&lt;=A167))</f>
        <v/>
      </c>
      <c r="C167">
        <f>AND(B167&gt;=2,$B$11-B167&gt;=2)</f>
        <v/>
      </c>
      <c r="D167">
        <f>SUMPRODUCT((Calc!$F$3:$F$22&lt;=LTP!$B$5)*Calc!$K$3:$K$22*(Calc!$G$3:$G$22&gt;A167)*(Calc!$G$3:$G$22-A167))</f>
        <v/>
      </c>
      <c r="E167">
        <f>SUMPRODUCT((Calc!$F$3:$F$22&lt;=LTP!$B$5)*Calc!$K$3:$K$22*(Calc!$G$3:$G$22&gt;A167)*(Calc!$G$3:$G$22-A167)^2)</f>
        <v/>
      </c>
      <c r="F167">
        <f>SUMPRODUCT((Calc!$F$3:$F$22&lt;=LTP!$B$5)*Calc!$K$3:$K$22*(Calc!$G$3:$G$22&gt;A167)*(Calc!$G$3:$G$22-A167)*Calc!$G$3:$G$22)</f>
        <v/>
      </c>
      <c r="G167">
        <f>SUMPRODUCT((Calc!$F$3:$F$22&lt;=LTP!$B$5)*Calc!$K$3:$K$22*(Calc!$G$3:$G$22&gt;A167)*(Calc!$G$3:$G$22-A167)*Calc!$I$3:$I$22)</f>
        <v/>
      </c>
      <c r="H167">
        <f>IF($B$11&gt;0,F167-$C$11*D167/$B$11,0)</f>
        <v/>
      </c>
      <c r="I167">
        <f>IF($B$11&gt;0,E167-D167^2/$B$11,0)</f>
        <v/>
      </c>
      <c r="J167">
        <f>IF($B$11&gt;0,G167-D167*$D$11/$B$11,0)</f>
        <v/>
      </c>
      <c r="K167">
        <f>$H$11*I167-H167^2</f>
        <v/>
      </c>
      <c r="L167">
        <f>IF(ABS(K167)&gt;1E-12,($H$11*J167-H167*$I$11)/K167,0)</f>
        <v/>
      </c>
      <c r="M167">
        <f>IF(ABS(K167)&gt;1E-12,(I167*$I$11-H167*J167)/K167,0)</f>
        <v/>
      </c>
      <c r="N167">
        <f>$J$11-M167*$I$11-L167*J167</f>
        <v/>
      </c>
      <c r="O167">
        <f>IF(AND(C167,ABS(K167)&gt;1E-12,L167&gt;0),N167,1E+300)</f>
        <v/>
      </c>
    </row>
    <row r="168">
      <c r="A168">
        <f>$K$11+($L$11-$K$11)*154/400</f>
        <v/>
      </c>
      <c r="B168">
        <f>SUMPRODUCT((Calc!$F$3:$F$22&lt;=LTP!$B$5)*Calc!$K$3:$K$22*(Calc!$G$3:$G$22&lt;=A168))</f>
        <v/>
      </c>
      <c r="C168">
        <f>AND(B168&gt;=2,$B$11-B168&gt;=2)</f>
        <v/>
      </c>
      <c r="D168">
        <f>SUMPRODUCT((Calc!$F$3:$F$22&lt;=LTP!$B$5)*Calc!$K$3:$K$22*(Calc!$G$3:$G$22&gt;A168)*(Calc!$G$3:$G$22-A168))</f>
        <v/>
      </c>
      <c r="E168">
        <f>SUMPRODUCT((Calc!$F$3:$F$22&lt;=LTP!$B$5)*Calc!$K$3:$K$22*(Calc!$G$3:$G$22&gt;A168)*(Calc!$G$3:$G$22-A168)^2)</f>
        <v/>
      </c>
      <c r="F168">
        <f>SUMPRODUCT((Calc!$F$3:$F$22&lt;=LTP!$B$5)*Calc!$K$3:$K$22*(Calc!$G$3:$G$22&gt;A168)*(Calc!$G$3:$G$22-A168)*Calc!$G$3:$G$22)</f>
        <v/>
      </c>
      <c r="G168">
        <f>SUMPRODUCT((Calc!$F$3:$F$22&lt;=LTP!$B$5)*Calc!$K$3:$K$22*(Calc!$G$3:$G$22&gt;A168)*(Calc!$G$3:$G$22-A168)*Calc!$I$3:$I$22)</f>
        <v/>
      </c>
      <c r="H168">
        <f>IF($B$11&gt;0,F168-$C$11*D168/$B$11,0)</f>
        <v/>
      </c>
      <c r="I168">
        <f>IF($B$11&gt;0,E168-D168^2/$B$11,0)</f>
        <v/>
      </c>
      <c r="J168">
        <f>IF($B$11&gt;0,G168-D168*$D$11/$B$11,0)</f>
        <v/>
      </c>
      <c r="K168">
        <f>$H$11*I168-H168^2</f>
        <v/>
      </c>
      <c r="L168">
        <f>IF(ABS(K168)&gt;1E-12,($H$11*J168-H168*$I$11)/K168,0)</f>
        <v/>
      </c>
      <c r="M168">
        <f>IF(ABS(K168)&gt;1E-12,(I168*$I$11-H168*J168)/K168,0)</f>
        <v/>
      </c>
      <c r="N168">
        <f>$J$11-M168*$I$11-L168*J168</f>
        <v/>
      </c>
      <c r="O168">
        <f>IF(AND(C168,ABS(K168)&gt;1E-12,L168&gt;0),N168,1E+300)</f>
        <v/>
      </c>
    </row>
    <row r="169">
      <c r="A169">
        <f>$K$11+($L$11-$K$11)*155/400</f>
        <v/>
      </c>
      <c r="B169">
        <f>SUMPRODUCT((Calc!$F$3:$F$22&lt;=LTP!$B$5)*Calc!$K$3:$K$22*(Calc!$G$3:$G$22&lt;=A169))</f>
        <v/>
      </c>
      <c r="C169">
        <f>AND(B169&gt;=2,$B$11-B169&gt;=2)</f>
        <v/>
      </c>
      <c r="D169">
        <f>SUMPRODUCT((Calc!$F$3:$F$22&lt;=LTP!$B$5)*Calc!$K$3:$K$22*(Calc!$G$3:$G$22&gt;A169)*(Calc!$G$3:$G$22-A169))</f>
        <v/>
      </c>
      <c r="E169">
        <f>SUMPRODUCT((Calc!$F$3:$F$22&lt;=LTP!$B$5)*Calc!$K$3:$K$22*(Calc!$G$3:$G$22&gt;A169)*(Calc!$G$3:$G$22-A169)^2)</f>
        <v/>
      </c>
      <c r="F169">
        <f>SUMPRODUCT((Calc!$F$3:$F$22&lt;=LTP!$B$5)*Calc!$K$3:$K$22*(Calc!$G$3:$G$22&gt;A169)*(Calc!$G$3:$G$22-A169)*Calc!$G$3:$G$22)</f>
        <v/>
      </c>
      <c r="G169">
        <f>SUMPRODUCT((Calc!$F$3:$F$22&lt;=LTP!$B$5)*Calc!$K$3:$K$22*(Calc!$G$3:$G$22&gt;A169)*(Calc!$G$3:$G$22-A169)*Calc!$I$3:$I$22)</f>
        <v/>
      </c>
      <c r="H169">
        <f>IF($B$11&gt;0,F169-$C$11*D169/$B$11,0)</f>
        <v/>
      </c>
      <c r="I169">
        <f>IF($B$11&gt;0,E169-D169^2/$B$11,0)</f>
        <v/>
      </c>
      <c r="J169">
        <f>IF($B$11&gt;0,G169-D169*$D$11/$B$11,0)</f>
        <v/>
      </c>
      <c r="K169">
        <f>$H$11*I169-H169^2</f>
        <v/>
      </c>
      <c r="L169">
        <f>IF(ABS(K169)&gt;1E-12,($H$11*J169-H169*$I$11)/K169,0)</f>
        <v/>
      </c>
      <c r="M169">
        <f>IF(ABS(K169)&gt;1E-12,(I169*$I$11-H169*J169)/K169,0)</f>
        <v/>
      </c>
      <c r="N169">
        <f>$J$11-M169*$I$11-L169*J169</f>
        <v/>
      </c>
      <c r="O169">
        <f>IF(AND(C169,ABS(K169)&gt;1E-12,L169&gt;0),N169,1E+300)</f>
        <v/>
      </c>
    </row>
    <row r="170">
      <c r="A170">
        <f>$K$11+($L$11-$K$11)*156/400</f>
        <v/>
      </c>
      <c r="B170">
        <f>SUMPRODUCT((Calc!$F$3:$F$22&lt;=LTP!$B$5)*Calc!$K$3:$K$22*(Calc!$G$3:$G$22&lt;=A170))</f>
        <v/>
      </c>
      <c r="C170">
        <f>AND(B170&gt;=2,$B$11-B170&gt;=2)</f>
        <v/>
      </c>
      <c r="D170">
        <f>SUMPRODUCT((Calc!$F$3:$F$22&lt;=LTP!$B$5)*Calc!$K$3:$K$22*(Calc!$G$3:$G$22&gt;A170)*(Calc!$G$3:$G$22-A170))</f>
        <v/>
      </c>
      <c r="E170">
        <f>SUMPRODUCT((Calc!$F$3:$F$22&lt;=LTP!$B$5)*Calc!$K$3:$K$22*(Calc!$G$3:$G$22&gt;A170)*(Calc!$G$3:$G$22-A170)^2)</f>
        <v/>
      </c>
      <c r="F170">
        <f>SUMPRODUCT((Calc!$F$3:$F$22&lt;=LTP!$B$5)*Calc!$K$3:$K$22*(Calc!$G$3:$G$22&gt;A170)*(Calc!$G$3:$G$22-A170)*Calc!$G$3:$G$22)</f>
        <v/>
      </c>
      <c r="G170">
        <f>SUMPRODUCT((Calc!$F$3:$F$22&lt;=LTP!$B$5)*Calc!$K$3:$K$22*(Calc!$G$3:$G$22&gt;A170)*(Calc!$G$3:$G$22-A170)*Calc!$I$3:$I$22)</f>
        <v/>
      </c>
      <c r="H170">
        <f>IF($B$11&gt;0,F170-$C$11*D170/$B$11,0)</f>
        <v/>
      </c>
      <c r="I170">
        <f>IF($B$11&gt;0,E170-D170^2/$B$11,0)</f>
        <v/>
      </c>
      <c r="J170">
        <f>IF($B$11&gt;0,G170-D170*$D$11/$B$11,0)</f>
        <v/>
      </c>
      <c r="K170">
        <f>$H$11*I170-H170^2</f>
        <v/>
      </c>
      <c r="L170">
        <f>IF(ABS(K170)&gt;1E-12,($H$11*J170-H170*$I$11)/K170,0)</f>
        <v/>
      </c>
      <c r="M170">
        <f>IF(ABS(K170)&gt;1E-12,(I170*$I$11-H170*J170)/K170,0)</f>
        <v/>
      </c>
      <c r="N170">
        <f>$J$11-M170*$I$11-L170*J170</f>
        <v/>
      </c>
      <c r="O170">
        <f>IF(AND(C170,ABS(K170)&gt;1E-12,L170&gt;0),N170,1E+300)</f>
        <v/>
      </c>
    </row>
    <row r="171">
      <c r="A171">
        <f>$K$11+($L$11-$K$11)*157/400</f>
        <v/>
      </c>
      <c r="B171">
        <f>SUMPRODUCT((Calc!$F$3:$F$22&lt;=LTP!$B$5)*Calc!$K$3:$K$22*(Calc!$G$3:$G$22&lt;=A171))</f>
        <v/>
      </c>
      <c r="C171">
        <f>AND(B171&gt;=2,$B$11-B171&gt;=2)</f>
        <v/>
      </c>
      <c r="D171">
        <f>SUMPRODUCT((Calc!$F$3:$F$22&lt;=LTP!$B$5)*Calc!$K$3:$K$22*(Calc!$G$3:$G$22&gt;A171)*(Calc!$G$3:$G$22-A171))</f>
        <v/>
      </c>
      <c r="E171">
        <f>SUMPRODUCT((Calc!$F$3:$F$22&lt;=LTP!$B$5)*Calc!$K$3:$K$22*(Calc!$G$3:$G$22&gt;A171)*(Calc!$G$3:$G$22-A171)^2)</f>
        <v/>
      </c>
      <c r="F171">
        <f>SUMPRODUCT((Calc!$F$3:$F$22&lt;=LTP!$B$5)*Calc!$K$3:$K$22*(Calc!$G$3:$G$22&gt;A171)*(Calc!$G$3:$G$22-A171)*Calc!$G$3:$G$22)</f>
        <v/>
      </c>
      <c r="G171">
        <f>SUMPRODUCT((Calc!$F$3:$F$22&lt;=LTP!$B$5)*Calc!$K$3:$K$22*(Calc!$G$3:$G$22&gt;A171)*(Calc!$G$3:$G$22-A171)*Calc!$I$3:$I$22)</f>
        <v/>
      </c>
      <c r="H171">
        <f>IF($B$11&gt;0,F171-$C$11*D171/$B$11,0)</f>
        <v/>
      </c>
      <c r="I171">
        <f>IF($B$11&gt;0,E171-D171^2/$B$11,0)</f>
        <v/>
      </c>
      <c r="J171">
        <f>IF($B$11&gt;0,G171-D171*$D$11/$B$11,0)</f>
        <v/>
      </c>
      <c r="K171">
        <f>$H$11*I171-H171^2</f>
        <v/>
      </c>
      <c r="L171">
        <f>IF(ABS(K171)&gt;1E-12,($H$11*J171-H171*$I$11)/K171,0)</f>
        <v/>
      </c>
      <c r="M171">
        <f>IF(ABS(K171)&gt;1E-12,(I171*$I$11-H171*J171)/K171,0)</f>
        <v/>
      </c>
      <c r="N171">
        <f>$J$11-M171*$I$11-L171*J171</f>
        <v/>
      </c>
      <c r="O171">
        <f>IF(AND(C171,ABS(K171)&gt;1E-12,L171&gt;0),N171,1E+300)</f>
        <v/>
      </c>
    </row>
    <row r="172">
      <c r="A172">
        <f>$K$11+($L$11-$K$11)*158/400</f>
        <v/>
      </c>
      <c r="B172">
        <f>SUMPRODUCT((Calc!$F$3:$F$22&lt;=LTP!$B$5)*Calc!$K$3:$K$22*(Calc!$G$3:$G$22&lt;=A172))</f>
        <v/>
      </c>
      <c r="C172">
        <f>AND(B172&gt;=2,$B$11-B172&gt;=2)</f>
        <v/>
      </c>
      <c r="D172">
        <f>SUMPRODUCT((Calc!$F$3:$F$22&lt;=LTP!$B$5)*Calc!$K$3:$K$22*(Calc!$G$3:$G$22&gt;A172)*(Calc!$G$3:$G$22-A172))</f>
        <v/>
      </c>
      <c r="E172">
        <f>SUMPRODUCT((Calc!$F$3:$F$22&lt;=LTP!$B$5)*Calc!$K$3:$K$22*(Calc!$G$3:$G$22&gt;A172)*(Calc!$G$3:$G$22-A172)^2)</f>
        <v/>
      </c>
      <c r="F172">
        <f>SUMPRODUCT((Calc!$F$3:$F$22&lt;=LTP!$B$5)*Calc!$K$3:$K$22*(Calc!$G$3:$G$22&gt;A172)*(Calc!$G$3:$G$22-A172)*Calc!$G$3:$G$22)</f>
        <v/>
      </c>
      <c r="G172">
        <f>SUMPRODUCT((Calc!$F$3:$F$22&lt;=LTP!$B$5)*Calc!$K$3:$K$22*(Calc!$G$3:$G$22&gt;A172)*(Calc!$G$3:$G$22-A172)*Calc!$I$3:$I$22)</f>
        <v/>
      </c>
      <c r="H172">
        <f>IF($B$11&gt;0,F172-$C$11*D172/$B$11,0)</f>
        <v/>
      </c>
      <c r="I172">
        <f>IF($B$11&gt;0,E172-D172^2/$B$11,0)</f>
        <v/>
      </c>
      <c r="J172">
        <f>IF($B$11&gt;0,G172-D172*$D$11/$B$11,0)</f>
        <v/>
      </c>
      <c r="K172">
        <f>$H$11*I172-H172^2</f>
        <v/>
      </c>
      <c r="L172">
        <f>IF(ABS(K172)&gt;1E-12,($H$11*J172-H172*$I$11)/K172,0)</f>
        <v/>
      </c>
      <c r="M172">
        <f>IF(ABS(K172)&gt;1E-12,(I172*$I$11-H172*J172)/K172,0)</f>
        <v/>
      </c>
      <c r="N172">
        <f>$J$11-M172*$I$11-L172*J172</f>
        <v/>
      </c>
      <c r="O172">
        <f>IF(AND(C172,ABS(K172)&gt;1E-12,L172&gt;0),N172,1E+300)</f>
        <v/>
      </c>
    </row>
    <row r="173">
      <c r="A173">
        <f>$K$11+($L$11-$K$11)*159/400</f>
        <v/>
      </c>
      <c r="B173">
        <f>SUMPRODUCT((Calc!$F$3:$F$22&lt;=LTP!$B$5)*Calc!$K$3:$K$22*(Calc!$G$3:$G$22&lt;=A173))</f>
        <v/>
      </c>
      <c r="C173">
        <f>AND(B173&gt;=2,$B$11-B173&gt;=2)</f>
        <v/>
      </c>
      <c r="D173">
        <f>SUMPRODUCT((Calc!$F$3:$F$22&lt;=LTP!$B$5)*Calc!$K$3:$K$22*(Calc!$G$3:$G$22&gt;A173)*(Calc!$G$3:$G$22-A173))</f>
        <v/>
      </c>
      <c r="E173">
        <f>SUMPRODUCT((Calc!$F$3:$F$22&lt;=LTP!$B$5)*Calc!$K$3:$K$22*(Calc!$G$3:$G$22&gt;A173)*(Calc!$G$3:$G$22-A173)^2)</f>
        <v/>
      </c>
      <c r="F173">
        <f>SUMPRODUCT((Calc!$F$3:$F$22&lt;=LTP!$B$5)*Calc!$K$3:$K$22*(Calc!$G$3:$G$22&gt;A173)*(Calc!$G$3:$G$22-A173)*Calc!$G$3:$G$22)</f>
        <v/>
      </c>
      <c r="G173">
        <f>SUMPRODUCT((Calc!$F$3:$F$22&lt;=LTP!$B$5)*Calc!$K$3:$K$22*(Calc!$G$3:$G$22&gt;A173)*(Calc!$G$3:$G$22-A173)*Calc!$I$3:$I$22)</f>
        <v/>
      </c>
      <c r="H173">
        <f>IF($B$11&gt;0,F173-$C$11*D173/$B$11,0)</f>
        <v/>
      </c>
      <c r="I173">
        <f>IF($B$11&gt;0,E173-D173^2/$B$11,0)</f>
        <v/>
      </c>
      <c r="J173">
        <f>IF($B$11&gt;0,G173-D173*$D$11/$B$11,0)</f>
        <v/>
      </c>
      <c r="K173">
        <f>$H$11*I173-H173^2</f>
        <v/>
      </c>
      <c r="L173">
        <f>IF(ABS(K173)&gt;1E-12,($H$11*J173-H173*$I$11)/K173,0)</f>
        <v/>
      </c>
      <c r="M173">
        <f>IF(ABS(K173)&gt;1E-12,(I173*$I$11-H173*J173)/K173,0)</f>
        <v/>
      </c>
      <c r="N173">
        <f>$J$11-M173*$I$11-L173*J173</f>
        <v/>
      </c>
      <c r="O173">
        <f>IF(AND(C173,ABS(K173)&gt;1E-12,L173&gt;0),N173,1E+300)</f>
        <v/>
      </c>
    </row>
    <row r="174">
      <c r="A174">
        <f>$K$11+($L$11-$K$11)*160/400</f>
        <v/>
      </c>
      <c r="B174">
        <f>SUMPRODUCT((Calc!$F$3:$F$22&lt;=LTP!$B$5)*Calc!$K$3:$K$22*(Calc!$G$3:$G$22&lt;=A174))</f>
        <v/>
      </c>
      <c r="C174">
        <f>AND(B174&gt;=2,$B$11-B174&gt;=2)</f>
        <v/>
      </c>
      <c r="D174">
        <f>SUMPRODUCT((Calc!$F$3:$F$22&lt;=LTP!$B$5)*Calc!$K$3:$K$22*(Calc!$G$3:$G$22&gt;A174)*(Calc!$G$3:$G$22-A174))</f>
        <v/>
      </c>
      <c r="E174">
        <f>SUMPRODUCT((Calc!$F$3:$F$22&lt;=LTP!$B$5)*Calc!$K$3:$K$22*(Calc!$G$3:$G$22&gt;A174)*(Calc!$G$3:$G$22-A174)^2)</f>
        <v/>
      </c>
      <c r="F174">
        <f>SUMPRODUCT((Calc!$F$3:$F$22&lt;=LTP!$B$5)*Calc!$K$3:$K$22*(Calc!$G$3:$G$22&gt;A174)*(Calc!$G$3:$G$22-A174)*Calc!$G$3:$G$22)</f>
        <v/>
      </c>
      <c r="G174">
        <f>SUMPRODUCT((Calc!$F$3:$F$22&lt;=LTP!$B$5)*Calc!$K$3:$K$22*(Calc!$G$3:$G$22&gt;A174)*(Calc!$G$3:$G$22-A174)*Calc!$I$3:$I$22)</f>
        <v/>
      </c>
      <c r="H174">
        <f>IF($B$11&gt;0,F174-$C$11*D174/$B$11,0)</f>
        <v/>
      </c>
      <c r="I174">
        <f>IF($B$11&gt;0,E174-D174^2/$B$11,0)</f>
        <v/>
      </c>
      <c r="J174">
        <f>IF($B$11&gt;0,G174-D174*$D$11/$B$11,0)</f>
        <v/>
      </c>
      <c r="K174">
        <f>$H$11*I174-H174^2</f>
        <v/>
      </c>
      <c r="L174">
        <f>IF(ABS(K174)&gt;1E-12,($H$11*J174-H174*$I$11)/K174,0)</f>
        <v/>
      </c>
      <c r="M174">
        <f>IF(ABS(K174)&gt;1E-12,(I174*$I$11-H174*J174)/K174,0)</f>
        <v/>
      </c>
      <c r="N174">
        <f>$J$11-M174*$I$11-L174*J174</f>
        <v/>
      </c>
      <c r="O174">
        <f>IF(AND(C174,ABS(K174)&gt;1E-12,L174&gt;0),N174,1E+300)</f>
        <v/>
      </c>
    </row>
    <row r="175">
      <c r="A175">
        <f>$K$11+($L$11-$K$11)*161/400</f>
        <v/>
      </c>
      <c r="B175">
        <f>SUMPRODUCT((Calc!$F$3:$F$22&lt;=LTP!$B$5)*Calc!$K$3:$K$22*(Calc!$G$3:$G$22&lt;=A175))</f>
        <v/>
      </c>
      <c r="C175">
        <f>AND(B175&gt;=2,$B$11-B175&gt;=2)</f>
        <v/>
      </c>
      <c r="D175">
        <f>SUMPRODUCT((Calc!$F$3:$F$22&lt;=LTP!$B$5)*Calc!$K$3:$K$22*(Calc!$G$3:$G$22&gt;A175)*(Calc!$G$3:$G$22-A175))</f>
        <v/>
      </c>
      <c r="E175">
        <f>SUMPRODUCT((Calc!$F$3:$F$22&lt;=LTP!$B$5)*Calc!$K$3:$K$22*(Calc!$G$3:$G$22&gt;A175)*(Calc!$G$3:$G$22-A175)^2)</f>
        <v/>
      </c>
      <c r="F175">
        <f>SUMPRODUCT((Calc!$F$3:$F$22&lt;=LTP!$B$5)*Calc!$K$3:$K$22*(Calc!$G$3:$G$22&gt;A175)*(Calc!$G$3:$G$22-A175)*Calc!$G$3:$G$22)</f>
        <v/>
      </c>
      <c r="G175">
        <f>SUMPRODUCT((Calc!$F$3:$F$22&lt;=LTP!$B$5)*Calc!$K$3:$K$22*(Calc!$G$3:$G$22&gt;A175)*(Calc!$G$3:$G$22-A175)*Calc!$I$3:$I$22)</f>
        <v/>
      </c>
      <c r="H175">
        <f>IF($B$11&gt;0,F175-$C$11*D175/$B$11,0)</f>
        <v/>
      </c>
      <c r="I175">
        <f>IF($B$11&gt;0,E175-D175^2/$B$11,0)</f>
        <v/>
      </c>
      <c r="J175">
        <f>IF($B$11&gt;0,G175-D175*$D$11/$B$11,0)</f>
        <v/>
      </c>
      <c r="K175">
        <f>$H$11*I175-H175^2</f>
        <v/>
      </c>
      <c r="L175">
        <f>IF(ABS(K175)&gt;1E-12,($H$11*J175-H175*$I$11)/K175,0)</f>
        <v/>
      </c>
      <c r="M175">
        <f>IF(ABS(K175)&gt;1E-12,(I175*$I$11-H175*J175)/K175,0)</f>
        <v/>
      </c>
      <c r="N175">
        <f>$J$11-M175*$I$11-L175*J175</f>
        <v/>
      </c>
      <c r="O175">
        <f>IF(AND(C175,ABS(K175)&gt;1E-12,L175&gt;0),N175,1E+300)</f>
        <v/>
      </c>
    </row>
    <row r="176">
      <c r="A176">
        <f>$K$11+($L$11-$K$11)*162/400</f>
        <v/>
      </c>
      <c r="B176">
        <f>SUMPRODUCT((Calc!$F$3:$F$22&lt;=LTP!$B$5)*Calc!$K$3:$K$22*(Calc!$G$3:$G$22&lt;=A176))</f>
        <v/>
      </c>
      <c r="C176">
        <f>AND(B176&gt;=2,$B$11-B176&gt;=2)</f>
        <v/>
      </c>
      <c r="D176">
        <f>SUMPRODUCT((Calc!$F$3:$F$22&lt;=LTP!$B$5)*Calc!$K$3:$K$22*(Calc!$G$3:$G$22&gt;A176)*(Calc!$G$3:$G$22-A176))</f>
        <v/>
      </c>
      <c r="E176">
        <f>SUMPRODUCT((Calc!$F$3:$F$22&lt;=LTP!$B$5)*Calc!$K$3:$K$22*(Calc!$G$3:$G$22&gt;A176)*(Calc!$G$3:$G$22-A176)^2)</f>
        <v/>
      </c>
      <c r="F176">
        <f>SUMPRODUCT((Calc!$F$3:$F$22&lt;=LTP!$B$5)*Calc!$K$3:$K$22*(Calc!$G$3:$G$22&gt;A176)*(Calc!$G$3:$G$22-A176)*Calc!$G$3:$G$22)</f>
        <v/>
      </c>
      <c r="G176">
        <f>SUMPRODUCT((Calc!$F$3:$F$22&lt;=LTP!$B$5)*Calc!$K$3:$K$22*(Calc!$G$3:$G$22&gt;A176)*(Calc!$G$3:$G$22-A176)*Calc!$I$3:$I$22)</f>
        <v/>
      </c>
      <c r="H176">
        <f>IF($B$11&gt;0,F176-$C$11*D176/$B$11,0)</f>
        <v/>
      </c>
      <c r="I176">
        <f>IF($B$11&gt;0,E176-D176^2/$B$11,0)</f>
        <v/>
      </c>
      <c r="J176">
        <f>IF($B$11&gt;0,G176-D176*$D$11/$B$11,0)</f>
        <v/>
      </c>
      <c r="K176">
        <f>$H$11*I176-H176^2</f>
        <v/>
      </c>
      <c r="L176">
        <f>IF(ABS(K176)&gt;1E-12,($H$11*J176-H176*$I$11)/K176,0)</f>
        <v/>
      </c>
      <c r="M176">
        <f>IF(ABS(K176)&gt;1E-12,(I176*$I$11-H176*J176)/K176,0)</f>
        <v/>
      </c>
      <c r="N176">
        <f>$J$11-M176*$I$11-L176*J176</f>
        <v/>
      </c>
      <c r="O176">
        <f>IF(AND(C176,ABS(K176)&gt;1E-12,L176&gt;0),N176,1E+300)</f>
        <v/>
      </c>
    </row>
    <row r="177">
      <c r="A177">
        <f>$K$11+($L$11-$K$11)*163/400</f>
        <v/>
      </c>
      <c r="B177">
        <f>SUMPRODUCT((Calc!$F$3:$F$22&lt;=LTP!$B$5)*Calc!$K$3:$K$22*(Calc!$G$3:$G$22&lt;=A177))</f>
        <v/>
      </c>
      <c r="C177">
        <f>AND(B177&gt;=2,$B$11-B177&gt;=2)</f>
        <v/>
      </c>
      <c r="D177">
        <f>SUMPRODUCT((Calc!$F$3:$F$22&lt;=LTP!$B$5)*Calc!$K$3:$K$22*(Calc!$G$3:$G$22&gt;A177)*(Calc!$G$3:$G$22-A177))</f>
        <v/>
      </c>
      <c r="E177">
        <f>SUMPRODUCT((Calc!$F$3:$F$22&lt;=LTP!$B$5)*Calc!$K$3:$K$22*(Calc!$G$3:$G$22&gt;A177)*(Calc!$G$3:$G$22-A177)^2)</f>
        <v/>
      </c>
      <c r="F177">
        <f>SUMPRODUCT((Calc!$F$3:$F$22&lt;=LTP!$B$5)*Calc!$K$3:$K$22*(Calc!$G$3:$G$22&gt;A177)*(Calc!$G$3:$G$22-A177)*Calc!$G$3:$G$22)</f>
        <v/>
      </c>
      <c r="G177">
        <f>SUMPRODUCT((Calc!$F$3:$F$22&lt;=LTP!$B$5)*Calc!$K$3:$K$22*(Calc!$G$3:$G$22&gt;A177)*(Calc!$G$3:$G$22-A177)*Calc!$I$3:$I$22)</f>
        <v/>
      </c>
      <c r="H177">
        <f>IF($B$11&gt;0,F177-$C$11*D177/$B$11,0)</f>
        <v/>
      </c>
      <c r="I177">
        <f>IF($B$11&gt;0,E177-D177^2/$B$11,0)</f>
        <v/>
      </c>
      <c r="J177">
        <f>IF($B$11&gt;0,G177-D177*$D$11/$B$11,0)</f>
        <v/>
      </c>
      <c r="K177">
        <f>$H$11*I177-H177^2</f>
        <v/>
      </c>
      <c r="L177">
        <f>IF(ABS(K177)&gt;1E-12,($H$11*J177-H177*$I$11)/K177,0)</f>
        <v/>
      </c>
      <c r="M177">
        <f>IF(ABS(K177)&gt;1E-12,(I177*$I$11-H177*J177)/K177,0)</f>
        <v/>
      </c>
      <c r="N177">
        <f>$J$11-M177*$I$11-L177*J177</f>
        <v/>
      </c>
      <c r="O177">
        <f>IF(AND(C177,ABS(K177)&gt;1E-12,L177&gt;0),N177,1E+300)</f>
        <v/>
      </c>
    </row>
    <row r="178">
      <c r="A178">
        <f>$K$11+($L$11-$K$11)*164/400</f>
        <v/>
      </c>
      <c r="B178">
        <f>SUMPRODUCT((Calc!$F$3:$F$22&lt;=LTP!$B$5)*Calc!$K$3:$K$22*(Calc!$G$3:$G$22&lt;=A178))</f>
        <v/>
      </c>
      <c r="C178">
        <f>AND(B178&gt;=2,$B$11-B178&gt;=2)</f>
        <v/>
      </c>
      <c r="D178">
        <f>SUMPRODUCT((Calc!$F$3:$F$22&lt;=LTP!$B$5)*Calc!$K$3:$K$22*(Calc!$G$3:$G$22&gt;A178)*(Calc!$G$3:$G$22-A178))</f>
        <v/>
      </c>
      <c r="E178">
        <f>SUMPRODUCT((Calc!$F$3:$F$22&lt;=LTP!$B$5)*Calc!$K$3:$K$22*(Calc!$G$3:$G$22&gt;A178)*(Calc!$G$3:$G$22-A178)^2)</f>
        <v/>
      </c>
      <c r="F178">
        <f>SUMPRODUCT((Calc!$F$3:$F$22&lt;=LTP!$B$5)*Calc!$K$3:$K$22*(Calc!$G$3:$G$22&gt;A178)*(Calc!$G$3:$G$22-A178)*Calc!$G$3:$G$22)</f>
        <v/>
      </c>
      <c r="G178">
        <f>SUMPRODUCT((Calc!$F$3:$F$22&lt;=LTP!$B$5)*Calc!$K$3:$K$22*(Calc!$G$3:$G$22&gt;A178)*(Calc!$G$3:$G$22-A178)*Calc!$I$3:$I$22)</f>
        <v/>
      </c>
      <c r="H178">
        <f>IF($B$11&gt;0,F178-$C$11*D178/$B$11,0)</f>
        <v/>
      </c>
      <c r="I178">
        <f>IF($B$11&gt;0,E178-D178^2/$B$11,0)</f>
        <v/>
      </c>
      <c r="J178">
        <f>IF($B$11&gt;0,G178-D178*$D$11/$B$11,0)</f>
        <v/>
      </c>
      <c r="K178">
        <f>$H$11*I178-H178^2</f>
        <v/>
      </c>
      <c r="L178">
        <f>IF(ABS(K178)&gt;1E-12,($H$11*J178-H178*$I$11)/K178,0)</f>
        <v/>
      </c>
      <c r="M178">
        <f>IF(ABS(K178)&gt;1E-12,(I178*$I$11-H178*J178)/K178,0)</f>
        <v/>
      </c>
      <c r="N178">
        <f>$J$11-M178*$I$11-L178*J178</f>
        <v/>
      </c>
      <c r="O178">
        <f>IF(AND(C178,ABS(K178)&gt;1E-12,L178&gt;0),N178,1E+300)</f>
        <v/>
      </c>
    </row>
    <row r="179">
      <c r="A179">
        <f>$K$11+($L$11-$K$11)*165/400</f>
        <v/>
      </c>
      <c r="B179">
        <f>SUMPRODUCT((Calc!$F$3:$F$22&lt;=LTP!$B$5)*Calc!$K$3:$K$22*(Calc!$G$3:$G$22&lt;=A179))</f>
        <v/>
      </c>
      <c r="C179">
        <f>AND(B179&gt;=2,$B$11-B179&gt;=2)</f>
        <v/>
      </c>
      <c r="D179">
        <f>SUMPRODUCT((Calc!$F$3:$F$22&lt;=LTP!$B$5)*Calc!$K$3:$K$22*(Calc!$G$3:$G$22&gt;A179)*(Calc!$G$3:$G$22-A179))</f>
        <v/>
      </c>
      <c r="E179">
        <f>SUMPRODUCT((Calc!$F$3:$F$22&lt;=LTP!$B$5)*Calc!$K$3:$K$22*(Calc!$G$3:$G$22&gt;A179)*(Calc!$G$3:$G$22-A179)^2)</f>
        <v/>
      </c>
      <c r="F179">
        <f>SUMPRODUCT((Calc!$F$3:$F$22&lt;=LTP!$B$5)*Calc!$K$3:$K$22*(Calc!$G$3:$G$22&gt;A179)*(Calc!$G$3:$G$22-A179)*Calc!$G$3:$G$22)</f>
        <v/>
      </c>
      <c r="G179">
        <f>SUMPRODUCT((Calc!$F$3:$F$22&lt;=LTP!$B$5)*Calc!$K$3:$K$22*(Calc!$G$3:$G$22&gt;A179)*(Calc!$G$3:$G$22-A179)*Calc!$I$3:$I$22)</f>
        <v/>
      </c>
      <c r="H179">
        <f>IF($B$11&gt;0,F179-$C$11*D179/$B$11,0)</f>
        <v/>
      </c>
      <c r="I179">
        <f>IF($B$11&gt;0,E179-D179^2/$B$11,0)</f>
        <v/>
      </c>
      <c r="J179">
        <f>IF($B$11&gt;0,G179-D179*$D$11/$B$11,0)</f>
        <v/>
      </c>
      <c r="K179">
        <f>$H$11*I179-H179^2</f>
        <v/>
      </c>
      <c r="L179">
        <f>IF(ABS(K179)&gt;1E-12,($H$11*J179-H179*$I$11)/K179,0)</f>
        <v/>
      </c>
      <c r="M179">
        <f>IF(ABS(K179)&gt;1E-12,(I179*$I$11-H179*J179)/K179,0)</f>
        <v/>
      </c>
      <c r="N179">
        <f>$J$11-M179*$I$11-L179*J179</f>
        <v/>
      </c>
      <c r="O179">
        <f>IF(AND(C179,ABS(K179)&gt;1E-12,L179&gt;0),N179,1E+300)</f>
        <v/>
      </c>
    </row>
    <row r="180">
      <c r="A180">
        <f>$K$11+($L$11-$K$11)*166/400</f>
        <v/>
      </c>
      <c r="B180">
        <f>SUMPRODUCT((Calc!$F$3:$F$22&lt;=LTP!$B$5)*Calc!$K$3:$K$22*(Calc!$G$3:$G$22&lt;=A180))</f>
        <v/>
      </c>
      <c r="C180">
        <f>AND(B180&gt;=2,$B$11-B180&gt;=2)</f>
        <v/>
      </c>
      <c r="D180">
        <f>SUMPRODUCT((Calc!$F$3:$F$22&lt;=LTP!$B$5)*Calc!$K$3:$K$22*(Calc!$G$3:$G$22&gt;A180)*(Calc!$G$3:$G$22-A180))</f>
        <v/>
      </c>
      <c r="E180">
        <f>SUMPRODUCT((Calc!$F$3:$F$22&lt;=LTP!$B$5)*Calc!$K$3:$K$22*(Calc!$G$3:$G$22&gt;A180)*(Calc!$G$3:$G$22-A180)^2)</f>
        <v/>
      </c>
      <c r="F180">
        <f>SUMPRODUCT((Calc!$F$3:$F$22&lt;=LTP!$B$5)*Calc!$K$3:$K$22*(Calc!$G$3:$G$22&gt;A180)*(Calc!$G$3:$G$22-A180)*Calc!$G$3:$G$22)</f>
        <v/>
      </c>
      <c r="G180">
        <f>SUMPRODUCT((Calc!$F$3:$F$22&lt;=LTP!$B$5)*Calc!$K$3:$K$22*(Calc!$G$3:$G$22&gt;A180)*(Calc!$G$3:$G$22-A180)*Calc!$I$3:$I$22)</f>
        <v/>
      </c>
      <c r="H180">
        <f>IF($B$11&gt;0,F180-$C$11*D180/$B$11,0)</f>
        <v/>
      </c>
      <c r="I180">
        <f>IF($B$11&gt;0,E180-D180^2/$B$11,0)</f>
        <v/>
      </c>
      <c r="J180">
        <f>IF($B$11&gt;0,G180-D180*$D$11/$B$11,0)</f>
        <v/>
      </c>
      <c r="K180">
        <f>$H$11*I180-H180^2</f>
        <v/>
      </c>
      <c r="L180">
        <f>IF(ABS(K180)&gt;1E-12,($H$11*J180-H180*$I$11)/K180,0)</f>
        <v/>
      </c>
      <c r="M180">
        <f>IF(ABS(K180)&gt;1E-12,(I180*$I$11-H180*J180)/K180,0)</f>
        <v/>
      </c>
      <c r="N180">
        <f>$J$11-M180*$I$11-L180*J180</f>
        <v/>
      </c>
      <c r="O180">
        <f>IF(AND(C180,ABS(K180)&gt;1E-12,L180&gt;0),N180,1E+300)</f>
        <v/>
      </c>
    </row>
    <row r="181">
      <c r="A181">
        <f>$K$11+($L$11-$K$11)*167/400</f>
        <v/>
      </c>
      <c r="B181">
        <f>SUMPRODUCT((Calc!$F$3:$F$22&lt;=LTP!$B$5)*Calc!$K$3:$K$22*(Calc!$G$3:$G$22&lt;=A181))</f>
        <v/>
      </c>
      <c r="C181">
        <f>AND(B181&gt;=2,$B$11-B181&gt;=2)</f>
        <v/>
      </c>
      <c r="D181">
        <f>SUMPRODUCT((Calc!$F$3:$F$22&lt;=LTP!$B$5)*Calc!$K$3:$K$22*(Calc!$G$3:$G$22&gt;A181)*(Calc!$G$3:$G$22-A181))</f>
        <v/>
      </c>
      <c r="E181">
        <f>SUMPRODUCT((Calc!$F$3:$F$22&lt;=LTP!$B$5)*Calc!$K$3:$K$22*(Calc!$G$3:$G$22&gt;A181)*(Calc!$G$3:$G$22-A181)^2)</f>
        <v/>
      </c>
      <c r="F181">
        <f>SUMPRODUCT((Calc!$F$3:$F$22&lt;=LTP!$B$5)*Calc!$K$3:$K$22*(Calc!$G$3:$G$22&gt;A181)*(Calc!$G$3:$G$22-A181)*Calc!$G$3:$G$22)</f>
        <v/>
      </c>
      <c r="G181">
        <f>SUMPRODUCT((Calc!$F$3:$F$22&lt;=LTP!$B$5)*Calc!$K$3:$K$22*(Calc!$G$3:$G$22&gt;A181)*(Calc!$G$3:$G$22-A181)*Calc!$I$3:$I$22)</f>
        <v/>
      </c>
      <c r="H181">
        <f>IF($B$11&gt;0,F181-$C$11*D181/$B$11,0)</f>
        <v/>
      </c>
      <c r="I181">
        <f>IF($B$11&gt;0,E181-D181^2/$B$11,0)</f>
        <v/>
      </c>
      <c r="J181">
        <f>IF($B$11&gt;0,G181-D181*$D$11/$B$11,0)</f>
        <v/>
      </c>
      <c r="K181">
        <f>$H$11*I181-H181^2</f>
        <v/>
      </c>
      <c r="L181">
        <f>IF(ABS(K181)&gt;1E-12,($H$11*J181-H181*$I$11)/K181,0)</f>
        <v/>
      </c>
      <c r="M181">
        <f>IF(ABS(K181)&gt;1E-12,(I181*$I$11-H181*J181)/K181,0)</f>
        <v/>
      </c>
      <c r="N181">
        <f>$J$11-M181*$I$11-L181*J181</f>
        <v/>
      </c>
      <c r="O181">
        <f>IF(AND(C181,ABS(K181)&gt;1E-12,L181&gt;0),N181,1E+300)</f>
        <v/>
      </c>
    </row>
    <row r="182">
      <c r="A182">
        <f>$K$11+($L$11-$K$11)*168/400</f>
        <v/>
      </c>
      <c r="B182">
        <f>SUMPRODUCT((Calc!$F$3:$F$22&lt;=LTP!$B$5)*Calc!$K$3:$K$22*(Calc!$G$3:$G$22&lt;=A182))</f>
        <v/>
      </c>
      <c r="C182">
        <f>AND(B182&gt;=2,$B$11-B182&gt;=2)</f>
        <v/>
      </c>
      <c r="D182">
        <f>SUMPRODUCT((Calc!$F$3:$F$22&lt;=LTP!$B$5)*Calc!$K$3:$K$22*(Calc!$G$3:$G$22&gt;A182)*(Calc!$G$3:$G$22-A182))</f>
        <v/>
      </c>
      <c r="E182">
        <f>SUMPRODUCT((Calc!$F$3:$F$22&lt;=LTP!$B$5)*Calc!$K$3:$K$22*(Calc!$G$3:$G$22&gt;A182)*(Calc!$G$3:$G$22-A182)^2)</f>
        <v/>
      </c>
      <c r="F182">
        <f>SUMPRODUCT((Calc!$F$3:$F$22&lt;=LTP!$B$5)*Calc!$K$3:$K$22*(Calc!$G$3:$G$22&gt;A182)*(Calc!$G$3:$G$22-A182)*Calc!$G$3:$G$22)</f>
        <v/>
      </c>
      <c r="G182">
        <f>SUMPRODUCT((Calc!$F$3:$F$22&lt;=LTP!$B$5)*Calc!$K$3:$K$22*(Calc!$G$3:$G$22&gt;A182)*(Calc!$G$3:$G$22-A182)*Calc!$I$3:$I$22)</f>
        <v/>
      </c>
      <c r="H182">
        <f>IF($B$11&gt;0,F182-$C$11*D182/$B$11,0)</f>
        <v/>
      </c>
      <c r="I182">
        <f>IF($B$11&gt;0,E182-D182^2/$B$11,0)</f>
        <v/>
      </c>
      <c r="J182">
        <f>IF($B$11&gt;0,G182-D182*$D$11/$B$11,0)</f>
        <v/>
      </c>
      <c r="K182">
        <f>$H$11*I182-H182^2</f>
        <v/>
      </c>
      <c r="L182">
        <f>IF(ABS(K182)&gt;1E-12,($H$11*J182-H182*$I$11)/K182,0)</f>
        <v/>
      </c>
      <c r="M182">
        <f>IF(ABS(K182)&gt;1E-12,(I182*$I$11-H182*J182)/K182,0)</f>
        <v/>
      </c>
      <c r="N182">
        <f>$J$11-M182*$I$11-L182*J182</f>
        <v/>
      </c>
      <c r="O182">
        <f>IF(AND(C182,ABS(K182)&gt;1E-12,L182&gt;0),N182,1E+300)</f>
        <v/>
      </c>
    </row>
    <row r="183">
      <c r="A183">
        <f>$K$11+($L$11-$K$11)*169/400</f>
        <v/>
      </c>
      <c r="B183">
        <f>SUMPRODUCT((Calc!$F$3:$F$22&lt;=LTP!$B$5)*Calc!$K$3:$K$22*(Calc!$G$3:$G$22&lt;=A183))</f>
        <v/>
      </c>
      <c r="C183">
        <f>AND(B183&gt;=2,$B$11-B183&gt;=2)</f>
        <v/>
      </c>
      <c r="D183">
        <f>SUMPRODUCT((Calc!$F$3:$F$22&lt;=LTP!$B$5)*Calc!$K$3:$K$22*(Calc!$G$3:$G$22&gt;A183)*(Calc!$G$3:$G$22-A183))</f>
        <v/>
      </c>
      <c r="E183">
        <f>SUMPRODUCT((Calc!$F$3:$F$22&lt;=LTP!$B$5)*Calc!$K$3:$K$22*(Calc!$G$3:$G$22&gt;A183)*(Calc!$G$3:$G$22-A183)^2)</f>
        <v/>
      </c>
      <c r="F183">
        <f>SUMPRODUCT((Calc!$F$3:$F$22&lt;=LTP!$B$5)*Calc!$K$3:$K$22*(Calc!$G$3:$G$22&gt;A183)*(Calc!$G$3:$G$22-A183)*Calc!$G$3:$G$22)</f>
        <v/>
      </c>
      <c r="G183">
        <f>SUMPRODUCT((Calc!$F$3:$F$22&lt;=LTP!$B$5)*Calc!$K$3:$K$22*(Calc!$G$3:$G$22&gt;A183)*(Calc!$G$3:$G$22-A183)*Calc!$I$3:$I$22)</f>
        <v/>
      </c>
      <c r="H183">
        <f>IF($B$11&gt;0,F183-$C$11*D183/$B$11,0)</f>
        <v/>
      </c>
      <c r="I183">
        <f>IF($B$11&gt;0,E183-D183^2/$B$11,0)</f>
        <v/>
      </c>
      <c r="J183">
        <f>IF($B$11&gt;0,G183-D183*$D$11/$B$11,0)</f>
        <v/>
      </c>
      <c r="K183">
        <f>$H$11*I183-H183^2</f>
        <v/>
      </c>
      <c r="L183">
        <f>IF(ABS(K183)&gt;1E-12,($H$11*J183-H183*$I$11)/K183,0)</f>
        <v/>
      </c>
      <c r="M183">
        <f>IF(ABS(K183)&gt;1E-12,(I183*$I$11-H183*J183)/K183,0)</f>
        <v/>
      </c>
      <c r="N183">
        <f>$J$11-M183*$I$11-L183*J183</f>
        <v/>
      </c>
      <c r="O183">
        <f>IF(AND(C183,ABS(K183)&gt;1E-12,L183&gt;0),N183,1E+300)</f>
        <v/>
      </c>
    </row>
    <row r="184">
      <c r="A184">
        <f>$K$11+($L$11-$K$11)*170/400</f>
        <v/>
      </c>
      <c r="B184">
        <f>SUMPRODUCT((Calc!$F$3:$F$22&lt;=LTP!$B$5)*Calc!$K$3:$K$22*(Calc!$G$3:$G$22&lt;=A184))</f>
        <v/>
      </c>
      <c r="C184">
        <f>AND(B184&gt;=2,$B$11-B184&gt;=2)</f>
        <v/>
      </c>
      <c r="D184">
        <f>SUMPRODUCT((Calc!$F$3:$F$22&lt;=LTP!$B$5)*Calc!$K$3:$K$22*(Calc!$G$3:$G$22&gt;A184)*(Calc!$G$3:$G$22-A184))</f>
        <v/>
      </c>
      <c r="E184">
        <f>SUMPRODUCT((Calc!$F$3:$F$22&lt;=LTP!$B$5)*Calc!$K$3:$K$22*(Calc!$G$3:$G$22&gt;A184)*(Calc!$G$3:$G$22-A184)^2)</f>
        <v/>
      </c>
      <c r="F184">
        <f>SUMPRODUCT((Calc!$F$3:$F$22&lt;=LTP!$B$5)*Calc!$K$3:$K$22*(Calc!$G$3:$G$22&gt;A184)*(Calc!$G$3:$G$22-A184)*Calc!$G$3:$G$22)</f>
        <v/>
      </c>
      <c r="G184">
        <f>SUMPRODUCT((Calc!$F$3:$F$22&lt;=LTP!$B$5)*Calc!$K$3:$K$22*(Calc!$G$3:$G$22&gt;A184)*(Calc!$G$3:$G$22-A184)*Calc!$I$3:$I$22)</f>
        <v/>
      </c>
      <c r="H184">
        <f>IF($B$11&gt;0,F184-$C$11*D184/$B$11,0)</f>
        <v/>
      </c>
      <c r="I184">
        <f>IF($B$11&gt;0,E184-D184^2/$B$11,0)</f>
        <v/>
      </c>
      <c r="J184">
        <f>IF($B$11&gt;0,G184-D184*$D$11/$B$11,0)</f>
        <v/>
      </c>
      <c r="K184">
        <f>$H$11*I184-H184^2</f>
        <v/>
      </c>
      <c r="L184">
        <f>IF(ABS(K184)&gt;1E-12,($H$11*J184-H184*$I$11)/K184,0)</f>
        <v/>
      </c>
      <c r="M184">
        <f>IF(ABS(K184)&gt;1E-12,(I184*$I$11-H184*J184)/K184,0)</f>
        <v/>
      </c>
      <c r="N184">
        <f>$J$11-M184*$I$11-L184*J184</f>
        <v/>
      </c>
      <c r="O184">
        <f>IF(AND(C184,ABS(K184)&gt;1E-12,L184&gt;0),N184,1E+300)</f>
        <v/>
      </c>
    </row>
    <row r="185">
      <c r="A185">
        <f>$K$11+($L$11-$K$11)*171/400</f>
        <v/>
      </c>
      <c r="B185">
        <f>SUMPRODUCT((Calc!$F$3:$F$22&lt;=LTP!$B$5)*Calc!$K$3:$K$22*(Calc!$G$3:$G$22&lt;=A185))</f>
        <v/>
      </c>
      <c r="C185">
        <f>AND(B185&gt;=2,$B$11-B185&gt;=2)</f>
        <v/>
      </c>
      <c r="D185">
        <f>SUMPRODUCT((Calc!$F$3:$F$22&lt;=LTP!$B$5)*Calc!$K$3:$K$22*(Calc!$G$3:$G$22&gt;A185)*(Calc!$G$3:$G$22-A185))</f>
        <v/>
      </c>
      <c r="E185">
        <f>SUMPRODUCT((Calc!$F$3:$F$22&lt;=LTP!$B$5)*Calc!$K$3:$K$22*(Calc!$G$3:$G$22&gt;A185)*(Calc!$G$3:$G$22-A185)^2)</f>
        <v/>
      </c>
      <c r="F185">
        <f>SUMPRODUCT((Calc!$F$3:$F$22&lt;=LTP!$B$5)*Calc!$K$3:$K$22*(Calc!$G$3:$G$22&gt;A185)*(Calc!$G$3:$G$22-A185)*Calc!$G$3:$G$22)</f>
        <v/>
      </c>
      <c r="G185">
        <f>SUMPRODUCT((Calc!$F$3:$F$22&lt;=LTP!$B$5)*Calc!$K$3:$K$22*(Calc!$G$3:$G$22&gt;A185)*(Calc!$G$3:$G$22-A185)*Calc!$I$3:$I$22)</f>
        <v/>
      </c>
      <c r="H185">
        <f>IF($B$11&gt;0,F185-$C$11*D185/$B$11,0)</f>
        <v/>
      </c>
      <c r="I185">
        <f>IF($B$11&gt;0,E185-D185^2/$B$11,0)</f>
        <v/>
      </c>
      <c r="J185">
        <f>IF($B$11&gt;0,G185-D185*$D$11/$B$11,0)</f>
        <v/>
      </c>
      <c r="K185">
        <f>$H$11*I185-H185^2</f>
        <v/>
      </c>
      <c r="L185">
        <f>IF(ABS(K185)&gt;1E-12,($H$11*J185-H185*$I$11)/K185,0)</f>
        <v/>
      </c>
      <c r="M185">
        <f>IF(ABS(K185)&gt;1E-12,(I185*$I$11-H185*J185)/K185,0)</f>
        <v/>
      </c>
      <c r="N185">
        <f>$J$11-M185*$I$11-L185*J185</f>
        <v/>
      </c>
      <c r="O185">
        <f>IF(AND(C185,ABS(K185)&gt;1E-12,L185&gt;0),N185,1E+300)</f>
        <v/>
      </c>
    </row>
    <row r="186">
      <c r="A186">
        <f>$K$11+($L$11-$K$11)*172/400</f>
        <v/>
      </c>
      <c r="B186">
        <f>SUMPRODUCT((Calc!$F$3:$F$22&lt;=LTP!$B$5)*Calc!$K$3:$K$22*(Calc!$G$3:$G$22&lt;=A186))</f>
        <v/>
      </c>
      <c r="C186">
        <f>AND(B186&gt;=2,$B$11-B186&gt;=2)</f>
        <v/>
      </c>
      <c r="D186">
        <f>SUMPRODUCT((Calc!$F$3:$F$22&lt;=LTP!$B$5)*Calc!$K$3:$K$22*(Calc!$G$3:$G$22&gt;A186)*(Calc!$G$3:$G$22-A186))</f>
        <v/>
      </c>
      <c r="E186">
        <f>SUMPRODUCT((Calc!$F$3:$F$22&lt;=LTP!$B$5)*Calc!$K$3:$K$22*(Calc!$G$3:$G$22&gt;A186)*(Calc!$G$3:$G$22-A186)^2)</f>
        <v/>
      </c>
      <c r="F186">
        <f>SUMPRODUCT((Calc!$F$3:$F$22&lt;=LTP!$B$5)*Calc!$K$3:$K$22*(Calc!$G$3:$G$22&gt;A186)*(Calc!$G$3:$G$22-A186)*Calc!$G$3:$G$22)</f>
        <v/>
      </c>
      <c r="G186">
        <f>SUMPRODUCT((Calc!$F$3:$F$22&lt;=LTP!$B$5)*Calc!$K$3:$K$22*(Calc!$G$3:$G$22&gt;A186)*(Calc!$G$3:$G$22-A186)*Calc!$I$3:$I$22)</f>
        <v/>
      </c>
      <c r="H186">
        <f>IF($B$11&gt;0,F186-$C$11*D186/$B$11,0)</f>
        <v/>
      </c>
      <c r="I186">
        <f>IF($B$11&gt;0,E186-D186^2/$B$11,0)</f>
        <v/>
      </c>
      <c r="J186">
        <f>IF($B$11&gt;0,G186-D186*$D$11/$B$11,0)</f>
        <v/>
      </c>
      <c r="K186">
        <f>$H$11*I186-H186^2</f>
        <v/>
      </c>
      <c r="L186">
        <f>IF(ABS(K186)&gt;1E-12,($H$11*J186-H186*$I$11)/K186,0)</f>
        <v/>
      </c>
      <c r="M186">
        <f>IF(ABS(K186)&gt;1E-12,(I186*$I$11-H186*J186)/K186,0)</f>
        <v/>
      </c>
      <c r="N186">
        <f>$J$11-M186*$I$11-L186*J186</f>
        <v/>
      </c>
      <c r="O186">
        <f>IF(AND(C186,ABS(K186)&gt;1E-12,L186&gt;0),N186,1E+300)</f>
        <v/>
      </c>
    </row>
    <row r="187">
      <c r="A187">
        <f>$K$11+($L$11-$K$11)*173/400</f>
        <v/>
      </c>
      <c r="B187">
        <f>SUMPRODUCT((Calc!$F$3:$F$22&lt;=LTP!$B$5)*Calc!$K$3:$K$22*(Calc!$G$3:$G$22&lt;=A187))</f>
        <v/>
      </c>
      <c r="C187">
        <f>AND(B187&gt;=2,$B$11-B187&gt;=2)</f>
        <v/>
      </c>
      <c r="D187">
        <f>SUMPRODUCT((Calc!$F$3:$F$22&lt;=LTP!$B$5)*Calc!$K$3:$K$22*(Calc!$G$3:$G$22&gt;A187)*(Calc!$G$3:$G$22-A187))</f>
        <v/>
      </c>
      <c r="E187">
        <f>SUMPRODUCT((Calc!$F$3:$F$22&lt;=LTP!$B$5)*Calc!$K$3:$K$22*(Calc!$G$3:$G$22&gt;A187)*(Calc!$G$3:$G$22-A187)^2)</f>
        <v/>
      </c>
      <c r="F187">
        <f>SUMPRODUCT((Calc!$F$3:$F$22&lt;=LTP!$B$5)*Calc!$K$3:$K$22*(Calc!$G$3:$G$22&gt;A187)*(Calc!$G$3:$G$22-A187)*Calc!$G$3:$G$22)</f>
        <v/>
      </c>
      <c r="G187">
        <f>SUMPRODUCT((Calc!$F$3:$F$22&lt;=LTP!$B$5)*Calc!$K$3:$K$22*(Calc!$G$3:$G$22&gt;A187)*(Calc!$G$3:$G$22-A187)*Calc!$I$3:$I$22)</f>
        <v/>
      </c>
      <c r="H187">
        <f>IF($B$11&gt;0,F187-$C$11*D187/$B$11,0)</f>
        <v/>
      </c>
      <c r="I187">
        <f>IF($B$11&gt;0,E187-D187^2/$B$11,0)</f>
        <v/>
      </c>
      <c r="J187">
        <f>IF($B$11&gt;0,G187-D187*$D$11/$B$11,0)</f>
        <v/>
      </c>
      <c r="K187">
        <f>$H$11*I187-H187^2</f>
        <v/>
      </c>
      <c r="L187">
        <f>IF(ABS(K187)&gt;1E-12,($H$11*J187-H187*$I$11)/K187,0)</f>
        <v/>
      </c>
      <c r="M187">
        <f>IF(ABS(K187)&gt;1E-12,(I187*$I$11-H187*J187)/K187,0)</f>
        <v/>
      </c>
      <c r="N187">
        <f>$J$11-M187*$I$11-L187*J187</f>
        <v/>
      </c>
      <c r="O187">
        <f>IF(AND(C187,ABS(K187)&gt;1E-12,L187&gt;0),N187,1E+300)</f>
        <v/>
      </c>
    </row>
    <row r="188">
      <c r="A188">
        <f>$K$11+($L$11-$K$11)*174/400</f>
        <v/>
      </c>
      <c r="B188">
        <f>SUMPRODUCT((Calc!$F$3:$F$22&lt;=LTP!$B$5)*Calc!$K$3:$K$22*(Calc!$G$3:$G$22&lt;=A188))</f>
        <v/>
      </c>
      <c r="C188">
        <f>AND(B188&gt;=2,$B$11-B188&gt;=2)</f>
        <v/>
      </c>
      <c r="D188">
        <f>SUMPRODUCT((Calc!$F$3:$F$22&lt;=LTP!$B$5)*Calc!$K$3:$K$22*(Calc!$G$3:$G$22&gt;A188)*(Calc!$G$3:$G$22-A188))</f>
        <v/>
      </c>
      <c r="E188">
        <f>SUMPRODUCT((Calc!$F$3:$F$22&lt;=LTP!$B$5)*Calc!$K$3:$K$22*(Calc!$G$3:$G$22&gt;A188)*(Calc!$G$3:$G$22-A188)^2)</f>
        <v/>
      </c>
      <c r="F188">
        <f>SUMPRODUCT((Calc!$F$3:$F$22&lt;=LTP!$B$5)*Calc!$K$3:$K$22*(Calc!$G$3:$G$22&gt;A188)*(Calc!$G$3:$G$22-A188)*Calc!$G$3:$G$22)</f>
        <v/>
      </c>
      <c r="G188">
        <f>SUMPRODUCT((Calc!$F$3:$F$22&lt;=LTP!$B$5)*Calc!$K$3:$K$22*(Calc!$G$3:$G$22&gt;A188)*(Calc!$G$3:$G$22-A188)*Calc!$I$3:$I$22)</f>
        <v/>
      </c>
      <c r="H188">
        <f>IF($B$11&gt;0,F188-$C$11*D188/$B$11,0)</f>
        <v/>
      </c>
      <c r="I188">
        <f>IF($B$11&gt;0,E188-D188^2/$B$11,0)</f>
        <v/>
      </c>
      <c r="J188">
        <f>IF($B$11&gt;0,G188-D188*$D$11/$B$11,0)</f>
        <v/>
      </c>
      <c r="K188">
        <f>$H$11*I188-H188^2</f>
        <v/>
      </c>
      <c r="L188">
        <f>IF(ABS(K188)&gt;1E-12,($H$11*J188-H188*$I$11)/K188,0)</f>
        <v/>
      </c>
      <c r="M188">
        <f>IF(ABS(K188)&gt;1E-12,(I188*$I$11-H188*J188)/K188,0)</f>
        <v/>
      </c>
      <c r="N188">
        <f>$J$11-M188*$I$11-L188*J188</f>
        <v/>
      </c>
      <c r="O188">
        <f>IF(AND(C188,ABS(K188)&gt;1E-12,L188&gt;0),N188,1E+300)</f>
        <v/>
      </c>
    </row>
    <row r="189">
      <c r="A189">
        <f>$K$11+($L$11-$K$11)*175/400</f>
        <v/>
      </c>
      <c r="B189">
        <f>SUMPRODUCT((Calc!$F$3:$F$22&lt;=LTP!$B$5)*Calc!$K$3:$K$22*(Calc!$G$3:$G$22&lt;=A189))</f>
        <v/>
      </c>
      <c r="C189">
        <f>AND(B189&gt;=2,$B$11-B189&gt;=2)</f>
        <v/>
      </c>
      <c r="D189">
        <f>SUMPRODUCT((Calc!$F$3:$F$22&lt;=LTP!$B$5)*Calc!$K$3:$K$22*(Calc!$G$3:$G$22&gt;A189)*(Calc!$G$3:$G$22-A189))</f>
        <v/>
      </c>
      <c r="E189">
        <f>SUMPRODUCT((Calc!$F$3:$F$22&lt;=LTP!$B$5)*Calc!$K$3:$K$22*(Calc!$G$3:$G$22&gt;A189)*(Calc!$G$3:$G$22-A189)^2)</f>
        <v/>
      </c>
      <c r="F189">
        <f>SUMPRODUCT((Calc!$F$3:$F$22&lt;=LTP!$B$5)*Calc!$K$3:$K$22*(Calc!$G$3:$G$22&gt;A189)*(Calc!$G$3:$G$22-A189)*Calc!$G$3:$G$22)</f>
        <v/>
      </c>
      <c r="G189">
        <f>SUMPRODUCT((Calc!$F$3:$F$22&lt;=LTP!$B$5)*Calc!$K$3:$K$22*(Calc!$G$3:$G$22&gt;A189)*(Calc!$G$3:$G$22-A189)*Calc!$I$3:$I$22)</f>
        <v/>
      </c>
      <c r="H189">
        <f>IF($B$11&gt;0,F189-$C$11*D189/$B$11,0)</f>
        <v/>
      </c>
      <c r="I189">
        <f>IF($B$11&gt;0,E189-D189^2/$B$11,0)</f>
        <v/>
      </c>
      <c r="J189">
        <f>IF($B$11&gt;0,G189-D189*$D$11/$B$11,0)</f>
        <v/>
      </c>
      <c r="K189">
        <f>$H$11*I189-H189^2</f>
        <v/>
      </c>
      <c r="L189">
        <f>IF(ABS(K189)&gt;1E-12,($H$11*J189-H189*$I$11)/K189,0)</f>
        <v/>
      </c>
      <c r="M189">
        <f>IF(ABS(K189)&gt;1E-12,(I189*$I$11-H189*J189)/K189,0)</f>
        <v/>
      </c>
      <c r="N189">
        <f>$J$11-M189*$I$11-L189*J189</f>
        <v/>
      </c>
      <c r="O189">
        <f>IF(AND(C189,ABS(K189)&gt;1E-12,L189&gt;0),N189,1E+300)</f>
        <v/>
      </c>
    </row>
    <row r="190">
      <c r="A190">
        <f>$K$11+($L$11-$K$11)*176/400</f>
        <v/>
      </c>
      <c r="B190">
        <f>SUMPRODUCT((Calc!$F$3:$F$22&lt;=LTP!$B$5)*Calc!$K$3:$K$22*(Calc!$G$3:$G$22&lt;=A190))</f>
        <v/>
      </c>
      <c r="C190">
        <f>AND(B190&gt;=2,$B$11-B190&gt;=2)</f>
        <v/>
      </c>
      <c r="D190">
        <f>SUMPRODUCT((Calc!$F$3:$F$22&lt;=LTP!$B$5)*Calc!$K$3:$K$22*(Calc!$G$3:$G$22&gt;A190)*(Calc!$G$3:$G$22-A190))</f>
        <v/>
      </c>
      <c r="E190">
        <f>SUMPRODUCT((Calc!$F$3:$F$22&lt;=LTP!$B$5)*Calc!$K$3:$K$22*(Calc!$G$3:$G$22&gt;A190)*(Calc!$G$3:$G$22-A190)^2)</f>
        <v/>
      </c>
      <c r="F190">
        <f>SUMPRODUCT((Calc!$F$3:$F$22&lt;=LTP!$B$5)*Calc!$K$3:$K$22*(Calc!$G$3:$G$22&gt;A190)*(Calc!$G$3:$G$22-A190)*Calc!$G$3:$G$22)</f>
        <v/>
      </c>
      <c r="G190">
        <f>SUMPRODUCT((Calc!$F$3:$F$22&lt;=LTP!$B$5)*Calc!$K$3:$K$22*(Calc!$G$3:$G$22&gt;A190)*(Calc!$G$3:$G$22-A190)*Calc!$I$3:$I$22)</f>
        <v/>
      </c>
      <c r="H190">
        <f>IF($B$11&gt;0,F190-$C$11*D190/$B$11,0)</f>
        <v/>
      </c>
      <c r="I190">
        <f>IF($B$11&gt;0,E190-D190^2/$B$11,0)</f>
        <v/>
      </c>
      <c r="J190">
        <f>IF($B$11&gt;0,G190-D190*$D$11/$B$11,0)</f>
        <v/>
      </c>
      <c r="K190">
        <f>$H$11*I190-H190^2</f>
        <v/>
      </c>
      <c r="L190">
        <f>IF(ABS(K190)&gt;1E-12,($H$11*J190-H190*$I$11)/K190,0)</f>
        <v/>
      </c>
      <c r="M190">
        <f>IF(ABS(K190)&gt;1E-12,(I190*$I$11-H190*J190)/K190,0)</f>
        <v/>
      </c>
      <c r="N190">
        <f>$J$11-M190*$I$11-L190*J190</f>
        <v/>
      </c>
      <c r="O190">
        <f>IF(AND(C190,ABS(K190)&gt;1E-12,L190&gt;0),N190,1E+300)</f>
        <v/>
      </c>
    </row>
    <row r="191">
      <c r="A191">
        <f>$K$11+($L$11-$K$11)*177/400</f>
        <v/>
      </c>
      <c r="B191">
        <f>SUMPRODUCT((Calc!$F$3:$F$22&lt;=LTP!$B$5)*Calc!$K$3:$K$22*(Calc!$G$3:$G$22&lt;=A191))</f>
        <v/>
      </c>
      <c r="C191">
        <f>AND(B191&gt;=2,$B$11-B191&gt;=2)</f>
        <v/>
      </c>
      <c r="D191">
        <f>SUMPRODUCT((Calc!$F$3:$F$22&lt;=LTP!$B$5)*Calc!$K$3:$K$22*(Calc!$G$3:$G$22&gt;A191)*(Calc!$G$3:$G$22-A191))</f>
        <v/>
      </c>
      <c r="E191">
        <f>SUMPRODUCT((Calc!$F$3:$F$22&lt;=LTP!$B$5)*Calc!$K$3:$K$22*(Calc!$G$3:$G$22&gt;A191)*(Calc!$G$3:$G$22-A191)^2)</f>
        <v/>
      </c>
      <c r="F191">
        <f>SUMPRODUCT((Calc!$F$3:$F$22&lt;=LTP!$B$5)*Calc!$K$3:$K$22*(Calc!$G$3:$G$22&gt;A191)*(Calc!$G$3:$G$22-A191)*Calc!$G$3:$G$22)</f>
        <v/>
      </c>
      <c r="G191">
        <f>SUMPRODUCT((Calc!$F$3:$F$22&lt;=LTP!$B$5)*Calc!$K$3:$K$22*(Calc!$G$3:$G$22&gt;A191)*(Calc!$G$3:$G$22-A191)*Calc!$I$3:$I$22)</f>
        <v/>
      </c>
      <c r="H191">
        <f>IF($B$11&gt;0,F191-$C$11*D191/$B$11,0)</f>
        <v/>
      </c>
      <c r="I191">
        <f>IF($B$11&gt;0,E191-D191^2/$B$11,0)</f>
        <v/>
      </c>
      <c r="J191">
        <f>IF($B$11&gt;0,G191-D191*$D$11/$B$11,0)</f>
        <v/>
      </c>
      <c r="K191">
        <f>$H$11*I191-H191^2</f>
        <v/>
      </c>
      <c r="L191">
        <f>IF(ABS(K191)&gt;1E-12,($H$11*J191-H191*$I$11)/K191,0)</f>
        <v/>
      </c>
      <c r="M191">
        <f>IF(ABS(K191)&gt;1E-12,(I191*$I$11-H191*J191)/K191,0)</f>
        <v/>
      </c>
      <c r="N191">
        <f>$J$11-M191*$I$11-L191*J191</f>
        <v/>
      </c>
      <c r="O191">
        <f>IF(AND(C191,ABS(K191)&gt;1E-12,L191&gt;0),N191,1E+300)</f>
        <v/>
      </c>
    </row>
    <row r="192">
      <c r="A192">
        <f>$K$11+($L$11-$K$11)*178/400</f>
        <v/>
      </c>
      <c r="B192">
        <f>SUMPRODUCT((Calc!$F$3:$F$22&lt;=LTP!$B$5)*Calc!$K$3:$K$22*(Calc!$G$3:$G$22&lt;=A192))</f>
        <v/>
      </c>
      <c r="C192">
        <f>AND(B192&gt;=2,$B$11-B192&gt;=2)</f>
        <v/>
      </c>
      <c r="D192">
        <f>SUMPRODUCT((Calc!$F$3:$F$22&lt;=LTP!$B$5)*Calc!$K$3:$K$22*(Calc!$G$3:$G$22&gt;A192)*(Calc!$G$3:$G$22-A192))</f>
        <v/>
      </c>
      <c r="E192">
        <f>SUMPRODUCT((Calc!$F$3:$F$22&lt;=LTP!$B$5)*Calc!$K$3:$K$22*(Calc!$G$3:$G$22&gt;A192)*(Calc!$G$3:$G$22-A192)^2)</f>
        <v/>
      </c>
      <c r="F192">
        <f>SUMPRODUCT((Calc!$F$3:$F$22&lt;=LTP!$B$5)*Calc!$K$3:$K$22*(Calc!$G$3:$G$22&gt;A192)*(Calc!$G$3:$G$22-A192)*Calc!$G$3:$G$22)</f>
        <v/>
      </c>
      <c r="G192">
        <f>SUMPRODUCT((Calc!$F$3:$F$22&lt;=LTP!$B$5)*Calc!$K$3:$K$22*(Calc!$G$3:$G$22&gt;A192)*(Calc!$G$3:$G$22-A192)*Calc!$I$3:$I$22)</f>
        <v/>
      </c>
      <c r="H192">
        <f>IF($B$11&gt;0,F192-$C$11*D192/$B$11,0)</f>
        <v/>
      </c>
      <c r="I192">
        <f>IF($B$11&gt;0,E192-D192^2/$B$11,0)</f>
        <v/>
      </c>
      <c r="J192">
        <f>IF($B$11&gt;0,G192-D192*$D$11/$B$11,0)</f>
        <v/>
      </c>
      <c r="K192">
        <f>$H$11*I192-H192^2</f>
        <v/>
      </c>
      <c r="L192">
        <f>IF(ABS(K192)&gt;1E-12,($H$11*J192-H192*$I$11)/K192,0)</f>
        <v/>
      </c>
      <c r="M192">
        <f>IF(ABS(K192)&gt;1E-12,(I192*$I$11-H192*J192)/K192,0)</f>
        <v/>
      </c>
      <c r="N192">
        <f>$J$11-M192*$I$11-L192*J192</f>
        <v/>
      </c>
      <c r="O192">
        <f>IF(AND(C192,ABS(K192)&gt;1E-12,L192&gt;0),N192,1E+300)</f>
        <v/>
      </c>
    </row>
    <row r="193">
      <c r="A193">
        <f>$K$11+($L$11-$K$11)*179/400</f>
        <v/>
      </c>
      <c r="B193">
        <f>SUMPRODUCT((Calc!$F$3:$F$22&lt;=LTP!$B$5)*Calc!$K$3:$K$22*(Calc!$G$3:$G$22&lt;=A193))</f>
        <v/>
      </c>
      <c r="C193">
        <f>AND(B193&gt;=2,$B$11-B193&gt;=2)</f>
        <v/>
      </c>
      <c r="D193">
        <f>SUMPRODUCT((Calc!$F$3:$F$22&lt;=LTP!$B$5)*Calc!$K$3:$K$22*(Calc!$G$3:$G$22&gt;A193)*(Calc!$G$3:$G$22-A193))</f>
        <v/>
      </c>
      <c r="E193">
        <f>SUMPRODUCT((Calc!$F$3:$F$22&lt;=LTP!$B$5)*Calc!$K$3:$K$22*(Calc!$G$3:$G$22&gt;A193)*(Calc!$G$3:$G$22-A193)^2)</f>
        <v/>
      </c>
      <c r="F193">
        <f>SUMPRODUCT((Calc!$F$3:$F$22&lt;=LTP!$B$5)*Calc!$K$3:$K$22*(Calc!$G$3:$G$22&gt;A193)*(Calc!$G$3:$G$22-A193)*Calc!$G$3:$G$22)</f>
        <v/>
      </c>
      <c r="G193">
        <f>SUMPRODUCT((Calc!$F$3:$F$22&lt;=LTP!$B$5)*Calc!$K$3:$K$22*(Calc!$G$3:$G$22&gt;A193)*(Calc!$G$3:$G$22-A193)*Calc!$I$3:$I$22)</f>
        <v/>
      </c>
      <c r="H193">
        <f>IF($B$11&gt;0,F193-$C$11*D193/$B$11,0)</f>
        <v/>
      </c>
      <c r="I193">
        <f>IF($B$11&gt;0,E193-D193^2/$B$11,0)</f>
        <v/>
      </c>
      <c r="J193">
        <f>IF($B$11&gt;0,G193-D193*$D$11/$B$11,0)</f>
        <v/>
      </c>
      <c r="K193">
        <f>$H$11*I193-H193^2</f>
        <v/>
      </c>
      <c r="L193">
        <f>IF(ABS(K193)&gt;1E-12,($H$11*J193-H193*$I$11)/K193,0)</f>
        <v/>
      </c>
      <c r="M193">
        <f>IF(ABS(K193)&gt;1E-12,(I193*$I$11-H193*J193)/K193,0)</f>
        <v/>
      </c>
      <c r="N193">
        <f>$J$11-M193*$I$11-L193*J193</f>
        <v/>
      </c>
      <c r="O193">
        <f>IF(AND(C193,ABS(K193)&gt;1E-12,L193&gt;0),N193,1E+300)</f>
        <v/>
      </c>
    </row>
    <row r="194">
      <c r="A194">
        <f>$K$11+($L$11-$K$11)*180/400</f>
        <v/>
      </c>
      <c r="B194">
        <f>SUMPRODUCT((Calc!$F$3:$F$22&lt;=LTP!$B$5)*Calc!$K$3:$K$22*(Calc!$G$3:$G$22&lt;=A194))</f>
        <v/>
      </c>
      <c r="C194">
        <f>AND(B194&gt;=2,$B$11-B194&gt;=2)</f>
        <v/>
      </c>
      <c r="D194">
        <f>SUMPRODUCT((Calc!$F$3:$F$22&lt;=LTP!$B$5)*Calc!$K$3:$K$22*(Calc!$G$3:$G$22&gt;A194)*(Calc!$G$3:$G$22-A194))</f>
        <v/>
      </c>
      <c r="E194">
        <f>SUMPRODUCT((Calc!$F$3:$F$22&lt;=LTP!$B$5)*Calc!$K$3:$K$22*(Calc!$G$3:$G$22&gt;A194)*(Calc!$G$3:$G$22-A194)^2)</f>
        <v/>
      </c>
      <c r="F194">
        <f>SUMPRODUCT((Calc!$F$3:$F$22&lt;=LTP!$B$5)*Calc!$K$3:$K$22*(Calc!$G$3:$G$22&gt;A194)*(Calc!$G$3:$G$22-A194)*Calc!$G$3:$G$22)</f>
        <v/>
      </c>
      <c r="G194">
        <f>SUMPRODUCT((Calc!$F$3:$F$22&lt;=LTP!$B$5)*Calc!$K$3:$K$22*(Calc!$G$3:$G$22&gt;A194)*(Calc!$G$3:$G$22-A194)*Calc!$I$3:$I$22)</f>
        <v/>
      </c>
      <c r="H194">
        <f>IF($B$11&gt;0,F194-$C$11*D194/$B$11,0)</f>
        <v/>
      </c>
      <c r="I194">
        <f>IF($B$11&gt;0,E194-D194^2/$B$11,0)</f>
        <v/>
      </c>
      <c r="J194">
        <f>IF($B$11&gt;0,G194-D194*$D$11/$B$11,0)</f>
        <v/>
      </c>
      <c r="K194">
        <f>$H$11*I194-H194^2</f>
        <v/>
      </c>
      <c r="L194">
        <f>IF(ABS(K194)&gt;1E-12,($H$11*J194-H194*$I$11)/K194,0)</f>
        <v/>
      </c>
      <c r="M194">
        <f>IF(ABS(K194)&gt;1E-12,(I194*$I$11-H194*J194)/K194,0)</f>
        <v/>
      </c>
      <c r="N194">
        <f>$J$11-M194*$I$11-L194*J194</f>
        <v/>
      </c>
      <c r="O194">
        <f>IF(AND(C194,ABS(K194)&gt;1E-12,L194&gt;0),N194,1E+300)</f>
        <v/>
      </c>
    </row>
    <row r="195">
      <c r="A195">
        <f>$K$11+($L$11-$K$11)*181/400</f>
        <v/>
      </c>
      <c r="B195">
        <f>SUMPRODUCT((Calc!$F$3:$F$22&lt;=LTP!$B$5)*Calc!$K$3:$K$22*(Calc!$G$3:$G$22&lt;=A195))</f>
        <v/>
      </c>
      <c r="C195">
        <f>AND(B195&gt;=2,$B$11-B195&gt;=2)</f>
        <v/>
      </c>
      <c r="D195">
        <f>SUMPRODUCT((Calc!$F$3:$F$22&lt;=LTP!$B$5)*Calc!$K$3:$K$22*(Calc!$G$3:$G$22&gt;A195)*(Calc!$G$3:$G$22-A195))</f>
        <v/>
      </c>
      <c r="E195">
        <f>SUMPRODUCT((Calc!$F$3:$F$22&lt;=LTP!$B$5)*Calc!$K$3:$K$22*(Calc!$G$3:$G$22&gt;A195)*(Calc!$G$3:$G$22-A195)^2)</f>
        <v/>
      </c>
      <c r="F195">
        <f>SUMPRODUCT((Calc!$F$3:$F$22&lt;=LTP!$B$5)*Calc!$K$3:$K$22*(Calc!$G$3:$G$22&gt;A195)*(Calc!$G$3:$G$22-A195)*Calc!$G$3:$G$22)</f>
        <v/>
      </c>
      <c r="G195">
        <f>SUMPRODUCT((Calc!$F$3:$F$22&lt;=LTP!$B$5)*Calc!$K$3:$K$22*(Calc!$G$3:$G$22&gt;A195)*(Calc!$G$3:$G$22-A195)*Calc!$I$3:$I$22)</f>
        <v/>
      </c>
      <c r="H195">
        <f>IF($B$11&gt;0,F195-$C$11*D195/$B$11,0)</f>
        <v/>
      </c>
      <c r="I195">
        <f>IF($B$11&gt;0,E195-D195^2/$B$11,0)</f>
        <v/>
      </c>
      <c r="J195">
        <f>IF($B$11&gt;0,G195-D195*$D$11/$B$11,0)</f>
        <v/>
      </c>
      <c r="K195">
        <f>$H$11*I195-H195^2</f>
        <v/>
      </c>
      <c r="L195">
        <f>IF(ABS(K195)&gt;1E-12,($H$11*J195-H195*$I$11)/K195,0)</f>
        <v/>
      </c>
      <c r="M195">
        <f>IF(ABS(K195)&gt;1E-12,(I195*$I$11-H195*J195)/K195,0)</f>
        <v/>
      </c>
      <c r="N195">
        <f>$J$11-M195*$I$11-L195*J195</f>
        <v/>
      </c>
      <c r="O195">
        <f>IF(AND(C195,ABS(K195)&gt;1E-12,L195&gt;0),N195,1E+300)</f>
        <v/>
      </c>
    </row>
    <row r="196">
      <c r="A196">
        <f>$K$11+($L$11-$K$11)*182/400</f>
        <v/>
      </c>
      <c r="B196">
        <f>SUMPRODUCT((Calc!$F$3:$F$22&lt;=LTP!$B$5)*Calc!$K$3:$K$22*(Calc!$G$3:$G$22&lt;=A196))</f>
        <v/>
      </c>
      <c r="C196">
        <f>AND(B196&gt;=2,$B$11-B196&gt;=2)</f>
        <v/>
      </c>
      <c r="D196">
        <f>SUMPRODUCT((Calc!$F$3:$F$22&lt;=LTP!$B$5)*Calc!$K$3:$K$22*(Calc!$G$3:$G$22&gt;A196)*(Calc!$G$3:$G$22-A196))</f>
        <v/>
      </c>
      <c r="E196">
        <f>SUMPRODUCT((Calc!$F$3:$F$22&lt;=LTP!$B$5)*Calc!$K$3:$K$22*(Calc!$G$3:$G$22&gt;A196)*(Calc!$G$3:$G$22-A196)^2)</f>
        <v/>
      </c>
      <c r="F196">
        <f>SUMPRODUCT((Calc!$F$3:$F$22&lt;=LTP!$B$5)*Calc!$K$3:$K$22*(Calc!$G$3:$G$22&gt;A196)*(Calc!$G$3:$G$22-A196)*Calc!$G$3:$G$22)</f>
        <v/>
      </c>
      <c r="G196">
        <f>SUMPRODUCT((Calc!$F$3:$F$22&lt;=LTP!$B$5)*Calc!$K$3:$K$22*(Calc!$G$3:$G$22&gt;A196)*(Calc!$G$3:$G$22-A196)*Calc!$I$3:$I$22)</f>
        <v/>
      </c>
      <c r="H196">
        <f>IF($B$11&gt;0,F196-$C$11*D196/$B$11,0)</f>
        <v/>
      </c>
      <c r="I196">
        <f>IF($B$11&gt;0,E196-D196^2/$B$11,0)</f>
        <v/>
      </c>
      <c r="J196">
        <f>IF($B$11&gt;0,G196-D196*$D$11/$B$11,0)</f>
        <v/>
      </c>
      <c r="K196">
        <f>$H$11*I196-H196^2</f>
        <v/>
      </c>
      <c r="L196">
        <f>IF(ABS(K196)&gt;1E-12,($H$11*J196-H196*$I$11)/K196,0)</f>
        <v/>
      </c>
      <c r="M196">
        <f>IF(ABS(K196)&gt;1E-12,(I196*$I$11-H196*J196)/K196,0)</f>
        <v/>
      </c>
      <c r="N196">
        <f>$J$11-M196*$I$11-L196*J196</f>
        <v/>
      </c>
      <c r="O196">
        <f>IF(AND(C196,ABS(K196)&gt;1E-12,L196&gt;0),N196,1E+300)</f>
        <v/>
      </c>
    </row>
    <row r="197">
      <c r="A197">
        <f>$K$11+($L$11-$K$11)*183/400</f>
        <v/>
      </c>
      <c r="B197">
        <f>SUMPRODUCT((Calc!$F$3:$F$22&lt;=LTP!$B$5)*Calc!$K$3:$K$22*(Calc!$G$3:$G$22&lt;=A197))</f>
        <v/>
      </c>
      <c r="C197">
        <f>AND(B197&gt;=2,$B$11-B197&gt;=2)</f>
        <v/>
      </c>
      <c r="D197">
        <f>SUMPRODUCT((Calc!$F$3:$F$22&lt;=LTP!$B$5)*Calc!$K$3:$K$22*(Calc!$G$3:$G$22&gt;A197)*(Calc!$G$3:$G$22-A197))</f>
        <v/>
      </c>
      <c r="E197">
        <f>SUMPRODUCT((Calc!$F$3:$F$22&lt;=LTP!$B$5)*Calc!$K$3:$K$22*(Calc!$G$3:$G$22&gt;A197)*(Calc!$G$3:$G$22-A197)^2)</f>
        <v/>
      </c>
      <c r="F197">
        <f>SUMPRODUCT((Calc!$F$3:$F$22&lt;=LTP!$B$5)*Calc!$K$3:$K$22*(Calc!$G$3:$G$22&gt;A197)*(Calc!$G$3:$G$22-A197)*Calc!$G$3:$G$22)</f>
        <v/>
      </c>
      <c r="G197">
        <f>SUMPRODUCT((Calc!$F$3:$F$22&lt;=LTP!$B$5)*Calc!$K$3:$K$22*(Calc!$G$3:$G$22&gt;A197)*(Calc!$G$3:$G$22-A197)*Calc!$I$3:$I$22)</f>
        <v/>
      </c>
      <c r="H197">
        <f>IF($B$11&gt;0,F197-$C$11*D197/$B$11,0)</f>
        <v/>
      </c>
      <c r="I197">
        <f>IF($B$11&gt;0,E197-D197^2/$B$11,0)</f>
        <v/>
      </c>
      <c r="J197">
        <f>IF($B$11&gt;0,G197-D197*$D$11/$B$11,0)</f>
        <v/>
      </c>
      <c r="K197">
        <f>$H$11*I197-H197^2</f>
        <v/>
      </c>
      <c r="L197">
        <f>IF(ABS(K197)&gt;1E-12,($H$11*J197-H197*$I$11)/K197,0)</f>
        <v/>
      </c>
      <c r="M197">
        <f>IF(ABS(K197)&gt;1E-12,(I197*$I$11-H197*J197)/K197,0)</f>
        <v/>
      </c>
      <c r="N197">
        <f>$J$11-M197*$I$11-L197*J197</f>
        <v/>
      </c>
      <c r="O197">
        <f>IF(AND(C197,ABS(K197)&gt;1E-12,L197&gt;0),N197,1E+300)</f>
        <v/>
      </c>
    </row>
    <row r="198">
      <c r="A198">
        <f>$K$11+($L$11-$K$11)*184/400</f>
        <v/>
      </c>
      <c r="B198">
        <f>SUMPRODUCT((Calc!$F$3:$F$22&lt;=LTP!$B$5)*Calc!$K$3:$K$22*(Calc!$G$3:$G$22&lt;=A198))</f>
        <v/>
      </c>
      <c r="C198">
        <f>AND(B198&gt;=2,$B$11-B198&gt;=2)</f>
        <v/>
      </c>
      <c r="D198">
        <f>SUMPRODUCT((Calc!$F$3:$F$22&lt;=LTP!$B$5)*Calc!$K$3:$K$22*(Calc!$G$3:$G$22&gt;A198)*(Calc!$G$3:$G$22-A198))</f>
        <v/>
      </c>
      <c r="E198">
        <f>SUMPRODUCT((Calc!$F$3:$F$22&lt;=LTP!$B$5)*Calc!$K$3:$K$22*(Calc!$G$3:$G$22&gt;A198)*(Calc!$G$3:$G$22-A198)^2)</f>
        <v/>
      </c>
      <c r="F198">
        <f>SUMPRODUCT((Calc!$F$3:$F$22&lt;=LTP!$B$5)*Calc!$K$3:$K$22*(Calc!$G$3:$G$22&gt;A198)*(Calc!$G$3:$G$22-A198)*Calc!$G$3:$G$22)</f>
        <v/>
      </c>
      <c r="G198">
        <f>SUMPRODUCT((Calc!$F$3:$F$22&lt;=LTP!$B$5)*Calc!$K$3:$K$22*(Calc!$G$3:$G$22&gt;A198)*(Calc!$G$3:$G$22-A198)*Calc!$I$3:$I$22)</f>
        <v/>
      </c>
      <c r="H198">
        <f>IF($B$11&gt;0,F198-$C$11*D198/$B$11,0)</f>
        <v/>
      </c>
      <c r="I198">
        <f>IF($B$11&gt;0,E198-D198^2/$B$11,0)</f>
        <v/>
      </c>
      <c r="J198">
        <f>IF($B$11&gt;0,G198-D198*$D$11/$B$11,0)</f>
        <v/>
      </c>
      <c r="K198">
        <f>$H$11*I198-H198^2</f>
        <v/>
      </c>
      <c r="L198">
        <f>IF(ABS(K198)&gt;1E-12,($H$11*J198-H198*$I$11)/K198,0)</f>
        <v/>
      </c>
      <c r="M198">
        <f>IF(ABS(K198)&gt;1E-12,(I198*$I$11-H198*J198)/K198,0)</f>
        <v/>
      </c>
      <c r="N198">
        <f>$J$11-M198*$I$11-L198*J198</f>
        <v/>
      </c>
      <c r="O198">
        <f>IF(AND(C198,ABS(K198)&gt;1E-12,L198&gt;0),N198,1E+300)</f>
        <v/>
      </c>
    </row>
    <row r="199">
      <c r="A199">
        <f>$K$11+($L$11-$K$11)*185/400</f>
        <v/>
      </c>
      <c r="B199">
        <f>SUMPRODUCT((Calc!$F$3:$F$22&lt;=LTP!$B$5)*Calc!$K$3:$K$22*(Calc!$G$3:$G$22&lt;=A199))</f>
        <v/>
      </c>
      <c r="C199">
        <f>AND(B199&gt;=2,$B$11-B199&gt;=2)</f>
        <v/>
      </c>
      <c r="D199">
        <f>SUMPRODUCT((Calc!$F$3:$F$22&lt;=LTP!$B$5)*Calc!$K$3:$K$22*(Calc!$G$3:$G$22&gt;A199)*(Calc!$G$3:$G$22-A199))</f>
        <v/>
      </c>
      <c r="E199">
        <f>SUMPRODUCT((Calc!$F$3:$F$22&lt;=LTP!$B$5)*Calc!$K$3:$K$22*(Calc!$G$3:$G$22&gt;A199)*(Calc!$G$3:$G$22-A199)^2)</f>
        <v/>
      </c>
      <c r="F199">
        <f>SUMPRODUCT((Calc!$F$3:$F$22&lt;=LTP!$B$5)*Calc!$K$3:$K$22*(Calc!$G$3:$G$22&gt;A199)*(Calc!$G$3:$G$22-A199)*Calc!$G$3:$G$22)</f>
        <v/>
      </c>
      <c r="G199">
        <f>SUMPRODUCT((Calc!$F$3:$F$22&lt;=LTP!$B$5)*Calc!$K$3:$K$22*(Calc!$G$3:$G$22&gt;A199)*(Calc!$G$3:$G$22-A199)*Calc!$I$3:$I$22)</f>
        <v/>
      </c>
      <c r="H199">
        <f>IF($B$11&gt;0,F199-$C$11*D199/$B$11,0)</f>
        <v/>
      </c>
      <c r="I199">
        <f>IF($B$11&gt;0,E199-D199^2/$B$11,0)</f>
        <v/>
      </c>
      <c r="J199">
        <f>IF($B$11&gt;0,G199-D199*$D$11/$B$11,0)</f>
        <v/>
      </c>
      <c r="K199">
        <f>$H$11*I199-H199^2</f>
        <v/>
      </c>
      <c r="L199">
        <f>IF(ABS(K199)&gt;1E-12,($H$11*J199-H199*$I$11)/K199,0)</f>
        <v/>
      </c>
      <c r="M199">
        <f>IF(ABS(K199)&gt;1E-12,(I199*$I$11-H199*J199)/K199,0)</f>
        <v/>
      </c>
      <c r="N199">
        <f>$J$11-M199*$I$11-L199*J199</f>
        <v/>
      </c>
      <c r="O199">
        <f>IF(AND(C199,ABS(K199)&gt;1E-12,L199&gt;0),N199,1E+300)</f>
        <v/>
      </c>
    </row>
    <row r="200">
      <c r="A200">
        <f>$K$11+($L$11-$K$11)*186/400</f>
        <v/>
      </c>
      <c r="B200">
        <f>SUMPRODUCT((Calc!$F$3:$F$22&lt;=LTP!$B$5)*Calc!$K$3:$K$22*(Calc!$G$3:$G$22&lt;=A200))</f>
        <v/>
      </c>
      <c r="C200">
        <f>AND(B200&gt;=2,$B$11-B200&gt;=2)</f>
        <v/>
      </c>
      <c r="D200">
        <f>SUMPRODUCT((Calc!$F$3:$F$22&lt;=LTP!$B$5)*Calc!$K$3:$K$22*(Calc!$G$3:$G$22&gt;A200)*(Calc!$G$3:$G$22-A200))</f>
        <v/>
      </c>
      <c r="E200">
        <f>SUMPRODUCT((Calc!$F$3:$F$22&lt;=LTP!$B$5)*Calc!$K$3:$K$22*(Calc!$G$3:$G$22&gt;A200)*(Calc!$G$3:$G$22-A200)^2)</f>
        <v/>
      </c>
      <c r="F200">
        <f>SUMPRODUCT((Calc!$F$3:$F$22&lt;=LTP!$B$5)*Calc!$K$3:$K$22*(Calc!$G$3:$G$22&gt;A200)*(Calc!$G$3:$G$22-A200)*Calc!$G$3:$G$22)</f>
        <v/>
      </c>
      <c r="G200">
        <f>SUMPRODUCT((Calc!$F$3:$F$22&lt;=LTP!$B$5)*Calc!$K$3:$K$22*(Calc!$G$3:$G$22&gt;A200)*(Calc!$G$3:$G$22-A200)*Calc!$I$3:$I$22)</f>
        <v/>
      </c>
      <c r="H200">
        <f>IF($B$11&gt;0,F200-$C$11*D200/$B$11,0)</f>
        <v/>
      </c>
      <c r="I200">
        <f>IF($B$11&gt;0,E200-D200^2/$B$11,0)</f>
        <v/>
      </c>
      <c r="J200">
        <f>IF($B$11&gt;0,G200-D200*$D$11/$B$11,0)</f>
        <v/>
      </c>
      <c r="K200">
        <f>$H$11*I200-H200^2</f>
        <v/>
      </c>
      <c r="L200">
        <f>IF(ABS(K200)&gt;1E-12,($H$11*J200-H200*$I$11)/K200,0)</f>
        <v/>
      </c>
      <c r="M200">
        <f>IF(ABS(K200)&gt;1E-12,(I200*$I$11-H200*J200)/K200,0)</f>
        <v/>
      </c>
      <c r="N200">
        <f>$J$11-M200*$I$11-L200*J200</f>
        <v/>
      </c>
      <c r="O200">
        <f>IF(AND(C200,ABS(K200)&gt;1E-12,L200&gt;0),N200,1E+300)</f>
        <v/>
      </c>
    </row>
    <row r="201">
      <c r="A201">
        <f>$K$11+($L$11-$K$11)*187/400</f>
        <v/>
      </c>
      <c r="B201">
        <f>SUMPRODUCT((Calc!$F$3:$F$22&lt;=LTP!$B$5)*Calc!$K$3:$K$22*(Calc!$G$3:$G$22&lt;=A201))</f>
        <v/>
      </c>
      <c r="C201">
        <f>AND(B201&gt;=2,$B$11-B201&gt;=2)</f>
        <v/>
      </c>
      <c r="D201">
        <f>SUMPRODUCT((Calc!$F$3:$F$22&lt;=LTP!$B$5)*Calc!$K$3:$K$22*(Calc!$G$3:$G$22&gt;A201)*(Calc!$G$3:$G$22-A201))</f>
        <v/>
      </c>
      <c r="E201">
        <f>SUMPRODUCT((Calc!$F$3:$F$22&lt;=LTP!$B$5)*Calc!$K$3:$K$22*(Calc!$G$3:$G$22&gt;A201)*(Calc!$G$3:$G$22-A201)^2)</f>
        <v/>
      </c>
      <c r="F201">
        <f>SUMPRODUCT((Calc!$F$3:$F$22&lt;=LTP!$B$5)*Calc!$K$3:$K$22*(Calc!$G$3:$G$22&gt;A201)*(Calc!$G$3:$G$22-A201)*Calc!$G$3:$G$22)</f>
        <v/>
      </c>
      <c r="G201">
        <f>SUMPRODUCT((Calc!$F$3:$F$22&lt;=LTP!$B$5)*Calc!$K$3:$K$22*(Calc!$G$3:$G$22&gt;A201)*(Calc!$G$3:$G$22-A201)*Calc!$I$3:$I$22)</f>
        <v/>
      </c>
      <c r="H201">
        <f>IF($B$11&gt;0,F201-$C$11*D201/$B$11,0)</f>
        <v/>
      </c>
      <c r="I201">
        <f>IF($B$11&gt;0,E201-D201^2/$B$11,0)</f>
        <v/>
      </c>
      <c r="J201">
        <f>IF($B$11&gt;0,G201-D201*$D$11/$B$11,0)</f>
        <v/>
      </c>
      <c r="K201">
        <f>$H$11*I201-H201^2</f>
        <v/>
      </c>
      <c r="L201">
        <f>IF(ABS(K201)&gt;1E-12,($H$11*J201-H201*$I$11)/K201,0)</f>
        <v/>
      </c>
      <c r="M201">
        <f>IF(ABS(K201)&gt;1E-12,(I201*$I$11-H201*J201)/K201,0)</f>
        <v/>
      </c>
      <c r="N201">
        <f>$J$11-M201*$I$11-L201*J201</f>
        <v/>
      </c>
      <c r="O201">
        <f>IF(AND(C201,ABS(K201)&gt;1E-12,L201&gt;0),N201,1E+300)</f>
        <v/>
      </c>
    </row>
    <row r="202">
      <c r="A202">
        <f>$K$11+($L$11-$K$11)*188/400</f>
        <v/>
      </c>
      <c r="B202">
        <f>SUMPRODUCT((Calc!$F$3:$F$22&lt;=LTP!$B$5)*Calc!$K$3:$K$22*(Calc!$G$3:$G$22&lt;=A202))</f>
        <v/>
      </c>
      <c r="C202">
        <f>AND(B202&gt;=2,$B$11-B202&gt;=2)</f>
        <v/>
      </c>
      <c r="D202">
        <f>SUMPRODUCT((Calc!$F$3:$F$22&lt;=LTP!$B$5)*Calc!$K$3:$K$22*(Calc!$G$3:$G$22&gt;A202)*(Calc!$G$3:$G$22-A202))</f>
        <v/>
      </c>
      <c r="E202">
        <f>SUMPRODUCT((Calc!$F$3:$F$22&lt;=LTP!$B$5)*Calc!$K$3:$K$22*(Calc!$G$3:$G$22&gt;A202)*(Calc!$G$3:$G$22-A202)^2)</f>
        <v/>
      </c>
      <c r="F202">
        <f>SUMPRODUCT((Calc!$F$3:$F$22&lt;=LTP!$B$5)*Calc!$K$3:$K$22*(Calc!$G$3:$G$22&gt;A202)*(Calc!$G$3:$G$22-A202)*Calc!$G$3:$G$22)</f>
        <v/>
      </c>
      <c r="G202">
        <f>SUMPRODUCT((Calc!$F$3:$F$22&lt;=LTP!$B$5)*Calc!$K$3:$K$22*(Calc!$G$3:$G$22&gt;A202)*(Calc!$G$3:$G$22-A202)*Calc!$I$3:$I$22)</f>
        <v/>
      </c>
      <c r="H202">
        <f>IF($B$11&gt;0,F202-$C$11*D202/$B$11,0)</f>
        <v/>
      </c>
      <c r="I202">
        <f>IF($B$11&gt;0,E202-D202^2/$B$11,0)</f>
        <v/>
      </c>
      <c r="J202">
        <f>IF($B$11&gt;0,G202-D202*$D$11/$B$11,0)</f>
        <v/>
      </c>
      <c r="K202">
        <f>$H$11*I202-H202^2</f>
        <v/>
      </c>
      <c r="L202">
        <f>IF(ABS(K202)&gt;1E-12,($H$11*J202-H202*$I$11)/K202,0)</f>
        <v/>
      </c>
      <c r="M202">
        <f>IF(ABS(K202)&gt;1E-12,(I202*$I$11-H202*J202)/K202,0)</f>
        <v/>
      </c>
      <c r="N202">
        <f>$J$11-M202*$I$11-L202*J202</f>
        <v/>
      </c>
      <c r="O202">
        <f>IF(AND(C202,ABS(K202)&gt;1E-12,L202&gt;0),N202,1E+300)</f>
        <v/>
      </c>
    </row>
    <row r="203">
      <c r="A203">
        <f>$K$11+($L$11-$K$11)*189/400</f>
        <v/>
      </c>
      <c r="B203">
        <f>SUMPRODUCT((Calc!$F$3:$F$22&lt;=LTP!$B$5)*Calc!$K$3:$K$22*(Calc!$G$3:$G$22&lt;=A203))</f>
        <v/>
      </c>
      <c r="C203">
        <f>AND(B203&gt;=2,$B$11-B203&gt;=2)</f>
        <v/>
      </c>
      <c r="D203">
        <f>SUMPRODUCT((Calc!$F$3:$F$22&lt;=LTP!$B$5)*Calc!$K$3:$K$22*(Calc!$G$3:$G$22&gt;A203)*(Calc!$G$3:$G$22-A203))</f>
        <v/>
      </c>
      <c r="E203">
        <f>SUMPRODUCT((Calc!$F$3:$F$22&lt;=LTP!$B$5)*Calc!$K$3:$K$22*(Calc!$G$3:$G$22&gt;A203)*(Calc!$G$3:$G$22-A203)^2)</f>
        <v/>
      </c>
      <c r="F203">
        <f>SUMPRODUCT((Calc!$F$3:$F$22&lt;=LTP!$B$5)*Calc!$K$3:$K$22*(Calc!$G$3:$G$22&gt;A203)*(Calc!$G$3:$G$22-A203)*Calc!$G$3:$G$22)</f>
        <v/>
      </c>
      <c r="G203">
        <f>SUMPRODUCT((Calc!$F$3:$F$22&lt;=LTP!$B$5)*Calc!$K$3:$K$22*(Calc!$G$3:$G$22&gt;A203)*(Calc!$G$3:$G$22-A203)*Calc!$I$3:$I$22)</f>
        <v/>
      </c>
      <c r="H203">
        <f>IF($B$11&gt;0,F203-$C$11*D203/$B$11,0)</f>
        <v/>
      </c>
      <c r="I203">
        <f>IF($B$11&gt;0,E203-D203^2/$B$11,0)</f>
        <v/>
      </c>
      <c r="J203">
        <f>IF($B$11&gt;0,G203-D203*$D$11/$B$11,0)</f>
        <v/>
      </c>
      <c r="K203">
        <f>$H$11*I203-H203^2</f>
        <v/>
      </c>
      <c r="L203">
        <f>IF(ABS(K203)&gt;1E-12,($H$11*J203-H203*$I$11)/K203,0)</f>
        <v/>
      </c>
      <c r="M203">
        <f>IF(ABS(K203)&gt;1E-12,(I203*$I$11-H203*J203)/K203,0)</f>
        <v/>
      </c>
      <c r="N203">
        <f>$J$11-M203*$I$11-L203*J203</f>
        <v/>
      </c>
      <c r="O203">
        <f>IF(AND(C203,ABS(K203)&gt;1E-12,L203&gt;0),N203,1E+300)</f>
        <v/>
      </c>
    </row>
    <row r="204">
      <c r="A204">
        <f>$K$11+($L$11-$K$11)*190/400</f>
        <v/>
      </c>
      <c r="B204">
        <f>SUMPRODUCT((Calc!$F$3:$F$22&lt;=LTP!$B$5)*Calc!$K$3:$K$22*(Calc!$G$3:$G$22&lt;=A204))</f>
        <v/>
      </c>
      <c r="C204">
        <f>AND(B204&gt;=2,$B$11-B204&gt;=2)</f>
        <v/>
      </c>
      <c r="D204">
        <f>SUMPRODUCT((Calc!$F$3:$F$22&lt;=LTP!$B$5)*Calc!$K$3:$K$22*(Calc!$G$3:$G$22&gt;A204)*(Calc!$G$3:$G$22-A204))</f>
        <v/>
      </c>
      <c r="E204">
        <f>SUMPRODUCT((Calc!$F$3:$F$22&lt;=LTP!$B$5)*Calc!$K$3:$K$22*(Calc!$G$3:$G$22&gt;A204)*(Calc!$G$3:$G$22-A204)^2)</f>
        <v/>
      </c>
      <c r="F204">
        <f>SUMPRODUCT((Calc!$F$3:$F$22&lt;=LTP!$B$5)*Calc!$K$3:$K$22*(Calc!$G$3:$G$22&gt;A204)*(Calc!$G$3:$G$22-A204)*Calc!$G$3:$G$22)</f>
        <v/>
      </c>
      <c r="G204">
        <f>SUMPRODUCT((Calc!$F$3:$F$22&lt;=LTP!$B$5)*Calc!$K$3:$K$22*(Calc!$G$3:$G$22&gt;A204)*(Calc!$G$3:$G$22-A204)*Calc!$I$3:$I$22)</f>
        <v/>
      </c>
      <c r="H204">
        <f>IF($B$11&gt;0,F204-$C$11*D204/$B$11,0)</f>
        <v/>
      </c>
      <c r="I204">
        <f>IF($B$11&gt;0,E204-D204^2/$B$11,0)</f>
        <v/>
      </c>
      <c r="J204">
        <f>IF($B$11&gt;0,G204-D204*$D$11/$B$11,0)</f>
        <v/>
      </c>
      <c r="K204">
        <f>$H$11*I204-H204^2</f>
        <v/>
      </c>
      <c r="L204">
        <f>IF(ABS(K204)&gt;1E-12,($H$11*J204-H204*$I$11)/K204,0)</f>
        <v/>
      </c>
      <c r="M204">
        <f>IF(ABS(K204)&gt;1E-12,(I204*$I$11-H204*J204)/K204,0)</f>
        <v/>
      </c>
      <c r="N204">
        <f>$J$11-M204*$I$11-L204*J204</f>
        <v/>
      </c>
      <c r="O204">
        <f>IF(AND(C204,ABS(K204)&gt;1E-12,L204&gt;0),N204,1E+300)</f>
        <v/>
      </c>
    </row>
    <row r="205">
      <c r="A205">
        <f>$K$11+($L$11-$K$11)*191/400</f>
        <v/>
      </c>
      <c r="B205">
        <f>SUMPRODUCT((Calc!$F$3:$F$22&lt;=LTP!$B$5)*Calc!$K$3:$K$22*(Calc!$G$3:$G$22&lt;=A205))</f>
        <v/>
      </c>
      <c r="C205">
        <f>AND(B205&gt;=2,$B$11-B205&gt;=2)</f>
        <v/>
      </c>
      <c r="D205">
        <f>SUMPRODUCT((Calc!$F$3:$F$22&lt;=LTP!$B$5)*Calc!$K$3:$K$22*(Calc!$G$3:$G$22&gt;A205)*(Calc!$G$3:$G$22-A205))</f>
        <v/>
      </c>
      <c r="E205">
        <f>SUMPRODUCT((Calc!$F$3:$F$22&lt;=LTP!$B$5)*Calc!$K$3:$K$22*(Calc!$G$3:$G$22&gt;A205)*(Calc!$G$3:$G$22-A205)^2)</f>
        <v/>
      </c>
      <c r="F205">
        <f>SUMPRODUCT((Calc!$F$3:$F$22&lt;=LTP!$B$5)*Calc!$K$3:$K$22*(Calc!$G$3:$G$22&gt;A205)*(Calc!$G$3:$G$22-A205)*Calc!$G$3:$G$22)</f>
        <v/>
      </c>
      <c r="G205">
        <f>SUMPRODUCT((Calc!$F$3:$F$22&lt;=LTP!$B$5)*Calc!$K$3:$K$22*(Calc!$G$3:$G$22&gt;A205)*(Calc!$G$3:$G$22-A205)*Calc!$I$3:$I$22)</f>
        <v/>
      </c>
      <c r="H205">
        <f>IF($B$11&gt;0,F205-$C$11*D205/$B$11,0)</f>
        <v/>
      </c>
      <c r="I205">
        <f>IF($B$11&gt;0,E205-D205^2/$B$11,0)</f>
        <v/>
      </c>
      <c r="J205">
        <f>IF($B$11&gt;0,G205-D205*$D$11/$B$11,0)</f>
        <v/>
      </c>
      <c r="K205">
        <f>$H$11*I205-H205^2</f>
        <v/>
      </c>
      <c r="L205">
        <f>IF(ABS(K205)&gt;1E-12,($H$11*J205-H205*$I$11)/K205,0)</f>
        <v/>
      </c>
      <c r="M205">
        <f>IF(ABS(K205)&gt;1E-12,(I205*$I$11-H205*J205)/K205,0)</f>
        <v/>
      </c>
      <c r="N205">
        <f>$J$11-M205*$I$11-L205*J205</f>
        <v/>
      </c>
      <c r="O205">
        <f>IF(AND(C205,ABS(K205)&gt;1E-12,L205&gt;0),N205,1E+300)</f>
        <v/>
      </c>
    </row>
    <row r="206">
      <c r="A206">
        <f>$K$11+($L$11-$K$11)*192/400</f>
        <v/>
      </c>
      <c r="B206">
        <f>SUMPRODUCT((Calc!$F$3:$F$22&lt;=LTP!$B$5)*Calc!$K$3:$K$22*(Calc!$G$3:$G$22&lt;=A206))</f>
        <v/>
      </c>
      <c r="C206">
        <f>AND(B206&gt;=2,$B$11-B206&gt;=2)</f>
        <v/>
      </c>
      <c r="D206">
        <f>SUMPRODUCT((Calc!$F$3:$F$22&lt;=LTP!$B$5)*Calc!$K$3:$K$22*(Calc!$G$3:$G$22&gt;A206)*(Calc!$G$3:$G$22-A206))</f>
        <v/>
      </c>
      <c r="E206">
        <f>SUMPRODUCT((Calc!$F$3:$F$22&lt;=LTP!$B$5)*Calc!$K$3:$K$22*(Calc!$G$3:$G$22&gt;A206)*(Calc!$G$3:$G$22-A206)^2)</f>
        <v/>
      </c>
      <c r="F206">
        <f>SUMPRODUCT((Calc!$F$3:$F$22&lt;=LTP!$B$5)*Calc!$K$3:$K$22*(Calc!$G$3:$G$22&gt;A206)*(Calc!$G$3:$G$22-A206)*Calc!$G$3:$G$22)</f>
        <v/>
      </c>
      <c r="G206">
        <f>SUMPRODUCT((Calc!$F$3:$F$22&lt;=LTP!$B$5)*Calc!$K$3:$K$22*(Calc!$G$3:$G$22&gt;A206)*(Calc!$G$3:$G$22-A206)*Calc!$I$3:$I$22)</f>
        <v/>
      </c>
      <c r="H206">
        <f>IF($B$11&gt;0,F206-$C$11*D206/$B$11,0)</f>
        <v/>
      </c>
      <c r="I206">
        <f>IF($B$11&gt;0,E206-D206^2/$B$11,0)</f>
        <v/>
      </c>
      <c r="J206">
        <f>IF($B$11&gt;0,G206-D206*$D$11/$B$11,0)</f>
        <v/>
      </c>
      <c r="K206">
        <f>$H$11*I206-H206^2</f>
        <v/>
      </c>
      <c r="L206">
        <f>IF(ABS(K206)&gt;1E-12,($H$11*J206-H206*$I$11)/K206,0)</f>
        <v/>
      </c>
      <c r="M206">
        <f>IF(ABS(K206)&gt;1E-12,(I206*$I$11-H206*J206)/K206,0)</f>
        <v/>
      </c>
      <c r="N206">
        <f>$J$11-M206*$I$11-L206*J206</f>
        <v/>
      </c>
      <c r="O206">
        <f>IF(AND(C206,ABS(K206)&gt;1E-12,L206&gt;0),N206,1E+300)</f>
        <v/>
      </c>
    </row>
    <row r="207">
      <c r="A207">
        <f>$K$11+($L$11-$K$11)*193/400</f>
        <v/>
      </c>
      <c r="B207">
        <f>SUMPRODUCT((Calc!$F$3:$F$22&lt;=LTP!$B$5)*Calc!$K$3:$K$22*(Calc!$G$3:$G$22&lt;=A207))</f>
        <v/>
      </c>
      <c r="C207">
        <f>AND(B207&gt;=2,$B$11-B207&gt;=2)</f>
        <v/>
      </c>
      <c r="D207">
        <f>SUMPRODUCT((Calc!$F$3:$F$22&lt;=LTP!$B$5)*Calc!$K$3:$K$22*(Calc!$G$3:$G$22&gt;A207)*(Calc!$G$3:$G$22-A207))</f>
        <v/>
      </c>
      <c r="E207">
        <f>SUMPRODUCT((Calc!$F$3:$F$22&lt;=LTP!$B$5)*Calc!$K$3:$K$22*(Calc!$G$3:$G$22&gt;A207)*(Calc!$G$3:$G$22-A207)^2)</f>
        <v/>
      </c>
      <c r="F207">
        <f>SUMPRODUCT((Calc!$F$3:$F$22&lt;=LTP!$B$5)*Calc!$K$3:$K$22*(Calc!$G$3:$G$22&gt;A207)*(Calc!$G$3:$G$22-A207)*Calc!$G$3:$G$22)</f>
        <v/>
      </c>
      <c r="G207">
        <f>SUMPRODUCT((Calc!$F$3:$F$22&lt;=LTP!$B$5)*Calc!$K$3:$K$22*(Calc!$G$3:$G$22&gt;A207)*(Calc!$G$3:$G$22-A207)*Calc!$I$3:$I$22)</f>
        <v/>
      </c>
      <c r="H207">
        <f>IF($B$11&gt;0,F207-$C$11*D207/$B$11,0)</f>
        <v/>
      </c>
      <c r="I207">
        <f>IF($B$11&gt;0,E207-D207^2/$B$11,0)</f>
        <v/>
      </c>
      <c r="J207">
        <f>IF($B$11&gt;0,G207-D207*$D$11/$B$11,0)</f>
        <v/>
      </c>
      <c r="K207">
        <f>$H$11*I207-H207^2</f>
        <v/>
      </c>
      <c r="L207">
        <f>IF(ABS(K207)&gt;1E-12,($H$11*J207-H207*$I$11)/K207,0)</f>
        <v/>
      </c>
      <c r="M207">
        <f>IF(ABS(K207)&gt;1E-12,(I207*$I$11-H207*J207)/K207,0)</f>
        <v/>
      </c>
      <c r="N207">
        <f>$J$11-M207*$I$11-L207*J207</f>
        <v/>
      </c>
      <c r="O207">
        <f>IF(AND(C207,ABS(K207)&gt;1E-12,L207&gt;0),N207,1E+300)</f>
        <v/>
      </c>
    </row>
    <row r="208">
      <c r="A208">
        <f>$K$11+($L$11-$K$11)*194/400</f>
        <v/>
      </c>
      <c r="B208">
        <f>SUMPRODUCT((Calc!$F$3:$F$22&lt;=LTP!$B$5)*Calc!$K$3:$K$22*(Calc!$G$3:$G$22&lt;=A208))</f>
        <v/>
      </c>
      <c r="C208">
        <f>AND(B208&gt;=2,$B$11-B208&gt;=2)</f>
        <v/>
      </c>
      <c r="D208">
        <f>SUMPRODUCT((Calc!$F$3:$F$22&lt;=LTP!$B$5)*Calc!$K$3:$K$22*(Calc!$G$3:$G$22&gt;A208)*(Calc!$G$3:$G$22-A208))</f>
        <v/>
      </c>
      <c r="E208">
        <f>SUMPRODUCT((Calc!$F$3:$F$22&lt;=LTP!$B$5)*Calc!$K$3:$K$22*(Calc!$G$3:$G$22&gt;A208)*(Calc!$G$3:$G$22-A208)^2)</f>
        <v/>
      </c>
      <c r="F208">
        <f>SUMPRODUCT((Calc!$F$3:$F$22&lt;=LTP!$B$5)*Calc!$K$3:$K$22*(Calc!$G$3:$G$22&gt;A208)*(Calc!$G$3:$G$22-A208)*Calc!$G$3:$G$22)</f>
        <v/>
      </c>
      <c r="G208">
        <f>SUMPRODUCT((Calc!$F$3:$F$22&lt;=LTP!$B$5)*Calc!$K$3:$K$22*(Calc!$G$3:$G$22&gt;A208)*(Calc!$G$3:$G$22-A208)*Calc!$I$3:$I$22)</f>
        <v/>
      </c>
      <c r="H208">
        <f>IF($B$11&gt;0,F208-$C$11*D208/$B$11,0)</f>
        <v/>
      </c>
      <c r="I208">
        <f>IF($B$11&gt;0,E208-D208^2/$B$11,0)</f>
        <v/>
      </c>
      <c r="J208">
        <f>IF($B$11&gt;0,G208-D208*$D$11/$B$11,0)</f>
        <v/>
      </c>
      <c r="K208">
        <f>$H$11*I208-H208^2</f>
        <v/>
      </c>
      <c r="L208">
        <f>IF(ABS(K208)&gt;1E-12,($H$11*J208-H208*$I$11)/K208,0)</f>
        <v/>
      </c>
      <c r="M208">
        <f>IF(ABS(K208)&gt;1E-12,(I208*$I$11-H208*J208)/K208,0)</f>
        <v/>
      </c>
      <c r="N208">
        <f>$J$11-M208*$I$11-L208*J208</f>
        <v/>
      </c>
      <c r="O208">
        <f>IF(AND(C208,ABS(K208)&gt;1E-12,L208&gt;0),N208,1E+300)</f>
        <v/>
      </c>
    </row>
    <row r="209">
      <c r="A209">
        <f>$K$11+($L$11-$K$11)*195/400</f>
        <v/>
      </c>
      <c r="B209">
        <f>SUMPRODUCT((Calc!$F$3:$F$22&lt;=LTP!$B$5)*Calc!$K$3:$K$22*(Calc!$G$3:$G$22&lt;=A209))</f>
        <v/>
      </c>
      <c r="C209">
        <f>AND(B209&gt;=2,$B$11-B209&gt;=2)</f>
        <v/>
      </c>
      <c r="D209">
        <f>SUMPRODUCT((Calc!$F$3:$F$22&lt;=LTP!$B$5)*Calc!$K$3:$K$22*(Calc!$G$3:$G$22&gt;A209)*(Calc!$G$3:$G$22-A209))</f>
        <v/>
      </c>
      <c r="E209">
        <f>SUMPRODUCT((Calc!$F$3:$F$22&lt;=LTP!$B$5)*Calc!$K$3:$K$22*(Calc!$G$3:$G$22&gt;A209)*(Calc!$G$3:$G$22-A209)^2)</f>
        <v/>
      </c>
      <c r="F209">
        <f>SUMPRODUCT((Calc!$F$3:$F$22&lt;=LTP!$B$5)*Calc!$K$3:$K$22*(Calc!$G$3:$G$22&gt;A209)*(Calc!$G$3:$G$22-A209)*Calc!$G$3:$G$22)</f>
        <v/>
      </c>
      <c r="G209">
        <f>SUMPRODUCT((Calc!$F$3:$F$22&lt;=LTP!$B$5)*Calc!$K$3:$K$22*(Calc!$G$3:$G$22&gt;A209)*(Calc!$G$3:$G$22-A209)*Calc!$I$3:$I$22)</f>
        <v/>
      </c>
      <c r="H209">
        <f>IF($B$11&gt;0,F209-$C$11*D209/$B$11,0)</f>
        <v/>
      </c>
      <c r="I209">
        <f>IF($B$11&gt;0,E209-D209^2/$B$11,0)</f>
        <v/>
      </c>
      <c r="J209">
        <f>IF($B$11&gt;0,G209-D209*$D$11/$B$11,0)</f>
        <v/>
      </c>
      <c r="K209">
        <f>$H$11*I209-H209^2</f>
        <v/>
      </c>
      <c r="L209">
        <f>IF(ABS(K209)&gt;1E-12,($H$11*J209-H209*$I$11)/K209,0)</f>
        <v/>
      </c>
      <c r="M209">
        <f>IF(ABS(K209)&gt;1E-12,(I209*$I$11-H209*J209)/K209,0)</f>
        <v/>
      </c>
      <c r="N209">
        <f>$J$11-M209*$I$11-L209*J209</f>
        <v/>
      </c>
      <c r="O209">
        <f>IF(AND(C209,ABS(K209)&gt;1E-12,L209&gt;0),N209,1E+300)</f>
        <v/>
      </c>
    </row>
    <row r="210">
      <c r="A210">
        <f>$K$11+($L$11-$K$11)*196/400</f>
        <v/>
      </c>
      <c r="B210">
        <f>SUMPRODUCT((Calc!$F$3:$F$22&lt;=LTP!$B$5)*Calc!$K$3:$K$22*(Calc!$G$3:$G$22&lt;=A210))</f>
        <v/>
      </c>
      <c r="C210">
        <f>AND(B210&gt;=2,$B$11-B210&gt;=2)</f>
        <v/>
      </c>
      <c r="D210">
        <f>SUMPRODUCT((Calc!$F$3:$F$22&lt;=LTP!$B$5)*Calc!$K$3:$K$22*(Calc!$G$3:$G$22&gt;A210)*(Calc!$G$3:$G$22-A210))</f>
        <v/>
      </c>
      <c r="E210">
        <f>SUMPRODUCT((Calc!$F$3:$F$22&lt;=LTP!$B$5)*Calc!$K$3:$K$22*(Calc!$G$3:$G$22&gt;A210)*(Calc!$G$3:$G$22-A210)^2)</f>
        <v/>
      </c>
      <c r="F210">
        <f>SUMPRODUCT((Calc!$F$3:$F$22&lt;=LTP!$B$5)*Calc!$K$3:$K$22*(Calc!$G$3:$G$22&gt;A210)*(Calc!$G$3:$G$22-A210)*Calc!$G$3:$G$22)</f>
        <v/>
      </c>
      <c r="G210">
        <f>SUMPRODUCT((Calc!$F$3:$F$22&lt;=LTP!$B$5)*Calc!$K$3:$K$22*(Calc!$G$3:$G$22&gt;A210)*(Calc!$G$3:$G$22-A210)*Calc!$I$3:$I$22)</f>
        <v/>
      </c>
      <c r="H210">
        <f>IF($B$11&gt;0,F210-$C$11*D210/$B$11,0)</f>
        <v/>
      </c>
      <c r="I210">
        <f>IF($B$11&gt;0,E210-D210^2/$B$11,0)</f>
        <v/>
      </c>
      <c r="J210">
        <f>IF($B$11&gt;0,G210-D210*$D$11/$B$11,0)</f>
        <v/>
      </c>
      <c r="K210">
        <f>$H$11*I210-H210^2</f>
        <v/>
      </c>
      <c r="L210">
        <f>IF(ABS(K210)&gt;1E-12,($H$11*J210-H210*$I$11)/K210,0)</f>
        <v/>
      </c>
      <c r="M210">
        <f>IF(ABS(K210)&gt;1E-12,(I210*$I$11-H210*J210)/K210,0)</f>
        <v/>
      </c>
      <c r="N210">
        <f>$J$11-M210*$I$11-L210*J210</f>
        <v/>
      </c>
      <c r="O210">
        <f>IF(AND(C210,ABS(K210)&gt;1E-12,L210&gt;0),N210,1E+300)</f>
        <v/>
      </c>
    </row>
    <row r="211">
      <c r="A211">
        <f>$K$11+($L$11-$K$11)*197/400</f>
        <v/>
      </c>
      <c r="B211">
        <f>SUMPRODUCT((Calc!$F$3:$F$22&lt;=LTP!$B$5)*Calc!$K$3:$K$22*(Calc!$G$3:$G$22&lt;=A211))</f>
        <v/>
      </c>
      <c r="C211">
        <f>AND(B211&gt;=2,$B$11-B211&gt;=2)</f>
        <v/>
      </c>
      <c r="D211">
        <f>SUMPRODUCT((Calc!$F$3:$F$22&lt;=LTP!$B$5)*Calc!$K$3:$K$22*(Calc!$G$3:$G$22&gt;A211)*(Calc!$G$3:$G$22-A211))</f>
        <v/>
      </c>
      <c r="E211">
        <f>SUMPRODUCT((Calc!$F$3:$F$22&lt;=LTP!$B$5)*Calc!$K$3:$K$22*(Calc!$G$3:$G$22&gt;A211)*(Calc!$G$3:$G$22-A211)^2)</f>
        <v/>
      </c>
      <c r="F211">
        <f>SUMPRODUCT((Calc!$F$3:$F$22&lt;=LTP!$B$5)*Calc!$K$3:$K$22*(Calc!$G$3:$G$22&gt;A211)*(Calc!$G$3:$G$22-A211)*Calc!$G$3:$G$22)</f>
        <v/>
      </c>
      <c r="G211">
        <f>SUMPRODUCT((Calc!$F$3:$F$22&lt;=LTP!$B$5)*Calc!$K$3:$K$22*(Calc!$G$3:$G$22&gt;A211)*(Calc!$G$3:$G$22-A211)*Calc!$I$3:$I$22)</f>
        <v/>
      </c>
      <c r="H211">
        <f>IF($B$11&gt;0,F211-$C$11*D211/$B$11,0)</f>
        <v/>
      </c>
      <c r="I211">
        <f>IF($B$11&gt;0,E211-D211^2/$B$11,0)</f>
        <v/>
      </c>
      <c r="J211">
        <f>IF($B$11&gt;0,G211-D211*$D$11/$B$11,0)</f>
        <v/>
      </c>
      <c r="K211">
        <f>$H$11*I211-H211^2</f>
        <v/>
      </c>
      <c r="L211">
        <f>IF(ABS(K211)&gt;1E-12,($H$11*J211-H211*$I$11)/K211,0)</f>
        <v/>
      </c>
      <c r="M211">
        <f>IF(ABS(K211)&gt;1E-12,(I211*$I$11-H211*J211)/K211,0)</f>
        <v/>
      </c>
      <c r="N211">
        <f>$J$11-M211*$I$11-L211*J211</f>
        <v/>
      </c>
      <c r="O211">
        <f>IF(AND(C211,ABS(K211)&gt;1E-12,L211&gt;0),N211,1E+300)</f>
        <v/>
      </c>
    </row>
    <row r="212">
      <c r="A212">
        <f>$K$11+($L$11-$K$11)*198/400</f>
        <v/>
      </c>
      <c r="B212">
        <f>SUMPRODUCT((Calc!$F$3:$F$22&lt;=LTP!$B$5)*Calc!$K$3:$K$22*(Calc!$G$3:$G$22&lt;=A212))</f>
        <v/>
      </c>
      <c r="C212">
        <f>AND(B212&gt;=2,$B$11-B212&gt;=2)</f>
        <v/>
      </c>
      <c r="D212">
        <f>SUMPRODUCT((Calc!$F$3:$F$22&lt;=LTP!$B$5)*Calc!$K$3:$K$22*(Calc!$G$3:$G$22&gt;A212)*(Calc!$G$3:$G$22-A212))</f>
        <v/>
      </c>
      <c r="E212">
        <f>SUMPRODUCT((Calc!$F$3:$F$22&lt;=LTP!$B$5)*Calc!$K$3:$K$22*(Calc!$G$3:$G$22&gt;A212)*(Calc!$G$3:$G$22-A212)^2)</f>
        <v/>
      </c>
      <c r="F212">
        <f>SUMPRODUCT((Calc!$F$3:$F$22&lt;=LTP!$B$5)*Calc!$K$3:$K$22*(Calc!$G$3:$G$22&gt;A212)*(Calc!$G$3:$G$22-A212)*Calc!$G$3:$G$22)</f>
        <v/>
      </c>
      <c r="G212">
        <f>SUMPRODUCT((Calc!$F$3:$F$22&lt;=LTP!$B$5)*Calc!$K$3:$K$22*(Calc!$G$3:$G$22&gt;A212)*(Calc!$G$3:$G$22-A212)*Calc!$I$3:$I$22)</f>
        <v/>
      </c>
      <c r="H212">
        <f>IF($B$11&gt;0,F212-$C$11*D212/$B$11,0)</f>
        <v/>
      </c>
      <c r="I212">
        <f>IF($B$11&gt;0,E212-D212^2/$B$11,0)</f>
        <v/>
      </c>
      <c r="J212">
        <f>IF($B$11&gt;0,G212-D212*$D$11/$B$11,0)</f>
        <v/>
      </c>
      <c r="K212">
        <f>$H$11*I212-H212^2</f>
        <v/>
      </c>
      <c r="L212">
        <f>IF(ABS(K212)&gt;1E-12,($H$11*J212-H212*$I$11)/K212,0)</f>
        <v/>
      </c>
      <c r="M212">
        <f>IF(ABS(K212)&gt;1E-12,(I212*$I$11-H212*J212)/K212,0)</f>
        <v/>
      </c>
      <c r="N212">
        <f>$J$11-M212*$I$11-L212*J212</f>
        <v/>
      </c>
      <c r="O212">
        <f>IF(AND(C212,ABS(K212)&gt;1E-12,L212&gt;0),N212,1E+300)</f>
        <v/>
      </c>
    </row>
    <row r="213">
      <c r="A213">
        <f>$K$11+($L$11-$K$11)*199/400</f>
        <v/>
      </c>
      <c r="B213">
        <f>SUMPRODUCT((Calc!$F$3:$F$22&lt;=LTP!$B$5)*Calc!$K$3:$K$22*(Calc!$G$3:$G$22&lt;=A213))</f>
        <v/>
      </c>
      <c r="C213">
        <f>AND(B213&gt;=2,$B$11-B213&gt;=2)</f>
        <v/>
      </c>
      <c r="D213">
        <f>SUMPRODUCT((Calc!$F$3:$F$22&lt;=LTP!$B$5)*Calc!$K$3:$K$22*(Calc!$G$3:$G$22&gt;A213)*(Calc!$G$3:$G$22-A213))</f>
        <v/>
      </c>
      <c r="E213">
        <f>SUMPRODUCT((Calc!$F$3:$F$22&lt;=LTP!$B$5)*Calc!$K$3:$K$22*(Calc!$G$3:$G$22&gt;A213)*(Calc!$G$3:$G$22-A213)^2)</f>
        <v/>
      </c>
      <c r="F213">
        <f>SUMPRODUCT((Calc!$F$3:$F$22&lt;=LTP!$B$5)*Calc!$K$3:$K$22*(Calc!$G$3:$G$22&gt;A213)*(Calc!$G$3:$G$22-A213)*Calc!$G$3:$G$22)</f>
        <v/>
      </c>
      <c r="G213">
        <f>SUMPRODUCT((Calc!$F$3:$F$22&lt;=LTP!$B$5)*Calc!$K$3:$K$22*(Calc!$G$3:$G$22&gt;A213)*(Calc!$G$3:$G$22-A213)*Calc!$I$3:$I$22)</f>
        <v/>
      </c>
      <c r="H213">
        <f>IF($B$11&gt;0,F213-$C$11*D213/$B$11,0)</f>
        <v/>
      </c>
      <c r="I213">
        <f>IF($B$11&gt;0,E213-D213^2/$B$11,0)</f>
        <v/>
      </c>
      <c r="J213">
        <f>IF($B$11&gt;0,G213-D213*$D$11/$B$11,0)</f>
        <v/>
      </c>
      <c r="K213">
        <f>$H$11*I213-H213^2</f>
        <v/>
      </c>
      <c r="L213">
        <f>IF(ABS(K213)&gt;1E-12,($H$11*J213-H213*$I$11)/K213,0)</f>
        <v/>
      </c>
      <c r="M213">
        <f>IF(ABS(K213)&gt;1E-12,(I213*$I$11-H213*J213)/K213,0)</f>
        <v/>
      </c>
      <c r="N213">
        <f>$J$11-M213*$I$11-L213*J213</f>
        <v/>
      </c>
      <c r="O213">
        <f>IF(AND(C213,ABS(K213)&gt;1E-12,L213&gt;0),N213,1E+300)</f>
        <v/>
      </c>
    </row>
    <row r="214">
      <c r="A214">
        <f>$K$11+($L$11-$K$11)*200/400</f>
        <v/>
      </c>
      <c r="B214">
        <f>SUMPRODUCT((Calc!$F$3:$F$22&lt;=LTP!$B$5)*Calc!$K$3:$K$22*(Calc!$G$3:$G$22&lt;=A214))</f>
        <v/>
      </c>
      <c r="C214">
        <f>AND(B214&gt;=2,$B$11-B214&gt;=2)</f>
        <v/>
      </c>
      <c r="D214">
        <f>SUMPRODUCT((Calc!$F$3:$F$22&lt;=LTP!$B$5)*Calc!$K$3:$K$22*(Calc!$G$3:$G$22&gt;A214)*(Calc!$G$3:$G$22-A214))</f>
        <v/>
      </c>
      <c r="E214">
        <f>SUMPRODUCT((Calc!$F$3:$F$22&lt;=LTP!$B$5)*Calc!$K$3:$K$22*(Calc!$G$3:$G$22&gt;A214)*(Calc!$G$3:$G$22-A214)^2)</f>
        <v/>
      </c>
      <c r="F214">
        <f>SUMPRODUCT((Calc!$F$3:$F$22&lt;=LTP!$B$5)*Calc!$K$3:$K$22*(Calc!$G$3:$G$22&gt;A214)*(Calc!$G$3:$G$22-A214)*Calc!$G$3:$G$22)</f>
        <v/>
      </c>
      <c r="G214">
        <f>SUMPRODUCT((Calc!$F$3:$F$22&lt;=LTP!$B$5)*Calc!$K$3:$K$22*(Calc!$G$3:$G$22&gt;A214)*(Calc!$G$3:$G$22-A214)*Calc!$I$3:$I$22)</f>
        <v/>
      </c>
      <c r="H214">
        <f>IF($B$11&gt;0,F214-$C$11*D214/$B$11,0)</f>
        <v/>
      </c>
      <c r="I214">
        <f>IF($B$11&gt;0,E214-D214^2/$B$11,0)</f>
        <v/>
      </c>
      <c r="J214">
        <f>IF($B$11&gt;0,G214-D214*$D$11/$B$11,0)</f>
        <v/>
      </c>
      <c r="K214">
        <f>$H$11*I214-H214^2</f>
        <v/>
      </c>
      <c r="L214">
        <f>IF(ABS(K214)&gt;1E-12,($H$11*J214-H214*$I$11)/K214,0)</f>
        <v/>
      </c>
      <c r="M214">
        <f>IF(ABS(K214)&gt;1E-12,(I214*$I$11-H214*J214)/K214,0)</f>
        <v/>
      </c>
      <c r="N214">
        <f>$J$11-M214*$I$11-L214*J214</f>
        <v/>
      </c>
      <c r="O214">
        <f>IF(AND(C214,ABS(K214)&gt;1E-12,L214&gt;0),N214,1E+300)</f>
        <v/>
      </c>
    </row>
    <row r="215">
      <c r="A215">
        <f>$K$11+($L$11-$K$11)*201/400</f>
        <v/>
      </c>
      <c r="B215">
        <f>SUMPRODUCT((Calc!$F$3:$F$22&lt;=LTP!$B$5)*Calc!$K$3:$K$22*(Calc!$G$3:$G$22&lt;=A215))</f>
        <v/>
      </c>
      <c r="C215">
        <f>AND(B215&gt;=2,$B$11-B215&gt;=2)</f>
        <v/>
      </c>
      <c r="D215">
        <f>SUMPRODUCT((Calc!$F$3:$F$22&lt;=LTP!$B$5)*Calc!$K$3:$K$22*(Calc!$G$3:$G$22&gt;A215)*(Calc!$G$3:$G$22-A215))</f>
        <v/>
      </c>
      <c r="E215">
        <f>SUMPRODUCT((Calc!$F$3:$F$22&lt;=LTP!$B$5)*Calc!$K$3:$K$22*(Calc!$G$3:$G$22&gt;A215)*(Calc!$G$3:$G$22-A215)^2)</f>
        <v/>
      </c>
      <c r="F215">
        <f>SUMPRODUCT((Calc!$F$3:$F$22&lt;=LTP!$B$5)*Calc!$K$3:$K$22*(Calc!$G$3:$G$22&gt;A215)*(Calc!$G$3:$G$22-A215)*Calc!$G$3:$G$22)</f>
        <v/>
      </c>
      <c r="G215">
        <f>SUMPRODUCT((Calc!$F$3:$F$22&lt;=LTP!$B$5)*Calc!$K$3:$K$22*(Calc!$G$3:$G$22&gt;A215)*(Calc!$G$3:$G$22-A215)*Calc!$I$3:$I$22)</f>
        <v/>
      </c>
      <c r="H215">
        <f>IF($B$11&gt;0,F215-$C$11*D215/$B$11,0)</f>
        <v/>
      </c>
      <c r="I215">
        <f>IF($B$11&gt;0,E215-D215^2/$B$11,0)</f>
        <v/>
      </c>
      <c r="J215">
        <f>IF($B$11&gt;0,G215-D215*$D$11/$B$11,0)</f>
        <v/>
      </c>
      <c r="K215">
        <f>$H$11*I215-H215^2</f>
        <v/>
      </c>
      <c r="L215">
        <f>IF(ABS(K215)&gt;1E-12,($H$11*J215-H215*$I$11)/K215,0)</f>
        <v/>
      </c>
      <c r="M215">
        <f>IF(ABS(K215)&gt;1E-12,(I215*$I$11-H215*J215)/K215,0)</f>
        <v/>
      </c>
      <c r="N215">
        <f>$J$11-M215*$I$11-L215*J215</f>
        <v/>
      </c>
      <c r="O215">
        <f>IF(AND(C215,ABS(K215)&gt;1E-12,L215&gt;0),N215,1E+300)</f>
        <v/>
      </c>
    </row>
    <row r="216">
      <c r="A216">
        <f>$K$11+($L$11-$K$11)*202/400</f>
        <v/>
      </c>
      <c r="B216">
        <f>SUMPRODUCT((Calc!$F$3:$F$22&lt;=LTP!$B$5)*Calc!$K$3:$K$22*(Calc!$G$3:$G$22&lt;=A216))</f>
        <v/>
      </c>
      <c r="C216">
        <f>AND(B216&gt;=2,$B$11-B216&gt;=2)</f>
        <v/>
      </c>
      <c r="D216">
        <f>SUMPRODUCT((Calc!$F$3:$F$22&lt;=LTP!$B$5)*Calc!$K$3:$K$22*(Calc!$G$3:$G$22&gt;A216)*(Calc!$G$3:$G$22-A216))</f>
        <v/>
      </c>
      <c r="E216">
        <f>SUMPRODUCT((Calc!$F$3:$F$22&lt;=LTP!$B$5)*Calc!$K$3:$K$22*(Calc!$G$3:$G$22&gt;A216)*(Calc!$G$3:$G$22-A216)^2)</f>
        <v/>
      </c>
      <c r="F216">
        <f>SUMPRODUCT((Calc!$F$3:$F$22&lt;=LTP!$B$5)*Calc!$K$3:$K$22*(Calc!$G$3:$G$22&gt;A216)*(Calc!$G$3:$G$22-A216)*Calc!$G$3:$G$22)</f>
        <v/>
      </c>
      <c r="G216">
        <f>SUMPRODUCT((Calc!$F$3:$F$22&lt;=LTP!$B$5)*Calc!$K$3:$K$22*(Calc!$G$3:$G$22&gt;A216)*(Calc!$G$3:$G$22-A216)*Calc!$I$3:$I$22)</f>
        <v/>
      </c>
      <c r="H216">
        <f>IF($B$11&gt;0,F216-$C$11*D216/$B$11,0)</f>
        <v/>
      </c>
      <c r="I216">
        <f>IF($B$11&gt;0,E216-D216^2/$B$11,0)</f>
        <v/>
      </c>
      <c r="J216">
        <f>IF($B$11&gt;0,G216-D216*$D$11/$B$11,0)</f>
        <v/>
      </c>
      <c r="K216">
        <f>$H$11*I216-H216^2</f>
        <v/>
      </c>
      <c r="L216">
        <f>IF(ABS(K216)&gt;1E-12,($H$11*J216-H216*$I$11)/K216,0)</f>
        <v/>
      </c>
      <c r="M216">
        <f>IF(ABS(K216)&gt;1E-12,(I216*$I$11-H216*J216)/K216,0)</f>
        <v/>
      </c>
      <c r="N216">
        <f>$J$11-M216*$I$11-L216*J216</f>
        <v/>
      </c>
      <c r="O216">
        <f>IF(AND(C216,ABS(K216)&gt;1E-12,L216&gt;0),N216,1E+300)</f>
        <v/>
      </c>
    </row>
    <row r="217">
      <c r="A217">
        <f>$K$11+($L$11-$K$11)*203/400</f>
        <v/>
      </c>
      <c r="B217">
        <f>SUMPRODUCT((Calc!$F$3:$F$22&lt;=LTP!$B$5)*Calc!$K$3:$K$22*(Calc!$G$3:$G$22&lt;=A217))</f>
        <v/>
      </c>
      <c r="C217">
        <f>AND(B217&gt;=2,$B$11-B217&gt;=2)</f>
        <v/>
      </c>
      <c r="D217">
        <f>SUMPRODUCT((Calc!$F$3:$F$22&lt;=LTP!$B$5)*Calc!$K$3:$K$22*(Calc!$G$3:$G$22&gt;A217)*(Calc!$G$3:$G$22-A217))</f>
        <v/>
      </c>
      <c r="E217">
        <f>SUMPRODUCT((Calc!$F$3:$F$22&lt;=LTP!$B$5)*Calc!$K$3:$K$22*(Calc!$G$3:$G$22&gt;A217)*(Calc!$G$3:$G$22-A217)^2)</f>
        <v/>
      </c>
      <c r="F217">
        <f>SUMPRODUCT((Calc!$F$3:$F$22&lt;=LTP!$B$5)*Calc!$K$3:$K$22*(Calc!$G$3:$G$22&gt;A217)*(Calc!$G$3:$G$22-A217)*Calc!$G$3:$G$22)</f>
        <v/>
      </c>
      <c r="G217">
        <f>SUMPRODUCT((Calc!$F$3:$F$22&lt;=LTP!$B$5)*Calc!$K$3:$K$22*(Calc!$G$3:$G$22&gt;A217)*(Calc!$G$3:$G$22-A217)*Calc!$I$3:$I$22)</f>
        <v/>
      </c>
      <c r="H217">
        <f>IF($B$11&gt;0,F217-$C$11*D217/$B$11,0)</f>
        <v/>
      </c>
      <c r="I217">
        <f>IF($B$11&gt;0,E217-D217^2/$B$11,0)</f>
        <v/>
      </c>
      <c r="J217">
        <f>IF($B$11&gt;0,G217-D217*$D$11/$B$11,0)</f>
        <v/>
      </c>
      <c r="K217">
        <f>$H$11*I217-H217^2</f>
        <v/>
      </c>
      <c r="L217">
        <f>IF(ABS(K217)&gt;1E-12,($H$11*J217-H217*$I$11)/K217,0)</f>
        <v/>
      </c>
      <c r="M217">
        <f>IF(ABS(K217)&gt;1E-12,(I217*$I$11-H217*J217)/K217,0)</f>
        <v/>
      </c>
      <c r="N217">
        <f>$J$11-M217*$I$11-L217*J217</f>
        <v/>
      </c>
      <c r="O217">
        <f>IF(AND(C217,ABS(K217)&gt;1E-12,L217&gt;0),N217,1E+300)</f>
        <v/>
      </c>
    </row>
    <row r="218">
      <c r="A218">
        <f>$K$11+($L$11-$K$11)*204/400</f>
        <v/>
      </c>
      <c r="B218">
        <f>SUMPRODUCT((Calc!$F$3:$F$22&lt;=LTP!$B$5)*Calc!$K$3:$K$22*(Calc!$G$3:$G$22&lt;=A218))</f>
        <v/>
      </c>
      <c r="C218">
        <f>AND(B218&gt;=2,$B$11-B218&gt;=2)</f>
        <v/>
      </c>
      <c r="D218">
        <f>SUMPRODUCT((Calc!$F$3:$F$22&lt;=LTP!$B$5)*Calc!$K$3:$K$22*(Calc!$G$3:$G$22&gt;A218)*(Calc!$G$3:$G$22-A218))</f>
        <v/>
      </c>
      <c r="E218">
        <f>SUMPRODUCT((Calc!$F$3:$F$22&lt;=LTP!$B$5)*Calc!$K$3:$K$22*(Calc!$G$3:$G$22&gt;A218)*(Calc!$G$3:$G$22-A218)^2)</f>
        <v/>
      </c>
      <c r="F218">
        <f>SUMPRODUCT((Calc!$F$3:$F$22&lt;=LTP!$B$5)*Calc!$K$3:$K$22*(Calc!$G$3:$G$22&gt;A218)*(Calc!$G$3:$G$22-A218)*Calc!$G$3:$G$22)</f>
        <v/>
      </c>
      <c r="G218">
        <f>SUMPRODUCT((Calc!$F$3:$F$22&lt;=LTP!$B$5)*Calc!$K$3:$K$22*(Calc!$G$3:$G$22&gt;A218)*(Calc!$G$3:$G$22-A218)*Calc!$I$3:$I$22)</f>
        <v/>
      </c>
      <c r="H218">
        <f>IF($B$11&gt;0,F218-$C$11*D218/$B$11,0)</f>
        <v/>
      </c>
      <c r="I218">
        <f>IF($B$11&gt;0,E218-D218^2/$B$11,0)</f>
        <v/>
      </c>
      <c r="J218">
        <f>IF($B$11&gt;0,G218-D218*$D$11/$B$11,0)</f>
        <v/>
      </c>
      <c r="K218">
        <f>$H$11*I218-H218^2</f>
        <v/>
      </c>
      <c r="L218">
        <f>IF(ABS(K218)&gt;1E-12,($H$11*J218-H218*$I$11)/K218,0)</f>
        <v/>
      </c>
      <c r="M218">
        <f>IF(ABS(K218)&gt;1E-12,(I218*$I$11-H218*J218)/K218,0)</f>
        <v/>
      </c>
      <c r="N218">
        <f>$J$11-M218*$I$11-L218*J218</f>
        <v/>
      </c>
      <c r="O218">
        <f>IF(AND(C218,ABS(K218)&gt;1E-12,L218&gt;0),N218,1E+300)</f>
        <v/>
      </c>
    </row>
    <row r="219">
      <c r="A219">
        <f>$K$11+($L$11-$K$11)*205/400</f>
        <v/>
      </c>
      <c r="B219">
        <f>SUMPRODUCT((Calc!$F$3:$F$22&lt;=LTP!$B$5)*Calc!$K$3:$K$22*(Calc!$G$3:$G$22&lt;=A219))</f>
        <v/>
      </c>
      <c r="C219">
        <f>AND(B219&gt;=2,$B$11-B219&gt;=2)</f>
        <v/>
      </c>
      <c r="D219">
        <f>SUMPRODUCT((Calc!$F$3:$F$22&lt;=LTP!$B$5)*Calc!$K$3:$K$22*(Calc!$G$3:$G$22&gt;A219)*(Calc!$G$3:$G$22-A219))</f>
        <v/>
      </c>
      <c r="E219">
        <f>SUMPRODUCT((Calc!$F$3:$F$22&lt;=LTP!$B$5)*Calc!$K$3:$K$22*(Calc!$G$3:$G$22&gt;A219)*(Calc!$G$3:$G$22-A219)^2)</f>
        <v/>
      </c>
      <c r="F219">
        <f>SUMPRODUCT((Calc!$F$3:$F$22&lt;=LTP!$B$5)*Calc!$K$3:$K$22*(Calc!$G$3:$G$22&gt;A219)*(Calc!$G$3:$G$22-A219)*Calc!$G$3:$G$22)</f>
        <v/>
      </c>
      <c r="G219">
        <f>SUMPRODUCT((Calc!$F$3:$F$22&lt;=LTP!$B$5)*Calc!$K$3:$K$22*(Calc!$G$3:$G$22&gt;A219)*(Calc!$G$3:$G$22-A219)*Calc!$I$3:$I$22)</f>
        <v/>
      </c>
      <c r="H219">
        <f>IF($B$11&gt;0,F219-$C$11*D219/$B$11,0)</f>
        <v/>
      </c>
      <c r="I219">
        <f>IF($B$11&gt;0,E219-D219^2/$B$11,0)</f>
        <v/>
      </c>
      <c r="J219">
        <f>IF($B$11&gt;0,G219-D219*$D$11/$B$11,0)</f>
        <v/>
      </c>
      <c r="K219">
        <f>$H$11*I219-H219^2</f>
        <v/>
      </c>
      <c r="L219">
        <f>IF(ABS(K219)&gt;1E-12,($H$11*J219-H219*$I$11)/K219,0)</f>
        <v/>
      </c>
      <c r="M219">
        <f>IF(ABS(K219)&gt;1E-12,(I219*$I$11-H219*J219)/K219,0)</f>
        <v/>
      </c>
      <c r="N219">
        <f>$J$11-M219*$I$11-L219*J219</f>
        <v/>
      </c>
      <c r="O219">
        <f>IF(AND(C219,ABS(K219)&gt;1E-12,L219&gt;0),N219,1E+300)</f>
        <v/>
      </c>
    </row>
    <row r="220">
      <c r="A220">
        <f>$K$11+($L$11-$K$11)*206/400</f>
        <v/>
      </c>
      <c r="B220">
        <f>SUMPRODUCT((Calc!$F$3:$F$22&lt;=LTP!$B$5)*Calc!$K$3:$K$22*(Calc!$G$3:$G$22&lt;=A220))</f>
        <v/>
      </c>
      <c r="C220">
        <f>AND(B220&gt;=2,$B$11-B220&gt;=2)</f>
        <v/>
      </c>
      <c r="D220">
        <f>SUMPRODUCT((Calc!$F$3:$F$22&lt;=LTP!$B$5)*Calc!$K$3:$K$22*(Calc!$G$3:$G$22&gt;A220)*(Calc!$G$3:$G$22-A220))</f>
        <v/>
      </c>
      <c r="E220">
        <f>SUMPRODUCT((Calc!$F$3:$F$22&lt;=LTP!$B$5)*Calc!$K$3:$K$22*(Calc!$G$3:$G$22&gt;A220)*(Calc!$G$3:$G$22-A220)^2)</f>
        <v/>
      </c>
      <c r="F220">
        <f>SUMPRODUCT((Calc!$F$3:$F$22&lt;=LTP!$B$5)*Calc!$K$3:$K$22*(Calc!$G$3:$G$22&gt;A220)*(Calc!$G$3:$G$22-A220)*Calc!$G$3:$G$22)</f>
        <v/>
      </c>
      <c r="G220">
        <f>SUMPRODUCT((Calc!$F$3:$F$22&lt;=LTP!$B$5)*Calc!$K$3:$K$22*(Calc!$G$3:$G$22&gt;A220)*(Calc!$G$3:$G$22-A220)*Calc!$I$3:$I$22)</f>
        <v/>
      </c>
      <c r="H220">
        <f>IF($B$11&gt;0,F220-$C$11*D220/$B$11,0)</f>
        <v/>
      </c>
      <c r="I220">
        <f>IF($B$11&gt;0,E220-D220^2/$B$11,0)</f>
        <v/>
      </c>
      <c r="J220">
        <f>IF($B$11&gt;0,G220-D220*$D$11/$B$11,0)</f>
        <v/>
      </c>
      <c r="K220">
        <f>$H$11*I220-H220^2</f>
        <v/>
      </c>
      <c r="L220">
        <f>IF(ABS(K220)&gt;1E-12,($H$11*J220-H220*$I$11)/K220,0)</f>
        <v/>
      </c>
      <c r="M220">
        <f>IF(ABS(K220)&gt;1E-12,(I220*$I$11-H220*J220)/K220,0)</f>
        <v/>
      </c>
      <c r="N220">
        <f>$J$11-M220*$I$11-L220*J220</f>
        <v/>
      </c>
      <c r="O220">
        <f>IF(AND(C220,ABS(K220)&gt;1E-12,L220&gt;0),N220,1E+300)</f>
        <v/>
      </c>
    </row>
    <row r="221">
      <c r="A221">
        <f>$K$11+($L$11-$K$11)*207/400</f>
        <v/>
      </c>
      <c r="B221">
        <f>SUMPRODUCT((Calc!$F$3:$F$22&lt;=LTP!$B$5)*Calc!$K$3:$K$22*(Calc!$G$3:$G$22&lt;=A221))</f>
        <v/>
      </c>
      <c r="C221">
        <f>AND(B221&gt;=2,$B$11-B221&gt;=2)</f>
        <v/>
      </c>
      <c r="D221">
        <f>SUMPRODUCT((Calc!$F$3:$F$22&lt;=LTP!$B$5)*Calc!$K$3:$K$22*(Calc!$G$3:$G$22&gt;A221)*(Calc!$G$3:$G$22-A221))</f>
        <v/>
      </c>
      <c r="E221">
        <f>SUMPRODUCT((Calc!$F$3:$F$22&lt;=LTP!$B$5)*Calc!$K$3:$K$22*(Calc!$G$3:$G$22&gt;A221)*(Calc!$G$3:$G$22-A221)^2)</f>
        <v/>
      </c>
      <c r="F221">
        <f>SUMPRODUCT((Calc!$F$3:$F$22&lt;=LTP!$B$5)*Calc!$K$3:$K$22*(Calc!$G$3:$G$22&gt;A221)*(Calc!$G$3:$G$22-A221)*Calc!$G$3:$G$22)</f>
        <v/>
      </c>
      <c r="G221">
        <f>SUMPRODUCT((Calc!$F$3:$F$22&lt;=LTP!$B$5)*Calc!$K$3:$K$22*(Calc!$G$3:$G$22&gt;A221)*(Calc!$G$3:$G$22-A221)*Calc!$I$3:$I$22)</f>
        <v/>
      </c>
      <c r="H221">
        <f>IF($B$11&gt;0,F221-$C$11*D221/$B$11,0)</f>
        <v/>
      </c>
      <c r="I221">
        <f>IF($B$11&gt;0,E221-D221^2/$B$11,0)</f>
        <v/>
      </c>
      <c r="J221">
        <f>IF($B$11&gt;0,G221-D221*$D$11/$B$11,0)</f>
        <v/>
      </c>
      <c r="K221">
        <f>$H$11*I221-H221^2</f>
        <v/>
      </c>
      <c r="L221">
        <f>IF(ABS(K221)&gt;1E-12,($H$11*J221-H221*$I$11)/K221,0)</f>
        <v/>
      </c>
      <c r="M221">
        <f>IF(ABS(K221)&gt;1E-12,(I221*$I$11-H221*J221)/K221,0)</f>
        <v/>
      </c>
      <c r="N221">
        <f>$J$11-M221*$I$11-L221*J221</f>
        <v/>
      </c>
      <c r="O221">
        <f>IF(AND(C221,ABS(K221)&gt;1E-12,L221&gt;0),N221,1E+300)</f>
        <v/>
      </c>
    </row>
    <row r="222">
      <c r="A222">
        <f>$K$11+($L$11-$K$11)*208/400</f>
        <v/>
      </c>
      <c r="B222">
        <f>SUMPRODUCT((Calc!$F$3:$F$22&lt;=LTP!$B$5)*Calc!$K$3:$K$22*(Calc!$G$3:$G$22&lt;=A222))</f>
        <v/>
      </c>
      <c r="C222">
        <f>AND(B222&gt;=2,$B$11-B222&gt;=2)</f>
        <v/>
      </c>
      <c r="D222">
        <f>SUMPRODUCT((Calc!$F$3:$F$22&lt;=LTP!$B$5)*Calc!$K$3:$K$22*(Calc!$G$3:$G$22&gt;A222)*(Calc!$G$3:$G$22-A222))</f>
        <v/>
      </c>
      <c r="E222">
        <f>SUMPRODUCT((Calc!$F$3:$F$22&lt;=LTP!$B$5)*Calc!$K$3:$K$22*(Calc!$G$3:$G$22&gt;A222)*(Calc!$G$3:$G$22-A222)^2)</f>
        <v/>
      </c>
      <c r="F222">
        <f>SUMPRODUCT((Calc!$F$3:$F$22&lt;=LTP!$B$5)*Calc!$K$3:$K$22*(Calc!$G$3:$G$22&gt;A222)*(Calc!$G$3:$G$22-A222)*Calc!$G$3:$G$22)</f>
        <v/>
      </c>
      <c r="G222">
        <f>SUMPRODUCT((Calc!$F$3:$F$22&lt;=LTP!$B$5)*Calc!$K$3:$K$22*(Calc!$G$3:$G$22&gt;A222)*(Calc!$G$3:$G$22-A222)*Calc!$I$3:$I$22)</f>
        <v/>
      </c>
      <c r="H222">
        <f>IF($B$11&gt;0,F222-$C$11*D222/$B$11,0)</f>
        <v/>
      </c>
      <c r="I222">
        <f>IF($B$11&gt;0,E222-D222^2/$B$11,0)</f>
        <v/>
      </c>
      <c r="J222">
        <f>IF($B$11&gt;0,G222-D222*$D$11/$B$11,0)</f>
        <v/>
      </c>
      <c r="K222">
        <f>$H$11*I222-H222^2</f>
        <v/>
      </c>
      <c r="L222">
        <f>IF(ABS(K222)&gt;1E-12,($H$11*J222-H222*$I$11)/K222,0)</f>
        <v/>
      </c>
      <c r="M222">
        <f>IF(ABS(K222)&gt;1E-12,(I222*$I$11-H222*J222)/K222,0)</f>
        <v/>
      </c>
      <c r="N222">
        <f>$J$11-M222*$I$11-L222*J222</f>
        <v/>
      </c>
      <c r="O222">
        <f>IF(AND(C222,ABS(K222)&gt;1E-12,L222&gt;0),N222,1E+300)</f>
        <v/>
      </c>
    </row>
    <row r="223">
      <c r="A223">
        <f>$K$11+($L$11-$K$11)*209/400</f>
        <v/>
      </c>
      <c r="B223">
        <f>SUMPRODUCT((Calc!$F$3:$F$22&lt;=LTP!$B$5)*Calc!$K$3:$K$22*(Calc!$G$3:$G$22&lt;=A223))</f>
        <v/>
      </c>
      <c r="C223">
        <f>AND(B223&gt;=2,$B$11-B223&gt;=2)</f>
        <v/>
      </c>
      <c r="D223">
        <f>SUMPRODUCT((Calc!$F$3:$F$22&lt;=LTP!$B$5)*Calc!$K$3:$K$22*(Calc!$G$3:$G$22&gt;A223)*(Calc!$G$3:$G$22-A223))</f>
        <v/>
      </c>
      <c r="E223">
        <f>SUMPRODUCT((Calc!$F$3:$F$22&lt;=LTP!$B$5)*Calc!$K$3:$K$22*(Calc!$G$3:$G$22&gt;A223)*(Calc!$G$3:$G$22-A223)^2)</f>
        <v/>
      </c>
      <c r="F223">
        <f>SUMPRODUCT((Calc!$F$3:$F$22&lt;=LTP!$B$5)*Calc!$K$3:$K$22*(Calc!$G$3:$G$22&gt;A223)*(Calc!$G$3:$G$22-A223)*Calc!$G$3:$G$22)</f>
        <v/>
      </c>
      <c r="G223">
        <f>SUMPRODUCT((Calc!$F$3:$F$22&lt;=LTP!$B$5)*Calc!$K$3:$K$22*(Calc!$G$3:$G$22&gt;A223)*(Calc!$G$3:$G$22-A223)*Calc!$I$3:$I$22)</f>
        <v/>
      </c>
      <c r="H223">
        <f>IF($B$11&gt;0,F223-$C$11*D223/$B$11,0)</f>
        <v/>
      </c>
      <c r="I223">
        <f>IF($B$11&gt;0,E223-D223^2/$B$11,0)</f>
        <v/>
      </c>
      <c r="J223">
        <f>IF($B$11&gt;0,G223-D223*$D$11/$B$11,0)</f>
        <v/>
      </c>
      <c r="K223">
        <f>$H$11*I223-H223^2</f>
        <v/>
      </c>
      <c r="L223">
        <f>IF(ABS(K223)&gt;1E-12,($H$11*J223-H223*$I$11)/K223,0)</f>
        <v/>
      </c>
      <c r="M223">
        <f>IF(ABS(K223)&gt;1E-12,(I223*$I$11-H223*J223)/K223,0)</f>
        <v/>
      </c>
      <c r="N223">
        <f>$J$11-M223*$I$11-L223*J223</f>
        <v/>
      </c>
      <c r="O223">
        <f>IF(AND(C223,ABS(K223)&gt;1E-12,L223&gt;0),N223,1E+300)</f>
        <v/>
      </c>
    </row>
    <row r="224">
      <c r="A224">
        <f>$K$11+($L$11-$K$11)*210/400</f>
        <v/>
      </c>
      <c r="B224">
        <f>SUMPRODUCT((Calc!$F$3:$F$22&lt;=LTP!$B$5)*Calc!$K$3:$K$22*(Calc!$G$3:$G$22&lt;=A224))</f>
        <v/>
      </c>
      <c r="C224">
        <f>AND(B224&gt;=2,$B$11-B224&gt;=2)</f>
        <v/>
      </c>
      <c r="D224">
        <f>SUMPRODUCT((Calc!$F$3:$F$22&lt;=LTP!$B$5)*Calc!$K$3:$K$22*(Calc!$G$3:$G$22&gt;A224)*(Calc!$G$3:$G$22-A224))</f>
        <v/>
      </c>
      <c r="E224">
        <f>SUMPRODUCT((Calc!$F$3:$F$22&lt;=LTP!$B$5)*Calc!$K$3:$K$22*(Calc!$G$3:$G$22&gt;A224)*(Calc!$G$3:$G$22-A224)^2)</f>
        <v/>
      </c>
      <c r="F224">
        <f>SUMPRODUCT((Calc!$F$3:$F$22&lt;=LTP!$B$5)*Calc!$K$3:$K$22*(Calc!$G$3:$G$22&gt;A224)*(Calc!$G$3:$G$22-A224)*Calc!$G$3:$G$22)</f>
        <v/>
      </c>
      <c r="G224">
        <f>SUMPRODUCT((Calc!$F$3:$F$22&lt;=LTP!$B$5)*Calc!$K$3:$K$22*(Calc!$G$3:$G$22&gt;A224)*(Calc!$G$3:$G$22-A224)*Calc!$I$3:$I$22)</f>
        <v/>
      </c>
      <c r="H224">
        <f>IF($B$11&gt;0,F224-$C$11*D224/$B$11,0)</f>
        <v/>
      </c>
      <c r="I224">
        <f>IF($B$11&gt;0,E224-D224^2/$B$11,0)</f>
        <v/>
      </c>
      <c r="J224">
        <f>IF($B$11&gt;0,G224-D224*$D$11/$B$11,0)</f>
        <v/>
      </c>
      <c r="K224">
        <f>$H$11*I224-H224^2</f>
        <v/>
      </c>
      <c r="L224">
        <f>IF(ABS(K224)&gt;1E-12,($H$11*J224-H224*$I$11)/K224,0)</f>
        <v/>
      </c>
      <c r="M224">
        <f>IF(ABS(K224)&gt;1E-12,(I224*$I$11-H224*J224)/K224,0)</f>
        <v/>
      </c>
      <c r="N224">
        <f>$J$11-M224*$I$11-L224*J224</f>
        <v/>
      </c>
      <c r="O224">
        <f>IF(AND(C224,ABS(K224)&gt;1E-12,L224&gt;0),N224,1E+300)</f>
        <v/>
      </c>
    </row>
    <row r="225">
      <c r="A225">
        <f>$K$11+($L$11-$K$11)*211/400</f>
        <v/>
      </c>
      <c r="B225">
        <f>SUMPRODUCT((Calc!$F$3:$F$22&lt;=LTP!$B$5)*Calc!$K$3:$K$22*(Calc!$G$3:$G$22&lt;=A225))</f>
        <v/>
      </c>
      <c r="C225">
        <f>AND(B225&gt;=2,$B$11-B225&gt;=2)</f>
        <v/>
      </c>
      <c r="D225">
        <f>SUMPRODUCT((Calc!$F$3:$F$22&lt;=LTP!$B$5)*Calc!$K$3:$K$22*(Calc!$G$3:$G$22&gt;A225)*(Calc!$G$3:$G$22-A225))</f>
        <v/>
      </c>
      <c r="E225">
        <f>SUMPRODUCT((Calc!$F$3:$F$22&lt;=LTP!$B$5)*Calc!$K$3:$K$22*(Calc!$G$3:$G$22&gt;A225)*(Calc!$G$3:$G$22-A225)^2)</f>
        <v/>
      </c>
      <c r="F225">
        <f>SUMPRODUCT((Calc!$F$3:$F$22&lt;=LTP!$B$5)*Calc!$K$3:$K$22*(Calc!$G$3:$G$22&gt;A225)*(Calc!$G$3:$G$22-A225)*Calc!$G$3:$G$22)</f>
        <v/>
      </c>
      <c r="G225">
        <f>SUMPRODUCT((Calc!$F$3:$F$22&lt;=LTP!$B$5)*Calc!$K$3:$K$22*(Calc!$G$3:$G$22&gt;A225)*(Calc!$G$3:$G$22-A225)*Calc!$I$3:$I$22)</f>
        <v/>
      </c>
      <c r="H225">
        <f>IF($B$11&gt;0,F225-$C$11*D225/$B$11,0)</f>
        <v/>
      </c>
      <c r="I225">
        <f>IF($B$11&gt;0,E225-D225^2/$B$11,0)</f>
        <v/>
      </c>
      <c r="J225">
        <f>IF($B$11&gt;0,G225-D225*$D$11/$B$11,0)</f>
        <v/>
      </c>
      <c r="K225">
        <f>$H$11*I225-H225^2</f>
        <v/>
      </c>
      <c r="L225">
        <f>IF(ABS(K225)&gt;1E-12,($H$11*J225-H225*$I$11)/K225,0)</f>
        <v/>
      </c>
      <c r="M225">
        <f>IF(ABS(K225)&gt;1E-12,(I225*$I$11-H225*J225)/K225,0)</f>
        <v/>
      </c>
      <c r="N225">
        <f>$J$11-M225*$I$11-L225*J225</f>
        <v/>
      </c>
      <c r="O225">
        <f>IF(AND(C225,ABS(K225)&gt;1E-12,L225&gt;0),N225,1E+300)</f>
        <v/>
      </c>
    </row>
    <row r="226">
      <c r="A226">
        <f>$K$11+($L$11-$K$11)*212/400</f>
        <v/>
      </c>
      <c r="B226">
        <f>SUMPRODUCT((Calc!$F$3:$F$22&lt;=LTP!$B$5)*Calc!$K$3:$K$22*(Calc!$G$3:$G$22&lt;=A226))</f>
        <v/>
      </c>
      <c r="C226">
        <f>AND(B226&gt;=2,$B$11-B226&gt;=2)</f>
        <v/>
      </c>
      <c r="D226">
        <f>SUMPRODUCT((Calc!$F$3:$F$22&lt;=LTP!$B$5)*Calc!$K$3:$K$22*(Calc!$G$3:$G$22&gt;A226)*(Calc!$G$3:$G$22-A226))</f>
        <v/>
      </c>
      <c r="E226">
        <f>SUMPRODUCT((Calc!$F$3:$F$22&lt;=LTP!$B$5)*Calc!$K$3:$K$22*(Calc!$G$3:$G$22&gt;A226)*(Calc!$G$3:$G$22-A226)^2)</f>
        <v/>
      </c>
      <c r="F226">
        <f>SUMPRODUCT((Calc!$F$3:$F$22&lt;=LTP!$B$5)*Calc!$K$3:$K$22*(Calc!$G$3:$G$22&gt;A226)*(Calc!$G$3:$G$22-A226)*Calc!$G$3:$G$22)</f>
        <v/>
      </c>
      <c r="G226">
        <f>SUMPRODUCT((Calc!$F$3:$F$22&lt;=LTP!$B$5)*Calc!$K$3:$K$22*(Calc!$G$3:$G$22&gt;A226)*(Calc!$G$3:$G$22-A226)*Calc!$I$3:$I$22)</f>
        <v/>
      </c>
      <c r="H226">
        <f>IF($B$11&gt;0,F226-$C$11*D226/$B$11,0)</f>
        <v/>
      </c>
      <c r="I226">
        <f>IF($B$11&gt;0,E226-D226^2/$B$11,0)</f>
        <v/>
      </c>
      <c r="J226">
        <f>IF($B$11&gt;0,G226-D226*$D$11/$B$11,0)</f>
        <v/>
      </c>
      <c r="K226">
        <f>$H$11*I226-H226^2</f>
        <v/>
      </c>
      <c r="L226">
        <f>IF(ABS(K226)&gt;1E-12,($H$11*J226-H226*$I$11)/K226,0)</f>
        <v/>
      </c>
      <c r="M226">
        <f>IF(ABS(K226)&gt;1E-12,(I226*$I$11-H226*J226)/K226,0)</f>
        <v/>
      </c>
      <c r="N226">
        <f>$J$11-M226*$I$11-L226*J226</f>
        <v/>
      </c>
      <c r="O226">
        <f>IF(AND(C226,ABS(K226)&gt;1E-12,L226&gt;0),N226,1E+300)</f>
        <v/>
      </c>
    </row>
    <row r="227">
      <c r="A227">
        <f>$K$11+($L$11-$K$11)*213/400</f>
        <v/>
      </c>
      <c r="B227">
        <f>SUMPRODUCT((Calc!$F$3:$F$22&lt;=LTP!$B$5)*Calc!$K$3:$K$22*(Calc!$G$3:$G$22&lt;=A227))</f>
        <v/>
      </c>
      <c r="C227">
        <f>AND(B227&gt;=2,$B$11-B227&gt;=2)</f>
        <v/>
      </c>
      <c r="D227">
        <f>SUMPRODUCT((Calc!$F$3:$F$22&lt;=LTP!$B$5)*Calc!$K$3:$K$22*(Calc!$G$3:$G$22&gt;A227)*(Calc!$G$3:$G$22-A227))</f>
        <v/>
      </c>
      <c r="E227">
        <f>SUMPRODUCT((Calc!$F$3:$F$22&lt;=LTP!$B$5)*Calc!$K$3:$K$22*(Calc!$G$3:$G$22&gt;A227)*(Calc!$G$3:$G$22-A227)^2)</f>
        <v/>
      </c>
      <c r="F227">
        <f>SUMPRODUCT((Calc!$F$3:$F$22&lt;=LTP!$B$5)*Calc!$K$3:$K$22*(Calc!$G$3:$G$22&gt;A227)*(Calc!$G$3:$G$22-A227)*Calc!$G$3:$G$22)</f>
        <v/>
      </c>
      <c r="G227">
        <f>SUMPRODUCT((Calc!$F$3:$F$22&lt;=LTP!$B$5)*Calc!$K$3:$K$22*(Calc!$G$3:$G$22&gt;A227)*(Calc!$G$3:$G$22-A227)*Calc!$I$3:$I$22)</f>
        <v/>
      </c>
      <c r="H227">
        <f>IF($B$11&gt;0,F227-$C$11*D227/$B$11,0)</f>
        <v/>
      </c>
      <c r="I227">
        <f>IF($B$11&gt;0,E227-D227^2/$B$11,0)</f>
        <v/>
      </c>
      <c r="J227">
        <f>IF($B$11&gt;0,G227-D227*$D$11/$B$11,0)</f>
        <v/>
      </c>
      <c r="K227">
        <f>$H$11*I227-H227^2</f>
        <v/>
      </c>
      <c r="L227">
        <f>IF(ABS(K227)&gt;1E-12,($H$11*J227-H227*$I$11)/K227,0)</f>
        <v/>
      </c>
      <c r="M227">
        <f>IF(ABS(K227)&gt;1E-12,(I227*$I$11-H227*J227)/K227,0)</f>
        <v/>
      </c>
      <c r="N227">
        <f>$J$11-M227*$I$11-L227*J227</f>
        <v/>
      </c>
      <c r="O227">
        <f>IF(AND(C227,ABS(K227)&gt;1E-12,L227&gt;0),N227,1E+300)</f>
        <v/>
      </c>
    </row>
    <row r="228">
      <c r="A228">
        <f>$K$11+($L$11-$K$11)*214/400</f>
        <v/>
      </c>
      <c r="B228">
        <f>SUMPRODUCT((Calc!$F$3:$F$22&lt;=LTP!$B$5)*Calc!$K$3:$K$22*(Calc!$G$3:$G$22&lt;=A228))</f>
        <v/>
      </c>
      <c r="C228">
        <f>AND(B228&gt;=2,$B$11-B228&gt;=2)</f>
        <v/>
      </c>
      <c r="D228">
        <f>SUMPRODUCT((Calc!$F$3:$F$22&lt;=LTP!$B$5)*Calc!$K$3:$K$22*(Calc!$G$3:$G$22&gt;A228)*(Calc!$G$3:$G$22-A228))</f>
        <v/>
      </c>
      <c r="E228">
        <f>SUMPRODUCT((Calc!$F$3:$F$22&lt;=LTP!$B$5)*Calc!$K$3:$K$22*(Calc!$G$3:$G$22&gt;A228)*(Calc!$G$3:$G$22-A228)^2)</f>
        <v/>
      </c>
      <c r="F228">
        <f>SUMPRODUCT((Calc!$F$3:$F$22&lt;=LTP!$B$5)*Calc!$K$3:$K$22*(Calc!$G$3:$G$22&gt;A228)*(Calc!$G$3:$G$22-A228)*Calc!$G$3:$G$22)</f>
        <v/>
      </c>
      <c r="G228">
        <f>SUMPRODUCT((Calc!$F$3:$F$22&lt;=LTP!$B$5)*Calc!$K$3:$K$22*(Calc!$G$3:$G$22&gt;A228)*(Calc!$G$3:$G$22-A228)*Calc!$I$3:$I$22)</f>
        <v/>
      </c>
      <c r="H228">
        <f>IF($B$11&gt;0,F228-$C$11*D228/$B$11,0)</f>
        <v/>
      </c>
      <c r="I228">
        <f>IF($B$11&gt;0,E228-D228^2/$B$11,0)</f>
        <v/>
      </c>
      <c r="J228">
        <f>IF($B$11&gt;0,G228-D228*$D$11/$B$11,0)</f>
        <v/>
      </c>
      <c r="K228">
        <f>$H$11*I228-H228^2</f>
        <v/>
      </c>
      <c r="L228">
        <f>IF(ABS(K228)&gt;1E-12,($H$11*J228-H228*$I$11)/K228,0)</f>
        <v/>
      </c>
      <c r="M228">
        <f>IF(ABS(K228)&gt;1E-12,(I228*$I$11-H228*J228)/K228,0)</f>
        <v/>
      </c>
      <c r="N228">
        <f>$J$11-M228*$I$11-L228*J228</f>
        <v/>
      </c>
      <c r="O228">
        <f>IF(AND(C228,ABS(K228)&gt;1E-12,L228&gt;0),N228,1E+300)</f>
        <v/>
      </c>
    </row>
    <row r="229">
      <c r="A229">
        <f>$K$11+($L$11-$K$11)*215/400</f>
        <v/>
      </c>
      <c r="B229">
        <f>SUMPRODUCT((Calc!$F$3:$F$22&lt;=LTP!$B$5)*Calc!$K$3:$K$22*(Calc!$G$3:$G$22&lt;=A229))</f>
        <v/>
      </c>
      <c r="C229">
        <f>AND(B229&gt;=2,$B$11-B229&gt;=2)</f>
        <v/>
      </c>
      <c r="D229">
        <f>SUMPRODUCT((Calc!$F$3:$F$22&lt;=LTP!$B$5)*Calc!$K$3:$K$22*(Calc!$G$3:$G$22&gt;A229)*(Calc!$G$3:$G$22-A229))</f>
        <v/>
      </c>
      <c r="E229">
        <f>SUMPRODUCT((Calc!$F$3:$F$22&lt;=LTP!$B$5)*Calc!$K$3:$K$22*(Calc!$G$3:$G$22&gt;A229)*(Calc!$G$3:$G$22-A229)^2)</f>
        <v/>
      </c>
      <c r="F229">
        <f>SUMPRODUCT((Calc!$F$3:$F$22&lt;=LTP!$B$5)*Calc!$K$3:$K$22*(Calc!$G$3:$G$22&gt;A229)*(Calc!$G$3:$G$22-A229)*Calc!$G$3:$G$22)</f>
        <v/>
      </c>
      <c r="G229">
        <f>SUMPRODUCT((Calc!$F$3:$F$22&lt;=LTP!$B$5)*Calc!$K$3:$K$22*(Calc!$G$3:$G$22&gt;A229)*(Calc!$G$3:$G$22-A229)*Calc!$I$3:$I$22)</f>
        <v/>
      </c>
      <c r="H229">
        <f>IF($B$11&gt;0,F229-$C$11*D229/$B$11,0)</f>
        <v/>
      </c>
      <c r="I229">
        <f>IF($B$11&gt;0,E229-D229^2/$B$11,0)</f>
        <v/>
      </c>
      <c r="J229">
        <f>IF($B$11&gt;0,G229-D229*$D$11/$B$11,0)</f>
        <v/>
      </c>
      <c r="K229">
        <f>$H$11*I229-H229^2</f>
        <v/>
      </c>
      <c r="L229">
        <f>IF(ABS(K229)&gt;1E-12,($H$11*J229-H229*$I$11)/K229,0)</f>
        <v/>
      </c>
      <c r="M229">
        <f>IF(ABS(K229)&gt;1E-12,(I229*$I$11-H229*J229)/K229,0)</f>
        <v/>
      </c>
      <c r="N229">
        <f>$J$11-M229*$I$11-L229*J229</f>
        <v/>
      </c>
      <c r="O229">
        <f>IF(AND(C229,ABS(K229)&gt;1E-12,L229&gt;0),N229,1E+300)</f>
        <v/>
      </c>
    </row>
    <row r="230">
      <c r="A230">
        <f>$K$11+($L$11-$K$11)*216/400</f>
        <v/>
      </c>
      <c r="B230">
        <f>SUMPRODUCT((Calc!$F$3:$F$22&lt;=LTP!$B$5)*Calc!$K$3:$K$22*(Calc!$G$3:$G$22&lt;=A230))</f>
        <v/>
      </c>
      <c r="C230">
        <f>AND(B230&gt;=2,$B$11-B230&gt;=2)</f>
        <v/>
      </c>
      <c r="D230">
        <f>SUMPRODUCT((Calc!$F$3:$F$22&lt;=LTP!$B$5)*Calc!$K$3:$K$22*(Calc!$G$3:$G$22&gt;A230)*(Calc!$G$3:$G$22-A230))</f>
        <v/>
      </c>
      <c r="E230">
        <f>SUMPRODUCT((Calc!$F$3:$F$22&lt;=LTP!$B$5)*Calc!$K$3:$K$22*(Calc!$G$3:$G$22&gt;A230)*(Calc!$G$3:$G$22-A230)^2)</f>
        <v/>
      </c>
      <c r="F230">
        <f>SUMPRODUCT((Calc!$F$3:$F$22&lt;=LTP!$B$5)*Calc!$K$3:$K$22*(Calc!$G$3:$G$22&gt;A230)*(Calc!$G$3:$G$22-A230)*Calc!$G$3:$G$22)</f>
        <v/>
      </c>
      <c r="G230">
        <f>SUMPRODUCT((Calc!$F$3:$F$22&lt;=LTP!$B$5)*Calc!$K$3:$K$22*(Calc!$G$3:$G$22&gt;A230)*(Calc!$G$3:$G$22-A230)*Calc!$I$3:$I$22)</f>
        <v/>
      </c>
      <c r="H230">
        <f>IF($B$11&gt;0,F230-$C$11*D230/$B$11,0)</f>
        <v/>
      </c>
      <c r="I230">
        <f>IF($B$11&gt;0,E230-D230^2/$B$11,0)</f>
        <v/>
      </c>
      <c r="J230">
        <f>IF($B$11&gt;0,G230-D230*$D$11/$B$11,0)</f>
        <v/>
      </c>
      <c r="K230">
        <f>$H$11*I230-H230^2</f>
        <v/>
      </c>
      <c r="L230">
        <f>IF(ABS(K230)&gt;1E-12,($H$11*J230-H230*$I$11)/K230,0)</f>
        <v/>
      </c>
      <c r="M230">
        <f>IF(ABS(K230)&gt;1E-12,(I230*$I$11-H230*J230)/K230,0)</f>
        <v/>
      </c>
      <c r="N230">
        <f>$J$11-M230*$I$11-L230*J230</f>
        <v/>
      </c>
      <c r="O230">
        <f>IF(AND(C230,ABS(K230)&gt;1E-12,L230&gt;0),N230,1E+300)</f>
        <v/>
      </c>
    </row>
    <row r="231">
      <c r="A231">
        <f>$K$11+($L$11-$K$11)*217/400</f>
        <v/>
      </c>
      <c r="B231">
        <f>SUMPRODUCT((Calc!$F$3:$F$22&lt;=LTP!$B$5)*Calc!$K$3:$K$22*(Calc!$G$3:$G$22&lt;=A231))</f>
        <v/>
      </c>
      <c r="C231">
        <f>AND(B231&gt;=2,$B$11-B231&gt;=2)</f>
        <v/>
      </c>
      <c r="D231">
        <f>SUMPRODUCT((Calc!$F$3:$F$22&lt;=LTP!$B$5)*Calc!$K$3:$K$22*(Calc!$G$3:$G$22&gt;A231)*(Calc!$G$3:$G$22-A231))</f>
        <v/>
      </c>
      <c r="E231">
        <f>SUMPRODUCT((Calc!$F$3:$F$22&lt;=LTP!$B$5)*Calc!$K$3:$K$22*(Calc!$G$3:$G$22&gt;A231)*(Calc!$G$3:$G$22-A231)^2)</f>
        <v/>
      </c>
      <c r="F231">
        <f>SUMPRODUCT((Calc!$F$3:$F$22&lt;=LTP!$B$5)*Calc!$K$3:$K$22*(Calc!$G$3:$G$22&gt;A231)*(Calc!$G$3:$G$22-A231)*Calc!$G$3:$G$22)</f>
        <v/>
      </c>
      <c r="G231">
        <f>SUMPRODUCT((Calc!$F$3:$F$22&lt;=LTP!$B$5)*Calc!$K$3:$K$22*(Calc!$G$3:$G$22&gt;A231)*(Calc!$G$3:$G$22-A231)*Calc!$I$3:$I$22)</f>
        <v/>
      </c>
      <c r="H231">
        <f>IF($B$11&gt;0,F231-$C$11*D231/$B$11,0)</f>
        <v/>
      </c>
      <c r="I231">
        <f>IF($B$11&gt;0,E231-D231^2/$B$11,0)</f>
        <v/>
      </c>
      <c r="J231">
        <f>IF($B$11&gt;0,G231-D231*$D$11/$B$11,0)</f>
        <v/>
      </c>
      <c r="K231">
        <f>$H$11*I231-H231^2</f>
        <v/>
      </c>
      <c r="L231">
        <f>IF(ABS(K231)&gt;1E-12,($H$11*J231-H231*$I$11)/K231,0)</f>
        <v/>
      </c>
      <c r="M231">
        <f>IF(ABS(K231)&gt;1E-12,(I231*$I$11-H231*J231)/K231,0)</f>
        <v/>
      </c>
      <c r="N231">
        <f>$J$11-M231*$I$11-L231*J231</f>
        <v/>
      </c>
      <c r="O231">
        <f>IF(AND(C231,ABS(K231)&gt;1E-12,L231&gt;0),N231,1E+300)</f>
        <v/>
      </c>
    </row>
    <row r="232">
      <c r="A232">
        <f>$K$11+($L$11-$K$11)*218/400</f>
        <v/>
      </c>
      <c r="B232">
        <f>SUMPRODUCT((Calc!$F$3:$F$22&lt;=LTP!$B$5)*Calc!$K$3:$K$22*(Calc!$G$3:$G$22&lt;=A232))</f>
        <v/>
      </c>
      <c r="C232">
        <f>AND(B232&gt;=2,$B$11-B232&gt;=2)</f>
        <v/>
      </c>
      <c r="D232">
        <f>SUMPRODUCT((Calc!$F$3:$F$22&lt;=LTP!$B$5)*Calc!$K$3:$K$22*(Calc!$G$3:$G$22&gt;A232)*(Calc!$G$3:$G$22-A232))</f>
        <v/>
      </c>
      <c r="E232">
        <f>SUMPRODUCT((Calc!$F$3:$F$22&lt;=LTP!$B$5)*Calc!$K$3:$K$22*(Calc!$G$3:$G$22&gt;A232)*(Calc!$G$3:$G$22-A232)^2)</f>
        <v/>
      </c>
      <c r="F232">
        <f>SUMPRODUCT((Calc!$F$3:$F$22&lt;=LTP!$B$5)*Calc!$K$3:$K$22*(Calc!$G$3:$G$22&gt;A232)*(Calc!$G$3:$G$22-A232)*Calc!$G$3:$G$22)</f>
        <v/>
      </c>
      <c r="G232">
        <f>SUMPRODUCT((Calc!$F$3:$F$22&lt;=LTP!$B$5)*Calc!$K$3:$K$22*(Calc!$G$3:$G$22&gt;A232)*(Calc!$G$3:$G$22-A232)*Calc!$I$3:$I$22)</f>
        <v/>
      </c>
      <c r="H232">
        <f>IF($B$11&gt;0,F232-$C$11*D232/$B$11,0)</f>
        <v/>
      </c>
      <c r="I232">
        <f>IF($B$11&gt;0,E232-D232^2/$B$11,0)</f>
        <v/>
      </c>
      <c r="J232">
        <f>IF($B$11&gt;0,G232-D232*$D$11/$B$11,0)</f>
        <v/>
      </c>
      <c r="K232">
        <f>$H$11*I232-H232^2</f>
        <v/>
      </c>
      <c r="L232">
        <f>IF(ABS(K232)&gt;1E-12,($H$11*J232-H232*$I$11)/K232,0)</f>
        <v/>
      </c>
      <c r="M232">
        <f>IF(ABS(K232)&gt;1E-12,(I232*$I$11-H232*J232)/K232,0)</f>
        <v/>
      </c>
      <c r="N232">
        <f>$J$11-M232*$I$11-L232*J232</f>
        <v/>
      </c>
      <c r="O232">
        <f>IF(AND(C232,ABS(K232)&gt;1E-12,L232&gt;0),N232,1E+300)</f>
        <v/>
      </c>
    </row>
    <row r="233">
      <c r="A233">
        <f>$K$11+($L$11-$K$11)*219/400</f>
        <v/>
      </c>
      <c r="B233">
        <f>SUMPRODUCT((Calc!$F$3:$F$22&lt;=LTP!$B$5)*Calc!$K$3:$K$22*(Calc!$G$3:$G$22&lt;=A233))</f>
        <v/>
      </c>
      <c r="C233">
        <f>AND(B233&gt;=2,$B$11-B233&gt;=2)</f>
        <v/>
      </c>
      <c r="D233">
        <f>SUMPRODUCT((Calc!$F$3:$F$22&lt;=LTP!$B$5)*Calc!$K$3:$K$22*(Calc!$G$3:$G$22&gt;A233)*(Calc!$G$3:$G$22-A233))</f>
        <v/>
      </c>
      <c r="E233">
        <f>SUMPRODUCT((Calc!$F$3:$F$22&lt;=LTP!$B$5)*Calc!$K$3:$K$22*(Calc!$G$3:$G$22&gt;A233)*(Calc!$G$3:$G$22-A233)^2)</f>
        <v/>
      </c>
      <c r="F233">
        <f>SUMPRODUCT((Calc!$F$3:$F$22&lt;=LTP!$B$5)*Calc!$K$3:$K$22*(Calc!$G$3:$G$22&gt;A233)*(Calc!$G$3:$G$22-A233)*Calc!$G$3:$G$22)</f>
        <v/>
      </c>
      <c r="G233">
        <f>SUMPRODUCT((Calc!$F$3:$F$22&lt;=LTP!$B$5)*Calc!$K$3:$K$22*(Calc!$G$3:$G$22&gt;A233)*(Calc!$G$3:$G$22-A233)*Calc!$I$3:$I$22)</f>
        <v/>
      </c>
      <c r="H233">
        <f>IF($B$11&gt;0,F233-$C$11*D233/$B$11,0)</f>
        <v/>
      </c>
      <c r="I233">
        <f>IF($B$11&gt;0,E233-D233^2/$B$11,0)</f>
        <v/>
      </c>
      <c r="J233">
        <f>IF($B$11&gt;0,G233-D233*$D$11/$B$11,0)</f>
        <v/>
      </c>
      <c r="K233">
        <f>$H$11*I233-H233^2</f>
        <v/>
      </c>
      <c r="L233">
        <f>IF(ABS(K233)&gt;1E-12,($H$11*J233-H233*$I$11)/K233,0)</f>
        <v/>
      </c>
      <c r="M233">
        <f>IF(ABS(K233)&gt;1E-12,(I233*$I$11-H233*J233)/K233,0)</f>
        <v/>
      </c>
      <c r="N233">
        <f>$J$11-M233*$I$11-L233*J233</f>
        <v/>
      </c>
      <c r="O233">
        <f>IF(AND(C233,ABS(K233)&gt;1E-12,L233&gt;0),N233,1E+300)</f>
        <v/>
      </c>
    </row>
    <row r="234">
      <c r="A234">
        <f>$K$11+($L$11-$K$11)*220/400</f>
        <v/>
      </c>
      <c r="B234">
        <f>SUMPRODUCT((Calc!$F$3:$F$22&lt;=LTP!$B$5)*Calc!$K$3:$K$22*(Calc!$G$3:$G$22&lt;=A234))</f>
        <v/>
      </c>
      <c r="C234">
        <f>AND(B234&gt;=2,$B$11-B234&gt;=2)</f>
        <v/>
      </c>
      <c r="D234">
        <f>SUMPRODUCT((Calc!$F$3:$F$22&lt;=LTP!$B$5)*Calc!$K$3:$K$22*(Calc!$G$3:$G$22&gt;A234)*(Calc!$G$3:$G$22-A234))</f>
        <v/>
      </c>
      <c r="E234">
        <f>SUMPRODUCT((Calc!$F$3:$F$22&lt;=LTP!$B$5)*Calc!$K$3:$K$22*(Calc!$G$3:$G$22&gt;A234)*(Calc!$G$3:$G$22-A234)^2)</f>
        <v/>
      </c>
      <c r="F234">
        <f>SUMPRODUCT((Calc!$F$3:$F$22&lt;=LTP!$B$5)*Calc!$K$3:$K$22*(Calc!$G$3:$G$22&gt;A234)*(Calc!$G$3:$G$22-A234)*Calc!$G$3:$G$22)</f>
        <v/>
      </c>
      <c r="G234">
        <f>SUMPRODUCT((Calc!$F$3:$F$22&lt;=LTP!$B$5)*Calc!$K$3:$K$22*(Calc!$G$3:$G$22&gt;A234)*(Calc!$G$3:$G$22-A234)*Calc!$I$3:$I$22)</f>
        <v/>
      </c>
      <c r="H234">
        <f>IF($B$11&gt;0,F234-$C$11*D234/$B$11,0)</f>
        <v/>
      </c>
      <c r="I234">
        <f>IF($B$11&gt;0,E234-D234^2/$B$11,0)</f>
        <v/>
      </c>
      <c r="J234">
        <f>IF($B$11&gt;0,G234-D234*$D$11/$B$11,0)</f>
        <v/>
      </c>
      <c r="K234">
        <f>$H$11*I234-H234^2</f>
        <v/>
      </c>
      <c r="L234">
        <f>IF(ABS(K234)&gt;1E-12,($H$11*J234-H234*$I$11)/K234,0)</f>
        <v/>
      </c>
      <c r="M234">
        <f>IF(ABS(K234)&gt;1E-12,(I234*$I$11-H234*J234)/K234,0)</f>
        <v/>
      </c>
      <c r="N234">
        <f>$J$11-M234*$I$11-L234*J234</f>
        <v/>
      </c>
      <c r="O234">
        <f>IF(AND(C234,ABS(K234)&gt;1E-12,L234&gt;0),N234,1E+300)</f>
        <v/>
      </c>
    </row>
    <row r="235">
      <c r="A235">
        <f>$K$11+($L$11-$K$11)*221/400</f>
        <v/>
      </c>
      <c r="B235">
        <f>SUMPRODUCT((Calc!$F$3:$F$22&lt;=LTP!$B$5)*Calc!$K$3:$K$22*(Calc!$G$3:$G$22&lt;=A235))</f>
        <v/>
      </c>
      <c r="C235">
        <f>AND(B235&gt;=2,$B$11-B235&gt;=2)</f>
        <v/>
      </c>
      <c r="D235">
        <f>SUMPRODUCT((Calc!$F$3:$F$22&lt;=LTP!$B$5)*Calc!$K$3:$K$22*(Calc!$G$3:$G$22&gt;A235)*(Calc!$G$3:$G$22-A235))</f>
        <v/>
      </c>
      <c r="E235">
        <f>SUMPRODUCT((Calc!$F$3:$F$22&lt;=LTP!$B$5)*Calc!$K$3:$K$22*(Calc!$G$3:$G$22&gt;A235)*(Calc!$G$3:$G$22-A235)^2)</f>
        <v/>
      </c>
      <c r="F235">
        <f>SUMPRODUCT((Calc!$F$3:$F$22&lt;=LTP!$B$5)*Calc!$K$3:$K$22*(Calc!$G$3:$G$22&gt;A235)*(Calc!$G$3:$G$22-A235)*Calc!$G$3:$G$22)</f>
        <v/>
      </c>
      <c r="G235">
        <f>SUMPRODUCT((Calc!$F$3:$F$22&lt;=LTP!$B$5)*Calc!$K$3:$K$22*(Calc!$G$3:$G$22&gt;A235)*(Calc!$G$3:$G$22-A235)*Calc!$I$3:$I$22)</f>
        <v/>
      </c>
      <c r="H235">
        <f>IF($B$11&gt;0,F235-$C$11*D235/$B$11,0)</f>
        <v/>
      </c>
      <c r="I235">
        <f>IF($B$11&gt;0,E235-D235^2/$B$11,0)</f>
        <v/>
      </c>
      <c r="J235">
        <f>IF($B$11&gt;0,G235-D235*$D$11/$B$11,0)</f>
        <v/>
      </c>
      <c r="K235">
        <f>$H$11*I235-H235^2</f>
        <v/>
      </c>
      <c r="L235">
        <f>IF(ABS(K235)&gt;1E-12,($H$11*J235-H235*$I$11)/K235,0)</f>
        <v/>
      </c>
      <c r="M235">
        <f>IF(ABS(K235)&gt;1E-12,(I235*$I$11-H235*J235)/K235,0)</f>
        <v/>
      </c>
      <c r="N235">
        <f>$J$11-M235*$I$11-L235*J235</f>
        <v/>
      </c>
      <c r="O235">
        <f>IF(AND(C235,ABS(K235)&gt;1E-12,L235&gt;0),N235,1E+300)</f>
        <v/>
      </c>
    </row>
    <row r="236">
      <c r="A236">
        <f>$K$11+($L$11-$K$11)*222/400</f>
        <v/>
      </c>
      <c r="B236">
        <f>SUMPRODUCT((Calc!$F$3:$F$22&lt;=LTP!$B$5)*Calc!$K$3:$K$22*(Calc!$G$3:$G$22&lt;=A236))</f>
        <v/>
      </c>
      <c r="C236">
        <f>AND(B236&gt;=2,$B$11-B236&gt;=2)</f>
        <v/>
      </c>
      <c r="D236">
        <f>SUMPRODUCT((Calc!$F$3:$F$22&lt;=LTP!$B$5)*Calc!$K$3:$K$22*(Calc!$G$3:$G$22&gt;A236)*(Calc!$G$3:$G$22-A236))</f>
        <v/>
      </c>
      <c r="E236">
        <f>SUMPRODUCT((Calc!$F$3:$F$22&lt;=LTP!$B$5)*Calc!$K$3:$K$22*(Calc!$G$3:$G$22&gt;A236)*(Calc!$G$3:$G$22-A236)^2)</f>
        <v/>
      </c>
      <c r="F236">
        <f>SUMPRODUCT((Calc!$F$3:$F$22&lt;=LTP!$B$5)*Calc!$K$3:$K$22*(Calc!$G$3:$G$22&gt;A236)*(Calc!$G$3:$G$22-A236)*Calc!$G$3:$G$22)</f>
        <v/>
      </c>
      <c r="G236">
        <f>SUMPRODUCT((Calc!$F$3:$F$22&lt;=LTP!$B$5)*Calc!$K$3:$K$22*(Calc!$G$3:$G$22&gt;A236)*(Calc!$G$3:$G$22-A236)*Calc!$I$3:$I$22)</f>
        <v/>
      </c>
      <c r="H236">
        <f>IF($B$11&gt;0,F236-$C$11*D236/$B$11,0)</f>
        <v/>
      </c>
      <c r="I236">
        <f>IF($B$11&gt;0,E236-D236^2/$B$11,0)</f>
        <v/>
      </c>
      <c r="J236">
        <f>IF($B$11&gt;0,G236-D236*$D$11/$B$11,0)</f>
        <v/>
      </c>
      <c r="K236">
        <f>$H$11*I236-H236^2</f>
        <v/>
      </c>
      <c r="L236">
        <f>IF(ABS(K236)&gt;1E-12,($H$11*J236-H236*$I$11)/K236,0)</f>
        <v/>
      </c>
      <c r="M236">
        <f>IF(ABS(K236)&gt;1E-12,(I236*$I$11-H236*J236)/K236,0)</f>
        <v/>
      </c>
      <c r="N236">
        <f>$J$11-M236*$I$11-L236*J236</f>
        <v/>
      </c>
      <c r="O236">
        <f>IF(AND(C236,ABS(K236)&gt;1E-12,L236&gt;0),N236,1E+300)</f>
        <v/>
      </c>
    </row>
    <row r="237">
      <c r="A237">
        <f>$K$11+($L$11-$K$11)*223/400</f>
        <v/>
      </c>
      <c r="B237">
        <f>SUMPRODUCT((Calc!$F$3:$F$22&lt;=LTP!$B$5)*Calc!$K$3:$K$22*(Calc!$G$3:$G$22&lt;=A237))</f>
        <v/>
      </c>
      <c r="C237">
        <f>AND(B237&gt;=2,$B$11-B237&gt;=2)</f>
        <v/>
      </c>
      <c r="D237">
        <f>SUMPRODUCT((Calc!$F$3:$F$22&lt;=LTP!$B$5)*Calc!$K$3:$K$22*(Calc!$G$3:$G$22&gt;A237)*(Calc!$G$3:$G$22-A237))</f>
        <v/>
      </c>
      <c r="E237">
        <f>SUMPRODUCT((Calc!$F$3:$F$22&lt;=LTP!$B$5)*Calc!$K$3:$K$22*(Calc!$G$3:$G$22&gt;A237)*(Calc!$G$3:$G$22-A237)^2)</f>
        <v/>
      </c>
      <c r="F237">
        <f>SUMPRODUCT((Calc!$F$3:$F$22&lt;=LTP!$B$5)*Calc!$K$3:$K$22*(Calc!$G$3:$G$22&gt;A237)*(Calc!$G$3:$G$22-A237)*Calc!$G$3:$G$22)</f>
        <v/>
      </c>
      <c r="G237">
        <f>SUMPRODUCT((Calc!$F$3:$F$22&lt;=LTP!$B$5)*Calc!$K$3:$K$22*(Calc!$G$3:$G$22&gt;A237)*(Calc!$G$3:$G$22-A237)*Calc!$I$3:$I$22)</f>
        <v/>
      </c>
      <c r="H237">
        <f>IF($B$11&gt;0,F237-$C$11*D237/$B$11,0)</f>
        <v/>
      </c>
      <c r="I237">
        <f>IF($B$11&gt;0,E237-D237^2/$B$11,0)</f>
        <v/>
      </c>
      <c r="J237">
        <f>IF($B$11&gt;0,G237-D237*$D$11/$B$11,0)</f>
        <v/>
      </c>
      <c r="K237">
        <f>$H$11*I237-H237^2</f>
        <v/>
      </c>
      <c r="L237">
        <f>IF(ABS(K237)&gt;1E-12,($H$11*J237-H237*$I$11)/K237,0)</f>
        <v/>
      </c>
      <c r="M237">
        <f>IF(ABS(K237)&gt;1E-12,(I237*$I$11-H237*J237)/K237,0)</f>
        <v/>
      </c>
      <c r="N237">
        <f>$J$11-M237*$I$11-L237*J237</f>
        <v/>
      </c>
      <c r="O237">
        <f>IF(AND(C237,ABS(K237)&gt;1E-12,L237&gt;0),N237,1E+300)</f>
        <v/>
      </c>
    </row>
    <row r="238">
      <c r="A238">
        <f>$K$11+($L$11-$K$11)*224/400</f>
        <v/>
      </c>
      <c r="B238">
        <f>SUMPRODUCT((Calc!$F$3:$F$22&lt;=LTP!$B$5)*Calc!$K$3:$K$22*(Calc!$G$3:$G$22&lt;=A238))</f>
        <v/>
      </c>
      <c r="C238">
        <f>AND(B238&gt;=2,$B$11-B238&gt;=2)</f>
        <v/>
      </c>
      <c r="D238">
        <f>SUMPRODUCT((Calc!$F$3:$F$22&lt;=LTP!$B$5)*Calc!$K$3:$K$22*(Calc!$G$3:$G$22&gt;A238)*(Calc!$G$3:$G$22-A238))</f>
        <v/>
      </c>
      <c r="E238">
        <f>SUMPRODUCT((Calc!$F$3:$F$22&lt;=LTP!$B$5)*Calc!$K$3:$K$22*(Calc!$G$3:$G$22&gt;A238)*(Calc!$G$3:$G$22-A238)^2)</f>
        <v/>
      </c>
      <c r="F238">
        <f>SUMPRODUCT((Calc!$F$3:$F$22&lt;=LTP!$B$5)*Calc!$K$3:$K$22*(Calc!$G$3:$G$22&gt;A238)*(Calc!$G$3:$G$22-A238)*Calc!$G$3:$G$22)</f>
        <v/>
      </c>
      <c r="G238">
        <f>SUMPRODUCT((Calc!$F$3:$F$22&lt;=LTP!$B$5)*Calc!$K$3:$K$22*(Calc!$G$3:$G$22&gt;A238)*(Calc!$G$3:$G$22-A238)*Calc!$I$3:$I$22)</f>
        <v/>
      </c>
      <c r="H238">
        <f>IF($B$11&gt;0,F238-$C$11*D238/$B$11,0)</f>
        <v/>
      </c>
      <c r="I238">
        <f>IF($B$11&gt;0,E238-D238^2/$B$11,0)</f>
        <v/>
      </c>
      <c r="J238">
        <f>IF($B$11&gt;0,G238-D238*$D$11/$B$11,0)</f>
        <v/>
      </c>
      <c r="K238">
        <f>$H$11*I238-H238^2</f>
        <v/>
      </c>
      <c r="L238">
        <f>IF(ABS(K238)&gt;1E-12,($H$11*J238-H238*$I$11)/K238,0)</f>
        <v/>
      </c>
      <c r="M238">
        <f>IF(ABS(K238)&gt;1E-12,(I238*$I$11-H238*J238)/K238,0)</f>
        <v/>
      </c>
      <c r="N238">
        <f>$J$11-M238*$I$11-L238*J238</f>
        <v/>
      </c>
      <c r="O238">
        <f>IF(AND(C238,ABS(K238)&gt;1E-12,L238&gt;0),N238,1E+300)</f>
        <v/>
      </c>
    </row>
    <row r="239">
      <c r="A239">
        <f>$K$11+($L$11-$K$11)*225/400</f>
        <v/>
      </c>
      <c r="B239">
        <f>SUMPRODUCT((Calc!$F$3:$F$22&lt;=LTP!$B$5)*Calc!$K$3:$K$22*(Calc!$G$3:$G$22&lt;=A239))</f>
        <v/>
      </c>
      <c r="C239">
        <f>AND(B239&gt;=2,$B$11-B239&gt;=2)</f>
        <v/>
      </c>
      <c r="D239">
        <f>SUMPRODUCT((Calc!$F$3:$F$22&lt;=LTP!$B$5)*Calc!$K$3:$K$22*(Calc!$G$3:$G$22&gt;A239)*(Calc!$G$3:$G$22-A239))</f>
        <v/>
      </c>
      <c r="E239">
        <f>SUMPRODUCT((Calc!$F$3:$F$22&lt;=LTP!$B$5)*Calc!$K$3:$K$22*(Calc!$G$3:$G$22&gt;A239)*(Calc!$G$3:$G$22-A239)^2)</f>
        <v/>
      </c>
      <c r="F239">
        <f>SUMPRODUCT((Calc!$F$3:$F$22&lt;=LTP!$B$5)*Calc!$K$3:$K$22*(Calc!$G$3:$G$22&gt;A239)*(Calc!$G$3:$G$22-A239)*Calc!$G$3:$G$22)</f>
        <v/>
      </c>
      <c r="G239">
        <f>SUMPRODUCT((Calc!$F$3:$F$22&lt;=LTP!$B$5)*Calc!$K$3:$K$22*(Calc!$G$3:$G$22&gt;A239)*(Calc!$G$3:$G$22-A239)*Calc!$I$3:$I$22)</f>
        <v/>
      </c>
      <c r="H239">
        <f>IF($B$11&gt;0,F239-$C$11*D239/$B$11,0)</f>
        <v/>
      </c>
      <c r="I239">
        <f>IF($B$11&gt;0,E239-D239^2/$B$11,0)</f>
        <v/>
      </c>
      <c r="J239">
        <f>IF($B$11&gt;0,G239-D239*$D$11/$B$11,0)</f>
        <v/>
      </c>
      <c r="K239">
        <f>$H$11*I239-H239^2</f>
        <v/>
      </c>
      <c r="L239">
        <f>IF(ABS(K239)&gt;1E-12,($H$11*J239-H239*$I$11)/K239,0)</f>
        <v/>
      </c>
      <c r="M239">
        <f>IF(ABS(K239)&gt;1E-12,(I239*$I$11-H239*J239)/K239,0)</f>
        <v/>
      </c>
      <c r="N239">
        <f>$J$11-M239*$I$11-L239*J239</f>
        <v/>
      </c>
      <c r="O239">
        <f>IF(AND(C239,ABS(K239)&gt;1E-12,L239&gt;0),N239,1E+300)</f>
        <v/>
      </c>
    </row>
    <row r="240">
      <c r="A240">
        <f>$K$11+($L$11-$K$11)*226/400</f>
        <v/>
      </c>
      <c r="B240">
        <f>SUMPRODUCT((Calc!$F$3:$F$22&lt;=LTP!$B$5)*Calc!$K$3:$K$22*(Calc!$G$3:$G$22&lt;=A240))</f>
        <v/>
      </c>
      <c r="C240">
        <f>AND(B240&gt;=2,$B$11-B240&gt;=2)</f>
        <v/>
      </c>
      <c r="D240">
        <f>SUMPRODUCT((Calc!$F$3:$F$22&lt;=LTP!$B$5)*Calc!$K$3:$K$22*(Calc!$G$3:$G$22&gt;A240)*(Calc!$G$3:$G$22-A240))</f>
        <v/>
      </c>
      <c r="E240">
        <f>SUMPRODUCT((Calc!$F$3:$F$22&lt;=LTP!$B$5)*Calc!$K$3:$K$22*(Calc!$G$3:$G$22&gt;A240)*(Calc!$G$3:$G$22-A240)^2)</f>
        <v/>
      </c>
      <c r="F240">
        <f>SUMPRODUCT((Calc!$F$3:$F$22&lt;=LTP!$B$5)*Calc!$K$3:$K$22*(Calc!$G$3:$G$22&gt;A240)*(Calc!$G$3:$G$22-A240)*Calc!$G$3:$G$22)</f>
        <v/>
      </c>
      <c r="G240">
        <f>SUMPRODUCT((Calc!$F$3:$F$22&lt;=LTP!$B$5)*Calc!$K$3:$K$22*(Calc!$G$3:$G$22&gt;A240)*(Calc!$G$3:$G$22-A240)*Calc!$I$3:$I$22)</f>
        <v/>
      </c>
      <c r="H240">
        <f>IF($B$11&gt;0,F240-$C$11*D240/$B$11,0)</f>
        <v/>
      </c>
      <c r="I240">
        <f>IF($B$11&gt;0,E240-D240^2/$B$11,0)</f>
        <v/>
      </c>
      <c r="J240">
        <f>IF($B$11&gt;0,G240-D240*$D$11/$B$11,0)</f>
        <v/>
      </c>
      <c r="K240">
        <f>$H$11*I240-H240^2</f>
        <v/>
      </c>
      <c r="L240">
        <f>IF(ABS(K240)&gt;1E-12,($H$11*J240-H240*$I$11)/K240,0)</f>
        <v/>
      </c>
      <c r="M240">
        <f>IF(ABS(K240)&gt;1E-12,(I240*$I$11-H240*J240)/K240,0)</f>
        <v/>
      </c>
      <c r="N240">
        <f>$J$11-M240*$I$11-L240*J240</f>
        <v/>
      </c>
      <c r="O240">
        <f>IF(AND(C240,ABS(K240)&gt;1E-12,L240&gt;0),N240,1E+300)</f>
        <v/>
      </c>
    </row>
    <row r="241">
      <c r="A241">
        <f>$K$11+($L$11-$K$11)*227/400</f>
        <v/>
      </c>
      <c r="B241">
        <f>SUMPRODUCT((Calc!$F$3:$F$22&lt;=LTP!$B$5)*Calc!$K$3:$K$22*(Calc!$G$3:$G$22&lt;=A241))</f>
        <v/>
      </c>
      <c r="C241">
        <f>AND(B241&gt;=2,$B$11-B241&gt;=2)</f>
        <v/>
      </c>
      <c r="D241">
        <f>SUMPRODUCT((Calc!$F$3:$F$22&lt;=LTP!$B$5)*Calc!$K$3:$K$22*(Calc!$G$3:$G$22&gt;A241)*(Calc!$G$3:$G$22-A241))</f>
        <v/>
      </c>
      <c r="E241">
        <f>SUMPRODUCT((Calc!$F$3:$F$22&lt;=LTP!$B$5)*Calc!$K$3:$K$22*(Calc!$G$3:$G$22&gt;A241)*(Calc!$G$3:$G$22-A241)^2)</f>
        <v/>
      </c>
      <c r="F241">
        <f>SUMPRODUCT((Calc!$F$3:$F$22&lt;=LTP!$B$5)*Calc!$K$3:$K$22*(Calc!$G$3:$G$22&gt;A241)*(Calc!$G$3:$G$22-A241)*Calc!$G$3:$G$22)</f>
        <v/>
      </c>
      <c r="G241">
        <f>SUMPRODUCT((Calc!$F$3:$F$22&lt;=LTP!$B$5)*Calc!$K$3:$K$22*(Calc!$G$3:$G$22&gt;A241)*(Calc!$G$3:$G$22-A241)*Calc!$I$3:$I$22)</f>
        <v/>
      </c>
      <c r="H241">
        <f>IF($B$11&gt;0,F241-$C$11*D241/$B$11,0)</f>
        <v/>
      </c>
      <c r="I241">
        <f>IF($B$11&gt;0,E241-D241^2/$B$11,0)</f>
        <v/>
      </c>
      <c r="J241">
        <f>IF($B$11&gt;0,G241-D241*$D$11/$B$11,0)</f>
        <v/>
      </c>
      <c r="K241">
        <f>$H$11*I241-H241^2</f>
        <v/>
      </c>
      <c r="L241">
        <f>IF(ABS(K241)&gt;1E-12,($H$11*J241-H241*$I$11)/K241,0)</f>
        <v/>
      </c>
      <c r="M241">
        <f>IF(ABS(K241)&gt;1E-12,(I241*$I$11-H241*J241)/K241,0)</f>
        <v/>
      </c>
      <c r="N241">
        <f>$J$11-M241*$I$11-L241*J241</f>
        <v/>
      </c>
      <c r="O241">
        <f>IF(AND(C241,ABS(K241)&gt;1E-12,L241&gt;0),N241,1E+300)</f>
        <v/>
      </c>
    </row>
    <row r="242">
      <c r="A242">
        <f>$K$11+($L$11-$K$11)*228/400</f>
        <v/>
      </c>
      <c r="B242">
        <f>SUMPRODUCT((Calc!$F$3:$F$22&lt;=LTP!$B$5)*Calc!$K$3:$K$22*(Calc!$G$3:$G$22&lt;=A242))</f>
        <v/>
      </c>
      <c r="C242">
        <f>AND(B242&gt;=2,$B$11-B242&gt;=2)</f>
        <v/>
      </c>
      <c r="D242">
        <f>SUMPRODUCT((Calc!$F$3:$F$22&lt;=LTP!$B$5)*Calc!$K$3:$K$22*(Calc!$G$3:$G$22&gt;A242)*(Calc!$G$3:$G$22-A242))</f>
        <v/>
      </c>
      <c r="E242">
        <f>SUMPRODUCT((Calc!$F$3:$F$22&lt;=LTP!$B$5)*Calc!$K$3:$K$22*(Calc!$G$3:$G$22&gt;A242)*(Calc!$G$3:$G$22-A242)^2)</f>
        <v/>
      </c>
      <c r="F242">
        <f>SUMPRODUCT((Calc!$F$3:$F$22&lt;=LTP!$B$5)*Calc!$K$3:$K$22*(Calc!$G$3:$G$22&gt;A242)*(Calc!$G$3:$G$22-A242)*Calc!$G$3:$G$22)</f>
        <v/>
      </c>
      <c r="G242">
        <f>SUMPRODUCT((Calc!$F$3:$F$22&lt;=LTP!$B$5)*Calc!$K$3:$K$22*(Calc!$G$3:$G$22&gt;A242)*(Calc!$G$3:$G$22-A242)*Calc!$I$3:$I$22)</f>
        <v/>
      </c>
      <c r="H242">
        <f>IF($B$11&gt;0,F242-$C$11*D242/$B$11,0)</f>
        <v/>
      </c>
      <c r="I242">
        <f>IF($B$11&gt;0,E242-D242^2/$B$11,0)</f>
        <v/>
      </c>
      <c r="J242">
        <f>IF($B$11&gt;0,G242-D242*$D$11/$B$11,0)</f>
        <v/>
      </c>
      <c r="K242">
        <f>$H$11*I242-H242^2</f>
        <v/>
      </c>
      <c r="L242">
        <f>IF(ABS(K242)&gt;1E-12,($H$11*J242-H242*$I$11)/K242,0)</f>
        <v/>
      </c>
      <c r="M242">
        <f>IF(ABS(K242)&gt;1E-12,(I242*$I$11-H242*J242)/K242,0)</f>
        <v/>
      </c>
      <c r="N242">
        <f>$J$11-M242*$I$11-L242*J242</f>
        <v/>
      </c>
      <c r="O242">
        <f>IF(AND(C242,ABS(K242)&gt;1E-12,L242&gt;0),N242,1E+300)</f>
        <v/>
      </c>
    </row>
    <row r="243">
      <c r="A243">
        <f>$K$11+($L$11-$K$11)*229/400</f>
        <v/>
      </c>
      <c r="B243">
        <f>SUMPRODUCT((Calc!$F$3:$F$22&lt;=LTP!$B$5)*Calc!$K$3:$K$22*(Calc!$G$3:$G$22&lt;=A243))</f>
        <v/>
      </c>
      <c r="C243">
        <f>AND(B243&gt;=2,$B$11-B243&gt;=2)</f>
        <v/>
      </c>
      <c r="D243">
        <f>SUMPRODUCT((Calc!$F$3:$F$22&lt;=LTP!$B$5)*Calc!$K$3:$K$22*(Calc!$G$3:$G$22&gt;A243)*(Calc!$G$3:$G$22-A243))</f>
        <v/>
      </c>
      <c r="E243">
        <f>SUMPRODUCT((Calc!$F$3:$F$22&lt;=LTP!$B$5)*Calc!$K$3:$K$22*(Calc!$G$3:$G$22&gt;A243)*(Calc!$G$3:$G$22-A243)^2)</f>
        <v/>
      </c>
      <c r="F243">
        <f>SUMPRODUCT((Calc!$F$3:$F$22&lt;=LTP!$B$5)*Calc!$K$3:$K$22*(Calc!$G$3:$G$22&gt;A243)*(Calc!$G$3:$G$22-A243)*Calc!$G$3:$G$22)</f>
        <v/>
      </c>
      <c r="G243">
        <f>SUMPRODUCT((Calc!$F$3:$F$22&lt;=LTP!$B$5)*Calc!$K$3:$K$22*(Calc!$G$3:$G$22&gt;A243)*(Calc!$G$3:$G$22-A243)*Calc!$I$3:$I$22)</f>
        <v/>
      </c>
      <c r="H243">
        <f>IF($B$11&gt;0,F243-$C$11*D243/$B$11,0)</f>
        <v/>
      </c>
      <c r="I243">
        <f>IF($B$11&gt;0,E243-D243^2/$B$11,0)</f>
        <v/>
      </c>
      <c r="J243">
        <f>IF($B$11&gt;0,G243-D243*$D$11/$B$11,0)</f>
        <v/>
      </c>
      <c r="K243">
        <f>$H$11*I243-H243^2</f>
        <v/>
      </c>
      <c r="L243">
        <f>IF(ABS(K243)&gt;1E-12,($H$11*J243-H243*$I$11)/K243,0)</f>
        <v/>
      </c>
      <c r="M243">
        <f>IF(ABS(K243)&gt;1E-12,(I243*$I$11-H243*J243)/K243,0)</f>
        <v/>
      </c>
      <c r="N243">
        <f>$J$11-M243*$I$11-L243*J243</f>
        <v/>
      </c>
      <c r="O243">
        <f>IF(AND(C243,ABS(K243)&gt;1E-12,L243&gt;0),N243,1E+300)</f>
        <v/>
      </c>
    </row>
    <row r="244">
      <c r="A244">
        <f>$K$11+($L$11-$K$11)*230/400</f>
        <v/>
      </c>
      <c r="B244">
        <f>SUMPRODUCT((Calc!$F$3:$F$22&lt;=LTP!$B$5)*Calc!$K$3:$K$22*(Calc!$G$3:$G$22&lt;=A244))</f>
        <v/>
      </c>
      <c r="C244">
        <f>AND(B244&gt;=2,$B$11-B244&gt;=2)</f>
        <v/>
      </c>
      <c r="D244">
        <f>SUMPRODUCT((Calc!$F$3:$F$22&lt;=LTP!$B$5)*Calc!$K$3:$K$22*(Calc!$G$3:$G$22&gt;A244)*(Calc!$G$3:$G$22-A244))</f>
        <v/>
      </c>
      <c r="E244">
        <f>SUMPRODUCT((Calc!$F$3:$F$22&lt;=LTP!$B$5)*Calc!$K$3:$K$22*(Calc!$G$3:$G$22&gt;A244)*(Calc!$G$3:$G$22-A244)^2)</f>
        <v/>
      </c>
      <c r="F244">
        <f>SUMPRODUCT((Calc!$F$3:$F$22&lt;=LTP!$B$5)*Calc!$K$3:$K$22*(Calc!$G$3:$G$22&gt;A244)*(Calc!$G$3:$G$22-A244)*Calc!$G$3:$G$22)</f>
        <v/>
      </c>
      <c r="G244">
        <f>SUMPRODUCT((Calc!$F$3:$F$22&lt;=LTP!$B$5)*Calc!$K$3:$K$22*(Calc!$G$3:$G$22&gt;A244)*(Calc!$G$3:$G$22-A244)*Calc!$I$3:$I$22)</f>
        <v/>
      </c>
      <c r="H244">
        <f>IF($B$11&gt;0,F244-$C$11*D244/$B$11,0)</f>
        <v/>
      </c>
      <c r="I244">
        <f>IF($B$11&gt;0,E244-D244^2/$B$11,0)</f>
        <v/>
      </c>
      <c r="J244">
        <f>IF($B$11&gt;0,G244-D244*$D$11/$B$11,0)</f>
        <v/>
      </c>
      <c r="K244">
        <f>$H$11*I244-H244^2</f>
        <v/>
      </c>
      <c r="L244">
        <f>IF(ABS(K244)&gt;1E-12,($H$11*J244-H244*$I$11)/K244,0)</f>
        <v/>
      </c>
      <c r="M244">
        <f>IF(ABS(K244)&gt;1E-12,(I244*$I$11-H244*J244)/K244,0)</f>
        <v/>
      </c>
      <c r="N244">
        <f>$J$11-M244*$I$11-L244*J244</f>
        <v/>
      </c>
      <c r="O244">
        <f>IF(AND(C244,ABS(K244)&gt;1E-12,L244&gt;0),N244,1E+300)</f>
        <v/>
      </c>
    </row>
    <row r="245">
      <c r="A245">
        <f>$K$11+($L$11-$K$11)*231/400</f>
        <v/>
      </c>
      <c r="B245">
        <f>SUMPRODUCT((Calc!$F$3:$F$22&lt;=LTP!$B$5)*Calc!$K$3:$K$22*(Calc!$G$3:$G$22&lt;=A245))</f>
        <v/>
      </c>
      <c r="C245">
        <f>AND(B245&gt;=2,$B$11-B245&gt;=2)</f>
        <v/>
      </c>
      <c r="D245">
        <f>SUMPRODUCT((Calc!$F$3:$F$22&lt;=LTP!$B$5)*Calc!$K$3:$K$22*(Calc!$G$3:$G$22&gt;A245)*(Calc!$G$3:$G$22-A245))</f>
        <v/>
      </c>
      <c r="E245">
        <f>SUMPRODUCT((Calc!$F$3:$F$22&lt;=LTP!$B$5)*Calc!$K$3:$K$22*(Calc!$G$3:$G$22&gt;A245)*(Calc!$G$3:$G$22-A245)^2)</f>
        <v/>
      </c>
      <c r="F245">
        <f>SUMPRODUCT((Calc!$F$3:$F$22&lt;=LTP!$B$5)*Calc!$K$3:$K$22*(Calc!$G$3:$G$22&gt;A245)*(Calc!$G$3:$G$22-A245)*Calc!$G$3:$G$22)</f>
        <v/>
      </c>
      <c r="G245">
        <f>SUMPRODUCT((Calc!$F$3:$F$22&lt;=LTP!$B$5)*Calc!$K$3:$K$22*(Calc!$G$3:$G$22&gt;A245)*(Calc!$G$3:$G$22-A245)*Calc!$I$3:$I$22)</f>
        <v/>
      </c>
      <c r="H245">
        <f>IF($B$11&gt;0,F245-$C$11*D245/$B$11,0)</f>
        <v/>
      </c>
      <c r="I245">
        <f>IF($B$11&gt;0,E245-D245^2/$B$11,0)</f>
        <v/>
      </c>
      <c r="J245">
        <f>IF($B$11&gt;0,G245-D245*$D$11/$B$11,0)</f>
        <v/>
      </c>
      <c r="K245">
        <f>$H$11*I245-H245^2</f>
        <v/>
      </c>
      <c r="L245">
        <f>IF(ABS(K245)&gt;1E-12,($H$11*J245-H245*$I$11)/K245,0)</f>
        <v/>
      </c>
      <c r="M245">
        <f>IF(ABS(K245)&gt;1E-12,(I245*$I$11-H245*J245)/K245,0)</f>
        <v/>
      </c>
      <c r="N245">
        <f>$J$11-M245*$I$11-L245*J245</f>
        <v/>
      </c>
      <c r="O245">
        <f>IF(AND(C245,ABS(K245)&gt;1E-12,L245&gt;0),N245,1E+300)</f>
        <v/>
      </c>
    </row>
    <row r="246">
      <c r="A246">
        <f>$K$11+($L$11-$K$11)*232/400</f>
        <v/>
      </c>
      <c r="B246">
        <f>SUMPRODUCT((Calc!$F$3:$F$22&lt;=LTP!$B$5)*Calc!$K$3:$K$22*(Calc!$G$3:$G$22&lt;=A246))</f>
        <v/>
      </c>
      <c r="C246">
        <f>AND(B246&gt;=2,$B$11-B246&gt;=2)</f>
        <v/>
      </c>
      <c r="D246">
        <f>SUMPRODUCT((Calc!$F$3:$F$22&lt;=LTP!$B$5)*Calc!$K$3:$K$22*(Calc!$G$3:$G$22&gt;A246)*(Calc!$G$3:$G$22-A246))</f>
        <v/>
      </c>
      <c r="E246">
        <f>SUMPRODUCT((Calc!$F$3:$F$22&lt;=LTP!$B$5)*Calc!$K$3:$K$22*(Calc!$G$3:$G$22&gt;A246)*(Calc!$G$3:$G$22-A246)^2)</f>
        <v/>
      </c>
      <c r="F246">
        <f>SUMPRODUCT((Calc!$F$3:$F$22&lt;=LTP!$B$5)*Calc!$K$3:$K$22*(Calc!$G$3:$G$22&gt;A246)*(Calc!$G$3:$G$22-A246)*Calc!$G$3:$G$22)</f>
        <v/>
      </c>
      <c r="G246">
        <f>SUMPRODUCT((Calc!$F$3:$F$22&lt;=LTP!$B$5)*Calc!$K$3:$K$22*(Calc!$G$3:$G$22&gt;A246)*(Calc!$G$3:$G$22-A246)*Calc!$I$3:$I$22)</f>
        <v/>
      </c>
      <c r="H246">
        <f>IF($B$11&gt;0,F246-$C$11*D246/$B$11,0)</f>
        <v/>
      </c>
      <c r="I246">
        <f>IF($B$11&gt;0,E246-D246^2/$B$11,0)</f>
        <v/>
      </c>
      <c r="J246">
        <f>IF($B$11&gt;0,G246-D246*$D$11/$B$11,0)</f>
        <v/>
      </c>
      <c r="K246">
        <f>$H$11*I246-H246^2</f>
        <v/>
      </c>
      <c r="L246">
        <f>IF(ABS(K246)&gt;1E-12,($H$11*J246-H246*$I$11)/K246,0)</f>
        <v/>
      </c>
      <c r="M246">
        <f>IF(ABS(K246)&gt;1E-12,(I246*$I$11-H246*J246)/K246,0)</f>
        <v/>
      </c>
      <c r="N246">
        <f>$J$11-M246*$I$11-L246*J246</f>
        <v/>
      </c>
      <c r="O246">
        <f>IF(AND(C246,ABS(K246)&gt;1E-12,L246&gt;0),N246,1E+300)</f>
        <v/>
      </c>
    </row>
    <row r="247">
      <c r="A247">
        <f>$K$11+($L$11-$K$11)*233/400</f>
        <v/>
      </c>
      <c r="B247">
        <f>SUMPRODUCT((Calc!$F$3:$F$22&lt;=LTP!$B$5)*Calc!$K$3:$K$22*(Calc!$G$3:$G$22&lt;=A247))</f>
        <v/>
      </c>
      <c r="C247">
        <f>AND(B247&gt;=2,$B$11-B247&gt;=2)</f>
        <v/>
      </c>
      <c r="D247">
        <f>SUMPRODUCT((Calc!$F$3:$F$22&lt;=LTP!$B$5)*Calc!$K$3:$K$22*(Calc!$G$3:$G$22&gt;A247)*(Calc!$G$3:$G$22-A247))</f>
        <v/>
      </c>
      <c r="E247">
        <f>SUMPRODUCT((Calc!$F$3:$F$22&lt;=LTP!$B$5)*Calc!$K$3:$K$22*(Calc!$G$3:$G$22&gt;A247)*(Calc!$G$3:$G$22-A247)^2)</f>
        <v/>
      </c>
      <c r="F247">
        <f>SUMPRODUCT((Calc!$F$3:$F$22&lt;=LTP!$B$5)*Calc!$K$3:$K$22*(Calc!$G$3:$G$22&gt;A247)*(Calc!$G$3:$G$22-A247)*Calc!$G$3:$G$22)</f>
        <v/>
      </c>
      <c r="G247">
        <f>SUMPRODUCT((Calc!$F$3:$F$22&lt;=LTP!$B$5)*Calc!$K$3:$K$22*(Calc!$G$3:$G$22&gt;A247)*(Calc!$G$3:$G$22-A247)*Calc!$I$3:$I$22)</f>
        <v/>
      </c>
      <c r="H247">
        <f>IF($B$11&gt;0,F247-$C$11*D247/$B$11,0)</f>
        <v/>
      </c>
      <c r="I247">
        <f>IF($B$11&gt;0,E247-D247^2/$B$11,0)</f>
        <v/>
      </c>
      <c r="J247">
        <f>IF($B$11&gt;0,G247-D247*$D$11/$B$11,0)</f>
        <v/>
      </c>
      <c r="K247">
        <f>$H$11*I247-H247^2</f>
        <v/>
      </c>
      <c r="L247">
        <f>IF(ABS(K247)&gt;1E-12,($H$11*J247-H247*$I$11)/K247,0)</f>
        <v/>
      </c>
      <c r="M247">
        <f>IF(ABS(K247)&gt;1E-12,(I247*$I$11-H247*J247)/K247,0)</f>
        <v/>
      </c>
      <c r="N247">
        <f>$J$11-M247*$I$11-L247*J247</f>
        <v/>
      </c>
      <c r="O247">
        <f>IF(AND(C247,ABS(K247)&gt;1E-12,L247&gt;0),N247,1E+300)</f>
        <v/>
      </c>
    </row>
    <row r="248">
      <c r="A248">
        <f>$K$11+($L$11-$K$11)*234/400</f>
        <v/>
      </c>
      <c r="B248">
        <f>SUMPRODUCT((Calc!$F$3:$F$22&lt;=LTP!$B$5)*Calc!$K$3:$K$22*(Calc!$G$3:$G$22&lt;=A248))</f>
        <v/>
      </c>
      <c r="C248">
        <f>AND(B248&gt;=2,$B$11-B248&gt;=2)</f>
        <v/>
      </c>
      <c r="D248">
        <f>SUMPRODUCT((Calc!$F$3:$F$22&lt;=LTP!$B$5)*Calc!$K$3:$K$22*(Calc!$G$3:$G$22&gt;A248)*(Calc!$G$3:$G$22-A248))</f>
        <v/>
      </c>
      <c r="E248">
        <f>SUMPRODUCT((Calc!$F$3:$F$22&lt;=LTP!$B$5)*Calc!$K$3:$K$22*(Calc!$G$3:$G$22&gt;A248)*(Calc!$G$3:$G$22-A248)^2)</f>
        <v/>
      </c>
      <c r="F248">
        <f>SUMPRODUCT((Calc!$F$3:$F$22&lt;=LTP!$B$5)*Calc!$K$3:$K$22*(Calc!$G$3:$G$22&gt;A248)*(Calc!$G$3:$G$22-A248)*Calc!$G$3:$G$22)</f>
        <v/>
      </c>
      <c r="G248">
        <f>SUMPRODUCT((Calc!$F$3:$F$22&lt;=LTP!$B$5)*Calc!$K$3:$K$22*(Calc!$G$3:$G$22&gt;A248)*(Calc!$G$3:$G$22-A248)*Calc!$I$3:$I$22)</f>
        <v/>
      </c>
      <c r="H248">
        <f>IF($B$11&gt;0,F248-$C$11*D248/$B$11,0)</f>
        <v/>
      </c>
      <c r="I248">
        <f>IF($B$11&gt;0,E248-D248^2/$B$11,0)</f>
        <v/>
      </c>
      <c r="J248">
        <f>IF($B$11&gt;0,G248-D248*$D$11/$B$11,0)</f>
        <v/>
      </c>
      <c r="K248">
        <f>$H$11*I248-H248^2</f>
        <v/>
      </c>
      <c r="L248">
        <f>IF(ABS(K248)&gt;1E-12,($H$11*J248-H248*$I$11)/K248,0)</f>
        <v/>
      </c>
      <c r="M248">
        <f>IF(ABS(K248)&gt;1E-12,(I248*$I$11-H248*J248)/K248,0)</f>
        <v/>
      </c>
      <c r="N248">
        <f>$J$11-M248*$I$11-L248*J248</f>
        <v/>
      </c>
      <c r="O248">
        <f>IF(AND(C248,ABS(K248)&gt;1E-12,L248&gt;0),N248,1E+300)</f>
        <v/>
      </c>
    </row>
    <row r="249">
      <c r="A249">
        <f>$K$11+($L$11-$K$11)*235/400</f>
        <v/>
      </c>
      <c r="B249">
        <f>SUMPRODUCT((Calc!$F$3:$F$22&lt;=LTP!$B$5)*Calc!$K$3:$K$22*(Calc!$G$3:$G$22&lt;=A249))</f>
        <v/>
      </c>
      <c r="C249">
        <f>AND(B249&gt;=2,$B$11-B249&gt;=2)</f>
        <v/>
      </c>
      <c r="D249">
        <f>SUMPRODUCT((Calc!$F$3:$F$22&lt;=LTP!$B$5)*Calc!$K$3:$K$22*(Calc!$G$3:$G$22&gt;A249)*(Calc!$G$3:$G$22-A249))</f>
        <v/>
      </c>
      <c r="E249">
        <f>SUMPRODUCT((Calc!$F$3:$F$22&lt;=LTP!$B$5)*Calc!$K$3:$K$22*(Calc!$G$3:$G$22&gt;A249)*(Calc!$G$3:$G$22-A249)^2)</f>
        <v/>
      </c>
      <c r="F249">
        <f>SUMPRODUCT((Calc!$F$3:$F$22&lt;=LTP!$B$5)*Calc!$K$3:$K$22*(Calc!$G$3:$G$22&gt;A249)*(Calc!$G$3:$G$22-A249)*Calc!$G$3:$G$22)</f>
        <v/>
      </c>
      <c r="G249">
        <f>SUMPRODUCT((Calc!$F$3:$F$22&lt;=LTP!$B$5)*Calc!$K$3:$K$22*(Calc!$G$3:$G$22&gt;A249)*(Calc!$G$3:$G$22-A249)*Calc!$I$3:$I$22)</f>
        <v/>
      </c>
      <c r="H249">
        <f>IF($B$11&gt;0,F249-$C$11*D249/$B$11,0)</f>
        <v/>
      </c>
      <c r="I249">
        <f>IF($B$11&gt;0,E249-D249^2/$B$11,0)</f>
        <v/>
      </c>
      <c r="J249">
        <f>IF($B$11&gt;0,G249-D249*$D$11/$B$11,0)</f>
        <v/>
      </c>
      <c r="K249">
        <f>$H$11*I249-H249^2</f>
        <v/>
      </c>
      <c r="L249">
        <f>IF(ABS(K249)&gt;1E-12,($H$11*J249-H249*$I$11)/K249,0)</f>
        <v/>
      </c>
      <c r="M249">
        <f>IF(ABS(K249)&gt;1E-12,(I249*$I$11-H249*J249)/K249,0)</f>
        <v/>
      </c>
      <c r="N249">
        <f>$J$11-M249*$I$11-L249*J249</f>
        <v/>
      </c>
      <c r="O249">
        <f>IF(AND(C249,ABS(K249)&gt;1E-12,L249&gt;0),N249,1E+300)</f>
        <v/>
      </c>
    </row>
    <row r="250">
      <c r="A250">
        <f>$K$11+($L$11-$K$11)*236/400</f>
        <v/>
      </c>
      <c r="B250">
        <f>SUMPRODUCT((Calc!$F$3:$F$22&lt;=LTP!$B$5)*Calc!$K$3:$K$22*(Calc!$G$3:$G$22&lt;=A250))</f>
        <v/>
      </c>
      <c r="C250">
        <f>AND(B250&gt;=2,$B$11-B250&gt;=2)</f>
        <v/>
      </c>
      <c r="D250">
        <f>SUMPRODUCT((Calc!$F$3:$F$22&lt;=LTP!$B$5)*Calc!$K$3:$K$22*(Calc!$G$3:$G$22&gt;A250)*(Calc!$G$3:$G$22-A250))</f>
        <v/>
      </c>
      <c r="E250">
        <f>SUMPRODUCT((Calc!$F$3:$F$22&lt;=LTP!$B$5)*Calc!$K$3:$K$22*(Calc!$G$3:$G$22&gt;A250)*(Calc!$G$3:$G$22-A250)^2)</f>
        <v/>
      </c>
      <c r="F250">
        <f>SUMPRODUCT((Calc!$F$3:$F$22&lt;=LTP!$B$5)*Calc!$K$3:$K$22*(Calc!$G$3:$G$22&gt;A250)*(Calc!$G$3:$G$22-A250)*Calc!$G$3:$G$22)</f>
        <v/>
      </c>
      <c r="G250">
        <f>SUMPRODUCT((Calc!$F$3:$F$22&lt;=LTP!$B$5)*Calc!$K$3:$K$22*(Calc!$G$3:$G$22&gt;A250)*(Calc!$G$3:$G$22-A250)*Calc!$I$3:$I$22)</f>
        <v/>
      </c>
      <c r="H250">
        <f>IF($B$11&gt;0,F250-$C$11*D250/$B$11,0)</f>
        <v/>
      </c>
      <c r="I250">
        <f>IF($B$11&gt;0,E250-D250^2/$B$11,0)</f>
        <v/>
      </c>
      <c r="J250">
        <f>IF($B$11&gt;0,G250-D250*$D$11/$B$11,0)</f>
        <v/>
      </c>
      <c r="K250">
        <f>$H$11*I250-H250^2</f>
        <v/>
      </c>
      <c r="L250">
        <f>IF(ABS(K250)&gt;1E-12,($H$11*J250-H250*$I$11)/K250,0)</f>
        <v/>
      </c>
      <c r="M250">
        <f>IF(ABS(K250)&gt;1E-12,(I250*$I$11-H250*J250)/K250,0)</f>
        <v/>
      </c>
      <c r="N250">
        <f>$J$11-M250*$I$11-L250*J250</f>
        <v/>
      </c>
      <c r="O250">
        <f>IF(AND(C250,ABS(K250)&gt;1E-12,L250&gt;0),N250,1E+300)</f>
        <v/>
      </c>
    </row>
    <row r="251">
      <c r="A251">
        <f>$K$11+($L$11-$K$11)*237/400</f>
        <v/>
      </c>
      <c r="B251">
        <f>SUMPRODUCT((Calc!$F$3:$F$22&lt;=LTP!$B$5)*Calc!$K$3:$K$22*(Calc!$G$3:$G$22&lt;=A251))</f>
        <v/>
      </c>
      <c r="C251">
        <f>AND(B251&gt;=2,$B$11-B251&gt;=2)</f>
        <v/>
      </c>
      <c r="D251">
        <f>SUMPRODUCT((Calc!$F$3:$F$22&lt;=LTP!$B$5)*Calc!$K$3:$K$22*(Calc!$G$3:$G$22&gt;A251)*(Calc!$G$3:$G$22-A251))</f>
        <v/>
      </c>
      <c r="E251">
        <f>SUMPRODUCT((Calc!$F$3:$F$22&lt;=LTP!$B$5)*Calc!$K$3:$K$22*(Calc!$G$3:$G$22&gt;A251)*(Calc!$G$3:$G$22-A251)^2)</f>
        <v/>
      </c>
      <c r="F251">
        <f>SUMPRODUCT((Calc!$F$3:$F$22&lt;=LTP!$B$5)*Calc!$K$3:$K$22*(Calc!$G$3:$G$22&gt;A251)*(Calc!$G$3:$G$22-A251)*Calc!$G$3:$G$22)</f>
        <v/>
      </c>
      <c r="G251">
        <f>SUMPRODUCT((Calc!$F$3:$F$22&lt;=LTP!$B$5)*Calc!$K$3:$K$22*(Calc!$G$3:$G$22&gt;A251)*(Calc!$G$3:$G$22-A251)*Calc!$I$3:$I$22)</f>
        <v/>
      </c>
      <c r="H251">
        <f>IF($B$11&gt;0,F251-$C$11*D251/$B$11,0)</f>
        <v/>
      </c>
      <c r="I251">
        <f>IF($B$11&gt;0,E251-D251^2/$B$11,0)</f>
        <v/>
      </c>
      <c r="J251">
        <f>IF($B$11&gt;0,G251-D251*$D$11/$B$11,0)</f>
        <v/>
      </c>
      <c r="K251">
        <f>$H$11*I251-H251^2</f>
        <v/>
      </c>
      <c r="L251">
        <f>IF(ABS(K251)&gt;1E-12,($H$11*J251-H251*$I$11)/K251,0)</f>
        <v/>
      </c>
      <c r="M251">
        <f>IF(ABS(K251)&gt;1E-12,(I251*$I$11-H251*J251)/K251,0)</f>
        <v/>
      </c>
      <c r="N251">
        <f>$J$11-M251*$I$11-L251*J251</f>
        <v/>
      </c>
      <c r="O251">
        <f>IF(AND(C251,ABS(K251)&gt;1E-12,L251&gt;0),N251,1E+300)</f>
        <v/>
      </c>
    </row>
    <row r="252">
      <c r="A252">
        <f>$K$11+($L$11-$K$11)*238/400</f>
        <v/>
      </c>
      <c r="B252">
        <f>SUMPRODUCT((Calc!$F$3:$F$22&lt;=LTP!$B$5)*Calc!$K$3:$K$22*(Calc!$G$3:$G$22&lt;=A252))</f>
        <v/>
      </c>
      <c r="C252">
        <f>AND(B252&gt;=2,$B$11-B252&gt;=2)</f>
        <v/>
      </c>
      <c r="D252">
        <f>SUMPRODUCT((Calc!$F$3:$F$22&lt;=LTP!$B$5)*Calc!$K$3:$K$22*(Calc!$G$3:$G$22&gt;A252)*(Calc!$G$3:$G$22-A252))</f>
        <v/>
      </c>
      <c r="E252">
        <f>SUMPRODUCT((Calc!$F$3:$F$22&lt;=LTP!$B$5)*Calc!$K$3:$K$22*(Calc!$G$3:$G$22&gt;A252)*(Calc!$G$3:$G$22-A252)^2)</f>
        <v/>
      </c>
      <c r="F252">
        <f>SUMPRODUCT((Calc!$F$3:$F$22&lt;=LTP!$B$5)*Calc!$K$3:$K$22*(Calc!$G$3:$G$22&gt;A252)*(Calc!$G$3:$G$22-A252)*Calc!$G$3:$G$22)</f>
        <v/>
      </c>
      <c r="G252">
        <f>SUMPRODUCT((Calc!$F$3:$F$22&lt;=LTP!$B$5)*Calc!$K$3:$K$22*(Calc!$G$3:$G$22&gt;A252)*(Calc!$G$3:$G$22-A252)*Calc!$I$3:$I$22)</f>
        <v/>
      </c>
      <c r="H252">
        <f>IF($B$11&gt;0,F252-$C$11*D252/$B$11,0)</f>
        <v/>
      </c>
      <c r="I252">
        <f>IF($B$11&gt;0,E252-D252^2/$B$11,0)</f>
        <v/>
      </c>
      <c r="J252">
        <f>IF($B$11&gt;0,G252-D252*$D$11/$B$11,0)</f>
        <v/>
      </c>
      <c r="K252">
        <f>$H$11*I252-H252^2</f>
        <v/>
      </c>
      <c r="L252">
        <f>IF(ABS(K252)&gt;1E-12,($H$11*J252-H252*$I$11)/K252,0)</f>
        <v/>
      </c>
      <c r="M252">
        <f>IF(ABS(K252)&gt;1E-12,(I252*$I$11-H252*J252)/K252,0)</f>
        <v/>
      </c>
      <c r="N252">
        <f>$J$11-M252*$I$11-L252*J252</f>
        <v/>
      </c>
      <c r="O252">
        <f>IF(AND(C252,ABS(K252)&gt;1E-12,L252&gt;0),N252,1E+300)</f>
        <v/>
      </c>
    </row>
    <row r="253">
      <c r="A253">
        <f>$K$11+($L$11-$K$11)*239/400</f>
        <v/>
      </c>
      <c r="B253">
        <f>SUMPRODUCT((Calc!$F$3:$F$22&lt;=LTP!$B$5)*Calc!$K$3:$K$22*(Calc!$G$3:$G$22&lt;=A253))</f>
        <v/>
      </c>
      <c r="C253">
        <f>AND(B253&gt;=2,$B$11-B253&gt;=2)</f>
        <v/>
      </c>
      <c r="D253">
        <f>SUMPRODUCT((Calc!$F$3:$F$22&lt;=LTP!$B$5)*Calc!$K$3:$K$22*(Calc!$G$3:$G$22&gt;A253)*(Calc!$G$3:$G$22-A253))</f>
        <v/>
      </c>
      <c r="E253">
        <f>SUMPRODUCT((Calc!$F$3:$F$22&lt;=LTP!$B$5)*Calc!$K$3:$K$22*(Calc!$G$3:$G$22&gt;A253)*(Calc!$G$3:$G$22-A253)^2)</f>
        <v/>
      </c>
      <c r="F253">
        <f>SUMPRODUCT((Calc!$F$3:$F$22&lt;=LTP!$B$5)*Calc!$K$3:$K$22*(Calc!$G$3:$G$22&gt;A253)*(Calc!$G$3:$G$22-A253)*Calc!$G$3:$G$22)</f>
        <v/>
      </c>
      <c r="G253">
        <f>SUMPRODUCT((Calc!$F$3:$F$22&lt;=LTP!$B$5)*Calc!$K$3:$K$22*(Calc!$G$3:$G$22&gt;A253)*(Calc!$G$3:$G$22-A253)*Calc!$I$3:$I$22)</f>
        <v/>
      </c>
      <c r="H253">
        <f>IF($B$11&gt;0,F253-$C$11*D253/$B$11,0)</f>
        <v/>
      </c>
      <c r="I253">
        <f>IF($B$11&gt;0,E253-D253^2/$B$11,0)</f>
        <v/>
      </c>
      <c r="J253">
        <f>IF($B$11&gt;0,G253-D253*$D$11/$B$11,0)</f>
        <v/>
      </c>
      <c r="K253">
        <f>$H$11*I253-H253^2</f>
        <v/>
      </c>
      <c r="L253">
        <f>IF(ABS(K253)&gt;1E-12,($H$11*J253-H253*$I$11)/K253,0)</f>
        <v/>
      </c>
      <c r="M253">
        <f>IF(ABS(K253)&gt;1E-12,(I253*$I$11-H253*J253)/K253,0)</f>
        <v/>
      </c>
      <c r="N253">
        <f>$J$11-M253*$I$11-L253*J253</f>
        <v/>
      </c>
      <c r="O253">
        <f>IF(AND(C253,ABS(K253)&gt;1E-12,L253&gt;0),N253,1E+300)</f>
        <v/>
      </c>
    </row>
    <row r="254">
      <c r="A254">
        <f>$K$11+($L$11-$K$11)*240/400</f>
        <v/>
      </c>
      <c r="B254">
        <f>SUMPRODUCT((Calc!$F$3:$F$22&lt;=LTP!$B$5)*Calc!$K$3:$K$22*(Calc!$G$3:$G$22&lt;=A254))</f>
        <v/>
      </c>
      <c r="C254">
        <f>AND(B254&gt;=2,$B$11-B254&gt;=2)</f>
        <v/>
      </c>
      <c r="D254">
        <f>SUMPRODUCT((Calc!$F$3:$F$22&lt;=LTP!$B$5)*Calc!$K$3:$K$22*(Calc!$G$3:$G$22&gt;A254)*(Calc!$G$3:$G$22-A254))</f>
        <v/>
      </c>
      <c r="E254">
        <f>SUMPRODUCT((Calc!$F$3:$F$22&lt;=LTP!$B$5)*Calc!$K$3:$K$22*(Calc!$G$3:$G$22&gt;A254)*(Calc!$G$3:$G$22-A254)^2)</f>
        <v/>
      </c>
      <c r="F254">
        <f>SUMPRODUCT((Calc!$F$3:$F$22&lt;=LTP!$B$5)*Calc!$K$3:$K$22*(Calc!$G$3:$G$22&gt;A254)*(Calc!$G$3:$G$22-A254)*Calc!$G$3:$G$22)</f>
        <v/>
      </c>
      <c r="G254">
        <f>SUMPRODUCT((Calc!$F$3:$F$22&lt;=LTP!$B$5)*Calc!$K$3:$K$22*(Calc!$G$3:$G$22&gt;A254)*(Calc!$G$3:$G$22-A254)*Calc!$I$3:$I$22)</f>
        <v/>
      </c>
      <c r="H254">
        <f>IF($B$11&gt;0,F254-$C$11*D254/$B$11,0)</f>
        <v/>
      </c>
      <c r="I254">
        <f>IF($B$11&gt;0,E254-D254^2/$B$11,0)</f>
        <v/>
      </c>
      <c r="J254">
        <f>IF($B$11&gt;0,G254-D254*$D$11/$B$11,0)</f>
        <v/>
      </c>
      <c r="K254">
        <f>$H$11*I254-H254^2</f>
        <v/>
      </c>
      <c r="L254">
        <f>IF(ABS(K254)&gt;1E-12,($H$11*J254-H254*$I$11)/K254,0)</f>
        <v/>
      </c>
      <c r="M254">
        <f>IF(ABS(K254)&gt;1E-12,(I254*$I$11-H254*J254)/K254,0)</f>
        <v/>
      </c>
      <c r="N254">
        <f>$J$11-M254*$I$11-L254*J254</f>
        <v/>
      </c>
      <c r="O254">
        <f>IF(AND(C254,ABS(K254)&gt;1E-12,L254&gt;0),N254,1E+300)</f>
        <v/>
      </c>
    </row>
    <row r="255">
      <c r="A255">
        <f>$K$11+($L$11-$K$11)*241/400</f>
        <v/>
      </c>
      <c r="B255">
        <f>SUMPRODUCT((Calc!$F$3:$F$22&lt;=LTP!$B$5)*Calc!$K$3:$K$22*(Calc!$G$3:$G$22&lt;=A255))</f>
        <v/>
      </c>
      <c r="C255">
        <f>AND(B255&gt;=2,$B$11-B255&gt;=2)</f>
        <v/>
      </c>
      <c r="D255">
        <f>SUMPRODUCT((Calc!$F$3:$F$22&lt;=LTP!$B$5)*Calc!$K$3:$K$22*(Calc!$G$3:$G$22&gt;A255)*(Calc!$G$3:$G$22-A255))</f>
        <v/>
      </c>
      <c r="E255">
        <f>SUMPRODUCT((Calc!$F$3:$F$22&lt;=LTP!$B$5)*Calc!$K$3:$K$22*(Calc!$G$3:$G$22&gt;A255)*(Calc!$G$3:$G$22-A255)^2)</f>
        <v/>
      </c>
      <c r="F255">
        <f>SUMPRODUCT((Calc!$F$3:$F$22&lt;=LTP!$B$5)*Calc!$K$3:$K$22*(Calc!$G$3:$G$22&gt;A255)*(Calc!$G$3:$G$22-A255)*Calc!$G$3:$G$22)</f>
        <v/>
      </c>
      <c r="G255">
        <f>SUMPRODUCT((Calc!$F$3:$F$22&lt;=LTP!$B$5)*Calc!$K$3:$K$22*(Calc!$G$3:$G$22&gt;A255)*(Calc!$G$3:$G$22-A255)*Calc!$I$3:$I$22)</f>
        <v/>
      </c>
      <c r="H255">
        <f>IF($B$11&gt;0,F255-$C$11*D255/$B$11,0)</f>
        <v/>
      </c>
      <c r="I255">
        <f>IF($B$11&gt;0,E255-D255^2/$B$11,0)</f>
        <v/>
      </c>
      <c r="J255">
        <f>IF($B$11&gt;0,G255-D255*$D$11/$B$11,0)</f>
        <v/>
      </c>
      <c r="K255">
        <f>$H$11*I255-H255^2</f>
        <v/>
      </c>
      <c r="L255">
        <f>IF(ABS(K255)&gt;1E-12,($H$11*J255-H255*$I$11)/K255,0)</f>
        <v/>
      </c>
      <c r="M255">
        <f>IF(ABS(K255)&gt;1E-12,(I255*$I$11-H255*J255)/K255,0)</f>
        <v/>
      </c>
      <c r="N255">
        <f>$J$11-M255*$I$11-L255*J255</f>
        <v/>
      </c>
      <c r="O255">
        <f>IF(AND(C255,ABS(K255)&gt;1E-12,L255&gt;0),N255,1E+300)</f>
        <v/>
      </c>
    </row>
    <row r="256">
      <c r="A256">
        <f>$K$11+($L$11-$K$11)*242/400</f>
        <v/>
      </c>
      <c r="B256">
        <f>SUMPRODUCT((Calc!$F$3:$F$22&lt;=LTP!$B$5)*Calc!$K$3:$K$22*(Calc!$G$3:$G$22&lt;=A256))</f>
        <v/>
      </c>
      <c r="C256">
        <f>AND(B256&gt;=2,$B$11-B256&gt;=2)</f>
        <v/>
      </c>
      <c r="D256">
        <f>SUMPRODUCT((Calc!$F$3:$F$22&lt;=LTP!$B$5)*Calc!$K$3:$K$22*(Calc!$G$3:$G$22&gt;A256)*(Calc!$G$3:$G$22-A256))</f>
        <v/>
      </c>
      <c r="E256">
        <f>SUMPRODUCT((Calc!$F$3:$F$22&lt;=LTP!$B$5)*Calc!$K$3:$K$22*(Calc!$G$3:$G$22&gt;A256)*(Calc!$G$3:$G$22-A256)^2)</f>
        <v/>
      </c>
      <c r="F256">
        <f>SUMPRODUCT((Calc!$F$3:$F$22&lt;=LTP!$B$5)*Calc!$K$3:$K$22*(Calc!$G$3:$G$22&gt;A256)*(Calc!$G$3:$G$22-A256)*Calc!$G$3:$G$22)</f>
        <v/>
      </c>
      <c r="G256">
        <f>SUMPRODUCT((Calc!$F$3:$F$22&lt;=LTP!$B$5)*Calc!$K$3:$K$22*(Calc!$G$3:$G$22&gt;A256)*(Calc!$G$3:$G$22-A256)*Calc!$I$3:$I$22)</f>
        <v/>
      </c>
      <c r="H256">
        <f>IF($B$11&gt;0,F256-$C$11*D256/$B$11,0)</f>
        <v/>
      </c>
      <c r="I256">
        <f>IF($B$11&gt;0,E256-D256^2/$B$11,0)</f>
        <v/>
      </c>
      <c r="J256">
        <f>IF($B$11&gt;0,G256-D256*$D$11/$B$11,0)</f>
        <v/>
      </c>
      <c r="K256">
        <f>$H$11*I256-H256^2</f>
        <v/>
      </c>
      <c r="L256">
        <f>IF(ABS(K256)&gt;1E-12,($H$11*J256-H256*$I$11)/K256,0)</f>
        <v/>
      </c>
      <c r="M256">
        <f>IF(ABS(K256)&gt;1E-12,(I256*$I$11-H256*J256)/K256,0)</f>
        <v/>
      </c>
      <c r="N256">
        <f>$J$11-M256*$I$11-L256*J256</f>
        <v/>
      </c>
      <c r="O256">
        <f>IF(AND(C256,ABS(K256)&gt;1E-12,L256&gt;0),N256,1E+300)</f>
        <v/>
      </c>
    </row>
    <row r="257">
      <c r="A257">
        <f>$K$11+($L$11-$K$11)*243/400</f>
        <v/>
      </c>
      <c r="B257">
        <f>SUMPRODUCT((Calc!$F$3:$F$22&lt;=LTP!$B$5)*Calc!$K$3:$K$22*(Calc!$G$3:$G$22&lt;=A257))</f>
        <v/>
      </c>
      <c r="C257">
        <f>AND(B257&gt;=2,$B$11-B257&gt;=2)</f>
        <v/>
      </c>
      <c r="D257">
        <f>SUMPRODUCT((Calc!$F$3:$F$22&lt;=LTP!$B$5)*Calc!$K$3:$K$22*(Calc!$G$3:$G$22&gt;A257)*(Calc!$G$3:$G$22-A257))</f>
        <v/>
      </c>
      <c r="E257">
        <f>SUMPRODUCT((Calc!$F$3:$F$22&lt;=LTP!$B$5)*Calc!$K$3:$K$22*(Calc!$G$3:$G$22&gt;A257)*(Calc!$G$3:$G$22-A257)^2)</f>
        <v/>
      </c>
      <c r="F257">
        <f>SUMPRODUCT((Calc!$F$3:$F$22&lt;=LTP!$B$5)*Calc!$K$3:$K$22*(Calc!$G$3:$G$22&gt;A257)*(Calc!$G$3:$G$22-A257)*Calc!$G$3:$G$22)</f>
        <v/>
      </c>
      <c r="G257">
        <f>SUMPRODUCT((Calc!$F$3:$F$22&lt;=LTP!$B$5)*Calc!$K$3:$K$22*(Calc!$G$3:$G$22&gt;A257)*(Calc!$G$3:$G$22-A257)*Calc!$I$3:$I$22)</f>
        <v/>
      </c>
      <c r="H257">
        <f>IF($B$11&gt;0,F257-$C$11*D257/$B$11,0)</f>
        <v/>
      </c>
      <c r="I257">
        <f>IF($B$11&gt;0,E257-D257^2/$B$11,0)</f>
        <v/>
      </c>
      <c r="J257">
        <f>IF($B$11&gt;0,G257-D257*$D$11/$B$11,0)</f>
        <v/>
      </c>
      <c r="K257">
        <f>$H$11*I257-H257^2</f>
        <v/>
      </c>
      <c r="L257">
        <f>IF(ABS(K257)&gt;1E-12,($H$11*J257-H257*$I$11)/K257,0)</f>
        <v/>
      </c>
      <c r="M257">
        <f>IF(ABS(K257)&gt;1E-12,(I257*$I$11-H257*J257)/K257,0)</f>
        <v/>
      </c>
      <c r="N257">
        <f>$J$11-M257*$I$11-L257*J257</f>
        <v/>
      </c>
      <c r="O257">
        <f>IF(AND(C257,ABS(K257)&gt;1E-12,L257&gt;0),N257,1E+300)</f>
        <v/>
      </c>
    </row>
    <row r="258">
      <c r="A258">
        <f>$K$11+($L$11-$K$11)*244/400</f>
        <v/>
      </c>
      <c r="B258">
        <f>SUMPRODUCT((Calc!$F$3:$F$22&lt;=LTP!$B$5)*Calc!$K$3:$K$22*(Calc!$G$3:$G$22&lt;=A258))</f>
        <v/>
      </c>
      <c r="C258">
        <f>AND(B258&gt;=2,$B$11-B258&gt;=2)</f>
        <v/>
      </c>
      <c r="D258">
        <f>SUMPRODUCT((Calc!$F$3:$F$22&lt;=LTP!$B$5)*Calc!$K$3:$K$22*(Calc!$G$3:$G$22&gt;A258)*(Calc!$G$3:$G$22-A258))</f>
        <v/>
      </c>
      <c r="E258">
        <f>SUMPRODUCT((Calc!$F$3:$F$22&lt;=LTP!$B$5)*Calc!$K$3:$K$22*(Calc!$G$3:$G$22&gt;A258)*(Calc!$G$3:$G$22-A258)^2)</f>
        <v/>
      </c>
      <c r="F258">
        <f>SUMPRODUCT((Calc!$F$3:$F$22&lt;=LTP!$B$5)*Calc!$K$3:$K$22*(Calc!$G$3:$G$22&gt;A258)*(Calc!$G$3:$G$22-A258)*Calc!$G$3:$G$22)</f>
        <v/>
      </c>
      <c r="G258">
        <f>SUMPRODUCT((Calc!$F$3:$F$22&lt;=LTP!$B$5)*Calc!$K$3:$K$22*(Calc!$G$3:$G$22&gt;A258)*(Calc!$G$3:$G$22-A258)*Calc!$I$3:$I$22)</f>
        <v/>
      </c>
      <c r="H258">
        <f>IF($B$11&gt;0,F258-$C$11*D258/$B$11,0)</f>
        <v/>
      </c>
      <c r="I258">
        <f>IF($B$11&gt;0,E258-D258^2/$B$11,0)</f>
        <v/>
      </c>
      <c r="J258">
        <f>IF($B$11&gt;0,G258-D258*$D$11/$B$11,0)</f>
        <v/>
      </c>
      <c r="K258">
        <f>$H$11*I258-H258^2</f>
        <v/>
      </c>
      <c r="L258">
        <f>IF(ABS(K258)&gt;1E-12,($H$11*J258-H258*$I$11)/K258,0)</f>
        <v/>
      </c>
      <c r="M258">
        <f>IF(ABS(K258)&gt;1E-12,(I258*$I$11-H258*J258)/K258,0)</f>
        <v/>
      </c>
      <c r="N258">
        <f>$J$11-M258*$I$11-L258*J258</f>
        <v/>
      </c>
      <c r="O258">
        <f>IF(AND(C258,ABS(K258)&gt;1E-12,L258&gt;0),N258,1E+300)</f>
        <v/>
      </c>
    </row>
    <row r="259">
      <c r="A259">
        <f>$K$11+($L$11-$K$11)*245/400</f>
        <v/>
      </c>
      <c r="B259">
        <f>SUMPRODUCT((Calc!$F$3:$F$22&lt;=LTP!$B$5)*Calc!$K$3:$K$22*(Calc!$G$3:$G$22&lt;=A259))</f>
        <v/>
      </c>
      <c r="C259">
        <f>AND(B259&gt;=2,$B$11-B259&gt;=2)</f>
        <v/>
      </c>
      <c r="D259">
        <f>SUMPRODUCT((Calc!$F$3:$F$22&lt;=LTP!$B$5)*Calc!$K$3:$K$22*(Calc!$G$3:$G$22&gt;A259)*(Calc!$G$3:$G$22-A259))</f>
        <v/>
      </c>
      <c r="E259">
        <f>SUMPRODUCT((Calc!$F$3:$F$22&lt;=LTP!$B$5)*Calc!$K$3:$K$22*(Calc!$G$3:$G$22&gt;A259)*(Calc!$G$3:$G$22-A259)^2)</f>
        <v/>
      </c>
      <c r="F259">
        <f>SUMPRODUCT((Calc!$F$3:$F$22&lt;=LTP!$B$5)*Calc!$K$3:$K$22*(Calc!$G$3:$G$22&gt;A259)*(Calc!$G$3:$G$22-A259)*Calc!$G$3:$G$22)</f>
        <v/>
      </c>
      <c r="G259">
        <f>SUMPRODUCT((Calc!$F$3:$F$22&lt;=LTP!$B$5)*Calc!$K$3:$K$22*(Calc!$G$3:$G$22&gt;A259)*(Calc!$G$3:$G$22-A259)*Calc!$I$3:$I$22)</f>
        <v/>
      </c>
      <c r="H259">
        <f>IF($B$11&gt;0,F259-$C$11*D259/$B$11,0)</f>
        <v/>
      </c>
      <c r="I259">
        <f>IF($B$11&gt;0,E259-D259^2/$B$11,0)</f>
        <v/>
      </c>
      <c r="J259">
        <f>IF($B$11&gt;0,G259-D259*$D$11/$B$11,0)</f>
        <v/>
      </c>
      <c r="K259">
        <f>$H$11*I259-H259^2</f>
        <v/>
      </c>
      <c r="L259">
        <f>IF(ABS(K259)&gt;1E-12,($H$11*J259-H259*$I$11)/K259,0)</f>
        <v/>
      </c>
      <c r="M259">
        <f>IF(ABS(K259)&gt;1E-12,(I259*$I$11-H259*J259)/K259,0)</f>
        <v/>
      </c>
      <c r="N259">
        <f>$J$11-M259*$I$11-L259*J259</f>
        <v/>
      </c>
      <c r="O259">
        <f>IF(AND(C259,ABS(K259)&gt;1E-12,L259&gt;0),N259,1E+300)</f>
        <v/>
      </c>
    </row>
    <row r="260">
      <c r="A260">
        <f>$K$11+($L$11-$K$11)*246/400</f>
        <v/>
      </c>
      <c r="B260">
        <f>SUMPRODUCT((Calc!$F$3:$F$22&lt;=LTP!$B$5)*Calc!$K$3:$K$22*(Calc!$G$3:$G$22&lt;=A260))</f>
        <v/>
      </c>
      <c r="C260">
        <f>AND(B260&gt;=2,$B$11-B260&gt;=2)</f>
        <v/>
      </c>
      <c r="D260">
        <f>SUMPRODUCT((Calc!$F$3:$F$22&lt;=LTP!$B$5)*Calc!$K$3:$K$22*(Calc!$G$3:$G$22&gt;A260)*(Calc!$G$3:$G$22-A260))</f>
        <v/>
      </c>
      <c r="E260">
        <f>SUMPRODUCT((Calc!$F$3:$F$22&lt;=LTP!$B$5)*Calc!$K$3:$K$22*(Calc!$G$3:$G$22&gt;A260)*(Calc!$G$3:$G$22-A260)^2)</f>
        <v/>
      </c>
      <c r="F260">
        <f>SUMPRODUCT((Calc!$F$3:$F$22&lt;=LTP!$B$5)*Calc!$K$3:$K$22*(Calc!$G$3:$G$22&gt;A260)*(Calc!$G$3:$G$22-A260)*Calc!$G$3:$G$22)</f>
        <v/>
      </c>
      <c r="G260">
        <f>SUMPRODUCT((Calc!$F$3:$F$22&lt;=LTP!$B$5)*Calc!$K$3:$K$22*(Calc!$G$3:$G$22&gt;A260)*(Calc!$G$3:$G$22-A260)*Calc!$I$3:$I$22)</f>
        <v/>
      </c>
      <c r="H260">
        <f>IF($B$11&gt;0,F260-$C$11*D260/$B$11,0)</f>
        <v/>
      </c>
      <c r="I260">
        <f>IF($B$11&gt;0,E260-D260^2/$B$11,0)</f>
        <v/>
      </c>
      <c r="J260">
        <f>IF($B$11&gt;0,G260-D260*$D$11/$B$11,0)</f>
        <v/>
      </c>
      <c r="K260">
        <f>$H$11*I260-H260^2</f>
        <v/>
      </c>
      <c r="L260">
        <f>IF(ABS(K260)&gt;1E-12,($H$11*J260-H260*$I$11)/K260,0)</f>
        <v/>
      </c>
      <c r="M260">
        <f>IF(ABS(K260)&gt;1E-12,(I260*$I$11-H260*J260)/K260,0)</f>
        <v/>
      </c>
      <c r="N260">
        <f>$J$11-M260*$I$11-L260*J260</f>
        <v/>
      </c>
      <c r="O260">
        <f>IF(AND(C260,ABS(K260)&gt;1E-12,L260&gt;0),N260,1E+300)</f>
        <v/>
      </c>
    </row>
    <row r="261">
      <c r="A261">
        <f>$K$11+($L$11-$K$11)*247/400</f>
        <v/>
      </c>
      <c r="B261">
        <f>SUMPRODUCT((Calc!$F$3:$F$22&lt;=LTP!$B$5)*Calc!$K$3:$K$22*(Calc!$G$3:$G$22&lt;=A261))</f>
        <v/>
      </c>
      <c r="C261">
        <f>AND(B261&gt;=2,$B$11-B261&gt;=2)</f>
        <v/>
      </c>
      <c r="D261">
        <f>SUMPRODUCT((Calc!$F$3:$F$22&lt;=LTP!$B$5)*Calc!$K$3:$K$22*(Calc!$G$3:$G$22&gt;A261)*(Calc!$G$3:$G$22-A261))</f>
        <v/>
      </c>
      <c r="E261">
        <f>SUMPRODUCT((Calc!$F$3:$F$22&lt;=LTP!$B$5)*Calc!$K$3:$K$22*(Calc!$G$3:$G$22&gt;A261)*(Calc!$G$3:$G$22-A261)^2)</f>
        <v/>
      </c>
      <c r="F261">
        <f>SUMPRODUCT((Calc!$F$3:$F$22&lt;=LTP!$B$5)*Calc!$K$3:$K$22*(Calc!$G$3:$G$22&gt;A261)*(Calc!$G$3:$G$22-A261)*Calc!$G$3:$G$22)</f>
        <v/>
      </c>
      <c r="G261">
        <f>SUMPRODUCT((Calc!$F$3:$F$22&lt;=LTP!$B$5)*Calc!$K$3:$K$22*(Calc!$G$3:$G$22&gt;A261)*(Calc!$G$3:$G$22-A261)*Calc!$I$3:$I$22)</f>
        <v/>
      </c>
      <c r="H261">
        <f>IF($B$11&gt;0,F261-$C$11*D261/$B$11,0)</f>
        <v/>
      </c>
      <c r="I261">
        <f>IF($B$11&gt;0,E261-D261^2/$B$11,0)</f>
        <v/>
      </c>
      <c r="J261">
        <f>IF($B$11&gt;0,G261-D261*$D$11/$B$11,0)</f>
        <v/>
      </c>
      <c r="K261">
        <f>$H$11*I261-H261^2</f>
        <v/>
      </c>
      <c r="L261">
        <f>IF(ABS(K261)&gt;1E-12,($H$11*J261-H261*$I$11)/K261,0)</f>
        <v/>
      </c>
      <c r="M261">
        <f>IF(ABS(K261)&gt;1E-12,(I261*$I$11-H261*J261)/K261,0)</f>
        <v/>
      </c>
      <c r="N261">
        <f>$J$11-M261*$I$11-L261*J261</f>
        <v/>
      </c>
      <c r="O261">
        <f>IF(AND(C261,ABS(K261)&gt;1E-12,L261&gt;0),N261,1E+300)</f>
        <v/>
      </c>
    </row>
    <row r="262">
      <c r="A262">
        <f>$K$11+($L$11-$K$11)*248/400</f>
        <v/>
      </c>
      <c r="B262">
        <f>SUMPRODUCT((Calc!$F$3:$F$22&lt;=LTP!$B$5)*Calc!$K$3:$K$22*(Calc!$G$3:$G$22&lt;=A262))</f>
        <v/>
      </c>
      <c r="C262">
        <f>AND(B262&gt;=2,$B$11-B262&gt;=2)</f>
        <v/>
      </c>
      <c r="D262">
        <f>SUMPRODUCT((Calc!$F$3:$F$22&lt;=LTP!$B$5)*Calc!$K$3:$K$22*(Calc!$G$3:$G$22&gt;A262)*(Calc!$G$3:$G$22-A262))</f>
        <v/>
      </c>
      <c r="E262">
        <f>SUMPRODUCT((Calc!$F$3:$F$22&lt;=LTP!$B$5)*Calc!$K$3:$K$22*(Calc!$G$3:$G$22&gt;A262)*(Calc!$G$3:$G$22-A262)^2)</f>
        <v/>
      </c>
      <c r="F262">
        <f>SUMPRODUCT((Calc!$F$3:$F$22&lt;=LTP!$B$5)*Calc!$K$3:$K$22*(Calc!$G$3:$G$22&gt;A262)*(Calc!$G$3:$G$22-A262)*Calc!$G$3:$G$22)</f>
        <v/>
      </c>
      <c r="G262">
        <f>SUMPRODUCT((Calc!$F$3:$F$22&lt;=LTP!$B$5)*Calc!$K$3:$K$22*(Calc!$G$3:$G$22&gt;A262)*(Calc!$G$3:$G$22-A262)*Calc!$I$3:$I$22)</f>
        <v/>
      </c>
      <c r="H262">
        <f>IF($B$11&gt;0,F262-$C$11*D262/$B$11,0)</f>
        <v/>
      </c>
      <c r="I262">
        <f>IF($B$11&gt;0,E262-D262^2/$B$11,0)</f>
        <v/>
      </c>
      <c r="J262">
        <f>IF($B$11&gt;0,G262-D262*$D$11/$B$11,0)</f>
        <v/>
      </c>
      <c r="K262">
        <f>$H$11*I262-H262^2</f>
        <v/>
      </c>
      <c r="L262">
        <f>IF(ABS(K262)&gt;1E-12,($H$11*J262-H262*$I$11)/K262,0)</f>
        <v/>
      </c>
      <c r="M262">
        <f>IF(ABS(K262)&gt;1E-12,(I262*$I$11-H262*J262)/K262,0)</f>
        <v/>
      </c>
      <c r="N262">
        <f>$J$11-M262*$I$11-L262*J262</f>
        <v/>
      </c>
      <c r="O262">
        <f>IF(AND(C262,ABS(K262)&gt;1E-12,L262&gt;0),N262,1E+300)</f>
        <v/>
      </c>
    </row>
    <row r="263">
      <c r="A263">
        <f>$K$11+($L$11-$K$11)*249/400</f>
        <v/>
      </c>
      <c r="B263">
        <f>SUMPRODUCT((Calc!$F$3:$F$22&lt;=LTP!$B$5)*Calc!$K$3:$K$22*(Calc!$G$3:$G$22&lt;=A263))</f>
        <v/>
      </c>
      <c r="C263">
        <f>AND(B263&gt;=2,$B$11-B263&gt;=2)</f>
        <v/>
      </c>
      <c r="D263">
        <f>SUMPRODUCT((Calc!$F$3:$F$22&lt;=LTP!$B$5)*Calc!$K$3:$K$22*(Calc!$G$3:$G$22&gt;A263)*(Calc!$G$3:$G$22-A263))</f>
        <v/>
      </c>
      <c r="E263">
        <f>SUMPRODUCT((Calc!$F$3:$F$22&lt;=LTP!$B$5)*Calc!$K$3:$K$22*(Calc!$G$3:$G$22&gt;A263)*(Calc!$G$3:$G$22-A263)^2)</f>
        <v/>
      </c>
      <c r="F263">
        <f>SUMPRODUCT((Calc!$F$3:$F$22&lt;=LTP!$B$5)*Calc!$K$3:$K$22*(Calc!$G$3:$G$22&gt;A263)*(Calc!$G$3:$G$22-A263)*Calc!$G$3:$G$22)</f>
        <v/>
      </c>
      <c r="G263">
        <f>SUMPRODUCT((Calc!$F$3:$F$22&lt;=LTP!$B$5)*Calc!$K$3:$K$22*(Calc!$G$3:$G$22&gt;A263)*(Calc!$G$3:$G$22-A263)*Calc!$I$3:$I$22)</f>
        <v/>
      </c>
      <c r="H263">
        <f>IF($B$11&gt;0,F263-$C$11*D263/$B$11,0)</f>
        <v/>
      </c>
      <c r="I263">
        <f>IF($B$11&gt;0,E263-D263^2/$B$11,0)</f>
        <v/>
      </c>
      <c r="J263">
        <f>IF($B$11&gt;0,G263-D263*$D$11/$B$11,0)</f>
        <v/>
      </c>
      <c r="K263">
        <f>$H$11*I263-H263^2</f>
        <v/>
      </c>
      <c r="L263">
        <f>IF(ABS(K263)&gt;1E-12,($H$11*J263-H263*$I$11)/K263,0)</f>
        <v/>
      </c>
      <c r="M263">
        <f>IF(ABS(K263)&gt;1E-12,(I263*$I$11-H263*J263)/K263,0)</f>
        <v/>
      </c>
      <c r="N263">
        <f>$J$11-M263*$I$11-L263*J263</f>
        <v/>
      </c>
      <c r="O263">
        <f>IF(AND(C263,ABS(K263)&gt;1E-12,L263&gt;0),N263,1E+300)</f>
        <v/>
      </c>
    </row>
    <row r="264">
      <c r="A264">
        <f>$K$11+($L$11-$K$11)*250/400</f>
        <v/>
      </c>
      <c r="B264">
        <f>SUMPRODUCT((Calc!$F$3:$F$22&lt;=LTP!$B$5)*Calc!$K$3:$K$22*(Calc!$G$3:$G$22&lt;=A264))</f>
        <v/>
      </c>
      <c r="C264">
        <f>AND(B264&gt;=2,$B$11-B264&gt;=2)</f>
        <v/>
      </c>
      <c r="D264">
        <f>SUMPRODUCT((Calc!$F$3:$F$22&lt;=LTP!$B$5)*Calc!$K$3:$K$22*(Calc!$G$3:$G$22&gt;A264)*(Calc!$G$3:$G$22-A264))</f>
        <v/>
      </c>
      <c r="E264">
        <f>SUMPRODUCT((Calc!$F$3:$F$22&lt;=LTP!$B$5)*Calc!$K$3:$K$22*(Calc!$G$3:$G$22&gt;A264)*(Calc!$G$3:$G$22-A264)^2)</f>
        <v/>
      </c>
      <c r="F264">
        <f>SUMPRODUCT((Calc!$F$3:$F$22&lt;=LTP!$B$5)*Calc!$K$3:$K$22*(Calc!$G$3:$G$22&gt;A264)*(Calc!$G$3:$G$22-A264)*Calc!$G$3:$G$22)</f>
        <v/>
      </c>
      <c r="G264">
        <f>SUMPRODUCT((Calc!$F$3:$F$22&lt;=LTP!$B$5)*Calc!$K$3:$K$22*(Calc!$G$3:$G$22&gt;A264)*(Calc!$G$3:$G$22-A264)*Calc!$I$3:$I$22)</f>
        <v/>
      </c>
      <c r="H264">
        <f>IF($B$11&gt;0,F264-$C$11*D264/$B$11,0)</f>
        <v/>
      </c>
      <c r="I264">
        <f>IF($B$11&gt;0,E264-D264^2/$B$11,0)</f>
        <v/>
      </c>
      <c r="J264">
        <f>IF($B$11&gt;0,G264-D264*$D$11/$B$11,0)</f>
        <v/>
      </c>
      <c r="K264">
        <f>$H$11*I264-H264^2</f>
        <v/>
      </c>
      <c r="L264">
        <f>IF(ABS(K264)&gt;1E-12,($H$11*J264-H264*$I$11)/K264,0)</f>
        <v/>
      </c>
      <c r="M264">
        <f>IF(ABS(K264)&gt;1E-12,(I264*$I$11-H264*J264)/K264,0)</f>
        <v/>
      </c>
      <c r="N264">
        <f>$J$11-M264*$I$11-L264*J264</f>
        <v/>
      </c>
      <c r="O264">
        <f>IF(AND(C264,ABS(K264)&gt;1E-12,L264&gt;0),N264,1E+300)</f>
        <v/>
      </c>
    </row>
    <row r="265">
      <c r="A265">
        <f>$K$11+($L$11-$K$11)*251/400</f>
        <v/>
      </c>
      <c r="B265">
        <f>SUMPRODUCT((Calc!$F$3:$F$22&lt;=LTP!$B$5)*Calc!$K$3:$K$22*(Calc!$G$3:$G$22&lt;=A265))</f>
        <v/>
      </c>
      <c r="C265">
        <f>AND(B265&gt;=2,$B$11-B265&gt;=2)</f>
        <v/>
      </c>
      <c r="D265">
        <f>SUMPRODUCT((Calc!$F$3:$F$22&lt;=LTP!$B$5)*Calc!$K$3:$K$22*(Calc!$G$3:$G$22&gt;A265)*(Calc!$G$3:$G$22-A265))</f>
        <v/>
      </c>
      <c r="E265">
        <f>SUMPRODUCT((Calc!$F$3:$F$22&lt;=LTP!$B$5)*Calc!$K$3:$K$22*(Calc!$G$3:$G$22&gt;A265)*(Calc!$G$3:$G$22-A265)^2)</f>
        <v/>
      </c>
      <c r="F265">
        <f>SUMPRODUCT((Calc!$F$3:$F$22&lt;=LTP!$B$5)*Calc!$K$3:$K$22*(Calc!$G$3:$G$22&gt;A265)*(Calc!$G$3:$G$22-A265)*Calc!$G$3:$G$22)</f>
        <v/>
      </c>
      <c r="G265">
        <f>SUMPRODUCT((Calc!$F$3:$F$22&lt;=LTP!$B$5)*Calc!$K$3:$K$22*(Calc!$G$3:$G$22&gt;A265)*(Calc!$G$3:$G$22-A265)*Calc!$I$3:$I$22)</f>
        <v/>
      </c>
      <c r="H265">
        <f>IF($B$11&gt;0,F265-$C$11*D265/$B$11,0)</f>
        <v/>
      </c>
      <c r="I265">
        <f>IF($B$11&gt;0,E265-D265^2/$B$11,0)</f>
        <v/>
      </c>
      <c r="J265">
        <f>IF($B$11&gt;0,G265-D265*$D$11/$B$11,0)</f>
        <v/>
      </c>
      <c r="K265">
        <f>$H$11*I265-H265^2</f>
        <v/>
      </c>
      <c r="L265">
        <f>IF(ABS(K265)&gt;1E-12,($H$11*J265-H265*$I$11)/K265,0)</f>
        <v/>
      </c>
      <c r="M265">
        <f>IF(ABS(K265)&gt;1E-12,(I265*$I$11-H265*J265)/K265,0)</f>
        <v/>
      </c>
      <c r="N265">
        <f>$J$11-M265*$I$11-L265*J265</f>
        <v/>
      </c>
      <c r="O265">
        <f>IF(AND(C265,ABS(K265)&gt;1E-12,L265&gt;0),N265,1E+300)</f>
        <v/>
      </c>
    </row>
    <row r="266">
      <c r="A266">
        <f>$K$11+($L$11-$K$11)*252/400</f>
        <v/>
      </c>
      <c r="B266">
        <f>SUMPRODUCT((Calc!$F$3:$F$22&lt;=LTP!$B$5)*Calc!$K$3:$K$22*(Calc!$G$3:$G$22&lt;=A266))</f>
        <v/>
      </c>
      <c r="C266">
        <f>AND(B266&gt;=2,$B$11-B266&gt;=2)</f>
        <v/>
      </c>
      <c r="D266">
        <f>SUMPRODUCT((Calc!$F$3:$F$22&lt;=LTP!$B$5)*Calc!$K$3:$K$22*(Calc!$G$3:$G$22&gt;A266)*(Calc!$G$3:$G$22-A266))</f>
        <v/>
      </c>
      <c r="E266">
        <f>SUMPRODUCT((Calc!$F$3:$F$22&lt;=LTP!$B$5)*Calc!$K$3:$K$22*(Calc!$G$3:$G$22&gt;A266)*(Calc!$G$3:$G$22-A266)^2)</f>
        <v/>
      </c>
      <c r="F266">
        <f>SUMPRODUCT((Calc!$F$3:$F$22&lt;=LTP!$B$5)*Calc!$K$3:$K$22*(Calc!$G$3:$G$22&gt;A266)*(Calc!$G$3:$G$22-A266)*Calc!$G$3:$G$22)</f>
        <v/>
      </c>
      <c r="G266">
        <f>SUMPRODUCT((Calc!$F$3:$F$22&lt;=LTP!$B$5)*Calc!$K$3:$K$22*(Calc!$G$3:$G$22&gt;A266)*(Calc!$G$3:$G$22-A266)*Calc!$I$3:$I$22)</f>
        <v/>
      </c>
      <c r="H266">
        <f>IF($B$11&gt;0,F266-$C$11*D266/$B$11,0)</f>
        <v/>
      </c>
      <c r="I266">
        <f>IF($B$11&gt;0,E266-D266^2/$B$11,0)</f>
        <v/>
      </c>
      <c r="J266">
        <f>IF($B$11&gt;0,G266-D266*$D$11/$B$11,0)</f>
        <v/>
      </c>
      <c r="K266">
        <f>$H$11*I266-H266^2</f>
        <v/>
      </c>
      <c r="L266">
        <f>IF(ABS(K266)&gt;1E-12,($H$11*J266-H266*$I$11)/K266,0)</f>
        <v/>
      </c>
      <c r="M266">
        <f>IF(ABS(K266)&gt;1E-12,(I266*$I$11-H266*J266)/K266,0)</f>
        <v/>
      </c>
      <c r="N266">
        <f>$J$11-M266*$I$11-L266*J266</f>
        <v/>
      </c>
      <c r="O266">
        <f>IF(AND(C266,ABS(K266)&gt;1E-12,L266&gt;0),N266,1E+300)</f>
        <v/>
      </c>
    </row>
    <row r="267">
      <c r="A267">
        <f>$K$11+($L$11-$K$11)*253/400</f>
        <v/>
      </c>
      <c r="B267">
        <f>SUMPRODUCT((Calc!$F$3:$F$22&lt;=LTP!$B$5)*Calc!$K$3:$K$22*(Calc!$G$3:$G$22&lt;=A267))</f>
        <v/>
      </c>
      <c r="C267">
        <f>AND(B267&gt;=2,$B$11-B267&gt;=2)</f>
        <v/>
      </c>
      <c r="D267">
        <f>SUMPRODUCT((Calc!$F$3:$F$22&lt;=LTP!$B$5)*Calc!$K$3:$K$22*(Calc!$G$3:$G$22&gt;A267)*(Calc!$G$3:$G$22-A267))</f>
        <v/>
      </c>
      <c r="E267">
        <f>SUMPRODUCT((Calc!$F$3:$F$22&lt;=LTP!$B$5)*Calc!$K$3:$K$22*(Calc!$G$3:$G$22&gt;A267)*(Calc!$G$3:$G$22-A267)^2)</f>
        <v/>
      </c>
      <c r="F267">
        <f>SUMPRODUCT((Calc!$F$3:$F$22&lt;=LTP!$B$5)*Calc!$K$3:$K$22*(Calc!$G$3:$G$22&gt;A267)*(Calc!$G$3:$G$22-A267)*Calc!$G$3:$G$22)</f>
        <v/>
      </c>
      <c r="G267">
        <f>SUMPRODUCT((Calc!$F$3:$F$22&lt;=LTP!$B$5)*Calc!$K$3:$K$22*(Calc!$G$3:$G$22&gt;A267)*(Calc!$G$3:$G$22-A267)*Calc!$I$3:$I$22)</f>
        <v/>
      </c>
      <c r="H267">
        <f>IF($B$11&gt;0,F267-$C$11*D267/$B$11,0)</f>
        <v/>
      </c>
      <c r="I267">
        <f>IF($B$11&gt;0,E267-D267^2/$B$11,0)</f>
        <v/>
      </c>
      <c r="J267">
        <f>IF($B$11&gt;0,G267-D267*$D$11/$B$11,0)</f>
        <v/>
      </c>
      <c r="K267">
        <f>$H$11*I267-H267^2</f>
        <v/>
      </c>
      <c r="L267">
        <f>IF(ABS(K267)&gt;1E-12,($H$11*J267-H267*$I$11)/K267,0)</f>
        <v/>
      </c>
      <c r="M267">
        <f>IF(ABS(K267)&gt;1E-12,(I267*$I$11-H267*J267)/K267,0)</f>
        <v/>
      </c>
      <c r="N267">
        <f>$J$11-M267*$I$11-L267*J267</f>
        <v/>
      </c>
      <c r="O267">
        <f>IF(AND(C267,ABS(K267)&gt;1E-12,L267&gt;0),N267,1E+300)</f>
        <v/>
      </c>
    </row>
    <row r="268">
      <c r="A268">
        <f>$K$11+($L$11-$K$11)*254/400</f>
        <v/>
      </c>
      <c r="B268">
        <f>SUMPRODUCT((Calc!$F$3:$F$22&lt;=LTP!$B$5)*Calc!$K$3:$K$22*(Calc!$G$3:$G$22&lt;=A268))</f>
        <v/>
      </c>
      <c r="C268">
        <f>AND(B268&gt;=2,$B$11-B268&gt;=2)</f>
        <v/>
      </c>
      <c r="D268">
        <f>SUMPRODUCT((Calc!$F$3:$F$22&lt;=LTP!$B$5)*Calc!$K$3:$K$22*(Calc!$G$3:$G$22&gt;A268)*(Calc!$G$3:$G$22-A268))</f>
        <v/>
      </c>
      <c r="E268">
        <f>SUMPRODUCT((Calc!$F$3:$F$22&lt;=LTP!$B$5)*Calc!$K$3:$K$22*(Calc!$G$3:$G$22&gt;A268)*(Calc!$G$3:$G$22-A268)^2)</f>
        <v/>
      </c>
      <c r="F268">
        <f>SUMPRODUCT((Calc!$F$3:$F$22&lt;=LTP!$B$5)*Calc!$K$3:$K$22*(Calc!$G$3:$G$22&gt;A268)*(Calc!$G$3:$G$22-A268)*Calc!$G$3:$G$22)</f>
        <v/>
      </c>
      <c r="G268">
        <f>SUMPRODUCT((Calc!$F$3:$F$22&lt;=LTP!$B$5)*Calc!$K$3:$K$22*(Calc!$G$3:$G$22&gt;A268)*(Calc!$G$3:$G$22-A268)*Calc!$I$3:$I$22)</f>
        <v/>
      </c>
      <c r="H268">
        <f>IF($B$11&gt;0,F268-$C$11*D268/$B$11,0)</f>
        <v/>
      </c>
      <c r="I268">
        <f>IF($B$11&gt;0,E268-D268^2/$B$11,0)</f>
        <v/>
      </c>
      <c r="J268">
        <f>IF($B$11&gt;0,G268-D268*$D$11/$B$11,0)</f>
        <v/>
      </c>
      <c r="K268">
        <f>$H$11*I268-H268^2</f>
        <v/>
      </c>
      <c r="L268">
        <f>IF(ABS(K268)&gt;1E-12,($H$11*J268-H268*$I$11)/K268,0)</f>
        <v/>
      </c>
      <c r="M268">
        <f>IF(ABS(K268)&gt;1E-12,(I268*$I$11-H268*J268)/K268,0)</f>
        <v/>
      </c>
      <c r="N268">
        <f>$J$11-M268*$I$11-L268*J268</f>
        <v/>
      </c>
      <c r="O268">
        <f>IF(AND(C268,ABS(K268)&gt;1E-12,L268&gt;0),N268,1E+300)</f>
        <v/>
      </c>
    </row>
    <row r="269">
      <c r="A269">
        <f>$K$11+($L$11-$K$11)*255/400</f>
        <v/>
      </c>
      <c r="B269">
        <f>SUMPRODUCT((Calc!$F$3:$F$22&lt;=LTP!$B$5)*Calc!$K$3:$K$22*(Calc!$G$3:$G$22&lt;=A269))</f>
        <v/>
      </c>
      <c r="C269">
        <f>AND(B269&gt;=2,$B$11-B269&gt;=2)</f>
        <v/>
      </c>
      <c r="D269">
        <f>SUMPRODUCT((Calc!$F$3:$F$22&lt;=LTP!$B$5)*Calc!$K$3:$K$22*(Calc!$G$3:$G$22&gt;A269)*(Calc!$G$3:$G$22-A269))</f>
        <v/>
      </c>
      <c r="E269">
        <f>SUMPRODUCT((Calc!$F$3:$F$22&lt;=LTP!$B$5)*Calc!$K$3:$K$22*(Calc!$G$3:$G$22&gt;A269)*(Calc!$G$3:$G$22-A269)^2)</f>
        <v/>
      </c>
      <c r="F269">
        <f>SUMPRODUCT((Calc!$F$3:$F$22&lt;=LTP!$B$5)*Calc!$K$3:$K$22*(Calc!$G$3:$G$22&gt;A269)*(Calc!$G$3:$G$22-A269)*Calc!$G$3:$G$22)</f>
        <v/>
      </c>
      <c r="G269">
        <f>SUMPRODUCT((Calc!$F$3:$F$22&lt;=LTP!$B$5)*Calc!$K$3:$K$22*(Calc!$G$3:$G$22&gt;A269)*(Calc!$G$3:$G$22-A269)*Calc!$I$3:$I$22)</f>
        <v/>
      </c>
      <c r="H269">
        <f>IF($B$11&gt;0,F269-$C$11*D269/$B$11,0)</f>
        <v/>
      </c>
      <c r="I269">
        <f>IF($B$11&gt;0,E269-D269^2/$B$11,0)</f>
        <v/>
      </c>
      <c r="J269">
        <f>IF($B$11&gt;0,G269-D269*$D$11/$B$11,0)</f>
        <v/>
      </c>
      <c r="K269">
        <f>$H$11*I269-H269^2</f>
        <v/>
      </c>
      <c r="L269">
        <f>IF(ABS(K269)&gt;1E-12,($H$11*J269-H269*$I$11)/K269,0)</f>
        <v/>
      </c>
      <c r="M269">
        <f>IF(ABS(K269)&gt;1E-12,(I269*$I$11-H269*J269)/K269,0)</f>
        <v/>
      </c>
      <c r="N269">
        <f>$J$11-M269*$I$11-L269*J269</f>
        <v/>
      </c>
      <c r="O269">
        <f>IF(AND(C269,ABS(K269)&gt;1E-12,L269&gt;0),N269,1E+300)</f>
        <v/>
      </c>
    </row>
    <row r="270">
      <c r="A270">
        <f>$K$11+($L$11-$K$11)*256/400</f>
        <v/>
      </c>
      <c r="B270">
        <f>SUMPRODUCT((Calc!$F$3:$F$22&lt;=LTP!$B$5)*Calc!$K$3:$K$22*(Calc!$G$3:$G$22&lt;=A270))</f>
        <v/>
      </c>
      <c r="C270">
        <f>AND(B270&gt;=2,$B$11-B270&gt;=2)</f>
        <v/>
      </c>
      <c r="D270">
        <f>SUMPRODUCT((Calc!$F$3:$F$22&lt;=LTP!$B$5)*Calc!$K$3:$K$22*(Calc!$G$3:$G$22&gt;A270)*(Calc!$G$3:$G$22-A270))</f>
        <v/>
      </c>
      <c r="E270">
        <f>SUMPRODUCT((Calc!$F$3:$F$22&lt;=LTP!$B$5)*Calc!$K$3:$K$22*(Calc!$G$3:$G$22&gt;A270)*(Calc!$G$3:$G$22-A270)^2)</f>
        <v/>
      </c>
      <c r="F270">
        <f>SUMPRODUCT((Calc!$F$3:$F$22&lt;=LTP!$B$5)*Calc!$K$3:$K$22*(Calc!$G$3:$G$22&gt;A270)*(Calc!$G$3:$G$22-A270)*Calc!$G$3:$G$22)</f>
        <v/>
      </c>
      <c r="G270">
        <f>SUMPRODUCT((Calc!$F$3:$F$22&lt;=LTP!$B$5)*Calc!$K$3:$K$22*(Calc!$G$3:$G$22&gt;A270)*(Calc!$G$3:$G$22-A270)*Calc!$I$3:$I$22)</f>
        <v/>
      </c>
      <c r="H270">
        <f>IF($B$11&gt;0,F270-$C$11*D270/$B$11,0)</f>
        <v/>
      </c>
      <c r="I270">
        <f>IF($B$11&gt;0,E270-D270^2/$B$11,0)</f>
        <v/>
      </c>
      <c r="J270">
        <f>IF($B$11&gt;0,G270-D270*$D$11/$B$11,0)</f>
        <v/>
      </c>
      <c r="K270">
        <f>$H$11*I270-H270^2</f>
        <v/>
      </c>
      <c r="L270">
        <f>IF(ABS(K270)&gt;1E-12,($H$11*J270-H270*$I$11)/K270,0)</f>
        <v/>
      </c>
      <c r="M270">
        <f>IF(ABS(K270)&gt;1E-12,(I270*$I$11-H270*J270)/K270,0)</f>
        <v/>
      </c>
      <c r="N270">
        <f>$J$11-M270*$I$11-L270*J270</f>
        <v/>
      </c>
      <c r="O270">
        <f>IF(AND(C270,ABS(K270)&gt;1E-12,L270&gt;0),N270,1E+300)</f>
        <v/>
      </c>
    </row>
    <row r="271">
      <c r="A271">
        <f>$K$11+($L$11-$K$11)*257/400</f>
        <v/>
      </c>
      <c r="B271">
        <f>SUMPRODUCT((Calc!$F$3:$F$22&lt;=LTP!$B$5)*Calc!$K$3:$K$22*(Calc!$G$3:$G$22&lt;=A271))</f>
        <v/>
      </c>
      <c r="C271">
        <f>AND(B271&gt;=2,$B$11-B271&gt;=2)</f>
        <v/>
      </c>
      <c r="D271">
        <f>SUMPRODUCT((Calc!$F$3:$F$22&lt;=LTP!$B$5)*Calc!$K$3:$K$22*(Calc!$G$3:$G$22&gt;A271)*(Calc!$G$3:$G$22-A271))</f>
        <v/>
      </c>
      <c r="E271">
        <f>SUMPRODUCT((Calc!$F$3:$F$22&lt;=LTP!$B$5)*Calc!$K$3:$K$22*(Calc!$G$3:$G$22&gt;A271)*(Calc!$G$3:$G$22-A271)^2)</f>
        <v/>
      </c>
      <c r="F271">
        <f>SUMPRODUCT((Calc!$F$3:$F$22&lt;=LTP!$B$5)*Calc!$K$3:$K$22*(Calc!$G$3:$G$22&gt;A271)*(Calc!$G$3:$G$22-A271)*Calc!$G$3:$G$22)</f>
        <v/>
      </c>
      <c r="G271">
        <f>SUMPRODUCT((Calc!$F$3:$F$22&lt;=LTP!$B$5)*Calc!$K$3:$K$22*(Calc!$G$3:$G$22&gt;A271)*(Calc!$G$3:$G$22-A271)*Calc!$I$3:$I$22)</f>
        <v/>
      </c>
      <c r="H271">
        <f>IF($B$11&gt;0,F271-$C$11*D271/$B$11,0)</f>
        <v/>
      </c>
      <c r="I271">
        <f>IF($B$11&gt;0,E271-D271^2/$B$11,0)</f>
        <v/>
      </c>
      <c r="J271">
        <f>IF($B$11&gt;0,G271-D271*$D$11/$B$11,0)</f>
        <v/>
      </c>
      <c r="K271">
        <f>$H$11*I271-H271^2</f>
        <v/>
      </c>
      <c r="L271">
        <f>IF(ABS(K271)&gt;1E-12,($H$11*J271-H271*$I$11)/K271,0)</f>
        <v/>
      </c>
      <c r="M271">
        <f>IF(ABS(K271)&gt;1E-12,(I271*$I$11-H271*J271)/K271,0)</f>
        <v/>
      </c>
      <c r="N271">
        <f>$J$11-M271*$I$11-L271*J271</f>
        <v/>
      </c>
      <c r="O271">
        <f>IF(AND(C271,ABS(K271)&gt;1E-12,L271&gt;0),N271,1E+300)</f>
        <v/>
      </c>
    </row>
    <row r="272">
      <c r="A272">
        <f>$K$11+($L$11-$K$11)*258/400</f>
        <v/>
      </c>
      <c r="B272">
        <f>SUMPRODUCT((Calc!$F$3:$F$22&lt;=LTP!$B$5)*Calc!$K$3:$K$22*(Calc!$G$3:$G$22&lt;=A272))</f>
        <v/>
      </c>
      <c r="C272">
        <f>AND(B272&gt;=2,$B$11-B272&gt;=2)</f>
        <v/>
      </c>
      <c r="D272">
        <f>SUMPRODUCT((Calc!$F$3:$F$22&lt;=LTP!$B$5)*Calc!$K$3:$K$22*(Calc!$G$3:$G$22&gt;A272)*(Calc!$G$3:$G$22-A272))</f>
        <v/>
      </c>
      <c r="E272">
        <f>SUMPRODUCT((Calc!$F$3:$F$22&lt;=LTP!$B$5)*Calc!$K$3:$K$22*(Calc!$G$3:$G$22&gt;A272)*(Calc!$G$3:$G$22-A272)^2)</f>
        <v/>
      </c>
      <c r="F272">
        <f>SUMPRODUCT((Calc!$F$3:$F$22&lt;=LTP!$B$5)*Calc!$K$3:$K$22*(Calc!$G$3:$G$22&gt;A272)*(Calc!$G$3:$G$22-A272)*Calc!$G$3:$G$22)</f>
        <v/>
      </c>
      <c r="G272">
        <f>SUMPRODUCT((Calc!$F$3:$F$22&lt;=LTP!$B$5)*Calc!$K$3:$K$22*(Calc!$G$3:$G$22&gt;A272)*(Calc!$G$3:$G$22-A272)*Calc!$I$3:$I$22)</f>
        <v/>
      </c>
      <c r="H272">
        <f>IF($B$11&gt;0,F272-$C$11*D272/$B$11,0)</f>
        <v/>
      </c>
      <c r="I272">
        <f>IF($B$11&gt;0,E272-D272^2/$B$11,0)</f>
        <v/>
      </c>
      <c r="J272">
        <f>IF($B$11&gt;0,G272-D272*$D$11/$B$11,0)</f>
        <v/>
      </c>
      <c r="K272">
        <f>$H$11*I272-H272^2</f>
        <v/>
      </c>
      <c r="L272">
        <f>IF(ABS(K272)&gt;1E-12,($H$11*J272-H272*$I$11)/K272,0)</f>
        <v/>
      </c>
      <c r="M272">
        <f>IF(ABS(K272)&gt;1E-12,(I272*$I$11-H272*J272)/K272,0)</f>
        <v/>
      </c>
      <c r="N272">
        <f>$J$11-M272*$I$11-L272*J272</f>
        <v/>
      </c>
      <c r="O272">
        <f>IF(AND(C272,ABS(K272)&gt;1E-12,L272&gt;0),N272,1E+300)</f>
        <v/>
      </c>
    </row>
    <row r="273">
      <c r="A273">
        <f>$K$11+($L$11-$K$11)*259/400</f>
        <v/>
      </c>
      <c r="B273">
        <f>SUMPRODUCT((Calc!$F$3:$F$22&lt;=LTP!$B$5)*Calc!$K$3:$K$22*(Calc!$G$3:$G$22&lt;=A273))</f>
        <v/>
      </c>
      <c r="C273">
        <f>AND(B273&gt;=2,$B$11-B273&gt;=2)</f>
        <v/>
      </c>
      <c r="D273">
        <f>SUMPRODUCT((Calc!$F$3:$F$22&lt;=LTP!$B$5)*Calc!$K$3:$K$22*(Calc!$G$3:$G$22&gt;A273)*(Calc!$G$3:$G$22-A273))</f>
        <v/>
      </c>
      <c r="E273">
        <f>SUMPRODUCT((Calc!$F$3:$F$22&lt;=LTP!$B$5)*Calc!$K$3:$K$22*(Calc!$G$3:$G$22&gt;A273)*(Calc!$G$3:$G$22-A273)^2)</f>
        <v/>
      </c>
      <c r="F273">
        <f>SUMPRODUCT((Calc!$F$3:$F$22&lt;=LTP!$B$5)*Calc!$K$3:$K$22*(Calc!$G$3:$G$22&gt;A273)*(Calc!$G$3:$G$22-A273)*Calc!$G$3:$G$22)</f>
        <v/>
      </c>
      <c r="G273">
        <f>SUMPRODUCT((Calc!$F$3:$F$22&lt;=LTP!$B$5)*Calc!$K$3:$K$22*(Calc!$G$3:$G$22&gt;A273)*(Calc!$G$3:$G$22-A273)*Calc!$I$3:$I$22)</f>
        <v/>
      </c>
      <c r="H273">
        <f>IF($B$11&gt;0,F273-$C$11*D273/$B$11,0)</f>
        <v/>
      </c>
      <c r="I273">
        <f>IF($B$11&gt;0,E273-D273^2/$B$11,0)</f>
        <v/>
      </c>
      <c r="J273">
        <f>IF($B$11&gt;0,G273-D273*$D$11/$B$11,0)</f>
        <v/>
      </c>
      <c r="K273">
        <f>$H$11*I273-H273^2</f>
        <v/>
      </c>
      <c r="L273">
        <f>IF(ABS(K273)&gt;1E-12,($H$11*J273-H273*$I$11)/K273,0)</f>
        <v/>
      </c>
      <c r="M273">
        <f>IF(ABS(K273)&gt;1E-12,(I273*$I$11-H273*J273)/K273,0)</f>
        <v/>
      </c>
      <c r="N273">
        <f>$J$11-M273*$I$11-L273*J273</f>
        <v/>
      </c>
      <c r="O273">
        <f>IF(AND(C273,ABS(K273)&gt;1E-12,L273&gt;0),N273,1E+300)</f>
        <v/>
      </c>
    </row>
    <row r="274">
      <c r="A274">
        <f>$K$11+($L$11-$K$11)*260/400</f>
        <v/>
      </c>
      <c r="B274">
        <f>SUMPRODUCT((Calc!$F$3:$F$22&lt;=LTP!$B$5)*Calc!$K$3:$K$22*(Calc!$G$3:$G$22&lt;=A274))</f>
        <v/>
      </c>
      <c r="C274">
        <f>AND(B274&gt;=2,$B$11-B274&gt;=2)</f>
        <v/>
      </c>
      <c r="D274">
        <f>SUMPRODUCT((Calc!$F$3:$F$22&lt;=LTP!$B$5)*Calc!$K$3:$K$22*(Calc!$G$3:$G$22&gt;A274)*(Calc!$G$3:$G$22-A274))</f>
        <v/>
      </c>
      <c r="E274">
        <f>SUMPRODUCT((Calc!$F$3:$F$22&lt;=LTP!$B$5)*Calc!$K$3:$K$22*(Calc!$G$3:$G$22&gt;A274)*(Calc!$G$3:$G$22-A274)^2)</f>
        <v/>
      </c>
      <c r="F274">
        <f>SUMPRODUCT((Calc!$F$3:$F$22&lt;=LTP!$B$5)*Calc!$K$3:$K$22*(Calc!$G$3:$G$22&gt;A274)*(Calc!$G$3:$G$22-A274)*Calc!$G$3:$G$22)</f>
        <v/>
      </c>
      <c r="G274">
        <f>SUMPRODUCT((Calc!$F$3:$F$22&lt;=LTP!$B$5)*Calc!$K$3:$K$22*(Calc!$G$3:$G$22&gt;A274)*(Calc!$G$3:$G$22-A274)*Calc!$I$3:$I$22)</f>
        <v/>
      </c>
      <c r="H274">
        <f>IF($B$11&gt;0,F274-$C$11*D274/$B$11,0)</f>
        <v/>
      </c>
      <c r="I274">
        <f>IF($B$11&gt;0,E274-D274^2/$B$11,0)</f>
        <v/>
      </c>
      <c r="J274">
        <f>IF($B$11&gt;0,G274-D274*$D$11/$B$11,0)</f>
        <v/>
      </c>
      <c r="K274">
        <f>$H$11*I274-H274^2</f>
        <v/>
      </c>
      <c r="L274">
        <f>IF(ABS(K274)&gt;1E-12,($H$11*J274-H274*$I$11)/K274,0)</f>
        <v/>
      </c>
      <c r="M274">
        <f>IF(ABS(K274)&gt;1E-12,(I274*$I$11-H274*J274)/K274,0)</f>
        <v/>
      </c>
      <c r="N274">
        <f>$J$11-M274*$I$11-L274*J274</f>
        <v/>
      </c>
      <c r="O274">
        <f>IF(AND(C274,ABS(K274)&gt;1E-12,L274&gt;0),N274,1E+300)</f>
        <v/>
      </c>
    </row>
    <row r="275">
      <c r="A275">
        <f>$K$11+($L$11-$K$11)*261/400</f>
        <v/>
      </c>
      <c r="B275">
        <f>SUMPRODUCT((Calc!$F$3:$F$22&lt;=LTP!$B$5)*Calc!$K$3:$K$22*(Calc!$G$3:$G$22&lt;=A275))</f>
        <v/>
      </c>
      <c r="C275">
        <f>AND(B275&gt;=2,$B$11-B275&gt;=2)</f>
        <v/>
      </c>
      <c r="D275">
        <f>SUMPRODUCT((Calc!$F$3:$F$22&lt;=LTP!$B$5)*Calc!$K$3:$K$22*(Calc!$G$3:$G$22&gt;A275)*(Calc!$G$3:$G$22-A275))</f>
        <v/>
      </c>
      <c r="E275">
        <f>SUMPRODUCT((Calc!$F$3:$F$22&lt;=LTP!$B$5)*Calc!$K$3:$K$22*(Calc!$G$3:$G$22&gt;A275)*(Calc!$G$3:$G$22-A275)^2)</f>
        <v/>
      </c>
      <c r="F275">
        <f>SUMPRODUCT((Calc!$F$3:$F$22&lt;=LTP!$B$5)*Calc!$K$3:$K$22*(Calc!$G$3:$G$22&gt;A275)*(Calc!$G$3:$G$22-A275)*Calc!$G$3:$G$22)</f>
        <v/>
      </c>
      <c r="G275">
        <f>SUMPRODUCT((Calc!$F$3:$F$22&lt;=LTP!$B$5)*Calc!$K$3:$K$22*(Calc!$G$3:$G$22&gt;A275)*(Calc!$G$3:$G$22-A275)*Calc!$I$3:$I$22)</f>
        <v/>
      </c>
      <c r="H275">
        <f>IF($B$11&gt;0,F275-$C$11*D275/$B$11,0)</f>
        <v/>
      </c>
      <c r="I275">
        <f>IF($B$11&gt;0,E275-D275^2/$B$11,0)</f>
        <v/>
      </c>
      <c r="J275">
        <f>IF($B$11&gt;0,G275-D275*$D$11/$B$11,0)</f>
        <v/>
      </c>
      <c r="K275">
        <f>$H$11*I275-H275^2</f>
        <v/>
      </c>
      <c r="L275">
        <f>IF(ABS(K275)&gt;1E-12,($H$11*J275-H275*$I$11)/K275,0)</f>
        <v/>
      </c>
      <c r="M275">
        <f>IF(ABS(K275)&gt;1E-12,(I275*$I$11-H275*J275)/K275,0)</f>
        <v/>
      </c>
      <c r="N275">
        <f>$J$11-M275*$I$11-L275*J275</f>
        <v/>
      </c>
      <c r="O275">
        <f>IF(AND(C275,ABS(K275)&gt;1E-12,L275&gt;0),N275,1E+300)</f>
        <v/>
      </c>
    </row>
    <row r="276">
      <c r="A276">
        <f>$K$11+($L$11-$K$11)*262/400</f>
        <v/>
      </c>
      <c r="B276">
        <f>SUMPRODUCT((Calc!$F$3:$F$22&lt;=LTP!$B$5)*Calc!$K$3:$K$22*(Calc!$G$3:$G$22&lt;=A276))</f>
        <v/>
      </c>
      <c r="C276">
        <f>AND(B276&gt;=2,$B$11-B276&gt;=2)</f>
        <v/>
      </c>
      <c r="D276">
        <f>SUMPRODUCT((Calc!$F$3:$F$22&lt;=LTP!$B$5)*Calc!$K$3:$K$22*(Calc!$G$3:$G$22&gt;A276)*(Calc!$G$3:$G$22-A276))</f>
        <v/>
      </c>
      <c r="E276">
        <f>SUMPRODUCT((Calc!$F$3:$F$22&lt;=LTP!$B$5)*Calc!$K$3:$K$22*(Calc!$G$3:$G$22&gt;A276)*(Calc!$G$3:$G$22-A276)^2)</f>
        <v/>
      </c>
      <c r="F276">
        <f>SUMPRODUCT((Calc!$F$3:$F$22&lt;=LTP!$B$5)*Calc!$K$3:$K$22*(Calc!$G$3:$G$22&gt;A276)*(Calc!$G$3:$G$22-A276)*Calc!$G$3:$G$22)</f>
        <v/>
      </c>
      <c r="G276">
        <f>SUMPRODUCT((Calc!$F$3:$F$22&lt;=LTP!$B$5)*Calc!$K$3:$K$22*(Calc!$G$3:$G$22&gt;A276)*(Calc!$G$3:$G$22-A276)*Calc!$I$3:$I$22)</f>
        <v/>
      </c>
      <c r="H276">
        <f>IF($B$11&gt;0,F276-$C$11*D276/$B$11,0)</f>
        <v/>
      </c>
      <c r="I276">
        <f>IF($B$11&gt;0,E276-D276^2/$B$11,0)</f>
        <v/>
      </c>
      <c r="J276">
        <f>IF($B$11&gt;0,G276-D276*$D$11/$B$11,0)</f>
        <v/>
      </c>
      <c r="K276">
        <f>$H$11*I276-H276^2</f>
        <v/>
      </c>
      <c r="L276">
        <f>IF(ABS(K276)&gt;1E-12,($H$11*J276-H276*$I$11)/K276,0)</f>
        <v/>
      </c>
      <c r="M276">
        <f>IF(ABS(K276)&gt;1E-12,(I276*$I$11-H276*J276)/K276,0)</f>
        <v/>
      </c>
      <c r="N276">
        <f>$J$11-M276*$I$11-L276*J276</f>
        <v/>
      </c>
      <c r="O276">
        <f>IF(AND(C276,ABS(K276)&gt;1E-12,L276&gt;0),N276,1E+300)</f>
        <v/>
      </c>
    </row>
    <row r="277">
      <c r="A277">
        <f>$K$11+($L$11-$K$11)*263/400</f>
        <v/>
      </c>
      <c r="B277">
        <f>SUMPRODUCT((Calc!$F$3:$F$22&lt;=LTP!$B$5)*Calc!$K$3:$K$22*(Calc!$G$3:$G$22&lt;=A277))</f>
        <v/>
      </c>
      <c r="C277">
        <f>AND(B277&gt;=2,$B$11-B277&gt;=2)</f>
        <v/>
      </c>
      <c r="D277">
        <f>SUMPRODUCT((Calc!$F$3:$F$22&lt;=LTP!$B$5)*Calc!$K$3:$K$22*(Calc!$G$3:$G$22&gt;A277)*(Calc!$G$3:$G$22-A277))</f>
        <v/>
      </c>
      <c r="E277">
        <f>SUMPRODUCT((Calc!$F$3:$F$22&lt;=LTP!$B$5)*Calc!$K$3:$K$22*(Calc!$G$3:$G$22&gt;A277)*(Calc!$G$3:$G$22-A277)^2)</f>
        <v/>
      </c>
      <c r="F277">
        <f>SUMPRODUCT((Calc!$F$3:$F$22&lt;=LTP!$B$5)*Calc!$K$3:$K$22*(Calc!$G$3:$G$22&gt;A277)*(Calc!$G$3:$G$22-A277)*Calc!$G$3:$G$22)</f>
        <v/>
      </c>
      <c r="G277">
        <f>SUMPRODUCT((Calc!$F$3:$F$22&lt;=LTP!$B$5)*Calc!$K$3:$K$22*(Calc!$G$3:$G$22&gt;A277)*(Calc!$G$3:$G$22-A277)*Calc!$I$3:$I$22)</f>
        <v/>
      </c>
      <c r="H277">
        <f>IF($B$11&gt;0,F277-$C$11*D277/$B$11,0)</f>
        <v/>
      </c>
      <c r="I277">
        <f>IF($B$11&gt;0,E277-D277^2/$B$11,0)</f>
        <v/>
      </c>
      <c r="J277">
        <f>IF($B$11&gt;0,G277-D277*$D$11/$B$11,0)</f>
        <v/>
      </c>
      <c r="K277">
        <f>$H$11*I277-H277^2</f>
        <v/>
      </c>
      <c r="L277">
        <f>IF(ABS(K277)&gt;1E-12,($H$11*J277-H277*$I$11)/K277,0)</f>
        <v/>
      </c>
      <c r="M277">
        <f>IF(ABS(K277)&gt;1E-12,(I277*$I$11-H277*J277)/K277,0)</f>
        <v/>
      </c>
      <c r="N277">
        <f>$J$11-M277*$I$11-L277*J277</f>
        <v/>
      </c>
      <c r="O277">
        <f>IF(AND(C277,ABS(K277)&gt;1E-12,L277&gt;0),N277,1E+300)</f>
        <v/>
      </c>
    </row>
    <row r="278">
      <c r="A278">
        <f>$K$11+($L$11-$K$11)*264/400</f>
        <v/>
      </c>
      <c r="B278">
        <f>SUMPRODUCT((Calc!$F$3:$F$22&lt;=LTP!$B$5)*Calc!$K$3:$K$22*(Calc!$G$3:$G$22&lt;=A278))</f>
        <v/>
      </c>
      <c r="C278">
        <f>AND(B278&gt;=2,$B$11-B278&gt;=2)</f>
        <v/>
      </c>
      <c r="D278">
        <f>SUMPRODUCT((Calc!$F$3:$F$22&lt;=LTP!$B$5)*Calc!$K$3:$K$22*(Calc!$G$3:$G$22&gt;A278)*(Calc!$G$3:$G$22-A278))</f>
        <v/>
      </c>
      <c r="E278">
        <f>SUMPRODUCT((Calc!$F$3:$F$22&lt;=LTP!$B$5)*Calc!$K$3:$K$22*(Calc!$G$3:$G$22&gt;A278)*(Calc!$G$3:$G$22-A278)^2)</f>
        <v/>
      </c>
      <c r="F278">
        <f>SUMPRODUCT((Calc!$F$3:$F$22&lt;=LTP!$B$5)*Calc!$K$3:$K$22*(Calc!$G$3:$G$22&gt;A278)*(Calc!$G$3:$G$22-A278)*Calc!$G$3:$G$22)</f>
        <v/>
      </c>
      <c r="G278">
        <f>SUMPRODUCT((Calc!$F$3:$F$22&lt;=LTP!$B$5)*Calc!$K$3:$K$22*(Calc!$G$3:$G$22&gt;A278)*(Calc!$G$3:$G$22-A278)*Calc!$I$3:$I$22)</f>
        <v/>
      </c>
      <c r="H278">
        <f>IF($B$11&gt;0,F278-$C$11*D278/$B$11,0)</f>
        <v/>
      </c>
      <c r="I278">
        <f>IF($B$11&gt;0,E278-D278^2/$B$11,0)</f>
        <v/>
      </c>
      <c r="J278">
        <f>IF($B$11&gt;0,G278-D278*$D$11/$B$11,0)</f>
        <v/>
      </c>
      <c r="K278">
        <f>$H$11*I278-H278^2</f>
        <v/>
      </c>
      <c r="L278">
        <f>IF(ABS(K278)&gt;1E-12,($H$11*J278-H278*$I$11)/K278,0)</f>
        <v/>
      </c>
      <c r="M278">
        <f>IF(ABS(K278)&gt;1E-12,(I278*$I$11-H278*J278)/K278,0)</f>
        <v/>
      </c>
      <c r="N278">
        <f>$J$11-M278*$I$11-L278*J278</f>
        <v/>
      </c>
      <c r="O278">
        <f>IF(AND(C278,ABS(K278)&gt;1E-12,L278&gt;0),N278,1E+300)</f>
        <v/>
      </c>
    </row>
    <row r="279">
      <c r="A279">
        <f>$K$11+($L$11-$K$11)*265/400</f>
        <v/>
      </c>
      <c r="B279">
        <f>SUMPRODUCT((Calc!$F$3:$F$22&lt;=LTP!$B$5)*Calc!$K$3:$K$22*(Calc!$G$3:$G$22&lt;=A279))</f>
        <v/>
      </c>
      <c r="C279">
        <f>AND(B279&gt;=2,$B$11-B279&gt;=2)</f>
        <v/>
      </c>
      <c r="D279">
        <f>SUMPRODUCT((Calc!$F$3:$F$22&lt;=LTP!$B$5)*Calc!$K$3:$K$22*(Calc!$G$3:$G$22&gt;A279)*(Calc!$G$3:$G$22-A279))</f>
        <v/>
      </c>
      <c r="E279">
        <f>SUMPRODUCT((Calc!$F$3:$F$22&lt;=LTP!$B$5)*Calc!$K$3:$K$22*(Calc!$G$3:$G$22&gt;A279)*(Calc!$G$3:$G$22-A279)^2)</f>
        <v/>
      </c>
      <c r="F279">
        <f>SUMPRODUCT((Calc!$F$3:$F$22&lt;=LTP!$B$5)*Calc!$K$3:$K$22*(Calc!$G$3:$G$22&gt;A279)*(Calc!$G$3:$G$22-A279)*Calc!$G$3:$G$22)</f>
        <v/>
      </c>
      <c r="G279">
        <f>SUMPRODUCT((Calc!$F$3:$F$22&lt;=LTP!$B$5)*Calc!$K$3:$K$22*(Calc!$G$3:$G$22&gt;A279)*(Calc!$G$3:$G$22-A279)*Calc!$I$3:$I$22)</f>
        <v/>
      </c>
      <c r="H279">
        <f>IF($B$11&gt;0,F279-$C$11*D279/$B$11,0)</f>
        <v/>
      </c>
      <c r="I279">
        <f>IF($B$11&gt;0,E279-D279^2/$B$11,0)</f>
        <v/>
      </c>
      <c r="J279">
        <f>IF($B$11&gt;0,G279-D279*$D$11/$B$11,0)</f>
        <v/>
      </c>
      <c r="K279">
        <f>$H$11*I279-H279^2</f>
        <v/>
      </c>
      <c r="L279">
        <f>IF(ABS(K279)&gt;1E-12,($H$11*J279-H279*$I$11)/K279,0)</f>
        <v/>
      </c>
      <c r="M279">
        <f>IF(ABS(K279)&gt;1E-12,(I279*$I$11-H279*J279)/K279,0)</f>
        <v/>
      </c>
      <c r="N279">
        <f>$J$11-M279*$I$11-L279*J279</f>
        <v/>
      </c>
      <c r="O279">
        <f>IF(AND(C279,ABS(K279)&gt;1E-12,L279&gt;0),N279,1E+300)</f>
        <v/>
      </c>
    </row>
    <row r="280">
      <c r="A280">
        <f>$K$11+($L$11-$K$11)*266/400</f>
        <v/>
      </c>
      <c r="B280">
        <f>SUMPRODUCT((Calc!$F$3:$F$22&lt;=LTP!$B$5)*Calc!$K$3:$K$22*(Calc!$G$3:$G$22&lt;=A280))</f>
        <v/>
      </c>
      <c r="C280">
        <f>AND(B280&gt;=2,$B$11-B280&gt;=2)</f>
        <v/>
      </c>
      <c r="D280">
        <f>SUMPRODUCT((Calc!$F$3:$F$22&lt;=LTP!$B$5)*Calc!$K$3:$K$22*(Calc!$G$3:$G$22&gt;A280)*(Calc!$G$3:$G$22-A280))</f>
        <v/>
      </c>
      <c r="E280">
        <f>SUMPRODUCT((Calc!$F$3:$F$22&lt;=LTP!$B$5)*Calc!$K$3:$K$22*(Calc!$G$3:$G$22&gt;A280)*(Calc!$G$3:$G$22-A280)^2)</f>
        <v/>
      </c>
      <c r="F280">
        <f>SUMPRODUCT((Calc!$F$3:$F$22&lt;=LTP!$B$5)*Calc!$K$3:$K$22*(Calc!$G$3:$G$22&gt;A280)*(Calc!$G$3:$G$22-A280)*Calc!$G$3:$G$22)</f>
        <v/>
      </c>
      <c r="G280">
        <f>SUMPRODUCT((Calc!$F$3:$F$22&lt;=LTP!$B$5)*Calc!$K$3:$K$22*(Calc!$G$3:$G$22&gt;A280)*(Calc!$G$3:$G$22-A280)*Calc!$I$3:$I$22)</f>
        <v/>
      </c>
      <c r="H280">
        <f>IF($B$11&gt;0,F280-$C$11*D280/$B$11,0)</f>
        <v/>
      </c>
      <c r="I280">
        <f>IF($B$11&gt;0,E280-D280^2/$B$11,0)</f>
        <v/>
      </c>
      <c r="J280">
        <f>IF($B$11&gt;0,G280-D280*$D$11/$B$11,0)</f>
        <v/>
      </c>
      <c r="K280">
        <f>$H$11*I280-H280^2</f>
        <v/>
      </c>
      <c r="L280">
        <f>IF(ABS(K280)&gt;1E-12,($H$11*J280-H280*$I$11)/K280,0)</f>
        <v/>
      </c>
      <c r="M280">
        <f>IF(ABS(K280)&gt;1E-12,(I280*$I$11-H280*J280)/K280,0)</f>
        <v/>
      </c>
      <c r="N280">
        <f>$J$11-M280*$I$11-L280*J280</f>
        <v/>
      </c>
      <c r="O280">
        <f>IF(AND(C280,ABS(K280)&gt;1E-12,L280&gt;0),N280,1E+300)</f>
        <v/>
      </c>
    </row>
    <row r="281">
      <c r="A281">
        <f>$K$11+($L$11-$K$11)*267/400</f>
        <v/>
      </c>
      <c r="B281">
        <f>SUMPRODUCT((Calc!$F$3:$F$22&lt;=LTP!$B$5)*Calc!$K$3:$K$22*(Calc!$G$3:$G$22&lt;=A281))</f>
        <v/>
      </c>
      <c r="C281">
        <f>AND(B281&gt;=2,$B$11-B281&gt;=2)</f>
        <v/>
      </c>
      <c r="D281">
        <f>SUMPRODUCT((Calc!$F$3:$F$22&lt;=LTP!$B$5)*Calc!$K$3:$K$22*(Calc!$G$3:$G$22&gt;A281)*(Calc!$G$3:$G$22-A281))</f>
        <v/>
      </c>
      <c r="E281">
        <f>SUMPRODUCT((Calc!$F$3:$F$22&lt;=LTP!$B$5)*Calc!$K$3:$K$22*(Calc!$G$3:$G$22&gt;A281)*(Calc!$G$3:$G$22-A281)^2)</f>
        <v/>
      </c>
      <c r="F281">
        <f>SUMPRODUCT((Calc!$F$3:$F$22&lt;=LTP!$B$5)*Calc!$K$3:$K$22*(Calc!$G$3:$G$22&gt;A281)*(Calc!$G$3:$G$22-A281)*Calc!$G$3:$G$22)</f>
        <v/>
      </c>
      <c r="G281">
        <f>SUMPRODUCT((Calc!$F$3:$F$22&lt;=LTP!$B$5)*Calc!$K$3:$K$22*(Calc!$G$3:$G$22&gt;A281)*(Calc!$G$3:$G$22-A281)*Calc!$I$3:$I$22)</f>
        <v/>
      </c>
      <c r="H281">
        <f>IF($B$11&gt;0,F281-$C$11*D281/$B$11,0)</f>
        <v/>
      </c>
      <c r="I281">
        <f>IF($B$11&gt;0,E281-D281^2/$B$11,0)</f>
        <v/>
      </c>
      <c r="J281">
        <f>IF($B$11&gt;0,G281-D281*$D$11/$B$11,0)</f>
        <v/>
      </c>
      <c r="K281">
        <f>$H$11*I281-H281^2</f>
        <v/>
      </c>
      <c r="L281">
        <f>IF(ABS(K281)&gt;1E-12,($H$11*J281-H281*$I$11)/K281,0)</f>
        <v/>
      </c>
      <c r="M281">
        <f>IF(ABS(K281)&gt;1E-12,(I281*$I$11-H281*J281)/K281,0)</f>
        <v/>
      </c>
      <c r="N281">
        <f>$J$11-M281*$I$11-L281*J281</f>
        <v/>
      </c>
      <c r="O281">
        <f>IF(AND(C281,ABS(K281)&gt;1E-12,L281&gt;0),N281,1E+300)</f>
        <v/>
      </c>
    </row>
    <row r="282">
      <c r="A282">
        <f>$K$11+($L$11-$K$11)*268/400</f>
        <v/>
      </c>
      <c r="B282">
        <f>SUMPRODUCT((Calc!$F$3:$F$22&lt;=LTP!$B$5)*Calc!$K$3:$K$22*(Calc!$G$3:$G$22&lt;=A282))</f>
        <v/>
      </c>
      <c r="C282">
        <f>AND(B282&gt;=2,$B$11-B282&gt;=2)</f>
        <v/>
      </c>
      <c r="D282">
        <f>SUMPRODUCT((Calc!$F$3:$F$22&lt;=LTP!$B$5)*Calc!$K$3:$K$22*(Calc!$G$3:$G$22&gt;A282)*(Calc!$G$3:$G$22-A282))</f>
        <v/>
      </c>
      <c r="E282">
        <f>SUMPRODUCT((Calc!$F$3:$F$22&lt;=LTP!$B$5)*Calc!$K$3:$K$22*(Calc!$G$3:$G$22&gt;A282)*(Calc!$G$3:$G$22-A282)^2)</f>
        <v/>
      </c>
      <c r="F282">
        <f>SUMPRODUCT((Calc!$F$3:$F$22&lt;=LTP!$B$5)*Calc!$K$3:$K$22*(Calc!$G$3:$G$22&gt;A282)*(Calc!$G$3:$G$22-A282)*Calc!$G$3:$G$22)</f>
        <v/>
      </c>
      <c r="G282">
        <f>SUMPRODUCT((Calc!$F$3:$F$22&lt;=LTP!$B$5)*Calc!$K$3:$K$22*(Calc!$G$3:$G$22&gt;A282)*(Calc!$G$3:$G$22-A282)*Calc!$I$3:$I$22)</f>
        <v/>
      </c>
      <c r="H282">
        <f>IF($B$11&gt;0,F282-$C$11*D282/$B$11,0)</f>
        <v/>
      </c>
      <c r="I282">
        <f>IF($B$11&gt;0,E282-D282^2/$B$11,0)</f>
        <v/>
      </c>
      <c r="J282">
        <f>IF($B$11&gt;0,G282-D282*$D$11/$B$11,0)</f>
        <v/>
      </c>
      <c r="K282">
        <f>$H$11*I282-H282^2</f>
        <v/>
      </c>
      <c r="L282">
        <f>IF(ABS(K282)&gt;1E-12,($H$11*J282-H282*$I$11)/K282,0)</f>
        <v/>
      </c>
      <c r="M282">
        <f>IF(ABS(K282)&gt;1E-12,(I282*$I$11-H282*J282)/K282,0)</f>
        <v/>
      </c>
      <c r="N282">
        <f>$J$11-M282*$I$11-L282*J282</f>
        <v/>
      </c>
      <c r="O282">
        <f>IF(AND(C282,ABS(K282)&gt;1E-12,L282&gt;0),N282,1E+300)</f>
        <v/>
      </c>
    </row>
    <row r="283">
      <c r="A283">
        <f>$K$11+($L$11-$K$11)*269/400</f>
        <v/>
      </c>
      <c r="B283">
        <f>SUMPRODUCT((Calc!$F$3:$F$22&lt;=LTP!$B$5)*Calc!$K$3:$K$22*(Calc!$G$3:$G$22&lt;=A283))</f>
        <v/>
      </c>
      <c r="C283">
        <f>AND(B283&gt;=2,$B$11-B283&gt;=2)</f>
        <v/>
      </c>
      <c r="D283">
        <f>SUMPRODUCT((Calc!$F$3:$F$22&lt;=LTP!$B$5)*Calc!$K$3:$K$22*(Calc!$G$3:$G$22&gt;A283)*(Calc!$G$3:$G$22-A283))</f>
        <v/>
      </c>
      <c r="E283">
        <f>SUMPRODUCT((Calc!$F$3:$F$22&lt;=LTP!$B$5)*Calc!$K$3:$K$22*(Calc!$G$3:$G$22&gt;A283)*(Calc!$G$3:$G$22-A283)^2)</f>
        <v/>
      </c>
      <c r="F283">
        <f>SUMPRODUCT((Calc!$F$3:$F$22&lt;=LTP!$B$5)*Calc!$K$3:$K$22*(Calc!$G$3:$G$22&gt;A283)*(Calc!$G$3:$G$22-A283)*Calc!$G$3:$G$22)</f>
        <v/>
      </c>
      <c r="G283">
        <f>SUMPRODUCT((Calc!$F$3:$F$22&lt;=LTP!$B$5)*Calc!$K$3:$K$22*(Calc!$G$3:$G$22&gt;A283)*(Calc!$G$3:$G$22-A283)*Calc!$I$3:$I$22)</f>
        <v/>
      </c>
      <c r="H283">
        <f>IF($B$11&gt;0,F283-$C$11*D283/$B$11,0)</f>
        <v/>
      </c>
      <c r="I283">
        <f>IF($B$11&gt;0,E283-D283^2/$B$11,0)</f>
        <v/>
      </c>
      <c r="J283">
        <f>IF($B$11&gt;0,G283-D283*$D$11/$B$11,0)</f>
        <v/>
      </c>
      <c r="K283">
        <f>$H$11*I283-H283^2</f>
        <v/>
      </c>
      <c r="L283">
        <f>IF(ABS(K283)&gt;1E-12,($H$11*J283-H283*$I$11)/K283,0)</f>
        <v/>
      </c>
      <c r="M283">
        <f>IF(ABS(K283)&gt;1E-12,(I283*$I$11-H283*J283)/K283,0)</f>
        <v/>
      </c>
      <c r="N283">
        <f>$J$11-M283*$I$11-L283*J283</f>
        <v/>
      </c>
      <c r="O283">
        <f>IF(AND(C283,ABS(K283)&gt;1E-12,L283&gt;0),N283,1E+300)</f>
        <v/>
      </c>
    </row>
    <row r="284">
      <c r="A284">
        <f>$K$11+($L$11-$K$11)*270/400</f>
        <v/>
      </c>
      <c r="B284">
        <f>SUMPRODUCT((Calc!$F$3:$F$22&lt;=LTP!$B$5)*Calc!$K$3:$K$22*(Calc!$G$3:$G$22&lt;=A284))</f>
        <v/>
      </c>
      <c r="C284">
        <f>AND(B284&gt;=2,$B$11-B284&gt;=2)</f>
        <v/>
      </c>
      <c r="D284">
        <f>SUMPRODUCT((Calc!$F$3:$F$22&lt;=LTP!$B$5)*Calc!$K$3:$K$22*(Calc!$G$3:$G$22&gt;A284)*(Calc!$G$3:$G$22-A284))</f>
        <v/>
      </c>
      <c r="E284">
        <f>SUMPRODUCT((Calc!$F$3:$F$22&lt;=LTP!$B$5)*Calc!$K$3:$K$22*(Calc!$G$3:$G$22&gt;A284)*(Calc!$G$3:$G$22-A284)^2)</f>
        <v/>
      </c>
      <c r="F284">
        <f>SUMPRODUCT((Calc!$F$3:$F$22&lt;=LTP!$B$5)*Calc!$K$3:$K$22*(Calc!$G$3:$G$22&gt;A284)*(Calc!$G$3:$G$22-A284)*Calc!$G$3:$G$22)</f>
        <v/>
      </c>
      <c r="G284">
        <f>SUMPRODUCT((Calc!$F$3:$F$22&lt;=LTP!$B$5)*Calc!$K$3:$K$22*(Calc!$G$3:$G$22&gt;A284)*(Calc!$G$3:$G$22-A284)*Calc!$I$3:$I$22)</f>
        <v/>
      </c>
      <c r="H284">
        <f>IF($B$11&gt;0,F284-$C$11*D284/$B$11,0)</f>
        <v/>
      </c>
      <c r="I284">
        <f>IF($B$11&gt;0,E284-D284^2/$B$11,0)</f>
        <v/>
      </c>
      <c r="J284">
        <f>IF($B$11&gt;0,G284-D284*$D$11/$B$11,0)</f>
        <v/>
      </c>
      <c r="K284">
        <f>$H$11*I284-H284^2</f>
        <v/>
      </c>
      <c r="L284">
        <f>IF(ABS(K284)&gt;1E-12,($H$11*J284-H284*$I$11)/K284,0)</f>
        <v/>
      </c>
      <c r="M284">
        <f>IF(ABS(K284)&gt;1E-12,(I284*$I$11-H284*J284)/K284,0)</f>
        <v/>
      </c>
      <c r="N284">
        <f>$J$11-M284*$I$11-L284*J284</f>
        <v/>
      </c>
      <c r="O284">
        <f>IF(AND(C284,ABS(K284)&gt;1E-12,L284&gt;0),N284,1E+300)</f>
        <v/>
      </c>
    </row>
    <row r="285">
      <c r="A285">
        <f>$K$11+($L$11-$K$11)*271/400</f>
        <v/>
      </c>
      <c r="B285">
        <f>SUMPRODUCT((Calc!$F$3:$F$22&lt;=LTP!$B$5)*Calc!$K$3:$K$22*(Calc!$G$3:$G$22&lt;=A285))</f>
        <v/>
      </c>
      <c r="C285">
        <f>AND(B285&gt;=2,$B$11-B285&gt;=2)</f>
        <v/>
      </c>
      <c r="D285">
        <f>SUMPRODUCT((Calc!$F$3:$F$22&lt;=LTP!$B$5)*Calc!$K$3:$K$22*(Calc!$G$3:$G$22&gt;A285)*(Calc!$G$3:$G$22-A285))</f>
        <v/>
      </c>
      <c r="E285">
        <f>SUMPRODUCT((Calc!$F$3:$F$22&lt;=LTP!$B$5)*Calc!$K$3:$K$22*(Calc!$G$3:$G$22&gt;A285)*(Calc!$G$3:$G$22-A285)^2)</f>
        <v/>
      </c>
      <c r="F285">
        <f>SUMPRODUCT((Calc!$F$3:$F$22&lt;=LTP!$B$5)*Calc!$K$3:$K$22*(Calc!$G$3:$G$22&gt;A285)*(Calc!$G$3:$G$22-A285)*Calc!$G$3:$G$22)</f>
        <v/>
      </c>
      <c r="G285">
        <f>SUMPRODUCT((Calc!$F$3:$F$22&lt;=LTP!$B$5)*Calc!$K$3:$K$22*(Calc!$G$3:$G$22&gt;A285)*(Calc!$G$3:$G$22-A285)*Calc!$I$3:$I$22)</f>
        <v/>
      </c>
      <c r="H285">
        <f>IF($B$11&gt;0,F285-$C$11*D285/$B$11,0)</f>
        <v/>
      </c>
      <c r="I285">
        <f>IF($B$11&gt;0,E285-D285^2/$B$11,0)</f>
        <v/>
      </c>
      <c r="J285">
        <f>IF($B$11&gt;0,G285-D285*$D$11/$B$11,0)</f>
        <v/>
      </c>
      <c r="K285">
        <f>$H$11*I285-H285^2</f>
        <v/>
      </c>
      <c r="L285">
        <f>IF(ABS(K285)&gt;1E-12,($H$11*J285-H285*$I$11)/K285,0)</f>
        <v/>
      </c>
      <c r="M285">
        <f>IF(ABS(K285)&gt;1E-12,(I285*$I$11-H285*J285)/K285,0)</f>
        <v/>
      </c>
      <c r="N285">
        <f>$J$11-M285*$I$11-L285*J285</f>
        <v/>
      </c>
      <c r="O285">
        <f>IF(AND(C285,ABS(K285)&gt;1E-12,L285&gt;0),N285,1E+300)</f>
        <v/>
      </c>
    </row>
    <row r="286">
      <c r="A286">
        <f>$K$11+($L$11-$K$11)*272/400</f>
        <v/>
      </c>
      <c r="B286">
        <f>SUMPRODUCT((Calc!$F$3:$F$22&lt;=LTP!$B$5)*Calc!$K$3:$K$22*(Calc!$G$3:$G$22&lt;=A286))</f>
        <v/>
      </c>
      <c r="C286">
        <f>AND(B286&gt;=2,$B$11-B286&gt;=2)</f>
        <v/>
      </c>
      <c r="D286">
        <f>SUMPRODUCT((Calc!$F$3:$F$22&lt;=LTP!$B$5)*Calc!$K$3:$K$22*(Calc!$G$3:$G$22&gt;A286)*(Calc!$G$3:$G$22-A286))</f>
        <v/>
      </c>
      <c r="E286">
        <f>SUMPRODUCT((Calc!$F$3:$F$22&lt;=LTP!$B$5)*Calc!$K$3:$K$22*(Calc!$G$3:$G$22&gt;A286)*(Calc!$G$3:$G$22-A286)^2)</f>
        <v/>
      </c>
      <c r="F286">
        <f>SUMPRODUCT((Calc!$F$3:$F$22&lt;=LTP!$B$5)*Calc!$K$3:$K$22*(Calc!$G$3:$G$22&gt;A286)*(Calc!$G$3:$G$22-A286)*Calc!$G$3:$G$22)</f>
        <v/>
      </c>
      <c r="G286">
        <f>SUMPRODUCT((Calc!$F$3:$F$22&lt;=LTP!$B$5)*Calc!$K$3:$K$22*(Calc!$G$3:$G$22&gt;A286)*(Calc!$G$3:$G$22-A286)*Calc!$I$3:$I$22)</f>
        <v/>
      </c>
      <c r="H286">
        <f>IF($B$11&gt;0,F286-$C$11*D286/$B$11,0)</f>
        <v/>
      </c>
      <c r="I286">
        <f>IF($B$11&gt;0,E286-D286^2/$B$11,0)</f>
        <v/>
      </c>
      <c r="J286">
        <f>IF($B$11&gt;0,G286-D286*$D$11/$B$11,0)</f>
        <v/>
      </c>
      <c r="K286">
        <f>$H$11*I286-H286^2</f>
        <v/>
      </c>
      <c r="L286">
        <f>IF(ABS(K286)&gt;1E-12,($H$11*J286-H286*$I$11)/K286,0)</f>
        <v/>
      </c>
      <c r="M286">
        <f>IF(ABS(K286)&gt;1E-12,(I286*$I$11-H286*J286)/K286,0)</f>
        <v/>
      </c>
      <c r="N286">
        <f>$J$11-M286*$I$11-L286*J286</f>
        <v/>
      </c>
      <c r="O286">
        <f>IF(AND(C286,ABS(K286)&gt;1E-12,L286&gt;0),N286,1E+300)</f>
        <v/>
      </c>
    </row>
    <row r="287">
      <c r="A287">
        <f>$K$11+($L$11-$K$11)*273/400</f>
        <v/>
      </c>
      <c r="B287">
        <f>SUMPRODUCT((Calc!$F$3:$F$22&lt;=LTP!$B$5)*Calc!$K$3:$K$22*(Calc!$G$3:$G$22&lt;=A287))</f>
        <v/>
      </c>
      <c r="C287">
        <f>AND(B287&gt;=2,$B$11-B287&gt;=2)</f>
        <v/>
      </c>
      <c r="D287">
        <f>SUMPRODUCT((Calc!$F$3:$F$22&lt;=LTP!$B$5)*Calc!$K$3:$K$22*(Calc!$G$3:$G$22&gt;A287)*(Calc!$G$3:$G$22-A287))</f>
        <v/>
      </c>
      <c r="E287">
        <f>SUMPRODUCT((Calc!$F$3:$F$22&lt;=LTP!$B$5)*Calc!$K$3:$K$22*(Calc!$G$3:$G$22&gt;A287)*(Calc!$G$3:$G$22-A287)^2)</f>
        <v/>
      </c>
      <c r="F287">
        <f>SUMPRODUCT((Calc!$F$3:$F$22&lt;=LTP!$B$5)*Calc!$K$3:$K$22*(Calc!$G$3:$G$22&gt;A287)*(Calc!$G$3:$G$22-A287)*Calc!$G$3:$G$22)</f>
        <v/>
      </c>
      <c r="G287">
        <f>SUMPRODUCT((Calc!$F$3:$F$22&lt;=LTP!$B$5)*Calc!$K$3:$K$22*(Calc!$G$3:$G$22&gt;A287)*(Calc!$G$3:$G$22-A287)*Calc!$I$3:$I$22)</f>
        <v/>
      </c>
      <c r="H287">
        <f>IF($B$11&gt;0,F287-$C$11*D287/$B$11,0)</f>
        <v/>
      </c>
      <c r="I287">
        <f>IF($B$11&gt;0,E287-D287^2/$B$11,0)</f>
        <v/>
      </c>
      <c r="J287">
        <f>IF($B$11&gt;0,G287-D287*$D$11/$B$11,0)</f>
        <v/>
      </c>
      <c r="K287">
        <f>$H$11*I287-H287^2</f>
        <v/>
      </c>
      <c r="L287">
        <f>IF(ABS(K287)&gt;1E-12,($H$11*J287-H287*$I$11)/K287,0)</f>
        <v/>
      </c>
      <c r="M287">
        <f>IF(ABS(K287)&gt;1E-12,(I287*$I$11-H287*J287)/K287,0)</f>
        <v/>
      </c>
      <c r="N287">
        <f>$J$11-M287*$I$11-L287*J287</f>
        <v/>
      </c>
      <c r="O287">
        <f>IF(AND(C287,ABS(K287)&gt;1E-12,L287&gt;0),N287,1E+300)</f>
        <v/>
      </c>
    </row>
    <row r="288">
      <c r="A288">
        <f>$K$11+($L$11-$K$11)*274/400</f>
        <v/>
      </c>
      <c r="B288">
        <f>SUMPRODUCT((Calc!$F$3:$F$22&lt;=LTP!$B$5)*Calc!$K$3:$K$22*(Calc!$G$3:$G$22&lt;=A288))</f>
        <v/>
      </c>
      <c r="C288">
        <f>AND(B288&gt;=2,$B$11-B288&gt;=2)</f>
        <v/>
      </c>
      <c r="D288">
        <f>SUMPRODUCT((Calc!$F$3:$F$22&lt;=LTP!$B$5)*Calc!$K$3:$K$22*(Calc!$G$3:$G$22&gt;A288)*(Calc!$G$3:$G$22-A288))</f>
        <v/>
      </c>
      <c r="E288">
        <f>SUMPRODUCT((Calc!$F$3:$F$22&lt;=LTP!$B$5)*Calc!$K$3:$K$22*(Calc!$G$3:$G$22&gt;A288)*(Calc!$G$3:$G$22-A288)^2)</f>
        <v/>
      </c>
      <c r="F288">
        <f>SUMPRODUCT((Calc!$F$3:$F$22&lt;=LTP!$B$5)*Calc!$K$3:$K$22*(Calc!$G$3:$G$22&gt;A288)*(Calc!$G$3:$G$22-A288)*Calc!$G$3:$G$22)</f>
        <v/>
      </c>
      <c r="G288">
        <f>SUMPRODUCT((Calc!$F$3:$F$22&lt;=LTP!$B$5)*Calc!$K$3:$K$22*(Calc!$G$3:$G$22&gt;A288)*(Calc!$G$3:$G$22-A288)*Calc!$I$3:$I$22)</f>
        <v/>
      </c>
      <c r="H288">
        <f>IF($B$11&gt;0,F288-$C$11*D288/$B$11,0)</f>
        <v/>
      </c>
      <c r="I288">
        <f>IF($B$11&gt;0,E288-D288^2/$B$11,0)</f>
        <v/>
      </c>
      <c r="J288">
        <f>IF($B$11&gt;0,G288-D288*$D$11/$B$11,0)</f>
        <v/>
      </c>
      <c r="K288">
        <f>$H$11*I288-H288^2</f>
        <v/>
      </c>
      <c r="L288">
        <f>IF(ABS(K288)&gt;1E-12,($H$11*J288-H288*$I$11)/K288,0)</f>
        <v/>
      </c>
      <c r="M288">
        <f>IF(ABS(K288)&gt;1E-12,(I288*$I$11-H288*J288)/K288,0)</f>
        <v/>
      </c>
      <c r="N288">
        <f>$J$11-M288*$I$11-L288*J288</f>
        <v/>
      </c>
      <c r="O288">
        <f>IF(AND(C288,ABS(K288)&gt;1E-12,L288&gt;0),N288,1E+300)</f>
        <v/>
      </c>
    </row>
    <row r="289">
      <c r="A289">
        <f>$K$11+($L$11-$K$11)*275/400</f>
        <v/>
      </c>
      <c r="B289">
        <f>SUMPRODUCT((Calc!$F$3:$F$22&lt;=LTP!$B$5)*Calc!$K$3:$K$22*(Calc!$G$3:$G$22&lt;=A289))</f>
        <v/>
      </c>
      <c r="C289">
        <f>AND(B289&gt;=2,$B$11-B289&gt;=2)</f>
        <v/>
      </c>
      <c r="D289">
        <f>SUMPRODUCT((Calc!$F$3:$F$22&lt;=LTP!$B$5)*Calc!$K$3:$K$22*(Calc!$G$3:$G$22&gt;A289)*(Calc!$G$3:$G$22-A289))</f>
        <v/>
      </c>
      <c r="E289">
        <f>SUMPRODUCT((Calc!$F$3:$F$22&lt;=LTP!$B$5)*Calc!$K$3:$K$22*(Calc!$G$3:$G$22&gt;A289)*(Calc!$G$3:$G$22-A289)^2)</f>
        <v/>
      </c>
      <c r="F289">
        <f>SUMPRODUCT((Calc!$F$3:$F$22&lt;=LTP!$B$5)*Calc!$K$3:$K$22*(Calc!$G$3:$G$22&gt;A289)*(Calc!$G$3:$G$22-A289)*Calc!$G$3:$G$22)</f>
        <v/>
      </c>
      <c r="G289">
        <f>SUMPRODUCT((Calc!$F$3:$F$22&lt;=LTP!$B$5)*Calc!$K$3:$K$22*(Calc!$G$3:$G$22&gt;A289)*(Calc!$G$3:$G$22-A289)*Calc!$I$3:$I$22)</f>
        <v/>
      </c>
      <c r="H289">
        <f>IF($B$11&gt;0,F289-$C$11*D289/$B$11,0)</f>
        <v/>
      </c>
      <c r="I289">
        <f>IF($B$11&gt;0,E289-D289^2/$B$11,0)</f>
        <v/>
      </c>
      <c r="J289">
        <f>IF($B$11&gt;0,G289-D289*$D$11/$B$11,0)</f>
        <v/>
      </c>
      <c r="K289">
        <f>$H$11*I289-H289^2</f>
        <v/>
      </c>
      <c r="L289">
        <f>IF(ABS(K289)&gt;1E-12,($H$11*J289-H289*$I$11)/K289,0)</f>
        <v/>
      </c>
      <c r="M289">
        <f>IF(ABS(K289)&gt;1E-12,(I289*$I$11-H289*J289)/K289,0)</f>
        <v/>
      </c>
      <c r="N289">
        <f>$J$11-M289*$I$11-L289*J289</f>
        <v/>
      </c>
      <c r="O289">
        <f>IF(AND(C289,ABS(K289)&gt;1E-12,L289&gt;0),N289,1E+300)</f>
        <v/>
      </c>
    </row>
    <row r="290">
      <c r="A290">
        <f>$K$11+($L$11-$K$11)*276/400</f>
        <v/>
      </c>
      <c r="B290">
        <f>SUMPRODUCT((Calc!$F$3:$F$22&lt;=LTP!$B$5)*Calc!$K$3:$K$22*(Calc!$G$3:$G$22&lt;=A290))</f>
        <v/>
      </c>
      <c r="C290">
        <f>AND(B290&gt;=2,$B$11-B290&gt;=2)</f>
        <v/>
      </c>
      <c r="D290">
        <f>SUMPRODUCT((Calc!$F$3:$F$22&lt;=LTP!$B$5)*Calc!$K$3:$K$22*(Calc!$G$3:$G$22&gt;A290)*(Calc!$G$3:$G$22-A290))</f>
        <v/>
      </c>
      <c r="E290">
        <f>SUMPRODUCT((Calc!$F$3:$F$22&lt;=LTP!$B$5)*Calc!$K$3:$K$22*(Calc!$G$3:$G$22&gt;A290)*(Calc!$G$3:$G$22-A290)^2)</f>
        <v/>
      </c>
      <c r="F290">
        <f>SUMPRODUCT((Calc!$F$3:$F$22&lt;=LTP!$B$5)*Calc!$K$3:$K$22*(Calc!$G$3:$G$22&gt;A290)*(Calc!$G$3:$G$22-A290)*Calc!$G$3:$G$22)</f>
        <v/>
      </c>
      <c r="G290">
        <f>SUMPRODUCT((Calc!$F$3:$F$22&lt;=LTP!$B$5)*Calc!$K$3:$K$22*(Calc!$G$3:$G$22&gt;A290)*(Calc!$G$3:$G$22-A290)*Calc!$I$3:$I$22)</f>
        <v/>
      </c>
      <c r="H290">
        <f>IF($B$11&gt;0,F290-$C$11*D290/$B$11,0)</f>
        <v/>
      </c>
      <c r="I290">
        <f>IF($B$11&gt;0,E290-D290^2/$B$11,0)</f>
        <v/>
      </c>
      <c r="J290">
        <f>IF($B$11&gt;0,G290-D290*$D$11/$B$11,0)</f>
        <v/>
      </c>
      <c r="K290">
        <f>$H$11*I290-H290^2</f>
        <v/>
      </c>
      <c r="L290">
        <f>IF(ABS(K290)&gt;1E-12,($H$11*J290-H290*$I$11)/K290,0)</f>
        <v/>
      </c>
      <c r="M290">
        <f>IF(ABS(K290)&gt;1E-12,(I290*$I$11-H290*J290)/K290,0)</f>
        <v/>
      </c>
      <c r="N290">
        <f>$J$11-M290*$I$11-L290*J290</f>
        <v/>
      </c>
      <c r="O290">
        <f>IF(AND(C290,ABS(K290)&gt;1E-12,L290&gt;0),N290,1E+300)</f>
        <v/>
      </c>
    </row>
    <row r="291">
      <c r="A291">
        <f>$K$11+($L$11-$K$11)*277/400</f>
        <v/>
      </c>
      <c r="B291">
        <f>SUMPRODUCT((Calc!$F$3:$F$22&lt;=LTP!$B$5)*Calc!$K$3:$K$22*(Calc!$G$3:$G$22&lt;=A291))</f>
        <v/>
      </c>
      <c r="C291">
        <f>AND(B291&gt;=2,$B$11-B291&gt;=2)</f>
        <v/>
      </c>
      <c r="D291">
        <f>SUMPRODUCT((Calc!$F$3:$F$22&lt;=LTP!$B$5)*Calc!$K$3:$K$22*(Calc!$G$3:$G$22&gt;A291)*(Calc!$G$3:$G$22-A291))</f>
        <v/>
      </c>
      <c r="E291">
        <f>SUMPRODUCT((Calc!$F$3:$F$22&lt;=LTP!$B$5)*Calc!$K$3:$K$22*(Calc!$G$3:$G$22&gt;A291)*(Calc!$G$3:$G$22-A291)^2)</f>
        <v/>
      </c>
      <c r="F291">
        <f>SUMPRODUCT((Calc!$F$3:$F$22&lt;=LTP!$B$5)*Calc!$K$3:$K$22*(Calc!$G$3:$G$22&gt;A291)*(Calc!$G$3:$G$22-A291)*Calc!$G$3:$G$22)</f>
        <v/>
      </c>
      <c r="G291">
        <f>SUMPRODUCT((Calc!$F$3:$F$22&lt;=LTP!$B$5)*Calc!$K$3:$K$22*(Calc!$G$3:$G$22&gt;A291)*(Calc!$G$3:$G$22-A291)*Calc!$I$3:$I$22)</f>
        <v/>
      </c>
      <c r="H291">
        <f>IF($B$11&gt;0,F291-$C$11*D291/$B$11,0)</f>
        <v/>
      </c>
      <c r="I291">
        <f>IF($B$11&gt;0,E291-D291^2/$B$11,0)</f>
        <v/>
      </c>
      <c r="J291">
        <f>IF($B$11&gt;0,G291-D291*$D$11/$B$11,0)</f>
        <v/>
      </c>
      <c r="K291">
        <f>$H$11*I291-H291^2</f>
        <v/>
      </c>
      <c r="L291">
        <f>IF(ABS(K291)&gt;1E-12,($H$11*J291-H291*$I$11)/K291,0)</f>
        <v/>
      </c>
      <c r="M291">
        <f>IF(ABS(K291)&gt;1E-12,(I291*$I$11-H291*J291)/K291,0)</f>
        <v/>
      </c>
      <c r="N291">
        <f>$J$11-M291*$I$11-L291*J291</f>
        <v/>
      </c>
      <c r="O291">
        <f>IF(AND(C291,ABS(K291)&gt;1E-12,L291&gt;0),N291,1E+300)</f>
        <v/>
      </c>
    </row>
    <row r="292">
      <c r="A292">
        <f>$K$11+($L$11-$K$11)*278/400</f>
        <v/>
      </c>
      <c r="B292">
        <f>SUMPRODUCT((Calc!$F$3:$F$22&lt;=LTP!$B$5)*Calc!$K$3:$K$22*(Calc!$G$3:$G$22&lt;=A292))</f>
        <v/>
      </c>
      <c r="C292">
        <f>AND(B292&gt;=2,$B$11-B292&gt;=2)</f>
        <v/>
      </c>
      <c r="D292">
        <f>SUMPRODUCT((Calc!$F$3:$F$22&lt;=LTP!$B$5)*Calc!$K$3:$K$22*(Calc!$G$3:$G$22&gt;A292)*(Calc!$G$3:$G$22-A292))</f>
        <v/>
      </c>
      <c r="E292">
        <f>SUMPRODUCT((Calc!$F$3:$F$22&lt;=LTP!$B$5)*Calc!$K$3:$K$22*(Calc!$G$3:$G$22&gt;A292)*(Calc!$G$3:$G$22-A292)^2)</f>
        <v/>
      </c>
      <c r="F292">
        <f>SUMPRODUCT((Calc!$F$3:$F$22&lt;=LTP!$B$5)*Calc!$K$3:$K$22*(Calc!$G$3:$G$22&gt;A292)*(Calc!$G$3:$G$22-A292)*Calc!$G$3:$G$22)</f>
        <v/>
      </c>
      <c r="G292">
        <f>SUMPRODUCT((Calc!$F$3:$F$22&lt;=LTP!$B$5)*Calc!$K$3:$K$22*(Calc!$G$3:$G$22&gt;A292)*(Calc!$G$3:$G$22-A292)*Calc!$I$3:$I$22)</f>
        <v/>
      </c>
      <c r="H292">
        <f>IF($B$11&gt;0,F292-$C$11*D292/$B$11,0)</f>
        <v/>
      </c>
      <c r="I292">
        <f>IF($B$11&gt;0,E292-D292^2/$B$11,0)</f>
        <v/>
      </c>
      <c r="J292">
        <f>IF($B$11&gt;0,G292-D292*$D$11/$B$11,0)</f>
        <v/>
      </c>
      <c r="K292">
        <f>$H$11*I292-H292^2</f>
        <v/>
      </c>
      <c r="L292">
        <f>IF(ABS(K292)&gt;1E-12,($H$11*J292-H292*$I$11)/K292,0)</f>
        <v/>
      </c>
      <c r="M292">
        <f>IF(ABS(K292)&gt;1E-12,(I292*$I$11-H292*J292)/K292,0)</f>
        <v/>
      </c>
      <c r="N292">
        <f>$J$11-M292*$I$11-L292*J292</f>
        <v/>
      </c>
      <c r="O292">
        <f>IF(AND(C292,ABS(K292)&gt;1E-12,L292&gt;0),N292,1E+300)</f>
        <v/>
      </c>
    </row>
    <row r="293">
      <c r="A293">
        <f>$K$11+($L$11-$K$11)*279/400</f>
        <v/>
      </c>
      <c r="B293">
        <f>SUMPRODUCT((Calc!$F$3:$F$22&lt;=LTP!$B$5)*Calc!$K$3:$K$22*(Calc!$G$3:$G$22&lt;=A293))</f>
        <v/>
      </c>
      <c r="C293">
        <f>AND(B293&gt;=2,$B$11-B293&gt;=2)</f>
        <v/>
      </c>
      <c r="D293">
        <f>SUMPRODUCT((Calc!$F$3:$F$22&lt;=LTP!$B$5)*Calc!$K$3:$K$22*(Calc!$G$3:$G$22&gt;A293)*(Calc!$G$3:$G$22-A293))</f>
        <v/>
      </c>
      <c r="E293">
        <f>SUMPRODUCT((Calc!$F$3:$F$22&lt;=LTP!$B$5)*Calc!$K$3:$K$22*(Calc!$G$3:$G$22&gt;A293)*(Calc!$G$3:$G$22-A293)^2)</f>
        <v/>
      </c>
      <c r="F293">
        <f>SUMPRODUCT((Calc!$F$3:$F$22&lt;=LTP!$B$5)*Calc!$K$3:$K$22*(Calc!$G$3:$G$22&gt;A293)*(Calc!$G$3:$G$22-A293)*Calc!$G$3:$G$22)</f>
        <v/>
      </c>
      <c r="G293">
        <f>SUMPRODUCT((Calc!$F$3:$F$22&lt;=LTP!$B$5)*Calc!$K$3:$K$22*(Calc!$G$3:$G$22&gt;A293)*(Calc!$G$3:$G$22-A293)*Calc!$I$3:$I$22)</f>
        <v/>
      </c>
      <c r="H293">
        <f>IF($B$11&gt;0,F293-$C$11*D293/$B$11,0)</f>
        <v/>
      </c>
      <c r="I293">
        <f>IF($B$11&gt;0,E293-D293^2/$B$11,0)</f>
        <v/>
      </c>
      <c r="J293">
        <f>IF($B$11&gt;0,G293-D293*$D$11/$B$11,0)</f>
        <v/>
      </c>
      <c r="K293">
        <f>$H$11*I293-H293^2</f>
        <v/>
      </c>
      <c r="L293">
        <f>IF(ABS(K293)&gt;1E-12,($H$11*J293-H293*$I$11)/K293,0)</f>
        <v/>
      </c>
      <c r="M293">
        <f>IF(ABS(K293)&gt;1E-12,(I293*$I$11-H293*J293)/K293,0)</f>
        <v/>
      </c>
      <c r="N293">
        <f>$J$11-M293*$I$11-L293*J293</f>
        <v/>
      </c>
      <c r="O293">
        <f>IF(AND(C293,ABS(K293)&gt;1E-12,L293&gt;0),N293,1E+300)</f>
        <v/>
      </c>
    </row>
    <row r="294">
      <c r="A294">
        <f>$K$11+($L$11-$K$11)*280/400</f>
        <v/>
      </c>
      <c r="B294">
        <f>SUMPRODUCT((Calc!$F$3:$F$22&lt;=LTP!$B$5)*Calc!$K$3:$K$22*(Calc!$G$3:$G$22&lt;=A294))</f>
        <v/>
      </c>
      <c r="C294">
        <f>AND(B294&gt;=2,$B$11-B294&gt;=2)</f>
        <v/>
      </c>
      <c r="D294">
        <f>SUMPRODUCT((Calc!$F$3:$F$22&lt;=LTP!$B$5)*Calc!$K$3:$K$22*(Calc!$G$3:$G$22&gt;A294)*(Calc!$G$3:$G$22-A294))</f>
        <v/>
      </c>
      <c r="E294">
        <f>SUMPRODUCT((Calc!$F$3:$F$22&lt;=LTP!$B$5)*Calc!$K$3:$K$22*(Calc!$G$3:$G$22&gt;A294)*(Calc!$G$3:$G$22-A294)^2)</f>
        <v/>
      </c>
      <c r="F294">
        <f>SUMPRODUCT((Calc!$F$3:$F$22&lt;=LTP!$B$5)*Calc!$K$3:$K$22*(Calc!$G$3:$G$22&gt;A294)*(Calc!$G$3:$G$22-A294)*Calc!$G$3:$G$22)</f>
        <v/>
      </c>
      <c r="G294">
        <f>SUMPRODUCT((Calc!$F$3:$F$22&lt;=LTP!$B$5)*Calc!$K$3:$K$22*(Calc!$G$3:$G$22&gt;A294)*(Calc!$G$3:$G$22-A294)*Calc!$I$3:$I$22)</f>
        <v/>
      </c>
      <c r="H294">
        <f>IF($B$11&gt;0,F294-$C$11*D294/$B$11,0)</f>
        <v/>
      </c>
      <c r="I294">
        <f>IF($B$11&gt;0,E294-D294^2/$B$11,0)</f>
        <v/>
      </c>
      <c r="J294">
        <f>IF($B$11&gt;0,G294-D294*$D$11/$B$11,0)</f>
        <v/>
      </c>
      <c r="K294">
        <f>$H$11*I294-H294^2</f>
        <v/>
      </c>
      <c r="L294">
        <f>IF(ABS(K294)&gt;1E-12,($H$11*J294-H294*$I$11)/K294,0)</f>
        <v/>
      </c>
      <c r="M294">
        <f>IF(ABS(K294)&gt;1E-12,(I294*$I$11-H294*J294)/K294,0)</f>
        <v/>
      </c>
      <c r="N294">
        <f>$J$11-M294*$I$11-L294*J294</f>
        <v/>
      </c>
      <c r="O294">
        <f>IF(AND(C294,ABS(K294)&gt;1E-12,L294&gt;0),N294,1E+300)</f>
        <v/>
      </c>
    </row>
    <row r="295">
      <c r="A295">
        <f>$K$11+($L$11-$K$11)*281/400</f>
        <v/>
      </c>
      <c r="B295">
        <f>SUMPRODUCT((Calc!$F$3:$F$22&lt;=LTP!$B$5)*Calc!$K$3:$K$22*(Calc!$G$3:$G$22&lt;=A295))</f>
        <v/>
      </c>
      <c r="C295">
        <f>AND(B295&gt;=2,$B$11-B295&gt;=2)</f>
        <v/>
      </c>
      <c r="D295">
        <f>SUMPRODUCT((Calc!$F$3:$F$22&lt;=LTP!$B$5)*Calc!$K$3:$K$22*(Calc!$G$3:$G$22&gt;A295)*(Calc!$G$3:$G$22-A295))</f>
        <v/>
      </c>
      <c r="E295">
        <f>SUMPRODUCT((Calc!$F$3:$F$22&lt;=LTP!$B$5)*Calc!$K$3:$K$22*(Calc!$G$3:$G$22&gt;A295)*(Calc!$G$3:$G$22-A295)^2)</f>
        <v/>
      </c>
      <c r="F295">
        <f>SUMPRODUCT((Calc!$F$3:$F$22&lt;=LTP!$B$5)*Calc!$K$3:$K$22*(Calc!$G$3:$G$22&gt;A295)*(Calc!$G$3:$G$22-A295)*Calc!$G$3:$G$22)</f>
        <v/>
      </c>
      <c r="G295">
        <f>SUMPRODUCT((Calc!$F$3:$F$22&lt;=LTP!$B$5)*Calc!$K$3:$K$22*(Calc!$G$3:$G$22&gt;A295)*(Calc!$G$3:$G$22-A295)*Calc!$I$3:$I$22)</f>
        <v/>
      </c>
      <c r="H295">
        <f>IF($B$11&gt;0,F295-$C$11*D295/$B$11,0)</f>
        <v/>
      </c>
      <c r="I295">
        <f>IF($B$11&gt;0,E295-D295^2/$B$11,0)</f>
        <v/>
      </c>
      <c r="J295">
        <f>IF($B$11&gt;0,G295-D295*$D$11/$B$11,0)</f>
        <v/>
      </c>
      <c r="K295">
        <f>$H$11*I295-H295^2</f>
        <v/>
      </c>
      <c r="L295">
        <f>IF(ABS(K295)&gt;1E-12,($H$11*J295-H295*$I$11)/K295,0)</f>
        <v/>
      </c>
      <c r="M295">
        <f>IF(ABS(K295)&gt;1E-12,(I295*$I$11-H295*J295)/K295,0)</f>
        <v/>
      </c>
      <c r="N295">
        <f>$J$11-M295*$I$11-L295*J295</f>
        <v/>
      </c>
      <c r="O295">
        <f>IF(AND(C295,ABS(K295)&gt;1E-12,L295&gt;0),N295,1E+300)</f>
        <v/>
      </c>
    </row>
    <row r="296">
      <c r="A296">
        <f>$K$11+($L$11-$K$11)*282/400</f>
        <v/>
      </c>
      <c r="B296">
        <f>SUMPRODUCT((Calc!$F$3:$F$22&lt;=LTP!$B$5)*Calc!$K$3:$K$22*(Calc!$G$3:$G$22&lt;=A296))</f>
        <v/>
      </c>
      <c r="C296">
        <f>AND(B296&gt;=2,$B$11-B296&gt;=2)</f>
        <v/>
      </c>
      <c r="D296">
        <f>SUMPRODUCT((Calc!$F$3:$F$22&lt;=LTP!$B$5)*Calc!$K$3:$K$22*(Calc!$G$3:$G$22&gt;A296)*(Calc!$G$3:$G$22-A296))</f>
        <v/>
      </c>
      <c r="E296">
        <f>SUMPRODUCT((Calc!$F$3:$F$22&lt;=LTP!$B$5)*Calc!$K$3:$K$22*(Calc!$G$3:$G$22&gt;A296)*(Calc!$G$3:$G$22-A296)^2)</f>
        <v/>
      </c>
      <c r="F296">
        <f>SUMPRODUCT((Calc!$F$3:$F$22&lt;=LTP!$B$5)*Calc!$K$3:$K$22*(Calc!$G$3:$G$22&gt;A296)*(Calc!$G$3:$G$22-A296)*Calc!$G$3:$G$22)</f>
        <v/>
      </c>
      <c r="G296">
        <f>SUMPRODUCT((Calc!$F$3:$F$22&lt;=LTP!$B$5)*Calc!$K$3:$K$22*(Calc!$G$3:$G$22&gt;A296)*(Calc!$G$3:$G$22-A296)*Calc!$I$3:$I$22)</f>
        <v/>
      </c>
      <c r="H296">
        <f>IF($B$11&gt;0,F296-$C$11*D296/$B$11,0)</f>
        <v/>
      </c>
      <c r="I296">
        <f>IF($B$11&gt;0,E296-D296^2/$B$11,0)</f>
        <v/>
      </c>
      <c r="J296">
        <f>IF($B$11&gt;0,G296-D296*$D$11/$B$11,0)</f>
        <v/>
      </c>
      <c r="K296">
        <f>$H$11*I296-H296^2</f>
        <v/>
      </c>
      <c r="L296">
        <f>IF(ABS(K296)&gt;1E-12,($H$11*J296-H296*$I$11)/K296,0)</f>
        <v/>
      </c>
      <c r="M296">
        <f>IF(ABS(K296)&gt;1E-12,(I296*$I$11-H296*J296)/K296,0)</f>
        <v/>
      </c>
      <c r="N296">
        <f>$J$11-M296*$I$11-L296*J296</f>
        <v/>
      </c>
      <c r="O296">
        <f>IF(AND(C296,ABS(K296)&gt;1E-12,L296&gt;0),N296,1E+300)</f>
        <v/>
      </c>
    </row>
    <row r="297">
      <c r="A297">
        <f>$K$11+($L$11-$K$11)*283/400</f>
        <v/>
      </c>
      <c r="B297">
        <f>SUMPRODUCT((Calc!$F$3:$F$22&lt;=LTP!$B$5)*Calc!$K$3:$K$22*(Calc!$G$3:$G$22&lt;=A297))</f>
        <v/>
      </c>
      <c r="C297">
        <f>AND(B297&gt;=2,$B$11-B297&gt;=2)</f>
        <v/>
      </c>
      <c r="D297">
        <f>SUMPRODUCT((Calc!$F$3:$F$22&lt;=LTP!$B$5)*Calc!$K$3:$K$22*(Calc!$G$3:$G$22&gt;A297)*(Calc!$G$3:$G$22-A297))</f>
        <v/>
      </c>
      <c r="E297">
        <f>SUMPRODUCT((Calc!$F$3:$F$22&lt;=LTP!$B$5)*Calc!$K$3:$K$22*(Calc!$G$3:$G$22&gt;A297)*(Calc!$G$3:$G$22-A297)^2)</f>
        <v/>
      </c>
      <c r="F297">
        <f>SUMPRODUCT((Calc!$F$3:$F$22&lt;=LTP!$B$5)*Calc!$K$3:$K$22*(Calc!$G$3:$G$22&gt;A297)*(Calc!$G$3:$G$22-A297)*Calc!$G$3:$G$22)</f>
        <v/>
      </c>
      <c r="G297">
        <f>SUMPRODUCT((Calc!$F$3:$F$22&lt;=LTP!$B$5)*Calc!$K$3:$K$22*(Calc!$G$3:$G$22&gt;A297)*(Calc!$G$3:$G$22-A297)*Calc!$I$3:$I$22)</f>
        <v/>
      </c>
      <c r="H297">
        <f>IF($B$11&gt;0,F297-$C$11*D297/$B$11,0)</f>
        <v/>
      </c>
      <c r="I297">
        <f>IF($B$11&gt;0,E297-D297^2/$B$11,0)</f>
        <v/>
      </c>
      <c r="J297">
        <f>IF($B$11&gt;0,G297-D297*$D$11/$B$11,0)</f>
        <v/>
      </c>
      <c r="K297">
        <f>$H$11*I297-H297^2</f>
        <v/>
      </c>
      <c r="L297">
        <f>IF(ABS(K297)&gt;1E-12,($H$11*J297-H297*$I$11)/K297,0)</f>
        <v/>
      </c>
      <c r="M297">
        <f>IF(ABS(K297)&gt;1E-12,(I297*$I$11-H297*J297)/K297,0)</f>
        <v/>
      </c>
      <c r="N297">
        <f>$J$11-M297*$I$11-L297*J297</f>
        <v/>
      </c>
      <c r="O297">
        <f>IF(AND(C297,ABS(K297)&gt;1E-12,L297&gt;0),N297,1E+300)</f>
        <v/>
      </c>
    </row>
    <row r="298">
      <c r="A298">
        <f>$K$11+($L$11-$K$11)*284/400</f>
        <v/>
      </c>
      <c r="B298">
        <f>SUMPRODUCT((Calc!$F$3:$F$22&lt;=LTP!$B$5)*Calc!$K$3:$K$22*(Calc!$G$3:$G$22&lt;=A298))</f>
        <v/>
      </c>
      <c r="C298">
        <f>AND(B298&gt;=2,$B$11-B298&gt;=2)</f>
        <v/>
      </c>
      <c r="D298">
        <f>SUMPRODUCT((Calc!$F$3:$F$22&lt;=LTP!$B$5)*Calc!$K$3:$K$22*(Calc!$G$3:$G$22&gt;A298)*(Calc!$G$3:$G$22-A298))</f>
        <v/>
      </c>
      <c r="E298">
        <f>SUMPRODUCT((Calc!$F$3:$F$22&lt;=LTP!$B$5)*Calc!$K$3:$K$22*(Calc!$G$3:$G$22&gt;A298)*(Calc!$G$3:$G$22-A298)^2)</f>
        <v/>
      </c>
      <c r="F298">
        <f>SUMPRODUCT((Calc!$F$3:$F$22&lt;=LTP!$B$5)*Calc!$K$3:$K$22*(Calc!$G$3:$G$22&gt;A298)*(Calc!$G$3:$G$22-A298)*Calc!$G$3:$G$22)</f>
        <v/>
      </c>
      <c r="G298">
        <f>SUMPRODUCT((Calc!$F$3:$F$22&lt;=LTP!$B$5)*Calc!$K$3:$K$22*(Calc!$G$3:$G$22&gt;A298)*(Calc!$G$3:$G$22-A298)*Calc!$I$3:$I$22)</f>
        <v/>
      </c>
      <c r="H298">
        <f>IF($B$11&gt;0,F298-$C$11*D298/$B$11,0)</f>
        <v/>
      </c>
      <c r="I298">
        <f>IF($B$11&gt;0,E298-D298^2/$B$11,0)</f>
        <v/>
      </c>
      <c r="J298">
        <f>IF($B$11&gt;0,G298-D298*$D$11/$B$11,0)</f>
        <v/>
      </c>
      <c r="K298">
        <f>$H$11*I298-H298^2</f>
        <v/>
      </c>
      <c r="L298">
        <f>IF(ABS(K298)&gt;1E-12,($H$11*J298-H298*$I$11)/K298,0)</f>
        <v/>
      </c>
      <c r="M298">
        <f>IF(ABS(K298)&gt;1E-12,(I298*$I$11-H298*J298)/K298,0)</f>
        <v/>
      </c>
      <c r="N298">
        <f>$J$11-M298*$I$11-L298*J298</f>
        <v/>
      </c>
      <c r="O298">
        <f>IF(AND(C298,ABS(K298)&gt;1E-12,L298&gt;0),N298,1E+300)</f>
        <v/>
      </c>
    </row>
    <row r="299">
      <c r="A299">
        <f>$K$11+($L$11-$K$11)*285/400</f>
        <v/>
      </c>
      <c r="B299">
        <f>SUMPRODUCT((Calc!$F$3:$F$22&lt;=LTP!$B$5)*Calc!$K$3:$K$22*(Calc!$G$3:$G$22&lt;=A299))</f>
        <v/>
      </c>
      <c r="C299">
        <f>AND(B299&gt;=2,$B$11-B299&gt;=2)</f>
        <v/>
      </c>
      <c r="D299">
        <f>SUMPRODUCT((Calc!$F$3:$F$22&lt;=LTP!$B$5)*Calc!$K$3:$K$22*(Calc!$G$3:$G$22&gt;A299)*(Calc!$G$3:$G$22-A299))</f>
        <v/>
      </c>
      <c r="E299">
        <f>SUMPRODUCT((Calc!$F$3:$F$22&lt;=LTP!$B$5)*Calc!$K$3:$K$22*(Calc!$G$3:$G$22&gt;A299)*(Calc!$G$3:$G$22-A299)^2)</f>
        <v/>
      </c>
      <c r="F299">
        <f>SUMPRODUCT((Calc!$F$3:$F$22&lt;=LTP!$B$5)*Calc!$K$3:$K$22*(Calc!$G$3:$G$22&gt;A299)*(Calc!$G$3:$G$22-A299)*Calc!$G$3:$G$22)</f>
        <v/>
      </c>
      <c r="G299">
        <f>SUMPRODUCT((Calc!$F$3:$F$22&lt;=LTP!$B$5)*Calc!$K$3:$K$22*(Calc!$G$3:$G$22&gt;A299)*(Calc!$G$3:$G$22-A299)*Calc!$I$3:$I$22)</f>
        <v/>
      </c>
      <c r="H299">
        <f>IF($B$11&gt;0,F299-$C$11*D299/$B$11,0)</f>
        <v/>
      </c>
      <c r="I299">
        <f>IF($B$11&gt;0,E299-D299^2/$B$11,0)</f>
        <v/>
      </c>
      <c r="J299">
        <f>IF($B$11&gt;0,G299-D299*$D$11/$B$11,0)</f>
        <v/>
      </c>
      <c r="K299">
        <f>$H$11*I299-H299^2</f>
        <v/>
      </c>
      <c r="L299">
        <f>IF(ABS(K299)&gt;1E-12,($H$11*J299-H299*$I$11)/K299,0)</f>
        <v/>
      </c>
      <c r="M299">
        <f>IF(ABS(K299)&gt;1E-12,(I299*$I$11-H299*J299)/K299,0)</f>
        <v/>
      </c>
      <c r="N299">
        <f>$J$11-M299*$I$11-L299*J299</f>
        <v/>
      </c>
      <c r="O299">
        <f>IF(AND(C299,ABS(K299)&gt;1E-12,L299&gt;0),N299,1E+300)</f>
        <v/>
      </c>
    </row>
    <row r="300">
      <c r="A300">
        <f>$K$11+($L$11-$K$11)*286/400</f>
        <v/>
      </c>
      <c r="B300">
        <f>SUMPRODUCT((Calc!$F$3:$F$22&lt;=LTP!$B$5)*Calc!$K$3:$K$22*(Calc!$G$3:$G$22&lt;=A300))</f>
        <v/>
      </c>
      <c r="C300">
        <f>AND(B300&gt;=2,$B$11-B300&gt;=2)</f>
        <v/>
      </c>
      <c r="D300">
        <f>SUMPRODUCT((Calc!$F$3:$F$22&lt;=LTP!$B$5)*Calc!$K$3:$K$22*(Calc!$G$3:$G$22&gt;A300)*(Calc!$G$3:$G$22-A300))</f>
        <v/>
      </c>
      <c r="E300">
        <f>SUMPRODUCT((Calc!$F$3:$F$22&lt;=LTP!$B$5)*Calc!$K$3:$K$22*(Calc!$G$3:$G$22&gt;A300)*(Calc!$G$3:$G$22-A300)^2)</f>
        <v/>
      </c>
      <c r="F300">
        <f>SUMPRODUCT((Calc!$F$3:$F$22&lt;=LTP!$B$5)*Calc!$K$3:$K$22*(Calc!$G$3:$G$22&gt;A300)*(Calc!$G$3:$G$22-A300)*Calc!$G$3:$G$22)</f>
        <v/>
      </c>
      <c r="G300">
        <f>SUMPRODUCT((Calc!$F$3:$F$22&lt;=LTP!$B$5)*Calc!$K$3:$K$22*(Calc!$G$3:$G$22&gt;A300)*(Calc!$G$3:$G$22-A300)*Calc!$I$3:$I$22)</f>
        <v/>
      </c>
      <c r="H300">
        <f>IF($B$11&gt;0,F300-$C$11*D300/$B$11,0)</f>
        <v/>
      </c>
      <c r="I300">
        <f>IF($B$11&gt;0,E300-D300^2/$B$11,0)</f>
        <v/>
      </c>
      <c r="J300">
        <f>IF($B$11&gt;0,G300-D300*$D$11/$B$11,0)</f>
        <v/>
      </c>
      <c r="K300">
        <f>$H$11*I300-H300^2</f>
        <v/>
      </c>
      <c r="L300">
        <f>IF(ABS(K300)&gt;1E-12,($H$11*J300-H300*$I$11)/K300,0)</f>
        <v/>
      </c>
      <c r="M300">
        <f>IF(ABS(K300)&gt;1E-12,(I300*$I$11-H300*J300)/K300,0)</f>
        <v/>
      </c>
      <c r="N300">
        <f>$J$11-M300*$I$11-L300*J300</f>
        <v/>
      </c>
      <c r="O300">
        <f>IF(AND(C300,ABS(K300)&gt;1E-12,L300&gt;0),N300,1E+300)</f>
        <v/>
      </c>
    </row>
    <row r="301">
      <c r="A301">
        <f>$K$11+($L$11-$K$11)*287/400</f>
        <v/>
      </c>
      <c r="B301">
        <f>SUMPRODUCT((Calc!$F$3:$F$22&lt;=LTP!$B$5)*Calc!$K$3:$K$22*(Calc!$G$3:$G$22&lt;=A301))</f>
        <v/>
      </c>
      <c r="C301">
        <f>AND(B301&gt;=2,$B$11-B301&gt;=2)</f>
        <v/>
      </c>
      <c r="D301">
        <f>SUMPRODUCT((Calc!$F$3:$F$22&lt;=LTP!$B$5)*Calc!$K$3:$K$22*(Calc!$G$3:$G$22&gt;A301)*(Calc!$G$3:$G$22-A301))</f>
        <v/>
      </c>
      <c r="E301">
        <f>SUMPRODUCT((Calc!$F$3:$F$22&lt;=LTP!$B$5)*Calc!$K$3:$K$22*(Calc!$G$3:$G$22&gt;A301)*(Calc!$G$3:$G$22-A301)^2)</f>
        <v/>
      </c>
      <c r="F301">
        <f>SUMPRODUCT((Calc!$F$3:$F$22&lt;=LTP!$B$5)*Calc!$K$3:$K$22*(Calc!$G$3:$G$22&gt;A301)*(Calc!$G$3:$G$22-A301)*Calc!$G$3:$G$22)</f>
        <v/>
      </c>
      <c r="G301">
        <f>SUMPRODUCT((Calc!$F$3:$F$22&lt;=LTP!$B$5)*Calc!$K$3:$K$22*(Calc!$G$3:$G$22&gt;A301)*(Calc!$G$3:$G$22-A301)*Calc!$I$3:$I$22)</f>
        <v/>
      </c>
      <c r="H301">
        <f>IF($B$11&gt;0,F301-$C$11*D301/$B$11,0)</f>
        <v/>
      </c>
      <c r="I301">
        <f>IF($B$11&gt;0,E301-D301^2/$B$11,0)</f>
        <v/>
      </c>
      <c r="J301">
        <f>IF($B$11&gt;0,G301-D301*$D$11/$B$11,0)</f>
        <v/>
      </c>
      <c r="K301">
        <f>$H$11*I301-H301^2</f>
        <v/>
      </c>
      <c r="L301">
        <f>IF(ABS(K301)&gt;1E-12,($H$11*J301-H301*$I$11)/K301,0)</f>
        <v/>
      </c>
      <c r="M301">
        <f>IF(ABS(K301)&gt;1E-12,(I301*$I$11-H301*J301)/K301,0)</f>
        <v/>
      </c>
      <c r="N301">
        <f>$J$11-M301*$I$11-L301*J301</f>
        <v/>
      </c>
      <c r="O301">
        <f>IF(AND(C301,ABS(K301)&gt;1E-12,L301&gt;0),N301,1E+300)</f>
        <v/>
      </c>
    </row>
    <row r="302">
      <c r="A302">
        <f>$K$11+($L$11-$K$11)*288/400</f>
        <v/>
      </c>
      <c r="B302">
        <f>SUMPRODUCT((Calc!$F$3:$F$22&lt;=LTP!$B$5)*Calc!$K$3:$K$22*(Calc!$G$3:$G$22&lt;=A302))</f>
        <v/>
      </c>
      <c r="C302">
        <f>AND(B302&gt;=2,$B$11-B302&gt;=2)</f>
        <v/>
      </c>
      <c r="D302">
        <f>SUMPRODUCT((Calc!$F$3:$F$22&lt;=LTP!$B$5)*Calc!$K$3:$K$22*(Calc!$G$3:$G$22&gt;A302)*(Calc!$G$3:$G$22-A302))</f>
        <v/>
      </c>
      <c r="E302">
        <f>SUMPRODUCT((Calc!$F$3:$F$22&lt;=LTP!$B$5)*Calc!$K$3:$K$22*(Calc!$G$3:$G$22&gt;A302)*(Calc!$G$3:$G$22-A302)^2)</f>
        <v/>
      </c>
      <c r="F302">
        <f>SUMPRODUCT((Calc!$F$3:$F$22&lt;=LTP!$B$5)*Calc!$K$3:$K$22*(Calc!$G$3:$G$22&gt;A302)*(Calc!$G$3:$G$22-A302)*Calc!$G$3:$G$22)</f>
        <v/>
      </c>
      <c r="G302">
        <f>SUMPRODUCT((Calc!$F$3:$F$22&lt;=LTP!$B$5)*Calc!$K$3:$K$22*(Calc!$G$3:$G$22&gt;A302)*(Calc!$G$3:$G$22-A302)*Calc!$I$3:$I$22)</f>
        <v/>
      </c>
      <c r="H302">
        <f>IF($B$11&gt;0,F302-$C$11*D302/$B$11,0)</f>
        <v/>
      </c>
      <c r="I302">
        <f>IF($B$11&gt;0,E302-D302^2/$B$11,0)</f>
        <v/>
      </c>
      <c r="J302">
        <f>IF($B$11&gt;0,G302-D302*$D$11/$B$11,0)</f>
        <v/>
      </c>
      <c r="K302">
        <f>$H$11*I302-H302^2</f>
        <v/>
      </c>
      <c r="L302">
        <f>IF(ABS(K302)&gt;1E-12,($H$11*J302-H302*$I$11)/K302,0)</f>
        <v/>
      </c>
      <c r="M302">
        <f>IF(ABS(K302)&gt;1E-12,(I302*$I$11-H302*J302)/K302,0)</f>
        <v/>
      </c>
      <c r="N302">
        <f>$J$11-M302*$I$11-L302*J302</f>
        <v/>
      </c>
      <c r="O302">
        <f>IF(AND(C302,ABS(K302)&gt;1E-12,L302&gt;0),N302,1E+300)</f>
        <v/>
      </c>
    </row>
    <row r="303">
      <c r="A303">
        <f>$K$11+($L$11-$K$11)*289/400</f>
        <v/>
      </c>
      <c r="B303">
        <f>SUMPRODUCT((Calc!$F$3:$F$22&lt;=LTP!$B$5)*Calc!$K$3:$K$22*(Calc!$G$3:$G$22&lt;=A303))</f>
        <v/>
      </c>
      <c r="C303">
        <f>AND(B303&gt;=2,$B$11-B303&gt;=2)</f>
        <v/>
      </c>
      <c r="D303">
        <f>SUMPRODUCT((Calc!$F$3:$F$22&lt;=LTP!$B$5)*Calc!$K$3:$K$22*(Calc!$G$3:$G$22&gt;A303)*(Calc!$G$3:$G$22-A303))</f>
        <v/>
      </c>
      <c r="E303">
        <f>SUMPRODUCT((Calc!$F$3:$F$22&lt;=LTP!$B$5)*Calc!$K$3:$K$22*(Calc!$G$3:$G$22&gt;A303)*(Calc!$G$3:$G$22-A303)^2)</f>
        <v/>
      </c>
      <c r="F303">
        <f>SUMPRODUCT((Calc!$F$3:$F$22&lt;=LTP!$B$5)*Calc!$K$3:$K$22*(Calc!$G$3:$G$22&gt;A303)*(Calc!$G$3:$G$22-A303)*Calc!$G$3:$G$22)</f>
        <v/>
      </c>
      <c r="G303">
        <f>SUMPRODUCT((Calc!$F$3:$F$22&lt;=LTP!$B$5)*Calc!$K$3:$K$22*(Calc!$G$3:$G$22&gt;A303)*(Calc!$G$3:$G$22-A303)*Calc!$I$3:$I$22)</f>
        <v/>
      </c>
      <c r="H303">
        <f>IF($B$11&gt;0,F303-$C$11*D303/$B$11,0)</f>
        <v/>
      </c>
      <c r="I303">
        <f>IF($B$11&gt;0,E303-D303^2/$B$11,0)</f>
        <v/>
      </c>
      <c r="J303">
        <f>IF($B$11&gt;0,G303-D303*$D$11/$B$11,0)</f>
        <v/>
      </c>
      <c r="K303">
        <f>$H$11*I303-H303^2</f>
        <v/>
      </c>
      <c r="L303">
        <f>IF(ABS(K303)&gt;1E-12,($H$11*J303-H303*$I$11)/K303,0)</f>
        <v/>
      </c>
      <c r="M303">
        <f>IF(ABS(K303)&gt;1E-12,(I303*$I$11-H303*J303)/K303,0)</f>
        <v/>
      </c>
      <c r="N303">
        <f>$J$11-M303*$I$11-L303*J303</f>
        <v/>
      </c>
      <c r="O303">
        <f>IF(AND(C303,ABS(K303)&gt;1E-12,L303&gt;0),N303,1E+300)</f>
        <v/>
      </c>
    </row>
    <row r="304">
      <c r="A304">
        <f>$K$11+($L$11-$K$11)*290/400</f>
        <v/>
      </c>
      <c r="B304">
        <f>SUMPRODUCT((Calc!$F$3:$F$22&lt;=LTP!$B$5)*Calc!$K$3:$K$22*(Calc!$G$3:$G$22&lt;=A304))</f>
        <v/>
      </c>
      <c r="C304">
        <f>AND(B304&gt;=2,$B$11-B304&gt;=2)</f>
        <v/>
      </c>
      <c r="D304">
        <f>SUMPRODUCT((Calc!$F$3:$F$22&lt;=LTP!$B$5)*Calc!$K$3:$K$22*(Calc!$G$3:$G$22&gt;A304)*(Calc!$G$3:$G$22-A304))</f>
        <v/>
      </c>
      <c r="E304">
        <f>SUMPRODUCT((Calc!$F$3:$F$22&lt;=LTP!$B$5)*Calc!$K$3:$K$22*(Calc!$G$3:$G$22&gt;A304)*(Calc!$G$3:$G$22-A304)^2)</f>
        <v/>
      </c>
      <c r="F304">
        <f>SUMPRODUCT((Calc!$F$3:$F$22&lt;=LTP!$B$5)*Calc!$K$3:$K$22*(Calc!$G$3:$G$22&gt;A304)*(Calc!$G$3:$G$22-A304)*Calc!$G$3:$G$22)</f>
        <v/>
      </c>
      <c r="G304">
        <f>SUMPRODUCT((Calc!$F$3:$F$22&lt;=LTP!$B$5)*Calc!$K$3:$K$22*(Calc!$G$3:$G$22&gt;A304)*(Calc!$G$3:$G$22-A304)*Calc!$I$3:$I$22)</f>
        <v/>
      </c>
      <c r="H304">
        <f>IF($B$11&gt;0,F304-$C$11*D304/$B$11,0)</f>
        <v/>
      </c>
      <c r="I304">
        <f>IF($B$11&gt;0,E304-D304^2/$B$11,0)</f>
        <v/>
      </c>
      <c r="J304">
        <f>IF($B$11&gt;0,G304-D304*$D$11/$B$11,0)</f>
        <v/>
      </c>
      <c r="K304">
        <f>$H$11*I304-H304^2</f>
        <v/>
      </c>
      <c r="L304">
        <f>IF(ABS(K304)&gt;1E-12,($H$11*J304-H304*$I$11)/K304,0)</f>
        <v/>
      </c>
      <c r="M304">
        <f>IF(ABS(K304)&gt;1E-12,(I304*$I$11-H304*J304)/K304,0)</f>
        <v/>
      </c>
      <c r="N304">
        <f>$J$11-M304*$I$11-L304*J304</f>
        <v/>
      </c>
      <c r="O304">
        <f>IF(AND(C304,ABS(K304)&gt;1E-12,L304&gt;0),N304,1E+300)</f>
        <v/>
      </c>
    </row>
    <row r="305">
      <c r="A305">
        <f>$K$11+($L$11-$K$11)*291/400</f>
        <v/>
      </c>
      <c r="B305">
        <f>SUMPRODUCT((Calc!$F$3:$F$22&lt;=LTP!$B$5)*Calc!$K$3:$K$22*(Calc!$G$3:$G$22&lt;=A305))</f>
        <v/>
      </c>
      <c r="C305">
        <f>AND(B305&gt;=2,$B$11-B305&gt;=2)</f>
        <v/>
      </c>
      <c r="D305">
        <f>SUMPRODUCT((Calc!$F$3:$F$22&lt;=LTP!$B$5)*Calc!$K$3:$K$22*(Calc!$G$3:$G$22&gt;A305)*(Calc!$G$3:$G$22-A305))</f>
        <v/>
      </c>
      <c r="E305">
        <f>SUMPRODUCT((Calc!$F$3:$F$22&lt;=LTP!$B$5)*Calc!$K$3:$K$22*(Calc!$G$3:$G$22&gt;A305)*(Calc!$G$3:$G$22-A305)^2)</f>
        <v/>
      </c>
      <c r="F305">
        <f>SUMPRODUCT((Calc!$F$3:$F$22&lt;=LTP!$B$5)*Calc!$K$3:$K$22*(Calc!$G$3:$G$22&gt;A305)*(Calc!$G$3:$G$22-A305)*Calc!$G$3:$G$22)</f>
        <v/>
      </c>
      <c r="G305">
        <f>SUMPRODUCT((Calc!$F$3:$F$22&lt;=LTP!$B$5)*Calc!$K$3:$K$22*(Calc!$G$3:$G$22&gt;A305)*(Calc!$G$3:$G$22-A305)*Calc!$I$3:$I$22)</f>
        <v/>
      </c>
      <c r="H305">
        <f>IF($B$11&gt;0,F305-$C$11*D305/$B$11,0)</f>
        <v/>
      </c>
      <c r="I305">
        <f>IF($B$11&gt;0,E305-D305^2/$B$11,0)</f>
        <v/>
      </c>
      <c r="J305">
        <f>IF($B$11&gt;0,G305-D305*$D$11/$B$11,0)</f>
        <v/>
      </c>
      <c r="K305">
        <f>$H$11*I305-H305^2</f>
        <v/>
      </c>
      <c r="L305">
        <f>IF(ABS(K305)&gt;1E-12,($H$11*J305-H305*$I$11)/K305,0)</f>
        <v/>
      </c>
      <c r="M305">
        <f>IF(ABS(K305)&gt;1E-12,(I305*$I$11-H305*J305)/K305,0)</f>
        <v/>
      </c>
      <c r="N305">
        <f>$J$11-M305*$I$11-L305*J305</f>
        <v/>
      </c>
      <c r="O305">
        <f>IF(AND(C305,ABS(K305)&gt;1E-12,L305&gt;0),N305,1E+300)</f>
        <v/>
      </c>
    </row>
    <row r="306">
      <c r="A306">
        <f>$K$11+($L$11-$K$11)*292/400</f>
        <v/>
      </c>
      <c r="B306">
        <f>SUMPRODUCT((Calc!$F$3:$F$22&lt;=LTP!$B$5)*Calc!$K$3:$K$22*(Calc!$G$3:$G$22&lt;=A306))</f>
        <v/>
      </c>
      <c r="C306">
        <f>AND(B306&gt;=2,$B$11-B306&gt;=2)</f>
        <v/>
      </c>
      <c r="D306">
        <f>SUMPRODUCT((Calc!$F$3:$F$22&lt;=LTP!$B$5)*Calc!$K$3:$K$22*(Calc!$G$3:$G$22&gt;A306)*(Calc!$G$3:$G$22-A306))</f>
        <v/>
      </c>
      <c r="E306">
        <f>SUMPRODUCT((Calc!$F$3:$F$22&lt;=LTP!$B$5)*Calc!$K$3:$K$22*(Calc!$G$3:$G$22&gt;A306)*(Calc!$G$3:$G$22-A306)^2)</f>
        <v/>
      </c>
      <c r="F306">
        <f>SUMPRODUCT((Calc!$F$3:$F$22&lt;=LTP!$B$5)*Calc!$K$3:$K$22*(Calc!$G$3:$G$22&gt;A306)*(Calc!$G$3:$G$22-A306)*Calc!$G$3:$G$22)</f>
        <v/>
      </c>
      <c r="G306">
        <f>SUMPRODUCT((Calc!$F$3:$F$22&lt;=LTP!$B$5)*Calc!$K$3:$K$22*(Calc!$G$3:$G$22&gt;A306)*(Calc!$G$3:$G$22-A306)*Calc!$I$3:$I$22)</f>
        <v/>
      </c>
      <c r="H306">
        <f>IF($B$11&gt;0,F306-$C$11*D306/$B$11,0)</f>
        <v/>
      </c>
      <c r="I306">
        <f>IF($B$11&gt;0,E306-D306^2/$B$11,0)</f>
        <v/>
      </c>
      <c r="J306">
        <f>IF($B$11&gt;0,G306-D306*$D$11/$B$11,0)</f>
        <v/>
      </c>
      <c r="K306">
        <f>$H$11*I306-H306^2</f>
        <v/>
      </c>
      <c r="L306">
        <f>IF(ABS(K306)&gt;1E-12,($H$11*J306-H306*$I$11)/K306,0)</f>
        <v/>
      </c>
      <c r="M306">
        <f>IF(ABS(K306)&gt;1E-12,(I306*$I$11-H306*J306)/K306,0)</f>
        <v/>
      </c>
      <c r="N306">
        <f>$J$11-M306*$I$11-L306*J306</f>
        <v/>
      </c>
      <c r="O306">
        <f>IF(AND(C306,ABS(K306)&gt;1E-12,L306&gt;0),N306,1E+300)</f>
        <v/>
      </c>
    </row>
    <row r="307">
      <c r="A307">
        <f>$K$11+($L$11-$K$11)*293/400</f>
        <v/>
      </c>
      <c r="B307">
        <f>SUMPRODUCT((Calc!$F$3:$F$22&lt;=LTP!$B$5)*Calc!$K$3:$K$22*(Calc!$G$3:$G$22&lt;=A307))</f>
        <v/>
      </c>
      <c r="C307">
        <f>AND(B307&gt;=2,$B$11-B307&gt;=2)</f>
        <v/>
      </c>
      <c r="D307">
        <f>SUMPRODUCT((Calc!$F$3:$F$22&lt;=LTP!$B$5)*Calc!$K$3:$K$22*(Calc!$G$3:$G$22&gt;A307)*(Calc!$G$3:$G$22-A307))</f>
        <v/>
      </c>
      <c r="E307">
        <f>SUMPRODUCT((Calc!$F$3:$F$22&lt;=LTP!$B$5)*Calc!$K$3:$K$22*(Calc!$G$3:$G$22&gt;A307)*(Calc!$G$3:$G$22-A307)^2)</f>
        <v/>
      </c>
      <c r="F307">
        <f>SUMPRODUCT((Calc!$F$3:$F$22&lt;=LTP!$B$5)*Calc!$K$3:$K$22*(Calc!$G$3:$G$22&gt;A307)*(Calc!$G$3:$G$22-A307)*Calc!$G$3:$G$22)</f>
        <v/>
      </c>
      <c r="G307">
        <f>SUMPRODUCT((Calc!$F$3:$F$22&lt;=LTP!$B$5)*Calc!$K$3:$K$22*(Calc!$G$3:$G$22&gt;A307)*(Calc!$G$3:$G$22-A307)*Calc!$I$3:$I$22)</f>
        <v/>
      </c>
      <c r="H307">
        <f>IF($B$11&gt;0,F307-$C$11*D307/$B$11,0)</f>
        <v/>
      </c>
      <c r="I307">
        <f>IF($B$11&gt;0,E307-D307^2/$B$11,0)</f>
        <v/>
      </c>
      <c r="J307">
        <f>IF($B$11&gt;0,G307-D307*$D$11/$B$11,0)</f>
        <v/>
      </c>
      <c r="K307">
        <f>$H$11*I307-H307^2</f>
        <v/>
      </c>
      <c r="L307">
        <f>IF(ABS(K307)&gt;1E-12,($H$11*J307-H307*$I$11)/K307,0)</f>
        <v/>
      </c>
      <c r="M307">
        <f>IF(ABS(K307)&gt;1E-12,(I307*$I$11-H307*J307)/K307,0)</f>
        <v/>
      </c>
      <c r="N307">
        <f>$J$11-M307*$I$11-L307*J307</f>
        <v/>
      </c>
      <c r="O307">
        <f>IF(AND(C307,ABS(K307)&gt;1E-12,L307&gt;0),N307,1E+300)</f>
        <v/>
      </c>
    </row>
    <row r="308">
      <c r="A308">
        <f>$K$11+($L$11-$K$11)*294/400</f>
        <v/>
      </c>
      <c r="B308">
        <f>SUMPRODUCT((Calc!$F$3:$F$22&lt;=LTP!$B$5)*Calc!$K$3:$K$22*(Calc!$G$3:$G$22&lt;=A308))</f>
        <v/>
      </c>
      <c r="C308">
        <f>AND(B308&gt;=2,$B$11-B308&gt;=2)</f>
        <v/>
      </c>
      <c r="D308">
        <f>SUMPRODUCT((Calc!$F$3:$F$22&lt;=LTP!$B$5)*Calc!$K$3:$K$22*(Calc!$G$3:$G$22&gt;A308)*(Calc!$G$3:$G$22-A308))</f>
        <v/>
      </c>
      <c r="E308">
        <f>SUMPRODUCT((Calc!$F$3:$F$22&lt;=LTP!$B$5)*Calc!$K$3:$K$22*(Calc!$G$3:$G$22&gt;A308)*(Calc!$G$3:$G$22-A308)^2)</f>
        <v/>
      </c>
      <c r="F308">
        <f>SUMPRODUCT((Calc!$F$3:$F$22&lt;=LTP!$B$5)*Calc!$K$3:$K$22*(Calc!$G$3:$G$22&gt;A308)*(Calc!$G$3:$G$22-A308)*Calc!$G$3:$G$22)</f>
        <v/>
      </c>
      <c r="G308">
        <f>SUMPRODUCT((Calc!$F$3:$F$22&lt;=LTP!$B$5)*Calc!$K$3:$K$22*(Calc!$G$3:$G$22&gt;A308)*(Calc!$G$3:$G$22-A308)*Calc!$I$3:$I$22)</f>
        <v/>
      </c>
      <c r="H308">
        <f>IF($B$11&gt;0,F308-$C$11*D308/$B$11,0)</f>
        <v/>
      </c>
      <c r="I308">
        <f>IF($B$11&gt;0,E308-D308^2/$B$11,0)</f>
        <v/>
      </c>
      <c r="J308">
        <f>IF($B$11&gt;0,G308-D308*$D$11/$B$11,0)</f>
        <v/>
      </c>
      <c r="K308">
        <f>$H$11*I308-H308^2</f>
        <v/>
      </c>
      <c r="L308">
        <f>IF(ABS(K308)&gt;1E-12,($H$11*J308-H308*$I$11)/K308,0)</f>
        <v/>
      </c>
      <c r="M308">
        <f>IF(ABS(K308)&gt;1E-12,(I308*$I$11-H308*J308)/K308,0)</f>
        <v/>
      </c>
      <c r="N308">
        <f>$J$11-M308*$I$11-L308*J308</f>
        <v/>
      </c>
      <c r="O308">
        <f>IF(AND(C308,ABS(K308)&gt;1E-12,L308&gt;0),N308,1E+300)</f>
        <v/>
      </c>
    </row>
    <row r="309">
      <c r="A309">
        <f>$K$11+($L$11-$K$11)*295/400</f>
        <v/>
      </c>
      <c r="B309">
        <f>SUMPRODUCT((Calc!$F$3:$F$22&lt;=LTP!$B$5)*Calc!$K$3:$K$22*(Calc!$G$3:$G$22&lt;=A309))</f>
        <v/>
      </c>
      <c r="C309">
        <f>AND(B309&gt;=2,$B$11-B309&gt;=2)</f>
        <v/>
      </c>
      <c r="D309">
        <f>SUMPRODUCT((Calc!$F$3:$F$22&lt;=LTP!$B$5)*Calc!$K$3:$K$22*(Calc!$G$3:$G$22&gt;A309)*(Calc!$G$3:$G$22-A309))</f>
        <v/>
      </c>
      <c r="E309">
        <f>SUMPRODUCT((Calc!$F$3:$F$22&lt;=LTP!$B$5)*Calc!$K$3:$K$22*(Calc!$G$3:$G$22&gt;A309)*(Calc!$G$3:$G$22-A309)^2)</f>
        <v/>
      </c>
      <c r="F309">
        <f>SUMPRODUCT((Calc!$F$3:$F$22&lt;=LTP!$B$5)*Calc!$K$3:$K$22*(Calc!$G$3:$G$22&gt;A309)*(Calc!$G$3:$G$22-A309)*Calc!$G$3:$G$22)</f>
        <v/>
      </c>
      <c r="G309">
        <f>SUMPRODUCT((Calc!$F$3:$F$22&lt;=LTP!$B$5)*Calc!$K$3:$K$22*(Calc!$G$3:$G$22&gt;A309)*(Calc!$G$3:$G$22-A309)*Calc!$I$3:$I$22)</f>
        <v/>
      </c>
      <c r="H309">
        <f>IF($B$11&gt;0,F309-$C$11*D309/$B$11,0)</f>
        <v/>
      </c>
      <c r="I309">
        <f>IF($B$11&gt;0,E309-D309^2/$B$11,0)</f>
        <v/>
      </c>
      <c r="J309">
        <f>IF($B$11&gt;0,G309-D309*$D$11/$B$11,0)</f>
        <v/>
      </c>
      <c r="K309">
        <f>$H$11*I309-H309^2</f>
        <v/>
      </c>
      <c r="L309">
        <f>IF(ABS(K309)&gt;1E-12,($H$11*J309-H309*$I$11)/K309,0)</f>
        <v/>
      </c>
      <c r="M309">
        <f>IF(ABS(K309)&gt;1E-12,(I309*$I$11-H309*J309)/K309,0)</f>
        <v/>
      </c>
      <c r="N309">
        <f>$J$11-M309*$I$11-L309*J309</f>
        <v/>
      </c>
      <c r="O309">
        <f>IF(AND(C309,ABS(K309)&gt;1E-12,L309&gt;0),N309,1E+300)</f>
        <v/>
      </c>
    </row>
    <row r="310">
      <c r="A310">
        <f>$K$11+($L$11-$K$11)*296/400</f>
        <v/>
      </c>
      <c r="B310">
        <f>SUMPRODUCT((Calc!$F$3:$F$22&lt;=LTP!$B$5)*Calc!$K$3:$K$22*(Calc!$G$3:$G$22&lt;=A310))</f>
        <v/>
      </c>
      <c r="C310">
        <f>AND(B310&gt;=2,$B$11-B310&gt;=2)</f>
        <v/>
      </c>
      <c r="D310">
        <f>SUMPRODUCT((Calc!$F$3:$F$22&lt;=LTP!$B$5)*Calc!$K$3:$K$22*(Calc!$G$3:$G$22&gt;A310)*(Calc!$G$3:$G$22-A310))</f>
        <v/>
      </c>
      <c r="E310">
        <f>SUMPRODUCT((Calc!$F$3:$F$22&lt;=LTP!$B$5)*Calc!$K$3:$K$22*(Calc!$G$3:$G$22&gt;A310)*(Calc!$G$3:$G$22-A310)^2)</f>
        <v/>
      </c>
      <c r="F310">
        <f>SUMPRODUCT((Calc!$F$3:$F$22&lt;=LTP!$B$5)*Calc!$K$3:$K$22*(Calc!$G$3:$G$22&gt;A310)*(Calc!$G$3:$G$22-A310)*Calc!$G$3:$G$22)</f>
        <v/>
      </c>
      <c r="G310">
        <f>SUMPRODUCT((Calc!$F$3:$F$22&lt;=LTP!$B$5)*Calc!$K$3:$K$22*(Calc!$G$3:$G$22&gt;A310)*(Calc!$G$3:$G$22-A310)*Calc!$I$3:$I$22)</f>
        <v/>
      </c>
      <c r="H310">
        <f>IF($B$11&gt;0,F310-$C$11*D310/$B$11,0)</f>
        <v/>
      </c>
      <c r="I310">
        <f>IF($B$11&gt;0,E310-D310^2/$B$11,0)</f>
        <v/>
      </c>
      <c r="J310">
        <f>IF($B$11&gt;0,G310-D310*$D$11/$B$11,0)</f>
        <v/>
      </c>
      <c r="K310">
        <f>$H$11*I310-H310^2</f>
        <v/>
      </c>
      <c r="L310">
        <f>IF(ABS(K310)&gt;1E-12,($H$11*J310-H310*$I$11)/K310,0)</f>
        <v/>
      </c>
      <c r="M310">
        <f>IF(ABS(K310)&gt;1E-12,(I310*$I$11-H310*J310)/K310,0)</f>
        <v/>
      </c>
      <c r="N310">
        <f>$J$11-M310*$I$11-L310*J310</f>
        <v/>
      </c>
      <c r="O310">
        <f>IF(AND(C310,ABS(K310)&gt;1E-12,L310&gt;0),N310,1E+300)</f>
        <v/>
      </c>
    </row>
    <row r="311">
      <c r="A311">
        <f>$K$11+($L$11-$K$11)*297/400</f>
        <v/>
      </c>
      <c r="B311">
        <f>SUMPRODUCT((Calc!$F$3:$F$22&lt;=LTP!$B$5)*Calc!$K$3:$K$22*(Calc!$G$3:$G$22&lt;=A311))</f>
        <v/>
      </c>
      <c r="C311">
        <f>AND(B311&gt;=2,$B$11-B311&gt;=2)</f>
        <v/>
      </c>
      <c r="D311">
        <f>SUMPRODUCT((Calc!$F$3:$F$22&lt;=LTP!$B$5)*Calc!$K$3:$K$22*(Calc!$G$3:$G$22&gt;A311)*(Calc!$G$3:$G$22-A311))</f>
        <v/>
      </c>
      <c r="E311">
        <f>SUMPRODUCT((Calc!$F$3:$F$22&lt;=LTP!$B$5)*Calc!$K$3:$K$22*(Calc!$G$3:$G$22&gt;A311)*(Calc!$G$3:$G$22-A311)^2)</f>
        <v/>
      </c>
      <c r="F311">
        <f>SUMPRODUCT((Calc!$F$3:$F$22&lt;=LTP!$B$5)*Calc!$K$3:$K$22*(Calc!$G$3:$G$22&gt;A311)*(Calc!$G$3:$G$22-A311)*Calc!$G$3:$G$22)</f>
        <v/>
      </c>
      <c r="G311">
        <f>SUMPRODUCT((Calc!$F$3:$F$22&lt;=LTP!$B$5)*Calc!$K$3:$K$22*(Calc!$G$3:$G$22&gt;A311)*(Calc!$G$3:$G$22-A311)*Calc!$I$3:$I$22)</f>
        <v/>
      </c>
      <c r="H311">
        <f>IF($B$11&gt;0,F311-$C$11*D311/$B$11,0)</f>
        <v/>
      </c>
      <c r="I311">
        <f>IF($B$11&gt;0,E311-D311^2/$B$11,0)</f>
        <v/>
      </c>
      <c r="J311">
        <f>IF($B$11&gt;0,G311-D311*$D$11/$B$11,0)</f>
        <v/>
      </c>
      <c r="K311">
        <f>$H$11*I311-H311^2</f>
        <v/>
      </c>
      <c r="L311">
        <f>IF(ABS(K311)&gt;1E-12,($H$11*J311-H311*$I$11)/K311,0)</f>
        <v/>
      </c>
      <c r="M311">
        <f>IF(ABS(K311)&gt;1E-12,(I311*$I$11-H311*J311)/K311,0)</f>
        <v/>
      </c>
      <c r="N311">
        <f>$J$11-M311*$I$11-L311*J311</f>
        <v/>
      </c>
      <c r="O311">
        <f>IF(AND(C311,ABS(K311)&gt;1E-12,L311&gt;0),N311,1E+300)</f>
        <v/>
      </c>
    </row>
    <row r="312">
      <c r="A312">
        <f>$K$11+($L$11-$K$11)*298/400</f>
        <v/>
      </c>
      <c r="B312">
        <f>SUMPRODUCT((Calc!$F$3:$F$22&lt;=LTP!$B$5)*Calc!$K$3:$K$22*(Calc!$G$3:$G$22&lt;=A312))</f>
        <v/>
      </c>
      <c r="C312">
        <f>AND(B312&gt;=2,$B$11-B312&gt;=2)</f>
        <v/>
      </c>
      <c r="D312">
        <f>SUMPRODUCT((Calc!$F$3:$F$22&lt;=LTP!$B$5)*Calc!$K$3:$K$22*(Calc!$G$3:$G$22&gt;A312)*(Calc!$G$3:$G$22-A312))</f>
        <v/>
      </c>
      <c r="E312">
        <f>SUMPRODUCT((Calc!$F$3:$F$22&lt;=LTP!$B$5)*Calc!$K$3:$K$22*(Calc!$G$3:$G$22&gt;A312)*(Calc!$G$3:$G$22-A312)^2)</f>
        <v/>
      </c>
      <c r="F312">
        <f>SUMPRODUCT((Calc!$F$3:$F$22&lt;=LTP!$B$5)*Calc!$K$3:$K$22*(Calc!$G$3:$G$22&gt;A312)*(Calc!$G$3:$G$22-A312)*Calc!$G$3:$G$22)</f>
        <v/>
      </c>
      <c r="G312">
        <f>SUMPRODUCT((Calc!$F$3:$F$22&lt;=LTP!$B$5)*Calc!$K$3:$K$22*(Calc!$G$3:$G$22&gt;A312)*(Calc!$G$3:$G$22-A312)*Calc!$I$3:$I$22)</f>
        <v/>
      </c>
      <c r="H312">
        <f>IF($B$11&gt;0,F312-$C$11*D312/$B$11,0)</f>
        <v/>
      </c>
      <c r="I312">
        <f>IF($B$11&gt;0,E312-D312^2/$B$11,0)</f>
        <v/>
      </c>
      <c r="J312">
        <f>IF($B$11&gt;0,G312-D312*$D$11/$B$11,0)</f>
        <v/>
      </c>
      <c r="K312">
        <f>$H$11*I312-H312^2</f>
        <v/>
      </c>
      <c r="L312">
        <f>IF(ABS(K312)&gt;1E-12,($H$11*J312-H312*$I$11)/K312,0)</f>
        <v/>
      </c>
      <c r="M312">
        <f>IF(ABS(K312)&gt;1E-12,(I312*$I$11-H312*J312)/K312,0)</f>
        <v/>
      </c>
      <c r="N312">
        <f>$J$11-M312*$I$11-L312*J312</f>
        <v/>
      </c>
      <c r="O312">
        <f>IF(AND(C312,ABS(K312)&gt;1E-12,L312&gt;0),N312,1E+300)</f>
        <v/>
      </c>
    </row>
    <row r="313">
      <c r="A313">
        <f>$K$11+($L$11-$K$11)*299/400</f>
        <v/>
      </c>
      <c r="B313">
        <f>SUMPRODUCT((Calc!$F$3:$F$22&lt;=LTP!$B$5)*Calc!$K$3:$K$22*(Calc!$G$3:$G$22&lt;=A313))</f>
        <v/>
      </c>
      <c r="C313">
        <f>AND(B313&gt;=2,$B$11-B313&gt;=2)</f>
        <v/>
      </c>
      <c r="D313">
        <f>SUMPRODUCT((Calc!$F$3:$F$22&lt;=LTP!$B$5)*Calc!$K$3:$K$22*(Calc!$G$3:$G$22&gt;A313)*(Calc!$G$3:$G$22-A313))</f>
        <v/>
      </c>
      <c r="E313">
        <f>SUMPRODUCT((Calc!$F$3:$F$22&lt;=LTP!$B$5)*Calc!$K$3:$K$22*(Calc!$G$3:$G$22&gt;A313)*(Calc!$G$3:$G$22-A313)^2)</f>
        <v/>
      </c>
      <c r="F313">
        <f>SUMPRODUCT((Calc!$F$3:$F$22&lt;=LTP!$B$5)*Calc!$K$3:$K$22*(Calc!$G$3:$G$22&gt;A313)*(Calc!$G$3:$G$22-A313)*Calc!$G$3:$G$22)</f>
        <v/>
      </c>
      <c r="G313">
        <f>SUMPRODUCT((Calc!$F$3:$F$22&lt;=LTP!$B$5)*Calc!$K$3:$K$22*(Calc!$G$3:$G$22&gt;A313)*(Calc!$G$3:$G$22-A313)*Calc!$I$3:$I$22)</f>
        <v/>
      </c>
      <c r="H313">
        <f>IF($B$11&gt;0,F313-$C$11*D313/$B$11,0)</f>
        <v/>
      </c>
      <c r="I313">
        <f>IF($B$11&gt;0,E313-D313^2/$B$11,0)</f>
        <v/>
      </c>
      <c r="J313">
        <f>IF($B$11&gt;0,G313-D313*$D$11/$B$11,0)</f>
        <v/>
      </c>
      <c r="K313">
        <f>$H$11*I313-H313^2</f>
        <v/>
      </c>
      <c r="L313">
        <f>IF(ABS(K313)&gt;1E-12,($H$11*J313-H313*$I$11)/K313,0)</f>
        <v/>
      </c>
      <c r="M313">
        <f>IF(ABS(K313)&gt;1E-12,(I313*$I$11-H313*J313)/K313,0)</f>
        <v/>
      </c>
      <c r="N313">
        <f>$J$11-M313*$I$11-L313*J313</f>
        <v/>
      </c>
      <c r="O313">
        <f>IF(AND(C313,ABS(K313)&gt;1E-12,L313&gt;0),N313,1E+300)</f>
        <v/>
      </c>
    </row>
    <row r="314">
      <c r="A314">
        <f>$K$11+($L$11-$K$11)*300/400</f>
        <v/>
      </c>
      <c r="B314">
        <f>SUMPRODUCT((Calc!$F$3:$F$22&lt;=LTP!$B$5)*Calc!$K$3:$K$22*(Calc!$G$3:$G$22&lt;=A314))</f>
        <v/>
      </c>
      <c r="C314">
        <f>AND(B314&gt;=2,$B$11-B314&gt;=2)</f>
        <v/>
      </c>
      <c r="D314">
        <f>SUMPRODUCT((Calc!$F$3:$F$22&lt;=LTP!$B$5)*Calc!$K$3:$K$22*(Calc!$G$3:$G$22&gt;A314)*(Calc!$G$3:$G$22-A314))</f>
        <v/>
      </c>
      <c r="E314">
        <f>SUMPRODUCT((Calc!$F$3:$F$22&lt;=LTP!$B$5)*Calc!$K$3:$K$22*(Calc!$G$3:$G$22&gt;A314)*(Calc!$G$3:$G$22-A314)^2)</f>
        <v/>
      </c>
      <c r="F314">
        <f>SUMPRODUCT((Calc!$F$3:$F$22&lt;=LTP!$B$5)*Calc!$K$3:$K$22*(Calc!$G$3:$G$22&gt;A314)*(Calc!$G$3:$G$22-A314)*Calc!$G$3:$G$22)</f>
        <v/>
      </c>
      <c r="G314">
        <f>SUMPRODUCT((Calc!$F$3:$F$22&lt;=LTP!$B$5)*Calc!$K$3:$K$22*(Calc!$G$3:$G$22&gt;A314)*(Calc!$G$3:$G$22-A314)*Calc!$I$3:$I$22)</f>
        <v/>
      </c>
      <c r="H314">
        <f>IF($B$11&gt;0,F314-$C$11*D314/$B$11,0)</f>
        <v/>
      </c>
      <c r="I314">
        <f>IF($B$11&gt;0,E314-D314^2/$B$11,0)</f>
        <v/>
      </c>
      <c r="J314">
        <f>IF($B$11&gt;0,G314-D314*$D$11/$B$11,0)</f>
        <v/>
      </c>
      <c r="K314">
        <f>$H$11*I314-H314^2</f>
        <v/>
      </c>
      <c r="L314">
        <f>IF(ABS(K314)&gt;1E-12,($H$11*J314-H314*$I$11)/K314,0)</f>
        <v/>
      </c>
      <c r="M314">
        <f>IF(ABS(K314)&gt;1E-12,(I314*$I$11-H314*J314)/K314,0)</f>
        <v/>
      </c>
      <c r="N314">
        <f>$J$11-M314*$I$11-L314*J314</f>
        <v/>
      </c>
      <c r="O314">
        <f>IF(AND(C314,ABS(K314)&gt;1E-12,L314&gt;0),N314,1E+300)</f>
        <v/>
      </c>
    </row>
    <row r="315">
      <c r="A315">
        <f>$K$11+($L$11-$K$11)*301/400</f>
        <v/>
      </c>
      <c r="B315">
        <f>SUMPRODUCT((Calc!$F$3:$F$22&lt;=LTP!$B$5)*Calc!$K$3:$K$22*(Calc!$G$3:$G$22&lt;=A315))</f>
        <v/>
      </c>
      <c r="C315">
        <f>AND(B315&gt;=2,$B$11-B315&gt;=2)</f>
        <v/>
      </c>
      <c r="D315">
        <f>SUMPRODUCT((Calc!$F$3:$F$22&lt;=LTP!$B$5)*Calc!$K$3:$K$22*(Calc!$G$3:$G$22&gt;A315)*(Calc!$G$3:$G$22-A315))</f>
        <v/>
      </c>
      <c r="E315">
        <f>SUMPRODUCT((Calc!$F$3:$F$22&lt;=LTP!$B$5)*Calc!$K$3:$K$22*(Calc!$G$3:$G$22&gt;A315)*(Calc!$G$3:$G$22-A315)^2)</f>
        <v/>
      </c>
      <c r="F315">
        <f>SUMPRODUCT((Calc!$F$3:$F$22&lt;=LTP!$B$5)*Calc!$K$3:$K$22*(Calc!$G$3:$G$22&gt;A315)*(Calc!$G$3:$G$22-A315)*Calc!$G$3:$G$22)</f>
        <v/>
      </c>
      <c r="G315">
        <f>SUMPRODUCT((Calc!$F$3:$F$22&lt;=LTP!$B$5)*Calc!$K$3:$K$22*(Calc!$G$3:$G$22&gt;A315)*(Calc!$G$3:$G$22-A315)*Calc!$I$3:$I$22)</f>
        <v/>
      </c>
      <c r="H315">
        <f>IF($B$11&gt;0,F315-$C$11*D315/$B$11,0)</f>
        <v/>
      </c>
      <c r="I315">
        <f>IF($B$11&gt;0,E315-D315^2/$B$11,0)</f>
        <v/>
      </c>
      <c r="J315">
        <f>IF($B$11&gt;0,G315-D315*$D$11/$B$11,0)</f>
        <v/>
      </c>
      <c r="K315">
        <f>$H$11*I315-H315^2</f>
        <v/>
      </c>
      <c r="L315">
        <f>IF(ABS(K315)&gt;1E-12,($H$11*J315-H315*$I$11)/K315,0)</f>
        <v/>
      </c>
      <c r="M315">
        <f>IF(ABS(K315)&gt;1E-12,(I315*$I$11-H315*J315)/K315,0)</f>
        <v/>
      </c>
      <c r="N315">
        <f>$J$11-M315*$I$11-L315*J315</f>
        <v/>
      </c>
      <c r="O315">
        <f>IF(AND(C315,ABS(K315)&gt;1E-12,L315&gt;0),N315,1E+300)</f>
        <v/>
      </c>
    </row>
    <row r="316">
      <c r="A316">
        <f>$K$11+($L$11-$K$11)*302/400</f>
        <v/>
      </c>
      <c r="B316">
        <f>SUMPRODUCT((Calc!$F$3:$F$22&lt;=LTP!$B$5)*Calc!$K$3:$K$22*(Calc!$G$3:$G$22&lt;=A316))</f>
        <v/>
      </c>
      <c r="C316">
        <f>AND(B316&gt;=2,$B$11-B316&gt;=2)</f>
        <v/>
      </c>
      <c r="D316">
        <f>SUMPRODUCT((Calc!$F$3:$F$22&lt;=LTP!$B$5)*Calc!$K$3:$K$22*(Calc!$G$3:$G$22&gt;A316)*(Calc!$G$3:$G$22-A316))</f>
        <v/>
      </c>
      <c r="E316">
        <f>SUMPRODUCT((Calc!$F$3:$F$22&lt;=LTP!$B$5)*Calc!$K$3:$K$22*(Calc!$G$3:$G$22&gt;A316)*(Calc!$G$3:$G$22-A316)^2)</f>
        <v/>
      </c>
      <c r="F316">
        <f>SUMPRODUCT((Calc!$F$3:$F$22&lt;=LTP!$B$5)*Calc!$K$3:$K$22*(Calc!$G$3:$G$22&gt;A316)*(Calc!$G$3:$G$22-A316)*Calc!$G$3:$G$22)</f>
        <v/>
      </c>
      <c r="G316">
        <f>SUMPRODUCT((Calc!$F$3:$F$22&lt;=LTP!$B$5)*Calc!$K$3:$K$22*(Calc!$G$3:$G$22&gt;A316)*(Calc!$G$3:$G$22-A316)*Calc!$I$3:$I$22)</f>
        <v/>
      </c>
      <c r="H316">
        <f>IF($B$11&gt;0,F316-$C$11*D316/$B$11,0)</f>
        <v/>
      </c>
      <c r="I316">
        <f>IF($B$11&gt;0,E316-D316^2/$B$11,0)</f>
        <v/>
      </c>
      <c r="J316">
        <f>IF($B$11&gt;0,G316-D316*$D$11/$B$11,0)</f>
        <v/>
      </c>
      <c r="K316">
        <f>$H$11*I316-H316^2</f>
        <v/>
      </c>
      <c r="L316">
        <f>IF(ABS(K316)&gt;1E-12,($H$11*J316-H316*$I$11)/K316,0)</f>
        <v/>
      </c>
      <c r="M316">
        <f>IF(ABS(K316)&gt;1E-12,(I316*$I$11-H316*J316)/K316,0)</f>
        <v/>
      </c>
      <c r="N316">
        <f>$J$11-M316*$I$11-L316*J316</f>
        <v/>
      </c>
      <c r="O316">
        <f>IF(AND(C316,ABS(K316)&gt;1E-12,L316&gt;0),N316,1E+300)</f>
        <v/>
      </c>
    </row>
    <row r="317">
      <c r="A317">
        <f>$K$11+($L$11-$K$11)*303/400</f>
        <v/>
      </c>
      <c r="B317">
        <f>SUMPRODUCT((Calc!$F$3:$F$22&lt;=LTP!$B$5)*Calc!$K$3:$K$22*(Calc!$G$3:$G$22&lt;=A317))</f>
        <v/>
      </c>
      <c r="C317">
        <f>AND(B317&gt;=2,$B$11-B317&gt;=2)</f>
        <v/>
      </c>
      <c r="D317">
        <f>SUMPRODUCT((Calc!$F$3:$F$22&lt;=LTP!$B$5)*Calc!$K$3:$K$22*(Calc!$G$3:$G$22&gt;A317)*(Calc!$G$3:$G$22-A317))</f>
        <v/>
      </c>
      <c r="E317">
        <f>SUMPRODUCT((Calc!$F$3:$F$22&lt;=LTP!$B$5)*Calc!$K$3:$K$22*(Calc!$G$3:$G$22&gt;A317)*(Calc!$G$3:$G$22-A317)^2)</f>
        <v/>
      </c>
      <c r="F317">
        <f>SUMPRODUCT((Calc!$F$3:$F$22&lt;=LTP!$B$5)*Calc!$K$3:$K$22*(Calc!$G$3:$G$22&gt;A317)*(Calc!$G$3:$G$22-A317)*Calc!$G$3:$G$22)</f>
        <v/>
      </c>
      <c r="G317">
        <f>SUMPRODUCT((Calc!$F$3:$F$22&lt;=LTP!$B$5)*Calc!$K$3:$K$22*(Calc!$G$3:$G$22&gt;A317)*(Calc!$G$3:$G$22-A317)*Calc!$I$3:$I$22)</f>
        <v/>
      </c>
      <c r="H317">
        <f>IF($B$11&gt;0,F317-$C$11*D317/$B$11,0)</f>
        <v/>
      </c>
      <c r="I317">
        <f>IF($B$11&gt;0,E317-D317^2/$B$11,0)</f>
        <v/>
      </c>
      <c r="J317">
        <f>IF($B$11&gt;0,G317-D317*$D$11/$B$11,0)</f>
        <v/>
      </c>
      <c r="K317">
        <f>$H$11*I317-H317^2</f>
        <v/>
      </c>
      <c r="L317">
        <f>IF(ABS(K317)&gt;1E-12,($H$11*J317-H317*$I$11)/K317,0)</f>
        <v/>
      </c>
      <c r="M317">
        <f>IF(ABS(K317)&gt;1E-12,(I317*$I$11-H317*J317)/K317,0)</f>
        <v/>
      </c>
      <c r="N317">
        <f>$J$11-M317*$I$11-L317*J317</f>
        <v/>
      </c>
      <c r="O317">
        <f>IF(AND(C317,ABS(K317)&gt;1E-12,L317&gt;0),N317,1E+300)</f>
        <v/>
      </c>
    </row>
    <row r="318">
      <c r="A318">
        <f>$K$11+($L$11-$K$11)*304/400</f>
        <v/>
      </c>
      <c r="B318">
        <f>SUMPRODUCT((Calc!$F$3:$F$22&lt;=LTP!$B$5)*Calc!$K$3:$K$22*(Calc!$G$3:$G$22&lt;=A318))</f>
        <v/>
      </c>
      <c r="C318">
        <f>AND(B318&gt;=2,$B$11-B318&gt;=2)</f>
        <v/>
      </c>
      <c r="D318">
        <f>SUMPRODUCT((Calc!$F$3:$F$22&lt;=LTP!$B$5)*Calc!$K$3:$K$22*(Calc!$G$3:$G$22&gt;A318)*(Calc!$G$3:$G$22-A318))</f>
        <v/>
      </c>
      <c r="E318">
        <f>SUMPRODUCT((Calc!$F$3:$F$22&lt;=LTP!$B$5)*Calc!$K$3:$K$22*(Calc!$G$3:$G$22&gt;A318)*(Calc!$G$3:$G$22-A318)^2)</f>
        <v/>
      </c>
      <c r="F318">
        <f>SUMPRODUCT((Calc!$F$3:$F$22&lt;=LTP!$B$5)*Calc!$K$3:$K$22*(Calc!$G$3:$G$22&gt;A318)*(Calc!$G$3:$G$22-A318)*Calc!$G$3:$G$22)</f>
        <v/>
      </c>
      <c r="G318">
        <f>SUMPRODUCT((Calc!$F$3:$F$22&lt;=LTP!$B$5)*Calc!$K$3:$K$22*(Calc!$G$3:$G$22&gt;A318)*(Calc!$G$3:$G$22-A318)*Calc!$I$3:$I$22)</f>
        <v/>
      </c>
      <c r="H318">
        <f>IF($B$11&gt;0,F318-$C$11*D318/$B$11,0)</f>
        <v/>
      </c>
      <c r="I318">
        <f>IF($B$11&gt;0,E318-D318^2/$B$11,0)</f>
        <v/>
      </c>
      <c r="J318">
        <f>IF($B$11&gt;0,G318-D318*$D$11/$B$11,0)</f>
        <v/>
      </c>
      <c r="K318">
        <f>$H$11*I318-H318^2</f>
        <v/>
      </c>
      <c r="L318">
        <f>IF(ABS(K318)&gt;1E-12,($H$11*J318-H318*$I$11)/K318,0)</f>
        <v/>
      </c>
      <c r="M318">
        <f>IF(ABS(K318)&gt;1E-12,(I318*$I$11-H318*J318)/K318,0)</f>
        <v/>
      </c>
      <c r="N318">
        <f>$J$11-M318*$I$11-L318*J318</f>
        <v/>
      </c>
      <c r="O318">
        <f>IF(AND(C318,ABS(K318)&gt;1E-12,L318&gt;0),N318,1E+300)</f>
        <v/>
      </c>
    </row>
    <row r="319">
      <c r="A319">
        <f>$K$11+($L$11-$K$11)*305/400</f>
        <v/>
      </c>
      <c r="B319">
        <f>SUMPRODUCT((Calc!$F$3:$F$22&lt;=LTP!$B$5)*Calc!$K$3:$K$22*(Calc!$G$3:$G$22&lt;=A319))</f>
        <v/>
      </c>
      <c r="C319">
        <f>AND(B319&gt;=2,$B$11-B319&gt;=2)</f>
        <v/>
      </c>
      <c r="D319">
        <f>SUMPRODUCT((Calc!$F$3:$F$22&lt;=LTP!$B$5)*Calc!$K$3:$K$22*(Calc!$G$3:$G$22&gt;A319)*(Calc!$G$3:$G$22-A319))</f>
        <v/>
      </c>
      <c r="E319">
        <f>SUMPRODUCT((Calc!$F$3:$F$22&lt;=LTP!$B$5)*Calc!$K$3:$K$22*(Calc!$G$3:$G$22&gt;A319)*(Calc!$G$3:$G$22-A319)^2)</f>
        <v/>
      </c>
      <c r="F319">
        <f>SUMPRODUCT((Calc!$F$3:$F$22&lt;=LTP!$B$5)*Calc!$K$3:$K$22*(Calc!$G$3:$G$22&gt;A319)*(Calc!$G$3:$G$22-A319)*Calc!$G$3:$G$22)</f>
        <v/>
      </c>
      <c r="G319">
        <f>SUMPRODUCT((Calc!$F$3:$F$22&lt;=LTP!$B$5)*Calc!$K$3:$K$22*(Calc!$G$3:$G$22&gt;A319)*(Calc!$G$3:$G$22-A319)*Calc!$I$3:$I$22)</f>
        <v/>
      </c>
      <c r="H319">
        <f>IF($B$11&gt;0,F319-$C$11*D319/$B$11,0)</f>
        <v/>
      </c>
      <c r="I319">
        <f>IF($B$11&gt;0,E319-D319^2/$B$11,0)</f>
        <v/>
      </c>
      <c r="J319">
        <f>IF($B$11&gt;0,G319-D319*$D$11/$B$11,0)</f>
        <v/>
      </c>
      <c r="K319">
        <f>$H$11*I319-H319^2</f>
        <v/>
      </c>
      <c r="L319">
        <f>IF(ABS(K319)&gt;1E-12,($H$11*J319-H319*$I$11)/K319,0)</f>
        <v/>
      </c>
      <c r="M319">
        <f>IF(ABS(K319)&gt;1E-12,(I319*$I$11-H319*J319)/K319,0)</f>
        <v/>
      </c>
      <c r="N319">
        <f>$J$11-M319*$I$11-L319*J319</f>
        <v/>
      </c>
      <c r="O319">
        <f>IF(AND(C319,ABS(K319)&gt;1E-12,L319&gt;0),N319,1E+300)</f>
        <v/>
      </c>
    </row>
    <row r="320">
      <c r="A320">
        <f>$K$11+($L$11-$K$11)*306/400</f>
        <v/>
      </c>
      <c r="B320">
        <f>SUMPRODUCT((Calc!$F$3:$F$22&lt;=LTP!$B$5)*Calc!$K$3:$K$22*(Calc!$G$3:$G$22&lt;=A320))</f>
        <v/>
      </c>
      <c r="C320">
        <f>AND(B320&gt;=2,$B$11-B320&gt;=2)</f>
        <v/>
      </c>
      <c r="D320">
        <f>SUMPRODUCT((Calc!$F$3:$F$22&lt;=LTP!$B$5)*Calc!$K$3:$K$22*(Calc!$G$3:$G$22&gt;A320)*(Calc!$G$3:$G$22-A320))</f>
        <v/>
      </c>
      <c r="E320">
        <f>SUMPRODUCT((Calc!$F$3:$F$22&lt;=LTP!$B$5)*Calc!$K$3:$K$22*(Calc!$G$3:$G$22&gt;A320)*(Calc!$G$3:$G$22-A320)^2)</f>
        <v/>
      </c>
      <c r="F320">
        <f>SUMPRODUCT((Calc!$F$3:$F$22&lt;=LTP!$B$5)*Calc!$K$3:$K$22*(Calc!$G$3:$G$22&gt;A320)*(Calc!$G$3:$G$22-A320)*Calc!$G$3:$G$22)</f>
        <v/>
      </c>
      <c r="G320">
        <f>SUMPRODUCT((Calc!$F$3:$F$22&lt;=LTP!$B$5)*Calc!$K$3:$K$22*(Calc!$G$3:$G$22&gt;A320)*(Calc!$G$3:$G$22-A320)*Calc!$I$3:$I$22)</f>
        <v/>
      </c>
      <c r="H320">
        <f>IF($B$11&gt;0,F320-$C$11*D320/$B$11,0)</f>
        <v/>
      </c>
      <c r="I320">
        <f>IF($B$11&gt;0,E320-D320^2/$B$11,0)</f>
        <v/>
      </c>
      <c r="J320">
        <f>IF($B$11&gt;0,G320-D320*$D$11/$B$11,0)</f>
        <v/>
      </c>
      <c r="K320">
        <f>$H$11*I320-H320^2</f>
        <v/>
      </c>
      <c r="L320">
        <f>IF(ABS(K320)&gt;1E-12,($H$11*J320-H320*$I$11)/K320,0)</f>
        <v/>
      </c>
      <c r="M320">
        <f>IF(ABS(K320)&gt;1E-12,(I320*$I$11-H320*J320)/K320,0)</f>
        <v/>
      </c>
      <c r="N320">
        <f>$J$11-M320*$I$11-L320*J320</f>
        <v/>
      </c>
      <c r="O320">
        <f>IF(AND(C320,ABS(K320)&gt;1E-12,L320&gt;0),N320,1E+300)</f>
        <v/>
      </c>
    </row>
    <row r="321">
      <c r="A321">
        <f>$K$11+($L$11-$K$11)*307/400</f>
        <v/>
      </c>
      <c r="B321">
        <f>SUMPRODUCT((Calc!$F$3:$F$22&lt;=LTP!$B$5)*Calc!$K$3:$K$22*(Calc!$G$3:$G$22&lt;=A321))</f>
        <v/>
      </c>
      <c r="C321">
        <f>AND(B321&gt;=2,$B$11-B321&gt;=2)</f>
        <v/>
      </c>
      <c r="D321">
        <f>SUMPRODUCT((Calc!$F$3:$F$22&lt;=LTP!$B$5)*Calc!$K$3:$K$22*(Calc!$G$3:$G$22&gt;A321)*(Calc!$G$3:$G$22-A321))</f>
        <v/>
      </c>
      <c r="E321">
        <f>SUMPRODUCT((Calc!$F$3:$F$22&lt;=LTP!$B$5)*Calc!$K$3:$K$22*(Calc!$G$3:$G$22&gt;A321)*(Calc!$G$3:$G$22-A321)^2)</f>
        <v/>
      </c>
      <c r="F321">
        <f>SUMPRODUCT((Calc!$F$3:$F$22&lt;=LTP!$B$5)*Calc!$K$3:$K$22*(Calc!$G$3:$G$22&gt;A321)*(Calc!$G$3:$G$22-A321)*Calc!$G$3:$G$22)</f>
        <v/>
      </c>
      <c r="G321">
        <f>SUMPRODUCT((Calc!$F$3:$F$22&lt;=LTP!$B$5)*Calc!$K$3:$K$22*(Calc!$G$3:$G$22&gt;A321)*(Calc!$G$3:$G$22-A321)*Calc!$I$3:$I$22)</f>
        <v/>
      </c>
      <c r="H321">
        <f>IF($B$11&gt;0,F321-$C$11*D321/$B$11,0)</f>
        <v/>
      </c>
      <c r="I321">
        <f>IF($B$11&gt;0,E321-D321^2/$B$11,0)</f>
        <v/>
      </c>
      <c r="J321">
        <f>IF($B$11&gt;0,G321-D321*$D$11/$B$11,0)</f>
        <v/>
      </c>
      <c r="K321">
        <f>$H$11*I321-H321^2</f>
        <v/>
      </c>
      <c r="L321">
        <f>IF(ABS(K321)&gt;1E-12,($H$11*J321-H321*$I$11)/K321,0)</f>
        <v/>
      </c>
      <c r="M321">
        <f>IF(ABS(K321)&gt;1E-12,(I321*$I$11-H321*J321)/K321,0)</f>
        <v/>
      </c>
      <c r="N321">
        <f>$J$11-M321*$I$11-L321*J321</f>
        <v/>
      </c>
      <c r="O321">
        <f>IF(AND(C321,ABS(K321)&gt;1E-12,L321&gt;0),N321,1E+300)</f>
        <v/>
      </c>
    </row>
    <row r="322">
      <c r="A322">
        <f>$K$11+($L$11-$K$11)*308/400</f>
        <v/>
      </c>
      <c r="B322">
        <f>SUMPRODUCT((Calc!$F$3:$F$22&lt;=LTP!$B$5)*Calc!$K$3:$K$22*(Calc!$G$3:$G$22&lt;=A322))</f>
        <v/>
      </c>
      <c r="C322">
        <f>AND(B322&gt;=2,$B$11-B322&gt;=2)</f>
        <v/>
      </c>
      <c r="D322">
        <f>SUMPRODUCT((Calc!$F$3:$F$22&lt;=LTP!$B$5)*Calc!$K$3:$K$22*(Calc!$G$3:$G$22&gt;A322)*(Calc!$G$3:$G$22-A322))</f>
        <v/>
      </c>
      <c r="E322">
        <f>SUMPRODUCT((Calc!$F$3:$F$22&lt;=LTP!$B$5)*Calc!$K$3:$K$22*(Calc!$G$3:$G$22&gt;A322)*(Calc!$G$3:$G$22-A322)^2)</f>
        <v/>
      </c>
      <c r="F322">
        <f>SUMPRODUCT((Calc!$F$3:$F$22&lt;=LTP!$B$5)*Calc!$K$3:$K$22*(Calc!$G$3:$G$22&gt;A322)*(Calc!$G$3:$G$22-A322)*Calc!$G$3:$G$22)</f>
        <v/>
      </c>
      <c r="G322">
        <f>SUMPRODUCT((Calc!$F$3:$F$22&lt;=LTP!$B$5)*Calc!$K$3:$K$22*(Calc!$G$3:$G$22&gt;A322)*(Calc!$G$3:$G$22-A322)*Calc!$I$3:$I$22)</f>
        <v/>
      </c>
      <c r="H322">
        <f>IF($B$11&gt;0,F322-$C$11*D322/$B$11,0)</f>
        <v/>
      </c>
      <c r="I322">
        <f>IF($B$11&gt;0,E322-D322^2/$B$11,0)</f>
        <v/>
      </c>
      <c r="J322">
        <f>IF($B$11&gt;0,G322-D322*$D$11/$B$11,0)</f>
        <v/>
      </c>
      <c r="K322">
        <f>$H$11*I322-H322^2</f>
        <v/>
      </c>
      <c r="L322">
        <f>IF(ABS(K322)&gt;1E-12,($H$11*J322-H322*$I$11)/K322,0)</f>
        <v/>
      </c>
      <c r="M322">
        <f>IF(ABS(K322)&gt;1E-12,(I322*$I$11-H322*J322)/K322,0)</f>
        <v/>
      </c>
      <c r="N322">
        <f>$J$11-M322*$I$11-L322*J322</f>
        <v/>
      </c>
      <c r="O322">
        <f>IF(AND(C322,ABS(K322)&gt;1E-12,L322&gt;0),N322,1E+300)</f>
        <v/>
      </c>
    </row>
    <row r="323">
      <c r="A323">
        <f>$K$11+($L$11-$K$11)*309/400</f>
        <v/>
      </c>
      <c r="B323">
        <f>SUMPRODUCT((Calc!$F$3:$F$22&lt;=LTP!$B$5)*Calc!$K$3:$K$22*(Calc!$G$3:$G$22&lt;=A323))</f>
        <v/>
      </c>
      <c r="C323">
        <f>AND(B323&gt;=2,$B$11-B323&gt;=2)</f>
        <v/>
      </c>
      <c r="D323">
        <f>SUMPRODUCT((Calc!$F$3:$F$22&lt;=LTP!$B$5)*Calc!$K$3:$K$22*(Calc!$G$3:$G$22&gt;A323)*(Calc!$G$3:$G$22-A323))</f>
        <v/>
      </c>
      <c r="E323">
        <f>SUMPRODUCT((Calc!$F$3:$F$22&lt;=LTP!$B$5)*Calc!$K$3:$K$22*(Calc!$G$3:$G$22&gt;A323)*(Calc!$G$3:$G$22-A323)^2)</f>
        <v/>
      </c>
      <c r="F323">
        <f>SUMPRODUCT((Calc!$F$3:$F$22&lt;=LTP!$B$5)*Calc!$K$3:$K$22*(Calc!$G$3:$G$22&gt;A323)*(Calc!$G$3:$G$22-A323)*Calc!$G$3:$G$22)</f>
        <v/>
      </c>
      <c r="G323">
        <f>SUMPRODUCT((Calc!$F$3:$F$22&lt;=LTP!$B$5)*Calc!$K$3:$K$22*(Calc!$G$3:$G$22&gt;A323)*(Calc!$G$3:$G$22-A323)*Calc!$I$3:$I$22)</f>
        <v/>
      </c>
      <c r="H323">
        <f>IF($B$11&gt;0,F323-$C$11*D323/$B$11,0)</f>
        <v/>
      </c>
      <c r="I323">
        <f>IF($B$11&gt;0,E323-D323^2/$B$11,0)</f>
        <v/>
      </c>
      <c r="J323">
        <f>IF($B$11&gt;0,G323-D323*$D$11/$B$11,0)</f>
        <v/>
      </c>
      <c r="K323">
        <f>$H$11*I323-H323^2</f>
        <v/>
      </c>
      <c r="L323">
        <f>IF(ABS(K323)&gt;1E-12,($H$11*J323-H323*$I$11)/K323,0)</f>
        <v/>
      </c>
      <c r="M323">
        <f>IF(ABS(K323)&gt;1E-12,(I323*$I$11-H323*J323)/K323,0)</f>
        <v/>
      </c>
      <c r="N323">
        <f>$J$11-M323*$I$11-L323*J323</f>
        <v/>
      </c>
      <c r="O323">
        <f>IF(AND(C323,ABS(K323)&gt;1E-12,L323&gt;0),N323,1E+300)</f>
        <v/>
      </c>
    </row>
    <row r="324">
      <c r="A324">
        <f>$K$11+($L$11-$K$11)*310/400</f>
        <v/>
      </c>
      <c r="B324">
        <f>SUMPRODUCT((Calc!$F$3:$F$22&lt;=LTP!$B$5)*Calc!$K$3:$K$22*(Calc!$G$3:$G$22&lt;=A324))</f>
        <v/>
      </c>
      <c r="C324">
        <f>AND(B324&gt;=2,$B$11-B324&gt;=2)</f>
        <v/>
      </c>
      <c r="D324">
        <f>SUMPRODUCT((Calc!$F$3:$F$22&lt;=LTP!$B$5)*Calc!$K$3:$K$22*(Calc!$G$3:$G$22&gt;A324)*(Calc!$G$3:$G$22-A324))</f>
        <v/>
      </c>
      <c r="E324">
        <f>SUMPRODUCT((Calc!$F$3:$F$22&lt;=LTP!$B$5)*Calc!$K$3:$K$22*(Calc!$G$3:$G$22&gt;A324)*(Calc!$G$3:$G$22-A324)^2)</f>
        <v/>
      </c>
      <c r="F324">
        <f>SUMPRODUCT((Calc!$F$3:$F$22&lt;=LTP!$B$5)*Calc!$K$3:$K$22*(Calc!$G$3:$G$22&gt;A324)*(Calc!$G$3:$G$22-A324)*Calc!$G$3:$G$22)</f>
        <v/>
      </c>
      <c r="G324">
        <f>SUMPRODUCT((Calc!$F$3:$F$22&lt;=LTP!$B$5)*Calc!$K$3:$K$22*(Calc!$G$3:$G$22&gt;A324)*(Calc!$G$3:$G$22-A324)*Calc!$I$3:$I$22)</f>
        <v/>
      </c>
      <c r="H324">
        <f>IF($B$11&gt;0,F324-$C$11*D324/$B$11,0)</f>
        <v/>
      </c>
      <c r="I324">
        <f>IF($B$11&gt;0,E324-D324^2/$B$11,0)</f>
        <v/>
      </c>
      <c r="J324">
        <f>IF($B$11&gt;0,G324-D324*$D$11/$B$11,0)</f>
        <v/>
      </c>
      <c r="K324">
        <f>$H$11*I324-H324^2</f>
        <v/>
      </c>
      <c r="L324">
        <f>IF(ABS(K324)&gt;1E-12,($H$11*J324-H324*$I$11)/K324,0)</f>
        <v/>
      </c>
      <c r="M324">
        <f>IF(ABS(K324)&gt;1E-12,(I324*$I$11-H324*J324)/K324,0)</f>
        <v/>
      </c>
      <c r="N324">
        <f>$J$11-M324*$I$11-L324*J324</f>
        <v/>
      </c>
      <c r="O324">
        <f>IF(AND(C324,ABS(K324)&gt;1E-12,L324&gt;0),N324,1E+300)</f>
        <v/>
      </c>
    </row>
    <row r="325">
      <c r="A325">
        <f>$K$11+($L$11-$K$11)*311/400</f>
        <v/>
      </c>
      <c r="B325">
        <f>SUMPRODUCT((Calc!$F$3:$F$22&lt;=LTP!$B$5)*Calc!$K$3:$K$22*(Calc!$G$3:$G$22&lt;=A325))</f>
        <v/>
      </c>
      <c r="C325">
        <f>AND(B325&gt;=2,$B$11-B325&gt;=2)</f>
        <v/>
      </c>
      <c r="D325">
        <f>SUMPRODUCT((Calc!$F$3:$F$22&lt;=LTP!$B$5)*Calc!$K$3:$K$22*(Calc!$G$3:$G$22&gt;A325)*(Calc!$G$3:$G$22-A325))</f>
        <v/>
      </c>
      <c r="E325">
        <f>SUMPRODUCT((Calc!$F$3:$F$22&lt;=LTP!$B$5)*Calc!$K$3:$K$22*(Calc!$G$3:$G$22&gt;A325)*(Calc!$G$3:$G$22-A325)^2)</f>
        <v/>
      </c>
      <c r="F325">
        <f>SUMPRODUCT((Calc!$F$3:$F$22&lt;=LTP!$B$5)*Calc!$K$3:$K$22*(Calc!$G$3:$G$22&gt;A325)*(Calc!$G$3:$G$22-A325)*Calc!$G$3:$G$22)</f>
        <v/>
      </c>
      <c r="G325">
        <f>SUMPRODUCT((Calc!$F$3:$F$22&lt;=LTP!$B$5)*Calc!$K$3:$K$22*(Calc!$G$3:$G$22&gt;A325)*(Calc!$G$3:$G$22-A325)*Calc!$I$3:$I$22)</f>
        <v/>
      </c>
      <c r="H325">
        <f>IF($B$11&gt;0,F325-$C$11*D325/$B$11,0)</f>
        <v/>
      </c>
      <c r="I325">
        <f>IF($B$11&gt;0,E325-D325^2/$B$11,0)</f>
        <v/>
      </c>
      <c r="J325">
        <f>IF($B$11&gt;0,G325-D325*$D$11/$B$11,0)</f>
        <v/>
      </c>
      <c r="K325">
        <f>$H$11*I325-H325^2</f>
        <v/>
      </c>
      <c r="L325">
        <f>IF(ABS(K325)&gt;1E-12,($H$11*J325-H325*$I$11)/K325,0)</f>
        <v/>
      </c>
      <c r="M325">
        <f>IF(ABS(K325)&gt;1E-12,(I325*$I$11-H325*J325)/K325,0)</f>
        <v/>
      </c>
      <c r="N325">
        <f>$J$11-M325*$I$11-L325*J325</f>
        <v/>
      </c>
      <c r="O325">
        <f>IF(AND(C325,ABS(K325)&gt;1E-12,L325&gt;0),N325,1E+300)</f>
        <v/>
      </c>
    </row>
    <row r="326">
      <c r="A326">
        <f>$K$11+($L$11-$K$11)*312/400</f>
        <v/>
      </c>
      <c r="B326">
        <f>SUMPRODUCT((Calc!$F$3:$F$22&lt;=LTP!$B$5)*Calc!$K$3:$K$22*(Calc!$G$3:$G$22&lt;=A326))</f>
        <v/>
      </c>
      <c r="C326">
        <f>AND(B326&gt;=2,$B$11-B326&gt;=2)</f>
        <v/>
      </c>
      <c r="D326">
        <f>SUMPRODUCT((Calc!$F$3:$F$22&lt;=LTP!$B$5)*Calc!$K$3:$K$22*(Calc!$G$3:$G$22&gt;A326)*(Calc!$G$3:$G$22-A326))</f>
        <v/>
      </c>
      <c r="E326">
        <f>SUMPRODUCT((Calc!$F$3:$F$22&lt;=LTP!$B$5)*Calc!$K$3:$K$22*(Calc!$G$3:$G$22&gt;A326)*(Calc!$G$3:$G$22-A326)^2)</f>
        <v/>
      </c>
      <c r="F326">
        <f>SUMPRODUCT((Calc!$F$3:$F$22&lt;=LTP!$B$5)*Calc!$K$3:$K$22*(Calc!$G$3:$G$22&gt;A326)*(Calc!$G$3:$G$22-A326)*Calc!$G$3:$G$22)</f>
        <v/>
      </c>
      <c r="G326">
        <f>SUMPRODUCT((Calc!$F$3:$F$22&lt;=LTP!$B$5)*Calc!$K$3:$K$22*(Calc!$G$3:$G$22&gt;A326)*(Calc!$G$3:$G$22-A326)*Calc!$I$3:$I$22)</f>
        <v/>
      </c>
      <c r="H326">
        <f>IF($B$11&gt;0,F326-$C$11*D326/$B$11,0)</f>
        <v/>
      </c>
      <c r="I326">
        <f>IF($B$11&gt;0,E326-D326^2/$B$11,0)</f>
        <v/>
      </c>
      <c r="J326">
        <f>IF($B$11&gt;0,G326-D326*$D$11/$B$11,0)</f>
        <v/>
      </c>
      <c r="K326">
        <f>$H$11*I326-H326^2</f>
        <v/>
      </c>
      <c r="L326">
        <f>IF(ABS(K326)&gt;1E-12,($H$11*J326-H326*$I$11)/K326,0)</f>
        <v/>
      </c>
      <c r="M326">
        <f>IF(ABS(K326)&gt;1E-12,(I326*$I$11-H326*J326)/K326,0)</f>
        <v/>
      </c>
      <c r="N326">
        <f>$J$11-M326*$I$11-L326*J326</f>
        <v/>
      </c>
      <c r="O326">
        <f>IF(AND(C326,ABS(K326)&gt;1E-12,L326&gt;0),N326,1E+300)</f>
        <v/>
      </c>
    </row>
    <row r="327">
      <c r="A327">
        <f>$K$11+($L$11-$K$11)*313/400</f>
        <v/>
      </c>
      <c r="B327">
        <f>SUMPRODUCT((Calc!$F$3:$F$22&lt;=LTP!$B$5)*Calc!$K$3:$K$22*(Calc!$G$3:$G$22&lt;=A327))</f>
        <v/>
      </c>
      <c r="C327">
        <f>AND(B327&gt;=2,$B$11-B327&gt;=2)</f>
        <v/>
      </c>
      <c r="D327">
        <f>SUMPRODUCT((Calc!$F$3:$F$22&lt;=LTP!$B$5)*Calc!$K$3:$K$22*(Calc!$G$3:$G$22&gt;A327)*(Calc!$G$3:$G$22-A327))</f>
        <v/>
      </c>
      <c r="E327">
        <f>SUMPRODUCT((Calc!$F$3:$F$22&lt;=LTP!$B$5)*Calc!$K$3:$K$22*(Calc!$G$3:$G$22&gt;A327)*(Calc!$G$3:$G$22-A327)^2)</f>
        <v/>
      </c>
      <c r="F327">
        <f>SUMPRODUCT((Calc!$F$3:$F$22&lt;=LTP!$B$5)*Calc!$K$3:$K$22*(Calc!$G$3:$G$22&gt;A327)*(Calc!$G$3:$G$22-A327)*Calc!$G$3:$G$22)</f>
        <v/>
      </c>
      <c r="G327">
        <f>SUMPRODUCT((Calc!$F$3:$F$22&lt;=LTP!$B$5)*Calc!$K$3:$K$22*(Calc!$G$3:$G$22&gt;A327)*(Calc!$G$3:$G$22-A327)*Calc!$I$3:$I$22)</f>
        <v/>
      </c>
      <c r="H327">
        <f>IF($B$11&gt;0,F327-$C$11*D327/$B$11,0)</f>
        <v/>
      </c>
      <c r="I327">
        <f>IF($B$11&gt;0,E327-D327^2/$B$11,0)</f>
        <v/>
      </c>
      <c r="J327">
        <f>IF($B$11&gt;0,G327-D327*$D$11/$B$11,0)</f>
        <v/>
      </c>
      <c r="K327">
        <f>$H$11*I327-H327^2</f>
        <v/>
      </c>
      <c r="L327">
        <f>IF(ABS(K327)&gt;1E-12,($H$11*J327-H327*$I$11)/K327,0)</f>
        <v/>
      </c>
      <c r="M327">
        <f>IF(ABS(K327)&gt;1E-12,(I327*$I$11-H327*J327)/K327,0)</f>
        <v/>
      </c>
      <c r="N327">
        <f>$J$11-M327*$I$11-L327*J327</f>
        <v/>
      </c>
      <c r="O327">
        <f>IF(AND(C327,ABS(K327)&gt;1E-12,L327&gt;0),N327,1E+300)</f>
        <v/>
      </c>
    </row>
    <row r="328">
      <c r="A328">
        <f>$K$11+($L$11-$K$11)*314/400</f>
        <v/>
      </c>
      <c r="B328">
        <f>SUMPRODUCT((Calc!$F$3:$F$22&lt;=LTP!$B$5)*Calc!$K$3:$K$22*(Calc!$G$3:$G$22&lt;=A328))</f>
        <v/>
      </c>
      <c r="C328">
        <f>AND(B328&gt;=2,$B$11-B328&gt;=2)</f>
        <v/>
      </c>
      <c r="D328">
        <f>SUMPRODUCT((Calc!$F$3:$F$22&lt;=LTP!$B$5)*Calc!$K$3:$K$22*(Calc!$G$3:$G$22&gt;A328)*(Calc!$G$3:$G$22-A328))</f>
        <v/>
      </c>
      <c r="E328">
        <f>SUMPRODUCT((Calc!$F$3:$F$22&lt;=LTP!$B$5)*Calc!$K$3:$K$22*(Calc!$G$3:$G$22&gt;A328)*(Calc!$G$3:$G$22-A328)^2)</f>
        <v/>
      </c>
      <c r="F328">
        <f>SUMPRODUCT((Calc!$F$3:$F$22&lt;=LTP!$B$5)*Calc!$K$3:$K$22*(Calc!$G$3:$G$22&gt;A328)*(Calc!$G$3:$G$22-A328)*Calc!$G$3:$G$22)</f>
        <v/>
      </c>
      <c r="G328">
        <f>SUMPRODUCT((Calc!$F$3:$F$22&lt;=LTP!$B$5)*Calc!$K$3:$K$22*(Calc!$G$3:$G$22&gt;A328)*(Calc!$G$3:$G$22-A328)*Calc!$I$3:$I$22)</f>
        <v/>
      </c>
      <c r="H328">
        <f>IF($B$11&gt;0,F328-$C$11*D328/$B$11,0)</f>
        <v/>
      </c>
      <c r="I328">
        <f>IF($B$11&gt;0,E328-D328^2/$B$11,0)</f>
        <v/>
      </c>
      <c r="J328">
        <f>IF($B$11&gt;0,G328-D328*$D$11/$B$11,0)</f>
        <v/>
      </c>
      <c r="K328">
        <f>$H$11*I328-H328^2</f>
        <v/>
      </c>
      <c r="L328">
        <f>IF(ABS(K328)&gt;1E-12,($H$11*J328-H328*$I$11)/K328,0)</f>
        <v/>
      </c>
      <c r="M328">
        <f>IF(ABS(K328)&gt;1E-12,(I328*$I$11-H328*J328)/K328,0)</f>
        <v/>
      </c>
      <c r="N328">
        <f>$J$11-M328*$I$11-L328*J328</f>
        <v/>
      </c>
      <c r="O328">
        <f>IF(AND(C328,ABS(K328)&gt;1E-12,L328&gt;0),N328,1E+300)</f>
        <v/>
      </c>
    </row>
    <row r="329">
      <c r="A329">
        <f>$K$11+($L$11-$K$11)*315/400</f>
        <v/>
      </c>
      <c r="B329">
        <f>SUMPRODUCT((Calc!$F$3:$F$22&lt;=LTP!$B$5)*Calc!$K$3:$K$22*(Calc!$G$3:$G$22&lt;=A329))</f>
        <v/>
      </c>
      <c r="C329">
        <f>AND(B329&gt;=2,$B$11-B329&gt;=2)</f>
        <v/>
      </c>
      <c r="D329">
        <f>SUMPRODUCT((Calc!$F$3:$F$22&lt;=LTP!$B$5)*Calc!$K$3:$K$22*(Calc!$G$3:$G$22&gt;A329)*(Calc!$G$3:$G$22-A329))</f>
        <v/>
      </c>
      <c r="E329">
        <f>SUMPRODUCT((Calc!$F$3:$F$22&lt;=LTP!$B$5)*Calc!$K$3:$K$22*(Calc!$G$3:$G$22&gt;A329)*(Calc!$G$3:$G$22-A329)^2)</f>
        <v/>
      </c>
      <c r="F329">
        <f>SUMPRODUCT((Calc!$F$3:$F$22&lt;=LTP!$B$5)*Calc!$K$3:$K$22*(Calc!$G$3:$G$22&gt;A329)*(Calc!$G$3:$G$22-A329)*Calc!$G$3:$G$22)</f>
        <v/>
      </c>
      <c r="G329">
        <f>SUMPRODUCT((Calc!$F$3:$F$22&lt;=LTP!$B$5)*Calc!$K$3:$K$22*(Calc!$G$3:$G$22&gt;A329)*(Calc!$G$3:$G$22-A329)*Calc!$I$3:$I$22)</f>
        <v/>
      </c>
      <c r="H329">
        <f>IF($B$11&gt;0,F329-$C$11*D329/$B$11,0)</f>
        <v/>
      </c>
      <c r="I329">
        <f>IF($B$11&gt;0,E329-D329^2/$B$11,0)</f>
        <v/>
      </c>
      <c r="J329">
        <f>IF($B$11&gt;0,G329-D329*$D$11/$B$11,0)</f>
        <v/>
      </c>
      <c r="K329">
        <f>$H$11*I329-H329^2</f>
        <v/>
      </c>
      <c r="L329">
        <f>IF(ABS(K329)&gt;1E-12,($H$11*J329-H329*$I$11)/K329,0)</f>
        <v/>
      </c>
      <c r="M329">
        <f>IF(ABS(K329)&gt;1E-12,(I329*$I$11-H329*J329)/K329,0)</f>
        <v/>
      </c>
      <c r="N329">
        <f>$J$11-M329*$I$11-L329*J329</f>
        <v/>
      </c>
      <c r="O329">
        <f>IF(AND(C329,ABS(K329)&gt;1E-12,L329&gt;0),N329,1E+300)</f>
        <v/>
      </c>
    </row>
    <row r="330">
      <c r="A330">
        <f>$K$11+($L$11-$K$11)*316/400</f>
        <v/>
      </c>
      <c r="B330">
        <f>SUMPRODUCT((Calc!$F$3:$F$22&lt;=LTP!$B$5)*Calc!$K$3:$K$22*(Calc!$G$3:$G$22&lt;=A330))</f>
        <v/>
      </c>
      <c r="C330">
        <f>AND(B330&gt;=2,$B$11-B330&gt;=2)</f>
        <v/>
      </c>
      <c r="D330">
        <f>SUMPRODUCT((Calc!$F$3:$F$22&lt;=LTP!$B$5)*Calc!$K$3:$K$22*(Calc!$G$3:$G$22&gt;A330)*(Calc!$G$3:$G$22-A330))</f>
        <v/>
      </c>
      <c r="E330">
        <f>SUMPRODUCT((Calc!$F$3:$F$22&lt;=LTP!$B$5)*Calc!$K$3:$K$22*(Calc!$G$3:$G$22&gt;A330)*(Calc!$G$3:$G$22-A330)^2)</f>
        <v/>
      </c>
      <c r="F330">
        <f>SUMPRODUCT((Calc!$F$3:$F$22&lt;=LTP!$B$5)*Calc!$K$3:$K$22*(Calc!$G$3:$G$22&gt;A330)*(Calc!$G$3:$G$22-A330)*Calc!$G$3:$G$22)</f>
        <v/>
      </c>
      <c r="G330">
        <f>SUMPRODUCT((Calc!$F$3:$F$22&lt;=LTP!$B$5)*Calc!$K$3:$K$22*(Calc!$G$3:$G$22&gt;A330)*(Calc!$G$3:$G$22-A330)*Calc!$I$3:$I$22)</f>
        <v/>
      </c>
      <c r="H330">
        <f>IF($B$11&gt;0,F330-$C$11*D330/$B$11,0)</f>
        <v/>
      </c>
      <c r="I330">
        <f>IF($B$11&gt;0,E330-D330^2/$B$11,0)</f>
        <v/>
      </c>
      <c r="J330">
        <f>IF($B$11&gt;0,G330-D330*$D$11/$B$11,0)</f>
        <v/>
      </c>
      <c r="K330">
        <f>$H$11*I330-H330^2</f>
        <v/>
      </c>
      <c r="L330">
        <f>IF(ABS(K330)&gt;1E-12,($H$11*J330-H330*$I$11)/K330,0)</f>
        <v/>
      </c>
      <c r="M330">
        <f>IF(ABS(K330)&gt;1E-12,(I330*$I$11-H330*J330)/K330,0)</f>
        <v/>
      </c>
      <c r="N330">
        <f>$J$11-M330*$I$11-L330*J330</f>
        <v/>
      </c>
      <c r="O330">
        <f>IF(AND(C330,ABS(K330)&gt;1E-12,L330&gt;0),N330,1E+300)</f>
        <v/>
      </c>
    </row>
    <row r="331">
      <c r="A331">
        <f>$K$11+($L$11-$K$11)*317/400</f>
        <v/>
      </c>
      <c r="B331">
        <f>SUMPRODUCT((Calc!$F$3:$F$22&lt;=LTP!$B$5)*Calc!$K$3:$K$22*(Calc!$G$3:$G$22&lt;=A331))</f>
        <v/>
      </c>
      <c r="C331">
        <f>AND(B331&gt;=2,$B$11-B331&gt;=2)</f>
        <v/>
      </c>
      <c r="D331">
        <f>SUMPRODUCT((Calc!$F$3:$F$22&lt;=LTP!$B$5)*Calc!$K$3:$K$22*(Calc!$G$3:$G$22&gt;A331)*(Calc!$G$3:$G$22-A331))</f>
        <v/>
      </c>
      <c r="E331">
        <f>SUMPRODUCT((Calc!$F$3:$F$22&lt;=LTP!$B$5)*Calc!$K$3:$K$22*(Calc!$G$3:$G$22&gt;A331)*(Calc!$G$3:$G$22-A331)^2)</f>
        <v/>
      </c>
      <c r="F331">
        <f>SUMPRODUCT((Calc!$F$3:$F$22&lt;=LTP!$B$5)*Calc!$K$3:$K$22*(Calc!$G$3:$G$22&gt;A331)*(Calc!$G$3:$G$22-A331)*Calc!$G$3:$G$22)</f>
        <v/>
      </c>
      <c r="G331">
        <f>SUMPRODUCT((Calc!$F$3:$F$22&lt;=LTP!$B$5)*Calc!$K$3:$K$22*(Calc!$G$3:$G$22&gt;A331)*(Calc!$G$3:$G$22-A331)*Calc!$I$3:$I$22)</f>
        <v/>
      </c>
      <c r="H331">
        <f>IF($B$11&gt;0,F331-$C$11*D331/$B$11,0)</f>
        <v/>
      </c>
      <c r="I331">
        <f>IF($B$11&gt;0,E331-D331^2/$B$11,0)</f>
        <v/>
      </c>
      <c r="J331">
        <f>IF($B$11&gt;0,G331-D331*$D$11/$B$11,0)</f>
        <v/>
      </c>
      <c r="K331">
        <f>$H$11*I331-H331^2</f>
        <v/>
      </c>
      <c r="L331">
        <f>IF(ABS(K331)&gt;1E-12,($H$11*J331-H331*$I$11)/K331,0)</f>
        <v/>
      </c>
      <c r="M331">
        <f>IF(ABS(K331)&gt;1E-12,(I331*$I$11-H331*J331)/K331,0)</f>
        <v/>
      </c>
      <c r="N331">
        <f>$J$11-M331*$I$11-L331*J331</f>
        <v/>
      </c>
      <c r="O331">
        <f>IF(AND(C331,ABS(K331)&gt;1E-12,L331&gt;0),N331,1E+300)</f>
        <v/>
      </c>
    </row>
    <row r="332">
      <c r="A332">
        <f>$K$11+($L$11-$K$11)*318/400</f>
        <v/>
      </c>
      <c r="B332">
        <f>SUMPRODUCT((Calc!$F$3:$F$22&lt;=LTP!$B$5)*Calc!$K$3:$K$22*(Calc!$G$3:$G$22&lt;=A332))</f>
        <v/>
      </c>
      <c r="C332">
        <f>AND(B332&gt;=2,$B$11-B332&gt;=2)</f>
        <v/>
      </c>
      <c r="D332">
        <f>SUMPRODUCT((Calc!$F$3:$F$22&lt;=LTP!$B$5)*Calc!$K$3:$K$22*(Calc!$G$3:$G$22&gt;A332)*(Calc!$G$3:$G$22-A332))</f>
        <v/>
      </c>
      <c r="E332">
        <f>SUMPRODUCT((Calc!$F$3:$F$22&lt;=LTP!$B$5)*Calc!$K$3:$K$22*(Calc!$G$3:$G$22&gt;A332)*(Calc!$G$3:$G$22-A332)^2)</f>
        <v/>
      </c>
      <c r="F332">
        <f>SUMPRODUCT((Calc!$F$3:$F$22&lt;=LTP!$B$5)*Calc!$K$3:$K$22*(Calc!$G$3:$G$22&gt;A332)*(Calc!$G$3:$G$22-A332)*Calc!$G$3:$G$22)</f>
        <v/>
      </c>
      <c r="G332">
        <f>SUMPRODUCT((Calc!$F$3:$F$22&lt;=LTP!$B$5)*Calc!$K$3:$K$22*(Calc!$G$3:$G$22&gt;A332)*(Calc!$G$3:$G$22-A332)*Calc!$I$3:$I$22)</f>
        <v/>
      </c>
      <c r="H332">
        <f>IF($B$11&gt;0,F332-$C$11*D332/$B$11,0)</f>
        <v/>
      </c>
      <c r="I332">
        <f>IF($B$11&gt;0,E332-D332^2/$B$11,0)</f>
        <v/>
      </c>
      <c r="J332">
        <f>IF($B$11&gt;0,G332-D332*$D$11/$B$11,0)</f>
        <v/>
      </c>
      <c r="K332">
        <f>$H$11*I332-H332^2</f>
        <v/>
      </c>
      <c r="L332">
        <f>IF(ABS(K332)&gt;1E-12,($H$11*J332-H332*$I$11)/K332,0)</f>
        <v/>
      </c>
      <c r="M332">
        <f>IF(ABS(K332)&gt;1E-12,(I332*$I$11-H332*J332)/K332,0)</f>
        <v/>
      </c>
      <c r="N332">
        <f>$J$11-M332*$I$11-L332*J332</f>
        <v/>
      </c>
      <c r="O332">
        <f>IF(AND(C332,ABS(K332)&gt;1E-12,L332&gt;0),N332,1E+300)</f>
        <v/>
      </c>
    </row>
    <row r="333">
      <c r="A333">
        <f>$K$11+($L$11-$K$11)*319/400</f>
        <v/>
      </c>
      <c r="B333">
        <f>SUMPRODUCT((Calc!$F$3:$F$22&lt;=LTP!$B$5)*Calc!$K$3:$K$22*(Calc!$G$3:$G$22&lt;=A333))</f>
        <v/>
      </c>
      <c r="C333">
        <f>AND(B333&gt;=2,$B$11-B333&gt;=2)</f>
        <v/>
      </c>
      <c r="D333">
        <f>SUMPRODUCT((Calc!$F$3:$F$22&lt;=LTP!$B$5)*Calc!$K$3:$K$22*(Calc!$G$3:$G$22&gt;A333)*(Calc!$G$3:$G$22-A333))</f>
        <v/>
      </c>
      <c r="E333">
        <f>SUMPRODUCT((Calc!$F$3:$F$22&lt;=LTP!$B$5)*Calc!$K$3:$K$22*(Calc!$G$3:$G$22&gt;A333)*(Calc!$G$3:$G$22-A333)^2)</f>
        <v/>
      </c>
      <c r="F333">
        <f>SUMPRODUCT((Calc!$F$3:$F$22&lt;=LTP!$B$5)*Calc!$K$3:$K$22*(Calc!$G$3:$G$22&gt;A333)*(Calc!$G$3:$G$22-A333)*Calc!$G$3:$G$22)</f>
        <v/>
      </c>
      <c r="G333">
        <f>SUMPRODUCT((Calc!$F$3:$F$22&lt;=LTP!$B$5)*Calc!$K$3:$K$22*(Calc!$G$3:$G$22&gt;A333)*(Calc!$G$3:$G$22-A333)*Calc!$I$3:$I$22)</f>
        <v/>
      </c>
      <c r="H333">
        <f>IF($B$11&gt;0,F333-$C$11*D333/$B$11,0)</f>
        <v/>
      </c>
      <c r="I333">
        <f>IF($B$11&gt;0,E333-D333^2/$B$11,0)</f>
        <v/>
      </c>
      <c r="J333">
        <f>IF($B$11&gt;0,G333-D333*$D$11/$B$11,0)</f>
        <v/>
      </c>
      <c r="K333">
        <f>$H$11*I333-H333^2</f>
        <v/>
      </c>
      <c r="L333">
        <f>IF(ABS(K333)&gt;1E-12,($H$11*J333-H333*$I$11)/K333,0)</f>
        <v/>
      </c>
      <c r="M333">
        <f>IF(ABS(K333)&gt;1E-12,(I333*$I$11-H333*J333)/K333,0)</f>
        <v/>
      </c>
      <c r="N333">
        <f>$J$11-M333*$I$11-L333*J333</f>
        <v/>
      </c>
      <c r="O333">
        <f>IF(AND(C333,ABS(K333)&gt;1E-12,L333&gt;0),N333,1E+300)</f>
        <v/>
      </c>
    </row>
    <row r="334">
      <c r="A334">
        <f>$K$11+($L$11-$K$11)*320/400</f>
        <v/>
      </c>
      <c r="B334">
        <f>SUMPRODUCT((Calc!$F$3:$F$22&lt;=LTP!$B$5)*Calc!$K$3:$K$22*(Calc!$G$3:$G$22&lt;=A334))</f>
        <v/>
      </c>
      <c r="C334">
        <f>AND(B334&gt;=2,$B$11-B334&gt;=2)</f>
        <v/>
      </c>
      <c r="D334">
        <f>SUMPRODUCT((Calc!$F$3:$F$22&lt;=LTP!$B$5)*Calc!$K$3:$K$22*(Calc!$G$3:$G$22&gt;A334)*(Calc!$G$3:$G$22-A334))</f>
        <v/>
      </c>
      <c r="E334">
        <f>SUMPRODUCT((Calc!$F$3:$F$22&lt;=LTP!$B$5)*Calc!$K$3:$K$22*(Calc!$G$3:$G$22&gt;A334)*(Calc!$G$3:$G$22-A334)^2)</f>
        <v/>
      </c>
      <c r="F334">
        <f>SUMPRODUCT((Calc!$F$3:$F$22&lt;=LTP!$B$5)*Calc!$K$3:$K$22*(Calc!$G$3:$G$22&gt;A334)*(Calc!$G$3:$G$22-A334)*Calc!$G$3:$G$22)</f>
        <v/>
      </c>
      <c r="G334">
        <f>SUMPRODUCT((Calc!$F$3:$F$22&lt;=LTP!$B$5)*Calc!$K$3:$K$22*(Calc!$G$3:$G$22&gt;A334)*(Calc!$G$3:$G$22-A334)*Calc!$I$3:$I$22)</f>
        <v/>
      </c>
      <c r="H334">
        <f>IF($B$11&gt;0,F334-$C$11*D334/$B$11,0)</f>
        <v/>
      </c>
      <c r="I334">
        <f>IF($B$11&gt;0,E334-D334^2/$B$11,0)</f>
        <v/>
      </c>
      <c r="J334">
        <f>IF($B$11&gt;0,G334-D334*$D$11/$B$11,0)</f>
        <v/>
      </c>
      <c r="K334">
        <f>$H$11*I334-H334^2</f>
        <v/>
      </c>
      <c r="L334">
        <f>IF(ABS(K334)&gt;1E-12,($H$11*J334-H334*$I$11)/K334,0)</f>
        <v/>
      </c>
      <c r="M334">
        <f>IF(ABS(K334)&gt;1E-12,(I334*$I$11-H334*J334)/K334,0)</f>
        <v/>
      </c>
      <c r="N334">
        <f>$J$11-M334*$I$11-L334*J334</f>
        <v/>
      </c>
      <c r="O334">
        <f>IF(AND(C334,ABS(K334)&gt;1E-12,L334&gt;0),N334,1E+300)</f>
        <v/>
      </c>
    </row>
    <row r="335">
      <c r="A335">
        <f>$K$11+($L$11-$K$11)*321/400</f>
        <v/>
      </c>
      <c r="B335">
        <f>SUMPRODUCT((Calc!$F$3:$F$22&lt;=LTP!$B$5)*Calc!$K$3:$K$22*(Calc!$G$3:$G$22&lt;=A335))</f>
        <v/>
      </c>
      <c r="C335">
        <f>AND(B335&gt;=2,$B$11-B335&gt;=2)</f>
        <v/>
      </c>
      <c r="D335">
        <f>SUMPRODUCT((Calc!$F$3:$F$22&lt;=LTP!$B$5)*Calc!$K$3:$K$22*(Calc!$G$3:$G$22&gt;A335)*(Calc!$G$3:$G$22-A335))</f>
        <v/>
      </c>
      <c r="E335">
        <f>SUMPRODUCT((Calc!$F$3:$F$22&lt;=LTP!$B$5)*Calc!$K$3:$K$22*(Calc!$G$3:$G$22&gt;A335)*(Calc!$G$3:$G$22-A335)^2)</f>
        <v/>
      </c>
      <c r="F335">
        <f>SUMPRODUCT((Calc!$F$3:$F$22&lt;=LTP!$B$5)*Calc!$K$3:$K$22*(Calc!$G$3:$G$22&gt;A335)*(Calc!$G$3:$G$22-A335)*Calc!$G$3:$G$22)</f>
        <v/>
      </c>
      <c r="G335">
        <f>SUMPRODUCT((Calc!$F$3:$F$22&lt;=LTP!$B$5)*Calc!$K$3:$K$22*(Calc!$G$3:$G$22&gt;A335)*(Calc!$G$3:$G$22-A335)*Calc!$I$3:$I$22)</f>
        <v/>
      </c>
      <c r="H335">
        <f>IF($B$11&gt;0,F335-$C$11*D335/$B$11,0)</f>
        <v/>
      </c>
      <c r="I335">
        <f>IF($B$11&gt;0,E335-D335^2/$B$11,0)</f>
        <v/>
      </c>
      <c r="J335">
        <f>IF($B$11&gt;0,G335-D335*$D$11/$B$11,0)</f>
        <v/>
      </c>
      <c r="K335">
        <f>$H$11*I335-H335^2</f>
        <v/>
      </c>
      <c r="L335">
        <f>IF(ABS(K335)&gt;1E-12,($H$11*J335-H335*$I$11)/K335,0)</f>
        <v/>
      </c>
      <c r="M335">
        <f>IF(ABS(K335)&gt;1E-12,(I335*$I$11-H335*J335)/K335,0)</f>
        <v/>
      </c>
      <c r="N335">
        <f>$J$11-M335*$I$11-L335*J335</f>
        <v/>
      </c>
      <c r="O335">
        <f>IF(AND(C335,ABS(K335)&gt;1E-12,L335&gt;0),N335,1E+300)</f>
        <v/>
      </c>
    </row>
    <row r="336">
      <c r="A336">
        <f>$K$11+($L$11-$K$11)*322/400</f>
        <v/>
      </c>
      <c r="B336">
        <f>SUMPRODUCT((Calc!$F$3:$F$22&lt;=LTP!$B$5)*Calc!$K$3:$K$22*(Calc!$G$3:$G$22&lt;=A336))</f>
        <v/>
      </c>
      <c r="C336">
        <f>AND(B336&gt;=2,$B$11-B336&gt;=2)</f>
        <v/>
      </c>
      <c r="D336">
        <f>SUMPRODUCT((Calc!$F$3:$F$22&lt;=LTP!$B$5)*Calc!$K$3:$K$22*(Calc!$G$3:$G$22&gt;A336)*(Calc!$G$3:$G$22-A336))</f>
        <v/>
      </c>
      <c r="E336">
        <f>SUMPRODUCT((Calc!$F$3:$F$22&lt;=LTP!$B$5)*Calc!$K$3:$K$22*(Calc!$G$3:$G$22&gt;A336)*(Calc!$G$3:$G$22-A336)^2)</f>
        <v/>
      </c>
      <c r="F336">
        <f>SUMPRODUCT((Calc!$F$3:$F$22&lt;=LTP!$B$5)*Calc!$K$3:$K$22*(Calc!$G$3:$G$22&gt;A336)*(Calc!$G$3:$G$22-A336)*Calc!$G$3:$G$22)</f>
        <v/>
      </c>
      <c r="G336">
        <f>SUMPRODUCT((Calc!$F$3:$F$22&lt;=LTP!$B$5)*Calc!$K$3:$K$22*(Calc!$G$3:$G$22&gt;A336)*(Calc!$G$3:$G$22-A336)*Calc!$I$3:$I$22)</f>
        <v/>
      </c>
      <c r="H336">
        <f>IF($B$11&gt;0,F336-$C$11*D336/$B$11,0)</f>
        <v/>
      </c>
      <c r="I336">
        <f>IF($B$11&gt;0,E336-D336^2/$B$11,0)</f>
        <v/>
      </c>
      <c r="J336">
        <f>IF($B$11&gt;0,G336-D336*$D$11/$B$11,0)</f>
        <v/>
      </c>
      <c r="K336">
        <f>$H$11*I336-H336^2</f>
        <v/>
      </c>
      <c r="L336">
        <f>IF(ABS(K336)&gt;1E-12,($H$11*J336-H336*$I$11)/K336,0)</f>
        <v/>
      </c>
      <c r="M336">
        <f>IF(ABS(K336)&gt;1E-12,(I336*$I$11-H336*J336)/K336,0)</f>
        <v/>
      </c>
      <c r="N336">
        <f>$J$11-M336*$I$11-L336*J336</f>
        <v/>
      </c>
      <c r="O336">
        <f>IF(AND(C336,ABS(K336)&gt;1E-12,L336&gt;0),N336,1E+300)</f>
        <v/>
      </c>
    </row>
    <row r="337">
      <c r="A337">
        <f>$K$11+($L$11-$K$11)*323/400</f>
        <v/>
      </c>
      <c r="B337">
        <f>SUMPRODUCT((Calc!$F$3:$F$22&lt;=LTP!$B$5)*Calc!$K$3:$K$22*(Calc!$G$3:$G$22&lt;=A337))</f>
        <v/>
      </c>
      <c r="C337">
        <f>AND(B337&gt;=2,$B$11-B337&gt;=2)</f>
        <v/>
      </c>
      <c r="D337">
        <f>SUMPRODUCT((Calc!$F$3:$F$22&lt;=LTP!$B$5)*Calc!$K$3:$K$22*(Calc!$G$3:$G$22&gt;A337)*(Calc!$G$3:$G$22-A337))</f>
        <v/>
      </c>
      <c r="E337">
        <f>SUMPRODUCT((Calc!$F$3:$F$22&lt;=LTP!$B$5)*Calc!$K$3:$K$22*(Calc!$G$3:$G$22&gt;A337)*(Calc!$G$3:$G$22-A337)^2)</f>
        <v/>
      </c>
      <c r="F337">
        <f>SUMPRODUCT((Calc!$F$3:$F$22&lt;=LTP!$B$5)*Calc!$K$3:$K$22*(Calc!$G$3:$G$22&gt;A337)*(Calc!$G$3:$G$22-A337)*Calc!$G$3:$G$22)</f>
        <v/>
      </c>
      <c r="G337">
        <f>SUMPRODUCT((Calc!$F$3:$F$22&lt;=LTP!$B$5)*Calc!$K$3:$K$22*(Calc!$G$3:$G$22&gt;A337)*(Calc!$G$3:$G$22-A337)*Calc!$I$3:$I$22)</f>
        <v/>
      </c>
      <c r="H337">
        <f>IF($B$11&gt;0,F337-$C$11*D337/$B$11,0)</f>
        <v/>
      </c>
      <c r="I337">
        <f>IF($B$11&gt;0,E337-D337^2/$B$11,0)</f>
        <v/>
      </c>
      <c r="J337">
        <f>IF($B$11&gt;0,G337-D337*$D$11/$B$11,0)</f>
        <v/>
      </c>
      <c r="K337">
        <f>$H$11*I337-H337^2</f>
        <v/>
      </c>
      <c r="L337">
        <f>IF(ABS(K337)&gt;1E-12,($H$11*J337-H337*$I$11)/K337,0)</f>
        <v/>
      </c>
      <c r="M337">
        <f>IF(ABS(K337)&gt;1E-12,(I337*$I$11-H337*J337)/K337,0)</f>
        <v/>
      </c>
      <c r="N337">
        <f>$J$11-M337*$I$11-L337*J337</f>
        <v/>
      </c>
      <c r="O337">
        <f>IF(AND(C337,ABS(K337)&gt;1E-12,L337&gt;0),N337,1E+300)</f>
        <v/>
      </c>
    </row>
    <row r="338">
      <c r="A338">
        <f>$K$11+($L$11-$K$11)*324/400</f>
        <v/>
      </c>
      <c r="B338">
        <f>SUMPRODUCT((Calc!$F$3:$F$22&lt;=LTP!$B$5)*Calc!$K$3:$K$22*(Calc!$G$3:$G$22&lt;=A338))</f>
        <v/>
      </c>
      <c r="C338">
        <f>AND(B338&gt;=2,$B$11-B338&gt;=2)</f>
        <v/>
      </c>
      <c r="D338">
        <f>SUMPRODUCT((Calc!$F$3:$F$22&lt;=LTP!$B$5)*Calc!$K$3:$K$22*(Calc!$G$3:$G$22&gt;A338)*(Calc!$G$3:$G$22-A338))</f>
        <v/>
      </c>
      <c r="E338">
        <f>SUMPRODUCT((Calc!$F$3:$F$22&lt;=LTP!$B$5)*Calc!$K$3:$K$22*(Calc!$G$3:$G$22&gt;A338)*(Calc!$G$3:$G$22-A338)^2)</f>
        <v/>
      </c>
      <c r="F338">
        <f>SUMPRODUCT((Calc!$F$3:$F$22&lt;=LTP!$B$5)*Calc!$K$3:$K$22*(Calc!$G$3:$G$22&gt;A338)*(Calc!$G$3:$G$22-A338)*Calc!$G$3:$G$22)</f>
        <v/>
      </c>
      <c r="G338">
        <f>SUMPRODUCT((Calc!$F$3:$F$22&lt;=LTP!$B$5)*Calc!$K$3:$K$22*(Calc!$G$3:$G$22&gt;A338)*(Calc!$G$3:$G$22-A338)*Calc!$I$3:$I$22)</f>
        <v/>
      </c>
      <c r="H338">
        <f>IF($B$11&gt;0,F338-$C$11*D338/$B$11,0)</f>
        <v/>
      </c>
      <c r="I338">
        <f>IF($B$11&gt;0,E338-D338^2/$B$11,0)</f>
        <v/>
      </c>
      <c r="J338">
        <f>IF($B$11&gt;0,G338-D338*$D$11/$B$11,0)</f>
        <v/>
      </c>
      <c r="K338">
        <f>$H$11*I338-H338^2</f>
        <v/>
      </c>
      <c r="L338">
        <f>IF(ABS(K338)&gt;1E-12,($H$11*J338-H338*$I$11)/K338,0)</f>
        <v/>
      </c>
      <c r="M338">
        <f>IF(ABS(K338)&gt;1E-12,(I338*$I$11-H338*J338)/K338,0)</f>
        <v/>
      </c>
      <c r="N338">
        <f>$J$11-M338*$I$11-L338*J338</f>
        <v/>
      </c>
      <c r="O338">
        <f>IF(AND(C338,ABS(K338)&gt;1E-12,L338&gt;0),N338,1E+300)</f>
        <v/>
      </c>
    </row>
    <row r="339">
      <c r="A339">
        <f>$K$11+($L$11-$K$11)*325/400</f>
        <v/>
      </c>
      <c r="B339">
        <f>SUMPRODUCT((Calc!$F$3:$F$22&lt;=LTP!$B$5)*Calc!$K$3:$K$22*(Calc!$G$3:$G$22&lt;=A339))</f>
        <v/>
      </c>
      <c r="C339">
        <f>AND(B339&gt;=2,$B$11-B339&gt;=2)</f>
        <v/>
      </c>
      <c r="D339">
        <f>SUMPRODUCT((Calc!$F$3:$F$22&lt;=LTP!$B$5)*Calc!$K$3:$K$22*(Calc!$G$3:$G$22&gt;A339)*(Calc!$G$3:$G$22-A339))</f>
        <v/>
      </c>
      <c r="E339">
        <f>SUMPRODUCT((Calc!$F$3:$F$22&lt;=LTP!$B$5)*Calc!$K$3:$K$22*(Calc!$G$3:$G$22&gt;A339)*(Calc!$G$3:$G$22-A339)^2)</f>
        <v/>
      </c>
      <c r="F339">
        <f>SUMPRODUCT((Calc!$F$3:$F$22&lt;=LTP!$B$5)*Calc!$K$3:$K$22*(Calc!$G$3:$G$22&gt;A339)*(Calc!$G$3:$G$22-A339)*Calc!$G$3:$G$22)</f>
        <v/>
      </c>
      <c r="G339">
        <f>SUMPRODUCT((Calc!$F$3:$F$22&lt;=LTP!$B$5)*Calc!$K$3:$K$22*(Calc!$G$3:$G$22&gt;A339)*(Calc!$G$3:$G$22-A339)*Calc!$I$3:$I$22)</f>
        <v/>
      </c>
      <c r="H339">
        <f>IF($B$11&gt;0,F339-$C$11*D339/$B$11,0)</f>
        <v/>
      </c>
      <c r="I339">
        <f>IF($B$11&gt;0,E339-D339^2/$B$11,0)</f>
        <v/>
      </c>
      <c r="J339">
        <f>IF($B$11&gt;0,G339-D339*$D$11/$B$11,0)</f>
        <v/>
      </c>
      <c r="K339">
        <f>$H$11*I339-H339^2</f>
        <v/>
      </c>
      <c r="L339">
        <f>IF(ABS(K339)&gt;1E-12,($H$11*J339-H339*$I$11)/K339,0)</f>
        <v/>
      </c>
      <c r="M339">
        <f>IF(ABS(K339)&gt;1E-12,(I339*$I$11-H339*J339)/K339,0)</f>
        <v/>
      </c>
      <c r="N339">
        <f>$J$11-M339*$I$11-L339*J339</f>
        <v/>
      </c>
      <c r="O339">
        <f>IF(AND(C339,ABS(K339)&gt;1E-12,L339&gt;0),N339,1E+300)</f>
        <v/>
      </c>
    </row>
    <row r="340">
      <c r="A340">
        <f>$K$11+($L$11-$K$11)*326/400</f>
        <v/>
      </c>
      <c r="B340">
        <f>SUMPRODUCT((Calc!$F$3:$F$22&lt;=LTP!$B$5)*Calc!$K$3:$K$22*(Calc!$G$3:$G$22&lt;=A340))</f>
        <v/>
      </c>
      <c r="C340">
        <f>AND(B340&gt;=2,$B$11-B340&gt;=2)</f>
        <v/>
      </c>
      <c r="D340">
        <f>SUMPRODUCT((Calc!$F$3:$F$22&lt;=LTP!$B$5)*Calc!$K$3:$K$22*(Calc!$G$3:$G$22&gt;A340)*(Calc!$G$3:$G$22-A340))</f>
        <v/>
      </c>
      <c r="E340">
        <f>SUMPRODUCT((Calc!$F$3:$F$22&lt;=LTP!$B$5)*Calc!$K$3:$K$22*(Calc!$G$3:$G$22&gt;A340)*(Calc!$G$3:$G$22-A340)^2)</f>
        <v/>
      </c>
      <c r="F340">
        <f>SUMPRODUCT((Calc!$F$3:$F$22&lt;=LTP!$B$5)*Calc!$K$3:$K$22*(Calc!$G$3:$G$22&gt;A340)*(Calc!$G$3:$G$22-A340)*Calc!$G$3:$G$22)</f>
        <v/>
      </c>
      <c r="G340">
        <f>SUMPRODUCT((Calc!$F$3:$F$22&lt;=LTP!$B$5)*Calc!$K$3:$K$22*(Calc!$G$3:$G$22&gt;A340)*(Calc!$G$3:$G$22-A340)*Calc!$I$3:$I$22)</f>
        <v/>
      </c>
      <c r="H340">
        <f>IF($B$11&gt;0,F340-$C$11*D340/$B$11,0)</f>
        <v/>
      </c>
      <c r="I340">
        <f>IF($B$11&gt;0,E340-D340^2/$B$11,0)</f>
        <v/>
      </c>
      <c r="J340">
        <f>IF($B$11&gt;0,G340-D340*$D$11/$B$11,0)</f>
        <v/>
      </c>
      <c r="K340">
        <f>$H$11*I340-H340^2</f>
        <v/>
      </c>
      <c r="L340">
        <f>IF(ABS(K340)&gt;1E-12,($H$11*J340-H340*$I$11)/K340,0)</f>
        <v/>
      </c>
      <c r="M340">
        <f>IF(ABS(K340)&gt;1E-12,(I340*$I$11-H340*J340)/K340,0)</f>
        <v/>
      </c>
      <c r="N340">
        <f>$J$11-M340*$I$11-L340*J340</f>
        <v/>
      </c>
      <c r="O340">
        <f>IF(AND(C340,ABS(K340)&gt;1E-12,L340&gt;0),N340,1E+300)</f>
        <v/>
      </c>
    </row>
    <row r="341">
      <c r="A341">
        <f>$K$11+($L$11-$K$11)*327/400</f>
        <v/>
      </c>
      <c r="B341">
        <f>SUMPRODUCT((Calc!$F$3:$F$22&lt;=LTP!$B$5)*Calc!$K$3:$K$22*(Calc!$G$3:$G$22&lt;=A341))</f>
        <v/>
      </c>
      <c r="C341">
        <f>AND(B341&gt;=2,$B$11-B341&gt;=2)</f>
        <v/>
      </c>
      <c r="D341">
        <f>SUMPRODUCT((Calc!$F$3:$F$22&lt;=LTP!$B$5)*Calc!$K$3:$K$22*(Calc!$G$3:$G$22&gt;A341)*(Calc!$G$3:$G$22-A341))</f>
        <v/>
      </c>
      <c r="E341">
        <f>SUMPRODUCT((Calc!$F$3:$F$22&lt;=LTP!$B$5)*Calc!$K$3:$K$22*(Calc!$G$3:$G$22&gt;A341)*(Calc!$G$3:$G$22-A341)^2)</f>
        <v/>
      </c>
      <c r="F341">
        <f>SUMPRODUCT((Calc!$F$3:$F$22&lt;=LTP!$B$5)*Calc!$K$3:$K$22*(Calc!$G$3:$G$22&gt;A341)*(Calc!$G$3:$G$22-A341)*Calc!$G$3:$G$22)</f>
        <v/>
      </c>
      <c r="G341">
        <f>SUMPRODUCT((Calc!$F$3:$F$22&lt;=LTP!$B$5)*Calc!$K$3:$K$22*(Calc!$G$3:$G$22&gt;A341)*(Calc!$G$3:$G$22-A341)*Calc!$I$3:$I$22)</f>
        <v/>
      </c>
      <c r="H341">
        <f>IF($B$11&gt;0,F341-$C$11*D341/$B$11,0)</f>
        <v/>
      </c>
      <c r="I341">
        <f>IF($B$11&gt;0,E341-D341^2/$B$11,0)</f>
        <v/>
      </c>
      <c r="J341">
        <f>IF($B$11&gt;0,G341-D341*$D$11/$B$11,0)</f>
        <v/>
      </c>
      <c r="K341">
        <f>$H$11*I341-H341^2</f>
        <v/>
      </c>
      <c r="L341">
        <f>IF(ABS(K341)&gt;1E-12,($H$11*J341-H341*$I$11)/K341,0)</f>
        <v/>
      </c>
      <c r="M341">
        <f>IF(ABS(K341)&gt;1E-12,(I341*$I$11-H341*J341)/K341,0)</f>
        <v/>
      </c>
      <c r="N341">
        <f>$J$11-M341*$I$11-L341*J341</f>
        <v/>
      </c>
      <c r="O341">
        <f>IF(AND(C341,ABS(K341)&gt;1E-12,L341&gt;0),N341,1E+300)</f>
        <v/>
      </c>
    </row>
    <row r="342">
      <c r="A342">
        <f>$K$11+($L$11-$K$11)*328/400</f>
        <v/>
      </c>
      <c r="B342">
        <f>SUMPRODUCT((Calc!$F$3:$F$22&lt;=LTP!$B$5)*Calc!$K$3:$K$22*(Calc!$G$3:$G$22&lt;=A342))</f>
        <v/>
      </c>
      <c r="C342">
        <f>AND(B342&gt;=2,$B$11-B342&gt;=2)</f>
        <v/>
      </c>
      <c r="D342">
        <f>SUMPRODUCT((Calc!$F$3:$F$22&lt;=LTP!$B$5)*Calc!$K$3:$K$22*(Calc!$G$3:$G$22&gt;A342)*(Calc!$G$3:$G$22-A342))</f>
        <v/>
      </c>
      <c r="E342">
        <f>SUMPRODUCT((Calc!$F$3:$F$22&lt;=LTP!$B$5)*Calc!$K$3:$K$22*(Calc!$G$3:$G$22&gt;A342)*(Calc!$G$3:$G$22-A342)^2)</f>
        <v/>
      </c>
      <c r="F342">
        <f>SUMPRODUCT((Calc!$F$3:$F$22&lt;=LTP!$B$5)*Calc!$K$3:$K$22*(Calc!$G$3:$G$22&gt;A342)*(Calc!$G$3:$G$22-A342)*Calc!$G$3:$G$22)</f>
        <v/>
      </c>
      <c r="G342">
        <f>SUMPRODUCT((Calc!$F$3:$F$22&lt;=LTP!$B$5)*Calc!$K$3:$K$22*(Calc!$G$3:$G$22&gt;A342)*(Calc!$G$3:$G$22-A342)*Calc!$I$3:$I$22)</f>
        <v/>
      </c>
      <c r="H342">
        <f>IF($B$11&gt;0,F342-$C$11*D342/$B$11,0)</f>
        <v/>
      </c>
      <c r="I342">
        <f>IF($B$11&gt;0,E342-D342^2/$B$11,0)</f>
        <v/>
      </c>
      <c r="J342">
        <f>IF($B$11&gt;0,G342-D342*$D$11/$B$11,0)</f>
        <v/>
      </c>
      <c r="K342">
        <f>$H$11*I342-H342^2</f>
        <v/>
      </c>
      <c r="L342">
        <f>IF(ABS(K342)&gt;1E-12,($H$11*J342-H342*$I$11)/K342,0)</f>
        <v/>
      </c>
      <c r="M342">
        <f>IF(ABS(K342)&gt;1E-12,(I342*$I$11-H342*J342)/K342,0)</f>
        <v/>
      </c>
      <c r="N342">
        <f>$J$11-M342*$I$11-L342*J342</f>
        <v/>
      </c>
      <c r="O342">
        <f>IF(AND(C342,ABS(K342)&gt;1E-12,L342&gt;0),N342,1E+300)</f>
        <v/>
      </c>
    </row>
    <row r="343">
      <c r="A343">
        <f>$K$11+($L$11-$K$11)*329/400</f>
        <v/>
      </c>
      <c r="B343">
        <f>SUMPRODUCT((Calc!$F$3:$F$22&lt;=LTP!$B$5)*Calc!$K$3:$K$22*(Calc!$G$3:$G$22&lt;=A343))</f>
        <v/>
      </c>
      <c r="C343">
        <f>AND(B343&gt;=2,$B$11-B343&gt;=2)</f>
        <v/>
      </c>
      <c r="D343">
        <f>SUMPRODUCT((Calc!$F$3:$F$22&lt;=LTP!$B$5)*Calc!$K$3:$K$22*(Calc!$G$3:$G$22&gt;A343)*(Calc!$G$3:$G$22-A343))</f>
        <v/>
      </c>
      <c r="E343">
        <f>SUMPRODUCT((Calc!$F$3:$F$22&lt;=LTP!$B$5)*Calc!$K$3:$K$22*(Calc!$G$3:$G$22&gt;A343)*(Calc!$G$3:$G$22-A343)^2)</f>
        <v/>
      </c>
      <c r="F343">
        <f>SUMPRODUCT((Calc!$F$3:$F$22&lt;=LTP!$B$5)*Calc!$K$3:$K$22*(Calc!$G$3:$G$22&gt;A343)*(Calc!$G$3:$G$22-A343)*Calc!$G$3:$G$22)</f>
        <v/>
      </c>
      <c r="G343">
        <f>SUMPRODUCT((Calc!$F$3:$F$22&lt;=LTP!$B$5)*Calc!$K$3:$K$22*(Calc!$G$3:$G$22&gt;A343)*(Calc!$G$3:$G$22-A343)*Calc!$I$3:$I$22)</f>
        <v/>
      </c>
      <c r="H343">
        <f>IF($B$11&gt;0,F343-$C$11*D343/$B$11,0)</f>
        <v/>
      </c>
      <c r="I343">
        <f>IF($B$11&gt;0,E343-D343^2/$B$11,0)</f>
        <v/>
      </c>
      <c r="J343">
        <f>IF($B$11&gt;0,G343-D343*$D$11/$B$11,0)</f>
        <v/>
      </c>
      <c r="K343">
        <f>$H$11*I343-H343^2</f>
        <v/>
      </c>
      <c r="L343">
        <f>IF(ABS(K343)&gt;1E-12,($H$11*J343-H343*$I$11)/K343,0)</f>
        <v/>
      </c>
      <c r="M343">
        <f>IF(ABS(K343)&gt;1E-12,(I343*$I$11-H343*J343)/K343,0)</f>
        <v/>
      </c>
      <c r="N343">
        <f>$J$11-M343*$I$11-L343*J343</f>
        <v/>
      </c>
      <c r="O343">
        <f>IF(AND(C343,ABS(K343)&gt;1E-12,L343&gt;0),N343,1E+300)</f>
        <v/>
      </c>
    </row>
    <row r="344">
      <c r="A344">
        <f>$K$11+($L$11-$K$11)*330/400</f>
        <v/>
      </c>
      <c r="B344">
        <f>SUMPRODUCT((Calc!$F$3:$F$22&lt;=LTP!$B$5)*Calc!$K$3:$K$22*(Calc!$G$3:$G$22&lt;=A344))</f>
        <v/>
      </c>
      <c r="C344">
        <f>AND(B344&gt;=2,$B$11-B344&gt;=2)</f>
        <v/>
      </c>
      <c r="D344">
        <f>SUMPRODUCT((Calc!$F$3:$F$22&lt;=LTP!$B$5)*Calc!$K$3:$K$22*(Calc!$G$3:$G$22&gt;A344)*(Calc!$G$3:$G$22-A344))</f>
        <v/>
      </c>
      <c r="E344">
        <f>SUMPRODUCT((Calc!$F$3:$F$22&lt;=LTP!$B$5)*Calc!$K$3:$K$22*(Calc!$G$3:$G$22&gt;A344)*(Calc!$G$3:$G$22-A344)^2)</f>
        <v/>
      </c>
      <c r="F344">
        <f>SUMPRODUCT((Calc!$F$3:$F$22&lt;=LTP!$B$5)*Calc!$K$3:$K$22*(Calc!$G$3:$G$22&gt;A344)*(Calc!$G$3:$G$22-A344)*Calc!$G$3:$G$22)</f>
        <v/>
      </c>
      <c r="G344">
        <f>SUMPRODUCT((Calc!$F$3:$F$22&lt;=LTP!$B$5)*Calc!$K$3:$K$22*(Calc!$G$3:$G$22&gt;A344)*(Calc!$G$3:$G$22-A344)*Calc!$I$3:$I$22)</f>
        <v/>
      </c>
      <c r="H344">
        <f>IF($B$11&gt;0,F344-$C$11*D344/$B$11,0)</f>
        <v/>
      </c>
      <c r="I344">
        <f>IF($B$11&gt;0,E344-D344^2/$B$11,0)</f>
        <v/>
      </c>
      <c r="J344">
        <f>IF($B$11&gt;0,G344-D344*$D$11/$B$11,0)</f>
        <v/>
      </c>
      <c r="K344">
        <f>$H$11*I344-H344^2</f>
        <v/>
      </c>
      <c r="L344">
        <f>IF(ABS(K344)&gt;1E-12,($H$11*J344-H344*$I$11)/K344,0)</f>
        <v/>
      </c>
      <c r="M344">
        <f>IF(ABS(K344)&gt;1E-12,(I344*$I$11-H344*J344)/K344,0)</f>
        <v/>
      </c>
      <c r="N344">
        <f>$J$11-M344*$I$11-L344*J344</f>
        <v/>
      </c>
      <c r="O344">
        <f>IF(AND(C344,ABS(K344)&gt;1E-12,L344&gt;0),N344,1E+300)</f>
        <v/>
      </c>
    </row>
    <row r="345">
      <c r="A345">
        <f>$K$11+($L$11-$K$11)*331/400</f>
        <v/>
      </c>
      <c r="B345">
        <f>SUMPRODUCT((Calc!$F$3:$F$22&lt;=LTP!$B$5)*Calc!$K$3:$K$22*(Calc!$G$3:$G$22&lt;=A345))</f>
        <v/>
      </c>
      <c r="C345">
        <f>AND(B345&gt;=2,$B$11-B345&gt;=2)</f>
        <v/>
      </c>
      <c r="D345">
        <f>SUMPRODUCT((Calc!$F$3:$F$22&lt;=LTP!$B$5)*Calc!$K$3:$K$22*(Calc!$G$3:$G$22&gt;A345)*(Calc!$G$3:$G$22-A345))</f>
        <v/>
      </c>
      <c r="E345">
        <f>SUMPRODUCT((Calc!$F$3:$F$22&lt;=LTP!$B$5)*Calc!$K$3:$K$22*(Calc!$G$3:$G$22&gt;A345)*(Calc!$G$3:$G$22-A345)^2)</f>
        <v/>
      </c>
      <c r="F345">
        <f>SUMPRODUCT((Calc!$F$3:$F$22&lt;=LTP!$B$5)*Calc!$K$3:$K$22*(Calc!$G$3:$G$22&gt;A345)*(Calc!$G$3:$G$22-A345)*Calc!$G$3:$G$22)</f>
        <v/>
      </c>
      <c r="G345">
        <f>SUMPRODUCT((Calc!$F$3:$F$22&lt;=LTP!$B$5)*Calc!$K$3:$K$22*(Calc!$G$3:$G$22&gt;A345)*(Calc!$G$3:$G$22-A345)*Calc!$I$3:$I$22)</f>
        <v/>
      </c>
      <c r="H345">
        <f>IF($B$11&gt;0,F345-$C$11*D345/$B$11,0)</f>
        <v/>
      </c>
      <c r="I345">
        <f>IF($B$11&gt;0,E345-D345^2/$B$11,0)</f>
        <v/>
      </c>
      <c r="J345">
        <f>IF($B$11&gt;0,G345-D345*$D$11/$B$11,0)</f>
        <v/>
      </c>
      <c r="K345">
        <f>$H$11*I345-H345^2</f>
        <v/>
      </c>
      <c r="L345">
        <f>IF(ABS(K345)&gt;1E-12,($H$11*J345-H345*$I$11)/K345,0)</f>
        <v/>
      </c>
      <c r="M345">
        <f>IF(ABS(K345)&gt;1E-12,(I345*$I$11-H345*J345)/K345,0)</f>
        <v/>
      </c>
      <c r="N345">
        <f>$J$11-M345*$I$11-L345*J345</f>
        <v/>
      </c>
      <c r="O345">
        <f>IF(AND(C345,ABS(K345)&gt;1E-12,L345&gt;0),N345,1E+300)</f>
        <v/>
      </c>
    </row>
    <row r="346">
      <c r="A346">
        <f>$K$11+($L$11-$K$11)*332/400</f>
        <v/>
      </c>
      <c r="B346">
        <f>SUMPRODUCT((Calc!$F$3:$F$22&lt;=LTP!$B$5)*Calc!$K$3:$K$22*(Calc!$G$3:$G$22&lt;=A346))</f>
        <v/>
      </c>
      <c r="C346">
        <f>AND(B346&gt;=2,$B$11-B346&gt;=2)</f>
        <v/>
      </c>
      <c r="D346">
        <f>SUMPRODUCT((Calc!$F$3:$F$22&lt;=LTP!$B$5)*Calc!$K$3:$K$22*(Calc!$G$3:$G$22&gt;A346)*(Calc!$G$3:$G$22-A346))</f>
        <v/>
      </c>
      <c r="E346">
        <f>SUMPRODUCT((Calc!$F$3:$F$22&lt;=LTP!$B$5)*Calc!$K$3:$K$22*(Calc!$G$3:$G$22&gt;A346)*(Calc!$G$3:$G$22-A346)^2)</f>
        <v/>
      </c>
      <c r="F346">
        <f>SUMPRODUCT((Calc!$F$3:$F$22&lt;=LTP!$B$5)*Calc!$K$3:$K$22*(Calc!$G$3:$G$22&gt;A346)*(Calc!$G$3:$G$22-A346)*Calc!$G$3:$G$22)</f>
        <v/>
      </c>
      <c r="G346">
        <f>SUMPRODUCT((Calc!$F$3:$F$22&lt;=LTP!$B$5)*Calc!$K$3:$K$22*(Calc!$G$3:$G$22&gt;A346)*(Calc!$G$3:$G$22-A346)*Calc!$I$3:$I$22)</f>
        <v/>
      </c>
      <c r="H346">
        <f>IF($B$11&gt;0,F346-$C$11*D346/$B$11,0)</f>
        <v/>
      </c>
      <c r="I346">
        <f>IF($B$11&gt;0,E346-D346^2/$B$11,0)</f>
        <v/>
      </c>
      <c r="J346">
        <f>IF($B$11&gt;0,G346-D346*$D$11/$B$11,0)</f>
        <v/>
      </c>
      <c r="K346">
        <f>$H$11*I346-H346^2</f>
        <v/>
      </c>
      <c r="L346">
        <f>IF(ABS(K346)&gt;1E-12,($H$11*J346-H346*$I$11)/K346,0)</f>
        <v/>
      </c>
      <c r="M346">
        <f>IF(ABS(K346)&gt;1E-12,(I346*$I$11-H346*J346)/K346,0)</f>
        <v/>
      </c>
      <c r="N346">
        <f>$J$11-M346*$I$11-L346*J346</f>
        <v/>
      </c>
      <c r="O346">
        <f>IF(AND(C346,ABS(K346)&gt;1E-12,L346&gt;0),N346,1E+300)</f>
        <v/>
      </c>
    </row>
    <row r="347">
      <c r="A347">
        <f>$K$11+($L$11-$K$11)*333/400</f>
        <v/>
      </c>
      <c r="B347">
        <f>SUMPRODUCT((Calc!$F$3:$F$22&lt;=LTP!$B$5)*Calc!$K$3:$K$22*(Calc!$G$3:$G$22&lt;=A347))</f>
        <v/>
      </c>
      <c r="C347">
        <f>AND(B347&gt;=2,$B$11-B347&gt;=2)</f>
        <v/>
      </c>
      <c r="D347">
        <f>SUMPRODUCT((Calc!$F$3:$F$22&lt;=LTP!$B$5)*Calc!$K$3:$K$22*(Calc!$G$3:$G$22&gt;A347)*(Calc!$G$3:$G$22-A347))</f>
        <v/>
      </c>
      <c r="E347">
        <f>SUMPRODUCT((Calc!$F$3:$F$22&lt;=LTP!$B$5)*Calc!$K$3:$K$22*(Calc!$G$3:$G$22&gt;A347)*(Calc!$G$3:$G$22-A347)^2)</f>
        <v/>
      </c>
      <c r="F347">
        <f>SUMPRODUCT((Calc!$F$3:$F$22&lt;=LTP!$B$5)*Calc!$K$3:$K$22*(Calc!$G$3:$G$22&gt;A347)*(Calc!$G$3:$G$22-A347)*Calc!$G$3:$G$22)</f>
        <v/>
      </c>
      <c r="G347">
        <f>SUMPRODUCT((Calc!$F$3:$F$22&lt;=LTP!$B$5)*Calc!$K$3:$K$22*(Calc!$G$3:$G$22&gt;A347)*(Calc!$G$3:$G$22-A347)*Calc!$I$3:$I$22)</f>
        <v/>
      </c>
      <c r="H347">
        <f>IF($B$11&gt;0,F347-$C$11*D347/$B$11,0)</f>
        <v/>
      </c>
      <c r="I347">
        <f>IF($B$11&gt;0,E347-D347^2/$B$11,0)</f>
        <v/>
      </c>
      <c r="J347">
        <f>IF($B$11&gt;0,G347-D347*$D$11/$B$11,0)</f>
        <v/>
      </c>
      <c r="K347">
        <f>$H$11*I347-H347^2</f>
        <v/>
      </c>
      <c r="L347">
        <f>IF(ABS(K347)&gt;1E-12,($H$11*J347-H347*$I$11)/K347,0)</f>
        <v/>
      </c>
      <c r="M347">
        <f>IF(ABS(K347)&gt;1E-12,(I347*$I$11-H347*J347)/K347,0)</f>
        <v/>
      </c>
      <c r="N347">
        <f>$J$11-M347*$I$11-L347*J347</f>
        <v/>
      </c>
      <c r="O347">
        <f>IF(AND(C347,ABS(K347)&gt;1E-12,L347&gt;0),N347,1E+300)</f>
        <v/>
      </c>
    </row>
    <row r="348">
      <c r="A348">
        <f>$K$11+($L$11-$K$11)*334/400</f>
        <v/>
      </c>
      <c r="B348">
        <f>SUMPRODUCT((Calc!$F$3:$F$22&lt;=LTP!$B$5)*Calc!$K$3:$K$22*(Calc!$G$3:$G$22&lt;=A348))</f>
        <v/>
      </c>
      <c r="C348">
        <f>AND(B348&gt;=2,$B$11-B348&gt;=2)</f>
        <v/>
      </c>
      <c r="D348">
        <f>SUMPRODUCT((Calc!$F$3:$F$22&lt;=LTP!$B$5)*Calc!$K$3:$K$22*(Calc!$G$3:$G$22&gt;A348)*(Calc!$G$3:$G$22-A348))</f>
        <v/>
      </c>
      <c r="E348">
        <f>SUMPRODUCT((Calc!$F$3:$F$22&lt;=LTP!$B$5)*Calc!$K$3:$K$22*(Calc!$G$3:$G$22&gt;A348)*(Calc!$G$3:$G$22-A348)^2)</f>
        <v/>
      </c>
      <c r="F348">
        <f>SUMPRODUCT((Calc!$F$3:$F$22&lt;=LTP!$B$5)*Calc!$K$3:$K$22*(Calc!$G$3:$G$22&gt;A348)*(Calc!$G$3:$G$22-A348)*Calc!$G$3:$G$22)</f>
        <v/>
      </c>
      <c r="G348">
        <f>SUMPRODUCT((Calc!$F$3:$F$22&lt;=LTP!$B$5)*Calc!$K$3:$K$22*(Calc!$G$3:$G$22&gt;A348)*(Calc!$G$3:$G$22-A348)*Calc!$I$3:$I$22)</f>
        <v/>
      </c>
      <c r="H348">
        <f>IF($B$11&gt;0,F348-$C$11*D348/$B$11,0)</f>
        <v/>
      </c>
      <c r="I348">
        <f>IF($B$11&gt;0,E348-D348^2/$B$11,0)</f>
        <v/>
      </c>
      <c r="J348">
        <f>IF($B$11&gt;0,G348-D348*$D$11/$B$11,0)</f>
        <v/>
      </c>
      <c r="K348">
        <f>$H$11*I348-H348^2</f>
        <v/>
      </c>
      <c r="L348">
        <f>IF(ABS(K348)&gt;1E-12,($H$11*J348-H348*$I$11)/K348,0)</f>
        <v/>
      </c>
      <c r="M348">
        <f>IF(ABS(K348)&gt;1E-12,(I348*$I$11-H348*J348)/K348,0)</f>
        <v/>
      </c>
      <c r="N348">
        <f>$J$11-M348*$I$11-L348*J348</f>
        <v/>
      </c>
      <c r="O348">
        <f>IF(AND(C348,ABS(K348)&gt;1E-12,L348&gt;0),N348,1E+300)</f>
        <v/>
      </c>
    </row>
    <row r="349">
      <c r="A349">
        <f>$K$11+($L$11-$K$11)*335/400</f>
        <v/>
      </c>
      <c r="B349">
        <f>SUMPRODUCT((Calc!$F$3:$F$22&lt;=LTP!$B$5)*Calc!$K$3:$K$22*(Calc!$G$3:$G$22&lt;=A349))</f>
        <v/>
      </c>
      <c r="C349">
        <f>AND(B349&gt;=2,$B$11-B349&gt;=2)</f>
        <v/>
      </c>
      <c r="D349">
        <f>SUMPRODUCT((Calc!$F$3:$F$22&lt;=LTP!$B$5)*Calc!$K$3:$K$22*(Calc!$G$3:$G$22&gt;A349)*(Calc!$G$3:$G$22-A349))</f>
        <v/>
      </c>
      <c r="E349">
        <f>SUMPRODUCT((Calc!$F$3:$F$22&lt;=LTP!$B$5)*Calc!$K$3:$K$22*(Calc!$G$3:$G$22&gt;A349)*(Calc!$G$3:$G$22-A349)^2)</f>
        <v/>
      </c>
      <c r="F349">
        <f>SUMPRODUCT((Calc!$F$3:$F$22&lt;=LTP!$B$5)*Calc!$K$3:$K$22*(Calc!$G$3:$G$22&gt;A349)*(Calc!$G$3:$G$22-A349)*Calc!$G$3:$G$22)</f>
        <v/>
      </c>
      <c r="G349">
        <f>SUMPRODUCT((Calc!$F$3:$F$22&lt;=LTP!$B$5)*Calc!$K$3:$K$22*(Calc!$G$3:$G$22&gt;A349)*(Calc!$G$3:$G$22-A349)*Calc!$I$3:$I$22)</f>
        <v/>
      </c>
      <c r="H349">
        <f>IF($B$11&gt;0,F349-$C$11*D349/$B$11,0)</f>
        <v/>
      </c>
      <c r="I349">
        <f>IF($B$11&gt;0,E349-D349^2/$B$11,0)</f>
        <v/>
      </c>
      <c r="J349">
        <f>IF($B$11&gt;0,G349-D349*$D$11/$B$11,0)</f>
        <v/>
      </c>
      <c r="K349">
        <f>$H$11*I349-H349^2</f>
        <v/>
      </c>
      <c r="L349">
        <f>IF(ABS(K349)&gt;1E-12,($H$11*J349-H349*$I$11)/K349,0)</f>
        <v/>
      </c>
      <c r="M349">
        <f>IF(ABS(K349)&gt;1E-12,(I349*$I$11-H349*J349)/K349,0)</f>
        <v/>
      </c>
      <c r="N349">
        <f>$J$11-M349*$I$11-L349*J349</f>
        <v/>
      </c>
      <c r="O349">
        <f>IF(AND(C349,ABS(K349)&gt;1E-12,L349&gt;0),N349,1E+300)</f>
        <v/>
      </c>
    </row>
    <row r="350">
      <c r="A350">
        <f>$K$11+($L$11-$K$11)*336/400</f>
        <v/>
      </c>
      <c r="B350">
        <f>SUMPRODUCT((Calc!$F$3:$F$22&lt;=LTP!$B$5)*Calc!$K$3:$K$22*(Calc!$G$3:$G$22&lt;=A350))</f>
        <v/>
      </c>
      <c r="C350">
        <f>AND(B350&gt;=2,$B$11-B350&gt;=2)</f>
        <v/>
      </c>
      <c r="D350">
        <f>SUMPRODUCT((Calc!$F$3:$F$22&lt;=LTP!$B$5)*Calc!$K$3:$K$22*(Calc!$G$3:$G$22&gt;A350)*(Calc!$G$3:$G$22-A350))</f>
        <v/>
      </c>
      <c r="E350">
        <f>SUMPRODUCT((Calc!$F$3:$F$22&lt;=LTP!$B$5)*Calc!$K$3:$K$22*(Calc!$G$3:$G$22&gt;A350)*(Calc!$G$3:$G$22-A350)^2)</f>
        <v/>
      </c>
      <c r="F350">
        <f>SUMPRODUCT((Calc!$F$3:$F$22&lt;=LTP!$B$5)*Calc!$K$3:$K$22*(Calc!$G$3:$G$22&gt;A350)*(Calc!$G$3:$G$22-A350)*Calc!$G$3:$G$22)</f>
        <v/>
      </c>
      <c r="G350">
        <f>SUMPRODUCT((Calc!$F$3:$F$22&lt;=LTP!$B$5)*Calc!$K$3:$K$22*(Calc!$G$3:$G$22&gt;A350)*(Calc!$G$3:$G$22-A350)*Calc!$I$3:$I$22)</f>
        <v/>
      </c>
      <c r="H350">
        <f>IF($B$11&gt;0,F350-$C$11*D350/$B$11,0)</f>
        <v/>
      </c>
      <c r="I350">
        <f>IF($B$11&gt;0,E350-D350^2/$B$11,0)</f>
        <v/>
      </c>
      <c r="J350">
        <f>IF($B$11&gt;0,G350-D350*$D$11/$B$11,0)</f>
        <v/>
      </c>
      <c r="K350">
        <f>$H$11*I350-H350^2</f>
        <v/>
      </c>
      <c r="L350">
        <f>IF(ABS(K350)&gt;1E-12,($H$11*J350-H350*$I$11)/K350,0)</f>
        <v/>
      </c>
      <c r="M350">
        <f>IF(ABS(K350)&gt;1E-12,(I350*$I$11-H350*J350)/K350,0)</f>
        <v/>
      </c>
      <c r="N350">
        <f>$J$11-M350*$I$11-L350*J350</f>
        <v/>
      </c>
      <c r="O350">
        <f>IF(AND(C350,ABS(K350)&gt;1E-12,L350&gt;0),N350,1E+300)</f>
        <v/>
      </c>
    </row>
    <row r="351">
      <c r="A351">
        <f>$K$11+($L$11-$K$11)*337/400</f>
        <v/>
      </c>
      <c r="B351">
        <f>SUMPRODUCT((Calc!$F$3:$F$22&lt;=LTP!$B$5)*Calc!$K$3:$K$22*(Calc!$G$3:$G$22&lt;=A351))</f>
        <v/>
      </c>
      <c r="C351">
        <f>AND(B351&gt;=2,$B$11-B351&gt;=2)</f>
        <v/>
      </c>
      <c r="D351">
        <f>SUMPRODUCT((Calc!$F$3:$F$22&lt;=LTP!$B$5)*Calc!$K$3:$K$22*(Calc!$G$3:$G$22&gt;A351)*(Calc!$G$3:$G$22-A351))</f>
        <v/>
      </c>
      <c r="E351">
        <f>SUMPRODUCT((Calc!$F$3:$F$22&lt;=LTP!$B$5)*Calc!$K$3:$K$22*(Calc!$G$3:$G$22&gt;A351)*(Calc!$G$3:$G$22-A351)^2)</f>
        <v/>
      </c>
      <c r="F351">
        <f>SUMPRODUCT((Calc!$F$3:$F$22&lt;=LTP!$B$5)*Calc!$K$3:$K$22*(Calc!$G$3:$G$22&gt;A351)*(Calc!$G$3:$G$22-A351)*Calc!$G$3:$G$22)</f>
        <v/>
      </c>
      <c r="G351">
        <f>SUMPRODUCT((Calc!$F$3:$F$22&lt;=LTP!$B$5)*Calc!$K$3:$K$22*(Calc!$G$3:$G$22&gt;A351)*(Calc!$G$3:$G$22-A351)*Calc!$I$3:$I$22)</f>
        <v/>
      </c>
      <c r="H351">
        <f>IF($B$11&gt;0,F351-$C$11*D351/$B$11,0)</f>
        <v/>
      </c>
      <c r="I351">
        <f>IF($B$11&gt;0,E351-D351^2/$B$11,0)</f>
        <v/>
      </c>
      <c r="J351">
        <f>IF($B$11&gt;0,G351-D351*$D$11/$B$11,0)</f>
        <v/>
      </c>
      <c r="K351">
        <f>$H$11*I351-H351^2</f>
        <v/>
      </c>
      <c r="L351">
        <f>IF(ABS(K351)&gt;1E-12,($H$11*J351-H351*$I$11)/K351,0)</f>
        <v/>
      </c>
      <c r="M351">
        <f>IF(ABS(K351)&gt;1E-12,(I351*$I$11-H351*J351)/K351,0)</f>
        <v/>
      </c>
      <c r="N351">
        <f>$J$11-M351*$I$11-L351*J351</f>
        <v/>
      </c>
      <c r="O351">
        <f>IF(AND(C351,ABS(K351)&gt;1E-12,L351&gt;0),N351,1E+300)</f>
        <v/>
      </c>
    </row>
    <row r="352">
      <c r="A352">
        <f>$K$11+($L$11-$K$11)*338/400</f>
        <v/>
      </c>
      <c r="B352">
        <f>SUMPRODUCT((Calc!$F$3:$F$22&lt;=LTP!$B$5)*Calc!$K$3:$K$22*(Calc!$G$3:$G$22&lt;=A352))</f>
        <v/>
      </c>
      <c r="C352">
        <f>AND(B352&gt;=2,$B$11-B352&gt;=2)</f>
        <v/>
      </c>
      <c r="D352">
        <f>SUMPRODUCT((Calc!$F$3:$F$22&lt;=LTP!$B$5)*Calc!$K$3:$K$22*(Calc!$G$3:$G$22&gt;A352)*(Calc!$G$3:$G$22-A352))</f>
        <v/>
      </c>
      <c r="E352">
        <f>SUMPRODUCT((Calc!$F$3:$F$22&lt;=LTP!$B$5)*Calc!$K$3:$K$22*(Calc!$G$3:$G$22&gt;A352)*(Calc!$G$3:$G$22-A352)^2)</f>
        <v/>
      </c>
      <c r="F352">
        <f>SUMPRODUCT((Calc!$F$3:$F$22&lt;=LTP!$B$5)*Calc!$K$3:$K$22*(Calc!$G$3:$G$22&gt;A352)*(Calc!$G$3:$G$22-A352)*Calc!$G$3:$G$22)</f>
        <v/>
      </c>
      <c r="G352">
        <f>SUMPRODUCT((Calc!$F$3:$F$22&lt;=LTP!$B$5)*Calc!$K$3:$K$22*(Calc!$G$3:$G$22&gt;A352)*(Calc!$G$3:$G$22-A352)*Calc!$I$3:$I$22)</f>
        <v/>
      </c>
      <c r="H352">
        <f>IF($B$11&gt;0,F352-$C$11*D352/$B$11,0)</f>
        <v/>
      </c>
      <c r="I352">
        <f>IF($B$11&gt;0,E352-D352^2/$B$11,0)</f>
        <v/>
      </c>
      <c r="J352">
        <f>IF($B$11&gt;0,G352-D352*$D$11/$B$11,0)</f>
        <v/>
      </c>
      <c r="K352">
        <f>$H$11*I352-H352^2</f>
        <v/>
      </c>
      <c r="L352">
        <f>IF(ABS(K352)&gt;1E-12,($H$11*J352-H352*$I$11)/K352,0)</f>
        <v/>
      </c>
      <c r="M352">
        <f>IF(ABS(K352)&gt;1E-12,(I352*$I$11-H352*J352)/K352,0)</f>
        <v/>
      </c>
      <c r="N352">
        <f>$J$11-M352*$I$11-L352*J352</f>
        <v/>
      </c>
      <c r="O352">
        <f>IF(AND(C352,ABS(K352)&gt;1E-12,L352&gt;0),N352,1E+300)</f>
        <v/>
      </c>
    </row>
    <row r="353">
      <c r="A353">
        <f>$K$11+($L$11-$K$11)*339/400</f>
        <v/>
      </c>
      <c r="B353">
        <f>SUMPRODUCT((Calc!$F$3:$F$22&lt;=LTP!$B$5)*Calc!$K$3:$K$22*(Calc!$G$3:$G$22&lt;=A353))</f>
        <v/>
      </c>
      <c r="C353">
        <f>AND(B353&gt;=2,$B$11-B353&gt;=2)</f>
        <v/>
      </c>
      <c r="D353">
        <f>SUMPRODUCT((Calc!$F$3:$F$22&lt;=LTP!$B$5)*Calc!$K$3:$K$22*(Calc!$G$3:$G$22&gt;A353)*(Calc!$G$3:$G$22-A353))</f>
        <v/>
      </c>
      <c r="E353">
        <f>SUMPRODUCT((Calc!$F$3:$F$22&lt;=LTP!$B$5)*Calc!$K$3:$K$22*(Calc!$G$3:$G$22&gt;A353)*(Calc!$G$3:$G$22-A353)^2)</f>
        <v/>
      </c>
      <c r="F353">
        <f>SUMPRODUCT((Calc!$F$3:$F$22&lt;=LTP!$B$5)*Calc!$K$3:$K$22*(Calc!$G$3:$G$22&gt;A353)*(Calc!$G$3:$G$22-A353)*Calc!$G$3:$G$22)</f>
        <v/>
      </c>
      <c r="G353">
        <f>SUMPRODUCT((Calc!$F$3:$F$22&lt;=LTP!$B$5)*Calc!$K$3:$K$22*(Calc!$G$3:$G$22&gt;A353)*(Calc!$G$3:$G$22-A353)*Calc!$I$3:$I$22)</f>
        <v/>
      </c>
      <c r="H353">
        <f>IF($B$11&gt;0,F353-$C$11*D353/$B$11,0)</f>
        <v/>
      </c>
      <c r="I353">
        <f>IF($B$11&gt;0,E353-D353^2/$B$11,0)</f>
        <v/>
      </c>
      <c r="J353">
        <f>IF($B$11&gt;0,G353-D353*$D$11/$B$11,0)</f>
        <v/>
      </c>
      <c r="K353">
        <f>$H$11*I353-H353^2</f>
        <v/>
      </c>
      <c r="L353">
        <f>IF(ABS(K353)&gt;1E-12,($H$11*J353-H353*$I$11)/K353,0)</f>
        <v/>
      </c>
      <c r="M353">
        <f>IF(ABS(K353)&gt;1E-12,(I353*$I$11-H353*J353)/K353,0)</f>
        <v/>
      </c>
      <c r="N353">
        <f>$J$11-M353*$I$11-L353*J353</f>
        <v/>
      </c>
      <c r="O353">
        <f>IF(AND(C353,ABS(K353)&gt;1E-12,L353&gt;0),N353,1E+300)</f>
        <v/>
      </c>
    </row>
    <row r="354">
      <c r="A354">
        <f>$K$11+($L$11-$K$11)*340/400</f>
        <v/>
      </c>
      <c r="B354">
        <f>SUMPRODUCT((Calc!$F$3:$F$22&lt;=LTP!$B$5)*Calc!$K$3:$K$22*(Calc!$G$3:$G$22&lt;=A354))</f>
        <v/>
      </c>
      <c r="C354">
        <f>AND(B354&gt;=2,$B$11-B354&gt;=2)</f>
        <v/>
      </c>
      <c r="D354">
        <f>SUMPRODUCT((Calc!$F$3:$F$22&lt;=LTP!$B$5)*Calc!$K$3:$K$22*(Calc!$G$3:$G$22&gt;A354)*(Calc!$G$3:$G$22-A354))</f>
        <v/>
      </c>
      <c r="E354">
        <f>SUMPRODUCT((Calc!$F$3:$F$22&lt;=LTP!$B$5)*Calc!$K$3:$K$22*(Calc!$G$3:$G$22&gt;A354)*(Calc!$G$3:$G$22-A354)^2)</f>
        <v/>
      </c>
      <c r="F354">
        <f>SUMPRODUCT((Calc!$F$3:$F$22&lt;=LTP!$B$5)*Calc!$K$3:$K$22*(Calc!$G$3:$G$22&gt;A354)*(Calc!$G$3:$G$22-A354)*Calc!$G$3:$G$22)</f>
        <v/>
      </c>
      <c r="G354">
        <f>SUMPRODUCT((Calc!$F$3:$F$22&lt;=LTP!$B$5)*Calc!$K$3:$K$22*(Calc!$G$3:$G$22&gt;A354)*(Calc!$G$3:$G$22-A354)*Calc!$I$3:$I$22)</f>
        <v/>
      </c>
      <c r="H354">
        <f>IF($B$11&gt;0,F354-$C$11*D354/$B$11,0)</f>
        <v/>
      </c>
      <c r="I354">
        <f>IF($B$11&gt;0,E354-D354^2/$B$11,0)</f>
        <v/>
      </c>
      <c r="J354">
        <f>IF($B$11&gt;0,G354-D354*$D$11/$B$11,0)</f>
        <v/>
      </c>
      <c r="K354">
        <f>$H$11*I354-H354^2</f>
        <v/>
      </c>
      <c r="L354">
        <f>IF(ABS(K354)&gt;1E-12,($H$11*J354-H354*$I$11)/K354,0)</f>
        <v/>
      </c>
      <c r="M354">
        <f>IF(ABS(K354)&gt;1E-12,(I354*$I$11-H354*J354)/K354,0)</f>
        <v/>
      </c>
      <c r="N354">
        <f>$J$11-M354*$I$11-L354*J354</f>
        <v/>
      </c>
      <c r="O354">
        <f>IF(AND(C354,ABS(K354)&gt;1E-12,L354&gt;0),N354,1E+300)</f>
        <v/>
      </c>
    </row>
    <row r="355">
      <c r="A355">
        <f>$K$11+($L$11-$K$11)*341/400</f>
        <v/>
      </c>
      <c r="B355">
        <f>SUMPRODUCT((Calc!$F$3:$F$22&lt;=LTP!$B$5)*Calc!$K$3:$K$22*(Calc!$G$3:$G$22&lt;=A355))</f>
        <v/>
      </c>
      <c r="C355">
        <f>AND(B355&gt;=2,$B$11-B355&gt;=2)</f>
        <v/>
      </c>
      <c r="D355">
        <f>SUMPRODUCT((Calc!$F$3:$F$22&lt;=LTP!$B$5)*Calc!$K$3:$K$22*(Calc!$G$3:$G$22&gt;A355)*(Calc!$G$3:$G$22-A355))</f>
        <v/>
      </c>
      <c r="E355">
        <f>SUMPRODUCT((Calc!$F$3:$F$22&lt;=LTP!$B$5)*Calc!$K$3:$K$22*(Calc!$G$3:$G$22&gt;A355)*(Calc!$G$3:$G$22-A355)^2)</f>
        <v/>
      </c>
      <c r="F355">
        <f>SUMPRODUCT((Calc!$F$3:$F$22&lt;=LTP!$B$5)*Calc!$K$3:$K$22*(Calc!$G$3:$G$22&gt;A355)*(Calc!$G$3:$G$22-A355)*Calc!$G$3:$G$22)</f>
        <v/>
      </c>
      <c r="G355">
        <f>SUMPRODUCT((Calc!$F$3:$F$22&lt;=LTP!$B$5)*Calc!$K$3:$K$22*(Calc!$G$3:$G$22&gt;A355)*(Calc!$G$3:$G$22-A355)*Calc!$I$3:$I$22)</f>
        <v/>
      </c>
      <c r="H355">
        <f>IF($B$11&gt;0,F355-$C$11*D355/$B$11,0)</f>
        <v/>
      </c>
      <c r="I355">
        <f>IF($B$11&gt;0,E355-D355^2/$B$11,0)</f>
        <v/>
      </c>
      <c r="J355">
        <f>IF($B$11&gt;0,G355-D355*$D$11/$B$11,0)</f>
        <v/>
      </c>
      <c r="K355">
        <f>$H$11*I355-H355^2</f>
        <v/>
      </c>
      <c r="L355">
        <f>IF(ABS(K355)&gt;1E-12,($H$11*J355-H355*$I$11)/K355,0)</f>
        <v/>
      </c>
      <c r="M355">
        <f>IF(ABS(K355)&gt;1E-12,(I355*$I$11-H355*J355)/K355,0)</f>
        <v/>
      </c>
      <c r="N355">
        <f>$J$11-M355*$I$11-L355*J355</f>
        <v/>
      </c>
      <c r="O355">
        <f>IF(AND(C355,ABS(K355)&gt;1E-12,L355&gt;0),N355,1E+300)</f>
        <v/>
      </c>
    </row>
    <row r="356">
      <c r="A356">
        <f>$K$11+($L$11-$K$11)*342/400</f>
        <v/>
      </c>
      <c r="B356">
        <f>SUMPRODUCT((Calc!$F$3:$F$22&lt;=LTP!$B$5)*Calc!$K$3:$K$22*(Calc!$G$3:$G$22&lt;=A356))</f>
        <v/>
      </c>
      <c r="C356">
        <f>AND(B356&gt;=2,$B$11-B356&gt;=2)</f>
        <v/>
      </c>
      <c r="D356">
        <f>SUMPRODUCT((Calc!$F$3:$F$22&lt;=LTP!$B$5)*Calc!$K$3:$K$22*(Calc!$G$3:$G$22&gt;A356)*(Calc!$G$3:$G$22-A356))</f>
        <v/>
      </c>
      <c r="E356">
        <f>SUMPRODUCT((Calc!$F$3:$F$22&lt;=LTP!$B$5)*Calc!$K$3:$K$22*(Calc!$G$3:$G$22&gt;A356)*(Calc!$G$3:$G$22-A356)^2)</f>
        <v/>
      </c>
      <c r="F356">
        <f>SUMPRODUCT((Calc!$F$3:$F$22&lt;=LTP!$B$5)*Calc!$K$3:$K$22*(Calc!$G$3:$G$22&gt;A356)*(Calc!$G$3:$G$22-A356)*Calc!$G$3:$G$22)</f>
        <v/>
      </c>
      <c r="G356">
        <f>SUMPRODUCT((Calc!$F$3:$F$22&lt;=LTP!$B$5)*Calc!$K$3:$K$22*(Calc!$G$3:$G$22&gt;A356)*(Calc!$G$3:$G$22-A356)*Calc!$I$3:$I$22)</f>
        <v/>
      </c>
      <c r="H356">
        <f>IF($B$11&gt;0,F356-$C$11*D356/$B$11,0)</f>
        <v/>
      </c>
      <c r="I356">
        <f>IF($B$11&gt;0,E356-D356^2/$B$11,0)</f>
        <v/>
      </c>
      <c r="J356">
        <f>IF($B$11&gt;0,G356-D356*$D$11/$B$11,0)</f>
        <v/>
      </c>
      <c r="K356">
        <f>$H$11*I356-H356^2</f>
        <v/>
      </c>
      <c r="L356">
        <f>IF(ABS(K356)&gt;1E-12,($H$11*J356-H356*$I$11)/K356,0)</f>
        <v/>
      </c>
      <c r="M356">
        <f>IF(ABS(K356)&gt;1E-12,(I356*$I$11-H356*J356)/K356,0)</f>
        <v/>
      </c>
      <c r="N356">
        <f>$J$11-M356*$I$11-L356*J356</f>
        <v/>
      </c>
      <c r="O356">
        <f>IF(AND(C356,ABS(K356)&gt;1E-12,L356&gt;0),N356,1E+300)</f>
        <v/>
      </c>
    </row>
    <row r="357">
      <c r="A357">
        <f>$K$11+($L$11-$K$11)*343/400</f>
        <v/>
      </c>
      <c r="B357">
        <f>SUMPRODUCT((Calc!$F$3:$F$22&lt;=LTP!$B$5)*Calc!$K$3:$K$22*(Calc!$G$3:$G$22&lt;=A357))</f>
        <v/>
      </c>
      <c r="C357">
        <f>AND(B357&gt;=2,$B$11-B357&gt;=2)</f>
        <v/>
      </c>
      <c r="D357">
        <f>SUMPRODUCT((Calc!$F$3:$F$22&lt;=LTP!$B$5)*Calc!$K$3:$K$22*(Calc!$G$3:$G$22&gt;A357)*(Calc!$G$3:$G$22-A357))</f>
        <v/>
      </c>
      <c r="E357">
        <f>SUMPRODUCT((Calc!$F$3:$F$22&lt;=LTP!$B$5)*Calc!$K$3:$K$22*(Calc!$G$3:$G$22&gt;A357)*(Calc!$G$3:$G$22-A357)^2)</f>
        <v/>
      </c>
      <c r="F357">
        <f>SUMPRODUCT((Calc!$F$3:$F$22&lt;=LTP!$B$5)*Calc!$K$3:$K$22*(Calc!$G$3:$G$22&gt;A357)*(Calc!$G$3:$G$22-A357)*Calc!$G$3:$G$22)</f>
        <v/>
      </c>
      <c r="G357">
        <f>SUMPRODUCT((Calc!$F$3:$F$22&lt;=LTP!$B$5)*Calc!$K$3:$K$22*(Calc!$G$3:$G$22&gt;A357)*(Calc!$G$3:$G$22-A357)*Calc!$I$3:$I$22)</f>
        <v/>
      </c>
      <c r="H357">
        <f>IF($B$11&gt;0,F357-$C$11*D357/$B$11,0)</f>
        <v/>
      </c>
      <c r="I357">
        <f>IF($B$11&gt;0,E357-D357^2/$B$11,0)</f>
        <v/>
      </c>
      <c r="J357">
        <f>IF($B$11&gt;0,G357-D357*$D$11/$B$11,0)</f>
        <v/>
      </c>
      <c r="K357">
        <f>$H$11*I357-H357^2</f>
        <v/>
      </c>
      <c r="L357">
        <f>IF(ABS(K357)&gt;1E-12,($H$11*J357-H357*$I$11)/K357,0)</f>
        <v/>
      </c>
      <c r="M357">
        <f>IF(ABS(K357)&gt;1E-12,(I357*$I$11-H357*J357)/K357,0)</f>
        <v/>
      </c>
      <c r="N357">
        <f>$J$11-M357*$I$11-L357*J357</f>
        <v/>
      </c>
      <c r="O357">
        <f>IF(AND(C357,ABS(K357)&gt;1E-12,L357&gt;0),N357,1E+300)</f>
        <v/>
      </c>
    </row>
    <row r="358">
      <c r="A358">
        <f>$K$11+($L$11-$K$11)*344/400</f>
        <v/>
      </c>
      <c r="B358">
        <f>SUMPRODUCT((Calc!$F$3:$F$22&lt;=LTP!$B$5)*Calc!$K$3:$K$22*(Calc!$G$3:$G$22&lt;=A358))</f>
        <v/>
      </c>
      <c r="C358">
        <f>AND(B358&gt;=2,$B$11-B358&gt;=2)</f>
        <v/>
      </c>
      <c r="D358">
        <f>SUMPRODUCT((Calc!$F$3:$F$22&lt;=LTP!$B$5)*Calc!$K$3:$K$22*(Calc!$G$3:$G$22&gt;A358)*(Calc!$G$3:$G$22-A358))</f>
        <v/>
      </c>
      <c r="E358">
        <f>SUMPRODUCT((Calc!$F$3:$F$22&lt;=LTP!$B$5)*Calc!$K$3:$K$22*(Calc!$G$3:$G$22&gt;A358)*(Calc!$G$3:$G$22-A358)^2)</f>
        <v/>
      </c>
      <c r="F358">
        <f>SUMPRODUCT((Calc!$F$3:$F$22&lt;=LTP!$B$5)*Calc!$K$3:$K$22*(Calc!$G$3:$G$22&gt;A358)*(Calc!$G$3:$G$22-A358)*Calc!$G$3:$G$22)</f>
        <v/>
      </c>
      <c r="G358">
        <f>SUMPRODUCT((Calc!$F$3:$F$22&lt;=LTP!$B$5)*Calc!$K$3:$K$22*(Calc!$G$3:$G$22&gt;A358)*(Calc!$G$3:$G$22-A358)*Calc!$I$3:$I$22)</f>
        <v/>
      </c>
      <c r="H358">
        <f>IF($B$11&gt;0,F358-$C$11*D358/$B$11,0)</f>
        <v/>
      </c>
      <c r="I358">
        <f>IF($B$11&gt;0,E358-D358^2/$B$11,0)</f>
        <v/>
      </c>
      <c r="J358">
        <f>IF($B$11&gt;0,G358-D358*$D$11/$B$11,0)</f>
        <v/>
      </c>
      <c r="K358">
        <f>$H$11*I358-H358^2</f>
        <v/>
      </c>
      <c r="L358">
        <f>IF(ABS(K358)&gt;1E-12,($H$11*J358-H358*$I$11)/K358,0)</f>
        <v/>
      </c>
      <c r="M358">
        <f>IF(ABS(K358)&gt;1E-12,(I358*$I$11-H358*J358)/K358,0)</f>
        <v/>
      </c>
      <c r="N358">
        <f>$J$11-M358*$I$11-L358*J358</f>
        <v/>
      </c>
      <c r="O358">
        <f>IF(AND(C358,ABS(K358)&gt;1E-12,L358&gt;0),N358,1E+300)</f>
        <v/>
      </c>
    </row>
    <row r="359">
      <c r="A359">
        <f>$K$11+($L$11-$K$11)*345/400</f>
        <v/>
      </c>
      <c r="B359">
        <f>SUMPRODUCT((Calc!$F$3:$F$22&lt;=LTP!$B$5)*Calc!$K$3:$K$22*(Calc!$G$3:$G$22&lt;=A359))</f>
        <v/>
      </c>
      <c r="C359">
        <f>AND(B359&gt;=2,$B$11-B359&gt;=2)</f>
        <v/>
      </c>
      <c r="D359">
        <f>SUMPRODUCT((Calc!$F$3:$F$22&lt;=LTP!$B$5)*Calc!$K$3:$K$22*(Calc!$G$3:$G$22&gt;A359)*(Calc!$G$3:$G$22-A359))</f>
        <v/>
      </c>
      <c r="E359">
        <f>SUMPRODUCT((Calc!$F$3:$F$22&lt;=LTP!$B$5)*Calc!$K$3:$K$22*(Calc!$G$3:$G$22&gt;A359)*(Calc!$G$3:$G$22-A359)^2)</f>
        <v/>
      </c>
      <c r="F359">
        <f>SUMPRODUCT((Calc!$F$3:$F$22&lt;=LTP!$B$5)*Calc!$K$3:$K$22*(Calc!$G$3:$G$22&gt;A359)*(Calc!$G$3:$G$22-A359)*Calc!$G$3:$G$22)</f>
        <v/>
      </c>
      <c r="G359">
        <f>SUMPRODUCT((Calc!$F$3:$F$22&lt;=LTP!$B$5)*Calc!$K$3:$K$22*(Calc!$G$3:$G$22&gt;A359)*(Calc!$G$3:$G$22-A359)*Calc!$I$3:$I$22)</f>
        <v/>
      </c>
      <c r="H359">
        <f>IF($B$11&gt;0,F359-$C$11*D359/$B$11,0)</f>
        <v/>
      </c>
      <c r="I359">
        <f>IF($B$11&gt;0,E359-D359^2/$B$11,0)</f>
        <v/>
      </c>
      <c r="J359">
        <f>IF($B$11&gt;0,G359-D359*$D$11/$B$11,0)</f>
        <v/>
      </c>
      <c r="K359">
        <f>$H$11*I359-H359^2</f>
        <v/>
      </c>
      <c r="L359">
        <f>IF(ABS(K359)&gt;1E-12,($H$11*J359-H359*$I$11)/K359,0)</f>
        <v/>
      </c>
      <c r="M359">
        <f>IF(ABS(K359)&gt;1E-12,(I359*$I$11-H359*J359)/K359,0)</f>
        <v/>
      </c>
      <c r="N359">
        <f>$J$11-M359*$I$11-L359*J359</f>
        <v/>
      </c>
      <c r="O359">
        <f>IF(AND(C359,ABS(K359)&gt;1E-12,L359&gt;0),N359,1E+300)</f>
        <v/>
      </c>
    </row>
    <row r="360">
      <c r="A360">
        <f>$K$11+($L$11-$K$11)*346/400</f>
        <v/>
      </c>
      <c r="B360">
        <f>SUMPRODUCT((Calc!$F$3:$F$22&lt;=LTP!$B$5)*Calc!$K$3:$K$22*(Calc!$G$3:$G$22&lt;=A360))</f>
        <v/>
      </c>
      <c r="C360">
        <f>AND(B360&gt;=2,$B$11-B360&gt;=2)</f>
        <v/>
      </c>
      <c r="D360">
        <f>SUMPRODUCT((Calc!$F$3:$F$22&lt;=LTP!$B$5)*Calc!$K$3:$K$22*(Calc!$G$3:$G$22&gt;A360)*(Calc!$G$3:$G$22-A360))</f>
        <v/>
      </c>
      <c r="E360">
        <f>SUMPRODUCT((Calc!$F$3:$F$22&lt;=LTP!$B$5)*Calc!$K$3:$K$22*(Calc!$G$3:$G$22&gt;A360)*(Calc!$G$3:$G$22-A360)^2)</f>
        <v/>
      </c>
      <c r="F360">
        <f>SUMPRODUCT((Calc!$F$3:$F$22&lt;=LTP!$B$5)*Calc!$K$3:$K$22*(Calc!$G$3:$G$22&gt;A360)*(Calc!$G$3:$G$22-A360)*Calc!$G$3:$G$22)</f>
        <v/>
      </c>
      <c r="G360">
        <f>SUMPRODUCT((Calc!$F$3:$F$22&lt;=LTP!$B$5)*Calc!$K$3:$K$22*(Calc!$G$3:$G$22&gt;A360)*(Calc!$G$3:$G$22-A360)*Calc!$I$3:$I$22)</f>
        <v/>
      </c>
      <c r="H360">
        <f>IF($B$11&gt;0,F360-$C$11*D360/$B$11,0)</f>
        <v/>
      </c>
      <c r="I360">
        <f>IF($B$11&gt;0,E360-D360^2/$B$11,0)</f>
        <v/>
      </c>
      <c r="J360">
        <f>IF($B$11&gt;0,G360-D360*$D$11/$B$11,0)</f>
        <v/>
      </c>
      <c r="K360">
        <f>$H$11*I360-H360^2</f>
        <v/>
      </c>
      <c r="L360">
        <f>IF(ABS(K360)&gt;1E-12,($H$11*J360-H360*$I$11)/K360,0)</f>
        <v/>
      </c>
      <c r="M360">
        <f>IF(ABS(K360)&gt;1E-12,(I360*$I$11-H360*J360)/K360,0)</f>
        <v/>
      </c>
      <c r="N360">
        <f>$J$11-M360*$I$11-L360*J360</f>
        <v/>
      </c>
      <c r="O360">
        <f>IF(AND(C360,ABS(K360)&gt;1E-12,L360&gt;0),N360,1E+300)</f>
        <v/>
      </c>
    </row>
    <row r="361">
      <c r="A361">
        <f>$K$11+($L$11-$K$11)*347/400</f>
        <v/>
      </c>
      <c r="B361">
        <f>SUMPRODUCT((Calc!$F$3:$F$22&lt;=LTP!$B$5)*Calc!$K$3:$K$22*(Calc!$G$3:$G$22&lt;=A361))</f>
        <v/>
      </c>
      <c r="C361">
        <f>AND(B361&gt;=2,$B$11-B361&gt;=2)</f>
        <v/>
      </c>
      <c r="D361">
        <f>SUMPRODUCT((Calc!$F$3:$F$22&lt;=LTP!$B$5)*Calc!$K$3:$K$22*(Calc!$G$3:$G$22&gt;A361)*(Calc!$G$3:$G$22-A361))</f>
        <v/>
      </c>
      <c r="E361">
        <f>SUMPRODUCT((Calc!$F$3:$F$22&lt;=LTP!$B$5)*Calc!$K$3:$K$22*(Calc!$G$3:$G$22&gt;A361)*(Calc!$G$3:$G$22-A361)^2)</f>
        <v/>
      </c>
      <c r="F361">
        <f>SUMPRODUCT((Calc!$F$3:$F$22&lt;=LTP!$B$5)*Calc!$K$3:$K$22*(Calc!$G$3:$G$22&gt;A361)*(Calc!$G$3:$G$22-A361)*Calc!$G$3:$G$22)</f>
        <v/>
      </c>
      <c r="G361">
        <f>SUMPRODUCT((Calc!$F$3:$F$22&lt;=LTP!$B$5)*Calc!$K$3:$K$22*(Calc!$G$3:$G$22&gt;A361)*(Calc!$G$3:$G$22-A361)*Calc!$I$3:$I$22)</f>
        <v/>
      </c>
      <c r="H361">
        <f>IF($B$11&gt;0,F361-$C$11*D361/$B$11,0)</f>
        <v/>
      </c>
      <c r="I361">
        <f>IF($B$11&gt;0,E361-D361^2/$B$11,0)</f>
        <v/>
      </c>
      <c r="J361">
        <f>IF($B$11&gt;0,G361-D361*$D$11/$B$11,0)</f>
        <v/>
      </c>
      <c r="K361">
        <f>$H$11*I361-H361^2</f>
        <v/>
      </c>
      <c r="L361">
        <f>IF(ABS(K361)&gt;1E-12,($H$11*J361-H361*$I$11)/K361,0)</f>
        <v/>
      </c>
      <c r="M361">
        <f>IF(ABS(K361)&gt;1E-12,(I361*$I$11-H361*J361)/K361,0)</f>
        <v/>
      </c>
      <c r="N361">
        <f>$J$11-M361*$I$11-L361*J361</f>
        <v/>
      </c>
      <c r="O361">
        <f>IF(AND(C361,ABS(K361)&gt;1E-12,L361&gt;0),N361,1E+300)</f>
        <v/>
      </c>
    </row>
    <row r="362">
      <c r="A362">
        <f>$K$11+($L$11-$K$11)*348/400</f>
        <v/>
      </c>
      <c r="B362">
        <f>SUMPRODUCT((Calc!$F$3:$F$22&lt;=LTP!$B$5)*Calc!$K$3:$K$22*(Calc!$G$3:$G$22&lt;=A362))</f>
        <v/>
      </c>
      <c r="C362">
        <f>AND(B362&gt;=2,$B$11-B362&gt;=2)</f>
        <v/>
      </c>
      <c r="D362">
        <f>SUMPRODUCT((Calc!$F$3:$F$22&lt;=LTP!$B$5)*Calc!$K$3:$K$22*(Calc!$G$3:$G$22&gt;A362)*(Calc!$G$3:$G$22-A362))</f>
        <v/>
      </c>
      <c r="E362">
        <f>SUMPRODUCT((Calc!$F$3:$F$22&lt;=LTP!$B$5)*Calc!$K$3:$K$22*(Calc!$G$3:$G$22&gt;A362)*(Calc!$G$3:$G$22-A362)^2)</f>
        <v/>
      </c>
      <c r="F362">
        <f>SUMPRODUCT((Calc!$F$3:$F$22&lt;=LTP!$B$5)*Calc!$K$3:$K$22*(Calc!$G$3:$G$22&gt;A362)*(Calc!$G$3:$G$22-A362)*Calc!$G$3:$G$22)</f>
        <v/>
      </c>
      <c r="G362">
        <f>SUMPRODUCT((Calc!$F$3:$F$22&lt;=LTP!$B$5)*Calc!$K$3:$K$22*(Calc!$G$3:$G$22&gt;A362)*(Calc!$G$3:$G$22-A362)*Calc!$I$3:$I$22)</f>
        <v/>
      </c>
      <c r="H362">
        <f>IF($B$11&gt;0,F362-$C$11*D362/$B$11,0)</f>
        <v/>
      </c>
      <c r="I362">
        <f>IF($B$11&gt;0,E362-D362^2/$B$11,0)</f>
        <v/>
      </c>
      <c r="J362">
        <f>IF($B$11&gt;0,G362-D362*$D$11/$B$11,0)</f>
        <v/>
      </c>
      <c r="K362">
        <f>$H$11*I362-H362^2</f>
        <v/>
      </c>
      <c r="L362">
        <f>IF(ABS(K362)&gt;1E-12,($H$11*J362-H362*$I$11)/K362,0)</f>
        <v/>
      </c>
      <c r="M362">
        <f>IF(ABS(K362)&gt;1E-12,(I362*$I$11-H362*J362)/K362,0)</f>
        <v/>
      </c>
      <c r="N362">
        <f>$J$11-M362*$I$11-L362*J362</f>
        <v/>
      </c>
      <c r="O362">
        <f>IF(AND(C362,ABS(K362)&gt;1E-12,L362&gt;0),N362,1E+300)</f>
        <v/>
      </c>
    </row>
    <row r="363">
      <c r="A363">
        <f>$K$11+($L$11-$K$11)*349/400</f>
        <v/>
      </c>
      <c r="B363">
        <f>SUMPRODUCT((Calc!$F$3:$F$22&lt;=LTP!$B$5)*Calc!$K$3:$K$22*(Calc!$G$3:$G$22&lt;=A363))</f>
        <v/>
      </c>
      <c r="C363">
        <f>AND(B363&gt;=2,$B$11-B363&gt;=2)</f>
        <v/>
      </c>
      <c r="D363">
        <f>SUMPRODUCT((Calc!$F$3:$F$22&lt;=LTP!$B$5)*Calc!$K$3:$K$22*(Calc!$G$3:$G$22&gt;A363)*(Calc!$G$3:$G$22-A363))</f>
        <v/>
      </c>
      <c r="E363">
        <f>SUMPRODUCT((Calc!$F$3:$F$22&lt;=LTP!$B$5)*Calc!$K$3:$K$22*(Calc!$G$3:$G$22&gt;A363)*(Calc!$G$3:$G$22-A363)^2)</f>
        <v/>
      </c>
      <c r="F363">
        <f>SUMPRODUCT((Calc!$F$3:$F$22&lt;=LTP!$B$5)*Calc!$K$3:$K$22*(Calc!$G$3:$G$22&gt;A363)*(Calc!$G$3:$G$22-A363)*Calc!$G$3:$G$22)</f>
        <v/>
      </c>
      <c r="G363">
        <f>SUMPRODUCT((Calc!$F$3:$F$22&lt;=LTP!$B$5)*Calc!$K$3:$K$22*(Calc!$G$3:$G$22&gt;A363)*(Calc!$G$3:$G$22-A363)*Calc!$I$3:$I$22)</f>
        <v/>
      </c>
      <c r="H363">
        <f>IF($B$11&gt;0,F363-$C$11*D363/$B$11,0)</f>
        <v/>
      </c>
      <c r="I363">
        <f>IF($B$11&gt;0,E363-D363^2/$B$11,0)</f>
        <v/>
      </c>
      <c r="J363">
        <f>IF($B$11&gt;0,G363-D363*$D$11/$B$11,0)</f>
        <v/>
      </c>
      <c r="K363">
        <f>$H$11*I363-H363^2</f>
        <v/>
      </c>
      <c r="L363">
        <f>IF(ABS(K363)&gt;1E-12,($H$11*J363-H363*$I$11)/K363,0)</f>
        <v/>
      </c>
      <c r="M363">
        <f>IF(ABS(K363)&gt;1E-12,(I363*$I$11-H363*J363)/K363,0)</f>
        <v/>
      </c>
      <c r="N363">
        <f>$J$11-M363*$I$11-L363*J363</f>
        <v/>
      </c>
      <c r="O363">
        <f>IF(AND(C363,ABS(K363)&gt;1E-12,L363&gt;0),N363,1E+300)</f>
        <v/>
      </c>
    </row>
    <row r="364">
      <c r="A364">
        <f>$K$11+($L$11-$K$11)*350/400</f>
        <v/>
      </c>
      <c r="B364">
        <f>SUMPRODUCT((Calc!$F$3:$F$22&lt;=LTP!$B$5)*Calc!$K$3:$K$22*(Calc!$G$3:$G$22&lt;=A364))</f>
        <v/>
      </c>
      <c r="C364">
        <f>AND(B364&gt;=2,$B$11-B364&gt;=2)</f>
        <v/>
      </c>
      <c r="D364">
        <f>SUMPRODUCT((Calc!$F$3:$F$22&lt;=LTP!$B$5)*Calc!$K$3:$K$22*(Calc!$G$3:$G$22&gt;A364)*(Calc!$G$3:$G$22-A364))</f>
        <v/>
      </c>
      <c r="E364">
        <f>SUMPRODUCT((Calc!$F$3:$F$22&lt;=LTP!$B$5)*Calc!$K$3:$K$22*(Calc!$G$3:$G$22&gt;A364)*(Calc!$G$3:$G$22-A364)^2)</f>
        <v/>
      </c>
      <c r="F364">
        <f>SUMPRODUCT((Calc!$F$3:$F$22&lt;=LTP!$B$5)*Calc!$K$3:$K$22*(Calc!$G$3:$G$22&gt;A364)*(Calc!$G$3:$G$22-A364)*Calc!$G$3:$G$22)</f>
        <v/>
      </c>
      <c r="G364">
        <f>SUMPRODUCT((Calc!$F$3:$F$22&lt;=LTP!$B$5)*Calc!$K$3:$K$22*(Calc!$G$3:$G$22&gt;A364)*(Calc!$G$3:$G$22-A364)*Calc!$I$3:$I$22)</f>
        <v/>
      </c>
      <c r="H364">
        <f>IF($B$11&gt;0,F364-$C$11*D364/$B$11,0)</f>
        <v/>
      </c>
      <c r="I364">
        <f>IF($B$11&gt;0,E364-D364^2/$B$11,0)</f>
        <v/>
      </c>
      <c r="J364">
        <f>IF($B$11&gt;0,G364-D364*$D$11/$B$11,0)</f>
        <v/>
      </c>
      <c r="K364">
        <f>$H$11*I364-H364^2</f>
        <v/>
      </c>
      <c r="L364">
        <f>IF(ABS(K364)&gt;1E-12,($H$11*J364-H364*$I$11)/K364,0)</f>
        <v/>
      </c>
      <c r="M364">
        <f>IF(ABS(K364)&gt;1E-12,(I364*$I$11-H364*J364)/K364,0)</f>
        <v/>
      </c>
      <c r="N364">
        <f>$J$11-M364*$I$11-L364*J364</f>
        <v/>
      </c>
      <c r="O364">
        <f>IF(AND(C364,ABS(K364)&gt;1E-12,L364&gt;0),N364,1E+300)</f>
        <v/>
      </c>
    </row>
    <row r="365">
      <c r="A365">
        <f>$K$11+($L$11-$K$11)*351/400</f>
        <v/>
      </c>
      <c r="B365">
        <f>SUMPRODUCT((Calc!$F$3:$F$22&lt;=LTP!$B$5)*Calc!$K$3:$K$22*(Calc!$G$3:$G$22&lt;=A365))</f>
        <v/>
      </c>
      <c r="C365">
        <f>AND(B365&gt;=2,$B$11-B365&gt;=2)</f>
        <v/>
      </c>
      <c r="D365">
        <f>SUMPRODUCT((Calc!$F$3:$F$22&lt;=LTP!$B$5)*Calc!$K$3:$K$22*(Calc!$G$3:$G$22&gt;A365)*(Calc!$G$3:$G$22-A365))</f>
        <v/>
      </c>
      <c r="E365">
        <f>SUMPRODUCT((Calc!$F$3:$F$22&lt;=LTP!$B$5)*Calc!$K$3:$K$22*(Calc!$G$3:$G$22&gt;A365)*(Calc!$G$3:$G$22-A365)^2)</f>
        <v/>
      </c>
      <c r="F365">
        <f>SUMPRODUCT((Calc!$F$3:$F$22&lt;=LTP!$B$5)*Calc!$K$3:$K$22*(Calc!$G$3:$G$22&gt;A365)*(Calc!$G$3:$G$22-A365)*Calc!$G$3:$G$22)</f>
        <v/>
      </c>
      <c r="G365">
        <f>SUMPRODUCT((Calc!$F$3:$F$22&lt;=LTP!$B$5)*Calc!$K$3:$K$22*(Calc!$G$3:$G$22&gt;A365)*(Calc!$G$3:$G$22-A365)*Calc!$I$3:$I$22)</f>
        <v/>
      </c>
      <c r="H365">
        <f>IF($B$11&gt;0,F365-$C$11*D365/$B$11,0)</f>
        <v/>
      </c>
      <c r="I365">
        <f>IF($B$11&gt;0,E365-D365^2/$B$11,0)</f>
        <v/>
      </c>
      <c r="J365">
        <f>IF($B$11&gt;0,G365-D365*$D$11/$B$11,0)</f>
        <v/>
      </c>
      <c r="K365">
        <f>$H$11*I365-H365^2</f>
        <v/>
      </c>
      <c r="L365">
        <f>IF(ABS(K365)&gt;1E-12,($H$11*J365-H365*$I$11)/K365,0)</f>
        <v/>
      </c>
      <c r="M365">
        <f>IF(ABS(K365)&gt;1E-12,(I365*$I$11-H365*J365)/K365,0)</f>
        <v/>
      </c>
      <c r="N365">
        <f>$J$11-M365*$I$11-L365*J365</f>
        <v/>
      </c>
      <c r="O365">
        <f>IF(AND(C365,ABS(K365)&gt;1E-12,L365&gt;0),N365,1E+300)</f>
        <v/>
      </c>
    </row>
    <row r="366">
      <c r="A366">
        <f>$K$11+($L$11-$K$11)*352/400</f>
        <v/>
      </c>
      <c r="B366">
        <f>SUMPRODUCT((Calc!$F$3:$F$22&lt;=LTP!$B$5)*Calc!$K$3:$K$22*(Calc!$G$3:$G$22&lt;=A366))</f>
        <v/>
      </c>
      <c r="C366">
        <f>AND(B366&gt;=2,$B$11-B366&gt;=2)</f>
        <v/>
      </c>
      <c r="D366">
        <f>SUMPRODUCT((Calc!$F$3:$F$22&lt;=LTP!$B$5)*Calc!$K$3:$K$22*(Calc!$G$3:$G$22&gt;A366)*(Calc!$G$3:$G$22-A366))</f>
        <v/>
      </c>
      <c r="E366">
        <f>SUMPRODUCT((Calc!$F$3:$F$22&lt;=LTP!$B$5)*Calc!$K$3:$K$22*(Calc!$G$3:$G$22&gt;A366)*(Calc!$G$3:$G$22-A366)^2)</f>
        <v/>
      </c>
      <c r="F366">
        <f>SUMPRODUCT((Calc!$F$3:$F$22&lt;=LTP!$B$5)*Calc!$K$3:$K$22*(Calc!$G$3:$G$22&gt;A366)*(Calc!$G$3:$G$22-A366)*Calc!$G$3:$G$22)</f>
        <v/>
      </c>
      <c r="G366">
        <f>SUMPRODUCT((Calc!$F$3:$F$22&lt;=LTP!$B$5)*Calc!$K$3:$K$22*(Calc!$G$3:$G$22&gt;A366)*(Calc!$G$3:$G$22-A366)*Calc!$I$3:$I$22)</f>
        <v/>
      </c>
      <c r="H366">
        <f>IF($B$11&gt;0,F366-$C$11*D366/$B$11,0)</f>
        <v/>
      </c>
      <c r="I366">
        <f>IF($B$11&gt;0,E366-D366^2/$B$11,0)</f>
        <v/>
      </c>
      <c r="J366">
        <f>IF($B$11&gt;0,G366-D366*$D$11/$B$11,0)</f>
        <v/>
      </c>
      <c r="K366">
        <f>$H$11*I366-H366^2</f>
        <v/>
      </c>
      <c r="L366">
        <f>IF(ABS(K366)&gt;1E-12,($H$11*J366-H366*$I$11)/K366,0)</f>
        <v/>
      </c>
      <c r="M366">
        <f>IF(ABS(K366)&gt;1E-12,(I366*$I$11-H366*J366)/K366,0)</f>
        <v/>
      </c>
      <c r="N366">
        <f>$J$11-M366*$I$11-L366*J366</f>
        <v/>
      </c>
      <c r="O366">
        <f>IF(AND(C366,ABS(K366)&gt;1E-12,L366&gt;0),N366,1E+300)</f>
        <v/>
      </c>
    </row>
    <row r="367">
      <c r="A367">
        <f>$K$11+($L$11-$K$11)*353/400</f>
        <v/>
      </c>
      <c r="B367">
        <f>SUMPRODUCT((Calc!$F$3:$F$22&lt;=LTP!$B$5)*Calc!$K$3:$K$22*(Calc!$G$3:$G$22&lt;=A367))</f>
        <v/>
      </c>
      <c r="C367">
        <f>AND(B367&gt;=2,$B$11-B367&gt;=2)</f>
        <v/>
      </c>
      <c r="D367">
        <f>SUMPRODUCT((Calc!$F$3:$F$22&lt;=LTP!$B$5)*Calc!$K$3:$K$22*(Calc!$G$3:$G$22&gt;A367)*(Calc!$G$3:$G$22-A367))</f>
        <v/>
      </c>
      <c r="E367">
        <f>SUMPRODUCT((Calc!$F$3:$F$22&lt;=LTP!$B$5)*Calc!$K$3:$K$22*(Calc!$G$3:$G$22&gt;A367)*(Calc!$G$3:$G$22-A367)^2)</f>
        <v/>
      </c>
      <c r="F367">
        <f>SUMPRODUCT((Calc!$F$3:$F$22&lt;=LTP!$B$5)*Calc!$K$3:$K$22*(Calc!$G$3:$G$22&gt;A367)*(Calc!$G$3:$G$22-A367)*Calc!$G$3:$G$22)</f>
        <v/>
      </c>
      <c r="G367">
        <f>SUMPRODUCT((Calc!$F$3:$F$22&lt;=LTP!$B$5)*Calc!$K$3:$K$22*(Calc!$G$3:$G$22&gt;A367)*(Calc!$G$3:$G$22-A367)*Calc!$I$3:$I$22)</f>
        <v/>
      </c>
      <c r="H367">
        <f>IF($B$11&gt;0,F367-$C$11*D367/$B$11,0)</f>
        <v/>
      </c>
      <c r="I367">
        <f>IF($B$11&gt;0,E367-D367^2/$B$11,0)</f>
        <v/>
      </c>
      <c r="J367">
        <f>IF($B$11&gt;0,G367-D367*$D$11/$B$11,0)</f>
        <v/>
      </c>
      <c r="K367">
        <f>$H$11*I367-H367^2</f>
        <v/>
      </c>
      <c r="L367">
        <f>IF(ABS(K367)&gt;1E-12,($H$11*J367-H367*$I$11)/K367,0)</f>
        <v/>
      </c>
      <c r="M367">
        <f>IF(ABS(K367)&gt;1E-12,(I367*$I$11-H367*J367)/K367,0)</f>
        <v/>
      </c>
      <c r="N367">
        <f>$J$11-M367*$I$11-L367*J367</f>
        <v/>
      </c>
      <c r="O367">
        <f>IF(AND(C367,ABS(K367)&gt;1E-12,L367&gt;0),N367,1E+300)</f>
        <v/>
      </c>
    </row>
    <row r="368">
      <c r="A368">
        <f>$K$11+($L$11-$K$11)*354/400</f>
        <v/>
      </c>
      <c r="B368">
        <f>SUMPRODUCT((Calc!$F$3:$F$22&lt;=LTP!$B$5)*Calc!$K$3:$K$22*(Calc!$G$3:$G$22&lt;=A368))</f>
        <v/>
      </c>
      <c r="C368">
        <f>AND(B368&gt;=2,$B$11-B368&gt;=2)</f>
        <v/>
      </c>
      <c r="D368">
        <f>SUMPRODUCT((Calc!$F$3:$F$22&lt;=LTP!$B$5)*Calc!$K$3:$K$22*(Calc!$G$3:$G$22&gt;A368)*(Calc!$G$3:$G$22-A368))</f>
        <v/>
      </c>
      <c r="E368">
        <f>SUMPRODUCT((Calc!$F$3:$F$22&lt;=LTP!$B$5)*Calc!$K$3:$K$22*(Calc!$G$3:$G$22&gt;A368)*(Calc!$G$3:$G$22-A368)^2)</f>
        <v/>
      </c>
      <c r="F368">
        <f>SUMPRODUCT((Calc!$F$3:$F$22&lt;=LTP!$B$5)*Calc!$K$3:$K$22*(Calc!$G$3:$G$22&gt;A368)*(Calc!$G$3:$G$22-A368)*Calc!$G$3:$G$22)</f>
        <v/>
      </c>
      <c r="G368">
        <f>SUMPRODUCT((Calc!$F$3:$F$22&lt;=LTP!$B$5)*Calc!$K$3:$K$22*(Calc!$G$3:$G$22&gt;A368)*(Calc!$G$3:$G$22-A368)*Calc!$I$3:$I$22)</f>
        <v/>
      </c>
      <c r="H368">
        <f>IF($B$11&gt;0,F368-$C$11*D368/$B$11,0)</f>
        <v/>
      </c>
      <c r="I368">
        <f>IF($B$11&gt;0,E368-D368^2/$B$11,0)</f>
        <v/>
      </c>
      <c r="J368">
        <f>IF($B$11&gt;0,G368-D368*$D$11/$B$11,0)</f>
        <v/>
      </c>
      <c r="K368">
        <f>$H$11*I368-H368^2</f>
        <v/>
      </c>
      <c r="L368">
        <f>IF(ABS(K368)&gt;1E-12,($H$11*J368-H368*$I$11)/K368,0)</f>
        <v/>
      </c>
      <c r="M368">
        <f>IF(ABS(K368)&gt;1E-12,(I368*$I$11-H368*J368)/K368,0)</f>
        <v/>
      </c>
      <c r="N368">
        <f>$J$11-M368*$I$11-L368*J368</f>
        <v/>
      </c>
      <c r="O368">
        <f>IF(AND(C368,ABS(K368)&gt;1E-12,L368&gt;0),N368,1E+300)</f>
        <v/>
      </c>
    </row>
    <row r="369">
      <c r="A369">
        <f>$K$11+($L$11-$K$11)*355/400</f>
        <v/>
      </c>
      <c r="B369">
        <f>SUMPRODUCT((Calc!$F$3:$F$22&lt;=LTP!$B$5)*Calc!$K$3:$K$22*(Calc!$G$3:$G$22&lt;=A369))</f>
        <v/>
      </c>
      <c r="C369">
        <f>AND(B369&gt;=2,$B$11-B369&gt;=2)</f>
        <v/>
      </c>
      <c r="D369">
        <f>SUMPRODUCT((Calc!$F$3:$F$22&lt;=LTP!$B$5)*Calc!$K$3:$K$22*(Calc!$G$3:$G$22&gt;A369)*(Calc!$G$3:$G$22-A369))</f>
        <v/>
      </c>
      <c r="E369">
        <f>SUMPRODUCT((Calc!$F$3:$F$22&lt;=LTP!$B$5)*Calc!$K$3:$K$22*(Calc!$G$3:$G$22&gt;A369)*(Calc!$G$3:$G$22-A369)^2)</f>
        <v/>
      </c>
      <c r="F369">
        <f>SUMPRODUCT((Calc!$F$3:$F$22&lt;=LTP!$B$5)*Calc!$K$3:$K$22*(Calc!$G$3:$G$22&gt;A369)*(Calc!$G$3:$G$22-A369)*Calc!$G$3:$G$22)</f>
        <v/>
      </c>
      <c r="G369">
        <f>SUMPRODUCT((Calc!$F$3:$F$22&lt;=LTP!$B$5)*Calc!$K$3:$K$22*(Calc!$G$3:$G$22&gt;A369)*(Calc!$G$3:$G$22-A369)*Calc!$I$3:$I$22)</f>
        <v/>
      </c>
      <c r="H369">
        <f>IF($B$11&gt;0,F369-$C$11*D369/$B$11,0)</f>
        <v/>
      </c>
      <c r="I369">
        <f>IF($B$11&gt;0,E369-D369^2/$B$11,0)</f>
        <v/>
      </c>
      <c r="J369">
        <f>IF($B$11&gt;0,G369-D369*$D$11/$B$11,0)</f>
        <v/>
      </c>
      <c r="K369">
        <f>$H$11*I369-H369^2</f>
        <v/>
      </c>
      <c r="L369">
        <f>IF(ABS(K369)&gt;1E-12,($H$11*J369-H369*$I$11)/K369,0)</f>
        <v/>
      </c>
      <c r="M369">
        <f>IF(ABS(K369)&gt;1E-12,(I369*$I$11-H369*J369)/K369,0)</f>
        <v/>
      </c>
      <c r="N369">
        <f>$J$11-M369*$I$11-L369*J369</f>
        <v/>
      </c>
      <c r="O369">
        <f>IF(AND(C369,ABS(K369)&gt;1E-12,L369&gt;0),N369,1E+300)</f>
        <v/>
      </c>
    </row>
    <row r="370">
      <c r="A370">
        <f>$K$11+($L$11-$K$11)*356/400</f>
        <v/>
      </c>
      <c r="B370">
        <f>SUMPRODUCT((Calc!$F$3:$F$22&lt;=LTP!$B$5)*Calc!$K$3:$K$22*(Calc!$G$3:$G$22&lt;=A370))</f>
        <v/>
      </c>
      <c r="C370">
        <f>AND(B370&gt;=2,$B$11-B370&gt;=2)</f>
        <v/>
      </c>
      <c r="D370">
        <f>SUMPRODUCT((Calc!$F$3:$F$22&lt;=LTP!$B$5)*Calc!$K$3:$K$22*(Calc!$G$3:$G$22&gt;A370)*(Calc!$G$3:$G$22-A370))</f>
        <v/>
      </c>
      <c r="E370">
        <f>SUMPRODUCT((Calc!$F$3:$F$22&lt;=LTP!$B$5)*Calc!$K$3:$K$22*(Calc!$G$3:$G$22&gt;A370)*(Calc!$G$3:$G$22-A370)^2)</f>
        <v/>
      </c>
      <c r="F370">
        <f>SUMPRODUCT((Calc!$F$3:$F$22&lt;=LTP!$B$5)*Calc!$K$3:$K$22*(Calc!$G$3:$G$22&gt;A370)*(Calc!$G$3:$G$22-A370)*Calc!$G$3:$G$22)</f>
        <v/>
      </c>
      <c r="G370">
        <f>SUMPRODUCT((Calc!$F$3:$F$22&lt;=LTP!$B$5)*Calc!$K$3:$K$22*(Calc!$G$3:$G$22&gt;A370)*(Calc!$G$3:$G$22-A370)*Calc!$I$3:$I$22)</f>
        <v/>
      </c>
      <c r="H370">
        <f>IF($B$11&gt;0,F370-$C$11*D370/$B$11,0)</f>
        <v/>
      </c>
      <c r="I370">
        <f>IF($B$11&gt;0,E370-D370^2/$B$11,0)</f>
        <v/>
      </c>
      <c r="J370">
        <f>IF($B$11&gt;0,G370-D370*$D$11/$B$11,0)</f>
        <v/>
      </c>
      <c r="K370">
        <f>$H$11*I370-H370^2</f>
        <v/>
      </c>
      <c r="L370">
        <f>IF(ABS(K370)&gt;1E-12,($H$11*J370-H370*$I$11)/K370,0)</f>
        <v/>
      </c>
      <c r="M370">
        <f>IF(ABS(K370)&gt;1E-12,(I370*$I$11-H370*J370)/K370,0)</f>
        <v/>
      </c>
      <c r="N370">
        <f>$J$11-M370*$I$11-L370*J370</f>
        <v/>
      </c>
      <c r="O370">
        <f>IF(AND(C370,ABS(K370)&gt;1E-12,L370&gt;0),N370,1E+300)</f>
        <v/>
      </c>
    </row>
    <row r="371">
      <c r="A371">
        <f>$K$11+($L$11-$K$11)*357/400</f>
        <v/>
      </c>
      <c r="B371">
        <f>SUMPRODUCT((Calc!$F$3:$F$22&lt;=LTP!$B$5)*Calc!$K$3:$K$22*(Calc!$G$3:$G$22&lt;=A371))</f>
        <v/>
      </c>
      <c r="C371">
        <f>AND(B371&gt;=2,$B$11-B371&gt;=2)</f>
        <v/>
      </c>
      <c r="D371">
        <f>SUMPRODUCT((Calc!$F$3:$F$22&lt;=LTP!$B$5)*Calc!$K$3:$K$22*(Calc!$G$3:$G$22&gt;A371)*(Calc!$G$3:$G$22-A371))</f>
        <v/>
      </c>
      <c r="E371">
        <f>SUMPRODUCT((Calc!$F$3:$F$22&lt;=LTP!$B$5)*Calc!$K$3:$K$22*(Calc!$G$3:$G$22&gt;A371)*(Calc!$G$3:$G$22-A371)^2)</f>
        <v/>
      </c>
      <c r="F371">
        <f>SUMPRODUCT((Calc!$F$3:$F$22&lt;=LTP!$B$5)*Calc!$K$3:$K$22*(Calc!$G$3:$G$22&gt;A371)*(Calc!$G$3:$G$22-A371)*Calc!$G$3:$G$22)</f>
        <v/>
      </c>
      <c r="G371">
        <f>SUMPRODUCT((Calc!$F$3:$F$22&lt;=LTP!$B$5)*Calc!$K$3:$K$22*(Calc!$G$3:$G$22&gt;A371)*(Calc!$G$3:$G$22-A371)*Calc!$I$3:$I$22)</f>
        <v/>
      </c>
      <c r="H371">
        <f>IF($B$11&gt;0,F371-$C$11*D371/$B$11,0)</f>
        <v/>
      </c>
      <c r="I371">
        <f>IF($B$11&gt;0,E371-D371^2/$B$11,0)</f>
        <v/>
      </c>
      <c r="J371">
        <f>IF($B$11&gt;0,G371-D371*$D$11/$B$11,0)</f>
        <v/>
      </c>
      <c r="K371">
        <f>$H$11*I371-H371^2</f>
        <v/>
      </c>
      <c r="L371">
        <f>IF(ABS(K371)&gt;1E-12,($H$11*J371-H371*$I$11)/K371,0)</f>
        <v/>
      </c>
      <c r="M371">
        <f>IF(ABS(K371)&gt;1E-12,(I371*$I$11-H371*J371)/K371,0)</f>
        <v/>
      </c>
      <c r="N371">
        <f>$J$11-M371*$I$11-L371*J371</f>
        <v/>
      </c>
      <c r="O371">
        <f>IF(AND(C371,ABS(K371)&gt;1E-12,L371&gt;0),N371,1E+300)</f>
        <v/>
      </c>
    </row>
    <row r="372">
      <c r="A372">
        <f>$K$11+($L$11-$K$11)*358/400</f>
        <v/>
      </c>
      <c r="B372">
        <f>SUMPRODUCT((Calc!$F$3:$F$22&lt;=LTP!$B$5)*Calc!$K$3:$K$22*(Calc!$G$3:$G$22&lt;=A372))</f>
        <v/>
      </c>
      <c r="C372">
        <f>AND(B372&gt;=2,$B$11-B372&gt;=2)</f>
        <v/>
      </c>
      <c r="D372">
        <f>SUMPRODUCT((Calc!$F$3:$F$22&lt;=LTP!$B$5)*Calc!$K$3:$K$22*(Calc!$G$3:$G$22&gt;A372)*(Calc!$G$3:$G$22-A372))</f>
        <v/>
      </c>
      <c r="E372">
        <f>SUMPRODUCT((Calc!$F$3:$F$22&lt;=LTP!$B$5)*Calc!$K$3:$K$22*(Calc!$G$3:$G$22&gt;A372)*(Calc!$G$3:$G$22-A372)^2)</f>
        <v/>
      </c>
      <c r="F372">
        <f>SUMPRODUCT((Calc!$F$3:$F$22&lt;=LTP!$B$5)*Calc!$K$3:$K$22*(Calc!$G$3:$G$22&gt;A372)*(Calc!$G$3:$G$22-A372)*Calc!$G$3:$G$22)</f>
        <v/>
      </c>
      <c r="G372">
        <f>SUMPRODUCT((Calc!$F$3:$F$22&lt;=LTP!$B$5)*Calc!$K$3:$K$22*(Calc!$G$3:$G$22&gt;A372)*(Calc!$G$3:$G$22-A372)*Calc!$I$3:$I$22)</f>
        <v/>
      </c>
      <c r="H372">
        <f>IF($B$11&gt;0,F372-$C$11*D372/$B$11,0)</f>
        <v/>
      </c>
      <c r="I372">
        <f>IF($B$11&gt;0,E372-D372^2/$B$11,0)</f>
        <v/>
      </c>
      <c r="J372">
        <f>IF($B$11&gt;0,G372-D372*$D$11/$B$11,0)</f>
        <v/>
      </c>
      <c r="K372">
        <f>$H$11*I372-H372^2</f>
        <v/>
      </c>
      <c r="L372">
        <f>IF(ABS(K372)&gt;1E-12,($H$11*J372-H372*$I$11)/K372,0)</f>
        <v/>
      </c>
      <c r="M372">
        <f>IF(ABS(K372)&gt;1E-12,(I372*$I$11-H372*J372)/K372,0)</f>
        <v/>
      </c>
      <c r="N372">
        <f>$J$11-M372*$I$11-L372*J372</f>
        <v/>
      </c>
      <c r="O372">
        <f>IF(AND(C372,ABS(K372)&gt;1E-12,L372&gt;0),N372,1E+300)</f>
        <v/>
      </c>
    </row>
    <row r="373">
      <c r="A373">
        <f>$K$11+($L$11-$K$11)*359/400</f>
        <v/>
      </c>
      <c r="B373">
        <f>SUMPRODUCT((Calc!$F$3:$F$22&lt;=LTP!$B$5)*Calc!$K$3:$K$22*(Calc!$G$3:$G$22&lt;=A373))</f>
        <v/>
      </c>
      <c r="C373">
        <f>AND(B373&gt;=2,$B$11-B373&gt;=2)</f>
        <v/>
      </c>
      <c r="D373">
        <f>SUMPRODUCT((Calc!$F$3:$F$22&lt;=LTP!$B$5)*Calc!$K$3:$K$22*(Calc!$G$3:$G$22&gt;A373)*(Calc!$G$3:$G$22-A373))</f>
        <v/>
      </c>
      <c r="E373">
        <f>SUMPRODUCT((Calc!$F$3:$F$22&lt;=LTP!$B$5)*Calc!$K$3:$K$22*(Calc!$G$3:$G$22&gt;A373)*(Calc!$G$3:$G$22-A373)^2)</f>
        <v/>
      </c>
      <c r="F373">
        <f>SUMPRODUCT((Calc!$F$3:$F$22&lt;=LTP!$B$5)*Calc!$K$3:$K$22*(Calc!$G$3:$G$22&gt;A373)*(Calc!$G$3:$G$22-A373)*Calc!$G$3:$G$22)</f>
        <v/>
      </c>
      <c r="G373">
        <f>SUMPRODUCT((Calc!$F$3:$F$22&lt;=LTP!$B$5)*Calc!$K$3:$K$22*(Calc!$G$3:$G$22&gt;A373)*(Calc!$G$3:$G$22-A373)*Calc!$I$3:$I$22)</f>
        <v/>
      </c>
      <c r="H373">
        <f>IF($B$11&gt;0,F373-$C$11*D373/$B$11,0)</f>
        <v/>
      </c>
      <c r="I373">
        <f>IF($B$11&gt;0,E373-D373^2/$B$11,0)</f>
        <v/>
      </c>
      <c r="J373">
        <f>IF($B$11&gt;0,G373-D373*$D$11/$B$11,0)</f>
        <v/>
      </c>
      <c r="K373">
        <f>$H$11*I373-H373^2</f>
        <v/>
      </c>
      <c r="L373">
        <f>IF(ABS(K373)&gt;1E-12,($H$11*J373-H373*$I$11)/K373,0)</f>
        <v/>
      </c>
      <c r="M373">
        <f>IF(ABS(K373)&gt;1E-12,(I373*$I$11-H373*J373)/K373,0)</f>
        <v/>
      </c>
      <c r="N373">
        <f>$J$11-M373*$I$11-L373*J373</f>
        <v/>
      </c>
      <c r="O373">
        <f>IF(AND(C373,ABS(K373)&gt;1E-12,L373&gt;0),N373,1E+300)</f>
        <v/>
      </c>
    </row>
    <row r="374">
      <c r="A374">
        <f>$K$11+($L$11-$K$11)*360/400</f>
        <v/>
      </c>
      <c r="B374">
        <f>SUMPRODUCT((Calc!$F$3:$F$22&lt;=LTP!$B$5)*Calc!$K$3:$K$22*(Calc!$G$3:$G$22&lt;=A374))</f>
        <v/>
      </c>
      <c r="C374">
        <f>AND(B374&gt;=2,$B$11-B374&gt;=2)</f>
        <v/>
      </c>
      <c r="D374">
        <f>SUMPRODUCT((Calc!$F$3:$F$22&lt;=LTP!$B$5)*Calc!$K$3:$K$22*(Calc!$G$3:$G$22&gt;A374)*(Calc!$G$3:$G$22-A374))</f>
        <v/>
      </c>
      <c r="E374">
        <f>SUMPRODUCT((Calc!$F$3:$F$22&lt;=LTP!$B$5)*Calc!$K$3:$K$22*(Calc!$G$3:$G$22&gt;A374)*(Calc!$G$3:$G$22-A374)^2)</f>
        <v/>
      </c>
      <c r="F374">
        <f>SUMPRODUCT((Calc!$F$3:$F$22&lt;=LTP!$B$5)*Calc!$K$3:$K$22*(Calc!$G$3:$G$22&gt;A374)*(Calc!$G$3:$G$22-A374)*Calc!$G$3:$G$22)</f>
        <v/>
      </c>
      <c r="G374">
        <f>SUMPRODUCT((Calc!$F$3:$F$22&lt;=LTP!$B$5)*Calc!$K$3:$K$22*(Calc!$G$3:$G$22&gt;A374)*(Calc!$G$3:$G$22-A374)*Calc!$I$3:$I$22)</f>
        <v/>
      </c>
      <c r="H374">
        <f>IF($B$11&gt;0,F374-$C$11*D374/$B$11,0)</f>
        <v/>
      </c>
      <c r="I374">
        <f>IF($B$11&gt;0,E374-D374^2/$B$11,0)</f>
        <v/>
      </c>
      <c r="J374">
        <f>IF($B$11&gt;0,G374-D374*$D$11/$B$11,0)</f>
        <v/>
      </c>
      <c r="K374">
        <f>$H$11*I374-H374^2</f>
        <v/>
      </c>
      <c r="L374">
        <f>IF(ABS(K374)&gt;1E-12,($H$11*J374-H374*$I$11)/K374,0)</f>
        <v/>
      </c>
      <c r="M374">
        <f>IF(ABS(K374)&gt;1E-12,(I374*$I$11-H374*J374)/K374,0)</f>
        <v/>
      </c>
      <c r="N374">
        <f>$J$11-M374*$I$11-L374*J374</f>
        <v/>
      </c>
      <c r="O374">
        <f>IF(AND(C374,ABS(K374)&gt;1E-12,L374&gt;0),N374,1E+300)</f>
        <v/>
      </c>
    </row>
    <row r="375">
      <c r="A375">
        <f>$K$11+($L$11-$K$11)*361/400</f>
        <v/>
      </c>
      <c r="B375">
        <f>SUMPRODUCT((Calc!$F$3:$F$22&lt;=LTP!$B$5)*Calc!$K$3:$K$22*(Calc!$G$3:$G$22&lt;=A375))</f>
        <v/>
      </c>
      <c r="C375">
        <f>AND(B375&gt;=2,$B$11-B375&gt;=2)</f>
        <v/>
      </c>
      <c r="D375">
        <f>SUMPRODUCT((Calc!$F$3:$F$22&lt;=LTP!$B$5)*Calc!$K$3:$K$22*(Calc!$G$3:$G$22&gt;A375)*(Calc!$G$3:$G$22-A375))</f>
        <v/>
      </c>
      <c r="E375">
        <f>SUMPRODUCT((Calc!$F$3:$F$22&lt;=LTP!$B$5)*Calc!$K$3:$K$22*(Calc!$G$3:$G$22&gt;A375)*(Calc!$G$3:$G$22-A375)^2)</f>
        <v/>
      </c>
      <c r="F375">
        <f>SUMPRODUCT((Calc!$F$3:$F$22&lt;=LTP!$B$5)*Calc!$K$3:$K$22*(Calc!$G$3:$G$22&gt;A375)*(Calc!$G$3:$G$22-A375)*Calc!$G$3:$G$22)</f>
        <v/>
      </c>
      <c r="G375">
        <f>SUMPRODUCT((Calc!$F$3:$F$22&lt;=LTP!$B$5)*Calc!$K$3:$K$22*(Calc!$G$3:$G$22&gt;A375)*(Calc!$G$3:$G$22-A375)*Calc!$I$3:$I$22)</f>
        <v/>
      </c>
      <c r="H375">
        <f>IF($B$11&gt;0,F375-$C$11*D375/$B$11,0)</f>
        <v/>
      </c>
      <c r="I375">
        <f>IF($B$11&gt;0,E375-D375^2/$B$11,0)</f>
        <v/>
      </c>
      <c r="J375">
        <f>IF($B$11&gt;0,G375-D375*$D$11/$B$11,0)</f>
        <v/>
      </c>
      <c r="K375">
        <f>$H$11*I375-H375^2</f>
        <v/>
      </c>
      <c r="L375">
        <f>IF(ABS(K375)&gt;1E-12,($H$11*J375-H375*$I$11)/K375,0)</f>
        <v/>
      </c>
      <c r="M375">
        <f>IF(ABS(K375)&gt;1E-12,(I375*$I$11-H375*J375)/K375,0)</f>
        <v/>
      </c>
      <c r="N375">
        <f>$J$11-M375*$I$11-L375*J375</f>
        <v/>
      </c>
      <c r="O375">
        <f>IF(AND(C375,ABS(K375)&gt;1E-12,L375&gt;0),N375,1E+300)</f>
        <v/>
      </c>
    </row>
    <row r="376">
      <c r="A376">
        <f>$K$11+($L$11-$K$11)*362/400</f>
        <v/>
      </c>
      <c r="B376">
        <f>SUMPRODUCT((Calc!$F$3:$F$22&lt;=LTP!$B$5)*Calc!$K$3:$K$22*(Calc!$G$3:$G$22&lt;=A376))</f>
        <v/>
      </c>
      <c r="C376">
        <f>AND(B376&gt;=2,$B$11-B376&gt;=2)</f>
        <v/>
      </c>
      <c r="D376">
        <f>SUMPRODUCT((Calc!$F$3:$F$22&lt;=LTP!$B$5)*Calc!$K$3:$K$22*(Calc!$G$3:$G$22&gt;A376)*(Calc!$G$3:$G$22-A376))</f>
        <v/>
      </c>
      <c r="E376">
        <f>SUMPRODUCT((Calc!$F$3:$F$22&lt;=LTP!$B$5)*Calc!$K$3:$K$22*(Calc!$G$3:$G$22&gt;A376)*(Calc!$G$3:$G$22-A376)^2)</f>
        <v/>
      </c>
      <c r="F376">
        <f>SUMPRODUCT((Calc!$F$3:$F$22&lt;=LTP!$B$5)*Calc!$K$3:$K$22*(Calc!$G$3:$G$22&gt;A376)*(Calc!$G$3:$G$22-A376)*Calc!$G$3:$G$22)</f>
        <v/>
      </c>
      <c r="G376">
        <f>SUMPRODUCT((Calc!$F$3:$F$22&lt;=LTP!$B$5)*Calc!$K$3:$K$22*(Calc!$G$3:$G$22&gt;A376)*(Calc!$G$3:$G$22-A376)*Calc!$I$3:$I$22)</f>
        <v/>
      </c>
      <c r="H376">
        <f>IF($B$11&gt;0,F376-$C$11*D376/$B$11,0)</f>
        <v/>
      </c>
      <c r="I376">
        <f>IF($B$11&gt;0,E376-D376^2/$B$11,0)</f>
        <v/>
      </c>
      <c r="J376">
        <f>IF($B$11&gt;0,G376-D376*$D$11/$B$11,0)</f>
        <v/>
      </c>
      <c r="K376">
        <f>$H$11*I376-H376^2</f>
        <v/>
      </c>
      <c r="L376">
        <f>IF(ABS(K376)&gt;1E-12,($H$11*J376-H376*$I$11)/K376,0)</f>
        <v/>
      </c>
      <c r="M376">
        <f>IF(ABS(K376)&gt;1E-12,(I376*$I$11-H376*J376)/K376,0)</f>
        <v/>
      </c>
      <c r="N376">
        <f>$J$11-M376*$I$11-L376*J376</f>
        <v/>
      </c>
      <c r="O376">
        <f>IF(AND(C376,ABS(K376)&gt;1E-12,L376&gt;0),N376,1E+300)</f>
        <v/>
      </c>
    </row>
    <row r="377">
      <c r="A377">
        <f>$K$11+($L$11-$K$11)*363/400</f>
        <v/>
      </c>
      <c r="B377">
        <f>SUMPRODUCT((Calc!$F$3:$F$22&lt;=LTP!$B$5)*Calc!$K$3:$K$22*(Calc!$G$3:$G$22&lt;=A377))</f>
        <v/>
      </c>
      <c r="C377">
        <f>AND(B377&gt;=2,$B$11-B377&gt;=2)</f>
        <v/>
      </c>
      <c r="D377">
        <f>SUMPRODUCT((Calc!$F$3:$F$22&lt;=LTP!$B$5)*Calc!$K$3:$K$22*(Calc!$G$3:$G$22&gt;A377)*(Calc!$G$3:$G$22-A377))</f>
        <v/>
      </c>
      <c r="E377">
        <f>SUMPRODUCT((Calc!$F$3:$F$22&lt;=LTP!$B$5)*Calc!$K$3:$K$22*(Calc!$G$3:$G$22&gt;A377)*(Calc!$G$3:$G$22-A377)^2)</f>
        <v/>
      </c>
      <c r="F377">
        <f>SUMPRODUCT((Calc!$F$3:$F$22&lt;=LTP!$B$5)*Calc!$K$3:$K$22*(Calc!$G$3:$G$22&gt;A377)*(Calc!$G$3:$G$22-A377)*Calc!$G$3:$G$22)</f>
        <v/>
      </c>
      <c r="G377">
        <f>SUMPRODUCT((Calc!$F$3:$F$22&lt;=LTP!$B$5)*Calc!$K$3:$K$22*(Calc!$G$3:$G$22&gt;A377)*(Calc!$G$3:$G$22-A377)*Calc!$I$3:$I$22)</f>
        <v/>
      </c>
      <c r="H377">
        <f>IF($B$11&gt;0,F377-$C$11*D377/$B$11,0)</f>
        <v/>
      </c>
      <c r="I377">
        <f>IF($B$11&gt;0,E377-D377^2/$B$11,0)</f>
        <v/>
      </c>
      <c r="J377">
        <f>IF($B$11&gt;0,G377-D377*$D$11/$B$11,0)</f>
        <v/>
      </c>
      <c r="K377">
        <f>$H$11*I377-H377^2</f>
        <v/>
      </c>
      <c r="L377">
        <f>IF(ABS(K377)&gt;1E-12,($H$11*J377-H377*$I$11)/K377,0)</f>
        <v/>
      </c>
      <c r="M377">
        <f>IF(ABS(K377)&gt;1E-12,(I377*$I$11-H377*J377)/K377,0)</f>
        <v/>
      </c>
      <c r="N377">
        <f>$J$11-M377*$I$11-L377*J377</f>
        <v/>
      </c>
      <c r="O377">
        <f>IF(AND(C377,ABS(K377)&gt;1E-12,L377&gt;0),N377,1E+300)</f>
        <v/>
      </c>
    </row>
    <row r="378">
      <c r="A378">
        <f>$K$11+($L$11-$K$11)*364/400</f>
        <v/>
      </c>
      <c r="B378">
        <f>SUMPRODUCT((Calc!$F$3:$F$22&lt;=LTP!$B$5)*Calc!$K$3:$K$22*(Calc!$G$3:$G$22&lt;=A378))</f>
        <v/>
      </c>
      <c r="C378">
        <f>AND(B378&gt;=2,$B$11-B378&gt;=2)</f>
        <v/>
      </c>
      <c r="D378">
        <f>SUMPRODUCT((Calc!$F$3:$F$22&lt;=LTP!$B$5)*Calc!$K$3:$K$22*(Calc!$G$3:$G$22&gt;A378)*(Calc!$G$3:$G$22-A378))</f>
        <v/>
      </c>
      <c r="E378">
        <f>SUMPRODUCT((Calc!$F$3:$F$22&lt;=LTP!$B$5)*Calc!$K$3:$K$22*(Calc!$G$3:$G$22&gt;A378)*(Calc!$G$3:$G$22-A378)^2)</f>
        <v/>
      </c>
      <c r="F378">
        <f>SUMPRODUCT((Calc!$F$3:$F$22&lt;=LTP!$B$5)*Calc!$K$3:$K$22*(Calc!$G$3:$G$22&gt;A378)*(Calc!$G$3:$G$22-A378)*Calc!$G$3:$G$22)</f>
        <v/>
      </c>
      <c r="G378">
        <f>SUMPRODUCT((Calc!$F$3:$F$22&lt;=LTP!$B$5)*Calc!$K$3:$K$22*(Calc!$G$3:$G$22&gt;A378)*(Calc!$G$3:$G$22-A378)*Calc!$I$3:$I$22)</f>
        <v/>
      </c>
      <c r="H378">
        <f>IF($B$11&gt;0,F378-$C$11*D378/$B$11,0)</f>
        <v/>
      </c>
      <c r="I378">
        <f>IF($B$11&gt;0,E378-D378^2/$B$11,0)</f>
        <v/>
      </c>
      <c r="J378">
        <f>IF($B$11&gt;0,G378-D378*$D$11/$B$11,0)</f>
        <v/>
      </c>
      <c r="K378">
        <f>$H$11*I378-H378^2</f>
        <v/>
      </c>
      <c r="L378">
        <f>IF(ABS(K378)&gt;1E-12,($H$11*J378-H378*$I$11)/K378,0)</f>
        <v/>
      </c>
      <c r="M378">
        <f>IF(ABS(K378)&gt;1E-12,(I378*$I$11-H378*J378)/K378,0)</f>
        <v/>
      </c>
      <c r="N378">
        <f>$J$11-M378*$I$11-L378*J378</f>
        <v/>
      </c>
      <c r="O378">
        <f>IF(AND(C378,ABS(K378)&gt;1E-12,L378&gt;0),N378,1E+300)</f>
        <v/>
      </c>
    </row>
    <row r="379">
      <c r="A379">
        <f>$K$11+($L$11-$K$11)*365/400</f>
        <v/>
      </c>
      <c r="B379">
        <f>SUMPRODUCT((Calc!$F$3:$F$22&lt;=LTP!$B$5)*Calc!$K$3:$K$22*(Calc!$G$3:$G$22&lt;=A379))</f>
        <v/>
      </c>
      <c r="C379">
        <f>AND(B379&gt;=2,$B$11-B379&gt;=2)</f>
        <v/>
      </c>
      <c r="D379">
        <f>SUMPRODUCT((Calc!$F$3:$F$22&lt;=LTP!$B$5)*Calc!$K$3:$K$22*(Calc!$G$3:$G$22&gt;A379)*(Calc!$G$3:$G$22-A379))</f>
        <v/>
      </c>
      <c r="E379">
        <f>SUMPRODUCT((Calc!$F$3:$F$22&lt;=LTP!$B$5)*Calc!$K$3:$K$22*(Calc!$G$3:$G$22&gt;A379)*(Calc!$G$3:$G$22-A379)^2)</f>
        <v/>
      </c>
      <c r="F379">
        <f>SUMPRODUCT((Calc!$F$3:$F$22&lt;=LTP!$B$5)*Calc!$K$3:$K$22*(Calc!$G$3:$G$22&gt;A379)*(Calc!$G$3:$G$22-A379)*Calc!$G$3:$G$22)</f>
        <v/>
      </c>
      <c r="G379">
        <f>SUMPRODUCT((Calc!$F$3:$F$22&lt;=LTP!$B$5)*Calc!$K$3:$K$22*(Calc!$G$3:$G$22&gt;A379)*(Calc!$G$3:$G$22-A379)*Calc!$I$3:$I$22)</f>
        <v/>
      </c>
      <c r="H379">
        <f>IF($B$11&gt;0,F379-$C$11*D379/$B$11,0)</f>
        <v/>
      </c>
      <c r="I379">
        <f>IF($B$11&gt;0,E379-D379^2/$B$11,0)</f>
        <v/>
      </c>
      <c r="J379">
        <f>IF($B$11&gt;0,G379-D379*$D$11/$B$11,0)</f>
        <v/>
      </c>
      <c r="K379">
        <f>$H$11*I379-H379^2</f>
        <v/>
      </c>
      <c r="L379">
        <f>IF(ABS(K379)&gt;1E-12,($H$11*J379-H379*$I$11)/K379,0)</f>
        <v/>
      </c>
      <c r="M379">
        <f>IF(ABS(K379)&gt;1E-12,(I379*$I$11-H379*J379)/K379,0)</f>
        <v/>
      </c>
      <c r="N379">
        <f>$J$11-M379*$I$11-L379*J379</f>
        <v/>
      </c>
      <c r="O379">
        <f>IF(AND(C379,ABS(K379)&gt;1E-12,L379&gt;0),N379,1E+300)</f>
        <v/>
      </c>
    </row>
    <row r="380">
      <c r="A380">
        <f>$K$11+($L$11-$K$11)*366/400</f>
        <v/>
      </c>
      <c r="B380">
        <f>SUMPRODUCT((Calc!$F$3:$F$22&lt;=LTP!$B$5)*Calc!$K$3:$K$22*(Calc!$G$3:$G$22&lt;=A380))</f>
        <v/>
      </c>
      <c r="C380">
        <f>AND(B380&gt;=2,$B$11-B380&gt;=2)</f>
        <v/>
      </c>
      <c r="D380">
        <f>SUMPRODUCT((Calc!$F$3:$F$22&lt;=LTP!$B$5)*Calc!$K$3:$K$22*(Calc!$G$3:$G$22&gt;A380)*(Calc!$G$3:$G$22-A380))</f>
        <v/>
      </c>
      <c r="E380">
        <f>SUMPRODUCT((Calc!$F$3:$F$22&lt;=LTP!$B$5)*Calc!$K$3:$K$22*(Calc!$G$3:$G$22&gt;A380)*(Calc!$G$3:$G$22-A380)^2)</f>
        <v/>
      </c>
      <c r="F380">
        <f>SUMPRODUCT((Calc!$F$3:$F$22&lt;=LTP!$B$5)*Calc!$K$3:$K$22*(Calc!$G$3:$G$22&gt;A380)*(Calc!$G$3:$G$22-A380)*Calc!$G$3:$G$22)</f>
        <v/>
      </c>
      <c r="G380">
        <f>SUMPRODUCT((Calc!$F$3:$F$22&lt;=LTP!$B$5)*Calc!$K$3:$K$22*(Calc!$G$3:$G$22&gt;A380)*(Calc!$G$3:$G$22-A380)*Calc!$I$3:$I$22)</f>
        <v/>
      </c>
      <c r="H380">
        <f>IF($B$11&gt;0,F380-$C$11*D380/$B$11,0)</f>
        <v/>
      </c>
      <c r="I380">
        <f>IF($B$11&gt;0,E380-D380^2/$B$11,0)</f>
        <v/>
      </c>
      <c r="J380">
        <f>IF($B$11&gt;0,G380-D380*$D$11/$B$11,0)</f>
        <v/>
      </c>
      <c r="K380">
        <f>$H$11*I380-H380^2</f>
        <v/>
      </c>
      <c r="L380">
        <f>IF(ABS(K380)&gt;1E-12,($H$11*J380-H380*$I$11)/K380,0)</f>
        <v/>
      </c>
      <c r="M380">
        <f>IF(ABS(K380)&gt;1E-12,(I380*$I$11-H380*J380)/K380,0)</f>
        <v/>
      </c>
      <c r="N380">
        <f>$J$11-M380*$I$11-L380*J380</f>
        <v/>
      </c>
      <c r="O380">
        <f>IF(AND(C380,ABS(K380)&gt;1E-12,L380&gt;0),N380,1E+300)</f>
        <v/>
      </c>
    </row>
    <row r="381">
      <c r="A381">
        <f>$K$11+($L$11-$K$11)*367/400</f>
        <v/>
      </c>
      <c r="B381">
        <f>SUMPRODUCT((Calc!$F$3:$F$22&lt;=LTP!$B$5)*Calc!$K$3:$K$22*(Calc!$G$3:$G$22&lt;=A381))</f>
        <v/>
      </c>
      <c r="C381">
        <f>AND(B381&gt;=2,$B$11-B381&gt;=2)</f>
        <v/>
      </c>
      <c r="D381">
        <f>SUMPRODUCT((Calc!$F$3:$F$22&lt;=LTP!$B$5)*Calc!$K$3:$K$22*(Calc!$G$3:$G$22&gt;A381)*(Calc!$G$3:$G$22-A381))</f>
        <v/>
      </c>
      <c r="E381">
        <f>SUMPRODUCT((Calc!$F$3:$F$22&lt;=LTP!$B$5)*Calc!$K$3:$K$22*(Calc!$G$3:$G$22&gt;A381)*(Calc!$G$3:$G$22-A381)^2)</f>
        <v/>
      </c>
      <c r="F381">
        <f>SUMPRODUCT((Calc!$F$3:$F$22&lt;=LTP!$B$5)*Calc!$K$3:$K$22*(Calc!$G$3:$G$22&gt;A381)*(Calc!$G$3:$G$22-A381)*Calc!$G$3:$G$22)</f>
        <v/>
      </c>
      <c r="G381">
        <f>SUMPRODUCT((Calc!$F$3:$F$22&lt;=LTP!$B$5)*Calc!$K$3:$K$22*(Calc!$G$3:$G$22&gt;A381)*(Calc!$G$3:$G$22-A381)*Calc!$I$3:$I$22)</f>
        <v/>
      </c>
      <c r="H381">
        <f>IF($B$11&gt;0,F381-$C$11*D381/$B$11,0)</f>
        <v/>
      </c>
      <c r="I381">
        <f>IF($B$11&gt;0,E381-D381^2/$B$11,0)</f>
        <v/>
      </c>
      <c r="J381">
        <f>IF($B$11&gt;0,G381-D381*$D$11/$B$11,0)</f>
        <v/>
      </c>
      <c r="K381">
        <f>$H$11*I381-H381^2</f>
        <v/>
      </c>
      <c r="L381">
        <f>IF(ABS(K381)&gt;1E-12,($H$11*J381-H381*$I$11)/K381,0)</f>
        <v/>
      </c>
      <c r="M381">
        <f>IF(ABS(K381)&gt;1E-12,(I381*$I$11-H381*J381)/K381,0)</f>
        <v/>
      </c>
      <c r="N381">
        <f>$J$11-M381*$I$11-L381*J381</f>
        <v/>
      </c>
      <c r="O381">
        <f>IF(AND(C381,ABS(K381)&gt;1E-12,L381&gt;0),N381,1E+300)</f>
        <v/>
      </c>
    </row>
    <row r="382">
      <c r="A382">
        <f>$K$11+($L$11-$K$11)*368/400</f>
        <v/>
      </c>
      <c r="B382">
        <f>SUMPRODUCT((Calc!$F$3:$F$22&lt;=LTP!$B$5)*Calc!$K$3:$K$22*(Calc!$G$3:$G$22&lt;=A382))</f>
        <v/>
      </c>
      <c r="C382">
        <f>AND(B382&gt;=2,$B$11-B382&gt;=2)</f>
        <v/>
      </c>
      <c r="D382">
        <f>SUMPRODUCT((Calc!$F$3:$F$22&lt;=LTP!$B$5)*Calc!$K$3:$K$22*(Calc!$G$3:$G$22&gt;A382)*(Calc!$G$3:$G$22-A382))</f>
        <v/>
      </c>
      <c r="E382">
        <f>SUMPRODUCT((Calc!$F$3:$F$22&lt;=LTP!$B$5)*Calc!$K$3:$K$22*(Calc!$G$3:$G$22&gt;A382)*(Calc!$G$3:$G$22-A382)^2)</f>
        <v/>
      </c>
      <c r="F382">
        <f>SUMPRODUCT((Calc!$F$3:$F$22&lt;=LTP!$B$5)*Calc!$K$3:$K$22*(Calc!$G$3:$G$22&gt;A382)*(Calc!$G$3:$G$22-A382)*Calc!$G$3:$G$22)</f>
        <v/>
      </c>
      <c r="G382">
        <f>SUMPRODUCT((Calc!$F$3:$F$22&lt;=LTP!$B$5)*Calc!$K$3:$K$22*(Calc!$G$3:$G$22&gt;A382)*(Calc!$G$3:$G$22-A382)*Calc!$I$3:$I$22)</f>
        <v/>
      </c>
      <c r="H382">
        <f>IF($B$11&gt;0,F382-$C$11*D382/$B$11,0)</f>
        <v/>
      </c>
      <c r="I382">
        <f>IF($B$11&gt;0,E382-D382^2/$B$11,0)</f>
        <v/>
      </c>
      <c r="J382">
        <f>IF($B$11&gt;0,G382-D382*$D$11/$B$11,0)</f>
        <v/>
      </c>
      <c r="K382">
        <f>$H$11*I382-H382^2</f>
        <v/>
      </c>
      <c r="L382">
        <f>IF(ABS(K382)&gt;1E-12,($H$11*J382-H382*$I$11)/K382,0)</f>
        <v/>
      </c>
      <c r="M382">
        <f>IF(ABS(K382)&gt;1E-12,(I382*$I$11-H382*J382)/K382,0)</f>
        <v/>
      </c>
      <c r="N382">
        <f>$J$11-M382*$I$11-L382*J382</f>
        <v/>
      </c>
      <c r="O382">
        <f>IF(AND(C382,ABS(K382)&gt;1E-12,L382&gt;0),N382,1E+300)</f>
        <v/>
      </c>
    </row>
    <row r="383">
      <c r="A383">
        <f>$K$11+($L$11-$K$11)*369/400</f>
        <v/>
      </c>
      <c r="B383">
        <f>SUMPRODUCT((Calc!$F$3:$F$22&lt;=LTP!$B$5)*Calc!$K$3:$K$22*(Calc!$G$3:$G$22&lt;=A383))</f>
        <v/>
      </c>
      <c r="C383">
        <f>AND(B383&gt;=2,$B$11-B383&gt;=2)</f>
        <v/>
      </c>
      <c r="D383">
        <f>SUMPRODUCT((Calc!$F$3:$F$22&lt;=LTP!$B$5)*Calc!$K$3:$K$22*(Calc!$G$3:$G$22&gt;A383)*(Calc!$G$3:$G$22-A383))</f>
        <v/>
      </c>
      <c r="E383">
        <f>SUMPRODUCT((Calc!$F$3:$F$22&lt;=LTP!$B$5)*Calc!$K$3:$K$22*(Calc!$G$3:$G$22&gt;A383)*(Calc!$G$3:$G$22-A383)^2)</f>
        <v/>
      </c>
      <c r="F383">
        <f>SUMPRODUCT((Calc!$F$3:$F$22&lt;=LTP!$B$5)*Calc!$K$3:$K$22*(Calc!$G$3:$G$22&gt;A383)*(Calc!$G$3:$G$22-A383)*Calc!$G$3:$G$22)</f>
        <v/>
      </c>
      <c r="G383">
        <f>SUMPRODUCT((Calc!$F$3:$F$22&lt;=LTP!$B$5)*Calc!$K$3:$K$22*(Calc!$G$3:$G$22&gt;A383)*(Calc!$G$3:$G$22-A383)*Calc!$I$3:$I$22)</f>
        <v/>
      </c>
      <c r="H383">
        <f>IF($B$11&gt;0,F383-$C$11*D383/$B$11,0)</f>
        <v/>
      </c>
      <c r="I383">
        <f>IF($B$11&gt;0,E383-D383^2/$B$11,0)</f>
        <v/>
      </c>
      <c r="J383">
        <f>IF($B$11&gt;0,G383-D383*$D$11/$B$11,0)</f>
        <v/>
      </c>
      <c r="K383">
        <f>$H$11*I383-H383^2</f>
        <v/>
      </c>
      <c r="L383">
        <f>IF(ABS(K383)&gt;1E-12,($H$11*J383-H383*$I$11)/K383,0)</f>
        <v/>
      </c>
      <c r="M383">
        <f>IF(ABS(K383)&gt;1E-12,(I383*$I$11-H383*J383)/K383,0)</f>
        <v/>
      </c>
      <c r="N383">
        <f>$J$11-M383*$I$11-L383*J383</f>
        <v/>
      </c>
      <c r="O383">
        <f>IF(AND(C383,ABS(K383)&gt;1E-12,L383&gt;0),N383,1E+300)</f>
        <v/>
      </c>
    </row>
    <row r="384">
      <c r="A384">
        <f>$K$11+($L$11-$K$11)*370/400</f>
        <v/>
      </c>
      <c r="B384">
        <f>SUMPRODUCT((Calc!$F$3:$F$22&lt;=LTP!$B$5)*Calc!$K$3:$K$22*(Calc!$G$3:$G$22&lt;=A384))</f>
        <v/>
      </c>
      <c r="C384">
        <f>AND(B384&gt;=2,$B$11-B384&gt;=2)</f>
        <v/>
      </c>
      <c r="D384">
        <f>SUMPRODUCT((Calc!$F$3:$F$22&lt;=LTP!$B$5)*Calc!$K$3:$K$22*(Calc!$G$3:$G$22&gt;A384)*(Calc!$G$3:$G$22-A384))</f>
        <v/>
      </c>
      <c r="E384">
        <f>SUMPRODUCT((Calc!$F$3:$F$22&lt;=LTP!$B$5)*Calc!$K$3:$K$22*(Calc!$G$3:$G$22&gt;A384)*(Calc!$G$3:$G$22-A384)^2)</f>
        <v/>
      </c>
      <c r="F384">
        <f>SUMPRODUCT((Calc!$F$3:$F$22&lt;=LTP!$B$5)*Calc!$K$3:$K$22*(Calc!$G$3:$G$22&gt;A384)*(Calc!$G$3:$G$22-A384)*Calc!$G$3:$G$22)</f>
        <v/>
      </c>
      <c r="G384">
        <f>SUMPRODUCT((Calc!$F$3:$F$22&lt;=LTP!$B$5)*Calc!$K$3:$K$22*(Calc!$G$3:$G$22&gt;A384)*(Calc!$G$3:$G$22-A384)*Calc!$I$3:$I$22)</f>
        <v/>
      </c>
      <c r="H384">
        <f>IF($B$11&gt;0,F384-$C$11*D384/$B$11,0)</f>
        <v/>
      </c>
      <c r="I384">
        <f>IF($B$11&gt;0,E384-D384^2/$B$11,0)</f>
        <v/>
      </c>
      <c r="J384">
        <f>IF($B$11&gt;0,G384-D384*$D$11/$B$11,0)</f>
        <v/>
      </c>
      <c r="K384">
        <f>$H$11*I384-H384^2</f>
        <v/>
      </c>
      <c r="L384">
        <f>IF(ABS(K384)&gt;1E-12,($H$11*J384-H384*$I$11)/K384,0)</f>
        <v/>
      </c>
      <c r="M384">
        <f>IF(ABS(K384)&gt;1E-12,(I384*$I$11-H384*J384)/K384,0)</f>
        <v/>
      </c>
      <c r="N384">
        <f>$J$11-M384*$I$11-L384*J384</f>
        <v/>
      </c>
      <c r="O384">
        <f>IF(AND(C384,ABS(K384)&gt;1E-12,L384&gt;0),N384,1E+300)</f>
        <v/>
      </c>
    </row>
    <row r="385">
      <c r="A385">
        <f>$K$11+($L$11-$K$11)*371/400</f>
        <v/>
      </c>
      <c r="B385">
        <f>SUMPRODUCT((Calc!$F$3:$F$22&lt;=LTP!$B$5)*Calc!$K$3:$K$22*(Calc!$G$3:$G$22&lt;=A385))</f>
        <v/>
      </c>
      <c r="C385">
        <f>AND(B385&gt;=2,$B$11-B385&gt;=2)</f>
        <v/>
      </c>
      <c r="D385">
        <f>SUMPRODUCT((Calc!$F$3:$F$22&lt;=LTP!$B$5)*Calc!$K$3:$K$22*(Calc!$G$3:$G$22&gt;A385)*(Calc!$G$3:$G$22-A385))</f>
        <v/>
      </c>
      <c r="E385">
        <f>SUMPRODUCT((Calc!$F$3:$F$22&lt;=LTP!$B$5)*Calc!$K$3:$K$22*(Calc!$G$3:$G$22&gt;A385)*(Calc!$G$3:$G$22-A385)^2)</f>
        <v/>
      </c>
      <c r="F385">
        <f>SUMPRODUCT((Calc!$F$3:$F$22&lt;=LTP!$B$5)*Calc!$K$3:$K$22*(Calc!$G$3:$G$22&gt;A385)*(Calc!$G$3:$G$22-A385)*Calc!$G$3:$G$22)</f>
        <v/>
      </c>
      <c r="G385">
        <f>SUMPRODUCT((Calc!$F$3:$F$22&lt;=LTP!$B$5)*Calc!$K$3:$K$22*(Calc!$G$3:$G$22&gt;A385)*(Calc!$G$3:$G$22-A385)*Calc!$I$3:$I$22)</f>
        <v/>
      </c>
      <c r="H385">
        <f>IF($B$11&gt;0,F385-$C$11*D385/$B$11,0)</f>
        <v/>
      </c>
      <c r="I385">
        <f>IF($B$11&gt;0,E385-D385^2/$B$11,0)</f>
        <v/>
      </c>
      <c r="J385">
        <f>IF($B$11&gt;0,G385-D385*$D$11/$B$11,0)</f>
        <v/>
      </c>
      <c r="K385">
        <f>$H$11*I385-H385^2</f>
        <v/>
      </c>
      <c r="L385">
        <f>IF(ABS(K385)&gt;1E-12,($H$11*J385-H385*$I$11)/K385,0)</f>
        <v/>
      </c>
      <c r="M385">
        <f>IF(ABS(K385)&gt;1E-12,(I385*$I$11-H385*J385)/K385,0)</f>
        <v/>
      </c>
      <c r="N385">
        <f>$J$11-M385*$I$11-L385*J385</f>
        <v/>
      </c>
      <c r="O385">
        <f>IF(AND(C385,ABS(K385)&gt;1E-12,L385&gt;0),N385,1E+300)</f>
        <v/>
      </c>
    </row>
    <row r="386">
      <c r="A386">
        <f>$K$11+($L$11-$K$11)*372/400</f>
        <v/>
      </c>
      <c r="B386">
        <f>SUMPRODUCT((Calc!$F$3:$F$22&lt;=LTP!$B$5)*Calc!$K$3:$K$22*(Calc!$G$3:$G$22&lt;=A386))</f>
        <v/>
      </c>
      <c r="C386">
        <f>AND(B386&gt;=2,$B$11-B386&gt;=2)</f>
        <v/>
      </c>
      <c r="D386">
        <f>SUMPRODUCT((Calc!$F$3:$F$22&lt;=LTP!$B$5)*Calc!$K$3:$K$22*(Calc!$G$3:$G$22&gt;A386)*(Calc!$G$3:$G$22-A386))</f>
        <v/>
      </c>
      <c r="E386">
        <f>SUMPRODUCT((Calc!$F$3:$F$22&lt;=LTP!$B$5)*Calc!$K$3:$K$22*(Calc!$G$3:$G$22&gt;A386)*(Calc!$G$3:$G$22-A386)^2)</f>
        <v/>
      </c>
      <c r="F386">
        <f>SUMPRODUCT((Calc!$F$3:$F$22&lt;=LTP!$B$5)*Calc!$K$3:$K$22*(Calc!$G$3:$G$22&gt;A386)*(Calc!$G$3:$G$22-A386)*Calc!$G$3:$G$22)</f>
        <v/>
      </c>
      <c r="G386">
        <f>SUMPRODUCT((Calc!$F$3:$F$22&lt;=LTP!$B$5)*Calc!$K$3:$K$22*(Calc!$G$3:$G$22&gt;A386)*(Calc!$G$3:$G$22-A386)*Calc!$I$3:$I$22)</f>
        <v/>
      </c>
      <c r="H386">
        <f>IF($B$11&gt;0,F386-$C$11*D386/$B$11,0)</f>
        <v/>
      </c>
      <c r="I386">
        <f>IF($B$11&gt;0,E386-D386^2/$B$11,0)</f>
        <v/>
      </c>
      <c r="J386">
        <f>IF($B$11&gt;0,G386-D386*$D$11/$B$11,0)</f>
        <v/>
      </c>
      <c r="K386">
        <f>$H$11*I386-H386^2</f>
        <v/>
      </c>
      <c r="L386">
        <f>IF(ABS(K386)&gt;1E-12,($H$11*J386-H386*$I$11)/K386,0)</f>
        <v/>
      </c>
      <c r="M386">
        <f>IF(ABS(K386)&gt;1E-12,(I386*$I$11-H386*J386)/K386,0)</f>
        <v/>
      </c>
      <c r="N386">
        <f>$J$11-M386*$I$11-L386*J386</f>
        <v/>
      </c>
      <c r="O386">
        <f>IF(AND(C386,ABS(K386)&gt;1E-12,L386&gt;0),N386,1E+300)</f>
        <v/>
      </c>
    </row>
    <row r="387">
      <c r="A387">
        <f>$K$11+($L$11-$K$11)*373/400</f>
        <v/>
      </c>
      <c r="B387">
        <f>SUMPRODUCT((Calc!$F$3:$F$22&lt;=LTP!$B$5)*Calc!$K$3:$K$22*(Calc!$G$3:$G$22&lt;=A387))</f>
        <v/>
      </c>
      <c r="C387">
        <f>AND(B387&gt;=2,$B$11-B387&gt;=2)</f>
        <v/>
      </c>
      <c r="D387">
        <f>SUMPRODUCT((Calc!$F$3:$F$22&lt;=LTP!$B$5)*Calc!$K$3:$K$22*(Calc!$G$3:$G$22&gt;A387)*(Calc!$G$3:$G$22-A387))</f>
        <v/>
      </c>
      <c r="E387">
        <f>SUMPRODUCT((Calc!$F$3:$F$22&lt;=LTP!$B$5)*Calc!$K$3:$K$22*(Calc!$G$3:$G$22&gt;A387)*(Calc!$G$3:$G$22-A387)^2)</f>
        <v/>
      </c>
      <c r="F387">
        <f>SUMPRODUCT((Calc!$F$3:$F$22&lt;=LTP!$B$5)*Calc!$K$3:$K$22*(Calc!$G$3:$G$22&gt;A387)*(Calc!$G$3:$G$22-A387)*Calc!$G$3:$G$22)</f>
        <v/>
      </c>
      <c r="G387">
        <f>SUMPRODUCT((Calc!$F$3:$F$22&lt;=LTP!$B$5)*Calc!$K$3:$K$22*(Calc!$G$3:$G$22&gt;A387)*(Calc!$G$3:$G$22-A387)*Calc!$I$3:$I$22)</f>
        <v/>
      </c>
      <c r="H387">
        <f>IF($B$11&gt;0,F387-$C$11*D387/$B$11,0)</f>
        <v/>
      </c>
      <c r="I387">
        <f>IF($B$11&gt;0,E387-D387^2/$B$11,0)</f>
        <v/>
      </c>
      <c r="J387">
        <f>IF($B$11&gt;0,G387-D387*$D$11/$B$11,0)</f>
        <v/>
      </c>
      <c r="K387">
        <f>$H$11*I387-H387^2</f>
        <v/>
      </c>
      <c r="L387">
        <f>IF(ABS(K387)&gt;1E-12,($H$11*J387-H387*$I$11)/K387,0)</f>
        <v/>
      </c>
      <c r="M387">
        <f>IF(ABS(K387)&gt;1E-12,(I387*$I$11-H387*J387)/K387,0)</f>
        <v/>
      </c>
      <c r="N387">
        <f>$J$11-M387*$I$11-L387*J387</f>
        <v/>
      </c>
      <c r="O387">
        <f>IF(AND(C387,ABS(K387)&gt;1E-12,L387&gt;0),N387,1E+300)</f>
        <v/>
      </c>
    </row>
    <row r="388">
      <c r="A388">
        <f>$K$11+($L$11-$K$11)*374/400</f>
        <v/>
      </c>
      <c r="B388">
        <f>SUMPRODUCT((Calc!$F$3:$F$22&lt;=LTP!$B$5)*Calc!$K$3:$K$22*(Calc!$G$3:$G$22&lt;=A388))</f>
        <v/>
      </c>
      <c r="C388">
        <f>AND(B388&gt;=2,$B$11-B388&gt;=2)</f>
        <v/>
      </c>
      <c r="D388">
        <f>SUMPRODUCT((Calc!$F$3:$F$22&lt;=LTP!$B$5)*Calc!$K$3:$K$22*(Calc!$G$3:$G$22&gt;A388)*(Calc!$G$3:$G$22-A388))</f>
        <v/>
      </c>
      <c r="E388">
        <f>SUMPRODUCT((Calc!$F$3:$F$22&lt;=LTP!$B$5)*Calc!$K$3:$K$22*(Calc!$G$3:$G$22&gt;A388)*(Calc!$G$3:$G$22-A388)^2)</f>
        <v/>
      </c>
      <c r="F388">
        <f>SUMPRODUCT((Calc!$F$3:$F$22&lt;=LTP!$B$5)*Calc!$K$3:$K$22*(Calc!$G$3:$G$22&gt;A388)*(Calc!$G$3:$G$22-A388)*Calc!$G$3:$G$22)</f>
        <v/>
      </c>
      <c r="G388">
        <f>SUMPRODUCT((Calc!$F$3:$F$22&lt;=LTP!$B$5)*Calc!$K$3:$K$22*(Calc!$G$3:$G$22&gt;A388)*(Calc!$G$3:$G$22-A388)*Calc!$I$3:$I$22)</f>
        <v/>
      </c>
      <c r="H388">
        <f>IF($B$11&gt;0,F388-$C$11*D388/$B$11,0)</f>
        <v/>
      </c>
      <c r="I388">
        <f>IF($B$11&gt;0,E388-D388^2/$B$11,0)</f>
        <v/>
      </c>
      <c r="J388">
        <f>IF($B$11&gt;0,G388-D388*$D$11/$B$11,0)</f>
        <v/>
      </c>
      <c r="K388">
        <f>$H$11*I388-H388^2</f>
        <v/>
      </c>
      <c r="L388">
        <f>IF(ABS(K388)&gt;1E-12,($H$11*J388-H388*$I$11)/K388,0)</f>
        <v/>
      </c>
      <c r="M388">
        <f>IF(ABS(K388)&gt;1E-12,(I388*$I$11-H388*J388)/K388,0)</f>
        <v/>
      </c>
      <c r="N388">
        <f>$J$11-M388*$I$11-L388*J388</f>
        <v/>
      </c>
      <c r="O388">
        <f>IF(AND(C388,ABS(K388)&gt;1E-12,L388&gt;0),N388,1E+300)</f>
        <v/>
      </c>
    </row>
    <row r="389">
      <c r="A389">
        <f>$K$11+($L$11-$K$11)*375/400</f>
        <v/>
      </c>
      <c r="B389">
        <f>SUMPRODUCT((Calc!$F$3:$F$22&lt;=LTP!$B$5)*Calc!$K$3:$K$22*(Calc!$G$3:$G$22&lt;=A389))</f>
        <v/>
      </c>
      <c r="C389">
        <f>AND(B389&gt;=2,$B$11-B389&gt;=2)</f>
        <v/>
      </c>
      <c r="D389">
        <f>SUMPRODUCT((Calc!$F$3:$F$22&lt;=LTP!$B$5)*Calc!$K$3:$K$22*(Calc!$G$3:$G$22&gt;A389)*(Calc!$G$3:$G$22-A389))</f>
        <v/>
      </c>
      <c r="E389">
        <f>SUMPRODUCT((Calc!$F$3:$F$22&lt;=LTP!$B$5)*Calc!$K$3:$K$22*(Calc!$G$3:$G$22&gt;A389)*(Calc!$G$3:$G$22-A389)^2)</f>
        <v/>
      </c>
      <c r="F389">
        <f>SUMPRODUCT((Calc!$F$3:$F$22&lt;=LTP!$B$5)*Calc!$K$3:$K$22*(Calc!$G$3:$G$22&gt;A389)*(Calc!$G$3:$G$22-A389)*Calc!$G$3:$G$22)</f>
        <v/>
      </c>
      <c r="G389">
        <f>SUMPRODUCT((Calc!$F$3:$F$22&lt;=LTP!$B$5)*Calc!$K$3:$K$22*(Calc!$G$3:$G$22&gt;A389)*(Calc!$G$3:$G$22-A389)*Calc!$I$3:$I$22)</f>
        <v/>
      </c>
      <c r="H389">
        <f>IF($B$11&gt;0,F389-$C$11*D389/$B$11,0)</f>
        <v/>
      </c>
      <c r="I389">
        <f>IF($B$11&gt;0,E389-D389^2/$B$11,0)</f>
        <v/>
      </c>
      <c r="J389">
        <f>IF($B$11&gt;0,G389-D389*$D$11/$B$11,0)</f>
        <v/>
      </c>
      <c r="K389">
        <f>$H$11*I389-H389^2</f>
        <v/>
      </c>
      <c r="L389">
        <f>IF(ABS(K389)&gt;1E-12,($H$11*J389-H389*$I$11)/K389,0)</f>
        <v/>
      </c>
      <c r="M389">
        <f>IF(ABS(K389)&gt;1E-12,(I389*$I$11-H389*J389)/K389,0)</f>
        <v/>
      </c>
      <c r="N389">
        <f>$J$11-M389*$I$11-L389*J389</f>
        <v/>
      </c>
      <c r="O389">
        <f>IF(AND(C389,ABS(K389)&gt;1E-12,L389&gt;0),N389,1E+300)</f>
        <v/>
      </c>
    </row>
    <row r="390">
      <c r="A390">
        <f>$K$11+($L$11-$K$11)*376/400</f>
        <v/>
      </c>
      <c r="B390">
        <f>SUMPRODUCT((Calc!$F$3:$F$22&lt;=LTP!$B$5)*Calc!$K$3:$K$22*(Calc!$G$3:$G$22&lt;=A390))</f>
        <v/>
      </c>
      <c r="C390">
        <f>AND(B390&gt;=2,$B$11-B390&gt;=2)</f>
        <v/>
      </c>
      <c r="D390">
        <f>SUMPRODUCT((Calc!$F$3:$F$22&lt;=LTP!$B$5)*Calc!$K$3:$K$22*(Calc!$G$3:$G$22&gt;A390)*(Calc!$G$3:$G$22-A390))</f>
        <v/>
      </c>
      <c r="E390">
        <f>SUMPRODUCT((Calc!$F$3:$F$22&lt;=LTP!$B$5)*Calc!$K$3:$K$22*(Calc!$G$3:$G$22&gt;A390)*(Calc!$G$3:$G$22-A390)^2)</f>
        <v/>
      </c>
      <c r="F390">
        <f>SUMPRODUCT((Calc!$F$3:$F$22&lt;=LTP!$B$5)*Calc!$K$3:$K$22*(Calc!$G$3:$G$22&gt;A390)*(Calc!$G$3:$G$22-A390)*Calc!$G$3:$G$22)</f>
        <v/>
      </c>
      <c r="G390">
        <f>SUMPRODUCT((Calc!$F$3:$F$22&lt;=LTP!$B$5)*Calc!$K$3:$K$22*(Calc!$G$3:$G$22&gt;A390)*(Calc!$G$3:$G$22-A390)*Calc!$I$3:$I$22)</f>
        <v/>
      </c>
      <c r="H390">
        <f>IF($B$11&gt;0,F390-$C$11*D390/$B$11,0)</f>
        <v/>
      </c>
      <c r="I390">
        <f>IF($B$11&gt;0,E390-D390^2/$B$11,0)</f>
        <v/>
      </c>
      <c r="J390">
        <f>IF($B$11&gt;0,G390-D390*$D$11/$B$11,0)</f>
        <v/>
      </c>
      <c r="K390">
        <f>$H$11*I390-H390^2</f>
        <v/>
      </c>
      <c r="L390">
        <f>IF(ABS(K390)&gt;1E-12,($H$11*J390-H390*$I$11)/K390,0)</f>
        <v/>
      </c>
      <c r="M390">
        <f>IF(ABS(K390)&gt;1E-12,(I390*$I$11-H390*J390)/K390,0)</f>
        <v/>
      </c>
      <c r="N390">
        <f>$J$11-M390*$I$11-L390*J390</f>
        <v/>
      </c>
      <c r="O390">
        <f>IF(AND(C390,ABS(K390)&gt;1E-12,L390&gt;0),N390,1E+300)</f>
        <v/>
      </c>
    </row>
    <row r="391">
      <c r="A391">
        <f>$K$11+($L$11-$K$11)*377/400</f>
        <v/>
      </c>
      <c r="B391">
        <f>SUMPRODUCT((Calc!$F$3:$F$22&lt;=LTP!$B$5)*Calc!$K$3:$K$22*(Calc!$G$3:$G$22&lt;=A391))</f>
        <v/>
      </c>
      <c r="C391">
        <f>AND(B391&gt;=2,$B$11-B391&gt;=2)</f>
        <v/>
      </c>
      <c r="D391">
        <f>SUMPRODUCT((Calc!$F$3:$F$22&lt;=LTP!$B$5)*Calc!$K$3:$K$22*(Calc!$G$3:$G$22&gt;A391)*(Calc!$G$3:$G$22-A391))</f>
        <v/>
      </c>
      <c r="E391">
        <f>SUMPRODUCT((Calc!$F$3:$F$22&lt;=LTP!$B$5)*Calc!$K$3:$K$22*(Calc!$G$3:$G$22&gt;A391)*(Calc!$G$3:$G$22-A391)^2)</f>
        <v/>
      </c>
      <c r="F391">
        <f>SUMPRODUCT((Calc!$F$3:$F$22&lt;=LTP!$B$5)*Calc!$K$3:$K$22*(Calc!$G$3:$G$22&gt;A391)*(Calc!$G$3:$G$22-A391)*Calc!$G$3:$G$22)</f>
        <v/>
      </c>
      <c r="G391">
        <f>SUMPRODUCT((Calc!$F$3:$F$22&lt;=LTP!$B$5)*Calc!$K$3:$K$22*(Calc!$G$3:$G$22&gt;A391)*(Calc!$G$3:$G$22-A391)*Calc!$I$3:$I$22)</f>
        <v/>
      </c>
      <c r="H391">
        <f>IF($B$11&gt;0,F391-$C$11*D391/$B$11,0)</f>
        <v/>
      </c>
      <c r="I391">
        <f>IF($B$11&gt;0,E391-D391^2/$B$11,0)</f>
        <v/>
      </c>
      <c r="J391">
        <f>IF($B$11&gt;0,G391-D391*$D$11/$B$11,0)</f>
        <v/>
      </c>
      <c r="K391">
        <f>$H$11*I391-H391^2</f>
        <v/>
      </c>
      <c r="L391">
        <f>IF(ABS(K391)&gt;1E-12,($H$11*J391-H391*$I$11)/K391,0)</f>
        <v/>
      </c>
      <c r="M391">
        <f>IF(ABS(K391)&gt;1E-12,(I391*$I$11-H391*J391)/K391,0)</f>
        <v/>
      </c>
      <c r="N391">
        <f>$J$11-M391*$I$11-L391*J391</f>
        <v/>
      </c>
      <c r="O391">
        <f>IF(AND(C391,ABS(K391)&gt;1E-12,L391&gt;0),N391,1E+300)</f>
        <v/>
      </c>
    </row>
    <row r="392">
      <c r="A392">
        <f>$K$11+($L$11-$K$11)*378/400</f>
        <v/>
      </c>
      <c r="B392">
        <f>SUMPRODUCT((Calc!$F$3:$F$22&lt;=LTP!$B$5)*Calc!$K$3:$K$22*(Calc!$G$3:$G$22&lt;=A392))</f>
        <v/>
      </c>
      <c r="C392">
        <f>AND(B392&gt;=2,$B$11-B392&gt;=2)</f>
        <v/>
      </c>
      <c r="D392">
        <f>SUMPRODUCT((Calc!$F$3:$F$22&lt;=LTP!$B$5)*Calc!$K$3:$K$22*(Calc!$G$3:$G$22&gt;A392)*(Calc!$G$3:$G$22-A392))</f>
        <v/>
      </c>
      <c r="E392">
        <f>SUMPRODUCT((Calc!$F$3:$F$22&lt;=LTP!$B$5)*Calc!$K$3:$K$22*(Calc!$G$3:$G$22&gt;A392)*(Calc!$G$3:$G$22-A392)^2)</f>
        <v/>
      </c>
      <c r="F392">
        <f>SUMPRODUCT((Calc!$F$3:$F$22&lt;=LTP!$B$5)*Calc!$K$3:$K$22*(Calc!$G$3:$G$22&gt;A392)*(Calc!$G$3:$G$22-A392)*Calc!$G$3:$G$22)</f>
        <v/>
      </c>
      <c r="G392">
        <f>SUMPRODUCT((Calc!$F$3:$F$22&lt;=LTP!$B$5)*Calc!$K$3:$K$22*(Calc!$G$3:$G$22&gt;A392)*(Calc!$G$3:$G$22-A392)*Calc!$I$3:$I$22)</f>
        <v/>
      </c>
      <c r="H392">
        <f>IF($B$11&gt;0,F392-$C$11*D392/$B$11,0)</f>
        <v/>
      </c>
      <c r="I392">
        <f>IF($B$11&gt;0,E392-D392^2/$B$11,0)</f>
        <v/>
      </c>
      <c r="J392">
        <f>IF($B$11&gt;0,G392-D392*$D$11/$B$11,0)</f>
        <v/>
      </c>
      <c r="K392">
        <f>$H$11*I392-H392^2</f>
        <v/>
      </c>
      <c r="L392">
        <f>IF(ABS(K392)&gt;1E-12,($H$11*J392-H392*$I$11)/K392,0)</f>
        <v/>
      </c>
      <c r="M392">
        <f>IF(ABS(K392)&gt;1E-12,(I392*$I$11-H392*J392)/K392,0)</f>
        <v/>
      </c>
      <c r="N392">
        <f>$J$11-M392*$I$11-L392*J392</f>
        <v/>
      </c>
      <c r="O392">
        <f>IF(AND(C392,ABS(K392)&gt;1E-12,L392&gt;0),N392,1E+300)</f>
        <v/>
      </c>
    </row>
    <row r="393">
      <c r="A393">
        <f>$K$11+($L$11-$K$11)*379/400</f>
        <v/>
      </c>
      <c r="B393">
        <f>SUMPRODUCT((Calc!$F$3:$F$22&lt;=LTP!$B$5)*Calc!$K$3:$K$22*(Calc!$G$3:$G$22&lt;=A393))</f>
        <v/>
      </c>
      <c r="C393">
        <f>AND(B393&gt;=2,$B$11-B393&gt;=2)</f>
        <v/>
      </c>
      <c r="D393">
        <f>SUMPRODUCT((Calc!$F$3:$F$22&lt;=LTP!$B$5)*Calc!$K$3:$K$22*(Calc!$G$3:$G$22&gt;A393)*(Calc!$G$3:$G$22-A393))</f>
        <v/>
      </c>
      <c r="E393">
        <f>SUMPRODUCT((Calc!$F$3:$F$22&lt;=LTP!$B$5)*Calc!$K$3:$K$22*(Calc!$G$3:$G$22&gt;A393)*(Calc!$G$3:$G$22-A393)^2)</f>
        <v/>
      </c>
      <c r="F393">
        <f>SUMPRODUCT((Calc!$F$3:$F$22&lt;=LTP!$B$5)*Calc!$K$3:$K$22*(Calc!$G$3:$G$22&gt;A393)*(Calc!$G$3:$G$22-A393)*Calc!$G$3:$G$22)</f>
        <v/>
      </c>
      <c r="G393">
        <f>SUMPRODUCT((Calc!$F$3:$F$22&lt;=LTP!$B$5)*Calc!$K$3:$K$22*(Calc!$G$3:$G$22&gt;A393)*(Calc!$G$3:$G$22-A393)*Calc!$I$3:$I$22)</f>
        <v/>
      </c>
      <c r="H393">
        <f>IF($B$11&gt;0,F393-$C$11*D393/$B$11,0)</f>
        <v/>
      </c>
      <c r="I393">
        <f>IF($B$11&gt;0,E393-D393^2/$B$11,0)</f>
        <v/>
      </c>
      <c r="J393">
        <f>IF($B$11&gt;0,G393-D393*$D$11/$B$11,0)</f>
        <v/>
      </c>
      <c r="K393">
        <f>$H$11*I393-H393^2</f>
        <v/>
      </c>
      <c r="L393">
        <f>IF(ABS(K393)&gt;1E-12,($H$11*J393-H393*$I$11)/K393,0)</f>
        <v/>
      </c>
      <c r="M393">
        <f>IF(ABS(K393)&gt;1E-12,(I393*$I$11-H393*J393)/K393,0)</f>
        <v/>
      </c>
      <c r="N393">
        <f>$J$11-M393*$I$11-L393*J393</f>
        <v/>
      </c>
      <c r="O393">
        <f>IF(AND(C393,ABS(K393)&gt;1E-12,L393&gt;0),N393,1E+300)</f>
        <v/>
      </c>
    </row>
    <row r="394">
      <c r="A394">
        <f>$K$11+($L$11-$K$11)*380/400</f>
        <v/>
      </c>
      <c r="B394">
        <f>SUMPRODUCT((Calc!$F$3:$F$22&lt;=LTP!$B$5)*Calc!$K$3:$K$22*(Calc!$G$3:$G$22&lt;=A394))</f>
        <v/>
      </c>
      <c r="C394">
        <f>AND(B394&gt;=2,$B$11-B394&gt;=2)</f>
        <v/>
      </c>
      <c r="D394">
        <f>SUMPRODUCT((Calc!$F$3:$F$22&lt;=LTP!$B$5)*Calc!$K$3:$K$22*(Calc!$G$3:$G$22&gt;A394)*(Calc!$G$3:$G$22-A394))</f>
        <v/>
      </c>
      <c r="E394">
        <f>SUMPRODUCT((Calc!$F$3:$F$22&lt;=LTP!$B$5)*Calc!$K$3:$K$22*(Calc!$G$3:$G$22&gt;A394)*(Calc!$G$3:$G$22-A394)^2)</f>
        <v/>
      </c>
      <c r="F394">
        <f>SUMPRODUCT((Calc!$F$3:$F$22&lt;=LTP!$B$5)*Calc!$K$3:$K$22*(Calc!$G$3:$G$22&gt;A394)*(Calc!$G$3:$G$22-A394)*Calc!$G$3:$G$22)</f>
        <v/>
      </c>
      <c r="G394">
        <f>SUMPRODUCT((Calc!$F$3:$F$22&lt;=LTP!$B$5)*Calc!$K$3:$K$22*(Calc!$G$3:$G$22&gt;A394)*(Calc!$G$3:$G$22-A394)*Calc!$I$3:$I$22)</f>
        <v/>
      </c>
      <c r="H394">
        <f>IF($B$11&gt;0,F394-$C$11*D394/$B$11,0)</f>
        <v/>
      </c>
      <c r="I394">
        <f>IF($B$11&gt;0,E394-D394^2/$B$11,0)</f>
        <v/>
      </c>
      <c r="J394">
        <f>IF($B$11&gt;0,G394-D394*$D$11/$B$11,0)</f>
        <v/>
      </c>
      <c r="K394">
        <f>$H$11*I394-H394^2</f>
        <v/>
      </c>
      <c r="L394">
        <f>IF(ABS(K394)&gt;1E-12,($H$11*J394-H394*$I$11)/K394,0)</f>
        <v/>
      </c>
      <c r="M394">
        <f>IF(ABS(K394)&gt;1E-12,(I394*$I$11-H394*J394)/K394,0)</f>
        <v/>
      </c>
      <c r="N394">
        <f>$J$11-M394*$I$11-L394*J394</f>
        <v/>
      </c>
      <c r="O394">
        <f>IF(AND(C394,ABS(K394)&gt;1E-12,L394&gt;0),N394,1E+300)</f>
        <v/>
      </c>
    </row>
    <row r="395">
      <c r="A395">
        <f>$K$11+($L$11-$K$11)*381/400</f>
        <v/>
      </c>
      <c r="B395">
        <f>SUMPRODUCT((Calc!$F$3:$F$22&lt;=LTP!$B$5)*Calc!$K$3:$K$22*(Calc!$G$3:$G$22&lt;=A395))</f>
        <v/>
      </c>
      <c r="C395">
        <f>AND(B395&gt;=2,$B$11-B395&gt;=2)</f>
        <v/>
      </c>
      <c r="D395">
        <f>SUMPRODUCT((Calc!$F$3:$F$22&lt;=LTP!$B$5)*Calc!$K$3:$K$22*(Calc!$G$3:$G$22&gt;A395)*(Calc!$G$3:$G$22-A395))</f>
        <v/>
      </c>
      <c r="E395">
        <f>SUMPRODUCT((Calc!$F$3:$F$22&lt;=LTP!$B$5)*Calc!$K$3:$K$22*(Calc!$G$3:$G$22&gt;A395)*(Calc!$G$3:$G$22-A395)^2)</f>
        <v/>
      </c>
      <c r="F395">
        <f>SUMPRODUCT((Calc!$F$3:$F$22&lt;=LTP!$B$5)*Calc!$K$3:$K$22*(Calc!$G$3:$G$22&gt;A395)*(Calc!$G$3:$G$22-A395)*Calc!$G$3:$G$22)</f>
        <v/>
      </c>
      <c r="G395">
        <f>SUMPRODUCT((Calc!$F$3:$F$22&lt;=LTP!$B$5)*Calc!$K$3:$K$22*(Calc!$G$3:$G$22&gt;A395)*(Calc!$G$3:$G$22-A395)*Calc!$I$3:$I$22)</f>
        <v/>
      </c>
      <c r="H395">
        <f>IF($B$11&gt;0,F395-$C$11*D395/$B$11,0)</f>
        <v/>
      </c>
      <c r="I395">
        <f>IF($B$11&gt;0,E395-D395^2/$B$11,0)</f>
        <v/>
      </c>
      <c r="J395">
        <f>IF($B$11&gt;0,G395-D395*$D$11/$B$11,0)</f>
        <v/>
      </c>
      <c r="K395">
        <f>$H$11*I395-H395^2</f>
        <v/>
      </c>
      <c r="L395">
        <f>IF(ABS(K395)&gt;1E-12,($H$11*J395-H395*$I$11)/K395,0)</f>
        <v/>
      </c>
      <c r="M395">
        <f>IF(ABS(K395)&gt;1E-12,(I395*$I$11-H395*J395)/K395,0)</f>
        <v/>
      </c>
      <c r="N395">
        <f>$J$11-M395*$I$11-L395*J395</f>
        <v/>
      </c>
      <c r="O395">
        <f>IF(AND(C395,ABS(K395)&gt;1E-12,L395&gt;0),N395,1E+300)</f>
        <v/>
      </c>
    </row>
    <row r="396">
      <c r="A396">
        <f>$K$11+($L$11-$K$11)*382/400</f>
        <v/>
      </c>
      <c r="B396">
        <f>SUMPRODUCT((Calc!$F$3:$F$22&lt;=LTP!$B$5)*Calc!$K$3:$K$22*(Calc!$G$3:$G$22&lt;=A396))</f>
        <v/>
      </c>
      <c r="C396">
        <f>AND(B396&gt;=2,$B$11-B396&gt;=2)</f>
        <v/>
      </c>
      <c r="D396">
        <f>SUMPRODUCT((Calc!$F$3:$F$22&lt;=LTP!$B$5)*Calc!$K$3:$K$22*(Calc!$G$3:$G$22&gt;A396)*(Calc!$G$3:$G$22-A396))</f>
        <v/>
      </c>
      <c r="E396">
        <f>SUMPRODUCT((Calc!$F$3:$F$22&lt;=LTP!$B$5)*Calc!$K$3:$K$22*(Calc!$G$3:$G$22&gt;A396)*(Calc!$G$3:$G$22-A396)^2)</f>
        <v/>
      </c>
      <c r="F396">
        <f>SUMPRODUCT((Calc!$F$3:$F$22&lt;=LTP!$B$5)*Calc!$K$3:$K$22*(Calc!$G$3:$G$22&gt;A396)*(Calc!$G$3:$G$22-A396)*Calc!$G$3:$G$22)</f>
        <v/>
      </c>
      <c r="G396">
        <f>SUMPRODUCT((Calc!$F$3:$F$22&lt;=LTP!$B$5)*Calc!$K$3:$K$22*(Calc!$G$3:$G$22&gt;A396)*(Calc!$G$3:$G$22-A396)*Calc!$I$3:$I$22)</f>
        <v/>
      </c>
      <c r="H396">
        <f>IF($B$11&gt;0,F396-$C$11*D396/$B$11,0)</f>
        <v/>
      </c>
      <c r="I396">
        <f>IF($B$11&gt;0,E396-D396^2/$B$11,0)</f>
        <v/>
      </c>
      <c r="J396">
        <f>IF($B$11&gt;0,G396-D396*$D$11/$B$11,0)</f>
        <v/>
      </c>
      <c r="K396">
        <f>$H$11*I396-H396^2</f>
        <v/>
      </c>
      <c r="L396">
        <f>IF(ABS(K396)&gt;1E-12,($H$11*J396-H396*$I$11)/K396,0)</f>
        <v/>
      </c>
      <c r="M396">
        <f>IF(ABS(K396)&gt;1E-12,(I396*$I$11-H396*J396)/K396,0)</f>
        <v/>
      </c>
      <c r="N396">
        <f>$J$11-M396*$I$11-L396*J396</f>
        <v/>
      </c>
      <c r="O396">
        <f>IF(AND(C396,ABS(K396)&gt;1E-12,L396&gt;0),N396,1E+300)</f>
        <v/>
      </c>
    </row>
    <row r="397">
      <c r="A397">
        <f>$K$11+($L$11-$K$11)*383/400</f>
        <v/>
      </c>
      <c r="B397">
        <f>SUMPRODUCT((Calc!$F$3:$F$22&lt;=LTP!$B$5)*Calc!$K$3:$K$22*(Calc!$G$3:$G$22&lt;=A397))</f>
        <v/>
      </c>
      <c r="C397">
        <f>AND(B397&gt;=2,$B$11-B397&gt;=2)</f>
        <v/>
      </c>
      <c r="D397">
        <f>SUMPRODUCT((Calc!$F$3:$F$22&lt;=LTP!$B$5)*Calc!$K$3:$K$22*(Calc!$G$3:$G$22&gt;A397)*(Calc!$G$3:$G$22-A397))</f>
        <v/>
      </c>
      <c r="E397">
        <f>SUMPRODUCT((Calc!$F$3:$F$22&lt;=LTP!$B$5)*Calc!$K$3:$K$22*(Calc!$G$3:$G$22&gt;A397)*(Calc!$G$3:$G$22-A397)^2)</f>
        <v/>
      </c>
      <c r="F397">
        <f>SUMPRODUCT((Calc!$F$3:$F$22&lt;=LTP!$B$5)*Calc!$K$3:$K$22*(Calc!$G$3:$G$22&gt;A397)*(Calc!$G$3:$G$22-A397)*Calc!$G$3:$G$22)</f>
        <v/>
      </c>
      <c r="G397">
        <f>SUMPRODUCT((Calc!$F$3:$F$22&lt;=LTP!$B$5)*Calc!$K$3:$K$22*(Calc!$G$3:$G$22&gt;A397)*(Calc!$G$3:$G$22-A397)*Calc!$I$3:$I$22)</f>
        <v/>
      </c>
      <c r="H397">
        <f>IF($B$11&gt;0,F397-$C$11*D397/$B$11,0)</f>
        <v/>
      </c>
      <c r="I397">
        <f>IF($B$11&gt;0,E397-D397^2/$B$11,0)</f>
        <v/>
      </c>
      <c r="J397">
        <f>IF($B$11&gt;0,G397-D397*$D$11/$B$11,0)</f>
        <v/>
      </c>
      <c r="K397">
        <f>$H$11*I397-H397^2</f>
        <v/>
      </c>
      <c r="L397">
        <f>IF(ABS(K397)&gt;1E-12,($H$11*J397-H397*$I$11)/K397,0)</f>
        <v/>
      </c>
      <c r="M397">
        <f>IF(ABS(K397)&gt;1E-12,(I397*$I$11-H397*J397)/K397,0)</f>
        <v/>
      </c>
      <c r="N397">
        <f>$J$11-M397*$I$11-L397*J397</f>
        <v/>
      </c>
      <c r="O397">
        <f>IF(AND(C397,ABS(K397)&gt;1E-12,L397&gt;0),N397,1E+300)</f>
        <v/>
      </c>
    </row>
    <row r="398">
      <c r="A398">
        <f>$K$11+($L$11-$K$11)*384/400</f>
        <v/>
      </c>
      <c r="B398">
        <f>SUMPRODUCT((Calc!$F$3:$F$22&lt;=LTP!$B$5)*Calc!$K$3:$K$22*(Calc!$G$3:$G$22&lt;=A398))</f>
        <v/>
      </c>
      <c r="C398">
        <f>AND(B398&gt;=2,$B$11-B398&gt;=2)</f>
        <v/>
      </c>
      <c r="D398">
        <f>SUMPRODUCT((Calc!$F$3:$F$22&lt;=LTP!$B$5)*Calc!$K$3:$K$22*(Calc!$G$3:$G$22&gt;A398)*(Calc!$G$3:$G$22-A398))</f>
        <v/>
      </c>
      <c r="E398">
        <f>SUMPRODUCT((Calc!$F$3:$F$22&lt;=LTP!$B$5)*Calc!$K$3:$K$22*(Calc!$G$3:$G$22&gt;A398)*(Calc!$G$3:$G$22-A398)^2)</f>
        <v/>
      </c>
      <c r="F398">
        <f>SUMPRODUCT((Calc!$F$3:$F$22&lt;=LTP!$B$5)*Calc!$K$3:$K$22*(Calc!$G$3:$G$22&gt;A398)*(Calc!$G$3:$G$22-A398)*Calc!$G$3:$G$22)</f>
        <v/>
      </c>
      <c r="G398">
        <f>SUMPRODUCT((Calc!$F$3:$F$22&lt;=LTP!$B$5)*Calc!$K$3:$K$22*(Calc!$G$3:$G$22&gt;A398)*(Calc!$G$3:$G$22-A398)*Calc!$I$3:$I$22)</f>
        <v/>
      </c>
      <c r="H398">
        <f>IF($B$11&gt;0,F398-$C$11*D398/$B$11,0)</f>
        <v/>
      </c>
      <c r="I398">
        <f>IF($B$11&gt;0,E398-D398^2/$B$11,0)</f>
        <v/>
      </c>
      <c r="J398">
        <f>IF($B$11&gt;0,G398-D398*$D$11/$B$11,0)</f>
        <v/>
      </c>
      <c r="K398">
        <f>$H$11*I398-H398^2</f>
        <v/>
      </c>
      <c r="L398">
        <f>IF(ABS(K398)&gt;1E-12,($H$11*J398-H398*$I$11)/K398,0)</f>
        <v/>
      </c>
      <c r="M398">
        <f>IF(ABS(K398)&gt;1E-12,(I398*$I$11-H398*J398)/K398,0)</f>
        <v/>
      </c>
      <c r="N398">
        <f>$J$11-M398*$I$11-L398*J398</f>
        <v/>
      </c>
      <c r="O398">
        <f>IF(AND(C398,ABS(K398)&gt;1E-12,L398&gt;0),N398,1E+300)</f>
        <v/>
      </c>
    </row>
    <row r="399">
      <c r="A399">
        <f>$K$11+($L$11-$K$11)*385/400</f>
        <v/>
      </c>
      <c r="B399">
        <f>SUMPRODUCT((Calc!$F$3:$F$22&lt;=LTP!$B$5)*Calc!$K$3:$K$22*(Calc!$G$3:$G$22&lt;=A399))</f>
        <v/>
      </c>
      <c r="C399">
        <f>AND(B399&gt;=2,$B$11-B399&gt;=2)</f>
        <v/>
      </c>
      <c r="D399">
        <f>SUMPRODUCT((Calc!$F$3:$F$22&lt;=LTP!$B$5)*Calc!$K$3:$K$22*(Calc!$G$3:$G$22&gt;A399)*(Calc!$G$3:$G$22-A399))</f>
        <v/>
      </c>
      <c r="E399">
        <f>SUMPRODUCT((Calc!$F$3:$F$22&lt;=LTP!$B$5)*Calc!$K$3:$K$22*(Calc!$G$3:$G$22&gt;A399)*(Calc!$G$3:$G$22-A399)^2)</f>
        <v/>
      </c>
      <c r="F399">
        <f>SUMPRODUCT((Calc!$F$3:$F$22&lt;=LTP!$B$5)*Calc!$K$3:$K$22*(Calc!$G$3:$G$22&gt;A399)*(Calc!$G$3:$G$22-A399)*Calc!$G$3:$G$22)</f>
        <v/>
      </c>
      <c r="G399">
        <f>SUMPRODUCT((Calc!$F$3:$F$22&lt;=LTP!$B$5)*Calc!$K$3:$K$22*(Calc!$G$3:$G$22&gt;A399)*(Calc!$G$3:$G$22-A399)*Calc!$I$3:$I$22)</f>
        <v/>
      </c>
      <c r="H399">
        <f>IF($B$11&gt;0,F399-$C$11*D399/$B$11,0)</f>
        <v/>
      </c>
      <c r="I399">
        <f>IF($B$11&gt;0,E399-D399^2/$B$11,0)</f>
        <v/>
      </c>
      <c r="J399">
        <f>IF($B$11&gt;0,G399-D399*$D$11/$B$11,0)</f>
        <v/>
      </c>
      <c r="K399">
        <f>$H$11*I399-H399^2</f>
        <v/>
      </c>
      <c r="L399">
        <f>IF(ABS(K399)&gt;1E-12,($H$11*J399-H399*$I$11)/K399,0)</f>
        <v/>
      </c>
      <c r="M399">
        <f>IF(ABS(K399)&gt;1E-12,(I399*$I$11-H399*J399)/K399,0)</f>
        <v/>
      </c>
      <c r="N399">
        <f>$J$11-M399*$I$11-L399*J399</f>
        <v/>
      </c>
      <c r="O399">
        <f>IF(AND(C399,ABS(K399)&gt;1E-12,L399&gt;0),N399,1E+300)</f>
        <v/>
      </c>
    </row>
    <row r="400">
      <c r="A400">
        <f>$K$11+($L$11-$K$11)*386/400</f>
        <v/>
      </c>
      <c r="B400">
        <f>SUMPRODUCT((Calc!$F$3:$F$22&lt;=LTP!$B$5)*Calc!$K$3:$K$22*(Calc!$G$3:$G$22&lt;=A400))</f>
        <v/>
      </c>
      <c r="C400">
        <f>AND(B400&gt;=2,$B$11-B400&gt;=2)</f>
        <v/>
      </c>
      <c r="D400">
        <f>SUMPRODUCT((Calc!$F$3:$F$22&lt;=LTP!$B$5)*Calc!$K$3:$K$22*(Calc!$G$3:$G$22&gt;A400)*(Calc!$G$3:$G$22-A400))</f>
        <v/>
      </c>
      <c r="E400">
        <f>SUMPRODUCT((Calc!$F$3:$F$22&lt;=LTP!$B$5)*Calc!$K$3:$K$22*(Calc!$G$3:$G$22&gt;A400)*(Calc!$G$3:$G$22-A400)^2)</f>
        <v/>
      </c>
      <c r="F400">
        <f>SUMPRODUCT((Calc!$F$3:$F$22&lt;=LTP!$B$5)*Calc!$K$3:$K$22*(Calc!$G$3:$G$22&gt;A400)*(Calc!$G$3:$G$22-A400)*Calc!$G$3:$G$22)</f>
        <v/>
      </c>
      <c r="G400">
        <f>SUMPRODUCT((Calc!$F$3:$F$22&lt;=LTP!$B$5)*Calc!$K$3:$K$22*(Calc!$G$3:$G$22&gt;A400)*(Calc!$G$3:$G$22-A400)*Calc!$I$3:$I$22)</f>
        <v/>
      </c>
      <c r="H400">
        <f>IF($B$11&gt;0,F400-$C$11*D400/$B$11,0)</f>
        <v/>
      </c>
      <c r="I400">
        <f>IF($B$11&gt;0,E400-D400^2/$B$11,0)</f>
        <v/>
      </c>
      <c r="J400">
        <f>IF($B$11&gt;0,G400-D400*$D$11/$B$11,0)</f>
        <v/>
      </c>
      <c r="K400">
        <f>$H$11*I400-H400^2</f>
        <v/>
      </c>
      <c r="L400">
        <f>IF(ABS(K400)&gt;1E-12,($H$11*J400-H400*$I$11)/K400,0)</f>
        <v/>
      </c>
      <c r="M400">
        <f>IF(ABS(K400)&gt;1E-12,(I400*$I$11-H400*J400)/K400,0)</f>
        <v/>
      </c>
      <c r="N400">
        <f>$J$11-M400*$I$11-L400*J400</f>
        <v/>
      </c>
      <c r="O400">
        <f>IF(AND(C400,ABS(K400)&gt;1E-12,L400&gt;0),N400,1E+300)</f>
        <v/>
      </c>
    </row>
    <row r="401">
      <c r="A401">
        <f>$K$11+($L$11-$K$11)*387/400</f>
        <v/>
      </c>
      <c r="B401">
        <f>SUMPRODUCT((Calc!$F$3:$F$22&lt;=LTP!$B$5)*Calc!$K$3:$K$22*(Calc!$G$3:$G$22&lt;=A401))</f>
        <v/>
      </c>
      <c r="C401">
        <f>AND(B401&gt;=2,$B$11-B401&gt;=2)</f>
        <v/>
      </c>
      <c r="D401">
        <f>SUMPRODUCT((Calc!$F$3:$F$22&lt;=LTP!$B$5)*Calc!$K$3:$K$22*(Calc!$G$3:$G$22&gt;A401)*(Calc!$G$3:$G$22-A401))</f>
        <v/>
      </c>
      <c r="E401">
        <f>SUMPRODUCT((Calc!$F$3:$F$22&lt;=LTP!$B$5)*Calc!$K$3:$K$22*(Calc!$G$3:$G$22&gt;A401)*(Calc!$G$3:$G$22-A401)^2)</f>
        <v/>
      </c>
      <c r="F401">
        <f>SUMPRODUCT((Calc!$F$3:$F$22&lt;=LTP!$B$5)*Calc!$K$3:$K$22*(Calc!$G$3:$G$22&gt;A401)*(Calc!$G$3:$G$22-A401)*Calc!$G$3:$G$22)</f>
        <v/>
      </c>
      <c r="G401">
        <f>SUMPRODUCT((Calc!$F$3:$F$22&lt;=LTP!$B$5)*Calc!$K$3:$K$22*(Calc!$G$3:$G$22&gt;A401)*(Calc!$G$3:$G$22-A401)*Calc!$I$3:$I$22)</f>
        <v/>
      </c>
      <c r="H401">
        <f>IF($B$11&gt;0,F401-$C$11*D401/$B$11,0)</f>
        <v/>
      </c>
      <c r="I401">
        <f>IF($B$11&gt;0,E401-D401^2/$B$11,0)</f>
        <v/>
      </c>
      <c r="J401">
        <f>IF($B$11&gt;0,G401-D401*$D$11/$B$11,0)</f>
        <v/>
      </c>
      <c r="K401">
        <f>$H$11*I401-H401^2</f>
        <v/>
      </c>
      <c r="L401">
        <f>IF(ABS(K401)&gt;1E-12,($H$11*J401-H401*$I$11)/K401,0)</f>
        <v/>
      </c>
      <c r="M401">
        <f>IF(ABS(K401)&gt;1E-12,(I401*$I$11-H401*J401)/K401,0)</f>
        <v/>
      </c>
      <c r="N401">
        <f>$J$11-M401*$I$11-L401*J401</f>
        <v/>
      </c>
      <c r="O401">
        <f>IF(AND(C401,ABS(K401)&gt;1E-12,L401&gt;0),N401,1E+300)</f>
        <v/>
      </c>
    </row>
    <row r="402">
      <c r="A402">
        <f>$K$11+($L$11-$K$11)*388/400</f>
        <v/>
      </c>
      <c r="B402">
        <f>SUMPRODUCT((Calc!$F$3:$F$22&lt;=LTP!$B$5)*Calc!$K$3:$K$22*(Calc!$G$3:$G$22&lt;=A402))</f>
        <v/>
      </c>
      <c r="C402">
        <f>AND(B402&gt;=2,$B$11-B402&gt;=2)</f>
        <v/>
      </c>
      <c r="D402">
        <f>SUMPRODUCT((Calc!$F$3:$F$22&lt;=LTP!$B$5)*Calc!$K$3:$K$22*(Calc!$G$3:$G$22&gt;A402)*(Calc!$G$3:$G$22-A402))</f>
        <v/>
      </c>
      <c r="E402">
        <f>SUMPRODUCT((Calc!$F$3:$F$22&lt;=LTP!$B$5)*Calc!$K$3:$K$22*(Calc!$G$3:$G$22&gt;A402)*(Calc!$G$3:$G$22-A402)^2)</f>
        <v/>
      </c>
      <c r="F402">
        <f>SUMPRODUCT((Calc!$F$3:$F$22&lt;=LTP!$B$5)*Calc!$K$3:$K$22*(Calc!$G$3:$G$22&gt;A402)*(Calc!$G$3:$G$22-A402)*Calc!$G$3:$G$22)</f>
        <v/>
      </c>
      <c r="G402">
        <f>SUMPRODUCT((Calc!$F$3:$F$22&lt;=LTP!$B$5)*Calc!$K$3:$K$22*(Calc!$G$3:$G$22&gt;A402)*(Calc!$G$3:$G$22-A402)*Calc!$I$3:$I$22)</f>
        <v/>
      </c>
      <c r="H402">
        <f>IF($B$11&gt;0,F402-$C$11*D402/$B$11,0)</f>
        <v/>
      </c>
      <c r="I402">
        <f>IF($B$11&gt;0,E402-D402^2/$B$11,0)</f>
        <v/>
      </c>
      <c r="J402">
        <f>IF($B$11&gt;0,G402-D402*$D$11/$B$11,0)</f>
        <v/>
      </c>
      <c r="K402">
        <f>$H$11*I402-H402^2</f>
        <v/>
      </c>
      <c r="L402">
        <f>IF(ABS(K402)&gt;1E-12,($H$11*J402-H402*$I$11)/K402,0)</f>
        <v/>
      </c>
      <c r="M402">
        <f>IF(ABS(K402)&gt;1E-12,(I402*$I$11-H402*J402)/K402,0)</f>
        <v/>
      </c>
      <c r="N402">
        <f>$J$11-M402*$I$11-L402*J402</f>
        <v/>
      </c>
      <c r="O402">
        <f>IF(AND(C402,ABS(K402)&gt;1E-12,L402&gt;0),N402,1E+300)</f>
        <v/>
      </c>
    </row>
    <row r="403">
      <c r="A403">
        <f>$K$11+($L$11-$K$11)*389/400</f>
        <v/>
      </c>
      <c r="B403">
        <f>SUMPRODUCT((Calc!$F$3:$F$22&lt;=LTP!$B$5)*Calc!$K$3:$K$22*(Calc!$G$3:$G$22&lt;=A403))</f>
        <v/>
      </c>
      <c r="C403">
        <f>AND(B403&gt;=2,$B$11-B403&gt;=2)</f>
        <v/>
      </c>
      <c r="D403">
        <f>SUMPRODUCT((Calc!$F$3:$F$22&lt;=LTP!$B$5)*Calc!$K$3:$K$22*(Calc!$G$3:$G$22&gt;A403)*(Calc!$G$3:$G$22-A403))</f>
        <v/>
      </c>
      <c r="E403">
        <f>SUMPRODUCT((Calc!$F$3:$F$22&lt;=LTP!$B$5)*Calc!$K$3:$K$22*(Calc!$G$3:$G$22&gt;A403)*(Calc!$G$3:$G$22-A403)^2)</f>
        <v/>
      </c>
      <c r="F403">
        <f>SUMPRODUCT((Calc!$F$3:$F$22&lt;=LTP!$B$5)*Calc!$K$3:$K$22*(Calc!$G$3:$G$22&gt;A403)*(Calc!$G$3:$G$22-A403)*Calc!$G$3:$G$22)</f>
        <v/>
      </c>
      <c r="G403">
        <f>SUMPRODUCT((Calc!$F$3:$F$22&lt;=LTP!$B$5)*Calc!$K$3:$K$22*(Calc!$G$3:$G$22&gt;A403)*(Calc!$G$3:$G$22-A403)*Calc!$I$3:$I$22)</f>
        <v/>
      </c>
      <c r="H403">
        <f>IF($B$11&gt;0,F403-$C$11*D403/$B$11,0)</f>
        <v/>
      </c>
      <c r="I403">
        <f>IF($B$11&gt;0,E403-D403^2/$B$11,0)</f>
        <v/>
      </c>
      <c r="J403">
        <f>IF($B$11&gt;0,G403-D403*$D$11/$B$11,0)</f>
        <v/>
      </c>
      <c r="K403">
        <f>$H$11*I403-H403^2</f>
        <v/>
      </c>
      <c r="L403">
        <f>IF(ABS(K403)&gt;1E-12,($H$11*J403-H403*$I$11)/K403,0)</f>
        <v/>
      </c>
      <c r="M403">
        <f>IF(ABS(K403)&gt;1E-12,(I403*$I$11-H403*J403)/K403,0)</f>
        <v/>
      </c>
      <c r="N403">
        <f>$J$11-M403*$I$11-L403*J403</f>
        <v/>
      </c>
      <c r="O403">
        <f>IF(AND(C403,ABS(K403)&gt;1E-12,L403&gt;0),N403,1E+300)</f>
        <v/>
      </c>
    </row>
    <row r="404">
      <c r="A404">
        <f>$K$11+($L$11-$K$11)*390/400</f>
        <v/>
      </c>
      <c r="B404">
        <f>SUMPRODUCT((Calc!$F$3:$F$22&lt;=LTP!$B$5)*Calc!$K$3:$K$22*(Calc!$G$3:$G$22&lt;=A404))</f>
        <v/>
      </c>
      <c r="C404">
        <f>AND(B404&gt;=2,$B$11-B404&gt;=2)</f>
        <v/>
      </c>
      <c r="D404">
        <f>SUMPRODUCT((Calc!$F$3:$F$22&lt;=LTP!$B$5)*Calc!$K$3:$K$22*(Calc!$G$3:$G$22&gt;A404)*(Calc!$G$3:$G$22-A404))</f>
        <v/>
      </c>
      <c r="E404">
        <f>SUMPRODUCT((Calc!$F$3:$F$22&lt;=LTP!$B$5)*Calc!$K$3:$K$22*(Calc!$G$3:$G$22&gt;A404)*(Calc!$G$3:$G$22-A404)^2)</f>
        <v/>
      </c>
      <c r="F404">
        <f>SUMPRODUCT((Calc!$F$3:$F$22&lt;=LTP!$B$5)*Calc!$K$3:$K$22*(Calc!$G$3:$G$22&gt;A404)*(Calc!$G$3:$G$22-A404)*Calc!$G$3:$G$22)</f>
        <v/>
      </c>
      <c r="G404">
        <f>SUMPRODUCT((Calc!$F$3:$F$22&lt;=LTP!$B$5)*Calc!$K$3:$K$22*(Calc!$G$3:$G$22&gt;A404)*(Calc!$G$3:$G$22-A404)*Calc!$I$3:$I$22)</f>
        <v/>
      </c>
      <c r="H404">
        <f>IF($B$11&gt;0,F404-$C$11*D404/$B$11,0)</f>
        <v/>
      </c>
      <c r="I404">
        <f>IF($B$11&gt;0,E404-D404^2/$B$11,0)</f>
        <v/>
      </c>
      <c r="J404">
        <f>IF($B$11&gt;0,G404-D404*$D$11/$B$11,0)</f>
        <v/>
      </c>
      <c r="K404">
        <f>$H$11*I404-H404^2</f>
        <v/>
      </c>
      <c r="L404">
        <f>IF(ABS(K404)&gt;1E-12,($H$11*J404-H404*$I$11)/K404,0)</f>
        <v/>
      </c>
      <c r="M404">
        <f>IF(ABS(K404)&gt;1E-12,(I404*$I$11-H404*J404)/K404,0)</f>
        <v/>
      </c>
      <c r="N404">
        <f>$J$11-M404*$I$11-L404*J404</f>
        <v/>
      </c>
      <c r="O404">
        <f>IF(AND(C404,ABS(K404)&gt;1E-12,L404&gt;0),N404,1E+300)</f>
        <v/>
      </c>
    </row>
    <row r="405">
      <c r="A405">
        <f>$K$11+($L$11-$K$11)*391/400</f>
        <v/>
      </c>
      <c r="B405">
        <f>SUMPRODUCT((Calc!$F$3:$F$22&lt;=LTP!$B$5)*Calc!$K$3:$K$22*(Calc!$G$3:$G$22&lt;=A405))</f>
        <v/>
      </c>
      <c r="C405">
        <f>AND(B405&gt;=2,$B$11-B405&gt;=2)</f>
        <v/>
      </c>
      <c r="D405">
        <f>SUMPRODUCT((Calc!$F$3:$F$22&lt;=LTP!$B$5)*Calc!$K$3:$K$22*(Calc!$G$3:$G$22&gt;A405)*(Calc!$G$3:$G$22-A405))</f>
        <v/>
      </c>
      <c r="E405">
        <f>SUMPRODUCT((Calc!$F$3:$F$22&lt;=LTP!$B$5)*Calc!$K$3:$K$22*(Calc!$G$3:$G$22&gt;A405)*(Calc!$G$3:$G$22-A405)^2)</f>
        <v/>
      </c>
      <c r="F405">
        <f>SUMPRODUCT((Calc!$F$3:$F$22&lt;=LTP!$B$5)*Calc!$K$3:$K$22*(Calc!$G$3:$G$22&gt;A405)*(Calc!$G$3:$G$22-A405)*Calc!$G$3:$G$22)</f>
        <v/>
      </c>
      <c r="G405">
        <f>SUMPRODUCT((Calc!$F$3:$F$22&lt;=LTP!$B$5)*Calc!$K$3:$K$22*(Calc!$G$3:$G$22&gt;A405)*(Calc!$G$3:$G$22-A405)*Calc!$I$3:$I$22)</f>
        <v/>
      </c>
      <c r="H405">
        <f>IF($B$11&gt;0,F405-$C$11*D405/$B$11,0)</f>
        <v/>
      </c>
      <c r="I405">
        <f>IF($B$11&gt;0,E405-D405^2/$B$11,0)</f>
        <v/>
      </c>
      <c r="J405">
        <f>IF($B$11&gt;0,G405-D405*$D$11/$B$11,0)</f>
        <v/>
      </c>
      <c r="K405">
        <f>$H$11*I405-H405^2</f>
        <v/>
      </c>
      <c r="L405">
        <f>IF(ABS(K405)&gt;1E-12,($H$11*J405-H405*$I$11)/K405,0)</f>
        <v/>
      </c>
      <c r="M405">
        <f>IF(ABS(K405)&gt;1E-12,(I405*$I$11-H405*J405)/K405,0)</f>
        <v/>
      </c>
      <c r="N405">
        <f>$J$11-M405*$I$11-L405*J405</f>
        <v/>
      </c>
      <c r="O405">
        <f>IF(AND(C405,ABS(K405)&gt;1E-12,L405&gt;0),N405,1E+300)</f>
        <v/>
      </c>
    </row>
    <row r="406">
      <c r="A406">
        <f>$K$11+($L$11-$K$11)*392/400</f>
        <v/>
      </c>
      <c r="B406">
        <f>SUMPRODUCT((Calc!$F$3:$F$22&lt;=LTP!$B$5)*Calc!$K$3:$K$22*(Calc!$G$3:$G$22&lt;=A406))</f>
        <v/>
      </c>
      <c r="C406">
        <f>AND(B406&gt;=2,$B$11-B406&gt;=2)</f>
        <v/>
      </c>
      <c r="D406">
        <f>SUMPRODUCT((Calc!$F$3:$F$22&lt;=LTP!$B$5)*Calc!$K$3:$K$22*(Calc!$G$3:$G$22&gt;A406)*(Calc!$G$3:$G$22-A406))</f>
        <v/>
      </c>
      <c r="E406">
        <f>SUMPRODUCT((Calc!$F$3:$F$22&lt;=LTP!$B$5)*Calc!$K$3:$K$22*(Calc!$G$3:$G$22&gt;A406)*(Calc!$G$3:$G$22-A406)^2)</f>
        <v/>
      </c>
      <c r="F406">
        <f>SUMPRODUCT((Calc!$F$3:$F$22&lt;=LTP!$B$5)*Calc!$K$3:$K$22*(Calc!$G$3:$G$22&gt;A406)*(Calc!$G$3:$G$22-A406)*Calc!$G$3:$G$22)</f>
        <v/>
      </c>
      <c r="G406">
        <f>SUMPRODUCT((Calc!$F$3:$F$22&lt;=LTP!$B$5)*Calc!$K$3:$K$22*(Calc!$G$3:$G$22&gt;A406)*(Calc!$G$3:$G$22-A406)*Calc!$I$3:$I$22)</f>
        <v/>
      </c>
      <c r="H406">
        <f>IF($B$11&gt;0,F406-$C$11*D406/$B$11,0)</f>
        <v/>
      </c>
      <c r="I406">
        <f>IF($B$11&gt;0,E406-D406^2/$B$11,0)</f>
        <v/>
      </c>
      <c r="J406">
        <f>IF($B$11&gt;0,G406-D406*$D$11/$B$11,0)</f>
        <v/>
      </c>
      <c r="K406">
        <f>$H$11*I406-H406^2</f>
        <v/>
      </c>
      <c r="L406">
        <f>IF(ABS(K406)&gt;1E-12,($H$11*J406-H406*$I$11)/K406,0)</f>
        <v/>
      </c>
      <c r="M406">
        <f>IF(ABS(K406)&gt;1E-12,(I406*$I$11-H406*J406)/K406,0)</f>
        <v/>
      </c>
      <c r="N406">
        <f>$J$11-M406*$I$11-L406*J406</f>
        <v/>
      </c>
      <c r="O406">
        <f>IF(AND(C406,ABS(K406)&gt;1E-12,L406&gt;0),N406,1E+300)</f>
        <v/>
      </c>
    </row>
    <row r="407">
      <c r="A407">
        <f>$K$11+($L$11-$K$11)*393/400</f>
        <v/>
      </c>
      <c r="B407">
        <f>SUMPRODUCT((Calc!$F$3:$F$22&lt;=LTP!$B$5)*Calc!$K$3:$K$22*(Calc!$G$3:$G$22&lt;=A407))</f>
        <v/>
      </c>
      <c r="C407">
        <f>AND(B407&gt;=2,$B$11-B407&gt;=2)</f>
        <v/>
      </c>
      <c r="D407">
        <f>SUMPRODUCT((Calc!$F$3:$F$22&lt;=LTP!$B$5)*Calc!$K$3:$K$22*(Calc!$G$3:$G$22&gt;A407)*(Calc!$G$3:$G$22-A407))</f>
        <v/>
      </c>
      <c r="E407">
        <f>SUMPRODUCT((Calc!$F$3:$F$22&lt;=LTP!$B$5)*Calc!$K$3:$K$22*(Calc!$G$3:$G$22&gt;A407)*(Calc!$G$3:$G$22-A407)^2)</f>
        <v/>
      </c>
      <c r="F407">
        <f>SUMPRODUCT((Calc!$F$3:$F$22&lt;=LTP!$B$5)*Calc!$K$3:$K$22*(Calc!$G$3:$G$22&gt;A407)*(Calc!$G$3:$G$22-A407)*Calc!$G$3:$G$22)</f>
        <v/>
      </c>
      <c r="G407">
        <f>SUMPRODUCT((Calc!$F$3:$F$22&lt;=LTP!$B$5)*Calc!$K$3:$K$22*(Calc!$G$3:$G$22&gt;A407)*(Calc!$G$3:$G$22-A407)*Calc!$I$3:$I$22)</f>
        <v/>
      </c>
      <c r="H407">
        <f>IF($B$11&gt;0,F407-$C$11*D407/$B$11,0)</f>
        <v/>
      </c>
      <c r="I407">
        <f>IF($B$11&gt;0,E407-D407^2/$B$11,0)</f>
        <v/>
      </c>
      <c r="J407">
        <f>IF($B$11&gt;0,G407-D407*$D$11/$B$11,0)</f>
        <v/>
      </c>
      <c r="K407">
        <f>$H$11*I407-H407^2</f>
        <v/>
      </c>
      <c r="L407">
        <f>IF(ABS(K407)&gt;1E-12,($H$11*J407-H407*$I$11)/K407,0)</f>
        <v/>
      </c>
      <c r="M407">
        <f>IF(ABS(K407)&gt;1E-12,(I407*$I$11-H407*J407)/K407,0)</f>
        <v/>
      </c>
      <c r="N407">
        <f>$J$11-M407*$I$11-L407*J407</f>
        <v/>
      </c>
      <c r="O407">
        <f>IF(AND(C407,ABS(K407)&gt;1E-12,L407&gt;0),N407,1E+300)</f>
        <v/>
      </c>
    </row>
    <row r="408">
      <c r="A408">
        <f>$K$11+($L$11-$K$11)*394/400</f>
        <v/>
      </c>
      <c r="B408">
        <f>SUMPRODUCT((Calc!$F$3:$F$22&lt;=LTP!$B$5)*Calc!$K$3:$K$22*(Calc!$G$3:$G$22&lt;=A408))</f>
        <v/>
      </c>
      <c r="C408">
        <f>AND(B408&gt;=2,$B$11-B408&gt;=2)</f>
        <v/>
      </c>
      <c r="D408">
        <f>SUMPRODUCT((Calc!$F$3:$F$22&lt;=LTP!$B$5)*Calc!$K$3:$K$22*(Calc!$G$3:$G$22&gt;A408)*(Calc!$G$3:$G$22-A408))</f>
        <v/>
      </c>
      <c r="E408">
        <f>SUMPRODUCT((Calc!$F$3:$F$22&lt;=LTP!$B$5)*Calc!$K$3:$K$22*(Calc!$G$3:$G$22&gt;A408)*(Calc!$G$3:$G$22-A408)^2)</f>
        <v/>
      </c>
      <c r="F408">
        <f>SUMPRODUCT((Calc!$F$3:$F$22&lt;=LTP!$B$5)*Calc!$K$3:$K$22*(Calc!$G$3:$G$22&gt;A408)*(Calc!$G$3:$G$22-A408)*Calc!$G$3:$G$22)</f>
        <v/>
      </c>
      <c r="G408">
        <f>SUMPRODUCT((Calc!$F$3:$F$22&lt;=LTP!$B$5)*Calc!$K$3:$K$22*(Calc!$G$3:$G$22&gt;A408)*(Calc!$G$3:$G$22-A408)*Calc!$I$3:$I$22)</f>
        <v/>
      </c>
      <c r="H408">
        <f>IF($B$11&gt;0,F408-$C$11*D408/$B$11,0)</f>
        <v/>
      </c>
      <c r="I408">
        <f>IF($B$11&gt;0,E408-D408^2/$B$11,0)</f>
        <v/>
      </c>
      <c r="J408">
        <f>IF($B$11&gt;0,G408-D408*$D$11/$B$11,0)</f>
        <v/>
      </c>
      <c r="K408">
        <f>$H$11*I408-H408^2</f>
        <v/>
      </c>
      <c r="L408">
        <f>IF(ABS(K408)&gt;1E-12,($H$11*J408-H408*$I$11)/K408,0)</f>
        <v/>
      </c>
      <c r="M408">
        <f>IF(ABS(K408)&gt;1E-12,(I408*$I$11-H408*J408)/K408,0)</f>
        <v/>
      </c>
      <c r="N408">
        <f>$J$11-M408*$I$11-L408*J408</f>
        <v/>
      </c>
      <c r="O408">
        <f>IF(AND(C408,ABS(K408)&gt;1E-12,L408&gt;0),N408,1E+300)</f>
        <v/>
      </c>
    </row>
    <row r="409">
      <c r="A409">
        <f>$K$11+($L$11-$K$11)*395/400</f>
        <v/>
      </c>
      <c r="B409">
        <f>SUMPRODUCT((Calc!$F$3:$F$22&lt;=LTP!$B$5)*Calc!$K$3:$K$22*(Calc!$G$3:$G$22&lt;=A409))</f>
        <v/>
      </c>
      <c r="C409">
        <f>AND(B409&gt;=2,$B$11-B409&gt;=2)</f>
        <v/>
      </c>
      <c r="D409">
        <f>SUMPRODUCT((Calc!$F$3:$F$22&lt;=LTP!$B$5)*Calc!$K$3:$K$22*(Calc!$G$3:$G$22&gt;A409)*(Calc!$G$3:$G$22-A409))</f>
        <v/>
      </c>
      <c r="E409">
        <f>SUMPRODUCT((Calc!$F$3:$F$22&lt;=LTP!$B$5)*Calc!$K$3:$K$22*(Calc!$G$3:$G$22&gt;A409)*(Calc!$G$3:$G$22-A409)^2)</f>
        <v/>
      </c>
      <c r="F409">
        <f>SUMPRODUCT((Calc!$F$3:$F$22&lt;=LTP!$B$5)*Calc!$K$3:$K$22*(Calc!$G$3:$G$22&gt;A409)*(Calc!$G$3:$G$22-A409)*Calc!$G$3:$G$22)</f>
        <v/>
      </c>
      <c r="G409">
        <f>SUMPRODUCT((Calc!$F$3:$F$22&lt;=LTP!$B$5)*Calc!$K$3:$K$22*(Calc!$G$3:$G$22&gt;A409)*(Calc!$G$3:$G$22-A409)*Calc!$I$3:$I$22)</f>
        <v/>
      </c>
      <c r="H409">
        <f>IF($B$11&gt;0,F409-$C$11*D409/$B$11,0)</f>
        <v/>
      </c>
      <c r="I409">
        <f>IF($B$11&gt;0,E409-D409^2/$B$11,0)</f>
        <v/>
      </c>
      <c r="J409">
        <f>IF($B$11&gt;0,G409-D409*$D$11/$B$11,0)</f>
        <v/>
      </c>
      <c r="K409">
        <f>$H$11*I409-H409^2</f>
        <v/>
      </c>
      <c r="L409">
        <f>IF(ABS(K409)&gt;1E-12,($H$11*J409-H409*$I$11)/K409,0)</f>
        <v/>
      </c>
      <c r="M409">
        <f>IF(ABS(K409)&gt;1E-12,(I409*$I$11-H409*J409)/K409,0)</f>
        <v/>
      </c>
      <c r="N409">
        <f>$J$11-M409*$I$11-L409*J409</f>
        <v/>
      </c>
      <c r="O409">
        <f>IF(AND(C409,ABS(K409)&gt;1E-12,L409&gt;0),N409,1E+300)</f>
        <v/>
      </c>
    </row>
    <row r="410">
      <c r="A410">
        <f>$K$11+($L$11-$K$11)*396/400</f>
        <v/>
      </c>
      <c r="B410">
        <f>SUMPRODUCT((Calc!$F$3:$F$22&lt;=LTP!$B$5)*Calc!$K$3:$K$22*(Calc!$G$3:$G$22&lt;=A410))</f>
        <v/>
      </c>
      <c r="C410">
        <f>AND(B410&gt;=2,$B$11-B410&gt;=2)</f>
        <v/>
      </c>
      <c r="D410">
        <f>SUMPRODUCT((Calc!$F$3:$F$22&lt;=LTP!$B$5)*Calc!$K$3:$K$22*(Calc!$G$3:$G$22&gt;A410)*(Calc!$G$3:$G$22-A410))</f>
        <v/>
      </c>
      <c r="E410">
        <f>SUMPRODUCT((Calc!$F$3:$F$22&lt;=LTP!$B$5)*Calc!$K$3:$K$22*(Calc!$G$3:$G$22&gt;A410)*(Calc!$G$3:$G$22-A410)^2)</f>
        <v/>
      </c>
      <c r="F410">
        <f>SUMPRODUCT((Calc!$F$3:$F$22&lt;=LTP!$B$5)*Calc!$K$3:$K$22*(Calc!$G$3:$G$22&gt;A410)*(Calc!$G$3:$G$22-A410)*Calc!$G$3:$G$22)</f>
        <v/>
      </c>
      <c r="G410">
        <f>SUMPRODUCT((Calc!$F$3:$F$22&lt;=LTP!$B$5)*Calc!$K$3:$K$22*(Calc!$G$3:$G$22&gt;A410)*(Calc!$G$3:$G$22-A410)*Calc!$I$3:$I$22)</f>
        <v/>
      </c>
      <c r="H410">
        <f>IF($B$11&gt;0,F410-$C$11*D410/$B$11,0)</f>
        <v/>
      </c>
      <c r="I410">
        <f>IF($B$11&gt;0,E410-D410^2/$B$11,0)</f>
        <v/>
      </c>
      <c r="J410">
        <f>IF($B$11&gt;0,G410-D410*$D$11/$B$11,0)</f>
        <v/>
      </c>
      <c r="K410">
        <f>$H$11*I410-H410^2</f>
        <v/>
      </c>
      <c r="L410">
        <f>IF(ABS(K410)&gt;1E-12,($H$11*J410-H410*$I$11)/K410,0)</f>
        <v/>
      </c>
      <c r="M410">
        <f>IF(ABS(K410)&gt;1E-12,(I410*$I$11-H410*J410)/K410,0)</f>
        <v/>
      </c>
      <c r="N410">
        <f>$J$11-M410*$I$11-L410*J410</f>
        <v/>
      </c>
      <c r="O410">
        <f>IF(AND(C410,ABS(K410)&gt;1E-12,L410&gt;0),N410,1E+300)</f>
        <v/>
      </c>
    </row>
    <row r="411">
      <c r="A411">
        <f>$K$11+($L$11-$K$11)*397/400</f>
        <v/>
      </c>
      <c r="B411">
        <f>SUMPRODUCT((Calc!$F$3:$F$22&lt;=LTP!$B$5)*Calc!$K$3:$K$22*(Calc!$G$3:$G$22&lt;=A411))</f>
        <v/>
      </c>
      <c r="C411">
        <f>AND(B411&gt;=2,$B$11-B411&gt;=2)</f>
        <v/>
      </c>
      <c r="D411">
        <f>SUMPRODUCT((Calc!$F$3:$F$22&lt;=LTP!$B$5)*Calc!$K$3:$K$22*(Calc!$G$3:$G$22&gt;A411)*(Calc!$G$3:$G$22-A411))</f>
        <v/>
      </c>
      <c r="E411">
        <f>SUMPRODUCT((Calc!$F$3:$F$22&lt;=LTP!$B$5)*Calc!$K$3:$K$22*(Calc!$G$3:$G$22&gt;A411)*(Calc!$G$3:$G$22-A411)^2)</f>
        <v/>
      </c>
      <c r="F411">
        <f>SUMPRODUCT((Calc!$F$3:$F$22&lt;=LTP!$B$5)*Calc!$K$3:$K$22*(Calc!$G$3:$G$22&gt;A411)*(Calc!$G$3:$G$22-A411)*Calc!$G$3:$G$22)</f>
        <v/>
      </c>
      <c r="G411">
        <f>SUMPRODUCT((Calc!$F$3:$F$22&lt;=LTP!$B$5)*Calc!$K$3:$K$22*(Calc!$G$3:$G$22&gt;A411)*(Calc!$G$3:$G$22-A411)*Calc!$I$3:$I$22)</f>
        <v/>
      </c>
      <c r="H411">
        <f>IF($B$11&gt;0,F411-$C$11*D411/$B$11,0)</f>
        <v/>
      </c>
      <c r="I411">
        <f>IF($B$11&gt;0,E411-D411^2/$B$11,0)</f>
        <v/>
      </c>
      <c r="J411">
        <f>IF($B$11&gt;0,G411-D411*$D$11/$B$11,0)</f>
        <v/>
      </c>
      <c r="K411">
        <f>$H$11*I411-H411^2</f>
        <v/>
      </c>
      <c r="L411">
        <f>IF(ABS(K411)&gt;1E-12,($H$11*J411-H411*$I$11)/K411,0)</f>
        <v/>
      </c>
      <c r="M411">
        <f>IF(ABS(K411)&gt;1E-12,(I411*$I$11-H411*J411)/K411,0)</f>
        <v/>
      </c>
      <c r="N411">
        <f>$J$11-M411*$I$11-L411*J411</f>
        <v/>
      </c>
      <c r="O411">
        <f>IF(AND(C411,ABS(K411)&gt;1E-12,L411&gt;0),N411,1E+300)</f>
        <v/>
      </c>
    </row>
    <row r="412">
      <c r="A412">
        <f>$K$11+($L$11-$K$11)*398/400</f>
        <v/>
      </c>
      <c r="B412">
        <f>SUMPRODUCT((Calc!$F$3:$F$22&lt;=LTP!$B$5)*Calc!$K$3:$K$22*(Calc!$G$3:$G$22&lt;=A412))</f>
        <v/>
      </c>
      <c r="C412">
        <f>AND(B412&gt;=2,$B$11-B412&gt;=2)</f>
        <v/>
      </c>
      <c r="D412">
        <f>SUMPRODUCT((Calc!$F$3:$F$22&lt;=LTP!$B$5)*Calc!$K$3:$K$22*(Calc!$G$3:$G$22&gt;A412)*(Calc!$G$3:$G$22-A412))</f>
        <v/>
      </c>
      <c r="E412">
        <f>SUMPRODUCT((Calc!$F$3:$F$22&lt;=LTP!$B$5)*Calc!$K$3:$K$22*(Calc!$G$3:$G$22&gt;A412)*(Calc!$G$3:$G$22-A412)^2)</f>
        <v/>
      </c>
      <c r="F412">
        <f>SUMPRODUCT((Calc!$F$3:$F$22&lt;=LTP!$B$5)*Calc!$K$3:$K$22*(Calc!$G$3:$G$22&gt;A412)*(Calc!$G$3:$G$22-A412)*Calc!$G$3:$G$22)</f>
        <v/>
      </c>
      <c r="G412">
        <f>SUMPRODUCT((Calc!$F$3:$F$22&lt;=LTP!$B$5)*Calc!$K$3:$K$22*(Calc!$G$3:$G$22&gt;A412)*(Calc!$G$3:$G$22-A412)*Calc!$I$3:$I$22)</f>
        <v/>
      </c>
      <c r="H412">
        <f>IF($B$11&gt;0,F412-$C$11*D412/$B$11,0)</f>
        <v/>
      </c>
      <c r="I412">
        <f>IF($B$11&gt;0,E412-D412^2/$B$11,0)</f>
        <v/>
      </c>
      <c r="J412">
        <f>IF($B$11&gt;0,G412-D412*$D$11/$B$11,0)</f>
        <v/>
      </c>
      <c r="K412">
        <f>$H$11*I412-H412^2</f>
        <v/>
      </c>
      <c r="L412">
        <f>IF(ABS(K412)&gt;1E-12,($H$11*J412-H412*$I$11)/K412,0)</f>
        <v/>
      </c>
      <c r="M412">
        <f>IF(ABS(K412)&gt;1E-12,(I412*$I$11-H412*J412)/K412,0)</f>
        <v/>
      </c>
      <c r="N412">
        <f>$J$11-M412*$I$11-L412*J412</f>
        <v/>
      </c>
      <c r="O412">
        <f>IF(AND(C412,ABS(K412)&gt;1E-12,L412&gt;0),N412,1E+300)</f>
        <v/>
      </c>
    </row>
    <row r="413">
      <c r="A413">
        <f>$K$11+($L$11-$K$11)*399/400</f>
        <v/>
      </c>
      <c r="B413">
        <f>SUMPRODUCT((Calc!$F$3:$F$22&lt;=LTP!$B$5)*Calc!$K$3:$K$22*(Calc!$G$3:$G$22&lt;=A413))</f>
        <v/>
      </c>
      <c r="C413">
        <f>AND(B413&gt;=2,$B$11-B413&gt;=2)</f>
        <v/>
      </c>
      <c r="D413">
        <f>SUMPRODUCT((Calc!$F$3:$F$22&lt;=LTP!$B$5)*Calc!$K$3:$K$22*(Calc!$G$3:$G$22&gt;A413)*(Calc!$G$3:$G$22-A413))</f>
        <v/>
      </c>
      <c r="E413">
        <f>SUMPRODUCT((Calc!$F$3:$F$22&lt;=LTP!$B$5)*Calc!$K$3:$K$22*(Calc!$G$3:$G$22&gt;A413)*(Calc!$G$3:$G$22-A413)^2)</f>
        <v/>
      </c>
      <c r="F413">
        <f>SUMPRODUCT((Calc!$F$3:$F$22&lt;=LTP!$B$5)*Calc!$K$3:$K$22*(Calc!$G$3:$G$22&gt;A413)*(Calc!$G$3:$G$22-A413)*Calc!$G$3:$G$22)</f>
        <v/>
      </c>
      <c r="G413">
        <f>SUMPRODUCT((Calc!$F$3:$F$22&lt;=LTP!$B$5)*Calc!$K$3:$K$22*(Calc!$G$3:$G$22&gt;A413)*(Calc!$G$3:$G$22-A413)*Calc!$I$3:$I$22)</f>
        <v/>
      </c>
      <c r="H413">
        <f>IF($B$11&gt;0,F413-$C$11*D413/$B$11,0)</f>
        <v/>
      </c>
      <c r="I413">
        <f>IF($B$11&gt;0,E413-D413^2/$B$11,0)</f>
        <v/>
      </c>
      <c r="J413">
        <f>IF($B$11&gt;0,G413-D413*$D$11/$B$11,0)</f>
        <v/>
      </c>
      <c r="K413">
        <f>$H$11*I413-H413^2</f>
        <v/>
      </c>
      <c r="L413">
        <f>IF(ABS(K413)&gt;1E-12,($H$11*J413-H413*$I$11)/K413,0)</f>
        <v/>
      </c>
      <c r="M413">
        <f>IF(ABS(K413)&gt;1E-12,(I413*$I$11-H413*J413)/K413,0)</f>
        <v/>
      </c>
      <c r="N413">
        <f>$J$11-M413*$I$11-L413*J413</f>
        <v/>
      </c>
      <c r="O413">
        <f>IF(AND(C413,ABS(K413)&gt;1E-12,L413&gt;0),N413,1E+300)</f>
        <v/>
      </c>
    </row>
    <row r="414">
      <c r="A414">
        <f>$K$11+($L$11-$K$11)*400/400</f>
        <v/>
      </c>
      <c r="B414">
        <f>SUMPRODUCT((Calc!$F$3:$F$22&lt;=LTP!$B$5)*Calc!$K$3:$K$22*(Calc!$G$3:$G$22&lt;=A414))</f>
        <v/>
      </c>
      <c r="C414">
        <f>AND(B414&gt;=2,$B$11-B414&gt;=2)</f>
        <v/>
      </c>
      <c r="D414">
        <f>SUMPRODUCT((Calc!$F$3:$F$22&lt;=LTP!$B$5)*Calc!$K$3:$K$22*(Calc!$G$3:$G$22&gt;A414)*(Calc!$G$3:$G$22-A414))</f>
        <v/>
      </c>
      <c r="E414">
        <f>SUMPRODUCT((Calc!$F$3:$F$22&lt;=LTP!$B$5)*Calc!$K$3:$K$22*(Calc!$G$3:$G$22&gt;A414)*(Calc!$G$3:$G$22-A414)^2)</f>
        <v/>
      </c>
      <c r="F414">
        <f>SUMPRODUCT((Calc!$F$3:$F$22&lt;=LTP!$B$5)*Calc!$K$3:$K$22*(Calc!$G$3:$G$22&gt;A414)*(Calc!$G$3:$G$22-A414)*Calc!$G$3:$G$22)</f>
        <v/>
      </c>
      <c r="G414">
        <f>SUMPRODUCT((Calc!$F$3:$F$22&lt;=LTP!$B$5)*Calc!$K$3:$K$22*(Calc!$G$3:$G$22&gt;A414)*(Calc!$G$3:$G$22-A414)*Calc!$I$3:$I$22)</f>
        <v/>
      </c>
      <c r="H414">
        <f>IF($B$11&gt;0,F414-$C$11*D414/$B$11,0)</f>
        <v/>
      </c>
      <c r="I414">
        <f>IF($B$11&gt;0,E414-D414^2/$B$11,0)</f>
        <v/>
      </c>
      <c r="J414">
        <f>IF($B$11&gt;0,G414-D414*$D$11/$B$11,0)</f>
        <v/>
      </c>
      <c r="K414">
        <f>$H$11*I414-H414^2</f>
        <v/>
      </c>
      <c r="L414">
        <f>IF(ABS(K414)&gt;1E-12,($H$11*J414-H414*$I$11)/K414,0)</f>
        <v/>
      </c>
      <c r="M414">
        <f>IF(ABS(K414)&gt;1E-12,(I414*$I$11-H414*J414)/K414,0)</f>
        <v/>
      </c>
      <c r="N414">
        <f>$J$11-M414*$I$11-L414*J414</f>
        <v/>
      </c>
      <c r="O414">
        <f>IF(AND(C414,ABS(K414)&gt;1E-12,L414&gt;0),N414,1E+300)</f>
        <v/>
      </c>
    </row>
    <row r="416">
      <c r="A416" s="7" t="inlineStr">
        <is>
          <t>bestes k (Raster)</t>
        </is>
      </c>
      <c r="B416">
        <f>INDEX(A14:A414,MATCH(MIN(O14:O414),O14:O414,0))</f>
        <v/>
      </c>
      <c r="C416">
        <f>MIN(O14:O414)</f>
        <v/>
      </c>
    </row>
    <row r="418">
      <c r="A418" s="57" t="inlineStr">
        <is>
          <t>k</t>
        </is>
      </c>
      <c r="B418" s="57" t="inlineStr">
        <is>
          <t>L</t>
        </is>
      </c>
      <c r="C418" s="57" t="inlineStr">
        <is>
          <t>gültig</t>
        </is>
      </c>
      <c r="D418" s="57" t="inlineStr">
        <is>
          <t>Sh</t>
        </is>
      </c>
      <c r="E418" s="57" t="inlineStr">
        <is>
          <t>Shh</t>
        </is>
      </c>
      <c r="F418" s="57" t="inlineStr">
        <is>
          <t>Sxh</t>
        </is>
      </c>
      <c r="G418" s="57" t="inlineStr">
        <is>
          <t>Shy</t>
        </is>
      </c>
      <c r="H418" s="57" t="inlineStr">
        <is>
          <t>Cxh</t>
        </is>
      </c>
      <c r="I418" s="57" t="inlineStr">
        <is>
          <t>Chh</t>
        </is>
      </c>
      <c r="J418" s="57" t="inlineStr">
        <is>
          <t>Chy</t>
        </is>
      </c>
      <c r="K418" s="57" t="inlineStr">
        <is>
          <t>det</t>
        </is>
      </c>
      <c r="L418" s="57" t="inlineStr">
        <is>
          <t>c2</t>
        </is>
      </c>
      <c r="M418" s="57" t="inlineStr">
        <is>
          <t>c1</t>
        </is>
      </c>
      <c r="N418" s="57" t="inlineStr">
        <is>
          <t>SSE</t>
        </is>
      </c>
      <c r="O418" s="57" t="inlineStr">
        <is>
          <t>Score</t>
        </is>
      </c>
    </row>
    <row r="419">
      <c r="A419">
        <f>$B$416-($L$11-$K$11)/400+2*($L$11-$K$11)/400*0/40</f>
        <v/>
      </c>
      <c r="B419">
        <f>SUMPRODUCT((Calc!$F$3:$F$22&lt;=LTP!$B$5)*Calc!$K$3:$K$22*(Calc!$G$3:$G$22&lt;=A419))</f>
        <v/>
      </c>
      <c r="C419">
        <f>AND(B419&gt;=2,$B$11-B419&gt;=2)</f>
        <v/>
      </c>
      <c r="D419">
        <f>SUMPRODUCT((Calc!$F$3:$F$22&lt;=LTP!$B$5)*Calc!$K$3:$K$22*(Calc!$G$3:$G$22&gt;A419)*(Calc!$G$3:$G$22-A419))</f>
        <v/>
      </c>
      <c r="E419">
        <f>SUMPRODUCT((Calc!$F$3:$F$22&lt;=LTP!$B$5)*Calc!$K$3:$K$22*(Calc!$G$3:$G$22&gt;A419)*(Calc!$G$3:$G$22-A419)^2)</f>
        <v/>
      </c>
      <c r="F419">
        <f>SUMPRODUCT((Calc!$F$3:$F$22&lt;=LTP!$B$5)*Calc!$K$3:$K$22*(Calc!$G$3:$G$22&gt;A419)*(Calc!$G$3:$G$22-A419)*Calc!$G$3:$G$22)</f>
        <v/>
      </c>
      <c r="G419">
        <f>SUMPRODUCT((Calc!$F$3:$F$22&lt;=LTP!$B$5)*Calc!$K$3:$K$22*(Calc!$G$3:$G$22&gt;A419)*(Calc!$G$3:$G$22-A419)*Calc!$I$3:$I$22)</f>
        <v/>
      </c>
      <c r="H419">
        <f>IF($B$11&gt;0,F419-$C$11*D419/$B$11,0)</f>
        <v/>
      </c>
      <c r="I419">
        <f>IF($B$11&gt;0,E419-D419^2/$B$11,0)</f>
        <v/>
      </c>
      <c r="J419">
        <f>IF($B$11&gt;0,G419-D419*$D$11/$B$11,0)</f>
        <v/>
      </c>
      <c r="K419">
        <f>$H$11*I419-H419^2</f>
        <v/>
      </c>
      <c r="L419">
        <f>IF(ABS(K419)&gt;1E-12,($H$11*J419-H419*$I$11)/K419,0)</f>
        <v/>
      </c>
      <c r="M419">
        <f>IF(ABS(K419)&gt;1E-12,(I419*$I$11-H419*J419)/K419,0)</f>
        <v/>
      </c>
      <c r="N419">
        <f>$J$11-M419*$I$11-L419*J419</f>
        <v/>
      </c>
      <c r="O419">
        <f>IF(AND(C419,ABS(K419)&gt;1E-12,L419&gt;0),N419,1E+300)</f>
        <v/>
      </c>
    </row>
    <row r="420">
      <c r="A420">
        <f>$B$416-($L$11-$K$11)/400+2*($L$11-$K$11)/400*1/40</f>
        <v/>
      </c>
      <c r="B420">
        <f>SUMPRODUCT((Calc!$F$3:$F$22&lt;=LTP!$B$5)*Calc!$K$3:$K$22*(Calc!$G$3:$G$22&lt;=A420))</f>
        <v/>
      </c>
      <c r="C420">
        <f>AND(B420&gt;=2,$B$11-B420&gt;=2)</f>
        <v/>
      </c>
      <c r="D420">
        <f>SUMPRODUCT((Calc!$F$3:$F$22&lt;=LTP!$B$5)*Calc!$K$3:$K$22*(Calc!$G$3:$G$22&gt;A420)*(Calc!$G$3:$G$22-A420))</f>
        <v/>
      </c>
      <c r="E420">
        <f>SUMPRODUCT((Calc!$F$3:$F$22&lt;=LTP!$B$5)*Calc!$K$3:$K$22*(Calc!$G$3:$G$22&gt;A420)*(Calc!$G$3:$G$22-A420)^2)</f>
        <v/>
      </c>
      <c r="F420">
        <f>SUMPRODUCT((Calc!$F$3:$F$22&lt;=LTP!$B$5)*Calc!$K$3:$K$22*(Calc!$G$3:$G$22&gt;A420)*(Calc!$G$3:$G$22-A420)*Calc!$G$3:$G$22)</f>
        <v/>
      </c>
      <c r="G420">
        <f>SUMPRODUCT((Calc!$F$3:$F$22&lt;=LTP!$B$5)*Calc!$K$3:$K$22*(Calc!$G$3:$G$22&gt;A420)*(Calc!$G$3:$G$22-A420)*Calc!$I$3:$I$22)</f>
        <v/>
      </c>
      <c r="H420">
        <f>IF($B$11&gt;0,F420-$C$11*D420/$B$11,0)</f>
        <v/>
      </c>
      <c r="I420">
        <f>IF($B$11&gt;0,E420-D420^2/$B$11,0)</f>
        <v/>
      </c>
      <c r="J420">
        <f>IF($B$11&gt;0,G420-D420*$D$11/$B$11,0)</f>
        <v/>
      </c>
      <c r="K420">
        <f>$H$11*I420-H420^2</f>
        <v/>
      </c>
      <c r="L420">
        <f>IF(ABS(K420)&gt;1E-12,($H$11*J420-H420*$I$11)/K420,0)</f>
        <v/>
      </c>
      <c r="M420">
        <f>IF(ABS(K420)&gt;1E-12,(I420*$I$11-H420*J420)/K420,0)</f>
        <v/>
      </c>
      <c r="N420">
        <f>$J$11-M420*$I$11-L420*J420</f>
        <v/>
      </c>
      <c r="O420">
        <f>IF(AND(C420,ABS(K420)&gt;1E-12,L420&gt;0),N420,1E+300)</f>
        <v/>
      </c>
    </row>
    <row r="421">
      <c r="A421">
        <f>$B$416-($L$11-$K$11)/400+2*($L$11-$K$11)/400*2/40</f>
        <v/>
      </c>
      <c r="B421">
        <f>SUMPRODUCT((Calc!$F$3:$F$22&lt;=LTP!$B$5)*Calc!$K$3:$K$22*(Calc!$G$3:$G$22&lt;=A421))</f>
        <v/>
      </c>
      <c r="C421">
        <f>AND(B421&gt;=2,$B$11-B421&gt;=2)</f>
        <v/>
      </c>
      <c r="D421">
        <f>SUMPRODUCT((Calc!$F$3:$F$22&lt;=LTP!$B$5)*Calc!$K$3:$K$22*(Calc!$G$3:$G$22&gt;A421)*(Calc!$G$3:$G$22-A421))</f>
        <v/>
      </c>
      <c r="E421">
        <f>SUMPRODUCT((Calc!$F$3:$F$22&lt;=LTP!$B$5)*Calc!$K$3:$K$22*(Calc!$G$3:$G$22&gt;A421)*(Calc!$G$3:$G$22-A421)^2)</f>
        <v/>
      </c>
      <c r="F421">
        <f>SUMPRODUCT((Calc!$F$3:$F$22&lt;=LTP!$B$5)*Calc!$K$3:$K$22*(Calc!$G$3:$G$22&gt;A421)*(Calc!$G$3:$G$22-A421)*Calc!$G$3:$G$22)</f>
        <v/>
      </c>
      <c r="G421">
        <f>SUMPRODUCT((Calc!$F$3:$F$22&lt;=LTP!$B$5)*Calc!$K$3:$K$22*(Calc!$G$3:$G$22&gt;A421)*(Calc!$G$3:$G$22-A421)*Calc!$I$3:$I$22)</f>
        <v/>
      </c>
      <c r="H421">
        <f>IF($B$11&gt;0,F421-$C$11*D421/$B$11,0)</f>
        <v/>
      </c>
      <c r="I421">
        <f>IF($B$11&gt;0,E421-D421^2/$B$11,0)</f>
        <v/>
      </c>
      <c r="J421">
        <f>IF($B$11&gt;0,G421-D421*$D$11/$B$11,0)</f>
        <v/>
      </c>
      <c r="K421">
        <f>$H$11*I421-H421^2</f>
        <v/>
      </c>
      <c r="L421">
        <f>IF(ABS(K421)&gt;1E-12,($H$11*J421-H421*$I$11)/K421,0)</f>
        <v/>
      </c>
      <c r="M421">
        <f>IF(ABS(K421)&gt;1E-12,(I421*$I$11-H421*J421)/K421,0)</f>
        <v/>
      </c>
      <c r="N421">
        <f>$J$11-M421*$I$11-L421*J421</f>
        <v/>
      </c>
      <c r="O421">
        <f>IF(AND(C421,ABS(K421)&gt;1E-12,L421&gt;0),N421,1E+300)</f>
        <v/>
      </c>
    </row>
    <row r="422">
      <c r="A422">
        <f>$B$416-($L$11-$K$11)/400+2*($L$11-$K$11)/400*3/40</f>
        <v/>
      </c>
      <c r="B422">
        <f>SUMPRODUCT((Calc!$F$3:$F$22&lt;=LTP!$B$5)*Calc!$K$3:$K$22*(Calc!$G$3:$G$22&lt;=A422))</f>
        <v/>
      </c>
      <c r="C422">
        <f>AND(B422&gt;=2,$B$11-B422&gt;=2)</f>
        <v/>
      </c>
      <c r="D422">
        <f>SUMPRODUCT((Calc!$F$3:$F$22&lt;=LTP!$B$5)*Calc!$K$3:$K$22*(Calc!$G$3:$G$22&gt;A422)*(Calc!$G$3:$G$22-A422))</f>
        <v/>
      </c>
      <c r="E422">
        <f>SUMPRODUCT((Calc!$F$3:$F$22&lt;=LTP!$B$5)*Calc!$K$3:$K$22*(Calc!$G$3:$G$22&gt;A422)*(Calc!$G$3:$G$22-A422)^2)</f>
        <v/>
      </c>
      <c r="F422">
        <f>SUMPRODUCT((Calc!$F$3:$F$22&lt;=LTP!$B$5)*Calc!$K$3:$K$22*(Calc!$G$3:$G$22&gt;A422)*(Calc!$G$3:$G$22-A422)*Calc!$G$3:$G$22)</f>
        <v/>
      </c>
      <c r="G422">
        <f>SUMPRODUCT((Calc!$F$3:$F$22&lt;=LTP!$B$5)*Calc!$K$3:$K$22*(Calc!$G$3:$G$22&gt;A422)*(Calc!$G$3:$G$22-A422)*Calc!$I$3:$I$22)</f>
        <v/>
      </c>
      <c r="H422">
        <f>IF($B$11&gt;0,F422-$C$11*D422/$B$11,0)</f>
        <v/>
      </c>
      <c r="I422">
        <f>IF($B$11&gt;0,E422-D422^2/$B$11,0)</f>
        <v/>
      </c>
      <c r="J422">
        <f>IF($B$11&gt;0,G422-D422*$D$11/$B$11,0)</f>
        <v/>
      </c>
      <c r="K422">
        <f>$H$11*I422-H422^2</f>
        <v/>
      </c>
      <c r="L422">
        <f>IF(ABS(K422)&gt;1E-12,($H$11*J422-H422*$I$11)/K422,0)</f>
        <v/>
      </c>
      <c r="M422">
        <f>IF(ABS(K422)&gt;1E-12,(I422*$I$11-H422*J422)/K422,0)</f>
        <v/>
      </c>
      <c r="N422">
        <f>$J$11-M422*$I$11-L422*J422</f>
        <v/>
      </c>
      <c r="O422">
        <f>IF(AND(C422,ABS(K422)&gt;1E-12,L422&gt;0),N422,1E+300)</f>
        <v/>
      </c>
    </row>
    <row r="423">
      <c r="A423">
        <f>$B$416-($L$11-$K$11)/400+2*($L$11-$K$11)/400*4/40</f>
        <v/>
      </c>
      <c r="B423">
        <f>SUMPRODUCT((Calc!$F$3:$F$22&lt;=LTP!$B$5)*Calc!$K$3:$K$22*(Calc!$G$3:$G$22&lt;=A423))</f>
        <v/>
      </c>
      <c r="C423">
        <f>AND(B423&gt;=2,$B$11-B423&gt;=2)</f>
        <v/>
      </c>
      <c r="D423">
        <f>SUMPRODUCT((Calc!$F$3:$F$22&lt;=LTP!$B$5)*Calc!$K$3:$K$22*(Calc!$G$3:$G$22&gt;A423)*(Calc!$G$3:$G$22-A423))</f>
        <v/>
      </c>
      <c r="E423">
        <f>SUMPRODUCT((Calc!$F$3:$F$22&lt;=LTP!$B$5)*Calc!$K$3:$K$22*(Calc!$G$3:$G$22&gt;A423)*(Calc!$G$3:$G$22-A423)^2)</f>
        <v/>
      </c>
      <c r="F423">
        <f>SUMPRODUCT((Calc!$F$3:$F$22&lt;=LTP!$B$5)*Calc!$K$3:$K$22*(Calc!$G$3:$G$22&gt;A423)*(Calc!$G$3:$G$22-A423)*Calc!$G$3:$G$22)</f>
        <v/>
      </c>
      <c r="G423">
        <f>SUMPRODUCT((Calc!$F$3:$F$22&lt;=LTP!$B$5)*Calc!$K$3:$K$22*(Calc!$G$3:$G$22&gt;A423)*(Calc!$G$3:$G$22-A423)*Calc!$I$3:$I$22)</f>
        <v/>
      </c>
      <c r="H423">
        <f>IF($B$11&gt;0,F423-$C$11*D423/$B$11,0)</f>
        <v/>
      </c>
      <c r="I423">
        <f>IF($B$11&gt;0,E423-D423^2/$B$11,0)</f>
        <v/>
      </c>
      <c r="J423">
        <f>IF($B$11&gt;0,G423-D423*$D$11/$B$11,0)</f>
        <v/>
      </c>
      <c r="K423">
        <f>$H$11*I423-H423^2</f>
        <v/>
      </c>
      <c r="L423">
        <f>IF(ABS(K423)&gt;1E-12,($H$11*J423-H423*$I$11)/K423,0)</f>
        <v/>
      </c>
      <c r="M423">
        <f>IF(ABS(K423)&gt;1E-12,(I423*$I$11-H423*J423)/K423,0)</f>
        <v/>
      </c>
      <c r="N423">
        <f>$J$11-M423*$I$11-L423*J423</f>
        <v/>
      </c>
      <c r="O423">
        <f>IF(AND(C423,ABS(K423)&gt;1E-12,L423&gt;0),N423,1E+300)</f>
        <v/>
      </c>
    </row>
    <row r="424">
      <c r="A424">
        <f>$B$416-($L$11-$K$11)/400+2*($L$11-$K$11)/400*5/40</f>
        <v/>
      </c>
      <c r="B424">
        <f>SUMPRODUCT((Calc!$F$3:$F$22&lt;=LTP!$B$5)*Calc!$K$3:$K$22*(Calc!$G$3:$G$22&lt;=A424))</f>
        <v/>
      </c>
      <c r="C424">
        <f>AND(B424&gt;=2,$B$11-B424&gt;=2)</f>
        <v/>
      </c>
      <c r="D424">
        <f>SUMPRODUCT((Calc!$F$3:$F$22&lt;=LTP!$B$5)*Calc!$K$3:$K$22*(Calc!$G$3:$G$22&gt;A424)*(Calc!$G$3:$G$22-A424))</f>
        <v/>
      </c>
      <c r="E424">
        <f>SUMPRODUCT((Calc!$F$3:$F$22&lt;=LTP!$B$5)*Calc!$K$3:$K$22*(Calc!$G$3:$G$22&gt;A424)*(Calc!$G$3:$G$22-A424)^2)</f>
        <v/>
      </c>
      <c r="F424">
        <f>SUMPRODUCT((Calc!$F$3:$F$22&lt;=LTP!$B$5)*Calc!$K$3:$K$22*(Calc!$G$3:$G$22&gt;A424)*(Calc!$G$3:$G$22-A424)*Calc!$G$3:$G$22)</f>
        <v/>
      </c>
      <c r="G424">
        <f>SUMPRODUCT((Calc!$F$3:$F$22&lt;=LTP!$B$5)*Calc!$K$3:$K$22*(Calc!$G$3:$G$22&gt;A424)*(Calc!$G$3:$G$22-A424)*Calc!$I$3:$I$22)</f>
        <v/>
      </c>
      <c r="H424">
        <f>IF($B$11&gt;0,F424-$C$11*D424/$B$11,0)</f>
        <v/>
      </c>
      <c r="I424">
        <f>IF($B$11&gt;0,E424-D424^2/$B$11,0)</f>
        <v/>
      </c>
      <c r="J424">
        <f>IF($B$11&gt;0,G424-D424*$D$11/$B$11,0)</f>
        <v/>
      </c>
      <c r="K424">
        <f>$H$11*I424-H424^2</f>
        <v/>
      </c>
      <c r="L424">
        <f>IF(ABS(K424)&gt;1E-12,($H$11*J424-H424*$I$11)/K424,0)</f>
        <v/>
      </c>
      <c r="M424">
        <f>IF(ABS(K424)&gt;1E-12,(I424*$I$11-H424*J424)/K424,0)</f>
        <v/>
      </c>
      <c r="N424">
        <f>$J$11-M424*$I$11-L424*J424</f>
        <v/>
      </c>
      <c r="O424">
        <f>IF(AND(C424,ABS(K424)&gt;1E-12,L424&gt;0),N424,1E+300)</f>
        <v/>
      </c>
    </row>
    <row r="425">
      <c r="A425">
        <f>$B$416-($L$11-$K$11)/400+2*($L$11-$K$11)/400*6/40</f>
        <v/>
      </c>
      <c r="B425">
        <f>SUMPRODUCT((Calc!$F$3:$F$22&lt;=LTP!$B$5)*Calc!$K$3:$K$22*(Calc!$G$3:$G$22&lt;=A425))</f>
        <v/>
      </c>
      <c r="C425">
        <f>AND(B425&gt;=2,$B$11-B425&gt;=2)</f>
        <v/>
      </c>
      <c r="D425">
        <f>SUMPRODUCT((Calc!$F$3:$F$22&lt;=LTP!$B$5)*Calc!$K$3:$K$22*(Calc!$G$3:$G$22&gt;A425)*(Calc!$G$3:$G$22-A425))</f>
        <v/>
      </c>
      <c r="E425">
        <f>SUMPRODUCT((Calc!$F$3:$F$22&lt;=LTP!$B$5)*Calc!$K$3:$K$22*(Calc!$G$3:$G$22&gt;A425)*(Calc!$G$3:$G$22-A425)^2)</f>
        <v/>
      </c>
      <c r="F425">
        <f>SUMPRODUCT((Calc!$F$3:$F$22&lt;=LTP!$B$5)*Calc!$K$3:$K$22*(Calc!$G$3:$G$22&gt;A425)*(Calc!$G$3:$G$22-A425)*Calc!$G$3:$G$22)</f>
        <v/>
      </c>
      <c r="G425">
        <f>SUMPRODUCT((Calc!$F$3:$F$22&lt;=LTP!$B$5)*Calc!$K$3:$K$22*(Calc!$G$3:$G$22&gt;A425)*(Calc!$G$3:$G$22-A425)*Calc!$I$3:$I$22)</f>
        <v/>
      </c>
      <c r="H425">
        <f>IF($B$11&gt;0,F425-$C$11*D425/$B$11,0)</f>
        <v/>
      </c>
      <c r="I425">
        <f>IF($B$11&gt;0,E425-D425^2/$B$11,0)</f>
        <v/>
      </c>
      <c r="J425">
        <f>IF($B$11&gt;0,G425-D425*$D$11/$B$11,0)</f>
        <v/>
      </c>
      <c r="K425">
        <f>$H$11*I425-H425^2</f>
        <v/>
      </c>
      <c r="L425">
        <f>IF(ABS(K425)&gt;1E-12,($H$11*J425-H425*$I$11)/K425,0)</f>
        <v/>
      </c>
      <c r="M425">
        <f>IF(ABS(K425)&gt;1E-12,(I425*$I$11-H425*J425)/K425,0)</f>
        <v/>
      </c>
      <c r="N425">
        <f>$J$11-M425*$I$11-L425*J425</f>
        <v/>
      </c>
      <c r="O425">
        <f>IF(AND(C425,ABS(K425)&gt;1E-12,L425&gt;0),N425,1E+300)</f>
        <v/>
      </c>
    </row>
    <row r="426">
      <c r="A426">
        <f>$B$416-($L$11-$K$11)/400+2*($L$11-$K$11)/400*7/40</f>
        <v/>
      </c>
      <c r="B426">
        <f>SUMPRODUCT((Calc!$F$3:$F$22&lt;=LTP!$B$5)*Calc!$K$3:$K$22*(Calc!$G$3:$G$22&lt;=A426))</f>
        <v/>
      </c>
      <c r="C426">
        <f>AND(B426&gt;=2,$B$11-B426&gt;=2)</f>
        <v/>
      </c>
      <c r="D426">
        <f>SUMPRODUCT((Calc!$F$3:$F$22&lt;=LTP!$B$5)*Calc!$K$3:$K$22*(Calc!$G$3:$G$22&gt;A426)*(Calc!$G$3:$G$22-A426))</f>
        <v/>
      </c>
      <c r="E426">
        <f>SUMPRODUCT((Calc!$F$3:$F$22&lt;=LTP!$B$5)*Calc!$K$3:$K$22*(Calc!$G$3:$G$22&gt;A426)*(Calc!$G$3:$G$22-A426)^2)</f>
        <v/>
      </c>
      <c r="F426">
        <f>SUMPRODUCT((Calc!$F$3:$F$22&lt;=LTP!$B$5)*Calc!$K$3:$K$22*(Calc!$G$3:$G$22&gt;A426)*(Calc!$G$3:$G$22-A426)*Calc!$G$3:$G$22)</f>
        <v/>
      </c>
      <c r="G426">
        <f>SUMPRODUCT((Calc!$F$3:$F$22&lt;=LTP!$B$5)*Calc!$K$3:$K$22*(Calc!$G$3:$G$22&gt;A426)*(Calc!$G$3:$G$22-A426)*Calc!$I$3:$I$22)</f>
        <v/>
      </c>
      <c r="H426">
        <f>IF($B$11&gt;0,F426-$C$11*D426/$B$11,0)</f>
        <v/>
      </c>
      <c r="I426">
        <f>IF($B$11&gt;0,E426-D426^2/$B$11,0)</f>
        <v/>
      </c>
      <c r="J426">
        <f>IF($B$11&gt;0,G426-D426*$D$11/$B$11,0)</f>
        <v/>
      </c>
      <c r="K426">
        <f>$H$11*I426-H426^2</f>
        <v/>
      </c>
      <c r="L426">
        <f>IF(ABS(K426)&gt;1E-12,($H$11*J426-H426*$I$11)/K426,0)</f>
        <v/>
      </c>
      <c r="M426">
        <f>IF(ABS(K426)&gt;1E-12,(I426*$I$11-H426*J426)/K426,0)</f>
        <v/>
      </c>
      <c r="N426">
        <f>$J$11-M426*$I$11-L426*J426</f>
        <v/>
      </c>
      <c r="O426">
        <f>IF(AND(C426,ABS(K426)&gt;1E-12,L426&gt;0),N426,1E+300)</f>
        <v/>
      </c>
    </row>
    <row r="427">
      <c r="A427">
        <f>$B$416-($L$11-$K$11)/400+2*($L$11-$K$11)/400*8/40</f>
        <v/>
      </c>
      <c r="B427">
        <f>SUMPRODUCT((Calc!$F$3:$F$22&lt;=LTP!$B$5)*Calc!$K$3:$K$22*(Calc!$G$3:$G$22&lt;=A427))</f>
        <v/>
      </c>
      <c r="C427">
        <f>AND(B427&gt;=2,$B$11-B427&gt;=2)</f>
        <v/>
      </c>
      <c r="D427">
        <f>SUMPRODUCT((Calc!$F$3:$F$22&lt;=LTP!$B$5)*Calc!$K$3:$K$22*(Calc!$G$3:$G$22&gt;A427)*(Calc!$G$3:$G$22-A427))</f>
        <v/>
      </c>
      <c r="E427">
        <f>SUMPRODUCT((Calc!$F$3:$F$22&lt;=LTP!$B$5)*Calc!$K$3:$K$22*(Calc!$G$3:$G$22&gt;A427)*(Calc!$G$3:$G$22-A427)^2)</f>
        <v/>
      </c>
      <c r="F427">
        <f>SUMPRODUCT((Calc!$F$3:$F$22&lt;=LTP!$B$5)*Calc!$K$3:$K$22*(Calc!$G$3:$G$22&gt;A427)*(Calc!$G$3:$G$22-A427)*Calc!$G$3:$G$22)</f>
        <v/>
      </c>
      <c r="G427">
        <f>SUMPRODUCT((Calc!$F$3:$F$22&lt;=LTP!$B$5)*Calc!$K$3:$K$22*(Calc!$G$3:$G$22&gt;A427)*(Calc!$G$3:$G$22-A427)*Calc!$I$3:$I$22)</f>
        <v/>
      </c>
      <c r="H427">
        <f>IF($B$11&gt;0,F427-$C$11*D427/$B$11,0)</f>
        <v/>
      </c>
      <c r="I427">
        <f>IF($B$11&gt;0,E427-D427^2/$B$11,0)</f>
        <v/>
      </c>
      <c r="J427">
        <f>IF($B$11&gt;0,G427-D427*$D$11/$B$11,0)</f>
        <v/>
      </c>
      <c r="K427">
        <f>$H$11*I427-H427^2</f>
        <v/>
      </c>
      <c r="L427">
        <f>IF(ABS(K427)&gt;1E-12,($H$11*J427-H427*$I$11)/K427,0)</f>
        <v/>
      </c>
      <c r="M427">
        <f>IF(ABS(K427)&gt;1E-12,(I427*$I$11-H427*J427)/K427,0)</f>
        <v/>
      </c>
      <c r="N427">
        <f>$J$11-M427*$I$11-L427*J427</f>
        <v/>
      </c>
      <c r="O427">
        <f>IF(AND(C427,ABS(K427)&gt;1E-12,L427&gt;0),N427,1E+300)</f>
        <v/>
      </c>
    </row>
    <row r="428">
      <c r="A428">
        <f>$B$416-($L$11-$K$11)/400+2*($L$11-$K$11)/400*9/40</f>
        <v/>
      </c>
      <c r="B428">
        <f>SUMPRODUCT((Calc!$F$3:$F$22&lt;=LTP!$B$5)*Calc!$K$3:$K$22*(Calc!$G$3:$G$22&lt;=A428))</f>
        <v/>
      </c>
      <c r="C428">
        <f>AND(B428&gt;=2,$B$11-B428&gt;=2)</f>
        <v/>
      </c>
      <c r="D428">
        <f>SUMPRODUCT((Calc!$F$3:$F$22&lt;=LTP!$B$5)*Calc!$K$3:$K$22*(Calc!$G$3:$G$22&gt;A428)*(Calc!$G$3:$G$22-A428))</f>
        <v/>
      </c>
      <c r="E428">
        <f>SUMPRODUCT((Calc!$F$3:$F$22&lt;=LTP!$B$5)*Calc!$K$3:$K$22*(Calc!$G$3:$G$22&gt;A428)*(Calc!$G$3:$G$22-A428)^2)</f>
        <v/>
      </c>
      <c r="F428">
        <f>SUMPRODUCT((Calc!$F$3:$F$22&lt;=LTP!$B$5)*Calc!$K$3:$K$22*(Calc!$G$3:$G$22&gt;A428)*(Calc!$G$3:$G$22-A428)*Calc!$G$3:$G$22)</f>
        <v/>
      </c>
      <c r="G428">
        <f>SUMPRODUCT((Calc!$F$3:$F$22&lt;=LTP!$B$5)*Calc!$K$3:$K$22*(Calc!$G$3:$G$22&gt;A428)*(Calc!$G$3:$G$22-A428)*Calc!$I$3:$I$22)</f>
        <v/>
      </c>
      <c r="H428">
        <f>IF($B$11&gt;0,F428-$C$11*D428/$B$11,0)</f>
        <v/>
      </c>
      <c r="I428">
        <f>IF($B$11&gt;0,E428-D428^2/$B$11,0)</f>
        <v/>
      </c>
      <c r="J428">
        <f>IF($B$11&gt;0,G428-D428*$D$11/$B$11,0)</f>
        <v/>
      </c>
      <c r="K428">
        <f>$H$11*I428-H428^2</f>
        <v/>
      </c>
      <c r="L428">
        <f>IF(ABS(K428)&gt;1E-12,($H$11*J428-H428*$I$11)/K428,0)</f>
        <v/>
      </c>
      <c r="M428">
        <f>IF(ABS(K428)&gt;1E-12,(I428*$I$11-H428*J428)/K428,0)</f>
        <v/>
      </c>
      <c r="N428">
        <f>$J$11-M428*$I$11-L428*J428</f>
        <v/>
      </c>
      <c r="O428">
        <f>IF(AND(C428,ABS(K428)&gt;1E-12,L428&gt;0),N428,1E+300)</f>
        <v/>
      </c>
    </row>
    <row r="429">
      <c r="A429">
        <f>$B$416-($L$11-$K$11)/400+2*($L$11-$K$11)/400*10/40</f>
        <v/>
      </c>
      <c r="B429">
        <f>SUMPRODUCT((Calc!$F$3:$F$22&lt;=LTP!$B$5)*Calc!$K$3:$K$22*(Calc!$G$3:$G$22&lt;=A429))</f>
        <v/>
      </c>
      <c r="C429">
        <f>AND(B429&gt;=2,$B$11-B429&gt;=2)</f>
        <v/>
      </c>
      <c r="D429">
        <f>SUMPRODUCT((Calc!$F$3:$F$22&lt;=LTP!$B$5)*Calc!$K$3:$K$22*(Calc!$G$3:$G$22&gt;A429)*(Calc!$G$3:$G$22-A429))</f>
        <v/>
      </c>
      <c r="E429">
        <f>SUMPRODUCT((Calc!$F$3:$F$22&lt;=LTP!$B$5)*Calc!$K$3:$K$22*(Calc!$G$3:$G$22&gt;A429)*(Calc!$G$3:$G$22-A429)^2)</f>
        <v/>
      </c>
      <c r="F429">
        <f>SUMPRODUCT((Calc!$F$3:$F$22&lt;=LTP!$B$5)*Calc!$K$3:$K$22*(Calc!$G$3:$G$22&gt;A429)*(Calc!$G$3:$G$22-A429)*Calc!$G$3:$G$22)</f>
        <v/>
      </c>
      <c r="G429">
        <f>SUMPRODUCT((Calc!$F$3:$F$22&lt;=LTP!$B$5)*Calc!$K$3:$K$22*(Calc!$G$3:$G$22&gt;A429)*(Calc!$G$3:$G$22-A429)*Calc!$I$3:$I$22)</f>
        <v/>
      </c>
      <c r="H429">
        <f>IF($B$11&gt;0,F429-$C$11*D429/$B$11,0)</f>
        <v/>
      </c>
      <c r="I429">
        <f>IF($B$11&gt;0,E429-D429^2/$B$11,0)</f>
        <v/>
      </c>
      <c r="J429">
        <f>IF($B$11&gt;0,G429-D429*$D$11/$B$11,0)</f>
        <v/>
      </c>
      <c r="K429">
        <f>$H$11*I429-H429^2</f>
        <v/>
      </c>
      <c r="L429">
        <f>IF(ABS(K429)&gt;1E-12,($H$11*J429-H429*$I$11)/K429,0)</f>
        <v/>
      </c>
      <c r="M429">
        <f>IF(ABS(K429)&gt;1E-12,(I429*$I$11-H429*J429)/K429,0)</f>
        <v/>
      </c>
      <c r="N429">
        <f>$J$11-M429*$I$11-L429*J429</f>
        <v/>
      </c>
      <c r="O429">
        <f>IF(AND(C429,ABS(K429)&gt;1E-12,L429&gt;0),N429,1E+300)</f>
        <v/>
      </c>
    </row>
    <row r="430">
      <c r="A430">
        <f>$B$416-($L$11-$K$11)/400+2*($L$11-$K$11)/400*11/40</f>
        <v/>
      </c>
      <c r="B430">
        <f>SUMPRODUCT((Calc!$F$3:$F$22&lt;=LTP!$B$5)*Calc!$K$3:$K$22*(Calc!$G$3:$G$22&lt;=A430))</f>
        <v/>
      </c>
      <c r="C430">
        <f>AND(B430&gt;=2,$B$11-B430&gt;=2)</f>
        <v/>
      </c>
      <c r="D430">
        <f>SUMPRODUCT((Calc!$F$3:$F$22&lt;=LTP!$B$5)*Calc!$K$3:$K$22*(Calc!$G$3:$G$22&gt;A430)*(Calc!$G$3:$G$22-A430))</f>
        <v/>
      </c>
      <c r="E430">
        <f>SUMPRODUCT((Calc!$F$3:$F$22&lt;=LTP!$B$5)*Calc!$K$3:$K$22*(Calc!$G$3:$G$22&gt;A430)*(Calc!$G$3:$G$22-A430)^2)</f>
        <v/>
      </c>
      <c r="F430">
        <f>SUMPRODUCT((Calc!$F$3:$F$22&lt;=LTP!$B$5)*Calc!$K$3:$K$22*(Calc!$G$3:$G$22&gt;A430)*(Calc!$G$3:$G$22-A430)*Calc!$G$3:$G$22)</f>
        <v/>
      </c>
      <c r="G430">
        <f>SUMPRODUCT((Calc!$F$3:$F$22&lt;=LTP!$B$5)*Calc!$K$3:$K$22*(Calc!$G$3:$G$22&gt;A430)*(Calc!$G$3:$G$22-A430)*Calc!$I$3:$I$22)</f>
        <v/>
      </c>
      <c r="H430">
        <f>IF($B$11&gt;0,F430-$C$11*D430/$B$11,0)</f>
        <v/>
      </c>
      <c r="I430">
        <f>IF($B$11&gt;0,E430-D430^2/$B$11,0)</f>
        <v/>
      </c>
      <c r="J430">
        <f>IF($B$11&gt;0,G430-D430*$D$11/$B$11,0)</f>
        <v/>
      </c>
      <c r="K430">
        <f>$H$11*I430-H430^2</f>
        <v/>
      </c>
      <c r="L430">
        <f>IF(ABS(K430)&gt;1E-12,($H$11*J430-H430*$I$11)/K430,0)</f>
        <v/>
      </c>
      <c r="M430">
        <f>IF(ABS(K430)&gt;1E-12,(I430*$I$11-H430*J430)/K430,0)</f>
        <v/>
      </c>
      <c r="N430">
        <f>$J$11-M430*$I$11-L430*J430</f>
        <v/>
      </c>
      <c r="O430">
        <f>IF(AND(C430,ABS(K430)&gt;1E-12,L430&gt;0),N430,1E+300)</f>
        <v/>
      </c>
    </row>
    <row r="431">
      <c r="A431">
        <f>$B$416-($L$11-$K$11)/400+2*($L$11-$K$11)/400*12/40</f>
        <v/>
      </c>
      <c r="B431">
        <f>SUMPRODUCT((Calc!$F$3:$F$22&lt;=LTP!$B$5)*Calc!$K$3:$K$22*(Calc!$G$3:$G$22&lt;=A431))</f>
        <v/>
      </c>
      <c r="C431">
        <f>AND(B431&gt;=2,$B$11-B431&gt;=2)</f>
        <v/>
      </c>
      <c r="D431">
        <f>SUMPRODUCT((Calc!$F$3:$F$22&lt;=LTP!$B$5)*Calc!$K$3:$K$22*(Calc!$G$3:$G$22&gt;A431)*(Calc!$G$3:$G$22-A431))</f>
        <v/>
      </c>
      <c r="E431">
        <f>SUMPRODUCT((Calc!$F$3:$F$22&lt;=LTP!$B$5)*Calc!$K$3:$K$22*(Calc!$G$3:$G$22&gt;A431)*(Calc!$G$3:$G$22-A431)^2)</f>
        <v/>
      </c>
      <c r="F431">
        <f>SUMPRODUCT((Calc!$F$3:$F$22&lt;=LTP!$B$5)*Calc!$K$3:$K$22*(Calc!$G$3:$G$22&gt;A431)*(Calc!$G$3:$G$22-A431)*Calc!$G$3:$G$22)</f>
        <v/>
      </c>
      <c r="G431">
        <f>SUMPRODUCT((Calc!$F$3:$F$22&lt;=LTP!$B$5)*Calc!$K$3:$K$22*(Calc!$G$3:$G$22&gt;A431)*(Calc!$G$3:$G$22-A431)*Calc!$I$3:$I$22)</f>
        <v/>
      </c>
      <c r="H431">
        <f>IF($B$11&gt;0,F431-$C$11*D431/$B$11,0)</f>
        <v/>
      </c>
      <c r="I431">
        <f>IF($B$11&gt;0,E431-D431^2/$B$11,0)</f>
        <v/>
      </c>
      <c r="J431">
        <f>IF($B$11&gt;0,G431-D431*$D$11/$B$11,0)</f>
        <v/>
      </c>
      <c r="K431">
        <f>$H$11*I431-H431^2</f>
        <v/>
      </c>
      <c r="L431">
        <f>IF(ABS(K431)&gt;1E-12,($H$11*J431-H431*$I$11)/K431,0)</f>
        <v/>
      </c>
      <c r="M431">
        <f>IF(ABS(K431)&gt;1E-12,(I431*$I$11-H431*J431)/K431,0)</f>
        <v/>
      </c>
      <c r="N431">
        <f>$J$11-M431*$I$11-L431*J431</f>
        <v/>
      </c>
      <c r="O431">
        <f>IF(AND(C431,ABS(K431)&gt;1E-12,L431&gt;0),N431,1E+300)</f>
        <v/>
      </c>
    </row>
    <row r="432">
      <c r="A432">
        <f>$B$416-($L$11-$K$11)/400+2*($L$11-$K$11)/400*13/40</f>
        <v/>
      </c>
      <c r="B432">
        <f>SUMPRODUCT((Calc!$F$3:$F$22&lt;=LTP!$B$5)*Calc!$K$3:$K$22*(Calc!$G$3:$G$22&lt;=A432))</f>
        <v/>
      </c>
      <c r="C432">
        <f>AND(B432&gt;=2,$B$11-B432&gt;=2)</f>
        <v/>
      </c>
      <c r="D432">
        <f>SUMPRODUCT((Calc!$F$3:$F$22&lt;=LTP!$B$5)*Calc!$K$3:$K$22*(Calc!$G$3:$G$22&gt;A432)*(Calc!$G$3:$G$22-A432))</f>
        <v/>
      </c>
      <c r="E432">
        <f>SUMPRODUCT((Calc!$F$3:$F$22&lt;=LTP!$B$5)*Calc!$K$3:$K$22*(Calc!$G$3:$G$22&gt;A432)*(Calc!$G$3:$G$22-A432)^2)</f>
        <v/>
      </c>
      <c r="F432">
        <f>SUMPRODUCT((Calc!$F$3:$F$22&lt;=LTP!$B$5)*Calc!$K$3:$K$22*(Calc!$G$3:$G$22&gt;A432)*(Calc!$G$3:$G$22-A432)*Calc!$G$3:$G$22)</f>
        <v/>
      </c>
      <c r="G432">
        <f>SUMPRODUCT((Calc!$F$3:$F$22&lt;=LTP!$B$5)*Calc!$K$3:$K$22*(Calc!$G$3:$G$22&gt;A432)*(Calc!$G$3:$G$22-A432)*Calc!$I$3:$I$22)</f>
        <v/>
      </c>
      <c r="H432">
        <f>IF($B$11&gt;0,F432-$C$11*D432/$B$11,0)</f>
        <v/>
      </c>
      <c r="I432">
        <f>IF($B$11&gt;0,E432-D432^2/$B$11,0)</f>
        <v/>
      </c>
      <c r="J432">
        <f>IF($B$11&gt;0,G432-D432*$D$11/$B$11,0)</f>
        <v/>
      </c>
      <c r="K432">
        <f>$H$11*I432-H432^2</f>
        <v/>
      </c>
      <c r="L432">
        <f>IF(ABS(K432)&gt;1E-12,($H$11*J432-H432*$I$11)/K432,0)</f>
        <v/>
      </c>
      <c r="M432">
        <f>IF(ABS(K432)&gt;1E-12,(I432*$I$11-H432*J432)/K432,0)</f>
        <v/>
      </c>
      <c r="N432">
        <f>$J$11-M432*$I$11-L432*J432</f>
        <v/>
      </c>
      <c r="O432">
        <f>IF(AND(C432,ABS(K432)&gt;1E-12,L432&gt;0),N432,1E+300)</f>
        <v/>
      </c>
    </row>
    <row r="433">
      <c r="A433">
        <f>$B$416-($L$11-$K$11)/400+2*($L$11-$K$11)/400*14/40</f>
        <v/>
      </c>
      <c r="B433">
        <f>SUMPRODUCT((Calc!$F$3:$F$22&lt;=LTP!$B$5)*Calc!$K$3:$K$22*(Calc!$G$3:$G$22&lt;=A433))</f>
        <v/>
      </c>
      <c r="C433">
        <f>AND(B433&gt;=2,$B$11-B433&gt;=2)</f>
        <v/>
      </c>
      <c r="D433">
        <f>SUMPRODUCT((Calc!$F$3:$F$22&lt;=LTP!$B$5)*Calc!$K$3:$K$22*(Calc!$G$3:$G$22&gt;A433)*(Calc!$G$3:$G$22-A433))</f>
        <v/>
      </c>
      <c r="E433">
        <f>SUMPRODUCT((Calc!$F$3:$F$22&lt;=LTP!$B$5)*Calc!$K$3:$K$22*(Calc!$G$3:$G$22&gt;A433)*(Calc!$G$3:$G$22-A433)^2)</f>
        <v/>
      </c>
      <c r="F433">
        <f>SUMPRODUCT((Calc!$F$3:$F$22&lt;=LTP!$B$5)*Calc!$K$3:$K$22*(Calc!$G$3:$G$22&gt;A433)*(Calc!$G$3:$G$22-A433)*Calc!$G$3:$G$22)</f>
        <v/>
      </c>
      <c r="G433">
        <f>SUMPRODUCT((Calc!$F$3:$F$22&lt;=LTP!$B$5)*Calc!$K$3:$K$22*(Calc!$G$3:$G$22&gt;A433)*(Calc!$G$3:$G$22-A433)*Calc!$I$3:$I$22)</f>
        <v/>
      </c>
      <c r="H433">
        <f>IF($B$11&gt;0,F433-$C$11*D433/$B$11,0)</f>
        <v/>
      </c>
      <c r="I433">
        <f>IF($B$11&gt;0,E433-D433^2/$B$11,0)</f>
        <v/>
      </c>
      <c r="J433">
        <f>IF($B$11&gt;0,G433-D433*$D$11/$B$11,0)</f>
        <v/>
      </c>
      <c r="K433">
        <f>$H$11*I433-H433^2</f>
        <v/>
      </c>
      <c r="L433">
        <f>IF(ABS(K433)&gt;1E-12,($H$11*J433-H433*$I$11)/K433,0)</f>
        <v/>
      </c>
      <c r="M433">
        <f>IF(ABS(K433)&gt;1E-12,(I433*$I$11-H433*J433)/K433,0)</f>
        <v/>
      </c>
      <c r="N433">
        <f>$J$11-M433*$I$11-L433*J433</f>
        <v/>
      </c>
      <c r="O433">
        <f>IF(AND(C433,ABS(K433)&gt;1E-12,L433&gt;0),N433,1E+300)</f>
        <v/>
      </c>
    </row>
    <row r="434">
      <c r="A434">
        <f>$B$416-($L$11-$K$11)/400+2*($L$11-$K$11)/400*15/40</f>
        <v/>
      </c>
      <c r="B434">
        <f>SUMPRODUCT((Calc!$F$3:$F$22&lt;=LTP!$B$5)*Calc!$K$3:$K$22*(Calc!$G$3:$G$22&lt;=A434))</f>
        <v/>
      </c>
      <c r="C434">
        <f>AND(B434&gt;=2,$B$11-B434&gt;=2)</f>
        <v/>
      </c>
      <c r="D434">
        <f>SUMPRODUCT((Calc!$F$3:$F$22&lt;=LTP!$B$5)*Calc!$K$3:$K$22*(Calc!$G$3:$G$22&gt;A434)*(Calc!$G$3:$G$22-A434))</f>
        <v/>
      </c>
      <c r="E434">
        <f>SUMPRODUCT((Calc!$F$3:$F$22&lt;=LTP!$B$5)*Calc!$K$3:$K$22*(Calc!$G$3:$G$22&gt;A434)*(Calc!$G$3:$G$22-A434)^2)</f>
        <v/>
      </c>
      <c r="F434">
        <f>SUMPRODUCT((Calc!$F$3:$F$22&lt;=LTP!$B$5)*Calc!$K$3:$K$22*(Calc!$G$3:$G$22&gt;A434)*(Calc!$G$3:$G$22-A434)*Calc!$G$3:$G$22)</f>
        <v/>
      </c>
      <c r="G434">
        <f>SUMPRODUCT((Calc!$F$3:$F$22&lt;=LTP!$B$5)*Calc!$K$3:$K$22*(Calc!$G$3:$G$22&gt;A434)*(Calc!$G$3:$G$22-A434)*Calc!$I$3:$I$22)</f>
        <v/>
      </c>
      <c r="H434">
        <f>IF($B$11&gt;0,F434-$C$11*D434/$B$11,0)</f>
        <v/>
      </c>
      <c r="I434">
        <f>IF($B$11&gt;0,E434-D434^2/$B$11,0)</f>
        <v/>
      </c>
      <c r="J434">
        <f>IF($B$11&gt;0,G434-D434*$D$11/$B$11,0)</f>
        <v/>
      </c>
      <c r="K434">
        <f>$H$11*I434-H434^2</f>
        <v/>
      </c>
      <c r="L434">
        <f>IF(ABS(K434)&gt;1E-12,($H$11*J434-H434*$I$11)/K434,0)</f>
        <v/>
      </c>
      <c r="M434">
        <f>IF(ABS(K434)&gt;1E-12,(I434*$I$11-H434*J434)/K434,0)</f>
        <v/>
      </c>
      <c r="N434">
        <f>$J$11-M434*$I$11-L434*J434</f>
        <v/>
      </c>
      <c r="O434">
        <f>IF(AND(C434,ABS(K434)&gt;1E-12,L434&gt;0),N434,1E+300)</f>
        <v/>
      </c>
    </row>
    <row r="435">
      <c r="A435">
        <f>$B$416-($L$11-$K$11)/400+2*($L$11-$K$11)/400*16/40</f>
        <v/>
      </c>
      <c r="B435">
        <f>SUMPRODUCT((Calc!$F$3:$F$22&lt;=LTP!$B$5)*Calc!$K$3:$K$22*(Calc!$G$3:$G$22&lt;=A435))</f>
        <v/>
      </c>
      <c r="C435">
        <f>AND(B435&gt;=2,$B$11-B435&gt;=2)</f>
        <v/>
      </c>
      <c r="D435">
        <f>SUMPRODUCT((Calc!$F$3:$F$22&lt;=LTP!$B$5)*Calc!$K$3:$K$22*(Calc!$G$3:$G$22&gt;A435)*(Calc!$G$3:$G$22-A435))</f>
        <v/>
      </c>
      <c r="E435">
        <f>SUMPRODUCT((Calc!$F$3:$F$22&lt;=LTP!$B$5)*Calc!$K$3:$K$22*(Calc!$G$3:$G$22&gt;A435)*(Calc!$G$3:$G$22-A435)^2)</f>
        <v/>
      </c>
      <c r="F435">
        <f>SUMPRODUCT((Calc!$F$3:$F$22&lt;=LTP!$B$5)*Calc!$K$3:$K$22*(Calc!$G$3:$G$22&gt;A435)*(Calc!$G$3:$G$22-A435)*Calc!$G$3:$G$22)</f>
        <v/>
      </c>
      <c r="G435">
        <f>SUMPRODUCT((Calc!$F$3:$F$22&lt;=LTP!$B$5)*Calc!$K$3:$K$22*(Calc!$G$3:$G$22&gt;A435)*(Calc!$G$3:$G$22-A435)*Calc!$I$3:$I$22)</f>
        <v/>
      </c>
      <c r="H435">
        <f>IF($B$11&gt;0,F435-$C$11*D435/$B$11,0)</f>
        <v/>
      </c>
      <c r="I435">
        <f>IF($B$11&gt;0,E435-D435^2/$B$11,0)</f>
        <v/>
      </c>
      <c r="J435">
        <f>IF($B$11&gt;0,G435-D435*$D$11/$B$11,0)</f>
        <v/>
      </c>
      <c r="K435">
        <f>$H$11*I435-H435^2</f>
        <v/>
      </c>
      <c r="L435">
        <f>IF(ABS(K435)&gt;1E-12,($H$11*J435-H435*$I$11)/K435,0)</f>
        <v/>
      </c>
      <c r="M435">
        <f>IF(ABS(K435)&gt;1E-12,(I435*$I$11-H435*J435)/K435,0)</f>
        <v/>
      </c>
      <c r="N435">
        <f>$J$11-M435*$I$11-L435*J435</f>
        <v/>
      </c>
      <c r="O435">
        <f>IF(AND(C435,ABS(K435)&gt;1E-12,L435&gt;0),N435,1E+300)</f>
        <v/>
      </c>
    </row>
    <row r="436">
      <c r="A436">
        <f>$B$416-($L$11-$K$11)/400+2*($L$11-$K$11)/400*17/40</f>
        <v/>
      </c>
      <c r="B436">
        <f>SUMPRODUCT((Calc!$F$3:$F$22&lt;=LTP!$B$5)*Calc!$K$3:$K$22*(Calc!$G$3:$G$22&lt;=A436))</f>
        <v/>
      </c>
      <c r="C436">
        <f>AND(B436&gt;=2,$B$11-B436&gt;=2)</f>
        <v/>
      </c>
      <c r="D436">
        <f>SUMPRODUCT((Calc!$F$3:$F$22&lt;=LTP!$B$5)*Calc!$K$3:$K$22*(Calc!$G$3:$G$22&gt;A436)*(Calc!$G$3:$G$22-A436))</f>
        <v/>
      </c>
      <c r="E436">
        <f>SUMPRODUCT((Calc!$F$3:$F$22&lt;=LTP!$B$5)*Calc!$K$3:$K$22*(Calc!$G$3:$G$22&gt;A436)*(Calc!$G$3:$G$22-A436)^2)</f>
        <v/>
      </c>
      <c r="F436">
        <f>SUMPRODUCT((Calc!$F$3:$F$22&lt;=LTP!$B$5)*Calc!$K$3:$K$22*(Calc!$G$3:$G$22&gt;A436)*(Calc!$G$3:$G$22-A436)*Calc!$G$3:$G$22)</f>
        <v/>
      </c>
      <c r="G436">
        <f>SUMPRODUCT((Calc!$F$3:$F$22&lt;=LTP!$B$5)*Calc!$K$3:$K$22*(Calc!$G$3:$G$22&gt;A436)*(Calc!$G$3:$G$22-A436)*Calc!$I$3:$I$22)</f>
        <v/>
      </c>
      <c r="H436">
        <f>IF($B$11&gt;0,F436-$C$11*D436/$B$11,0)</f>
        <v/>
      </c>
      <c r="I436">
        <f>IF($B$11&gt;0,E436-D436^2/$B$11,0)</f>
        <v/>
      </c>
      <c r="J436">
        <f>IF($B$11&gt;0,G436-D436*$D$11/$B$11,0)</f>
        <v/>
      </c>
      <c r="K436">
        <f>$H$11*I436-H436^2</f>
        <v/>
      </c>
      <c r="L436">
        <f>IF(ABS(K436)&gt;1E-12,($H$11*J436-H436*$I$11)/K436,0)</f>
        <v/>
      </c>
      <c r="M436">
        <f>IF(ABS(K436)&gt;1E-12,(I436*$I$11-H436*J436)/K436,0)</f>
        <v/>
      </c>
      <c r="N436">
        <f>$J$11-M436*$I$11-L436*J436</f>
        <v/>
      </c>
      <c r="O436">
        <f>IF(AND(C436,ABS(K436)&gt;1E-12,L436&gt;0),N436,1E+300)</f>
        <v/>
      </c>
    </row>
    <row r="437">
      <c r="A437">
        <f>$B$416-($L$11-$K$11)/400+2*($L$11-$K$11)/400*18/40</f>
        <v/>
      </c>
      <c r="B437">
        <f>SUMPRODUCT((Calc!$F$3:$F$22&lt;=LTP!$B$5)*Calc!$K$3:$K$22*(Calc!$G$3:$G$22&lt;=A437))</f>
        <v/>
      </c>
      <c r="C437">
        <f>AND(B437&gt;=2,$B$11-B437&gt;=2)</f>
        <v/>
      </c>
      <c r="D437">
        <f>SUMPRODUCT((Calc!$F$3:$F$22&lt;=LTP!$B$5)*Calc!$K$3:$K$22*(Calc!$G$3:$G$22&gt;A437)*(Calc!$G$3:$G$22-A437))</f>
        <v/>
      </c>
      <c r="E437">
        <f>SUMPRODUCT((Calc!$F$3:$F$22&lt;=LTP!$B$5)*Calc!$K$3:$K$22*(Calc!$G$3:$G$22&gt;A437)*(Calc!$G$3:$G$22-A437)^2)</f>
        <v/>
      </c>
      <c r="F437">
        <f>SUMPRODUCT((Calc!$F$3:$F$22&lt;=LTP!$B$5)*Calc!$K$3:$K$22*(Calc!$G$3:$G$22&gt;A437)*(Calc!$G$3:$G$22-A437)*Calc!$G$3:$G$22)</f>
        <v/>
      </c>
      <c r="G437">
        <f>SUMPRODUCT((Calc!$F$3:$F$22&lt;=LTP!$B$5)*Calc!$K$3:$K$22*(Calc!$G$3:$G$22&gt;A437)*(Calc!$G$3:$G$22-A437)*Calc!$I$3:$I$22)</f>
        <v/>
      </c>
      <c r="H437">
        <f>IF($B$11&gt;0,F437-$C$11*D437/$B$11,0)</f>
        <v/>
      </c>
      <c r="I437">
        <f>IF($B$11&gt;0,E437-D437^2/$B$11,0)</f>
        <v/>
      </c>
      <c r="J437">
        <f>IF($B$11&gt;0,G437-D437*$D$11/$B$11,0)</f>
        <v/>
      </c>
      <c r="K437">
        <f>$H$11*I437-H437^2</f>
        <v/>
      </c>
      <c r="L437">
        <f>IF(ABS(K437)&gt;1E-12,($H$11*J437-H437*$I$11)/K437,0)</f>
        <v/>
      </c>
      <c r="M437">
        <f>IF(ABS(K437)&gt;1E-12,(I437*$I$11-H437*J437)/K437,0)</f>
        <v/>
      </c>
      <c r="N437">
        <f>$J$11-M437*$I$11-L437*J437</f>
        <v/>
      </c>
      <c r="O437">
        <f>IF(AND(C437,ABS(K437)&gt;1E-12,L437&gt;0),N437,1E+300)</f>
        <v/>
      </c>
    </row>
    <row r="438">
      <c r="A438">
        <f>$B$416-($L$11-$K$11)/400+2*($L$11-$K$11)/400*19/40</f>
        <v/>
      </c>
      <c r="B438">
        <f>SUMPRODUCT((Calc!$F$3:$F$22&lt;=LTP!$B$5)*Calc!$K$3:$K$22*(Calc!$G$3:$G$22&lt;=A438))</f>
        <v/>
      </c>
      <c r="C438">
        <f>AND(B438&gt;=2,$B$11-B438&gt;=2)</f>
        <v/>
      </c>
      <c r="D438">
        <f>SUMPRODUCT((Calc!$F$3:$F$22&lt;=LTP!$B$5)*Calc!$K$3:$K$22*(Calc!$G$3:$G$22&gt;A438)*(Calc!$G$3:$G$22-A438))</f>
        <v/>
      </c>
      <c r="E438">
        <f>SUMPRODUCT((Calc!$F$3:$F$22&lt;=LTP!$B$5)*Calc!$K$3:$K$22*(Calc!$G$3:$G$22&gt;A438)*(Calc!$G$3:$G$22-A438)^2)</f>
        <v/>
      </c>
      <c r="F438">
        <f>SUMPRODUCT((Calc!$F$3:$F$22&lt;=LTP!$B$5)*Calc!$K$3:$K$22*(Calc!$G$3:$G$22&gt;A438)*(Calc!$G$3:$G$22-A438)*Calc!$G$3:$G$22)</f>
        <v/>
      </c>
      <c r="G438">
        <f>SUMPRODUCT((Calc!$F$3:$F$22&lt;=LTP!$B$5)*Calc!$K$3:$K$22*(Calc!$G$3:$G$22&gt;A438)*(Calc!$G$3:$G$22-A438)*Calc!$I$3:$I$22)</f>
        <v/>
      </c>
      <c r="H438">
        <f>IF($B$11&gt;0,F438-$C$11*D438/$B$11,0)</f>
        <v/>
      </c>
      <c r="I438">
        <f>IF($B$11&gt;0,E438-D438^2/$B$11,0)</f>
        <v/>
      </c>
      <c r="J438">
        <f>IF($B$11&gt;0,G438-D438*$D$11/$B$11,0)</f>
        <v/>
      </c>
      <c r="K438">
        <f>$H$11*I438-H438^2</f>
        <v/>
      </c>
      <c r="L438">
        <f>IF(ABS(K438)&gt;1E-12,($H$11*J438-H438*$I$11)/K438,0)</f>
        <v/>
      </c>
      <c r="M438">
        <f>IF(ABS(K438)&gt;1E-12,(I438*$I$11-H438*J438)/K438,0)</f>
        <v/>
      </c>
      <c r="N438">
        <f>$J$11-M438*$I$11-L438*J438</f>
        <v/>
      </c>
      <c r="O438">
        <f>IF(AND(C438,ABS(K438)&gt;1E-12,L438&gt;0),N438,1E+300)</f>
        <v/>
      </c>
    </row>
    <row r="439">
      <c r="A439">
        <f>$B$416-($L$11-$K$11)/400+2*($L$11-$K$11)/400*20/40</f>
        <v/>
      </c>
      <c r="B439">
        <f>SUMPRODUCT((Calc!$F$3:$F$22&lt;=LTP!$B$5)*Calc!$K$3:$K$22*(Calc!$G$3:$G$22&lt;=A439))</f>
        <v/>
      </c>
      <c r="C439">
        <f>AND(B439&gt;=2,$B$11-B439&gt;=2)</f>
        <v/>
      </c>
      <c r="D439">
        <f>SUMPRODUCT((Calc!$F$3:$F$22&lt;=LTP!$B$5)*Calc!$K$3:$K$22*(Calc!$G$3:$G$22&gt;A439)*(Calc!$G$3:$G$22-A439))</f>
        <v/>
      </c>
      <c r="E439">
        <f>SUMPRODUCT((Calc!$F$3:$F$22&lt;=LTP!$B$5)*Calc!$K$3:$K$22*(Calc!$G$3:$G$22&gt;A439)*(Calc!$G$3:$G$22-A439)^2)</f>
        <v/>
      </c>
      <c r="F439">
        <f>SUMPRODUCT((Calc!$F$3:$F$22&lt;=LTP!$B$5)*Calc!$K$3:$K$22*(Calc!$G$3:$G$22&gt;A439)*(Calc!$G$3:$G$22-A439)*Calc!$G$3:$G$22)</f>
        <v/>
      </c>
      <c r="G439">
        <f>SUMPRODUCT((Calc!$F$3:$F$22&lt;=LTP!$B$5)*Calc!$K$3:$K$22*(Calc!$G$3:$G$22&gt;A439)*(Calc!$G$3:$G$22-A439)*Calc!$I$3:$I$22)</f>
        <v/>
      </c>
      <c r="H439">
        <f>IF($B$11&gt;0,F439-$C$11*D439/$B$11,0)</f>
        <v/>
      </c>
      <c r="I439">
        <f>IF($B$11&gt;0,E439-D439^2/$B$11,0)</f>
        <v/>
      </c>
      <c r="J439">
        <f>IF($B$11&gt;0,G439-D439*$D$11/$B$11,0)</f>
        <v/>
      </c>
      <c r="K439">
        <f>$H$11*I439-H439^2</f>
        <v/>
      </c>
      <c r="L439">
        <f>IF(ABS(K439)&gt;1E-12,($H$11*J439-H439*$I$11)/K439,0)</f>
        <v/>
      </c>
      <c r="M439">
        <f>IF(ABS(K439)&gt;1E-12,(I439*$I$11-H439*J439)/K439,0)</f>
        <v/>
      </c>
      <c r="N439">
        <f>$J$11-M439*$I$11-L439*J439</f>
        <v/>
      </c>
      <c r="O439">
        <f>IF(AND(C439,ABS(K439)&gt;1E-12,L439&gt;0),N439,1E+300)</f>
        <v/>
      </c>
    </row>
    <row r="440">
      <c r="A440">
        <f>$B$416-($L$11-$K$11)/400+2*($L$11-$K$11)/400*21/40</f>
        <v/>
      </c>
      <c r="B440">
        <f>SUMPRODUCT((Calc!$F$3:$F$22&lt;=LTP!$B$5)*Calc!$K$3:$K$22*(Calc!$G$3:$G$22&lt;=A440))</f>
        <v/>
      </c>
      <c r="C440">
        <f>AND(B440&gt;=2,$B$11-B440&gt;=2)</f>
        <v/>
      </c>
      <c r="D440">
        <f>SUMPRODUCT((Calc!$F$3:$F$22&lt;=LTP!$B$5)*Calc!$K$3:$K$22*(Calc!$G$3:$G$22&gt;A440)*(Calc!$G$3:$G$22-A440))</f>
        <v/>
      </c>
      <c r="E440">
        <f>SUMPRODUCT((Calc!$F$3:$F$22&lt;=LTP!$B$5)*Calc!$K$3:$K$22*(Calc!$G$3:$G$22&gt;A440)*(Calc!$G$3:$G$22-A440)^2)</f>
        <v/>
      </c>
      <c r="F440">
        <f>SUMPRODUCT((Calc!$F$3:$F$22&lt;=LTP!$B$5)*Calc!$K$3:$K$22*(Calc!$G$3:$G$22&gt;A440)*(Calc!$G$3:$G$22-A440)*Calc!$G$3:$G$22)</f>
        <v/>
      </c>
      <c r="G440">
        <f>SUMPRODUCT((Calc!$F$3:$F$22&lt;=LTP!$B$5)*Calc!$K$3:$K$22*(Calc!$G$3:$G$22&gt;A440)*(Calc!$G$3:$G$22-A440)*Calc!$I$3:$I$22)</f>
        <v/>
      </c>
      <c r="H440">
        <f>IF($B$11&gt;0,F440-$C$11*D440/$B$11,0)</f>
        <v/>
      </c>
      <c r="I440">
        <f>IF($B$11&gt;0,E440-D440^2/$B$11,0)</f>
        <v/>
      </c>
      <c r="J440">
        <f>IF($B$11&gt;0,G440-D440*$D$11/$B$11,0)</f>
        <v/>
      </c>
      <c r="K440">
        <f>$H$11*I440-H440^2</f>
        <v/>
      </c>
      <c r="L440">
        <f>IF(ABS(K440)&gt;1E-12,($H$11*J440-H440*$I$11)/K440,0)</f>
        <v/>
      </c>
      <c r="M440">
        <f>IF(ABS(K440)&gt;1E-12,(I440*$I$11-H440*J440)/K440,0)</f>
        <v/>
      </c>
      <c r="N440">
        <f>$J$11-M440*$I$11-L440*J440</f>
        <v/>
      </c>
      <c r="O440">
        <f>IF(AND(C440,ABS(K440)&gt;1E-12,L440&gt;0),N440,1E+300)</f>
        <v/>
      </c>
    </row>
    <row r="441">
      <c r="A441">
        <f>$B$416-($L$11-$K$11)/400+2*($L$11-$K$11)/400*22/40</f>
        <v/>
      </c>
      <c r="B441">
        <f>SUMPRODUCT((Calc!$F$3:$F$22&lt;=LTP!$B$5)*Calc!$K$3:$K$22*(Calc!$G$3:$G$22&lt;=A441))</f>
        <v/>
      </c>
      <c r="C441">
        <f>AND(B441&gt;=2,$B$11-B441&gt;=2)</f>
        <v/>
      </c>
      <c r="D441">
        <f>SUMPRODUCT((Calc!$F$3:$F$22&lt;=LTP!$B$5)*Calc!$K$3:$K$22*(Calc!$G$3:$G$22&gt;A441)*(Calc!$G$3:$G$22-A441))</f>
        <v/>
      </c>
      <c r="E441">
        <f>SUMPRODUCT((Calc!$F$3:$F$22&lt;=LTP!$B$5)*Calc!$K$3:$K$22*(Calc!$G$3:$G$22&gt;A441)*(Calc!$G$3:$G$22-A441)^2)</f>
        <v/>
      </c>
      <c r="F441">
        <f>SUMPRODUCT((Calc!$F$3:$F$22&lt;=LTP!$B$5)*Calc!$K$3:$K$22*(Calc!$G$3:$G$22&gt;A441)*(Calc!$G$3:$G$22-A441)*Calc!$G$3:$G$22)</f>
        <v/>
      </c>
      <c r="G441">
        <f>SUMPRODUCT((Calc!$F$3:$F$22&lt;=LTP!$B$5)*Calc!$K$3:$K$22*(Calc!$G$3:$G$22&gt;A441)*(Calc!$G$3:$G$22-A441)*Calc!$I$3:$I$22)</f>
        <v/>
      </c>
      <c r="H441">
        <f>IF($B$11&gt;0,F441-$C$11*D441/$B$11,0)</f>
        <v/>
      </c>
      <c r="I441">
        <f>IF($B$11&gt;0,E441-D441^2/$B$11,0)</f>
        <v/>
      </c>
      <c r="J441">
        <f>IF($B$11&gt;0,G441-D441*$D$11/$B$11,0)</f>
        <v/>
      </c>
      <c r="K441">
        <f>$H$11*I441-H441^2</f>
        <v/>
      </c>
      <c r="L441">
        <f>IF(ABS(K441)&gt;1E-12,($H$11*J441-H441*$I$11)/K441,0)</f>
        <v/>
      </c>
      <c r="M441">
        <f>IF(ABS(K441)&gt;1E-12,(I441*$I$11-H441*J441)/K441,0)</f>
        <v/>
      </c>
      <c r="N441">
        <f>$J$11-M441*$I$11-L441*J441</f>
        <v/>
      </c>
      <c r="O441">
        <f>IF(AND(C441,ABS(K441)&gt;1E-12,L441&gt;0),N441,1E+300)</f>
        <v/>
      </c>
    </row>
    <row r="442">
      <c r="A442">
        <f>$B$416-($L$11-$K$11)/400+2*($L$11-$K$11)/400*23/40</f>
        <v/>
      </c>
      <c r="B442">
        <f>SUMPRODUCT((Calc!$F$3:$F$22&lt;=LTP!$B$5)*Calc!$K$3:$K$22*(Calc!$G$3:$G$22&lt;=A442))</f>
        <v/>
      </c>
      <c r="C442">
        <f>AND(B442&gt;=2,$B$11-B442&gt;=2)</f>
        <v/>
      </c>
      <c r="D442">
        <f>SUMPRODUCT((Calc!$F$3:$F$22&lt;=LTP!$B$5)*Calc!$K$3:$K$22*(Calc!$G$3:$G$22&gt;A442)*(Calc!$G$3:$G$22-A442))</f>
        <v/>
      </c>
      <c r="E442">
        <f>SUMPRODUCT((Calc!$F$3:$F$22&lt;=LTP!$B$5)*Calc!$K$3:$K$22*(Calc!$G$3:$G$22&gt;A442)*(Calc!$G$3:$G$22-A442)^2)</f>
        <v/>
      </c>
      <c r="F442">
        <f>SUMPRODUCT((Calc!$F$3:$F$22&lt;=LTP!$B$5)*Calc!$K$3:$K$22*(Calc!$G$3:$G$22&gt;A442)*(Calc!$G$3:$G$22-A442)*Calc!$G$3:$G$22)</f>
        <v/>
      </c>
      <c r="G442">
        <f>SUMPRODUCT((Calc!$F$3:$F$22&lt;=LTP!$B$5)*Calc!$K$3:$K$22*(Calc!$G$3:$G$22&gt;A442)*(Calc!$G$3:$G$22-A442)*Calc!$I$3:$I$22)</f>
        <v/>
      </c>
      <c r="H442">
        <f>IF($B$11&gt;0,F442-$C$11*D442/$B$11,0)</f>
        <v/>
      </c>
      <c r="I442">
        <f>IF($B$11&gt;0,E442-D442^2/$B$11,0)</f>
        <v/>
      </c>
      <c r="J442">
        <f>IF($B$11&gt;0,G442-D442*$D$11/$B$11,0)</f>
        <v/>
      </c>
      <c r="K442">
        <f>$H$11*I442-H442^2</f>
        <v/>
      </c>
      <c r="L442">
        <f>IF(ABS(K442)&gt;1E-12,($H$11*J442-H442*$I$11)/K442,0)</f>
        <v/>
      </c>
      <c r="M442">
        <f>IF(ABS(K442)&gt;1E-12,(I442*$I$11-H442*J442)/K442,0)</f>
        <v/>
      </c>
      <c r="N442">
        <f>$J$11-M442*$I$11-L442*J442</f>
        <v/>
      </c>
      <c r="O442">
        <f>IF(AND(C442,ABS(K442)&gt;1E-12,L442&gt;0),N442,1E+300)</f>
        <v/>
      </c>
    </row>
    <row r="443">
      <c r="A443">
        <f>$B$416-($L$11-$K$11)/400+2*($L$11-$K$11)/400*24/40</f>
        <v/>
      </c>
      <c r="B443">
        <f>SUMPRODUCT((Calc!$F$3:$F$22&lt;=LTP!$B$5)*Calc!$K$3:$K$22*(Calc!$G$3:$G$22&lt;=A443))</f>
        <v/>
      </c>
      <c r="C443">
        <f>AND(B443&gt;=2,$B$11-B443&gt;=2)</f>
        <v/>
      </c>
      <c r="D443">
        <f>SUMPRODUCT((Calc!$F$3:$F$22&lt;=LTP!$B$5)*Calc!$K$3:$K$22*(Calc!$G$3:$G$22&gt;A443)*(Calc!$G$3:$G$22-A443))</f>
        <v/>
      </c>
      <c r="E443">
        <f>SUMPRODUCT((Calc!$F$3:$F$22&lt;=LTP!$B$5)*Calc!$K$3:$K$22*(Calc!$G$3:$G$22&gt;A443)*(Calc!$G$3:$G$22-A443)^2)</f>
        <v/>
      </c>
      <c r="F443">
        <f>SUMPRODUCT((Calc!$F$3:$F$22&lt;=LTP!$B$5)*Calc!$K$3:$K$22*(Calc!$G$3:$G$22&gt;A443)*(Calc!$G$3:$G$22-A443)*Calc!$G$3:$G$22)</f>
        <v/>
      </c>
      <c r="G443">
        <f>SUMPRODUCT((Calc!$F$3:$F$22&lt;=LTP!$B$5)*Calc!$K$3:$K$22*(Calc!$G$3:$G$22&gt;A443)*(Calc!$G$3:$G$22-A443)*Calc!$I$3:$I$22)</f>
        <v/>
      </c>
      <c r="H443">
        <f>IF($B$11&gt;0,F443-$C$11*D443/$B$11,0)</f>
        <v/>
      </c>
      <c r="I443">
        <f>IF($B$11&gt;0,E443-D443^2/$B$11,0)</f>
        <v/>
      </c>
      <c r="J443">
        <f>IF($B$11&gt;0,G443-D443*$D$11/$B$11,0)</f>
        <v/>
      </c>
      <c r="K443">
        <f>$H$11*I443-H443^2</f>
        <v/>
      </c>
      <c r="L443">
        <f>IF(ABS(K443)&gt;1E-12,($H$11*J443-H443*$I$11)/K443,0)</f>
        <v/>
      </c>
      <c r="M443">
        <f>IF(ABS(K443)&gt;1E-12,(I443*$I$11-H443*J443)/K443,0)</f>
        <v/>
      </c>
      <c r="N443">
        <f>$J$11-M443*$I$11-L443*J443</f>
        <v/>
      </c>
      <c r="O443">
        <f>IF(AND(C443,ABS(K443)&gt;1E-12,L443&gt;0),N443,1E+300)</f>
        <v/>
      </c>
    </row>
    <row r="444">
      <c r="A444">
        <f>$B$416-($L$11-$K$11)/400+2*($L$11-$K$11)/400*25/40</f>
        <v/>
      </c>
      <c r="B444">
        <f>SUMPRODUCT((Calc!$F$3:$F$22&lt;=LTP!$B$5)*Calc!$K$3:$K$22*(Calc!$G$3:$G$22&lt;=A444))</f>
        <v/>
      </c>
      <c r="C444">
        <f>AND(B444&gt;=2,$B$11-B444&gt;=2)</f>
        <v/>
      </c>
      <c r="D444">
        <f>SUMPRODUCT((Calc!$F$3:$F$22&lt;=LTP!$B$5)*Calc!$K$3:$K$22*(Calc!$G$3:$G$22&gt;A444)*(Calc!$G$3:$G$22-A444))</f>
        <v/>
      </c>
      <c r="E444">
        <f>SUMPRODUCT((Calc!$F$3:$F$22&lt;=LTP!$B$5)*Calc!$K$3:$K$22*(Calc!$G$3:$G$22&gt;A444)*(Calc!$G$3:$G$22-A444)^2)</f>
        <v/>
      </c>
      <c r="F444">
        <f>SUMPRODUCT((Calc!$F$3:$F$22&lt;=LTP!$B$5)*Calc!$K$3:$K$22*(Calc!$G$3:$G$22&gt;A444)*(Calc!$G$3:$G$22-A444)*Calc!$G$3:$G$22)</f>
        <v/>
      </c>
      <c r="G444">
        <f>SUMPRODUCT((Calc!$F$3:$F$22&lt;=LTP!$B$5)*Calc!$K$3:$K$22*(Calc!$G$3:$G$22&gt;A444)*(Calc!$G$3:$G$22-A444)*Calc!$I$3:$I$22)</f>
        <v/>
      </c>
      <c r="H444">
        <f>IF($B$11&gt;0,F444-$C$11*D444/$B$11,0)</f>
        <v/>
      </c>
      <c r="I444">
        <f>IF($B$11&gt;0,E444-D444^2/$B$11,0)</f>
        <v/>
      </c>
      <c r="J444">
        <f>IF($B$11&gt;0,G444-D444*$D$11/$B$11,0)</f>
        <v/>
      </c>
      <c r="K444">
        <f>$H$11*I444-H444^2</f>
        <v/>
      </c>
      <c r="L444">
        <f>IF(ABS(K444)&gt;1E-12,($H$11*J444-H444*$I$11)/K444,0)</f>
        <v/>
      </c>
      <c r="M444">
        <f>IF(ABS(K444)&gt;1E-12,(I444*$I$11-H444*J444)/K444,0)</f>
        <v/>
      </c>
      <c r="N444">
        <f>$J$11-M444*$I$11-L444*J444</f>
        <v/>
      </c>
      <c r="O444">
        <f>IF(AND(C444,ABS(K444)&gt;1E-12,L444&gt;0),N444,1E+300)</f>
        <v/>
      </c>
    </row>
    <row r="445">
      <c r="A445">
        <f>$B$416-($L$11-$K$11)/400+2*($L$11-$K$11)/400*26/40</f>
        <v/>
      </c>
      <c r="B445">
        <f>SUMPRODUCT((Calc!$F$3:$F$22&lt;=LTP!$B$5)*Calc!$K$3:$K$22*(Calc!$G$3:$G$22&lt;=A445))</f>
        <v/>
      </c>
      <c r="C445">
        <f>AND(B445&gt;=2,$B$11-B445&gt;=2)</f>
        <v/>
      </c>
      <c r="D445">
        <f>SUMPRODUCT((Calc!$F$3:$F$22&lt;=LTP!$B$5)*Calc!$K$3:$K$22*(Calc!$G$3:$G$22&gt;A445)*(Calc!$G$3:$G$22-A445))</f>
        <v/>
      </c>
      <c r="E445">
        <f>SUMPRODUCT((Calc!$F$3:$F$22&lt;=LTP!$B$5)*Calc!$K$3:$K$22*(Calc!$G$3:$G$22&gt;A445)*(Calc!$G$3:$G$22-A445)^2)</f>
        <v/>
      </c>
      <c r="F445">
        <f>SUMPRODUCT((Calc!$F$3:$F$22&lt;=LTP!$B$5)*Calc!$K$3:$K$22*(Calc!$G$3:$G$22&gt;A445)*(Calc!$G$3:$G$22-A445)*Calc!$G$3:$G$22)</f>
        <v/>
      </c>
      <c r="G445">
        <f>SUMPRODUCT((Calc!$F$3:$F$22&lt;=LTP!$B$5)*Calc!$K$3:$K$22*(Calc!$G$3:$G$22&gt;A445)*(Calc!$G$3:$G$22-A445)*Calc!$I$3:$I$22)</f>
        <v/>
      </c>
      <c r="H445">
        <f>IF($B$11&gt;0,F445-$C$11*D445/$B$11,0)</f>
        <v/>
      </c>
      <c r="I445">
        <f>IF($B$11&gt;0,E445-D445^2/$B$11,0)</f>
        <v/>
      </c>
      <c r="J445">
        <f>IF($B$11&gt;0,G445-D445*$D$11/$B$11,0)</f>
        <v/>
      </c>
      <c r="K445">
        <f>$H$11*I445-H445^2</f>
        <v/>
      </c>
      <c r="L445">
        <f>IF(ABS(K445)&gt;1E-12,($H$11*J445-H445*$I$11)/K445,0)</f>
        <v/>
      </c>
      <c r="M445">
        <f>IF(ABS(K445)&gt;1E-12,(I445*$I$11-H445*J445)/K445,0)</f>
        <v/>
      </c>
      <c r="N445">
        <f>$J$11-M445*$I$11-L445*J445</f>
        <v/>
      </c>
      <c r="O445">
        <f>IF(AND(C445,ABS(K445)&gt;1E-12,L445&gt;0),N445,1E+300)</f>
        <v/>
      </c>
    </row>
    <row r="446">
      <c r="A446">
        <f>$B$416-($L$11-$K$11)/400+2*($L$11-$K$11)/400*27/40</f>
        <v/>
      </c>
      <c r="B446">
        <f>SUMPRODUCT((Calc!$F$3:$F$22&lt;=LTP!$B$5)*Calc!$K$3:$K$22*(Calc!$G$3:$G$22&lt;=A446))</f>
        <v/>
      </c>
      <c r="C446">
        <f>AND(B446&gt;=2,$B$11-B446&gt;=2)</f>
        <v/>
      </c>
      <c r="D446">
        <f>SUMPRODUCT((Calc!$F$3:$F$22&lt;=LTP!$B$5)*Calc!$K$3:$K$22*(Calc!$G$3:$G$22&gt;A446)*(Calc!$G$3:$G$22-A446))</f>
        <v/>
      </c>
      <c r="E446">
        <f>SUMPRODUCT((Calc!$F$3:$F$22&lt;=LTP!$B$5)*Calc!$K$3:$K$22*(Calc!$G$3:$G$22&gt;A446)*(Calc!$G$3:$G$22-A446)^2)</f>
        <v/>
      </c>
      <c r="F446">
        <f>SUMPRODUCT((Calc!$F$3:$F$22&lt;=LTP!$B$5)*Calc!$K$3:$K$22*(Calc!$G$3:$G$22&gt;A446)*(Calc!$G$3:$G$22-A446)*Calc!$G$3:$G$22)</f>
        <v/>
      </c>
      <c r="G446">
        <f>SUMPRODUCT((Calc!$F$3:$F$22&lt;=LTP!$B$5)*Calc!$K$3:$K$22*(Calc!$G$3:$G$22&gt;A446)*(Calc!$G$3:$G$22-A446)*Calc!$I$3:$I$22)</f>
        <v/>
      </c>
      <c r="H446">
        <f>IF($B$11&gt;0,F446-$C$11*D446/$B$11,0)</f>
        <v/>
      </c>
      <c r="I446">
        <f>IF($B$11&gt;0,E446-D446^2/$B$11,0)</f>
        <v/>
      </c>
      <c r="J446">
        <f>IF($B$11&gt;0,G446-D446*$D$11/$B$11,0)</f>
        <v/>
      </c>
      <c r="K446">
        <f>$H$11*I446-H446^2</f>
        <v/>
      </c>
      <c r="L446">
        <f>IF(ABS(K446)&gt;1E-12,($H$11*J446-H446*$I$11)/K446,0)</f>
        <v/>
      </c>
      <c r="M446">
        <f>IF(ABS(K446)&gt;1E-12,(I446*$I$11-H446*J446)/K446,0)</f>
        <v/>
      </c>
      <c r="N446">
        <f>$J$11-M446*$I$11-L446*J446</f>
        <v/>
      </c>
      <c r="O446">
        <f>IF(AND(C446,ABS(K446)&gt;1E-12,L446&gt;0),N446,1E+300)</f>
        <v/>
      </c>
    </row>
    <row r="447">
      <c r="A447">
        <f>$B$416-($L$11-$K$11)/400+2*($L$11-$K$11)/400*28/40</f>
        <v/>
      </c>
      <c r="B447">
        <f>SUMPRODUCT((Calc!$F$3:$F$22&lt;=LTP!$B$5)*Calc!$K$3:$K$22*(Calc!$G$3:$G$22&lt;=A447))</f>
        <v/>
      </c>
      <c r="C447">
        <f>AND(B447&gt;=2,$B$11-B447&gt;=2)</f>
        <v/>
      </c>
      <c r="D447">
        <f>SUMPRODUCT((Calc!$F$3:$F$22&lt;=LTP!$B$5)*Calc!$K$3:$K$22*(Calc!$G$3:$G$22&gt;A447)*(Calc!$G$3:$G$22-A447))</f>
        <v/>
      </c>
      <c r="E447">
        <f>SUMPRODUCT((Calc!$F$3:$F$22&lt;=LTP!$B$5)*Calc!$K$3:$K$22*(Calc!$G$3:$G$22&gt;A447)*(Calc!$G$3:$G$22-A447)^2)</f>
        <v/>
      </c>
      <c r="F447">
        <f>SUMPRODUCT((Calc!$F$3:$F$22&lt;=LTP!$B$5)*Calc!$K$3:$K$22*(Calc!$G$3:$G$22&gt;A447)*(Calc!$G$3:$G$22-A447)*Calc!$G$3:$G$22)</f>
        <v/>
      </c>
      <c r="G447">
        <f>SUMPRODUCT((Calc!$F$3:$F$22&lt;=LTP!$B$5)*Calc!$K$3:$K$22*(Calc!$G$3:$G$22&gt;A447)*(Calc!$G$3:$G$22-A447)*Calc!$I$3:$I$22)</f>
        <v/>
      </c>
      <c r="H447">
        <f>IF($B$11&gt;0,F447-$C$11*D447/$B$11,0)</f>
        <v/>
      </c>
      <c r="I447">
        <f>IF($B$11&gt;0,E447-D447^2/$B$11,0)</f>
        <v/>
      </c>
      <c r="J447">
        <f>IF($B$11&gt;0,G447-D447*$D$11/$B$11,0)</f>
        <v/>
      </c>
      <c r="K447">
        <f>$H$11*I447-H447^2</f>
        <v/>
      </c>
      <c r="L447">
        <f>IF(ABS(K447)&gt;1E-12,($H$11*J447-H447*$I$11)/K447,0)</f>
        <v/>
      </c>
      <c r="M447">
        <f>IF(ABS(K447)&gt;1E-12,(I447*$I$11-H447*J447)/K447,0)</f>
        <v/>
      </c>
      <c r="N447">
        <f>$J$11-M447*$I$11-L447*J447</f>
        <v/>
      </c>
      <c r="O447">
        <f>IF(AND(C447,ABS(K447)&gt;1E-12,L447&gt;0),N447,1E+300)</f>
        <v/>
      </c>
    </row>
    <row r="448">
      <c r="A448">
        <f>$B$416-($L$11-$K$11)/400+2*($L$11-$K$11)/400*29/40</f>
        <v/>
      </c>
      <c r="B448">
        <f>SUMPRODUCT((Calc!$F$3:$F$22&lt;=LTP!$B$5)*Calc!$K$3:$K$22*(Calc!$G$3:$G$22&lt;=A448))</f>
        <v/>
      </c>
      <c r="C448">
        <f>AND(B448&gt;=2,$B$11-B448&gt;=2)</f>
        <v/>
      </c>
      <c r="D448">
        <f>SUMPRODUCT((Calc!$F$3:$F$22&lt;=LTP!$B$5)*Calc!$K$3:$K$22*(Calc!$G$3:$G$22&gt;A448)*(Calc!$G$3:$G$22-A448))</f>
        <v/>
      </c>
      <c r="E448">
        <f>SUMPRODUCT((Calc!$F$3:$F$22&lt;=LTP!$B$5)*Calc!$K$3:$K$22*(Calc!$G$3:$G$22&gt;A448)*(Calc!$G$3:$G$22-A448)^2)</f>
        <v/>
      </c>
      <c r="F448">
        <f>SUMPRODUCT((Calc!$F$3:$F$22&lt;=LTP!$B$5)*Calc!$K$3:$K$22*(Calc!$G$3:$G$22&gt;A448)*(Calc!$G$3:$G$22-A448)*Calc!$G$3:$G$22)</f>
        <v/>
      </c>
      <c r="G448">
        <f>SUMPRODUCT((Calc!$F$3:$F$22&lt;=LTP!$B$5)*Calc!$K$3:$K$22*(Calc!$G$3:$G$22&gt;A448)*(Calc!$G$3:$G$22-A448)*Calc!$I$3:$I$22)</f>
        <v/>
      </c>
      <c r="H448">
        <f>IF($B$11&gt;0,F448-$C$11*D448/$B$11,0)</f>
        <v/>
      </c>
      <c r="I448">
        <f>IF($B$11&gt;0,E448-D448^2/$B$11,0)</f>
        <v/>
      </c>
      <c r="J448">
        <f>IF($B$11&gt;0,G448-D448*$D$11/$B$11,0)</f>
        <v/>
      </c>
      <c r="K448">
        <f>$H$11*I448-H448^2</f>
        <v/>
      </c>
      <c r="L448">
        <f>IF(ABS(K448)&gt;1E-12,($H$11*J448-H448*$I$11)/K448,0)</f>
        <v/>
      </c>
      <c r="M448">
        <f>IF(ABS(K448)&gt;1E-12,(I448*$I$11-H448*J448)/K448,0)</f>
        <v/>
      </c>
      <c r="N448">
        <f>$J$11-M448*$I$11-L448*J448</f>
        <v/>
      </c>
      <c r="O448">
        <f>IF(AND(C448,ABS(K448)&gt;1E-12,L448&gt;0),N448,1E+300)</f>
        <v/>
      </c>
    </row>
    <row r="449">
      <c r="A449">
        <f>$B$416-($L$11-$K$11)/400+2*($L$11-$K$11)/400*30/40</f>
        <v/>
      </c>
      <c r="B449">
        <f>SUMPRODUCT((Calc!$F$3:$F$22&lt;=LTP!$B$5)*Calc!$K$3:$K$22*(Calc!$G$3:$G$22&lt;=A449))</f>
        <v/>
      </c>
      <c r="C449">
        <f>AND(B449&gt;=2,$B$11-B449&gt;=2)</f>
        <v/>
      </c>
      <c r="D449">
        <f>SUMPRODUCT((Calc!$F$3:$F$22&lt;=LTP!$B$5)*Calc!$K$3:$K$22*(Calc!$G$3:$G$22&gt;A449)*(Calc!$G$3:$G$22-A449))</f>
        <v/>
      </c>
      <c r="E449">
        <f>SUMPRODUCT((Calc!$F$3:$F$22&lt;=LTP!$B$5)*Calc!$K$3:$K$22*(Calc!$G$3:$G$22&gt;A449)*(Calc!$G$3:$G$22-A449)^2)</f>
        <v/>
      </c>
      <c r="F449">
        <f>SUMPRODUCT((Calc!$F$3:$F$22&lt;=LTP!$B$5)*Calc!$K$3:$K$22*(Calc!$G$3:$G$22&gt;A449)*(Calc!$G$3:$G$22-A449)*Calc!$G$3:$G$22)</f>
        <v/>
      </c>
      <c r="G449">
        <f>SUMPRODUCT((Calc!$F$3:$F$22&lt;=LTP!$B$5)*Calc!$K$3:$K$22*(Calc!$G$3:$G$22&gt;A449)*(Calc!$G$3:$G$22-A449)*Calc!$I$3:$I$22)</f>
        <v/>
      </c>
      <c r="H449">
        <f>IF($B$11&gt;0,F449-$C$11*D449/$B$11,0)</f>
        <v/>
      </c>
      <c r="I449">
        <f>IF($B$11&gt;0,E449-D449^2/$B$11,0)</f>
        <v/>
      </c>
      <c r="J449">
        <f>IF($B$11&gt;0,G449-D449*$D$11/$B$11,0)</f>
        <v/>
      </c>
      <c r="K449">
        <f>$H$11*I449-H449^2</f>
        <v/>
      </c>
      <c r="L449">
        <f>IF(ABS(K449)&gt;1E-12,($H$11*J449-H449*$I$11)/K449,0)</f>
        <v/>
      </c>
      <c r="M449">
        <f>IF(ABS(K449)&gt;1E-12,(I449*$I$11-H449*J449)/K449,0)</f>
        <v/>
      </c>
      <c r="N449">
        <f>$J$11-M449*$I$11-L449*J449</f>
        <v/>
      </c>
      <c r="O449">
        <f>IF(AND(C449,ABS(K449)&gt;1E-12,L449&gt;0),N449,1E+300)</f>
        <v/>
      </c>
    </row>
    <row r="450">
      <c r="A450">
        <f>$B$416-($L$11-$K$11)/400+2*($L$11-$K$11)/400*31/40</f>
        <v/>
      </c>
      <c r="B450">
        <f>SUMPRODUCT((Calc!$F$3:$F$22&lt;=LTP!$B$5)*Calc!$K$3:$K$22*(Calc!$G$3:$G$22&lt;=A450))</f>
        <v/>
      </c>
      <c r="C450">
        <f>AND(B450&gt;=2,$B$11-B450&gt;=2)</f>
        <v/>
      </c>
      <c r="D450">
        <f>SUMPRODUCT((Calc!$F$3:$F$22&lt;=LTP!$B$5)*Calc!$K$3:$K$22*(Calc!$G$3:$G$22&gt;A450)*(Calc!$G$3:$G$22-A450))</f>
        <v/>
      </c>
      <c r="E450">
        <f>SUMPRODUCT((Calc!$F$3:$F$22&lt;=LTP!$B$5)*Calc!$K$3:$K$22*(Calc!$G$3:$G$22&gt;A450)*(Calc!$G$3:$G$22-A450)^2)</f>
        <v/>
      </c>
      <c r="F450">
        <f>SUMPRODUCT((Calc!$F$3:$F$22&lt;=LTP!$B$5)*Calc!$K$3:$K$22*(Calc!$G$3:$G$22&gt;A450)*(Calc!$G$3:$G$22-A450)*Calc!$G$3:$G$22)</f>
        <v/>
      </c>
      <c r="G450">
        <f>SUMPRODUCT((Calc!$F$3:$F$22&lt;=LTP!$B$5)*Calc!$K$3:$K$22*(Calc!$G$3:$G$22&gt;A450)*(Calc!$G$3:$G$22-A450)*Calc!$I$3:$I$22)</f>
        <v/>
      </c>
      <c r="H450">
        <f>IF($B$11&gt;0,F450-$C$11*D450/$B$11,0)</f>
        <v/>
      </c>
      <c r="I450">
        <f>IF($B$11&gt;0,E450-D450^2/$B$11,0)</f>
        <v/>
      </c>
      <c r="J450">
        <f>IF($B$11&gt;0,G450-D450*$D$11/$B$11,0)</f>
        <v/>
      </c>
      <c r="K450">
        <f>$H$11*I450-H450^2</f>
        <v/>
      </c>
      <c r="L450">
        <f>IF(ABS(K450)&gt;1E-12,($H$11*J450-H450*$I$11)/K450,0)</f>
        <v/>
      </c>
      <c r="M450">
        <f>IF(ABS(K450)&gt;1E-12,(I450*$I$11-H450*J450)/K450,0)</f>
        <v/>
      </c>
      <c r="N450">
        <f>$J$11-M450*$I$11-L450*J450</f>
        <v/>
      </c>
      <c r="O450">
        <f>IF(AND(C450,ABS(K450)&gt;1E-12,L450&gt;0),N450,1E+300)</f>
        <v/>
      </c>
    </row>
    <row r="451">
      <c r="A451">
        <f>$B$416-($L$11-$K$11)/400+2*($L$11-$K$11)/400*32/40</f>
        <v/>
      </c>
      <c r="B451">
        <f>SUMPRODUCT((Calc!$F$3:$F$22&lt;=LTP!$B$5)*Calc!$K$3:$K$22*(Calc!$G$3:$G$22&lt;=A451))</f>
        <v/>
      </c>
      <c r="C451">
        <f>AND(B451&gt;=2,$B$11-B451&gt;=2)</f>
        <v/>
      </c>
      <c r="D451">
        <f>SUMPRODUCT((Calc!$F$3:$F$22&lt;=LTP!$B$5)*Calc!$K$3:$K$22*(Calc!$G$3:$G$22&gt;A451)*(Calc!$G$3:$G$22-A451))</f>
        <v/>
      </c>
      <c r="E451">
        <f>SUMPRODUCT((Calc!$F$3:$F$22&lt;=LTP!$B$5)*Calc!$K$3:$K$22*(Calc!$G$3:$G$22&gt;A451)*(Calc!$G$3:$G$22-A451)^2)</f>
        <v/>
      </c>
      <c r="F451">
        <f>SUMPRODUCT((Calc!$F$3:$F$22&lt;=LTP!$B$5)*Calc!$K$3:$K$22*(Calc!$G$3:$G$22&gt;A451)*(Calc!$G$3:$G$22-A451)*Calc!$G$3:$G$22)</f>
        <v/>
      </c>
      <c r="G451">
        <f>SUMPRODUCT((Calc!$F$3:$F$22&lt;=LTP!$B$5)*Calc!$K$3:$K$22*(Calc!$G$3:$G$22&gt;A451)*(Calc!$G$3:$G$22-A451)*Calc!$I$3:$I$22)</f>
        <v/>
      </c>
      <c r="H451">
        <f>IF($B$11&gt;0,F451-$C$11*D451/$B$11,0)</f>
        <v/>
      </c>
      <c r="I451">
        <f>IF($B$11&gt;0,E451-D451^2/$B$11,0)</f>
        <v/>
      </c>
      <c r="J451">
        <f>IF($B$11&gt;0,G451-D451*$D$11/$B$11,0)</f>
        <v/>
      </c>
      <c r="K451">
        <f>$H$11*I451-H451^2</f>
        <v/>
      </c>
      <c r="L451">
        <f>IF(ABS(K451)&gt;1E-12,($H$11*J451-H451*$I$11)/K451,0)</f>
        <v/>
      </c>
      <c r="M451">
        <f>IF(ABS(K451)&gt;1E-12,(I451*$I$11-H451*J451)/K451,0)</f>
        <v/>
      </c>
      <c r="N451">
        <f>$J$11-M451*$I$11-L451*J451</f>
        <v/>
      </c>
      <c r="O451">
        <f>IF(AND(C451,ABS(K451)&gt;1E-12,L451&gt;0),N451,1E+300)</f>
        <v/>
      </c>
    </row>
    <row r="452">
      <c r="A452">
        <f>$B$416-($L$11-$K$11)/400+2*($L$11-$K$11)/400*33/40</f>
        <v/>
      </c>
      <c r="B452">
        <f>SUMPRODUCT((Calc!$F$3:$F$22&lt;=LTP!$B$5)*Calc!$K$3:$K$22*(Calc!$G$3:$G$22&lt;=A452))</f>
        <v/>
      </c>
      <c r="C452">
        <f>AND(B452&gt;=2,$B$11-B452&gt;=2)</f>
        <v/>
      </c>
      <c r="D452">
        <f>SUMPRODUCT((Calc!$F$3:$F$22&lt;=LTP!$B$5)*Calc!$K$3:$K$22*(Calc!$G$3:$G$22&gt;A452)*(Calc!$G$3:$G$22-A452))</f>
        <v/>
      </c>
      <c r="E452">
        <f>SUMPRODUCT((Calc!$F$3:$F$22&lt;=LTP!$B$5)*Calc!$K$3:$K$22*(Calc!$G$3:$G$22&gt;A452)*(Calc!$G$3:$G$22-A452)^2)</f>
        <v/>
      </c>
      <c r="F452">
        <f>SUMPRODUCT((Calc!$F$3:$F$22&lt;=LTP!$B$5)*Calc!$K$3:$K$22*(Calc!$G$3:$G$22&gt;A452)*(Calc!$G$3:$G$22-A452)*Calc!$G$3:$G$22)</f>
        <v/>
      </c>
      <c r="G452">
        <f>SUMPRODUCT((Calc!$F$3:$F$22&lt;=LTP!$B$5)*Calc!$K$3:$K$22*(Calc!$G$3:$G$22&gt;A452)*(Calc!$G$3:$G$22-A452)*Calc!$I$3:$I$22)</f>
        <v/>
      </c>
      <c r="H452">
        <f>IF($B$11&gt;0,F452-$C$11*D452/$B$11,0)</f>
        <v/>
      </c>
      <c r="I452">
        <f>IF($B$11&gt;0,E452-D452^2/$B$11,0)</f>
        <v/>
      </c>
      <c r="J452">
        <f>IF($B$11&gt;0,G452-D452*$D$11/$B$11,0)</f>
        <v/>
      </c>
      <c r="K452">
        <f>$H$11*I452-H452^2</f>
        <v/>
      </c>
      <c r="L452">
        <f>IF(ABS(K452)&gt;1E-12,($H$11*J452-H452*$I$11)/K452,0)</f>
        <v/>
      </c>
      <c r="M452">
        <f>IF(ABS(K452)&gt;1E-12,(I452*$I$11-H452*J452)/K452,0)</f>
        <v/>
      </c>
      <c r="N452">
        <f>$J$11-M452*$I$11-L452*J452</f>
        <v/>
      </c>
      <c r="O452">
        <f>IF(AND(C452,ABS(K452)&gt;1E-12,L452&gt;0),N452,1E+300)</f>
        <v/>
      </c>
    </row>
    <row r="453">
      <c r="A453">
        <f>$B$416-($L$11-$K$11)/400+2*($L$11-$K$11)/400*34/40</f>
        <v/>
      </c>
      <c r="B453">
        <f>SUMPRODUCT((Calc!$F$3:$F$22&lt;=LTP!$B$5)*Calc!$K$3:$K$22*(Calc!$G$3:$G$22&lt;=A453))</f>
        <v/>
      </c>
      <c r="C453">
        <f>AND(B453&gt;=2,$B$11-B453&gt;=2)</f>
        <v/>
      </c>
      <c r="D453">
        <f>SUMPRODUCT((Calc!$F$3:$F$22&lt;=LTP!$B$5)*Calc!$K$3:$K$22*(Calc!$G$3:$G$22&gt;A453)*(Calc!$G$3:$G$22-A453))</f>
        <v/>
      </c>
      <c r="E453">
        <f>SUMPRODUCT((Calc!$F$3:$F$22&lt;=LTP!$B$5)*Calc!$K$3:$K$22*(Calc!$G$3:$G$22&gt;A453)*(Calc!$G$3:$G$22-A453)^2)</f>
        <v/>
      </c>
      <c r="F453">
        <f>SUMPRODUCT((Calc!$F$3:$F$22&lt;=LTP!$B$5)*Calc!$K$3:$K$22*(Calc!$G$3:$G$22&gt;A453)*(Calc!$G$3:$G$22-A453)*Calc!$G$3:$G$22)</f>
        <v/>
      </c>
      <c r="G453">
        <f>SUMPRODUCT((Calc!$F$3:$F$22&lt;=LTP!$B$5)*Calc!$K$3:$K$22*(Calc!$G$3:$G$22&gt;A453)*(Calc!$G$3:$G$22-A453)*Calc!$I$3:$I$22)</f>
        <v/>
      </c>
      <c r="H453">
        <f>IF($B$11&gt;0,F453-$C$11*D453/$B$11,0)</f>
        <v/>
      </c>
      <c r="I453">
        <f>IF($B$11&gt;0,E453-D453^2/$B$11,0)</f>
        <v/>
      </c>
      <c r="J453">
        <f>IF($B$11&gt;0,G453-D453*$D$11/$B$11,0)</f>
        <v/>
      </c>
      <c r="K453">
        <f>$H$11*I453-H453^2</f>
        <v/>
      </c>
      <c r="L453">
        <f>IF(ABS(K453)&gt;1E-12,($H$11*J453-H453*$I$11)/K453,0)</f>
        <v/>
      </c>
      <c r="M453">
        <f>IF(ABS(K453)&gt;1E-12,(I453*$I$11-H453*J453)/K453,0)</f>
        <v/>
      </c>
      <c r="N453">
        <f>$J$11-M453*$I$11-L453*J453</f>
        <v/>
      </c>
      <c r="O453">
        <f>IF(AND(C453,ABS(K453)&gt;1E-12,L453&gt;0),N453,1E+300)</f>
        <v/>
      </c>
    </row>
    <row r="454">
      <c r="A454">
        <f>$B$416-($L$11-$K$11)/400+2*($L$11-$K$11)/400*35/40</f>
        <v/>
      </c>
      <c r="B454">
        <f>SUMPRODUCT((Calc!$F$3:$F$22&lt;=LTP!$B$5)*Calc!$K$3:$K$22*(Calc!$G$3:$G$22&lt;=A454))</f>
        <v/>
      </c>
      <c r="C454">
        <f>AND(B454&gt;=2,$B$11-B454&gt;=2)</f>
        <v/>
      </c>
      <c r="D454">
        <f>SUMPRODUCT((Calc!$F$3:$F$22&lt;=LTP!$B$5)*Calc!$K$3:$K$22*(Calc!$G$3:$G$22&gt;A454)*(Calc!$G$3:$G$22-A454))</f>
        <v/>
      </c>
      <c r="E454">
        <f>SUMPRODUCT((Calc!$F$3:$F$22&lt;=LTP!$B$5)*Calc!$K$3:$K$22*(Calc!$G$3:$G$22&gt;A454)*(Calc!$G$3:$G$22-A454)^2)</f>
        <v/>
      </c>
      <c r="F454">
        <f>SUMPRODUCT((Calc!$F$3:$F$22&lt;=LTP!$B$5)*Calc!$K$3:$K$22*(Calc!$G$3:$G$22&gt;A454)*(Calc!$G$3:$G$22-A454)*Calc!$G$3:$G$22)</f>
        <v/>
      </c>
      <c r="G454">
        <f>SUMPRODUCT((Calc!$F$3:$F$22&lt;=LTP!$B$5)*Calc!$K$3:$K$22*(Calc!$G$3:$G$22&gt;A454)*(Calc!$G$3:$G$22-A454)*Calc!$I$3:$I$22)</f>
        <v/>
      </c>
      <c r="H454">
        <f>IF($B$11&gt;0,F454-$C$11*D454/$B$11,0)</f>
        <v/>
      </c>
      <c r="I454">
        <f>IF($B$11&gt;0,E454-D454^2/$B$11,0)</f>
        <v/>
      </c>
      <c r="J454">
        <f>IF($B$11&gt;0,G454-D454*$D$11/$B$11,0)</f>
        <v/>
      </c>
      <c r="K454">
        <f>$H$11*I454-H454^2</f>
        <v/>
      </c>
      <c r="L454">
        <f>IF(ABS(K454)&gt;1E-12,($H$11*J454-H454*$I$11)/K454,0)</f>
        <v/>
      </c>
      <c r="M454">
        <f>IF(ABS(K454)&gt;1E-12,(I454*$I$11-H454*J454)/K454,0)</f>
        <v/>
      </c>
      <c r="N454">
        <f>$J$11-M454*$I$11-L454*J454</f>
        <v/>
      </c>
      <c r="O454">
        <f>IF(AND(C454,ABS(K454)&gt;1E-12,L454&gt;0),N454,1E+300)</f>
        <v/>
      </c>
    </row>
    <row r="455">
      <c r="A455">
        <f>$B$416-($L$11-$K$11)/400+2*($L$11-$K$11)/400*36/40</f>
        <v/>
      </c>
      <c r="B455">
        <f>SUMPRODUCT((Calc!$F$3:$F$22&lt;=LTP!$B$5)*Calc!$K$3:$K$22*(Calc!$G$3:$G$22&lt;=A455))</f>
        <v/>
      </c>
      <c r="C455">
        <f>AND(B455&gt;=2,$B$11-B455&gt;=2)</f>
        <v/>
      </c>
      <c r="D455">
        <f>SUMPRODUCT((Calc!$F$3:$F$22&lt;=LTP!$B$5)*Calc!$K$3:$K$22*(Calc!$G$3:$G$22&gt;A455)*(Calc!$G$3:$G$22-A455))</f>
        <v/>
      </c>
      <c r="E455">
        <f>SUMPRODUCT((Calc!$F$3:$F$22&lt;=LTP!$B$5)*Calc!$K$3:$K$22*(Calc!$G$3:$G$22&gt;A455)*(Calc!$G$3:$G$22-A455)^2)</f>
        <v/>
      </c>
      <c r="F455">
        <f>SUMPRODUCT((Calc!$F$3:$F$22&lt;=LTP!$B$5)*Calc!$K$3:$K$22*(Calc!$G$3:$G$22&gt;A455)*(Calc!$G$3:$G$22-A455)*Calc!$G$3:$G$22)</f>
        <v/>
      </c>
      <c r="G455">
        <f>SUMPRODUCT((Calc!$F$3:$F$22&lt;=LTP!$B$5)*Calc!$K$3:$K$22*(Calc!$G$3:$G$22&gt;A455)*(Calc!$G$3:$G$22-A455)*Calc!$I$3:$I$22)</f>
        <v/>
      </c>
      <c r="H455">
        <f>IF($B$11&gt;0,F455-$C$11*D455/$B$11,0)</f>
        <v/>
      </c>
      <c r="I455">
        <f>IF($B$11&gt;0,E455-D455^2/$B$11,0)</f>
        <v/>
      </c>
      <c r="J455">
        <f>IF($B$11&gt;0,G455-D455*$D$11/$B$11,0)</f>
        <v/>
      </c>
      <c r="K455">
        <f>$H$11*I455-H455^2</f>
        <v/>
      </c>
      <c r="L455">
        <f>IF(ABS(K455)&gt;1E-12,($H$11*J455-H455*$I$11)/K455,0)</f>
        <v/>
      </c>
      <c r="M455">
        <f>IF(ABS(K455)&gt;1E-12,(I455*$I$11-H455*J455)/K455,0)</f>
        <v/>
      </c>
      <c r="N455">
        <f>$J$11-M455*$I$11-L455*J455</f>
        <v/>
      </c>
      <c r="O455">
        <f>IF(AND(C455,ABS(K455)&gt;1E-12,L455&gt;0),N455,1E+300)</f>
        <v/>
      </c>
    </row>
    <row r="456">
      <c r="A456">
        <f>$B$416-($L$11-$K$11)/400+2*($L$11-$K$11)/400*37/40</f>
        <v/>
      </c>
      <c r="B456">
        <f>SUMPRODUCT((Calc!$F$3:$F$22&lt;=LTP!$B$5)*Calc!$K$3:$K$22*(Calc!$G$3:$G$22&lt;=A456))</f>
        <v/>
      </c>
      <c r="C456">
        <f>AND(B456&gt;=2,$B$11-B456&gt;=2)</f>
        <v/>
      </c>
      <c r="D456">
        <f>SUMPRODUCT((Calc!$F$3:$F$22&lt;=LTP!$B$5)*Calc!$K$3:$K$22*(Calc!$G$3:$G$22&gt;A456)*(Calc!$G$3:$G$22-A456))</f>
        <v/>
      </c>
      <c r="E456">
        <f>SUMPRODUCT((Calc!$F$3:$F$22&lt;=LTP!$B$5)*Calc!$K$3:$K$22*(Calc!$G$3:$G$22&gt;A456)*(Calc!$G$3:$G$22-A456)^2)</f>
        <v/>
      </c>
      <c r="F456">
        <f>SUMPRODUCT((Calc!$F$3:$F$22&lt;=LTP!$B$5)*Calc!$K$3:$K$22*(Calc!$G$3:$G$22&gt;A456)*(Calc!$G$3:$G$22-A456)*Calc!$G$3:$G$22)</f>
        <v/>
      </c>
      <c r="G456">
        <f>SUMPRODUCT((Calc!$F$3:$F$22&lt;=LTP!$B$5)*Calc!$K$3:$K$22*(Calc!$G$3:$G$22&gt;A456)*(Calc!$G$3:$G$22-A456)*Calc!$I$3:$I$22)</f>
        <v/>
      </c>
      <c r="H456">
        <f>IF($B$11&gt;0,F456-$C$11*D456/$B$11,0)</f>
        <v/>
      </c>
      <c r="I456">
        <f>IF($B$11&gt;0,E456-D456^2/$B$11,0)</f>
        <v/>
      </c>
      <c r="J456">
        <f>IF($B$11&gt;0,G456-D456*$D$11/$B$11,0)</f>
        <v/>
      </c>
      <c r="K456">
        <f>$H$11*I456-H456^2</f>
        <v/>
      </c>
      <c r="L456">
        <f>IF(ABS(K456)&gt;1E-12,($H$11*J456-H456*$I$11)/K456,0)</f>
        <v/>
      </c>
      <c r="M456">
        <f>IF(ABS(K456)&gt;1E-12,(I456*$I$11-H456*J456)/K456,0)</f>
        <v/>
      </c>
      <c r="N456">
        <f>$J$11-M456*$I$11-L456*J456</f>
        <v/>
      </c>
      <c r="O456">
        <f>IF(AND(C456,ABS(K456)&gt;1E-12,L456&gt;0),N456,1E+300)</f>
        <v/>
      </c>
    </row>
    <row r="457">
      <c r="A457">
        <f>$B$416-($L$11-$K$11)/400+2*($L$11-$K$11)/400*38/40</f>
        <v/>
      </c>
      <c r="B457">
        <f>SUMPRODUCT((Calc!$F$3:$F$22&lt;=LTP!$B$5)*Calc!$K$3:$K$22*(Calc!$G$3:$G$22&lt;=A457))</f>
        <v/>
      </c>
      <c r="C457">
        <f>AND(B457&gt;=2,$B$11-B457&gt;=2)</f>
        <v/>
      </c>
      <c r="D457">
        <f>SUMPRODUCT((Calc!$F$3:$F$22&lt;=LTP!$B$5)*Calc!$K$3:$K$22*(Calc!$G$3:$G$22&gt;A457)*(Calc!$G$3:$G$22-A457))</f>
        <v/>
      </c>
      <c r="E457">
        <f>SUMPRODUCT((Calc!$F$3:$F$22&lt;=LTP!$B$5)*Calc!$K$3:$K$22*(Calc!$G$3:$G$22&gt;A457)*(Calc!$G$3:$G$22-A457)^2)</f>
        <v/>
      </c>
      <c r="F457">
        <f>SUMPRODUCT((Calc!$F$3:$F$22&lt;=LTP!$B$5)*Calc!$K$3:$K$22*(Calc!$G$3:$G$22&gt;A457)*(Calc!$G$3:$G$22-A457)*Calc!$G$3:$G$22)</f>
        <v/>
      </c>
      <c r="G457">
        <f>SUMPRODUCT((Calc!$F$3:$F$22&lt;=LTP!$B$5)*Calc!$K$3:$K$22*(Calc!$G$3:$G$22&gt;A457)*(Calc!$G$3:$G$22-A457)*Calc!$I$3:$I$22)</f>
        <v/>
      </c>
      <c r="H457">
        <f>IF($B$11&gt;0,F457-$C$11*D457/$B$11,0)</f>
        <v/>
      </c>
      <c r="I457">
        <f>IF($B$11&gt;0,E457-D457^2/$B$11,0)</f>
        <v/>
      </c>
      <c r="J457">
        <f>IF($B$11&gt;0,G457-D457*$D$11/$B$11,0)</f>
        <v/>
      </c>
      <c r="K457">
        <f>$H$11*I457-H457^2</f>
        <v/>
      </c>
      <c r="L457">
        <f>IF(ABS(K457)&gt;1E-12,($H$11*J457-H457*$I$11)/K457,0)</f>
        <v/>
      </c>
      <c r="M457">
        <f>IF(ABS(K457)&gt;1E-12,(I457*$I$11-H457*J457)/K457,0)</f>
        <v/>
      </c>
      <c r="N457">
        <f>$J$11-M457*$I$11-L457*J457</f>
        <v/>
      </c>
      <c r="O457">
        <f>IF(AND(C457,ABS(K457)&gt;1E-12,L457&gt;0),N457,1E+300)</f>
        <v/>
      </c>
    </row>
    <row r="458">
      <c r="A458">
        <f>$B$416-($L$11-$K$11)/400+2*($L$11-$K$11)/400*39/40</f>
        <v/>
      </c>
      <c r="B458">
        <f>SUMPRODUCT((Calc!$F$3:$F$22&lt;=LTP!$B$5)*Calc!$K$3:$K$22*(Calc!$G$3:$G$22&lt;=A458))</f>
        <v/>
      </c>
      <c r="C458">
        <f>AND(B458&gt;=2,$B$11-B458&gt;=2)</f>
        <v/>
      </c>
      <c r="D458">
        <f>SUMPRODUCT((Calc!$F$3:$F$22&lt;=LTP!$B$5)*Calc!$K$3:$K$22*(Calc!$G$3:$G$22&gt;A458)*(Calc!$G$3:$G$22-A458))</f>
        <v/>
      </c>
      <c r="E458">
        <f>SUMPRODUCT((Calc!$F$3:$F$22&lt;=LTP!$B$5)*Calc!$K$3:$K$22*(Calc!$G$3:$G$22&gt;A458)*(Calc!$G$3:$G$22-A458)^2)</f>
        <v/>
      </c>
      <c r="F458">
        <f>SUMPRODUCT((Calc!$F$3:$F$22&lt;=LTP!$B$5)*Calc!$K$3:$K$22*(Calc!$G$3:$G$22&gt;A458)*(Calc!$G$3:$G$22-A458)*Calc!$G$3:$G$22)</f>
        <v/>
      </c>
      <c r="G458">
        <f>SUMPRODUCT((Calc!$F$3:$F$22&lt;=LTP!$B$5)*Calc!$K$3:$K$22*(Calc!$G$3:$G$22&gt;A458)*(Calc!$G$3:$G$22-A458)*Calc!$I$3:$I$22)</f>
        <v/>
      </c>
      <c r="H458">
        <f>IF($B$11&gt;0,F458-$C$11*D458/$B$11,0)</f>
        <v/>
      </c>
      <c r="I458">
        <f>IF($B$11&gt;0,E458-D458^2/$B$11,0)</f>
        <v/>
      </c>
      <c r="J458">
        <f>IF($B$11&gt;0,G458-D458*$D$11/$B$11,0)</f>
        <v/>
      </c>
      <c r="K458">
        <f>$H$11*I458-H458^2</f>
        <v/>
      </c>
      <c r="L458">
        <f>IF(ABS(K458)&gt;1E-12,($H$11*J458-H458*$I$11)/K458,0)</f>
        <v/>
      </c>
      <c r="M458">
        <f>IF(ABS(K458)&gt;1E-12,(I458*$I$11-H458*J458)/K458,0)</f>
        <v/>
      </c>
      <c r="N458">
        <f>$J$11-M458*$I$11-L458*J458</f>
        <v/>
      </c>
      <c r="O458">
        <f>IF(AND(C458,ABS(K458)&gt;1E-12,L458&gt;0),N458,1E+300)</f>
        <v/>
      </c>
    </row>
    <row r="459">
      <c r="A459">
        <f>$B$416-($L$11-$K$11)/400+2*($L$11-$K$11)/400*40/40</f>
        <v/>
      </c>
      <c r="B459">
        <f>SUMPRODUCT((Calc!$F$3:$F$22&lt;=LTP!$B$5)*Calc!$K$3:$K$22*(Calc!$G$3:$G$22&lt;=A459))</f>
        <v/>
      </c>
      <c r="C459">
        <f>AND(B459&gt;=2,$B$11-B459&gt;=2)</f>
        <v/>
      </c>
      <c r="D459">
        <f>SUMPRODUCT((Calc!$F$3:$F$22&lt;=LTP!$B$5)*Calc!$K$3:$K$22*(Calc!$G$3:$G$22&gt;A459)*(Calc!$G$3:$G$22-A459))</f>
        <v/>
      </c>
      <c r="E459">
        <f>SUMPRODUCT((Calc!$F$3:$F$22&lt;=LTP!$B$5)*Calc!$K$3:$K$22*(Calc!$G$3:$G$22&gt;A459)*(Calc!$G$3:$G$22-A459)^2)</f>
        <v/>
      </c>
      <c r="F459">
        <f>SUMPRODUCT((Calc!$F$3:$F$22&lt;=LTP!$B$5)*Calc!$K$3:$K$22*(Calc!$G$3:$G$22&gt;A459)*(Calc!$G$3:$G$22-A459)*Calc!$G$3:$G$22)</f>
        <v/>
      </c>
      <c r="G459">
        <f>SUMPRODUCT((Calc!$F$3:$F$22&lt;=LTP!$B$5)*Calc!$K$3:$K$22*(Calc!$G$3:$G$22&gt;A459)*(Calc!$G$3:$G$22-A459)*Calc!$I$3:$I$22)</f>
        <v/>
      </c>
      <c r="H459">
        <f>IF($B$11&gt;0,F459-$C$11*D459/$B$11,0)</f>
        <v/>
      </c>
      <c r="I459">
        <f>IF($B$11&gt;0,E459-D459^2/$B$11,0)</f>
        <v/>
      </c>
      <c r="J459">
        <f>IF($B$11&gt;0,G459-D459*$D$11/$B$11,0)</f>
        <v/>
      </c>
      <c r="K459">
        <f>$H$11*I459-H459^2</f>
        <v/>
      </c>
      <c r="L459">
        <f>IF(ABS(K459)&gt;1E-12,($H$11*J459-H459*$I$11)/K459,0)</f>
        <v/>
      </c>
      <c r="M459">
        <f>IF(ABS(K459)&gt;1E-12,(I459*$I$11-H459*J459)/K459,0)</f>
        <v/>
      </c>
      <c r="N459">
        <f>$J$11-M459*$I$11-L459*J459</f>
        <v/>
      </c>
      <c r="O459">
        <f>IF(AND(C459,ABS(K459)&gt;1E-12,L459&gt;0),N459,1E+300)</f>
        <v/>
      </c>
    </row>
    <row r="461">
      <c r="A461" s="7" t="inlineStr">
        <is>
          <t>gefunden</t>
        </is>
      </c>
      <c r="B461">
        <f>MIN(O419:O459,$C$416)&lt;1E+299</f>
        <v/>
      </c>
    </row>
    <row r="462">
      <c r="A462" s="7" t="inlineStr">
        <is>
          <t>Zeile</t>
        </is>
      </c>
      <c r="B462">
        <f>MATCH(MIN(O419:O459),O419:O459,0)</f>
        <v/>
      </c>
    </row>
    <row r="463">
      <c r="A463" s="7" t="inlineStr">
        <is>
          <t>k</t>
        </is>
      </c>
      <c r="B463">
        <f>IF(MIN(O419:O459)&lt;=$C$416,INDEX(A419:A459,B462),$B$416)</f>
        <v/>
      </c>
    </row>
    <row r="464">
      <c r="A464" s="7" t="inlineStr">
        <is>
          <t>s1</t>
        </is>
      </c>
      <c r="B464">
        <f>INDEX(M419:M459,B462)</f>
        <v/>
      </c>
    </row>
    <row r="465">
      <c r="A465" s="7" t="inlineStr">
        <is>
          <t>s2</t>
        </is>
      </c>
      <c r="B465">
        <f>INDEX(M419:M459,B462)+INDEX(L419:L459,B462)</f>
        <v/>
      </c>
    </row>
    <row r="467">
      <c r="A467" s="57" t="inlineStr">
        <is>
          <t>LTP2-Suche (LTP1 bis vmax)</t>
        </is>
      </c>
    </row>
    <row r="468">
      <c r="B468" s="57" t="inlineStr">
        <is>
          <t>nm</t>
        </is>
      </c>
      <c r="C468" s="57" t="inlineStr">
        <is>
          <t>Sx</t>
        </is>
      </c>
      <c r="D468" s="57" t="inlineStr">
        <is>
          <t>Sy</t>
        </is>
      </c>
      <c r="E468" s="57" t="inlineStr">
        <is>
          <t>Sxx</t>
        </is>
      </c>
      <c r="F468" s="57" t="inlineStr">
        <is>
          <t>Sxy</t>
        </is>
      </c>
      <c r="G468" s="57" t="inlineStr">
        <is>
          <t>Syy</t>
        </is>
      </c>
      <c r="H468" s="57" t="inlineStr">
        <is>
          <t>Cxx</t>
        </is>
      </c>
      <c r="I468" s="57" t="inlineStr">
        <is>
          <t>Cxy</t>
        </is>
      </c>
      <c r="J468" s="57" t="inlineStr">
        <is>
          <t>Cyy</t>
        </is>
      </c>
      <c r="K468" s="57" t="inlineStr">
        <is>
          <t>lo</t>
        </is>
      </c>
      <c r="L468" s="57" t="inlineStr">
        <is>
          <t>hi</t>
        </is>
      </c>
    </row>
    <row r="469">
      <c r="B469">
        <f>SUMPRODUCT((Calc!$F$3:$F$22&gt;=LTP!$E$5)*(Calc!$F$3:$F$22&lt;=k_n))</f>
        <v/>
      </c>
      <c r="C469">
        <f>SUMPRODUCT((Calc!$F$3:$F$22&gt;=LTP!$E$5)*(Calc!$F$3:$F$22&lt;=k_n),Calc!$G$3:$G$22)</f>
        <v/>
      </c>
      <c r="D469">
        <f>SUMPRODUCT((Calc!$F$3:$F$22&gt;=LTP!$E$5)*(Calc!$F$3:$F$22&lt;=k_n),Calc!$I$3:$I$22)</f>
        <v/>
      </c>
      <c r="E469">
        <f>SUMPRODUCT((Calc!$F$3:$F$22&gt;=LTP!$E$5)*(Calc!$F$3:$F$22&lt;=k_n),Calc!$G$3:$G$22^2)</f>
        <v/>
      </c>
      <c r="F469">
        <f>SUMPRODUCT((Calc!$F$3:$F$22&gt;=LTP!$E$5)*(Calc!$F$3:$F$22&lt;=k_n),Calc!$G$3:$G$22,Calc!$I$3:$I$22)</f>
        <v/>
      </c>
      <c r="G469">
        <f>SUMPRODUCT((Calc!$F$3:$F$22&gt;=LTP!$E$5)*(Calc!$F$3:$F$22&lt;=k_n),Calc!$I$3:$I$22^2)</f>
        <v/>
      </c>
      <c r="H469">
        <f>IF($B$469&gt;0,$E$469-$C$469^2/$B$469,0)</f>
        <v/>
      </c>
      <c r="I469">
        <f>IF($B$469&gt;0,$F$469-$C$469*$D$469/$B$469,0)</f>
        <v/>
      </c>
      <c r="J469">
        <f>IF($B$469&gt;0,$G$469-$D$469^2/$B$469,0)</f>
        <v/>
      </c>
      <c r="K469">
        <f>INDEX(Calc!$G$3:$G$22,LTP!$E$5)</f>
        <v/>
      </c>
      <c r="L469">
        <f>k_hi</f>
        <v/>
      </c>
    </row>
    <row r="471">
      <c r="A471" s="57" t="inlineStr">
        <is>
          <t>k</t>
        </is>
      </c>
      <c r="B471" s="57" t="inlineStr">
        <is>
          <t>L</t>
        </is>
      </c>
      <c r="C471" s="57" t="inlineStr">
        <is>
          <t>gültig</t>
        </is>
      </c>
      <c r="D471" s="57" t="inlineStr">
        <is>
          <t>Sh</t>
        </is>
      </c>
      <c r="E471" s="57" t="inlineStr">
        <is>
          <t>Shh</t>
        </is>
      </c>
      <c r="F471" s="57" t="inlineStr">
        <is>
          <t>Sxh</t>
        </is>
      </c>
      <c r="G471" s="57" t="inlineStr">
        <is>
          <t>Shy</t>
        </is>
      </c>
      <c r="H471" s="57" t="inlineStr">
        <is>
          <t>Cxh</t>
        </is>
      </c>
      <c r="I471" s="57" t="inlineStr">
        <is>
          <t>Chh</t>
        </is>
      </c>
      <c r="J471" s="57" t="inlineStr">
        <is>
          <t>Chy</t>
        </is>
      </c>
      <c r="K471" s="57" t="inlineStr">
        <is>
          <t>det</t>
        </is>
      </c>
      <c r="L471" s="57" t="inlineStr">
        <is>
          <t>c2</t>
        </is>
      </c>
      <c r="M471" s="57" t="inlineStr">
        <is>
          <t>c1</t>
        </is>
      </c>
      <c r="N471" s="57" t="inlineStr">
        <is>
          <t>SSE</t>
        </is>
      </c>
      <c r="O471" s="57" t="inlineStr">
        <is>
          <t>Score</t>
        </is>
      </c>
    </row>
    <row r="472">
      <c r="A472">
        <f>$K$469+($L$469-$K$469)*0/400</f>
        <v/>
      </c>
      <c r="B472">
        <f>SUMPRODUCT((Calc!$F$3:$F$22&gt;=LTP!$E$5)*(Calc!$F$3:$F$22&lt;=k_n)*(Calc!$G$3:$G$22&lt;=A472))</f>
        <v/>
      </c>
      <c r="C472">
        <f>AND(B472&gt;=2,$B$469-B472&gt;=2)</f>
        <v/>
      </c>
      <c r="D472">
        <f>SUMPRODUCT((Calc!$F$3:$F$22&gt;=LTP!$E$5)*(Calc!$F$3:$F$22&lt;=k_n)*(Calc!$G$3:$G$22&gt;A472)*(Calc!$G$3:$G$22-A472))</f>
        <v/>
      </c>
      <c r="E472">
        <f>SUMPRODUCT((Calc!$F$3:$F$22&gt;=LTP!$E$5)*(Calc!$F$3:$F$22&lt;=k_n)*(Calc!$G$3:$G$22&gt;A472)*(Calc!$G$3:$G$22-A472)^2)</f>
        <v/>
      </c>
      <c r="F472">
        <f>SUMPRODUCT((Calc!$F$3:$F$22&gt;=LTP!$E$5)*(Calc!$F$3:$F$22&lt;=k_n)*(Calc!$G$3:$G$22&gt;A472)*(Calc!$G$3:$G$22-A472)*Calc!$G$3:$G$22)</f>
        <v/>
      </c>
      <c r="G472">
        <f>SUMPRODUCT((Calc!$F$3:$F$22&gt;=LTP!$E$5)*(Calc!$F$3:$F$22&lt;=k_n)*(Calc!$G$3:$G$22&gt;A472)*(Calc!$G$3:$G$22-A472)*Calc!$I$3:$I$22)</f>
        <v/>
      </c>
      <c r="H472">
        <f>IF($B$469&gt;0,F472-$C$469*D472/$B$469,0)</f>
        <v/>
      </c>
      <c r="I472">
        <f>IF($B$469&gt;0,E472-D472^2/$B$469,0)</f>
        <v/>
      </c>
      <c r="J472">
        <f>IF($B$469&gt;0,G472-D472*$D$469/$B$469,0)</f>
        <v/>
      </c>
      <c r="K472">
        <f>$H$469*I472-H472^2</f>
        <v/>
      </c>
      <c r="L472">
        <f>IF(ABS(K472)&gt;1E-12,($H$469*J472-H472*$I$469)/K472,0)</f>
        <v/>
      </c>
      <c r="M472">
        <f>IF(ABS(K472)&gt;1E-12,(I472*$I$469-H472*J472)/K472,0)</f>
        <v/>
      </c>
      <c r="N472">
        <f>$J$469-M472*$I$469-L472*J472</f>
        <v/>
      </c>
      <c r="O472">
        <f>IF(AND(C472,ABS(K472)&gt;1E-12,L472&gt;0),N472,1E+300)</f>
        <v/>
      </c>
    </row>
    <row r="473">
      <c r="A473">
        <f>$K$469+($L$469-$K$469)*1/400</f>
        <v/>
      </c>
      <c r="B473">
        <f>SUMPRODUCT((Calc!$F$3:$F$22&gt;=LTP!$E$5)*(Calc!$F$3:$F$22&lt;=k_n)*(Calc!$G$3:$G$22&lt;=A473))</f>
        <v/>
      </c>
      <c r="C473">
        <f>AND(B473&gt;=2,$B$469-B473&gt;=2)</f>
        <v/>
      </c>
      <c r="D473">
        <f>SUMPRODUCT((Calc!$F$3:$F$22&gt;=LTP!$E$5)*(Calc!$F$3:$F$22&lt;=k_n)*(Calc!$G$3:$G$22&gt;A473)*(Calc!$G$3:$G$22-A473))</f>
        <v/>
      </c>
      <c r="E473">
        <f>SUMPRODUCT((Calc!$F$3:$F$22&gt;=LTP!$E$5)*(Calc!$F$3:$F$22&lt;=k_n)*(Calc!$G$3:$G$22&gt;A473)*(Calc!$G$3:$G$22-A473)^2)</f>
        <v/>
      </c>
      <c r="F473">
        <f>SUMPRODUCT((Calc!$F$3:$F$22&gt;=LTP!$E$5)*(Calc!$F$3:$F$22&lt;=k_n)*(Calc!$G$3:$G$22&gt;A473)*(Calc!$G$3:$G$22-A473)*Calc!$G$3:$G$22)</f>
        <v/>
      </c>
      <c r="G473">
        <f>SUMPRODUCT((Calc!$F$3:$F$22&gt;=LTP!$E$5)*(Calc!$F$3:$F$22&lt;=k_n)*(Calc!$G$3:$G$22&gt;A473)*(Calc!$G$3:$G$22-A473)*Calc!$I$3:$I$22)</f>
        <v/>
      </c>
      <c r="H473">
        <f>IF($B$469&gt;0,F473-$C$469*D473/$B$469,0)</f>
        <v/>
      </c>
      <c r="I473">
        <f>IF($B$469&gt;0,E473-D473^2/$B$469,0)</f>
        <v/>
      </c>
      <c r="J473">
        <f>IF($B$469&gt;0,G473-D473*$D$469/$B$469,0)</f>
        <v/>
      </c>
      <c r="K473">
        <f>$H$469*I473-H473^2</f>
        <v/>
      </c>
      <c r="L473">
        <f>IF(ABS(K473)&gt;1E-12,($H$469*J473-H473*$I$469)/K473,0)</f>
        <v/>
      </c>
      <c r="M473">
        <f>IF(ABS(K473)&gt;1E-12,(I473*$I$469-H473*J473)/K473,0)</f>
        <v/>
      </c>
      <c r="N473">
        <f>$J$469-M473*$I$469-L473*J473</f>
        <v/>
      </c>
      <c r="O473">
        <f>IF(AND(C473,ABS(K473)&gt;1E-12,L473&gt;0),N473,1E+300)</f>
        <v/>
      </c>
    </row>
    <row r="474">
      <c r="A474">
        <f>$K$469+($L$469-$K$469)*2/400</f>
        <v/>
      </c>
      <c r="B474">
        <f>SUMPRODUCT((Calc!$F$3:$F$22&gt;=LTP!$E$5)*(Calc!$F$3:$F$22&lt;=k_n)*(Calc!$G$3:$G$22&lt;=A474))</f>
        <v/>
      </c>
      <c r="C474">
        <f>AND(B474&gt;=2,$B$469-B474&gt;=2)</f>
        <v/>
      </c>
      <c r="D474">
        <f>SUMPRODUCT((Calc!$F$3:$F$22&gt;=LTP!$E$5)*(Calc!$F$3:$F$22&lt;=k_n)*(Calc!$G$3:$G$22&gt;A474)*(Calc!$G$3:$G$22-A474))</f>
        <v/>
      </c>
      <c r="E474">
        <f>SUMPRODUCT((Calc!$F$3:$F$22&gt;=LTP!$E$5)*(Calc!$F$3:$F$22&lt;=k_n)*(Calc!$G$3:$G$22&gt;A474)*(Calc!$G$3:$G$22-A474)^2)</f>
        <v/>
      </c>
      <c r="F474">
        <f>SUMPRODUCT((Calc!$F$3:$F$22&gt;=LTP!$E$5)*(Calc!$F$3:$F$22&lt;=k_n)*(Calc!$G$3:$G$22&gt;A474)*(Calc!$G$3:$G$22-A474)*Calc!$G$3:$G$22)</f>
        <v/>
      </c>
      <c r="G474">
        <f>SUMPRODUCT((Calc!$F$3:$F$22&gt;=LTP!$E$5)*(Calc!$F$3:$F$22&lt;=k_n)*(Calc!$G$3:$G$22&gt;A474)*(Calc!$G$3:$G$22-A474)*Calc!$I$3:$I$22)</f>
        <v/>
      </c>
      <c r="H474">
        <f>IF($B$469&gt;0,F474-$C$469*D474/$B$469,0)</f>
        <v/>
      </c>
      <c r="I474">
        <f>IF($B$469&gt;0,E474-D474^2/$B$469,0)</f>
        <v/>
      </c>
      <c r="J474">
        <f>IF($B$469&gt;0,G474-D474*$D$469/$B$469,0)</f>
        <v/>
      </c>
      <c r="K474">
        <f>$H$469*I474-H474^2</f>
        <v/>
      </c>
      <c r="L474">
        <f>IF(ABS(K474)&gt;1E-12,($H$469*J474-H474*$I$469)/K474,0)</f>
        <v/>
      </c>
      <c r="M474">
        <f>IF(ABS(K474)&gt;1E-12,(I474*$I$469-H474*J474)/K474,0)</f>
        <v/>
      </c>
      <c r="N474">
        <f>$J$469-M474*$I$469-L474*J474</f>
        <v/>
      </c>
      <c r="O474">
        <f>IF(AND(C474,ABS(K474)&gt;1E-12,L474&gt;0),N474,1E+300)</f>
        <v/>
      </c>
    </row>
    <row r="475">
      <c r="A475">
        <f>$K$469+($L$469-$K$469)*3/400</f>
        <v/>
      </c>
      <c r="B475">
        <f>SUMPRODUCT((Calc!$F$3:$F$22&gt;=LTP!$E$5)*(Calc!$F$3:$F$22&lt;=k_n)*(Calc!$G$3:$G$22&lt;=A475))</f>
        <v/>
      </c>
      <c r="C475">
        <f>AND(B475&gt;=2,$B$469-B475&gt;=2)</f>
        <v/>
      </c>
      <c r="D475">
        <f>SUMPRODUCT((Calc!$F$3:$F$22&gt;=LTP!$E$5)*(Calc!$F$3:$F$22&lt;=k_n)*(Calc!$G$3:$G$22&gt;A475)*(Calc!$G$3:$G$22-A475))</f>
        <v/>
      </c>
      <c r="E475">
        <f>SUMPRODUCT((Calc!$F$3:$F$22&gt;=LTP!$E$5)*(Calc!$F$3:$F$22&lt;=k_n)*(Calc!$G$3:$G$22&gt;A475)*(Calc!$G$3:$G$22-A475)^2)</f>
        <v/>
      </c>
      <c r="F475">
        <f>SUMPRODUCT((Calc!$F$3:$F$22&gt;=LTP!$E$5)*(Calc!$F$3:$F$22&lt;=k_n)*(Calc!$G$3:$G$22&gt;A475)*(Calc!$G$3:$G$22-A475)*Calc!$G$3:$G$22)</f>
        <v/>
      </c>
      <c r="G475">
        <f>SUMPRODUCT((Calc!$F$3:$F$22&gt;=LTP!$E$5)*(Calc!$F$3:$F$22&lt;=k_n)*(Calc!$G$3:$G$22&gt;A475)*(Calc!$G$3:$G$22-A475)*Calc!$I$3:$I$22)</f>
        <v/>
      </c>
      <c r="H475">
        <f>IF($B$469&gt;0,F475-$C$469*D475/$B$469,0)</f>
        <v/>
      </c>
      <c r="I475">
        <f>IF($B$469&gt;0,E475-D475^2/$B$469,0)</f>
        <v/>
      </c>
      <c r="J475">
        <f>IF($B$469&gt;0,G475-D475*$D$469/$B$469,0)</f>
        <v/>
      </c>
      <c r="K475">
        <f>$H$469*I475-H475^2</f>
        <v/>
      </c>
      <c r="L475">
        <f>IF(ABS(K475)&gt;1E-12,($H$469*J475-H475*$I$469)/K475,0)</f>
        <v/>
      </c>
      <c r="M475">
        <f>IF(ABS(K475)&gt;1E-12,(I475*$I$469-H475*J475)/K475,0)</f>
        <v/>
      </c>
      <c r="N475">
        <f>$J$469-M475*$I$469-L475*J475</f>
        <v/>
      </c>
      <c r="O475">
        <f>IF(AND(C475,ABS(K475)&gt;1E-12,L475&gt;0),N475,1E+300)</f>
        <v/>
      </c>
    </row>
    <row r="476">
      <c r="A476">
        <f>$K$469+($L$469-$K$469)*4/400</f>
        <v/>
      </c>
      <c r="B476">
        <f>SUMPRODUCT((Calc!$F$3:$F$22&gt;=LTP!$E$5)*(Calc!$F$3:$F$22&lt;=k_n)*(Calc!$G$3:$G$22&lt;=A476))</f>
        <v/>
      </c>
      <c r="C476">
        <f>AND(B476&gt;=2,$B$469-B476&gt;=2)</f>
        <v/>
      </c>
      <c r="D476">
        <f>SUMPRODUCT((Calc!$F$3:$F$22&gt;=LTP!$E$5)*(Calc!$F$3:$F$22&lt;=k_n)*(Calc!$G$3:$G$22&gt;A476)*(Calc!$G$3:$G$22-A476))</f>
        <v/>
      </c>
      <c r="E476">
        <f>SUMPRODUCT((Calc!$F$3:$F$22&gt;=LTP!$E$5)*(Calc!$F$3:$F$22&lt;=k_n)*(Calc!$G$3:$G$22&gt;A476)*(Calc!$G$3:$G$22-A476)^2)</f>
        <v/>
      </c>
      <c r="F476">
        <f>SUMPRODUCT((Calc!$F$3:$F$22&gt;=LTP!$E$5)*(Calc!$F$3:$F$22&lt;=k_n)*(Calc!$G$3:$G$22&gt;A476)*(Calc!$G$3:$G$22-A476)*Calc!$G$3:$G$22)</f>
        <v/>
      </c>
      <c r="G476">
        <f>SUMPRODUCT((Calc!$F$3:$F$22&gt;=LTP!$E$5)*(Calc!$F$3:$F$22&lt;=k_n)*(Calc!$G$3:$G$22&gt;A476)*(Calc!$G$3:$G$22-A476)*Calc!$I$3:$I$22)</f>
        <v/>
      </c>
      <c r="H476">
        <f>IF($B$469&gt;0,F476-$C$469*D476/$B$469,0)</f>
        <v/>
      </c>
      <c r="I476">
        <f>IF($B$469&gt;0,E476-D476^2/$B$469,0)</f>
        <v/>
      </c>
      <c r="J476">
        <f>IF($B$469&gt;0,G476-D476*$D$469/$B$469,0)</f>
        <v/>
      </c>
      <c r="K476">
        <f>$H$469*I476-H476^2</f>
        <v/>
      </c>
      <c r="L476">
        <f>IF(ABS(K476)&gt;1E-12,($H$469*J476-H476*$I$469)/K476,0)</f>
        <v/>
      </c>
      <c r="M476">
        <f>IF(ABS(K476)&gt;1E-12,(I476*$I$469-H476*J476)/K476,0)</f>
        <v/>
      </c>
      <c r="N476">
        <f>$J$469-M476*$I$469-L476*J476</f>
        <v/>
      </c>
      <c r="O476">
        <f>IF(AND(C476,ABS(K476)&gt;1E-12,L476&gt;0),N476,1E+300)</f>
        <v/>
      </c>
    </row>
    <row r="477">
      <c r="A477">
        <f>$K$469+($L$469-$K$469)*5/400</f>
        <v/>
      </c>
      <c r="B477">
        <f>SUMPRODUCT((Calc!$F$3:$F$22&gt;=LTP!$E$5)*(Calc!$F$3:$F$22&lt;=k_n)*(Calc!$G$3:$G$22&lt;=A477))</f>
        <v/>
      </c>
      <c r="C477">
        <f>AND(B477&gt;=2,$B$469-B477&gt;=2)</f>
        <v/>
      </c>
      <c r="D477">
        <f>SUMPRODUCT((Calc!$F$3:$F$22&gt;=LTP!$E$5)*(Calc!$F$3:$F$22&lt;=k_n)*(Calc!$G$3:$G$22&gt;A477)*(Calc!$G$3:$G$22-A477))</f>
        <v/>
      </c>
      <c r="E477">
        <f>SUMPRODUCT((Calc!$F$3:$F$22&gt;=LTP!$E$5)*(Calc!$F$3:$F$22&lt;=k_n)*(Calc!$G$3:$G$22&gt;A477)*(Calc!$G$3:$G$22-A477)^2)</f>
        <v/>
      </c>
      <c r="F477">
        <f>SUMPRODUCT((Calc!$F$3:$F$22&gt;=LTP!$E$5)*(Calc!$F$3:$F$22&lt;=k_n)*(Calc!$G$3:$G$22&gt;A477)*(Calc!$G$3:$G$22-A477)*Calc!$G$3:$G$22)</f>
        <v/>
      </c>
      <c r="G477">
        <f>SUMPRODUCT((Calc!$F$3:$F$22&gt;=LTP!$E$5)*(Calc!$F$3:$F$22&lt;=k_n)*(Calc!$G$3:$G$22&gt;A477)*(Calc!$G$3:$G$22-A477)*Calc!$I$3:$I$22)</f>
        <v/>
      </c>
      <c r="H477">
        <f>IF($B$469&gt;0,F477-$C$469*D477/$B$469,0)</f>
        <v/>
      </c>
      <c r="I477">
        <f>IF($B$469&gt;0,E477-D477^2/$B$469,0)</f>
        <v/>
      </c>
      <c r="J477">
        <f>IF($B$469&gt;0,G477-D477*$D$469/$B$469,0)</f>
        <v/>
      </c>
      <c r="K477">
        <f>$H$469*I477-H477^2</f>
        <v/>
      </c>
      <c r="L477">
        <f>IF(ABS(K477)&gt;1E-12,($H$469*J477-H477*$I$469)/K477,0)</f>
        <v/>
      </c>
      <c r="M477">
        <f>IF(ABS(K477)&gt;1E-12,(I477*$I$469-H477*J477)/K477,0)</f>
        <v/>
      </c>
      <c r="N477">
        <f>$J$469-M477*$I$469-L477*J477</f>
        <v/>
      </c>
      <c r="O477">
        <f>IF(AND(C477,ABS(K477)&gt;1E-12,L477&gt;0),N477,1E+300)</f>
        <v/>
      </c>
    </row>
    <row r="478">
      <c r="A478">
        <f>$K$469+($L$469-$K$469)*6/400</f>
        <v/>
      </c>
      <c r="B478">
        <f>SUMPRODUCT((Calc!$F$3:$F$22&gt;=LTP!$E$5)*(Calc!$F$3:$F$22&lt;=k_n)*(Calc!$G$3:$G$22&lt;=A478))</f>
        <v/>
      </c>
      <c r="C478">
        <f>AND(B478&gt;=2,$B$469-B478&gt;=2)</f>
        <v/>
      </c>
      <c r="D478">
        <f>SUMPRODUCT((Calc!$F$3:$F$22&gt;=LTP!$E$5)*(Calc!$F$3:$F$22&lt;=k_n)*(Calc!$G$3:$G$22&gt;A478)*(Calc!$G$3:$G$22-A478))</f>
        <v/>
      </c>
      <c r="E478">
        <f>SUMPRODUCT((Calc!$F$3:$F$22&gt;=LTP!$E$5)*(Calc!$F$3:$F$22&lt;=k_n)*(Calc!$G$3:$G$22&gt;A478)*(Calc!$G$3:$G$22-A478)^2)</f>
        <v/>
      </c>
      <c r="F478">
        <f>SUMPRODUCT((Calc!$F$3:$F$22&gt;=LTP!$E$5)*(Calc!$F$3:$F$22&lt;=k_n)*(Calc!$G$3:$G$22&gt;A478)*(Calc!$G$3:$G$22-A478)*Calc!$G$3:$G$22)</f>
        <v/>
      </c>
      <c r="G478">
        <f>SUMPRODUCT((Calc!$F$3:$F$22&gt;=LTP!$E$5)*(Calc!$F$3:$F$22&lt;=k_n)*(Calc!$G$3:$G$22&gt;A478)*(Calc!$G$3:$G$22-A478)*Calc!$I$3:$I$22)</f>
        <v/>
      </c>
      <c r="H478">
        <f>IF($B$469&gt;0,F478-$C$469*D478/$B$469,0)</f>
        <v/>
      </c>
      <c r="I478">
        <f>IF($B$469&gt;0,E478-D478^2/$B$469,0)</f>
        <v/>
      </c>
      <c r="J478">
        <f>IF($B$469&gt;0,G478-D478*$D$469/$B$469,0)</f>
        <v/>
      </c>
      <c r="K478">
        <f>$H$469*I478-H478^2</f>
        <v/>
      </c>
      <c r="L478">
        <f>IF(ABS(K478)&gt;1E-12,($H$469*J478-H478*$I$469)/K478,0)</f>
        <v/>
      </c>
      <c r="M478">
        <f>IF(ABS(K478)&gt;1E-12,(I478*$I$469-H478*J478)/K478,0)</f>
        <v/>
      </c>
      <c r="N478">
        <f>$J$469-M478*$I$469-L478*J478</f>
        <v/>
      </c>
      <c r="O478">
        <f>IF(AND(C478,ABS(K478)&gt;1E-12,L478&gt;0),N478,1E+300)</f>
        <v/>
      </c>
    </row>
    <row r="479">
      <c r="A479">
        <f>$K$469+($L$469-$K$469)*7/400</f>
        <v/>
      </c>
      <c r="B479">
        <f>SUMPRODUCT((Calc!$F$3:$F$22&gt;=LTP!$E$5)*(Calc!$F$3:$F$22&lt;=k_n)*(Calc!$G$3:$G$22&lt;=A479))</f>
        <v/>
      </c>
      <c r="C479">
        <f>AND(B479&gt;=2,$B$469-B479&gt;=2)</f>
        <v/>
      </c>
      <c r="D479">
        <f>SUMPRODUCT((Calc!$F$3:$F$22&gt;=LTP!$E$5)*(Calc!$F$3:$F$22&lt;=k_n)*(Calc!$G$3:$G$22&gt;A479)*(Calc!$G$3:$G$22-A479))</f>
        <v/>
      </c>
      <c r="E479">
        <f>SUMPRODUCT((Calc!$F$3:$F$22&gt;=LTP!$E$5)*(Calc!$F$3:$F$22&lt;=k_n)*(Calc!$G$3:$G$22&gt;A479)*(Calc!$G$3:$G$22-A479)^2)</f>
        <v/>
      </c>
      <c r="F479">
        <f>SUMPRODUCT((Calc!$F$3:$F$22&gt;=LTP!$E$5)*(Calc!$F$3:$F$22&lt;=k_n)*(Calc!$G$3:$G$22&gt;A479)*(Calc!$G$3:$G$22-A479)*Calc!$G$3:$G$22)</f>
        <v/>
      </c>
      <c r="G479">
        <f>SUMPRODUCT((Calc!$F$3:$F$22&gt;=LTP!$E$5)*(Calc!$F$3:$F$22&lt;=k_n)*(Calc!$G$3:$G$22&gt;A479)*(Calc!$G$3:$G$22-A479)*Calc!$I$3:$I$22)</f>
        <v/>
      </c>
      <c r="H479">
        <f>IF($B$469&gt;0,F479-$C$469*D479/$B$469,0)</f>
        <v/>
      </c>
      <c r="I479">
        <f>IF($B$469&gt;0,E479-D479^2/$B$469,0)</f>
        <v/>
      </c>
      <c r="J479">
        <f>IF($B$469&gt;0,G479-D479*$D$469/$B$469,0)</f>
        <v/>
      </c>
      <c r="K479">
        <f>$H$469*I479-H479^2</f>
        <v/>
      </c>
      <c r="L479">
        <f>IF(ABS(K479)&gt;1E-12,($H$469*J479-H479*$I$469)/K479,0)</f>
        <v/>
      </c>
      <c r="M479">
        <f>IF(ABS(K479)&gt;1E-12,(I479*$I$469-H479*J479)/K479,0)</f>
        <v/>
      </c>
      <c r="N479">
        <f>$J$469-M479*$I$469-L479*J479</f>
        <v/>
      </c>
      <c r="O479">
        <f>IF(AND(C479,ABS(K479)&gt;1E-12,L479&gt;0),N479,1E+300)</f>
        <v/>
      </c>
    </row>
    <row r="480">
      <c r="A480">
        <f>$K$469+($L$469-$K$469)*8/400</f>
        <v/>
      </c>
      <c r="B480">
        <f>SUMPRODUCT((Calc!$F$3:$F$22&gt;=LTP!$E$5)*(Calc!$F$3:$F$22&lt;=k_n)*(Calc!$G$3:$G$22&lt;=A480))</f>
        <v/>
      </c>
      <c r="C480">
        <f>AND(B480&gt;=2,$B$469-B480&gt;=2)</f>
        <v/>
      </c>
      <c r="D480">
        <f>SUMPRODUCT((Calc!$F$3:$F$22&gt;=LTP!$E$5)*(Calc!$F$3:$F$22&lt;=k_n)*(Calc!$G$3:$G$22&gt;A480)*(Calc!$G$3:$G$22-A480))</f>
        <v/>
      </c>
      <c r="E480">
        <f>SUMPRODUCT((Calc!$F$3:$F$22&gt;=LTP!$E$5)*(Calc!$F$3:$F$22&lt;=k_n)*(Calc!$G$3:$G$22&gt;A480)*(Calc!$G$3:$G$22-A480)^2)</f>
        <v/>
      </c>
      <c r="F480">
        <f>SUMPRODUCT((Calc!$F$3:$F$22&gt;=LTP!$E$5)*(Calc!$F$3:$F$22&lt;=k_n)*(Calc!$G$3:$G$22&gt;A480)*(Calc!$G$3:$G$22-A480)*Calc!$G$3:$G$22)</f>
        <v/>
      </c>
      <c r="G480">
        <f>SUMPRODUCT((Calc!$F$3:$F$22&gt;=LTP!$E$5)*(Calc!$F$3:$F$22&lt;=k_n)*(Calc!$G$3:$G$22&gt;A480)*(Calc!$G$3:$G$22-A480)*Calc!$I$3:$I$22)</f>
        <v/>
      </c>
      <c r="H480">
        <f>IF($B$469&gt;0,F480-$C$469*D480/$B$469,0)</f>
        <v/>
      </c>
      <c r="I480">
        <f>IF($B$469&gt;0,E480-D480^2/$B$469,0)</f>
        <v/>
      </c>
      <c r="J480">
        <f>IF($B$469&gt;0,G480-D480*$D$469/$B$469,0)</f>
        <v/>
      </c>
      <c r="K480">
        <f>$H$469*I480-H480^2</f>
        <v/>
      </c>
      <c r="L480">
        <f>IF(ABS(K480)&gt;1E-12,($H$469*J480-H480*$I$469)/K480,0)</f>
        <v/>
      </c>
      <c r="M480">
        <f>IF(ABS(K480)&gt;1E-12,(I480*$I$469-H480*J480)/K480,0)</f>
        <v/>
      </c>
      <c r="N480">
        <f>$J$469-M480*$I$469-L480*J480</f>
        <v/>
      </c>
      <c r="O480">
        <f>IF(AND(C480,ABS(K480)&gt;1E-12,L480&gt;0),N480,1E+300)</f>
        <v/>
      </c>
    </row>
    <row r="481">
      <c r="A481">
        <f>$K$469+($L$469-$K$469)*9/400</f>
        <v/>
      </c>
      <c r="B481">
        <f>SUMPRODUCT((Calc!$F$3:$F$22&gt;=LTP!$E$5)*(Calc!$F$3:$F$22&lt;=k_n)*(Calc!$G$3:$G$22&lt;=A481))</f>
        <v/>
      </c>
      <c r="C481">
        <f>AND(B481&gt;=2,$B$469-B481&gt;=2)</f>
        <v/>
      </c>
      <c r="D481">
        <f>SUMPRODUCT((Calc!$F$3:$F$22&gt;=LTP!$E$5)*(Calc!$F$3:$F$22&lt;=k_n)*(Calc!$G$3:$G$22&gt;A481)*(Calc!$G$3:$G$22-A481))</f>
        <v/>
      </c>
      <c r="E481">
        <f>SUMPRODUCT((Calc!$F$3:$F$22&gt;=LTP!$E$5)*(Calc!$F$3:$F$22&lt;=k_n)*(Calc!$G$3:$G$22&gt;A481)*(Calc!$G$3:$G$22-A481)^2)</f>
        <v/>
      </c>
      <c r="F481">
        <f>SUMPRODUCT((Calc!$F$3:$F$22&gt;=LTP!$E$5)*(Calc!$F$3:$F$22&lt;=k_n)*(Calc!$G$3:$G$22&gt;A481)*(Calc!$G$3:$G$22-A481)*Calc!$G$3:$G$22)</f>
        <v/>
      </c>
      <c r="G481">
        <f>SUMPRODUCT((Calc!$F$3:$F$22&gt;=LTP!$E$5)*(Calc!$F$3:$F$22&lt;=k_n)*(Calc!$G$3:$G$22&gt;A481)*(Calc!$G$3:$G$22-A481)*Calc!$I$3:$I$22)</f>
        <v/>
      </c>
      <c r="H481">
        <f>IF($B$469&gt;0,F481-$C$469*D481/$B$469,0)</f>
        <v/>
      </c>
      <c r="I481">
        <f>IF($B$469&gt;0,E481-D481^2/$B$469,0)</f>
        <v/>
      </c>
      <c r="J481">
        <f>IF($B$469&gt;0,G481-D481*$D$469/$B$469,0)</f>
        <v/>
      </c>
      <c r="K481">
        <f>$H$469*I481-H481^2</f>
        <v/>
      </c>
      <c r="L481">
        <f>IF(ABS(K481)&gt;1E-12,($H$469*J481-H481*$I$469)/K481,0)</f>
        <v/>
      </c>
      <c r="M481">
        <f>IF(ABS(K481)&gt;1E-12,(I481*$I$469-H481*J481)/K481,0)</f>
        <v/>
      </c>
      <c r="N481">
        <f>$J$469-M481*$I$469-L481*J481</f>
        <v/>
      </c>
      <c r="O481">
        <f>IF(AND(C481,ABS(K481)&gt;1E-12,L481&gt;0),N481,1E+300)</f>
        <v/>
      </c>
    </row>
    <row r="482">
      <c r="A482">
        <f>$K$469+($L$469-$K$469)*10/400</f>
        <v/>
      </c>
      <c r="B482">
        <f>SUMPRODUCT((Calc!$F$3:$F$22&gt;=LTP!$E$5)*(Calc!$F$3:$F$22&lt;=k_n)*(Calc!$G$3:$G$22&lt;=A482))</f>
        <v/>
      </c>
      <c r="C482">
        <f>AND(B482&gt;=2,$B$469-B482&gt;=2)</f>
        <v/>
      </c>
      <c r="D482">
        <f>SUMPRODUCT((Calc!$F$3:$F$22&gt;=LTP!$E$5)*(Calc!$F$3:$F$22&lt;=k_n)*(Calc!$G$3:$G$22&gt;A482)*(Calc!$G$3:$G$22-A482))</f>
        <v/>
      </c>
      <c r="E482">
        <f>SUMPRODUCT((Calc!$F$3:$F$22&gt;=LTP!$E$5)*(Calc!$F$3:$F$22&lt;=k_n)*(Calc!$G$3:$G$22&gt;A482)*(Calc!$G$3:$G$22-A482)^2)</f>
        <v/>
      </c>
      <c r="F482">
        <f>SUMPRODUCT((Calc!$F$3:$F$22&gt;=LTP!$E$5)*(Calc!$F$3:$F$22&lt;=k_n)*(Calc!$G$3:$G$22&gt;A482)*(Calc!$G$3:$G$22-A482)*Calc!$G$3:$G$22)</f>
        <v/>
      </c>
      <c r="G482">
        <f>SUMPRODUCT((Calc!$F$3:$F$22&gt;=LTP!$E$5)*(Calc!$F$3:$F$22&lt;=k_n)*(Calc!$G$3:$G$22&gt;A482)*(Calc!$G$3:$G$22-A482)*Calc!$I$3:$I$22)</f>
        <v/>
      </c>
      <c r="H482">
        <f>IF($B$469&gt;0,F482-$C$469*D482/$B$469,0)</f>
        <v/>
      </c>
      <c r="I482">
        <f>IF($B$469&gt;0,E482-D482^2/$B$469,0)</f>
        <v/>
      </c>
      <c r="J482">
        <f>IF($B$469&gt;0,G482-D482*$D$469/$B$469,0)</f>
        <v/>
      </c>
      <c r="K482">
        <f>$H$469*I482-H482^2</f>
        <v/>
      </c>
      <c r="L482">
        <f>IF(ABS(K482)&gt;1E-12,($H$469*J482-H482*$I$469)/K482,0)</f>
        <v/>
      </c>
      <c r="M482">
        <f>IF(ABS(K482)&gt;1E-12,(I482*$I$469-H482*J482)/K482,0)</f>
        <v/>
      </c>
      <c r="N482">
        <f>$J$469-M482*$I$469-L482*J482</f>
        <v/>
      </c>
      <c r="O482">
        <f>IF(AND(C482,ABS(K482)&gt;1E-12,L482&gt;0),N482,1E+300)</f>
        <v/>
      </c>
    </row>
    <row r="483">
      <c r="A483">
        <f>$K$469+($L$469-$K$469)*11/400</f>
        <v/>
      </c>
      <c r="B483">
        <f>SUMPRODUCT((Calc!$F$3:$F$22&gt;=LTP!$E$5)*(Calc!$F$3:$F$22&lt;=k_n)*(Calc!$G$3:$G$22&lt;=A483))</f>
        <v/>
      </c>
      <c r="C483">
        <f>AND(B483&gt;=2,$B$469-B483&gt;=2)</f>
        <v/>
      </c>
      <c r="D483">
        <f>SUMPRODUCT((Calc!$F$3:$F$22&gt;=LTP!$E$5)*(Calc!$F$3:$F$22&lt;=k_n)*(Calc!$G$3:$G$22&gt;A483)*(Calc!$G$3:$G$22-A483))</f>
        <v/>
      </c>
      <c r="E483">
        <f>SUMPRODUCT((Calc!$F$3:$F$22&gt;=LTP!$E$5)*(Calc!$F$3:$F$22&lt;=k_n)*(Calc!$G$3:$G$22&gt;A483)*(Calc!$G$3:$G$22-A483)^2)</f>
        <v/>
      </c>
      <c r="F483">
        <f>SUMPRODUCT((Calc!$F$3:$F$22&gt;=LTP!$E$5)*(Calc!$F$3:$F$22&lt;=k_n)*(Calc!$G$3:$G$22&gt;A483)*(Calc!$G$3:$G$22-A483)*Calc!$G$3:$G$22)</f>
        <v/>
      </c>
      <c r="G483">
        <f>SUMPRODUCT((Calc!$F$3:$F$22&gt;=LTP!$E$5)*(Calc!$F$3:$F$22&lt;=k_n)*(Calc!$G$3:$G$22&gt;A483)*(Calc!$G$3:$G$22-A483)*Calc!$I$3:$I$22)</f>
        <v/>
      </c>
      <c r="H483">
        <f>IF($B$469&gt;0,F483-$C$469*D483/$B$469,0)</f>
        <v/>
      </c>
      <c r="I483">
        <f>IF($B$469&gt;0,E483-D483^2/$B$469,0)</f>
        <v/>
      </c>
      <c r="J483">
        <f>IF($B$469&gt;0,G483-D483*$D$469/$B$469,0)</f>
        <v/>
      </c>
      <c r="K483">
        <f>$H$469*I483-H483^2</f>
        <v/>
      </c>
      <c r="L483">
        <f>IF(ABS(K483)&gt;1E-12,($H$469*J483-H483*$I$469)/K483,0)</f>
        <v/>
      </c>
      <c r="M483">
        <f>IF(ABS(K483)&gt;1E-12,(I483*$I$469-H483*J483)/K483,0)</f>
        <v/>
      </c>
      <c r="N483">
        <f>$J$469-M483*$I$469-L483*J483</f>
        <v/>
      </c>
      <c r="O483">
        <f>IF(AND(C483,ABS(K483)&gt;1E-12,L483&gt;0),N483,1E+300)</f>
        <v/>
      </c>
    </row>
    <row r="484">
      <c r="A484">
        <f>$K$469+($L$469-$K$469)*12/400</f>
        <v/>
      </c>
      <c r="B484">
        <f>SUMPRODUCT((Calc!$F$3:$F$22&gt;=LTP!$E$5)*(Calc!$F$3:$F$22&lt;=k_n)*(Calc!$G$3:$G$22&lt;=A484))</f>
        <v/>
      </c>
      <c r="C484">
        <f>AND(B484&gt;=2,$B$469-B484&gt;=2)</f>
        <v/>
      </c>
      <c r="D484">
        <f>SUMPRODUCT((Calc!$F$3:$F$22&gt;=LTP!$E$5)*(Calc!$F$3:$F$22&lt;=k_n)*(Calc!$G$3:$G$22&gt;A484)*(Calc!$G$3:$G$22-A484))</f>
        <v/>
      </c>
      <c r="E484">
        <f>SUMPRODUCT((Calc!$F$3:$F$22&gt;=LTP!$E$5)*(Calc!$F$3:$F$22&lt;=k_n)*(Calc!$G$3:$G$22&gt;A484)*(Calc!$G$3:$G$22-A484)^2)</f>
        <v/>
      </c>
      <c r="F484">
        <f>SUMPRODUCT((Calc!$F$3:$F$22&gt;=LTP!$E$5)*(Calc!$F$3:$F$22&lt;=k_n)*(Calc!$G$3:$G$22&gt;A484)*(Calc!$G$3:$G$22-A484)*Calc!$G$3:$G$22)</f>
        <v/>
      </c>
      <c r="G484">
        <f>SUMPRODUCT((Calc!$F$3:$F$22&gt;=LTP!$E$5)*(Calc!$F$3:$F$22&lt;=k_n)*(Calc!$G$3:$G$22&gt;A484)*(Calc!$G$3:$G$22-A484)*Calc!$I$3:$I$22)</f>
        <v/>
      </c>
      <c r="H484">
        <f>IF($B$469&gt;0,F484-$C$469*D484/$B$469,0)</f>
        <v/>
      </c>
      <c r="I484">
        <f>IF($B$469&gt;0,E484-D484^2/$B$469,0)</f>
        <v/>
      </c>
      <c r="J484">
        <f>IF($B$469&gt;0,G484-D484*$D$469/$B$469,0)</f>
        <v/>
      </c>
      <c r="K484">
        <f>$H$469*I484-H484^2</f>
        <v/>
      </c>
      <c r="L484">
        <f>IF(ABS(K484)&gt;1E-12,($H$469*J484-H484*$I$469)/K484,0)</f>
        <v/>
      </c>
      <c r="M484">
        <f>IF(ABS(K484)&gt;1E-12,(I484*$I$469-H484*J484)/K484,0)</f>
        <v/>
      </c>
      <c r="N484">
        <f>$J$469-M484*$I$469-L484*J484</f>
        <v/>
      </c>
      <c r="O484">
        <f>IF(AND(C484,ABS(K484)&gt;1E-12,L484&gt;0),N484,1E+300)</f>
        <v/>
      </c>
    </row>
    <row r="485">
      <c r="A485">
        <f>$K$469+($L$469-$K$469)*13/400</f>
        <v/>
      </c>
      <c r="B485">
        <f>SUMPRODUCT((Calc!$F$3:$F$22&gt;=LTP!$E$5)*(Calc!$F$3:$F$22&lt;=k_n)*(Calc!$G$3:$G$22&lt;=A485))</f>
        <v/>
      </c>
      <c r="C485">
        <f>AND(B485&gt;=2,$B$469-B485&gt;=2)</f>
        <v/>
      </c>
      <c r="D485">
        <f>SUMPRODUCT((Calc!$F$3:$F$22&gt;=LTP!$E$5)*(Calc!$F$3:$F$22&lt;=k_n)*(Calc!$G$3:$G$22&gt;A485)*(Calc!$G$3:$G$22-A485))</f>
        <v/>
      </c>
      <c r="E485">
        <f>SUMPRODUCT((Calc!$F$3:$F$22&gt;=LTP!$E$5)*(Calc!$F$3:$F$22&lt;=k_n)*(Calc!$G$3:$G$22&gt;A485)*(Calc!$G$3:$G$22-A485)^2)</f>
        <v/>
      </c>
      <c r="F485">
        <f>SUMPRODUCT((Calc!$F$3:$F$22&gt;=LTP!$E$5)*(Calc!$F$3:$F$22&lt;=k_n)*(Calc!$G$3:$G$22&gt;A485)*(Calc!$G$3:$G$22-A485)*Calc!$G$3:$G$22)</f>
        <v/>
      </c>
      <c r="G485">
        <f>SUMPRODUCT((Calc!$F$3:$F$22&gt;=LTP!$E$5)*(Calc!$F$3:$F$22&lt;=k_n)*(Calc!$G$3:$G$22&gt;A485)*(Calc!$G$3:$G$22-A485)*Calc!$I$3:$I$22)</f>
        <v/>
      </c>
      <c r="H485">
        <f>IF($B$469&gt;0,F485-$C$469*D485/$B$469,0)</f>
        <v/>
      </c>
      <c r="I485">
        <f>IF($B$469&gt;0,E485-D485^2/$B$469,0)</f>
        <v/>
      </c>
      <c r="J485">
        <f>IF($B$469&gt;0,G485-D485*$D$469/$B$469,0)</f>
        <v/>
      </c>
      <c r="K485">
        <f>$H$469*I485-H485^2</f>
        <v/>
      </c>
      <c r="L485">
        <f>IF(ABS(K485)&gt;1E-12,($H$469*J485-H485*$I$469)/K485,0)</f>
        <v/>
      </c>
      <c r="M485">
        <f>IF(ABS(K485)&gt;1E-12,(I485*$I$469-H485*J485)/K485,0)</f>
        <v/>
      </c>
      <c r="N485">
        <f>$J$469-M485*$I$469-L485*J485</f>
        <v/>
      </c>
      <c r="O485">
        <f>IF(AND(C485,ABS(K485)&gt;1E-12,L485&gt;0),N485,1E+300)</f>
        <v/>
      </c>
    </row>
    <row r="486">
      <c r="A486">
        <f>$K$469+($L$469-$K$469)*14/400</f>
        <v/>
      </c>
      <c r="B486">
        <f>SUMPRODUCT((Calc!$F$3:$F$22&gt;=LTP!$E$5)*(Calc!$F$3:$F$22&lt;=k_n)*(Calc!$G$3:$G$22&lt;=A486))</f>
        <v/>
      </c>
      <c r="C486">
        <f>AND(B486&gt;=2,$B$469-B486&gt;=2)</f>
        <v/>
      </c>
      <c r="D486">
        <f>SUMPRODUCT((Calc!$F$3:$F$22&gt;=LTP!$E$5)*(Calc!$F$3:$F$22&lt;=k_n)*(Calc!$G$3:$G$22&gt;A486)*(Calc!$G$3:$G$22-A486))</f>
        <v/>
      </c>
      <c r="E486">
        <f>SUMPRODUCT((Calc!$F$3:$F$22&gt;=LTP!$E$5)*(Calc!$F$3:$F$22&lt;=k_n)*(Calc!$G$3:$G$22&gt;A486)*(Calc!$G$3:$G$22-A486)^2)</f>
        <v/>
      </c>
      <c r="F486">
        <f>SUMPRODUCT((Calc!$F$3:$F$22&gt;=LTP!$E$5)*(Calc!$F$3:$F$22&lt;=k_n)*(Calc!$G$3:$G$22&gt;A486)*(Calc!$G$3:$G$22-A486)*Calc!$G$3:$G$22)</f>
        <v/>
      </c>
      <c r="G486">
        <f>SUMPRODUCT((Calc!$F$3:$F$22&gt;=LTP!$E$5)*(Calc!$F$3:$F$22&lt;=k_n)*(Calc!$G$3:$G$22&gt;A486)*(Calc!$G$3:$G$22-A486)*Calc!$I$3:$I$22)</f>
        <v/>
      </c>
      <c r="H486">
        <f>IF($B$469&gt;0,F486-$C$469*D486/$B$469,0)</f>
        <v/>
      </c>
      <c r="I486">
        <f>IF($B$469&gt;0,E486-D486^2/$B$469,0)</f>
        <v/>
      </c>
      <c r="J486">
        <f>IF($B$469&gt;0,G486-D486*$D$469/$B$469,0)</f>
        <v/>
      </c>
      <c r="K486">
        <f>$H$469*I486-H486^2</f>
        <v/>
      </c>
      <c r="L486">
        <f>IF(ABS(K486)&gt;1E-12,($H$469*J486-H486*$I$469)/K486,0)</f>
        <v/>
      </c>
      <c r="M486">
        <f>IF(ABS(K486)&gt;1E-12,(I486*$I$469-H486*J486)/K486,0)</f>
        <v/>
      </c>
      <c r="N486">
        <f>$J$469-M486*$I$469-L486*J486</f>
        <v/>
      </c>
      <c r="O486">
        <f>IF(AND(C486,ABS(K486)&gt;1E-12,L486&gt;0),N486,1E+300)</f>
        <v/>
      </c>
    </row>
    <row r="487">
      <c r="A487">
        <f>$K$469+($L$469-$K$469)*15/400</f>
        <v/>
      </c>
      <c r="B487">
        <f>SUMPRODUCT((Calc!$F$3:$F$22&gt;=LTP!$E$5)*(Calc!$F$3:$F$22&lt;=k_n)*(Calc!$G$3:$G$22&lt;=A487))</f>
        <v/>
      </c>
      <c r="C487">
        <f>AND(B487&gt;=2,$B$469-B487&gt;=2)</f>
        <v/>
      </c>
      <c r="D487">
        <f>SUMPRODUCT((Calc!$F$3:$F$22&gt;=LTP!$E$5)*(Calc!$F$3:$F$22&lt;=k_n)*(Calc!$G$3:$G$22&gt;A487)*(Calc!$G$3:$G$22-A487))</f>
        <v/>
      </c>
      <c r="E487">
        <f>SUMPRODUCT((Calc!$F$3:$F$22&gt;=LTP!$E$5)*(Calc!$F$3:$F$22&lt;=k_n)*(Calc!$G$3:$G$22&gt;A487)*(Calc!$G$3:$G$22-A487)^2)</f>
        <v/>
      </c>
      <c r="F487">
        <f>SUMPRODUCT((Calc!$F$3:$F$22&gt;=LTP!$E$5)*(Calc!$F$3:$F$22&lt;=k_n)*(Calc!$G$3:$G$22&gt;A487)*(Calc!$G$3:$G$22-A487)*Calc!$G$3:$G$22)</f>
        <v/>
      </c>
      <c r="G487">
        <f>SUMPRODUCT((Calc!$F$3:$F$22&gt;=LTP!$E$5)*(Calc!$F$3:$F$22&lt;=k_n)*(Calc!$G$3:$G$22&gt;A487)*(Calc!$G$3:$G$22-A487)*Calc!$I$3:$I$22)</f>
        <v/>
      </c>
      <c r="H487">
        <f>IF($B$469&gt;0,F487-$C$469*D487/$B$469,0)</f>
        <v/>
      </c>
      <c r="I487">
        <f>IF($B$469&gt;0,E487-D487^2/$B$469,0)</f>
        <v/>
      </c>
      <c r="J487">
        <f>IF($B$469&gt;0,G487-D487*$D$469/$B$469,0)</f>
        <v/>
      </c>
      <c r="K487">
        <f>$H$469*I487-H487^2</f>
        <v/>
      </c>
      <c r="L487">
        <f>IF(ABS(K487)&gt;1E-12,($H$469*J487-H487*$I$469)/K487,0)</f>
        <v/>
      </c>
      <c r="M487">
        <f>IF(ABS(K487)&gt;1E-12,(I487*$I$469-H487*J487)/K487,0)</f>
        <v/>
      </c>
      <c r="N487">
        <f>$J$469-M487*$I$469-L487*J487</f>
        <v/>
      </c>
      <c r="O487">
        <f>IF(AND(C487,ABS(K487)&gt;1E-12,L487&gt;0),N487,1E+300)</f>
        <v/>
      </c>
    </row>
    <row r="488">
      <c r="A488">
        <f>$K$469+($L$469-$K$469)*16/400</f>
        <v/>
      </c>
      <c r="B488">
        <f>SUMPRODUCT((Calc!$F$3:$F$22&gt;=LTP!$E$5)*(Calc!$F$3:$F$22&lt;=k_n)*(Calc!$G$3:$G$22&lt;=A488))</f>
        <v/>
      </c>
      <c r="C488">
        <f>AND(B488&gt;=2,$B$469-B488&gt;=2)</f>
        <v/>
      </c>
      <c r="D488">
        <f>SUMPRODUCT((Calc!$F$3:$F$22&gt;=LTP!$E$5)*(Calc!$F$3:$F$22&lt;=k_n)*(Calc!$G$3:$G$22&gt;A488)*(Calc!$G$3:$G$22-A488))</f>
        <v/>
      </c>
      <c r="E488">
        <f>SUMPRODUCT((Calc!$F$3:$F$22&gt;=LTP!$E$5)*(Calc!$F$3:$F$22&lt;=k_n)*(Calc!$G$3:$G$22&gt;A488)*(Calc!$G$3:$G$22-A488)^2)</f>
        <v/>
      </c>
      <c r="F488">
        <f>SUMPRODUCT((Calc!$F$3:$F$22&gt;=LTP!$E$5)*(Calc!$F$3:$F$22&lt;=k_n)*(Calc!$G$3:$G$22&gt;A488)*(Calc!$G$3:$G$22-A488)*Calc!$G$3:$G$22)</f>
        <v/>
      </c>
      <c r="G488">
        <f>SUMPRODUCT((Calc!$F$3:$F$22&gt;=LTP!$E$5)*(Calc!$F$3:$F$22&lt;=k_n)*(Calc!$G$3:$G$22&gt;A488)*(Calc!$G$3:$G$22-A488)*Calc!$I$3:$I$22)</f>
        <v/>
      </c>
      <c r="H488">
        <f>IF($B$469&gt;0,F488-$C$469*D488/$B$469,0)</f>
        <v/>
      </c>
      <c r="I488">
        <f>IF($B$469&gt;0,E488-D488^2/$B$469,0)</f>
        <v/>
      </c>
      <c r="J488">
        <f>IF($B$469&gt;0,G488-D488*$D$469/$B$469,0)</f>
        <v/>
      </c>
      <c r="K488">
        <f>$H$469*I488-H488^2</f>
        <v/>
      </c>
      <c r="L488">
        <f>IF(ABS(K488)&gt;1E-12,($H$469*J488-H488*$I$469)/K488,0)</f>
        <v/>
      </c>
      <c r="M488">
        <f>IF(ABS(K488)&gt;1E-12,(I488*$I$469-H488*J488)/K488,0)</f>
        <v/>
      </c>
      <c r="N488">
        <f>$J$469-M488*$I$469-L488*J488</f>
        <v/>
      </c>
      <c r="O488">
        <f>IF(AND(C488,ABS(K488)&gt;1E-12,L488&gt;0),N488,1E+300)</f>
        <v/>
      </c>
    </row>
    <row r="489">
      <c r="A489">
        <f>$K$469+($L$469-$K$469)*17/400</f>
        <v/>
      </c>
      <c r="B489">
        <f>SUMPRODUCT((Calc!$F$3:$F$22&gt;=LTP!$E$5)*(Calc!$F$3:$F$22&lt;=k_n)*(Calc!$G$3:$G$22&lt;=A489))</f>
        <v/>
      </c>
      <c r="C489">
        <f>AND(B489&gt;=2,$B$469-B489&gt;=2)</f>
        <v/>
      </c>
      <c r="D489">
        <f>SUMPRODUCT((Calc!$F$3:$F$22&gt;=LTP!$E$5)*(Calc!$F$3:$F$22&lt;=k_n)*(Calc!$G$3:$G$22&gt;A489)*(Calc!$G$3:$G$22-A489))</f>
        <v/>
      </c>
      <c r="E489">
        <f>SUMPRODUCT((Calc!$F$3:$F$22&gt;=LTP!$E$5)*(Calc!$F$3:$F$22&lt;=k_n)*(Calc!$G$3:$G$22&gt;A489)*(Calc!$G$3:$G$22-A489)^2)</f>
        <v/>
      </c>
      <c r="F489">
        <f>SUMPRODUCT((Calc!$F$3:$F$22&gt;=LTP!$E$5)*(Calc!$F$3:$F$22&lt;=k_n)*(Calc!$G$3:$G$22&gt;A489)*(Calc!$G$3:$G$22-A489)*Calc!$G$3:$G$22)</f>
        <v/>
      </c>
      <c r="G489">
        <f>SUMPRODUCT((Calc!$F$3:$F$22&gt;=LTP!$E$5)*(Calc!$F$3:$F$22&lt;=k_n)*(Calc!$G$3:$G$22&gt;A489)*(Calc!$G$3:$G$22-A489)*Calc!$I$3:$I$22)</f>
        <v/>
      </c>
      <c r="H489">
        <f>IF($B$469&gt;0,F489-$C$469*D489/$B$469,0)</f>
        <v/>
      </c>
      <c r="I489">
        <f>IF($B$469&gt;0,E489-D489^2/$B$469,0)</f>
        <v/>
      </c>
      <c r="J489">
        <f>IF($B$469&gt;0,G489-D489*$D$469/$B$469,0)</f>
        <v/>
      </c>
      <c r="K489">
        <f>$H$469*I489-H489^2</f>
        <v/>
      </c>
      <c r="L489">
        <f>IF(ABS(K489)&gt;1E-12,($H$469*J489-H489*$I$469)/K489,0)</f>
        <v/>
      </c>
      <c r="M489">
        <f>IF(ABS(K489)&gt;1E-12,(I489*$I$469-H489*J489)/K489,0)</f>
        <v/>
      </c>
      <c r="N489">
        <f>$J$469-M489*$I$469-L489*J489</f>
        <v/>
      </c>
      <c r="O489">
        <f>IF(AND(C489,ABS(K489)&gt;1E-12,L489&gt;0),N489,1E+300)</f>
        <v/>
      </c>
    </row>
    <row r="490">
      <c r="A490">
        <f>$K$469+($L$469-$K$469)*18/400</f>
        <v/>
      </c>
      <c r="B490">
        <f>SUMPRODUCT((Calc!$F$3:$F$22&gt;=LTP!$E$5)*(Calc!$F$3:$F$22&lt;=k_n)*(Calc!$G$3:$G$22&lt;=A490))</f>
        <v/>
      </c>
      <c r="C490">
        <f>AND(B490&gt;=2,$B$469-B490&gt;=2)</f>
        <v/>
      </c>
      <c r="D490">
        <f>SUMPRODUCT((Calc!$F$3:$F$22&gt;=LTP!$E$5)*(Calc!$F$3:$F$22&lt;=k_n)*(Calc!$G$3:$G$22&gt;A490)*(Calc!$G$3:$G$22-A490))</f>
        <v/>
      </c>
      <c r="E490">
        <f>SUMPRODUCT((Calc!$F$3:$F$22&gt;=LTP!$E$5)*(Calc!$F$3:$F$22&lt;=k_n)*(Calc!$G$3:$G$22&gt;A490)*(Calc!$G$3:$G$22-A490)^2)</f>
        <v/>
      </c>
      <c r="F490">
        <f>SUMPRODUCT((Calc!$F$3:$F$22&gt;=LTP!$E$5)*(Calc!$F$3:$F$22&lt;=k_n)*(Calc!$G$3:$G$22&gt;A490)*(Calc!$G$3:$G$22-A490)*Calc!$G$3:$G$22)</f>
        <v/>
      </c>
      <c r="G490">
        <f>SUMPRODUCT((Calc!$F$3:$F$22&gt;=LTP!$E$5)*(Calc!$F$3:$F$22&lt;=k_n)*(Calc!$G$3:$G$22&gt;A490)*(Calc!$G$3:$G$22-A490)*Calc!$I$3:$I$22)</f>
        <v/>
      </c>
      <c r="H490">
        <f>IF($B$469&gt;0,F490-$C$469*D490/$B$469,0)</f>
        <v/>
      </c>
      <c r="I490">
        <f>IF($B$469&gt;0,E490-D490^2/$B$469,0)</f>
        <v/>
      </c>
      <c r="J490">
        <f>IF($B$469&gt;0,G490-D490*$D$469/$B$469,0)</f>
        <v/>
      </c>
      <c r="K490">
        <f>$H$469*I490-H490^2</f>
        <v/>
      </c>
      <c r="L490">
        <f>IF(ABS(K490)&gt;1E-12,($H$469*J490-H490*$I$469)/K490,0)</f>
        <v/>
      </c>
      <c r="M490">
        <f>IF(ABS(K490)&gt;1E-12,(I490*$I$469-H490*J490)/K490,0)</f>
        <v/>
      </c>
      <c r="N490">
        <f>$J$469-M490*$I$469-L490*J490</f>
        <v/>
      </c>
      <c r="O490">
        <f>IF(AND(C490,ABS(K490)&gt;1E-12,L490&gt;0),N490,1E+300)</f>
        <v/>
      </c>
    </row>
    <row r="491">
      <c r="A491">
        <f>$K$469+($L$469-$K$469)*19/400</f>
        <v/>
      </c>
      <c r="B491">
        <f>SUMPRODUCT((Calc!$F$3:$F$22&gt;=LTP!$E$5)*(Calc!$F$3:$F$22&lt;=k_n)*(Calc!$G$3:$G$22&lt;=A491))</f>
        <v/>
      </c>
      <c r="C491">
        <f>AND(B491&gt;=2,$B$469-B491&gt;=2)</f>
        <v/>
      </c>
      <c r="D491">
        <f>SUMPRODUCT((Calc!$F$3:$F$22&gt;=LTP!$E$5)*(Calc!$F$3:$F$22&lt;=k_n)*(Calc!$G$3:$G$22&gt;A491)*(Calc!$G$3:$G$22-A491))</f>
        <v/>
      </c>
      <c r="E491">
        <f>SUMPRODUCT((Calc!$F$3:$F$22&gt;=LTP!$E$5)*(Calc!$F$3:$F$22&lt;=k_n)*(Calc!$G$3:$G$22&gt;A491)*(Calc!$G$3:$G$22-A491)^2)</f>
        <v/>
      </c>
      <c r="F491">
        <f>SUMPRODUCT((Calc!$F$3:$F$22&gt;=LTP!$E$5)*(Calc!$F$3:$F$22&lt;=k_n)*(Calc!$G$3:$G$22&gt;A491)*(Calc!$G$3:$G$22-A491)*Calc!$G$3:$G$22)</f>
        <v/>
      </c>
      <c r="G491">
        <f>SUMPRODUCT((Calc!$F$3:$F$22&gt;=LTP!$E$5)*(Calc!$F$3:$F$22&lt;=k_n)*(Calc!$G$3:$G$22&gt;A491)*(Calc!$G$3:$G$22-A491)*Calc!$I$3:$I$22)</f>
        <v/>
      </c>
      <c r="H491">
        <f>IF($B$469&gt;0,F491-$C$469*D491/$B$469,0)</f>
        <v/>
      </c>
      <c r="I491">
        <f>IF($B$469&gt;0,E491-D491^2/$B$469,0)</f>
        <v/>
      </c>
      <c r="J491">
        <f>IF($B$469&gt;0,G491-D491*$D$469/$B$469,0)</f>
        <v/>
      </c>
      <c r="K491">
        <f>$H$469*I491-H491^2</f>
        <v/>
      </c>
      <c r="L491">
        <f>IF(ABS(K491)&gt;1E-12,($H$469*J491-H491*$I$469)/K491,0)</f>
        <v/>
      </c>
      <c r="M491">
        <f>IF(ABS(K491)&gt;1E-12,(I491*$I$469-H491*J491)/K491,0)</f>
        <v/>
      </c>
      <c r="N491">
        <f>$J$469-M491*$I$469-L491*J491</f>
        <v/>
      </c>
      <c r="O491">
        <f>IF(AND(C491,ABS(K491)&gt;1E-12,L491&gt;0),N491,1E+300)</f>
        <v/>
      </c>
    </row>
    <row r="492">
      <c r="A492">
        <f>$K$469+($L$469-$K$469)*20/400</f>
        <v/>
      </c>
      <c r="B492">
        <f>SUMPRODUCT((Calc!$F$3:$F$22&gt;=LTP!$E$5)*(Calc!$F$3:$F$22&lt;=k_n)*(Calc!$G$3:$G$22&lt;=A492))</f>
        <v/>
      </c>
      <c r="C492">
        <f>AND(B492&gt;=2,$B$469-B492&gt;=2)</f>
        <v/>
      </c>
      <c r="D492">
        <f>SUMPRODUCT((Calc!$F$3:$F$22&gt;=LTP!$E$5)*(Calc!$F$3:$F$22&lt;=k_n)*(Calc!$G$3:$G$22&gt;A492)*(Calc!$G$3:$G$22-A492))</f>
        <v/>
      </c>
      <c r="E492">
        <f>SUMPRODUCT((Calc!$F$3:$F$22&gt;=LTP!$E$5)*(Calc!$F$3:$F$22&lt;=k_n)*(Calc!$G$3:$G$22&gt;A492)*(Calc!$G$3:$G$22-A492)^2)</f>
        <v/>
      </c>
      <c r="F492">
        <f>SUMPRODUCT((Calc!$F$3:$F$22&gt;=LTP!$E$5)*(Calc!$F$3:$F$22&lt;=k_n)*(Calc!$G$3:$G$22&gt;A492)*(Calc!$G$3:$G$22-A492)*Calc!$G$3:$G$22)</f>
        <v/>
      </c>
      <c r="G492">
        <f>SUMPRODUCT((Calc!$F$3:$F$22&gt;=LTP!$E$5)*(Calc!$F$3:$F$22&lt;=k_n)*(Calc!$G$3:$G$22&gt;A492)*(Calc!$G$3:$G$22-A492)*Calc!$I$3:$I$22)</f>
        <v/>
      </c>
      <c r="H492">
        <f>IF($B$469&gt;0,F492-$C$469*D492/$B$469,0)</f>
        <v/>
      </c>
      <c r="I492">
        <f>IF($B$469&gt;0,E492-D492^2/$B$469,0)</f>
        <v/>
      </c>
      <c r="J492">
        <f>IF($B$469&gt;0,G492-D492*$D$469/$B$469,0)</f>
        <v/>
      </c>
      <c r="K492">
        <f>$H$469*I492-H492^2</f>
        <v/>
      </c>
      <c r="L492">
        <f>IF(ABS(K492)&gt;1E-12,($H$469*J492-H492*$I$469)/K492,0)</f>
        <v/>
      </c>
      <c r="M492">
        <f>IF(ABS(K492)&gt;1E-12,(I492*$I$469-H492*J492)/K492,0)</f>
        <v/>
      </c>
      <c r="N492">
        <f>$J$469-M492*$I$469-L492*J492</f>
        <v/>
      </c>
      <c r="O492">
        <f>IF(AND(C492,ABS(K492)&gt;1E-12,L492&gt;0),N492,1E+300)</f>
        <v/>
      </c>
    </row>
    <row r="493">
      <c r="A493">
        <f>$K$469+($L$469-$K$469)*21/400</f>
        <v/>
      </c>
      <c r="B493">
        <f>SUMPRODUCT((Calc!$F$3:$F$22&gt;=LTP!$E$5)*(Calc!$F$3:$F$22&lt;=k_n)*(Calc!$G$3:$G$22&lt;=A493))</f>
        <v/>
      </c>
      <c r="C493">
        <f>AND(B493&gt;=2,$B$469-B493&gt;=2)</f>
        <v/>
      </c>
      <c r="D493">
        <f>SUMPRODUCT((Calc!$F$3:$F$22&gt;=LTP!$E$5)*(Calc!$F$3:$F$22&lt;=k_n)*(Calc!$G$3:$G$22&gt;A493)*(Calc!$G$3:$G$22-A493))</f>
        <v/>
      </c>
      <c r="E493">
        <f>SUMPRODUCT((Calc!$F$3:$F$22&gt;=LTP!$E$5)*(Calc!$F$3:$F$22&lt;=k_n)*(Calc!$G$3:$G$22&gt;A493)*(Calc!$G$3:$G$22-A493)^2)</f>
        <v/>
      </c>
      <c r="F493">
        <f>SUMPRODUCT((Calc!$F$3:$F$22&gt;=LTP!$E$5)*(Calc!$F$3:$F$22&lt;=k_n)*(Calc!$G$3:$G$22&gt;A493)*(Calc!$G$3:$G$22-A493)*Calc!$G$3:$G$22)</f>
        <v/>
      </c>
      <c r="G493">
        <f>SUMPRODUCT((Calc!$F$3:$F$22&gt;=LTP!$E$5)*(Calc!$F$3:$F$22&lt;=k_n)*(Calc!$G$3:$G$22&gt;A493)*(Calc!$G$3:$G$22-A493)*Calc!$I$3:$I$22)</f>
        <v/>
      </c>
      <c r="H493">
        <f>IF($B$469&gt;0,F493-$C$469*D493/$B$469,0)</f>
        <v/>
      </c>
      <c r="I493">
        <f>IF($B$469&gt;0,E493-D493^2/$B$469,0)</f>
        <v/>
      </c>
      <c r="J493">
        <f>IF($B$469&gt;0,G493-D493*$D$469/$B$469,0)</f>
        <v/>
      </c>
      <c r="K493">
        <f>$H$469*I493-H493^2</f>
        <v/>
      </c>
      <c r="L493">
        <f>IF(ABS(K493)&gt;1E-12,($H$469*J493-H493*$I$469)/K493,0)</f>
        <v/>
      </c>
      <c r="M493">
        <f>IF(ABS(K493)&gt;1E-12,(I493*$I$469-H493*J493)/K493,0)</f>
        <v/>
      </c>
      <c r="N493">
        <f>$J$469-M493*$I$469-L493*J493</f>
        <v/>
      </c>
      <c r="O493">
        <f>IF(AND(C493,ABS(K493)&gt;1E-12,L493&gt;0),N493,1E+300)</f>
        <v/>
      </c>
    </row>
    <row r="494">
      <c r="A494">
        <f>$K$469+($L$469-$K$469)*22/400</f>
        <v/>
      </c>
      <c r="B494">
        <f>SUMPRODUCT((Calc!$F$3:$F$22&gt;=LTP!$E$5)*(Calc!$F$3:$F$22&lt;=k_n)*(Calc!$G$3:$G$22&lt;=A494))</f>
        <v/>
      </c>
      <c r="C494">
        <f>AND(B494&gt;=2,$B$469-B494&gt;=2)</f>
        <v/>
      </c>
      <c r="D494">
        <f>SUMPRODUCT((Calc!$F$3:$F$22&gt;=LTP!$E$5)*(Calc!$F$3:$F$22&lt;=k_n)*(Calc!$G$3:$G$22&gt;A494)*(Calc!$G$3:$G$22-A494))</f>
        <v/>
      </c>
      <c r="E494">
        <f>SUMPRODUCT((Calc!$F$3:$F$22&gt;=LTP!$E$5)*(Calc!$F$3:$F$22&lt;=k_n)*(Calc!$G$3:$G$22&gt;A494)*(Calc!$G$3:$G$22-A494)^2)</f>
        <v/>
      </c>
      <c r="F494">
        <f>SUMPRODUCT((Calc!$F$3:$F$22&gt;=LTP!$E$5)*(Calc!$F$3:$F$22&lt;=k_n)*(Calc!$G$3:$G$22&gt;A494)*(Calc!$G$3:$G$22-A494)*Calc!$G$3:$G$22)</f>
        <v/>
      </c>
      <c r="G494">
        <f>SUMPRODUCT((Calc!$F$3:$F$22&gt;=LTP!$E$5)*(Calc!$F$3:$F$22&lt;=k_n)*(Calc!$G$3:$G$22&gt;A494)*(Calc!$G$3:$G$22-A494)*Calc!$I$3:$I$22)</f>
        <v/>
      </c>
      <c r="H494">
        <f>IF($B$469&gt;0,F494-$C$469*D494/$B$469,0)</f>
        <v/>
      </c>
      <c r="I494">
        <f>IF($B$469&gt;0,E494-D494^2/$B$469,0)</f>
        <v/>
      </c>
      <c r="J494">
        <f>IF($B$469&gt;0,G494-D494*$D$469/$B$469,0)</f>
        <v/>
      </c>
      <c r="K494">
        <f>$H$469*I494-H494^2</f>
        <v/>
      </c>
      <c r="L494">
        <f>IF(ABS(K494)&gt;1E-12,($H$469*J494-H494*$I$469)/K494,0)</f>
        <v/>
      </c>
      <c r="M494">
        <f>IF(ABS(K494)&gt;1E-12,(I494*$I$469-H494*J494)/K494,0)</f>
        <v/>
      </c>
      <c r="N494">
        <f>$J$469-M494*$I$469-L494*J494</f>
        <v/>
      </c>
      <c r="O494">
        <f>IF(AND(C494,ABS(K494)&gt;1E-12,L494&gt;0),N494,1E+300)</f>
        <v/>
      </c>
    </row>
    <row r="495">
      <c r="A495">
        <f>$K$469+($L$469-$K$469)*23/400</f>
        <v/>
      </c>
      <c r="B495">
        <f>SUMPRODUCT((Calc!$F$3:$F$22&gt;=LTP!$E$5)*(Calc!$F$3:$F$22&lt;=k_n)*(Calc!$G$3:$G$22&lt;=A495))</f>
        <v/>
      </c>
      <c r="C495">
        <f>AND(B495&gt;=2,$B$469-B495&gt;=2)</f>
        <v/>
      </c>
      <c r="D495">
        <f>SUMPRODUCT((Calc!$F$3:$F$22&gt;=LTP!$E$5)*(Calc!$F$3:$F$22&lt;=k_n)*(Calc!$G$3:$G$22&gt;A495)*(Calc!$G$3:$G$22-A495))</f>
        <v/>
      </c>
      <c r="E495">
        <f>SUMPRODUCT((Calc!$F$3:$F$22&gt;=LTP!$E$5)*(Calc!$F$3:$F$22&lt;=k_n)*(Calc!$G$3:$G$22&gt;A495)*(Calc!$G$3:$G$22-A495)^2)</f>
        <v/>
      </c>
      <c r="F495">
        <f>SUMPRODUCT((Calc!$F$3:$F$22&gt;=LTP!$E$5)*(Calc!$F$3:$F$22&lt;=k_n)*(Calc!$G$3:$G$22&gt;A495)*(Calc!$G$3:$G$22-A495)*Calc!$G$3:$G$22)</f>
        <v/>
      </c>
      <c r="G495">
        <f>SUMPRODUCT((Calc!$F$3:$F$22&gt;=LTP!$E$5)*(Calc!$F$3:$F$22&lt;=k_n)*(Calc!$G$3:$G$22&gt;A495)*(Calc!$G$3:$G$22-A495)*Calc!$I$3:$I$22)</f>
        <v/>
      </c>
      <c r="H495">
        <f>IF($B$469&gt;0,F495-$C$469*D495/$B$469,0)</f>
        <v/>
      </c>
      <c r="I495">
        <f>IF($B$469&gt;0,E495-D495^2/$B$469,0)</f>
        <v/>
      </c>
      <c r="J495">
        <f>IF($B$469&gt;0,G495-D495*$D$469/$B$469,0)</f>
        <v/>
      </c>
      <c r="K495">
        <f>$H$469*I495-H495^2</f>
        <v/>
      </c>
      <c r="L495">
        <f>IF(ABS(K495)&gt;1E-12,($H$469*J495-H495*$I$469)/K495,0)</f>
        <v/>
      </c>
      <c r="M495">
        <f>IF(ABS(K495)&gt;1E-12,(I495*$I$469-H495*J495)/K495,0)</f>
        <v/>
      </c>
      <c r="N495">
        <f>$J$469-M495*$I$469-L495*J495</f>
        <v/>
      </c>
      <c r="O495">
        <f>IF(AND(C495,ABS(K495)&gt;1E-12,L495&gt;0),N495,1E+300)</f>
        <v/>
      </c>
    </row>
    <row r="496">
      <c r="A496">
        <f>$K$469+($L$469-$K$469)*24/400</f>
        <v/>
      </c>
      <c r="B496">
        <f>SUMPRODUCT((Calc!$F$3:$F$22&gt;=LTP!$E$5)*(Calc!$F$3:$F$22&lt;=k_n)*(Calc!$G$3:$G$22&lt;=A496))</f>
        <v/>
      </c>
      <c r="C496">
        <f>AND(B496&gt;=2,$B$469-B496&gt;=2)</f>
        <v/>
      </c>
      <c r="D496">
        <f>SUMPRODUCT((Calc!$F$3:$F$22&gt;=LTP!$E$5)*(Calc!$F$3:$F$22&lt;=k_n)*(Calc!$G$3:$G$22&gt;A496)*(Calc!$G$3:$G$22-A496))</f>
        <v/>
      </c>
      <c r="E496">
        <f>SUMPRODUCT((Calc!$F$3:$F$22&gt;=LTP!$E$5)*(Calc!$F$3:$F$22&lt;=k_n)*(Calc!$G$3:$G$22&gt;A496)*(Calc!$G$3:$G$22-A496)^2)</f>
        <v/>
      </c>
      <c r="F496">
        <f>SUMPRODUCT((Calc!$F$3:$F$22&gt;=LTP!$E$5)*(Calc!$F$3:$F$22&lt;=k_n)*(Calc!$G$3:$G$22&gt;A496)*(Calc!$G$3:$G$22-A496)*Calc!$G$3:$G$22)</f>
        <v/>
      </c>
      <c r="G496">
        <f>SUMPRODUCT((Calc!$F$3:$F$22&gt;=LTP!$E$5)*(Calc!$F$3:$F$22&lt;=k_n)*(Calc!$G$3:$G$22&gt;A496)*(Calc!$G$3:$G$22-A496)*Calc!$I$3:$I$22)</f>
        <v/>
      </c>
      <c r="H496">
        <f>IF($B$469&gt;0,F496-$C$469*D496/$B$469,0)</f>
        <v/>
      </c>
      <c r="I496">
        <f>IF($B$469&gt;0,E496-D496^2/$B$469,0)</f>
        <v/>
      </c>
      <c r="J496">
        <f>IF($B$469&gt;0,G496-D496*$D$469/$B$469,0)</f>
        <v/>
      </c>
      <c r="K496">
        <f>$H$469*I496-H496^2</f>
        <v/>
      </c>
      <c r="L496">
        <f>IF(ABS(K496)&gt;1E-12,($H$469*J496-H496*$I$469)/K496,0)</f>
        <v/>
      </c>
      <c r="M496">
        <f>IF(ABS(K496)&gt;1E-12,(I496*$I$469-H496*J496)/K496,0)</f>
        <v/>
      </c>
      <c r="N496">
        <f>$J$469-M496*$I$469-L496*J496</f>
        <v/>
      </c>
      <c r="O496">
        <f>IF(AND(C496,ABS(K496)&gt;1E-12,L496&gt;0),N496,1E+300)</f>
        <v/>
      </c>
    </row>
    <row r="497">
      <c r="A497">
        <f>$K$469+($L$469-$K$469)*25/400</f>
        <v/>
      </c>
      <c r="B497">
        <f>SUMPRODUCT((Calc!$F$3:$F$22&gt;=LTP!$E$5)*(Calc!$F$3:$F$22&lt;=k_n)*(Calc!$G$3:$G$22&lt;=A497))</f>
        <v/>
      </c>
      <c r="C497">
        <f>AND(B497&gt;=2,$B$469-B497&gt;=2)</f>
        <v/>
      </c>
      <c r="D497">
        <f>SUMPRODUCT((Calc!$F$3:$F$22&gt;=LTP!$E$5)*(Calc!$F$3:$F$22&lt;=k_n)*(Calc!$G$3:$G$22&gt;A497)*(Calc!$G$3:$G$22-A497))</f>
        <v/>
      </c>
      <c r="E497">
        <f>SUMPRODUCT((Calc!$F$3:$F$22&gt;=LTP!$E$5)*(Calc!$F$3:$F$22&lt;=k_n)*(Calc!$G$3:$G$22&gt;A497)*(Calc!$G$3:$G$22-A497)^2)</f>
        <v/>
      </c>
      <c r="F497">
        <f>SUMPRODUCT((Calc!$F$3:$F$22&gt;=LTP!$E$5)*(Calc!$F$3:$F$22&lt;=k_n)*(Calc!$G$3:$G$22&gt;A497)*(Calc!$G$3:$G$22-A497)*Calc!$G$3:$G$22)</f>
        <v/>
      </c>
      <c r="G497">
        <f>SUMPRODUCT((Calc!$F$3:$F$22&gt;=LTP!$E$5)*(Calc!$F$3:$F$22&lt;=k_n)*(Calc!$G$3:$G$22&gt;A497)*(Calc!$G$3:$G$22-A497)*Calc!$I$3:$I$22)</f>
        <v/>
      </c>
      <c r="H497">
        <f>IF($B$469&gt;0,F497-$C$469*D497/$B$469,0)</f>
        <v/>
      </c>
      <c r="I497">
        <f>IF($B$469&gt;0,E497-D497^2/$B$469,0)</f>
        <v/>
      </c>
      <c r="J497">
        <f>IF($B$469&gt;0,G497-D497*$D$469/$B$469,0)</f>
        <v/>
      </c>
      <c r="K497">
        <f>$H$469*I497-H497^2</f>
        <v/>
      </c>
      <c r="L497">
        <f>IF(ABS(K497)&gt;1E-12,($H$469*J497-H497*$I$469)/K497,0)</f>
        <v/>
      </c>
      <c r="M497">
        <f>IF(ABS(K497)&gt;1E-12,(I497*$I$469-H497*J497)/K497,0)</f>
        <v/>
      </c>
      <c r="N497">
        <f>$J$469-M497*$I$469-L497*J497</f>
        <v/>
      </c>
      <c r="O497">
        <f>IF(AND(C497,ABS(K497)&gt;1E-12,L497&gt;0),N497,1E+300)</f>
        <v/>
      </c>
    </row>
    <row r="498">
      <c r="A498">
        <f>$K$469+($L$469-$K$469)*26/400</f>
        <v/>
      </c>
      <c r="B498">
        <f>SUMPRODUCT((Calc!$F$3:$F$22&gt;=LTP!$E$5)*(Calc!$F$3:$F$22&lt;=k_n)*(Calc!$G$3:$G$22&lt;=A498))</f>
        <v/>
      </c>
      <c r="C498">
        <f>AND(B498&gt;=2,$B$469-B498&gt;=2)</f>
        <v/>
      </c>
      <c r="D498">
        <f>SUMPRODUCT((Calc!$F$3:$F$22&gt;=LTP!$E$5)*(Calc!$F$3:$F$22&lt;=k_n)*(Calc!$G$3:$G$22&gt;A498)*(Calc!$G$3:$G$22-A498))</f>
        <v/>
      </c>
      <c r="E498">
        <f>SUMPRODUCT((Calc!$F$3:$F$22&gt;=LTP!$E$5)*(Calc!$F$3:$F$22&lt;=k_n)*(Calc!$G$3:$G$22&gt;A498)*(Calc!$G$3:$G$22-A498)^2)</f>
        <v/>
      </c>
      <c r="F498">
        <f>SUMPRODUCT((Calc!$F$3:$F$22&gt;=LTP!$E$5)*(Calc!$F$3:$F$22&lt;=k_n)*(Calc!$G$3:$G$22&gt;A498)*(Calc!$G$3:$G$22-A498)*Calc!$G$3:$G$22)</f>
        <v/>
      </c>
      <c r="G498">
        <f>SUMPRODUCT((Calc!$F$3:$F$22&gt;=LTP!$E$5)*(Calc!$F$3:$F$22&lt;=k_n)*(Calc!$G$3:$G$22&gt;A498)*(Calc!$G$3:$G$22-A498)*Calc!$I$3:$I$22)</f>
        <v/>
      </c>
      <c r="H498">
        <f>IF($B$469&gt;0,F498-$C$469*D498/$B$469,0)</f>
        <v/>
      </c>
      <c r="I498">
        <f>IF($B$469&gt;0,E498-D498^2/$B$469,0)</f>
        <v/>
      </c>
      <c r="J498">
        <f>IF($B$469&gt;0,G498-D498*$D$469/$B$469,0)</f>
        <v/>
      </c>
      <c r="K498">
        <f>$H$469*I498-H498^2</f>
        <v/>
      </c>
      <c r="L498">
        <f>IF(ABS(K498)&gt;1E-12,($H$469*J498-H498*$I$469)/K498,0)</f>
        <v/>
      </c>
      <c r="M498">
        <f>IF(ABS(K498)&gt;1E-12,(I498*$I$469-H498*J498)/K498,0)</f>
        <v/>
      </c>
      <c r="N498">
        <f>$J$469-M498*$I$469-L498*J498</f>
        <v/>
      </c>
      <c r="O498">
        <f>IF(AND(C498,ABS(K498)&gt;1E-12,L498&gt;0),N498,1E+300)</f>
        <v/>
      </c>
    </row>
    <row r="499">
      <c r="A499">
        <f>$K$469+($L$469-$K$469)*27/400</f>
        <v/>
      </c>
      <c r="B499">
        <f>SUMPRODUCT((Calc!$F$3:$F$22&gt;=LTP!$E$5)*(Calc!$F$3:$F$22&lt;=k_n)*(Calc!$G$3:$G$22&lt;=A499))</f>
        <v/>
      </c>
      <c r="C499">
        <f>AND(B499&gt;=2,$B$469-B499&gt;=2)</f>
        <v/>
      </c>
      <c r="D499">
        <f>SUMPRODUCT((Calc!$F$3:$F$22&gt;=LTP!$E$5)*(Calc!$F$3:$F$22&lt;=k_n)*(Calc!$G$3:$G$22&gt;A499)*(Calc!$G$3:$G$22-A499))</f>
        <v/>
      </c>
      <c r="E499">
        <f>SUMPRODUCT((Calc!$F$3:$F$22&gt;=LTP!$E$5)*(Calc!$F$3:$F$22&lt;=k_n)*(Calc!$G$3:$G$22&gt;A499)*(Calc!$G$3:$G$22-A499)^2)</f>
        <v/>
      </c>
      <c r="F499">
        <f>SUMPRODUCT((Calc!$F$3:$F$22&gt;=LTP!$E$5)*(Calc!$F$3:$F$22&lt;=k_n)*(Calc!$G$3:$G$22&gt;A499)*(Calc!$G$3:$G$22-A499)*Calc!$G$3:$G$22)</f>
        <v/>
      </c>
      <c r="G499">
        <f>SUMPRODUCT((Calc!$F$3:$F$22&gt;=LTP!$E$5)*(Calc!$F$3:$F$22&lt;=k_n)*(Calc!$G$3:$G$22&gt;A499)*(Calc!$G$3:$G$22-A499)*Calc!$I$3:$I$22)</f>
        <v/>
      </c>
      <c r="H499">
        <f>IF($B$469&gt;0,F499-$C$469*D499/$B$469,0)</f>
        <v/>
      </c>
      <c r="I499">
        <f>IF($B$469&gt;0,E499-D499^2/$B$469,0)</f>
        <v/>
      </c>
      <c r="J499">
        <f>IF($B$469&gt;0,G499-D499*$D$469/$B$469,0)</f>
        <v/>
      </c>
      <c r="K499">
        <f>$H$469*I499-H499^2</f>
        <v/>
      </c>
      <c r="L499">
        <f>IF(ABS(K499)&gt;1E-12,($H$469*J499-H499*$I$469)/K499,0)</f>
        <v/>
      </c>
      <c r="M499">
        <f>IF(ABS(K499)&gt;1E-12,(I499*$I$469-H499*J499)/K499,0)</f>
        <v/>
      </c>
      <c r="N499">
        <f>$J$469-M499*$I$469-L499*J499</f>
        <v/>
      </c>
      <c r="O499">
        <f>IF(AND(C499,ABS(K499)&gt;1E-12,L499&gt;0),N499,1E+300)</f>
        <v/>
      </c>
    </row>
    <row r="500">
      <c r="A500">
        <f>$K$469+($L$469-$K$469)*28/400</f>
        <v/>
      </c>
      <c r="B500">
        <f>SUMPRODUCT((Calc!$F$3:$F$22&gt;=LTP!$E$5)*(Calc!$F$3:$F$22&lt;=k_n)*(Calc!$G$3:$G$22&lt;=A500))</f>
        <v/>
      </c>
      <c r="C500">
        <f>AND(B500&gt;=2,$B$469-B500&gt;=2)</f>
        <v/>
      </c>
      <c r="D500">
        <f>SUMPRODUCT((Calc!$F$3:$F$22&gt;=LTP!$E$5)*(Calc!$F$3:$F$22&lt;=k_n)*(Calc!$G$3:$G$22&gt;A500)*(Calc!$G$3:$G$22-A500))</f>
        <v/>
      </c>
      <c r="E500">
        <f>SUMPRODUCT((Calc!$F$3:$F$22&gt;=LTP!$E$5)*(Calc!$F$3:$F$22&lt;=k_n)*(Calc!$G$3:$G$22&gt;A500)*(Calc!$G$3:$G$22-A500)^2)</f>
        <v/>
      </c>
      <c r="F500">
        <f>SUMPRODUCT((Calc!$F$3:$F$22&gt;=LTP!$E$5)*(Calc!$F$3:$F$22&lt;=k_n)*(Calc!$G$3:$G$22&gt;A500)*(Calc!$G$3:$G$22-A500)*Calc!$G$3:$G$22)</f>
        <v/>
      </c>
      <c r="G500">
        <f>SUMPRODUCT((Calc!$F$3:$F$22&gt;=LTP!$E$5)*(Calc!$F$3:$F$22&lt;=k_n)*(Calc!$G$3:$G$22&gt;A500)*(Calc!$G$3:$G$22-A500)*Calc!$I$3:$I$22)</f>
        <v/>
      </c>
      <c r="H500">
        <f>IF($B$469&gt;0,F500-$C$469*D500/$B$469,0)</f>
        <v/>
      </c>
      <c r="I500">
        <f>IF($B$469&gt;0,E500-D500^2/$B$469,0)</f>
        <v/>
      </c>
      <c r="J500">
        <f>IF($B$469&gt;0,G500-D500*$D$469/$B$469,0)</f>
        <v/>
      </c>
      <c r="K500">
        <f>$H$469*I500-H500^2</f>
        <v/>
      </c>
      <c r="L500">
        <f>IF(ABS(K500)&gt;1E-12,($H$469*J500-H500*$I$469)/K500,0)</f>
        <v/>
      </c>
      <c r="M500">
        <f>IF(ABS(K500)&gt;1E-12,(I500*$I$469-H500*J500)/K500,0)</f>
        <v/>
      </c>
      <c r="N500">
        <f>$J$469-M500*$I$469-L500*J500</f>
        <v/>
      </c>
      <c r="O500">
        <f>IF(AND(C500,ABS(K500)&gt;1E-12,L500&gt;0),N500,1E+300)</f>
        <v/>
      </c>
    </row>
    <row r="501">
      <c r="A501">
        <f>$K$469+($L$469-$K$469)*29/400</f>
        <v/>
      </c>
      <c r="B501">
        <f>SUMPRODUCT((Calc!$F$3:$F$22&gt;=LTP!$E$5)*(Calc!$F$3:$F$22&lt;=k_n)*(Calc!$G$3:$G$22&lt;=A501))</f>
        <v/>
      </c>
      <c r="C501">
        <f>AND(B501&gt;=2,$B$469-B501&gt;=2)</f>
        <v/>
      </c>
      <c r="D501">
        <f>SUMPRODUCT((Calc!$F$3:$F$22&gt;=LTP!$E$5)*(Calc!$F$3:$F$22&lt;=k_n)*(Calc!$G$3:$G$22&gt;A501)*(Calc!$G$3:$G$22-A501))</f>
        <v/>
      </c>
      <c r="E501">
        <f>SUMPRODUCT((Calc!$F$3:$F$22&gt;=LTP!$E$5)*(Calc!$F$3:$F$22&lt;=k_n)*(Calc!$G$3:$G$22&gt;A501)*(Calc!$G$3:$G$22-A501)^2)</f>
        <v/>
      </c>
      <c r="F501">
        <f>SUMPRODUCT((Calc!$F$3:$F$22&gt;=LTP!$E$5)*(Calc!$F$3:$F$22&lt;=k_n)*(Calc!$G$3:$G$22&gt;A501)*(Calc!$G$3:$G$22-A501)*Calc!$G$3:$G$22)</f>
        <v/>
      </c>
      <c r="G501">
        <f>SUMPRODUCT((Calc!$F$3:$F$22&gt;=LTP!$E$5)*(Calc!$F$3:$F$22&lt;=k_n)*(Calc!$G$3:$G$22&gt;A501)*(Calc!$G$3:$G$22-A501)*Calc!$I$3:$I$22)</f>
        <v/>
      </c>
      <c r="H501">
        <f>IF($B$469&gt;0,F501-$C$469*D501/$B$469,0)</f>
        <v/>
      </c>
      <c r="I501">
        <f>IF($B$469&gt;0,E501-D501^2/$B$469,0)</f>
        <v/>
      </c>
      <c r="J501">
        <f>IF($B$469&gt;0,G501-D501*$D$469/$B$469,0)</f>
        <v/>
      </c>
      <c r="K501">
        <f>$H$469*I501-H501^2</f>
        <v/>
      </c>
      <c r="L501">
        <f>IF(ABS(K501)&gt;1E-12,($H$469*J501-H501*$I$469)/K501,0)</f>
        <v/>
      </c>
      <c r="M501">
        <f>IF(ABS(K501)&gt;1E-12,(I501*$I$469-H501*J501)/K501,0)</f>
        <v/>
      </c>
      <c r="N501">
        <f>$J$469-M501*$I$469-L501*J501</f>
        <v/>
      </c>
      <c r="O501">
        <f>IF(AND(C501,ABS(K501)&gt;1E-12,L501&gt;0),N501,1E+300)</f>
        <v/>
      </c>
    </row>
    <row r="502">
      <c r="A502">
        <f>$K$469+($L$469-$K$469)*30/400</f>
        <v/>
      </c>
      <c r="B502">
        <f>SUMPRODUCT((Calc!$F$3:$F$22&gt;=LTP!$E$5)*(Calc!$F$3:$F$22&lt;=k_n)*(Calc!$G$3:$G$22&lt;=A502))</f>
        <v/>
      </c>
      <c r="C502">
        <f>AND(B502&gt;=2,$B$469-B502&gt;=2)</f>
        <v/>
      </c>
      <c r="D502">
        <f>SUMPRODUCT((Calc!$F$3:$F$22&gt;=LTP!$E$5)*(Calc!$F$3:$F$22&lt;=k_n)*(Calc!$G$3:$G$22&gt;A502)*(Calc!$G$3:$G$22-A502))</f>
        <v/>
      </c>
      <c r="E502">
        <f>SUMPRODUCT((Calc!$F$3:$F$22&gt;=LTP!$E$5)*(Calc!$F$3:$F$22&lt;=k_n)*(Calc!$G$3:$G$22&gt;A502)*(Calc!$G$3:$G$22-A502)^2)</f>
        <v/>
      </c>
      <c r="F502">
        <f>SUMPRODUCT((Calc!$F$3:$F$22&gt;=LTP!$E$5)*(Calc!$F$3:$F$22&lt;=k_n)*(Calc!$G$3:$G$22&gt;A502)*(Calc!$G$3:$G$22-A502)*Calc!$G$3:$G$22)</f>
        <v/>
      </c>
      <c r="G502">
        <f>SUMPRODUCT((Calc!$F$3:$F$22&gt;=LTP!$E$5)*(Calc!$F$3:$F$22&lt;=k_n)*(Calc!$G$3:$G$22&gt;A502)*(Calc!$G$3:$G$22-A502)*Calc!$I$3:$I$22)</f>
        <v/>
      </c>
      <c r="H502">
        <f>IF($B$469&gt;0,F502-$C$469*D502/$B$469,0)</f>
        <v/>
      </c>
      <c r="I502">
        <f>IF($B$469&gt;0,E502-D502^2/$B$469,0)</f>
        <v/>
      </c>
      <c r="J502">
        <f>IF($B$469&gt;0,G502-D502*$D$469/$B$469,0)</f>
        <v/>
      </c>
      <c r="K502">
        <f>$H$469*I502-H502^2</f>
        <v/>
      </c>
      <c r="L502">
        <f>IF(ABS(K502)&gt;1E-12,($H$469*J502-H502*$I$469)/K502,0)</f>
        <v/>
      </c>
      <c r="M502">
        <f>IF(ABS(K502)&gt;1E-12,(I502*$I$469-H502*J502)/K502,0)</f>
        <v/>
      </c>
      <c r="N502">
        <f>$J$469-M502*$I$469-L502*J502</f>
        <v/>
      </c>
      <c r="O502">
        <f>IF(AND(C502,ABS(K502)&gt;1E-12,L502&gt;0),N502,1E+300)</f>
        <v/>
      </c>
    </row>
    <row r="503">
      <c r="A503">
        <f>$K$469+($L$469-$K$469)*31/400</f>
        <v/>
      </c>
      <c r="B503">
        <f>SUMPRODUCT((Calc!$F$3:$F$22&gt;=LTP!$E$5)*(Calc!$F$3:$F$22&lt;=k_n)*(Calc!$G$3:$G$22&lt;=A503))</f>
        <v/>
      </c>
      <c r="C503">
        <f>AND(B503&gt;=2,$B$469-B503&gt;=2)</f>
        <v/>
      </c>
      <c r="D503">
        <f>SUMPRODUCT((Calc!$F$3:$F$22&gt;=LTP!$E$5)*(Calc!$F$3:$F$22&lt;=k_n)*(Calc!$G$3:$G$22&gt;A503)*(Calc!$G$3:$G$22-A503))</f>
        <v/>
      </c>
      <c r="E503">
        <f>SUMPRODUCT((Calc!$F$3:$F$22&gt;=LTP!$E$5)*(Calc!$F$3:$F$22&lt;=k_n)*(Calc!$G$3:$G$22&gt;A503)*(Calc!$G$3:$G$22-A503)^2)</f>
        <v/>
      </c>
      <c r="F503">
        <f>SUMPRODUCT((Calc!$F$3:$F$22&gt;=LTP!$E$5)*(Calc!$F$3:$F$22&lt;=k_n)*(Calc!$G$3:$G$22&gt;A503)*(Calc!$G$3:$G$22-A503)*Calc!$G$3:$G$22)</f>
        <v/>
      </c>
      <c r="G503">
        <f>SUMPRODUCT((Calc!$F$3:$F$22&gt;=LTP!$E$5)*(Calc!$F$3:$F$22&lt;=k_n)*(Calc!$G$3:$G$22&gt;A503)*(Calc!$G$3:$G$22-A503)*Calc!$I$3:$I$22)</f>
        <v/>
      </c>
      <c r="H503">
        <f>IF($B$469&gt;0,F503-$C$469*D503/$B$469,0)</f>
        <v/>
      </c>
      <c r="I503">
        <f>IF($B$469&gt;0,E503-D503^2/$B$469,0)</f>
        <v/>
      </c>
      <c r="J503">
        <f>IF($B$469&gt;0,G503-D503*$D$469/$B$469,0)</f>
        <v/>
      </c>
      <c r="K503">
        <f>$H$469*I503-H503^2</f>
        <v/>
      </c>
      <c r="L503">
        <f>IF(ABS(K503)&gt;1E-12,($H$469*J503-H503*$I$469)/K503,0)</f>
        <v/>
      </c>
      <c r="M503">
        <f>IF(ABS(K503)&gt;1E-12,(I503*$I$469-H503*J503)/K503,0)</f>
        <v/>
      </c>
      <c r="N503">
        <f>$J$469-M503*$I$469-L503*J503</f>
        <v/>
      </c>
      <c r="O503">
        <f>IF(AND(C503,ABS(K503)&gt;1E-12,L503&gt;0),N503,1E+300)</f>
        <v/>
      </c>
    </row>
    <row r="504">
      <c r="A504">
        <f>$K$469+($L$469-$K$469)*32/400</f>
        <v/>
      </c>
      <c r="B504">
        <f>SUMPRODUCT((Calc!$F$3:$F$22&gt;=LTP!$E$5)*(Calc!$F$3:$F$22&lt;=k_n)*(Calc!$G$3:$G$22&lt;=A504))</f>
        <v/>
      </c>
      <c r="C504">
        <f>AND(B504&gt;=2,$B$469-B504&gt;=2)</f>
        <v/>
      </c>
      <c r="D504">
        <f>SUMPRODUCT((Calc!$F$3:$F$22&gt;=LTP!$E$5)*(Calc!$F$3:$F$22&lt;=k_n)*(Calc!$G$3:$G$22&gt;A504)*(Calc!$G$3:$G$22-A504))</f>
        <v/>
      </c>
      <c r="E504">
        <f>SUMPRODUCT((Calc!$F$3:$F$22&gt;=LTP!$E$5)*(Calc!$F$3:$F$22&lt;=k_n)*(Calc!$G$3:$G$22&gt;A504)*(Calc!$G$3:$G$22-A504)^2)</f>
        <v/>
      </c>
      <c r="F504">
        <f>SUMPRODUCT((Calc!$F$3:$F$22&gt;=LTP!$E$5)*(Calc!$F$3:$F$22&lt;=k_n)*(Calc!$G$3:$G$22&gt;A504)*(Calc!$G$3:$G$22-A504)*Calc!$G$3:$G$22)</f>
        <v/>
      </c>
      <c r="G504">
        <f>SUMPRODUCT((Calc!$F$3:$F$22&gt;=LTP!$E$5)*(Calc!$F$3:$F$22&lt;=k_n)*(Calc!$G$3:$G$22&gt;A504)*(Calc!$G$3:$G$22-A504)*Calc!$I$3:$I$22)</f>
        <v/>
      </c>
      <c r="H504">
        <f>IF($B$469&gt;0,F504-$C$469*D504/$B$469,0)</f>
        <v/>
      </c>
      <c r="I504">
        <f>IF($B$469&gt;0,E504-D504^2/$B$469,0)</f>
        <v/>
      </c>
      <c r="J504">
        <f>IF($B$469&gt;0,G504-D504*$D$469/$B$469,0)</f>
        <v/>
      </c>
      <c r="K504">
        <f>$H$469*I504-H504^2</f>
        <v/>
      </c>
      <c r="L504">
        <f>IF(ABS(K504)&gt;1E-12,($H$469*J504-H504*$I$469)/K504,0)</f>
        <v/>
      </c>
      <c r="M504">
        <f>IF(ABS(K504)&gt;1E-12,(I504*$I$469-H504*J504)/K504,0)</f>
        <v/>
      </c>
      <c r="N504">
        <f>$J$469-M504*$I$469-L504*J504</f>
        <v/>
      </c>
      <c r="O504">
        <f>IF(AND(C504,ABS(K504)&gt;1E-12,L504&gt;0),N504,1E+300)</f>
        <v/>
      </c>
    </row>
    <row r="505">
      <c r="A505">
        <f>$K$469+($L$469-$K$469)*33/400</f>
        <v/>
      </c>
      <c r="B505">
        <f>SUMPRODUCT((Calc!$F$3:$F$22&gt;=LTP!$E$5)*(Calc!$F$3:$F$22&lt;=k_n)*(Calc!$G$3:$G$22&lt;=A505))</f>
        <v/>
      </c>
      <c r="C505">
        <f>AND(B505&gt;=2,$B$469-B505&gt;=2)</f>
        <v/>
      </c>
      <c r="D505">
        <f>SUMPRODUCT((Calc!$F$3:$F$22&gt;=LTP!$E$5)*(Calc!$F$3:$F$22&lt;=k_n)*(Calc!$G$3:$G$22&gt;A505)*(Calc!$G$3:$G$22-A505))</f>
        <v/>
      </c>
      <c r="E505">
        <f>SUMPRODUCT((Calc!$F$3:$F$22&gt;=LTP!$E$5)*(Calc!$F$3:$F$22&lt;=k_n)*(Calc!$G$3:$G$22&gt;A505)*(Calc!$G$3:$G$22-A505)^2)</f>
        <v/>
      </c>
      <c r="F505">
        <f>SUMPRODUCT((Calc!$F$3:$F$22&gt;=LTP!$E$5)*(Calc!$F$3:$F$22&lt;=k_n)*(Calc!$G$3:$G$22&gt;A505)*(Calc!$G$3:$G$22-A505)*Calc!$G$3:$G$22)</f>
        <v/>
      </c>
      <c r="G505">
        <f>SUMPRODUCT((Calc!$F$3:$F$22&gt;=LTP!$E$5)*(Calc!$F$3:$F$22&lt;=k_n)*(Calc!$G$3:$G$22&gt;A505)*(Calc!$G$3:$G$22-A505)*Calc!$I$3:$I$22)</f>
        <v/>
      </c>
      <c r="H505">
        <f>IF($B$469&gt;0,F505-$C$469*D505/$B$469,0)</f>
        <v/>
      </c>
      <c r="I505">
        <f>IF($B$469&gt;0,E505-D505^2/$B$469,0)</f>
        <v/>
      </c>
      <c r="J505">
        <f>IF($B$469&gt;0,G505-D505*$D$469/$B$469,0)</f>
        <v/>
      </c>
      <c r="K505">
        <f>$H$469*I505-H505^2</f>
        <v/>
      </c>
      <c r="L505">
        <f>IF(ABS(K505)&gt;1E-12,($H$469*J505-H505*$I$469)/K505,0)</f>
        <v/>
      </c>
      <c r="M505">
        <f>IF(ABS(K505)&gt;1E-12,(I505*$I$469-H505*J505)/K505,0)</f>
        <v/>
      </c>
      <c r="N505">
        <f>$J$469-M505*$I$469-L505*J505</f>
        <v/>
      </c>
      <c r="O505">
        <f>IF(AND(C505,ABS(K505)&gt;1E-12,L505&gt;0),N505,1E+300)</f>
        <v/>
      </c>
    </row>
    <row r="506">
      <c r="A506">
        <f>$K$469+($L$469-$K$469)*34/400</f>
        <v/>
      </c>
      <c r="B506">
        <f>SUMPRODUCT((Calc!$F$3:$F$22&gt;=LTP!$E$5)*(Calc!$F$3:$F$22&lt;=k_n)*(Calc!$G$3:$G$22&lt;=A506))</f>
        <v/>
      </c>
      <c r="C506">
        <f>AND(B506&gt;=2,$B$469-B506&gt;=2)</f>
        <v/>
      </c>
      <c r="D506">
        <f>SUMPRODUCT((Calc!$F$3:$F$22&gt;=LTP!$E$5)*(Calc!$F$3:$F$22&lt;=k_n)*(Calc!$G$3:$G$22&gt;A506)*(Calc!$G$3:$G$22-A506))</f>
        <v/>
      </c>
      <c r="E506">
        <f>SUMPRODUCT((Calc!$F$3:$F$22&gt;=LTP!$E$5)*(Calc!$F$3:$F$22&lt;=k_n)*(Calc!$G$3:$G$22&gt;A506)*(Calc!$G$3:$G$22-A506)^2)</f>
        <v/>
      </c>
      <c r="F506">
        <f>SUMPRODUCT((Calc!$F$3:$F$22&gt;=LTP!$E$5)*(Calc!$F$3:$F$22&lt;=k_n)*(Calc!$G$3:$G$22&gt;A506)*(Calc!$G$3:$G$22-A506)*Calc!$G$3:$G$22)</f>
        <v/>
      </c>
      <c r="G506">
        <f>SUMPRODUCT((Calc!$F$3:$F$22&gt;=LTP!$E$5)*(Calc!$F$3:$F$22&lt;=k_n)*(Calc!$G$3:$G$22&gt;A506)*(Calc!$G$3:$G$22-A506)*Calc!$I$3:$I$22)</f>
        <v/>
      </c>
      <c r="H506">
        <f>IF($B$469&gt;0,F506-$C$469*D506/$B$469,0)</f>
        <v/>
      </c>
      <c r="I506">
        <f>IF($B$469&gt;0,E506-D506^2/$B$469,0)</f>
        <v/>
      </c>
      <c r="J506">
        <f>IF($B$469&gt;0,G506-D506*$D$469/$B$469,0)</f>
        <v/>
      </c>
      <c r="K506">
        <f>$H$469*I506-H506^2</f>
        <v/>
      </c>
      <c r="L506">
        <f>IF(ABS(K506)&gt;1E-12,($H$469*J506-H506*$I$469)/K506,0)</f>
        <v/>
      </c>
      <c r="M506">
        <f>IF(ABS(K506)&gt;1E-12,(I506*$I$469-H506*J506)/K506,0)</f>
        <v/>
      </c>
      <c r="N506">
        <f>$J$469-M506*$I$469-L506*J506</f>
        <v/>
      </c>
      <c r="O506">
        <f>IF(AND(C506,ABS(K506)&gt;1E-12,L506&gt;0),N506,1E+300)</f>
        <v/>
      </c>
    </row>
    <row r="507">
      <c r="A507">
        <f>$K$469+($L$469-$K$469)*35/400</f>
        <v/>
      </c>
      <c r="B507">
        <f>SUMPRODUCT((Calc!$F$3:$F$22&gt;=LTP!$E$5)*(Calc!$F$3:$F$22&lt;=k_n)*(Calc!$G$3:$G$22&lt;=A507))</f>
        <v/>
      </c>
      <c r="C507">
        <f>AND(B507&gt;=2,$B$469-B507&gt;=2)</f>
        <v/>
      </c>
      <c r="D507">
        <f>SUMPRODUCT((Calc!$F$3:$F$22&gt;=LTP!$E$5)*(Calc!$F$3:$F$22&lt;=k_n)*(Calc!$G$3:$G$22&gt;A507)*(Calc!$G$3:$G$22-A507))</f>
        <v/>
      </c>
      <c r="E507">
        <f>SUMPRODUCT((Calc!$F$3:$F$22&gt;=LTP!$E$5)*(Calc!$F$3:$F$22&lt;=k_n)*(Calc!$G$3:$G$22&gt;A507)*(Calc!$G$3:$G$22-A507)^2)</f>
        <v/>
      </c>
      <c r="F507">
        <f>SUMPRODUCT((Calc!$F$3:$F$22&gt;=LTP!$E$5)*(Calc!$F$3:$F$22&lt;=k_n)*(Calc!$G$3:$G$22&gt;A507)*(Calc!$G$3:$G$22-A507)*Calc!$G$3:$G$22)</f>
        <v/>
      </c>
      <c r="G507">
        <f>SUMPRODUCT((Calc!$F$3:$F$22&gt;=LTP!$E$5)*(Calc!$F$3:$F$22&lt;=k_n)*(Calc!$G$3:$G$22&gt;A507)*(Calc!$G$3:$G$22-A507)*Calc!$I$3:$I$22)</f>
        <v/>
      </c>
      <c r="H507">
        <f>IF($B$469&gt;0,F507-$C$469*D507/$B$469,0)</f>
        <v/>
      </c>
      <c r="I507">
        <f>IF($B$469&gt;0,E507-D507^2/$B$469,0)</f>
        <v/>
      </c>
      <c r="J507">
        <f>IF($B$469&gt;0,G507-D507*$D$469/$B$469,0)</f>
        <v/>
      </c>
      <c r="K507">
        <f>$H$469*I507-H507^2</f>
        <v/>
      </c>
      <c r="L507">
        <f>IF(ABS(K507)&gt;1E-12,($H$469*J507-H507*$I$469)/K507,0)</f>
        <v/>
      </c>
      <c r="M507">
        <f>IF(ABS(K507)&gt;1E-12,(I507*$I$469-H507*J507)/K507,0)</f>
        <v/>
      </c>
      <c r="N507">
        <f>$J$469-M507*$I$469-L507*J507</f>
        <v/>
      </c>
      <c r="O507">
        <f>IF(AND(C507,ABS(K507)&gt;1E-12,L507&gt;0),N507,1E+300)</f>
        <v/>
      </c>
    </row>
    <row r="508">
      <c r="A508">
        <f>$K$469+($L$469-$K$469)*36/400</f>
        <v/>
      </c>
      <c r="B508">
        <f>SUMPRODUCT((Calc!$F$3:$F$22&gt;=LTP!$E$5)*(Calc!$F$3:$F$22&lt;=k_n)*(Calc!$G$3:$G$22&lt;=A508))</f>
        <v/>
      </c>
      <c r="C508">
        <f>AND(B508&gt;=2,$B$469-B508&gt;=2)</f>
        <v/>
      </c>
      <c r="D508">
        <f>SUMPRODUCT((Calc!$F$3:$F$22&gt;=LTP!$E$5)*(Calc!$F$3:$F$22&lt;=k_n)*(Calc!$G$3:$G$22&gt;A508)*(Calc!$G$3:$G$22-A508))</f>
        <v/>
      </c>
      <c r="E508">
        <f>SUMPRODUCT((Calc!$F$3:$F$22&gt;=LTP!$E$5)*(Calc!$F$3:$F$22&lt;=k_n)*(Calc!$G$3:$G$22&gt;A508)*(Calc!$G$3:$G$22-A508)^2)</f>
        <v/>
      </c>
      <c r="F508">
        <f>SUMPRODUCT((Calc!$F$3:$F$22&gt;=LTP!$E$5)*(Calc!$F$3:$F$22&lt;=k_n)*(Calc!$G$3:$G$22&gt;A508)*(Calc!$G$3:$G$22-A508)*Calc!$G$3:$G$22)</f>
        <v/>
      </c>
      <c r="G508">
        <f>SUMPRODUCT((Calc!$F$3:$F$22&gt;=LTP!$E$5)*(Calc!$F$3:$F$22&lt;=k_n)*(Calc!$G$3:$G$22&gt;A508)*(Calc!$G$3:$G$22-A508)*Calc!$I$3:$I$22)</f>
        <v/>
      </c>
      <c r="H508">
        <f>IF($B$469&gt;0,F508-$C$469*D508/$B$469,0)</f>
        <v/>
      </c>
      <c r="I508">
        <f>IF($B$469&gt;0,E508-D508^2/$B$469,0)</f>
        <v/>
      </c>
      <c r="J508">
        <f>IF($B$469&gt;0,G508-D508*$D$469/$B$469,0)</f>
        <v/>
      </c>
      <c r="K508">
        <f>$H$469*I508-H508^2</f>
        <v/>
      </c>
      <c r="L508">
        <f>IF(ABS(K508)&gt;1E-12,($H$469*J508-H508*$I$469)/K508,0)</f>
        <v/>
      </c>
      <c r="M508">
        <f>IF(ABS(K508)&gt;1E-12,(I508*$I$469-H508*J508)/K508,0)</f>
        <v/>
      </c>
      <c r="N508">
        <f>$J$469-M508*$I$469-L508*J508</f>
        <v/>
      </c>
      <c r="O508">
        <f>IF(AND(C508,ABS(K508)&gt;1E-12,L508&gt;0),N508,1E+300)</f>
        <v/>
      </c>
    </row>
    <row r="509">
      <c r="A509">
        <f>$K$469+($L$469-$K$469)*37/400</f>
        <v/>
      </c>
      <c r="B509">
        <f>SUMPRODUCT((Calc!$F$3:$F$22&gt;=LTP!$E$5)*(Calc!$F$3:$F$22&lt;=k_n)*(Calc!$G$3:$G$22&lt;=A509))</f>
        <v/>
      </c>
      <c r="C509">
        <f>AND(B509&gt;=2,$B$469-B509&gt;=2)</f>
        <v/>
      </c>
      <c r="D509">
        <f>SUMPRODUCT((Calc!$F$3:$F$22&gt;=LTP!$E$5)*(Calc!$F$3:$F$22&lt;=k_n)*(Calc!$G$3:$G$22&gt;A509)*(Calc!$G$3:$G$22-A509))</f>
        <v/>
      </c>
      <c r="E509">
        <f>SUMPRODUCT((Calc!$F$3:$F$22&gt;=LTP!$E$5)*(Calc!$F$3:$F$22&lt;=k_n)*(Calc!$G$3:$G$22&gt;A509)*(Calc!$G$3:$G$22-A509)^2)</f>
        <v/>
      </c>
      <c r="F509">
        <f>SUMPRODUCT((Calc!$F$3:$F$22&gt;=LTP!$E$5)*(Calc!$F$3:$F$22&lt;=k_n)*(Calc!$G$3:$G$22&gt;A509)*(Calc!$G$3:$G$22-A509)*Calc!$G$3:$G$22)</f>
        <v/>
      </c>
      <c r="G509">
        <f>SUMPRODUCT((Calc!$F$3:$F$22&gt;=LTP!$E$5)*(Calc!$F$3:$F$22&lt;=k_n)*(Calc!$G$3:$G$22&gt;A509)*(Calc!$G$3:$G$22-A509)*Calc!$I$3:$I$22)</f>
        <v/>
      </c>
      <c r="H509">
        <f>IF($B$469&gt;0,F509-$C$469*D509/$B$469,0)</f>
        <v/>
      </c>
      <c r="I509">
        <f>IF($B$469&gt;0,E509-D509^2/$B$469,0)</f>
        <v/>
      </c>
      <c r="J509">
        <f>IF($B$469&gt;0,G509-D509*$D$469/$B$469,0)</f>
        <v/>
      </c>
      <c r="K509">
        <f>$H$469*I509-H509^2</f>
        <v/>
      </c>
      <c r="L509">
        <f>IF(ABS(K509)&gt;1E-12,($H$469*J509-H509*$I$469)/K509,0)</f>
        <v/>
      </c>
      <c r="M509">
        <f>IF(ABS(K509)&gt;1E-12,(I509*$I$469-H509*J509)/K509,0)</f>
        <v/>
      </c>
      <c r="N509">
        <f>$J$469-M509*$I$469-L509*J509</f>
        <v/>
      </c>
      <c r="O509">
        <f>IF(AND(C509,ABS(K509)&gt;1E-12,L509&gt;0),N509,1E+300)</f>
        <v/>
      </c>
    </row>
    <row r="510">
      <c r="A510">
        <f>$K$469+($L$469-$K$469)*38/400</f>
        <v/>
      </c>
      <c r="B510">
        <f>SUMPRODUCT((Calc!$F$3:$F$22&gt;=LTP!$E$5)*(Calc!$F$3:$F$22&lt;=k_n)*(Calc!$G$3:$G$22&lt;=A510))</f>
        <v/>
      </c>
      <c r="C510">
        <f>AND(B510&gt;=2,$B$469-B510&gt;=2)</f>
        <v/>
      </c>
      <c r="D510">
        <f>SUMPRODUCT((Calc!$F$3:$F$22&gt;=LTP!$E$5)*(Calc!$F$3:$F$22&lt;=k_n)*(Calc!$G$3:$G$22&gt;A510)*(Calc!$G$3:$G$22-A510))</f>
        <v/>
      </c>
      <c r="E510">
        <f>SUMPRODUCT((Calc!$F$3:$F$22&gt;=LTP!$E$5)*(Calc!$F$3:$F$22&lt;=k_n)*(Calc!$G$3:$G$22&gt;A510)*(Calc!$G$3:$G$22-A510)^2)</f>
        <v/>
      </c>
      <c r="F510">
        <f>SUMPRODUCT((Calc!$F$3:$F$22&gt;=LTP!$E$5)*(Calc!$F$3:$F$22&lt;=k_n)*(Calc!$G$3:$G$22&gt;A510)*(Calc!$G$3:$G$22-A510)*Calc!$G$3:$G$22)</f>
        <v/>
      </c>
      <c r="G510">
        <f>SUMPRODUCT((Calc!$F$3:$F$22&gt;=LTP!$E$5)*(Calc!$F$3:$F$22&lt;=k_n)*(Calc!$G$3:$G$22&gt;A510)*(Calc!$G$3:$G$22-A510)*Calc!$I$3:$I$22)</f>
        <v/>
      </c>
      <c r="H510">
        <f>IF($B$469&gt;0,F510-$C$469*D510/$B$469,0)</f>
        <v/>
      </c>
      <c r="I510">
        <f>IF($B$469&gt;0,E510-D510^2/$B$469,0)</f>
        <v/>
      </c>
      <c r="J510">
        <f>IF($B$469&gt;0,G510-D510*$D$469/$B$469,0)</f>
        <v/>
      </c>
      <c r="K510">
        <f>$H$469*I510-H510^2</f>
        <v/>
      </c>
      <c r="L510">
        <f>IF(ABS(K510)&gt;1E-12,($H$469*J510-H510*$I$469)/K510,0)</f>
        <v/>
      </c>
      <c r="M510">
        <f>IF(ABS(K510)&gt;1E-12,(I510*$I$469-H510*J510)/K510,0)</f>
        <v/>
      </c>
      <c r="N510">
        <f>$J$469-M510*$I$469-L510*J510</f>
        <v/>
      </c>
      <c r="O510">
        <f>IF(AND(C510,ABS(K510)&gt;1E-12,L510&gt;0),N510,1E+300)</f>
        <v/>
      </c>
    </row>
    <row r="511">
      <c r="A511">
        <f>$K$469+($L$469-$K$469)*39/400</f>
        <v/>
      </c>
      <c r="B511">
        <f>SUMPRODUCT((Calc!$F$3:$F$22&gt;=LTP!$E$5)*(Calc!$F$3:$F$22&lt;=k_n)*(Calc!$G$3:$G$22&lt;=A511))</f>
        <v/>
      </c>
      <c r="C511">
        <f>AND(B511&gt;=2,$B$469-B511&gt;=2)</f>
        <v/>
      </c>
      <c r="D511">
        <f>SUMPRODUCT((Calc!$F$3:$F$22&gt;=LTP!$E$5)*(Calc!$F$3:$F$22&lt;=k_n)*(Calc!$G$3:$G$22&gt;A511)*(Calc!$G$3:$G$22-A511))</f>
        <v/>
      </c>
      <c r="E511">
        <f>SUMPRODUCT((Calc!$F$3:$F$22&gt;=LTP!$E$5)*(Calc!$F$3:$F$22&lt;=k_n)*(Calc!$G$3:$G$22&gt;A511)*(Calc!$G$3:$G$22-A511)^2)</f>
        <v/>
      </c>
      <c r="F511">
        <f>SUMPRODUCT((Calc!$F$3:$F$22&gt;=LTP!$E$5)*(Calc!$F$3:$F$22&lt;=k_n)*(Calc!$G$3:$G$22&gt;A511)*(Calc!$G$3:$G$22-A511)*Calc!$G$3:$G$22)</f>
        <v/>
      </c>
      <c r="G511">
        <f>SUMPRODUCT((Calc!$F$3:$F$22&gt;=LTP!$E$5)*(Calc!$F$3:$F$22&lt;=k_n)*(Calc!$G$3:$G$22&gt;A511)*(Calc!$G$3:$G$22-A511)*Calc!$I$3:$I$22)</f>
        <v/>
      </c>
      <c r="H511">
        <f>IF($B$469&gt;0,F511-$C$469*D511/$B$469,0)</f>
        <v/>
      </c>
      <c r="I511">
        <f>IF($B$469&gt;0,E511-D511^2/$B$469,0)</f>
        <v/>
      </c>
      <c r="J511">
        <f>IF($B$469&gt;0,G511-D511*$D$469/$B$469,0)</f>
        <v/>
      </c>
      <c r="K511">
        <f>$H$469*I511-H511^2</f>
        <v/>
      </c>
      <c r="L511">
        <f>IF(ABS(K511)&gt;1E-12,($H$469*J511-H511*$I$469)/K511,0)</f>
        <v/>
      </c>
      <c r="M511">
        <f>IF(ABS(K511)&gt;1E-12,(I511*$I$469-H511*J511)/K511,0)</f>
        <v/>
      </c>
      <c r="N511">
        <f>$J$469-M511*$I$469-L511*J511</f>
        <v/>
      </c>
      <c r="O511">
        <f>IF(AND(C511,ABS(K511)&gt;1E-12,L511&gt;0),N511,1E+300)</f>
        <v/>
      </c>
    </row>
    <row r="512">
      <c r="A512">
        <f>$K$469+($L$469-$K$469)*40/400</f>
        <v/>
      </c>
      <c r="B512">
        <f>SUMPRODUCT((Calc!$F$3:$F$22&gt;=LTP!$E$5)*(Calc!$F$3:$F$22&lt;=k_n)*(Calc!$G$3:$G$22&lt;=A512))</f>
        <v/>
      </c>
      <c r="C512">
        <f>AND(B512&gt;=2,$B$469-B512&gt;=2)</f>
        <v/>
      </c>
      <c r="D512">
        <f>SUMPRODUCT((Calc!$F$3:$F$22&gt;=LTP!$E$5)*(Calc!$F$3:$F$22&lt;=k_n)*(Calc!$G$3:$G$22&gt;A512)*(Calc!$G$3:$G$22-A512))</f>
        <v/>
      </c>
      <c r="E512">
        <f>SUMPRODUCT((Calc!$F$3:$F$22&gt;=LTP!$E$5)*(Calc!$F$3:$F$22&lt;=k_n)*(Calc!$G$3:$G$22&gt;A512)*(Calc!$G$3:$G$22-A512)^2)</f>
        <v/>
      </c>
      <c r="F512">
        <f>SUMPRODUCT((Calc!$F$3:$F$22&gt;=LTP!$E$5)*(Calc!$F$3:$F$22&lt;=k_n)*(Calc!$G$3:$G$22&gt;A512)*(Calc!$G$3:$G$22-A512)*Calc!$G$3:$G$22)</f>
        <v/>
      </c>
      <c r="G512">
        <f>SUMPRODUCT((Calc!$F$3:$F$22&gt;=LTP!$E$5)*(Calc!$F$3:$F$22&lt;=k_n)*(Calc!$G$3:$G$22&gt;A512)*(Calc!$G$3:$G$22-A512)*Calc!$I$3:$I$22)</f>
        <v/>
      </c>
      <c r="H512">
        <f>IF($B$469&gt;0,F512-$C$469*D512/$B$469,0)</f>
        <v/>
      </c>
      <c r="I512">
        <f>IF($B$469&gt;0,E512-D512^2/$B$469,0)</f>
        <v/>
      </c>
      <c r="J512">
        <f>IF($B$469&gt;0,G512-D512*$D$469/$B$469,0)</f>
        <v/>
      </c>
      <c r="K512">
        <f>$H$469*I512-H512^2</f>
        <v/>
      </c>
      <c r="L512">
        <f>IF(ABS(K512)&gt;1E-12,($H$469*J512-H512*$I$469)/K512,0)</f>
        <v/>
      </c>
      <c r="M512">
        <f>IF(ABS(K512)&gt;1E-12,(I512*$I$469-H512*J512)/K512,0)</f>
        <v/>
      </c>
      <c r="N512">
        <f>$J$469-M512*$I$469-L512*J512</f>
        <v/>
      </c>
      <c r="O512">
        <f>IF(AND(C512,ABS(K512)&gt;1E-12,L512&gt;0),N512,1E+300)</f>
        <v/>
      </c>
    </row>
    <row r="513">
      <c r="A513">
        <f>$K$469+($L$469-$K$469)*41/400</f>
        <v/>
      </c>
      <c r="B513">
        <f>SUMPRODUCT((Calc!$F$3:$F$22&gt;=LTP!$E$5)*(Calc!$F$3:$F$22&lt;=k_n)*(Calc!$G$3:$G$22&lt;=A513))</f>
        <v/>
      </c>
      <c r="C513">
        <f>AND(B513&gt;=2,$B$469-B513&gt;=2)</f>
        <v/>
      </c>
      <c r="D513">
        <f>SUMPRODUCT((Calc!$F$3:$F$22&gt;=LTP!$E$5)*(Calc!$F$3:$F$22&lt;=k_n)*(Calc!$G$3:$G$22&gt;A513)*(Calc!$G$3:$G$22-A513))</f>
        <v/>
      </c>
      <c r="E513">
        <f>SUMPRODUCT((Calc!$F$3:$F$22&gt;=LTP!$E$5)*(Calc!$F$3:$F$22&lt;=k_n)*(Calc!$G$3:$G$22&gt;A513)*(Calc!$G$3:$G$22-A513)^2)</f>
        <v/>
      </c>
      <c r="F513">
        <f>SUMPRODUCT((Calc!$F$3:$F$22&gt;=LTP!$E$5)*(Calc!$F$3:$F$22&lt;=k_n)*(Calc!$G$3:$G$22&gt;A513)*(Calc!$G$3:$G$22-A513)*Calc!$G$3:$G$22)</f>
        <v/>
      </c>
      <c r="G513">
        <f>SUMPRODUCT((Calc!$F$3:$F$22&gt;=LTP!$E$5)*(Calc!$F$3:$F$22&lt;=k_n)*(Calc!$G$3:$G$22&gt;A513)*(Calc!$G$3:$G$22-A513)*Calc!$I$3:$I$22)</f>
        <v/>
      </c>
      <c r="H513">
        <f>IF($B$469&gt;0,F513-$C$469*D513/$B$469,0)</f>
        <v/>
      </c>
      <c r="I513">
        <f>IF($B$469&gt;0,E513-D513^2/$B$469,0)</f>
        <v/>
      </c>
      <c r="J513">
        <f>IF($B$469&gt;0,G513-D513*$D$469/$B$469,0)</f>
        <v/>
      </c>
      <c r="K513">
        <f>$H$469*I513-H513^2</f>
        <v/>
      </c>
      <c r="L513">
        <f>IF(ABS(K513)&gt;1E-12,($H$469*J513-H513*$I$469)/K513,0)</f>
        <v/>
      </c>
      <c r="M513">
        <f>IF(ABS(K513)&gt;1E-12,(I513*$I$469-H513*J513)/K513,0)</f>
        <v/>
      </c>
      <c r="N513">
        <f>$J$469-M513*$I$469-L513*J513</f>
        <v/>
      </c>
      <c r="O513">
        <f>IF(AND(C513,ABS(K513)&gt;1E-12,L513&gt;0),N513,1E+300)</f>
        <v/>
      </c>
    </row>
    <row r="514">
      <c r="A514">
        <f>$K$469+($L$469-$K$469)*42/400</f>
        <v/>
      </c>
      <c r="B514">
        <f>SUMPRODUCT((Calc!$F$3:$F$22&gt;=LTP!$E$5)*(Calc!$F$3:$F$22&lt;=k_n)*(Calc!$G$3:$G$22&lt;=A514))</f>
        <v/>
      </c>
      <c r="C514">
        <f>AND(B514&gt;=2,$B$469-B514&gt;=2)</f>
        <v/>
      </c>
      <c r="D514">
        <f>SUMPRODUCT((Calc!$F$3:$F$22&gt;=LTP!$E$5)*(Calc!$F$3:$F$22&lt;=k_n)*(Calc!$G$3:$G$22&gt;A514)*(Calc!$G$3:$G$22-A514))</f>
        <v/>
      </c>
      <c r="E514">
        <f>SUMPRODUCT((Calc!$F$3:$F$22&gt;=LTP!$E$5)*(Calc!$F$3:$F$22&lt;=k_n)*(Calc!$G$3:$G$22&gt;A514)*(Calc!$G$3:$G$22-A514)^2)</f>
        <v/>
      </c>
      <c r="F514">
        <f>SUMPRODUCT((Calc!$F$3:$F$22&gt;=LTP!$E$5)*(Calc!$F$3:$F$22&lt;=k_n)*(Calc!$G$3:$G$22&gt;A514)*(Calc!$G$3:$G$22-A514)*Calc!$G$3:$G$22)</f>
        <v/>
      </c>
      <c r="G514">
        <f>SUMPRODUCT((Calc!$F$3:$F$22&gt;=LTP!$E$5)*(Calc!$F$3:$F$22&lt;=k_n)*(Calc!$G$3:$G$22&gt;A514)*(Calc!$G$3:$G$22-A514)*Calc!$I$3:$I$22)</f>
        <v/>
      </c>
      <c r="H514">
        <f>IF($B$469&gt;0,F514-$C$469*D514/$B$469,0)</f>
        <v/>
      </c>
      <c r="I514">
        <f>IF($B$469&gt;0,E514-D514^2/$B$469,0)</f>
        <v/>
      </c>
      <c r="J514">
        <f>IF($B$469&gt;0,G514-D514*$D$469/$B$469,0)</f>
        <v/>
      </c>
      <c r="K514">
        <f>$H$469*I514-H514^2</f>
        <v/>
      </c>
      <c r="L514">
        <f>IF(ABS(K514)&gt;1E-12,($H$469*J514-H514*$I$469)/K514,0)</f>
        <v/>
      </c>
      <c r="M514">
        <f>IF(ABS(K514)&gt;1E-12,(I514*$I$469-H514*J514)/K514,0)</f>
        <v/>
      </c>
      <c r="N514">
        <f>$J$469-M514*$I$469-L514*J514</f>
        <v/>
      </c>
      <c r="O514">
        <f>IF(AND(C514,ABS(K514)&gt;1E-12,L514&gt;0),N514,1E+300)</f>
        <v/>
      </c>
    </row>
    <row r="515">
      <c r="A515">
        <f>$K$469+($L$469-$K$469)*43/400</f>
        <v/>
      </c>
      <c r="B515">
        <f>SUMPRODUCT((Calc!$F$3:$F$22&gt;=LTP!$E$5)*(Calc!$F$3:$F$22&lt;=k_n)*(Calc!$G$3:$G$22&lt;=A515))</f>
        <v/>
      </c>
      <c r="C515">
        <f>AND(B515&gt;=2,$B$469-B515&gt;=2)</f>
        <v/>
      </c>
      <c r="D515">
        <f>SUMPRODUCT((Calc!$F$3:$F$22&gt;=LTP!$E$5)*(Calc!$F$3:$F$22&lt;=k_n)*(Calc!$G$3:$G$22&gt;A515)*(Calc!$G$3:$G$22-A515))</f>
        <v/>
      </c>
      <c r="E515">
        <f>SUMPRODUCT((Calc!$F$3:$F$22&gt;=LTP!$E$5)*(Calc!$F$3:$F$22&lt;=k_n)*(Calc!$G$3:$G$22&gt;A515)*(Calc!$G$3:$G$22-A515)^2)</f>
        <v/>
      </c>
      <c r="F515">
        <f>SUMPRODUCT((Calc!$F$3:$F$22&gt;=LTP!$E$5)*(Calc!$F$3:$F$22&lt;=k_n)*(Calc!$G$3:$G$22&gt;A515)*(Calc!$G$3:$G$22-A515)*Calc!$G$3:$G$22)</f>
        <v/>
      </c>
      <c r="G515">
        <f>SUMPRODUCT((Calc!$F$3:$F$22&gt;=LTP!$E$5)*(Calc!$F$3:$F$22&lt;=k_n)*(Calc!$G$3:$G$22&gt;A515)*(Calc!$G$3:$G$22-A515)*Calc!$I$3:$I$22)</f>
        <v/>
      </c>
      <c r="H515">
        <f>IF($B$469&gt;0,F515-$C$469*D515/$B$469,0)</f>
        <v/>
      </c>
      <c r="I515">
        <f>IF($B$469&gt;0,E515-D515^2/$B$469,0)</f>
        <v/>
      </c>
      <c r="J515">
        <f>IF($B$469&gt;0,G515-D515*$D$469/$B$469,0)</f>
        <v/>
      </c>
      <c r="K515">
        <f>$H$469*I515-H515^2</f>
        <v/>
      </c>
      <c r="L515">
        <f>IF(ABS(K515)&gt;1E-12,($H$469*J515-H515*$I$469)/K515,0)</f>
        <v/>
      </c>
      <c r="M515">
        <f>IF(ABS(K515)&gt;1E-12,(I515*$I$469-H515*J515)/K515,0)</f>
        <v/>
      </c>
      <c r="N515">
        <f>$J$469-M515*$I$469-L515*J515</f>
        <v/>
      </c>
      <c r="O515">
        <f>IF(AND(C515,ABS(K515)&gt;1E-12,L515&gt;0),N515,1E+300)</f>
        <v/>
      </c>
    </row>
    <row r="516">
      <c r="A516">
        <f>$K$469+($L$469-$K$469)*44/400</f>
        <v/>
      </c>
      <c r="B516">
        <f>SUMPRODUCT((Calc!$F$3:$F$22&gt;=LTP!$E$5)*(Calc!$F$3:$F$22&lt;=k_n)*(Calc!$G$3:$G$22&lt;=A516))</f>
        <v/>
      </c>
      <c r="C516">
        <f>AND(B516&gt;=2,$B$469-B516&gt;=2)</f>
        <v/>
      </c>
      <c r="D516">
        <f>SUMPRODUCT((Calc!$F$3:$F$22&gt;=LTP!$E$5)*(Calc!$F$3:$F$22&lt;=k_n)*(Calc!$G$3:$G$22&gt;A516)*(Calc!$G$3:$G$22-A516))</f>
        <v/>
      </c>
      <c r="E516">
        <f>SUMPRODUCT((Calc!$F$3:$F$22&gt;=LTP!$E$5)*(Calc!$F$3:$F$22&lt;=k_n)*(Calc!$G$3:$G$22&gt;A516)*(Calc!$G$3:$G$22-A516)^2)</f>
        <v/>
      </c>
      <c r="F516">
        <f>SUMPRODUCT((Calc!$F$3:$F$22&gt;=LTP!$E$5)*(Calc!$F$3:$F$22&lt;=k_n)*(Calc!$G$3:$G$22&gt;A516)*(Calc!$G$3:$G$22-A516)*Calc!$G$3:$G$22)</f>
        <v/>
      </c>
      <c r="G516">
        <f>SUMPRODUCT((Calc!$F$3:$F$22&gt;=LTP!$E$5)*(Calc!$F$3:$F$22&lt;=k_n)*(Calc!$G$3:$G$22&gt;A516)*(Calc!$G$3:$G$22-A516)*Calc!$I$3:$I$22)</f>
        <v/>
      </c>
      <c r="H516">
        <f>IF($B$469&gt;0,F516-$C$469*D516/$B$469,0)</f>
        <v/>
      </c>
      <c r="I516">
        <f>IF($B$469&gt;0,E516-D516^2/$B$469,0)</f>
        <v/>
      </c>
      <c r="J516">
        <f>IF($B$469&gt;0,G516-D516*$D$469/$B$469,0)</f>
        <v/>
      </c>
      <c r="K516">
        <f>$H$469*I516-H516^2</f>
        <v/>
      </c>
      <c r="L516">
        <f>IF(ABS(K516)&gt;1E-12,($H$469*J516-H516*$I$469)/K516,0)</f>
        <v/>
      </c>
      <c r="M516">
        <f>IF(ABS(K516)&gt;1E-12,(I516*$I$469-H516*J516)/K516,0)</f>
        <v/>
      </c>
      <c r="N516">
        <f>$J$469-M516*$I$469-L516*J516</f>
        <v/>
      </c>
      <c r="O516">
        <f>IF(AND(C516,ABS(K516)&gt;1E-12,L516&gt;0),N516,1E+300)</f>
        <v/>
      </c>
    </row>
    <row r="517">
      <c r="A517">
        <f>$K$469+($L$469-$K$469)*45/400</f>
        <v/>
      </c>
      <c r="B517">
        <f>SUMPRODUCT((Calc!$F$3:$F$22&gt;=LTP!$E$5)*(Calc!$F$3:$F$22&lt;=k_n)*(Calc!$G$3:$G$22&lt;=A517))</f>
        <v/>
      </c>
      <c r="C517">
        <f>AND(B517&gt;=2,$B$469-B517&gt;=2)</f>
        <v/>
      </c>
      <c r="D517">
        <f>SUMPRODUCT((Calc!$F$3:$F$22&gt;=LTP!$E$5)*(Calc!$F$3:$F$22&lt;=k_n)*(Calc!$G$3:$G$22&gt;A517)*(Calc!$G$3:$G$22-A517))</f>
        <v/>
      </c>
      <c r="E517">
        <f>SUMPRODUCT((Calc!$F$3:$F$22&gt;=LTP!$E$5)*(Calc!$F$3:$F$22&lt;=k_n)*(Calc!$G$3:$G$22&gt;A517)*(Calc!$G$3:$G$22-A517)^2)</f>
        <v/>
      </c>
      <c r="F517">
        <f>SUMPRODUCT((Calc!$F$3:$F$22&gt;=LTP!$E$5)*(Calc!$F$3:$F$22&lt;=k_n)*(Calc!$G$3:$G$22&gt;A517)*(Calc!$G$3:$G$22-A517)*Calc!$G$3:$G$22)</f>
        <v/>
      </c>
      <c r="G517">
        <f>SUMPRODUCT((Calc!$F$3:$F$22&gt;=LTP!$E$5)*(Calc!$F$3:$F$22&lt;=k_n)*(Calc!$G$3:$G$22&gt;A517)*(Calc!$G$3:$G$22-A517)*Calc!$I$3:$I$22)</f>
        <v/>
      </c>
      <c r="H517">
        <f>IF($B$469&gt;0,F517-$C$469*D517/$B$469,0)</f>
        <v/>
      </c>
      <c r="I517">
        <f>IF($B$469&gt;0,E517-D517^2/$B$469,0)</f>
        <v/>
      </c>
      <c r="J517">
        <f>IF($B$469&gt;0,G517-D517*$D$469/$B$469,0)</f>
        <v/>
      </c>
      <c r="K517">
        <f>$H$469*I517-H517^2</f>
        <v/>
      </c>
      <c r="L517">
        <f>IF(ABS(K517)&gt;1E-12,($H$469*J517-H517*$I$469)/K517,0)</f>
        <v/>
      </c>
      <c r="M517">
        <f>IF(ABS(K517)&gt;1E-12,(I517*$I$469-H517*J517)/K517,0)</f>
        <v/>
      </c>
      <c r="N517">
        <f>$J$469-M517*$I$469-L517*J517</f>
        <v/>
      </c>
      <c r="O517">
        <f>IF(AND(C517,ABS(K517)&gt;1E-12,L517&gt;0),N517,1E+300)</f>
        <v/>
      </c>
    </row>
    <row r="518">
      <c r="A518">
        <f>$K$469+($L$469-$K$469)*46/400</f>
        <v/>
      </c>
      <c r="B518">
        <f>SUMPRODUCT((Calc!$F$3:$F$22&gt;=LTP!$E$5)*(Calc!$F$3:$F$22&lt;=k_n)*(Calc!$G$3:$G$22&lt;=A518))</f>
        <v/>
      </c>
      <c r="C518">
        <f>AND(B518&gt;=2,$B$469-B518&gt;=2)</f>
        <v/>
      </c>
      <c r="D518">
        <f>SUMPRODUCT((Calc!$F$3:$F$22&gt;=LTP!$E$5)*(Calc!$F$3:$F$22&lt;=k_n)*(Calc!$G$3:$G$22&gt;A518)*(Calc!$G$3:$G$22-A518))</f>
        <v/>
      </c>
      <c r="E518">
        <f>SUMPRODUCT((Calc!$F$3:$F$22&gt;=LTP!$E$5)*(Calc!$F$3:$F$22&lt;=k_n)*(Calc!$G$3:$G$22&gt;A518)*(Calc!$G$3:$G$22-A518)^2)</f>
        <v/>
      </c>
      <c r="F518">
        <f>SUMPRODUCT((Calc!$F$3:$F$22&gt;=LTP!$E$5)*(Calc!$F$3:$F$22&lt;=k_n)*(Calc!$G$3:$G$22&gt;A518)*(Calc!$G$3:$G$22-A518)*Calc!$G$3:$G$22)</f>
        <v/>
      </c>
      <c r="G518">
        <f>SUMPRODUCT((Calc!$F$3:$F$22&gt;=LTP!$E$5)*(Calc!$F$3:$F$22&lt;=k_n)*(Calc!$G$3:$G$22&gt;A518)*(Calc!$G$3:$G$22-A518)*Calc!$I$3:$I$22)</f>
        <v/>
      </c>
      <c r="H518">
        <f>IF($B$469&gt;0,F518-$C$469*D518/$B$469,0)</f>
        <v/>
      </c>
      <c r="I518">
        <f>IF($B$469&gt;0,E518-D518^2/$B$469,0)</f>
        <v/>
      </c>
      <c r="J518">
        <f>IF($B$469&gt;0,G518-D518*$D$469/$B$469,0)</f>
        <v/>
      </c>
      <c r="K518">
        <f>$H$469*I518-H518^2</f>
        <v/>
      </c>
      <c r="L518">
        <f>IF(ABS(K518)&gt;1E-12,($H$469*J518-H518*$I$469)/K518,0)</f>
        <v/>
      </c>
      <c r="M518">
        <f>IF(ABS(K518)&gt;1E-12,(I518*$I$469-H518*J518)/K518,0)</f>
        <v/>
      </c>
      <c r="N518">
        <f>$J$469-M518*$I$469-L518*J518</f>
        <v/>
      </c>
      <c r="O518">
        <f>IF(AND(C518,ABS(K518)&gt;1E-12,L518&gt;0),N518,1E+300)</f>
        <v/>
      </c>
    </row>
    <row r="519">
      <c r="A519">
        <f>$K$469+($L$469-$K$469)*47/400</f>
        <v/>
      </c>
      <c r="B519">
        <f>SUMPRODUCT((Calc!$F$3:$F$22&gt;=LTP!$E$5)*(Calc!$F$3:$F$22&lt;=k_n)*(Calc!$G$3:$G$22&lt;=A519))</f>
        <v/>
      </c>
      <c r="C519">
        <f>AND(B519&gt;=2,$B$469-B519&gt;=2)</f>
        <v/>
      </c>
      <c r="D519">
        <f>SUMPRODUCT((Calc!$F$3:$F$22&gt;=LTP!$E$5)*(Calc!$F$3:$F$22&lt;=k_n)*(Calc!$G$3:$G$22&gt;A519)*(Calc!$G$3:$G$22-A519))</f>
        <v/>
      </c>
      <c r="E519">
        <f>SUMPRODUCT((Calc!$F$3:$F$22&gt;=LTP!$E$5)*(Calc!$F$3:$F$22&lt;=k_n)*(Calc!$G$3:$G$22&gt;A519)*(Calc!$G$3:$G$22-A519)^2)</f>
        <v/>
      </c>
      <c r="F519">
        <f>SUMPRODUCT((Calc!$F$3:$F$22&gt;=LTP!$E$5)*(Calc!$F$3:$F$22&lt;=k_n)*(Calc!$G$3:$G$22&gt;A519)*(Calc!$G$3:$G$22-A519)*Calc!$G$3:$G$22)</f>
        <v/>
      </c>
      <c r="G519">
        <f>SUMPRODUCT((Calc!$F$3:$F$22&gt;=LTP!$E$5)*(Calc!$F$3:$F$22&lt;=k_n)*(Calc!$G$3:$G$22&gt;A519)*(Calc!$G$3:$G$22-A519)*Calc!$I$3:$I$22)</f>
        <v/>
      </c>
      <c r="H519">
        <f>IF($B$469&gt;0,F519-$C$469*D519/$B$469,0)</f>
        <v/>
      </c>
      <c r="I519">
        <f>IF($B$469&gt;0,E519-D519^2/$B$469,0)</f>
        <v/>
      </c>
      <c r="J519">
        <f>IF($B$469&gt;0,G519-D519*$D$469/$B$469,0)</f>
        <v/>
      </c>
      <c r="K519">
        <f>$H$469*I519-H519^2</f>
        <v/>
      </c>
      <c r="L519">
        <f>IF(ABS(K519)&gt;1E-12,($H$469*J519-H519*$I$469)/K519,0)</f>
        <v/>
      </c>
      <c r="M519">
        <f>IF(ABS(K519)&gt;1E-12,(I519*$I$469-H519*J519)/K519,0)</f>
        <v/>
      </c>
      <c r="N519">
        <f>$J$469-M519*$I$469-L519*J519</f>
        <v/>
      </c>
      <c r="O519">
        <f>IF(AND(C519,ABS(K519)&gt;1E-12,L519&gt;0),N519,1E+300)</f>
        <v/>
      </c>
    </row>
    <row r="520">
      <c r="A520">
        <f>$K$469+($L$469-$K$469)*48/400</f>
        <v/>
      </c>
      <c r="B520">
        <f>SUMPRODUCT((Calc!$F$3:$F$22&gt;=LTP!$E$5)*(Calc!$F$3:$F$22&lt;=k_n)*(Calc!$G$3:$G$22&lt;=A520))</f>
        <v/>
      </c>
      <c r="C520">
        <f>AND(B520&gt;=2,$B$469-B520&gt;=2)</f>
        <v/>
      </c>
      <c r="D520">
        <f>SUMPRODUCT((Calc!$F$3:$F$22&gt;=LTP!$E$5)*(Calc!$F$3:$F$22&lt;=k_n)*(Calc!$G$3:$G$22&gt;A520)*(Calc!$G$3:$G$22-A520))</f>
        <v/>
      </c>
      <c r="E520">
        <f>SUMPRODUCT((Calc!$F$3:$F$22&gt;=LTP!$E$5)*(Calc!$F$3:$F$22&lt;=k_n)*(Calc!$G$3:$G$22&gt;A520)*(Calc!$G$3:$G$22-A520)^2)</f>
        <v/>
      </c>
      <c r="F520">
        <f>SUMPRODUCT((Calc!$F$3:$F$22&gt;=LTP!$E$5)*(Calc!$F$3:$F$22&lt;=k_n)*(Calc!$G$3:$G$22&gt;A520)*(Calc!$G$3:$G$22-A520)*Calc!$G$3:$G$22)</f>
        <v/>
      </c>
      <c r="G520">
        <f>SUMPRODUCT((Calc!$F$3:$F$22&gt;=LTP!$E$5)*(Calc!$F$3:$F$22&lt;=k_n)*(Calc!$G$3:$G$22&gt;A520)*(Calc!$G$3:$G$22-A520)*Calc!$I$3:$I$22)</f>
        <v/>
      </c>
      <c r="H520">
        <f>IF($B$469&gt;0,F520-$C$469*D520/$B$469,0)</f>
        <v/>
      </c>
      <c r="I520">
        <f>IF($B$469&gt;0,E520-D520^2/$B$469,0)</f>
        <v/>
      </c>
      <c r="J520">
        <f>IF($B$469&gt;0,G520-D520*$D$469/$B$469,0)</f>
        <v/>
      </c>
      <c r="K520">
        <f>$H$469*I520-H520^2</f>
        <v/>
      </c>
      <c r="L520">
        <f>IF(ABS(K520)&gt;1E-12,($H$469*J520-H520*$I$469)/K520,0)</f>
        <v/>
      </c>
      <c r="M520">
        <f>IF(ABS(K520)&gt;1E-12,(I520*$I$469-H520*J520)/K520,0)</f>
        <v/>
      </c>
      <c r="N520">
        <f>$J$469-M520*$I$469-L520*J520</f>
        <v/>
      </c>
      <c r="O520">
        <f>IF(AND(C520,ABS(K520)&gt;1E-12,L520&gt;0),N520,1E+300)</f>
        <v/>
      </c>
    </row>
    <row r="521">
      <c r="A521">
        <f>$K$469+($L$469-$K$469)*49/400</f>
        <v/>
      </c>
      <c r="B521">
        <f>SUMPRODUCT((Calc!$F$3:$F$22&gt;=LTP!$E$5)*(Calc!$F$3:$F$22&lt;=k_n)*(Calc!$G$3:$G$22&lt;=A521))</f>
        <v/>
      </c>
      <c r="C521">
        <f>AND(B521&gt;=2,$B$469-B521&gt;=2)</f>
        <v/>
      </c>
      <c r="D521">
        <f>SUMPRODUCT((Calc!$F$3:$F$22&gt;=LTP!$E$5)*(Calc!$F$3:$F$22&lt;=k_n)*(Calc!$G$3:$G$22&gt;A521)*(Calc!$G$3:$G$22-A521))</f>
        <v/>
      </c>
      <c r="E521">
        <f>SUMPRODUCT((Calc!$F$3:$F$22&gt;=LTP!$E$5)*(Calc!$F$3:$F$22&lt;=k_n)*(Calc!$G$3:$G$22&gt;A521)*(Calc!$G$3:$G$22-A521)^2)</f>
        <v/>
      </c>
      <c r="F521">
        <f>SUMPRODUCT((Calc!$F$3:$F$22&gt;=LTP!$E$5)*(Calc!$F$3:$F$22&lt;=k_n)*(Calc!$G$3:$G$22&gt;A521)*(Calc!$G$3:$G$22-A521)*Calc!$G$3:$G$22)</f>
        <v/>
      </c>
      <c r="G521">
        <f>SUMPRODUCT((Calc!$F$3:$F$22&gt;=LTP!$E$5)*(Calc!$F$3:$F$22&lt;=k_n)*(Calc!$G$3:$G$22&gt;A521)*(Calc!$G$3:$G$22-A521)*Calc!$I$3:$I$22)</f>
        <v/>
      </c>
      <c r="H521">
        <f>IF($B$469&gt;0,F521-$C$469*D521/$B$469,0)</f>
        <v/>
      </c>
      <c r="I521">
        <f>IF($B$469&gt;0,E521-D521^2/$B$469,0)</f>
        <v/>
      </c>
      <c r="J521">
        <f>IF($B$469&gt;0,G521-D521*$D$469/$B$469,0)</f>
        <v/>
      </c>
      <c r="K521">
        <f>$H$469*I521-H521^2</f>
        <v/>
      </c>
      <c r="L521">
        <f>IF(ABS(K521)&gt;1E-12,($H$469*J521-H521*$I$469)/K521,0)</f>
        <v/>
      </c>
      <c r="M521">
        <f>IF(ABS(K521)&gt;1E-12,(I521*$I$469-H521*J521)/K521,0)</f>
        <v/>
      </c>
      <c r="N521">
        <f>$J$469-M521*$I$469-L521*J521</f>
        <v/>
      </c>
      <c r="O521">
        <f>IF(AND(C521,ABS(K521)&gt;1E-12,L521&gt;0),N521,1E+300)</f>
        <v/>
      </c>
    </row>
    <row r="522">
      <c r="A522">
        <f>$K$469+($L$469-$K$469)*50/400</f>
        <v/>
      </c>
      <c r="B522">
        <f>SUMPRODUCT((Calc!$F$3:$F$22&gt;=LTP!$E$5)*(Calc!$F$3:$F$22&lt;=k_n)*(Calc!$G$3:$G$22&lt;=A522))</f>
        <v/>
      </c>
      <c r="C522">
        <f>AND(B522&gt;=2,$B$469-B522&gt;=2)</f>
        <v/>
      </c>
      <c r="D522">
        <f>SUMPRODUCT((Calc!$F$3:$F$22&gt;=LTP!$E$5)*(Calc!$F$3:$F$22&lt;=k_n)*(Calc!$G$3:$G$22&gt;A522)*(Calc!$G$3:$G$22-A522))</f>
        <v/>
      </c>
      <c r="E522">
        <f>SUMPRODUCT((Calc!$F$3:$F$22&gt;=LTP!$E$5)*(Calc!$F$3:$F$22&lt;=k_n)*(Calc!$G$3:$G$22&gt;A522)*(Calc!$G$3:$G$22-A522)^2)</f>
        <v/>
      </c>
      <c r="F522">
        <f>SUMPRODUCT((Calc!$F$3:$F$22&gt;=LTP!$E$5)*(Calc!$F$3:$F$22&lt;=k_n)*(Calc!$G$3:$G$22&gt;A522)*(Calc!$G$3:$G$22-A522)*Calc!$G$3:$G$22)</f>
        <v/>
      </c>
      <c r="G522">
        <f>SUMPRODUCT((Calc!$F$3:$F$22&gt;=LTP!$E$5)*(Calc!$F$3:$F$22&lt;=k_n)*(Calc!$G$3:$G$22&gt;A522)*(Calc!$G$3:$G$22-A522)*Calc!$I$3:$I$22)</f>
        <v/>
      </c>
      <c r="H522">
        <f>IF($B$469&gt;0,F522-$C$469*D522/$B$469,0)</f>
        <v/>
      </c>
      <c r="I522">
        <f>IF($B$469&gt;0,E522-D522^2/$B$469,0)</f>
        <v/>
      </c>
      <c r="J522">
        <f>IF($B$469&gt;0,G522-D522*$D$469/$B$469,0)</f>
        <v/>
      </c>
      <c r="K522">
        <f>$H$469*I522-H522^2</f>
        <v/>
      </c>
      <c r="L522">
        <f>IF(ABS(K522)&gt;1E-12,($H$469*J522-H522*$I$469)/K522,0)</f>
        <v/>
      </c>
      <c r="M522">
        <f>IF(ABS(K522)&gt;1E-12,(I522*$I$469-H522*J522)/K522,0)</f>
        <v/>
      </c>
      <c r="N522">
        <f>$J$469-M522*$I$469-L522*J522</f>
        <v/>
      </c>
      <c r="O522">
        <f>IF(AND(C522,ABS(K522)&gt;1E-12,L522&gt;0),N522,1E+300)</f>
        <v/>
      </c>
    </row>
    <row r="523">
      <c r="A523">
        <f>$K$469+($L$469-$K$469)*51/400</f>
        <v/>
      </c>
      <c r="B523">
        <f>SUMPRODUCT((Calc!$F$3:$F$22&gt;=LTP!$E$5)*(Calc!$F$3:$F$22&lt;=k_n)*(Calc!$G$3:$G$22&lt;=A523))</f>
        <v/>
      </c>
      <c r="C523">
        <f>AND(B523&gt;=2,$B$469-B523&gt;=2)</f>
        <v/>
      </c>
      <c r="D523">
        <f>SUMPRODUCT((Calc!$F$3:$F$22&gt;=LTP!$E$5)*(Calc!$F$3:$F$22&lt;=k_n)*(Calc!$G$3:$G$22&gt;A523)*(Calc!$G$3:$G$22-A523))</f>
        <v/>
      </c>
      <c r="E523">
        <f>SUMPRODUCT((Calc!$F$3:$F$22&gt;=LTP!$E$5)*(Calc!$F$3:$F$22&lt;=k_n)*(Calc!$G$3:$G$22&gt;A523)*(Calc!$G$3:$G$22-A523)^2)</f>
        <v/>
      </c>
      <c r="F523">
        <f>SUMPRODUCT((Calc!$F$3:$F$22&gt;=LTP!$E$5)*(Calc!$F$3:$F$22&lt;=k_n)*(Calc!$G$3:$G$22&gt;A523)*(Calc!$G$3:$G$22-A523)*Calc!$G$3:$G$22)</f>
        <v/>
      </c>
      <c r="G523">
        <f>SUMPRODUCT((Calc!$F$3:$F$22&gt;=LTP!$E$5)*(Calc!$F$3:$F$22&lt;=k_n)*(Calc!$G$3:$G$22&gt;A523)*(Calc!$G$3:$G$22-A523)*Calc!$I$3:$I$22)</f>
        <v/>
      </c>
      <c r="H523">
        <f>IF($B$469&gt;0,F523-$C$469*D523/$B$469,0)</f>
        <v/>
      </c>
      <c r="I523">
        <f>IF($B$469&gt;0,E523-D523^2/$B$469,0)</f>
        <v/>
      </c>
      <c r="J523">
        <f>IF($B$469&gt;0,G523-D523*$D$469/$B$469,0)</f>
        <v/>
      </c>
      <c r="K523">
        <f>$H$469*I523-H523^2</f>
        <v/>
      </c>
      <c r="L523">
        <f>IF(ABS(K523)&gt;1E-12,($H$469*J523-H523*$I$469)/K523,0)</f>
        <v/>
      </c>
      <c r="M523">
        <f>IF(ABS(K523)&gt;1E-12,(I523*$I$469-H523*J523)/K523,0)</f>
        <v/>
      </c>
      <c r="N523">
        <f>$J$469-M523*$I$469-L523*J523</f>
        <v/>
      </c>
      <c r="O523">
        <f>IF(AND(C523,ABS(K523)&gt;1E-12,L523&gt;0),N523,1E+300)</f>
        <v/>
      </c>
    </row>
    <row r="524">
      <c r="A524">
        <f>$K$469+($L$469-$K$469)*52/400</f>
        <v/>
      </c>
      <c r="B524">
        <f>SUMPRODUCT((Calc!$F$3:$F$22&gt;=LTP!$E$5)*(Calc!$F$3:$F$22&lt;=k_n)*(Calc!$G$3:$G$22&lt;=A524))</f>
        <v/>
      </c>
      <c r="C524">
        <f>AND(B524&gt;=2,$B$469-B524&gt;=2)</f>
        <v/>
      </c>
      <c r="D524">
        <f>SUMPRODUCT((Calc!$F$3:$F$22&gt;=LTP!$E$5)*(Calc!$F$3:$F$22&lt;=k_n)*(Calc!$G$3:$G$22&gt;A524)*(Calc!$G$3:$G$22-A524))</f>
        <v/>
      </c>
      <c r="E524">
        <f>SUMPRODUCT((Calc!$F$3:$F$22&gt;=LTP!$E$5)*(Calc!$F$3:$F$22&lt;=k_n)*(Calc!$G$3:$G$22&gt;A524)*(Calc!$G$3:$G$22-A524)^2)</f>
        <v/>
      </c>
      <c r="F524">
        <f>SUMPRODUCT((Calc!$F$3:$F$22&gt;=LTP!$E$5)*(Calc!$F$3:$F$22&lt;=k_n)*(Calc!$G$3:$G$22&gt;A524)*(Calc!$G$3:$G$22-A524)*Calc!$G$3:$G$22)</f>
        <v/>
      </c>
      <c r="G524">
        <f>SUMPRODUCT((Calc!$F$3:$F$22&gt;=LTP!$E$5)*(Calc!$F$3:$F$22&lt;=k_n)*(Calc!$G$3:$G$22&gt;A524)*(Calc!$G$3:$G$22-A524)*Calc!$I$3:$I$22)</f>
        <v/>
      </c>
      <c r="H524">
        <f>IF($B$469&gt;0,F524-$C$469*D524/$B$469,0)</f>
        <v/>
      </c>
      <c r="I524">
        <f>IF($B$469&gt;0,E524-D524^2/$B$469,0)</f>
        <v/>
      </c>
      <c r="J524">
        <f>IF($B$469&gt;0,G524-D524*$D$469/$B$469,0)</f>
        <v/>
      </c>
      <c r="K524">
        <f>$H$469*I524-H524^2</f>
        <v/>
      </c>
      <c r="L524">
        <f>IF(ABS(K524)&gt;1E-12,($H$469*J524-H524*$I$469)/K524,0)</f>
        <v/>
      </c>
      <c r="M524">
        <f>IF(ABS(K524)&gt;1E-12,(I524*$I$469-H524*J524)/K524,0)</f>
        <v/>
      </c>
      <c r="N524">
        <f>$J$469-M524*$I$469-L524*J524</f>
        <v/>
      </c>
      <c r="O524">
        <f>IF(AND(C524,ABS(K524)&gt;1E-12,L524&gt;0),N524,1E+300)</f>
        <v/>
      </c>
    </row>
    <row r="525">
      <c r="A525">
        <f>$K$469+($L$469-$K$469)*53/400</f>
        <v/>
      </c>
      <c r="B525">
        <f>SUMPRODUCT((Calc!$F$3:$F$22&gt;=LTP!$E$5)*(Calc!$F$3:$F$22&lt;=k_n)*(Calc!$G$3:$G$22&lt;=A525))</f>
        <v/>
      </c>
      <c r="C525">
        <f>AND(B525&gt;=2,$B$469-B525&gt;=2)</f>
        <v/>
      </c>
      <c r="D525">
        <f>SUMPRODUCT((Calc!$F$3:$F$22&gt;=LTP!$E$5)*(Calc!$F$3:$F$22&lt;=k_n)*(Calc!$G$3:$G$22&gt;A525)*(Calc!$G$3:$G$22-A525))</f>
        <v/>
      </c>
      <c r="E525">
        <f>SUMPRODUCT((Calc!$F$3:$F$22&gt;=LTP!$E$5)*(Calc!$F$3:$F$22&lt;=k_n)*(Calc!$G$3:$G$22&gt;A525)*(Calc!$G$3:$G$22-A525)^2)</f>
        <v/>
      </c>
      <c r="F525">
        <f>SUMPRODUCT((Calc!$F$3:$F$22&gt;=LTP!$E$5)*(Calc!$F$3:$F$22&lt;=k_n)*(Calc!$G$3:$G$22&gt;A525)*(Calc!$G$3:$G$22-A525)*Calc!$G$3:$G$22)</f>
        <v/>
      </c>
      <c r="G525">
        <f>SUMPRODUCT((Calc!$F$3:$F$22&gt;=LTP!$E$5)*(Calc!$F$3:$F$22&lt;=k_n)*(Calc!$G$3:$G$22&gt;A525)*(Calc!$G$3:$G$22-A525)*Calc!$I$3:$I$22)</f>
        <v/>
      </c>
      <c r="H525">
        <f>IF($B$469&gt;0,F525-$C$469*D525/$B$469,0)</f>
        <v/>
      </c>
      <c r="I525">
        <f>IF($B$469&gt;0,E525-D525^2/$B$469,0)</f>
        <v/>
      </c>
      <c r="J525">
        <f>IF($B$469&gt;0,G525-D525*$D$469/$B$469,0)</f>
        <v/>
      </c>
      <c r="K525">
        <f>$H$469*I525-H525^2</f>
        <v/>
      </c>
      <c r="L525">
        <f>IF(ABS(K525)&gt;1E-12,($H$469*J525-H525*$I$469)/K525,0)</f>
        <v/>
      </c>
      <c r="M525">
        <f>IF(ABS(K525)&gt;1E-12,(I525*$I$469-H525*J525)/K525,0)</f>
        <v/>
      </c>
      <c r="N525">
        <f>$J$469-M525*$I$469-L525*J525</f>
        <v/>
      </c>
      <c r="O525">
        <f>IF(AND(C525,ABS(K525)&gt;1E-12,L525&gt;0),N525,1E+300)</f>
        <v/>
      </c>
    </row>
    <row r="526">
      <c r="A526">
        <f>$K$469+($L$469-$K$469)*54/400</f>
        <v/>
      </c>
      <c r="B526">
        <f>SUMPRODUCT((Calc!$F$3:$F$22&gt;=LTP!$E$5)*(Calc!$F$3:$F$22&lt;=k_n)*(Calc!$G$3:$G$22&lt;=A526))</f>
        <v/>
      </c>
      <c r="C526">
        <f>AND(B526&gt;=2,$B$469-B526&gt;=2)</f>
        <v/>
      </c>
      <c r="D526">
        <f>SUMPRODUCT((Calc!$F$3:$F$22&gt;=LTP!$E$5)*(Calc!$F$3:$F$22&lt;=k_n)*(Calc!$G$3:$G$22&gt;A526)*(Calc!$G$3:$G$22-A526))</f>
        <v/>
      </c>
      <c r="E526">
        <f>SUMPRODUCT((Calc!$F$3:$F$22&gt;=LTP!$E$5)*(Calc!$F$3:$F$22&lt;=k_n)*(Calc!$G$3:$G$22&gt;A526)*(Calc!$G$3:$G$22-A526)^2)</f>
        <v/>
      </c>
      <c r="F526">
        <f>SUMPRODUCT((Calc!$F$3:$F$22&gt;=LTP!$E$5)*(Calc!$F$3:$F$22&lt;=k_n)*(Calc!$G$3:$G$22&gt;A526)*(Calc!$G$3:$G$22-A526)*Calc!$G$3:$G$22)</f>
        <v/>
      </c>
      <c r="G526">
        <f>SUMPRODUCT((Calc!$F$3:$F$22&gt;=LTP!$E$5)*(Calc!$F$3:$F$22&lt;=k_n)*(Calc!$G$3:$G$22&gt;A526)*(Calc!$G$3:$G$22-A526)*Calc!$I$3:$I$22)</f>
        <v/>
      </c>
      <c r="H526">
        <f>IF($B$469&gt;0,F526-$C$469*D526/$B$469,0)</f>
        <v/>
      </c>
      <c r="I526">
        <f>IF($B$469&gt;0,E526-D526^2/$B$469,0)</f>
        <v/>
      </c>
      <c r="J526">
        <f>IF($B$469&gt;0,G526-D526*$D$469/$B$469,0)</f>
        <v/>
      </c>
      <c r="K526">
        <f>$H$469*I526-H526^2</f>
        <v/>
      </c>
      <c r="L526">
        <f>IF(ABS(K526)&gt;1E-12,($H$469*J526-H526*$I$469)/K526,0)</f>
        <v/>
      </c>
      <c r="M526">
        <f>IF(ABS(K526)&gt;1E-12,(I526*$I$469-H526*J526)/K526,0)</f>
        <v/>
      </c>
      <c r="N526">
        <f>$J$469-M526*$I$469-L526*J526</f>
        <v/>
      </c>
      <c r="O526">
        <f>IF(AND(C526,ABS(K526)&gt;1E-12,L526&gt;0),N526,1E+300)</f>
        <v/>
      </c>
    </row>
    <row r="527">
      <c r="A527">
        <f>$K$469+($L$469-$K$469)*55/400</f>
        <v/>
      </c>
      <c r="B527">
        <f>SUMPRODUCT((Calc!$F$3:$F$22&gt;=LTP!$E$5)*(Calc!$F$3:$F$22&lt;=k_n)*(Calc!$G$3:$G$22&lt;=A527))</f>
        <v/>
      </c>
      <c r="C527">
        <f>AND(B527&gt;=2,$B$469-B527&gt;=2)</f>
        <v/>
      </c>
      <c r="D527">
        <f>SUMPRODUCT((Calc!$F$3:$F$22&gt;=LTP!$E$5)*(Calc!$F$3:$F$22&lt;=k_n)*(Calc!$G$3:$G$22&gt;A527)*(Calc!$G$3:$G$22-A527))</f>
        <v/>
      </c>
      <c r="E527">
        <f>SUMPRODUCT((Calc!$F$3:$F$22&gt;=LTP!$E$5)*(Calc!$F$3:$F$22&lt;=k_n)*(Calc!$G$3:$G$22&gt;A527)*(Calc!$G$3:$G$22-A527)^2)</f>
        <v/>
      </c>
      <c r="F527">
        <f>SUMPRODUCT((Calc!$F$3:$F$22&gt;=LTP!$E$5)*(Calc!$F$3:$F$22&lt;=k_n)*(Calc!$G$3:$G$22&gt;A527)*(Calc!$G$3:$G$22-A527)*Calc!$G$3:$G$22)</f>
        <v/>
      </c>
      <c r="G527">
        <f>SUMPRODUCT((Calc!$F$3:$F$22&gt;=LTP!$E$5)*(Calc!$F$3:$F$22&lt;=k_n)*(Calc!$G$3:$G$22&gt;A527)*(Calc!$G$3:$G$22-A527)*Calc!$I$3:$I$22)</f>
        <v/>
      </c>
      <c r="H527">
        <f>IF($B$469&gt;0,F527-$C$469*D527/$B$469,0)</f>
        <v/>
      </c>
      <c r="I527">
        <f>IF($B$469&gt;0,E527-D527^2/$B$469,0)</f>
        <v/>
      </c>
      <c r="J527">
        <f>IF($B$469&gt;0,G527-D527*$D$469/$B$469,0)</f>
        <v/>
      </c>
      <c r="K527">
        <f>$H$469*I527-H527^2</f>
        <v/>
      </c>
      <c r="L527">
        <f>IF(ABS(K527)&gt;1E-12,($H$469*J527-H527*$I$469)/K527,0)</f>
        <v/>
      </c>
      <c r="M527">
        <f>IF(ABS(K527)&gt;1E-12,(I527*$I$469-H527*J527)/K527,0)</f>
        <v/>
      </c>
      <c r="N527">
        <f>$J$469-M527*$I$469-L527*J527</f>
        <v/>
      </c>
      <c r="O527">
        <f>IF(AND(C527,ABS(K527)&gt;1E-12,L527&gt;0),N527,1E+300)</f>
        <v/>
      </c>
    </row>
    <row r="528">
      <c r="A528">
        <f>$K$469+($L$469-$K$469)*56/400</f>
        <v/>
      </c>
      <c r="B528">
        <f>SUMPRODUCT((Calc!$F$3:$F$22&gt;=LTP!$E$5)*(Calc!$F$3:$F$22&lt;=k_n)*(Calc!$G$3:$G$22&lt;=A528))</f>
        <v/>
      </c>
      <c r="C528">
        <f>AND(B528&gt;=2,$B$469-B528&gt;=2)</f>
        <v/>
      </c>
      <c r="D528">
        <f>SUMPRODUCT((Calc!$F$3:$F$22&gt;=LTP!$E$5)*(Calc!$F$3:$F$22&lt;=k_n)*(Calc!$G$3:$G$22&gt;A528)*(Calc!$G$3:$G$22-A528))</f>
        <v/>
      </c>
      <c r="E528">
        <f>SUMPRODUCT((Calc!$F$3:$F$22&gt;=LTP!$E$5)*(Calc!$F$3:$F$22&lt;=k_n)*(Calc!$G$3:$G$22&gt;A528)*(Calc!$G$3:$G$22-A528)^2)</f>
        <v/>
      </c>
      <c r="F528">
        <f>SUMPRODUCT((Calc!$F$3:$F$22&gt;=LTP!$E$5)*(Calc!$F$3:$F$22&lt;=k_n)*(Calc!$G$3:$G$22&gt;A528)*(Calc!$G$3:$G$22-A528)*Calc!$G$3:$G$22)</f>
        <v/>
      </c>
      <c r="G528">
        <f>SUMPRODUCT((Calc!$F$3:$F$22&gt;=LTP!$E$5)*(Calc!$F$3:$F$22&lt;=k_n)*(Calc!$G$3:$G$22&gt;A528)*(Calc!$G$3:$G$22-A528)*Calc!$I$3:$I$22)</f>
        <v/>
      </c>
      <c r="H528">
        <f>IF($B$469&gt;0,F528-$C$469*D528/$B$469,0)</f>
        <v/>
      </c>
      <c r="I528">
        <f>IF($B$469&gt;0,E528-D528^2/$B$469,0)</f>
        <v/>
      </c>
      <c r="J528">
        <f>IF($B$469&gt;0,G528-D528*$D$469/$B$469,0)</f>
        <v/>
      </c>
      <c r="K528">
        <f>$H$469*I528-H528^2</f>
        <v/>
      </c>
      <c r="L528">
        <f>IF(ABS(K528)&gt;1E-12,($H$469*J528-H528*$I$469)/K528,0)</f>
        <v/>
      </c>
      <c r="M528">
        <f>IF(ABS(K528)&gt;1E-12,(I528*$I$469-H528*J528)/K528,0)</f>
        <v/>
      </c>
      <c r="N528">
        <f>$J$469-M528*$I$469-L528*J528</f>
        <v/>
      </c>
      <c r="O528">
        <f>IF(AND(C528,ABS(K528)&gt;1E-12,L528&gt;0),N528,1E+300)</f>
        <v/>
      </c>
    </row>
    <row r="529">
      <c r="A529">
        <f>$K$469+($L$469-$K$469)*57/400</f>
        <v/>
      </c>
      <c r="B529">
        <f>SUMPRODUCT((Calc!$F$3:$F$22&gt;=LTP!$E$5)*(Calc!$F$3:$F$22&lt;=k_n)*(Calc!$G$3:$G$22&lt;=A529))</f>
        <v/>
      </c>
      <c r="C529">
        <f>AND(B529&gt;=2,$B$469-B529&gt;=2)</f>
        <v/>
      </c>
      <c r="D529">
        <f>SUMPRODUCT((Calc!$F$3:$F$22&gt;=LTP!$E$5)*(Calc!$F$3:$F$22&lt;=k_n)*(Calc!$G$3:$G$22&gt;A529)*(Calc!$G$3:$G$22-A529))</f>
        <v/>
      </c>
      <c r="E529">
        <f>SUMPRODUCT((Calc!$F$3:$F$22&gt;=LTP!$E$5)*(Calc!$F$3:$F$22&lt;=k_n)*(Calc!$G$3:$G$22&gt;A529)*(Calc!$G$3:$G$22-A529)^2)</f>
        <v/>
      </c>
      <c r="F529">
        <f>SUMPRODUCT((Calc!$F$3:$F$22&gt;=LTP!$E$5)*(Calc!$F$3:$F$22&lt;=k_n)*(Calc!$G$3:$G$22&gt;A529)*(Calc!$G$3:$G$22-A529)*Calc!$G$3:$G$22)</f>
        <v/>
      </c>
      <c r="G529">
        <f>SUMPRODUCT((Calc!$F$3:$F$22&gt;=LTP!$E$5)*(Calc!$F$3:$F$22&lt;=k_n)*(Calc!$G$3:$G$22&gt;A529)*(Calc!$G$3:$G$22-A529)*Calc!$I$3:$I$22)</f>
        <v/>
      </c>
      <c r="H529">
        <f>IF($B$469&gt;0,F529-$C$469*D529/$B$469,0)</f>
        <v/>
      </c>
      <c r="I529">
        <f>IF($B$469&gt;0,E529-D529^2/$B$469,0)</f>
        <v/>
      </c>
      <c r="J529">
        <f>IF($B$469&gt;0,G529-D529*$D$469/$B$469,0)</f>
        <v/>
      </c>
      <c r="K529">
        <f>$H$469*I529-H529^2</f>
        <v/>
      </c>
      <c r="L529">
        <f>IF(ABS(K529)&gt;1E-12,($H$469*J529-H529*$I$469)/K529,0)</f>
        <v/>
      </c>
      <c r="M529">
        <f>IF(ABS(K529)&gt;1E-12,(I529*$I$469-H529*J529)/K529,0)</f>
        <v/>
      </c>
      <c r="N529">
        <f>$J$469-M529*$I$469-L529*J529</f>
        <v/>
      </c>
      <c r="O529">
        <f>IF(AND(C529,ABS(K529)&gt;1E-12,L529&gt;0),N529,1E+300)</f>
        <v/>
      </c>
    </row>
    <row r="530">
      <c r="A530">
        <f>$K$469+($L$469-$K$469)*58/400</f>
        <v/>
      </c>
      <c r="B530">
        <f>SUMPRODUCT((Calc!$F$3:$F$22&gt;=LTP!$E$5)*(Calc!$F$3:$F$22&lt;=k_n)*(Calc!$G$3:$G$22&lt;=A530))</f>
        <v/>
      </c>
      <c r="C530">
        <f>AND(B530&gt;=2,$B$469-B530&gt;=2)</f>
        <v/>
      </c>
      <c r="D530">
        <f>SUMPRODUCT((Calc!$F$3:$F$22&gt;=LTP!$E$5)*(Calc!$F$3:$F$22&lt;=k_n)*(Calc!$G$3:$G$22&gt;A530)*(Calc!$G$3:$G$22-A530))</f>
        <v/>
      </c>
      <c r="E530">
        <f>SUMPRODUCT((Calc!$F$3:$F$22&gt;=LTP!$E$5)*(Calc!$F$3:$F$22&lt;=k_n)*(Calc!$G$3:$G$22&gt;A530)*(Calc!$G$3:$G$22-A530)^2)</f>
        <v/>
      </c>
      <c r="F530">
        <f>SUMPRODUCT((Calc!$F$3:$F$22&gt;=LTP!$E$5)*(Calc!$F$3:$F$22&lt;=k_n)*(Calc!$G$3:$G$22&gt;A530)*(Calc!$G$3:$G$22-A530)*Calc!$G$3:$G$22)</f>
        <v/>
      </c>
      <c r="G530">
        <f>SUMPRODUCT((Calc!$F$3:$F$22&gt;=LTP!$E$5)*(Calc!$F$3:$F$22&lt;=k_n)*(Calc!$G$3:$G$22&gt;A530)*(Calc!$G$3:$G$22-A530)*Calc!$I$3:$I$22)</f>
        <v/>
      </c>
      <c r="H530">
        <f>IF($B$469&gt;0,F530-$C$469*D530/$B$469,0)</f>
        <v/>
      </c>
      <c r="I530">
        <f>IF($B$469&gt;0,E530-D530^2/$B$469,0)</f>
        <v/>
      </c>
      <c r="J530">
        <f>IF($B$469&gt;0,G530-D530*$D$469/$B$469,0)</f>
        <v/>
      </c>
      <c r="K530">
        <f>$H$469*I530-H530^2</f>
        <v/>
      </c>
      <c r="L530">
        <f>IF(ABS(K530)&gt;1E-12,($H$469*J530-H530*$I$469)/K530,0)</f>
        <v/>
      </c>
      <c r="M530">
        <f>IF(ABS(K530)&gt;1E-12,(I530*$I$469-H530*J530)/K530,0)</f>
        <v/>
      </c>
      <c r="N530">
        <f>$J$469-M530*$I$469-L530*J530</f>
        <v/>
      </c>
      <c r="O530">
        <f>IF(AND(C530,ABS(K530)&gt;1E-12,L530&gt;0),N530,1E+300)</f>
        <v/>
      </c>
    </row>
    <row r="531">
      <c r="A531">
        <f>$K$469+($L$469-$K$469)*59/400</f>
        <v/>
      </c>
      <c r="B531">
        <f>SUMPRODUCT((Calc!$F$3:$F$22&gt;=LTP!$E$5)*(Calc!$F$3:$F$22&lt;=k_n)*(Calc!$G$3:$G$22&lt;=A531))</f>
        <v/>
      </c>
      <c r="C531">
        <f>AND(B531&gt;=2,$B$469-B531&gt;=2)</f>
        <v/>
      </c>
      <c r="D531">
        <f>SUMPRODUCT((Calc!$F$3:$F$22&gt;=LTP!$E$5)*(Calc!$F$3:$F$22&lt;=k_n)*(Calc!$G$3:$G$22&gt;A531)*(Calc!$G$3:$G$22-A531))</f>
        <v/>
      </c>
      <c r="E531">
        <f>SUMPRODUCT((Calc!$F$3:$F$22&gt;=LTP!$E$5)*(Calc!$F$3:$F$22&lt;=k_n)*(Calc!$G$3:$G$22&gt;A531)*(Calc!$G$3:$G$22-A531)^2)</f>
        <v/>
      </c>
      <c r="F531">
        <f>SUMPRODUCT((Calc!$F$3:$F$22&gt;=LTP!$E$5)*(Calc!$F$3:$F$22&lt;=k_n)*(Calc!$G$3:$G$22&gt;A531)*(Calc!$G$3:$G$22-A531)*Calc!$G$3:$G$22)</f>
        <v/>
      </c>
      <c r="G531">
        <f>SUMPRODUCT((Calc!$F$3:$F$22&gt;=LTP!$E$5)*(Calc!$F$3:$F$22&lt;=k_n)*(Calc!$G$3:$G$22&gt;A531)*(Calc!$G$3:$G$22-A531)*Calc!$I$3:$I$22)</f>
        <v/>
      </c>
      <c r="H531">
        <f>IF($B$469&gt;0,F531-$C$469*D531/$B$469,0)</f>
        <v/>
      </c>
      <c r="I531">
        <f>IF($B$469&gt;0,E531-D531^2/$B$469,0)</f>
        <v/>
      </c>
      <c r="J531">
        <f>IF($B$469&gt;0,G531-D531*$D$469/$B$469,0)</f>
        <v/>
      </c>
      <c r="K531">
        <f>$H$469*I531-H531^2</f>
        <v/>
      </c>
      <c r="L531">
        <f>IF(ABS(K531)&gt;1E-12,($H$469*J531-H531*$I$469)/K531,0)</f>
        <v/>
      </c>
      <c r="M531">
        <f>IF(ABS(K531)&gt;1E-12,(I531*$I$469-H531*J531)/K531,0)</f>
        <v/>
      </c>
      <c r="N531">
        <f>$J$469-M531*$I$469-L531*J531</f>
        <v/>
      </c>
      <c r="O531">
        <f>IF(AND(C531,ABS(K531)&gt;1E-12,L531&gt;0),N531,1E+300)</f>
        <v/>
      </c>
    </row>
    <row r="532">
      <c r="A532">
        <f>$K$469+($L$469-$K$469)*60/400</f>
        <v/>
      </c>
      <c r="B532">
        <f>SUMPRODUCT((Calc!$F$3:$F$22&gt;=LTP!$E$5)*(Calc!$F$3:$F$22&lt;=k_n)*(Calc!$G$3:$G$22&lt;=A532))</f>
        <v/>
      </c>
      <c r="C532">
        <f>AND(B532&gt;=2,$B$469-B532&gt;=2)</f>
        <v/>
      </c>
      <c r="D532">
        <f>SUMPRODUCT((Calc!$F$3:$F$22&gt;=LTP!$E$5)*(Calc!$F$3:$F$22&lt;=k_n)*(Calc!$G$3:$G$22&gt;A532)*(Calc!$G$3:$G$22-A532))</f>
        <v/>
      </c>
      <c r="E532">
        <f>SUMPRODUCT((Calc!$F$3:$F$22&gt;=LTP!$E$5)*(Calc!$F$3:$F$22&lt;=k_n)*(Calc!$G$3:$G$22&gt;A532)*(Calc!$G$3:$G$22-A532)^2)</f>
        <v/>
      </c>
      <c r="F532">
        <f>SUMPRODUCT((Calc!$F$3:$F$22&gt;=LTP!$E$5)*(Calc!$F$3:$F$22&lt;=k_n)*(Calc!$G$3:$G$22&gt;A532)*(Calc!$G$3:$G$22-A532)*Calc!$G$3:$G$22)</f>
        <v/>
      </c>
      <c r="G532">
        <f>SUMPRODUCT((Calc!$F$3:$F$22&gt;=LTP!$E$5)*(Calc!$F$3:$F$22&lt;=k_n)*(Calc!$G$3:$G$22&gt;A532)*(Calc!$G$3:$G$22-A532)*Calc!$I$3:$I$22)</f>
        <v/>
      </c>
      <c r="H532">
        <f>IF($B$469&gt;0,F532-$C$469*D532/$B$469,0)</f>
        <v/>
      </c>
      <c r="I532">
        <f>IF($B$469&gt;0,E532-D532^2/$B$469,0)</f>
        <v/>
      </c>
      <c r="J532">
        <f>IF($B$469&gt;0,G532-D532*$D$469/$B$469,0)</f>
        <v/>
      </c>
      <c r="K532">
        <f>$H$469*I532-H532^2</f>
        <v/>
      </c>
      <c r="L532">
        <f>IF(ABS(K532)&gt;1E-12,($H$469*J532-H532*$I$469)/K532,0)</f>
        <v/>
      </c>
      <c r="M532">
        <f>IF(ABS(K532)&gt;1E-12,(I532*$I$469-H532*J532)/K532,0)</f>
        <v/>
      </c>
      <c r="N532">
        <f>$J$469-M532*$I$469-L532*J532</f>
        <v/>
      </c>
      <c r="O532">
        <f>IF(AND(C532,ABS(K532)&gt;1E-12,L532&gt;0),N532,1E+300)</f>
        <v/>
      </c>
    </row>
    <row r="533">
      <c r="A533">
        <f>$K$469+($L$469-$K$469)*61/400</f>
        <v/>
      </c>
      <c r="B533">
        <f>SUMPRODUCT((Calc!$F$3:$F$22&gt;=LTP!$E$5)*(Calc!$F$3:$F$22&lt;=k_n)*(Calc!$G$3:$G$22&lt;=A533))</f>
        <v/>
      </c>
      <c r="C533">
        <f>AND(B533&gt;=2,$B$469-B533&gt;=2)</f>
        <v/>
      </c>
      <c r="D533">
        <f>SUMPRODUCT((Calc!$F$3:$F$22&gt;=LTP!$E$5)*(Calc!$F$3:$F$22&lt;=k_n)*(Calc!$G$3:$G$22&gt;A533)*(Calc!$G$3:$G$22-A533))</f>
        <v/>
      </c>
      <c r="E533">
        <f>SUMPRODUCT((Calc!$F$3:$F$22&gt;=LTP!$E$5)*(Calc!$F$3:$F$22&lt;=k_n)*(Calc!$G$3:$G$22&gt;A533)*(Calc!$G$3:$G$22-A533)^2)</f>
        <v/>
      </c>
      <c r="F533">
        <f>SUMPRODUCT((Calc!$F$3:$F$22&gt;=LTP!$E$5)*(Calc!$F$3:$F$22&lt;=k_n)*(Calc!$G$3:$G$22&gt;A533)*(Calc!$G$3:$G$22-A533)*Calc!$G$3:$G$22)</f>
        <v/>
      </c>
      <c r="G533">
        <f>SUMPRODUCT((Calc!$F$3:$F$22&gt;=LTP!$E$5)*(Calc!$F$3:$F$22&lt;=k_n)*(Calc!$G$3:$G$22&gt;A533)*(Calc!$G$3:$G$22-A533)*Calc!$I$3:$I$22)</f>
        <v/>
      </c>
      <c r="H533">
        <f>IF($B$469&gt;0,F533-$C$469*D533/$B$469,0)</f>
        <v/>
      </c>
      <c r="I533">
        <f>IF($B$469&gt;0,E533-D533^2/$B$469,0)</f>
        <v/>
      </c>
      <c r="J533">
        <f>IF($B$469&gt;0,G533-D533*$D$469/$B$469,0)</f>
        <v/>
      </c>
      <c r="K533">
        <f>$H$469*I533-H533^2</f>
        <v/>
      </c>
      <c r="L533">
        <f>IF(ABS(K533)&gt;1E-12,($H$469*J533-H533*$I$469)/K533,0)</f>
        <v/>
      </c>
      <c r="M533">
        <f>IF(ABS(K533)&gt;1E-12,(I533*$I$469-H533*J533)/K533,0)</f>
        <v/>
      </c>
      <c r="N533">
        <f>$J$469-M533*$I$469-L533*J533</f>
        <v/>
      </c>
      <c r="O533">
        <f>IF(AND(C533,ABS(K533)&gt;1E-12,L533&gt;0),N533,1E+300)</f>
        <v/>
      </c>
    </row>
    <row r="534">
      <c r="A534">
        <f>$K$469+($L$469-$K$469)*62/400</f>
        <v/>
      </c>
      <c r="B534">
        <f>SUMPRODUCT((Calc!$F$3:$F$22&gt;=LTP!$E$5)*(Calc!$F$3:$F$22&lt;=k_n)*(Calc!$G$3:$G$22&lt;=A534))</f>
        <v/>
      </c>
      <c r="C534">
        <f>AND(B534&gt;=2,$B$469-B534&gt;=2)</f>
        <v/>
      </c>
      <c r="D534">
        <f>SUMPRODUCT((Calc!$F$3:$F$22&gt;=LTP!$E$5)*(Calc!$F$3:$F$22&lt;=k_n)*(Calc!$G$3:$G$22&gt;A534)*(Calc!$G$3:$G$22-A534))</f>
        <v/>
      </c>
      <c r="E534">
        <f>SUMPRODUCT((Calc!$F$3:$F$22&gt;=LTP!$E$5)*(Calc!$F$3:$F$22&lt;=k_n)*(Calc!$G$3:$G$22&gt;A534)*(Calc!$G$3:$G$22-A534)^2)</f>
        <v/>
      </c>
      <c r="F534">
        <f>SUMPRODUCT((Calc!$F$3:$F$22&gt;=LTP!$E$5)*(Calc!$F$3:$F$22&lt;=k_n)*(Calc!$G$3:$G$22&gt;A534)*(Calc!$G$3:$G$22-A534)*Calc!$G$3:$G$22)</f>
        <v/>
      </c>
      <c r="G534">
        <f>SUMPRODUCT((Calc!$F$3:$F$22&gt;=LTP!$E$5)*(Calc!$F$3:$F$22&lt;=k_n)*(Calc!$G$3:$G$22&gt;A534)*(Calc!$G$3:$G$22-A534)*Calc!$I$3:$I$22)</f>
        <v/>
      </c>
      <c r="H534">
        <f>IF($B$469&gt;0,F534-$C$469*D534/$B$469,0)</f>
        <v/>
      </c>
      <c r="I534">
        <f>IF($B$469&gt;0,E534-D534^2/$B$469,0)</f>
        <v/>
      </c>
      <c r="J534">
        <f>IF($B$469&gt;0,G534-D534*$D$469/$B$469,0)</f>
        <v/>
      </c>
      <c r="K534">
        <f>$H$469*I534-H534^2</f>
        <v/>
      </c>
      <c r="L534">
        <f>IF(ABS(K534)&gt;1E-12,($H$469*J534-H534*$I$469)/K534,0)</f>
        <v/>
      </c>
      <c r="M534">
        <f>IF(ABS(K534)&gt;1E-12,(I534*$I$469-H534*J534)/K534,0)</f>
        <v/>
      </c>
      <c r="N534">
        <f>$J$469-M534*$I$469-L534*J534</f>
        <v/>
      </c>
      <c r="O534">
        <f>IF(AND(C534,ABS(K534)&gt;1E-12,L534&gt;0),N534,1E+300)</f>
        <v/>
      </c>
    </row>
    <row r="535">
      <c r="A535">
        <f>$K$469+($L$469-$K$469)*63/400</f>
        <v/>
      </c>
      <c r="B535">
        <f>SUMPRODUCT((Calc!$F$3:$F$22&gt;=LTP!$E$5)*(Calc!$F$3:$F$22&lt;=k_n)*(Calc!$G$3:$G$22&lt;=A535))</f>
        <v/>
      </c>
      <c r="C535">
        <f>AND(B535&gt;=2,$B$469-B535&gt;=2)</f>
        <v/>
      </c>
      <c r="D535">
        <f>SUMPRODUCT((Calc!$F$3:$F$22&gt;=LTP!$E$5)*(Calc!$F$3:$F$22&lt;=k_n)*(Calc!$G$3:$G$22&gt;A535)*(Calc!$G$3:$G$22-A535))</f>
        <v/>
      </c>
      <c r="E535">
        <f>SUMPRODUCT((Calc!$F$3:$F$22&gt;=LTP!$E$5)*(Calc!$F$3:$F$22&lt;=k_n)*(Calc!$G$3:$G$22&gt;A535)*(Calc!$G$3:$G$22-A535)^2)</f>
        <v/>
      </c>
      <c r="F535">
        <f>SUMPRODUCT((Calc!$F$3:$F$22&gt;=LTP!$E$5)*(Calc!$F$3:$F$22&lt;=k_n)*(Calc!$G$3:$G$22&gt;A535)*(Calc!$G$3:$G$22-A535)*Calc!$G$3:$G$22)</f>
        <v/>
      </c>
      <c r="G535">
        <f>SUMPRODUCT((Calc!$F$3:$F$22&gt;=LTP!$E$5)*(Calc!$F$3:$F$22&lt;=k_n)*(Calc!$G$3:$G$22&gt;A535)*(Calc!$G$3:$G$22-A535)*Calc!$I$3:$I$22)</f>
        <v/>
      </c>
      <c r="H535">
        <f>IF($B$469&gt;0,F535-$C$469*D535/$B$469,0)</f>
        <v/>
      </c>
      <c r="I535">
        <f>IF($B$469&gt;0,E535-D535^2/$B$469,0)</f>
        <v/>
      </c>
      <c r="J535">
        <f>IF($B$469&gt;0,G535-D535*$D$469/$B$469,0)</f>
        <v/>
      </c>
      <c r="K535">
        <f>$H$469*I535-H535^2</f>
        <v/>
      </c>
      <c r="L535">
        <f>IF(ABS(K535)&gt;1E-12,($H$469*J535-H535*$I$469)/K535,0)</f>
        <v/>
      </c>
      <c r="M535">
        <f>IF(ABS(K535)&gt;1E-12,(I535*$I$469-H535*J535)/K535,0)</f>
        <v/>
      </c>
      <c r="N535">
        <f>$J$469-M535*$I$469-L535*J535</f>
        <v/>
      </c>
      <c r="O535">
        <f>IF(AND(C535,ABS(K535)&gt;1E-12,L535&gt;0),N535,1E+300)</f>
        <v/>
      </c>
    </row>
    <row r="536">
      <c r="A536">
        <f>$K$469+($L$469-$K$469)*64/400</f>
        <v/>
      </c>
      <c r="B536">
        <f>SUMPRODUCT((Calc!$F$3:$F$22&gt;=LTP!$E$5)*(Calc!$F$3:$F$22&lt;=k_n)*(Calc!$G$3:$G$22&lt;=A536))</f>
        <v/>
      </c>
      <c r="C536">
        <f>AND(B536&gt;=2,$B$469-B536&gt;=2)</f>
        <v/>
      </c>
      <c r="D536">
        <f>SUMPRODUCT((Calc!$F$3:$F$22&gt;=LTP!$E$5)*(Calc!$F$3:$F$22&lt;=k_n)*(Calc!$G$3:$G$22&gt;A536)*(Calc!$G$3:$G$22-A536))</f>
        <v/>
      </c>
      <c r="E536">
        <f>SUMPRODUCT((Calc!$F$3:$F$22&gt;=LTP!$E$5)*(Calc!$F$3:$F$22&lt;=k_n)*(Calc!$G$3:$G$22&gt;A536)*(Calc!$G$3:$G$22-A536)^2)</f>
        <v/>
      </c>
      <c r="F536">
        <f>SUMPRODUCT((Calc!$F$3:$F$22&gt;=LTP!$E$5)*(Calc!$F$3:$F$22&lt;=k_n)*(Calc!$G$3:$G$22&gt;A536)*(Calc!$G$3:$G$22-A536)*Calc!$G$3:$G$22)</f>
        <v/>
      </c>
      <c r="G536">
        <f>SUMPRODUCT((Calc!$F$3:$F$22&gt;=LTP!$E$5)*(Calc!$F$3:$F$22&lt;=k_n)*(Calc!$G$3:$G$22&gt;A536)*(Calc!$G$3:$G$22-A536)*Calc!$I$3:$I$22)</f>
        <v/>
      </c>
      <c r="H536">
        <f>IF($B$469&gt;0,F536-$C$469*D536/$B$469,0)</f>
        <v/>
      </c>
      <c r="I536">
        <f>IF($B$469&gt;0,E536-D536^2/$B$469,0)</f>
        <v/>
      </c>
      <c r="J536">
        <f>IF($B$469&gt;0,G536-D536*$D$469/$B$469,0)</f>
        <v/>
      </c>
      <c r="K536">
        <f>$H$469*I536-H536^2</f>
        <v/>
      </c>
      <c r="L536">
        <f>IF(ABS(K536)&gt;1E-12,($H$469*J536-H536*$I$469)/K536,0)</f>
        <v/>
      </c>
      <c r="M536">
        <f>IF(ABS(K536)&gt;1E-12,(I536*$I$469-H536*J536)/K536,0)</f>
        <v/>
      </c>
      <c r="N536">
        <f>$J$469-M536*$I$469-L536*J536</f>
        <v/>
      </c>
      <c r="O536">
        <f>IF(AND(C536,ABS(K536)&gt;1E-12,L536&gt;0),N536,1E+300)</f>
        <v/>
      </c>
    </row>
    <row r="537">
      <c r="A537">
        <f>$K$469+($L$469-$K$469)*65/400</f>
        <v/>
      </c>
      <c r="B537">
        <f>SUMPRODUCT((Calc!$F$3:$F$22&gt;=LTP!$E$5)*(Calc!$F$3:$F$22&lt;=k_n)*(Calc!$G$3:$G$22&lt;=A537))</f>
        <v/>
      </c>
      <c r="C537">
        <f>AND(B537&gt;=2,$B$469-B537&gt;=2)</f>
        <v/>
      </c>
      <c r="D537">
        <f>SUMPRODUCT((Calc!$F$3:$F$22&gt;=LTP!$E$5)*(Calc!$F$3:$F$22&lt;=k_n)*(Calc!$G$3:$G$22&gt;A537)*(Calc!$G$3:$G$22-A537))</f>
        <v/>
      </c>
      <c r="E537">
        <f>SUMPRODUCT((Calc!$F$3:$F$22&gt;=LTP!$E$5)*(Calc!$F$3:$F$22&lt;=k_n)*(Calc!$G$3:$G$22&gt;A537)*(Calc!$G$3:$G$22-A537)^2)</f>
        <v/>
      </c>
      <c r="F537">
        <f>SUMPRODUCT((Calc!$F$3:$F$22&gt;=LTP!$E$5)*(Calc!$F$3:$F$22&lt;=k_n)*(Calc!$G$3:$G$22&gt;A537)*(Calc!$G$3:$G$22-A537)*Calc!$G$3:$G$22)</f>
        <v/>
      </c>
      <c r="G537">
        <f>SUMPRODUCT((Calc!$F$3:$F$22&gt;=LTP!$E$5)*(Calc!$F$3:$F$22&lt;=k_n)*(Calc!$G$3:$G$22&gt;A537)*(Calc!$G$3:$G$22-A537)*Calc!$I$3:$I$22)</f>
        <v/>
      </c>
      <c r="H537">
        <f>IF($B$469&gt;0,F537-$C$469*D537/$B$469,0)</f>
        <v/>
      </c>
      <c r="I537">
        <f>IF($B$469&gt;0,E537-D537^2/$B$469,0)</f>
        <v/>
      </c>
      <c r="J537">
        <f>IF($B$469&gt;0,G537-D537*$D$469/$B$469,0)</f>
        <v/>
      </c>
      <c r="K537">
        <f>$H$469*I537-H537^2</f>
        <v/>
      </c>
      <c r="L537">
        <f>IF(ABS(K537)&gt;1E-12,($H$469*J537-H537*$I$469)/K537,0)</f>
        <v/>
      </c>
      <c r="M537">
        <f>IF(ABS(K537)&gt;1E-12,(I537*$I$469-H537*J537)/K537,0)</f>
        <v/>
      </c>
      <c r="N537">
        <f>$J$469-M537*$I$469-L537*J537</f>
        <v/>
      </c>
      <c r="O537">
        <f>IF(AND(C537,ABS(K537)&gt;1E-12,L537&gt;0),N537,1E+300)</f>
        <v/>
      </c>
    </row>
    <row r="538">
      <c r="A538">
        <f>$K$469+($L$469-$K$469)*66/400</f>
        <v/>
      </c>
      <c r="B538">
        <f>SUMPRODUCT((Calc!$F$3:$F$22&gt;=LTP!$E$5)*(Calc!$F$3:$F$22&lt;=k_n)*(Calc!$G$3:$G$22&lt;=A538))</f>
        <v/>
      </c>
      <c r="C538">
        <f>AND(B538&gt;=2,$B$469-B538&gt;=2)</f>
        <v/>
      </c>
      <c r="D538">
        <f>SUMPRODUCT((Calc!$F$3:$F$22&gt;=LTP!$E$5)*(Calc!$F$3:$F$22&lt;=k_n)*(Calc!$G$3:$G$22&gt;A538)*(Calc!$G$3:$G$22-A538))</f>
        <v/>
      </c>
      <c r="E538">
        <f>SUMPRODUCT((Calc!$F$3:$F$22&gt;=LTP!$E$5)*(Calc!$F$3:$F$22&lt;=k_n)*(Calc!$G$3:$G$22&gt;A538)*(Calc!$G$3:$G$22-A538)^2)</f>
        <v/>
      </c>
      <c r="F538">
        <f>SUMPRODUCT((Calc!$F$3:$F$22&gt;=LTP!$E$5)*(Calc!$F$3:$F$22&lt;=k_n)*(Calc!$G$3:$G$22&gt;A538)*(Calc!$G$3:$G$22-A538)*Calc!$G$3:$G$22)</f>
        <v/>
      </c>
      <c r="G538">
        <f>SUMPRODUCT((Calc!$F$3:$F$22&gt;=LTP!$E$5)*(Calc!$F$3:$F$22&lt;=k_n)*(Calc!$G$3:$G$22&gt;A538)*(Calc!$G$3:$G$22-A538)*Calc!$I$3:$I$22)</f>
        <v/>
      </c>
      <c r="H538">
        <f>IF($B$469&gt;0,F538-$C$469*D538/$B$469,0)</f>
        <v/>
      </c>
      <c r="I538">
        <f>IF($B$469&gt;0,E538-D538^2/$B$469,0)</f>
        <v/>
      </c>
      <c r="J538">
        <f>IF($B$469&gt;0,G538-D538*$D$469/$B$469,0)</f>
        <v/>
      </c>
      <c r="K538">
        <f>$H$469*I538-H538^2</f>
        <v/>
      </c>
      <c r="L538">
        <f>IF(ABS(K538)&gt;1E-12,($H$469*J538-H538*$I$469)/K538,0)</f>
        <v/>
      </c>
      <c r="M538">
        <f>IF(ABS(K538)&gt;1E-12,(I538*$I$469-H538*J538)/K538,0)</f>
        <v/>
      </c>
      <c r="N538">
        <f>$J$469-M538*$I$469-L538*J538</f>
        <v/>
      </c>
      <c r="O538">
        <f>IF(AND(C538,ABS(K538)&gt;1E-12,L538&gt;0),N538,1E+300)</f>
        <v/>
      </c>
    </row>
    <row r="539">
      <c r="A539">
        <f>$K$469+($L$469-$K$469)*67/400</f>
        <v/>
      </c>
      <c r="B539">
        <f>SUMPRODUCT((Calc!$F$3:$F$22&gt;=LTP!$E$5)*(Calc!$F$3:$F$22&lt;=k_n)*(Calc!$G$3:$G$22&lt;=A539))</f>
        <v/>
      </c>
      <c r="C539">
        <f>AND(B539&gt;=2,$B$469-B539&gt;=2)</f>
        <v/>
      </c>
      <c r="D539">
        <f>SUMPRODUCT((Calc!$F$3:$F$22&gt;=LTP!$E$5)*(Calc!$F$3:$F$22&lt;=k_n)*(Calc!$G$3:$G$22&gt;A539)*(Calc!$G$3:$G$22-A539))</f>
        <v/>
      </c>
      <c r="E539">
        <f>SUMPRODUCT((Calc!$F$3:$F$22&gt;=LTP!$E$5)*(Calc!$F$3:$F$22&lt;=k_n)*(Calc!$G$3:$G$22&gt;A539)*(Calc!$G$3:$G$22-A539)^2)</f>
        <v/>
      </c>
      <c r="F539">
        <f>SUMPRODUCT((Calc!$F$3:$F$22&gt;=LTP!$E$5)*(Calc!$F$3:$F$22&lt;=k_n)*(Calc!$G$3:$G$22&gt;A539)*(Calc!$G$3:$G$22-A539)*Calc!$G$3:$G$22)</f>
        <v/>
      </c>
      <c r="G539">
        <f>SUMPRODUCT((Calc!$F$3:$F$22&gt;=LTP!$E$5)*(Calc!$F$3:$F$22&lt;=k_n)*(Calc!$G$3:$G$22&gt;A539)*(Calc!$G$3:$G$22-A539)*Calc!$I$3:$I$22)</f>
        <v/>
      </c>
      <c r="H539">
        <f>IF($B$469&gt;0,F539-$C$469*D539/$B$469,0)</f>
        <v/>
      </c>
      <c r="I539">
        <f>IF($B$469&gt;0,E539-D539^2/$B$469,0)</f>
        <v/>
      </c>
      <c r="J539">
        <f>IF($B$469&gt;0,G539-D539*$D$469/$B$469,0)</f>
        <v/>
      </c>
      <c r="K539">
        <f>$H$469*I539-H539^2</f>
        <v/>
      </c>
      <c r="L539">
        <f>IF(ABS(K539)&gt;1E-12,($H$469*J539-H539*$I$469)/K539,0)</f>
        <v/>
      </c>
      <c r="M539">
        <f>IF(ABS(K539)&gt;1E-12,(I539*$I$469-H539*J539)/K539,0)</f>
        <v/>
      </c>
      <c r="N539">
        <f>$J$469-M539*$I$469-L539*J539</f>
        <v/>
      </c>
      <c r="O539">
        <f>IF(AND(C539,ABS(K539)&gt;1E-12,L539&gt;0),N539,1E+300)</f>
        <v/>
      </c>
    </row>
    <row r="540">
      <c r="A540">
        <f>$K$469+($L$469-$K$469)*68/400</f>
        <v/>
      </c>
      <c r="B540">
        <f>SUMPRODUCT((Calc!$F$3:$F$22&gt;=LTP!$E$5)*(Calc!$F$3:$F$22&lt;=k_n)*(Calc!$G$3:$G$22&lt;=A540))</f>
        <v/>
      </c>
      <c r="C540">
        <f>AND(B540&gt;=2,$B$469-B540&gt;=2)</f>
        <v/>
      </c>
      <c r="D540">
        <f>SUMPRODUCT((Calc!$F$3:$F$22&gt;=LTP!$E$5)*(Calc!$F$3:$F$22&lt;=k_n)*(Calc!$G$3:$G$22&gt;A540)*(Calc!$G$3:$G$22-A540))</f>
        <v/>
      </c>
      <c r="E540">
        <f>SUMPRODUCT((Calc!$F$3:$F$22&gt;=LTP!$E$5)*(Calc!$F$3:$F$22&lt;=k_n)*(Calc!$G$3:$G$22&gt;A540)*(Calc!$G$3:$G$22-A540)^2)</f>
        <v/>
      </c>
      <c r="F540">
        <f>SUMPRODUCT((Calc!$F$3:$F$22&gt;=LTP!$E$5)*(Calc!$F$3:$F$22&lt;=k_n)*(Calc!$G$3:$G$22&gt;A540)*(Calc!$G$3:$G$22-A540)*Calc!$G$3:$G$22)</f>
        <v/>
      </c>
      <c r="G540">
        <f>SUMPRODUCT((Calc!$F$3:$F$22&gt;=LTP!$E$5)*(Calc!$F$3:$F$22&lt;=k_n)*(Calc!$G$3:$G$22&gt;A540)*(Calc!$G$3:$G$22-A540)*Calc!$I$3:$I$22)</f>
        <v/>
      </c>
      <c r="H540">
        <f>IF($B$469&gt;0,F540-$C$469*D540/$B$469,0)</f>
        <v/>
      </c>
      <c r="I540">
        <f>IF($B$469&gt;0,E540-D540^2/$B$469,0)</f>
        <v/>
      </c>
      <c r="J540">
        <f>IF($B$469&gt;0,G540-D540*$D$469/$B$469,0)</f>
        <v/>
      </c>
      <c r="K540">
        <f>$H$469*I540-H540^2</f>
        <v/>
      </c>
      <c r="L540">
        <f>IF(ABS(K540)&gt;1E-12,($H$469*J540-H540*$I$469)/K540,0)</f>
        <v/>
      </c>
      <c r="M540">
        <f>IF(ABS(K540)&gt;1E-12,(I540*$I$469-H540*J540)/K540,0)</f>
        <v/>
      </c>
      <c r="N540">
        <f>$J$469-M540*$I$469-L540*J540</f>
        <v/>
      </c>
      <c r="O540">
        <f>IF(AND(C540,ABS(K540)&gt;1E-12,L540&gt;0),N540,1E+300)</f>
        <v/>
      </c>
    </row>
    <row r="541">
      <c r="A541">
        <f>$K$469+($L$469-$K$469)*69/400</f>
        <v/>
      </c>
      <c r="B541">
        <f>SUMPRODUCT((Calc!$F$3:$F$22&gt;=LTP!$E$5)*(Calc!$F$3:$F$22&lt;=k_n)*(Calc!$G$3:$G$22&lt;=A541))</f>
        <v/>
      </c>
      <c r="C541">
        <f>AND(B541&gt;=2,$B$469-B541&gt;=2)</f>
        <v/>
      </c>
      <c r="D541">
        <f>SUMPRODUCT((Calc!$F$3:$F$22&gt;=LTP!$E$5)*(Calc!$F$3:$F$22&lt;=k_n)*(Calc!$G$3:$G$22&gt;A541)*(Calc!$G$3:$G$22-A541))</f>
        <v/>
      </c>
      <c r="E541">
        <f>SUMPRODUCT((Calc!$F$3:$F$22&gt;=LTP!$E$5)*(Calc!$F$3:$F$22&lt;=k_n)*(Calc!$G$3:$G$22&gt;A541)*(Calc!$G$3:$G$22-A541)^2)</f>
        <v/>
      </c>
      <c r="F541">
        <f>SUMPRODUCT((Calc!$F$3:$F$22&gt;=LTP!$E$5)*(Calc!$F$3:$F$22&lt;=k_n)*(Calc!$G$3:$G$22&gt;A541)*(Calc!$G$3:$G$22-A541)*Calc!$G$3:$G$22)</f>
        <v/>
      </c>
      <c r="G541">
        <f>SUMPRODUCT((Calc!$F$3:$F$22&gt;=LTP!$E$5)*(Calc!$F$3:$F$22&lt;=k_n)*(Calc!$G$3:$G$22&gt;A541)*(Calc!$G$3:$G$22-A541)*Calc!$I$3:$I$22)</f>
        <v/>
      </c>
      <c r="H541">
        <f>IF($B$469&gt;0,F541-$C$469*D541/$B$469,0)</f>
        <v/>
      </c>
      <c r="I541">
        <f>IF($B$469&gt;0,E541-D541^2/$B$469,0)</f>
        <v/>
      </c>
      <c r="J541">
        <f>IF($B$469&gt;0,G541-D541*$D$469/$B$469,0)</f>
        <v/>
      </c>
      <c r="K541">
        <f>$H$469*I541-H541^2</f>
        <v/>
      </c>
      <c r="L541">
        <f>IF(ABS(K541)&gt;1E-12,($H$469*J541-H541*$I$469)/K541,0)</f>
        <v/>
      </c>
      <c r="M541">
        <f>IF(ABS(K541)&gt;1E-12,(I541*$I$469-H541*J541)/K541,0)</f>
        <v/>
      </c>
      <c r="N541">
        <f>$J$469-M541*$I$469-L541*J541</f>
        <v/>
      </c>
      <c r="O541">
        <f>IF(AND(C541,ABS(K541)&gt;1E-12,L541&gt;0),N541,1E+300)</f>
        <v/>
      </c>
    </row>
    <row r="542">
      <c r="A542">
        <f>$K$469+($L$469-$K$469)*70/400</f>
        <v/>
      </c>
      <c r="B542">
        <f>SUMPRODUCT((Calc!$F$3:$F$22&gt;=LTP!$E$5)*(Calc!$F$3:$F$22&lt;=k_n)*(Calc!$G$3:$G$22&lt;=A542))</f>
        <v/>
      </c>
      <c r="C542">
        <f>AND(B542&gt;=2,$B$469-B542&gt;=2)</f>
        <v/>
      </c>
      <c r="D542">
        <f>SUMPRODUCT((Calc!$F$3:$F$22&gt;=LTP!$E$5)*(Calc!$F$3:$F$22&lt;=k_n)*(Calc!$G$3:$G$22&gt;A542)*(Calc!$G$3:$G$22-A542))</f>
        <v/>
      </c>
      <c r="E542">
        <f>SUMPRODUCT((Calc!$F$3:$F$22&gt;=LTP!$E$5)*(Calc!$F$3:$F$22&lt;=k_n)*(Calc!$G$3:$G$22&gt;A542)*(Calc!$G$3:$G$22-A542)^2)</f>
        <v/>
      </c>
      <c r="F542">
        <f>SUMPRODUCT((Calc!$F$3:$F$22&gt;=LTP!$E$5)*(Calc!$F$3:$F$22&lt;=k_n)*(Calc!$G$3:$G$22&gt;A542)*(Calc!$G$3:$G$22-A542)*Calc!$G$3:$G$22)</f>
        <v/>
      </c>
      <c r="G542">
        <f>SUMPRODUCT((Calc!$F$3:$F$22&gt;=LTP!$E$5)*(Calc!$F$3:$F$22&lt;=k_n)*(Calc!$G$3:$G$22&gt;A542)*(Calc!$G$3:$G$22-A542)*Calc!$I$3:$I$22)</f>
        <v/>
      </c>
      <c r="H542">
        <f>IF($B$469&gt;0,F542-$C$469*D542/$B$469,0)</f>
        <v/>
      </c>
      <c r="I542">
        <f>IF($B$469&gt;0,E542-D542^2/$B$469,0)</f>
        <v/>
      </c>
      <c r="J542">
        <f>IF($B$469&gt;0,G542-D542*$D$469/$B$469,0)</f>
        <v/>
      </c>
      <c r="K542">
        <f>$H$469*I542-H542^2</f>
        <v/>
      </c>
      <c r="L542">
        <f>IF(ABS(K542)&gt;1E-12,($H$469*J542-H542*$I$469)/K542,0)</f>
        <v/>
      </c>
      <c r="M542">
        <f>IF(ABS(K542)&gt;1E-12,(I542*$I$469-H542*J542)/K542,0)</f>
        <v/>
      </c>
      <c r="N542">
        <f>$J$469-M542*$I$469-L542*J542</f>
        <v/>
      </c>
      <c r="O542">
        <f>IF(AND(C542,ABS(K542)&gt;1E-12,L542&gt;0),N542,1E+300)</f>
        <v/>
      </c>
    </row>
    <row r="543">
      <c r="A543">
        <f>$K$469+($L$469-$K$469)*71/400</f>
        <v/>
      </c>
      <c r="B543">
        <f>SUMPRODUCT((Calc!$F$3:$F$22&gt;=LTP!$E$5)*(Calc!$F$3:$F$22&lt;=k_n)*(Calc!$G$3:$G$22&lt;=A543))</f>
        <v/>
      </c>
      <c r="C543">
        <f>AND(B543&gt;=2,$B$469-B543&gt;=2)</f>
        <v/>
      </c>
      <c r="D543">
        <f>SUMPRODUCT((Calc!$F$3:$F$22&gt;=LTP!$E$5)*(Calc!$F$3:$F$22&lt;=k_n)*(Calc!$G$3:$G$22&gt;A543)*(Calc!$G$3:$G$22-A543))</f>
        <v/>
      </c>
      <c r="E543">
        <f>SUMPRODUCT((Calc!$F$3:$F$22&gt;=LTP!$E$5)*(Calc!$F$3:$F$22&lt;=k_n)*(Calc!$G$3:$G$22&gt;A543)*(Calc!$G$3:$G$22-A543)^2)</f>
        <v/>
      </c>
      <c r="F543">
        <f>SUMPRODUCT((Calc!$F$3:$F$22&gt;=LTP!$E$5)*(Calc!$F$3:$F$22&lt;=k_n)*(Calc!$G$3:$G$22&gt;A543)*(Calc!$G$3:$G$22-A543)*Calc!$G$3:$G$22)</f>
        <v/>
      </c>
      <c r="G543">
        <f>SUMPRODUCT((Calc!$F$3:$F$22&gt;=LTP!$E$5)*(Calc!$F$3:$F$22&lt;=k_n)*(Calc!$G$3:$G$22&gt;A543)*(Calc!$G$3:$G$22-A543)*Calc!$I$3:$I$22)</f>
        <v/>
      </c>
      <c r="H543">
        <f>IF($B$469&gt;0,F543-$C$469*D543/$B$469,0)</f>
        <v/>
      </c>
      <c r="I543">
        <f>IF($B$469&gt;0,E543-D543^2/$B$469,0)</f>
        <v/>
      </c>
      <c r="J543">
        <f>IF($B$469&gt;0,G543-D543*$D$469/$B$469,0)</f>
        <v/>
      </c>
      <c r="K543">
        <f>$H$469*I543-H543^2</f>
        <v/>
      </c>
      <c r="L543">
        <f>IF(ABS(K543)&gt;1E-12,($H$469*J543-H543*$I$469)/K543,0)</f>
        <v/>
      </c>
      <c r="M543">
        <f>IF(ABS(K543)&gt;1E-12,(I543*$I$469-H543*J543)/K543,0)</f>
        <v/>
      </c>
      <c r="N543">
        <f>$J$469-M543*$I$469-L543*J543</f>
        <v/>
      </c>
      <c r="O543">
        <f>IF(AND(C543,ABS(K543)&gt;1E-12,L543&gt;0),N543,1E+300)</f>
        <v/>
      </c>
    </row>
    <row r="544">
      <c r="A544">
        <f>$K$469+($L$469-$K$469)*72/400</f>
        <v/>
      </c>
      <c r="B544">
        <f>SUMPRODUCT((Calc!$F$3:$F$22&gt;=LTP!$E$5)*(Calc!$F$3:$F$22&lt;=k_n)*(Calc!$G$3:$G$22&lt;=A544))</f>
        <v/>
      </c>
      <c r="C544">
        <f>AND(B544&gt;=2,$B$469-B544&gt;=2)</f>
        <v/>
      </c>
      <c r="D544">
        <f>SUMPRODUCT((Calc!$F$3:$F$22&gt;=LTP!$E$5)*(Calc!$F$3:$F$22&lt;=k_n)*(Calc!$G$3:$G$22&gt;A544)*(Calc!$G$3:$G$22-A544))</f>
        <v/>
      </c>
      <c r="E544">
        <f>SUMPRODUCT((Calc!$F$3:$F$22&gt;=LTP!$E$5)*(Calc!$F$3:$F$22&lt;=k_n)*(Calc!$G$3:$G$22&gt;A544)*(Calc!$G$3:$G$22-A544)^2)</f>
        <v/>
      </c>
      <c r="F544">
        <f>SUMPRODUCT((Calc!$F$3:$F$22&gt;=LTP!$E$5)*(Calc!$F$3:$F$22&lt;=k_n)*(Calc!$G$3:$G$22&gt;A544)*(Calc!$G$3:$G$22-A544)*Calc!$G$3:$G$22)</f>
        <v/>
      </c>
      <c r="G544">
        <f>SUMPRODUCT((Calc!$F$3:$F$22&gt;=LTP!$E$5)*(Calc!$F$3:$F$22&lt;=k_n)*(Calc!$G$3:$G$22&gt;A544)*(Calc!$G$3:$G$22-A544)*Calc!$I$3:$I$22)</f>
        <v/>
      </c>
      <c r="H544">
        <f>IF($B$469&gt;0,F544-$C$469*D544/$B$469,0)</f>
        <v/>
      </c>
      <c r="I544">
        <f>IF($B$469&gt;0,E544-D544^2/$B$469,0)</f>
        <v/>
      </c>
      <c r="J544">
        <f>IF($B$469&gt;0,G544-D544*$D$469/$B$469,0)</f>
        <v/>
      </c>
      <c r="K544">
        <f>$H$469*I544-H544^2</f>
        <v/>
      </c>
      <c r="L544">
        <f>IF(ABS(K544)&gt;1E-12,($H$469*J544-H544*$I$469)/K544,0)</f>
        <v/>
      </c>
      <c r="M544">
        <f>IF(ABS(K544)&gt;1E-12,(I544*$I$469-H544*J544)/K544,0)</f>
        <v/>
      </c>
      <c r="N544">
        <f>$J$469-M544*$I$469-L544*J544</f>
        <v/>
      </c>
      <c r="O544">
        <f>IF(AND(C544,ABS(K544)&gt;1E-12,L544&gt;0),N544,1E+300)</f>
        <v/>
      </c>
    </row>
    <row r="545">
      <c r="A545">
        <f>$K$469+($L$469-$K$469)*73/400</f>
        <v/>
      </c>
      <c r="B545">
        <f>SUMPRODUCT((Calc!$F$3:$F$22&gt;=LTP!$E$5)*(Calc!$F$3:$F$22&lt;=k_n)*(Calc!$G$3:$G$22&lt;=A545))</f>
        <v/>
      </c>
      <c r="C545">
        <f>AND(B545&gt;=2,$B$469-B545&gt;=2)</f>
        <v/>
      </c>
      <c r="D545">
        <f>SUMPRODUCT((Calc!$F$3:$F$22&gt;=LTP!$E$5)*(Calc!$F$3:$F$22&lt;=k_n)*(Calc!$G$3:$G$22&gt;A545)*(Calc!$G$3:$G$22-A545))</f>
        <v/>
      </c>
      <c r="E545">
        <f>SUMPRODUCT((Calc!$F$3:$F$22&gt;=LTP!$E$5)*(Calc!$F$3:$F$22&lt;=k_n)*(Calc!$G$3:$G$22&gt;A545)*(Calc!$G$3:$G$22-A545)^2)</f>
        <v/>
      </c>
      <c r="F545">
        <f>SUMPRODUCT((Calc!$F$3:$F$22&gt;=LTP!$E$5)*(Calc!$F$3:$F$22&lt;=k_n)*(Calc!$G$3:$G$22&gt;A545)*(Calc!$G$3:$G$22-A545)*Calc!$G$3:$G$22)</f>
        <v/>
      </c>
      <c r="G545">
        <f>SUMPRODUCT((Calc!$F$3:$F$22&gt;=LTP!$E$5)*(Calc!$F$3:$F$22&lt;=k_n)*(Calc!$G$3:$G$22&gt;A545)*(Calc!$G$3:$G$22-A545)*Calc!$I$3:$I$22)</f>
        <v/>
      </c>
      <c r="H545">
        <f>IF($B$469&gt;0,F545-$C$469*D545/$B$469,0)</f>
        <v/>
      </c>
      <c r="I545">
        <f>IF($B$469&gt;0,E545-D545^2/$B$469,0)</f>
        <v/>
      </c>
      <c r="J545">
        <f>IF($B$469&gt;0,G545-D545*$D$469/$B$469,0)</f>
        <v/>
      </c>
      <c r="K545">
        <f>$H$469*I545-H545^2</f>
        <v/>
      </c>
      <c r="L545">
        <f>IF(ABS(K545)&gt;1E-12,($H$469*J545-H545*$I$469)/K545,0)</f>
        <v/>
      </c>
      <c r="M545">
        <f>IF(ABS(K545)&gt;1E-12,(I545*$I$469-H545*J545)/K545,0)</f>
        <v/>
      </c>
      <c r="N545">
        <f>$J$469-M545*$I$469-L545*J545</f>
        <v/>
      </c>
      <c r="O545">
        <f>IF(AND(C545,ABS(K545)&gt;1E-12,L545&gt;0),N545,1E+300)</f>
        <v/>
      </c>
    </row>
    <row r="546">
      <c r="A546">
        <f>$K$469+($L$469-$K$469)*74/400</f>
        <v/>
      </c>
      <c r="B546">
        <f>SUMPRODUCT((Calc!$F$3:$F$22&gt;=LTP!$E$5)*(Calc!$F$3:$F$22&lt;=k_n)*(Calc!$G$3:$G$22&lt;=A546))</f>
        <v/>
      </c>
      <c r="C546">
        <f>AND(B546&gt;=2,$B$469-B546&gt;=2)</f>
        <v/>
      </c>
      <c r="D546">
        <f>SUMPRODUCT((Calc!$F$3:$F$22&gt;=LTP!$E$5)*(Calc!$F$3:$F$22&lt;=k_n)*(Calc!$G$3:$G$22&gt;A546)*(Calc!$G$3:$G$22-A546))</f>
        <v/>
      </c>
      <c r="E546">
        <f>SUMPRODUCT((Calc!$F$3:$F$22&gt;=LTP!$E$5)*(Calc!$F$3:$F$22&lt;=k_n)*(Calc!$G$3:$G$22&gt;A546)*(Calc!$G$3:$G$22-A546)^2)</f>
        <v/>
      </c>
      <c r="F546">
        <f>SUMPRODUCT((Calc!$F$3:$F$22&gt;=LTP!$E$5)*(Calc!$F$3:$F$22&lt;=k_n)*(Calc!$G$3:$G$22&gt;A546)*(Calc!$G$3:$G$22-A546)*Calc!$G$3:$G$22)</f>
        <v/>
      </c>
      <c r="G546">
        <f>SUMPRODUCT((Calc!$F$3:$F$22&gt;=LTP!$E$5)*(Calc!$F$3:$F$22&lt;=k_n)*(Calc!$G$3:$G$22&gt;A546)*(Calc!$G$3:$G$22-A546)*Calc!$I$3:$I$22)</f>
        <v/>
      </c>
      <c r="H546">
        <f>IF($B$469&gt;0,F546-$C$469*D546/$B$469,0)</f>
        <v/>
      </c>
      <c r="I546">
        <f>IF($B$469&gt;0,E546-D546^2/$B$469,0)</f>
        <v/>
      </c>
      <c r="J546">
        <f>IF($B$469&gt;0,G546-D546*$D$469/$B$469,0)</f>
        <v/>
      </c>
      <c r="K546">
        <f>$H$469*I546-H546^2</f>
        <v/>
      </c>
      <c r="L546">
        <f>IF(ABS(K546)&gt;1E-12,($H$469*J546-H546*$I$469)/K546,0)</f>
        <v/>
      </c>
      <c r="M546">
        <f>IF(ABS(K546)&gt;1E-12,(I546*$I$469-H546*J546)/K546,0)</f>
        <v/>
      </c>
      <c r="N546">
        <f>$J$469-M546*$I$469-L546*J546</f>
        <v/>
      </c>
      <c r="O546">
        <f>IF(AND(C546,ABS(K546)&gt;1E-12,L546&gt;0),N546,1E+300)</f>
        <v/>
      </c>
    </row>
    <row r="547">
      <c r="A547">
        <f>$K$469+($L$469-$K$469)*75/400</f>
        <v/>
      </c>
      <c r="B547">
        <f>SUMPRODUCT((Calc!$F$3:$F$22&gt;=LTP!$E$5)*(Calc!$F$3:$F$22&lt;=k_n)*(Calc!$G$3:$G$22&lt;=A547))</f>
        <v/>
      </c>
      <c r="C547">
        <f>AND(B547&gt;=2,$B$469-B547&gt;=2)</f>
        <v/>
      </c>
      <c r="D547">
        <f>SUMPRODUCT((Calc!$F$3:$F$22&gt;=LTP!$E$5)*(Calc!$F$3:$F$22&lt;=k_n)*(Calc!$G$3:$G$22&gt;A547)*(Calc!$G$3:$G$22-A547))</f>
        <v/>
      </c>
      <c r="E547">
        <f>SUMPRODUCT((Calc!$F$3:$F$22&gt;=LTP!$E$5)*(Calc!$F$3:$F$22&lt;=k_n)*(Calc!$G$3:$G$22&gt;A547)*(Calc!$G$3:$G$22-A547)^2)</f>
        <v/>
      </c>
      <c r="F547">
        <f>SUMPRODUCT((Calc!$F$3:$F$22&gt;=LTP!$E$5)*(Calc!$F$3:$F$22&lt;=k_n)*(Calc!$G$3:$G$22&gt;A547)*(Calc!$G$3:$G$22-A547)*Calc!$G$3:$G$22)</f>
        <v/>
      </c>
      <c r="G547">
        <f>SUMPRODUCT((Calc!$F$3:$F$22&gt;=LTP!$E$5)*(Calc!$F$3:$F$22&lt;=k_n)*(Calc!$G$3:$G$22&gt;A547)*(Calc!$G$3:$G$22-A547)*Calc!$I$3:$I$22)</f>
        <v/>
      </c>
      <c r="H547">
        <f>IF($B$469&gt;0,F547-$C$469*D547/$B$469,0)</f>
        <v/>
      </c>
      <c r="I547">
        <f>IF($B$469&gt;0,E547-D547^2/$B$469,0)</f>
        <v/>
      </c>
      <c r="J547">
        <f>IF($B$469&gt;0,G547-D547*$D$469/$B$469,0)</f>
        <v/>
      </c>
      <c r="K547">
        <f>$H$469*I547-H547^2</f>
        <v/>
      </c>
      <c r="L547">
        <f>IF(ABS(K547)&gt;1E-12,($H$469*J547-H547*$I$469)/K547,0)</f>
        <v/>
      </c>
      <c r="M547">
        <f>IF(ABS(K547)&gt;1E-12,(I547*$I$469-H547*J547)/K547,0)</f>
        <v/>
      </c>
      <c r="N547">
        <f>$J$469-M547*$I$469-L547*J547</f>
        <v/>
      </c>
      <c r="O547">
        <f>IF(AND(C547,ABS(K547)&gt;1E-12,L547&gt;0),N547,1E+300)</f>
        <v/>
      </c>
    </row>
    <row r="548">
      <c r="A548">
        <f>$K$469+($L$469-$K$469)*76/400</f>
        <v/>
      </c>
      <c r="B548">
        <f>SUMPRODUCT((Calc!$F$3:$F$22&gt;=LTP!$E$5)*(Calc!$F$3:$F$22&lt;=k_n)*(Calc!$G$3:$G$22&lt;=A548))</f>
        <v/>
      </c>
      <c r="C548">
        <f>AND(B548&gt;=2,$B$469-B548&gt;=2)</f>
        <v/>
      </c>
      <c r="D548">
        <f>SUMPRODUCT((Calc!$F$3:$F$22&gt;=LTP!$E$5)*(Calc!$F$3:$F$22&lt;=k_n)*(Calc!$G$3:$G$22&gt;A548)*(Calc!$G$3:$G$22-A548))</f>
        <v/>
      </c>
      <c r="E548">
        <f>SUMPRODUCT((Calc!$F$3:$F$22&gt;=LTP!$E$5)*(Calc!$F$3:$F$22&lt;=k_n)*(Calc!$G$3:$G$22&gt;A548)*(Calc!$G$3:$G$22-A548)^2)</f>
        <v/>
      </c>
      <c r="F548">
        <f>SUMPRODUCT((Calc!$F$3:$F$22&gt;=LTP!$E$5)*(Calc!$F$3:$F$22&lt;=k_n)*(Calc!$G$3:$G$22&gt;A548)*(Calc!$G$3:$G$22-A548)*Calc!$G$3:$G$22)</f>
        <v/>
      </c>
      <c r="G548">
        <f>SUMPRODUCT((Calc!$F$3:$F$22&gt;=LTP!$E$5)*(Calc!$F$3:$F$22&lt;=k_n)*(Calc!$G$3:$G$22&gt;A548)*(Calc!$G$3:$G$22-A548)*Calc!$I$3:$I$22)</f>
        <v/>
      </c>
      <c r="H548">
        <f>IF($B$469&gt;0,F548-$C$469*D548/$B$469,0)</f>
        <v/>
      </c>
      <c r="I548">
        <f>IF($B$469&gt;0,E548-D548^2/$B$469,0)</f>
        <v/>
      </c>
      <c r="J548">
        <f>IF($B$469&gt;0,G548-D548*$D$469/$B$469,0)</f>
        <v/>
      </c>
      <c r="K548">
        <f>$H$469*I548-H548^2</f>
        <v/>
      </c>
      <c r="L548">
        <f>IF(ABS(K548)&gt;1E-12,($H$469*J548-H548*$I$469)/K548,0)</f>
        <v/>
      </c>
      <c r="M548">
        <f>IF(ABS(K548)&gt;1E-12,(I548*$I$469-H548*J548)/K548,0)</f>
        <v/>
      </c>
      <c r="N548">
        <f>$J$469-M548*$I$469-L548*J548</f>
        <v/>
      </c>
      <c r="O548">
        <f>IF(AND(C548,ABS(K548)&gt;1E-12,L548&gt;0),N548,1E+300)</f>
        <v/>
      </c>
    </row>
    <row r="549">
      <c r="A549">
        <f>$K$469+($L$469-$K$469)*77/400</f>
        <v/>
      </c>
      <c r="B549">
        <f>SUMPRODUCT((Calc!$F$3:$F$22&gt;=LTP!$E$5)*(Calc!$F$3:$F$22&lt;=k_n)*(Calc!$G$3:$G$22&lt;=A549))</f>
        <v/>
      </c>
      <c r="C549">
        <f>AND(B549&gt;=2,$B$469-B549&gt;=2)</f>
        <v/>
      </c>
      <c r="D549">
        <f>SUMPRODUCT((Calc!$F$3:$F$22&gt;=LTP!$E$5)*(Calc!$F$3:$F$22&lt;=k_n)*(Calc!$G$3:$G$22&gt;A549)*(Calc!$G$3:$G$22-A549))</f>
        <v/>
      </c>
      <c r="E549">
        <f>SUMPRODUCT((Calc!$F$3:$F$22&gt;=LTP!$E$5)*(Calc!$F$3:$F$22&lt;=k_n)*(Calc!$G$3:$G$22&gt;A549)*(Calc!$G$3:$G$22-A549)^2)</f>
        <v/>
      </c>
      <c r="F549">
        <f>SUMPRODUCT((Calc!$F$3:$F$22&gt;=LTP!$E$5)*(Calc!$F$3:$F$22&lt;=k_n)*(Calc!$G$3:$G$22&gt;A549)*(Calc!$G$3:$G$22-A549)*Calc!$G$3:$G$22)</f>
        <v/>
      </c>
      <c r="G549">
        <f>SUMPRODUCT((Calc!$F$3:$F$22&gt;=LTP!$E$5)*(Calc!$F$3:$F$22&lt;=k_n)*(Calc!$G$3:$G$22&gt;A549)*(Calc!$G$3:$G$22-A549)*Calc!$I$3:$I$22)</f>
        <v/>
      </c>
      <c r="H549">
        <f>IF($B$469&gt;0,F549-$C$469*D549/$B$469,0)</f>
        <v/>
      </c>
      <c r="I549">
        <f>IF($B$469&gt;0,E549-D549^2/$B$469,0)</f>
        <v/>
      </c>
      <c r="J549">
        <f>IF($B$469&gt;0,G549-D549*$D$469/$B$469,0)</f>
        <v/>
      </c>
      <c r="K549">
        <f>$H$469*I549-H549^2</f>
        <v/>
      </c>
      <c r="L549">
        <f>IF(ABS(K549)&gt;1E-12,($H$469*J549-H549*$I$469)/K549,0)</f>
        <v/>
      </c>
      <c r="M549">
        <f>IF(ABS(K549)&gt;1E-12,(I549*$I$469-H549*J549)/K549,0)</f>
        <v/>
      </c>
      <c r="N549">
        <f>$J$469-M549*$I$469-L549*J549</f>
        <v/>
      </c>
      <c r="O549">
        <f>IF(AND(C549,ABS(K549)&gt;1E-12,L549&gt;0),N549,1E+300)</f>
        <v/>
      </c>
    </row>
    <row r="550">
      <c r="A550">
        <f>$K$469+($L$469-$K$469)*78/400</f>
        <v/>
      </c>
      <c r="B550">
        <f>SUMPRODUCT((Calc!$F$3:$F$22&gt;=LTP!$E$5)*(Calc!$F$3:$F$22&lt;=k_n)*(Calc!$G$3:$G$22&lt;=A550))</f>
        <v/>
      </c>
      <c r="C550">
        <f>AND(B550&gt;=2,$B$469-B550&gt;=2)</f>
        <v/>
      </c>
      <c r="D550">
        <f>SUMPRODUCT((Calc!$F$3:$F$22&gt;=LTP!$E$5)*(Calc!$F$3:$F$22&lt;=k_n)*(Calc!$G$3:$G$22&gt;A550)*(Calc!$G$3:$G$22-A550))</f>
        <v/>
      </c>
      <c r="E550">
        <f>SUMPRODUCT((Calc!$F$3:$F$22&gt;=LTP!$E$5)*(Calc!$F$3:$F$22&lt;=k_n)*(Calc!$G$3:$G$22&gt;A550)*(Calc!$G$3:$G$22-A550)^2)</f>
        <v/>
      </c>
      <c r="F550">
        <f>SUMPRODUCT((Calc!$F$3:$F$22&gt;=LTP!$E$5)*(Calc!$F$3:$F$22&lt;=k_n)*(Calc!$G$3:$G$22&gt;A550)*(Calc!$G$3:$G$22-A550)*Calc!$G$3:$G$22)</f>
        <v/>
      </c>
      <c r="G550">
        <f>SUMPRODUCT((Calc!$F$3:$F$22&gt;=LTP!$E$5)*(Calc!$F$3:$F$22&lt;=k_n)*(Calc!$G$3:$G$22&gt;A550)*(Calc!$G$3:$G$22-A550)*Calc!$I$3:$I$22)</f>
        <v/>
      </c>
      <c r="H550">
        <f>IF($B$469&gt;0,F550-$C$469*D550/$B$469,0)</f>
        <v/>
      </c>
      <c r="I550">
        <f>IF($B$469&gt;0,E550-D550^2/$B$469,0)</f>
        <v/>
      </c>
      <c r="J550">
        <f>IF($B$469&gt;0,G550-D550*$D$469/$B$469,0)</f>
        <v/>
      </c>
      <c r="K550">
        <f>$H$469*I550-H550^2</f>
        <v/>
      </c>
      <c r="L550">
        <f>IF(ABS(K550)&gt;1E-12,($H$469*J550-H550*$I$469)/K550,0)</f>
        <v/>
      </c>
      <c r="M550">
        <f>IF(ABS(K550)&gt;1E-12,(I550*$I$469-H550*J550)/K550,0)</f>
        <v/>
      </c>
      <c r="N550">
        <f>$J$469-M550*$I$469-L550*J550</f>
        <v/>
      </c>
      <c r="O550">
        <f>IF(AND(C550,ABS(K550)&gt;1E-12,L550&gt;0),N550,1E+300)</f>
        <v/>
      </c>
    </row>
    <row r="551">
      <c r="A551">
        <f>$K$469+($L$469-$K$469)*79/400</f>
        <v/>
      </c>
      <c r="B551">
        <f>SUMPRODUCT((Calc!$F$3:$F$22&gt;=LTP!$E$5)*(Calc!$F$3:$F$22&lt;=k_n)*(Calc!$G$3:$G$22&lt;=A551))</f>
        <v/>
      </c>
      <c r="C551">
        <f>AND(B551&gt;=2,$B$469-B551&gt;=2)</f>
        <v/>
      </c>
      <c r="D551">
        <f>SUMPRODUCT((Calc!$F$3:$F$22&gt;=LTP!$E$5)*(Calc!$F$3:$F$22&lt;=k_n)*(Calc!$G$3:$G$22&gt;A551)*(Calc!$G$3:$G$22-A551))</f>
        <v/>
      </c>
      <c r="E551">
        <f>SUMPRODUCT((Calc!$F$3:$F$22&gt;=LTP!$E$5)*(Calc!$F$3:$F$22&lt;=k_n)*(Calc!$G$3:$G$22&gt;A551)*(Calc!$G$3:$G$22-A551)^2)</f>
        <v/>
      </c>
      <c r="F551">
        <f>SUMPRODUCT((Calc!$F$3:$F$22&gt;=LTP!$E$5)*(Calc!$F$3:$F$22&lt;=k_n)*(Calc!$G$3:$G$22&gt;A551)*(Calc!$G$3:$G$22-A551)*Calc!$G$3:$G$22)</f>
        <v/>
      </c>
      <c r="G551">
        <f>SUMPRODUCT((Calc!$F$3:$F$22&gt;=LTP!$E$5)*(Calc!$F$3:$F$22&lt;=k_n)*(Calc!$G$3:$G$22&gt;A551)*(Calc!$G$3:$G$22-A551)*Calc!$I$3:$I$22)</f>
        <v/>
      </c>
      <c r="H551">
        <f>IF($B$469&gt;0,F551-$C$469*D551/$B$469,0)</f>
        <v/>
      </c>
      <c r="I551">
        <f>IF($B$469&gt;0,E551-D551^2/$B$469,0)</f>
        <v/>
      </c>
      <c r="J551">
        <f>IF($B$469&gt;0,G551-D551*$D$469/$B$469,0)</f>
        <v/>
      </c>
      <c r="K551">
        <f>$H$469*I551-H551^2</f>
        <v/>
      </c>
      <c r="L551">
        <f>IF(ABS(K551)&gt;1E-12,($H$469*J551-H551*$I$469)/K551,0)</f>
        <v/>
      </c>
      <c r="M551">
        <f>IF(ABS(K551)&gt;1E-12,(I551*$I$469-H551*J551)/K551,0)</f>
        <v/>
      </c>
      <c r="N551">
        <f>$J$469-M551*$I$469-L551*J551</f>
        <v/>
      </c>
      <c r="O551">
        <f>IF(AND(C551,ABS(K551)&gt;1E-12,L551&gt;0),N551,1E+300)</f>
        <v/>
      </c>
    </row>
    <row r="552">
      <c r="A552">
        <f>$K$469+($L$469-$K$469)*80/400</f>
        <v/>
      </c>
      <c r="B552">
        <f>SUMPRODUCT((Calc!$F$3:$F$22&gt;=LTP!$E$5)*(Calc!$F$3:$F$22&lt;=k_n)*(Calc!$G$3:$G$22&lt;=A552))</f>
        <v/>
      </c>
      <c r="C552">
        <f>AND(B552&gt;=2,$B$469-B552&gt;=2)</f>
        <v/>
      </c>
      <c r="D552">
        <f>SUMPRODUCT((Calc!$F$3:$F$22&gt;=LTP!$E$5)*(Calc!$F$3:$F$22&lt;=k_n)*(Calc!$G$3:$G$22&gt;A552)*(Calc!$G$3:$G$22-A552))</f>
        <v/>
      </c>
      <c r="E552">
        <f>SUMPRODUCT((Calc!$F$3:$F$22&gt;=LTP!$E$5)*(Calc!$F$3:$F$22&lt;=k_n)*(Calc!$G$3:$G$22&gt;A552)*(Calc!$G$3:$G$22-A552)^2)</f>
        <v/>
      </c>
      <c r="F552">
        <f>SUMPRODUCT((Calc!$F$3:$F$22&gt;=LTP!$E$5)*(Calc!$F$3:$F$22&lt;=k_n)*(Calc!$G$3:$G$22&gt;A552)*(Calc!$G$3:$G$22-A552)*Calc!$G$3:$G$22)</f>
        <v/>
      </c>
      <c r="G552">
        <f>SUMPRODUCT((Calc!$F$3:$F$22&gt;=LTP!$E$5)*(Calc!$F$3:$F$22&lt;=k_n)*(Calc!$G$3:$G$22&gt;A552)*(Calc!$G$3:$G$22-A552)*Calc!$I$3:$I$22)</f>
        <v/>
      </c>
      <c r="H552">
        <f>IF($B$469&gt;0,F552-$C$469*D552/$B$469,0)</f>
        <v/>
      </c>
      <c r="I552">
        <f>IF($B$469&gt;0,E552-D552^2/$B$469,0)</f>
        <v/>
      </c>
      <c r="J552">
        <f>IF($B$469&gt;0,G552-D552*$D$469/$B$469,0)</f>
        <v/>
      </c>
      <c r="K552">
        <f>$H$469*I552-H552^2</f>
        <v/>
      </c>
      <c r="L552">
        <f>IF(ABS(K552)&gt;1E-12,($H$469*J552-H552*$I$469)/K552,0)</f>
        <v/>
      </c>
      <c r="M552">
        <f>IF(ABS(K552)&gt;1E-12,(I552*$I$469-H552*J552)/K552,0)</f>
        <v/>
      </c>
      <c r="N552">
        <f>$J$469-M552*$I$469-L552*J552</f>
        <v/>
      </c>
      <c r="O552">
        <f>IF(AND(C552,ABS(K552)&gt;1E-12,L552&gt;0),N552,1E+300)</f>
        <v/>
      </c>
    </row>
    <row r="553">
      <c r="A553">
        <f>$K$469+($L$469-$K$469)*81/400</f>
        <v/>
      </c>
      <c r="B553">
        <f>SUMPRODUCT((Calc!$F$3:$F$22&gt;=LTP!$E$5)*(Calc!$F$3:$F$22&lt;=k_n)*(Calc!$G$3:$G$22&lt;=A553))</f>
        <v/>
      </c>
      <c r="C553">
        <f>AND(B553&gt;=2,$B$469-B553&gt;=2)</f>
        <v/>
      </c>
      <c r="D553">
        <f>SUMPRODUCT((Calc!$F$3:$F$22&gt;=LTP!$E$5)*(Calc!$F$3:$F$22&lt;=k_n)*(Calc!$G$3:$G$22&gt;A553)*(Calc!$G$3:$G$22-A553))</f>
        <v/>
      </c>
      <c r="E553">
        <f>SUMPRODUCT((Calc!$F$3:$F$22&gt;=LTP!$E$5)*(Calc!$F$3:$F$22&lt;=k_n)*(Calc!$G$3:$G$22&gt;A553)*(Calc!$G$3:$G$22-A553)^2)</f>
        <v/>
      </c>
      <c r="F553">
        <f>SUMPRODUCT((Calc!$F$3:$F$22&gt;=LTP!$E$5)*(Calc!$F$3:$F$22&lt;=k_n)*(Calc!$G$3:$G$22&gt;A553)*(Calc!$G$3:$G$22-A553)*Calc!$G$3:$G$22)</f>
        <v/>
      </c>
      <c r="G553">
        <f>SUMPRODUCT((Calc!$F$3:$F$22&gt;=LTP!$E$5)*(Calc!$F$3:$F$22&lt;=k_n)*(Calc!$G$3:$G$22&gt;A553)*(Calc!$G$3:$G$22-A553)*Calc!$I$3:$I$22)</f>
        <v/>
      </c>
      <c r="H553">
        <f>IF($B$469&gt;0,F553-$C$469*D553/$B$469,0)</f>
        <v/>
      </c>
      <c r="I553">
        <f>IF($B$469&gt;0,E553-D553^2/$B$469,0)</f>
        <v/>
      </c>
      <c r="J553">
        <f>IF($B$469&gt;0,G553-D553*$D$469/$B$469,0)</f>
        <v/>
      </c>
      <c r="K553">
        <f>$H$469*I553-H553^2</f>
        <v/>
      </c>
      <c r="L553">
        <f>IF(ABS(K553)&gt;1E-12,($H$469*J553-H553*$I$469)/K553,0)</f>
        <v/>
      </c>
      <c r="M553">
        <f>IF(ABS(K553)&gt;1E-12,(I553*$I$469-H553*J553)/K553,0)</f>
        <v/>
      </c>
      <c r="N553">
        <f>$J$469-M553*$I$469-L553*J553</f>
        <v/>
      </c>
      <c r="O553">
        <f>IF(AND(C553,ABS(K553)&gt;1E-12,L553&gt;0),N553,1E+300)</f>
        <v/>
      </c>
    </row>
    <row r="554">
      <c r="A554">
        <f>$K$469+($L$469-$K$469)*82/400</f>
        <v/>
      </c>
      <c r="B554">
        <f>SUMPRODUCT((Calc!$F$3:$F$22&gt;=LTP!$E$5)*(Calc!$F$3:$F$22&lt;=k_n)*(Calc!$G$3:$G$22&lt;=A554))</f>
        <v/>
      </c>
      <c r="C554">
        <f>AND(B554&gt;=2,$B$469-B554&gt;=2)</f>
        <v/>
      </c>
      <c r="D554">
        <f>SUMPRODUCT((Calc!$F$3:$F$22&gt;=LTP!$E$5)*(Calc!$F$3:$F$22&lt;=k_n)*(Calc!$G$3:$G$22&gt;A554)*(Calc!$G$3:$G$22-A554))</f>
        <v/>
      </c>
      <c r="E554">
        <f>SUMPRODUCT((Calc!$F$3:$F$22&gt;=LTP!$E$5)*(Calc!$F$3:$F$22&lt;=k_n)*(Calc!$G$3:$G$22&gt;A554)*(Calc!$G$3:$G$22-A554)^2)</f>
        <v/>
      </c>
      <c r="F554">
        <f>SUMPRODUCT((Calc!$F$3:$F$22&gt;=LTP!$E$5)*(Calc!$F$3:$F$22&lt;=k_n)*(Calc!$G$3:$G$22&gt;A554)*(Calc!$G$3:$G$22-A554)*Calc!$G$3:$G$22)</f>
        <v/>
      </c>
      <c r="G554">
        <f>SUMPRODUCT((Calc!$F$3:$F$22&gt;=LTP!$E$5)*(Calc!$F$3:$F$22&lt;=k_n)*(Calc!$G$3:$G$22&gt;A554)*(Calc!$G$3:$G$22-A554)*Calc!$I$3:$I$22)</f>
        <v/>
      </c>
      <c r="H554">
        <f>IF($B$469&gt;0,F554-$C$469*D554/$B$469,0)</f>
        <v/>
      </c>
      <c r="I554">
        <f>IF($B$469&gt;0,E554-D554^2/$B$469,0)</f>
        <v/>
      </c>
      <c r="J554">
        <f>IF($B$469&gt;0,G554-D554*$D$469/$B$469,0)</f>
        <v/>
      </c>
      <c r="K554">
        <f>$H$469*I554-H554^2</f>
        <v/>
      </c>
      <c r="L554">
        <f>IF(ABS(K554)&gt;1E-12,($H$469*J554-H554*$I$469)/K554,0)</f>
        <v/>
      </c>
      <c r="M554">
        <f>IF(ABS(K554)&gt;1E-12,(I554*$I$469-H554*J554)/K554,0)</f>
        <v/>
      </c>
      <c r="N554">
        <f>$J$469-M554*$I$469-L554*J554</f>
        <v/>
      </c>
      <c r="O554">
        <f>IF(AND(C554,ABS(K554)&gt;1E-12,L554&gt;0),N554,1E+300)</f>
        <v/>
      </c>
    </row>
    <row r="555">
      <c r="A555">
        <f>$K$469+($L$469-$K$469)*83/400</f>
        <v/>
      </c>
      <c r="B555">
        <f>SUMPRODUCT((Calc!$F$3:$F$22&gt;=LTP!$E$5)*(Calc!$F$3:$F$22&lt;=k_n)*(Calc!$G$3:$G$22&lt;=A555))</f>
        <v/>
      </c>
      <c r="C555">
        <f>AND(B555&gt;=2,$B$469-B555&gt;=2)</f>
        <v/>
      </c>
      <c r="D555">
        <f>SUMPRODUCT((Calc!$F$3:$F$22&gt;=LTP!$E$5)*(Calc!$F$3:$F$22&lt;=k_n)*(Calc!$G$3:$G$22&gt;A555)*(Calc!$G$3:$G$22-A555))</f>
        <v/>
      </c>
      <c r="E555">
        <f>SUMPRODUCT((Calc!$F$3:$F$22&gt;=LTP!$E$5)*(Calc!$F$3:$F$22&lt;=k_n)*(Calc!$G$3:$G$22&gt;A555)*(Calc!$G$3:$G$22-A555)^2)</f>
        <v/>
      </c>
      <c r="F555">
        <f>SUMPRODUCT((Calc!$F$3:$F$22&gt;=LTP!$E$5)*(Calc!$F$3:$F$22&lt;=k_n)*(Calc!$G$3:$G$22&gt;A555)*(Calc!$G$3:$G$22-A555)*Calc!$G$3:$G$22)</f>
        <v/>
      </c>
      <c r="G555">
        <f>SUMPRODUCT((Calc!$F$3:$F$22&gt;=LTP!$E$5)*(Calc!$F$3:$F$22&lt;=k_n)*(Calc!$G$3:$G$22&gt;A555)*(Calc!$G$3:$G$22-A555)*Calc!$I$3:$I$22)</f>
        <v/>
      </c>
      <c r="H555">
        <f>IF($B$469&gt;0,F555-$C$469*D555/$B$469,0)</f>
        <v/>
      </c>
      <c r="I555">
        <f>IF($B$469&gt;0,E555-D555^2/$B$469,0)</f>
        <v/>
      </c>
      <c r="J555">
        <f>IF($B$469&gt;0,G555-D555*$D$469/$B$469,0)</f>
        <v/>
      </c>
      <c r="K555">
        <f>$H$469*I555-H555^2</f>
        <v/>
      </c>
      <c r="L555">
        <f>IF(ABS(K555)&gt;1E-12,($H$469*J555-H555*$I$469)/K555,0)</f>
        <v/>
      </c>
      <c r="M555">
        <f>IF(ABS(K555)&gt;1E-12,(I555*$I$469-H555*J555)/K555,0)</f>
        <v/>
      </c>
      <c r="N555">
        <f>$J$469-M555*$I$469-L555*J555</f>
        <v/>
      </c>
      <c r="O555">
        <f>IF(AND(C555,ABS(K555)&gt;1E-12,L555&gt;0),N555,1E+300)</f>
        <v/>
      </c>
    </row>
    <row r="556">
      <c r="A556">
        <f>$K$469+($L$469-$K$469)*84/400</f>
        <v/>
      </c>
      <c r="B556">
        <f>SUMPRODUCT((Calc!$F$3:$F$22&gt;=LTP!$E$5)*(Calc!$F$3:$F$22&lt;=k_n)*(Calc!$G$3:$G$22&lt;=A556))</f>
        <v/>
      </c>
      <c r="C556">
        <f>AND(B556&gt;=2,$B$469-B556&gt;=2)</f>
        <v/>
      </c>
      <c r="D556">
        <f>SUMPRODUCT((Calc!$F$3:$F$22&gt;=LTP!$E$5)*(Calc!$F$3:$F$22&lt;=k_n)*(Calc!$G$3:$G$22&gt;A556)*(Calc!$G$3:$G$22-A556))</f>
        <v/>
      </c>
      <c r="E556">
        <f>SUMPRODUCT((Calc!$F$3:$F$22&gt;=LTP!$E$5)*(Calc!$F$3:$F$22&lt;=k_n)*(Calc!$G$3:$G$22&gt;A556)*(Calc!$G$3:$G$22-A556)^2)</f>
        <v/>
      </c>
      <c r="F556">
        <f>SUMPRODUCT((Calc!$F$3:$F$22&gt;=LTP!$E$5)*(Calc!$F$3:$F$22&lt;=k_n)*(Calc!$G$3:$G$22&gt;A556)*(Calc!$G$3:$G$22-A556)*Calc!$G$3:$G$22)</f>
        <v/>
      </c>
      <c r="G556">
        <f>SUMPRODUCT((Calc!$F$3:$F$22&gt;=LTP!$E$5)*(Calc!$F$3:$F$22&lt;=k_n)*(Calc!$G$3:$G$22&gt;A556)*(Calc!$G$3:$G$22-A556)*Calc!$I$3:$I$22)</f>
        <v/>
      </c>
      <c r="H556">
        <f>IF($B$469&gt;0,F556-$C$469*D556/$B$469,0)</f>
        <v/>
      </c>
      <c r="I556">
        <f>IF($B$469&gt;0,E556-D556^2/$B$469,0)</f>
        <v/>
      </c>
      <c r="J556">
        <f>IF($B$469&gt;0,G556-D556*$D$469/$B$469,0)</f>
        <v/>
      </c>
      <c r="K556">
        <f>$H$469*I556-H556^2</f>
        <v/>
      </c>
      <c r="L556">
        <f>IF(ABS(K556)&gt;1E-12,($H$469*J556-H556*$I$469)/K556,0)</f>
        <v/>
      </c>
      <c r="M556">
        <f>IF(ABS(K556)&gt;1E-12,(I556*$I$469-H556*J556)/K556,0)</f>
        <v/>
      </c>
      <c r="N556">
        <f>$J$469-M556*$I$469-L556*J556</f>
        <v/>
      </c>
      <c r="O556">
        <f>IF(AND(C556,ABS(K556)&gt;1E-12,L556&gt;0),N556,1E+300)</f>
        <v/>
      </c>
    </row>
    <row r="557">
      <c r="A557">
        <f>$K$469+($L$469-$K$469)*85/400</f>
        <v/>
      </c>
      <c r="B557">
        <f>SUMPRODUCT((Calc!$F$3:$F$22&gt;=LTP!$E$5)*(Calc!$F$3:$F$22&lt;=k_n)*(Calc!$G$3:$G$22&lt;=A557))</f>
        <v/>
      </c>
      <c r="C557">
        <f>AND(B557&gt;=2,$B$469-B557&gt;=2)</f>
        <v/>
      </c>
      <c r="D557">
        <f>SUMPRODUCT((Calc!$F$3:$F$22&gt;=LTP!$E$5)*(Calc!$F$3:$F$22&lt;=k_n)*(Calc!$G$3:$G$22&gt;A557)*(Calc!$G$3:$G$22-A557))</f>
        <v/>
      </c>
      <c r="E557">
        <f>SUMPRODUCT((Calc!$F$3:$F$22&gt;=LTP!$E$5)*(Calc!$F$3:$F$22&lt;=k_n)*(Calc!$G$3:$G$22&gt;A557)*(Calc!$G$3:$G$22-A557)^2)</f>
        <v/>
      </c>
      <c r="F557">
        <f>SUMPRODUCT((Calc!$F$3:$F$22&gt;=LTP!$E$5)*(Calc!$F$3:$F$22&lt;=k_n)*(Calc!$G$3:$G$22&gt;A557)*(Calc!$G$3:$G$22-A557)*Calc!$G$3:$G$22)</f>
        <v/>
      </c>
      <c r="G557">
        <f>SUMPRODUCT((Calc!$F$3:$F$22&gt;=LTP!$E$5)*(Calc!$F$3:$F$22&lt;=k_n)*(Calc!$G$3:$G$22&gt;A557)*(Calc!$G$3:$G$22-A557)*Calc!$I$3:$I$22)</f>
        <v/>
      </c>
      <c r="H557">
        <f>IF($B$469&gt;0,F557-$C$469*D557/$B$469,0)</f>
        <v/>
      </c>
      <c r="I557">
        <f>IF($B$469&gt;0,E557-D557^2/$B$469,0)</f>
        <v/>
      </c>
      <c r="J557">
        <f>IF($B$469&gt;0,G557-D557*$D$469/$B$469,0)</f>
        <v/>
      </c>
      <c r="K557">
        <f>$H$469*I557-H557^2</f>
        <v/>
      </c>
      <c r="L557">
        <f>IF(ABS(K557)&gt;1E-12,($H$469*J557-H557*$I$469)/K557,0)</f>
        <v/>
      </c>
      <c r="M557">
        <f>IF(ABS(K557)&gt;1E-12,(I557*$I$469-H557*J557)/K557,0)</f>
        <v/>
      </c>
      <c r="N557">
        <f>$J$469-M557*$I$469-L557*J557</f>
        <v/>
      </c>
      <c r="O557">
        <f>IF(AND(C557,ABS(K557)&gt;1E-12,L557&gt;0),N557,1E+300)</f>
        <v/>
      </c>
    </row>
    <row r="558">
      <c r="A558">
        <f>$K$469+($L$469-$K$469)*86/400</f>
        <v/>
      </c>
      <c r="B558">
        <f>SUMPRODUCT((Calc!$F$3:$F$22&gt;=LTP!$E$5)*(Calc!$F$3:$F$22&lt;=k_n)*(Calc!$G$3:$G$22&lt;=A558))</f>
        <v/>
      </c>
      <c r="C558">
        <f>AND(B558&gt;=2,$B$469-B558&gt;=2)</f>
        <v/>
      </c>
      <c r="D558">
        <f>SUMPRODUCT((Calc!$F$3:$F$22&gt;=LTP!$E$5)*(Calc!$F$3:$F$22&lt;=k_n)*(Calc!$G$3:$G$22&gt;A558)*(Calc!$G$3:$G$22-A558))</f>
        <v/>
      </c>
      <c r="E558">
        <f>SUMPRODUCT((Calc!$F$3:$F$22&gt;=LTP!$E$5)*(Calc!$F$3:$F$22&lt;=k_n)*(Calc!$G$3:$G$22&gt;A558)*(Calc!$G$3:$G$22-A558)^2)</f>
        <v/>
      </c>
      <c r="F558">
        <f>SUMPRODUCT((Calc!$F$3:$F$22&gt;=LTP!$E$5)*(Calc!$F$3:$F$22&lt;=k_n)*(Calc!$G$3:$G$22&gt;A558)*(Calc!$G$3:$G$22-A558)*Calc!$G$3:$G$22)</f>
        <v/>
      </c>
      <c r="G558">
        <f>SUMPRODUCT((Calc!$F$3:$F$22&gt;=LTP!$E$5)*(Calc!$F$3:$F$22&lt;=k_n)*(Calc!$G$3:$G$22&gt;A558)*(Calc!$G$3:$G$22-A558)*Calc!$I$3:$I$22)</f>
        <v/>
      </c>
      <c r="H558">
        <f>IF($B$469&gt;0,F558-$C$469*D558/$B$469,0)</f>
        <v/>
      </c>
      <c r="I558">
        <f>IF($B$469&gt;0,E558-D558^2/$B$469,0)</f>
        <v/>
      </c>
      <c r="J558">
        <f>IF($B$469&gt;0,G558-D558*$D$469/$B$469,0)</f>
        <v/>
      </c>
      <c r="K558">
        <f>$H$469*I558-H558^2</f>
        <v/>
      </c>
      <c r="L558">
        <f>IF(ABS(K558)&gt;1E-12,($H$469*J558-H558*$I$469)/K558,0)</f>
        <v/>
      </c>
      <c r="M558">
        <f>IF(ABS(K558)&gt;1E-12,(I558*$I$469-H558*J558)/K558,0)</f>
        <v/>
      </c>
      <c r="N558">
        <f>$J$469-M558*$I$469-L558*J558</f>
        <v/>
      </c>
      <c r="O558">
        <f>IF(AND(C558,ABS(K558)&gt;1E-12,L558&gt;0),N558,1E+300)</f>
        <v/>
      </c>
    </row>
    <row r="559">
      <c r="A559">
        <f>$K$469+($L$469-$K$469)*87/400</f>
        <v/>
      </c>
      <c r="B559">
        <f>SUMPRODUCT((Calc!$F$3:$F$22&gt;=LTP!$E$5)*(Calc!$F$3:$F$22&lt;=k_n)*(Calc!$G$3:$G$22&lt;=A559))</f>
        <v/>
      </c>
      <c r="C559">
        <f>AND(B559&gt;=2,$B$469-B559&gt;=2)</f>
        <v/>
      </c>
      <c r="D559">
        <f>SUMPRODUCT((Calc!$F$3:$F$22&gt;=LTP!$E$5)*(Calc!$F$3:$F$22&lt;=k_n)*(Calc!$G$3:$G$22&gt;A559)*(Calc!$G$3:$G$22-A559))</f>
        <v/>
      </c>
      <c r="E559">
        <f>SUMPRODUCT((Calc!$F$3:$F$22&gt;=LTP!$E$5)*(Calc!$F$3:$F$22&lt;=k_n)*(Calc!$G$3:$G$22&gt;A559)*(Calc!$G$3:$G$22-A559)^2)</f>
        <v/>
      </c>
      <c r="F559">
        <f>SUMPRODUCT((Calc!$F$3:$F$22&gt;=LTP!$E$5)*(Calc!$F$3:$F$22&lt;=k_n)*(Calc!$G$3:$G$22&gt;A559)*(Calc!$G$3:$G$22-A559)*Calc!$G$3:$G$22)</f>
        <v/>
      </c>
      <c r="G559">
        <f>SUMPRODUCT((Calc!$F$3:$F$22&gt;=LTP!$E$5)*(Calc!$F$3:$F$22&lt;=k_n)*(Calc!$G$3:$G$22&gt;A559)*(Calc!$G$3:$G$22-A559)*Calc!$I$3:$I$22)</f>
        <v/>
      </c>
      <c r="H559">
        <f>IF($B$469&gt;0,F559-$C$469*D559/$B$469,0)</f>
        <v/>
      </c>
      <c r="I559">
        <f>IF($B$469&gt;0,E559-D559^2/$B$469,0)</f>
        <v/>
      </c>
      <c r="J559">
        <f>IF($B$469&gt;0,G559-D559*$D$469/$B$469,0)</f>
        <v/>
      </c>
      <c r="K559">
        <f>$H$469*I559-H559^2</f>
        <v/>
      </c>
      <c r="L559">
        <f>IF(ABS(K559)&gt;1E-12,($H$469*J559-H559*$I$469)/K559,0)</f>
        <v/>
      </c>
      <c r="M559">
        <f>IF(ABS(K559)&gt;1E-12,(I559*$I$469-H559*J559)/K559,0)</f>
        <v/>
      </c>
      <c r="N559">
        <f>$J$469-M559*$I$469-L559*J559</f>
        <v/>
      </c>
      <c r="O559">
        <f>IF(AND(C559,ABS(K559)&gt;1E-12,L559&gt;0),N559,1E+300)</f>
        <v/>
      </c>
    </row>
    <row r="560">
      <c r="A560">
        <f>$K$469+($L$469-$K$469)*88/400</f>
        <v/>
      </c>
      <c r="B560">
        <f>SUMPRODUCT((Calc!$F$3:$F$22&gt;=LTP!$E$5)*(Calc!$F$3:$F$22&lt;=k_n)*(Calc!$G$3:$G$22&lt;=A560))</f>
        <v/>
      </c>
      <c r="C560">
        <f>AND(B560&gt;=2,$B$469-B560&gt;=2)</f>
        <v/>
      </c>
      <c r="D560">
        <f>SUMPRODUCT((Calc!$F$3:$F$22&gt;=LTP!$E$5)*(Calc!$F$3:$F$22&lt;=k_n)*(Calc!$G$3:$G$22&gt;A560)*(Calc!$G$3:$G$22-A560))</f>
        <v/>
      </c>
      <c r="E560">
        <f>SUMPRODUCT((Calc!$F$3:$F$22&gt;=LTP!$E$5)*(Calc!$F$3:$F$22&lt;=k_n)*(Calc!$G$3:$G$22&gt;A560)*(Calc!$G$3:$G$22-A560)^2)</f>
        <v/>
      </c>
      <c r="F560">
        <f>SUMPRODUCT((Calc!$F$3:$F$22&gt;=LTP!$E$5)*(Calc!$F$3:$F$22&lt;=k_n)*(Calc!$G$3:$G$22&gt;A560)*(Calc!$G$3:$G$22-A560)*Calc!$G$3:$G$22)</f>
        <v/>
      </c>
      <c r="G560">
        <f>SUMPRODUCT((Calc!$F$3:$F$22&gt;=LTP!$E$5)*(Calc!$F$3:$F$22&lt;=k_n)*(Calc!$G$3:$G$22&gt;A560)*(Calc!$G$3:$G$22-A560)*Calc!$I$3:$I$22)</f>
        <v/>
      </c>
      <c r="H560">
        <f>IF($B$469&gt;0,F560-$C$469*D560/$B$469,0)</f>
        <v/>
      </c>
      <c r="I560">
        <f>IF($B$469&gt;0,E560-D560^2/$B$469,0)</f>
        <v/>
      </c>
      <c r="J560">
        <f>IF($B$469&gt;0,G560-D560*$D$469/$B$469,0)</f>
        <v/>
      </c>
      <c r="K560">
        <f>$H$469*I560-H560^2</f>
        <v/>
      </c>
      <c r="L560">
        <f>IF(ABS(K560)&gt;1E-12,($H$469*J560-H560*$I$469)/K560,0)</f>
        <v/>
      </c>
      <c r="M560">
        <f>IF(ABS(K560)&gt;1E-12,(I560*$I$469-H560*J560)/K560,0)</f>
        <v/>
      </c>
      <c r="N560">
        <f>$J$469-M560*$I$469-L560*J560</f>
        <v/>
      </c>
      <c r="O560">
        <f>IF(AND(C560,ABS(K560)&gt;1E-12,L560&gt;0),N560,1E+300)</f>
        <v/>
      </c>
    </row>
    <row r="561">
      <c r="A561">
        <f>$K$469+($L$469-$K$469)*89/400</f>
        <v/>
      </c>
      <c r="B561">
        <f>SUMPRODUCT((Calc!$F$3:$F$22&gt;=LTP!$E$5)*(Calc!$F$3:$F$22&lt;=k_n)*(Calc!$G$3:$G$22&lt;=A561))</f>
        <v/>
      </c>
      <c r="C561">
        <f>AND(B561&gt;=2,$B$469-B561&gt;=2)</f>
        <v/>
      </c>
      <c r="D561">
        <f>SUMPRODUCT((Calc!$F$3:$F$22&gt;=LTP!$E$5)*(Calc!$F$3:$F$22&lt;=k_n)*(Calc!$G$3:$G$22&gt;A561)*(Calc!$G$3:$G$22-A561))</f>
        <v/>
      </c>
      <c r="E561">
        <f>SUMPRODUCT((Calc!$F$3:$F$22&gt;=LTP!$E$5)*(Calc!$F$3:$F$22&lt;=k_n)*(Calc!$G$3:$G$22&gt;A561)*(Calc!$G$3:$G$22-A561)^2)</f>
        <v/>
      </c>
      <c r="F561">
        <f>SUMPRODUCT((Calc!$F$3:$F$22&gt;=LTP!$E$5)*(Calc!$F$3:$F$22&lt;=k_n)*(Calc!$G$3:$G$22&gt;A561)*(Calc!$G$3:$G$22-A561)*Calc!$G$3:$G$22)</f>
        <v/>
      </c>
      <c r="G561">
        <f>SUMPRODUCT((Calc!$F$3:$F$22&gt;=LTP!$E$5)*(Calc!$F$3:$F$22&lt;=k_n)*(Calc!$G$3:$G$22&gt;A561)*(Calc!$G$3:$G$22-A561)*Calc!$I$3:$I$22)</f>
        <v/>
      </c>
      <c r="H561">
        <f>IF($B$469&gt;0,F561-$C$469*D561/$B$469,0)</f>
        <v/>
      </c>
      <c r="I561">
        <f>IF($B$469&gt;0,E561-D561^2/$B$469,0)</f>
        <v/>
      </c>
      <c r="J561">
        <f>IF($B$469&gt;0,G561-D561*$D$469/$B$469,0)</f>
        <v/>
      </c>
      <c r="K561">
        <f>$H$469*I561-H561^2</f>
        <v/>
      </c>
      <c r="L561">
        <f>IF(ABS(K561)&gt;1E-12,($H$469*J561-H561*$I$469)/K561,0)</f>
        <v/>
      </c>
      <c r="M561">
        <f>IF(ABS(K561)&gt;1E-12,(I561*$I$469-H561*J561)/K561,0)</f>
        <v/>
      </c>
      <c r="N561">
        <f>$J$469-M561*$I$469-L561*J561</f>
        <v/>
      </c>
      <c r="O561">
        <f>IF(AND(C561,ABS(K561)&gt;1E-12,L561&gt;0),N561,1E+300)</f>
        <v/>
      </c>
    </row>
    <row r="562">
      <c r="A562">
        <f>$K$469+($L$469-$K$469)*90/400</f>
        <v/>
      </c>
      <c r="B562">
        <f>SUMPRODUCT((Calc!$F$3:$F$22&gt;=LTP!$E$5)*(Calc!$F$3:$F$22&lt;=k_n)*(Calc!$G$3:$G$22&lt;=A562))</f>
        <v/>
      </c>
      <c r="C562">
        <f>AND(B562&gt;=2,$B$469-B562&gt;=2)</f>
        <v/>
      </c>
      <c r="D562">
        <f>SUMPRODUCT((Calc!$F$3:$F$22&gt;=LTP!$E$5)*(Calc!$F$3:$F$22&lt;=k_n)*(Calc!$G$3:$G$22&gt;A562)*(Calc!$G$3:$G$22-A562))</f>
        <v/>
      </c>
      <c r="E562">
        <f>SUMPRODUCT((Calc!$F$3:$F$22&gt;=LTP!$E$5)*(Calc!$F$3:$F$22&lt;=k_n)*(Calc!$G$3:$G$22&gt;A562)*(Calc!$G$3:$G$22-A562)^2)</f>
        <v/>
      </c>
      <c r="F562">
        <f>SUMPRODUCT((Calc!$F$3:$F$22&gt;=LTP!$E$5)*(Calc!$F$3:$F$22&lt;=k_n)*(Calc!$G$3:$G$22&gt;A562)*(Calc!$G$3:$G$22-A562)*Calc!$G$3:$G$22)</f>
        <v/>
      </c>
      <c r="G562">
        <f>SUMPRODUCT((Calc!$F$3:$F$22&gt;=LTP!$E$5)*(Calc!$F$3:$F$22&lt;=k_n)*(Calc!$G$3:$G$22&gt;A562)*(Calc!$G$3:$G$22-A562)*Calc!$I$3:$I$22)</f>
        <v/>
      </c>
      <c r="H562">
        <f>IF($B$469&gt;0,F562-$C$469*D562/$B$469,0)</f>
        <v/>
      </c>
      <c r="I562">
        <f>IF($B$469&gt;0,E562-D562^2/$B$469,0)</f>
        <v/>
      </c>
      <c r="J562">
        <f>IF($B$469&gt;0,G562-D562*$D$469/$B$469,0)</f>
        <v/>
      </c>
      <c r="K562">
        <f>$H$469*I562-H562^2</f>
        <v/>
      </c>
      <c r="L562">
        <f>IF(ABS(K562)&gt;1E-12,($H$469*J562-H562*$I$469)/K562,0)</f>
        <v/>
      </c>
      <c r="M562">
        <f>IF(ABS(K562)&gt;1E-12,(I562*$I$469-H562*J562)/K562,0)</f>
        <v/>
      </c>
      <c r="N562">
        <f>$J$469-M562*$I$469-L562*J562</f>
        <v/>
      </c>
      <c r="O562">
        <f>IF(AND(C562,ABS(K562)&gt;1E-12,L562&gt;0),N562,1E+300)</f>
        <v/>
      </c>
    </row>
    <row r="563">
      <c r="A563">
        <f>$K$469+($L$469-$K$469)*91/400</f>
        <v/>
      </c>
      <c r="B563">
        <f>SUMPRODUCT((Calc!$F$3:$F$22&gt;=LTP!$E$5)*(Calc!$F$3:$F$22&lt;=k_n)*(Calc!$G$3:$G$22&lt;=A563))</f>
        <v/>
      </c>
      <c r="C563">
        <f>AND(B563&gt;=2,$B$469-B563&gt;=2)</f>
        <v/>
      </c>
      <c r="D563">
        <f>SUMPRODUCT((Calc!$F$3:$F$22&gt;=LTP!$E$5)*(Calc!$F$3:$F$22&lt;=k_n)*(Calc!$G$3:$G$22&gt;A563)*(Calc!$G$3:$G$22-A563))</f>
        <v/>
      </c>
      <c r="E563">
        <f>SUMPRODUCT((Calc!$F$3:$F$22&gt;=LTP!$E$5)*(Calc!$F$3:$F$22&lt;=k_n)*(Calc!$G$3:$G$22&gt;A563)*(Calc!$G$3:$G$22-A563)^2)</f>
        <v/>
      </c>
      <c r="F563">
        <f>SUMPRODUCT((Calc!$F$3:$F$22&gt;=LTP!$E$5)*(Calc!$F$3:$F$22&lt;=k_n)*(Calc!$G$3:$G$22&gt;A563)*(Calc!$G$3:$G$22-A563)*Calc!$G$3:$G$22)</f>
        <v/>
      </c>
      <c r="G563">
        <f>SUMPRODUCT((Calc!$F$3:$F$22&gt;=LTP!$E$5)*(Calc!$F$3:$F$22&lt;=k_n)*(Calc!$G$3:$G$22&gt;A563)*(Calc!$G$3:$G$22-A563)*Calc!$I$3:$I$22)</f>
        <v/>
      </c>
      <c r="H563">
        <f>IF($B$469&gt;0,F563-$C$469*D563/$B$469,0)</f>
        <v/>
      </c>
      <c r="I563">
        <f>IF($B$469&gt;0,E563-D563^2/$B$469,0)</f>
        <v/>
      </c>
      <c r="J563">
        <f>IF($B$469&gt;0,G563-D563*$D$469/$B$469,0)</f>
        <v/>
      </c>
      <c r="K563">
        <f>$H$469*I563-H563^2</f>
        <v/>
      </c>
      <c r="L563">
        <f>IF(ABS(K563)&gt;1E-12,($H$469*J563-H563*$I$469)/K563,0)</f>
        <v/>
      </c>
      <c r="M563">
        <f>IF(ABS(K563)&gt;1E-12,(I563*$I$469-H563*J563)/K563,0)</f>
        <v/>
      </c>
      <c r="N563">
        <f>$J$469-M563*$I$469-L563*J563</f>
        <v/>
      </c>
      <c r="O563">
        <f>IF(AND(C563,ABS(K563)&gt;1E-12,L563&gt;0),N563,1E+300)</f>
        <v/>
      </c>
    </row>
    <row r="564">
      <c r="A564">
        <f>$K$469+($L$469-$K$469)*92/400</f>
        <v/>
      </c>
      <c r="B564">
        <f>SUMPRODUCT((Calc!$F$3:$F$22&gt;=LTP!$E$5)*(Calc!$F$3:$F$22&lt;=k_n)*(Calc!$G$3:$G$22&lt;=A564))</f>
        <v/>
      </c>
      <c r="C564">
        <f>AND(B564&gt;=2,$B$469-B564&gt;=2)</f>
        <v/>
      </c>
      <c r="D564">
        <f>SUMPRODUCT((Calc!$F$3:$F$22&gt;=LTP!$E$5)*(Calc!$F$3:$F$22&lt;=k_n)*(Calc!$G$3:$G$22&gt;A564)*(Calc!$G$3:$G$22-A564))</f>
        <v/>
      </c>
      <c r="E564">
        <f>SUMPRODUCT((Calc!$F$3:$F$22&gt;=LTP!$E$5)*(Calc!$F$3:$F$22&lt;=k_n)*(Calc!$G$3:$G$22&gt;A564)*(Calc!$G$3:$G$22-A564)^2)</f>
        <v/>
      </c>
      <c r="F564">
        <f>SUMPRODUCT((Calc!$F$3:$F$22&gt;=LTP!$E$5)*(Calc!$F$3:$F$22&lt;=k_n)*(Calc!$G$3:$G$22&gt;A564)*(Calc!$G$3:$G$22-A564)*Calc!$G$3:$G$22)</f>
        <v/>
      </c>
      <c r="G564">
        <f>SUMPRODUCT((Calc!$F$3:$F$22&gt;=LTP!$E$5)*(Calc!$F$3:$F$22&lt;=k_n)*(Calc!$G$3:$G$22&gt;A564)*(Calc!$G$3:$G$22-A564)*Calc!$I$3:$I$22)</f>
        <v/>
      </c>
      <c r="H564">
        <f>IF($B$469&gt;0,F564-$C$469*D564/$B$469,0)</f>
        <v/>
      </c>
      <c r="I564">
        <f>IF($B$469&gt;0,E564-D564^2/$B$469,0)</f>
        <v/>
      </c>
      <c r="J564">
        <f>IF($B$469&gt;0,G564-D564*$D$469/$B$469,0)</f>
        <v/>
      </c>
      <c r="K564">
        <f>$H$469*I564-H564^2</f>
        <v/>
      </c>
      <c r="L564">
        <f>IF(ABS(K564)&gt;1E-12,($H$469*J564-H564*$I$469)/K564,0)</f>
        <v/>
      </c>
      <c r="M564">
        <f>IF(ABS(K564)&gt;1E-12,(I564*$I$469-H564*J564)/K564,0)</f>
        <v/>
      </c>
      <c r="N564">
        <f>$J$469-M564*$I$469-L564*J564</f>
        <v/>
      </c>
      <c r="O564">
        <f>IF(AND(C564,ABS(K564)&gt;1E-12,L564&gt;0),N564,1E+300)</f>
        <v/>
      </c>
    </row>
    <row r="565">
      <c r="A565">
        <f>$K$469+($L$469-$K$469)*93/400</f>
        <v/>
      </c>
      <c r="B565">
        <f>SUMPRODUCT((Calc!$F$3:$F$22&gt;=LTP!$E$5)*(Calc!$F$3:$F$22&lt;=k_n)*(Calc!$G$3:$G$22&lt;=A565))</f>
        <v/>
      </c>
      <c r="C565">
        <f>AND(B565&gt;=2,$B$469-B565&gt;=2)</f>
        <v/>
      </c>
      <c r="D565">
        <f>SUMPRODUCT((Calc!$F$3:$F$22&gt;=LTP!$E$5)*(Calc!$F$3:$F$22&lt;=k_n)*(Calc!$G$3:$G$22&gt;A565)*(Calc!$G$3:$G$22-A565))</f>
        <v/>
      </c>
      <c r="E565">
        <f>SUMPRODUCT((Calc!$F$3:$F$22&gt;=LTP!$E$5)*(Calc!$F$3:$F$22&lt;=k_n)*(Calc!$G$3:$G$22&gt;A565)*(Calc!$G$3:$G$22-A565)^2)</f>
        <v/>
      </c>
      <c r="F565">
        <f>SUMPRODUCT((Calc!$F$3:$F$22&gt;=LTP!$E$5)*(Calc!$F$3:$F$22&lt;=k_n)*(Calc!$G$3:$G$22&gt;A565)*(Calc!$G$3:$G$22-A565)*Calc!$G$3:$G$22)</f>
        <v/>
      </c>
      <c r="G565">
        <f>SUMPRODUCT((Calc!$F$3:$F$22&gt;=LTP!$E$5)*(Calc!$F$3:$F$22&lt;=k_n)*(Calc!$G$3:$G$22&gt;A565)*(Calc!$G$3:$G$22-A565)*Calc!$I$3:$I$22)</f>
        <v/>
      </c>
      <c r="H565">
        <f>IF($B$469&gt;0,F565-$C$469*D565/$B$469,0)</f>
        <v/>
      </c>
      <c r="I565">
        <f>IF($B$469&gt;0,E565-D565^2/$B$469,0)</f>
        <v/>
      </c>
      <c r="J565">
        <f>IF($B$469&gt;0,G565-D565*$D$469/$B$469,0)</f>
        <v/>
      </c>
      <c r="K565">
        <f>$H$469*I565-H565^2</f>
        <v/>
      </c>
      <c r="L565">
        <f>IF(ABS(K565)&gt;1E-12,($H$469*J565-H565*$I$469)/K565,0)</f>
        <v/>
      </c>
      <c r="M565">
        <f>IF(ABS(K565)&gt;1E-12,(I565*$I$469-H565*J565)/K565,0)</f>
        <v/>
      </c>
      <c r="N565">
        <f>$J$469-M565*$I$469-L565*J565</f>
        <v/>
      </c>
      <c r="O565">
        <f>IF(AND(C565,ABS(K565)&gt;1E-12,L565&gt;0),N565,1E+300)</f>
        <v/>
      </c>
    </row>
    <row r="566">
      <c r="A566">
        <f>$K$469+($L$469-$K$469)*94/400</f>
        <v/>
      </c>
      <c r="B566">
        <f>SUMPRODUCT((Calc!$F$3:$F$22&gt;=LTP!$E$5)*(Calc!$F$3:$F$22&lt;=k_n)*(Calc!$G$3:$G$22&lt;=A566))</f>
        <v/>
      </c>
      <c r="C566">
        <f>AND(B566&gt;=2,$B$469-B566&gt;=2)</f>
        <v/>
      </c>
      <c r="D566">
        <f>SUMPRODUCT((Calc!$F$3:$F$22&gt;=LTP!$E$5)*(Calc!$F$3:$F$22&lt;=k_n)*(Calc!$G$3:$G$22&gt;A566)*(Calc!$G$3:$G$22-A566))</f>
        <v/>
      </c>
      <c r="E566">
        <f>SUMPRODUCT((Calc!$F$3:$F$22&gt;=LTP!$E$5)*(Calc!$F$3:$F$22&lt;=k_n)*(Calc!$G$3:$G$22&gt;A566)*(Calc!$G$3:$G$22-A566)^2)</f>
        <v/>
      </c>
      <c r="F566">
        <f>SUMPRODUCT((Calc!$F$3:$F$22&gt;=LTP!$E$5)*(Calc!$F$3:$F$22&lt;=k_n)*(Calc!$G$3:$G$22&gt;A566)*(Calc!$G$3:$G$22-A566)*Calc!$G$3:$G$22)</f>
        <v/>
      </c>
      <c r="G566">
        <f>SUMPRODUCT((Calc!$F$3:$F$22&gt;=LTP!$E$5)*(Calc!$F$3:$F$22&lt;=k_n)*(Calc!$G$3:$G$22&gt;A566)*(Calc!$G$3:$G$22-A566)*Calc!$I$3:$I$22)</f>
        <v/>
      </c>
      <c r="H566">
        <f>IF($B$469&gt;0,F566-$C$469*D566/$B$469,0)</f>
        <v/>
      </c>
      <c r="I566">
        <f>IF($B$469&gt;0,E566-D566^2/$B$469,0)</f>
        <v/>
      </c>
      <c r="J566">
        <f>IF($B$469&gt;0,G566-D566*$D$469/$B$469,0)</f>
        <v/>
      </c>
      <c r="K566">
        <f>$H$469*I566-H566^2</f>
        <v/>
      </c>
      <c r="L566">
        <f>IF(ABS(K566)&gt;1E-12,($H$469*J566-H566*$I$469)/K566,0)</f>
        <v/>
      </c>
      <c r="M566">
        <f>IF(ABS(K566)&gt;1E-12,(I566*$I$469-H566*J566)/K566,0)</f>
        <v/>
      </c>
      <c r="N566">
        <f>$J$469-M566*$I$469-L566*J566</f>
        <v/>
      </c>
      <c r="O566">
        <f>IF(AND(C566,ABS(K566)&gt;1E-12,L566&gt;0),N566,1E+300)</f>
        <v/>
      </c>
    </row>
    <row r="567">
      <c r="A567">
        <f>$K$469+($L$469-$K$469)*95/400</f>
        <v/>
      </c>
      <c r="B567">
        <f>SUMPRODUCT((Calc!$F$3:$F$22&gt;=LTP!$E$5)*(Calc!$F$3:$F$22&lt;=k_n)*(Calc!$G$3:$G$22&lt;=A567))</f>
        <v/>
      </c>
      <c r="C567">
        <f>AND(B567&gt;=2,$B$469-B567&gt;=2)</f>
        <v/>
      </c>
      <c r="D567">
        <f>SUMPRODUCT((Calc!$F$3:$F$22&gt;=LTP!$E$5)*(Calc!$F$3:$F$22&lt;=k_n)*(Calc!$G$3:$G$22&gt;A567)*(Calc!$G$3:$G$22-A567))</f>
        <v/>
      </c>
      <c r="E567">
        <f>SUMPRODUCT((Calc!$F$3:$F$22&gt;=LTP!$E$5)*(Calc!$F$3:$F$22&lt;=k_n)*(Calc!$G$3:$G$22&gt;A567)*(Calc!$G$3:$G$22-A567)^2)</f>
        <v/>
      </c>
      <c r="F567">
        <f>SUMPRODUCT((Calc!$F$3:$F$22&gt;=LTP!$E$5)*(Calc!$F$3:$F$22&lt;=k_n)*(Calc!$G$3:$G$22&gt;A567)*(Calc!$G$3:$G$22-A567)*Calc!$G$3:$G$22)</f>
        <v/>
      </c>
      <c r="G567">
        <f>SUMPRODUCT((Calc!$F$3:$F$22&gt;=LTP!$E$5)*(Calc!$F$3:$F$22&lt;=k_n)*(Calc!$G$3:$G$22&gt;A567)*(Calc!$G$3:$G$22-A567)*Calc!$I$3:$I$22)</f>
        <v/>
      </c>
      <c r="H567">
        <f>IF($B$469&gt;0,F567-$C$469*D567/$B$469,0)</f>
        <v/>
      </c>
      <c r="I567">
        <f>IF($B$469&gt;0,E567-D567^2/$B$469,0)</f>
        <v/>
      </c>
      <c r="J567">
        <f>IF($B$469&gt;0,G567-D567*$D$469/$B$469,0)</f>
        <v/>
      </c>
      <c r="K567">
        <f>$H$469*I567-H567^2</f>
        <v/>
      </c>
      <c r="L567">
        <f>IF(ABS(K567)&gt;1E-12,($H$469*J567-H567*$I$469)/K567,0)</f>
        <v/>
      </c>
      <c r="M567">
        <f>IF(ABS(K567)&gt;1E-12,(I567*$I$469-H567*J567)/K567,0)</f>
        <v/>
      </c>
      <c r="N567">
        <f>$J$469-M567*$I$469-L567*J567</f>
        <v/>
      </c>
      <c r="O567">
        <f>IF(AND(C567,ABS(K567)&gt;1E-12,L567&gt;0),N567,1E+300)</f>
        <v/>
      </c>
    </row>
    <row r="568">
      <c r="A568">
        <f>$K$469+($L$469-$K$469)*96/400</f>
        <v/>
      </c>
      <c r="B568">
        <f>SUMPRODUCT((Calc!$F$3:$F$22&gt;=LTP!$E$5)*(Calc!$F$3:$F$22&lt;=k_n)*(Calc!$G$3:$G$22&lt;=A568))</f>
        <v/>
      </c>
      <c r="C568">
        <f>AND(B568&gt;=2,$B$469-B568&gt;=2)</f>
        <v/>
      </c>
      <c r="D568">
        <f>SUMPRODUCT((Calc!$F$3:$F$22&gt;=LTP!$E$5)*(Calc!$F$3:$F$22&lt;=k_n)*(Calc!$G$3:$G$22&gt;A568)*(Calc!$G$3:$G$22-A568))</f>
        <v/>
      </c>
      <c r="E568">
        <f>SUMPRODUCT((Calc!$F$3:$F$22&gt;=LTP!$E$5)*(Calc!$F$3:$F$22&lt;=k_n)*(Calc!$G$3:$G$22&gt;A568)*(Calc!$G$3:$G$22-A568)^2)</f>
        <v/>
      </c>
      <c r="F568">
        <f>SUMPRODUCT((Calc!$F$3:$F$22&gt;=LTP!$E$5)*(Calc!$F$3:$F$22&lt;=k_n)*(Calc!$G$3:$G$22&gt;A568)*(Calc!$G$3:$G$22-A568)*Calc!$G$3:$G$22)</f>
        <v/>
      </c>
      <c r="G568">
        <f>SUMPRODUCT((Calc!$F$3:$F$22&gt;=LTP!$E$5)*(Calc!$F$3:$F$22&lt;=k_n)*(Calc!$G$3:$G$22&gt;A568)*(Calc!$G$3:$G$22-A568)*Calc!$I$3:$I$22)</f>
        <v/>
      </c>
      <c r="H568">
        <f>IF($B$469&gt;0,F568-$C$469*D568/$B$469,0)</f>
        <v/>
      </c>
      <c r="I568">
        <f>IF($B$469&gt;0,E568-D568^2/$B$469,0)</f>
        <v/>
      </c>
      <c r="J568">
        <f>IF($B$469&gt;0,G568-D568*$D$469/$B$469,0)</f>
        <v/>
      </c>
      <c r="K568">
        <f>$H$469*I568-H568^2</f>
        <v/>
      </c>
      <c r="L568">
        <f>IF(ABS(K568)&gt;1E-12,($H$469*J568-H568*$I$469)/K568,0)</f>
        <v/>
      </c>
      <c r="M568">
        <f>IF(ABS(K568)&gt;1E-12,(I568*$I$469-H568*J568)/K568,0)</f>
        <v/>
      </c>
      <c r="N568">
        <f>$J$469-M568*$I$469-L568*J568</f>
        <v/>
      </c>
      <c r="O568">
        <f>IF(AND(C568,ABS(K568)&gt;1E-12,L568&gt;0),N568,1E+300)</f>
        <v/>
      </c>
    </row>
    <row r="569">
      <c r="A569">
        <f>$K$469+($L$469-$K$469)*97/400</f>
        <v/>
      </c>
      <c r="B569">
        <f>SUMPRODUCT((Calc!$F$3:$F$22&gt;=LTP!$E$5)*(Calc!$F$3:$F$22&lt;=k_n)*(Calc!$G$3:$G$22&lt;=A569))</f>
        <v/>
      </c>
      <c r="C569">
        <f>AND(B569&gt;=2,$B$469-B569&gt;=2)</f>
        <v/>
      </c>
      <c r="D569">
        <f>SUMPRODUCT((Calc!$F$3:$F$22&gt;=LTP!$E$5)*(Calc!$F$3:$F$22&lt;=k_n)*(Calc!$G$3:$G$22&gt;A569)*(Calc!$G$3:$G$22-A569))</f>
        <v/>
      </c>
      <c r="E569">
        <f>SUMPRODUCT((Calc!$F$3:$F$22&gt;=LTP!$E$5)*(Calc!$F$3:$F$22&lt;=k_n)*(Calc!$G$3:$G$22&gt;A569)*(Calc!$G$3:$G$22-A569)^2)</f>
        <v/>
      </c>
      <c r="F569">
        <f>SUMPRODUCT((Calc!$F$3:$F$22&gt;=LTP!$E$5)*(Calc!$F$3:$F$22&lt;=k_n)*(Calc!$G$3:$G$22&gt;A569)*(Calc!$G$3:$G$22-A569)*Calc!$G$3:$G$22)</f>
        <v/>
      </c>
      <c r="G569">
        <f>SUMPRODUCT((Calc!$F$3:$F$22&gt;=LTP!$E$5)*(Calc!$F$3:$F$22&lt;=k_n)*(Calc!$G$3:$G$22&gt;A569)*(Calc!$G$3:$G$22-A569)*Calc!$I$3:$I$22)</f>
        <v/>
      </c>
      <c r="H569">
        <f>IF($B$469&gt;0,F569-$C$469*D569/$B$469,0)</f>
        <v/>
      </c>
      <c r="I569">
        <f>IF($B$469&gt;0,E569-D569^2/$B$469,0)</f>
        <v/>
      </c>
      <c r="J569">
        <f>IF($B$469&gt;0,G569-D569*$D$469/$B$469,0)</f>
        <v/>
      </c>
      <c r="K569">
        <f>$H$469*I569-H569^2</f>
        <v/>
      </c>
      <c r="L569">
        <f>IF(ABS(K569)&gt;1E-12,($H$469*J569-H569*$I$469)/K569,0)</f>
        <v/>
      </c>
      <c r="M569">
        <f>IF(ABS(K569)&gt;1E-12,(I569*$I$469-H569*J569)/K569,0)</f>
        <v/>
      </c>
      <c r="N569">
        <f>$J$469-M569*$I$469-L569*J569</f>
        <v/>
      </c>
      <c r="O569">
        <f>IF(AND(C569,ABS(K569)&gt;1E-12,L569&gt;0),N569,1E+300)</f>
        <v/>
      </c>
    </row>
    <row r="570">
      <c r="A570">
        <f>$K$469+($L$469-$K$469)*98/400</f>
        <v/>
      </c>
      <c r="B570">
        <f>SUMPRODUCT((Calc!$F$3:$F$22&gt;=LTP!$E$5)*(Calc!$F$3:$F$22&lt;=k_n)*(Calc!$G$3:$G$22&lt;=A570))</f>
        <v/>
      </c>
      <c r="C570">
        <f>AND(B570&gt;=2,$B$469-B570&gt;=2)</f>
        <v/>
      </c>
      <c r="D570">
        <f>SUMPRODUCT((Calc!$F$3:$F$22&gt;=LTP!$E$5)*(Calc!$F$3:$F$22&lt;=k_n)*(Calc!$G$3:$G$22&gt;A570)*(Calc!$G$3:$G$22-A570))</f>
        <v/>
      </c>
      <c r="E570">
        <f>SUMPRODUCT((Calc!$F$3:$F$22&gt;=LTP!$E$5)*(Calc!$F$3:$F$22&lt;=k_n)*(Calc!$G$3:$G$22&gt;A570)*(Calc!$G$3:$G$22-A570)^2)</f>
        <v/>
      </c>
      <c r="F570">
        <f>SUMPRODUCT((Calc!$F$3:$F$22&gt;=LTP!$E$5)*(Calc!$F$3:$F$22&lt;=k_n)*(Calc!$G$3:$G$22&gt;A570)*(Calc!$G$3:$G$22-A570)*Calc!$G$3:$G$22)</f>
        <v/>
      </c>
      <c r="G570">
        <f>SUMPRODUCT((Calc!$F$3:$F$22&gt;=LTP!$E$5)*(Calc!$F$3:$F$22&lt;=k_n)*(Calc!$G$3:$G$22&gt;A570)*(Calc!$G$3:$G$22-A570)*Calc!$I$3:$I$22)</f>
        <v/>
      </c>
      <c r="H570">
        <f>IF($B$469&gt;0,F570-$C$469*D570/$B$469,0)</f>
        <v/>
      </c>
      <c r="I570">
        <f>IF($B$469&gt;0,E570-D570^2/$B$469,0)</f>
        <v/>
      </c>
      <c r="J570">
        <f>IF($B$469&gt;0,G570-D570*$D$469/$B$469,0)</f>
        <v/>
      </c>
      <c r="K570">
        <f>$H$469*I570-H570^2</f>
        <v/>
      </c>
      <c r="L570">
        <f>IF(ABS(K570)&gt;1E-12,($H$469*J570-H570*$I$469)/K570,0)</f>
        <v/>
      </c>
      <c r="M570">
        <f>IF(ABS(K570)&gt;1E-12,(I570*$I$469-H570*J570)/K570,0)</f>
        <v/>
      </c>
      <c r="N570">
        <f>$J$469-M570*$I$469-L570*J570</f>
        <v/>
      </c>
      <c r="O570">
        <f>IF(AND(C570,ABS(K570)&gt;1E-12,L570&gt;0),N570,1E+300)</f>
        <v/>
      </c>
    </row>
    <row r="571">
      <c r="A571">
        <f>$K$469+($L$469-$K$469)*99/400</f>
        <v/>
      </c>
      <c r="B571">
        <f>SUMPRODUCT((Calc!$F$3:$F$22&gt;=LTP!$E$5)*(Calc!$F$3:$F$22&lt;=k_n)*(Calc!$G$3:$G$22&lt;=A571))</f>
        <v/>
      </c>
      <c r="C571">
        <f>AND(B571&gt;=2,$B$469-B571&gt;=2)</f>
        <v/>
      </c>
      <c r="D571">
        <f>SUMPRODUCT((Calc!$F$3:$F$22&gt;=LTP!$E$5)*(Calc!$F$3:$F$22&lt;=k_n)*(Calc!$G$3:$G$22&gt;A571)*(Calc!$G$3:$G$22-A571))</f>
        <v/>
      </c>
      <c r="E571">
        <f>SUMPRODUCT((Calc!$F$3:$F$22&gt;=LTP!$E$5)*(Calc!$F$3:$F$22&lt;=k_n)*(Calc!$G$3:$G$22&gt;A571)*(Calc!$G$3:$G$22-A571)^2)</f>
        <v/>
      </c>
      <c r="F571">
        <f>SUMPRODUCT((Calc!$F$3:$F$22&gt;=LTP!$E$5)*(Calc!$F$3:$F$22&lt;=k_n)*(Calc!$G$3:$G$22&gt;A571)*(Calc!$G$3:$G$22-A571)*Calc!$G$3:$G$22)</f>
        <v/>
      </c>
      <c r="G571">
        <f>SUMPRODUCT((Calc!$F$3:$F$22&gt;=LTP!$E$5)*(Calc!$F$3:$F$22&lt;=k_n)*(Calc!$G$3:$G$22&gt;A571)*(Calc!$G$3:$G$22-A571)*Calc!$I$3:$I$22)</f>
        <v/>
      </c>
      <c r="H571">
        <f>IF($B$469&gt;0,F571-$C$469*D571/$B$469,0)</f>
        <v/>
      </c>
      <c r="I571">
        <f>IF($B$469&gt;0,E571-D571^2/$B$469,0)</f>
        <v/>
      </c>
      <c r="J571">
        <f>IF($B$469&gt;0,G571-D571*$D$469/$B$469,0)</f>
        <v/>
      </c>
      <c r="K571">
        <f>$H$469*I571-H571^2</f>
        <v/>
      </c>
      <c r="L571">
        <f>IF(ABS(K571)&gt;1E-12,($H$469*J571-H571*$I$469)/K571,0)</f>
        <v/>
      </c>
      <c r="M571">
        <f>IF(ABS(K571)&gt;1E-12,(I571*$I$469-H571*J571)/K571,0)</f>
        <v/>
      </c>
      <c r="N571">
        <f>$J$469-M571*$I$469-L571*J571</f>
        <v/>
      </c>
      <c r="O571">
        <f>IF(AND(C571,ABS(K571)&gt;1E-12,L571&gt;0),N571,1E+300)</f>
        <v/>
      </c>
    </row>
    <row r="572">
      <c r="A572">
        <f>$K$469+($L$469-$K$469)*100/400</f>
        <v/>
      </c>
      <c r="B572">
        <f>SUMPRODUCT((Calc!$F$3:$F$22&gt;=LTP!$E$5)*(Calc!$F$3:$F$22&lt;=k_n)*(Calc!$G$3:$G$22&lt;=A572))</f>
        <v/>
      </c>
      <c r="C572">
        <f>AND(B572&gt;=2,$B$469-B572&gt;=2)</f>
        <v/>
      </c>
      <c r="D572">
        <f>SUMPRODUCT((Calc!$F$3:$F$22&gt;=LTP!$E$5)*(Calc!$F$3:$F$22&lt;=k_n)*(Calc!$G$3:$G$22&gt;A572)*(Calc!$G$3:$G$22-A572))</f>
        <v/>
      </c>
      <c r="E572">
        <f>SUMPRODUCT((Calc!$F$3:$F$22&gt;=LTP!$E$5)*(Calc!$F$3:$F$22&lt;=k_n)*(Calc!$G$3:$G$22&gt;A572)*(Calc!$G$3:$G$22-A572)^2)</f>
        <v/>
      </c>
      <c r="F572">
        <f>SUMPRODUCT((Calc!$F$3:$F$22&gt;=LTP!$E$5)*(Calc!$F$3:$F$22&lt;=k_n)*(Calc!$G$3:$G$22&gt;A572)*(Calc!$G$3:$G$22-A572)*Calc!$G$3:$G$22)</f>
        <v/>
      </c>
      <c r="G572">
        <f>SUMPRODUCT((Calc!$F$3:$F$22&gt;=LTP!$E$5)*(Calc!$F$3:$F$22&lt;=k_n)*(Calc!$G$3:$G$22&gt;A572)*(Calc!$G$3:$G$22-A572)*Calc!$I$3:$I$22)</f>
        <v/>
      </c>
      <c r="H572">
        <f>IF($B$469&gt;0,F572-$C$469*D572/$B$469,0)</f>
        <v/>
      </c>
      <c r="I572">
        <f>IF($B$469&gt;0,E572-D572^2/$B$469,0)</f>
        <v/>
      </c>
      <c r="J572">
        <f>IF($B$469&gt;0,G572-D572*$D$469/$B$469,0)</f>
        <v/>
      </c>
      <c r="K572">
        <f>$H$469*I572-H572^2</f>
        <v/>
      </c>
      <c r="L572">
        <f>IF(ABS(K572)&gt;1E-12,($H$469*J572-H572*$I$469)/K572,0)</f>
        <v/>
      </c>
      <c r="M572">
        <f>IF(ABS(K572)&gt;1E-12,(I572*$I$469-H572*J572)/K572,0)</f>
        <v/>
      </c>
      <c r="N572">
        <f>$J$469-M572*$I$469-L572*J572</f>
        <v/>
      </c>
      <c r="O572">
        <f>IF(AND(C572,ABS(K572)&gt;1E-12,L572&gt;0),N572,1E+300)</f>
        <v/>
      </c>
    </row>
    <row r="573">
      <c r="A573">
        <f>$K$469+($L$469-$K$469)*101/400</f>
        <v/>
      </c>
      <c r="B573">
        <f>SUMPRODUCT((Calc!$F$3:$F$22&gt;=LTP!$E$5)*(Calc!$F$3:$F$22&lt;=k_n)*(Calc!$G$3:$G$22&lt;=A573))</f>
        <v/>
      </c>
      <c r="C573">
        <f>AND(B573&gt;=2,$B$469-B573&gt;=2)</f>
        <v/>
      </c>
      <c r="D573">
        <f>SUMPRODUCT((Calc!$F$3:$F$22&gt;=LTP!$E$5)*(Calc!$F$3:$F$22&lt;=k_n)*(Calc!$G$3:$G$22&gt;A573)*(Calc!$G$3:$G$22-A573))</f>
        <v/>
      </c>
      <c r="E573">
        <f>SUMPRODUCT((Calc!$F$3:$F$22&gt;=LTP!$E$5)*(Calc!$F$3:$F$22&lt;=k_n)*(Calc!$G$3:$G$22&gt;A573)*(Calc!$G$3:$G$22-A573)^2)</f>
        <v/>
      </c>
      <c r="F573">
        <f>SUMPRODUCT((Calc!$F$3:$F$22&gt;=LTP!$E$5)*(Calc!$F$3:$F$22&lt;=k_n)*(Calc!$G$3:$G$22&gt;A573)*(Calc!$G$3:$G$22-A573)*Calc!$G$3:$G$22)</f>
        <v/>
      </c>
      <c r="G573">
        <f>SUMPRODUCT((Calc!$F$3:$F$22&gt;=LTP!$E$5)*(Calc!$F$3:$F$22&lt;=k_n)*(Calc!$G$3:$G$22&gt;A573)*(Calc!$G$3:$G$22-A573)*Calc!$I$3:$I$22)</f>
        <v/>
      </c>
      <c r="H573">
        <f>IF($B$469&gt;0,F573-$C$469*D573/$B$469,0)</f>
        <v/>
      </c>
      <c r="I573">
        <f>IF($B$469&gt;0,E573-D573^2/$B$469,0)</f>
        <v/>
      </c>
      <c r="J573">
        <f>IF($B$469&gt;0,G573-D573*$D$469/$B$469,0)</f>
        <v/>
      </c>
      <c r="K573">
        <f>$H$469*I573-H573^2</f>
        <v/>
      </c>
      <c r="L573">
        <f>IF(ABS(K573)&gt;1E-12,($H$469*J573-H573*$I$469)/K573,0)</f>
        <v/>
      </c>
      <c r="M573">
        <f>IF(ABS(K573)&gt;1E-12,(I573*$I$469-H573*J573)/K573,0)</f>
        <v/>
      </c>
      <c r="N573">
        <f>$J$469-M573*$I$469-L573*J573</f>
        <v/>
      </c>
      <c r="O573">
        <f>IF(AND(C573,ABS(K573)&gt;1E-12,L573&gt;0),N573,1E+300)</f>
        <v/>
      </c>
    </row>
    <row r="574">
      <c r="A574">
        <f>$K$469+($L$469-$K$469)*102/400</f>
        <v/>
      </c>
      <c r="B574">
        <f>SUMPRODUCT((Calc!$F$3:$F$22&gt;=LTP!$E$5)*(Calc!$F$3:$F$22&lt;=k_n)*(Calc!$G$3:$G$22&lt;=A574))</f>
        <v/>
      </c>
      <c r="C574">
        <f>AND(B574&gt;=2,$B$469-B574&gt;=2)</f>
        <v/>
      </c>
      <c r="D574">
        <f>SUMPRODUCT((Calc!$F$3:$F$22&gt;=LTP!$E$5)*(Calc!$F$3:$F$22&lt;=k_n)*(Calc!$G$3:$G$22&gt;A574)*(Calc!$G$3:$G$22-A574))</f>
        <v/>
      </c>
      <c r="E574">
        <f>SUMPRODUCT((Calc!$F$3:$F$22&gt;=LTP!$E$5)*(Calc!$F$3:$F$22&lt;=k_n)*(Calc!$G$3:$G$22&gt;A574)*(Calc!$G$3:$G$22-A574)^2)</f>
        <v/>
      </c>
      <c r="F574">
        <f>SUMPRODUCT((Calc!$F$3:$F$22&gt;=LTP!$E$5)*(Calc!$F$3:$F$22&lt;=k_n)*(Calc!$G$3:$G$22&gt;A574)*(Calc!$G$3:$G$22-A574)*Calc!$G$3:$G$22)</f>
        <v/>
      </c>
      <c r="G574">
        <f>SUMPRODUCT((Calc!$F$3:$F$22&gt;=LTP!$E$5)*(Calc!$F$3:$F$22&lt;=k_n)*(Calc!$G$3:$G$22&gt;A574)*(Calc!$G$3:$G$22-A574)*Calc!$I$3:$I$22)</f>
        <v/>
      </c>
      <c r="H574">
        <f>IF($B$469&gt;0,F574-$C$469*D574/$B$469,0)</f>
        <v/>
      </c>
      <c r="I574">
        <f>IF($B$469&gt;0,E574-D574^2/$B$469,0)</f>
        <v/>
      </c>
      <c r="J574">
        <f>IF($B$469&gt;0,G574-D574*$D$469/$B$469,0)</f>
        <v/>
      </c>
      <c r="K574">
        <f>$H$469*I574-H574^2</f>
        <v/>
      </c>
      <c r="L574">
        <f>IF(ABS(K574)&gt;1E-12,($H$469*J574-H574*$I$469)/K574,0)</f>
        <v/>
      </c>
      <c r="M574">
        <f>IF(ABS(K574)&gt;1E-12,(I574*$I$469-H574*J574)/K574,0)</f>
        <v/>
      </c>
      <c r="N574">
        <f>$J$469-M574*$I$469-L574*J574</f>
        <v/>
      </c>
      <c r="O574">
        <f>IF(AND(C574,ABS(K574)&gt;1E-12,L574&gt;0),N574,1E+300)</f>
        <v/>
      </c>
    </row>
    <row r="575">
      <c r="A575">
        <f>$K$469+($L$469-$K$469)*103/400</f>
        <v/>
      </c>
      <c r="B575">
        <f>SUMPRODUCT((Calc!$F$3:$F$22&gt;=LTP!$E$5)*(Calc!$F$3:$F$22&lt;=k_n)*(Calc!$G$3:$G$22&lt;=A575))</f>
        <v/>
      </c>
      <c r="C575">
        <f>AND(B575&gt;=2,$B$469-B575&gt;=2)</f>
        <v/>
      </c>
      <c r="D575">
        <f>SUMPRODUCT((Calc!$F$3:$F$22&gt;=LTP!$E$5)*(Calc!$F$3:$F$22&lt;=k_n)*(Calc!$G$3:$G$22&gt;A575)*(Calc!$G$3:$G$22-A575))</f>
        <v/>
      </c>
      <c r="E575">
        <f>SUMPRODUCT((Calc!$F$3:$F$22&gt;=LTP!$E$5)*(Calc!$F$3:$F$22&lt;=k_n)*(Calc!$G$3:$G$22&gt;A575)*(Calc!$G$3:$G$22-A575)^2)</f>
        <v/>
      </c>
      <c r="F575">
        <f>SUMPRODUCT((Calc!$F$3:$F$22&gt;=LTP!$E$5)*(Calc!$F$3:$F$22&lt;=k_n)*(Calc!$G$3:$G$22&gt;A575)*(Calc!$G$3:$G$22-A575)*Calc!$G$3:$G$22)</f>
        <v/>
      </c>
      <c r="G575">
        <f>SUMPRODUCT((Calc!$F$3:$F$22&gt;=LTP!$E$5)*(Calc!$F$3:$F$22&lt;=k_n)*(Calc!$G$3:$G$22&gt;A575)*(Calc!$G$3:$G$22-A575)*Calc!$I$3:$I$22)</f>
        <v/>
      </c>
      <c r="H575">
        <f>IF($B$469&gt;0,F575-$C$469*D575/$B$469,0)</f>
        <v/>
      </c>
      <c r="I575">
        <f>IF($B$469&gt;0,E575-D575^2/$B$469,0)</f>
        <v/>
      </c>
      <c r="J575">
        <f>IF($B$469&gt;0,G575-D575*$D$469/$B$469,0)</f>
        <v/>
      </c>
      <c r="K575">
        <f>$H$469*I575-H575^2</f>
        <v/>
      </c>
      <c r="L575">
        <f>IF(ABS(K575)&gt;1E-12,($H$469*J575-H575*$I$469)/K575,0)</f>
        <v/>
      </c>
      <c r="M575">
        <f>IF(ABS(K575)&gt;1E-12,(I575*$I$469-H575*J575)/K575,0)</f>
        <v/>
      </c>
      <c r="N575">
        <f>$J$469-M575*$I$469-L575*J575</f>
        <v/>
      </c>
      <c r="O575">
        <f>IF(AND(C575,ABS(K575)&gt;1E-12,L575&gt;0),N575,1E+300)</f>
        <v/>
      </c>
    </row>
    <row r="576">
      <c r="A576">
        <f>$K$469+($L$469-$K$469)*104/400</f>
        <v/>
      </c>
      <c r="B576">
        <f>SUMPRODUCT((Calc!$F$3:$F$22&gt;=LTP!$E$5)*(Calc!$F$3:$F$22&lt;=k_n)*(Calc!$G$3:$G$22&lt;=A576))</f>
        <v/>
      </c>
      <c r="C576">
        <f>AND(B576&gt;=2,$B$469-B576&gt;=2)</f>
        <v/>
      </c>
      <c r="D576">
        <f>SUMPRODUCT((Calc!$F$3:$F$22&gt;=LTP!$E$5)*(Calc!$F$3:$F$22&lt;=k_n)*(Calc!$G$3:$G$22&gt;A576)*(Calc!$G$3:$G$22-A576))</f>
        <v/>
      </c>
      <c r="E576">
        <f>SUMPRODUCT((Calc!$F$3:$F$22&gt;=LTP!$E$5)*(Calc!$F$3:$F$22&lt;=k_n)*(Calc!$G$3:$G$22&gt;A576)*(Calc!$G$3:$G$22-A576)^2)</f>
        <v/>
      </c>
      <c r="F576">
        <f>SUMPRODUCT((Calc!$F$3:$F$22&gt;=LTP!$E$5)*(Calc!$F$3:$F$22&lt;=k_n)*(Calc!$G$3:$G$22&gt;A576)*(Calc!$G$3:$G$22-A576)*Calc!$G$3:$G$22)</f>
        <v/>
      </c>
      <c r="G576">
        <f>SUMPRODUCT((Calc!$F$3:$F$22&gt;=LTP!$E$5)*(Calc!$F$3:$F$22&lt;=k_n)*(Calc!$G$3:$G$22&gt;A576)*(Calc!$G$3:$G$22-A576)*Calc!$I$3:$I$22)</f>
        <v/>
      </c>
      <c r="H576">
        <f>IF($B$469&gt;0,F576-$C$469*D576/$B$469,0)</f>
        <v/>
      </c>
      <c r="I576">
        <f>IF($B$469&gt;0,E576-D576^2/$B$469,0)</f>
        <v/>
      </c>
      <c r="J576">
        <f>IF($B$469&gt;0,G576-D576*$D$469/$B$469,0)</f>
        <v/>
      </c>
      <c r="K576">
        <f>$H$469*I576-H576^2</f>
        <v/>
      </c>
      <c r="L576">
        <f>IF(ABS(K576)&gt;1E-12,($H$469*J576-H576*$I$469)/K576,0)</f>
        <v/>
      </c>
      <c r="M576">
        <f>IF(ABS(K576)&gt;1E-12,(I576*$I$469-H576*J576)/K576,0)</f>
        <v/>
      </c>
      <c r="N576">
        <f>$J$469-M576*$I$469-L576*J576</f>
        <v/>
      </c>
      <c r="O576">
        <f>IF(AND(C576,ABS(K576)&gt;1E-12,L576&gt;0),N576,1E+300)</f>
        <v/>
      </c>
    </row>
    <row r="577">
      <c r="A577">
        <f>$K$469+($L$469-$K$469)*105/400</f>
        <v/>
      </c>
      <c r="B577">
        <f>SUMPRODUCT((Calc!$F$3:$F$22&gt;=LTP!$E$5)*(Calc!$F$3:$F$22&lt;=k_n)*(Calc!$G$3:$G$22&lt;=A577))</f>
        <v/>
      </c>
      <c r="C577">
        <f>AND(B577&gt;=2,$B$469-B577&gt;=2)</f>
        <v/>
      </c>
      <c r="D577">
        <f>SUMPRODUCT((Calc!$F$3:$F$22&gt;=LTP!$E$5)*(Calc!$F$3:$F$22&lt;=k_n)*(Calc!$G$3:$G$22&gt;A577)*(Calc!$G$3:$G$22-A577))</f>
        <v/>
      </c>
      <c r="E577">
        <f>SUMPRODUCT((Calc!$F$3:$F$22&gt;=LTP!$E$5)*(Calc!$F$3:$F$22&lt;=k_n)*(Calc!$G$3:$G$22&gt;A577)*(Calc!$G$3:$G$22-A577)^2)</f>
        <v/>
      </c>
      <c r="F577">
        <f>SUMPRODUCT((Calc!$F$3:$F$22&gt;=LTP!$E$5)*(Calc!$F$3:$F$22&lt;=k_n)*(Calc!$G$3:$G$22&gt;A577)*(Calc!$G$3:$G$22-A577)*Calc!$G$3:$G$22)</f>
        <v/>
      </c>
      <c r="G577">
        <f>SUMPRODUCT((Calc!$F$3:$F$22&gt;=LTP!$E$5)*(Calc!$F$3:$F$22&lt;=k_n)*(Calc!$G$3:$G$22&gt;A577)*(Calc!$G$3:$G$22-A577)*Calc!$I$3:$I$22)</f>
        <v/>
      </c>
      <c r="H577">
        <f>IF($B$469&gt;0,F577-$C$469*D577/$B$469,0)</f>
        <v/>
      </c>
      <c r="I577">
        <f>IF($B$469&gt;0,E577-D577^2/$B$469,0)</f>
        <v/>
      </c>
      <c r="J577">
        <f>IF($B$469&gt;0,G577-D577*$D$469/$B$469,0)</f>
        <v/>
      </c>
      <c r="K577">
        <f>$H$469*I577-H577^2</f>
        <v/>
      </c>
      <c r="L577">
        <f>IF(ABS(K577)&gt;1E-12,($H$469*J577-H577*$I$469)/K577,0)</f>
        <v/>
      </c>
      <c r="M577">
        <f>IF(ABS(K577)&gt;1E-12,(I577*$I$469-H577*J577)/K577,0)</f>
        <v/>
      </c>
      <c r="N577">
        <f>$J$469-M577*$I$469-L577*J577</f>
        <v/>
      </c>
      <c r="O577">
        <f>IF(AND(C577,ABS(K577)&gt;1E-12,L577&gt;0),N577,1E+300)</f>
        <v/>
      </c>
    </row>
    <row r="578">
      <c r="A578">
        <f>$K$469+($L$469-$K$469)*106/400</f>
        <v/>
      </c>
      <c r="B578">
        <f>SUMPRODUCT((Calc!$F$3:$F$22&gt;=LTP!$E$5)*(Calc!$F$3:$F$22&lt;=k_n)*(Calc!$G$3:$G$22&lt;=A578))</f>
        <v/>
      </c>
      <c r="C578">
        <f>AND(B578&gt;=2,$B$469-B578&gt;=2)</f>
        <v/>
      </c>
      <c r="D578">
        <f>SUMPRODUCT((Calc!$F$3:$F$22&gt;=LTP!$E$5)*(Calc!$F$3:$F$22&lt;=k_n)*(Calc!$G$3:$G$22&gt;A578)*(Calc!$G$3:$G$22-A578))</f>
        <v/>
      </c>
      <c r="E578">
        <f>SUMPRODUCT((Calc!$F$3:$F$22&gt;=LTP!$E$5)*(Calc!$F$3:$F$22&lt;=k_n)*(Calc!$G$3:$G$22&gt;A578)*(Calc!$G$3:$G$22-A578)^2)</f>
        <v/>
      </c>
      <c r="F578">
        <f>SUMPRODUCT((Calc!$F$3:$F$22&gt;=LTP!$E$5)*(Calc!$F$3:$F$22&lt;=k_n)*(Calc!$G$3:$G$22&gt;A578)*(Calc!$G$3:$G$22-A578)*Calc!$G$3:$G$22)</f>
        <v/>
      </c>
      <c r="G578">
        <f>SUMPRODUCT((Calc!$F$3:$F$22&gt;=LTP!$E$5)*(Calc!$F$3:$F$22&lt;=k_n)*(Calc!$G$3:$G$22&gt;A578)*(Calc!$G$3:$G$22-A578)*Calc!$I$3:$I$22)</f>
        <v/>
      </c>
      <c r="H578">
        <f>IF($B$469&gt;0,F578-$C$469*D578/$B$469,0)</f>
        <v/>
      </c>
      <c r="I578">
        <f>IF($B$469&gt;0,E578-D578^2/$B$469,0)</f>
        <v/>
      </c>
      <c r="J578">
        <f>IF($B$469&gt;0,G578-D578*$D$469/$B$469,0)</f>
        <v/>
      </c>
      <c r="K578">
        <f>$H$469*I578-H578^2</f>
        <v/>
      </c>
      <c r="L578">
        <f>IF(ABS(K578)&gt;1E-12,($H$469*J578-H578*$I$469)/K578,0)</f>
        <v/>
      </c>
      <c r="M578">
        <f>IF(ABS(K578)&gt;1E-12,(I578*$I$469-H578*J578)/K578,0)</f>
        <v/>
      </c>
      <c r="N578">
        <f>$J$469-M578*$I$469-L578*J578</f>
        <v/>
      </c>
      <c r="O578">
        <f>IF(AND(C578,ABS(K578)&gt;1E-12,L578&gt;0),N578,1E+300)</f>
        <v/>
      </c>
    </row>
    <row r="579">
      <c r="A579">
        <f>$K$469+($L$469-$K$469)*107/400</f>
        <v/>
      </c>
      <c r="B579">
        <f>SUMPRODUCT((Calc!$F$3:$F$22&gt;=LTP!$E$5)*(Calc!$F$3:$F$22&lt;=k_n)*(Calc!$G$3:$G$22&lt;=A579))</f>
        <v/>
      </c>
      <c r="C579">
        <f>AND(B579&gt;=2,$B$469-B579&gt;=2)</f>
        <v/>
      </c>
      <c r="D579">
        <f>SUMPRODUCT((Calc!$F$3:$F$22&gt;=LTP!$E$5)*(Calc!$F$3:$F$22&lt;=k_n)*(Calc!$G$3:$G$22&gt;A579)*(Calc!$G$3:$G$22-A579))</f>
        <v/>
      </c>
      <c r="E579">
        <f>SUMPRODUCT((Calc!$F$3:$F$22&gt;=LTP!$E$5)*(Calc!$F$3:$F$22&lt;=k_n)*(Calc!$G$3:$G$22&gt;A579)*(Calc!$G$3:$G$22-A579)^2)</f>
        <v/>
      </c>
      <c r="F579">
        <f>SUMPRODUCT((Calc!$F$3:$F$22&gt;=LTP!$E$5)*(Calc!$F$3:$F$22&lt;=k_n)*(Calc!$G$3:$G$22&gt;A579)*(Calc!$G$3:$G$22-A579)*Calc!$G$3:$G$22)</f>
        <v/>
      </c>
      <c r="G579">
        <f>SUMPRODUCT((Calc!$F$3:$F$22&gt;=LTP!$E$5)*(Calc!$F$3:$F$22&lt;=k_n)*(Calc!$G$3:$G$22&gt;A579)*(Calc!$G$3:$G$22-A579)*Calc!$I$3:$I$22)</f>
        <v/>
      </c>
      <c r="H579">
        <f>IF($B$469&gt;0,F579-$C$469*D579/$B$469,0)</f>
        <v/>
      </c>
      <c r="I579">
        <f>IF($B$469&gt;0,E579-D579^2/$B$469,0)</f>
        <v/>
      </c>
      <c r="J579">
        <f>IF($B$469&gt;0,G579-D579*$D$469/$B$469,0)</f>
        <v/>
      </c>
      <c r="K579">
        <f>$H$469*I579-H579^2</f>
        <v/>
      </c>
      <c r="L579">
        <f>IF(ABS(K579)&gt;1E-12,($H$469*J579-H579*$I$469)/K579,0)</f>
        <v/>
      </c>
      <c r="M579">
        <f>IF(ABS(K579)&gt;1E-12,(I579*$I$469-H579*J579)/K579,0)</f>
        <v/>
      </c>
      <c r="N579">
        <f>$J$469-M579*$I$469-L579*J579</f>
        <v/>
      </c>
      <c r="O579">
        <f>IF(AND(C579,ABS(K579)&gt;1E-12,L579&gt;0),N579,1E+300)</f>
        <v/>
      </c>
    </row>
    <row r="580">
      <c r="A580">
        <f>$K$469+($L$469-$K$469)*108/400</f>
        <v/>
      </c>
      <c r="B580">
        <f>SUMPRODUCT((Calc!$F$3:$F$22&gt;=LTP!$E$5)*(Calc!$F$3:$F$22&lt;=k_n)*(Calc!$G$3:$G$22&lt;=A580))</f>
        <v/>
      </c>
      <c r="C580">
        <f>AND(B580&gt;=2,$B$469-B580&gt;=2)</f>
        <v/>
      </c>
      <c r="D580">
        <f>SUMPRODUCT((Calc!$F$3:$F$22&gt;=LTP!$E$5)*(Calc!$F$3:$F$22&lt;=k_n)*(Calc!$G$3:$G$22&gt;A580)*(Calc!$G$3:$G$22-A580))</f>
        <v/>
      </c>
      <c r="E580">
        <f>SUMPRODUCT((Calc!$F$3:$F$22&gt;=LTP!$E$5)*(Calc!$F$3:$F$22&lt;=k_n)*(Calc!$G$3:$G$22&gt;A580)*(Calc!$G$3:$G$22-A580)^2)</f>
        <v/>
      </c>
      <c r="F580">
        <f>SUMPRODUCT((Calc!$F$3:$F$22&gt;=LTP!$E$5)*(Calc!$F$3:$F$22&lt;=k_n)*(Calc!$G$3:$G$22&gt;A580)*(Calc!$G$3:$G$22-A580)*Calc!$G$3:$G$22)</f>
        <v/>
      </c>
      <c r="G580">
        <f>SUMPRODUCT((Calc!$F$3:$F$22&gt;=LTP!$E$5)*(Calc!$F$3:$F$22&lt;=k_n)*(Calc!$G$3:$G$22&gt;A580)*(Calc!$G$3:$G$22-A580)*Calc!$I$3:$I$22)</f>
        <v/>
      </c>
      <c r="H580">
        <f>IF($B$469&gt;0,F580-$C$469*D580/$B$469,0)</f>
        <v/>
      </c>
      <c r="I580">
        <f>IF($B$469&gt;0,E580-D580^2/$B$469,0)</f>
        <v/>
      </c>
      <c r="J580">
        <f>IF($B$469&gt;0,G580-D580*$D$469/$B$469,0)</f>
        <v/>
      </c>
      <c r="K580">
        <f>$H$469*I580-H580^2</f>
        <v/>
      </c>
      <c r="L580">
        <f>IF(ABS(K580)&gt;1E-12,($H$469*J580-H580*$I$469)/K580,0)</f>
        <v/>
      </c>
      <c r="M580">
        <f>IF(ABS(K580)&gt;1E-12,(I580*$I$469-H580*J580)/K580,0)</f>
        <v/>
      </c>
      <c r="N580">
        <f>$J$469-M580*$I$469-L580*J580</f>
        <v/>
      </c>
      <c r="O580">
        <f>IF(AND(C580,ABS(K580)&gt;1E-12,L580&gt;0),N580,1E+300)</f>
        <v/>
      </c>
    </row>
    <row r="581">
      <c r="A581">
        <f>$K$469+($L$469-$K$469)*109/400</f>
        <v/>
      </c>
      <c r="B581">
        <f>SUMPRODUCT((Calc!$F$3:$F$22&gt;=LTP!$E$5)*(Calc!$F$3:$F$22&lt;=k_n)*(Calc!$G$3:$G$22&lt;=A581))</f>
        <v/>
      </c>
      <c r="C581">
        <f>AND(B581&gt;=2,$B$469-B581&gt;=2)</f>
        <v/>
      </c>
      <c r="D581">
        <f>SUMPRODUCT((Calc!$F$3:$F$22&gt;=LTP!$E$5)*(Calc!$F$3:$F$22&lt;=k_n)*(Calc!$G$3:$G$22&gt;A581)*(Calc!$G$3:$G$22-A581))</f>
        <v/>
      </c>
      <c r="E581">
        <f>SUMPRODUCT((Calc!$F$3:$F$22&gt;=LTP!$E$5)*(Calc!$F$3:$F$22&lt;=k_n)*(Calc!$G$3:$G$22&gt;A581)*(Calc!$G$3:$G$22-A581)^2)</f>
        <v/>
      </c>
      <c r="F581">
        <f>SUMPRODUCT((Calc!$F$3:$F$22&gt;=LTP!$E$5)*(Calc!$F$3:$F$22&lt;=k_n)*(Calc!$G$3:$G$22&gt;A581)*(Calc!$G$3:$G$22-A581)*Calc!$G$3:$G$22)</f>
        <v/>
      </c>
      <c r="G581">
        <f>SUMPRODUCT((Calc!$F$3:$F$22&gt;=LTP!$E$5)*(Calc!$F$3:$F$22&lt;=k_n)*(Calc!$G$3:$G$22&gt;A581)*(Calc!$G$3:$G$22-A581)*Calc!$I$3:$I$22)</f>
        <v/>
      </c>
      <c r="H581">
        <f>IF($B$469&gt;0,F581-$C$469*D581/$B$469,0)</f>
        <v/>
      </c>
      <c r="I581">
        <f>IF($B$469&gt;0,E581-D581^2/$B$469,0)</f>
        <v/>
      </c>
      <c r="J581">
        <f>IF($B$469&gt;0,G581-D581*$D$469/$B$469,0)</f>
        <v/>
      </c>
      <c r="K581">
        <f>$H$469*I581-H581^2</f>
        <v/>
      </c>
      <c r="L581">
        <f>IF(ABS(K581)&gt;1E-12,($H$469*J581-H581*$I$469)/K581,0)</f>
        <v/>
      </c>
      <c r="M581">
        <f>IF(ABS(K581)&gt;1E-12,(I581*$I$469-H581*J581)/K581,0)</f>
        <v/>
      </c>
      <c r="N581">
        <f>$J$469-M581*$I$469-L581*J581</f>
        <v/>
      </c>
      <c r="O581">
        <f>IF(AND(C581,ABS(K581)&gt;1E-12,L581&gt;0),N581,1E+300)</f>
        <v/>
      </c>
    </row>
    <row r="582">
      <c r="A582">
        <f>$K$469+($L$469-$K$469)*110/400</f>
        <v/>
      </c>
      <c r="B582">
        <f>SUMPRODUCT((Calc!$F$3:$F$22&gt;=LTP!$E$5)*(Calc!$F$3:$F$22&lt;=k_n)*(Calc!$G$3:$G$22&lt;=A582))</f>
        <v/>
      </c>
      <c r="C582">
        <f>AND(B582&gt;=2,$B$469-B582&gt;=2)</f>
        <v/>
      </c>
      <c r="D582">
        <f>SUMPRODUCT((Calc!$F$3:$F$22&gt;=LTP!$E$5)*(Calc!$F$3:$F$22&lt;=k_n)*(Calc!$G$3:$G$22&gt;A582)*(Calc!$G$3:$G$22-A582))</f>
        <v/>
      </c>
      <c r="E582">
        <f>SUMPRODUCT((Calc!$F$3:$F$22&gt;=LTP!$E$5)*(Calc!$F$3:$F$22&lt;=k_n)*(Calc!$G$3:$G$22&gt;A582)*(Calc!$G$3:$G$22-A582)^2)</f>
        <v/>
      </c>
      <c r="F582">
        <f>SUMPRODUCT((Calc!$F$3:$F$22&gt;=LTP!$E$5)*(Calc!$F$3:$F$22&lt;=k_n)*(Calc!$G$3:$G$22&gt;A582)*(Calc!$G$3:$G$22-A582)*Calc!$G$3:$G$22)</f>
        <v/>
      </c>
      <c r="G582">
        <f>SUMPRODUCT((Calc!$F$3:$F$22&gt;=LTP!$E$5)*(Calc!$F$3:$F$22&lt;=k_n)*(Calc!$G$3:$G$22&gt;A582)*(Calc!$G$3:$G$22-A582)*Calc!$I$3:$I$22)</f>
        <v/>
      </c>
      <c r="H582">
        <f>IF($B$469&gt;0,F582-$C$469*D582/$B$469,0)</f>
        <v/>
      </c>
      <c r="I582">
        <f>IF($B$469&gt;0,E582-D582^2/$B$469,0)</f>
        <v/>
      </c>
      <c r="J582">
        <f>IF($B$469&gt;0,G582-D582*$D$469/$B$469,0)</f>
        <v/>
      </c>
      <c r="K582">
        <f>$H$469*I582-H582^2</f>
        <v/>
      </c>
      <c r="L582">
        <f>IF(ABS(K582)&gt;1E-12,($H$469*J582-H582*$I$469)/K582,0)</f>
        <v/>
      </c>
      <c r="M582">
        <f>IF(ABS(K582)&gt;1E-12,(I582*$I$469-H582*J582)/K582,0)</f>
        <v/>
      </c>
      <c r="N582">
        <f>$J$469-M582*$I$469-L582*J582</f>
        <v/>
      </c>
      <c r="O582">
        <f>IF(AND(C582,ABS(K582)&gt;1E-12,L582&gt;0),N582,1E+300)</f>
        <v/>
      </c>
    </row>
    <row r="583">
      <c r="A583">
        <f>$K$469+($L$469-$K$469)*111/400</f>
        <v/>
      </c>
      <c r="B583">
        <f>SUMPRODUCT((Calc!$F$3:$F$22&gt;=LTP!$E$5)*(Calc!$F$3:$F$22&lt;=k_n)*(Calc!$G$3:$G$22&lt;=A583))</f>
        <v/>
      </c>
      <c r="C583">
        <f>AND(B583&gt;=2,$B$469-B583&gt;=2)</f>
        <v/>
      </c>
      <c r="D583">
        <f>SUMPRODUCT((Calc!$F$3:$F$22&gt;=LTP!$E$5)*(Calc!$F$3:$F$22&lt;=k_n)*(Calc!$G$3:$G$22&gt;A583)*(Calc!$G$3:$G$22-A583))</f>
        <v/>
      </c>
      <c r="E583">
        <f>SUMPRODUCT((Calc!$F$3:$F$22&gt;=LTP!$E$5)*(Calc!$F$3:$F$22&lt;=k_n)*(Calc!$G$3:$G$22&gt;A583)*(Calc!$G$3:$G$22-A583)^2)</f>
        <v/>
      </c>
      <c r="F583">
        <f>SUMPRODUCT((Calc!$F$3:$F$22&gt;=LTP!$E$5)*(Calc!$F$3:$F$22&lt;=k_n)*(Calc!$G$3:$G$22&gt;A583)*(Calc!$G$3:$G$22-A583)*Calc!$G$3:$G$22)</f>
        <v/>
      </c>
      <c r="G583">
        <f>SUMPRODUCT((Calc!$F$3:$F$22&gt;=LTP!$E$5)*(Calc!$F$3:$F$22&lt;=k_n)*(Calc!$G$3:$G$22&gt;A583)*(Calc!$G$3:$G$22-A583)*Calc!$I$3:$I$22)</f>
        <v/>
      </c>
      <c r="H583">
        <f>IF($B$469&gt;0,F583-$C$469*D583/$B$469,0)</f>
        <v/>
      </c>
      <c r="I583">
        <f>IF($B$469&gt;0,E583-D583^2/$B$469,0)</f>
        <v/>
      </c>
      <c r="J583">
        <f>IF($B$469&gt;0,G583-D583*$D$469/$B$469,0)</f>
        <v/>
      </c>
      <c r="K583">
        <f>$H$469*I583-H583^2</f>
        <v/>
      </c>
      <c r="L583">
        <f>IF(ABS(K583)&gt;1E-12,($H$469*J583-H583*$I$469)/K583,0)</f>
        <v/>
      </c>
      <c r="M583">
        <f>IF(ABS(K583)&gt;1E-12,(I583*$I$469-H583*J583)/K583,0)</f>
        <v/>
      </c>
      <c r="N583">
        <f>$J$469-M583*$I$469-L583*J583</f>
        <v/>
      </c>
      <c r="O583">
        <f>IF(AND(C583,ABS(K583)&gt;1E-12,L583&gt;0),N583,1E+300)</f>
        <v/>
      </c>
    </row>
    <row r="584">
      <c r="A584">
        <f>$K$469+($L$469-$K$469)*112/400</f>
        <v/>
      </c>
      <c r="B584">
        <f>SUMPRODUCT((Calc!$F$3:$F$22&gt;=LTP!$E$5)*(Calc!$F$3:$F$22&lt;=k_n)*(Calc!$G$3:$G$22&lt;=A584))</f>
        <v/>
      </c>
      <c r="C584">
        <f>AND(B584&gt;=2,$B$469-B584&gt;=2)</f>
        <v/>
      </c>
      <c r="D584">
        <f>SUMPRODUCT((Calc!$F$3:$F$22&gt;=LTP!$E$5)*(Calc!$F$3:$F$22&lt;=k_n)*(Calc!$G$3:$G$22&gt;A584)*(Calc!$G$3:$G$22-A584))</f>
        <v/>
      </c>
      <c r="E584">
        <f>SUMPRODUCT((Calc!$F$3:$F$22&gt;=LTP!$E$5)*(Calc!$F$3:$F$22&lt;=k_n)*(Calc!$G$3:$G$22&gt;A584)*(Calc!$G$3:$G$22-A584)^2)</f>
        <v/>
      </c>
      <c r="F584">
        <f>SUMPRODUCT((Calc!$F$3:$F$22&gt;=LTP!$E$5)*(Calc!$F$3:$F$22&lt;=k_n)*(Calc!$G$3:$G$22&gt;A584)*(Calc!$G$3:$G$22-A584)*Calc!$G$3:$G$22)</f>
        <v/>
      </c>
      <c r="G584">
        <f>SUMPRODUCT((Calc!$F$3:$F$22&gt;=LTP!$E$5)*(Calc!$F$3:$F$22&lt;=k_n)*(Calc!$G$3:$G$22&gt;A584)*(Calc!$G$3:$G$22-A584)*Calc!$I$3:$I$22)</f>
        <v/>
      </c>
      <c r="H584">
        <f>IF($B$469&gt;0,F584-$C$469*D584/$B$469,0)</f>
        <v/>
      </c>
      <c r="I584">
        <f>IF($B$469&gt;0,E584-D584^2/$B$469,0)</f>
        <v/>
      </c>
      <c r="J584">
        <f>IF($B$469&gt;0,G584-D584*$D$469/$B$469,0)</f>
        <v/>
      </c>
      <c r="K584">
        <f>$H$469*I584-H584^2</f>
        <v/>
      </c>
      <c r="L584">
        <f>IF(ABS(K584)&gt;1E-12,($H$469*J584-H584*$I$469)/K584,0)</f>
        <v/>
      </c>
      <c r="M584">
        <f>IF(ABS(K584)&gt;1E-12,(I584*$I$469-H584*J584)/K584,0)</f>
        <v/>
      </c>
      <c r="N584">
        <f>$J$469-M584*$I$469-L584*J584</f>
        <v/>
      </c>
      <c r="O584">
        <f>IF(AND(C584,ABS(K584)&gt;1E-12,L584&gt;0),N584,1E+300)</f>
        <v/>
      </c>
    </row>
    <row r="585">
      <c r="A585">
        <f>$K$469+($L$469-$K$469)*113/400</f>
        <v/>
      </c>
      <c r="B585">
        <f>SUMPRODUCT((Calc!$F$3:$F$22&gt;=LTP!$E$5)*(Calc!$F$3:$F$22&lt;=k_n)*(Calc!$G$3:$G$22&lt;=A585))</f>
        <v/>
      </c>
      <c r="C585">
        <f>AND(B585&gt;=2,$B$469-B585&gt;=2)</f>
        <v/>
      </c>
      <c r="D585">
        <f>SUMPRODUCT((Calc!$F$3:$F$22&gt;=LTP!$E$5)*(Calc!$F$3:$F$22&lt;=k_n)*(Calc!$G$3:$G$22&gt;A585)*(Calc!$G$3:$G$22-A585))</f>
        <v/>
      </c>
      <c r="E585">
        <f>SUMPRODUCT((Calc!$F$3:$F$22&gt;=LTP!$E$5)*(Calc!$F$3:$F$22&lt;=k_n)*(Calc!$G$3:$G$22&gt;A585)*(Calc!$G$3:$G$22-A585)^2)</f>
        <v/>
      </c>
      <c r="F585">
        <f>SUMPRODUCT((Calc!$F$3:$F$22&gt;=LTP!$E$5)*(Calc!$F$3:$F$22&lt;=k_n)*(Calc!$G$3:$G$22&gt;A585)*(Calc!$G$3:$G$22-A585)*Calc!$G$3:$G$22)</f>
        <v/>
      </c>
      <c r="G585">
        <f>SUMPRODUCT((Calc!$F$3:$F$22&gt;=LTP!$E$5)*(Calc!$F$3:$F$22&lt;=k_n)*(Calc!$G$3:$G$22&gt;A585)*(Calc!$G$3:$G$22-A585)*Calc!$I$3:$I$22)</f>
        <v/>
      </c>
      <c r="H585">
        <f>IF($B$469&gt;0,F585-$C$469*D585/$B$469,0)</f>
        <v/>
      </c>
      <c r="I585">
        <f>IF($B$469&gt;0,E585-D585^2/$B$469,0)</f>
        <v/>
      </c>
      <c r="J585">
        <f>IF($B$469&gt;0,G585-D585*$D$469/$B$469,0)</f>
        <v/>
      </c>
      <c r="K585">
        <f>$H$469*I585-H585^2</f>
        <v/>
      </c>
      <c r="L585">
        <f>IF(ABS(K585)&gt;1E-12,($H$469*J585-H585*$I$469)/K585,0)</f>
        <v/>
      </c>
      <c r="M585">
        <f>IF(ABS(K585)&gt;1E-12,(I585*$I$469-H585*J585)/K585,0)</f>
        <v/>
      </c>
      <c r="N585">
        <f>$J$469-M585*$I$469-L585*J585</f>
        <v/>
      </c>
      <c r="O585">
        <f>IF(AND(C585,ABS(K585)&gt;1E-12,L585&gt;0),N585,1E+300)</f>
        <v/>
      </c>
    </row>
    <row r="586">
      <c r="A586">
        <f>$K$469+($L$469-$K$469)*114/400</f>
        <v/>
      </c>
      <c r="B586">
        <f>SUMPRODUCT((Calc!$F$3:$F$22&gt;=LTP!$E$5)*(Calc!$F$3:$F$22&lt;=k_n)*(Calc!$G$3:$G$22&lt;=A586))</f>
        <v/>
      </c>
      <c r="C586">
        <f>AND(B586&gt;=2,$B$469-B586&gt;=2)</f>
        <v/>
      </c>
      <c r="D586">
        <f>SUMPRODUCT((Calc!$F$3:$F$22&gt;=LTP!$E$5)*(Calc!$F$3:$F$22&lt;=k_n)*(Calc!$G$3:$G$22&gt;A586)*(Calc!$G$3:$G$22-A586))</f>
        <v/>
      </c>
      <c r="E586">
        <f>SUMPRODUCT((Calc!$F$3:$F$22&gt;=LTP!$E$5)*(Calc!$F$3:$F$22&lt;=k_n)*(Calc!$G$3:$G$22&gt;A586)*(Calc!$G$3:$G$22-A586)^2)</f>
        <v/>
      </c>
      <c r="F586">
        <f>SUMPRODUCT((Calc!$F$3:$F$22&gt;=LTP!$E$5)*(Calc!$F$3:$F$22&lt;=k_n)*(Calc!$G$3:$G$22&gt;A586)*(Calc!$G$3:$G$22-A586)*Calc!$G$3:$G$22)</f>
        <v/>
      </c>
      <c r="G586">
        <f>SUMPRODUCT((Calc!$F$3:$F$22&gt;=LTP!$E$5)*(Calc!$F$3:$F$22&lt;=k_n)*(Calc!$G$3:$G$22&gt;A586)*(Calc!$G$3:$G$22-A586)*Calc!$I$3:$I$22)</f>
        <v/>
      </c>
      <c r="H586">
        <f>IF($B$469&gt;0,F586-$C$469*D586/$B$469,0)</f>
        <v/>
      </c>
      <c r="I586">
        <f>IF($B$469&gt;0,E586-D586^2/$B$469,0)</f>
        <v/>
      </c>
      <c r="J586">
        <f>IF($B$469&gt;0,G586-D586*$D$469/$B$469,0)</f>
        <v/>
      </c>
      <c r="K586">
        <f>$H$469*I586-H586^2</f>
        <v/>
      </c>
      <c r="L586">
        <f>IF(ABS(K586)&gt;1E-12,($H$469*J586-H586*$I$469)/K586,0)</f>
        <v/>
      </c>
      <c r="M586">
        <f>IF(ABS(K586)&gt;1E-12,(I586*$I$469-H586*J586)/K586,0)</f>
        <v/>
      </c>
      <c r="N586">
        <f>$J$469-M586*$I$469-L586*J586</f>
        <v/>
      </c>
      <c r="O586">
        <f>IF(AND(C586,ABS(K586)&gt;1E-12,L586&gt;0),N586,1E+300)</f>
        <v/>
      </c>
    </row>
    <row r="587">
      <c r="A587">
        <f>$K$469+($L$469-$K$469)*115/400</f>
        <v/>
      </c>
      <c r="B587">
        <f>SUMPRODUCT((Calc!$F$3:$F$22&gt;=LTP!$E$5)*(Calc!$F$3:$F$22&lt;=k_n)*(Calc!$G$3:$G$22&lt;=A587))</f>
        <v/>
      </c>
      <c r="C587">
        <f>AND(B587&gt;=2,$B$469-B587&gt;=2)</f>
        <v/>
      </c>
      <c r="D587">
        <f>SUMPRODUCT((Calc!$F$3:$F$22&gt;=LTP!$E$5)*(Calc!$F$3:$F$22&lt;=k_n)*(Calc!$G$3:$G$22&gt;A587)*(Calc!$G$3:$G$22-A587))</f>
        <v/>
      </c>
      <c r="E587">
        <f>SUMPRODUCT((Calc!$F$3:$F$22&gt;=LTP!$E$5)*(Calc!$F$3:$F$22&lt;=k_n)*(Calc!$G$3:$G$22&gt;A587)*(Calc!$G$3:$G$22-A587)^2)</f>
        <v/>
      </c>
      <c r="F587">
        <f>SUMPRODUCT((Calc!$F$3:$F$22&gt;=LTP!$E$5)*(Calc!$F$3:$F$22&lt;=k_n)*(Calc!$G$3:$G$22&gt;A587)*(Calc!$G$3:$G$22-A587)*Calc!$G$3:$G$22)</f>
        <v/>
      </c>
      <c r="G587">
        <f>SUMPRODUCT((Calc!$F$3:$F$22&gt;=LTP!$E$5)*(Calc!$F$3:$F$22&lt;=k_n)*(Calc!$G$3:$G$22&gt;A587)*(Calc!$G$3:$G$22-A587)*Calc!$I$3:$I$22)</f>
        <v/>
      </c>
      <c r="H587">
        <f>IF($B$469&gt;0,F587-$C$469*D587/$B$469,0)</f>
        <v/>
      </c>
      <c r="I587">
        <f>IF($B$469&gt;0,E587-D587^2/$B$469,0)</f>
        <v/>
      </c>
      <c r="J587">
        <f>IF($B$469&gt;0,G587-D587*$D$469/$B$469,0)</f>
        <v/>
      </c>
      <c r="K587">
        <f>$H$469*I587-H587^2</f>
        <v/>
      </c>
      <c r="L587">
        <f>IF(ABS(K587)&gt;1E-12,($H$469*J587-H587*$I$469)/K587,0)</f>
        <v/>
      </c>
      <c r="M587">
        <f>IF(ABS(K587)&gt;1E-12,(I587*$I$469-H587*J587)/K587,0)</f>
        <v/>
      </c>
      <c r="N587">
        <f>$J$469-M587*$I$469-L587*J587</f>
        <v/>
      </c>
      <c r="O587">
        <f>IF(AND(C587,ABS(K587)&gt;1E-12,L587&gt;0),N587,1E+300)</f>
        <v/>
      </c>
    </row>
    <row r="588">
      <c r="A588">
        <f>$K$469+($L$469-$K$469)*116/400</f>
        <v/>
      </c>
      <c r="B588">
        <f>SUMPRODUCT((Calc!$F$3:$F$22&gt;=LTP!$E$5)*(Calc!$F$3:$F$22&lt;=k_n)*(Calc!$G$3:$G$22&lt;=A588))</f>
        <v/>
      </c>
      <c r="C588">
        <f>AND(B588&gt;=2,$B$469-B588&gt;=2)</f>
        <v/>
      </c>
      <c r="D588">
        <f>SUMPRODUCT((Calc!$F$3:$F$22&gt;=LTP!$E$5)*(Calc!$F$3:$F$22&lt;=k_n)*(Calc!$G$3:$G$22&gt;A588)*(Calc!$G$3:$G$22-A588))</f>
        <v/>
      </c>
      <c r="E588">
        <f>SUMPRODUCT((Calc!$F$3:$F$22&gt;=LTP!$E$5)*(Calc!$F$3:$F$22&lt;=k_n)*(Calc!$G$3:$G$22&gt;A588)*(Calc!$G$3:$G$22-A588)^2)</f>
        <v/>
      </c>
      <c r="F588">
        <f>SUMPRODUCT((Calc!$F$3:$F$22&gt;=LTP!$E$5)*(Calc!$F$3:$F$22&lt;=k_n)*(Calc!$G$3:$G$22&gt;A588)*(Calc!$G$3:$G$22-A588)*Calc!$G$3:$G$22)</f>
        <v/>
      </c>
      <c r="G588">
        <f>SUMPRODUCT((Calc!$F$3:$F$22&gt;=LTP!$E$5)*(Calc!$F$3:$F$22&lt;=k_n)*(Calc!$G$3:$G$22&gt;A588)*(Calc!$G$3:$G$22-A588)*Calc!$I$3:$I$22)</f>
        <v/>
      </c>
      <c r="H588">
        <f>IF($B$469&gt;0,F588-$C$469*D588/$B$469,0)</f>
        <v/>
      </c>
      <c r="I588">
        <f>IF($B$469&gt;0,E588-D588^2/$B$469,0)</f>
        <v/>
      </c>
      <c r="J588">
        <f>IF($B$469&gt;0,G588-D588*$D$469/$B$469,0)</f>
        <v/>
      </c>
      <c r="K588">
        <f>$H$469*I588-H588^2</f>
        <v/>
      </c>
      <c r="L588">
        <f>IF(ABS(K588)&gt;1E-12,($H$469*J588-H588*$I$469)/K588,0)</f>
        <v/>
      </c>
      <c r="M588">
        <f>IF(ABS(K588)&gt;1E-12,(I588*$I$469-H588*J588)/K588,0)</f>
        <v/>
      </c>
      <c r="N588">
        <f>$J$469-M588*$I$469-L588*J588</f>
        <v/>
      </c>
      <c r="O588">
        <f>IF(AND(C588,ABS(K588)&gt;1E-12,L588&gt;0),N588,1E+300)</f>
        <v/>
      </c>
    </row>
    <row r="589">
      <c r="A589">
        <f>$K$469+($L$469-$K$469)*117/400</f>
        <v/>
      </c>
      <c r="B589">
        <f>SUMPRODUCT((Calc!$F$3:$F$22&gt;=LTP!$E$5)*(Calc!$F$3:$F$22&lt;=k_n)*(Calc!$G$3:$G$22&lt;=A589))</f>
        <v/>
      </c>
      <c r="C589">
        <f>AND(B589&gt;=2,$B$469-B589&gt;=2)</f>
        <v/>
      </c>
      <c r="D589">
        <f>SUMPRODUCT((Calc!$F$3:$F$22&gt;=LTP!$E$5)*(Calc!$F$3:$F$22&lt;=k_n)*(Calc!$G$3:$G$22&gt;A589)*(Calc!$G$3:$G$22-A589))</f>
        <v/>
      </c>
      <c r="E589">
        <f>SUMPRODUCT((Calc!$F$3:$F$22&gt;=LTP!$E$5)*(Calc!$F$3:$F$22&lt;=k_n)*(Calc!$G$3:$G$22&gt;A589)*(Calc!$G$3:$G$22-A589)^2)</f>
        <v/>
      </c>
      <c r="F589">
        <f>SUMPRODUCT((Calc!$F$3:$F$22&gt;=LTP!$E$5)*(Calc!$F$3:$F$22&lt;=k_n)*(Calc!$G$3:$G$22&gt;A589)*(Calc!$G$3:$G$22-A589)*Calc!$G$3:$G$22)</f>
        <v/>
      </c>
      <c r="G589">
        <f>SUMPRODUCT((Calc!$F$3:$F$22&gt;=LTP!$E$5)*(Calc!$F$3:$F$22&lt;=k_n)*(Calc!$G$3:$G$22&gt;A589)*(Calc!$G$3:$G$22-A589)*Calc!$I$3:$I$22)</f>
        <v/>
      </c>
      <c r="H589">
        <f>IF($B$469&gt;0,F589-$C$469*D589/$B$469,0)</f>
        <v/>
      </c>
      <c r="I589">
        <f>IF($B$469&gt;0,E589-D589^2/$B$469,0)</f>
        <v/>
      </c>
      <c r="J589">
        <f>IF($B$469&gt;0,G589-D589*$D$469/$B$469,0)</f>
        <v/>
      </c>
      <c r="K589">
        <f>$H$469*I589-H589^2</f>
        <v/>
      </c>
      <c r="L589">
        <f>IF(ABS(K589)&gt;1E-12,($H$469*J589-H589*$I$469)/K589,0)</f>
        <v/>
      </c>
      <c r="M589">
        <f>IF(ABS(K589)&gt;1E-12,(I589*$I$469-H589*J589)/K589,0)</f>
        <v/>
      </c>
      <c r="N589">
        <f>$J$469-M589*$I$469-L589*J589</f>
        <v/>
      </c>
      <c r="O589">
        <f>IF(AND(C589,ABS(K589)&gt;1E-12,L589&gt;0),N589,1E+300)</f>
        <v/>
      </c>
    </row>
    <row r="590">
      <c r="A590">
        <f>$K$469+($L$469-$K$469)*118/400</f>
        <v/>
      </c>
      <c r="B590">
        <f>SUMPRODUCT((Calc!$F$3:$F$22&gt;=LTP!$E$5)*(Calc!$F$3:$F$22&lt;=k_n)*(Calc!$G$3:$G$22&lt;=A590))</f>
        <v/>
      </c>
      <c r="C590">
        <f>AND(B590&gt;=2,$B$469-B590&gt;=2)</f>
        <v/>
      </c>
      <c r="D590">
        <f>SUMPRODUCT((Calc!$F$3:$F$22&gt;=LTP!$E$5)*(Calc!$F$3:$F$22&lt;=k_n)*(Calc!$G$3:$G$22&gt;A590)*(Calc!$G$3:$G$22-A590))</f>
        <v/>
      </c>
      <c r="E590">
        <f>SUMPRODUCT((Calc!$F$3:$F$22&gt;=LTP!$E$5)*(Calc!$F$3:$F$22&lt;=k_n)*(Calc!$G$3:$G$22&gt;A590)*(Calc!$G$3:$G$22-A590)^2)</f>
        <v/>
      </c>
      <c r="F590">
        <f>SUMPRODUCT((Calc!$F$3:$F$22&gt;=LTP!$E$5)*(Calc!$F$3:$F$22&lt;=k_n)*(Calc!$G$3:$G$22&gt;A590)*(Calc!$G$3:$G$22-A590)*Calc!$G$3:$G$22)</f>
        <v/>
      </c>
      <c r="G590">
        <f>SUMPRODUCT((Calc!$F$3:$F$22&gt;=LTP!$E$5)*(Calc!$F$3:$F$22&lt;=k_n)*(Calc!$G$3:$G$22&gt;A590)*(Calc!$G$3:$G$22-A590)*Calc!$I$3:$I$22)</f>
        <v/>
      </c>
      <c r="H590">
        <f>IF($B$469&gt;0,F590-$C$469*D590/$B$469,0)</f>
        <v/>
      </c>
      <c r="I590">
        <f>IF($B$469&gt;0,E590-D590^2/$B$469,0)</f>
        <v/>
      </c>
      <c r="J590">
        <f>IF($B$469&gt;0,G590-D590*$D$469/$B$469,0)</f>
        <v/>
      </c>
      <c r="K590">
        <f>$H$469*I590-H590^2</f>
        <v/>
      </c>
      <c r="L590">
        <f>IF(ABS(K590)&gt;1E-12,($H$469*J590-H590*$I$469)/K590,0)</f>
        <v/>
      </c>
      <c r="M590">
        <f>IF(ABS(K590)&gt;1E-12,(I590*$I$469-H590*J590)/K590,0)</f>
        <v/>
      </c>
      <c r="N590">
        <f>$J$469-M590*$I$469-L590*J590</f>
        <v/>
      </c>
      <c r="O590">
        <f>IF(AND(C590,ABS(K590)&gt;1E-12,L590&gt;0),N590,1E+300)</f>
        <v/>
      </c>
    </row>
    <row r="591">
      <c r="A591">
        <f>$K$469+($L$469-$K$469)*119/400</f>
        <v/>
      </c>
      <c r="B591">
        <f>SUMPRODUCT((Calc!$F$3:$F$22&gt;=LTP!$E$5)*(Calc!$F$3:$F$22&lt;=k_n)*(Calc!$G$3:$G$22&lt;=A591))</f>
        <v/>
      </c>
      <c r="C591">
        <f>AND(B591&gt;=2,$B$469-B591&gt;=2)</f>
        <v/>
      </c>
      <c r="D591">
        <f>SUMPRODUCT((Calc!$F$3:$F$22&gt;=LTP!$E$5)*(Calc!$F$3:$F$22&lt;=k_n)*(Calc!$G$3:$G$22&gt;A591)*(Calc!$G$3:$G$22-A591))</f>
        <v/>
      </c>
      <c r="E591">
        <f>SUMPRODUCT((Calc!$F$3:$F$22&gt;=LTP!$E$5)*(Calc!$F$3:$F$22&lt;=k_n)*(Calc!$G$3:$G$22&gt;A591)*(Calc!$G$3:$G$22-A591)^2)</f>
        <v/>
      </c>
      <c r="F591">
        <f>SUMPRODUCT((Calc!$F$3:$F$22&gt;=LTP!$E$5)*(Calc!$F$3:$F$22&lt;=k_n)*(Calc!$G$3:$G$22&gt;A591)*(Calc!$G$3:$G$22-A591)*Calc!$G$3:$G$22)</f>
        <v/>
      </c>
      <c r="G591">
        <f>SUMPRODUCT((Calc!$F$3:$F$22&gt;=LTP!$E$5)*(Calc!$F$3:$F$22&lt;=k_n)*(Calc!$G$3:$G$22&gt;A591)*(Calc!$G$3:$G$22-A591)*Calc!$I$3:$I$22)</f>
        <v/>
      </c>
      <c r="H591">
        <f>IF($B$469&gt;0,F591-$C$469*D591/$B$469,0)</f>
        <v/>
      </c>
      <c r="I591">
        <f>IF($B$469&gt;0,E591-D591^2/$B$469,0)</f>
        <v/>
      </c>
      <c r="J591">
        <f>IF($B$469&gt;0,G591-D591*$D$469/$B$469,0)</f>
        <v/>
      </c>
      <c r="K591">
        <f>$H$469*I591-H591^2</f>
        <v/>
      </c>
      <c r="L591">
        <f>IF(ABS(K591)&gt;1E-12,($H$469*J591-H591*$I$469)/K591,0)</f>
        <v/>
      </c>
      <c r="M591">
        <f>IF(ABS(K591)&gt;1E-12,(I591*$I$469-H591*J591)/K591,0)</f>
        <v/>
      </c>
      <c r="N591">
        <f>$J$469-M591*$I$469-L591*J591</f>
        <v/>
      </c>
      <c r="O591">
        <f>IF(AND(C591,ABS(K591)&gt;1E-12,L591&gt;0),N591,1E+300)</f>
        <v/>
      </c>
    </row>
    <row r="592">
      <c r="A592">
        <f>$K$469+($L$469-$K$469)*120/400</f>
        <v/>
      </c>
      <c r="B592">
        <f>SUMPRODUCT((Calc!$F$3:$F$22&gt;=LTP!$E$5)*(Calc!$F$3:$F$22&lt;=k_n)*(Calc!$G$3:$G$22&lt;=A592))</f>
        <v/>
      </c>
      <c r="C592">
        <f>AND(B592&gt;=2,$B$469-B592&gt;=2)</f>
        <v/>
      </c>
      <c r="D592">
        <f>SUMPRODUCT((Calc!$F$3:$F$22&gt;=LTP!$E$5)*(Calc!$F$3:$F$22&lt;=k_n)*(Calc!$G$3:$G$22&gt;A592)*(Calc!$G$3:$G$22-A592))</f>
        <v/>
      </c>
      <c r="E592">
        <f>SUMPRODUCT((Calc!$F$3:$F$22&gt;=LTP!$E$5)*(Calc!$F$3:$F$22&lt;=k_n)*(Calc!$G$3:$G$22&gt;A592)*(Calc!$G$3:$G$22-A592)^2)</f>
        <v/>
      </c>
      <c r="F592">
        <f>SUMPRODUCT((Calc!$F$3:$F$22&gt;=LTP!$E$5)*(Calc!$F$3:$F$22&lt;=k_n)*(Calc!$G$3:$G$22&gt;A592)*(Calc!$G$3:$G$22-A592)*Calc!$G$3:$G$22)</f>
        <v/>
      </c>
      <c r="G592">
        <f>SUMPRODUCT((Calc!$F$3:$F$22&gt;=LTP!$E$5)*(Calc!$F$3:$F$22&lt;=k_n)*(Calc!$G$3:$G$22&gt;A592)*(Calc!$G$3:$G$22-A592)*Calc!$I$3:$I$22)</f>
        <v/>
      </c>
      <c r="H592">
        <f>IF($B$469&gt;0,F592-$C$469*D592/$B$469,0)</f>
        <v/>
      </c>
      <c r="I592">
        <f>IF($B$469&gt;0,E592-D592^2/$B$469,0)</f>
        <v/>
      </c>
      <c r="J592">
        <f>IF($B$469&gt;0,G592-D592*$D$469/$B$469,0)</f>
        <v/>
      </c>
      <c r="K592">
        <f>$H$469*I592-H592^2</f>
        <v/>
      </c>
      <c r="L592">
        <f>IF(ABS(K592)&gt;1E-12,($H$469*J592-H592*$I$469)/K592,0)</f>
        <v/>
      </c>
      <c r="M592">
        <f>IF(ABS(K592)&gt;1E-12,(I592*$I$469-H592*J592)/K592,0)</f>
        <v/>
      </c>
      <c r="N592">
        <f>$J$469-M592*$I$469-L592*J592</f>
        <v/>
      </c>
      <c r="O592">
        <f>IF(AND(C592,ABS(K592)&gt;1E-12,L592&gt;0),N592,1E+300)</f>
        <v/>
      </c>
    </row>
    <row r="593">
      <c r="A593">
        <f>$K$469+($L$469-$K$469)*121/400</f>
        <v/>
      </c>
      <c r="B593">
        <f>SUMPRODUCT((Calc!$F$3:$F$22&gt;=LTP!$E$5)*(Calc!$F$3:$F$22&lt;=k_n)*(Calc!$G$3:$G$22&lt;=A593))</f>
        <v/>
      </c>
      <c r="C593">
        <f>AND(B593&gt;=2,$B$469-B593&gt;=2)</f>
        <v/>
      </c>
      <c r="D593">
        <f>SUMPRODUCT((Calc!$F$3:$F$22&gt;=LTP!$E$5)*(Calc!$F$3:$F$22&lt;=k_n)*(Calc!$G$3:$G$22&gt;A593)*(Calc!$G$3:$G$22-A593))</f>
        <v/>
      </c>
      <c r="E593">
        <f>SUMPRODUCT((Calc!$F$3:$F$22&gt;=LTP!$E$5)*(Calc!$F$3:$F$22&lt;=k_n)*(Calc!$G$3:$G$22&gt;A593)*(Calc!$G$3:$G$22-A593)^2)</f>
        <v/>
      </c>
      <c r="F593">
        <f>SUMPRODUCT((Calc!$F$3:$F$22&gt;=LTP!$E$5)*(Calc!$F$3:$F$22&lt;=k_n)*(Calc!$G$3:$G$22&gt;A593)*(Calc!$G$3:$G$22-A593)*Calc!$G$3:$G$22)</f>
        <v/>
      </c>
      <c r="G593">
        <f>SUMPRODUCT((Calc!$F$3:$F$22&gt;=LTP!$E$5)*(Calc!$F$3:$F$22&lt;=k_n)*(Calc!$G$3:$G$22&gt;A593)*(Calc!$G$3:$G$22-A593)*Calc!$I$3:$I$22)</f>
        <v/>
      </c>
      <c r="H593">
        <f>IF($B$469&gt;0,F593-$C$469*D593/$B$469,0)</f>
        <v/>
      </c>
      <c r="I593">
        <f>IF($B$469&gt;0,E593-D593^2/$B$469,0)</f>
        <v/>
      </c>
      <c r="J593">
        <f>IF($B$469&gt;0,G593-D593*$D$469/$B$469,0)</f>
        <v/>
      </c>
      <c r="K593">
        <f>$H$469*I593-H593^2</f>
        <v/>
      </c>
      <c r="L593">
        <f>IF(ABS(K593)&gt;1E-12,($H$469*J593-H593*$I$469)/K593,0)</f>
        <v/>
      </c>
      <c r="M593">
        <f>IF(ABS(K593)&gt;1E-12,(I593*$I$469-H593*J593)/K593,0)</f>
        <v/>
      </c>
      <c r="N593">
        <f>$J$469-M593*$I$469-L593*J593</f>
        <v/>
      </c>
      <c r="O593">
        <f>IF(AND(C593,ABS(K593)&gt;1E-12,L593&gt;0),N593,1E+300)</f>
        <v/>
      </c>
    </row>
    <row r="594">
      <c r="A594">
        <f>$K$469+($L$469-$K$469)*122/400</f>
        <v/>
      </c>
      <c r="B594">
        <f>SUMPRODUCT((Calc!$F$3:$F$22&gt;=LTP!$E$5)*(Calc!$F$3:$F$22&lt;=k_n)*(Calc!$G$3:$G$22&lt;=A594))</f>
        <v/>
      </c>
      <c r="C594">
        <f>AND(B594&gt;=2,$B$469-B594&gt;=2)</f>
        <v/>
      </c>
      <c r="D594">
        <f>SUMPRODUCT((Calc!$F$3:$F$22&gt;=LTP!$E$5)*(Calc!$F$3:$F$22&lt;=k_n)*(Calc!$G$3:$G$22&gt;A594)*(Calc!$G$3:$G$22-A594))</f>
        <v/>
      </c>
      <c r="E594">
        <f>SUMPRODUCT((Calc!$F$3:$F$22&gt;=LTP!$E$5)*(Calc!$F$3:$F$22&lt;=k_n)*(Calc!$G$3:$G$22&gt;A594)*(Calc!$G$3:$G$22-A594)^2)</f>
        <v/>
      </c>
      <c r="F594">
        <f>SUMPRODUCT((Calc!$F$3:$F$22&gt;=LTP!$E$5)*(Calc!$F$3:$F$22&lt;=k_n)*(Calc!$G$3:$G$22&gt;A594)*(Calc!$G$3:$G$22-A594)*Calc!$G$3:$G$22)</f>
        <v/>
      </c>
      <c r="G594">
        <f>SUMPRODUCT((Calc!$F$3:$F$22&gt;=LTP!$E$5)*(Calc!$F$3:$F$22&lt;=k_n)*(Calc!$G$3:$G$22&gt;A594)*(Calc!$G$3:$G$22-A594)*Calc!$I$3:$I$22)</f>
        <v/>
      </c>
      <c r="H594">
        <f>IF($B$469&gt;0,F594-$C$469*D594/$B$469,0)</f>
        <v/>
      </c>
      <c r="I594">
        <f>IF($B$469&gt;0,E594-D594^2/$B$469,0)</f>
        <v/>
      </c>
      <c r="J594">
        <f>IF($B$469&gt;0,G594-D594*$D$469/$B$469,0)</f>
        <v/>
      </c>
      <c r="K594">
        <f>$H$469*I594-H594^2</f>
        <v/>
      </c>
      <c r="L594">
        <f>IF(ABS(K594)&gt;1E-12,($H$469*J594-H594*$I$469)/K594,0)</f>
        <v/>
      </c>
      <c r="M594">
        <f>IF(ABS(K594)&gt;1E-12,(I594*$I$469-H594*J594)/K594,0)</f>
        <v/>
      </c>
      <c r="N594">
        <f>$J$469-M594*$I$469-L594*J594</f>
        <v/>
      </c>
      <c r="O594">
        <f>IF(AND(C594,ABS(K594)&gt;1E-12,L594&gt;0),N594,1E+300)</f>
        <v/>
      </c>
    </row>
    <row r="595">
      <c r="A595">
        <f>$K$469+($L$469-$K$469)*123/400</f>
        <v/>
      </c>
      <c r="B595">
        <f>SUMPRODUCT((Calc!$F$3:$F$22&gt;=LTP!$E$5)*(Calc!$F$3:$F$22&lt;=k_n)*(Calc!$G$3:$G$22&lt;=A595))</f>
        <v/>
      </c>
      <c r="C595">
        <f>AND(B595&gt;=2,$B$469-B595&gt;=2)</f>
        <v/>
      </c>
      <c r="D595">
        <f>SUMPRODUCT((Calc!$F$3:$F$22&gt;=LTP!$E$5)*(Calc!$F$3:$F$22&lt;=k_n)*(Calc!$G$3:$G$22&gt;A595)*(Calc!$G$3:$G$22-A595))</f>
        <v/>
      </c>
      <c r="E595">
        <f>SUMPRODUCT((Calc!$F$3:$F$22&gt;=LTP!$E$5)*(Calc!$F$3:$F$22&lt;=k_n)*(Calc!$G$3:$G$22&gt;A595)*(Calc!$G$3:$G$22-A595)^2)</f>
        <v/>
      </c>
      <c r="F595">
        <f>SUMPRODUCT((Calc!$F$3:$F$22&gt;=LTP!$E$5)*(Calc!$F$3:$F$22&lt;=k_n)*(Calc!$G$3:$G$22&gt;A595)*(Calc!$G$3:$G$22-A595)*Calc!$G$3:$G$22)</f>
        <v/>
      </c>
      <c r="G595">
        <f>SUMPRODUCT((Calc!$F$3:$F$22&gt;=LTP!$E$5)*(Calc!$F$3:$F$22&lt;=k_n)*(Calc!$G$3:$G$22&gt;A595)*(Calc!$G$3:$G$22-A595)*Calc!$I$3:$I$22)</f>
        <v/>
      </c>
      <c r="H595">
        <f>IF($B$469&gt;0,F595-$C$469*D595/$B$469,0)</f>
        <v/>
      </c>
      <c r="I595">
        <f>IF($B$469&gt;0,E595-D595^2/$B$469,0)</f>
        <v/>
      </c>
      <c r="J595">
        <f>IF($B$469&gt;0,G595-D595*$D$469/$B$469,0)</f>
        <v/>
      </c>
      <c r="K595">
        <f>$H$469*I595-H595^2</f>
        <v/>
      </c>
      <c r="L595">
        <f>IF(ABS(K595)&gt;1E-12,($H$469*J595-H595*$I$469)/K595,0)</f>
        <v/>
      </c>
      <c r="M595">
        <f>IF(ABS(K595)&gt;1E-12,(I595*$I$469-H595*J595)/K595,0)</f>
        <v/>
      </c>
      <c r="N595">
        <f>$J$469-M595*$I$469-L595*J595</f>
        <v/>
      </c>
      <c r="O595">
        <f>IF(AND(C595,ABS(K595)&gt;1E-12,L595&gt;0),N595,1E+300)</f>
        <v/>
      </c>
    </row>
    <row r="596">
      <c r="A596">
        <f>$K$469+($L$469-$K$469)*124/400</f>
        <v/>
      </c>
      <c r="B596">
        <f>SUMPRODUCT((Calc!$F$3:$F$22&gt;=LTP!$E$5)*(Calc!$F$3:$F$22&lt;=k_n)*(Calc!$G$3:$G$22&lt;=A596))</f>
        <v/>
      </c>
      <c r="C596">
        <f>AND(B596&gt;=2,$B$469-B596&gt;=2)</f>
        <v/>
      </c>
      <c r="D596">
        <f>SUMPRODUCT((Calc!$F$3:$F$22&gt;=LTP!$E$5)*(Calc!$F$3:$F$22&lt;=k_n)*(Calc!$G$3:$G$22&gt;A596)*(Calc!$G$3:$G$22-A596))</f>
        <v/>
      </c>
      <c r="E596">
        <f>SUMPRODUCT((Calc!$F$3:$F$22&gt;=LTP!$E$5)*(Calc!$F$3:$F$22&lt;=k_n)*(Calc!$G$3:$G$22&gt;A596)*(Calc!$G$3:$G$22-A596)^2)</f>
        <v/>
      </c>
      <c r="F596">
        <f>SUMPRODUCT((Calc!$F$3:$F$22&gt;=LTP!$E$5)*(Calc!$F$3:$F$22&lt;=k_n)*(Calc!$G$3:$G$22&gt;A596)*(Calc!$G$3:$G$22-A596)*Calc!$G$3:$G$22)</f>
        <v/>
      </c>
      <c r="G596">
        <f>SUMPRODUCT((Calc!$F$3:$F$22&gt;=LTP!$E$5)*(Calc!$F$3:$F$22&lt;=k_n)*(Calc!$G$3:$G$22&gt;A596)*(Calc!$G$3:$G$22-A596)*Calc!$I$3:$I$22)</f>
        <v/>
      </c>
      <c r="H596">
        <f>IF($B$469&gt;0,F596-$C$469*D596/$B$469,0)</f>
        <v/>
      </c>
      <c r="I596">
        <f>IF($B$469&gt;0,E596-D596^2/$B$469,0)</f>
        <v/>
      </c>
      <c r="J596">
        <f>IF($B$469&gt;0,G596-D596*$D$469/$B$469,0)</f>
        <v/>
      </c>
      <c r="K596">
        <f>$H$469*I596-H596^2</f>
        <v/>
      </c>
      <c r="L596">
        <f>IF(ABS(K596)&gt;1E-12,($H$469*J596-H596*$I$469)/K596,0)</f>
        <v/>
      </c>
      <c r="M596">
        <f>IF(ABS(K596)&gt;1E-12,(I596*$I$469-H596*J596)/K596,0)</f>
        <v/>
      </c>
      <c r="N596">
        <f>$J$469-M596*$I$469-L596*J596</f>
        <v/>
      </c>
      <c r="O596">
        <f>IF(AND(C596,ABS(K596)&gt;1E-12,L596&gt;0),N596,1E+300)</f>
        <v/>
      </c>
    </row>
    <row r="597">
      <c r="A597">
        <f>$K$469+($L$469-$K$469)*125/400</f>
        <v/>
      </c>
      <c r="B597">
        <f>SUMPRODUCT((Calc!$F$3:$F$22&gt;=LTP!$E$5)*(Calc!$F$3:$F$22&lt;=k_n)*(Calc!$G$3:$G$22&lt;=A597))</f>
        <v/>
      </c>
      <c r="C597">
        <f>AND(B597&gt;=2,$B$469-B597&gt;=2)</f>
        <v/>
      </c>
      <c r="D597">
        <f>SUMPRODUCT((Calc!$F$3:$F$22&gt;=LTP!$E$5)*(Calc!$F$3:$F$22&lt;=k_n)*(Calc!$G$3:$G$22&gt;A597)*(Calc!$G$3:$G$22-A597))</f>
        <v/>
      </c>
      <c r="E597">
        <f>SUMPRODUCT((Calc!$F$3:$F$22&gt;=LTP!$E$5)*(Calc!$F$3:$F$22&lt;=k_n)*(Calc!$G$3:$G$22&gt;A597)*(Calc!$G$3:$G$22-A597)^2)</f>
        <v/>
      </c>
      <c r="F597">
        <f>SUMPRODUCT((Calc!$F$3:$F$22&gt;=LTP!$E$5)*(Calc!$F$3:$F$22&lt;=k_n)*(Calc!$G$3:$G$22&gt;A597)*(Calc!$G$3:$G$22-A597)*Calc!$G$3:$G$22)</f>
        <v/>
      </c>
      <c r="G597">
        <f>SUMPRODUCT((Calc!$F$3:$F$22&gt;=LTP!$E$5)*(Calc!$F$3:$F$22&lt;=k_n)*(Calc!$G$3:$G$22&gt;A597)*(Calc!$G$3:$G$22-A597)*Calc!$I$3:$I$22)</f>
        <v/>
      </c>
      <c r="H597">
        <f>IF($B$469&gt;0,F597-$C$469*D597/$B$469,0)</f>
        <v/>
      </c>
      <c r="I597">
        <f>IF($B$469&gt;0,E597-D597^2/$B$469,0)</f>
        <v/>
      </c>
      <c r="J597">
        <f>IF($B$469&gt;0,G597-D597*$D$469/$B$469,0)</f>
        <v/>
      </c>
      <c r="K597">
        <f>$H$469*I597-H597^2</f>
        <v/>
      </c>
      <c r="L597">
        <f>IF(ABS(K597)&gt;1E-12,($H$469*J597-H597*$I$469)/K597,0)</f>
        <v/>
      </c>
      <c r="M597">
        <f>IF(ABS(K597)&gt;1E-12,(I597*$I$469-H597*J597)/K597,0)</f>
        <v/>
      </c>
      <c r="N597">
        <f>$J$469-M597*$I$469-L597*J597</f>
        <v/>
      </c>
      <c r="O597">
        <f>IF(AND(C597,ABS(K597)&gt;1E-12,L597&gt;0),N597,1E+300)</f>
        <v/>
      </c>
    </row>
    <row r="598">
      <c r="A598">
        <f>$K$469+($L$469-$K$469)*126/400</f>
        <v/>
      </c>
      <c r="B598">
        <f>SUMPRODUCT((Calc!$F$3:$F$22&gt;=LTP!$E$5)*(Calc!$F$3:$F$22&lt;=k_n)*(Calc!$G$3:$G$22&lt;=A598))</f>
        <v/>
      </c>
      <c r="C598">
        <f>AND(B598&gt;=2,$B$469-B598&gt;=2)</f>
        <v/>
      </c>
      <c r="D598">
        <f>SUMPRODUCT((Calc!$F$3:$F$22&gt;=LTP!$E$5)*(Calc!$F$3:$F$22&lt;=k_n)*(Calc!$G$3:$G$22&gt;A598)*(Calc!$G$3:$G$22-A598))</f>
        <v/>
      </c>
      <c r="E598">
        <f>SUMPRODUCT((Calc!$F$3:$F$22&gt;=LTP!$E$5)*(Calc!$F$3:$F$22&lt;=k_n)*(Calc!$G$3:$G$22&gt;A598)*(Calc!$G$3:$G$22-A598)^2)</f>
        <v/>
      </c>
      <c r="F598">
        <f>SUMPRODUCT((Calc!$F$3:$F$22&gt;=LTP!$E$5)*(Calc!$F$3:$F$22&lt;=k_n)*(Calc!$G$3:$G$22&gt;A598)*(Calc!$G$3:$G$22-A598)*Calc!$G$3:$G$22)</f>
        <v/>
      </c>
      <c r="G598">
        <f>SUMPRODUCT((Calc!$F$3:$F$22&gt;=LTP!$E$5)*(Calc!$F$3:$F$22&lt;=k_n)*(Calc!$G$3:$G$22&gt;A598)*(Calc!$G$3:$G$22-A598)*Calc!$I$3:$I$22)</f>
        <v/>
      </c>
      <c r="H598">
        <f>IF($B$469&gt;0,F598-$C$469*D598/$B$469,0)</f>
        <v/>
      </c>
      <c r="I598">
        <f>IF($B$469&gt;0,E598-D598^2/$B$469,0)</f>
        <v/>
      </c>
      <c r="J598">
        <f>IF($B$469&gt;0,G598-D598*$D$469/$B$469,0)</f>
        <v/>
      </c>
      <c r="K598">
        <f>$H$469*I598-H598^2</f>
        <v/>
      </c>
      <c r="L598">
        <f>IF(ABS(K598)&gt;1E-12,($H$469*J598-H598*$I$469)/K598,0)</f>
        <v/>
      </c>
      <c r="M598">
        <f>IF(ABS(K598)&gt;1E-12,(I598*$I$469-H598*J598)/K598,0)</f>
        <v/>
      </c>
      <c r="N598">
        <f>$J$469-M598*$I$469-L598*J598</f>
        <v/>
      </c>
      <c r="O598">
        <f>IF(AND(C598,ABS(K598)&gt;1E-12,L598&gt;0),N598,1E+300)</f>
        <v/>
      </c>
    </row>
    <row r="599">
      <c r="A599">
        <f>$K$469+($L$469-$K$469)*127/400</f>
        <v/>
      </c>
      <c r="B599">
        <f>SUMPRODUCT((Calc!$F$3:$F$22&gt;=LTP!$E$5)*(Calc!$F$3:$F$22&lt;=k_n)*(Calc!$G$3:$G$22&lt;=A599))</f>
        <v/>
      </c>
      <c r="C599">
        <f>AND(B599&gt;=2,$B$469-B599&gt;=2)</f>
        <v/>
      </c>
      <c r="D599">
        <f>SUMPRODUCT((Calc!$F$3:$F$22&gt;=LTP!$E$5)*(Calc!$F$3:$F$22&lt;=k_n)*(Calc!$G$3:$G$22&gt;A599)*(Calc!$G$3:$G$22-A599))</f>
        <v/>
      </c>
      <c r="E599">
        <f>SUMPRODUCT((Calc!$F$3:$F$22&gt;=LTP!$E$5)*(Calc!$F$3:$F$22&lt;=k_n)*(Calc!$G$3:$G$22&gt;A599)*(Calc!$G$3:$G$22-A599)^2)</f>
        <v/>
      </c>
      <c r="F599">
        <f>SUMPRODUCT((Calc!$F$3:$F$22&gt;=LTP!$E$5)*(Calc!$F$3:$F$22&lt;=k_n)*(Calc!$G$3:$G$22&gt;A599)*(Calc!$G$3:$G$22-A599)*Calc!$G$3:$G$22)</f>
        <v/>
      </c>
      <c r="G599">
        <f>SUMPRODUCT((Calc!$F$3:$F$22&gt;=LTP!$E$5)*(Calc!$F$3:$F$22&lt;=k_n)*(Calc!$G$3:$G$22&gt;A599)*(Calc!$G$3:$G$22-A599)*Calc!$I$3:$I$22)</f>
        <v/>
      </c>
      <c r="H599">
        <f>IF($B$469&gt;0,F599-$C$469*D599/$B$469,0)</f>
        <v/>
      </c>
      <c r="I599">
        <f>IF($B$469&gt;0,E599-D599^2/$B$469,0)</f>
        <v/>
      </c>
      <c r="J599">
        <f>IF($B$469&gt;0,G599-D599*$D$469/$B$469,0)</f>
        <v/>
      </c>
      <c r="K599">
        <f>$H$469*I599-H599^2</f>
        <v/>
      </c>
      <c r="L599">
        <f>IF(ABS(K599)&gt;1E-12,($H$469*J599-H599*$I$469)/K599,0)</f>
        <v/>
      </c>
      <c r="M599">
        <f>IF(ABS(K599)&gt;1E-12,(I599*$I$469-H599*J599)/K599,0)</f>
        <v/>
      </c>
      <c r="N599">
        <f>$J$469-M599*$I$469-L599*J599</f>
        <v/>
      </c>
      <c r="O599">
        <f>IF(AND(C599,ABS(K599)&gt;1E-12,L599&gt;0),N599,1E+300)</f>
        <v/>
      </c>
    </row>
    <row r="600">
      <c r="A600">
        <f>$K$469+($L$469-$K$469)*128/400</f>
        <v/>
      </c>
      <c r="B600">
        <f>SUMPRODUCT((Calc!$F$3:$F$22&gt;=LTP!$E$5)*(Calc!$F$3:$F$22&lt;=k_n)*(Calc!$G$3:$G$22&lt;=A600))</f>
        <v/>
      </c>
      <c r="C600">
        <f>AND(B600&gt;=2,$B$469-B600&gt;=2)</f>
        <v/>
      </c>
      <c r="D600">
        <f>SUMPRODUCT((Calc!$F$3:$F$22&gt;=LTP!$E$5)*(Calc!$F$3:$F$22&lt;=k_n)*(Calc!$G$3:$G$22&gt;A600)*(Calc!$G$3:$G$22-A600))</f>
        <v/>
      </c>
      <c r="E600">
        <f>SUMPRODUCT((Calc!$F$3:$F$22&gt;=LTP!$E$5)*(Calc!$F$3:$F$22&lt;=k_n)*(Calc!$G$3:$G$22&gt;A600)*(Calc!$G$3:$G$22-A600)^2)</f>
        <v/>
      </c>
      <c r="F600">
        <f>SUMPRODUCT((Calc!$F$3:$F$22&gt;=LTP!$E$5)*(Calc!$F$3:$F$22&lt;=k_n)*(Calc!$G$3:$G$22&gt;A600)*(Calc!$G$3:$G$22-A600)*Calc!$G$3:$G$22)</f>
        <v/>
      </c>
      <c r="G600">
        <f>SUMPRODUCT((Calc!$F$3:$F$22&gt;=LTP!$E$5)*(Calc!$F$3:$F$22&lt;=k_n)*(Calc!$G$3:$G$22&gt;A600)*(Calc!$G$3:$G$22-A600)*Calc!$I$3:$I$22)</f>
        <v/>
      </c>
      <c r="H600">
        <f>IF($B$469&gt;0,F600-$C$469*D600/$B$469,0)</f>
        <v/>
      </c>
      <c r="I600">
        <f>IF($B$469&gt;0,E600-D600^2/$B$469,0)</f>
        <v/>
      </c>
      <c r="J600">
        <f>IF($B$469&gt;0,G600-D600*$D$469/$B$469,0)</f>
        <v/>
      </c>
      <c r="K600">
        <f>$H$469*I600-H600^2</f>
        <v/>
      </c>
      <c r="L600">
        <f>IF(ABS(K600)&gt;1E-12,($H$469*J600-H600*$I$469)/K600,0)</f>
        <v/>
      </c>
      <c r="M600">
        <f>IF(ABS(K600)&gt;1E-12,(I600*$I$469-H600*J600)/K600,0)</f>
        <v/>
      </c>
      <c r="N600">
        <f>$J$469-M600*$I$469-L600*J600</f>
        <v/>
      </c>
      <c r="O600">
        <f>IF(AND(C600,ABS(K600)&gt;1E-12,L600&gt;0),N600,1E+300)</f>
        <v/>
      </c>
    </row>
    <row r="601">
      <c r="A601">
        <f>$K$469+($L$469-$K$469)*129/400</f>
        <v/>
      </c>
      <c r="B601">
        <f>SUMPRODUCT((Calc!$F$3:$F$22&gt;=LTP!$E$5)*(Calc!$F$3:$F$22&lt;=k_n)*(Calc!$G$3:$G$22&lt;=A601))</f>
        <v/>
      </c>
      <c r="C601">
        <f>AND(B601&gt;=2,$B$469-B601&gt;=2)</f>
        <v/>
      </c>
      <c r="D601">
        <f>SUMPRODUCT((Calc!$F$3:$F$22&gt;=LTP!$E$5)*(Calc!$F$3:$F$22&lt;=k_n)*(Calc!$G$3:$G$22&gt;A601)*(Calc!$G$3:$G$22-A601))</f>
        <v/>
      </c>
      <c r="E601">
        <f>SUMPRODUCT((Calc!$F$3:$F$22&gt;=LTP!$E$5)*(Calc!$F$3:$F$22&lt;=k_n)*(Calc!$G$3:$G$22&gt;A601)*(Calc!$G$3:$G$22-A601)^2)</f>
        <v/>
      </c>
      <c r="F601">
        <f>SUMPRODUCT((Calc!$F$3:$F$22&gt;=LTP!$E$5)*(Calc!$F$3:$F$22&lt;=k_n)*(Calc!$G$3:$G$22&gt;A601)*(Calc!$G$3:$G$22-A601)*Calc!$G$3:$G$22)</f>
        <v/>
      </c>
      <c r="G601">
        <f>SUMPRODUCT((Calc!$F$3:$F$22&gt;=LTP!$E$5)*(Calc!$F$3:$F$22&lt;=k_n)*(Calc!$G$3:$G$22&gt;A601)*(Calc!$G$3:$G$22-A601)*Calc!$I$3:$I$22)</f>
        <v/>
      </c>
      <c r="H601">
        <f>IF($B$469&gt;0,F601-$C$469*D601/$B$469,0)</f>
        <v/>
      </c>
      <c r="I601">
        <f>IF($B$469&gt;0,E601-D601^2/$B$469,0)</f>
        <v/>
      </c>
      <c r="J601">
        <f>IF($B$469&gt;0,G601-D601*$D$469/$B$469,0)</f>
        <v/>
      </c>
      <c r="K601">
        <f>$H$469*I601-H601^2</f>
        <v/>
      </c>
      <c r="L601">
        <f>IF(ABS(K601)&gt;1E-12,($H$469*J601-H601*$I$469)/K601,0)</f>
        <v/>
      </c>
      <c r="M601">
        <f>IF(ABS(K601)&gt;1E-12,(I601*$I$469-H601*J601)/K601,0)</f>
        <v/>
      </c>
      <c r="N601">
        <f>$J$469-M601*$I$469-L601*J601</f>
        <v/>
      </c>
      <c r="O601">
        <f>IF(AND(C601,ABS(K601)&gt;1E-12,L601&gt;0),N601,1E+300)</f>
        <v/>
      </c>
    </row>
    <row r="602">
      <c r="A602">
        <f>$K$469+($L$469-$K$469)*130/400</f>
        <v/>
      </c>
      <c r="B602">
        <f>SUMPRODUCT((Calc!$F$3:$F$22&gt;=LTP!$E$5)*(Calc!$F$3:$F$22&lt;=k_n)*(Calc!$G$3:$G$22&lt;=A602))</f>
        <v/>
      </c>
      <c r="C602">
        <f>AND(B602&gt;=2,$B$469-B602&gt;=2)</f>
        <v/>
      </c>
      <c r="D602">
        <f>SUMPRODUCT((Calc!$F$3:$F$22&gt;=LTP!$E$5)*(Calc!$F$3:$F$22&lt;=k_n)*(Calc!$G$3:$G$22&gt;A602)*(Calc!$G$3:$G$22-A602))</f>
        <v/>
      </c>
      <c r="E602">
        <f>SUMPRODUCT((Calc!$F$3:$F$22&gt;=LTP!$E$5)*(Calc!$F$3:$F$22&lt;=k_n)*(Calc!$G$3:$G$22&gt;A602)*(Calc!$G$3:$G$22-A602)^2)</f>
        <v/>
      </c>
      <c r="F602">
        <f>SUMPRODUCT((Calc!$F$3:$F$22&gt;=LTP!$E$5)*(Calc!$F$3:$F$22&lt;=k_n)*(Calc!$G$3:$G$22&gt;A602)*(Calc!$G$3:$G$22-A602)*Calc!$G$3:$G$22)</f>
        <v/>
      </c>
      <c r="G602">
        <f>SUMPRODUCT((Calc!$F$3:$F$22&gt;=LTP!$E$5)*(Calc!$F$3:$F$22&lt;=k_n)*(Calc!$G$3:$G$22&gt;A602)*(Calc!$G$3:$G$22-A602)*Calc!$I$3:$I$22)</f>
        <v/>
      </c>
      <c r="H602">
        <f>IF($B$469&gt;0,F602-$C$469*D602/$B$469,0)</f>
        <v/>
      </c>
      <c r="I602">
        <f>IF($B$469&gt;0,E602-D602^2/$B$469,0)</f>
        <v/>
      </c>
      <c r="J602">
        <f>IF($B$469&gt;0,G602-D602*$D$469/$B$469,0)</f>
        <v/>
      </c>
      <c r="K602">
        <f>$H$469*I602-H602^2</f>
        <v/>
      </c>
      <c r="L602">
        <f>IF(ABS(K602)&gt;1E-12,($H$469*J602-H602*$I$469)/K602,0)</f>
        <v/>
      </c>
      <c r="M602">
        <f>IF(ABS(K602)&gt;1E-12,(I602*$I$469-H602*J602)/K602,0)</f>
        <v/>
      </c>
      <c r="N602">
        <f>$J$469-M602*$I$469-L602*J602</f>
        <v/>
      </c>
      <c r="O602">
        <f>IF(AND(C602,ABS(K602)&gt;1E-12,L602&gt;0),N602,1E+300)</f>
        <v/>
      </c>
    </row>
    <row r="603">
      <c r="A603">
        <f>$K$469+($L$469-$K$469)*131/400</f>
        <v/>
      </c>
      <c r="B603">
        <f>SUMPRODUCT((Calc!$F$3:$F$22&gt;=LTP!$E$5)*(Calc!$F$3:$F$22&lt;=k_n)*(Calc!$G$3:$G$22&lt;=A603))</f>
        <v/>
      </c>
      <c r="C603">
        <f>AND(B603&gt;=2,$B$469-B603&gt;=2)</f>
        <v/>
      </c>
      <c r="D603">
        <f>SUMPRODUCT((Calc!$F$3:$F$22&gt;=LTP!$E$5)*(Calc!$F$3:$F$22&lt;=k_n)*(Calc!$G$3:$G$22&gt;A603)*(Calc!$G$3:$G$22-A603))</f>
        <v/>
      </c>
      <c r="E603">
        <f>SUMPRODUCT((Calc!$F$3:$F$22&gt;=LTP!$E$5)*(Calc!$F$3:$F$22&lt;=k_n)*(Calc!$G$3:$G$22&gt;A603)*(Calc!$G$3:$G$22-A603)^2)</f>
        <v/>
      </c>
      <c r="F603">
        <f>SUMPRODUCT((Calc!$F$3:$F$22&gt;=LTP!$E$5)*(Calc!$F$3:$F$22&lt;=k_n)*(Calc!$G$3:$G$22&gt;A603)*(Calc!$G$3:$G$22-A603)*Calc!$G$3:$G$22)</f>
        <v/>
      </c>
      <c r="G603">
        <f>SUMPRODUCT((Calc!$F$3:$F$22&gt;=LTP!$E$5)*(Calc!$F$3:$F$22&lt;=k_n)*(Calc!$G$3:$G$22&gt;A603)*(Calc!$G$3:$G$22-A603)*Calc!$I$3:$I$22)</f>
        <v/>
      </c>
      <c r="H603">
        <f>IF($B$469&gt;0,F603-$C$469*D603/$B$469,0)</f>
        <v/>
      </c>
      <c r="I603">
        <f>IF($B$469&gt;0,E603-D603^2/$B$469,0)</f>
        <v/>
      </c>
      <c r="J603">
        <f>IF($B$469&gt;0,G603-D603*$D$469/$B$469,0)</f>
        <v/>
      </c>
      <c r="K603">
        <f>$H$469*I603-H603^2</f>
        <v/>
      </c>
      <c r="L603">
        <f>IF(ABS(K603)&gt;1E-12,($H$469*J603-H603*$I$469)/K603,0)</f>
        <v/>
      </c>
      <c r="M603">
        <f>IF(ABS(K603)&gt;1E-12,(I603*$I$469-H603*J603)/K603,0)</f>
        <v/>
      </c>
      <c r="N603">
        <f>$J$469-M603*$I$469-L603*J603</f>
        <v/>
      </c>
      <c r="O603">
        <f>IF(AND(C603,ABS(K603)&gt;1E-12,L603&gt;0),N603,1E+300)</f>
        <v/>
      </c>
    </row>
    <row r="604">
      <c r="A604">
        <f>$K$469+($L$469-$K$469)*132/400</f>
        <v/>
      </c>
      <c r="B604">
        <f>SUMPRODUCT((Calc!$F$3:$F$22&gt;=LTP!$E$5)*(Calc!$F$3:$F$22&lt;=k_n)*(Calc!$G$3:$G$22&lt;=A604))</f>
        <v/>
      </c>
      <c r="C604">
        <f>AND(B604&gt;=2,$B$469-B604&gt;=2)</f>
        <v/>
      </c>
      <c r="D604">
        <f>SUMPRODUCT((Calc!$F$3:$F$22&gt;=LTP!$E$5)*(Calc!$F$3:$F$22&lt;=k_n)*(Calc!$G$3:$G$22&gt;A604)*(Calc!$G$3:$G$22-A604))</f>
        <v/>
      </c>
      <c r="E604">
        <f>SUMPRODUCT((Calc!$F$3:$F$22&gt;=LTP!$E$5)*(Calc!$F$3:$F$22&lt;=k_n)*(Calc!$G$3:$G$22&gt;A604)*(Calc!$G$3:$G$22-A604)^2)</f>
        <v/>
      </c>
      <c r="F604">
        <f>SUMPRODUCT((Calc!$F$3:$F$22&gt;=LTP!$E$5)*(Calc!$F$3:$F$22&lt;=k_n)*(Calc!$G$3:$G$22&gt;A604)*(Calc!$G$3:$G$22-A604)*Calc!$G$3:$G$22)</f>
        <v/>
      </c>
      <c r="G604">
        <f>SUMPRODUCT((Calc!$F$3:$F$22&gt;=LTP!$E$5)*(Calc!$F$3:$F$22&lt;=k_n)*(Calc!$G$3:$G$22&gt;A604)*(Calc!$G$3:$G$22-A604)*Calc!$I$3:$I$22)</f>
        <v/>
      </c>
      <c r="H604">
        <f>IF($B$469&gt;0,F604-$C$469*D604/$B$469,0)</f>
        <v/>
      </c>
      <c r="I604">
        <f>IF($B$469&gt;0,E604-D604^2/$B$469,0)</f>
        <v/>
      </c>
      <c r="J604">
        <f>IF($B$469&gt;0,G604-D604*$D$469/$B$469,0)</f>
        <v/>
      </c>
      <c r="K604">
        <f>$H$469*I604-H604^2</f>
        <v/>
      </c>
      <c r="L604">
        <f>IF(ABS(K604)&gt;1E-12,($H$469*J604-H604*$I$469)/K604,0)</f>
        <v/>
      </c>
      <c r="M604">
        <f>IF(ABS(K604)&gt;1E-12,(I604*$I$469-H604*J604)/K604,0)</f>
        <v/>
      </c>
      <c r="N604">
        <f>$J$469-M604*$I$469-L604*J604</f>
        <v/>
      </c>
      <c r="O604">
        <f>IF(AND(C604,ABS(K604)&gt;1E-12,L604&gt;0),N604,1E+300)</f>
        <v/>
      </c>
    </row>
    <row r="605">
      <c r="A605">
        <f>$K$469+($L$469-$K$469)*133/400</f>
        <v/>
      </c>
      <c r="B605">
        <f>SUMPRODUCT((Calc!$F$3:$F$22&gt;=LTP!$E$5)*(Calc!$F$3:$F$22&lt;=k_n)*(Calc!$G$3:$G$22&lt;=A605))</f>
        <v/>
      </c>
      <c r="C605">
        <f>AND(B605&gt;=2,$B$469-B605&gt;=2)</f>
        <v/>
      </c>
      <c r="D605">
        <f>SUMPRODUCT((Calc!$F$3:$F$22&gt;=LTP!$E$5)*(Calc!$F$3:$F$22&lt;=k_n)*(Calc!$G$3:$G$22&gt;A605)*(Calc!$G$3:$G$22-A605))</f>
        <v/>
      </c>
      <c r="E605">
        <f>SUMPRODUCT((Calc!$F$3:$F$22&gt;=LTP!$E$5)*(Calc!$F$3:$F$22&lt;=k_n)*(Calc!$G$3:$G$22&gt;A605)*(Calc!$G$3:$G$22-A605)^2)</f>
        <v/>
      </c>
      <c r="F605">
        <f>SUMPRODUCT((Calc!$F$3:$F$22&gt;=LTP!$E$5)*(Calc!$F$3:$F$22&lt;=k_n)*(Calc!$G$3:$G$22&gt;A605)*(Calc!$G$3:$G$22-A605)*Calc!$G$3:$G$22)</f>
        <v/>
      </c>
      <c r="G605">
        <f>SUMPRODUCT((Calc!$F$3:$F$22&gt;=LTP!$E$5)*(Calc!$F$3:$F$22&lt;=k_n)*(Calc!$G$3:$G$22&gt;A605)*(Calc!$G$3:$G$22-A605)*Calc!$I$3:$I$22)</f>
        <v/>
      </c>
      <c r="H605">
        <f>IF($B$469&gt;0,F605-$C$469*D605/$B$469,0)</f>
        <v/>
      </c>
      <c r="I605">
        <f>IF($B$469&gt;0,E605-D605^2/$B$469,0)</f>
        <v/>
      </c>
      <c r="J605">
        <f>IF($B$469&gt;0,G605-D605*$D$469/$B$469,0)</f>
        <v/>
      </c>
      <c r="K605">
        <f>$H$469*I605-H605^2</f>
        <v/>
      </c>
      <c r="L605">
        <f>IF(ABS(K605)&gt;1E-12,($H$469*J605-H605*$I$469)/K605,0)</f>
        <v/>
      </c>
      <c r="M605">
        <f>IF(ABS(K605)&gt;1E-12,(I605*$I$469-H605*J605)/K605,0)</f>
        <v/>
      </c>
      <c r="N605">
        <f>$J$469-M605*$I$469-L605*J605</f>
        <v/>
      </c>
      <c r="O605">
        <f>IF(AND(C605,ABS(K605)&gt;1E-12,L605&gt;0),N605,1E+300)</f>
        <v/>
      </c>
    </row>
    <row r="606">
      <c r="A606">
        <f>$K$469+($L$469-$K$469)*134/400</f>
        <v/>
      </c>
      <c r="B606">
        <f>SUMPRODUCT((Calc!$F$3:$F$22&gt;=LTP!$E$5)*(Calc!$F$3:$F$22&lt;=k_n)*(Calc!$G$3:$G$22&lt;=A606))</f>
        <v/>
      </c>
      <c r="C606">
        <f>AND(B606&gt;=2,$B$469-B606&gt;=2)</f>
        <v/>
      </c>
      <c r="D606">
        <f>SUMPRODUCT((Calc!$F$3:$F$22&gt;=LTP!$E$5)*(Calc!$F$3:$F$22&lt;=k_n)*(Calc!$G$3:$G$22&gt;A606)*(Calc!$G$3:$G$22-A606))</f>
        <v/>
      </c>
      <c r="E606">
        <f>SUMPRODUCT((Calc!$F$3:$F$22&gt;=LTP!$E$5)*(Calc!$F$3:$F$22&lt;=k_n)*(Calc!$G$3:$G$22&gt;A606)*(Calc!$G$3:$G$22-A606)^2)</f>
        <v/>
      </c>
      <c r="F606">
        <f>SUMPRODUCT((Calc!$F$3:$F$22&gt;=LTP!$E$5)*(Calc!$F$3:$F$22&lt;=k_n)*(Calc!$G$3:$G$22&gt;A606)*(Calc!$G$3:$G$22-A606)*Calc!$G$3:$G$22)</f>
        <v/>
      </c>
      <c r="G606">
        <f>SUMPRODUCT((Calc!$F$3:$F$22&gt;=LTP!$E$5)*(Calc!$F$3:$F$22&lt;=k_n)*(Calc!$G$3:$G$22&gt;A606)*(Calc!$G$3:$G$22-A606)*Calc!$I$3:$I$22)</f>
        <v/>
      </c>
      <c r="H606">
        <f>IF($B$469&gt;0,F606-$C$469*D606/$B$469,0)</f>
        <v/>
      </c>
      <c r="I606">
        <f>IF($B$469&gt;0,E606-D606^2/$B$469,0)</f>
        <v/>
      </c>
      <c r="J606">
        <f>IF($B$469&gt;0,G606-D606*$D$469/$B$469,0)</f>
        <v/>
      </c>
      <c r="K606">
        <f>$H$469*I606-H606^2</f>
        <v/>
      </c>
      <c r="L606">
        <f>IF(ABS(K606)&gt;1E-12,($H$469*J606-H606*$I$469)/K606,0)</f>
        <v/>
      </c>
      <c r="M606">
        <f>IF(ABS(K606)&gt;1E-12,(I606*$I$469-H606*J606)/K606,0)</f>
        <v/>
      </c>
      <c r="N606">
        <f>$J$469-M606*$I$469-L606*J606</f>
        <v/>
      </c>
      <c r="O606">
        <f>IF(AND(C606,ABS(K606)&gt;1E-12,L606&gt;0),N606,1E+300)</f>
        <v/>
      </c>
    </row>
    <row r="607">
      <c r="A607">
        <f>$K$469+($L$469-$K$469)*135/400</f>
        <v/>
      </c>
      <c r="B607">
        <f>SUMPRODUCT((Calc!$F$3:$F$22&gt;=LTP!$E$5)*(Calc!$F$3:$F$22&lt;=k_n)*(Calc!$G$3:$G$22&lt;=A607))</f>
        <v/>
      </c>
      <c r="C607">
        <f>AND(B607&gt;=2,$B$469-B607&gt;=2)</f>
        <v/>
      </c>
      <c r="D607">
        <f>SUMPRODUCT((Calc!$F$3:$F$22&gt;=LTP!$E$5)*(Calc!$F$3:$F$22&lt;=k_n)*(Calc!$G$3:$G$22&gt;A607)*(Calc!$G$3:$G$22-A607))</f>
        <v/>
      </c>
      <c r="E607">
        <f>SUMPRODUCT((Calc!$F$3:$F$22&gt;=LTP!$E$5)*(Calc!$F$3:$F$22&lt;=k_n)*(Calc!$G$3:$G$22&gt;A607)*(Calc!$G$3:$G$22-A607)^2)</f>
        <v/>
      </c>
      <c r="F607">
        <f>SUMPRODUCT((Calc!$F$3:$F$22&gt;=LTP!$E$5)*(Calc!$F$3:$F$22&lt;=k_n)*(Calc!$G$3:$G$22&gt;A607)*(Calc!$G$3:$G$22-A607)*Calc!$G$3:$G$22)</f>
        <v/>
      </c>
      <c r="G607">
        <f>SUMPRODUCT((Calc!$F$3:$F$22&gt;=LTP!$E$5)*(Calc!$F$3:$F$22&lt;=k_n)*(Calc!$G$3:$G$22&gt;A607)*(Calc!$G$3:$G$22-A607)*Calc!$I$3:$I$22)</f>
        <v/>
      </c>
      <c r="H607">
        <f>IF($B$469&gt;0,F607-$C$469*D607/$B$469,0)</f>
        <v/>
      </c>
      <c r="I607">
        <f>IF($B$469&gt;0,E607-D607^2/$B$469,0)</f>
        <v/>
      </c>
      <c r="J607">
        <f>IF($B$469&gt;0,G607-D607*$D$469/$B$469,0)</f>
        <v/>
      </c>
      <c r="K607">
        <f>$H$469*I607-H607^2</f>
        <v/>
      </c>
      <c r="L607">
        <f>IF(ABS(K607)&gt;1E-12,($H$469*J607-H607*$I$469)/K607,0)</f>
        <v/>
      </c>
      <c r="M607">
        <f>IF(ABS(K607)&gt;1E-12,(I607*$I$469-H607*J607)/K607,0)</f>
        <v/>
      </c>
      <c r="N607">
        <f>$J$469-M607*$I$469-L607*J607</f>
        <v/>
      </c>
      <c r="O607">
        <f>IF(AND(C607,ABS(K607)&gt;1E-12,L607&gt;0),N607,1E+300)</f>
        <v/>
      </c>
    </row>
    <row r="608">
      <c r="A608">
        <f>$K$469+($L$469-$K$469)*136/400</f>
        <v/>
      </c>
      <c r="B608">
        <f>SUMPRODUCT((Calc!$F$3:$F$22&gt;=LTP!$E$5)*(Calc!$F$3:$F$22&lt;=k_n)*(Calc!$G$3:$G$22&lt;=A608))</f>
        <v/>
      </c>
      <c r="C608">
        <f>AND(B608&gt;=2,$B$469-B608&gt;=2)</f>
        <v/>
      </c>
      <c r="D608">
        <f>SUMPRODUCT((Calc!$F$3:$F$22&gt;=LTP!$E$5)*(Calc!$F$3:$F$22&lt;=k_n)*(Calc!$G$3:$G$22&gt;A608)*(Calc!$G$3:$G$22-A608))</f>
        <v/>
      </c>
      <c r="E608">
        <f>SUMPRODUCT((Calc!$F$3:$F$22&gt;=LTP!$E$5)*(Calc!$F$3:$F$22&lt;=k_n)*(Calc!$G$3:$G$22&gt;A608)*(Calc!$G$3:$G$22-A608)^2)</f>
        <v/>
      </c>
      <c r="F608">
        <f>SUMPRODUCT((Calc!$F$3:$F$22&gt;=LTP!$E$5)*(Calc!$F$3:$F$22&lt;=k_n)*(Calc!$G$3:$G$22&gt;A608)*(Calc!$G$3:$G$22-A608)*Calc!$G$3:$G$22)</f>
        <v/>
      </c>
      <c r="G608">
        <f>SUMPRODUCT((Calc!$F$3:$F$22&gt;=LTP!$E$5)*(Calc!$F$3:$F$22&lt;=k_n)*(Calc!$G$3:$G$22&gt;A608)*(Calc!$G$3:$G$22-A608)*Calc!$I$3:$I$22)</f>
        <v/>
      </c>
      <c r="H608">
        <f>IF($B$469&gt;0,F608-$C$469*D608/$B$469,0)</f>
        <v/>
      </c>
      <c r="I608">
        <f>IF($B$469&gt;0,E608-D608^2/$B$469,0)</f>
        <v/>
      </c>
      <c r="J608">
        <f>IF($B$469&gt;0,G608-D608*$D$469/$B$469,0)</f>
        <v/>
      </c>
      <c r="K608">
        <f>$H$469*I608-H608^2</f>
        <v/>
      </c>
      <c r="L608">
        <f>IF(ABS(K608)&gt;1E-12,($H$469*J608-H608*$I$469)/K608,0)</f>
        <v/>
      </c>
      <c r="M608">
        <f>IF(ABS(K608)&gt;1E-12,(I608*$I$469-H608*J608)/K608,0)</f>
        <v/>
      </c>
      <c r="N608">
        <f>$J$469-M608*$I$469-L608*J608</f>
        <v/>
      </c>
      <c r="O608">
        <f>IF(AND(C608,ABS(K608)&gt;1E-12,L608&gt;0),N608,1E+300)</f>
        <v/>
      </c>
    </row>
    <row r="609">
      <c r="A609">
        <f>$K$469+($L$469-$K$469)*137/400</f>
        <v/>
      </c>
      <c r="B609">
        <f>SUMPRODUCT((Calc!$F$3:$F$22&gt;=LTP!$E$5)*(Calc!$F$3:$F$22&lt;=k_n)*(Calc!$G$3:$G$22&lt;=A609))</f>
        <v/>
      </c>
      <c r="C609">
        <f>AND(B609&gt;=2,$B$469-B609&gt;=2)</f>
        <v/>
      </c>
      <c r="D609">
        <f>SUMPRODUCT((Calc!$F$3:$F$22&gt;=LTP!$E$5)*(Calc!$F$3:$F$22&lt;=k_n)*(Calc!$G$3:$G$22&gt;A609)*(Calc!$G$3:$G$22-A609))</f>
        <v/>
      </c>
      <c r="E609">
        <f>SUMPRODUCT((Calc!$F$3:$F$22&gt;=LTP!$E$5)*(Calc!$F$3:$F$22&lt;=k_n)*(Calc!$G$3:$G$22&gt;A609)*(Calc!$G$3:$G$22-A609)^2)</f>
        <v/>
      </c>
      <c r="F609">
        <f>SUMPRODUCT((Calc!$F$3:$F$22&gt;=LTP!$E$5)*(Calc!$F$3:$F$22&lt;=k_n)*(Calc!$G$3:$G$22&gt;A609)*(Calc!$G$3:$G$22-A609)*Calc!$G$3:$G$22)</f>
        <v/>
      </c>
      <c r="G609">
        <f>SUMPRODUCT((Calc!$F$3:$F$22&gt;=LTP!$E$5)*(Calc!$F$3:$F$22&lt;=k_n)*(Calc!$G$3:$G$22&gt;A609)*(Calc!$G$3:$G$22-A609)*Calc!$I$3:$I$22)</f>
        <v/>
      </c>
      <c r="H609">
        <f>IF($B$469&gt;0,F609-$C$469*D609/$B$469,0)</f>
        <v/>
      </c>
      <c r="I609">
        <f>IF($B$469&gt;0,E609-D609^2/$B$469,0)</f>
        <v/>
      </c>
      <c r="J609">
        <f>IF($B$469&gt;0,G609-D609*$D$469/$B$469,0)</f>
        <v/>
      </c>
      <c r="K609">
        <f>$H$469*I609-H609^2</f>
        <v/>
      </c>
      <c r="L609">
        <f>IF(ABS(K609)&gt;1E-12,($H$469*J609-H609*$I$469)/K609,0)</f>
        <v/>
      </c>
      <c r="M609">
        <f>IF(ABS(K609)&gt;1E-12,(I609*$I$469-H609*J609)/K609,0)</f>
        <v/>
      </c>
      <c r="N609">
        <f>$J$469-M609*$I$469-L609*J609</f>
        <v/>
      </c>
      <c r="O609">
        <f>IF(AND(C609,ABS(K609)&gt;1E-12,L609&gt;0),N609,1E+300)</f>
        <v/>
      </c>
    </row>
    <row r="610">
      <c r="A610">
        <f>$K$469+($L$469-$K$469)*138/400</f>
        <v/>
      </c>
      <c r="B610">
        <f>SUMPRODUCT((Calc!$F$3:$F$22&gt;=LTP!$E$5)*(Calc!$F$3:$F$22&lt;=k_n)*(Calc!$G$3:$G$22&lt;=A610))</f>
        <v/>
      </c>
      <c r="C610">
        <f>AND(B610&gt;=2,$B$469-B610&gt;=2)</f>
        <v/>
      </c>
      <c r="D610">
        <f>SUMPRODUCT((Calc!$F$3:$F$22&gt;=LTP!$E$5)*(Calc!$F$3:$F$22&lt;=k_n)*(Calc!$G$3:$G$22&gt;A610)*(Calc!$G$3:$G$22-A610))</f>
        <v/>
      </c>
      <c r="E610">
        <f>SUMPRODUCT((Calc!$F$3:$F$22&gt;=LTP!$E$5)*(Calc!$F$3:$F$22&lt;=k_n)*(Calc!$G$3:$G$22&gt;A610)*(Calc!$G$3:$G$22-A610)^2)</f>
        <v/>
      </c>
      <c r="F610">
        <f>SUMPRODUCT((Calc!$F$3:$F$22&gt;=LTP!$E$5)*(Calc!$F$3:$F$22&lt;=k_n)*(Calc!$G$3:$G$22&gt;A610)*(Calc!$G$3:$G$22-A610)*Calc!$G$3:$G$22)</f>
        <v/>
      </c>
      <c r="G610">
        <f>SUMPRODUCT((Calc!$F$3:$F$22&gt;=LTP!$E$5)*(Calc!$F$3:$F$22&lt;=k_n)*(Calc!$G$3:$G$22&gt;A610)*(Calc!$G$3:$G$22-A610)*Calc!$I$3:$I$22)</f>
        <v/>
      </c>
      <c r="H610">
        <f>IF($B$469&gt;0,F610-$C$469*D610/$B$469,0)</f>
        <v/>
      </c>
      <c r="I610">
        <f>IF($B$469&gt;0,E610-D610^2/$B$469,0)</f>
        <v/>
      </c>
      <c r="J610">
        <f>IF($B$469&gt;0,G610-D610*$D$469/$B$469,0)</f>
        <v/>
      </c>
      <c r="K610">
        <f>$H$469*I610-H610^2</f>
        <v/>
      </c>
      <c r="L610">
        <f>IF(ABS(K610)&gt;1E-12,($H$469*J610-H610*$I$469)/K610,0)</f>
        <v/>
      </c>
      <c r="M610">
        <f>IF(ABS(K610)&gt;1E-12,(I610*$I$469-H610*J610)/K610,0)</f>
        <v/>
      </c>
      <c r="N610">
        <f>$J$469-M610*$I$469-L610*J610</f>
        <v/>
      </c>
      <c r="O610">
        <f>IF(AND(C610,ABS(K610)&gt;1E-12,L610&gt;0),N610,1E+300)</f>
        <v/>
      </c>
    </row>
    <row r="611">
      <c r="A611">
        <f>$K$469+($L$469-$K$469)*139/400</f>
        <v/>
      </c>
      <c r="B611">
        <f>SUMPRODUCT((Calc!$F$3:$F$22&gt;=LTP!$E$5)*(Calc!$F$3:$F$22&lt;=k_n)*(Calc!$G$3:$G$22&lt;=A611))</f>
        <v/>
      </c>
      <c r="C611">
        <f>AND(B611&gt;=2,$B$469-B611&gt;=2)</f>
        <v/>
      </c>
      <c r="D611">
        <f>SUMPRODUCT((Calc!$F$3:$F$22&gt;=LTP!$E$5)*(Calc!$F$3:$F$22&lt;=k_n)*(Calc!$G$3:$G$22&gt;A611)*(Calc!$G$3:$G$22-A611))</f>
        <v/>
      </c>
      <c r="E611">
        <f>SUMPRODUCT((Calc!$F$3:$F$22&gt;=LTP!$E$5)*(Calc!$F$3:$F$22&lt;=k_n)*(Calc!$G$3:$G$22&gt;A611)*(Calc!$G$3:$G$22-A611)^2)</f>
        <v/>
      </c>
      <c r="F611">
        <f>SUMPRODUCT((Calc!$F$3:$F$22&gt;=LTP!$E$5)*(Calc!$F$3:$F$22&lt;=k_n)*(Calc!$G$3:$G$22&gt;A611)*(Calc!$G$3:$G$22-A611)*Calc!$G$3:$G$22)</f>
        <v/>
      </c>
      <c r="G611">
        <f>SUMPRODUCT((Calc!$F$3:$F$22&gt;=LTP!$E$5)*(Calc!$F$3:$F$22&lt;=k_n)*(Calc!$G$3:$G$22&gt;A611)*(Calc!$G$3:$G$22-A611)*Calc!$I$3:$I$22)</f>
        <v/>
      </c>
      <c r="H611">
        <f>IF($B$469&gt;0,F611-$C$469*D611/$B$469,0)</f>
        <v/>
      </c>
      <c r="I611">
        <f>IF($B$469&gt;0,E611-D611^2/$B$469,0)</f>
        <v/>
      </c>
      <c r="J611">
        <f>IF($B$469&gt;0,G611-D611*$D$469/$B$469,0)</f>
        <v/>
      </c>
      <c r="K611">
        <f>$H$469*I611-H611^2</f>
        <v/>
      </c>
      <c r="L611">
        <f>IF(ABS(K611)&gt;1E-12,($H$469*J611-H611*$I$469)/K611,0)</f>
        <v/>
      </c>
      <c r="M611">
        <f>IF(ABS(K611)&gt;1E-12,(I611*$I$469-H611*J611)/K611,0)</f>
        <v/>
      </c>
      <c r="N611">
        <f>$J$469-M611*$I$469-L611*J611</f>
        <v/>
      </c>
      <c r="O611">
        <f>IF(AND(C611,ABS(K611)&gt;1E-12,L611&gt;0),N611,1E+300)</f>
        <v/>
      </c>
    </row>
    <row r="612">
      <c r="A612">
        <f>$K$469+($L$469-$K$469)*140/400</f>
        <v/>
      </c>
      <c r="B612">
        <f>SUMPRODUCT((Calc!$F$3:$F$22&gt;=LTP!$E$5)*(Calc!$F$3:$F$22&lt;=k_n)*(Calc!$G$3:$G$22&lt;=A612))</f>
        <v/>
      </c>
      <c r="C612">
        <f>AND(B612&gt;=2,$B$469-B612&gt;=2)</f>
        <v/>
      </c>
      <c r="D612">
        <f>SUMPRODUCT((Calc!$F$3:$F$22&gt;=LTP!$E$5)*(Calc!$F$3:$F$22&lt;=k_n)*(Calc!$G$3:$G$22&gt;A612)*(Calc!$G$3:$G$22-A612))</f>
        <v/>
      </c>
      <c r="E612">
        <f>SUMPRODUCT((Calc!$F$3:$F$22&gt;=LTP!$E$5)*(Calc!$F$3:$F$22&lt;=k_n)*(Calc!$G$3:$G$22&gt;A612)*(Calc!$G$3:$G$22-A612)^2)</f>
        <v/>
      </c>
      <c r="F612">
        <f>SUMPRODUCT((Calc!$F$3:$F$22&gt;=LTP!$E$5)*(Calc!$F$3:$F$22&lt;=k_n)*(Calc!$G$3:$G$22&gt;A612)*(Calc!$G$3:$G$22-A612)*Calc!$G$3:$G$22)</f>
        <v/>
      </c>
      <c r="G612">
        <f>SUMPRODUCT((Calc!$F$3:$F$22&gt;=LTP!$E$5)*(Calc!$F$3:$F$22&lt;=k_n)*(Calc!$G$3:$G$22&gt;A612)*(Calc!$G$3:$G$22-A612)*Calc!$I$3:$I$22)</f>
        <v/>
      </c>
      <c r="H612">
        <f>IF($B$469&gt;0,F612-$C$469*D612/$B$469,0)</f>
        <v/>
      </c>
      <c r="I612">
        <f>IF($B$469&gt;0,E612-D612^2/$B$469,0)</f>
        <v/>
      </c>
      <c r="J612">
        <f>IF($B$469&gt;0,G612-D612*$D$469/$B$469,0)</f>
        <v/>
      </c>
      <c r="K612">
        <f>$H$469*I612-H612^2</f>
        <v/>
      </c>
      <c r="L612">
        <f>IF(ABS(K612)&gt;1E-12,($H$469*J612-H612*$I$469)/K612,0)</f>
        <v/>
      </c>
      <c r="M612">
        <f>IF(ABS(K612)&gt;1E-12,(I612*$I$469-H612*J612)/K612,0)</f>
        <v/>
      </c>
      <c r="N612">
        <f>$J$469-M612*$I$469-L612*J612</f>
        <v/>
      </c>
      <c r="O612">
        <f>IF(AND(C612,ABS(K612)&gt;1E-12,L612&gt;0),N612,1E+300)</f>
        <v/>
      </c>
    </row>
    <row r="613">
      <c r="A613">
        <f>$K$469+($L$469-$K$469)*141/400</f>
        <v/>
      </c>
      <c r="B613">
        <f>SUMPRODUCT((Calc!$F$3:$F$22&gt;=LTP!$E$5)*(Calc!$F$3:$F$22&lt;=k_n)*(Calc!$G$3:$G$22&lt;=A613))</f>
        <v/>
      </c>
      <c r="C613">
        <f>AND(B613&gt;=2,$B$469-B613&gt;=2)</f>
        <v/>
      </c>
      <c r="D613">
        <f>SUMPRODUCT((Calc!$F$3:$F$22&gt;=LTP!$E$5)*(Calc!$F$3:$F$22&lt;=k_n)*(Calc!$G$3:$G$22&gt;A613)*(Calc!$G$3:$G$22-A613))</f>
        <v/>
      </c>
      <c r="E613">
        <f>SUMPRODUCT((Calc!$F$3:$F$22&gt;=LTP!$E$5)*(Calc!$F$3:$F$22&lt;=k_n)*(Calc!$G$3:$G$22&gt;A613)*(Calc!$G$3:$G$22-A613)^2)</f>
        <v/>
      </c>
      <c r="F613">
        <f>SUMPRODUCT((Calc!$F$3:$F$22&gt;=LTP!$E$5)*(Calc!$F$3:$F$22&lt;=k_n)*(Calc!$G$3:$G$22&gt;A613)*(Calc!$G$3:$G$22-A613)*Calc!$G$3:$G$22)</f>
        <v/>
      </c>
      <c r="G613">
        <f>SUMPRODUCT((Calc!$F$3:$F$22&gt;=LTP!$E$5)*(Calc!$F$3:$F$22&lt;=k_n)*(Calc!$G$3:$G$22&gt;A613)*(Calc!$G$3:$G$22-A613)*Calc!$I$3:$I$22)</f>
        <v/>
      </c>
      <c r="H613">
        <f>IF($B$469&gt;0,F613-$C$469*D613/$B$469,0)</f>
        <v/>
      </c>
      <c r="I613">
        <f>IF($B$469&gt;0,E613-D613^2/$B$469,0)</f>
        <v/>
      </c>
      <c r="J613">
        <f>IF($B$469&gt;0,G613-D613*$D$469/$B$469,0)</f>
        <v/>
      </c>
      <c r="K613">
        <f>$H$469*I613-H613^2</f>
        <v/>
      </c>
      <c r="L613">
        <f>IF(ABS(K613)&gt;1E-12,($H$469*J613-H613*$I$469)/K613,0)</f>
        <v/>
      </c>
      <c r="M613">
        <f>IF(ABS(K613)&gt;1E-12,(I613*$I$469-H613*J613)/K613,0)</f>
        <v/>
      </c>
      <c r="N613">
        <f>$J$469-M613*$I$469-L613*J613</f>
        <v/>
      </c>
      <c r="O613">
        <f>IF(AND(C613,ABS(K613)&gt;1E-12,L613&gt;0),N613,1E+300)</f>
        <v/>
      </c>
    </row>
    <row r="614">
      <c r="A614">
        <f>$K$469+($L$469-$K$469)*142/400</f>
        <v/>
      </c>
      <c r="B614">
        <f>SUMPRODUCT((Calc!$F$3:$F$22&gt;=LTP!$E$5)*(Calc!$F$3:$F$22&lt;=k_n)*(Calc!$G$3:$G$22&lt;=A614))</f>
        <v/>
      </c>
      <c r="C614">
        <f>AND(B614&gt;=2,$B$469-B614&gt;=2)</f>
        <v/>
      </c>
      <c r="D614">
        <f>SUMPRODUCT((Calc!$F$3:$F$22&gt;=LTP!$E$5)*(Calc!$F$3:$F$22&lt;=k_n)*(Calc!$G$3:$G$22&gt;A614)*(Calc!$G$3:$G$22-A614))</f>
        <v/>
      </c>
      <c r="E614">
        <f>SUMPRODUCT((Calc!$F$3:$F$22&gt;=LTP!$E$5)*(Calc!$F$3:$F$22&lt;=k_n)*(Calc!$G$3:$G$22&gt;A614)*(Calc!$G$3:$G$22-A614)^2)</f>
        <v/>
      </c>
      <c r="F614">
        <f>SUMPRODUCT((Calc!$F$3:$F$22&gt;=LTP!$E$5)*(Calc!$F$3:$F$22&lt;=k_n)*(Calc!$G$3:$G$22&gt;A614)*(Calc!$G$3:$G$22-A614)*Calc!$G$3:$G$22)</f>
        <v/>
      </c>
      <c r="G614">
        <f>SUMPRODUCT((Calc!$F$3:$F$22&gt;=LTP!$E$5)*(Calc!$F$3:$F$22&lt;=k_n)*(Calc!$G$3:$G$22&gt;A614)*(Calc!$G$3:$G$22-A614)*Calc!$I$3:$I$22)</f>
        <v/>
      </c>
      <c r="H614">
        <f>IF($B$469&gt;0,F614-$C$469*D614/$B$469,0)</f>
        <v/>
      </c>
      <c r="I614">
        <f>IF($B$469&gt;0,E614-D614^2/$B$469,0)</f>
        <v/>
      </c>
      <c r="J614">
        <f>IF($B$469&gt;0,G614-D614*$D$469/$B$469,0)</f>
        <v/>
      </c>
      <c r="K614">
        <f>$H$469*I614-H614^2</f>
        <v/>
      </c>
      <c r="L614">
        <f>IF(ABS(K614)&gt;1E-12,($H$469*J614-H614*$I$469)/K614,0)</f>
        <v/>
      </c>
      <c r="M614">
        <f>IF(ABS(K614)&gt;1E-12,(I614*$I$469-H614*J614)/K614,0)</f>
        <v/>
      </c>
      <c r="N614">
        <f>$J$469-M614*$I$469-L614*J614</f>
        <v/>
      </c>
      <c r="O614">
        <f>IF(AND(C614,ABS(K614)&gt;1E-12,L614&gt;0),N614,1E+300)</f>
        <v/>
      </c>
    </row>
    <row r="615">
      <c r="A615">
        <f>$K$469+($L$469-$K$469)*143/400</f>
        <v/>
      </c>
      <c r="B615">
        <f>SUMPRODUCT((Calc!$F$3:$F$22&gt;=LTP!$E$5)*(Calc!$F$3:$F$22&lt;=k_n)*(Calc!$G$3:$G$22&lt;=A615))</f>
        <v/>
      </c>
      <c r="C615">
        <f>AND(B615&gt;=2,$B$469-B615&gt;=2)</f>
        <v/>
      </c>
      <c r="D615">
        <f>SUMPRODUCT((Calc!$F$3:$F$22&gt;=LTP!$E$5)*(Calc!$F$3:$F$22&lt;=k_n)*(Calc!$G$3:$G$22&gt;A615)*(Calc!$G$3:$G$22-A615))</f>
        <v/>
      </c>
      <c r="E615">
        <f>SUMPRODUCT((Calc!$F$3:$F$22&gt;=LTP!$E$5)*(Calc!$F$3:$F$22&lt;=k_n)*(Calc!$G$3:$G$22&gt;A615)*(Calc!$G$3:$G$22-A615)^2)</f>
        <v/>
      </c>
      <c r="F615">
        <f>SUMPRODUCT((Calc!$F$3:$F$22&gt;=LTP!$E$5)*(Calc!$F$3:$F$22&lt;=k_n)*(Calc!$G$3:$G$22&gt;A615)*(Calc!$G$3:$G$22-A615)*Calc!$G$3:$G$22)</f>
        <v/>
      </c>
      <c r="G615">
        <f>SUMPRODUCT((Calc!$F$3:$F$22&gt;=LTP!$E$5)*(Calc!$F$3:$F$22&lt;=k_n)*(Calc!$G$3:$G$22&gt;A615)*(Calc!$G$3:$G$22-A615)*Calc!$I$3:$I$22)</f>
        <v/>
      </c>
      <c r="H615">
        <f>IF($B$469&gt;0,F615-$C$469*D615/$B$469,0)</f>
        <v/>
      </c>
      <c r="I615">
        <f>IF($B$469&gt;0,E615-D615^2/$B$469,0)</f>
        <v/>
      </c>
      <c r="J615">
        <f>IF($B$469&gt;0,G615-D615*$D$469/$B$469,0)</f>
        <v/>
      </c>
      <c r="K615">
        <f>$H$469*I615-H615^2</f>
        <v/>
      </c>
      <c r="L615">
        <f>IF(ABS(K615)&gt;1E-12,($H$469*J615-H615*$I$469)/K615,0)</f>
        <v/>
      </c>
      <c r="M615">
        <f>IF(ABS(K615)&gt;1E-12,(I615*$I$469-H615*J615)/K615,0)</f>
        <v/>
      </c>
      <c r="N615">
        <f>$J$469-M615*$I$469-L615*J615</f>
        <v/>
      </c>
      <c r="O615">
        <f>IF(AND(C615,ABS(K615)&gt;1E-12,L615&gt;0),N615,1E+300)</f>
        <v/>
      </c>
    </row>
    <row r="616">
      <c r="A616">
        <f>$K$469+($L$469-$K$469)*144/400</f>
        <v/>
      </c>
      <c r="B616">
        <f>SUMPRODUCT((Calc!$F$3:$F$22&gt;=LTP!$E$5)*(Calc!$F$3:$F$22&lt;=k_n)*(Calc!$G$3:$G$22&lt;=A616))</f>
        <v/>
      </c>
      <c r="C616">
        <f>AND(B616&gt;=2,$B$469-B616&gt;=2)</f>
        <v/>
      </c>
      <c r="D616">
        <f>SUMPRODUCT((Calc!$F$3:$F$22&gt;=LTP!$E$5)*(Calc!$F$3:$F$22&lt;=k_n)*(Calc!$G$3:$G$22&gt;A616)*(Calc!$G$3:$G$22-A616))</f>
        <v/>
      </c>
      <c r="E616">
        <f>SUMPRODUCT((Calc!$F$3:$F$22&gt;=LTP!$E$5)*(Calc!$F$3:$F$22&lt;=k_n)*(Calc!$G$3:$G$22&gt;A616)*(Calc!$G$3:$G$22-A616)^2)</f>
        <v/>
      </c>
      <c r="F616">
        <f>SUMPRODUCT((Calc!$F$3:$F$22&gt;=LTP!$E$5)*(Calc!$F$3:$F$22&lt;=k_n)*(Calc!$G$3:$G$22&gt;A616)*(Calc!$G$3:$G$22-A616)*Calc!$G$3:$G$22)</f>
        <v/>
      </c>
      <c r="G616">
        <f>SUMPRODUCT((Calc!$F$3:$F$22&gt;=LTP!$E$5)*(Calc!$F$3:$F$22&lt;=k_n)*(Calc!$G$3:$G$22&gt;A616)*(Calc!$G$3:$G$22-A616)*Calc!$I$3:$I$22)</f>
        <v/>
      </c>
      <c r="H616">
        <f>IF($B$469&gt;0,F616-$C$469*D616/$B$469,0)</f>
        <v/>
      </c>
      <c r="I616">
        <f>IF($B$469&gt;0,E616-D616^2/$B$469,0)</f>
        <v/>
      </c>
      <c r="J616">
        <f>IF($B$469&gt;0,G616-D616*$D$469/$B$469,0)</f>
        <v/>
      </c>
      <c r="K616">
        <f>$H$469*I616-H616^2</f>
        <v/>
      </c>
      <c r="L616">
        <f>IF(ABS(K616)&gt;1E-12,($H$469*J616-H616*$I$469)/K616,0)</f>
        <v/>
      </c>
      <c r="M616">
        <f>IF(ABS(K616)&gt;1E-12,(I616*$I$469-H616*J616)/K616,0)</f>
        <v/>
      </c>
      <c r="N616">
        <f>$J$469-M616*$I$469-L616*J616</f>
        <v/>
      </c>
      <c r="O616">
        <f>IF(AND(C616,ABS(K616)&gt;1E-12,L616&gt;0),N616,1E+300)</f>
        <v/>
      </c>
    </row>
    <row r="617">
      <c r="A617">
        <f>$K$469+($L$469-$K$469)*145/400</f>
        <v/>
      </c>
      <c r="B617">
        <f>SUMPRODUCT((Calc!$F$3:$F$22&gt;=LTP!$E$5)*(Calc!$F$3:$F$22&lt;=k_n)*(Calc!$G$3:$G$22&lt;=A617))</f>
        <v/>
      </c>
      <c r="C617">
        <f>AND(B617&gt;=2,$B$469-B617&gt;=2)</f>
        <v/>
      </c>
      <c r="D617">
        <f>SUMPRODUCT((Calc!$F$3:$F$22&gt;=LTP!$E$5)*(Calc!$F$3:$F$22&lt;=k_n)*(Calc!$G$3:$G$22&gt;A617)*(Calc!$G$3:$G$22-A617))</f>
        <v/>
      </c>
      <c r="E617">
        <f>SUMPRODUCT((Calc!$F$3:$F$22&gt;=LTP!$E$5)*(Calc!$F$3:$F$22&lt;=k_n)*(Calc!$G$3:$G$22&gt;A617)*(Calc!$G$3:$G$22-A617)^2)</f>
        <v/>
      </c>
      <c r="F617">
        <f>SUMPRODUCT((Calc!$F$3:$F$22&gt;=LTP!$E$5)*(Calc!$F$3:$F$22&lt;=k_n)*(Calc!$G$3:$G$22&gt;A617)*(Calc!$G$3:$G$22-A617)*Calc!$G$3:$G$22)</f>
        <v/>
      </c>
      <c r="G617">
        <f>SUMPRODUCT((Calc!$F$3:$F$22&gt;=LTP!$E$5)*(Calc!$F$3:$F$22&lt;=k_n)*(Calc!$G$3:$G$22&gt;A617)*(Calc!$G$3:$G$22-A617)*Calc!$I$3:$I$22)</f>
        <v/>
      </c>
      <c r="H617">
        <f>IF($B$469&gt;0,F617-$C$469*D617/$B$469,0)</f>
        <v/>
      </c>
      <c r="I617">
        <f>IF($B$469&gt;0,E617-D617^2/$B$469,0)</f>
        <v/>
      </c>
      <c r="J617">
        <f>IF($B$469&gt;0,G617-D617*$D$469/$B$469,0)</f>
        <v/>
      </c>
      <c r="K617">
        <f>$H$469*I617-H617^2</f>
        <v/>
      </c>
      <c r="L617">
        <f>IF(ABS(K617)&gt;1E-12,($H$469*J617-H617*$I$469)/K617,0)</f>
        <v/>
      </c>
      <c r="M617">
        <f>IF(ABS(K617)&gt;1E-12,(I617*$I$469-H617*J617)/K617,0)</f>
        <v/>
      </c>
      <c r="N617">
        <f>$J$469-M617*$I$469-L617*J617</f>
        <v/>
      </c>
      <c r="O617">
        <f>IF(AND(C617,ABS(K617)&gt;1E-12,L617&gt;0),N617,1E+300)</f>
        <v/>
      </c>
    </row>
    <row r="618">
      <c r="A618">
        <f>$K$469+($L$469-$K$469)*146/400</f>
        <v/>
      </c>
      <c r="B618">
        <f>SUMPRODUCT((Calc!$F$3:$F$22&gt;=LTP!$E$5)*(Calc!$F$3:$F$22&lt;=k_n)*(Calc!$G$3:$G$22&lt;=A618))</f>
        <v/>
      </c>
      <c r="C618">
        <f>AND(B618&gt;=2,$B$469-B618&gt;=2)</f>
        <v/>
      </c>
      <c r="D618">
        <f>SUMPRODUCT((Calc!$F$3:$F$22&gt;=LTP!$E$5)*(Calc!$F$3:$F$22&lt;=k_n)*(Calc!$G$3:$G$22&gt;A618)*(Calc!$G$3:$G$22-A618))</f>
        <v/>
      </c>
      <c r="E618">
        <f>SUMPRODUCT((Calc!$F$3:$F$22&gt;=LTP!$E$5)*(Calc!$F$3:$F$22&lt;=k_n)*(Calc!$G$3:$G$22&gt;A618)*(Calc!$G$3:$G$22-A618)^2)</f>
        <v/>
      </c>
      <c r="F618">
        <f>SUMPRODUCT((Calc!$F$3:$F$22&gt;=LTP!$E$5)*(Calc!$F$3:$F$22&lt;=k_n)*(Calc!$G$3:$G$22&gt;A618)*(Calc!$G$3:$G$22-A618)*Calc!$G$3:$G$22)</f>
        <v/>
      </c>
      <c r="G618">
        <f>SUMPRODUCT((Calc!$F$3:$F$22&gt;=LTP!$E$5)*(Calc!$F$3:$F$22&lt;=k_n)*(Calc!$G$3:$G$22&gt;A618)*(Calc!$G$3:$G$22-A618)*Calc!$I$3:$I$22)</f>
        <v/>
      </c>
      <c r="H618">
        <f>IF($B$469&gt;0,F618-$C$469*D618/$B$469,0)</f>
        <v/>
      </c>
      <c r="I618">
        <f>IF($B$469&gt;0,E618-D618^2/$B$469,0)</f>
        <v/>
      </c>
      <c r="J618">
        <f>IF($B$469&gt;0,G618-D618*$D$469/$B$469,0)</f>
        <v/>
      </c>
      <c r="K618">
        <f>$H$469*I618-H618^2</f>
        <v/>
      </c>
      <c r="L618">
        <f>IF(ABS(K618)&gt;1E-12,($H$469*J618-H618*$I$469)/K618,0)</f>
        <v/>
      </c>
      <c r="M618">
        <f>IF(ABS(K618)&gt;1E-12,(I618*$I$469-H618*J618)/K618,0)</f>
        <v/>
      </c>
      <c r="N618">
        <f>$J$469-M618*$I$469-L618*J618</f>
        <v/>
      </c>
      <c r="O618">
        <f>IF(AND(C618,ABS(K618)&gt;1E-12,L618&gt;0),N618,1E+300)</f>
        <v/>
      </c>
    </row>
    <row r="619">
      <c r="A619">
        <f>$K$469+($L$469-$K$469)*147/400</f>
        <v/>
      </c>
      <c r="B619">
        <f>SUMPRODUCT((Calc!$F$3:$F$22&gt;=LTP!$E$5)*(Calc!$F$3:$F$22&lt;=k_n)*(Calc!$G$3:$G$22&lt;=A619))</f>
        <v/>
      </c>
      <c r="C619">
        <f>AND(B619&gt;=2,$B$469-B619&gt;=2)</f>
        <v/>
      </c>
      <c r="D619">
        <f>SUMPRODUCT((Calc!$F$3:$F$22&gt;=LTP!$E$5)*(Calc!$F$3:$F$22&lt;=k_n)*(Calc!$G$3:$G$22&gt;A619)*(Calc!$G$3:$G$22-A619))</f>
        <v/>
      </c>
      <c r="E619">
        <f>SUMPRODUCT((Calc!$F$3:$F$22&gt;=LTP!$E$5)*(Calc!$F$3:$F$22&lt;=k_n)*(Calc!$G$3:$G$22&gt;A619)*(Calc!$G$3:$G$22-A619)^2)</f>
        <v/>
      </c>
      <c r="F619">
        <f>SUMPRODUCT((Calc!$F$3:$F$22&gt;=LTP!$E$5)*(Calc!$F$3:$F$22&lt;=k_n)*(Calc!$G$3:$G$22&gt;A619)*(Calc!$G$3:$G$22-A619)*Calc!$G$3:$G$22)</f>
        <v/>
      </c>
      <c r="G619">
        <f>SUMPRODUCT((Calc!$F$3:$F$22&gt;=LTP!$E$5)*(Calc!$F$3:$F$22&lt;=k_n)*(Calc!$G$3:$G$22&gt;A619)*(Calc!$G$3:$G$22-A619)*Calc!$I$3:$I$22)</f>
        <v/>
      </c>
      <c r="H619">
        <f>IF($B$469&gt;0,F619-$C$469*D619/$B$469,0)</f>
        <v/>
      </c>
      <c r="I619">
        <f>IF($B$469&gt;0,E619-D619^2/$B$469,0)</f>
        <v/>
      </c>
      <c r="J619">
        <f>IF($B$469&gt;0,G619-D619*$D$469/$B$469,0)</f>
        <v/>
      </c>
      <c r="K619">
        <f>$H$469*I619-H619^2</f>
        <v/>
      </c>
      <c r="L619">
        <f>IF(ABS(K619)&gt;1E-12,($H$469*J619-H619*$I$469)/K619,0)</f>
        <v/>
      </c>
      <c r="M619">
        <f>IF(ABS(K619)&gt;1E-12,(I619*$I$469-H619*J619)/K619,0)</f>
        <v/>
      </c>
      <c r="N619">
        <f>$J$469-M619*$I$469-L619*J619</f>
        <v/>
      </c>
      <c r="O619">
        <f>IF(AND(C619,ABS(K619)&gt;1E-12,L619&gt;0),N619,1E+300)</f>
        <v/>
      </c>
    </row>
    <row r="620">
      <c r="A620">
        <f>$K$469+($L$469-$K$469)*148/400</f>
        <v/>
      </c>
      <c r="B620">
        <f>SUMPRODUCT((Calc!$F$3:$F$22&gt;=LTP!$E$5)*(Calc!$F$3:$F$22&lt;=k_n)*(Calc!$G$3:$G$22&lt;=A620))</f>
        <v/>
      </c>
      <c r="C620">
        <f>AND(B620&gt;=2,$B$469-B620&gt;=2)</f>
        <v/>
      </c>
      <c r="D620">
        <f>SUMPRODUCT((Calc!$F$3:$F$22&gt;=LTP!$E$5)*(Calc!$F$3:$F$22&lt;=k_n)*(Calc!$G$3:$G$22&gt;A620)*(Calc!$G$3:$G$22-A620))</f>
        <v/>
      </c>
      <c r="E620">
        <f>SUMPRODUCT((Calc!$F$3:$F$22&gt;=LTP!$E$5)*(Calc!$F$3:$F$22&lt;=k_n)*(Calc!$G$3:$G$22&gt;A620)*(Calc!$G$3:$G$22-A620)^2)</f>
        <v/>
      </c>
      <c r="F620">
        <f>SUMPRODUCT((Calc!$F$3:$F$22&gt;=LTP!$E$5)*(Calc!$F$3:$F$22&lt;=k_n)*(Calc!$G$3:$G$22&gt;A620)*(Calc!$G$3:$G$22-A620)*Calc!$G$3:$G$22)</f>
        <v/>
      </c>
      <c r="G620">
        <f>SUMPRODUCT((Calc!$F$3:$F$22&gt;=LTP!$E$5)*(Calc!$F$3:$F$22&lt;=k_n)*(Calc!$G$3:$G$22&gt;A620)*(Calc!$G$3:$G$22-A620)*Calc!$I$3:$I$22)</f>
        <v/>
      </c>
      <c r="H620">
        <f>IF($B$469&gt;0,F620-$C$469*D620/$B$469,0)</f>
        <v/>
      </c>
      <c r="I620">
        <f>IF($B$469&gt;0,E620-D620^2/$B$469,0)</f>
        <v/>
      </c>
      <c r="J620">
        <f>IF($B$469&gt;0,G620-D620*$D$469/$B$469,0)</f>
        <v/>
      </c>
      <c r="K620">
        <f>$H$469*I620-H620^2</f>
        <v/>
      </c>
      <c r="L620">
        <f>IF(ABS(K620)&gt;1E-12,($H$469*J620-H620*$I$469)/K620,0)</f>
        <v/>
      </c>
      <c r="M620">
        <f>IF(ABS(K620)&gt;1E-12,(I620*$I$469-H620*J620)/K620,0)</f>
        <v/>
      </c>
      <c r="N620">
        <f>$J$469-M620*$I$469-L620*J620</f>
        <v/>
      </c>
      <c r="O620">
        <f>IF(AND(C620,ABS(K620)&gt;1E-12,L620&gt;0),N620,1E+300)</f>
        <v/>
      </c>
    </row>
    <row r="621">
      <c r="A621">
        <f>$K$469+($L$469-$K$469)*149/400</f>
        <v/>
      </c>
      <c r="B621">
        <f>SUMPRODUCT((Calc!$F$3:$F$22&gt;=LTP!$E$5)*(Calc!$F$3:$F$22&lt;=k_n)*(Calc!$G$3:$G$22&lt;=A621))</f>
        <v/>
      </c>
      <c r="C621">
        <f>AND(B621&gt;=2,$B$469-B621&gt;=2)</f>
        <v/>
      </c>
      <c r="D621">
        <f>SUMPRODUCT((Calc!$F$3:$F$22&gt;=LTP!$E$5)*(Calc!$F$3:$F$22&lt;=k_n)*(Calc!$G$3:$G$22&gt;A621)*(Calc!$G$3:$G$22-A621))</f>
        <v/>
      </c>
      <c r="E621">
        <f>SUMPRODUCT((Calc!$F$3:$F$22&gt;=LTP!$E$5)*(Calc!$F$3:$F$22&lt;=k_n)*(Calc!$G$3:$G$22&gt;A621)*(Calc!$G$3:$G$22-A621)^2)</f>
        <v/>
      </c>
      <c r="F621">
        <f>SUMPRODUCT((Calc!$F$3:$F$22&gt;=LTP!$E$5)*(Calc!$F$3:$F$22&lt;=k_n)*(Calc!$G$3:$G$22&gt;A621)*(Calc!$G$3:$G$22-A621)*Calc!$G$3:$G$22)</f>
        <v/>
      </c>
      <c r="G621">
        <f>SUMPRODUCT((Calc!$F$3:$F$22&gt;=LTP!$E$5)*(Calc!$F$3:$F$22&lt;=k_n)*(Calc!$G$3:$G$22&gt;A621)*(Calc!$G$3:$G$22-A621)*Calc!$I$3:$I$22)</f>
        <v/>
      </c>
      <c r="H621">
        <f>IF($B$469&gt;0,F621-$C$469*D621/$B$469,0)</f>
        <v/>
      </c>
      <c r="I621">
        <f>IF($B$469&gt;0,E621-D621^2/$B$469,0)</f>
        <v/>
      </c>
      <c r="J621">
        <f>IF($B$469&gt;0,G621-D621*$D$469/$B$469,0)</f>
        <v/>
      </c>
      <c r="K621">
        <f>$H$469*I621-H621^2</f>
        <v/>
      </c>
      <c r="L621">
        <f>IF(ABS(K621)&gt;1E-12,($H$469*J621-H621*$I$469)/K621,0)</f>
        <v/>
      </c>
      <c r="M621">
        <f>IF(ABS(K621)&gt;1E-12,(I621*$I$469-H621*J621)/K621,0)</f>
        <v/>
      </c>
      <c r="N621">
        <f>$J$469-M621*$I$469-L621*J621</f>
        <v/>
      </c>
      <c r="O621">
        <f>IF(AND(C621,ABS(K621)&gt;1E-12,L621&gt;0),N621,1E+300)</f>
        <v/>
      </c>
    </row>
    <row r="622">
      <c r="A622">
        <f>$K$469+($L$469-$K$469)*150/400</f>
        <v/>
      </c>
      <c r="B622">
        <f>SUMPRODUCT((Calc!$F$3:$F$22&gt;=LTP!$E$5)*(Calc!$F$3:$F$22&lt;=k_n)*(Calc!$G$3:$G$22&lt;=A622))</f>
        <v/>
      </c>
      <c r="C622">
        <f>AND(B622&gt;=2,$B$469-B622&gt;=2)</f>
        <v/>
      </c>
      <c r="D622">
        <f>SUMPRODUCT((Calc!$F$3:$F$22&gt;=LTP!$E$5)*(Calc!$F$3:$F$22&lt;=k_n)*(Calc!$G$3:$G$22&gt;A622)*(Calc!$G$3:$G$22-A622))</f>
        <v/>
      </c>
      <c r="E622">
        <f>SUMPRODUCT((Calc!$F$3:$F$22&gt;=LTP!$E$5)*(Calc!$F$3:$F$22&lt;=k_n)*(Calc!$G$3:$G$22&gt;A622)*(Calc!$G$3:$G$22-A622)^2)</f>
        <v/>
      </c>
      <c r="F622">
        <f>SUMPRODUCT((Calc!$F$3:$F$22&gt;=LTP!$E$5)*(Calc!$F$3:$F$22&lt;=k_n)*(Calc!$G$3:$G$22&gt;A622)*(Calc!$G$3:$G$22-A622)*Calc!$G$3:$G$22)</f>
        <v/>
      </c>
      <c r="G622">
        <f>SUMPRODUCT((Calc!$F$3:$F$22&gt;=LTP!$E$5)*(Calc!$F$3:$F$22&lt;=k_n)*(Calc!$G$3:$G$22&gt;A622)*(Calc!$G$3:$G$22-A622)*Calc!$I$3:$I$22)</f>
        <v/>
      </c>
      <c r="H622">
        <f>IF($B$469&gt;0,F622-$C$469*D622/$B$469,0)</f>
        <v/>
      </c>
      <c r="I622">
        <f>IF($B$469&gt;0,E622-D622^2/$B$469,0)</f>
        <v/>
      </c>
      <c r="J622">
        <f>IF($B$469&gt;0,G622-D622*$D$469/$B$469,0)</f>
        <v/>
      </c>
      <c r="K622">
        <f>$H$469*I622-H622^2</f>
        <v/>
      </c>
      <c r="L622">
        <f>IF(ABS(K622)&gt;1E-12,($H$469*J622-H622*$I$469)/K622,0)</f>
        <v/>
      </c>
      <c r="M622">
        <f>IF(ABS(K622)&gt;1E-12,(I622*$I$469-H622*J622)/K622,0)</f>
        <v/>
      </c>
      <c r="N622">
        <f>$J$469-M622*$I$469-L622*J622</f>
        <v/>
      </c>
      <c r="O622">
        <f>IF(AND(C622,ABS(K622)&gt;1E-12,L622&gt;0),N622,1E+300)</f>
        <v/>
      </c>
    </row>
    <row r="623">
      <c r="A623">
        <f>$K$469+($L$469-$K$469)*151/400</f>
        <v/>
      </c>
      <c r="B623">
        <f>SUMPRODUCT((Calc!$F$3:$F$22&gt;=LTP!$E$5)*(Calc!$F$3:$F$22&lt;=k_n)*(Calc!$G$3:$G$22&lt;=A623))</f>
        <v/>
      </c>
      <c r="C623">
        <f>AND(B623&gt;=2,$B$469-B623&gt;=2)</f>
        <v/>
      </c>
      <c r="D623">
        <f>SUMPRODUCT((Calc!$F$3:$F$22&gt;=LTP!$E$5)*(Calc!$F$3:$F$22&lt;=k_n)*(Calc!$G$3:$G$22&gt;A623)*(Calc!$G$3:$G$22-A623))</f>
        <v/>
      </c>
      <c r="E623">
        <f>SUMPRODUCT((Calc!$F$3:$F$22&gt;=LTP!$E$5)*(Calc!$F$3:$F$22&lt;=k_n)*(Calc!$G$3:$G$22&gt;A623)*(Calc!$G$3:$G$22-A623)^2)</f>
        <v/>
      </c>
      <c r="F623">
        <f>SUMPRODUCT((Calc!$F$3:$F$22&gt;=LTP!$E$5)*(Calc!$F$3:$F$22&lt;=k_n)*(Calc!$G$3:$G$22&gt;A623)*(Calc!$G$3:$G$22-A623)*Calc!$G$3:$G$22)</f>
        <v/>
      </c>
      <c r="G623">
        <f>SUMPRODUCT((Calc!$F$3:$F$22&gt;=LTP!$E$5)*(Calc!$F$3:$F$22&lt;=k_n)*(Calc!$G$3:$G$22&gt;A623)*(Calc!$G$3:$G$22-A623)*Calc!$I$3:$I$22)</f>
        <v/>
      </c>
      <c r="H623">
        <f>IF($B$469&gt;0,F623-$C$469*D623/$B$469,0)</f>
        <v/>
      </c>
      <c r="I623">
        <f>IF($B$469&gt;0,E623-D623^2/$B$469,0)</f>
        <v/>
      </c>
      <c r="J623">
        <f>IF($B$469&gt;0,G623-D623*$D$469/$B$469,0)</f>
        <v/>
      </c>
      <c r="K623">
        <f>$H$469*I623-H623^2</f>
        <v/>
      </c>
      <c r="L623">
        <f>IF(ABS(K623)&gt;1E-12,($H$469*J623-H623*$I$469)/K623,0)</f>
        <v/>
      </c>
      <c r="M623">
        <f>IF(ABS(K623)&gt;1E-12,(I623*$I$469-H623*J623)/K623,0)</f>
        <v/>
      </c>
      <c r="N623">
        <f>$J$469-M623*$I$469-L623*J623</f>
        <v/>
      </c>
      <c r="O623">
        <f>IF(AND(C623,ABS(K623)&gt;1E-12,L623&gt;0),N623,1E+300)</f>
        <v/>
      </c>
    </row>
    <row r="624">
      <c r="A624">
        <f>$K$469+($L$469-$K$469)*152/400</f>
        <v/>
      </c>
      <c r="B624">
        <f>SUMPRODUCT((Calc!$F$3:$F$22&gt;=LTP!$E$5)*(Calc!$F$3:$F$22&lt;=k_n)*(Calc!$G$3:$G$22&lt;=A624))</f>
        <v/>
      </c>
      <c r="C624">
        <f>AND(B624&gt;=2,$B$469-B624&gt;=2)</f>
        <v/>
      </c>
      <c r="D624">
        <f>SUMPRODUCT((Calc!$F$3:$F$22&gt;=LTP!$E$5)*(Calc!$F$3:$F$22&lt;=k_n)*(Calc!$G$3:$G$22&gt;A624)*(Calc!$G$3:$G$22-A624))</f>
        <v/>
      </c>
      <c r="E624">
        <f>SUMPRODUCT((Calc!$F$3:$F$22&gt;=LTP!$E$5)*(Calc!$F$3:$F$22&lt;=k_n)*(Calc!$G$3:$G$22&gt;A624)*(Calc!$G$3:$G$22-A624)^2)</f>
        <v/>
      </c>
      <c r="F624">
        <f>SUMPRODUCT((Calc!$F$3:$F$22&gt;=LTP!$E$5)*(Calc!$F$3:$F$22&lt;=k_n)*(Calc!$G$3:$G$22&gt;A624)*(Calc!$G$3:$G$22-A624)*Calc!$G$3:$G$22)</f>
        <v/>
      </c>
      <c r="G624">
        <f>SUMPRODUCT((Calc!$F$3:$F$22&gt;=LTP!$E$5)*(Calc!$F$3:$F$22&lt;=k_n)*(Calc!$G$3:$G$22&gt;A624)*(Calc!$G$3:$G$22-A624)*Calc!$I$3:$I$22)</f>
        <v/>
      </c>
      <c r="H624">
        <f>IF($B$469&gt;0,F624-$C$469*D624/$B$469,0)</f>
        <v/>
      </c>
      <c r="I624">
        <f>IF($B$469&gt;0,E624-D624^2/$B$469,0)</f>
        <v/>
      </c>
      <c r="J624">
        <f>IF($B$469&gt;0,G624-D624*$D$469/$B$469,0)</f>
        <v/>
      </c>
      <c r="K624">
        <f>$H$469*I624-H624^2</f>
        <v/>
      </c>
      <c r="L624">
        <f>IF(ABS(K624)&gt;1E-12,($H$469*J624-H624*$I$469)/K624,0)</f>
        <v/>
      </c>
      <c r="M624">
        <f>IF(ABS(K624)&gt;1E-12,(I624*$I$469-H624*J624)/K624,0)</f>
        <v/>
      </c>
      <c r="N624">
        <f>$J$469-M624*$I$469-L624*J624</f>
        <v/>
      </c>
      <c r="O624">
        <f>IF(AND(C624,ABS(K624)&gt;1E-12,L624&gt;0),N624,1E+300)</f>
        <v/>
      </c>
    </row>
    <row r="625">
      <c r="A625">
        <f>$K$469+($L$469-$K$469)*153/400</f>
        <v/>
      </c>
      <c r="B625">
        <f>SUMPRODUCT((Calc!$F$3:$F$22&gt;=LTP!$E$5)*(Calc!$F$3:$F$22&lt;=k_n)*(Calc!$G$3:$G$22&lt;=A625))</f>
        <v/>
      </c>
      <c r="C625">
        <f>AND(B625&gt;=2,$B$469-B625&gt;=2)</f>
        <v/>
      </c>
      <c r="D625">
        <f>SUMPRODUCT((Calc!$F$3:$F$22&gt;=LTP!$E$5)*(Calc!$F$3:$F$22&lt;=k_n)*(Calc!$G$3:$G$22&gt;A625)*(Calc!$G$3:$G$22-A625))</f>
        <v/>
      </c>
      <c r="E625">
        <f>SUMPRODUCT((Calc!$F$3:$F$22&gt;=LTP!$E$5)*(Calc!$F$3:$F$22&lt;=k_n)*(Calc!$G$3:$G$22&gt;A625)*(Calc!$G$3:$G$22-A625)^2)</f>
        <v/>
      </c>
      <c r="F625">
        <f>SUMPRODUCT((Calc!$F$3:$F$22&gt;=LTP!$E$5)*(Calc!$F$3:$F$22&lt;=k_n)*(Calc!$G$3:$G$22&gt;A625)*(Calc!$G$3:$G$22-A625)*Calc!$G$3:$G$22)</f>
        <v/>
      </c>
      <c r="G625">
        <f>SUMPRODUCT((Calc!$F$3:$F$22&gt;=LTP!$E$5)*(Calc!$F$3:$F$22&lt;=k_n)*(Calc!$G$3:$G$22&gt;A625)*(Calc!$G$3:$G$22-A625)*Calc!$I$3:$I$22)</f>
        <v/>
      </c>
      <c r="H625">
        <f>IF($B$469&gt;0,F625-$C$469*D625/$B$469,0)</f>
        <v/>
      </c>
      <c r="I625">
        <f>IF($B$469&gt;0,E625-D625^2/$B$469,0)</f>
        <v/>
      </c>
      <c r="J625">
        <f>IF($B$469&gt;0,G625-D625*$D$469/$B$469,0)</f>
        <v/>
      </c>
      <c r="K625">
        <f>$H$469*I625-H625^2</f>
        <v/>
      </c>
      <c r="L625">
        <f>IF(ABS(K625)&gt;1E-12,($H$469*J625-H625*$I$469)/K625,0)</f>
        <v/>
      </c>
      <c r="M625">
        <f>IF(ABS(K625)&gt;1E-12,(I625*$I$469-H625*J625)/K625,0)</f>
        <v/>
      </c>
      <c r="N625">
        <f>$J$469-M625*$I$469-L625*J625</f>
        <v/>
      </c>
      <c r="O625">
        <f>IF(AND(C625,ABS(K625)&gt;1E-12,L625&gt;0),N625,1E+300)</f>
        <v/>
      </c>
    </row>
    <row r="626">
      <c r="A626">
        <f>$K$469+($L$469-$K$469)*154/400</f>
        <v/>
      </c>
      <c r="B626">
        <f>SUMPRODUCT((Calc!$F$3:$F$22&gt;=LTP!$E$5)*(Calc!$F$3:$F$22&lt;=k_n)*(Calc!$G$3:$G$22&lt;=A626))</f>
        <v/>
      </c>
      <c r="C626">
        <f>AND(B626&gt;=2,$B$469-B626&gt;=2)</f>
        <v/>
      </c>
      <c r="D626">
        <f>SUMPRODUCT((Calc!$F$3:$F$22&gt;=LTP!$E$5)*(Calc!$F$3:$F$22&lt;=k_n)*(Calc!$G$3:$G$22&gt;A626)*(Calc!$G$3:$G$22-A626))</f>
        <v/>
      </c>
      <c r="E626">
        <f>SUMPRODUCT((Calc!$F$3:$F$22&gt;=LTP!$E$5)*(Calc!$F$3:$F$22&lt;=k_n)*(Calc!$G$3:$G$22&gt;A626)*(Calc!$G$3:$G$22-A626)^2)</f>
        <v/>
      </c>
      <c r="F626">
        <f>SUMPRODUCT((Calc!$F$3:$F$22&gt;=LTP!$E$5)*(Calc!$F$3:$F$22&lt;=k_n)*(Calc!$G$3:$G$22&gt;A626)*(Calc!$G$3:$G$22-A626)*Calc!$G$3:$G$22)</f>
        <v/>
      </c>
      <c r="G626">
        <f>SUMPRODUCT((Calc!$F$3:$F$22&gt;=LTP!$E$5)*(Calc!$F$3:$F$22&lt;=k_n)*(Calc!$G$3:$G$22&gt;A626)*(Calc!$G$3:$G$22-A626)*Calc!$I$3:$I$22)</f>
        <v/>
      </c>
      <c r="H626">
        <f>IF($B$469&gt;0,F626-$C$469*D626/$B$469,0)</f>
        <v/>
      </c>
      <c r="I626">
        <f>IF($B$469&gt;0,E626-D626^2/$B$469,0)</f>
        <v/>
      </c>
      <c r="J626">
        <f>IF($B$469&gt;0,G626-D626*$D$469/$B$469,0)</f>
        <v/>
      </c>
      <c r="K626">
        <f>$H$469*I626-H626^2</f>
        <v/>
      </c>
      <c r="L626">
        <f>IF(ABS(K626)&gt;1E-12,($H$469*J626-H626*$I$469)/K626,0)</f>
        <v/>
      </c>
      <c r="M626">
        <f>IF(ABS(K626)&gt;1E-12,(I626*$I$469-H626*J626)/K626,0)</f>
        <v/>
      </c>
      <c r="N626">
        <f>$J$469-M626*$I$469-L626*J626</f>
        <v/>
      </c>
      <c r="O626">
        <f>IF(AND(C626,ABS(K626)&gt;1E-12,L626&gt;0),N626,1E+300)</f>
        <v/>
      </c>
    </row>
    <row r="627">
      <c r="A627">
        <f>$K$469+($L$469-$K$469)*155/400</f>
        <v/>
      </c>
      <c r="B627">
        <f>SUMPRODUCT((Calc!$F$3:$F$22&gt;=LTP!$E$5)*(Calc!$F$3:$F$22&lt;=k_n)*(Calc!$G$3:$G$22&lt;=A627))</f>
        <v/>
      </c>
      <c r="C627">
        <f>AND(B627&gt;=2,$B$469-B627&gt;=2)</f>
        <v/>
      </c>
      <c r="D627">
        <f>SUMPRODUCT((Calc!$F$3:$F$22&gt;=LTP!$E$5)*(Calc!$F$3:$F$22&lt;=k_n)*(Calc!$G$3:$G$22&gt;A627)*(Calc!$G$3:$G$22-A627))</f>
        <v/>
      </c>
      <c r="E627">
        <f>SUMPRODUCT((Calc!$F$3:$F$22&gt;=LTP!$E$5)*(Calc!$F$3:$F$22&lt;=k_n)*(Calc!$G$3:$G$22&gt;A627)*(Calc!$G$3:$G$22-A627)^2)</f>
        <v/>
      </c>
      <c r="F627">
        <f>SUMPRODUCT((Calc!$F$3:$F$22&gt;=LTP!$E$5)*(Calc!$F$3:$F$22&lt;=k_n)*(Calc!$G$3:$G$22&gt;A627)*(Calc!$G$3:$G$22-A627)*Calc!$G$3:$G$22)</f>
        <v/>
      </c>
      <c r="G627">
        <f>SUMPRODUCT((Calc!$F$3:$F$22&gt;=LTP!$E$5)*(Calc!$F$3:$F$22&lt;=k_n)*(Calc!$G$3:$G$22&gt;A627)*(Calc!$G$3:$G$22-A627)*Calc!$I$3:$I$22)</f>
        <v/>
      </c>
      <c r="H627">
        <f>IF($B$469&gt;0,F627-$C$469*D627/$B$469,0)</f>
        <v/>
      </c>
      <c r="I627">
        <f>IF($B$469&gt;0,E627-D627^2/$B$469,0)</f>
        <v/>
      </c>
      <c r="J627">
        <f>IF($B$469&gt;0,G627-D627*$D$469/$B$469,0)</f>
        <v/>
      </c>
      <c r="K627">
        <f>$H$469*I627-H627^2</f>
        <v/>
      </c>
      <c r="L627">
        <f>IF(ABS(K627)&gt;1E-12,($H$469*J627-H627*$I$469)/K627,0)</f>
        <v/>
      </c>
      <c r="M627">
        <f>IF(ABS(K627)&gt;1E-12,(I627*$I$469-H627*J627)/K627,0)</f>
        <v/>
      </c>
      <c r="N627">
        <f>$J$469-M627*$I$469-L627*J627</f>
        <v/>
      </c>
      <c r="O627">
        <f>IF(AND(C627,ABS(K627)&gt;1E-12,L627&gt;0),N627,1E+300)</f>
        <v/>
      </c>
    </row>
    <row r="628">
      <c r="A628">
        <f>$K$469+($L$469-$K$469)*156/400</f>
        <v/>
      </c>
      <c r="B628">
        <f>SUMPRODUCT((Calc!$F$3:$F$22&gt;=LTP!$E$5)*(Calc!$F$3:$F$22&lt;=k_n)*(Calc!$G$3:$G$22&lt;=A628))</f>
        <v/>
      </c>
      <c r="C628">
        <f>AND(B628&gt;=2,$B$469-B628&gt;=2)</f>
        <v/>
      </c>
      <c r="D628">
        <f>SUMPRODUCT((Calc!$F$3:$F$22&gt;=LTP!$E$5)*(Calc!$F$3:$F$22&lt;=k_n)*(Calc!$G$3:$G$22&gt;A628)*(Calc!$G$3:$G$22-A628))</f>
        <v/>
      </c>
      <c r="E628">
        <f>SUMPRODUCT((Calc!$F$3:$F$22&gt;=LTP!$E$5)*(Calc!$F$3:$F$22&lt;=k_n)*(Calc!$G$3:$G$22&gt;A628)*(Calc!$G$3:$G$22-A628)^2)</f>
        <v/>
      </c>
      <c r="F628">
        <f>SUMPRODUCT((Calc!$F$3:$F$22&gt;=LTP!$E$5)*(Calc!$F$3:$F$22&lt;=k_n)*(Calc!$G$3:$G$22&gt;A628)*(Calc!$G$3:$G$22-A628)*Calc!$G$3:$G$22)</f>
        <v/>
      </c>
      <c r="G628">
        <f>SUMPRODUCT((Calc!$F$3:$F$22&gt;=LTP!$E$5)*(Calc!$F$3:$F$22&lt;=k_n)*(Calc!$G$3:$G$22&gt;A628)*(Calc!$G$3:$G$22-A628)*Calc!$I$3:$I$22)</f>
        <v/>
      </c>
      <c r="H628">
        <f>IF($B$469&gt;0,F628-$C$469*D628/$B$469,0)</f>
        <v/>
      </c>
      <c r="I628">
        <f>IF($B$469&gt;0,E628-D628^2/$B$469,0)</f>
        <v/>
      </c>
      <c r="J628">
        <f>IF($B$469&gt;0,G628-D628*$D$469/$B$469,0)</f>
        <v/>
      </c>
      <c r="K628">
        <f>$H$469*I628-H628^2</f>
        <v/>
      </c>
      <c r="L628">
        <f>IF(ABS(K628)&gt;1E-12,($H$469*J628-H628*$I$469)/K628,0)</f>
        <v/>
      </c>
      <c r="M628">
        <f>IF(ABS(K628)&gt;1E-12,(I628*$I$469-H628*J628)/K628,0)</f>
        <v/>
      </c>
      <c r="N628">
        <f>$J$469-M628*$I$469-L628*J628</f>
        <v/>
      </c>
      <c r="O628">
        <f>IF(AND(C628,ABS(K628)&gt;1E-12,L628&gt;0),N628,1E+300)</f>
        <v/>
      </c>
    </row>
    <row r="629">
      <c r="A629">
        <f>$K$469+($L$469-$K$469)*157/400</f>
        <v/>
      </c>
      <c r="B629">
        <f>SUMPRODUCT((Calc!$F$3:$F$22&gt;=LTP!$E$5)*(Calc!$F$3:$F$22&lt;=k_n)*(Calc!$G$3:$G$22&lt;=A629))</f>
        <v/>
      </c>
      <c r="C629">
        <f>AND(B629&gt;=2,$B$469-B629&gt;=2)</f>
        <v/>
      </c>
      <c r="D629">
        <f>SUMPRODUCT((Calc!$F$3:$F$22&gt;=LTP!$E$5)*(Calc!$F$3:$F$22&lt;=k_n)*(Calc!$G$3:$G$22&gt;A629)*(Calc!$G$3:$G$22-A629))</f>
        <v/>
      </c>
      <c r="E629">
        <f>SUMPRODUCT((Calc!$F$3:$F$22&gt;=LTP!$E$5)*(Calc!$F$3:$F$22&lt;=k_n)*(Calc!$G$3:$G$22&gt;A629)*(Calc!$G$3:$G$22-A629)^2)</f>
        <v/>
      </c>
      <c r="F629">
        <f>SUMPRODUCT((Calc!$F$3:$F$22&gt;=LTP!$E$5)*(Calc!$F$3:$F$22&lt;=k_n)*(Calc!$G$3:$G$22&gt;A629)*(Calc!$G$3:$G$22-A629)*Calc!$G$3:$G$22)</f>
        <v/>
      </c>
      <c r="G629">
        <f>SUMPRODUCT((Calc!$F$3:$F$22&gt;=LTP!$E$5)*(Calc!$F$3:$F$22&lt;=k_n)*(Calc!$G$3:$G$22&gt;A629)*(Calc!$G$3:$G$22-A629)*Calc!$I$3:$I$22)</f>
        <v/>
      </c>
      <c r="H629">
        <f>IF($B$469&gt;0,F629-$C$469*D629/$B$469,0)</f>
        <v/>
      </c>
      <c r="I629">
        <f>IF($B$469&gt;0,E629-D629^2/$B$469,0)</f>
        <v/>
      </c>
      <c r="J629">
        <f>IF($B$469&gt;0,G629-D629*$D$469/$B$469,0)</f>
        <v/>
      </c>
      <c r="K629">
        <f>$H$469*I629-H629^2</f>
        <v/>
      </c>
      <c r="L629">
        <f>IF(ABS(K629)&gt;1E-12,($H$469*J629-H629*$I$469)/K629,0)</f>
        <v/>
      </c>
      <c r="M629">
        <f>IF(ABS(K629)&gt;1E-12,(I629*$I$469-H629*J629)/K629,0)</f>
        <v/>
      </c>
      <c r="N629">
        <f>$J$469-M629*$I$469-L629*J629</f>
        <v/>
      </c>
      <c r="O629">
        <f>IF(AND(C629,ABS(K629)&gt;1E-12,L629&gt;0),N629,1E+300)</f>
        <v/>
      </c>
    </row>
    <row r="630">
      <c r="A630">
        <f>$K$469+($L$469-$K$469)*158/400</f>
        <v/>
      </c>
      <c r="B630">
        <f>SUMPRODUCT((Calc!$F$3:$F$22&gt;=LTP!$E$5)*(Calc!$F$3:$F$22&lt;=k_n)*(Calc!$G$3:$G$22&lt;=A630))</f>
        <v/>
      </c>
      <c r="C630">
        <f>AND(B630&gt;=2,$B$469-B630&gt;=2)</f>
        <v/>
      </c>
      <c r="D630">
        <f>SUMPRODUCT((Calc!$F$3:$F$22&gt;=LTP!$E$5)*(Calc!$F$3:$F$22&lt;=k_n)*(Calc!$G$3:$G$22&gt;A630)*(Calc!$G$3:$G$22-A630))</f>
        <v/>
      </c>
      <c r="E630">
        <f>SUMPRODUCT((Calc!$F$3:$F$22&gt;=LTP!$E$5)*(Calc!$F$3:$F$22&lt;=k_n)*(Calc!$G$3:$G$22&gt;A630)*(Calc!$G$3:$G$22-A630)^2)</f>
        <v/>
      </c>
      <c r="F630">
        <f>SUMPRODUCT((Calc!$F$3:$F$22&gt;=LTP!$E$5)*(Calc!$F$3:$F$22&lt;=k_n)*(Calc!$G$3:$G$22&gt;A630)*(Calc!$G$3:$G$22-A630)*Calc!$G$3:$G$22)</f>
        <v/>
      </c>
      <c r="G630">
        <f>SUMPRODUCT((Calc!$F$3:$F$22&gt;=LTP!$E$5)*(Calc!$F$3:$F$22&lt;=k_n)*(Calc!$G$3:$G$22&gt;A630)*(Calc!$G$3:$G$22-A630)*Calc!$I$3:$I$22)</f>
        <v/>
      </c>
      <c r="H630">
        <f>IF($B$469&gt;0,F630-$C$469*D630/$B$469,0)</f>
        <v/>
      </c>
      <c r="I630">
        <f>IF($B$469&gt;0,E630-D630^2/$B$469,0)</f>
        <v/>
      </c>
      <c r="J630">
        <f>IF($B$469&gt;0,G630-D630*$D$469/$B$469,0)</f>
        <v/>
      </c>
      <c r="K630">
        <f>$H$469*I630-H630^2</f>
        <v/>
      </c>
      <c r="L630">
        <f>IF(ABS(K630)&gt;1E-12,($H$469*J630-H630*$I$469)/K630,0)</f>
        <v/>
      </c>
      <c r="M630">
        <f>IF(ABS(K630)&gt;1E-12,(I630*$I$469-H630*J630)/K630,0)</f>
        <v/>
      </c>
      <c r="N630">
        <f>$J$469-M630*$I$469-L630*J630</f>
        <v/>
      </c>
      <c r="O630">
        <f>IF(AND(C630,ABS(K630)&gt;1E-12,L630&gt;0),N630,1E+300)</f>
        <v/>
      </c>
    </row>
    <row r="631">
      <c r="A631">
        <f>$K$469+($L$469-$K$469)*159/400</f>
        <v/>
      </c>
      <c r="B631">
        <f>SUMPRODUCT((Calc!$F$3:$F$22&gt;=LTP!$E$5)*(Calc!$F$3:$F$22&lt;=k_n)*(Calc!$G$3:$G$22&lt;=A631))</f>
        <v/>
      </c>
      <c r="C631">
        <f>AND(B631&gt;=2,$B$469-B631&gt;=2)</f>
        <v/>
      </c>
      <c r="D631">
        <f>SUMPRODUCT((Calc!$F$3:$F$22&gt;=LTP!$E$5)*(Calc!$F$3:$F$22&lt;=k_n)*(Calc!$G$3:$G$22&gt;A631)*(Calc!$G$3:$G$22-A631))</f>
        <v/>
      </c>
      <c r="E631">
        <f>SUMPRODUCT((Calc!$F$3:$F$22&gt;=LTP!$E$5)*(Calc!$F$3:$F$22&lt;=k_n)*(Calc!$G$3:$G$22&gt;A631)*(Calc!$G$3:$G$22-A631)^2)</f>
        <v/>
      </c>
      <c r="F631">
        <f>SUMPRODUCT((Calc!$F$3:$F$22&gt;=LTP!$E$5)*(Calc!$F$3:$F$22&lt;=k_n)*(Calc!$G$3:$G$22&gt;A631)*(Calc!$G$3:$G$22-A631)*Calc!$G$3:$G$22)</f>
        <v/>
      </c>
      <c r="G631">
        <f>SUMPRODUCT((Calc!$F$3:$F$22&gt;=LTP!$E$5)*(Calc!$F$3:$F$22&lt;=k_n)*(Calc!$G$3:$G$22&gt;A631)*(Calc!$G$3:$G$22-A631)*Calc!$I$3:$I$22)</f>
        <v/>
      </c>
      <c r="H631">
        <f>IF($B$469&gt;0,F631-$C$469*D631/$B$469,0)</f>
        <v/>
      </c>
      <c r="I631">
        <f>IF($B$469&gt;0,E631-D631^2/$B$469,0)</f>
        <v/>
      </c>
      <c r="J631">
        <f>IF($B$469&gt;0,G631-D631*$D$469/$B$469,0)</f>
        <v/>
      </c>
      <c r="K631">
        <f>$H$469*I631-H631^2</f>
        <v/>
      </c>
      <c r="L631">
        <f>IF(ABS(K631)&gt;1E-12,($H$469*J631-H631*$I$469)/K631,0)</f>
        <v/>
      </c>
      <c r="M631">
        <f>IF(ABS(K631)&gt;1E-12,(I631*$I$469-H631*J631)/K631,0)</f>
        <v/>
      </c>
      <c r="N631">
        <f>$J$469-M631*$I$469-L631*J631</f>
        <v/>
      </c>
      <c r="O631">
        <f>IF(AND(C631,ABS(K631)&gt;1E-12,L631&gt;0),N631,1E+300)</f>
        <v/>
      </c>
    </row>
    <row r="632">
      <c r="A632">
        <f>$K$469+($L$469-$K$469)*160/400</f>
        <v/>
      </c>
      <c r="B632">
        <f>SUMPRODUCT((Calc!$F$3:$F$22&gt;=LTP!$E$5)*(Calc!$F$3:$F$22&lt;=k_n)*(Calc!$G$3:$G$22&lt;=A632))</f>
        <v/>
      </c>
      <c r="C632">
        <f>AND(B632&gt;=2,$B$469-B632&gt;=2)</f>
        <v/>
      </c>
      <c r="D632">
        <f>SUMPRODUCT((Calc!$F$3:$F$22&gt;=LTP!$E$5)*(Calc!$F$3:$F$22&lt;=k_n)*(Calc!$G$3:$G$22&gt;A632)*(Calc!$G$3:$G$22-A632))</f>
        <v/>
      </c>
      <c r="E632">
        <f>SUMPRODUCT((Calc!$F$3:$F$22&gt;=LTP!$E$5)*(Calc!$F$3:$F$22&lt;=k_n)*(Calc!$G$3:$G$22&gt;A632)*(Calc!$G$3:$G$22-A632)^2)</f>
        <v/>
      </c>
      <c r="F632">
        <f>SUMPRODUCT((Calc!$F$3:$F$22&gt;=LTP!$E$5)*(Calc!$F$3:$F$22&lt;=k_n)*(Calc!$G$3:$G$22&gt;A632)*(Calc!$G$3:$G$22-A632)*Calc!$G$3:$G$22)</f>
        <v/>
      </c>
      <c r="G632">
        <f>SUMPRODUCT((Calc!$F$3:$F$22&gt;=LTP!$E$5)*(Calc!$F$3:$F$22&lt;=k_n)*(Calc!$G$3:$G$22&gt;A632)*(Calc!$G$3:$G$22-A632)*Calc!$I$3:$I$22)</f>
        <v/>
      </c>
      <c r="H632">
        <f>IF($B$469&gt;0,F632-$C$469*D632/$B$469,0)</f>
        <v/>
      </c>
      <c r="I632">
        <f>IF($B$469&gt;0,E632-D632^2/$B$469,0)</f>
        <v/>
      </c>
      <c r="J632">
        <f>IF($B$469&gt;0,G632-D632*$D$469/$B$469,0)</f>
        <v/>
      </c>
      <c r="K632">
        <f>$H$469*I632-H632^2</f>
        <v/>
      </c>
      <c r="L632">
        <f>IF(ABS(K632)&gt;1E-12,($H$469*J632-H632*$I$469)/K632,0)</f>
        <v/>
      </c>
      <c r="M632">
        <f>IF(ABS(K632)&gt;1E-12,(I632*$I$469-H632*J632)/K632,0)</f>
        <v/>
      </c>
      <c r="N632">
        <f>$J$469-M632*$I$469-L632*J632</f>
        <v/>
      </c>
      <c r="O632">
        <f>IF(AND(C632,ABS(K632)&gt;1E-12,L632&gt;0),N632,1E+300)</f>
        <v/>
      </c>
    </row>
    <row r="633">
      <c r="A633">
        <f>$K$469+($L$469-$K$469)*161/400</f>
        <v/>
      </c>
      <c r="B633">
        <f>SUMPRODUCT((Calc!$F$3:$F$22&gt;=LTP!$E$5)*(Calc!$F$3:$F$22&lt;=k_n)*(Calc!$G$3:$G$22&lt;=A633))</f>
        <v/>
      </c>
      <c r="C633">
        <f>AND(B633&gt;=2,$B$469-B633&gt;=2)</f>
        <v/>
      </c>
      <c r="D633">
        <f>SUMPRODUCT((Calc!$F$3:$F$22&gt;=LTP!$E$5)*(Calc!$F$3:$F$22&lt;=k_n)*(Calc!$G$3:$G$22&gt;A633)*(Calc!$G$3:$G$22-A633))</f>
        <v/>
      </c>
      <c r="E633">
        <f>SUMPRODUCT((Calc!$F$3:$F$22&gt;=LTP!$E$5)*(Calc!$F$3:$F$22&lt;=k_n)*(Calc!$G$3:$G$22&gt;A633)*(Calc!$G$3:$G$22-A633)^2)</f>
        <v/>
      </c>
      <c r="F633">
        <f>SUMPRODUCT((Calc!$F$3:$F$22&gt;=LTP!$E$5)*(Calc!$F$3:$F$22&lt;=k_n)*(Calc!$G$3:$G$22&gt;A633)*(Calc!$G$3:$G$22-A633)*Calc!$G$3:$G$22)</f>
        <v/>
      </c>
      <c r="G633">
        <f>SUMPRODUCT((Calc!$F$3:$F$22&gt;=LTP!$E$5)*(Calc!$F$3:$F$22&lt;=k_n)*(Calc!$G$3:$G$22&gt;A633)*(Calc!$G$3:$G$22-A633)*Calc!$I$3:$I$22)</f>
        <v/>
      </c>
      <c r="H633">
        <f>IF($B$469&gt;0,F633-$C$469*D633/$B$469,0)</f>
        <v/>
      </c>
      <c r="I633">
        <f>IF($B$469&gt;0,E633-D633^2/$B$469,0)</f>
        <v/>
      </c>
      <c r="J633">
        <f>IF($B$469&gt;0,G633-D633*$D$469/$B$469,0)</f>
        <v/>
      </c>
      <c r="K633">
        <f>$H$469*I633-H633^2</f>
        <v/>
      </c>
      <c r="L633">
        <f>IF(ABS(K633)&gt;1E-12,($H$469*J633-H633*$I$469)/K633,0)</f>
        <v/>
      </c>
      <c r="M633">
        <f>IF(ABS(K633)&gt;1E-12,(I633*$I$469-H633*J633)/K633,0)</f>
        <v/>
      </c>
      <c r="N633">
        <f>$J$469-M633*$I$469-L633*J633</f>
        <v/>
      </c>
      <c r="O633">
        <f>IF(AND(C633,ABS(K633)&gt;1E-12,L633&gt;0),N633,1E+300)</f>
        <v/>
      </c>
    </row>
    <row r="634">
      <c r="A634">
        <f>$K$469+($L$469-$K$469)*162/400</f>
        <v/>
      </c>
      <c r="B634">
        <f>SUMPRODUCT((Calc!$F$3:$F$22&gt;=LTP!$E$5)*(Calc!$F$3:$F$22&lt;=k_n)*(Calc!$G$3:$G$22&lt;=A634))</f>
        <v/>
      </c>
      <c r="C634">
        <f>AND(B634&gt;=2,$B$469-B634&gt;=2)</f>
        <v/>
      </c>
      <c r="D634">
        <f>SUMPRODUCT((Calc!$F$3:$F$22&gt;=LTP!$E$5)*(Calc!$F$3:$F$22&lt;=k_n)*(Calc!$G$3:$G$22&gt;A634)*(Calc!$G$3:$G$22-A634))</f>
        <v/>
      </c>
      <c r="E634">
        <f>SUMPRODUCT((Calc!$F$3:$F$22&gt;=LTP!$E$5)*(Calc!$F$3:$F$22&lt;=k_n)*(Calc!$G$3:$G$22&gt;A634)*(Calc!$G$3:$G$22-A634)^2)</f>
        <v/>
      </c>
      <c r="F634">
        <f>SUMPRODUCT((Calc!$F$3:$F$22&gt;=LTP!$E$5)*(Calc!$F$3:$F$22&lt;=k_n)*(Calc!$G$3:$G$22&gt;A634)*(Calc!$G$3:$G$22-A634)*Calc!$G$3:$G$22)</f>
        <v/>
      </c>
      <c r="G634">
        <f>SUMPRODUCT((Calc!$F$3:$F$22&gt;=LTP!$E$5)*(Calc!$F$3:$F$22&lt;=k_n)*(Calc!$G$3:$G$22&gt;A634)*(Calc!$G$3:$G$22-A634)*Calc!$I$3:$I$22)</f>
        <v/>
      </c>
      <c r="H634">
        <f>IF($B$469&gt;0,F634-$C$469*D634/$B$469,0)</f>
        <v/>
      </c>
      <c r="I634">
        <f>IF($B$469&gt;0,E634-D634^2/$B$469,0)</f>
        <v/>
      </c>
      <c r="J634">
        <f>IF($B$469&gt;0,G634-D634*$D$469/$B$469,0)</f>
        <v/>
      </c>
      <c r="K634">
        <f>$H$469*I634-H634^2</f>
        <v/>
      </c>
      <c r="L634">
        <f>IF(ABS(K634)&gt;1E-12,($H$469*J634-H634*$I$469)/K634,0)</f>
        <v/>
      </c>
      <c r="M634">
        <f>IF(ABS(K634)&gt;1E-12,(I634*$I$469-H634*J634)/K634,0)</f>
        <v/>
      </c>
      <c r="N634">
        <f>$J$469-M634*$I$469-L634*J634</f>
        <v/>
      </c>
      <c r="O634">
        <f>IF(AND(C634,ABS(K634)&gt;1E-12,L634&gt;0),N634,1E+300)</f>
        <v/>
      </c>
    </row>
    <row r="635">
      <c r="A635">
        <f>$K$469+($L$469-$K$469)*163/400</f>
        <v/>
      </c>
      <c r="B635">
        <f>SUMPRODUCT((Calc!$F$3:$F$22&gt;=LTP!$E$5)*(Calc!$F$3:$F$22&lt;=k_n)*(Calc!$G$3:$G$22&lt;=A635))</f>
        <v/>
      </c>
      <c r="C635">
        <f>AND(B635&gt;=2,$B$469-B635&gt;=2)</f>
        <v/>
      </c>
      <c r="D635">
        <f>SUMPRODUCT((Calc!$F$3:$F$22&gt;=LTP!$E$5)*(Calc!$F$3:$F$22&lt;=k_n)*(Calc!$G$3:$G$22&gt;A635)*(Calc!$G$3:$G$22-A635))</f>
        <v/>
      </c>
      <c r="E635">
        <f>SUMPRODUCT((Calc!$F$3:$F$22&gt;=LTP!$E$5)*(Calc!$F$3:$F$22&lt;=k_n)*(Calc!$G$3:$G$22&gt;A635)*(Calc!$G$3:$G$22-A635)^2)</f>
        <v/>
      </c>
      <c r="F635">
        <f>SUMPRODUCT((Calc!$F$3:$F$22&gt;=LTP!$E$5)*(Calc!$F$3:$F$22&lt;=k_n)*(Calc!$G$3:$G$22&gt;A635)*(Calc!$G$3:$G$22-A635)*Calc!$G$3:$G$22)</f>
        <v/>
      </c>
      <c r="G635">
        <f>SUMPRODUCT((Calc!$F$3:$F$22&gt;=LTP!$E$5)*(Calc!$F$3:$F$22&lt;=k_n)*(Calc!$G$3:$G$22&gt;A635)*(Calc!$G$3:$G$22-A635)*Calc!$I$3:$I$22)</f>
        <v/>
      </c>
      <c r="H635">
        <f>IF($B$469&gt;0,F635-$C$469*D635/$B$469,0)</f>
        <v/>
      </c>
      <c r="I635">
        <f>IF($B$469&gt;0,E635-D635^2/$B$469,0)</f>
        <v/>
      </c>
      <c r="J635">
        <f>IF($B$469&gt;0,G635-D635*$D$469/$B$469,0)</f>
        <v/>
      </c>
      <c r="K635">
        <f>$H$469*I635-H635^2</f>
        <v/>
      </c>
      <c r="L635">
        <f>IF(ABS(K635)&gt;1E-12,($H$469*J635-H635*$I$469)/K635,0)</f>
        <v/>
      </c>
      <c r="M635">
        <f>IF(ABS(K635)&gt;1E-12,(I635*$I$469-H635*J635)/K635,0)</f>
        <v/>
      </c>
      <c r="N635">
        <f>$J$469-M635*$I$469-L635*J635</f>
        <v/>
      </c>
      <c r="O635">
        <f>IF(AND(C635,ABS(K635)&gt;1E-12,L635&gt;0),N635,1E+300)</f>
        <v/>
      </c>
    </row>
    <row r="636">
      <c r="A636">
        <f>$K$469+($L$469-$K$469)*164/400</f>
        <v/>
      </c>
      <c r="B636">
        <f>SUMPRODUCT((Calc!$F$3:$F$22&gt;=LTP!$E$5)*(Calc!$F$3:$F$22&lt;=k_n)*(Calc!$G$3:$G$22&lt;=A636))</f>
        <v/>
      </c>
      <c r="C636">
        <f>AND(B636&gt;=2,$B$469-B636&gt;=2)</f>
        <v/>
      </c>
      <c r="D636">
        <f>SUMPRODUCT((Calc!$F$3:$F$22&gt;=LTP!$E$5)*(Calc!$F$3:$F$22&lt;=k_n)*(Calc!$G$3:$G$22&gt;A636)*(Calc!$G$3:$G$22-A636))</f>
        <v/>
      </c>
      <c r="E636">
        <f>SUMPRODUCT((Calc!$F$3:$F$22&gt;=LTP!$E$5)*(Calc!$F$3:$F$22&lt;=k_n)*(Calc!$G$3:$G$22&gt;A636)*(Calc!$G$3:$G$22-A636)^2)</f>
        <v/>
      </c>
      <c r="F636">
        <f>SUMPRODUCT((Calc!$F$3:$F$22&gt;=LTP!$E$5)*(Calc!$F$3:$F$22&lt;=k_n)*(Calc!$G$3:$G$22&gt;A636)*(Calc!$G$3:$G$22-A636)*Calc!$G$3:$G$22)</f>
        <v/>
      </c>
      <c r="G636">
        <f>SUMPRODUCT((Calc!$F$3:$F$22&gt;=LTP!$E$5)*(Calc!$F$3:$F$22&lt;=k_n)*(Calc!$G$3:$G$22&gt;A636)*(Calc!$G$3:$G$22-A636)*Calc!$I$3:$I$22)</f>
        <v/>
      </c>
      <c r="H636">
        <f>IF($B$469&gt;0,F636-$C$469*D636/$B$469,0)</f>
        <v/>
      </c>
      <c r="I636">
        <f>IF($B$469&gt;0,E636-D636^2/$B$469,0)</f>
        <v/>
      </c>
      <c r="J636">
        <f>IF($B$469&gt;0,G636-D636*$D$469/$B$469,0)</f>
        <v/>
      </c>
      <c r="K636">
        <f>$H$469*I636-H636^2</f>
        <v/>
      </c>
      <c r="L636">
        <f>IF(ABS(K636)&gt;1E-12,($H$469*J636-H636*$I$469)/K636,0)</f>
        <v/>
      </c>
      <c r="M636">
        <f>IF(ABS(K636)&gt;1E-12,(I636*$I$469-H636*J636)/K636,0)</f>
        <v/>
      </c>
      <c r="N636">
        <f>$J$469-M636*$I$469-L636*J636</f>
        <v/>
      </c>
      <c r="O636">
        <f>IF(AND(C636,ABS(K636)&gt;1E-12,L636&gt;0),N636,1E+300)</f>
        <v/>
      </c>
    </row>
    <row r="637">
      <c r="A637">
        <f>$K$469+($L$469-$K$469)*165/400</f>
        <v/>
      </c>
      <c r="B637">
        <f>SUMPRODUCT((Calc!$F$3:$F$22&gt;=LTP!$E$5)*(Calc!$F$3:$F$22&lt;=k_n)*(Calc!$G$3:$G$22&lt;=A637))</f>
        <v/>
      </c>
      <c r="C637">
        <f>AND(B637&gt;=2,$B$469-B637&gt;=2)</f>
        <v/>
      </c>
      <c r="D637">
        <f>SUMPRODUCT((Calc!$F$3:$F$22&gt;=LTP!$E$5)*(Calc!$F$3:$F$22&lt;=k_n)*(Calc!$G$3:$G$22&gt;A637)*(Calc!$G$3:$G$22-A637))</f>
        <v/>
      </c>
      <c r="E637">
        <f>SUMPRODUCT((Calc!$F$3:$F$22&gt;=LTP!$E$5)*(Calc!$F$3:$F$22&lt;=k_n)*(Calc!$G$3:$G$22&gt;A637)*(Calc!$G$3:$G$22-A637)^2)</f>
        <v/>
      </c>
      <c r="F637">
        <f>SUMPRODUCT((Calc!$F$3:$F$22&gt;=LTP!$E$5)*(Calc!$F$3:$F$22&lt;=k_n)*(Calc!$G$3:$G$22&gt;A637)*(Calc!$G$3:$G$22-A637)*Calc!$G$3:$G$22)</f>
        <v/>
      </c>
      <c r="G637">
        <f>SUMPRODUCT((Calc!$F$3:$F$22&gt;=LTP!$E$5)*(Calc!$F$3:$F$22&lt;=k_n)*(Calc!$G$3:$G$22&gt;A637)*(Calc!$G$3:$G$22-A637)*Calc!$I$3:$I$22)</f>
        <v/>
      </c>
      <c r="H637">
        <f>IF($B$469&gt;0,F637-$C$469*D637/$B$469,0)</f>
        <v/>
      </c>
      <c r="I637">
        <f>IF($B$469&gt;0,E637-D637^2/$B$469,0)</f>
        <v/>
      </c>
      <c r="J637">
        <f>IF($B$469&gt;0,G637-D637*$D$469/$B$469,0)</f>
        <v/>
      </c>
      <c r="K637">
        <f>$H$469*I637-H637^2</f>
        <v/>
      </c>
      <c r="L637">
        <f>IF(ABS(K637)&gt;1E-12,($H$469*J637-H637*$I$469)/K637,0)</f>
        <v/>
      </c>
      <c r="M637">
        <f>IF(ABS(K637)&gt;1E-12,(I637*$I$469-H637*J637)/K637,0)</f>
        <v/>
      </c>
      <c r="N637">
        <f>$J$469-M637*$I$469-L637*J637</f>
        <v/>
      </c>
      <c r="O637">
        <f>IF(AND(C637,ABS(K637)&gt;1E-12,L637&gt;0),N637,1E+300)</f>
        <v/>
      </c>
    </row>
    <row r="638">
      <c r="A638">
        <f>$K$469+($L$469-$K$469)*166/400</f>
        <v/>
      </c>
      <c r="B638">
        <f>SUMPRODUCT((Calc!$F$3:$F$22&gt;=LTP!$E$5)*(Calc!$F$3:$F$22&lt;=k_n)*(Calc!$G$3:$G$22&lt;=A638))</f>
        <v/>
      </c>
      <c r="C638">
        <f>AND(B638&gt;=2,$B$469-B638&gt;=2)</f>
        <v/>
      </c>
      <c r="D638">
        <f>SUMPRODUCT((Calc!$F$3:$F$22&gt;=LTP!$E$5)*(Calc!$F$3:$F$22&lt;=k_n)*(Calc!$G$3:$G$22&gt;A638)*(Calc!$G$3:$G$22-A638))</f>
        <v/>
      </c>
      <c r="E638">
        <f>SUMPRODUCT((Calc!$F$3:$F$22&gt;=LTP!$E$5)*(Calc!$F$3:$F$22&lt;=k_n)*(Calc!$G$3:$G$22&gt;A638)*(Calc!$G$3:$G$22-A638)^2)</f>
        <v/>
      </c>
      <c r="F638">
        <f>SUMPRODUCT((Calc!$F$3:$F$22&gt;=LTP!$E$5)*(Calc!$F$3:$F$22&lt;=k_n)*(Calc!$G$3:$G$22&gt;A638)*(Calc!$G$3:$G$22-A638)*Calc!$G$3:$G$22)</f>
        <v/>
      </c>
      <c r="G638">
        <f>SUMPRODUCT((Calc!$F$3:$F$22&gt;=LTP!$E$5)*(Calc!$F$3:$F$22&lt;=k_n)*(Calc!$G$3:$G$22&gt;A638)*(Calc!$G$3:$G$22-A638)*Calc!$I$3:$I$22)</f>
        <v/>
      </c>
      <c r="H638">
        <f>IF($B$469&gt;0,F638-$C$469*D638/$B$469,0)</f>
        <v/>
      </c>
      <c r="I638">
        <f>IF($B$469&gt;0,E638-D638^2/$B$469,0)</f>
        <v/>
      </c>
      <c r="J638">
        <f>IF($B$469&gt;0,G638-D638*$D$469/$B$469,0)</f>
        <v/>
      </c>
      <c r="K638">
        <f>$H$469*I638-H638^2</f>
        <v/>
      </c>
      <c r="L638">
        <f>IF(ABS(K638)&gt;1E-12,($H$469*J638-H638*$I$469)/K638,0)</f>
        <v/>
      </c>
      <c r="M638">
        <f>IF(ABS(K638)&gt;1E-12,(I638*$I$469-H638*J638)/K638,0)</f>
        <v/>
      </c>
      <c r="N638">
        <f>$J$469-M638*$I$469-L638*J638</f>
        <v/>
      </c>
      <c r="O638">
        <f>IF(AND(C638,ABS(K638)&gt;1E-12,L638&gt;0),N638,1E+300)</f>
        <v/>
      </c>
    </row>
    <row r="639">
      <c r="A639">
        <f>$K$469+($L$469-$K$469)*167/400</f>
        <v/>
      </c>
      <c r="B639">
        <f>SUMPRODUCT((Calc!$F$3:$F$22&gt;=LTP!$E$5)*(Calc!$F$3:$F$22&lt;=k_n)*(Calc!$G$3:$G$22&lt;=A639))</f>
        <v/>
      </c>
      <c r="C639">
        <f>AND(B639&gt;=2,$B$469-B639&gt;=2)</f>
        <v/>
      </c>
      <c r="D639">
        <f>SUMPRODUCT((Calc!$F$3:$F$22&gt;=LTP!$E$5)*(Calc!$F$3:$F$22&lt;=k_n)*(Calc!$G$3:$G$22&gt;A639)*(Calc!$G$3:$G$22-A639))</f>
        <v/>
      </c>
      <c r="E639">
        <f>SUMPRODUCT((Calc!$F$3:$F$22&gt;=LTP!$E$5)*(Calc!$F$3:$F$22&lt;=k_n)*(Calc!$G$3:$G$22&gt;A639)*(Calc!$G$3:$G$22-A639)^2)</f>
        <v/>
      </c>
      <c r="F639">
        <f>SUMPRODUCT((Calc!$F$3:$F$22&gt;=LTP!$E$5)*(Calc!$F$3:$F$22&lt;=k_n)*(Calc!$G$3:$G$22&gt;A639)*(Calc!$G$3:$G$22-A639)*Calc!$G$3:$G$22)</f>
        <v/>
      </c>
      <c r="G639">
        <f>SUMPRODUCT((Calc!$F$3:$F$22&gt;=LTP!$E$5)*(Calc!$F$3:$F$22&lt;=k_n)*(Calc!$G$3:$G$22&gt;A639)*(Calc!$G$3:$G$22-A639)*Calc!$I$3:$I$22)</f>
        <v/>
      </c>
      <c r="H639">
        <f>IF($B$469&gt;0,F639-$C$469*D639/$B$469,0)</f>
        <v/>
      </c>
      <c r="I639">
        <f>IF($B$469&gt;0,E639-D639^2/$B$469,0)</f>
        <v/>
      </c>
      <c r="J639">
        <f>IF($B$469&gt;0,G639-D639*$D$469/$B$469,0)</f>
        <v/>
      </c>
      <c r="K639">
        <f>$H$469*I639-H639^2</f>
        <v/>
      </c>
      <c r="L639">
        <f>IF(ABS(K639)&gt;1E-12,($H$469*J639-H639*$I$469)/K639,0)</f>
        <v/>
      </c>
      <c r="M639">
        <f>IF(ABS(K639)&gt;1E-12,(I639*$I$469-H639*J639)/K639,0)</f>
        <v/>
      </c>
      <c r="N639">
        <f>$J$469-M639*$I$469-L639*J639</f>
        <v/>
      </c>
      <c r="O639">
        <f>IF(AND(C639,ABS(K639)&gt;1E-12,L639&gt;0),N639,1E+300)</f>
        <v/>
      </c>
    </row>
    <row r="640">
      <c r="A640">
        <f>$K$469+($L$469-$K$469)*168/400</f>
        <v/>
      </c>
      <c r="B640">
        <f>SUMPRODUCT((Calc!$F$3:$F$22&gt;=LTP!$E$5)*(Calc!$F$3:$F$22&lt;=k_n)*(Calc!$G$3:$G$22&lt;=A640))</f>
        <v/>
      </c>
      <c r="C640">
        <f>AND(B640&gt;=2,$B$469-B640&gt;=2)</f>
        <v/>
      </c>
      <c r="D640">
        <f>SUMPRODUCT((Calc!$F$3:$F$22&gt;=LTP!$E$5)*(Calc!$F$3:$F$22&lt;=k_n)*(Calc!$G$3:$G$22&gt;A640)*(Calc!$G$3:$G$22-A640))</f>
        <v/>
      </c>
      <c r="E640">
        <f>SUMPRODUCT((Calc!$F$3:$F$22&gt;=LTP!$E$5)*(Calc!$F$3:$F$22&lt;=k_n)*(Calc!$G$3:$G$22&gt;A640)*(Calc!$G$3:$G$22-A640)^2)</f>
        <v/>
      </c>
      <c r="F640">
        <f>SUMPRODUCT((Calc!$F$3:$F$22&gt;=LTP!$E$5)*(Calc!$F$3:$F$22&lt;=k_n)*(Calc!$G$3:$G$22&gt;A640)*(Calc!$G$3:$G$22-A640)*Calc!$G$3:$G$22)</f>
        <v/>
      </c>
      <c r="G640">
        <f>SUMPRODUCT((Calc!$F$3:$F$22&gt;=LTP!$E$5)*(Calc!$F$3:$F$22&lt;=k_n)*(Calc!$G$3:$G$22&gt;A640)*(Calc!$G$3:$G$22-A640)*Calc!$I$3:$I$22)</f>
        <v/>
      </c>
      <c r="H640">
        <f>IF($B$469&gt;0,F640-$C$469*D640/$B$469,0)</f>
        <v/>
      </c>
      <c r="I640">
        <f>IF($B$469&gt;0,E640-D640^2/$B$469,0)</f>
        <v/>
      </c>
      <c r="J640">
        <f>IF($B$469&gt;0,G640-D640*$D$469/$B$469,0)</f>
        <v/>
      </c>
      <c r="K640">
        <f>$H$469*I640-H640^2</f>
        <v/>
      </c>
      <c r="L640">
        <f>IF(ABS(K640)&gt;1E-12,($H$469*J640-H640*$I$469)/K640,0)</f>
        <v/>
      </c>
      <c r="M640">
        <f>IF(ABS(K640)&gt;1E-12,(I640*$I$469-H640*J640)/K640,0)</f>
        <v/>
      </c>
      <c r="N640">
        <f>$J$469-M640*$I$469-L640*J640</f>
        <v/>
      </c>
      <c r="O640">
        <f>IF(AND(C640,ABS(K640)&gt;1E-12,L640&gt;0),N640,1E+300)</f>
        <v/>
      </c>
    </row>
    <row r="641">
      <c r="A641">
        <f>$K$469+($L$469-$K$469)*169/400</f>
        <v/>
      </c>
      <c r="B641">
        <f>SUMPRODUCT((Calc!$F$3:$F$22&gt;=LTP!$E$5)*(Calc!$F$3:$F$22&lt;=k_n)*(Calc!$G$3:$G$22&lt;=A641))</f>
        <v/>
      </c>
      <c r="C641">
        <f>AND(B641&gt;=2,$B$469-B641&gt;=2)</f>
        <v/>
      </c>
      <c r="D641">
        <f>SUMPRODUCT((Calc!$F$3:$F$22&gt;=LTP!$E$5)*(Calc!$F$3:$F$22&lt;=k_n)*(Calc!$G$3:$G$22&gt;A641)*(Calc!$G$3:$G$22-A641))</f>
        <v/>
      </c>
      <c r="E641">
        <f>SUMPRODUCT((Calc!$F$3:$F$22&gt;=LTP!$E$5)*(Calc!$F$3:$F$22&lt;=k_n)*(Calc!$G$3:$G$22&gt;A641)*(Calc!$G$3:$G$22-A641)^2)</f>
        <v/>
      </c>
      <c r="F641">
        <f>SUMPRODUCT((Calc!$F$3:$F$22&gt;=LTP!$E$5)*(Calc!$F$3:$F$22&lt;=k_n)*(Calc!$G$3:$G$22&gt;A641)*(Calc!$G$3:$G$22-A641)*Calc!$G$3:$G$22)</f>
        <v/>
      </c>
      <c r="G641">
        <f>SUMPRODUCT((Calc!$F$3:$F$22&gt;=LTP!$E$5)*(Calc!$F$3:$F$22&lt;=k_n)*(Calc!$G$3:$G$22&gt;A641)*(Calc!$G$3:$G$22-A641)*Calc!$I$3:$I$22)</f>
        <v/>
      </c>
      <c r="H641">
        <f>IF($B$469&gt;0,F641-$C$469*D641/$B$469,0)</f>
        <v/>
      </c>
      <c r="I641">
        <f>IF($B$469&gt;0,E641-D641^2/$B$469,0)</f>
        <v/>
      </c>
      <c r="J641">
        <f>IF($B$469&gt;0,G641-D641*$D$469/$B$469,0)</f>
        <v/>
      </c>
      <c r="K641">
        <f>$H$469*I641-H641^2</f>
        <v/>
      </c>
      <c r="L641">
        <f>IF(ABS(K641)&gt;1E-12,($H$469*J641-H641*$I$469)/K641,0)</f>
        <v/>
      </c>
      <c r="M641">
        <f>IF(ABS(K641)&gt;1E-12,(I641*$I$469-H641*J641)/K641,0)</f>
        <v/>
      </c>
      <c r="N641">
        <f>$J$469-M641*$I$469-L641*J641</f>
        <v/>
      </c>
      <c r="O641">
        <f>IF(AND(C641,ABS(K641)&gt;1E-12,L641&gt;0),N641,1E+300)</f>
        <v/>
      </c>
    </row>
    <row r="642">
      <c r="A642">
        <f>$K$469+($L$469-$K$469)*170/400</f>
        <v/>
      </c>
      <c r="B642">
        <f>SUMPRODUCT((Calc!$F$3:$F$22&gt;=LTP!$E$5)*(Calc!$F$3:$F$22&lt;=k_n)*(Calc!$G$3:$G$22&lt;=A642))</f>
        <v/>
      </c>
      <c r="C642">
        <f>AND(B642&gt;=2,$B$469-B642&gt;=2)</f>
        <v/>
      </c>
      <c r="D642">
        <f>SUMPRODUCT((Calc!$F$3:$F$22&gt;=LTP!$E$5)*(Calc!$F$3:$F$22&lt;=k_n)*(Calc!$G$3:$G$22&gt;A642)*(Calc!$G$3:$G$22-A642))</f>
        <v/>
      </c>
      <c r="E642">
        <f>SUMPRODUCT((Calc!$F$3:$F$22&gt;=LTP!$E$5)*(Calc!$F$3:$F$22&lt;=k_n)*(Calc!$G$3:$G$22&gt;A642)*(Calc!$G$3:$G$22-A642)^2)</f>
        <v/>
      </c>
      <c r="F642">
        <f>SUMPRODUCT((Calc!$F$3:$F$22&gt;=LTP!$E$5)*(Calc!$F$3:$F$22&lt;=k_n)*(Calc!$G$3:$G$22&gt;A642)*(Calc!$G$3:$G$22-A642)*Calc!$G$3:$G$22)</f>
        <v/>
      </c>
      <c r="G642">
        <f>SUMPRODUCT((Calc!$F$3:$F$22&gt;=LTP!$E$5)*(Calc!$F$3:$F$22&lt;=k_n)*(Calc!$G$3:$G$22&gt;A642)*(Calc!$G$3:$G$22-A642)*Calc!$I$3:$I$22)</f>
        <v/>
      </c>
      <c r="H642">
        <f>IF($B$469&gt;0,F642-$C$469*D642/$B$469,0)</f>
        <v/>
      </c>
      <c r="I642">
        <f>IF($B$469&gt;0,E642-D642^2/$B$469,0)</f>
        <v/>
      </c>
      <c r="J642">
        <f>IF($B$469&gt;0,G642-D642*$D$469/$B$469,0)</f>
        <v/>
      </c>
      <c r="K642">
        <f>$H$469*I642-H642^2</f>
        <v/>
      </c>
      <c r="L642">
        <f>IF(ABS(K642)&gt;1E-12,($H$469*J642-H642*$I$469)/K642,0)</f>
        <v/>
      </c>
      <c r="M642">
        <f>IF(ABS(K642)&gt;1E-12,(I642*$I$469-H642*J642)/K642,0)</f>
        <v/>
      </c>
      <c r="N642">
        <f>$J$469-M642*$I$469-L642*J642</f>
        <v/>
      </c>
      <c r="O642">
        <f>IF(AND(C642,ABS(K642)&gt;1E-12,L642&gt;0),N642,1E+300)</f>
        <v/>
      </c>
    </row>
    <row r="643">
      <c r="A643">
        <f>$K$469+($L$469-$K$469)*171/400</f>
        <v/>
      </c>
      <c r="B643">
        <f>SUMPRODUCT((Calc!$F$3:$F$22&gt;=LTP!$E$5)*(Calc!$F$3:$F$22&lt;=k_n)*(Calc!$G$3:$G$22&lt;=A643))</f>
        <v/>
      </c>
      <c r="C643">
        <f>AND(B643&gt;=2,$B$469-B643&gt;=2)</f>
        <v/>
      </c>
      <c r="D643">
        <f>SUMPRODUCT((Calc!$F$3:$F$22&gt;=LTP!$E$5)*(Calc!$F$3:$F$22&lt;=k_n)*(Calc!$G$3:$G$22&gt;A643)*(Calc!$G$3:$G$22-A643))</f>
        <v/>
      </c>
      <c r="E643">
        <f>SUMPRODUCT((Calc!$F$3:$F$22&gt;=LTP!$E$5)*(Calc!$F$3:$F$22&lt;=k_n)*(Calc!$G$3:$G$22&gt;A643)*(Calc!$G$3:$G$22-A643)^2)</f>
        <v/>
      </c>
      <c r="F643">
        <f>SUMPRODUCT((Calc!$F$3:$F$22&gt;=LTP!$E$5)*(Calc!$F$3:$F$22&lt;=k_n)*(Calc!$G$3:$G$22&gt;A643)*(Calc!$G$3:$G$22-A643)*Calc!$G$3:$G$22)</f>
        <v/>
      </c>
      <c r="G643">
        <f>SUMPRODUCT((Calc!$F$3:$F$22&gt;=LTP!$E$5)*(Calc!$F$3:$F$22&lt;=k_n)*(Calc!$G$3:$G$22&gt;A643)*(Calc!$G$3:$G$22-A643)*Calc!$I$3:$I$22)</f>
        <v/>
      </c>
      <c r="H643">
        <f>IF($B$469&gt;0,F643-$C$469*D643/$B$469,0)</f>
        <v/>
      </c>
      <c r="I643">
        <f>IF($B$469&gt;0,E643-D643^2/$B$469,0)</f>
        <v/>
      </c>
      <c r="J643">
        <f>IF($B$469&gt;0,G643-D643*$D$469/$B$469,0)</f>
        <v/>
      </c>
      <c r="K643">
        <f>$H$469*I643-H643^2</f>
        <v/>
      </c>
      <c r="L643">
        <f>IF(ABS(K643)&gt;1E-12,($H$469*J643-H643*$I$469)/K643,0)</f>
        <v/>
      </c>
      <c r="M643">
        <f>IF(ABS(K643)&gt;1E-12,(I643*$I$469-H643*J643)/K643,0)</f>
        <v/>
      </c>
      <c r="N643">
        <f>$J$469-M643*$I$469-L643*J643</f>
        <v/>
      </c>
      <c r="O643">
        <f>IF(AND(C643,ABS(K643)&gt;1E-12,L643&gt;0),N643,1E+300)</f>
        <v/>
      </c>
    </row>
    <row r="644">
      <c r="A644">
        <f>$K$469+($L$469-$K$469)*172/400</f>
        <v/>
      </c>
      <c r="B644">
        <f>SUMPRODUCT((Calc!$F$3:$F$22&gt;=LTP!$E$5)*(Calc!$F$3:$F$22&lt;=k_n)*(Calc!$G$3:$G$22&lt;=A644))</f>
        <v/>
      </c>
      <c r="C644">
        <f>AND(B644&gt;=2,$B$469-B644&gt;=2)</f>
        <v/>
      </c>
      <c r="D644">
        <f>SUMPRODUCT((Calc!$F$3:$F$22&gt;=LTP!$E$5)*(Calc!$F$3:$F$22&lt;=k_n)*(Calc!$G$3:$G$22&gt;A644)*(Calc!$G$3:$G$22-A644))</f>
        <v/>
      </c>
      <c r="E644">
        <f>SUMPRODUCT((Calc!$F$3:$F$22&gt;=LTP!$E$5)*(Calc!$F$3:$F$22&lt;=k_n)*(Calc!$G$3:$G$22&gt;A644)*(Calc!$G$3:$G$22-A644)^2)</f>
        <v/>
      </c>
      <c r="F644">
        <f>SUMPRODUCT((Calc!$F$3:$F$22&gt;=LTP!$E$5)*(Calc!$F$3:$F$22&lt;=k_n)*(Calc!$G$3:$G$22&gt;A644)*(Calc!$G$3:$G$22-A644)*Calc!$G$3:$G$22)</f>
        <v/>
      </c>
      <c r="G644">
        <f>SUMPRODUCT((Calc!$F$3:$F$22&gt;=LTP!$E$5)*(Calc!$F$3:$F$22&lt;=k_n)*(Calc!$G$3:$G$22&gt;A644)*(Calc!$G$3:$G$22-A644)*Calc!$I$3:$I$22)</f>
        <v/>
      </c>
      <c r="H644">
        <f>IF($B$469&gt;0,F644-$C$469*D644/$B$469,0)</f>
        <v/>
      </c>
      <c r="I644">
        <f>IF($B$469&gt;0,E644-D644^2/$B$469,0)</f>
        <v/>
      </c>
      <c r="J644">
        <f>IF($B$469&gt;0,G644-D644*$D$469/$B$469,0)</f>
        <v/>
      </c>
      <c r="K644">
        <f>$H$469*I644-H644^2</f>
        <v/>
      </c>
      <c r="L644">
        <f>IF(ABS(K644)&gt;1E-12,($H$469*J644-H644*$I$469)/K644,0)</f>
        <v/>
      </c>
      <c r="M644">
        <f>IF(ABS(K644)&gt;1E-12,(I644*$I$469-H644*J644)/K644,0)</f>
        <v/>
      </c>
      <c r="N644">
        <f>$J$469-M644*$I$469-L644*J644</f>
        <v/>
      </c>
      <c r="O644">
        <f>IF(AND(C644,ABS(K644)&gt;1E-12,L644&gt;0),N644,1E+300)</f>
        <v/>
      </c>
    </row>
    <row r="645">
      <c r="A645">
        <f>$K$469+($L$469-$K$469)*173/400</f>
        <v/>
      </c>
      <c r="B645">
        <f>SUMPRODUCT((Calc!$F$3:$F$22&gt;=LTP!$E$5)*(Calc!$F$3:$F$22&lt;=k_n)*(Calc!$G$3:$G$22&lt;=A645))</f>
        <v/>
      </c>
      <c r="C645">
        <f>AND(B645&gt;=2,$B$469-B645&gt;=2)</f>
        <v/>
      </c>
      <c r="D645">
        <f>SUMPRODUCT((Calc!$F$3:$F$22&gt;=LTP!$E$5)*(Calc!$F$3:$F$22&lt;=k_n)*(Calc!$G$3:$G$22&gt;A645)*(Calc!$G$3:$G$22-A645))</f>
        <v/>
      </c>
      <c r="E645">
        <f>SUMPRODUCT((Calc!$F$3:$F$22&gt;=LTP!$E$5)*(Calc!$F$3:$F$22&lt;=k_n)*(Calc!$G$3:$G$22&gt;A645)*(Calc!$G$3:$G$22-A645)^2)</f>
        <v/>
      </c>
      <c r="F645">
        <f>SUMPRODUCT((Calc!$F$3:$F$22&gt;=LTP!$E$5)*(Calc!$F$3:$F$22&lt;=k_n)*(Calc!$G$3:$G$22&gt;A645)*(Calc!$G$3:$G$22-A645)*Calc!$G$3:$G$22)</f>
        <v/>
      </c>
      <c r="G645">
        <f>SUMPRODUCT((Calc!$F$3:$F$22&gt;=LTP!$E$5)*(Calc!$F$3:$F$22&lt;=k_n)*(Calc!$G$3:$G$22&gt;A645)*(Calc!$G$3:$G$22-A645)*Calc!$I$3:$I$22)</f>
        <v/>
      </c>
      <c r="H645">
        <f>IF($B$469&gt;0,F645-$C$469*D645/$B$469,0)</f>
        <v/>
      </c>
      <c r="I645">
        <f>IF($B$469&gt;0,E645-D645^2/$B$469,0)</f>
        <v/>
      </c>
      <c r="J645">
        <f>IF($B$469&gt;0,G645-D645*$D$469/$B$469,0)</f>
        <v/>
      </c>
      <c r="K645">
        <f>$H$469*I645-H645^2</f>
        <v/>
      </c>
      <c r="L645">
        <f>IF(ABS(K645)&gt;1E-12,($H$469*J645-H645*$I$469)/K645,0)</f>
        <v/>
      </c>
      <c r="M645">
        <f>IF(ABS(K645)&gt;1E-12,(I645*$I$469-H645*J645)/K645,0)</f>
        <v/>
      </c>
      <c r="N645">
        <f>$J$469-M645*$I$469-L645*J645</f>
        <v/>
      </c>
      <c r="O645">
        <f>IF(AND(C645,ABS(K645)&gt;1E-12,L645&gt;0),N645,1E+300)</f>
        <v/>
      </c>
    </row>
    <row r="646">
      <c r="A646">
        <f>$K$469+($L$469-$K$469)*174/400</f>
        <v/>
      </c>
      <c r="B646">
        <f>SUMPRODUCT((Calc!$F$3:$F$22&gt;=LTP!$E$5)*(Calc!$F$3:$F$22&lt;=k_n)*(Calc!$G$3:$G$22&lt;=A646))</f>
        <v/>
      </c>
      <c r="C646">
        <f>AND(B646&gt;=2,$B$469-B646&gt;=2)</f>
        <v/>
      </c>
      <c r="D646">
        <f>SUMPRODUCT((Calc!$F$3:$F$22&gt;=LTP!$E$5)*(Calc!$F$3:$F$22&lt;=k_n)*(Calc!$G$3:$G$22&gt;A646)*(Calc!$G$3:$G$22-A646))</f>
        <v/>
      </c>
      <c r="E646">
        <f>SUMPRODUCT((Calc!$F$3:$F$22&gt;=LTP!$E$5)*(Calc!$F$3:$F$22&lt;=k_n)*(Calc!$G$3:$G$22&gt;A646)*(Calc!$G$3:$G$22-A646)^2)</f>
        <v/>
      </c>
      <c r="F646">
        <f>SUMPRODUCT((Calc!$F$3:$F$22&gt;=LTP!$E$5)*(Calc!$F$3:$F$22&lt;=k_n)*(Calc!$G$3:$G$22&gt;A646)*(Calc!$G$3:$G$22-A646)*Calc!$G$3:$G$22)</f>
        <v/>
      </c>
      <c r="G646">
        <f>SUMPRODUCT((Calc!$F$3:$F$22&gt;=LTP!$E$5)*(Calc!$F$3:$F$22&lt;=k_n)*(Calc!$G$3:$G$22&gt;A646)*(Calc!$G$3:$G$22-A646)*Calc!$I$3:$I$22)</f>
        <v/>
      </c>
      <c r="H646">
        <f>IF($B$469&gt;0,F646-$C$469*D646/$B$469,0)</f>
        <v/>
      </c>
      <c r="I646">
        <f>IF($B$469&gt;0,E646-D646^2/$B$469,0)</f>
        <v/>
      </c>
      <c r="J646">
        <f>IF($B$469&gt;0,G646-D646*$D$469/$B$469,0)</f>
        <v/>
      </c>
      <c r="K646">
        <f>$H$469*I646-H646^2</f>
        <v/>
      </c>
      <c r="L646">
        <f>IF(ABS(K646)&gt;1E-12,($H$469*J646-H646*$I$469)/K646,0)</f>
        <v/>
      </c>
      <c r="M646">
        <f>IF(ABS(K646)&gt;1E-12,(I646*$I$469-H646*J646)/K646,0)</f>
        <v/>
      </c>
      <c r="N646">
        <f>$J$469-M646*$I$469-L646*J646</f>
        <v/>
      </c>
      <c r="O646">
        <f>IF(AND(C646,ABS(K646)&gt;1E-12,L646&gt;0),N646,1E+300)</f>
        <v/>
      </c>
    </row>
    <row r="647">
      <c r="A647">
        <f>$K$469+($L$469-$K$469)*175/400</f>
        <v/>
      </c>
      <c r="B647">
        <f>SUMPRODUCT((Calc!$F$3:$F$22&gt;=LTP!$E$5)*(Calc!$F$3:$F$22&lt;=k_n)*(Calc!$G$3:$G$22&lt;=A647))</f>
        <v/>
      </c>
      <c r="C647">
        <f>AND(B647&gt;=2,$B$469-B647&gt;=2)</f>
        <v/>
      </c>
      <c r="D647">
        <f>SUMPRODUCT((Calc!$F$3:$F$22&gt;=LTP!$E$5)*(Calc!$F$3:$F$22&lt;=k_n)*(Calc!$G$3:$G$22&gt;A647)*(Calc!$G$3:$G$22-A647))</f>
        <v/>
      </c>
      <c r="E647">
        <f>SUMPRODUCT((Calc!$F$3:$F$22&gt;=LTP!$E$5)*(Calc!$F$3:$F$22&lt;=k_n)*(Calc!$G$3:$G$22&gt;A647)*(Calc!$G$3:$G$22-A647)^2)</f>
        <v/>
      </c>
      <c r="F647">
        <f>SUMPRODUCT((Calc!$F$3:$F$22&gt;=LTP!$E$5)*(Calc!$F$3:$F$22&lt;=k_n)*(Calc!$G$3:$G$22&gt;A647)*(Calc!$G$3:$G$22-A647)*Calc!$G$3:$G$22)</f>
        <v/>
      </c>
      <c r="G647">
        <f>SUMPRODUCT((Calc!$F$3:$F$22&gt;=LTP!$E$5)*(Calc!$F$3:$F$22&lt;=k_n)*(Calc!$G$3:$G$22&gt;A647)*(Calc!$G$3:$G$22-A647)*Calc!$I$3:$I$22)</f>
        <v/>
      </c>
      <c r="H647">
        <f>IF($B$469&gt;0,F647-$C$469*D647/$B$469,0)</f>
        <v/>
      </c>
      <c r="I647">
        <f>IF($B$469&gt;0,E647-D647^2/$B$469,0)</f>
        <v/>
      </c>
      <c r="J647">
        <f>IF($B$469&gt;0,G647-D647*$D$469/$B$469,0)</f>
        <v/>
      </c>
      <c r="K647">
        <f>$H$469*I647-H647^2</f>
        <v/>
      </c>
      <c r="L647">
        <f>IF(ABS(K647)&gt;1E-12,($H$469*J647-H647*$I$469)/K647,0)</f>
        <v/>
      </c>
      <c r="M647">
        <f>IF(ABS(K647)&gt;1E-12,(I647*$I$469-H647*J647)/K647,0)</f>
        <v/>
      </c>
      <c r="N647">
        <f>$J$469-M647*$I$469-L647*J647</f>
        <v/>
      </c>
      <c r="O647">
        <f>IF(AND(C647,ABS(K647)&gt;1E-12,L647&gt;0),N647,1E+300)</f>
        <v/>
      </c>
    </row>
    <row r="648">
      <c r="A648">
        <f>$K$469+($L$469-$K$469)*176/400</f>
        <v/>
      </c>
      <c r="B648">
        <f>SUMPRODUCT((Calc!$F$3:$F$22&gt;=LTP!$E$5)*(Calc!$F$3:$F$22&lt;=k_n)*(Calc!$G$3:$G$22&lt;=A648))</f>
        <v/>
      </c>
      <c r="C648">
        <f>AND(B648&gt;=2,$B$469-B648&gt;=2)</f>
        <v/>
      </c>
      <c r="D648">
        <f>SUMPRODUCT((Calc!$F$3:$F$22&gt;=LTP!$E$5)*(Calc!$F$3:$F$22&lt;=k_n)*(Calc!$G$3:$G$22&gt;A648)*(Calc!$G$3:$G$22-A648))</f>
        <v/>
      </c>
      <c r="E648">
        <f>SUMPRODUCT((Calc!$F$3:$F$22&gt;=LTP!$E$5)*(Calc!$F$3:$F$22&lt;=k_n)*(Calc!$G$3:$G$22&gt;A648)*(Calc!$G$3:$G$22-A648)^2)</f>
        <v/>
      </c>
      <c r="F648">
        <f>SUMPRODUCT((Calc!$F$3:$F$22&gt;=LTP!$E$5)*(Calc!$F$3:$F$22&lt;=k_n)*(Calc!$G$3:$G$22&gt;A648)*(Calc!$G$3:$G$22-A648)*Calc!$G$3:$G$22)</f>
        <v/>
      </c>
      <c r="G648">
        <f>SUMPRODUCT((Calc!$F$3:$F$22&gt;=LTP!$E$5)*(Calc!$F$3:$F$22&lt;=k_n)*(Calc!$G$3:$G$22&gt;A648)*(Calc!$G$3:$G$22-A648)*Calc!$I$3:$I$22)</f>
        <v/>
      </c>
      <c r="H648">
        <f>IF($B$469&gt;0,F648-$C$469*D648/$B$469,0)</f>
        <v/>
      </c>
      <c r="I648">
        <f>IF($B$469&gt;0,E648-D648^2/$B$469,0)</f>
        <v/>
      </c>
      <c r="J648">
        <f>IF($B$469&gt;0,G648-D648*$D$469/$B$469,0)</f>
        <v/>
      </c>
      <c r="K648">
        <f>$H$469*I648-H648^2</f>
        <v/>
      </c>
      <c r="L648">
        <f>IF(ABS(K648)&gt;1E-12,($H$469*J648-H648*$I$469)/K648,0)</f>
        <v/>
      </c>
      <c r="M648">
        <f>IF(ABS(K648)&gt;1E-12,(I648*$I$469-H648*J648)/K648,0)</f>
        <v/>
      </c>
      <c r="N648">
        <f>$J$469-M648*$I$469-L648*J648</f>
        <v/>
      </c>
      <c r="O648">
        <f>IF(AND(C648,ABS(K648)&gt;1E-12,L648&gt;0),N648,1E+300)</f>
        <v/>
      </c>
    </row>
    <row r="649">
      <c r="A649">
        <f>$K$469+($L$469-$K$469)*177/400</f>
        <v/>
      </c>
      <c r="B649">
        <f>SUMPRODUCT((Calc!$F$3:$F$22&gt;=LTP!$E$5)*(Calc!$F$3:$F$22&lt;=k_n)*(Calc!$G$3:$G$22&lt;=A649))</f>
        <v/>
      </c>
      <c r="C649">
        <f>AND(B649&gt;=2,$B$469-B649&gt;=2)</f>
        <v/>
      </c>
      <c r="D649">
        <f>SUMPRODUCT((Calc!$F$3:$F$22&gt;=LTP!$E$5)*(Calc!$F$3:$F$22&lt;=k_n)*(Calc!$G$3:$G$22&gt;A649)*(Calc!$G$3:$G$22-A649))</f>
        <v/>
      </c>
      <c r="E649">
        <f>SUMPRODUCT((Calc!$F$3:$F$22&gt;=LTP!$E$5)*(Calc!$F$3:$F$22&lt;=k_n)*(Calc!$G$3:$G$22&gt;A649)*(Calc!$G$3:$G$22-A649)^2)</f>
        <v/>
      </c>
      <c r="F649">
        <f>SUMPRODUCT((Calc!$F$3:$F$22&gt;=LTP!$E$5)*(Calc!$F$3:$F$22&lt;=k_n)*(Calc!$G$3:$G$22&gt;A649)*(Calc!$G$3:$G$22-A649)*Calc!$G$3:$G$22)</f>
        <v/>
      </c>
      <c r="G649">
        <f>SUMPRODUCT((Calc!$F$3:$F$22&gt;=LTP!$E$5)*(Calc!$F$3:$F$22&lt;=k_n)*(Calc!$G$3:$G$22&gt;A649)*(Calc!$G$3:$G$22-A649)*Calc!$I$3:$I$22)</f>
        <v/>
      </c>
      <c r="H649">
        <f>IF($B$469&gt;0,F649-$C$469*D649/$B$469,0)</f>
        <v/>
      </c>
      <c r="I649">
        <f>IF($B$469&gt;0,E649-D649^2/$B$469,0)</f>
        <v/>
      </c>
      <c r="J649">
        <f>IF($B$469&gt;0,G649-D649*$D$469/$B$469,0)</f>
        <v/>
      </c>
      <c r="K649">
        <f>$H$469*I649-H649^2</f>
        <v/>
      </c>
      <c r="L649">
        <f>IF(ABS(K649)&gt;1E-12,($H$469*J649-H649*$I$469)/K649,0)</f>
        <v/>
      </c>
      <c r="M649">
        <f>IF(ABS(K649)&gt;1E-12,(I649*$I$469-H649*J649)/K649,0)</f>
        <v/>
      </c>
      <c r="N649">
        <f>$J$469-M649*$I$469-L649*J649</f>
        <v/>
      </c>
      <c r="O649">
        <f>IF(AND(C649,ABS(K649)&gt;1E-12,L649&gt;0),N649,1E+300)</f>
        <v/>
      </c>
    </row>
    <row r="650">
      <c r="A650">
        <f>$K$469+($L$469-$K$469)*178/400</f>
        <v/>
      </c>
      <c r="B650">
        <f>SUMPRODUCT((Calc!$F$3:$F$22&gt;=LTP!$E$5)*(Calc!$F$3:$F$22&lt;=k_n)*(Calc!$G$3:$G$22&lt;=A650))</f>
        <v/>
      </c>
      <c r="C650">
        <f>AND(B650&gt;=2,$B$469-B650&gt;=2)</f>
        <v/>
      </c>
      <c r="D650">
        <f>SUMPRODUCT((Calc!$F$3:$F$22&gt;=LTP!$E$5)*(Calc!$F$3:$F$22&lt;=k_n)*(Calc!$G$3:$G$22&gt;A650)*(Calc!$G$3:$G$22-A650))</f>
        <v/>
      </c>
      <c r="E650">
        <f>SUMPRODUCT((Calc!$F$3:$F$22&gt;=LTP!$E$5)*(Calc!$F$3:$F$22&lt;=k_n)*(Calc!$G$3:$G$22&gt;A650)*(Calc!$G$3:$G$22-A650)^2)</f>
        <v/>
      </c>
      <c r="F650">
        <f>SUMPRODUCT((Calc!$F$3:$F$22&gt;=LTP!$E$5)*(Calc!$F$3:$F$22&lt;=k_n)*(Calc!$G$3:$G$22&gt;A650)*(Calc!$G$3:$G$22-A650)*Calc!$G$3:$G$22)</f>
        <v/>
      </c>
      <c r="G650">
        <f>SUMPRODUCT((Calc!$F$3:$F$22&gt;=LTP!$E$5)*(Calc!$F$3:$F$22&lt;=k_n)*(Calc!$G$3:$G$22&gt;A650)*(Calc!$G$3:$G$22-A650)*Calc!$I$3:$I$22)</f>
        <v/>
      </c>
      <c r="H650">
        <f>IF($B$469&gt;0,F650-$C$469*D650/$B$469,0)</f>
        <v/>
      </c>
      <c r="I650">
        <f>IF($B$469&gt;0,E650-D650^2/$B$469,0)</f>
        <v/>
      </c>
      <c r="J650">
        <f>IF($B$469&gt;0,G650-D650*$D$469/$B$469,0)</f>
        <v/>
      </c>
      <c r="K650">
        <f>$H$469*I650-H650^2</f>
        <v/>
      </c>
      <c r="L650">
        <f>IF(ABS(K650)&gt;1E-12,($H$469*J650-H650*$I$469)/K650,0)</f>
        <v/>
      </c>
      <c r="M650">
        <f>IF(ABS(K650)&gt;1E-12,(I650*$I$469-H650*J650)/K650,0)</f>
        <v/>
      </c>
      <c r="N650">
        <f>$J$469-M650*$I$469-L650*J650</f>
        <v/>
      </c>
      <c r="O650">
        <f>IF(AND(C650,ABS(K650)&gt;1E-12,L650&gt;0),N650,1E+300)</f>
        <v/>
      </c>
    </row>
    <row r="651">
      <c r="A651">
        <f>$K$469+($L$469-$K$469)*179/400</f>
        <v/>
      </c>
      <c r="B651">
        <f>SUMPRODUCT((Calc!$F$3:$F$22&gt;=LTP!$E$5)*(Calc!$F$3:$F$22&lt;=k_n)*(Calc!$G$3:$G$22&lt;=A651))</f>
        <v/>
      </c>
      <c r="C651">
        <f>AND(B651&gt;=2,$B$469-B651&gt;=2)</f>
        <v/>
      </c>
      <c r="D651">
        <f>SUMPRODUCT((Calc!$F$3:$F$22&gt;=LTP!$E$5)*(Calc!$F$3:$F$22&lt;=k_n)*(Calc!$G$3:$G$22&gt;A651)*(Calc!$G$3:$G$22-A651))</f>
        <v/>
      </c>
      <c r="E651">
        <f>SUMPRODUCT((Calc!$F$3:$F$22&gt;=LTP!$E$5)*(Calc!$F$3:$F$22&lt;=k_n)*(Calc!$G$3:$G$22&gt;A651)*(Calc!$G$3:$G$22-A651)^2)</f>
        <v/>
      </c>
      <c r="F651">
        <f>SUMPRODUCT((Calc!$F$3:$F$22&gt;=LTP!$E$5)*(Calc!$F$3:$F$22&lt;=k_n)*(Calc!$G$3:$G$22&gt;A651)*(Calc!$G$3:$G$22-A651)*Calc!$G$3:$G$22)</f>
        <v/>
      </c>
      <c r="G651">
        <f>SUMPRODUCT((Calc!$F$3:$F$22&gt;=LTP!$E$5)*(Calc!$F$3:$F$22&lt;=k_n)*(Calc!$G$3:$G$22&gt;A651)*(Calc!$G$3:$G$22-A651)*Calc!$I$3:$I$22)</f>
        <v/>
      </c>
      <c r="H651">
        <f>IF($B$469&gt;0,F651-$C$469*D651/$B$469,0)</f>
        <v/>
      </c>
      <c r="I651">
        <f>IF($B$469&gt;0,E651-D651^2/$B$469,0)</f>
        <v/>
      </c>
      <c r="J651">
        <f>IF($B$469&gt;0,G651-D651*$D$469/$B$469,0)</f>
        <v/>
      </c>
      <c r="K651">
        <f>$H$469*I651-H651^2</f>
        <v/>
      </c>
      <c r="L651">
        <f>IF(ABS(K651)&gt;1E-12,($H$469*J651-H651*$I$469)/K651,0)</f>
        <v/>
      </c>
      <c r="M651">
        <f>IF(ABS(K651)&gt;1E-12,(I651*$I$469-H651*J651)/K651,0)</f>
        <v/>
      </c>
      <c r="N651">
        <f>$J$469-M651*$I$469-L651*J651</f>
        <v/>
      </c>
      <c r="O651">
        <f>IF(AND(C651,ABS(K651)&gt;1E-12,L651&gt;0),N651,1E+300)</f>
        <v/>
      </c>
    </row>
    <row r="652">
      <c r="A652">
        <f>$K$469+($L$469-$K$469)*180/400</f>
        <v/>
      </c>
      <c r="B652">
        <f>SUMPRODUCT((Calc!$F$3:$F$22&gt;=LTP!$E$5)*(Calc!$F$3:$F$22&lt;=k_n)*(Calc!$G$3:$G$22&lt;=A652))</f>
        <v/>
      </c>
      <c r="C652">
        <f>AND(B652&gt;=2,$B$469-B652&gt;=2)</f>
        <v/>
      </c>
      <c r="D652">
        <f>SUMPRODUCT((Calc!$F$3:$F$22&gt;=LTP!$E$5)*(Calc!$F$3:$F$22&lt;=k_n)*(Calc!$G$3:$G$22&gt;A652)*(Calc!$G$3:$G$22-A652))</f>
        <v/>
      </c>
      <c r="E652">
        <f>SUMPRODUCT((Calc!$F$3:$F$22&gt;=LTP!$E$5)*(Calc!$F$3:$F$22&lt;=k_n)*(Calc!$G$3:$G$22&gt;A652)*(Calc!$G$3:$G$22-A652)^2)</f>
        <v/>
      </c>
      <c r="F652">
        <f>SUMPRODUCT((Calc!$F$3:$F$22&gt;=LTP!$E$5)*(Calc!$F$3:$F$22&lt;=k_n)*(Calc!$G$3:$G$22&gt;A652)*(Calc!$G$3:$G$22-A652)*Calc!$G$3:$G$22)</f>
        <v/>
      </c>
      <c r="G652">
        <f>SUMPRODUCT((Calc!$F$3:$F$22&gt;=LTP!$E$5)*(Calc!$F$3:$F$22&lt;=k_n)*(Calc!$G$3:$G$22&gt;A652)*(Calc!$G$3:$G$22-A652)*Calc!$I$3:$I$22)</f>
        <v/>
      </c>
      <c r="H652">
        <f>IF($B$469&gt;0,F652-$C$469*D652/$B$469,0)</f>
        <v/>
      </c>
      <c r="I652">
        <f>IF($B$469&gt;0,E652-D652^2/$B$469,0)</f>
        <v/>
      </c>
      <c r="J652">
        <f>IF($B$469&gt;0,G652-D652*$D$469/$B$469,0)</f>
        <v/>
      </c>
      <c r="K652">
        <f>$H$469*I652-H652^2</f>
        <v/>
      </c>
      <c r="L652">
        <f>IF(ABS(K652)&gt;1E-12,($H$469*J652-H652*$I$469)/K652,0)</f>
        <v/>
      </c>
      <c r="M652">
        <f>IF(ABS(K652)&gt;1E-12,(I652*$I$469-H652*J652)/K652,0)</f>
        <v/>
      </c>
      <c r="N652">
        <f>$J$469-M652*$I$469-L652*J652</f>
        <v/>
      </c>
      <c r="O652">
        <f>IF(AND(C652,ABS(K652)&gt;1E-12,L652&gt;0),N652,1E+300)</f>
        <v/>
      </c>
    </row>
    <row r="653">
      <c r="A653">
        <f>$K$469+($L$469-$K$469)*181/400</f>
        <v/>
      </c>
      <c r="B653">
        <f>SUMPRODUCT((Calc!$F$3:$F$22&gt;=LTP!$E$5)*(Calc!$F$3:$F$22&lt;=k_n)*(Calc!$G$3:$G$22&lt;=A653))</f>
        <v/>
      </c>
      <c r="C653">
        <f>AND(B653&gt;=2,$B$469-B653&gt;=2)</f>
        <v/>
      </c>
      <c r="D653">
        <f>SUMPRODUCT((Calc!$F$3:$F$22&gt;=LTP!$E$5)*(Calc!$F$3:$F$22&lt;=k_n)*(Calc!$G$3:$G$22&gt;A653)*(Calc!$G$3:$G$22-A653))</f>
        <v/>
      </c>
      <c r="E653">
        <f>SUMPRODUCT((Calc!$F$3:$F$22&gt;=LTP!$E$5)*(Calc!$F$3:$F$22&lt;=k_n)*(Calc!$G$3:$G$22&gt;A653)*(Calc!$G$3:$G$22-A653)^2)</f>
        <v/>
      </c>
      <c r="F653">
        <f>SUMPRODUCT((Calc!$F$3:$F$22&gt;=LTP!$E$5)*(Calc!$F$3:$F$22&lt;=k_n)*(Calc!$G$3:$G$22&gt;A653)*(Calc!$G$3:$G$22-A653)*Calc!$G$3:$G$22)</f>
        <v/>
      </c>
      <c r="G653">
        <f>SUMPRODUCT((Calc!$F$3:$F$22&gt;=LTP!$E$5)*(Calc!$F$3:$F$22&lt;=k_n)*(Calc!$G$3:$G$22&gt;A653)*(Calc!$G$3:$G$22-A653)*Calc!$I$3:$I$22)</f>
        <v/>
      </c>
      <c r="H653">
        <f>IF($B$469&gt;0,F653-$C$469*D653/$B$469,0)</f>
        <v/>
      </c>
      <c r="I653">
        <f>IF($B$469&gt;0,E653-D653^2/$B$469,0)</f>
        <v/>
      </c>
      <c r="J653">
        <f>IF($B$469&gt;0,G653-D653*$D$469/$B$469,0)</f>
        <v/>
      </c>
      <c r="K653">
        <f>$H$469*I653-H653^2</f>
        <v/>
      </c>
      <c r="L653">
        <f>IF(ABS(K653)&gt;1E-12,($H$469*J653-H653*$I$469)/K653,0)</f>
        <v/>
      </c>
      <c r="M653">
        <f>IF(ABS(K653)&gt;1E-12,(I653*$I$469-H653*J653)/K653,0)</f>
        <v/>
      </c>
      <c r="N653">
        <f>$J$469-M653*$I$469-L653*J653</f>
        <v/>
      </c>
      <c r="O653">
        <f>IF(AND(C653,ABS(K653)&gt;1E-12,L653&gt;0),N653,1E+300)</f>
        <v/>
      </c>
    </row>
    <row r="654">
      <c r="A654">
        <f>$K$469+($L$469-$K$469)*182/400</f>
        <v/>
      </c>
      <c r="B654">
        <f>SUMPRODUCT((Calc!$F$3:$F$22&gt;=LTP!$E$5)*(Calc!$F$3:$F$22&lt;=k_n)*(Calc!$G$3:$G$22&lt;=A654))</f>
        <v/>
      </c>
      <c r="C654">
        <f>AND(B654&gt;=2,$B$469-B654&gt;=2)</f>
        <v/>
      </c>
      <c r="D654">
        <f>SUMPRODUCT((Calc!$F$3:$F$22&gt;=LTP!$E$5)*(Calc!$F$3:$F$22&lt;=k_n)*(Calc!$G$3:$G$22&gt;A654)*(Calc!$G$3:$G$22-A654))</f>
        <v/>
      </c>
      <c r="E654">
        <f>SUMPRODUCT((Calc!$F$3:$F$22&gt;=LTP!$E$5)*(Calc!$F$3:$F$22&lt;=k_n)*(Calc!$G$3:$G$22&gt;A654)*(Calc!$G$3:$G$22-A654)^2)</f>
        <v/>
      </c>
      <c r="F654">
        <f>SUMPRODUCT((Calc!$F$3:$F$22&gt;=LTP!$E$5)*(Calc!$F$3:$F$22&lt;=k_n)*(Calc!$G$3:$G$22&gt;A654)*(Calc!$G$3:$G$22-A654)*Calc!$G$3:$G$22)</f>
        <v/>
      </c>
      <c r="G654">
        <f>SUMPRODUCT((Calc!$F$3:$F$22&gt;=LTP!$E$5)*(Calc!$F$3:$F$22&lt;=k_n)*(Calc!$G$3:$G$22&gt;A654)*(Calc!$G$3:$G$22-A654)*Calc!$I$3:$I$22)</f>
        <v/>
      </c>
      <c r="H654">
        <f>IF($B$469&gt;0,F654-$C$469*D654/$B$469,0)</f>
        <v/>
      </c>
      <c r="I654">
        <f>IF($B$469&gt;0,E654-D654^2/$B$469,0)</f>
        <v/>
      </c>
      <c r="J654">
        <f>IF($B$469&gt;0,G654-D654*$D$469/$B$469,0)</f>
        <v/>
      </c>
      <c r="K654">
        <f>$H$469*I654-H654^2</f>
        <v/>
      </c>
      <c r="L654">
        <f>IF(ABS(K654)&gt;1E-12,($H$469*J654-H654*$I$469)/K654,0)</f>
        <v/>
      </c>
      <c r="M654">
        <f>IF(ABS(K654)&gt;1E-12,(I654*$I$469-H654*J654)/K654,0)</f>
        <v/>
      </c>
      <c r="N654">
        <f>$J$469-M654*$I$469-L654*J654</f>
        <v/>
      </c>
      <c r="O654">
        <f>IF(AND(C654,ABS(K654)&gt;1E-12,L654&gt;0),N654,1E+300)</f>
        <v/>
      </c>
    </row>
    <row r="655">
      <c r="A655">
        <f>$K$469+($L$469-$K$469)*183/400</f>
        <v/>
      </c>
      <c r="B655">
        <f>SUMPRODUCT((Calc!$F$3:$F$22&gt;=LTP!$E$5)*(Calc!$F$3:$F$22&lt;=k_n)*(Calc!$G$3:$G$22&lt;=A655))</f>
        <v/>
      </c>
      <c r="C655">
        <f>AND(B655&gt;=2,$B$469-B655&gt;=2)</f>
        <v/>
      </c>
      <c r="D655">
        <f>SUMPRODUCT((Calc!$F$3:$F$22&gt;=LTP!$E$5)*(Calc!$F$3:$F$22&lt;=k_n)*(Calc!$G$3:$G$22&gt;A655)*(Calc!$G$3:$G$22-A655))</f>
        <v/>
      </c>
      <c r="E655">
        <f>SUMPRODUCT((Calc!$F$3:$F$22&gt;=LTP!$E$5)*(Calc!$F$3:$F$22&lt;=k_n)*(Calc!$G$3:$G$22&gt;A655)*(Calc!$G$3:$G$22-A655)^2)</f>
        <v/>
      </c>
      <c r="F655">
        <f>SUMPRODUCT((Calc!$F$3:$F$22&gt;=LTP!$E$5)*(Calc!$F$3:$F$22&lt;=k_n)*(Calc!$G$3:$G$22&gt;A655)*(Calc!$G$3:$G$22-A655)*Calc!$G$3:$G$22)</f>
        <v/>
      </c>
      <c r="G655">
        <f>SUMPRODUCT((Calc!$F$3:$F$22&gt;=LTP!$E$5)*(Calc!$F$3:$F$22&lt;=k_n)*(Calc!$G$3:$G$22&gt;A655)*(Calc!$G$3:$G$22-A655)*Calc!$I$3:$I$22)</f>
        <v/>
      </c>
      <c r="H655">
        <f>IF($B$469&gt;0,F655-$C$469*D655/$B$469,0)</f>
        <v/>
      </c>
      <c r="I655">
        <f>IF($B$469&gt;0,E655-D655^2/$B$469,0)</f>
        <v/>
      </c>
      <c r="J655">
        <f>IF($B$469&gt;0,G655-D655*$D$469/$B$469,0)</f>
        <v/>
      </c>
      <c r="K655">
        <f>$H$469*I655-H655^2</f>
        <v/>
      </c>
      <c r="L655">
        <f>IF(ABS(K655)&gt;1E-12,($H$469*J655-H655*$I$469)/K655,0)</f>
        <v/>
      </c>
      <c r="M655">
        <f>IF(ABS(K655)&gt;1E-12,(I655*$I$469-H655*J655)/K655,0)</f>
        <v/>
      </c>
      <c r="N655">
        <f>$J$469-M655*$I$469-L655*J655</f>
        <v/>
      </c>
      <c r="O655">
        <f>IF(AND(C655,ABS(K655)&gt;1E-12,L655&gt;0),N655,1E+300)</f>
        <v/>
      </c>
    </row>
    <row r="656">
      <c r="A656">
        <f>$K$469+($L$469-$K$469)*184/400</f>
        <v/>
      </c>
      <c r="B656">
        <f>SUMPRODUCT((Calc!$F$3:$F$22&gt;=LTP!$E$5)*(Calc!$F$3:$F$22&lt;=k_n)*(Calc!$G$3:$G$22&lt;=A656))</f>
        <v/>
      </c>
      <c r="C656">
        <f>AND(B656&gt;=2,$B$469-B656&gt;=2)</f>
        <v/>
      </c>
      <c r="D656">
        <f>SUMPRODUCT((Calc!$F$3:$F$22&gt;=LTP!$E$5)*(Calc!$F$3:$F$22&lt;=k_n)*(Calc!$G$3:$G$22&gt;A656)*(Calc!$G$3:$G$22-A656))</f>
        <v/>
      </c>
      <c r="E656">
        <f>SUMPRODUCT((Calc!$F$3:$F$22&gt;=LTP!$E$5)*(Calc!$F$3:$F$22&lt;=k_n)*(Calc!$G$3:$G$22&gt;A656)*(Calc!$G$3:$G$22-A656)^2)</f>
        <v/>
      </c>
      <c r="F656">
        <f>SUMPRODUCT((Calc!$F$3:$F$22&gt;=LTP!$E$5)*(Calc!$F$3:$F$22&lt;=k_n)*(Calc!$G$3:$G$22&gt;A656)*(Calc!$G$3:$G$22-A656)*Calc!$G$3:$G$22)</f>
        <v/>
      </c>
      <c r="G656">
        <f>SUMPRODUCT((Calc!$F$3:$F$22&gt;=LTP!$E$5)*(Calc!$F$3:$F$22&lt;=k_n)*(Calc!$G$3:$G$22&gt;A656)*(Calc!$G$3:$G$22-A656)*Calc!$I$3:$I$22)</f>
        <v/>
      </c>
      <c r="H656">
        <f>IF($B$469&gt;0,F656-$C$469*D656/$B$469,0)</f>
        <v/>
      </c>
      <c r="I656">
        <f>IF($B$469&gt;0,E656-D656^2/$B$469,0)</f>
        <v/>
      </c>
      <c r="J656">
        <f>IF($B$469&gt;0,G656-D656*$D$469/$B$469,0)</f>
        <v/>
      </c>
      <c r="K656">
        <f>$H$469*I656-H656^2</f>
        <v/>
      </c>
      <c r="L656">
        <f>IF(ABS(K656)&gt;1E-12,($H$469*J656-H656*$I$469)/K656,0)</f>
        <v/>
      </c>
      <c r="M656">
        <f>IF(ABS(K656)&gt;1E-12,(I656*$I$469-H656*J656)/K656,0)</f>
        <v/>
      </c>
      <c r="N656">
        <f>$J$469-M656*$I$469-L656*J656</f>
        <v/>
      </c>
      <c r="O656">
        <f>IF(AND(C656,ABS(K656)&gt;1E-12,L656&gt;0),N656,1E+300)</f>
        <v/>
      </c>
    </row>
    <row r="657">
      <c r="A657">
        <f>$K$469+($L$469-$K$469)*185/400</f>
        <v/>
      </c>
      <c r="B657">
        <f>SUMPRODUCT((Calc!$F$3:$F$22&gt;=LTP!$E$5)*(Calc!$F$3:$F$22&lt;=k_n)*(Calc!$G$3:$G$22&lt;=A657))</f>
        <v/>
      </c>
      <c r="C657">
        <f>AND(B657&gt;=2,$B$469-B657&gt;=2)</f>
        <v/>
      </c>
      <c r="D657">
        <f>SUMPRODUCT((Calc!$F$3:$F$22&gt;=LTP!$E$5)*(Calc!$F$3:$F$22&lt;=k_n)*(Calc!$G$3:$G$22&gt;A657)*(Calc!$G$3:$G$22-A657))</f>
        <v/>
      </c>
      <c r="E657">
        <f>SUMPRODUCT((Calc!$F$3:$F$22&gt;=LTP!$E$5)*(Calc!$F$3:$F$22&lt;=k_n)*(Calc!$G$3:$G$22&gt;A657)*(Calc!$G$3:$G$22-A657)^2)</f>
        <v/>
      </c>
      <c r="F657">
        <f>SUMPRODUCT((Calc!$F$3:$F$22&gt;=LTP!$E$5)*(Calc!$F$3:$F$22&lt;=k_n)*(Calc!$G$3:$G$22&gt;A657)*(Calc!$G$3:$G$22-A657)*Calc!$G$3:$G$22)</f>
        <v/>
      </c>
      <c r="G657">
        <f>SUMPRODUCT((Calc!$F$3:$F$22&gt;=LTP!$E$5)*(Calc!$F$3:$F$22&lt;=k_n)*(Calc!$G$3:$G$22&gt;A657)*(Calc!$G$3:$G$22-A657)*Calc!$I$3:$I$22)</f>
        <v/>
      </c>
      <c r="H657">
        <f>IF($B$469&gt;0,F657-$C$469*D657/$B$469,0)</f>
        <v/>
      </c>
      <c r="I657">
        <f>IF($B$469&gt;0,E657-D657^2/$B$469,0)</f>
        <v/>
      </c>
      <c r="J657">
        <f>IF($B$469&gt;0,G657-D657*$D$469/$B$469,0)</f>
        <v/>
      </c>
      <c r="K657">
        <f>$H$469*I657-H657^2</f>
        <v/>
      </c>
      <c r="L657">
        <f>IF(ABS(K657)&gt;1E-12,($H$469*J657-H657*$I$469)/K657,0)</f>
        <v/>
      </c>
      <c r="M657">
        <f>IF(ABS(K657)&gt;1E-12,(I657*$I$469-H657*J657)/K657,0)</f>
        <v/>
      </c>
      <c r="N657">
        <f>$J$469-M657*$I$469-L657*J657</f>
        <v/>
      </c>
      <c r="O657">
        <f>IF(AND(C657,ABS(K657)&gt;1E-12,L657&gt;0),N657,1E+300)</f>
        <v/>
      </c>
    </row>
    <row r="658">
      <c r="A658">
        <f>$K$469+($L$469-$K$469)*186/400</f>
        <v/>
      </c>
      <c r="B658">
        <f>SUMPRODUCT((Calc!$F$3:$F$22&gt;=LTP!$E$5)*(Calc!$F$3:$F$22&lt;=k_n)*(Calc!$G$3:$G$22&lt;=A658))</f>
        <v/>
      </c>
      <c r="C658">
        <f>AND(B658&gt;=2,$B$469-B658&gt;=2)</f>
        <v/>
      </c>
      <c r="D658">
        <f>SUMPRODUCT((Calc!$F$3:$F$22&gt;=LTP!$E$5)*(Calc!$F$3:$F$22&lt;=k_n)*(Calc!$G$3:$G$22&gt;A658)*(Calc!$G$3:$G$22-A658))</f>
        <v/>
      </c>
      <c r="E658">
        <f>SUMPRODUCT((Calc!$F$3:$F$22&gt;=LTP!$E$5)*(Calc!$F$3:$F$22&lt;=k_n)*(Calc!$G$3:$G$22&gt;A658)*(Calc!$G$3:$G$22-A658)^2)</f>
        <v/>
      </c>
      <c r="F658">
        <f>SUMPRODUCT((Calc!$F$3:$F$22&gt;=LTP!$E$5)*(Calc!$F$3:$F$22&lt;=k_n)*(Calc!$G$3:$G$22&gt;A658)*(Calc!$G$3:$G$22-A658)*Calc!$G$3:$G$22)</f>
        <v/>
      </c>
      <c r="G658">
        <f>SUMPRODUCT((Calc!$F$3:$F$22&gt;=LTP!$E$5)*(Calc!$F$3:$F$22&lt;=k_n)*(Calc!$G$3:$G$22&gt;A658)*(Calc!$G$3:$G$22-A658)*Calc!$I$3:$I$22)</f>
        <v/>
      </c>
      <c r="H658">
        <f>IF($B$469&gt;0,F658-$C$469*D658/$B$469,0)</f>
        <v/>
      </c>
      <c r="I658">
        <f>IF($B$469&gt;0,E658-D658^2/$B$469,0)</f>
        <v/>
      </c>
      <c r="J658">
        <f>IF($B$469&gt;0,G658-D658*$D$469/$B$469,0)</f>
        <v/>
      </c>
      <c r="K658">
        <f>$H$469*I658-H658^2</f>
        <v/>
      </c>
      <c r="L658">
        <f>IF(ABS(K658)&gt;1E-12,($H$469*J658-H658*$I$469)/K658,0)</f>
        <v/>
      </c>
      <c r="M658">
        <f>IF(ABS(K658)&gt;1E-12,(I658*$I$469-H658*J658)/K658,0)</f>
        <v/>
      </c>
      <c r="N658">
        <f>$J$469-M658*$I$469-L658*J658</f>
        <v/>
      </c>
      <c r="O658">
        <f>IF(AND(C658,ABS(K658)&gt;1E-12,L658&gt;0),N658,1E+300)</f>
        <v/>
      </c>
    </row>
    <row r="659">
      <c r="A659">
        <f>$K$469+($L$469-$K$469)*187/400</f>
        <v/>
      </c>
      <c r="B659">
        <f>SUMPRODUCT((Calc!$F$3:$F$22&gt;=LTP!$E$5)*(Calc!$F$3:$F$22&lt;=k_n)*(Calc!$G$3:$G$22&lt;=A659))</f>
        <v/>
      </c>
      <c r="C659">
        <f>AND(B659&gt;=2,$B$469-B659&gt;=2)</f>
        <v/>
      </c>
      <c r="D659">
        <f>SUMPRODUCT((Calc!$F$3:$F$22&gt;=LTP!$E$5)*(Calc!$F$3:$F$22&lt;=k_n)*(Calc!$G$3:$G$22&gt;A659)*(Calc!$G$3:$G$22-A659))</f>
        <v/>
      </c>
      <c r="E659">
        <f>SUMPRODUCT((Calc!$F$3:$F$22&gt;=LTP!$E$5)*(Calc!$F$3:$F$22&lt;=k_n)*(Calc!$G$3:$G$22&gt;A659)*(Calc!$G$3:$G$22-A659)^2)</f>
        <v/>
      </c>
      <c r="F659">
        <f>SUMPRODUCT((Calc!$F$3:$F$22&gt;=LTP!$E$5)*(Calc!$F$3:$F$22&lt;=k_n)*(Calc!$G$3:$G$22&gt;A659)*(Calc!$G$3:$G$22-A659)*Calc!$G$3:$G$22)</f>
        <v/>
      </c>
      <c r="G659">
        <f>SUMPRODUCT((Calc!$F$3:$F$22&gt;=LTP!$E$5)*(Calc!$F$3:$F$22&lt;=k_n)*(Calc!$G$3:$G$22&gt;A659)*(Calc!$G$3:$G$22-A659)*Calc!$I$3:$I$22)</f>
        <v/>
      </c>
      <c r="H659">
        <f>IF($B$469&gt;0,F659-$C$469*D659/$B$469,0)</f>
        <v/>
      </c>
      <c r="I659">
        <f>IF($B$469&gt;0,E659-D659^2/$B$469,0)</f>
        <v/>
      </c>
      <c r="J659">
        <f>IF($B$469&gt;0,G659-D659*$D$469/$B$469,0)</f>
        <v/>
      </c>
      <c r="K659">
        <f>$H$469*I659-H659^2</f>
        <v/>
      </c>
      <c r="L659">
        <f>IF(ABS(K659)&gt;1E-12,($H$469*J659-H659*$I$469)/K659,0)</f>
        <v/>
      </c>
      <c r="M659">
        <f>IF(ABS(K659)&gt;1E-12,(I659*$I$469-H659*J659)/K659,0)</f>
        <v/>
      </c>
      <c r="N659">
        <f>$J$469-M659*$I$469-L659*J659</f>
        <v/>
      </c>
      <c r="O659">
        <f>IF(AND(C659,ABS(K659)&gt;1E-12,L659&gt;0),N659,1E+300)</f>
        <v/>
      </c>
    </row>
    <row r="660">
      <c r="A660">
        <f>$K$469+($L$469-$K$469)*188/400</f>
        <v/>
      </c>
      <c r="B660">
        <f>SUMPRODUCT((Calc!$F$3:$F$22&gt;=LTP!$E$5)*(Calc!$F$3:$F$22&lt;=k_n)*(Calc!$G$3:$G$22&lt;=A660))</f>
        <v/>
      </c>
      <c r="C660">
        <f>AND(B660&gt;=2,$B$469-B660&gt;=2)</f>
        <v/>
      </c>
      <c r="D660">
        <f>SUMPRODUCT((Calc!$F$3:$F$22&gt;=LTP!$E$5)*(Calc!$F$3:$F$22&lt;=k_n)*(Calc!$G$3:$G$22&gt;A660)*(Calc!$G$3:$G$22-A660))</f>
        <v/>
      </c>
      <c r="E660">
        <f>SUMPRODUCT((Calc!$F$3:$F$22&gt;=LTP!$E$5)*(Calc!$F$3:$F$22&lt;=k_n)*(Calc!$G$3:$G$22&gt;A660)*(Calc!$G$3:$G$22-A660)^2)</f>
        <v/>
      </c>
      <c r="F660">
        <f>SUMPRODUCT((Calc!$F$3:$F$22&gt;=LTP!$E$5)*(Calc!$F$3:$F$22&lt;=k_n)*(Calc!$G$3:$G$22&gt;A660)*(Calc!$G$3:$G$22-A660)*Calc!$G$3:$G$22)</f>
        <v/>
      </c>
      <c r="G660">
        <f>SUMPRODUCT((Calc!$F$3:$F$22&gt;=LTP!$E$5)*(Calc!$F$3:$F$22&lt;=k_n)*(Calc!$G$3:$G$22&gt;A660)*(Calc!$G$3:$G$22-A660)*Calc!$I$3:$I$22)</f>
        <v/>
      </c>
      <c r="H660">
        <f>IF($B$469&gt;0,F660-$C$469*D660/$B$469,0)</f>
        <v/>
      </c>
      <c r="I660">
        <f>IF($B$469&gt;0,E660-D660^2/$B$469,0)</f>
        <v/>
      </c>
      <c r="J660">
        <f>IF($B$469&gt;0,G660-D660*$D$469/$B$469,0)</f>
        <v/>
      </c>
      <c r="K660">
        <f>$H$469*I660-H660^2</f>
        <v/>
      </c>
      <c r="L660">
        <f>IF(ABS(K660)&gt;1E-12,($H$469*J660-H660*$I$469)/K660,0)</f>
        <v/>
      </c>
      <c r="M660">
        <f>IF(ABS(K660)&gt;1E-12,(I660*$I$469-H660*J660)/K660,0)</f>
        <v/>
      </c>
      <c r="N660">
        <f>$J$469-M660*$I$469-L660*J660</f>
        <v/>
      </c>
      <c r="O660">
        <f>IF(AND(C660,ABS(K660)&gt;1E-12,L660&gt;0),N660,1E+300)</f>
        <v/>
      </c>
    </row>
    <row r="661">
      <c r="A661">
        <f>$K$469+($L$469-$K$469)*189/400</f>
        <v/>
      </c>
      <c r="B661">
        <f>SUMPRODUCT((Calc!$F$3:$F$22&gt;=LTP!$E$5)*(Calc!$F$3:$F$22&lt;=k_n)*(Calc!$G$3:$G$22&lt;=A661))</f>
        <v/>
      </c>
      <c r="C661">
        <f>AND(B661&gt;=2,$B$469-B661&gt;=2)</f>
        <v/>
      </c>
      <c r="D661">
        <f>SUMPRODUCT((Calc!$F$3:$F$22&gt;=LTP!$E$5)*(Calc!$F$3:$F$22&lt;=k_n)*(Calc!$G$3:$G$22&gt;A661)*(Calc!$G$3:$G$22-A661))</f>
        <v/>
      </c>
      <c r="E661">
        <f>SUMPRODUCT((Calc!$F$3:$F$22&gt;=LTP!$E$5)*(Calc!$F$3:$F$22&lt;=k_n)*(Calc!$G$3:$G$22&gt;A661)*(Calc!$G$3:$G$22-A661)^2)</f>
        <v/>
      </c>
      <c r="F661">
        <f>SUMPRODUCT((Calc!$F$3:$F$22&gt;=LTP!$E$5)*(Calc!$F$3:$F$22&lt;=k_n)*(Calc!$G$3:$G$22&gt;A661)*(Calc!$G$3:$G$22-A661)*Calc!$G$3:$G$22)</f>
        <v/>
      </c>
      <c r="G661">
        <f>SUMPRODUCT((Calc!$F$3:$F$22&gt;=LTP!$E$5)*(Calc!$F$3:$F$22&lt;=k_n)*(Calc!$G$3:$G$22&gt;A661)*(Calc!$G$3:$G$22-A661)*Calc!$I$3:$I$22)</f>
        <v/>
      </c>
      <c r="H661">
        <f>IF($B$469&gt;0,F661-$C$469*D661/$B$469,0)</f>
        <v/>
      </c>
      <c r="I661">
        <f>IF($B$469&gt;0,E661-D661^2/$B$469,0)</f>
        <v/>
      </c>
      <c r="J661">
        <f>IF($B$469&gt;0,G661-D661*$D$469/$B$469,0)</f>
        <v/>
      </c>
      <c r="K661">
        <f>$H$469*I661-H661^2</f>
        <v/>
      </c>
      <c r="L661">
        <f>IF(ABS(K661)&gt;1E-12,($H$469*J661-H661*$I$469)/K661,0)</f>
        <v/>
      </c>
      <c r="M661">
        <f>IF(ABS(K661)&gt;1E-12,(I661*$I$469-H661*J661)/K661,0)</f>
        <v/>
      </c>
      <c r="N661">
        <f>$J$469-M661*$I$469-L661*J661</f>
        <v/>
      </c>
      <c r="O661">
        <f>IF(AND(C661,ABS(K661)&gt;1E-12,L661&gt;0),N661,1E+300)</f>
        <v/>
      </c>
    </row>
    <row r="662">
      <c r="A662">
        <f>$K$469+($L$469-$K$469)*190/400</f>
        <v/>
      </c>
      <c r="B662">
        <f>SUMPRODUCT((Calc!$F$3:$F$22&gt;=LTP!$E$5)*(Calc!$F$3:$F$22&lt;=k_n)*(Calc!$G$3:$G$22&lt;=A662))</f>
        <v/>
      </c>
      <c r="C662">
        <f>AND(B662&gt;=2,$B$469-B662&gt;=2)</f>
        <v/>
      </c>
      <c r="D662">
        <f>SUMPRODUCT((Calc!$F$3:$F$22&gt;=LTP!$E$5)*(Calc!$F$3:$F$22&lt;=k_n)*(Calc!$G$3:$G$22&gt;A662)*(Calc!$G$3:$G$22-A662))</f>
        <v/>
      </c>
      <c r="E662">
        <f>SUMPRODUCT((Calc!$F$3:$F$22&gt;=LTP!$E$5)*(Calc!$F$3:$F$22&lt;=k_n)*(Calc!$G$3:$G$22&gt;A662)*(Calc!$G$3:$G$22-A662)^2)</f>
        <v/>
      </c>
      <c r="F662">
        <f>SUMPRODUCT((Calc!$F$3:$F$22&gt;=LTP!$E$5)*(Calc!$F$3:$F$22&lt;=k_n)*(Calc!$G$3:$G$22&gt;A662)*(Calc!$G$3:$G$22-A662)*Calc!$G$3:$G$22)</f>
        <v/>
      </c>
      <c r="G662">
        <f>SUMPRODUCT((Calc!$F$3:$F$22&gt;=LTP!$E$5)*(Calc!$F$3:$F$22&lt;=k_n)*(Calc!$G$3:$G$22&gt;A662)*(Calc!$G$3:$G$22-A662)*Calc!$I$3:$I$22)</f>
        <v/>
      </c>
      <c r="H662">
        <f>IF($B$469&gt;0,F662-$C$469*D662/$B$469,0)</f>
        <v/>
      </c>
      <c r="I662">
        <f>IF($B$469&gt;0,E662-D662^2/$B$469,0)</f>
        <v/>
      </c>
      <c r="J662">
        <f>IF($B$469&gt;0,G662-D662*$D$469/$B$469,0)</f>
        <v/>
      </c>
      <c r="K662">
        <f>$H$469*I662-H662^2</f>
        <v/>
      </c>
      <c r="L662">
        <f>IF(ABS(K662)&gt;1E-12,($H$469*J662-H662*$I$469)/K662,0)</f>
        <v/>
      </c>
      <c r="M662">
        <f>IF(ABS(K662)&gt;1E-12,(I662*$I$469-H662*J662)/K662,0)</f>
        <v/>
      </c>
      <c r="N662">
        <f>$J$469-M662*$I$469-L662*J662</f>
        <v/>
      </c>
      <c r="O662">
        <f>IF(AND(C662,ABS(K662)&gt;1E-12,L662&gt;0),N662,1E+300)</f>
        <v/>
      </c>
    </row>
    <row r="663">
      <c r="A663">
        <f>$K$469+($L$469-$K$469)*191/400</f>
        <v/>
      </c>
      <c r="B663">
        <f>SUMPRODUCT((Calc!$F$3:$F$22&gt;=LTP!$E$5)*(Calc!$F$3:$F$22&lt;=k_n)*(Calc!$G$3:$G$22&lt;=A663))</f>
        <v/>
      </c>
      <c r="C663">
        <f>AND(B663&gt;=2,$B$469-B663&gt;=2)</f>
        <v/>
      </c>
      <c r="D663">
        <f>SUMPRODUCT((Calc!$F$3:$F$22&gt;=LTP!$E$5)*(Calc!$F$3:$F$22&lt;=k_n)*(Calc!$G$3:$G$22&gt;A663)*(Calc!$G$3:$G$22-A663))</f>
        <v/>
      </c>
      <c r="E663">
        <f>SUMPRODUCT((Calc!$F$3:$F$22&gt;=LTP!$E$5)*(Calc!$F$3:$F$22&lt;=k_n)*(Calc!$G$3:$G$22&gt;A663)*(Calc!$G$3:$G$22-A663)^2)</f>
        <v/>
      </c>
      <c r="F663">
        <f>SUMPRODUCT((Calc!$F$3:$F$22&gt;=LTP!$E$5)*(Calc!$F$3:$F$22&lt;=k_n)*(Calc!$G$3:$G$22&gt;A663)*(Calc!$G$3:$G$22-A663)*Calc!$G$3:$G$22)</f>
        <v/>
      </c>
      <c r="G663">
        <f>SUMPRODUCT((Calc!$F$3:$F$22&gt;=LTP!$E$5)*(Calc!$F$3:$F$22&lt;=k_n)*(Calc!$G$3:$G$22&gt;A663)*(Calc!$G$3:$G$22-A663)*Calc!$I$3:$I$22)</f>
        <v/>
      </c>
      <c r="H663">
        <f>IF($B$469&gt;0,F663-$C$469*D663/$B$469,0)</f>
        <v/>
      </c>
      <c r="I663">
        <f>IF($B$469&gt;0,E663-D663^2/$B$469,0)</f>
        <v/>
      </c>
      <c r="J663">
        <f>IF($B$469&gt;0,G663-D663*$D$469/$B$469,0)</f>
        <v/>
      </c>
      <c r="K663">
        <f>$H$469*I663-H663^2</f>
        <v/>
      </c>
      <c r="L663">
        <f>IF(ABS(K663)&gt;1E-12,($H$469*J663-H663*$I$469)/K663,0)</f>
        <v/>
      </c>
      <c r="M663">
        <f>IF(ABS(K663)&gt;1E-12,(I663*$I$469-H663*J663)/K663,0)</f>
        <v/>
      </c>
      <c r="N663">
        <f>$J$469-M663*$I$469-L663*J663</f>
        <v/>
      </c>
      <c r="O663">
        <f>IF(AND(C663,ABS(K663)&gt;1E-12,L663&gt;0),N663,1E+300)</f>
        <v/>
      </c>
    </row>
    <row r="664">
      <c r="A664">
        <f>$K$469+($L$469-$K$469)*192/400</f>
        <v/>
      </c>
      <c r="B664">
        <f>SUMPRODUCT((Calc!$F$3:$F$22&gt;=LTP!$E$5)*(Calc!$F$3:$F$22&lt;=k_n)*(Calc!$G$3:$G$22&lt;=A664))</f>
        <v/>
      </c>
      <c r="C664">
        <f>AND(B664&gt;=2,$B$469-B664&gt;=2)</f>
        <v/>
      </c>
      <c r="D664">
        <f>SUMPRODUCT((Calc!$F$3:$F$22&gt;=LTP!$E$5)*(Calc!$F$3:$F$22&lt;=k_n)*(Calc!$G$3:$G$22&gt;A664)*(Calc!$G$3:$G$22-A664))</f>
        <v/>
      </c>
      <c r="E664">
        <f>SUMPRODUCT((Calc!$F$3:$F$22&gt;=LTP!$E$5)*(Calc!$F$3:$F$22&lt;=k_n)*(Calc!$G$3:$G$22&gt;A664)*(Calc!$G$3:$G$22-A664)^2)</f>
        <v/>
      </c>
      <c r="F664">
        <f>SUMPRODUCT((Calc!$F$3:$F$22&gt;=LTP!$E$5)*(Calc!$F$3:$F$22&lt;=k_n)*(Calc!$G$3:$G$22&gt;A664)*(Calc!$G$3:$G$22-A664)*Calc!$G$3:$G$22)</f>
        <v/>
      </c>
      <c r="G664">
        <f>SUMPRODUCT((Calc!$F$3:$F$22&gt;=LTP!$E$5)*(Calc!$F$3:$F$22&lt;=k_n)*(Calc!$G$3:$G$22&gt;A664)*(Calc!$G$3:$G$22-A664)*Calc!$I$3:$I$22)</f>
        <v/>
      </c>
      <c r="H664">
        <f>IF($B$469&gt;0,F664-$C$469*D664/$B$469,0)</f>
        <v/>
      </c>
      <c r="I664">
        <f>IF($B$469&gt;0,E664-D664^2/$B$469,0)</f>
        <v/>
      </c>
      <c r="J664">
        <f>IF($B$469&gt;0,G664-D664*$D$469/$B$469,0)</f>
        <v/>
      </c>
      <c r="K664">
        <f>$H$469*I664-H664^2</f>
        <v/>
      </c>
      <c r="L664">
        <f>IF(ABS(K664)&gt;1E-12,($H$469*J664-H664*$I$469)/K664,0)</f>
        <v/>
      </c>
      <c r="M664">
        <f>IF(ABS(K664)&gt;1E-12,(I664*$I$469-H664*J664)/K664,0)</f>
        <v/>
      </c>
      <c r="N664">
        <f>$J$469-M664*$I$469-L664*J664</f>
        <v/>
      </c>
      <c r="O664">
        <f>IF(AND(C664,ABS(K664)&gt;1E-12,L664&gt;0),N664,1E+300)</f>
        <v/>
      </c>
    </row>
    <row r="665">
      <c r="A665">
        <f>$K$469+($L$469-$K$469)*193/400</f>
        <v/>
      </c>
      <c r="B665">
        <f>SUMPRODUCT((Calc!$F$3:$F$22&gt;=LTP!$E$5)*(Calc!$F$3:$F$22&lt;=k_n)*(Calc!$G$3:$G$22&lt;=A665))</f>
        <v/>
      </c>
      <c r="C665">
        <f>AND(B665&gt;=2,$B$469-B665&gt;=2)</f>
        <v/>
      </c>
      <c r="D665">
        <f>SUMPRODUCT((Calc!$F$3:$F$22&gt;=LTP!$E$5)*(Calc!$F$3:$F$22&lt;=k_n)*(Calc!$G$3:$G$22&gt;A665)*(Calc!$G$3:$G$22-A665))</f>
        <v/>
      </c>
      <c r="E665">
        <f>SUMPRODUCT((Calc!$F$3:$F$22&gt;=LTP!$E$5)*(Calc!$F$3:$F$22&lt;=k_n)*(Calc!$G$3:$G$22&gt;A665)*(Calc!$G$3:$G$22-A665)^2)</f>
        <v/>
      </c>
      <c r="F665">
        <f>SUMPRODUCT((Calc!$F$3:$F$22&gt;=LTP!$E$5)*(Calc!$F$3:$F$22&lt;=k_n)*(Calc!$G$3:$G$22&gt;A665)*(Calc!$G$3:$G$22-A665)*Calc!$G$3:$G$22)</f>
        <v/>
      </c>
      <c r="G665">
        <f>SUMPRODUCT((Calc!$F$3:$F$22&gt;=LTP!$E$5)*(Calc!$F$3:$F$22&lt;=k_n)*(Calc!$G$3:$G$22&gt;A665)*(Calc!$G$3:$G$22-A665)*Calc!$I$3:$I$22)</f>
        <v/>
      </c>
      <c r="H665">
        <f>IF($B$469&gt;0,F665-$C$469*D665/$B$469,0)</f>
        <v/>
      </c>
      <c r="I665">
        <f>IF($B$469&gt;0,E665-D665^2/$B$469,0)</f>
        <v/>
      </c>
      <c r="J665">
        <f>IF($B$469&gt;0,G665-D665*$D$469/$B$469,0)</f>
        <v/>
      </c>
      <c r="K665">
        <f>$H$469*I665-H665^2</f>
        <v/>
      </c>
      <c r="L665">
        <f>IF(ABS(K665)&gt;1E-12,($H$469*J665-H665*$I$469)/K665,0)</f>
        <v/>
      </c>
      <c r="M665">
        <f>IF(ABS(K665)&gt;1E-12,(I665*$I$469-H665*J665)/K665,0)</f>
        <v/>
      </c>
      <c r="N665">
        <f>$J$469-M665*$I$469-L665*J665</f>
        <v/>
      </c>
      <c r="O665">
        <f>IF(AND(C665,ABS(K665)&gt;1E-12,L665&gt;0),N665,1E+300)</f>
        <v/>
      </c>
    </row>
    <row r="666">
      <c r="A666">
        <f>$K$469+($L$469-$K$469)*194/400</f>
        <v/>
      </c>
      <c r="B666">
        <f>SUMPRODUCT((Calc!$F$3:$F$22&gt;=LTP!$E$5)*(Calc!$F$3:$F$22&lt;=k_n)*(Calc!$G$3:$G$22&lt;=A666))</f>
        <v/>
      </c>
      <c r="C666">
        <f>AND(B666&gt;=2,$B$469-B666&gt;=2)</f>
        <v/>
      </c>
      <c r="D666">
        <f>SUMPRODUCT((Calc!$F$3:$F$22&gt;=LTP!$E$5)*(Calc!$F$3:$F$22&lt;=k_n)*(Calc!$G$3:$G$22&gt;A666)*(Calc!$G$3:$G$22-A666))</f>
        <v/>
      </c>
      <c r="E666">
        <f>SUMPRODUCT((Calc!$F$3:$F$22&gt;=LTP!$E$5)*(Calc!$F$3:$F$22&lt;=k_n)*(Calc!$G$3:$G$22&gt;A666)*(Calc!$G$3:$G$22-A666)^2)</f>
        <v/>
      </c>
      <c r="F666">
        <f>SUMPRODUCT((Calc!$F$3:$F$22&gt;=LTP!$E$5)*(Calc!$F$3:$F$22&lt;=k_n)*(Calc!$G$3:$G$22&gt;A666)*(Calc!$G$3:$G$22-A666)*Calc!$G$3:$G$22)</f>
        <v/>
      </c>
      <c r="G666">
        <f>SUMPRODUCT((Calc!$F$3:$F$22&gt;=LTP!$E$5)*(Calc!$F$3:$F$22&lt;=k_n)*(Calc!$G$3:$G$22&gt;A666)*(Calc!$G$3:$G$22-A666)*Calc!$I$3:$I$22)</f>
        <v/>
      </c>
      <c r="H666">
        <f>IF($B$469&gt;0,F666-$C$469*D666/$B$469,0)</f>
        <v/>
      </c>
      <c r="I666">
        <f>IF($B$469&gt;0,E666-D666^2/$B$469,0)</f>
        <v/>
      </c>
      <c r="J666">
        <f>IF($B$469&gt;0,G666-D666*$D$469/$B$469,0)</f>
        <v/>
      </c>
      <c r="K666">
        <f>$H$469*I666-H666^2</f>
        <v/>
      </c>
      <c r="L666">
        <f>IF(ABS(K666)&gt;1E-12,($H$469*J666-H666*$I$469)/K666,0)</f>
        <v/>
      </c>
      <c r="M666">
        <f>IF(ABS(K666)&gt;1E-12,(I666*$I$469-H666*J666)/K666,0)</f>
        <v/>
      </c>
      <c r="N666">
        <f>$J$469-M666*$I$469-L666*J666</f>
        <v/>
      </c>
      <c r="O666">
        <f>IF(AND(C666,ABS(K666)&gt;1E-12,L666&gt;0),N666,1E+300)</f>
        <v/>
      </c>
    </row>
    <row r="667">
      <c r="A667">
        <f>$K$469+($L$469-$K$469)*195/400</f>
        <v/>
      </c>
      <c r="B667">
        <f>SUMPRODUCT((Calc!$F$3:$F$22&gt;=LTP!$E$5)*(Calc!$F$3:$F$22&lt;=k_n)*(Calc!$G$3:$G$22&lt;=A667))</f>
        <v/>
      </c>
      <c r="C667">
        <f>AND(B667&gt;=2,$B$469-B667&gt;=2)</f>
        <v/>
      </c>
      <c r="D667">
        <f>SUMPRODUCT((Calc!$F$3:$F$22&gt;=LTP!$E$5)*(Calc!$F$3:$F$22&lt;=k_n)*(Calc!$G$3:$G$22&gt;A667)*(Calc!$G$3:$G$22-A667))</f>
        <v/>
      </c>
      <c r="E667">
        <f>SUMPRODUCT((Calc!$F$3:$F$22&gt;=LTP!$E$5)*(Calc!$F$3:$F$22&lt;=k_n)*(Calc!$G$3:$G$22&gt;A667)*(Calc!$G$3:$G$22-A667)^2)</f>
        <v/>
      </c>
      <c r="F667">
        <f>SUMPRODUCT((Calc!$F$3:$F$22&gt;=LTP!$E$5)*(Calc!$F$3:$F$22&lt;=k_n)*(Calc!$G$3:$G$22&gt;A667)*(Calc!$G$3:$G$22-A667)*Calc!$G$3:$G$22)</f>
        <v/>
      </c>
      <c r="G667">
        <f>SUMPRODUCT((Calc!$F$3:$F$22&gt;=LTP!$E$5)*(Calc!$F$3:$F$22&lt;=k_n)*(Calc!$G$3:$G$22&gt;A667)*(Calc!$G$3:$G$22-A667)*Calc!$I$3:$I$22)</f>
        <v/>
      </c>
      <c r="H667">
        <f>IF($B$469&gt;0,F667-$C$469*D667/$B$469,0)</f>
        <v/>
      </c>
      <c r="I667">
        <f>IF($B$469&gt;0,E667-D667^2/$B$469,0)</f>
        <v/>
      </c>
      <c r="J667">
        <f>IF($B$469&gt;0,G667-D667*$D$469/$B$469,0)</f>
        <v/>
      </c>
      <c r="K667">
        <f>$H$469*I667-H667^2</f>
        <v/>
      </c>
      <c r="L667">
        <f>IF(ABS(K667)&gt;1E-12,($H$469*J667-H667*$I$469)/K667,0)</f>
        <v/>
      </c>
      <c r="M667">
        <f>IF(ABS(K667)&gt;1E-12,(I667*$I$469-H667*J667)/K667,0)</f>
        <v/>
      </c>
      <c r="N667">
        <f>$J$469-M667*$I$469-L667*J667</f>
        <v/>
      </c>
      <c r="O667">
        <f>IF(AND(C667,ABS(K667)&gt;1E-12,L667&gt;0),N667,1E+300)</f>
        <v/>
      </c>
    </row>
    <row r="668">
      <c r="A668">
        <f>$K$469+($L$469-$K$469)*196/400</f>
        <v/>
      </c>
      <c r="B668">
        <f>SUMPRODUCT((Calc!$F$3:$F$22&gt;=LTP!$E$5)*(Calc!$F$3:$F$22&lt;=k_n)*(Calc!$G$3:$G$22&lt;=A668))</f>
        <v/>
      </c>
      <c r="C668">
        <f>AND(B668&gt;=2,$B$469-B668&gt;=2)</f>
        <v/>
      </c>
      <c r="D668">
        <f>SUMPRODUCT((Calc!$F$3:$F$22&gt;=LTP!$E$5)*(Calc!$F$3:$F$22&lt;=k_n)*(Calc!$G$3:$G$22&gt;A668)*(Calc!$G$3:$G$22-A668))</f>
        <v/>
      </c>
      <c r="E668">
        <f>SUMPRODUCT((Calc!$F$3:$F$22&gt;=LTP!$E$5)*(Calc!$F$3:$F$22&lt;=k_n)*(Calc!$G$3:$G$22&gt;A668)*(Calc!$G$3:$G$22-A668)^2)</f>
        <v/>
      </c>
      <c r="F668">
        <f>SUMPRODUCT((Calc!$F$3:$F$22&gt;=LTP!$E$5)*(Calc!$F$3:$F$22&lt;=k_n)*(Calc!$G$3:$G$22&gt;A668)*(Calc!$G$3:$G$22-A668)*Calc!$G$3:$G$22)</f>
        <v/>
      </c>
      <c r="G668">
        <f>SUMPRODUCT((Calc!$F$3:$F$22&gt;=LTP!$E$5)*(Calc!$F$3:$F$22&lt;=k_n)*(Calc!$G$3:$G$22&gt;A668)*(Calc!$G$3:$G$22-A668)*Calc!$I$3:$I$22)</f>
        <v/>
      </c>
      <c r="H668">
        <f>IF($B$469&gt;0,F668-$C$469*D668/$B$469,0)</f>
        <v/>
      </c>
      <c r="I668">
        <f>IF($B$469&gt;0,E668-D668^2/$B$469,0)</f>
        <v/>
      </c>
      <c r="J668">
        <f>IF($B$469&gt;0,G668-D668*$D$469/$B$469,0)</f>
        <v/>
      </c>
      <c r="K668">
        <f>$H$469*I668-H668^2</f>
        <v/>
      </c>
      <c r="L668">
        <f>IF(ABS(K668)&gt;1E-12,($H$469*J668-H668*$I$469)/K668,0)</f>
        <v/>
      </c>
      <c r="M668">
        <f>IF(ABS(K668)&gt;1E-12,(I668*$I$469-H668*J668)/K668,0)</f>
        <v/>
      </c>
      <c r="N668">
        <f>$J$469-M668*$I$469-L668*J668</f>
        <v/>
      </c>
      <c r="O668">
        <f>IF(AND(C668,ABS(K668)&gt;1E-12,L668&gt;0),N668,1E+300)</f>
        <v/>
      </c>
    </row>
    <row r="669">
      <c r="A669">
        <f>$K$469+($L$469-$K$469)*197/400</f>
        <v/>
      </c>
      <c r="B669">
        <f>SUMPRODUCT((Calc!$F$3:$F$22&gt;=LTP!$E$5)*(Calc!$F$3:$F$22&lt;=k_n)*(Calc!$G$3:$G$22&lt;=A669))</f>
        <v/>
      </c>
      <c r="C669">
        <f>AND(B669&gt;=2,$B$469-B669&gt;=2)</f>
        <v/>
      </c>
      <c r="D669">
        <f>SUMPRODUCT((Calc!$F$3:$F$22&gt;=LTP!$E$5)*(Calc!$F$3:$F$22&lt;=k_n)*(Calc!$G$3:$G$22&gt;A669)*(Calc!$G$3:$G$22-A669))</f>
        <v/>
      </c>
      <c r="E669">
        <f>SUMPRODUCT((Calc!$F$3:$F$22&gt;=LTP!$E$5)*(Calc!$F$3:$F$22&lt;=k_n)*(Calc!$G$3:$G$22&gt;A669)*(Calc!$G$3:$G$22-A669)^2)</f>
        <v/>
      </c>
      <c r="F669">
        <f>SUMPRODUCT((Calc!$F$3:$F$22&gt;=LTP!$E$5)*(Calc!$F$3:$F$22&lt;=k_n)*(Calc!$G$3:$G$22&gt;A669)*(Calc!$G$3:$G$22-A669)*Calc!$G$3:$G$22)</f>
        <v/>
      </c>
      <c r="G669">
        <f>SUMPRODUCT((Calc!$F$3:$F$22&gt;=LTP!$E$5)*(Calc!$F$3:$F$22&lt;=k_n)*(Calc!$G$3:$G$22&gt;A669)*(Calc!$G$3:$G$22-A669)*Calc!$I$3:$I$22)</f>
        <v/>
      </c>
      <c r="H669">
        <f>IF($B$469&gt;0,F669-$C$469*D669/$B$469,0)</f>
        <v/>
      </c>
      <c r="I669">
        <f>IF($B$469&gt;0,E669-D669^2/$B$469,0)</f>
        <v/>
      </c>
      <c r="J669">
        <f>IF($B$469&gt;0,G669-D669*$D$469/$B$469,0)</f>
        <v/>
      </c>
      <c r="K669">
        <f>$H$469*I669-H669^2</f>
        <v/>
      </c>
      <c r="L669">
        <f>IF(ABS(K669)&gt;1E-12,($H$469*J669-H669*$I$469)/K669,0)</f>
        <v/>
      </c>
      <c r="M669">
        <f>IF(ABS(K669)&gt;1E-12,(I669*$I$469-H669*J669)/K669,0)</f>
        <v/>
      </c>
      <c r="N669">
        <f>$J$469-M669*$I$469-L669*J669</f>
        <v/>
      </c>
      <c r="O669">
        <f>IF(AND(C669,ABS(K669)&gt;1E-12,L669&gt;0),N669,1E+300)</f>
        <v/>
      </c>
    </row>
    <row r="670">
      <c r="A670">
        <f>$K$469+($L$469-$K$469)*198/400</f>
        <v/>
      </c>
      <c r="B670">
        <f>SUMPRODUCT((Calc!$F$3:$F$22&gt;=LTP!$E$5)*(Calc!$F$3:$F$22&lt;=k_n)*(Calc!$G$3:$G$22&lt;=A670))</f>
        <v/>
      </c>
      <c r="C670">
        <f>AND(B670&gt;=2,$B$469-B670&gt;=2)</f>
        <v/>
      </c>
      <c r="D670">
        <f>SUMPRODUCT((Calc!$F$3:$F$22&gt;=LTP!$E$5)*(Calc!$F$3:$F$22&lt;=k_n)*(Calc!$G$3:$G$22&gt;A670)*(Calc!$G$3:$G$22-A670))</f>
        <v/>
      </c>
      <c r="E670">
        <f>SUMPRODUCT((Calc!$F$3:$F$22&gt;=LTP!$E$5)*(Calc!$F$3:$F$22&lt;=k_n)*(Calc!$G$3:$G$22&gt;A670)*(Calc!$G$3:$G$22-A670)^2)</f>
        <v/>
      </c>
      <c r="F670">
        <f>SUMPRODUCT((Calc!$F$3:$F$22&gt;=LTP!$E$5)*(Calc!$F$3:$F$22&lt;=k_n)*(Calc!$G$3:$G$22&gt;A670)*(Calc!$G$3:$G$22-A670)*Calc!$G$3:$G$22)</f>
        <v/>
      </c>
      <c r="G670">
        <f>SUMPRODUCT((Calc!$F$3:$F$22&gt;=LTP!$E$5)*(Calc!$F$3:$F$22&lt;=k_n)*(Calc!$G$3:$G$22&gt;A670)*(Calc!$G$3:$G$22-A670)*Calc!$I$3:$I$22)</f>
        <v/>
      </c>
      <c r="H670">
        <f>IF($B$469&gt;0,F670-$C$469*D670/$B$469,0)</f>
        <v/>
      </c>
      <c r="I670">
        <f>IF($B$469&gt;0,E670-D670^2/$B$469,0)</f>
        <v/>
      </c>
      <c r="J670">
        <f>IF($B$469&gt;0,G670-D670*$D$469/$B$469,0)</f>
        <v/>
      </c>
      <c r="K670">
        <f>$H$469*I670-H670^2</f>
        <v/>
      </c>
      <c r="L670">
        <f>IF(ABS(K670)&gt;1E-12,($H$469*J670-H670*$I$469)/K670,0)</f>
        <v/>
      </c>
      <c r="M670">
        <f>IF(ABS(K670)&gt;1E-12,(I670*$I$469-H670*J670)/K670,0)</f>
        <v/>
      </c>
      <c r="N670">
        <f>$J$469-M670*$I$469-L670*J670</f>
        <v/>
      </c>
      <c r="O670">
        <f>IF(AND(C670,ABS(K670)&gt;1E-12,L670&gt;0),N670,1E+300)</f>
        <v/>
      </c>
    </row>
    <row r="671">
      <c r="A671">
        <f>$K$469+($L$469-$K$469)*199/400</f>
        <v/>
      </c>
      <c r="B671">
        <f>SUMPRODUCT((Calc!$F$3:$F$22&gt;=LTP!$E$5)*(Calc!$F$3:$F$22&lt;=k_n)*(Calc!$G$3:$G$22&lt;=A671))</f>
        <v/>
      </c>
      <c r="C671">
        <f>AND(B671&gt;=2,$B$469-B671&gt;=2)</f>
        <v/>
      </c>
      <c r="D671">
        <f>SUMPRODUCT((Calc!$F$3:$F$22&gt;=LTP!$E$5)*(Calc!$F$3:$F$22&lt;=k_n)*(Calc!$G$3:$G$22&gt;A671)*(Calc!$G$3:$G$22-A671))</f>
        <v/>
      </c>
      <c r="E671">
        <f>SUMPRODUCT((Calc!$F$3:$F$22&gt;=LTP!$E$5)*(Calc!$F$3:$F$22&lt;=k_n)*(Calc!$G$3:$G$22&gt;A671)*(Calc!$G$3:$G$22-A671)^2)</f>
        <v/>
      </c>
      <c r="F671">
        <f>SUMPRODUCT((Calc!$F$3:$F$22&gt;=LTP!$E$5)*(Calc!$F$3:$F$22&lt;=k_n)*(Calc!$G$3:$G$22&gt;A671)*(Calc!$G$3:$G$22-A671)*Calc!$G$3:$G$22)</f>
        <v/>
      </c>
      <c r="G671">
        <f>SUMPRODUCT((Calc!$F$3:$F$22&gt;=LTP!$E$5)*(Calc!$F$3:$F$22&lt;=k_n)*(Calc!$G$3:$G$22&gt;A671)*(Calc!$G$3:$G$22-A671)*Calc!$I$3:$I$22)</f>
        <v/>
      </c>
      <c r="H671">
        <f>IF($B$469&gt;0,F671-$C$469*D671/$B$469,0)</f>
        <v/>
      </c>
      <c r="I671">
        <f>IF($B$469&gt;0,E671-D671^2/$B$469,0)</f>
        <v/>
      </c>
      <c r="J671">
        <f>IF($B$469&gt;0,G671-D671*$D$469/$B$469,0)</f>
        <v/>
      </c>
      <c r="K671">
        <f>$H$469*I671-H671^2</f>
        <v/>
      </c>
      <c r="L671">
        <f>IF(ABS(K671)&gt;1E-12,($H$469*J671-H671*$I$469)/K671,0)</f>
        <v/>
      </c>
      <c r="M671">
        <f>IF(ABS(K671)&gt;1E-12,(I671*$I$469-H671*J671)/K671,0)</f>
        <v/>
      </c>
      <c r="N671">
        <f>$J$469-M671*$I$469-L671*J671</f>
        <v/>
      </c>
      <c r="O671">
        <f>IF(AND(C671,ABS(K671)&gt;1E-12,L671&gt;0),N671,1E+300)</f>
        <v/>
      </c>
    </row>
    <row r="672">
      <c r="A672">
        <f>$K$469+($L$469-$K$469)*200/400</f>
        <v/>
      </c>
      <c r="B672">
        <f>SUMPRODUCT((Calc!$F$3:$F$22&gt;=LTP!$E$5)*(Calc!$F$3:$F$22&lt;=k_n)*(Calc!$G$3:$G$22&lt;=A672))</f>
        <v/>
      </c>
      <c r="C672">
        <f>AND(B672&gt;=2,$B$469-B672&gt;=2)</f>
        <v/>
      </c>
      <c r="D672">
        <f>SUMPRODUCT((Calc!$F$3:$F$22&gt;=LTP!$E$5)*(Calc!$F$3:$F$22&lt;=k_n)*(Calc!$G$3:$G$22&gt;A672)*(Calc!$G$3:$G$22-A672))</f>
        <v/>
      </c>
      <c r="E672">
        <f>SUMPRODUCT((Calc!$F$3:$F$22&gt;=LTP!$E$5)*(Calc!$F$3:$F$22&lt;=k_n)*(Calc!$G$3:$G$22&gt;A672)*(Calc!$G$3:$G$22-A672)^2)</f>
        <v/>
      </c>
      <c r="F672">
        <f>SUMPRODUCT((Calc!$F$3:$F$22&gt;=LTP!$E$5)*(Calc!$F$3:$F$22&lt;=k_n)*(Calc!$G$3:$G$22&gt;A672)*(Calc!$G$3:$G$22-A672)*Calc!$G$3:$G$22)</f>
        <v/>
      </c>
      <c r="G672">
        <f>SUMPRODUCT((Calc!$F$3:$F$22&gt;=LTP!$E$5)*(Calc!$F$3:$F$22&lt;=k_n)*(Calc!$G$3:$G$22&gt;A672)*(Calc!$G$3:$G$22-A672)*Calc!$I$3:$I$22)</f>
        <v/>
      </c>
      <c r="H672">
        <f>IF($B$469&gt;0,F672-$C$469*D672/$B$469,0)</f>
        <v/>
      </c>
      <c r="I672">
        <f>IF($B$469&gt;0,E672-D672^2/$B$469,0)</f>
        <v/>
      </c>
      <c r="J672">
        <f>IF($B$469&gt;0,G672-D672*$D$469/$B$469,0)</f>
        <v/>
      </c>
      <c r="K672">
        <f>$H$469*I672-H672^2</f>
        <v/>
      </c>
      <c r="L672">
        <f>IF(ABS(K672)&gt;1E-12,($H$469*J672-H672*$I$469)/K672,0)</f>
        <v/>
      </c>
      <c r="M672">
        <f>IF(ABS(K672)&gt;1E-12,(I672*$I$469-H672*J672)/K672,0)</f>
        <v/>
      </c>
      <c r="N672">
        <f>$J$469-M672*$I$469-L672*J672</f>
        <v/>
      </c>
      <c r="O672">
        <f>IF(AND(C672,ABS(K672)&gt;1E-12,L672&gt;0),N672,1E+300)</f>
        <v/>
      </c>
    </row>
    <row r="673">
      <c r="A673">
        <f>$K$469+($L$469-$K$469)*201/400</f>
        <v/>
      </c>
      <c r="B673">
        <f>SUMPRODUCT((Calc!$F$3:$F$22&gt;=LTP!$E$5)*(Calc!$F$3:$F$22&lt;=k_n)*(Calc!$G$3:$G$22&lt;=A673))</f>
        <v/>
      </c>
      <c r="C673">
        <f>AND(B673&gt;=2,$B$469-B673&gt;=2)</f>
        <v/>
      </c>
      <c r="D673">
        <f>SUMPRODUCT((Calc!$F$3:$F$22&gt;=LTP!$E$5)*(Calc!$F$3:$F$22&lt;=k_n)*(Calc!$G$3:$G$22&gt;A673)*(Calc!$G$3:$G$22-A673))</f>
        <v/>
      </c>
      <c r="E673">
        <f>SUMPRODUCT((Calc!$F$3:$F$22&gt;=LTP!$E$5)*(Calc!$F$3:$F$22&lt;=k_n)*(Calc!$G$3:$G$22&gt;A673)*(Calc!$G$3:$G$22-A673)^2)</f>
        <v/>
      </c>
      <c r="F673">
        <f>SUMPRODUCT((Calc!$F$3:$F$22&gt;=LTP!$E$5)*(Calc!$F$3:$F$22&lt;=k_n)*(Calc!$G$3:$G$22&gt;A673)*(Calc!$G$3:$G$22-A673)*Calc!$G$3:$G$22)</f>
        <v/>
      </c>
      <c r="G673">
        <f>SUMPRODUCT((Calc!$F$3:$F$22&gt;=LTP!$E$5)*(Calc!$F$3:$F$22&lt;=k_n)*(Calc!$G$3:$G$22&gt;A673)*(Calc!$G$3:$G$22-A673)*Calc!$I$3:$I$22)</f>
        <v/>
      </c>
      <c r="H673">
        <f>IF($B$469&gt;0,F673-$C$469*D673/$B$469,0)</f>
        <v/>
      </c>
      <c r="I673">
        <f>IF($B$469&gt;0,E673-D673^2/$B$469,0)</f>
        <v/>
      </c>
      <c r="J673">
        <f>IF($B$469&gt;0,G673-D673*$D$469/$B$469,0)</f>
        <v/>
      </c>
      <c r="K673">
        <f>$H$469*I673-H673^2</f>
        <v/>
      </c>
      <c r="L673">
        <f>IF(ABS(K673)&gt;1E-12,($H$469*J673-H673*$I$469)/K673,0)</f>
        <v/>
      </c>
      <c r="M673">
        <f>IF(ABS(K673)&gt;1E-12,(I673*$I$469-H673*J673)/K673,0)</f>
        <v/>
      </c>
      <c r="N673">
        <f>$J$469-M673*$I$469-L673*J673</f>
        <v/>
      </c>
      <c r="O673">
        <f>IF(AND(C673,ABS(K673)&gt;1E-12,L673&gt;0),N673,1E+300)</f>
        <v/>
      </c>
    </row>
    <row r="674">
      <c r="A674">
        <f>$K$469+($L$469-$K$469)*202/400</f>
        <v/>
      </c>
      <c r="B674">
        <f>SUMPRODUCT((Calc!$F$3:$F$22&gt;=LTP!$E$5)*(Calc!$F$3:$F$22&lt;=k_n)*(Calc!$G$3:$G$22&lt;=A674))</f>
        <v/>
      </c>
      <c r="C674">
        <f>AND(B674&gt;=2,$B$469-B674&gt;=2)</f>
        <v/>
      </c>
      <c r="D674">
        <f>SUMPRODUCT((Calc!$F$3:$F$22&gt;=LTP!$E$5)*(Calc!$F$3:$F$22&lt;=k_n)*(Calc!$G$3:$G$22&gt;A674)*(Calc!$G$3:$G$22-A674))</f>
        <v/>
      </c>
      <c r="E674">
        <f>SUMPRODUCT((Calc!$F$3:$F$22&gt;=LTP!$E$5)*(Calc!$F$3:$F$22&lt;=k_n)*(Calc!$G$3:$G$22&gt;A674)*(Calc!$G$3:$G$22-A674)^2)</f>
        <v/>
      </c>
      <c r="F674">
        <f>SUMPRODUCT((Calc!$F$3:$F$22&gt;=LTP!$E$5)*(Calc!$F$3:$F$22&lt;=k_n)*(Calc!$G$3:$G$22&gt;A674)*(Calc!$G$3:$G$22-A674)*Calc!$G$3:$G$22)</f>
        <v/>
      </c>
      <c r="G674">
        <f>SUMPRODUCT((Calc!$F$3:$F$22&gt;=LTP!$E$5)*(Calc!$F$3:$F$22&lt;=k_n)*(Calc!$G$3:$G$22&gt;A674)*(Calc!$G$3:$G$22-A674)*Calc!$I$3:$I$22)</f>
        <v/>
      </c>
      <c r="H674">
        <f>IF($B$469&gt;0,F674-$C$469*D674/$B$469,0)</f>
        <v/>
      </c>
      <c r="I674">
        <f>IF($B$469&gt;0,E674-D674^2/$B$469,0)</f>
        <v/>
      </c>
      <c r="J674">
        <f>IF($B$469&gt;0,G674-D674*$D$469/$B$469,0)</f>
        <v/>
      </c>
      <c r="K674">
        <f>$H$469*I674-H674^2</f>
        <v/>
      </c>
      <c r="L674">
        <f>IF(ABS(K674)&gt;1E-12,($H$469*J674-H674*$I$469)/K674,0)</f>
        <v/>
      </c>
      <c r="M674">
        <f>IF(ABS(K674)&gt;1E-12,(I674*$I$469-H674*J674)/K674,0)</f>
        <v/>
      </c>
      <c r="N674">
        <f>$J$469-M674*$I$469-L674*J674</f>
        <v/>
      </c>
      <c r="O674">
        <f>IF(AND(C674,ABS(K674)&gt;1E-12,L674&gt;0),N674,1E+300)</f>
        <v/>
      </c>
    </row>
    <row r="675">
      <c r="A675">
        <f>$K$469+($L$469-$K$469)*203/400</f>
        <v/>
      </c>
      <c r="B675">
        <f>SUMPRODUCT((Calc!$F$3:$F$22&gt;=LTP!$E$5)*(Calc!$F$3:$F$22&lt;=k_n)*(Calc!$G$3:$G$22&lt;=A675))</f>
        <v/>
      </c>
      <c r="C675">
        <f>AND(B675&gt;=2,$B$469-B675&gt;=2)</f>
        <v/>
      </c>
      <c r="D675">
        <f>SUMPRODUCT((Calc!$F$3:$F$22&gt;=LTP!$E$5)*(Calc!$F$3:$F$22&lt;=k_n)*(Calc!$G$3:$G$22&gt;A675)*(Calc!$G$3:$G$22-A675))</f>
        <v/>
      </c>
      <c r="E675">
        <f>SUMPRODUCT((Calc!$F$3:$F$22&gt;=LTP!$E$5)*(Calc!$F$3:$F$22&lt;=k_n)*(Calc!$G$3:$G$22&gt;A675)*(Calc!$G$3:$G$22-A675)^2)</f>
        <v/>
      </c>
      <c r="F675">
        <f>SUMPRODUCT((Calc!$F$3:$F$22&gt;=LTP!$E$5)*(Calc!$F$3:$F$22&lt;=k_n)*(Calc!$G$3:$G$22&gt;A675)*(Calc!$G$3:$G$22-A675)*Calc!$G$3:$G$22)</f>
        <v/>
      </c>
      <c r="G675">
        <f>SUMPRODUCT((Calc!$F$3:$F$22&gt;=LTP!$E$5)*(Calc!$F$3:$F$22&lt;=k_n)*(Calc!$G$3:$G$22&gt;A675)*(Calc!$G$3:$G$22-A675)*Calc!$I$3:$I$22)</f>
        <v/>
      </c>
      <c r="H675">
        <f>IF($B$469&gt;0,F675-$C$469*D675/$B$469,0)</f>
        <v/>
      </c>
      <c r="I675">
        <f>IF($B$469&gt;0,E675-D675^2/$B$469,0)</f>
        <v/>
      </c>
      <c r="J675">
        <f>IF($B$469&gt;0,G675-D675*$D$469/$B$469,0)</f>
        <v/>
      </c>
      <c r="K675">
        <f>$H$469*I675-H675^2</f>
        <v/>
      </c>
      <c r="L675">
        <f>IF(ABS(K675)&gt;1E-12,($H$469*J675-H675*$I$469)/K675,0)</f>
        <v/>
      </c>
      <c r="M675">
        <f>IF(ABS(K675)&gt;1E-12,(I675*$I$469-H675*J675)/K675,0)</f>
        <v/>
      </c>
      <c r="N675">
        <f>$J$469-M675*$I$469-L675*J675</f>
        <v/>
      </c>
      <c r="O675">
        <f>IF(AND(C675,ABS(K675)&gt;1E-12,L675&gt;0),N675,1E+300)</f>
        <v/>
      </c>
    </row>
    <row r="676">
      <c r="A676">
        <f>$K$469+($L$469-$K$469)*204/400</f>
        <v/>
      </c>
      <c r="B676">
        <f>SUMPRODUCT((Calc!$F$3:$F$22&gt;=LTP!$E$5)*(Calc!$F$3:$F$22&lt;=k_n)*(Calc!$G$3:$G$22&lt;=A676))</f>
        <v/>
      </c>
      <c r="C676">
        <f>AND(B676&gt;=2,$B$469-B676&gt;=2)</f>
        <v/>
      </c>
      <c r="D676">
        <f>SUMPRODUCT((Calc!$F$3:$F$22&gt;=LTP!$E$5)*(Calc!$F$3:$F$22&lt;=k_n)*(Calc!$G$3:$G$22&gt;A676)*(Calc!$G$3:$G$22-A676))</f>
        <v/>
      </c>
      <c r="E676">
        <f>SUMPRODUCT((Calc!$F$3:$F$22&gt;=LTP!$E$5)*(Calc!$F$3:$F$22&lt;=k_n)*(Calc!$G$3:$G$22&gt;A676)*(Calc!$G$3:$G$22-A676)^2)</f>
        <v/>
      </c>
      <c r="F676">
        <f>SUMPRODUCT((Calc!$F$3:$F$22&gt;=LTP!$E$5)*(Calc!$F$3:$F$22&lt;=k_n)*(Calc!$G$3:$G$22&gt;A676)*(Calc!$G$3:$G$22-A676)*Calc!$G$3:$G$22)</f>
        <v/>
      </c>
      <c r="G676">
        <f>SUMPRODUCT((Calc!$F$3:$F$22&gt;=LTP!$E$5)*(Calc!$F$3:$F$22&lt;=k_n)*(Calc!$G$3:$G$22&gt;A676)*(Calc!$G$3:$G$22-A676)*Calc!$I$3:$I$22)</f>
        <v/>
      </c>
      <c r="H676">
        <f>IF($B$469&gt;0,F676-$C$469*D676/$B$469,0)</f>
        <v/>
      </c>
      <c r="I676">
        <f>IF($B$469&gt;0,E676-D676^2/$B$469,0)</f>
        <v/>
      </c>
      <c r="J676">
        <f>IF($B$469&gt;0,G676-D676*$D$469/$B$469,0)</f>
        <v/>
      </c>
      <c r="K676">
        <f>$H$469*I676-H676^2</f>
        <v/>
      </c>
      <c r="L676">
        <f>IF(ABS(K676)&gt;1E-12,($H$469*J676-H676*$I$469)/K676,0)</f>
        <v/>
      </c>
      <c r="M676">
        <f>IF(ABS(K676)&gt;1E-12,(I676*$I$469-H676*J676)/K676,0)</f>
        <v/>
      </c>
      <c r="N676">
        <f>$J$469-M676*$I$469-L676*J676</f>
        <v/>
      </c>
      <c r="O676">
        <f>IF(AND(C676,ABS(K676)&gt;1E-12,L676&gt;0),N676,1E+300)</f>
        <v/>
      </c>
    </row>
    <row r="677">
      <c r="A677">
        <f>$K$469+($L$469-$K$469)*205/400</f>
        <v/>
      </c>
      <c r="B677">
        <f>SUMPRODUCT((Calc!$F$3:$F$22&gt;=LTP!$E$5)*(Calc!$F$3:$F$22&lt;=k_n)*(Calc!$G$3:$G$22&lt;=A677))</f>
        <v/>
      </c>
      <c r="C677">
        <f>AND(B677&gt;=2,$B$469-B677&gt;=2)</f>
        <v/>
      </c>
      <c r="D677">
        <f>SUMPRODUCT((Calc!$F$3:$F$22&gt;=LTP!$E$5)*(Calc!$F$3:$F$22&lt;=k_n)*(Calc!$G$3:$G$22&gt;A677)*(Calc!$G$3:$G$22-A677))</f>
        <v/>
      </c>
      <c r="E677">
        <f>SUMPRODUCT((Calc!$F$3:$F$22&gt;=LTP!$E$5)*(Calc!$F$3:$F$22&lt;=k_n)*(Calc!$G$3:$G$22&gt;A677)*(Calc!$G$3:$G$22-A677)^2)</f>
        <v/>
      </c>
      <c r="F677">
        <f>SUMPRODUCT((Calc!$F$3:$F$22&gt;=LTP!$E$5)*(Calc!$F$3:$F$22&lt;=k_n)*(Calc!$G$3:$G$22&gt;A677)*(Calc!$G$3:$G$22-A677)*Calc!$G$3:$G$22)</f>
        <v/>
      </c>
      <c r="G677">
        <f>SUMPRODUCT((Calc!$F$3:$F$22&gt;=LTP!$E$5)*(Calc!$F$3:$F$22&lt;=k_n)*(Calc!$G$3:$G$22&gt;A677)*(Calc!$G$3:$G$22-A677)*Calc!$I$3:$I$22)</f>
        <v/>
      </c>
      <c r="H677">
        <f>IF($B$469&gt;0,F677-$C$469*D677/$B$469,0)</f>
        <v/>
      </c>
      <c r="I677">
        <f>IF($B$469&gt;0,E677-D677^2/$B$469,0)</f>
        <v/>
      </c>
      <c r="J677">
        <f>IF($B$469&gt;0,G677-D677*$D$469/$B$469,0)</f>
        <v/>
      </c>
      <c r="K677">
        <f>$H$469*I677-H677^2</f>
        <v/>
      </c>
      <c r="L677">
        <f>IF(ABS(K677)&gt;1E-12,($H$469*J677-H677*$I$469)/K677,0)</f>
        <v/>
      </c>
      <c r="M677">
        <f>IF(ABS(K677)&gt;1E-12,(I677*$I$469-H677*J677)/K677,0)</f>
        <v/>
      </c>
      <c r="N677">
        <f>$J$469-M677*$I$469-L677*J677</f>
        <v/>
      </c>
      <c r="O677">
        <f>IF(AND(C677,ABS(K677)&gt;1E-12,L677&gt;0),N677,1E+300)</f>
        <v/>
      </c>
    </row>
    <row r="678">
      <c r="A678">
        <f>$K$469+($L$469-$K$469)*206/400</f>
        <v/>
      </c>
      <c r="B678">
        <f>SUMPRODUCT((Calc!$F$3:$F$22&gt;=LTP!$E$5)*(Calc!$F$3:$F$22&lt;=k_n)*(Calc!$G$3:$G$22&lt;=A678))</f>
        <v/>
      </c>
      <c r="C678">
        <f>AND(B678&gt;=2,$B$469-B678&gt;=2)</f>
        <v/>
      </c>
      <c r="D678">
        <f>SUMPRODUCT((Calc!$F$3:$F$22&gt;=LTP!$E$5)*(Calc!$F$3:$F$22&lt;=k_n)*(Calc!$G$3:$G$22&gt;A678)*(Calc!$G$3:$G$22-A678))</f>
        <v/>
      </c>
      <c r="E678">
        <f>SUMPRODUCT((Calc!$F$3:$F$22&gt;=LTP!$E$5)*(Calc!$F$3:$F$22&lt;=k_n)*(Calc!$G$3:$G$22&gt;A678)*(Calc!$G$3:$G$22-A678)^2)</f>
        <v/>
      </c>
      <c r="F678">
        <f>SUMPRODUCT((Calc!$F$3:$F$22&gt;=LTP!$E$5)*(Calc!$F$3:$F$22&lt;=k_n)*(Calc!$G$3:$G$22&gt;A678)*(Calc!$G$3:$G$22-A678)*Calc!$G$3:$G$22)</f>
        <v/>
      </c>
      <c r="G678">
        <f>SUMPRODUCT((Calc!$F$3:$F$22&gt;=LTP!$E$5)*(Calc!$F$3:$F$22&lt;=k_n)*(Calc!$G$3:$G$22&gt;A678)*(Calc!$G$3:$G$22-A678)*Calc!$I$3:$I$22)</f>
        <v/>
      </c>
      <c r="H678">
        <f>IF($B$469&gt;0,F678-$C$469*D678/$B$469,0)</f>
        <v/>
      </c>
      <c r="I678">
        <f>IF($B$469&gt;0,E678-D678^2/$B$469,0)</f>
        <v/>
      </c>
      <c r="J678">
        <f>IF($B$469&gt;0,G678-D678*$D$469/$B$469,0)</f>
        <v/>
      </c>
      <c r="K678">
        <f>$H$469*I678-H678^2</f>
        <v/>
      </c>
      <c r="L678">
        <f>IF(ABS(K678)&gt;1E-12,($H$469*J678-H678*$I$469)/K678,0)</f>
        <v/>
      </c>
      <c r="M678">
        <f>IF(ABS(K678)&gt;1E-12,(I678*$I$469-H678*J678)/K678,0)</f>
        <v/>
      </c>
      <c r="N678">
        <f>$J$469-M678*$I$469-L678*J678</f>
        <v/>
      </c>
      <c r="O678">
        <f>IF(AND(C678,ABS(K678)&gt;1E-12,L678&gt;0),N678,1E+300)</f>
        <v/>
      </c>
    </row>
    <row r="679">
      <c r="A679">
        <f>$K$469+($L$469-$K$469)*207/400</f>
        <v/>
      </c>
      <c r="B679">
        <f>SUMPRODUCT((Calc!$F$3:$F$22&gt;=LTP!$E$5)*(Calc!$F$3:$F$22&lt;=k_n)*(Calc!$G$3:$G$22&lt;=A679))</f>
        <v/>
      </c>
      <c r="C679">
        <f>AND(B679&gt;=2,$B$469-B679&gt;=2)</f>
        <v/>
      </c>
      <c r="D679">
        <f>SUMPRODUCT((Calc!$F$3:$F$22&gt;=LTP!$E$5)*(Calc!$F$3:$F$22&lt;=k_n)*(Calc!$G$3:$G$22&gt;A679)*(Calc!$G$3:$G$22-A679))</f>
        <v/>
      </c>
      <c r="E679">
        <f>SUMPRODUCT((Calc!$F$3:$F$22&gt;=LTP!$E$5)*(Calc!$F$3:$F$22&lt;=k_n)*(Calc!$G$3:$G$22&gt;A679)*(Calc!$G$3:$G$22-A679)^2)</f>
        <v/>
      </c>
      <c r="F679">
        <f>SUMPRODUCT((Calc!$F$3:$F$22&gt;=LTP!$E$5)*(Calc!$F$3:$F$22&lt;=k_n)*(Calc!$G$3:$G$22&gt;A679)*(Calc!$G$3:$G$22-A679)*Calc!$G$3:$G$22)</f>
        <v/>
      </c>
      <c r="G679">
        <f>SUMPRODUCT((Calc!$F$3:$F$22&gt;=LTP!$E$5)*(Calc!$F$3:$F$22&lt;=k_n)*(Calc!$G$3:$G$22&gt;A679)*(Calc!$G$3:$G$22-A679)*Calc!$I$3:$I$22)</f>
        <v/>
      </c>
      <c r="H679">
        <f>IF($B$469&gt;0,F679-$C$469*D679/$B$469,0)</f>
        <v/>
      </c>
      <c r="I679">
        <f>IF($B$469&gt;0,E679-D679^2/$B$469,0)</f>
        <v/>
      </c>
      <c r="J679">
        <f>IF($B$469&gt;0,G679-D679*$D$469/$B$469,0)</f>
        <v/>
      </c>
      <c r="K679">
        <f>$H$469*I679-H679^2</f>
        <v/>
      </c>
      <c r="L679">
        <f>IF(ABS(K679)&gt;1E-12,($H$469*J679-H679*$I$469)/K679,0)</f>
        <v/>
      </c>
      <c r="M679">
        <f>IF(ABS(K679)&gt;1E-12,(I679*$I$469-H679*J679)/K679,0)</f>
        <v/>
      </c>
      <c r="N679">
        <f>$J$469-M679*$I$469-L679*J679</f>
        <v/>
      </c>
      <c r="O679">
        <f>IF(AND(C679,ABS(K679)&gt;1E-12,L679&gt;0),N679,1E+300)</f>
        <v/>
      </c>
    </row>
    <row r="680">
      <c r="A680">
        <f>$K$469+($L$469-$K$469)*208/400</f>
        <v/>
      </c>
      <c r="B680">
        <f>SUMPRODUCT((Calc!$F$3:$F$22&gt;=LTP!$E$5)*(Calc!$F$3:$F$22&lt;=k_n)*(Calc!$G$3:$G$22&lt;=A680))</f>
        <v/>
      </c>
      <c r="C680">
        <f>AND(B680&gt;=2,$B$469-B680&gt;=2)</f>
        <v/>
      </c>
      <c r="D680">
        <f>SUMPRODUCT((Calc!$F$3:$F$22&gt;=LTP!$E$5)*(Calc!$F$3:$F$22&lt;=k_n)*(Calc!$G$3:$G$22&gt;A680)*(Calc!$G$3:$G$22-A680))</f>
        <v/>
      </c>
      <c r="E680">
        <f>SUMPRODUCT((Calc!$F$3:$F$22&gt;=LTP!$E$5)*(Calc!$F$3:$F$22&lt;=k_n)*(Calc!$G$3:$G$22&gt;A680)*(Calc!$G$3:$G$22-A680)^2)</f>
        <v/>
      </c>
      <c r="F680">
        <f>SUMPRODUCT((Calc!$F$3:$F$22&gt;=LTP!$E$5)*(Calc!$F$3:$F$22&lt;=k_n)*(Calc!$G$3:$G$22&gt;A680)*(Calc!$G$3:$G$22-A680)*Calc!$G$3:$G$22)</f>
        <v/>
      </c>
      <c r="G680">
        <f>SUMPRODUCT((Calc!$F$3:$F$22&gt;=LTP!$E$5)*(Calc!$F$3:$F$22&lt;=k_n)*(Calc!$G$3:$G$22&gt;A680)*(Calc!$G$3:$G$22-A680)*Calc!$I$3:$I$22)</f>
        <v/>
      </c>
      <c r="H680">
        <f>IF($B$469&gt;0,F680-$C$469*D680/$B$469,0)</f>
        <v/>
      </c>
      <c r="I680">
        <f>IF($B$469&gt;0,E680-D680^2/$B$469,0)</f>
        <v/>
      </c>
      <c r="J680">
        <f>IF($B$469&gt;0,G680-D680*$D$469/$B$469,0)</f>
        <v/>
      </c>
      <c r="K680">
        <f>$H$469*I680-H680^2</f>
        <v/>
      </c>
      <c r="L680">
        <f>IF(ABS(K680)&gt;1E-12,($H$469*J680-H680*$I$469)/K680,0)</f>
        <v/>
      </c>
      <c r="M680">
        <f>IF(ABS(K680)&gt;1E-12,(I680*$I$469-H680*J680)/K680,0)</f>
        <v/>
      </c>
      <c r="N680">
        <f>$J$469-M680*$I$469-L680*J680</f>
        <v/>
      </c>
      <c r="O680">
        <f>IF(AND(C680,ABS(K680)&gt;1E-12,L680&gt;0),N680,1E+300)</f>
        <v/>
      </c>
    </row>
    <row r="681">
      <c r="A681">
        <f>$K$469+($L$469-$K$469)*209/400</f>
        <v/>
      </c>
      <c r="B681">
        <f>SUMPRODUCT((Calc!$F$3:$F$22&gt;=LTP!$E$5)*(Calc!$F$3:$F$22&lt;=k_n)*(Calc!$G$3:$G$22&lt;=A681))</f>
        <v/>
      </c>
      <c r="C681">
        <f>AND(B681&gt;=2,$B$469-B681&gt;=2)</f>
        <v/>
      </c>
      <c r="D681">
        <f>SUMPRODUCT((Calc!$F$3:$F$22&gt;=LTP!$E$5)*(Calc!$F$3:$F$22&lt;=k_n)*(Calc!$G$3:$G$22&gt;A681)*(Calc!$G$3:$G$22-A681))</f>
        <v/>
      </c>
      <c r="E681">
        <f>SUMPRODUCT((Calc!$F$3:$F$22&gt;=LTP!$E$5)*(Calc!$F$3:$F$22&lt;=k_n)*(Calc!$G$3:$G$22&gt;A681)*(Calc!$G$3:$G$22-A681)^2)</f>
        <v/>
      </c>
      <c r="F681">
        <f>SUMPRODUCT((Calc!$F$3:$F$22&gt;=LTP!$E$5)*(Calc!$F$3:$F$22&lt;=k_n)*(Calc!$G$3:$G$22&gt;A681)*(Calc!$G$3:$G$22-A681)*Calc!$G$3:$G$22)</f>
        <v/>
      </c>
      <c r="G681">
        <f>SUMPRODUCT((Calc!$F$3:$F$22&gt;=LTP!$E$5)*(Calc!$F$3:$F$22&lt;=k_n)*(Calc!$G$3:$G$22&gt;A681)*(Calc!$G$3:$G$22-A681)*Calc!$I$3:$I$22)</f>
        <v/>
      </c>
      <c r="H681">
        <f>IF($B$469&gt;0,F681-$C$469*D681/$B$469,0)</f>
        <v/>
      </c>
      <c r="I681">
        <f>IF($B$469&gt;0,E681-D681^2/$B$469,0)</f>
        <v/>
      </c>
      <c r="J681">
        <f>IF($B$469&gt;0,G681-D681*$D$469/$B$469,0)</f>
        <v/>
      </c>
      <c r="K681">
        <f>$H$469*I681-H681^2</f>
        <v/>
      </c>
      <c r="L681">
        <f>IF(ABS(K681)&gt;1E-12,($H$469*J681-H681*$I$469)/K681,0)</f>
        <v/>
      </c>
      <c r="M681">
        <f>IF(ABS(K681)&gt;1E-12,(I681*$I$469-H681*J681)/K681,0)</f>
        <v/>
      </c>
      <c r="N681">
        <f>$J$469-M681*$I$469-L681*J681</f>
        <v/>
      </c>
      <c r="O681">
        <f>IF(AND(C681,ABS(K681)&gt;1E-12,L681&gt;0),N681,1E+300)</f>
        <v/>
      </c>
    </row>
    <row r="682">
      <c r="A682">
        <f>$K$469+($L$469-$K$469)*210/400</f>
        <v/>
      </c>
      <c r="B682">
        <f>SUMPRODUCT((Calc!$F$3:$F$22&gt;=LTP!$E$5)*(Calc!$F$3:$F$22&lt;=k_n)*(Calc!$G$3:$G$22&lt;=A682))</f>
        <v/>
      </c>
      <c r="C682">
        <f>AND(B682&gt;=2,$B$469-B682&gt;=2)</f>
        <v/>
      </c>
      <c r="D682">
        <f>SUMPRODUCT((Calc!$F$3:$F$22&gt;=LTP!$E$5)*(Calc!$F$3:$F$22&lt;=k_n)*(Calc!$G$3:$G$22&gt;A682)*(Calc!$G$3:$G$22-A682))</f>
        <v/>
      </c>
      <c r="E682">
        <f>SUMPRODUCT((Calc!$F$3:$F$22&gt;=LTP!$E$5)*(Calc!$F$3:$F$22&lt;=k_n)*(Calc!$G$3:$G$22&gt;A682)*(Calc!$G$3:$G$22-A682)^2)</f>
        <v/>
      </c>
      <c r="F682">
        <f>SUMPRODUCT((Calc!$F$3:$F$22&gt;=LTP!$E$5)*(Calc!$F$3:$F$22&lt;=k_n)*(Calc!$G$3:$G$22&gt;A682)*(Calc!$G$3:$G$22-A682)*Calc!$G$3:$G$22)</f>
        <v/>
      </c>
      <c r="G682">
        <f>SUMPRODUCT((Calc!$F$3:$F$22&gt;=LTP!$E$5)*(Calc!$F$3:$F$22&lt;=k_n)*(Calc!$G$3:$G$22&gt;A682)*(Calc!$G$3:$G$22-A682)*Calc!$I$3:$I$22)</f>
        <v/>
      </c>
      <c r="H682">
        <f>IF($B$469&gt;0,F682-$C$469*D682/$B$469,0)</f>
        <v/>
      </c>
      <c r="I682">
        <f>IF($B$469&gt;0,E682-D682^2/$B$469,0)</f>
        <v/>
      </c>
      <c r="J682">
        <f>IF($B$469&gt;0,G682-D682*$D$469/$B$469,0)</f>
        <v/>
      </c>
      <c r="K682">
        <f>$H$469*I682-H682^2</f>
        <v/>
      </c>
      <c r="L682">
        <f>IF(ABS(K682)&gt;1E-12,($H$469*J682-H682*$I$469)/K682,0)</f>
        <v/>
      </c>
      <c r="M682">
        <f>IF(ABS(K682)&gt;1E-12,(I682*$I$469-H682*J682)/K682,0)</f>
        <v/>
      </c>
      <c r="N682">
        <f>$J$469-M682*$I$469-L682*J682</f>
        <v/>
      </c>
      <c r="O682">
        <f>IF(AND(C682,ABS(K682)&gt;1E-12,L682&gt;0),N682,1E+300)</f>
        <v/>
      </c>
    </row>
    <row r="683">
      <c r="A683">
        <f>$K$469+($L$469-$K$469)*211/400</f>
        <v/>
      </c>
      <c r="B683">
        <f>SUMPRODUCT((Calc!$F$3:$F$22&gt;=LTP!$E$5)*(Calc!$F$3:$F$22&lt;=k_n)*(Calc!$G$3:$G$22&lt;=A683))</f>
        <v/>
      </c>
      <c r="C683">
        <f>AND(B683&gt;=2,$B$469-B683&gt;=2)</f>
        <v/>
      </c>
      <c r="D683">
        <f>SUMPRODUCT((Calc!$F$3:$F$22&gt;=LTP!$E$5)*(Calc!$F$3:$F$22&lt;=k_n)*(Calc!$G$3:$G$22&gt;A683)*(Calc!$G$3:$G$22-A683))</f>
        <v/>
      </c>
      <c r="E683">
        <f>SUMPRODUCT((Calc!$F$3:$F$22&gt;=LTP!$E$5)*(Calc!$F$3:$F$22&lt;=k_n)*(Calc!$G$3:$G$22&gt;A683)*(Calc!$G$3:$G$22-A683)^2)</f>
        <v/>
      </c>
      <c r="F683">
        <f>SUMPRODUCT((Calc!$F$3:$F$22&gt;=LTP!$E$5)*(Calc!$F$3:$F$22&lt;=k_n)*(Calc!$G$3:$G$22&gt;A683)*(Calc!$G$3:$G$22-A683)*Calc!$G$3:$G$22)</f>
        <v/>
      </c>
      <c r="G683">
        <f>SUMPRODUCT((Calc!$F$3:$F$22&gt;=LTP!$E$5)*(Calc!$F$3:$F$22&lt;=k_n)*(Calc!$G$3:$G$22&gt;A683)*(Calc!$G$3:$G$22-A683)*Calc!$I$3:$I$22)</f>
        <v/>
      </c>
      <c r="H683">
        <f>IF($B$469&gt;0,F683-$C$469*D683/$B$469,0)</f>
        <v/>
      </c>
      <c r="I683">
        <f>IF($B$469&gt;0,E683-D683^2/$B$469,0)</f>
        <v/>
      </c>
      <c r="J683">
        <f>IF($B$469&gt;0,G683-D683*$D$469/$B$469,0)</f>
        <v/>
      </c>
      <c r="K683">
        <f>$H$469*I683-H683^2</f>
        <v/>
      </c>
      <c r="L683">
        <f>IF(ABS(K683)&gt;1E-12,($H$469*J683-H683*$I$469)/K683,0)</f>
        <v/>
      </c>
      <c r="M683">
        <f>IF(ABS(K683)&gt;1E-12,(I683*$I$469-H683*J683)/K683,0)</f>
        <v/>
      </c>
      <c r="N683">
        <f>$J$469-M683*$I$469-L683*J683</f>
        <v/>
      </c>
      <c r="O683">
        <f>IF(AND(C683,ABS(K683)&gt;1E-12,L683&gt;0),N683,1E+300)</f>
        <v/>
      </c>
    </row>
    <row r="684">
      <c r="A684">
        <f>$K$469+($L$469-$K$469)*212/400</f>
        <v/>
      </c>
      <c r="B684">
        <f>SUMPRODUCT((Calc!$F$3:$F$22&gt;=LTP!$E$5)*(Calc!$F$3:$F$22&lt;=k_n)*(Calc!$G$3:$G$22&lt;=A684))</f>
        <v/>
      </c>
      <c r="C684">
        <f>AND(B684&gt;=2,$B$469-B684&gt;=2)</f>
        <v/>
      </c>
      <c r="D684">
        <f>SUMPRODUCT((Calc!$F$3:$F$22&gt;=LTP!$E$5)*(Calc!$F$3:$F$22&lt;=k_n)*(Calc!$G$3:$G$22&gt;A684)*(Calc!$G$3:$G$22-A684))</f>
        <v/>
      </c>
      <c r="E684">
        <f>SUMPRODUCT((Calc!$F$3:$F$22&gt;=LTP!$E$5)*(Calc!$F$3:$F$22&lt;=k_n)*(Calc!$G$3:$G$22&gt;A684)*(Calc!$G$3:$G$22-A684)^2)</f>
        <v/>
      </c>
      <c r="F684">
        <f>SUMPRODUCT((Calc!$F$3:$F$22&gt;=LTP!$E$5)*(Calc!$F$3:$F$22&lt;=k_n)*(Calc!$G$3:$G$22&gt;A684)*(Calc!$G$3:$G$22-A684)*Calc!$G$3:$G$22)</f>
        <v/>
      </c>
      <c r="G684">
        <f>SUMPRODUCT((Calc!$F$3:$F$22&gt;=LTP!$E$5)*(Calc!$F$3:$F$22&lt;=k_n)*(Calc!$G$3:$G$22&gt;A684)*(Calc!$G$3:$G$22-A684)*Calc!$I$3:$I$22)</f>
        <v/>
      </c>
      <c r="H684">
        <f>IF($B$469&gt;0,F684-$C$469*D684/$B$469,0)</f>
        <v/>
      </c>
      <c r="I684">
        <f>IF($B$469&gt;0,E684-D684^2/$B$469,0)</f>
        <v/>
      </c>
      <c r="J684">
        <f>IF($B$469&gt;0,G684-D684*$D$469/$B$469,0)</f>
        <v/>
      </c>
      <c r="K684">
        <f>$H$469*I684-H684^2</f>
        <v/>
      </c>
      <c r="L684">
        <f>IF(ABS(K684)&gt;1E-12,($H$469*J684-H684*$I$469)/K684,0)</f>
        <v/>
      </c>
      <c r="M684">
        <f>IF(ABS(K684)&gt;1E-12,(I684*$I$469-H684*J684)/K684,0)</f>
        <v/>
      </c>
      <c r="N684">
        <f>$J$469-M684*$I$469-L684*J684</f>
        <v/>
      </c>
      <c r="O684">
        <f>IF(AND(C684,ABS(K684)&gt;1E-12,L684&gt;0),N684,1E+300)</f>
        <v/>
      </c>
    </row>
    <row r="685">
      <c r="A685">
        <f>$K$469+($L$469-$K$469)*213/400</f>
        <v/>
      </c>
      <c r="B685">
        <f>SUMPRODUCT((Calc!$F$3:$F$22&gt;=LTP!$E$5)*(Calc!$F$3:$F$22&lt;=k_n)*(Calc!$G$3:$G$22&lt;=A685))</f>
        <v/>
      </c>
      <c r="C685">
        <f>AND(B685&gt;=2,$B$469-B685&gt;=2)</f>
        <v/>
      </c>
      <c r="D685">
        <f>SUMPRODUCT((Calc!$F$3:$F$22&gt;=LTP!$E$5)*(Calc!$F$3:$F$22&lt;=k_n)*(Calc!$G$3:$G$22&gt;A685)*(Calc!$G$3:$G$22-A685))</f>
        <v/>
      </c>
      <c r="E685">
        <f>SUMPRODUCT((Calc!$F$3:$F$22&gt;=LTP!$E$5)*(Calc!$F$3:$F$22&lt;=k_n)*(Calc!$G$3:$G$22&gt;A685)*(Calc!$G$3:$G$22-A685)^2)</f>
        <v/>
      </c>
      <c r="F685">
        <f>SUMPRODUCT((Calc!$F$3:$F$22&gt;=LTP!$E$5)*(Calc!$F$3:$F$22&lt;=k_n)*(Calc!$G$3:$G$22&gt;A685)*(Calc!$G$3:$G$22-A685)*Calc!$G$3:$G$22)</f>
        <v/>
      </c>
      <c r="G685">
        <f>SUMPRODUCT((Calc!$F$3:$F$22&gt;=LTP!$E$5)*(Calc!$F$3:$F$22&lt;=k_n)*(Calc!$G$3:$G$22&gt;A685)*(Calc!$G$3:$G$22-A685)*Calc!$I$3:$I$22)</f>
        <v/>
      </c>
      <c r="H685">
        <f>IF($B$469&gt;0,F685-$C$469*D685/$B$469,0)</f>
        <v/>
      </c>
      <c r="I685">
        <f>IF($B$469&gt;0,E685-D685^2/$B$469,0)</f>
        <v/>
      </c>
      <c r="J685">
        <f>IF($B$469&gt;0,G685-D685*$D$469/$B$469,0)</f>
        <v/>
      </c>
      <c r="K685">
        <f>$H$469*I685-H685^2</f>
        <v/>
      </c>
      <c r="L685">
        <f>IF(ABS(K685)&gt;1E-12,($H$469*J685-H685*$I$469)/K685,0)</f>
        <v/>
      </c>
      <c r="M685">
        <f>IF(ABS(K685)&gt;1E-12,(I685*$I$469-H685*J685)/K685,0)</f>
        <v/>
      </c>
      <c r="N685">
        <f>$J$469-M685*$I$469-L685*J685</f>
        <v/>
      </c>
      <c r="O685">
        <f>IF(AND(C685,ABS(K685)&gt;1E-12,L685&gt;0),N685,1E+300)</f>
        <v/>
      </c>
    </row>
    <row r="686">
      <c r="A686">
        <f>$K$469+($L$469-$K$469)*214/400</f>
        <v/>
      </c>
      <c r="B686">
        <f>SUMPRODUCT((Calc!$F$3:$F$22&gt;=LTP!$E$5)*(Calc!$F$3:$F$22&lt;=k_n)*(Calc!$G$3:$G$22&lt;=A686))</f>
        <v/>
      </c>
      <c r="C686">
        <f>AND(B686&gt;=2,$B$469-B686&gt;=2)</f>
        <v/>
      </c>
      <c r="D686">
        <f>SUMPRODUCT((Calc!$F$3:$F$22&gt;=LTP!$E$5)*(Calc!$F$3:$F$22&lt;=k_n)*(Calc!$G$3:$G$22&gt;A686)*(Calc!$G$3:$G$22-A686))</f>
        <v/>
      </c>
      <c r="E686">
        <f>SUMPRODUCT((Calc!$F$3:$F$22&gt;=LTP!$E$5)*(Calc!$F$3:$F$22&lt;=k_n)*(Calc!$G$3:$G$22&gt;A686)*(Calc!$G$3:$G$22-A686)^2)</f>
        <v/>
      </c>
      <c r="F686">
        <f>SUMPRODUCT((Calc!$F$3:$F$22&gt;=LTP!$E$5)*(Calc!$F$3:$F$22&lt;=k_n)*(Calc!$G$3:$G$22&gt;A686)*(Calc!$G$3:$G$22-A686)*Calc!$G$3:$G$22)</f>
        <v/>
      </c>
      <c r="G686">
        <f>SUMPRODUCT((Calc!$F$3:$F$22&gt;=LTP!$E$5)*(Calc!$F$3:$F$22&lt;=k_n)*(Calc!$G$3:$G$22&gt;A686)*(Calc!$G$3:$G$22-A686)*Calc!$I$3:$I$22)</f>
        <v/>
      </c>
      <c r="H686">
        <f>IF($B$469&gt;0,F686-$C$469*D686/$B$469,0)</f>
        <v/>
      </c>
      <c r="I686">
        <f>IF($B$469&gt;0,E686-D686^2/$B$469,0)</f>
        <v/>
      </c>
      <c r="J686">
        <f>IF($B$469&gt;0,G686-D686*$D$469/$B$469,0)</f>
        <v/>
      </c>
      <c r="K686">
        <f>$H$469*I686-H686^2</f>
        <v/>
      </c>
      <c r="L686">
        <f>IF(ABS(K686)&gt;1E-12,($H$469*J686-H686*$I$469)/K686,0)</f>
        <v/>
      </c>
      <c r="M686">
        <f>IF(ABS(K686)&gt;1E-12,(I686*$I$469-H686*J686)/K686,0)</f>
        <v/>
      </c>
      <c r="N686">
        <f>$J$469-M686*$I$469-L686*J686</f>
        <v/>
      </c>
      <c r="O686">
        <f>IF(AND(C686,ABS(K686)&gt;1E-12,L686&gt;0),N686,1E+300)</f>
        <v/>
      </c>
    </row>
    <row r="687">
      <c r="A687">
        <f>$K$469+($L$469-$K$469)*215/400</f>
        <v/>
      </c>
      <c r="B687">
        <f>SUMPRODUCT((Calc!$F$3:$F$22&gt;=LTP!$E$5)*(Calc!$F$3:$F$22&lt;=k_n)*(Calc!$G$3:$G$22&lt;=A687))</f>
        <v/>
      </c>
      <c r="C687">
        <f>AND(B687&gt;=2,$B$469-B687&gt;=2)</f>
        <v/>
      </c>
      <c r="D687">
        <f>SUMPRODUCT((Calc!$F$3:$F$22&gt;=LTP!$E$5)*(Calc!$F$3:$F$22&lt;=k_n)*(Calc!$G$3:$G$22&gt;A687)*(Calc!$G$3:$G$22-A687))</f>
        <v/>
      </c>
      <c r="E687">
        <f>SUMPRODUCT((Calc!$F$3:$F$22&gt;=LTP!$E$5)*(Calc!$F$3:$F$22&lt;=k_n)*(Calc!$G$3:$G$22&gt;A687)*(Calc!$G$3:$G$22-A687)^2)</f>
        <v/>
      </c>
      <c r="F687">
        <f>SUMPRODUCT((Calc!$F$3:$F$22&gt;=LTP!$E$5)*(Calc!$F$3:$F$22&lt;=k_n)*(Calc!$G$3:$G$22&gt;A687)*(Calc!$G$3:$G$22-A687)*Calc!$G$3:$G$22)</f>
        <v/>
      </c>
      <c r="G687">
        <f>SUMPRODUCT((Calc!$F$3:$F$22&gt;=LTP!$E$5)*(Calc!$F$3:$F$22&lt;=k_n)*(Calc!$G$3:$G$22&gt;A687)*(Calc!$G$3:$G$22-A687)*Calc!$I$3:$I$22)</f>
        <v/>
      </c>
      <c r="H687">
        <f>IF($B$469&gt;0,F687-$C$469*D687/$B$469,0)</f>
        <v/>
      </c>
      <c r="I687">
        <f>IF($B$469&gt;0,E687-D687^2/$B$469,0)</f>
        <v/>
      </c>
      <c r="J687">
        <f>IF($B$469&gt;0,G687-D687*$D$469/$B$469,0)</f>
        <v/>
      </c>
      <c r="K687">
        <f>$H$469*I687-H687^2</f>
        <v/>
      </c>
      <c r="L687">
        <f>IF(ABS(K687)&gt;1E-12,($H$469*J687-H687*$I$469)/K687,0)</f>
        <v/>
      </c>
      <c r="M687">
        <f>IF(ABS(K687)&gt;1E-12,(I687*$I$469-H687*J687)/K687,0)</f>
        <v/>
      </c>
      <c r="N687">
        <f>$J$469-M687*$I$469-L687*J687</f>
        <v/>
      </c>
      <c r="O687">
        <f>IF(AND(C687,ABS(K687)&gt;1E-12,L687&gt;0),N687,1E+300)</f>
        <v/>
      </c>
    </row>
    <row r="688">
      <c r="A688">
        <f>$K$469+($L$469-$K$469)*216/400</f>
        <v/>
      </c>
      <c r="B688">
        <f>SUMPRODUCT((Calc!$F$3:$F$22&gt;=LTP!$E$5)*(Calc!$F$3:$F$22&lt;=k_n)*(Calc!$G$3:$G$22&lt;=A688))</f>
        <v/>
      </c>
      <c r="C688">
        <f>AND(B688&gt;=2,$B$469-B688&gt;=2)</f>
        <v/>
      </c>
      <c r="D688">
        <f>SUMPRODUCT((Calc!$F$3:$F$22&gt;=LTP!$E$5)*(Calc!$F$3:$F$22&lt;=k_n)*(Calc!$G$3:$G$22&gt;A688)*(Calc!$G$3:$G$22-A688))</f>
        <v/>
      </c>
      <c r="E688">
        <f>SUMPRODUCT((Calc!$F$3:$F$22&gt;=LTP!$E$5)*(Calc!$F$3:$F$22&lt;=k_n)*(Calc!$G$3:$G$22&gt;A688)*(Calc!$G$3:$G$22-A688)^2)</f>
        <v/>
      </c>
      <c r="F688">
        <f>SUMPRODUCT((Calc!$F$3:$F$22&gt;=LTP!$E$5)*(Calc!$F$3:$F$22&lt;=k_n)*(Calc!$G$3:$G$22&gt;A688)*(Calc!$G$3:$G$22-A688)*Calc!$G$3:$G$22)</f>
        <v/>
      </c>
      <c r="G688">
        <f>SUMPRODUCT((Calc!$F$3:$F$22&gt;=LTP!$E$5)*(Calc!$F$3:$F$22&lt;=k_n)*(Calc!$G$3:$G$22&gt;A688)*(Calc!$G$3:$G$22-A688)*Calc!$I$3:$I$22)</f>
        <v/>
      </c>
      <c r="H688">
        <f>IF($B$469&gt;0,F688-$C$469*D688/$B$469,0)</f>
        <v/>
      </c>
      <c r="I688">
        <f>IF($B$469&gt;0,E688-D688^2/$B$469,0)</f>
        <v/>
      </c>
      <c r="J688">
        <f>IF($B$469&gt;0,G688-D688*$D$469/$B$469,0)</f>
        <v/>
      </c>
      <c r="K688">
        <f>$H$469*I688-H688^2</f>
        <v/>
      </c>
      <c r="L688">
        <f>IF(ABS(K688)&gt;1E-12,($H$469*J688-H688*$I$469)/K688,0)</f>
        <v/>
      </c>
      <c r="M688">
        <f>IF(ABS(K688)&gt;1E-12,(I688*$I$469-H688*J688)/K688,0)</f>
        <v/>
      </c>
      <c r="N688">
        <f>$J$469-M688*$I$469-L688*J688</f>
        <v/>
      </c>
      <c r="O688">
        <f>IF(AND(C688,ABS(K688)&gt;1E-12,L688&gt;0),N688,1E+300)</f>
        <v/>
      </c>
    </row>
    <row r="689">
      <c r="A689">
        <f>$K$469+($L$469-$K$469)*217/400</f>
        <v/>
      </c>
      <c r="B689">
        <f>SUMPRODUCT((Calc!$F$3:$F$22&gt;=LTP!$E$5)*(Calc!$F$3:$F$22&lt;=k_n)*(Calc!$G$3:$G$22&lt;=A689))</f>
        <v/>
      </c>
      <c r="C689">
        <f>AND(B689&gt;=2,$B$469-B689&gt;=2)</f>
        <v/>
      </c>
      <c r="D689">
        <f>SUMPRODUCT((Calc!$F$3:$F$22&gt;=LTP!$E$5)*(Calc!$F$3:$F$22&lt;=k_n)*(Calc!$G$3:$G$22&gt;A689)*(Calc!$G$3:$G$22-A689))</f>
        <v/>
      </c>
      <c r="E689">
        <f>SUMPRODUCT((Calc!$F$3:$F$22&gt;=LTP!$E$5)*(Calc!$F$3:$F$22&lt;=k_n)*(Calc!$G$3:$G$22&gt;A689)*(Calc!$G$3:$G$22-A689)^2)</f>
        <v/>
      </c>
      <c r="F689">
        <f>SUMPRODUCT((Calc!$F$3:$F$22&gt;=LTP!$E$5)*(Calc!$F$3:$F$22&lt;=k_n)*(Calc!$G$3:$G$22&gt;A689)*(Calc!$G$3:$G$22-A689)*Calc!$G$3:$G$22)</f>
        <v/>
      </c>
      <c r="G689">
        <f>SUMPRODUCT((Calc!$F$3:$F$22&gt;=LTP!$E$5)*(Calc!$F$3:$F$22&lt;=k_n)*(Calc!$G$3:$G$22&gt;A689)*(Calc!$G$3:$G$22-A689)*Calc!$I$3:$I$22)</f>
        <v/>
      </c>
      <c r="H689">
        <f>IF($B$469&gt;0,F689-$C$469*D689/$B$469,0)</f>
        <v/>
      </c>
      <c r="I689">
        <f>IF($B$469&gt;0,E689-D689^2/$B$469,0)</f>
        <v/>
      </c>
      <c r="J689">
        <f>IF($B$469&gt;0,G689-D689*$D$469/$B$469,0)</f>
        <v/>
      </c>
      <c r="K689">
        <f>$H$469*I689-H689^2</f>
        <v/>
      </c>
      <c r="L689">
        <f>IF(ABS(K689)&gt;1E-12,($H$469*J689-H689*$I$469)/K689,0)</f>
        <v/>
      </c>
      <c r="M689">
        <f>IF(ABS(K689)&gt;1E-12,(I689*$I$469-H689*J689)/K689,0)</f>
        <v/>
      </c>
      <c r="N689">
        <f>$J$469-M689*$I$469-L689*J689</f>
        <v/>
      </c>
      <c r="O689">
        <f>IF(AND(C689,ABS(K689)&gt;1E-12,L689&gt;0),N689,1E+300)</f>
        <v/>
      </c>
    </row>
    <row r="690">
      <c r="A690">
        <f>$K$469+($L$469-$K$469)*218/400</f>
        <v/>
      </c>
      <c r="B690">
        <f>SUMPRODUCT((Calc!$F$3:$F$22&gt;=LTP!$E$5)*(Calc!$F$3:$F$22&lt;=k_n)*(Calc!$G$3:$G$22&lt;=A690))</f>
        <v/>
      </c>
      <c r="C690">
        <f>AND(B690&gt;=2,$B$469-B690&gt;=2)</f>
        <v/>
      </c>
      <c r="D690">
        <f>SUMPRODUCT((Calc!$F$3:$F$22&gt;=LTP!$E$5)*(Calc!$F$3:$F$22&lt;=k_n)*(Calc!$G$3:$G$22&gt;A690)*(Calc!$G$3:$G$22-A690))</f>
        <v/>
      </c>
      <c r="E690">
        <f>SUMPRODUCT((Calc!$F$3:$F$22&gt;=LTP!$E$5)*(Calc!$F$3:$F$22&lt;=k_n)*(Calc!$G$3:$G$22&gt;A690)*(Calc!$G$3:$G$22-A690)^2)</f>
        <v/>
      </c>
      <c r="F690">
        <f>SUMPRODUCT((Calc!$F$3:$F$22&gt;=LTP!$E$5)*(Calc!$F$3:$F$22&lt;=k_n)*(Calc!$G$3:$G$22&gt;A690)*(Calc!$G$3:$G$22-A690)*Calc!$G$3:$G$22)</f>
        <v/>
      </c>
      <c r="G690">
        <f>SUMPRODUCT((Calc!$F$3:$F$22&gt;=LTP!$E$5)*(Calc!$F$3:$F$22&lt;=k_n)*(Calc!$G$3:$G$22&gt;A690)*(Calc!$G$3:$G$22-A690)*Calc!$I$3:$I$22)</f>
        <v/>
      </c>
      <c r="H690">
        <f>IF($B$469&gt;0,F690-$C$469*D690/$B$469,0)</f>
        <v/>
      </c>
      <c r="I690">
        <f>IF($B$469&gt;0,E690-D690^2/$B$469,0)</f>
        <v/>
      </c>
      <c r="J690">
        <f>IF($B$469&gt;0,G690-D690*$D$469/$B$469,0)</f>
        <v/>
      </c>
      <c r="K690">
        <f>$H$469*I690-H690^2</f>
        <v/>
      </c>
      <c r="L690">
        <f>IF(ABS(K690)&gt;1E-12,($H$469*J690-H690*$I$469)/K690,0)</f>
        <v/>
      </c>
      <c r="M690">
        <f>IF(ABS(K690)&gt;1E-12,(I690*$I$469-H690*J690)/K690,0)</f>
        <v/>
      </c>
      <c r="N690">
        <f>$J$469-M690*$I$469-L690*J690</f>
        <v/>
      </c>
      <c r="O690">
        <f>IF(AND(C690,ABS(K690)&gt;1E-12,L690&gt;0),N690,1E+300)</f>
        <v/>
      </c>
    </row>
    <row r="691">
      <c r="A691">
        <f>$K$469+($L$469-$K$469)*219/400</f>
        <v/>
      </c>
      <c r="B691">
        <f>SUMPRODUCT((Calc!$F$3:$F$22&gt;=LTP!$E$5)*(Calc!$F$3:$F$22&lt;=k_n)*(Calc!$G$3:$G$22&lt;=A691))</f>
        <v/>
      </c>
      <c r="C691">
        <f>AND(B691&gt;=2,$B$469-B691&gt;=2)</f>
        <v/>
      </c>
      <c r="D691">
        <f>SUMPRODUCT((Calc!$F$3:$F$22&gt;=LTP!$E$5)*(Calc!$F$3:$F$22&lt;=k_n)*(Calc!$G$3:$G$22&gt;A691)*(Calc!$G$3:$G$22-A691))</f>
        <v/>
      </c>
      <c r="E691">
        <f>SUMPRODUCT((Calc!$F$3:$F$22&gt;=LTP!$E$5)*(Calc!$F$3:$F$22&lt;=k_n)*(Calc!$G$3:$G$22&gt;A691)*(Calc!$G$3:$G$22-A691)^2)</f>
        <v/>
      </c>
      <c r="F691">
        <f>SUMPRODUCT((Calc!$F$3:$F$22&gt;=LTP!$E$5)*(Calc!$F$3:$F$22&lt;=k_n)*(Calc!$G$3:$G$22&gt;A691)*(Calc!$G$3:$G$22-A691)*Calc!$G$3:$G$22)</f>
        <v/>
      </c>
      <c r="G691">
        <f>SUMPRODUCT((Calc!$F$3:$F$22&gt;=LTP!$E$5)*(Calc!$F$3:$F$22&lt;=k_n)*(Calc!$G$3:$G$22&gt;A691)*(Calc!$G$3:$G$22-A691)*Calc!$I$3:$I$22)</f>
        <v/>
      </c>
      <c r="H691">
        <f>IF($B$469&gt;0,F691-$C$469*D691/$B$469,0)</f>
        <v/>
      </c>
      <c r="I691">
        <f>IF($B$469&gt;0,E691-D691^2/$B$469,0)</f>
        <v/>
      </c>
      <c r="J691">
        <f>IF($B$469&gt;0,G691-D691*$D$469/$B$469,0)</f>
        <v/>
      </c>
      <c r="K691">
        <f>$H$469*I691-H691^2</f>
        <v/>
      </c>
      <c r="L691">
        <f>IF(ABS(K691)&gt;1E-12,($H$469*J691-H691*$I$469)/K691,0)</f>
        <v/>
      </c>
      <c r="M691">
        <f>IF(ABS(K691)&gt;1E-12,(I691*$I$469-H691*J691)/K691,0)</f>
        <v/>
      </c>
      <c r="N691">
        <f>$J$469-M691*$I$469-L691*J691</f>
        <v/>
      </c>
      <c r="O691">
        <f>IF(AND(C691,ABS(K691)&gt;1E-12,L691&gt;0),N691,1E+300)</f>
        <v/>
      </c>
    </row>
    <row r="692">
      <c r="A692">
        <f>$K$469+($L$469-$K$469)*220/400</f>
        <v/>
      </c>
      <c r="B692">
        <f>SUMPRODUCT((Calc!$F$3:$F$22&gt;=LTP!$E$5)*(Calc!$F$3:$F$22&lt;=k_n)*(Calc!$G$3:$G$22&lt;=A692))</f>
        <v/>
      </c>
      <c r="C692">
        <f>AND(B692&gt;=2,$B$469-B692&gt;=2)</f>
        <v/>
      </c>
      <c r="D692">
        <f>SUMPRODUCT((Calc!$F$3:$F$22&gt;=LTP!$E$5)*(Calc!$F$3:$F$22&lt;=k_n)*(Calc!$G$3:$G$22&gt;A692)*(Calc!$G$3:$G$22-A692))</f>
        <v/>
      </c>
      <c r="E692">
        <f>SUMPRODUCT((Calc!$F$3:$F$22&gt;=LTP!$E$5)*(Calc!$F$3:$F$22&lt;=k_n)*(Calc!$G$3:$G$22&gt;A692)*(Calc!$G$3:$G$22-A692)^2)</f>
        <v/>
      </c>
      <c r="F692">
        <f>SUMPRODUCT((Calc!$F$3:$F$22&gt;=LTP!$E$5)*(Calc!$F$3:$F$22&lt;=k_n)*(Calc!$G$3:$G$22&gt;A692)*(Calc!$G$3:$G$22-A692)*Calc!$G$3:$G$22)</f>
        <v/>
      </c>
      <c r="G692">
        <f>SUMPRODUCT((Calc!$F$3:$F$22&gt;=LTP!$E$5)*(Calc!$F$3:$F$22&lt;=k_n)*(Calc!$G$3:$G$22&gt;A692)*(Calc!$G$3:$G$22-A692)*Calc!$I$3:$I$22)</f>
        <v/>
      </c>
      <c r="H692">
        <f>IF($B$469&gt;0,F692-$C$469*D692/$B$469,0)</f>
        <v/>
      </c>
      <c r="I692">
        <f>IF($B$469&gt;0,E692-D692^2/$B$469,0)</f>
        <v/>
      </c>
      <c r="J692">
        <f>IF($B$469&gt;0,G692-D692*$D$469/$B$469,0)</f>
        <v/>
      </c>
      <c r="K692">
        <f>$H$469*I692-H692^2</f>
        <v/>
      </c>
      <c r="L692">
        <f>IF(ABS(K692)&gt;1E-12,($H$469*J692-H692*$I$469)/K692,0)</f>
        <v/>
      </c>
      <c r="M692">
        <f>IF(ABS(K692)&gt;1E-12,(I692*$I$469-H692*J692)/K692,0)</f>
        <v/>
      </c>
      <c r="N692">
        <f>$J$469-M692*$I$469-L692*J692</f>
        <v/>
      </c>
      <c r="O692">
        <f>IF(AND(C692,ABS(K692)&gt;1E-12,L692&gt;0),N692,1E+300)</f>
        <v/>
      </c>
    </row>
    <row r="693">
      <c r="A693">
        <f>$K$469+($L$469-$K$469)*221/400</f>
        <v/>
      </c>
      <c r="B693">
        <f>SUMPRODUCT((Calc!$F$3:$F$22&gt;=LTP!$E$5)*(Calc!$F$3:$F$22&lt;=k_n)*(Calc!$G$3:$G$22&lt;=A693))</f>
        <v/>
      </c>
      <c r="C693">
        <f>AND(B693&gt;=2,$B$469-B693&gt;=2)</f>
        <v/>
      </c>
      <c r="D693">
        <f>SUMPRODUCT((Calc!$F$3:$F$22&gt;=LTP!$E$5)*(Calc!$F$3:$F$22&lt;=k_n)*(Calc!$G$3:$G$22&gt;A693)*(Calc!$G$3:$G$22-A693))</f>
        <v/>
      </c>
      <c r="E693">
        <f>SUMPRODUCT((Calc!$F$3:$F$22&gt;=LTP!$E$5)*(Calc!$F$3:$F$22&lt;=k_n)*(Calc!$G$3:$G$22&gt;A693)*(Calc!$G$3:$G$22-A693)^2)</f>
        <v/>
      </c>
      <c r="F693">
        <f>SUMPRODUCT((Calc!$F$3:$F$22&gt;=LTP!$E$5)*(Calc!$F$3:$F$22&lt;=k_n)*(Calc!$G$3:$G$22&gt;A693)*(Calc!$G$3:$G$22-A693)*Calc!$G$3:$G$22)</f>
        <v/>
      </c>
      <c r="G693">
        <f>SUMPRODUCT((Calc!$F$3:$F$22&gt;=LTP!$E$5)*(Calc!$F$3:$F$22&lt;=k_n)*(Calc!$G$3:$G$22&gt;A693)*(Calc!$G$3:$G$22-A693)*Calc!$I$3:$I$22)</f>
        <v/>
      </c>
      <c r="H693">
        <f>IF($B$469&gt;0,F693-$C$469*D693/$B$469,0)</f>
        <v/>
      </c>
      <c r="I693">
        <f>IF($B$469&gt;0,E693-D693^2/$B$469,0)</f>
        <v/>
      </c>
      <c r="J693">
        <f>IF($B$469&gt;0,G693-D693*$D$469/$B$469,0)</f>
        <v/>
      </c>
      <c r="K693">
        <f>$H$469*I693-H693^2</f>
        <v/>
      </c>
      <c r="L693">
        <f>IF(ABS(K693)&gt;1E-12,($H$469*J693-H693*$I$469)/K693,0)</f>
        <v/>
      </c>
      <c r="M693">
        <f>IF(ABS(K693)&gt;1E-12,(I693*$I$469-H693*J693)/K693,0)</f>
        <v/>
      </c>
      <c r="N693">
        <f>$J$469-M693*$I$469-L693*J693</f>
        <v/>
      </c>
      <c r="O693">
        <f>IF(AND(C693,ABS(K693)&gt;1E-12,L693&gt;0),N693,1E+300)</f>
        <v/>
      </c>
    </row>
    <row r="694">
      <c r="A694">
        <f>$K$469+($L$469-$K$469)*222/400</f>
        <v/>
      </c>
      <c r="B694">
        <f>SUMPRODUCT((Calc!$F$3:$F$22&gt;=LTP!$E$5)*(Calc!$F$3:$F$22&lt;=k_n)*(Calc!$G$3:$G$22&lt;=A694))</f>
        <v/>
      </c>
      <c r="C694">
        <f>AND(B694&gt;=2,$B$469-B694&gt;=2)</f>
        <v/>
      </c>
      <c r="D694">
        <f>SUMPRODUCT((Calc!$F$3:$F$22&gt;=LTP!$E$5)*(Calc!$F$3:$F$22&lt;=k_n)*(Calc!$G$3:$G$22&gt;A694)*(Calc!$G$3:$G$22-A694))</f>
        <v/>
      </c>
      <c r="E694">
        <f>SUMPRODUCT((Calc!$F$3:$F$22&gt;=LTP!$E$5)*(Calc!$F$3:$F$22&lt;=k_n)*(Calc!$G$3:$G$22&gt;A694)*(Calc!$G$3:$G$22-A694)^2)</f>
        <v/>
      </c>
      <c r="F694">
        <f>SUMPRODUCT((Calc!$F$3:$F$22&gt;=LTP!$E$5)*(Calc!$F$3:$F$22&lt;=k_n)*(Calc!$G$3:$G$22&gt;A694)*(Calc!$G$3:$G$22-A694)*Calc!$G$3:$G$22)</f>
        <v/>
      </c>
      <c r="G694">
        <f>SUMPRODUCT((Calc!$F$3:$F$22&gt;=LTP!$E$5)*(Calc!$F$3:$F$22&lt;=k_n)*(Calc!$G$3:$G$22&gt;A694)*(Calc!$G$3:$G$22-A694)*Calc!$I$3:$I$22)</f>
        <v/>
      </c>
      <c r="H694">
        <f>IF($B$469&gt;0,F694-$C$469*D694/$B$469,0)</f>
        <v/>
      </c>
      <c r="I694">
        <f>IF($B$469&gt;0,E694-D694^2/$B$469,0)</f>
        <v/>
      </c>
      <c r="J694">
        <f>IF($B$469&gt;0,G694-D694*$D$469/$B$469,0)</f>
        <v/>
      </c>
      <c r="K694">
        <f>$H$469*I694-H694^2</f>
        <v/>
      </c>
      <c r="L694">
        <f>IF(ABS(K694)&gt;1E-12,($H$469*J694-H694*$I$469)/K694,0)</f>
        <v/>
      </c>
      <c r="M694">
        <f>IF(ABS(K694)&gt;1E-12,(I694*$I$469-H694*J694)/K694,0)</f>
        <v/>
      </c>
      <c r="N694">
        <f>$J$469-M694*$I$469-L694*J694</f>
        <v/>
      </c>
      <c r="O694">
        <f>IF(AND(C694,ABS(K694)&gt;1E-12,L694&gt;0),N694,1E+300)</f>
        <v/>
      </c>
    </row>
    <row r="695">
      <c r="A695">
        <f>$K$469+($L$469-$K$469)*223/400</f>
        <v/>
      </c>
      <c r="B695">
        <f>SUMPRODUCT((Calc!$F$3:$F$22&gt;=LTP!$E$5)*(Calc!$F$3:$F$22&lt;=k_n)*(Calc!$G$3:$G$22&lt;=A695))</f>
        <v/>
      </c>
      <c r="C695">
        <f>AND(B695&gt;=2,$B$469-B695&gt;=2)</f>
        <v/>
      </c>
      <c r="D695">
        <f>SUMPRODUCT((Calc!$F$3:$F$22&gt;=LTP!$E$5)*(Calc!$F$3:$F$22&lt;=k_n)*(Calc!$G$3:$G$22&gt;A695)*(Calc!$G$3:$G$22-A695))</f>
        <v/>
      </c>
      <c r="E695">
        <f>SUMPRODUCT((Calc!$F$3:$F$22&gt;=LTP!$E$5)*(Calc!$F$3:$F$22&lt;=k_n)*(Calc!$G$3:$G$22&gt;A695)*(Calc!$G$3:$G$22-A695)^2)</f>
        <v/>
      </c>
      <c r="F695">
        <f>SUMPRODUCT((Calc!$F$3:$F$22&gt;=LTP!$E$5)*(Calc!$F$3:$F$22&lt;=k_n)*(Calc!$G$3:$G$22&gt;A695)*(Calc!$G$3:$G$22-A695)*Calc!$G$3:$G$22)</f>
        <v/>
      </c>
      <c r="G695">
        <f>SUMPRODUCT((Calc!$F$3:$F$22&gt;=LTP!$E$5)*(Calc!$F$3:$F$22&lt;=k_n)*(Calc!$G$3:$G$22&gt;A695)*(Calc!$G$3:$G$22-A695)*Calc!$I$3:$I$22)</f>
        <v/>
      </c>
      <c r="H695">
        <f>IF($B$469&gt;0,F695-$C$469*D695/$B$469,0)</f>
        <v/>
      </c>
      <c r="I695">
        <f>IF($B$469&gt;0,E695-D695^2/$B$469,0)</f>
        <v/>
      </c>
      <c r="J695">
        <f>IF($B$469&gt;0,G695-D695*$D$469/$B$469,0)</f>
        <v/>
      </c>
      <c r="K695">
        <f>$H$469*I695-H695^2</f>
        <v/>
      </c>
      <c r="L695">
        <f>IF(ABS(K695)&gt;1E-12,($H$469*J695-H695*$I$469)/K695,0)</f>
        <v/>
      </c>
      <c r="M695">
        <f>IF(ABS(K695)&gt;1E-12,(I695*$I$469-H695*J695)/K695,0)</f>
        <v/>
      </c>
      <c r="N695">
        <f>$J$469-M695*$I$469-L695*J695</f>
        <v/>
      </c>
      <c r="O695">
        <f>IF(AND(C695,ABS(K695)&gt;1E-12,L695&gt;0),N695,1E+300)</f>
        <v/>
      </c>
    </row>
    <row r="696">
      <c r="A696">
        <f>$K$469+($L$469-$K$469)*224/400</f>
        <v/>
      </c>
      <c r="B696">
        <f>SUMPRODUCT((Calc!$F$3:$F$22&gt;=LTP!$E$5)*(Calc!$F$3:$F$22&lt;=k_n)*(Calc!$G$3:$G$22&lt;=A696))</f>
        <v/>
      </c>
      <c r="C696">
        <f>AND(B696&gt;=2,$B$469-B696&gt;=2)</f>
        <v/>
      </c>
      <c r="D696">
        <f>SUMPRODUCT((Calc!$F$3:$F$22&gt;=LTP!$E$5)*(Calc!$F$3:$F$22&lt;=k_n)*(Calc!$G$3:$G$22&gt;A696)*(Calc!$G$3:$G$22-A696))</f>
        <v/>
      </c>
      <c r="E696">
        <f>SUMPRODUCT((Calc!$F$3:$F$22&gt;=LTP!$E$5)*(Calc!$F$3:$F$22&lt;=k_n)*(Calc!$G$3:$G$22&gt;A696)*(Calc!$G$3:$G$22-A696)^2)</f>
        <v/>
      </c>
      <c r="F696">
        <f>SUMPRODUCT((Calc!$F$3:$F$22&gt;=LTP!$E$5)*(Calc!$F$3:$F$22&lt;=k_n)*(Calc!$G$3:$G$22&gt;A696)*(Calc!$G$3:$G$22-A696)*Calc!$G$3:$G$22)</f>
        <v/>
      </c>
      <c r="G696">
        <f>SUMPRODUCT((Calc!$F$3:$F$22&gt;=LTP!$E$5)*(Calc!$F$3:$F$22&lt;=k_n)*(Calc!$G$3:$G$22&gt;A696)*(Calc!$G$3:$G$22-A696)*Calc!$I$3:$I$22)</f>
        <v/>
      </c>
      <c r="H696">
        <f>IF($B$469&gt;0,F696-$C$469*D696/$B$469,0)</f>
        <v/>
      </c>
      <c r="I696">
        <f>IF($B$469&gt;0,E696-D696^2/$B$469,0)</f>
        <v/>
      </c>
      <c r="J696">
        <f>IF($B$469&gt;0,G696-D696*$D$469/$B$469,0)</f>
        <v/>
      </c>
      <c r="K696">
        <f>$H$469*I696-H696^2</f>
        <v/>
      </c>
      <c r="L696">
        <f>IF(ABS(K696)&gt;1E-12,($H$469*J696-H696*$I$469)/K696,0)</f>
        <v/>
      </c>
      <c r="M696">
        <f>IF(ABS(K696)&gt;1E-12,(I696*$I$469-H696*J696)/K696,0)</f>
        <v/>
      </c>
      <c r="N696">
        <f>$J$469-M696*$I$469-L696*J696</f>
        <v/>
      </c>
      <c r="O696">
        <f>IF(AND(C696,ABS(K696)&gt;1E-12,L696&gt;0),N696,1E+300)</f>
        <v/>
      </c>
    </row>
    <row r="697">
      <c r="A697">
        <f>$K$469+($L$469-$K$469)*225/400</f>
        <v/>
      </c>
      <c r="B697">
        <f>SUMPRODUCT((Calc!$F$3:$F$22&gt;=LTP!$E$5)*(Calc!$F$3:$F$22&lt;=k_n)*(Calc!$G$3:$G$22&lt;=A697))</f>
        <v/>
      </c>
      <c r="C697">
        <f>AND(B697&gt;=2,$B$469-B697&gt;=2)</f>
        <v/>
      </c>
      <c r="D697">
        <f>SUMPRODUCT((Calc!$F$3:$F$22&gt;=LTP!$E$5)*(Calc!$F$3:$F$22&lt;=k_n)*(Calc!$G$3:$G$22&gt;A697)*(Calc!$G$3:$G$22-A697))</f>
        <v/>
      </c>
      <c r="E697">
        <f>SUMPRODUCT((Calc!$F$3:$F$22&gt;=LTP!$E$5)*(Calc!$F$3:$F$22&lt;=k_n)*(Calc!$G$3:$G$22&gt;A697)*(Calc!$G$3:$G$22-A697)^2)</f>
        <v/>
      </c>
      <c r="F697">
        <f>SUMPRODUCT((Calc!$F$3:$F$22&gt;=LTP!$E$5)*(Calc!$F$3:$F$22&lt;=k_n)*(Calc!$G$3:$G$22&gt;A697)*(Calc!$G$3:$G$22-A697)*Calc!$G$3:$G$22)</f>
        <v/>
      </c>
      <c r="G697">
        <f>SUMPRODUCT((Calc!$F$3:$F$22&gt;=LTP!$E$5)*(Calc!$F$3:$F$22&lt;=k_n)*(Calc!$G$3:$G$22&gt;A697)*(Calc!$G$3:$G$22-A697)*Calc!$I$3:$I$22)</f>
        <v/>
      </c>
      <c r="H697">
        <f>IF($B$469&gt;0,F697-$C$469*D697/$B$469,0)</f>
        <v/>
      </c>
      <c r="I697">
        <f>IF($B$469&gt;0,E697-D697^2/$B$469,0)</f>
        <v/>
      </c>
      <c r="J697">
        <f>IF($B$469&gt;0,G697-D697*$D$469/$B$469,0)</f>
        <v/>
      </c>
      <c r="K697">
        <f>$H$469*I697-H697^2</f>
        <v/>
      </c>
      <c r="L697">
        <f>IF(ABS(K697)&gt;1E-12,($H$469*J697-H697*$I$469)/K697,0)</f>
        <v/>
      </c>
      <c r="M697">
        <f>IF(ABS(K697)&gt;1E-12,(I697*$I$469-H697*J697)/K697,0)</f>
        <v/>
      </c>
      <c r="N697">
        <f>$J$469-M697*$I$469-L697*J697</f>
        <v/>
      </c>
      <c r="O697">
        <f>IF(AND(C697,ABS(K697)&gt;1E-12,L697&gt;0),N697,1E+300)</f>
        <v/>
      </c>
    </row>
    <row r="698">
      <c r="A698">
        <f>$K$469+($L$469-$K$469)*226/400</f>
        <v/>
      </c>
      <c r="B698">
        <f>SUMPRODUCT((Calc!$F$3:$F$22&gt;=LTP!$E$5)*(Calc!$F$3:$F$22&lt;=k_n)*(Calc!$G$3:$G$22&lt;=A698))</f>
        <v/>
      </c>
      <c r="C698">
        <f>AND(B698&gt;=2,$B$469-B698&gt;=2)</f>
        <v/>
      </c>
      <c r="D698">
        <f>SUMPRODUCT((Calc!$F$3:$F$22&gt;=LTP!$E$5)*(Calc!$F$3:$F$22&lt;=k_n)*(Calc!$G$3:$G$22&gt;A698)*(Calc!$G$3:$G$22-A698))</f>
        <v/>
      </c>
      <c r="E698">
        <f>SUMPRODUCT((Calc!$F$3:$F$22&gt;=LTP!$E$5)*(Calc!$F$3:$F$22&lt;=k_n)*(Calc!$G$3:$G$22&gt;A698)*(Calc!$G$3:$G$22-A698)^2)</f>
        <v/>
      </c>
      <c r="F698">
        <f>SUMPRODUCT((Calc!$F$3:$F$22&gt;=LTP!$E$5)*(Calc!$F$3:$F$22&lt;=k_n)*(Calc!$G$3:$G$22&gt;A698)*(Calc!$G$3:$G$22-A698)*Calc!$G$3:$G$22)</f>
        <v/>
      </c>
      <c r="G698">
        <f>SUMPRODUCT((Calc!$F$3:$F$22&gt;=LTP!$E$5)*(Calc!$F$3:$F$22&lt;=k_n)*(Calc!$G$3:$G$22&gt;A698)*(Calc!$G$3:$G$22-A698)*Calc!$I$3:$I$22)</f>
        <v/>
      </c>
      <c r="H698">
        <f>IF($B$469&gt;0,F698-$C$469*D698/$B$469,0)</f>
        <v/>
      </c>
      <c r="I698">
        <f>IF($B$469&gt;0,E698-D698^2/$B$469,0)</f>
        <v/>
      </c>
      <c r="J698">
        <f>IF($B$469&gt;0,G698-D698*$D$469/$B$469,0)</f>
        <v/>
      </c>
      <c r="K698">
        <f>$H$469*I698-H698^2</f>
        <v/>
      </c>
      <c r="L698">
        <f>IF(ABS(K698)&gt;1E-12,($H$469*J698-H698*$I$469)/K698,0)</f>
        <v/>
      </c>
      <c r="M698">
        <f>IF(ABS(K698)&gt;1E-12,(I698*$I$469-H698*J698)/K698,0)</f>
        <v/>
      </c>
      <c r="N698">
        <f>$J$469-M698*$I$469-L698*J698</f>
        <v/>
      </c>
      <c r="O698">
        <f>IF(AND(C698,ABS(K698)&gt;1E-12,L698&gt;0),N698,1E+300)</f>
        <v/>
      </c>
    </row>
    <row r="699">
      <c r="A699">
        <f>$K$469+($L$469-$K$469)*227/400</f>
        <v/>
      </c>
      <c r="B699">
        <f>SUMPRODUCT((Calc!$F$3:$F$22&gt;=LTP!$E$5)*(Calc!$F$3:$F$22&lt;=k_n)*(Calc!$G$3:$G$22&lt;=A699))</f>
        <v/>
      </c>
      <c r="C699">
        <f>AND(B699&gt;=2,$B$469-B699&gt;=2)</f>
        <v/>
      </c>
      <c r="D699">
        <f>SUMPRODUCT((Calc!$F$3:$F$22&gt;=LTP!$E$5)*(Calc!$F$3:$F$22&lt;=k_n)*(Calc!$G$3:$G$22&gt;A699)*(Calc!$G$3:$G$22-A699))</f>
        <v/>
      </c>
      <c r="E699">
        <f>SUMPRODUCT((Calc!$F$3:$F$22&gt;=LTP!$E$5)*(Calc!$F$3:$F$22&lt;=k_n)*(Calc!$G$3:$G$22&gt;A699)*(Calc!$G$3:$G$22-A699)^2)</f>
        <v/>
      </c>
      <c r="F699">
        <f>SUMPRODUCT((Calc!$F$3:$F$22&gt;=LTP!$E$5)*(Calc!$F$3:$F$22&lt;=k_n)*(Calc!$G$3:$G$22&gt;A699)*(Calc!$G$3:$G$22-A699)*Calc!$G$3:$G$22)</f>
        <v/>
      </c>
      <c r="G699">
        <f>SUMPRODUCT((Calc!$F$3:$F$22&gt;=LTP!$E$5)*(Calc!$F$3:$F$22&lt;=k_n)*(Calc!$G$3:$G$22&gt;A699)*(Calc!$G$3:$G$22-A699)*Calc!$I$3:$I$22)</f>
        <v/>
      </c>
      <c r="H699">
        <f>IF($B$469&gt;0,F699-$C$469*D699/$B$469,0)</f>
        <v/>
      </c>
      <c r="I699">
        <f>IF($B$469&gt;0,E699-D699^2/$B$469,0)</f>
        <v/>
      </c>
      <c r="J699">
        <f>IF($B$469&gt;0,G699-D699*$D$469/$B$469,0)</f>
        <v/>
      </c>
      <c r="K699">
        <f>$H$469*I699-H699^2</f>
        <v/>
      </c>
      <c r="L699">
        <f>IF(ABS(K699)&gt;1E-12,($H$469*J699-H699*$I$469)/K699,0)</f>
        <v/>
      </c>
      <c r="M699">
        <f>IF(ABS(K699)&gt;1E-12,(I699*$I$469-H699*J699)/K699,0)</f>
        <v/>
      </c>
      <c r="N699">
        <f>$J$469-M699*$I$469-L699*J699</f>
        <v/>
      </c>
      <c r="O699">
        <f>IF(AND(C699,ABS(K699)&gt;1E-12,L699&gt;0),N699,1E+300)</f>
        <v/>
      </c>
    </row>
    <row r="700">
      <c r="A700">
        <f>$K$469+($L$469-$K$469)*228/400</f>
        <v/>
      </c>
      <c r="B700">
        <f>SUMPRODUCT((Calc!$F$3:$F$22&gt;=LTP!$E$5)*(Calc!$F$3:$F$22&lt;=k_n)*(Calc!$G$3:$G$22&lt;=A700))</f>
        <v/>
      </c>
      <c r="C700">
        <f>AND(B700&gt;=2,$B$469-B700&gt;=2)</f>
        <v/>
      </c>
      <c r="D700">
        <f>SUMPRODUCT((Calc!$F$3:$F$22&gt;=LTP!$E$5)*(Calc!$F$3:$F$22&lt;=k_n)*(Calc!$G$3:$G$22&gt;A700)*(Calc!$G$3:$G$22-A700))</f>
        <v/>
      </c>
      <c r="E700">
        <f>SUMPRODUCT((Calc!$F$3:$F$22&gt;=LTP!$E$5)*(Calc!$F$3:$F$22&lt;=k_n)*(Calc!$G$3:$G$22&gt;A700)*(Calc!$G$3:$G$22-A700)^2)</f>
        <v/>
      </c>
      <c r="F700">
        <f>SUMPRODUCT((Calc!$F$3:$F$22&gt;=LTP!$E$5)*(Calc!$F$3:$F$22&lt;=k_n)*(Calc!$G$3:$G$22&gt;A700)*(Calc!$G$3:$G$22-A700)*Calc!$G$3:$G$22)</f>
        <v/>
      </c>
      <c r="G700">
        <f>SUMPRODUCT((Calc!$F$3:$F$22&gt;=LTP!$E$5)*(Calc!$F$3:$F$22&lt;=k_n)*(Calc!$G$3:$G$22&gt;A700)*(Calc!$G$3:$G$22-A700)*Calc!$I$3:$I$22)</f>
        <v/>
      </c>
      <c r="H700">
        <f>IF($B$469&gt;0,F700-$C$469*D700/$B$469,0)</f>
        <v/>
      </c>
      <c r="I700">
        <f>IF($B$469&gt;0,E700-D700^2/$B$469,0)</f>
        <v/>
      </c>
      <c r="J700">
        <f>IF($B$469&gt;0,G700-D700*$D$469/$B$469,0)</f>
        <v/>
      </c>
      <c r="K700">
        <f>$H$469*I700-H700^2</f>
        <v/>
      </c>
      <c r="L700">
        <f>IF(ABS(K700)&gt;1E-12,($H$469*J700-H700*$I$469)/K700,0)</f>
        <v/>
      </c>
      <c r="M700">
        <f>IF(ABS(K700)&gt;1E-12,(I700*$I$469-H700*J700)/K700,0)</f>
        <v/>
      </c>
      <c r="N700">
        <f>$J$469-M700*$I$469-L700*J700</f>
        <v/>
      </c>
      <c r="O700">
        <f>IF(AND(C700,ABS(K700)&gt;1E-12,L700&gt;0),N700,1E+300)</f>
        <v/>
      </c>
    </row>
    <row r="701">
      <c r="A701">
        <f>$K$469+($L$469-$K$469)*229/400</f>
        <v/>
      </c>
      <c r="B701">
        <f>SUMPRODUCT((Calc!$F$3:$F$22&gt;=LTP!$E$5)*(Calc!$F$3:$F$22&lt;=k_n)*(Calc!$G$3:$G$22&lt;=A701))</f>
        <v/>
      </c>
      <c r="C701">
        <f>AND(B701&gt;=2,$B$469-B701&gt;=2)</f>
        <v/>
      </c>
      <c r="D701">
        <f>SUMPRODUCT((Calc!$F$3:$F$22&gt;=LTP!$E$5)*(Calc!$F$3:$F$22&lt;=k_n)*(Calc!$G$3:$G$22&gt;A701)*(Calc!$G$3:$G$22-A701))</f>
        <v/>
      </c>
      <c r="E701">
        <f>SUMPRODUCT((Calc!$F$3:$F$22&gt;=LTP!$E$5)*(Calc!$F$3:$F$22&lt;=k_n)*(Calc!$G$3:$G$22&gt;A701)*(Calc!$G$3:$G$22-A701)^2)</f>
        <v/>
      </c>
      <c r="F701">
        <f>SUMPRODUCT((Calc!$F$3:$F$22&gt;=LTP!$E$5)*(Calc!$F$3:$F$22&lt;=k_n)*(Calc!$G$3:$G$22&gt;A701)*(Calc!$G$3:$G$22-A701)*Calc!$G$3:$G$22)</f>
        <v/>
      </c>
      <c r="G701">
        <f>SUMPRODUCT((Calc!$F$3:$F$22&gt;=LTP!$E$5)*(Calc!$F$3:$F$22&lt;=k_n)*(Calc!$G$3:$G$22&gt;A701)*(Calc!$G$3:$G$22-A701)*Calc!$I$3:$I$22)</f>
        <v/>
      </c>
      <c r="H701">
        <f>IF($B$469&gt;0,F701-$C$469*D701/$B$469,0)</f>
        <v/>
      </c>
      <c r="I701">
        <f>IF($B$469&gt;0,E701-D701^2/$B$469,0)</f>
        <v/>
      </c>
      <c r="J701">
        <f>IF($B$469&gt;0,G701-D701*$D$469/$B$469,0)</f>
        <v/>
      </c>
      <c r="K701">
        <f>$H$469*I701-H701^2</f>
        <v/>
      </c>
      <c r="L701">
        <f>IF(ABS(K701)&gt;1E-12,($H$469*J701-H701*$I$469)/K701,0)</f>
        <v/>
      </c>
      <c r="M701">
        <f>IF(ABS(K701)&gt;1E-12,(I701*$I$469-H701*J701)/K701,0)</f>
        <v/>
      </c>
      <c r="N701">
        <f>$J$469-M701*$I$469-L701*J701</f>
        <v/>
      </c>
      <c r="O701">
        <f>IF(AND(C701,ABS(K701)&gt;1E-12,L701&gt;0),N701,1E+300)</f>
        <v/>
      </c>
    </row>
    <row r="702">
      <c r="A702">
        <f>$K$469+($L$469-$K$469)*230/400</f>
        <v/>
      </c>
      <c r="B702">
        <f>SUMPRODUCT((Calc!$F$3:$F$22&gt;=LTP!$E$5)*(Calc!$F$3:$F$22&lt;=k_n)*(Calc!$G$3:$G$22&lt;=A702))</f>
        <v/>
      </c>
      <c r="C702">
        <f>AND(B702&gt;=2,$B$469-B702&gt;=2)</f>
        <v/>
      </c>
      <c r="D702">
        <f>SUMPRODUCT((Calc!$F$3:$F$22&gt;=LTP!$E$5)*(Calc!$F$3:$F$22&lt;=k_n)*(Calc!$G$3:$G$22&gt;A702)*(Calc!$G$3:$G$22-A702))</f>
        <v/>
      </c>
      <c r="E702">
        <f>SUMPRODUCT((Calc!$F$3:$F$22&gt;=LTP!$E$5)*(Calc!$F$3:$F$22&lt;=k_n)*(Calc!$G$3:$G$22&gt;A702)*(Calc!$G$3:$G$22-A702)^2)</f>
        <v/>
      </c>
      <c r="F702">
        <f>SUMPRODUCT((Calc!$F$3:$F$22&gt;=LTP!$E$5)*(Calc!$F$3:$F$22&lt;=k_n)*(Calc!$G$3:$G$22&gt;A702)*(Calc!$G$3:$G$22-A702)*Calc!$G$3:$G$22)</f>
        <v/>
      </c>
      <c r="G702">
        <f>SUMPRODUCT((Calc!$F$3:$F$22&gt;=LTP!$E$5)*(Calc!$F$3:$F$22&lt;=k_n)*(Calc!$G$3:$G$22&gt;A702)*(Calc!$G$3:$G$22-A702)*Calc!$I$3:$I$22)</f>
        <v/>
      </c>
      <c r="H702">
        <f>IF($B$469&gt;0,F702-$C$469*D702/$B$469,0)</f>
        <v/>
      </c>
      <c r="I702">
        <f>IF($B$469&gt;0,E702-D702^2/$B$469,0)</f>
        <v/>
      </c>
      <c r="J702">
        <f>IF($B$469&gt;0,G702-D702*$D$469/$B$469,0)</f>
        <v/>
      </c>
      <c r="K702">
        <f>$H$469*I702-H702^2</f>
        <v/>
      </c>
      <c r="L702">
        <f>IF(ABS(K702)&gt;1E-12,($H$469*J702-H702*$I$469)/K702,0)</f>
        <v/>
      </c>
      <c r="M702">
        <f>IF(ABS(K702)&gt;1E-12,(I702*$I$469-H702*J702)/K702,0)</f>
        <v/>
      </c>
      <c r="N702">
        <f>$J$469-M702*$I$469-L702*J702</f>
        <v/>
      </c>
      <c r="O702">
        <f>IF(AND(C702,ABS(K702)&gt;1E-12,L702&gt;0),N702,1E+300)</f>
        <v/>
      </c>
    </row>
    <row r="703">
      <c r="A703">
        <f>$K$469+($L$469-$K$469)*231/400</f>
        <v/>
      </c>
      <c r="B703">
        <f>SUMPRODUCT((Calc!$F$3:$F$22&gt;=LTP!$E$5)*(Calc!$F$3:$F$22&lt;=k_n)*(Calc!$G$3:$G$22&lt;=A703))</f>
        <v/>
      </c>
      <c r="C703">
        <f>AND(B703&gt;=2,$B$469-B703&gt;=2)</f>
        <v/>
      </c>
      <c r="D703">
        <f>SUMPRODUCT((Calc!$F$3:$F$22&gt;=LTP!$E$5)*(Calc!$F$3:$F$22&lt;=k_n)*(Calc!$G$3:$G$22&gt;A703)*(Calc!$G$3:$G$22-A703))</f>
        <v/>
      </c>
      <c r="E703">
        <f>SUMPRODUCT((Calc!$F$3:$F$22&gt;=LTP!$E$5)*(Calc!$F$3:$F$22&lt;=k_n)*(Calc!$G$3:$G$22&gt;A703)*(Calc!$G$3:$G$22-A703)^2)</f>
        <v/>
      </c>
      <c r="F703">
        <f>SUMPRODUCT((Calc!$F$3:$F$22&gt;=LTP!$E$5)*(Calc!$F$3:$F$22&lt;=k_n)*(Calc!$G$3:$G$22&gt;A703)*(Calc!$G$3:$G$22-A703)*Calc!$G$3:$G$22)</f>
        <v/>
      </c>
      <c r="G703">
        <f>SUMPRODUCT((Calc!$F$3:$F$22&gt;=LTP!$E$5)*(Calc!$F$3:$F$22&lt;=k_n)*(Calc!$G$3:$G$22&gt;A703)*(Calc!$G$3:$G$22-A703)*Calc!$I$3:$I$22)</f>
        <v/>
      </c>
      <c r="H703">
        <f>IF($B$469&gt;0,F703-$C$469*D703/$B$469,0)</f>
        <v/>
      </c>
      <c r="I703">
        <f>IF($B$469&gt;0,E703-D703^2/$B$469,0)</f>
        <v/>
      </c>
      <c r="J703">
        <f>IF($B$469&gt;0,G703-D703*$D$469/$B$469,0)</f>
        <v/>
      </c>
      <c r="K703">
        <f>$H$469*I703-H703^2</f>
        <v/>
      </c>
      <c r="L703">
        <f>IF(ABS(K703)&gt;1E-12,($H$469*J703-H703*$I$469)/K703,0)</f>
        <v/>
      </c>
      <c r="M703">
        <f>IF(ABS(K703)&gt;1E-12,(I703*$I$469-H703*J703)/K703,0)</f>
        <v/>
      </c>
      <c r="N703">
        <f>$J$469-M703*$I$469-L703*J703</f>
        <v/>
      </c>
      <c r="O703">
        <f>IF(AND(C703,ABS(K703)&gt;1E-12,L703&gt;0),N703,1E+300)</f>
        <v/>
      </c>
    </row>
    <row r="704">
      <c r="A704">
        <f>$K$469+($L$469-$K$469)*232/400</f>
        <v/>
      </c>
      <c r="B704">
        <f>SUMPRODUCT((Calc!$F$3:$F$22&gt;=LTP!$E$5)*(Calc!$F$3:$F$22&lt;=k_n)*(Calc!$G$3:$G$22&lt;=A704))</f>
        <v/>
      </c>
      <c r="C704">
        <f>AND(B704&gt;=2,$B$469-B704&gt;=2)</f>
        <v/>
      </c>
      <c r="D704">
        <f>SUMPRODUCT((Calc!$F$3:$F$22&gt;=LTP!$E$5)*(Calc!$F$3:$F$22&lt;=k_n)*(Calc!$G$3:$G$22&gt;A704)*(Calc!$G$3:$G$22-A704))</f>
        <v/>
      </c>
      <c r="E704">
        <f>SUMPRODUCT((Calc!$F$3:$F$22&gt;=LTP!$E$5)*(Calc!$F$3:$F$22&lt;=k_n)*(Calc!$G$3:$G$22&gt;A704)*(Calc!$G$3:$G$22-A704)^2)</f>
        <v/>
      </c>
      <c r="F704">
        <f>SUMPRODUCT((Calc!$F$3:$F$22&gt;=LTP!$E$5)*(Calc!$F$3:$F$22&lt;=k_n)*(Calc!$G$3:$G$22&gt;A704)*(Calc!$G$3:$G$22-A704)*Calc!$G$3:$G$22)</f>
        <v/>
      </c>
      <c r="G704">
        <f>SUMPRODUCT((Calc!$F$3:$F$22&gt;=LTP!$E$5)*(Calc!$F$3:$F$22&lt;=k_n)*(Calc!$G$3:$G$22&gt;A704)*(Calc!$G$3:$G$22-A704)*Calc!$I$3:$I$22)</f>
        <v/>
      </c>
      <c r="H704">
        <f>IF($B$469&gt;0,F704-$C$469*D704/$B$469,0)</f>
        <v/>
      </c>
      <c r="I704">
        <f>IF($B$469&gt;0,E704-D704^2/$B$469,0)</f>
        <v/>
      </c>
      <c r="J704">
        <f>IF($B$469&gt;0,G704-D704*$D$469/$B$469,0)</f>
        <v/>
      </c>
      <c r="K704">
        <f>$H$469*I704-H704^2</f>
        <v/>
      </c>
      <c r="L704">
        <f>IF(ABS(K704)&gt;1E-12,($H$469*J704-H704*$I$469)/K704,0)</f>
        <v/>
      </c>
      <c r="M704">
        <f>IF(ABS(K704)&gt;1E-12,(I704*$I$469-H704*J704)/K704,0)</f>
        <v/>
      </c>
      <c r="N704">
        <f>$J$469-M704*$I$469-L704*J704</f>
        <v/>
      </c>
      <c r="O704">
        <f>IF(AND(C704,ABS(K704)&gt;1E-12,L704&gt;0),N704,1E+300)</f>
        <v/>
      </c>
    </row>
    <row r="705">
      <c r="A705">
        <f>$K$469+($L$469-$K$469)*233/400</f>
        <v/>
      </c>
      <c r="B705">
        <f>SUMPRODUCT((Calc!$F$3:$F$22&gt;=LTP!$E$5)*(Calc!$F$3:$F$22&lt;=k_n)*(Calc!$G$3:$G$22&lt;=A705))</f>
        <v/>
      </c>
      <c r="C705">
        <f>AND(B705&gt;=2,$B$469-B705&gt;=2)</f>
        <v/>
      </c>
      <c r="D705">
        <f>SUMPRODUCT((Calc!$F$3:$F$22&gt;=LTP!$E$5)*(Calc!$F$3:$F$22&lt;=k_n)*(Calc!$G$3:$G$22&gt;A705)*(Calc!$G$3:$G$22-A705))</f>
        <v/>
      </c>
      <c r="E705">
        <f>SUMPRODUCT((Calc!$F$3:$F$22&gt;=LTP!$E$5)*(Calc!$F$3:$F$22&lt;=k_n)*(Calc!$G$3:$G$22&gt;A705)*(Calc!$G$3:$G$22-A705)^2)</f>
        <v/>
      </c>
      <c r="F705">
        <f>SUMPRODUCT((Calc!$F$3:$F$22&gt;=LTP!$E$5)*(Calc!$F$3:$F$22&lt;=k_n)*(Calc!$G$3:$G$22&gt;A705)*(Calc!$G$3:$G$22-A705)*Calc!$G$3:$G$22)</f>
        <v/>
      </c>
      <c r="G705">
        <f>SUMPRODUCT((Calc!$F$3:$F$22&gt;=LTP!$E$5)*(Calc!$F$3:$F$22&lt;=k_n)*(Calc!$G$3:$G$22&gt;A705)*(Calc!$G$3:$G$22-A705)*Calc!$I$3:$I$22)</f>
        <v/>
      </c>
      <c r="H705">
        <f>IF($B$469&gt;0,F705-$C$469*D705/$B$469,0)</f>
        <v/>
      </c>
      <c r="I705">
        <f>IF($B$469&gt;0,E705-D705^2/$B$469,0)</f>
        <v/>
      </c>
      <c r="J705">
        <f>IF($B$469&gt;0,G705-D705*$D$469/$B$469,0)</f>
        <v/>
      </c>
      <c r="K705">
        <f>$H$469*I705-H705^2</f>
        <v/>
      </c>
      <c r="L705">
        <f>IF(ABS(K705)&gt;1E-12,($H$469*J705-H705*$I$469)/K705,0)</f>
        <v/>
      </c>
      <c r="M705">
        <f>IF(ABS(K705)&gt;1E-12,(I705*$I$469-H705*J705)/K705,0)</f>
        <v/>
      </c>
      <c r="N705">
        <f>$J$469-M705*$I$469-L705*J705</f>
        <v/>
      </c>
      <c r="O705">
        <f>IF(AND(C705,ABS(K705)&gt;1E-12,L705&gt;0),N705,1E+300)</f>
        <v/>
      </c>
    </row>
    <row r="706">
      <c r="A706">
        <f>$K$469+($L$469-$K$469)*234/400</f>
        <v/>
      </c>
      <c r="B706">
        <f>SUMPRODUCT((Calc!$F$3:$F$22&gt;=LTP!$E$5)*(Calc!$F$3:$F$22&lt;=k_n)*(Calc!$G$3:$G$22&lt;=A706))</f>
        <v/>
      </c>
      <c r="C706">
        <f>AND(B706&gt;=2,$B$469-B706&gt;=2)</f>
        <v/>
      </c>
      <c r="D706">
        <f>SUMPRODUCT((Calc!$F$3:$F$22&gt;=LTP!$E$5)*(Calc!$F$3:$F$22&lt;=k_n)*(Calc!$G$3:$G$22&gt;A706)*(Calc!$G$3:$G$22-A706))</f>
        <v/>
      </c>
      <c r="E706">
        <f>SUMPRODUCT((Calc!$F$3:$F$22&gt;=LTP!$E$5)*(Calc!$F$3:$F$22&lt;=k_n)*(Calc!$G$3:$G$22&gt;A706)*(Calc!$G$3:$G$22-A706)^2)</f>
        <v/>
      </c>
      <c r="F706">
        <f>SUMPRODUCT((Calc!$F$3:$F$22&gt;=LTP!$E$5)*(Calc!$F$3:$F$22&lt;=k_n)*(Calc!$G$3:$G$22&gt;A706)*(Calc!$G$3:$G$22-A706)*Calc!$G$3:$G$22)</f>
        <v/>
      </c>
      <c r="G706">
        <f>SUMPRODUCT((Calc!$F$3:$F$22&gt;=LTP!$E$5)*(Calc!$F$3:$F$22&lt;=k_n)*(Calc!$G$3:$G$22&gt;A706)*(Calc!$G$3:$G$22-A706)*Calc!$I$3:$I$22)</f>
        <v/>
      </c>
      <c r="H706">
        <f>IF($B$469&gt;0,F706-$C$469*D706/$B$469,0)</f>
        <v/>
      </c>
      <c r="I706">
        <f>IF($B$469&gt;0,E706-D706^2/$B$469,0)</f>
        <v/>
      </c>
      <c r="J706">
        <f>IF($B$469&gt;0,G706-D706*$D$469/$B$469,0)</f>
        <v/>
      </c>
      <c r="K706">
        <f>$H$469*I706-H706^2</f>
        <v/>
      </c>
      <c r="L706">
        <f>IF(ABS(K706)&gt;1E-12,($H$469*J706-H706*$I$469)/K706,0)</f>
        <v/>
      </c>
      <c r="M706">
        <f>IF(ABS(K706)&gt;1E-12,(I706*$I$469-H706*J706)/K706,0)</f>
        <v/>
      </c>
      <c r="N706">
        <f>$J$469-M706*$I$469-L706*J706</f>
        <v/>
      </c>
      <c r="O706">
        <f>IF(AND(C706,ABS(K706)&gt;1E-12,L706&gt;0),N706,1E+300)</f>
        <v/>
      </c>
    </row>
    <row r="707">
      <c r="A707">
        <f>$K$469+($L$469-$K$469)*235/400</f>
        <v/>
      </c>
      <c r="B707">
        <f>SUMPRODUCT((Calc!$F$3:$F$22&gt;=LTP!$E$5)*(Calc!$F$3:$F$22&lt;=k_n)*(Calc!$G$3:$G$22&lt;=A707))</f>
        <v/>
      </c>
      <c r="C707">
        <f>AND(B707&gt;=2,$B$469-B707&gt;=2)</f>
        <v/>
      </c>
      <c r="D707">
        <f>SUMPRODUCT((Calc!$F$3:$F$22&gt;=LTP!$E$5)*(Calc!$F$3:$F$22&lt;=k_n)*(Calc!$G$3:$G$22&gt;A707)*(Calc!$G$3:$G$22-A707))</f>
        <v/>
      </c>
      <c r="E707">
        <f>SUMPRODUCT((Calc!$F$3:$F$22&gt;=LTP!$E$5)*(Calc!$F$3:$F$22&lt;=k_n)*(Calc!$G$3:$G$22&gt;A707)*(Calc!$G$3:$G$22-A707)^2)</f>
        <v/>
      </c>
      <c r="F707">
        <f>SUMPRODUCT((Calc!$F$3:$F$22&gt;=LTP!$E$5)*(Calc!$F$3:$F$22&lt;=k_n)*(Calc!$G$3:$G$22&gt;A707)*(Calc!$G$3:$G$22-A707)*Calc!$G$3:$G$22)</f>
        <v/>
      </c>
      <c r="G707">
        <f>SUMPRODUCT((Calc!$F$3:$F$22&gt;=LTP!$E$5)*(Calc!$F$3:$F$22&lt;=k_n)*(Calc!$G$3:$G$22&gt;A707)*(Calc!$G$3:$G$22-A707)*Calc!$I$3:$I$22)</f>
        <v/>
      </c>
      <c r="H707">
        <f>IF($B$469&gt;0,F707-$C$469*D707/$B$469,0)</f>
        <v/>
      </c>
      <c r="I707">
        <f>IF($B$469&gt;0,E707-D707^2/$B$469,0)</f>
        <v/>
      </c>
      <c r="J707">
        <f>IF($B$469&gt;0,G707-D707*$D$469/$B$469,0)</f>
        <v/>
      </c>
      <c r="K707">
        <f>$H$469*I707-H707^2</f>
        <v/>
      </c>
      <c r="L707">
        <f>IF(ABS(K707)&gt;1E-12,($H$469*J707-H707*$I$469)/K707,0)</f>
        <v/>
      </c>
      <c r="M707">
        <f>IF(ABS(K707)&gt;1E-12,(I707*$I$469-H707*J707)/K707,0)</f>
        <v/>
      </c>
      <c r="N707">
        <f>$J$469-M707*$I$469-L707*J707</f>
        <v/>
      </c>
      <c r="O707">
        <f>IF(AND(C707,ABS(K707)&gt;1E-12,L707&gt;0),N707,1E+300)</f>
        <v/>
      </c>
    </row>
    <row r="708">
      <c r="A708">
        <f>$K$469+($L$469-$K$469)*236/400</f>
        <v/>
      </c>
      <c r="B708">
        <f>SUMPRODUCT((Calc!$F$3:$F$22&gt;=LTP!$E$5)*(Calc!$F$3:$F$22&lt;=k_n)*(Calc!$G$3:$G$22&lt;=A708))</f>
        <v/>
      </c>
      <c r="C708">
        <f>AND(B708&gt;=2,$B$469-B708&gt;=2)</f>
        <v/>
      </c>
      <c r="D708">
        <f>SUMPRODUCT((Calc!$F$3:$F$22&gt;=LTP!$E$5)*(Calc!$F$3:$F$22&lt;=k_n)*(Calc!$G$3:$G$22&gt;A708)*(Calc!$G$3:$G$22-A708))</f>
        <v/>
      </c>
      <c r="E708">
        <f>SUMPRODUCT((Calc!$F$3:$F$22&gt;=LTP!$E$5)*(Calc!$F$3:$F$22&lt;=k_n)*(Calc!$G$3:$G$22&gt;A708)*(Calc!$G$3:$G$22-A708)^2)</f>
        <v/>
      </c>
      <c r="F708">
        <f>SUMPRODUCT((Calc!$F$3:$F$22&gt;=LTP!$E$5)*(Calc!$F$3:$F$22&lt;=k_n)*(Calc!$G$3:$G$22&gt;A708)*(Calc!$G$3:$G$22-A708)*Calc!$G$3:$G$22)</f>
        <v/>
      </c>
      <c r="G708">
        <f>SUMPRODUCT((Calc!$F$3:$F$22&gt;=LTP!$E$5)*(Calc!$F$3:$F$22&lt;=k_n)*(Calc!$G$3:$G$22&gt;A708)*(Calc!$G$3:$G$22-A708)*Calc!$I$3:$I$22)</f>
        <v/>
      </c>
      <c r="H708">
        <f>IF($B$469&gt;0,F708-$C$469*D708/$B$469,0)</f>
        <v/>
      </c>
      <c r="I708">
        <f>IF($B$469&gt;0,E708-D708^2/$B$469,0)</f>
        <v/>
      </c>
      <c r="J708">
        <f>IF($B$469&gt;0,G708-D708*$D$469/$B$469,0)</f>
        <v/>
      </c>
      <c r="K708">
        <f>$H$469*I708-H708^2</f>
        <v/>
      </c>
      <c r="L708">
        <f>IF(ABS(K708)&gt;1E-12,($H$469*J708-H708*$I$469)/K708,0)</f>
        <v/>
      </c>
      <c r="M708">
        <f>IF(ABS(K708)&gt;1E-12,(I708*$I$469-H708*J708)/K708,0)</f>
        <v/>
      </c>
      <c r="N708">
        <f>$J$469-M708*$I$469-L708*J708</f>
        <v/>
      </c>
      <c r="O708">
        <f>IF(AND(C708,ABS(K708)&gt;1E-12,L708&gt;0),N708,1E+300)</f>
        <v/>
      </c>
    </row>
    <row r="709">
      <c r="A709">
        <f>$K$469+($L$469-$K$469)*237/400</f>
        <v/>
      </c>
      <c r="B709">
        <f>SUMPRODUCT((Calc!$F$3:$F$22&gt;=LTP!$E$5)*(Calc!$F$3:$F$22&lt;=k_n)*(Calc!$G$3:$G$22&lt;=A709))</f>
        <v/>
      </c>
      <c r="C709">
        <f>AND(B709&gt;=2,$B$469-B709&gt;=2)</f>
        <v/>
      </c>
      <c r="D709">
        <f>SUMPRODUCT((Calc!$F$3:$F$22&gt;=LTP!$E$5)*(Calc!$F$3:$F$22&lt;=k_n)*(Calc!$G$3:$G$22&gt;A709)*(Calc!$G$3:$G$22-A709))</f>
        <v/>
      </c>
      <c r="E709">
        <f>SUMPRODUCT((Calc!$F$3:$F$22&gt;=LTP!$E$5)*(Calc!$F$3:$F$22&lt;=k_n)*(Calc!$G$3:$G$22&gt;A709)*(Calc!$G$3:$G$22-A709)^2)</f>
        <v/>
      </c>
      <c r="F709">
        <f>SUMPRODUCT((Calc!$F$3:$F$22&gt;=LTP!$E$5)*(Calc!$F$3:$F$22&lt;=k_n)*(Calc!$G$3:$G$22&gt;A709)*(Calc!$G$3:$G$22-A709)*Calc!$G$3:$G$22)</f>
        <v/>
      </c>
      <c r="G709">
        <f>SUMPRODUCT((Calc!$F$3:$F$22&gt;=LTP!$E$5)*(Calc!$F$3:$F$22&lt;=k_n)*(Calc!$G$3:$G$22&gt;A709)*(Calc!$G$3:$G$22-A709)*Calc!$I$3:$I$22)</f>
        <v/>
      </c>
      <c r="H709">
        <f>IF($B$469&gt;0,F709-$C$469*D709/$B$469,0)</f>
        <v/>
      </c>
      <c r="I709">
        <f>IF($B$469&gt;0,E709-D709^2/$B$469,0)</f>
        <v/>
      </c>
      <c r="J709">
        <f>IF($B$469&gt;0,G709-D709*$D$469/$B$469,0)</f>
        <v/>
      </c>
      <c r="K709">
        <f>$H$469*I709-H709^2</f>
        <v/>
      </c>
      <c r="L709">
        <f>IF(ABS(K709)&gt;1E-12,($H$469*J709-H709*$I$469)/K709,0)</f>
        <v/>
      </c>
      <c r="M709">
        <f>IF(ABS(K709)&gt;1E-12,(I709*$I$469-H709*J709)/K709,0)</f>
        <v/>
      </c>
      <c r="N709">
        <f>$J$469-M709*$I$469-L709*J709</f>
        <v/>
      </c>
      <c r="O709">
        <f>IF(AND(C709,ABS(K709)&gt;1E-12,L709&gt;0),N709,1E+300)</f>
        <v/>
      </c>
    </row>
    <row r="710">
      <c r="A710">
        <f>$K$469+($L$469-$K$469)*238/400</f>
        <v/>
      </c>
      <c r="B710">
        <f>SUMPRODUCT((Calc!$F$3:$F$22&gt;=LTP!$E$5)*(Calc!$F$3:$F$22&lt;=k_n)*(Calc!$G$3:$G$22&lt;=A710))</f>
        <v/>
      </c>
      <c r="C710">
        <f>AND(B710&gt;=2,$B$469-B710&gt;=2)</f>
        <v/>
      </c>
      <c r="D710">
        <f>SUMPRODUCT((Calc!$F$3:$F$22&gt;=LTP!$E$5)*(Calc!$F$3:$F$22&lt;=k_n)*(Calc!$G$3:$G$22&gt;A710)*(Calc!$G$3:$G$22-A710))</f>
        <v/>
      </c>
      <c r="E710">
        <f>SUMPRODUCT((Calc!$F$3:$F$22&gt;=LTP!$E$5)*(Calc!$F$3:$F$22&lt;=k_n)*(Calc!$G$3:$G$22&gt;A710)*(Calc!$G$3:$G$22-A710)^2)</f>
        <v/>
      </c>
      <c r="F710">
        <f>SUMPRODUCT((Calc!$F$3:$F$22&gt;=LTP!$E$5)*(Calc!$F$3:$F$22&lt;=k_n)*(Calc!$G$3:$G$22&gt;A710)*(Calc!$G$3:$G$22-A710)*Calc!$G$3:$G$22)</f>
        <v/>
      </c>
      <c r="G710">
        <f>SUMPRODUCT((Calc!$F$3:$F$22&gt;=LTP!$E$5)*(Calc!$F$3:$F$22&lt;=k_n)*(Calc!$G$3:$G$22&gt;A710)*(Calc!$G$3:$G$22-A710)*Calc!$I$3:$I$22)</f>
        <v/>
      </c>
      <c r="H710">
        <f>IF($B$469&gt;0,F710-$C$469*D710/$B$469,0)</f>
        <v/>
      </c>
      <c r="I710">
        <f>IF($B$469&gt;0,E710-D710^2/$B$469,0)</f>
        <v/>
      </c>
      <c r="J710">
        <f>IF($B$469&gt;0,G710-D710*$D$469/$B$469,0)</f>
        <v/>
      </c>
      <c r="K710">
        <f>$H$469*I710-H710^2</f>
        <v/>
      </c>
      <c r="L710">
        <f>IF(ABS(K710)&gt;1E-12,($H$469*J710-H710*$I$469)/K710,0)</f>
        <v/>
      </c>
      <c r="M710">
        <f>IF(ABS(K710)&gt;1E-12,(I710*$I$469-H710*J710)/K710,0)</f>
        <v/>
      </c>
      <c r="N710">
        <f>$J$469-M710*$I$469-L710*J710</f>
        <v/>
      </c>
      <c r="O710">
        <f>IF(AND(C710,ABS(K710)&gt;1E-12,L710&gt;0),N710,1E+300)</f>
        <v/>
      </c>
    </row>
    <row r="711">
      <c r="A711">
        <f>$K$469+($L$469-$K$469)*239/400</f>
        <v/>
      </c>
      <c r="B711">
        <f>SUMPRODUCT((Calc!$F$3:$F$22&gt;=LTP!$E$5)*(Calc!$F$3:$F$22&lt;=k_n)*(Calc!$G$3:$G$22&lt;=A711))</f>
        <v/>
      </c>
      <c r="C711">
        <f>AND(B711&gt;=2,$B$469-B711&gt;=2)</f>
        <v/>
      </c>
      <c r="D711">
        <f>SUMPRODUCT((Calc!$F$3:$F$22&gt;=LTP!$E$5)*(Calc!$F$3:$F$22&lt;=k_n)*(Calc!$G$3:$G$22&gt;A711)*(Calc!$G$3:$G$22-A711))</f>
        <v/>
      </c>
      <c r="E711">
        <f>SUMPRODUCT((Calc!$F$3:$F$22&gt;=LTP!$E$5)*(Calc!$F$3:$F$22&lt;=k_n)*(Calc!$G$3:$G$22&gt;A711)*(Calc!$G$3:$G$22-A711)^2)</f>
        <v/>
      </c>
      <c r="F711">
        <f>SUMPRODUCT((Calc!$F$3:$F$22&gt;=LTP!$E$5)*(Calc!$F$3:$F$22&lt;=k_n)*(Calc!$G$3:$G$22&gt;A711)*(Calc!$G$3:$G$22-A711)*Calc!$G$3:$G$22)</f>
        <v/>
      </c>
      <c r="G711">
        <f>SUMPRODUCT((Calc!$F$3:$F$22&gt;=LTP!$E$5)*(Calc!$F$3:$F$22&lt;=k_n)*(Calc!$G$3:$G$22&gt;A711)*(Calc!$G$3:$G$22-A711)*Calc!$I$3:$I$22)</f>
        <v/>
      </c>
      <c r="H711">
        <f>IF($B$469&gt;0,F711-$C$469*D711/$B$469,0)</f>
        <v/>
      </c>
      <c r="I711">
        <f>IF($B$469&gt;0,E711-D711^2/$B$469,0)</f>
        <v/>
      </c>
      <c r="J711">
        <f>IF($B$469&gt;0,G711-D711*$D$469/$B$469,0)</f>
        <v/>
      </c>
      <c r="K711">
        <f>$H$469*I711-H711^2</f>
        <v/>
      </c>
      <c r="L711">
        <f>IF(ABS(K711)&gt;1E-12,($H$469*J711-H711*$I$469)/K711,0)</f>
        <v/>
      </c>
      <c r="M711">
        <f>IF(ABS(K711)&gt;1E-12,(I711*$I$469-H711*J711)/K711,0)</f>
        <v/>
      </c>
      <c r="N711">
        <f>$J$469-M711*$I$469-L711*J711</f>
        <v/>
      </c>
      <c r="O711">
        <f>IF(AND(C711,ABS(K711)&gt;1E-12,L711&gt;0),N711,1E+300)</f>
        <v/>
      </c>
    </row>
    <row r="712">
      <c r="A712">
        <f>$K$469+($L$469-$K$469)*240/400</f>
        <v/>
      </c>
      <c r="B712">
        <f>SUMPRODUCT((Calc!$F$3:$F$22&gt;=LTP!$E$5)*(Calc!$F$3:$F$22&lt;=k_n)*(Calc!$G$3:$G$22&lt;=A712))</f>
        <v/>
      </c>
      <c r="C712">
        <f>AND(B712&gt;=2,$B$469-B712&gt;=2)</f>
        <v/>
      </c>
      <c r="D712">
        <f>SUMPRODUCT((Calc!$F$3:$F$22&gt;=LTP!$E$5)*(Calc!$F$3:$F$22&lt;=k_n)*(Calc!$G$3:$G$22&gt;A712)*(Calc!$G$3:$G$22-A712))</f>
        <v/>
      </c>
      <c r="E712">
        <f>SUMPRODUCT((Calc!$F$3:$F$22&gt;=LTP!$E$5)*(Calc!$F$3:$F$22&lt;=k_n)*(Calc!$G$3:$G$22&gt;A712)*(Calc!$G$3:$G$22-A712)^2)</f>
        <v/>
      </c>
      <c r="F712">
        <f>SUMPRODUCT((Calc!$F$3:$F$22&gt;=LTP!$E$5)*(Calc!$F$3:$F$22&lt;=k_n)*(Calc!$G$3:$G$22&gt;A712)*(Calc!$G$3:$G$22-A712)*Calc!$G$3:$G$22)</f>
        <v/>
      </c>
      <c r="G712">
        <f>SUMPRODUCT((Calc!$F$3:$F$22&gt;=LTP!$E$5)*(Calc!$F$3:$F$22&lt;=k_n)*(Calc!$G$3:$G$22&gt;A712)*(Calc!$G$3:$G$22-A712)*Calc!$I$3:$I$22)</f>
        <v/>
      </c>
      <c r="H712">
        <f>IF($B$469&gt;0,F712-$C$469*D712/$B$469,0)</f>
        <v/>
      </c>
      <c r="I712">
        <f>IF($B$469&gt;0,E712-D712^2/$B$469,0)</f>
        <v/>
      </c>
      <c r="J712">
        <f>IF($B$469&gt;0,G712-D712*$D$469/$B$469,0)</f>
        <v/>
      </c>
      <c r="K712">
        <f>$H$469*I712-H712^2</f>
        <v/>
      </c>
      <c r="L712">
        <f>IF(ABS(K712)&gt;1E-12,($H$469*J712-H712*$I$469)/K712,0)</f>
        <v/>
      </c>
      <c r="M712">
        <f>IF(ABS(K712)&gt;1E-12,(I712*$I$469-H712*J712)/K712,0)</f>
        <v/>
      </c>
      <c r="N712">
        <f>$J$469-M712*$I$469-L712*J712</f>
        <v/>
      </c>
      <c r="O712">
        <f>IF(AND(C712,ABS(K712)&gt;1E-12,L712&gt;0),N712,1E+300)</f>
        <v/>
      </c>
    </row>
    <row r="713">
      <c r="A713">
        <f>$K$469+($L$469-$K$469)*241/400</f>
        <v/>
      </c>
      <c r="B713">
        <f>SUMPRODUCT((Calc!$F$3:$F$22&gt;=LTP!$E$5)*(Calc!$F$3:$F$22&lt;=k_n)*(Calc!$G$3:$G$22&lt;=A713))</f>
        <v/>
      </c>
      <c r="C713">
        <f>AND(B713&gt;=2,$B$469-B713&gt;=2)</f>
        <v/>
      </c>
      <c r="D713">
        <f>SUMPRODUCT((Calc!$F$3:$F$22&gt;=LTP!$E$5)*(Calc!$F$3:$F$22&lt;=k_n)*(Calc!$G$3:$G$22&gt;A713)*(Calc!$G$3:$G$22-A713))</f>
        <v/>
      </c>
      <c r="E713">
        <f>SUMPRODUCT((Calc!$F$3:$F$22&gt;=LTP!$E$5)*(Calc!$F$3:$F$22&lt;=k_n)*(Calc!$G$3:$G$22&gt;A713)*(Calc!$G$3:$G$22-A713)^2)</f>
        <v/>
      </c>
      <c r="F713">
        <f>SUMPRODUCT((Calc!$F$3:$F$22&gt;=LTP!$E$5)*(Calc!$F$3:$F$22&lt;=k_n)*(Calc!$G$3:$G$22&gt;A713)*(Calc!$G$3:$G$22-A713)*Calc!$G$3:$G$22)</f>
        <v/>
      </c>
      <c r="G713">
        <f>SUMPRODUCT((Calc!$F$3:$F$22&gt;=LTP!$E$5)*(Calc!$F$3:$F$22&lt;=k_n)*(Calc!$G$3:$G$22&gt;A713)*(Calc!$G$3:$G$22-A713)*Calc!$I$3:$I$22)</f>
        <v/>
      </c>
      <c r="H713">
        <f>IF($B$469&gt;0,F713-$C$469*D713/$B$469,0)</f>
        <v/>
      </c>
      <c r="I713">
        <f>IF($B$469&gt;0,E713-D713^2/$B$469,0)</f>
        <v/>
      </c>
      <c r="J713">
        <f>IF($B$469&gt;0,G713-D713*$D$469/$B$469,0)</f>
        <v/>
      </c>
      <c r="K713">
        <f>$H$469*I713-H713^2</f>
        <v/>
      </c>
      <c r="L713">
        <f>IF(ABS(K713)&gt;1E-12,($H$469*J713-H713*$I$469)/K713,0)</f>
        <v/>
      </c>
      <c r="M713">
        <f>IF(ABS(K713)&gt;1E-12,(I713*$I$469-H713*J713)/K713,0)</f>
        <v/>
      </c>
      <c r="N713">
        <f>$J$469-M713*$I$469-L713*J713</f>
        <v/>
      </c>
      <c r="O713">
        <f>IF(AND(C713,ABS(K713)&gt;1E-12,L713&gt;0),N713,1E+300)</f>
        <v/>
      </c>
    </row>
    <row r="714">
      <c r="A714">
        <f>$K$469+($L$469-$K$469)*242/400</f>
        <v/>
      </c>
      <c r="B714">
        <f>SUMPRODUCT((Calc!$F$3:$F$22&gt;=LTP!$E$5)*(Calc!$F$3:$F$22&lt;=k_n)*(Calc!$G$3:$G$22&lt;=A714))</f>
        <v/>
      </c>
      <c r="C714">
        <f>AND(B714&gt;=2,$B$469-B714&gt;=2)</f>
        <v/>
      </c>
      <c r="D714">
        <f>SUMPRODUCT((Calc!$F$3:$F$22&gt;=LTP!$E$5)*(Calc!$F$3:$F$22&lt;=k_n)*(Calc!$G$3:$G$22&gt;A714)*(Calc!$G$3:$G$22-A714))</f>
        <v/>
      </c>
      <c r="E714">
        <f>SUMPRODUCT((Calc!$F$3:$F$22&gt;=LTP!$E$5)*(Calc!$F$3:$F$22&lt;=k_n)*(Calc!$G$3:$G$22&gt;A714)*(Calc!$G$3:$G$22-A714)^2)</f>
        <v/>
      </c>
      <c r="F714">
        <f>SUMPRODUCT((Calc!$F$3:$F$22&gt;=LTP!$E$5)*(Calc!$F$3:$F$22&lt;=k_n)*(Calc!$G$3:$G$22&gt;A714)*(Calc!$G$3:$G$22-A714)*Calc!$G$3:$G$22)</f>
        <v/>
      </c>
      <c r="G714">
        <f>SUMPRODUCT((Calc!$F$3:$F$22&gt;=LTP!$E$5)*(Calc!$F$3:$F$22&lt;=k_n)*(Calc!$G$3:$G$22&gt;A714)*(Calc!$G$3:$G$22-A714)*Calc!$I$3:$I$22)</f>
        <v/>
      </c>
      <c r="H714">
        <f>IF($B$469&gt;0,F714-$C$469*D714/$B$469,0)</f>
        <v/>
      </c>
      <c r="I714">
        <f>IF($B$469&gt;0,E714-D714^2/$B$469,0)</f>
        <v/>
      </c>
      <c r="J714">
        <f>IF($B$469&gt;0,G714-D714*$D$469/$B$469,0)</f>
        <v/>
      </c>
      <c r="K714">
        <f>$H$469*I714-H714^2</f>
        <v/>
      </c>
      <c r="L714">
        <f>IF(ABS(K714)&gt;1E-12,($H$469*J714-H714*$I$469)/K714,0)</f>
        <v/>
      </c>
      <c r="M714">
        <f>IF(ABS(K714)&gt;1E-12,(I714*$I$469-H714*J714)/K714,0)</f>
        <v/>
      </c>
      <c r="N714">
        <f>$J$469-M714*$I$469-L714*J714</f>
        <v/>
      </c>
      <c r="O714">
        <f>IF(AND(C714,ABS(K714)&gt;1E-12,L714&gt;0),N714,1E+300)</f>
        <v/>
      </c>
    </row>
    <row r="715">
      <c r="A715">
        <f>$K$469+($L$469-$K$469)*243/400</f>
        <v/>
      </c>
      <c r="B715">
        <f>SUMPRODUCT((Calc!$F$3:$F$22&gt;=LTP!$E$5)*(Calc!$F$3:$F$22&lt;=k_n)*(Calc!$G$3:$G$22&lt;=A715))</f>
        <v/>
      </c>
      <c r="C715">
        <f>AND(B715&gt;=2,$B$469-B715&gt;=2)</f>
        <v/>
      </c>
      <c r="D715">
        <f>SUMPRODUCT((Calc!$F$3:$F$22&gt;=LTP!$E$5)*(Calc!$F$3:$F$22&lt;=k_n)*(Calc!$G$3:$G$22&gt;A715)*(Calc!$G$3:$G$22-A715))</f>
        <v/>
      </c>
      <c r="E715">
        <f>SUMPRODUCT((Calc!$F$3:$F$22&gt;=LTP!$E$5)*(Calc!$F$3:$F$22&lt;=k_n)*(Calc!$G$3:$G$22&gt;A715)*(Calc!$G$3:$G$22-A715)^2)</f>
        <v/>
      </c>
      <c r="F715">
        <f>SUMPRODUCT((Calc!$F$3:$F$22&gt;=LTP!$E$5)*(Calc!$F$3:$F$22&lt;=k_n)*(Calc!$G$3:$G$22&gt;A715)*(Calc!$G$3:$G$22-A715)*Calc!$G$3:$G$22)</f>
        <v/>
      </c>
      <c r="G715">
        <f>SUMPRODUCT((Calc!$F$3:$F$22&gt;=LTP!$E$5)*(Calc!$F$3:$F$22&lt;=k_n)*(Calc!$G$3:$G$22&gt;A715)*(Calc!$G$3:$G$22-A715)*Calc!$I$3:$I$22)</f>
        <v/>
      </c>
      <c r="H715">
        <f>IF($B$469&gt;0,F715-$C$469*D715/$B$469,0)</f>
        <v/>
      </c>
      <c r="I715">
        <f>IF($B$469&gt;0,E715-D715^2/$B$469,0)</f>
        <v/>
      </c>
      <c r="J715">
        <f>IF($B$469&gt;0,G715-D715*$D$469/$B$469,0)</f>
        <v/>
      </c>
      <c r="K715">
        <f>$H$469*I715-H715^2</f>
        <v/>
      </c>
      <c r="L715">
        <f>IF(ABS(K715)&gt;1E-12,($H$469*J715-H715*$I$469)/K715,0)</f>
        <v/>
      </c>
      <c r="M715">
        <f>IF(ABS(K715)&gt;1E-12,(I715*$I$469-H715*J715)/K715,0)</f>
        <v/>
      </c>
      <c r="N715">
        <f>$J$469-M715*$I$469-L715*J715</f>
        <v/>
      </c>
      <c r="O715">
        <f>IF(AND(C715,ABS(K715)&gt;1E-12,L715&gt;0),N715,1E+300)</f>
        <v/>
      </c>
    </row>
    <row r="716">
      <c r="A716">
        <f>$K$469+($L$469-$K$469)*244/400</f>
        <v/>
      </c>
      <c r="B716">
        <f>SUMPRODUCT((Calc!$F$3:$F$22&gt;=LTP!$E$5)*(Calc!$F$3:$F$22&lt;=k_n)*(Calc!$G$3:$G$22&lt;=A716))</f>
        <v/>
      </c>
      <c r="C716">
        <f>AND(B716&gt;=2,$B$469-B716&gt;=2)</f>
        <v/>
      </c>
      <c r="D716">
        <f>SUMPRODUCT((Calc!$F$3:$F$22&gt;=LTP!$E$5)*(Calc!$F$3:$F$22&lt;=k_n)*(Calc!$G$3:$G$22&gt;A716)*(Calc!$G$3:$G$22-A716))</f>
        <v/>
      </c>
      <c r="E716">
        <f>SUMPRODUCT((Calc!$F$3:$F$22&gt;=LTP!$E$5)*(Calc!$F$3:$F$22&lt;=k_n)*(Calc!$G$3:$G$22&gt;A716)*(Calc!$G$3:$G$22-A716)^2)</f>
        <v/>
      </c>
      <c r="F716">
        <f>SUMPRODUCT((Calc!$F$3:$F$22&gt;=LTP!$E$5)*(Calc!$F$3:$F$22&lt;=k_n)*(Calc!$G$3:$G$22&gt;A716)*(Calc!$G$3:$G$22-A716)*Calc!$G$3:$G$22)</f>
        <v/>
      </c>
      <c r="G716">
        <f>SUMPRODUCT((Calc!$F$3:$F$22&gt;=LTP!$E$5)*(Calc!$F$3:$F$22&lt;=k_n)*(Calc!$G$3:$G$22&gt;A716)*(Calc!$G$3:$G$22-A716)*Calc!$I$3:$I$22)</f>
        <v/>
      </c>
      <c r="H716">
        <f>IF($B$469&gt;0,F716-$C$469*D716/$B$469,0)</f>
        <v/>
      </c>
      <c r="I716">
        <f>IF($B$469&gt;0,E716-D716^2/$B$469,0)</f>
        <v/>
      </c>
      <c r="J716">
        <f>IF($B$469&gt;0,G716-D716*$D$469/$B$469,0)</f>
        <v/>
      </c>
      <c r="K716">
        <f>$H$469*I716-H716^2</f>
        <v/>
      </c>
      <c r="L716">
        <f>IF(ABS(K716)&gt;1E-12,($H$469*J716-H716*$I$469)/K716,0)</f>
        <v/>
      </c>
      <c r="M716">
        <f>IF(ABS(K716)&gt;1E-12,(I716*$I$469-H716*J716)/K716,0)</f>
        <v/>
      </c>
      <c r="N716">
        <f>$J$469-M716*$I$469-L716*J716</f>
        <v/>
      </c>
      <c r="O716">
        <f>IF(AND(C716,ABS(K716)&gt;1E-12,L716&gt;0),N716,1E+300)</f>
        <v/>
      </c>
    </row>
    <row r="717">
      <c r="A717">
        <f>$K$469+($L$469-$K$469)*245/400</f>
        <v/>
      </c>
      <c r="B717">
        <f>SUMPRODUCT((Calc!$F$3:$F$22&gt;=LTP!$E$5)*(Calc!$F$3:$F$22&lt;=k_n)*(Calc!$G$3:$G$22&lt;=A717))</f>
        <v/>
      </c>
      <c r="C717">
        <f>AND(B717&gt;=2,$B$469-B717&gt;=2)</f>
        <v/>
      </c>
      <c r="D717">
        <f>SUMPRODUCT((Calc!$F$3:$F$22&gt;=LTP!$E$5)*(Calc!$F$3:$F$22&lt;=k_n)*(Calc!$G$3:$G$22&gt;A717)*(Calc!$G$3:$G$22-A717))</f>
        <v/>
      </c>
      <c r="E717">
        <f>SUMPRODUCT((Calc!$F$3:$F$22&gt;=LTP!$E$5)*(Calc!$F$3:$F$22&lt;=k_n)*(Calc!$G$3:$G$22&gt;A717)*(Calc!$G$3:$G$22-A717)^2)</f>
        <v/>
      </c>
      <c r="F717">
        <f>SUMPRODUCT((Calc!$F$3:$F$22&gt;=LTP!$E$5)*(Calc!$F$3:$F$22&lt;=k_n)*(Calc!$G$3:$G$22&gt;A717)*(Calc!$G$3:$G$22-A717)*Calc!$G$3:$G$22)</f>
        <v/>
      </c>
      <c r="G717">
        <f>SUMPRODUCT((Calc!$F$3:$F$22&gt;=LTP!$E$5)*(Calc!$F$3:$F$22&lt;=k_n)*(Calc!$G$3:$G$22&gt;A717)*(Calc!$G$3:$G$22-A717)*Calc!$I$3:$I$22)</f>
        <v/>
      </c>
      <c r="H717">
        <f>IF($B$469&gt;0,F717-$C$469*D717/$B$469,0)</f>
        <v/>
      </c>
      <c r="I717">
        <f>IF($B$469&gt;0,E717-D717^2/$B$469,0)</f>
        <v/>
      </c>
      <c r="J717">
        <f>IF($B$469&gt;0,G717-D717*$D$469/$B$469,0)</f>
        <v/>
      </c>
      <c r="K717">
        <f>$H$469*I717-H717^2</f>
        <v/>
      </c>
      <c r="L717">
        <f>IF(ABS(K717)&gt;1E-12,($H$469*J717-H717*$I$469)/K717,0)</f>
        <v/>
      </c>
      <c r="M717">
        <f>IF(ABS(K717)&gt;1E-12,(I717*$I$469-H717*J717)/K717,0)</f>
        <v/>
      </c>
      <c r="N717">
        <f>$J$469-M717*$I$469-L717*J717</f>
        <v/>
      </c>
      <c r="O717">
        <f>IF(AND(C717,ABS(K717)&gt;1E-12,L717&gt;0),N717,1E+300)</f>
        <v/>
      </c>
    </row>
    <row r="718">
      <c r="A718">
        <f>$K$469+($L$469-$K$469)*246/400</f>
        <v/>
      </c>
      <c r="B718">
        <f>SUMPRODUCT((Calc!$F$3:$F$22&gt;=LTP!$E$5)*(Calc!$F$3:$F$22&lt;=k_n)*(Calc!$G$3:$G$22&lt;=A718))</f>
        <v/>
      </c>
      <c r="C718">
        <f>AND(B718&gt;=2,$B$469-B718&gt;=2)</f>
        <v/>
      </c>
      <c r="D718">
        <f>SUMPRODUCT((Calc!$F$3:$F$22&gt;=LTP!$E$5)*(Calc!$F$3:$F$22&lt;=k_n)*(Calc!$G$3:$G$22&gt;A718)*(Calc!$G$3:$G$22-A718))</f>
        <v/>
      </c>
      <c r="E718">
        <f>SUMPRODUCT((Calc!$F$3:$F$22&gt;=LTP!$E$5)*(Calc!$F$3:$F$22&lt;=k_n)*(Calc!$G$3:$G$22&gt;A718)*(Calc!$G$3:$G$22-A718)^2)</f>
        <v/>
      </c>
      <c r="F718">
        <f>SUMPRODUCT((Calc!$F$3:$F$22&gt;=LTP!$E$5)*(Calc!$F$3:$F$22&lt;=k_n)*(Calc!$G$3:$G$22&gt;A718)*(Calc!$G$3:$G$22-A718)*Calc!$G$3:$G$22)</f>
        <v/>
      </c>
      <c r="G718">
        <f>SUMPRODUCT((Calc!$F$3:$F$22&gt;=LTP!$E$5)*(Calc!$F$3:$F$22&lt;=k_n)*(Calc!$G$3:$G$22&gt;A718)*(Calc!$G$3:$G$22-A718)*Calc!$I$3:$I$22)</f>
        <v/>
      </c>
      <c r="H718">
        <f>IF($B$469&gt;0,F718-$C$469*D718/$B$469,0)</f>
        <v/>
      </c>
      <c r="I718">
        <f>IF($B$469&gt;0,E718-D718^2/$B$469,0)</f>
        <v/>
      </c>
      <c r="J718">
        <f>IF($B$469&gt;0,G718-D718*$D$469/$B$469,0)</f>
        <v/>
      </c>
      <c r="K718">
        <f>$H$469*I718-H718^2</f>
        <v/>
      </c>
      <c r="L718">
        <f>IF(ABS(K718)&gt;1E-12,($H$469*J718-H718*$I$469)/K718,0)</f>
        <v/>
      </c>
      <c r="M718">
        <f>IF(ABS(K718)&gt;1E-12,(I718*$I$469-H718*J718)/K718,0)</f>
        <v/>
      </c>
      <c r="N718">
        <f>$J$469-M718*$I$469-L718*J718</f>
        <v/>
      </c>
      <c r="O718">
        <f>IF(AND(C718,ABS(K718)&gt;1E-12,L718&gt;0),N718,1E+300)</f>
        <v/>
      </c>
    </row>
    <row r="719">
      <c r="A719">
        <f>$K$469+($L$469-$K$469)*247/400</f>
        <v/>
      </c>
      <c r="B719">
        <f>SUMPRODUCT((Calc!$F$3:$F$22&gt;=LTP!$E$5)*(Calc!$F$3:$F$22&lt;=k_n)*(Calc!$G$3:$G$22&lt;=A719))</f>
        <v/>
      </c>
      <c r="C719">
        <f>AND(B719&gt;=2,$B$469-B719&gt;=2)</f>
        <v/>
      </c>
      <c r="D719">
        <f>SUMPRODUCT((Calc!$F$3:$F$22&gt;=LTP!$E$5)*(Calc!$F$3:$F$22&lt;=k_n)*(Calc!$G$3:$G$22&gt;A719)*(Calc!$G$3:$G$22-A719))</f>
        <v/>
      </c>
      <c r="E719">
        <f>SUMPRODUCT((Calc!$F$3:$F$22&gt;=LTP!$E$5)*(Calc!$F$3:$F$22&lt;=k_n)*(Calc!$G$3:$G$22&gt;A719)*(Calc!$G$3:$G$22-A719)^2)</f>
        <v/>
      </c>
      <c r="F719">
        <f>SUMPRODUCT((Calc!$F$3:$F$22&gt;=LTP!$E$5)*(Calc!$F$3:$F$22&lt;=k_n)*(Calc!$G$3:$G$22&gt;A719)*(Calc!$G$3:$G$22-A719)*Calc!$G$3:$G$22)</f>
        <v/>
      </c>
      <c r="G719">
        <f>SUMPRODUCT((Calc!$F$3:$F$22&gt;=LTP!$E$5)*(Calc!$F$3:$F$22&lt;=k_n)*(Calc!$G$3:$G$22&gt;A719)*(Calc!$G$3:$G$22-A719)*Calc!$I$3:$I$22)</f>
        <v/>
      </c>
      <c r="H719">
        <f>IF($B$469&gt;0,F719-$C$469*D719/$B$469,0)</f>
        <v/>
      </c>
      <c r="I719">
        <f>IF($B$469&gt;0,E719-D719^2/$B$469,0)</f>
        <v/>
      </c>
      <c r="J719">
        <f>IF($B$469&gt;0,G719-D719*$D$469/$B$469,0)</f>
        <v/>
      </c>
      <c r="K719">
        <f>$H$469*I719-H719^2</f>
        <v/>
      </c>
      <c r="L719">
        <f>IF(ABS(K719)&gt;1E-12,($H$469*J719-H719*$I$469)/K719,0)</f>
        <v/>
      </c>
      <c r="M719">
        <f>IF(ABS(K719)&gt;1E-12,(I719*$I$469-H719*J719)/K719,0)</f>
        <v/>
      </c>
      <c r="N719">
        <f>$J$469-M719*$I$469-L719*J719</f>
        <v/>
      </c>
      <c r="O719">
        <f>IF(AND(C719,ABS(K719)&gt;1E-12,L719&gt;0),N719,1E+300)</f>
        <v/>
      </c>
    </row>
    <row r="720">
      <c r="A720">
        <f>$K$469+($L$469-$K$469)*248/400</f>
        <v/>
      </c>
      <c r="B720">
        <f>SUMPRODUCT((Calc!$F$3:$F$22&gt;=LTP!$E$5)*(Calc!$F$3:$F$22&lt;=k_n)*(Calc!$G$3:$G$22&lt;=A720))</f>
        <v/>
      </c>
      <c r="C720">
        <f>AND(B720&gt;=2,$B$469-B720&gt;=2)</f>
        <v/>
      </c>
      <c r="D720">
        <f>SUMPRODUCT((Calc!$F$3:$F$22&gt;=LTP!$E$5)*(Calc!$F$3:$F$22&lt;=k_n)*(Calc!$G$3:$G$22&gt;A720)*(Calc!$G$3:$G$22-A720))</f>
        <v/>
      </c>
      <c r="E720">
        <f>SUMPRODUCT((Calc!$F$3:$F$22&gt;=LTP!$E$5)*(Calc!$F$3:$F$22&lt;=k_n)*(Calc!$G$3:$G$22&gt;A720)*(Calc!$G$3:$G$22-A720)^2)</f>
        <v/>
      </c>
      <c r="F720">
        <f>SUMPRODUCT((Calc!$F$3:$F$22&gt;=LTP!$E$5)*(Calc!$F$3:$F$22&lt;=k_n)*(Calc!$G$3:$G$22&gt;A720)*(Calc!$G$3:$G$22-A720)*Calc!$G$3:$G$22)</f>
        <v/>
      </c>
      <c r="G720">
        <f>SUMPRODUCT((Calc!$F$3:$F$22&gt;=LTP!$E$5)*(Calc!$F$3:$F$22&lt;=k_n)*(Calc!$G$3:$G$22&gt;A720)*(Calc!$G$3:$G$22-A720)*Calc!$I$3:$I$22)</f>
        <v/>
      </c>
      <c r="H720">
        <f>IF($B$469&gt;0,F720-$C$469*D720/$B$469,0)</f>
        <v/>
      </c>
      <c r="I720">
        <f>IF($B$469&gt;0,E720-D720^2/$B$469,0)</f>
        <v/>
      </c>
      <c r="J720">
        <f>IF($B$469&gt;0,G720-D720*$D$469/$B$469,0)</f>
        <v/>
      </c>
      <c r="K720">
        <f>$H$469*I720-H720^2</f>
        <v/>
      </c>
      <c r="L720">
        <f>IF(ABS(K720)&gt;1E-12,($H$469*J720-H720*$I$469)/K720,0)</f>
        <v/>
      </c>
      <c r="M720">
        <f>IF(ABS(K720)&gt;1E-12,(I720*$I$469-H720*J720)/K720,0)</f>
        <v/>
      </c>
      <c r="N720">
        <f>$J$469-M720*$I$469-L720*J720</f>
        <v/>
      </c>
      <c r="O720">
        <f>IF(AND(C720,ABS(K720)&gt;1E-12,L720&gt;0),N720,1E+300)</f>
        <v/>
      </c>
    </row>
    <row r="721">
      <c r="A721">
        <f>$K$469+($L$469-$K$469)*249/400</f>
        <v/>
      </c>
      <c r="B721">
        <f>SUMPRODUCT((Calc!$F$3:$F$22&gt;=LTP!$E$5)*(Calc!$F$3:$F$22&lt;=k_n)*(Calc!$G$3:$G$22&lt;=A721))</f>
        <v/>
      </c>
      <c r="C721">
        <f>AND(B721&gt;=2,$B$469-B721&gt;=2)</f>
        <v/>
      </c>
      <c r="D721">
        <f>SUMPRODUCT((Calc!$F$3:$F$22&gt;=LTP!$E$5)*(Calc!$F$3:$F$22&lt;=k_n)*(Calc!$G$3:$G$22&gt;A721)*(Calc!$G$3:$G$22-A721))</f>
        <v/>
      </c>
      <c r="E721">
        <f>SUMPRODUCT((Calc!$F$3:$F$22&gt;=LTP!$E$5)*(Calc!$F$3:$F$22&lt;=k_n)*(Calc!$G$3:$G$22&gt;A721)*(Calc!$G$3:$G$22-A721)^2)</f>
        <v/>
      </c>
      <c r="F721">
        <f>SUMPRODUCT((Calc!$F$3:$F$22&gt;=LTP!$E$5)*(Calc!$F$3:$F$22&lt;=k_n)*(Calc!$G$3:$G$22&gt;A721)*(Calc!$G$3:$G$22-A721)*Calc!$G$3:$G$22)</f>
        <v/>
      </c>
      <c r="G721">
        <f>SUMPRODUCT((Calc!$F$3:$F$22&gt;=LTP!$E$5)*(Calc!$F$3:$F$22&lt;=k_n)*(Calc!$G$3:$G$22&gt;A721)*(Calc!$G$3:$G$22-A721)*Calc!$I$3:$I$22)</f>
        <v/>
      </c>
      <c r="H721">
        <f>IF($B$469&gt;0,F721-$C$469*D721/$B$469,0)</f>
        <v/>
      </c>
      <c r="I721">
        <f>IF($B$469&gt;0,E721-D721^2/$B$469,0)</f>
        <v/>
      </c>
      <c r="J721">
        <f>IF($B$469&gt;0,G721-D721*$D$469/$B$469,0)</f>
        <v/>
      </c>
      <c r="K721">
        <f>$H$469*I721-H721^2</f>
        <v/>
      </c>
      <c r="L721">
        <f>IF(ABS(K721)&gt;1E-12,($H$469*J721-H721*$I$469)/K721,0)</f>
        <v/>
      </c>
      <c r="M721">
        <f>IF(ABS(K721)&gt;1E-12,(I721*$I$469-H721*J721)/K721,0)</f>
        <v/>
      </c>
      <c r="N721">
        <f>$J$469-M721*$I$469-L721*J721</f>
        <v/>
      </c>
      <c r="O721">
        <f>IF(AND(C721,ABS(K721)&gt;1E-12,L721&gt;0),N721,1E+300)</f>
        <v/>
      </c>
    </row>
    <row r="722">
      <c r="A722">
        <f>$K$469+($L$469-$K$469)*250/400</f>
        <v/>
      </c>
      <c r="B722">
        <f>SUMPRODUCT((Calc!$F$3:$F$22&gt;=LTP!$E$5)*(Calc!$F$3:$F$22&lt;=k_n)*(Calc!$G$3:$G$22&lt;=A722))</f>
        <v/>
      </c>
      <c r="C722">
        <f>AND(B722&gt;=2,$B$469-B722&gt;=2)</f>
        <v/>
      </c>
      <c r="D722">
        <f>SUMPRODUCT((Calc!$F$3:$F$22&gt;=LTP!$E$5)*(Calc!$F$3:$F$22&lt;=k_n)*(Calc!$G$3:$G$22&gt;A722)*(Calc!$G$3:$G$22-A722))</f>
        <v/>
      </c>
      <c r="E722">
        <f>SUMPRODUCT((Calc!$F$3:$F$22&gt;=LTP!$E$5)*(Calc!$F$3:$F$22&lt;=k_n)*(Calc!$G$3:$G$22&gt;A722)*(Calc!$G$3:$G$22-A722)^2)</f>
        <v/>
      </c>
      <c r="F722">
        <f>SUMPRODUCT((Calc!$F$3:$F$22&gt;=LTP!$E$5)*(Calc!$F$3:$F$22&lt;=k_n)*(Calc!$G$3:$G$22&gt;A722)*(Calc!$G$3:$G$22-A722)*Calc!$G$3:$G$22)</f>
        <v/>
      </c>
      <c r="G722">
        <f>SUMPRODUCT((Calc!$F$3:$F$22&gt;=LTP!$E$5)*(Calc!$F$3:$F$22&lt;=k_n)*(Calc!$G$3:$G$22&gt;A722)*(Calc!$G$3:$G$22-A722)*Calc!$I$3:$I$22)</f>
        <v/>
      </c>
      <c r="H722">
        <f>IF($B$469&gt;0,F722-$C$469*D722/$B$469,0)</f>
        <v/>
      </c>
      <c r="I722">
        <f>IF($B$469&gt;0,E722-D722^2/$B$469,0)</f>
        <v/>
      </c>
      <c r="J722">
        <f>IF($B$469&gt;0,G722-D722*$D$469/$B$469,0)</f>
        <v/>
      </c>
      <c r="K722">
        <f>$H$469*I722-H722^2</f>
        <v/>
      </c>
      <c r="L722">
        <f>IF(ABS(K722)&gt;1E-12,($H$469*J722-H722*$I$469)/K722,0)</f>
        <v/>
      </c>
      <c r="M722">
        <f>IF(ABS(K722)&gt;1E-12,(I722*$I$469-H722*J722)/K722,0)</f>
        <v/>
      </c>
      <c r="N722">
        <f>$J$469-M722*$I$469-L722*J722</f>
        <v/>
      </c>
      <c r="O722">
        <f>IF(AND(C722,ABS(K722)&gt;1E-12,L722&gt;0),N722,1E+300)</f>
        <v/>
      </c>
    </row>
    <row r="723">
      <c r="A723">
        <f>$K$469+($L$469-$K$469)*251/400</f>
        <v/>
      </c>
      <c r="B723">
        <f>SUMPRODUCT((Calc!$F$3:$F$22&gt;=LTP!$E$5)*(Calc!$F$3:$F$22&lt;=k_n)*(Calc!$G$3:$G$22&lt;=A723))</f>
        <v/>
      </c>
      <c r="C723">
        <f>AND(B723&gt;=2,$B$469-B723&gt;=2)</f>
        <v/>
      </c>
      <c r="D723">
        <f>SUMPRODUCT((Calc!$F$3:$F$22&gt;=LTP!$E$5)*(Calc!$F$3:$F$22&lt;=k_n)*(Calc!$G$3:$G$22&gt;A723)*(Calc!$G$3:$G$22-A723))</f>
        <v/>
      </c>
      <c r="E723">
        <f>SUMPRODUCT((Calc!$F$3:$F$22&gt;=LTP!$E$5)*(Calc!$F$3:$F$22&lt;=k_n)*(Calc!$G$3:$G$22&gt;A723)*(Calc!$G$3:$G$22-A723)^2)</f>
        <v/>
      </c>
      <c r="F723">
        <f>SUMPRODUCT((Calc!$F$3:$F$22&gt;=LTP!$E$5)*(Calc!$F$3:$F$22&lt;=k_n)*(Calc!$G$3:$G$22&gt;A723)*(Calc!$G$3:$G$22-A723)*Calc!$G$3:$G$22)</f>
        <v/>
      </c>
      <c r="G723">
        <f>SUMPRODUCT((Calc!$F$3:$F$22&gt;=LTP!$E$5)*(Calc!$F$3:$F$22&lt;=k_n)*(Calc!$G$3:$G$22&gt;A723)*(Calc!$G$3:$G$22-A723)*Calc!$I$3:$I$22)</f>
        <v/>
      </c>
      <c r="H723">
        <f>IF($B$469&gt;0,F723-$C$469*D723/$B$469,0)</f>
        <v/>
      </c>
      <c r="I723">
        <f>IF($B$469&gt;0,E723-D723^2/$B$469,0)</f>
        <v/>
      </c>
      <c r="J723">
        <f>IF($B$469&gt;0,G723-D723*$D$469/$B$469,0)</f>
        <v/>
      </c>
      <c r="K723">
        <f>$H$469*I723-H723^2</f>
        <v/>
      </c>
      <c r="L723">
        <f>IF(ABS(K723)&gt;1E-12,($H$469*J723-H723*$I$469)/K723,0)</f>
        <v/>
      </c>
      <c r="M723">
        <f>IF(ABS(K723)&gt;1E-12,(I723*$I$469-H723*J723)/K723,0)</f>
        <v/>
      </c>
      <c r="N723">
        <f>$J$469-M723*$I$469-L723*J723</f>
        <v/>
      </c>
      <c r="O723">
        <f>IF(AND(C723,ABS(K723)&gt;1E-12,L723&gt;0),N723,1E+300)</f>
        <v/>
      </c>
    </row>
    <row r="724">
      <c r="A724">
        <f>$K$469+($L$469-$K$469)*252/400</f>
        <v/>
      </c>
      <c r="B724">
        <f>SUMPRODUCT((Calc!$F$3:$F$22&gt;=LTP!$E$5)*(Calc!$F$3:$F$22&lt;=k_n)*(Calc!$G$3:$G$22&lt;=A724))</f>
        <v/>
      </c>
      <c r="C724">
        <f>AND(B724&gt;=2,$B$469-B724&gt;=2)</f>
        <v/>
      </c>
      <c r="D724">
        <f>SUMPRODUCT((Calc!$F$3:$F$22&gt;=LTP!$E$5)*(Calc!$F$3:$F$22&lt;=k_n)*(Calc!$G$3:$G$22&gt;A724)*(Calc!$G$3:$G$22-A724))</f>
        <v/>
      </c>
      <c r="E724">
        <f>SUMPRODUCT((Calc!$F$3:$F$22&gt;=LTP!$E$5)*(Calc!$F$3:$F$22&lt;=k_n)*(Calc!$G$3:$G$22&gt;A724)*(Calc!$G$3:$G$22-A724)^2)</f>
        <v/>
      </c>
      <c r="F724">
        <f>SUMPRODUCT((Calc!$F$3:$F$22&gt;=LTP!$E$5)*(Calc!$F$3:$F$22&lt;=k_n)*(Calc!$G$3:$G$22&gt;A724)*(Calc!$G$3:$G$22-A724)*Calc!$G$3:$G$22)</f>
        <v/>
      </c>
      <c r="G724">
        <f>SUMPRODUCT((Calc!$F$3:$F$22&gt;=LTP!$E$5)*(Calc!$F$3:$F$22&lt;=k_n)*(Calc!$G$3:$G$22&gt;A724)*(Calc!$G$3:$G$22-A724)*Calc!$I$3:$I$22)</f>
        <v/>
      </c>
      <c r="H724">
        <f>IF($B$469&gt;0,F724-$C$469*D724/$B$469,0)</f>
        <v/>
      </c>
      <c r="I724">
        <f>IF($B$469&gt;0,E724-D724^2/$B$469,0)</f>
        <v/>
      </c>
      <c r="J724">
        <f>IF($B$469&gt;0,G724-D724*$D$469/$B$469,0)</f>
        <v/>
      </c>
      <c r="K724">
        <f>$H$469*I724-H724^2</f>
        <v/>
      </c>
      <c r="L724">
        <f>IF(ABS(K724)&gt;1E-12,($H$469*J724-H724*$I$469)/K724,0)</f>
        <v/>
      </c>
      <c r="M724">
        <f>IF(ABS(K724)&gt;1E-12,(I724*$I$469-H724*J724)/K724,0)</f>
        <v/>
      </c>
      <c r="N724">
        <f>$J$469-M724*$I$469-L724*J724</f>
        <v/>
      </c>
      <c r="O724">
        <f>IF(AND(C724,ABS(K724)&gt;1E-12,L724&gt;0),N724,1E+300)</f>
        <v/>
      </c>
    </row>
    <row r="725">
      <c r="A725">
        <f>$K$469+($L$469-$K$469)*253/400</f>
        <v/>
      </c>
      <c r="B725">
        <f>SUMPRODUCT((Calc!$F$3:$F$22&gt;=LTP!$E$5)*(Calc!$F$3:$F$22&lt;=k_n)*(Calc!$G$3:$G$22&lt;=A725))</f>
        <v/>
      </c>
      <c r="C725">
        <f>AND(B725&gt;=2,$B$469-B725&gt;=2)</f>
        <v/>
      </c>
      <c r="D725">
        <f>SUMPRODUCT((Calc!$F$3:$F$22&gt;=LTP!$E$5)*(Calc!$F$3:$F$22&lt;=k_n)*(Calc!$G$3:$G$22&gt;A725)*(Calc!$G$3:$G$22-A725))</f>
        <v/>
      </c>
      <c r="E725">
        <f>SUMPRODUCT((Calc!$F$3:$F$22&gt;=LTP!$E$5)*(Calc!$F$3:$F$22&lt;=k_n)*(Calc!$G$3:$G$22&gt;A725)*(Calc!$G$3:$G$22-A725)^2)</f>
        <v/>
      </c>
      <c r="F725">
        <f>SUMPRODUCT((Calc!$F$3:$F$22&gt;=LTP!$E$5)*(Calc!$F$3:$F$22&lt;=k_n)*(Calc!$G$3:$G$22&gt;A725)*(Calc!$G$3:$G$22-A725)*Calc!$G$3:$G$22)</f>
        <v/>
      </c>
      <c r="G725">
        <f>SUMPRODUCT((Calc!$F$3:$F$22&gt;=LTP!$E$5)*(Calc!$F$3:$F$22&lt;=k_n)*(Calc!$G$3:$G$22&gt;A725)*(Calc!$G$3:$G$22-A725)*Calc!$I$3:$I$22)</f>
        <v/>
      </c>
      <c r="H725">
        <f>IF($B$469&gt;0,F725-$C$469*D725/$B$469,0)</f>
        <v/>
      </c>
      <c r="I725">
        <f>IF($B$469&gt;0,E725-D725^2/$B$469,0)</f>
        <v/>
      </c>
      <c r="J725">
        <f>IF($B$469&gt;0,G725-D725*$D$469/$B$469,0)</f>
        <v/>
      </c>
      <c r="K725">
        <f>$H$469*I725-H725^2</f>
        <v/>
      </c>
      <c r="L725">
        <f>IF(ABS(K725)&gt;1E-12,($H$469*J725-H725*$I$469)/K725,0)</f>
        <v/>
      </c>
      <c r="M725">
        <f>IF(ABS(K725)&gt;1E-12,(I725*$I$469-H725*J725)/K725,0)</f>
        <v/>
      </c>
      <c r="N725">
        <f>$J$469-M725*$I$469-L725*J725</f>
        <v/>
      </c>
      <c r="O725">
        <f>IF(AND(C725,ABS(K725)&gt;1E-12,L725&gt;0),N725,1E+300)</f>
        <v/>
      </c>
    </row>
    <row r="726">
      <c r="A726">
        <f>$K$469+($L$469-$K$469)*254/400</f>
        <v/>
      </c>
      <c r="B726">
        <f>SUMPRODUCT((Calc!$F$3:$F$22&gt;=LTP!$E$5)*(Calc!$F$3:$F$22&lt;=k_n)*(Calc!$G$3:$G$22&lt;=A726))</f>
        <v/>
      </c>
      <c r="C726">
        <f>AND(B726&gt;=2,$B$469-B726&gt;=2)</f>
        <v/>
      </c>
      <c r="D726">
        <f>SUMPRODUCT((Calc!$F$3:$F$22&gt;=LTP!$E$5)*(Calc!$F$3:$F$22&lt;=k_n)*(Calc!$G$3:$G$22&gt;A726)*(Calc!$G$3:$G$22-A726))</f>
        <v/>
      </c>
      <c r="E726">
        <f>SUMPRODUCT((Calc!$F$3:$F$22&gt;=LTP!$E$5)*(Calc!$F$3:$F$22&lt;=k_n)*(Calc!$G$3:$G$22&gt;A726)*(Calc!$G$3:$G$22-A726)^2)</f>
        <v/>
      </c>
      <c r="F726">
        <f>SUMPRODUCT((Calc!$F$3:$F$22&gt;=LTP!$E$5)*(Calc!$F$3:$F$22&lt;=k_n)*(Calc!$G$3:$G$22&gt;A726)*(Calc!$G$3:$G$22-A726)*Calc!$G$3:$G$22)</f>
        <v/>
      </c>
      <c r="G726">
        <f>SUMPRODUCT((Calc!$F$3:$F$22&gt;=LTP!$E$5)*(Calc!$F$3:$F$22&lt;=k_n)*(Calc!$G$3:$G$22&gt;A726)*(Calc!$G$3:$G$22-A726)*Calc!$I$3:$I$22)</f>
        <v/>
      </c>
      <c r="H726">
        <f>IF($B$469&gt;0,F726-$C$469*D726/$B$469,0)</f>
        <v/>
      </c>
      <c r="I726">
        <f>IF($B$469&gt;0,E726-D726^2/$B$469,0)</f>
        <v/>
      </c>
      <c r="J726">
        <f>IF($B$469&gt;0,G726-D726*$D$469/$B$469,0)</f>
        <v/>
      </c>
      <c r="K726">
        <f>$H$469*I726-H726^2</f>
        <v/>
      </c>
      <c r="L726">
        <f>IF(ABS(K726)&gt;1E-12,($H$469*J726-H726*$I$469)/K726,0)</f>
        <v/>
      </c>
      <c r="M726">
        <f>IF(ABS(K726)&gt;1E-12,(I726*$I$469-H726*J726)/K726,0)</f>
        <v/>
      </c>
      <c r="N726">
        <f>$J$469-M726*$I$469-L726*J726</f>
        <v/>
      </c>
      <c r="O726">
        <f>IF(AND(C726,ABS(K726)&gt;1E-12,L726&gt;0),N726,1E+300)</f>
        <v/>
      </c>
    </row>
    <row r="727">
      <c r="A727">
        <f>$K$469+($L$469-$K$469)*255/400</f>
        <v/>
      </c>
      <c r="B727">
        <f>SUMPRODUCT((Calc!$F$3:$F$22&gt;=LTP!$E$5)*(Calc!$F$3:$F$22&lt;=k_n)*(Calc!$G$3:$G$22&lt;=A727))</f>
        <v/>
      </c>
      <c r="C727">
        <f>AND(B727&gt;=2,$B$469-B727&gt;=2)</f>
        <v/>
      </c>
      <c r="D727">
        <f>SUMPRODUCT((Calc!$F$3:$F$22&gt;=LTP!$E$5)*(Calc!$F$3:$F$22&lt;=k_n)*(Calc!$G$3:$G$22&gt;A727)*(Calc!$G$3:$G$22-A727))</f>
        <v/>
      </c>
      <c r="E727">
        <f>SUMPRODUCT((Calc!$F$3:$F$22&gt;=LTP!$E$5)*(Calc!$F$3:$F$22&lt;=k_n)*(Calc!$G$3:$G$22&gt;A727)*(Calc!$G$3:$G$22-A727)^2)</f>
        <v/>
      </c>
      <c r="F727">
        <f>SUMPRODUCT((Calc!$F$3:$F$22&gt;=LTP!$E$5)*(Calc!$F$3:$F$22&lt;=k_n)*(Calc!$G$3:$G$22&gt;A727)*(Calc!$G$3:$G$22-A727)*Calc!$G$3:$G$22)</f>
        <v/>
      </c>
      <c r="G727">
        <f>SUMPRODUCT((Calc!$F$3:$F$22&gt;=LTP!$E$5)*(Calc!$F$3:$F$22&lt;=k_n)*(Calc!$G$3:$G$22&gt;A727)*(Calc!$G$3:$G$22-A727)*Calc!$I$3:$I$22)</f>
        <v/>
      </c>
      <c r="H727">
        <f>IF($B$469&gt;0,F727-$C$469*D727/$B$469,0)</f>
        <v/>
      </c>
      <c r="I727">
        <f>IF($B$469&gt;0,E727-D727^2/$B$469,0)</f>
        <v/>
      </c>
      <c r="J727">
        <f>IF($B$469&gt;0,G727-D727*$D$469/$B$469,0)</f>
        <v/>
      </c>
      <c r="K727">
        <f>$H$469*I727-H727^2</f>
        <v/>
      </c>
      <c r="L727">
        <f>IF(ABS(K727)&gt;1E-12,($H$469*J727-H727*$I$469)/K727,0)</f>
        <v/>
      </c>
      <c r="M727">
        <f>IF(ABS(K727)&gt;1E-12,(I727*$I$469-H727*J727)/K727,0)</f>
        <v/>
      </c>
      <c r="N727">
        <f>$J$469-M727*$I$469-L727*J727</f>
        <v/>
      </c>
      <c r="O727">
        <f>IF(AND(C727,ABS(K727)&gt;1E-12,L727&gt;0),N727,1E+300)</f>
        <v/>
      </c>
    </row>
    <row r="728">
      <c r="A728">
        <f>$K$469+($L$469-$K$469)*256/400</f>
        <v/>
      </c>
      <c r="B728">
        <f>SUMPRODUCT((Calc!$F$3:$F$22&gt;=LTP!$E$5)*(Calc!$F$3:$F$22&lt;=k_n)*(Calc!$G$3:$G$22&lt;=A728))</f>
        <v/>
      </c>
      <c r="C728">
        <f>AND(B728&gt;=2,$B$469-B728&gt;=2)</f>
        <v/>
      </c>
      <c r="D728">
        <f>SUMPRODUCT((Calc!$F$3:$F$22&gt;=LTP!$E$5)*(Calc!$F$3:$F$22&lt;=k_n)*(Calc!$G$3:$G$22&gt;A728)*(Calc!$G$3:$G$22-A728))</f>
        <v/>
      </c>
      <c r="E728">
        <f>SUMPRODUCT((Calc!$F$3:$F$22&gt;=LTP!$E$5)*(Calc!$F$3:$F$22&lt;=k_n)*(Calc!$G$3:$G$22&gt;A728)*(Calc!$G$3:$G$22-A728)^2)</f>
        <v/>
      </c>
      <c r="F728">
        <f>SUMPRODUCT((Calc!$F$3:$F$22&gt;=LTP!$E$5)*(Calc!$F$3:$F$22&lt;=k_n)*(Calc!$G$3:$G$22&gt;A728)*(Calc!$G$3:$G$22-A728)*Calc!$G$3:$G$22)</f>
        <v/>
      </c>
      <c r="G728">
        <f>SUMPRODUCT((Calc!$F$3:$F$22&gt;=LTP!$E$5)*(Calc!$F$3:$F$22&lt;=k_n)*(Calc!$G$3:$G$22&gt;A728)*(Calc!$G$3:$G$22-A728)*Calc!$I$3:$I$22)</f>
        <v/>
      </c>
      <c r="H728">
        <f>IF($B$469&gt;0,F728-$C$469*D728/$B$469,0)</f>
        <v/>
      </c>
      <c r="I728">
        <f>IF($B$469&gt;0,E728-D728^2/$B$469,0)</f>
        <v/>
      </c>
      <c r="J728">
        <f>IF($B$469&gt;0,G728-D728*$D$469/$B$469,0)</f>
        <v/>
      </c>
      <c r="K728">
        <f>$H$469*I728-H728^2</f>
        <v/>
      </c>
      <c r="L728">
        <f>IF(ABS(K728)&gt;1E-12,($H$469*J728-H728*$I$469)/K728,0)</f>
        <v/>
      </c>
      <c r="M728">
        <f>IF(ABS(K728)&gt;1E-12,(I728*$I$469-H728*J728)/K728,0)</f>
        <v/>
      </c>
      <c r="N728">
        <f>$J$469-M728*$I$469-L728*J728</f>
        <v/>
      </c>
      <c r="O728">
        <f>IF(AND(C728,ABS(K728)&gt;1E-12,L728&gt;0),N728,1E+300)</f>
        <v/>
      </c>
    </row>
    <row r="729">
      <c r="A729">
        <f>$K$469+($L$469-$K$469)*257/400</f>
        <v/>
      </c>
      <c r="B729">
        <f>SUMPRODUCT((Calc!$F$3:$F$22&gt;=LTP!$E$5)*(Calc!$F$3:$F$22&lt;=k_n)*(Calc!$G$3:$G$22&lt;=A729))</f>
        <v/>
      </c>
      <c r="C729">
        <f>AND(B729&gt;=2,$B$469-B729&gt;=2)</f>
        <v/>
      </c>
      <c r="D729">
        <f>SUMPRODUCT((Calc!$F$3:$F$22&gt;=LTP!$E$5)*(Calc!$F$3:$F$22&lt;=k_n)*(Calc!$G$3:$G$22&gt;A729)*(Calc!$G$3:$G$22-A729))</f>
        <v/>
      </c>
      <c r="E729">
        <f>SUMPRODUCT((Calc!$F$3:$F$22&gt;=LTP!$E$5)*(Calc!$F$3:$F$22&lt;=k_n)*(Calc!$G$3:$G$22&gt;A729)*(Calc!$G$3:$G$22-A729)^2)</f>
        <v/>
      </c>
      <c r="F729">
        <f>SUMPRODUCT((Calc!$F$3:$F$22&gt;=LTP!$E$5)*(Calc!$F$3:$F$22&lt;=k_n)*(Calc!$G$3:$G$22&gt;A729)*(Calc!$G$3:$G$22-A729)*Calc!$G$3:$G$22)</f>
        <v/>
      </c>
      <c r="G729">
        <f>SUMPRODUCT((Calc!$F$3:$F$22&gt;=LTP!$E$5)*(Calc!$F$3:$F$22&lt;=k_n)*(Calc!$G$3:$G$22&gt;A729)*(Calc!$G$3:$G$22-A729)*Calc!$I$3:$I$22)</f>
        <v/>
      </c>
      <c r="H729">
        <f>IF($B$469&gt;0,F729-$C$469*D729/$B$469,0)</f>
        <v/>
      </c>
      <c r="I729">
        <f>IF($B$469&gt;0,E729-D729^2/$B$469,0)</f>
        <v/>
      </c>
      <c r="J729">
        <f>IF($B$469&gt;0,G729-D729*$D$469/$B$469,0)</f>
        <v/>
      </c>
      <c r="K729">
        <f>$H$469*I729-H729^2</f>
        <v/>
      </c>
      <c r="L729">
        <f>IF(ABS(K729)&gt;1E-12,($H$469*J729-H729*$I$469)/K729,0)</f>
        <v/>
      </c>
      <c r="M729">
        <f>IF(ABS(K729)&gt;1E-12,(I729*$I$469-H729*J729)/K729,0)</f>
        <v/>
      </c>
      <c r="N729">
        <f>$J$469-M729*$I$469-L729*J729</f>
        <v/>
      </c>
      <c r="O729">
        <f>IF(AND(C729,ABS(K729)&gt;1E-12,L729&gt;0),N729,1E+300)</f>
        <v/>
      </c>
    </row>
    <row r="730">
      <c r="A730">
        <f>$K$469+($L$469-$K$469)*258/400</f>
        <v/>
      </c>
      <c r="B730">
        <f>SUMPRODUCT((Calc!$F$3:$F$22&gt;=LTP!$E$5)*(Calc!$F$3:$F$22&lt;=k_n)*(Calc!$G$3:$G$22&lt;=A730))</f>
        <v/>
      </c>
      <c r="C730">
        <f>AND(B730&gt;=2,$B$469-B730&gt;=2)</f>
        <v/>
      </c>
      <c r="D730">
        <f>SUMPRODUCT((Calc!$F$3:$F$22&gt;=LTP!$E$5)*(Calc!$F$3:$F$22&lt;=k_n)*(Calc!$G$3:$G$22&gt;A730)*(Calc!$G$3:$G$22-A730))</f>
        <v/>
      </c>
      <c r="E730">
        <f>SUMPRODUCT((Calc!$F$3:$F$22&gt;=LTP!$E$5)*(Calc!$F$3:$F$22&lt;=k_n)*(Calc!$G$3:$G$22&gt;A730)*(Calc!$G$3:$G$22-A730)^2)</f>
        <v/>
      </c>
      <c r="F730">
        <f>SUMPRODUCT((Calc!$F$3:$F$22&gt;=LTP!$E$5)*(Calc!$F$3:$F$22&lt;=k_n)*(Calc!$G$3:$G$22&gt;A730)*(Calc!$G$3:$G$22-A730)*Calc!$G$3:$G$22)</f>
        <v/>
      </c>
      <c r="G730">
        <f>SUMPRODUCT((Calc!$F$3:$F$22&gt;=LTP!$E$5)*(Calc!$F$3:$F$22&lt;=k_n)*(Calc!$G$3:$G$22&gt;A730)*(Calc!$G$3:$G$22-A730)*Calc!$I$3:$I$22)</f>
        <v/>
      </c>
      <c r="H730">
        <f>IF($B$469&gt;0,F730-$C$469*D730/$B$469,0)</f>
        <v/>
      </c>
      <c r="I730">
        <f>IF($B$469&gt;0,E730-D730^2/$B$469,0)</f>
        <v/>
      </c>
      <c r="J730">
        <f>IF($B$469&gt;0,G730-D730*$D$469/$B$469,0)</f>
        <v/>
      </c>
      <c r="K730">
        <f>$H$469*I730-H730^2</f>
        <v/>
      </c>
      <c r="L730">
        <f>IF(ABS(K730)&gt;1E-12,($H$469*J730-H730*$I$469)/K730,0)</f>
        <v/>
      </c>
      <c r="M730">
        <f>IF(ABS(K730)&gt;1E-12,(I730*$I$469-H730*J730)/K730,0)</f>
        <v/>
      </c>
      <c r="N730">
        <f>$J$469-M730*$I$469-L730*J730</f>
        <v/>
      </c>
      <c r="O730">
        <f>IF(AND(C730,ABS(K730)&gt;1E-12,L730&gt;0),N730,1E+300)</f>
        <v/>
      </c>
    </row>
    <row r="731">
      <c r="A731">
        <f>$K$469+($L$469-$K$469)*259/400</f>
        <v/>
      </c>
      <c r="B731">
        <f>SUMPRODUCT((Calc!$F$3:$F$22&gt;=LTP!$E$5)*(Calc!$F$3:$F$22&lt;=k_n)*(Calc!$G$3:$G$22&lt;=A731))</f>
        <v/>
      </c>
      <c r="C731">
        <f>AND(B731&gt;=2,$B$469-B731&gt;=2)</f>
        <v/>
      </c>
      <c r="D731">
        <f>SUMPRODUCT((Calc!$F$3:$F$22&gt;=LTP!$E$5)*(Calc!$F$3:$F$22&lt;=k_n)*(Calc!$G$3:$G$22&gt;A731)*(Calc!$G$3:$G$22-A731))</f>
        <v/>
      </c>
      <c r="E731">
        <f>SUMPRODUCT((Calc!$F$3:$F$22&gt;=LTP!$E$5)*(Calc!$F$3:$F$22&lt;=k_n)*(Calc!$G$3:$G$22&gt;A731)*(Calc!$G$3:$G$22-A731)^2)</f>
        <v/>
      </c>
      <c r="F731">
        <f>SUMPRODUCT((Calc!$F$3:$F$22&gt;=LTP!$E$5)*(Calc!$F$3:$F$22&lt;=k_n)*(Calc!$G$3:$G$22&gt;A731)*(Calc!$G$3:$G$22-A731)*Calc!$G$3:$G$22)</f>
        <v/>
      </c>
      <c r="G731">
        <f>SUMPRODUCT((Calc!$F$3:$F$22&gt;=LTP!$E$5)*(Calc!$F$3:$F$22&lt;=k_n)*(Calc!$G$3:$G$22&gt;A731)*(Calc!$G$3:$G$22-A731)*Calc!$I$3:$I$22)</f>
        <v/>
      </c>
      <c r="H731">
        <f>IF($B$469&gt;0,F731-$C$469*D731/$B$469,0)</f>
        <v/>
      </c>
      <c r="I731">
        <f>IF($B$469&gt;0,E731-D731^2/$B$469,0)</f>
        <v/>
      </c>
      <c r="J731">
        <f>IF($B$469&gt;0,G731-D731*$D$469/$B$469,0)</f>
        <v/>
      </c>
      <c r="K731">
        <f>$H$469*I731-H731^2</f>
        <v/>
      </c>
      <c r="L731">
        <f>IF(ABS(K731)&gt;1E-12,($H$469*J731-H731*$I$469)/K731,0)</f>
        <v/>
      </c>
      <c r="M731">
        <f>IF(ABS(K731)&gt;1E-12,(I731*$I$469-H731*J731)/K731,0)</f>
        <v/>
      </c>
      <c r="N731">
        <f>$J$469-M731*$I$469-L731*J731</f>
        <v/>
      </c>
      <c r="O731">
        <f>IF(AND(C731,ABS(K731)&gt;1E-12,L731&gt;0),N731,1E+300)</f>
        <v/>
      </c>
    </row>
    <row r="732">
      <c r="A732">
        <f>$K$469+($L$469-$K$469)*260/400</f>
        <v/>
      </c>
      <c r="B732">
        <f>SUMPRODUCT((Calc!$F$3:$F$22&gt;=LTP!$E$5)*(Calc!$F$3:$F$22&lt;=k_n)*(Calc!$G$3:$G$22&lt;=A732))</f>
        <v/>
      </c>
      <c r="C732">
        <f>AND(B732&gt;=2,$B$469-B732&gt;=2)</f>
        <v/>
      </c>
      <c r="D732">
        <f>SUMPRODUCT((Calc!$F$3:$F$22&gt;=LTP!$E$5)*(Calc!$F$3:$F$22&lt;=k_n)*(Calc!$G$3:$G$22&gt;A732)*(Calc!$G$3:$G$22-A732))</f>
        <v/>
      </c>
      <c r="E732">
        <f>SUMPRODUCT((Calc!$F$3:$F$22&gt;=LTP!$E$5)*(Calc!$F$3:$F$22&lt;=k_n)*(Calc!$G$3:$G$22&gt;A732)*(Calc!$G$3:$G$22-A732)^2)</f>
        <v/>
      </c>
      <c r="F732">
        <f>SUMPRODUCT((Calc!$F$3:$F$22&gt;=LTP!$E$5)*(Calc!$F$3:$F$22&lt;=k_n)*(Calc!$G$3:$G$22&gt;A732)*(Calc!$G$3:$G$22-A732)*Calc!$G$3:$G$22)</f>
        <v/>
      </c>
      <c r="G732">
        <f>SUMPRODUCT((Calc!$F$3:$F$22&gt;=LTP!$E$5)*(Calc!$F$3:$F$22&lt;=k_n)*(Calc!$G$3:$G$22&gt;A732)*(Calc!$G$3:$G$22-A732)*Calc!$I$3:$I$22)</f>
        <v/>
      </c>
      <c r="H732">
        <f>IF($B$469&gt;0,F732-$C$469*D732/$B$469,0)</f>
        <v/>
      </c>
      <c r="I732">
        <f>IF($B$469&gt;0,E732-D732^2/$B$469,0)</f>
        <v/>
      </c>
      <c r="J732">
        <f>IF($B$469&gt;0,G732-D732*$D$469/$B$469,0)</f>
        <v/>
      </c>
      <c r="K732">
        <f>$H$469*I732-H732^2</f>
        <v/>
      </c>
      <c r="L732">
        <f>IF(ABS(K732)&gt;1E-12,($H$469*J732-H732*$I$469)/K732,0)</f>
        <v/>
      </c>
      <c r="M732">
        <f>IF(ABS(K732)&gt;1E-12,(I732*$I$469-H732*J732)/K732,0)</f>
        <v/>
      </c>
      <c r="N732">
        <f>$J$469-M732*$I$469-L732*J732</f>
        <v/>
      </c>
      <c r="O732">
        <f>IF(AND(C732,ABS(K732)&gt;1E-12,L732&gt;0),N732,1E+300)</f>
        <v/>
      </c>
    </row>
    <row r="733">
      <c r="A733">
        <f>$K$469+($L$469-$K$469)*261/400</f>
        <v/>
      </c>
      <c r="B733">
        <f>SUMPRODUCT((Calc!$F$3:$F$22&gt;=LTP!$E$5)*(Calc!$F$3:$F$22&lt;=k_n)*(Calc!$G$3:$G$22&lt;=A733))</f>
        <v/>
      </c>
      <c r="C733">
        <f>AND(B733&gt;=2,$B$469-B733&gt;=2)</f>
        <v/>
      </c>
      <c r="D733">
        <f>SUMPRODUCT((Calc!$F$3:$F$22&gt;=LTP!$E$5)*(Calc!$F$3:$F$22&lt;=k_n)*(Calc!$G$3:$G$22&gt;A733)*(Calc!$G$3:$G$22-A733))</f>
        <v/>
      </c>
      <c r="E733">
        <f>SUMPRODUCT((Calc!$F$3:$F$22&gt;=LTP!$E$5)*(Calc!$F$3:$F$22&lt;=k_n)*(Calc!$G$3:$G$22&gt;A733)*(Calc!$G$3:$G$22-A733)^2)</f>
        <v/>
      </c>
      <c r="F733">
        <f>SUMPRODUCT((Calc!$F$3:$F$22&gt;=LTP!$E$5)*(Calc!$F$3:$F$22&lt;=k_n)*(Calc!$G$3:$G$22&gt;A733)*(Calc!$G$3:$G$22-A733)*Calc!$G$3:$G$22)</f>
        <v/>
      </c>
      <c r="G733">
        <f>SUMPRODUCT((Calc!$F$3:$F$22&gt;=LTP!$E$5)*(Calc!$F$3:$F$22&lt;=k_n)*(Calc!$G$3:$G$22&gt;A733)*(Calc!$G$3:$G$22-A733)*Calc!$I$3:$I$22)</f>
        <v/>
      </c>
      <c r="H733">
        <f>IF($B$469&gt;0,F733-$C$469*D733/$B$469,0)</f>
        <v/>
      </c>
      <c r="I733">
        <f>IF($B$469&gt;0,E733-D733^2/$B$469,0)</f>
        <v/>
      </c>
      <c r="J733">
        <f>IF($B$469&gt;0,G733-D733*$D$469/$B$469,0)</f>
        <v/>
      </c>
      <c r="K733">
        <f>$H$469*I733-H733^2</f>
        <v/>
      </c>
      <c r="L733">
        <f>IF(ABS(K733)&gt;1E-12,($H$469*J733-H733*$I$469)/K733,0)</f>
        <v/>
      </c>
      <c r="M733">
        <f>IF(ABS(K733)&gt;1E-12,(I733*$I$469-H733*J733)/K733,0)</f>
        <v/>
      </c>
      <c r="N733">
        <f>$J$469-M733*$I$469-L733*J733</f>
        <v/>
      </c>
      <c r="O733">
        <f>IF(AND(C733,ABS(K733)&gt;1E-12,L733&gt;0),N733,1E+300)</f>
        <v/>
      </c>
    </row>
    <row r="734">
      <c r="A734">
        <f>$K$469+($L$469-$K$469)*262/400</f>
        <v/>
      </c>
      <c r="B734">
        <f>SUMPRODUCT((Calc!$F$3:$F$22&gt;=LTP!$E$5)*(Calc!$F$3:$F$22&lt;=k_n)*(Calc!$G$3:$G$22&lt;=A734))</f>
        <v/>
      </c>
      <c r="C734">
        <f>AND(B734&gt;=2,$B$469-B734&gt;=2)</f>
        <v/>
      </c>
      <c r="D734">
        <f>SUMPRODUCT((Calc!$F$3:$F$22&gt;=LTP!$E$5)*(Calc!$F$3:$F$22&lt;=k_n)*(Calc!$G$3:$G$22&gt;A734)*(Calc!$G$3:$G$22-A734))</f>
        <v/>
      </c>
      <c r="E734">
        <f>SUMPRODUCT((Calc!$F$3:$F$22&gt;=LTP!$E$5)*(Calc!$F$3:$F$22&lt;=k_n)*(Calc!$G$3:$G$22&gt;A734)*(Calc!$G$3:$G$22-A734)^2)</f>
        <v/>
      </c>
      <c r="F734">
        <f>SUMPRODUCT((Calc!$F$3:$F$22&gt;=LTP!$E$5)*(Calc!$F$3:$F$22&lt;=k_n)*(Calc!$G$3:$G$22&gt;A734)*(Calc!$G$3:$G$22-A734)*Calc!$G$3:$G$22)</f>
        <v/>
      </c>
      <c r="G734">
        <f>SUMPRODUCT((Calc!$F$3:$F$22&gt;=LTP!$E$5)*(Calc!$F$3:$F$22&lt;=k_n)*(Calc!$G$3:$G$22&gt;A734)*(Calc!$G$3:$G$22-A734)*Calc!$I$3:$I$22)</f>
        <v/>
      </c>
      <c r="H734">
        <f>IF($B$469&gt;0,F734-$C$469*D734/$B$469,0)</f>
        <v/>
      </c>
      <c r="I734">
        <f>IF($B$469&gt;0,E734-D734^2/$B$469,0)</f>
        <v/>
      </c>
      <c r="J734">
        <f>IF($B$469&gt;0,G734-D734*$D$469/$B$469,0)</f>
        <v/>
      </c>
      <c r="K734">
        <f>$H$469*I734-H734^2</f>
        <v/>
      </c>
      <c r="L734">
        <f>IF(ABS(K734)&gt;1E-12,($H$469*J734-H734*$I$469)/K734,0)</f>
        <v/>
      </c>
      <c r="M734">
        <f>IF(ABS(K734)&gt;1E-12,(I734*$I$469-H734*J734)/K734,0)</f>
        <v/>
      </c>
      <c r="N734">
        <f>$J$469-M734*$I$469-L734*J734</f>
        <v/>
      </c>
      <c r="O734">
        <f>IF(AND(C734,ABS(K734)&gt;1E-12,L734&gt;0),N734,1E+300)</f>
        <v/>
      </c>
    </row>
    <row r="735">
      <c r="A735">
        <f>$K$469+($L$469-$K$469)*263/400</f>
        <v/>
      </c>
      <c r="B735">
        <f>SUMPRODUCT((Calc!$F$3:$F$22&gt;=LTP!$E$5)*(Calc!$F$3:$F$22&lt;=k_n)*(Calc!$G$3:$G$22&lt;=A735))</f>
        <v/>
      </c>
      <c r="C735">
        <f>AND(B735&gt;=2,$B$469-B735&gt;=2)</f>
        <v/>
      </c>
      <c r="D735">
        <f>SUMPRODUCT((Calc!$F$3:$F$22&gt;=LTP!$E$5)*(Calc!$F$3:$F$22&lt;=k_n)*(Calc!$G$3:$G$22&gt;A735)*(Calc!$G$3:$G$22-A735))</f>
        <v/>
      </c>
      <c r="E735">
        <f>SUMPRODUCT((Calc!$F$3:$F$22&gt;=LTP!$E$5)*(Calc!$F$3:$F$22&lt;=k_n)*(Calc!$G$3:$G$22&gt;A735)*(Calc!$G$3:$G$22-A735)^2)</f>
        <v/>
      </c>
      <c r="F735">
        <f>SUMPRODUCT((Calc!$F$3:$F$22&gt;=LTP!$E$5)*(Calc!$F$3:$F$22&lt;=k_n)*(Calc!$G$3:$G$22&gt;A735)*(Calc!$G$3:$G$22-A735)*Calc!$G$3:$G$22)</f>
        <v/>
      </c>
      <c r="G735">
        <f>SUMPRODUCT((Calc!$F$3:$F$22&gt;=LTP!$E$5)*(Calc!$F$3:$F$22&lt;=k_n)*(Calc!$G$3:$G$22&gt;A735)*(Calc!$G$3:$G$22-A735)*Calc!$I$3:$I$22)</f>
        <v/>
      </c>
      <c r="H735">
        <f>IF($B$469&gt;0,F735-$C$469*D735/$B$469,0)</f>
        <v/>
      </c>
      <c r="I735">
        <f>IF($B$469&gt;0,E735-D735^2/$B$469,0)</f>
        <v/>
      </c>
      <c r="J735">
        <f>IF($B$469&gt;0,G735-D735*$D$469/$B$469,0)</f>
        <v/>
      </c>
      <c r="K735">
        <f>$H$469*I735-H735^2</f>
        <v/>
      </c>
      <c r="L735">
        <f>IF(ABS(K735)&gt;1E-12,($H$469*J735-H735*$I$469)/K735,0)</f>
        <v/>
      </c>
      <c r="M735">
        <f>IF(ABS(K735)&gt;1E-12,(I735*$I$469-H735*J735)/K735,0)</f>
        <v/>
      </c>
      <c r="N735">
        <f>$J$469-M735*$I$469-L735*J735</f>
        <v/>
      </c>
      <c r="O735">
        <f>IF(AND(C735,ABS(K735)&gt;1E-12,L735&gt;0),N735,1E+300)</f>
        <v/>
      </c>
    </row>
    <row r="736">
      <c r="A736">
        <f>$K$469+($L$469-$K$469)*264/400</f>
        <v/>
      </c>
      <c r="B736">
        <f>SUMPRODUCT((Calc!$F$3:$F$22&gt;=LTP!$E$5)*(Calc!$F$3:$F$22&lt;=k_n)*(Calc!$G$3:$G$22&lt;=A736))</f>
        <v/>
      </c>
      <c r="C736">
        <f>AND(B736&gt;=2,$B$469-B736&gt;=2)</f>
        <v/>
      </c>
      <c r="D736">
        <f>SUMPRODUCT((Calc!$F$3:$F$22&gt;=LTP!$E$5)*(Calc!$F$3:$F$22&lt;=k_n)*(Calc!$G$3:$G$22&gt;A736)*(Calc!$G$3:$G$22-A736))</f>
        <v/>
      </c>
      <c r="E736">
        <f>SUMPRODUCT((Calc!$F$3:$F$22&gt;=LTP!$E$5)*(Calc!$F$3:$F$22&lt;=k_n)*(Calc!$G$3:$G$22&gt;A736)*(Calc!$G$3:$G$22-A736)^2)</f>
        <v/>
      </c>
      <c r="F736">
        <f>SUMPRODUCT((Calc!$F$3:$F$22&gt;=LTP!$E$5)*(Calc!$F$3:$F$22&lt;=k_n)*(Calc!$G$3:$G$22&gt;A736)*(Calc!$G$3:$G$22-A736)*Calc!$G$3:$G$22)</f>
        <v/>
      </c>
      <c r="G736">
        <f>SUMPRODUCT((Calc!$F$3:$F$22&gt;=LTP!$E$5)*(Calc!$F$3:$F$22&lt;=k_n)*(Calc!$G$3:$G$22&gt;A736)*(Calc!$G$3:$G$22-A736)*Calc!$I$3:$I$22)</f>
        <v/>
      </c>
      <c r="H736">
        <f>IF($B$469&gt;0,F736-$C$469*D736/$B$469,0)</f>
        <v/>
      </c>
      <c r="I736">
        <f>IF($B$469&gt;0,E736-D736^2/$B$469,0)</f>
        <v/>
      </c>
      <c r="J736">
        <f>IF($B$469&gt;0,G736-D736*$D$469/$B$469,0)</f>
        <v/>
      </c>
      <c r="K736">
        <f>$H$469*I736-H736^2</f>
        <v/>
      </c>
      <c r="L736">
        <f>IF(ABS(K736)&gt;1E-12,($H$469*J736-H736*$I$469)/K736,0)</f>
        <v/>
      </c>
      <c r="M736">
        <f>IF(ABS(K736)&gt;1E-12,(I736*$I$469-H736*J736)/K736,0)</f>
        <v/>
      </c>
      <c r="N736">
        <f>$J$469-M736*$I$469-L736*J736</f>
        <v/>
      </c>
      <c r="O736">
        <f>IF(AND(C736,ABS(K736)&gt;1E-12,L736&gt;0),N736,1E+300)</f>
        <v/>
      </c>
    </row>
    <row r="737">
      <c r="A737">
        <f>$K$469+($L$469-$K$469)*265/400</f>
        <v/>
      </c>
      <c r="B737">
        <f>SUMPRODUCT((Calc!$F$3:$F$22&gt;=LTP!$E$5)*(Calc!$F$3:$F$22&lt;=k_n)*(Calc!$G$3:$G$22&lt;=A737))</f>
        <v/>
      </c>
      <c r="C737">
        <f>AND(B737&gt;=2,$B$469-B737&gt;=2)</f>
        <v/>
      </c>
      <c r="D737">
        <f>SUMPRODUCT((Calc!$F$3:$F$22&gt;=LTP!$E$5)*(Calc!$F$3:$F$22&lt;=k_n)*(Calc!$G$3:$G$22&gt;A737)*(Calc!$G$3:$G$22-A737))</f>
        <v/>
      </c>
      <c r="E737">
        <f>SUMPRODUCT((Calc!$F$3:$F$22&gt;=LTP!$E$5)*(Calc!$F$3:$F$22&lt;=k_n)*(Calc!$G$3:$G$22&gt;A737)*(Calc!$G$3:$G$22-A737)^2)</f>
        <v/>
      </c>
      <c r="F737">
        <f>SUMPRODUCT((Calc!$F$3:$F$22&gt;=LTP!$E$5)*(Calc!$F$3:$F$22&lt;=k_n)*(Calc!$G$3:$G$22&gt;A737)*(Calc!$G$3:$G$22-A737)*Calc!$G$3:$G$22)</f>
        <v/>
      </c>
      <c r="G737">
        <f>SUMPRODUCT((Calc!$F$3:$F$22&gt;=LTP!$E$5)*(Calc!$F$3:$F$22&lt;=k_n)*(Calc!$G$3:$G$22&gt;A737)*(Calc!$G$3:$G$22-A737)*Calc!$I$3:$I$22)</f>
        <v/>
      </c>
      <c r="H737">
        <f>IF($B$469&gt;0,F737-$C$469*D737/$B$469,0)</f>
        <v/>
      </c>
      <c r="I737">
        <f>IF($B$469&gt;0,E737-D737^2/$B$469,0)</f>
        <v/>
      </c>
      <c r="J737">
        <f>IF($B$469&gt;0,G737-D737*$D$469/$B$469,0)</f>
        <v/>
      </c>
      <c r="K737">
        <f>$H$469*I737-H737^2</f>
        <v/>
      </c>
      <c r="L737">
        <f>IF(ABS(K737)&gt;1E-12,($H$469*J737-H737*$I$469)/K737,0)</f>
        <v/>
      </c>
      <c r="M737">
        <f>IF(ABS(K737)&gt;1E-12,(I737*$I$469-H737*J737)/K737,0)</f>
        <v/>
      </c>
      <c r="N737">
        <f>$J$469-M737*$I$469-L737*J737</f>
        <v/>
      </c>
      <c r="O737">
        <f>IF(AND(C737,ABS(K737)&gt;1E-12,L737&gt;0),N737,1E+300)</f>
        <v/>
      </c>
    </row>
    <row r="738">
      <c r="A738">
        <f>$K$469+($L$469-$K$469)*266/400</f>
        <v/>
      </c>
      <c r="B738">
        <f>SUMPRODUCT((Calc!$F$3:$F$22&gt;=LTP!$E$5)*(Calc!$F$3:$F$22&lt;=k_n)*(Calc!$G$3:$G$22&lt;=A738))</f>
        <v/>
      </c>
      <c r="C738">
        <f>AND(B738&gt;=2,$B$469-B738&gt;=2)</f>
        <v/>
      </c>
      <c r="D738">
        <f>SUMPRODUCT((Calc!$F$3:$F$22&gt;=LTP!$E$5)*(Calc!$F$3:$F$22&lt;=k_n)*(Calc!$G$3:$G$22&gt;A738)*(Calc!$G$3:$G$22-A738))</f>
        <v/>
      </c>
      <c r="E738">
        <f>SUMPRODUCT((Calc!$F$3:$F$22&gt;=LTP!$E$5)*(Calc!$F$3:$F$22&lt;=k_n)*(Calc!$G$3:$G$22&gt;A738)*(Calc!$G$3:$G$22-A738)^2)</f>
        <v/>
      </c>
      <c r="F738">
        <f>SUMPRODUCT((Calc!$F$3:$F$22&gt;=LTP!$E$5)*(Calc!$F$3:$F$22&lt;=k_n)*(Calc!$G$3:$G$22&gt;A738)*(Calc!$G$3:$G$22-A738)*Calc!$G$3:$G$22)</f>
        <v/>
      </c>
      <c r="G738">
        <f>SUMPRODUCT((Calc!$F$3:$F$22&gt;=LTP!$E$5)*(Calc!$F$3:$F$22&lt;=k_n)*(Calc!$G$3:$G$22&gt;A738)*(Calc!$G$3:$G$22-A738)*Calc!$I$3:$I$22)</f>
        <v/>
      </c>
      <c r="H738">
        <f>IF($B$469&gt;0,F738-$C$469*D738/$B$469,0)</f>
        <v/>
      </c>
      <c r="I738">
        <f>IF($B$469&gt;0,E738-D738^2/$B$469,0)</f>
        <v/>
      </c>
      <c r="J738">
        <f>IF($B$469&gt;0,G738-D738*$D$469/$B$469,0)</f>
        <v/>
      </c>
      <c r="K738">
        <f>$H$469*I738-H738^2</f>
        <v/>
      </c>
      <c r="L738">
        <f>IF(ABS(K738)&gt;1E-12,($H$469*J738-H738*$I$469)/K738,0)</f>
        <v/>
      </c>
      <c r="M738">
        <f>IF(ABS(K738)&gt;1E-12,(I738*$I$469-H738*J738)/K738,0)</f>
        <v/>
      </c>
      <c r="N738">
        <f>$J$469-M738*$I$469-L738*J738</f>
        <v/>
      </c>
      <c r="O738">
        <f>IF(AND(C738,ABS(K738)&gt;1E-12,L738&gt;0),N738,1E+300)</f>
        <v/>
      </c>
    </row>
    <row r="739">
      <c r="A739">
        <f>$K$469+($L$469-$K$469)*267/400</f>
        <v/>
      </c>
      <c r="B739">
        <f>SUMPRODUCT((Calc!$F$3:$F$22&gt;=LTP!$E$5)*(Calc!$F$3:$F$22&lt;=k_n)*(Calc!$G$3:$G$22&lt;=A739))</f>
        <v/>
      </c>
      <c r="C739">
        <f>AND(B739&gt;=2,$B$469-B739&gt;=2)</f>
        <v/>
      </c>
      <c r="D739">
        <f>SUMPRODUCT((Calc!$F$3:$F$22&gt;=LTP!$E$5)*(Calc!$F$3:$F$22&lt;=k_n)*(Calc!$G$3:$G$22&gt;A739)*(Calc!$G$3:$G$22-A739))</f>
        <v/>
      </c>
      <c r="E739">
        <f>SUMPRODUCT((Calc!$F$3:$F$22&gt;=LTP!$E$5)*(Calc!$F$3:$F$22&lt;=k_n)*(Calc!$G$3:$G$22&gt;A739)*(Calc!$G$3:$G$22-A739)^2)</f>
        <v/>
      </c>
      <c r="F739">
        <f>SUMPRODUCT((Calc!$F$3:$F$22&gt;=LTP!$E$5)*(Calc!$F$3:$F$22&lt;=k_n)*(Calc!$G$3:$G$22&gt;A739)*(Calc!$G$3:$G$22-A739)*Calc!$G$3:$G$22)</f>
        <v/>
      </c>
      <c r="G739">
        <f>SUMPRODUCT((Calc!$F$3:$F$22&gt;=LTP!$E$5)*(Calc!$F$3:$F$22&lt;=k_n)*(Calc!$G$3:$G$22&gt;A739)*(Calc!$G$3:$G$22-A739)*Calc!$I$3:$I$22)</f>
        <v/>
      </c>
      <c r="H739">
        <f>IF($B$469&gt;0,F739-$C$469*D739/$B$469,0)</f>
        <v/>
      </c>
      <c r="I739">
        <f>IF($B$469&gt;0,E739-D739^2/$B$469,0)</f>
        <v/>
      </c>
      <c r="J739">
        <f>IF($B$469&gt;0,G739-D739*$D$469/$B$469,0)</f>
        <v/>
      </c>
      <c r="K739">
        <f>$H$469*I739-H739^2</f>
        <v/>
      </c>
      <c r="L739">
        <f>IF(ABS(K739)&gt;1E-12,($H$469*J739-H739*$I$469)/K739,0)</f>
        <v/>
      </c>
      <c r="M739">
        <f>IF(ABS(K739)&gt;1E-12,(I739*$I$469-H739*J739)/K739,0)</f>
        <v/>
      </c>
      <c r="N739">
        <f>$J$469-M739*$I$469-L739*J739</f>
        <v/>
      </c>
      <c r="O739">
        <f>IF(AND(C739,ABS(K739)&gt;1E-12,L739&gt;0),N739,1E+300)</f>
        <v/>
      </c>
    </row>
    <row r="740">
      <c r="A740">
        <f>$K$469+($L$469-$K$469)*268/400</f>
        <v/>
      </c>
      <c r="B740">
        <f>SUMPRODUCT((Calc!$F$3:$F$22&gt;=LTP!$E$5)*(Calc!$F$3:$F$22&lt;=k_n)*(Calc!$G$3:$G$22&lt;=A740))</f>
        <v/>
      </c>
      <c r="C740">
        <f>AND(B740&gt;=2,$B$469-B740&gt;=2)</f>
        <v/>
      </c>
      <c r="D740">
        <f>SUMPRODUCT((Calc!$F$3:$F$22&gt;=LTP!$E$5)*(Calc!$F$3:$F$22&lt;=k_n)*(Calc!$G$3:$G$22&gt;A740)*(Calc!$G$3:$G$22-A740))</f>
        <v/>
      </c>
      <c r="E740">
        <f>SUMPRODUCT((Calc!$F$3:$F$22&gt;=LTP!$E$5)*(Calc!$F$3:$F$22&lt;=k_n)*(Calc!$G$3:$G$22&gt;A740)*(Calc!$G$3:$G$22-A740)^2)</f>
        <v/>
      </c>
      <c r="F740">
        <f>SUMPRODUCT((Calc!$F$3:$F$22&gt;=LTP!$E$5)*(Calc!$F$3:$F$22&lt;=k_n)*(Calc!$G$3:$G$22&gt;A740)*(Calc!$G$3:$G$22-A740)*Calc!$G$3:$G$22)</f>
        <v/>
      </c>
      <c r="G740">
        <f>SUMPRODUCT((Calc!$F$3:$F$22&gt;=LTP!$E$5)*(Calc!$F$3:$F$22&lt;=k_n)*(Calc!$G$3:$G$22&gt;A740)*(Calc!$G$3:$G$22-A740)*Calc!$I$3:$I$22)</f>
        <v/>
      </c>
      <c r="H740">
        <f>IF($B$469&gt;0,F740-$C$469*D740/$B$469,0)</f>
        <v/>
      </c>
      <c r="I740">
        <f>IF($B$469&gt;0,E740-D740^2/$B$469,0)</f>
        <v/>
      </c>
      <c r="J740">
        <f>IF($B$469&gt;0,G740-D740*$D$469/$B$469,0)</f>
        <v/>
      </c>
      <c r="K740">
        <f>$H$469*I740-H740^2</f>
        <v/>
      </c>
      <c r="L740">
        <f>IF(ABS(K740)&gt;1E-12,($H$469*J740-H740*$I$469)/K740,0)</f>
        <v/>
      </c>
      <c r="M740">
        <f>IF(ABS(K740)&gt;1E-12,(I740*$I$469-H740*J740)/K740,0)</f>
        <v/>
      </c>
      <c r="N740">
        <f>$J$469-M740*$I$469-L740*J740</f>
        <v/>
      </c>
      <c r="O740">
        <f>IF(AND(C740,ABS(K740)&gt;1E-12,L740&gt;0),N740,1E+300)</f>
        <v/>
      </c>
    </row>
    <row r="741">
      <c r="A741">
        <f>$K$469+($L$469-$K$469)*269/400</f>
        <v/>
      </c>
      <c r="B741">
        <f>SUMPRODUCT((Calc!$F$3:$F$22&gt;=LTP!$E$5)*(Calc!$F$3:$F$22&lt;=k_n)*(Calc!$G$3:$G$22&lt;=A741))</f>
        <v/>
      </c>
      <c r="C741">
        <f>AND(B741&gt;=2,$B$469-B741&gt;=2)</f>
        <v/>
      </c>
      <c r="D741">
        <f>SUMPRODUCT((Calc!$F$3:$F$22&gt;=LTP!$E$5)*(Calc!$F$3:$F$22&lt;=k_n)*(Calc!$G$3:$G$22&gt;A741)*(Calc!$G$3:$G$22-A741))</f>
        <v/>
      </c>
      <c r="E741">
        <f>SUMPRODUCT((Calc!$F$3:$F$22&gt;=LTP!$E$5)*(Calc!$F$3:$F$22&lt;=k_n)*(Calc!$G$3:$G$22&gt;A741)*(Calc!$G$3:$G$22-A741)^2)</f>
        <v/>
      </c>
      <c r="F741">
        <f>SUMPRODUCT((Calc!$F$3:$F$22&gt;=LTP!$E$5)*(Calc!$F$3:$F$22&lt;=k_n)*(Calc!$G$3:$G$22&gt;A741)*(Calc!$G$3:$G$22-A741)*Calc!$G$3:$G$22)</f>
        <v/>
      </c>
      <c r="G741">
        <f>SUMPRODUCT((Calc!$F$3:$F$22&gt;=LTP!$E$5)*(Calc!$F$3:$F$22&lt;=k_n)*(Calc!$G$3:$G$22&gt;A741)*(Calc!$G$3:$G$22-A741)*Calc!$I$3:$I$22)</f>
        <v/>
      </c>
      <c r="H741">
        <f>IF($B$469&gt;0,F741-$C$469*D741/$B$469,0)</f>
        <v/>
      </c>
      <c r="I741">
        <f>IF($B$469&gt;0,E741-D741^2/$B$469,0)</f>
        <v/>
      </c>
      <c r="J741">
        <f>IF($B$469&gt;0,G741-D741*$D$469/$B$469,0)</f>
        <v/>
      </c>
      <c r="K741">
        <f>$H$469*I741-H741^2</f>
        <v/>
      </c>
      <c r="L741">
        <f>IF(ABS(K741)&gt;1E-12,($H$469*J741-H741*$I$469)/K741,0)</f>
        <v/>
      </c>
      <c r="M741">
        <f>IF(ABS(K741)&gt;1E-12,(I741*$I$469-H741*J741)/K741,0)</f>
        <v/>
      </c>
      <c r="N741">
        <f>$J$469-M741*$I$469-L741*J741</f>
        <v/>
      </c>
      <c r="O741">
        <f>IF(AND(C741,ABS(K741)&gt;1E-12,L741&gt;0),N741,1E+300)</f>
        <v/>
      </c>
    </row>
    <row r="742">
      <c r="A742">
        <f>$K$469+($L$469-$K$469)*270/400</f>
        <v/>
      </c>
      <c r="B742">
        <f>SUMPRODUCT((Calc!$F$3:$F$22&gt;=LTP!$E$5)*(Calc!$F$3:$F$22&lt;=k_n)*(Calc!$G$3:$G$22&lt;=A742))</f>
        <v/>
      </c>
      <c r="C742">
        <f>AND(B742&gt;=2,$B$469-B742&gt;=2)</f>
        <v/>
      </c>
      <c r="D742">
        <f>SUMPRODUCT((Calc!$F$3:$F$22&gt;=LTP!$E$5)*(Calc!$F$3:$F$22&lt;=k_n)*(Calc!$G$3:$G$22&gt;A742)*(Calc!$G$3:$G$22-A742))</f>
        <v/>
      </c>
      <c r="E742">
        <f>SUMPRODUCT((Calc!$F$3:$F$22&gt;=LTP!$E$5)*(Calc!$F$3:$F$22&lt;=k_n)*(Calc!$G$3:$G$22&gt;A742)*(Calc!$G$3:$G$22-A742)^2)</f>
        <v/>
      </c>
      <c r="F742">
        <f>SUMPRODUCT((Calc!$F$3:$F$22&gt;=LTP!$E$5)*(Calc!$F$3:$F$22&lt;=k_n)*(Calc!$G$3:$G$22&gt;A742)*(Calc!$G$3:$G$22-A742)*Calc!$G$3:$G$22)</f>
        <v/>
      </c>
      <c r="G742">
        <f>SUMPRODUCT((Calc!$F$3:$F$22&gt;=LTP!$E$5)*(Calc!$F$3:$F$22&lt;=k_n)*(Calc!$G$3:$G$22&gt;A742)*(Calc!$G$3:$G$22-A742)*Calc!$I$3:$I$22)</f>
        <v/>
      </c>
      <c r="H742">
        <f>IF($B$469&gt;0,F742-$C$469*D742/$B$469,0)</f>
        <v/>
      </c>
      <c r="I742">
        <f>IF($B$469&gt;0,E742-D742^2/$B$469,0)</f>
        <v/>
      </c>
      <c r="J742">
        <f>IF($B$469&gt;0,G742-D742*$D$469/$B$469,0)</f>
        <v/>
      </c>
      <c r="K742">
        <f>$H$469*I742-H742^2</f>
        <v/>
      </c>
      <c r="L742">
        <f>IF(ABS(K742)&gt;1E-12,($H$469*J742-H742*$I$469)/K742,0)</f>
        <v/>
      </c>
      <c r="M742">
        <f>IF(ABS(K742)&gt;1E-12,(I742*$I$469-H742*J742)/K742,0)</f>
        <v/>
      </c>
      <c r="N742">
        <f>$J$469-M742*$I$469-L742*J742</f>
        <v/>
      </c>
      <c r="O742">
        <f>IF(AND(C742,ABS(K742)&gt;1E-12,L742&gt;0),N742,1E+300)</f>
        <v/>
      </c>
    </row>
    <row r="743">
      <c r="A743">
        <f>$K$469+($L$469-$K$469)*271/400</f>
        <v/>
      </c>
      <c r="B743">
        <f>SUMPRODUCT((Calc!$F$3:$F$22&gt;=LTP!$E$5)*(Calc!$F$3:$F$22&lt;=k_n)*(Calc!$G$3:$G$22&lt;=A743))</f>
        <v/>
      </c>
      <c r="C743">
        <f>AND(B743&gt;=2,$B$469-B743&gt;=2)</f>
        <v/>
      </c>
      <c r="D743">
        <f>SUMPRODUCT((Calc!$F$3:$F$22&gt;=LTP!$E$5)*(Calc!$F$3:$F$22&lt;=k_n)*(Calc!$G$3:$G$22&gt;A743)*(Calc!$G$3:$G$22-A743))</f>
        <v/>
      </c>
      <c r="E743">
        <f>SUMPRODUCT((Calc!$F$3:$F$22&gt;=LTP!$E$5)*(Calc!$F$3:$F$22&lt;=k_n)*(Calc!$G$3:$G$22&gt;A743)*(Calc!$G$3:$G$22-A743)^2)</f>
        <v/>
      </c>
      <c r="F743">
        <f>SUMPRODUCT((Calc!$F$3:$F$22&gt;=LTP!$E$5)*(Calc!$F$3:$F$22&lt;=k_n)*(Calc!$G$3:$G$22&gt;A743)*(Calc!$G$3:$G$22-A743)*Calc!$G$3:$G$22)</f>
        <v/>
      </c>
      <c r="G743">
        <f>SUMPRODUCT((Calc!$F$3:$F$22&gt;=LTP!$E$5)*(Calc!$F$3:$F$22&lt;=k_n)*(Calc!$G$3:$G$22&gt;A743)*(Calc!$G$3:$G$22-A743)*Calc!$I$3:$I$22)</f>
        <v/>
      </c>
      <c r="H743">
        <f>IF($B$469&gt;0,F743-$C$469*D743/$B$469,0)</f>
        <v/>
      </c>
      <c r="I743">
        <f>IF($B$469&gt;0,E743-D743^2/$B$469,0)</f>
        <v/>
      </c>
      <c r="J743">
        <f>IF($B$469&gt;0,G743-D743*$D$469/$B$469,0)</f>
        <v/>
      </c>
      <c r="K743">
        <f>$H$469*I743-H743^2</f>
        <v/>
      </c>
      <c r="L743">
        <f>IF(ABS(K743)&gt;1E-12,($H$469*J743-H743*$I$469)/K743,0)</f>
        <v/>
      </c>
      <c r="M743">
        <f>IF(ABS(K743)&gt;1E-12,(I743*$I$469-H743*J743)/K743,0)</f>
        <v/>
      </c>
      <c r="N743">
        <f>$J$469-M743*$I$469-L743*J743</f>
        <v/>
      </c>
      <c r="O743">
        <f>IF(AND(C743,ABS(K743)&gt;1E-12,L743&gt;0),N743,1E+300)</f>
        <v/>
      </c>
    </row>
    <row r="744">
      <c r="A744">
        <f>$K$469+($L$469-$K$469)*272/400</f>
        <v/>
      </c>
      <c r="B744">
        <f>SUMPRODUCT((Calc!$F$3:$F$22&gt;=LTP!$E$5)*(Calc!$F$3:$F$22&lt;=k_n)*(Calc!$G$3:$G$22&lt;=A744))</f>
        <v/>
      </c>
      <c r="C744">
        <f>AND(B744&gt;=2,$B$469-B744&gt;=2)</f>
        <v/>
      </c>
      <c r="D744">
        <f>SUMPRODUCT((Calc!$F$3:$F$22&gt;=LTP!$E$5)*(Calc!$F$3:$F$22&lt;=k_n)*(Calc!$G$3:$G$22&gt;A744)*(Calc!$G$3:$G$22-A744))</f>
        <v/>
      </c>
      <c r="E744">
        <f>SUMPRODUCT((Calc!$F$3:$F$22&gt;=LTP!$E$5)*(Calc!$F$3:$F$22&lt;=k_n)*(Calc!$G$3:$G$22&gt;A744)*(Calc!$G$3:$G$22-A744)^2)</f>
        <v/>
      </c>
      <c r="F744">
        <f>SUMPRODUCT((Calc!$F$3:$F$22&gt;=LTP!$E$5)*(Calc!$F$3:$F$22&lt;=k_n)*(Calc!$G$3:$G$22&gt;A744)*(Calc!$G$3:$G$22-A744)*Calc!$G$3:$G$22)</f>
        <v/>
      </c>
      <c r="G744">
        <f>SUMPRODUCT((Calc!$F$3:$F$22&gt;=LTP!$E$5)*(Calc!$F$3:$F$22&lt;=k_n)*(Calc!$G$3:$G$22&gt;A744)*(Calc!$G$3:$G$22-A744)*Calc!$I$3:$I$22)</f>
        <v/>
      </c>
      <c r="H744">
        <f>IF($B$469&gt;0,F744-$C$469*D744/$B$469,0)</f>
        <v/>
      </c>
      <c r="I744">
        <f>IF($B$469&gt;0,E744-D744^2/$B$469,0)</f>
        <v/>
      </c>
      <c r="J744">
        <f>IF($B$469&gt;0,G744-D744*$D$469/$B$469,0)</f>
        <v/>
      </c>
      <c r="K744">
        <f>$H$469*I744-H744^2</f>
        <v/>
      </c>
      <c r="L744">
        <f>IF(ABS(K744)&gt;1E-12,($H$469*J744-H744*$I$469)/K744,0)</f>
        <v/>
      </c>
      <c r="M744">
        <f>IF(ABS(K744)&gt;1E-12,(I744*$I$469-H744*J744)/K744,0)</f>
        <v/>
      </c>
      <c r="N744">
        <f>$J$469-M744*$I$469-L744*J744</f>
        <v/>
      </c>
      <c r="O744">
        <f>IF(AND(C744,ABS(K744)&gt;1E-12,L744&gt;0),N744,1E+300)</f>
        <v/>
      </c>
    </row>
    <row r="745">
      <c r="A745">
        <f>$K$469+($L$469-$K$469)*273/400</f>
        <v/>
      </c>
      <c r="B745">
        <f>SUMPRODUCT((Calc!$F$3:$F$22&gt;=LTP!$E$5)*(Calc!$F$3:$F$22&lt;=k_n)*(Calc!$G$3:$G$22&lt;=A745))</f>
        <v/>
      </c>
      <c r="C745">
        <f>AND(B745&gt;=2,$B$469-B745&gt;=2)</f>
        <v/>
      </c>
      <c r="D745">
        <f>SUMPRODUCT((Calc!$F$3:$F$22&gt;=LTP!$E$5)*(Calc!$F$3:$F$22&lt;=k_n)*(Calc!$G$3:$G$22&gt;A745)*(Calc!$G$3:$G$22-A745))</f>
        <v/>
      </c>
      <c r="E745">
        <f>SUMPRODUCT((Calc!$F$3:$F$22&gt;=LTP!$E$5)*(Calc!$F$3:$F$22&lt;=k_n)*(Calc!$G$3:$G$22&gt;A745)*(Calc!$G$3:$G$22-A745)^2)</f>
        <v/>
      </c>
      <c r="F745">
        <f>SUMPRODUCT((Calc!$F$3:$F$22&gt;=LTP!$E$5)*(Calc!$F$3:$F$22&lt;=k_n)*(Calc!$G$3:$G$22&gt;A745)*(Calc!$G$3:$G$22-A745)*Calc!$G$3:$G$22)</f>
        <v/>
      </c>
      <c r="G745">
        <f>SUMPRODUCT((Calc!$F$3:$F$22&gt;=LTP!$E$5)*(Calc!$F$3:$F$22&lt;=k_n)*(Calc!$G$3:$G$22&gt;A745)*(Calc!$G$3:$G$22-A745)*Calc!$I$3:$I$22)</f>
        <v/>
      </c>
      <c r="H745">
        <f>IF($B$469&gt;0,F745-$C$469*D745/$B$469,0)</f>
        <v/>
      </c>
      <c r="I745">
        <f>IF($B$469&gt;0,E745-D745^2/$B$469,0)</f>
        <v/>
      </c>
      <c r="J745">
        <f>IF($B$469&gt;0,G745-D745*$D$469/$B$469,0)</f>
        <v/>
      </c>
      <c r="K745">
        <f>$H$469*I745-H745^2</f>
        <v/>
      </c>
      <c r="L745">
        <f>IF(ABS(K745)&gt;1E-12,($H$469*J745-H745*$I$469)/K745,0)</f>
        <v/>
      </c>
      <c r="M745">
        <f>IF(ABS(K745)&gt;1E-12,(I745*$I$469-H745*J745)/K745,0)</f>
        <v/>
      </c>
      <c r="N745">
        <f>$J$469-M745*$I$469-L745*J745</f>
        <v/>
      </c>
      <c r="O745">
        <f>IF(AND(C745,ABS(K745)&gt;1E-12,L745&gt;0),N745,1E+300)</f>
        <v/>
      </c>
    </row>
    <row r="746">
      <c r="A746">
        <f>$K$469+($L$469-$K$469)*274/400</f>
        <v/>
      </c>
      <c r="B746">
        <f>SUMPRODUCT((Calc!$F$3:$F$22&gt;=LTP!$E$5)*(Calc!$F$3:$F$22&lt;=k_n)*(Calc!$G$3:$G$22&lt;=A746))</f>
        <v/>
      </c>
      <c r="C746">
        <f>AND(B746&gt;=2,$B$469-B746&gt;=2)</f>
        <v/>
      </c>
      <c r="D746">
        <f>SUMPRODUCT((Calc!$F$3:$F$22&gt;=LTP!$E$5)*(Calc!$F$3:$F$22&lt;=k_n)*(Calc!$G$3:$G$22&gt;A746)*(Calc!$G$3:$G$22-A746))</f>
        <v/>
      </c>
      <c r="E746">
        <f>SUMPRODUCT((Calc!$F$3:$F$22&gt;=LTP!$E$5)*(Calc!$F$3:$F$22&lt;=k_n)*(Calc!$G$3:$G$22&gt;A746)*(Calc!$G$3:$G$22-A746)^2)</f>
        <v/>
      </c>
      <c r="F746">
        <f>SUMPRODUCT((Calc!$F$3:$F$22&gt;=LTP!$E$5)*(Calc!$F$3:$F$22&lt;=k_n)*(Calc!$G$3:$G$22&gt;A746)*(Calc!$G$3:$G$22-A746)*Calc!$G$3:$G$22)</f>
        <v/>
      </c>
      <c r="G746">
        <f>SUMPRODUCT((Calc!$F$3:$F$22&gt;=LTP!$E$5)*(Calc!$F$3:$F$22&lt;=k_n)*(Calc!$G$3:$G$22&gt;A746)*(Calc!$G$3:$G$22-A746)*Calc!$I$3:$I$22)</f>
        <v/>
      </c>
      <c r="H746">
        <f>IF($B$469&gt;0,F746-$C$469*D746/$B$469,0)</f>
        <v/>
      </c>
      <c r="I746">
        <f>IF($B$469&gt;0,E746-D746^2/$B$469,0)</f>
        <v/>
      </c>
      <c r="J746">
        <f>IF($B$469&gt;0,G746-D746*$D$469/$B$469,0)</f>
        <v/>
      </c>
      <c r="K746">
        <f>$H$469*I746-H746^2</f>
        <v/>
      </c>
      <c r="L746">
        <f>IF(ABS(K746)&gt;1E-12,($H$469*J746-H746*$I$469)/K746,0)</f>
        <v/>
      </c>
      <c r="M746">
        <f>IF(ABS(K746)&gt;1E-12,(I746*$I$469-H746*J746)/K746,0)</f>
        <v/>
      </c>
      <c r="N746">
        <f>$J$469-M746*$I$469-L746*J746</f>
        <v/>
      </c>
      <c r="O746">
        <f>IF(AND(C746,ABS(K746)&gt;1E-12,L746&gt;0),N746,1E+300)</f>
        <v/>
      </c>
    </row>
    <row r="747">
      <c r="A747">
        <f>$K$469+($L$469-$K$469)*275/400</f>
        <v/>
      </c>
      <c r="B747">
        <f>SUMPRODUCT((Calc!$F$3:$F$22&gt;=LTP!$E$5)*(Calc!$F$3:$F$22&lt;=k_n)*(Calc!$G$3:$G$22&lt;=A747))</f>
        <v/>
      </c>
      <c r="C747">
        <f>AND(B747&gt;=2,$B$469-B747&gt;=2)</f>
        <v/>
      </c>
      <c r="D747">
        <f>SUMPRODUCT((Calc!$F$3:$F$22&gt;=LTP!$E$5)*(Calc!$F$3:$F$22&lt;=k_n)*(Calc!$G$3:$G$22&gt;A747)*(Calc!$G$3:$G$22-A747))</f>
        <v/>
      </c>
      <c r="E747">
        <f>SUMPRODUCT((Calc!$F$3:$F$22&gt;=LTP!$E$5)*(Calc!$F$3:$F$22&lt;=k_n)*(Calc!$G$3:$G$22&gt;A747)*(Calc!$G$3:$G$22-A747)^2)</f>
        <v/>
      </c>
      <c r="F747">
        <f>SUMPRODUCT((Calc!$F$3:$F$22&gt;=LTP!$E$5)*(Calc!$F$3:$F$22&lt;=k_n)*(Calc!$G$3:$G$22&gt;A747)*(Calc!$G$3:$G$22-A747)*Calc!$G$3:$G$22)</f>
        <v/>
      </c>
      <c r="G747">
        <f>SUMPRODUCT((Calc!$F$3:$F$22&gt;=LTP!$E$5)*(Calc!$F$3:$F$22&lt;=k_n)*(Calc!$G$3:$G$22&gt;A747)*(Calc!$G$3:$G$22-A747)*Calc!$I$3:$I$22)</f>
        <v/>
      </c>
      <c r="H747">
        <f>IF($B$469&gt;0,F747-$C$469*D747/$B$469,0)</f>
        <v/>
      </c>
      <c r="I747">
        <f>IF($B$469&gt;0,E747-D747^2/$B$469,0)</f>
        <v/>
      </c>
      <c r="J747">
        <f>IF($B$469&gt;0,G747-D747*$D$469/$B$469,0)</f>
        <v/>
      </c>
      <c r="K747">
        <f>$H$469*I747-H747^2</f>
        <v/>
      </c>
      <c r="L747">
        <f>IF(ABS(K747)&gt;1E-12,($H$469*J747-H747*$I$469)/K747,0)</f>
        <v/>
      </c>
      <c r="M747">
        <f>IF(ABS(K747)&gt;1E-12,(I747*$I$469-H747*J747)/K747,0)</f>
        <v/>
      </c>
      <c r="N747">
        <f>$J$469-M747*$I$469-L747*J747</f>
        <v/>
      </c>
      <c r="O747">
        <f>IF(AND(C747,ABS(K747)&gt;1E-12,L747&gt;0),N747,1E+300)</f>
        <v/>
      </c>
    </row>
    <row r="748">
      <c r="A748">
        <f>$K$469+($L$469-$K$469)*276/400</f>
        <v/>
      </c>
      <c r="B748">
        <f>SUMPRODUCT((Calc!$F$3:$F$22&gt;=LTP!$E$5)*(Calc!$F$3:$F$22&lt;=k_n)*(Calc!$G$3:$G$22&lt;=A748))</f>
        <v/>
      </c>
      <c r="C748">
        <f>AND(B748&gt;=2,$B$469-B748&gt;=2)</f>
        <v/>
      </c>
      <c r="D748">
        <f>SUMPRODUCT((Calc!$F$3:$F$22&gt;=LTP!$E$5)*(Calc!$F$3:$F$22&lt;=k_n)*(Calc!$G$3:$G$22&gt;A748)*(Calc!$G$3:$G$22-A748))</f>
        <v/>
      </c>
      <c r="E748">
        <f>SUMPRODUCT((Calc!$F$3:$F$22&gt;=LTP!$E$5)*(Calc!$F$3:$F$22&lt;=k_n)*(Calc!$G$3:$G$22&gt;A748)*(Calc!$G$3:$G$22-A748)^2)</f>
        <v/>
      </c>
      <c r="F748">
        <f>SUMPRODUCT((Calc!$F$3:$F$22&gt;=LTP!$E$5)*(Calc!$F$3:$F$22&lt;=k_n)*(Calc!$G$3:$G$22&gt;A748)*(Calc!$G$3:$G$22-A748)*Calc!$G$3:$G$22)</f>
        <v/>
      </c>
      <c r="G748">
        <f>SUMPRODUCT((Calc!$F$3:$F$22&gt;=LTP!$E$5)*(Calc!$F$3:$F$22&lt;=k_n)*(Calc!$G$3:$G$22&gt;A748)*(Calc!$G$3:$G$22-A748)*Calc!$I$3:$I$22)</f>
        <v/>
      </c>
      <c r="H748">
        <f>IF($B$469&gt;0,F748-$C$469*D748/$B$469,0)</f>
        <v/>
      </c>
      <c r="I748">
        <f>IF($B$469&gt;0,E748-D748^2/$B$469,0)</f>
        <v/>
      </c>
      <c r="J748">
        <f>IF($B$469&gt;0,G748-D748*$D$469/$B$469,0)</f>
        <v/>
      </c>
      <c r="K748">
        <f>$H$469*I748-H748^2</f>
        <v/>
      </c>
      <c r="L748">
        <f>IF(ABS(K748)&gt;1E-12,($H$469*J748-H748*$I$469)/K748,0)</f>
        <v/>
      </c>
      <c r="M748">
        <f>IF(ABS(K748)&gt;1E-12,(I748*$I$469-H748*J748)/K748,0)</f>
        <v/>
      </c>
      <c r="N748">
        <f>$J$469-M748*$I$469-L748*J748</f>
        <v/>
      </c>
      <c r="O748">
        <f>IF(AND(C748,ABS(K748)&gt;1E-12,L748&gt;0),N748,1E+300)</f>
        <v/>
      </c>
    </row>
    <row r="749">
      <c r="A749">
        <f>$K$469+($L$469-$K$469)*277/400</f>
        <v/>
      </c>
      <c r="B749">
        <f>SUMPRODUCT((Calc!$F$3:$F$22&gt;=LTP!$E$5)*(Calc!$F$3:$F$22&lt;=k_n)*(Calc!$G$3:$G$22&lt;=A749))</f>
        <v/>
      </c>
      <c r="C749">
        <f>AND(B749&gt;=2,$B$469-B749&gt;=2)</f>
        <v/>
      </c>
      <c r="D749">
        <f>SUMPRODUCT((Calc!$F$3:$F$22&gt;=LTP!$E$5)*(Calc!$F$3:$F$22&lt;=k_n)*(Calc!$G$3:$G$22&gt;A749)*(Calc!$G$3:$G$22-A749))</f>
        <v/>
      </c>
      <c r="E749">
        <f>SUMPRODUCT((Calc!$F$3:$F$22&gt;=LTP!$E$5)*(Calc!$F$3:$F$22&lt;=k_n)*(Calc!$G$3:$G$22&gt;A749)*(Calc!$G$3:$G$22-A749)^2)</f>
        <v/>
      </c>
      <c r="F749">
        <f>SUMPRODUCT((Calc!$F$3:$F$22&gt;=LTP!$E$5)*(Calc!$F$3:$F$22&lt;=k_n)*(Calc!$G$3:$G$22&gt;A749)*(Calc!$G$3:$G$22-A749)*Calc!$G$3:$G$22)</f>
        <v/>
      </c>
      <c r="G749">
        <f>SUMPRODUCT((Calc!$F$3:$F$22&gt;=LTP!$E$5)*(Calc!$F$3:$F$22&lt;=k_n)*(Calc!$G$3:$G$22&gt;A749)*(Calc!$G$3:$G$22-A749)*Calc!$I$3:$I$22)</f>
        <v/>
      </c>
      <c r="H749">
        <f>IF($B$469&gt;0,F749-$C$469*D749/$B$469,0)</f>
        <v/>
      </c>
      <c r="I749">
        <f>IF($B$469&gt;0,E749-D749^2/$B$469,0)</f>
        <v/>
      </c>
      <c r="J749">
        <f>IF($B$469&gt;0,G749-D749*$D$469/$B$469,0)</f>
        <v/>
      </c>
      <c r="K749">
        <f>$H$469*I749-H749^2</f>
        <v/>
      </c>
      <c r="L749">
        <f>IF(ABS(K749)&gt;1E-12,($H$469*J749-H749*$I$469)/K749,0)</f>
        <v/>
      </c>
      <c r="M749">
        <f>IF(ABS(K749)&gt;1E-12,(I749*$I$469-H749*J749)/K749,0)</f>
        <v/>
      </c>
      <c r="N749">
        <f>$J$469-M749*$I$469-L749*J749</f>
        <v/>
      </c>
      <c r="O749">
        <f>IF(AND(C749,ABS(K749)&gt;1E-12,L749&gt;0),N749,1E+300)</f>
        <v/>
      </c>
    </row>
    <row r="750">
      <c r="A750">
        <f>$K$469+($L$469-$K$469)*278/400</f>
        <v/>
      </c>
      <c r="B750">
        <f>SUMPRODUCT((Calc!$F$3:$F$22&gt;=LTP!$E$5)*(Calc!$F$3:$F$22&lt;=k_n)*(Calc!$G$3:$G$22&lt;=A750))</f>
        <v/>
      </c>
      <c r="C750">
        <f>AND(B750&gt;=2,$B$469-B750&gt;=2)</f>
        <v/>
      </c>
      <c r="D750">
        <f>SUMPRODUCT((Calc!$F$3:$F$22&gt;=LTP!$E$5)*(Calc!$F$3:$F$22&lt;=k_n)*(Calc!$G$3:$G$22&gt;A750)*(Calc!$G$3:$G$22-A750))</f>
        <v/>
      </c>
      <c r="E750">
        <f>SUMPRODUCT((Calc!$F$3:$F$22&gt;=LTP!$E$5)*(Calc!$F$3:$F$22&lt;=k_n)*(Calc!$G$3:$G$22&gt;A750)*(Calc!$G$3:$G$22-A750)^2)</f>
        <v/>
      </c>
      <c r="F750">
        <f>SUMPRODUCT((Calc!$F$3:$F$22&gt;=LTP!$E$5)*(Calc!$F$3:$F$22&lt;=k_n)*(Calc!$G$3:$G$22&gt;A750)*(Calc!$G$3:$G$22-A750)*Calc!$G$3:$G$22)</f>
        <v/>
      </c>
      <c r="G750">
        <f>SUMPRODUCT((Calc!$F$3:$F$22&gt;=LTP!$E$5)*(Calc!$F$3:$F$22&lt;=k_n)*(Calc!$G$3:$G$22&gt;A750)*(Calc!$G$3:$G$22-A750)*Calc!$I$3:$I$22)</f>
        <v/>
      </c>
      <c r="H750">
        <f>IF($B$469&gt;0,F750-$C$469*D750/$B$469,0)</f>
        <v/>
      </c>
      <c r="I750">
        <f>IF($B$469&gt;0,E750-D750^2/$B$469,0)</f>
        <v/>
      </c>
      <c r="J750">
        <f>IF($B$469&gt;0,G750-D750*$D$469/$B$469,0)</f>
        <v/>
      </c>
      <c r="K750">
        <f>$H$469*I750-H750^2</f>
        <v/>
      </c>
      <c r="L750">
        <f>IF(ABS(K750)&gt;1E-12,($H$469*J750-H750*$I$469)/K750,0)</f>
        <v/>
      </c>
      <c r="M750">
        <f>IF(ABS(K750)&gt;1E-12,(I750*$I$469-H750*J750)/K750,0)</f>
        <v/>
      </c>
      <c r="N750">
        <f>$J$469-M750*$I$469-L750*J750</f>
        <v/>
      </c>
      <c r="O750">
        <f>IF(AND(C750,ABS(K750)&gt;1E-12,L750&gt;0),N750,1E+300)</f>
        <v/>
      </c>
    </row>
    <row r="751">
      <c r="A751">
        <f>$K$469+($L$469-$K$469)*279/400</f>
        <v/>
      </c>
      <c r="B751">
        <f>SUMPRODUCT((Calc!$F$3:$F$22&gt;=LTP!$E$5)*(Calc!$F$3:$F$22&lt;=k_n)*(Calc!$G$3:$G$22&lt;=A751))</f>
        <v/>
      </c>
      <c r="C751">
        <f>AND(B751&gt;=2,$B$469-B751&gt;=2)</f>
        <v/>
      </c>
      <c r="D751">
        <f>SUMPRODUCT((Calc!$F$3:$F$22&gt;=LTP!$E$5)*(Calc!$F$3:$F$22&lt;=k_n)*(Calc!$G$3:$G$22&gt;A751)*(Calc!$G$3:$G$22-A751))</f>
        <v/>
      </c>
      <c r="E751">
        <f>SUMPRODUCT((Calc!$F$3:$F$22&gt;=LTP!$E$5)*(Calc!$F$3:$F$22&lt;=k_n)*(Calc!$G$3:$G$22&gt;A751)*(Calc!$G$3:$G$22-A751)^2)</f>
        <v/>
      </c>
      <c r="F751">
        <f>SUMPRODUCT((Calc!$F$3:$F$22&gt;=LTP!$E$5)*(Calc!$F$3:$F$22&lt;=k_n)*(Calc!$G$3:$G$22&gt;A751)*(Calc!$G$3:$G$22-A751)*Calc!$G$3:$G$22)</f>
        <v/>
      </c>
      <c r="G751">
        <f>SUMPRODUCT((Calc!$F$3:$F$22&gt;=LTP!$E$5)*(Calc!$F$3:$F$22&lt;=k_n)*(Calc!$G$3:$G$22&gt;A751)*(Calc!$G$3:$G$22-A751)*Calc!$I$3:$I$22)</f>
        <v/>
      </c>
      <c r="H751">
        <f>IF($B$469&gt;0,F751-$C$469*D751/$B$469,0)</f>
        <v/>
      </c>
      <c r="I751">
        <f>IF($B$469&gt;0,E751-D751^2/$B$469,0)</f>
        <v/>
      </c>
      <c r="J751">
        <f>IF($B$469&gt;0,G751-D751*$D$469/$B$469,0)</f>
        <v/>
      </c>
      <c r="K751">
        <f>$H$469*I751-H751^2</f>
        <v/>
      </c>
      <c r="L751">
        <f>IF(ABS(K751)&gt;1E-12,($H$469*J751-H751*$I$469)/K751,0)</f>
        <v/>
      </c>
      <c r="M751">
        <f>IF(ABS(K751)&gt;1E-12,(I751*$I$469-H751*J751)/K751,0)</f>
        <v/>
      </c>
      <c r="N751">
        <f>$J$469-M751*$I$469-L751*J751</f>
        <v/>
      </c>
      <c r="O751">
        <f>IF(AND(C751,ABS(K751)&gt;1E-12,L751&gt;0),N751,1E+300)</f>
        <v/>
      </c>
    </row>
    <row r="752">
      <c r="A752">
        <f>$K$469+($L$469-$K$469)*280/400</f>
        <v/>
      </c>
      <c r="B752">
        <f>SUMPRODUCT((Calc!$F$3:$F$22&gt;=LTP!$E$5)*(Calc!$F$3:$F$22&lt;=k_n)*(Calc!$G$3:$G$22&lt;=A752))</f>
        <v/>
      </c>
      <c r="C752">
        <f>AND(B752&gt;=2,$B$469-B752&gt;=2)</f>
        <v/>
      </c>
      <c r="D752">
        <f>SUMPRODUCT((Calc!$F$3:$F$22&gt;=LTP!$E$5)*(Calc!$F$3:$F$22&lt;=k_n)*(Calc!$G$3:$G$22&gt;A752)*(Calc!$G$3:$G$22-A752))</f>
        <v/>
      </c>
      <c r="E752">
        <f>SUMPRODUCT((Calc!$F$3:$F$22&gt;=LTP!$E$5)*(Calc!$F$3:$F$22&lt;=k_n)*(Calc!$G$3:$G$22&gt;A752)*(Calc!$G$3:$G$22-A752)^2)</f>
        <v/>
      </c>
      <c r="F752">
        <f>SUMPRODUCT((Calc!$F$3:$F$22&gt;=LTP!$E$5)*(Calc!$F$3:$F$22&lt;=k_n)*(Calc!$G$3:$G$22&gt;A752)*(Calc!$G$3:$G$22-A752)*Calc!$G$3:$G$22)</f>
        <v/>
      </c>
      <c r="G752">
        <f>SUMPRODUCT((Calc!$F$3:$F$22&gt;=LTP!$E$5)*(Calc!$F$3:$F$22&lt;=k_n)*(Calc!$G$3:$G$22&gt;A752)*(Calc!$G$3:$G$22-A752)*Calc!$I$3:$I$22)</f>
        <v/>
      </c>
      <c r="H752">
        <f>IF($B$469&gt;0,F752-$C$469*D752/$B$469,0)</f>
        <v/>
      </c>
      <c r="I752">
        <f>IF($B$469&gt;0,E752-D752^2/$B$469,0)</f>
        <v/>
      </c>
      <c r="J752">
        <f>IF($B$469&gt;0,G752-D752*$D$469/$B$469,0)</f>
        <v/>
      </c>
      <c r="K752">
        <f>$H$469*I752-H752^2</f>
        <v/>
      </c>
      <c r="L752">
        <f>IF(ABS(K752)&gt;1E-12,($H$469*J752-H752*$I$469)/K752,0)</f>
        <v/>
      </c>
      <c r="M752">
        <f>IF(ABS(K752)&gt;1E-12,(I752*$I$469-H752*J752)/K752,0)</f>
        <v/>
      </c>
      <c r="N752">
        <f>$J$469-M752*$I$469-L752*J752</f>
        <v/>
      </c>
      <c r="O752">
        <f>IF(AND(C752,ABS(K752)&gt;1E-12,L752&gt;0),N752,1E+300)</f>
        <v/>
      </c>
    </row>
    <row r="753">
      <c r="A753">
        <f>$K$469+($L$469-$K$469)*281/400</f>
        <v/>
      </c>
      <c r="B753">
        <f>SUMPRODUCT((Calc!$F$3:$F$22&gt;=LTP!$E$5)*(Calc!$F$3:$F$22&lt;=k_n)*(Calc!$G$3:$G$22&lt;=A753))</f>
        <v/>
      </c>
      <c r="C753">
        <f>AND(B753&gt;=2,$B$469-B753&gt;=2)</f>
        <v/>
      </c>
      <c r="D753">
        <f>SUMPRODUCT((Calc!$F$3:$F$22&gt;=LTP!$E$5)*(Calc!$F$3:$F$22&lt;=k_n)*(Calc!$G$3:$G$22&gt;A753)*(Calc!$G$3:$G$22-A753))</f>
        <v/>
      </c>
      <c r="E753">
        <f>SUMPRODUCT((Calc!$F$3:$F$22&gt;=LTP!$E$5)*(Calc!$F$3:$F$22&lt;=k_n)*(Calc!$G$3:$G$22&gt;A753)*(Calc!$G$3:$G$22-A753)^2)</f>
        <v/>
      </c>
      <c r="F753">
        <f>SUMPRODUCT((Calc!$F$3:$F$22&gt;=LTP!$E$5)*(Calc!$F$3:$F$22&lt;=k_n)*(Calc!$G$3:$G$22&gt;A753)*(Calc!$G$3:$G$22-A753)*Calc!$G$3:$G$22)</f>
        <v/>
      </c>
      <c r="G753">
        <f>SUMPRODUCT((Calc!$F$3:$F$22&gt;=LTP!$E$5)*(Calc!$F$3:$F$22&lt;=k_n)*(Calc!$G$3:$G$22&gt;A753)*(Calc!$G$3:$G$22-A753)*Calc!$I$3:$I$22)</f>
        <v/>
      </c>
      <c r="H753">
        <f>IF($B$469&gt;0,F753-$C$469*D753/$B$469,0)</f>
        <v/>
      </c>
      <c r="I753">
        <f>IF($B$469&gt;0,E753-D753^2/$B$469,0)</f>
        <v/>
      </c>
      <c r="J753">
        <f>IF($B$469&gt;0,G753-D753*$D$469/$B$469,0)</f>
        <v/>
      </c>
      <c r="K753">
        <f>$H$469*I753-H753^2</f>
        <v/>
      </c>
      <c r="L753">
        <f>IF(ABS(K753)&gt;1E-12,($H$469*J753-H753*$I$469)/K753,0)</f>
        <v/>
      </c>
      <c r="M753">
        <f>IF(ABS(K753)&gt;1E-12,(I753*$I$469-H753*J753)/K753,0)</f>
        <v/>
      </c>
      <c r="N753">
        <f>$J$469-M753*$I$469-L753*J753</f>
        <v/>
      </c>
      <c r="O753">
        <f>IF(AND(C753,ABS(K753)&gt;1E-12,L753&gt;0),N753,1E+300)</f>
        <v/>
      </c>
    </row>
    <row r="754">
      <c r="A754">
        <f>$K$469+($L$469-$K$469)*282/400</f>
        <v/>
      </c>
      <c r="B754">
        <f>SUMPRODUCT((Calc!$F$3:$F$22&gt;=LTP!$E$5)*(Calc!$F$3:$F$22&lt;=k_n)*(Calc!$G$3:$G$22&lt;=A754))</f>
        <v/>
      </c>
      <c r="C754">
        <f>AND(B754&gt;=2,$B$469-B754&gt;=2)</f>
        <v/>
      </c>
      <c r="D754">
        <f>SUMPRODUCT((Calc!$F$3:$F$22&gt;=LTP!$E$5)*(Calc!$F$3:$F$22&lt;=k_n)*(Calc!$G$3:$G$22&gt;A754)*(Calc!$G$3:$G$22-A754))</f>
        <v/>
      </c>
      <c r="E754">
        <f>SUMPRODUCT((Calc!$F$3:$F$22&gt;=LTP!$E$5)*(Calc!$F$3:$F$22&lt;=k_n)*(Calc!$G$3:$G$22&gt;A754)*(Calc!$G$3:$G$22-A754)^2)</f>
        <v/>
      </c>
      <c r="F754">
        <f>SUMPRODUCT((Calc!$F$3:$F$22&gt;=LTP!$E$5)*(Calc!$F$3:$F$22&lt;=k_n)*(Calc!$G$3:$G$22&gt;A754)*(Calc!$G$3:$G$22-A754)*Calc!$G$3:$G$22)</f>
        <v/>
      </c>
      <c r="G754">
        <f>SUMPRODUCT((Calc!$F$3:$F$22&gt;=LTP!$E$5)*(Calc!$F$3:$F$22&lt;=k_n)*(Calc!$G$3:$G$22&gt;A754)*(Calc!$G$3:$G$22-A754)*Calc!$I$3:$I$22)</f>
        <v/>
      </c>
      <c r="H754">
        <f>IF($B$469&gt;0,F754-$C$469*D754/$B$469,0)</f>
        <v/>
      </c>
      <c r="I754">
        <f>IF($B$469&gt;0,E754-D754^2/$B$469,0)</f>
        <v/>
      </c>
      <c r="J754">
        <f>IF($B$469&gt;0,G754-D754*$D$469/$B$469,0)</f>
        <v/>
      </c>
      <c r="K754">
        <f>$H$469*I754-H754^2</f>
        <v/>
      </c>
      <c r="L754">
        <f>IF(ABS(K754)&gt;1E-12,($H$469*J754-H754*$I$469)/K754,0)</f>
        <v/>
      </c>
      <c r="M754">
        <f>IF(ABS(K754)&gt;1E-12,(I754*$I$469-H754*J754)/K754,0)</f>
        <v/>
      </c>
      <c r="N754">
        <f>$J$469-M754*$I$469-L754*J754</f>
        <v/>
      </c>
      <c r="O754">
        <f>IF(AND(C754,ABS(K754)&gt;1E-12,L754&gt;0),N754,1E+300)</f>
        <v/>
      </c>
    </row>
    <row r="755">
      <c r="A755">
        <f>$K$469+($L$469-$K$469)*283/400</f>
        <v/>
      </c>
      <c r="B755">
        <f>SUMPRODUCT((Calc!$F$3:$F$22&gt;=LTP!$E$5)*(Calc!$F$3:$F$22&lt;=k_n)*(Calc!$G$3:$G$22&lt;=A755))</f>
        <v/>
      </c>
      <c r="C755">
        <f>AND(B755&gt;=2,$B$469-B755&gt;=2)</f>
        <v/>
      </c>
      <c r="D755">
        <f>SUMPRODUCT((Calc!$F$3:$F$22&gt;=LTP!$E$5)*(Calc!$F$3:$F$22&lt;=k_n)*(Calc!$G$3:$G$22&gt;A755)*(Calc!$G$3:$G$22-A755))</f>
        <v/>
      </c>
      <c r="E755">
        <f>SUMPRODUCT((Calc!$F$3:$F$22&gt;=LTP!$E$5)*(Calc!$F$3:$F$22&lt;=k_n)*(Calc!$G$3:$G$22&gt;A755)*(Calc!$G$3:$G$22-A755)^2)</f>
        <v/>
      </c>
      <c r="F755">
        <f>SUMPRODUCT((Calc!$F$3:$F$22&gt;=LTP!$E$5)*(Calc!$F$3:$F$22&lt;=k_n)*(Calc!$G$3:$G$22&gt;A755)*(Calc!$G$3:$G$22-A755)*Calc!$G$3:$G$22)</f>
        <v/>
      </c>
      <c r="G755">
        <f>SUMPRODUCT((Calc!$F$3:$F$22&gt;=LTP!$E$5)*(Calc!$F$3:$F$22&lt;=k_n)*(Calc!$G$3:$G$22&gt;A755)*(Calc!$G$3:$G$22-A755)*Calc!$I$3:$I$22)</f>
        <v/>
      </c>
      <c r="H755">
        <f>IF($B$469&gt;0,F755-$C$469*D755/$B$469,0)</f>
        <v/>
      </c>
      <c r="I755">
        <f>IF($B$469&gt;0,E755-D755^2/$B$469,0)</f>
        <v/>
      </c>
      <c r="J755">
        <f>IF($B$469&gt;0,G755-D755*$D$469/$B$469,0)</f>
        <v/>
      </c>
      <c r="K755">
        <f>$H$469*I755-H755^2</f>
        <v/>
      </c>
      <c r="L755">
        <f>IF(ABS(K755)&gt;1E-12,($H$469*J755-H755*$I$469)/K755,0)</f>
        <v/>
      </c>
      <c r="M755">
        <f>IF(ABS(K755)&gt;1E-12,(I755*$I$469-H755*J755)/K755,0)</f>
        <v/>
      </c>
      <c r="N755">
        <f>$J$469-M755*$I$469-L755*J755</f>
        <v/>
      </c>
      <c r="O755">
        <f>IF(AND(C755,ABS(K755)&gt;1E-12,L755&gt;0),N755,1E+300)</f>
        <v/>
      </c>
    </row>
    <row r="756">
      <c r="A756">
        <f>$K$469+($L$469-$K$469)*284/400</f>
        <v/>
      </c>
      <c r="B756">
        <f>SUMPRODUCT((Calc!$F$3:$F$22&gt;=LTP!$E$5)*(Calc!$F$3:$F$22&lt;=k_n)*(Calc!$G$3:$G$22&lt;=A756))</f>
        <v/>
      </c>
      <c r="C756">
        <f>AND(B756&gt;=2,$B$469-B756&gt;=2)</f>
        <v/>
      </c>
      <c r="D756">
        <f>SUMPRODUCT((Calc!$F$3:$F$22&gt;=LTP!$E$5)*(Calc!$F$3:$F$22&lt;=k_n)*(Calc!$G$3:$G$22&gt;A756)*(Calc!$G$3:$G$22-A756))</f>
        <v/>
      </c>
      <c r="E756">
        <f>SUMPRODUCT((Calc!$F$3:$F$22&gt;=LTP!$E$5)*(Calc!$F$3:$F$22&lt;=k_n)*(Calc!$G$3:$G$22&gt;A756)*(Calc!$G$3:$G$22-A756)^2)</f>
        <v/>
      </c>
      <c r="F756">
        <f>SUMPRODUCT((Calc!$F$3:$F$22&gt;=LTP!$E$5)*(Calc!$F$3:$F$22&lt;=k_n)*(Calc!$G$3:$G$22&gt;A756)*(Calc!$G$3:$G$22-A756)*Calc!$G$3:$G$22)</f>
        <v/>
      </c>
      <c r="G756">
        <f>SUMPRODUCT((Calc!$F$3:$F$22&gt;=LTP!$E$5)*(Calc!$F$3:$F$22&lt;=k_n)*(Calc!$G$3:$G$22&gt;A756)*(Calc!$G$3:$G$22-A756)*Calc!$I$3:$I$22)</f>
        <v/>
      </c>
      <c r="H756">
        <f>IF($B$469&gt;0,F756-$C$469*D756/$B$469,0)</f>
        <v/>
      </c>
      <c r="I756">
        <f>IF($B$469&gt;0,E756-D756^2/$B$469,0)</f>
        <v/>
      </c>
      <c r="J756">
        <f>IF($B$469&gt;0,G756-D756*$D$469/$B$469,0)</f>
        <v/>
      </c>
      <c r="K756">
        <f>$H$469*I756-H756^2</f>
        <v/>
      </c>
      <c r="L756">
        <f>IF(ABS(K756)&gt;1E-12,($H$469*J756-H756*$I$469)/K756,0)</f>
        <v/>
      </c>
      <c r="M756">
        <f>IF(ABS(K756)&gt;1E-12,(I756*$I$469-H756*J756)/K756,0)</f>
        <v/>
      </c>
      <c r="N756">
        <f>$J$469-M756*$I$469-L756*J756</f>
        <v/>
      </c>
      <c r="O756">
        <f>IF(AND(C756,ABS(K756)&gt;1E-12,L756&gt;0),N756,1E+300)</f>
        <v/>
      </c>
    </row>
    <row r="757">
      <c r="A757">
        <f>$K$469+($L$469-$K$469)*285/400</f>
        <v/>
      </c>
      <c r="B757">
        <f>SUMPRODUCT((Calc!$F$3:$F$22&gt;=LTP!$E$5)*(Calc!$F$3:$F$22&lt;=k_n)*(Calc!$G$3:$G$22&lt;=A757))</f>
        <v/>
      </c>
      <c r="C757">
        <f>AND(B757&gt;=2,$B$469-B757&gt;=2)</f>
        <v/>
      </c>
      <c r="D757">
        <f>SUMPRODUCT((Calc!$F$3:$F$22&gt;=LTP!$E$5)*(Calc!$F$3:$F$22&lt;=k_n)*(Calc!$G$3:$G$22&gt;A757)*(Calc!$G$3:$G$22-A757))</f>
        <v/>
      </c>
      <c r="E757">
        <f>SUMPRODUCT((Calc!$F$3:$F$22&gt;=LTP!$E$5)*(Calc!$F$3:$F$22&lt;=k_n)*(Calc!$G$3:$G$22&gt;A757)*(Calc!$G$3:$G$22-A757)^2)</f>
        <v/>
      </c>
      <c r="F757">
        <f>SUMPRODUCT((Calc!$F$3:$F$22&gt;=LTP!$E$5)*(Calc!$F$3:$F$22&lt;=k_n)*(Calc!$G$3:$G$22&gt;A757)*(Calc!$G$3:$G$22-A757)*Calc!$G$3:$G$22)</f>
        <v/>
      </c>
      <c r="G757">
        <f>SUMPRODUCT((Calc!$F$3:$F$22&gt;=LTP!$E$5)*(Calc!$F$3:$F$22&lt;=k_n)*(Calc!$G$3:$G$22&gt;A757)*(Calc!$G$3:$G$22-A757)*Calc!$I$3:$I$22)</f>
        <v/>
      </c>
      <c r="H757">
        <f>IF($B$469&gt;0,F757-$C$469*D757/$B$469,0)</f>
        <v/>
      </c>
      <c r="I757">
        <f>IF($B$469&gt;0,E757-D757^2/$B$469,0)</f>
        <v/>
      </c>
      <c r="J757">
        <f>IF($B$469&gt;0,G757-D757*$D$469/$B$469,0)</f>
        <v/>
      </c>
      <c r="K757">
        <f>$H$469*I757-H757^2</f>
        <v/>
      </c>
      <c r="L757">
        <f>IF(ABS(K757)&gt;1E-12,($H$469*J757-H757*$I$469)/K757,0)</f>
        <v/>
      </c>
      <c r="M757">
        <f>IF(ABS(K757)&gt;1E-12,(I757*$I$469-H757*J757)/K757,0)</f>
        <v/>
      </c>
      <c r="N757">
        <f>$J$469-M757*$I$469-L757*J757</f>
        <v/>
      </c>
      <c r="O757">
        <f>IF(AND(C757,ABS(K757)&gt;1E-12,L757&gt;0),N757,1E+300)</f>
        <v/>
      </c>
    </row>
    <row r="758">
      <c r="A758">
        <f>$K$469+($L$469-$K$469)*286/400</f>
        <v/>
      </c>
      <c r="B758">
        <f>SUMPRODUCT((Calc!$F$3:$F$22&gt;=LTP!$E$5)*(Calc!$F$3:$F$22&lt;=k_n)*(Calc!$G$3:$G$22&lt;=A758))</f>
        <v/>
      </c>
      <c r="C758">
        <f>AND(B758&gt;=2,$B$469-B758&gt;=2)</f>
        <v/>
      </c>
      <c r="D758">
        <f>SUMPRODUCT((Calc!$F$3:$F$22&gt;=LTP!$E$5)*(Calc!$F$3:$F$22&lt;=k_n)*(Calc!$G$3:$G$22&gt;A758)*(Calc!$G$3:$G$22-A758))</f>
        <v/>
      </c>
      <c r="E758">
        <f>SUMPRODUCT((Calc!$F$3:$F$22&gt;=LTP!$E$5)*(Calc!$F$3:$F$22&lt;=k_n)*(Calc!$G$3:$G$22&gt;A758)*(Calc!$G$3:$G$22-A758)^2)</f>
        <v/>
      </c>
      <c r="F758">
        <f>SUMPRODUCT((Calc!$F$3:$F$22&gt;=LTP!$E$5)*(Calc!$F$3:$F$22&lt;=k_n)*(Calc!$G$3:$G$22&gt;A758)*(Calc!$G$3:$G$22-A758)*Calc!$G$3:$G$22)</f>
        <v/>
      </c>
      <c r="G758">
        <f>SUMPRODUCT((Calc!$F$3:$F$22&gt;=LTP!$E$5)*(Calc!$F$3:$F$22&lt;=k_n)*(Calc!$G$3:$G$22&gt;A758)*(Calc!$G$3:$G$22-A758)*Calc!$I$3:$I$22)</f>
        <v/>
      </c>
      <c r="H758">
        <f>IF($B$469&gt;0,F758-$C$469*D758/$B$469,0)</f>
        <v/>
      </c>
      <c r="I758">
        <f>IF($B$469&gt;0,E758-D758^2/$B$469,0)</f>
        <v/>
      </c>
      <c r="J758">
        <f>IF($B$469&gt;0,G758-D758*$D$469/$B$469,0)</f>
        <v/>
      </c>
      <c r="K758">
        <f>$H$469*I758-H758^2</f>
        <v/>
      </c>
      <c r="L758">
        <f>IF(ABS(K758)&gt;1E-12,($H$469*J758-H758*$I$469)/K758,0)</f>
        <v/>
      </c>
      <c r="M758">
        <f>IF(ABS(K758)&gt;1E-12,(I758*$I$469-H758*J758)/K758,0)</f>
        <v/>
      </c>
      <c r="N758">
        <f>$J$469-M758*$I$469-L758*J758</f>
        <v/>
      </c>
      <c r="O758">
        <f>IF(AND(C758,ABS(K758)&gt;1E-12,L758&gt;0),N758,1E+300)</f>
        <v/>
      </c>
    </row>
    <row r="759">
      <c r="A759">
        <f>$K$469+($L$469-$K$469)*287/400</f>
        <v/>
      </c>
      <c r="B759">
        <f>SUMPRODUCT((Calc!$F$3:$F$22&gt;=LTP!$E$5)*(Calc!$F$3:$F$22&lt;=k_n)*(Calc!$G$3:$G$22&lt;=A759))</f>
        <v/>
      </c>
      <c r="C759">
        <f>AND(B759&gt;=2,$B$469-B759&gt;=2)</f>
        <v/>
      </c>
      <c r="D759">
        <f>SUMPRODUCT((Calc!$F$3:$F$22&gt;=LTP!$E$5)*(Calc!$F$3:$F$22&lt;=k_n)*(Calc!$G$3:$G$22&gt;A759)*(Calc!$G$3:$G$22-A759))</f>
        <v/>
      </c>
      <c r="E759">
        <f>SUMPRODUCT((Calc!$F$3:$F$22&gt;=LTP!$E$5)*(Calc!$F$3:$F$22&lt;=k_n)*(Calc!$G$3:$G$22&gt;A759)*(Calc!$G$3:$G$22-A759)^2)</f>
        <v/>
      </c>
      <c r="F759">
        <f>SUMPRODUCT((Calc!$F$3:$F$22&gt;=LTP!$E$5)*(Calc!$F$3:$F$22&lt;=k_n)*(Calc!$G$3:$G$22&gt;A759)*(Calc!$G$3:$G$22-A759)*Calc!$G$3:$G$22)</f>
        <v/>
      </c>
      <c r="G759">
        <f>SUMPRODUCT((Calc!$F$3:$F$22&gt;=LTP!$E$5)*(Calc!$F$3:$F$22&lt;=k_n)*(Calc!$G$3:$G$22&gt;A759)*(Calc!$G$3:$G$22-A759)*Calc!$I$3:$I$22)</f>
        <v/>
      </c>
      <c r="H759">
        <f>IF($B$469&gt;0,F759-$C$469*D759/$B$469,0)</f>
        <v/>
      </c>
      <c r="I759">
        <f>IF($B$469&gt;0,E759-D759^2/$B$469,0)</f>
        <v/>
      </c>
      <c r="J759">
        <f>IF($B$469&gt;0,G759-D759*$D$469/$B$469,0)</f>
        <v/>
      </c>
      <c r="K759">
        <f>$H$469*I759-H759^2</f>
        <v/>
      </c>
      <c r="L759">
        <f>IF(ABS(K759)&gt;1E-12,($H$469*J759-H759*$I$469)/K759,0)</f>
        <v/>
      </c>
      <c r="M759">
        <f>IF(ABS(K759)&gt;1E-12,(I759*$I$469-H759*J759)/K759,0)</f>
        <v/>
      </c>
      <c r="N759">
        <f>$J$469-M759*$I$469-L759*J759</f>
        <v/>
      </c>
      <c r="O759">
        <f>IF(AND(C759,ABS(K759)&gt;1E-12,L759&gt;0),N759,1E+300)</f>
        <v/>
      </c>
    </row>
    <row r="760">
      <c r="A760">
        <f>$K$469+($L$469-$K$469)*288/400</f>
        <v/>
      </c>
      <c r="B760">
        <f>SUMPRODUCT((Calc!$F$3:$F$22&gt;=LTP!$E$5)*(Calc!$F$3:$F$22&lt;=k_n)*(Calc!$G$3:$G$22&lt;=A760))</f>
        <v/>
      </c>
      <c r="C760">
        <f>AND(B760&gt;=2,$B$469-B760&gt;=2)</f>
        <v/>
      </c>
      <c r="D760">
        <f>SUMPRODUCT((Calc!$F$3:$F$22&gt;=LTP!$E$5)*(Calc!$F$3:$F$22&lt;=k_n)*(Calc!$G$3:$G$22&gt;A760)*(Calc!$G$3:$G$22-A760))</f>
        <v/>
      </c>
      <c r="E760">
        <f>SUMPRODUCT((Calc!$F$3:$F$22&gt;=LTP!$E$5)*(Calc!$F$3:$F$22&lt;=k_n)*(Calc!$G$3:$G$22&gt;A760)*(Calc!$G$3:$G$22-A760)^2)</f>
        <v/>
      </c>
      <c r="F760">
        <f>SUMPRODUCT((Calc!$F$3:$F$22&gt;=LTP!$E$5)*(Calc!$F$3:$F$22&lt;=k_n)*(Calc!$G$3:$G$22&gt;A760)*(Calc!$G$3:$G$22-A760)*Calc!$G$3:$G$22)</f>
        <v/>
      </c>
      <c r="G760">
        <f>SUMPRODUCT((Calc!$F$3:$F$22&gt;=LTP!$E$5)*(Calc!$F$3:$F$22&lt;=k_n)*(Calc!$G$3:$G$22&gt;A760)*(Calc!$G$3:$G$22-A760)*Calc!$I$3:$I$22)</f>
        <v/>
      </c>
      <c r="H760">
        <f>IF($B$469&gt;0,F760-$C$469*D760/$B$469,0)</f>
        <v/>
      </c>
      <c r="I760">
        <f>IF($B$469&gt;0,E760-D760^2/$B$469,0)</f>
        <v/>
      </c>
      <c r="J760">
        <f>IF($B$469&gt;0,G760-D760*$D$469/$B$469,0)</f>
        <v/>
      </c>
      <c r="K760">
        <f>$H$469*I760-H760^2</f>
        <v/>
      </c>
      <c r="L760">
        <f>IF(ABS(K760)&gt;1E-12,($H$469*J760-H760*$I$469)/K760,0)</f>
        <v/>
      </c>
      <c r="M760">
        <f>IF(ABS(K760)&gt;1E-12,(I760*$I$469-H760*J760)/K760,0)</f>
        <v/>
      </c>
      <c r="N760">
        <f>$J$469-M760*$I$469-L760*J760</f>
        <v/>
      </c>
      <c r="O760">
        <f>IF(AND(C760,ABS(K760)&gt;1E-12,L760&gt;0),N760,1E+300)</f>
        <v/>
      </c>
    </row>
    <row r="761">
      <c r="A761">
        <f>$K$469+($L$469-$K$469)*289/400</f>
        <v/>
      </c>
      <c r="B761">
        <f>SUMPRODUCT((Calc!$F$3:$F$22&gt;=LTP!$E$5)*(Calc!$F$3:$F$22&lt;=k_n)*(Calc!$G$3:$G$22&lt;=A761))</f>
        <v/>
      </c>
      <c r="C761">
        <f>AND(B761&gt;=2,$B$469-B761&gt;=2)</f>
        <v/>
      </c>
      <c r="D761">
        <f>SUMPRODUCT((Calc!$F$3:$F$22&gt;=LTP!$E$5)*(Calc!$F$3:$F$22&lt;=k_n)*(Calc!$G$3:$G$22&gt;A761)*(Calc!$G$3:$G$22-A761))</f>
        <v/>
      </c>
      <c r="E761">
        <f>SUMPRODUCT((Calc!$F$3:$F$22&gt;=LTP!$E$5)*(Calc!$F$3:$F$22&lt;=k_n)*(Calc!$G$3:$G$22&gt;A761)*(Calc!$G$3:$G$22-A761)^2)</f>
        <v/>
      </c>
      <c r="F761">
        <f>SUMPRODUCT((Calc!$F$3:$F$22&gt;=LTP!$E$5)*(Calc!$F$3:$F$22&lt;=k_n)*(Calc!$G$3:$G$22&gt;A761)*(Calc!$G$3:$G$22-A761)*Calc!$G$3:$G$22)</f>
        <v/>
      </c>
      <c r="G761">
        <f>SUMPRODUCT((Calc!$F$3:$F$22&gt;=LTP!$E$5)*(Calc!$F$3:$F$22&lt;=k_n)*(Calc!$G$3:$G$22&gt;A761)*(Calc!$G$3:$G$22-A761)*Calc!$I$3:$I$22)</f>
        <v/>
      </c>
      <c r="H761">
        <f>IF($B$469&gt;0,F761-$C$469*D761/$B$469,0)</f>
        <v/>
      </c>
      <c r="I761">
        <f>IF($B$469&gt;0,E761-D761^2/$B$469,0)</f>
        <v/>
      </c>
      <c r="J761">
        <f>IF($B$469&gt;0,G761-D761*$D$469/$B$469,0)</f>
        <v/>
      </c>
      <c r="K761">
        <f>$H$469*I761-H761^2</f>
        <v/>
      </c>
      <c r="L761">
        <f>IF(ABS(K761)&gt;1E-12,($H$469*J761-H761*$I$469)/K761,0)</f>
        <v/>
      </c>
      <c r="M761">
        <f>IF(ABS(K761)&gt;1E-12,(I761*$I$469-H761*J761)/K761,0)</f>
        <v/>
      </c>
      <c r="N761">
        <f>$J$469-M761*$I$469-L761*J761</f>
        <v/>
      </c>
      <c r="O761">
        <f>IF(AND(C761,ABS(K761)&gt;1E-12,L761&gt;0),N761,1E+300)</f>
        <v/>
      </c>
    </row>
    <row r="762">
      <c r="A762">
        <f>$K$469+($L$469-$K$469)*290/400</f>
        <v/>
      </c>
      <c r="B762">
        <f>SUMPRODUCT((Calc!$F$3:$F$22&gt;=LTP!$E$5)*(Calc!$F$3:$F$22&lt;=k_n)*(Calc!$G$3:$G$22&lt;=A762))</f>
        <v/>
      </c>
      <c r="C762">
        <f>AND(B762&gt;=2,$B$469-B762&gt;=2)</f>
        <v/>
      </c>
      <c r="D762">
        <f>SUMPRODUCT((Calc!$F$3:$F$22&gt;=LTP!$E$5)*(Calc!$F$3:$F$22&lt;=k_n)*(Calc!$G$3:$G$22&gt;A762)*(Calc!$G$3:$G$22-A762))</f>
        <v/>
      </c>
      <c r="E762">
        <f>SUMPRODUCT((Calc!$F$3:$F$22&gt;=LTP!$E$5)*(Calc!$F$3:$F$22&lt;=k_n)*(Calc!$G$3:$G$22&gt;A762)*(Calc!$G$3:$G$22-A762)^2)</f>
        <v/>
      </c>
      <c r="F762">
        <f>SUMPRODUCT((Calc!$F$3:$F$22&gt;=LTP!$E$5)*(Calc!$F$3:$F$22&lt;=k_n)*(Calc!$G$3:$G$22&gt;A762)*(Calc!$G$3:$G$22-A762)*Calc!$G$3:$G$22)</f>
        <v/>
      </c>
      <c r="G762">
        <f>SUMPRODUCT((Calc!$F$3:$F$22&gt;=LTP!$E$5)*(Calc!$F$3:$F$22&lt;=k_n)*(Calc!$G$3:$G$22&gt;A762)*(Calc!$G$3:$G$22-A762)*Calc!$I$3:$I$22)</f>
        <v/>
      </c>
      <c r="H762">
        <f>IF($B$469&gt;0,F762-$C$469*D762/$B$469,0)</f>
        <v/>
      </c>
      <c r="I762">
        <f>IF($B$469&gt;0,E762-D762^2/$B$469,0)</f>
        <v/>
      </c>
      <c r="J762">
        <f>IF($B$469&gt;0,G762-D762*$D$469/$B$469,0)</f>
        <v/>
      </c>
      <c r="K762">
        <f>$H$469*I762-H762^2</f>
        <v/>
      </c>
      <c r="L762">
        <f>IF(ABS(K762)&gt;1E-12,($H$469*J762-H762*$I$469)/K762,0)</f>
        <v/>
      </c>
      <c r="M762">
        <f>IF(ABS(K762)&gt;1E-12,(I762*$I$469-H762*J762)/K762,0)</f>
        <v/>
      </c>
      <c r="N762">
        <f>$J$469-M762*$I$469-L762*J762</f>
        <v/>
      </c>
      <c r="O762">
        <f>IF(AND(C762,ABS(K762)&gt;1E-12,L762&gt;0),N762,1E+300)</f>
        <v/>
      </c>
    </row>
    <row r="763">
      <c r="A763">
        <f>$K$469+($L$469-$K$469)*291/400</f>
        <v/>
      </c>
      <c r="B763">
        <f>SUMPRODUCT((Calc!$F$3:$F$22&gt;=LTP!$E$5)*(Calc!$F$3:$F$22&lt;=k_n)*(Calc!$G$3:$G$22&lt;=A763))</f>
        <v/>
      </c>
      <c r="C763">
        <f>AND(B763&gt;=2,$B$469-B763&gt;=2)</f>
        <v/>
      </c>
      <c r="D763">
        <f>SUMPRODUCT((Calc!$F$3:$F$22&gt;=LTP!$E$5)*(Calc!$F$3:$F$22&lt;=k_n)*(Calc!$G$3:$G$22&gt;A763)*(Calc!$G$3:$G$22-A763))</f>
        <v/>
      </c>
      <c r="E763">
        <f>SUMPRODUCT((Calc!$F$3:$F$22&gt;=LTP!$E$5)*(Calc!$F$3:$F$22&lt;=k_n)*(Calc!$G$3:$G$22&gt;A763)*(Calc!$G$3:$G$22-A763)^2)</f>
        <v/>
      </c>
      <c r="F763">
        <f>SUMPRODUCT((Calc!$F$3:$F$22&gt;=LTP!$E$5)*(Calc!$F$3:$F$22&lt;=k_n)*(Calc!$G$3:$G$22&gt;A763)*(Calc!$G$3:$G$22-A763)*Calc!$G$3:$G$22)</f>
        <v/>
      </c>
      <c r="G763">
        <f>SUMPRODUCT((Calc!$F$3:$F$22&gt;=LTP!$E$5)*(Calc!$F$3:$F$22&lt;=k_n)*(Calc!$G$3:$G$22&gt;A763)*(Calc!$G$3:$G$22-A763)*Calc!$I$3:$I$22)</f>
        <v/>
      </c>
      <c r="H763">
        <f>IF($B$469&gt;0,F763-$C$469*D763/$B$469,0)</f>
        <v/>
      </c>
      <c r="I763">
        <f>IF($B$469&gt;0,E763-D763^2/$B$469,0)</f>
        <v/>
      </c>
      <c r="J763">
        <f>IF($B$469&gt;0,G763-D763*$D$469/$B$469,0)</f>
        <v/>
      </c>
      <c r="K763">
        <f>$H$469*I763-H763^2</f>
        <v/>
      </c>
      <c r="L763">
        <f>IF(ABS(K763)&gt;1E-12,($H$469*J763-H763*$I$469)/K763,0)</f>
        <v/>
      </c>
      <c r="M763">
        <f>IF(ABS(K763)&gt;1E-12,(I763*$I$469-H763*J763)/K763,0)</f>
        <v/>
      </c>
      <c r="N763">
        <f>$J$469-M763*$I$469-L763*J763</f>
        <v/>
      </c>
      <c r="O763">
        <f>IF(AND(C763,ABS(K763)&gt;1E-12,L763&gt;0),N763,1E+300)</f>
        <v/>
      </c>
    </row>
    <row r="764">
      <c r="A764">
        <f>$K$469+($L$469-$K$469)*292/400</f>
        <v/>
      </c>
      <c r="B764">
        <f>SUMPRODUCT((Calc!$F$3:$F$22&gt;=LTP!$E$5)*(Calc!$F$3:$F$22&lt;=k_n)*(Calc!$G$3:$G$22&lt;=A764))</f>
        <v/>
      </c>
      <c r="C764">
        <f>AND(B764&gt;=2,$B$469-B764&gt;=2)</f>
        <v/>
      </c>
      <c r="D764">
        <f>SUMPRODUCT((Calc!$F$3:$F$22&gt;=LTP!$E$5)*(Calc!$F$3:$F$22&lt;=k_n)*(Calc!$G$3:$G$22&gt;A764)*(Calc!$G$3:$G$22-A764))</f>
        <v/>
      </c>
      <c r="E764">
        <f>SUMPRODUCT((Calc!$F$3:$F$22&gt;=LTP!$E$5)*(Calc!$F$3:$F$22&lt;=k_n)*(Calc!$G$3:$G$22&gt;A764)*(Calc!$G$3:$G$22-A764)^2)</f>
        <v/>
      </c>
      <c r="F764">
        <f>SUMPRODUCT((Calc!$F$3:$F$22&gt;=LTP!$E$5)*(Calc!$F$3:$F$22&lt;=k_n)*(Calc!$G$3:$G$22&gt;A764)*(Calc!$G$3:$G$22-A764)*Calc!$G$3:$G$22)</f>
        <v/>
      </c>
      <c r="G764">
        <f>SUMPRODUCT((Calc!$F$3:$F$22&gt;=LTP!$E$5)*(Calc!$F$3:$F$22&lt;=k_n)*(Calc!$G$3:$G$22&gt;A764)*(Calc!$G$3:$G$22-A764)*Calc!$I$3:$I$22)</f>
        <v/>
      </c>
      <c r="H764">
        <f>IF($B$469&gt;0,F764-$C$469*D764/$B$469,0)</f>
        <v/>
      </c>
      <c r="I764">
        <f>IF($B$469&gt;0,E764-D764^2/$B$469,0)</f>
        <v/>
      </c>
      <c r="J764">
        <f>IF($B$469&gt;0,G764-D764*$D$469/$B$469,0)</f>
        <v/>
      </c>
      <c r="K764">
        <f>$H$469*I764-H764^2</f>
        <v/>
      </c>
      <c r="L764">
        <f>IF(ABS(K764)&gt;1E-12,($H$469*J764-H764*$I$469)/K764,0)</f>
        <v/>
      </c>
      <c r="M764">
        <f>IF(ABS(K764)&gt;1E-12,(I764*$I$469-H764*J764)/K764,0)</f>
        <v/>
      </c>
      <c r="N764">
        <f>$J$469-M764*$I$469-L764*J764</f>
        <v/>
      </c>
      <c r="O764">
        <f>IF(AND(C764,ABS(K764)&gt;1E-12,L764&gt;0),N764,1E+300)</f>
        <v/>
      </c>
    </row>
    <row r="765">
      <c r="A765">
        <f>$K$469+($L$469-$K$469)*293/400</f>
        <v/>
      </c>
      <c r="B765">
        <f>SUMPRODUCT((Calc!$F$3:$F$22&gt;=LTP!$E$5)*(Calc!$F$3:$F$22&lt;=k_n)*(Calc!$G$3:$G$22&lt;=A765))</f>
        <v/>
      </c>
      <c r="C765">
        <f>AND(B765&gt;=2,$B$469-B765&gt;=2)</f>
        <v/>
      </c>
      <c r="D765">
        <f>SUMPRODUCT((Calc!$F$3:$F$22&gt;=LTP!$E$5)*(Calc!$F$3:$F$22&lt;=k_n)*(Calc!$G$3:$G$22&gt;A765)*(Calc!$G$3:$G$22-A765))</f>
        <v/>
      </c>
      <c r="E765">
        <f>SUMPRODUCT((Calc!$F$3:$F$22&gt;=LTP!$E$5)*(Calc!$F$3:$F$22&lt;=k_n)*(Calc!$G$3:$G$22&gt;A765)*(Calc!$G$3:$G$22-A765)^2)</f>
        <v/>
      </c>
      <c r="F765">
        <f>SUMPRODUCT((Calc!$F$3:$F$22&gt;=LTP!$E$5)*(Calc!$F$3:$F$22&lt;=k_n)*(Calc!$G$3:$G$22&gt;A765)*(Calc!$G$3:$G$22-A765)*Calc!$G$3:$G$22)</f>
        <v/>
      </c>
      <c r="G765">
        <f>SUMPRODUCT((Calc!$F$3:$F$22&gt;=LTP!$E$5)*(Calc!$F$3:$F$22&lt;=k_n)*(Calc!$G$3:$G$22&gt;A765)*(Calc!$G$3:$G$22-A765)*Calc!$I$3:$I$22)</f>
        <v/>
      </c>
      <c r="H765">
        <f>IF($B$469&gt;0,F765-$C$469*D765/$B$469,0)</f>
        <v/>
      </c>
      <c r="I765">
        <f>IF($B$469&gt;0,E765-D765^2/$B$469,0)</f>
        <v/>
      </c>
      <c r="J765">
        <f>IF($B$469&gt;0,G765-D765*$D$469/$B$469,0)</f>
        <v/>
      </c>
      <c r="K765">
        <f>$H$469*I765-H765^2</f>
        <v/>
      </c>
      <c r="L765">
        <f>IF(ABS(K765)&gt;1E-12,($H$469*J765-H765*$I$469)/K765,0)</f>
        <v/>
      </c>
      <c r="M765">
        <f>IF(ABS(K765)&gt;1E-12,(I765*$I$469-H765*J765)/K765,0)</f>
        <v/>
      </c>
      <c r="N765">
        <f>$J$469-M765*$I$469-L765*J765</f>
        <v/>
      </c>
      <c r="O765">
        <f>IF(AND(C765,ABS(K765)&gt;1E-12,L765&gt;0),N765,1E+300)</f>
        <v/>
      </c>
    </row>
    <row r="766">
      <c r="A766">
        <f>$K$469+($L$469-$K$469)*294/400</f>
        <v/>
      </c>
      <c r="B766">
        <f>SUMPRODUCT((Calc!$F$3:$F$22&gt;=LTP!$E$5)*(Calc!$F$3:$F$22&lt;=k_n)*(Calc!$G$3:$G$22&lt;=A766))</f>
        <v/>
      </c>
      <c r="C766">
        <f>AND(B766&gt;=2,$B$469-B766&gt;=2)</f>
        <v/>
      </c>
      <c r="D766">
        <f>SUMPRODUCT((Calc!$F$3:$F$22&gt;=LTP!$E$5)*(Calc!$F$3:$F$22&lt;=k_n)*(Calc!$G$3:$G$22&gt;A766)*(Calc!$G$3:$G$22-A766))</f>
        <v/>
      </c>
      <c r="E766">
        <f>SUMPRODUCT((Calc!$F$3:$F$22&gt;=LTP!$E$5)*(Calc!$F$3:$F$22&lt;=k_n)*(Calc!$G$3:$G$22&gt;A766)*(Calc!$G$3:$G$22-A766)^2)</f>
        <v/>
      </c>
      <c r="F766">
        <f>SUMPRODUCT((Calc!$F$3:$F$22&gt;=LTP!$E$5)*(Calc!$F$3:$F$22&lt;=k_n)*(Calc!$G$3:$G$22&gt;A766)*(Calc!$G$3:$G$22-A766)*Calc!$G$3:$G$22)</f>
        <v/>
      </c>
      <c r="G766">
        <f>SUMPRODUCT((Calc!$F$3:$F$22&gt;=LTP!$E$5)*(Calc!$F$3:$F$22&lt;=k_n)*(Calc!$G$3:$G$22&gt;A766)*(Calc!$G$3:$G$22-A766)*Calc!$I$3:$I$22)</f>
        <v/>
      </c>
      <c r="H766">
        <f>IF($B$469&gt;0,F766-$C$469*D766/$B$469,0)</f>
        <v/>
      </c>
      <c r="I766">
        <f>IF($B$469&gt;0,E766-D766^2/$B$469,0)</f>
        <v/>
      </c>
      <c r="J766">
        <f>IF($B$469&gt;0,G766-D766*$D$469/$B$469,0)</f>
        <v/>
      </c>
      <c r="K766">
        <f>$H$469*I766-H766^2</f>
        <v/>
      </c>
      <c r="L766">
        <f>IF(ABS(K766)&gt;1E-12,($H$469*J766-H766*$I$469)/K766,0)</f>
        <v/>
      </c>
      <c r="M766">
        <f>IF(ABS(K766)&gt;1E-12,(I766*$I$469-H766*J766)/K766,0)</f>
        <v/>
      </c>
      <c r="N766">
        <f>$J$469-M766*$I$469-L766*J766</f>
        <v/>
      </c>
      <c r="O766">
        <f>IF(AND(C766,ABS(K766)&gt;1E-12,L766&gt;0),N766,1E+300)</f>
        <v/>
      </c>
    </row>
    <row r="767">
      <c r="A767">
        <f>$K$469+($L$469-$K$469)*295/400</f>
        <v/>
      </c>
      <c r="B767">
        <f>SUMPRODUCT((Calc!$F$3:$F$22&gt;=LTP!$E$5)*(Calc!$F$3:$F$22&lt;=k_n)*(Calc!$G$3:$G$22&lt;=A767))</f>
        <v/>
      </c>
      <c r="C767">
        <f>AND(B767&gt;=2,$B$469-B767&gt;=2)</f>
        <v/>
      </c>
      <c r="D767">
        <f>SUMPRODUCT((Calc!$F$3:$F$22&gt;=LTP!$E$5)*(Calc!$F$3:$F$22&lt;=k_n)*(Calc!$G$3:$G$22&gt;A767)*(Calc!$G$3:$G$22-A767))</f>
        <v/>
      </c>
      <c r="E767">
        <f>SUMPRODUCT((Calc!$F$3:$F$22&gt;=LTP!$E$5)*(Calc!$F$3:$F$22&lt;=k_n)*(Calc!$G$3:$G$22&gt;A767)*(Calc!$G$3:$G$22-A767)^2)</f>
        <v/>
      </c>
      <c r="F767">
        <f>SUMPRODUCT((Calc!$F$3:$F$22&gt;=LTP!$E$5)*(Calc!$F$3:$F$22&lt;=k_n)*(Calc!$G$3:$G$22&gt;A767)*(Calc!$G$3:$G$22-A767)*Calc!$G$3:$G$22)</f>
        <v/>
      </c>
      <c r="G767">
        <f>SUMPRODUCT((Calc!$F$3:$F$22&gt;=LTP!$E$5)*(Calc!$F$3:$F$22&lt;=k_n)*(Calc!$G$3:$G$22&gt;A767)*(Calc!$G$3:$G$22-A767)*Calc!$I$3:$I$22)</f>
        <v/>
      </c>
      <c r="H767">
        <f>IF($B$469&gt;0,F767-$C$469*D767/$B$469,0)</f>
        <v/>
      </c>
      <c r="I767">
        <f>IF($B$469&gt;0,E767-D767^2/$B$469,0)</f>
        <v/>
      </c>
      <c r="J767">
        <f>IF($B$469&gt;0,G767-D767*$D$469/$B$469,0)</f>
        <v/>
      </c>
      <c r="K767">
        <f>$H$469*I767-H767^2</f>
        <v/>
      </c>
      <c r="L767">
        <f>IF(ABS(K767)&gt;1E-12,($H$469*J767-H767*$I$469)/K767,0)</f>
        <v/>
      </c>
      <c r="M767">
        <f>IF(ABS(K767)&gt;1E-12,(I767*$I$469-H767*J767)/K767,0)</f>
        <v/>
      </c>
      <c r="N767">
        <f>$J$469-M767*$I$469-L767*J767</f>
        <v/>
      </c>
      <c r="O767">
        <f>IF(AND(C767,ABS(K767)&gt;1E-12,L767&gt;0),N767,1E+300)</f>
        <v/>
      </c>
    </row>
    <row r="768">
      <c r="A768">
        <f>$K$469+($L$469-$K$469)*296/400</f>
        <v/>
      </c>
      <c r="B768">
        <f>SUMPRODUCT((Calc!$F$3:$F$22&gt;=LTP!$E$5)*(Calc!$F$3:$F$22&lt;=k_n)*(Calc!$G$3:$G$22&lt;=A768))</f>
        <v/>
      </c>
      <c r="C768">
        <f>AND(B768&gt;=2,$B$469-B768&gt;=2)</f>
        <v/>
      </c>
      <c r="D768">
        <f>SUMPRODUCT((Calc!$F$3:$F$22&gt;=LTP!$E$5)*(Calc!$F$3:$F$22&lt;=k_n)*(Calc!$G$3:$G$22&gt;A768)*(Calc!$G$3:$G$22-A768))</f>
        <v/>
      </c>
      <c r="E768">
        <f>SUMPRODUCT((Calc!$F$3:$F$22&gt;=LTP!$E$5)*(Calc!$F$3:$F$22&lt;=k_n)*(Calc!$G$3:$G$22&gt;A768)*(Calc!$G$3:$G$22-A768)^2)</f>
        <v/>
      </c>
      <c r="F768">
        <f>SUMPRODUCT((Calc!$F$3:$F$22&gt;=LTP!$E$5)*(Calc!$F$3:$F$22&lt;=k_n)*(Calc!$G$3:$G$22&gt;A768)*(Calc!$G$3:$G$22-A768)*Calc!$G$3:$G$22)</f>
        <v/>
      </c>
      <c r="G768">
        <f>SUMPRODUCT((Calc!$F$3:$F$22&gt;=LTP!$E$5)*(Calc!$F$3:$F$22&lt;=k_n)*(Calc!$G$3:$G$22&gt;A768)*(Calc!$G$3:$G$22-A768)*Calc!$I$3:$I$22)</f>
        <v/>
      </c>
      <c r="H768">
        <f>IF($B$469&gt;0,F768-$C$469*D768/$B$469,0)</f>
        <v/>
      </c>
      <c r="I768">
        <f>IF($B$469&gt;0,E768-D768^2/$B$469,0)</f>
        <v/>
      </c>
      <c r="J768">
        <f>IF($B$469&gt;0,G768-D768*$D$469/$B$469,0)</f>
        <v/>
      </c>
      <c r="K768">
        <f>$H$469*I768-H768^2</f>
        <v/>
      </c>
      <c r="L768">
        <f>IF(ABS(K768)&gt;1E-12,($H$469*J768-H768*$I$469)/K768,0)</f>
        <v/>
      </c>
      <c r="M768">
        <f>IF(ABS(K768)&gt;1E-12,(I768*$I$469-H768*J768)/K768,0)</f>
        <v/>
      </c>
      <c r="N768">
        <f>$J$469-M768*$I$469-L768*J768</f>
        <v/>
      </c>
      <c r="O768">
        <f>IF(AND(C768,ABS(K768)&gt;1E-12,L768&gt;0),N768,1E+300)</f>
        <v/>
      </c>
    </row>
    <row r="769">
      <c r="A769">
        <f>$K$469+($L$469-$K$469)*297/400</f>
        <v/>
      </c>
      <c r="B769">
        <f>SUMPRODUCT((Calc!$F$3:$F$22&gt;=LTP!$E$5)*(Calc!$F$3:$F$22&lt;=k_n)*(Calc!$G$3:$G$22&lt;=A769))</f>
        <v/>
      </c>
      <c r="C769">
        <f>AND(B769&gt;=2,$B$469-B769&gt;=2)</f>
        <v/>
      </c>
      <c r="D769">
        <f>SUMPRODUCT((Calc!$F$3:$F$22&gt;=LTP!$E$5)*(Calc!$F$3:$F$22&lt;=k_n)*(Calc!$G$3:$G$22&gt;A769)*(Calc!$G$3:$G$22-A769))</f>
        <v/>
      </c>
      <c r="E769">
        <f>SUMPRODUCT((Calc!$F$3:$F$22&gt;=LTP!$E$5)*(Calc!$F$3:$F$22&lt;=k_n)*(Calc!$G$3:$G$22&gt;A769)*(Calc!$G$3:$G$22-A769)^2)</f>
        <v/>
      </c>
      <c r="F769">
        <f>SUMPRODUCT((Calc!$F$3:$F$22&gt;=LTP!$E$5)*(Calc!$F$3:$F$22&lt;=k_n)*(Calc!$G$3:$G$22&gt;A769)*(Calc!$G$3:$G$22-A769)*Calc!$G$3:$G$22)</f>
        <v/>
      </c>
      <c r="G769">
        <f>SUMPRODUCT((Calc!$F$3:$F$22&gt;=LTP!$E$5)*(Calc!$F$3:$F$22&lt;=k_n)*(Calc!$G$3:$G$22&gt;A769)*(Calc!$G$3:$G$22-A769)*Calc!$I$3:$I$22)</f>
        <v/>
      </c>
      <c r="H769">
        <f>IF($B$469&gt;0,F769-$C$469*D769/$B$469,0)</f>
        <v/>
      </c>
      <c r="I769">
        <f>IF($B$469&gt;0,E769-D769^2/$B$469,0)</f>
        <v/>
      </c>
      <c r="J769">
        <f>IF($B$469&gt;0,G769-D769*$D$469/$B$469,0)</f>
        <v/>
      </c>
      <c r="K769">
        <f>$H$469*I769-H769^2</f>
        <v/>
      </c>
      <c r="L769">
        <f>IF(ABS(K769)&gt;1E-12,($H$469*J769-H769*$I$469)/K769,0)</f>
        <v/>
      </c>
      <c r="M769">
        <f>IF(ABS(K769)&gt;1E-12,(I769*$I$469-H769*J769)/K769,0)</f>
        <v/>
      </c>
      <c r="N769">
        <f>$J$469-M769*$I$469-L769*J769</f>
        <v/>
      </c>
      <c r="O769">
        <f>IF(AND(C769,ABS(K769)&gt;1E-12,L769&gt;0),N769,1E+300)</f>
        <v/>
      </c>
    </row>
    <row r="770">
      <c r="A770">
        <f>$K$469+($L$469-$K$469)*298/400</f>
        <v/>
      </c>
      <c r="B770">
        <f>SUMPRODUCT((Calc!$F$3:$F$22&gt;=LTP!$E$5)*(Calc!$F$3:$F$22&lt;=k_n)*(Calc!$G$3:$G$22&lt;=A770))</f>
        <v/>
      </c>
      <c r="C770">
        <f>AND(B770&gt;=2,$B$469-B770&gt;=2)</f>
        <v/>
      </c>
      <c r="D770">
        <f>SUMPRODUCT((Calc!$F$3:$F$22&gt;=LTP!$E$5)*(Calc!$F$3:$F$22&lt;=k_n)*(Calc!$G$3:$G$22&gt;A770)*(Calc!$G$3:$G$22-A770))</f>
        <v/>
      </c>
      <c r="E770">
        <f>SUMPRODUCT((Calc!$F$3:$F$22&gt;=LTP!$E$5)*(Calc!$F$3:$F$22&lt;=k_n)*(Calc!$G$3:$G$22&gt;A770)*(Calc!$G$3:$G$22-A770)^2)</f>
        <v/>
      </c>
      <c r="F770">
        <f>SUMPRODUCT((Calc!$F$3:$F$22&gt;=LTP!$E$5)*(Calc!$F$3:$F$22&lt;=k_n)*(Calc!$G$3:$G$22&gt;A770)*(Calc!$G$3:$G$22-A770)*Calc!$G$3:$G$22)</f>
        <v/>
      </c>
      <c r="G770">
        <f>SUMPRODUCT((Calc!$F$3:$F$22&gt;=LTP!$E$5)*(Calc!$F$3:$F$22&lt;=k_n)*(Calc!$G$3:$G$22&gt;A770)*(Calc!$G$3:$G$22-A770)*Calc!$I$3:$I$22)</f>
        <v/>
      </c>
      <c r="H770">
        <f>IF($B$469&gt;0,F770-$C$469*D770/$B$469,0)</f>
        <v/>
      </c>
      <c r="I770">
        <f>IF($B$469&gt;0,E770-D770^2/$B$469,0)</f>
        <v/>
      </c>
      <c r="J770">
        <f>IF($B$469&gt;0,G770-D770*$D$469/$B$469,0)</f>
        <v/>
      </c>
      <c r="K770">
        <f>$H$469*I770-H770^2</f>
        <v/>
      </c>
      <c r="L770">
        <f>IF(ABS(K770)&gt;1E-12,($H$469*J770-H770*$I$469)/K770,0)</f>
        <v/>
      </c>
      <c r="M770">
        <f>IF(ABS(K770)&gt;1E-12,(I770*$I$469-H770*J770)/K770,0)</f>
        <v/>
      </c>
      <c r="N770">
        <f>$J$469-M770*$I$469-L770*J770</f>
        <v/>
      </c>
      <c r="O770">
        <f>IF(AND(C770,ABS(K770)&gt;1E-12,L770&gt;0),N770,1E+300)</f>
        <v/>
      </c>
    </row>
    <row r="771">
      <c r="A771">
        <f>$K$469+($L$469-$K$469)*299/400</f>
        <v/>
      </c>
      <c r="B771">
        <f>SUMPRODUCT((Calc!$F$3:$F$22&gt;=LTP!$E$5)*(Calc!$F$3:$F$22&lt;=k_n)*(Calc!$G$3:$G$22&lt;=A771))</f>
        <v/>
      </c>
      <c r="C771">
        <f>AND(B771&gt;=2,$B$469-B771&gt;=2)</f>
        <v/>
      </c>
      <c r="D771">
        <f>SUMPRODUCT((Calc!$F$3:$F$22&gt;=LTP!$E$5)*(Calc!$F$3:$F$22&lt;=k_n)*(Calc!$G$3:$G$22&gt;A771)*(Calc!$G$3:$G$22-A771))</f>
        <v/>
      </c>
      <c r="E771">
        <f>SUMPRODUCT((Calc!$F$3:$F$22&gt;=LTP!$E$5)*(Calc!$F$3:$F$22&lt;=k_n)*(Calc!$G$3:$G$22&gt;A771)*(Calc!$G$3:$G$22-A771)^2)</f>
        <v/>
      </c>
      <c r="F771">
        <f>SUMPRODUCT((Calc!$F$3:$F$22&gt;=LTP!$E$5)*(Calc!$F$3:$F$22&lt;=k_n)*(Calc!$G$3:$G$22&gt;A771)*(Calc!$G$3:$G$22-A771)*Calc!$G$3:$G$22)</f>
        <v/>
      </c>
      <c r="G771">
        <f>SUMPRODUCT((Calc!$F$3:$F$22&gt;=LTP!$E$5)*(Calc!$F$3:$F$22&lt;=k_n)*(Calc!$G$3:$G$22&gt;A771)*(Calc!$G$3:$G$22-A771)*Calc!$I$3:$I$22)</f>
        <v/>
      </c>
      <c r="H771">
        <f>IF($B$469&gt;0,F771-$C$469*D771/$B$469,0)</f>
        <v/>
      </c>
      <c r="I771">
        <f>IF($B$469&gt;0,E771-D771^2/$B$469,0)</f>
        <v/>
      </c>
      <c r="J771">
        <f>IF($B$469&gt;0,G771-D771*$D$469/$B$469,0)</f>
        <v/>
      </c>
      <c r="K771">
        <f>$H$469*I771-H771^2</f>
        <v/>
      </c>
      <c r="L771">
        <f>IF(ABS(K771)&gt;1E-12,($H$469*J771-H771*$I$469)/K771,0)</f>
        <v/>
      </c>
      <c r="M771">
        <f>IF(ABS(K771)&gt;1E-12,(I771*$I$469-H771*J771)/K771,0)</f>
        <v/>
      </c>
      <c r="N771">
        <f>$J$469-M771*$I$469-L771*J771</f>
        <v/>
      </c>
      <c r="O771">
        <f>IF(AND(C771,ABS(K771)&gt;1E-12,L771&gt;0),N771,1E+300)</f>
        <v/>
      </c>
    </row>
    <row r="772">
      <c r="A772">
        <f>$K$469+($L$469-$K$469)*300/400</f>
        <v/>
      </c>
      <c r="B772">
        <f>SUMPRODUCT((Calc!$F$3:$F$22&gt;=LTP!$E$5)*(Calc!$F$3:$F$22&lt;=k_n)*(Calc!$G$3:$G$22&lt;=A772))</f>
        <v/>
      </c>
      <c r="C772">
        <f>AND(B772&gt;=2,$B$469-B772&gt;=2)</f>
        <v/>
      </c>
      <c r="D772">
        <f>SUMPRODUCT((Calc!$F$3:$F$22&gt;=LTP!$E$5)*(Calc!$F$3:$F$22&lt;=k_n)*(Calc!$G$3:$G$22&gt;A772)*(Calc!$G$3:$G$22-A772))</f>
        <v/>
      </c>
      <c r="E772">
        <f>SUMPRODUCT((Calc!$F$3:$F$22&gt;=LTP!$E$5)*(Calc!$F$3:$F$22&lt;=k_n)*(Calc!$G$3:$G$22&gt;A772)*(Calc!$G$3:$G$22-A772)^2)</f>
        <v/>
      </c>
      <c r="F772">
        <f>SUMPRODUCT((Calc!$F$3:$F$22&gt;=LTP!$E$5)*(Calc!$F$3:$F$22&lt;=k_n)*(Calc!$G$3:$G$22&gt;A772)*(Calc!$G$3:$G$22-A772)*Calc!$G$3:$G$22)</f>
        <v/>
      </c>
      <c r="G772">
        <f>SUMPRODUCT((Calc!$F$3:$F$22&gt;=LTP!$E$5)*(Calc!$F$3:$F$22&lt;=k_n)*(Calc!$G$3:$G$22&gt;A772)*(Calc!$G$3:$G$22-A772)*Calc!$I$3:$I$22)</f>
        <v/>
      </c>
      <c r="H772">
        <f>IF($B$469&gt;0,F772-$C$469*D772/$B$469,0)</f>
        <v/>
      </c>
      <c r="I772">
        <f>IF($B$469&gt;0,E772-D772^2/$B$469,0)</f>
        <v/>
      </c>
      <c r="J772">
        <f>IF($B$469&gt;0,G772-D772*$D$469/$B$469,0)</f>
        <v/>
      </c>
      <c r="K772">
        <f>$H$469*I772-H772^2</f>
        <v/>
      </c>
      <c r="L772">
        <f>IF(ABS(K772)&gt;1E-12,($H$469*J772-H772*$I$469)/K772,0)</f>
        <v/>
      </c>
      <c r="M772">
        <f>IF(ABS(K772)&gt;1E-12,(I772*$I$469-H772*J772)/K772,0)</f>
        <v/>
      </c>
      <c r="N772">
        <f>$J$469-M772*$I$469-L772*J772</f>
        <v/>
      </c>
      <c r="O772">
        <f>IF(AND(C772,ABS(K772)&gt;1E-12,L772&gt;0),N772,1E+300)</f>
        <v/>
      </c>
    </row>
    <row r="773">
      <c r="A773">
        <f>$K$469+($L$469-$K$469)*301/400</f>
        <v/>
      </c>
      <c r="B773">
        <f>SUMPRODUCT((Calc!$F$3:$F$22&gt;=LTP!$E$5)*(Calc!$F$3:$F$22&lt;=k_n)*(Calc!$G$3:$G$22&lt;=A773))</f>
        <v/>
      </c>
      <c r="C773">
        <f>AND(B773&gt;=2,$B$469-B773&gt;=2)</f>
        <v/>
      </c>
      <c r="D773">
        <f>SUMPRODUCT((Calc!$F$3:$F$22&gt;=LTP!$E$5)*(Calc!$F$3:$F$22&lt;=k_n)*(Calc!$G$3:$G$22&gt;A773)*(Calc!$G$3:$G$22-A773))</f>
        <v/>
      </c>
      <c r="E773">
        <f>SUMPRODUCT((Calc!$F$3:$F$22&gt;=LTP!$E$5)*(Calc!$F$3:$F$22&lt;=k_n)*(Calc!$G$3:$G$22&gt;A773)*(Calc!$G$3:$G$22-A773)^2)</f>
        <v/>
      </c>
      <c r="F773">
        <f>SUMPRODUCT((Calc!$F$3:$F$22&gt;=LTP!$E$5)*(Calc!$F$3:$F$22&lt;=k_n)*(Calc!$G$3:$G$22&gt;A773)*(Calc!$G$3:$G$22-A773)*Calc!$G$3:$G$22)</f>
        <v/>
      </c>
      <c r="G773">
        <f>SUMPRODUCT((Calc!$F$3:$F$22&gt;=LTP!$E$5)*(Calc!$F$3:$F$22&lt;=k_n)*(Calc!$G$3:$G$22&gt;A773)*(Calc!$G$3:$G$22-A773)*Calc!$I$3:$I$22)</f>
        <v/>
      </c>
      <c r="H773">
        <f>IF($B$469&gt;0,F773-$C$469*D773/$B$469,0)</f>
        <v/>
      </c>
      <c r="I773">
        <f>IF($B$469&gt;0,E773-D773^2/$B$469,0)</f>
        <v/>
      </c>
      <c r="J773">
        <f>IF($B$469&gt;0,G773-D773*$D$469/$B$469,0)</f>
        <v/>
      </c>
      <c r="K773">
        <f>$H$469*I773-H773^2</f>
        <v/>
      </c>
      <c r="L773">
        <f>IF(ABS(K773)&gt;1E-12,($H$469*J773-H773*$I$469)/K773,0)</f>
        <v/>
      </c>
      <c r="M773">
        <f>IF(ABS(K773)&gt;1E-12,(I773*$I$469-H773*J773)/K773,0)</f>
        <v/>
      </c>
      <c r="N773">
        <f>$J$469-M773*$I$469-L773*J773</f>
        <v/>
      </c>
      <c r="O773">
        <f>IF(AND(C773,ABS(K773)&gt;1E-12,L773&gt;0),N773,1E+300)</f>
        <v/>
      </c>
    </row>
    <row r="774">
      <c r="A774">
        <f>$K$469+($L$469-$K$469)*302/400</f>
        <v/>
      </c>
      <c r="B774">
        <f>SUMPRODUCT((Calc!$F$3:$F$22&gt;=LTP!$E$5)*(Calc!$F$3:$F$22&lt;=k_n)*(Calc!$G$3:$G$22&lt;=A774))</f>
        <v/>
      </c>
      <c r="C774">
        <f>AND(B774&gt;=2,$B$469-B774&gt;=2)</f>
        <v/>
      </c>
      <c r="D774">
        <f>SUMPRODUCT((Calc!$F$3:$F$22&gt;=LTP!$E$5)*(Calc!$F$3:$F$22&lt;=k_n)*(Calc!$G$3:$G$22&gt;A774)*(Calc!$G$3:$G$22-A774))</f>
        <v/>
      </c>
      <c r="E774">
        <f>SUMPRODUCT((Calc!$F$3:$F$22&gt;=LTP!$E$5)*(Calc!$F$3:$F$22&lt;=k_n)*(Calc!$G$3:$G$22&gt;A774)*(Calc!$G$3:$G$22-A774)^2)</f>
        <v/>
      </c>
      <c r="F774">
        <f>SUMPRODUCT((Calc!$F$3:$F$22&gt;=LTP!$E$5)*(Calc!$F$3:$F$22&lt;=k_n)*(Calc!$G$3:$G$22&gt;A774)*(Calc!$G$3:$G$22-A774)*Calc!$G$3:$G$22)</f>
        <v/>
      </c>
      <c r="G774">
        <f>SUMPRODUCT((Calc!$F$3:$F$22&gt;=LTP!$E$5)*(Calc!$F$3:$F$22&lt;=k_n)*(Calc!$G$3:$G$22&gt;A774)*(Calc!$G$3:$G$22-A774)*Calc!$I$3:$I$22)</f>
        <v/>
      </c>
      <c r="H774">
        <f>IF($B$469&gt;0,F774-$C$469*D774/$B$469,0)</f>
        <v/>
      </c>
      <c r="I774">
        <f>IF($B$469&gt;0,E774-D774^2/$B$469,0)</f>
        <v/>
      </c>
      <c r="J774">
        <f>IF($B$469&gt;0,G774-D774*$D$469/$B$469,0)</f>
        <v/>
      </c>
      <c r="K774">
        <f>$H$469*I774-H774^2</f>
        <v/>
      </c>
      <c r="L774">
        <f>IF(ABS(K774)&gt;1E-12,($H$469*J774-H774*$I$469)/K774,0)</f>
        <v/>
      </c>
      <c r="M774">
        <f>IF(ABS(K774)&gt;1E-12,(I774*$I$469-H774*J774)/K774,0)</f>
        <v/>
      </c>
      <c r="N774">
        <f>$J$469-M774*$I$469-L774*J774</f>
        <v/>
      </c>
      <c r="O774">
        <f>IF(AND(C774,ABS(K774)&gt;1E-12,L774&gt;0),N774,1E+300)</f>
        <v/>
      </c>
    </row>
    <row r="775">
      <c r="A775">
        <f>$K$469+($L$469-$K$469)*303/400</f>
        <v/>
      </c>
      <c r="B775">
        <f>SUMPRODUCT((Calc!$F$3:$F$22&gt;=LTP!$E$5)*(Calc!$F$3:$F$22&lt;=k_n)*(Calc!$G$3:$G$22&lt;=A775))</f>
        <v/>
      </c>
      <c r="C775">
        <f>AND(B775&gt;=2,$B$469-B775&gt;=2)</f>
        <v/>
      </c>
      <c r="D775">
        <f>SUMPRODUCT((Calc!$F$3:$F$22&gt;=LTP!$E$5)*(Calc!$F$3:$F$22&lt;=k_n)*(Calc!$G$3:$G$22&gt;A775)*(Calc!$G$3:$G$22-A775))</f>
        <v/>
      </c>
      <c r="E775">
        <f>SUMPRODUCT((Calc!$F$3:$F$22&gt;=LTP!$E$5)*(Calc!$F$3:$F$22&lt;=k_n)*(Calc!$G$3:$G$22&gt;A775)*(Calc!$G$3:$G$22-A775)^2)</f>
        <v/>
      </c>
      <c r="F775">
        <f>SUMPRODUCT((Calc!$F$3:$F$22&gt;=LTP!$E$5)*(Calc!$F$3:$F$22&lt;=k_n)*(Calc!$G$3:$G$22&gt;A775)*(Calc!$G$3:$G$22-A775)*Calc!$G$3:$G$22)</f>
        <v/>
      </c>
      <c r="G775">
        <f>SUMPRODUCT((Calc!$F$3:$F$22&gt;=LTP!$E$5)*(Calc!$F$3:$F$22&lt;=k_n)*(Calc!$G$3:$G$22&gt;A775)*(Calc!$G$3:$G$22-A775)*Calc!$I$3:$I$22)</f>
        <v/>
      </c>
      <c r="H775">
        <f>IF($B$469&gt;0,F775-$C$469*D775/$B$469,0)</f>
        <v/>
      </c>
      <c r="I775">
        <f>IF($B$469&gt;0,E775-D775^2/$B$469,0)</f>
        <v/>
      </c>
      <c r="J775">
        <f>IF($B$469&gt;0,G775-D775*$D$469/$B$469,0)</f>
        <v/>
      </c>
      <c r="K775">
        <f>$H$469*I775-H775^2</f>
        <v/>
      </c>
      <c r="L775">
        <f>IF(ABS(K775)&gt;1E-12,($H$469*J775-H775*$I$469)/K775,0)</f>
        <v/>
      </c>
      <c r="M775">
        <f>IF(ABS(K775)&gt;1E-12,(I775*$I$469-H775*J775)/K775,0)</f>
        <v/>
      </c>
      <c r="N775">
        <f>$J$469-M775*$I$469-L775*J775</f>
        <v/>
      </c>
      <c r="O775">
        <f>IF(AND(C775,ABS(K775)&gt;1E-12,L775&gt;0),N775,1E+300)</f>
        <v/>
      </c>
    </row>
    <row r="776">
      <c r="A776">
        <f>$K$469+($L$469-$K$469)*304/400</f>
        <v/>
      </c>
      <c r="B776">
        <f>SUMPRODUCT((Calc!$F$3:$F$22&gt;=LTP!$E$5)*(Calc!$F$3:$F$22&lt;=k_n)*(Calc!$G$3:$G$22&lt;=A776))</f>
        <v/>
      </c>
      <c r="C776">
        <f>AND(B776&gt;=2,$B$469-B776&gt;=2)</f>
        <v/>
      </c>
      <c r="D776">
        <f>SUMPRODUCT((Calc!$F$3:$F$22&gt;=LTP!$E$5)*(Calc!$F$3:$F$22&lt;=k_n)*(Calc!$G$3:$G$22&gt;A776)*(Calc!$G$3:$G$22-A776))</f>
        <v/>
      </c>
      <c r="E776">
        <f>SUMPRODUCT((Calc!$F$3:$F$22&gt;=LTP!$E$5)*(Calc!$F$3:$F$22&lt;=k_n)*(Calc!$G$3:$G$22&gt;A776)*(Calc!$G$3:$G$22-A776)^2)</f>
        <v/>
      </c>
      <c r="F776">
        <f>SUMPRODUCT((Calc!$F$3:$F$22&gt;=LTP!$E$5)*(Calc!$F$3:$F$22&lt;=k_n)*(Calc!$G$3:$G$22&gt;A776)*(Calc!$G$3:$G$22-A776)*Calc!$G$3:$G$22)</f>
        <v/>
      </c>
      <c r="G776">
        <f>SUMPRODUCT((Calc!$F$3:$F$22&gt;=LTP!$E$5)*(Calc!$F$3:$F$22&lt;=k_n)*(Calc!$G$3:$G$22&gt;A776)*(Calc!$G$3:$G$22-A776)*Calc!$I$3:$I$22)</f>
        <v/>
      </c>
      <c r="H776">
        <f>IF($B$469&gt;0,F776-$C$469*D776/$B$469,0)</f>
        <v/>
      </c>
      <c r="I776">
        <f>IF($B$469&gt;0,E776-D776^2/$B$469,0)</f>
        <v/>
      </c>
      <c r="J776">
        <f>IF($B$469&gt;0,G776-D776*$D$469/$B$469,0)</f>
        <v/>
      </c>
      <c r="K776">
        <f>$H$469*I776-H776^2</f>
        <v/>
      </c>
      <c r="L776">
        <f>IF(ABS(K776)&gt;1E-12,($H$469*J776-H776*$I$469)/K776,0)</f>
        <v/>
      </c>
      <c r="M776">
        <f>IF(ABS(K776)&gt;1E-12,(I776*$I$469-H776*J776)/K776,0)</f>
        <v/>
      </c>
      <c r="N776">
        <f>$J$469-M776*$I$469-L776*J776</f>
        <v/>
      </c>
      <c r="O776">
        <f>IF(AND(C776,ABS(K776)&gt;1E-12,L776&gt;0),N776,1E+300)</f>
        <v/>
      </c>
    </row>
    <row r="777">
      <c r="A777">
        <f>$K$469+($L$469-$K$469)*305/400</f>
        <v/>
      </c>
      <c r="B777">
        <f>SUMPRODUCT((Calc!$F$3:$F$22&gt;=LTP!$E$5)*(Calc!$F$3:$F$22&lt;=k_n)*(Calc!$G$3:$G$22&lt;=A777))</f>
        <v/>
      </c>
      <c r="C777">
        <f>AND(B777&gt;=2,$B$469-B777&gt;=2)</f>
        <v/>
      </c>
      <c r="D777">
        <f>SUMPRODUCT((Calc!$F$3:$F$22&gt;=LTP!$E$5)*(Calc!$F$3:$F$22&lt;=k_n)*(Calc!$G$3:$G$22&gt;A777)*(Calc!$G$3:$G$22-A777))</f>
        <v/>
      </c>
      <c r="E777">
        <f>SUMPRODUCT((Calc!$F$3:$F$22&gt;=LTP!$E$5)*(Calc!$F$3:$F$22&lt;=k_n)*(Calc!$G$3:$G$22&gt;A777)*(Calc!$G$3:$G$22-A777)^2)</f>
        <v/>
      </c>
      <c r="F777">
        <f>SUMPRODUCT((Calc!$F$3:$F$22&gt;=LTP!$E$5)*(Calc!$F$3:$F$22&lt;=k_n)*(Calc!$G$3:$G$22&gt;A777)*(Calc!$G$3:$G$22-A777)*Calc!$G$3:$G$22)</f>
        <v/>
      </c>
      <c r="G777">
        <f>SUMPRODUCT((Calc!$F$3:$F$22&gt;=LTP!$E$5)*(Calc!$F$3:$F$22&lt;=k_n)*(Calc!$G$3:$G$22&gt;A777)*(Calc!$G$3:$G$22-A777)*Calc!$I$3:$I$22)</f>
        <v/>
      </c>
      <c r="H777">
        <f>IF($B$469&gt;0,F777-$C$469*D777/$B$469,0)</f>
        <v/>
      </c>
      <c r="I777">
        <f>IF($B$469&gt;0,E777-D777^2/$B$469,0)</f>
        <v/>
      </c>
      <c r="J777">
        <f>IF($B$469&gt;0,G777-D777*$D$469/$B$469,0)</f>
        <v/>
      </c>
      <c r="K777">
        <f>$H$469*I777-H777^2</f>
        <v/>
      </c>
      <c r="L777">
        <f>IF(ABS(K777)&gt;1E-12,($H$469*J777-H777*$I$469)/K777,0)</f>
        <v/>
      </c>
      <c r="M777">
        <f>IF(ABS(K777)&gt;1E-12,(I777*$I$469-H777*J777)/K777,0)</f>
        <v/>
      </c>
      <c r="N777">
        <f>$J$469-M777*$I$469-L777*J777</f>
        <v/>
      </c>
      <c r="O777">
        <f>IF(AND(C777,ABS(K777)&gt;1E-12,L777&gt;0),N777,1E+300)</f>
        <v/>
      </c>
    </row>
    <row r="778">
      <c r="A778">
        <f>$K$469+($L$469-$K$469)*306/400</f>
        <v/>
      </c>
      <c r="B778">
        <f>SUMPRODUCT((Calc!$F$3:$F$22&gt;=LTP!$E$5)*(Calc!$F$3:$F$22&lt;=k_n)*(Calc!$G$3:$G$22&lt;=A778))</f>
        <v/>
      </c>
      <c r="C778">
        <f>AND(B778&gt;=2,$B$469-B778&gt;=2)</f>
        <v/>
      </c>
      <c r="D778">
        <f>SUMPRODUCT((Calc!$F$3:$F$22&gt;=LTP!$E$5)*(Calc!$F$3:$F$22&lt;=k_n)*(Calc!$G$3:$G$22&gt;A778)*(Calc!$G$3:$G$22-A778))</f>
        <v/>
      </c>
      <c r="E778">
        <f>SUMPRODUCT((Calc!$F$3:$F$22&gt;=LTP!$E$5)*(Calc!$F$3:$F$22&lt;=k_n)*(Calc!$G$3:$G$22&gt;A778)*(Calc!$G$3:$G$22-A778)^2)</f>
        <v/>
      </c>
      <c r="F778">
        <f>SUMPRODUCT((Calc!$F$3:$F$22&gt;=LTP!$E$5)*(Calc!$F$3:$F$22&lt;=k_n)*(Calc!$G$3:$G$22&gt;A778)*(Calc!$G$3:$G$22-A778)*Calc!$G$3:$G$22)</f>
        <v/>
      </c>
      <c r="G778">
        <f>SUMPRODUCT((Calc!$F$3:$F$22&gt;=LTP!$E$5)*(Calc!$F$3:$F$22&lt;=k_n)*(Calc!$G$3:$G$22&gt;A778)*(Calc!$G$3:$G$22-A778)*Calc!$I$3:$I$22)</f>
        <v/>
      </c>
      <c r="H778">
        <f>IF($B$469&gt;0,F778-$C$469*D778/$B$469,0)</f>
        <v/>
      </c>
      <c r="I778">
        <f>IF($B$469&gt;0,E778-D778^2/$B$469,0)</f>
        <v/>
      </c>
      <c r="J778">
        <f>IF($B$469&gt;0,G778-D778*$D$469/$B$469,0)</f>
        <v/>
      </c>
      <c r="K778">
        <f>$H$469*I778-H778^2</f>
        <v/>
      </c>
      <c r="L778">
        <f>IF(ABS(K778)&gt;1E-12,($H$469*J778-H778*$I$469)/K778,0)</f>
        <v/>
      </c>
      <c r="M778">
        <f>IF(ABS(K778)&gt;1E-12,(I778*$I$469-H778*J778)/K778,0)</f>
        <v/>
      </c>
      <c r="N778">
        <f>$J$469-M778*$I$469-L778*J778</f>
        <v/>
      </c>
      <c r="O778">
        <f>IF(AND(C778,ABS(K778)&gt;1E-12,L778&gt;0),N778,1E+300)</f>
        <v/>
      </c>
    </row>
    <row r="779">
      <c r="A779">
        <f>$K$469+($L$469-$K$469)*307/400</f>
        <v/>
      </c>
      <c r="B779">
        <f>SUMPRODUCT((Calc!$F$3:$F$22&gt;=LTP!$E$5)*(Calc!$F$3:$F$22&lt;=k_n)*(Calc!$G$3:$G$22&lt;=A779))</f>
        <v/>
      </c>
      <c r="C779">
        <f>AND(B779&gt;=2,$B$469-B779&gt;=2)</f>
        <v/>
      </c>
      <c r="D779">
        <f>SUMPRODUCT((Calc!$F$3:$F$22&gt;=LTP!$E$5)*(Calc!$F$3:$F$22&lt;=k_n)*(Calc!$G$3:$G$22&gt;A779)*(Calc!$G$3:$G$22-A779))</f>
        <v/>
      </c>
      <c r="E779">
        <f>SUMPRODUCT((Calc!$F$3:$F$22&gt;=LTP!$E$5)*(Calc!$F$3:$F$22&lt;=k_n)*(Calc!$G$3:$G$22&gt;A779)*(Calc!$G$3:$G$22-A779)^2)</f>
        <v/>
      </c>
      <c r="F779">
        <f>SUMPRODUCT((Calc!$F$3:$F$22&gt;=LTP!$E$5)*(Calc!$F$3:$F$22&lt;=k_n)*(Calc!$G$3:$G$22&gt;A779)*(Calc!$G$3:$G$22-A779)*Calc!$G$3:$G$22)</f>
        <v/>
      </c>
      <c r="G779">
        <f>SUMPRODUCT((Calc!$F$3:$F$22&gt;=LTP!$E$5)*(Calc!$F$3:$F$22&lt;=k_n)*(Calc!$G$3:$G$22&gt;A779)*(Calc!$G$3:$G$22-A779)*Calc!$I$3:$I$22)</f>
        <v/>
      </c>
      <c r="H779">
        <f>IF($B$469&gt;0,F779-$C$469*D779/$B$469,0)</f>
        <v/>
      </c>
      <c r="I779">
        <f>IF($B$469&gt;0,E779-D779^2/$B$469,0)</f>
        <v/>
      </c>
      <c r="J779">
        <f>IF($B$469&gt;0,G779-D779*$D$469/$B$469,0)</f>
        <v/>
      </c>
      <c r="K779">
        <f>$H$469*I779-H779^2</f>
        <v/>
      </c>
      <c r="L779">
        <f>IF(ABS(K779)&gt;1E-12,($H$469*J779-H779*$I$469)/K779,0)</f>
        <v/>
      </c>
      <c r="M779">
        <f>IF(ABS(K779)&gt;1E-12,(I779*$I$469-H779*J779)/K779,0)</f>
        <v/>
      </c>
      <c r="N779">
        <f>$J$469-M779*$I$469-L779*J779</f>
        <v/>
      </c>
      <c r="O779">
        <f>IF(AND(C779,ABS(K779)&gt;1E-12,L779&gt;0),N779,1E+300)</f>
        <v/>
      </c>
    </row>
    <row r="780">
      <c r="A780">
        <f>$K$469+($L$469-$K$469)*308/400</f>
        <v/>
      </c>
      <c r="B780">
        <f>SUMPRODUCT((Calc!$F$3:$F$22&gt;=LTP!$E$5)*(Calc!$F$3:$F$22&lt;=k_n)*(Calc!$G$3:$G$22&lt;=A780))</f>
        <v/>
      </c>
      <c r="C780">
        <f>AND(B780&gt;=2,$B$469-B780&gt;=2)</f>
        <v/>
      </c>
      <c r="D780">
        <f>SUMPRODUCT((Calc!$F$3:$F$22&gt;=LTP!$E$5)*(Calc!$F$3:$F$22&lt;=k_n)*(Calc!$G$3:$G$22&gt;A780)*(Calc!$G$3:$G$22-A780))</f>
        <v/>
      </c>
      <c r="E780">
        <f>SUMPRODUCT((Calc!$F$3:$F$22&gt;=LTP!$E$5)*(Calc!$F$3:$F$22&lt;=k_n)*(Calc!$G$3:$G$22&gt;A780)*(Calc!$G$3:$G$22-A780)^2)</f>
        <v/>
      </c>
      <c r="F780">
        <f>SUMPRODUCT((Calc!$F$3:$F$22&gt;=LTP!$E$5)*(Calc!$F$3:$F$22&lt;=k_n)*(Calc!$G$3:$G$22&gt;A780)*(Calc!$G$3:$G$22-A780)*Calc!$G$3:$G$22)</f>
        <v/>
      </c>
      <c r="G780">
        <f>SUMPRODUCT((Calc!$F$3:$F$22&gt;=LTP!$E$5)*(Calc!$F$3:$F$22&lt;=k_n)*(Calc!$G$3:$G$22&gt;A780)*(Calc!$G$3:$G$22-A780)*Calc!$I$3:$I$22)</f>
        <v/>
      </c>
      <c r="H780">
        <f>IF($B$469&gt;0,F780-$C$469*D780/$B$469,0)</f>
        <v/>
      </c>
      <c r="I780">
        <f>IF($B$469&gt;0,E780-D780^2/$B$469,0)</f>
        <v/>
      </c>
      <c r="J780">
        <f>IF($B$469&gt;0,G780-D780*$D$469/$B$469,0)</f>
        <v/>
      </c>
      <c r="K780">
        <f>$H$469*I780-H780^2</f>
        <v/>
      </c>
      <c r="L780">
        <f>IF(ABS(K780)&gt;1E-12,($H$469*J780-H780*$I$469)/K780,0)</f>
        <v/>
      </c>
      <c r="M780">
        <f>IF(ABS(K780)&gt;1E-12,(I780*$I$469-H780*J780)/K780,0)</f>
        <v/>
      </c>
      <c r="N780">
        <f>$J$469-M780*$I$469-L780*J780</f>
        <v/>
      </c>
      <c r="O780">
        <f>IF(AND(C780,ABS(K780)&gt;1E-12,L780&gt;0),N780,1E+300)</f>
        <v/>
      </c>
    </row>
    <row r="781">
      <c r="A781">
        <f>$K$469+($L$469-$K$469)*309/400</f>
        <v/>
      </c>
      <c r="B781">
        <f>SUMPRODUCT((Calc!$F$3:$F$22&gt;=LTP!$E$5)*(Calc!$F$3:$F$22&lt;=k_n)*(Calc!$G$3:$G$22&lt;=A781))</f>
        <v/>
      </c>
      <c r="C781">
        <f>AND(B781&gt;=2,$B$469-B781&gt;=2)</f>
        <v/>
      </c>
      <c r="D781">
        <f>SUMPRODUCT((Calc!$F$3:$F$22&gt;=LTP!$E$5)*(Calc!$F$3:$F$22&lt;=k_n)*(Calc!$G$3:$G$22&gt;A781)*(Calc!$G$3:$G$22-A781))</f>
        <v/>
      </c>
      <c r="E781">
        <f>SUMPRODUCT((Calc!$F$3:$F$22&gt;=LTP!$E$5)*(Calc!$F$3:$F$22&lt;=k_n)*(Calc!$G$3:$G$22&gt;A781)*(Calc!$G$3:$G$22-A781)^2)</f>
        <v/>
      </c>
      <c r="F781">
        <f>SUMPRODUCT((Calc!$F$3:$F$22&gt;=LTP!$E$5)*(Calc!$F$3:$F$22&lt;=k_n)*(Calc!$G$3:$G$22&gt;A781)*(Calc!$G$3:$G$22-A781)*Calc!$G$3:$G$22)</f>
        <v/>
      </c>
      <c r="G781">
        <f>SUMPRODUCT((Calc!$F$3:$F$22&gt;=LTP!$E$5)*(Calc!$F$3:$F$22&lt;=k_n)*(Calc!$G$3:$G$22&gt;A781)*(Calc!$G$3:$G$22-A781)*Calc!$I$3:$I$22)</f>
        <v/>
      </c>
      <c r="H781">
        <f>IF($B$469&gt;0,F781-$C$469*D781/$B$469,0)</f>
        <v/>
      </c>
      <c r="I781">
        <f>IF($B$469&gt;0,E781-D781^2/$B$469,0)</f>
        <v/>
      </c>
      <c r="J781">
        <f>IF($B$469&gt;0,G781-D781*$D$469/$B$469,0)</f>
        <v/>
      </c>
      <c r="K781">
        <f>$H$469*I781-H781^2</f>
        <v/>
      </c>
      <c r="L781">
        <f>IF(ABS(K781)&gt;1E-12,($H$469*J781-H781*$I$469)/K781,0)</f>
        <v/>
      </c>
      <c r="M781">
        <f>IF(ABS(K781)&gt;1E-12,(I781*$I$469-H781*J781)/K781,0)</f>
        <v/>
      </c>
      <c r="N781">
        <f>$J$469-M781*$I$469-L781*J781</f>
        <v/>
      </c>
      <c r="O781">
        <f>IF(AND(C781,ABS(K781)&gt;1E-12,L781&gt;0),N781,1E+300)</f>
        <v/>
      </c>
    </row>
    <row r="782">
      <c r="A782">
        <f>$K$469+($L$469-$K$469)*310/400</f>
        <v/>
      </c>
      <c r="B782">
        <f>SUMPRODUCT((Calc!$F$3:$F$22&gt;=LTP!$E$5)*(Calc!$F$3:$F$22&lt;=k_n)*(Calc!$G$3:$G$22&lt;=A782))</f>
        <v/>
      </c>
      <c r="C782">
        <f>AND(B782&gt;=2,$B$469-B782&gt;=2)</f>
        <v/>
      </c>
      <c r="D782">
        <f>SUMPRODUCT((Calc!$F$3:$F$22&gt;=LTP!$E$5)*(Calc!$F$3:$F$22&lt;=k_n)*(Calc!$G$3:$G$22&gt;A782)*(Calc!$G$3:$G$22-A782))</f>
        <v/>
      </c>
      <c r="E782">
        <f>SUMPRODUCT((Calc!$F$3:$F$22&gt;=LTP!$E$5)*(Calc!$F$3:$F$22&lt;=k_n)*(Calc!$G$3:$G$22&gt;A782)*(Calc!$G$3:$G$22-A782)^2)</f>
        <v/>
      </c>
      <c r="F782">
        <f>SUMPRODUCT((Calc!$F$3:$F$22&gt;=LTP!$E$5)*(Calc!$F$3:$F$22&lt;=k_n)*(Calc!$G$3:$G$22&gt;A782)*(Calc!$G$3:$G$22-A782)*Calc!$G$3:$G$22)</f>
        <v/>
      </c>
      <c r="G782">
        <f>SUMPRODUCT((Calc!$F$3:$F$22&gt;=LTP!$E$5)*(Calc!$F$3:$F$22&lt;=k_n)*(Calc!$G$3:$G$22&gt;A782)*(Calc!$G$3:$G$22-A782)*Calc!$I$3:$I$22)</f>
        <v/>
      </c>
      <c r="H782">
        <f>IF($B$469&gt;0,F782-$C$469*D782/$B$469,0)</f>
        <v/>
      </c>
      <c r="I782">
        <f>IF($B$469&gt;0,E782-D782^2/$B$469,0)</f>
        <v/>
      </c>
      <c r="J782">
        <f>IF($B$469&gt;0,G782-D782*$D$469/$B$469,0)</f>
        <v/>
      </c>
      <c r="K782">
        <f>$H$469*I782-H782^2</f>
        <v/>
      </c>
      <c r="L782">
        <f>IF(ABS(K782)&gt;1E-12,($H$469*J782-H782*$I$469)/K782,0)</f>
        <v/>
      </c>
      <c r="M782">
        <f>IF(ABS(K782)&gt;1E-12,(I782*$I$469-H782*J782)/K782,0)</f>
        <v/>
      </c>
      <c r="N782">
        <f>$J$469-M782*$I$469-L782*J782</f>
        <v/>
      </c>
      <c r="O782">
        <f>IF(AND(C782,ABS(K782)&gt;1E-12,L782&gt;0),N782,1E+300)</f>
        <v/>
      </c>
    </row>
    <row r="783">
      <c r="A783">
        <f>$K$469+($L$469-$K$469)*311/400</f>
        <v/>
      </c>
      <c r="B783">
        <f>SUMPRODUCT((Calc!$F$3:$F$22&gt;=LTP!$E$5)*(Calc!$F$3:$F$22&lt;=k_n)*(Calc!$G$3:$G$22&lt;=A783))</f>
        <v/>
      </c>
      <c r="C783">
        <f>AND(B783&gt;=2,$B$469-B783&gt;=2)</f>
        <v/>
      </c>
      <c r="D783">
        <f>SUMPRODUCT((Calc!$F$3:$F$22&gt;=LTP!$E$5)*(Calc!$F$3:$F$22&lt;=k_n)*(Calc!$G$3:$G$22&gt;A783)*(Calc!$G$3:$G$22-A783))</f>
        <v/>
      </c>
      <c r="E783">
        <f>SUMPRODUCT((Calc!$F$3:$F$22&gt;=LTP!$E$5)*(Calc!$F$3:$F$22&lt;=k_n)*(Calc!$G$3:$G$22&gt;A783)*(Calc!$G$3:$G$22-A783)^2)</f>
        <v/>
      </c>
      <c r="F783">
        <f>SUMPRODUCT((Calc!$F$3:$F$22&gt;=LTP!$E$5)*(Calc!$F$3:$F$22&lt;=k_n)*(Calc!$G$3:$G$22&gt;A783)*(Calc!$G$3:$G$22-A783)*Calc!$G$3:$G$22)</f>
        <v/>
      </c>
      <c r="G783">
        <f>SUMPRODUCT((Calc!$F$3:$F$22&gt;=LTP!$E$5)*(Calc!$F$3:$F$22&lt;=k_n)*(Calc!$G$3:$G$22&gt;A783)*(Calc!$G$3:$G$22-A783)*Calc!$I$3:$I$22)</f>
        <v/>
      </c>
      <c r="H783">
        <f>IF($B$469&gt;0,F783-$C$469*D783/$B$469,0)</f>
        <v/>
      </c>
      <c r="I783">
        <f>IF($B$469&gt;0,E783-D783^2/$B$469,0)</f>
        <v/>
      </c>
      <c r="J783">
        <f>IF($B$469&gt;0,G783-D783*$D$469/$B$469,0)</f>
        <v/>
      </c>
      <c r="K783">
        <f>$H$469*I783-H783^2</f>
        <v/>
      </c>
      <c r="L783">
        <f>IF(ABS(K783)&gt;1E-12,($H$469*J783-H783*$I$469)/K783,0)</f>
        <v/>
      </c>
      <c r="M783">
        <f>IF(ABS(K783)&gt;1E-12,(I783*$I$469-H783*J783)/K783,0)</f>
        <v/>
      </c>
      <c r="N783">
        <f>$J$469-M783*$I$469-L783*J783</f>
        <v/>
      </c>
      <c r="O783">
        <f>IF(AND(C783,ABS(K783)&gt;1E-12,L783&gt;0),N783,1E+300)</f>
        <v/>
      </c>
    </row>
    <row r="784">
      <c r="A784">
        <f>$K$469+($L$469-$K$469)*312/400</f>
        <v/>
      </c>
      <c r="B784">
        <f>SUMPRODUCT((Calc!$F$3:$F$22&gt;=LTP!$E$5)*(Calc!$F$3:$F$22&lt;=k_n)*(Calc!$G$3:$G$22&lt;=A784))</f>
        <v/>
      </c>
      <c r="C784">
        <f>AND(B784&gt;=2,$B$469-B784&gt;=2)</f>
        <v/>
      </c>
      <c r="D784">
        <f>SUMPRODUCT((Calc!$F$3:$F$22&gt;=LTP!$E$5)*(Calc!$F$3:$F$22&lt;=k_n)*(Calc!$G$3:$G$22&gt;A784)*(Calc!$G$3:$G$22-A784))</f>
        <v/>
      </c>
      <c r="E784">
        <f>SUMPRODUCT((Calc!$F$3:$F$22&gt;=LTP!$E$5)*(Calc!$F$3:$F$22&lt;=k_n)*(Calc!$G$3:$G$22&gt;A784)*(Calc!$G$3:$G$22-A784)^2)</f>
        <v/>
      </c>
      <c r="F784">
        <f>SUMPRODUCT((Calc!$F$3:$F$22&gt;=LTP!$E$5)*(Calc!$F$3:$F$22&lt;=k_n)*(Calc!$G$3:$G$22&gt;A784)*(Calc!$G$3:$G$22-A784)*Calc!$G$3:$G$22)</f>
        <v/>
      </c>
      <c r="G784">
        <f>SUMPRODUCT((Calc!$F$3:$F$22&gt;=LTP!$E$5)*(Calc!$F$3:$F$22&lt;=k_n)*(Calc!$G$3:$G$22&gt;A784)*(Calc!$G$3:$G$22-A784)*Calc!$I$3:$I$22)</f>
        <v/>
      </c>
      <c r="H784">
        <f>IF($B$469&gt;0,F784-$C$469*D784/$B$469,0)</f>
        <v/>
      </c>
      <c r="I784">
        <f>IF($B$469&gt;0,E784-D784^2/$B$469,0)</f>
        <v/>
      </c>
      <c r="J784">
        <f>IF($B$469&gt;0,G784-D784*$D$469/$B$469,0)</f>
        <v/>
      </c>
      <c r="K784">
        <f>$H$469*I784-H784^2</f>
        <v/>
      </c>
      <c r="L784">
        <f>IF(ABS(K784)&gt;1E-12,($H$469*J784-H784*$I$469)/K784,0)</f>
        <v/>
      </c>
      <c r="M784">
        <f>IF(ABS(K784)&gt;1E-12,(I784*$I$469-H784*J784)/K784,0)</f>
        <v/>
      </c>
      <c r="N784">
        <f>$J$469-M784*$I$469-L784*J784</f>
        <v/>
      </c>
      <c r="O784">
        <f>IF(AND(C784,ABS(K784)&gt;1E-12,L784&gt;0),N784,1E+300)</f>
        <v/>
      </c>
    </row>
    <row r="785">
      <c r="A785">
        <f>$K$469+($L$469-$K$469)*313/400</f>
        <v/>
      </c>
      <c r="B785">
        <f>SUMPRODUCT((Calc!$F$3:$F$22&gt;=LTP!$E$5)*(Calc!$F$3:$F$22&lt;=k_n)*(Calc!$G$3:$G$22&lt;=A785))</f>
        <v/>
      </c>
      <c r="C785">
        <f>AND(B785&gt;=2,$B$469-B785&gt;=2)</f>
        <v/>
      </c>
      <c r="D785">
        <f>SUMPRODUCT((Calc!$F$3:$F$22&gt;=LTP!$E$5)*(Calc!$F$3:$F$22&lt;=k_n)*(Calc!$G$3:$G$22&gt;A785)*(Calc!$G$3:$G$22-A785))</f>
        <v/>
      </c>
      <c r="E785">
        <f>SUMPRODUCT((Calc!$F$3:$F$22&gt;=LTP!$E$5)*(Calc!$F$3:$F$22&lt;=k_n)*(Calc!$G$3:$G$22&gt;A785)*(Calc!$G$3:$G$22-A785)^2)</f>
        <v/>
      </c>
      <c r="F785">
        <f>SUMPRODUCT((Calc!$F$3:$F$22&gt;=LTP!$E$5)*(Calc!$F$3:$F$22&lt;=k_n)*(Calc!$G$3:$G$22&gt;A785)*(Calc!$G$3:$G$22-A785)*Calc!$G$3:$G$22)</f>
        <v/>
      </c>
      <c r="G785">
        <f>SUMPRODUCT((Calc!$F$3:$F$22&gt;=LTP!$E$5)*(Calc!$F$3:$F$22&lt;=k_n)*(Calc!$G$3:$G$22&gt;A785)*(Calc!$G$3:$G$22-A785)*Calc!$I$3:$I$22)</f>
        <v/>
      </c>
      <c r="H785">
        <f>IF($B$469&gt;0,F785-$C$469*D785/$B$469,0)</f>
        <v/>
      </c>
      <c r="I785">
        <f>IF($B$469&gt;0,E785-D785^2/$B$469,0)</f>
        <v/>
      </c>
      <c r="J785">
        <f>IF($B$469&gt;0,G785-D785*$D$469/$B$469,0)</f>
        <v/>
      </c>
      <c r="K785">
        <f>$H$469*I785-H785^2</f>
        <v/>
      </c>
      <c r="L785">
        <f>IF(ABS(K785)&gt;1E-12,($H$469*J785-H785*$I$469)/K785,0)</f>
        <v/>
      </c>
      <c r="M785">
        <f>IF(ABS(K785)&gt;1E-12,(I785*$I$469-H785*J785)/K785,0)</f>
        <v/>
      </c>
      <c r="N785">
        <f>$J$469-M785*$I$469-L785*J785</f>
        <v/>
      </c>
      <c r="O785">
        <f>IF(AND(C785,ABS(K785)&gt;1E-12,L785&gt;0),N785,1E+300)</f>
        <v/>
      </c>
    </row>
    <row r="786">
      <c r="A786">
        <f>$K$469+($L$469-$K$469)*314/400</f>
        <v/>
      </c>
      <c r="B786">
        <f>SUMPRODUCT((Calc!$F$3:$F$22&gt;=LTP!$E$5)*(Calc!$F$3:$F$22&lt;=k_n)*(Calc!$G$3:$G$22&lt;=A786))</f>
        <v/>
      </c>
      <c r="C786">
        <f>AND(B786&gt;=2,$B$469-B786&gt;=2)</f>
        <v/>
      </c>
      <c r="D786">
        <f>SUMPRODUCT((Calc!$F$3:$F$22&gt;=LTP!$E$5)*(Calc!$F$3:$F$22&lt;=k_n)*(Calc!$G$3:$G$22&gt;A786)*(Calc!$G$3:$G$22-A786))</f>
        <v/>
      </c>
      <c r="E786">
        <f>SUMPRODUCT((Calc!$F$3:$F$22&gt;=LTP!$E$5)*(Calc!$F$3:$F$22&lt;=k_n)*(Calc!$G$3:$G$22&gt;A786)*(Calc!$G$3:$G$22-A786)^2)</f>
        <v/>
      </c>
      <c r="F786">
        <f>SUMPRODUCT((Calc!$F$3:$F$22&gt;=LTP!$E$5)*(Calc!$F$3:$F$22&lt;=k_n)*(Calc!$G$3:$G$22&gt;A786)*(Calc!$G$3:$G$22-A786)*Calc!$G$3:$G$22)</f>
        <v/>
      </c>
      <c r="G786">
        <f>SUMPRODUCT((Calc!$F$3:$F$22&gt;=LTP!$E$5)*(Calc!$F$3:$F$22&lt;=k_n)*(Calc!$G$3:$G$22&gt;A786)*(Calc!$G$3:$G$22-A786)*Calc!$I$3:$I$22)</f>
        <v/>
      </c>
      <c r="H786">
        <f>IF($B$469&gt;0,F786-$C$469*D786/$B$469,0)</f>
        <v/>
      </c>
      <c r="I786">
        <f>IF($B$469&gt;0,E786-D786^2/$B$469,0)</f>
        <v/>
      </c>
      <c r="J786">
        <f>IF($B$469&gt;0,G786-D786*$D$469/$B$469,0)</f>
        <v/>
      </c>
      <c r="K786">
        <f>$H$469*I786-H786^2</f>
        <v/>
      </c>
      <c r="L786">
        <f>IF(ABS(K786)&gt;1E-12,($H$469*J786-H786*$I$469)/K786,0)</f>
        <v/>
      </c>
      <c r="M786">
        <f>IF(ABS(K786)&gt;1E-12,(I786*$I$469-H786*J786)/K786,0)</f>
        <v/>
      </c>
      <c r="N786">
        <f>$J$469-M786*$I$469-L786*J786</f>
        <v/>
      </c>
      <c r="O786">
        <f>IF(AND(C786,ABS(K786)&gt;1E-12,L786&gt;0),N786,1E+300)</f>
        <v/>
      </c>
    </row>
    <row r="787">
      <c r="A787">
        <f>$K$469+($L$469-$K$469)*315/400</f>
        <v/>
      </c>
      <c r="B787">
        <f>SUMPRODUCT((Calc!$F$3:$F$22&gt;=LTP!$E$5)*(Calc!$F$3:$F$22&lt;=k_n)*(Calc!$G$3:$G$22&lt;=A787))</f>
        <v/>
      </c>
      <c r="C787">
        <f>AND(B787&gt;=2,$B$469-B787&gt;=2)</f>
        <v/>
      </c>
      <c r="D787">
        <f>SUMPRODUCT((Calc!$F$3:$F$22&gt;=LTP!$E$5)*(Calc!$F$3:$F$22&lt;=k_n)*(Calc!$G$3:$G$22&gt;A787)*(Calc!$G$3:$G$22-A787))</f>
        <v/>
      </c>
      <c r="E787">
        <f>SUMPRODUCT((Calc!$F$3:$F$22&gt;=LTP!$E$5)*(Calc!$F$3:$F$22&lt;=k_n)*(Calc!$G$3:$G$22&gt;A787)*(Calc!$G$3:$G$22-A787)^2)</f>
        <v/>
      </c>
      <c r="F787">
        <f>SUMPRODUCT((Calc!$F$3:$F$22&gt;=LTP!$E$5)*(Calc!$F$3:$F$22&lt;=k_n)*(Calc!$G$3:$G$22&gt;A787)*(Calc!$G$3:$G$22-A787)*Calc!$G$3:$G$22)</f>
        <v/>
      </c>
      <c r="G787">
        <f>SUMPRODUCT((Calc!$F$3:$F$22&gt;=LTP!$E$5)*(Calc!$F$3:$F$22&lt;=k_n)*(Calc!$G$3:$G$22&gt;A787)*(Calc!$G$3:$G$22-A787)*Calc!$I$3:$I$22)</f>
        <v/>
      </c>
      <c r="H787">
        <f>IF($B$469&gt;0,F787-$C$469*D787/$B$469,0)</f>
        <v/>
      </c>
      <c r="I787">
        <f>IF($B$469&gt;0,E787-D787^2/$B$469,0)</f>
        <v/>
      </c>
      <c r="J787">
        <f>IF($B$469&gt;0,G787-D787*$D$469/$B$469,0)</f>
        <v/>
      </c>
      <c r="K787">
        <f>$H$469*I787-H787^2</f>
        <v/>
      </c>
      <c r="L787">
        <f>IF(ABS(K787)&gt;1E-12,($H$469*J787-H787*$I$469)/K787,0)</f>
        <v/>
      </c>
      <c r="M787">
        <f>IF(ABS(K787)&gt;1E-12,(I787*$I$469-H787*J787)/K787,0)</f>
        <v/>
      </c>
      <c r="N787">
        <f>$J$469-M787*$I$469-L787*J787</f>
        <v/>
      </c>
      <c r="O787">
        <f>IF(AND(C787,ABS(K787)&gt;1E-12,L787&gt;0),N787,1E+300)</f>
        <v/>
      </c>
    </row>
    <row r="788">
      <c r="A788">
        <f>$K$469+($L$469-$K$469)*316/400</f>
        <v/>
      </c>
      <c r="B788">
        <f>SUMPRODUCT((Calc!$F$3:$F$22&gt;=LTP!$E$5)*(Calc!$F$3:$F$22&lt;=k_n)*(Calc!$G$3:$G$22&lt;=A788))</f>
        <v/>
      </c>
      <c r="C788">
        <f>AND(B788&gt;=2,$B$469-B788&gt;=2)</f>
        <v/>
      </c>
      <c r="D788">
        <f>SUMPRODUCT((Calc!$F$3:$F$22&gt;=LTP!$E$5)*(Calc!$F$3:$F$22&lt;=k_n)*(Calc!$G$3:$G$22&gt;A788)*(Calc!$G$3:$G$22-A788))</f>
        <v/>
      </c>
      <c r="E788">
        <f>SUMPRODUCT((Calc!$F$3:$F$22&gt;=LTP!$E$5)*(Calc!$F$3:$F$22&lt;=k_n)*(Calc!$G$3:$G$22&gt;A788)*(Calc!$G$3:$G$22-A788)^2)</f>
        <v/>
      </c>
      <c r="F788">
        <f>SUMPRODUCT((Calc!$F$3:$F$22&gt;=LTP!$E$5)*(Calc!$F$3:$F$22&lt;=k_n)*(Calc!$G$3:$G$22&gt;A788)*(Calc!$G$3:$G$22-A788)*Calc!$G$3:$G$22)</f>
        <v/>
      </c>
      <c r="G788">
        <f>SUMPRODUCT((Calc!$F$3:$F$22&gt;=LTP!$E$5)*(Calc!$F$3:$F$22&lt;=k_n)*(Calc!$G$3:$G$22&gt;A788)*(Calc!$G$3:$G$22-A788)*Calc!$I$3:$I$22)</f>
        <v/>
      </c>
      <c r="H788">
        <f>IF($B$469&gt;0,F788-$C$469*D788/$B$469,0)</f>
        <v/>
      </c>
      <c r="I788">
        <f>IF($B$469&gt;0,E788-D788^2/$B$469,0)</f>
        <v/>
      </c>
      <c r="J788">
        <f>IF($B$469&gt;0,G788-D788*$D$469/$B$469,0)</f>
        <v/>
      </c>
      <c r="K788">
        <f>$H$469*I788-H788^2</f>
        <v/>
      </c>
      <c r="L788">
        <f>IF(ABS(K788)&gt;1E-12,($H$469*J788-H788*$I$469)/K788,0)</f>
        <v/>
      </c>
      <c r="M788">
        <f>IF(ABS(K788)&gt;1E-12,(I788*$I$469-H788*J788)/K788,0)</f>
        <v/>
      </c>
      <c r="N788">
        <f>$J$469-M788*$I$469-L788*J788</f>
        <v/>
      </c>
      <c r="O788">
        <f>IF(AND(C788,ABS(K788)&gt;1E-12,L788&gt;0),N788,1E+300)</f>
        <v/>
      </c>
    </row>
    <row r="789">
      <c r="A789">
        <f>$K$469+($L$469-$K$469)*317/400</f>
        <v/>
      </c>
      <c r="B789">
        <f>SUMPRODUCT((Calc!$F$3:$F$22&gt;=LTP!$E$5)*(Calc!$F$3:$F$22&lt;=k_n)*(Calc!$G$3:$G$22&lt;=A789))</f>
        <v/>
      </c>
      <c r="C789">
        <f>AND(B789&gt;=2,$B$469-B789&gt;=2)</f>
        <v/>
      </c>
      <c r="D789">
        <f>SUMPRODUCT((Calc!$F$3:$F$22&gt;=LTP!$E$5)*(Calc!$F$3:$F$22&lt;=k_n)*(Calc!$G$3:$G$22&gt;A789)*(Calc!$G$3:$G$22-A789))</f>
        <v/>
      </c>
      <c r="E789">
        <f>SUMPRODUCT((Calc!$F$3:$F$22&gt;=LTP!$E$5)*(Calc!$F$3:$F$22&lt;=k_n)*(Calc!$G$3:$G$22&gt;A789)*(Calc!$G$3:$G$22-A789)^2)</f>
        <v/>
      </c>
      <c r="F789">
        <f>SUMPRODUCT((Calc!$F$3:$F$22&gt;=LTP!$E$5)*(Calc!$F$3:$F$22&lt;=k_n)*(Calc!$G$3:$G$22&gt;A789)*(Calc!$G$3:$G$22-A789)*Calc!$G$3:$G$22)</f>
        <v/>
      </c>
      <c r="G789">
        <f>SUMPRODUCT((Calc!$F$3:$F$22&gt;=LTP!$E$5)*(Calc!$F$3:$F$22&lt;=k_n)*(Calc!$G$3:$G$22&gt;A789)*(Calc!$G$3:$G$22-A789)*Calc!$I$3:$I$22)</f>
        <v/>
      </c>
      <c r="H789">
        <f>IF($B$469&gt;0,F789-$C$469*D789/$B$469,0)</f>
        <v/>
      </c>
      <c r="I789">
        <f>IF($B$469&gt;0,E789-D789^2/$B$469,0)</f>
        <v/>
      </c>
      <c r="J789">
        <f>IF($B$469&gt;0,G789-D789*$D$469/$B$469,0)</f>
        <v/>
      </c>
      <c r="K789">
        <f>$H$469*I789-H789^2</f>
        <v/>
      </c>
      <c r="L789">
        <f>IF(ABS(K789)&gt;1E-12,($H$469*J789-H789*$I$469)/K789,0)</f>
        <v/>
      </c>
      <c r="M789">
        <f>IF(ABS(K789)&gt;1E-12,(I789*$I$469-H789*J789)/K789,0)</f>
        <v/>
      </c>
      <c r="N789">
        <f>$J$469-M789*$I$469-L789*J789</f>
        <v/>
      </c>
      <c r="O789">
        <f>IF(AND(C789,ABS(K789)&gt;1E-12,L789&gt;0),N789,1E+300)</f>
        <v/>
      </c>
    </row>
    <row r="790">
      <c r="A790">
        <f>$K$469+($L$469-$K$469)*318/400</f>
        <v/>
      </c>
      <c r="B790">
        <f>SUMPRODUCT((Calc!$F$3:$F$22&gt;=LTP!$E$5)*(Calc!$F$3:$F$22&lt;=k_n)*(Calc!$G$3:$G$22&lt;=A790))</f>
        <v/>
      </c>
      <c r="C790">
        <f>AND(B790&gt;=2,$B$469-B790&gt;=2)</f>
        <v/>
      </c>
      <c r="D790">
        <f>SUMPRODUCT((Calc!$F$3:$F$22&gt;=LTP!$E$5)*(Calc!$F$3:$F$22&lt;=k_n)*(Calc!$G$3:$G$22&gt;A790)*(Calc!$G$3:$G$22-A790))</f>
        <v/>
      </c>
      <c r="E790">
        <f>SUMPRODUCT((Calc!$F$3:$F$22&gt;=LTP!$E$5)*(Calc!$F$3:$F$22&lt;=k_n)*(Calc!$G$3:$G$22&gt;A790)*(Calc!$G$3:$G$22-A790)^2)</f>
        <v/>
      </c>
      <c r="F790">
        <f>SUMPRODUCT((Calc!$F$3:$F$22&gt;=LTP!$E$5)*(Calc!$F$3:$F$22&lt;=k_n)*(Calc!$G$3:$G$22&gt;A790)*(Calc!$G$3:$G$22-A790)*Calc!$G$3:$G$22)</f>
        <v/>
      </c>
      <c r="G790">
        <f>SUMPRODUCT((Calc!$F$3:$F$22&gt;=LTP!$E$5)*(Calc!$F$3:$F$22&lt;=k_n)*(Calc!$G$3:$G$22&gt;A790)*(Calc!$G$3:$G$22-A790)*Calc!$I$3:$I$22)</f>
        <v/>
      </c>
      <c r="H790">
        <f>IF($B$469&gt;0,F790-$C$469*D790/$B$469,0)</f>
        <v/>
      </c>
      <c r="I790">
        <f>IF($B$469&gt;0,E790-D790^2/$B$469,0)</f>
        <v/>
      </c>
      <c r="J790">
        <f>IF($B$469&gt;0,G790-D790*$D$469/$B$469,0)</f>
        <v/>
      </c>
      <c r="K790">
        <f>$H$469*I790-H790^2</f>
        <v/>
      </c>
      <c r="L790">
        <f>IF(ABS(K790)&gt;1E-12,($H$469*J790-H790*$I$469)/K790,0)</f>
        <v/>
      </c>
      <c r="M790">
        <f>IF(ABS(K790)&gt;1E-12,(I790*$I$469-H790*J790)/K790,0)</f>
        <v/>
      </c>
      <c r="N790">
        <f>$J$469-M790*$I$469-L790*J790</f>
        <v/>
      </c>
      <c r="O790">
        <f>IF(AND(C790,ABS(K790)&gt;1E-12,L790&gt;0),N790,1E+300)</f>
        <v/>
      </c>
    </row>
    <row r="791">
      <c r="A791">
        <f>$K$469+($L$469-$K$469)*319/400</f>
        <v/>
      </c>
      <c r="B791">
        <f>SUMPRODUCT((Calc!$F$3:$F$22&gt;=LTP!$E$5)*(Calc!$F$3:$F$22&lt;=k_n)*(Calc!$G$3:$G$22&lt;=A791))</f>
        <v/>
      </c>
      <c r="C791">
        <f>AND(B791&gt;=2,$B$469-B791&gt;=2)</f>
        <v/>
      </c>
      <c r="D791">
        <f>SUMPRODUCT((Calc!$F$3:$F$22&gt;=LTP!$E$5)*(Calc!$F$3:$F$22&lt;=k_n)*(Calc!$G$3:$G$22&gt;A791)*(Calc!$G$3:$G$22-A791))</f>
        <v/>
      </c>
      <c r="E791">
        <f>SUMPRODUCT((Calc!$F$3:$F$22&gt;=LTP!$E$5)*(Calc!$F$3:$F$22&lt;=k_n)*(Calc!$G$3:$G$22&gt;A791)*(Calc!$G$3:$G$22-A791)^2)</f>
        <v/>
      </c>
      <c r="F791">
        <f>SUMPRODUCT((Calc!$F$3:$F$22&gt;=LTP!$E$5)*(Calc!$F$3:$F$22&lt;=k_n)*(Calc!$G$3:$G$22&gt;A791)*(Calc!$G$3:$G$22-A791)*Calc!$G$3:$G$22)</f>
        <v/>
      </c>
      <c r="G791">
        <f>SUMPRODUCT((Calc!$F$3:$F$22&gt;=LTP!$E$5)*(Calc!$F$3:$F$22&lt;=k_n)*(Calc!$G$3:$G$22&gt;A791)*(Calc!$G$3:$G$22-A791)*Calc!$I$3:$I$22)</f>
        <v/>
      </c>
      <c r="H791">
        <f>IF($B$469&gt;0,F791-$C$469*D791/$B$469,0)</f>
        <v/>
      </c>
      <c r="I791">
        <f>IF($B$469&gt;0,E791-D791^2/$B$469,0)</f>
        <v/>
      </c>
      <c r="J791">
        <f>IF($B$469&gt;0,G791-D791*$D$469/$B$469,0)</f>
        <v/>
      </c>
      <c r="K791">
        <f>$H$469*I791-H791^2</f>
        <v/>
      </c>
      <c r="L791">
        <f>IF(ABS(K791)&gt;1E-12,($H$469*J791-H791*$I$469)/K791,0)</f>
        <v/>
      </c>
      <c r="M791">
        <f>IF(ABS(K791)&gt;1E-12,(I791*$I$469-H791*J791)/K791,0)</f>
        <v/>
      </c>
      <c r="N791">
        <f>$J$469-M791*$I$469-L791*J791</f>
        <v/>
      </c>
      <c r="O791">
        <f>IF(AND(C791,ABS(K791)&gt;1E-12,L791&gt;0),N791,1E+300)</f>
        <v/>
      </c>
    </row>
    <row r="792">
      <c r="A792">
        <f>$K$469+($L$469-$K$469)*320/400</f>
        <v/>
      </c>
      <c r="B792">
        <f>SUMPRODUCT((Calc!$F$3:$F$22&gt;=LTP!$E$5)*(Calc!$F$3:$F$22&lt;=k_n)*(Calc!$G$3:$G$22&lt;=A792))</f>
        <v/>
      </c>
      <c r="C792">
        <f>AND(B792&gt;=2,$B$469-B792&gt;=2)</f>
        <v/>
      </c>
      <c r="D792">
        <f>SUMPRODUCT((Calc!$F$3:$F$22&gt;=LTP!$E$5)*(Calc!$F$3:$F$22&lt;=k_n)*(Calc!$G$3:$G$22&gt;A792)*(Calc!$G$3:$G$22-A792))</f>
        <v/>
      </c>
      <c r="E792">
        <f>SUMPRODUCT((Calc!$F$3:$F$22&gt;=LTP!$E$5)*(Calc!$F$3:$F$22&lt;=k_n)*(Calc!$G$3:$G$22&gt;A792)*(Calc!$G$3:$G$22-A792)^2)</f>
        <v/>
      </c>
      <c r="F792">
        <f>SUMPRODUCT((Calc!$F$3:$F$22&gt;=LTP!$E$5)*(Calc!$F$3:$F$22&lt;=k_n)*(Calc!$G$3:$G$22&gt;A792)*(Calc!$G$3:$G$22-A792)*Calc!$G$3:$G$22)</f>
        <v/>
      </c>
      <c r="G792">
        <f>SUMPRODUCT((Calc!$F$3:$F$22&gt;=LTP!$E$5)*(Calc!$F$3:$F$22&lt;=k_n)*(Calc!$G$3:$G$22&gt;A792)*(Calc!$G$3:$G$22-A792)*Calc!$I$3:$I$22)</f>
        <v/>
      </c>
      <c r="H792">
        <f>IF($B$469&gt;0,F792-$C$469*D792/$B$469,0)</f>
        <v/>
      </c>
      <c r="I792">
        <f>IF($B$469&gt;0,E792-D792^2/$B$469,0)</f>
        <v/>
      </c>
      <c r="J792">
        <f>IF($B$469&gt;0,G792-D792*$D$469/$B$469,0)</f>
        <v/>
      </c>
      <c r="K792">
        <f>$H$469*I792-H792^2</f>
        <v/>
      </c>
      <c r="L792">
        <f>IF(ABS(K792)&gt;1E-12,($H$469*J792-H792*$I$469)/K792,0)</f>
        <v/>
      </c>
      <c r="M792">
        <f>IF(ABS(K792)&gt;1E-12,(I792*$I$469-H792*J792)/K792,0)</f>
        <v/>
      </c>
      <c r="N792">
        <f>$J$469-M792*$I$469-L792*J792</f>
        <v/>
      </c>
      <c r="O792">
        <f>IF(AND(C792,ABS(K792)&gt;1E-12,L792&gt;0),N792,1E+300)</f>
        <v/>
      </c>
    </row>
    <row r="793">
      <c r="A793">
        <f>$K$469+($L$469-$K$469)*321/400</f>
        <v/>
      </c>
      <c r="B793">
        <f>SUMPRODUCT((Calc!$F$3:$F$22&gt;=LTP!$E$5)*(Calc!$F$3:$F$22&lt;=k_n)*(Calc!$G$3:$G$22&lt;=A793))</f>
        <v/>
      </c>
      <c r="C793">
        <f>AND(B793&gt;=2,$B$469-B793&gt;=2)</f>
        <v/>
      </c>
      <c r="D793">
        <f>SUMPRODUCT((Calc!$F$3:$F$22&gt;=LTP!$E$5)*(Calc!$F$3:$F$22&lt;=k_n)*(Calc!$G$3:$G$22&gt;A793)*(Calc!$G$3:$G$22-A793))</f>
        <v/>
      </c>
      <c r="E793">
        <f>SUMPRODUCT((Calc!$F$3:$F$22&gt;=LTP!$E$5)*(Calc!$F$3:$F$22&lt;=k_n)*(Calc!$G$3:$G$22&gt;A793)*(Calc!$G$3:$G$22-A793)^2)</f>
        <v/>
      </c>
      <c r="F793">
        <f>SUMPRODUCT((Calc!$F$3:$F$22&gt;=LTP!$E$5)*(Calc!$F$3:$F$22&lt;=k_n)*(Calc!$G$3:$G$22&gt;A793)*(Calc!$G$3:$G$22-A793)*Calc!$G$3:$G$22)</f>
        <v/>
      </c>
      <c r="G793">
        <f>SUMPRODUCT((Calc!$F$3:$F$22&gt;=LTP!$E$5)*(Calc!$F$3:$F$22&lt;=k_n)*(Calc!$G$3:$G$22&gt;A793)*(Calc!$G$3:$G$22-A793)*Calc!$I$3:$I$22)</f>
        <v/>
      </c>
      <c r="H793">
        <f>IF($B$469&gt;0,F793-$C$469*D793/$B$469,0)</f>
        <v/>
      </c>
      <c r="I793">
        <f>IF($B$469&gt;0,E793-D793^2/$B$469,0)</f>
        <v/>
      </c>
      <c r="J793">
        <f>IF($B$469&gt;0,G793-D793*$D$469/$B$469,0)</f>
        <v/>
      </c>
      <c r="K793">
        <f>$H$469*I793-H793^2</f>
        <v/>
      </c>
      <c r="L793">
        <f>IF(ABS(K793)&gt;1E-12,($H$469*J793-H793*$I$469)/K793,0)</f>
        <v/>
      </c>
      <c r="M793">
        <f>IF(ABS(K793)&gt;1E-12,(I793*$I$469-H793*J793)/K793,0)</f>
        <v/>
      </c>
      <c r="N793">
        <f>$J$469-M793*$I$469-L793*J793</f>
        <v/>
      </c>
      <c r="O793">
        <f>IF(AND(C793,ABS(K793)&gt;1E-12,L793&gt;0),N793,1E+300)</f>
        <v/>
      </c>
    </row>
    <row r="794">
      <c r="A794">
        <f>$K$469+($L$469-$K$469)*322/400</f>
        <v/>
      </c>
      <c r="B794">
        <f>SUMPRODUCT((Calc!$F$3:$F$22&gt;=LTP!$E$5)*(Calc!$F$3:$F$22&lt;=k_n)*(Calc!$G$3:$G$22&lt;=A794))</f>
        <v/>
      </c>
      <c r="C794">
        <f>AND(B794&gt;=2,$B$469-B794&gt;=2)</f>
        <v/>
      </c>
      <c r="D794">
        <f>SUMPRODUCT((Calc!$F$3:$F$22&gt;=LTP!$E$5)*(Calc!$F$3:$F$22&lt;=k_n)*(Calc!$G$3:$G$22&gt;A794)*(Calc!$G$3:$G$22-A794))</f>
        <v/>
      </c>
      <c r="E794">
        <f>SUMPRODUCT((Calc!$F$3:$F$22&gt;=LTP!$E$5)*(Calc!$F$3:$F$22&lt;=k_n)*(Calc!$G$3:$G$22&gt;A794)*(Calc!$G$3:$G$22-A794)^2)</f>
        <v/>
      </c>
      <c r="F794">
        <f>SUMPRODUCT((Calc!$F$3:$F$22&gt;=LTP!$E$5)*(Calc!$F$3:$F$22&lt;=k_n)*(Calc!$G$3:$G$22&gt;A794)*(Calc!$G$3:$G$22-A794)*Calc!$G$3:$G$22)</f>
        <v/>
      </c>
      <c r="G794">
        <f>SUMPRODUCT((Calc!$F$3:$F$22&gt;=LTP!$E$5)*(Calc!$F$3:$F$22&lt;=k_n)*(Calc!$G$3:$G$22&gt;A794)*(Calc!$G$3:$G$22-A794)*Calc!$I$3:$I$22)</f>
        <v/>
      </c>
      <c r="H794">
        <f>IF($B$469&gt;0,F794-$C$469*D794/$B$469,0)</f>
        <v/>
      </c>
      <c r="I794">
        <f>IF($B$469&gt;0,E794-D794^2/$B$469,0)</f>
        <v/>
      </c>
      <c r="J794">
        <f>IF($B$469&gt;0,G794-D794*$D$469/$B$469,0)</f>
        <v/>
      </c>
      <c r="K794">
        <f>$H$469*I794-H794^2</f>
        <v/>
      </c>
      <c r="L794">
        <f>IF(ABS(K794)&gt;1E-12,($H$469*J794-H794*$I$469)/K794,0)</f>
        <v/>
      </c>
      <c r="M794">
        <f>IF(ABS(K794)&gt;1E-12,(I794*$I$469-H794*J794)/K794,0)</f>
        <v/>
      </c>
      <c r="N794">
        <f>$J$469-M794*$I$469-L794*J794</f>
        <v/>
      </c>
      <c r="O794">
        <f>IF(AND(C794,ABS(K794)&gt;1E-12,L794&gt;0),N794,1E+300)</f>
        <v/>
      </c>
    </row>
    <row r="795">
      <c r="A795">
        <f>$K$469+($L$469-$K$469)*323/400</f>
        <v/>
      </c>
      <c r="B795">
        <f>SUMPRODUCT((Calc!$F$3:$F$22&gt;=LTP!$E$5)*(Calc!$F$3:$F$22&lt;=k_n)*(Calc!$G$3:$G$22&lt;=A795))</f>
        <v/>
      </c>
      <c r="C795">
        <f>AND(B795&gt;=2,$B$469-B795&gt;=2)</f>
        <v/>
      </c>
      <c r="D795">
        <f>SUMPRODUCT((Calc!$F$3:$F$22&gt;=LTP!$E$5)*(Calc!$F$3:$F$22&lt;=k_n)*(Calc!$G$3:$G$22&gt;A795)*(Calc!$G$3:$G$22-A795))</f>
        <v/>
      </c>
      <c r="E795">
        <f>SUMPRODUCT((Calc!$F$3:$F$22&gt;=LTP!$E$5)*(Calc!$F$3:$F$22&lt;=k_n)*(Calc!$G$3:$G$22&gt;A795)*(Calc!$G$3:$G$22-A795)^2)</f>
        <v/>
      </c>
      <c r="F795">
        <f>SUMPRODUCT((Calc!$F$3:$F$22&gt;=LTP!$E$5)*(Calc!$F$3:$F$22&lt;=k_n)*(Calc!$G$3:$G$22&gt;A795)*(Calc!$G$3:$G$22-A795)*Calc!$G$3:$G$22)</f>
        <v/>
      </c>
      <c r="G795">
        <f>SUMPRODUCT((Calc!$F$3:$F$22&gt;=LTP!$E$5)*(Calc!$F$3:$F$22&lt;=k_n)*(Calc!$G$3:$G$22&gt;A795)*(Calc!$G$3:$G$22-A795)*Calc!$I$3:$I$22)</f>
        <v/>
      </c>
      <c r="H795">
        <f>IF($B$469&gt;0,F795-$C$469*D795/$B$469,0)</f>
        <v/>
      </c>
      <c r="I795">
        <f>IF($B$469&gt;0,E795-D795^2/$B$469,0)</f>
        <v/>
      </c>
      <c r="J795">
        <f>IF($B$469&gt;0,G795-D795*$D$469/$B$469,0)</f>
        <v/>
      </c>
      <c r="K795">
        <f>$H$469*I795-H795^2</f>
        <v/>
      </c>
      <c r="L795">
        <f>IF(ABS(K795)&gt;1E-12,($H$469*J795-H795*$I$469)/K795,0)</f>
        <v/>
      </c>
      <c r="M795">
        <f>IF(ABS(K795)&gt;1E-12,(I795*$I$469-H795*J795)/K795,0)</f>
        <v/>
      </c>
      <c r="N795">
        <f>$J$469-M795*$I$469-L795*J795</f>
        <v/>
      </c>
      <c r="O795">
        <f>IF(AND(C795,ABS(K795)&gt;1E-12,L795&gt;0),N795,1E+300)</f>
        <v/>
      </c>
    </row>
    <row r="796">
      <c r="A796">
        <f>$K$469+($L$469-$K$469)*324/400</f>
        <v/>
      </c>
      <c r="B796">
        <f>SUMPRODUCT((Calc!$F$3:$F$22&gt;=LTP!$E$5)*(Calc!$F$3:$F$22&lt;=k_n)*(Calc!$G$3:$G$22&lt;=A796))</f>
        <v/>
      </c>
      <c r="C796">
        <f>AND(B796&gt;=2,$B$469-B796&gt;=2)</f>
        <v/>
      </c>
      <c r="D796">
        <f>SUMPRODUCT((Calc!$F$3:$F$22&gt;=LTP!$E$5)*(Calc!$F$3:$F$22&lt;=k_n)*(Calc!$G$3:$G$22&gt;A796)*(Calc!$G$3:$G$22-A796))</f>
        <v/>
      </c>
      <c r="E796">
        <f>SUMPRODUCT((Calc!$F$3:$F$22&gt;=LTP!$E$5)*(Calc!$F$3:$F$22&lt;=k_n)*(Calc!$G$3:$G$22&gt;A796)*(Calc!$G$3:$G$22-A796)^2)</f>
        <v/>
      </c>
      <c r="F796">
        <f>SUMPRODUCT((Calc!$F$3:$F$22&gt;=LTP!$E$5)*(Calc!$F$3:$F$22&lt;=k_n)*(Calc!$G$3:$G$22&gt;A796)*(Calc!$G$3:$G$22-A796)*Calc!$G$3:$G$22)</f>
        <v/>
      </c>
      <c r="G796">
        <f>SUMPRODUCT((Calc!$F$3:$F$22&gt;=LTP!$E$5)*(Calc!$F$3:$F$22&lt;=k_n)*(Calc!$G$3:$G$22&gt;A796)*(Calc!$G$3:$G$22-A796)*Calc!$I$3:$I$22)</f>
        <v/>
      </c>
      <c r="H796">
        <f>IF($B$469&gt;0,F796-$C$469*D796/$B$469,0)</f>
        <v/>
      </c>
      <c r="I796">
        <f>IF($B$469&gt;0,E796-D796^2/$B$469,0)</f>
        <v/>
      </c>
      <c r="J796">
        <f>IF($B$469&gt;0,G796-D796*$D$469/$B$469,0)</f>
        <v/>
      </c>
      <c r="K796">
        <f>$H$469*I796-H796^2</f>
        <v/>
      </c>
      <c r="L796">
        <f>IF(ABS(K796)&gt;1E-12,($H$469*J796-H796*$I$469)/K796,0)</f>
        <v/>
      </c>
      <c r="M796">
        <f>IF(ABS(K796)&gt;1E-12,(I796*$I$469-H796*J796)/K796,0)</f>
        <v/>
      </c>
      <c r="N796">
        <f>$J$469-M796*$I$469-L796*J796</f>
        <v/>
      </c>
      <c r="O796">
        <f>IF(AND(C796,ABS(K796)&gt;1E-12,L796&gt;0),N796,1E+300)</f>
        <v/>
      </c>
    </row>
    <row r="797">
      <c r="A797">
        <f>$K$469+($L$469-$K$469)*325/400</f>
        <v/>
      </c>
      <c r="B797">
        <f>SUMPRODUCT((Calc!$F$3:$F$22&gt;=LTP!$E$5)*(Calc!$F$3:$F$22&lt;=k_n)*(Calc!$G$3:$G$22&lt;=A797))</f>
        <v/>
      </c>
      <c r="C797">
        <f>AND(B797&gt;=2,$B$469-B797&gt;=2)</f>
        <v/>
      </c>
      <c r="D797">
        <f>SUMPRODUCT((Calc!$F$3:$F$22&gt;=LTP!$E$5)*(Calc!$F$3:$F$22&lt;=k_n)*(Calc!$G$3:$G$22&gt;A797)*(Calc!$G$3:$G$22-A797))</f>
        <v/>
      </c>
      <c r="E797">
        <f>SUMPRODUCT((Calc!$F$3:$F$22&gt;=LTP!$E$5)*(Calc!$F$3:$F$22&lt;=k_n)*(Calc!$G$3:$G$22&gt;A797)*(Calc!$G$3:$G$22-A797)^2)</f>
        <v/>
      </c>
      <c r="F797">
        <f>SUMPRODUCT((Calc!$F$3:$F$22&gt;=LTP!$E$5)*(Calc!$F$3:$F$22&lt;=k_n)*(Calc!$G$3:$G$22&gt;A797)*(Calc!$G$3:$G$22-A797)*Calc!$G$3:$G$22)</f>
        <v/>
      </c>
      <c r="G797">
        <f>SUMPRODUCT((Calc!$F$3:$F$22&gt;=LTP!$E$5)*(Calc!$F$3:$F$22&lt;=k_n)*(Calc!$G$3:$G$22&gt;A797)*(Calc!$G$3:$G$22-A797)*Calc!$I$3:$I$22)</f>
        <v/>
      </c>
      <c r="H797">
        <f>IF($B$469&gt;0,F797-$C$469*D797/$B$469,0)</f>
        <v/>
      </c>
      <c r="I797">
        <f>IF($B$469&gt;0,E797-D797^2/$B$469,0)</f>
        <v/>
      </c>
      <c r="J797">
        <f>IF($B$469&gt;0,G797-D797*$D$469/$B$469,0)</f>
        <v/>
      </c>
      <c r="K797">
        <f>$H$469*I797-H797^2</f>
        <v/>
      </c>
      <c r="L797">
        <f>IF(ABS(K797)&gt;1E-12,($H$469*J797-H797*$I$469)/K797,0)</f>
        <v/>
      </c>
      <c r="M797">
        <f>IF(ABS(K797)&gt;1E-12,(I797*$I$469-H797*J797)/K797,0)</f>
        <v/>
      </c>
      <c r="N797">
        <f>$J$469-M797*$I$469-L797*J797</f>
        <v/>
      </c>
      <c r="O797">
        <f>IF(AND(C797,ABS(K797)&gt;1E-12,L797&gt;0),N797,1E+300)</f>
        <v/>
      </c>
    </row>
    <row r="798">
      <c r="A798">
        <f>$K$469+($L$469-$K$469)*326/400</f>
        <v/>
      </c>
      <c r="B798">
        <f>SUMPRODUCT((Calc!$F$3:$F$22&gt;=LTP!$E$5)*(Calc!$F$3:$F$22&lt;=k_n)*(Calc!$G$3:$G$22&lt;=A798))</f>
        <v/>
      </c>
      <c r="C798">
        <f>AND(B798&gt;=2,$B$469-B798&gt;=2)</f>
        <v/>
      </c>
      <c r="D798">
        <f>SUMPRODUCT((Calc!$F$3:$F$22&gt;=LTP!$E$5)*(Calc!$F$3:$F$22&lt;=k_n)*(Calc!$G$3:$G$22&gt;A798)*(Calc!$G$3:$G$22-A798))</f>
        <v/>
      </c>
      <c r="E798">
        <f>SUMPRODUCT((Calc!$F$3:$F$22&gt;=LTP!$E$5)*(Calc!$F$3:$F$22&lt;=k_n)*(Calc!$G$3:$G$22&gt;A798)*(Calc!$G$3:$G$22-A798)^2)</f>
        <v/>
      </c>
      <c r="F798">
        <f>SUMPRODUCT((Calc!$F$3:$F$22&gt;=LTP!$E$5)*(Calc!$F$3:$F$22&lt;=k_n)*(Calc!$G$3:$G$22&gt;A798)*(Calc!$G$3:$G$22-A798)*Calc!$G$3:$G$22)</f>
        <v/>
      </c>
      <c r="G798">
        <f>SUMPRODUCT((Calc!$F$3:$F$22&gt;=LTP!$E$5)*(Calc!$F$3:$F$22&lt;=k_n)*(Calc!$G$3:$G$22&gt;A798)*(Calc!$G$3:$G$22-A798)*Calc!$I$3:$I$22)</f>
        <v/>
      </c>
      <c r="H798">
        <f>IF($B$469&gt;0,F798-$C$469*D798/$B$469,0)</f>
        <v/>
      </c>
      <c r="I798">
        <f>IF($B$469&gt;0,E798-D798^2/$B$469,0)</f>
        <v/>
      </c>
      <c r="J798">
        <f>IF($B$469&gt;0,G798-D798*$D$469/$B$469,0)</f>
        <v/>
      </c>
      <c r="K798">
        <f>$H$469*I798-H798^2</f>
        <v/>
      </c>
      <c r="L798">
        <f>IF(ABS(K798)&gt;1E-12,($H$469*J798-H798*$I$469)/K798,0)</f>
        <v/>
      </c>
      <c r="M798">
        <f>IF(ABS(K798)&gt;1E-12,(I798*$I$469-H798*J798)/K798,0)</f>
        <v/>
      </c>
      <c r="N798">
        <f>$J$469-M798*$I$469-L798*J798</f>
        <v/>
      </c>
      <c r="O798">
        <f>IF(AND(C798,ABS(K798)&gt;1E-12,L798&gt;0),N798,1E+300)</f>
        <v/>
      </c>
    </row>
    <row r="799">
      <c r="A799">
        <f>$K$469+($L$469-$K$469)*327/400</f>
        <v/>
      </c>
      <c r="B799">
        <f>SUMPRODUCT((Calc!$F$3:$F$22&gt;=LTP!$E$5)*(Calc!$F$3:$F$22&lt;=k_n)*(Calc!$G$3:$G$22&lt;=A799))</f>
        <v/>
      </c>
      <c r="C799">
        <f>AND(B799&gt;=2,$B$469-B799&gt;=2)</f>
        <v/>
      </c>
      <c r="D799">
        <f>SUMPRODUCT((Calc!$F$3:$F$22&gt;=LTP!$E$5)*(Calc!$F$3:$F$22&lt;=k_n)*(Calc!$G$3:$G$22&gt;A799)*(Calc!$G$3:$G$22-A799))</f>
        <v/>
      </c>
      <c r="E799">
        <f>SUMPRODUCT((Calc!$F$3:$F$22&gt;=LTP!$E$5)*(Calc!$F$3:$F$22&lt;=k_n)*(Calc!$G$3:$G$22&gt;A799)*(Calc!$G$3:$G$22-A799)^2)</f>
        <v/>
      </c>
      <c r="F799">
        <f>SUMPRODUCT((Calc!$F$3:$F$22&gt;=LTP!$E$5)*(Calc!$F$3:$F$22&lt;=k_n)*(Calc!$G$3:$G$22&gt;A799)*(Calc!$G$3:$G$22-A799)*Calc!$G$3:$G$22)</f>
        <v/>
      </c>
      <c r="G799">
        <f>SUMPRODUCT((Calc!$F$3:$F$22&gt;=LTP!$E$5)*(Calc!$F$3:$F$22&lt;=k_n)*(Calc!$G$3:$G$22&gt;A799)*(Calc!$G$3:$G$22-A799)*Calc!$I$3:$I$22)</f>
        <v/>
      </c>
      <c r="H799">
        <f>IF($B$469&gt;0,F799-$C$469*D799/$B$469,0)</f>
        <v/>
      </c>
      <c r="I799">
        <f>IF($B$469&gt;0,E799-D799^2/$B$469,0)</f>
        <v/>
      </c>
      <c r="J799">
        <f>IF($B$469&gt;0,G799-D799*$D$469/$B$469,0)</f>
        <v/>
      </c>
      <c r="K799">
        <f>$H$469*I799-H799^2</f>
        <v/>
      </c>
      <c r="L799">
        <f>IF(ABS(K799)&gt;1E-12,($H$469*J799-H799*$I$469)/K799,0)</f>
        <v/>
      </c>
      <c r="M799">
        <f>IF(ABS(K799)&gt;1E-12,(I799*$I$469-H799*J799)/K799,0)</f>
        <v/>
      </c>
      <c r="N799">
        <f>$J$469-M799*$I$469-L799*J799</f>
        <v/>
      </c>
      <c r="O799">
        <f>IF(AND(C799,ABS(K799)&gt;1E-12,L799&gt;0),N799,1E+300)</f>
        <v/>
      </c>
    </row>
    <row r="800">
      <c r="A800">
        <f>$K$469+($L$469-$K$469)*328/400</f>
        <v/>
      </c>
      <c r="B800">
        <f>SUMPRODUCT((Calc!$F$3:$F$22&gt;=LTP!$E$5)*(Calc!$F$3:$F$22&lt;=k_n)*(Calc!$G$3:$G$22&lt;=A800))</f>
        <v/>
      </c>
      <c r="C800">
        <f>AND(B800&gt;=2,$B$469-B800&gt;=2)</f>
        <v/>
      </c>
      <c r="D800">
        <f>SUMPRODUCT((Calc!$F$3:$F$22&gt;=LTP!$E$5)*(Calc!$F$3:$F$22&lt;=k_n)*(Calc!$G$3:$G$22&gt;A800)*(Calc!$G$3:$G$22-A800))</f>
        <v/>
      </c>
      <c r="E800">
        <f>SUMPRODUCT((Calc!$F$3:$F$22&gt;=LTP!$E$5)*(Calc!$F$3:$F$22&lt;=k_n)*(Calc!$G$3:$G$22&gt;A800)*(Calc!$G$3:$G$22-A800)^2)</f>
        <v/>
      </c>
      <c r="F800">
        <f>SUMPRODUCT((Calc!$F$3:$F$22&gt;=LTP!$E$5)*(Calc!$F$3:$F$22&lt;=k_n)*(Calc!$G$3:$G$22&gt;A800)*(Calc!$G$3:$G$22-A800)*Calc!$G$3:$G$22)</f>
        <v/>
      </c>
      <c r="G800">
        <f>SUMPRODUCT((Calc!$F$3:$F$22&gt;=LTP!$E$5)*(Calc!$F$3:$F$22&lt;=k_n)*(Calc!$G$3:$G$22&gt;A800)*(Calc!$G$3:$G$22-A800)*Calc!$I$3:$I$22)</f>
        <v/>
      </c>
      <c r="H800">
        <f>IF($B$469&gt;0,F800-$C$469*D800/$B$469,0)</f>
        <v/>
      </c>
      <c r="I800">
        <f>IF($B$469&gt;0,E800-D800^2/$B$469,0)</f>
        <v/>
      </c>
      <c r="J800">
        <f>IF($B$469&gt;0,G800-D800*$D$469/$B$469,0)</f>
        <v/>
      </c>
      <c r="K800">
        <f>$H$469*I800-H800^2</f>
        <v/>
      </c>
      <c r="L800">
        <f>IF(ABS(K800)&gt;1E-12,($H$469*J800-H800*$I$469)/K800,0)</f>
        <v/>
      </c>
      <c r="M800">
        <f>IF(ABS(K800)&gt;1E-12,(I800*$I$469-H800*J800)/K800,0)</f>
        <v/>
      </c>
      <c r="N800">
        <f>$J$469-M800*$I$469-L800*J800</f>
        <v/>
      </c>
      <c r="O800">
        <f>IF(AND(C800,ABS(K800)&gt;1E-12,L800&gt;0),N800,1E+300)</f>
        <v/>
      </c>
    </row>
    <row r="801">
      <c r="A801">
        <f>$K$469+($L$469-$K$469)*329/400</f>
        <v/>
      </c>
      <c r="B801">
        <f>SUMPRODUCT((Calc!$F$3:$F$22&gt;=LTP!$E$5)*(Calc!$F$3:$F$22&lt;=k_n)*(Calc!$G$3:$G$22&lt;=A801))</f>
        <v/>
      </c>
      <c r="C801">
        <f>AND(B801&gt;=2,$B$469-B801&gt;=2)</f>
        <v/>
      </c>
      <c r="D801">
        <f>SUMPRODUCT((Calc!$F$3:$F$22&gt;=LTP!$E$5)*(Calc!$F$3:$F$22&lt;=k_n)*(Calc!$G$3:$G$22&gt;A801)*(Calc!$G$3:$G$22-A801))</f>
        <v/>
      </c>
      <c r="E801">
        <f>SUMPRODUCT((Calc!$F$3:$F$22&gt;=LTP!$E$5)*(Calc!$F$3:$F$22&lt;=k_n)*(Calc!$G$3:$G$22&gt;A801)*(Calc!$G$3:$G$22-A801)^2)</f>
        <v/>
      </c>
      <c r="F801">
        <f>SUMPRODUCT((Calc!$F$3:$F$22&gt;=LTP!$E$5)*(Calc!$F$3:$F$22&lt;=k_n)*(Calc!$G$3:$G$22&gt;A801)*(Calc!$G$3:$G$22-A801)*Calc!$G$3:$G$22)</f>
        <v/>
      </c>
      <c r="G801">
        <f>SUMPRODUCT((Calc!$F$3:$F$22&gt;=LTP!$E$5)*(Calc!$F$3:$F$22&lt;=k_n)*(Calc!$G$3:$G$22&gt;A801)*(Calc!$G$3:$G$22-A801)*Calc!$I$3:$I$22)</f>
        <v/>
      </c>
      <c r="H801">
        <f>IF($B$469&gt;0,F801-$C$469*D801/$B$469,0)</f>
        <v/>
      </c>
      <c r="I801">
        <f>IF($B$469&gt;0,E801-D801^2/$B$469,0)</f>
        <v/>
      </c>
      <c r="J801">
        <f>IF($B$469&gt;0,G801-D801*$D$469/$B$469,0)</f>
        <v/>
      </c>
      <c r="K801">
        <f>$H$469*I801-H801^2</f>
        <v/>
      </c>
      <c r="L801">
        <f>IF(ABS(K801)&gt;1E-12,($H$469*J801-H801*$I$469)/K801,0)</f>
        <v/>
      </c>
      <c r="M801">
        <f>IF(ABS(K801)&gt;1E-12,(I801*$I$469-H801*J801)/K801,0)</f>
        <v/>
      </c>
      <c r="N801">
        <f>$J$469-M801*$I$469-L801*J801</f>
        <v/>
      </c>
      <c r="O801">
        <f>IF(AND(C801,ABS(K801)&gt;1E-12,L801&gt;0),N801,1E+300)</f>
        <v/>
      </c>
    </row>
    <row r="802">
      <c r="A802">
        <f>$K$469+($L$469-$K$469)*330/400</f>
        <v/>
      </c>
      <c r="B802">
        <f>SUMPRODUCT((Calc!$F$3:$F$22&gt;=LTP!$E$5)*(Calc!$F$3:$F$22&lt;=k_n)*(Calc!$G$3:$G$22&lt;=A802))</f>
        <v/>
      </c>
      <c r="C802">
        <f>AND(B802&gt;=2,$B$469-B802&gt;=2)</f>
        <v/>
      </c>
      <c r="D802">
        <f>SUMPRODUCT((Calc!$F$3:$F$22&gt;=LTP!$E$5)*(Calc!$F$3:$F$22&lt;=k_n)*(Calc!$G$3:$G$22&gt;A802)*(Calc!$G$3:$G$22-A802))</f>
        <v/>
      </c>
      <c r="E802">
        <f>SUMPRODUCT((Calc!$F$3:$F$22&gt;=LTP!$E$5)*(Calc!$F$3:$F$22&lt;=k_n)*(Calc!$G$3:$G$22&gt;A802)*(Calc!$G$3:$G$22-A802)^2)</f>
        <v/>
      </c>
      <c r="F802">
        <f>SUMPRODUCT((Calc!$F$3:$F$22&gt;=LTP!$E$5)*(Calc!$F$3:$F$22&lt;=k_n)*(Calc!$G$3:$G$22&gt;A802)*(Calc!$G$3:$G$22-A802)*Calc!$G$3:$G$22)</f>
        <v/>
      </c>
      <c r="G802">
        <f>SUMPRODUCT((Calc!$F$3:$F$22&gt;=LTP!$E$5)*(Calc!$F$3:$F$22&lt;=k_n)*(Calc!$G$3:$G$22&gt;A802)*(Calc!$G$3:$G$22-A802)*Calc!$I$3:$I$22)</f>
        <v/>
      </c>
      <c r="H802">
        <f>IF($B$469&gt;0,F802-$C$469*D802/$B$469,0)</f>
        <v/>
      </c>
      <c r="I802">
        <f>IF($B$469&gt;0,E802-D802^2/$B$469,0)</f>
        <v/>
      </c>
      <c r="J802">
        <f>IF($B$469&gt;0,G802-D802*$D$469/$B$469,0)</f>
        <v/>
      </c>
      <c r="K802">
        <f>$H$469*I802-H802^2</f>
        <v/>
      </c>
      <c r="L802">
        <f>IF(ABS(K802)&gt;1E-12,($H$469*J802-H802*$I$469)/K802,0)</f>
        <v/>
      </c>
      <c r="M802">
        <f>IF(ABS(K802)&gt;1E-12,(I802*$I$469-H802*J802)/K802,0)</f>
        <v/>
      </c>
      <c r="N802">
        <f>$J$469-M802*$I$469-L802*J802</f>
        <v/>
      </c>
      <c r="O802">
        <f>IF(AND(C802,ABS(K802)&gt;1E-12,L802&gt;0),N802,1E+300)</f>
        <v/>
      </c>
    </row>
    <row r="803">
      <c r="A803">
        <f>$K$469+($L$469-$K$469)*331/400</f>
        <v/>
      </c>
      <c r="B803">
        <f>SUMPRODUCT((Calc!$F$3:$F$22&gt;=LTP!$E$5)*(Calc!$F$3:$F$22&lt;=k_n)*(Calc!$G$3:$G$22&lt;=A803))</f>
        <v/>
      </c>
      <c r="C803">
        <f>AND(B803&gt;=2,$B$469-B803&gt;=2)</f>
        <v/>
      </c>
      <c r="D803">
        <f>SUMPRODUCT((Calc!$F$3:$F$22&gt;=LTP!$E$5)*(Calc!$F$3:$F$22&lt;=k_n)*(Calc!$G$3:$G$22&gt;A803)*(Calc!$G$3:$G$22-A803))</f>
        <v/>
      </c>
      <c r="E803">
        <f>SUMPRODUCT((Calc!$F$3:$F$22&gt;=LTP!$E$5)*(Calc!$F$3:$F$22&lt;=k_n)*(Calc!$G$3:$G$22&gt;A803)*(Calc!$G$3:$G$22-A803)^2)</f>
        <v/>
      </c>
      <c r="F803">
        <f>SUMPRODUCT((Calc!$F$3:$F$22&gt;=LTP!$E$5)*(Calc!$F$3:$F$22&lt;=k_n)*(Calc!$G$3:$G$22&gt;A803)*(Calc!$G$3:$G$22-A803)*Calc!$G$3:$G$22)</f>
        <v/>
      </c>
      <c r="G803">
        <f>SUMPRODUCT((Calc!$F$3:$F$22&gt;=LTP!$E$5)*(Calc!$F$3:$F$22&lt;=k_n)*(Calc!$G$3:$G$22&gt;A803)*(Calc!$G$3:$G$22-A803)*Calc!$I$3:$I$22)</f>
        <v/>
      </c>
      <c r="H803">
        <f>IF($B$469&gt;0,F803-$C$469*D803/$B$469,0)</f>
        <v/>
      </c>
      <c r="I803">
        <f>IF($B$469&gt;0,E803-D803^2/$B$469,0)</f>
        <v/>
      </c>
      <c r="J803">
        <f>IF($B$469&gt;0,G803-D803*$D$469/$B$469,0)</f>
        <v/>
      </c>
      <c r="K803">
        <f>$H$469*I803-H803^2</f>
        <v/>
      </c>
      <c r="L803">
        <f>IF(ABS(K803)&gt;1E-12,($H$469*J803-H803*$I$469)/K803,0)</f>
        <v/>
      </c>
      <c r="M803">
        <f>IF(ABS(K803)&gt;1E-12,(I803*$I$469-H803*J803)/K803,0)</f>
        <v/>
      </c>
      <c r="N803">
        <f>$J$469-M803*$I$469-L803*J803</f>
        <v/>
      </c>
      <c r="O803">
        <f>IF(AND(C803,ABS(K803)&gt;1E-12,L803&gt;0),N803,1E+300)</f>
        <v/>
      </c>
    </row>
    <row r="804">
      <c r="A804">
        <f>$K$469+($L$469-$K$469)*332/400</f>
        <v/>
      </c>
      <c r="B804">
        <f>SUMPRODUCT((Calc!$F$3:$F$22&gt;=LTP!$E$5)*(Calc!$F$3:$F$22&lt;=k_n)*(Calc!$G$3:$G$22&lt;=A804))</f>
        <v/>
      </c>
      <c r="C804">
        <f>AND(B804&gt;=2,$B$469-B804&gt;=2)</f>
        <v/>
      </c>
      <c r="D804">
        <f>SUMPRODUCT((Calc!$F$3:$F$22&gt;=LTP!$E$5)*(Calc!$F$3:$F$22&lt;=k_n)*(Calc!$G$3:$G$22&gt;A804)*(Calc!$G$3:$G$22-A804))</f>
        <v/>
      </c>
      <c r="E804">
        <f>SUMPRODUCT((Calc!$F$3:$F$22&gt;=LTP!$E$5)*(Calc!$F$3:$F$22&lt;=k_n)*(Calc!$G$3:$G$22&gt;A804)*(Calc!$G$3:$G$22-A804)^2)</f>
        <v/>
      </c>
      <c r="F804">
        <f>SUMPRODUCT((Calc!$F$3:$F$22&gt;=LTP!$E$5)*(Calc!$F$3:$F$22&lt;=k_n)*(Calc!$G$3:$G$22&gt;A804)*(Calc!$G$3:$G$22-A804)*Calc!$G$3:$G$22)</f>
        <v/>
      </c>
      <c r="G804">
        <f>SUMPRODUCT((Calc!$F$3:$F$22&gt;=LTP!$E$5)*(Calc!$F$3:$F$22&lt;=k_n)*(Calc!$G$3:$G$22&gt;A804)*(Calc!$G$3:$G$22-A804)*Calc!$I$3:$I$22)</f>
        <v/>
      </c>
      <c r="H804">
        <f>IF($B$469&gt;0,F804-$C$469*D804/$B$469,0)</f>
        <v/>
      </c>
      <c r="I804">
        <f>IF($B$469&gt;0,E804-D804^2/$B$469,0)</f>
        <v/>
      </c>
      <c r="J804">
        <f>IF($B$469&gt;0,G804-D804*$D$469/$B$469,0)</f>
        <v/>
      </c>
      <c r="K804">
        <f>$H$469*I804-H804^2</f>
        <v/>
      </c>
      <c r="L804">
        <f>IF(ABS(K804)&gt;1E-12,($H$469*J804-H804*$I$469)/K804,0)</f>
        <v/>
      </c>
      <c r="M804">
        <f>IF(ABS(K804)&gt;1E-12,(I804*$I$469-H804*J804)/K804,0)</f>
        <v/>
      </c>
      <c r="N804">
        <f>$J$469-M804*$I$469-L804*J804</f>
        <v/>
      </c>
      <c r="O804">
        <f>IF(AND(C804,ABS(K804)&gt;1E-12,L804&gt;0),N804,1E+300)</f>
        <v/>
      </c>
    </row>
    <row r="805">
      <c r="A805">
        <f>$K$469+($L$469-$K$469)*333/400</f>
        <v/>
      </c>
      <c r="B805">
        <f>SUMPRODUCT((Calc!$F$3:$F$22&gt;=LTP!$E$5)*(Calc!$F$3:$F$22&lt;=k_n)*(Calc!$G$3:$G$22&lt;=A805))</f>
        <v/>
      </c>
      <c r="C805">
        <f>AND(B805&gt;=2,$B$469-B805&gt;=2)</f>
        <v/>
      </c>
      <c r="D805">
        <f>SUMPRODUCT((Calc!$F$3:$F$22&gt;=LTP!$E$5)*(Calc!$F$3:$F$22&lt;=k_n)*(Calc!$G$3:$G$22&gt;A805)*(Calc!$G$3:$G$22-A805))</f>
        <v/>
      </c>
      <c r="E805">
        <f>SUMPRODUCT((Calc!$F$3:$F$22&gt;=LTP!$E$5)*(Calc!$F$3:$F$22&lt;=k_n)*(Calc!$G$3:$G$22&gt;A805)*(Calc!$G$3:$G$22-A805)^2)</f>
        <v/>
      </c>
      <c r="F805">
        <f>SUMPRODUCT((Calc!$F$3:$F$22&gt;=LTP!$E$5)*(Calc!$F$3:$F$22&lt;=k_n)*(Calc!$G$3:$G$22&gt;A805)*(Calc!$G$3:$G$22-A805)*Calc!$G$3:$G$22)</f>
        <v/>
      </c>
      <c r="G805">
        <f>SUMPRODUCT((Calc!$F$3:$F$22&gt;=LTP!$E$5)*(Calc!$F$3:$F$22&lt;=k_n)*(Calc!$G$3:$G$22&gt;A805)*(Calc!$G$3:$G$22-A805)*Calc!$I$3:$I$22)</f>
        <v/>
      </c>
      <c r="H805">
        <f>IF($B$469&gt;0,F805-$C$469*D805/$B$469,0)</f>
        <v/>
      </c>
      <c r="I805">
        <f>IF($B$469&gt;0,E805-D805^2/$B$469,0)</f>
        <v/>
      </c>
      <c r="J805">
        <f>IF($B$469&gt;0,G805-D805*$D$469/$B$469,0)</f>
        <v/>
      </c>
      <c r="K805">
        <f>$H$469*I805-H805^2</f>
        <v/>
      </c>
      <c r="L805">
        <f>IF(ABS(K805)&gt;1E-12,($H$469*J805-H805*$I$469)/K805,0)</f>
        <v/>
      </c>
      <c r="M805">
        <f>IF(ABS(K805)&gt;1E-12,(I805*$I$469-H805*J805)/K805,0)</f>
        <v/>
      </c>
      <c r="N805">
        <f>$J$469-M805*$I$469-L805*J805</f>
        <v/>
      </c>
      <c r="O805">
        <f>IF(AND(C805,ABS(K805)&gt;1E-12,L805&gt;0),N805,1E+300)</f>
        <v/>
      </c>
    </row>
    <row r="806">
      <c r="A806">
        <f>$K$469+($L$469-$K$469)*334/400</f>
        <v/>
      </c>
      <c r="B806">
        <f>SUMPRODUCT((Calc!$F$3:$F$22&gt;=LTP!$E$5)*(Calc!$F$3:$F$22&lt;=k_n)*(Calc!$G$3:$G$22&lt;=A806))</f>
        <v/>
      </c>
      <c r="C806">
        <f>AND(B806&gt;=2,$B$469-B806&gt;=2)</f>
        <v/>
      </c>
      <c r="D806">
        <f>SUMPRODUCT((Calc!$F$3:$F$22&gt;=LTP!$E$5)*(Calc!$F$3:$F$22&lt;=k_n)*(Calc!$G$3:$G$22&gt;A806)*(Calc!$G$3:$G$22-A806))</f>
        <v/>
      </c>
      <c r="E806">
        <f>SUMPRODUCT((Calc!$F$3:$F$22&gt;=LTP!$E$5)*(Calc!$F$3:$F$22&lt;=k_n)*(Calc!$G$3:$G$22&gt;A806)*(Calc!$G$3:$G$22-A806)^2)</f>
        <v/>
      </c>
      <c r="F806">
        <f>SUMPRODUCT((Calc!$F$3:$F$22&gt;=LTP!$E$5)*(Calc!$F$3:$F$22&lt;=k_n)*(Calc!$G$3:$G$22&gt;A806)*(Calc!$G$3:$G$22-A806)*Calc!$G$3:$G$22)</f>
        <v/>
      </c>
      <c r="G806">
        <f>SUMPRODUCT((Calc!$F$3:$F$22&gt;=LTP!$E$5)*(Calc!$F$3:$F$22&lt;=k_n)*(Calc!$G$3:$G$22&gt;A806)*(Calc!$G$3:$G$22-A806)*Calc!$I$3:$I$22)</f>
        <v/>
      </c>
      <c r="H806">
        <f>IF($B$469&gt;0,F806-$C$469*D806/$B$469,0)</f>
        <v/>
      </c>
      <c r="I806">
        <f>IF($B$469&gt;0,E806-D806^2/$B$469,0)</f>
        <v/>
      </c>
      <c r="J806">
        <f>IF($B$469&gt;0,G806-D806*$D$469/$B$469,0)</f>
        <v/>
      </c>
      <c r="K806">
        <f>$H$469*I806-H806^2</f>
        <v/>
      </c>
      <c r="L806">
        <f>IF(ABS(K806)&gt;1E-12,($H$469*J806-H806*$I$469)/K806,0)</f>
        <v/>
      </c>
      <c r="M806">
        <f>IF(ABS(K806)&gt;1E-12,(I806*$I$469-H806*J806)/K806,0)</f>
        <v/>
      </c>
      <c r="N806">
        <f>$J$469-M806*$I$469-L806*J806</f>
        <v/>
      </c>
      <c r="O806">
        <f>IF(AND(C806,ABS(K806)&gt;1E-12,L806&gt;0),N806,1E+300)</f>
        <v/>
      </c>
    </row>
    <row r="807">
      <c r="A807">
        <f>$K$469+($L$469-$K$469)*335/400</f>
        <v/>
      </c>
      <c r="B807">
        <f>SUMPRODUCT((Calc!$F$3:$F$22&gt;=LTP!$E$5)*(Calc!$F$3:$F$22&lt;=k_n)*(Calc!$G$3:$G$22&lt;=A807))</f>
        <v/>
      </c>
      <c r="C807">
        <f>AND(B807&gt;=2,$B$469-B807&gt;=2)</f>
        <v/>
      </c>
      <c r="D807">
        <f>SUMPRODUCT((Calc!$F$3:$F$22&gt;=LTP!$E$5)*(Calc!$F$3:$F$22&lt;=k_n)*(Calc!$G$3:$G$22&gt;A807)*(Calc!$G$3:$G$22-A807))</f>
        <v/>
      </c>
      <c r="E807">
        <f>SUMPRODUCT((Calc!$F$3:$F$22&gt;=LTP!$E$5)*(Calc!$F$3:$F$22&lt;=k_n)*(Calc!$G$3:$G$22&gt;A807)*(Calc!$G$3:$G$22-A807)^2)</f>
        <v/>
      </c>
      <c r="F807">
        <f>SUMPRODUCT((Calc!$F$3:$F$22&gt;=LTP!$E$5)*(Calc!$F$3:$F$22&lt;=k_n)*(Calc!$G$3:$G$22&gt;A807)*(Calc!$G$3:$G$22-A807)*Calc!$G$3:$G$22)</f>
        <v/>
      </c>
      <c r="G807">
        <f>SUMPRODUCT((Calc!$F$3:$F$22&gt;=LTP!$E$5)*(Calc!$F$3:$F$22&lt;=k_n)*(Calc!$G$3:$G$22&gt;A807)*(Calc!$G$3:$G$22-A807)*Calc!$I$3:$I$22)</f>
        <v/>
      </c>
      <c r="H807">
        <f>IF($B$469&gt;0,F807-$C$469*D807/$B$469,0)</f>
        <v/>
      </c>
      <c r="I807">
        <f>IF($B$469&gt;0,E807-D807^2/$B$469,0)</f>
        <v/>
      </c>
      <c r="J807">
        <f>IF($B$469&gt;0,G807-D807*$D$469/$B$469,0)</f>
        <v/>
      </c>
      <c r="K807">
        <f>$H$469*I807-H807^2</f>
        <v/>
      </c>
      <c r="L807">
        <f>IF(ABS(K807)&gt;1E-12,($H$469*J807-H807*$I$469)/K807,0)</f>
        <v/>
      </c>
      <c r="M807">
        <f>IF(ABS(K807)&gt;1E-12,(I807*$I$469-H807*J807)/K807,0)</f>
        <v/>
      </c>
      <c r="N807">
        <f>$J$469-M807*$I$469-L807*J807</f>
        <v/>
      </c>
      <c r="O807">
        <f>IF(AND(C807,ABS(K807)&gt;1E-12,L807&gt;0),N807,1E+300)</f>
        <v/>
      </c>
    </row>
    <row r="808">
      <c r="A808">
        <f>$K$469+($L$469-$K$469)*336/400</f>
        <v/>
      </c>
      <c r="B808">
        <f>SUMPRODUCT((Calc!$F$3:$F$22&gt;=LTP!$E$5)*(Calc!$F$3:$F$22&lt;=k_n)*(Calc!$G$3:$G$22&lt;=A808))</f>
        <v/>
      </c>
      <c r="C808">
        <f>AND(B808&gt;=2,$B$469-B808&gt;=2)</f>
        <v/>
      </c>
      <c r="D808">
        <f>SUMPRODUCT((Calc!$F$3:$F$22&gt;=LTP!$E$5)*(Calc!$F$3:$F$22&lt;=k_n)*(Calc!$G$3:$G$22&gt;A808)*(Calc!$G$3:$G$22-A808))</f>
        <v/>
      </c>
      <c r="E808">
        <f>SUMPRODUCT((Calc!$F$3:$F$22&gt;=LTP!$E$5)*(Calc!$F$3:$F$22&lt;=k_n)*(Calc!$G$3:$G$22&gt;A808)*(Calc!$G$3:$G$22-A808)^2)</f>
        <v/>
      </c>
      <c r="F808">
        <f>SUMPRODUCT((Calc!$F$3:$F$22&gt;=LTP!$E$5)*(Calc!$F$3:$F$22&lt;=k_n)*(Calc!$G$3:$G$22&gt;A808)*(Calc!$G$3:$G$22-A808)*Calc!$G$3:$G$22)</f>
        <v/>
      </c>
      <c r="G808">
        <f>SUMPRODUCT((Calc!$F$3:$F$22&gt;=LTP!$E$5)*(Calc!$F$3:$F$22&lt;=k_n)*(Calc!$G$3:$G$22&gt;A808)*(Calc!$G$3:$G$22-A808)*Calc!$I$3:$I$22)</f>
        <v/>
      </c>
      <c r="H808">
        <f>IF($B$469&gt;0,F808-$C$469*D808/$B$469,0)</f>
        <v/>
      </c>
      <c r="I808">
        <f>IF($B$469&gt;0,E808-D808^2/$B$469,0)</f>
        <v/>
      </c>
      <c r="J808">
        <f>IF($B$469&gt;0,G808-D808*$D$469/$B$469,0)</f>
        <v/>
      </c>
      <c r="K808">
        <f>$H$469*I808-H808^2</f>
        <v/>
      </c>
      <c r="L808">
        <f>IF(ABS(K808)&gt;1E-12,($H$469*J808-H808*$I$469)/K808,0)</f>
        <v/>
      </c>
      <c r="M808">
        <f>IF(ABS(K808)&gt;1E-12,(I808*$I$469-H808*J808)/K808,0)</f>
        <v/>
      </c>
      <c r="N808">
        <f>$J$469-M808*$I$469-L808*J808</f>
        <v/>
      </c>
      <c r="O808">
        <f>IF(AND(C808,ABS(K808)&gt;1E-12,L808&gt;0),N808,1E+300)</f>
        <v/>
      </c>
    </row>
    <row r="809">
      <c r="A809">
        <f>$K$469+($L$469-$K$469)*337/400</f>
        <v/>
      </c>
      <c r="B809">
        <f>SUMPRODUCT((Calc!$F$3:$F$22&gt;=LTP!$E$5)*(Calc!$F$3:$F$22&lt;=k_n)*(Calc!$G$3:$G$22&lt;=A809))</f>
        <v/>
      </c>
      <c r="C809">
        <f>AND(B809&gt;=2,$B$469-B809&gt;=2)</f>
        <v/>
      </c>
      <c r="D809">
        <f>SUMPRODUCT((Calc!$F$3:$F$22&gt;=LTP!$E$5)*(Calc!$F$3:$F$22&lt;=k_n)*(Calc!$G$3:$G$22&gt;A809)*(Calc!$G$3:$G$22-A809))</f>
        <v/>
      </c>
      <c r="E809">
        <f>SUMPRODUCT((Calc!$F$3:$F$22&gt;=LTP!$E$5)*(Calc!$F$3:$F$22&lt;=k_n)*(Calc!$G$3:$G$22&gt;A809)*(Calc!$G$3:$G$22-A809)^2)</f>
        <v/>
      </c>
      <c r="F809">
        <f>SUMPRODUCT((Calc!$F$3:$F$22&gt;=LTP!$E$5)*(Calc!$F$3:$F$22&lt;=k_n)*(Calc!$G$3:$G$22&gt;A809)*(Calc!$G$3:$G$22-A809)*Calc!$G$3:$G$22)</f>
        <v/>
      </c>
      <c r="G809">
        <f>SUMPRODUCT((Calc!$F$3:$F$22&gt;=LTP!$E$5)*(Calc!$F$3:$F$22&lt;=k_n)*(Calc!$G$3:$G$22&gt;A809)*(Calc!$G$3:$G$22-A809)*Calc!$I$3:$I$22)</f>
        <v/>
      </c>
      <c r="H809">
        <f>IF($B$469&gt;0,F809-$C$469*D809/$B$469,0)</f>
        <v/>
      </c>
      <c r="I809">
        <f>IF($B$469&gt;0,E809-D809^2/$B$469,0)</f>
        <v/>
      </c>
      <c r="J809">
        <f>IF($B$469&gt;0,G809-D809*$D$469/$B$469,0)</f>
        <v/>
      </c>
      <c r="K809">
        <f>$H$469*I809-H809^2</f>
        <v/>
      </c>
      <c r="L809">
        <f>IF(ABS(K809)&gt;1E-12,($H$469*J809-H809*$I$469)/K809,0)</f>
        <v/>
      </c>
      <c r="M809">
        <f>IF(ABS(K809)&gt;1E-12,(I809*$I$469-H809*J809)/K809,0)</f>
        <v/>
      </c>
      <c r="N809">
        <f>$J$469-M809*$I$469-L809*J809</f>
        <v/>
      </c>
      <c r="O809">
        <f>IF(AND(C809,ABS(K809)&gt;1E-12,L809&gt;0),N809,1E+300)</f>
        <v/>
      </c>
    </row>
    <row r="810">
      <c r="A810">
        <f>$K$469+($L$469-$K$469)*338/400</f>
        <v/>
      </c>
      <c r="B810">
        <f>SUMPRODUCT((Calc!$F$3:$F$22&gt;=LTP!$E$5)*(Calc!$F$3:$F$22&lt;=k_n)*(Calc!$G$3:$G$22&lt;=A810))</f>
        <v/>
      </c>
      <c r="C810">
        <f>AND(B810&gt;=2,$B$469-B810&gt;=2)</f>
        <v/>
      </c>
      <c r="D810">
        <f>SUMPRODUCT((Calc!$F$3:$F$22&gt;=LTP!$E$5)*(Calc!$F$3:$F$22&lt;=k_n)*(Calc!$G$3:$G$22&gt;A810)*(Calc!$G$3:$G$22-A810))</f>
        <v/>
      </c>
      <c r="E810">
        <f>SUMPRODUCT((Calc!$F$3:$F$22&gt;=LTP!$E$5)*(Calc!$F$3:$F$22&lt;=k_n)*(Calc!$G$3:$G$22&gt;A810)*(Calc!$G$3:$G$22-A810)^2)</f>
        <v/>
      </c>
      <c r="F810">
        <f>SUMPRODUCT((Calc!$F$3:$F$22&gt;=LTP!$E$5)*(Calc!$F$3:$F$22&lt;=k_n)*(Calc!$G$3:$G$22&gt;A810)*(Calc!$G$3:$G$22-A810)*Calc!$G$3:$G$22)</f>
        <v/>
      </c>
      <c r="G810">
        <f>SUMPRODUCT((Calc!$F$3:$F$22&gt;=LTP!$E$5)*(Calc!$F$3:$F$22&lt;=k_n)*(Calc!$G$3:$G$22&gt;A810)*(Calc!$G$3:$G$22-A810)*Calc!$I$3:$I$22)</f>
        <v/>
      </c>
      <c r="H810">
        <f>IF($B$469&gt;0,F810-$C$469*D810/$B$469,0)</f>
        <v/>
      </c>
      <c r="I810">
        <f>IF($B$469&gt;0,E810-D810^2/$B$469,0)</f>
        <v/>
      </c>
      <c r="J810">
        <f>IF($B$469&gt;0,G810-D810*$D$469/$B$469,0)</f>
        <v/>
      </c>
      <c r="K810">
        <f>$H$469*I810-H810^2</f>
        <v/>
      </c>
      <c r="L810">
        <f>IF(ABS(K810)&gt;1E-12,($H$469*J810-H810*$I$469)/K810,0)</f>
        <v/>
      </c>
      <c r="M810">
        <f>IF(ABS(K810)&gt;1E-12,(I810*$I$469-H810*J810)/K810,0)</f>
        <v/>
      </c>
      <c r="N810">
        <f>$J$469-M810*$I$469-L810*J810</f>
        <v/>
      </c>
      <c r="O810">
        <f>IF(AND(C810,ABS(K810)&gt;1E-12,L810&gt;0),N810,1E+300)</f>
        <v/>
      </c>
    </row>
    <row r="811">
      <c r="A811">
        <f>$K$469+($L$469-$K$469)*339/400</f>
        <v/>
      </c>
      <c r="B811">
        <f>SUMPRODUCT((Calc!$F$3:$F$22&gt;=LTP!$E$5)*(Calc!$F$3:$F$22&lt;=k_n)*(Calc!$G$3:$G$22&lt;=A811))</f>
        <v/>
      </c>
      <c r="C811">
        <f>AND(B811&gt;=2,$B$469-B811&gt;=2)</f>
        <v/>
      </c>
      <c r="D811">
        <f>SUMPRODUCT((Calc!$F$3:$F$22&gt;=LTP!$E$5)*(Calc!$F$3:$F$22&lt;=k_n)*(Calc!$G$3:$G$22&gt;A811)*(Calc!$G$3:$G$22-A811))</f>
        <v/>
      </c>
      <c r="E811">
        <f>SUMPRODUCT((Calc!$F$3:$F$22&gt;=LTP!$E$5)*(Calc!$F$3:$F$22&lt;=k_n)*(Calc!$G$3:$G$22&gt;A811)*(Calc!$G$3:$G$22-A811)^2)</f>
        <v/>
      </c>
      <c r="F811">
        <f>SUMPRODUCT((Calc!$F$3:$F$22&gt;=LTP!$E$5)*(Calc!$F$3:$F$22&lt;=k_n)*(Calc!$G$3:$G$22&gt;A811)*(Calc!$G$3:$G$22-A811)*Calc!$G$3:$G$22)</f>
        <v/>
      </c>
      <c r="G811">
        <f>SUMPRODUCT((Calc!$F$3:$F$22&gt;=LTP!$E$5)*(Calc!$F$3:$F$22&lt;=k_n)*(Calc!$G$3:$G$22&gt;A811)*(Calc!$G$3:$G$22-A811)*Calc!$I$3:$I$22)</f>
        <v/>
      </c>
      <c r="H811">
        <f>IF($B$469&gt;0,F811-$C$469*D811/$B$469,0)</f>
        <v/>
      </c>
      <c r="I811">
        <f>IF($B$469&gt;0,E811-D811^2/$B$469,0)</f>
        <v/>
      </c>
      <c r="J811">
        <f>IF($B$469&gt;0,G811-D811*$D$469/$B$469,0)</f>
        <v/>
      </c>
      <c r="K811">
        <f>$H$469*I811-H811^2</f>
        <v/>
      </c>
      <c r="L811">
        <f>IF(ABS(K811)&gt;1E-12,($H$469*J811-H811*$I$469)/K811,0)</f>
        <v/>
      </c>
      <c r="M811">
        <f>IF(ABS(K811)&gt;1E-12,(I811*$I$469-H811*J811)/K811,0)</f>
        <v/>
      </c>
      <c r="N811">
        <f>$J$469-M811*$I$469-L811*J811</f>
        <v/>
      </c>
      <c r="O811">
        <f>IF(AND(C811,ABS(K811)&gt;1E-12,L811&gt;0),N811,1E+300)</f>
        <v/>
      </c>
    </row>
    <row r="812">
      <c r="A812">
        <f>$K$469+($L$469-$K$469)*340/400</f>
        <v/>
      </c>
      <c r="B812">
        <f>SUMPRODUCT((Calc!$F$3:$F$22&gt;=LTP!$E$5)*(Calc!$F$3:$F$22&lt;=k_n)*(Calc!$G$3:$G$22&lt;=A812))</f>
        <v/>
      </c>
      <c r="C812">
        <f>AND(B812&gt;=2,$B$469-B812&gt;=2)</f>
        <v/>
      </c>
      <c r="D812">
        <f>SUMPRODUCT((Calc!$F$3:$F$22&gt;=LTP!$E$5)*(Calc!$F$3:$F$22&lt;=k_n)*(Calc!$G$3:$G$22&gt;A812)*(Calc!$G$3:$G$22-A812))</f>
        <v/>
      </c>
      <c r="E812">
        <f>SUMPRODUCT((Calc!$F$3:$F$22&gt;=LTP!$E$5)*(Calc!$F$3:$F$22&lt;=k_n)*(Calc!$G$3:$G$22&gt;A812)*(Calc!$G$3:$G$22-A812)^2)</f>
        <v/>
      </c>
      <c r="F812">
        <f>SUMPRODUCT((Calc!$F$3:$F$22&gt;=LTP!$E$5)*(Calc!$F$3:$F$22&lt;=k_n)*(Calc!$G$3:$G$22&gt;A812)*(Calc!$G$3:$G$22-A812)*Calc!$G$3:$G$22)</f>
        <v/>
      </c>
      <c r="G812">
        <f>SUMPRODUCT((Calc!$F$3:$F$22&gt;=LTP!$E$5)*(Calc!$F$3:$F$22&lt;=k_n)*(Calc!$G$3:$G$22&gt;A812)*(Calc!$G$3:$G$22-A812)*Calc!$I$3:$I$22)</f>
        <v/>
      </c>
      <c r="H812">
        <f>IF($B$469&gt;0,F812-$C$469*D812/$B$469,0)</f>
        <v/>
      </c>
      <c r="I812">
        <f>IF($B$469&gt;0,E812-D812^2/$B$469,0)</f>
        <v/>
      </c>
      <c r="J812">
        <f>IF($B$469&gt;0,G812-D812*$D$469/$B$469,0)</f>
        <v/>
      </c>
      <c r="K812">
        <f>$H$469*I812-H812^2</f>
        <v/>
      </c>
      <c r="L812">
        <f>IF(ABS(K812)&gt;1E-12,($H$469*J812-H812*$I$469)/K812,0)</f>
        <v/>
      </c>
      <c r="M812">
        <f>IF(ABS(K812)&gt;1E-12,(I812*$I$469-H812*J812)/K812,0)</f>
        <v/>
      </c>
      <c r="N812">
        <f>$J$469-M812*$I$469-L812*J812</f>
        <v/>
      </c>
      <c r="O812">
        <f>IF(AND(C812,ABS(K812)&gt;1E-12,L812&gt;0),N812,1E+300)</f>
        <v/>
      </c>
    </row>
    <row r="813">
      <c r="A813">
        <f>$K$469+($L$469-$K$469)*341/400</f>
        <v/>
      </c>
      <c r="B813">
        <f>SUMPRODUCT((Calc!$F$3:$F$22&gt;=LTP!$E$5)*(Calc!$F$3:$F$22&lt;=k_n)*(Calc!$G$3:$G$22&lt;=A813))</f>
        <v/>
      </c>
      <c r="C813">
        <f>AND(B813&gt;=2,$B$469-B813&gt;=2)</f>
        <v/>
      </c>
      <c r="D813">
        <f>SUMPRODUCT((Calc!$F$3:$F$22&gt;=LTP!$E$5)*(Calc!$F$3:$F$22&lt;=k_n)*(Calc!$G$3:$G$22&gt;A813)*(Calc!$G$3:$G$22-A813))</f>
        <v/>
      </c>
      <c r="E813">
        <f>SUMPRODUCT((Calc!$F$3:$F$22&gt;=LTP!$E$5)*(Calc!$F$3:$F$22&lt;=k_n)*(Calc!$G$3:$G$22&gt;A813)*(Calc!$G$3:$G$22-A813)^2)</f>
        <v/>
      </c>
      <c r="F813">
        <f>SUMPRODUCT((Calc!$F$3:$F$22&gt;=LTP!$E$5)*(Calc!$F$3:$F$22&lt;=k_n)*(Calc!$G$3:$G$22&gt;A813)*(Calc!$G$3:$G$22-A813)*Calc!$G$3:$G$22)</f>
        <v/>
      </c>
      <c r="G813">
        <f>SUMPRODUCT((Calc!$F$3:$F$22&gt;=LTP!$E$5)*(Calc!$F$3:$F$22&lt;=k_n)*(Calc!$G$3:$G$22&gt;A813)*(Calc!$G$3:$G$22-A813)*Calc!$I$3:$I$22)</f>
        <v/>
      </c>
      <c r="H813">
        <f>IF($B$469&gt;0,F813-$C$469*D813/$B$469,0)</f>
        <v/>
      </c>
      <c r="I813">
        <f>IF($B$469&gt;0,E813-D813^2/$B$469,0)</f>
        <v/>
      </c>
      <c r="J813">
        <f>IF($B$469&gt;0,G813-D813*$D$469/$B$469,0)</f>
        <v/>
      </c>
      <c r="K813">
        <f>$H$469*I813-H813^2</f>
        <v/>
      </c>
      <c r="L813">
        <f>IF(ABS(K813)&gt;1E-12,($H$469*J813-H813*$I$469)/K813,0)</f>
        <v/>
      </c>
      <c r="M813">
        <f>IF(ABS(K813)&gt;1E-12,(I813*$I$469-H813*J813)/K813,0)</f>
        <v/>
      </c>
      <c r="N813">
        <f>$J$469-M813*$I$469-L813*J813</f>
        <v/>
      </c>
      <c r="O813">
        <f>IF(AND(C813,ABS(K813)&gt;1E-12,L813&gt;0),N813,1E+300)</f>
        <v/>
      </c>
    </row>
    <row r="814">
      <c r="A814">
        <f>$K$469+($L$469-$K$469)*342/400</f>
        <v/>
      </c>
      <c r="B814">
        <f>SUMPRODUCT((Calc!$F$3:$F$22&gt;=LTP!$E$5)*(Calc!$F$3:$F$22&lt;=k_n)*(Calc!$G$3:$G$22&lt;=A814))</f>
        <v/>
      </c>
      <c r="C814">
        <f>AND(B814&gt;=2,$B$469-B814&gt;=2)</f>
        <v/>
      </c>
      <c r="D814">
        <f>SUMPRODUCT((Calc!$F$3:$F$22&gt;=LTP!$E$5)*(Calc!$F$3:$F$22&lt;=k_n)*(Calc!$G$3:$G$22&gt;A814)*(Calc!$G$3:$G$22-A814))</f>
        <v/>
      </c>
      <c r="E814">
        <f>SUMPRODUCT((Calc!$F$3:$F$22&gt;=LTP!$E$5)*(Calc!$F$3:$F$22&lt;=k_n)*(Calc!$G$3:$G$22&gt;A814)*(Calc!$G$3:$G$22-A814)^2)</f>
        <v/>
      </c>
      <c r="F814">
        <f>SUMPRODUCT((Calc!$F$3:$F$22&gt;=LTP!$E$5)*(Calc!$F$3:$F$22&lt;=k_n)*(Calc!$G$3:$G$22&gt;A814)*(Calc!$G$3:$G$22-A814)*Calc!$G$3:$G$22)</f>
        <v/>
      </c>
      <c r="G814">
        <f>SUMPRODUCT((Calc!$F$3:$F$22&gt;=LTP!$E$5)*(Calc!$F$3:$F$22&lt;=k_n)*(Calc!$G$3:$G$22&gt;A814)*(Calc!$G$3:$G$22-A814)*Calc!$I$3:$I$22)</f>
        <v/>
      </c>
      <c r="H814">
        <f>IF($B$469&gt;0,F814-$C$469*D814/$B$469,0)</f>
        <v/>
      </c>
      <c r="I814">
        <f>IF($B$469&gt;0,E814-D814^2/$B$469,0)</f>
        <v/>
      </c>
      <c r="J814">
        <f>IF($B$469&gt;0,G814-D814*$D$469/$B$469,0)</f>
        <v/>
      </c>
      <c r="K814">
        <f>$H$469*I814-H814^2</f>
        <v/>
      </c>
      <c r="L814">
        <f>IF(ABS(K814)&gt;1E-12,($H$469*J814-H814*$I$469)/K814,0)</f>
        <v/>
      </c>
      <c r="M814">
        <f>IF(ABS(K814)&gt;1E-12,(I814*$I$469-H814*J814)/K814,0)</f>
        <v/>
      </c>
      <c r="N814">
        <f>$J$469-M814*$I$469-L814*J814</f>
        <v/>
      </c>
      <c r="O814">
        <f>IF(AND(C814,ABS(K814)&gt;1E-12,L814&gt;0),N814,1E+300)</f>
        <v/>
      </c>
    </row>
    <row r="815">
      <c r="A815">
        <f>$K$469+($L$469-$K$469)*343/400</f>
        <v/>
      </c>
      <c r="B815">
        <f>SUMPRODUCT((Calc!$F$3:$F$22&gt;=LTP!$E$5)*(Calc!$F$3:$F$22&lt;=k_n)*(Calc!$G$3:$G$22&lt;=A815))</f>
        <v/>
      </c>
      <c r="C815">
        <f>AND(B815&gt;=2,$B$469-B815&gt;=2)</f>
        <v/>
      </c>
      <c r="D815">
        <f>SUMPRODUCT((Calc!$F$3:$F$22&gt;=LTP!$E$5)*(Calc!$F$3:$F$22&lt;=k_n)*(Calc!$G$3:$G$22&gt;A815)*(Calc!$G$3:$G$22-A815))</f>
        <v/>
      </c>
      <c r="E815">
        <f>SUMPRODUCT((Calc!$F$3:$F$22&gt;=LTP!$E$5)*(Calc!$F$3:$F$22&lt;=k_n)*(Calc!$G$3:$G$22&gt;A815)*(Calc!$G$3:$G$22-A815)^2)</f>
        <v/>
      </c>
      <c r="F815">
        <f>SUMPRODUCT((Calc!$F$3:$F$22&gt;=LTP!$E$5)*(Calc!$F$3:$F$22&lt;=k_n)*(Calc!$G$3:$G$22&gt;A815)*(Calc!$G$3:$G$22-A815)*Calc!$G$3:$G$22)</f>
        <v/>
      </c>
      <c r="G815">
        <f>SUMPRODUCT((Calc!$F$3:$F$22&gt;=LTP!$E$5)*(Calc!$F$3:$F$22&lt;=k_n)*(Calc!$G$3:$G$22&gt;A815)*(Calc!$G$3:$G$22-A815)*Calc!$I$3:$I$22)</f>
        <v/>
      </c>
      <c r="H815">
        <f>IF($B$469&gt;0,F815-$C$469*D815/$B$469,0)</f>
        <v/>
      </c>
      <c r="I815">
        <f>IF($B$469&gt;0,E815-D815^2/$B$469,0)</f>
        <v/>
      </c>
      <c r="J815">
        <f>IF($B$469&gt;0,G815-D815*$D$469/$B$469,0)</f>
        <v/>
      </c>
      <c r="K815">
        <f>$H$469*I815-H815^2</f>
        <v/>
      </c>
      <c r="L815">
        <f>IF(ABS(K815)&gt;1E-12,($H$469*J815-H815*$I$469)/K815,0)</f>
        <v/>
      </c>
      <c r="M815">
        <f>IF(ABS(K815)&gt;1E-12,(I815*$I$469-H815*J815)/K815,0)</f>
        <v/>
      </c>
      <c r="N815">
        <f>$J$469-M815*$I$469-L815*J815</f>
        <v/>
      </c>
      <c r="O815">
        <f>IF(AND(C815,ABS(K815)&gt;1E-12,L815&gt;0),N815,1E+300)</f>
        <v/>
      </c>
    </row>
    <row r="816">
      <c r="A816">
        <f>$K$469+($L$469-$K$469)*344/400</f>
        <v/>
      </c>
      <c r="B816">
        <f>SUMPRODUCT((Calc!$F$3:$F$22&gt;=LTP!$E$5)*(Calc!$F$3:$F$22&lt;=k_n)*(Calc!$G$3:$G$22&lt;=A816))</f>
        <v/>
      </c>
      <c r="C816">
        <f>AND(B816&gt;=2,$B$469-B816&gt;=2)</f>
        <v/>
      </c>
      <c r="D816">
        <f>SUMPRODUCT((Calc!$F$3:$F$22&gt;=LTP!$E$5)*(Calc!$F$3:$F$22&lt;=k_n)*(Calc!$G$3:$G$22&gt;A816)*(Calc!$G$3:$G$22-A816))</f>
        <v/>
      </c>
      <c r="E816">
        <f>SUMPRODUCT((Calc!$F$3:$F$22&gt;=LTP!$E$5)*(Calc!$F$3:$F$22&lt;=k_n)*(Calc!$G$3:$G$22&gt;A816)*(Calc!$G$3:$G$22-A816)^2)</f>
        <v/>
      </c>
      <c r="F816">
        <f>SUMPRODUCT((Calc!$F$3:$F$22&gt;=LTP!$E$5)*(Calc!$F$3:$F$22&lt;=k_n)*(Calc!$G$3:$G$22&gt;A816)*(Calc!$G$3:$G$22-A816)*Calc!$G$3:$G$22)</f>
        <v/>
      </c>
      <c r="G816">
        <f>SUMPRODUCT((Calc!$F$3:$F$22&gt;=LTP!$E$5)*(Calc!$F$3:$F$22&lt;=k_n)*(Calc!$G$3:$G$22&gt;A816)*(Calc!$G$3:$G$22-A816)*Calc!$I$3:$I$22)</f>
        <v/>
      </c>
      <c r="H816">
        <f>IF($B$469&gt;0,F816-$C$469*D816/$B$469,0)</f>
        <v/>
      </c>
      <c r="I816">
        <f>IF($B$469&gt;0,E816-D816^2/$B$469,0)</f>
        <v/>
      </c>
      <c r="J816">
        <f>IF($B$469&gt;0,G816-D816*$D$469/$B$469,0)</f>
        <v/>
      </c>
      <c r="K816">
        <f>$H$469*I816-H816^2</f>
        <v/>
      </c>
      <c r="L816">
        <f>IF(ABS(K816)&gt;1E-12,($H$469*J816-H816*$I$469)/K816,0)</f>
        <v/>
      </c>
      <c r="M816">
        <f>IF(ABS(K816)&gt;1E-12,(I816*$I$469-H816*J816)/K816,0)</f>
        <v/>
      </c>
      <c r="N816">
        <f>$J$469-M816*$I$469-L816*J816</f>
        <v/>
      </c>
      <c r="O816">
        <f>IF(AND(C816,ABS(K816)&gt;1E-12,L816&gt;0),N816,1E+300)</f>
        <v/>
      </c>
    </row>
    <row r="817">
      <c r="A817">
        <f>$K$469+($L$469-$K$469)*345/400</f>
        <v/>
      </c>
      <c r="B817">
        <f>SUMPRODUCT((Calc!$F$3:$F$22&gt;=LTP!$E$5)*(Calc!$F$3:$F$22&lt;=k_n)*(Calc!$G$3:$G$22&lt;=A817))</f>
        <v/>
      </c>
      <c r="C817">
        <f>AND(B817&gt;=2,$B$469-B817&gt;=2)</f>
        <v/>
      </c>
      <c r="D817">
        <f>SUMPRODUCT((Calc!$F$3:$F$22&gt;=LTP!$E$5)*(Calc!$F$3:$F$22&lt;=k_n)*(Calc!$G$3:$G$22&gt;A817)*(Calc!$G$3:$G$22-A817))</f>
        <v/>
      </c>
      <c r="E817">
        <f>SUMPRODUCT((Calc!$F$3:$F$22&gt;=LTP!$E$5)*(Calc!$F$3:$F$22&lt;=k_n)*(Calc!$G$3:$G$22&gt;A817)*(Calc!$G$3:$G$22-A817)^2)</f>
        <v/>
      </c>
      <c r="F817">
        <f>SUMPRODUCT((Calc!$F$3:$F$22&gt;=LTP!$E$5)*(Calc!$F$3:$F$22&lt;=k_n)*(Calc!$G$3:$G$22&gt;A817)*(Calc!$G$3:$G$22-A817)*Calc!$G$3:$G$22)</f>
        <v/>
      </c>
      <c r="G817">
        <f>SUMPRODUCT((Calc!$F$3:$F$22&gt;=LTP!$E$5)*(Calc!$F$3:$F$22&lt;=k_n)*(Calc!$G$3:$G$22&gt;A817)*(Calc!$G$3:$G$22-A817)*Calc!$I$3:$I$22)</f>
        <v/>
      </c>
      <c r="H817">
        <f>IF($B$469&gt;0,F817-$C$469*D817/$B$469,0)</f>
        <v/>
      </c>
      <c r="I817">
        <f>IF($B$469&gt;0,E817-D817^2/$B$469,0)</f>
        <v/>
      </c>
      <c r="J817">
        <f>IF($B$469&gt;0,G817-D817*$D$469/$B$469,0)</f>
        <v/>
      </c>
      <c r="K817">
        <f>$H$469*I817-H817^2</f>
        <v/>
      </c>
      <c r="L817">
        <f>IF(ABS(K817)&gt;1E-12,($H$469*J817-H817*$I$469)/K817,0)</f>
        <v/>
      </c>
      <c r="M817">
        <f>IF(ABS(K817)&gt;1E-12,(I817*$I$469-H817*J817)/K817,0)</f>
        <v/>
      </c>
      <c r="N817">
        <f>$J$469-M817*$I$469-L817*J817</f>
        <v/>
      </c>
      <c r="O817">
        <f>IF(AND(C817,ABS(K817)&gt;1E-12,L817&gt;0),N817,1E+300)</f>
        <v/>
      </c>
    </row>
    <row r="818">
      <c r="A818">
        <f>$K$469+($L$469-$K$469)*346/400</f>
        <v/>
      </c>
      <c r="B818">
        <f>SUMPRODUCT((Calc!$F$3:$F$22&gt;=LTP!$E$5)*(Calc!$F$3:$F$22&lt;=k_n)*(Calc!$G$3:$G$22&lt;=A818))</f>
        <v/>
      </c>
      <c r="C818">
        <f>AND(B818&gt;=2,$B$469-B818&gt;=2)</f>
        <v/>
      </c>
      <c r="D818">
        <f>SUMPRODUCT((Calc!$F$3:$F$22&gt;=LTP!$E$5)*(Calc!$F$3:$F$22&lt;=k_n)*(Calc!$G$3:$G$22&gt;A818)*(Calc!$G$3:$G$22-A818))</f>
        <v/>
      </c>
      <c r="E818">
        <f>SUMPRODUCT((Calc!$F$3:$F$22&gt;=LTP!$E$5)*(Calc!$F$3:$F$22&lt;=k_n)*(Calc!$G$3:$G$22&gt;A818)*(Calc!$G$3:$G$22-A818)^2)</f>
        <v/>
      </c>
      <c r="F818">
        <f>SUMPRODUCT((Calc!$F$3:$F$22&gt;=LTP!$E$5)*(Calc!$F$3:$F$22&lt;=k_n)*(Calc!$G$3:$G$22&gt;A818)*(Calc!$G$3:$G$22-A818)*Calc!$G$3:$G$22)</f>
        <v/>
      </c>
      <c r="G818">
        <f>SUMPRODUCT((Calc!$F$3:$F$22&gt;=LTP!$E$5)*(Calc!$F$3:$F$22&lt;=k_n)*(Calc!$G$3:$G$22&gt;A818)*(Calc!$G$3:$G$22-A818)*Calc!$I$3:$I$22)</f>
        <v/>
      </c>
      <c r="H818">
        <f>IF($B$469&gt;0,F818-$C$469*D818/$B$469,0)</f>
        <v/>
      </c>
      <c r="I818">
        <f>IF($B$469&gt;0,E818-D818^2/$B$469,0)</f>
        <v/>
      </c>
      <c r="J818">
        <f>IF($B$469&gt;0,G818-D818*$D$469/$B$469,0)</f>
        <v/>
      </c>
      <c r="K818">
        <f>$H$469*I818-H818^2</f>
        <v/>
      </c>
      <c r="L818">
        <f>IF(ABS(K818)&gt;1E-12,($H$469*J818-H818*$I$469)/K818,0)</f>
        <v/>
      </c>
      <c r="M818">
        <f>IF(ABS(K818)&gt;1E-12,(I818*$I$469-H818*J818)/K818,0)</f>
        <v/>
      </c>
      <c r="N818">
        <f>$J$469-M818*$I$469-L818*J818</f>
        <v/>
      </c>
      <c r="O818">
        <f>IF(AND(C818,ABS(K818)&gt;1E-12,L818&gt;0),N818,1E+300)</f>
        <v/>
      </c>
    </row>
    <row r="819">
      <c r="A819">
        <f>$K$469+($L$469-$K$469)*347/400</f>
        <v/>
      </c>
      <c r="B819">
        <f>SUMPRODUCT((Calc!$F$3:$F$22&gt;=LTP!$E$5)*(Calc!$F$3:$F$22&lt;=k_n)*(Calc!$G$3:$G$22&lt;=A819))</f>
        <v/>
      </c>
      <c r="C819">
        <f>AND(B819&gt;=2,$B$469-B819&gt;=2)</f>
        <v/>
      </c>
      <c r="D819">
        <f>SUMPRODUCT((Calc!$F$3:$F$22&gt;=LTP!$E$5)*(Calc!$F$3:$F$22&lt;=k_n)*(Calc!$G$3:$G$22&gt;A819)*(Calc!$G$3:$G$22-A819))</f>
        <v/>
      </c>
      <c r="E819">
        <f>SUMPRODUCT((Calc!$F$3:$F$22&gt;=LTP!$E$5)*(Calc!$F$3:$F$22&lt;=k_n)*(Calc!$G$3:$G$22&gt;A819)*(Calc!$G$3:$G$22-A819)^2)</f>
        <v/>
      </c>
      <c r="F819">
        <f>SUMPRODUCT((Calc!$F$3:$F$22&gt;=LTP!$E$5)*(Calc!$F$3:$F$22&lt;=k_n)*(Calc!$G$3:$G$22&gt;A819)*(Calc!$G$3:$G$22-A819)*Calc!$G$3:$G$22)</f>
        <v/>
      </c>
      <c r="G819">
        <f>SUMPRODUCT((Calc!$F$3:$F$22&gt;=LTP!$E$5)*(Calc!$F$3:$F$22&lt;=k_n)*(Calc!$G$3:$G$22&gt;A819)*(Calc!$G$3:$G$22-A819)*Calc!$I$3:$I$22)</f>
        <v/>
      </c>
      <c r="H819">
        <f>IF($B$469&gt;0,F819-$C$469*D819/$B$469,0)</f>
        <v/>
      </c>
      <c r="I819">
        <f>IF($B$469&gt;0,E819-D819^2/$B$469,0)</f>
        <v/>
      </c>
      <c r="J819">
        <f>IF($B$469&gt;0,G819-D819*$D$469/$B$469,0)</f>
        <v/>
      </c>
      <c r="K819">
        <f>$H$469*I819-H819^2</f>
        <v/>
      </c>
      <c r="L819">
        <f>IF(ABS(K819)&gt;1E-12,($H$469*J819-H819*$I$469)/K819,0)</f>
        <v/>
      </c>
      <c r="M819">
        <f>IF(ABS(K819)&gt;1E-12,(I819*$I$469-H819*J819)/K819,0)</f>
        <v/>
      </c>
      <c r="N819">
        <f>$J$469-M819*$I$469-L819*J819</f>
        <v/>
      </c>
      <c r="O819">
        <f>IF(AND(C819,ABS(K819)&gt;1E-12,L819&gt;0),N819,1E+300)</f>
        <v/>
      </c>
    </row>
    <row r="820">
      <c r="A820">
        <f>$K$469+($L$469-$K$469)*348/400</f>
        <v/>
      </c>
      <c r="B820">
        <f>SUMPRODUCT((Calc!$F$3:$F$22&gt;=LTP!$E$5)*(Calc!$F$3:$F$22&lt;=k_n)*(Calc!$G$3:$G$22&lt;=A820))</f>
        <v/>
      </c>
      <c r="C820">
        <f>AND(B820&gt;=2,$B$469-B820&gt;=2)</f>
        <v/>
      </c>
      <c r="D820">
        <f>SUMPRODUCT((Calc!$F$3:$F$22&gt;=LTP!$E$5)*(Calc!$F$3:$F$22&lt;=k_n)*(Calc!$G$3:$G$22&gt;A820)*(Calc!$G$3:$G$22-A820))</f>
        <v/>
      </c>
      <c r="E820">
        <f>SUMPRODUCT((Calc!$F$3:$F$22&gt;=LTP!$E$5)*(Calc!$F$3:$F$22&lt;=k_n)*(Calc!$G$3:$G$22&gt;A820)*(Calc!$G$3:$G$22-A820)^2)</f>
        <v/>
      </c>
      <c r="F820">
        <f>SUMPRODUCT((Calc!$F$3:$F$22&gt;=LTP!$E$5)*(Calc!$F$3:$F$22&lt;=k_n)*(Calc!$G$3:$G$22&gt;A820)*(Calc!$G$3:$G$22-A820)*Calc!$G$3:$G$22)</f>
        <v/>
      </c>
      <c r="G820">
        <f>SUMPRODUCT((Calc!$F$3:$F$22&gt;=LTP!$E$5)*(Calc!$F$3:$F$22&lt;=k_n)*(Calc!$G$3:$G$22&gt;A820)*(Calc!$G$3:$G$22-A820)*Calc!$I$3:$I$22)</f>
        <v/>
      </c>
      <c r="H820">
        <f>IF($B$469&gt;0,F820-$C$469*D820/$B$469,0)</f>
        <v/>
      </c>
      <c r="I820">
        <f>IF($B$469&gt;0,E820-D820^2/$B$469,0)</f>
        <v/>
      </c>
      <c r="J820">
        <f>IF($B$469&gt;0,G820-D820*$D$469/$B$469,0)</f>
        <v/>
      </c>
      <c r="K820">
        <f>$H$469*I820-H820^2</f>
        <v/>
      </c>
      <c r="L820">
        <f>IF(ABS(K820)&gt;1E-12,($H$469*J820-H820*$I$469)/K820,0)</f>
        <v/>
      </c>
      <c r="M820">
        <f>IF(ABS(K820)&gt;1E-12,(I820*$I$469-H820*J820)/K820,0)</f>
        <v/>
      </c>
      <c r="N820">
        <f>$J$469-M820*$I$469-L820*J820</f>
        <v/>
      </c>
      <c r="O820">
        <f>IF(AND(C820,ABS(K820)&gt;1E-12,L820&gt;0),N820,1E+300)</f>
        <v/>
      </c>
    </row>
    <row r="821">
      <c r="A821">
        <f>$K$469+($L$469-$K$469)*349/400</f>
        <v/>
      </c>
      <c r="B821">
        <f>SUMPRODUCT((Calc!$F$3:$F$22&gt;=LTP!$E$5)*(Calc!$F$3:$F$22&lt;=k_n)*(Calc!$G$3:$G$22&lt;=A821))</f>
        <v/>
      </c>
      <c r="C821">
        <f>AND(B821&gt;=2,$B$469-B821&gt;=2)</f>
        <v/>
      </c>
      <c r="D821">
        <f>SUMPRODUCT((Calc!$F$3:$F$22&gt;=LTP!$E$5)*(Calc!$F$3:$F$22&lt;=k_n)*(Calc!$G$3:$G$22&gt;A821)*(Calc!$G$3:$G$22-A821))</f>
        <v/>
      </c>
      <c r="E821">
        <f>SUMPRODUCT((Calc!$F$3:$F$22&gt;=LTP!$E$5)*(Calc!$F$3:$F$22&lt;=k_n)*(Calc!$G$3:$G$22&gt;A821)*(Calc!$G$3:$G$22-A821)^2)</f>
        <v/>
      </c>
      <c r="F821">
        <f>SUMPRODUCT((Calc!$F$3:$F$22&gt;=LTP!$E$5)*(Calc!$F$3:$F$22&lt;=k_n)*(Calc!$G$3:$G$22&gt;A821)*(Calc!$G$3:$G$22-A821)*Calc!$G$3:$G$22)</f>
        <v/>
      </c>
      <c r="G821">
        <f>SUMPRODUCT((Calc!$F$3:$F$22&gt;=LTP!$E$5)*(Calc!$F$3:$F$22&lt;=k_n)*(Calc!$G$3:$G$22&gt;A821)*(Calc!$G$3:$G$22-A821)*Calc!$I$3:$I$22)</f>
        <v/>
      </c>
      <c r="H821">
        <f>IF($B$469&gt;0,F821-$C$469*D821/$B$469,0)</f>
        <v/>
      </c>
      <c r="I821">
        <f>IF($B$469&gt;0,E821-D821^2/$B$469,0)</f>
        <v/>
      </c>
      <c r="J821">
        <f>IF($B$469&gt;0,G821-D821*$D$469/$B$469,0)</f>
        <v/>
      </c>
      <c r="K821">
        <f>$H$469*I821-H821^2</f>
        <v/>
      </c>
      <c r="L821">
        <f>IF(ABS(K821)&gt;1E-12,($H$469*J821-H821*$I$469)/K821,0)</f>
        <v/>
      </c>
      <c r="M821">
        <f>IF(ABS(K821)&gt;1E-12,(I821*$I$469-H821*J821)/K821,0)</f>
        <v/>
      </c>
      <c r="N821">
        <f>$J$469-M821*$I$469-L821*J821</f>
        <v/>
      </c>
      <c r="O821">
        <f>IF(AND(C821,ABS(K821)&gt;1E-12,L821&gt;0),N821,1E+300)</f>
        <v/>
      </c>
    </row>
    <row r="822">
      <c r="A822">
        <f>$K$469+($L$469-$K$469)*350/400</f>
        <v/>
      </c>
      <c r="B822">
        <f>SUMPRODUCT((Calc!$F$3:$F$22&gt;=LTP!$E$5)*(Calc!$F$3:$F$22&lt;=k_n)*(Calc!$G$3:$G$22&lt;=A822))</f>
        <v/>
      </c>
      <c r="C822">
        <f>AND(B822&gt;=2,$B$469-B822&gt;=2)</f>
        <v/>
      </c>
      <c r="D822">
        <f>SUMPRODUCT((Calc!$F$3:$F$22&gt;=LTP!$E$5)*(Calc!$F$3:$F$22&lt;=k_n)*(Calc!$G$3:$G$22&gt;A822)*(Calc!$G$3:$G$22-A822))</f>
        <v/>
      </c>
      <c r="E822">
        <f>SUMPRODUCT((Calc!$F$3:$F$22&gt;=LTP!$E$5)*(Calc!$F$3:$F$22&lt;=k_n)*(Calc!$G$3:$G$22&gt;A822)*(Calc!$G$3:$G$22-A822)^2)</f>
        <v/>
      </c>
      <c r="F822">
        <f>SUMPRODUCT((Calc!$F$3:$F$22&gt;=LTP!$E$5)*(Calc!$F$3:$F$22&lt;=k_n)*(Calc!$G$3:$G$22&gt;A822)*(Calc!$G$3:$G$22-A822)*Calc!$G$3:$G$22)</f>
        <v/>
      </c>
      <c r="G822">
        <f>SUMPRODUCT((Calc!$F$3:$F$22&gt;=LTP!$E$5)*(Calc!$F$3:$F$22&lt;=k_n)*(Calc!$G$3:$G$22&gt;A822)*(Calc!$G$3:$G$22-A822)*Calc!$I$3:$I$22)</f>
        <v/>
      </c>
      <c r="H822">
        <f>IF($B$469&gt;0,F822-$C$469*D822/$B$469,0)</f>
        <v/>
      </c>
      <c r="I822">
        <f>IF($B$469&gt;0,E822-D822^2/$B$469,0)</f>
        <v/>
      </c>
      <c r="J822">
        <f>IF($B$469&gt;0,G822-D822*$D$469/$B$469,0)</f>
        <v/>
      </c>
      <c r="K822">
        <f>$H$469*I822-H822^2</f>
        <v/>
      </c>
      <c r="L822">
        <f>IF(ABS(K822)&gt;1E-12,($H$469*J822-H822*$I$469)/K822,0)</f>
        <v/>
      </c>
      <c r="M822">
        <f>IF(ABS(K822)&gt;1E-12,(I822*$I$469-H822*J822)/K822,0)</f>
        <v/>
      </c>
      <c r="N822">
        <f>$J$469-M822*$I$469-L822*J822</f>
        <v/>
      </c>
      <c r="O822">
        <f>IF(AND(C822,ABS(K822)&gt;1E-12,L822&gt;0),N822,1E+300)</f>
        <v/>
      </c>
    </row>
    <row r="823">
      <c r="A823">
        <f>$K$469+($L$469-$K$469)*351/400</f>
        <v/>
      </c>
      <c r="B823">
        <f>SUMPRODUCT((Calc!$F$3:$F$22&gt;=LTP!$E$5)*(Calc!$F$3:$F$22&lt;=k_n)*(Calc!$G$3:$G$22&lt;=A823))</f>
        <v/>
      </c>
      <c r="C823">
        <f>AND(B823&gt;=2,$B$469-B823&gt;=2)</f>
        <v/>
      </c>
      <c r="D823">
        <f>SUMPRODUCT((Calc!$F$3:$F$22&gt;=LTP!$E$5)*(Calc!$F$3:$F$22&lt;=k_n)*(Calc!$G$3:$G$22&gt;A823)*(Calc!$G$3:$G$22-A823))</f>
        <v/>
      </c>
      <c r="E823">
        <f>SUMPRODUCT((Calc!$F$3:$F$22&gt;=LTP!$E$5)*(Calc!$F$3:$F$22&lt;=k_n)*(Calc!$G$3:$G$22&gt;A823)*(Calc!$G$3:$G$22-A823)^2)</f>
        <v/>
      </c>
      <c r="F823">
        <f>SUMPRODUCT((Calc!$F$3:$F$22&gt;=LTP!$E$5)*(Calc!$F$3:$F$22&lt;=k_n)*(Calc!$G$3:$G$22&gt;A823)*(Calc!$G$3:$G$22-A823)*Calc!$G$3:$G$22)</f>
        <v/>
      </c>
      <c r="G823">
        <f>SUMPRODUCT((Calc!$F$3:$F$22&gt;=LTP!$E$5)*(Calc!$F$3:$F$22&lt;=k_n)*(Calc!$G$3:$G$22&gt;A823)*(Calc!$G$3:$G$22-A823)*Calc!$I$3:$I$22)</f>
        <v/>
      </c>
      <c r="H823">
        <f>IF($B$469&gt;0,F823-$C$469*D823/$B$469,0)</f>
        <v/>
      </c>
      <c r="I823">
        <f>IF($B$469&gt;0,E823-D823^2/$B$469,0)</f>
        <v/>
      </c>
      <c r="J823">
        <f>IF($B$469&gt;0,G823-D823*$D$469/$B$469,0)</f>
        <v/>
      </c>
      <c r="K823">
        <f>$H$469*I823-H823^2</f>
        <v/>
      </c>
      <c r="L823">
        <f>IF(ABS(K823)&gt;1E-12,($H$469*J823-H823*$I$469)/K823,0)</f>
        <v/>
      </c>
      <c r="M823">
        <f>IF(ABS(K823)&gt;1E-12,(I823*$I$469-H823*J823)/K823,0)</f>
        <v/>
      </c>
      <c r="N823">
        <f>$J$469-M823*$I$469-L823*J823</f>
        <v/>
      </c>
      <c r="O823">
        <f>IF(AND(C823,ABS(K823)&gt;1E-12,L823&gt;0),N823,1E+300)</f>
        <v/>
      </c>
    </row>
    <row r="824">
      <c r="A824">
        <f>$K$469+($L$469-$K$469)*352/400</f>
        <v/>
      </c>
      <c r="B824">
        <f>SUMPRODUCT((Calc!$F$3:$F$22&gt;=LTP!$E$5)*(Calc!$F$3:$F$22&lt;=k_n)*(Calc!$G$3:$G$22&lt;=A824))</f>
        <v/>
      </c>
      <c r="C824">
        <f>AND(B824&gt;=2,$B$469-B824&gt;=2)</f>
        <v/>
      </c>
      <c r="D824">
        <f>SUMPRODUCT((Calc!$F$3:$F$22&gt;=LTP!$E$5)*(Calc!$F$3:$F$22&lt;=k_n)*(Calc!$G$3:$G$22&gt;A824)*(Calc!$G$3:$G$22-A824))</f>
        <v/>
      </c>
      <c r="E824">
        <f>SUMPRODUCT((Calc!$F$3:$F$22&gt;=LTP!$E$5)*(Calc!$F$3:$F$22&lt;=k_n)*(Calc!$G$3:$G$22&gt;A824)*(Calc!$G$3:$G$22-A824)^2)</f>
        <v/>
      </c>
      <c r="F824">
        <f>SUMPRODUCT((Calc!$F$3:$F$22&gt;=LTP!$E$5)*(Calc!$F$3:$F$22&lt;=k_n)*(Calc!$G$3:$G$22&gt;A824)*(Calc!$G$3:$G$22-A824)*Calc!$G$3:$G$22)</f>
        <v/>
      </c>
      <c r="G824">
        <f>SUMPRODUCT((Calc!$F$3:$F$22&gt;=LTP!$E$5)*(Calc!$F$3:$F$22&lt;=k_n)*(Calc!$G$3:$G$22&gt;A824)*(Calc!$G$3:$G$22-A824)*Calc!$I$3:$I$22)</f>
        <v/>
      </c>
      <c r="H824">
        <f>IF($B$469&gt;0,F824-$C$469*D824/$B$469,0)</f>
        <v/>
      </c>
      <c r="I824">
        <f>IF($B$469&gt;0,E824-D824^2/$B$469,0)</f>
        <v/>
      </c>
      <c r="J824">
        <f>IF($B$469&gt;0,G824-D824*$D$469/$B$469,0)</f>
        <v/>
      </c>
      <c r="K824">
        <f>$H$469*I824-H824^2</f>
        <v/>
      </c>
      <c r="L824">
        <f>IF(ABS(K824)&gt;1E-12,($H$469*J824-H824*$I$469)/K824,0)</f>
        <v/>
      </c>
      <c r="M824">
        <f>IF(ABS(K824)&gt;1E-12,(I824*$I$469-H824*J824)/K824,0)</f>
        <v/>
      </c>
      <c r="N824">
        <f>$J$469-M824*$I$469-L824*J824</f>
        <v/>
      </c>
      <c r="O824">
        <f>IF(AND(C824,ABS(K824)&gt;1E-12,L824&gt;0),N824,1E+300)</f>
        <v/>
      </c>
    </row>
    <row r="825">
      <c r="A825">
        <f>$K$469+($L$469-$K$469)*353/400</f>
        <v/>
      </c>
      <c r="B825">
        <f>SUMPRODUCT((Calc!$F$3:$F$22&gt;=LTP!$E$5)*(Calc!$F$3:$F$22&lt;=k_n)*(Calc!$G$3:$G$22&lt;=A825))</f>
        <v/>
      </c>
      <c r="C825">
        <f>AND(B825&gt;=2,$B$469-B825&gt;=2)</f>
        <v/>
      </c>
      <c r="D825">
        <f>SUMPRODUCT((Calc!$F$3:$F$22&gt;=LTP!$E$5)*(Calc!$F$3:$F$22&lt;=k_n)*(Calc!$G$3:$G$22&gt;A825)*(Calc!$G$3:$G$22-A825))</f>
        <v/>
      </c>
      <c r="E825">
        <f>SUMPRODUCT((Calc!$F$3:$F$22&gt;=LTP!$E$5)*(Calc!$F$3:$F$22&lt;=k_n)*(Calc!$G$3:$G$22&gt;A825)*(Calc!$G$3:$G$22-A825)^2)</f>
        <v/>
      </c>
      <c r="F825">
        <f>SUMPRODUCT((Calc!$F$3:$F$22&gt;=LTP!$E$5)*(Calc!$F$3:$F$22&lt;=k_n)*(Calc!$G$3:$G$22&gt;A825)*(Calc!$G$3:$G$22-A825)*Calc!$G$3:$G$22)</f>
        <v/>
      </c>
      <c r="G825">
        <f>SUMPRODUCT((Calc!$F$3:$F$22&gt;=LTP!$E$5)*(Calc!$F$3:$F$22&lt;=k_n)*(Calc!$G$3:$G$22&gt;A825)*(Calc!$G$3:$G$22-A825)*Calc!$I$3:$I$22)</f>
        <v/>
      </c>
      <c r="H825">
        <f>IF($B$469&gt;0,F825-$C$469*D825/$B$469,0)</f>
        <v/>
      </c>
      <c r="I825">
        <f>IF($B$469&gt;0,E825-D825^2/$B$469,0)</f>
        <v/>
      </c>
      <c r="J825">
        <f>IF($B$469&gt;0,G825-D825*$D$469/$B$469,0)</f>
        <v/>
      </c>
      <c r="K825">
        <f>$H$469*I825-H825^2</f>
        <v/>
      </c>
      <c r="L825">
        <f>IF(ABS(K825)&gt;1E-12,($H$469*J825-H825*$I$469)/K825,0)</f>
        <v/>
      </c>
      <c r="M825">
        <f>IF(ABS(K825)&gt;1E-12,(I825*$I$469-H825*J825)/K825,0)</f>
        <v/>
      </c>
      <c r="N825">
        <f>$J$469-M825*$I$469-L825*J825</f>
        <v/>
      </c>
      <c r="O825">
        <f>IF(AND(C825,ABS(K825)&gt;1E-12,L825&gt;0),N825,1E+300)</f>
        <v/>
      </c>
    </row>
    <row r="826">
      <c r="A826">
        <f>$K$469+($L$469-$K$469)*354/400</f>
        <v/>
      </c>
      <c r="B826">
        <f>SUMPRODUCT((Calc!$F$3:$F$22&gt;=LTP!$E$5)*(Calc!$F$3:$F$22&lt;=k_n)*(Calc!$G$3:$G$22&lt;=A826))</f>
        <v/>
      </c>
      <c r="C826">
        <f>AND(B826&gt;=2,$B$469-B826&gt;=2)</f>
        <v/>
      </c>
      <c r="D826">
        <f>SUMPRODUCT((Calc!$F$3:$F$22&gt;=LTP!$E$5)*(Calc!$F$3:$F$22&lt;=k_n)*(Calc!$G$3:$G$22&gt;A826)*(Calc!$G$3:$G$22-A826))</f>
        <v/>
      </c>
      <c r="E826">
        <f>SUMPRODUCT((Calc!$F$3:$F$22&gt;=LTP!$E$5)*(Calc!$F$3:$F$22&lt;=k_n)*(Calc!$G$3:$G$22&gt;A826)*(Calc!$G$3:$G$22-A826)^2)</f>
        <v/>
      </c>
      <c r="F826">
        <f>SUMPRODUCT((Calc!$F$3:$F$22&gt;=LTP!$E$5)*(Calc!$F$3:$F$22&lt;=k_n)*(Calc!$G$3:$G$22&gt;A826)*(Calc!$G$3:$G$22-A826)*Calc!$G$3:$G$22)</f>
        <v/>
      </c>
      <c r="G826">
        <f>SUMPRODUCT((Calc!$F$3:$F$22&gt;=LTP!$E$5)*(Calc!$F$3:$F$22&lt;=k_n)*(Calc!$G$3:$G$22&gt;A826)*(Calc!$G$3:$G$22-A826)*Calc!$I$3:$I$22)</f>
        <v/>
      </c>
      <c r="H826">
        <f>IF($B$469&gt;0,F826-$C$469*D826/$B$469,0)</f>
        <v/>
      </c>
      <c r="I826">
        <f>IF($B$469&gt;0,E826-D826^2/$B$469,0)</f>
        <v/>
      </c>
      <c r="J826">
        <f>IF($B$469&gt;0,G826-D826*$D$469/$B$469,0)</f>
        <v/>
      </c>
      <c r="K826">
        <f>$H$469*I826-H826^2</f>
        <v/>
      </c>
      <c r="L826">
        <f>IF(ABS(K826)&gt;1E-12,($H$469*J826-H826*$I$469)/K826,0)</f>
        <v/>
      </c>
      <c r="M826">
        <f>IF(ABS(K826)&gt;1E-12,(I826*$I$469-H826*J826)/K826,0)</f>
        <v/>
      </c>
      <c r="N826">
        <f>$J$469-M826*$I$469-L826*J826</f>
        <v/>
      </c>
      <c r="O826">
        <f>IF(AND(C826,ABS(K826)&gt;1E-12,L826&gt;0),N826,1E+300)</f>
        <v/>
      </c>
    </row>
    <row r="827">
      <c r="A827">
        <f>$K$469+($L$469-$K$469)*355/400</f>
        <v/>
      </c>
      <c r="B827">
        <f>SUMPRODUCT((Calc!$F$3:$F$22&gt;=LTP!$E$5)*(Calc!$F$3:$F$22&lt;=k_n)*(Calc!$G$3:$G$22&lt;=A827))</f>
        <v/>
      </c>
      <c r="C827">
        <f>AND(B827&gt;=2,$B$469-B827&gt;=2)</f>
        <v/>
      </c>
      <c r="D827">
        <f>SUMPRODUCT((Calc!$F$3:$F$22&gt;=LTP!$E$5)*(Calc!$F$3:$F$22&lt;=k_n)*(Calc!$G$3:$G$22&gt;A827)*(Calc!$G$3:$G$22-A827))</f>
        <v/>
      </c>
      <c r="E827">
        <f>SUMPRODUCT((Calc!$F$3:$F$22&gt;=LTP!$E$5)*(Calc!$F$3:$F$22&lt;=k_n)*(Calc!$G$3:$G$22&gt;A827)*(Calc!$G$3:$G$22-A827)^2)</f>
        <v/>
      </c>
      <c r="F827">
        <f>SUMPRODUCT((Calc!$F$3:$F$22&gt;=LTP!$E$5)*(Calc!$F$3:$F$22&lt;=k_n)*(Calc!$G$3:$G$22&gt;A827)*(Calc!$G$3:$G$22-A827)*Calc!$G$3:$G$22)</f>
        <v/>
      </c>
      <c r="G827">
        <f>SUMPRODUCT((Calc!$F$3:$F$22&gt;=LTP!$E$5)*(Calc!$F$3:$F$22&lt;=k_n)*(Calc!$G$3:$G$22&gt;A827)*(Calc!$G$3:$G$22-A827)*Calc!$I$3:$I$22)</f>
        <v/>
      </c>
      <c r="H827">
        <f>IF($B$469&gt;0,F827-$C$469*D827/$B$469,0)</f>
        <v/>
      </c>
      <c r="I827">
        <f>IF($B$469&gt;0,E827-D827^2/$B$469,0)</f>
        <v/>
      </c>
      <c r="J827">
        <f>IF($B$469&gt;0,G827-D827*$D$469/$B$469,0)</f>
        <v/>
      </c>
      <c r="K827">
        <f>$H$469*I827-H827^2</f>
        <v/>
      </c>
      <c r="L827">
        <f>IF(ABS(K827)&gt;1E-12,($H$469*J827-H827*$I$469)/K827,0)</f>
        <v/>
      </c>
      <c r="M827">
        <f>IF(ABS(K827)&gt;1E-12,(I827*$I$469-H827*J827)/K827,0)</f>
        <v/>
      </c>
      <c r="N827">
        <f>$J$469-M827*$I$469-L827*J827</f>
        <v/>
      </c>
      <c r="O827">
        <f>IF(AND(C827,ABS(K827)&gt;1E-12,L827&gt;0),N827,1E+300)</f>
        <v/>
      </c>
    </row>
    <row r="828">
      <c r="A828">
        <f>$K$469+($L$469-$K$469)*356/400</f>
        <v/>
      </c>
      <c r="B828">
        <f>SUMPRODUCT((Calc!$F$3:$F$22&gt;=LTP!$E$5)*(Calc!$F$3:$F$22&lt;=k_n)*(Calc!$G$3:$G$22&lt;=A828))</f>
        <v/>
      </c>
      <c r="C828">
        <f>AND(B828&gt;=2,$B$469-B828&gt;=2)</f>
        <v/>
      </c>
      <c r="D828">
        <f>SUMPRODUCT((Calc!$F$3:$F$22&gt;=LTP!$E$5)*(Calc!$F$3:$F$22&lt;=k_n)*(Calc!$G$3:$G$22&gt;A828)*(Calc!$G$3:$G$22-A828))</f>
        <v/>
      </c>
      <c r="E828">
        <f>SUMPRODUCT((Calc!$F$3:$F$22&gt;=LTP!$E$5)*(Calc!$F$3:$F$22&lt;=k_n)*(Calc!$G$3:$G$22&gt;A828)*(Calc!$G$3:$G$22-A828)^2)</f>
        <v/>
      </c>
      <c r="F828">
        <f>SUMPRODUCT((Calc!$F$3:$F$22&gt;=LTP!$E$5)*(Calc!$F$3:$F$22&lt;=k_n)*(Calc!$G$3:$G$22&gt;A828)*(Calc!$G$3:$G$22-A828)*Calc!$G$3:$G$22)</f>
        <v/>
      </c>
      <c r="G828">
        <f>SUMPRODUCT((Calc!$F$3:$F$22&gt;=LTP!$E$5)*(Calc!$F$3:$F$22&lt;=k_n)*(Calc!$G$3:$G$22&gt;A828)*(Calc!$G$3:$G$22-A828)*Calc!$I$3:$I$22)</f>
        <v/>
      </c>
      <c r="H828">
        <f>IF($B$469&gt;0,F828-$C$469*D828/$B$469,0)</f>
        <v/>
      </c>
      <c r="I828">
        <f>IF($B$469&gt;0,E828-D828^2/$B$469,0)</f>
        <v/>
      </c>
      <c r="J828">
        <f>IF($B$469&gt;0,G828-D828*$D$469/$B$469,0)</f>
        <v/>
      </c>
      <c r="K828">
        <f>$H$469*I828-H828^2</f>
        <v/>
      </c>
      <c r="L828">
        <f>IF(ABS(K828)&gt;1E-12,($H$469*J828-H828*$I$469)/K828,0)</f>
        <v/>
      </c>
      <c r="M828">
        <f>IF(ABS(K828)&gt;1E-12,(I828*$I$469-H828*J828)/K828,0)</f>
        <v/>
      </c>
      <c r="N828">
        <f>$J$469-M828*$I$469-L828*J828</f>
        <v/>
      </c>
      <c r="O828">
        <f>IF(AND(C828,ABS(K828)&gt;1E-12,L828&gt;0),N828,1E+300)</f>
        <v/>
      </c>
    </row>
    <row r="829">
      <c r="A829">
        <f>$K$469+($L$469-$K$469)*357/400</f>
        <v/>
      </c>
      <c r="B829">
        <f>SUMPRODUCT((Calc!$F$3:$F$22&gt;=LTP!$E$5)*(Calc!$F$3:$F$22&lt;=k_n)*(Calc!$G$3:$G$22&lt;=A829))</f>
        <v/>
      </c>
      <c r="C829">
        <f>AND(B829&gt;=2,$B$469-B829&gt;=2)</f>
        <v/>
      </c>
      <c r="D829">
        <f>SUMPRODUCT((Calc!$F$3:$F$22&gt;=LTP!$E$5)*(Calc!$F$3:$F$22&lt;=k_n)*(Calc!$G$3:$G$22&gt;A829)*(Calc!$G$3:$G$22-A829))</f>
        <v/>
      </c>
      <c r="E829">
        <f>SUMPRODUCT((Calc!$F$3:$F$22&gt;=LTP!$E$5)*(Calc!$F$3:$F$22&lt;=k_n)*(Calc!$G$3:$G$22&gt;A829)*(Calc!$G$3:$G$22-A829)^2)</f>
        <v/>
      </c>
      <c r="F829">
        <f>SUMPRODUCT((Calc!$F$3:$F$22&gt;=LTP!$E$5)*(Calc!$F$3:$F$22&lt;=k_n)*(Calc!$G$3:$G$22&gt;A829)*(Calc!$G$3:$G$22-A829)*Calc!$G$3:$G$22)</f>
        <v/>
      </c>
      <c r="G829">
        <f>SUMPRODUCT((Calc!$F$3:$F$22&gt;=LTP!$E$5)*(Calc!$F$3:$F$22&lt;=k_n)*(Calc!$G$3:$G$22&gt;A829)*(Calc!$G$3:$G$22-A829)*Calc!$I$3:$I$22)</f>
        <v/>
      </c>
      <c r="H829">
        <f>IF($B$469&gt;0,F829-$C$469*D829/$B$469,0)</f>
        <v/>
      </c>
      <c r="I829">
        <f>IF($B$469&gt;0,E829-D829^2/$B$469,0)</f>
        <v/>
      </c>
      <c r="J829">
        <f>IF($B$469&gt;0,G829-D829*$D$469/$B$469,0)</f>
        <v/>
      </c>
      <c r="K829">
        <f>$H$469*I829-H829^2</f>
        <v/>
      </c>
      <c r="L829">
        <f>IF(ABS(K829)&gt;1E-12,($H$469*J829-H829*$I$469)/K829,0)</f>
        <v/>
      </c>
      <c r="M829">
        <f>IF(ABS(K829)&gt;1E-12,(I829*$I$469-H829*J829)/K829,0)</f>
        <v/>
      </c>
      <c r="N829">
        <f>$J$469-M829*$I$469-L829*J829</f>
        <v/>
      </c>
      <c r="O829">
        <f>IF(AND(C829,ABS(K829)&gt;1E-12,L829&gt;0),N829,1E+300)</f>
        <v/>
      </c>
    </row>
    <row r="830">
      <c r="A830">
        <f>$K$469+($L$469-$K$469)*358/400</f>
        <v/>
      </c>
      <c r="B830">
        <f>SUMPRODUCT((Calc!$F$3:$F$22&gt;=LTP!$E$5)*(Calc!$F$3:$F$22&lt;=k_n)*(Calc!$G$3:$G$22&lt;=A830))</f>
        <v/>
      </c>
      <c r="C830">
        <f>AND(B830&gt;=2,$B$469-B830&gt;=2)</f>
        <v/>
      </c>
      <c r="D830">
        <f>SUMPRODUCT((Calc!$F$3:$F$22&gt;=LTP!$E$5)*(Calc!$F$3:$F$22&lt;=k_n)*(Calc!$G$3:$G$22&gt;A830)*(Calc!$G$3:$G$22-A830))</f>
        <v/>
      </c>
      <c r="E830">
        <f>SUMPRODUCT((Calc!$F$3:$F$22&gt;=LTP!$E$5)*(Calc!$F$3:$F$22&lt;=k_n)*(Calc!$G$3:$G$22&gt;A830)*(Calc!$G$3:$G$22-A830)^2)</f>
        <v/>
      </c>
      <c r="F830">
        <f>SUMPRODUCT((Calc!$F$3:$F$22&gt;=LTP!$E$5)*(Calc!$F$3:$F$22&lt;=k_n)*(Calc!$G$3:$G$22&gt;A830)*(Calc!$G$3:$G$22-A830)*Calc!$G$3:$G$22)</f>
        <v/>
      </c>
      <c r="G830">
        <f>SUMPRODUCT((Calc!$F$3:$F$22&gt;=LTP!$E$5)*(Calc!$F$3:$F$22&lt;=k_n)*(Calc!$G$3:$G$22&gt;A830)*(Calc!$G$3:$G$22-A830)*Calc!$I$3:$I$22)</f>
        <v/>
      </c>
      <c r="H830">
        <f>IF($B$469&gt;0,F830-$C$469*D830/$B$469,0)</f>
        <v/>
      </c>
      <c r="I830">
        <f>IF($B$469&gt;0,E830-D830^2/$B$469,0)</f>
        <v/>
      </c>
      <c r="J830">
        <f>IF($B$469&gt;0,G830-D830*$D$469/$B$469,0)</f>
        <v/>
      </c>
      <c r="K830">
        <f>$H$469*I830-H830^2</f>
        <v/>
      </c>
      <c r="L830">
        <f>IF(ABS(K830)&gt;1E-12,($H$469*J830-H830*$I$469)/K830,0)</f>
        <v/>
      </c>
      <c r="M830">
        <f>IF(ABS(K830)&gt;1E-12,(I830*$I$469-H830*J830)/K830,0)</f>
        <v/>
      </c>
      <c r="N830">
        <f>$J$469-M830*$I$469-L830*J830</f>
        <v/>
      </c>
      <c r="O830">
        <f>IF(AND(C830,ABS(K830)&gt;1E-12,L830&gt;0),N830,1E+300)</f>
        <v/>
      </c>
    </row>
    <row r="831">
      <c r="A831">
        <f>$K$469+($L$469-$K$469)*359/400</f>
        <v/>
      </c>
      <c r="B831">
        <f>SUMPRODUCT((Calc!$F$3:$F$22&gt;=LTP!$E$5)*(Calc!$F$3:$F$22&lt;=k_n)*(Calc!$G$3:$G$22&lt;=A831))</f>
        <v/>
      </c>
      <c r="C831">
        <f>AND(B831&gt;=2,$B$469-B831&gt;=2)</f>
        <v/>
      </c>
      <c r="D831">
        <f>SUMPRODUCT((Calc!$F$3:$F$22&gt;=LTP!$E$5)*(Calc!$F$3:$F$22&lt;=k_n)*(Calc!$G$3:$G$22&gt;A831)*(Calc!$G$3:$G$22-A831))</f>
        <v/>
      </c>
      <c r="E831">
        <f>SUMPRODUCT((Calc!$F$3:$F$22&gt;=LTP!$E$5)*(Calc!$F$3:$F$22&lt;=k_n)*(Calc!$G$3:$G$22&gt;A831)*(Calc!$G$3:$G$22-A831)^2)</f>
        <v/>
      </c>
      <c r="F831">
        <f>SUMPRODUCT((Calc!$F$3:$F$22&gt;=LTP!$E$5)*(Calc!$F$3:$F$22&lt;=k_n)*(Calc!$G$3:$G$22&gt;A831)*(Calc!$G$3:$G$22-A831)*Calc!$G$3:$G$22)</f>
        <v/>
      </c>
      <c r="G831">
        <f>SUMPRODUCT((Calc!$F$3:$F$22&gt;=LTP!$E$5)*(Calc!$F$3:$F$22&lt;=k_n)*(Calc!$G$3:$G$22&gt;A831)*(Calc!$G$3:$G$22-A831)*Calc!$I$3:$I$22)</f>
        <v/>
      </c>
      <c r="H831">
        <f>IF($B$469&gt;0,F831-$C$469*D831/$B$469,0)</f>
        <v/>
      </c>
      <c r="I831">
        <f>IF($B$469&gt;0,E831-D831^2/$B$469,0)</f>
        <v/>
      </c>
      <c r="J831">
        <f>IF($B$469&gt;0,G831-D831*$D$469/$B$469,0)</f>
        <v/>
      </c>
      <c r="K831">
        <f>$H$469*I831-H831^2</f>
        <v/>
      </c>
      <c r="L831">
        <f>IF(ABS(K831)&gt;1E-12,($H$469*J831-H831*$I$469)/K831,0)</f>
        <v/>
      </c>
      <c r="M831">
        <f>IF(ABS(K831)&gt;1E-12,(I831*$I$469-H831*J831)/K831,0)</f>
        <v/>
      </c>
      <c r="N831">
        <f>$J$469-M831*$I$469-L831*J831</f>
        <v/>
      </c>
      <c r="O831">
        <f>IF(AND(C831,ABS(K831)&gt;1E-12,L831&gt;0),N831,1E+300)</f>
        <v/>
      </c>
    </row>
    <row r="832">
      <c r="A832">
        <f>$K$469+($L$469-$K$469)*360/400</f>
        <v/>
      </c>
      <c r="B832">
        <f>SUMPRODUCT((Calc!$F$3:$F$22&gt;=LTP!$E$5)*(Calc!$F$3:$F$22&lt;=k_n)*(Calc!$G$3:$G$22&lt;=A832))</f>
        <v/>
      </c>
      <c r="C832">
        <f>AND(B832&gt;=2,$B$469-B832&gt;=2)</f>
        <v/>
      </c>
      <c r="D832">
        <f>SUMPRODUCT((Calc!$F$3:$F$22&gt;=LTP!$E$5)*(Calc!$F$3:$F$22&lt;=k_n)*(Calc!$G$3:$G$22&gt;A832)*(Calc!$G$3:$G$22-A832))</f>
        <v/>
      </c>
      <c r="E832">
        <f>SUMPRODUCT((Calc!$F$3:$F$22&gt;=LTP!$E$5)*(Calc!$F$3:$F$22&lt;=k_n)*(Calc!$G$3:$G$22&gt;A832)*(Calc!$G$3:$G$22-A832)^2)</f>
        <v/>
      </c>
      <c r="F832">
        <f>SUMPRODUCT((Calc!$F$3:$F$22&gt;=LTP!$E$5)*(Calc!$F$3:$F$22&lt;=k_n)*(Calc!$G$3:$G$22&gt;A832)*(Calc!$G$3:$G$22-A832)*Calc!$G$3:$G$22)</f>
        <v/>
      </c>
      <c r="G832">
        <f>SUMPRODUCT((Calc!$F$3:$F$22&gt;=LTP!$E$5)*(Calc!$F$3:$F$22&lt;=k_n)*(Calc!$G$3:$G$22&gt;A832)*(Calc!$G$3:$G$22-A832)*Calc!$I$3:$I$22)</f>
        <v/>
      </c>
      <c r="H832">
        <f>IF($B$469&gt;0,F832-$C$469*D832/$B$469,0)</f>
        <v/>
      </c>
      <c r="I832">
        <f>IF($B$469&gt;0,E832-D832^2/$B$469,0)</f>
        <v/>
      </c>
      <c r="J832">
        <f>IF($B$469&gt;0,G832-D832*$D$469/$B$469,0)</f>
        <v/>
      </c>
      <c r="K832">
        <f>$H$469*I832-H832^2</f>
        <v/>
      </c>
      <c r="L832">
        <f>IF(ABS(K832)&gt;1E-12,($H$469*J832-H832*$I$469)/K832,0)</f>
        <v/>
      </c>
      <c r="M832">
        <f>IF(ABS(K832)&gt;1E-12,(I832*$I$469-H832*J832)/K832,0)</f>
        <v/>
      </c>
      <c r="N832">
        <f>$J$469-M832*$I$469-L832*J832</f>
        <v/>
      </c>
      <c r="O832">
        <f>IF(AND(C832,ABS(K832)&gt;1E-12,L832&gt;0),N832,1E+300)</f>
        <v/>
      </c>
    </row>
    <row r="833">
      <c r="A833">
        <f>$K$469+($L$469-$K$469)*361/400</f>
        <v/>
      </c>
      <c r="B833">
        <f>SUMPRODUCT((Calc!$F$3:$F$22&gt;=LTP!$E$5)*(Calc!$F$3:$F$22&lt;=k_n)*(Calc!$G$3:$G$22&lt;=A833))</f>
        <v/>
      </c>
      <c r="C833">
        <f>AND(B833&gt;=2,$B$469-B833&gt;=2)</f>
        <v/>
      </c>
      <c r="D833">
        <f>SUMPRODUCT((Calc!$F$3:$F$22&gt;=LTP!$E$5)*(Calc!$F$3:$F$22&lt;=k_n)*(Calc!$G$3:$G$22&gt;A833)*(Calc!$G$3:$G$22-A833))</f>
        <v/>
      </c>
      <c r="E833">
        <f>SUMPRODUCT((Calc!$F$3:$F$22&gt;=LTP!$E$5)*(Calc!$F$3:$F$22&lt;=k_n)*(Calc!$G$3:$G$22&gt;A833)*(Calc!$G$3:$G$22-A833)^2)</f>
        <v/>
      </c>
      <c r="F833">
        <f>SUMPRODUCT((Calc!$F$3:$F$22&gt;=LTP!$E$5)*(Calc!$F$3:$F$22&lt;=k_n)*(Calc!$G$3:$G$22&gt;A833)*(Calc!$G$3:$G$22-A833)*Calc!$G$3:$G$22)</f>
        <v/>
      </c>
      <c r="G833">
        <f>SUMPRODUCT((Calc!$F$3:$F$22&gt;=LTP!$E$5)*(Calc!$F$3:$F$22&lt;=k_n)*(Calc!$G$3:$G$22&gt;A833)*(Calc!$G$3:$G$22-A833)*Calc!$I$3:$I$22)</f>
        <v/>
      </c>
      <c r="H833">
        <f>IF($B$469&gt;0,F833-$C$469*D833/$B$469,0)</f>
        <v/>
      </c>
      <c r="I833">
        <f>IF($B$469&gt;0,E833-D833^2/$B$469,0)</f>
        <v/>
      </c>
      <c r="J833">
        <f>IF($B$469&gt;0,G833-D833*$D$469/$B$469,0)</f>
        <v/>
      </c>
      <c r="K833">
        <f>$H$469*I833-H833^2</f>
        <v/>
      </c>
      <c r="L833">
        <f>IF(ABS(K833)&gt;1E-12,($H$469*J833-H833*$I$469)/K833,0)</f>
        <v/>
      </c>
      <c r="M833">
        <f>IF(ABS(K833)&gt;1E-12,(I833*$I$469-H833*J833)/K833,0)</f>
        <v/>
      </c>
      <c r="N833">
        <f>$J$469-M833*$I$469-L833*J833</f>
        <v/>
      </c>
      <c r="O833">
        <f>IF(AND(C833,ABS(K833)&gt;1E-12,L833&gt;0),N833,1E+300)</f>
        <v/>
      </c>
    </row>
    <row r="834">
      <c r="A834">
        <f>$K$469+($L$469-$K$469)*362/400</f>
        <v/>
      </c>
      <c r="B834">
        <f>SUMPRODUCT((Calc!$F$3:$F$22&gt;=LTP!$E$5)*(Calc!$F$3:$F$22&lt;=k_n)*(Calc!$G$3:$G$22&lt;=A834))</f>
        <v/>
      </c>
      <c r="C834">
        <f>AND(B834&gt;=2,$B$469-B834&gt;=2)</f>
        <v/>
      </c>
      <c r="D834">
        <f>SUMPRODUCT((Calc!$F$3:$F$22&gt;=LTP!$E$5)*(Calc!$F$3:$F$22&lt;=k_n)*(Calc!$G$3:$G$22&gt;A834)*(Calc!$G$3:$G$22-A834))</f>
        <v/>
      </c>
      <c r="E834">
        <f>SUMPRODUCT((Calc!$F$3:$F$22&gt;=LTP!$E$5)*(Calc!$F$3:$F$22&lt;=k_n)*(Calc!$G$3:$G$22&gt;A834)*(Calc!$G$3:$G$22-A834)^2)</f>
        <v/>
      </c>
      <c r="F834">
        <f>SUMPRODUCT((Calc!$F$3:$F$22&gt;=LTP!$E$5)*(Calc!$F$3:$F$22&lt;=k_n)*(Calc!$G$3:$G$22&gt;A834)*(Calc!$G$3:$G$22-A834)*Calc!$G$3:$G$22)</f>
        <v/>
      </c>
      <c r="G834">
        <f>SUMPRODUCT((Calc!$F$3:$F$22&gt;=LTP!$E$5)*(Calc!$F$3:$F$22&lt;=k_n)*(Calc!$G$3:$G$22&gt;A834)*(Calc!$G$3:$G$22-A834)*Calc!$I$3:$I$22)</f>
        <v/>
      </c>
      <c r="H834">
        <f>IF($B$469&gt;0,F834-$C$469*D834/$B$469,0)</f>
        <v/>
      </c>
      <c r="I834">
        <f>IF($B$469&gt;0,E834-D834^2/$B$469,0)</f>
        <v/>
      </c>
      <c r="J834">
        <f>IF($B$469&gt;0,G834-D834*$D$469/$B$469,0)</f>
        <v/>
      </c>
      <c r="K834">
        <f>$H$469*I834-H834^2</f>
        <v/>
      </c>
      <c r="L834">
        <f>IF(ABS(K834)&gt;1E-12,($H$469*J834-H834*$I$469)/K834,0)</f>
        <v/>
      </c>
      <c r="M834">
        <f>IF(ABS(K834)&gt;1E-12,(I834*$I$469-H834*J834)/K834,0)</f>
        <v/>
      </c>
      <c r="N834">
        <f>$J$469-M834*$I$469-L834*J834</f>
        <v/>
      </c>
      <c r="O834">
        <f>IF(AND(C834,ABS(K834)&gt;1E-12,L834&gt;0),N834,1E+300)</f>
        <v/>
      </c>
    </row>
    <row r="835">
      <c r="A835">
        <f>$K$469+($L$469-$K$469)*363/400</f>
        <v/>
      </c>
      <c r="B835">
        <f>SUMPRODUCT((Calc!$F$3:$F$22&gt;=LTP!$E$5)*(Calc!$F$3:$F$22&lt;=k_n)*(Calc!$G$3:$G$22&lt;=A835))</f>
        <v/>
      </c>
      <c r="C835">
        <f>AND(B835&gt;=2,$B$469-B835&gt;=2)</f>
        <v/>
      </c>
      <c r="D835">
        <f>SUMPRODUCT((Calc!$F$3:$F$22&gt;=LTP!$E$5)*(Calc!$F$3:$F$22&lt;=k_n)*(Calc!$G$3:$G$22&gt;A835)*(Calc!$G$3:$G$22-A835))</f>
        <v/>
      </c>
      <c r="E835">
        <f>SUMPRODUCT((Calc!$F$3:$F$22&gt;=LTP!$E$5)*(Calc!$F$3:$F$22&lt;=k_n)*(Calc!$G$3:$G$22&gt;A835)*(Calc!$G$3:$G$22-A835)^2)</f>
        <v/>
      </c>
      <c r="F835">
        <f>SUMPRODUCT((Calc!$F$3:$F$22&gt;=LTP!$E$5)*(Calc!$F$3:$F$22&lt;=k_n)*(Calc!$G$3:$G$22&gt;A835)*(Calc!$G$3:$G$22-A835)*Calc!$G$3:$G$22)</f>
        <v/>
      </c>
      <c r="G835">
        <f>SUMPRODUCT((Calc!$F$3:$F$22&gt;=LTP!$E$5)*(Calc!$F$3:$F$22&lt;=k_n)*(Calc!$G$3:$G$22&gt;A835)*(Calc!$G$3:$G$22-A835)*Calc!$I$3:$I$22)</f>
        <v/>
      </c>
      <c r="H835">
        <f>IF($B$469&gt;0,F835-$C$469*D835/$B$469,0)</f>
        <v/>
      </c>
      <c r="I835">
        <f>IF($B$469&gt;0,E835-D835^2/$B$469,0)</f>
        <v/>
      </c>
      <c r="J835">
        <f>IF($B$469&gt;0,G835-D835*$D$469/$B$469,0)</f>
        <v/>
      </c>
      <c r="K835">
        <f>$H$469*I835-H835^2</f>
        <v/>
      </c>
      <c r="L835">
        <f>IF(ABS(K835)&gt;1E-12,($H$469*J835-H835*$I$469)/K835,0)</f>
        <v/>
      </c>
      <c r="M835">
        <f>IF(ABS(K835)&gt;1E-12,(I835*$I$469-H835*J835)/K835,0)</f>
        <v/>
      </c>
      <c r="N835">
        <f>$J$469-M835*$I$469-L835*J835</f>
        <v/>
      </c>
      <c r="O835">
        <f>IF(AND(C835,ABS(K835)&gt;1E-12,L835&gt;0),N835,1E+300)</f>
        <v/>
      </c>
    </row>
    <row r="836">
      <c r="A836">
        <f>$K$469+($L$469-$K$469)*364/400</f>
        <v/>
      </c>
      <c r="B836">
        <f>SUMPRODUCT((Calc!$F$3:$F$22&gt;=LTP!$E$5)*(Calc!$F$3:$F$22&lt;=k_n)*(Calc!$G$3:$G$22&lt;=A836))</f>
        <v/>
      </c>
      <c r="C836">
        <f>AND(B836&gt;=2,$B$469-B836&gt;=2)</f>
        <v/>
      </c>
      <c r="D836">
        <f>SUMPRODUCT((Calc!$F$3:$F$22&gt;=LTP!$E$5)*(Calc!$F$3:$F$22&lt;=k_n)*(Calc!$G$3:$G$22&gt;A836)*(Calc!$G$3:$G$22-A836))</f>
        <v/>
      </c>
      <c r="E836">
        <f>SUMPRODUCT((Calc!$F$3:$F$22&gt;=LTP!$E$5)*(Calc!$F$3:$F$22&lt;=k_n)*(Calc!$G$3:$G$22&gt;A836)*(Calc!$G$3:$G$22-A836)^2)</f>
        <v/>
      </c>
      <c r="F836">
        <f>SUMPRODUCT((Calc!$F$3:$F$22&gt;=LTP!$E$5)*(Calc!$F$3:$F$22&lt;=k_n)*(Calc!$G$3:$G$22&gt;A836)*(Calc!$G$3:$G$22-A836)*Calc!$G$3:$G$22)</f>
        <v/>
      </c>
      <c r="G836">
        <f>SUMPRODUCT((Calc!$F$3:$F$22&gt;=LTP!$E$5)*(Calc!$F$3:$F$22&lt;=k_n)*(Calc!$G$3:$G$22&gt;A836)*(Calc!$G$3:$G$22-A836)*Calc!$I$3:$I$22)</f>
        <v/>
      </c>
      <c r="H836">
        <f>IF($B$469&gt;0,F836-$C$469*D836/$B$469,0)</f>
        <v/>
      </c>
      <c r="I836">
        <f>IF($B$469&gt;0,E836-D836^2/$B$469,0)</f>
        <v/>
      </c>
      <c r="J836">
        <f>IF($B$469&gt;0,G836-D836*$D$469/$B$469,0)</f>
        <v/>
      </c>
      <c r="K836">
        <f>$H$469*I836-H836^2</f>
        <v/>
      </c>
      <c r="L836">
        <f>IF(ABS(K836)&gt;1E-12,($H$469*J836-H836*$I$469)/K836,0)</f>
        <v/>
      </c>
      <c r="M836">
        <f>IF(ABS(K836)&gt;1E-12,(I836*$I$469-H836*J836)/K836,0)</f>
        <v/>
      </c>
      <c r="N836">
        <f>$J$469-M836*$I$469-L836*J836</f>
        <v/>
      </c>
      <c r="O836">
        <f>IF(AND(C836,ABS(K836)&gt;1E-12,L836&gt;0),N836,1E+300)</f>
        <v/>
      </c>
    </row>
    <row r="837">
      <c r="A837">
        <f>$K$469+($L$469-$K$469)*365/400</f>
        <v/>
      </c>
      <c r="B837">
        <f>SUMPRODUCT((Calc!$F$3:$F$22&gt;=LTP!$E$5)*(Calc!$F$3:$F$22&lt;=k_n)*(Calc!$G$3:$G$22&lt;=A837))</f>
        <v/>
      </c>
      <c r="C837">
        <f>AND(B837&gt;=2,$B$469-B837&gt;=2)</f>
        <v/>
      </c>
      <c r="D837">
        <f>SUMPRODUCT((Calc!$F$3:$F$22&gt;=LTP!$E$5)*(Calc!$F$3:$F$22&lt;=k_n)*(Calc!$G$3:$G$22&gt;A837)*(Calc!$G$3:$G$22-A837))</f>
        <v/>
      </c>
      <c r="E837">
        <f>SUMPRODUCT((Calc!$F$3:$F$22&gt;=LTP!$E$5)*(Calc!$F$3:$F$22&lt;=k_n)*(Calc!$G$3:$G$22&gt;A837)*(Calc!$G$3:$G$22-A837)^2)</f>
        <v/>
      </c>
      <c r="F837">
        <f>SUMPRODUCT((Calc!$F$3:$F$22&gt;=LTP!$E$5)*(Calc!$F$3:$F$22&lt;=k_n)*(Calc!$G$3:$G$22&gt;A837)*(Calc!$G$3:$G$22-A837)*Calc!$G$3:$G$22)</f>
        <v/>
      </c>
      <c r="G837">
        <f>SUMPRODUCT((Calc!$F$3:$F$22&gt;=LTP!$E$5)*(Calc!$F$3:$F$22&lt;=k_n)*(Calc!$G$3:$G$22&gt;A837)*(Calc!$G$3:$G$22-A837)*Calc!$I$3:$I$22)</f>
        <v/>
      </c>
      <c r="H837">
        <f>IF($B$469&gt;0,F837-$C$469*D837/$B$469,0)</f>
        <v/>
      </c>
      <c r="I837">
        <f>IF($B$469&gt;0,E837-D837^2/$B$469,0)</f>
        <v/>
      </c>
      <c r="J837">
        <f>IF($B$469&gt;0,G837-D837*$D$469/$B$469,0)</f>
        <v/>
      </c>
      <c r="K837">
        <f>$H$469*I837-H837^2</f>
        <v/>
      </c>
      <c r="L837">
        <f>IF(ABS(K837)&gt;1E-12,($H$469*J837-H837*$I$469)/K837,0)</f>
        <v/>
      </c>
      <c r="M837">
        <f>IF(ABS(K837)&gt;1E-12,(I837*$I$469-H837*J837)/K837,0)</f>
        <v/>
      </c>
      <c r="N837">
        <f>$J$469-M837*$I$469-L837*J837</f>
        <v/>
      </c>
      <c r="O837">
        <f>IF(AND(C837,ABS(K837)&gt;1E-12,L837&gt;0),N837,1E+300)</f>
        <v/>
      </c>
    </row>
    <row r="838">
      <c r="A838">
        <f>$K$469+($L$469-$K$469)*366/400</f>
        <v/>
      </c>
      <c r="B838">
        <f>SUMPRODUCT((Calc!$F$3:$F$22&gt;=LTP!$E$5)*(Calc!$F$3:$F$22&lt;=k_n)*(Calc!$G$3:$G$22&lt;=A838))</f>
        <v/>
      </c>
      <c r="C838">
        <f>AND(B838&gt;=2,$B$469-B838&gt;=2)</f>
        <v/>
      </c>
      <c r="D838">
        <f>SUMPRODUCT((Calc!$F$3:$F$22&gt;=LTP!$E$5)*(Calc!$F$3:$F$22&lt;=k_n)*(Calc!$G$3:$G$22&gt;A838)*(Calc!$G$3:$G$22-A838))</f>
        <v/>
      </c>
      <c r="E838">
        <f>SUMPRODUCT((Calc!$F$3:$F$22&gt;=LTP!$E$5)*(Calc!$F$3:$F$22&lt;=k_n)*(Calc!$G$3:$G$22&gt;A838)*(Calc!$G$3:$G$22-A838)^2)</f>
        <v/>
      </c>
      <c r="F838">
        <f>SUMPRODUCT((Calc!$F$3:$F$22&gt;=LTP!$E$5)*(Calc!$F$3:$F$22&lt;=k_n)*(Calc!$G$3:$G$22&gt;A838)*(Calc!$G$3:$G$22-A838)*Calc!$G$3:$G$22)</f>
        <v/>
      </c>
      <c r="G838">
        <f>SUMPRODUCT((Calc!$F$3:$F$22&gt;=LTP!$E$5)*(Calc!$F$3:$F$22&lt;=k_n)*(Calc!$G$3:$G$22&gt;A838)*(Calc!$G$3:$G$22-A838)*Calc!$I$3:$I$22)</f>
        <v/>
      </c>
      <c r="H838">
        <f>IF($B$469&gt;0,F838-$C$469*D838/$B$469,0)</f>
        <v/>
      </c>
      <c r="I838">
        <f>IF($B$469&gt;0,E838-D838^2/$B$469,0)</f>
        <v/>
      </c>
      <c r="J838">
        <f>IF($B$469&gt;0,G838-D838*$D$469/$B$469,0)</f>
        <v/>
      </c>
      <c r="K838">
        <f>$H$469*I838-H838^2</f>
        <v/>
      </c>
      <c r="L838">
        <f>IF(ABS(K838)&gt;1E-12,($H$469*J838-H838*$I$469)/K838,0)</f>
        <v/>
      </c>
      <c r="M838">
        <f>IF(ABS(K838)&gt;1E-12,(I838*$I$469-H838*J838)/K838,0)</f>
        <v/>
      </c>
      <c r="N838">
        <f>$J$469-M838*$I$469-L838*J838</f>
        <v/>
      </c>
      <c r="O838">
        <f>IF(AND(C838,ABS(K838)&gt;1E-12,L838&gt;0),N838,1E+300)</f>
        <v/>
      </c>
    </row>
    <row r="839">
      <c r="A839">
        <f>$K$469+($L$469-$K$469)*367/400</f>
        <v/>
      </c>
      <c r="B839">
        <f>SUMPRODUCT((Calc!$F$3:$F$22&gt;=LTP!$E$5)*(Calc!$F$3:$F$22&lt;=k_n)*(Calc!$G$3:$G$22&lt;=A839))</f>
        <v/>
      </c>
      <c r="C839">
        <f>AND(B839&gt;=2,$B$469-B839&gt;=2)</f>
        <v/>
      </c>
      <c r="D839">
        <f>SUMPRODUCT((Calc!$F$3:$F$22&gt;=LTP!$E$5)*(Calc!$F$3:$F$22&lt;=k_n)*(Calc!$G$3:$G$22&gt;A839)*(Calc!$G$3:$G$22-A839))</f>
        <v/>
      </c>
      <c r="E839">
        <f>SUMPRODUCT((Calc!$F$3:$F$22&gt;=LTP!$E$5)*(Calc!$F$3:$F$22&lt;=k_n)*(Calc!$G$3:$G$22&gt;A839)*(Calc!$G$3:$G$22-A839)^2)</f>
        <v/>
      </c>
      <c r="F839">
        <f>SUMPRODUCT((Calc!$F$3:$F$22&gt;=LTP!$E$5)*(Calc!$F$3:$F$22&lt;=k_n)*(Calc!$G$3:$G$22&gt;A839)*(Calc!$G$3:$G$22-A839)*Calc!$G$3:$G$22)</f>
        <v/>
      </c>
      <c r="G839">
        <f>SUMPRODUCT((Calc!$F$3:$F$22&gt;=LTP!$E$5)*(Calc!$F$3:$F$22&lt;=k_n)*(Calc!$G$3:$G$22&gt;A839)*(Calc!$G$3:$G$22-A839)*Calc!$I$3:$I$22)</f>
        <v/>
      </c>
      <c r="H839">
        <f>IF($B$469&gt;0,F839-$C$469*D839/$B$469,0)</f>
        <v/>
      </c>
      <c r="I839">
        <f>IF($B$469&gt;0,E839-D839^2/$B$469,0)</f>
        <v/>
      </c>
      <c r="J839">
        <f>IF($B$469&gt;0,G839-D839*$D$469/$B$469,0)</f>
        <v/>
      </c>
      <c r="K839">
        <f>$H$469*I839-H839^2</f>
        <v/>
      </c>
      <c r="L839">
        <f>IF(ABS(K839)&gt;1E-12,($H$469*J839-H839*$I$469)/K839,0)</f>
        <v/>
      </c>
      <c r="M839">
        <f>IF(ABS(K839)&gt;1E-12,(I839*$I$469-H839*J839)/K839,0)</f>
        <v/>
      </c>
      <c r="N839">
        <f>$J$469-M839*$I$469-L839*J839</f>
        <v/>
      </c>
      <c r="O839">
        <f>IF(AND(C839,ABS(K839)&gt;1E-12,L839&gt;0),N839,1E+300)</f>
        <v/>
      </c>
    </row>
    <row r="840">
      <c r="A840">
        <f>$K$469+($L$469-$K$469)*368/400</f>
        <v/>
      </c>
      <c r="B840">
        <f>SUMPRODUCT((Calc!$F$3:$F$22&gt;=LTP!$E$5)*(Calc!$F$3:$F$22&lt;=k_n)*(Calc!$G$3:$G$22&lt;=A840))</f>
        <v/>
      </c>
      <c r="C840">
        <f>AND(B840&gt;=2,$B$469-B840&gt;=2)</f>
        <v/>
      </c>
      <c r="D840">
        <f>SUMPRODUCT((Calc!$F$3:$F$22&gt;=LTP!$E$5)*(Calc!$F$3:$F$22&lt;=k_n)*(Calc!$G$3:$G$22&gt;A840)*(Calc!$G$3:$G$22-A840))</f>
        <v/>
      </c>
      <c r="E840">
        <f>SUMPRODUCT((Calc!$F$3:$F$22&gt;=LTP!$E$5)*(Calc!$F$3:$F$22&lt;=k_n)*(Calc!$G$3:$G$22&gt;A840)*(Calc!$G$3:$G$22-A840)^2)</f>
        <v/>
      </c>
      <c r="F840">
        <f>SUMPRODUCT((Calc!$F$3:$F$22&gt;=LTP!$E$5)*(Calc!$F$3:$F$22&lt;=k_n)*(Calc!$G$3:$G$22&gt;A840)*(Calc!$G$3:$G$22-A840)*Calc!$G$3:$G$22)</f>
        <v/>
      </c>
      <c r="G840">
        <f>SUMPRODUCT((Calc!$F$3:$F$22&gt;=LTP!$E$5)*(Calc!$F$3:$F$22&lt;=k_n)*(Calc!$G$3:$G$22&gt;A840)*(Calc!$G$3:$G$22-A840)*Calc!$I$3:$I$22)</f>
        <v/>
      </c>
      <c r="H840">
        <f>IF($B$469&gt;0,F840-$C$469*D840/$B$469,0)</f>
        <v/>
      </c>
      <c r="I840">
        <f>IF($B$469&gt;0,E840-D840^2/$B$469,0)</f>
        <v/>
      </c>
      <c r="J840">
        <f>IF($B$469&gt;0,G840-D840*$D$469/$B$469,0)</f>
        <v/>
      </c>
      <c r="K840">
        <f>$H$469*I840-H840^2</f>
        <v/>
      </c>
      <c r="L840">
        <f>IF(ABS(K840)&gt;1E-12,($H$469*J840-H840*$I$469)/K840,0)</f>
        <v/>
      </c>
      <c r="M840">
        <f>IF(ABS(K840)&gt;1E-12,(I840*$I$469-H840*J840)/K840,0)</f>
        <v/>
      </c>
      <c r="N840">
        <f>$J$469-M840*$I$469-L840*J840</f>
        <v/>
      </c>
      <c r="O840">
        <f>IF(AND(C840,ABS(K840)&gt;1E-12,L840&gt;0),N840,1E+300)</f>
        <v/>
      </c>
    </row>
    <row r="841">
      <c r="A841">
        <f>$K$469+($L$469-$K$469)*369/400</f>
        <v/>
      </c>
      <c r="B841">
        <f>SUMPRODUCT((Calc!$F$3:$F$22&gt;=LTP!$E$5)*(Calc!$F$3:$F$22&lt;=k_n)*(Calc!$G$3:$G$22&lt;=A841))</f>
        <v/>
      </c>
      <c r="C841">
        <f>AND(B841&gt;=2,$B$469-B841&gt;=2)</f>
        <v/>
      </c>
      <c r="D841">
        <f>SUMPRODUCT((Calc!$F$3:$F$22&gt;=LTP!$E$5)*(Calc!$F$3:$F$22&lt;=k_n)*(Calc!$G$3:$G$22&gt;A841)*(Calc!$G$3:$G$22-A841))</f>
        <v/>
      </c>
      <c r="E841">
        <f>SUMPRODUCT((Calc!$F$3:$F$22&gt;=LTP!$E$5)*(Calc!$F$3:$F$22&lt;=k_n)*(Calc!$G$3:$G$22&gt;A841)*(Calc!$G$3:$G$22-A841)^2)</f>
        <v/>
      </c>
      <c r="F841">
        <f>SUMPRODUCT((Calc!$F$3:$F$22&gt;=LTP!$E$5)*(Calc!$F$3:$F$22&lt;=k_n)*(Calc!$G$3:$G$22&gt;A841)*(Calc!$G$3:$G$22-A841)*Calc!$G$3:$G$22)</f>
        <v/>
      </c>
      <c r="G841">
        <f>SUMPRODUCT((Calc!$F$3:$F$22&gt;=LTP!$E$5)*(Calc!$F$3:$F$22&lt;=k_n)*(Calc!$G$3:$G$22&gt;A841)*(Calc!$G$3:$G$22-A841)*Calc!$I$3:$I$22)</f>
        <v/>
      </c>
      <c r="H841">
        <f>IF($B$469&gt;0,F841-$C$469*D841/$B$469,0)</f>
        <v/>
      </c>
      <c r="I841">
        <f>IF($B$469&gt;0,E841-D841^2/$B$469,0)</f>
        <v/>
      </c>
      <c r="J841">
        <f>IF($B$469&gt;0,G841-D841*$D$469/$B$469,0)</f>
        <v/>
      </c>
      <c r="K841">
        <f>$H$469*I841-H841^2</f>
        <v/>
      </c>
      <c r="L841">
        <f>IF(ABS(K841)&gt;1E-12,($H$469*J841-H841*$I$469)/K841,0)</f>
        <v/>
      </c>
      <c r="M841">
        <f>IF(ABS(K841)&gt;1E-12,(I841*$I$469-H841*J841)/K841,0)</f>
        <v/>
      </c>
      <c r="N841">
        <f>$J$469-M841*$I$469-L841*J841</f>
        <v/>
      </c>
      <c r="O841">
        <f>IF(AND(C841,ABS(K841)&gt;1E-12,L841&gt;0),N841,1E+300)</f>
        <v/>
      </c>
    </row>
    <row r="842">
      <c r="A842">
        <f>$K$469+($L$469-$K$469)*370/400</f>
        <v/>
      </c>
      <c r="B842">
        <f>SUMPRODUCT((Calc!$F$3:$F$22&gt;=LTP!$E$5)*(Calc!$F$3:$F$22&lt;=k_n)*(Calc!$G$3:$G$22&lt;=A842))</f>
        <v/>
      </c>
      <c r="C842">
        <f>AND(B842&gt;=2,$B$469-B842&gt;=2)</f>
        <v/>
      </c>
      <c r="D842">
        <f>SUMPRODUCT((Calc!$F$3:$F$22&gt;=LTP!$E$5)*(Calc!$F$3:$F$22&lt;=k_n)*(Calc!$G$3:$G$22&gt;A842)*(Calc!$G$3:$G$22-A842))</f>
        <v/>
      </c>
      <c r="E842">
        <f>SUMPRODUCT((Calc!$F$3:$F$22&gt;=LTP!$E$5)*(Calc!$F$3:$F$22&lt;=k_n)*(Calc!$G$3:$G$22&gt;A842)*(Calc!$G$3:$G$22-A842)^2)</f>
        <v/>
      </c>
      <c r="F842">
        <f>SUMPRODUCT((Calc!$F$3:$F$22&gt;=LTP!$E$5)*(Calc!$F$3:$F$22&lt;=k_n)*(Calc!$G$3:$G$22&gt;A842)*(Calc!$G$3:$G$22-A842)*Calc!$G$3:$G$22)</f>
        <v/>
      </c>
      <c r="G842">
        <f>SUMPRODUCT((Calc!$F$3:$F$22&gt;=LTP!$E$5)*(Calc!$F$3:$F$22&lt;=k_n)*(Calc!$G$3:$G$22&gt;A842)*(Calc!$G$3:$G$22-A842)*Calc!$I$3:$I$22)</f>
        <v/>
      </c>
      <c r="H842">
        <f>IF($B$469&gt;0,F842-$C$469*D842/$B$469,0)</f>
        <v/>
      </c>
      <c r="I842">
        <f>IF($B$469&gt;0,E842-D842^2/$B$469,0)</f>
        <v/>
      </c>
      <c r="J842">
        <f>IF($B$469&gt;0,G842-D842*$D$469/$B$469,0)</f>
        <v/>
      </c>
      <c r="K842">
        <f>$H$469*I842-H842^2</f>
        <v/>
      </c>
      <c r="L842">
        <f>IF(ABS(K842)&gt;1E-12,($H$469*J842-H842*$I$469)/K842,0)</f>
        <v/>
      </c>
      <c r="M842">
        <f>IF(ABS(K842)&gt;1E-12,(I842*$I$469-H842*J842)/K842,0)</f>
        <v/>
      </c>
      <c r="N842">
        <f>$J$469-M842*$I$469-L842*J842</f>
        <v/>
      </c>
      <c r="O842">
        <f>IF(AND(C842,ABS(K842)&gt;1E-12,L842&gt;0),N842,1E+300)</f>
        <v/>
      </c>
    </row>
    <row r="843">
      <c r="A843">
        <f>$K$469+($L$469-$K$469)*371/400</f>
        <v/>
      </c>
      <c r="B843">
        <f>SUMPRODUCT((Calc!$F$3:$F$22&gt;=LTP!$E$5)*(Calc!$F$3:$F$22&lt;=k_n)*(Calc!$G$3:$G$22&lt;=A843))</f>
        <v/>
      </c>
      <c r="C843">
        <f>AND(B843&gt;=2,$B$469-B843&gt;=2)</f>
        <v/>
      </c>
      <c r="D843">
        <f>SUMPRODUCT((Calc!$F$3:$F$22&gt;=LTP!$E$5)*(Calc!$F$3:$F$22&lt;=k_n)*(Calc!$G$3:$G$22&gt;A843)*(Calc!$G$3:$G$22-A843))</f>
        <v/>
      </c>
      <c r="E843">
        <f>SUMPRODUCT((Calc!$F$3:$F$22&gt;=LTP!$E$5)*(Calc!$F$3:$F$22&lt;=k_n)*(Calc!$G$3:$G$22&gt;A843)*(Calc!$G$3:$G$22-A843)^2)</f>
        <v/>
      </c>
      <c r="F843">
        <f>SUMPRODUCT((Calc!$F$3:$F$22&gt;=LTP!$E$5)*(Calc!$F$3:$F$22&lt;=k_n)*(Calc!$G$3:$G$22&gt;A843)*(Calc!$G$3:$G$22-A843)*Calc!$G$3:$G$22)</f>
        <v/>
      </c>
      <c r="G843">
        <f>SUMPRODUCT((Calc!$F$3:$F$22&gt;=LTP!$E$5)*(Calc!$F$3:$F$22&lt;=k_n)*(Calc!$G$3:$G$22&gt;A843)*(Calc!$G$3:$G$22-A843)*Calc!$I$3:$I$22)</f>
        <v/>
      </c>
      <c r="H843">
        <f>IF($B$469&gt;0,F843-$C$469*D843/$B$469,0)</f>
        <v/>
      </c>
      <c r="I843">
        <f>IF($B$469&gt;0,E843-D843^2/$B$469,0)</f>
        <v/>
      </c>
      <c r="J843">
        <f>IF($B$469&gt;0,G843-D843*$D$469/$B$469,0)</f>
        <v/>
      </c>
      <c r="K843">
        <f>$H$469*I843-H843^2</f>
        <v/>
      </c>
      <c r="L843">
        <f>IF(ABS(K843)&gt;1E-12,($H$469*J843-H843*$I$469)/K843,0)</f>
        <v/>
      </c>
      <c r="M843">
        <f>IF(ABS(K843)&gt;1E-12,(I843*$I$469-H843*J843)/K843,0)</f>
        <v/>
      </c>
      <c r="N843">
        <f>$J$469-M843*$I$469-L843*J843</f>
        <v/>
      </c>
      <c r="O843">
        <f>IF(AND(C843,ABS(K843)&gt;1E-12,L843&gt;0),N843,1E+300)</f>
        <v/>
      </c>
    </row>
    <row r="844">
      <c r="A844">
        <f>$K$469+($L$469-$K$469)*372/400</f>
        <v/>
      </c>
      <c r="B844">
        <f>SUMPRODUCT((Calc!$F$3:$F$22&gt;=LTP!$E$5)*(Calc!$F$3:$F$22&lt;=k_n)*(Calc!$G$3:$G$22&lt;=A844))</f>
        <v/>
      </c>
      <c r="C844">
        <f>AND(B844&gt;=2,$B$469-B844&gt;=2)</f>
        <v/>
      </c>
      <c r="D844">
        <f>SUMPRODUCT((Calc!$F$3:$F$22&gt;=LTP!$E$5)*(Calc!$F$3:$F$22&lt;=k_n)*(Calc!$G$3:$G$22&gt;A844)*(Calc!$G$3:$G$22-A844))</f>
        <v/>
      </c>
      <c r="E844">
        <f>SUMPRODUCT((Calc!$F$3:$F$22&gt;=LTP!$E$5)*(Calc!$F$3:$F$22&lt;=k_n)*(Calc!$G$3:$G$22&gt;A844)*(Calc!$G$3:$G$22-A844)^2)</f>
        <v/>
      </c>
      <c r="F844">
        <f>SUMPRODUCT((Calc!$F$3:$F$22&gt;=LTP!$E$5)*(Calc!$F$3:$F$22&lt;=k_n)*(Calc!$G$3:$G$22&gt;A844)*(Calc!$G$3:$G$22-A844)*Calc!$G$3:$G$22)</f>
        <v/>
      </c>
      <c r="G844">
        <f>SUMPRODUCT((Calc!$F$3:$F$22&gt;=LTP!$E$5)*(Calc!$F$3:$F$22&lt;=k_n)*(Calc!$G$3:$G$22&gt;A844)*(Calc!$G$3:$G$22-A844)*Calc!$I$3:$I$22)</f>
        <v/>
      </c>
      <c r="H844">
        <f>IF($B$469&gt;0,F844-$C$469*D844/$B$469,0)</f>
        <v/>
      </c>
      <c r="I844">
        <f>IF($B$469&gt;0,E844-D844^2/$B$469,0)</f>
        <v/>
      </c>
      <c r="J844">
        <f>IF($B$469&gt;0,G844-D844*$D$469/$B$469,0)</f>
        <v/>
      </c>
      <c r="K844">
        <f>$H$469*I844-H844^2</f>
        <v/>
      </c>
      <c r="L844">
        <f>IF(ABS(K844)&gt;1E-12,($H$469*J844-H844*$I$469)/K844,0)</f>
        <v/>
      </c>
      <c r="M844">
        <f>IF(ABS(K844)&gt;1E-12,(I844*$I$469-H844*J844)/K844,0)</f>
        <v/>
      </c>
      <c r="N844">
        <f>$J$469-M844*$I$469-L844*J844</f>
        <v/>
      </c>
      <c r="O844">
        <f>IF(AND(C844,ABS(K844)&gt;1E-12,L844&gt;0),N844,1E+300)</f>
        <v/>
      </c>
    </row>
    <row r="845">
      <c r="A845">
        <f>$K$469+($L$469-$K$469)*373/400</f>
        <v/>
      </c>
      <c r="B845">
        <f>SUMPRODUCT((Calc!$F$3:$F$22&gt;=LTP!$E$5)*(Calc!$F$3:$F$22&lt;=k_n)*(Calc!$G$3:$G$22&lt;=A845))</f>
        <v/>
      </c>
      <c r="C845">
        <f>AND(B845&gt;=2,$B$469-B845&gt;=2)</f>
        <v/>
      </c>
      <c r="D845">
        <f>SUMPRODUCT((Calc!$F$3:$F$22&gt;=LTP!$E$5)*(Calc!$F$3:$F$22&lt;=k_n)*(Calc!$G$3:$G$22&gt;A845)*(Calc!$G$3:$G$22-A845))</f>
        <v/>
      </c>
      <c r="E845">
        <f>SUMPRODUCT((Calc!$F$3:$F$22&gt;=LTP!$E$5)*(Calc!$F$3:$F$22&lt;=k_n)*(Calc!$G$3:$G$22&gt;A845)*(Calc!$G$3:$G$22-A845)^2)</f>
        <v/>
      </c>
      <c r="F845">
        <f>SUMPRODUCT((Calc!$F$3:$F$22&gt;=LTP!$E$5)*(Calc!$F$3:$F$22&lt;=k_n)*(Calc!$G$3:$G$22&gt;A845)*(Calc!$G$3:$G$22-A845)*Calc!$G$3:$G$22)</f>
        <v/>
      </c>
      <c r="G845">
        <f>SUMPRODUCT((Calc!$F$3:$F$22&gt;=LTP!$E$5)*(Calc!$F$3:$F$22&lt;=k_n)*(Calc!$G$3:$G$22&gt;A845)*(Calc!$G$3:$G$22-A845)*Calc!$I$3:$I$22)</f>
        <v/>
      </c>
      <c r="H845">
        <f>IF($B$469&gt;0,F845-$C$469*D845/$B$469,0)</f>
        <v/>
      </c>
      <c r="I845">
        <f>IF($B$469&gt;0,E845-D845^2/$B$469,0)</f>
        <v/>
      </c>
      <c r="J845">
        <f>IF($B$469&gt;0,G845-D845*$D$469/$B$469,0)</f>
        <v/>
      </c>
      <c r="K845">
        <f>$H$469*I845-H845^2</f>
        <v/>
      </c>
      <c r="L845">
        <f>IF(ABS(K845)&gt;1E-12,($H$469*J845-H845*$I$469)/K845,0)</f>
        <v/>
      </c>
      <c r="M845">
        <f>IF(ABS(K845)&gt;1E-12,(I845*$I$469-H845*J845)/K845,0)</f>
        <v/>
      </c>
      <c r="N845">
        <f>$J$469-M845*$I$469-L845*J845</f>
        <v/>
      </c>
      <c r="O845">
        <f>IF(AND(C845,ABS(K845)&gt;1E-12,L845&gt;0),N845,1E+300)</f>
        <v/>
      </c>
    </row>
    <row r="846">
      <c r="A846">
        <f>$K$469+($L$469-$K$469)*374/400</f>
        <v/>
      </c>
      <c r="B846">
        <f>SUMPRODUCT((Calc!$F$3:$F$22&gt;=LTP!$E$5)*(Calc!$F$3:$F$22&lt;=k_n)*(Calc!$G$3:$G$22&lt;=A846))</f>
        <v/>
      </c>
      <c r="C846">
        <f>AND(B846&gt;=2,$B$469-B846&gt;=2)</f>
        <v/>
      </c>
      <c r="D846">
        <f>SUMPRODUCT((Calc!$F$3:$F$22&gt;=LTP!$E$5)*(Calc!$F$3:$F$22&lt;=k_n)*(Calc!$G$3:$G$22&gt;A846)*(Calc!$G$3:$G$22-A846))</f>
        <v/>
      </c>
      <c r="E846">
        <f>SUMPRODUCT((Calc!$F$3:$F$22&gt;=LTP!$E$5)*(Calc!$F$3:$F$22&lt;=k_n)*(Calc!$G$3:$G$22&gt;A846)*(Calc!$G$3:$G$22-A846)^2)</f>
        <v/>
      </c>
      <c r="F846">
        <f>SUMPRODUCT((Calc!$F$3:$F$22&gt;=LTP!$E$5)*(Calc!$F$3:$F$22&lt;=k_n)*(Calc!$G$3:$G$22&gt;A846)*(Calc!$G$3:$G$22-A846)*Calc!$G$3:$G$22)</f>
        <v/>
      </c>
      <c r="G846">
        <f>SUMPRODUCT((Calc!$F$3:$F$22&gt;=LTP!$E$5)*(Calc!$F$3:$F$22&lt;=k_n)*(Calc!$G$3:$G$22&gt;A846)*(Calc!$G$3:$G$22-A846)*Calc!$I$3:$I$22)</f>
        <v/>
      </c>
      <c r="H846">
        <f>IF($B$469&gt;0,F846-$C$469*D846/$B$469,0)</f>
        <v/>
      </c>
      <c r="I846">
        <f>IF($B$469&gt;0,E846-D846^2/$B$469,0)</f>
        <v/>
      </c>
      <c r="J846">
        <f>IF($B$469&gt;0,G846-D846*$D$469/$B$469,0)</f>
        <v/>
      </c>
      <c r="K846">
        <f>$H$469*I846-H846^2</f>
        <v/>
      </c>
      <c r="L846">
        <f>IF(ABS(K846)&gt;1E-12,($H$469*J846-H846*$I$469)/K846,0)</f>
        <v/>
      </c>
      <c r="M846">
        <f>IF(ABS(K846)&gt;1E-12,(I846*$I$469-H846*J846)/K846,0)</f>
        <v/>
      </c>
      <c r="N846">
        <f>$J$469-M846*$I$469-L846*J846</f>
        <v/>
      </c>
      <c r="O846">
        <f>IF(AND(C846,ABS(K846)&gt;1E-12,L846&gt;0),N846,1E+300)</f>
        <v/>
      </c>
    </row>
    <row r="847">
      <c r="A847">
        <f>$K$469+($L$469-$K$469)*375/400</f>
        <v/>
      </c>
      <c r="B847">
        <f>SUMPRODUCT((Calc!$F$3:$F$22&gt;=LTP!$E$5)*(Calc!$F$3:$F$22&lt;=k_n)*(Calc!$G$3:$G$22&lt;=A847))</f>
        <v/>
      </c>
      <c r="C847">
        <f>AND(B847&gt;=2,$B$469-B847&gt;=2)</f>
        <v/>
      </c>
      <c r="D847">
        <f>SUMPRODUCT((Calc!$F$3:$F$22&gt;=LTP!$E$5)*(Calc!$F$3:$F$22&lt;=k_n)*(Calc!$G$3:$G$22&gt;A847)*(Calc!$G$3:$G$22-A847))</f>
        <v/>
      </c>
      <c r="E847">
        <f>SUMPRODUCT((Calc!$F$3:$F$22&gt;=LTP!$E$5)*(Calc!$F$3:$F$22&lt;=k_n)*(Calc!$G$3:$G$22&gt;A847)*(Calc!$G$3:$G$22-A847)^2)</f>
        <v/>
      </c>
      <c r="F847">
        <f>SUMPRODUCT((Calc!$F$3:$F$22&gt;=LTP!$E$5)*(Calc!$F$3:$F$22&lt;=k_n)*(Calc!$G$3:$G$22&gt;A847)*(Calc!$G$3:$G$22-A847)*Calc!$G$3:$G$22)</f>
        <v/>
      </c>
      <c r="G847">
        <f>SUMPRODUCT((Calc!$F$3:$F$22&gt;=LTP!$E$5)*(Calc!$F$3:$F$22&lt;=k_n)*(Calc!$G$3:$G$22&gt;A847)*(Calc!$G$3:$G$22-A847)*Calc!$I$3:$I$22)</f>
        <v/>
      </c>
      <c r="H847">
        <f>IF($B$469&gt;0,F847-$C$469*D847/$B$469,0)</f>
        <v/>
      </c>
      <c r="I847">
        <f>IF($B$469&gt;0,E847-D847^2/$B$469,0)</f>
        <v/>
      </c>
      <c r="J847">
        <f>IF($B$469&gt;0,G847-D847*$D$469/$B$469,0)</f>
        <v/>
      </c>
      <c r="K847">
        <f>$H$469*I847-H847^2</f>
        <v/>
      </c>
      <c r="L847">
        <f>IF(ABS(K847)&gt;1E-12,($H$469*J847-H847*$I$469)/K847,0)</f>
        <v/>
      </c>
      <c r="M847">
        <f>IF(ABS(K847)&gt;1E-12,(I847*$I$469-H847*J847)/K847,0)</f>
        <v/>
      </c>
      <c r="N847">
        <f>$J$469-M847*$I$469-L847*J847</f>
        <v/>
      </c>
      <c r="O847">
        <f>IF(AND(C847,ABS(K847)&gt;1E-12,L847&gt;0),N847,1E+300)</f>
        <v/>
      </c>
    </row>
    <row r="848">
      <c r="A848">
        <f>$K$469+($L$469-$K$469)*376/400</f>
        <v/>
      </c>
      <c r="B848">
        <f>SUMPRODUCT((Calc!$F$3:$F$22&gt;=LTP!$E$5)*(Calc!$F$3:$F$22&lt;=k_n)*(Calc!$G$3:$G$22&lt;=A848))</f>
        <v/>
      </c>
      <c r="C848">
        <f>AND(B848&gt;=2,$B$469-B848&gt;=2)</f>
        <v/>
      </c>
      <c r="D848">
        <f>SUMPRODUCT((Calc!$F$3:$F$22&gt;=LTP!$E$5)*(Calc!$F$3:$F$22&lt;=k_n)*(Calc!$G$3:$G$22&gt;A848)*(Calc!$G$3:$G$22-A848))</f>
        <v/>
      </c>
      <c r="E848">
        <f>SUMPRODUCT((Calc!$F$3:$F$22&gt;=LTP!$E$5)*(Calc!$F$3:$F$22&lt;=k_n)*(Calc!$G$3:$G$22&gt;A848)*(Calc!$G$3:$G$22-A848)^2)</f>
        <v/>
      </c>
      <c r="F848">
        <f>SUMPRODUCT((Calc!$F$3:$F$22&gt;=LTP!$E$5)*(Calc!$F$3:$F$22&lt;=k_n)*(Calc!$G$3:$G$22&gt;A848)*(Calc!$G$3:$G$22-A848)*Calc!$G$3:$G$22)</f>
        <v/>
      </c>
      <c r="G848">
        <f>SUMPRODUCT((Calc!$F$3:$F$22&gt;=LTP!$E$5)*(Calc!$F$3:$F$22&lt;=k_n)*(Calc!$G$3:$G$22&gt;A848)*(Calc!$G$3:$G$22-A848)*Calc!$I$3:$I$22)</f>
        <v/>
      </c>
      <c r="H848">
        <f>IF($B$469&gt;0,F848-$C$469*D848/$B$469,0)</f>
        <v/>
      </c>
      <c r="I848">
        <f>IF($B$469&gt;0,E848-D848^2/$B$469,0)</f>
        <v/>
      </c>
      <c r="J848">
        <f>IF($B$469&gt;0,G848-D848*$D$469/$B$469,0)</f>
        <v/>
      </c>
      <c r="K848">
        <f>$H$469*I848-H848^2</f>
        <v/>
      </c>
      <c r="L848">
        <f>IF(ABS(K848)&gt;1E-12,($H$469*J848-H848*$I$469)/K848,0)</f>
        <v/>
      </c>
      <c r="M848">
        <f>IF(ABS(K848)&gt;1E-12,(I848*$I$469-H848*J848)/K848,0)</f>
        <v/>
      </c>
      <c r="N848">
        <f>$J$469-M848*$I$469-L848*J848</f>
        <v/>
      </c>
      <c r="O848">
        <f>IF(AND(C848,ABS(K848)&gt;1E-12,L848&gt;0),N848,1E+300)</f>
        <v/>
      </c>
    </row>
    <row r="849">
      <c r="A849">
        <f>$K$469+($L$469-$K$469)*377/400</f>
        <v/>
      </c>
      <c r="B849">
        <f>SUMPRODUCT((Calc!$F$3:$F$22&gt;=LTP!$E$5)*(Calc!$F$3:$F$22&lt;=k_n)*(Calc!$G$3:$G$22&lt;=A849))</f>
        <v/>
      </c>
      <c r="C849">
        <f>AND(B849&gt;=2,$B$469-B849&gt;=2)</f>
        <v/>
      </c>
      <c r="D849">
        <f>SUMPRODUCT((Calc!$F$3:$F$22&gt;=LTP!$E$5)*(Calc!$F$3:$F$22&lt;=k_n)*(Calc!$G$3:$G$22&gt;A849)*(Calc!$G$3:$G$22-A849))</f>
        <v/>
      </c>
      <c r="E849">
        <f>SUMPRODUCT((Calc!$F$3:$F$22&gt;=LTP!$E$5)*(Calc!$F$3:$F$22&lt;=k_n)*(Calc!$G$3:$G$22&gt;A849)*(Calc!$G$3:$G$22-A849)^2)</f>
        <v/>
      </c>
      <c r="F849">
        <f>SUMPRODUCT((Calc!$F$3:$F$22&gt;=LTP!$E$5)*(Calc!$F$3:$F$22&lt;=k_n)*(Calc!$G$3:$G$22&gt;A849)*(Calc!$G$3:$G$22-A849)*Calc!$G$3:$G$22)</f>
        <v/>
      </c>
      <c r="G849">
        <f>SUMPRODUCT((Calc!$F$3:$F$22&gt;=LTP!$E$5)*(Calc!$F$3:$F$22&lt;=k_n)*(Calc!$G$3:$G$22&gt;A849)*(Calc!$G$3:$G$22-A849)*Calc!$I$3:$I$22)</f>
        <v/>
      </c>
      <c r="H849">
        <f>IF($B$469&gt;0,F849-$C$469*D849/$B$469,0)</f>
        <v/>
      </c>
      <c r="I849">
        <f>IF($B$469&gt;0,E849-D849^2/$B$469,0)</f>
        <v/>
      </c>
      <c r="J849">
        <f>IF($B$469&gt;0,G849-D849*$D$469/$B$469,0)</f>
        <v/>
      </c>
      <c r="K849">
        <f>$H$469*I849-H849^2</f>
        <v/>
      </c>
      <c r="L849">
        <f>IF(ABS(K849)&gt;1E-12,($H$469*J849-H849*$I$469)/K849,0)</f>
        <v/>
      </c>
      <c r="M849">
        <f>IF(ABS(K849)&gt;1E-12,(I849*$I$469-H849*J849)/K849,0)</f>
        <v/>
      </c>
      <c r="N849">
        <f>$J$469-M849*$I$469-L849*J849</f>
        <v/>
      </c>
      <c r="O849">
        <f>IF(AND(C849,ABS(K849)&gt;1E-12,L849&gt;0),N849,1E+300)</f>
        <v/>
      </c>
    </row>
    <row r="850">
      <c r="A850">
        <f>$K$469+($L$469-$K$469)*378/400</f>
        <v/>
      </c>
      <c r="B850">
        <f>SUMPRODUCT((Calc!$F$3:$F$22&gt;=LTP!$E$5)*(Calc!$F$3:$F$22&lt;=k_n)*(Calc!$G$3:$G$22&lt;=A850))</f>
        <v/>
      </c>
      <c r="C850">
        <f>AND(B850&gt;=2,$B$469-B850&gt;=2)</f>
        <v/>
      </c>
      <c r="D850">
        <f>SUMPRODUCT((Calc!$F$3:$F$22&gt;=LTP!$E$5)*(Calc!$F$3:$F$22&lt;=k_n)*(Calc!$G$3:$G$22&gt;A850)*(Calc!$G$3:$G$22-A850))</f>
        <v/>
      </c>
      <c r="E850">
        <f>SUMPRODUCT((Calc!$F$3:$F$22&gt;=LTP!$E$5)*(Calc!$F$3:$F$22&lt;=k_n)*(Calc!$G$3:$G$22&gt;A850)*(Calc!$G$3:$G$22-A850)^2)</f>
        <v/>
      </c>
      <c r="F850">
        <f>SUMPRODUCT((Calc!$F$3:$F$22&gt;=LTP!$E$5)*(Calc!$F$3:$F$22&lt;=k_n)*(Calc!$G$3:$G$22&gt;A850)*(Calc!$G$3:$G$22-A850)*Calc!$G$3:$G$22)</f>
        <v/>
      </c>
      <c r="G850">
        <f>SUMPRODUCT((Calc!$F$3:$F$22&gt;=LTP!$E$5)*(Calc!$F$3:$F$22&lt;=k_n)*(Calc!$G$3:$G$22&gt;A850)*(Calc!$G$3:$G$22-A850)*Calc!$I$3:$I$22)</f>
        <v/>
      </c>
      <c r="H850">
        <f>IF($B$469&gt;0,F850-$C$469*D850/$B$469,0)</f>
        <v/>
      </c>
      <c r="I850">
        <f>IF($B$469&gt;0,E850-D850^2/$B$469,0)</f>
        <v/>
      </c>
      <c r="J850">
        <f>IF($B$469&gt;0,G850-D850*$D$469/$B$469,0)</f>
        <v/>
      </c>
      <c r="K850">
        <f>$H$469*I850-H850^2</f>
        <v/>
      </c>
      <c r="L850">
        <f>IF(ABS(K850)&gt;1E-12,($H$469*J850-H850*$I$469)/K850,0)</f>
        <v/>
      </c>
      <c r="M850">
        <f>IF(ABS(K850)&gt;1E-12,(I850*$I$469-H850*J850)/K850,0)</f>
        <v/>
      </c>
      <c r="N850">
        <f>$J$469-M850*$I$469-L850*J850</f>
        <v/>
      </c>
      <c r="O850">
        <f>IF(AND(C850,ABS(K850)&gt;1E-12,L850&gt;0),N850,1E+300)</f>
        <v/>
      </c>
    </row>
    <row r="851">
      <c r="A851">
        <f>$K$469+($L$469-$K$469)*379/400</f>
        <v/>
      </c>
      <c r="B851">
        <f>SUMPRODUCT((Calc!$F$3:$F$22&gt;=LTP!$E$5)*(Calc!$F$3:$F$22&lt;=k_n)*(Calc!$G$3:$G$22&lt;=A851))</f>
        <v/>
      </c>
      <c r="C851">
        <f>AND(B851&gt;=2,$B$469-B851&gt;=2)</f>
        <v/>
      </c>
      <c r="D851">
        <f>SUMPRODUCT((Calc!$F$3:$F$22&gt;=LTP!$E$5)*(Calc!$F$3:$F$22&lt;=k_n)*(Calc!$G$3:$G$22&gt;A851)*(Calc!$G$3:$G$22-A851))</f>
        <v/>
      </c>
      <c r="E851">
        <f>SUMPRODUCT((Calc!$F$3:$F$22&gt;=LTP!$E$5)*(Calc!$F$3:$F$22&lt;=k_n)*(Calc!$G$3:$G$22&gt;A851)*(Calc!$G$3:$G$22-A851)^2)</f>
        <v/>
      </c>
      <c r="F851">
        <f>SUMPRODUCT((Calc!$F$3:$F$22&gt;=LTP!$E$5)*(Calc!$F$3:$F$22&lt;=k_n)*(Calc!$G$3:$G$22&gt;A851)*(Calc!$G$3:$G$22-A851)*Calc!$G$3:$G$22)</f>
        <v/>
      </c>
      <c r="G851">
        <f>SUMPRODUCT((Calc!$F$3:$F$22&gt;=LTP!$E$5)*(Calc!$F$3:$F$22&lt;=k_n)*(Calc!$G$3:$G$22&gt;A851)*(Calc!$G$3:$G$22-A851)*Calc!$I$3:$I$22)</f>
        <v/>
      </c>
      <c r="H851">
        <f>IF($B$469&gt;0,F851-$C$469*D851/$B$469,0)</f>
        <v/>
      </c>
      <c r="I851">
        <f>IF($B$469&gt;0,E851-D851^2/$B$469,0)</f>
        <v/>
      </c>
      <c r="J851">
        <f>IF($B$469&gt;0,G851-D851*$D$469/$B$469,0)</f>
        <v/>
      </c>
      <c r="K851">
        <f>$H$469*I851-H851^2</f>
        <v/>
      </c>
      <c r="L851">
        <f>IF(ABS(K851)&gt;1E-12,($H$469*J851-H851*$I$469)/K851,0)</f>
        <v/>
      </c>
      <c r="M851">
        <f>IF(ABS(K851)&gt;1E-12,(I851*$I$469-H851*J851)/K851,0)</f>
        <v/>
      </c>
      <c r="N851">
        <f>$J$469-M851*$I$469-L851*J851</f>
        <v/>
      </c>
      <c r="O851">
        <f>IF(AND(C851,ABS(K851)&gt;1E-12,L851&gt;0),N851,1E+300)</f>
        <v/>
      </c>
    </row>
    <row r="852">
      <c r="A852">
        <f>$K$469+($L$469-$K$469)*380/400</f>
        <v/>
      </c>
      <c r="B852">
        <f>SUMPRODUCT((Calc!$F$3:$F$22&gt;=LTP!$E$5)*(Calc!$F$3:$F$22&lt;=k_n)*(Calc!$G$3:$G$22&lt;=A852))</f>
        <v/>
      </c>
      <c r="C852">
        <f>AND(B852&gt;=2,$B$469-B852&gt;=2)</f>
        <v/>
      </c>
      <c r="D852">
        <f>SUMPRODUCT((Calc!$F$3:$F$22&gt;=LTP!$E$5)*(Calc!$F$3:$F$22&lt;=k_n)*(Calc!$G$3:$G$22&gt;A852)*(Calc!$G$3:$G$22-A852))</f>
        <v/>
      </c>
      <c r="E852">
        <f>SUMPRODUCT((Calc!$F$3:$F$22&gt;=LTP!$E$5)*(Calc!$F$3:$F$22&lt;=k_n)*(Calc!$G$3:$G$22&gt;A852)*(Calc!$G$3:$G$22-A852)^2)</f>
        <v/>
      </c>
      <c r="F852">
        <f>SUMPRODUCT((Calc!$F$3:$F$22&gt;=LTP!$E$5)*(Calc!$F$3:$F$22&lt;=k_n)*(Calc!$G$3:$G$22&gt;A852)*(Calc!$G$3:$G$22-A852)*Calc!$G$3:$G$22)</f>
        <v/>
      </c>
      <c r="G852">
        <f>SUMPRODUCT((Calc!$F$3:$F$22&gt;=LTP!$E$5)*(Calc!$F$3:$F$22&lt;=k_n)*(Calc!$G$3:$G$22&gt;A852)*(Calc!$G$3:$G$22-A852)*Calc!$I$3:$I$22)</f>
        <v/>
      </c>
      <c r="H852">
        <f>IF($B$469&gt;0,F852-$C$469*D852/$B$469,0)</f>
        <v/>
      </c>
      <c r="I852">
        <f>IF($B$469&gt;0,E852-D852^2/$B$469,0)</f>
        <v/>
      </c>
      <c r="J852">
        <f>IF($B$469&gt;0,G852-D852*$D$469/$B$469,0)</f>
        <v/>
      </c>
      <c r="K852">
        <f>$H$469*I852-H852^2</f>
        <v/>
      </c>
      <c r="L852">
        <f>IF(ABS(K852)&gt;1E-12,($H$469*J852-H852*$I$469)/K852,0)</f>
        <v/>
      </c>
      <c r="M852">
        <f>IF(ABS(K852)&gt;1E-12,(I852*$I$469-H852*J852)/K852,0)</f>
        <v/>
      </c>
      <c r="N852">
        <f>$J$469-M852*$I$469-L852*J852</f>
        <v/>
      </c>
      <c r="O852">
        <f>IF(AND(C852,ABS(K852)&gt;1E-12,L852&gt;0),N852,1E+300)</f>
        <v/>
      </c>
    </row>
    <row r="853">
      <c r="A853">
        <f>$K$469+($L$469-$K$469)*381/400</f>
        <v/>
      </c>
      <c r="B853">
        <f>SUMPRODUCT((Calc!$F$3:$F$22&gt;=LTP!$E$5)*(Calc!$F$3:$F$22&lt;=k_n)*(Calc!$G$3:$G$22&lt;=A853))</f>
        <v/>
      </c>
      <c r="C853">
        <f>AND(B853&gt;=2,$B$469-B853&gt;=2)</f>
        <v/>
      </c>
      <c r="D853">
        <f>SUMPRODUCT((Calc!$F$3:$F$22&gt;=LTP!$E$5)*(Calc!$F$3:$F$22&lt;=k_n)*(Calc!$G$3:$G$22&gt;A853)*(Calc!$G$3:$G$22-A853))</f>
        <v/>
      </c>
      <c r="E853">
        <f>SUMPRODUCT((Calc!$F$3:$F$22&gt;=LTP!$E$5)*(Calc!$F$3:$F$22&lt;=k_n)*(Calc!$G$3:$G$22&gt;A853)*(Calc!$G$3:$G$22-A853)^2)</f>
        <v/>
      </c>
      <c r="F853">
        <f>SUMPRODUCT((Calc!$F$3:$F$22&gt;=LTP!$E$5)*(Calc!$F$3:$F$22&lt;=k_n)*(Calc!$G$3:$G$22&gt;A853)*(Calc!$G$3:$G$22-A853)*Calc!$G$3:$G$22)</f>
        <v/>
      </c>
      <c r="G853">
        <f>SUMPRODUCT((Calc!$F$3:$F$22&gt;=LTP!$E$5)*(Calc!$F$3:$F$22&lt;=k_n)*(Calc!$G$3:$G$22&gt;A853)*(Calc!$G$3:$G$22-A853)*Calc!$I$3:$I$22)</f>
        <v/>
      </c>
      <c r="H853">
        <f>IF($B$469&gt;0,F853-$C$469*D853/$B$469,0)</f>
        <v/>
      </c>
      <c r="I853">
        <f>IF($B$469&gt;0,E853-D853^2/$B$469,0)</f>
        <v/>
      </c>
      <c r="J853">
        <f>IF($B$469&gt;0,G853-D853*$D$469/$B$469,0)</f>
        <v/>
      </c>
      <c r="K853">
        <f>$H$469*I853-H853^2</f>
        <v/>
      </c>
      <c r="L853">
        <f>IF(ABS(K853)&gt;1E-12,($H$469*J853-H853*$I$469)/K853,0)</f>
        <v/>
      </c>
      <c r="M853">
        <f>IF(ABS(K853)&gt;1E-12,(I853*$I$469-H853*J853)/K853,0)</f>
        <v/>
      </c>
      <c r="N853">
        <f>$J$469-M853*$I$469-L853*J853</f>
        <v/>
      </c>
      <c r="O853">
        <f>IF(AND(C853,ABS(K853)&gt;1E-12,L853&gt;0),N853,1E+300)</f>
        <v/>
      </c>
    </row>
    <row r="854">
      <c r="A854">
        <f>$K$469+($L$469-$K$469)*382/400</f>
        <v/>
      </c>
      <c r="B854">
        <f>SUMPRODUCT((Calc!$F$3:$F$22&gt;=LTP!$E$5)*(Calc!$F$3:$F$22&lt;=k_n)*(Calc!$G$3:$G$22&lt;=A854))</f>
        <v/>
      </c>
      <c r="C854">
        <f>AND(B854&gt;=2,$B$469-B854&gt;=2)</f>
        <v/>
      </c>
      <c r="D854">
        <f>SUMPRODUCT((Calc!$F$3:$F$22&gt;=LTP!$E$5)*(Calc!$F$3:$F$22&lt;=k_n)*(Calc!$G$3:$G$22&gt;A854)*(Calc!$G$3:$G$22-A854))</f>
        <v/>
      </c>
      <c r="E854">
        <f>SUMPRODUCT((Calc!$F$3:$F$22&gt;=LTP!$E$5)*(Calc!$F$3:$F$22&lt;=k_n)*(Calc!$G$3:$G$22&gt;A854)*(Calc!$G$3:$G$22-A854)^2)</f>
        <v/>
      </c>
      <c r="F854">
        <f>SUMPRODUCT((Calc!$F$3:$F$22&gt;=LTP!$E$5)*(Calc!$F$3:$F$22&lt;=k_n)*(Calc!$G$3:$G$22&gt;A854)*(Calc!$G$3:$G$22-A854)*Calc!$G$3:$G$22)</f>
        <v/>
      </c>
      <c r="G854">
        <f>SUMPRODUCT((Calc!$F$3:$F$22&gt;=LTP!$E$5)*(Calc!$F$3:$F$22&lt;=k_n)*(Calc!$G$3:$G$22&gt;A854)*(Calc!$G$3:$G$22-A854)*Calc!$I$3:$I$22)</f>
        <v/>
      </c>
      <c r="H854">
        <f>IF($B$469&gt;0,F854-$C$469*D854/$B$469,0)</f>
        <v/>
      </c>
      <c r="I854">
        <f>IF($B$469&gt;0,E854-D854^2/$B$469,0)</f>
        <v/>
      </c>
      <c r="J854">
        <f>IF($B$469&gt;0,G854-D854*$D$469/$B$469,0)</f>
        <v/>
      </c>
      <c r="K854">
        <f>$H$469*I854-H854^2</f>
        <v/>
      </c>
      <c r="L854">
        <f>IF(ABS(K854)&gt;1E-12,($H$469*J854-H854*$I$469)/K854,0)</f>
        <v/>
      </c>
      <c r="M854">
        <f>IF(ABS(K854)&gt;1E-12,(I854*$I$469-H854*J854)/K854,0)</f>
        <v/>
      </c>
      <c r="N854">
        <f>$J$469-M854*$I$469-L854*J854</f>
        <v/>
      </c>
      <c r="O854">
        <f>IF(AND(C854,ABS(K854)&gt;1E-12,L854&gt;0),N854,1E+300)</f>
        <v/>
      </c>
    </row>
    <row r="855">
      <c r="A855">
        <f>$K$469+($L$469-$K$469)*383/400</f>
        <v/>
      </c>
      <c r="B855">
        <f>SUMPRODUCT((Calc!$F$3:$F$22&gt;=LTP!$E$5)*(Calc!$F$3:$F$22&lt;=k_n)*(Calc!$G$3:$G$22&lt;=A855))</f>
        <v/>
      </c>
      <c r="C855">
        <f>AND(B855&gt;=2,$B$469-B855&gt;=2)</f>
        <v/>
      </c>
      <c r="D855">
        <f>SUMPRODUCT((Calc!$F$3:$F$22&gt;=LTP!$E$5)*(Calc!$F$3:$F$22&lt;=k_n)*(Calc!$G$3:$G$22&gt;A855)*(Calc!$G$3:$G$22-A855))</f>
        <v/>
      </c>
      <c r="E855">
        <f>SUMPRODUCT((Calc!$F$3:$F$22&gt;=LTP!$E$5)*(Calc!$F$3:$F$22&lt;=k_n)*(Calc!$G$3:$G$22&gt;A855)*(Calc!$G$3:$G$22-A855)^2)</f>
        <v/>
      </c>
      <c r="F855">
        <f>SUMPRODUCT((Calc!$F$3:$F$22&gt;=LTP!$E$5)*(Calc!$F$3:$F$22&lt;=k_n)*(Calc!$G$3:$G$22&gt;A855)*(Calc!$G$3:$G$22-A855)*Calc!$G$3:$G$22)</f>
        <v/>
      </c>
      <c r="G855">
        <f>SUMPRODUCT((Calc!$F$3:$F$22&gt;=LTP!$E$5)*(Calc!$F$3:$F$22&lt;=k_n)*(Calc!$G$3:$G$22&gt;A855)*(Calc!$G$3:$G$22-A855)*Calc!$I$3:$I$22)</f>
        <v/>
      </c>
      <c r="H855">
        <f>IF($B$469&gt;0,F855-$C$469*D855/$B$469,0)</f>
        <v/>
      </c>
      <c r="I855">
        <f>IF($B$469&gt;0,E855-D855^2/$B$469,0)</f>
        <v/>
      </c>
      <c r="J855">
        <f>IF($B$469&gt;0,G855-D855*$D$469/$B$469,0)</f>
        <v/>
      </c>
      <c r="K855">
        <f>$H$469*I855-H855^2</f>
        <v/>
      </c>
      <c r="L855">
        <f>IF(ABS(K855)&gt;1E-12,($H$469*J855-H855*$I$469)/K855,0)</f>
        <v/>
      </c>
      <c r="M855">
        <f>IF(ABS(K855)&gt;1E-12,(I855*$I$469-H855*J855)/K855,0)</f>
        <v/>
      </c>
      <c r="N855">
        <f>$J$469-M855*$I$469-L855*J855</f>
        <v/>
      </c>
      <c r="O855">
        <f>IF(AND(C855,ABS(K855)&gt;1E-12,L855&gt;0),N855,1E+300)</f>
        <v/>
      </c>
    </row>
    <row r="856">
      <c r="A856">
        <f>$K$469+($L$469-$K$469)*384/400</f>
        <v/>
      </c>
      <c r="B856">
        <f>SUMPRODUCT((Calc!$F$3:$F$22&gt;=LTP!$E$5)*(Calc!$F$3:$F$22&lt;=k_n)*(Calc!$G$3:$G$22&lt;=A856))</f>
        <v/>
      </c>
      <c r="C856">
        <f>AND(B856&gt;=2,$B$469-B856&gt;=2)</f>
        <v/>
      </c>
      <c r="D856">
        <f>SUMPRODUCT((Calc!$F$3:$F$22&gt;=LTP!$E$5)*(Calc!$F$3:$F$22&lt;=k_n)*(Calc!$G$3:$G$22&gt;A856)*(Calc!$G$3:$G$22-A856))</f>
        <v/>
      </c>
      <c r="E856">
        <f>SUMPRODUCT((Calc!$F$3:$F$22&gt;=LTP!$E$5)*(Calc!$F$3:$F$22&lt;=k_n)*(Calc!$G$3:$G$22&gt;A856)*(Calc!$G$3:$G$22-A856)^2)</f>
        <v/>
      </c>
      <c r="F856">
        <f>SUMPRODUCT((Calc!$F$3:$F$22&gt;=LTP!$E$5)*(Calc!$F$3:$F$22&lt;=k_n)*(Calc!$G$3:$G$22&gt;A856)*(Calc!$G$3:$G$22-A856)*Calc!$G$3:$G$22)</f>
        <v/>
      </c>
      <c r="G856">
        <f>SUMPRODUCT((Calc!$F$3:$F$22&gt;=LTP!$E$5)*(Calc!$F$3:$F$22&lt;=k_n)*(Calc!$G$3:$G$22&gt;A856)*(Calc!$G$3:$G$22-A856)*Calc!$I$3:$I$22)</f>
        <v/>
      </c>
      <c r="H856">
        <f>IF($B$469&gt;0,F856-$C$469*D856/$B$469,0)</f>
        <v/>
      </c>
      <c r="I856">
        <f>IF($B$469&gt;0,E856-D856^2/$B$469,0)</f>
        <v/>
      </c>
      <c r="J856">
        <f>IF($B$469&gt;0,G856-D856*$D$469/$B$469,0)</f>
        <v/>
      </c>
      <c r="K856">
        <f>$H$469*I856-H856^2</f>
        <v/>
      </c>
      <c r="L856">
        <f>IF(ABS(K856)&gt;1E-12,($H$469*J856-H856*$I$469)/K856,0)</f>
        <v/>
      </c>
      <c r="M856">
        <f>IF(ABS(K856)&gt;1E-12,(I856*$I$469-H856*J856)/K856,0)</f>
        <v/>
      </c>
      <c r="N856">
        <f>$J$469-M856*$I$469-L856*J856</f>
        <v/>
      </c>
      <c r="O856">
        <f>IF(AND(C856,ABS(K856)&gt;1E-12,L856&gt;0),N856,1E+300)</f>
        <v/>
      </c>
    </row>
    <row r="857">
      <c r="A857">
        <f>$K$469+($L$469-$K$469)*385/400</f>
        <v/>
      </c>
      <c r="B857">
        <f>SUMPRODUCT((Calc!$F$3:$F$22&gt;=LTP!$E$5)*(Calc!$F$3:$F$22&lt;=k_n)*(Calc!$G$3:$G$22&lt;=A857))</f>
        <v/>
      </c>
      <c r="C857">
        <f>AND(B857&gt;=2,$B$469-B857&gt;=2)</f>
        <v/>
      </c>
      <c r="D857">
        <f>SUMPRODUCT((Calc!$F$3:$F$22&gt;=LTP!$E$5)*(Calc!$F$3:$F$22&lt;=k_n)*(Calc!$G$3:$G$22&gt;A857)*(Calc!$G$3:$G$22-A857))</f>
        <v/>
      </c>
      <c r="E857">
        <f>SUMPRODUCT((Calc!$F$3:$F$22&gt;=LTP!$E$5)*(Calc!$F$3:$F$22&lt;=k_n)*(Calc!$G$3:$G$22&gt;A857)*(Calc!$G$3:$G$22-A857)^2)</f>
        <v/>
      </c>
      <c r="F857">
        <f>SUMPRODUCT((Calc!$F$3:$F$22&gt;=LTP!$E$5)*(Calc!$F$3:$F$22&lt;=k_n)*(Calc!$G$3:$G$22&gt;A857)*(Calc!$G$3:$G$22-A857)*Calc!$G$3:$G$22)</f>
        <v/>
      </c>
      <c r="G857">
        <f>SUMPRODUCT((Calc!$F$3:$F$22&gt;=LTP!$E$5)*(Calc!$F$3:$F$22&lt;=k_n)*(Calc!$G$3:$G$22&gt;A857)*(Calc!$G$3:$G$22-A857)*Calc!$I$3:$I$22)</f>
        <v/>
      </c>
      <c r="H857">
        <f>IF($B$469&gt;0,F857-$C$469*D857/$B$469,0)</f>
        <v/>
      </c>
      <c r="I857">
        <f>IF($B$469&gt;0,E857-D857^2/$B$469,0)</f>
        <v/>
      </c>
      <c r="J857">
        <f>IF($B$469&gt;0,G857-D857*$D$469/$B$469,0)</f>
        <v/>
      </c>
      <c r="K857">
        <f>$H$469*I857-H857^2</f>
        <v/>
      </c>
      <c r="L857">
        <f>IF(ABS(K857)&gt;1E-12,($H$469*J857-H857*$I$469)/K857,0)</f>
        <v/>
      </c>
      <c r="M857">
        <f>IF(ABS(K857)&gt;1E-12,(I857*$I$469-H857*J857)/K857,0)</f>
        <v/>
      </c>
      <c r="N857">
        <f>$J$469-M857*$I$469-L857*J857</f>
        <v/>
      </c>
      <c r="O857">
        <f>IF(AND(C857,ABS(K857)&gt;1E-12,L857&gt;0),N857,1E+300)</f>
        <v/>
      </c>
    </row>
    <row r="858">
      <c r="A858">
        <f>$K$469+($L$469-$K$469)*386/400</f>
        <v/>
      </c>
      <c r="B858">
        <f>SUMPRODUCT((Calc!$F$3:$F$22&gt;=LTP!$E$5)*(Calc!$F$3:$F$22&lt;=k_n)*(Calc!$G$3:$G$22&lt;=A858))</f>
        <v/>
      </c>
      <c r="C858">
        <f>AND(B858&gt;=2,$B$469-B858&gt;=2)</f>
        <v/>
      </c>
      <c r="D858">
        <f>SUMPRODUCT((Calc!$F$3:$F$22&gt;=LTP!$E$5)*(Calc!$F$3:$F$22&lt;=k_n)*(Calc!$G$3:$G$22&gt;A858)*(Calc!$G$3:$G$22-A858))</f>
        <v/>
      </c>
      <c r="E858">
        <f>SUMPRODUCT((Calc!$F$3:$F$22&gt;=LTP!$E$5)*(Calc!$F$3:$F$22&lt;=k_n)*(Calc!$G$3:$G$22&gt;A858)*(Calc!$G$3:$G$22-A858)^2)</f>
        <v/>
      </c>
      <c r="F858">
        <f>SUMPRODUCT((Calc!$F$3:$F$22&gt;=LTP!$E$5)*(Calc!$F$3:$F$22&lt;=k_n)*(Calc!$G$3:$G$22&gt;A858)*(Calc!$G$3:$G$22-A858)*Calc!$G$3:$G$22)</f>
        <v/>
      </c>
      <c r="G858">
        <f>SUMPRODUCT((Calc!$F$3:$F$22&gt;=LTP!$E$5)*(Calc!$F$3:$F$22&lt;=k_n)*(Calc!$G$3:$G$22&gt;A858)*(Calc!$G$3:$G$22-A858)*Calc!$I$3:$I$22)</f>
        <v/>
      </c>
      <c r="H858">
        <f>IF($B$469&gt;0,F858-$C$469*D858/$B$469,0)</f>
        <v/>
      </c>
      <c r="I858">
        <f>IF($B$469&gt;0,E858-D858^2/$B$469,0)</f>
        <v/>
      </c>
      <c r="J858">
        <f>IF($B$469&gt;0,G858-D858*$D$469/$B$469,0)</f>
        <v/>
      </c>
      <c r="K858">
        <f>$H$469*I858-H858^2</f>
        <v/>
      </c>
      <c r="L858">
        <f>IF(ABS(K858)&gt;1E-12,($H$469*J858-H858*$I$469)/K858,0)</f>
        <v/>
      </c>
      <c r="M858">
        <f>IF(ABS(K858)&gt;1E-12,(I858*$I$469-H858*J858)/K858,0)</f>
        <v/>
      </c>
      <c r="N858">
        <f>$J$469-M858*$I$469-L858*J858</f>
        <v/>
      </c>
      <c r="O858">
        <f>IF(AND(C858,ABS(K858)&gt;1E-12,L858&gt;0),N858,1E+300)</f>
        <v/>
      </c>
    </row>
    <row r="859">
      <c r="A859">
        <f>$K$469+($L$469-$K$469)*387/400</f>
        <v/>
      </c>
      <c r="B859">
        <f>SUMPRODUCT((Calc!$F$3:$F$22&gt;=LTP!$E$5)*(Calc!$F$3:$F$22&lt;=k_n)*(Calc!$G$3:$G$22&lt;=A859))</f>
        <v/>
      </c>
      <c r="C859">
        <f>AND(B859&gt;=2,$B$469-B859&gt;=2)</f>
        <v/>
      </c>
      <c r="D859">
        <f>SUMPRODUCT((Calc!$F$3:$F$22&gt;=LTP!$E$5)*(Calc!$F$3:$F$22&lt;=k_n)*(Calc!$G$3:$G$22&gt;A859)*(Calc!$G$3:$G$22-A859))</f>
        <v/>
      </c>
      <c r="E859">
        <f>SUMPRODUCT((Calc!$F$3:$F$22&gt;=LTP!$E$5)*(Calc!$F$3:$F$22&lt;=k_n)*(Calc!$G$3:$G$22&gt;A859)*(Calc!$G$3:$G$22-A859)^2)</f>
        <v/>
      </c>
      <c r="F859">
        <f>SUMPRODUCT((Calc!$F$3:$F$22&gt;=LTP!$E$5)*(Calc!$F$3:$F$22&lt;=k_n)*(Calc!$G$3:$G$22&gt;A859)*(Calc!$G$3:$G$22-A859)*Calc!$G$3:$G$22)</f>
        <v/>
      </c>
      <c r="G859">
        <f>SUMPRODUCT((Calc!$F$3:$F$22&gt;=LTP!$E$5)*(Calc!$F$3:$F$22&lt;=k_n)*(Calc!$G$3:$G$22&gt;A859)*(Calc!$G$3:$G$22-A859)*Calc!$I$3:$I$22)</f>
        <v/>
      </c>
      <c r="H859">
        <f>IF($B$469&gt;0,F859-$C$469*D859/$B$469,0)</f>
        <v/>
      </c>
      <c r="I859">
        <f>IF($B$469&gt;0,E859-D859^2/$B$469,0)</f>
        <v/>
      </c>
      <c r="J859">
        <f>IF($B$469&gt;0,G859-D859*$D$469/$B$469,0)</f>
        <v/>
      </c>
      <c r="K859">
        <f>$H$469*I859-H859^2</f>
        <v/>
      </c>
      <c r="L859">
        <f>IF(ABS(K859)&gt;1E-12,($H$469*J859-H859*$I$469)/K859,0)</f>
        <v/>
      </c>
      <c r="M859">
        <f>IF(ABS(K859)&gt;1E-12,(I859*$I$469-H859*J859)/K859,0)</f>
        <v/>
      </c>
      <c r="N859">
        <f>$J$469-M859*$I$469-L859*J859</f>
        <v/>
      </c>
      <c r="O859">
        <f>IF(AND(C859,ABS(K859)&gt;1E-12,L859&gt;0),N859,1E+300)</f>
        <v/>
      </c>
    </row>
    <row r="860">
      <c r="A860">
        <f>$K$469+($L$469-$K$469)*388/400</f>
        <v/>
      </c>
      <c r="B860">
        <f>SUMPRODUCT((Calc!$F$3:$F$22&gt;=LTP!$E$5)*(Calc!$F$3:$F$22&lt;=k_n)*(Calc!$G$3:$G$22&lt;=A860))</f>
        <v/>
      </c>
      <c r="C860">
        <f>AND(B860&gt;=2,$B$469-B860&gt;=2)</f>
        <v/>
      </c>
      <c r="D860">
        <f>SUMPRODUCT((Calc!$F$3:$F$22&gt;=LTP!$E$5)*(Calc!$F$3:$F$22&lt;=k_n)*(Calc!$G$3:$G$22&gt;A860)*(Calc!$G$3:$G$22-A860))</f>
        <v/>
      </c>
      <c r="E860">
        <f>SUMPRODUCT((Calc!$F$3:$F$22&gt;=LTP!$E$5)*(Calc!$F$3:$F$22&lt;=k_n)*(Calc!$G$3:$G$22&gt;A860)*(Calc!$G$3:$G$22-A860)^2)</f>
        <v/>
      </c>
      <c r="F860">
        <f>SUMPRODUCT((Calc!$F$3:$F$22&gt;=LTP!$E$5)*(Calc!$F$3:$F$22&lt;=k_n)*(Calc!$G$3:$G$22&gt;A860)*(Calc!$G$3:$G$22-A860)*Calc!$G$3:$G$22)</f>
        <v/>
      </c>
      <c r="G860">
        <f>SUMPRODUCT((Calc!$F$3:$F$22&gt;=LTP!$E$5)*(Calc!$F$3:$F$22&lt;=k_n)*(Calc!$G$3:$G$22&gt;A860)*(Calc!$G$3:$G$22-A860)*Calc!$I$3:$I$22)</f>
        <v/>
      </c>
      <c r="H860">
        <f>IF($B$469&gt;0,F860-$C$469*D860/$B$469,0)</f>
        <v/>
      </c>
      <c r="I860">
        <f>IF($B$469&gt;0,E860-D860^2/$B$469,0)</f>
        <v/>
      </c>
      <c r="J860">
        <f>IF($B$469&gt;0,G860-D860*$D$469/$B$469,0)</f>
        <v/>
      </c>
      <c r="K860">
        <f>$H$469*I860-H860^2</f>
        <v/>
      </c>
      <c r="L860">
        <f>IF(ABS(K860)&gt;1E-12,($H$469*J860-H860*$I$469)/K860,0)</f>
        <v/>
      </c>
      <c r="M860">
        <f>IF(ABS(K860)&gt;1E-12,(I860*$I$469-H860*J860)/K860,0)</f>
        <v/>
      </c>
      <c r="N860">
        <f>$J$469-M860*$I$469-L860*J860</f>
        <v/>
      </c>
      <c r="O860">
        <f>IF(AND(C860,ABS(K860)&gt;1E-12,L860&gt;0),N860,1E+300)</f>
        <v/>
      </c>
    </row>
    <row r="861">
      <c r="A861">
        <f>$K$469+($L$469-$K$469)*389/400</f>
        <v/>
      </c>
      <c r="B861">
        <f>SUMPRODUCT((Calc!$F$3:$F$22&gt;=LTP!$E$5)*(Calc!$F$3:$F$22&lt;=k_n)*(Calc!$G$3:$G$22&lt;=A861))</f>
        <v/>
      </c>
      <c r="C861">
        <f>AND(B861&gt;=2,$B$469-B861&gt;=2)</f>
        <v/>
      </c>
      <c r="D861">
        <f>SUMPRODUCT((Calc!$F$3:$F$22&gt;=LTP!$E$5)*(Calc!$F$3:$F$22&lt;=k_n)*(Calc!$G$3:$G$22&gt;A861)*(Calc!$G$3:$G$22-A861))</f>
        <v/>
      </c>
      <c r="E861">
        <f>SUMPRODUCT((Calc!$F$3:$F$22&gt;=LTP!$E$5)*(Calc!$F$3:$F$22&lt;=k_n)*(Calc!$G$3:$G$22&gt;A861)*(Calc!$G$3:$G$22-A861)^2)</f>
        <v/>
      </c>
      <c r="F861">
        <f>SUMPRODUCT((Calc!$F$3:$F$22&gt;=LTP!$E$5)*(Calc!$F$3:$F$22&lt;=k_n)*(Calc!$G$3:$G$22&gt;A861)*(Calc!$G$3:$G$22-A861)*Calc!$G$3:$G$22)</f>
        <v/>
      </c>
      <c r="G861">
        <f>SUMPRODUCT((Calc!$F$3:$F$22&gt;=LTP!$E$5)*(Calc!$F$3:$F$22&lt;=k_n)*(Calc!$G$3:$G$22&gt;A861)*(Calc!$G$3:$G$22-A861)*Calc!$I$3:$I$22)</f>
        <v/>
      </c>
      <c r="H861">
        <f>IF($B$469&gt;0,F861-$C$469*D861/$B$469,0)</f>
        <v/>
      </c>
      <c r="I861">
        <f>IF($B$469&gt;0,E861-D861^2/$B$469,0)</f>
        <v/>
      </c>
      <c r="J861">
        <f>IF($B$469&gt;0,G861-D861*$D$469/$B$469,0)</f>
        <v/>
      </c>
      <c r="K861">
        <f>$H$469*I861-H861^2</f>
        <v/>
      </c>
      <c r="L861">
        <f>IF(ABS(K861)&gt;1E-12,($H$469*J861-H861*$I$469)/K861,0)</f>
        <v/>
      </c>
      <c r="M861">
        <f>IF(ABS(K861)&gt;1E-12,(I861*$I$469-H861*J861)/K861,0)</f>
        <v/>
      </c>
      <c r="N861">
        <f>$J$469-M861*$I$469-L861*J861</f>
        <v/>
      </c>
      <c r="O861">
        <f>IF(AND(C861,ABS(K861)&gt;1E-12,L861&gt;0),N861,1E+300)</f>
        <v/>
      </c>
    </row>
    <row r="862">
      <c r="A862">
        <f>$K$469+($L$469-$K$469)*390/400</f>
        <v/>
      </c>
      <c r="B862">
        <f>SUMPRODUCT((Calc!$F$3:$F$22&gt;=LTP!$E$5)*(Calc!$F$3:$F$22&lt;=k_n)*(Calc!$G$3:$G$22&lt;=A862))</f>
        <v/>
      </c>
      <c r="C862">
        <f>AND(B862&gt;=2,$B$469-B862&gt;=2)</f>
        <v/>
      </c>
      <c r="D862">
        <f>SUMPRODUCT((Calc!$F$3:$F$22&gt;=LTP!$E$5)*(Calc!$F$3:$F$22&lt;=k_n)*(Calc!$G$3:$G$22&gt;A862)*(Calc!$G$3:$G$22-A862))</f>
        <v/>
      </c>
      <c r="E862">
        <f>SUMPRODUCT((Calc!$F$3:$F$22&gt;=LTP!$E$5)*(Calc!$F$3:$F$22&lt;=k_n)*(Calc!$G$3:$G$22&gt;A862)*(Calc!$G$3:$G$22-A862)^2)</f>
        <v/>
      </c>
      <c r="F862">
        <f>SUMPRODUCT((Calc!$F$3:$F$22&gt;=LTP!$E$5)*(Calc!$F$3:$F$22&lt;=k_n)*(Calc!$G$3:$G$22&gt;A862)*(Calc!$G$3:$G$22-A862)*Calc!$G$3:$G$22)</f>
        <v/>
      </c>
      <c r="G862">
        <f>SUMPRODUCT((Calc!$F$3:$F$22&gt;=LTP!$E$5)*(Calc!$F$3:$F$22&lt;=k_n)*(Calc!$G$3:$G$22&gt;A862)*(Calc!$G$3:$G$22-A862)*Calc!$I$3:$I$22)</f>
        <v/>
      </c>
      <c r="H862">
        <f>IF($B$469&gt;0,F862-$C$469*D862/$B$469,0)</f>
        <v/>
      </c>
      <c r="I862">
        <f>IF($B$469&gt;0,E862-D862^2/$B$469,0)</f>
        <v/>
      </c>
      <c r="J862">
        <f>IF($B$469&gt;0,G862-D862*$D$469/$B$469,0)</f>
        <v/>
      </c>
      <c r="K862">
        <f>$H$469*I862-H862^2</f>
        <v/>
      </c>
      <c r="L862">
        <f>IF(ABS(K862)&gt;1E-12,($H$469*J862-H862*$I$469)/K862,0)</f>
        <v/>
      </c>
      <c r="M862">
        <f>IF(ABS(K862)&gt;1E-12,(I862*$I$469-H862*J862)/K862,0)</f>
        <v/>
      </c>
      <c r="N862">
        <f>$J$469-M862*$I$469-L862*J862</f>
        <v/>
      </c>
      <c r="O862">
        <f>IF(AND(C862,ABS(K862)&gt;1E-12,L862&gt;0),N862,1E+300)</f>
        <v/>
      </c>
    </row>
    <row r="863">
      <c r="A863">
        <f>$K$469+($L$469-$K$469)*391/400</f>
        <v/>
      </c>
      <c r="B863">
        <f>SUMPRODUCT((Calc!$F$3:$F$22&gt;=LTP!$E$5)*(Calc!$F$3:$F$22&lt;=k_n)*(Calc!$G$3:$G$22&lt;=A863))</f>
        <v/>
      </c>
      <c r="C863">
        <f>AND(B863&gt;=2,$B$469-B863&gt;=2)</f>
        <v/>
      </c>
      <c r="D863">
        <f>SUMPRODUCT((Calc!$F$3:$F$22&gt;=LTP!$E$5)*(Calc!$F$3:$F$22&lt;=k_n)*(Calc!$G$3:$G$22&gt;A863)*(Calc!$G$3:$G$22-A863))</f>
        <v/>
      </c>
      <c r="E863">
        <f>SUMPRODUCT((Calc!$F$3:$F$22&gt;=LTP!$E$5)*(Calc!$F$3:$F$22&lt;=k_n)*(Calc!$G$3:$G$22&gt;A863)*(Calc!$G$3:$G$22-A863)^2)</f>
        <v/>
      </c>
      <c r="F863">
        <f>SUMPRODUCT((Calc!$F$3:$F$22&gt;=LTP!$E$5)*(Calc!$F$3:$F$22&lt;=k_n)*(Calc!$G$3:$G$22&gt;A863)*(Calc!$G$3:$G$22-A863)*Calc!$G$3:$G$22)</f>
        <v/>
      </c>
      <c r="G863">
        <f>SUMPRODUCT((Calc!$F$3:$F$22&gt;=LTP!$E$5)*(Calc!$F$3:$F$22&lt;=k_n)*(Calc!$G$3:$G$22&gt;A863)*(Calc!$G$3:$G$22-A863)*Calc!$I$3:$I$22)</f>
        <v/>
      </c>
      <c r="H863">
        <f>IF($B$469&gt;0,F863-$C$469*D863/$B$469,0)</f>
        <v/>
      </c>
      <c r="I863">
        <f>IF($B$469&gt;0,E863-D863^2/$B$469,0)</f>
        <v/>
      </c>
      <c r="J863">
        <f>IF($B$469&gt;0,G863-D863*$D$469/$B$469,0)</f>
        <v/>
      </c>
      <c r="K863">
        <f>$H$469*I863-H863^2</f>
        <v/>
      </c>
      <c r="L863">
        <f>IF(ABS(K863)&gt;1E-12,($H$469*J863-H863*$I$469)/K863,0)</f>
        <v/>
      </c>
      <c r="M863">
        <f>IF(ABS(K863)&gt;1E-12,(I863*$I$469-H863*J863)/K863,0)</f>
        <v/>
      </c>
      <c r="N863">
        <f>$J$469-M863*$I$469-L863*J863</f>
        <v/>
      </c>
      <c r="O863">
        <f>IF(AND(C863,ABS(K863)&gt;1E-12,L863&gt;0),N863,1E+300)</f>
        <v/>
      </c>
    </row>
    <row r="864">
      <c r="A864">
        <f>$K$469+($L$469-$K$469)*392/400</f>
        <v/>
      </c>
      <c r="B864">
        <f>SUMPRODUCT((Calc!$F$3:$F$22&gt;=LTP!$E$5)*(Calc!$F$3:$F$22&lt;=k_n)*(Calc!$G$3:$G$22&lt;=A864))</f>
        <v/>
      </c>
      <c r="C864">
        <f>AND(B864&gt;=2,$B$469-B864&gt;=2)</f>
        <v/>
      </c>
      <c r="D864">
        <f>SUMPRODUCT((Calc!$F$3:$F$22&gt;=LTP!$E$5)*(Calc!$F$3:$F$22&lt;=k_n)*(Calc!$G$3:$G$22&gt;A864)*(Calc!$G$3:$G$22-A864))</f>
        <v/>
      </c>
      <c r="E864">
        <f>SUMPRODUCT((Calc!$F$3:$F$22&gt;=LTP!$E$5)*(Calc!$F$3:$F$22&lt;=k_n)*(Calc!$G$3:$G$22&gt;A864)*(Calc!$G$3:$G$22-A864)^2)</f>
        <v/>
      </c>
      <c r="F864">
        <f>SUMPRODUCT((Calc!$F$3:$F$22&gt;=LTP!$E$5)*(Calc!$F$3:$F$22&lt;=k_n)*(Calc!$G$3:$G$22&gt;A864)*(Calc!$G$3:$G$22-A864)*Calc!$G$3:$G$22)</f>
        <v/>
      </c>
      <c r="G864">
        <f>SUMPRODUCT((Calc!$F$3:$F$22&gt;=LTP!$E$5)*(Calc!$F$3:$F$22&lt;=k_n)*(Calc!$G$3:$G$22&gt;A864)*(Calc!$G$3:$G$22-A864)*Calc!$I$3:$I$22)</f>
        <v/>
      </c>
      <c r="H864">
        <f>IF($B$469&gt;0,F864-$C$469*D864/$B$469,0)</f>
        <v/>
      </c>
      <c r="I864">
        <f>IF($B$469&gt;0,E864-D864^2/$B$469,0)</f>
        <v/>
      </c>
      <c r="J864">
        <f>IF($B$469&gt;0,G864-D864*$D$469/$B$469,0)</f>
        <v/>
      </c>
      <c r="K864">
        <f>$H$469*I864-H864^2</f>
        <v/>
      </c>
      <c r="L864">
        <f>IF(ABS(K864)&gt;1E-12,($H$469*J864-H864*$I$469)/K864,0)</f>
        <v/>
      </c>
      <c r="M864">
        <f>IF(ABS(K864)&gt;1E-12,(I864*$I$469-H864*J864)/K864,0)</f>
        <v/>
      </c>
      <c r="N864">
        <f>$J$469-M864*$I$469-L864*J864</f>
        <v/>
      </c>
      <c r="O864">
        <f>IF(AND(C864,ABS(K864)&gt;1E-12,L864&gt;0),N864,1E+300)</f>
        <v/>
      </c>
    </row>
    <row r="865">
      <c r="A865">
        <f>$K$469+($L$469-$K$469)*393/400</f>
        <v/>
      </c>
      <c r="B865">
        <f>SUMPRODUCT((Calc!$F$3:$F$22&gt;=LTP!$E$5)*(Calc!$F$3:$F$22&lt;=k_n)*(Calc!$G$3:$G$22&lt;=A865))</f>
        <v/>
      </c>
      <c r="C865">
        <f>AND(B865&gt;=2,$B$469-B865&gt;=2)</f>
        <v/>
      </c>
      <c r="D865">
        <f>SUMPRODUCT((Calc!$F$3:$F$22&gt;=LTP!$E$5)*(Calc!$F$3:$F$22&lt;=k_n)*(Calc!$G$3:$G$22&gt;A865)*(Calc!$G$3:$G$22-A865))</f>
        <v/>
      </c>
      <c r="E865">
        <f>SUMPRODUCT((Calc!$F$3:$F$22&gt;=LTP!$E$5)*(Calc!$F$3:$F$22&lt;=k_n)*(Calc!$G$3:$G$22&gt;A865)*(Calc!$G$3:$G$22-A865)^2)</f>
        <v/>
      </c>
      <c r="F865">
        <f>SUMPRODUCT((Calc!$F$3:$F$22&gt;=LTP!$E$5)*(Calc!$F$3:$F$22&lt;=k_n)*(Calc!$G$3:$G$22&gt;A865)*(Calc!$G$3:$G$22-A865)*Calc!$G$3:$G$22)</f>
        <v/>
      </c>
      <c r="G865">
        <f>SUMPRODUCT((Calc!$F$3:$F$22&gt;=LTP!$E$5)*(Calc!$F$3:$F$22&lt;=k_n)*(Calc!$G$3:$G$22&gt;A865)*(Calc!$G$3:$G$22-A865)*Calc!$I$3:$I$22)</f>
        <v/>
      </c>
      <c r="H865">
        <f>IF($B$469&gt;0,F865-$C$469*D865/$B$469,0)</f>
        <v/>
      </c>
      <c r="I865">
        <f>IF($B$469&gt;0,E865-D865^2/$B$469,0)</f>
        <v/>
      </c>
      <c r="J865">
        <f>IF($B$469&gt;0,G865-D865*$D$469/$B$469,0)</f>
        <v/>
      </c>
      <c r="K865">
        <f>$H$469*I865-H865^2</f>
        <v/>
      </c>
      <c r="L865">
        <f>IF(ABS(K865)&gt;1E-12,($H$469*J865-H865*$I$469)/K865,0)</f>
        <v/>
      </c>
      <c r="M865">
        <f>IF(ABS(K865)&gt;1E-12,(I865*$I$469-H865*J865)/K865,0)</f>
        <v/>
      </c>
      <c r="N865">
        <f>$J$469-M865*$I$469-L865*J865</f>
        <v/>
      </c>
      <c r="O865">
        <f>IF(AND(C865,ABS(K865)&gt;1E-12,L865&gt;0),N865,1E+300)</f>
        <v/>
      </c>
    </row>
    <row r="866">
      <c r="A866">
        <f>$K$469+($L$469-$K$469)*394/400</f>
        <v/>
      </c>
      <c r="B866">
        <f>SUMPRODUCT((Calc!$F$3:$F$22&gt;=LTP!$E$5)*(Calc!$F$3:$F$22&lt;=k_n)*(Calc!$G$3:$G$22&lt;=A866))</f>
        <v/>
      </c>
      <c r="C866">
        <f>AND(B866&gt;=2,$B$469-B866&gt;=2)</f>
        <v/>
      </c>
      <c r="D866">
        <f>SUMPRODUCT((Calc!$F$3:$F$22&gt;=LTP!$E$5)*(Calc!$F$3:$F$22&lt;=k_n)*(Calc!$G$3:$G$22&gt;A866)*(Calc!$G$3:$G$22-A866))</f>
        <v/>
      </c>
      <c r="E866">
        <f>SUMPRODUCT((Calc!$F$3:$F$22&gt;=LTP!$E$5)*(Calc!$F$3:$F$22&lt;=k_n)*(Calc!$G$3:$G$22&gt;A866)*(Calc!$G$3:$G$22-A866)^2)</f>
        <v/>
      </c>
      <c r="F866">
        <f>SUMPRODUCT((Calc!$F$3:$F$22&gt;=LTP!$E$5)*(Calc!$F$3:$F$22&lt;=k_n)*(Calc!$G$3:$G$22&gt;A866)*(Calc!$G$3:$G$22-A866)*Calc!$G$3:$G$22)</f>
        <v/>
      </c>
      <c r="G866">
        <f>SUMPRODUCT((Calc!$F$3:$F$22&gt;=LTP!$E$5)*(Calc!$F$3:$F$22&lt;=k_n)*(Calc!$G$3:$G$22&gt;A866)*(Calc!$G$3:$G$22-A866)*Calc!$I$3:$I$22)</f>
        <v/>
      </c>
      <c r="H866">
        <f>IF($B$469&gt;0,F866-$C$469*D866/$B$469,0)</f>
        <v/>
      </c>
      <c r="I866">
        <f>IF($B$469&gt;0,E866-D866^2/$B$469,0)</f>
        <v/>
      </c>
      <c r="J866">
        <f>IF($B$469&gt;0,G866-D866*$D$469/$B$469,0)</f>
        <v/>
      </c>
      <c r="K866">
        <f>$H$469*I866-H866^2</f>
        <v/>
      </c>
      <c r="L866">
        <f>IF(ABS(K866)&gt;1E-12,($H$469*J866-H866*$I$469)/K866,0)</f>
        <v/>
      </c>
      <c r="M866">
        <f>IF(ABS(K866)&gt;1E-12,(I866*$I$469-H866*J866)/K866,0)</f>
        <v/>
      </c>
      <c r="N866">
        <f>$J$469-M866*$I$469-L866*J866</f>
        <v/>
      </c>
      <c r="O866">
        <f>IF(AND(C866,ABS(K866)&gt;1E-12,L866&gt;0),N866,1E+300)</f>
        <v/>
      </c>
    </row>
    <row r="867">
      <c r="A867">
        <f>$K$469+($L$469-$K$469)*395/400</f>
        <v/>
      </c>
      <c r="B867">
        <f>SUMPRODUCT((Calc!$F$3:$F$22&gt;=LTP!$E$5)*(Calc!$F$3:$F$22&lt;=k_n)*(Calc!$G$3:$G$22&lt;=A867))</f>
        <v/>
      </c>
      <c r="C867">
        <f>AND(B867&gt;=2,$B$469-B867&gt;=2)</f>
        <v/>
      </c>
      <c r="D867">
        <f>SUMPRODUCT((Calc!$F$3:$F$22&gt;=LTP!$E$5)*(Calc!$F$3:$F$22&lt;=k_n)*(Calc!$G$3:$G$22&gt;A867)*(Calc!$G$3:$G$22-A867))</f>
        <v/>
      </c>
      <c r="E867">
        <f>SUMPRODUCT((Calc!$F$3:$F$22&gt;=LTP!$E$5)*(Calc!$F$3:$F$22&lt;=k_n)*(Calc!$G$3:$G$22&gt;A867)*(Calc!$G$3:$G$22-A867)^2)</f>
        <v/>
      </c>
      <c r="F867">
        <f>SUMPRODUCT((Calc!$F$3:$F$22&gt;=LTP!$E$5)*(Calc!$F$3:$F$22&lt;=k_n)*(Calc!$G$3:$G$22&gt;A867)*(Calc!$G$3:$G$22-A867)*Calc!$G$3:$G$22)</f>
        <v/>
      </c>
      <c r="G867">
        <f>SUMPRODUCT((Calc!$F$3:$F$22&gt;=LTP!$E$5)*(Calc!$F$3:$F$22&lt;=k_n)*(Calc!$G$3:$G$22&gt;A867)*(Calc!$G$3:$G$22-A867)*Calc!$I$3:$I$22)</f>
        <v/>
      </c>
      <c r="H867">
        <f>IF($B$469&gt;0,F867-$C$469*D867/$B$469,0)</f>
        <v/>
      </c>
      <c r="I867">
        <f>IF($B$469&gt;0,E867-D867^2/$B$469,0)</f>
        <v/>
      </c>
      <c r="J867">
        <f>IF($B$469&gt;0,G867-D867*$D$469/$B$469,0)</f>
        <v/>
      </c>
      <c r="K867">
        <f>$H$469*I867-H867^2</f>
        <v/>
      </c>
      <c r="L867">
        <f>IF(ABS(K867)&gt;1E-12,($H$469*J867-H867*$I$469)/K867,0)</f>
        <v/>
      </c>
      <c r="M867">
        <f>IF(ABS(K867)&gt;1E-12,(I867*$I$469-H867*J867)/K867,0)</f>
        <v/>
      </c>
      <c r="N867">
        <f>$J$469-M867*$I$469-L867*J867</f>
        <v/>
      </c>
      <c r="O867">
        <f>IF(AND(C867,ABS(K867)&gt;1E-12,L867&gt;0),N867,1E+300)</f>
        <v/>
      </c>
    </row>
    <row r="868">
      <c r="A868">
        <f>$K$469+($L$469-$K$469)*396/400</f>
        <v/>
      </c>
      <c r="B868">
        <f>SUMPRODUCT((Calc!$F$3:$F$22&gt;=LTP!$E$5)*(Calc!$F$3:$F$22&lt;=k_n)*(Calc!$G$3:$G$22&lt;=A868))</f>
        <v/>
      </c>
      <c r="C868">
        <f>AND(B868&gt;=2,$B$469-B868&gt;=2)</f>
        <v/>
      </c>
      <c r="D868">
        <f>SUMPRODUCT((Calc!$F$3:$F$22&gt;=LTP!$E$5)*(Calc!$F$3:$F$22&lt;=k_n)*(Calc!$G$3:$G$22&gt;A868)*(Calc!$G$3:$G$22-A868))</f>
        <v/>
      </c>
      <c r="E868">
        <f>SUMPRODUCT((Calc!$F$3:$F$22&gt;=LTP!$E$5)*(Calc!$F$3:$F$22&lt;=k_n)*(Calc!$G$3:$G$22&gt;A868)*(Calc!$G$3:$G$22-A868)^2)</f>
        <v/>
      </c>
      <c r="F868">
        <f>SUMPRODUCT((Calc!$F$3:$F$22&gt;=LTP!$E$5)*(Calc!$F$3:$F$22&lt;=k_n)*(Calc!$G$3:$G$22&gt;A868)*(Calc!$G$3:$G$22-A868)*Calc!$G$3:$G$22)</f>
        <v/>
      </c>
      <c r="G868">
        <f>SUMPRODUCT((Calc!$F$3:$F$22&gt;=LTP!$E$5)*(Calc!$F$3:$F$22&lt;=k_n)*(Calc!$G$3:$G$22&gt;A868)*(Calc!$G$3:$G$22-A868)*Calc!$I$3:$I$22)</f>
        <v/>
      </c>
      <c r="H868">
        <f>IF($B$469&gt;0,F868-$C$469*D868/$B$469,0)</f>
        <v/>
      </c>
      <c r="I868">
        <f>IF($B$469&gt;0,E868-D868^2/$B$469,0)</f>
        <v/>
      </c>
      <c r="J868">
        <f>IF($B$469&gt;0,G868-D868*$D$469/$B$469,0)</f>
        <v/>
      </c>
      <c r="K868">
        <f>$H$469*I868-H868^2</f>
        <v/>
      </c>
      <c r="L868">
        <f>IF(ABS(K868)&gt;1E-12,($H$469*J868-H868*$I$469)/K868,0)</f>
        <v/>
      </c>
      <c r="M868">
        <f>IF(ABS(K868)&gt;1E-12,(I868*$I$469-H868*J868)/K868,0)</f>
        <v/>
      </c>
      <c r="N868">
        <f>$J$469-M868*$I$469-L868*J868</f>
        <v/>
      </c>
      <c r="O868">
        <f>IF(AND(C868,ABS(K868)&gt;1E-12,L868&gt;0),N868,1E+300)</f>
        <v/>
      </c>
    </row>
    <row r="869">
      <c r="A869">
        <f>$K$469+($L$469-$K$469)*397/400</f>
        <v/>
      </c>
      <c r="B869">
        <f>SUMPRODUCT((Calc!$F$3:$F$22&gt;=LTP!$E$5)*(Calc!$F$3:$F$22&lt;=k_n)*(Calc!$G$3:$G$22&lt;=A869))</f>
        <v/>
      </c>
      <c r="C869">
        <f>AND(B869&gt;=2,$B$469-B869&gt;=2)</f>
        <v/>
      </c>
      <c r="D869">
        <f>SUMPRODUCT((Calc!$F$3:$F$22&gt;=LTP!$E$5)*(Calc!$F$3:$F$22&lt;=k_n)*(Calc!$G$3:$G$22&gt;A869)*(Calc!$G$3:$G$22-A869))</f>
        <v/>
      </c>
      <c r="E869">
        <f>SUMPRODUCT((Calc!$F$3:$F$22&gt;=LTP!$E$5)*(Calc!$F$3:$F$22&lt;=k_n)*(Calc!$G$3:$G$22&gt;A869)*(Calc!$G$3:$G$22-A869)^2)</f>
        <v/>
      </c>
      <c r="F869">
        <f>SUMPRODUCT((Calc!$F$3:$F$22&gt;=LTP!$E$5)*(Calc!$F$3:$F$22&lt;=k_n)*(Calc!$G$3:$G$22&gt;A869)*(Calc!$G$3:$G$22-A869)*Calc!$G$3:$G$22)</f>
        <v/>
      </c>
      <c r="G869">
        <f>SUMPRODUCT((Calc!$F$3:$F$22&gt;=LTP!$E$5)*(Calc!$F$3:$F$22&lt;=k_n)*(Calc!$G$3:$G$22&gt;A869)*(Calc!$G$3:$G$22-A869)*Calc!$I$3:$I$22)</f>
        <v/>
      </c>
      <c r="H869">
        <f>IF($B$469&gt;0,F869-$C$469*D869/$B$469,0)</f>
        <v/>
      </c>
      <c r="I869">
        <f>IF($B$469&gt;0,E869-D869^2/$B$469,0)</f>
        <v/>
      </c>
      <c r="J869">
        <f>IF($B$469&gt;0,G869-D869*$D$469/$B$469,0)</f>
        <v/>
      </c>
      <c r="K869">
        <f>$H$469*I869-H869^2</f>
        <v/>
      </c>
      <c r="L869">
        <f>IF(ABS(K869)&gt;1E-12,($H$469*J869-H869*$I$469)/K869,0)</f>
        <v/>
      </c>
      <c r="M869">
        <f>IF(ABS(K869)&gt;1E-12,(I869*$I$469-H869*J869)/K869,0)</f>
        <v/>
      </c>
      <c r="N869">
        <f>$J$469-M869*$I$469-L869*J869</f>
        <v/>
      </c>
      <c r="O869">
        <f>IF(AND(C869,ABS(K869)&gt;1E-12,L869&gt;0),N869,1E+300)</f>
        <v/>
      </c>
    </row>
    <row r="870">
      <c r="A870">
        <f>$K$469+($L$469-$K$469)*398/400</f>
        <v/>
      </c>
      <c r="B870">
        <f>SUMPRODUCT((Calc!$F$3:$F$22&gt;=LTP!$E$5)*(Calc!$F$3:$F$22&lt;=k_n)*(Calc!$G$3:$G$22&lt;=A870))</f>
        <v/>
      </c>
      <c r="C870">
        <f>AND(B870&gt;=2,$B$469-B870&gt;=2)</f>
        <v/>
      </c>
      <c r="D870">
        <f>SUMPRODUCT((Calc!$F$3:$F$22&gt;=LTP!$E$5)*(Calc!$F$3:$F$22&lt;=k_n)*(Calc!$G$3:$G$22&gt;A870)*(Calc!$G$3:$G$22-A870))</f>
        <v/>
      </c>
      <c r="E870">
        <f>SUMPRODUCT((Calc!$F$3:$F$22&gt;=LTP!$E$5)*(Calc!$F$3:$F$22&lt;=k_n)*(Calc!$G$3:$G$22&gt;A870)*(Calc!$G$3:$G$22-A870)^2)</f>
        <v/>
      </c>
      <c r="F870">
        <f>SUMPRODUCT((Calc!$F$3:$F$22&gt;=LTP!$E$5)*(Calc!$F$3:$F$22&lt;=k_n)*(Calc!$G$3:$G$22&gt;A870)*(Calc!$G$3:$G$22-A870)*Calc!$G$3:$G$22)</f>
        <v/>
      </c>
      <c r="G870">
        <f>SUMPRODUCT((Calc!$F$3:$F$22&gt;=LTP!$E$5)*(Calc!$F$3:$F$22&lt;=k_n)*(Calc!$G$3:$G$22&gt;A870)*(Calc!$G$3:$G$22-A870)*Calc!$I$3:$I$22)</f>
        <v/>
      </c>
      <c r="H870">
        <f>IF($B$469&gt;0,F870-$C$469*D870/$B$469,0)</f>
        <v/>
      </c>
      <c r="I870">
        <f>IF($B$469&gt;0,E870-D870^2/$B$469,0)</f>
        <v/>
      </c>
      <c r="J870">
        <f>IF($B$469&gt;0,G870-D870*$D$469/$B$469,0)</f>
        <v/>
      </c>
      <c r="K870">
        <f>$H$469*I870-H870^2</f>
        <v/>
      </c>
      <c r="L870">
        <f>IF(ABS(K870)&gt;1E-12,($H$469*J870-H870*$I$469)/K870,0)</f>
        <v/>
      </c>
      <c r="M870">
        <f>IF(ABS(K870)&gt;1E-12,(I870*$I$469-H870*J870)/K870,0)</f>
        <v/>
      </c>
      <c r="N870">
        <f>$J$469-M870*$I$469-L870*J870</f>
        <v/>
      </c>
      <c r="O870">
        <f>IF(AND(C870,ABS(K870)&gt;1E-12,L870&gt;0),N870,1E+300)</f>
        <v/>
      </c>
    </row>
    <row r="871">
      <c r="A871">
        <f>$K$469+($L$469-$K$469)*399/400</f>
        <v/>
      </c>
      <c r="B871">
        <f>SUMPRODUCT((Calc!$F$3:$F$22&gt;=LTP!$E$5)*(Calc!$F$3:$F$22&lt;=k_n)*(Calc!$G$3:$G$22&lt;=A871))</f>
        <v/>
      </c>
      <c r="C871">
        <f>AND(B871&gt;=2,$B$469-B871&gt;=2)</f>
        <v/>
      </c>
      <c r="D871">
        <f>SUMPRODUCT((Calc!$F$3:$F$22&gt;=LTP!$E$5)*(Calc!$F$3:$F$22&lt;=k_n)*(Calc!$G$3:$G$22&gt;A871)*(Calc!$G$3:$G$22-A871))</f>
        <v/>
      </c>
      <c r="E871">
        <f>SUMPRODUCT((Calc!$F$3:$F$22&gt;=LTP!$E$5)*(Calc!$F$3:$F$22&lt;=k_n)*(Calc!$G$3:$G$22&gt;A871)*(Calc!$G$3:$G$22-A871)^2)</f>
        <v/>
      </c>
      <c r="F871">
        <f>SUMPRODUCT((Calc!$F$3:$F$22&gt;=LTP!$E$5)*(Calc!$F$3:$F$22&lt;=k_n)*(Calc!$G$3:$G$22&gt;A871)*(Calc!$G$3:$G$22-A871)*Calc!$G$3:$G$22)</f>
        <v/>
      </c>
      <c r="G871">
        <f>SUMPRODUCT((Calc!$F$3:$F$22&gt;=LTP!$E$5)*(Calc!$F$3:$F$22&lt;=k_n)*(Calc!$G$3:$G$22&gt;A871)*(Calc!$G$3:$G$22-A871)*Calc!$I$3:$I$22)</f>
        <v/>
      </c>
      <c r="H871">
        <f>IF($B$469&gt;0,F871-$C$469*D871/$B$469,0)</f>
        <v/>
      </c>
      <c r="I871">
        <f>IF($B$469&gt;0,E871-D871^2/$B$469,0)</f>
        <v/>
      </c>
      <c r="J871">
        <f>IF($B$469&gt;0,G871-D871*$D$469/$B$469,0)</f>
        <v/>
      </c>
      <c r="K871">
        <f>$H$469*I871-H871^2</f>
        <v/>
      </c>
      <c r="L871">
        <f>IF(ABS(K871)&gt;1E-12,($H$469*J871-H871*$I$469)/K871,0)</f>
        <v/>
      </c>
      <c r="M871">
        <f>IF(ABS(K871)&gt;1E-12,(I871*$I$469-H871*J871)/K871,0)</f>
        <v/>
      </c>
      <c r="N871">
        <f>$J$469-M871*$I$469-L871*J871</f>
        <v/>
      </c>
      <c r="O871">
        <f>IF(AND(C871,ABS(K871)&gt;1E-12,L871&gt;0),N871,1E+300)</f>
        <v/>
      </c>
    </row>
    <row r="872">
      <c r="A872">
        <f>$K$469+($L$469-$K$469)*400/400</f>
        <v/>
      </c>
      <c r="B872">
        <f>SUMPRODUCT((Calc!$F$3:$F$22&gt;=LTP!$E$5)*(Calc!$F$3:$F$22&lt;=k_n)*(Calc!$G$3:$G$22&lt;=A872))</f>
        <v/>
      </c>
      <c r="C872">
        <f>AND(B872&gt;=2,$B$469-B872&gt;=2)</f>
        <v/>
      </c>
      <c r="D872">
        <f>SUMPRODUCT((Calc!$F$3:$F$22&gt;=LTP!$E$5)*(Calc!$F$3:$F$22&lt;=k_n)*(Calc!$G$3:$G$22&gt;A872)*(Calc!$G$3:$G$22-A872))</f>
        <v/>
      </c>
      <c r="E872">
        <f>SUMPRODUCT((Calc!$F$3:$F$22&gt;=LTP!$E$5)*(Calc!$F$3:$F$22&lt;=k_n)*(Calc!$G$3:$G$22&gt;A872)*(Calc!$G$3:$G$22-A872)^2)</f>
        <v/>
      </c>
      <c r="F872">
        <f>SUMPRODUCT((Calc!$F$3:$F$22&gt;=LTP!$E$5)*(Calc!$F$3:$F$22&lt;=k_n)*(Calc!$G$3:$G$22&gt;A872)*(Calc!$G$3:$G$22-A872)*Calc!$G$3:$G$22)</f>
        <v/>
      </c>
      <c r="G872">
        <f>SUMPRODUCT((Calc!$F$3:$F$22&gt;=LTP!$E$5)*(Calc!$F$3:$F$22&lt;=k_n)*(Calc!$G$3:$G$22&gt;A872)*(Calc!$G$3:$G$22-A872)*Calc!$I$3:$I$22)</f>
        <v/>
      </c>
      <c r="H872">
        <f>IF($B$469&gt;0,F872-$C$469*D872/$B$469,0)</f>
        <v/>
      </c>
      <c r="I872">
        <f>IF($B$469&gt;0,E872-D872^2/$B$469,0)</f>
        <v/>
      </c>
      <c r="J872">
        <f>IF($B$469&gt;0,G872-D872*$D$469/$B$469,0)</f>
        <v/>
      </c>
      <c r="K872">
        <f>$H$469*I872-H872^2</f>
        <v/>
      </c>
      <c r="L872">
        <f>IF(ABS(K872)&gt;1E-12,($H$469*J872-H872*$I$469)/K872,0)</f>
        <v/>
      </c>
      <c r="M872">
        <f>IF(ABS(K872)&gt;1E-12,(I872*$I$469-H872*J872)/K872,0)</f>
        <v/>
      </c>
      <c r="N872">
        <f>$J$469-M872*$I$469-L872*J872</f>
        <v/>
      </c>
      <c r="O872">
        <f>IF(AND(C872,ABS(K872)&gt;1E-12,L872&gt;0),N872,1E+300)</f>
        <v/>
      </c>
    </row>
    <row r="874">
      <c r="A874" s="7" t="inlineStr">
        <is>
          <t>bestes k (Raster)</t>
        </is>
      </c>
      <c r="B874">
        <f>INDEX(A472:A872,MATCH(MIN(O472:O872),O472:O872,0))</f>
        <v/>
      </c>
      <c r="C874">
        <f>MIN(O472:O872)</f>
        <v/>
      </c>
    </row>
    <row r="876">
      <c r="A876" s="57" t="inlineStr">
        <is>
          <t>k</t>
        </is>
      </c>
      <c r="B876" s="57" t="inlineStr">
        <is>
          <t>L</t>
        </is>
      </c>
      <c r="C876" s="57" t="inlineStr">
        <is>
          <t>gültig</t>
        </is>
      </c>
      <c r="D876" s="57" t="inlineStr">
        <is>
          <t>Sh</t>
        </is>
      </c>
      <c r="E876" s="57" t="inlineStr">
        <is>
          <t>Shh</t>
        </is>
      </c>
      <c r="F876" s="57" t="inlineStr">
        <is>
          <t>Sxh</t>
        </is>
      </c>
      <c r="G876" s="57" t="inlineStr">
        <is>
          <t>Shy</t>
        </is>
      </c>
      <c r="H876" s="57" t="inlineStr">
        <is>
          <t>Cxh</t>
        </is>
      </c>
      <c r="I876" s="57" t="inlineStr">
        <is>
          <t>Chh</t>
        </is>
      </c>
      <c r="J876" s="57" t="inlineStr">
        <is>
          <t>Chy</t>
        </is>
      </c>
      <c r="K876" s="57" t="inlineStr">
        <is>
          <t>det</t>
        </is>
      </c>
      <c r="L876" s="57" t="inlineStr">
        <is>
          <t>c2</t>
        </is>
      </c>
      <c r="M876" s="57" t="inlineStr">
        <is>
          <t>c1</t>
        </is>
      </c>
      <c r="N876" s="57" t="inlineStr">
        <is>
          <t>SSE</t>
        </is>
      </c>
      <c r="O876" s="57" t="inlineStr">
        <is>
          <t>Score</t>
        </is>
      </c>
    </row>
    <row r="877">
      <c r="A877">
        <f>$B$874-($L$469-$K$469)/400+2*($L$469-$K$469)/400*0/40</f>
        <v/>
      </c>
      <c r="B877">
        <f>SUMPRODUCT((Calc!$F$3:$F$22&gt;=LTP!$E$5)*(Calc!$F$3:$F$22&lt;=k_n)*(Calc!$G$3:$G$22&lt;=A877))</f>
        <v/>
      </c>
      <c r="C877">
        <f>AND(B877&gt;=2,$B$469-B877&gt;=2)</f>
        <v/>
      </c>
      <c r="D877">
        <f>SUMPRODUCT((Calc!$F$3:$F$22&gt;=LTP!$E$5)*(Calc!$F$3:$F$22&lt;=k_n)*(Calc!$G$3:$G$22&gt;A877)*(Calc!$G$3:$G$22-A877))</f>
        <v/>
      </c>
      <c r="E877">
        <f>SUMPRODUCT((Calc!$F$3:$F$22&gt;=LTP!$E$5)*(Calc!$F$3:$F$22&lt;=k_n)*(Calc!$G$3:$G$22&gt;A877)*(Calc!$G$3:$G$22-A877)^2)</f>
        <v/>
      </c>
      <c r="F877">
        <f>SUMPRODUCT((Calc!$F$3:$F$22&gt;=LTP!$E$5)*(Calc!$F$3:$F$22&lt;=k_n)*(Calc!$G$3:$G$22&gt;A877)*(Calc!$G$3:$G$22-A877)*Calc!$G$3:$G$22)</f>
        <v/>
      </c>
      <c r="G877">
        <f>SUMPRODUCT((Calc!$F$3:$F$22&gt;=LTP!$E$5)*(Calc!$F$3:$F$22&lt;=k_n)*(Calc!$G$3:$G$22&gt;A877)*(Calc!$G$3:$G$22-A877)*Calc!$I$3:$I$22)</f>
        <v/>
      </c>
      <c r="H877">
        <f>IF($B$469&gt;0,F877-$C$469*D877/$B$469,0)</f>
        <v/>
      </c>
      <c r="I877">
        <f>IF($B$469&gt;0,E877-D877^2/$B$469,0)</f>
        <v/>
      </c>
      <c r="J877">
        <f>IF($B$469&gt;0,G877-D877*$D$469/$B$469,0)</f>
        <v/>
      </c>
      <c r="K877">
        <f>$H$469*I877-H877^2</f>
        <v/>
      </c>
      <c r="L877">
        <f>IF(ABS(K877)&gt;1E-12,($H$469*J877-H877*$I$469)/K877,0)</f>
        <v/>
      </c>
      <c r="M877">
        <f>IF(ABS(K877)&gt;1E-12,(I877*$I$469-H877*J877)/K877,0)</f>
        <v/>
      </c>
      <c r="N877">
        <f>$J$469-M877*$I$469-L877*J877</f>
        <v/>
      </c>
      <c r="O877">
        <f>IF(AND(C877,ABS(K877)&gt;1E-12,L877&gt;0),N877,1E+300)</f>
        <v/>
      </c>
    </row>
    <row r="878">
      <c r="A878">
        <f>$B$874-($L$469-$K$469)/400+2*($L$469-$K$469)/400*1/40</f>
        <v/>
      </c>
      <c r="B878">
        <f>SUMPRODUCT((Calc!$F$3:$F$22&gt;=LTP!$E$5)*(Calc!$F$3:$F$22&lt;=k_n)*(Calc!$G$3:$G$22&lt;=A878))</f>
        <v/>
      </c>
      <c r="C878">
        <f>AND(B878&gt;=2,$B$469-B878&gt;=2)</f>
        <v/>
      </c>
      <c r="D878">
        <f>SUMPRODUCT((Calc!$F$3:$F$22&gt;=LTP!$E$5)*(Calc!$F$3:$F$22&lt;=k_n)*(Calc!$G$3:$G$22&gt;A878)*(Calc!$G$3:$G$22-A878))</f>
        <v/>
      </c>
      <c r="E878">
        <f>SUMPRODUCT((Calc!$F$3:$F$22&gt;=LTP!$E$5)*(Calc!$F$3:$F$22&lt;=k_n)*(Calc!$G$3:$G$22&gt;A878)*(Calc!$G$3:$G$22-A878)^2)</f>
        <v/>
      </c>
      <c r="F878">
        <f>SUMPRODUCT((Calc!$F$3:$F$22&gt;=LTP!$E$5)*(Calc!$F$3:$F$22&lt;=k_n)*(Calc!$G$3:$G$22&gt;A878)*(Calc!$G$3:$G$22-A878)*Calc!$G$3:$G$22)</f>
        <v/>
      </c>
      <c r="G878">
        <f>SUMPRODUCT((Calc!$F$3:$F$22&gt;=LTP!$E$5)*(Calc!$F$3:$F$22&lt;=k_n)*(Calc!$G$3:$G$22&gt;A878)*(Calc!$G$3:$G$22-A878)*Calc!$I$3:$I$22)</f>
        <v/>
      </c>
      <c r="H878">
        <f>IF($B$469&gt;0,F878-$C$469*D878/$B$469,0)</f>
        <v/>
      </c>
      <c r="I878">
        <f>IF($B$469&gt;0,E878-D878^2/$B$469,0)</f>
        <v/>
      </c>
      <c r="J878">
        <f>IF($B$469&gt;0,G878-D878*$D$469/$B$469,0)</f>
        <v/>
      </c>
      <c r="K878">
        <f>$H$469*I878-H878^2</f>
        <v/>
      </c>
      <c r="L878">
        <f>IF(ABS(K878)&gt;1E-12,($H$469*J878-H878*$I$469)/K878,0)</f>
        <v/>
      </c>
      <c r="M878">
        <f>IF(ABS(K878)&gt;1E-12,(I878*$I$469-H878*J878)/K878,0)</f>
        <v/>
      </c>
      <c r="N878">
        <f>$J$469-M878*$I$469-L878*J878</f>
        <v/>
      </c>
      <c r="O878">
        <f>IF(AND(C878,ABS(K878)&gt;1E-12,L878&gt;0),N878,1E+300)</f>
        <v/>
      </c>
    </row>
    <row r="879">
      <c r="A879">
        <f>$B$874-($L$469-$K$469)/400+2*($L$469-$K$469)/400*2/40</f>
        <v/>
      </c>
      <c r="B879">
        <f>SUMPRODUCT((Calc!$F$3:$F$22&gt;=LTP!$E$5)*(Calc!$F$3:$F$22&lt;=k_n)*(Calc!$G$3:$G$22&lt;=A879))</f>
        <v/>
      </c>
      <c r="C879">
        <f>AND(B879&gt;=2,$B$469-B879&gt;=2)</f>
        <v/>
      </c>
      <c r="D879">
        <f>SUMPRODUCT((Calc!$F$3:$F$22&gt;=LTP!$E$5)*(Calc!$F$3:$F$22&lt;=k_n)*(Calc!$G$3:$G$22&gt;A879)*(Calc!$G$3:$G$22-A879))</f>
        <v/>
      </c>
      <c r="E879">
        <f>SUMPRODUCT((Calc!$F$3:$F$22&gt;=LTP!$E$5)*(Calc!$F$3:$F$22&lt;=k_n)*(Calc!$G$3:$G$22&gt;A879)*(Calc!$G$3:$G$22-A879)^2)</f>
        <v/>
      </c>
      <c r="F879">
        <f>SUMPRODUCT((Calc!$F$3:$F$22&gt;=LTP!$E$5)*(Calc!$F$3:$F$22&lt;=k_n)*(Calc!$G$3:$G$22&gt;A879)*(Calc!$G$3:$G$22-A879)*Calc!$G$3:$G$22)</f>
        <v/>
      </c>
      <c r="G879">
        <f>SUMPRODUCT((Calc!$F$3:$F$22&gt;=LTP!$E$5)*(Calc!$F$3:$F$22&lt;=k_n)*(Calc!$G$3:$G$22&gt;A879)*(Calc!$G$3:$G$22-A879)*Calc!$I$3:$I$22)</f>
        <v/>
      </c>
      <c r="H879">
        <f>IF($B$469&gt;0,F879-$C$469*D879/$B$469,0)</f>
        <v/>
      </c>
      <c r="I879">
        <f>IF($B$469&gt;0,E879-D879^2/$B$469,0)</f>
        <v/>
      </c>
      <c r="J879">
        <f>IF($B$469&gt;0,G879-D879*$D$469/$B$469,0)</f>
        <v/>
      </c>
      <c r="K879">
        <f>$H$469*I879-H879^2</f>
        <v/>
      </c>
      <c r="L879">
        <f>IF(ABS(K879)&gt;1E-12,($H$469*J879-H879*$I$469)/K879,0)</f>
        <v/>
      </c>
      <c r="M879">
        <f>IF(ABS(K879)&gt;1E-12,(I879*$I$469-H879*J879)/K879,0)</f>
        <v/>
      </c>
      <c r="N879">
        <f>$J$469-M879*$I$469-L879*J879</f>
        <v/>
      </c>
      <c r="O879">
        <f>IF(AND(C879,ABS(K879)&gt;1E-12,L879&gt;0),N879,1E+300)</f>
        <v/>
      </c>
    </row>
    <row r="880">
      <c r="A880">
        <f>$B$874-($L$469-$K$469)/400+2*($L$469-$K$469)/400*3/40</f>
        <v/>
      </c>
      <c r="B880">
        <f>SUMPRODUCT((Calc!$F$3:$F$22&gt;=LTP!$E$5)*(Calc!$F$3:$F$22&lt;=k_n)*(Calc!$G$3:$G$22&lt;=A880))</f>
        <v/>
      </c>
      <c r="C880">
        <f>AND(B880&gt;=2,$B$469-B880&gt;=2)</f>
        <v/>
      </c>
      <c r="D880">
        <f>SUMPRODUCT((Calc!$F$3:$F$22&gt;=LTP!$E$5)*(Calc!$F$3:$F$22&lt;=k_n)*(Calc!$G$3:$G$22&gt;A880)*(Calc!$G$3:$G$22-A880))</f>
        <v/>
      </c>
      <c r="E880">
        <f>SUMPRODUCT((Calc!$F$3:$F$22&gt;=LTP!$E$5)*(Calc!$F$3:$F$22&lt;=k_n)*(Calc!$G$3:$G$22&gt;A880)*(Calc!$G$3:$G$22-A880)^2)</f>
        <v/>
      </c>
      <c r="F880">
        <f>SUMPRODUCT((Calc!$F$3:$F$22&gt;=LTP!$E$5)*(Calc!$F$3:$F$22&lt;=k_n)*(Calc!$G$3:$G$22&gt;A880)*(Calc!$G$3:$G$22-A880)*Calc!$G$3:$G$22)</f>
        <v/>
      </c>
      <c r="G880">
        <f>SUMPRODUCT((Calc!$F$3:$F$22&gt;=LTP!$E$5)*(Calc!$F$3:$F$22&lt;=k_n)*(Calc!$G$3:$G$22&gt;A880)*(Calc!$G$3:$G$22-A880)*Calc!$I$3:$I$22)</f>
        <v/>
      </c>
      <c r="H880">
        <f>IF($B$469&gt;0,F880-$C$469*D880/$B$469,0)</f>
        <v/>
      </c>
      <c r="I880">
        <f>IF($B$469&gt;0,E880-D880^2/$B$469,0)</f>
        <v/>
      </c>
      <c r="J880">
        <f>IF($B$469&gt;0,G880-D880*$D$469/$B$469,0)</f>
        <v/>
      </c>
      <c r="K880">
        <f>$H$469*I880-H880^2</f>
        <v/>
      </c>
      <c r="L880">
        <f>IF(ABS(K880)&gt;1E-12,($H$469*J880-H880*$I$469)/K880,0)</f>
        <v/>
      </c>
      <c r="M880">
        <f>IF(ABS(K880)&gt;1E-12,(I880*$I$469-H880*J880)/K880,0)</f>
        <v/>
      </c>
      <c r="N880">
        <f>$J$469-M880*$I$469-L880*J880</f>
        <v/>
      </c>
      <c r="O880">
        <f>IF(AND(C880,ABS(K880)&gt;1E-12,L880&gt;0),N880,1E+300)</f>
        <v/>
      </c>
    </row>
    <row r="881">
      <c r="A881">
        <f>$B$874-($L$469-$K$469)/400+2*($L$469-$K$469)/400*4/40</f>
        <v/>
      </c>
      <c r="B881">
        <f>SUMPRODUCT((Calc!$F$3:$F$22&gt;=LTP!$E$5)*(Calc!$F$3:$F$22&lt;=k_n)*(Calc!$G$3:$G$22&lt;=A881))</f>
        <v/>
      </c>
      <c r="C881">
        <f>AND(B881&gt;=2,$B$469-B881&gt;=2)</f>
        <v/>
      </c>
      <c r="D881">
        <f>SUMPRODUCT((Calc!$F$3:$F$22&gt;=LTP!$E$5)*(Calc!$F$3:$F$22&lt;=k_n)*(Calc!$G$3:$G$22&gt;A881)*(Calc!$G$3:$G$22-A881))</f>
        <v/>
      </c>
      <c r="E881">
        <f>SUMPRODUCT((Calc!$F$3:$F$22&gt;=LTP!$E$5)*(Calc!$F$3:$F$22&lt;=k_n)*(Calc!$G$3:$G$22&gt;A881)*(Calc!$G$3:$G$22-A881)^2)</f>
        <v/>
      </c>
      <c r="F881">
        <f>SUMPRODUCT((Calc!$F$3:$F$22&gt;=LTP!$E$5)*(Calc!$F$3:$F$22&lt;=k_n)*(Calc!$G$3:$G$22&gt;A881)*(Calc!$G$3:$G$22-A881)*Calc!$G$3:$G$22)</f>
        <v/>
      </c>
      <c r="G881">
        <f>SUMPRODUCT((Calc!$F$3:$F$22&gt;=LTP!$E$5)*(Calc!$F$3:$F$22&lt;=k_n)*(Calc!$G$3:$G$22&gt;A881)*(Calc!$G$3:$G$22-A881)*Calc!$I$3:$I$22)</f>
        <v/>
      </c>
      <c r="H881">
        <f>IF($B$469&gt;0,F881-$C$469*D881/$B$469,0)</f>
        <v/>
      </c>
      <c r="I881">
        <f>IF($B$469&gt;0,E881-D881^2/$B$469,0)</f>
        <v/>
      </c>
      <c r="J881">
        <f>IF($B$469&gt;0,G881-D881*$D$469/$B$469,0)</f>
        <v/>
      </c>
      <c r="K881">
        <f>$H$469*I881-H881^2</f>
        <v/>
      </c>
      <c r="L881">
        <f>IF(ABS(K881)&gt;1E-12,($H$469*J881-H881*$I$469)/K881,0)</f>
        <v/>
      </c>
      <c r="M881">
        <f>IF(ABS(K881)&gt;1E-12,(I881*$I$469-H881*J881)/K881,0)</f>
        <v/>
      </c>
      <c r="N881">
        <f>$J$469-M881*$I$469-L881*J881</f>
        <v/>
      </c>
      <c r="O881">
        <f>IF(AND(C881,ABS(K881)&gt;1E-12,L881&gt;0),N881,1E+300)</f>
        <v/>
      </c>
    </row>
    <row r="882">
      <c r="A882">
        <f>$B$874-($L$469-$K$469)/400+2*($L$469-$K$469)/400*5/40</f>
        <v/>
      </c>
      <c r="B882">
        <f>SUMPRODUCT((Calc!$F$3:$F$22&gt;=LTP!$E$5)*(Calc!$F$3:$F$22&lt;=k_n)*(Calc!$G$3:$G$22&lt;=A882))</f>
        <v/>
      </c>
      <c r="C882">
        <f>AND(B882&gt;=2,$B$469-B882&gt;=2)</f>
        <v/>
      </c>
      <c r="D882">
        <f>SUMPRODUCT((Calc!$F$3:$F$22&gt;=LTP!$E$5)*(Calc!$F$3:$F$22&lt;=k_n)*(Calc!$G$3:$G$22&gt;A882)*(Calc!$G$3:$G$22-A882))</f>
        <v/>
      </c>
      <c r="E882">
        <f>SUMPRODUCT((Calc!$F$3:$F$22&gt;=LTP!$E$5)*(Calc!$F$3:$F$22&lt;=k_n)*(Calc!$G$3:$G$22&gt;A882)*(Calc!$G$3:$G$22-A882)^2)</f>
        <v/>
      </c>
      <c r="F882">
        <f>SUMPRODUCT((Calc!$F$3:$F$22&gt;=LTP!$E$5)*(Calc!$F$3:$F$22&lt;=k_n)*(Calc!$G$3:$G$22&gt;A882)*(Calc!$G$3:$G$22-A882)*Calc!$G$3:$G$22)</f>
        <v/>
      </c>
      <c r="G882">
        <f>SUMPRODUCT((Calc!$F$3:$F$22&gt;=LTP!$E$5)*(Calc!$F$3:$F$22&lt;=k_n)*(Calc!$G$3:$G$22&gt;A882)*(Calc!$G$3:$G$22-A882)*Calc!$I$3:$I$22)</f>
        <v/>
      </c>
      <c r="H882">
        <f>IF($B$469&gt;0,F882-$C$469*D882/$B$469,0)</f>
        <v/>
      </c>
      <c r="I882">
        <f>IF($B$469&gt;0,E882-D882^2/$B$469,0)</f>
        <v/>
      </c>
      <c r="J882">
        <f>IF($B$469&gt;0,G882-D882*$D$469/$B$469,0)</f>
        <v/>
      </c>
      <c r="K882">
        <f>$H$469*I882-H882^2</f>
        <v/>
      </c>
      <c r="L882">
        <f>IF(ABS(K882)&gt;1E-12,($H$469*J882-H882*$I$469)/K882,0)</f>
        <v/>
      </c>
      <c r="M882">
        <f>IF(ABS(K882)&gt;1E-12,(I882*$I$469-H882*J882)/K882,0)</f>
        <v/>
      </c>
      <c r="N882">
        <f>$J$469-M882*$I$469-L882*J882</f>
        <v/>
      </c>
      <c r="O882">
        <f>IF(AND(C882,ABS(K882)&gt;1E-12,L882&gt;0),N882,1E+300)</f>
        <v/>
      </c>
    </row>
    <row r="883">
      <c r="A883">
        <f>$B$874-($L$469-$K$469)/400+2*($L$469-$K$469)/400*6/40</f>
        <v/>
      </c>
      <c r="B883">
        <f>SUMPRODUCT((Calc!$F$3:$F$22&gt;=LTP!$E$5)*(Calc!$F$3:$F$22&lt;=k_n)*(Calc!$G$3:$G$22&lt;=A883))</f>
        <v/>
      </c>
      <c r="C883">
        <f>AND(B883&gt;=2,$B$469-B883&gt;=2)</f>
        <v/>
      </c>
      <c r="D883">
        <f>SUMPRODUCT((Calc!$F$3:$F$22&gt;=LTP!$E$5)*(Calc!$F$3:$F$22&lt;=k_n)*(Calc!$G$3:$G$22&gt;A883)*(Calc!$G$3:$G$22-A883))</f>
        <v/>
      </c>
      <c r="E883">
        <f>SUMPRODUCT((Calc!$F$3:$F$22&gt;=LTP!$E$5)*(Calc!$F$3:$F$22&lt;=k_n)*(Calc!$G$3:$G$22&gt;A883)*(Calc!$G$3:$G$22-A883)^2)</f>
        <v/>
      </c>
      <c r="F883">
        <f>SUMPRODUCT((Calc!$F$3:$F$22&gt;=LTP!$E$5)*(Calc!$F$3:$F$22&lt;=k_n)*(Calc!$G$3:$G$22&gt;A883)*(Calc!$G$3:$G$22-A883)*Calc!$G$3:$G$22)</f>
        <v/>
      </c>
      <c r="G883">
        <f>SUMPRODUCT((Calc!$F$3:$F$22&gt;=LTP!$E$5)*(Calc!$F$3:$F$22&lt;=k_n)*(Calc!$G$3:$G$22&gt;A883)*(Calc!$G$3:$G$22-A883)*Calc!$I$3:$I$22)</f>
        <v/>
      </c>
      <c r="H883">
        <f>IF($B$469&gt;0,F883-$C$469*D883/$B$469,0)</f>
        <v/>
      </c>
      <c r="I883">
        <f>IF($B$469&gt;0,E883-D883^2/$B$469,0)</f>
        <v/>
      </c>
      <c r="J883">
        <f>IF($B$469&gt;0,G883-D883*$D$469/$B$469,0)</f>
        <v/>
      </c>
      <c r="K883">
        <f>$H$469*I883-H883^2</f>
        <v/>
      </c>
      <c r="L883">
        <f>IF(ABS(K883)&gt;1E-12,($H$469*J883-H883*$I$469)/K883,0)</f>
        <v/>
      </c>
      <c r="M883">
        <f>IF(ABS(K883)&gt;1E-12,(I883*$I$469-H883*J883)/K883,0)</f>
        <v/>
      </c>
      <c r="N883">
        <f>$J$469-M883*$I$469-L883*J883</f>
        <v/>
      </c>
      <c r="O883">
        <f>IF(AND(C883,ABS(K883)&gt;1E-12,L883&gt;0),N883,1E+300)</f>
        <v/>
      </c>
    </row>
    <row r="884">
      <c r="A884">
        <f>$B$874-($L$469-$K$469)/400+2*($L$469-$K$469)/400*7/40</f>
        <v/>
      </c>
      <c r="B884">
        <f>SUMPRODUCT((Calc!$F$3:$F$22&gt;=LTP!$E$5)*(Calc!$F$3:$F$22&lt;=k_n)*(Calc!$G$3:$G$22&lt;=A884))</f>
        <v/>
      </c>
      <c r="C884">
        <f>AND(B884&gt;=2,$B$469-B884&gt;=2)</f>
        <v/>
      </c>
      <c r="D884">
        <f>SUMPRODUCT((Calc!$F$3:$F$22&gt;=LTP!$E$5)*(Calc!$F$3:$F$22&lt;=k_n)*(Calc!$G$3:$G$22&gt;A884)*(Calc!$G$3:$G$22-A884))</f>
        <v/>
      </c>
      <c r="E884">
        <f>SUMPRODUCT((Calc!$F$3:$F$22&gt;=LTP!$E$5)*(Calc!$F$3:$F$22&lt;=k_n)*(Calc!$G$3:$G$22&gt;A884)*(Calc!$G$3:$G$22-A884)^2)</f>
        <v/>
      </c>
      <c r="F884">
        <f>SUMPRODUCT((Calc!$F$3:$F$22&gt;=LTP!$E$5)*(Calc!$F$3:$F$22&lt;=k_n)*(Calc!$G$3:$G$22&gt;A884)*(Calc!$G$3:$G$22-A884)*Calc!$G$3:$G$22)</f>
        <v/>
      </c>
      <c r="G884">
        <f>SUMPRODUCT((Calc!$F$3:$F$22&gt;=LTP!$E$5)*(Calc!$F$3:$F$22&lt;=k_n)*(Calc!$G$3:$G$22&gt;A884)*(Calc!$G$3:$G$22-A884)*Calc!$I$3:$I$22)</f>
        <v/>
      </c>
      <c r="H884">
        <f>IF($B$469&gt;0,F884-$C$469*D884/$B$469,0)</f>
        <v/>
      </c>
      <c r="I884">
        <f>IF($B$469&gt;0,E884-D884^2/$B$469,0)</f>
        <v/>
      </c>
      <c r="J884">
        <f>IF($B$469&gt;0,G884-D884*$D$469/$B$469,0)</f>
        <v/>
      </c>
      <c r="K884">
        <f>$H$469*I884-H884^2</f>
        <v/>
      </c>
      <c r="L884">
        <f>IF(ABS(K884)&gt;1E-12,($H$469*J884-H884*$I$469)/K884,0)</f>
        <v/>
      </c>
      <c r="M884">
        <f>IF(ABS(K884)&gt;1E-12,(I884*$I$469-H884*J884)/K884,0)</f>
        <v/>
      </c>
      <c r="N884">
        <f>$J$469-M884*$I$469-L884*J884</f>
        <v/>
      </c>
      <c r="O884">
        <f>IF(AND(C884,ABS(K884)&gt;1E-12,L884&gt;0),N884,1E+300)</f>
        <v/>
      </c>
    </row>
    <row r="885">
      <c r="A885">
        <f>$B$874-($L$469-$K$469)/400+2*($L$469-$K$469)/400*8/40</f>
        <v/>
      </c>
      <c r="B885">
        <f>SUMPRODUCT((Calc!$F$3:$F$22&gt;=LTP!$E$5)*(Calc!$F$3:$F$22&lt;=k_n)*(Calc!$G$3:$G$22&lt;=A885))</f>
        <v/>
      </c>
      <c r="C885">
        <f>AND(B885&gt;=2,$B$469-B885&gt;=2)</f>
        <v/>
      </c>
      <c r="D885">
        <f>SUMPRODUCT((Calc!$F$3:$F$22&gt;=LTP!$E$5)*(Calc!$F$3:$F$22&lt;=k_n)*(Calc!$G$3:$G$22&gt;A885)*(Calc!$G$3:$G$22-A885))</f>
        <v/>
      </c>
      <c r="E885">
        <f>SUMPRODUCT((Calc!$F$3:$F$22&gt;=LTP!$E$5)*(Calc!$F$3:$F$22&lt;=k_n)*(Calc!$G$3:$G$22&gt;A885)*(Calc!$G$3:$G$22-A885)^2)</f>
        <v/>
      </c>
      <c r="F885">
        <f>SUMPRODUCT((Calc!$F$3:$F$22&gt;=LTP!$E$5)*(Calc!$F$3:$F$22&lt;=k_n)*(Calc!$G$3:$G$22&gt;A885)*(Calc!$G$3:$G$22-A885)*Calc!$G$3:$G$22)</f>
        <v/>
      </c>
      <c r="G885">
        <f>SUMPRODUCT((Calc!$F$3:$F$22&gt;=LTP!$E$5)*(Calc!$F$3:$F$22&lt;=k_n)*(Calc!$G$3:$G$22&gt;A885)*(Calc!$G$3:$G$22-A885)*Calc!$I$3:$I$22)</f>
        <v/>
      </c>
      <c r="H885">
        <f>IF($B$469&gt;0,F885-$C$469*D885/$B$469,0)</f>
        <v/>
      </c>
      <c r="I885">
        <f>IF($B$469&gt;0,E885-D885^2/$B$469,0)</f>
        <v/>
      </c>
      <c r="J885">
        <f>IF($B$469&gt;0,G885-D885*$D$469/$B$469,0)</f>
        <v/>
      </c>
      <c r="K885">
        <f>$H$469*I885-H885^2</f>
        <v/>
      </c>
      <c r="L885">
        <f>IF(ABS(K885)&gt;1E-12,($H$469*J885-H885*$I$469)/K885,0)</f>
        <v/>
      </c>
      <c r="M885">
        <f>IF(ABS(K885)&gt;1E-12,(I885*$I$469-H885*J885)/K885,0)</f>
        <v/>
      </c>
      <c r="N885">
        <f>$J$469-M885*$I$469-L885*J885</f>
        <v/>
      </c>
      <c r="O885">
        <f>IF(AND(C885,ABS(K885)&gt;1E-12,L885&gt;0),N885,1E+300)</f>
        <v/>
      </c>
    </row>
    <row r="886">
      <c r="A886">
        <f>$B$874-($L$469-$K$469)/400+2*($L$469-$K$469)/400*9/40</f>
        <v/>
      </c>
      <c r="B886">
        <f>SUMPRODUCT((Calc!$F$3:$F$22&gt;=LTP!$E$5)*(Calc!$F$3:$F$22&lt;=k_n)*(Calc!$G$3:$G$22&lt;=A886))</f>
        <v/>
      </c>
      <c r="C886">
        <f>AND(B886&gt;=2,$B$469-B886&gt;=2)</f>
        <v/>
      </c>
      <c r="D886">
        <f>SUMPRODUCT((Calc!$F$3:$F$22&gt;=LTP!$E$5)*(Calc!$F$3:$F$22&lt;=k_n)*(Calc!$G$3:$G$22&gt;A886)*(Calc!$G$3:$G$22-A886))</f>
        <v/>
      </c>
      <c r="E886">
        <f>SUMPRODUCT((Calc!$F$3:$F$22&gt;=LTP!$E$5)*(Calc!$F$3:$F$22&lt;=k_n)*(Calc!$G$3:$G$22&gt;A886)*(Calc!$G$3:$G$22-A886)^2)</f>
        <v/>
      </c>
      <c r="F886">
        <f>SUMPRODUCT((Calc!$F$3:$F$22&gt;=LTP!$E$5)*(Calc!$F$3:$F$22&lt;=k_n)*(Calc!$G$3:$G$22&gt;A886)*(Calc!$G$3:$G$22-A886)*Calc!$G$3:$G$22)</f>
        <v/>
      </c>
      <c r="G886">
        <f>SUMPRODUCT((Calc!$F$3:$F$22&gt;=LTP!$E$5)*(Calc!$F$3:$F$22&lt;=k_n)*(Calc!$G$3:$G$22&gt;A886)*(Calc!$G$3:$G$22-A886)*Calc!$I$3:$I$22)</f>
        <v/>
      </c>
      <c r="H886">
        <f>IF($B$469&gt;0,F886-$C$469*D886/$B$469,0)</f>
        <v/>
      </c>
      <c r="I886">
        <f>IF($B$469&gt;0,E886-D886^2/$B$469,0)</f>
        <v/>
      </c>
      <c r="J886">
        <f>IF($B$469&gt;0,G886-D886*$D$469/$B$469,0)</f>
        <v/>
      </c>
      <c r="K886">
        <f>$H$469*I886-H886^2</f>
        <v/>
      </c>
      <c r="L886">
        <f>IF(ABS(K886)&gt;1E-12,($H$469*J886-H886*$I$469)/K886,0)</f>
        <v/>
      </c>
      <c r="M886">
        <f>IF(ABS(K886)&gt;1E-12,(I886*$I$469-H886*J886)/K886,0)</f>
        <v/>
      </c>
      <c r="N886">
        <f>$J$469-M886*$I$469-L886*J886</f>
        <v/>
      </c>
      <c r="O886">
        <f>IF(AND(C886,ABS(K886)&gt;1E-12,L886&gt;0),N886,1E+300)</f>
        <v/>
      </c>
    </row>
    <row r="887">
      <c r="A887">
        <f>$B$874-($L$469-$K$469)/400+2*($L$469-$K$469)/400*10/40</f>
        <v/>
      </c>
      <c r="B887">
        <f>SUMPRODUCT((Calc!$F$3:$F$22&gt;=LTP!$E$5)*(Calc!$F$3:$F$22&lt;=k_n)*(Calc!$G$3:$G$22&lt;=A887))</f>
        <v/>
      </c>
      <c r="C887">
        <f>AND(B887&gt;=2,$B$469-B887&gt;=2)</f>
        <v/>
      </c>
      <c r="D887">
        <f>SUMPRODUCT((Calc!$F$3:$F$22&gt;=LTP!$E$5)*(Calc!$F$3:$F$22&lt;=k_n)*(Calc!$G$3:$G$22&gt;A887)*(Calc!$G$3:$G$22-A887))</f>
        <v/>
      </c>
      <c r="E887">
        <f>SUMPRODUCT((Calc!$F$3:$F$22&gt;=LTP!$E$5)*(Calc!$F$3:$F$22&lt;=k_n)*(Calc!$G$3:$G$22&gt;A887)*(Calc!$G$3:$G$22-A887)^2)</f>
        <v/>
      </c>
      <c r="F887">
        <f>SUMPRODUCT((Calc!$F$3:$F$22&gt;=LTP!$E$5)*(Calc!$F$3:$F$22&lt;=k_n)*(Calc!$G$3:$G$22&gt;A887)*(Calc!$G$3:$G$22-A887)*Calc!$G$3:$G$22)</f>
        <v/>
      </c>
      <c r="G887">
        <f>SUMPRODUCT((Calc!$F$3:$F$22&gt;=LTP!$E$5)*(Calc!$F$3:$F$22&lt;=k_n)*(Calc!$G$3:$G$22&gt;A887)*(Calc!$G$3:$G$22-A887)*Calc!$I$3:$I$22)</f>
        <v/>
      </c>
      <c r="H887">
        <f>IF($B$469&gt;0,F887-$C$469*D887/$B$469,0)</f>
        <v/>
      </c>
      <c r="I887">
        <f>IF($B$469&gt;0,E887-D887^2/$B$469,0)</f>
        <v/>
      </c>
      <c r="J887">
        <f>IF($B$469&gt;0,G887-D887*$D$469/$B$469,0)</f>
        <v/>
      </c>
      <c r="K887">
        <f>$H$469*I887-H887^2</f>
        <v/>
      </c>
      <c r="L887">
        <f>IF(ABS(K887)&gt;1E-12,($H$469*J887-H887*$I$469)/K887,0)</f>
        <v/>
      </c>
      <c r="M887">
        <f>IF(ABS(K887)&gt;1E-12,(I887*$I$469-H887*J887)/K887,0)</f>
        <v/>
      </c>
      <c r="N887">
        <f>$J$469-M887*$I$469-L887*J887</f>
        <v/>
      </c>
      <c r="O887">
        <f>IF(AND(C887,ABS(K887)&gt;1E-12,L887&gt;0),N887,1E+300)</f>
        <v/>
      </c>
    </row>
    <row r="888">
      <c r="A888">
        <f>$B$874-($L$469-$K$469)/400+2*($L$469-$K$469)/400*11/40</f>
        <v/>
      </c>
      <c r="B888">
        <f>SUMPRODUCT((Calc!$F$3:$F$22&gt;=LTP!$E$5)*(Calc!$F$3:$F$22&lt;=k_n)*(Calc!$G$3:$G$22&lt;=A888))</f>
        <v/>
      </c>
      <c r="C888">
        <f>AND(B888&gt;=2,$B$469-B888&gt;=2)</f>
        <v/>
      </c>
      <c r="D888">
        <f>SUMPRODUCT((Calc!$F$3:$F$22&gt;=LTP!$E$5)*(Calc!$F$3:$F$22&lt;=k_n)*(Calc!$G$3:$G$22&gt;A888)*(Calc!$G$3:$G$22-A888))</f>
        <v/>
      </c>
      <c r="E888">
        <f>SUMPRODUCT((Calc!$F$3:$F$22&gt;=LTP!$E$5)*(Calc!$F$3:$F$22&lt;=k_n)*(Calc!$G$3:$G$22&gt;A888)*(Calc!$G$3:$G$22-A888)^2)</f>
        <v/>
      </c>
      <c r="F888">
        <f>SUMPRODUCT((Calc!$F$3:$F$22&gt;=LTP!$E$5)*(Calc!$F$3:$F$22&lt;=k_n)*(Calc!$G$3:$G$22&gt;A888)*(Calc!$G$3:$G$22-A888)*Calc!$G$3:$G$22)</f>
        <v/>
      </c>
      <c r="G888">
        <f>SUMPRODUCT((Calc!$F$3:$F$22&gt;=LTP!$E$5)*(Calc!$F$3:$F$22&lt;=k_n)*(Calc!$G$3:$G$22&gt;A888)*(Calc!$G$3:$G$22-A888)*Calc!$I$3:$I$22)</f>
        <v/>
      </c>
      <c r="H888">
        <f>IF($B$469&gt;0,F888-$C$469*D888/$B$469,0)</f>
        <v/>
      </c>
      <c r="I888">
        <f>IF($B$469&gt;0,E888-D888^2/$B$469,0)</f>
        <v/>
      </c>
      <c r="J888">
        <f>IF($B$469&gt;0,G888-D888*$D$469/$B$469,0)</f>
        <v/>
      </c>
      <c r="K888">
        <f>$H$469*I888-H888^2</f>
        <v/>
      </c>
      <c r="L888">
        <f>IF(ABS(K888)&gt;1E-12,($H$469*J888-H888*$I$469)/K888,0)</f>
        <v/>
      </c>
      <c r="M888">
        <f>IF(ABS(K888)&gt;1E-12,(I888*$I$469-H888*J888)/K888,0)</f>
        <v/>
      </c>
      <c r="N888">
        <f>$J$469-M888*$I$469-L888*J888</f>
        <v/>
      </c>
      <c r="O888">
        <f>IF(AND(C888,ABS(K888)&gt;1E-12,L888&gt;0),N888,1E+300)</f>
        <v/>
      </c>
    </row>
    <row r="889">
      <c r="A889">
        <f>$B$874-($L$469-$K$469)/400+2*($L$469-$K$469)/400*12/40</f>
        <v/>
      </c>
      <c r="B889">
        <f>SUMPRODUCT((Calc!$F$3:$F$22&gt;=LTP!$E$5)*(Calc!$F$3:$F$22&lt;=k_n)*(Calc!$G$3:$G$22&lt;=A889))</f>
        <v/>
      </c>
      <c r="C889">
        <f>AND(B889&gt;=2,$B$469-B889&gt;=2)</f>
        <v/>
      </c>
      <c r="D889">
        <f>SUMPRODUCT((Calc!$F$3:$F$22&gt;=LTP!$E$5)*(Calc!$F$3:$F$22&lt;=k_n)*(Calc!$G$3:$G$22&gt;A889)*(Calc!$G$3:$G$22-A889))</f>
        <v/>
      </c>
      <c r="E889">
        <f>SUMPRODUCT((Calc!$F$3:$F$22&gt;=LTP!$E$5)*(Calc!$F$3:$F$22&lt;=k_n)*(Calc!$G$3:$G$22&gt;A889)*(Calc!$G$3:$G$22-A889)^2)</f>
        <v/>
      </c>
      <c r="F889">
        <f>SUMPRODUCT((Calc!$F$3:$F$22&gt;=LTP!$E$5)*(Calc!$F$3:$F$22&lt;=k_n)*(Calc!$G$3:$G$22&gt;A889)*(Calc!$G$3:$G$22-A889)*Calc!$G$3:$G$22)</f>
        <v/>
      </c>
      <c r="G889">
        <f>SUMPRODUCT((Calc!$F$3:$F$22&gt;=LTP!$E$5)*(Calc!$F$3:$F$22&lt;=k_n)*(Calc!$G$3:$G$22&gt;A889)*(Calc!$G$3:$G$22-A889)*Calc!$I$3:$I$22)</f>
        <v/>
      </c>
      <c r="H889">
        <f>IF($B$469&gt;0,F889-$C$469*D889/$B$469,0)</f>
        <v/>
      </c>
      <c r="I889">
        <f>IF($B$469&gt;0,E889-D889^2/$B$469,0)</f>
        <v/>
      </c>
      <c r="J889">
        <f>IF($B$469&gt;0,G889-D889*$D$469/$B$469,0)</f>
        <v/>
      </c>
      <c r="K889">
        <f>$H$469*I889-H889^2</f>
        <v/>
      </c>
      <c r="L889">
        <f>IF(ABS(K889)&gt;1E-12,($H$469*J889-H889*$I$469)/K889,0)</f>
        <v/>
      </c>
      <c r="M889">
        <f>IF(ABS(K889)&gt;1E-12,(I889*$I$469-H889*J889)/K889,0)</f>
        <v/>
      </c>
      <c r="N889">
        <f>$J$469-M889*$I$469-L889*J889</f>
        <v/>
      </c>
      <c r="O889">
        <f>IF(AND(C889,ABS(K889)&gt;1E-12,L889&gt;0),N889,1E+300)</f>
        <v/>
      </c>
    </row>
    <row r="890">
      <c r="A890">
        <f>$B$874-($L$469-$K$469)/400+2*($L$469-$K$469)/400*13/40</f>
        <v/>
      </c>
      <c r="B890">
        <f>SUMPRODUCT((Calc!$F$3:$F$22&gt;=LTP!$E$5)*(Calc!$F$3:$F$22&lt;=k_n)*(Calc!$G$3:$G$22&lt;=A890))</f>
        <v/>
      </c>
      <c r="C890">
        <f>AND(B890&gt;=2,$B$469-B890&gt;=2)</f>
        <v/>
      </c>
      <c r="D890">
        <f>SUMPRODUCT((Calc!$F$3:$F$22&gt;=LTP!$E$5)*(Calc!$F$3:$F$22&lt;=k_n)*(Calc!$G$3:$G$22&gt;A890)*(Calc!$G$3:$G$22-A890))</f>
        <v/>
      </c>
      <c r="E890">
        <f>SUMPRODUCT((Calc!$F$3:$F$22&gt;=LTP!$E$5)*(Calc!$F$3:$F$22&lt;=k_n)*(Calc!$G$3:$G$22&gt;A890)*(Calc!$G$3:$G$22-A890)^2)</f>
        <v/>
      </c>
      <c r="F890">
        <f>SUMPRODUCT((Calc!$F$3:$F$22&gt;=LTP!$E$5)*(Calc!$F$3:$F$22&lt;=k_n)*(Calc!$G$3:$G$22&gt;A890)*(Calc!$G$3:$G$22-A890)*Calc!$G$3:$G$22)</f>
        <v/>
      </c>
      <c r="G890">
        <f>SUMPRODUCT((Calc!$F$3:$F$22&gt;=LTP!$E$5)*(Calc!$F$3:$F$22&lt;=k_n)*(Calc!$G$3:$G$22&gt;A890)*(Calc!$G$3:$G$22-A890)*Calc!$I$3:$I$22)</f>
        <v/>
      </c>
      <c r="H890">
        <f>IF($B$469&gt;0,F890-$C$469*D890/$B$469,0)</f>
        <v/>
      </c>
      <c r="I890">
        <f>IF($B$469&gt;0,E890-D890^2/$B$469,0)</f>
        <v/>
      </c>
      <c r="J890">
        <f>IF($B$469&gt;0,G890-D890*$D$469/$B$469,0)</f>
        <v/>
      </c>
      <c r="K890">
        <f>$H$469*I890-H890^2</f>
        <v/>
      </c>
      <c r="L890">
        <f>IF(ABS(K890)&gt;1E-12,($H$469*J890-H890*$I$469)/K890,0)</f>
        <v/>
      </c>
      <c r="M890">
        <f>IF(ABS(K890)&gt;1E-12,(I890*$I$469-H890*J890)/K890,0)</f>
        <v/>
      </c>
      <c r="N890">
        <f>$J$469-M890*$I$469-L890*J890</f>
        <v/>
      </c>
      <c r="O890">
        <f>IF(AND(C890,ABS(K890)&gt;1E-12,L890&gt;0),N890,1E+300)</f>
        <v/>
      </c>
    </row>
    <row r="891">
      <c r="A891">
        <f>$B$874-($L$469-$K$469)/400+2*($L$469-$K$469)/400*14/40</f>
        <v/>
      </c>
      <c r="B891">
        <f>SUMPRODUCT((Calc!$F$3:$F$22&gt;=LTP!$E$5)*(Calc!$F$3:$F$22&lt;=k_n)*(Calc!$G$3:$G$22&lt;=A891))</f>
        <v/>
      </c>
      <c r="C891">
        <f>AND(B891&gt;=2,$B$469-B891&gt;=2)</f>
        <v/>
      </c>
      <c r="D891">
        <f>SUMPRODUCT((Calc!$F$3:$F$22&gt;=LTP!$E$5)*(Calc!$F$3:$F$22&lt;=k_n)*(Calc!$G$3:$G$22&gt;A891)*(Calc!$G$3:$G$22-A891))</f>
        <v/>
      </c>
      <c r="E891">
        <f>SUMPRODUCT((Calc!$F$3:$F$22&gt;=LTP!$E$5)*(Calc!$F$3:$F$22&lt;=k_n)*(Calc!$G$3:$G$22&gt;A891)*(Calc!$G$3:$G$22-A891)^2)</f>
        <v/>
      </c>
      <c r="F891">
        <f>SUMPRODUCT((Calc!$F$3:$F$22&gt;=LTP!$E$5)*(Calc!$F$3:$F$22&lt;=k_n)*(Calc!$G$3:$G$22&gt;A891)*(Calc!$G$3:$G$22-A891)*Calc!$G$3:$G$22)</f>
        <v/>
      </c>
      <c r="G891">
        <f>SUMPRODUCT((Calc!$F$3:$F$22&gt;=LTP!$E$5)*(Calc!$F$3:$F$22&lt;=k_n)*(Calc!$G$3:$G$22&gt;A891)*(Calc!$G$3:$G$22-A891)*Calc!$I$3:$I$22)</f>
        <v/>
      </c>
      <c r="H891">
        <f>IF($B$469&gt;0,F891-$C$469*D891/$B$469,0)</f>
        <v/>
      </c>
      <c r="I891">
        <f>IF($B$469&gt;0,E891-D891^2/$B$469,0)</f>
        <v/>
      </c>
      <c r="J891">
        <f>IF($B$469&gt;0,G891-D891*$D$469/$B$469,0)</f>
        <v/>
      </c>
      <c r="K891">
        <f>$H$469*I891-H891^2</f>
        <v/>
      </c>
      <c r="L891">
        <f>IF(ABS(K891)&gt;1E-12,($H$469*J891-H891*$I$469)/K891,0)</f>
        <v/>
      </c>
      <c r="M891">
        <f>IF(ABS(K891)&gt;1E-12,(I891*$I$469-H891*J891)/K891,0)</f>
        <v/>
      </c>
      <c r="N891">
        <f>$J$469-M891*$I$469-L891*J891</f>
        <v/>
      </c>
      <c r="O891">
        <f>IF(AND(C891,ABS(K891)&gt;1E-12,L891&gt;0),N891,1E+300)</f>
        <v/>
      </c>
    </row>
    <row r="892">
      <c r="A892">
        <f>$B$874-($L$469-$K$469)/400+2*($L$469-$K$469)/400*15/40</f>
        <v/>
      </c>
      <c r="B892">
        <f>SUMPRODUCT((Calc!$F$3:$F$22&gt;=LTP!$E$5)*(Calc!$F$3:$F$22&lt;=k_n)*(Calc!$G$3:$G$22&lt;=A892))</f>
        <v/>
      </c>
      <c r="C892">
        <f>AND(B892&gt;=2,$B$469-B892&gt;=2)</f>
        <v/>
      </c>
      <c r="D892">
        <f>SUMPRODUCT((Calc!$F$3:$F$22&gt;=LTP!$E$5)*(Calc!$F$3:$F$22&lt;=k_n)*(Calc!$G$3:$G$22&gt;A892)*(Calc!$G$3:$G$22-A892))</f>
        <v/>
      </c>
      <c r="E892">
        <f>SUMPRODUCT((Calc!$F$3:$F$22&gt;=LTP!$E$5)*(Calc!$F$3:$F$22&lt;=k_n)*(Calc!$G$3:$G$22&gt;A892)*(Calc!$G$3:$G$22-A892)^2)</f>
        <v/>
      </c>
      <c r="F892">
        <f>SUMPRODUCT((Calc!$F$3:$F$22&gt;=LTP!$E$5)*(Calc!$F$3:$F$22&lt;=k_n)*(Calc!$G$3:$G$22&gt;A892)*(Calc!$G$3:$G$22-A892)*Calc!$G$3:$G$22)</f>
        <v/>
      </c>
      <c r="G892">
        <f>SUMPRODUCT((Calc!$F$3:$F$22&gt;=LTP!$E$5)*(Calc!$F$3:$F$22&lt;=k_n)*(Calc!$G$3:$G$22&gt;A892)*(Calc!$G$3:$G$22-A892)*Calc!$I$3:$I$22)</f>
        <v/>
      </c>
      <c r="H892">
        <f>IF($B$469&gt;0,F892-$C$469*D892/$B$469,0)</f>
        <v/>
      </c>
      <c r="I892">
        <f>IF($B$469&gt;0,E892-D892^2/$B$469,0)</f>
        <v/>
      </c>
      <c r="J892">
        <f>IF($B$469&gt;0,G892-D892*$D$469/$B$469,0)</f>
        <v/>
      </c>
      <c r="K892">
        <f>$H$469*I892-H892^2</f>
        <v/>
      </c>
      <c r="L892">
        <f>IF(ABS(K892)&gt;1E-12,($H$469*J892-H892*$I$469)/K892,0)</f>
        <v/>
      </c>
      <c r="M892">
        <f>IF(ABS(K892)&gt;1E-12,(I892*$I$469-H892*J892)/K892,0)</f>
        <v/>
      </c>
      <c r="N892">
        <f>$J$469-M892*$I$469-L892*J892</f>
        <v/>
      </c>
      <c r="O892">
        <f>IF(AND(C892,ABS(K892)&gt;1E-12,L892&gt;0),N892,1E+300)</f>
        <v/>
      </c>
    </row>
    <row r="893">
      <c r="A893">
        <f>$B$874-($L$469-$K$469)/400+2*($L$469-$K$469)/400*16/40</f>
        <v/>
      </c>
      <c r="B893">
        <f>SUMPRODUCT((Calc!$F$3:$F$22&gt;=LTP!$E$5)*(Calc!$F$3:$F$22&lt;=k_n)*(Calc!$G$3:$G$22&lt;=A893))</f>
        <v/>
      </c>
      <c r="C893">
        <f>AND(B893&gt;=2,$B$469-B893&gt;=2)</f>
        <v/>
      </c>
      <c r="D893">
        <f>SUMPRODUCT((Calc!$F$3:$F$22&gt;=LTP!$E$5)*(Calc!$F$3:$F$22&lt;=k_n)*(Calc!$G$3:$G$22&gt;A893)*(Calc!$G$3:$G$22-A893))</f>
        <v/>
      </c>
      <c r="E893">
        <f>SUMPRODUCT((Calc!$F$3:$F$22&gt;=LTP!$E$5)*(Calc!$F$3:$F$22&lt;=k_n)*(Calc!$G$3:$G$22&gt;A893)*(Calc!$G$3:$G$22-A893)^2)</f>
        <v/>
      </c>
      <c r="F893">
        <f>SUMPRODUCT((Calc!$F$3:$F$22&gt;=LTP!$E$5)*(Calc!$F$3:$F$22&lt;=k_n)*(Calc!$G$3:$G$22&gt;A893)*(Calc!$G$3:$G$22-A893)*Calc!$G$3:$G$22)</f>
        <v/>
      </c>
      <c r="G893">
        <f>SUMPRODUCT((Calc!$F$3:$F$22&gt;=LTP!$E$5)*(Calc!$F$3:$F$22&lt;=k_n)*(Calc!$G$3:$G$22&gt;A893)*(Calc!$G$3:$G$22-A893)*Calc!$I$3:$I$22)</f>
        <v/>
      </c>
      <c r="H893">
        <f>IF($B$469&gt;0,F893-$C$469*D893/$B$469,0)</f>
        <v/>
      </c>
      <c r="I893">
        <f>IF($B$469&gt;0,E893-D893^2/$B$469,0)</f>
        <v/>
      </c>
      <c r="J893">
        <f>IF($B$469&gt;0,G893-D893*$D$469/$B$469,0)</f>
        <v/>
      </c>
      <c r="K893">
        <f>$H$469*I893-H893^2</f>
        <v/>
      </c>
      <c r="L893">
        <f>IF(ABS(K893)&gt;1E-12,($H$469*J893-H893*$I$469)/K893,0)</f>
        <v/>
      </c>
      <c r="M893">
        <f>IF(ABS(K893)&gt;1E-12,(I893*$I$469-H893*J893)/K893,0)</f>
        <v/>
      </c>
      <c r="N893">
        <f>$J$469-M893*$I$469-L893*J893</f>
        <v/>
      </c>
      <c r="O893">
        <f>IF(AND(C893,ABS(K893)&gt;1E-12,L893&gt;0),N893,1E+300)</f>
        <v/>
      </c>
    </row>
    <row r="894">
      <c r="A894">
        <f>$B$874-($L$469-$K$469)/400+2*($L$469-$K$469)/400*17/40</f>
        <v/>
      </c>
      <c r="B894">
        <f>SUMPRODUCT((Calc!$F$3:$F$22&gt;=LTP!$E$5)*(Calc!$F$3:$F$22&lt;=k_n)*(Calc!$G$3:$G$22&lt;=A894))</f>
        <v/>
      </c>
      <c r="C894">
        <f>AND(B894&gt;=2,$B$469-B894&gt;=2)</f>
        <v/>
      </c>
      <c r="D894">
        <f>SUMPRODUCT((Calc!$F$3:$F$22&gt;=LTP!$E$5)*(Calc!$F$3:$F$22&lt;=k_n)*(Calc!$G$3:$G$22&gt;A894)*(Calc!$G$3:$G$22-A894))</f>
        <v/>
      </c>
      <c r="E894">
        <f>SUMPRODUCT((Calc!$F$3:$F$22&gt;=LTP!$E$5)*(Calc!$F$3:$F$22&lt;=k_n)*(Calc!$G$3:$G$22&gt;A894)*(Calc!$G$3:$G$22-A894)^2)</f>
        <v/>
      </c>
      <c r="F894">
        <f>SUMPRODUCT((Calc!$F$3:$F$22&gt;=LTP!$E$5)*(Calc!$F$3:$F$22&lt;=k_n)*(Calc!$G$3:$G$22&gt;A894)*(Calc!$G$3:$G$22-A894)*Calc!$G$3:$G$22)</f>
        <v/>
      </c>
      <c r="G894">
        <f>SUMPRODUCT((Calc!$F$3:$F$22&gt;=LTP!$E$5)*(Calc!$F$3:$F$22&lt;=k_n)*(Calc!$G$3:$G$22&gt;A894)*(Calc!$G$3:$G$22-A894)*Calc!$I$3:$I$22)</f>
        <v/>
      </c>
      <c r="H894">
        <f>IF($B$469&gt;0,F894-$C$469*D894/$B$469,0)</f>
        <v/>
      </c>
      <c r="I894">
        <f>IF($B$469&gt;0,E894-D894^2/$B$469,0)</f>
        <v/>
      </c>
      <c r="J894">
        <f>IF($B$469&gt;0,G894-D894*$D$469/$B$469,0)</f>
        <v/>
      </c>
      <c r="K894">
        <f>$H$469*I894-H894^2</f>
        <v/>
      </c>
      <c r="L894">
        <f>IF(ABS(K894)&gt;1E-12,($H$469*J894-H894*$I$469)/K894,0)</f>
        <v/>
      </c>
      <c r="M894">
        <f>IF(ABS(K894)&gt;1E-12,(I894*$I$469-H894*J894)/K894,0)</f>
        <v/>
      </c>
      <c r="N894">
        <f>$J$469-M894*$I$469-L894*J894</f>
        <v/>
      </c>
      <c r="O894">
        <f>IF(AND(C894,ABS(K894)&gt;1E-12,L894&gt;0),N894,1E+300)</f>
        <v/>
      </c>
    </row>
    <row r="895">
      <c r="A895">
        <f>$B$874-($L$469-$K$469)/400+2*($L$469-$K$469)/400*18/40</f>
        <v/>
      </c>
      <c r="B895">
        <f>SUMPRODUCT((Calc!$F$3:$F$22&gt;=LTP!$E$5)*(Calc!$F$3:$F$22&lt;=k_n)*(Calc!$G$3:$G$22&lt;=A895))</f>
        <v/>
      </c>
      <c r="C895">
        <f>AND(B895&gt;=2,$B$469-B895&gt;=2)</f>
        <v/>
      </c>
      <c r="D895">
        <f>SUMPRODUCT((Calc!$F$3:$F$22&gt;=LTP!$E$5)*(Calc!$F$3:$F$22&lt;=k_n)*(Calc!$G$3:$G$22&gt;A895)*(Calc!$G$3:$G$22-A895))</f>
        <v/>
      </c>
      <c r="E895">
        <f>SUMPRODUCT((Calc!$F$3:$F$22&gt;=LTP!$E$5)*(Calc!$F$3:$F$22&lt;=k_n)*(Calc!$G$3:$G$22&gt;A895)*(Calc!$G$3:$G$22-A895)^2)</f>
        <v/>
      </c>
      <c r="F895">
        <f>SUMPRODUCT((Calc!$F$3:$F$22&gt;=LTP!$E$5)*(Calc!$F$3:$F$22&lt;=k_n)*(Calc!$G$3:$G$22&gt;A895)*(Calc!$G$3:$G$22-A895)*Calc!$G$3:$G$22)</f>
        <v/>
      </c>
      <c r="G895">
        <f>SUMPRODUCT((Calc!$F$3:$F$22&gt;=LTP!$E$5)*(Calc!$F$3:$F$22&lt;=k_n)*(Calc!$G$3:$G$22&gt;A895)*(Calc!$G$3:$G$22-A895)*Calc!$I$3:$I$22)</f>
        <v/>
      </c>
      <c r="H895">
        <f>IF($B$469&gt;0,F895-$C$469*D895/$B$469,0)</f>
        <v/>
      </c>
      <c r="I895">
        <f>IF($B$469&gt;0,E895-D895^2/$B$469,0)</f>
        <v/>
      </c>
      <c r="J895">
        <f>IF($B$469&gt;0,G895-D895*$D$469/$B$469,0)</f>
        <v/>
      </c>
      <c r="K895">
        <f>$H$469*I895-H895^2</f>
        <v/>
      </c>
      <c r="L895">
        <f>IF(ABS(K895)&gt;1E-12,($H$469*J895-H895*$I$469)/K895,0)</f>
        <v/>
      </c>
      <c r="M895">
        <f>IF(ABS(K895)&gt;1E-12,(I895*$I$469-H895*J895)/K895,0)</f>
        <v/>
      </c>
      <c r="N895">
        <f>$J$469-M895*$I$469-L895*J895</f>
        <v/>
      </c>
      <c r="O895">
        <f>IF(AND(C895,ABS(K895)&gt;1E-12,L895&gt;0),N895,1E+300)</f>
        <v/>
      </c>
    </row>
    <row r="896">
      <c r="A896">
        <f>$B$874-($L$469-$K$469)/400+2*($L$469-$K$469)/400*19/40</f>
        <v/>
      </c>
      <c r="B896">
        <f>SUMPRODUCT((Calc!$F$3:$F$22&gt;=LTP!$E$5)*(Calc!$F$3:$F$22&lt;=k_n)*(Calc!$G$3:$G$22&lt;=A896))</f>
        <v/>
      </c>
      <c r="C896">
        <f>AND(B896&gt;=2,$B$469-B896&gt;=2)</f>
        <v/>
      </c>
      <c r="D896">
        <f>SUMPRODUCT((Calc!$F$3:$F$22&gt;=LTP!$E$5)*(Calc!$F$3:$F$22&lt;=k_n)*(Calc!$G$3:$G$22&gt;A896)*(Calc!$G$3:$G$22-A896))</f>
        <v/>
      </c>
      <c r="E896">
        <f>SUMPRODUCT((Calc!$F$3:$F$22&gt;=LTP!$E$5)*(Calc!$F$3:$F$22&lt;=k_n)*(Calc!$G$3:$G$22&gt;A896)*(Calc!$G$3:$G$22-A896)^2)</f>
        <v/>
      </c>
      <c r="F896">
        <f>SUMPRODUCT((Calc!$F$3:$F$22&gt;=LTP!$E$5)*(Calc!$F$3:$F$22&lt;=k_n)*(Calc!$G$3:$G$22&gt;A896)*(Calc!$G$3:$G$22-A896)*Calc!$G$3:$G$22)</f>
        <v/>
      </c>
      <c r="G896">
        <f>SUMPRODUCT((Calc!$F$3:$F$22&gt;=LTP!$E$5)*(Calc!$F$3:$F$22&lt;=k_n)*(Calc!$G$3:$G$22&gt;A896)*(Calc!$G$3:$G$22-A896)*Calc!$I$3:$I$22)</f>
        <v/>
      </c>
      <c r="H896">
        <f>IF($B$469&gt;0,F896-$C$469*D896/$B$469,0)</f>
        <v/>
      </c>
      <c r="I896">
        <f>IF($B$469&gt;0,E896-D896^2/$B$469,0)</f>
        <v/>
      </c>
      <c r="J896">
        <f>IF($B$469&gt;0,G896-D896*$D$469/$B$469,0)</f>
        <v/>
      </c>
      <c r="K896">
        <f>$H$469*I896-H896^2</f>
        <v/>
      </c>
      <c r="L896">
        <f>IF(ABS(K896)&gt;1E-12,($H$469*J896-H896*$I$469)/K896,0)</f>
        <v/>
      </c>
      <c r="M896">
        <f>IF(ABS(K896)&gt;1E-12,(I896*$I$469-H896*J896)/K896,0)</f>
        <v/>
      </c>
      <c r="N896">
        <f>$J$469-M896*$I$469-L896*J896</f>
        <v/>
      </c>
      <c r="O896">
        <f>IF(AND(C896,ABS(K896)&gt;1E-12,L896&gt;0),N896,1E+300)</f>
        <v/>
      </c>
    </row>
    <row r="897">
      <c r="A897">
        <f>$B$874-($L$469-$K$469)/400+2*($L$469-$K$469)/400*20/40</f>
        <v/>
      </c>
      <c r="B897">
        <f>SUMPRODUCT((Calc!$F$3:$F$22&gt;=LTP!$E$5)*(Calc!$F$3:$F$22&lt;=k_n)*(Calc!$G$3:$G$22&lt;=A897))</f>
        <v/>
      </c>
      <c r="C897">
        <f>AND(B897&gt;=2,$B$469-B897&gt;=2)</f>
        <v/>
      </c>
      <c r="D897">
        <f>SUMPRODUCT((Calc!$F$3:$F$22&gt;=LTP!$E$5)*(Calc!$F$3:$F$22&lt;=k_n)*(Calc!$G$3:$G$22&gt;A897)*(Calc!$G$3:$G$22-A897))</f>
        <v/>
      </c>
      <c r="E897">
        <f>SUMPRODUCT((Calc!$F$3:$F$22&gt;=LTP!$E$5)*(Calc!$F$3:$F$22&lt;=k_n)*(Calc!$G$3:$G$22&gt;A897)*(Calc!$G$3:$G$22-A897)^2)</f>
        <v/>
      </c>
      <c r="F897">
        <f>SUMPRODUCT((Calc!$F$3:$F$22&gt;=LTP!$E$5)*(Calc!$F$3:$F$22&lt;=k_n)*(Calc!$G$3:$G$22&gt;A897)*(Calc!$G$3:$G$22-A897)*Calc!$G$3:$G$22)</f>
        <v/>
      </c>
      <c r="G897">
        <f>SUMPRODUCT((Calc!$F$3:$F$22&gt;=LTP!$E$5)*(Calc!$F$3:$F$22&lt;=k_n)*(Calc!$G$3:$G$22&gt;A897)*(Calc!$G$3:$G$22-A897)*Calc!$I$3:$I$22)</f>
        <v/>
      </c>
      <c r="H897">
        <f>IF($B$469&gt;0,F897-$C$469*D897/$B$469,0)</f>
        <v/>
      </c>
      <c r="I897">
        <f>IF($B$469&gt;0,E897-D897^2/$B$469,0)</f>
        <v/>
      </c>
      <c r="J897">
        <f>IF($B$469&gt;0,G897-D897*$D$469/$B$469,0)</f>
        <v/>
      </c>
      <c r="K897">
        <f>$H$469*I897-H897^2</f>
        <v/>
      </c>
      <c r="L897">
        <f>IF(ABS(K897)&gt;1E-12,($H$469*J897-H897*$I$469)/K897,0)</f>
        <v/>
      </c>
      <c r="M897">
        <f>IF(ABS(K897)&gt;1E-12,(I897*$I$469-H897*J897)/K897,0)</f>
        <v/>
      </c>
      <c r="N897">
        <f>$J$469-M897*$I$469-L897*J897</f>
        <v/>
      </c>
      <c r="O897">
        <f>IF(AND(C897,ABS(K897)&gt;1E-12,L897&gt;0),N897,1E+300)</f>
        <v/>
      </c>
    </row>
    <row r="898">
      <c r="A898">
        <f>$B$874-($L$469-$K$469)/400+2*($L$469-$K$469)/400*21/40</f>
        <v/>
      </c>
      <c r="B898">
        <f>SUMPRODUCT((Calc!$F$3:$F$22&gt;=LTP!$E$5)*(Calc!$F$3:$F$22&lt;=k_n)*(Calc!$G$3:$G$22&lt;=A898))</f>
        <v/>
      </c>
      <c r="C898">
        <f>AND(B898&gt;=2,$B$469-B898&gt;=2)</f>
        <v/>
      </c>
      <c r="D898">
        <f>SUMPRODUCT((Calc!$F$3:$F$22&gt;=LTP!$E$5)*(Calc!$F$3:$F$22&lt;=k_n)*(Calc!$G$3:$G$22&gt;A898)*(Calc!$G$3:$G$22-A898))</f>
        <v/>
      </c>
      <c r="E898">
        <f>SUMPRODUCT((Calc!$F$3:$F$22&gt;=LTP!$E$5)*(Calc!$F$3:$F$22&lt;=k_n)*(Calc!$G$3:$G$22&gt;A898)*(Calc!$G$3:$G$22-A898)^2)</f>
        <v/>
      </c>
      <c r="F898">
        <f>SUMPRODUCT((Calc!$F$3:$F$22&gt;=LTP!$E$5)*(Calc!$F$3:$F$22&lt;=k_n)*(Calc!$G$3:$G$22&gt;A898)*(Calc!$G$3:$G$22-A898)*Calc!$G$3:$G$22)</f>
        <v/>
      </c>
      <c r="G898">
        <f>SUMPRODUCT((Calc!$F$3:$F$22&gt;=LTP!$E$5)*(Calc!$F$3:$F$22&lt;=k_n)*(Calc!$G$3:$G$22&gt;A898)*(Calc!$G$3:$G$22-A898)*Calc!$I$3:$I$22)</f>
        <v/>
      </c>
      <c r="H898">
        <f>IF($B$469&gt;0,F898-$C$469*D898/$B$469,0)</f>
        <v/>
      </c>
      <c r="I898">
        <f>IF($B$469&gt;0,E898-D898^2/$B$469,0)</f>
        <v/>
      </c>
      <c r="J898">
        <f>IF($B$469&gt;0,G898-D898*$D$469/$B$469,0)</f>
        <v/>
      </c>
      <c r="K898">
        <f>$H$469*I898-H898^2</f>
        <v/>
      </c>
      <c r="L898">
        <f>IF(ABS(K898)&gt;1E-12,($H$469*J898-H898*$I$469)/K898,0)</f>
        <v/>
      </c>
      <c r="M898">
        <f>IF(ABS(K898)&gt;1E-12,(I898*$I$469-H898*J898)/K898,0)</f>
        <v/>
      </c>
      <c r="N898">
        <f>$J$469-M898*$I$469-L898*J898</f>
        <v/>
      </c>
      <c r="O898">
        <f>IF(AND(C898,ABS(K898)&gt;1E-12,L898&gt;0),N898,1E+300)</f>
        <v/>
      </c>
    </row>
    <row r="899">
      <c r="A899">
        <f>$B$874-($L$469-$K$469)/400+2*($L$469-$K$469)/400*22/40</f>
        <v/>
      </c>
      <c r="B899">
        <f>SUMPRODUCT((Calc!$F$3:$F$22&gt;=LTP!$E$5)*(Calc!$F$3:$F$22&lt;=k_n)*(Calc!$G$3:$G$22&lt;=A899))</f>
        <v/>
      </c>
      <c r="C899">
        <f>AND(B899&gt;=2,$B$469-B899&gt;=2)</f>
        <v/>
      </c>
      <c r="D899">
        <f>SUMPRODUCT((Calc!$F$3:$F$22&gt;=LTP!$E$5)*(Calc!$F$3:$F$22&lt;=k_n)*(Calc!$G$3:$G$22&gt;A899)*(Calc!$G$3:$G$22-A899))</f>
        <v/>
      </c>
      <c r="E899">
        <f>SUMPRODUCT((Calc!$F$3:$F$22&gt;=LTP!$E$5)*(Calc!$F$3:$F$22&lt;=k_n)*(Calc!$G$3:$G$22&gt;A899)*(Calc!$G$3:$G$22-A899)^2)</f>
        <v/>
      </c>
      <c r="F899">
        <f>SUMPRODUCT((Calc!$F$3:$F$22&gt;=LTP!$E$5)*(Calc!$F$3:$F$22&lt;=k_n)*(Calc!$G$3:$G$22&gt;A899)*(Calc!$G$3:$G$22-A899)*Calc!$G$3:$G$22)</f>
        <v/>
      </c>
      <c r="G899">
        <f>SUMPRODUCT((Calc!$F$3:$F$22&gt;=LTP!$E$5)*(Calc!$F$3:$F$22&lt;=k_n)*(Calc!$G$3:$G$22&gt;A899)*(Calc!$G$3:$G$22-A899)*Calc!$I$3:$I$22)</f>
        <v/>
      </c>
      <c r="H899">
        <f>IF($B$469&gt;0,F899-$C$469*D899/$B$469,0)</f>
        <v/>
      </c>
      <c r="I899">
        <f>IF($B$469&gt;0,E899-D899^2/$B$469,0)</f>
        <v/>
      </c>
      <c r="J899">
        <f>IF($B$469&gt;0,G899-D899*$D$469/$B$469,0)</f>
        <v/>
      </c>
      <c r="K899">
        <f>$H$469*I899-H899^2</f>
        <v/>
      </c>
      <c r="L899">
        <f>IF(ABS(K899)&gt;1E-12,($H$469*J899-H899*$I$469)/K899,0)</f>
        <v/>
      </c>
      <c r="M899">
        <f>IF(ABS(K899)&gt;1E-12,(I899*$I$469-H899*J899)/K899,0)</f>
        <v/>
      </c>
      <c r="N899">
        <f>$J$469-M899*$I$469-L899*J899</f>
        <v/>
      </c>
      <c r="O899">
        <f>IF(AND(C899,ABS(K899)&gt;1E-12,L899&gt;0),N899,1E+300)</f>
        <v/>
      </c>
    </row>
    <row r="900">
      <c r="A900">
        <f>$B$874-($L$469-$K$469)/400+2*($L$469-$K$469)/400*23/40</f>
        <v/>
      </c>
      <c r="B900">
        <f>SUMPRODUCT((Calc!$F$3:$F$22&gt;=LTP!$E$5)*(Calc!$F$3:$F$22&lt;=k_n)*(Calc!$G$3:$G$22&lt;=A900))</f>
        <v/>
      </c>
      <c r="C900">
        <f>AND(B900&gt;=2,$B$469-B900&gt;=2)</f>
        <v/>
      </c>
      <c r="D900">
        <f>SUMPRODUCT((Calc!$F$3:$F$22&gt;=LTP!$E$5)*(Calc!$F$3:$F$22&lt;=k_n)*(Calc!$G$3:$G$22&gt;A900)*(Calc!$G$3:$G$22-A900))</f>
        <v/>
      </c>
      <c r="E900">
        <f>SUMPRODUCT((Calc!$F$3:$F$22&gt;=LTP!$E$5)*(Calc!$F$3:$F$22&lt;=k_n)*(Calc!$G$3:$G$22&gt;A900)*(Calc!$G$3:$G$22-A900)^2)</f>
        <v/>
      </c>
      <c r="F900">
        <f>SUMPRODUCT((Calc!$F$3:$F$22&gt;=LTP!$E$5)*(Calc!$F$3:$F$22&lt;=k_n)*(Calc!$G$3:$G$22&gt;A900)*(Calc!$G$3:$G$22-A900)*Calc!$G$3:$G$22)</f>
        <v/>
      </c>
      <c r="G900">
        <f>SUMPRODUCT((Calc!$F$3:$F$22&gt;=LTP!$E$5)*(Calc!$F$3:$F$22&lt;=k_n)*(Calc!$G$3:$G$22&gt;A900)*(Calc!$G$3:$G$22-A900)*Calc!$I$3:$I$22)</f>
        <v/>
      </c>
      <c r="H900">
        <f>IF($B$469&gt;0,F900-$C$469*D900/$B$469,0)</f>
        <v/>
      </c>
      <c r="I900">
        <f>IF($B$469&gt;0,E900-D900^2/$B$469,0)</f>
        <v/>
      </c>
      <c r="J900">
        <f>IF($B$469&gt;0,G900-D900*$D$469/$B$469,0)</f>
        <v/>
      </c>
      <c r="K900">
        <f>$H$469*I900-H900^2</f>
        <v/>
      </c>
      <c r="L900">
        <f>IF(ABS(K900)&gt;1E-12,($H$469*J900-H900*$I$469)/K900,0)</f>
        <v/>
      </c>
      <c r="M900">
        <f>IF(ABS(K900)&gt;1E-12,(I900*$I$469-H900*J900)/K900,0)</f>
        <v/>
      </c>
      <c r="N900">
        <f>$J$469-M900*$I$469-L900*J900</f>
        <v/>
      </c>
      <c r="O900">
        <f>IF(AND(C900,ABS(K900)&gt;1E-12,L900&gt;0),N900,1E+300)</f>
        <v/>
      </c>
    </row>
    <row r="901">
      <c r="A901">
        <f>$B$874-($L$469-$K$469)/400+2*($L$469-$K$469)/400*24/40</f>
        <v/>
      </c>
      <c r="B901">
        <f>SUMPRODUCT((Calc!$F$3:$F$22&gt;=LTP!$E$5)*(Calc!$F$3:$F$22&lt;=k_n)*(Calc!$G$3:$G$22&lt;=A901))</f>
        <v/>
      </c>
      <c r="C901">
        <f>AND(B901&gt;=2,$B$469-B901&gt;=2)</f>
        <v/>
      </c>
      <c r="D901">
        <f>SUMPRODUCT((Calc!$F$3:$F$22&gt;=LTP!$E$5)*(Calc!$F$3:$F$22&lt;=k_n)*(Calc!$G$3:$G$22&gt;A901)*(Calc!$G$3:$G$22-A901))</f>
        <v/>
      </c>
      <c r="E901">
        <f>SUMPRODUCT((Calc!$F$3:$F$22&gt;=LTP!$E$5)*(Calc!$F$3:$F$22&lt;=k_n)*(Calc!$G$3:$G$22&gt;A901)*(Calc!$G$3:$G$22-A901)^2)</f>
        <v/>
      </c>
      <c r="F901">
        <f>SUMPRODUCT((Calc!$F$3:$F$22&gt;=LTP!$E$5)*(Calc!$F$3:$F$22&lt;=k_n)*(Calc!$G$3:$G$22&gt;A901)*(Calc!$G$3:$G$22-A901)*Calc!$G$3:$G$22)</f>
        <v/>
      </c>
      <c r="G901">
        <f>SUMPRODUCT((Calc!$F$3:$F$22&gt;=LTP!$E$5)*(Calc!$F$3:$F$22&lt;=k_n)*(Calc!$G$3:$G$22&gt;A901)*(Calc!$G$3:$G$22-A901)*Calc!$I$3:$I$22)</f>
        <v/>
      </c>
      <c r="H901">
        <f>IF($B$469&gt;0,F901-$C$469*D901/$B$469,0)</f>
        <v/>
      </c>
      <c r="I901">
        <f>IF($B$469&gt;0,E901-D901^2/$B$469,0)</f>
        <v/>
      </c>
      <c r="J901">
        <f>IF($B$469&gt;0,G901-D901*$D$469/$B$469,0)</f>
        <v/>
      </c>
      <c r="K901">
        <f>$H$469*I901-H901^2</f>
        <v/>
      </c>
      <c r="L901">
        <f>IF(ABS(K901)&gt;1E-12,($H$469*J901-H901*$I$469)/K901,0)</f>
        <v/>
      </c>
      <c r="M901">
        <f>IF(ABS(K901)&gt;1E-12,(I901*$I$469-H901*J901)/K901,0)</f>
        <v/>
      </c>
      <c r="N901">
        <f>$J$469-M901*$I$469-L901*J901</f>
        <v/>
      </c>
      <c r="O901">
        <f>IF(AND(C901,ABS(K901)&gt;1E-12,L901&gt;0),N901,1E+300)</f>
        <v/>
      </c>
    </row>
    <row r="902">
      <c r="A902">
        <f>$B$874-($L$469-$K$469)/400+2*($L$469-$K$469)/400*25/40</f>
        <v/>
      </c>
      <c r="B902">
        <f>SUMPRODUCT((Calc!$F$3:$F$22&gt;=LTP!$E$5)*(Calc!$F$3:$F$22&lt;=k_n)*(Calc!$G$3:$G$22&lt;=A902))</f>
        <v/>
      </c>
      <c r="C902">
        <f>AND(B902&gt;=2,$B$469-B902&gt;=2)</f>
        <v/>
      </c>
      <c r="D902">
        <f>SUMPRODUCT((Calc!$F$3:$F$22&gt;=LTP!$E$5)*(Calc!$F$3:$F$22&lt;=k_n)*(Calc!$G$3:$G$22&gt;A902)*(Calc!$G$3:$G$22-A902))</f>
        <v/>
      </c>
      <c r="E902">
        <f>SUMPRODUCT((Calc!$F$3:$F$22&gt;=LTP!$E$5)*(Calc!$F$3:$F$22&lt;=k_n)*(Calc!$G$3:$G$22&gt;A902)*(Calc!$G$3:$G$22-A902)^2)</f>
        <v/>
      </c>
      <c r="F902">
        <f>SUMPRODUCT((Calc!$F$3:$F$22&gt;=LTP!$E$5)*(Calc!$F$3:$F$22&lt;=k_n)*(Calc!$G$3:$G$22&gt;A902)*(Calc!$G$3:$G$22-A902)*Calc!$G$3:$G$22)</f>
        <v/>
      </c>
      <c r="G902">
        <f>SUMPRODUCT((Calc!$F$3:$F$22&gt;=LTP!$E$5)*(Calc!$F$3:$F$22&lt;=k_n)*(Calc!$G$3:$G$22&gt;A902)*(Calc!$G$3:$G$22-A902)*Calc!$I$3:$I$22)</f>
        <v/>
      </c>
      <c r="H902">
        <f>IF($B$469&gt;0,F902-$C$469*D902/$B$469,0)</f>
        <v/>
      </c>
      <c r="I902">
        <f>IF($B$469&gt;0,E902-D902^2/$B$469,0)</f>
        <v/>
      </c>
      <c r="J902">
        <f>IF($B$469&gt;0,G902-D902*$D$469/$B$469,0)</f>
        <v/>
      </c>
      <c r="K902">
        <f>$H$469*I902-H902^2</f>
        <v/>
      </c>
      <c r="L902">
        <f>IF(ABS(K902)&gt;1E-12,($H$469*J902-H902*$I$469)/K902,0)</f>
        <v/>
      </c>
      <c r="M902">
        <f>IF(ABS(K902)&gt;1E-12,(I902*$I$469-H902*J902)/K902,0)</f>
        <v/>
      </c>
      <c r="N902">
        <f>$J$469-M902*$I$469-L902*J902</f>
        <v/>
      </c>
      <c r="O902">
        <f>IF(AND(C902,ABS(K902)&gt;1E-12,L902&gt;0),N902,1E+300)</f>
        <v/>
      </c>
    </row>
    <row r="903">
      <c r="A903">
        <f>$B$874-($L$469-$K$469)/400+2*($L$469-$K$469)/400*26/40</f>
        <v/>
      </c>
      <c r="B903">
        <f>SUMPRODUCT((Calc!$F$3:$F$22&gt;=LTP!$E$5)*(Calc!$F$3:$F$22&lt;=k_n)*(Calc!$G$3:$G$22&lt;=A903))</f>
        <v/>
      </c>
      <c r="C903">
        <f>AND(B903&gt;=2,$B$469-B903&gt;=2)</f>
        <v/>
      </c>
      <c r="D903">
        <f>SUMPRODUCT((Calc!$F$3:$F$22&gt;=LTP!$E$5)*(Calc!$F$3:$F$22&lt;=k_n)*(Calc!$G$3:$G$22&gt;A903)*(Calc!$G$3:$G$22-A903))</f>
        <v/>
      </c>
      <c r="E903">
        <f>SUMPRODUCT((Calc!$F$3:$F$22&gt;=LTP!$E$5)*(Calc!$F$3:$F$22&lt;=k_n)*(Calc!$G$3:$G$22&gt;A903)*(Calc!$G$3:$G$22-A903)^2)</f>
        <v/>
      </c>
      <c r="F903">
        <f>SUMPRODUCT((Calc!$F$3:$F$22&gt;=LTP!$E$5)*(Calc!$F$3:$F$22&lt;=k_n)*(Calc!$G$3:$G$22&gt;A903)*(Calc!$G$3:$G$22-A903)*Calc!$G$3:$G$22)</f>
        <v/>
      </c>
      <c r="G903">
        <f>SUMPRODUCT((Calc!$F$3:$F$22&gt;=LTP!$E$5)*(Calc!$F$3:$F$22&lt;=k_n)*(Calc!$G$3:$G$22&gt;A903)*(Calc!$G$3:$G$22-A903)*Calc!$I$3:$I$22)</f>
        <v/>
      </c>
      <c r="H903">
        <f>IF($B$469&gt;0,F903-$C$469*D903/$B$469,0)</f>
        <v/>
      </c>
      <c r="I903">
        <f>IF($B$469&gt;0,E903-D903^2/$B$469,0)</f>
        <v/>
      </c>
      <c r="J903">
        <f>IF($B$469&gt;0,G903-D903*$D$469/$B$469,0)</f>
        <v/>
      </c>
      <c r="K903">
        <f>$H$469*I903-H903^2</f>
        <v/>
      </c>
      <c r="L903">
        <f>IF(ABS(K903)&gt;1E-12,($H$469*J903-H903*$I$469)/K903,0)</f>
        <v/>
      </c>
      <c r="M903">
        <f>IF(ABS(K903)&gt;1E-12,(I903*$I$469-H903*J903)/K903,0)</f>
        <v/>
      </c>
      <c r="N903">
        <f>$J$469-M903*$I$469-L903*J903</f>
        <v/>
      </c>
      <c r="O903">
        <f>IF(AND(C903,ABS(K903)&gt;1E-12,L903&gt;0),N903,1E+300)</f>
        <v/>
      </c>
    </row>
    <row r="904">
      <c r="A904">
        <f>$B$874-($L$469-$K$469)/400+2*($L$469-$K$469)/400*27/40</f>
        <v/>
      </c>
      <c r="B904">
        <f>SUMPRODUCT((Calc!$F$3:$F$22&gt;=LTP!$E$5)*(Calc!$F$3:$F$22&lt;=k_n)*(Calc!$G$3:$G$22&lt;=A904))</f>
        <v/>
      </c>
      <c r="C904">
        <f>AND(B904&gt;=2,$B$469-B904&gt;=2)</f>
        <v/>
      </c>
      <c r="D904">
        <f>SUMPRODUCT((Calc!$F$3:$F$22&gt;=LTP!$E$5)*(Calc!$F$3:$F$22&lt;=k_n)*(Calc!$G$3:$G$22&gt;A904)*(Calc!$G$3:$G$22-A904))</f>
        <v/>
      </c>
      <c r="E904">
        <f>SUMPRODUCT((Calc!$F$3:$F$22&gt;=LTP!$E$5)*(Calc!$F$3:$F$22&lt;=k_n)*(Calc!$G$3:$G$22&gt;A904)*(Calc!$G$3:$G$22-A904)^2)</f>
        <v/>
      </c>
      <c r="F904">
        <f>SUMPRODUCT((Calc!$F$3:$F$22&gt;=LTP!$E$5)*(Calc!$F$3:$F$22&lt;=k_n)*(Calc!$G$3:$G$22&gt;A904)*(Calc!$G$3:$G$22-A904)*Calc!$G$3:$G$22)</f>
        <v/>
      </c>
      <c r="G904">
        <f>SUMPRODUCT((Calc!$F$3:$F$22&gt;=LTP!$E$5)*(Calc!$F$3:$F$22&lt;=k_n)*(Calc!$G$3:$G$22&gt;A904)*(Calc!$G$3:$G$22-A904)*Calc!$I$3:$I$22)</f>
        <v/>
      </c>
      <c r="H904">
        <f>IF($B$469&gt;0,F904-$C$469*D904/$B$469,0)</f>
        <v/>
      </c>
      <c r="I904">
        <f>IF($B$469&gt;0,E904-D904^2/$B$469,0)</f>
        <v/>
      </c>
      <c r="J904">
        <f>IF($B$469&gt;0,G904-D904*$D$469/$B$469,0)</f>
        <v/>
      </c>
      <c r="K904">
        <f>$H$469*I904-H904^2</f>
        <v/>
      </c>
      <c r="L904">
        <f>IF(ABS(K904)&gt;1E-12,($H$469*J904-H904*$I$469)/K904,0)</f>
        <v/>
      </c>
      <c r="M904">
        <f>IF(ABS(K904)&gt;1E-12,(I904*$I$469-H904*J904)/K904,0)</f>
        <v/>
      </c>
      <c r="N904">
        <f>$J$469-M904*$I$469-L904*J904</f>
        <v/>
      </c>
      <c r="O904">
        <f>IF(AND(C904,ABS(K904)&gt;1E-12,L904&gt;0),N904,1E+300)</f>
        <v/>
      </c>
    </row>
    <row r="905">
      <c r="A905">
        <f>$B$874-($L$469-$K$469)/400+2*($L$469-$K$469)/400*28/40</f>
        <v/>
      </c>
      <c r="B905">
        <f>SUMPRODUCT((Calc!$F$3:$F$22&gt;=LTP!$E$5)*(Calc!$F$3:$F$22&lt;=k_n)*(Calc!$G$3:$G$22&lt;=A905))</f>
        <v/>
      </c>
      <c r="C905">
        <f>AND(B905&gt;=2,$B$469-B905&gt;=2)</f>
        <v/>
      </c>
      <c r="D905">
        <f>SUMPRODUCT((Calc!$F$3:$F$22&gt;=LTP!$E$5)*(Calc!$F$3:$F$22&lt;=k_n)*(Calc!$G$3:$G$22&gt;A905)*(Calc!$G$3:$G$22-A905))</f>
        <v/>
      </c>
      <c r="E905">
        <f>SUMPRODUCT((Calc!$F$3:$F$22&gt;=LTP!$E$5)*(Calc!$F$3:$F$22&lt;=k_n)*(Calc!$G$3:$G$22&gt;A905)*(Calc!$G$3:$G$22-A905)^2)</f>
        <v/>
      </c>
      <c r="F905">
        <f>SUMPRODUCT((Calc!$F$3:$F$22&gt;=LTP!$E$5)*(Calc!$F$3:$F$22&lt;=k_n)*(Calc!$G$3:$G$22&gt;A905)*(Calc!$G$3:$G$22-A905)*Calc!$G$3:$G$22)</f>
        <v/>
      </c>
      <c r="G905">
        <f>SUMPRODUCT((Calc!$F$3:$F$22&gt;=LTP!$E$5)*(Calc!$F$3:$F$22&lt;=k_n)*(Calc!$G$3:$G$22&gt;A905)*(Calc!$G$3:$G$22-A905)*Calc!$I$3:$I$22)</f>
        <v/>
      </c>
      <c r="H905">
        <f>IF($B$469&gt;0,F905-$C$469*D905/$B$469,0)</f>
        <v/>
      </c>
      <c r="I905">
        <f>IF($B$469&gt;0,E905-D905^2/$B$469,0)</f>
        <v/>
      </c>
      <c r="J905">
        <f>IF($B$469&gt;0,G905-D905*$D$469/$B$469,0)</f>
        <v/>
      </c>
      <c r="K905">
        <f>$H$469*I905-H905^2</f>
        <v/>
      </c>
      <c r="L905">
        <f>IF(ABS(K905)&gt;1E-12,($H$469*J905-H905*$I$469)/K905,0)</f>
        <v/>
      </c>
      <c r="M905">
        <f>IF(ABS(K905)&gt;1E-12,(I905*$I$469-H905*J905)/K905,0)</f>
        <v/>
      </c>
      <c r="N905">
        <f>$J$469-M905*$I$469-L905*J905</f>
        <v/>
      </c>
      <c r="O905">
        <f>IF(AND(C905,ABS(K905)&gt;1E-12,L905&gt;0),N905,1E+300)</f>
        <v/>
      </c>
    </row>
    <row r="906">
      <c r="A906">
        <f>$B$874-($L$469-$K$469)/400+2*($L$469-$K$469)/400*29/40</f>
        <v/>
      </c>
      <c r="B906">
        <f>SUMPRODUCT((Calc!$F$3:$F$22&gt;=LTP!$E$5)*(Calc!$F$3:$F$22&lt;=k_n)*(Calc!$G$3:$G$22&lt;=A906))</f>
        <v/>
      </c>
      <c r="C906">
        <f>AND(B906&gt;=2,$B$469-B906&gt;=2)</f>
        <v/>
      </c>
      <c r="D906">
        <f>SUMPRODUCT((Calc!$F$3:$F$22&gt;=LTP!$E$5)*(Calc!$F$3:$F$22&lt;=k_n)*(Calc!$G$3:$G$22&gt;A906)*(Calc!$G$3:$G$22-A906))</f>
        <v/>
      </c>
      <c r="E906">
        <f>SUMPRODUCT((Calc!$F$3:$F$22&gt;=LTP!$E$5)*(Calc!$F$3:$F$22&lt;=k_n)*(Calc!$G$3:$G$22&gt;A906)*(Calc!$G$3:$G$22-A906)^2)</f>
        <v/>
      </c>
      <c r="F906">
        <f>SUMPRODUCT((Calc!$F$3:$F$22&gt;=LTP!$E$5)*(Calc!$F$3:$F$22&lt;=k_n)*(Calc!$G$3:$G$22&gt;A906)*(Calc!$G$3:$G$22-A906)*Calc!$G$3:$G$22)</f>
        <v/>
      </c>
      <c r="G906">
        <f>SUMPRODUCT((Calc!$F$3:$F$22&gt;=LTP!$E$5)*(Calc!$F$3:$F$22&lt;=k_n)*(Calc!$G$3:$G$22&gt;A906)*(Calc!$G$3:$G$22-A906)*Calc!$I$3:$I$22)</f>
        <v/>
      </c>
      <c r="H906">
        <f>IF($B$469&gt;0,F906-$C$469*D906/$B$469,0)</f>
        <v/>
      </c>
      <c r="I906">
        <f>IF($B$469&gt;0,E906-D906^2/$B$469,0)</f>
        <v/>
      </c>
      <c r="J906">
        <f>IF($B$469&gt;0,G906-D906*$D$469/$B$469,0)</f>
        <v/>
      </c>
      <c r="K906">
        <f>$H$469*I906-H906^2</f>
        <v/>
      </c>
      <c r="L906">
        <f>IF(ABS(K906)&gt;1E-12,($H$469*J906-H906*$I$469)/K906,0)</f>
        <v/>
      </c>
      <c r="M906">
        <f>IF(ABS(K906)&gt;1E-12,(I906*$I$469-H906*J906)/K906,0)</f>
        <v/>
      </c>
      <c r="N906">
        <f>$J$469-M906*$I$469-L906*J906</f>
        <v/>
      </c>
      <c r="O906">
        <f>IF(AND(C906,ABS(K906)&gt;1E-12,L906&gt;0),N906,1E+300)</f>
        <v/>
      </c>
    </row>
    <row r="907">
      <c r="A907">
        <f>$B$874-($L$469-$K$469)/400+2*($L$469-$K$469)/400*30/40</f>
        <v/>
      </c>
      <c r="B907">
        <f>SUMPRODUCT((Calc!$F$3:$F$22&gt;=LTP!$E$5)*(Calc!$F$3:$F$22&lt;=k_n)*(Calc!$G$3:$G$22&lt;=A907))</f>
        <v/>
      </c>
      <c r="C907">
        <f>AND(B907&gt;=2,$B$469-B907&gt;=2)</f>
        <v/>
      </c>
      <c r="D907">
        <f>SUMPRODUCT((Calc!$F$3:$F$22&gt;=LTP!$E$5)*(Calc!$F$3:$F$22&lt;=k_n)*(Calc!$G$3:$G$22&gt;A907)*(Calc!$G$3:$G$22-A907))</f>
        <v/>
      </c>
      <c r="E907">
        <f>SUMPRODUCT((Calc!$F$3:$F$22&gt;=LTP!$E$5)*(Calc!$F$3:$F$22&lt;=k_n)*(Calc!$G$3:$G$22&gt;A907)*(Calc!$G$3:$G$22-A907)^2)</f>
        <v/>
      </c>
      <c r="F907">
        <f>SUMPRODUCT((Calc!$F$3:$F$22&gt;=LTP!$E$5)*(Calc!$F$3:$F$22&lt;=k_n)*(Calc!$G$3:$G$22&gt;A907)*(Calc!$G$3:$G$22-A907)*Calc!$G$3:$G$22)</f>
        <v/>
      </c>
      <c r="G907">
        <f>SUMPRODUCT((Calc!$F$3:$F$22&gt;=LTP!$E$5)*(Calc!$F$3:$F$22&lt;=k_n)*(Calc!$G$3:$G$22&gt;A907)*(Calc!$G$3:$G$22-A907)*Calc!$I$3:$I$22)</f>
        <v/>
      </c>
      <c r="H907">
        <f>IF($B$469&gt;0,F907-$C$469*D907/$B$469,0)</f>
        <v/>
      </c>
      <c r="I907">
        <f>IF($B$469&gt;0,E907-D907^2/$B$469,0)</f>
        <v/>
      </c>
      <c r="J907">
        <f>IF($B$469&gt;0,G907-D907*$D$469/$B$469,0)</f>
        <v/>
      </c>
      <c r="K907">
        <f>$H$469*I907-H907^2</f>
        <v/>
      </c>
      <c r="L907">
        <f>IF(ABS(K907)&gt;1E-12,($H$469*J907-H907*$I$469)/K907,0)</f>
        <v/>
      </c>
      <c r="M907">
        <f>IF(ABS(K907)&gt;1E-12,(I907*$I$469-H907*J907)/K907,0)</f>
        <v/>
      </c>
      <c r="N907">
        <f>$J$469-M907*$I$469-L907*J907</f>
        <v/>
      </c>
      <c r="O907">
        <f>IF(AND(C907,ABS(K907)&gt;1E-12,L907&gt;0),N907,1E+300)</f>
        <v/>
      </c>
    </row>
    <row r="908">
      <c r="A908">
        <f>$B$874-($L$469-$K$469)/400+2*($L$469-$K$469)/400*31/40</f>
        <v/>
      </c>
      <c r="B908">
        <f>SUMPRODUCT((Calc!$F$3:$F$22&gt;=LTP!$E$5)*(Calc!$F$3:$F$22&lt;=k_n)*(Calc!$G$3:$G$22&lt;=A908))</f>
        <v/>
      </c>
      <c r="C908">
        <f>AND(B908&gt;=2,$B$469-B908&gt;=2)</f>
        <v/>
      </c>
      <c r="D908">
        <f>SUMPRODUCT((Calc!$F$3:$F$22&gt;=LTP!$E$5)*(Calc!$F$3:$F$22&lt;=k_n)*(Calc!$G$3:$G$22&gt;A908)*(Calc!$G$3:$G$22-A908))</f>
        <v/>
      </c>
      <c r="E908">
        <f>SUMPRODUCT((Calc!$F$3:$F$22&gt;=LTP!$E$5)*(Calc!$F$3:$F$22&lt;=k_n)*(Calc!$G$3:$G$22&gt;A908)*(Calc!$G$3:$G$22-A908)^2)</f>
        <v/>
      </c>
      <c r="F908">
        <f>SUMPRODUCT((Calc!$F$3:$F$22&gt;=LTP!$E$5)*(Calc!$F$3:$F$22&lt;=k_n)*(Calc!$G$3:$G$22&gt;A908)*(Calc!$G$3:$G$22-A908)*Calc!$G$3:$G$22)</f>
        <v/>
      </c>
      <c r="G908">
        <f>SUMPRODUCT((Calc!$F$3:$F$22&gt;=LTP!$E$5)*(Calc!$F$3:$F$22&lt;=k_n)*(Calc!$G$3:$G$22&gt;A908)*(Calc!$G$3:$G$22-A908)*Calc!$I$3:$I$22)</f>
        <v/>
      </c>
      <c r="H908">
        <f>IF($B$469&gt;0,F908-$C$469*D908/$B$469,0)</f>
        <v/>
      </c>
      <c r="I908">
        <f>IF($B$469&gt;0,E908-D908^2/$B$469,0)</f>
        <v/>
      </c>
      <c r="J908">
        <f>IF($B$469&gt;0,G908-D908*$D$469/$B$469,0)</f>
        <v/>
      </c>
      <c r="K908">
        <f>$H$469*I908-H908^2</f>
        <v/>
      </c>
      <c r="L908">
        <f>IF(ABS(K908)&gt;1E-12,($H$469*J908-H908*$I$469)/K908,0)</f>
        <v/>
      </c>
      <c r="M908">
        <f>IF(ABS(K908)&gt;1E-12,(I908*$I$469-H908*J908)/K908,0)</f>
        <v/>
      </c>
      <c r="N908">
        <f>$J$469-M908*$I$469-L908*J908</f>
        <v/>
      </c>
      <c r="O908">
        <f>IF(AND(C908,ABS(K908)&gt;1E-12,L908&gt;0),N908,1E+300)</f>
        <v/>
      </c>
    </row>
    <row r="909">
      <c r="A909">
        <f>$B$874-($L$469-$K$469)/400+2*($L$469-$K$469)/400*32/40</f>
        <v/>
      </c>
      <c r="B909">
        <f>SUMPRODUCT((Calc!$F$3:$F$22&gt;=LTP!$E$5)*(Calc!$F$3:$F$22&lt;=k_n)*(Calc!$G$3:$G$22&lt;=A909))</f>
        <v/>
      </c>
      <c r="C909">
        <f>AND(B909&gt;=2,$B$469-B909&gt;=2)</f>
        <v/>
      </c>
      <c r="D909">
        <f>SUMPRODUCT((Calc!$F$3:$F$22&gt;=LTP!$E$5)*(Calc!$F$3:$F$22&lt;=k_n)*(Calc!$G$3:$G$22&gt;A909)*(Calc!$G$3:$G$22-A909))</f>
        <v/>
      </c>
      <c r="E909">
        <f>SUMPRODUCT((Calc!$F$3:$F$22&gt;=LTP!$E$5)*(Calc!$F$3:$F$22&lt;=k_n)*(Calc!$G$3:$G$22&gt;A909)*(Calc!$G$3:$G$22-A909)^2)</f>
        <v/>
      </c>
      <c r="F909">
        <f>SUMPRODUCT((Calc!$F$3:$F$22&gt;=LTP!$E$5)*(Calc!$F$3:$F$22&lt;=k_n)*(Calc!$G$3:$G$22&gt;A909)*(Calc!$G$3:$G$22-A909)*Calc!$G$3:$G$22)</f>
        <v/>
      </c>
      <c r="G909">
        <f>SUMPRODUCT((Calc!$F$3:$F$22&gt;=LTP!$E$5)*(Calc!$F$3:$F$22&lt;=k_n)*(Calc!$G$3:$G$22&gt;A909)*(Calc!$G$3:$G$22-A909)*Calc!$I$3:$I$22)</f>
        <v/>
      </c>
      <c r="H909">
        <f>IF($B$469&gt;0,F909-$C$469*D909/$B$469,0)</f>
        <v/>
      </c>
      <c r="I909">
        <f>IF($B$469&gt;0,E909-D909^2/$B$469,0)</f>
        <v/>
      </c>
      <c r="J909">
        <f>IF($B$469&gt;0,G909-D909*$D$469/$B$469,0)</f>
        <v/>
      </c>
      <c r="K909">
        <f>$H$469*I909-H909^2</f>
        <v/>
      </c>
      <c r="L909">
        <f>IF(ABS(K909)&gt;1E-12,($H$469*J909-H909*$I$469)/K909,0)</f>
        <v/>
      </c>
      <c r="M909">
        <f>IF(ABS(K909)&gt;1E-12,(I909*$I$469-H909*J909)/K909,0)</f>
        <v/>
      </c>
      <c r="N909">
        <f>$J$469-M909*$I$469-L909*J909</f>
        <v/>
      </c>
      <c r="O909">
        <f>IF(AND(C909,ABS(K909)&gt;1E-12,L909&gt;0),N909,1E+300)</f>
        <v/>
      </c>
    </row>
    <row r="910">
      <c r="A910">
        <f>$B$874-($L$469-$K$469)/400+2*($L$469-$K$469)/400*33/40</f>
        <v/>
      </c>
      <c r="B910">
        <f>SUMPRODUCT((Calc!$F$3:$F$22&gt;=LTP!$E$5)*(Calc!$F$3:$F$22&lt;=k_n)*(Calc!$G$3:$G$22&lt;=A910))</f>
        <v/>
      </c>
      <c r="C910">
        <f>AND(B910&gt;=2,$B$469-B910&gt;=2)</f>
        <v/>
      </c>
      <c r="D910">
        <f>SUMPRODUCT((Calc!$F$3:$F$22&gt;=LTP!$E$5)*(Calc!$F$3:$F$22&lt;=k_n)*(Calc!$G$3:$G$22&gt;A910)*(Calc!$G$3:$G$22-A910))</f>
        <v/>
      </c>
      <c r="E910">
        <f>SUMPRODUCT((Calc!$F$3:$F$22&gt;=LTP!$E$5)*(Calc!$F$3:$F$22&lt;=k_n)*(Calc!$G$3:$G$22&gt;A910)*(Calc!$G$3:$G$22-A910)^2)</f>
        <v/>
      </c>
      <c r="F910">
        <f>SUMPRODUCT((Calc!$F$3:$F$22&gt;=LTP!$E$5)*(Calc!$F$3:$F$22&lt;=k_n)*(Calc!$G$3:$G$22&gt;A910)*(Calc!$G$3:$G$22-A910)*Calc!$G$3:$G$22)</f>
        <v/>
      </c>
      <c r="G910">
        <f>SUMPRODUCT((Calc!$F$3:$F$22&gt;=LTP!$E$5)*(Calc!$F$3:$F$22&lt;=k_n)*(Calc!$G$3:$G$22&gt;A910)*(Calc!$G$3:$G$22-A910)*Calc!$I$3:$I$22)</f>
        <v/>
      </c>
      <c r="H910">
        <f>IF($B$469&gt;0,F910-$C$469*D910/$B$469,0)</f>
        <v/>
      </c>
      <c r="I910">
        <f>IF($B$469&gt;0,E910-D910^2/$B$469,0)</f>
        <v/>
      </c>
      <c r="J910">
        <f>IF($B$469&gt;0,G910-D910*$D$469/$B$469,0)</f>
        <v/>
      </c>
      <c r="K910">
        <f>$H$469*I910-H910^2</f>
        <v/>
      </c>
      <c r="L910">
        <f>IF(ABS(K910)&gt;1E-12,($H$469*J910-H910*$I$469)/K910,0)</f>
        <v/>
      </c>
      <c r="M910">
        <f>IF(ABS(K910)&gt;1E-12,(I910*$I$469-H910*J910)/K910,0)</f>
        <v/>
      </c>
      <c r="N910">
        <f>$J$469-M910*$I$469-L910*J910</f>
        <v/>
      </c>
      <c r="O910">
        <f>IF(AND(C910,ABS(K910)&gt;1E-12,L910&gt;0),N910,1E+300)</f>
        <v/>
      </c>
    </row>
    <row r="911">
      <c r="A911">
        <f>$B$874-($L$469-$K$469)/400+2*($L$469-$K$469)/400*34/40</f>
        <v/>
      </c>
      <c r="B911">
        <f>SUMPRODUCT((Calc!$F$3:$F$22&gt;=LTP!$E$5)*(Calc!$F$3:$F$22&lt;=k_n)*(Calc!$G$3:$G$22&lt;=A911))</f>
        <v/>
      </c>
      <c r="C911">
        <f>AND(B911&gt;=2,$B$469-B911&gt;=2)</f>
        <v/>
      </c>
      <c r="D911">
        <f>SUMPRODUCT((Calc!$F$3:$F$22&gt;=LTP!$E$5)*(Calc!$F$3:$F$22&lt;=k_n)*(Calc!$G$3:$G$22&gt;A911)*(Calc!$G$3:$G$22-A911))</f>
        <v/>
      </c>
      <c r="E911">
        <f>SUMPRODUCT((Calc!$F$3:$F$22&gt;=LTP!$E$5)*(Calc!$F$3:$F$22&lt;=k_n)*(Calc!$G$3:$G$22&gt;A911)*(Calc!$G$3:$G$22-A911)^2)</f>
        <v/>
      </c>
      <c r="F911">
        <f>SUMPRODUCT((Calc!$F$3:$F$22&gt;=LTP!$E$5)*(Calc!$F$3:$F$22&lt;=k_n)*(Calc!$G$3:$G$22&gt;A911)*(Calc!$G$3:$G$22-A911)*Calc!$G$3:$G$22)</f>
        <v/>
      </c>
      <c r="G911">
        <f>SUMPRODUCT((Calc!$F$3:$F$22&gt;=LTP!$E$5)*(Calc!$F$3:$F$22&lt;=k_n)*(Calc!$G$3:$G$22&gt;A911)*(Calc!$G$3:$G$22-A911)*Calc!$I$3:$I$22)</f>
        <v/>
      </c>
      <c r="H911">
        <f>IF($B$469&gt;0,F911-$C$469*D911/$B$469,0)</f>
        <v/>
      </c>
      <c r="I911">
        <f>IF($B$469&gt;0,E911-D911^2/$B$469,0)</f>
        <v/>
      </c>
      <c r="J911">
        <f>IF($B$469&gt;0,G911-D911*$D$469/$B$469,0)</f>
        <v/>
      </c>
      <c r="K911">
        <f>$H$469*I911-H911^2</f>
        <v/>
      </c>
      <c r="L911">
        <f>IF(ABS(K911)&gt;1E-12,($H$469*J911-H911*$I$469)/K911,0)</f>
        <v/>
      </c>
      <c r="M911">
        <f>IF(ABS(K911)&gt;1E-12,(I911*$I$469-H911*J911)/K911,0)</f>
        <v/>
      </c>
      <c r="N911">
        <f>$J$469-M911*$I$469-L911*J911</f>
        <v/>
      </c>
      <c r="O911">
        <f>IF(AND(C911,ABS(K911)&gt;1E-12,L911&gt;0),N911,1E+300)</f>
        <v/>
      </c>
    </row>
    <row r="912">
      <c r="A912">
        <f>$B$874-($L$469-$K$469)/400+2*($L$469-$K$469)/400*35/40</f>
        <v/>
      </c>
      <c r="B912">
        <f>SUMPRODUCT((Calc!$F$3:$F$22&gt;=LTP!$E$5)*(Calc!$F$3:$F$22&lt;=k_n)*(Calc!$G$3:$G$22&lt;=A912))</f>
        <v/>
      </c>
      <c r="C912">
        <f>AND(B912&gt;=2,$B$469-B912&gt;=2)</f>
        <v/>
      </c>
      <c r="D912">
        <f>SUMPRODUCT((Calc!$F$3:$F$22&gt;=LTP!$E$5)*(Calc!$F$3:$F$22&lt;=k_n)*(Calc!$G$3:$G$22&gt;A912)*(Calc!$G$3:$G$22-A912))</f>
        <v/>
      </c>
      <c r="E912">
        <f>SUMPRODUCT((Calc!$F$3:$F$22&gt;=LTP!$E$5)*(Calc!$F$3:$F$22&lt;=k_n)*(Calc!$G$3:$G$22&gt;A912)*(Calc!$G$3:$G$22-A912)^2)</f>
        <v/>
      </c>
      <c r="F912">
        <f>SUMPRODUCT((Calc!$F$3:$F$22&gt;=LTP!$E$5)*(Calc!$F$3:$F$22&lt;=k_n)*(Calc!$G$3:$G$22&gt;A912)*(Calc!$G$3:$G$22-A912)*Calc!$G$3:$G$22)</f>
        <v/>
      </c>
      <c r="G912">
        <f>SUMPRODUCT((Calc!$F$3:$F$22&gt;=LTP!$E$5)*(Calc!$F$3:$F$22&lt;=k_n)*(Calc!$G$3:$G$22&gt;A912)*(Calc!$G$3:$G$22-A912)*Calc!$I$3:$I$22)</f>
        <v/>
      </c>
      <c r="H912">
        <f>IF($B$469&gt;0,F912-$C$469*D912/$B$469,0)</f>
        <v/>
      </c>
      <c r="I912">
        <f>IF($B$469&gt;0,E912-D912^2/$B$469,0)</f>
        <v/>
      </c>
      <c r="J912">
        <f>IF($B$469&gt;0,G912-D912*$D$469/$B$469,0)</f>
        <v/>
      </c>
      <c r="K912">
        <f>$H$469*I912-H912^2</f>
        <v/>
      </c>
      <c r="L912">
        <f>IF(ABS(K912)&gt;1E-12,($H$469*J912-H912*$I$469)/K912,0)</f>
        <v/>
      </c>
      <c r="M912">
        <f>IF(ABS(K912)&gt;1E-12,(I912*$I$469-H912*J912)/K912,0)</f>
        <v/>
      </c>
      <c r="N912">
        <f>$J$469-M912*$I$469-L912*J912</f>
        <v/>
      </c>
      <c r="O912">
        <f>IF(AND(C912,ABS(K912)&gt;1E-12,L912&gt;0),N912,1E+300)</f>
        <v/>
      </c>
    </row>
    <row r="913">
      <c r="A913">
        <f>$B$874-($L$469-$K$469)/400+2*($L$469-$K$469)/400*36/40</f>
        <v/>
      </c>
      <c r="B913">
        <f>SUMPRODUCT((Calc!$F$3:$F$22&gt;=LTP!$E$5)*(Calc!$F$3:$F$22&lt;=k_n)*(Calc!$G$3:$G$22&lt;=A913))</f>
        <v/>
      </c>
      <c r="C913">
        <f>AND(B913&gt;=2,$B$469-B913&gt;=2)</f>
        <v/>
      </c>
      <c r="D913">
        <f>SUMPRODUCT((Calc!$F$3:$F$22&gt;=LTP!$E$5)*(Calc!$F$3:$F$22&lt;=k_n)*(Calc!$G$3:$G$22&gt;A913)*(Calc!$G$3:$G$22-A913))</f>
        <v/>
      </c>
      <c r="E913">
        <f>SUMPRODUCT((Calc!$F$3:$F$22&gt;=LTP!$E$5)*(Calc!$F$3:$F$22&lt;=k_n)*(Calc!$G$3:$G$22&gt;A913)*(Calc!$G$3:$G$22-A913)^2)</f>
        <v/>
      </c>
      <c r="F913">
        <f>SUMPRODUCT((Calc!$F$3:$F$22&gt;=LTP!$E$5)*(Calc!$F$3:$F$22&lt;=k_n)*(Calc!$G$3:$G$22&gt;A913)*(Calc!$G$3:$G$22-A913)*Calc!$G$3:$G$22)</f>
        <v/>
      </c>
      <c r="G913">
        <f>SUMPRODUCT((Calc!$F$3:$F$22&gt;=LTP!$E$5)*(Calc!$F$3:$F$22&lt;=k_n)*(Calc!$G$3:$G$22&gt;A913)*(Calc!$G$3:$G$22-A913)*Calc!$I$3:$I$22)</f>
        <v/>
      </c>
      <c r="H913">
        <f>IF($B$469&gt;0,F913-$C$469*D913/$B$469,0)</f>
        <v/>
      </c>
      <c r="I913">
        <f>IF($B$469&gt;0,E913-D913^2/$B$469,0)</f>
        <v/>
      </c>
      <c r="J913">
        <f>IF($B$469&gt;0,G913-D913*$D$469/$B$469,0)</f>
        <v/>
      </c>
      <c r="K913">
        <f>$H$469*I913-H913^2</f>
        <v/>
      </c>
      <c r="L913">
        <f>IF(ABS(K913)&gt;1E-12,($H$469*J913-H913*$I$469)/K913,0)</f>
        <v/>
      </c>
      <c r="M913">
        <f>IF(ABS(K913)&gt;1E-12,(I913*$I$469-H913*J913)/K913,0)</f>
        <v/>
      </c>
      <c r="N913">
        <f>$J$469-M913*$I$469-L913*J913</f>
        <v/>
      </c>
      <c r="O913">
        <f>IF(AND(C913,ABS(K913)&gt;1E-12,L913&gt;0),N913,1E+300)</f>
        <v/>
      </c>
    </row>
    <row r="914">
      <c r="A914">
        <f>$B$874-($L$469-$K$469)/400+2*($L$469-$K$469)/400*37/40</f>
        <v/>
      </c>
      <c r="B914">
        <f>SUMPRODUCT((Calc!$F$3:$F$22&gt;=LTP!$E$5)*(Calc!$F$3:$F$22&lt;=k_n)*(Calc!$G$3:$G$22&lt;=A914))</f>
        <v/>
      </c>
      <c r="C914">
        <f>AND(B914&gt;=2,$B$469-B914&gt;=2)</f>
        <v/>
      </c>
      <c r="D914">
        <f>SUMPRODUCT((Calc!$F$3:$F$22&gt;=LTP!$E$5)*(Calc!$F$3:$F$22&lt;=k_n)*(Calc!$G$3:$G$22&gt;A914)*(Calc!$G$3:$G$22-A914))</f>
        <v/>
      </c>
      <c r="E914">
        <f>SUMPRODUCT((Calc!$F$3:$F$22&gt;=LTP!$E$5)*(Calc!$F$3:$F$22&lt;=k_n)*(Calc!$G$3:$G$22&gt;A914)*(Calc!$G$3:$G$22-A914)^2)</f>
        <v/>
      </c>
      <c r="F914">
        <f>SUMPRODUCT((Calc!$F$3:$F$22&gt;=LTP!$E$5)*(Calc!$F$3:$F$22&lt;=k_n)*(Calc!$G$3:$G$22&gt;A914)*(Calc!$G$3:$G$22-A914)*Calc!$G$3:$G$22)</f>
        <v/>
      </c>
      <c r="G914">
        <f>SUMPRODUCT((Calc!$F$3:$F$22&gt;=LTP!$E$5)*(Calc!$F$3:$F$22&lt;=k_n)*(Calc!$G$3:$G$22&gt;A914)*(Calc!$G$3:$G$22-A914)*Calc!$I$3:$I$22)</f>
        <v/>
      </c>
      <c r="H914">
        <f>IF($B$469&gt;0,F914-$C$469*D914/$B$469,0)</f>
        <v/>
      </c>
      <c r="I914">
        <f>IF($B$469&gt;0,E914-D914^2/$B$469,0)</f>
        <v/>
      </c>
      <c r="J914">
        <f>IF($B$469&gt;0,G914-D914*$D$469/$B$469,0)</f>
        <v/>
      </c>
      <c r="K914">
        <f>$H$469*I914-H914^2</f>
        <v/>
      </c>
      <c r="L914">
        <f>IF(ABS(K914)&gt;1E-12,($H$469*J914-H914*$I$469)/K914,0)</f>
        <v/>
      </c>
      <c r="M914">
        <f>IF(ABS(K914)&gt;1E-12,(I914*$I$469-H914*J914)/K914,0)</f>
        <v/>
      </c>
      <c r="N914">
        <f>$J$469-M914*$I$469-L914*J914</f>
        <v/>
      </c>
      <c r="O914">
        <f>IF(AND(C914,ABS(K914)&gt;1E-12,L914&gt;0),N914,1E+300)</f>
        <v/>
      </c>
    </row>
    <row r="915">
      <c r="A915">
        <f>$B$874-($L$469-$K$469)/400+2*($L$469-$K$469)/400*38/40</f>
        <v/>
      </c>
      <c r="B915">
        <f>SUMPRODUCT((Calc!$F$3:$F$22&gt;=LTP!$E$5)*(Calc!$F$3:$F$22&lt;=k_n)*(Calc!$G$3:$G$22&lt;=A915))</f>
        <v/>
      </c>
      <c r="C915">
        <f>AND(B915&gt;=2,$B$469-B915&gt;=2)</f>
        <v/>
      </c>
      <c r="D915">
        <f>SUMPRODUCT((Calc!$F$3:$F$22&gt;=LTP!$E$5)*(Calc!$F$3:$F$22&lt;=k_n)*(Calc!$G$3:$G$22&gt;A915)*(Calc!$G$3:$G$22-A915))</f>
        <v/>
      </c>
      <c r="E915">
        <f>SUMPRODUCT((Calc!$F$3:$F$22&gt;=LTP!$E$5)*(Calc!$F$3:$F$22&lt;=k_n)*(Calc!$G$3:$G$22&gt;A915)*(Calc!$G$3:$G$22-A915)^2)</f>
        <v/>
      </c>
      <c r="F915">
        <f>SUMPRODUCT((Calc!$F$3:$F$22&gt;=LTP!$E$5)*(Calc!$F$3:$F$22&lt;=k_n)*(Calc!$G$3:$G$22&gt;A915)*(Calc!$G$3:$G$22-A915)*Calc!$G$3:$G$22)</f>
        <v/>
      </c>
      <c r="G915">
        <f>SUMPRODUCT((Calc!$F$3:$F$22&gt;=LTP!$E$5)*(Calc!$F$3:$F$22&lt;=k_n)*(Calc!$G$3:$G$22&gt;A915)*(Calc!$G$3:$G$22-A915)*Calc!$I$3:$I$22)</f>
        <v/>
      </c>
      <c r="H915">
        <f>IF($B$469&gt;0,F915-$C$469*D915/$B$469,0)</f>
        <v/>
      </c>
      <c r="I915">
        <f>IF($B$469&gt;0,E915-D915^2/$B$469,0)</f>
        <v/>
      </c>
      <c r="J915">
        <f>IF($B$469&gt;0,G915-D915*$D$469/$B$469,0)</f>
        <v/>
      </c>
      <c r="K915">
        <f>$H$469*I915-H915^2</f>
        <v/>
      </c>
      <c r="L915">
        <f>IF(ABS(K915)&gt;1E-12,($H$469*J915-H915*$I$469)/K915,0)</f>
        <v/>
      </c>
      <c r="M915">
        <f>IF(ABS(K915)&gt;1E-12,(I915*$I$469-H915*J915)/K915,0)</f>
        <v/>
      </c>
      <c r="N915">
        <f>$J$469-M915*$I$469-L915*J915</f>
        <v/>
      </c>
      <c r="O915">
        <f>IF(AND(C915,ABS(K915)&gt;1E-12,L915&gt;0),N915,1E+300)</f>
        <v/>
      </c>
    </row>
    <row r="916">
      <c r="A916">
        <f>$B$874-($L$469-$K$469)/400+2*($L$469-$K$469)/400*39/40</f>
        <v/>
      </c>
      <c r="B916">
        <f>SUMPRODUCT((Calc!$F$3:$F$22&gt;=LTP!$E$5)*(Calc!$F$3:$F$22&lt;=k_n)*(Calc!$G$3:$G$22&lt;=A916))</f>
        <v/>
      </c>
      <c r="C916">
        <f>AND(B916&gt;=2,$B$469-B916&gt;=2)</f>
        <v/>
      </c>
      <c r="D916">
        <f>SUMPRODUCT((Calc!$F$3:$F$22&gt;=LTP!$E$5)*(Calc!$F$3:$F$22&lt;=k_n)*(Calc!$G$3:$G$22&gt;A916)*(Calc!$G$3:$G$22-A916))</f>
        <v/>
      </c>
      <c r="E916">
        <f>SUMPRODUCT((Calc!$F$3:$F$22&gt;=LTP!$E$5)*(Calc!$F$3:$F$22&lt;=k_n)*(Calc!$G$3:$G$22&gt;A916)*(Calc!$G$3:$G$22-A916)^2)</f>
        <v/>
      </c>
      <c r="F916">
        <f>SUMPRODUCT((Calc!$F$3:$F$22&gt;=LTP!$E$5)*(Calc!$F$3:$F$22&lt;=k_n)*(Calc!$G$3:$G$22&gt;A916)*(Calc!$G$3:$G$22-A916)*Calc!$G$3:$G$22)</f>
        <v/>
      </c>
      <c r="G916">
        <f>SUMPRODUCT((Calc!$F$3:$F$22&gt;=LTP!$E$5)*(Calc!$F$3:$F$22&lt;=k_n)*(Calc!$G$3:$G$22&gt;A916)*(Calc!$G$3:$G$22-A916)*Calc!$I$3:$I$22)</f>
        <v/>
      </c>
      <c r="H916">
        <f>IF($B$469&gt;0,F916-$C$469*D916/$B$469,0)</f>
        <v/>
      </c>
      <c r="I916">
        <f>IF($B$469&gt;0,E916-D916^2/$B$469,0)</f>
        <v/>
      </c>
      <c r="J916">
        <f>IF($B$469&gt;0,G916-D916*$D$469/$B$469,0)</f>
        <v/>
      </c>
      <c r="K916">
        <f>$H$469*I916-H916^2</f>
        <v/>
      </c>
      <c r="L916">
        <f>IF(ABS(K916)&gt;1E-12,($H$469*J916-H916*$I$469)/K916,0)</f>
        <v/>
      </c>
      <c r="M916">
        <f>IF(ABS(K916)&gt;1E-12,(I916*$I$469-H916*J916)/K916,0)</f>
        <v/>
      </c>
      <c r="N916">
        <f>$J$469-M916*$I$469-L916*J916</f>
        <v/>
      </c>
      <c r="O916">
        <f>IF(AND(C916,ABS(K916)&gt;1E-12,L916&gt;0),N916,1E+300)</f>
        <v/>
      </c>
    </row>
    <row r="917">
      <c r="A917">
        <f>$B$874-($L$469-$K$469)/400+2*($L$469-$K$469)/400*40/40</f>
        <v/>
      </c>
      <c r="B917">
        <f>SUMPRODUCT((Calc!$F$3:$F$22&gt;=LTP!$E$5)*(Calc!$F$3:$F$22&lt;=k_n)*(Calc!$G$3:$G$22&lt;=A917))</f>
        <v/>
      </c>
      <c r="C917">
        <f>AND(B917&gt;=2,$B$469-B917&gt;=2)</f>
        <v/>
      </c>
      <c r="D917">
        <f>SUMPRODUCT((Calc!$F$3:$F$22&gt;=LTP!$E$5)*(Calc!$F$3:$F$22&lt;=k_n)*(Calc!$G$3:$G$22&gt;A917)*(Calc!$G$3:$G$22-A917))</f>
        <v/>
      </c>
      <c r="E917">
        <f>SUMPRODUCT((Calc!$F$3:$F$22&gt;=LTP!$E$5)*(Calc!$F$3:$F$22&lt;=k_n)*(Calc!$G$3:$G$22&gt;A917)*(Calc!$G$3:$G$22-A917)^2)</f>
        <v/>
      </c>
      <c r="F917">
        <f>SUMPRODUCT((Calc!$F$3:$F$22&gt;=LTP!$E$5)*(Calc!$F$3:$F$22&lt;=k_n)*(Calc!$G$3:$G$22&gt;A917)*(Calc!$G$3:$G$22-A917)*Calc!$G$3:$G$22)</f>
        <v/>
      </c>
      <c r="G917">
        <f>SUMPRODUCT((Calc!$F$3:$F$22&gt;=LTP!$E$5)*(Calc!$F$3:$F$22&lt;=k_n)*(Calc!$G$3:$G$22&gt;A917)*(Calc!$G$3:$G$22-A917)*Calc!$I$3:$I$22)</f>
        <v/>
      </c>
      <c r="H917">
        <f>IF($B$469&gt;0,F917-$C$469*D917/$B$469,0)</f>
        <v/>
      </c>
      <c r="I917">
        <f>IF($B$469&gt;0,E917-D917^2/$B$469,0)</f>
        <v/>
      </c>
      <c r="J917">
        <f>IF($B$469&gt;0,G917-D917*$D$469/$B$469,0)</f>
        <v/>
      </c>
      <c r="K917">
        <f>$H$469*I917-H917^2</f>
        <v/>
      </c>
      <c r="L917">
        <f>IF(ABS(K917)&gt;1E-12,($H$469*J917-H917*$I$469)/K917,0)</f>
        <v/>
      </c>
      <c r="M917">
        <f>IF(ABS(K917)&gt;1E-12,(I917*$I$469-H917*J917)/K917,0)</f>
        <v/>
      </c>
      <c r="N917">
        <f>$J$469-M917*$I$469-L917*J917</f>
        <v/>
      </c>
      <c r="O917">
        <f>IF(AND(C917,ABS(K917)&gt;1E-12,L917&gt;0),N917,1E+300)</f>
        <v/>
      </c>
    </row>
    <row r="919">
      <c r="A919" s="7" t="inlineStr">
        <is>
          <t>gefunden</t>
        </is>
      </c>
      <c r="B919">
        <f>MIN(O877:O917,$C$874)&lt;1E+299</f>
        <v/>
      </c>
    </row>
    <row r="920">
      <c r="A920" s="7" t="inlineStr">
        <is>
          <t>Zeile</t>
        </is>
      </c>
      <c r="B920">
        <f>MATCH(MIN(O877:O917),O877:O917,0)</f>
        <v/>
      </c>
    </row>
    <row r="921">
      <c r="A921" s="7" t="inlineStr">
        <is>
          <t>k</t>
        </is>
      </c>
      <c r="B921">
        <f>IF(MIN(O877:O917)&lt;=$C$874,INDEX(A877:A917,B920),$B$874)</f>
        <v/>
      </c>
    </row>
    <row r="922">
      <c r="A922" s="7" t="inlineStr">
        <is>
          <t>s1</t>
        </is>
      </c>
      <c r="B922">
        <f>INDEX(M877:M917,B920)</f>
        <v/>
      </c>
    </row>
    <row r="923">
      <c r="A923" s="7" t="inlineStr">
        <is>
          <t>s2</t>
        </is>
      </c>
      <c r="B923">
        <f>INDEX(M877:M917,B920)+INDEX(L877:L917,B920)</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4620"/>
  <sheetViews>
    <sheetView showGridLines="0" workbookViewId="0">
      <selection activeCell="A1" sqref="A1"/>
    </sheetView>
  </sheetViews>
  <sheetFormatPr baseColWidth="8" defaultRowHeight="15"/>
  <sheetData>
    <row r="1">
      <c r="A1" s="57" t="inlineStr">
        <is>
          <t>3-Phasen-Regression (stetige stückweise Gerade mit zwei Knoten), Raster 61×61 + zwei Verfeinerungen 21×21</t>
        </is>
      </c>
    </row>
    <row r="2">
      <c r="AE2" s="57" t="inlineStr">
        <is>
          <t>Auswertung am Optimum</t>
        </is>
      </c>
    </row>
    <row r="3">
      <c r="A3" t="inlineStr">
        <is>
          <t>Knotenbereich von</t>
        </is>
      </c>
      <c r="B3">
        <f>k_x2nd</f>
        <v/>
      </c>
      <c r="C3" t="inlineStr">
        <is>
          <t>Sx</t>
        </is>
      </c>
      <c r="D3">
        <f>SUMPRODUCT(Calc!$K$3:$K$22,Calc!$G$3:$G$22)</f>
        <v/>
      </c>
      <c r="F3" t="inlineStr">
        <is>
          <t>grob</t>
        </is>
      </c>
      <c r="G3">
        <f>MIN(AB12:AB3732)</f>
        <v/>
      </c>
      <c r="H3">
        <f>MATCH(G3,AB12:AB3732,0)</f>
        <v/>
      </c>
      <c r="I3">
        <f>INDEX(A12:A3732,H3)</f>
        <v/>
      </c>
      <c r="J3">
        <f>INDEX(B12:B3732,H3)</f>
        <v/>
      </c>
      <c r="AE3" t="inlineStr">
        <is>
          <t>k1</t>
        </is>
      </c>
      <c r="AF3">
        <f>I6</f>
        <v/>
      </c>
    </row>
    <row r="4">
      <c r="A4" t="inlineStr">
        <is>
          <t>Knotenbereich bis</t>
        </is>
      </c>
      <c r="B4">
        <f>k_xn1</f>
        <v/>
      </c>
      <c r="C4" t="inlineStr">
        <is>
          <t>Sy</t>
        </is>
      </c>
      <c r="D4">
        <f>SUMPRODUCT(Calc!$K$3:$K$22,Calc!$I$3:$I$22)</f>
        <v/>
      </c>
      <c r="F4" t="inlineStr">
        <is>
          <t>fein 1</t>
        </is>
      </c>
      <c r="G4">
        <f>MIN(AB3736:AB4176)</f>
        <v/>
      </c>
      <c r="H4">
        <f>MATCH(G4,AB3736:AB4176,0)</f>
        <v/>
      </c>
      <c r="I4">
        <f>INDEX(A3736:A4176,H4)</f>
        <v/>
      </c>
      <c r="J4">
        <f>INDEX(B3736:B4176,H4)</f>
        <v/>
      </c>
      <c r="AE4" t="inlineStr">
        <is>
          <t>k2</t>
        </is>
      </c>
      <c r="AF4">
        <f>J6</f>
        <v/>
      </c>
    </row>
    <row r="5">
      <c r="A5" t="inlineStr">
        <is>
          <t>Schritt grob</t>
        </is>
      </c>
      <c r="B5">
        <f>MAX(B4-B3,1E-9)/60</f>
        <v/>
      </c>
      <c r="C5" t="inlineStr">
        <is>
          <t>Cxx</t>
        </is>
      </c>
      <c r="D5">
        <f>SUMPRODUCT(Calc!$K$3:$K$22,Calc!$G$3:$G$22^2)-D3^2/k_n</f>
        <v/>
      </c>
      <c r="F5" t="inlineStr">
        <is>
          <t>fein 2</t>
        </is>
      </c>
      <c r="G5">
        <f>MIN(AB4180:AB4620)</f>
        <v/>
      </c>
      <c r="H5">
        <f>MATCH(G5,AB4180:AB4620,0)</f>
        <v/>
      </c>
      <c r="I5">
        <f>INDEX(A4180:A4620,H5)</f>
        <v/>
      </c>
      <c r="J5">
        <f>INDEX(B4180:B4620,H5)</f>
        <v/>
      </c>
      <c r="AE5" t="inlineStr">
        <is>
          <t>a</t>
        </is>
      </c>
      <c r="AF5">
        <f>SUMPRODUCT(Calc!$K$3:$K$22*(Calc!$G$3:$G$22&lt;=$AF$3))</f>
        <v/>
      </c>
    </row>
    <row r="6">
      <c r="C6" t="inlineStr">
        <is>
          <t>Cxy</t>
        </is>
      </c>
      <c r="D6">
        <f>SUMPRODUCT(Calc!$K$3:$K$22,Calc!$G$3:$G$22,Calc!$I$3:$I$22)-D3*D4/k_n</f>
        <v/>
      </c>
      <c r="F6" t="inlineStr">
        <is>
          <t>final</t>
        </is>
      </c>
      <c r="G6">
        <f>MIN(G3:G5)</f>
        <v/>
      </c>
      <c r="H6">
        <f>MATCH(G6,G3:G5,0)</f>
        <v/>
      </c>
      <c r="I6">
        <f>INDEX(I3:I5,H6)</f>
        <v/>
      </c>
      <c r="J6">
        <f>INDEX(J3:J5,H6)</f>
        <v/>
      </c>
      <c r="AE6" t="inlineStr">
        <is>
          <t>mid</t>
        </is>
      </c>
      <c r="AF6">
        <f>SUMPRODUCT(Calc!$K$3:$K$22*(Calc!$G$3:$G$22&gt;$AF$3)*(Calc!$G$3:$G$22&lt;$AF$4))</f>
        <v/>
      </c>
    </row>
    <row r="7">
      <c r="C7" t="inlineStr">
        <is>
          <t>Cyy</t>
        </is>
      </c>
      <c r="D7">
        <f>SUMPRODUCT(Calc!$K$3:$K$22,Calc!$I$3:$I$22^2)-D4^2/k_n</f>
        <v/>
      </c>
      <c r="AE7" t="inlineStr">
        <is>
          <t>c</t>
        </is>
      </c>
      <c r="AF7">
        <f>SUMPRODUCT(Calc!$K$3:$K$22*(Calc!$G$3:$G$22&gt;=$AF$4))</f>
        <v/>
      </c>
    </row>
    <row r="8">
      <c r="AE8" t="inlineStr">
        <is>
          <t>ok</t>
        </is>
      </c>
      <c r="AF8">
        <f>AND(k_n&gt;=5,$AF$4&gt;$AF$3+1E-9,AF5&gt;=2,AF6&gt;=1,AF7&gt;=2)</f>
        <v/>
      </c>
    </row>
    <row r="9">
      <c r="AE9" t="inlineStr">
        <is>
          <t>S1</t>
        </is>
      </c>
      <c r="AF9">
        <f>SUMPRODUCT(Calc!$K$3:$K$22*(Calc!$G$3:$G$22&gt;$AF$3)*(Calc!$G$3:$G$22-$AF$3))</f>
        <v/>
      </c>
    </row>
    <row r="10">
      <c r="A10" s="57" t="inlineStr">
        <is>
          <t>Grobraster</t>
        </is>
      </c>
      <c r="AE10" t="inlineStr">
        <is>
          <t>S2</t>
        </is>
      </c>
      <c r="AF10">
        <f>SUMPRODUCT(Calc!$K$3:$K$22*(Calc!$G$3:$G$22&gt;$AF$4)*(Calc!$G$3:$G$22-$AF$4))</f>
        <v/>
      </c>
    </row>
    <row r="11">
      <c r="A11" s="57" t="inlineStr">
        <is>
          <t>k1</t>
        </is>
      </c>
      <c r="B11" s="57" t="inlineStr">
        <is>
          <t>k2</t>
        </is>
      </c>
      <c r="C11" s="57" t="inlineStr">
        <is>
          <t>a</t>
        </is>
      </c>
      <c r="D11" s="57" t="inlineStr">
        <is>
          <t>mid</t>
        </is>
      </c>
      <c r="E11" s="57" t="inlineStr">
        <is>
          <t>c</t>
        </is>
      </c>
      <c r="F11" s="57" t="inlineStr">
        <is>
          <t>ok</t>
        </is>
      </c>
      <c r="G11" s="57" t="inlineStr">
        <is>
          <t>S1</t>
        </is>
      </c>
      <c r="H11" s="57" t="inlineStr">
        <is>
          <t>S2</t>
        </is>
      </c>
      <c r="I11" s="57" t="inlineStr">
        <is>
          <t>S11</t>
        </is>
      </c>
      <c r="J11" s="57" t="inlineStr">
        <is>
          <t>S22</t>
        </is>
      </c>
      <c r="K11" s="57" t="inlineStr">
        <is>
          <t>S12</t>
        </is>
      </c>
      <c r="L11" s="57" t="inlineStr">
        <is>
          <t>Sx1</t>
        </is>
      </c>
      <c r="M11" s="57" t="inlineStr">
        <is>
          <t>Sx2</t>
        </is>
      </c>
      <c r="N11" s="57" t="inlineStr">
        <is>
          <t>S1y</t>
        </is>
      </c>
      <c r="O11" s="57" t="inlineStr">
        <is>
          <t>S2y</t>
        </is>
      </c>
      <c r="P11" s="57" t="inlineStr">
        <is>
          <t>C11</t>
        </is>
      </c>
      <c r="Q11" s="57" t="inlineStr">
        <is>
          <t>C22</t>
        </is>
      </c>
      <c r="R11" s="57" t="inlineStr">
        <is>
          <t>C12</t>
        </is>
      </c>
      <c r="S11" s="57" t="inlineStr">
        <is>
          <t>Cx1</t>
        </is>
      </c>
      <c r="T11" s="57" t="inlineStr">
        <is>
          <t>Cx2</t>
        </is>
      </c>
      <c r="U11" s="57" t="inlineStr">
        <is>
          <t>C1y</t>
        </is>
      </c>
      <c r="V11" s="57" t="inlineStr">
        <is>
          <t>C2y</t>
        </is>
      </c>
      <c r="W11" s="57" t="inlineStr">
        <is>
          <t>det</t>
        </is>
      </c>
      <c r="X11" s="57" t="inlineStr">
        <is>
          <t>bx</t>
        </is>
      </c>
      <c r="Y11" s="57" t="inlineStr">
        <is>
          <t>b1</t>
        </is>
      </c>
      <c r="Z11" s="57" t="inlineStr">
        <is>
          <t>b2</t>
        </is>
      </c>
      <c r="AA11" s="57" t="inlineStr">
        <is>
          <t>SSE</t>
        </is>
      </c>
      <c r="AB11" s="57" t="inlineStr">
        <is>
          <t>Score</t>
        </is>
      </c>
      <c r="AE11" t="inlineStr">
        <is>
          <t>S11</t>
        </is>
      </c>
      <c r="AF11">
        <f>SUMPRODUCT(Calc!$K$3:$K$22*(Calc!$G$3:$G$22&gt;$AF$3)*(Calc!$G$3:$G$22-$AF$3)^2)</f>
        <v/>
      </c>
    </row>
    <row r="12">
      <c r="A12">
        <f>$B$3+$B$5*0</f>
        <v/>
      </c>
      <c r="B12">
        <f>$B$3+$B$5*0</f>
        <v/>
      </c>
      <c r="C12">
        <f>SUMPRODUCT(Calc!$K$3:$K$22*(Calc!$G$3:$G$22&lt;=A12))</f>
        <v/>
      </c>
      <c r="D12">
        <f>SUMPRODUCT(Calc!$K$3:$K$22*(Calc!$G$3:$G$22&gt;A12)*(Calc!$G$3:$G$22&lt;B12))</f>
        <v/>
      </c>
      <c r="E12">
        <f>SUMPRODUCT(Calc!$K$3:$K$22*(Calc!$G$3:$G$22&gt;=B12))</f>
        <v/>
      </c>
      <c r="F12">
        <f>AND(k_n&gt;=5,B12&gt;A12+1E-9,C12&gt;=2,D12&gt;=1,E12&gt;=2)</f>
        <v/>
      </c>
      <c r="G12">
        <f>SUMPRODUCT(Calc!$K$3:$K$22*(Calc!$G$3:$G$22&gt;A12)*(Calc!$G$3:$G$22-A12))</f>
        <v/>
      </c>
      <c r="H12">
        <f>SUMPRODUCT(Calc!$K$3:$K$22*(Calc!$G$3:$G$22&gt;B12)*(Calc!$G$3:$G$22-B12))</f>
        <v/>
      </c>
      <c r="I12">
        <f>SUMPRODUCT(Calc!$K$3:$K$22*(Calc!$G$3:$G$22&gt;A12)*(Calc!$G$3:$G$22-A12)^2)</f>
        <v/>
      </c>
      <c r="J12">
        <f>SUMPRODUCT(Calc!$K$3:$K$22*(Calc!$G$3:$G$22&gt;B12)*(Calc!$G$3:$G$22-B12)^2)</f>
        <v/>
      </c>
      <c r="K12">
        <f>SUMPRODUCT(Calc!$K$3:$K$22*(Calc!$G$3:$G$22&gt;A12)*(Calc!$G$3:$G$22-A12)*(Calc!$G$3:$G$22&gt;B12)*(Calc!$G$3:$G$22-B12))</f>
        <v/>
      </c>
      <c r="L12">
        <f>SUMPRODUCT(Calc!$K$3:$K$22*(Calc!$G$3:$G$22&gt;A12)*(Calc!$G$3:$G$22-A12)*Calc!$G$3:$G$22)</f>
        <v/>
      </c>
      <c r="M12">
        <f>SUMPRODUCT(Calc!$K$3:$K$22*(Calc!$G$3:$G$22&gt;B12)*(Calc!$G$3:$G$22-B12)*Calc!$G$3:$G$22)</f>
        <v/>
      </c>
      <c r="N12">
        <f>SUMPRODUCT(Calc!$K$3:$K$22*(Calc!$G$3:$G$22&gt;A12)*(Calc!$G$3:$G$22-A12)*Calc!$I$3:$I$22)</f>
        <v/>
      </c>
      <c r="O12">
        <f>SUMPRODUCT(Calc!$K$3:$K$22*(Calc!$G$3:$G$22&gt;B12)*(Calc!$G$3:$G$22-B12)*Calc!$I$3:$I$22)</f>
        <v/>
      </c>
      <c r="P12">
        <f>I12-G12^2/k_n</f>
        <v/>
      </c>
      <c r="Q12">
        <f>J12-H12^2/k_n</f>
        <v/>
      </c>
      <c r="R12">
        <f>K12-G12*H12/k_n</f>
        <v/>
      </c>
      <c r="S12">
        <f>L12-LTP3!$D$3*G12/k_n</f>
        <v/>
      </c>
      <c r="T12">
        <f>M12-LTP3!$D$3*H12/k_n</f>
        <v/>
      </c>
      <c r="U12">
        <f>N12-G12*LTP3!$D$4/k_n</f>
        <v/>
      </c>
      <c r="V12">
        <f>O12-H12*LTP3!$D$4/k_n</f>
        <v/>
      </c>
      <c r="W12">
        <f>((LTP3!$D$5)*((P12)*(Q12)-(R12)*(R12))-(S12)*((S12)*(Q12)-(R12)*(T12))+(T12)*((S12)*(R12)-(P12)*(T12)))</f>
        <v/>
      </c>
      <c r="X12">
        <f>IF(ABS(W12)&gt;1E-12,((LTP3!$D$6)*((P12)*(Q12)-(R12)*(R12))-(S12)*((U12)*(Q12)-(R12)*(V12))+(T12)*((U12)*(R12)-(P12)*(V12)))/W12,0)</f>
        <v/>
      </c>
      <c r="Y12">
        <f>IF(ABS(W12)&gt;1E-12,((LTP3!$D$5)*((U12)*(Q12)-(R12)*(V12))-(LTP3!$D$6)*((S12)*(Q12)-(R12)*(T12))+(T12)*((S12)*(V12)-(U12)*(T12)))/W12,0)</f>
        <v/>
      </c>
      <c r="Z12">
        <f>IF(ABS(W12)&gt;1E-12,((LTP3!$D$5)*((P12)*(V12)-(U12)*(R12))-(S12)*((S12)*(V12)-(U12)*(T12))+(LTP3!$D$6)*((S12)*(R12)-(P12)*(T12)))/W12,0)</f>
        <v/>
      </c>
      <c r="AA12">
        <f>LTP3!$D$7-X12*LTP3!$D$6-Y12*U12-Z12*V12</f>
        <v/>
      </c>
      <c r="AB12">
        <f>IF(AND(F12,ABS(W12)&gt;1E-12,Y12&gt;0,Z12&gt;0),AA12,1E+300)</f>
        <v/>
      </c>
      <c r="AE12" t="inlineStr">
        <is>
          <t>S22</t>
        </is>
      </c>
      <c r="AF12">
        <f>SUMPRODUCT(Calc!$K$3:$K$22*(Calc!$G$3:$G$22&gt;$AF$4)*(Calc!$G$3:$G$22-$AF$4)^2)</f>
        <v/>
      </c>
    </row>
    <row r="13">
      <c r="A13">
        <f>$B$3+$B$5*0</f>
        <v/>
      </c>
      <c r="B13">
        <f>$B$3+$B$5*1</f>
        <v/>
      </c>
      <c r="C13">
        <f>SUMPRODUCT(Calc!$K$3:$K$22*(Calc!$G$3:$G$22&lt;=A13))</f>
        <v/>
      </c>
      <c r="D13">
        <f>SUMPRODUCT(Calc!$K$3:$K$22*(Calc!$G$3:$G$22&gt;A13)*(Calc!$G$3:$G$22&lt;B13))</f>
        <v/>
      </c>
      <c r="E13">
        <f>SUMPRODUCT(Calc!$K$3:$K$22*(Calc!$G$3:$G$22&gt;=B13))</f>
        <v/>
      </c>
      <c r="F13">
        <f>AND(k_n&gt;=5,B13&gt;A13+1E-9,C13&gt;=2,D13&gt;=1,E13&gt;=2)</f>
        <v/>
      </c>
      <c r="G13">
        <f>SUMPRODUCT(Calc!$K$3:$K$22*(Calc!$G$3:$G$22&gt;A13)*(Calc!$G$3:$G$22-A13))</f>
        <v/>
      </c>
      <c r="H13">
        <f>SUMPRODUCT(Calc!$K$3:$K$22*(Calc!$G$3:$G$22&gt;B13)*(Calc!$G$3:$G$22-B13))</f>
        <v/>
      </c>
      <c r="I13">
        <f>SUMPRODUCT(Calc!$K$3:$K$22*(Calc!$G$3:$G$22&gt;A13)*(Calc!$G$3:$G$22-A13)^2)</f>
        <v/>
      </c>
      <c r="J13">
        <f>SUMPRODUCT(Calc!$K$3:$K$22*(Calc!$G$3:$G$22&gt;B13)*(Calc!$G$3:$G$22-B13)^2)</f>
        <v/>
      </c>
      <c r="K13">
        <f>SUMPRODUCT(Calc!$K$3:$K$22*(Calc!$G$3:$G$22&gt;A13)*(Calc!$G$3:$G$22-A13)*(Calc!$G$3:$G$22&gt;B13)*(Calc!$G$3:$G$22-B13))</f>
        <v/>
      </c>
      <c r="L13">
        <f>SUMPRODUCT(Calc!$K$3:$K$22*(Calc!$G$3:$G$22&gt;A13)*(Calc!$G$3:$G$22-A13)*Calc!$G$3:$G$22)</f>
        <v/>
      </c>
      <c r="M13">
        <f>SUMPRODUCT(Calc!$K$3:$K$22*(Calc!$G$3:$G$22&gt;B13)*(Calc!$G$3:$G$22-B13)*Calc!$G$3:$G$22)</f>
        <v/>
      </c>
      <c r="N13">
        <f>SUMPRODUCT(Calc!$K$3:$K$22*(Calc!$G$3:$G$22&gt;A13)*(Calc!$G$3:$G$22-A13)*Calc!$I$3:$I$22)</f>
        <v/>
      </c>
      <c r="O13">
        <f>SUMPRODUCT(Calc!$K$3:$K$22*(Calc!$G$3:$G$22&gt;B13)*(Calc!$G$3:$G$22-B13)*Calc!$I$3:$I$22)</f>
        <v/>
      </c>
      <c r="P13">
        <f>I13-G13^2/k_n</f>
        <v/>
      </c>
      <c r="Q13">
        <f>J13-H13^2/k_n</f>
        <v/>
      </c>
      <c r="R13">
        <f>K13-G13*H13/k_n</f>
        <v/>
      </c>
      <c r="S13">
        <f>L13-LTP3!$D$3*G13/k_n</f>
        <v/>
      </c>
      <c r="T13">
        <f>M13-LTP3!$D$3*H13/k_n</f>
        <v/>
      </c>
      <c r="U13">
        <f>N13-G13*LTP3!$D$4/k_n</f>
        <v/>
      </c>
      <c r="V13">
        <f>O13-H13*LTP3!$D$4/k_n</f>
        <v/>
      </c>
      <c r="W13">
        <f>((LTP3!$D$5)*((P13)*(Q13)-(R13)*(R13))-(S13)*((S13)*(Q13)-(R13)*(T13))+(T13)*((S13)*(R13)-(P13)*(T13)))</f>
        <v/>
      </c>
      <c r="X13">
        <f>IF(ABS(W13)&gt;1E-12,((LTP3!$D$6)*((P13)*(Q13)-(R13)*(R13))-(S13)*((U13)*(Q13)-(R13)*(V13))+(T13)*((U13)*(R13)-(P13)*(V13)))/W13,0)</f>
        <v/>
      </c>
      <c r="Y13">
        <f>IF(ABS(W13)&gt;1E-12,((LTP3!$D$5)*((U13)*(Q13)-(R13)*(V13))-(LTP3!$D$6)*((S13)*(Q13)-(R13)*(T13))+(T13)*((S13)*(V13)-(U13)*(T13)))/W13,0)</f>
        <v/>
      </c>
      <c r="Z13">
        <f>IF(ABS(W13)&gt;1E-12,((LTP3!$D$5)*((P13)*(V13)-(U13)*(R13))-(S13)*((S13)*(V13)-(U13)*(T13))+(LTP3!$D$6)*((S13)*(R13)-(P13)*(T13)))/W13,0)</f>
        <v/>
      </c>
      <c r="AA13">
        <f>LTP3!$D$7-X13*LTP3!$D$6-Y13*U13-Z13*V13</f>
        <v/>
      </c>
      <c r="AB13">
        <f>IF(AND(F13,ABS(W13)&gt;1E-12,Y13&gt;0,Z13&gt;0),AA13,1E+300)</f>
        <v/>
      </c>
      <c r="AE13" t="inlineStr">
        <is>
          <t>S12</t>
        </is>
      </c>
      <c r="AF13">
        <f>SUMPRODUCT(Calc!$K$3:$K$22*(Calc!$G$3:$G$22&gt;$AF$3)*(Calc!$G$3:$G$22-$AF$3)*(Calc!$G$3:$G$22&gt;$AF$4)*(Calc!$G$3:$G$22-$AF$4))</f>
        <v/>
      </c>
    </row>
    <row r="14">
      <c r="A14">
        <f>$B$3+$B$5*0</f>
        <v/>
      </c>
      <c r="B14">
        <f>$B$3+$B$5*2</f>
        <v/>
      </c>
      <c r="C14">
        <f>SUMPRODUCT(Calc!$K$3:$K$22*(Calc!$G$3:$G$22&lt;=A14))</f>
        <v/>
      </c>
      <c r="D14">
        <f>SUMPRODUCT(Calc!$K$3:$K$22*(Calc!$G$3:$G$22&gt;A14)*(Calc!$G$3:$G$22&lt;B14))</f>
        <v/>
      </c>
      <c r="E14">
        <f>SUMPRODUCT(Calc!$K$3:$K$22*(Calc!$G$3:$G$22&gt;=B14))</f>
        <v/>
      </c>
      <c r="F14">
        <f>AND(k_n&gt;=5,B14&gt;A14+1E-9,C14&gt;=2,D14&gt;=1,E14&gt;=2)</f>
        <v/>
      </c>
      <c r="G14">
        <f>SUMPRODUCT(Calc!$K$3:$K$22*(Calc!$G$3:$G$22&gt;A14)*(Calc!$G$3:$G$22-A14))</f>
        <v/>
      </c>
      <c r="H14">
        <f>SUMPRODUCT(Calc!$K$3:$K$22*(Calc!$G$3:$G$22&gt;B14)*(Calc!$G$3:$G$22-B14))</f>
        <v/>
      </c>
      <c r="I14">
        <f>SUMPRODUCT(Calc!$K$3:$K$22*(Calc!$G$3:$G$22&gt;A14)*(Calc!$G$3:$G$22-A14)^2)</f>
        <v/>
      </c>
      <c r="J14">
        <f>SUMPRODUCT(Calc!$K$3:$K$22*(Calc!$G$3:$G$22&gt;B14)*(Calc!$G$3:$G$22-B14)^2)</f>
        <v/>
      </c>
      <c r="K14">
        <f>SUMPRODUCT(Calc!$K$3:$K$22*(Calc!$G$3:$G$22&gt;A14)*(Calc!$G$3:$G$22-A14)*(Calc!$G$3:$G$22&gt;B14)*(Calc!$G$3:$G$22-B14))</f>
        <v/>
      </c>
      <c r="L14">
        <f>SUMPRODUCT(Calc!$K$3:$K$22*(Calc!$G$3:$G$22&gt;A14)*(Calc!$G$3:$G$22-A14)*Calc!$G$3:$G$22)</f>
        <v/>
      </c>
      <c r="M14">
        <f>SUMPRODUCT(Calc!$K$3:$K$22*(Calc!$G$3:$G$22&gt;B14)*(Calc!$G$3:$G$22-B14)*Calc!$G$3:$G$22)</f>
        <v/>
      </c>
      <c r="N14">
        <f>SUMPRODUCT(Calc!$K$3:$K$22*(Calc!$G$3:$G$22&gt;A14)*(Calc!$G$3:$G$22-A14)*Calc!$I$3:$I$22)</f>
        <v/>
      </c>
      <c r="O14">
        <f>SUMPRODUCT(Calc!$K$3:$K$22*(Calc!$G$3:$G$22&gt;B14)*(Calc!$G$3:$G$22-B14)*Calc!$I$3:$I$22)</f>
        <v/>
      </c>
      <c r="P14">
        <f>I14-G14^2/k_n</f>
        <v/>
      </c>
      <c r="Q14">
        <f>J14-H14^2/k_n</f>
        <v/>
      </c>
      <c r="R14">
        <f>K14-G14*H14/k_n</f>
        <v/>
      </c>
      <c r="S14">
        <f>L14-LTP3!$D$3*G14/k_n</f>
        <v/>
      </c>
      <c r="T14">
        <f>M14-LTP3!$D$3*H14/k_n</f>
        <v/>
      </c>
      <c r="U14">
        <f>N14-G14*LTP3!$D$4/k_n</f>
        <v/>
      </c>
      <c r="V14">
        <f>O14-H14*LTP3!$D$4/k_n</f>
        <v/>
      </c>
      <c r="W14">
        <f>((LTP3!$D$5)*((P14)*(Q14)-(R14)*(R14))-(S14)*((S14)*(Q14)-(R14)*(T14))+(T14)*((S14)*(R14)-(P14)*(T14)))</f>
        <v/>
      </c>
      <c r="X14">
        <f>IF(ABS(W14)&gt;1E-12,((LTP3!$D$6)*((P14)*(Q14)-(R14)*(R14))-(S14)*((U14)*(Q14)-(R14)*(V14))+(T14)*((U14)*(R14)-(P14)*(V14)))/W14,0)</f>
        <v/>
      </c>
      <c r="Y14">
        <f>IF(ABS(W14)&gt;1E-12,((LTP3!$D$5)*((U14)*(Q14)-(R14)*(V14))-(LTP3!$D$6)*((S14)*(Q14)-(R14)*(T14))+(T14)*((S14)*(V14)-(U14)*(T14)))/W14,0)</f>
        <v/>
      </c>
      <c r="Z14">
        <f>IF(ABS(W14)&gt;1E-12,((LTP3!$D$5)*((P14)*(V14)-(U14)*(R14))-(S14)*((S14)*(V14)-(U14)*(T14))+(LTP3!$D$6)*((S14)*(R14)-(P14)*(T14)))/W14,0)</f>
        <v/>
      </c>
      <c r="AA14">
        <f>LTP3!$D$7-X14*LTP3!$D$6-Y14*U14-Z14*V14</f>
        <v/>
      </c>
      <c r="AB14">
        <f>IF(AND(F14,ABS(W14)&gt;1E-12,Y14&gt;0,Z14&gt;0),AA14,1E+300)</f>
        <v/>
      </c>
      <c r="AE14" t="inlineStr">
        <is>
          <t>Sx1</t>
        </is>
      </c>
      <c r="AF14">
        <f>SUMPRODUCT(Calc!$K$3:$K$22*(Calc!$G$3:$G$22&gt;$AF$3)*(Calc!$G$3:$G$22-$AF$3)*Calc!$G$3:$G$22)</f>
        <v/>
      </c>
    </row>
    <row r="15">
      <c r="A15">
        <f>$B$3+$B$5*0</f>
        <v/>
      </c>
      <c r="B15">
        <f>$B$3+$B$5*3</f>
        <v/>
      </c>
      <c r="C15">
        <f>SUMPRODUCT(Calc!$K$3:$K$22*(Calc!$G$3:$G$22&lt;=A15))</f>
        <v/>
      </c>
      <c r="D15">
        <f>SUMPRODUCT(Calc!$K$3:$K$22*(Calc!$G$3:$G$22&gt;A15)*(Calc!$G$3:$G$22&lt;B15))</f>
        <v/>
      </c>
      <c r="E15">
        <f>SUMPRODUCT(Calc!$K$3:$K$22*(Calc!$G$3:$G$22&gt;=B15))</f>
        <v/>
      </c>
      <c r="F15">
        <f>AND(k_n&gt;=5,B15&gt;A15+1E-9,C15&gt;=2,D15&gt;=1,E15&gt;=2)</f>
        <v/>
      </c>
      <c r="G15">
        <f>SUMPRODUCT(Calc!$K$3:$K$22*(Calc!$G$3:$G$22&gt;A15)*(Calc!$G$3:$G$22-A15))</f>
        <v/>
      </c>
      <c r="H15">
        <f>SUMPRODUCT(Calc!$K$3:$K$22*(Calc!$G$3:$G$22&gt;B15)*(Calc!$G$3:$G$22-B15))</f>
        <v/>
      </c>
      <c r="I15">
        <f>SUMPRODUCT(Calc!$K$3:$K$22*(Calc!$G$3:$G$22&gt;A15)*(Calc!$G$3:$G$22-A15)^2)</f>
        <v/>
      </c>
      <c r="J15">
        <f>SUMPRODUCT(Calc!$K$3:$K$22*(Calc!$G$3:$G$22&gt;B15)*(Calc!$G$3:$G$22-B15)^2)</f>
        <v/>
      </c>
      <c r="K15">
        <f>SUMPRODUCT(Calc!$K$3:$K$22*(Calc!$G$3:$G$22&gt;A15)*(Calc!$G$3:$G$22-A15)*(Calc!$G$3:$G$22&gt;B15)*(Calc!$G$3:$G$22-B15))</f>
        <v/>
      </c>
      <c r="L15">
        <f>SUMPRODUCT(Calc!$K$3:$K$22*(Calc!$G$3:$G$22&gt;A15)*(Calc!$G$3:$G$22-A15)*Calc!$G$3:$G$22)</f>
        <v/>
      </c>
      <c r="M15">
        <f>SUMPRODUCT(Calc!$K$3:$K$22*(Calc!$G$3:$G$22&gt;B15)*(Calc!$G$3:$G$22-B15)*Calc!$G$3:$G$22)</f>
        <v/>
      </c>
      <c r="N15">
        <f>SUMPRODUCT(Calc!$K$3:$K$22*(Calc!$G$3:$G$22&gt;A15)*(Calc!$G$3:$G$22-A15)*Calc!$I$3:$I$22)</f>
        <v/>
      </c>
      <c r="O15">
        <f>SUMPRODUCT(Calc!$K$3:$K$22*(Calc!$G$3:$G$22&gt;B15)*(Calc!$G$3:$G$22-B15)*Calc!$I$3:$I$22)</f>
        <v/>
      </c>
      <c r="P15">
        <f>I15-G15^2/k_n</f>
        <v/>
      </c>
      <c r="Q15">
        <f>J15-H15^2/k_n</f>
        <v/>
      </c>
      <c r="R15">
        <f>K15-G15*H15/k_n</f>
        <v/>
      </c>
      <c r="S15">
        <f>L15-LTP3!$D$3*G15/k_n</f>
        <v/>
      </c>
      <c r="T15">
        <f>M15-LTP3!$D$3*H15/k_n</f>
        <v/>
      </c>
      <c r="U15">
        <f>N15-G15*LTP3!$D$4/k_n</f>
        <v/>
      </c>
      <c r="V15">
        <f>O15-H15*LTP3!$D$4/k_n</f>
        <v/>
      </c>
      <c r="W15">
        <f>((LTP3!$D$5)*((P15)*(Q15)-(R15)*(R15))-(S15)*((S15)*(Q15)-(R15)*(T15))+(T15)*((S15)*(R15)-(P15)*(T15)))</f>
        <v/>
      </c>
      <c r="X15">
        <f>IF(ABS(W15)&gt;1E-12,((LTP3!$D$6)*((P15)*(Q15)-(R15)*(R15))-(S15)*((U15)*(Q15)-(R15)*(V15))+(T15)*((U15)*(R15)-(P15)*(V15)))/W15,0)</f>
        <v/>
      </c>
      <c r="Y15">
        <f>IF(ABS(W15)&gt;1E-12,((LTP3!$D$5)*((U15)*(Q15)-(R15)*(V15))-(LTP3!$D$6)*((S15)*(Q15)-(R15)*(T15))+(T15)*((S15)*(V15)-(U15)*(T15)))/W15,0)</f>
        <v/>
      </c>
      <c r="Z15">
        <f>IF(ABS(W15)&gt;1E-12,((LTP3!$D$5)*((P15)*(V15)-(U15)*(R15))-(S15)*((S15)*(V15)-(U15)*(T15))+(LTP3!$D$6)*((S15)*(R15)-(P15)*(T15)))/W15,0)</f>
        <v/>
      </c>
      <c r="AA15">
        <f>LTP3!$D$7-X15*LTP3!$D$6-Y15*U15-Z15*V15</f>
        <v/>
      </c>
      <c r="AB15">
        <f>IF(AND(F15,ABS(W15)&gt;1E-12,Y15&gt;0,Z15&gt;0),AA15,1E+300)</f>
        <v/>
      </c>
      <c r="AE15" t="inlineStr">
        <is>
          <t>Sx2</t>
        </is>
      </c>
      <c r="AF15">
        <f>SUMPRODUCT(Calc!$K$3:$K$22*(Calc!$G$3:$G$22&gt;$AF$4)*(Calc!$G$3:$G$22-$AF$4)*Calc!$G$3:$G$22)</f>
        <v/>
      </c>
    </row>
    <row r="16">
      <c r="A16">
        <f>$B$3+$B$5*0</f>
        <v/>
      </c>
      <c r="B16">
        <f>$B$3+$B$5*4</f>
        <v/>
      </c>
      <c r="C16">
        <f>SUMPRODUCT(Calc!$K$3:$K$22*(Calc!$G$3:$G$22&lt;=A16))</f>
        <v/>
      </c>
      <c r="D16">
        <f>SUMPRODUCT(Calc!$K$3:$K$22*(Calc!$G$3:$G$22&gt;A16)*(Calc!$G$3:$G$22&lt;B16))</f>
        <v/>
      </c>
      <c r="E16">
        <f>SUMPRODUCT(Calc!$K$3:$K$22*(Calc!$G$3:$G$22&gt;=B16))</f>
        <v/>
      </c>
      <c r="F16">
        <f>AND(k_n&gt;=5,B16&gt;A16+1E-9,C16&gt;=2,D16&gt;=1,E16&gt;=2)</f>
        <v/>
      </c>
      <c r="G16">
        <f>SUMPRODUCT(Calc!$K$3:$K$22*(Calc!$G$3:$G$22&gt;A16)*(Calc!$G$3:$G$22-A16))</f>
        <v/>
      </c>
      <c r="H16">
        <f>SUMPRODUCT(Calc!$K$3:$K$22*(Calc!$G$3:$G$22&gt;B16)*(Calc!$G$3:$G$22-B16))</f>
        <v/>
      </c>
      <c r="I16">
        <f>SUMPRODUCT(Calc!$K$3:$K$22*(Calc!$G$3:$G$22&gt;A16)*(Calc!$G$3:$G$22-A16)^2)</f>
        <v/>
      </c>
      <c r="J16">
        <f>SUMPRODUCT(Calc!$K$3:$K$22*(Calc!$G$3:$G$22&gt;B16)*(Calc!$G$3:$G$22-B16)^2)</f>
        <v/>
      </c>
      <c r="K16">
        <f>SUMPRODUCT(Calc!$K$3:$K$22*(Calc!$G$3:$G$22&gt;A16)*(Calc!$G$3:$G$22-A16)*(Calc!$G$3:$G$22&gt;B16)*(Calc!$G$3:$G$22-B16))</f>
        <v/>
      </c>
      <c r="L16">
        <f>SUMPRODUCT(Calc!$K$3:$K$22*(Calc!$G$3:$G$22&gt;A16)*(Calc!$G$3:$G$22-A16)*Calc!$G$3:$G$22)</f>
        <v/>
      </c>
      <c r="M16">
        <f>SUMPRODUCT(Calc!$K$3:$K$22*(Calc!$G$3:$G$22&gt;B16)*(Calc!$G$3:$G$22-B16)*Calc!$G$3:$G$22)</f>
        <v/>
      </c>
      <c r="N16">
        <f>SUMPRODUCT(Calc!$K$3:$K$22*(Calc!$G$3:$G$22&gt;A16)*(Calc!$G$3:$G$22-A16)*Calc!$I$3:$I$22)</f>
        <v/>
      </c>
      <c r="O16">
        <f>SUMPRODUCT(Calc!$K$3:$K$22*(Calc!$G$3:$G$22&gt;B16)*(Calc!$G$3:$G$22-B16)*Calc!$I$3:$I$22)</f>
        <v/>
      </c>
      <c r="P16">
        <f>I16-G16^2/k_n</f>
        <v/>
      </c>
      <c r="Q16">
        <f>J16-H16^2/k_n</f>
        <v/>
      </c>
      <c r="R16">
        <f>K16-G16*H16/k_n</f>
        <v/>
      </c>
      <c r="S16">
        <f>L16-LTP3!$D$3*G16/k_n</f>
        <v/>
      </c>
      <c r="T16">
        <f>M16-LTP3!$D$3*H16/k_n</f>
        <v/>
      </c>
      <c r="U16">
        <f>N16-G16*LTP3!$D$4/k_n</f>
        <v/>
      </c>
      <c r="V16">
        <f>O16-H16*LTP3!$D$4/k_n</f>
        <v/>
      </c>
      <c r="W16">
        <f>((LTP3!$D$5)*((P16)*(Q16)-(R16)*(R16))-(S16)*((S16)*(Q16)-(R16)*(T16))+(T16)*((S16)*(R16)-(P16)*(T16)))</f>
        <v/>
      </c>
      <c r="X16">
        <f>IF(ABS(W16)&gt;1E-12,((LTP3!$D$6)*((P16)*(Q16)-(R16)*(R16))-(S16)*((U16)*(Q16)-(R16)*(V16))+(T16)*((U16)*(R16)-(P16)*(V16)))/W16,0)</f>
        <v/>
      </c>
      <c r="Y16">
        <f>IF(ABS(W16)&gt;1E-12,((LTP3!$D$5)*((U16)*(Q16)-(R16)*(V16))-(LTP3!$D$6)*((S16)*(Q16)-(R16)*(T16))+(T16)*((S16)*(V16)-(U16)*(T16)))/W16,0)</f>
        <v/>
      </c>
      <c r="Z16">
        <f>IF(ABS(W16)&gt;1E-12,((LTP3!$D$5)*((P16)*(V16)-(U16)*(R16))-(S16)*((S16)*(V16)-(U16)*(T16))+(LTP3!$D$6)*((S16)*(R16)-(P16)*(T16)))/W16,0)</f>
        <v/>
      </c>
      <c r="AA16">
        <f>LTP3!$D$7-X16*LTP3!$D$6-Y16*U16-Z16*V16</f>
        <v/>
      </c>
      <c r="AB16">
        <f>IF(AND(F16,ABS(W16)&gt;1E-12,Y16&gt;0,Z16&gt;0),AA16,1E+300)</f>
        <v/>
      </c>
      <c r="AE16" t="inlineStr">
        <is>
          <t>S1y</t>
        </is>
      </c>
      <c r="AF16">
        <f>SUMPRODUCT(Calc!$K$3:$K$22*(Calc!$G$3:$G$22&gt;$AF$3)*(Calc!$G$3:$G$22-$AF$3)*Calc!$I$3:$I$22)</f>
        <v/>
      </c>
    </row>
    <row r="17">
      <c r="A17">
        <f>$B$3+$B$5*0</f>
        <v/>
      </c>
      <c r="B17">
        <f>$B$3+$B$5*5</f>
        <v/>
      </c>
      <c r="C17">
        <f>SUMPRODUCT(Calc!$K$3:$K$22*(Calc!$G$3:$G$22&lt;=A17))</f>
        <v/>
      </c>
      <c r="D17">
        <f>SUMPRODUCT(Calc!$K$3:$K$22*(Calc!$G$3:$G$22&gt;A17)*(Calc!$G$3:$G$22&lt;B17))</f>
        <v/>
      </c>
      <c r="E17">
        <f>SUMPRODUCT(Calc!$K$3:$K$22*(Calc!$G$3:$G$22&gt;=B17))</f>
        <v/>
      </c>
      <c r="F17">
        <f>AND(k_n&gt;=5,B17&gt;A17+1E-9,C17&gt;=2,D17&gt;=1,E17&gt;=2)</f>
        <v/>
      </c>
      <c r="G17">
        <f>SUMPRODUCT(Calc!$K$3:$K$22*(Calc!$G$3:$G$22&gt;A17)*(Calc!$G$3:$G$22-A17))</f>
        <v/>
      </c>
      <c r="H17">
        <f>SUMPRODUCT(Calc!$K$3:$K$22*(Calc!$G$3:$G$22&gt;B17)*(Calc!$G$3:$G$22-B17))</f>
        <v/>
      </c>
      <c r="I17">
        <f>SUMPRODUCT(Calc!$K$3:$K$22*(Calc!$G$3:$G$22&gt;A17)*(Calc!$G$3:$G$22-A17)^2)</f>
        <v/>
      </c>
      <c r="J17">
        <f>SUMPRODUCT(Calc!$K$3:$K$22*(Calc!$G$3:$G$22&gt;B17)*(Calc!$G$3:$G$22-B17)^2)</f>
        <v/>
      </c>
      <c r="K17">
        <f>SUMPRODUCT(Calc!$K$3:$K$22*(Calc!$G$3:$G$22&gt;A17)*(Calc!$G$3:$G$22-A17)*(Calc!$G$3:$G$22&gt;B17)*(Calc!$G$3:$G$22-B17))</f>
        <v/>
      </c>
      <c r="L17">
        <f>SUMPRODUCT(Calc!$K$3:$K$22*(Calc!$G$3:$G$22&gt;A17)*(Calc!$G$3:$G$22-A17)*Calc!$G$3:$G$22)</f>
        <v/>
      </c>
      <c r="M17">
        <f>SUMPRODUCT(Calc!$K$3:$K$22*(Calc!$G$3:$G$22&gt;B17)*(Calc!$G$3:$G$22-B17)*Calc!$G$3:$G$22)</f>
        <v/>
      </c>
      <c r="N17">
        <f>SUMPRODUCT(Calc!$K$3:$K$22*(Calc!$G$3:$G$22&gt;A17)*(Calc!$G$3:$G$22-A17)*Calc!$I$3:$I$22)</f>
        <v/>
      </c>
      <c r="O17">
        <f>SUMPRODUCT(Calc!$K$3:$K$22*(Calc!$G$3:$G$22&gt;B17)*(Calc!$G$3:$G$22-B17)*Calc!$I$3:$I$22)</f>
        <v/>
      </c>
      <c r="P17">
        <f>I17-G17^2/k_n</f>
        <v/>
      </c>
      <c r="Q17">
        <f>J17-H17^2/k_n</f>
        <v/>
      </c>
      <c r="R17">
        <f>K17-G17*H17/k_n</f>
        <v/>
      </c>
      <c r="S17">
        <f>L17-LTP3!$D$3*G17/k_n</f>
        <v/>
      </c>
      <c r="T17">
        <f>M17-LTP3!$D$3*H17/k_n</f>
        <v/>
      </c>
      <c r="U17">
        <f>N17-G17*LTP3!$D$4/k_n</f>
        <v/>
      </c>
      <c r="V17">
        <f>O17-H17*LTP3!$D$4/k_n</f>
        <v/>
      </c>
      <c r="W17">
        <f>((LTP3!$D$5)*((P17)*(Q17)-(R17)*(R17))-(S17)*((S17)*(Q17)-(R17)*(T17))+(T17)*((S17)*(R17)-(P17)*(T17)))</f>
        <v/>
      </c>
      <c r="X17">
        <f>IF(ABS(W17)&gt;1E-12,((LTP3!$D$6)*((P17)*(Q17)-(R17)*(R17))-(S17)*((U17)*(Q17)-(R17)*(V17))+(T17)*((U17)*(R17)-(P17)*(V17)))/W17,0)</f>
        <v/>
      </c>
      <c r="Y17">
        <f>IF(ABS(W17)&gt;1E-12,((LTP3!$D$5)*((U17)*(Q17)-(R17)*(V17))-(LTP3!$D$6)*((S17)*(Q17)-(R17)*(T17))+(T17)*((S17)*(V17)-(U17)*(T17)))/W17,0)</f>
        <v/>
      </c>
      <c r="Z17">
        <f>IF(ABS(W17)&gt;1E-12,((LTP3!$D$5)*((P17)*(V17)-(U17)*(R17))-(S17)*((S17)*(V17)-(U17)*(T17))+(LTP3!$D$6)*((S17)*(R17)-(P17)*(T17)))/W17,0)</f>
        <v/>
      </c>
      <c r="AA17">
        <f>LTP3!$D$7-X17*LTP3!$D$6-Y17*U17-Z17*V17</f>
        <v/>
      </c>
      <c r="AB17">
        <f>IF(AND(F17,ABS(W17)&gt;1E-12,Y17&gt;0,Z17&gt;0),AA17,1E+300)</f>
        <v/>
      </c>
      <c r="AE17" t="inlineStr">
        <is>
          <t>S2y</t>
        </is>
      </c>
      <c r="AF17">
        <f>SUMPRODUCT(Calc!$K$3:$K$22*(Calc!$G$3:$G$22&gt;$AF$4)*(Calc!$G$3:$G$22-$AF$4)*Calc!$I$3:$I$22)</f>
        <v/>
      </c>
    </row>
    <row r="18">
      <c r="A18">
        <f>$B$3+$B$5*0</f>
        <v/>
      </c>
      <c r="B18">
        <f>$B$3+$B$5*6</f>
        <v/>
      </c>
      <c r="C18">
        <f>SUMPRODUCT(Calc!$K$3:$K$22*(Calc!$G$3:$G$22&lt;=A18))</f>
        <v/>
      </c>
      <c r="D18">
        <f>SUMPRODUCT(Calc!$K$3:$K$22*(Calc!$G$3:$G$22&gt;A18)*(Calc!$G$3:$G$22&lt;B18))</f>
        <v/>
      </c>
      <c r="E18">
        <f>SUMPRODUCT(Calc!$K$3:$K$22*(Calc!$G$3:$G$22&gt;=B18))</f>
        <v/>
      </c>
      <c r="F18">
        <f>AND(k_n&gt;=5,B18&gt;A18+1E-9,C18&gt;=2,D18&gt;=1,E18&gt;=2)</f>
        <v/>
      </c>
      <c r="G18">
        <f>SUMPRODUCT(Calc!$K$3:$K$22*(Calc!$G$3:$G$22&gt;A18)*(Calc!$G$3:$G$22-A18))</f>
        <v/>
      </c>
      <c r="H18">
        <f>SUMPRODUCT(Calc!$K$3:$K$22*(Calc!$G$3:$G$22&gt;B18)*(Calc!$G$3:$G$22-B18))</f>
        <v/>
      </c>
      <c r="I18">
        <f>SUMPRODUCT(Calc!$K$3:$K$22*(Calc!$G$3:$G$22&gt;A18)*(Calc!$G$3:$G$22-A18)^2)</f>
        <v/>
      </c>
      <c r="J18">
        <f>SUMPRODUCT(Calc!$K$3:$K$22*(Calc!$G$3:$G$22&gt;B18)*(Calc!$G$3:$G$22-B18)^2)</f>
        <v/>
      </c>
      <c r="K18">
        <f>SUMPRODUCT(Calc!$K$3:$K$22*(Calc!$G$3:$G$22&gt;A18)*(Calc!$G$3:$G$22-A18)*(Calc!$G$3:$G$22&gt;B18)*(Calc!$G$3:$G$22-B18))</f>
        <v/>
      </c>
      <c r="L18">
        <f>SUMPRODUCT(Calc!$K$3:$K$22*(Calc!$G$3:$G$22&gt;A18)*(Calc!$G$3:$G$22-A18)*Calc!$G$3:$G$22)</f>
        <v/>
      </c>
      <c r="M18">
        <f>SUMPRODUCT(Calc!$K$3:$K$22*(Calc!$G$3:$G$22&gt;B18)*(Calc!$G$3:$G$22-B18)*Calc!$G$3:$G$22)</f>
        <v/>
      </c>
      <c r="N18">
        <f>SUMPRODUCT(Calc!$K$3:$K$22*(Calc!$G$3:$G$22&gt;A18)*(Calc!$G$3:$G$22-A18)*Calc!$I$3:$I$22)</f>
        <v/>
      </c>
      <c r="O18">
        <f>SUMPRODUCT(Calc!$K$3:$K$22*(Calc!$G$3:$G$22&gt;B18)*(Calc!$G$3:$G$22-B18)*Calc!$I$3:$I$22)</f>
        <v/>
      </c>
      <c r="P18">
        <f>I18-G18^2/k_n</f>
        <v/>
      </c>
      <c r="Q18">
        <f>J18-H18^2/k_n</f>
        <v/>
      </c>
      <c r="R18">
        <f>K18-G18*H18/k_n</f>
        <v/>
      </c>
      <c r="S18">
        <f>L18-LTP3!$D$3*G18/k_n</f>
        <v/>
      </c>
      <c r="T18">
        <f>M18-LTP3!$D$3*H18/k_n</f>
        <v/>
      </c>
      <c r="U18">
        <f>N18-G18*LTP3!$D$4/k_n</f>
        <v/>
      </c>
      <c r="V18">
        <f>O18-H18*LTP3!$D$4/k_n</f>
        <v/>
      </c>
      <c r="W18">
        <f>((LTP3!$D$5)*((P18)*(Q18)-(R18)*(R18))-(S18)*((S18)*(Q18)-(R18)*(T18))+(T18)*((S18)*(R18)-(P18)*(T18)))</f>
        <v/>
      </c>
      <c r="X18">
        <f>IF(ABS(W18)&gt;1E-12,((LTP3!$D$6)*((P18)*(Q18)-(R18)*(R18))-(S18)*((U18)*(Q18)-(R18)*(V18))+(T18)*((U18)*(R18)-(P18)*(V18)))/W18,0)</f>
        <v/>
      </c>
      <c r="Y18">
        <f>IF(ABS(W18)&gt;1E-12,((LTP3!$D$5)*((U18)*(Q18)-(R18)*(V18))-(LTP3!$D$6)*((S18)*(Q18)-(R18)*(T18))+(T18)*((S18)*(V18)-(U18)*(T18)))/W18,0)</f>
        <v/>
      </c>
      <c r="Z18">
        <f>IF(ABS(W18)&gt;1E-12,((LTP3!$D$5)*((P18)*(V18)-(U18)*(R18))-(S18)*((S18)*(V18)-(U18)*(T18))+(LTP3!$D$6)*((S18)*(R18)-(P18)*(T18)))/W18,0)</f>
        <v/>
      </c>
      <c r="AA18">
        <f>LTP3!$D$7-X18*LTP3!$D$6-Y18*U18-Z18*V18</f>
        <v/>
      </c>
      <c r="AB18">
        <f>IF(AND(F18,ABS(W18)&gt;1E-12,Y18&gt;0,Z18&gt;0),AA18,1E+300)</f>
        <v/>
      </c>
      <c r="AE18" t="inlineStr">
        <is>
          <t>C11</t>
        </is>
      </c>
      <c r="AF18">
        <f>AF11-AF9^2/k_n</f>
        <v/>
      </c>
    </row>
    <row r="19">
      <c r="A19">
        <f>$B$3+$B$5*0</f>
        <v/>
      </c>
      <c r="B19">
        <f>$B$3+$B$5*7</f>
        <v/>
      </c>
      <c r="C19">
        <f>SUMPRODUCT(Calc!$K$3:$K$22*(Calc!$G$3:$G$22&lt;=A19))</f>
        <v/>
      </c>
      <c r="D19">
        <f>SUMPRODUCT(Calc!$K$3:$K$22*(Calc!$G$3:$G$22&gt;A19)*(Calc!$G$3:$G$22&lt;B19))</f>
        <v/>
      </c>
      <c r="E19">
        <f>SUMPRODUCT(Calc!$K$3:$K$22*(Calc!$G$3:$G$22&gt;=B19))</f>
        <v/>
      </c>
      <c r="F19">
        <f>AND(k_n&gt;=5,B19&gt;A19+1E-9,C19&gt;=2,D19&gt;=1,E19&gt;=2)</f>
        <v/>
      </c>
      <c r="G19">
        <f>SUMPRODUCT(Calc!$K$3:$K$22*(Calc!$G$3:$G$22&gt;A19)*(Calc!$G$3:$G$22-A19))</f>
        <v/>
      </c>
      <c r="H19">
        <f>SUMPRODUCT(Calc!$K$3:$K$22*(Calc!$G$3:$G$22&gt;B19)*(Calc!$G$3:$G$22-B19))</f>
        <v/>
      </c>
      <c r="I19">
        <f>SUMPRODUCT(Calc!$K$3:$K$22*(Calc!$G$3:$G$22&gt;A19)*(Calc!$G$3:$G$22-A19)^2)</f>
        <v/>
      </c>
      <c r="J19">
        <f>SUMPRODUCT(Calc!$K$3:$K$22*(Calc!$G$3:$G$22&gt;B19)*(Calc!$G$3:$G$22-B19)^2)</f>
        <v/>
      </c>
      <c r="K19">
        <f>SUMPRODUCT(Calc!$K$3:$K$22*(Calc!$G$3:$G$22&gt;A19)*(Calc!$G$3:$G$22-A19)*(Calc!$G$3:$G$22&gt;B19)*(Calc!$G$3:$G$22-B19))</f>
        <v/>
      </c>
      <c r="L19">
        <f>SUMPRODUCT(Calc!$K$3:$K$22*(Calc!$G$3:$G$22&gt;A19)*(Calc!$G$3:$G$22-A19)*Calc!$G$3:$G$22)</f>
        <v/>
      </c>
      <c r="M19">
        <f>SUMPRODUCT(Calc!$K$3:$K$22*(Calc!$G$3:$G$22&gt;B19)*(Calc!$G$3:$G$22-B19)*Calc!$G$3:$G$22)</f>
        <v/>
      </c>
      <c r="N19">
        <f>SUMPRODUCT(Calc!$K$3:$K$22*(Calc!$G$3:$G$22&gt;A19)*(Calc!$G$3:$G$22-A19)*Calc!$I$3:$I$22)</f>
        <v/>
      </c>
      <c r="O19">
        <f>SUMPRODUCT(Calc!$K$3:$K$22*(Calc!$G$3:$G$22&gt;B19)*(Calc!$G$3:$G$22-B19)*Calc!$I$3:$I$22)</f>
        <v/>
      </c>
      <c r="P19">
        <f>I19-G19^2/k_n</f>
        <v/>
      </c>
      <c r="Q19">
        <f>J19-H19^2/k_n</f>
        <v/>
      </c>
      <c r="R19">
        <f>K19-G19*H19/k_n</f>
        <v/>
      </c>
      <c r="S19">
        <f>L19-LTP3!$D$3*G19/k_n</f>
        <v/>
      </c>
      <c r="T19">
        <f>M19-LTP3!$D$3*H19/k_n</f>
        <v/>
      </c>
      <c r="U19">
        <f>N19-G19*LTP3!$D$4/k_n</f>
        <v/>
      </c>
      <c r="V19">
        <f>O19-H19*LTP3!$D$4/k_n</f>
        <v/>
      </c>
      <c r="W19">
        <f>((LTP3!$D$5)*((P19)*(Q19)-(R19)*(R19))-(S19)*((S19)*(Q19)-(R19)*(T19))+(T19)*((S19)*(R19)-(P19)*(T19)))</f>
        <v/>
      </c>
      <c r="X19">
        <f>IF(ABS(W19)&gt;1E-12,((LTP3!$D$6)*((P19)*(Q19)-(R19)*(R19))-(S19)*((U19)*(Q19)-(R19)*(V19))+(T19)*((U19)*(R19)-(P19)*(V19)))/W19,0)</f>
        <v/>
      </c>
      <c r="Y19">
        <f>IF(ABS(W19)&gt;1E-12,((LTP3!$D$5)*((U19)*(Q19)-(R19)*(V19))-(LTP3!$D$6)*((S19)*(Q19)-(R19)*(T19))+(T19)*((S19)*(V19)-(U19)*(T19)))/W19,0)</f>
        <v/>
      </c>
      <c r="Z19">
        <f>IF(ABS(W19)&gt;1E-12,((LTP3!$D$5)*((P19)*(V19)-(U19)*(R19))-(S19)*((S19)*(V19)-(U19)*(T19))+(LTP3!$D$6)*((S19)*(R19)-(P19)*(T19)))/W19,0)</f>
        <v/>
      </c>
      <c r="AA19">
        <f>LTP3!$D$7-X19*LTP3!$D$6-Y19*U19-Z19*V19</f>
        <v/>
      </c>
      <c r="AB19">
        <f>IF(AND(F19,ABS(W19)&gt;1E-12,Y19&gt;0,Z19&gt;0),AA19,1E+300)</f>
        <v/>
      </c>
      <c r="AE19" t="inlineStr">
        <is>
          <t>C22</t>
        </is>
      </c>
      <c r="AF19">
        <f>AF12-AF10^2/k_n</f>
        <v/>
      </c>
    </row>
    <row r="20">
      <c r="A20">
        <f>$B$3+$B$5*0</f>
        <v/>
      </c>
      <c r="B20">
        <f>$B$3+$B$5*8</f>
        <v/>
      </c>
      <c r="C20">
        <f>SUMPRODUCT(Calc!$K$3:$K$22*(Calc!$G$3:$G$22&lt;=A20))</f>
        <v/>
      </c>
      <c r="D20">
        <f>SUMPRODUCT(Calc!$K$3:$K$22*(Calc!$G$3:$G$22&gt;A20)*(Calc!$G$3:$G$22&lt;B20))</f>
        <v/>
      </c>
      <c r="E20">
        <f>SUMPRODUCT(Calc!$K$3:$K$22*(Calc!$G$3:$G$22&gt;=B20))</f>
        <v/>
      </c>
      <c r="F20">
        <f>AND(k_n&gt;=5,B20&gt;A20+1E-9,C20&gt;=2,D20&gt;=1,E20&gt;=2)</f>
        <v/>
      </c>
      <c r="G20">
        <f>SUMPRODUCT(Calc!$K$3:$K$22*(Calc!$G$3:$G$22&gt;A20)*(Calc!$G$3:$G$22-A20))</f>
        <v/>
      </c>
      <c r="H20">
        <f>SUMPRODUCT(Calc!$K$3:$K$22*(Calc!$G$3:$G$22&gt;B20)*(Calc!$G$3:$G$22-B20))</f>
        <v/>
      </c>
      <c r="I20">
        <f>SUMPRODUCT(Calc!$K$3:$K$22*(Calc!$G$3:$G$22&gt;A20)*(Calc!$G$3:$G$22-A20)^2)</f>
        <v/>
      </c>
      <c r="J20">
        <f>SUMPRODUCT(Calc!$K$3:$K$22*(Calc!$G$3:$G$22&gt;B20)*(Calc!$G$3:$G$22-B20)^2)</f>
        <v/>
      </c>
      <c r="K20">
        <f>SUMPRODUCT(Calc!$K$3:$K$22*(Calc!$G$3:$G$22&gt;A20)*(Calc!$G$3:$G$22-A20)*(Calc!$G$3:$G$22&gt;B20)*(Calc!$G$3:$G$22-B20))</f>
        <v/>
      </c>
      <c r="L20">
        <f>SUMPRODUCT(Calc!$K$3:$K$22*(Calc!$G$3:$G$22&gt;A20)*(Calc!$G$3:$G$22-A20)*Calc!$G$3:$G$22)</f>
        <v/>
      </c>
      <c r="M20">
        <f>SUMPRODUCT(Calc!$K$3:$K$22*(Calc!$G$3:$G$22&gt;B20)*(Calc!$G$3:$G$22-B20)*Calc!$G$3:$G$22)</f>
        <v/>
      </c>
      <c r="N20">
        <f>SUMPRODUCT(Calc!$K$3:$K$22*(Calc!$G$3:$G$22&gt;A20)*(Calc!$G$3:$G$22-A20)*Calc!$I$3:$I$22)</f>
        <v/>
      </c>
      <c r="O20">
        <f>SUMPRODUCT(Calc!$K$3:$K$22*(Calc!$G$3:$G$22&gt;B20)*(Calc!$G$3:$G$22-B20)*Calc!$I$3:$I$22)</f>
        <v/>
      </c>
      <c r="P20">
        <f>I20-G20^2/k_n</f>
        <v/>
      </c>
      <c r="Q20">
        <f>J20-H20^2/k_n</f>
        <v/>
      </c>
      <c r="R20">
        <f>K20-G20*H20/k_n</f>
        <v/>
      </c>
      <c r="S20">
        <f>L20-LTP3!$D$3*G20/k_n</f>
        <v/>
      </c>
      <c r="T20">
        <f>M20-LTP3!$D$3*H20/k_n</f>
        <v/>
      </c>
      <c r="U20">
        <f>N20-G20*LTP3!$D$4/k_n</f>
        <v/>
      </c>
      <c r="V20">
        <f>O20-H20*LTP3!$D$4/k_n</f>
        <v/>
      </c>
      <c r="W20">
        <f>((LTP3!$D$5)*((P20)*(Q20)-(R20)*(R20))-(S20)*((S20)*(Q20)-(R20)*(T20))+(T20)*((S20)*(R20)-(P20)*(T20)))</f>
        <v/>
      </c>
      <c r="X20">
        <f>IF(ABS(W20)&gt;1E-12,((LTP3!$D$6)*((P20)*(Q20)-(R20)*(R20))-(S20)*((U20)*(Q20)-(R20)*(V20))+(T20)*((U20)*(R20)-(P20)*(V20)))/W20,0)</f>
        <v/>
      </c>
      <c r="Y20">
        <f>IF(ABS(W20)&gt;1E-12,((LTP3!$D$5)*((U20)*(Q20)-(R20)*(V20))-(LTP3!$D$6)*((S20)*(Q20)-(R20)*(T20))+(T20)*((S20)*(V20)-(U20)*(T20)))/W20,0)</f>
        <v/>
      </c>
      <c r="Z20">
        <f>IF(ABS(W20)&gt;1E-12,((LTP3!$D$5)*((P20)*(V20)-(U20)*(R20))-(S20)*((S20)*(V20)-(U20)*(T20))+(LTP3!$D$6)*((S20)*(R20)-(P20)*(T20)))/W20,0)</f>
        <v/>
      </c>
      <c r="AA20">
        <f>LTP3!$D$7-X20*LTP3!$D$6-Y20*U20-Z20*V20</f>
        <v/>
      </c>
      <c r="AB20">
        <f>IF(AND(F20,ABS(W20)&gt;1E-12,Y20&gt;0,Z20&gt;0),AA20,1E+300)</f>
        <v/>
      </c>
      <c r="AE20" t="inlineStr">
        <is>
          <t>C12</t>
        </is>
      </c>
      <c r="AF20">
        <f>AF13-AF9*AF10/k_n</f>
        <v/>
      </c>
    </row>
    <row r="21">
      <c r="A21">
        <f>$B$3+$B$5*0</f>
        <v/>
      </c>
      <c r="B21">
        <f>$B$3+$B$5*9</f>
        <v/>
      </c>
      <c r="C21">
        <f>SUMPRODUCT(Calc!$K$3:$K$22*(Calc!$G$3:$G$22&lt;=A21))</f>
        <v/>
      </c>
      <c r="D21">
        <f>SUMPRODUCT(Calc!$K$3:$K$22*(Calc!$G$3:$G$22&gt;A21)*(Calc!$G$3:$G$22&lt;B21))</f>
        <v/>
      </c>
      <c r="E21">
        <f>SUMPRODUCT(Calc!$K$3:$K$22*(Calc!$G$3:$G$22&gt;=B21))</f>
        <v/>
      </c>
      <c r="F21">
        <f>AND(k_n&gt;=5,B21&gt;A21+1E-9,C21&gt;=2,D21&gt;=1,E21&gt;=2)</f>
        <v/>
      </c>
      <c r="G21">
        <f>SUMPRODUCT(Calc!$K$3:$K$22*(Calc!$G$3:$G$22&gt;A21)*(Calc!$G$3:$G$22-A21))</f>
        <v/>
      </c>
      <c r="H21">
        <f>SUMPRODUCT(Calc!$K$3:$K$22*(Calc!$G$3:$G$22&gt;B21)*(Calc!$G$3:$G$22-B21))</f>
        <v/>
      </c>
      <c r="I21">
        <f>SUMPRODUCT(Calc!$K$3:$K$22*(Calc!$G$3:$G$22&gt;A21)*(Calc!$G$3:$G$22-A21)^2)</f>
        <v/>
      </c>
      <c r="J21">
        <f>SUMPRODUCT(Calc!$K$3:$K$22*(Calc!$G$3:$G$22&gt;B21)*(Calc!$G$3:$G$22-B21)^2)</f>
        <v/>
      </c>
      <c r="K21">
        <f>SUMPRODUCT(Calc!$K$3:$K$22*(Calc!$G$3:$G$22&gt;A21)*(Calc!$G$3:$G$22-A21)*(Calc!$G$3:$G$22&gt;B21)*(Calc!$G$3:$G$22-B21))</f>
        <v/>
      </c>
      <c r="L21">
        <f>SUMPRODUCT(Calc!$K$3:$K$22*(Calc!$G$3:$G$22&gt;A21)*(Calc!$G$3:$G$22-A21)*Calc!$G$3:$G$22)</f>
        <v/>
      </c>
      <c r="M21">
        <f>SUMPRODUCT(Calc!$K$3:$K$22*(Calc!$G$3:$G$22&gt;B21)*(Calc!$G$3:$G$22-B21)*Calc!$G$3:$G$22)</f>
        <v/>
      </c>
      <c r="N21">
        <f>SUMPRODUCT(Calc!$K$3:$K$22*(Calc!$G$3:$G$22&gt;A21)*(Calc!$G$3:$G$22-A21)*Calc!$I$3:$I$22)</f>
        <v/>
      </c>
      <c r="O21">
        <f>SUMPRODUCT(Calc!$K$3:$K$22*(Calc!$G$3:$G$22&gt;B21)*(Calc!$G$3:$G$22-B21)*Calc!$I$3:$I$22)</f>
        <v/>
      </c>
      <c r="P21">
        <f>I21-G21^2/k_n</f>
        <v/>
      </c>
      <c r="Q21">
        <f>J21-H21^2/k_n</f>
        <v/>
      </c>
      <c r="R21">
        <f>K21-G21*H21/k_n</f>
        <v/>
      </c>
      <c r="S21">
        <f>L21-LTP3!$D$3*G21/k_n</f>
        <v/>
      </c>
      <c r="T21">
        <f>M21-LTP3!$D$3*H21/k_n</f>
        <v/>
      </c>
      <c r="U21">
        <f>N21-G21*LTP3!$D$4/k_n</f>
        <v/>
      </c>
      <c r="V21">
        <f>O21-H21*LTP3!$D$4/k_n</f>
        <v/>
      </c>
      <c r="W21">
        <f>((LTP3!$D$5)*((P21)*(Q21)-(R21)*(R21))-(S21)*((S21)*(Q21)-(R21)*(T21))+(T21)*((S21)*(R21)-(P21)*(T21)))</f>
        <v/>
      </c>
      <c r="X21">
        <f>IF(ABS(W21)&gt;1E-12,((LTP3!$D$6)*((P21)*(Q21)-(R21)*(R21))-(S21)*((U21)*(Q21)-(R21)*(V21))+(T21)*((U21)*(R21)-(P21)*(V21)))/W21,0)</f>
        <v/>
      </c>
      <c r="Y21">
        <f>IF(ABS(W21)&gt;1E-12,((LTP3!$D$5)*((U21)*(Q21)-(R21)*(V21))-(LTP3!$D$6)*((S21)*(Q21)-(R21)*(T21))+(T21)*((S21)*(V21)-(U21)*(T21)))/W21,0)</f>
        <v/>
      </c>
      <c r="Z21">
        <f>IF(ABS(W21)&gt;1E-12,((LTP3!$D$5)*((P21)*(V21)-(U21)*(R21))-(S21)*((S21)*(V21)-(U21)*(T21))+(LTP3!$D$6)*((S21)*(R21)-(P21)*(T21)))/W21,0)</f>
        <v/>
      </c>
      <c r="AA21">
        <f>LTP3!$D$7-X21*LTP3!$D$6-Y21*U21-Z21*V21</f>
        <v/>
      </c>
      <c r="AB21">
        <f>IF(AND(F21,ABS(W21)&gt;1E-12,Y21&gt;0,Z21&gt;0),AA21,1E+300)</f>
        <v/>
      </c>
      <c r="AE21" t="inlineStr">
        <is>
          <t>Cx1</t>
        </is>
      </c>
      <c r="AF21">
        <f>AF14-LTP3!$D$3*AF9/k_n</f>
        <v/>
      </c>
    </row>
    <row r="22">
      <c r="A22">
        <f>$B$3+$B$5*0</f>
        <v/>
      </c>
      <c r="B22">
        <f>$B$3+$B$5*10</f>
        <v/>
      </c>
      <c r="C22">
        <f>SUMPRODUCT(Calc!$K$3:$K$22*(Calc!$G$3:$G$22&lt;=A22))</f>
        <v/>
      </c>
      <c r="D22">
        <f>SUMPRODUCT(Calc!$K$3:$K$22*(Calc!$G$3:$G$22&gt;A22)*(Calc!$G$3:$G$22&lt;B22))</f>
        <v/>
      </c>
      <c r="E22">
        <f>SUMPRODUCT(Calc!$K$3:$K$22*(Calc!$G$3:$G$22&gt;=B22))</f>
        <v/>
      </c>
      <c r="F22">
        <f>AND(k_n&gt;=5,B22&gt;A22+1E-9,C22&gt;=2,D22&gt;=1,E22&gt;=2)</f>
        <v/>
      </c>
      <c r="G22">
        <f>SUMPRODUCT(Calc!$K$3:$K$22*(Calc!$G$3:$G$22&gt;A22)*(Calc!$G$3:$G$22-A22))</f>
        <v/>
      </c>
      <c r="H22">
        <f>SUMPRODUCT(Calc!$K$3:$K$22*(Calc!$G$3:$G$22&gt;B22)*(Calc!$G$3:$G$22-B22))</f>
        <v/>
      </c>
      <c r="I22">
        <f>SUMPRODUCT(Calc!$K$3:$K$22*(Calc!$G$3:$G$22&gt;A22)*(Calc!$G$3:$G$22-A22)^2)</f>
        <v/>
      </c>
      <c r="J22">
        <f>SUMPRODUCT(Calc!$K$3:$K$22*(Calc!$G$3:$G$22&gt;B22)*(Calc!$G$3:$G$22-B22)^2)</f>
        <v/>
      </c>
      <c r="K22">
        <f>SUMPRODUCT(Calc!$K$3:$K$22*(Calc!$G$3:$G$22&gt;A22)*(Calc!$G$3:$G$22-A22)*(Calc!$G$3:$G$22&gt;B22)*(Calc!$G$3:$G$22-B22))</f>
        <v/>
      </c>
      <c r="L22">
        <f>SUMPRODUCT(Calc!$K$3:$K$22*(Calc!$G$3:$G$22&gt;A22)*(Calc!$G$3:$G$22-A22)*Calc!$G$3:$G$22)</f>
        <v/>
      </c>
      <c r="M22">
        <f>SUMPRODUCT(Calc!$K$3:$K$22*(Calc!$G$3:$G$22&gt;B22)*(Calc!$G$3:$G$22-B22)*Calc!$G$3:$G$22)</f>
        <v/>
      </c>
      <c r="N22">
        <f>SUMPRODUCT(Calc!$K$3:$K$22*(Calc!$G$3:$G$22&gt;A22)*(Calc!$G$3:$G$22-A22)*Calc!$I$3:$I$22)</f>
        <v/>
      </c>
      <c r="O22">
        <f>SUMPRODUCT(Calc!$K$3:$K$22*(Calc!$G$3:$G$22&gt;B22)*(Calc!$G$3:$G$22-B22)*Calc!$I$3:$I$22)</f>
        <v/>
      </c>
      <c r="P22">
        <f>I22-G22^2/k_n</f>
        <v/>
      </c>
      <c r="Q22">
        <f>J22-H22^2/k_n</f>
        <v/>
      </c>
      <c r="R22">
        <f>K22-G22*H22/k_n</f>
        <v/>
      </c>
      <c r="S22">
        <f>L22-LTP3!$D$3*G22/k_n</f>
        <v/>
      </c>
      <c r="T22">
        <f>M22-LTP3!$D$3*H22/k_n</f>
        <v/>
      </c>
      <c r="U22">
        <f>N22-G22*LTP3!$D$4/k_n</f>
        <v/>
      </c>
      <c r="V22">
        <f>O22-H22*LTP3!$D$4/k_n</f>
        <v/>
      </c>
      <c r="W22">
        <f>((LTP3!$D$5)*((P22)*(Q22)-(R22)*(R22))-(S22)*((S22)*(Q22)-(R22)*(T22))+(T22)*((S22)*(R22)-(P22)*(T22)))</f>
        <v/>
      </c>
      <c r="X22">
        <f>IF(ABS(W22)&gt;1E-12,((LTP3!$D$6)*((P22)*(Q22)-(R22)*(R22))-(S22)*((U22)*(Q22)-(R22)*(V22))+(T22)*((U22)*(R22)-(P22)*(V22)))/W22,0)</f>
        <v/>
      </c>
      <c r="Y22">
        <f>IF(ABS(W22)&gt;1E-12,((LTP3!$D$5)*((U22)*(Q22)-(R22)*(V22))-(LTP3!$D$6)*((S22)*(Q22)-(R22)*(T22))+(T22)*((S22)*(V22)-(U22)*(T22)))/W22,0)</f>
        <v/>
      </c>
      <c r="Z22">
        <f>IF(ABS(W22)&gt;1E-12,((LTP3!$D$5)*((P22)*(V22)-(U22)*(R22))-(S22)*((S22)*(V22)-(U22)*(T22))+(LTP3!$D$6)*((S22)*(R22)-(P22)*(T22)))/W22,0)</f>
        <v/>
      </c>
      <c r="AA22">
        <f>LTP3!$D$7-X22*LTP3!$D$6-Y22*U22-Z22*V22</f>
        <v/>
      </c>
      <c r="AB22">
        <f>IF(AND(F22,ABS(W22)&gt;1E-12,Y22&gt;0,Z22&gt;0),AA22,1E+300)</f>
        <v/>
      </c>
      <c r="AE22" t="inlineStr">
        <is>
          <t>Cx2</t>
        </is>
      </c>
      <c r="AF22">
        <f>AF15-LTP3!$D$3*AF10/k_n</f>
        <v/>
      </c>
    </row>
    <row r="23">
      <c r="A23">
        <f>$B$3+$B$5*0</f>
        <v/>
      </c>
      <c r="B23">
        <f>$B$3+$B$5*11</f>
        <v/>
      </c>
      <c r="C23">
        <f>SUMPRODUCT(Calc!$K$3:$K$22*(Calc!$G$3:$G$22&lt;=A23))</f>
        <v/>
      </c>
      <c r="D23">
        <f>SUMPRODUCT(Calc!$K$3:$K$22*(Calc!$G$3:$G$22&gt;A23)*(Calc!$G$3:$G$22&lt;B23))</f>
        <v/>
      </c>
      <c r="E23">
        <f>SUMPRODUCT(Calc!$K$3:$K$22*(Calc!$G$3:$G$22&gt;=B23))</f>
        <v/>
      </c>
      <c r="F23">
        <f>AND(k_n&gt;=5,B23&gt;A23+1E-9,C23&gt;=2,D23&gt;=1,E23&gt;=2)</f>
        <v/>
      </c>
      <c r="G23">
        <f>SUMPRODUCT(Calc!$K$3:$K$22*(Calc!$G$3:$G$22&gt;A23)*(Calc!$G$3:$G$22-A23))</f>
        <v/>
      </c>
      <c r="H23">
        <f>SUMPRODUCT(Calc!$K$3:$K$22*(Calc!$G$3:$G$22&gt;B23)*(Calc!$G$3:$G$22-B23))</f>
        <v/>
      </c>
      <c r="I23">
        <f>SUMPRODUCT(Calc!$K$3:$K$22*(Calc!$G$3:$G$22&gt;A23)*(Calc!$G$3:$G$22-A23)^2)</f>
        <v/>
      </c>
      <c r="J23">
        <f>SUMPRODUCT(Calc!$K$3:$K$22*(Calc!$G$3:$G$22&gt;B23)*(Calc!$G$3:$G$22-B23)^2)</f>
        <v/>
      </c>
      <c r="K23">
        <f>SUMPRODUCT(Calc!$K$3:$K$22*(Calc!$G$3:$G$22&gt;A23)*(Calc!$G$3:$G$22-A23)*(Calc!$G$3:$G$22&gt;B23)*(Calc!$G$3:$G$22-B23))</f>
        <v/>
      </c>
      <c r="L23">
        <f>SUMPRODUCT(Calc!$K$3:$K$22*(Calc!$G$3:$G$22&gt;A23)*(Calc!$G$3:$G$22-A23)*Calc!$G$3:$G$22)</f>
        <v/>
      </c>
      <c r="M23">
        <f>SUMPRODUCT(Calc!$K$3:$K$22*(Calc!$G$3:$G$22&gt;B23)*(Calc!$G$3:$G$22-B23)*Calc!$G$3:$G$22)</f>
        <v/>
      </c>
      <c r="N23">
        <f>SUMPRODUCT(Calc!$K$3:$K$22*(Calc!$G$3:$G$22&gt;A23)*(Calc!$G$3:$G$22-A23)*Calc!$I$3:$I$22)</f>
        <v/>
      </c>
      <c r="O23">
        <f>SUMPRODUCT(Calc!$K$3:$K$22*(Calc!$G$3:$G$22&gt;B23)*(Calc!$G$3:$G$22-B23)*Calc!$I$3:$I$22)</f>
        <v/>
      </c>
      <c r="P23">
        <f>I23-G23^2/k_n</f>
        <v/>
      </c>
      <c r="Q23">
        <f>J23-H23^2/k_n</f>
        <v/>
      </c>
      <c r="R23">
        <f>K23-G23*H23/k_n</f>
        <v/>
      </c>
      <c r="S23">
        <f>L23-LTP3!$D$3*G23/k_n</f>
        <v/>
      </c>
      <c r="T23">
        <f>M23-LTP3!$D$3*H23/k_n</f>
        <v/>
      </c>
      <c r="U23">
        <f>N23-G23*LTP3!$D$4/k_n</f>
        <v/>
      </c>
      <c r="V23">
        <f>O23-H23*LTP3!$D$4/k_n</f>
        <v/>
      </c>
      <c r="W23">
        <f>((LTP3!$D$5)*((P23)*(Q23)-(R23)*(R23))-(S23)*((S23)*(Q23)-(R23)*(T23))+(T23)*((S23)*(R23)-(P23)*(T23)))</f>
        <v/>
      </c>
      <c r="X23">
        <f>IF(ABS(W23)&gt;1E-12,((LTP3!$D$6)*((P23)*(Q23)-(R23)*(R23))-(S23)*((U23)*(Q23)-(R23)*(V23))+(T23)*((U23)*(R23)-(P23)*(V23)))/W23,0)</f>
        <v/>
      </c>
      <c r="Y23">
        <f>IF(ABS(W23)&gt;1E-12,((LTP3!$D$5)*((U23)*(Q23)-(R23)*(V23))-(LTP3!$D$6)*((S23)*(Q23)-(R23)*(T23))+(T23)*((S23)*(V23)-(U23)*(T23)))/W23,0)</f>
        <v/>
      </c>
      <c r="Z23">
        <f>IF(ABS(W23)&gt;1E-12,((LTP3!$D$5)*((P23)*(V23)-(U23)*(R23))-(S23)*((S23)*(V23)-(U23)*(T23))+(LTP3!$D$6)*((S23)*(R23)-(P23)*(T23)))/W23,0)</f>
        <v/>
      </c>
      <c r="AA23">
        <f>LTP3!$D$7-X23*LTP3!$D$6-Y23*U23-Z23*V23</f>
        <v/>
      </c>
      <c r="AB23">
        <f>IF(AND(F23,ABS(W23)&gt;1E-12,Y23&gt;0,Z23&gt;0),AA23,1E+300)</f>
        <v/>
      </c>
      <c r="AE23" t="inlineStr">
        <is>
          <t>C1y</t>
        </is>
      </c>
      <c r="AF23">
        <f>AF16-AF9*LTP3!$D$4/k_n</f>
        <v/>
      </c>
    </row>
    <row r="24">
      <c r="A24">
        <f>$B$3+$B$5*0</f>
        <v/>
      </c>
      <c r="B24">
        <f>$B$3+$B$5*12</f>
        <v/>
      </c>
      <c r="C24">
        <f>SUMPRODUCT(Calc!$K$3:$K$22*(Calc!$G$3:$G$22&lt;=A24))</f>
        <v/>
      </c>
      <c r="D24">
        <f>SUMPRODUCT(Calc!$K$3:$K$22*(Calc!$G$3:$G$22&gt;A24)*(Calc!$G$3:$G$22&lt;B24))</f>
        <v/>
      </c>
      <c r="E24">
        <f>SUMPRODUCT(Calc!$K$3:$K$22*(Calc!$G$3:$G$22&gt;=B24))</f>
        <v/>
      </c>
      <c r="F24">
        <f>AND(k_n&gt;=5,B24&gt;A24+1E-9,C24&gt;=2,D24&gt;=1,E24&gt;=2)</f>
        <v/>
      </c>
      <c r="G24">
        <f>SUMPRODUCT(Calc!$K$3:$K$22*(Calc!$G$3:$G$22&gt;A24)*(Calc!$G$3:$G$22-A24))</f>
        <v/>
      </c>
      <c r="H24">
        <f>SUMPRODUCT(Calc!$K$3:$K$22*(Calc!$G$3:$G$22&gt;B24)*(Calc!$G$3:$G$22-B24))</f>
        <v/>
      </c>
      <c r="I24">
        <f>SUMPRODUCT(Calc!$K$3:$K$22*(Calc!$G$3:$G$22&gt;A24)*(Calc!$G$3:$G$22-A24)^2)</f>
        <v/>
      </c>
      <c r="J24">
        <f>SUMPRODUCT(Calc!$K$3:$K$22*(Calc!$G$3:$G$22&gt;B24)*(Calc!$G$3:$G$22-B24)^2)</f>
        <v/>
      </c>
      <c r="K24">
        <f>SUMPRODUCT(Calc!$K$3:$K$22*(Calc!$G$3:$G$22&gt;A24)*(Calc!$G$3:$G$22-A24)*(Calc!$G$3:$G$22&gt;B24)*(Calc!$G$3:$G$22-B24))</f>
        <v/>
      </c>
      <c r="L24">
        <f>SUMPRODUCT(Calc!$K$3:$K$22*(Calc!$G$3:$G$22&gt;A24)*(Calc!$G$3:$G$22-A24)*Calc!$G$3:$G$22)</f>
        <v/>
      </c>
      <c r="M24">
        <f>SUMPRODUCT(Calc!$K$3:$K$22*(Calc!$G$3:$G$22&gt;B24)*(Calc!$G$3:$G$22-B24)*Calc!$G$3:$G$22)</f>
        <v/>
      </c>
      <c r="N24">
        <f>SUMPRODUCT(Calc!$K$3:$K$22*(Calc!$G$3:$G$22&gt;A24)*(Calc!$G$3:$G$22-A24)*Calc!$I$3:$I$22)</f>
        <v/>
      </c>
      <c r="O24">
        <f>SUMPRODUCT(Calc!$K$3:$K$22*(Calc!$G$3:$G$22&gt;B24)*(Calc!$G$3:$G$22-B24)*Calc!$I$3:$I$22)</f>
        <v/>
      </c>
      <c r="P24">
        <f>I24-G24^2/k_n</f>
        <v/>
      </c>
      <c r="Q24">
        <f>J24-H24^2/k_n</f>
        <v/>
      </c>
      <c r="R24">
        <f>K24-G24*H24/k_n</f>
        <v/>
      </c>
      <c r="S24">
        <f>L24-LTP3!$D$3*G24/k_n</f>
        <v/>
      </c>
      <c r="T24">
        <f>M24-LTP3!$D$3*H24/k_n</f>
        <v/>
      </c>
      <c r="U24">
        <f>N24-G24*LTP3!$D$4/k_n</f>
        <v/>
      </c>
      <c r="V24">
        <f>O24-H24*LTP3!$D$4/k_n</f>
        <v/>
      </c>
      <c r="W24">
        <f>((LTP3!$D$5)*((P24)*(Q24)-(R24)*(R24))-(S24)*((S24)*(Q24)-(R24)*(T24))+(T24)*((S24)*(R24)-(P24)*(T24)))</f>
        <v/>
      </c>
      <c r="X24">
        <f>IF(ABS(W24)&gt;1E-12,((LTP3!$D$6)*((P24)*(Q24)-(R24)*(R24))-(S24)*((U24)*(Q24)-(R24)*(V24))+(T24)*((U24)*(R24)-(P24)*(V24)))/W24,0)</f>
        <v/>
      </c>
      <c r="Y24">
        <f>IF(ABS(W24)&gt;1E-12,((LTP3!$D$5)*((U24)*(Q24)-(R24)*(V24))-(LTP3!$D$6)*((S24)*(Q24)-(R24)*(T24))+(T24)*((S24)*(V24)-(U24)*(T24)))/W24,0)</f>
        <v/>
      </c>
      <c r="Z24">
        <f>IF(ABS(W24)&gt;1E-12,((LTP3!$D$5)*((P24)*(V24)-(U24)*(R24))-(S24)*((S24)*(V24)-(U24)*(T24))+(LTP3!$D$6)*((S24)*(R24)-(P24)*(T24)))/W24,0)</f>
        <v/>
      </c>
      <c r="AA24">
        <f>LTP3!$D$7-X24*LTP3!$D$6-Y24*U24-Z24*V24</f>
        <v/>
      </c>
      <c r="AB24">
        <f>IF(AND(F24,ABS(W24)&gt;1E-12,Y24&gt;0,Z24&gt;0),AA24,1E+300)</f>
        <v/>
      </c>
      <c r="AE24" t="inlineStr">
        <is>
          <t>C2y</t>
        </is>
      </c>
      <c r="AF24">
        <f>AF17-AF10*LTP3!$D$4/k_n</f>
        <v/>
      </c>
    </row>
    <row r="25">
      <c r="A25">
        <f>$B$3+$B$5*0</f>
        <v/>
      </c>
      <c r="B25">
        <f>$B$3+$B$5*13</f>
        <v/>
      </c>
      <c r="C25">
        <f>SUMPRODUCT(Calc!$K$3:$K$22*(Calc!$G$3:$G$22&lt;=A25))</f>
        <v/>
      </c>
      <c r="D25">
        <f>SUMPRODUCT(Calc!$K$3:$K$22*(Calc!$G$3:$G$22&gt;A25)*(Calc!$G$3:$G$22&lt;B25))</f>
        <v/>
      </c>
      <c r="E25">
        <f>SUMPRODUCT(Calc!$K$3:$K$22*(Calc!$G$3:$G$22&gt;=B25))</f>
        <v/>
      </c>
      <c r="F25">
        <f>AND(k_n&gt;=5,B25&gt;A25+1E-9,C25&gt;=2,D25&gt;=1,E25&gt;=2)</f>
        <v/>
      </c>
      <c r="G25">
        <f>SUMPRODUCT(Calc!$K$3:$K$22*(Calc!$G$3:$G$22&gt;A25)*(Calc!$G$3:$G$22-A25))</f>
        <v/>
      </c>
      <c r="H25">
        <f>SUMPRODUCT(Calc!$K$3:$K$22*(Calc!$G$3:$G$22&gt;B25)*(Calc!$G$3:$G$22-B25))</f>
        <v/>
      </c>
      <c r="I25">
        <f>SUMPRODUCT(Calc!$K$3:$K$22*(Calc!$G$3:$G$22&gt;A25)*(Calc!$G$3:$G$22-A25)^2)</f>
        <v/>
      </c>
      <c r="J25">
        <f>SUMPRODUCT(Calc!$K$3:$K$22*(Calc!$G$3:$G$22&gt;B25)*(Calc!$G$3:$G$22-B25)^2)</f>
        <v/>
      </c>
      <c r="K25">
        <f>SUMPRODUCT(Calc!$K$3:$K$22*(Calc!$G$3:$G$22&gt;A25)*(Calc!$G$3:$G$22-A25)*(Calc!$G$3:$G$22&gt;B25)*(Calc!$G$3:$G$22-B25))</f>
        <v/>
      </c>
      <c r="L25">
        <f>SUMPRODUCT(Calc!$K$3:$K$22*(Calc!$G$3:$G$22&gt;A25)*(Calc!$G$3:$G$22-A25)*Calc!$G$3:$G$22)</f>
        <v/>
      </c>
      <c r="M25">
        <f>SUMPRODUCT(Calc!$K$3:$K$22*(Calc!$G$3:$G$22&gt;B25)*(Calc!$G$3:$G$22-B25)*Calc!$G$3:$G$22)</f>
        <v/>
      </c>
      <c r="N25">
        <f>SUMPRODUCT(Calc!$K$3:$K$22*(Calc!$G$3:$G$22&gt;A25)*(Calc!$G$3:$G$22-A25)*Calc!$I$3:$I$22)</f>
        <v/>
      </c>
      <c r="O25">
        <f>SUMPRODUCT(Calc!$K$3:$K$22*(Calc!$G$3:$G$22&gt;B25)*(Calc!$G$3:$G$22-B25)*Calc!$I$3:$I$22)</f>
        <v/>
      </c>
      <c r="P25">
        <f>I25-G25^2/k_n</f>
        <v/>
      </c>
      <c r="Q25">
        <f>J25-H25^2/k_n</f>
        <v/>
      </c>
      <c r="R25">
        <f>K25-G25*H25/k_n</f>
        <v/>
      </c>
      <c r="S25">
        <f>L25-LTP3!$D$3*G25/k_n</f>
        <v/>
      </c>
      <c r="T25">
        <f>M25-LTP3!$D$3*H25/k_n</f>
        <v/>
      </c>
      <c r="U25">
        <f>N25-G25*LTP3!$D$4/k_n</f>
        <v/>
      </c>
      <c r="V25">
        <f>O25-H25*LTP3!$D$4/k_n</f>
        <v/>
      </c>
      <c r="W25">
        <f>((LTP3!$D$5)*((P25)*(Q25)-(R25)*(R25))-(S25)*((S25)*(Q25)-(R25)*(T25))+(T25)*((S25)*(R25)-(P25)*(T25)))</f>
        <v/>
      </c>
      <c r="X25">
        <f>IF(ABS(W25)&gt;1E-12,((LTP3!$D$6)*((P25)*(Q25)-(R25)*(R25))-(S25)*((U25)*(Q25)-(R25)*(V25))+(T25)*((U25)*(R25)-(P25)*(V25)))/W25,0)</f>
        <v/>
      </c>
      <c r="Y25">
        <f>IF(ABS(W25)&gt;1E-12,((LTP3!$D$5)*((U25)*(Q25)-(R25)*(V25))-(LTP3!$D$6)*((S25)*(Q25)-(R25)*(T25))+(T25)*((S25)*(V25)-(U25)*(T25)))/W25,0)</f>
        <v/>
      </c>
      <c r="Z25">
        <f>IF(ABS(W25)&gt;1E-12,((LTP3!$D$5)*((P25)*(V25)-(U25)*(R25))-(S25)*((S25)*(V25)-(U25)*(T25))+(LTP3!$D$6)*((S25)*(R25)-(P25)*(T25)))/W25,0)</f>
        <v/>
      </c>
      <c r="AA25">
        <f>LTP3!$D$7-X25*LTP3!$D$6-Y25*U25-Z25*V25</f>
        <v/>
      </c>
      <c r="AB25">
        <f>IF(AND(F25,ABS(W25)&gt;1E-12,Y25&gt;0,Z25&gt;0),AA25,1E+300)</f>
        <v/>
      </c>
      <c r="AE25" t="inlineStr">
        <is>
          <t>det</t>
        </is>
      </c>
      <c r="AF25">
        <f>((LTP3!$D$5)*((AF18)*(AF19)-(AF20)*(AF20))-(AF21)*((AF21)*(AF19)-(AF20)*(AF22))+(AF22)*((AF21)*(AF20)-(AF18)*(AF22)))</f>
        <v/>
      </c>
    </row>
    <row r="26">
      <c r="A26">
        <f>$B$3+$B$5*0</f>
        <v/>
      </c>
      <c r="B26">
        <f>$B$3+$B$5*14</f>
        <v/>
      </c>
      <c r="C26">
        <f>SUMPRODUCT(Calc!$K$3:$K$22*(Calc!$G$3:$G$22&lt;=A26))</f>
        <v/>
      </c>
      <c r="D26">
        <f>SUMPRODUCT(Calc!$K$3:$K$22*(Calc!$G$3:$G$22&gt;A26)*(Calc!$G$3:$G$22&lt;B26))</f>
        <v/>
      </c>
      <c r="E26">
        <f>SUMPRODUCT(Calc!$K$3:$K$22*(Calc!$G$3:$G$22&gt;=B26))</f>
        <v/>
      </c>
      <c r="F26">
        <f>AND(k_n&gt;=5,B26&gt;A26+1E-9,C26&gt;=2,D26&gt;=1,E26&gt;=2)</f>
        <v/>
      </c>
      <c r="G26">
        <f>SUMPRODUCT(Calc!$K$3:$K$22*(Calc!$G$3:$G$22&gt;A26)*(Calc!$G$3:$G$22-A26))</f>
        <v/>
      </c>
      <c r="H26">
        <f>SUMPRODUCT(Calc!$K$3:$K$22*(Calc!$G$3:$G$22&gt;B26)*(Calc!$G$3:$G$22-B26))</f>
        <v/>
      </c>
      <c r="I26">
        <f>SUMPRODUCT(Calc!$K$3:$K$22*(Calc!$G$3:$G$22&gt;A26)*(Calc!$G$3:$G$22-A26)^2)</f>
        <v/>
      </c>
      <c r="J26">
        <f>SUMPRODUCT(Calc!$K$3:$K$22*(Calc!$G$3:$G$22&gt;B26)*(Calc!$G$3:$G$22-B26)^2)</f>
        <v/>
      </c>
      <c r="K26">
        <f>SUMPRODUCT(Calc!$K$3:$K$22*(Calc!$G$3:$G$22&gt;A26)*(Calc!$G$3:$G$22-A26)*(Calc!$G$3:$G$22&gt;B26)*(Calc!$G$3:$G$22-B26))</f>
        <v/>
      </c>
      <c r="L26">
        <f>SUMPRODUCT(Calc!$K$3:$K$22*(Calc!$G$3:$G$22&gt;A26)*(Calc!$G$3:$G$22-A26)*Calc!$G$3:$G$22)</f>
        <v/>
      </c>
      <c r="M26">
        <f>SUMPRODUCT(Calc!$K$3:$K$22*(Calc!$G$3:$G$22&gt;B26)*(Calc!$G$3:$G$22-B26)*Calc!$G$3:$G$22)</f>
        <v/>
      </c>
      <c r="N26">
        <f>SUMPRODUCT(Calc!$K$3:$K$22*(Calc!$G$3:$G$22&gt;A26)*(Calc!$G$3:$G$22-A26)*Calc!$I$3:$I$22)</f>
        <v/>
      </c>
      <c r="O26">
        <f>SUMPRODUCT(Calc!$K$3:$K$22*(Calc!$G$3:$G$22&gt;B26)*(Calc!$G$3:$G$22-B26)*Calc!$I$3:$I$22)</f>
        <v/>
      </c>
      <c r="P26">
        <f>I26-G26^2/k_n</f>
        <v/>
      </c>
      <c r="Q26">
        <f>J26-H26^2/k_n</f>
        <v/>
      </c>
      <c r="R26">
        <f>K26-G26*H26/k_n</f>
        <v/>
      </c>
      <c r="S26">
        <f>L26-LTP3!$D$3*G26/k_n</f>
        <v/>
      </c>
      <c r="T26">
        <f>M26-LTP3!$D$3*H26/k_n</f>
        <v/>
      </c>
      <c r="U26">
        <f>N26-G26*LTP3!$D$4/k_n</f>
        <v/>
      </c>
      <c r="V26">
        <f>O26-H26*LTP3!$D$4/k_n</f>
        <v/>
      </c>
      <c r="W26">
        <f>((LTP3!$D$5)*((P26)*(Q26)-(R26)*(R26))-(S26)*((S26)*(Q26)-(R26)*(T26))+(T26)*((S26)*(R26)-(P26)*(T26)))</f>
        <v/>
      </c>
      <c r="X26">
        <f>IF(ABS(W26)&gt;1E-12,((LTP3!$D$6)*((P26)*(Q26)-(R26)*(R26))-(S26)*((U26)*(Q26)-(R26)*(V26))+(T26)*((U26)*(R26)-(P26)*(V26)))/W26,0)</f>
        <v/>
      </c>
      <c r="Y26">
        <f>IF(ABS(W26)&gt;1E-12,((LTP3!$D$5)*((U26)*(Q26)-(R26)*(V26))-(LTP3!$D$6)*((S26)*(Q26)-(R26)*(T26))+(T26)*((S26)*(V26)-(U26)*(T26)))/W26,0)</f>
        <v/>
      </c>
      <c r="Z26">
        <f>IF(ABS(W26)&gt;1E-12,((LTP3!$D$5)*((P26)*(V26)-(U26)*(R26))-(S26)*((S26)*(V26)-(U26)*(T26))+(LTP3!$D$6)*((S26)*(R26)-(P26)*(T26)))/W26,0)</f>
        <v/>
      </c>
      <c r="AA26">
        <f>LTP3!$D$7-X26*LTP3!$D$6-Y26*U26-Z26*V26</f>
        <v/>
      </c>
      <c r="AB26">
        <f>IF(AND(F26,ABS(W26)&gt;1E-12,Y26&gt;0,Z26&gt;0),AA26,1E+300)</f>
        <v/>
      </c>
      <c r="AE26" t="inlineStr">
        <is>
          <t>bx</t>
        </is>
      </c>
      <c r="AF26">
        <f>IF(ABS(AF25)&gt;1E-12,((LTP3!$D$6)*((AF18)*(AF19)-(AF20)*(AF20))-(AF21)*((AF23)*(AF19)-(AF20)*(AF24))+(AF22)*((AF23)*(AF20)-(AF18)*(AF24)))/AF25,0)</f>
        <v/>
      </c>
    </row>
    <row r="27">
      <c r="A27">
        <f>$B$3+$B$5*0</f>
        <v/>
      </c>
      <c r="B27">
        <f>$B$3+$B$5*15</f>
        <v/>
      </c>
      <c r="C27">
        <f>SUMPRODUCT(Calc!$K$3:$K$22*(Calc!$G$3:$G$22&lt;=A27))</f>
        <v/>
      </c>
      <c r="D27">
        <f>SUMPRODUCT(Calc!$K$3:$K$22*(Calc!$G$3:$G$22&gt;A27)*(Calc!$G$3:$G$22&lt;B27))</f>
        <v/>
      </c>
      <c r="E27">
        <f>SUMPRODUCT(Calc!$K$3:$K$22*(Calc!$G$3:$G$22&gt;=B27))</f>
        <v/>
      </c>
      <c r="F27">
        <f>AND(k_n&gt;=5,B27&gt;A27+1E-9,C27&gt;=2,D27&gt;=1,E27&gt;=2)</f>
        <v/>
      </c>
      <c r="G27">
        <f>SUMPRODUCT(Calc!$K$3:$K$22*(Calc!$G$3:$G$22&gt;A27)*(Calc!$G$3:$G$22-A27))</f>
        <v/>
      </c>
      <c r="H27">
        <f>SUMPRODUCT(Calc!$K$3:$K$22*(Calc!$G$3:$G$22&gt;B27)*(Calc!$G$3:$G$22-B27))</f>
        <v/>
      </c>
      <c r="I27">
        <f>SUMPRODUCT(Calc!$K$3:$K$22*(Calc!$G$3:$G$22&gt;A27)*(Calc!$G$3:$G$22-A27)^2)</f>
        <v/>
      </c>
      <c r="J27">
        <f>SUMPRODUCT(Calc!$K$3:$K$22*(Calc!$G$3:$G$22&gt;B27)*(Calc!$G$3:$G$22-B27)^2)</f>
        <v/>
      </c>
      <c r="K27">
        <f>SUMPRODUCT(Calc!$K$3:$K$22*(Calc!$G$3:$G$22&gt;A27)*(Calc!$G$3:$G$22-A27)*(Calc!$G$3:$G$22&gt;B27)*(Calc!$G$3:$G$22-B27))</f>
        <v/>
      </c>
      <c r="L27">
        <f>SUMPRODUCT(Calc!$K$3:$K$22*(Calc!$G$3:$G$22&gt;A27)*(Calc!$G$3:$G$22-A27)*Calc!$G$3:$G$22)</f>
        <v/>
      </c>
      <c r="M27">
        <f>SUMPRODUCT(Calc!$K$3:$K$22*(Calc!$G$3:$G$22&gt;B27)*(Calc!$G$3:$G$22-B27)*Calc!$G$3:$G$22)</f>
        <v/>
      </c>
      <c r="N27">
        <f>SUMPRODUCT(Calc!$K$3:$K$22*(Calc!$G$3:$G$22&gt;A27)*(Calc!$G$3:$G$22-A27)*Calc!$I$3:$I$22)</f>
        <v/>
      </c>
      <c r="O27">
        <f>SUMPRODUCT(Calc!$K$3:$K$22*(Calc!$G$3:$G$22&gt;B27)*(Calc!$G$3:$G$22-B27)*Calc!$I$3:$I$22)</f>
        <v/>
      </c>
      <c r="P27">
        <f>I27-G27^2/k_n</f>
        <v/>
      </c>
      <c r="Q27">
        <f>J27-H27^2/k_n</f>
        <v/>
      </c>
      <c r="R27">
        <f>K27-G27*H27/k_n</f>
        <v/>
      </c>
      <c r="S27">
        <f>L27-LTP3!$D$3*G27/k_n</f>
        <v/>
      </c>
      <c r="T27">
        <f>M27-LTP3!$D$3*H27/k_n</f>
        <v/>
      </c>
      <c r="U27">
        <f>N27-G27*LTP3!$D$4/k_n</f>
        <v/>
      </c>
      <c r="V27">
        <f>O27-H27*LTP3!$D$4/k_n</f>
        <v/>
      </c>
      <c r="W27">
        <f>((LTP3!$D$5)*((P27)*(Q27)-(R27)*(R27))-(S27)*((S27)*(Q27)-(R27)*(T27))+(T27)*((S27)*(R27)-(P27)*(T27)))</f>
        <v/>
      </c>
      <c r="X27">
        <f>IF(ABS(W27)&gt;1E-12,((LTP3!$D$6)*((P27)*(Q27)-(R27)*(R27))-(S27)*((U27)*(Q27)-(R27)*(V27))+(T27)*((U27)*(R27)-(P27)*(V27)))/W27,0)</f>
        <v/>
      </c>
      <c r="Y27">
        <f>IF(ABS(W27)&gt;1E-12,((LTP3!$D$5)*((U27)*(Q27)-(R27)*(V27))-(LTP3!$D$6)*((S27)*(Q27)-(R27)*(T27))+(T27)*((S27)*(V27)-(U27)*(T27)))/W27,0)</f>
        <v/>
      </c>
      <c r="Z27">
        <f>IF(ABS(W27)&gt;1E-12,((LTP3!$D$5)*((P27)*(V27)-(U27)*(R27))-(S27)*((S27)*(V27)-(U27)*(T27))+(LTP3!$D$6)*((S27)*(R27)-(P27)*(T27)))/W27,0)</f>
        <v/>
      </c>
      <c r="AA27">
        <f>LTP3!$D$7-X27*LTP3!$D$6-Y27*U27-Z27*V27</f>
        <v/>
      </c>
      <c r="AB27">
        <f>IF(AND(F27,ABS(W27)&gt;1E-12,Y27&gt;0,Z27&gt;0),AA27,1E+300)</f>
        <v/>
      </c>
      <c r="AE27" t="inlineStr">
        <is>
          <t>b1</t>
        </is>
      </c>
      <c r="AF27">
        <f>IF(ABS(AF25)&gt;1E-12,((LTP3!$D$5)*((AF23)*(AF19)-(AF20)*(AF24))-(LTP3!$D$6)*((AF21)*(AF19)-(AF20)*(AF22))+(AF22)*((AF21)*(AF24)-(AF23)*(AF22)))/AF25,0)</f>
        <v/>
      </c>
    </row>
    <row r="28">
      <c r="A28">
        <f>$B$3+$B$5*0</f>
        <v/>
      </c>
      <c r="B28">
        <f>$B$3+$B$5*16</f>
        <v/>
      </c>
      <c r="C28">
        <f>SUMPRODUCT(Calc!$K$3:$K$22*(Calc!$G$3:$G$22&lt;=A28))</f>
        <v/>
      </c>
      <c r="D28">
        <f>SUMPRODUCT(Calc!$K$3:$K$22*(Calc!$G$3:$G$22&gt;A28)*(Calc!$G$3:$G$22&lt;B28))</f>
        <v/>
      </c>
      <c r="E28">
        <f>SUMPRODUCT(Calc!$K$3:$K$22*(Calc!$G$3:$G$22&gt;=B28))</f>
        <v/>
      </c>
      <c r="F28">
        <f>AND(k_n&gt;=5,B28&gt;A28+1E-9,C28&gt;=2,D28&gt;=1,E28&gt;=2)</f>
        <v/>
      </c>
      <c r="G28">
        <f>SUMPRODUCT(Calc!$K$3:$K$22*(Calc!$G$3:$G$22&gt;A28)*(Calc!$G$3:$G$22-A28))</f>
        <v/>
      </c>
      <c r="H28">
        <f>SUMPRODUCT(Calc!$K$3:$K$22*(Calc!$G$3:$G$22&gt;B28)*(Calc!$G$3:$G$22-B28))</f>
        <v/>
      </c>
      <c r="I28">
        <f>SUMPRODUCT(Calc!$K$3:$K$22*(Calc!$G$3:$G$22&gt;A28)*(Calc!$G$3:$G$22-A28)^2)</f>
        <v/>
      </c>
      <c r="J28">
        <f>SUMPRODUCT(Calc!$K$3:$K$22*(Calc!$G$3:$G$22&gt;B28)*(Calc!$G$3:$G$22-B28)^2)</f>
        <v/>
      </c>
      <c r="K28">
        <f>SUMPRODUCT(Calc!$K$3:$K$22*(Calc!$G$3:$G$22&gt;A28)*(Calc!$G$3:$G$22-A28)*(Calc!$G$3:$G$22&gt;B28)*(Calc!$G$3:$G$22-B28))</f>
        <v/>
      </c>
      <c r="L28">
        <f>SUMPRODUCT(Calc!$K$3:$K$22*(Calc!$G$3:$G$22&gt;A28)*(Calc!$G$3:$G$22-A28)*Calc!$G$3:$G$22)</f>
        <v/>
      </c>
      <c r="M28">
        <f>SUMPRODUCT(Calc!$K$3:$K$22*(Calc!$G$3:$G$22&gt;B28)*(Calc!$G$3:$G$22-B28)*Calc!$G$3:$G$22)</f>
        <v/>
      </c>
      <c r="N28">
        <f>SUMPRODUCT(Calc!$K$3:$K$22*(Calc!$G$3:$G$22&gt;A28)*(Calc!$G$3:$G$22-A28)*Calc!$I$3:$I$22)</f>
        <v/>
      </c>
      <c r="O28">
        <f>SUMPRODUCT(Calc!$K$3:$K$22*(Calc!$G$3:$G$22&gt;B28)*(Calc!$G$3:$G$22-B28)*Calc!$I$3:$I$22)</f>
        <v/>
      </c>
      <c r="P28">
        <f>I28-G28^2/k_n</f>
        <v/>
      </c>
      <c r="Q28">
        <f>J28-H28^2/k_n</f>
        <v/>
      </c>
      <c r="R28">
        <f>K28-G28*H28/k_n</f>
        <v/>
      </c>
      <c r="S28">
        <f>L28-LTP3!$D$3*G28/k_n</f>
        <v/>
      </c>
      <c r="T28">
        <f>M28-LTP3!$D$3*H28/k_n</f>
        <v/>
      </c>
      <c r="U28">
        <f>N28-G28*LTP3!$D$4/k_n</f>
        <v/>
      </c>
      <c r="V28">
        <f>O28-H28*LTP3!$D$4/k_n</f>
        <v/>
      </c>
      <c r="W28">
        <f>((LTP3!$D$5)*((P28)*(Q28)-(R28)*(R28))-(S28)*((S28)*(Q28)-(R28)*(T28))+(T28)*((S28)*(R28)-(P28)*(T28)))</f>
        <v/>
      </c>
      <c r="X28">
        <f>IF(ABS(W28)&gt;1E-12,((LTP3!$D$6)*((P28)*(Q28)-(R28)*(R28))-(S28)*((U28)*(Q28)-(R28)*(V28))+(T28)*((U28)*(R28)-(P28)*(V28)))/W28,0)</f>
        <v/>
      </c>
      <c r="Y28">
        <f>IF(ABS(W28)&gt;1E-12,((LTP3!$D$5)*((U28)*(Q28)-(R28)*(V28))-(LTP3!$D$6)*((S28)*(Q28)-(R28)*(T28))+(T28)*((S28)*(V28)-(U28)*(T28)))/W28,0)</f>
        <v/>
      </c>
      <c r="Z28">
        <f>IF(ABS(W28)&gt;1E-12,((LTP3!$D$5)*((P28)*(V28)-(U28)*(R28))-(S28)*((S28)*(V28)-(U28)*(T28))+(LTP3!$D$6)*((S28)*(R28)-(P28)*(T28)))/W28,0)</f>
        <v/>
      </c>
      <c r="AA28">
        <f>LTP3!$D$7-X28*LTP3!$D$6-Y28*U28-Z28*V28</f>
        <v/>
      </c>
      <c r="AB28">
        <f>IF(AND(F28,ABS(W28)&gt;1E-12,Y28&gt;0,Z28&gt;0),AA28,1E+300)</f>
        <v/>
      </c>
      <c r="AE28" t="inlineStr">
        <is>
          <t>b2</t>
        </is>
      </c>
      <c r="AF28">
        <f>IF(ABS(AF25)&gt;1E-12,((LTP3!$D$5)*((AF18)*(AF24)-(AF23)*(AF20))-(AF21)*((AF21)*(AF24)-(AF23)*(AF22))+(LTP3!$D$6)*((AF21)*(AF20)-(AF18)*(AF22)))/AF25,0)</f>
        <v/>
      </c>
    </row>
    <row r="29">
      <c r="A29">
        <f>$B$3+$B$5*0</f>
        <v/>
      </c>
      <c r="B29">
        <f>$B$3+$B$5*17</f>
        <v/>
      </c>
      <c r="C29">
        <f>SUMPRODUCT(Calc!$K$3:$K$22*(Calc!$G$3:$G$22&lt;=A29))</f>
        <v/>
      </c>
      <c r="D29">
        <f>SUMPRODUCT(Calc!$K$3:$K$22*(Calc!$G$3:$G$22&gt;A29)*(Calc!$G$3:$G$22&lt;B29))</f>
        <v/>
      </c>
      <c r="E29">
        <f>SUMPRODUCT(Calc!$K$3:$K$22*(Calc!$G$3:$G$22&gt;=B29))</f>
        <v/>
      </c>
      <c r="F29">
        <f>AND(k_n&gt;=5,B29&gt;A29+1E-9,C29&gt;=2,D29&gt;=1,E29&gt;=2)</f>
        <v/>
      </c>
      <c r="G29">
        <f>SUMPRODUCT(Calc!$K$3:$K$22*(Calc!$G$3:$G$22&gt;A29)*(Calc!$G$3:$G$22-A29))</f>
        <v/>
      </c>
      <c r="H29">
        <f>SUMPRODUCT(Calc!$K$3:$K$22*(Calc!$G$3:$G$22&gt;B29)*(Calc!$G$3:$G$22-B29))</f>
        <v/>
      </c>
      <c r="I29">
        <f>SUMPRODUCT(Calc!$K$3:$K$22*(Calc!$G$3:$G$22&gt;A29)*(Calc!$G$3:$G$22-A29)^2)</f>
        <v/>
      </c>
      <c r="J29">
        <f>SUMPRODUCT(Calc!$K$3:$K$22*(Calc!$G$3:$G$22&gt;B29)*(Calc!$G$3:$G$22-B29)^2)</f>
        <v/>
      </c>
      <c r="K29">
        <f>SUMPRODUCT(Calc!$K$3:$K$22*(Calc!$G$3:$G$22&gt;A29)*(Calc!$G$3:$G$22-A29)*(Calc!$G$3:$G$22&gt;B29)*(Calc!$G$3:$G$22-B29))</f>
        <v/>
      </c>
      <c r="L29">
        <f>SUMPRODUCT(Calc!$K$3:$K$22*(Calc!$G$3:$G$22&gt;A29)*(Calc!$G$3:$G$22-A29)*Calc!$G$3:$G$22)</f>
        <v/>
      </c>
      <c r="M29">
        <f>SUMPRODUCT(Calc!$K$3:$K$22*(Calc!$G$3:$G$22&gt;B29)*(Calc!$G$3:$G$22-B29)*Calc!$G$3:$G$22)</f>
        <v/>
      </c>
      <c r="N29">
        <f>SUMPRODUCT(Calc!$K$3:$K$22*(Calc!$G$3:$G$22&gt;A29)*(Calc!$G$3:$G$22-A29)*Calc!$I$3:$I$22)</f>
        <v/>
      </c>
      <c r="O29">
        <f>SUMPRODUCT(Calc!$K$3:$K$22*(Calc!$G$3:$G$22&gt;B29)*(Calc!$G$3:$G$22-B29)*Calc!$I$3:$I$22)</f>
        <v/>
      </c>
      <c r="P29">
        <f>I29-G29^2/k_n</f>
        <v/>
      </c>
      <c r="Q29">
        <f>J29-H29^2/k_n</f>
        <v/>
      </c>
      <c r="R29">
        <f>K29-G29*H29/k_n</f>
        <v/>
      </c>
      <c r="S29">
        <f>L29-LTP3!$D$3*G29/k_n</f>
        <v/>
      </c>
      <c r="T29">
        <f>M29-LTP3!$D$3*H29/k_n</f>
        <v/>
      </c>
      <c r="U29">
        <f>N29-G29*LTP3!$D$4/k_n</f>
        <v/>
      </c>
      <c r="V29">
        <f>O29-H29*LTP3!$D$4/k_n</f>
        <v/>
      </c>
      <c r="W29">
        <f>((LTP3!$D$5)*((P29)*(Q29)-(R29)*(R29))-(S29)*((S29)*(Q29)-(R29)*(T29))+(T29)*((S29)*(R29)-(P29)*(T29)))</f>
        <v/>
      </c>
      <c r="X29">
        <f>IF(ABS(W29)&gt;1E-12,((LTP3!$D$6)*((P29)*(Q29)-(R29)*(R29))-(S29)*((U29)*(Q29)-(R29)*(V29))+(T29)*((U29)*(R29)-(P29)*(V29)))/W29,0)</f>
        <v/>
      </c>
      <c r="Y29">
        <f>IF(ABS(W29)&gt;1E-12,((LTP3!$D$5)*((U29)*(Q29)-(R29)*(V29))-(LTP3!$D$6)*((S29)*(Q29)-(R29)*(T29))+(T29)*((S29)*(V29)-(U29)*(T29)))/W29,0)</f>
        <v/>
      </c>
      <c r="Z29">
        <f>IF(ABS(W29)&gt;1E-12,((LTP3!$D$5)*((P29)*(V29)-(U29)*(R29))-(S29)*((S29)*(V29)-(U29)*(T29))+(LTP3!$D$6)*((S29)*(R29)-(P29)*(T29)))/W29,0)</f>
        <v/>
      </c>
      <c r="AA29">
        <f>LTP3!$D$7-X29*LTP3!$D$6-Y29*U29-Z29*V29</f>
        <v/>
      </c>
      <c r="AB29">
        <f>IF(AND(F29,ABS(W29)&gt;1E-12,Y29&gt;0,Z29&gt;0),AA29,1E+300)</f>
        <v/>
      </c>
      <c r="AE29" t="inlineStr">
        <is>
          <t>SSE</t>
        </is>
      </c>
      <c r="AF29">
        <f>LTP3!$D$7-AF26*LTP3!$D$6-AF27*AF23-AF28*AF24</f>
        <v/>
      </c>
    </row>
    <row r="30">
      <c r="A30">
        <f>$B$3+$B$5*0</f>
        <v/>
      </c>
      <c r="B30">
        <f>$B$3+$B$5*18</f>
        <v/>
      </c>
      <c r="C30">
        <f>SUMPRODUCT(Calc!$K$3:$K$22*(Calc!$G$3:$G$22&lt;=A30))</f>
        <v/>
      </c>
      <c r="D30">
        <f>SUMPRODUCT(Calc!$K$3:$K$22*(Calc!$G$3:$G$22&gt;A30)*(Calc!$G$3:$G$22&lt;B30))</f>
        <v/>
      </c>
      <c r="E30">
        <f>SUMPRODUCT(Calc!$K$3:$K$22*(Calc!$G$3:$G$22&gt;=B30))</f>
        <v/>
      </c>
      <c r="F30">
        <f>AND(k_n&gt;=5,B30&gt;A30+1E-9,C30&gt;=2,D30&gt;=1,E30&gt;=2)</f>
        <v/>
      </c>
      <c r="G30">
        <f>SUMPRODUCT(Calc!$K$3:$K$22*(Calc!$G$3:$G$22&gt;A30)*(Calc!$G$3:$G$22-A30))</f>
        <v/>
      </c>
      <c r="H30">
        <f>SUMPRODUCT(Calc!$K$3:$K$22*(Calc!$G$3:$G$22&gt;B30)*(Calc!$G$3:$G$22-B30))</f>
        <v/>
      </c>
      <c r="I30">
        <f>SUMPRODUCT(Calc!$K$3:$K$22*(Calc!$G$3:$G$22&gt;A30)*(Calc!$G$3:$G$22-A30)^2)</f>
        <v/>
      </c>
      <c r="J30">
        <f>SUMPRODUCT(Calc!$K$3:$K$22*(Calc!$G$3:$G$22&gt;B30)*(Calc!$G$3:$G$22-B30)^2)</f>
        <v/>
      </c>
      <c r="K30">
        <f>SUMPRODUCT(Calc!$K$3:$K$22*(Calc!$G$3:$G$22&gt;A30)*(Calc!$G$3:$G$22-A30)*(Calc!$G$3:$G$22&gt;B30)*(Calc!$G$3:$G$22-B30))</f>
        <v/>
      </c>
      <c r="L30">
        <f>SUMPRODUCT(Calc!$K$3:$K$22*(Calc!$G$3:$G$22&gt;A30)*(Calc!$G$3:$G$22-A30)*Calc!$G$3:$G$22)</f>
        <v/>
      </c>
      <c r="M30">
        <f>SUMPRODUCT(Calc!$K$3:$K$22*(Calc!$G$3:$G$22&gt;B30)*(Calc!$G$3:$G$22-B30)*Calc!$G$3:$G$22)</f>
        <v/>
      </c>
      <c r="N30">
        <f>SUMPRODUCT(Calc!$K$3:$K$22*(Calc!$G$3:$G$22&gt;A30)*(Calc!$G$3:$G$22-A30)*Calc!$I$3:$I$22)</f>
        <v/>
      </c>
      <c r="O30">
        <f>SUMPRODUCT(Calc!$K$3:$K$22*(Calc!$G$3:$G$22&gt;B30)*(Calc!$G$3:$G$22-B30)*Calc!$I$3:$I$22)</f>
        <v/>
      </c>
      <c r="P30">
        <f>I30-G30^2/k_n</f>
        <v/>
      </c>
      <c r="Q30">
        <f>J30-H30^2/k_n</f>
        <v/>
      </c>
      <c r="R30">
        <f>K30-G30*H30/k_n</f>
        <v/>
      </c>
      <c r="S30">
        <f>L30-LTP3!$D$3*G30/k_n</f>
        <v/>
      </c>
      <c r="T30">
        <f>M30-LTP3!$D$3*H30/k_n</f>
        <v/>
      </c>
      <c r="U30">
        <f>N30-G30*LTP3!$D$4/k_n</f>
        <v/>
      </c>
      <c r="V30">
        <f>O30-H30*LTP3!$D$4/k_n</f>
        <v/>
      </c>
      <c r="W30">
        <f>((LTP3!$D$5)*((P30)*(Q30)-(R30)*(R30))-(S30)*((S30)*(Q30)-(R30)*(T30))+(T30)*((S30)*(R30)-(P30)*(T30)))</f>
        <v/>
      </c>
      <c r="X30">
        <f>IF(ABS(W30)&gt;1E-12,((LTP3!$D$6)*((P30)*(Q30)-(R30)*(R30))-(S30)*((U30)*(Q30)-(R30)*(V30))+(T30)*((U30)*(R30)-(P30)*(V30)))/W30,0)</f>
        <v/>
      </c>
      <c r="Y30">
        <f>IF(ABS(W30)&gt;1E-12,((LTP3!$D$5)*((U30)*(Q30)-(R30)*(V30))-(LTP3!$D$6)*((S30)*(Q30)-(R30)*(T30))+(T30)*((S30)*(V30)-(U30)*(T30)))/W30,0)</f>
        <v/>
      </c>
      <c r="Z30">
        <f>IF(ABS(W30)&gt;1E-12,((LTP3!$D$5)*((P30)*(V30)-(U30)*(R30))-(S30)*((S30)*(V30)-(U30)*(T30))+(LTP3!$D$6)*((S30)*(R30)-(P30)*(T30)))/W30,0)</f>
        <v/>
      </c>
      <c r="AA30">
        <f>LTP3!$D$7-X30*LTP3!$D$6-Y30*U30-Z30*V30</f>
        <v/>
      </c>
      <c r="AB30">
        <f>IF(AND(F30,ABS(W30)&gt;1E-12,Y30&gt;0,Z30&gt;0),AA30,1E+300)</f>
        <v/>
      </c>
      <c r="AE30" t="inlineStr">
        <is>
          <t>Score</t>
        </is>
      </c>
      <c r="AF30">
        <f>IF(AND(AF8,ABS(AF25)&gt;1E-12,AF27&gt;0,AF28&gt;0),AF29,1E+300)</f>
        <v/>
      </c>
    </row>
    <row r="31">
      <c r="A31">
        <f>$B$3+$B$5*0</f>
        <v/>
      </c>
      <c r="B31">
        <f>$B$3+$B$5*19</f>
        <v/>
      </c>
      <c r="C31">
        <f>SUMPRODUCT(Calc!$K$3:$K$22*(Calc!$G$3:$G$22&lt;=A31))</f>
        <v/>
      </c>
      <c r="D31">
        <f>SUMPRODUCT(Calc!$K$3:$K$22*(Calc!$G$3:$G$22&gt;A31)*(Calc!$G$3:$G$22&lt;B31))</f>
        <v/>
      </c>
      <c r="E31">
        <f>SUMPRODUCT(Calc!$K$3:$K$22*(Calc!$G$3:$G$22&gt;=B31))</f>
        <v/>
      </c>
      <c r="F31">
        <f>AND(k_n&gt;=5,B31&gt;A31+1E-9,C31&gt;=2,D31&gt;=1,E31&gt;=2)</f>
        <v/>
      </c>
      <c r="G31">
        <f>SUMPRODUCT(Calc!$K$3:$K$22*(Calc!$G$3:$G$22&gt;A31)*(Calc!$G$3:$G$22-A31))</f>
        <v/>
      </c>
      <c r="H31">
        <f>SUMPRODUCT(Calc!$K$3:$K$22*(Calc!$G$3:$G$22&gt;B31)*(Calc!$G$3:$G$22-B31))</f>
        <v/>
      </c>
      <c r="I31">
        <f>SUMPRODUCT(Calc!$K$3:$K$22*(Calc!$G$3:$G$22&gt;A31)*(Calc!$G$3:$G$22-A31)^2)</f>
        <v/>
      </c>
      <c r="J31">
        <f>SUMPRODUCT(Calc!$K$3:$K$22*(Calc!$G$3:$G$22&gt;B31)*(Calc!$G$3:$G$22-B31)^2)</f>
        <v/>
      </c>
      <c r="K31">
        <f>SUMPRODUCT(Calc!$K$3:$K$22*(Calc!$G$3:$G$22&gt;A31)*(Calc!$G$3:$G$22-A31)*(Calc!$G$3:$G$22&gt;B31)*(Calc!$G$3:$G$22-B31))</f>
        <v/>
      </c>
      <c r="L31">
        <f>SUMPRODUCT(Calc!$K$3:$K$22*(Calc!$G$3:$G$22&gt;A31)*(Calc!$G$3:$G$22-A31)*Calc!$G$3:$G$22)</f>
        <v/>
      </c>
      <c r="M31">
        <f>SUMPRODUCT(Calc!$K$3:$K$22*(Calc!$G$3:$G$22&gt;B31)*(Calc!$G$3:$G$22-B31)*Calc!$G$3:$G$22)</f>
        <v/>
      </c>
      <c r="N31">
        <f>SUMPRODUCT(Calc!$K$3:$K$22*(Calc!$G$3:$G$22&gt;A31)*(Calc!$G$3:$G$22-A31)*Calc!$I$3:$I$22)</f>
        <v/>
      </c>
      <c r="O31">
        <f>SUMPRODUCT(Calc!$K$3:$K$22*(Calc!$G$3:$G$22&gt;B31)*(Calc!$G$3:$G$22-B31)*Calc!$I$3:$I$22)</f>
        <v/>
      </c>
      <c r="P31">
        <f>I31-G31^2/k_n</f>
        <v/>
      </c>
      <c r="Q31">
        <f>J31-H31^2/k_n</f>
        <v/>
      </c>
      <c r="R31">
        <f>K31-G31*H31/k_n</f>
        <v/>
      </c>
      <c r="S31">
        <f>L31-LTP3!$D$3*G31/k_n</f>
        <v/>
      </c>
      <c r="T31">
        <f>M31-LTP3!$D$3*H31/k_n</f>
        <v/>
      </c>
      <c r="U31">
        <f>N31-G31*LTP3!$D$4/k_n</f>
        <v/>
      </c>
      <c r="V31">
        <f>O31-H31*LTP3!$D$4/k_n</f>
        <v/>
      </c>
      <c r="W31">
        <f>((LTP3!$D$5)*((P31)*(Q31)-(R31)*(R31))-(S31)*((S31)*(Q31)-(R31)*(T31))+(T31)*((S31)*(R31)-(P31)*(T31)))</f>
        <v/>
      </c>
      <c r="X31">
        <f>IF(ABS(W31)&gt;1E-12,((LTP3!$D$6)*((P31)*(Q31)-(R31)*(R31))-(S31)*((U31)*(Q31)-(R31)*(V31))+(T31)*((U31)*(R31)-(P31)*(V31)))/W31,0)</f>
        <v/>
      </c>
      <c r="Y31">
        <f>IF(ABS(W31)&gt;1E-12,((LTP3!$D$5)*((U31)*(Q31)-(R31)*(V31))-(LTP3!$D$6)*((S31)*(Q31)-(R31)*(T31))+(T31)*((S31)*(V31)-(U31)*(T31)))/W31,0)</f>
        <v/>
      </c>
      <c r="Z31">
        <f>IF(ABS(W31)&gt;1E-12,((LTP3!$D$5)*((P31)*(V31)-(U31)*(R31))-(S31)*((S31)*(V31)-(U31)*(T31))+(LTP3!$D$6)*((S31)*(R31)-(P31)*(T31)))/W31,0)</f>
        <v/>
      </c>
      <c r="AA31">
        <f>LTP3!$D$7-X31*LTP3!$D$6-Y31*U31-Z31*V31</f>
        <v/>
      </c>
      <c r="AB31">
        <f>IF(AND(F31,ABS(W31)&gt;1E-12,Y31&gt;0,Z31&gt;0),AA31,1E+300)</f>
        <v/>
      </c>
      <c r="AE31" t="inlineStr">
        <is>
          <t>c0</t>
        </is>
      </c>
      <c r="AF31">
        <f>(LTP3!$D$4-AF26*LTP3!$D$3-AF27*AF9-AF28*AF10)/k_n</f>
        <v/>
      </c>
    </row>
    <row r="32">
      <c r="A32">
        <f>$B$3+$B$5*0</f>
        <v/>
      </c>
      <c r="B32">
        <f>$B$3+$B$5*20</f>
        <v/>
      </c>
      <c r="C32">
        <f>SUMPRODUCT(Calc!$K$3:$K$22*(Calc!$G$3:$G$22&lt;=A32))</f>
        <v/>
      </c>
      <c r="D32">
        <f>SUMPRODUCT(Calc!$K$3:$K$22*(Calc!$G$3:$G$22&gt;A32)*(Calc!$G$3:$G$22&lt;B32))</f>
        <v/>
      </c>
      <c r="E32">
        <f>SUMPRODUCT(Calc!$K$3:$K$22*(Calc!$G$3:$G$22&gt;=B32))</f>
        <v/>
      </c>
      <c r="F32">
        <f>AND(k_n&gt;=5,B32&gt;A32+1E-9,C32&gt;=2,D32&gt;=1,E32&gt;=2)</f>
        <v/>
      </c>
      <c r="G32">
        <f>SUMPRODUCT(Calc!$K$3:$K$22*(Calc!$G$3:$G$22&gt;A32)*(Calc!$G$3:$G$22-A32))</f>
        <v/>
      </c>
      <c r="H32">
        <f>SUMPRODUCT(Calc!$K$3:$K$22*(Calc!$G$3:$G$22&gt;B32)*(Calc!$G$3:$G$22-B32))</f>
        <v/>
      </c>
      <c r="I32">
        <f>SUMPRODUCT(Calc!$K$3:$K$22*(Calc!$G$3:$G$22&gt;A32)*(Calc!$G$3:$G$22-A32)^2)</f>
        <v/>
      </c>
      <c r="J32">
        <f>SUMPRODUCT(Calc!$K$3:$K$22*(Calc!$G$3:$G$22&gt;B32)*(Calc!$G$3:$G$22-B32)^2)</f>
        <v/>
      </c>
      <c r="K32">
        <f>SUMPRODUCT(Calc!$K$3:$K$22*(Calc!$G$3:$G$22&gt;A32)*(Calc!$G$3:$G$22-A32)*(Calc!$G$3:$G$22&gt;B32)*(Calc!$G$3:$G$22-B32))</f>
        <v/>
      </c>
      <c r="L32">
        <f>SUMPRODUCT(Calc!$K$3:$K$22*(Calc!$G$3:$G$22&gt;A32)*(Calc!$G$3:$G$22-A32)*Calc!$G$3:$G$22)</f>
        <v/>
      </c>
      <c r="M32">
        <f>SUMPRODUCT(Calc!$K$3:$K$22*(Calc!$G$3:$G$22&gt;B32)*(Calc!$G$3:$G$22-B32)*Calc!$G$3:$G$22)</f>
        <v/>
      </c>
      <c r="N32">
        <f>SUMPRODUCT(Calc!$K$3:$K$22*(Calc!$G$3:$G$22&gt;A32)*(Calc!$G$3:$G$22-A32)*Calc!$I$3:$I$22)</f>
        <v/>
      </c>
      <c r="O32">
        <f>SUMPRODUCT(Calc!$K$3:$K$22*(Calc!$G$3:$G$22&gt;B32)*(Calc!$G$3:$G$22-B32)*Calc!$I$3:$I$22)</f>
        <v/>
      </c>
      <c r="P32">
        <f>I32-G32^2/k_n</f>
        <v/>
      </c>
      <c r="Q32">
        <f>J32-H32^2/k_n</f>
        <v/>
      </c>
      <c r="R32">
        <f>K32-G32*H32/k_n</f>
        <v/>
      </c>
      <c r="S32">
        <f>L32-LTP3!$D$3*G32/k_n</f>
        <v/>
      </c>
      <c r="T32">
        <f>M32-LTP3!$D$3*H32/k_n</f>
        <v/>
      </c>
      <c r="U32">
        <f>N32-G32*LTP3!$D$4/k_n</f>
        <v/>
      </c>
      <c r="V32">
        <f>O32-H32*LTP3!$D$4/k_n</f>
        <v/>
      </c>
      <c r="W32">
        <f>((LTP3!$D$5)*((P32)*(Q32)-(R32)*(R32))-(S32)*((S32)*(Q32)-(R32)*(T32))+(T32)*((S32)*(R32)-(P32)*(T32)))</f>
        <v/>
      </c>
      <c r="X32">
        <f>IF(ABS(W32)&gt;1E-12,((LTP3!$D$6)*((P32)*(Q32)-(R32)*(R32))-(S32)*((U32)*(Q32)-(R32)*(V32))+(T32)*((U32)*(R32)-(P32)*(V32)))/W32,0)</f>
        <v/>
      </c>
      <c r="Y32">
        <f>IF(ABS(W32)&gt;1E-12,((LTP3!$D$5)*((U32)*(Q32)-(R32)*(V32))-(LTP3!$D$6)*((S32)*(Q32)-(R32)*(T32))+(T32)*((S32)*(V32)-(U32)*(T32)))/W32,0)</f>
        <v/>
      </c>
      <c r="Z32">
        <f>IF(ABS(W32)&gt;1E-12,((LTP3!$D$5)*((P32)*(V32)-(U32)*(R32))-(S32)*((S32)*(V32)-(U32)*(T32))+(LTP3!$D$6)*((S32)*(R32)-(P32)*(T32)))/W32,0)</f>
        <v/>
      </c>
      <c r="AA32">
        <f>LTP3!$D$7-X32*LTP3!$D$6-Y32*U32-Z32*V32</f>
        <v/>
      </c>
      <c r="AB32">
        <f>IF(AND(F32,ABS(W32)&gt;1E-12,Y32&gt;0,Z32&gt;0),AA32,1E+300)</f>
        <v/>
      </c>
      <c r="AE32" t="inlineStr">
        <is>
          <t>gefunden</t>
        </is>
      </c>
      <c r="AF32">
        <f>AND(k_n&gt;=5,G6&lt;1E+299)</f>
        <v/>
      </c>
    </row>
    <row r="33">
      <c r="A33">
        <f>$B$3+$B$5*0</f>
        <v/>
      </c>
      <c r="B33">
        <f>$B$3+$B$5*21</f>
        <v/>
      </c>
      <c r="C33">
        <f>SUMPRODUCT(Calc!$K$3:$K$22*(Calc!$G$3:$G$22&lt;=A33))</f>
        <v/>
      </c>
      <c r="D33">
        <f>SUMPRODUCT(Calc!$K$3:$K$22*(Calc!$G$3:$G$22&gt;A33)*(Calc!$G$3:$G$22&lt;B33))</f>
        <v/>
      </c>
      <c r="E33">
        <f>SUMPRODUCT(Calc!$K$3:$K$22*(Calc!$G$3:$G$22&gt;=B33))</f>
        <v/>
      </c>
      <c r="F33">
        <f>AND(k_n&gt;=5,B33&gt;A33+1E-9,C33&gt;=2,D33&gt;=1,E33&gt;=2)</f>
        <v/>
      </c>
      <c r="G33">
        <f>SUMPRODUCT(Calc!$K$3:$K$22*(Calc!$G$3:$G$22&gt;A33)*(Calc!$G$3:$G$22-A33))</f>
        <v/>
      </c>
      <c r="H33">
        <f>SUMPRODUCT(Calc!$K$3:$K$22*(Calc!$G$3:$G$22&gt;B33)*(Calc!$G$3:$G$22-B33))</f>
        <v/>
      </c>
      <c r="I33">
        <f>SUMPRODUCT(Calc!$K$3:$K$22*(Calc!$G$3:$G$22&gt;A33)*(Calc!$G$3:$G$22-A33)^2)</f>
        <v/>
      </c>
      <c r="J33">
        <f>SUMPRODUCT(Calc!$K$3:$K$22*(Calc!$G$3:$G$22&gt;B33)*(Calc!$G$3:$G$22-B33)^2)</f>
        <v/>
      </c>
      <c r="K33">
        <f>SUMPRODUCT(Calc!$K$3:$K$22*(Calc!$G$3:$G$22&gt;A33)*(Calc!$G$3:$G$22-A33)*(Calc!$G$3:$G$22&gt;B33)*(Calc!$G$3:$G$22-B33))</f>
        <v/>
      </c>
      <c r="L33">
        <f>SUMPRODUCT(Calc!$K$3:$K$22*(Calc!$G$3:$G$22&gt;A33)*(Calc!$G$3:$G$22-A33)*Calc!$G$3:$G$22)</f>
        <v/>
      </c>
      <c r="M33">
        <f>SUMPRODUCT(Calc!$K$3:$K$22*(Calc!$G$3:$G$22&gt;B33)*(Calc!$G$3:$G$22-B33)*Calc!$G$3:$G$22)</f>
        <v/>
      </c>
      <c r="N33">
        <f>SUMPRODUCT(Calc!$K$3:$K$22*(Calc!$G$3:$G$22&gt;A33)*(Calc!$G$3:$G$22-A33)*Calc!$I$3:$I$22)</f>
        <v/>
      </c>
      <c r="O33">
        <f>SUMPRODUCT(Calc!$K$3:$K$22*(Calc!$G$3:$G$22&gt;B33)*(Calc!$G$3:$G$22-B33)*Calc!$I$3:$I$22)</f>
        <v/>
      </c>
      <c r="P33">
        <f>I33-G33^2/k_n</f>
        <v/>
      </c>
      <c r="Q33">
        <f>J33-H33^2/k_n</f>
        <v/>
      </c>
      <c r="R33">
        <f>K33-G33*H33/k_n</f>
        <v/>
      </c>
      <c r="S33">
        <f>L33-LTP3!$D$3*G33/k_n</f>
        <v/>
      </c>
      <c r="T33">
        <f>M33-LTP3!$D$3*H33/k_n</f>
        <v/>
      </c>
      <c r="U33">
        <f>N33-G33*LTP3!$D$4/k_n</f>
        <v/>
      </c>
      <c r="V33">
        <f>O33-H33*LTP3!$D$4/k_n</f>
        <v/>
      </c>
      <c r="W33">
        <f>((LTP3!$D$5)*((P33)*(Q33)-(R33)*(R33))-(S33)*((S33)*(Q33)-(R33)*(T33))+(T33)*((S33)*(R33)-(P33)*(T33)))</f>
        <v/>
      </c>
      <c r="X33">
        <f>IF(ABS(W33)&gt;1E-12,((LTP3!$D$6)*((P33)*(Q33)-(R33)*(R33))-(S33)*((U33)*(Q33)-(R33)*(V33))+(T33)*((U33)*(R33)-(P33)*(V33)))/W33,0)</f>
        <v/>
      </c>
      <c r="Y33">
        <f>IF(ABS(W33)&gt;1E-12,((LTP3!$D$5)*((U33)*(Q33)-(R33)*(V33))-(LTP3!$D$6)*((S33)*(Q33)-(R33)*(T33))+(T33)*((S33)*(V33)-(U33)*(T33)))/W33,0)</f>
        <v/>
      </c>
      <c r="Z33">
        <f>IF(ABS(W33)&gt;1E-12,((LTP3!$D$5)*((P33)*(V33)-(U33)*(R33))-(S33)*((S33)*(V33)-(U33)*(T33))+(LTP3!$D$6)*((S33)*(R33)-(P33)*(T33)))/W33,0)</f>
        <v/>
      </c>
      <c r="AA33">
        <f>LTP3!$D$7-X33*LTP3!$D$6-Y33*U33-Z33*V33</f>
        <v/>
      </c>
      <c r="AB33">
        <f>IF(AND(F33,ABS(W33)&gt;1E-12,Y33&gt;0,Z33&gt;0),AA33,1E+300)</f>
        <v/>
      </c>
      <c r="AE33" t="inlineStr">
        <is>
          <t>RMSE</t>
        </is>
      </c>
      <c r="AF33">
        <f>IF(k_3ok,SQRT(MAX(0,LTP3!$AF$29)/k_n),"")</f>
        <v/>
      </c>
    </row>
    <row r="34">
      <c r="A34">
        <f>$B$3+$B$5*0</f>
        <v/>
      </c>
      <c r="B34">
        <f>$B$3+$B$5*22</f>
        <v/>
      </c>
      <c r="C34">
        <f>SUMPRODUCT(Calc!$K$3:$K$22*(Calc!$G$3:$G$22&lt;=A34))</f>
        <v/>
      </c>
      <c r="D34">
        <f>SUMPRODUCT(Calc!$K$3:$K$22*(Calc!$G$3:$G$22&gt;A34)*(Calc!$G$3:$G$22&lt;B34))</f>
        <v/>
      </c>
      <c r="E34">
        <f>SUMPRODUCT(Calc!$K$3:$K$22*(Calc!$G$3:$G$22&gt;=B34))</f>
        <v/>
      </c>
      <c r="F34">
        <f>AND(k_n&gt;=5,B34&gt;A34+1E-9,C34&gt;=2,D34&gt;=1,E34&gt;=2)</f>
        <v/>
      </c>
      <c r="G34">
        <f>SUMPRODUCT(Calc!$K$3:$K$22*(Calc!$G$3:$G$22&gt;A34)*(Calc!$G$3:$G$22-A34))</f>
        <v/>
      </c>
      <c r="H34">
        <f>SUMPRODUCT(Calc!$K$3:$K$22*(Calc!$G$3:$G$22&gt;B34)*(Calc!$G$3:$G$22-B34))</f>
        <v/>
      </c>
      <c r="I34">
        <f>SUMPRODUCT(Calc!$K$3:$K$22*(Calc!$G$3:$G$22&gt;A34)*(Calc!$G$3:$G$22-A34)^2)</f>
        <v/>
      </c>
      <c r="J34">
        <f>SUMPRODUCT(Calc!$K$3:$K$22*(Calc!$G$3:$G$22&gt;B34)*(Calc!$G$3:$G$22-B34)^2)</f>
        <v/>
      </c>
      <c r="K34">
        <f>SUMPRODUCT(Calc!$K$3:$K$22*(Calc!$G$3:$G$22&gt;A34)*(Calc!$G$3:$G$22-A34)*(Calc!$G$3:$G$22&gt;B34)*(Calc!$G$3:$G$22-B34))</f>
        <v/>
      </c>
      <c r="L34">
        <f>SUMPRODUCT(Calc!$K$3:$K$22*(Calc!$G$3:$G$22&gt;A34)*(Calc!$G$3:$G$22-A34)*Calc!$G$3:$G$22)</f>
        <v/>
      </c>
      <c r="M34">
        <f>SUMPRODUCT(Calc!$K$3:$K$22*(Calc!$G$3:$G$22&gt;B34)*(Calc!$G$3:$G$22-B34)*Calc!$G$3:$G$22)</f>
        <v/>
      </c>
      <c r="N34">
        <f>SUMPRODUCT(Calc!$K$3:$K$22*(Calc!$G$3:$G$22&gt;A34)*(Calc!$G$3:$G$22-A34)*Calc!$I$3:$I$22)</f>
        <v/>
      </c>
      <c r="O34">
        <f>SUMPRODUCT(Calc!$K$3:$K$22*(Calc!$G$3:$G$22&gt;B34)*(Calc!$G$3:$G$22-B34)*Calc!$I$3:$I$22)</f>
        <v/>
      </c>
      <c r="P34">
        <f>I34-G34^2/k_n</f>
        <v/>
      </c>
      <c r="Q34">
        <f>J34-H34^2/k_n</f>
        <v/>
      </c>
      <c r="R34">
        <f>K34-G34*H34/k_n</f>
        <v/>
      </c>
      <c r="S34">
        <f>L34-LTP3!$D$3*G34/k_n</f>
        <v/>
      </c>
      <c r="T34">
        <f>M34-LTP3!$D$3*H34/k_n</f>
        <v/>
      </c>
      <c r="U34">
        <f>N34-G34*LTP3!$D$4/k_n</f>
        <v/>
      </c>
      <c r="V34">
        <f>O34-H34*LTP3!$D$4/k_n</f>
        <v/>
      </c>
      <c r="W34">
        <f>((LTP3!$D$5)*((P34)*(Q34)-(R34)*(R34))-(S34)*((S34)*(Q34)-(R34)*(T34))+(T34)*((S34)*(R34)-(P34)*(T34)))</f>
        <v/>
      </c>
      <c r="X34">
        <f>IF(ABS(W34)&gt;1E-12,((LTP3!$D$6)*((P34)*(Q34)-(R34)*(R34))-(S34)*((U34)*(Q34)-(R34)*(V34))+(T34)*((U34)*(R34)-(P34)*(V34)))/W34,0)</f>
        <v/>
      </c>
      <c r="Y34">
        <f>IF(ABS(W34)&gt;1E-12,((LTP3!$D$5)*((U34)*(Q34)-(R34)*(V34))-(LTP3!$D$6)*((S34)*(Q34)-(R34)*(T34))+(T34)*((S34)*(V34)-(U34)*(T34)))/W34,0)</f>
        <v/>
      </c>
      <c r="Z34">
        <f>IF(ABS(W34)&gt;1E-12,((LTP3!$D$5)*((P34)*(V34)-(U34)*(R34))-(S34)*((S34)*(V34)-(U34)*(T34))+(LTP3!$D$6)*((S34)*(R34)-(P34)*(T34)))/W34,0)</f>
        <v/>
      </c>
      <c r="AA34">
        <f>LTP3!$D$7-X34*LTP3!$D$6-Y34*U34-Z34*V34</f>
        <v/>
      </c>
      <c r="AB34">
        <f>IF(AND(F34,ABS(W34)&gt;1E-12,Y34&gt;0,Z34&gt;0),AA34,1E+300)</f>
        <v/>
      </c>
      <c r="AE34" t="inlineStr">
        <is>
          <t>f(k1)</t>
        </is>
      </c>
      <c r="AF34">
        <f>LTP3!$AF$31+LTP3!$AF$26*AF3</f>
        <v/>
      </c>
    </row>
    <row r="35">
      <c r="A35">
        <f>$B$3+$B$5*0</f>
        <v/>
      </c>
      <c r="B35">
        <f>$B$3+$B$5*23</f>
        <v/>
      </c>
      <c r="C35">
        <f>SUMPRODUCT(Calc!$K$3:$K$22*(Calc!$G$3:$G$22&lt;=A35))</f>
        <v/>
      </c>
      <c r="D35">
        <f>SUMPRODUCT(Calc!$K$3:$K$22*(Calc!$G$3:$G$22&gt;A35)*(Calc!$G$3:$G$22&lt;B35))</f>
        <v/>
      </c>
      <c r="E35">
        <f>SUMPRODUCT(Calc!$K$3:$K$22*(Calc!$G$3:$G$22&gt;=B35))</f>
        <v/>
      </c>
      <c r="F35">
        <f>AND(k_n&gt;=5,B35&gt;A35+1E-9,C35&gt;=2,D35&gt;=1,E35&gt;=2)</f>
        <v/>
      </c>
      <c r="G35">
        <f>SUMPRODUCT(Calc!$K$3:$K$22*(Calc!$G$3:$G$22&gt;A35)*(Calc!$G$3:$G$22-A35))</f>
        <v/>
      </c>
      <c r="H35">
        <f>SUMPRODUCT(Calc!$K$3:$K$22*(Calc!$G$3:$G$22&gt;B35)*(Calc!$G$3:$G$22-B35))</f>
        <v/>
      </c>
      <c r="I35">
        <f>SUMPRODUCT(Calc!$K$3:$K$22*(Calc!$G$3:$G$22&gt;A35)*(Calc!$G$3:$G$22-A35)^2)</f>
        <v/>
      </c>
      <c r="J35">
        <f>SUMPRODUCT(Calc!$K$3:$K$22*(Calc!$G$3:$G$22&gt;B35)*(Calc!$G$3:$G$22-B35)^2)</f>
        <v/>
      </c>
      <c r="K35">
        <f>SUMPRODUCT(Calc!$K$3:$K$22*(Calc!$G$3:$G$22&gt;A35)*(Calc!$G$3:$G$22-A35)*(Calc!$G$3:$G$22&gt;B35)*(Calc!$G$3:$G$22-B35))</f>
        <v/>
      </c>
      <c r="L35">
        <f>SUMPRODUCT(Calc!$K$3:$K$22*(Calc!$G$3:$G$22&gt;A35)*(Calc!$G$3:$G$22-A35)*Calc!$G$3:$G$22)</f>
        <v/>
      </c>
      <c r="M35">
        <f>SUMPRODUCT(Calc!$K$3:$K$22*(Calc!$G$3:$G$22&gt;B35)*(Calc!$G$3:$G$22-B35)*Calc!$G$3:$G$22)</f>
        <v/>
      </c>
      <c r="N35">
        <f>SUMPRODUCT(Calc!$K$3:$K$22*(Calc!$G$3:$G$22&gt;A35)*(Calc!$G$3:$G$22-A35)*Calc!$I$3:$I$22)</f>
        <v/>
      </c>
      <c r="O35">
        <f>SUMPRODUCT(Calc!$K$3:$K$22*(Calc!$G$3:$G$22&gt;B35)*(Calc!$G$3:$G$22-B35)*Calc!$I$3:$I$22)</f>
        <v/>
      </c>
      <c r="P35">
        <f>I35-G35^2/k_n</f>
        <v/>
      </c>
      <c r="Q35">
        <f>J35-H35^2/k_n</f>
        <v/>
      </c>
      <c r="R35">
        <f>K35-G35*H35/k_n</f>
        <v/>
      </c>
      <c r="S35">
        <f>L35-LTP3!$D$3*G35/k_n</f>
        <v/>
      </c>
      <c r="T35">
        <f>M35-LTP3!$D$3*H35/k_n</f>
        <v/>
      </c>
      <c r="U35">
        <f>N35-G35*LTP3!$D$4/k_n</f>
        <v/>
      </c>
      <c r="V35">
        <f>O35-H35*LTP3!$D$4/k_n</f>
        <v/>
      </c>
      <c r="W35">
        <f>((LTP3!$D$5)*((P35)*(Q35)-(R35)*(R35))-(S35)*((S35)*(Q35)-(R35)*(T35))+(T35)*((S35)*(R35)-(P35)*(T35)))</f>
        <v/>
      </c>
      <c r="X35">
        <f>IF(ABS(W35)&gt;1E-12,((LTP3!$D$6)*((P35)*(Q35)-(R35)*(R35))-(S35)*((U35)*(Q35)-(R35)*(V35))+(T35)*((U35)*(R35)-(P35)*(V35)))/W35,0)</f>
        <v/>
      </c>
      <c r="Y35">
        <f>IF(ABS(W35)&gt;1E-12,((LTP3!$D$5)*((U35)*(Q35)-(R35)*(V35))-(LTP3!$D$6)*((S35)*(Q35)-(R35)*(T35))+(T35)*((S35)*(V35)-(U35)*(T35)))/W35,0)</f>
        <v/>
      </c>
      <c r="Z35">
        <f>IF(ABS(W35)&gt;1E-12,((LTP3!$D$5)*((P35)*(V35)-(U35)*(R35))-(S35)*((S35)*(V35)-(U35)*(T35))+(LTP3!$D$6)*((S35)*(R35)-(P35)*(T35)))/W35,0)</f>
        <v/>
      </c>
      <c r="AA35">
        <f>LTP3!$D$7-X35*LTP3!$D$6-Y35*U35-Z35*V35</f>
        <v/>
      </c>
      <c r="AB35">
        <f>IF(AND(F35,ABS(W35)&gt;1E-12,Y35&gt;0,Z35&gt;0),AA35,1E+300)</f>
        <v/>
      </c>
      <c r="AE35" t="inlineStr">
        <is>
          <t>f(k2)</t>
        </is>
      </c>
      <c r="AF35">
        <f>LTP3!$AF$31+LTP3!$AF$26*AF4+LTP3!$AF$27*(AF4-AF3)</f>
        <v/>
      </c>
    </row>
    <row r="36">
      <c r="A36">
        <f>$B$3+$B$5*0</f>
        <v/>
      </c>
      <c r="B36">
        <f>$B$3+$B$5*24</f>
        <v/>
      </c>
      <c r="C36">
        <f>SUMPRODUCT(Calc!$K$3:$K$22*(Calc!$G$3:$G$22&lt;=A36))</f>
        <v/>
      </c>
      <c r="D36">
        <f>SUMPRODUCT(Calc!$K$3:$K$22*(Calc!$G$3:$G$22&gt;A36)*(Calc!$G$3:$G$22&lt;B36))</f>
        <v/>
      </c>
      <c r="E36">
        <f>SUMPRODUCT(Calc!$K$3:$K$22*(Calc!$G$3:$G$22&gt;=B36))</f>
        <v/>
      </c>
      <c r="F36">
        <f>AND(k_n&gt;=5,B36&gt;A36+1E-9,C36&gt;=2,D36&gt;=1,E36&gt;=2)</f>
        <v/>
      </c>
      <c r="G36">
        <f>SUMPRODUCT(Calc!$K$3:$K$22*(Calc!$G$3:$G$22&gt;A36)*(Calc!$G$3:$G$22-A36))</f>
        <v/>
      </c>
      <c r="H36">
        <f>SUMPRODUCT(Calc!$K$3:$K$22*(Calc!$G$3:$G$22&gt;B36)*(Calc!$G$3:$G$22-B36))</f>
        <v/>
      </c>
      <c r="I36">
        <f>SUMPRODUCT(Calc!$K$3:$K$22*(Calc!$G$3:$G$22&gt;A36)*(Calc!$G$3:$G$22-A36)^2)</f>
        <v/>
      </c>
      <c r="J36">
        <f>SUMPRODUCT(Calc!$K$3:$K$22*(Calc!$G$3:$G$22&gt;B36)*(Calc!$G$3:$G$22-B36)^2)</f>
        <v/>
      </c>
      <c r="K36">
        <f>SUMPRODUCT(Calc!$K$3:$K$22*(Calc!$G$3:$G$22&gt;A36)*(Calc!$G$3:$G$22-A36)*(Calc!$G$3:$G$22&gt;B36)*(Calc!$G$3:$G$22-B36))</f>
        <v/>
      </c>
      <c r="L36">
        <f>SUMPRODUCT(Calc!$K$3:$K$22*(Calc!$G$3:$G$22&gt;A36)*(Calc!$G$3:$G$22-A36)*Calc!$G$3:$G$22)</f>
        <v/>
      </c>
      <c r="M36">
        <f>SUMPRODUCT(Calc!$K$3:$K$22*(Calc!$G$3:$G$22&gt;B36)*(Calc!$G$3:$G$22-B36)*Calc!$G$3:$G$22)</f>
        <v/>
      </c>
      <c r="N36">
        <f>SUMPRODUCT(Calc!$K$3:$K$22*(Calc!$G$3:$G$22&gt;A36)*(Calc!$G$3:$G$22-A36)*Calc!$I$3:$I$22)</f>
        <v/>
      </c>
      <c r="O36">
        <f>SUMPRODUCT(Calc!$K$3:$K$22*(Calc!$G$3:$G$22&gt;B36)*(Calc!$G$3:$G$22-B36)*Calc!$I$3:$I$22)</f>
        <v/>
      </c>
      <c r="P36">
        <f>I36-G36^2/k_n</f>
        <v/>
      </c>
      <c r="Q36">
        <f>J36-H36^2/k_n</f>
        <v/>
      </c>
      <c r="R36">
        <f>K36-G36*H36/k_n</f>
        <v/>
      </c>
      <c r="S36">
        <f>L36-LTP3!$D$3*G36/k_n</f>
        <v/>
      </c>
      <c r="T36">
        <f>M36-LTP3!$D$3*H36/k_n</f>
        <v/>
      </c>
      <c r="U36">
        <f>N36-G36*LTP3!$D$4/k_n</f>
        <v/>
      </c>
      <c r="V36">
        <f>O36-H36*LTP3!$D$4/k_n</f>
        <v/>
      </c>
      <c r="W36">
        <f>((LTP3!$D$5)*((P36)*(Q36)-(R36)*(R36))-(S36)*((S36)*(Q36)-(R36)*(T36))+(T36)*((S36)*(R36)-(P36)*(T36)))</f>
        <v/>
      </c>
      <c r="X36">
        <f>IF(ABS(W36)&gt;1E-12,((LTP3!$D$6)*((P36)*(Q36)-(R36)*(R36))-(S36)*((U36)*(Q36)-(R36)*(V36))+(T36)*((U36)*(R36)-(P36)*(V36)))/W36,0)</f>
        <v/>
      </c>
      <c r="Y36">
        <f>IF(ABS(W36)&gt;1E-12,((LTP3!$D$5)*((U36)*(Q36)-(R36)*(V36))-(LTP3!$D$6)*((S36)*(Q36)-(R36)*(T36))+(T36)*((S36)*(V36)-(U36)*(T36)))/W36,0)</f>
        <v/>
      </c>
      <c r="Z36">
        <f>IF(ABS(W36)&gt;1E-12,((LTP3!$D$5)*((P36)*(V36)-(U36)*(R36))-(S36)*((S36)*(V36)-(U36)*(T36))+(LTP3!$D$6)*((S36)*(R36)-(P36)*(T36)))/W36,0)</f>
        <v/>
      </c>
      <c r="AA36">
        <f>LTP3!$D$7-X36*LTP3!$D$6-Y36*U36-Z36*V36</f>
        <v/>
      </c>
      <c r="AB36">
        <f>IF(AND(F36,ABS(W36)&gt;1E-12,Y36&gt;0,Z36&gt;0),AA36,1E+300)</f>
        <v/>
      </c>
      <c r="AE36" t="inlineStr">
        <is>
          <t>s1</t>
        </is>
      </c>
      <c r="AF36">
        <f>LTP3!$AF$26</f>
        <v/>
      </c>
    </row>
    <row r="37">
      <c r="A37">
        <f>$B$3+$B$5*0</f>
        <v/>
      </c>
      <c r="B37">
        <f>$B$3+$B$5*25</f>
        <v/>
      </c>
      <c r="C37">
        <f>SUMPRODUCT(Calc!$K$3:$K$22*(Calc!$G$3:$G$22&lt;=A37))</f>
        <v/>
      </c>
      <c r="D37">
        <f>SUMPRODUCT(Calc!$K$3:$K$22*(Calc!$G$3:$G$22&gt;A37)*(Calc!$G$3:$G$22&lt;B37))</f>
        <v/>
      </c>
      <c r="E37">
        <f>SUMPRODUCT(Calc!$K$3:$K$22*(Calc!$G$3:$G$22&gt;=B37))</f>
        <v/>
      </c>
      <c r="F37">
        <f>AND(k_n&gt;=5,B37&gt;A37+1E-9,C37&gt;=2,D37&gt;=1,E37&gt;=2)</f>
        <v/>
      </c>
      <c r="G37">
        <f>SUMPRODUCT(Calc!$K$3:$K$22*(Calc!$G$3:$G$22&gt;A37)*(Calc!$G$3:$G$22-A37))</f>
        <v/>
      </c>
      <c r="H37">
        <f>SUMPRODUCT(Calc!$K$3:$K$22*(Calc!$G$3:$G$22&gt;B37)*(Calc!$G$3:$G$22-B37))</f>
        <v/>
      </c>
      <c r="I37">
        <f>SUMPRODUCT(Calc!$K$3:$K$22*(Calc!$G$3:$G$22&gt;A37)*(Calc!$G$3:$G$22-A37)^2)</f>
        <v/>
      </c>
      <c r="J37">
        <f>SUMPRODUCT(Calc!$K$3:$K$22*(Calc!$G$3:$G$22&gt;B37)*(Calc!$G$3:$G$22-B37)^2)</f>
        <v/>
      </c>
      <c r="K37">
        <f>SUMPRODUCT(Calc!$K$3:$K$22*(Calc!$G$3:$G$22&gt;A37)*(Calc!$G$3:$G$22-A37)*(Calc!$G$3:$G$22&gt;B37)*(Calc!$G$3:$G$22-B37))</f>
        <v/>
      </c>
      <c r="L37">
        <f>SUMPRODUCT(Calc!$K$3:$K$22*(Calc!$G$3:$G$22&gt;A37)*(Calc!$G$3:$G$22-A37)*Calc!$G$3:$G$22)</f>
        <v/>
      </c>
      <c r="M37">
        <f>SUMPRODUCT(Calc!$K$3:$K$22*(Calc!$G$3:$G$22&gt;B37)*(Calc!$G$3:$G$22-B37)*Calc!$G$3:$G$22)</f>
        <v/>
      </c>
      <c r="N37">
        <f>SUMPRODUCT(Calc!$K$3:$K$22*(Calc!$G$3:$G$22&gt;A37)*(Calc!$G$3:$G$22-A37)*Calc!$I$3:$I$22)</f>
        <v/>
      </c>
      <c r="O37">
        <f>SUMPRODUCT(Calc!$K$3:$K$22*(Calc!$G$3:$G$22&gt;B37)*(Calc!$G$3:$G$22-B37)*Calc!$I$3:$I$22)</f>
        <v/>
      </c>
      <c r="P37">
        <f>I37-G37^2/k_n</f>
        <v/>
      </c>
      <c r="Q37">
        <f>J37-H37^2/k_n</f>
        <v/>
      </c>
      <c r="R37">
        <f>K37-G37*H37/k_n</f>
        <v/>
      </c>
      <c r="S37">
        <f>L37-LTP3!$D$3*G37/k_n</f>
        <v/>
      </c>
      <c r="T37">
        <f>M37-LTP3!$D$3*H37/k_n</f>
        <v/>
      </c>
      <c r="U37">
        <f>N37-G37*LTP3!$D$4/k_n</f>
        <v/>
      </c>
      <c r="V37">
        <f>O37-H37*LTP3!$D$4/k_n</f>
        <v/>
      </c>
      <c r="W37">
        <f>((LTP3!$D$5)*((P37)*(Q37)-(R37)*(R37))-(S37)*((S37)*(Q37)-(R37)*(T37))+(T37)*((S37)*(R37)-(P37)*(T37)))</f>
        <v/>
      </c>
      <c r="X37">
        <f>IF(ABS(W37)&gt;1E-12,((LTP3!$D$6)*((P37)*(Q37)-(R37)*(R37))-(S37)*((U37)*(Q37)-(R37)*(V37))+(T37)*((U37)*(R37)-(P37)*(V37)))/W37,0)</f>
        <v/>
      </c>
      <c r="Y37">
        <f>IF(ABS(W37)&gt;1E-12,((LTP3!$D$5)*((U37)*(Q37)-(R37)*(V37))-(LTP3!$D$6)*((S37)*(Q37)-(R37)*(T37))+(T37)*((S37)*(V37)-(U37)*(T37)))/W37,0)</f>
        <v/>
      </c>
      <c r="Z37">
        <f>IF(ABS(W37)&gt;1E-12,((LTP3!$D$5)*((P37)*(V37)-(U37)*(R37))-(S37)*((S37)*(V37)-(U37)*(T37))+(LTP3!$D$6)*((S37)*(R37)-(P37)*(T37)))/W37,0)</f>
        <v/>
      </c>
      <c r="AA37">
        <f>LTP3!$D$7-X37*LTP3!$D$6-Y37*U37-Z37*V37</f>
        <v/>
      </c>
      <c r="AB37">
        <f>IF(AND(F37,ABS(W37)&gt;1E-12,Y37&gt;0,Z37&gt;0),AA37,1E+300)</f>
        <v/>
      </c>
      <c r="AE37" t="inlineStr">
        <is>
          <t>s2</t>
        </is>
      </c>
      <c r="AF37">
        <f>LTP3!$AF$26+LTP3!$AF$27</f>
        <v/>
      </c>
    </row>
    <row r="38">
      <c r="A38">
        <f>$B$3+$B$5*0</f>
        <v/>
      </c>
      <c r="B38">
        <f>$B$3+$B$5*26</f>
        <v/>
      </c>
      <c r="C38">
        <f>SUMPRODUCT(Calc!$K$3:$K$22*(Calc!$G$3:$G$22&lt;=A38))</f>
        <v/>
      </c>
      <c r="D38">
        <f>SUMPRODUCT(Calc!$K$3:$K$22*(Calc!$G$3:$G$22&gt;A38)*(Calc!$G$3:$G$22&lt;B38))</f>
        <v/>
      </c>
      <c r="E38">
        <f>SUMPRODUCT(Calc!$K$3:$K$22*(Calc!$G$3:$G$22&gt;=B38))</f>
        <v/>
      </c>
      <c r="F38">
        <f>AND(k_n&gt;=5,B38&gt;A38+1E-9,C38&gt;=2,D38&gt;=1,E38&gt;=2)</f>
        <v/>
      </c>
      <c r="G38">
        <f>SUMPRODUCT(Calc!$K$3:$K$22*(Calc!$G$3:$G$22&gt;A38)*(Calc!$G$3:$G$22-A38))</f>
        <v/>
      </c>
      <c r="H38">
        <f>SUMPRODUCT(Calc!$K$3:$K$22*(Calc!$G$3:$G$22&gt;B38)*(Calc!$G$3:$G$22-B38))</f>
        <v/>
      </c>
      <c r="I38">
        <f>SUMPRODUCT(Calc!$K$3:$K$22*(Calc!$G$3:$G$22&gt;A38)*(Calc!$G$3:$G$22-A38)^2)</f>
        <v/>
      </c>
      <c r="J38">
        <f>SUMPRODUCT(Calc!$K$3:$K$22*(Calc!$G$3:$G$22&gt;B38)*(Calc!$G$3:$G$22-B38)^2)</f>
        <v/>
      </c>
      <c r="K38">
        <f>SUMPRODUCT(Calc!$K$3:$K$22*(Calc!$G$3:$G$22&gt;A38)*(Calc!$G$3:$G$22-A38)*(Calc!$G$3:$G$22&gt;B38)*(Calc!$G$3:$G$22-B38))</f>
        <v/>
      </c>
      <c r="L38">
        <f>SUMPRODUCT(Calc!$K$3:$K$22*(Calc!$G$3:$G$22&gt;A38)*(Calc!$G$3:$G$22-A38)*Calc!$G$3:$G$22)</f>
        <v/>
      </c>
      <c r="M38">
        <f>SUMPRODUCT(Calc!$K$3:$K$22*(Calc!$G$3:$G$22&gt;B38)*(Calc!$G$3:$G$22-B38)*Calc!$G$3:$G$22)</f>
        <v/>
      </c>
      <c r="N38">
        <f>SUMPRODUCT(Calc!$K$3:$K$22*(Calc!$G$3:$G$22&gt;A38)*(Calc!$G$3:$G$22-A38)*Calc!$I$3:$I$22)</f>
        <v/>
      </c>
      <c r="O38">
        <f>SUMPRODUCT(Calc!$K$3:$K$22*(Calc!$G$3:$G$22&gt;B38)*(Calc!$G$3:$G$22-B38)*Calc!$I$3:$I$22)</f>
        <v/>
      </c>
      <c r="P38">
        <f>I38-G38^2/k_n</f>
        <v/>
      </c>
      <c r="Q38">
        <f>J38-H38^2/k_n</f>
        <v/>
      </c>
      <c r="R38">
        <f>K38-G38*H38/k_n</f>
        <v/>
      </c>
      <c r="S38">
        <f>L38-LTP3!$D$3*G38/k_n</f>
        <v/>
      </c>
      <c r="T38">
        <f>M38-LTP3!$D$3*H38/k_n</f>
        <v/>
      </c>
      <c r="U38">
        <f>N38-G38*LTP3!$D$4/k_n</f>
        <v/>
      </c>
      <c r="V38">
        <f>O38-H38*LTP3!$D$4/k_n</f>
        <v/>
      </c>
      <c r="W38">
        <f>((LTP3!$D$5)*((P38)*(Q38)-(R38)*(R38))-(S38)*((S38)*(Q38)-(R38)*(T38))+(T38)*((S38)*(R38)-(P38)*(T38)))</f>
        <v/>
      </c>
      <c r="X38">
        <f>IF(ABS(W38)&gt;1E-12,((LTP3!$D$6)*((P38)*(Q38)-(R38)*(R38))-(S38)*((U38)*(Q38)-(R38)*(V38))+(T38)*((U38)*(R38)-(P38)*(V38)))/W38,0)</f>
        <v/>
      </c>
      <c r="Y38">
        <f>IF(ABS(W38)&gt;1E-12,((LTP3!$D$5)*((U38)*(Q38)-(R38)*(V38))-(LTP3!$D$6)*((S38)*(Q38)-(R38)*(T38))+(T38)*((S38)*(V38)-(U38)*(T38)))/W38,0)</f>
        <v/>
      </c>
      <c r="Z38">
        <f>IF(ABS(W38)&gt;1E-12,((LTP3!$D$5)*((P38)*(V38)-(U38)*(R38))-(S38)*((S38)*(V38)-(U38)*(T38))+(LTP3!$D$6)*((S38)*(R38)-(P38)*(T38)))/W38,0)</f>
        <v/>
      </c>
      <c r="AA38">
        <f>LTP3!$D$7-X38*LTP3!$D$6-Y38*U38-Z38*V38</f>
        <v/>
      </c>
      <c r="AB38">
        <f>IF(AND(F38,ABS(W38)&gt;1E-12,Y38&gt;0,Z38&gt;0),AA38,1E+300)</f>
        <v/>
      </c>
      <c r="AE38" t="inlineStr">
        <is>
          <t>s3</t>
        </is>
      </c>
      <c r="AF38">
        <f>LTP3!$AF$26+LTP3!$AF$27+LTP3!$AF$28</f>
        <v/>
      </c>
    </row>
    <row r="39">
      <c r="A39">
        <f>$B$3+$B$5*0</f>
        <v/>
      </c>
      <c r="B39">
        <f>$B$3+$B$5*27</f>
        <v/>
      </c>
      <c r="C39">
        <f>SUMPRODUCT(Calc!$K$3:$K$22*(Calc!$G$3:$G$22&lt;=A39))</f>
        <v/>
      </c>
      <c r="D39">
        <f>SUMPRODUCT(Calc!$K$3:$K$22*(Calc!$G$3:$G$22&gt;A39)*(Calc!$G$3:$G$22&lt;B39))</f>
        <v/>
      </c>
      <c r="E39">
        <f>SUMPRODUCT(Calc!$K$3:$K$22*(Calc!$G$3:$G$22&gt;=B39))</f>
        <v/>
      </c>
      <c r="F39">
        <f>AND(k_n&gt;=5,B39&gt;A39+1E-9,C39&gt;=2,D39&gt;=1,E39&gt;=2)</f>
        <v/>
      </c>
      <c r="G39">
        <f>SUMPRODUCT(Calc!$K$3:$K$22*(Calc!$G$3:$G$22&gt;A39)*(Calc!$G$3:$G$22-A39))</f>
        <v/>
      </c>
      <c r="H39">
        <f>SUMPRODUCT(Calc!$K$3:$K$22*(Calc!$G$3:$G$22&gt;B39)*(Calc!$G$3:$G$22-B39))</f>
        <v/>
      </c>
      <c r="I39">
        <f>SUMPRODUCT(Calc!$K$3:$K$22*(Calc!$G$3:$G$22&gt;A39)*(Calc!$G$3:$G$22-A39)^2)</f>
        <v/>
      </c>
      <c r="J39">
        <f>SUMPRODUCT(Calc!$K$3:$K$22*(Calc!$G$3:$G$22&gt;B39)*(Calc!$G$3:$G$22-B39)^2)</f>
        <v/>
      </c>
      <c r="K39">
        <f>SUMPRODUCT(Calc!$K$3:$K$22*(Calc!$G$3:$G$22&gt;A39)*(Calc!$G$3:$G$22-A39)*(Calc!$G$3:$G$22&gt;B39)*(Calc!$G$3:$G$22-B39))</f>
        <v/>
      </c>
      <c r="L39">
        <f>SUMPRODUCT(Calc!$K$3:$K$22*(Calc!$G$3:$G$22&gt;A39)*(Calc!$G$3:$G$22-A39)*Calc!$G$3:$G$22)</f>
        <v/>
      </c>
      <c r="M39">
        <f>SUMPRODUCT(Calc!$K$3:$K$22*(Calc!$G$3:$G$22&gt;B39)*(Calc!$G$3:$G$22-B39)*Calc!$G$3:$G$22)</f>
        <v/>
      </c>
      <c r="N39">
        <f>SUMPRODUCT(Calc!$K$3:$K$22*(Calc!$G$3:$G$22&gt;A39)*(Calc!$G$3:$G$22-A39)*Calc!$I$3:$I$22)</f>
        <v/>
      </c>
      <c r="O39">
        <f>SUMPRODUCT(Calc!$K$3:$K$22*(Calc!$G$3:$G$22&gt;B39)*(Calc!$G$3:$G$22-B39)*Calc!$I$3:$I$22)</f>
        <v/>
      </c>
      <c r="P39">
        <f>I39-G39^2/k_n</f>
        <v/>
      </c>
      <c r="Q39">
        <f>J39-H39^2/k_n</f>
        <v/>
      </c>
      <c r="R39">
        <f>K39-G39*H39/k_n</f>
        <v/>
      </c>
      <c r="S39">
        <f>L39-LTP3!$D$3*G39/k_n</f>
        <v/>
      </c>
      <c r="T39">
        <f>M39-LTP3!$D$3*H39/k_n</f>
        <v/>
      </c>
      <c r="U39">
        <f>N39-G39*LTP3!$D$4/k_n</f>
        <v/>
      </c>
      <c r="V39">
        <f>O39-H39*LTP3!$D$4/k_n</f>
        <v/>
      </c>
      <c r="W39">
        <f>((LTP3!$D$5)*((P39)*(Q39)-(R39)*(R39))-(S39)*((S39)*(Q39)-(R39)*(T39))+(T39)*((S39)*(R39)-(P39)*(T39)))</f>
        <v/>
      </c>
      <c r="X39">
        <f>IF(ABS(W39)&gt;1E-12,((LTP3!$D$6)*((P39)*(Q39)-(R39)*(R39))-(S39)*((U39)*(Q39)-(R39)*(V39))+(T39)*((U39)*(R39)-(P39)*(V39)))/W39,0)</f>
        <v/>
      </c>
      <c r="Y39">
        <f>IF(ABS(W39)&gt;1E-12,((LTP3!$D$5)*((U39)*(Q39)-(R39)*(V39))-(LTP3!$D$6)*((S39)*(Q39)-(R39)*(T39))+(T39)*((S39)*(V39)-(U39)*(T39)))/W39,0)</f>
        <v/>
      </c>
      <c r="Z39">
        <f>IF(ABS(W39)&gt;1E-12,((LTP3!$D$5)*((P39)*(V39)-(U39)*(R39))-(S39)*((S39)*(V39)-(U39)*(T39))+(LTP3!$D$6)*((S39)*(R39)-(P39)*(T39)))/W39,0)</f>
        <v/>
      </c>
      <c r="AA39">
        <f>LTP3!$D$7-X39*LTP3!$D$6-Y39*U39-Z39*V39</f>
        <v/>
      </c>
      <c r="AB39">
        <f>IF(AND(F39,ABS(W39)&gt;1E-12,Y39&gt;0,Z39&gt;0),AA39,1E+300)</f>
        <v/>
      </c>
    </row>
    <row r="40">
      <c r="A40">
        <f>$B$3+$B$5*0</f>
        <v/>
      </c>
      <c r="B40">
        <f>$B$3+$B$5*28</f>
        <v/>
      </c>
      <c r="C40">
        <f>SUMPRODUCT(Calc!$K$3:$K$22*(Calc!$G$3:$G$22&lt;=A40))</f>
        <v/>
      </c>
      <c r="D40">
        <f>SUMPRODUCT(Calc!$K$3:$K$22*(Calc!$G$3:$G$22&gt;A40)*(Calc!$G$3:$G$22&lt;B40))</f>
        <v/>
      </c>
      <c r="E40">
        <f>SUMPRODUCT(Calc!$K$3:$K$22*(Calc!$G$3:$G$22&gt;=B40))</f>
        <v/>
      </c>
      <c r="F40">
        <f>AND(k_n&gt;=5,B40&gt;A40+1E-9,C40&gt;=2,D40&gt;=1,E40&gt;=2)</f>
        <v/>
      </c>
      <c r="G40">
        <f>SUMPRODUCT(Calc!$K$3:$K$22*(Calc!$G$3:$G$22&gt;A40)*(Calc!$G$3:$G$22-A40))</f>
        <v/>
      </c>
      <c r="H40">
        <f>SUMPRODUCT(Calc!$K$3:$K$22*(Calc!$G$3:$G$22&gt;B40)*(Calc!$G$3:$G$22-B40))</f>
        <v/>
      </c>
      <c r="I40">
        <f>SUMPRODUCT(Calc!$K$3:$K$22*(Calc!$G$3:$G$22&gt;A40)*(Calc!$G$3:$G$22-A40)^2)</f>
        <v/>
      </c>
      <c r="J40">
        <f>SUMPRODUCT(Calc!$K$3:$K$22*(Calc!$G$3:$G$22&gt;B40)*(Calc!$G$3:$G$22-B40)^2)</f>
        <v/>
      </c>
      <c r="K40">
        <f>SUMPRODUCT(Calc!$K$3:$K$22*(Calc!$G$3:$G$22&gt;A40)*(Calc!$G$3:$G$22-A40)*(Calc!$G$3:$G$22&gt;B40)*(Calc!$G$3:$G$22-B40))</f>
        <v/>
      </c>
      <c r="L40">
        <f>SUMPRODUCT(Calc!$K$3:$K$22*(Calc!$G$3:$G$22&gt;A40)*(Calc!$G$3:$G$22-A40)*Calc!$G$3:$G$22)</f>
        <v/>
      </c>
      <c r="M40">
        <f>SUMPRODUCT(Calc!$K$3:$K$22*(Calc!$G$3:$G$22&gt;B40)*(Calc!$G$3:$G$22-B40)*Calc!$G$3:$G$22)</f>
        <v/>
      </c>
      <c r="N40">
        <f>SUMPRODUCT(Calc!$K$3:$K$22*(Calc!$G$3:$G$22&gt;A40)*(Calc!$G$3:$G$22-A40)*Calc!$I$3:$I$22)</f>
        <v/>
      </c>
      <c r="O40">
        <f>SUMPRODUCT(Calc!$K$3:$K$22*(Calc!$G$3:$G$22&gt;B40)*(Calc!$G$3:$G$22-B40)*Calc!$I$3:$I$22)</f>
        <v/>
      </c>
      <c r="P40">
        <f>I40-G40^2/k_n</f>
        <v/>
      </c>
      <c r="Q40">
        <f>J40-H40^2/k_n</f>
        <v/>
      </c>
      <c r="R40">
        <f>K40-G40*H40/k_n</f>
        <v/>
      </c>
      <c r="S40">
        <f>L40-LTP3!$D$3*G40/k_n</f>
        <v/>
      </c>
      <c r="T40">
        <f>M40-LTP3!$D$3*H40/k_n</f>
        <v/>
      </c>
      <c r="U40">
        <f>N40-G40*LTP3!$D$4/k_n</f>
        <v/>
      </c>
      <c r="V40">
        <f>O40-H40*LTP3!$D$4/k_n</f>
        <v/>
      </c>
      <c r="W40">
        <f>((LTP3!$D$5)*((P40)*(Q40)-(R40)*(R40))-(S40)*((S40)*(Q40)-(R40)*(T40))+(T40)*((S40)*(R40)-(P40)*(T40)))</f>
        <v/>
      </c>
      <c r="X40">
        <f>IF(ABS(W40)&gt;1E-12,((LTP3!$D$6)*((P40)*(Q40)-(R40)*(R40))-(S40)*((U40)*(Q40)-(R40)*(V40))+(T40)*((U40)*(R40)-(P40)*(V40)))/W40,0)</f>
        <v/>
      </c>
      <c r="Y40">
        <f>IF(ABS(W40)&gt;1E-12,((LTP3!$D$5)*((U40)*(Q40)-(R40)*(V40))-(LTP3!$D$6)*((S40)*(Q40)-(R40)*(T40))+(T40)*((S40)*(V40)-(U40)*(T40)))/W40,0)</f>
        <v/>
      </c>
      <c r="Z40">
        <f>IF(ABS(W40)&gt;1E-12,((LTP3!$D$5)*((P40)*(V40)-(U40)*(R40))-(S40)*((S40)*(V40)-(U40)*(T40))+(LTP3!$D$6)*((S40)*(R40)-(P40)*(T40)))/W40,0)</f>
        <v/>
      </c>
      <c r="AA40">
        <f>LTP3!$D$7-X40*LTP3!$D$6-Y40*U40-Z40*V40</f>
        <v/>
      </c>
      <c r="AB40">
        <f>IF(AND(F40,ABS(W40)&gt;1E-12,Y40&gt;0,Z40&gt;0),AA40,1E+300)</f>
        <v/>
      </c>
    </row>
    <row r="41">
      <c r="A41">
        <f>$B$3+$B$5*0</f>
        <v/>
      </c>
      <c r="B41">
        <f>$B$3+$B$5*29</f>
        <v/>
      </c>
      <c r="C41">
        <f>SUMPRODUCT(Calc!$K$3:$K$22*(Calc!$G$3:$G$22&lt;=A41))</f>
        <v/>
      </c>
      <c r="D41">
        <f>SUMPRODUCT(Calc!$K$3:$K$22*(Calc!$G$3:$G$22&gt;A41)*(Calc!$G$3:$G$22&lt;B41))</f>
        <v/>
      </c>
      <c r="E41">
        <f>SUMPRODUCT(Calc!$K$3:$K$22*(Calc!$G$3:$G$22&gt;=B41))</f>
        <v/>
      </c>
      <c r="F41">
        <f>AND(k_n&gt;=5,B41&gt;A41+1E-9,C41&gt;=2,D41&gt;=1,E41&gt;=2)</f>
        <v/>
      </c>
      <c r="G41">
        <f>SUMPRODUCT(Calc!$K$3:$K$22*(Calc!$G$3:$G$22&gt;A41)*(Calc!$G$3:$G$22-A41))</f>
        <v/>
      </c>
      <c r="H41">
        <f>SUMPRODUCT(Calc!$K$3:$K$22*(Calc!$G$3:$G$22&gt;B41)*(Calc!$G$3:$G$22-B41))</f>
        <v/>
      </c>
      <c r="I41">
        <f>SUMPRODUCT(Calc!$K$3:$K$22*(Calc!$G$3:$G$22&gt;A41)*(Calc!$G$3:$G$22-A41)^2)</f>
        <v/>
      </c>
      <c r="J41">
        <f>SUMPRODUCT(Calc!$K$3:$K$22*(Calc!$G$3:$G$22&gt;B41)*(Calc!$G$3:$G$22-B41)^2)</f>
        <v/>
      </c>
      <c r="K41">
        <f>SUMPRODUCT(Calc!$K$3:$K$22*(Calc!$G$3:$G$22&gt;A41)*(Calc!$G$3:$G$22-A41)*(Calc!$G$3:$G$22&gt;B41)*(Calc!$G$3:$G$22-B41))</f>
        <v/>
      </c>
      <c r="L41">
        <f>SUMPRODUCT(Calc!$K$3:$K$22*(Calc!$G$3:$G$22&gt;A41)*(Calc!$G$3:$G$22-A41)*Calc!$G$3:$G$22)</f>
        <v/>
      </c>
      <c r="M41">
        <f>SUMPRODUCT(Calc!$K$3:$K$22*(Calc!$G$3:$G$22&gt;B41)*(Calc!$G$3:$G$22-B41)*Calc!$G$3:$G$22)</f>
        <v/>
      </c>
      <c r="N41">
        <f>SUMPRODUCT(Calc!$K$3:$K$22*(Calc!$G$3:$G$22&gt;A41)*(Calc!$G$3:$G$22-A41)*Calc!$I$3:$I$22)</f>
        <v/>
      </c>
      <c r="O41">
        <f>SUMPRODUCT(Calc!$K$3:$K$22*(Calc!$G$3:$G$22&gt;B41)*(Calc!$G$3:$G$22-B41)*Calc!$I$3:$I$22)</f>
        <v/>
      </c>
      <c r="P41">
        <f>I41-G41^2/k_n</f>
        <v/>
      </c>
      <c r="Q41">
        <f>J41-H41^2/k_n</f>
        <v/>
      </c>
      <c r="R41">
        <f>K41-G41*H41/k_n</f>
        <v/>
      </c>
      <c r="S41">
        <f>L41-LTP3!$D$3*G41/k_n</f>
        <v/>
      </c>
      <c r="T41">
        <f>M41-LTP3!$D$3*H41/k_n</f>
        <v/>
      </c>
      <c r="U41">
        <f>N41-G41*LTP3!$D$4/k_n</f>
        <v/>
      </c>
      <c r="V41">
        <f>O41-H41*LTP3!$D$4/k_n</f>
        <v/>
      </c>
      <c r="W41">
        <f>((LTP3!$D$5)*((P41)*(Q41)-(R41)*(R41))-(S41)*((S41)*(Q41)-(R41)*(T41))+(T41)*((S41)*(R41)-(P41)*(T41)))</f>
        <v/>
      </c>
      <c r="X41">
        <f>IF(ABS(W41)&gt;1E-12,((LTP3!$D$6)*((P41)*(Q41)-(R41)*(R41))-(S41)*((U41)*(Q41)-(R41)*(V41))+(T41)*((U41)*(R41)-(P41)*(V41)))/W41,0)</f>
        <v/>
      </c>
      <c r="Y41">
        <f>IF(ABS(W41)&gt;1E-12,((LTP3!$D$5)*((U41)*(Q41)-(R41)*(V41))-(LTP3!$D$6)*((S41)*(Q41)-(R41)*(T41))+(T41)*((S41)*(V41)-(U41)*(T41)))/W41,0)</f>
        <v/>
      </c>
      <c r="Z41">
        <f>IF(ABS(W41)&gt;1E-12,((LTP3!$D$5)*((P41)*(V41)-(U41)*(R41))-(S41)*((S41)*(V41)-(U41)*(T41))+(LTP3!$D$6)*((S41)*(R41)-(P41)*(T41)))/W41,0)</f>
        <v/>
      </c>
      <c r="AA41">
        <f>LTP3!$D$7-X41*LTP3!$D$6-Y41*U41-Z41*V41</f>
        <v/>
      </c>
      <c r="AB41">
        <f>IF(AND(F41,ABS(W41)&gt;1E-12,Y41&gt;0,Z41&gt;0),AA41,1E+300)</f>
        <v/>
      </c>
    </row>
    <row r="42">
      <c r="A42">
        <f>$B$3+$B$5*0</f>
        <v/>
      </c>
      <c r="B42">
        <f>$B$3+$B$5*30</f>
        <v/>
      </c>
      <c r="C42">
        <f>SUMPRODUCT(Calc!$K$3:$K$22*(Calc!$G$3:$G$22&lt;=A42))</f>
        <v/>
      </c>
      <c r="D42">
        <f>SUMPRODUCT(Calc!$K$3:$K$22*(Calc!$G$3:$G$22&gt;A42)*(Calc!$G$3:$G$22&lt;B42))</f>
        <v/>
      </c>
      <c r="E42">
        <f>SUMPRODUCT(Calc!$K$3:$K$22*(Calc!$G$3:$G$22&gt;=B42))</f>
        <v/>
      </c>
      <c r="F42">
        <f>AND(k_n&gt;=5,B42&gt;A42+1E-9,C42&gt;=2,D42&gt;=1,E42&gt;=2)</f>
        <v/>
      </c>
      <c r="G42">
        <f>SUMPRODUCT(Calc!$K$3:$K$22*(Calc!$G$3:$G$22&gt;A42)*(Calc!$G$3:$G$22-A42))</f>
        <v/>
      </c>
      <c r="H42">
        <f>SUMPRODUCT(Calc!$K$3:$K$22*(Calc!$G$3:$G$22&gt;B42)*(Calc!$G$3:$G$22-B42))</f>
        <v/>
      </c>
      <c r="I42">
        <f>SUMPRODUCT(Calc!$K$3:$K$22*(Calc!$G$3:$G$22&gt;A42)*(Calc!$G$3:$G$22-A42)^2)</f>
        <v/>
      </c>
      <c r="J42">
        <f>SUMPRODUCT(Calc!$K$3:$K$22*(Calc!$G$3:$G$22&gt;B42)*(Calc!$G$3:$G$22-B42)^2)</f>
        <v/>
      </c>
      <c r="K42">
        <f>SUMPRODUCT(Calc!$K$3:$K$22*(Calc!$G$3:$G$22&gt;A42)*(Calc!$G$3:$G$22-A42)*(Calc!$G$3:$G$22&gt;B42)*(Calc!$G$3:$G$22-B42))</f>
        <v/>
      </c>
      <c r="L42">
        <f>SUMPRODUCT(Calc!$K$3:$K$22*(Calc!$G$3:$G$22&gt;A42)*(Calc!$G$3:$G$22-A42)*Calc!$G$3:$G$22)</f>
        <v/>
      </c>
      <c r="M42">
        <f>SUMPRODUCT(Calc!$K$3:$K$22*(Calc!$G$3:$G$22&gt;B42)*(Calc!$G$3:$G$22-B42)*Calc!$G$3:$G$22)</f>
        <v/>
      </c>
      <c r="N42">
        <f>SUMPRODUCT(Calc!$K$3:$K$22*(Calc!$G$3:$G$22&gt;A42)*(Calc!$G$3:$G$22-A42)*Calc!$I$3:$I$22)</f>
        <v/>
      </c>
      <c r="O42">
        <f>SUMPRODUCT(Calc!$K$3:$K$22*(Calc!$G$3:$G$22&gt;B42)*(Calc!$G$3:$G$22-B42)*Calc!$I$3:$I$22)</f>
        <v/>
      </c>
      <c r="P42">
        <f>I42-G42^2/k_n</f>
        <v/>
      </c>
      <c r="Q42">
        <f>J42-H42^2/k_n</f>
        <v/>
      </c>
      <c r="R42">
        <f>K42-G42*H42/k_n</f>
        <v/>
      </c>
      <c r="S42">
        <f>L42-LTP3!$D$3*G42/k_n</f>
        <v/>
      </c>
      <c r="T42">
        <f>M42-LTP3!$D$3*H42/k_n</f>
        <v/>
      </c>
      <c r="U42">
        <f>N42-G42*LTP3!$D$4/k_n</f>
        <v/>
      </c>
      <c r="V42">
        <f>O42-H42*LTP3!$D$4/k_n</f>
        <v/>
      </c>
      <c r="W42">
        <f>((LTP3!$D$5)*((P42)*(Q42)-(R42)*(R42))-(S42)*((S42)*(Q42)-(R42)*(T42))+(T42)*((S42)*(R42)-(P42)*(T42)))</f>
        <v/>
      </c>
      <c r="X42">
        <f>IF(ABS(W42)&gt;1E-12,((LTP3!$D$6)*((P42)*(Q42)-(R42)*(R42))-(S42)*((U42)*(Q42)-(R42)*(V42))+(T42)*((U42)*(R42)-(P42)*(V42)))/W42,0)</f>
        <v/>
      </c>
      <c r="Y42">
        <f>IF(ABS(W42)&gt;1E-12,((LTP3!$D$5)*((U42)*(Q42)-(R42)*(V42))-(LTP3!$D$6)*((S42)*(Q42)-(R42)*(T42))+(T42)*((S42)*(V42)-(U42)*(T42)))/W42,0)</f>
        <v/>
      </c>
      <c r="Z42">
        <f>IF(ABS(W42)&gt;1E-12,((LTP3!$D$5)*((P42)*(V42)-(U42)*(R42))-(S42)*((S42)*(V42)-(U42)*(T42))+(LTP3!$D$6)*((S42)*(R42)-(P42)*(T42)))/W42,0)</f>
        <v/>
      </c>
      <c r="AA42">
        <f>LTP3!$D$7-X42*LTP3!$D$6-Y42*U42-Z42*V42</f>
        <v/>
      </c>
      <c r="AB42">
        <f>IF(AND(F42,ABS(W42)&gt;1E-12,Y42&gt;0,Z42&gt;0),AA42,1E+300)</f>
        <v/>
      </c>
    </row>
    <row r="43">
      <c r="A43">
        <f>$B$3+$B$5*0</f>
        <v/>
      </c>
      <c r="B43">
        <f>$B$3+$B$5*31</f>
        <v/>
      </c>
      <c r="C43">
        <f>SUMPRODUCT(Calc!$K$3:$K$22*(Calc!$G$3:$G$22&lt;=A43))</f>
        <v/>
      </c>
      <c r="D43">
        <f>SUMPRODUCT(Calc!$K$3:$K$22*(Calc!$G$3:$G$22&gt;A43)*(Calc!$G$3:$G$22&lt;B43))</f>
        <v/>
      </c>
      <c r="E43">
        <f>SUMPRODUCT(Calc!$K$3:$K$22*(Calc!$G$3:$G$22&gt;=B43))</f>
        <v/>
      </c>
      <c r="F43">
        <f>AND(k_n&gt;=5,B43&gt;A43+1E-9,C43&gt;=2,D43&gt;=1,E43&gt;=2)</f>
        <v/>
      </c>
      <c r="G43">
        <f>SUMPRODUCT(Calc!$K$3:$K$22*(Calc!$G$3:$G$22&gt;A43)*(Calc!$G$3:$G$22-A43))</f>
        <v/>
      </c>
      <c r="H43">
        <f>SUMPRODUCT(Calc!$K$3:$K$22*(Calc!$G$3:$G$22&gt;B43)*(Calc!$G$3:$G$22-B43))</f>
        <v/>
      </c>
      <c r="I43">
        <f>SUMPRODUCT(Calc!$K$3:$K$22*(Calc!$G$3:$G$22&gt;A43)*(Calc!$G$3:$G$22-A43)^2)</f>
        <v/>
      </c>
      <c r="J43">
        <f>SUMPRODUCT(Calc!$K$3:$K$22*(Calc!$G$3:$G$22&gt;B43)*(Calc!$G$3:$G$22-B43)^2)</f>
        <v/>
      </c>
      <c r="K43">
        <f>SUMPRODUCT(Calc!$K$3:$K$22*(Calc!$G$3:$G$22&gt;A43)*(Calc!$G$3:$G$22-A43)*(Calc!$G$3:$G$22&gt;B43)*(Calc!$G$3:$G$22-B43))</f>
        <v/>
      </c>
      <c r="L43">
        <f>SUMPRODUCT(Calc!$K$3:$K$22*(Calc!$G$3:$G$22&gt;A43)*(Calc!$G$3:$G$22-A43)*Calc!$G$3:$G$22)</f>
        <v/>
      </c>
      <c r="M43">
        <f>SUMPRODUCT(Calc!$K$3:$K$22*(Calc!$G$3:$G$22&gt;B43)*(Calc!$G$3:$G$22-B43)*Calc!$G$3:$G$22)</f>
        <v/>
      </c>
      <c r="N43">
        <f>SUMPRODUCT(Calc!$K$3:$K$22*(Calc!$G$3:$G$22&gt;A43)*(Calc!$G$3:$G$22-A43)*Calc!$I$3:$I$22)</f>
        <v/>
      </c>
      <c r="O43">
        <f>SUMPRODUCT(Calc!$K$3:$K$22*(Calc!$G$3:$G$22&gt;B43)*(Calc!$G$3:$G$22-B43)*Calc!$I$3:$I$22)</f>
        <v/>
      </c>
      <c r="P43">
        <f>I43-G43^2/k_n</f>
        <v/>
      </c>
      <c r="Q43">
        <f>J43-H43^2/k_n</f>
        <v/>
      </c>
      <c r="R43">
        <f>K43-G43*H43/k_n</f>
        <v/>
      </c>
      <c r="S43">
        <f>L43-LTP3!$D$3*G43/k_n</f>
        <v/>
      </c>
      <c r="T43">
        <f>M43-LTP3!$D$3*H43/k_n</f>
        <v/>
      </c>
      <c r="U43">
        <f>N43-G43*LTP3!$D$4/k_n</f>
        <v/>
      </c>
      <c r="V43">
        <f>O43-H43*LTP3!$D$4/k_n</f>
        <v/>
      </c>
      <c r="W43">
        <f>((LTP3!$D$5)*((P43)*(Q43)-(R43)*(R43))-(S43)*((S43)*(Q43)-(R43)*(T43))+(T43)*((S43)*(R43)-(P43)*(T43)))</f>
        <v/>
      </c>
      <c r="X43">
        <f>IF(ABS(W43)&gt;1E-12,((LTP3!$D$6)*((P43)*(Q43)-(R43)*(R43))-(S43)*((U43)*(Q43)-(R43)*(V43))+(T43)*((U43)*(R43)-(P43)*(V43)))/W43,0)</f>
        <v/>
      </c>
      <c r="Y43">
        <f>IF(ABS(W43)&gt;1E-12,((LTP3!$D$5)*((U43)*(Q43)-(R43)*(V43))-(LTP3!$D$6)*((S43)*(Q43)-(R43)*(T43))+(T43)*((S43)*(V43)-(U43)*(T43)))/W43,0)</f>
        <v/>
      </c>
      <c r="Z43">
        <f>IF(ABS(W43)&gt;1E-12,((LTP3!$D$5)*((P43)*(V43)-(U43)*(R43))-(S43)*((S43)*(V43)-(U43)*(T43))+(LTP3!$D$6)*((S43)*(R43)-(P43)*(T43)))/W43,0)</f>
        <v/>
      </c>
      <c r="AA43">
        <f>LTP3!$D$7-X43*LTP3!$D$6-Y43*U43-Z43*V43</f>
        <v/>
      </c>
      <c r="AB43">
        <f>IF(AND(F43,ABS(W43)&gt;1E-12,Y43&gt;0,Z43&gt;0),AA43,1E+300)</f>
        <v/>
      </c>
    </row>
    <row r="44">
      <c r="A44">
        <f>$B$3+$B$5*0</f>
        <v/>
      </c>
      <c r="B44">
        <f>$B$3+$B$5*32</f>
        <v/>
      </c>
      <c r="C44">
        <f>SUMPRODUCT(Calc!$K$3:$K$22*(Calc!$G$3:$G$22&lt;=A44))</f>
        <v/>
      </c>
      <c r="D44">
        <f>SUMPRODUCT(Calc!$K$3:$K$22*(Calc!$G$3:$G$22&gt;A44)*(Calc!$G$3:$G$22&lt;B44))</f>
        <v/>
      </c>
      <c r="E44">
        <f>SUMPRODUCT(Calc!$K$3:$K$22*(Calc!$G$3:$G$22&gt;=B44))</f>
        <v/>
      </c>
      <c r="F44">
        <f>AND(k_n&gt;=5,B44&gt;A44+1E-9,C44&gt;=2,D44&gt;=1,E44&gt;=2)</f>
        <v/>
      </c>
      <c r="G44">
        <f>SUMPRODUCT(Calc!$K$3:$K$22*(Calc!$G$3:$G$22&gt;A44)*(Calc!$G$3:$G$22-A44))</f>
        <v/>
      </c>
      <c r="H44">
        <f>SUMPRODUCT(Calc!$K$3:$K$22*(Calc!$G$3:$G$22&gt;B44)*(Calc!$G$3:$G$22-B44))</f>
        <v/>
      </c>
      <c r="I44">
        <f>SUMPRODUCT(Calc!$K$3:$K$22*(Calc!$G$3:$G$22&gt;A44)*(Calc!$G$3:$G$22-A44)^2)</f>
        <v/>
      </c>
      <c r="J44">
        <f>SUMPRODUCT(Calc!$K$3:$K$22*(Calc!$G$3:$G$22&gt;B44)*(Calc!$G$3:$G$22-B44)^2)</f>
        <v/>
      </c>
      <c r="K44">
        <f>SUMPRODUCT(Calc!$K$3:$K$22*(Calc!$G$3:$G$22&gt;A44)*(Calc!$G$3:$G$22-A44)*(Calc!$G$3:$G$22&gt;B44)*(Calc!$G$3:$G$22-B44))</f>
        <v/>
      </c>
      <c r="L44">
        <f>SUMPRODUCT(Calc!$K$3:$K$22*(Calc!$G$3:$G$22&gt;A44)*(Calc!$G$3:$G$22-A44)*Calc!$G$3:$G$22)</f>
        <v/>
      </c>
      <c r="M44">
        <f>SUMPRODUCT(Calc!$K$3:$K$22*(Calc!$G$3:$G$22&gt;B44)*(Calc!$G$3:$G$22-B44)*Calc!$G$3:$G$22)</f>
        <v/>
      </c>
      <c r="N44">
        <f>SUMPRODUCT(Calc!$K$3:$K$22*(Calc!$G$3:$G$22&gt;A44)*(Calc!$G$3:$G$22-A44)*Calc!$I$3:$I$22)</f>
        <v/>
      </c>
      <c r="O44">
        <f>SUMPRODUCT(Calc!$K$3:$K$22*(Calc!$G$3:$G$22&gt;B44)*(Calc!$G$3:$G$22-B44)*Calc!$I$3:$I$22)</f>
        <v/>
      </c>
      <c r="P44">
        <f>I44-G44^2/k_n</f>
        <v/>
      </c>
      <c r="Q44">
        <f>J44-H44^2/k_n</f>
        <v/>
      </c>
      <c r="R44">
        <f>K44-G44*H44/k_n</f>
        <v/>
      </c>
      <c r="S44">
        <f>L44-LTP3!$D$3*G44/k_n</f>
        <v/>
      </c>
      <c r="T44">
        <f>M44-LTP3!$D$3*H44/k_n</f>
        <v/>
      </c>
      <c r="U44">
        <f>N44-G44*LTP3!$D$4/k_n</f>
        <v/>
      </c>
      <c r="V44">
        <f>O44-H44*LTP3!$D$4/k_n</f>
        <v/>
      </c>
      <c r="W44">
        <f>((LTP3!$D$5)*((P44)*(Q44)-(R44)*(R44))-(S44)*((S44)*(Q44)-(R44)*(T44))+(T44)*((S44)*(R44)-(P44)*(T44)))</f>
        <v/>
      </c>
      <c r="X44">
        <f>IF(ABS(W44)&gt;1E-12,((LTP3!$D$6)*((P44)*(Q44)-(R44)*(R44))-(S44)*((U44)*(Q44)-(R44)*(V44))+(T44)*((U44)*(R44)-(P44)*(V44)))/W44,0)</f>
        <v/>
      </c>
      <c r="Y44">
        <f>IF(ABS(W44)&gt;1E-12,((LTP3!$D$5)*((U44)*(Q44)-(R44)*(V44))-(LTP3!$D$6)*((S44)*(Q44)-(R44)*(T44))+(T44)*((S44)*(V44)-(U44)*(T44)))/W44,0)</f>
        <v/>
      </c>
      <c r="Z44">
        <f>IF(ABS(W44)&gt;1E-12,((LTP3!$D$5)*((P44)*(V44)-(U44)*(R44))-(S44)*((S44)*(V44)-(U44)*(T44))+(LTP3!$D$6)*((S44)*(R44)-(P44)*(T44)))/W44,0)</f>
        <v/>
      </c>
      <c r="AA44">
        <f>LTP3!$D$7-X44*LTP3!$D$6-Y44*U44-Z44*V44</f>
        <v/>
      </c>
      <c r="AB44">
        <f>IF(AND(F44,ABS(W44)&gt;1E-12,Y44&gt;0,Z44&gt;0),AA44,1E+300)</f>
        <v/>
      </c>
    </row>
    <row r="45">
      <c r="A45">
        <f>$B$3+$B$5*0</f>
        <v/>
      </c>
      <c r="B45">
        <f>$B$3+$B$5*33</f>
        <v/>
      </c>
      <c r="C45">
        <f>SUMPRODUCT(Calc!$K$3:$K$22*(Calc!$G$3:$G$22&lt;=A45))</f>
        <v/>
      </c>
      <c r="D45">
        <f>SUMPRODUCT(Calc!$K$3:$K$22*(Calc!$G$3:$G$22&gt;A45)*(Calc!$G$3:$G$22&lt;B45))</f>
        <v/>
      </c>
      <c r="E45">
        <f>SUMPRODUCT(Calc!$K$3:$K$22*(Calc!$G$3:$G$22&gt;=B45))</f>
        <v/>
      </c>
      <c r="F45">
        <f>AND(k_n&gt;=5,B45&gt;A45+1E-9,C45&gt;=2,D45&gt;=1,E45&gt;=2)</f>
        <v/>
      </c>
      <c r="G45">
        <f>SUMPRODUCT(Calc!$K$3:$K$22*(Calc!$G$3:$G$22&gt;A45)*(Calc!$G$3:$G$22-A45))</f>
        <v/>
      </c>
      <c r="H45">
        <f>SUMPRODUCT(Calc!$K$3:$K$22*(Calc!$G$3:$G$22&gt;B45)*(Calc!$G$3:$G$22-B45))</f>
        <v/>
      </c>
      <c r="I45">
        <f>SUMPRODUCT(Calc!$K$3:$K$22*(Calc!$G$3:$G$22&gt;A45)*(Calc!$G$3:$G$22-A45)^2)</f>
        <v/>
      </c>
      <c r="J45">
        <f>SUMPRODUCT(Calc!$K$3:$K$22*(Calc!$G$3:$G$22&gt;B45)*(Calc!$G$3:$G$22-B45)^2)</f>
        <v/>
      </c>
      <c r="K45">
        <f>SUMPRODUCT(Calc!$K$3:$K$22*(Calc!$G$3:$G$22&gt;A45)*(Calc!$G$3:$G$22-A45)*(Calc!$G$3:$G$22&gt;B45)*(Calc!$G$3:$G$22-B45))</f>
        <v/>
      </c>
      <c r="L45">
        <f>SUMPRODUCT(Calc!$K$3:$K$22*(Calc!$G$3:$G$22&gt;A45)*(Calc!$G$3:$G$22-A45)*Calc!$G$3:$G$22)</f>
        <v/>
      </c>
      <c r="M45">
        <f>SUMPRODUCT(Calc!$K$3:$K$22*(Calc!$G$3:$G$22&gt;B45)*(Calc!$G$3:$G$22-B45)*Calc!$G$3:$G$22)</f>
        <v/>
      </c>
      <c r="N45">
        <f>SUMPRODUCT(Calc!$K$3:$K$22*(Calc!$G$3:$G$22&gt;A45)*(Calc!$G$3:$G$22-A45)*Calc!$I$3:$I$22)</f>
        <v/>
      </c>
      <c r="O45">
        <f>SUMPRODUCT(Calc!$K$3:$K$22*(Calc!$G$3:$G$22&gt;B45)*(Calc!$G$3:$G$22-B45)*Calc!$I$3:$I$22)</f>
        <v/>
      </c>
      <c r="P45">
        <f>I45-G45^2/k_n</f>
        <v/>
      </c>
      <c r="Q45">
        <f>J45-H45^2/k_n</f>
        <v/>
      </c>
      <c r="R45">
        <f>K45-G45*H45/k_n</f>
        <v/>
      </c>
      <c r="S45">
        <f>L45-LTP3!$D$3*G45/k_n</f>
        <v/>
      </c>
      <c r="T45">
        <f>M45-LTP3!$D$3*H45/k_n</f>
        <v/>
      </c>
      <c r="U45">
        <f>N45-G45*LTP3!$D$4/k_n</f>
        <v/>
      </c>
      <c r="V45">
        <f>O45-H45*LTP3!$D$4/k_n</f>
        <v/>
      </c>
      <c r="W45">
        <f>((LTP3!$D$5)*((P45)*(Q45)-(R45)*(R45))-(S45)*((S45)*(Q45)-(R45)*(T45))+(T45)*((S45)*(R45)-(P45)*(T45)))</f>
        <v/>
      </c>
      <c r="X45">
        <f>IF(ABS(W45)&gt;1E-12,((LTP3!$D$6)*((P45)*(Q45)-(R45)*(R45))-(S45)*((U45)*(Q45)-(R45)*(V45))+(T45)*((U45)*(R45)-(P45)*(V45)))/W45,0)</f>
        <v/>
      </c>
      <c r="Y45">
        <f>IF(ABS(W45)&gt;1E-12,((LTP3!$D$5)*((U45)*(Q45)-(R45)*(V45))-(LTP3!$D$6)*((S45)*(Q45)-(R45)*(T45))+(T45)*((S45)*(V45)-(U45)*(T45)))/W45,0)</f>
        <v/>
      </c>
      <c r="Z45">
        <f>IF(ABS(W45)&gt;1E-12,((LTP3!$D$5)*((P45)*(V45)-(U45)*(R45))-(S45)*((S45)*(V45)-(U45)*(T45))+(LTP3!$D$6)*((S45)*(R45)-(P45)*(T45)))/W45,0)</f>
        <v/>
      </c>
      <c r="AA45">
        <f>LTP3!$D$7-X45*LTP3!$D$6-Y45*U45-Z45*V45</f>
        <v/>
      </c>
      <c r="AB45">
        <f>IF(AND(F45,ABS(W45)&gt;1E-12,Y45&gt;0,Z45&gt;0),AA45,1E+300)</f>
        <v/>
      </c>
    </row>
    <row r="46">
      <c r="A46">
        <f>$B$3+$B$5*0</f>
        <v/>
      </c>
      <c r="B46">
        <f>$B$3+$B$5*34</f>
        <v/>
      </c>
      <c r="C46">
        <f>SUMPRODUCT(Calc!$K$3:$K$22*(Calc!$G$3:$G$22&lt;=A46))</f>
        <v/>
      </c>
      <c r="D46">
        <f>SUMPRODUCT(Calc!$K$3:$K$22*(Calc!$G$3:$G$22&gt;A46)*(Calc!$G$3:$G$22&lt;B46))</f>
        <v/>
      </c>
      <c r="E46">
        <f>SUMPRODUCT(Calc!$K$3:$K$22*(Calc!$G$3:$G$22&gt;=B46))</f>
        <v/>
      </c>
      <c r="F46">
        <f>AND(k_n&gt;=5,B46&gt;A46+1E-9,C46&gt;=2,D46&gt;=1,E46&gt;=2)</f>
        <v/>
      </c>
      <c r="G46">
        <f>SUMPRODUCT(Calc!$K$3:$K$22*(Calc!$G$3:$G$22&gt;A46)*(Calc!$G$3:$G$22-A46))</f>
        <v/>
      </c>
      <c r="H46">
        <f>SUMPRODUCT(Calc!$K$3:$K$22*(Calc!$G$3:$G$22&gt;B46)*(Calc!$G$3:$G$22-B46))</f>
        <v/>
      </c>
      <c r="I46">
        <f>SUMPRODUCT(Calc!$K$3:$K$22*(Calc!$G$3:$G$22&gt;A46)*(Calc!$G$3:$G$22-A46)^2)</f>
        <v/>
      </c>
      <c r="J46">
        <f>SUMPRODUCT(Calc!$K$3:$K$22*(Calc!$G$3:$G$22&gt;B46)*(Calc!$G$3:$G$22-B46)^2)</f>
        <v/>
      </c>
      <c r="K46">
        <f>SUMPRODUCT(Calc!$K$3:$K$22*(Calc!$G$3:$G$22&gt;A46)*(Calc!$G$3:$G$22-A46)*(Calc!$G$3:$G$22&gt;B46)*(Calc!$G$3:$G$22-B46))</f>
        <v/>
      </c>
      <c r="L46">
        <f>SUMPRODUCT(Calc!$K$3:$K$22*(Calc!$G$3:$G$22&gt;A46)*(Calc!$G$3:$G$22-A46)*Calc!$G$3:$G$22)</f>
        <v/>
      </c>
      <c r="M46">
        <f>SUMPRODUCT(Calc!$K$3:$K$22*(Calc!$G$3:$G$22&gt;B46)*(Calc!$G$3:$G$22-B46)*Calc!$G$3:$G$22)</f>
        <v/>
      </c>
      <c r="N46">
        <f>SUMPRODUCT(Calc!$K$3:$K$22*(Calc!$G$3:$G$22&gt;A46)*(Calc!$G$3:$G$22-A46)*Calc!$I$3:$I$22)</f>
        <v/>
      </c>
      <c r="O46">
        <f>SUMPRODUCT(Calc!$K$3:$K$22*(Calc!$G$3:$G$22&gt;B46)*(Calc!$G$3:$G$22-B46)*Calc!$I$3:$I$22)</f>
        <v/>
      </c>
      <c r="P46">
        <f>I46-G46^2/k_n</f>
        <v/>
      </c>
      <c r="Q46">
        <f>J46-H46^2/k_n</f>
        <v/>
      </c>
      <c r="R46">
        <f>K46-G46*H46/k_n</f>
        <v/>
      </c>
      <c r="S46">
        <f>L46-LTP3!$D$3*G46/k_n</f>
        <v/>
      </c>
      <c r="T46">
        <f>M46-LTP3!$D$3*H46/k_n</f>
        <v/>
      </c>
      <c r="U46">
        <f>N46-G46*LTP3!$D$4/k_n</f>
        <v/>
      </c>
      <c r="V46">
        <f>O46-H46*LTP3!$D$4/k_n</f>
        <v/>
      </c>
      <c r="W46">
        <f>((LTP3!$D$5)*((P46)*(Q46)-(R46)*(R46))-(S46)*((S46)*(Q46)-(R46)*(T46))+(T46)*((S46)*(R46)-(P46)*(T46)))</f>
        <v/>
      </c>
      <c r="X46">
        <f>IF(ABS(W46)&gt;1E-12,((LTP3!$D$6)*((P46)*(Q46)-(R46)*(R46))-(S46)*((U46)*(Q46)-(R46)*(V46))+(T46)*((U46)*(R46)-(P46)*(V46)))/W46,0)</f>
        <v/>
      </c>
      <c r="Y46">
        <f>IF(ABS(W46)&gt;1E-12,((LTP3!$D$5)*((U46)*(Q46)-(R46)*(V46))-(LTP3!$D$6)*((S46)*(Q46)-(R46)*(T46))+(T46)*((S46)*(V46)-(U46)*(T46)))/W46,0)</f>
        <v/>
      </c>
      <c r="Z46">
        <f>IF(ABS(W46)&gt;1E-12,((LTP3!$D$5)*((P46)*(V46)-(U46)*(R46))-(S46)*((S46)*(V46)-(U46)*(T46))+(LTP3!$D$6)*((S46)*(R46)-(P46)*(T46)))/W46,0)</f>
        <v/>
      </c>
      <c r="AA46">
        <f>LTP3!$D$7-X46*LTP3!$D$6-Y46*U46-Z46*V46</f>
        <v/>
      </c>
      <c r="AB46">
        <f>IF(AND(F46,ABS(W46)&gt;1E-12,Y46&gt;0,Z46&gt;0),AA46,1E+300)</f>
        <v/>
      </c>
    </row>
    <row r="47">
      <c r="A47">
        <f>$B$3+$B$5*0</f>
        <v/>
      </c>
      <c r="B47">
        <f>$B$3+$B$5*35</f>
        <v/>
      </c>
      <c r="C47">
        <f>SUMPRODUCT(Calc!$K$3:$K$22*(Calc!$G$3:$G$22&lt;=A47))</f>
        <v/>
      </c>
      <c r="D47">
        <f>SUMPRODUCT(Calc!$K$3:$K$22*(Calc!$G$3:$G$22&gt;A47)*(Calc!$G$3:$G$22&lt;B47))</f>
        <v/>
      </c>
      <c r="E47">
        <f>SUMPRODUCT(Calc!$K$3:$K$22*(Calc!$G$3:$G$22&gt;=B47))</f>
        <v/>
      </c>
      <c r="F47">
        <f>AND(k_n&gt;=5,B47&gt;A47+1E-9,C47&gt;=2,D47&gt;=1,E47&gt;=2)</f>
        <v/>
      </c>
      <c r="G47">
        <f>SUMPRODUCT(Calc!$K$3:$K$22*(Calc!$G$3:$G$22&gt;A47)*(Calc!$G$3:$G$22-A47))</f>
        <v/>
      </c>
      <c r="H47">
        <f>SUMPRODUCT(Calc!$K$3:$K$22*(Calc!$G$3:$G$22&gt;B47)*(Calc!$G$3:$G$22-B47))</f>
        <v/>
      </c>
      <c r="I47">
        <f>SUMPRODUCT(Calc!$K$3:$K$22*(Calc!$G$3:$G$22&gt;A47)*(Calc!$G$3:$G$22-A47)^2)</f>
        <v/>
      </c>
      <c r="J47">
        <f>SUMPRODUCT(Calc!$K$3:$K$22*(Calc!$G$3:$G$22&gt;B47)*(Calc!$G$3:$G$22-B47)^2)</f>
        <v/>
      </c>
      <c r="K47">
        <f>SUMPRODUCT(Calc!$K$3:$K$22*(Calc!$G$3:$G$22&gt;A47)*(Calc!$G$3:$G$22-A47)*(Calc!$G$3:$G$22&gt;B47)*(Calc!$G$3:$G$22-B47))</f>
        <v/>
      </c>
      <c r="L47">
        <f>SUMPRODUCT(Calc!$K$3:$K$22*(Calc!$G$3:$G$22&gt;A47)*(Calc!$G$3:$G$22-A47)*Calc!$G$3:$G$22)</f>
        <v/>
      </c>
      <c r="M47">
        <f>SUMPRODUCT(Calc!$K$3:$K$22*(Calc!$G$3:$G$22&gt;B47)*(Calc!$G$3:$G$22-B47)*Calc!$G$3:$G$22)</f>
        <v/>
      </c>
      <c r="N47">
        <f>SUMPRODUCT(Calc!$K$3:$K$22*(Calc!$G$3:$G$22&gt;A47)*(Calc!$G$3:$G$22-A47)*Calc!$I$3:$I$22)</f>
        <v/>
      </c>
      <c r="O47">
        <f>SUMPRODUCT(Calc!$K$3:$K$22*(Calc!$G$3:$G$22&gt;B47)*(Calc!$G$3:$G$22-B47)*Calc!$I$3:$I$22)</f>
        <v/>
      </c>
      <c r="P47">
        <f>I47-G47^2/k_n</f>
        <v/>
      </c>
      <c r="Q47">
        <f>J47-H47^2/k_n</f>
        <v/>
      </c>
      <c r="R47">
        <f>K47-G47*H47/k_n</f>
        <v/>
      </c>
      <c r="S47">
        <f>L47-LTP3!$D$3*G47/k_n</f>
        <v/>
      </c>
      <c r="T47">
        <f>M47-LTP3!$D$3*H47/k_n</f>
        <v/>
      </c>
      <c r="U47">
        <f>N47-G47*LTP3!$D$4/k_n</f>
        <v/>
      </c>
      <c r="V47">
        <f>O47-H47*LTP3!$D$4/k_n</f>
        <v/>
      </c>
      <c r="W47">
        <f>((LTP3!$D$5)*((P47)*(Q47)-(R47)*(R47))-(S47)*((S47)*(Q47)-(R47)*(T47))+(T47)*((S47)*(R47)-(P47)*(T47)))</f>
        <v/>
      </c>
      <c r="X47">
        <f>IF(ABS(W47)&gt;1E-12,((LTP3!$D$6)*((P47)*(Q47)-(R47)*(R47))-(S47)*((U47)*(Q47)-(R47)*(V47))+(T47)*((U47)*(R47)-(P47)*(V47)))/W47,0)</f>
        <v/>
      </c>
      <c r="Y47">
        <f>IF(ABS(W47)&gt;1E-12,((LTP3!$D$5)*((U47)*(Q47)-(R47)*(V47))-(LTP3!$D$6)*((S47)*(Q47)-(R47)*(T47))+(T47)*((S47)*(V47)-(U47)*(T47)))/W47,0)</f>
        <v/>
      </c>
      <c r="Z47">
        <f>IF(ABS(W47)&gt;1E-12,((LTP3!$D$5)*((P47)*(V47)-(U47)*(R47))-(S47)*((S47)*(V47)-(U47)*(T47))+(LTP3!$D$6)*((S47)*(R47)-(P47)*(T47)))/W47,0)</f>
        <v/>
      </c>
      <c r="AA47">
        <f>LTP3!$D$7-X47*LTP3!$D$6-Y47*U47-Z47*V47</f>
        <v/>
      </c>
      <c r="AB47">
        <f>IF(AND(F47,ABS(W47)&gt;1E-12,Y47&gt;0,Z47&gt;0),AA47,1E+300)</f>
        <v/>
      </c>
    </row>
    <row r="48">
      <c r="A48">
        <f>$B$3+$B$5*0</f>
        <v/>
      </c>
      <c r="B48">
        <f>$B$3+$B$5*36</f>
        <v/>
      </c>
      <c r="C48">
        <f>SUMPRODUCT(Calc!$K$3:$K$22*(Calc!$G$3:$G$22&lt;=A48))</f>
        <v/>
      </c>
      <c r="D48">
        <f>SUMPRODUCT(Calc!$K$3:$K$22*(Calc!$G$3:$G$22&gt;A48)*(Calc!$G$3:$G$22&lt;B48))</f>
        <v/>
      </c>
      <c r="E48">
        <f>SUMPRODUCT(Calc!$K$3:$K$22*(Calc!$G$3:$G$22&gt;=B48))</f>
        <v/>
      </c>
      <c r="F48">
        <f>AND(k_n&gt;=5,B48&gt;A48+1E-9,C48&gt;=2,D48&gt;=1,E48&gt;=2)</f>
        <v/>
      </c>
      <c r="G48">
        <f>SUMPRODUCT(Calc!$K$3:$K$22*(Calc!$G$3:$G$22&gt;A48)*(Calc!$G$3:$G$22-A48))</f>
        <v/>
      </c>
      <c r="H48">
        <f>SUMPRODUCT(Calc!$K$3:$K$22*(Calc!$G$3:$G$22&gt;B48)*(Calc!$G$3:$G$22-B48))</f>
        <v/>
      </c>
      <c r="I48">
        <f>SUMPRODUCT(Calc!$K$3:$K$22*(Calc!$G$3:$G$22&gt;A48)*(Calc!$G$3:$G$22-A48)^2)</f>
        <v/>
      </c>
      <c r="J48">
        <f>SUMPRODUCT(Calc!$K$3:$K$22*(Calc!$G$3:$G$22&gt;B48)*(Calc!$G$3:$G$22-B48)^2)</f>
        <v/>
      </c>
      <c r="K48">
        <f>SUMPRODUCT(Calc!$K$3:$K$22*(Calc!$G$3:$G$22&gt;A48)*(Calc!$G$3:$G$22-A48)*(Calc!$G$3:$G$22&gt;B48)*(Calc!$G$3:$G$22-B48))</f>
        <v/>
      </c>
      <c r="L48">
        <f>SUMPRODUCT(Calc!$K$3:$K$22*(Calc!$G$3:$G$22&gt;A48)*(Calc!$G$3:$G$22-A48)*Calc!$G$3:$G$22)</f>
        <v/>
      </c>
      <c r="M48">
        <f>SUMPRODUCT(Calc!$K$3:$K$22*(Calc!$G$3:$G$22&gt;B48)*(Calc!$G$3:$G$22-B48)*Calc!$G$3:$G$22)</f>
        <v/>
      </c>
      <c r="N48">
        <f>SUMPRODUCT(Calc!$K$3:$K$22*(Calc!$G$3:$G$22&gt;A48)*(Calc!$G$3:$G$22-A48)*Calc!$I$3:$I$22)</f>
        <v/>
      </c>
      <c r="O48">
        <f>SUMPRODUCT(Calc!$K$3:$K$22*(Calc!$G$3:$G$22&gt;B48)*(Calc!$G$3:$G$22-B48)*Calc!$I$3:$I$22)</f>
        <v/>
      </c>
      <c r="P48">
        <f>I48-G48^2/k_n</f>
        <v/>
      </c>
      <c r="Q48">
        <f>J48-H48^2/k_n</f>
        <v/>
      </c>
      <c r="R48">
        <f>K48-G48*H48/k_n</f>
        <v/>
      </c>
      <c r="S48">
        <f>L48-LTP3!$D$3*G48/k_n</f>
        <v/>
      </c>
      <c r="T48">
        <f>M48-LTP3!$D$3*H48/k_n</f>
        <v/>
      </c>
      <c r="U48">
        <f>N48-G48*LTP3!$D$4/k_n</f>
        <v/>
      </c>
      <c r="V48">
        <f>O48-H48*LTP3!$D$4/k_n</f>
        <v/>
      </c>
      <c r="W48">
        <f>((LTP3!$D$5)*((P48)*(Q48)-(R48)*(R48))-(S48)*((S48)*(Q48)-(R48)*(T48))+(T48)*((S48)*(R48)-(P48)*(T48)))</f>
        <v/>
      </c>
      <c r="X48">
        <f>IF(ABS(W48)&gt;1E-12,((LTP3!$D$6)*((P48)*(Q48)-(R48)*(R48))-(S48)*((U48)*(Q48)-(R48)*(V48))+(T48)*((U48)*(R48)-(P48)*(V48)))/W48,0)</f>
        <v/>
      </c>
      <c r="Y48">
        <f>IF(ABS(W48)&gt;1E-12,((LTP3!$D$5)*((U48)*(Q48)-(R48)*(V48))-(LTP3!$D$6)*((S48)*(Q48)-(R48)*(T48))+(T48)*((S48)*(V48)-(U48)*(T48)))/W48,0)</f>
        <v/>
      </c>
      <c r="Z48">
        <f>IF(ABS(W48)&gt;1E-12,((LTP3!$D$5)*((P48)*(V48)-(U48)*(R48))-(S48)*((S48)*(V48)-(U48)*(T48))+(LTP3!$D$6)*((S48)*(R48)-(P48)*(T48)))/W48,0)</f>
        <v/>
      </c>
      <c r="AA48">
        <f>LTP3!$D$7-X48*LTP3!$D$6-Y48*U48-Z48*V48</f>
        <v/>
      </c>
      <c r="AB48">
        <f>IF(AND(F48,ABS(W48)&gt;1E-12,Y48&gt;0,Z48&gt;0),AA48,1E+300)</f>
        <v/>
      </c>
    </row>
    <row r="49">
      <c r="A49">
        <f>$B$3+$B$5*0</f>
        <v/>
      </c>
      <c r="B49">
        <f>$B$3+$B$5*37</f>
        <v/>
      </c>
      <c r="C49">
        <f>SUMPRODUCT(Calc!$K$3:$K$22*(Calc!$G$3:$G$22&lt;=A49))</f>
        <v/>
      </c>
      <c r="D49">
        <f>SUMPRODUCT(Calc!$K$3:$K$22*(Calc!$G$3:$G$22&gt;A49)*(Calc!$G$3:$G$22&lt;B49))</f>
        <v/>
      </c>
      <c r="E49">
        <f>SUMPRODUCT(Calc!$K$3:$K$22*(Calc!$G$3:$G$22&gt;=B49))</f>
        <v/>
      </c>
      <c r="F49">
        <f>AND(k_n&gt;=5,B49&gt;A49+1E-9,C49&gt;=2,D49&gt;=1,E49&gt;=2)</f>
        <v/>
      </c>
      <c r="G49">
        <f>SUMPRODUCT(Calc!$K$3:$K$22*(Calc!$G$3:$G$22&gt;A49)*(Calc!$G$3:$G$22-A49))</f>
        <v/>
      </c>
      <c r="H49">
        <f>SUMPRODUCT(Calc!$K$3:$K$22*(Calc!$G$3:$G$22&gt;B49)*(Calc!$G$3:$G$22-B49))</f>
        <v/>
      </c>
      <c r="I49">
        <f>SUMPRODUCT(Calc!$K$3:$K$22*(Calc!$G$3:$G$22&gt;A49)*(Calc!$G$3:$G$22-A49)^2)</f>
        <v/>
      </c>
      <c r="J49">
        <f>SUMPRODUCT(Calc!$K$3:$K$22*(Calc!$G$3:$G$22&gt;B49)*(Calc!$G$3:$G$22-B49)^2)</f>
        <v/>
      </c>
      <c r="K49">
        <f>SUMPRODUCT(Calc!$K$3:$K$22*(Calc!$G$3:$G$22&gt;A49)*(Calc!$G$3:$G$22-A49)*(Calc!$G$3:$G$22&gt;B49)*(Calc!$G$3:$G$22-B49))</f>
        <v/>
      </c>
      <c r="L49">
        <f>SUMPRODUCT(Calc!$K$3:$K$22*(Calc!$G$3:$G$22&gt;A49)*(Calc!$G$3:$G$22-A49)*Calc!$G$3:$G$22)</f>
        <v/>
      </c>
      <c r="M49">
        <f>SUMPRODUCT(Calc!$K$3:$K$22*(Calc!$G$3:$G$22&gt;B49)*(Calc!$G$3:$G$22-B49)*Calc!$G$3:$G$22)</f>
        <v/>
      </c>
      <c r="N49">
        <f>SUMPRODUCT(Calc!$K$3:$K$22*(Calc!$G$3:$G$22&gt;A49)*(Calc!$G$3:$G$22-A49)*Calc!$I$3:$I$22)</f>
        <v/>
      </c>
      <c r="O49">
        <f>SUMPRODUCT(Calc!$K$3:$K$22*(Calc!$G$3:$G$22&gt;B49)*(Calc!$G$3:$G$22-B49)*Calc!$I$3:$I$22)</f>
        <v/>
      </c>
      <c r="P49">
        <f>I49-G49^2/k_n</f>
        <v/>
      </c>
      <c r="Q49">
        <f>J49-H49^2/k_n</f>
        <v/>
      </c>
      <c r="R49">
        <f>K49-G49*H49/k_n</f>
        <v/>
      </c>
      <c r="S49">
        <f>L49-LTP3!$D$3*G49/k_n</f>
        <v/>
      </c>
      <c r="T49">
        <f>M49-LTP3!$D$3*H49/k_n</f>
        <v/>
      </c>
      <c r="U49">
        <f>N49-G49*LTP3!$D$4/k_n</f>
        <v/>
      </c>
      <c r="V49">
        <f>O49-H49*LTP3!$D$4/k_n</f>
        <v/>
      </c>
      <c r="W49">
        <f>((LTP3!$D$5)*((P49)*(Q49)-(R49)*(R49))-(S49)*((S49)*(Q49)-(R49)*(T49))+(T49)*((S49)*(R49)-(P49)*(T49)))</f>
        <v/>
      </c>
      <c r="X49">
        <f>IF(ABS(W49)&gt;1E-12,((LTP3!$D$6)*((P49)*(Q49)-(R49)*(R49))-(S49)*((U49)*(Q49)-(R49)*(V49))+(T49)*((U49)*(R49)-(P49)*(V49)))/W49,0)</f>
        <v/>
      </c>
      <c r="Y49">
        <f>IF(ABS(W49)&gt;1E-12,((LTP3!$D$5)*((U49)*(Q49)-(R49)*(V49))-(LTP3!$D$6)*((S49)*(Q49)-(R49)*(T49))+(T49)*((S49)*(V49)-(U49)*(T49)))/W49,0)</f>
        <v/>
      </c>
      <c r="Z49">
        <f>IF(ABS(W49)&gt;1E-12,((LTP3!$D$5)*((P49)*(V49)-(U49)*(R49))-(S49)*((S49)*(V49)-(U49)*(T49))+(LTP3!$D$6)*((S49)*(R49)-(P49)*(T49)))/W49,0)</f>
        <v/>
      </c>
      <c r="AA49">
        <f>LTP3!$D$7-X49*LTP3!$D$6-Y49*U49-Z49*V49</f>
        <v/>
      </c>
      <c r="AB49">
        <f>IF(AND(F49,ABS(W49)&gt;1E-12,Y49&gt;0,Z49&gt;0),AA49,1E+300)</f>
        <v/>
      </c>
    </row>
    <row r="50">
      <c r="A50">
        <f>$B$3+$B$5*0</f>
        <v/>
      </c>
      <c r="B50">
        <f>$B$3+$B$5*38</f>
        <v/>
      </c>
      <c r="C50">
        <f>SUMPRODUCT(Calc!$K$3:$K$22*(Calc!$G$3:$G$22&lt;=A50))</f>
        <v/>
      </c>
      <c r="D50">
        <f>SUMPRODUCT(Calc!$K$3:$K$22*(Calc!$G$3:$G$22&gt;A50)*(Calc!$G$3:$G$22&lt;B50))</f>
        <v/>
      </c>
      <c r="E50">
        <f>SUMPRODUCT(Calc!$K$3:$K$22*(Calc!$G$3:$G$22&gt;=B50))</f>
        <v/>
      </c>
      <c r="F50">
        <f>AND(k_n&gt;=5,B50&gt;A50+1E-9,C50&gt;=2,D50&gt;=1,E50&gt;=2)</f>
        <v/>
      </c>
      <c r="G50">
        <f>SUMPRODUCT(Calc!$K$3:$K$22*(Calc!$G$3:$G$22&gt;A50)*(Calc!$G$3:$G$22-A50))</f>
        <v/>
      </c>
      <c r="H50">
        <f>SUMPRODUCT(Calc!$K$3:$K$22*(Calc!$G$3:$G$22&gt;B50)*(Calc!$G$3:$G$22-B50))</f>
        <v/>
      </c>
      <c r="I50">
        <f>SUMPRODUCT(Calc!$K$3:$K$22*(Calc!$G$3:$G$22&gt;A50)*(Calc!$G$3:$G$22-A50)^2)</f>
        <v/>
      </c>
      <c r="J50">
        <f>SUMPRODUCT(Calc!$K$3:$K$22*(Calc!$G$3:$G$22&gt;B50)*(Calc!$G$3:$G$22-B50)^2)</f>
        <v/>
      </c>
      <c r="K50">
        <f>SUMPRODUCT(Calc!$K$3:$K$22*(Calc!$G$3:$G$22&gt;A50)*(Calc!$G$3:$G$22-A50)*(Calc!$G$3:$G$22&gt;B50)*(Calc!$G$3:$G$22-B50))</f>
        <v/>
      </c>
      <c r="L50">
        <f>SUMPRODUCT(Calc!$K$3:$K$22*(Calc!$G$3:$G$22&gt;A50)*(Calc!$G$3:$G$22-A50)*Calc!$G$3:$G$22)</f>
        <v/>
      </c>
      <c r="M50">
        <f>SUMPRODUCT(Calc!$K$3:$K$22*(Calc!$G$3:$G$22&gt;B50)*(Calc!$G$3:$G$22-B50)*Calc!$G$3:$G$22)</f>
        <v/>
      </c>
      <c r="N50">
        <f>SUMPRODUCT(Calc!$K$3:$K$22*(Calc!$G$3:$G$22&gt;A50)*(Calc!$G$3:$G$22-A50)*Calc!$I$3:$I$22)</f>
        <v/>
      </c>
      <c r="O50">
        <f>SUMPRODUCT(Calc!$K$3:$K$22*(Calc!$G$3:$G$22&gt;B50)*(Calc!$G$3:$G$22-B50)*Calc!$I$3:$I$22)</f>
        <v/>
      </c>
      <c r="P50">
        <f>I50-G50^2/k_n</f>
        <v/>
      </c>
      <c r="Q50">
        <f>J50-H50^2/k_n</f>
        <v/>
      </c>
      <c r="R50">
        <f>K50-G50*H50/k_n</f>
        <v/>
      </c>
      <c r="S50">
        <f>L50-LTP3!$D$3*G50/k_n</f>
        <v/>
      </c>
      <c r="T50">
        <f>M50-LTP3!$D$3*H50/k_n</f>
        <v/>
      </c>
      <c r="U50">
        <f>N50-G50*LTP3!$D$4/k_n</f>
        <v/>
      </c>
      <c r="V50">
        <f>O50-H50*LTP3!$D$4/k_n</f>
        <v/>
      </c>
      <c r="W50">
        <f>((LTP3!$D$5)*((P50)*(Q50)-(R50)*(R50))-(S50)*((S50)*(Q50)-(R50)*(T50))+(T50)*((S50)*(R50)-(P50)*(T50)))</f>
        <v/>
      </c>
      <c r="X50">
        <f>IF(ABS(W50)&gt;1E-12,((LTP3!$D$6)*((P50)*(Q50)-(R50)*(R50))-(S50)*((U50)*(Q50)-(R50)*(V50))+(T50)*((U50)*(R50)-(P50)*(V50)))/W50,0)</f>
        <v/>
      </c>
      <c r="Y50">
        <f>IF(ABS(W50)&gt;1E-12,((LTP3!$D$5)*((U50)*(Q50)-(R50)*(V50))-(LTP3!$D$6)*((S50)*(Q50)-(R50)*(T50))+(T50)*((S50)*(V50)-(U50)*(T50)))/W50,0)</f>
        <v/>
      </c>
      <c r="Z50">
        <f>IF(ABS(W50)&gt;1E-12,((LTP3!$D$5)*((P50)*(V50)-(U50)*(R50))-(S50)*((S50)*(V50)-(U50)*(T50))+(LTP3!$D$6)*((S50)*(R50)-(P50)*(T50)))/W50,0)</f>
        <v/>
      </c>
      <c r="AA50">
        <f>LTP3!$D$7-X50*LTP3!$D$6-Y50*U50-Z50*V50</f>
        <v/>
      </c>
      <c r="AB50">
        <f>IF(AND(F50,ABS(W50)&gt;1E-12,Y50&gt;0,Z50&gt;0),AA50,1E+300)</f>
        <v/>
      </c>
    </row>
    <row r="51">
      <c r="A51">
        <f>$B$3+$B$5*0</f>
        <v/>
      </c>
      <c r="B51">
        <f>$B$3+$B$5*39</f>
        <v/>
      </c>
      <c r="C51">
        <f>SUMPRODUCT(Calc!$K$3:$K$22*(Calc!$G$3:$G$22&lt;=A51))</f>
        <v/>
      </c>
      <c r="D51">
        <f>SUMPRODUCT(Calc!$K$3:$K$22*(Calc!$G$3:$G$22&gt;A51)*(Calc!$G$3:$G$22&lt;B51))</f>
        <v/>
      </c>
      <c r="E51">
        <f>SUMPRODUCT(Calc!$K$3:$K$22*(Calc!$G$3:$G$22&gt;=B51))</f>
        <v/>
      </c>
      <c r="F51">
        <f>AND(k_n&gt;=5,B51&gt;A51+1E-9,C51&gt;=2,D51&gt;=1,E51&gt;=2)</f>
        <v/>
      </c>
      <c r="G51">
        <f>SUMPRODUCT(Calc!$K$3:$K$22*(Calc!$G$3:$G$22&gt;A51)*(Calc!$G$3:$G$22-A51))</f>
        <v/>
      </c>
      <c r="H51">
        <f>SUMPRODUCT(Calc!$K$3:$K$22*(Calc!$G$3:$G$22&gt;B51)*(Calc!$G$3:$G$22-B51))</f>
        <v/>
      </c>
      <c r="I51">
        <f>SUMPRODUCT(Calc!$K$3:$K$22*(Calc!$G$3:$G$22&gt;A51)*(Calc!$G$3:$G$22-A51)^2)</f>
        <v/>
      </c>
      <c r="J51">
        <f>SUMPRODUCT(Calc!$K$3:$K$22*(Calc!$G$3:$G$22&gt;B51)*(Calc!$G$3:$G$22-B51)^2)</f>
        <v/>
      </c>
      <c r="K51">
        <f>SUMPRODUCT(Calc!$K$3:$K$22*(Calc!$G$3:$G$22&gt;A51)*(Calc!$G$3:$G$22-A51)*(Calc!$G$3:$G$22&gt;B51)*(Calc!$G$3:$G$22-B51))</f>
        <v/>
      </c>
      <c r="L51">
        <f>SUMPRODUCT(Calc!$K$3:$K$22*(Calc!$G$3:$G$22&gt;A51)*(Calc!$G$3:$G$22-A51)*Calc!$G$3:$G$22)</f>
        <v/>
      </c>
      <c r="M51">
        <f>SUMPRODUCT(Calc!$K$3:$K$22*(Calc!$G$3:$G$22&gt;B51)*(Calc!$G$3:$G$22-B51)*Calc!$G$3:$G$22)</f>
        <v/>
      </c>
      <c r="N51">
        <f>SUMPRODUCT(Calc!$K$3:$K$22*(Calc!$G$3:$G$22&gt;A51)*(Calc!$G$3:$G$22-A51)*Calc!$I$3:$I$22)</f>
        <v/>
      </c>
      <c r="O51">
        <f>SUMPRODUCT(Calc!$K$3:$K$22*(Calc!$G$3:$G$22&gt;B51)*(Calc!$G$3:$G$22-B51)*Calc!$I$3:$I$22)</f>
        <v/>
      </c>
      <c r="P51">
        <f>I51-G51^2/k_n</f>
        <v/>
      </c>
      <c r="Q51">
        <f>J51-H51^2/k_n</f>
        <v/>
      </c>
      <c r="R51">
        <f>K51-G51*H51/k_n</f>
        <v/>
      </c>
      <c r="S51">
        <f>L51-LTP3!$D$3*G51/k_n</f>
        <v/>
      </c>
      <c r="T51">
        <f>M51-LTP3!$D$3*H51/k_n</f>
        <v/>
      </c>
      <c r="U51">
        <f>N51-G51*LTP3!$D$4/k_n</f>
        <v/>
      </c>
      <c r="V51">
        <f>O51-H51*LTP3!$D$4/k_n</f>
        <v/>
      </c>
      <c r="W51">
        <f>((LTP3!$D$5)*((P51)*(Q51)-(R51)*(R51))-(S51)*((S51)*(Q51)-(R51)*(T51))+(T51)*((S51)*(R51)-(P51)*(T51)))</f>
        <v/>
      </c>
      <c r="X51">
        <f>IF(ABS(W51)&gt;1E-12,((LTP3!$D$6)*((P51)*(Q51)-(R51)*(R51))-(S51)*((U51)*(Q51)-(R51)*(V51))+(T51)*((U51)*(R51)-(P51)*(V51)))/W51,0)</f>
        <v/>
      </c>
      <c r="Y51">
        <f>IF(ABS(W51)&gt;1E-12,((LTP3!$D$5)*((U51)*(Q51)-(R51)*(V51))-(LTP3!$D$6)*((S51)*(Q51)-(R51)*(T51))+(T51)*((S51)*(V51)-(U51)*(T51)))/W51,0)</f>
        <v/>
      </c>
      <c r="Z51">
        <f>IF(ABS(W51)&gt;1E-12,((LTP3!$D$5)*((P51)*(V51)-(U51)*(R51))-(S51)*((S51)*(V51)-(U51)*(T51))+(LTP3!$D$6)*((S51)*(R51)-(P51)*(T51)))/W51,0)</f>
        <v/>
      </c>
      <c r="AA51">
        <f>LTP3!$D$7-X51*LTP3!$D$6-Y51*U51-Z51*V51</f>
        <v/>
      </c>
      <c r="AB51">
        <f>IF(AND(F51,ABS(W51)&gt;1E-12,Y51&gt;0,Z51&gt;0),AA51,1E+300)</f>
        <v/>
      </c>
    </row>
    <row r="52">
      <c r="A52">
        <f>$B$3+$B$5*0</f>
        <v/>
      </c>
      <c r="B52">
        <f>$B$3+$B$5*40</f>
        <v/>
      </c>
      <c r="C52">
        <f>SUMPRODUCT(Calc!$K$3:$K$22*(Calc!$G$3:$G$22&lt;=A52))</f>
        <v/>
      </c>
      <c r="D52">
        <f>SUMPRODUCT(Calc!$K$3:$K$22*(Calc!$G$3:$G$22&gt;A52)*(Calc!$G$3:$G$22&lt;B52))</f>
        <v/>
      </c>
      <c r="E52">
        <f>SUMPRODUCT(Calc!$K$3:$K$22*(Calc!$G$3:$G$22&gt;=B52))</f>
        <v/>
      </c>
      <c r="F52">
        <f>AND(k_n&gt;=5,B52&gt;A52+1E-9,C52&gt;=2,D52&gt;=1,E52&gt;=2)</f>
        <v/>
      </c>
      <c r="G52">
        <f>SUMPRODUCT(Calc!$K$3:$K$22*(Calc!$G$3:$G$22&gt;A52)*(Calc!$G$3:$G$22-A52))</f>
        <v/>
      </c>
      <c r="H52">
        <f>SUMPRODUCT(Calc!$K$3:$K$22*(Calc!$G$3:$G$22&gt;B52)*(Calc!$G$3:$G$22-B52))</f>
        <v/>
      </c>
      <c r="I52">
        <f>SUMPRODUCT(Calc!$K$3:$K$22*(Calc!$G$3:$G$22&gt;A52)*(Calc!$G$3:$G$22-A52)^2)</f>
        <v/>
      </c>
      <c r="J52">
        <f>SUMPRODUCT(Calc!$K$3:$K$22*(Calc!$G$3:$G$22&gt;B52)*(Calc!$G$3:$G$22-B52)^2)</f>
        <v/>
      </c>
      <c r="K52">
        <f>SUMPRODUCT(Calc!$K$3:$K$22*(Calc!$G$3:$G$22&gt;A52)*(Calc!$G$3:$G$22-A52)*(Calc!$G$3:$G$22&gt;B52)*(Calc!$G$3:$G$22-B52))</f>
        <v/>
      </c>
      <c r="L52">
        <f>SUMPRODUCT(Calc!$K$3:$K$22*(Calc!$G$3:$G$22&gt;A52)*(Calc!$G$3:$G$22-A52)*Calc!$G$3:$G$22)</f>
        <v/>
      </c>
      <c r="M52">
        <f>SUMPRODUCT(Calc!$K$3:$K$22*(Calc!$G$3:$G$22&gt;B52)*(Calc!$G$3:$G$22-B52)*Calc!$G$3:$G$22)</f>
        <v/>
      </c>
      <c r="N52">
        <f>SUMPRODUCT(Calc!$K$3:$K$22*(Calc!$G$3:$G$22&gt;A52)*(Calc!$G$3:$G$22-A52)*Calc!$I$3:$I$22)</f>
        <v/>
      </c>
      <c r="O52">
        <f>SUMPRODUCT(Calc!$K$3:$K$22*(Calc!$G$3:$G$22&gt;B52)*(Calc!$G$3:$G$22-B52)*Calc!$I$3:$I$22)</f>
        <v/>
      </c>
      <c r="P52">
        <f>I52-G52^2/k_n</f>
        <v/>
      </c>
      <c r="Q52">
        <f>J52-H52^2/k_n</f>
        <v/>
      </c>
      <c r="R52">
        <f>K52-G52*H52/k_n</f>
        <v/>
      </c>
      <c r="S52">
        <f>L52-LTP3!$D$3*G52/k_n</f>
        <v/>
      </c>
      <c r="T52">
        <f>M52-LTP3!$D$3*H52/k_n</f>
        <v/>
      </c>
      <c r="U52">
        <f>N52-G52*LTP3!$D$4/k_n</f>
        <v/>
      </c>
      <c r="V52">
        <f>O52-H52*LTP3!$D$4/k_n</f>
        <v/>
      </c>
      <c r="W52">
        <f>((LTP3!$D$5)*((P52)*(Q52)-(R52)*(R52))-(S52)*((S52)*(Q52)-(R52)*(T52))+(T52)*((S52)*(R52)-(P52)*(T52)))</f>
        <v/>
      </c>
      <c r="X52">
        <f>IF(ABS(W52)&gt;1E-12,((LTP3!$D$6)*((P52)*(Q52)-(R52)*(R52))-(S52)*((U52)*(Q52)-(R52)*(V52))+(T52)*((U52)*(R52)-(P52)*(V52)))/W52,0)</f>
        <v/>
      </c>
      <c r="Y52">
        <f>IF(ABS(W52)&gt;1E-12,((LTP3!$D$5)*((U52)*(Q52)-(R52)*(V52))-(LTP3!$D$6)*((S52)*(Q52)-(R52)*(T52))+(T52)*((S52)*(V52)-(U52)*(T52)))/W52,0)</f>
        <v/>
      </c>
      <c r="Z52">
        <f>IF(ABS(W52)&gt;1E-12,((LTP3!$D$5)*((P52)*(V52)-(U52)*(R52))-(S52)*((S52)*(V52)-(U52)*(T52))+(LTP3!$D$6)*((S52)*(R52)-(P52)*(T52)))/W52,0)</f>
        <v/>
      </c>
      <c r="AA52">
        <f>LTP3!$D$7-X52*LTP3!$D$6-Y52*U52-Z52*V52</f>
        <v/>
      </c>
      <c r="AB52">
        <f>IF(AND(F52,ABS(W52)&gt;1E-12,Y52&gt;0,Z52&gt;0),AA52,1E+300)</f>
        <v/>
      </c>
    </row>
    <row r="53">
      <c r="A53">
        <f>$B$3+$B$5*0</f>
        <v/>
      </c>
      <c r="B53">
        <f>$B$3+$B$5*41</f>
        <v/>
      </c>
      <c r="C53">
        <f>SUMPRODUCT(Calc!$K$3:$K$22*(Calc!$G$3:$G$22&lt;=A53))</f>
        <v/>
      </c>
      <c r="D53">
        <f>SUMPRODUCT(Calc!$K$3:$K$22*(Calc!$G$3:$G$22&gt;A53)*(Calc!$G$3:$G$22&lt;B53))</f>
        <v/>
      </c>
      <c r="E53">
        <f>SUMPRODUCT(Calc!$K$3:$K$22*(Calc!$G$3:$G$22&gt;=B53))</f>
        <v/>
      </c>
      <c r="F53">
        <f>AND(k_n&gt;=5,B53&gt;A53+1E-9,C53&gt;=2,D53&gt;=1,E53&gt;=2)</f>
        <v/>
      </c>
      <c r="G53">
        <f>SUMPRODUCT(Calc!$K$3:$K$22*(Calc!$G$3:$G$22&gt;A53)*(Calc!$G$3:$G$22-A53))</f>
        <v/>
      </c>
      <c r="H53">
        <f>SUMPRODUCT(Calc!$K$3:$K$22*(Calc!$G$3:$G$22&gt;B53)*(Calc!$G$3:$G$22-B53))</f>
        <v/>
      </c>
      <c r="I53">
        <f>SUMPRODUCT(Calc!$K$3:$K$22*(Calc!$G$3:$G$22&gt;A53)*(Calc!$G$3:$G$22-A53)^2)</f>
        <v/>
      </c>
      <c r="J53">
        <f>SUMPRODUCT(Calc!$K$3:$K$22*(Calc!$G$3:$G$22&gt;B53)*(Calc!$G$3:$G$22-B53)^2)</f>
        <v/>
      </c>
      <c r="K53">
        <f>SUMPRODUCT(Calc!$K$3:$K$22*(Calc!$G$3:$G$22&gt;A53)*(Calc!$G$3:$G$22-A53)*(Calc!$G$3:$G$22&gt;B53)*(Calc!$G$3:$G$22-B53))</f>
        <v/>
      </c>
      <c r="L53">
        <f>SUMPRODUCT(Calc!$K$3:$K$22*(Calc!$G$3:$G$22&gt;A53)*(Calc!$G$3:$G$22-A53)*Calc!$G$3:$G$22)</f>
        <v/>
      </c>
      <c r="M53">
        <f>SUMPRODUCT(Calc!$K$3:$K$22*(Calc!$G$3:$G$22&gt;B53)*(Calc!$G$3:$G$22-B53)*Calc!$G$3:$G$22)</f>
        <v/>
      </c>
      <c r="N53">
        <f>SUMPRODUCT(Calc!$K$3:$K$22*(Calc!$G$3:$G$22&gt;A53)*(Calc!$G$3:$G$22-A53)*Calc!$I$3:$I$22)</f>
        <v/>
      </c>
      <c r="O53">
        <f>SUMPRODUCT(Calc!$K$3:$K$22*(Calc!$G$3:$G$22&gt;B53)*(Calc!$G$3:$G$22-B53)*Calc!$I$3:$I$22)</f>
        <v/>
      </c>
      <c r="P53">
        <f>I53-G53^2/k_n</f>
        <v/>
      </c>
      <c r="Q53">
        <f>J53-H53^2/k_n</f>
        <v/>
      </c>
      <c r="R53">
        <f>K53-G53*H53/k_n</f>
        <v/>
      </c>
      <c r="S53">
        <f>L53-LTP3!$D$3*G53/k_n</f>
        <v/>
      </c>
      <c r="T53">
        <f>M53-LTP3!$D$3*H53/k_n</f>
        <v/>
      </c>
      <c r="U53">
        <f>N53-G53*LTP3!$D$4/k_n</f>
        <v/>
      </c>
      <c r="V53">
        <f>O53-H53*LTP3!$D$4/k_n</f>
        <v/>
      </c>
      <c r="W53">
        <f>((LTP3!$D$5)*((P53)*(Q53)-(R53)*(R53))-(S53)*((S53)*(Q53)-(R53)*(T53))+(T53)*((S53)*(R53)-(P53)*(T53)))</f>
        <v/>
      </c>
      <c r="X53">
        <f>IF(ABS(W53)&gt;1E-12,((LTP3!$D$6)*((P53)*(Q53)-(R53)*(R53))-(S53)*((U53)*(Q53)-(R53)*(V53))+(T53)*((U53)*(R53)-(P53)*(V53)))/W53,0)</f>
        <v/>
      </c>
      <c r="Y53">
        <f>IF(ABS(W53)&gt;1E-12,((LTP3!$D$5)*((U53)*(Q53)-(R53)*(V53))-(LTP3!$D$6)*((S53)*(Q53)-(R53)*(T53))+(T53)*((S53)*(V53)-(U53)*(T53)))/W53,0)</f>
        <v/>
      </c>
      <c r="Z53">
        <f>IF(ABS(W53)&gt;1E-12,((LTP3!$D$5)*((P53)*(V53)-(U53)*(R53))-(S53)*((S53)*(V53)-(U53)*(T53))+(LTP3!$D$6)*((S53)*(R53)-(P53)*(T53)))/W53,0)</f>
        <v/>
      </c>
      <c r="AA53">
        <f>LTP3!$D$7-X53*LTP3!$D$6-Y53*U53-Z53*V53</f>
        <v/>
      </c>
      <c r="AB53">
        <f>IF(AND(F53,ABS(W53)&gt;1E-12,Y53&gt;0,Z53&gt;0),AA53,1E+300)</f>
        <v/>
      </c>
    </row>
    <row r="54">
      <c r="A54">
        <f>$B$3+$B$5*0</f>
        <v/>
      </c>
      <c r="B54">
        <f>$B$3+$B$5*42</f>
        <v/>
      </c>
      <c r="C54">
        <f>SUMPRODUCT(Calc!$K$3:$K$22*(Calc!$G$3:$G$22&lt;=A54))</f>
        <v/>
      </c>
      <c r="D54">
        <f>SUMPRODUCT(Calc!$K$3:$K$22*(Calc!$G$3:$G$22&gt;A54)*(Calc!$G$3:$G$22&lt;B54))</f>
        <v/>
      </c>
      <c r="E54">
        <f>SUMPRODUCT(Calc!$K$3:$K$22*(Calc!$G$3:$G$22&gt;=B54))</f>
        <v/>
      </c>
      <c r="F54">
        <f>AND(k_n&gt;=5,B54&gt;A54+1E-9,C54&gt;=2,D54&gt;=1,E54&gt;=2)</f>
        <v/>
      </c>
      <c r="G54">
        <f>SUMPRODUCT(Calc!$K$3:$K$22*(Calc!$G$3:$G$22&gt;A54)*(Calc!$G$3:$G$22-A54))</f>
        <v/>
      </c>
      <c r="H54">
        <f>SUMPRODUCT(Calc!$K$3:$K$22*(Calc!$G$3:$G$22&gt;B54)*(Calc!$G$3:$G$22-B54))</f>
        <v/>
      </c>
      <c r="I54">
        <f>SUMPRODUCT(Calc!$K$3:$K$22*(Calc!$G$3:$G$22&gt;A54)*(Calc!$G$3:$G$22-A54)^2)</f>
        <v/>
      </c>
      <c r="J54">
        <f>SUMPRODUCT(Calc!$K$3:$K$22*(Calc!$G$3:$G$22&gt;B54)*(Calc!$G$3:$G$22-B54)^2)</f>
        <v/>
      </c>
      <c r="K54">
        <f>SUMPRODUCT(Calc!$K$3:$K$22*(Calc!$G$3:$G$22&gt;A54)*(Calc!$G$3:$G$22-A54)*(Calc!$G$3:$G$22&gt;B54)*(Calc!$G$3:$G$22-B54))</f>
        <v/>
      </c>
      <c r="L54">
        <f>SUMPRODUCT(Calc!$K$3:$K$22*(Calc!$G$3:$G$22&gt;A54)*(Calc!$G$3:$G$22-A54)*Calc!$G$3:$G$22)</f>
        <v/>
      </c>
      <c r="M54">
        <f>SUMPRODUCT(Calc!$K$3:$K$22*(Calc!$G$3:$G$22&gt;B54)*(Calc!$G$3:$G$22-B54)*Calc!$G$3:$G$22)</f>
        <v/>
      </c>
      <c r="N54">
        <f>SUMPRODUCT(Calc!$K$3:$K$22*(Calc!$G$3:$G$22&gt;A54)*(Calc!$G$3:$G$22-A54)*Calc!$I$3:$I$22)</f>
        <v/>
      </c>
      <c r="O54">
        <f>SUMPRODUCT(Calc!$K$3:$K$22*(Calc!$G$3:$G$22&gt;B54)*(Calc!$G$3:$G$22-B54)*Calc!$I$3:$I$22)</f>
        <v/>
      </c>
      <c r="P54">
        <f>I54-G54^2/k_n</f>
        <v/>
      </c>
      <c r="Q54">
        <f>J54-H54^2/k_n</f>
        <v/>
      </c>
      <c r="R54">
        <f>K54-G54*H54/k_n</f>
        <v/>
      </c>
      <c r="S54">
        <f>L54-LTP3!$D$3*G54/k_n</f>
        <v/>
      </c>
      <c r="T54">
        <f>M54-LTP3!$D$3*H54/k_n</f>
        <v/>
      </c>
      <c r="U54">
        <f>N54-G54*LTP3!$D$4/k_n</f>
        <v/>
      </c>
      <c r="V54">
        <f>O54-H54*LTP3!$D$4/k_n</f>
        <v/>
      </c>
      <c r="W54">
        <f>((LTP3!$D$5)*((P54)*(Q54)-(R54)*(R54))-(S54)*((S54)*(Q54)-(R54)*(T54))+(T54)*((S54)*(R54)-(P54)*(T54)))</f>
        <v/>
      </c>
      <c r="X54">
        <f>IF(ABS(W54)&gt;1E-12,((LTP3!$D$6)*((P54)*(Q54)-(R54)*(R54))-(S54)*((U54)*(Q54)-(R54)*(V54))+(T54)*((U54)*(R54)-(P54)*(V54)))/W54,0)</f>
        <v/>
      </c>
      <c r="Y54">
        <f>IF(ABS(W54)&gt;1E-12,((LTP3!$D$5)*((U54)*(Q54)-(R54)*(V54))-(LTP3!$D$6)*((S54)*(Q54)-(R54)*(T54))+(T54)*((S54)*(V54)-(U54)*(T54)))/W54,0)</f>
        <v/>
      </c>
      <c r="Z54">
        <f>IF(ABS(W54)&gt;1E-12,((LTP3!$D$5)*((P54)*(V54)-(U54)*(R54))-(S54)*((S54)*(V54)-(U54)*(T54))+(LTP3!$D$6)*((S54)*(R54)-(P54)*(T54)))/W54,0)</f>
        <v/>
      </c>
      <c r="AA54">
        <f>LTP3!$D$7-X54*LTP3!$D$6-Y54*U54-Z54*V54</f>
        <v/>
      </c>
      <c r="AB54">
        <f>IF(AND(F54,ABS(W54)&gt;1E-12,Y54&gt;0,Z54&gt;0),AA54,1E+300)</f>
        <v/>
      </c>
    </row>
    <row r="55">
      <c r="A55">
        <f>$B$3+$B$5*0</f>
        <v/>
      </c>
      <c r="B55">
        <f>$B$3+$B$5*43</f>
        <v/>
      </c>
      <c r="C55">
        <f>SUMPRODUCT(Calc!$K$3:$K$22*(Calc!$G$3:$G$22&lt;=A55))</f>
        <v/>
      </c>
      <c r="D55">
        <f>SUMPRODUCT(Calc!$K$3:$K$22*(Calc!$G$3:$G$22&gt;A55)*(Calc!$G$3:$G$22&lt;B55))</f>
        <v/>
      </c>
      <c r="E55">
        <f>SUMPRODUCT(Calc!$K$3:$K$22*(Calc!$G$3:$G$22&gt;=B55))</f>
        <v/>
      </c>
      <c r="F55">
        <f>AND(k_n&gt;=5,B55&gt;A55+1E-9,C55&gt;=2,D55&gt;=1,E55&gt;=2)</f>
        <v/>
      </c>
      <c r="G55">
        <f>SUMPRODUCT(Calc!$K$3:$K$22*(Calc!$G$3:$G$22&gt;A55)*(Calc!$G$3:$G$22-A55))</f>
        <v/>
      </c>
      <c r="H55">
        <f>SUMPRODUCT(Calc!$K$3:$K$22*(Calc!$G$3:$G$22&gt;B55)*(Calc!$G$3:$G$22-B55))</f>
        <v/>
      </c>
      <c r="I55">
        <f>SUMPRODUCT(Calc!$K$3:$K$22*(Calc!$G$3:$G$22&gt;A55)*(Calc!$G$3:$G$22-A55)^2)</f>
        <v/>
      </c>
      <c r="J55">
        <f>SUMPRODUCT(Calc!$K$3:$K$22*(Calc!$G$3:$G$22&gt;B55)*(Calc!$G$3:$G$22-B55)^2)</f>
        <v/>
      </c>
      <c r="K55">
        <f>SUMPRODUCT(Calc!$K$3:$K$22*(Calc!$G$3:$G$22&gt;A55)*(Calc!$G$3:$G$22-A55)*(Calc!$G$3:$G$22&gt;B55)*(Calc!$G$3:$G$22-B55))</f>
        <v/>
      </c>
      <c r="L55">
        <f>SUMPRODUCT(Calc!$K$3:$K$22*(Calc!$G$3:$G$22&gt;A55)*(Calc!$G$3:$G$22-A55)*Calc!$G$3:$G$22)</f>
        <v/>
      </c>
      <c r="M55">
        <f>SUMPRODUCT(Calc!$K$3:$K$22*(Calc!$G$3:$G$22&gt;B55)*(Calc!$G$3:$G$22-B55)*Calc!$G$3:$G$22)</f>
        <v/>
      </c>
      <c r="N55">
        <f>SUMPRODUCT(Calc!$K$3:$K$22*(Calc!$G$3:$G$22&gt;A55)*(Calc!$G$3:$G$22-A55)*Calc!$I$3:$I$22)</f>
        <v/>
      </c>
      <c r="O55">
        <f>SUMPRODUCT(Calc!$K$3:$K$22*(Calc!$G$3:$G$22&gt;B55)*(Calc!$G$3:$G$22-B55)*Calc!$I$3:$I$22)</f>
        <v/>
      </c>
      <c r="P55">
        <f>I55-G55^2/k_n</f>
        <v/>
      </c>
      <c r="Q55">
        <f>J55-H55^2/k_n</f>
        <v/>
      </c>
      <c r="R55">
        <f>K55-G55*H55/k_n</f>
        <v/>
      </c>
      <c r="S55">
        <f>L55-LTP3!$D$3*G55/k_n</f>
        <v/>
      </c>
      <c r="T55">
        <f>M55-LTP3!$D$3*H55/k_n</f>
        <v/>
      </c>
      <c r="U55">
        <f>N55-G55*LTP3!$D$4/k_n</f>
        <v/>
      </c>
      <c r="V55">
        <f>O55-H55*LTP3!$D$4/k_n</f>
        <v/>
      </c>
      <c r="W55">
        <f>((LTP3!$D$5)*((P55)*(Q55)-(R55)*(R55))-(S55)*((S55)*(Q55)-(R55)*(T55))+(T55)*((S55)*(R55)-(P55)*(T55)))</f>
        <v/>
      </c>
      <c r="X55">
        <f>IF(ABS(W55)&gt;1E-12,((LTP3!$D$6)*((P55)*(Q55)-(R55)*(R55))-(S55)*((U55)*(Q55)-(R55)*(V55))+(T55)*((U55)*(R55)-(P55)*(V55)))/W55,0)</f>
        <v/>
      </c>
      <c r="Y55">
        <f>IF(ABS(W55)&gt;1E-12,((LTP3!$D$5)*((U55)*(Q55)-(R55)*(V55))-(LTP3!$D$6)*((S55)*(Q55)-(R55)*(T55))+(T55)*((S55)*(V55)-(U55)*(T55)))/W55,0)</f>
        <v/>
      </c>
      <c r="Z55">
        <f>IF(ABS(W55)&gt;1E-12,((LTP3!$D$5)*((P55)*(V55)-(U55)*(R55))-(S55)*((S55)*(V55)-(U55)*(T55))+(LTP3!$D$6)*((S55)*(R55)-(P55)*(T55)))/W55,0)</f>
        <v/>
      </c>
      <c r="AA55">
        <f>LTP3!$D$7-X55*LTP3!$D$6-Y55*U55-Z55*V55</f>
        <v/>
      </c>
      <c r="AB55">
        <f>IF(AND(F55,ABS(W55)&gt;1E-12,Y55&gt;0,Z55&gt;0),AA55,1E+300)</f>
        <v/>
      </c>
    </row>
    <row r="56">
      <c r="A56">
        <f>$B$3+$B$5*0</f>
        <v/>
      </c>
      <c r="B56">
        <f>$B$3+$B$5*44</f>
        <v/>
      </c>
      <c r="C56">
        <f>SUMPRODUCT(Calc!$K$3:$K$22*(Calc!$G$3:$G$22&lt;=A56))</f>
        <v/>
      </c>
      <c r="D56">
        <f>SUMPRODUCT(Calc!$K$3:$K$22*(Calc!$G$3:$G$22&gt;A56)*(Calc!$G$3:$G$22&lt;B56))</f>
        <v/>
      </c>
      <c r="E56">
        <f>SUMPRODUCT(Calc!$K$3:$K$22*(Calc!$G$3:$G$22&gt;=B56))</f>
        <v/>
      </c>
      <c r="F56">
        <f>AND(k_n&gt;=5,B56&gt;A56+1E-9,C56&gt;=2,D56&gt;=1,E56&gt;=2)</f>
        <v/>
      </c>
      <c r="G56">
        <f>SUMPRODUCT(Calc!$K$3:$K$22*(Calc!$G$3:$G$22&gt;A56)*(Calc!$G$3:$G$22-A56))</f>
        <v/>
      </c>
      <c r="H56">
        <f>SUMPRODUCT(Calc!$K$3:$K$22*(Calc!$G$3:$G$22&gt;B56)*(Calc!$G$3:$G$22-B56))</f>
        <v/>
      </c>
      <c r="I56">
        <f>SUMPRODUCT(Calc!$K$3:$K$22*(Calc!$G$3:$G$22&gt;A56)*(Calc!$G$3:$G$22-A56)^2)</f>
        <v/>
      </c>
      <c r="J56">
        <f>SUMPRODUCT(Calc!$K$3:$K$22*(Calc!$G$3:$G$22&gt;B56)*(Calc!$G$3:$G$22-B56)^2)</f>
        <v/>
      </c>
      <c r="K56">
        <f>SUMPRODUCT(Calc!$K$3:$K$22*(Calc!$G$3:$G$22&gt;A56)*(Calc!$G$3:$G$22-A56)*(Calc!$G$3:$G$22&gt;B56)*(Calc!$G$3:$G$22-B56))</f>
        <v/>
      </c>
      <c r="L56">
        <f>SUMPRODUCT(Calc!$K$3:$K$22*(Calc!$G$3:$G$22&gt;A56)*(Calc!$G$3:$G$22-A56)*Calc!$G$3:$G$22)</f>
        <v/>
      </c>
      <c r="M56">
        <f>SUMPRODUCT(Calc!$K$3:$K$22*(Calc!$G$3:$G$22&gt;B56)*(Calc!$G$3:$G$22-B56)*Calc!$G$3:$G$22)</f>
        <v/>
      </c>
      <c r="N56">
        <f>SUMPRODUCT(Calc!$K$3:$K$22*(Calc!$G$3:$G$22&gt;A56)*(Calc!$G$3:$G$22-A56)*Calc!$I$3:$I$22)</f>
        <v/>
      </c>
      <c r="O56">
        <f>SUMPRODUCT(Calc!$K$3:$K$22*(Calc!$G$3:$G$22&gt;B56)*(Calc!$G$3:$G$22-B56)*Calc!$I$3:$I$22)</f>
        <v/>
      </c>
      <c r="P56">
        <f>I56-G56^2/k_n</f>
        <v/>
      </c>
      <c r="Q56">
        <f>J56-H56^2/k_n</f>
        <v/>
      </c>
      <c r="R56">
        <f>K56-G56*H56/k_n</f>
        <v/>
      </c>
      <c r="S56">
        <f>L56-LTP3!$D$3*G56/k_n</f>
        <v/>
      </c>
      <c r="T56">
        <f>M56-LTP3!$D$3*H56/k_n</f>
        <v/>
      </c>
      <c r="U56">
        <f>N56-G56*LTP3!$D$4/k_n</f>
        <v/>
      </c>
      <c r="V56">
        <f>O56-H56*LTP3!$D$4/k_n</f>
        <v/>
      </c>
      <c r="W56">
        <f>((LTP3!$D$5)*((P56)*(Q56)-(R56)*(R56))-(S56)*((S56)*(Q56)-(R56)*(T56))+(T56)*((S56)*(R56)-(P56)*(T56)))</f>
        <v/>
      </c>
      <c r="X56">
        <f>IF(ABS(W56)&gt;1E-12,((LTP3!$D$6)*((P56)*(Q56)-(R56)*(R56))-(S56)*((U56)*(Q56)-(R56)*(V56))+(T56)*((U56)*(R56)-(P56)*(V56)))/W56,0)</f>
        <v/>
      </c>
      <c r="Y56">
        <f>IF(ABS(W56)&gt;1E-12,((LTP3!$D$5)*((U56)*(Q56)-(R56)*(V56))-(LTP3!$D$6)*((S56)*(Q56)-(R56)*(T56))+(T56)*((S56)*(V56)-(U56)*(T56)))/W56,0)</f>
        <v/>
      </c>
      <c r="Z56">
        <f>IF(ABS(W56)&gt;1E-12,((LTP3!$D$5)*((P56)*(V56)-(U56)*(R56))-(S56)*((S56)*(V56)-(U56)*(T56))+(LTP3!$D$6)*((S56)*(R56)-(P56)*(T56)))/W56,0)</f>
        <v/>
      </c>
      <c r="AA56">
        <f>LTP3!$D$7-X56*LTP3!$D$6-Y56*U56-Z56*V56</f>
        <v/>
      </c>
      <c r="AB56">
        <f>IF(AND(F56,ABS(W56)&gt;1E-12,Y56&gt;0,Z56&gt;0),AA56,1E+300)</f>
        <v/>
      </c>
    </row>
    <row r="57">
      <c r="A57">
        <f>$B$3+$B$5*0</f>
        <v/>
      </c>
      <c r="B57">
        <f>$B$3+$B$5*45</f>
        <v/>
      </c>
      <c r="C57">
        <f>SUMPRODUCT(Calc!$K$3:$K$22*(Calc!$G$3:$G$22&lt;=A57))</f>
        <v/>
      </c>
      <c r="D57">
        <f>SUMPRODUCT(Calc!$K$3:$K$22*(Calc!$G$3:$G$22&gt;A57)*(Calc!$G$3:$G$22&lt;B57))</f>
        <v/>
      </c>
      <c r="E57">
        <f>SUMPRODUCT(Calc!$K$3:$K$22*(Calc!$G$3:$G$22&gt;=B57))</f>
        <v/>
      </c>
      <c r="F57">
        <f>AND(k_n&gt;=5,B57&gt;A57+1E-9,C57&gt;=2,D57&gt;=1,E57&gt;=2)</f>
        <v/>
      </c>
      <c r="G57">
        <f>SUMPRODUCT(Calc!$K$3:$K$22*(Calc!$G$3:$G$22&gt;A57)*(Calc!$G$3:$G$22-A57))</f>
        <v/>
      </c>
      <c r="H57">
        <f>SUMPRODUCT(Calc!$K$3:$K$22*(Calc!$G$3:$G$22&gt;B57)*(Calc!$G$3:$G$22-B57))</f>
        <v/>
      </c>
      <c r="I57">
        <f>SUMPRODUCT(Calc!$K$3:$K$22*(Calc!$G$3:$G$22&gt;A57)*(Calc!$G$3:$G$22-A57)^2)</f>
        <v/>
      </c>
      <c r="J57">
        <f>SUMPRODUCT(Calc!$K$3:$K$22*(Calc!$G$3:$G$22&gt;B57)*(Calc!$G$3:$G$22-B57)^2)</f>
        <v/>
      </c>
      <c r="K57">
        <f>SUMPRODUCT(Calc!$K$3:$K$22*(Calc!$G$3:$G$22&gt;A57)*(Calc!$G$3:$G$22-A57)*(Calc!$G$3:$G$22&gt;B57)*(Calc!$G$3:$G$22-B57))</f>
        <v/>
      </c>
      <c r="L57">
        <f>SUMPRODUCT(Calc!$K$3:$K$22*(Calc!$G$3:$G$22&gt;A57)*(Calc!$G$3:$G$22-A57)*Calc!$G$3:$G$22)</f>
        <v/>
      </c>
      <c r="M57">
        <f>SUMPRODUCT(Calc!$K$3:$K$22*(Calc!$G$3:$G$22&gt;B57)*(Calc!$G$3:$G$22-B57)*Calc!$G$3:$G$22)</f>
        <v/>
      </c>
      <c r="N57">
        <f>SUMPRODUCT(Calc!$K$3:$K$22*(Calc!$G$3:$G$22&gt;A57)*(Calc!$G$3:$G$22-A57)*Calc!$I$3:$I$22)</f>
        <v/>
      </c>
      <c r="O57">
        <f>SUMPRODUCT(Calc!$K$3:$K$22*(Calc!$G$3:$G$22&gt;B57)*(Calc!$G$3:$G$22-B57)*Calc!$I$3:$I$22)</f>
        <v/>
      </c>
      <c r="P57">
        <f>I57-G57^2/k_n</f>
        <v/>
      </c>
      <c r="Q57">
        <f>J57-H57^2/k_n</f>
        <v/>
      </c>
      <c r="R57">
        <f>K57-G57*H57/k_n</f>
        <v/>
      </c>
      <c r="S57">
        <f>L57-LTP3!$D$3*G57/k_n</f>
        <v/>
      </c>
      <c r="T57">
        <f>M57-LTP3!$D$3*H57/k_n</f>
        <v/>
      </c>
      <c r="U57">
        <f>N57-G57*LTP3!$D$4/k_n</f>
        <v/>
      </c>
      <c r="V57">
        <f>O57-H57*LTP3!$D$4/k_n</f>
        <v/>
      </c>
      <c r="W57">
        <f>((LTP3!$D$5)*((P57)*(Q57)-(R57)*(R57))-(S57)*((S57)*(Q57)-(R57)*(T57))+(T57)*((S57)*(R57)-(P57)*(T57)))</f>
        <v/>
      </c>
      <c r="X57">
        <f>IF(ABS(W57)&gt;1E-12,((LTP3!$D$6)*((P57)*(Q57)-(R57)*(R57))-(S57)*((U57)*(Q57)-(R57)*(V57))+(T57)*((U57)*(R57)-(P57)*(V57)))/W57,0)</f>
        <v/>
      </c>
      <c r="Y57">
        <f>IF(ABS(W57)&gt;1E-12,((LTP3!$D$5)*((U57)*(Q57)-(R57)*(V57))-(LTP3!$D$6)*((S57)*(Q57)-(R57)*(T57))+(T57)*((S57)*(V57)-(U57)*(T57)))/W57,0)</f>
        <v/>
      </c>
      <c r="Z57">
        <f>IF(ABS(W57)&gt;1E-12,((LTP3!$D$5)*((P57)*(V57)-(U57)*(R57))-(S57)*((S57)*(V57)-(U57)*(T57))+(LTP3!$D$6)*((S57)*(R57)-(P57)*(T57)))/W57,0)</f>
        <v/>
      </c>
      <c r="AA57">
        <f>LTP3!$D$7-X57*LTP3!$D$6-Y57*U57-Z57*V57</f>
        <v/>
      </c>
      <c r="AB57">
        <f>IF(AND(F57,ABS(W57)&gt;1E-12,Y57&gt;0,Z57&gt;0),AA57,1E+300)</f>
        <v/>
      </c>
    </row>
    <row r="58">
      <c r="A58">
        <f>$B$3+$B$5*0</f>
        <v/>
      </c>
      <c r="B58">
        <f>$B$3+$B$5*46</f>
        <v/>
      </c>
      <c r="C58">
        <f>SUMPRODUCT(Calc!$K$3:$K$22*(Calc!$G$3:$G$22&lt;=A58))</f>
        <v/>
      </c>
      <c r="D58">
        <f>SUMPRODUCT(Calc!$K$3:$K$22*(Calc!$G$3:$G$22&gt;A58)*(Calc!$G$3:$G$22&lt;B58))</f>
        <v/>
      </c>
      <c r="E58">
        <f>SUMPRODUCT(Calc!$K$3:$K$22*(Calc!$G$3:$G$22&gt;=B58))</f>
        <v/>
      </c>
      <c r="F58">
        <f>AND(k_n&gt;=5,B58&gt;A58+1E-9,C58&gt;=2,D58&gt;=1,E58&gt;=2)</f>
        <v/>
      </c>
      <c r="G58">
        <f>SUMPRODUCT(Calc!$K$3:$K$22*(Calc!$G$3:$G$22&gt;A58)*(Calc!$G$3:$G$22-A58))</f>
        <v/>
      </c>
      <c r="H58">
        <f>SUMPRODUCT(Calc!$K$3:$K$22*(Calc!$G$3:$G$22&gt;B58)*(Calc!$G$3:$G$22-B58))</f>
        <v/>
      </c>
      <c r="I58">
        <f>SUMPRODUCT(Calc!$K$3:$K$22*(Calc!$G$3:$G$22&gt;A58)*(Calc!$G$3:$G$22-A58)^2)</f>
        <v/>
      </c>
      <c r="J58">
        <f>SUMPRODUCT(Calc!$K$3:$K$22*(Calc!$G$3:$G$22&gt;B58)*(Calc!$G$3:$G$22-B58)^2)</f>
        <v/>
      </c>
      <c r="K58">
        <f>SUMPRODUCT(Calc!$K$3:$K$22*(Calc!$G$3:$G$22&gt;A58)*(Calc!$G$3:$G$22-A58)*(Calc!$G$3:$G$22&gt;B58)*(Calc!$G$3:$G$22-B58))</f>
        <v/>
      </c>
      <c r="L58">
        <f>SUMPRODUCT(Calc!$K$3:$K$22*(Calc!$G$3:$G$22&gt;A58)*(Calc!$G$3:$G$22-A58)*Calc!$G$3:$G$22)</f>
        <v/>
      </c>
      <c r="M58">
        <f>SUMPRODUCT(Calc!$K$3:$K$22*(Calc!$G$3:$G$22&gt;B58)*(Calc!$G$3:$G$22-B58)*Calc!$G$3:$G$22)</f>
        <v/>
      </c>
      <c r="N58">
        <f>SUMPRODUCT(Calc!$K$3:$K$22*(Calc!$G$3:$G$22&gt;A58)*(Calc!$G$3:$G$22-A58)*Calc!$I$3:$I$22)</f>
        <v/>
      </c>
      <c r="O58">
        <f>SUMPRODUCT(Calc!$K$3:$K$22*(Calc!$G$3:$G$22&gt;B58)*(Calc!$G$3:$G$22-B58)*Calc!$I$3:$I$22)</f>
        <v/>
      </c>
      <c r="P58">
        <f>I58-G58^2/k_n</f>
        <v/>
      </c>
      <c r="Q58">
        <f>J58-H58^2/k_n</f>
        <v/>
      </c>
      <c r="R58">
        <f>K58-G58*H58/k_n</f>
        <v/>
      </c>
      <c r="S58">
        <f>L58-LTP3!$D$3*G58/k_n</f>
        <v/>
      </c>
      <c r="T58">
        <f>M58-LTP3!$D$3*H58/k_n</f>
        <v/>
      </c>
      <c r="U58">
        <f>N58-G58*LTP3!$D$4/k_n</f>
        <v/>
      </c>
      <c r="V58">
        <f>O58-H58*LTP3!$D$4/k_n</f>
        <v/>
      </c>
      <c r="W58">
        <f>((LTP3!$D$5)*((P58)*(Q58)-(R58)*(R58))-(S58)*((S58)*(Q58)-(R58)*(T58))+(T58)*((S58)*(R58)-(P58)*(T58)))</f>
        <v/>
      </c>
      <c r="X58">
        <f>IF(ABS(W58)&gt;1E-12,((LTP3!$D$6)*((P58)*(Q58)-(R58)*(R58))-(S58)*((U58)*(Q58)-(R58)*(V58))+(T58)*((U58)*(R58)-(P58)*(V58)))/W58,0)</f>
        <v/>
      </c>
      <c r="Y58">
        <f>IF(ABS(W58)&gt;1E-12,((LTP3!$D$5)*((U58)*(Q58)-(R58)*(V58))-(LTP3!$D$6)*((S58)*(Q58)-(R58)*(T58))+(T58)*((S58)*(V58)-(U58)*(T58)))/W58,0)</f>
        <v/>
      </c>
      <c r="Z58">
        <f>IF(ABS(W58)&gt;1E-12,((LTP3!$D$5)*((P58)*(V58)-(U58)*(R58))-(S58)*((S58)*(V58)-(U58)*(T58))+(LTP3!$D$6)*((S58)*(R58)-(P58)*(T58)))/W58,0)</f>
        <v/>
      </c>
      <c r="AA58">
        <f>LTP3!$D$7-X58*LTP3!$D$6-Y58*U58-Z58*V58</f>
        <v/>
      </c>
      <c r="AB58">
        <f>IF(AND(F58,ABS(W58)&gt;1E-12,Y58&gt;0,Z58&gt;0),AA58,1E+300)</f>
        <v/>
      </c>
    </row>
    <row r="59">
      <c r="A59">
        <f>$B$3+$B$5*0</f>
        <v/>
      </c>
      <c r="B59">
        <f>$B$3+$B$5*47</f>
        <v/>
      </c>
      <c r="C59">
        <f>SUMPRODUCT(Calc!$K$3:$K$22*(Calc!$G$3:$G$22&lt;=A59))</f>
        <v/>
      </c>
      <c r="D59">
        <f>SUMPRODUCT(Calc!$K$3:$K$22*(Calc!$G$3:$G$22&gt;A59)*(Calc!$G$3:$G$22&lt;B59))</f>
        <v/>
      </c>
      <c r="E59">
        <f>SUMPRODUCT(Calc!$K$3:$K$22*(Calc!$G$3:$G$22&gt;=B59))</f>
        <v/>
      </c>
      <c r="F59">
        <f>AND(k_n&gt;=5,B59&gt;A59+1E-9,C59&gt;=2,D59&gt;=1,E59&gt;=2)</f>
        <v/>
      </c>
      <c r="G59">
        <f>SUMPRODUCT(Calc!$K$3:$K$22*(Calc!$G$3:$G$22&gt;A59)*(Calc!$G$3:$G$22-A59))</f>
        <v/>
      </c>
      <c r="H59">
        <f>SUMPRODUCT(Calc!$K$3:$K$22*(Calc!$G$3:$G$22&gt;B59)*(Calc!$G$3:$G$22-B59))</f>
        <v/>
      </c>
      <c r="I59">
        <f>SUMPRODUCT(Calc!$K$3:$K$22*(Calc!$G$3:$G$22&gt;A59)*(Calc!$G$3:$G$22-A59)^2)</f>
        <v/>
      </c>
      <c r="J59">
        <f>SUMPRODUCT(Calc!$K$3:$K$22*(Calc!$G$3:$G$22&gt;B59)*(Calc!$G$3:$G$22-B59)^2)</f>
        <v/>
      </c>
      <c r="K59">
        <f>SUMPRODUCT(Calc!$K$3:$K$22*(Calc!$G$3:$G$22&gt;A59)*(Calc!$G$3:$G$22-A59)*(Calc!$G$3:$G$22&gt;B59)*(Calc!$G$3:$G$22-B59))</f>
        <v/>
      </c>
      <c r="L59">
        <f>SUMPRODUCT(Calc!$K$3:$K$22*(Calc!$G$3:$G$22&gt;A59)*(Calc!$G$3:$G$22-A59)*Calc!$G$3:$G$22)</f>
        <v/>
      </c>
      <c r="M59">
        <f>SUMPRODUCT(Calc!$K$3:$K$22*(Calc!$G$3:$G$22&gt;B59)*(Calc!$G$3:$G$22-B59)*Calc!$G$3:$G$22)</f>
        <v/>
      </c>
      <c r="N59">
        <f>SUMPRODUCT(Calc!$K$3:$K$22*(Calc!$G$3:$G$22&gt;A59)*(Calc!$G$3:$G$22-A59)*Calc!$I$3:$I$22)</f>
        <v/>
      </c>
      <c r="O59">
        <f>SUMPRODUCT(Calc!$K$3:$K$22*(Calc!$G$3:$G$22&gt;B59)*(Calc!$G$3:$G$22-B59)*Calc!$I$3:$I$22)</f>
        <v/>
      </c>
      <c r="P59">
        <f>I59-G59^2/k_n</f>
        <v/>
      </c>
      <c r="Q59">
        <f>J59-H59^2/k_n</f>
        <v/>
      </c>
      <c r="R59">
        <f>K59-G59*H59/k_n</f>
        <v/>
      </c>
      <c r="S59">
        <f>L59-LTP3!$D$3*G59/k_n</f>
        <v/>
      </c>
      <c r="T59">
        <f>M59-LTP3!$D$3*H59/k_n</f>
        <v/>
      </c>
      <c r="U59">
        <f>N59-G59*LTP3!$D$4/k_n</f>
        <v/>
      </c>
      <c r="V59">
        <f>O59-H59*LTP3!$D$4/k_n</f>
        <v/>
      </c>
      <c r="W59">
        <f>((LTP3!$D$5)*((P59)*(Q59)-(R59)*(R59))-(S59)*((S59)*(Q59)-(R59)*(T59))+(T59)*((S59)*(R59)-(P59)*(T59)))</f>
        <v/>
      </c>
      <c r="X59">
        <f>IF(ABS(W59)&gt;1E-12,((LTP3!$D$6)*((P59)*(Q59)-(R59)*(R59))-(S59)*((U59)*(Q59)-(R59)*(V59))+(T59)*((U59)*(R59)-(P59)*(V59)))/W59,0)</f>
        <v/>
      </c>
      <c r="Y59">
        <f>IF(ABS(W59)&gt;1E-12,((LTP3!$D$5)*((U59)*(Q59)-(R59)*(V59))-(LTP3!$D$6)*((S59)*(Q59)-(R59)*(T59))+(T59)*((S59)*(V59)-(U59)*(T59)))/W59,0)</f>
        <v/>
      </c>
      <c r="Z59">
        <f>IF(ABS(W59)&gt;1E-12,((LTP3!$D$5)*((P59)*(V59)-(U59)*(R59))-(S59)*((S59)*(V59)-(U59)*(T59))+(LTP3!$D$6)*((S59)*(R59)-(P59)*(T59)))/W59,0)</f>
        <v/>
      </c>
      <c r="AA59">
        <f>LTP3!$D$7-X59*LTP3!$D$6-Y59*U59-Z59*V59</f>
        <v/>
      </c>
      <c r="AB59">
        <f>IF(AND(F59,ABS(W59)&gt;1E-12,Y59&gt;0,Z59&gt;0),AA59,1E+300)</f>
        <v/>
      </c>
    </row>
    <row r="60">
      <c r="A60">
        <f>$B$3+$B$5*0</f>
        <v/>
      </c>
      <c r="B60">
        <f>$B$3+$B$5*48</f>
        <v/>
      </c>
      <c r="C60">
        <f>SUMPRODUCT(Calc!$K$3:$K$22*(Calc!$G$3:$G$22&lt;=A60))</f>
        <v/>
      </c>
      <c r="D60">
        <f>SUMPRODUCT(Calc!$K$3:$K$22*(Calc!$G$3:$G$22&gt;A60)*(Calc!$G$3:$G$22&lt;B60))</f>
        <v/>
      </c>
      <c r="E60">
        <f>SUMPRODUCT(Calc!$K$3:$K$22*(Calc!$G$3:$G$22&gt;=B60))</f>
        <v/>
      </c>
      <c r="F60">
        <f>AND(k_n&gt;=5,B60&gt;A60+1E-9,C60&gt;=2,D60&gt;=1,E60&gt;=2)</f>
        <v/>
      </c>
      <c r="G60">
        <f>SUMPRODUCT(Calc!$K$3:$K$22*(Calc!$G$3:$G$22&gt;A60)*(Calc!$G$3:$G$22-A60))</f>
        <v/>
      </c>
      <c r="H60">
        <f>SUMPRODUCT(Calc!$K$3:$K$22*(Calc!$G$3:$G$22&gt;B60)*(Calc!$G$3:$G$22-B60))</f>
        <v/>
      </c>
      <c r="I60">
        <f>SUMPRODUCT(Calc!$K$3:$K$22*(Calc!$G$3:$G$22&gt;A60)*(Calc!$G$3:$G$22-A60)^2)</f>
        <v/>
      </c>
      <c r="J60">
        <f>SUMPRODUCT(Calc!$K$3:$K$22*(Calc!$G$3:$G$22&gt;B60)*(Calc!$G$3:$G$22-B60)^2)</f>
        <v/>
      </c>
      <c r="K60">
        <f>SUMPRODUCT(Calc!$K$3:$K$22*(Calc!$G$3:$G$22&gt;A60)*(Calc!$G$3:$G$22-A60)*(Calc!$G$3:$G$22&gt;B60)*(Calc!$G$3:$G$22-B60))</f>
        <v/>
      </c>
      <c r="L60">
        <f>SUMPRODUCT(Calc!$K$3:$K$22*(Calc!$G$3:$G$22&gt;A60)*(Calc!$G$3:$G$22-A60)*Calc!$G$3:$G$22)</f>
        <v/>
      </c>
      <c r="M60">
        <f>SUMPRODUCT(Calc!$K$3:$K$22*(Calc!$G$3:$G$22&gt;B60)*(Calc!$G$3:$G$22-B60)*Calc!$G$3:$G$22)</f>
        <v/>
      </c>
      <c r="N60">
        <f>SUMPRODUCT(Calc!$K$3:$K$22*(Calc!$G$3:$G$22&gt;A60)*(Calc!$G$3:$G$22-A60)*Calc!$I$3:$I$22)</f>
        <v/>
      </c>
      <c r="O60">
        <f>SUMPRODUCT(Calc!$K$3:$K$22*(Calc!$G$3:$G$22&gt;B60)*(Calc!$G$3:$G$22-B60)*Calc!$I$3:$I$22)</f>
        <v/>
      </c>
      <c r="P60">
        <f>I60-G60^2/k_n</f>
        <v/>
      </c>
      <c r="Q60">
        <f>J60-H60^2/k_n</f>
        <v/>
      </c>
      <c r="R60">
        <f>K60-G60*H60/k_n</f>
        <v/>
      </c>
      <c r="S60">
        <f>L60-LTP3!$D$3*G60/k_n</f>
        <v/>
      </c>
      <c r="T60">
        <f>M60-LTP3!$D$3*H60/k_n</f>
        <v/>
      </c>
      <c r="U60">
        <f>N60-G60*LTP3!$D$4/k_n</f>
        <v/>
      </c>
      <c r="V60">
        <f>O60-H60*LTP3!$D$4/k_n</f>
        <v/>
      </c>
      <c r="W60">
        <f>((LTP3!$D$5)*((P60)*(Q60)-(R60)*(R60))-(S60)*((S60)*(Q60)-(R60)*(T60))+(T60)*((S60)*(R60)-(P60)*(T60)))</f>
        <v/>
      </c>
      <c r="X60">
        <f>IF(ABS(W60)&gt;1E-12,((LTP3!$D$6)*((P60)*(Q60)-(R60)*(R60))-(S60)*((U60)*(Q60)-(R60)*(V60))+(T60)*((U60)*(R60)-(P60)*(V60)))/W60,0)</f>
        <v/>
      </c>
      <c r="Y60">
        <f>IF(ABS(W60)&gt;1E-12,((LTP3!$D$5)*((U60)*(Q60)-(R60)*(V60))-(LTP3!$D$6)*((S60)*(Q60)-(R60)*(T60))+(T60)*((S60)*(V60)-(U60)*(T60)))/W60,0)</f>
        <v/>
      </c>
      <c r="Z60">
        <f>IF(ABS(W60)&gt;1E-12,((LTP3!$D$5)*((P60)*(V60)-(U60)*(R60))-(S60)*((S60)*(V60)-(U60)*(T60))+(LTP3!$D$6)*((S60)*(R60)-(P60)*(T60)))/W60,0)</f>
        <v/>
      </c>
      <c r="AA60">
        <f>LTP3!$D$7-X60*LTP3!$D$6-Y60*U60-Z60*V60</f>
        <v/>
      </c>
      <c r="AB60">
        <f>IF(AND(F60,ABS(W60)&gt;1E-12,Y60&gt;0,Z60&gt;0),AA60,1E+300)</f>
        <v/>
      </c>
    </row>
    <row r="61">
      <c r="A61">
        <f>$B$3+$B$5*0</f>
        <v/>
      </c>
      <c r="B61">
        <f>$B$3+$B$5*49</f>
        <v/>
      </c>
      <c r="C61">
        <f>SUMPRODUCT(Calc!$K$3:$K$22*(Calc!$G$3:$G$22&lt;=A61))</f>
        <v/>
      </c>
      <c r="D61">
        <f>SUMPRODUCT(Calc!$K$3:$K$22*(Calc!$G$3:$G$22&gt;A61)*(Calc!$G$3:$G$22&lt;B61))</f>
        <v/>
      </c>
      <c r="E61">
        <f>SUMPRODUCT(Calc!$K$3:$K$22*(Calc!$G$3:$G$22&gt;=B61))</f>
        <v/>
      </c>
      <c r="F61">
        <f>AND(k_n&gt;=5,B61&gt;A61+1E-9,C61&gt;=2,D61&gt;=1,E61&gt;=2)</f>
        <v/>
      </c>
      <c r="G61">
        <f>SUMPRODUCT(Calc!$K$3:$K$22*(Calc!$G$3:$G$22&gt;A61)*(Calc!$G$3:$G$22-A61))</f>
        <v/>
      </c>
      <c r="H61">
        <f>SUMPRODUCT(Calc!$K$3:$K$22*(Calc!$G$3:$G$22&gt;B61)*(Calc!$G$3:$G$22-B61))</f>
        <v/>
      </c>
      <c r="I61">
        <f>SUMPRODUCT(Calc!$K$3:$K$22*(Calc!$G$3:$G$22&gt;A61)*(Calc!$G$3:$G$22-A61)^2)</f>
        <v/>
      </c>
      <c r="J61">
        <f>SUMPRODUCT(Calc!$K$3:$K$22*(Calc!$G$3:$G$22&gt;B61)*(Calc!$G$3:$G$22-B61)^2)</f>
        <v/>
      </c>
      <c r="K61">
        <f>SUMPRODUCT(Calc!$K$3:$K$22*(Calc!$G$3:$G$22&gt;A61)*(Calc!$G$3:$G$22-A61)*(Calc!$G$3:$G$22&gt;B61)*(Calc!$G$3:$G$22-B61))</f>
        <v/>
      </c>
      <c r="L61">
        <f>SUMPRODUCT(Calc!$K$3:$K$22*(Calc!$G$3:$G$22&gt;A61)*(Calc!$G$3:$G$22-A61)*Calc!$G$3:$G$22)</f>
        <v/>
      </c>
      <c r="M61">
        <f>SUMPRODUCT(Calc!$K$3:$K$22*(Calc!$G$3:$G$22&gt;B61)*(Calc!$G$3:$G$22-B61)*Calc!$G$3:$G$22)</f>
        <v/>
      </c>
      <c r="N61">
        <f>SUMPRODUCT(Calc!$K$3:$K$22*(Calc!$G$3:$G$22&gt;A61)*(Calc!$G$3:$G$22-A61)*Calc!$I$3:$I$22)</f>
        <v/>
      </c>
      <c r="O61">
        <f>SUMPRODUCT(Calc!$K$3:$K$22*(Calc!$G$3:$G$22&gt;B61)*(Calc!$G$3:$G$22-B61)*Calc!$I$3:$I$22)</f>
        <v/>
      </c>
      <c r="P61">
        <f>I61-G61^2/k_n</f>
        <v/>
      </c>
      <c r="Q61">
        <f>J61-H61^2/k_n</f>
        <v/>
      </c>
      <c r="R61">
        <f>K61-G61*H61/k_n</f>
        <v/>
      </c>
      <c r="S61">
        <f>L61-LTP3!$D$3*G61/k_n</f>
        <v/>
      </c>
      <c r="T61">
        <f>M61-LTP3!$D$3*H61/k_n</f>
        <v/>
      </c>
      <c r="U61">
        <f>N61-G61*LTP3!$D$4/k_n</f>
        <v/>
      </c>
      <c r="V61">
        <f>O61-H61*LTP3!$D$4/k_n</f>
        <v/>
      </c>
      <c r="W61">
        <f>((LTP3!$D$5)*((P61)*(Q61)-(R61)*(R61))-(S61)*((S61)*(Q61)-(R61)*(T61))+(T61)*((S61)*(R61)-(P61)*(T61)))</f>
        <v/>
      </c>
      <c r="X61">
        <f>IF(ABS(W61)&gt;1E-12,((LTP3!$D$6)*((P61)*(Q61)-(R61)*(R61))-(S61)*((U61)*(Q61)-(R61)*(V61))+(T61)*((U61)*(R61)-(P61)*(V61)))/W61,0)</f>
        <v/>
      </c>
      <c r="Y61">
        <f>IF(ABS(W61)&gt;1E-12,((LTP3!$D$5)*((U61)*(Q61)-(R61)*(V61))-(LTP3!$D$6)*((S61)*(Q61)-(R61)*(T61))+(T61)*((S61)*(V61)-(U61)*(T61)))/W61,0)</f>
        <v/>
      </c>
      <c r="Z61">
        <f>IF(ABS(W61)&gt;1E-12,((LTP3!$D$5)*((P61)*(V61)-(U61)*(R61))-(S61)*((S61)*(V61)-(U61)*(T61))+(LTP3!$D$6)*((S61)*(R61)-(P61)*(T61)))/W61,0)</f>
        <v/>
      </c>
      <c r="AA61">
        <f>LTP3!$D$7-X61*LTP3!$D$6-Y61*U61-Z61*V61</f>
        <v/>
      </c>
      <c r="AB61">
        <f>IF(AND(F61,ABS(W61)&gt;1E-12,Y61&gt;0,Z61&gt;0),AA61,1E+300)</f>
        <v/>
      </c>
    </row>
    <row r="62">
      <c r="A62">
        <f>$B$3+$B$5*0</f>
        <v/>
      </c>
      <c r="B62">
        <f>$B$3+$B$5*50</f>
        <v/>
      </c>
      <c r="C62">
        <f>SUMPRODUCT(Calc!$K$3:$K$22*(Calc!$G$3:$G$22&lt;=A62))</f>
        <v/>
      </c>
      <c r="D62">
        <f>SUMPRODUCT(Calc!$K$3:$K$22*(Calc!$G$3:$G$22&gt;A62)*(Calc!$G$3:$G$22&lt;B62))</f>
        <v/>
      </c>
      <c r="E62">
        <f>SUMPRODUCT(Calc!$K$3:$K$22*(Calc!$G$3:$G$22&gt;=B62))</f>
        <v/>
      </c>
      <c r="F62">
        <f>AND(k_n&gt;=5,B62&gt;A62+1E-9,C62&gt;=2,D62&gt;=1,E62&gt;=2)</f>
        <v/>
      </c>
      <c r="G62">
        <f>SUMPRODUCT(Calc!$K$3:$K$22*(Calc!$G$3:$G$22&gt;A62)*(Calc!$G$3:$G$22-A62))</f>
        <v/>
      </c>
      <c r="H62">
        <f>SUMPRODUCT(Calc!$K$3:$K$22*(Calc!$G$3:$G$22&gt;B62)*(Calc!$G$3:$G$22-B62))</f>
        <v/>
      </c>
      <c r="I62">
        <f>SUMPRODUCT(Calc!$K$3:$K$22*(Calc!$G$3:$G$22&gt;A62)*(Calc!$G$3:$G$22-A62)^2)</f>
        <v/>
      </c>
      <c r="J62">
        <f>SUMPRODUCT(Calc!$K$3:$K$22*(Calc!$G$3:$G$22&gt;B62)*(Calc!$G$3:$G$22-B62)^2)</f>
        <v/>
      </c>
      <c r="K62">
        <f>SUMPRODUCT(Calc!$K$3:$K$22*(Calc!$G$3:$G$22&gt;A62)*(Calc!$G$3:$G$22-A62)*(Calc!$G$3:$G$22&gt;B62)*(Calc!$G$3:$G$22-B62))</f>
        <v/>
      </c>
      <c r="L62">
        <f>SUMPRODUCT(Calc!$K$3:$K$22*(Calc!$G$3:$G$22&gt;A62)*(Calc!$G$3:$G$22-A62)*Calc!$G$3:$G$22)</f>
        <v/>
      </c>
      <c r="M62">
        <f>SUMPRODUCT(Calc!$K$3:$K$22*(Calc!$G$3:$G$22&gt;B62)*(Calc!$G$3:$G$22-B62)*Calc!$G$3:$G$22)</f>
        <v/>
      </c>
      <c r="N62">
        <f>SUMPRODUCT(Calc!$K$3:$K$22*(Calc!$G$3:$G$22&gt;A62)*(Calc!$G$3:$G$22-A62)*Calc!$I$3:$I$22)</f>
        <v/>
      </c>
      <c r="O62">
        <f>SUMPRODUCT(Calc!$K$3:$K$22*(Calc!$G$3:$G$22&gt;B62)*(Calc!$G$3:$G$22-B62)*Calc!$I$3:$I$22)</f>
        <v/>
      </c>
      <c r="P62">
        <f>I62-G62^2/k_n</f>
        <v/>
      </c>
      <c r="Q62">
        <f>J62-H62^2/k_n</f>
        <v/>
      </c>
      <c r="R62">
        <f>K62-G62*H62/k_n</f>
        <v/>
      </c>
      <c r="S62">
        <f>L62-LTP3!$D$3*G62/k_n</f>
        <v/>
      </c>
      <c r="T62">
        <f>M62-LTP3!$D$3*H62/k_n</f>
        <v/>
      </c>
      <c r="U62">
        <f>N62-G62*LTP3!$D$4/k_n</f>
        <v/>
      </c>
      <c r="V62">
        <f>O62-H62*LTP3!$D$4/k_n</f>
        <v/>
      </c>
      <c r="W62">
        <f>((LTP3!$D$5)*((P62)*(Q62)-(R62)*(R62))-(S62)*((S62)*(Q62)-(R62)*(T62))+(T62)*((S62)*(R62)-(P62)*(T62)))</f>
        <v/>
      </c>
      <c r="X62">
        <f>IF(ABS(W62)&gt;1E-12,((LTP3!$D$6)*((P62)*(Q62)-(R62)*(R62))-(S62)*((U62)*(Q62)-(R62)*(V62))+(T62)*((U62)*(R62)-(P62)*(V62)))/W62,0)</f>
        <v/>
      </c>
      <c r="Y62">
        <f>IF(ABS(W62)&gt;1E-12,((LTP3!$D$5)*((U62)*(Q62)-(R62)*(V62))-(LTP3!$D$6)*((S62)*(Q62)-(R62)*(T62))+(T62)*((S62)*(V62)-(U62)*(T62)))/W62,0)</f>
        <v/>
      </c>
      <c r="Z62">
        <f>IF(ABS(W62)&gt;1E-12,((LTP3!$D$5)*((P62)*(V62)-(U62)*(R62))-(S62)*((S62)*(V62)-(U62)*(T62))+(LTP3!$D$6)*((S62)*(R62)-(P62)*(T62)))/W62,0)</f>
        <v/>
      </c>
      <c r="AA62">
        <f>LTP3!$D$7-X62*LTP3!$D$6-Y62*U62-Z62*V62</f>
        <v/>
      </c>
      <c r="AB62">
        <f>IF(AND(F62,ABS(W62)&gt;1E-12,Y62&gt;0,Z62&gt;0),AA62,1E+300)</f>
        <v/>
      </c>
    </row>
    <row r="63">
      <c r="A63">
        <f>$B$3+$B$5*0</f>
        <v/>
      </c>
      <c r="B63">
        <f>$B$3+$B$5*51</f>
        <v/>
      </c>
      <c r="C63">
        <f>SUMPRODUCT(Calc!$K$3:$K$22*(Calc!$G$3:$G$22&lt;=A63))</f>
        <v/>
      </c>
      <c r="D63">
        <f>SUMPRODUCT(Calc!$K$3:$K$22*(Calc!$G$3:$G$22&gt;A63)*(Calc!$G$3:$G$22&lt;B63))</f>
        <v/>
      </c>
      <c r="E63">
        <f>SUMPRODUCT(Calc!$K$3:$K$22*(Calc!$G$3:$G$22&gt;=B63))</f>
        <v/>
      </c>
      <c r="F63">
        <f>AND(k_n&gt;=5,B63&gt;A63+1E-9,C63&gt;=2,D63&gt;=1,E63&gt;=2)</f>
        <v/>
      </c>
      <c r="G63">
        <f>SUMPRODUCT(Calc!$K$3:$K$22*(Calc!$G$3:$G$22&gt;A63)*(Calc!$G$3:$G$22-A63))</f>
        <v/>
      </c>
      <c r="H63">
        <f>SUMPRODUCT(Calc!$K$3:$K$22*(Calc!$G$3:$G$22&gt;B63)*(Calc!$G$3:$G$22-B63))</f>
        <v/>
      </c>
      <c r="I63">
        <f>SUMPRODUCT(Calc!$K$3:$K$22*(Calc!$G$3:$G$22&gt;A63)*(Calc!$G$3:$G$22-A63)^2)</f>
        <v/>
      </c>
      <c r="J63">
        <f>SUMPRODUCT(Calc!$K$3:$K$22*(Calc!$G$3:$G$22&gt;B63)*(Calc!$G$3:$G$22-B63)^2)</f>
        <v/>
      </c>
      <c r="K63">
        <f>SUMPRODUCT(Calc!$K$3:$K$22*(Calc!$G$3:$G$22&gt;A63)*(Calc!$G$3:$G$22-A63)*(Calc!$G$3:$G$22&gt;B63)*(Calc!$G$3:$G$22-B63))</f>
        <v/>
      </c>
      <c r="L63">
        <f>SUMPRODUCT(Calc!$K$3:$K$22*(Calc!$G$3:$G$22&gt;A63)*(Calc!$G$3:$G$22-A63)*Calc!$G$3:$G$22)</f>
        <v/>
      </c>
      <c r="M63">
        <f>SUMPRODUCT(Calc!$K$3:$K$22*(Calc!$G$3:$G$22&gt;B63)*(Calc!$G$3:$G$22-B63)*Calc!$G$3:$G$22)</f>
        <v/>
      </c>
      <c r="N63">
        <f>SUMPRODUCT(Calc!$K$3:$K$22*(Calc!$G$3:$G$22&gt;A63)*(Calc!$G$3:$G$22-A63)*Calc!$I$3:$I$22)</f>
        <v/>
      </c>
      <c r="O63">
        <f>SUMPRODUCT(Calc!$K$3:$K$22*(Calc!$G$3:$G$22&gt;B63)*(Calc!$G$3:$G$22-B63)*Calc!$I$3:$I$22)</f>
        <v/>
      </c>
      <c r="P63">
        <f>I63-G63^2/k_n</f>
        <v/>
      </c>
      <c r="Q63">
        <f>J63-H63^2/k_n</f>
        <v/>
      </c>
      <c r="R63">
        <f>K63-G63*H63/k_n</f>
        <v/>
      </c>
      <c r="S63">
        <f>L63-LTP3!$D$3*G63/k_n</f>
        <v/>
      </c>
      <c r="T63">
        <f>M63-LTP3!$D$3*H63/k_n</f>
        <v/>
      </c>
      <c r="U63">
        <f>N63-G63*LTP3!$D$4/k_n</f>
        <v/>
      </c>
      <c r="V63">
        <f>O63-H63*LTP3!$D$4/k_n</f>
        <v/>
      </c>
      <c r="W63">
        <f>((LTP3!$D$5)*((P63)*(Q63)-(R63)*(R63))-(S63)*((S63)*(Q63)-(R63)*(T63))+(T63)*((S63)*(R63)-(P63)*(T63)))</f>
        <v/>
      </c>
      <c r="X63">
        <f>IF(ABS(W63)&gt;1E-12,((LTP3!$D$6)*((P63)*(Q63)-(R63)*(R63))-(S63)*((U63)*(Q63)-(R63)*(V63))+(T63)*((U63)*(R63)-(P63)*(V63)))/W63,0)</f>
        <v/>
      </c>
      <c r="Y63">
        <f>IF(ABS(W63)&gt;1E-12,((LTP3!$D$5)*((U63)*(Q63)-(R63)*(V63))-(LTP3!$D$6)*((S63)*(Q63)-(R63)*(T63))+(T63)*((S63)*(V63)-(U63)*(T63)))/W63,0)</f>
        <v/>
      </c>
      <c r="Z63">
        <f>IF(ABS(W63)&gt;1E-12,((LTP3!$D$5)*((P63)*(V63)-(U63)*(R63))-(S63)*((S63)*(V63)-(U63)*(T63))+(LTP3!$D$6)*((S63)*(R63)-(P63)*(T63)))/W63,0)</f>
        <v/>
      </c>
      <c r="AA63">
        <f>LTP3!$D$7-X63*LTP3!$D$6-Y63*U63-Z63*V63</f>
        <v/>
      </c>
      <c r="AB63">
        <f>IF(AND(F63,ABS(W63)&gt;1E-12,Y63&gt;0,Z63&gt;0),AA63,1E+300)</f>
        <v/>
      </c>
    </row>
    <row r="64">
      <c r="A64">
        <f>$B$3+$B$5*0</f>
        <v/>
      </c>
      <c r="B64">
        <f>$B$3+$B$5*52</f>
        <v/>
      </c>
      <c r="C64">
        <f>SUMPRODUCT(Calc!$K$3:$K$22*(Calc!$G$3:$G$22&lt;=A64))</f>
        <v/>
      </c>
      <c r="D64">
        <f>SUMPRODUCT(Calc!$K$3:$K$22*(Calc!$G$3:$G$22&gt;A64)*(Calc!$G$3:$G$22&lt;B64))</f>
        <v/>
      </c>
      <c r="E64">
        <f>SUMPRODUCT(Calc!$K$3:$K$22*(Calc!$G$3:$G$22&gt;=B64))</f>
        <v/>
      </c>
      <c r="F64">
        <f>AND(k_n&gt;=5,B64&gt;A64+1E-9,C64&gt;=2,D64&gt;=1,E64&gt;=2)</f>
        <v/>
      </c>
      <c r="G64">
        <f>SUMPRODUCT(Calc!$K$3:$K$22*(Calc!$G$3:$G$22&gt;A64)*(Calc!$G$3:$G$22-A64))</f>
        <v/>
      </c>
      <c r="H64">
        <f>SUMPRODUCT(Calc!$K$3:$K$22*(Calc!$G$3:$G$22&gt;B64)*(Calc!$G$3:$G$22-B64))</f>
        <v/>
      </c>
      <c r="I64">
        <f>SUMPRODUCT(Calc!$K$3:$K$22*(Calc!$G$3:$G$22&gt;A64)*(Calc!$G$3:$G$22-A64)^2)</f>
        <v/>
      </c>
      <c r="J64">
        <f>SUMPRODUCT(Calc!$K$3:$K$22*(Calc!$G$3:$G$22&gt;B64)*(Calc!$G$3:$G$22-B64)^2)</f>
        <v/>
      </c>
      <c r="K64">
        <f>SUMPRODUCT(Calc!$K$3:$K$22*(Calc!$G$3:$G$22&gt;A64)*(Calc!$G$3:$G$22-A64)*(Calc!$G$3:$G$22&gt;B64)*(Calc!$G$3:$G$22-B64))</f>
        <v/>
      </c>
      <c r="L64">
        <f>SUMPRODUCT(Calc!$K$3:$K$22*(Calc!$G$3:$G$22&gt;A64)*(Calc!$G$3:$G$22-A64)*Calc!$G$3:$G$22)</f>
        <v/>
      </c>
      <c r="M64">
        <f>SUMPRODUCT(Calc!$K$3:$K$22*(Calc!$G$3:$G$22&gt;B64)*(Calc!$G$3:$G$22-B64)*Calc!$G$3:$G$22)</f>
        <v/>
      </c>
      <c r="N64">
        <f>SUMPRODUCT(Calc!$K$3:$K$22*(Calc!$G$3:$G$22&gt;A64)*(Calc!$G$3:$G$22-A64)*Calc!$I$3:$I$22)</f>
        <v/>
      </c>
      <c r="O64">
        <f>SUMPRODUCT(Calc!$K$3:$K$22*(Calc!$G$3:$G$22&gt;B64)*(Calc!$G$3:$G$22-B64)*Calc!$I$3:$I$22)</f>
        <v/>
      </c>
      <c r="P64">
        <f>I64-G64^2/k_n</f>
        <v/>
      </c>
      <c r="Q64">
        <f>J64-H64^2/k_n</f>
        <v/>
      </c>
      <c r="R64">
        <f>K64-G64*H64/k_n</f>
        <v/>
      </c>
      <c r="S64">
        <f>L64-LTP3!$D$3*G64/k_n</f>
        <v/>
      </c>
      <c r="T64">
        <f>M64-LTP3!$D$3*H64/k_n</f>
        <v/>
      </c>
      <c r="U64">
        <f>N64-G64*LTP3!$D$4/k_n</f>
        <v/>
      </c>
      <c r="V64">
        <f>O64-H64*LTP3!$D$4/k_n</f>
        <v/>
      </c>
      <c r="W64">
        <f>((LTP3!$D$5)*((P64)*(Q64)-(R64)*(R64))-(S64)*((S64)*(Q64)-(R64)*(T64))+(T64)*((S64)*(R64)-(P64)*(T64)))</f>
        <v/>
      </c>
      <c r="X64">
        <f>IF(ABS(W64)&gt;1E-12,((LTP3!$D$6)*((P64)*(Q64)-(R64)*(R64))-(S64)*((U64)*(Q64)-(R64)*(V64))+(T64)*((U64)*(R64)-(P64)*(V64)))/W64,0)</f>
        <v/>
      </c>
      <c r="Y64">
        <f>IF(ABS(W64)&gt;1E-12,((LTP3!$D$5)*((U64)*(Q64)-(R64)*(V64))-(LTP3!$D$6)*((S64)*(Q64)-(R64)*(T64))+(T64)*((S64)*(V64)-(U64)*(T64)))/W64,0)</f>
        <v/>
      </c>
      <c r="Z64">
        <f>IF(ABS(W64)&gt;1E-12,((LTP3!$D$5)*((P64)*(V64)-(U64)*(R64))-(S64)*((S64)*(V64)-(U64)*(T64))+(LTP3!$D$6)*((S64)*(R64)-(P64)*(T64)))/W64,0)</f>
        <v/>
      </c>
      <c r="AA64">
        <f>LTP3!$D$7-X64*LTP3!$D$6-Y64*U64-Z64*V64</f>
        <v/>
      </c>
      <c r="AB64">
        <f>IF(AND(F64,ABS(W64)&gt;1E-12,Y64&gt;0,Z64&gt;0),AA64,1E+300)</f>
        <v/>
      </c>
    </row>
    <row r="65">
      <c r="A65">
        <f>$B$3+$B$5*0</f>
        <v/>
      </c>
      <c r="B65">
        <f>$B$3+$B$5*53</f>
        <v/>
      </c>
      <c r="C65">
        <f>SUMPRODUCT(Calc!$K$3:$K$22*(Calc!$G$3:$G$22&lt;=A65))</f>
        <v/>
      </c>
      <c r="D65">
        <f>SUMPRODUCT(Calc!$K$3:$K$22*(Calc!$G$3:$G$22&gt;A65)*(Calc!$G$3:$G$22&lt;B65))</f>
        <v/>
      </c>
      <c r="E65">
        <f>SUMPRODUCT(Calc!$K$3:$K$22*(Calc!$G$3:$G$22&gt;=B65))</f>
        <v/>
      </c>
      <c r="F65">
        <f>AND(k_n&gt;=5,B65&gt;A65+1E-9,C65&gt;=2,D65&gt;=1,E65&gt;=2)</f>
        <v/>
      </c>
      <c r="G65">
        <f>SUMPRODUCT(Calc!$K$3:$K$22*(Calc!$G$3:$G$22&gt;A65)*(Calc!$G$3:$G$22-A65))</f>
        <v/>
      </c>
      <c r="H65">
        <f>SUMPRODUCT(Calc!$K$3:$K$22*(Calc!$G$3:$G$22&gt;B65)*(Calc!$G$3:$G$22-B65))</f>
        <v/>
      </c>
      <c r="I65">
        <f>SUMPRODUCT(Calc!$K$3:$K$22*(Calc!$G$3:$G$22&gt;A65)*(Calc!$G$3:$G$22-A65)^2)</f>
        <v/>
      </c>
      <c r="J65">
        <f>SUMPRODUCT(Calc!$K$3:$K$22*(Calc!$G$3:$G$22&gt;B65)*(Calc!$G$3:$G$22-B65)^2)</f>
        <v/>
      </c>
      <c r="K65">
        <f>SUMPRODUCT(Calc!$K$3:$K$22*(Calc!$G$3:$G$22&gt;A65)*(Calc!$G$3:$G$22-A65)*(Calc!$G$3:$G$22&gt;B65)*(Calc!$G$3:$G$22-B65))</f>
        <v/>
      </c>
      <c r="L65">
        <f>SUMPRODUCT(Calc!$K$3:$K$22*(Calc!$G$3:$G$22&gt;A65)*(Calc!$G$3:$G$22-A65)*Calc!$G$3:$G$22)</f>
        <v/>
      </c>
      <c r="M65">
        <f>SUMPRODUCT(Calc!$K$3:$K$22*(Calc!$G$3:$G$22&gt;B65)*(Calc!$G$3:$G$22-B65)*Calc!$G$3:$G$22)</f>
        <v/>
      </c>
      <c r="N65">
        <f>SUMPRODUCT(Calc!$K$3:$K$22*(Calc!$G$3:$G$22&gt;A65)*(Calc!$G$3:$G$22-A65)*Calc!$I$3:$I$22)</f>
        <v/>
      </c>
      <c r="O65">
        <f>SUMPRODUCT(Calc!$K$3:$K$22*(Calc!$G$3:$G$22&gt;B65)*(Calc!$G$3:$G$22-B65)*Calc!$I$3:$I$22)</f>
        <v/>
      </c>
      <c r="P65">
        <f>I65-G65^2/k_n</f>
        <v/>
      </c>
      <c r="Q65">
        <f>J65-H65^2/k_n</f>
        <v/>
      </c>
      <c r="R65">
        <f>K65-G65*H65/k_n</f>
        <v/>
      </c>
      <c r="S65">
        <f>L65-LTP3!$D$3*G65/k_n</f>
        <v/>
      </c>
      <c r="T65">
        <f>M65-LTP3!$D$3*H65/k_n</f>
        <v/>
      </c>
      <c r="U65">
        <f>N65-G65*LTP3!$D$4/k_n</f>
        <v/>
      </c>
      <c r="V65">
        <f>O65-H65*LTP3!$D$4/k_n</f>
        <v/>
      </c>
      <c r="W65">
        <f>((LTP3!$D$5)*((P65)*(Q65)-(R65)*(R65))-(S65)*((S65)*(Q65)-(R65)*(T65))+(T65)*((S65)*(R65)-(P65)*(T65)))</f>
        <v/>
      </c>
      <c r="X65">
        <f>IF(ABS(W65)&gt;1E-12,((LTP3!$D$6)*((P65)*(Q65)-(R65)*(R65))-(S65)*((U65)*(Q65)-(R65)*(V65))+(T65)*((U65)*(R65)-(P65)*(V65)))/W65,0)</f>
        <v/>
      </c>
      <c r="Y65">
        <f>IF(ABS(W65)&gt;1E-12,((LTP3!$D$5)*((U65)*(Q65)-(R65)*(V65))-(LTP3!$D$6)*((S65)*(Q65)-(R65)*(T65))+(T65)*((S65)*(V65)-(U65)*(T65)))/W65,0)</f>
        <v/>
      </c>
      <c r="Z65">
        <f>IF(ABS(W65)&gt;1E-12,((LTP3!$D$5)*((P65)*(V65)-(U65)*(R65))-(S65)*((S65)*(V65)-(U65)*(T65))+(LTP3!$D$6)*((S65)*(R65)-(P65)*(T65)))/W65,0)</f>
        <v/>
      </c>
      <c r="AA65">
        <f>LTP3!$D$7-X65*LTP3!$D$6-Y65*U65-Z65*V65</f>
        <v/>
      </c>
      <c r="AB65">
        <f>IF(AND(F65,ABS(W65)&gt;1E-12,Y65&gt;0,Z65&gt;0),AA65,1E+300)</f>
        <v/>
      </c>
    </row>
    <row r="66">
      <c r="A66">
        <f>$B$3+$B$5*0</f>
        <v/>
      </c>
      <c r="B66">
        <f>$B$3+$B$5*54</f>
        <v/>
      </c>
      <c r="C66">
        <f>SUMPRODUCT(Calc!$K$3:$K$22*(Calc!$G$3:$G$22&lt;=A66))</f>
        <v/>
      </c>
      <c r="D66">
        <f>SUMPRODUCT(Calc!$K$3:$K$22*(Calc!$G$3:$G$22&gt;A66)*(Calc!$G$3:$G$22&lt;B66))</f>
        <v/>
      </c>
      <c r="E66">
        <f>SUMPRODUCT(Calc!$K$3:$K$22*(Calc!$G$3:$G$22&gt;=B66))</f>
        <v/>
      </c>
      <c r="F66">
        <f>AND(k_n&gt;=5,B66&gt;A66+1E-9,C66&gt;=2,D66&gt;=1,E66&gt;=2)</f>
        <v/>
      </c>
      <c r="G66">
        <f>SUMPRODUCT(Calc!$K$3:$K$22*(Calc!$G$3:$G$22&gt;A66)*(Calc!$G$3:$G$22-A66))</f>
        <v/>
      </c>
      <c r="H66">
        <f>SUMPRODUCT(Calc!$K$3:$K$22*(Calc!$G$3:$G$22&gt;B66)*(Calc!$G$3:$G$22-B66))</f>
        <v/>
      </c>
      <c r="I66">
        <f>SUMPRODUCT(Calc!$K$3:$K$22*(Calc!$G$3:$G$22&gt;A66)*(Calc!$G$3:$G$22-A66)^2)</f>
        <v/>
      </c>
      <c r="J66">
        <f>SUMPRODUCT(Calc!$K$3:$K$22*(Calc!$G$3:$G$22&gt;B66)*(Calc!$G$3:$G$22-B66)^2)</f>
        <v/>
      </c>
      <c r="K66">
        <f>SUMPRODUCT(Calc!$K$3:$K$22*(Calc!$G$3:$G$22&gt;A66)*(Calc!$G$3:$G$22-A66)*(Calc!$G$3:$G$22&gt;B66)*(Calc!$G$3:$G$22-B66))</f>
        <v/>
      </c>
      <c r="L66">
        <f>SUMPRODUCT(Calc!$K$3:$K$22*(Calc!$G$3:$G$22&gt;A66)*(Calc!$G$3:$G$22-A66)*Calc!$G$3:$G$22)</f>
        <v/>
      </c>
      <c r="M66">
        <f>SUMPRODUCT(Calc!$K$3:$K$22*(Calc!$G$3:$G$22&gt;B66)*(Calc!$G$3:$G$22-B66)*Calc!$G$3:$G$22)</f>
        <v/>
      </c>
      <c r="N66">
        <f>SUMPRODUCT(Calc!$K$3:$K$22*(Calc!$G$3:$G$22&gt;A66)*(Calc!$G$3:$G$22-A66)*Calc!$I$3:$I$22)</f>
        <v/>
      </c>
      <c r="O66">
        <f>SUMPRODUCT(Calc!$K$3:$K$22*(Calc!$G$3:$G$22&gt;B66)*(Calc!$G$3:$G$22-B66)*Calc!$I$3:$I$22)</f>
        <v/>
      </c>
      <c r="P66">
        <f>I66-G66^2/k_n</f>
        <v/>
      </c>
      <c r="Q66">
        <f>J66-H66^2/k_n</f>
        <v/>
      </c>
      <c r="R66">
        <f>K66-G66*H66/k_n</f>
        <v/>
      </c>
      <c r="S66">
        <f>L66-LTP3!$D$3*G66/k_n</f>
        <v/>
      </c>
      <c r="T66">
        <f>M66-LTP3!$D$3*H66/k_n</f>
        <v/>
      </c>
      <c r="U66">
        <f>N66-G66*LTP3!$D$4/k_n</f>
        <v/>
      </c>
      <c r="V66">
        <f>O66-H66*LTP3!$D$4/k_n</f>
        <v/>
      </c>
      <c r="W66">
        <f>((LTP3!$D$5)*((P66)*(Q66)-(R66)*(R66))-(S66)*((S66)*(Q66)-(R66)*(T66))+(T66)*((S66)*(R66)-(P66)*(T66)))</f>
        <v/>
      </c>
      <c r="X66">
        <f>IF(ABS(W66)&gt;1E-12,((LTP3!$D$6)*((P66)*(Q66)-(R66)*(R66))-(S66)*((U66)*(Q66)-(R66)*(V66))+(T66)*((U66)*(R66)-(P66)*(V66)))/W66,0)</f>
        <v/>
      </c>
      <c r="Y66">
        <f>IF(ABS(W66)&gt;1E-12,((LTP3!$D$5)*((U66)*(Q66)-(R66)*(V66))-(LTP3!$D$6)*((S66)*(Q66)-(R66)*(T66))+(T66)*((S66)*(V66)-(U66)*(T66)))/W66,0)</f>
        <v/>
      </c>
      <c r="Z66">
        <f>IF(ABS(W66)&gt;1E-12,((LTP3!$D$5)*((P66)*(V66)-(U66)*(R66))-(S66)*((S66)*(V66)-(U66)*(T66))+(LTP3!$D$6)*((S66)*(R66)-(P66)*(T66)))/W66,0)</f>
        <v/>
      </c>
      <c r="AA66">
        <f>LTP3!$D$7-X66*LTP3!$D$6-Y66*U66-Z66*V66</f>
        <v/>
      </c>
      <c r="AB66">
        <f>IF(AND(F66,ABS(W66)&gt;1E-12,Y66&gt;0,Z66&gt;0),AA66,1E+300)</f>
        <v/>
      </c>
    </row>
    <row r="67">
      <c r="A67">
        <f>$B$3+$B$5*0</f>
        <v/>
      </c>
      <c r="B67">
        <f>$B$3+$B$5*55</f>
        <v/>
      </c>
      <c r="C67">
        <f>SUMPRODUCT(Calc!$K$3:$K$22*(Calc!$G$3:$G$22&lt;=A67))</f>
        <v/>
      </c>
      <c r="D67">
        <f>SUMPRODUCT(Calc!$K$3:$K$22*(Calc!$G$3:$G$22&gt;A67)*(Calc!$G$3:$G$22&lt;B67))</f>
        <v/>
      </c>
      <c r="E67">
        <f>SUMPRODUCT(Calc!$K$3:$K$22*(Calc!$G$3:$G$22&gt;=B67))</f>
        <v/>
      </c>
      <c r="F67">
        <f>AND(k_n&gt;=5,B67&gt;A67+1E-9,C67&gt;=2,D67&gt;=1,E67&gt;=2)</f>
        <v/>
      </c>
      <c r="G67">
        <f>SUMPRODUCT(Calc!$K$3:$K$22*(Calc!$G$3:$G$22&gt;A67)*(Calc!$G$3:$G$22-A67))</f>
        <v/>
      </c>
      <c r="H67">
        <f>SUMPRODUCT(Calc!$K$3:$K$22*(Calc!$G$3:$G$22&gt;B67)*(Calc!$G$3:$G$22-B67))</f>
        <v/>
      </c>
      <c r="I67">
        <f>SUMPRODUCT(Calc!$K$3:$K$22*(Calc!$G$3:$G$22&gt;A67)*(Calc!$G$3:$G$22-A67)^2)</f>
        <v/>
      </c>
      <c r="J67">
        <f>SUMPRODUCT(Calc!$K$3:$K$22*(Calc!$G$3:$G$22&gt;B67)*(Calc!$G$3:$G$22-B67)^2)</f>
        <v/>
      </c>
      <c r="K67">
        <f>SUMPRODUCT(Calc!$K$3:$K$22*(Calc!$G$3:$G$22&gt;A67)*(Calc!$G$3:$G$22-A67)*(Calc!$G$3:$G$22&gt;B67)*(Calc!$G$3:$G$22-B67))</f>
        <v/>
      </c>
      <c r="L67">
        <f>SUMPRODUCT(Calc!$K$3:$K$22*(Calc!$G$3:$G$22&gt;A67)*(Calc!$G$3:$G$22-A67)*Calc!$G$3:$G$22)</f>
        <v/>
      </c>
      <c r="M67">
        <f>SUMPRODUCT(Calc!$K$3:$K$22*(Calc!$G$3:$G$22&gt;B67)*(Calc!$G$3:$G$22-B67)*Calc!$G$3:$G$22)</f>
        <v/>
      </c>
      <c r="N67">
        <f>SUMPRODUCT(Calc!$K$3:$K$22*(Calc!$G$3:$G$22&gt;A67)*(Calc!$G$3:$G$22-A67)*Calc!$I$3:$I$22)</f>
        <v/>
      </c>
      <c r="O67">
        <f>SUMPRODUCT(Calc!$K$3:$K$22*(Calc!$G$3:$G$22&gt;B67)*(Calc!$G$3:$G$22-B67)*Calc!$I$3:$I$22)</f>
        <v/>
      </c>
      <c r="P67">
        <f>I67-G67^2/k_n</f>
        <v/>
      </c>
      <c r="Q67">
        <f>J67-H67^2/k_n</f>
        <v/>
      </c>
      <c r="R67">
        <f>K67-G67*H67/k_n</f>
        <v/>
      </c>
      <c r="S67">
        <f>L67-LTP3!$D$3*G67/k_n</f>
        <v/>
      </c>
      <c r="T67">
        <f>M67-LTP3!$D$3*H67/k_n</f>
        <v/>
      </c>
      <c r="U67">
        <f>N67-G67*LTP3!$D$4/k_n</f>
        <v/>
      </c>
      <c r="V67">
        <f>O67-H67*LTP3!$D$4/k_n</f>
        <v/>
      </c>
      <c r="W67">
        <f>((LTP3!$D$5)*((P67)*(Q67)-(R67)*(R67))-(S67)*((S67)*(Q67)-(R67)*(T67))+(T67)*((S67)*(R67)-(P67)*(T67)))</f>
        <v/>
      </c>
      <c r="X67">
        <f>IF(ABS(W67)&gt;1E-12,((LTP3!$D$6)*((P67)*(Q67)-(R67)*(R67))-(S67)*((U67)*(Q67)-(R67)*(V67))+(T67)*((U67)*(R67)-(P67)*(V67)))/W67,0)</f>
        <v/>
      </c>
      <c r="Y67">
        <f>IF(ABS(W67)&gt;1E-12,((LTP3!$D$5)*((U67)*(Q67)-(R67)*(V67))-(LTP3!$D$6)*((S67)*(Q67)-(R67)*(T67))+(T67)*((S67)*(V67)-(U67)*(T67)))/W67,0)</f>
        <v/>
      </c>
      <c r="Z67">
        <f>IF(ABS(W67)&gt;1E-12,((LTP3!$D$5)*((P67)*(V67)-(U67)*(R67))-(S67)*((S67)*(V67)-(U67)*(T67))+(LTP3!$D$6)*((S67)*(R67)-(P67)*(T67)))/W67,0)</f>
        <v/>
      </c>
      <c r="AA67">
        <f>LTP3!$D$7-X67*LTP3!$D$6-Y67*U67-Z67*V67</f>
        <v/>
      </c>
      <c r="AB67">
        <f>IF(AND(F67,ABS(W67)&gt;1E-12,Y67&gt;0,Z67&gt;0),AA67,1E+300)</f>
        <v/>
      </c>
    </row>
    <row r="68">
      <c r="A68">
        <f>$B$3+$B$5*0</f>
        <v/>
      </c>
      <c r="B68">
        <f>$B$3+$B$5*56</f>
        <v/>
      </c>
      <c r="C68">
        <f>SUMPRODUCT(Calc!$K$3:$K$22*(Calc!$G$3:$G$22&lt;=A68))</f>
        <v/>
      </c>
      <c r="D68">
        <f>SUMPRODUCT(Calc!$K$3:$K$22*(Calc!$G$3:$G$22&gt;A68)*(Calc!$G$3:$G$22&lt;B68))</f>
        <v/>
      </c>
      <c r="E68">
        <f>SUMPRODUCT(Calc!$K$3:$K$22*(Calc!$G$3:$G$22&gt;=B68))</f>
        <v/>
      </c>
      <c r="F68">
        <f>AND(k_n&gt;=5,B68&gt;A68+1E-9,C68&gt;=2,D68&gt;=1,E68&gt;=2)</f>
        <v/>
      </c>
      <c r="G68">
        <f>SUMPRODUCT(Calc!$K$3:$K$22*(Calc!$G$3:$G$22&gt;A68)*(Calc!$G$3:$G$22-A68))</f>
        <v/>
      </c>
      <c r="H68">
        <f>SUMPRODUCT(Calc!$K$3:$K$22*(Calc!$G$3:$G$22&gt;B68)*(Calc!$G$3:$G$22-B68))</f>
        <v/>
      </c>
      <c r="I68">
        <f>SUMPRODUCT(Calc!$K$3:$K$22*(Calc!$G$3:$G$22&gt;A68)*(Calc!$G$3:$G$22-A68)^2)</f>
        <v/>
      </c>
      <c r="J68">
        <f>SUMPRODUCT(Calc!$K$3:$K$22*(Calc!$G$3:$G$22&gt;B68)*(Calc!$G$3:$G$22-B68)^2)</f>
        <v/>
      </c>
      <c r="K68">
        <f>SUMPRODUCT(Calc!$K$3:$K$22*(Calc!$G$3:$G$22&gt;A68)*(Calc!$G$3:$G$22-A68)*(Calc!$G$3:$G$22&gt;B68)*(Calc!$G$3:$G$22-B68))</f>
        <v/>
      </c>
      <c r="L68">
        <f>SUMPRODUCT(Calc!$K$3:$K$22*(Calc!$G$3:$G$22&gt;A68)*(Calc!$G$3:$G$22-A68)*Calc!$G$3:$G$22)</f>
        <v/>
      </c>
      <c r="M68">
        <f>SUMPRODUCT(Calc!$K$3:$K$22*(Calc!$G$3:$G$22&gt;B68)*(Calc!$G$3:$G$22-B68)*Calc!$G$3:$G$22)</f>
        <v/>
      </c>
      <c r="N68">
        <f>SUMPRODUCT(Calc!$K$3:$K$22*(Calc!$G$3:$G$22&gt;A68)*(Calc!$G$3:$G$22-A68)*Calc!$I$3:$I$22)</f>
        <v/>
      </c>
      <c r="O68">
        <f>SUMPRODUCT(Calc!$K$3:$K$22*(Calc!$G$3:$G$22&gt;B68)*(Calc!$G$3:$G$22-B68)*Calc!$I$3:$I$22)</f>
        <v/>
      </c>
      <c r="P68">
        <f>I68-G68^2/k_n</f>
        <v/>
      </c>
      <c r="Q68">
        <f>J68-H68^2/k_n</f>
        <v/>
      </c>
      <c r="R68">
        <f>K68-G68*H68/k_n</f>
        <v/>
      </c>
      <c r="S68">
        <f>L68-LTP3!$D$3*G68/k_n</f>
        <v/>
      </c>
      <c r="T68">
        <f>M68-LTP3!$D$3*H68/k_n</f>
        <v/>
      </c>
      <c r="U68">
        <f>N68-G68*LTP3!$D$4/k_n</f>
        <v/>
      </c>
      <c r="V68">
        <f>O68-H68*LTP3!$D$4/k_n</f>
        <v/>
      </c>
      <c r="W68">
        <f>((LTP3!$D$5)*((P68)*(Q68)-(R68)*(R68))-(S68)*((S68)*(Q68)-(R68)*(T68))+(T68)*((S68)*(R68)-(P68)*(T68)))</f>
        <v/>
      </c>
      <c r="X68">
        <f>IF(ABS(W68)&gt;1E-12,((LTP3!$D$6)*((P68)*(Q68)-(R68)*(R68))-(S68)*((U68)*(Q68)-(R68)*(V68))+(T68)*((U68)*(R68)-(P68)*(V68)))/W68,0)</f>
        <v/>
      </c>
      <c r="Y68">
        <f>IF(ABS(W68)&gt;1E-12,((LTP3!$D$5)*((U68)*(Q68)-(R68)*(V68))-(LTP3!$D$6)*((S68)*(Q68)-(R68)*(T68))+(T68)*((S68)*(V68)-(U68)*(T68)))/W68,0)</f>
        <v/>
      </c>
      <c r="Z68">
        <f>IF(ABS(W68)&gt;1E-12,((LTP3!$D$5)*((P68)*(V68)-(U68)*(R68))-(S68)*((S68)*(V68)-(U68)*(T68))+(LTP3!$D$6)*((S68)*(R68)-(P68)*(T68)))/W68,0)</f>
        <v/>
      </c>
      <c r="AA68">
        <f>LTP3!$D$7-X68*LTP3!$D$6-Y68*U68-Z68*V68</f>
        <v/>
      </c>
      <c r="AB68">
        <f>IF(AND(F68,ABS(W68)&gt;1E-12,Y68&gt;0,Z68&gt;0),AA68,1E+300)</f>
        <v/>
      </c>
    </row>
    <row r="69">
      <c r="A69">
        <f>$B$3+$B$5*0</f>
        <v/>
      </c>
      <c r="B69">
        <f>$B$3+$B$5*57</f>
        <v/>
      </c>
      <c r="C69">
        <f>SUMPRODUCT(Calc!$K$3:$K$22*(Calc!$G$3:$G$22&lt;=A69))</f>
        <v/>
      </c>
      <c r="D69">
        <f>SUMPRODUCT(Calc!$K$3:$K$22*(Calc!$G$3:$G$22&gt;A69)*(Calc!$G$3:$G$22&lt;B69))</f>
        <v/>
      </c>
      <c r="E69">
        <f>SUMPRODUCT(Calc!$K$3:$K$22*(Calc!$G$3:$G$22&gt;=B69))</f>
        <v/>
      </c>
      <c r="F69">
        <f>AND(k_n&gt;=5,B69&gt;A69+1E-9,C69&gt;=2,D69&gt;=1,E69&gt;=2)</f>
        <v/>
      </c>
      <c r="G69">
        <f>SUMPRODUCT(Calc!$K$3:$K$22*(Calc!$G$3:$G$22&gt;A69)*(Calc!$G$3:$G$22-A69))</f>
        <v/>
      </c>
      <c r="H69">
        <f>SUMPRODUCT(Calc!$K$3:$K$22*(Calc!$G$3:$G$22&gt;B69)*(Calc!$G$3:$G$22-B69))</f>
        <v/>
      </c>
      <c r="I69">
        <f>SUMPRODUCT(Calc!$K$3:$K$22*(Calc!$G$3:$G$22&gt;A69)*(Calc!$G$3:$G$22-A69)^2)</f>
        <v/>
      </c>
      <c r="J69">
        <f>SUMPRODUCT(Calc!$K$3:$K$22*(Calc!$G$3:$G$22&gt;B69)*(Calc!$G$3:$G$22-B69)^2)</f>
        <v/>
      </c>
      <c r="K69">
        <f>SUMPRODUCT(Calc!$K$3:$K$22*(Calc!$G$3:$G$22&gt;A69)*(Calc!$G$3:$G$22-A69)*(Calc!$G$3:$G$22&gt;B69)*(Calc!$G$3:$G$22-B69))</f>
        <v/>
      </c>
      <c r="L69">
        <f>SUMPRODUCT(Calc!$K$3:$K$22*(Calc!$G$3:$G$22&gt;A69)*(Calc!$G$3:$G$22-A69)*Calc!$G$3:$G$22)</f>
        <v/>
      </c>
      <c r="M69">
        <f>SUMPRODUCT(Calc!$K$3:$K$22*(Calc!$G$3:$G$22&gt;B69)*(Calc!$G$3:$G$22-B69)*Calc!$G$3:$G$22)</f>
        <v/>
      </c>
      <c r="N69">
        <f>SUMPRODUCT(Calc!$K$3:$K$22*(Calc!$G$3:$G$22&gt;A69)*(Calc!$G$3:$G$22-A69)*Calc!$I$3:$I$22)</f>
        <v/>
      </c>
      <c r="O69">
        <f>SUMPRODUCT(Calc!$K$3:$K$22*(Calc!$G$3:$G$22&gt;B69)*(Calc!$G$3:$G$22-B69)*Calc!$I$3:$I$22)</f>
        <v/>
      </c>
      <c r="P69">
        <f>I69-G69^2/k_n</f>
        <v/>
      </c>
      <c r="Q69">
        <f>J69-H69^2/k_n</f>
        <v/>
      </c>
      <c r="R69">
        <f>K69-G69*H69/k_n</f>
        <v/>
      </c>
      <c r="S69">
        <f>L69-LTP3!$D$3*G69/k_n</f>
        <v/>
      </c>
      <c r="T69">
        <f>M69-LTP3!$D$3*H69/k_n</f>
        <v/>
      </c>
      <c r="U69">
        <f>N69-G69*LTP3!$D$4/k_n</f>
        <v/>
      </c>
      <c r="V69">
        <f>O69-H69*LTP3!$D$4/k_n</f>
        <v/>
      </c>
      <c r="W69">
        <f>((LTP3!$D$5)*((P69)*(Q69)-(R69)*(R69))-(S69)*((S69)*(Q69)-(R69)*(T69))+(T69)*((S69)*(R69)-(P69)*(T69)))</f>
        <v/>
      </c>
      <c r="X69">
        <f>IF(ABS(W69)&gt;1E-12,((LTP3!$D$6)*((P69)*(Q69)-(R69)*(R69))-(S69)*((U69)*(Q69)-(R69)*(V69))+(T69)*((U69)*(R69)-(P69)*(V69)))/W69,0)</f>
        <v/>
      </c>
      <c r="Y69">
        <f>IF(ABS(W69)&gt;1E-12,((LTP3!$D$5)*((U69)*(Q69)-(R69)*(V69))-(LTP3!$D$6)*((S69)*(Q69)-(R69)*(T69))+(T69)*((S69)*(V69)-(U69)*(T69)))/W69,0)</f>
        <v/>
      </c>
      <c r="Z69">
        <f>IF(ABS(W69)&gt;1E-12,((LTP3!$D$5)*((P69)*(V69)-(U69)*(R69))-(S69)*((S69)*(V69)-(U69)*(T69))+(LTP3!$D$6)*((S69)*(R69)-(P69)*(T69)))/W69,0)</f>
        <v/>
      </c>
      <c r="AA69">
        <f>LTP3!$D$7-X69*LTP3!$D$6-Y69*U69-Z69*V69</f>
        <v/>
      </c>
      <c r="AB69">
        <f>IF(AND(F69,ABS(W69)&gt;1E-12,Y69&gt;0,Z69&gt;0),AA69,1E+300)</f>
        <v/>
      </c>
    </row>
    <row r="70">
      <c r="A70">
        <f>$B$3+$B$5*0</f>
        <v/>
      </c>
      <c r="B70">
        <f>$B$3+$B$5*58</f>
        <v/>
      </c>
      <c r="C70">
        <f>SUMPRODUCT(Calc!$K$3:$K$22*(Calc!$G$3:$G$22&lt;=A70))</f>
        <v/>
      </c>
      <c r="D70">
        <f>SUMPRODUCT(Calc!$K$3:$K$22*(Calc!$G$3:$G$22&gt;A70)*(Calc!$G$3:$G$22&lt;B70))</f>
        <v/>
      </c>
      <c r="E70">
        <f>SUMPRODUCT(Calc!$K$3:$K$22*(Calc!$G$3:$G$22&gt;=B70))</f>
        <v/>
      </c>
      <c r="F70">
        <f>AND(k_n&gt;=5,B70&gt;A70+1E-9,C70&gt;=2,D70&gt;=1,E70&gt;=2)</f>
        <v/>
      </c>
      <c r="G70">
        <f>SUMPRODUCT(Calc!$K$3:$K$22*(Calc!$G$3:$G$22&gt;A70)*(Calc!$G$3:$G$22-A70))</f>
        <v/>
      </c>
      <c r="H70">
        <f>SUMPRODUCT(Calc!$K$3:$K$22*(Calc!$G$3:$G$22&gt;B70)*(Calc!$G$3:$G$22-B70))</f>
        <v/>
      </c>
      <c r="I70">
        <f>SUMPRODUCT(Calc!$K$3:$K$22*(Calc!$G$3:$G$22&gt;A70)*(Calc!$G$3:$G$22-A70)^2)</f>
        <v/>
      </c>
      <c r="J70">
        <f>SUMPRODUCT(Calc!$K$3:$K$22*(Calc!$G$3:$G$22&gt;B70)*(Calc!$G$3:$G$22-B70)^2)</f>
        <v/>
      </c>
      <c r="K70">
        <f>SUMPRODUCT(Calc!$K$3:$K$22*(Calc!$G$3:$G$22&gt;A70)*(Calc!$G$3:$G$22-A70)*(Calc!$G$3:$G$22&gt;B70)*(Calc!$G$3:$G$22-B70))</f>
        <v/>
      </c>
      <c r="L70">
        <f>SUMPRODUCT(Calc!$K$3:$K$22*(Calc!$G$3:$G$22&gt;A70)*(Calc!$G$3:$G$22-A70)*Calc!$G$3:$G$22)</f>
        <v/>
      </c>
      <c r="M70">
        <f>SUMPRODUCT(Calc!$K$3:$K$22*(Calc!$G$3:$G$22&gt;B70)*(Calc!$G$3:$G$22-B70)*Calc!$G$3:$G$22)</f>
        <v/>
      </c>
      <c r="N70">
        <f>SUMPRODUCT(Calc!$K$3:$K$22*(Calc!$G$3:$G$22&gt;A70)*(Calc!$G$3:$G$22-A70)*Calc!$I$3:$I$22)</f>
        <v/>
      </c>
      <c r="O70">
        <f>SUMPRODUCT(Calc!$K$3:$K$22*(Calc!$G$3:$G$22&gt;B70)*(Calc!$G$3:$G$22-B70)*Calc!$I$3:$I$22)</f>
        <v/>
      </c>
      <c r="P70">
        <f>I70-G70^2/k_n</f>
        <v/>
      </c>
      <c r="Q70">
        <f>J70-H70^2/k_n</f>
        <v/>
      </c>
      <c r="R70">
        <f>K70-G70*H70/k_n</f>
        <v/>
      </c>
      <c r="S70">
        <f>L70-LTP3!$D$3*G70/k_n</f>
        <v/>
      </c>
      <c r="T70">
        <f>M70-LTP3!$D$3*H70/k_n</f>
        <v/>
      </c>
      <c r="U70">
        <f>N70-G70*LTP3!$D$4/k_n</f>
        <v/>
      </c>
      <c r="V70">
        <f>O70-H70*LTP3!$D$4/k_n</f>
        <v/>
      </c>
      <c r="W70">
        <f>((LTP3!$D$5)*((P70)*(Q70)-(R70)*(R70))-(S70)*((S70)*(Q70)-(R70)*(T70))+(T70)*((S70)*(R70)-(P70)*(T70)))</f>
        <v/>
      </c>
      <c r="X70">
        <f>IF(ABS(W70)&gt;1E-12,((LTP3!$D$6)*((P70)*(Q70)-(R70)*(R70))-(S70)*((U70)*(Q70)-(R70)*(V70))+(T70)*((U70)*(R70)-(P70)*(V70)))/W70,0)</f>
        <v/>
      </c>
      <c r="Y70">
        <f>IF(ABS(W70)&gt;1E-12,((LTP3!$D$5)*((U70)*(Q70)-(R70)*(V70))-(LTP3!$D$6)*((S70)*(Q70)-(R70)*(T70))+(T70)*((S70)*(V70)-(U70)*(T70)))/W70,0)</f>
        <v/>
      </c>
      <c r="Z70">
        <f>IF(ABS(W70)&gt;1E-12,((LTP3!$D$5)*((P70)*(V70)-(U70)*(R70))-(S70)*((S70)*(V70)-(U70)*(T70))+(LTP3!$D$6)*((S70)*(R70)-(P70)*(T70)))/W70,0)</f>
        <v/>
      </c>
      <c r="AA70">
        <f>LTP3!$D$7-X70*LTP3!$D$6-Y70*U70-Z70*V70</f>
        <v/>
      </c>
      <c r="AB70">
        <f>IF(AND(F70,ABS(W70)&gt;1E-12,Y70&gt;0,Z70&gt;0),AA70,1E+300)</f>
        <v/>
      </c>
    </row>
    <row r="71">
      <c r="A71">
        <f>$B$3+$B$5*0</f>
        <v/>
      </c>
      <c r="B71">
        <f>$B$3+$B$5*59</f>
        <v/>
      </c>
      <c r="C71">
        <f>SUMPRODUCT(Calc!$K$3:$K$22*(Calc!$G$3:$G$22&lt;=A71))</f>
        <v/>
      </c>
      <c r="D71">
        <f>SUMPRODUCT(Calc!$K$3:$K$22*(Calc!$G$3:$G$22&gt;A71)*(Calc!$G$3:$G$22&lt;B71))</f>
        <v/>
      </c>
      <c r="E71">
        <f>SUMPRODUCT(Calc!$K$3:$K$22*(Calc!$G$3:$G$22&gt;=B71))</f>
        <v/>
      </c>
      <c r="F71">
        <f>AND(k_n&gt;=5,B71&gt;A71+1E-9,C71&gt;=2,D71&gt;=1,E71&gt;=2)</f>
        <v/>
      </c>
      <c r="G71">
        <f>SUMPRODUCT(Calc!$K$3:$K$22*(Calc!$G$3:$G$22&gt;A71)*(Calc!$G$3:$G$22-A71))</f>
        <v/>
      </c>
      <c r="H71">
        <f>SUMPRODUCT(Calc!$K$3:$K$22*(Calc!$G$3:$G$22&gt;B71)*(Calc!$G$3:$G$22-B71))</f>
        <v/>
      </c>
      <c r="I71">
        <f>SUMPRODUCT(Calc!$K$3:$K$22*(Calc!$G$3:$G$22&gt;A71)*(Calc!$G$3:$G$22-A71)^2)</f>
        <v/>
      </c>
      <c r="J71">
        <f>SUMPRODUCT(Calc!$K$3:$K$22*(Calc!$G$3:$G$22&gt;B71)*(Calc!$G$3:$G$22-B71)^2)</f>
        <v/>
      </c>
      <c r="K71">
        <f>SUMPRODUCT(Calc!$K$3:$K$22*(Calc!$G$3:$G$22&gt;A71)*(Calc!$G$3:$G$22-A71)*(Calc!$G$3:$G$22&gt;B71)*(Calc!$G$3:$G$22-B71))</f>
        <v/>
      </c>
      <c r="L71">
        <f>SUMPRODUCT(Calc!$K$3:$K$22*(Calc!$G$3:$G$22&gt;A71)*(Calc!$G$3:$G$22-A71)*Calc!$G$3:$G$22)</f>
        <v/>
      </c>
      <c r="M71">
        <f>SUMPRODUCT(Calc!$K$3:$K$22*(Calc!$G$3:$G$22&gt;B71)*(Calc!$G$3:$G$22-B71)*Calc!$G$3:$G$22)</f>
        <v/>
      </c>
      <c r="N71">
        <f>SUMPRODUCT(Calc!$K$3:$K$22*(Calc!$G$3:$G$22&gt;A71)*(Calc!$G$3:$G$22-A71)*Calc!$I$3:$I$22)</f>
        <v/>
      </c>
      <c r="O71">
        <f>SUMPRODUCT(Calc!$K$3:$K$22*(Calc!$G$3:$G$22&gt;B71)*(Calc!$G$3:$G$22-B71)*Calc!$I$3:$I$22)</f>
        <v/>
      </c>
      <c r="P71">
        <f>I71-G71^2/k_n</f>
        <v/>
      </c>
      <c r="Q71">
        <f>J71-H71^2/k_n</f>
        <v/>
      </c>
      <c r="R71">
        <f>K71-G71*H71/k_n</f>
        <v/>
      </c>
      <c r="S71">
        <f>L71-LTP3!$D$3*G71/k_n</f>
        <v/>
      </c>
      <c r="T71">
        <f>M71-LTP3!$D$3*H71/k_n</f>
        <v/>
      </c>
      <c r="U71">
        <f>N71-G71*LTP3!$D$4/k_n</f>
        <v/>
      </c>
      <c r="V71">
        <f>O71-H71*LTP3!$D$4/k_n</f>
        <v/>
      </c>
      <c r="W71">
        <f>((LTP3!$D$5)*((P71)*(Q71)-(R71)*(R71))-(S71)*((S71)*(Q71)-(R71)*(T71))+(T71)*((S71)*(R71)-(P71)*(T71)))</f>
        <v/>
      </c>
      <c r="X71">
        <f>IF(ABS(W71)&gt;1E-12,((LTP3!$D$6)*((P71)*(Q71)-(R71)*(R71))-(S71)*((U71)*(Q71)-(R71)*(V71))+(T71)*((U71)*(R71)-(P71)*(V71)))/W71,0)</f>
        <v/>
      </c>
      <c r="Y71">
        <f>IF(ABS(W71)&gt;1E-12,((LTP3!$D$5)*((U71)*(Q71)-(R71)*(V71))-(LTP3!$D$6)*((S71)*(Q71)-(R71)*(T71))+(T71)*((S71)*(V71)-(U71)*(T71)))/W71,0)</f>
        <v/>
      </c>
      <c r="Z71">
        <f>IF(ABS(W71)&gt;1E-12,((LTP3!$D$5)*((P71)*(V71)-(U71)*(R71))-(S71)*((S71)*(V71)-(U71)*(T71))+(LTP3!$D$6)*((S71)*(R71)-(P71)*(T71)))/W71,0)</f>
        <v/>
      </c>
      <c r="AA71">
        <f>LTP3!$D$7-X71*LTP3!$D$6-Y71*U71-Z71*V71</f>
        <v/>
      </c>
      <c r="AB71">
        <f>IF(AND(F71,ABS(W71)&gt;1E-12,Y71&gt;0,Z71&gt;0),AA71,1E+300)</f>
        <v/>
      </c>
    </row>
    <row r="72">
      <c r="A72">
        <f>$B$3+$B$5*0</f>
        <v/>
      </c>
      <c r="B72">
        <f>$B$3+$B$5*60</f>
        <v/>
      </c>
      <c r="C72">
        <f>SUMPRODUCT(Calc!$K$3:$K$22*(Calc!$G$3:$G$22&lt;=A72))</f>
        <v/>
      </c>
      <c r="D72">
        <f>SUMPRODUCT(Calc!$K$3:$K$22*(Calc!$G$3:$G$22&gt;A72)*(Calc!$G$3:$G$22&lt;B72))</f>
        <v/>
      </c>
      <c r="E72">
        <f>SUMPRODUCT(Calc!$K$3:$K$22*(Calc!$G$3:$G$22&gt;=B72))</f>
        <v/>
      </c>
      <c r="F72">
        <f>AND(k_n&gt;=5,B72&gt;A72+1E-9,C72&gt;=2,D72&gt;=1,E72&gt;=2)</f>
        <v/>
      </c>
      <c r="G72">
        <f>SUMPRODUCT(Calc!$K$3:$K$22*(Calc!$G$3:$G$22&gt;A72)*(Calc!$G$3:$G$22-A72))</f>
        <v/>
      </c>
      <c r="H72">
        <f>SUMPRODUCT(Calc!$K$3:$K$22*(Calc!$G$3:$G$22&gt;B72)*(Calc!$G$3:$G$22-B72))</f>
        <v/>
      </c>
      <c r="I72">
        <f>SUMPRODUCT(Calc!$K$3:$K$22*(Calc!$G$3:$G$22&gt;A72)*(Calc!$G$3:$G$22-A72)^2)</f>
        <v/>
      </c>
      <c r="J72">
        <f>SUMPRODUCT(Calc!$K$3:$K$22*(Calc!$G$3:$G$22&gt;B72)*(Calc!$G$3:$G$22-B72)^2)</f>
        <v/>
      </c>
      <c r="K72">
        <f>SUMPRODUCT(Calc!$K$3:$K$22*(Calc!$G$3:$G$22&gt;A72)*(Calc!$G$3:$G$22-A72)*(Calc!$G$3:$G$22&gt;B72)*(Calc!$G$3:$G$22-B72))</f>
        <v/>
      </c>
      <c r="L72">
        <f>SUMPRODUCT(Calc!$K$3:$K$22*(Calc!$G$3:$G$22&gt;A72)*(Calc!$G$3:$G$22-A72)*Calc!$G$3:$G$22)</f>
        <v/>
      </c>
      <c r="M72">
        <f>SUMPRODUCT(Calc!$K$3:$K$22*(Calc!$G$3:$G$22&gt;B72)*(Calc!$G$3:$G$22-B72)*Calc!$G$3:$G$22)</f>
        <v/>
      </c>
      <c r="N72">
        <f>SUMPRODUCT(Calc!$K$3:$K$22*(Calc!$G$3:$G$22&gt;A72)*(Calc!$G$3:$G$22-A72)*Calc!$I$3:$I$22)</f>
        <v/>
      </c>
      <c r="O72">
        <f>SUMPRODUCT(Calc!$K$3:$K$22*(Calc!$G$3:$G$22&gt;B72)*(Calc!$G$3:$G$22-B72)*Calc!$I$3:$I$22)</f>
        <v/>
      </c>
      <c r="P72">
        <f>I72-G72^2/k_n</f>
        <v/>
      </c>
      <c r="Q72">
        <f>J72-H72^2/k_n</f>
        <v/>
      </c>
      <c r="R72">
        <f>K72-G72*H72/k_n</f>
        <v/>
      </c>
      <c r="S72">
        <f>L72-LTP3!$D$3*G72/k_n</f>
        <v/>
      </c>
      <c r="T72">
        <f>M72-LTP3!$D$3*H72/k_n</f>
        <v/>
      </c>
      <c r="U72">
        <f>N72-G72*LTP3!$D$4/k_n</f>
        <v/>
      </c>
      <c r="V72">
        <f>O72-H72*LTP3!$D$4/k_n</f>
        <v/>
      </c>
      <c r="W72">
        <f>((LTP3!$D$5)*((P72)*(Q72)-(R72)*(R72))-(S72)*((S72)*(Q72)-(R72)*(T72))+(T72)*((S72)*(R72)-(P72)*(T72)))</f>
        <v/>
      </c>
      <c r="X72">
        <f>IF(ABS(W72)&gt;1E-12,((LTP3!$D$6)*((P72)*(Q72)-(R72)*(R72))-(S72)*((U72)*(Q72)-(R72)*(V72))+(T72)*((U72)*(R72)-(P72)*(V72)))/W72,0)</f>
        <v/>
      </c>
      <c r="Y72">
        <f>IF(ABS(W72)&gt;1E-12,((LTP3!$D$5)*((U72)*(Q72)-(R72)*(V72))-(LTP3!$D$6)*((S72)*(Q72)-(R72)*(T72))+(T72)*((S72)*(V72)-(U72)*(T72)))/W72,0)</f>
        <v/>
      </c>
      <c r="Z72">
        <f>IF(ABS(W72)&gt;1E-12,((LTP3!$D$5)*((P72)*(V72)-(U72)*(R72))-(S72)*((S72)*(V72)-(U72)*(T72))+(LTP3!$D$6)*((S72)*(R72)-(P72)*(T72)))/W72,0)</f>
        <v/>
      </c>
      <c r="AA72">
        <f>LTP3!$D$7-X72*LTP3!$D$6-Y72*U72-Z72*V72</f>
        <v/>
      </c>
      <c r="AB72">
        <f>IF(AND(F72,ABS(W72)&gt;1E-12,Y72&gt;0,Z72&gt;0),AA72,1E+300)</f>
        <v/>
      </c>
    </row>
    <row r="73">
      <c r="A73">
        <f>$B$3+$B$5*1</f>
        <v/>
      </c>
      <c r="B73">
        <f>$B$3+$B$5*0</f>
        <v/>
      </c>
      <c r="C73">
        <f>SUMPRODUCT(Calc!$K$3:$K$22*(Calc!$G$3:$G$22&lt;=A73))</f>
        <v/>
      </c>
      <c r="D73">
        <f>SUMPRODUCT(Calc!$K$3:$K$22*(Calc!$G$3:$G$22&gt;A73)*(Calc!$G$3:$G$22&lt;B73))</f>
        <v/>
      </c>
      <c r="E73">
        <f>SUMPRODUCT(Calc!$K$3:$K$22*(Calc!$G$3:$G$22&gt;=B73))</f>
        <v/>
      </c>
      <c r="F73">
        <f>AND(k_n&gt;=5,B73&gt;A73+1E-9,C73&gt;=2,D73&gt;=1,E73&gt;=2)</f>
        <v/>
      </c>
      <c r="G73">
        <f>SUMPRODUCT(Calc!$K$3:$K$22*(Calc!$G$3:$G$22&gt;A73)*(Calc!$G$3:$G$22-A73))</f>
        <v/>
      </c>
      <c r="H73">
        <f>SUMPRODUCT(Calc!$K$3:$K$22*(Calc!$G$3:$G$22&gt;B73)*(Calc!$G$3:$G$22-B73))</f>
        <v/>
      </c>
      <c r="I73">
        <f>SUMPRODUCT(Calc!$K$3:$K$22*(Calc!$G$3:$G$22&gt;A73)*(Calc!$G$3:$G$22-A73)^2)</f>
        <v/>
      </c>
      <c r="J73">
        <f>SUMPRODUCT(Calc!$K$3:$K$22*(Calc!$G$3:$G$22&gt;B73)*(Calc!$G$3:$G$22-B73)^2)</f>
        <v/>
      </c>
      <c r="K73">
        <f>SUMPRODUCT(Calc!$K$3:$K$22*(Calc!$G$3:$G$22&gt;A73)*(Calc!$G$3:$G$22-A73)*(Calc!$G$3:$G$22&gt;B73)*(Calc!$G$3:$G$22-B73))</f>
        <v/>
      </c>
      <c r="L73">
        <f>SUMPRODUCT(Calc!$K$3:$K$22*(Calc!$G$3:$G$22&gt;A73)*(Calc!$G$3:$G$22-A73)*Calc!$G$3:$G$22)</f>
        <v/>
      </c>
      <c r="M73">
        <f>SUMPRODUCT(Calc!$K$3:$K$22*(Calc!$G$3:$G$22&gt;B73)*(Calc!$G$3:$G$22-B73)*Calc!$G$3:$G$22)</f>
        <v/>
      </c>
      <c r="N73">
        <f>SUMPRODUCT(Calc!$K$3:$K$22*(Calc!$G$3:$G$22&gt;A73)*(Calc!$G$3:$G$22-A73)*Calc!$I$3:$I$22)</f>
        <v/>
      </c>
      <c r="O73">
        <f>SUMPRODUCT(Calc!$K$3:$K$22*(Calc!$G$3:$G$22&gt;B73)*(Calc!$G$3:$G$22-B73)*Calc!$I$3:$I$22)</f>
        <v/>
      </c>
      <c r="P73">
        <f>I73-G73^2/k_n</f>
        <v/>
      </c>
      <c r="Q73">
        <f>J73-H73^2/k_n</f>
        <v/>
      </c>
      <c r="R73">
        <f>K73-G73*H73/k_n</f>
        <v/>
      </c>
      <c r="S73">
        <f>L73-LTP3!$D$3*G73/k_n</f>
        <v/>
      </c>
      <c r="T73">
        <f>M73-LTP3!$D$3*H73/k_n</f>
        <v/>
      </c>
      <c r="U73">
        <f>N73-G73*LTP3!$D$4/k_n</f>
        <v/>
      </c>
      <c r="V73">
        <f>O73-H73*LTP3!$D$4/k_n</f>
        <v/>
      </c>
      <c r="W73">
        <f>((LTP3!$D$5)*((P73)*(Q73)-(R73)*(R73))-(S73)*((S73)*(Q73)-(R73)*(T73))+(T73)*((S73)*(R73)-(P73)*(T73)))</f>
        <v/>
      </c>
      <c r="X73">
        <f>IF(ABS(W73)&gt;1E-12,((LTP3!$D$6)*((P73)*(Q73)-(R73)*(R73))-(S73)*((U73)*(Q73)-(R73)*(V73))+(T73)*((U73)*(R73)-(P73)*(V73)))/W73,0)</f>
        <v/>
      </c>
      <c r="Y73">
        <f>IF(ABS(W73)&gt;1E-12,((LTP3!$D$5)*((U73)*(Q73)-(R73)*(V73))-(LTP3!$D$6)*((S73)*(Q73)-(R73)*(T73))+(T73)*((S73)*(V73)-(U73)*(T73)))/W73,0)</f>
        <v/>
      </c>
      <c r="Z73">
        <f>IF(ABS(W73)&gt;1E-12,((LTP3!$D$5)*((P73)*(V73)-(U73)*(R73))-(S73)*((S73)*(V73)-(U73)*(T73))+(LTP3!$D$6)*((S73)*(R73)-(P73)*(T73)))/W73,0)</f>
        <v/>
      </c>
      <c r="AA73">
        <f>LTP3!$D$7-X73*LTP3!$D$6-Y73*U73-Z73*V73</f>
        <v/>
      </c>
      <c r="AB73">
        <f>IF(AND(F73,ABS(W73)&gt;1E-12,Y73&gt;0,Z73&gt;0),AA73,1E+300)</f>
        <v/>
      </c>
    </row>
    <row r="74">
      <c r="A74">
        <f>$B$3+$B$5*1</f>
        <v/>
      </c>
      <c r="B74">
        <f>$B$3+$B$5*1</f>
        <v/>
      </c>
      <c r="C74">
        <f>SUMPRODUCT(Calc!$K$3:$K$22*(Calc!$G$3:$G$22&lt;=A74))</f>
        <v/>
      </c>
      <c r="D74">
        <f>SUMPRODUCT(Calc!$K$3:$K$22*(Calc!$G$3:$G$22&gt;A74)*(Calc!$G$3:$G$22&lt;B74))</f>
        <v/>
      </c>
      <c r="E74">
        <f>SUMPRODUCT(Calc!$K$3:$K$22*(Calc!$G$3:$G$22&gt;=B74))</f>
        <v/>
      </c>
      <c r="F74">
        <f>AND(k_n&gt;=5,B74&gt;A74+1E-9,C74&gt;=2,D74&gt;=1,E74&gt;=2)</f>
        <v/>
      </c>
      <c r="G74">
        <f>SUMPRODUCT(Calc!$K$3:$K$22*(Calc!$G$3:$G$22&gt;A74)*(Calc!$G$3:$G$22-A74))</f>
        <v/>
      </c>
      <c r="H74">
        <f>SUMPRODUCT(Calc!$K$3:$K$22*(Calc!$G$3:$G$22&gt;B74)*(Calc!$G$3:$G$22-B74))</f>
        <v/>
      </c>
      <c r="I74">
        <f>SUMPRODUCT(Calc!$K$3:$K$22*(Calc!$G$3:$G$22&gt;A74)*(Calc!$G$3:$G$22-A74)^2)</f>
        <v/>
      </c>
      <c r="J74">
        <f>SUMPRODUCT(Calc!$K$3:$K$22*(Calc!$G$3:$G$22&gt;B74)*(Calc!$G$3:$G$22-B74)^2)</f>
        <v/>
      </c>
      <c r="K74">
        <f>SUMPRODUCT(Calc!$K$3:$K$22*(Calc!$G$3:$G$22&gt;A74)*(Calc!$G$3:$G$22-A74)*(Calc!$G$3:$G$22&gt;B74)*(Calc!$G$3:$G$22-B74))</f>
        <v/>
      </c>
      <c r="L74">
        <f>SUMPRODUCT(Calc!$K$3:$K$22*(Calc!$G$3:$G$22&gt;A74)*(Calc!$G$3:$G$22-A74)*Calc!$G$3:$G$22)</f>
        <v/>
      </c>
      <c r="M74">
        <f>SUMPRODUCT(Calc!$K$3:$K$22*(Calc!$G$3:$G$22&gt;B74)*(Calc!$G$3:$G$22-B74)*Calc!$G$3:$G$22)</f>
        <v/>
      </c>
      <c r="N74">
        <f>SUMPRODUCT(Calc!$K$3:$K$22*(Calc!$G$3:$G$22&gt;A74)*(Calc!$G$3:$G$22-A74)*Calc!$I$3:$I$22)</f>
        <v/>
      </c>
      <c r="O74">
        <f>SUMPRODUCT(Calc!$K$3:$K$22*(Calc!$G$3:$G$22&gt;B74)*(Calc!$G$3:$G$22-B74)*Calc!$I$3:$I$22)</f>
        <v/>
      </c>
      <c r="P74">
        <f>I74-G74^2/k_n</f>
        <v/>
      </c>
      <c r="Q74">
        <f>J74-H74^2/k_n</f>
        <v/>
      </c>
      <c r="R74">
        <f>K74-G74*H74/k_n</f>
        <v/>
      </c>
      <c r="S74">
        <f>L74-LTP3!$D$3*G74/k_n</f>
        <v/>
      </c>
      <c r="T74">
        <f>M74-LTP3!$D$3*H74/k_n</f>
        <v/>
      </c>
      <c r="U74">
        <f>N74-G74*LTP3!$D$4/k_n</f>
        <v/>
      </c>
      <c r="V74">
        <f>O74-H74*LTP3!$D$4/k_n</f>
        <v/>
      </c>
      <c r="W74">
        <f>((LTP3!$D$5)*((P74)*(Q74)-(R74)*(R74))-(S74)*((S74)*(Q74)-(R74)*(T74))+(T74)*((S74)*(R74)-(P74)*(T74)))</f>
        <v/>
      </c>
      <c r="X74">
        <f>IF(ABS(W74)&gt;1E-12,((LTP3!$D$6)*((P74)*(Q74)-(R74)*(R74))-(S74)*((U74)*(Q74)-(R74)*(V74))+(T74)*((U74)*(R74)-(P74)*(V74)))/W74,0)</f>
        <v/>
      </c>
      <c r="Y74">
        <f>IF(ABS(W74)&gt;1E-12,((LTP3!$D$5)*((U74)*(Q74)-(R74)*(V74))-(LTP3!$D$6)*((S74)*(Q74)-(R74)*(T74))+(T74)*((S74)*(V74)-(U74)*(T74)))/W74,0)</f>
        <v/>
      </c>
      <c r="Z74">
        <f>IF(ABS(W74)&gt;1E-12,((LTP3!$D$5)*((P74)*(V74)-(U74)*(R74))-(S74)*((S74)*(V74)-(U74)*(T74))+(LTP3!$D$6)*((S74)*(R74)-(P74)*(T74)))/W74,0)</f>
        <v/>
      </c>
      <c r="AA74">
        <f>LTP3!$D$7-X74*LTP3!$D$6-Y74*U74-Z74*V74</f>
        <v/>
      </c>
      <c r="AB74">
        <f>IF(AND(F74,ABS(W74)&gt;1E-12,Y74&gt;0,Z74&gt;0),AA74,1E+300)</f>
        <v/>
      </c>
    </row>
    <row r="75">
      <c r="A75">
        <f>$B$3+$B$5*1</f>
        <v/>
      </c>
      <c r="B75">
        <f>$B$3+$B$5*2</f>
        <v/>
      </c>
      <c r="C75">
        <f>SUMPRODUCT(Calc!$K$3:$K$22*(Calc!$G$3:$G$22&lt;=A75))</f>
        <v/>
      </c>
      <c r="D75">
        <f>SUMPRODUCT(Calc!$K$3:$K$22*(Calc!$G$3:$G$22&gt;A75)*(Calc!$G$3:$G$22&lt;B75))</f>
        <v/>
      </c>
      <c r="E75">
        <f>SUMPRODUCT(Calc!$K$3:$K$22*(Calc!$G$3:$G$22&gt;=B75))</f>
        <v/>
      </c>
      <c r="F75">
        <f>AND(k_n&gt;=5,B75&gt;A75+1E-9,C75&gt;=2,D75&gt;=1,E75&gt;=2)</f>
        <v/>
      </c>
      <c r="G75">
        <f>SUMPRODUCT(Calc!$K$3:$K$22*(Calc!$G$3:$G$22&gt;A75)*(Calc!$G$3:$G$22-A75))</f>
        <v/>
      </c>
      <c r="H75">
        <f>SUMPRODUCT(Calc!$K$3:$K$22*(Calc!$G$3:$G$22&gt;B75)*(Calc!$G$3:$G$22-B75))</f>
        <v/>
      </c>
      <c r="I75">
        <f>SUMPRODUCT(Calc!$K$3:$K$22*(Calc!$G$3:$G$22&gt;A75)*(Calc!$G$3:$G$22-A75)^2)</f>
        <v/>
      </c>
      <c r="J75">
        <f>SUMPRODUCT(Calc!$K$3:$K$22*(Calc!$G$3:$G$22&gt;B75)*(Calc!$G$3:$G$22-B75)^2)</f>
        <v/>
      </c>
      <c r="K75">
        <f>SUMPRODUCT(Calc!$K$3:$K$22*(Calc!$G$3:$G$22&gt;A75)*(Calc!$G$3:$G$22-A75)*(Calc!$G$3:$G$22&gt;B75)*(Calc!$G$3:$G$22-B75))</f>
        <v/>
      </c>
      <c r="L75">
        <f>SUMPRODUCT(Calc!$K$3:$K$22*(Calc!$G$3:$G$22&gt;A75)*(Calc!$G$3:$G$22-A75)*Calc!$G$3:$G$22)</f>
        <v/>
      </c>
      <c r="M75">
        <f>SUMPRODUCT(Calc!$K$3:$K$22*(Calc!$G$3:$G$22&gt;B75)*(Calc!$G$3:$G$22-B75)*Calc!$G$3:$G$22)</f>
        <v/>
      </c>
      <c r="N75">
        <f>SUMPRODUCT(Calc!$K$3:$K$22*(Calc!$G$3:$G$22&gt;A75)*(Calc!$G$3:$G$22-A75)*Calc!$I$3:$I$22)</f>
        <v/>
      </c>
      <c r="O75">
        <f>SUMPRODUCT(Calc!$K$3:$K$22*(Calc!$G$3:$G$22&gt;B75)*(Calc!$G$3:$G$22-B75)*Calc!$I$3:$I$22)</f>
        <v/>
      </c>
      <c r="P75">
        <f>I75-G75^2/k_n</f>
        <v/>
      </c>
      <c r="Q75">
        <f>J75-H75^2/k_n</f>
        <v/>
      </c>
      <c r="R75">
        <f>K75-G75*H75/k_n</f>
        <v/>
      </c>
      <c r="S75">
        <f>L75-LTP3!$D$3*G75/k_n</f>
        <v/>
      </c>
      <c r="T75">
        <f>M75-LTP3!$D$3*H75/k_n</f>
        <v/>
      </c>
      <c r="U75">
        <f>N75-G75*LTP3!$D$4/k_n</f>
        <v/>
      </c>
      <c r="V75">
        <f>O75-H75*LTP3!$D$4/k_n</f>
        <v/>
      </c>
      <c r="W75">
        <f>((LTP3!$D$5)*((P75)*(Q75)-(R75)*(R75))-(S75)*((S75)*(Q75)-(R75)*(T75))+(T75)*((S75)*(R75)-(P75)*(T75)))</f>
        <v/>
      </c>
      <c r="X75">
        <f>IF(ABS(W75)&gt;1E-12,((LTP3!$D$6)*((P75)*(Q75)-(R75)*(R75))-(S75)*((U75)*(Q75)-(R75)*(V75))+(T75)*((U75)*(R75)-(P75)*(V75)))/W75,0)</f>
        <v/>
      </c>
      <c r="Y75">
        <f>IF(ABS(W75)&gt;1E-12,((LTP3!$D$5)*((U75)*(Q75)-(R75)*(V75))-(LTP3!$D$6)*((S75)*(Q75)-(R75)*(T75))+(T75)*((S75)*(V75)-(U75)*(T75)))/W75,0)</f>
        <v/>
      </c>
      <c r="Z75">
        <f>IF(ABS(W75)&gt;1E-12,((LTP3!$D$5)*((P75)*(V75)-(U75)*(R75))-(S75)*((S75)*(V75)-(U75)*(T75))+(LTP3!$D$6)*((S75)*(R75)-(P75)*(T75)))/W75,0)</f>
        <v/>
      </c>
      <c r="AA75">
        <f>LTP3!$D$7-X75*LTP3!$D$6-Y75*U75-Z75*V75</f>
        <v/>
      </c>
      <c r="AB75">
        <f>IF(AND(F75,ABS(W75)&gt;1E-12,Y75&gt;0,Z75&gt;0),AA75,1E+300)</f>
        <v/>
      </c>
    </row>
    <row r="76">
      <c r="A76">
        <f>$B$3+$B$5*1</f>
        <v/>
      </c>
      <c r="B76">
        <f>$B$3+$B$5*3</f>
        <v/>
      </c>
      <c r="C76">
        <f>SUMPRODUCT(Calc!$K$3:$K$22*(Calc!$G$3:$G$22&lt;=A76))</f>
        <v/>
      </c>
      <c r="D76">
        <f>SUMPRODUCT(Calc!$K$3:$K$22*(Calc!$G$3:$G$22&gt;A76)*(Calc!$G$3:$G$22&lt;B76))</f>
        <v/>
      </c>
      <c r="E76">
        <f>SUMPRODUCT(Calc!$K$3:$K$22*(Calc!$G$3:$G$22&gt;=B76))</f>
        <v/>
      </c>
      <c r="F76">
        <f>AND(k_n&gt;=5,B76&gt;A76+1E-9,C76&gt;=2,D76&gt;=1,E76&gt;=2)</f>
        <v/>
      </c>
      <c r="G76">
        <f>SUMPRODUCT(Calc!$K$3:$K$22*(Calc!$G$3:$G$22&gt;A76)*(Calc!$G$3:$G$22-A76))</f>
        <v/>
      </c>
      <c r="H76">
        <f>SUMPRODUCT(Calc!$K$3:$K$22*(Calc!$G$3:$G$22&gt;B76)*(Calc!$G$3:$G$22-B76))</f>
        <v/>
      </c>
      <c r="I76">
        <f>SUMPRODUCT(Calc!$K$3:$K$22*(Calc!$G$3:$G$22&gt;A76)*(Calc!$G$3:$G$22-A76)^2)</f>
        <v/>
      </c>
      <c r="J76">
        <f>SUMPRODUCT(Calc!$K$3:$K$22*(Calc!$G$3:$G$22&gt;B76)*(Calc!$G$3:$G$22-B76)^2)</f>
        <v/>
      </c>
      <c r="K76">
        <f>SUMPRODUCT(Calc!$K$3:$K$22*(Calc!$G$3:$G$22&gt;A76)*(Calc!$G$3:$G$22-A76)*(Calc!$G$3:$G$22&gt;B76)*(Calc!$G$3:$G$22-B76))</f>
        <v/>
      </c>
      <c r="L76">
        <f>SUMPRODUCT(Calc!$K$3:$K$22*(Calc!$G$3:$G$22&gt;A76)*(Calc!$G$3:$G$22-A76)*Calc!$G$3:$G$22)</f>
        <v/>
      </c>
      <c r="M76">
        <f>SUMPRODUCT(Calc!$K$3:$K$22*(Calc!$G$3:$G$22&gt;B76)*(Calc!$G$3:$G$22-B76)*Calc!$G$3:$G$22)</f>
        <v/>
      </c>
      <c r="N76">
        <f>SUMPRODUCT(Calc!$K$3:$K$22*(Calc!$G$3:$G$22&gt;A76)*(Calc!$G$3:$G$22-A76)*Calc!$I$3:$I$22)</f>
        <v/>
      </c>
      <c r="O76">
        <f>SUMPRODUCT(Calc!$K$3:$K$22*(Calc!$G$3:$G$22&gt;B76)*(Calc!$G$3:$G$22-B76)*Calc!$I$3:$I$22)</f>
        <v/>
      </c>
      <c r="P76">
        <f>I76-G76^2/k_n</f>
        <v/>
      </c>
      <c r="Q76">
        <f>J76-H76^2/k_n</f>
        <v/>
      </c>
      <c r="R76">
        <f>K76-G76*H76/k_n</f>
        <v/>
      </c>
      <c r="S76">
        <f>L76-LTP3!$D$3*G76/k_n</f>
        <v/>
      </c>
      <c r="T76">
        <f>M76-LTP3!$D$3*H76/k_n</f>
        <v/>
      </c>
      <c r="U76">
        <f>N76-G76*LTP3!$D$4/k_n</f>
        <v/>
      </c>
      <c r="V76">
        <f>O76-H76*LTP3!$D$4/k_n</f>
        <v/>
      </c>
      <c r="W76">
        <f>((LTP3!$D$5)*((P76)*(Q76)-(R76)*(R76))-(S76)*((S76)*(Q76)-(R76)*(T76))+(T76)*((S76)*(R76)-(P76)*(T76)))</f>
        <v/>
      </c>
      <c r="X76">
        <f>IF(ABS(W76)&gt;1E-12,((LTP3!$D$6)*((P76)*(Q76)-(R76)*(R76))-(S76)*((U76)*(Q76)-(R76)*(V76))+(T76)*((U76)*(R76)-(P76)*(V76)))/W76,0)</f>
        <v/>
      </c>
      <c r="Y76">
        <f>IF(ABS(W76)&gt;1E-12,((LTP3!$D$5)*((U76)*(Q76)-(R76)*(V76))-(LTP3!$D$6)*((S76)*(Q76)-(R76)*(T76))+(T76)*((S76)*(V76)-(U76)*(T76)))/W76,0)</f>
        <v/>
      </c>
      <c r="Z76">
        <f>IF(ABS(W76)&gt;1E-12,((LTP3!$D$5)*((P76)*(V76)-(U76)*(R76))-(S76)*((S76)*(V76)-(U76)*(T76))+(LTP3!$D$6)*((S76)*(R76)-(P76)*(T76)))/W76,0)</f>
        <v/>
      </c>
      <c r="AA76">
        <f>LTP3!$D$7-X76*LTP3!$D$6-Y76*U76-Z76*V76</f>
        <v/>
      </c>
      <c r="AB76">
        <f>IF(AND(F76,ABS(W76)&gt;1E-12,Y76&gt;0,Z76&gt;0),AA76,1E+300)</f>
        <v/>
      </c>
    </row>
    <row r="77">
      <c r="A77">
        <f>$B$3+$B$5*1</f>
        <v/>
      </c>
      <c r="B77">
        <f>$B$3+$B$5*4</f>
        <v/>
      </c>
      <c r="C77">
        <f>SUMPRODUCT(Calc!$K$3:$K$22*(Calc!$G$3:$G$22&lt;=A77))</f>
        <v/>
      </c>
      <c r="D77">
        <f>SUMPRODUCT(Calc!$K$3:$K$22*(Calc!$G$3:$G$22&gt;A77)*(Calc!$G$3:$G$22&lt;B77))</f>
        <v/>
      </c>
      <c r="E77">
        <f>SUMPRODUCT(Calc!$K$3:$K$22*(Calc!$G$3:$G$22&gt;=B77))</f>
        <v/>
      </c>
      <c r="F77">
        <f>AND(k_n&gt;=5,B77&gt;A77+1E-9,C77&gt;=2,D77&gt;=1,E77&gt;=2)</f>
        <v/>
      </c>
      <c r="G77">
        <f>SUMPRODUCT(Calc!$K$3:$K$22*(Calc!$G$3:$G$22&gt;A77)*(Calc!$G$3:$G$22-A77))</f>
        <v/>
      </c>
      <c r="H77">
        <f>SUMPRODUCT(Calc!$K$3:$K$22*(Calc!$G$3:$G$22&gt;B77)*(Calc!$G$3:$G$22-B77))</f>
        <v/>
      </c>
      <c r="I77">
        <f>SUMPRODUCT(Calc!$K$3:$K$22*(Calc!$G$3:$G$22&gt;A77)*(Calc!$G$3:$G$22-A77)^2)</f>
        <v/>
      </c>
      <c r="J77">
        <f>SUMPRODUCT(Calc!$K$3:$K$22*(Calc!$G$3:$G$22&gt;B77)*(Calc!$G$3:$G$22-B77)^2)</f>
        <v/>
      </c>
      <c r="K77">
        <f>SUMPRODUCT(Calc!$K$3:$K$22*(Calc!$G$3:$G$22&gt;A77)*(Calc!$G$3:$G$22-A77)*(Calc!$G$3:$G$22&gt;B77)*(Calc!$G$3:$G$22-B77))</f>
        <v/>
      </c>
      <c r="L77">
        <f>SUMPRODUCT(Calc!$K$3:$K$22*(Calc!$G$3:$G$22&gt;A77)*(Calc!$G$3:$G$22-A77)*Calc!$G$3:$G$22)</f>
        <v/>
      </c>
      <c r="M77">
        <f>SUMPRODUCT(Calc!$K$3:$K$22*(Calc!$G$3:$G$22&gt;B77)*(Calc!$G$3:$G$22-B77)*Calc!$G$3:$G$22)</f>
        <v/>
      </c>
      <c r="N77">
        <f>SUMPRODUCT(Calc!$K$3:$K$22*(Calc!$G$3:$G$22&gt;A77)*(Calc!$G$3:$G$22-A77)*Calc!$I$3:$I$22)</f>
        <v/>
      </c>
      <c r="O77">
        <f>SUMPRODUCT(Calc!$K$3:$K$22*(Calc!$G$3:$G$22&gt;B77)*(Calc!$G$3:$G$22-B77)*Calc!$I$3:$I$22)</f>
        <v/>
      </c>
      <c r="P77">
        <f>I77-G77^2/k_n</f>
        <v/>
      </c>
      <c r="Q77">
        <f>J77-H77^2/k_n</f>
        <v/>
      </c>
      <c r="R77">
        <f>K77-G77*H77/k_n</f>
        <v/>
      </c>
      <c r="S77">
        <f>L77-LTP3!$D$3*G77/k_n</f>
        <v/>
      </c>
      <c r="T77">
        <f>M77-LTP3!$D$3*H77/k_n</f>
        <v/>
      </c>
      <c r="U77">
        <f>N77-G77*LTP3!$D$4/k_n</f>
        <v/>
      </c>
      <c r="V77">
        <f>O77-H77*LTP3!$D$4/k_n</f>
        <v/>
      </c>
      <c r="W77">
        <f>((LTP3!$D$5)*((P77)*(Q77)-(R77)*(R77))-(S77)*((S77)*(Q77)-(R77)*(T77))+(T77)*((S77)*(R77)-(P77)*(T77)))</f>
        <v/>
      </c>
      <c r="X77">
        <f>IF(ABS(W77)&gt;1E-12,((LTP3!$D$6)*((P77)*(Q77)-(R77)*(R77))-(S77)*((U77)*(Q77)-(R77)*(V77))+(T77)*((U77)*(R77)-(P77)*(V77)))/W77,0)</f>
        <v/>
      </c>
      <c r="Y77">
        <f>IF(ABS(W77)&gt;1E-12,((LTP3!$D$5)*((U77)*(Q77)-(R77)*(V77))-(LTP3!$D$6)*((S77)*(Q77)-(R77)*(T77))+(T77)*((S77)*(V77)-(U77)*(T77)))/W77,0)</f>
        <v/>
      </c>
      <c r="Z77">
        <f>IF(ABS(W77)&gt;1E-12,((LTP3!$D$5)*((P77)*(V77)-(U77)*(R77))-(S77)*((S77)*(V77)-(U77)*(T77))+(LTP3!$D$6)*((S77)*(R77)-(P77)*(T77)))/W77,0)</f>
        <v/>
      </c>
      <c r="AA77">
        <f>LTP3!$D$7-X77*LTP3!$D$6-Y77*U77-Z77*V77</f>
        <v/>
      </c>
      <c r="AB77">
        <f>IF(AND(F77,ABS(W77)&gt;1E-12,Y77&gt;0,Z77&gt;0),AA77,1E+300)</f>
        <v/>
      </c>
    </row>
    <row r="78">
      <c r="A78">
        <f>$B$3+$B$5*1</f>
        <v/>
      </c>
      <c r="B78">
        <f>$B$3+$B$5*5</f>
        <v/>
      </c>
      <c r="C78">
        <f>SUMPRODUCT(Calc!$K$3:$K$22*(Calc!$G$3:$G$22&lt;=A78))</f>
        <v/>
      </c>
      <c r="D78">
        <f>SUMPRODUCT(Calc!$K$3:$K$22*(Calc!$G$3:$G$22&gt;A78)*(Calc!$G$3:$G$22&lt;B78))</f>
        <v/>
      </c>
      <c r="E78">
        <f>SUMPRODUCT(Calc!$K$3:$K$22*(Calc!$G$3:$G$22&gt;=B78))</f>
        <v/>
      </c>
      <c r="F78">
        <f>AND(k_n&gt;=5,B78&gt;A78+1E-9,C78&gt;=2,D78&gt;=1,E78&gt;=2)</f>
        <v/>
      </c>
      <c r="G78">
        <f>SUMPRODUCT(Calc!$K$3:$K$22*(Calc!$G$3:$G$22&gt;A78)*(Calc!$G$3:$G$22-A78))</f>
        <v/>
      </c>
      <c r="H78">
        <f>SUMPRODUCT(Calc!$K$3:$K$22*(Calc!$G$3:$G$22&gt;B78)*(Calc!$G$3:$G$22-B78))</f>
        <v/>
      </c>
      <c r="I78">
        <f>SUMPRODUCT(Calc!$K$3:$K$22*(Calc!$G$3:$G$22&gt;A78)*(Calc!$G$3:$G$22-A78)^2)</f>
        <v/>
      </c>
      <c r="J78">
        <f>SUMPRODUCT(Calc!$K$3:$K$22*(Calc!$G$3:$G$22&gt;B78)*(Calc!$G$3:$G$22-B78)^2)</f>
        <v/>
      </c>
      <c r="K78">
        <f>SUMPRODUCT(Calc!$K$3:$K$22*(Calc!$G$3:$G$22&gt;A78)*(Calc!$G$3:$G$22-A78)*(Calc!$G$3:$G$22&gt;B78)*(Calc!$G$3:$G$22-B78))</f>
        <v/>
      </c>
      <c r="L78">
        <f>SUMPRODUCT(Calc!$K$3:$K$22*(Calc!$G$3:$G$22&gt;A78)*(Calc!$G$3:$G$22-A78)*Calc!$G$3:$G$22)</f>
        <v/>
      </c>
      <c r="M78">
        <f>SUMPRODUCT(Calc!$K$3:$K$22*(Calc!$G$3:$G$22&gt;B78)*(Calc!$G$3:$G$22-B78)*Calc!$G$3:$G$22)</f>
        <v/>
      </c>
      <c r="N78">
        <f>SUMPRODUCT(Calc!$K$3:$K$22*(Calc!$G$3:$G$22&gt;A78)*(Calc!$G$3:$G$22-A78)*Calc!$I$3:$I$22)</f>
        <v/>
      </c>
      <c r="O78">
        <f>SUMPRODUCT(Calc!$K$3:$K$22*(Calc!$G$3:$G$22&gt;B78)*(Calc!$G$3:$G$22-B78)*Calc!$I$3:$I$22)</f>
        <v/>
      </c>
      <c r="P78">
        <f>I78-G78^2/k_n</f>
        <v/>
      </c>
      <c r="Q78">
        <f>J78-H78^2/k_n</f>
        <v/>
      </c>
      <c r="R78">
        <f>K78-G78*H78/k_n</f>
        <v/>
      </c>
      <c r="S78">
        <f>L78-LTP3!$D$3*G78/k_n</f>
        <v/>
      </c>
      <c r="T78">
        <f>M78-LTP3!$D$3*H78/k_n</f>
        <v/>
      </c>
      <c r="U78">
        <f>N78-G78*LTP3!$D$4/k_n</f>
        <v/>
      </c>
      <c r="V78">
        <f>O78-H78*LTP3!$D$4/k_n</f>
        <v/>
      </c>
      <c r="W78">
        <f>((LTP3!$D$5)*((P78)*(Q78)-(R78)*(R78))-(S78)*((S78)*(Q78)-(R78)*(T78))+(T78)*((S78)*(R78)-(P78)*(T78)))</f>
        <v/>
      </c>
      <c r="X78">
        <f>IF(ABS(W78)&gt;1E-12,((LTP3!$D$6)*((P78)*(Q78)-(R78)*(R78))-(S78)*((U78)*(Q78)-(R78)*(V78))+(T78)*((U78)*(R78)-(P78)*(V78)))/W78,0)</f>
        <v/>
      </c>
      <c r="Y78">
        <f>IF(ABS(W78)&gt;1E-12,((LTP3!$D$5)*((U78)*(Q78)-(R78)*(V78))-(LTP3!$D$6)*((S78)*(Q78)-(R78)*(T78))+(T78)*((S78)*(V78)-(U78)*(T78)))/W78,0)</f>
        <v/>
      </c>
      <c r="Z78">
        <f>IF(ABS(W78)&gt;1E-12,((LTP3!$D$5)*((P78)*(V78)-(U78)*(R78))-(S78)*((S78)*(V78)-(U78)*(T78))+(LTP3!$D$6)*((S78)*(R78)-(P78)*(T78)))/W78,0)</f>
        <v/>
      </c>
      <c r="AA78">
        <f>LTP3!$D$7-X78*LTP3!$D$6-Y78*U78-Z78*V78</f>
        <v/>
      </c>
      <c r="AB78">
        <f>IF(AND(F78,ABS(W78)&gt;1E-12,Y78&gt;0,Z78&gt;0),AA78,1E+300)</f>
        <v/>
      </c>
    </row>
    <row r="79">
      <c r="A79">
        <f>$B$3+$B$5*1</f>
        <v/>
      </c>
      <c r="B79">
        <f>$B$3+$B$5*6</f>
        <v/>
      </c>
      <c r="C79">
        <f>SUMPRODUCT(Calc!$K$3:$K$22*(Calc!$G$3:$G$22&lt;=A79))</f>
        <v/>
      </c>
      <c r="D79">
        <f>SUMPRODUCT(Calc!$K$3:$K$22*(Calc!$G$3:$G$22&gt;A79)*(Calc!$G$3:$G$22&lt;B79))</f>
        <v/>
      </c>
      <c r="E79">
        <f>SUMPRODUCT(Calc!$K$3:$K$22*(Calc!$G$3:$G$22&gt;=B79))</f>
        <v/>
      </c>
      <c r="F79">
        <f>AND(k_n&gt;=5,B79&gt;A79+1E-9,C79&gt;=2,D79&gt;=1,E79&gt;=2)</f>
        <v/>
      </c>
      <c r="G79">
        <f>SUMPRODUCT(Calc!$K$3:$K$22*(Calc!$G$3:$G$22&gt;A79)*(Calc!$G$3:$G$22-A79))</f>
        <v/>
      </c>
      <c r="H79">
        <f>SUMPRODUCT(Calc!$K$3:$K$22*(Calc!$G$3:$G$22&gt;B79)*(Calc!$G$3:$G$22-B79))</f>
        <v/>
      </c>
      <c r="I79">
        <f>SUMPRODUCT(Calc!$K$3:$K$22*(Calc!$G$3:$G$22&gt;A79)*(Calc!$G$3:$G$22-A79)^2)</f>
        <v/>
      </c>
      <c r="J79">
        <f>SUMPRODUCT(Calc!$K$3:$K$22*(Calc!$G$3:$G$22&gt;B79)*(Calc!$G$3:$G$22-B79)^2)</f>
        <v/>
      </c>
      <c r="K79">
        <f>SUMPRODUCT(Calc!$K$3:$K$22*(Calc!$G$3:$G$22&gt;A79)*(Calc!$G$3:$G$22-A79)*(Calc!$G$3:$G$22&gt;B79)*(Calc!$G$3:$G$22-B79))</f>
        <v/>
      </c>
      <c r="L79">
        <f>SUMPRODUCT(Calc!$K$3:$K$22*(Calc!$G$3:$G$22&gt;A79)*(Calc!$G$3:$G$22-A79)*Calc!$G$3:$G$22)</f>
        <v/>
      </c>
      <c r="M79">
        <f>SUMPRODUCT(Calc!$K$3:$K$22*(Calc!$G$3:$G$22&gt;B79)*(Calc!$G$3:$G$22-B79)*Calc!$G$3:$G$22)</f>
        <v/>
      </c>
      <c r="N79">
        <f>SUMPRODUCT(Calc!$K$3:$K$22*(Calc!$G$3:$G$22&gt;A79)*(Calc!$G$3:$G$22-A79)*Calc!$I$3:$I$22)</f>
        <v/>
      </c>
      <c r="O79">
        <f>SUMPRODUCT(Calc!$K$3:$K$22*(Calc!$G$3:$G$22&gt;B79)*(Calc!$G$3:$G$22-B79)*Calc!$I$3:$I$22)</f>
        <v/>
      </c>
      <c r="P79">
        <f>I79-G79^2/k_n</f>
        <v/>
      </c>
      <c r="Q79">
        <f>J79-H79^2/k_n</f>
        <v/>
      </c>
      <c r="R79">
        <f>K79-G79*H79/k_n</f>
        <v/>
      </c>
      <c r="S79">
        <f>L79-LTP3!$D$3*G79/k_n</f>
        <v/>
      </c>
      <c r="T79">
        <f>M79-LTP3!$D$3*H79/k_n</f>
        <v/>
      </c>
      <c r="U79">
        <f>N79-G79*LTP3!$D$4/k_n</f>
        <v/>
      </c>
      <c r="V79">
        <f>O79-H79*LTP3!$D$4/k_n</f>
        <v/>
      </c>
      <c r="W79">
        <f>((LTP3!$D$5)*((P79)*(Q79)-(R79)*(R79))-(S79)*((S79)*(Q79)-(R79)*(T79))+(T79)*((S79)*(R79)-(P79)*(T79)))</f>
        <v/>
      </c>
      <c r="X79">
        <f>IF(ABS(W79)&gt;1E-12,((LTP3!$D$6)*((P79)*(Q79)-(R79)*(R79))-(S79)*((U79)*(Q79)-(R79)*(V79))+(T79)*((U79)*(R79)-(P79)*(V79)))/W79,0)</f>
        <v/>
      </c>
      <c r="Y79">
        <f>IF(ABS(W79)&gt;1E-12,((LTP3!$D$5)*((U79)*(Q79)-(R79)*(V79))-(LTP3!$D$6)*((S79)*(Q79)-(R79)*(T79))+(T79)*((S79)*(V79)-(U79)*(T79)))/W79,0)</f>
        <v/>
      </c>
      <c r="Z79">
        <f>IF(ABS(W79)&gt;1E-12,((LTP3!$D$5)*((P79)*(V79)-(U79)*(R79))-(S79)*((S79)*(V79)-(U79)*(T79))+(LTP3!$D$6)*((S79)*(R79)-(P79)*(T79)))/W79,0)</f>
        <v/>
      </c>
      <c r="AA79">
        <f>LTP3!$D$7-X79*LTP3!$D$6-Y79*U79-Z79*V79</f>
        <v/>
      </c>
      <c r="AB79">
        <f>IF(AND(F79,ABS(W79)&gt;1E-12,Y79&gt;0,Z79&gt;0),AA79,1E+300)</f>
        <v/>
      </c>
    </row>
    <row r="80">
      <c r="A80">
        <f>$B$3+$B$5*1</f>
        <v/>
      </c>
      <c r="B80">
        <f>$B$3+$B$5*7</f>
        <v/>
      </c>
      <c r="C80">
        <f>SUMPRODUCT(Calc!$K$3:$K$22*(Calc!$G$3:$G$22&lt;=A80))</f>
        <v/>
      </c>
      <c r="D80">
        <f>SUMPRODUCT(Calc!$K$3:$K$22*(Calc!$G$3:$G$22&gt;A80)*(Calc!$G$3:$G$22&lt;B80))</f>
        <v/>
      </c>
      <c r="E80">
        <f>SUMPRODUCT(Calc!$K$3:$K$22*(Calc!$G$3:$G$22&gt;=B80))</f>
        <v/>
      </c>
      <c r="F80">
        <f>AND(k_n&gt;=5,B80&gt;A80+1E-9,C80&gt;=2,D80&gt;=1,E80&gt;=2)</f>
        <v/>
      </c>
      <c r="G80">
        <f>SUMPRODUCT(Calc!$K$3:$K$22*(Calc!$G$3:$G$22&gt;A80)*(Calc!$G$3:$G$22-A80))</f>
        <v/>
      </c>
      <c r="H80">
        <f>SUMPRODUCT(Calc!$K$3:$K$22*(Calc!$G$3:$G$22&gt;B80)*(Calc!$G$3:$G$22-B80))</f>
        <v/>
      </c>
      <c r="I80">
        <f>SUMPRODUCT(Calc!$K$3:$K$22*(Calc!$G$3:$G$22&gt;A80)*(Calc!$G$3:$G$22-A80)^2)</f>
        <v/>
      </c>
      <c r="J80">
        <f>SUMPRODUCT(Calc!$K$3:$K$22*(Calc!$G$3:$G$22&gt;B80)*(Calc!$G$3:$G$22-B80)^2)</f>
        <v/>
      </c>
      <c r="K80">
        <f>SUMPRODUCT(Calc!$K$3:$K$22*(Calc!$G$3:$G$22&gt;A80)*(Calc!$G$3:$G$22-A80)*(Calc!$G$3:$G$22&gt;B80)*(Calc!$G$3:$G$22-B80))</f>
        <v/>
      </c>
      <c r="L80">
        <f>SUMPRODUCT(Calc!$K$3:$K$22*(Calc!$G$3:$G$22&gt;A80)*(Calc!$G$3:$G$22-A80)*Calc!$G$3:$G$22)</f>
        <v/>
      </c>
      <c r="M80">
        <f>SUMPRODUCT(Calc!$K$3:$K$22*(Calc!$G$3:$G$22&gt;B80)*(Calc!$G$3:$G$22-B80)*Calc!$G$3:$G$22)</f>
        <v/>
      </c>
      <c r="N80">
        <f>SUMPRODUCT(Calc!$K$3:$K$22*(Calc!$G$3:$G$22&gt;A80)*(Calc!$G$3:$G$22-A80)*Calc!$I$3:$I$22)</f>
        <v/>
      </c>
      <c r="O80">
        <f>SUMPRODUCT(Calc!$K$3:$K$22*(Calc!$G$3:$G$22&gt;B80)*(Calc!$G$3:$G$22-B80)*Calc!$I$3:$I$22)</f>
        <v/>
      </c>
      <c r="P80">
        <f>I80-G80^2/k_n</f>
        <v/>
      </c>
      <c r="Q80">
        <f>J80-H80^2/k_n</f>
        <v/>
      </c>
      <c r="R80">
        <f>K80-G80*H80/k_n</f>
        <v/>
      </c>
      <c r="S80">
        <f>L80-LTP3!$D$3*G80/k_n</f>
        <v/>
      </c>
      <c r="T80">
        <f>M80-LTP3!$D$3*H80/k_n</f>
        <v/>
      </c>
      <c r="U80">
        <f>N80-G80*LTP3!$D$4/k_n</f>
        <v/>
      </c>
      <c r="V80">
        <f>O80-H80*LTP3!$D$4/k_n</f>
        <v/>
      </c>
      <c r="W80">
        <f>((LTP3!$D$5)*((P80)*(Q80)-(R80)*(R80))-(S80)*((S80)*(Q80)-(R80)*(T80))+(T80)*((S80)*(R80)-(P80)*(T80)))</f>
        <v/>
      </c>
      <c r="X80">
        <f>IF(ABS(W80)&gt;1E-12,((LTP3!$D$6)*((P80)*(Q80)-(R80)*(R80))-(S80)*((U80)*(Q80)-(R80)*(V80))+(T80)*((U80)*(R80)-(P80)*(V80)))/W80,0)</f>
        <v/>
      </c>
      <c r="Y80">
        <f>IF(ABS(W80)&gt;1E-12,((LTP3!$D$5)*((U80)*(Q80)-(R80)*(V80))-(LTP3!$D$6)*((S80)*(Q80)-(R80)*(T80))+(T80)*((S80)*(V80)-(U80)*(T80)))/W80,0)</f>
        <v/>
      </c>
      <c r="Z80">
        <f>IF(ABS(W80)&gt;1E-12,((LTP3!$D$5)*((P80)*(V80)-(U80)*(R80))-(S80)*((S80)*(V80)-(U80)*(T80))+(LTP3!$D$6)*((S80)*(R80)-(P80)*(T80)))/W80,0)</f>
        <v/>
      </c>
      <c r="AA80">
        <f>LTP3!$D$7-X80*LTP3!$D$6-Y80*U80-Z80*V80</f>
        <v/>
      </c>
      <c r="AB80">
        <f>IF(AND(F80,ABS(W80)&gt;1E-12,Y80&gt;0,Z80&gt;0),AA80,1E+300)</f>
        <v/>
      </c>
    </row>
    <row r="81">
      <c r="A81">
        <f>$B$3+$B$5*1</f>
        <v/>
      </c>
      <c r="B81">
        <f>$B$3+$B$5*8</f>
        <v/>
      </c>
      <c r="C81">
        <f>SUMPRODUCT(Calc!$K$3:$K$22*(Calc!$G$3:$G$22&lt;=A81))</f>
        <v/>
      </c>
      <c r="D81">
        <f>SUMPRODUCT(Calc!$K$3:$K$22*(Calc!$G$3:$G$22&gt;A81)*(Calc!$G$3:$G$22&lt;B81))</f>
        <v/>
      </c>
      <c r="E81">
        <f>SUMPRODUCT(Calc!$K$3:$K$22*(Calc!$G$3:$G$22&gt;=B81))</f>
        <v/>
      </c>
      <c r="F81">
        <f>AND(k_n&gt;=5,B81&gt;A81+1E-9,C81&gt;=2,D81&gt;=1,E81&gt;=2)</f>
        <v/>
      </c>
      <c r="G81">
        <f>SUMPRODUCT(Calc!$K$3:$K$22*(Calc!$G$3:$G$22&gt;A81)*(Calc!$G$3:$G$22-A81))</f>
        <v/>
      </c>
      <c r="H81">
        <f>SUMPRODUCT(Calc!$K$3:$K$22*(Calc!$G$3:$G$22&gt;B81)*(Calc!$G$3:$G$22-B81))</f>
        <v/>
      </c>
      <c r="I81">
        <f>SUMPRODUCT(Calc!$K$3:$K$22*(Calc!$G$3:$G$22&gt;A81)*(Calc!$G$3:$G$22-A81)^2)</f>
        <v/>
      </c>
      <c r="J81">
        <f>SUMPRODUCT(Calc!$K$3:$K$22*(Calc!$G$3:$G$22&gt;B81)*(Calc!$G$3:$G$22-B81)^2)</f>
        <v/>
      </c>
      <c r="K81">
        <f>SUMPRODUCT(Calc!$K$3:$K$22*(Calc!$G$3:$G$22&gt;A81)*(Calc!$G$3:$G$22-A81)*(Calc!$G$3:$G$22&gt;B81)*(Calc!$G$3:$G$22-B81))</f>
        <v/>
      </c>
      <c r="L81">
        <f>SUMPRODUCT(Calc!$K$3:$K$22*(Calc!$G$3:$G$22&gt;A81)*(Calc!$G$3:$G$22-A81)*Calc!$G$3:$G$22)</f>
        <v/>
      </c>
      <c r="M81">
        <f>SUMPRODUCT(Calc!$K$3:$K$22*(Calc!$G$3:$G$22&gt;B81)*(Calc!$G$3:$G$22-B81)*Calc!$G$3:$G$22)</f>
        <v/>
      </c>
      <c r="N81">
        <f>SUMPRODUCT(Calc!$K$3:$K$22*(Calc!$G$3:$G$22&gt;A81)*(Calc!$G$3:$G$22-A81)*Calc!$I$3:$I$22)</f>
        <v/>
      </c>
      <c r="O81">
        <f>SUMPRODUCT(Calc!$K$3:$K$22*(Calc!$G$3:$G$22&gt;B81)*(Calc!$G$3:$G$22-B81)*Calc!$I$3:$I$22)</f>
        <v/>
      </c>
      <c r="P81">
        <f>I81-G81^2/k_n</f>
        <v/>
      </c>
      <c r="Q81">
        <f>J81-H81^2/k_n</f>
        <v/>
      </c>
      <c r="R81">
        <f>K81-G81*H81/k_n</f>
        <v/>
      </c>
      <c r="S81">
        <f>L81-LTP3!$D$3*G81/k_n</f>
        <v/>
      </c>
      <c r="T81">
        <f>M81-LTP3!$D$3*H81/k_n</f>
        <v/>
      </c>
      <c r="U81">
        <f>N81-G81*LTP3!$D$4/k_n</f>
        <v/>
      </c>
      <c r="V81">
        <f>O81-H81*LTP3!$D$4/k_n</f>
        <v/>
      </c>
      <c r="W81">
        <f>((LTP3!$D$5)*((P81)*(Q81)-(R81)*(R81))-(S81)*((S81)*(Q81)-(R81)*(T81))+(T81)*((S81)*(R81)-(P81)*(T81)))</f>
        <v/>
      </c>
      <c r="X81">
        <f>IF(ABS(W81)&gt;1E-12,((LTP3!$D$6)*((P81)*(Q81)-(R81)*(R81))-(S81)*((U81)*(Q81)-(R81)*(V81))+(T81)*((U81)*(R81)-(P81)*(V81)))/W81,0)</f>
        <v/>
      </c>
      <c r="Y81">
        <f>IF(ABS(W81)&gt;1E-12,((LTP3!$D$5)*((U81)*(Q81)-(R81)*(V81))-(LTP3!$D$6)*((S81)*(Q81)-(R81)*(T81))+(T81)*((S81)*(V81)-(U81)*(T81)))/W81,0)</f>
        <v/>
      </c>
      <c r="Z81">
        <f>IF(ABS(W81)&gt;1E-12,((LTP3!$D$5)*((P81)*(V81)-(U81)*(R81))-(S81)*((S81)*(V81)-(U81)*(T81))+(LTP3!$D$6)*((S81)*(R81)-(P81)*(T81)))/W81,0)</f>
        <v/>
      </c>
      <c r="AA81">
        <f>LTP3!$D$7-X81*LTP3!$D$6-Y81*U81-Z81*V81</f>
        <v/>
      </c>
      <c r="AB81">
        <f>IF(AND(F81,ABS(W81)&gt;1E-12,Y81&gt;0,Z81&gt;0),AA81,1E+300)</f>
        <v/>
      </c>
    </row>
    <row r="82">
      <c r="A82">
        <f>$B$3+$B$5*1</f>
        <v/>
      </c>
      <c r="B82">
        <f>$B$3+$B$5*9</f>
        <v/>
      </c>
      <c r="C82">
        <f>SUMPRODUCT(Calc!$K$3:$K$22*(Calc!$G$3:$G$22&lt;=A82))</f>
        <v/>
      </c>
      <c r="D82">
        <f>SUMPRODUCT(Calc!$K$3:$K$22*(Calc!$G$3:$G$22&gt;A82)*(Calc!$G$3:$G$22&lt;B82))</f>
        <v/>
      </c>
      <c r="E82">
        <f>SUMPRODUCT(Calc!$K$3:$K$22*(Calc!$G$3:$G$22&gt;=B82))</f>
        <v/>
      </c>
      <c r="F82">
        <f>AND(k_n&gt;=5,B82&gt;A82+1E-9,C82&gt;=2,D82&gt;=1,E82&gt;=2)</f>
        <v/>
      </c>
      <c r="G82">
        <f>SUMPRODUCT(Calc!$K$3:$K$22*(Calc!$G$3:$G$22&gt;A82)*(Calc!$G$3:$G$22-A82))</f>
        <v/>
      </c>
      <c r="H82">
        <f>SUMPRODUCT(Calc!$K$3:$K$22*(Calc!$G$3:$G$22&gt;B82)*(Calc!$G$3:$G$22-B82))</f>
        <v/>
      </c>
      <c r="I82">
        <f>SUMPRODUCT(Calc!$K$3:$K$22*(Calc!$G$3:$G$22&gt;A82)*(Calc!$G$3:$G$22-A82)^2)</f>
        <v/>
      </c>
      <c r="J82">
        <f>SUMPRODUCT(Calc!$K$3:$K$22*(Calc!$G$3:$G$22&gt;B82)*(Calc!$G$3:$G$22-B82)^2)</f>
        <v/>
      </c>
      <c r="K82">
        <f>SUMPRODUCT(Calc!$K$3:$K$22*(Calc!$G$3:$G$22&gt;A82)*(Calc!$G$3:$G$22-A82)*(Calc!$G$3:$G$22&gt;B82)*(Calc!$G$3:$G$22-B82))</f>
        <v/>
      </c>
      <c r="L82">
        <f>SUMPRODUCT(Calc!$K$3:$K$22*(Calc!$G$3:$G$22&gt;A82)*(Calc!$G$3:$G$22-A82)*Calc!$G$3:$G$22)</f>
        <v/>
      </c>
      <c r="M82">
        <f>SUMPRODUCT(Calc!$K$3:$K$22*(Calc!$G$3:$G$22&gt;B82)*(Calc!$G$3:$G$22-B82)*Calc!$G$3:$G$22)</f>
        <v/>
      </c>
      <c r="N82">
        <f>SUMPRODUCT(Calc!$K$3:$K$22*(Calc!$G$3:$G$22&gt;A82)*(Calc!$G$3:$G$22-A82)*Calc!$I$3:$I$22)</f>
        <v/>
      </c>
      <c r="O82">
        <f>SUMPRODUCT(Calc!$K$3:$K$22*(Calc!$G$3:$G$22&gt;B82)*(Calc!$G$3:$G$22-B82)*Calc!$I$3:$I$22)</f>
        <v/>
      </c>
      <c r="P82">
        <f>I82-G82^2/k_n</f>
        <v/>
      </c>
      <c r="Q82">
        <f>J82-H82^2/k_n</f>
        <v/>
      </c>
      <c r="R82">
        <f>K82-G82*H82/k_n</f>
        <v/>
      </c>
      <c r="S82">
        <f>L82-LTP3!$D$3*G82/k_n</f>
        <v/>
      </c>
      <c r="T82">
        <f>M82-LTP3!$D$3*H82/k_n</f>
        <v/>
      </c>
      <c r="U82">
        <f>N82-G82*LTP3!$D$4/k_n</f>
        <v/>
      </c>
      <c r="V82">
        <f>O82-H82*LTP3!$D$4/k_n</f>
        <v/>
      </c>
      <c r="W82">
        <f>((LTP3!$D$5)*((P82)*(Q82)-(R82)*(R82))-(S82)*((S82)*(Q82)-(R82)*(T82))+(T82)*((S82)*(R82)-(P82)*(T82)))</f>
        <v/>
      </c>
      <c r="X82">
        <f>IF(ABS(W82)&gt;1E-12,((LTP3!$D$6)*((P82)*(Q82)-(R82)*(R82))-(S82)*((U82)*(Q82)-(R82)*(V82))+(T82)*((U82)*(R82)-(P82)*(V82)))/W82,0)</f>
        <v/>
      </c>
      <c r="Y82">
        <f>IF(ABS(W82)&gt;1E-12,((LTP3!$D$5)*((U82)*(Q82)-(R82)*(V82))-(LTP3!$D$6)*((S82)*(Q82)-(R82)*(T82))+(T82)*((S82)*(V82)-(U82)*(T82)))/W82,0)</f>
        <v/>
      </c>
      <c r="Z82">
        <f>IF(ABS(W82)&gt;1E-12,((LTP3!$D$5)*((P82)*(V82)-(U82)*(R82))-(S82)*((S82)*(V82)-(U82)*(T82))+(LTP3!$D$6)*((S82)*(R82)-(P82)*(T82)))/W82,0)</f>
        <v/>
      </c>
      <c r="AA82">
        <f>LTP3!$D$7-X82*LTP3!$D$6-Y82*U82-Z82*V82</f>
        <v/>
      </c>
      <c r="AB82">
        <f>IF(AND(F82,ABS(W82)&gt;1E-12,Y82&gt;0,Z82&gt;0),AA82,1E+300)</f>
        <v/>
      </c>
    </row>
    <row r="83">
      <c r="A83">
        <f>$B$3+$B$5*1</f>
        <v/>
      </c>
      <c r="B83">
        <f>$B$3+$B$5*10</f>
        <v/>
      </c>
      <c r="C83">
        <f>SUMPRODUCT(Calc!$K$3:$K$22*(Calc!$G$3:$G$22&lt;=A83))</f>
        <v/>
      </c>
      <c r="D83">
        <f>SUMPRODUCT(Calc!$K$3:$K$22*(Calc!$G$3:$G$22&gt;A83)*(Calc!$G$3:$G$22&lt;B83))</f>
        <v/>
      </c>
      <c r="E83">
        <f>SUMPRODUCT(Calc!$K$3:$K$22*(Calc!$G$3:$G$22&gt;=B83))</f>
        <v/>
      </c>
      <c r="F83">
        <f>AND(k_n&gt;=5,B83&gt;A83+1E-9,C83&gt;=2,D83&gt;=1,E83&gt;=2)</f>
        <v/>
      </c>
      <c r="G83">
        <f>SUMPRODUCT(Calc!$K$3:$K$22*(Calc!$G$3:$G$22&gt;A83)*(Calc!$G$3:$G$22-A83))</f>
        <v/>
      </c>
      <c r="H83">
        <f>SUMPRODUCT(Calc!$K$3:$K$22*(Calc!$G$3:$G$22&gt;B83)*(Calc!$G$3:$G$22-B83))</f>
        <v/>
      </c>
      <c r="I83">
        <f>SUMPRODUCT(Calc!$K$3:$K$22*(Calc!$G$3:$G$22&gt;A83)*(Calc!$G$3:$G$22-A83)^2)</f>
        <v/>
      </c>
      <c r="J83">
        <f>SUMPRODUCT(Calc!$K$3:$K$22*(Calc!$G$3:$G$22&gt;B83)*(Calc!$G$3:$G$22-B83)^2)</f>
        <v/>
      </c>
      <c r="K83">
        <f>SUMPRODUCT(Calc!$K$3:$K$22*(Calc!$G$3:$G$22&gt;A83)*(Calc!$G$3:$G$22-A83)*(Calc!$G$3:$G$22&gt;B83)*(Calc!$G$3:$G$22-B83))</f>
        <v/>
      </c>
      <c r="L83">
        <f>SUMPRODUCT(Calc!$K$3:$K$22*(Calc!$G$3:$G$22&gt;A83)*(Calc!$G$3:$G$22-A83)*Calc!$G$3:$G$22)</f>
        <v/>
      </c>
      <c r="M83">
        <f>SUMPRODUCT(Calc!$K$3:$K$22*(Calc!$G$3:$G$22&gt;B83)*(Calc!$G$3:$G$22-B83)*Calc!$G$3:$G$22)</f>
        <v/>
      </c>
      <c r="N83">
        <f>SUMPRODUCT(Calc!$K$3:$K$22*(Calc!$G$3:$G$22&gt;A83)*(Calc!$G$3:$G$22-A83)*Calc!$I$3:$I$22)</f>
        <v/>
      </c>
      <c r="O83">
        <f>SUMPRODUCT(Calc!$K$3:$K$22*(Calc!$G$3:$G$22&gt;B83)*(Calc!$G$3:$G$22-B83)*Calc!$I$3:$I$22)</f>
        <v/>
      </c>
      <c r="P83">
        <f>I83-G83^2/k_n</f>
        <v/>
      </c>
      <c r="Q83">
        <f>J83-H83^2/k_n</f>
        <v/>
      </c>
      <c r="R83">
        <f>K83-G83*H83/k_n</f>
        <v/>
      </c>
      <c r="S83">
        <f>L83-LTP3!$D$3*G83/k_n</f>
        <v/>
      </c>
      <c r="T83">
        <f>M83-LTP3!$D$3*H83/k_n</f>
        <v/>
      </c>
      <c r="U83">
        <f>N83-G83*LTP3!$D$4/k_n</f>
        <v/>
      </c>
      <c r="V83">
        <f>O83-H83*LTP3!$D$4/k_n</f>
        <v/>
      </c>
      <c r="W83">
        <f>((LTP3!$D$5)*((P83)*(Q83)-(R83)*(R83))-(S83)*((S83)*(Q83)-(R83)*(T83))+(T83)*((S83)*(R83)-(P83)*(T83)))</f>
        <v/>
      </c>
      <c r="X83">
        <f>IF(ABS(W83)&gt;1E-12,((LTP3!$D$6)*((P83)*(Q83)-(R83)*(R83))-(S83)*((U83)*(Q83)-(R83)*(V83))+(T83)*((U83)*(R83)-(P83)*(V83)))/W83,0)</f>
        <v/>
      </c>
      <c r="Y83">
        <f>IF(ABS(W83)&gt;1E-12,((LTP3!$D$5)*((U83)*(Q83)-(R83)*(V83))-(LTP3!$D$6)*((S83)*(Q83)-(R83)*(T83))+(T83)*((S83)*(V83)-(U83)*(T83)))/W83,0)</f>
        <v/>
      </c>
      <c r="Z83">
        <f>IF(ABS(W83)&gt;1E-12,((LTP3!$D$5)*((P83)*(V83)-(U83)*(R83))-(S83)*((S83)*(V83)-(U83)*(T83))+(LTP3!$D$6)*((S83)*(R83)-(P83)*(T83)))/W83,0)</f>
        <v/>
      </c>
      <c r="AA83">
        <f>LTP3!$D$7-X83*LTP3!$D$6-Y83*U83-Z83*V83</f>
        <v/>
      </c>
      <c r="AB83">
        <f>IF(AND(F83,ABS(W83)&gt;1E-12,Y83&gt;0,Z83&gt;0),AA83,1E+300)</f>
        <v/>
      </c>
    </row>
    <row r="84">
      <c r="A84">
        <f>$B$3+$B$5*1</f>
        <v/>
      </c>
      <c r="B84">
        <f>$B$3+$B$5*11</f>
        <v/>
      </c>
      <c r="C84">
        <f>SUMPRODUCT(Calc!$K$3:$K$22*(Calc!$G$3:$G$22&lt;=A84))</f>
        <v/>
      </c>
      <c r="D84">
        <f>SUMPRODUCT(Calc!$K$3:$K$22*(Calc!$G$3:$G$22&gt;A84)*(Calc!$G$3:$G$22&lt;B84))</f>
        <v/>
      </c>
      <c r="E84">
        <f>SUMPRODUCT(Calc!$K$3:$K$22*(Calc!$G$3:$G$22&gt;=B84))</f>
        <v/>
      </c>
      <c r="F84">
        <f>AND(k_n&gt;=5,B84&gt;A84+1E-9,C84&gt;=2,D84&gt;=1,E84&gt;=2)</f>
        <v/>
      </c>
      <c r="G84">
        <f>SUMPRODUCT(Calc!$K$3:$K$22*(Calc!$G$3:$G$22&gt;A84)*(Calc!$G$3:$G$22-A84))</f>
        <v/>
      </c>
      <c r="H84">
        <f>SUMPRODUCT(Calc!$K$3:$K$22*(Calc!$G$3:$G$22&gt;B84)*(Calc!$G$3:$G$22-B84))</f>
        <v/>
      </c>
      <c r="I84">
        <f>SUMPRODUCT(Calc!$K$3:$K$22*(Calc!$G$3:$G$22&gt;A84)*(Calc!$G$3:$G$22-A84)^2)</f>
        <v/>
      </c>
      <c r="J84">
        <f>SUMPRODUCT(Calc!$K$3:$K$22*(Calc!$G$3:$G$22&gt;B84)*(Calc!$G$3:$G$22-B84)^2)</f>
        <v/>
      </c>
      <c r="K84">
        <f>SUMPRODUCT(Calc!$K$3:$K$22*(Calc!$G$3:$G$22&gt;A84)*(Calc!$G$3:$G$22-A84)*(Calc!$G$3:$G$22&gt;B84)*(Calc!$G$3:$G$22-B84))</f>
        <v/>
      </c>
      <c r="L84">
        <f>SUMPRODUCT(Calc!$K$3:$K$22*(Calc!$G$3:$G$22&gt;A84)*(Calc!$G$3:$G$22-A84)*Calc!$G$3:$G$22)</f>
        <v/>
      </c>
      <c r="M84">
        <f>SUMPRODUCT(Calc!$K$3:$K$22*(Calc!$G$3:$G$22&gt;B84)*(Calc!$G$3:$G$22-B84)*Calc!$G$3:$G$22)</f>
        <v/>
      </c>
      <c r="N84">
        <f>SUMPRODUCT(Calc!$K$3:$K$22*(Calc!$G$3:$G$22&gt;A84)*(Calc!$G$3:$G$22-A84)*Calc!$I$3:$I$22)</f>
        <v/>
      </c>
      <c r="O84">
        <f>SUMPRODUCT(Calc!$K$3:$K$22*(Calc!$G$3:$G$22&gt;B84)*(Calc!$G$3:$G$22-B84)*Calc!$I$3:$I$22)</f>
        <v/>
      </c>
      <c r="P84">
        <f>I84-G84^2/k_n</f>
        <v/>
      </c>
      <c r="Q84">
        <f>J84-H84^2/k_n</f>
        <v/>
      </c>
      <c r="R84">
        <f>K84-G84*H84/k_n</f>
        <v/>
      </c>
      <c r="S84">
        <f>L84-LTP3!$D$3*G84/k_n</f>
        <v/>
      </c>
      <c r="T84">
        <f>M84-LTP3!$D$3*H84/k_n</f>
        <v/>
      </c>
      <c r="U84">
        <f>N84-G84*LTP3!$D$4/k_n</f>
        <v/>
      </c>
      <c r="V84">
        <f>O84-H84*LTP3!$D$4/k_n</f>
        <v/>
      </c>
      <c r="W84">
        <f>((LTP3!$D$5)*((P84)*(Q84)-(R84)*(R84))-(S84)*((S84)*(Q84)-(R84)*(T84))+(T84)*((S84)*(R84)-(P84)*(T84)))</f>
        <v/>
      </c>
      <c r="X84">
        <f>IF(ABS(W84)&gt;1E-12,((LTP3!$D$6)*((P84)*(Q84)-(R84)*(R84))-(S84)*((U84)*(Q84)-(R84)*(V84))+(T84)*((U84)*(R84)-(P84)*(V84)))/W84,0)</f>
        <v/>
      </c>
      <c r="Y84">
        <f>IF(ABS(W84)&gt;1E-12,((LTP3!$D$5)*((U84)*(Q84)-(R84)*(V84))-(LTP3!$D$6)*((S84)*(Q84)-(R84)*(T84))+(T84)*((S84)*(V84)-(U84)*(T84)))/W84,0)</f>
        <v/>
      </c>
      <c r="Z84">
        <f>IF(ABS(W84)&gt;1E-12,((LTP3!$D$5)*((P84)*(V84)-(U84)*(R84))-(S84)*((S84)*(V84)-(U84)*(T84))+(LTP3!$D$6)*((S84)*(R84)-(P84)*(T84)))/W84,0)</f>
        <v/>
      </c>
      <c r="AA84">
        <f>LTP3!$D$7-X84*LTP3!$D$6-Y84*U84-Z84*V84</f>
        <v/>
      </c>
      <c r="AB84">
        <f>IF(AND(F84,ABS(W84)&gt;1E-12,Y84&gt;0,Z84&gt;0),AA84,1E+300)</f>
        <v/>
      </c>
    </row>
    <row r="85">
      <c r="A85">
        <f>$B$3+$B$5*1</f>
        <v/>
      </c>
      <c r="B85">
        <f>$B$3+$B$5*12</f>
        <v/>
      </c>
      <c r="C85">
        <f>SUMPRODUCT(Calc!$K$3:$K$22*(Calc!$G$3:$G$22&lt;=A85))</f>
        <v/>
      </c>
      <c r="D85">
        <f>SUMPRODUCT(Calc!$K$3:$K$22*(Calc!$G$3:$G$22&gt;A85)*(Calc!$G$3:$G$22&lt;B85))</f>
        <v/>
      </c>
      <c r="E85">
        <f>SUMPRODUCT(Calc!$K$3:$K$22*(Calc!$G$3:$G$22&gt;=B85))</f>
        <v/>
      </c>
      <c r="F85">
        <f>AND(k_n&gt;=5,B85&gt;A85+1E-9,C85&gt;=2,D85&gt;=1,E85&gt;=2)</f>
        <v/>
      </c>
      <c r="G85">
        <f>SUMPRODUCT(Calc!$K$3:$K$22*(Calc!$G$3:$G$22&gt;A85)*(Calc!$G$3:$G$22-A85))</f>
        <v/>
      </c>
      <c r="H85">
        <f>SUMPRODUCT(Calc!$K$3:$K$22*(Calc!$G$3:$G$22&gt;B85)*(Calc!$G$3:$G$22-B85))</f>
        <v/>
      </c>
      <c r="I85">
        <f>SUMPRODUCT(Calc!$K$3:$K$22*(Calc!$G$3:$G$22&gt;A85)*(Calc!$G$3:$G$22-A85)^2)</f>
        <v/>
      </c>
      <c r="J85">
        <f>SUMPRODUCT(Calc!$K$3:$K$22*(Calc!$G$3:$G$22&gt;B85)*(Calc!$G$3:$G$22-B85)^2)</f>
        <v/>
      </c>
      <c r="K85">
        <f>SUMPRODUCT(Calc!$K$3:$K$22*(Calc!$G$3:$G$22&gt;A85)*(Calc!$G$3:$G$22-A85)*(Calc!$G$3:$G$22&gt;B85)*(Calc!$G$3:$G$22-B85))</f>
        <v/>
      </c>
      <c r="L85">
        <f>SUMPRODUCT(Calc!$K$3:$K$22*(Calc!$G$3:$G$22&gt;A85)*(Calc!$G$3:$G$22-A85)*Calc!$G$3:$G$22)</f>
        <v/>
      </c>
      <c r="M85">
        <f>SUMPRODUCT(Calc!$K$3:$K$22*(Calc!$G$3:$G$22&gt;B85)*(Calc!$G$3:$G$22-B85)*Calc!$G$3:$G$22)</f>
        <v/>
      </c>
      <c r="N85">
        <f>SUMPRODUCT(Calc!$K$3:$K$22*(Calc!$G$3:$G$22&gt;A85)*(Calc!$G$3:$G$22-A85)*Calc!$I$3:$I$22)</f>
        <v/>
      </c>
      <c r="O85">
        <f>SUMPRODUCT(Calc!$K$3:$K$22*(Calc!$G$3:$G$22&gt;B85)*(Calc!$G$3:$G$22-B85)*Calc!$I$3:$I$22)</f>
        <v/>
      </c>
      <c r="P85">
        <f>I85-G85^2/k_n</f>
        <v/>
      </c>
      <c r="Q85">
        <f>J85-H85^2/k_n</f>
        <v/>
      </c>
      <c r="R85">
        <f>K85-G85*H85/k_n</f>
        <v/>
      </c>
      <c r="S85">
        <f>L85-LTP3!$D$3*G85/k_n</f>
        <v/>
      </c>
      <c r="T85">
        <f>M85-LTP3!$D$3*H85/k_n</f>
        <v/>
      </c>
      <c r="U85">
        <f>N85-G85*LTP3!$D$4/k_n</f>
        <v/>
      </c>
      <c r="V85">
        <f>O85-H85*LTP3!$D$4/k_n</f>
        <v/>
      </c>
      <c r="W85">
        <f>((LTP3!$D$5)*((P85)*(Q85)-(R85)*(R85))-(S85)*((S85)*(Q85)-(R85)*(T85))+(T85)*((S85)*(R85)-(P85)*(T85)))</f>
        <v/>
      </c>
      <c r="X85">
        <f>IF(ABS(W85)&gt;1E-12,((LTP3!$D$6)*((P85)*(Q85)-(R85)*(R85))-(S85)*((U85)*(Q85)-(R85)*(V85))+(T85)*((U85)*(R85)-(P85)*(V85)))/W85,0)</f>
        <v/>
      </c>
      <c r="Y85">
        <f>IF(ABS(W85)&gt;1E-12,((LTP3!$D$5)*((U85)*(Q85)-(R85)*(V85))-(LTP3!$D$6)*((S85)*(Q85)-(R85)*(T85))+(T85)*((S85)*(V85)-(U85)*(T85)))/W85,0)</f>
        <v/>
      </c>
      <c r="Z85">
        <f>IF(ABS(W85)&gt;1E-12,((LTP3!$D$5)*((P85)*(V85)-(U85)*(R85))-(S85)*((S85)*(V85)-(U85)*(T85))+(LTP3!$D$6)*((S85)*(R85)-(P85)*(T85)))/W85,0)</f>
        <v/>
      </c>
      <c r="AA85">
        <f>LTP3!$D$7-X85*LTP3!$D$6-Y85*U85-Z85*V85</f>
        <v/>
      </c>
      <c r="AB85">
        <f>IF(AND(F85,ABS(W85)&gt;1E-12,Y85&gt;0,Z85&gt;0),AA85,1E+300)</f>
        <v/>
      </c>
    </row>
    <row r="86">
      <c r="A86">
        <f>$B$3+$B$5*1</f>
        <v/>
      </c>
      <c r="B86">
        <f>$B$3+$B$5*13</f>
        <v/>
      </c>
      <c r="C86">
        <f>SUMPRODUCT(Calc!$K$3:$K$22*(Calc!$G$3:$G$22&lt;=A86))</f>
        <v/>
      </c>
      <c r="D86">
        <f>SUMPRODUCT(Calc!$K$3:$K$22*(Calc!$G$3:$G$22&gt;A86)*(Calc!$G$3:$G$22&lt;B86))</f>
        <v/>
      </c>
      <c r="E86">
        <f>SUMPRODUCT(Calc!$K$3:$K$22*(Calc!$G$3:$G$22&gt;=B86))</f>
        <v/>
      </c>
      <c r="F86">
        <f>AND(k_n&gt;=5,B86&gt;A86+1E-9,C86&gt;=2,D86&gt;=1,E86&gt;=2)</f>
        <v/>
      </c>
      <c r="G86">
        <f>SUMPRODUCT(Calc!$K$3:$K$22*(Calc!$G$3:$G$22&gt;A86)*(Calc!$G$3:$G$22-A86))</f>
        <v/>
      </c>
      <c r="H86">
        <f>SUMPRODUCT(Calc!$K$3:$K$22*(Calc!$G$3:$G$22&gt;B86)*(Calc!$G$3:$G$22-B86))</f>
        <v/>
      </c>
      <c r="I86">
        <f>SUMPRODUCT(Calc!$K$3:$K$22*(Calc!$G$3:$G$22&gt;A86)*(Calc!$G$3:$G$22-A86)^2)</f>
        <v/>
      </c>
      <c r="J86">
        <f>SUMPRODUCT(Calc!$K$3:$K$22*(Calc!$G$3:$G$22&gt;B86)*(Calc!$G$3:$G$22-B86)^2)</f>
        <v/>
      </c>
      <c r="K86">
        <f>SUMPRODUCT(Calc!$K$3:$K$22*(Calc!$G$3:$G$22&gt;A86)*(Calc!$G$3:$G$22-A86)*(Calc!$G$3:$G$22&gt;B86)*(Calc!$G$3:$G$22-B86))</f>
        <v/>
      </c>
      <c r="L86">
        <f>SUMPRODUCT(Calc!$K$3:$K$22*(Calc!$G$3:$G$22&gt;A86)*(Calc!$G$3:$G$22-A86)*Calc!$G$3:$G$22)</f>
        <v/>
      </c>
      <c r="M86">
        <f>SUMPRODUCT(Calc!$K$3:$K$22*(Calc!$G$3:$G$22&gt;B86)*(Calc!$G$3:$G$22-B86)*Calc!$G$3:$G$22)</f>
        <v/>
      </c>
      <c r="N86">
        <f>SUMPRODUCT(Calc!$K$3:$K$22*(Calc!$G$3:$G$22&gt;A86)*(Calc!$G$3:$G$22-A86)*Calc!$I$3:$I$22)</f>
        <v/>
      </c>
      <c r="O86">
        <f>SUMPRODUCT(Calc!$K$3:$K$22*(Calc!$G$3:$G$22&gt;B86)*(Calc!$G$3:$G$22-B86)*Calc!$I$3:$I$22)</f>
        <v/>
      </c>
      <c r="P86">
        <f>I86-G86^2/k_n</f>
        <v/>
      </c>
      <c r="Q86">
        <f>J86-H86^2/k_n</f>
        <v/>
      </c>
      <c r="R86">
        <f>K86-G86*H86/k_n</f>
        <v/>
      </c>
      <c r="S86">
        <f>L86-LTP3!$D$3*G86/k_n</f>
        <v/>
      </c>
      <c r="T86">
        <f>M86-LTP3!$D$3*H86/k_n</f>
        <v/>
      </c>
      <c r="U86">
        <f>N86-G86*LTP3!$D$4/k_n</f>
        <v/>
      </c>
      <c r="V86">
        <f>O86-H86*LTP3!$D$4/k_n</f>
        <v/>
      </c>
      <c r="W86">
        <f>((LTP3!$D$5)*((P86)*(Q86)-(R86)*(R86))-(S86)*((S86)*(Q86)-(R86)*(T86))+(T86)*((S86)*(R86)-(P86)*(T86)))</f>
        <v/>
      </c>
      <c r="X86">
        <f>IF(ABS(W86)&gt;1E-12,((LTP3!$D$6)*((P86)*(Q86)-(R86)*(R86))-(S86)*((U86)*(Q86)-(R86)*(V86))+(T86)*((U86)*(R86)-(P86)*(V86)))/W86,0)</f>
        <v/>
      </c>
      <c r="Y86">
        <f>IF(ABS(W86)&gt;1E-12,((LTP3!$D$5)*((U86)*(Q86)-(R86)*(V86))-(LTP3!$D$6)*((S86)*(Q86)-(R86)*(T86))+(T86)*((S86)*(V86)-(U86)*(T86)))/W86,0)</f>
        <v/>
      </c>
      <c r="Z86">
        <f>IF(ABS(W86)&gt;1E-12,((LTP3!$D$5)*((P86)*(V86)-(U86)*(R86))-(S86)*((S86)*(V86)-(U86)*(T86))+(LTP3!$D$6)*((S86)*(R86)-(P86)*(T86)))/W86,0)</f>
        <v/>
      </c>
      <c r="AA86">
        <f>LTP3!$D$7-X86*LTP3!$D$6-Y86*U86-Z86*V86</f>
        <v/>
      </c>
      <c r="AB86">
        <f>IF(AND(F86,ABS(W86)&gt;1E-12,Y86&gt;0,Z86&gt;0),AA86,1E+300)</f>
        <v/>
      </c>
    </row>
    <row r="87">
      <c r="A87">
        <f>$B$3+$B$5*1</f>
        <v/>
      </c>
      <c r="B87">
        <f>$B$3+$B$5*14</f>
        <v/>
      </c>
      <c r="C87">
        <f>SUMPRODUCT(Calc!$K$3:$K$22*(Calc!$G$3:$G$22&lt;=A87))</f>
        <v/>
      </c>
      <c r="D87">
        <f>SUMPRODUCT(Calc!$K$3:$K$22*(Calc!$G$3:$G$22&gt;A87)*(Calc!$G$3:$G$22&lt;B87))</f>
        <v/>
      </c>
      <c r="E87">
        <f>SUMPRODUCT(Calc!$K$3:$K$22*(Calc!$G$3:$G$22&gt;=B87))</f>
        <v/>
      </c>
      <c r="F87">
        <f>AND(k_n&gt;=5,B87&gt;A87+1E-9,C87&gt;=2,D87&gt;=1,E87&gt;=2)</f>
        <v/>
      </c>
      <c r="G87">
        <f>SUMPRODUCT(Calc!$K$3:$K$22*(Calc!$G$3:$G$22&gt;A87)*(Calc!$G$3:$G$22-A87))</f>
        <v/>
      </c>
      <c r="H87">
        <f>SUMPRODUCT(Calc!$K$3:$K$22*(Calc!$G$3:$G$22&gt;B87)*(Calc!$G$3:$G$22-B87))</f>
        <v/>
      </c>
      <c r="I87">
        <f>SUMPRODUCT(Calc!$K$3:$K$22*(Calc!$G$3:$G$22&gt;A87)*(Calc!$G$3:$G$22-A87)^2)</f>
        <v/>
      </c>
      <c r="J87">
        <f>SUMPRODUCT(Calc!$K$3:$K$22*(Calc!$G$3:$G$22&gt;B87)*(Calc!$G$3:$G$22-B87)^2)</f>
        <v/>
      </c>
      <c r="K87">
        <f>SUMPRODUCT(Calc!$K$3:$K$22*(Calc!$G$3:$G$22&gt;A87)*(Calc!$G$3:$G$22-A87)*(Calc!$G$3:$G$22&gt;B87)*(Calc!$G$3:$G$22-B87))</f>
        <v/>
      </c>
      <c r="L87">
        <f>SUMPRODUCT(Calc!$K$3:$K$22*(Calc!$G$3:$G$22&gt;A87)*(Calc!$G$3:$G$22-A87)*Calc!$G$3:$G$22)</f>
        <v/>
      </c>
      <c r="M87">
        <f>SUMPRODUCT(Calc!$K$3:$K$22*(Calc!$G$3:$G$22&gt;B87)*(Calc!$G$3:$G$22-B87)*Calc!$G$3:$G$22)</f>
        <v/>
      </c>
      <c r="N87">
        <f>SUMPRODUCT(Calc!$K$3:$K$22*(Calc!$G$3:$G$22&gt;A87)*(Calc!$G$3:$G$22-A87)*Calc!$I$3:$I$22)</f>
        <v/>
      </c>
      <c r="O87">
        <f>SUMPRODUCT(Calc!$K$3:$K$22*(Calc!$G$3:$G$22&gt;B87)*(Calc!$G$3:$G$22-B87)*Calc!$I$3:$I$22)</f>
        <v/>
      </c>
      <c r="P87">
        <f>I87-G87^2/k_n</f>
        <v/>
      </c>
      <c r="Q87">
        <f>J87-H87^2/k_n</f>
        <v/>
      </c>
      <c r="R87">
        <f>K87-G87*H87/k_n</f>
        <v/>
      </c>
      <c r="S87">
        <f>L87-LTP3!$D$3*G87/k_n</f>
        <v/>
      </c>
      <c r="T87">
        <f>M87-LTP3!$D$3*H87/k_n</f>
        <v/>
      </c>
      <c r="U87">
        <f>N87-G87*LTP3!$D$4/k_n</f>
        <v/>
      </c>
      <c r="V87">
        <f>O87-H87*LTP3!$D$4/k_n</f>
        <v/>
      </c>
      <c r="W87">
        <f>((LTP3!$D$5)*((P87)*(Q87)-(R87)*(R87))-(S87)*((S87)*(Q87)-(R87)*(T87))+(T87)*((S87)*(R87)-(P87)*(T87)))</f>
        <v/>
      </c>
      <c r="X87">
        <f>IF(ABS(W87)&gt;1E-12,((LTP3!$D$6)*((P87)*(Q87)-(R87)*(R87))-(S87)*((U87)*(Q87)-(R87)*(V87))+(T87)*((U87)*(R87)-(P87)*(V87)))/W87,0)</f>
        <v/>
      </c>
      <c r="Y87">
        <f>IF(ABS(W87)&gt;1E-12,((LTP3!$D$5)*((U87)*(Q87)-(R87)*(V87))-(LTP3!$D$6)*((S87)*(Q87)-(R87)*(T87))+(T87)*((S87)*(V87)-(U87)*(T87)))/W87,0)</f>
        <v/>
      </c>
      <c r="Z87">
        <f>IF(ABS(W87)&gt;1E-12,((LTP3!$D$5)*((P87)*(V87)-(U87)*(R87))-(S87)*((S87)*(V87)-(U87)*(T87))+(LTP3!$D$6)*((S87)*(R87)-(P87)*(T87)))/W87,0)</f>
        <v/>
      </c>
      <c r="AA87">
        <f>LTP3!$D$7-X87*LTP3!$D$6-Y87*U87-Z87*V87</f>
        <v/>
      </c>
      <c r="AB87">
        <f>IF(AND(F87,ABS(W87)&gt;1E-12,Y87&gt;0,Z87&gt;0),AA87,1E+300)</f>
        <v/>
      </c>
    </row>
    <row r="88">
      <c r="A88">
        <f>$B$3+$B$5*1</f>
        <v/>
      </c>
      <c r="B88">
        <f>$B$3+$B$5*15</f>
        <v/>
      </c>
      <c r="C88">
        <f>SUMPRODUCT(Calc!$K$3:$K$22*(Calc!$G$3:$G$22&lt;=A88))</f>
        <v/>
      </c>
      <c r="D88">
        <f>SUMPRODUCT(Calc!$K$3:$K$22*(Calc!$G$3:$G$22&gt;A88)*(Calc!$G$3:$G$22&lt;B88))</f>
        <v/>
      </c>
      <c r="E88">
        <f>SUMPRODUCT(Calc!$K$3:$K$22*(Calc!$G$3:$G$22&gt;=B88))</f>
        <v/>
      </c>
      <c r="F88">
        <f>AND(k_n&gt;=5,B88&gt;A88+1E-9,C88&gt;=2,D88&gt;=1,E88&gt;=2)</f>
        <v/>
      </c>
      <c r="G88">
        <f>SUMPRODUCT(Calc!$K$3:$K$22*(Calc!$G$3:$G$22&gt;A88)*(Calc!$G$3:$G$22-A88))</f>
        <v/>
      </c>
      <c r="H88">
        <f>SUMPRODUCT(Calc!$K$3:$K$22*(Calc!$G$3:$G$22&gt;B88)*(Calc!$G$3:$G$22-B88))</f>
        <v/>
      </c>
      <c r="I88">
        <f>SUMPRODUCT(Calc!$K$3:$K$22*(Calc!$G$3:$G$22&gt;A88)*(Calc!$G$3:$G$22-A88)^2)</f>
        <v/>
      </c>
      <c r="J88">
        <f>SUMPRODUCT(Calc!$K$3:$K$22*(Calc!$G$3:$G$22&gt;B88)*(Calc!$G$3:$G$22-B88)^2)</f>
        <v/>
      </c>
      <c r="K88">
        <f>SUMPRODUCT(Calc!$K$3:$K$22*(Calc!$G$3:$G$22&gt;A88)*(Calc!$G$3:$G$22-A88)*(Calc!$G$3:$G$22&gt;B88)*(Calc!$G$3:$G$22-B88))</f>
        <v/>
      </c>
      <c r="L88">
        <f>SUMPRODUCT(Calc!$K$3:$K$22*(Calc!$G$3:$G$22&gt;A88)*(Calc!$G$3:$G$22-A88)*Calc!$G$3:$G$22)</f>
        <v/>
      </c>
      <c r="M88">
        <f>SUMPRODUCT(Calc!$K$3:$K$22*(Calc!$G$3:$G$22&gt;B88)*(Calc!$G$3:$G$22-B88)*Calc!$G$3:$G$22)</f>
        <v/>
      </c>
      <c r="N88">
        <f>SUMPRODUCT(Calc!$K$3:$K$22*(Calc!$G$3:$G$22&gt;A88)*(Calc!$G$3:$G$22-A88)*Calc!$I$3:$I$22)</f>
        <v/>
      </c>
      <c r="O88">
        <f>SUMPRODUCT(Calc!$K$3:$K$22*(Calc!$G$3:$G$22&gt;B88)*(Calc!$G$3:$G$22-B88)*Calc!$I$3:$I$22)</f>
        <v/>
      </c>
      <c r="P88">
        <f>I88-G88^2/k_n</f>
        <v/>
      </c>
      <c r="Q88">
        <f>J88-H88^2/k_n</f>
        <v/>
      </c>
      <c r="R88">
        <f>K88-G88*H88/k_n</f>
        <v/>
      </c>
      <c r="S88">
        <f>L88-LTP3!$D$3*G88/k_n</f>
        <v/>
      </c>
      <c r="T88">
        <f>M88-LTP3!$D$3*H88/k_n</f>
        <v/>
      </c>
      <c r="U88">
        <f>N88-G88*LTP3!$D$4/k_n</f>
        <v/>
      </c>
      <c r="V88">
        <f>O88-H88*LTP3!$D$4/k_n</f>
        <v/>
      </c>
      <c r="W88">
        <f>((LTP3!$D$5)*((P88)*(Q88)-(R88)*(R88))-(S88)*((S88)*(Q88)-(R88)*(T88))+(T88)*((S88)*(R88)-(P88)*(T88)))</f>
        <v/>
      </c>
      <c r="X88">
        <f>IF(ABS(W88)&gt;1E-12,((LTP3!$D$6)*((P88)*(Q88)-(R88)*(R88))-(S88)*((U88)*(Q88)-(R88)*(V88))+(T88)*((U88)*(R88)-(P88)*(V88)))/W88,0)</f>
        <v/>
      </c>
      <c r="Y88">
        <f>IF(ABS(W88)&gt;1E-12,((LTP3!$D$5)*((U88)*(Q88)-(R88)*(V88))-(LTP3!$D$6)*((S88)*(Q88)-(R88)*(T88))+(T88)*((S88)*(V88)-(U88)*(T88)))/W88,0)</f>
        <v/>
      </c>
      <c r="Z88">
        <f>IF(ABS(W88)&gt;1E-12,((LTP3!$D$5)*((P88)*(V88)-(U88)*(R88))-(S88)*((S88)*(V88)-(U88)*(T88))+(LTP3!$D$6)*((S88)*(R88)-(P88)*(T88)))/W88,0)</f>
        <v/>
      </c>
      <c r="AA88">
        <f>LTP3!$D$7-X88*LTP3!$D$6-Y88*U88-Z88*V88</f>
        <v/>
      </c>
      <c r="AB88">
        <f>IF(AND(F88,ABS(W88)&gt;1E-12,Y88&gt;0,Z88&gt;0),AA88,1E+300)</f>
        <v/>
      </c>
    </row>
    <row r="89">
      <c r="A89">
        <f>$B$3+$B$5*1</f>
        <v/>
      </c>
      <c r="B89">
        <f>$B$3+$B$5*16</f>
        <v/>
      </c>
      <c r="C89">
        <f>SUMPRODUCT(Calc!$K$3:$K$22*(Calc!$G$3:$G$22&lt;=A89))</f>
        <v/>
      </c>
      <c r="D89">
        <f>SUMPRODUCT(Calc!$K$3:$K$22*(Calc!$G$3:$G$22&gt;A89)*(Calc!$G$3:$G$22&lt;B89))</f>
        <v/>
      </c>
      <c r="E89">
        <f>SUMPRODUCT(Calc!$K$3:$K$22*(Calc!$G$3:$G$22&gt;=B89))</f>
        <v/>
      </c>
      <c r="F89">
        <f>AND(k_n&gt;=5,B89&gt;A89+1E-9,C89&gt;=2,D89&gt;=1,E89&gt;=2)</f>
        <v/>
      </c>
      <c r="G89">
        <f>SUMPRODUCT(Calc!$K$3:$K$22*(Calc!$G$3:$G$22&gt;A89)*(Calc!$G$3:$G$22-A89))</f>
        <v/>
      </c>
      <c r="H89">
        <f>SUMPRODUCT(Calc!$K$3:$K$22*(Calc!$G$3:$G$22&gt;B89)*(Calc!$G$3:$G$22-B89))</f>
        <v/>
      </c>
      <c r="I89">
        <f>SUMPRODUCT(Calc!$K$3:$K$22*(Calc!$G$3:$G$22&gt;A89)*(Calc!$G$3:$G$22-A89)^2)</f>
        <v/>
      </c>
      <c r="J89">
        <f>SUMPRODUCT(Calc!$K$3:$K$22*(Calc!$G$3:$G$22&gt;B89)*(Calc!$G$3:$G$22-B89)^2)</f>
        <v/>
      </c>
      <c r="K89">
        <f>SUMPRODUCT(Calc!$K$3:$K$22*(Calc!$G$3:$G$22&gt;A89)*(Calc!$G$3:$G$22-A89)*(Calc!$G$3:$G$22&gt;B89)*(Calc!$G$3:$G$22-B89))</f>
        <v/>
      </c>
      <c r="L89">
        <f>SUMPRODUCT(Calc!$K$3:$K$22*(Calc!$G$3:$G$22&gt;A89)*(Calc!$G$3:$G$22-A89)*Calc!$G$3:$G$22)</f>
        <v/>
      </c>
      <c r="M89">
        <f>SUMPRODUCT(Calc!$K$3:$K$22*(Calc!$G$3:$G$22&gt;B89)*(Calc!$G$3:$G$22-B89)*Calc!$G$3:$G$22)</f>
        <v/>
      </c>
      <c r="N89">
        <f>SUMPRODUCT(Calc!$K$3:$K$22*(Calc!$G$3:$G$22&gt;A89)*(Calc!$G$3:$G$22-A89)*Calc!$I$3:$I$22)</f>
        <v/>
      </c>
      <c r="O89">
        <f>SUMPRODUCT(Calc!$K$3:$K$22*(Calc!$G$3:$G$22&gt;B89)*(Calc!$G$3:$G$22-B89)*Calc!$I$3:$I$22)</f>
        <v/>
      </c>
      <c r="P89">
        <f>I89-G89^2/k_n</f>
        <v/>
      </c>
      <c r="Q89">
        <f>J89-H89^2/k_n</f>
        <v/>
      </c>
      <c r="R89">
        <f>K89-G89*H89/k_n</f>
        <v/>
      </c>
      <c r="S89">
        <f>L89-LTP3!$D$3*G89/k_n</f>
        <v/>
      </c>
      <c r="T89">
        <f>M89-LTP3!$D$3*H89/k_n</f>
        <v/>
      </c>
      <c r="U89">
        <f>N89-G89*LTP3!$D$4/k_n</f>
        <v/>
      </c>
      <c r="V89">
        <f>O89-H89*LTP3!$D$4/k_n</f>
        <v/>
      </c>
      <c r="W89">
        <f>((LTP3!$D$5)*((P89)*(Q89)-(R89)*(R89))-(S89)*((S89)*(Q89)-(R89)*(T89))+(T89)*((S89)*(R89)-(P89)*(T89)))</f>
        <v/>
      </c>
      <c r="X89">
        <f>IF(ABS(W89)&gt;1E-12,((LTP3!$D$6)*((P89)*(Q89)-(R89)*(R89))-(S89)*((U89)*(Q89)-(R89)*(V89))+(T89)*((U89)*(R89)-(P89)*(V89)))/W89,0)</f>
        <v/>
      </c>
      <c r="Y89">
        <f>IF(ABS(W89)&gt;1E-12,((LTP3!$D$5)*((U89)*(Q89)-(R89)*(V89))-(LTP3!$D$6)*((S89)*(Q89)-(R89)*(T89))+(T89)*((S89)*(V89)-(U89)*(T89)))/W89,0)</f>
        <v/>
      </c>
      <c r="Z89">
        <f>IF(ABS(W89)&gt;1E-12,((LTP3!$D$5)*((P89)*(V89)-(U89)*(R89))-(S89)*((S89)*(V89)-(U89)*(T89))+(LTP3!$D$6)*((S89)*(R89)-(P89)*(T89)))/W89,0)</f>
        <v/>
      </c>
      <c r="AA89">
        <f>LTP3!$D$7-X89*LTP3!$D$6-Y89*U89-Z89*V89</f>
        <v/>
      </c>
      <c r="AB89">
        <f>IF(AND(F89,ABS(W89)&gt;1E-12,Y89&gt;0,Z89&gt;0),AA89,1E+300)</f>
        <v/>
      </c>
    </row>
    <row r="90">
      <c r="A90">
        <f>$B$3+$B$5*1</f>
        <v/>
      </c>
      <c r="B90">
        <f>$B$3+$B$5*17</f>
        <v/>
      </c>
      <c r="C90">
        <f>SUMPRODUCT(Calc!$K$3:$K$22*(Calc!$G$3:$G$22&lt;=A90))</f>
        <v/>
      </c>
      <c r="D90">
        <f>SUMPRODUCT(Calc!$K$3:$K$22*(Calc!$G$3:$G$22&gt;A90)*(Calc!$G$3:$G$22&lt;B90))</f>
        <v/>
      </c>
      <c r="E90">
        <f>SUMPRODUCT(Calc!$K$3:$K$22*(Calc!$G$3:$G$22&gt;=B90))</f>
        <v/>
      </c>
      <c r="F90">
        <f>AND(k_n&gt;=5,B90&gt;A90+1E-9,C90&gt;=2,D90&gt;=1,E90&gt;=2)</f>
        <v/>
      </c>
      <c r="G90">
        <f>SUMPRODUCT(Calc!$K$3:$K$22*(Calc!$G$3:$G$22&gt;A90)*(Calc!$G$3:$G$22-A90))</f>
        <v/>
      </c>
      <c r="H90">
        <f>SUMPRODUCT(Calc!$K$3:$K$22*(Calc!$G$3:$G$22&gt;B90)*(Calc!$G$3:$G$22-B90))</f>
        <v/>
      </c>
      <c r="I90">
        <f>SUMPRODUCT(Calc!$K$3:$K$22*(Calc!$G$3:$G$22&gt;A90)*(Calc!$G$3:$G$22-A90)^2)</f>
        <v/>
      </c>
      <c r="J90">
        <f>SUMPRODUCT(Calc!$K$3:$K$22*(Calc!$G$3:$G$22&gt;B90)*(Calc!$G$3:$G$22-B90)^2)</f>
        <v/>
      </c>
      <c r="K90">
        <f>SUMPRODUCT(Calc!$K$3:$K$22*(Calc!$G$3:$G$22&gt;A90)*(Calc!$G$3:$G$22-A90)*(Calc!$G$3:$G$22&gt;B90)*(Calc!$G$3:$G$22-B90))</f>
        <v/>
      </c>
      <c r="L90">
        <f>SUMPRODUCT(Calc!$K$3:$K$22*(Calc!$G$3:$G$22&gt;A90)*(Calc!$G$3:$G$22-A90)*Calc!$G$3:$G$22)</f>
        <v/>
      </c>
      <c r="M90">
        <f>SUMPRODUCT(Calc!$K$3:$K$22*(Calc!$G$3:$G$22&gt;B90)*(Calc!$G$3:$G$22-B90)*Calc!$G$3:$G$22)</f>
        <v/>
      </c>
      <c r="N90">
        <f>SUMPRODUCT(Calc!$K$3:$K$22*(Calc!$G$3:$G$22&gt;A90)*(Calc!$G$3:$G$22-A90)*Calc!$I$3:$I$22)</f>
        <v/>
      </c>
      <c r="O90">
        <f>SUMPRODUCT(Calc!$K$3:$K$22*(Calc!$G$3:$G$22&gt;B90)*(Calc!$G$3:$G$22-B90)*Calc!$I$3:$I$22)</f>
        <v/>
      </c>
      <c r="P90">
        <f>I90-G90^2/k_n</f>
        <v/>
      </c>
      <c r="Q90">
        <f>J90-H90^2/k_n</f>
        <v/>
      </c>
      <c r="R90">
        <f>K90-G90*H90/k_n</f>
        <v/>
      </c>
      <c r="S90">
        <f>L90-LTP3!$D$3*G90/k_n</f>
        <v/>
      </c>
      <c r="T90">
        <f>M90-LTP3!$D$3*H90/k_n</f>
        <v/>
      </c>
      <c r="U90">
        <f>N90-G90*LTP3!$D$4/k_n</f>
        <v/>
      </c>
      <c r="V90">
        <f>O90-H90*LTP3!$D$4/k_n</f>
        <v/>
      </c>
      <c r="W90">
        <f>((LTP3!$D$5)*((P90)*(Q90)-(R90)*(R90))-(S90)*((S90)*(Q90)-(R90)*(T90))+(T90)*((S90)*(R90)-(P90)*(T90)))</f>
        <v/>
      </c>
      <c r="X90">
        <f>IF(ABS(W90)&gt;1E-12,((LTP3!$D$6)*((P90)*(Q90)-(R90)*(R90))-(S90)*((U90)*(Q90)-(R90)*(V90))+(T90)*((U90)*(R90)-(P90)*(V90)))/W90,0)</f>
        <v/>
      </c>
      <c r="Y90">
        <f>IF(ABS(W90)&gt;1E-12,((LTP3!$D$5)*((U90)*(Q90)-(R90)*(V90))-(LTP3!$D$6)*((S90)*(Q90)-(R90)*(T90))+(T90)*((S90)*(V90)-(U90)*(T90)))/W90,0)</f>
        <v/>
      </c>
      <c r="Z90">
        <f>IF(ABS(W90)&gt;1E-12,((LTP3!$D$5)*((P90)*(V90)-(U90)*(R90))-(S90)*((S90)*(V90)-(U90)*(T90))+(LTP3!$D$6)*((S90)*(R90)-(P90)*(T90)))/W90,0)</f>
        <v/>
      </c>
      <c r="AA90">
        <f>LTP3!$D$7-X90*LTP3!$D$6-Y90*U90-Z90*V90</f>
        <v/>
      </c>
      <c r="AB90">
        <f>IF(AND(F90,ABS(W90)&gt;1E-12,Y90&gt;0,Z90&gt;0),AA90,1E+300)</f>
        <v/>
      </c>
    </row>
    <row r="91">
      <c r="A91">
        <f>$B$3+$B$5*1</f>
        <v/>
      </c>
      <c r="B91">
        <f>$B$3+$B$5*18</f>
        <v/>
      </c>
      <c r="C91">
        <f>SUMPRODUCT(Calc!$K$3:$K$22*(Calc!$G$3:$G$22&lt;=A91))</f>
        <v/>
      </c>
      <c r="D91">
        <f>SUMPRODUCT(Calc!$K$3:$K$22*(Calc!$G$3:$G$22&gt;A91)*(Calc!$G$3:$G$22&lt;B91))</f>
        <v/>
      </c>
      <c r="E91">
        <f>SUMPRODUCT(Calc!$K$3:$K$22*(Calc!$G$3:$G$22&gt;=B91))</f>
        <v/>
      </c>
      <c r="F91">
        <f>AND(k_n&gt;=5,B91&gt;A91+1E-9,C91&gt;=2,D91&gt;=1,E91&gt;=2)</f>
        <v/>
      </c>
      <c r="G91">
        <f>SUMPRODUCT(Calc!$K$3:$K$22*(Calc!$G$3:$G$22&gt;A91)*(Calc!$G$3:$G$22-A91))</f>
        <v/>
      </c>
      <c r="H91">
        <f>SUMPRODUCT(Calc!$K$3:$K$22*(Calc!$G$3:$G$22&gt;B91)*(Calc!$G$3:$G$22-B91))</f>
        <v/>
      </c>
      <c r="I91">
        <f>SUMPRODUCT(Calc!$K$3:$K$22*(Calc!$G$3:$G$22&gt;A91)*(Calc!$G$3:$G$22-A91)^2)</f>
        <v/>
      </c>
      <c r="J91">
        <f>SUMPRODUCT(Calc!$K$3:$K$22*(Calc!$G$3:$G$22&gt;B91)*(Calc!$G$3:$G$22-B91)^2)</f>
        <v/>
      </c>
      <c r="K91">
        <f>SUMPRODUCT(Calc!$K$3:$K$22*(Calc!$G$3:$G$22&gt;A91)*(Calc!$G$3:$G$22-A91)*(Calc!$G$3:$G$22&gt;B91)*(Calc!$G$3:$G$22-B91))</f>
        <v/>
      </c>
      <c r="L91">
        <f>SUMPRODUCT(Calc!$K$3:$K$22*(Calc!$G$3:$G$22&gt;A91)*(Calc!$G$3:$G$22-A91)*Calc!$G$3:$G$22)</f>
        <v/>
      </c>
      <c r="M91">
        <f>SUMPRODUCT(Calc!$K$3:$K$22*(Calc!$G$3:$G$22&gt;B91)*(Calc!$G$3:$G$22-B91)*Calc!$G$3:$G$22)</f>
        <v/>
      </c>
      <c r="N91">
        <f>SUMPRODUCT(Calc!$K$3:$K$22*(Calc!$G$3:$G$22&gt;A91)*(Calc!$G$3:$G$22-A91)*Calc!$I$3:$I$22)</f>
        <v/>
      </c>
      <c r="O91">
        <f>SUMPRODUCT(Calc!$K$3:$K$22*(Calc!$G$3:$G$22&gt;B91)*(Calc!$G$3:$G$22-B91)*Calc!$I$3:$I$22)</f>
        <v/>
      </c>
      <c r="P91">
        <f>I91-G91^2/k_n</f>
        <v/>
      </c>
      <c r="Q91">
        <f>J91-H91^2/k_n</f>
        <v/>
      </c>
      <c r="R91">
        <f>K91-G91*H91/k_n</f>
        <v/>
      </c>
      <c r="S91">
        <f>L91-LTP3!$D$3*G91/k_n</f>
        <v/>
      </c>
      <c r="T91">
        <f>M91-LTP3!$D$3*H91/k_n</f>
        <v/>
      </c>
      <c r="U91">
        <f>N91-G91*LTP3!$D$4/k_n</f>
        <v/>
      </c>
      <c r="V91">
        <f>O91-H91*LTP3!$D$4/k_n</f>
        <v/>
      </c>
      <c r="W91">
        <f>((LTP3!$D$5)*((P91)*(Q91)-(R91)*(R91))-(S91)*((S91)*(Q91)-(R91)*(T91))+(T91)*((S91)*(R91)-(P91)*(T91)))</f>
        <v/>
      </c>
      <c r="X91">
        <f>IF(ABS(W91)&gt;1E-12,((LTP3!$D$6)*((P91)*(Q91)-(R91)*(R91))-(S91)*((U91)*(Q91)-(R91)*(V91))+(T91)*((U91)*(R91)-(P91)*(V91)))/W91,0)</f>
        <v/>
      </c>
      <c r="Y91">
        <f>IF(ABS(W91)&gt;1E-12,((LTP3!$D$5)*((U91)*(Q91)-(R91)*(V91))-(LTP3!$D$6)*((S91)*(Q91)-(R91)*(T91))+(T91)*((S91)*(V91)-(U91)*(T91)))/W91,0)</f>
        <v/>
      </c>
      <c r="Z91">
        <f>IF(ABS(W91)&gt;1E-12,((LTP3!$D$5)*((P91)*(V91)-(U91)*(R91))-(S91)*((S91)*(V91)-(U91)*(T91))+(LTP3!$D$6)*((S91)*(R91)-(P91)*(T91)))/W91,0)</f>
        <v/>
      </c>
      <c r="AA91">
        <f>LTP3!$D$7-X91*LTP3!$D$6-Y91*U91-Z91*V91</f>
        <v/>
      </c>
      <c r="AB91">
        <f>IF(AND(F91,ABS(W91)&gt;1E-12,Y91&gt;0,Z91&gt;0),AA91,1E+300)</f>
        <v/>
      </c>
    </row>
    <row r="92">
      <c r="A92">
        <f>$B$3+$B$5*1</f>
        <v/>
      </c>
      <c r="B92">
        <f>$B$3+$B$5*19</f>
        <v/>
      </c>
      <c r="C92">
        <f>SUMPRODUCT(Calc!$K$3:$K$22*(Calc!$G$3:$G$22&lt;=A92))</f>
        <v/>
      </c>
      <c r="D92">
        <f>SUMPRODUCT(Calc!$K$3:$K$22*(Calc!$G$3:$G$22&gt;A92)*(Calc!$G$3:$G$22&lt;B92))</f>
        <v/>
      </c>
      <c r="E92">
        <f>SUMPRODUCT(Calc!$K$3:$K$22*(Calc!$G$3:$G$22&gt;=B92))</f>
        <v/>
      </c>
      <c r="F92">
        <f>AND(k_n&gt;=5,B92&gt;A92+1E-9,C92&gt;=2,D92&gt;=1,E92&gt;=2)</f>
        <v/>
      </c>
      <c r="G92">
        <f>SUMPRODUCT(Calc!$K$3:$K$22*(Calc!$G$3:$G$22&gt;A92)*(Calc!$G$3:$G$22-A92))</f>
        <v/>
      </c>
      <c r="H92">
        <f>SUMPRODUCT(Calc!$K$3:$K$22*(Calc!$G$3:$G$22&gt;B92)*(Calc!$G$3:$G$22-B92))</f>
        <v/>
      </c>
      <c r="I92">
        <f>SUMPRODUCT(Calc!$K$3:$K$22*(Calc!$G$3:$G$22&gt;A92)*(Calc!$G$3:$G$22-A92)^2)</f>
        <v/>
      </c>
      <c r="J92">
        <f>SUMPRODUCT(Calc!$K$3:$K$22*(Calc!$G$3:$G$22&gt;B92)*(Calc!$G$3:$G$22-B92)^2)</f>
        <v/>
      </c>
      <c r="K92">
        <f>SUMPRODUCT(Calc!$K$3:$K$22*(Calc!$G$3:$G$22&gt;A92)*(Calc!$G$3:$G$22-A92)*(Calc!$G$3:$G$22&gt;B92)*(Calc!$G$3:$G$22-B92))</f>
        <v/>
      </c>
      <c r="L92">
        <f>SUMPRODUCT(Calc!$K$3:$K$22*(Calc!$G$3:$G$22&gt;A92)*(Calc!$G$3:$G$22-A92)*Calc!$G$3:$G$22)</f>
        <v/>
      </c>
      <c r="M92">
        <f>SUMPRODUCT(Calc!$K$3:$K$22*(Calc!$G$3:$G$22&gt;B92)*(Calc!$G$3:$G$22-B92)*Calc!$G$3:$G$22)</f>
        <v/>
      </c>
      <c r="N92">
        <f>SUMPRODUCT(Calc!$K$3:$K$22*(Calc!$G$3:$G$22&gt;A92)*(Calc!$G$3:$G$22-A92)*Calc!$I$3:$I$22)</f>
        <v/>
      </c>
      <c r="O92">
        <f>SUMPRODUCT(Calc!$K$3:$K$22*(Calc!$G$3:$G$22&gt;B92)*(Calc!$G$3:$G$22-B92)*Calc!$I$3:$I$22)</f>
        <v/>
      </c>
      <c r="P92">
        <f>I92-G92^2/k_n</f>
        <v/>
      </c>
      <c r="Q92">
        <f>J92-H92^2/k_n</f>
        <v/>
      </c>
      <c r="R92">
        <f>K92-G92*H92/k_n</f>
        <v/>
      </c>
      <c r="S92">
        <f>L92-LTP3!$D$3*G92/k_n</f>
        <v/>
      </c>
      <c r="T92">
        <f>M92-LTP3!$D$3*H92/k_n</f>
        <v/>
      </c>
      <c r="U92">
        <f>N92-G92*LTP3!$D$4/k_n</f>
        <v/>
      </c>
      <c r="V92">
        <f>O92-H92*LTP3!$D$4/k_n</f>
        <v/>
      </c>
      <c r="W92">
        <f>((LTP3!$D$5)*((P92)*(Q92)-(R92)*(R92))-(S92)*((S92)*(Q92)-(R92)*(T92))+(T92)*((S92)*(R92)-(P92)*(T92)))</f>
        <v/>
      </c>
      <c r="X92">
        <f>IF(ABS(W92)&gt;1E-12,((LTP3!$D$6)*((P92)*(Q92)-(R92)*(R92))-(S92)*((U92)*(Q92)-(R92)*(V92))+(T92)*((U92)*(R92)-(P92)*(V92)))/W92,0)</f>
        <v/>
      </c>
      <c r="Y92">
        <f>IF(ABS(W92)&gt;1E-12,((LTP3!$D$5)*((U92)*(Q92)-(R92)*(V92))-(LTP3!$D$6)*((S92)*(Q92)-(R92)*(T92))+(T92)*((S92)*(V92)-(U92)*(T92)))/W92,0)</f>
        <v/>
      </c>
      <c r="Z92">
        <f>IF(ABS(W92)&gt;1E-12,((LTP3!$D$5)*((P92)*(V92)-(U92)*(R92))-(S92)*((S92)*(V92)-(U92)*(T92))+(LTP3!$D$6)*((S92)*(R92)-(P92)*(T92)))/W92,0)</f>
        <v/>
      </c>
      <c r="AA92">
        <f>LTP3!$D$7-X92*LTP3!$D$6-Y92*U92-Z92*V92</f>
        <v/>
      </c>
      <c r="AB92">
        <f>IF(AND(F92,ABS(W92)&gt;1E-12,Y92&gt;0,Z92&gt;0),AA92,1E+300)</f>
        <v/>
      </c>
    </row>
    <row r="93">
      <c r="A93">
        <f>$B$3+$B$5*1</f>
        <v/>
      </c>
      <c r="B93">
        <f>$B$3+$B$5*20</f>
        <v/>
      </c>
      <c r="C93">
        <f>SUMPRODUCT(Calc!$K$3:$K$22*(Calc!$G$3:$G$22&lt;=A93))</f>
        <v/>
      </c>
      <c r="D93">
        <f>SUMPRODUCT(Calc!$K$3:$K$22*(Calc!$G$3:$G$22&gt;A93)*(Calc!$G$3:$G$22&lt;B93))</f>
        <v/>
      </c>
      <c r="E93">
        <f>SUMPRODUCT(Calc!$K$3:$K$22*(Calc!$G$3:$G$22&gt;=B93))</f>
        <v/>
      </c>
      <c r="F93">
        <f>AND(k_n&gt;=5,B93&gt;A93+1E-9,C93&gt;=2,D93&gt;=1,E93&gt;=2)</f>
        <v/>
      </c>
      <c r="G93">
        <f>SUMPRODUCT(Calc!$K$3:$K$22*(Calc!$G$3:$G$22&gt;A93)*(Calc!$G$3:$G$22-A93))</f>
        <v/>
      </c>
      <c r="H93">
        <f>SUMPRODUCT(Calc!$K$3:$K$22*(Calc!$G$3:$G$22&gt;B93)*(Calc!$G$3:$G$22-B93))</f>
        <v/>
      </c>
      <c r="I93">
        <f>SUMPRODUCT(Calc!$K$3:$K$22*(Calc!$G$3:$G$22&gt;A93)*(Calc!$G$3:$G$22-A93)^2)</f>
        <v/>
      </c>
      <c r="J93">
        <f>SUMPRODUCT(Calc!$K$3:$K$22*(Calc!$G$3:$G$22&gt;B93)*(Calc!$G$3:$G$22-B93)^2)</f>
        <v/>
      </c>
      <c r="K93">
        <f>SUMPRODUCT(Calc!$K$3:$K$22*(Calc!$G$3:$G$22&gt;A93)*(Calc!$G$3:$G$22-A93)*(Calc!$G$3:$G$22&gt;B93)*(Calc!$G$3:$G$22-B93))</f>
        <v/>
      </c>
      <c r="L93">
        <f>SUMPRODUCT(Calc!$K$3:$K$22*(Calc!$G$3:$G$22&gt;A93)*(Calc!$G$3:$G$22-A93)*Calc!$G$3:$G$22)</f>
        <v/>
      </c>
      <c r="M93">
        <f>SUMPRODUCT(Calc!$K$3:$K$22*(Calc!$G$3:$G$22&gt;B93)*(Calc!$G$3:$G$22-B93)*Calc!$G$3:$G$22)</f>
        <v/>
      </c>
      <c r="N93">
        <f>SUMPRODUCT(Calc!$K$3:$K$22*(Calc!$G$3:$G$22&gt;A93)*(Calc!$G$3:$G$22-A93)*Calc!$I$3:$I$22)</f>
        <v/>
      </c>
      <c r="O93">
        <f>SUMPRODUCT(Calc!$K$3:$K$22*(Calc!$G$3:$G$22&gt;B93)*(Calc!$G$3:$G$22-B93)*Calc!$I$3:$I$22)</f>
        <v/>
      </c>
      <c r="P93">
        <f>I93-G93^2/k_n</f>
        <v/>
      </c>
      <c r="Q93">
        <f>J93-H93^2/k_n</f>
        <v/>
      </c>
      <c r="R93">
        <f>K93-G93*H93/k_n</f>
        <v/>
      </c>
      <c r="S93">
        <f>L93-LTP3!$D$3*G93/k_n</f>
        <v/>
      </c>
      <c r="T93">
        <f>M93-LTP3!$D$3*H93/k_n</f>
        <v/>
      </c>
      <c r="U93">
        <f>N93-G93*LTP3!$D$4/k_n</f>
        <v/>
      </c>
      <c r="V93">
        <f>O93-H93*LTP3!$D$4/k_n</f>
        <v/>
      </c>
      <c r="W93">
        <f>((LTP3!$D$5)*((P93)*(Q93)-(R93)*(R93))-(S93)*((S93)*(Q93)-(R93)*(T93))+(T93)*((S93)*(R93)-(P93)*(T93)))</f>
        <v/>
      </c>
      <c r="X93">
        <f>IF(ABS(W93)&gt;1E-12,((LTP3!$D$6)*((P93)*(Q93)-(R93)*(R93))-(S93)*((U93)*(Q93)-(R93)*(V93))+(T93)*((U93)*(R93)-(P93)*(V93)))/W93,0)</f>
        <v/>
      </c>
      <c r="Y93">
        <f>IF(ABS(W93)&gt;1E-12,((LTP3!$D$5)*((U93)*(Q93)-(R93)*(V93))-(LTP3!$D$6)*((S93)*(Q93)-(R93)*(T93))+(T93)*((S93)*(V93)-(U93)*(T93)))/W93,0)</f>
        <v/>
      </c>
      <c r="Z93">
        <f>IF(ABS(W93)&gt;1E-12,((LTP3!$D$5)*((P93)*(V93)-(U93)*(R93))-(S93)*((S93)*(V93)-(U93)*(T93))+(LTP3!$D$6)*((S93)*(R93)-(P93)*(T93)))/W93,0)</f>
        <v/>
      </c>
      <c r="AA93">
        <f>LTP3!$D$7-X93*LTP3!$D$6-Y93*U93-Z93*V93</f>
        <v/>
      </c>
      <c r="AB93">
        <f>IF(AND(F93,ABS(W93)&gt;1E-12,Y93&gt;0,Z93&gt;0),AA93,1E+300)</f>
        <v/>
      </c>
    </row>
    <row r="94">
      <c r="A94">
        <f>$B$3+$B$5*1</f>
        <v/>
      </c>
      <c r="B94">
        <f>$B$3+$B$5*21</f>
        <v/>
      </c>
      <c r="C94">
        <f>SUMPRODUCT(Calc!$K$3:$K$22*(Calc!$G$3:$G$22&lt;=A94))</f>
        <v/>
      </c>
      <c r="D94">
        <f>SUMPRODUCT(Calc!$K$3:$K$22*(Calc!$G$3:$G$22&gt;A94)*(Calc!$G$3:$G$22&lt;B94))</f>
        <v/>
      </c>
      <c r="E94">
        <f>SUMPRODUCT(Calc!$K$3:$K$22*(Calc!$G$3:$G$22&gt;=B94))</f>
        <v/>
      </c>
      <c r="F94">
        <f>AND(k_n&gt;=5,B94&gt;A94+1E-9,C94&gt;=2,D94&gt;=1,E94&gt;=2)</f>
        <v/>
      </c>
      <c r="G94">
        <f>SUMPRODUCT(Calc!$K$3:$K$22*(Calc!$G$3:$G$22&gt;A94)*(Calc!$G$3:$G$22-A94))</f>
        <v/>
      </c>
      <c r="H94">
        <f>SUMPRODUCT(Calc!$K$3:$K$22*(Calc!$G$3:$G$22&gt;B94)*(Calc!$G$3:$G$22-B94))</f>
        <v/>
      </c>
      <c r="I94">
        <f>SUMPRODUCT(Calc!$K$3:$K$22*(Calc!$G$3:$G$22&gt;A94)*(Calc!$G$3:$G$22-A94)^2)</f>
        <v/>
      </c>
      <c r="J94">
        <f>SUMPRODUCT(Calc!$K$3:$K$22*(Calc!$G$3:$G$22&gt;B94)*(Calc!$G$3:$G$22-B94)^2)</f>
        <v/>
      </c>
      <c r="K94">
        <f>SUMPRODUCT(Calc!$K$3:$K$22*(Calc!$G$3:$G$22&gt;A94)*(Calc!$G$3:$G$22-A94)*(Calc!$G$3:$G$22&gt;B94)*(Calc!$G$3:$G$22-B94))</f>
        <v/>
      </c>
      <c r="L94">
        <f>SUMPRODUCT(Calc!$K$3:$K$22*(Calc!$G$3:$G$22&gt;A94)*(Calc!$G$3:$G$22-A94)*Calc!$G$3:$G$22)</f>
        <v/>
      </c>
      <c r="M94">
        <f>SUMPRODUCT(Calc!$K$3:$K$22*(Calc!$G$3:$G$22&gt;B94)*(Calc!$G$3:$G$22-B94)*Calc!$G$3:$G$22)</f>
        <v/>
      </c>
      <c r="N94">
        <f>SUMPRODUCT(Calc!$K$3:$K$22*(Calc!$G$3:$G$22&gt;A94)*(Calc!$G$3:$G$22-A94)*Calc!$I$3:$I$22)</f>
        <v/>
      </c>
      <c r="O94">
        <f>SUMPRODUCT(Calc!$K$3:$K$22*(Calc!$G$3:$G$22&gt;B94)*(Calc!$G$3:$G$22-B94)*Calc!$I$3:$I$22)</f>
        <v/>
      </c>
      <c r="P94">
        <f>I94-G94^2/k_n</f>
        <v/>
      </c>
      <c r="Q94">
        <f>J94-H94^2/k_n</f>
        <v/>
      </c>
      <c r="R94">
        <f>K94-G94*H94/k_n</f>
        <v/>
      </c>
      <c r="S94">
        <f>L94-LTP3!$D$3*G94/k_n</f>
        <v/>
      </c>
      <c r="T94">
        <f>M94-LTP3!$D$3*H94/k_n</f>
        <v/>
      </c>
      <c r="U94">
        <f>N94-G94*LTP3!$D$4/k_n</f>
        <v/>
      </c>
      <c r="V94">
        <f>O94-H94*LTP3!$D$4/k_n</f>
        <v/>
      </c>
      <c r="W94">
        <f>((LTP3!$D$5)*((P94)*(Q94)-(R94)*(R94))-(S94)*((S94)*(Q94)-(R94)*(T94))+(T94)*((S94)*(R94)-(P94)*(T94)))</f>
        <v/>
      </c>
      <c r="X94">
        <f>IF(ABS(W94)&gt;1E-12,((LTP3!$D$6)*((P94)*(Q94)-(R94)*(R94))-(S94)*((U94)*(Q94)-(R94)*(V94))+(T94)*((U94)*(R94)-(P94)*(V94)))/W94,0)</f>
        <v/>
      </c>
      <c r="Y94">
        <f>IF(ABS(W94)&gt;1E-12,((LTP3!$D$5)*((U94)*(Q94)-(R94)*(V94))-(LTP3!$D$6)*((S94)*(Q94)-(R94)*(T94))+(T94)*((S94)*(V94)-(U94)*(T94)))/W94,0)</f>
        <v/>
      </c>
      <c r="Z94">
        <f>IF(ABS(W94)&gt;1E-12,((LTP3!$D$5)*((P94)*(V94)-(U94)*(R94))-(S94)*((S94)*(V94)-(U94)*(T94))+(LTP3!$D$6)*((S94)*(R94)-(P94)*(T94)))/W94,0)</f>
        <v/>
      </c>
      <c r="AA94">
        <f>LTP3!$D$7-X94*LTP3!$D$6-Y94*U94-Z94*V94</f>
        <v/>
      </c>
      <c r="AB94">
        <f>IF(AND(F94,ABS(W94)&gt;1E-12,Y94&gt;0,Z94&gt;0),AA94,1E+300)</f>
        <v/>
      </c>
    </row>
    <row r="95">
      <c r="A95">
        <f>$B$3+$B$5*1</f>
        <v/>
      </c>
      <c r="B95">
        <f>$B$3+$B$5*22</f>
        <v/>
      </c>
      <c r="C95">
        <f>SUMPRODUCT(Calc!$K$3:$K$22*(Calc!$G$3:$G$22&lt;=A95))</f>
        <v/>
      </c>
      <c r="D95">
        <f>SUMPRODUCT(Calc!$K$3:$K$22*(Calc!$G$3:$G$22&gt;A95)*(Calc!$G$3:$G$22&lt;B95))</f>
        <v/>
      </c>
      <c r="E95">
        <f>SUMPRODUCT(Calc!$K$3:$K$22*(Calc!$G$3:$G$22&gt;=B95))</f>
        <v/>
      </c>
      <c r="F95">
        <f>AND(k_n&gt;=5,B95&gt;A95+1E-9,C95&gt;=2,D95&gt;=1,E95&gt;=2)</f>
        <v/>
      </c>
      <c r="G95">
        <f>SUMPRODUCT(Calc!$K$3:$K$22*(Calc!$G$3:$G$22&gt;A95)*(Calc!$G$3:$G$22-A95))</f>
        <v/>
      </c>
      <c r="H95">
        <f>SUMPRODUCT(Calc!$K$3:$K$22*(Calc!$G$3:$G$22&gt;B95)*(Calc!$G$3:$G$22-B95))</f>
        <v/>
      </c>
      <c r="I95">
        <f>SUMPRODUCT(Calc!$K$3:$K$22*(Calc!$G$3:$G$22&gt;A95)*(Calc!$G$3:$G$22-A95)^2)</f>
        <v/>
      </c>
      <c r="J95">
        <f>SUMPRODUCT(Calc!$K$3:$K$22*(Calc!$G$3:$G$22&gt;B95)*(Calc!$G$3:$G$22-B95)^2)</f>
        <v/>
      </c>
      <c r="K95">
        <f>SUMPRODUCT(Calc!$K$3:$K$22*(Calc!$G$3:$G$22&gt;A95)*(Calc!$G$3:$G$22-A95)*(Calc!$G$3:$G$22&gt;B95)*(Calc!$G$3:$G$22-B95))</f>
        <v/>
      </c>
      <c r="L95">
        <f>SUMPRODUCT(Calc!$K$3:$K$22*(Calc!$G$3:$G$22&gt;A95)*(Calc!$G$3:$G$22-A95)*Calc!$G$3:$G$22)</f>
        <v/>
      </c>
      <c r="M95">
        <f>SUMPRODUCT(Calc!$K$3:$K$22*(Calc!$G$3:$G$22&gt;B95)*(Calc!$G$3:$G$22-B95)*Calc!$G$3:$G$22)</f>
        <v/>
      </c>
      <c r="N95">
        <f>SUMPRODUCT(Calc!$K$3:$K$22*(Calc!$G$3:$G$22&gt;A95)*(Calc!$G$3:$G$22-A95)*Calc!$I$3:$I$22)</f>
        <v/>
      </c>
      <c r="O95">
        <f>SUMPRODUCT(Calc!$K$3:$K$22*(Calc!$G$3:$G$22&gt;B95)*(Calc!$G$3:$G$22-B95)*Calc!$I$3:$I$22)</f>
        <v/>
      </c>
      <c r="P95">
        <f>I95-G95^2/k_n</f>
        <v/>
      </c>
      <c r="Q95">
        <f>J95-H95^2/k_n</f>
        <v/>
      </c>
      <c r="R95">
        <f>K95-G95*H95/k_n</f>
        <v/>
      </c>
      <c r="S95">
        <f>L95-LTP3!$D$3*G95/k_n</f>
        <v/>
      </c>
      <c r="T95">
        <f>M95-LTP3!$D$3*H95/k_n</f>
        <v/>
      </c>
      <c r="U95">
        <f>N95-G95*LTP3!$D$4/k_n</f>
        <v/>
      </c>
      <c r="V95">
        <f>O95-H95*LTP3!$D$4/k_n</f>
        <v/>
      </c>
      <c r="W95">
        <f>((LTP3!$D$5)*((P95)*(Q95)-(R95)*(R95))-(S95)*((S95)*(Q95)-(R95)*(T95))+(T95)*((S95)*(R95)-(P95)*(T95)))</f>
        <v/>
      </c>
      <c r="X95">
        <f>IF(ABS(W95)&gt;1E-12,((LTP3!$D$6)*((P95)*(Q95)-(R95)*(R95))-(S95)*((U95)*(Q95)-(R95)*(V95))+(T95)*((U95)*(R95)-(P95)*(V95)))/W95,0)</f>
        <v/>
      </c>
      <c r="Y95">
        <f>IF(ABS(W95)&gt;1E-12,((LTP3!$D$5)*((U95)*(Q95)-(R95)*(V95))-(LTP3!$D$6)*((S95)*(Q95)-(R95)*(T95))+(T95)*((S95)*(V95)-(U95)*(T95)))/W95,0)</f>
        <v/>
      </c>
      <c r="Z95">
        <f>IF(ABS(W95)&gt;1E-12,((LTP3!$D$5)*((P95)*(V95)-(U95)*(R95))-(S95)*((S95)*(V95)-(U95)*(T95))+(LTP3!$D$6)*((S95)*(R95)-(P95)*(T95)))/W95,0)</f>
        <v/>
      </c>
      <c r="AA95">
        <f>LTP3!$D$7-X95*LTP3!$D$6-Y95*U95-Z95*V95</f>
        <v/>
      </c>
      <c r="AB95">
        <f>IF(AND(F95,ABS(W95)&gt;1E-12,Y95&gt;0,Z95&gt;0),AA95,1E+300)</f>
        <v/>
      </c>
    </row>
    <row r="96">
      <c r="A96">
        <f>$B$3+$B$5*1</f>
        <v/>
      </c>
      <c r="B96">
        <f>$B$3+$B$5*23</f>
        <v/>
      </c>
      <c r="C96">
        <f>SUMPRODUCT(Calc!$K$3:$K$22*(Calc!$G$3:$G$22&lt;=A96))</f>
        <v/>
      </c>
      <c r="D96">
        <f>SUMPRODUCT(Calc!$K$3:$K$22*(Calc!$G$3:$G$22&gt;A96)*(Calc!$G$3:$G$22&lt;B96))</f>
        <v/>
      </c>
      <c r="E96">
        <f>SUMPRODUCT(Calc!$K$3:$K$22*(Calc!$G$3:$G$22&gt;=B96))</f>
        <v/>
      </c>
      <c r="F96">
        <f>AND(k_n&gt;=5,B96&gt;A96+1E-9,C96&gt;=2,D96&gt;=1,E96&gt;=2)</f>
        <v/>
      </c>
      <c r="G96">
        <f>SUMPRODUCT(Calc!$K$3:$K$22*(Calc!$G$3:$G$22&gt;A96)*(Calc!$G$3:$G$22-A96))</f>
        <v/>
      </c>
      <c r="H96">
        <f>SUMPRODUCT(Calc!$K$3:$K$22*(Calc!$G$3:$G$22&gt;B96)*(Calc!$G$3:$G$22-B96))</f>
        <v/>
      </c>
      <c r="I96">
        <f>SUMPRODUCT(Calc!$K$3:$K$22*(Calc!$G$3:$G$22&gt;A96)*(Calc!$G$3:$G$22-A96)^2)</f>
        <v/>
      </c>
      <c r="J96">
        <f>SUMPRODUCT(Calc!$K$3:$K$22*(Calc!$G$3:$G$22&gt;B96)*(Calc!$G$3:$G$22-B96)^2)</f>
        <v/>
      </c>
      <c r="K96">
        <f>SUMPRODUCT(Calc!$K$3:$K$22*(Calc!$G$3:$G$22&gt;A96)*(Calc!$G$3:$G$22-A96)*(Calc!$G$3:$G$22&gt;B96)*(Calc!$G$3:$G$22-B96))</f>
        <v/>
      </c>
      <c r="L96">
        <f>SUMPRODUCT(Calc!$K$3:$K$22*(Calc!$G$3:$G$22&gt;A96)*(Calc!$G$3:$G$22-A96)*Calc!$G$3:$G$22)</f>
        <v/>
      </c>
      <c r="M96">
        <f>SUMPRODUCT(Calc!$K$3:$K$22*(Calc!$G$3:$G$22&gt;B96)*(Calc!$G$3:$G$22-B96)*Calc!$G$3:$G$22)</f>
        <v/>
      </c>
      <c r="N96">
        <f>SUMPRODUCT(Calc!$K$3:$K$22*(Calc!$G$3:$G$22&gt;A96)*(Calc!$G$3:$G$22-A96)*Calc!$I$3:$I$22)</f>
        <v/>
      </c>
      <c r="O96">
        <f>SUMPRODUCT(Calc!$K$3:$K$22*(Calc!$G$3:$G$22&gt;B96)*(Calc!$G$3:$G$22-B96)*Calc!$I$3:$I$22)</f>
        <v/>
      </c>
      <c r="P96">
        <f>I96-G96^2/k_n</f>
        <v/>
      </c>
      <c r="Q96">
        <f>J96-H96^2/k_n</f>
        <v/>
      </c>
      <c r="R96">
        <f>K96-G96*H96/k_n</f>
        <v/>
      </c>
      <c r="S96">
        <f>L96-LTP3!$D$3*G96/k_n</f>
        <v/>
      </c>
      <c r="T96">
        <f>M96-LTP3!$D$3*H96/k_n</f>
        <v/>
      </c>
      <c r="U96">
        <f>N96-G96*LTP3!$D$4/k_n</f>
        <v/>
      </c>
      <c r="V96">
        <f>O96-H96*LTP3!$D$4/k_n</f>
        <v/>
      </c>
      <c r="W96">
        <f>((LTP3!$D$5)*((P96)*(Q96)-(R96)*(R96))-(S96)*((S96)*(Q96)-(R96)*(T96))+(T96)*((S96)*(R96)-(P96)*(T96)))</f>
        <v/>
      </c>
      <c r="X96">
        <f>IF(ABS(W96)&gt;1E-12,((LTP3!$D$6)*((P96)*(Q96)-(R96)*(R96))-(S96)*((U96)*(Q96)-(R96)*(V96))+(T96)*((U96)*(R96)-(P96)*(V96)))/W96,0)</f>
        <v/>
      </c>
      <c r="Y96">
        <f>IF(ABS(W96)&gt;1E-12,((LTP3!$D$5)*((U96)*(Q96)-(R96)*(V96))-(LTP3!$D$6)*((S96)*(Q96)-(R96)*(T96))+(T96)*((S96)*(V96)-(U96)*(T96)))/W96,0)</f>
        <v/>
      </c>
      <c r="Z96">
        <f>IF(ABS(W96)&gt;1E-12,((LTP3!$D$5)*((P96)*(V96)-(U96)*(R96))-(S96)*((S96)*(V96)-(U96)*(T96))+(LTP3!$D$6)*((S96)*(R96)-(P96)*(T96)))/W96,0)</f>
        <v/>
      </c>
      <c r="AA96">
        <f>LTP3!$D$7-X96*LTP3!$D$6-Y96*U96-Z96*V96</f>
        <v/>
      </c>
      <c r="AB96">
        <f>IF(AND(F96,ABS(W96)&gt;1E-12,Y96&gt;0,Z96&gt;0),AA96,1E+300)</f>
        <v/>
      </c>
    </row>
    <row r="97">
      <c r="A97">
        <f>$B$3+$B$5*1</f>
        <v/>
      </c>
      <c r="B97">
        <f>$B$3+$B$5*24</f>
        <v/>
      </c>
      <c r="C97">
        <f>SUMPRODUCT(Calc!$K$3:$K$22*(Calc!$G$3:$G$22&lt;=A97))</f>
        <v/>
      </c>
      <c r="D97">
        <f>SUMPRODUCT(Calc!$K$3:$K$22*(Calc!$G$3:$G$22&gt;A97)*(Calc!$G$3:$G$22&lt;B97))</f>
        <v/>
      </c>
      <c r="E97">
        <f>SUMPRODUCT(Calc!$K$3:$K$22*(Calc!$G$3:$G$22&gt;=B97))</f>
        <v/>
      </c>
      <c r="F97">
        <f>AND(k_n&gt;=5,B97&gt;A97+1E-9,C97&gt;=2,D97&gt;=1,E97&gt;=2)</f>
        <v/>
      </c>
      <c r="G97">
        <f>SUMPRODUCT(Calc!$K$3:$K$22*(Calc!$G$3:$G$22&gt;A97)*(Calc!$G$3:$G$22-A97))</f>
        <v/>
      </c>
      <c r="H97">
        <f>SUMPRODUCT(Calc!$K$3:$K$22*(Calc!$G$3:$G$22&gt;B97)*(Calc!$G$3:$G$22-B97))</f>
        <v/>
      </c>
      <c r="I97">
        <f>SUMPRODUCT(Calc!$K$3:$K$22*(Calc!$G$3:$G$22&gt;A97)*(Calc!$G$3:$G$22-A97)^2)</f>
        <v/>
      </c>
      <c r="J97">
        <f>SUMPRODUCT(Calc!$K$3:$K$22*(Calc!$G$3:$G$22&gt;B97)*(Calc!$G$3:$G$22-B97)^2)</f>
        <v/>
      </c>
      <c r="K97">
        <f>SUMPRODUCT(Calc!$K$3:$K$22*(Calc!$G$3:$G$22&gt;A97)*(Calc!$G$3:$G$22-A97)*(Calc!$G$3:$G$22&gt;B97)*(Calc!$G$3:$G$22-B97))</f>
        <v/>
      </c>
      <c r="L97">
        <f>SUMPRODUCT(Calc!$K$3:$K$22*(Calc!$G$3:$G$22&gt;A97)*(Calc!$G$3:$G$22-A97)*Calc!$G$3:$G$22)</f>
        <v/>
      </c>
      <c r="M97">
        <f>SUMPRODUCT(Calc!$K$3:$K$22*(Calc!$G$3:$G$22&gt;B97)*(Calc!$G$3:$G$22-B97)*Calc!$G$3:$G$22)</f>
        <v/>
      </c>
      <c r="N97">
        <f>SUMPRODUCT(Calc!$K$3:$K$22*(Calc!$G$3:$G$22&gt;A97)*(Calc!$G$3:$G$22-A97)*Calc!$I$3:$I$22)</f>
        <v/>
      </c>
      <c r="O97">
        <f>SUMPRODUCT(Calc!$K$3:$K$22*(Calc!$G$3:$G$22&gt;B97)*(Calc!$G$3:$G$22-B97)*Calc!$I$3:$I$22)</f>
        <v/>
      </c>
      <c r="P97">
        <f>I97-G97^2/k_n</f>
        <v/>
      </c>
      <c r="Q97">
        <f>J97-H97^2/k_n</f>
        <v/>
      </c>
      <c r="R97">
        <f>K97-G97*H97/k_n</f>
        <v/>
      </c>
      <c r="S97">
        <f>L97-LTP3!$D$3*G97/k_n</f>
        <v/>
      </c>
      <c r="T97">
        <f>M97-LTP3!$D$3*H97/k_n</f>
        <v/>
      </c>
      <c r="U97">
        <f>N97-G97*LTP3!$D$4/k_n</f>
        <v/>
      </c>
      <c r="V97">
        <f>O97-H97*LTP3!$D$4/k_n</f>
        <v/>
      </c>
      <c r="W97">
        <f>((LTP3!$D$5)*((P97)*(Q97)-(R97)*(R97))-(S97)*((S97)*(Q97)-(R97)*(T97))+(T97)*((S97)*(R97)-(P97)*(T97)))</f>
        <v/>
      </c>
      <c r="X97">
        <f>IF(ABS(W97)&gt;1E-12,((LTP3!$D$6)*((P97)*(Q97)-(R97)*(R97))-(S97)*((U97)*(Q97)-(R97)*(V97))+(T97)*((U97)*(R97)-(P97)*(V97)))/W97,0)</f>
        <v/>
      </c>
      <c r="Y97">
        <f>IF(ABS(W97)&gt;1E-12,((LTP3!$D$5)*((U97)*(Q97)-(R97)*(V97))-(LTP3!$D$6)*((S97)*(Q97)-(R97)*(T97))+(T97)*((S97)*(V97)-(U97)*(T97)))/W97,0)</f>
        <v/>
      </c>
      <c r="Z97">
        <f>IF(ABS(W97)&gt;1E-12,((LTP3!$D$5)*((P97)*(V97)-(U97)*(R97))-(S97)*((S97)*(V97)-(U97)*(T97))+(LTP3!$D$6)*((S97)*(R97)-(P97)*(T97)))/W97,0)</f>
        <v/>
      </c>
      <c r="AA97">
        <f>LTP3!$D$7-X97*LTP3!$D$6-Y97*U97-Z97*V97</f>
        <v/>
      </c>
      <c r="AB97">
        <f>IF(AND(F97,ABS(W97)&gt;1E-12,Y97&gt;0,Z97&gt;0),AA97,1E+300)</f>
        <v/>
      </c>
    </row>
    <row r="98">
      <c r="A98">
        <f>$B$3+$B$5*1</f>
        <v/>
      </c>
      <c r="B98">
        <f>$B$3+$B$5*25</f>
        <v/>
      </c>
      <c r="C98">
        <f>SUMPRODUCT(Calc!$K$3:$K$22*(Calc!$G$3:$G$22&lt;=A98))</f>
        <v/>
      </c>
      <c r="D98">
        <f>SUMPRODUCT(Calc!$K$3:$K$22*(Calc!$G$3:$G$22&gt;A98)*(Calc!$G$3:$G$22&lt;B98))</f>
        <v/>
      </c>
      <c r="E98">
        <f>SUMPRODUCT(Calc!$K$3:$K$22*(Calc!$G$3:$G$22&gt;=B98))</f>
        <v/>
      </c>
      <c r="F98">
        <f>AND(k_n&gt;=5,B98&gt;A98+1E-9,C98&gt;=2,D98&gt;=1,E98&gt;=2)</f>
        <v/>
      </c>
      <c r="G98">
        <f>SUMPRODUCT(Calc!$K$3:$K$22*(Calc!$G$3:$G$22&gt;A98)*(Calc!$G$3:$G$22-A98))</f>
        <v/>
      </c>
      <c r="H98">
        <f>SUMPRODUCT(Calc!$K$3:$K$22*(Calc!$G$3:$G$22&gt;B98)*(Calc!$G$3:$G$22-B98))</f>
        <v/>
      </c>
      <c r="I98">
        <f>SUMPRODUCT(Calc!$K$3:$K$22*(Calc!$G$3:$G$22&gt;A98)*(Calc!$G$3:$G$22-A98)^2)</f>
        <v/>
      </c>
      <c r="J98">
        <f>SUMPRODUCT(Calc!$K$3:$K$22*(Calc!$G$3:$G$22&gt;B98)*(Calc!$G$3:$G$22-B98)^2)</f>
        <v/>
      </c>
      <c r="K98">
        <f>SUMPRODUCT(Calc!$K$3:$K$22*(Calc!$G$3:$G$22&gt;A98)*(Calc!$G$3:$G$22-A98)*(Calc!$G$3:$G$22&gt;B98)*(Calc!$G$3:$G$22-B98))</f>
        <v/>
      </c>
      <c r="L98">
        <f>SUMPRODUCT(Calc!$K$3:$K$22*(Calc!$G$3:$G$22&gt;A98)*(Calc!$G$3:$G$22-A98)*Calc!$G$3:$G$22)</f>
        <v/>
      </c>
      <c r="M98">
        <f>SUMPRODUCT(Calc!$K$3:$K$22*(Calc!$G$3:$G$22&gt;B98)*(Calc!$G$3:$G$22-B98)*Calc!$G$3:$G$22)</f>
        <v/>
      </c>
      <c r="N98">
        <f>SUMPRODUCT(Calc!$K$3:$K$22*(Calc!$G$3:$G$22&gt;A98)*(Calc!$G$3:$G$22-A98)*Calc!$I$3:$I$22)</f>
        <v/>
      </c>
      <c r="O98">
        <f>SUMPRODUCT(Calc!$K$3:$K$22*(Calc!$G$3:$G$22&gt;B98)*(Calc!$G$3:$G$22-B98)*Calc!$I$3:$I$22)</f>
        <v/>
      </c>
      <c r="P98">
        <f>I98-G98^2/k_n</f>
        <v/>
      </c>
      <c r="Q98">
        <f>J98-H98^2/k_n</f>
        <v/>
      </c>
      <c r="R98">
        <f>K98-G98*H98/k_n</f>
        <v/>
      </c>
      <c r="S98">
        <f>L98-LTP3!$D$3*G98/k_n</f>
        <v/>
      </c>
      <c r="T98">
        <f>M98-LTP3!$D$3*H98/k_n</f>
        <v/>
      </c>
      <c r="U98">
        <f>N98-G98*LTP3!$D$4/k_n</f>
        <v/>
      </c>
      <c r="V98">
        <f>O98-H98*LTP3!$D$4/k_n</f>
        <v/>
      </c>
      <c r="W98">
        <f>((LTP3!$D$5)*((P98)*(Q98)-(R98)*(R98))-(S98)*((S98)*(Q98)-(R98)*(T98))+(T98)*((S98)*(R98)-(P98)*(T98)))</f>
        <v/>
      </c>
      <c r="X98">
        <f>IF(ABS(W98)&gt;1E-12,((LTP3!$D$6)*((P98)*(Q98)-(R98)*(R98))-(S98)*((U98)*(Q98)-(R98)*(V98))+(T98)*((U98)*(R98)-(P98)*(V98)))/W98,0)</f>
        <v/>
      </c>
      <c r="Y98">
        <f>IF(ABS(W98)&gt;1E-12,((LTP3!$D$5)*((U98)*(Q98)-(R98)*(V98))-(LTP3!$D$6)*((S98)*(Q98)-(R98)*(T98))+(T98)*((S98)*(V98)-(U98)*(T98)))/W98,0)</f>
        <v/>
      </c>
      <c r="Z98">
        <f>IF(ABS(W98)&gt;1E-12,((LTP3!$D$5)*((P98)*(V98)-(U98)*(R98))-(S98)*((S98)*(V98)-(U98)*(T98))+(LTP3!$D$6)*((S98)*(R98)-(P98)*(T98)))/W98,0)</f>
        <v/>
      </c>
      <c r="AA98">
        <f>LTP3!$D$7-X98*LTP3!$D$6-Y98*U98-Z98*V98</f>
        <v/>
      </c>
      <c r="AB98">
        <f>IF(AND(F98,ABS(W98)&gt;1E-12,Y98&gt;0,Z98&gt;0),AA98,1E+300)</f>
        <v/>
      </c>
    </row>
    <row r="99">
      <c r="A99">
        <f>$B$3+$B$5*1</f>
        <v/>
      </c>
      <c r="B99">
        <f>$B$3+$B$5*26</f>
        <v/>
      </c>
      <c r="C99">
        <f>SUMPRODUCT(Calc!$K$3:$K$22*(Calc!$G$3:$G$22&lt;=A99))</f>
        <v/>
      </c>
      <c r="D99">
        <f>SUMPRODUCT(Calc!$K$3:$K$22*(Calc!$G$3:$G$22&gt;A99)*(Calc!$G$3:$G$22&lt;B99))</f>
        <v/>
      </c>
      <c r="E99">
        <f>SUMPRODUCT(Calc!$K$3:$K$22*(Calc!$G$3:$G$22&gt;=B99))</f>
        <v/>
      </c>
      <c r="F99">
        <f>AND(k_n&gt;=5,B99&gt;A99+1E-9,C99&gt;=2,D99&gt;=1,E99&gt;=2)</f>
        <v/>
      </c>
      <c r="G99">
        <f>SUMPRODUCT(Calc!$K$3:$K$22*(Calc!$G$3:$G$22&gt;A99)*(Calc!$G$3:$G$22-A99))</f>
        <v/>
      </c>
      <c r="H99">
        <f>SUMPRODUCT(Calc!$K$3:$K$22*(Calc!$G$3:$G$22&gt;B99)*(Calc!$G$3:$G$22-B99))</f>
        <v/>
      </c>
      <c r="I99">
        <f>SUMPRODUCT(Calc!$K$3:$K$22*(Calc!$G$3:$G$22&gt;A99)*(Calc!$G$3:$G$22-A99)^2)</f>
        <v/>
      </c>
      <c r="J99">
        <f>SUMPRODUCT(Calc!$K$3:$K$22*(Calc!$G$3:$G$22&gt;B99)*(Calc!$G$3:$G$22-B99)^2)</f>
        <v/>
      </c>
      <c r="K99">
        <f>SUMPRODUCT(Calc!$K$3:$K$22*(Calc!$G$3:$G$22&gt;A99)*(Calc!$G$3:$G$22-A99)*(Calc!$G$3:$G$22&gt;B99)*(Calc!$G$3:$G$22-B99))</f>
        <v/>
      </c>
      <c r="L99">
        <f>SUMPRODUCT(Calc!$K$3:$K$22*(Calc!$G$3:$G$22&gt;A99)*(Calc!$G$3:$G$22-A99)*Calc!$G$3:$G$22)</f>
        <v/>
      </c>
      <c r="M99">
        <f>SUMPRODUCT(Calc!$K$3:$K$22*(Calc!$G$3:$G$22&gt;B99)*(Calc!$G$3:$G$22-B99)*Calc!$G$3:$G$22)</f>
        <v/>
      </c>
      <c r="N99">
        <f>SUMPRODUCT(Calc!$K$3:$K$22*(Calc!$G$3:$G$22&gt;A99)*(Calc!$G$3:$G$22-A99)*Calc!$I$3:$I$22)</f>
        <v/>
      </c>
      <c r="O99">
        <f>SUMPRODUCT(Calc!$K$3:$K$22*(Calc!$G$3:$G$22&gt;B99)*(Calc!$G$3:$G$22-B99)*Calc!$I$3:$I$22)</f>
        <v/>
      </c>
      <c r="P99">
        <f>I99-G99^2/k_n</f>
        <v/>
      </c>
      <c r="Q99">
        <f>J99-H99^2/k_n</f>
        <v/>
      </c>
      <c r="R99">
        <f>K99-G99*H99/k_n</f>
        <v/>
      </c>
      <c r="S99">
        <f>L99-LTP3!$D$3*G99/k_n</f>
        <v/>
      </c>
      <c r="T99">
        <f>M99-LTP3!$D$3*H99/k_n</f>
        <v/>
      </c>
      <c r="U99">
        <f>N99-G99*LTP3!$D$4/k_n</f>
        <v/>
      </c>
      <c r="V99">
        <f>O99-H99*LTP3!$D$4/k_n</f>
        <v/>
      </c>
      <c r="W99">
        <f>((LTP3!$D$5)*((P99)*(Q99)-(R99)*(R99))-(S99)*((S99)*(Q99)-(R99)*(T99))+(T99)*((S99)*(R99)-(P99)*(T99)))</f>
        <v/>
      </c>
      <c r="X99">
        <f>IF(ABS(W99)&gt;1E-12,((LTP3!$D$6)*((P99)*(Q99)-(R99)*(R99))-(S99)*((U99)*(Q99)-(R99)*(V99))+(T99)*((U99)*(R99)-(P99)*(V99)))/W99,0)</f>
        <v/>
      </c>
      <c r="Y99">
        <f>IF(ABS(W99)&gt;1E-12,((LTP3!$D$5)*((U99)*(Q99)-(R99)*(V99))-(LTP3!$D$6)*((S99)*(Q99)-(R99)*(T99))+(T99)*((S99)*(V99)-(U99)*(T99)))/W99,0)</f>
        <v/>
      </c>
      <c r="Z99">
        <f>IF(ABS(W99)&gt;1E-12,((LTP3!$D$5)*((P99)*(V99)-(U99)*(R99))-(S99)*((S99)*(V99)-(U99)*(T99))+(LTP3!$D$6)*((S99)*(R99)-(P99)*(T99)))/W99,0)</f>
        <v/>
      </c>
      <c r="AA99">
        <f>LTP3!$D$7-X99*LTP3!$D$6-Y99*U99-Z99*V99</f>
        <v/>
      </c>
      <c r="AB99">
        <f>IF(AND(F99,ABS(W99)&gt;1E-12,Y99&gt;0,Z99&gt;0),AA99,1E+300)</f>
        <v/>
      </c>
    </row>
    <row r="100">
      <c r="A100">
        <f>$B$3+$B$5*1</f>
        <v/>
      </c>
      <c r="B100">
        <f>$B$3+$B$5*27</f>
        <v/>
      </c>
      <c r="C100">
        <f>SUMPRODUCT(Calc!$K$3:$K$22*(Calc!$G$3:$G$22&lt;=A100))</f>
        <v/>
      </c>
      <c r="D100">
        <f>SUMPRODUCT(Calc!$K$3:$K$22*(Calc!$G$3:$G$22&gt;A100)*(Calc!$G$3:$G$22&lt;B100))</f>
        <v/>
      </c>
      <c r="E100">
        <f>SUMPRODUCT(Calc!$K$3:$K$22*(Calc!$G$3:$G$22&gt;=B100))</f>
        <v/>
      </c>
      <c r="F100">
        <f>AND(k_n&gt;=5,B100&gt;A100+1E-9,C100&gt;=2,D100&gt;=1,E100&gt;=2)</f>
        <v/>
      </c>
      <c r="G100">
        <f>SUMPRODUCT(Calc!$K$3:$K$22*(Calc!$G$3:$G$22&gt;A100)*(Calc!$G$3:$G$22-A100))</f>
        <v/>
      </c>
      <c r="H100">
        <f>SUMPRODUCT(Calc!$K$3:$K$22*(Calc!$G$3:$G$22&gt;B100)*(Calc!$G$3:$G$22-B100))</f>
        <v/>
      </c>
      <c r="I100">
        <f>SUMPRODUCT(Calc!$K$3:$K$22*(Calc!$G$3:$G$22&gt;A100)*(Calc!$G$3:$G$22-A100)^2)</f>
        <v/>
      </c>
      <c r="J100">
        <f>SUMPRODUCT(Calc!$K$3:$K$22*(Calc!$G$3:$G$22&gt;B100)*(Calc!$G$3:$G$22-B100)^2)</f>
        <v/>
      </c>
      <c r="K100">
        <f>SUMPRODUCT(Calc!$K$3:$K$22*(Calc!$G$3:$G$22&gt;A100)*(Calc!$G$3:$G$22-A100)*(Calc!$G$3:$G$22&gt;B100)*(Calc!$G$3:$G$22-B100))</f>
        <v/>
      </c>
      <c r="L100">
        <f>SUMPRODUCT(Calc!$K$3:$K$22*(Calc!$G$3:$G$22&gt;A100)*(Calc!$G$3:$G$22-A100)*Calc!$G$3:$G$22)</f>
        <v/>
      </c>
      <c r="M100">
        <f>SUMPRODUCT(Calc!$K$3:$K$22*(Calc!$G$3:$G$22&gt;B100)*(Calc!$G$3:$G$22-B100)*Calc!$G$3:$G$22)</f>
        <v/>
      </c>
      <c r="N100">
        <f>SUMPRODUCT(Calc!$K$3:$K$22*(Calc!$G$3:$G$22&gt;A100)*(Calc!$G$3:$G$22-A100)*Calc!$I$3:$I$22)</f>
        <v/>
      </c>
      <c r="O100">
        <f>SUMPRODUCT(Calc!$K$3:$K$22*(Calc!$G$3:$G$22&gt;B100)*(Calc!$G$3:$G$22-B100)*Calc!$I$3:$I$22)</f>
        <v/>
      </c>
      <c r="P100">
        <f>I100-G100^2/k_n</f>
        <v/>
      </c>
      <c r="Q100">
        <f>J100-H100^2/k_n</f>
        <v/>
      </c>
      <c r="R100">
        <f>K100-G100*H100/k_n</f>
        <v/>
      </c>
      <c r="S100">
        <f>L100-LTP3!$D$3*G100/k_n</f>
        <v/>
      </c>
      <c r="T100">
        <f>M100-LTP3!$D$3*H100/k_n</f>
        <v/>
      </c>
      <c r="U100">
        <f>N100-G100*LTP3!$D$4/k_n</f>
        <v/>
      </c>
      <c r="V100">
        <f>O100-H100*LTP3!$D$4/k_n</f>
        <v/>
      </c>
      <c r="W100">
        <f>((LTP3!$D$5)*((P100)*(Q100)-(R100)*(R100))-(S100)*((S100)*(Q100)-(R100)*(T100))+(T100)*((S100)*(R100)-(P100)*(T100)))</f>
        <v/>
      </c>
      <c r="X100">
        <f>IF(ABS(W100)&gt;1E-12,((LTP3!$D$6)*((P100)*(Q100)-(R100)*(R100))-(S100)*((U100)*(Q100)-(R100)*(V100))+(T100)*((U100)*(R100)-(P100)*(V100)))/W100,0)</f>
        <v/>
      </c>
      <c r="Y100">
        <f>IF(ABS(W100)&gt;1E-12,((LTP3!$D$5)*((U100)*(Q100)-(R100)*(V100))-(LTP3!$D$6)*((S100)*(Q100)-(R100)*(T100))+(T100)*((S100)*(V100)-(U100)*(T100)))/W100,0)</f>
        <v/>
      </c>
      <c r="Z100">
        <f>IF(ABS(W100)&gt;1E-12,((LTP3!$D$5)*((P100)*(V100)-(U100)*(R100))-(S100)*((S100)*(V100)-(U100)*(T100))+(LTP3!$D$6)*((S100)*(R100)-(P100)*(T100)))/W100,0)</f>
        <v/>
      </c>
      <c r="AA100">
        <f>LTP3!$D$7-X100*LTP3!$D$6-Y100*U100-Z100*V100</f>
        <v/>
      </c>
      <c r="AB100">
        <f>IF(AND(F100,ABS(W100)&gt;1E-12,Y100&gt;0,Z100&gt;0),AA100,1E+300)</f>
        <v/>
      </c>
    </row>
    <row r="101">
      <c r="A101">
        <f>$B$3+$B$5*1</f>
        <v/>
      </c>
      <c r="B101">
        <f>$B$3+$B$5*28</f>
        <v/>
      </c>
      <c r="C101">
        <f>SUMPRODUCT(Calc!$K$3:$K$22*(Calc!$G$3:$G$22&lt;=A101))</f>
        <v/>
      </c>
      <c r="D101">
        <f>SUMPRODUCT(Calc!$K$3:$K$22*(Calc!$G$3:$G$22&gt;A101)*(Calc!$G$3:$G$22&lt;B101))</f>
        <v/>
      </c>
      <c r="E101">
        <f>SUMPRODUCT(Calc!$K$3:$K$22*(Calc!$G$3:$G$22&gt;=B101))</f>
        <v/>
      </c>
      <c r="F101">
        <f>AND(k_n&gt;=5,B101&gt;A101+1E-9,C101&gt;=2,D101&gt;=1,E101&gt;=2)</f>
        <v/>
      </c>
      <c r="G101">
        <f>SUMPRODUCT(Calc!$K$3:$K$22*(Calc!$G$3:$G$22&gt;A101)*(Calc!$G$3:$G$22-A101))</f>
        <v/>
      </c>
      <c r="H101">
        <f>SUMPRODUCT(Calc!$K$3:$K$22*(Calc!$G$3:$G$22&gt;B101)*(Calc!$G$3:$G$22-B101))</f>
        <v/>
      </c>
      <c r="I101">
        <f>SUMPRODUCT(Calc!$K$3:$K$22*(Calc!$G$3:$G$22&gt;A101)*(Calc!$G$3:$G$22-A101)^2)</f>
        <v/>
      </c>
      <c r="J101">
        <f>SUMPRODUCT(Calc!$K$3:$K$22*(Calc!$G$3:$G$22&gt;B101)*(Calc!$G$3:$G$22-B101)^2)</f>
        <v/>
      </c>
      <c r="K101">
        <f>SUMPRODUCT(Calc!$K$3:$K$22*(Calc!$G$3:$G$22&gt;A101)*(Calc!$G$3:$G$22-A101)*(Calc!$G$3:$G$22&gt;B101)*(Calc!$G$3:$G$22-B101))</f>
        <v/>
      </c>
      <c r="L101">
        <f>SUMPRODUCT(Calc!$K$3:$K$22*(Calc!$G$3:$G$22&gt;A101)*(Calc!$G$3:$G$22-A101)*Calc!$G$3:$G$22)</f>
        <v/>
      </c>
      <c r="M101">
        <f>SUMPRODUCT(Calc!$K$3:$K$22*(Calc!$G$3:$G$22&gt;B101)*(Calc!$G$3:$G$22-B101)*Calc!$G$3:$G$22)</f>
        <v/>
      </c>
      <c r="N101">
        <f>SUMPRODUCT(Calc!$K$3:$K$22*(Calc!$G$3:$G$22&gt;A101)*(Calc!$G$3:$G$22-A101)*Calc!$I$3:$I$22)</f>
        <v/>
      </c>
      <c r="O101">
        <f>SUMPRODUCT(Calc!$K$3:$K$22*(Calc!$G$3:$G$22&gt;B101)*(Calc!$G$3:$G$22-B101)*Calc!$I$3:$I$22)</f>
        <v/>
      </c>
      <c r="P101">
        <f>I101-G101^2/k_n</f>
        <v/>
      </c>
      <c r="Q101">
        <f>J101-H101^2/k_n</f>
        <v/>
      </c>
      <c r="R101">
        <f>K101-G101*H101/k_n</f>
        <v/>
      </c>
      <c r="S101">
        <f>L101-LTP3!$D$3*G101/k_n</f>
        <v/>
      </c>
      <c r="T101">
        <f>M101-LTP3!$D$3*H101/k_n</f>
        <v/>
      </c>
      <c r="U101">
        <f>N101-G101*LTP3!$D$4/k_n</f>
        <v/>
      </c>
      <c r="V101">
        <f>O101-H101*LTP3!$D$4/k_n</f>
        <v/>
      </c>
      <c r="W101">
        <f>((LTP3!$D$5)*((P101)*(Q101)-(R101)*(R101))-(S101)*((S101)*(Q101)-(R101)*(T101))+(T101)*((S101)*(R101)-(P101)*(T101)))</f>
        <v/>
      </c>
      <c r="X101">
        <f>IF(ABS(W101)&gt;1E-12,((LTP3!$D$6)*((P101)*(Q101)-(R101)*(R101))-(S101)*((U101)*(Q101)-(R101)*(V101))+(T101)*((U101)*(R101)-(P101)*(V101)))/W101,0)</f>
        <v/>
      </c>
      <c r="Y101">
        <f>IF(ABS(W101)&gt;1E-12,((LTP3!$D$5)*((U101)*(Q101)-(R101)*(V101))-(LTP3!$D$6)*((S101)*(Q101)-(R101)*(T101))+(T101)*((S101)*(V101)-(U101)*(T101)))/W101,0)</f>
        <v/>
      </c>
      <c r="Z101">
        <f>IF(ABS(W101)&gt;1E-12,((LTP3!$D$5)*((P101)*(V101)-(U101)*(R101))-(S101)*((S101)*(V101)-(U101)*(T101))+(LTP3!$D$6)*((S101)*(R101)-(P101)*(T101)))/W101,0)</f>
        <v/>
      </c>
      <c r="AA101">
        <f>LTP3!$D$7-X101*LTP3!$D$6-Y101*U101-Z101*V101</f>
        <v/>
      </c>
      <c r="AB101">
        <f>IF(AND(F101,ABS(W101)&gt;1E-12,Y101&gt;0,Z101&gt;0),AA101,1E+300)</f>
        <v/>
      </c>
    </row>
    <row r="102">
      <c r="A102">
        <f>$B$3+$B$5*1</f>
        <v/>
      </c>
      <c r="B102">
        <f>$B$3+$B$5*29</f>
        <v/>
      </c>
      <c r="C102">
        <f>SUMPRODUCT(Calc!$K$3:$K$22*(Calc!$G$3:$G$22&lt;=A102))</f>
        <v/>
      </c>
      <c r="D102">
        <f>SUMPRODUCT(Calc!$K$3:$K$22*(Calc!$G$3:$G$22&gt;A102)*(Calc!$G$3:$G$22&lt;B102))</f>
        <v/>
      </c>
      <c r="E102">
        <f>SUMPRODUCT(Calc!$K$3:$K$22*(Calc!$G$3:$G$22&gt;=B102))</f>
        <v/>
      </c>
      <c r="F102">
        <f>AND(k_n&gt;=5,B102&gt;A102+1E-9,C102&gt;=2,D102&gt;=1,E102&gt;=2)</f>
        <v/>
      </c>
      <c r="G102">
        <f>SUMPRODUCT(Calc!$K$3:$K$22*(Calc!$G$3:$G$22&gt;A102)*(Calc!$G$3:$G$22-A102))</f>
        <v/>
      </c>
      <c r="H102">
        <f>SUMPRODUCT(Calc!$K$3:$K$22*(Calc!$G$3:$G$22&gt;B102)*(Calc!$G$3:$G$22-B102))</f>
        <v/>
      </c>
      <c r="I102">
        <f>SUMPRODUCT(Calc!$K$3:$K$22*(Calc!$G$3:$G$22&gt;A102)*(Calc!$G$3:$G$22-A102)^2)</f>
        <v/>
      </c>
      <c r="J102">
        <f>SUMPRODUCT(Calc!$K$3:$K$22*(Calc!$G$3:$G$22&gt;B102)*(Calc!$G$3:$G$22-B102)^2)</f>
        <v/>
      </c>
      <c r="K102">
        <f>SUMPRODUCT(Calc!$K$3:$K$22*(Calc!$G$3:$G$22&gt;A102)*(Calc!$G$3:$G$22-A102)*(Calc!$G$3:$G$22&gt;B102)*(Calc!$G$3:$G$22-B102))</f>
        <v/>
      </c>
      <c r="L102">
        <f>SUMPRODUCT(Calc!$K$3:$K$22*(Calc!$G$3:$G$22&gt;A102)*(Calc!$G$3:$G$22-A102)*Calc!$G$3:$G$22)</f>
        <v/>
      </c>
      <c r="M102">
        <f>SUMPRODUCT(Calc!$K$3:$K$22*(Calc!$G$3:$G$22&gt;B102)*(Calc!$G$3:$G$22-B102)*Calc!$G$3:$G$22)</f>
        <v/>
      </c>
      <c r="N102">
        <f>SUMPRODUCT(Calc!$K$3:$K$22*(Calc!$G$3:$G$22&gt;A102)*(Calc!$G$3:$G$22-A102)*Calc!$I$3:$I$22)</f>
        <v/>
      </c>
      <c r="O102">
        <f>SUMPRODUCT(Calc!$K$3:$K$22*(Calc!$G$3:$G$22&gt;B102)*(Calc!$G$3:$G$22-B102)*Calc!$I$3:$I$22)</f>
        <v/>
      </c>
      <c r="P102">
        <f>I102-G102^2/k_n</f>
        <v/>
      </c>
      <c r="Q102">
        <f>J102-H102^2/k_n</f>
        <v/>
      </c>
      <c r="R102">
        <f>K102-G102*H102/k_n</f>
        <v/>
      </c>
      <c r="S102">
        <f>L102-LTP3!$D$3*G102/k_n</f>
        <v/>
      </c>
      <c r="T102">
        <f>M102-LTP3!$D$3*H102/k_n</f>
        <v/>
      </c>
      <c r="U102">
        <f>N102-G102*LTP3!$D$4/k_n</f>
        <v/>
      </c>
      <c r="V102">
        <f>O102-H102*LTP3!$D$4/k_n</f>
        <v/>
      </c>
      <c r="W102">
        <f>((LTP3!$D$5)*((P102)*(Q102)-(R102)*(R102))-(S102)*((S102)*(Q102)-(R102)*(T102))+(T102)*((S102)*(R102)-(P102)*(T102)))</f>
        <v/>
      </c>
      <c r="X102">
        <f>IF(ABS(W102)&gt;1E-12,((LTP3!$D$6)*((P102)*(Q102)-(R102)*(R102))-(S102)*((U102)*(Q102)-(R102)*(V102))+(T102)*((U102)*(R102)-(P102)*(V102)))/W102,0)</f>
        <v/>
      </c>
      <c r="Y102">
        <f>IF(ABS(W102)&gt;1E-12,((LTP3!$D$5)*((U102)*(Q102)-(R102)*(V102))-(LTP3!$D$6)*((S102)*(Q102)-(R102)*(T102))+(T102)*((S102)*(V102)-(U102)*(T102)))/W102,0)</f>
        <v/>
      </c>
      <c r="Z102">
        <f>IF(ABS(W102)&gt;1E-12,((LTP3!$D$5)*((P102)*(V102)-(U102)*(R102))-(S102)*((S102)*(V102)-(U102)*(T102))+(LTP3!$D$6)*((S102)*(R102)-(P102)*(T102)))/W102,0)</f>
        <v/>
      </c>
      <c r="AA102">
        <f>LTP3!$D$7-X102*LTP3!$D$6-Y102*U102-Z102*V102</f>
        <v/>
      </c>
      <c r="AB102">
        <f>IF(AND(F102,ABS(W102)&gt;1E-12,Y102&gt;0,Z102&gt;0),AA102,1E+300)</f>
        <v/>
      </c>
    </row>
    <row r="103">
      <c r="A103">
        <f>$B$3+$B$5*1</f>
        <v/>
      </c>
      <c r="B103">
        <f>$B$3+$B$5*30</f>
        <v/>
      </c>
      <c r="C103">
        <f>SUMPRODUCT(Calc!$K$3:$K$22*(Calc!$G$3:$G$22&lt;=A103))</f>
        <v/>
      </c>
      <c r="D103">
        <f>SUMPRODUCT(Calc!$K$3:$K$22*(Calc!$G$3:$G$22&gt;A103)*(Calc!$G$3:$G$22&lt;B103))</f>
        <v/>
      </c>
      <c r="E103">
        <f>SUMPRODUCT(Calc!$K$3:$K$22*(Calc!$G$3:$G$22&gt;=B103))</f>
        <v/>
      </c>
      <c r="F103">
        <f>AND(k_n&gt;=5,B103&gt;A103+1E-9,C103&gt;=2,D103&gt;=1,E103&gt;=2)</f>
        <v/>
      </c>
      <c r="G103">
        <f>SUMPRODUCT(Calc!$K$3:$K$22*(Calc!$G$3:$G$22&gt;A103)*(Calc!$G$3:$G$22-A103))</f>
        <v/>
      </c>
      <c r="H103">
        <f>SUMPRODUCT(Calc!$K$3:$K$22*(Calc!$G$3:$G$22&gt;B103)*(Calc!$G$3:$G$22-B103))</f>
        <v/>
      </c>
      <c r="I103">
        <f>SUMPRODUCT(Calc!$K$3:$K$22*(Calc!$G$3:$G$22&gt;A103)*(Calc!$G$3:$G$22-A103)^2)</f>
        <v/>
      </c>
      <c r="J103">
        <f>SUMPRODUCT(Calc!$K$3:$K$22*(Calc!$G$3:$G$22&gt;B103)*(Calc!$G$3:$G$22-B103)^2)</f>
        <v/>
      </c>
      <c r="K103">
        <f>SUMPRODUCT(Calc!$K$3:$K$22*(Calc!$G$3:$G$22&gt;A103)*(Calc!$G$3:$G$22-A103)*(Calc!$G$3:$G$22&gt;B103)*(Calc!$G$3:$G$22-B103))</f>
        <v/>
      </c>
      <c r="L103">
        <f>SUMPRODUCT(Calc!$K$3:$K$22*(Calc!$G$3:$G$22&gt;A103)*(Calc!$G$3:$G$22-A103)*Calc!$G$3:$G$22)</f>
        <v/>
      </c>
      <c r="M103">
        <f>SUMPRODUCT(Calc!$K$3:$K$22*(Calc!$G$3:$G$22&gt;B103)*(Calc!$G$3:$G$22-B103)*Calc!$G$3:$G$22)</f>
        <v/>
      </c>
      <c r="N103">
        <f>SUMPRODUCT(Calc!$K$3:$K$22*(Calc!$G$3:$G$22&gt;A103)*(Calc!$G$3:$G$22-A103)*Calc!$I$3:$I$22)</f>
        <v/>
      </c>
      <c r="O103">
        <f>SUMPRODUCT(Calc!$K$3:$K$22*(Calc!$G$3:$G$22&gt;B103)*(Calc!$G$3:$G$22-B103)*Calc!$I$3:$I$22)</f>
        <v/>
      </c>
      <c r="P103">
        <f>I103-G103^2/k_n</f>
        <v/>
      </c>
      <c r="Q103">
        <f>J103-H103^2/k_n</f>
        <v/>
      </c>
      <c r="R103">
        <f>K103-G103*H103/k_n</f>
        <v/>
      </c>
      <c r="S103">
        <f>L103-LTP3!$D$3*G103/k_n</f>
        <v/>
      </c>
      <c r="T103">
        <f>M103-LTP3!$D$3*H103/k_n</f>
        <v/>
      </c>
      <c r="U103">
        <f>N103-G103*LTP3!$D$4/k_n</f>
        <v/>
      </c>
      <c r="V103">
        <f>O103-H103*LTP3!$D$4/k_n</f>
        <v/>
      </c>
      <c r="W103">
        <f>((LTP3!$D$5)*((P103)*(Q103)-(R103)*(R103))-(S103)*((S103)*(Q103)-(R103)*(T103))+(T103)*((S103)*(R103)-(P103)*(T103)))</f>
        <v/>
      </c>
      <c r="X103">
        <f>IF(ABS(W103)&gt;1E-12,((LTP3!$D$6)*((P103)*(Q103)-(R103)*(R103))-(S103)*((U103)*(Q103)-(R103)*(V103))+(T103)*((U103)*(R103)-(P103)*(V103)))/W103,0)</f>
        <v/>
      </c>
      <c r="Y103">
        <f>IF(ABS(W103)&gt;1E-12,((LTP3!$D$5)*((U103)*(Q103)-(R103)*(V103))-(LTP3!$D$6)*((S103)*(Q103)-(R103)*(T103))+(T103)*((S103)*(V103)-(U103)*(T103)))/W103,0)</f>
        <v/>
      </c>
      <c r="Z103">
        <f>IF(ABS(W103)&gt;1E-12,((LTP3!$D$5)*((P103)*(V103)-(U103)*(R103))-(S103)*((S103)*(V103)-(U103)*(T103))+(LTP3!$D$6)*((S103)*(R103)-(P103)*(T103)))/W103,0)</f>
        <v/>
      </c>
      <c r="AA103">
        <f>LTP3!$D$7-X103*LTP3!$D$6-Y103*U103-Z103*V103</f>
        <v/>
      </c>
      <c r="AB103">
        <f>IF(AND(F103,ABS(W103)&gt;1E-12,Y103&gt;0,Z103&gt;0),AA103,1E+300)</f>
        <v/>
      </c>
    </row>
    <row r="104">
      <c r="A104">
        <f>$B$3+$B$5*1</f>
        <v/>
      </c>
      <c r="B104">
        <f>$B$3+$B$5*31</f>
        <v/>
      </c>
      <c r="C104">
        <f>SUMPRODUCT(Calc!$K$3:$K$22*(Calc!$G$3:$G$22&lt;=A104))</f>
        <v/>
      </c>
      <c r="D104">
        <f>SUMPRODUCT(Calc!$K$3:$K$22*(Calc!$G$3:$G$22&gt;A104)*(Calc!$G$3:$G$22&lt;B104))</f>
        <v/>
      </c>
      <c r="E104">
        <f>SUMPRODUCT(Calc!$K$3:$K$22*(Calc!$G$3:$G$22&gt;=B104))</f>
        <v/>
      </c>
      <c r="F104">
        <f>AND(k_n&gt;=5,B104&gt;A104+1E-9,C104&gt;=2,D104&gt;=1,E104&gt;=2)</f>
        <v/>
      </c>
      <c r="G104">
        <f>SUMPRODUCT(Calc!$K$3:$K$22*(Calc!$G$3:$G$22&gt;A104)*(Calc!$G$3:$G$22-A104))</f>
        <v/>
      </c>
      <c r="H104">
        <f>SUMPRODUCT(Calc!$K$3:$K$22*(Calc!$G$3:$G$22&gt;B104)*(Calc!$G$3:$G$22-B104))</f>
        <v/>
      </c>
      <c r="I104">
        <f>SUMPRODUCT(Calc!$K$3:$K$22*(Calc!$G$3:$G$22&gt;A104)*(Calc!$G$3:$G$22-A104)^2)</f>
        <v/>
      </c>
      <c r="J104">
        <f>SUMPRODUCT(Calc!$K$3:$K$22*(Calc!$G$3:$G$22&gt;B104)*(Calc!$G$3:$G$22-B104)^2)</f>
        <v/>
      </c>
      <c r="K104">
        <f>SUMPRODUCT(Calc!$K$3:$K$22*(Calc!$G$3:$G$22&gt;A104)*(Calc!$G$3:$G$22-A104)*(Calc!$G$3:$G$22&gt;B104)*(Calc!$G$3:$G$22-B104))</f>
        <v/>
      </c>
      <c r="L104">
        <f>SUMPRODUCT(Calc!$K$3:$K$22*(Calc!$G$3:$G$22&gt;A104)*(Calc!$G$3:$G$22-A104)*Calc!$G$3:$G$22)</f>
        <v/>
      </c>
      <c r="M104">
        <f>SUMPRODUCT(Calc!$K$3:$K$22*(Calc!$G$3:$G$22&gt;B104)*(Calc!$G$3:$G$22-B104)*Calc!$G$3:$G$22)</f>
        <v/>
      </c>
      <c r="N104">
        <f>SUMPRODUCT(Calc!$K$3:$K$22*(Calc!$G$3:$G$22&gt;A104)*(Calc!$G$3:$G$22-A104)*Calc!$I$3:$I$22)</f>
        <v/>
      </c>
      <c r="O104">
        <f>SUMPRODUCT(Calc!$K$3:$K$22*(Calc!$G$3:$G$22&gt;B104)*(Calc!$G$3:$G$22-B104)*Calc!$I$3:$I$22)</f>
        <v/>
      </c>
      <c r="P104">
        <f>I104-G104^2/k_n</f>
        <v/>
      </c>
      <c r="Q104">
        <f>J104-H104^2/k_n</f>
        <v/>
      </c>
      <c r="R104">
        <f>K104-G104*H104/k_n</f>
        <v/>
      </c>
      <c r="S104">
        <f>L104-LTP3!$D$3*G104/k_n</f>
        <v/>
      </c>
      <c r="T104">
        <f>M104-LTP3!$D$3*H104/k_n</f>
        <v/>
      </c>
      <c r="U104">
        <f>N104-G104*LTP3!$D$4/k_n</f>
        <v/>
      </c>
      <c r="V104">
        <f>O104-H104*LTP3!$D$4/k_n</f>
        <v/>
      </c>
      <c r="W104">
        <f>((LTP3!$D$5)*((P104)*(Q104)-(R104)*(R104))-(S104)*((S104)*(Q104)-(R104)*(T104))+(T104)*((S104)*(R104)-(P104)*(T104)))</f>
        <v/>
      </c>
      <c r="X104">
        <f>IF(ABS(W104)&gt;1E-12,((LTP3!$D$6)*((P104)*(Q104)-(R104)*(R104))-(S104)*((U104)*(Q104)-(R104)*(V104))+(T104)*((U104)*(R104)-(P104)*(V104)))/W104,0)</f>
        <v/>
      </c>
      <c r="Y104">
        <f>IF(ABS(W104)&gt;1E-12,((LTP3!$D$5)*((U104)*(Q104)-(R104)*(V104))-(LTP3!$D$6)*((S104)*(Q104)-(R104)*(T104))+(T104)*((S104)*(V104)-(U104)*(T104)))/W104,0)</f>
        <v/>
      </c>
      <c r="Z104">
        <f>IF(ABS(W104)&gt;1E-12,((LTP3!$D$5)*((P104)*(V104)-(U104)*(R104))-(S104)*((S104)*(V104)-(U104)*(T104))+(LTP3!$D$6)*((S104)*(R104)-(P104)*(T104)))/W104,0)</f>
        <v/>
      </c>
      <c r="AA104">
        <f>LTP3!$D$7-X104*LTP3!$D$6-Y104*U104-Z104*V104</f>
        <v/>
      </c>
      <c r="AB104">
        <f>IF(AND(F104,ABS(W104)&gt;1E-12,Y104&gt;0,Z104&gt;0),AA104,1E+300)</f>
        <v/>
      </c>
    </row>
    <row r="105">
      <c r="A105">
        <f>$B$3+$B$5*1</f>
        <v/>
      </c>
      <c r="B105">
        <f>$B$3+$B$5*32</f>
        <v/>
      </c>
      <c r="C105">
        <f>SUMPRODUCT(Calc!$K$3:$K$22*(Calc!$G$3:$G$22&lt;=A105))</f>
        <v/>
      </c>
      <c r="D105">
        <f>SUMPRODUCT(Calc!$K$3:$K$22*(Calc!$G$3:$G$22&gt;A105)*(Calc!$G$3:$G$22&lt;B105))</f>
        <v/>
      </c>
      <c r="E105">
        <f>SUMPRODUCT(Calc!$K$3:$K$22*(Calc!$G$3:$G$22&gt;=B105))</f>
        <v/>
      </c>
      <c r="F105">
        <f>AND(k_n&gt;=5,B105&gt;A105+1E-9,C105&gt;=2,D105&gt;=1,E105&gt;=2)</f>
        <v/>
      </c>
      <c r="G105">
        <f>SUMPRODUCT(Calc!$K$3:$K$22*(Calc!$G$3:$G$22&gt;A105)*(Calc!$G$3:$G$22-A105))</f>
        <v/>
      </c>
      <c r="H105">
        <f>SUMPRODUCT(Calc!$K$3:$K$22*(Calc!$G$3:$G$22&gt;B105)*(Calc!$G$3:$G$22-B105))</f>
        <v/>
      </c>
      <c r="I105">
        <f>SUMPRODUCT(Calc!$K$3:$K$22*(Calc!$G$3:$G$22&gt;A105)*(Calc!$G$3:$G$22-A105)^2)</f>
        <v/>
      </c>
      <c r="J105">
        <f>SUMPRODUCT(Calc!$K$3:$K$22*(Calc!$G$3:$G$22&gt;B105)*(Calc!$G$3:$G$22-B105)^2)</f>
        <v/>
      </c>
      <c r="K105">
        <f>SUMPRODUCT(Calc!$K$3:$K$22*(Calc!$G$3:$G$22&gt;A105)*(Calc!$G$3:$G$22-A105)*(Calc!$G$3:$G$22&gt;B105)*(Calc!$G$3:$G$22-B105))</f>
        <v/>
      </c>
      <c r="L105">
        <f>SUMPRODUCT(Calc!$K$3:$K$22*(Calc!$G$3:$G$22&gt;A105)*(Calc!$G$3:$G$22-A105)*Calc!$G$3:$G$22)</f>
        <v/>
      </c>
      <c r="M105">
        <f>SUMPRODUCT(Calc!$K$3:$K$22*(Calc!$G$3:$G$22&gt;B105)*(Calc!$G$3:$G$22-B105)*Calc!$G$3:$G$22)</f>
        <v/>
      </c>
      <c r="N105">
        <f>SUMPRODUCT(Calc!$K$3:$K$22*(Calc!$G$3:$G$22&gt;A105)*(Calc!$G$3:$G$22-A105)*Calc!$I$3:$I$22)</f>
        <v/>
      </c>
      <c r="O105">
        <f>SUMPRODUCT(Calc!$K$3:$K$22*(Calc!$G$3:$G$22&gt;B105)*(Calc!$G$3:$G$22-B105)*Calc!$I$3:$I$22)</f>
        <v/>
      </c>
      <c r="P105">
        <f>I105-G105^2/k_n</f>
        <v/>
      </c>
      <c r="Q105">
        <f>J105-H105^2/k_n</f>
        <v/>
      </c>
      <c r="R105">
        <f>K105-G105*H105/k_n</f>
        <v/>
      </c>
      <c r="S105">
        <f>L105-LTP3!$D$3*G105/k_n</f>
        <v/>
      </c>
      <c r="T105">
        <f>M105-LTP3!$D$3*H105/k_n</f>
        <v/>
      </c>
      <c r="U105">
        <f>N105-G105*LTP3!$D$4/k_n</f>
        <v/>
      </c>
      <c r="V105">
        <f>O105-H105*LTP3!$D$4/k_n</f>
        <v/>
      </c>
      <c r="W105">
        <f>((LTP3!$D$5)*((P105)*(Q105)-(R105)*(R105))-(S105)*((S105)*(Q105)-(R105)*(T105))+(T105)*((S105)*(R105)-(P105)*(T105)))</f>
        <v/>
      </c>
      <c r="X105">
        <f>IF(ABS(W105)&gt;1E-12,((LTP3!$D$6)*((P105)*(Q105)-(R105)*(R105))-(S105)*((U105)*(Q105)-(R105)*(V105))+(T105)*((U105)*(R105)-(P105)*(V105)))/W105,0)</f>
        <v/>
      </c>
      <c r="Y105">
        <f>IF(ABS(W105)&gt;1E-12,((LTP3!$D$5)*((U105)*(Q105)-(R105)*(V105))-(LTP3!$D$6)*((S105)*(Q105)-(R105)*(T105))+(T105)*((S105)*(V105)-(U105)*(T105)))/W105,0)</f>
        <v/>
      </c>
      <c r="Z105">
        <f>IF(ABS(W105)&gt;1E-12,((LTP3!$D$5)*((P105)*(V105)-(U105)*(R105))-(S105)*((S105)*(V105)-(U105)*(T105))+(LTP3!$D$6)*((S105)*(R105)-(P105)*(T105)))/W105,0)</f>
        <v/>
      </c>
      <c r="AA105">
        <f>LTP3!$D$7-X105*LTP3!$D$6-Y105*U105-Z105*V105</f>
        <v/>
      </c>
      <c r="AB105">
        <f>IF(AND(F105,ABS(W105)&gt;1E-12,Y105&gt;0,Z105&gt;0),AA105,1E+300)</f>
        <v/>
      </c>
    </row>
    <row r="106">
      <c r="A106">
        <f>$B$3+$B$5*1</f>
        <v/>
      </c>
      <c r="B106">
        <f>$B$3+$B$5*33</f>
        <v/>
      </c>
      <c r="C106">
        <f>SUMPRODUCT(Calc!$K$3:$K$22*(Calc!$G$3:$G$22&lt;=A106))</f>
        <v/>
      </c>
      <c r="D106">
        <f>SUMPRODUCT(Calc!$K$3:$K$22*(Calc!$G$3:$G$22&gt;A106)*(Calc!$G$3:$G$22&lt;B106))</f>
        <v/>
      </c>
      <c r="E106">
        <f>SUMPRODUCT(Calc!$K$3:$K$22*(Calc!$G$3:$G$22&gt;=B106))</f>
        <v/>
      </c>
      <c r="F106">
        <f>AND(k_n&gt;=5,B106&gt;A106+1E-9,C106&gt;=2,D106&gt;=1,E106&gt;=2)</f>
        <v/>
      </c>
      <c r="G106">
        <f>SUMPRODUCT(Calc!$K$3:$K$22*(Calc!$G$3:$G$22&gt;A106)*(Calc!$G$3:$G$22-A106))</f>
        <v/>
      </c>
      <c r="H106">
        <f>SUMPRODUCT(Calc!$K$3:$K$22*(Calc!$G$3:$G$22&gt;B106)*(Calc!$G$3:$G$22-B106))</f>
        <v/>
      </c>
      <c r="I106">
        <f>SUMPRODUCT(Calc!$K$3:$K$22*(Calc!$G$3:$G$22&gt;A106)*(Calc!$G$3:$G$22-A106)^2)</f>
        <v/>
      </c>
      <c r="J106">
        <f>SUMPRODUCT(Calc!$K$3:$K$22*(Calc!$G$3:$G$22&gt;B106)*(Calc!$G$3:$G$22-B106)^2)</f>
        <v/>
      </c>
      <c r="K106">
        <f>SUMPRODUCT(Calc!$K$3:$K$22*(Calc!$G$3:$G$22&gt;A106)*(Calc!$G$3:$G$22-A106)*(Calc!$G$3:$G$22&gt;B106)*(Calc!$G$3:$G$22-B106))</f>
        <v/>
      </c>
      <c r="L106">
        <f>SUMPRODUCT(Calc!$K$3:$K$22*(Calc!$G$3:$G$22&gt;A106)*(Calc!$G$3:$G$22-A106)*Calc!$G$3:$G$22)</f>
        <v/>
      </c>
      <c r="M106">
        <f>SUMPRODUCT(Calc!$K$3:$K$22*(Calc!$G$3:$G$22&gt;B106)*(Calc!$G$3:$G$22-B106)*Calc!$G$3:$G$22)</f>
        <v/>
      </c>
      <c r="N106">
        <f>SUMPRODUCT(Calc!$K$3:$K$22*(Calc!$G$3:$G$22&gt;A106)*(Calc!$G$3:$G$22-A106)*Calc!$I$3:$I$22)</f>
        <v/>
      </c>
      <c r="O106">
        <f>SUMPRODUCT(Calc!$K$3:$K$22*(Calc!$G$3:$G$22&gt;B106)*(Calc!$G$3:$G$22-B106)*Calc!$I$3:$I$22)</f>
        <v/>
      </c>
      <c r="P106">
        <f>I106-G106^2/k_n</f>
        <v/>
      </c>
      <c r="Q106">
        <f>J106-H106^2/k_n</f>
        <v/>
      </c>
      <c r="R106">
        <f>K106-G106*H106/k_n</f>
        <v/>
      </c>
      <c r="S106">
        <f>L106-LTP3!$D$3*G106/k_n</f>
        <v/>
      </c>
      <c r="T106">
        <f>M106-LTP3!$D$3*H106/k_n</f>
        <v/>
      </c>
      <c r="U106">
        <f>N106-G106*LTP3!$D$4/k_n</f>
        <v/>
      </c>
      <c r="V106">
        <f>O106-H106*LTP3!$D$4/k_n</f>
        <v/>
      </c>
      <c r="W106">
        <f>((LTP3!$D$5)*((P106)*(Q106)-(R106)*(R106))-(S106)*((S106)*(Q106)-(R106)*(T106))+(T106)*((S106)*(R106)-(P106)*(T106)))</f>
        <v/>
      </c>
      <c r="X106">
        <f>IF(ABS(W106)&gt;1E-12,((LTP3!$D$6)*((P106)*(Q106)-(R106)*(R106))-(S106)*((U106)*(Q106)-(R106)*(V106))+(T106)*((U106)*(R106)-(P106)*(V106)))/W106,0)</f>
        <v/>
      </c>
      <c r="Y106">
        <f>IF(ABS(W106)&gt;1E-12,((LTP3!$D$5)*((U106)*(Q106)-(R106)*(V106))-(LTP3!$D$6)*((S106)*(Q106)-(R106)*(T106))+(T106)*((S106)*(V106)-(U106)*(T106)))/W106,0)</f>
        <v/>
      </c>
      <c r="Z106">
        <f>IF(ABS(W106)&gt;1E-12,((LTP3!$D$5)*((P106)*(V106)-(U106)*(R106))-(S106)*((S106)*(V106)-(U106)*(T106))+(LTP3!$D$6)*((S106)*(R106)-(P106)*(T106)))/W106,0)</f>
        <v/>
      </c>
      <c r="AA106">
        <f>LTP3!$D$7-X106*LTP3!$D$6-Y106*U106-Z106*V106</f>
        <v/>
      </c>
      <c r="AB106">
        <f>IF(AND(F106,ABS(W106)&gt;1E-12,Y106&gt;0,Z106&gt;0),AA106,1E+300)</f>
        <v/>
      </c>
    </row>
    <row r="107">
      <c r="A107">
        <f>$B$3+$B$5*1</f>
        <v/>
      </c>
      <c r="B107">
        <f>$B$3+$B$5*34</f>
        <v/>
      </c>
      <c r="C107">
        <f>SUMPRODUCT(Calc!$K$3:$K$22*(Calc!$G$3:$G$22&lt;=A107))</f>
        <v/>
      </c>
      <c r="D107">
        <f>SUMPRODUCT(Calc!$K$3:$K$22*(Calc!$G$3:$G$22&gt;A107)*(Calc!$G$3:$G$22&lt;B107))</f>
        <v/>
      </c>
      <c r="E107">
        <f>SUMPRODUCT(Calc!$K$3:$K$22*(Calc!$G$3:$G$22&gt;=B107))</f>
        <v/>
      </c>
      <c r="F107">
        <f>AND(k_n&gt;=5,B107&gt;A107+1E-9,C107&gt;=2,D107&gt;=1,E107&gt;=2)</f>
        <v/>
      </c>
      <c r="G107">
        <f>SUMPRODUCT(Calc!$K$3:$K$22*(Calc!$G$3:$G$22&gt;A107)*(Calc!$G$3:$G$22-A107))</f>
        <v/>
      </c>
      <c r="H107">
        <f>SUMPRODUCT(Calc!$K$3:$K$22*(Calc!$G$3:$G$22&gt;B107)*(Calc!$G$3:$G$22-B107))</f>
        <v/>
      </c>
      <c r="I107">
        <f>SUMPRODUCT(Calc!$K$3:$K$22*(Calc!$G$3:$G$22&gt;A107)*(Calc!$G$3:$G$22-A107)^2)</f>
        <v/>
      </c>
      <c r="J107">
        <f>SUMPRODUCT(Calc!$K$3:$K$22*(Calc!$G$3:$G$22&gt;B107)*(Calc!$G$3:$G$22-B107)^2)</f>
        <v/>
      </c>
      <c r="K107">
        <f>SUMPRODUCT(Calc!$K$3:$K$22*(Calc!$G$3:$G$22&gt;A107)*(Calc!$G$3:$G$22-A107)*(Calc!$G$3:$G$22&gt;B107)*(Calc!$G$3:$G$22-B107))</f>
        <v/>
      </c>
      <c r="L107">
        <f>SUMPRODUCT(Calc!$K$3:$K$22*(Calc!$G$3:$G$22&gt;A107)*(Calc!$G$3:$G$22-A107)*Calc!$G$3:$G$22)</f>
        <v/>
      </c>
      <c r="M107">
        <f>SUMPRODUCT(Calc!$K$3:$K$22*(Calc!$G$3:$G$22&gt;B107)*(Calc!$G$3:$G$22-B107)*Calc!$G$3:$G$22)</f>
        <v/>
      </c>
      <c r="N107">
        <f>SUMPRODUCT(Calc!$K$3:$K$22*(Calc!$G$3:$G$22&gt;A107)*(Calc!$G$3:$G$22-A107)*Calc!$I$3:$I$22)</f>
        <v/>
      </c>
      <c r="O107">
        <f>SUMPRODUCT(Calc!$K$3:$K$22*(Calc!$G$3:$G$22&gt;B107)*(Calc!$G$3:$G$22-B107)*Calc!$I$3:$I$22)</f>
        <v/>
      </c>
      <c r="P107">
        <f>I107-G107^2/k_n</f>
        <v/>
      </c>
      <c r="Q107">
        <f>J107-H107^2/k_n</f>
        <v/>
      </c>
      <c r="R107">
        <f>K107-G107*H107/k_n</f>
        <v/>
      </c>
      <c r="S107">
        <f>L107-LTP3!$D$3*G107/k_n</f>
        <v/>
      </c>
      <c r="T107">
        <f>M107-LTP3!$D$3*H107/k_n</f>
        <v/>
      </c>
      <c r="U107">
        <f>N107-G107*LTP3!$D$4/k_n</f>
        <v/>
      </c>
      <c r="V107">
        <f>O107-H107*LTP3!$D$4/k_n</f>
        <v/>
      </c>
      <c r="W107">
        <f>((LTP3!$D$5)*((P107)*(Q107)-(R107)*(R107))-(S107)*((S107)*(Q107)-(R107)*(T107))+(T107)*((S107)*(R107)-(P107)*(T107)))</f>
        <v/>
      </c>
      <c r="X107">
        <f>IF(ABS(W107)&gt;1E-12,((LTP3!$D$6)*((P107)*(Q107)-(R107)*(R107))-(S107)*((U107)*(Q107)-(R107)*(V107))+(T107)*((U107)*(R107)-(P107)*(V107)))/W107,0)</f>
        <v/>
      </c>
      <c r="Y107">
        <f>IF(ABS(W107)&gt;1E-12,((LTP3!$D$5)*((U107)*(Q107)-(R107)*(V107))-(LTP3!$D$6)*((S107)*(Q107)-(R107)*(T107))+(T107)*((S107)*(V107)-(U107)*(T107)))/W107,0)</f>
        <v/>
      </c>
      <c r="Z107">
        <f>IF(ABS(W107)&gt;1E-12,((LTP3!$D$5)*((P107)*(V107)-(U107)*(R107))-(S107)*((S107)*(V107)-(U107)*(T107))+(LTP3!$D$6)*((S107)*(R107)-(P107)*(T107)))/W107,0)</f>
        <v/>
      </c>
      <c r="AA107">
        <f>LTP3!$D$7-X107*LTP3!$D$6-Y107*U107-Z107*V107</f>
        <v/>
      </c>
      <c r="AB107">
        <f>IF(AND(F107,ABS(W107)&gt;1E-12,Y107&gt;0,Z107&gt;0),AA107,1E+300)</f>
        <v/>
      </c>
    </row>
    <row r="108">
      <c r="A108">
        <f>$B$3+$B$5*1</f>
        <v/>
      </c>
      <c r="B108">
        <f>$B$3+$B$5*35</f>
        <v/>
      </c>
      <c r="C108">
        <f>SUMPRODUCT(Calc!$K$3:$K$22*(Calc!$G$3:$G$22&lt;=A108))</f>
        <v/>
      </c>
      <c r="D108">
        <f>SUMPRODUCT(Calc!$K$3:$K$22*(Calc!$G$3:$G$22&gt;A108)*(Calc!$G$3:$G$22&lt;B108))</f>
        <v/>
      </c>
      <c r="E108">
        <f>SUMPRODUCT(Calc!$K$3:$K$22*(Calc!$G$3:$G$22&gt;=B108))</f>
        <v/>
      </c>
      <c r="F108">
        <f>AND(k_n&gt;=5,B108&gt;A108+1E-9,C108&gt;=2,D108&gt;=1,E108&gt;=2)</f>
        <v/>
      </c>
      <c r="G108">
        <f>SUMPRODUCT(Calc!$K$3:$K$22*(Calc!$G$3:$G$22&gt;A108)*(Calc!$G$3:$G$22-A108))</f>
        <v/>
      </c>
      <c r="H108">
        <f>SUMPRODUCT(Calc!$K$3:$K$22*(Calc!$G$3:$G$22&gt;B108)*(Calc!$G$3:$G$22-B108))</f>
        <v/>
      </c>
      <c r="I108">
        <f>SUMPRODUCT(Calc!$K$3:$K$22*(Calc!$G$3:$G$22&gt;A108)*(Calc!$G$3:$G$22-A108)^2)</f>
        <v/>
      </c>
      <c r="J108">
        <f>SUMPRODUCT(Calc!$K$3:$K$22*(Calc!$G$3:$G$22&gt;B108)*(Calc!$G$3:$G$22-B108)^2)</f>
        <v/>
      </c>
      <c r="K108">
        <f>SUMPRODUCT(Calc!$K$3:$K$22*(Calc!$G$3:$G$22&gt;A108)*(Calc!$G$3:$G$22-A108)*(Calc!$G$3:$G$22&gt;B108)*(Calc!$G$3:$G$22-B108))</f>
        <v/>
      </c>
      <c r="L108">
        <f>SUMPRODUCT(Calc!$K$3:$K$22*(Calc!$G$3:$G$22&gt;A108)*(Calc!$G$3:$G$22-A108)*Calc!$G$3:$G$22)</f>
        <v/>
      </c>
      <c r="M108">
        <f>SUMPRODUCT(Calc!$K$3:$K$22*(Calc!$G$3:$G$22&gt;B108)*(Calc!$G$3:$G$22-B108)*Calc!$G$3:$G$22)</f>
        <v/>
      </c>
      <c r="N108">
        <f>SUMPRODUCT(Calc!$K$3:$K$22*(Calc!$G$3:$G$22&gt;A108)*(Calc!$G$3:$G$22-A108)*Calc!$I$3:$I$22)</f>
        <v/>
      </c>
      <c r="O108">
        <f>SUMPRODUCT(Calc!$K$3:$K$22*(Calc!$G$3:$G$22&gt;B108)*(Calc!$G$3:$G$22-B108)*Calc!$I$3:$I$22)</f>
        <v/>
      </c>
      <c r="P108">
        <f>I108-G108^2/k_n</f>
        <v/>
      </c>
      <c r="Q108">
        <f>J108-H108^2/k_n</f>
        <v/>
      </c>
      <c r="R108">
        <f>K108-G108*H108/k_n</f>
        <v/>
      </c>
      <c r="S108">
        <f>L108-LTP3!$D$3*G108/k_n</f>
        <v/>
      </c>
      <c r="T108">
        <f>M108-LTP3!$D$3*H108/k_n</f>
        <v/>
      </c>
      <c r="U108">
        <f>N108-G108*LTP3!$D$4/k_n</f>
        <v/>
      </c>
      <c r="V108">
        <f>O108-H108*LTP3!$D$4/k_n</f>
        <v/>
      </c>
      <c r="W108">
        <f>((LTP3!$D$5)*((P108)*(Q108)-(R108)*(R108))-(S108)*((S108)*(Q108)-(R108)*(T108))+(T108)*((S108)*(R108)-(P108)*(T108)))</f>
        <v/>
      </c>
      <c r="X108">
        <f>IF(ABS(W108)&gt;1E-12,((LTP3!$D$6)*((P108)*(Q108)-(R108)*(R108))-(S108)*((U108)*(Q108)-(R108)*(V108))+(T108)*((U108)*(R108)-(P108)*(V108)))/W108,0)</f>
        <v/>
      </c>
      <c r="Y108">
        <f>IF(ABS(W108)&gt;1E-12,((LTP3!$D$5)*((U108)*(Q108)-(R108)*(V108))-(LTP3!$D$6)*((S108)*(Q108)-(R108)*(T108))+(T108)*((S108)*(V108)-(U108)*(T108)))/W108,0)</f>
        <v/>
      </c>
      <c r="Z108">
        <f>IF(ABS(W108)&gt;1E-12,((LTP3!$D$5)*((P108)*(V108)-(U108)*(R108))-(S108)*((S108)*(V108)-(U108)*(T108))+(LTP3!$D$6)*((S108)*(R108)-(P108)*(T108)))/W108,0)</f>
        <v/>
      </c>
      <c r="AA108">
        <f>LTP3!$D$7-X108*LTP3!$D$6-Y108*U108-Z108*V108</f>
        <v/>
      </c>
      <c r="AB108">
        <f>IF(AND(F108,ABS(W108)&gt;1E-12,Y108&gt;0,Z108&gt;0),AA108,1E+300)</f>
        <v/>
      </c>
    </row>
    <row r="109">
      <c r="A109">
        <f>$B$3+$B$5*1</f>
        <v/>
      </c>
      <c r="B109">
        <f>$B$3+$B$5*36</f>
        <v/>
      </c>
      <c r="C109">
        <f>SUMPRODUCT(Calc!$K$3:$K$22*(Calc!$G$3:$G$22&lt;=A109))</f>
        <v/>
      </c>
      <c r="D109">
        <f>SUMPRODUCT(Calc!$K$3:$K$22*(Calc!$G$3:$G$22&gt;A109)*(Calc!$G$3:$G$22&lt;B109))</f>
        <v/>
      </c>
      <c r="E109">
        <f>SUMPRODUCT(Calc!$K$3:$K$22*(Calc!$G$3:$G$22&gt;=B109))</f>
        <v/>
      </c>
      <c r="F109">
        <f>AND(k_n&gt;=5,B109&gt;A109+1E-9,C109&gt;=2,D109&gt;=1,E109&gt;=2)</f>
        <v/>
      </c>
      <c r="G109">
        <f>SUMPRODUCT(Calc!$K$3:$K$22*(Calc!$G$3:$G$22&gt;A109)*(Calc!$G$3:$G$22-A109))</f>
        <v/>
      </c>
      <c r="H109">
        <f>SUMPRODUCT(Calc!$K$3:$K$22*(Calc!$G$3:$G$22&gt;B109)*(Calc!$G$3:$G$22-B109))</f>
        <v/>
      </c>
      <c r="I109">
        <f>SUMPRODUCT(Calc!$K$3:$K$22*(Calc!$G$3:$G$22&gt;A109)*(Calc!$G$3:$G$22-A109)^2)</f>
        <v/>
      </c>
      <c r="J109">
        <f>SUMPRODUCT(Calc!$K$3:$K$22*(Calc!$G$3:$G$22&gt;B109)*(Calc!$G$3:$G$22-B109)^2)</f>
        <v/>
      </c>
      <c r="K109">
        <f>SUMPRODUCT(Calc!$K$3:$K$22*(Calc!$G$3:$G$22&gt;A109)*(Calc!$G$3:$G$22-A109)*(Calc!$G$3:$G$22&gt;B109)*(Calc!$G$3:$G$22-B109))</f>
        <v/>
      </c>
      <c r="L109">
        <f>SUMPRODUCT(Calc!$K$3:$K$22*(Calc!$G$3:$G$22&gt;A109)*(Calc!$G$3:$G$22-A109)*Calc!$G$3:$G$22)</f>
        <v/>
      </c>
      <c r="M109">
        <f>SUMPRODUCT(Calc!$K$3:$K$22*(Calc!$G$3:$G$22&gt;B109)*(Calc!$G$3:$G$22-B109)*Calc!$G$3:$G$22)</f>
        <v/>
      </c>
      <c r="N109">
        <f>SUMPRODUCT(Calc!$K$3:$K$22*(Calc!$G$3:$G$22&gt;A109)*(Calc!$G$3:$G$22-A109)*Calc!$I$3:$I$22)</f>
        <v/>
      </c>
      <c r="O109">
        <f>SUMPRODUCT(Calc!$K$3:$K$22*(Calc!$G$3:$G$22&gt;B109)*(Calc!$G$3:$G$22-B109)*Calc!$I$3:$I$22)</f>
        <v/>
      </c>
      <c r="P109">
        <f>I109-G109^2/k_n</f>
        <v/>
      </c>
      <c r="Q109">
        <f>J109-H109^2/k_n</f>
        <v/>
      </c>
      <c r="R109">
        <f>K109-G109*H109/k_n</f>
        <v/>
      </c>
      <c r="S109">
        <f>L109-LTP3!$D$3*G109/k_n</f>
        <v/>
      </c>
      <c r="T109">
        <f>M109-LTP3!$D$3*H109/k_n</f>
        <v/>
      </c>
      <c r="U109">
        <f>N109-G109*LTP3!$D$4/k_n</f>
        <v/>
      </c>
      <c r="V109">
        <f>O109-H109*LTP3!$D$4/k_n</f>
        <v/>
      </c>
      <c r="W109">
        <f>((LTP3!$D$5)*((P109)*(Q109)-(R109)*(R109))-(S109)*((S109)*(Q109)-(R109)*(T109))+(T109)*((S109)*(R109)-(P109)*(T109)))</f>
        <v/>
      </c>
      <c r="X109">
        <f>IF(ABS(W109)&gt;1E-12,((LTP3!$D$6)*((P109)*(Q109)-(R109)*(R109))-(S109)*((U109)*(Q109)-(R109)*(V109))+(T109)*((U109)*(R109)-(P109)*(V109)))/W109,0)</f>
        <v/>
      </c>
      <c r="Y109">
        <f>IF(ABS(W109)&gt;1E-12,((LTP3!$D$5)*((U109)*(Q109)-(R109)*(V109))-(LTP3!$D$6)*((S109)*(Q109)-(R109)*(T109))+(T109)*((S109)*(V109)-(U109)*(T109)))/W109,0)</f>
        <v/>
      </c>
      <c r="Z109">
        <f>IF(ABS(W109)&gt;1E-12,((LTP3!$D$5)*((P109)*(V109)-(U109)*(R109))-(S109)*((S109)*(V109)-(U109)*(T109))+(LTP3!$D$6)*((S109)*(R109)-(P109)*(T109)))/W109,0)</f>
        <v/>
      </c>
      <c r="AA109">
        <f>LTP3!$D$7-X109*LTP3!$D$6-Y109*U109-Z109*V109</f>
        <v/>
      </c>
      <c r="AB109">
        <f>IF(AND(F109,ABS(W109)&gt;1E-12,Y109&gt;0,Z109&gt;0),AA109,1E+300)</f>
        <v/>
      </c>
    </row>
    <row r="110">
      <c r="A110">
        <f>$B$3+$B$5*1</f>
        <v/>
      </c>
      <c r="B110">
        <f>$B$3+$B$5*37</f>
        <v/>
      </c>
      <c r="C110">
        <f>SUMPRODUCT(Calc!$K$3:$K$22*(Calc!$G$3:$G$22&lt;=A110))</f>
        <v/>
      </c>
      <c r="D110">
        <f>SUMPRODUCT(Calc!$K$3:$K$22*(Calc!$G$3:$G$22&gt;A110)*(Calc!$G$3:$G$22&lt;B110))</f>
        <v/>
      </c>
      <c r="E110">
        <f>SUMPRODUCT(Calc!$K$3:$K$22*(Calc!$G$3:$G$22&gt;=B110))</f>
        <v/>
      </c>
      <c r="F110">
        <f>AND(k_n&gt;=5,B110&gt;A110+1E-9,C110&gt;=2,D110&gt;=1,E110&gt;=2)</f>
        <v/>
      </c>
      <c r="G110">
        <f>SUMPRODUCT(Calc!$K$3:$K$22*(Calc!$G$3:$G$22&gt;A110)*(Calc!$G$3:$G$22-A110))</f>
        <v/>
      </c>
      <c r="H110">
        <f>SUMPRODUCT(Calc!$K$3:$K$22*(Calc!$G$3:$G$22&gt;B110)*(Calc!$G$3:$G$22-B110))</f>
        <v/>
      </c>
      <c r="I110">
        <f>SUMPRODUCT(Calc!$K$3:$K$22*(Calc!$G$3:$G$22&gt;A110)*(Calc!$G$3:$G$22-A110)^2)</f>
        <v/>
      </c>
      <c r="J110">
        <f>SUMPRODUCT(Calc!$K$3:$K$22*(Calc!$G$3:$G$22&gt;B110)*(Calc!$G$3:$G$22-B110)^2)</f>
        <v/>
      </c>
      <c r="K110">
        <f>SUMPRODUCT(Calc!$K$3:$K$22*(Calc!$G$3:$G$22&gt;A110)*(Calc!$G$3:$G$22-A110)*(Calc!$G$3:$G$22&gt;B110)*(Calc!$G$3:$G$22-B110))</f>
        <v/>
      </c>
      <c r="L110">
        <f>SUMPRODUCT(Calc!$K$3:$K$22*(Calc!$G$3:$G$22&gt;A110)*(Calc!$G$3:$G$22-A110)*Calc!$G$3:$G$22)</f>
        <v/>
      </c>
      <c r="M110">
        <f>SUMPRODUCT(Calc!$K$3:$K$22*(Calc!$G$3:$G$22&gt;B110)*(Calc!$G$3:$G$22-B110)*Calc!$G$3:$G$22)</f>
        <v/>
      </c>
      <c r="N110">
        <f>SUMPRODUCT(Calc!$K$3:$K$22*(Calc!$G$3:$G$22&gt;A110)*(Calc!$G$3:$G$22-A110)*Calc!$I$3:$I$22)</f>
        <v/>
      </c>
      <c r="O110">
        <f>SUMPRODUCT(Calc!$K$3:$K$22*(Calc!$G$3:$G$22&gt;B110)*(Calc!$G$3:$G$22-B110)*Calc!$I$3:$I$22)</f>
        <v/>
      </c>
      <c r="P110">
        <f>I110-G110^2/k_n</f>
        <v/>
      </c>
      <c r="Q110">
        <f>J110-H110^2/k_n</f>
        <v/>
      </c>
      <c r="R110">
        <f>K110-G110*H110/k_n</f>
        <v/>
      </c>
      <c r="S110">
        <f>L110-LTP3!$D$3*G110/k_n</f>
        <v/>
      </c>
      <c r="T110">
        <f>M110-LTP3!$D$3*H110/k_n</f>
        <v/>
      </c>
      <c r="U110">
        <f>N110-G110*LTP3!$D$4/k_n</f>
        <v/>
      </c>
      <c r="V110">
        <f>O110-H110*LTP3!$D$4/k_n</f>
        <v/>
      </c>
      <c r="W110">
        <f>((LTP3!$D$5)*((P110)*(Q110)-(R110)*(R110))-(S110)*((S110)*(Q110)-(R110)*(T110))+(T110)*((S110)*(R110)-(P110)*(T110)))</f>
        <v/>
      </c>
      <c r="X110">
        <f>IF(ABS(W110)&gt;1E-12,((LTP3!$D$6)*((P110)*(Q110)-(R110)*(R110))-(S110)*((U110)*(Q110)-(R110)*(V110))+(T110)*((U110)*(R110)-(P110)*(V110)))/W110,0)</f>
        <v/>
      </c>
      <c r="Y110">
        <f>IF(ABS(W110)&gt;1E-12,((LTP3!$D$5)*((U110)*(Q110)-(R110)*(V110))-(LTP3!$D$6)*((S110)*(Q110)-(R110)*(T110))+(T110)*((S110)*(V110)-(U110)*(T110)))/W110,0)</f>
        <v/>
      </c>
      <c r="Z110">
        <f>IF(ABS(W110)&gt;1E-12,((LTP3!$D$5)*((P110)*(V110)-(U110)*(R110))-(S110)*((S110)*(V110)-(U110)*(T110))+(LTP3!$D$6)*((S110)*(R110)-(P110)*(T110)))/W110,0)</f>
        <v/>
      </c>
      <c r="AA110">
        <f>LTP3!$D$7-X110*LTP3!$D$6-Y110*U110-Z110*V110</f>
        <v/>
      </c>
      <c r="AB110">
        <f>IF(AND(F110,ABS(W110)&gt;1E-12,Y110&gt;0,Z110&gt;0),AA110,1E+300)</f>
        <v/>
      </c>
    </row>
    <row r="111">
      <c r="A111">
        <f>$B$3+$B$5*1</f>
        <v/>
      </c>
      <c r="B111">
        <f>$B$3+$B$5*38</f>
        <v/>
      </c>
      <c r="C111">
        <f>SUMPRODUCT(Calc!$K$3:$K$22*(Calc!$G$3:$G$22&lt;=A111))</f>
        <v/>
      </c>
      <c r="D111">
        <f>SUMPRODUCT(Calc!$K$3:$K$22*(Calc!$G$3:$G$22&gt;A111)*(Calc!$G$3:$G$22&lt;B111))</f>
        <v/>
      </c>
      <c r="E111">
        <f>SUMPRODUCT(Calc!$K$3:$K$22*(Calc!$G$3:$G$22&gt;=B111))</f>
        <v/>
      </c>
      <c r="F111">
        <f>AND(k_n&gt;=5,B111&gt;A111+1E-9,C111&gt;=2,D111&gt;=1,E111&gt;=2)</f>
        <v/>
      </c>
      <c r="G111">
        <f>SUMPRODUCT(Calc!$K$3:$K$22*(Calc!$G$3:$G$22&gt;A111)*(Calc!$G$3:$G$22-A111))</f>
        <v/>
      </c>
      <c r="H111">
        <f>SUMPRODUCT(Calc!$K$3:$K$22*(Calc!$G$3:$G$22&gt;B111)*(Calc!$G$3:$G$22-B111))</f>
        <v/>
      </c>
      <c r="I111">
        <f>SUMPRODUCT(Calc!$K$3:$K$22*(Calc!$G$3:$G$22&gt;A111)*(Calc!$G$3:$G$22-A111)^2)</f>
        <v/>
      </c>
      <c r="J111">
        <f>SUMPRODUCT(Calc!$K$3:$K$22*(Calc!$G$3:$G$22&gt;B111)*(Calc!$G$3:$G$22-B111)^2)</f>
        <v/>
      </c>
      <c r="K111">
        <f>SUMPRODUCT(Calc!$K$3:$K$22*(Calc!$G$3:$G$22&gt;A111)*(Calc!$G$3:$G$22-A111)*(Calc!$G$3:$G$22&gt;B111)*(Calc!$G$3:$G$22-B111))</f>
        <v/>
      </c>
      <c r="L111">
        <f>SUMPRODUCT(Calc!$K$3:$K$22*(Calc!$G$3:$G$22&gt;A111)*(Calc!$G$3:$G$22-A111)*Calc!$G$3:$G$22)</f>
        <v/>
      </c>
      <c r="M111">
        <f>SUMPRODUCT(Calc!$K$3:$K$22*(Calc!$G$3:$G$22&gt;B111)*(Calc!$G$3:$G$22-B111)*Calc!$G$3:$G$22)</f>
        <v/>
      </c>
      <c r="N111">
        <f>SUMPRODUCT(Calc!$K$3:$K$22*(Calc!$G$3:$G$22&gt;A111)*(Calc!$G$3:$G$22-A111)*Calc!$I$3:$I$22)</f>
        <v/>
      </c>
      <c r="O111">
        <f>SUMPRODUCT(Calc!$K$3:$K$22*(Calc!$G$3:$G$22&gt;B111)*(Calc!$G$3:$G$22-B111)*Calc!$I$3:$I$22)</f>
        <v/>
      </c>
      <c r="P111">
        <f>I111-G111^2/k_n</f>
        <v/>
      </c>
      <c r="Q111">
        <f>J111-H111^2/k_n</f>
        <v/>
      </c>
      <c r="R111">
        <f>K111-G111*H111/k_n</f>
        <v/>
      </c>
      <c r="S111">
        <f>L111-LTP3!$D$3*G111/k_n</f>
        <v/>
      </c>
      <c r="T111">
        <f>M111-LTP3!$D$3*H111/k_n</f>
        <v/>
      </c>
      <c r="U111">
        <f>N111-G111*LTP3!$D$4/k_n</f>
        <v/>
      </c>
      <c r="V111">
        <f>O111-H111*LTP3!$D$4/k_n</f>
        <v/>
      </c>
      <c r="W111">
        <f>((LTP3!$D$5)*((P111)*(Q111)-(R111)*(R111))-(S111)*((S111)*(Q111)-(R111)*(T111))+(T111)*((S111)*(R111)-(P111)*(T111)))</f>
        <v/>
      </c>
      <c r="X111">
        <f>IF(ABS(W111)&gt;1E-12,((LTP3!$D$6)*((P111)*(Q111)-(R111)*(R111))-(S111)*((U111)*(Q111)-(R111)*(V111))+(T111)*((U111)*(R111)-(P111)*(V111)))/W111,0)</f>
        <v/>
      </c>
      <c r="Y111">
        <f>IF(ABS(W111)&gt;1E-12,((LTP3!$D$5)*((U111)*(Q111)-(R111)*(V111))-(LTP3!$D$6)*((S111)*(Q111)-(R111)*(T111))+(T111)*((S111)*(V111)-(U111)*(T111)))/W111,0)</f>
        <v/>
      </c>
      <c r="Z111">
        <f>IF(ABS(W111)&gt;1E-12,((LTP3!$D$5)*((P111)*(V111)-(U111)*(R111))-(S111)*((S111)*(V111)-(U111)*(T111))+(LTP3!$D$6)*((S111)*(R111)-(P111)*(T111)))/W111,0)</f>
        <v/>
      </c>
      <c r="AA111">
        <f>LTP3!$D$7-X111*LTP3!$D$6-Y111*U111-Z111*V111</f>
        <v/>
      </c>
      <c r="AB111">
        <f>IF(AND(F111,ABS(W111)&gt;1E-12,Y111&gt;0,Z111&gt;0),AA111,1E+300)</f>
        <v/>
      </c>
    </row>
    <row r="112">
      <c r="A112">
        <f>$B$3+$B$5*1</f>
        <v/>
      </c>
      <c r="B112">
        <f>$B$3+$B$5*39</f>
        <v/>
      </c>
      <c r="C112">
        <f>SUMPRODUCT(Calc!$K$3:$K$22*(Calc!$G$3:$G$22&lt;=A112))</f>
        <v/>
      </c>
      <c r="D112">
        <f>SUMPRODUCT(Calc!$K$3:$K$22*(Calc!$G$3:$G$22&gt;A112)*(Calc!$G$3:$G$22&lt;B112))</f>
        <v/>
      </c>
      <c r="E112">
        <f>SUMPRODUCT(Calc!$K$3:$K$22*(Calc!$G$3:$G$22&gt;=B112))</f>
        <v/>
      </c>
      <c r="F112">
        <f>AND(k_n&gt;=5,B112&gt;A112+1E-9,C112&gt;=2,D112&gt;=1,E112&gt;=2)</f>
        <v/>
      </c>
      <c r="G112">
        <f>SUMPRODUCT(Calc!$K$3:$K$22*(Calc!$G$3:$G$22&gt;A112)*(Calc!$G$3:$G$22-A112))</f>
        <v/>
      </c>
      <c r="H112">
        <f>SUMPRODUCT(Calc!$K$3:$K$22*(Calc!$G$3:$G$22&gt;B112)*(Calc!$G$3:$G$22-B112))</f>
        <v/>
      </c>
      <c r="I112">
        <f>SUMPRODUCT(Calc!$K$3:$K$22*(Calc!$G$3:$G$22&gt;A112)*(Calc!$G$3:$G$22-A112)^2)</f>
        <v/>
      </c>
      <c r="J112">
        <f>SUMPRODUCT(Calc!$K$3:$K$22*(Calc!$G$3:$G$22&gt;B112)*(Calc!$G$3:$G$22-B112)^2)</f>
        <v/>
      </c>
      <c r="K112">
        <f>SUMPRODUCT(Calc!$K$3:$K$22*(Calc!$G$3:$G$22&gt;A112)*(Calc!$G$3:$G$22-A112)*(Calc!$G$3:$G$22&gt;B112)*(Calc!$G$3:$G$22-B112))</f>
        <v/>
      </c>
      <c r="L112">
        <f>SUMPRODUCT(Calc!$K$3:$K$22*(Calc!$G$3:$G$22&gt;A112)*(Calc!$G$3:$G$22-A112)*Calc!$G$3:$G$22)</f>
        <v/>
      </c>
      <c r="M112">
        <f>SUMPRODUCT(Calc!$K$3:$K$22*(Calc!$G$3:$G$22&gt;B112)*(Calc!$G$3:$G$22-B112)*Calc!$G$3:$G$22)</f>
        <v/>
      </c>
      <c r="N112">
        <f>SUMPRODUCT(Calc!$K$3:$K$22*(Calc!$G$3:$G$22&gt;A112)*(Calc!$G$3:$G$22-A112)*Calc!$I$3:$I$22)</f>
        <v/>
      </c>
      <c r="O112">
        <f>SUMPRODUCT(Calc!$K$3:$K$22*(Calc!$G$3:$G$22&gt;B112)*(Calc!$G$3:$G$22-B112)*Calc!$I$3:$I$22)</f>
        <v/>
      </c>
      <c r="P112">
        <f>I112-G112^2/k_n</f>
        <v/>
      </c>
      <c r="Q112">
        <f>J112-H112^2/k_n</f>
        <v/>
      </c>
      <c r="R112">
        <f>K112-G112*H112/k_n</f>
        <v/>
      </c>
      <c r="S112">
        <f>L112-LTP3!$D$3*G112/k_n</f>
        <v/>
      </c>
      <c r="T112">
        <f>M112-LTP3!$D$3*H112/k_n</f>
        <v/>
      </c>
      <c r="U112">
        <f>N112-G112*LTP3!$D$4/k_n</f>
        <v/>
      </c>
      <c r="V112">
        <f>O112-H112*LTP3!$D$4/k_n</f>
        <v/>
      </c>
      <c r="W112">
        <f>((LTP3!$D$5)*((P112)*(Q112)-(R112)*(R112))-(S112)*((S112)*(Q112)-(R112)*(T112))+(T112)*((S112)*(R112)-(P112)*(T112)))</f>
        <v/>
      </c>
      <c r="X112">
        <f>IF(ABS(W112)&gt;1E-12,((LTP3!$D$6)*((P112)*(Q112)-(R112)*(R112))-(S112)*((U112)*(Q112)-(R112)*(V112))+(T112)*((U112)*(R112)-(P112)*(V112)))/W112,0)</f>
        <v/>
      </c>
      <c r="Y112">
        <f>IF(ABS(W112)&gt;1E-12,((LTP3!$D$5)*((U112)*(Q112)-(R112)*(V112))-(LTP3!$D$6)*((S112)*(Q112)-(R112)*(T112))+(T112)*((S112)*(V112)-(U112)*(T112)))/W112,0)</f>
        <v/>
      </c>
      <c r="Z112">
        <f>IF(ABS(W112)&gt;1E-12,((LTP3!$D$5)*((P112)*(V112)-(U112)*(R112))-(S112)*((S112)*(V112)-(U112)*(T112))+(LTP3!$D$6)*((S112)*(R112)-(P112)*(T112)))/W112,0)</f>
        <v/>
      </c>
      <c r="AA112">
        <f>LTP3!$D$7-X112*LTP3!$D$6-Y112*U112-Z112*V112</f>
        <v/>
      </c>
      <c r="AB112">
        <f>IF(AND(F112,ABS(W112)&gt;1E-12,Y112&gt;0,Z112&gt;0),AA112,1E+300)</f>
        <v/>
      </c>
    </row>
    <row r="113">
      <c r="A113">
        <f>$B$3+$B$5*1</f>
        <v/>
      </c>
      <c r="B113">
        <f>$B$3+$B$5*40</f>
        <v/>
      </c>
      <c r="C113">
        <f>SUMPRODUCT(Calc!$K$3:$K$22*(Calc!$G$3:$G$22&lt;=A113))</f>
        <v/>
      </c>
      <c r="D113">
        <f>SUMPRODUCT(Calc!$K$3:$K$22*(Calc!$G$3:$G$22&gt;A113)*(Calc!$G$3:$G$22&lt;B113))</f>
        <v/>
      </c>
      <c r="E113">
        <f>SUMPRODUCT(Calc!$K$3:$K$22*(Calc!$G$3:$G$22&gt;=B113))</f>
        <v/>
      </c>
      <c r="F113">
        <f>AND(k_n&gt;=5,B113&gt;A113+1E-9,C113&gt;=2,D113&gt;=1,E113&gt;=2)</f>
        <v/>
      </c>
      <c r="G113">
        <f>SUMPRODUCT(Calc!$K$3:$K$22*(Calc!$G$3:$G$22&gt;A113)*(Calc!$G$3:$G$22-A113))</f>
        <v/>
      </c>
      <c r="H113">
        <f>SUMPRODUCT(Calc!$K$3:$K$22*(Calc!$G$3:$G$22&gt;B113)*(Calc!$G$3:$G$22-B113))</f>
        <v/>
      </c>
      <c r="I113">
        <f>SUMPRODUCT(Calc!$K$3:$K$22*(Calc!$G$3:$G$22&gt;A113)*(Calc!$G$3:$G$22-A113)^2)</f>
        <v/>
      </c>
      <c r="J113">
        <f>SUMPRODUCT(Calc!$K$3:$K$22*(Calc!$G$3:$G$22&gt;B113)*(Calc!$G$3:$G$22-B113)^2)</f>
        <v/>
      </c>
      <c r="K113">
        <f>SUMPRODUCT(Calc!$K$3:$K$22*(Calc!$G$3:$G$22&gt;A113)*(Calc!$G$3:$G$22-A113)*(Calc!$G$3:$G$22&gt;B113)*(Calc!$G$3:$G$22-B113))</f>
        <v/>
      </c>
      <c r="L113">
        <f>SUMPRODUCT(Calc!$K$3:$K$22*(Calc!$G$3:$G$22&gt;A113)*(Calc!$G$3:$G$22-A113)*Calc!$G$3:$G$22)</f>
        <v/>
      </c>
      <c r="M113">
        <f>SUMPRODUCT(Calc!$K$3:$K$22*(Calc!$G$3:$G$22&gt;B113)*(Calc!$G$3:$G$22-B113)*Calc!$G$3:$G$22)</f>
        <v/>
      </c>
      <c r="N113">
        <f>SUMPRODUCT(Calc!$K$3:$K$22*(Calc!$G$3:$G$22&gt;A113)*(Calc!$G$3:$G$22-A113)*Calc!$I$3:$I$22)</f>
        <v/>
      </c>
      <c r="O113">
        <f>SUMPRODUCT(Calc!$K$3:$K$22*(Calc!$G$3:$G$22&gt;B113)*(Calc!$G$3:$G$22-B113)*Calc!$I$3:$I$22)</f>
        <v/>
      </c>
      <c r="P113">
        <f>I113-G113^2/k_n</f>
        <v/>
      </c>
      <c r="Q113">
        <f>J113-H113^2/k_n</f>
        <v/>
      </c>
      <c r="R113">
        <f>K113-G113*H113/k_n</f>
        <v/>
      </c>
      <c r="S113">
        <f>L113-LTP3!$D$3*G113/k_n</f>
        <v/>
      </c>
      <c r="T113">
        <f>M113-LTP3!$D$3*H113/k_n</f>
        <v/>
      </c>
      <c r="U113">
        <f>N113-G113*LTP3!$D$4/k_n</f>
        <v/>
      </c>
      <c r="V113">
        <f>O113-H113*LTP3!$D$4/k_n</f>
        <v/>
      </c>
      <c r="W113">
        <f>((LTP3!$D$5)*((P113)*(Q113)-(R113)*(R113))-(S113)*((S113)*(Q113)-(R113)*(T113))+(T113)*((S113)*(R113)-(P113)*(T113)))</f>
        <v/>
      </c>
      <c r="X113">
        <f>IF(ABS(W113)&gt;1E-12,((LTP3!$D$6)*((P113)*(Q113)-(R113)*(R113))-(S113)*((U113)*(Q113)-(R113)*(V113))+(T113)*((U113)*(R113)-(P113)*(V113)))/W113,0)</f>
        <v/>
      </c>
      <c r="Y113">
        <f>IF(ABS(W113)&gt;1E-12,((LTP3!$D$5)*((U113)*(Q113)-(R113)*(V113))-(LTP3!$D$6)*((S113)*(Q113)-(R113)*(T113))+(T113)*((S113)*(V113)-(U113)*(T113)))/W113,0)</f>
        <v/>
      </c>
      <c r="Z113">
        <f>IF(ABS(W113)&gt;1E-12,((LTP3!$D$5)*((P113)*(V113)-(U113)*(R113))-(S113)*((S113)*(V113)-(U113)*(T113))+(LTP3!$D$6)*((S113)*(R113)-(P113)*(T113)))/W113,0)</f>
        <v/>
      </c>
      <c r="AA113">
        <f>LTP3!$D$7-X113*LTP3!$D$6-Y113*U113-Z113*V113</f>
        <v/>
      </c>
      <c r="AB113">
        <f>IF(AND(F113,ABS(W113)&gt;1E-12,Y113&gt;0,Z113&gt;0),AA113,1E+300)</f>
        <v/>
      </c>
    </row>
    <row r="114">
      <c r="A114">
        <f>$B$3+$B$5*1</f>
        <v/>
      </c>
      <c r="B114">
        <f>$B$3+$B$5*41</f>
        <v/>
      </c>
      <c r="C114">
        <f>SUMPRODUCT(Calc!$K$3:$K$22*(Calc!$G$3:$G$22&lt;=A114))</f>
        <v/>
      </c>
      <c r="D114">
        <f>SUMPRODUCT(Calc!$K$3:$K$22*(Calc!$G$3:$G$22&gt;A114)*(Calc!$G$3:$G$22&lt;B114))</f>
        <v/>
      </c>
      <c r="E114">
        <f>SUMPRODUCT(Calc!$K$3:$K$22*(Calc!$G$3:$G$22&gt;=B114))</f>
        <v/>
      </c>
      <c r="F114">
        <f>AND(k_n&gt;=5,B114&gt;A114+1E-9,C114&gt;=2,D114&gt;=1,E114&gt;=2)</f>
        <v/>
      </c>
      <c r="G114">
        <f>SUMPRODUCT(Calc!$K$3:$K$22*(Calc!$G$3:$G$22&gt;A114)*(Calc!$G$3:$G$22-A114))</f>
        <v/>
      </c>
      <c r="H114">
        <f>SUMPRODUCT(Calc!$K$3:$K$22*(Calc!$G$3:$G$22&gt;B114)*(Calc!$G$3:$G$22-B114))</f>
        <v/>
      </c>
      <c r="I114">
        <f>SUMPRODUCT(Calc!$K$3:$K$22*(Calc!$G$3:$G$22&gt;A114)*(Calc!$G$3:$G$22-A114)^2)</f>
        <v/>
      </c>
      <c r="J114">
        <f>SUMPRODUCT(Calc!$K$3:$K$22*(Calc!$G$3:$G$22&gt;B114)*(Calc!$G$3:$G$22-B114)^2)</f>
        <v/>
      </c>
      <c r="K114">
        <f>SUMPRODUCT(Calc!$K$3:$K$22*(Calc!$G$3:$G$22&gt;A114)*(Calc!$G$3:$G$22-A114)*(Calc!$G$3:$G$22&gt;B114)*(Calc!$G$3:$G$22-B114))</f>
        <v/>
      </c>
      <c r="L114">
        <f>SUMPRODUCT(Calc!$K$3:$K$22*(Calc!$G$3:$G$22&gt;A114)*(Calc!$G$3:$G$22-A114)*Calc!$G$3:$G$22)</f>
        <v/>
      </c>
      <c r="M114">
        <f>SUMPRODUCT(Calc!$K$3:$K$22*(Calc!$G$3:$G$22&gt;B114)*(Calc!$G$3:$G$22-B114)*Calc!$G$3:$G$22)</f>
        <v/>
      </c>
      <c r="N114">
        <f>SUMPRODUCT(Calc!$K$3:$K$22*(Calc!$G$3:$G$22&gt;A114)*(Calc!$G$3:$G$22-A114)*Calc!$I$3:$I$22)</f>
        <v/>
      </c>
      <c r="O114">
        <f>SUMPRODUCT(Calc!$K$3:$K$22*(Calc!$G$3:$G$22&gt;B114)*(Calc!$G$3:$G$22-B114)*Calc!$I$3:$I$22)</f>
        <v/>
      </c>
      <c r="P114">
        <f>I114-G114^2/k_n</f>
        <v/>
      </c>
      <c r="Q114">
        <f>J114-H114^2/k_n</f>
        <v/>
      </c>
      <c r="R114">
        <f>K114-G114*H114/k_n</f>
        <v/>
      </c>
      <c r="S114">
        <f>L114-LTP3!$D$3*G114/k_n</f>
        <v/>
      </c>
      <c r="T114">
        <f>M114-LTP3!$D$3*H114/k_n</f>
        <v/>
      </c>
      <c r="U114">
        <f>N114-G114*LTP3!$D$4/k_n</f>
        <v/>
      </c>
      <c r="V114">
        <f>O114-H114*LTP3!$D$4/k_n</f>
        <v/>
      </c>
      <c r="W114">
        <f>((LTP3!$D$5)*((P114)*(Q114)-(R114)*(R114))-(S114)*((S114)*(Q114)-(R114)*(T114))+(T114)*((S114)*(R114)-(P114)*(T114)))</f>
        <v/>
      </c>
      <c r="X114">
        <f>IF(ABS(W114)&gt;1E-12,((LTP3!$D$6)*((P114)*(Q114)-(R114)*(R114))-(S114)*((U114)*(Q114)-(R114)*(V114))+(T114)*((U114)*(R114)-(P114)*(V114)))/W114,0)</f>
        <v/>
      </c>
      <c r="Y114">
        <f>IF(ABS(W114)&gt;1E-12,((LTP3!$D$5)*((U114)*(Q114)-(R114)*(V114))-(LTP3!$D$6)*((S114)*(Q114)-(R114)*(T114))+(T114)*((S114)*(V114)-(U114)*(T114)))/W114,0)</f>
        <v/>
      </c>
      <c r="Z114">
        <f>IF(ABS(W114)&gt;1E-12,((LTP3!$D$5)*((P114)*(V114)-(U114)*(R114))-(S114)*((S114)*(V114)-(U114)*(T114))+(LTP3!$D$6)*((S114)*(R114)-(P114)*(T114)))/W114,0)</f>
        <v/>
      </c>
      <c r="AA114">
        <f>LTP3!$D$7-X114*LTP3!$D$6-Y114*U114-Z114*V114</f>
        <v/>
      </c>
      <c r="AB114">
        <f>IF(AND(F114,ABS(W114)&gt;1E-12,Y114&gt;0,Z114&gt;0),AA114,1E+300)</f>
        <v/>
      </c>
    </row>
    <row r="115">
      <c r="A115">
        <f>$B$3+$B$5*1</f>
        <v/>
      </c>
      <c r="B115">
        <f>$B$3+$B$5*42</f>
        <v/>
      </c>
      <c r="C115">
        <f>SUMPRODUCT(Calc!$K$3:$K$22*(Calc!$G$3:$G$22&lt;=A115))</f>
        <v/>
      </c>
      <c r="D115">
        <f>SUMPRODUCT(Calc!$K$3:$K$22*(Calc!$G$3:$G$22&gt;A115)*(Calc!$G$3:$G$22&lt;B115))</f>
        <v/>
      </c>
      <c r="E115">
        <f>SUMPRODUCT(Calc!$K$3:$K$22*(Calc!$G$3:$G$22&gt;=B115))</f>
        <v/>
      </c>
      <c r="F115">
        <f>AND(k_n&gt;=5,B115&gt;A115+1E-9,C115&gt;=2,D115&gt;=1,E115&gt;=2)</f>
        <v/>
      </c>
      <c r="G115">
        <f>SUMPRODUCT(Calc!$K$3:$K$22*(Calc!$G$3:$G$22&gt;A115)*(Calc!$G$3:$G$22-A115))</f>
        <v/>
      </c>
      <c r="H115">
        <f>SUMPRODUCT(Calc!$K$3:$K$22*(Calc!$G$3:$G$22&gt;B115)*(Calc!$G$3:$G$22-B115))</f>
        <v/>
      </c>
      <c r="I115">
        <f>SUMPRODUCT(Calc!$K$3:$K$22*(Calc!$G$3:$G$22&gt;A115)*(Calc!$G$3:$G$22-A115)^2)</f>
        <v/>
      </c>
      <c r="J115">
        <f>SUMPRODUCT(Calc!$K$3:$K$22*(Calc!$G$3:$G$22&gt;B115)*(Calc!$G$3:$G$22-B115)^2)</f>
        <v/>
      </c>
      <c r="K115">
        <f>SUMPRODUCT(Calc!$K$3:$K$22*(Calc!$G$3:$G$22&gt;A115)*(Calc!$G$3:$G$22-A115)*(Calc!$G$3:$G$22&gt;B115)*(Calc!$G$3:$G$22-B115))</f>
        <v/>
      </c>
      <c r="L115">
        <f>SUMPRODUCT(Calc!$K$3:$K$22*(Calc!$G$3:$G$22&gt;A115)*(Calc!$G$3:$G$22-A115)*Calc!$G$3:$G$22)</f>
        <v/>
      </c>
      <c r="M115">
        <f>SUMPRODUCT(Calc!$K$3:$K$22*(Calc!$G$3:$G$22&gt;B115)*(Calc!$G$3:$G$22-B115)*Calc!$G$3:$G$22)</f>
        <v/>
      </c>
      <c r="N115">
        <f>SUMPRODUCT(Calc!$K$3:$K$22*(Calc!$G$3:$G$22&gt;A115)*(Calc!$G$3:$G$22-A115)*Calc!$I$3:$I$22)</f>
        <v/>
      </c>
      <c r="O115">
        <f>SUMPRODUCT(Calc!$K$3:$K$22*(Calc!$G$3:$G$22&gt;B115)*(Calc!$G$3:$G$22-B115)*Calc!$I$3:$I$22)</f>
        <v/>
      </c>
      <c r="P115">
        <f>I115-G115^2/k_n</f>
        <v/>
      </c>
      <c r="Q115">
        <f>J115-H115^2/k_n</f>
        <v/>
      </c>
      <c r="R115">
        <f>K115-G115*H115/k_n</f>
        <v/>
      </c>
      <c r="S115">
        <f>L115-LTP3!$D$3*G115/k_n</f>
        <v/>
      </c>
      <c r="T115">
        <f>M115-LTP3!$D$3*H115/k_n</f>
        <v/>
      </c>
      <c r="U115">
        <f>N115-G115*LTP3!$D$4/k_n</f>
        <v/>
      </c>
      <c r="V115">
        <f>O115-H115*LTP3!$D$4/k_n</f>
        <v/>
      </c>
      <c r="W115">
        <f>((LTP3!$D$5)*((P115)*(Q115)-(R115)*(R115))-(S115)*((S115)*(Q115)-(R115)*(T115))+(T115)*((S115)*(R115)-(P115)*(T115)))</f>
        <v/>
      </c>
      <c r="X115">
        <f>IF(ABS(W115)&gt;1E-12,((LTP3!$D$6)*((P115)*(Q115)-(R115)*(R115))-(S115)*((U115)*(Q115)-(R115)*(V115))+(T115)*((U115)*(R115)-(P115)*(V115)))/W115,0)</f>
        <v/>
      </c>
      <c r="Y115">
        <f>IF(ABS(W115)&gt;1E-12,((LTP3!$D$5)*((U115)*(Q115)-(R115)*(V115))-(LTP3!$D$6)*((S115)*(Q115)-(R115)*(T115))+(T115)*((S115)*(V115)-(U115)*(T115)))/W115,0)</f>
        <v/>
      </c>
      <c r="Z115">
        <f>IF(ABS(W115)&gt;1E-12,((LTP3!$D$5)*((P115)*(V115)-(U115)*(R115))-(S115)*((S115)*(V115)-(U115)*(T115))+(LTP3!$D$6)*((S115)*(R115)-(P115)*(T115)))/W115,0)</f>
        <v/>
      </c>
      <c r="AA115">
        <f>LTP3!$D$7-X115*LTP3!$D$6-Y115*U115-Z115*V115</f>
        <v/>
      </c>
      <c r="AB115">
        <f>IF(AND(F115,ABS(W115)&gt;1E-12,Y115&gt;0,Z115&gt;0),AA115,1E+300)</f>
        <v/>
      </c>
    </row>
    <row r="116">
      <c r="A116">
        <f>$B$3+$B$5*1</f>
        <v/>
      </c>
      <c r="B116">
        <f>$B$3+$B$5*43</f>
        <v/>
      </c>
      <c r="C116">
        <f>SUMPRODUCT(Calc!$K$3:$K$22*(Calc!$G$3:$G$22&lt;=A116))</f>
        <v/>
      </c>
      <c r="D116">
        <f>SUMPRODUCT(Calc!$K$3:$K$22*(Calc!$G$3:$G$22&gt;A116)*(Calc!$G$3:$G$22&lt;B116))</f>
        <v/>
      </c>
      <c r="E116">
        <f>SUMPRODUCT(Calc!$K$3:$K$22*(Calc!$G$3:$G$22&gt;=B116))</f>
        <v/>
      </c>
      <c r="F116">
        <f>AND(k_n&gt;=5,B116&gt;A116+1E-9,C116&gt;=2,D116&gt;=1,E116&gt;=2)</f>
        <v/>
      </c>
      <c r="G116">
        <f>SUMPRODUCT(Calc!$K$3:$K$22*(Calc!$G$3:$G$22&gt;A116)*(Calc!$G$3:$G$22-A116))</f>
        <v/>
      </c>
      <c r="H116">
        <f>SUMPRODUCT(Calc!$K$3:$K$22*(Calc!$G$3:$G$22&gt;B116)*(Calc!$G$3:$G$22-B116))</f>
        <v/>
      </c>
      <c r="I116">
        <f>SUMPRODUCT(Calc!$K$3:$K$22*(Calc!$G$3:$G$22&gt;A116)*(Calc!$G$3:$G$22-A116)^2)</f>
        <v/>
      </c>
      <c r="J116">
        <f>SUMPRODUCT(Calc!$K$3:$K$22*(Calc!$G$3:$G$22&gt;B116)*(Calc!$G$3:$G$22-B116)^2)</f>
        <v/>
      </c>
      <c r="K116">
        <f>SUMPRODUCT(Calc!$K$3:$K$22*(Calc!$G$3:$G$22&gt;A116)*(Calc!$G$3:$G$22-A116)*(Calc!$G$3:$G$22&gt;B116)*(Calc!$G$3:$G$22-B116))</f>
        <v/>
      </c>
      <c r="L116">
        <f>SUMPRODUCT(Calc!$K$3:$K$22*(Calc!$G$3:$G$22&gt;A116)*(Calc!$G$3:$G$22-A116)*Calc!$G$3:$G$22)</f>
        <v/>
      </c>
      <c r="M116">
        <f>SUMPRODUCT(Calc!$K$3:$K$22*(Calc!$G$3:$G$22&gt;B116)*(Calc!$G$3:$G$22-B116)*Calc!$G$3:$G$22)</f>
        <v/>
      </c>
      <c r="N116">
        <f>SUMPRODUCT(Calc!$K$3:$K$22*(Calc!$G$3:$G$22&gt;A116)*(Calc!$G$3:$G$22-A116)*Calc!$I$3:$I$22)</f>
        <v/>
      </c>
      <c r="O116">
        <f>SUMPRODUCT(Calc!$K$3:$K$22*(Calc!$G$3:$G$22&gt;B116)*(Calc!$G$3:$G$22-B116)*Calc!$I$3:$I$22)</f>
        <v/>
      </c>
      <c r="P116">
        <f>I116-G116^2/k_n</f>
        <v/>
      </c>
      <c r="Q116">
        <f>J116-H116^2/k_n</f>
        <v/>
      </c>
      <c r="R116">
        <f>K116-G116*H116/k_n</f>
        <v/>
      </c>
      <c r="S116">
        <f>L116-LTP3!$D$3*G116/k_n</f>
        <v/>
      </c>
      <c r="T116">
        <f>M116-LTP3!$D$3*H116/k_n</f>
        <v/>
      </c>
      <c r="U116">
        <f>N116-G116*LTP3!$D$4/k_n</f>
        <v/>
      </c>
      <c r="V116">
        <f>O116-H116*LTP3!$D$4/k_n</f>
        <v/>
      </c>
      <c r="W116">
        <f>((LTP3!$D$5)*((P116)*(Q116)-(R116)*(R116))-(S116)*((S116)*(Q116)-(R116)*(T116))+(T116)*((S116)*(R116)-(P116)*(T116)))</f>
        <v/>
      </c>
      <c r="X116">
        <f>IF(ABS(W116)&gt;1E-12,((LTP3!$D$6)*((P116)*(Q116)-(R116)*(R116))-(S116)*((U116)*(Q116)-(R116)*(V116))+(T116)*((U116)*(R116)-(P116)*(V116)))/W116,0)</f>
        <v/>
      </c>
      <c r="Y116">
        <f>IF(ABS(W116)&gt;1E-12,((LTP3!$D$5)*((U116)*(Q116)-(R116)*(V116))-(LTP3!$D$6)*((S116)*(Q116)-(R116)*(T116))+(T116)*((S116)*(V116)-(U116)*(T116)))/W116,0)</f>
        <v/>
      </c>
      <c r="Z116">
        <f>IF(ABS(W116)&gt;1E-12,((LTP3!$D$5)*((P116)*(V116)-(U116)*(R116))-(S116)*((S116)*(V116)-(U116)*(T116))+(LTP3!$D$6)*((S116)*(R116)-(P116)*(T116)))/W116,0)</f>
        <v/>
      </c>
      <c r="AA116">
        <f>LTP3!$D$7-X116*LTP3!$D$6-Y116*U116-Z116*V116</f>
        <v/>
      </c>
      <c r="AB116">
        <f>IF(AND(F116,ABS(W116)&gt;1E-12,Y116&gt;0,Z116&gt;0),AA116,1E+300)</f>
        <v/>
      </c>
    </row>
    <row r="117">
      <c r="A117">
        <f>$B$3+$B$5*1</f>
        <v/>
      </c>
      <c r="B117">
        <f>$B$3+$B$5*44</f>
        <v/>
      </c>
      <c r="C117">
        <f>SUMPRODUCT(Calc!$K$3:$K$22*(Calc!$G$3:$G$22&lt;=A117))</f>
        <v/>
      </c>
      <c r="D117">
        <f>SUMPRODUCT(Calc!$K$3:$K$22*(Calc!$G$3:$G$22&gt;A117)*(Calc!$G$3:$G$22&lt;B117))</f>
        <v/>
      </c>
      <c r="E117">
        <f>SUMPRODUCT(Calc!$K$3:$K$22*(Calc!$G$3:$G$22&gt;=B117))</f>
        <v/>
      </c>
      <c r="F117">
        <f>AND(k_n&gt;=5,B117&gt;A117+1E-9,C117&gt;=2,D117&gt;=1,E117&gt;=2)</f>
        <v/>
      </c>
      <c r="G117">
        <f>SUMPRODUCT(Calc!$K$3:$K$22*(Calc!$G$3:$G$22&gt;A117)*(Calc!$G$3:$G$22-A117))</f>
        <v/>
      </c>
      <c r="H117">
        <f>SUMPRODUCT(Calc!$K$3:$K$22*(Calc!$G$3:$G$22&gt;B117)*(Calc!$G$3:$G$22-B117))</f>
        <v/>
      </c>
      <c r="I117">
        <f>SUMPRODUCT(Calc!$K$3:$K$22*(Calc!$G$3:$G$22&gt;A117)*(Calc!$G$3:$G$22-A117)^2)</f>
        <v/>
      </c>
      <c r="J117">
        <f>SUMPRODUCT(Calc!$K$3:$K$22*(Calc!$G$3:$G$22&gt;B117)*(Calc!$G$3:$G$22-B117)^2)</f>
        <v/>
      </c>
      <c r="K117">
        <f>SUMPRODUCT(Calc!$K$3:$K$22*(Calc!$G$3:$G$22&gt;A117)*(Calc!$G$3:$G$22-A117)*(Calc!$G$3:$G$22&gt;B117)*(Calc!$G$3:$G$22-B117))</f>
        <v/>
      </c>
      <c r="L117">
        <f>SUMPRODUCT(Calc!$K$3:$K$22*(Calc!$G$3:$G$22&gt;A117)*(Calc!$G$3:$G$22-A117)*Calc!$G$3:$G$22)</f>
        <v/>
      </c>
      <c r="M117">
        <f>SUMPRODUCT(Calc!$K$3:$K$22*(Calc!$G$3:$G$22&gt;B117)*(Calc!$G$3:$G$22-B117)*Calc!$G$3:$G$22)</f>
        <v/>
      </c>
      <c r="N117">
        <f>SUMPRODUCT(Calc!$K$3:$K$22*(Calc!$G$3:$G$22&gt;A117)*(Calc!$G$3:$G$22-A117)*Calc!$I$3:$I$22)</f>
        <v/>
      </c>
      <c r="O117">
        <f>SUMPRODUCT(Calc!$K$3:$K$22*(Calc!$G$3:$G$22&gt;B117)*(Calc!$G$3:$G$22-B117)*Calc!$I$3:$I$22)</f>
        <v/>
      </c>
      <c r="P117">
        <f>I117-G117^2/k_n</f>
        <v/>
      </c>
      <c r="Q117">
        <f>J117-H117^2/k_n</f>
        <v/>
      </c>
      <c r="R117">
        <f>K117-G117*H117/k_n</f>
        <v/>
      </c>
      <c r="S117">
        <f>L117-LTP3!$D$3*G117/k_n</f>
        <v/>
      </c>
      <c r="T117">
        <f>M117-LTP3!$D$3*H117/k_n</f>
        <v/>
      </c>
      <c r="U117">
        <f>N117-G117*LTP3!$D$4/k_n</f>
        <v/>
      </c>
      <c r="V117">
        <f>O117-H117*LTP3!$D$4/k_n</f>
        <v/>
      </c>
      <c r="W117">
        <f>((LTP3!$D$5)*((P117)*(Q117)-(R117)*(R117))-(S117)*((S117)*(Q117)-(R117)*(T117))+(T117)*((S117)*(R117)-(P117)*(T117)))</f>
        <v/>
      </c>
      <c r="X117">
        <f>IF(ABS(W117)&gt;1E-12,((LTP3!$D$6)*((P117)*(Q117)-(R117)*(R117))-(S117)*((U117)*(Q117)-(R117)*(V117))+(T117)*((U117)*(R117)-(P117)*(V117)))/W117,0)</f>
        <v/>
      </c>
      <c r="Y117">
        <f>IF(ABS(W117)&gt;1E-12,((LTP3!$D$5)*((U117)*(Q117)-(R117)*(V117))-(LTP3!$D$6)*((S117)*(Q117)-(R117)*(T117))+(T117)*((S117)*(V117)-(U117)*(T117)))/W117,0)</f>
        <v/>
      </c>
      <c r="Z117">
        <f>IF(ABS(W117)&gt;1E-12,((LTP3!$D$5)*((P117)*(V117)-(U117)*(R117))-(S117)*((S117)*(V117)-(U117)*(T117))+(LTP3!$D$6)*((S117)*(R117)-(P117)*(T117)))/W117,0)</f>
        <v/>
      </c>
      <c r="AA117">
        <f>LTP3!$D$7-X117*LTP3!$D$6-Y117*U117-Z117*V117</f>
        <v/>
      </c>
      <c r="AB117">
        <f>IF(AND(F117,ABS(W117)&gt;1E-12,Y117&gt;0,Z117&gt;0),AA117,1E+300)</f>
        <v/>
      </c>
    </row>
    <row r="118">
      <c r="A118">
        <f>$B$3+$B$5*1</f>
        <v/>
      </c>
      <c r="B118">
        <f>$B$3+$B$5*45</f>
        <v/>
      </c>
      <c r="C118">
        <f>SUMPRODUCT(Calc!$K$3:$K$22*(Calc!$G$3:$G$22&lt;=A118))</f>
        <v/>
      </c>
      <c r="D118">
        <f>SUMPRODUCT(Calc!$K$3:$K$22*(Calc!$G$3:$G$22&gt;A118)*(Calc!$G$3:$G$22&lt;B118))</f>
        <v/>
      </c>
      <c r="E118">
        <f>SUMPRODUCT(Calc!$K$3:$K$22*(Calc!$G$3:$G$22&gt;=B118))</f>
        <v/>
      </c>
      <c r="F118">
        <f>AND(k_n&gt;=5,B118&gt;A118+1E-9,C118&gt;=2,D118&gt;=1,E118&gt;=2)</f>
        <v/>
      </c>
      <c r="G118">
        <f>SUMPRODUCT(Calc!$K$3:$K$22*(Calc!$G$3:$G$22&gt;A118)*(Calc!$G$3:$G$22-A118))</f>
        <v/>
      </c>
      <c r="H118">
        <f>SUMPRODUCT(Calc!$K$3:$K$22*(Calc!$G$3:$G$22&gt;B118)*(Calc!$G$3:$G$22-B118))</f>
        <v/>
      </c>
      <c r="I118">
        <f>SUMPRODUCT(Calc!$K$3:$K$22*(Calc!$G$3:$G$22&gt;A118)*(Calc!$G$3:$G$22-A118)^2)</f>
        <v/>
      </c>
      <c r="J118">
        <f>SUMPRODUCT(Calc!$K$3:$K$22*(Calc!$G$3:$G$22&gt;B118)*(Calc!$G$3:$G$22-B118)^2)</f>
        <v/>
      </c>
      <c r="K118">
        <f>SUMPRODUCT(Calc!$K$3:$K$22*(Calc!$G$3:$G$22&gt;A118)*(Calc!$G$3:$G$22-A118)*(Calc!$G$3:$G$22&gt;B118)*(Calc!$G$3:$G$22-B118))</f>
        <v/>
      </c>
      <c r="L118">
        <f>SUMPRODUCT(Calc!$K$3:$K$22*(Calc!$G$3:$G$22&gt;A118)*(Calc!$G$3:$G$22-A118)*Calc!$G$3:$G$22)</f>
        <v/>
      </c>
      <c r="M118">
        <f>SUMPRODUCT(Calc!$K$3:$K$22*(Calc!$G$3:$G$22&gt;B118)*(Calc!$G$3:$G$22-B118)*Calc!$G$3:$G$22)</f>
        <v/>
      </c>
      <c r="N118">
        <f>SUMPRODUCT(Calc!$K$3:$K$22*(Calc!$G$3:$G$22&gt;A118)*(Calc!$G$3:$G$22-A118)*Calc!$I$3:$I$22)</f>
        <v/>
      </c>
      <c r="O118">
        <f>SUMPRODUCT(Calc!$K$3:$K$22*(Calc!$G$3:$G$22&gt;B118)*(Calc!$G$3:$G$22-B118)*Calc!$I$3:$I$22)</f>
        <v/>
      </c>
      <c r="P118">
        <f>I118-G118^2/k_n</f>
        <v/>
      </c>
      <c r="Q118">
        <f>J118-H118^2/k_n</f>
        <v/>
      </c>
      <c r="R118">
        <f>K118-G118*H118/k_n</f>
        <v/>
      </c>
      <c r="S118">
        <f>L118-LTP3!$D$3*G118/k_n</f>
        <v/>
      </c>
      <c r="T118">
        <f>M118-LTP3!$D$3*H118/k_n</f>
        <v/>
      </c>
      <c r="U118">
        <f>N118-G118*LTP3!$D$4/k_n</f>
        <v/>
      </c>
      <c r="V118">
        <f>O118-H118*LTP3!$D$4/k_n</f>
        <v/>
      </c>
      <c r="W118">
        <f>((LTP3!$D$5)*((P118)*(Q118)-(R118)*(R118))-(S118)*((S118)*(Q118)-(R118)*(T118))+(T118)*((S118)*(R118)-(P118)*(T118)))</f>
        <v/>
      </c>
      <c r="X118">
        <f>IF(ABS(W118)&gt;1E-12,((LTP3!$D$6)*((P118)*(Q118)-(R118)*(R118))-(S118)*((U118)*(Q118)-(R118)*(V118))+(T118)*((U118)*(R118)-(P118)*(V118)))/W118,0)</f>
        <v/>
      </c>
      <c r="Y118">
        <f>IF(ABS(W118)&gt;1E-12,((LTP3!$D$5)*((U118)*(Q118)-(R118)*(V118))-(LTP3!$D$6)*((S118)*(Q118)-(R118)*(T118))+(T118)*((S118)*(V118)-(U118)*(T118)))/W118,0)</f>
        <v/>
      </c>
      <c r="Z118">
        <f>IF(ABS(W118)&gt;1E-12,((LTP3!$D$5)*((P118)*(V118)-(U118)*(R118))-(S118)*((S118)*(V118)-(U118)*(T118))+(LTP3!$D$6)*((S118)*(R118)-(P118)*(T118)))/W118,0)</f>
        <v/>
      </c>
      <c r="AA118">
        <f>LTP3!$D$7-X118*LTP3!$D$6-Y118*U118-Z118*V118</f>
        <v/>
      </c>
      <c r="AB118">
        <f>IF(AND(F118,ABS(W118)&gt;1E-12,Y118&gt;0,Z118&gt;0),AA118,1E+300)</f>
        <v/>
      </c>
    </row>
    <row r="119">
      <c r="A119">
        <f>$B$3+$B$5*1</f>
        <v/>
      </c>
      <c r="B119">
        <f>$B$3+$B$5*46</f>
        <v/>
      </c>
      <c r="C119">
        <f>SUMPRODUCT(Calc!$K$3:$K$22*(Calc!$G$3:$G$22&lt;=A119))</f>
        <v/>
      </c>
      <c r="D119">
        <f>SUMPRODUCT(Calc!$K$3:$K$22*(Calc!$G$3:$G$22&gt;A119)*(Calc!$G$3:$G$22&lt;B119))</f>
        <v/>
      </c>
      <c r="E119">
        <f>SUMPRODUCT(Calc!$K$3:$K$22*(Calc!$G$3:$G$22&gt;=B119))</f>
        <v/>
      </c>
      <c r="F119">
        <f>AND(k_n&gt;=5,B119&gt;A119+1E-9,C119&gt;=2,D119&gt;=1,E119&gt;=2)</f>
        <v/>
      </c>
      <c r="G119">
        <f>SUMPRODUCT(Calc!$K$3:$K$22*(Calc!$G$3:$G$22&gt;A119)*(Calc!$G$3:$G$22-A119))</f>
        <v/>
      </c>
      <c r="H119">
        <f>SUMPRODUCT(Calc!$K$3:$K$22*(Calc!$G$3:$G$22&gt;B119)*(Calc!$G$3:$G$22-B119))</f>
        <v/>
      </c>
      <c r="I119">
        <f>SUMPRODUCT(Calc!$K$3:$K$22*(Calc!$G$3:$G$22&gt;A119)*(Calc!$G$3:$G$22-A119)^2)</f>
        <v/>
      </c>
      <c r="J119">
        <f>SUMPRODUCT(Calc!$K$3:$K$22*(Calc!$G$3:$G$22&gt;B119)*(Calc!$G$3:$G$22-B119)^2)</f>
        <v/>
      </c>
      <c r="K119">
        <f>SUMPRODUCT(Calc!$K$3:$K$22*(Calc!$G$3:$G$22&gt;A119)*(Calc!$G$3:$G$22-A119)*(Calc!$G$3:$G$22&gt;B119)*(Calc!$G$3:$G$22-B119))</f>
        <v/>
      </c>
      <c r="L119">
        <f>SUMPRODUCT(Calc!$K$3:$K$22*(Calc!$G$3:$G$22&gt;A119)*(Calc!$G$3:$G$22-A119)*Calc!$G$3:$G$22)</f>
        <v/>
      </c>
      <c r="M119">
        <f>SUMPRODUCT(Calc!$K$3:$K$22*(Calc!$G$3:$G$22&gt;B119)*(Calc!$G$3:$G$22-B119)*Calc!$G$3:$G$22)</f>
        <v/>
      </c>
      <c r="N119">
        <f>SUMPRODUCT(Calc!$K$3:$K$22*(Calc!$G$3:$G$22&gt;A119)*(Calc!$G$3:$G$22-A119)*Calc!$I$3:$I$22)</f>
        <v/>
      </c>
      <c r="O119">
        <f>SUMPRODUCT(Calc!$K$3:$K$22*(Calc!$G$3:$G$22&gt;B119)*(Calc!$G$3:$G$22-B119)*Calc!$I$3:$I$22)</f>
        <v/>
      </c>
      <c r="P119">
        <f>I119-G119^2/k_n</f>
        <v/>
      </c>
      <c r="Q119">
        <f>J119-H119^2/k_n</f>
        <v/>
      </c>
      <c r="R119">
        <f>K119-G119*H119/k_n</f>
        <v/>
      </c>
      <c r="S119">
        <f>L119-LTP3!$D$3*G119/k_n</f>
        <v/>
      </c>
      <c r="T119">
        <f>M119-LTP3!$D$3*H119/k_n</f>
        <v/>
      </c>
      <c r="U119">
        <f>N119-G119*LTP3!$D$4/k_n</f>
        <v/>
      </c>
      <c r="V119">
        <f>O119-H119*LTP3!$D$4/k_n</f>
        <v/>
      </c>
      <c r="W119">
        <f>((LTP3!$D$5)*((P119)*(Q119)-(R119)*(R119))-(S119)*((S119)*(Q119)-(R119)*(T119))+(T119)*((S119)*(R119)-(P119)*(T119)))</f>
        <v/>
      </c>
      <c r="X119">
        <f>IF(ABS(W119)&gt;1E-12,((LTP3!$D$6)*((P119)*(Q119)-(R119)*(R119))-(S119)*((U119)*(Q119)-(R119)*(V119))+(T119)*((U119)*(R119)-(P119)*(V119)))/W119,0)</f>
        <v/>
      </c>
      <c r="Y119">
        <f>IF(ABS(W119)&gt;1E-12,((LTP3!$D$5)*((U119)*(Q119)-(R119)*(V119))-(LTP3!$D$6)*((S119)*(Q119)-(R119)*(T119))+(T119)*((S119)*(V119)-(U119)*(T119)))/W119,0)</f>
        <v/>
      </c>
      <c r="Z119">
        <f>IF(ABS(W119)&gt;1E-12,((LTP3!$D$5)*((P119)*(V119)-(U119)*(R119))-(S119)*((S119)*(V119)-(U119)*(T119))+(LTP3!$D$6)*((S119)*(R119)-(P119)*(T119)))/W119,0)</f>
        <v/>
      </c>
      <c r="AA119">
        <f>LTP3!$D$7-X119*LTP3!$D$6-Y119*U119-Z119*V119</f>
        <v/>
      </c>
      <c r="AB119">
        <f>IF(AND(F119,ABS(W119)&gt;1E-12,Y119&gt;0,Z119&gt;0),AA119,1E+300)</f>
        <v/>
      </c>
    </row>
    <row r="120">
      <c r="A120">
        <f>$B$3+$B$5*1</f>
        <v/>
      </c>
      <c r="B120">
        <f>$B$3+$B$5*47</f>
        <v/>
      </c>
      <c r="C120">
        <f>SUMPRODUCT(Calc!$K$3:$K$22*(Calc!$G$3:$G$22&lt;=A120))</f>
        <v/>
      </c>
      <c r="D120">
        <f>SUMPRODUCT(Calc!$K$3:$K$22*(Calc!$G$3:$G$22&gt;A120)*(Calc!$G$3:$G$22&lt;B120))</f>
        <v/>
      </c>
      <c r="E120">
        <f>SUMPRODUCT(Calc!$K$3:$K$22*(Calc!$G$3:$G$22&gt;=B120))</f>
        <v/>
      </c>
      <c r="F120">
        <f>AND(k_n&gt;=5,B120&gt;A120+1E-9,C120&gt;=2,D120&gt;=1,E120&gt;=2)</f>
        <v/>
      </c>
      <c r="G120">
        <f>SUMPRODUCT(Calc!$K$3:$K$22*(Calc!$G$3:$G$22&gt;A120)*(Calc!$G$3:$G$22-A120))</f>
        <v/>
      </c>
      <c r="H120">
        <f>SUMPRODUCT(Calc!$K$3:$K$22*(Calc!$G$3:$G$22&gt;B120)*(Calc!$G$3:$G$22-B120))</f>
        <v/>
      </c>
      <c r="I120">
        <f>SUMPRODUCT(Calc!$K$3:$K$22*(Calc!$G$3:$G$22&gt;A120)*(Calc!$G$3:$G$22-A120)^2)</f>
        <v/>
      </c>
      <c r="J120">
        <f>SUMPRODUCT(Calc!$K$3:$K$22*(Calc!$G$3:$G$22&gt;B120)*(Calc!$G$3:$G$22-B120)^2)</f>
        <v/>
      </c>
      <c r="K120">
        <f>SUMPRODUCT(Calc!$K$3:$K$22*(Calc!$G$3:$G$22&gt;A120)*(Calc!$G$3:$G$22-A120)*(Calc!$G$3:$G$22&gt;B120)*(Calc!$G$3:$G$22-B120))</f>
        <v/>
      </c>
      <c r="L120">
        <f>SUMPRODUCT(Calc!$K$3:$K$22*(Calc!$G$3:$G$22&gt;A120)*(Calc!$G$3:$G$22-A120)*Calc!$G$3:$G$22)</f>
        <v/>
      </c>
      <c r="M120">
        <f>SUMPRODUCT(Calc!$K$3:$K$22*(Calc!$G$3:$G$22&gt;B120)*(Calc!$G$3:$G$22-B120)*Calc!$G$3:$G$22)</f>
        <v/>
      </c>
      <c r="N120">
        <f>SUMPRODUCT(Calc!$K$3:$K$22*(Calc!$G$3:$G$22&gt;A120)*(Calc!$G$3:$G$22-A120)*Calc!$I$3:$I$22)</f>
        <v/>
      </c>
      <c r="O120">
        <f>SUMPRODUCT(Calc!$K$3:$K$22*(Calc!$G$3:$G$22&gt;B120)*(Calc!$G$3:$G$22-B120)*Calc!$I$3:$I$22)</f>
        <v/>
      </c>
      <c r="P120">
        <f>I120-G120^2/k_n</f>
        <v/>
      </c>
      <c r="Q120">
        <f>J120-H120^2/k_n</f>
        <v/>
      </c>
      <c r="R120">
        <f>K120-G120*H120/k_n</f>
        <v/>
      </c>
      <c r="S120">
        <f>L120-LTP3!$D$3*G120/k_n</f>
        <v/>
      </c>
      <c r="T120">
        <f>M120-LTP3!$D$3*H120/k_n</f>
        <v/>
      </c>
      <c r="U120">
        <f>N120-G120*LTP3!$D$4/k_n</f>
        <v/>
      </c>
      <c r="V120">
        <f>O120-H120*LTP3!$D$4/k_n</f>
        <v/>
      </c>
      <c r="W120">
        <f>((LTP3!$D$5)*((P120)*(Q120)-(R120)*(R120))-(S120)*((S120)*(Q120)-(R120)*(T120))+(T120)*((S120)*(R120)-(P120)*(T120)))</f>
        <v/>
      </c>
      <c r="X120">
        <f>IF(ABS(W120)&gt;1E-12,((LTP3!$D$6)*((P120)*(Q120)-(R120)*(R120))-(S120)*((U120)*(Q120)-(R120)*(V120))+(T120)*((U120)*(R120)-(P120)*(V120)))/W120,0)</f>
        <v/>
      </c>
      <c r="Y120">
        <f>IF(ABS(W120)&gt;1E-12,((LTP3!$D$5)*((U120)*(Q120)-(R120)*(V120))-(LTP3!$D$6)*((S120)*(Q120)-(R120)*(T120))+(T120)*((S120)*(V120)-(U120)*(T120)))/W120,0)</f>
        <v/>
      </c>
      <c r="Z120">
        <f>IF(ABS(W120)&gt;1E-12,((LTP3!$D$5)*((P120)*(V120)-(U120)*(R120))-(S120)*((S120)*(V120)-(U120)*(T120))+(LTP3!$D$6)*((S120)*(R120)-(P120)*(T120)))/W120,0)</f>
        <v/>
      </c>
      <c r="AA120">
        <f>LTP3!$D$7-X120*LTP3!$D$6-Y120*U120-Z120*V120</f>
        <v/>
      </c>
      <c r="AB120">
        <f>IF(AND(F120,ABS(W120)&gt;1E-12,Y120&gt;0,Z120&gt;0),AA120,1E+300)</f>
        <v/>
      </c>
    </row>
    <row r="121">
      <c r="A121">
        <f>$B$3+$B$5*1</f>
        <v/>
      </c>
      <c r="B121">
        <f>$B$3+$B$5*48</f>
        <v/>
      </c>
      <c r="C121">
        <f>SUMPRODUCT(Calc!$K$3:$K$22*(Calc!$G$3:$G$22&lt;=A121))</f>
        <v/>
      </c>
      <c r="D121">
        <f>SUMPRODUCT(Calc!$K$3:$K$22*(Calc!$G$3:$G$22&gt;A121)*(Calc!$G$3:$G$22&lt;B121))</f>
        <v/>
      </c>
      <c r="E121">
        <f>SUMPRODUCT(Calc!$K$3:$K$22*(Calc!$G$3:$G$22&gt;=B121))</f>
        <v/>
      </c>
      <c r="F121">
        <f>AND(k_n&gt;=5,B121&gt;A121+1E-9,C121&gt;=2,D121&gt;=1,E121&gt;=2)</f>
        <v/>
      </c>
      <c r="G121">
        <f>SUMPRODUCT(Calc!$K$3:$K$22*(Calc!$G$3:$G$22&gt;A121)*(Calc!$G$3:$G$22-A121))</f>
        <v/>
      </c>
      <c r="H121">
        <f>SUMPRODUCT(Calc!$K$3:$K$22*(Calc!$G$3:$G$22&gt;B121)*(Calc!$G$3:$G$22-B121))</f>
        <v/>
      </c>
      <c r="I121">
        <f>SUMPRODUCT(Calc!$K$3:$K$22*(Calc!$G$3:$G$22&gt;A121)*(Calc!$G$3:$G$22-A121)^2)</f>
        <v/>
      </c>
      <c r="J121">
        <f>SUMPRODUCT(Calc!$K$3:$K$22*(Calc!$G$3:$G$22&gt;B121)*(Calc!$G$3:$G$22-B121)^2)</f>
        <v/>
      </c>
      <c r="K121">
        <f>SUMPRODUCT(Calc!$K$3:$K$22*(Calc!$G$3:$G$22&gt;A121)*(Calc!$G$3:$G$22-A121)*(Calc!$G$3:$G$22&gt;B121)*(Calc!$G$3:$G$22-B121))</f>
        <v/>
      </c>
      <c r="L121">
        <f>SUMPRODUCT(Calc!$K$3:$K$22*(Calc!$G$3:$G$22&gt;A121)*(Calc!$G$3:$G$22-A121)*Calc!$G$3:$G$22)</f>
        <v/>
      </c>
      <c r="M121">
        <f>SUMPRODUCT(Calc!$K$3:$K$22*(Calc!$G$3:$G$22&gt;B121)*(Calc!$G$3:$G$22-B121)*Calc!$G$3:$G$22)</f>
        <v/>
      </c>
      <c r="N121">
        <f>SUMPRODUCT(Calc!$K$3:$K$22*(Calc!$G$3:$G$22&gt;A121)*(Calc!$G$3:$G$22-A121)*Calc!$I$3:$I$22)</f>
        <v/>
      </c>
      <c r="O121">
        <f>SUMPRODUCT(Calc!$K$3:$K$22*(Calc!$G$3:$G$22&gt;B121)*(Calc!$G$3:$G$22-B121)*Calc!$I$3:$I$22)</f>
        <v/>
      </c>
      <c r="P121">
        <f>I121-G121^2/k_n</f>
        <v/>
      </c>
      <c r="Q121">
        <f>J121-H121^2/k_n</f>
        <v/>
      </c>
      <c r="R121">
        <f>K121-G121*H121/k_n</f>
        <v/>
      </c>
      <c r="S121">
        <f>L121-LTP3!$D$3*G121/k_n</f>
        <v/>
      </c>
      <c r="T121">
        <f>M121-LTP3!$D$3*H121/k_n</f>
        <v/>
      </c>
      <c r="U121">
        <f>N121-G121*LTP3!$D$4/k_n</f>
        <v/>
      </c>
      <c r="V121">
        <f>O121-H121*LTP3!$D$4/k_n</f>
        <v/>
      </c>
      <c r="W121">
        <f>((LTP3!$D$5)*((P121)*(Q121)-(R121)*(R121))-(S121)*((S121)*(Q121)-(R121)*(T121))+(T121)*((S121)*(R121)-(P121)*(T121)))</f>
        <v/>
      </c>
      <c r="X121">
        <f>IF(ABS(W121)&gt;1E-12,((LTP3!$D$6)*((P121)*(Q121)-(R121)*(R121))-(S121)*((U121)*(Q121)-(R121)*(V121))+(T121)*((U121)*(R121)-(P121)*(V121)))/W121,0)</f>
        <v/>
      </c>
      <c r="Y121">
        <f>IF(ABS(W121)&gt;1E-12,((LTP3!$D$5)*((U121)*(Q121)-(R121)*(V121))-(LTP3!$D$6)*((S121)*(Q121)-(R121)*(T121))+(T121)*((S121)*(V121)-(U121)*(T121)))/W121,0)</f>
        <v/>
      </c>
      <c r="Z121">
        <f>IF(ABS(W121)&gt;1E-12,((LTP3!$D$5)*((P121)*(V121)-(U121)*(R121))-(S121)*((S121)*(V121)-(U121)*(T121))+(LTP3!$D$6)*((S121)*(R121)-(P121)*(T121)))/W121,0)</f>
        <v/>
      </c>
      <c r="AA121">
        <f>LTP3!$D$7-X121*LTP3!$D$6-Y121*U121-Z121*V121</f>
        <v/>
      </c>
      <c r="AB121">
        <f>IF(AND(F121,ABS(W121)&gt;1E-12,Y121&gt;0,Z121&gt;0),AA121,1E+300)</f>
        <v/>
      </c>
    </row>
    <row r="122">
      <c r="A122">
        <f>$B$3+$B$5*1</f>
        <v/>
      </c>
      <c r="B122">
        <f>$B$3+$B$5*49</f>
        <v/>
      </c>
      <c r="C122">
        <f>SUMPRODUCT(Calc!$K$3:$K$22*(Calc!$G$3:$G$22&lt;=A122))</f>
        <v/>
      </c>
      <c r="D122">
        <f>SUMPRODUCT(Calc!$K$3:$K$22*(Calc!$G$3:$G$22&gt;A122)*(Calc!$G$3:$G$22&lt;B122))</f>
        <v/>
      </c>
      <c r="E122">
        <f>SUMPRODUCT(Calc!$K$3:$K$22*(Calc!$G$3:$G$22&gt;=B122))</f>
        <v/>
      </c>
      <c r="F122">
        <f>AND(k_n&gt;=5,B122&gt;A122+1E-9,C122&gt;=2,D122&gt;=1,E122&gt;=2)</f>
        <v/>
      </c>
      <c r="G122">
        <f>SUMPRODUCT(Calc!$K$3:$K$22*(Calc!$G$3:$G$22&gt;A122)*(Calc!$G$3:$G$22-A122))</f>
        <v/>
      </c>
      <c r="H122">
        <f>SUMPRODUCT(Calc!$K$3:$K$22*(Calc!$G$3:$G$22&gt;B122)*(Calc!$G$3:$G$22-B122))</f>
        <v/>
      </c>
      <c r="I122">
        <f>SUMPRODUCT(Calc!$K$3:$K$22*(Calc!$G$3:$G$22&gt;A122)*(Calc!$G$3:$G$22-A122)^2)</f>
        <v/>
      </c>
      <c r="J122">
        <f>SUMPRODUCT(Calc!$K$3:$K$22*(Calc!$G$3:$G$22&gt;B122)*(Calc!$G$3:$G$22-B122)^2)</f>
        <v/>
      </c>
      <c r="K122">
        <f>SUMPRODUCT(Calc!$K$3:$K$22*(Calc!$G$3:$G$22&gt;A122)*(Calc!$G$3:$G$22-A122)*(Calc!$G$3:$G$22&gt;B122)*(Calc!$G$3:$G$22-B122))</f>
        <v/>
      </c>
      <c r="L122">
        <f>SUMPRODUCT(Calc!$K$3:$K$22*(Calc!$G$3:$G$22&gt;A122)*(Calc!$G$3:$G$22-A122)*Calc!$G$3:$G$22)</f>
        <v/>
      </c>
      <c r="M122">
        <f>SUMPRODUCT(Calc!$K$3:$K$22*(Calc!$G$3:$G$22&gt;B122)*(Calc!$G$3:$G$22-B122)*Calc!$G$3:$G$22)</f>
        <v/>
      </c>
      <c r="N122">
        <f>SUMPRODUCT(Calc!$K$3:$K$22*(Calc!$G$3:$G$22&gt;A122)*(Calc!$G$3:$G$22-A122)*Calc!$I$3:$I$22)</f>
        <v/>
      </c>
      <c r="O122">
        <f>SUMPRODUCT(Calc!$K$3:$K$22*(Calc!$G$3:$G$22&gt;B122)*(Calc!$G$3:$G$22-B122)*Calc!$I$3:$I$22)</f>
        <v/>
      </c>
      <c r="P122">
        <f>I122-G122^2/k_n</f>
        <v/>
      </c>
      <c r="Q122">
        <f>J122-H122^2/k_n</f>
        <v/>
      </c>
      <c r="R122">
        <f>K122-G122*H122/k_n</f>
        <v/>
      </c>
      <c r="S122">
        <f>L122-LTP3!$D$3*G122/k_n</f>
        <v/>
      </c>
      <c r="T122">
        <f>M122-LTP3!$D$3*H122/k_n</f>
        <v/>
      </c>
      <c r="U122">
        <f>N122-G122*LTP3!$D$4/k_n</f>
        <v/>
      </c>
      <c r="V122">
        <f>O122-H122*LTP3!$D$4/k_n</f>
        <v/>
      </c>
      <c r="W122">
        <f>((LTP3!$D$5)*((P122)*(Q122)-(R122)*(R122))-(S122)*((S122)*(Q122)-(R122)*(T122))+(T122)*((S122)*(R122)-(P122)*(T122)))</f>
        <v/>
      </c>
      <c r="X122">
        <f>IF(ABS(W122)&gt;1E-12,((LTP3!$D$6)*((P122)*(Q122)-(R122)*(R122))-(S122)*((U122)*(Q122)-(R122)*(V122))+(T122)*((U122)*(R122)-(P122)*(V122)))/W122,0)</f>
        <v/>
      </c>
      <c r="Y122">
        <f>IF(ABS(W122)&gt;1E-12,((LTP3!$D$5)*((U122)*(Q122)-(R122)*(V122))-(LTP3!$D$6)*((S122)*(Q122)-(R122)*(T122))+(T122)*((S122)*(V122)-(U122)*(T122)))/W122,0)</f>
        <v/>
      </c>
      <c r="Z122">
        <f>IF(ABS(W122)&gt;1E-12,((LTP3!$D$5)*((P122)*(V122)-(U122)*(R122))-(S122)*((S122)*(V122)-(U122)*(T122))+(LTP3!$D$6)*((S122)*(R122)-(P122)*(T122)))/W122,0)</f>
        <v/>
      </c>
      <c r="AA122">
        <f>LTP3!$D$7-X122*LTP3!$D$6-Y122*U122-Z122*V122</f>
        <v/>
      </c>
      <c r="AB122">
        <f>IF(AND(F122,ABS(W122)&gt;1E-12,Y122&gt;0,Z122&gt;0),AA122,1E+300)</f>
        <v/>
      </c>
    </row>
    <row r="123">
      <c r="A123">
        <f>$B$3+$B$5*1</f>
        <v/>
      </c>
      <c r="B123">
        <f>$B$3+$B$5*50</f>
        <v/>
      </c>
      <c r="C123">
        <f>SUMPRODUCT(Calc!$K$3:$K$22*(Calc!$G$3:$G$22&lt;=A123))</f>
        <v/>
      </c>
      <c r="D123">
        <f>SUMPRODUCT(Calc!$K$3:$K$22*(Calc!$G$3:$G$22&gt;A123)*(Calc!$G$3:$G$22&lt;B123))</f>
        <v/>
      </c>
      <c r="E123">
        <f>SUMPRODUCT(Calc!$K$3:$K$22*(Calc!$G$3:$G$22&gt;=B123))</f>
        <v/>
      </c>
      <c r="F123">
        <f>AND(k_n&gt;=5,B123&gt;A123+1E-9,C123&gt;=2,D123&gt;=1,E123&gt;=2)</f>
        <v/>
      </c>
      <c r="G123">
        <f>SUMPRODUCT(Calc!$K$3:$K$22*(Calc!$G$3:$G$22&gt;A123)*(Calc!$G$3:$G$22-A123))</f>
        <v/>
      </c>
      <c r="H123">
        <f>SUMPRODUCT(Calc!$K$3:$K$22*(Calc!$G$3:$G$22&gt;B123)*(Calc!$G$3:$G$22-B123))</f>
        <v/>
      </c>
      <c r="I123">
        <f>SUMPRODUCT(Calc!$K$3:$K$22*(Calc!$G$3:$G$22&gt;A123)*(Calc!$G$3:$G$22-A123)^2)</f>
        <v/>
      </c>
      <c r="J123">
        <f>SUMPRODUCT(Calc!$K$3:$K$22*(Calc!$G$3:$G$22&gt;B123)*(Calc!$G$3:$G$22-B123)^2)</f>
        <v/>
      </c>
      <c r="K123">
        <f>SUMPRODUCT(Calc!$K$3:$K$22*(Calc!$G$3:$G$22&gt;A123)*(Calc!$G$3:$G$22-A123)*(Calc!$G$3:$G$22&gt;B123)*(Calc!$G$3:$G$22-B123))</f>
        <v/>
      </c>
      <c r="L123">
        <f>SUMPRODUCT(Calc!$K$3:$K$22*(Calc!$G$3:$G$22&gt;A123)*(Calc!$G$3:$G$22-A123)*Calc!$G$3:$G$22)</f>
        <v/>
      </c>
      <c r="M123">
        <f>SUMPRODUCT(Calc!$K$3:$K$22*(Calc!$G$3:$G$22&gt;B123)*(Calc!$G$3:$G$22-B123)*Calc!$G$3:$G$22)</f>
        <v/>
      </c>
      <c r="N123">
        <f>SUMPRODUCT(Calc!$K$3:$K$22*(Calc!$G$3:$G$22&gt;A123)*(Calc!$G$3:$G$22-A123)*Calc!$I$3:$I$22)</f>
        <v/>
      </c>
      <c r="O123">
        <f>SUMPRODUCT(Calc!$K$3:$K$22*(Calc!$G$3:$G$22&gt;B123)*(Calc!$G$3:$G$22-B123)*Calc!$I$3:$I$22)</f>
        <v/>
      </c>
      <c r="P123">
        <f>I123-G123^2/k_n</f>
        <v/>
      </c>
      <c r="Q123">
        <f>J123-H123^2/k_n</f>
        <v/>
      </c>
      <c r="R123">
        <f>K123-G123*H123/k_n</f>
        <v/>
      </c>
      <c r="S123">
        <f>L123-LTP3!$D$3*G123/k_n</f>
        <v/>
      </c>
      <c r="T123">
        <f>M123-LTP3!$D$3*H123/k_n</f>
        <v/>
      </c>
      <c r="U123">
        <f>N123-G123*LTP3!$D$4/k_n</f>
        <v/>
      </c>
      <c r="V123">
        <f>O123-H123*LTP3!$D$4/k_n</f>
        <v/>
      </c>
      <c r="W123">
        <f>((LTP3!$D$5)*((P123)*(Q123)-(R123)*(R123))-(S123)*((S123)*(Q123)-(R123)*(T123))+(T123)*((S123)*(R123)-(P123)*(T123)))</f>
        <v/>
      </c>
      <c r="X123">
        <f>IF(ABS(W123)&gt;1E-12,((LTP3!$D$6)*((P123)*(Q123)-(R123)*(R123))-(S123)*((U123)*(Q123)-(R123)*(V123))+(T123)*((U123)*(R123)-(P123)*(V123)))/W123,0)</f>
        <v/>
      </c>
      <c r="Y123">
        <f>IF(ABS(W123)&gt;1E-12,((LTP3!$D$5)*((U123)*(Q123)-(R123)*(V123))-(LTP3!$D$6)*((S123)*(Q123)-(R123)*(T123))+(T123)*((S123)*(V123)-(U123)*(T123)))/W123,0)</f>
        <v/>
      </c>
      <c r="Z123">
        <f>IF(ABS(W123)&gt;1E-12,((LTP3!$D$5)*((P123)*(V123)-(U123)*(R123))-(S123)*((S123)*(V123)-(U123)*(T123))+(LTP3!$D$6)*((S123)*(R123)-(P123)*(T123)))/W123,0)</f>
        <v/>
      </c>
      <c r="AA123">
        <f>LTP3!$D$7-X123*LTP3!$D$6-Y123*U123-Z123*V123</f>
        <v/>
      </c>
      <c r="AB123">
        <f>IF(AND(F123,ABS(W123)&gt;1E-12,Y123&gt;0,Z123&gt;0),AA123,1E+300)</f>
        <v/>
      </c>
    </row>
    <row r="124">
      <c r="A124">
        <f>$B$3+$B$5*1</f>
        <v/>
      </c>
      <c r="B124">
        <f>$B$3+$B$5*51</f>
        <v/>
      </c>
      <c r="C124">
        <f>SUMPRODUCT(Calc!$K$3:$K$22*(Calc!$G$3:$G$22&lt;=A124))</f>
        <v/>
      </c>
      <c r="D124">
        <f>SUMPRODUCT(Calc!$K$3:$K$22*(Calc!$G$3:$G$22&gt;A124)*(Calc!$G$3:$G$22&lt;B124))</f>
        <v/>
      </c>
      <c r="E124">
        <f>SUMPRODUCT(Calc!$K$3:$K$22*(Calc!$G$3:$G$22&gt;=B124))</f>
        <v/>
      </c>
      <c r="F124">
        <f>AND(k_n&gt;=5,B124&gt;A124+1E-9,C124&gt;=2,D124&gt;=1,E124&gt;=2)</f>
        <v/>
      </c>
      <c r="G124">
        <f>SUMPRODUCT(Calc!$K$3:$K$22*(Calc!$G$3:$G$22&gt;A124)*(Calc!$G$3:$G$22-A124))</f>
        <v/>
      </c>
      <c r="H124">
        <f>SUMPRODUCT(Calc!$K$3:$K$22*(Calc!$G$3:$G$22&gt;B124)*(Calc!$G$3:$G$22-B124))</f>
        <v/>
      </c>
      <c r="I124">
        <f>SUMPRODUCT(Calc!$K$3:$K$22*(Calc!$G$3:$G$22&gt;A124)*(Calc!$G$3:$G$22-A124)^2)</f>
        <v/>
      </c>
      <c r="J124">
        <f>SUMPRODUCT(Calc!$K$3:$K$22*(Calc!$G$3:$G$22&gt;B124)*(Calc!$G$3:$G$22-B124)^2)</f>
        <v/>
      </c>
      <c r="K124">
        <f>SUMPRODUCT(Calc!$K$3:$K$22*(Calc!$G$3:$G$22&gt;A124)*(Calc!$G$3:$G$22-A124)*(Calc!$G$3:$G$22&gt;B124)*(Calc!$G$3:$G$22-B124))</f>
        <v/>
      </c>
      <c r="L124">
        <f>SUMPRODUCT(Calc!$K$3:$K$22*(Calc!$G$3:$G$22&gt;A124)*(Calc!$G$3:$G$22-A124)*Calc!$G$3:$G$22)</f>
        <v/>
      </c>
      <c r="M124">
        <f>SUMPRODUCT(Calc!$K$3:$K$22*(Calc!$G$3:$G$22&gt;B124)*(Calc!$G$3:$G$22-B124)*Calc!$G$3:$G$22)</f>
        <v/>
      </c>
      <c r="N124">
        <f>SUMPRODUCT(Calc!$K$3:$K$22*(Calc!$G$3:$G$22&gt;A124)*(Calc!$G$3:$G$22-A124)*Calc!$I$3:$I$22)</f>
        <v/>
      </c>
      <c r="O124">
        <f>SUMPRODUCT(Calc!$K$3:$K$22*(Calc!$G$3:$G$22&gt;B124)*(Calc!$G$3:$G$22-B124)*Calc!$I$3:$I$22)</f>
        <v/>
      </c>
      <c r="P124">
        <f>I124-G124^2/k_n</f>
        <v/>
      </c>
      <c r="Q124">
        <f>J124-H124^2/k_n</f>
        <v/>
      </c>
      <c r="R124">
        <f>K124-G124*H124/k_n</f>
        <v/>
      </c>
      <c r="S124">
        <f>L124-LTP3!$D$3*G124/k_n</f>
        <v/>
      </c>
      <c r="T124">
        <f>M124-LTP3!$D$3*H124/k_n</f>
        <v/>
      </c>
      <c r="U124">
        <f>N124-G124*LTP3!$D$4/k_n</f>
        <v/>
      </c>
      <c r="V124">
        <f>O124-H124*LTP3!$D$4/k_n</f>
        <v/>
      </c>
      <c r="W124">
        <f>((LTP3!$D$5)*((P124)*(Q124)-(R124)*(R124))-(S124)*((S124)*(Q124)-(R124)*(T124))+(T124)*((S124)*(R124)-(P124)*(T124)))</f>
        <v/>
      </c>
      <c r="X124">
        <f>IF(ABS(W124)&gt;1E-12,((LTP3!$D$6)*((P124)*(Q124)-(R124)*(R124))-(S124)*((U124)*(Q124)-(R124)*(V124))+(T124)*((U124)*(R124)-(P124)*(V124)))/W124,0)</f>
        <v/>
      </c>
      <c r="Y124">
        <f>IF(ABS(W124)&gt;1E-12,((LTP3!$D$5)*((U124)*(Q124)-(R124)*(V124))-(LTP3!$D$6)*((S124)*(Q124)-(R124)*(T124))+(T124)*((S124)*(V124)-(U124)*(T124)))/W124,0)</f>
        <v/>
      </c>
      <c r="Z124">
        <f>IF(ABS(W124)&gt;1E-12,((LTP3!$D$5)*((P124)*(V124)-(U124)*(R124))-(S124)*((S124)*(V124)-(U124)*(T124))+(LTP3!$D$6)*((S124)*(R124)-(P124)*(T124)))/W124,0)</f>
        <v/>
      </c>
      <c r="AA124">
        <f>LTP3!$D$7-X124*LTP3!$D$6-Y124*U124-Z124*V124</f>
        <v/>
      </c>
      <c r="AB124">
        <f>IF(AND(F124,ABS(W124)&gt;1E-12,Y124&gt;0,Z124&gt;0),AA124,1E+300)</f>
        <v/>
      </c>
    </row>
    <row r="125">
      <c r="A125">
        <f>$B$3+$B$5*1</f>
        <v/>
      </c>
      <c r="B125">
        <f>$B$3+$B$5*52</f>
        <v/>
      </c>
      <c r="C125">
        <f>SUMPRODUCT(Calc!$K$3:$K$22*(Calc!$G$3:$G$22&lt;=A125))</f>
        <v/>
      </c>
      <c r="D125">
        <f>SUMPRODUCT(Calc!$K$3:$K$22*(Calc!$G$3:$G$22&gt;A125)*(Calc!$G$3:$G$22&lt;B125))</f>
        <v/>
      </c>
      <c r="E125">
        <f>SUMPRODUCT(Calc!$K$3:$K$22*(Calc!$G$3:$G$22&gt;=B125))</f>
        <v/>
      </c>
      <c r="F125">
        <f>AND(k_n&gt;=5,B125&gt;A125+1E-9,C125&gt;=2,D125&gt;=1,E125&gt;=2)</f>
        <v/>
      </c>
      <c r="G125">
        <f>SUMPRODUCT(Calc!$K$3:$K$22*(Calc!$G$3:$G$22&gt;A125)*(Calc!$G$3:$G$22-A125))</f>
        <v/>
      </c>
      <c r="H125">
        <f>SUMPRODUCT(Calc!$K$3:$K$22*(Calc!$G$3:$G$22&gt;B125)*(Calc!$G$3:$G$22-B125))</f>
        <v/>
      </c>
      <c r="I125">
        <f>SUMPRODUCT(Calc!$K$3:$K$22*(Calc!$G$3:$G$22&gt;A125)*(Calc!$G$3:$G$22-A125)^2)</f>
        <v/>
      </c>
      <c r="J125">
        <f>SUMPRODUCT(Calc!$K$3:$K$22*(Calc!$G$3:$G$22&gt;B125)*(Calc!$G$3:$G$22-B125)^2)</f>
        <v/>
      </c>
      <c r="K125">
        <f>SUMPRODUCT(Calc!$K$3:$K$22*(Calc!$G$3:$G$22&gt;A125)*(Calc!$G$3:$G$22-A125)*(Calc!$G$3:$G$22&gt;B125)*(Calc!$G$3:$G$22-B125))</f>
        <v/>
      </c>
      <c r="L125">
        <f>SUMPRODUCT(Calc!$K$3:$K$22*(Calc!$G$3:$G$22&gt;A125)*(Calc!$G$3:$G$22-A125)*Calc!$G$3:$G$22)</f>
        <v/>
      </c>
      <c r="M125">
        <f>SUMPRODUCT(Calc!$K$3:$K$22*(Calc!$G$3:$G$22&gt;B125)*(Calc!$G$3:$G$22-B125)*Calc!$G$3:$G$22)</f>
        <v/>
      </c>
      <c r="N125">
        <f>SUMPRODUCT(Calc!$K$3:$K$22*(Calc!$G$3:$G$22&gt;A125)*(Calc!$G$3:$G$22-A125)*Calc!$I$3:$I$22)</f>
        <v/>
      </c>
      <c r="O125">
        <f>SUMPRODUCT(Calc!$K$3:$K$22*(Calc!$G$3:$G$22&gt;B125)*(Calc!$G$3:$G$22-B125)*Calc!$I$3:$I$22)</f>
        <v/>
      </c>
      <c r="P125">
        <f>I125-G125^2/k_n</f>
        <v/>
      </c>
      <c r="Q125">
        <f>J125-H125^2/k_n</f>
        <v/>
      </c>
      <c r="R125">
        <f>K125-G125*H125/k_n</f>
        <v/>
      </c>
      <c r="S125">
        <f>L125-LTP3!$D$3*G125/k_n</f>
        <v/>
      </c>
      <c r="T125">
        <f>M125-LTP3!$D$3*H125/k_n</f>
        <v/>
      </c>
      <c r="U125">
        <f>N125-G125*LTP3!$D$4/k_n</f>
        <v/>
      </c>
      <c r="V125">
        <f>O125-H125*LTP3!$D$4/k_n</f>
        <v/>
      </c>
      <c r="W125">
        <f>((LTP3!$D$5)*((P125)*(Q125)-(R125)*(R125))-(S125)*((S125)*(Q125)-(R125)*(T125))+(T125)*((S125)*(R125)-(P125)*(T125)))</f>
        <v/>
      </c>
      <c r="X125">
        <f>IF(ABS(W125)&gt;1E-12,((LTP3!$D$6)*((P125)*(Q125)-(R125)*(R125))-(S125)*((U125)*(Q125)-(R125)*(V125))+(T125)*((U125)*(R125)-(P125)*(V125)))/W125,0)</f>
        <v/>
      </c>
      <c r="Y125">
        <f>IF(ABS(W125)&gt;1E-12,((LTP3!$D$5)*((U125)*(Q125)-(R125)*(V125))-(LTP3!$D$6)*((S125)*(Q125)-(R125)*(T125))+(T125)*((S125)*(V125)-(U125)*(T125)))/W125,0)</f>
        <v/>
      </c>
      <c r="Z125">
        <f>IF(ABS(W125)&gt;1E-12,((LTP3!$D$5)*((P125)*(V125)-(U125)*(R125))-(S125)*((S125)*(V125)-(U125)*(T125))+(LTP3!$D$6)*((S125)*(R125)-(P125)*(T125)))/W125,0)</f>
        <v/>
      </c>
      <c r="AA125">
        <f>LTP3!$D$7-X125*LTP3!$D$6-Y125*U125-Z125*V125</f>
        <v/>
      </c>
      <c r="AB125">
        <f>IF(AND(F125,ABS(W125)&gt;1E-12,Y125&gt;0,Z125&gt;0),AA125,1E+300)</f>
        <v/>
      </c>
    </row>
    <row r="126">
      <c r="A126">
        <f>$B$3+$B$5*1</f>
        <v/>
      </c>
      <c r="B126">
        <f>$B$3+$B$5*53</f>
        <v/>
      </c>
      <c r="C126">
        <f>SUMPRODUCT(Calc!$K$3:$K$22*(Calc!$G$3:$G$22&lt;=A126))</f>
        <v/>
      </c>
      <c r="D126">
        <f>SUMPRODUCT(Calc!$K$3:$K$22*(Calc!$G$3:$G$22&gt;A126)*(Calc!$G$3:$G$22&lt;B126))</f>
        <v/>
      </c>
      <c r="E126">
        <f>SUMPRODUCT(Calc!$K$3:$K$22*(Calc!$G$3:$G$22&gt;=B126))</f>
        <v/>
      </c>
      <c r="F126">
        <f>AND(k_n&gt;=5,B126&gt;A126+1E-9,C126&gt;=2,D126&gt;=1,E126&gt;=2)</f>
        <v/>
      </c>
      <c r="G126">
        <f>SUMPRODUCT(Calc!$K$3:$K$22*(Calc!$G$3:$G$22&gt;A126)*(Calc!$G$3:$G$22-A126))</f>
        <v/>
      </c>
      <c r="H126">
        <f>SUMPRODUCT(Calc!$K$3:$K$22*(Calc!$G$3:$G$22&gt;B126)*(Calc!$G$3:$G$22-B126))</f>
        <v/>
      </c>
      <c r="I126">
        <f>SUMPRODUCT(Calc!$K$3:$K$22*(Calc!$G$3:$G$22&gt;A126)*(Calc!$G$3:$G$22-A126)^2)</f>
        <v/>
      </c>
      <c r="J126">
        <f>SUMPRODUCT(Calc!$K$3:$K$22*(Calc!$G$3:$G$22&gt;B126)*(Calc!$G$3:$G$22-B126)^2)</f>
        <v/>
      </c>
      <c r="K126">
        <f>SUMPRODUCT(Calc!$K$3:$K$22*(Calc!$G$3:$G$22&gt;A126)*(Calc!$G$3:$G$22-A126)*(Calc!$G$3:$G$22&gt;B126)*(Calc!$G$3:$G$22-B126))</f>
        <v/>
      </c>
      <c r="L126">
        <f>SUMPRODUCT(Calc!$K$3:$K$22*(Calc!$G$3:$G$22&gt;A126)*(Calc!$G$3:$G$22-A126)*Calc!$G$3:$G$22)</f>
        <v/>
      </c>
      <c r="M126">
        <f>SUMPRODUCT(Calc!$K$3:$K$22*(Calc!$G$3:$G$22&gt;B126)*(Calc!$G$3:$G$22-B126)*Calc!$G$3:$G$22)</f>
        <v/>
      </c>
      <c r="N126">
        <f>SUMPRODUCT(Calc!$K$3:$K$22*(Calc!$G$3:$G$22&gt;A126)*(Calc!$G$3:$G$22-A126)*Calc!$I$3:$I$22)</f>
        <v/>
      </c>
      <c r="O126">
        <f>SUMPRODUCT(Calc!$K$3:$K$22*(Calc!$G$3:$G$22&gt;B126)*(Calc!$G$3:$G$22-B126)*Calc!$I$3:$I$22)</f>
        <v/>
      </c>
      <c r="P126">
        <f>I126-G126^2/k_n</f>
        <v/>
      </c>
      <c r="Q126">
        <f>J126-H126^2/k_n</f>
        <v/>
      </c>
      <c r="R126">
        <f>K126-G126*H126/k_n</f>
        <v/>
      </c>
      <c r="S126">
        <f>L126-LTP3!$D$3*G126/k_n</f>
        <v/>
      </c>
      <c r="T126">
        <f>M126-LTP3!$D$3*H126/k_n</f>
        <v/>
      </c>
      <c r="U126">
        <f>N126-G126*LTP3!$D$4/k_n</f>
        <v/>
      </c>
      <c r="V126">
        <f>O126-H126*LTP3!$D$4/k_n</f>
        <v/>
      </c>
      <c r="W126">
        <f>((LTP3!$D$5)*((P126)*(Q126)-(R126)*(R126))-(S126)*((S126)*(Q126)-(R126)*(T126))+(T126)*((S126)*(R126)-(P126)*(T126)))</f>
        <v/>
      </c>
      <c r="X126">
        <f>IF(ABS(W126)&gt;1E-12,((LTP3!$D$6)*((P126)*(Q126)-(R126)*(R126))-(S126)*((U126)*(Q126)-(R126)*(V126))+(T126)*((U126)*(R126)-(P126)*(V126)))/W126,0)</f>
        <v/>
      </c>
      <c r="Y126">
        <f>IF(ABS(W126)&gt;1E-12,((LTP3!$D$5)*((U126)*(Q126)-(R126)*(V126))-(LTP3!$D$6)*((S126)*(Q126)-(R126)*(T126))+(T126)*((S126)*(V126)-(U126)*(T126)))/W126,0)</f>
        <v/>
      </c>
      <c r="Z126">
        <f>IF(ABS(W126)&gt;1E-12,((LTP3!$D$5)*((P126)*(V126)-(U126)*(R126))-(S126)*((S126)*(V126)-(U126)*(T126))+(LTP3!$D$6)*((S126)*(R126)-(P126)*(T126)))/W126,0)</f>
        <v/>
      </c>
      <c r="AA126">
        <f>LTP3!$D$7-X126*LTP3!$D$6-Y126*U126-Z126*V126</f>
        <v/>
      </c>
      <c r="AB126">
        <f>IF(AND(F126,ABS(W126)&gt;1E-12,Y126&gt;0,Z126&gt;0),AA126,1E+300)</f>
        <v/>
      </c>
    </row>
    <row r="127">
      <c r="A127">
        <f>$B$3+$B$5*1</f>
        <v/>
      </c>
      <c r="B127">
        <f>$B$3+$B$5*54</f>
        <v/>
      </c>
      <c r="C127">
        <f>SUMPRODUCT(Calc!$K$3:$K$22*(Calc!$G$3:$G$22&lt;=A127))</f>
        <v/>
      </c>
      <c r="D127">
        <f>SUMPRODUCT(Calc!$K$3:$K$22*(Calc!$G$3:$G$22&gt;A127)*(Calc!$G$3:$G$22&lt;B127))</f>
        <v/>
      </c>
      <c r="E127">
        <f>SUMPRODUCT(Calc!$K$3:$K$22*(Calc!$G$3:$G$22&gt;=B127))</f>
        <v/>
      </c>
      <c r="F127">
        <f>AND(k_n&gt;=5,B127&gt;A127+1E-9,C127&gt;=2,D127&gt;=1,E127&gt;=2)</f>
        <v/>
      </c>
      <c r="G127">
        <f>SUMPRODUCT(Calc!$K$3:$K$22*(Calc!$G$3:$G$22&gt;A127)*(Calc!$G$3:$G$22-A127))</f>
        <v/>
      </c>
      <c r="H127">
        <f>SUMPRODUCT(Calc!$K$3:$K$22*(Calc!$G$3:$G$22&gt;B127)*(Calc!$G$3:$G$22-B127))</f>
        <v/>
      </c>
      <c r="I127">
        <f>SUMPRODUCT(Calc!$K$3:$K$22*(Calc!$G$3:$G$22&gt;A127)*(Calc!$G$3:$G$22-A127)^2)</f>
        <v/>
      </c>
      <c r="J127">
        <f>SUMPRODUCT(Calc!$K$3:$K$22*(Calc!$G$3:$G$22&gt;B127)*(Calc!$G$3:$G$22-B127)^2)</f>
        <v/>
      </c>
      <c r="K127">
        <f>SUMPRODUCT(Calc!$K$3:$K$22*(Calc!$G$3:$G$22&gt;A127)*(Calc!$G$3:$G$22-A127)*(Calc!$G$3:$G$22&gt;B127)*(Calc!$G$3:$G$22-B127))</f>
        <v/>
      </c>
      <c r="L127">
        <f>SUMPRODUCT(Calc!$K$3:$K$22*(Calc!$G$3:$G$22&gt;A127)*(Calc!$G$3:$G$22-A127)*Calc!$G$3:$G$22)</f>
        <v/>
      </c>
      <c r="M127">
        <f>SUMPRODUCT(Calc!$K$3:$K$22*(Calc!$G$3:$G$22&gt;B127)*(Calc!$G$3:$G$22-B127)*Calc!$G$3:$G$22)</f>
        <v/>
      </c>
      <c r="N127">
        <f>SUMPRODUCT(Calc!$K$3:$K$22*(Calc!$G$3:$G$22&gt;A127)*(Calc!$G$3:$G$22-A127)*Calc!$I$3:$I$22)</f>
        <v/>
      </c>
      <c r="O127">
        <f>SUMPRODUCT(Calc!$K$3:$K$22*(Calc!$G$3:$G$22&gt;B127)*(Calc!$G$3:$G$22-B127)*Calc!$I$3:$I$22)</f>
        <v/>
      </c>
      <c r="P127">
        <f>I127-G127^2/k_n</f>
        <v/>
      </c>
      <c r="Q127">
        <f>J127-H127^2/k_n</f>
        <v/>
      </c>
      <c r="R127">
        <f>K127-G127*H127/k_n</f>
        <v/>
      </c>
      <c r="S127">
        <f>L127-LTP3!$D$3*G127/k_n</f>
        <v/>
      </c>
      <c r="T127">
        <f>M127-LTP3!$D$3*H127/k_n</f>
        <v/>
      </c>
      <c r="U127">
        <f>N127-G127*LTP3!$D$4/k_n</f>
        <v/>
      </c>
      <c r="V127">
        <f>O127-H127*LTP3!$D$4/k_n</f>
        <v/>
      </c>
      <c r="W127">
        <f>((LTP3!$D$5)*((P127)*(Q127)-(R127)*(R127))-(S127)*((S127)*(Q127)-(R127)*(T127))+(T127)*((S127)*(R127)-(P127)*(T127)))</f>
        <v/>
      </c>
      <c r="X127">
        <f>IF(ABS(W127)&gt;1E-12,((LTP3!$D$6)*((P127)*(Q127)-(R127)*(R127))-(S127)*((U127)*(Q127)-(R127)*(V127))+(T127)*((U127)*(R127)-(P127)*(V127)))/W127,0)</f>
        <v/>
      </c>
      <c r="Y127">
        <f>IF(ABS(W127)&gt;1E-12,((LTP3!$D$5)*((U127)*(Q127)-(R127)*(V127))-(LTP3!$D$6)*((S127)*(Q127)-(R127)*(T127))+(T127)*((S127)*(V127)-(U127)*(T127)))/W127,0)</f>
        <v/>
      </c>
      <c r="Z127">
        <f>IF(ABS(W127)&gt;1E-12,((LTP3!$D$5)*((P127)*(V127)-(U127)*(R127))-(S127)*((S127)*(V127)-(U127)*(T127))+(LTP3!$D$6)*((S127)*(R127)-(P127)*(T127)))/W127,0)</f>
        <v/>
      </c>
      <c r="AA127">
        <f>LTP3!$D$7-X127*LTP3!$D$6-Y127*U127-Z127*V127</f>
        <v/>
      </c>
      <c r="AB127">
        <f>IF(AND(F127,ABS(W127)&gt;1E-12,Y127&gt;0,Z127&gt;0),AA127,1E+300)</f>
        <v/>
      </c>
    </row>
    <row r="128">
      <c r="A128">
        <f>$B$3+$B$5*1</f>
        <v/>
      </c>
      <c r="B128">
        <f>$B$3+$B$5*55</f>
        <v/>
      </c>
      <c r="C128">
        <f>SUMPRODUCT(Calc!$K$3:$K$22*(Calc!$G$3:$G$22&lt;=A128))</f>
        <v/>
      </c>
      <c r="D128">
        <f>SUMPRODUCT(Calc!$K$3:$K$22*(Calc!$G$3:$G$22&gt;A128)*(Calc!$G$3:$G$22&lt;B128))</f>
        <v/>
      </c>
      <c r="E128">
        <f>SUMPRODUCT(Calc!$K$3:$K$22*(Calc!$G$3:$G$22&gt;=B128))</f>
        <v/>
      </c>
      <c r="F128">
        <f>AND(k_n&gt;=5,B128&gt;A128+1E-9,C128&gt;=2,D128&gt;=1,E128&gt;=2)</f>
        <v/>
      </c>
      <c r="G128">
        <f>SUMPRODUCT(Calc!$K$3:$K$22*(Calc!$G$3:$G$22&gt;A128)*(Calc!$G$3:$G$22-A128))</f>
        <v/>
      </c>
      <c r="H128">
        <f>SUMPRODUCT(Calc!$K$3:$K$22*(Calc!$G$3:$G$22&gt;B128)*(Calc!$G$3:$G$22-B128))</f>
        <v/>
      </c>
      <c r="I128">
        <f>SUMPRODUCT(Calc!$K$3:$K$22*(Calc!$G$3:$G$22&gt;A128)*(Calc!$G$3:$G$22-A128)^2)</f>
        <v/>
      </c>
      <c r="J128">
        <f>SUMPRODUCT(Calc!$K$3:$K$22*(Calc!$G$3:$G$22&gt;B128)*(Calc!$G$3:$G$22-B128)^2)</f>
        <v/>
      </c>
      <c r="K128">
        <f>SUMPRODUCT(Calc!$K$3:$K$22*(Calc!$G$3:$G$22&gt;A128)*(Calc!$G$3:$G$22-A128)*(Calc!$G$3:$G$22&gt;B128)*(Calc!$G$3:$G$22-B128))</f>
        <v/>
      </c>
      <c r="L128">
        <f>SUMPRODUCT(Calc!$K$3:$K$22*(Calc!$G$3:$G$22&gt;A128)*(Calc!$G$3:$G$22-A128)*Calc!$G$3:$G$22)</f>
        <v/>
      </c>
      <c r="M128">
        <f>SUMPRODUCT(Calc!$K$3:$K$22*(Calc!$G$3:$G$22&gt;B128)*(Calc!$G$3:$G$22-B128)*Calc!$G$3:$G$22)</f>
        <v/>
      </c>
      <c r="N128">
        <f>SUMPRODUCT(Calc!$K$3:$K$22*(Calc!$G$3:$G$22&gt;A128)*(Calc!$G$3:$G$22-A128)*Calc!$I$3:$I$22)</f>
        <v/>
      </c>
      <c r="O128">
        <f>SUMPRODUCT(Calc!$K$3:$K$22*(Calc!$G$3:$G$22&gt;B128)*(Calc!$G$3:$G$22-B128)*Calc!$I$3:$I$22)</f>
        <v/>
      </c>
      <c r="P128">
        <f>I128-G128^2/k_n</f>
        <v/>
      </c>
      <c r="Q128">
        <f>J128-H128^2/k_n</f>
        <v/>
      </c>
      <c r="R128">
        <f>K128-G128*H128/k_n</f>
        <v/>
      </c>
      <c r="S128">
        <f>L128-LTP3!$D$3*G128/k_n</f>
        <v/>
      </c>
      <c r="T128">
        <f>M128-LTP3!$D$3*H128/k_n</f>
        <v/>
      </c>
      <c r="U128">
        <f>N128-G128*LTP3!$D$4/k_n</f>
        <v/>
      </c>
      <c r="V128">
        <f>O128-H128*LTP3!$D$4/k_n</f>
        <v/>
      </c>
      <c r="W128">
        <f>((LTP3!$D$5)*((P128)*(Q128)-(R128)*(R128))-(S128)*((S128)*(Q128)-(R128)*(T128))+(T128)*((S128)*(R128)-(P128)*(T128)))</f>
        <v/>
      </c>
      <c r="X128">
        <f>IF(ABS(W128)&gt;1E-12,((LTP3!$D$6)*((P128)*(Q128)-(R128)*(R128))-(S128)*((U128)*(Q128)-(R128)*(V128))+(T128)*((U128)*(R128)-(P128)*(V128)))/W128,0)</f>
        <v/>
      </c>
      <c r="Y128">
        <f>IF(ABS(W128)&gt;1E-12,((LTP3!$D$5)*((U128)*(Q128)-(R128)*(V128))-(LTP3!$D$6)*((S128)*(Q128)-(R128)*(T128))+(T128)*((S128)*(V128)-(U128)*(T128)))/W128,0)</f>
        <v/>
      </c>
      <c r="Z128">
        <f>IF(ABS(W128)&gt;1E-12,((LTP3!$D$5)*((P128)*(V128)-(U128)*(R128))-(S128)*((S128)*(V128)-(U128)*(T128))+(LTP3!$D$6)*((S128)*(R128)-(P128)*(T128)))/W128,0)</f>
        <v/>
      </c>
      <c r="AA128">
        <f>LTP3!$D$7-X128*LTP3!$D$6-Y128*U128-Z128*V128</f>
        <v/>
      </c>
      <c r="AB128">
        <f>IF(AND(F128,ABS(W128)&gt;1E-12,Y128&gt;0,Z128&gt;0),AA128,1E+300)</f>
        <v/>
      </c>
    </row>
    <row r="129">
      <c r="A129">
        <f>$B$3+$B$5*1</f>
        <v/>
      </c>
      <c r="B129">
        <f>$B$3+$B$5*56</f>
        <v/>
      </c>
      <c r="C129">
        <f>SUMPRODUCT(Calc!$K$3:$K$22*(Calc!$G$3:$G$22&lt;=A129))</f>
        <v/>
      </c>
      <c r="D129">
        <f>SUMPRODUCT(Calc!$K$3:$K$22*(Calc!$G$3:$G$22&gt;A129)*(Calc!$G$3:$G$22&lt;B129))</f>
        <v/>
      </c>
      <c r="E129">
        <f>SUMPRODUCT(Calc!$K$3:$K$22*(Calc!$G$3:$G$22&gt;=B129))</f>
        <v/>
      </c>
      <c r="F129">
        <f>AND(k_n&gt;=5,B129&gt;A129+1E-9,C129&gt;=2,D129&gt;=1,E129&gt;=2)</f>
        <v/>
      </c>
      <c r="G129">
        <f>SUMPRODUCT(Calc!$K$3:$K$22*(Calc!$G$3:$G$22&gt;A129)*(Calc!$G$3:$G$22-A129))</f>
        <v/>
      </c>
      <c r="H129">
        <f>SUMPRODUCT(Calc!$K$3:$K$22*(Calc!$G$3:$G$22&gt;B129)*(Calc!$G$3:$G$22-B129))</f>
        <v/>
      </c>
      <c r="I129">
        <f>SUMPRODUCT(Calc!$K$3:$K$22*(Calc!$G$3:$G$22&gt;A129)*(Calc!$G$3:$G$22-A129)^2)</f>
        <v/>
      </c>
      <c r="J129">
        <f>SUMPRODUCT(Calc!$K$3:$K$22*(Calc!$G$3:$G$22&gt;B129)*(Calc!$G$3:$G$22-B129)^2)</f>
        <v/>
      </c>
      <c r="K129">
        <f>SUMPRODUCT(Calc!$K$3:$K$22*(Calc!$G$3:$G$22&gt;A129)*(Calc!$G$3:$G$22-A129)*(Calc!$G$3:$G$22&gt;B129)*(Calc!$G$3:$G$22-B129))</f>
        <v/>
      </c>
      <c r="L129">
        <f>SUMPRODUCT(Calc!$K$3:$K$22*(Calc!$G$3:$G$22&gt;A129)*(Calc!$G$3:$G$22-A129)*Calc!$G$3:$G$22)</f>
        <v/>
      </c>
      <c r="M129">
        <f>SUMPRODUCT(Calc!$K$3:$K$22*(Calc!$G$3:$G$22&gt;B129)*(Calc!$G$3:$G$22-B129)*Calc!$G$3:$G$22)</f>
        <v/>
      </c>
      <c r="N129">
        <f>SUMPRODUCT(Calc!$K$3:$K$22*(Calc!$G$3:$G$22&gt;A129)*(Calc!$G$3:$G$22-A129)*Calc!$I$3:$I$22)</f>
        <v/>
      </c>
      <c r="O129">
        <f>SUMPRODUCT(Calc!$K$3:$K$22*(Calc!$G$3:$G$22&gt;B129)*(Calc!$G$3:$G$22-B129)*Calc!$I$3:$I$22)</f>
        <v/>
      </c>
      <c r="P129">
        <f>I129-G129^2/k_n</f>
        <v/>
      </c>
      <c r="Q129">
        <f>J129-H129^2/k_n</f>
        <v/>
      </c>
      <c r="R129">
        <f>K129-G129*H129/k_n</f>
        <v/>
      </c>
      <c r="S129">
        <f>L129-LTP3!$D$3*G129/k_n</f>
        <v/>
      </c>
      <c r="T129">
        <f>M129-LTP3!$D$3*H129/k_n</f>
        <v/>
      </c>
      <c r="U129">
        <f>N129-G129*LTP3!$D$4/k_n</f>
        <v/>
      </c>
      <c r="V129">
        <f>O129-H129*LTP3!$D$4/k_n</f>
        <v/>
      </c>
      <c r="W129">
        <f>((LTP3!$D$5)*((P129)*(Q129)-(R129)*(R129))-(S129)*((S129)*(Q129)-(R129)*(T129))+(T129)*((S129)*(R129)-(P129)*(T129)))</f>
        <v/>
      </c>
      <c r="X129">
        <f>IF(ABS(W129)&gt;1E-12,((LTP3!$D$6)*((P129)*(Q129)-(R129)*(R129))-(S129)*((U129)*(Q129)-(R129)*(V129))+(T129)*((U129)*(R129)-(P129)*(V129)))/W129,0)</f>
        <v/>
      </c>
      <c r="Y129">
        <f>IF(ABS(W129)&gt;1E-12,((LTP3!$D$5)*((U129)*(Q129)-(R129)*(V129))-(LTP3!$D$6)*((S129)*(Q129)-(R129)*(T129))+(T129)*((S129)*(V129)-(U129)*(T129)))/W129,0)</f>
        <v/>
      </c>
      <c r="Z129">
        <f>IF(ABS(W129)&gt;1E-12,((LTP3!$D$5)*((P129)*(V129)-(U129)*(R129))-(S129)*((S129)*(V129)-(U129)*(T129))+(LTP3!$D$6)*((S129)*(R129)-(P129)*(T129)))/W129,0)</f>
        <v/>
      </c>
      <c r="AA129">
        <f>LTP3!$D$7-X129*LTP3!$D$6-Y129*U129-Z129*V129</f>
        <v/>
      </c>
      <c r="AB129">
        <f>IF(AND(F129,ABS(W129)&gt;1E-12,Y129&gt;0,Z129&gt;0),AA129,1E+300)</f>
        <v/>
      </c>
    </row>
    <row r="130">
      <c r="A130">
        <f>$B$3+$B$5*1</f>
        <v/>
      </c>
      <c r="B130">
        <f>$B$3+$B$5*57</f>
        <v/>
      </c>
      <c r="C130">
        <f>SUMPRODUCT(Calc!$K$3:$K$22*(Calc!$G$3:$G$22&lt;=A130))</f>
        <v/>
      </c>
      <c r="D130">
        <f>SUMPRODUCT(Calc!$K$3:$K$22*(Calc!$G$3:$G$22&gt;A130)*(Calc!$G$3:$G$22&lt;B130))</f>
        <v/>
      </c>
      <c r="E130">
        <f>SUMPRODUCT(Calc!$K$3:$K$22*(Calc!$G$3:$G$22&gt;=B130))</f>
        <v/>
      </c>
      <c r="F130">
        <f>AND(k_n&gt;=5,B130&gt;A130+1E-9,C130&gt;=2,D130&gt;=1,E130&gt;=2)</f>
        <v/>
      </c>
      <c r="G130">
        <f>SUMPRODUCT(Calc!$K$3:$K$22*(Calc!$G$3:$G$22&gt;A130)*(Calc!$G$3:$G$22-A130))</f>
        <v/>
      </c>
      <c r="H130">
        <f>SUMPRODUCT(Calc!$K$3:$K$22*(Calc!$G$3:$G$22&gt;B130)*(Calc!$G$3:$G$22-B130))</f>
        <v/>
      </c>
      <c r="I130">
        <f>SUMPRODUCT(Calc!$K$3:$K$22*(Calc!$G$3:$G$22&gt;A130)*(Calc!$G$3:$G$22-A130)^2)</f>
        <v/>
      </c>
      <c r="J130">
        <f>SUMPRODUCT(Calc!$K$3:$K$22*(Calc!$G$3:$G$22&gt;B130)*(Calc!$G$3:$G$22-B130)^2)</f>
        <v/>
      </c>
      <c r="K130">
        <f>SUMPRODUCT(Calc!$K$3:$K$22*(Calc!$G$3:$G$22&gt;A130)*(Calc!$G$3:$G$22-A130)*(Calc!$G$3:$G$22&gt;B130)*(Calc!$G$3:$G$22-B130))</f>
        <v/>
      </c>
      <c r="L130">
        <f>SUMPRODUCT(Calc!$K$3:$K$22*(Calc!$G$3:$G$22&gt;A130)*(Calc!$G$3:$G$22-A130)*Calc!$G$3:$G$22)</f>
        <v/>
      </c>
      <c r="M130">
        <f>SUMPRODUCT(Calc!$K$3:$K$22*(Calc!$G$3:$G$22&gt;B130)*(Calc!$G$3:$G$22-B130)*Calc!$G$3:$G$22)</f>
        <v/>
      </c>
      <c r="N130">
        <f>SUMPRODUCT(Calc!$K$3:$K$22*(Calc!$G$3:$G$22&gt;A130)*(Calc!$G$3:$G$22-A130)*Calc!$I$3:$I$22)</f>
        <v/>
      </c>
      <c r="O130">
        <f>SUMPRODUCT(Calc!$K$3:$K$22*(Calc!$G$3:$G$22&gt;B130)*(Calc!$G$3:$G$22-B130)*Calc!$I$3:$I$22)</f>
        <v/>
      </c>
      <c r="P130">
        <f>I130-G130^2/k_n</f>
        <v/>
      </c>
      <c r="Q130">
        <f>J130-H130^2/k_n</f>
        <v/>
      </c>
      <c r="R130">
        <f>K130-G130*H130/k_n</f>
        <v/>
      </c>
      <c r="S130">
        <f>L130-LTP3!$D$3*G130/k_n</f>
        <v/>
      </c>
      <c r="T130">
        <f>M130-LTP3!$D$3*H130/k_n</f>
        <v/>
      </c>
      <c r="U130">
        <f>N130-G130*LTP3!$D$4/k_n</f>
        <v/>
      </c>
      <c r="V130">
        <f>O130-H130*LTP3!$D$4/k_n</f>
        <v/>
      </c>
      <c r="W130">
        <f>((LTP3!$D$5)*((P130)*(Q130)-(R130)*(R130))-(S130)*((S130)*(Q130)-(R130)*(T130))+(T130)*((S130)*(R130)-(P130)*(T130)))</f>
        <v/>
      </c>
      <c r="X130">
        <f>IF(ABS(W130)&gt;1E-12,((LTP3!$D$6)*((P130)*(Q130)-(R130)*(R130))-(S130)*((U130)*(Q130)-(R130)*(V130))+(T130)*((U130)*(R130)-(P130)*(V130)))/W130,0)</f>
        <v/>
      </c>
      <c r="Y130">
        <f>IF(ABS(W130)&gt;1E-12,((LTP3!$D$5)*((U130)*(Q130)-(R130)*(V130))-(LTP3!$D$6)*((S130)*(Q130)-(R130)*(T130))+(T130)*((S130)*(V130)-(U130)*(T130)))/W130,0)</f>
        <v/>
      </c>
      <c r="Z130">
        <f>IF(ABS(W130)&gt;1E-12,((LTP3!$D$5)*((P130)*(V130)-(U130)*(R130))-(S130)*((S130)*(V130)-(U130)*(T130))+(LTP3!$D$6)*((S130)*(R130)-(P130)*(T130)))/W130,0)</f>
        <v/>
      </c>
      <c r="AA130">
        <f>LTP3!$D$7-X130*LTP3!$D$6-Y130*U130-Z130*V130</f>
        <v/>
      </c>
      <c r="AB130">
        <f>IF(AND(F130,ABS(W130)&gt;1E-12,Y130&gt;0,Z130&gt;0),AA130,1E+300)</f>
        <v/>
      </c>
    </row>
    <row r="131">
      <c r="A131">
        <f>$B$3+$B$5*1</f>
        <v/>
      </c>
      <c r="B131">
        <f>$B$3+$B$5*58</f>
        <v/>
      </c>
      <c r="C131">
        <f>SUMPRODUCT(Calc!$K$3:$K$22*(Calc!$G$3:$G$22&lt;=A131))</f>
        <v/>
      </c>
      <c r="D131">
        <f>SUMPRODUCT(Calc!$K$3:$K$22*(Calc!$G$3:$G$22&gt;A131)*(Calc!$G$3:$G$22&lt;B131))</f>
        <v/>
      </c>
      <c r="E131">
        <f>SUMPRODUCT(Calc!$K$3:$K$22*(Calc!$G$3:$G$22&gt;=B131))</f>
        <v/>
      </c>
      <c r="F131">
        <f>AND(k_n&gt;=5,B131&gt;A131+1E-9,C131&gt;=2,D131&gt;=1,E131&gt;=2)</f>
        <v/>
      </c>
      <c r="G131">
        <f>SUMPRODUCT(Calc!$K$3:$K$22*(Calc!$G$3:$G$22&gt;A131)*(Calc!$G$3:$G$22-A131))</f>
        <v/>
      </c>
      <c r="H131">
        <f>SUMPRODUCT(Calc!$K$3:$K$22*(Calc!$G$3:$G$22&gt;B131)*(Calc!$G$3:$G$22-B131))</f>
        <v/>
      </c>
      <c r="I131">
        <f>SUMPRODUCT(Calc!$K$3:$K$22*(Calc!$G$3:$G$22&gt;A131)*(Calc!$G$3:$G$22-A131)^2)</f>
        <v/>
      </c>
      <c r="J131">
        <f>SUMPRODUCT(Calc!$K$3:$K$22*(Calc!$G$3:$G$22&gt;B131)*(Calc!$G$3:$G$22-B131)^2)</f>
        <v/>
      </c>
      <c r="K131">
        <f>SUMPRODUCT(Calc!$K$3:$K$22*(Calc!$G$3:$G$22&gt;A131)*(Calc!$G$3:$G$22-A131)*(Calc!$G$3:$G$22&gt;B131)*(Calc!$G$3:$G$22-B131))</f>
        <v/>
      </c>
      <c r="L131">
        <f>SUMPRODUCT(Calc!$K$3:$K$22*(Calc!$G$3:$G$22&gt;A131)*(Calc!$G$3:$G$22-A131)*Calc!$G$3:$G$22)</f>
        <v/>
      </c>
      <c r="M131">
        <f>SUMPRODUCT(Calc!$K$3:$K$22*(Calc!$G$3:$G$22&gt;B131)*(Calc!$G$3:$G$22-B131)*Calc!$G$3:$G$22)</f>
        <v/>
      </c>
      <c r="N131">
        <f>SUMPRODUCT(Calc!$K$3:$K$22*(Calc!$G$3:$G$22&gt;A131)*(Calc!$G$3:$G$22-A131)*Calc!$I$3:$I$22)</f>
        <v/>
      </c>
      <c r="O131">
        <f>SUMPRODUCT(Calc!$K$3:$K$22*(Calc!$G$3:$G$22&gt;B131)*(Calc!$G$3:$G$22-B131)*Calc!$I$3:$I$22)</f>
        <v/>
      </c>
      <c r="P131">
        <f>I131-G131^2/k_n</f>
        <v/>
      </c>
      <c r="Q131">
        <f>J131-H131^2/k_n</f>
        <v/>
      </c>
      <c r="R131">
        <f>K131-G131*H131/k_n</f>
        <v/>
      </c>
      <c r="S131">
        <f>L131-LTP3!$D$3*G131/k_n</f>
        <v/>
      </c>
      <c r="T131">
        <f>M131-LTP3!$D$3*H131/k_n</f>
        <v/>
      </c>
      <c r="U131">
        <f>N131-G131*LTP3!$D$4/k_n</f>
        <v/>
      </c>
      <c r="V131">
        <f>O131-H131*LTP3!$D$4/k_n</f>
        <v/>
      </c>
      <c r="W131">
        <f>((LTP3!$D$5)*((P131)*(Q131)-(R131)*(R131))-(S131)*((S131)*(Q131)-(R131)*(T131))+(T131)*((S131)*(R131)-(P131)*(T131)))</f>
        <v/>
      </c>
      <c r="X131">
        <f>IF(ABS(W131)&gt;1E-12,((LTP3!$D$6)*((P131)*(Q131)-(R131)*(R131))-(S131)*((U131)*(Q131)-(R131)*(V131))+(T131)*((U131)*(R131)-(P131)*(V131)))/W131,0)</f>
        <v/>
      </c>
      <c r="Y131">
        <f>IF(ABS(W131)&gt;1E-12,((LTP3!$D$5)*((U131)*(Q131)-(R131)*(V131))-(LTP3!$D$6)*((S131)*(Q131)-(R131)*(T131))+(T131)*((S131)*(V131)-(U131)*(T131)))/W131,0)</f>
        <v/>
      </c>
      <c r="Z131">
        <f>IF(ABS(W131)&gt;1E-12,((LTP3!$D$5)*((P131)*(V131)-(U131)*(R131))-(S131)*((S131)*(V131)-(U131)*(T131))+(LTP3!$D$6)*((S131)*(R131)-(P131)*(T131)))/W131,0)</f>
        <v/>
      </c>
      <c r="AA131">
        <f>LTP3!$D$7-X131*LTP3!$D$6-Y131*U131-Z131*V131</f>
        <v/>
      </c>
      <c r="AB131">
        <f>IF(AND(F131,ABS(W131)&gt;1E-12,Y131&gt;0,Z131&gt;0),AA131,1E+300)</f>
        <v/>
      </c>
    </row>
    <row r="132">
      <c r="A132">
        <f>$B$3+$B$5*1</f>
        <v/>
      </c>
      <c r="B132">
        <f>$B$3+$B$5*59</f>
        <v/>
      </c>
      <c r="C132">
        <f>SUMPRODUCT(Calc!$K$3:$K$22*(Calc!$G$3:$G$22&lt;=A132))</f>
        <v/>
      </c>
      <c r="D132">
        <f>SUMPRODUCT(Calc!$K$3:$K$22*(Calc!$G$3:$G$22&gt;A132)*(Calc!$G$3:$G$22&lt;B132))</f>
        <v/>
      </c>
      <c r="E132">
        <f>SUMPRODUCT(Calc!$K$3:$K$22*(Calc!$G$3:$G$22&gt;=B132))</f>
        <v/>
      </c>
      <c r="F132">
        <f>AND(k_n&gt;=5,B132&gt;A132+1E-9,C132&gt;=2,D132&gt;=1,E132&gt;=2)</f>
        <v/>
      </c>
      <c r="G132">
        <f>SUMPRODUCT(Calc!$K$3:$K$22*(Calc!$G$3:$G$22&gt;A132)*(Calc!$G$3:$G$22-A132))</f>
        <v/>
      </c>
      <c r="H132">
        <f>SUMPRODUCT(Calc!$K$3:$K$22*(Calc!$G$3:$G$22&gt;B132)*(Calc!$G$3:$G$22-B132))</f>
        <v/>
      </c>
      <c r="I132">
        <f>SUMPRODUCT(Calc!$K$3:$K$22*(Calc!$G$3:$G$22&gt;A132)*(Calc!$G$3:$G$22-A132)^2)</f>
        <v/>
      </c>
      <c r="J132">
        <f>SUMPRODUCT(Calc!$K$3:$K$22*(Calc!$G$3:$G$22&gt;B132)*(Calc!$G$3:$G$22-B132)^2)</f>
        <v/>
      </c>
      <c r="K132">
        <f>SUMPRODUCT(Calc!$K$3:$K$22*(Calc!$G$3:$G$22&gt;A132)*(Calc!$G$3:$G$22-A132)*(Calc!$G$3:$G$22&gt;B132)*(Calc!$G$3:$G$22-B132))</f>
        <v/>
      </c>
      <c r="L132">
        <f>SUMPRODUCT(Calc!$K$3:$K$22*(Calc!$G$3:$G$22&gt;A132)*(Calc!$G$3:$G$22-A132)*Calc!$G$3:$G$22)</f>
        <v/>
      </c>
      <c r="M132">
        <f>SUMPRODUCT(Calc!$K$3:$K$22*(Calc!$G$3:$G$22&gt;B132)*(Calc!$G$3:$G$22-B132)*Calc!$G$3:$G$22)</f>
        <v/>
      </c>
      <c r="N132">
        <f>SUMPRODUCT(Calc!$K$3:$K$22*(Calc!$G$3:$G$22&gt;A132)*(Calc!$G$3:$G$22-A132)*Calc!$I$3:$I$22)</f>
        <v/>
      </c>
      <c r="O132">
        <f>SUMPRODUCT(Calc!$K$3:$K$22*(Calc!$G$3:$G$22&gt;B132)*(Calc!$G$3:$G$22-B132)*Calc!$I$3:$I$22)</f>
        <v/>
      </c>
      <c r="P132">
        <f>I132-G132^2/k_n</f>
        <v/>
      </c>
      <c r="Q132">
        <f>J132-H132^2/k_n</f>
        <v/>
      </c>
      <c r="R132">
        <f>K132-G132*H132/k_n</f>
        <v/>
      </c>
      <c r="S132">
        <f>L132-LTP3!$D$3*G132/k_n</f>
        <v/>
      </c>
      <c r="T132">
        <f>M132-LTP3!$D$3*H132/k_n</f>
        <v/>
      </c>
      <c r="U132">
        <f>N132-G132*LTP3!$D$4/k_n</f>
        <v/>
      </c>
      <c r="V132">
        <f>O132-H132*LTP3!$D$4/k_n</f>
        <v/>
      </c>
      <c r="W132">
        <f>((LTP3!$D$5)*((P132)*(Q132)-(R132)*(R132))-(S132)*((S132)*(Q132)-(R132)*(T132))+(T132)*((S132)*(R132)-(P132)*(T132)))</f>
        <v/>
      </c>
      <c r="X132">
        <f>IF(ABS(W132)&gt;1E-12,((LTP3!$D$6)*((P132)*(Q132)-(R132)*(R132))-(S132)*((U132)*(Q132)-(R132)*(V132))+(T132)*((U132)*(R132)-(P132)*(V132)))/W132,0)</f>
        <v/>
      </c>
      <c r="Y132">
        <f>IF(ABS(W132)&gt;1E-12,((LTP3!$D$5)*((U132)*(Q132)-(R132)*(V132))-(LTP3!$D$6)*((S132)*(Q132)-(R132)*(T132))+(T132)*((S132)*(V132)-(U132)*(T132)))/W132,0)</f>
        <v/>
      </c>
      <c r="Z132">
        <f>IF(ABS(W132)&gt;1E-12,((LTP3!$D$5)*((P132)*(V132)-(U132)*(R132))-(S132)*((S132)*(V132)-(U132)*(T132))+(LTP3!$D$6)*((S132)*(R132)-(P132)*(T132)))/W132,0)</f>
        <v/>
      </c>
      <c r="AA132">
        <f>LTP3!$D$7-X132*LTP3!$D$6-Y132*U132-Z132*V132</f>
        <v/>
      </c>
      <c r="AB132">
        <f>IF(AND(F132,ABS(W132)&gt;1E-12,Y132&gt;0,Z132&gt;0),AA132,1E+300)</f>
        <v/>
      </c>
    </row>
    <row r="133">
      <c r="A133">
        <f>$B$3+$B$5*1</f>
        <v/>
      </c>
      <c r="B133">
        <f>$B$3+$B$5*60</f>
        <v/>
      </c>
      <c r="C133">
        <f>SUMPRODUCT(Calc!$K$3:$K$22*(Calc!$G$3:$G$22&lt;=A133))</f>
        <v/>
      </c>
      <c r="D133">
        <f>SUMPRODUCT(Calc!$K$3:$K$22*(Calc!$G$3:$G$22&gt;A133)*(Calc!$G$3:$G$22&lt;B133))</f>
        <v/>
      </c>
      <c r="E133">
        <f>SUMPRODUCT(Calc!$K$3:$K$22*(Calc!$G$3:$G$22&gt;=B133))</f>
        <v/>
      </c>
      <c r="F133">
        <f>AND(k_n&gt;=5,B133&gt;A133+1E-9,C133&gt;=2,D133&gt;=1,E133&gt;=2)</f>
        <v/>
      </c>
      <c r="G133">
        <f>SUMPRODUCT(Calc!$K$3:$K$22*(Calc!$G$3:$G$22&gt;A133)*(Calc!$G$3:$G$22-A133))</f>
        <v/>
      </c>
      <c r="H133">
        <f>SUMPRODUCT(Calc!$K$3:$K$22*(Calc!$G$3:$G$22&gt;B133)*(Calc!$G$3:$G$22-B133))</f>
        <v/>
      </c>
      <c r="I133">
        <f>SUMPRODUCT(Calc!$K$3:$K$22*(Calc!$G$3:$G$22&gt;A133)*(Calc!$G$3:$G$22-A133)^2)</f>
        <v/>
      </c>
      <c r="J133">
        <f>SUMPRODUCT(Calc!$K$3:$K$22*(Calc!$G$3:$G$22&gt;B133)*(Calc!$G$3:$G$22-B133)^2)</f>
        <v/>
      </c>
      <c r="K133">
        <f>SUMPRODUCT(Calc!$K$3:$K$22*(Calc!$G$3:$G$22&gt;A133)*(Calc!$G$3:$G$22-A133)*(Calc!$G$3:$G$22&gt;B133)*(Calc!$G$3:$G$22-B133))</f>
        <v/>
      </c>
      <c r="L133">
        <f>SUMPRODUCT(Calc!$K$3:$K$22*(Calc!$G$3:$G$22&gt;A133)*(Calc!$G$3:$G$22-A133)*Calc!$G$3:$G$22)</f>
        <v/>
      </c>
      <c r="M133">
        <f>SUMPRODUCT(Calc!$K$3:$K$22*(Calc!$G$3:$G$22&gt;B133)*(Calc!$G$3:$G$22-B133)*Calc!$G$3:$G$22)</f>
        <v/>
      </c>
      <c r="N133">
        <f>SUMPRODUCT(Calc!$K$3:$K$22*(Calc!$G$3:$G$22&gt;A133)*(Calc!$G$3:$G$22-A133)*Calc!$I$3:$I$22)</f>
        <v/>
      </c>
      <c r="O133">
        <f>SUMPRODUCT(Calc!$K$3:$K$22*(Calc!$G$3:$G$22&gt;B133)*(Calc!$G$3:$G$22-B133)*Calc!$I$3:$I$22)</f>
        <v/>
      </c>
      <c r="P133">
        <f>I133-G133^2/k_n</f>
        <v/>
      </c>
      <c r="Q133">
        <f>J133-H133^2/k_n</f>
        <v/>
      </c>
      <c r="R133">
        <f>K133-G133*H133/k_n</f>
        <v/>
      </c>
      <c r="S133">
        <f>L133-LTP3!$D$3*G133/k_n</f>
        <v/>
      </c>
      <c r="T133">
        <f>M133-LTP3!$D$3*H133/k_n</f>
        <v/>
      </c>
      <c r="U133">
        <f>N133-G133*LTP3!$D$4/k_n</f>
        <v/>
      </c>
      <c r="V133">
        <f>O133-H133*LTP3!$D$4/k_n</f>
        <v/>
      </c>
      <c r="W133">
        <f>((LTP3!$D$5)*((P133)*(Q133)-(R133)*(R133))-(S133)*((S133)*(Q133)-(R133)*(T133))+(T133)*((S133)*(R133)-(P133)*(T133)))</f>
        <v/>
      </c>
      <c r="X133">
        <f>IF(ABS(W133)&gt;1E-12,((LTP3!$D$6)*((P133)*(Q133)-(R133)*(R133))-(S133)*((U133)*(Q133)-(R133)*(V133))+(T133)*((U133)*(R133)-(P133)*(V133)))/W133,0)</f>
        <v/>
      </c>
      <c r="Y133">
        <f>IF(ABS(W133)&gt;1E-12,((LTP3!$D$5)*((U133)*(Q133)-(R133)*(V133))-(LTP3!$D$6)*((S133)*(Q133)-(R133)*(T133))+(T133)*((S133)*(V133)-(U133)*(T133)))/W133,0)</f>
        <v/>
      </c>
      <c r="Z133">
        <f>IF(ABS(W133)&gt;1E-12,((LTP3!$D$5)*((P133)*(V133)-(U133)*(R133))-(S133)*((S133)*(V133)-(U133)*(T133))+(LTP3!$D$6)*((S133)*(R133)-(P133)*(T133)))/W133,0)</f>
        <v/>
      </c>
      <c r="AA133">
        <f>LTP3!$D$7-X133*LTP3!$D$6-Y133*U133-Z133*V133</f>
        <v/>
      </c>
      <c r="AB133">
        <f>IF(AND(F133,ABS(W133)&gt;1E-12,Y133&gt;0,Z133&gt;0),AA133,1E+300)</f>
        <v/>
      </c>
    </row>
    <row r="134">
      <c r="A134">
        <f>$B$3+$B$5*2</f>
        <v/>
      </c>
      <c r="B134">
        <f>$B$3+$B$5*0</f>
        <v/>
      </c>
      <c r="C134">
        <f>SUMPRODUCT(Calc!$K$3:$K$22*(Calc!$G$3:$G$22&lt;=A134))</f>
        <v/>
      </c>
      <c r="D134">
        <f>SUMPRODUCT(Calc!$K$3:$K$22*(Calc!$G$3:$G$22&gt;A134)*(Calc!$G$3:$G$22&lt;B134))</f>
        <v/>
      </c>
      <c r="E134">
        <f>SUMPRODUCT(Calc!$K$3:$K$22*(Calc!$G$3:$G$22&gt;=B134))</f>
        <v/>
      </c>
      <c r="F134">
        <f>AND(k_n&gt;=5,B134&gt;A134+1E-9,C134&gt;=2,D134&gt;=1,E134&gt;=2)</f>
        <v/>
      </c>
      <c r="G134">
        <f>SUMPRODUCT(Calc!$K$3:$K$22*(Calc!$G$3:$G$22&gt;A134)*(Calc!$G$3:$G$22-A134))</f>
        <v/>
      </c>
      <c r="H134">
        <f>SUMPRODUCT(Calc!$K$3:$K$22*(Calc!$G$3:$G$22&gt;B134)*(Calc!$G$3:$G$22-B134))</f>
        <v/>
      </c>
      <c r="I134">
        <f>SUMPRODUCT(Calc!$K$3:$K$22*(Calc!$G$3:$G$22&gt;A134)*(Calc!$G$3:$G$22-A134)^2)</f>
        <v/>
      </c>
      <c r="J134">
        <f>SUMPRODUCT(Calc!$K$3:$K$22*(Calc!$G$3:$G$22&gt;B134)*(Calc!$G$3:$G$22-B134)^2)</f>
        <v/>
      </c>
      <c r="K134">
        <f>SUMPRODUCT(Calc!$K$3:$K$22*(Calc!$G$3:$G$22&gt;A134)*(Calc!$G$3:$G$22-A134)*(Calc!$G$3:$G$22&gt;B134)*(Calc!$G$3:$G$22-B134))</f>
        <v/>
      </c>
      <c r="L134">
        <f>SUMPRODUCT(Calc!$K$3:$K$22*(Calc!$G$3:$G$22&gt;A134)*(Calc!$G$3:$G$22-A134)*Calc!$G$3:$G$22)</f>
        <v/>
      </c>
      <c r="M134">
        <f>SUMPRODUCT(Calc!$K$3:$K$22*(Calc!$G$3:$G$22&gt;B134)*(Calc!$G$3:$G$22-B134)*Calc!$G$3:$G$22)</f>
        <v/>
      </c>
      <c r="N134">
        <f>SUMPRODUCT(Calc!$K$3:$K$22*(Calc!$G$3:$G$22&gt;A134)*(Calc!$G$3:$G$22-A134)*Calc!$I$3:$I$22)</f>
        <v/>
      </c>
      <c r="O134">
        <f>SUMPRODUCT(Calc!$K$3:$K$22*(Calc!$G$3:$G$22&gt;B134)*(Calc!$G$3:$G$22-B134)*Calc!$I$3:$I$22)</f>
        <v/>
      </c>
      <c r="P134">
        <f>I134-G134^2/k_n</f>
        <v/>
      </c>
      <c r="Q134">
        <f>J134-H134^2/k_n</f>
        <v/>
      </c>
      <c r="R134">
        <f>K134-G134*H134/k_n</f>
        <v/>
      </c>
      <c r="S134">
        <f>L134-LTP3!$D$3*G134/k_n</f>
        <v/>
      </c>
      <c r="T134">
        <f>M134-LTP3!$D$3*H134/k_n</f>
        <v/>
      </c>
      <c r="U134">
        <f>N134-G134*LTP3!$D$4/k_n</f>
        <v/>
      </c>
      <c r="V134">
        <f>O134-H134*LTP3!$D$4/k_n</f>
        <v/>
      </c>
      <c r="W134">
        <f>((LTP3!$D$5)*((P134)*(Q134)-(R134)*(R134))-(S134)*((S134)*(Q134)-(R134)*(T134))+(T134)*((S134)*(R134)-(P134)*(T134)))</f>
        <v/>
      </c>
      <c r="X134">
        <f>IF(ABS(W134)&gt;1E-12,((LTP3!$D$6)*((P134)*(Q134)-(R134)*(R134))-(S134)*((U134)*(Q134)-(R134)*(V134))+(T134)*((U134)*(R134)-(P134)*(V134)))/W134,0)</f>
        <v/>
      </c>
      <c r="Y134">
        <f>IF(ABS(W134)&gt;1E-12,((LTP3!$D$5)*((U134)*(Q134)-(R134)*(V134))-(LTP3!$D$6)*((S134)*(Q134)-(R134)*(T134))+(T134)*((S134)*(V134)-(U134)*(T134)))/W134,0)</f>
        <v/>
      </c>
      <c r="Z134">
        <f>IF(ABS(W134)&gt;1E-12,((LTP3!$D$5)*((P134)*(V134)-(U134)*(R134))-(S134)*((S134)*(V134)-(U134)*(T134))+(LTP3!$D$6)*((S134)*(R134)-(P134)*(T134)))/W134,0)</f>
        <v/>
      </c>
      <c r="AA134">
        <f>LTP3!$D$7-X134*LTP3!$D$6-Y134*U134-Z134*V134</f>
        <v/>
      </c>
      <c r="AB134">
        <f>IF(AND(F134,ABS(W134)&gt;1E-12,Y134&gt;0,Z134&gt;0),AA134,1E+300)</f>
        <v/>
      </c>
    </row>
    <row r="135">
      <c r="A135">
        <f>$B$3+$B$5*2</f>
        <v/>
      </c>
      <c r="B135">
        <f>$B$3+$B$5*1</f>
        <v/>
      </c>
      <c r="C135">
        <f>SUMPRODUCT(Calc!$K$3:$K$22*(Calc!$G$3:$G$22&lt;=A135))</f>
        <v/>
      </c>
      <c r="D135">
        <f>SUMPRODUCT(Calc!$K$3:$K$22*(Calc!$G$3:$G$22&gt;A135)*(Calc!$G$3:$G$22&lt;B135))</f>
        <v/>
      </c>
      <c r="E135">
        <f>SUMPRODUCT(Calc!$K$3:$K$22*(Calc!$G$3:$G$22&gt;=B135))</f>
        <v/>
      </c>
      <c r="F135">
        <f>AND(k_n&gt;=5,B135&gt;A135+1E-9,C135&gt;=2,D135&gt;=1,E135&gt;=2)</f>
        <v/>
      </c>
      <c r="G135">
        <f>SUMPRODUCT(Calc!$K$3:$K$22*(Calc!$G$3:$G$22&gt;A135)*(Calc!$G$3:$G$22-A135))</f>
        <v/>
      </c>
      <c r="H135">
        <f>SUMPRODUCT(Calc!$K$3:$K$22*(Calc!$G$3:$G$22&gt;B135)*(Calc!$G$3:$G$22-B135))</f>
        <v/>
      </c>
      <c r="I135">
        <f>SUMPRODUCT(Calc!$K$3:$K$22*(Calc!$G$3:$G$22&gt;A135)*(Calc!$G$3:$G$22-A135)^2)</f>
        <v/>
      </c>
      <c r="J135">
        <f>SUMPRODUCT(Calc!$K$3:$K$22*(Calc!$G$3:$G$22&gt;B135)*(Calc!$G$3:$G$22-B135)^2)</f>
        <v/>
      </c>
      <c r="K135">
        <f>SUMPRODUCT(Calc!$K$3:$K$22*(Calc!$G$3:$G$22&gt;A135)*(Calc!$G$3:$G$22-A135)*(Calc!$G$3:$G$22&gt;B135)*(Calc!$G$3:$G$22-B135))</f>
        <v/>
      </c>
      <c r="L135">
        <f>SUMPRODUCT(Calc!$K$3:$K$22*(Calc!$G$3:$G$22&gt;A135)*(Calc!$G$3:$G$22-A135)*Calc!$G$3:$G$22)</f>
        <v/>
      </c>
      <c r="M135">
        <f>SUMPRODUCT(Calc!$K$3:$K$22*(Calc!$G$3:$G$22&gt;B135)*(Calc!$G$3:$G$22-B135)*Calc!$G$3:$G$22)</f>
        <v/>
      </c>
      <c r="N135">
        <f>SUMPRODUCT(Calc!$K$3:$K$22*(Calc!$G$3:$G$22&gt;A135)*(Calc!$G$3:$G$22-A135)*Calc!$I$3:$I$22)</f>
        <v/>
      </c>
      <c r="O135">
        <f>SUMPRODUCT(Calc!$K$3:$K$22*(Calc!$G$3:$G$22&gt;B135)*(Calc!$G$3:$G$22-B135)*Calc!$I$3:$I$22)</f>
        <v/>
      </c>
      <c r="P135">
        <f>I135-G135^2/k_n</f>
        <v/>
      </c>
      <c r="Q135">
        <f>J135-H135^2/k_n</f>
        <v/>
      </c>
      <c r="R135">
        <f>K135-G135*H135/k_n</f>
        <v/>
      </c>
      <c r="S135">
        <f>L135-LTP3!$D$3*G135/k_n</f>
        <v/>
      </c>
      <c r="T135">
        <f>M135-LTP3!$D$3*H135/k_n</f>
        <v/>
      </c>
      <c r="U135">
        <f>N135-G135*LTP3!$D$4/k_n</f>
        <v/>
      </c>
      <c r="V135">
        <f>O135-H135*LTP3!$D$4/k_n</f>
        <v/>
      </c>
      <c r="W135">
        <f>((LTP3!$D$5)*((P135)*(Q135)-(R135)*(R135))-(S135)*((S135)*(Q135)-(R135)*(T135))+(T135)*((S135)*(R135)-(P135)*(T135)))</f>
        <v/>
      </c>
      <c r="X135">
        <f>IF(ABS(W135)&gt;1E-12,((LTP3!$D$6)*((P135)*(Q135)-(R135)*(R135))-(S135)*((U135)*(Q135)-(R135)*(V135))+(T135)*((U135)*(R135)-(P135)*(V135)))/W135,0)</f>
        <v/>
      </c>
      <c r="Y135">
        <f>IF(ABS(W135)&gt;1E-12,((LTP3!$D$5)*((U135)*(Q135)-(R135)*(V135))-(LTP3!$D$6)*((S135)*(Q135)-(R135)*(T135))+(T135)*((S135)*(V135)-(U135)*(T135)))/W135,0)</f>
        <v/>
      </c>
      <c r="Z135">
        <f>IF(ABS(W135)&gt;1E-12,((LTP3!$D$5)*((P135)*(V135)-(U135)*(R135))-(S135)*((S135)*(V135)-(U135)*(T135))+(LTP3!$D$6)*((S135)*(R135)-(P135)*(T135)))/W135,0)</f>
        <v/>
      </c>
      <c r="AA135">
        <f>LTP3!$D$7-X135*LTP3!$D$6-Y135*U135-Z135*V135</f>
        <v/>
      </c>
      <c r="AB135">
        <f>IF(AND(F135,ABS(W135)&gt;1E-12,Y135&gt;0,Z135&gt;0),AA135,1E+300)</f>
        <v/>
      </c>
    </row>
    <row r="136">
      <c r="A136">
        <f>$B$3+$B$5*2</f>
        <v/>
      </c>
      <c r="B136">
        <f>$B$3+$B$5*2</f>
        <v/>
      </c>
      <c r="C136">
        <f>SUMPRODUCT(Calc!$K$3:$K$22*(Calc!$G$3:$G$22&lt;=A136))</f>
        <v/>
      </c>
      <c r="D136">
        <f>SUMPRODUCT(Calc!$K$3:$K$22*(Calc!$G$3:$G$22&gt;A136)*(Calc!$G$3:$G$22&lt;B136))</f>
        <v/>
      </c>
      <c r="E136">
        <f>SUMPRODUCT(Calc!$K$3:$K$22*(Calc!$G$3:$G$22&gt;=B136))</f>
        <v/>
      </c>
      <c r="F136">
        <f>AND(k_n&gt;=5,B136&gt;A136+1E-9,C136&gt;=2,D136&gt;=1,E136&gt;=2)</f>
        <v/>
      </c>
      <c r="G136">
        <f>SUMPRODUCT(Calc!$K$3:$K$22*(Calc!$G$3:$G$22&gt;A136)*(Calc!$G$3:$G$22-A136))</f>
        <v/>
      </c>
      <c r="H136">
        <f>SUMPRODUCT(Calc!$K$3:$K$22*(Calc!$G$3:$G$22&gt;B136)*(Calc!$G$3:$G$22-B136))</f>
        <v/>
      </c>
      <c r="I136">
        <f>SUMPRODUCT(Calc!$K$3:$K$22*(Calc!$G$3:$G$22&gt;A136)*(Calc!$G$3:$G$22-A136)^2)</f>
        <v/>
      </c>
      <c r="J136">
        <f>SUMPRODUCT(Calc!$K$3:$K$22*(Calc!$G$3:$G$22&gt;B136)*(Calc!$G$3:$G$22-B136)^2)</f>
        <v/>
      </c>
      <c r="K136">
        <f>SUMPRODUCT(Calc!$K$3:$K$22*(Calc!$G$3:$G$22&gt;A136)*(Calc!$G$3:$G$22-A136)*(Calc!$G$3:$G$22&gt;B136)*(Calc!$G$3:$G$22-B136))</f>
        <v/>
      </c>
      <c r="L136">
        <f>SUMPRODUCT(Calc!$K$3:$K$22*(Calc!$G$3:$G$22&gt;A136)*(Calc!$G$3:$G$22-A136)*Calc!$G$3:$G$22)</f>
        <v/>
      </c>
      <c r="M136">
        <f>SUMPRODUCT(Calc!$K$3:$K$22*(Calc!$G$3:$G$22&gt;B136)*(Calc!$G$3:$G$22-B136)*Calc!$G$3:$G$22)</f>
        <v/>
      </c>
      <c r="N136">
        <f>SUMPRODUCT(Calc!$K$3:$K$22*(Calc!$G$3:$G$22&gt;A136)*(Calc!$G$3:$G$22-A136)*Calc!$I$3:$I$22)</f>
        <v/>
      </c>
      <c r="O136">
        <f>SUMPRODUCT(Calc!$K$3:$K$22*(Calc!$G$3:$G$22&gt;B136)*(Calc!$G$3:$G$22-B136)*Calc!$I$3:$I$22)</f>
        <v/>
      </c>
      <c r="P136">
        <f>I136-G136^2/k_n</f>
        <v/>
      </c>
      <c r="Q136">
        <f>J136-H136^2/k_n</f>
        <v/>
      </c>
      <c r="R136">
        <f>K136-G136*H136/k_n</f>
        <v/>
      </c>
      <c r="S136">
        <f>L136-LTP3!$D$3*G136/k_n</f>
        <v/>
      </c>
      <c r="T136">
        <f>M136-LTP3!$D$3*H136/k_n</f>
        <v/>
      </c>
      <c r="U136">
        <f>N136-G136*LTP3!$D$4/k_n</f>
        <v/>
      </c>
      <c r="V136">
        <f>O136-H136*LTP3!$D$4/k_n</f>
        <v/>
      </c>
      <c r="W136">
        <f>((LTP3!$D$5)*((P136)*(Q136)-(R136)*(R136))-(S136)*((S136)*(Q136)-(R136)*(T136))+(T136)*((S136)*(R136)-(P136)*(T136)))</f>
        <v/>
      </c>
      <c r="X136">
        <f>IF(ABS(W136)&gt;1E-12,((LTP3!$D$6)*((P136)*(Q136)-(R136)*(R136))-(S136)*((U136)*(Q136)-(R136)*(V136))+(T136)*((U136)*(R136)-(P136)*(V136)))/W136,0)</f>
        <v/>
      </c>
      <c r="Y136">
        <f>IF(ABS(W136)&gt;1E-12,((LTP3!$D$5)*((U136)*(Q136)-(R136)*(V136))-(LTP3!$D$6)*((S136)*(Q136)-(R136)*(T136))+(T136)*((S136)*(V136)-(U136)*(T136)))/W136,0)</f>
        <v/>
      </c>
      <c r="Z136">
        <f>IF(ABS(W136)&gt;1E-12,((LTP3!$D$5)*((P136)*(V136)-(U136)*(R136))-(S136)*((S136)*(V136)-(U136)*(T136))+(LTP3!$D$6)*((S136)*(R136)-(P136)*(T136)))/W136,0)</f>
        <v/>
      </c>
      <c r="AA136">
        <f>LTP3!$D$7-X136*LTP3!$D$6-Y136*U136-Z136*V136</f>
        <v/>
      </c>
      <c r="AB136">
        <f>IF(AND(F136,ABS(W136)&gt;1E-12,Y136&gt;0,Z136&gt;0),AA136,1E+300)</f>
        <v/>
      </c>
    </row>
    <row r="137">
      <c r="A137">
        <f>$B$3+$B$5*2</f>
        <v/>
      </c>
      <c r="B137">
        <f>$B$3+$B$5*3</f>
        <v/>
      </c>
      <c r="C137">
        <f>SUMPRODUCT(Calc!$K$3:$K$22*(Calc!$G$3:$G$22&lt;=A137))</f>
        <v/>
      </c>
      <c r="D137">
        <f>SUMPRODUCT(Calc!$K$3:$K$22*(Calc!$G$3:$G$22&gt;A137)*(Calc!$G$3:$G$22&lt;B137))</f>
        <v/>
      </c>
      <c r="E137">
        <f>SUMPRODUCT(Calc!$K$3:$K$22*(Calc!$G$3:$G$22&gt;=B137))</f>
        <v/>
      </c>
      <c r="F137">
        <f>AND(k_n&gt;=5,B137&gt;A137+1E-9,C137&gt;=2,D137&gt;=1,E137&gt;=2)</f>
        <v/>
      </c>
      <c r="G137">
        <f>SUMPRODUCT(Calc!$K$3:$K$22*(Calc!$G$3:$G$22&gt;A137)*(Calc!$G$3:$G$22-A137))</f>
        <v/>
      </c>
      <c r="H137">
        <f>SUMPRODUCT(Calc!$K$3:$K$22*(Calc!$G$3:$G$22&gt;B137)*(Calc!$G$3:$G$22-B137))</f>
        <v/>
      </c>
      <c r="I137">
        <f>SUMPRODUCT(Calc!$K$3:$K$22*(Calc!$G$3:$G$22&gt;A137)*(Calc!$G$3:$G$22-A137)^2)</f>
        <v/>
      </c>
      <c r="J137">
        <f>SUMPRODUCT(Calc!$K$3:$K$22*(Calc!$G$3:$G$22&gt;B137)*(Calc!$G$3:$G$22-B137)^2)</f>
        <v/>
      </c>
      <c r="K137">
        <f>SUMPRODUCT(Calc!$K$3:$K$22*(Calc!$G$3:$G$22&gt;A137)*(Calc!$G$3:$G$22-A137)*(Calc!$G$3:$G$22&gt;B137)*(Calc!$G$3:$G$22-B137))</f>
        <v/>
      </c>
      <c r="L137">
        <f>SUMPRODUCT(Calc!$K$3:$K$22*(Calc!$G$3:$G$22&gt;A137)*(Calc!$G$3:$G$22-A137)*Calc!$G$3:$G$22)</f>
        <v/>
      </c>
      <c r="M137">
        <f>SUMPRODUCT(Calc!$K$3:$K$22*(Calc!$G$3:$G$22&gt;B137)*(Calc!$G$3:$G$22-B137)*Calc!$G$3:$G$22)</f>
        <v/>
      </c>
      <c r="N137">
        <f>SUMPRODUCT(Calc!$K$3:$K$22*(Calc!$G$3:$G$22&gt;A137)*(Calc!$G$3:$G$22-A137)*Calc!$I$3:$I$22)</f>
        <v/>
      </c>
      <c r="O137">
        <f>SUMPRODUCT(Calc!$K$3:$K$22*(Calc!$G$3:$G$22&gt;B137)*(Calc!$G$3:$G$22-B137)*Calc!$I$3:$I$22)</f>
        <v/>
      </c>
      <c r="P137">
        <f>I137-G137^2/k_n</f>
        <v/>
      </c>
      <c r="Q137">
        <f>J137-H137^2/k_n</f>
        <v/>
      </c>
      <c r="R137">
        <f>K137-G137*H137/k_n</f>
        <v/>
      </c>
      <c r="S137">
        <f>L137-LTP3!$D$3*G137/k_n</f>
        <v/>
      </c>
      <c r="T137">
        <f>M137-LTP3!$D$3*H137/k_n</f>
        <v/>
      </c>
      <c r="U137">
        <f>N137-G137*LTP3!$D$4/k_n</f>
        <v/>
      </c>
      <c r="V137">
        <f>O137-H137*LTP3!$D$4/k_n</f>
        <v/>
      </c>
      <c r="W137">
        <f>((LTP3!$D$5)*((P137)*(Q137)-(R137)*(R137))-(S137)*((S137)*(Q137)-(R137)*(T137))+(T137)*((S137)*(R137)-(P137)*(T137)))</f>
        <v/>
      </c>
      <c r="X137">
        <f>IF(ABS(W137)&gt;1E-12,((LTP3!$D$6)*((P137)*(Q137)-(R137)*(R137))-(S137)*((U137)*(Q137)-(R137)*(V137))+(T137)*((U137)*(R137)-(P137)*(V137)))/W137,0)</f>
        <v/>
      </c>
      <c r="Y137">
        <f>IF(ABS(W137)&gt;1E-12,((LTP3!$D$5)*((U137)*(Q137)-(R137)*(V137))-(LTP3!$D$6)*((S137)*(Q137)-(R137)*(T137))+(T137)*((S137)*(V137)-(U137)*(T137)))/W137,0)</f>
        <v/>
      </c>
      <c r="Z137">
        <f>IF(ABS(W137)&gt;1E-12,((LTP3!$D$5)*((P137)*(V137)-(U137)*(R137))-(S137)*((S137)*(V137)-(U137)*(T137))+(LTP3!$D$6)*((S137)*(R137)-(P137)*(T137)))/W137,0)</f>
        <v/>
      </c>
      <c r="AA137">
        <f>LTP3!$D$7-X137*LTP3!$D$6-Y137*U137-Z137*V137</f>
        <v/>
      </c>
      <c r="AB137">
        <f>IF(AND(F137,ABS(W137)&gt;1E-12,Y137&gt;0,Z137&gt;0),AA137,1E+300)</f>
        <v/>
      </c>
    </row>
    <row r="138">
      <c r="A138">
        <f>$B$3+$B$5*2</f>
        <v/>
      </c>
      <c r="B138">
        <f>$B$3+$B$5*4</f>
        <v/>
      </c>
      <c r="C138">
        <f>SUMPRODUCT(Calc!$K$3:$K$22*(Calc!$G$3:$G$22&lt;=A138))</f>
        <v/>
      </c>
      <c r="D138">
        <f>SUMPRODUCT(Calc!$K$3:$K$22*(Calc!$G$3:$G$22&gt;A138)*(Calc!$G$3:$G$22&lt;B138))</f>
        <v/>
      </c>
      <c r="E138">
        <f>SUMPRODUCT(Calc!$K$3:$K$22*(Calc!$G$3:$G$22&gt;=B138))</f>
        <v/>
      </c>
      <c r="F138">
        <f>AND(k_n&gt;=5,B138&gt;A138+1E-9,C138&gt;=2,D138&gt;=1,E138&gt;=2)</f>
        <v/>
      </c>
      <c r="G138">
        <f>SUMPRODUCT(Calc!$K$3:$K$22*(Calc!$G$3:$G$22&gt;A138)*(Calc!$G$3:$G$22-A138))</f>
        <v/>
      </c>
      <c r="H138">
        <f>SUMPRODUCT(Calc!$K$3:$K$22*(Calc!$G$3:$G$22&gt;B138)*(Calc!$G$3:$G$22-B138))</f>
        <v/>
      </c>
      <c r="I138">
        <f>SUMPRODUCT(Calc!$K$3:$K$22*(Calc!$G$3:$G$22&gt;A138)*(Calc!$G$3:$G$22-A138)^2)</f>
        <v/>
      </c>
      <c r="J138">
        <f>SUMPRODUCT(Calc!$K$3:$K$22*(Calc!$G$3:$G$22&gt;B138)*(Calc!$G$3:$G$22-B138)^2)</f>
        <v/>
      </c>
      <c r="K138">
        <f>SUMPRODUCT(Calc!$K$3:$K$22*(Calc!$G$3:$G$22&gt;A138)*(Calc!$G$3:$G$22-A138)*(Calc!$G$3:$G$22&gt;B138)*(Calc!$G$3:$G$22-B138))</f>
        <v/>
      </c>
      <c r="L138">
        <f>SUMPRODUCT(Calc!$K$3:$K$22*(Calc!$G$3:$G$22&gt;A138)*(Calc!$G$3:$G$22-A138)*Calc!$G$3:$G$22)</f>
        <v/>
      </c>
      <c r="M138">
        <f>SUMPRODUCT(Calc!$K$3:$K$22*(Calc!$G$3:$G$22&gt;B138)*(Calc!$G$3:$G$22-B138)*Calc!$G$3:$G$22)</f>
        <v/>
      </c>
      <c r="N138">
        <f>SUMPRODUCT(Calc!$K$3:$K$22*(Calc!$G$3:$G$22&gt;A138)*(Calc!$G$3:$G$22-A138)*Calc!$I$3:$I$22)</f>
        <v/>
      </c>
      <c r="O138">
        <f>SUMPRODUCT(Calc!$K$3:$K$22*(Calc!$G$3:$G$22&gt;B138)*(Calc!$G$3:$G$22-B138)*Calc!$I$3:$I$22)</f>
        <v/>
      </c>
      <c r="P138">
        <f>I138-G138^2/k_n</f>
        <v/>
      </c>
      <c r="Q138">
        <f>J138-H138^2/k_n</f>
        <v/>
      </c>
      <c r="R138">
        <f>K138-G138*H138/k_n</f>
        <v/>
      </c>
      <c r="S138">
        <f>L138-LTP3!$D$3*G138/k_n</f>
        <v/>
      </c>
      <c r="T138">
        <f>M138-LTP3!$D$3*H138/k_n</f>
        <v/>
      </c>
      <c r="U138">
        <f>N138-G138*LTP3!$D$4/k_n</f>
        <v/>
      </c>
      <c r="V138">
        <f>O138-H138*LTP3!$D$4/k_n</f>
        <v/>
      </c>
      <c r="W138">
        <f>((LTP3!$D$5)*((P138)*(Q138)-(R138)*(R138))-(S138)*((S138)*(Q138)-(R138)*(T138))+(T138)*((S138)*(R138)-(P138)*(T138)))</f>
        <v/>
      </c>
      <c r="X138">
        <f>IF(ABS(W138)&gt;1E-12,((LTP3!$D$6)*((P138)*(Q138)-(R138)*(R138))-(S138)*((U138)*(Q138)-(R138)*(V138))+(T138)*((U138)*(R138)-(P138)*(V138)))/W138,0)</f>
        <v/>
      </c>
      <c r="Y138">
        <f>IF(ABS(W138)&gt;1E-12,((LTP3!$D$5)*((U138)*(Q138)-(R138)*(V138))-(LTP3!$D$6)*((S138)*(Q138)-(R138)*(T138))+(T138)*((S138)*(V138)-(U138)*(T138)))/W138,0)</f>
        <v/>
      </c>
      <c r="Z138">
        <f>IF(ABS(W138)&gt;1E-12,((LTP3!$D$5)*((P138)*(V138)-(U138)*(R138))-(S138)*((S138)*(V138)-(U138)*(T138))+(LTP3!$D$6)*((S138)*(R138)-(P138)*(T138)))/W138,0)</f>
        <v/>
      </c>
      <c r="AA138">
        <f>LTP3!$D$7-X138*LTP3!$D$6-Y138*U138-Z138*V138</f>
        <v/>
      </c>
      <c r="AB138">
        <f>IF(AND(F138,ABS(W138)&gt;1E-12,Y138&gt;0,Z138&gt;0),AA138,1E+300)</f>
        <v/>
      </c>
    </row>
    <row r="139">
      <c r="A139">
        <f>$B$3+$B$5*2</f>
        <v/>
      </c>
      <c r="B139">
        <f>$B$3+$B$5*5</f>
        <v/>
      </c>
      <c r="C139">
        <f>SUMPRODUCT(Calc!$K$3:$K$22*(Calc!$G$3:$G$22&lt;=A139))</f>
        <v/>
      </c>
      <c r="D139">
        <f>SUMPRODUCT(Calc!$K$3:$K$22*(Calc!$G$3:$G$22&gt;A139)*(Calc!$G$3:$G$22&lt;B139))</f>
        <v/>
      </c>
      <c r="E139">
        <f>SUMPRODUCT(Calc!$K$3:$K$22*(Calc!$G$3:$G$22&gt;=B139))</f>
        <v/>
      </c>
      <c r="F139">
        <f>AND(k_n&gt;=5,B139&gt;A139+1E-9,C139&gt;=2,D139&gt;=1,E139&gt;=2)</f>
        <v/>
      </c>
      <c r="G139">
        <f>SUMPRODUCT(Calc!$K$3:$K$22*(Calc!$G$3:$G$22&gt;A139)*(Calc!$G$3:$G$22-A139))</f>
        <v/>
      </c>
      <c r="H139">
        <f>SUMPRODUCT(Calc!$K$3:$K$22*(Calc!$G$3:$G$22&gt;B139)*(Calc!$G$3:$G$22-B139))</f>
        <v/>
      </c>
      <c r="I139">
        <f>SUMPRODUCT(Calc!$K$3:$K$22*(Calc!$G$3:$G$22&gt;A139)*(Calc!$G$3:$G$22-A139)^2)</f>
        <v/>
      </c>
      <c r="J139">
        <f>SUMPRODUCT(Calc!$K$3:$K$22*(Calc!$G$3:$G$22&gt;B139)*(Calc!$G$3:$G$22-B139)^2)</f>
        <v/>
      </c>
      <c r="K139">
        <f>SUMPRODUCT(Calc!$K$3:$K$22*(Calc!$G$3:$G$22&gt;A139)*(Calc!$G$3:$G$22-A139)*(Calc!$G$3:$G$22&gt;B139)*(Calc!$G$3:$G$22-B139))</f>
        <v/>
      </c>
      <c r="L139">
        <f>SUMPRODUCT(Calc!$K$3:$K$22*(Calc!$G$3:$G$22&gt;A139)*(Calc!$G$3:$G$22-A139)*Calc!$G$3:$G$22)</f>
        <v/>
      </c>
      <c r="M139">
        <f>SUMPRODUCT(Calc!$K$3:$K$22*(Calc!$G$3:$G$22&gt;B139)*(Calc!$G$3:$G$22-B139)*Calc!$G$3:$G$22)</f>
        <v/>
      </c>
      <c r="N139">
        <f>SUMPRODUCT(Calc!$K$3:$K$22*(Calc!$G$3:$G$22&gt;A139)*(Calc!$G$3:$G$22-A139)*Calc!$I$3:$I$22)</f>
        <v/>
      </c>
      <c r="O139">
        <f>SUMPRODUCT(Calc!$K$3:$K$22*(Calc!$G$3:$G$22&gt;B139)*(Calc!$G$3:$G$22-B139)*Calc!$I$3:$I$22)</f>
        <v/>
      </c>
      <c r="P139">
        <f>I139-G139^2/k_n</f>
        <v/>
      </c>
      <c r="Q139">
        <f>J139-H139^2/k_n</f>
        <v/>
      </c>
      <c r="R139">
        <f>K139-G139*H139/k_n</f>
        <v/>
      </c>
      <c r="S139">
        <f>L139-LTP3!$D$3*G139/k_n</f>
        <v/>
      </c>
      <c r="T139">
        <f>M139-LTP3!$D$3*H139/k_n</f>
        <v/>
      </c>
      <c r="U139">
        <f>N139-G139*LTP3!$D$4/k_n</f>
        <v/>
      </c>
      <c r="V139">
        <f>O139-H139*LTP3!$D$4/k_n</f>
        <v/>
      </c>
      <c r="W139">
        <f>((LTP3!$D$5)*((P139)*(Q139)-(R139)*(R139))-(S139)*((S139)*(Q139)-(R139)*(T139))+(T139)*((S139)*(R139)-(P139)*(T139)))</f>
        <v/>
      </c>
      <c r="X139">
        <f>IF(ABS(W139)&gt;1E-12,((LTP3!$D$6)*((P139)*(Q139)-(R139)*(R139))-(S139)*((U139)*(Q139)-(R139)*(V139))+(T139)*((U139)*(R139)-(P139)*(V139)))/W139,0)</f>
        <v/>
      </c>
      <c r="Y139">
        <f>IF(ABS(W139)&gt;1E-12,((LTP3!$D$5)*((U139)*(Q139)-(R139)*(V139))-(LTP3!$D$6)*((S139)*(Q139)-(R139)*(T139))+(T139)*((S139)*(V139)-(U139)*(T139)))/W139,0)</f>
        <v/>
      </c>
      <c r="Z139">
        <f>IF(ABS(W139)&gt;1E-12,((LTP3!$D$5)*((P139)*(V139)-(U139)*(R139))-(S139)*((S139)*(V139)-(U139)*(T139))+(LTP3!$D$6)*((S139)*(R139)-(P139)*(T139)))/W139,0)</f>
        <v/>
      </c>
      <c r="AA139">
        <f>LTP3!$D$7-X139*LTP3!$D$6-Y139*U139-Z139*V139</f>
        <v/>
      </c>
      <c r="AB139">
        <f>IF(AND(F139,ABS(W139)&gt;1E-12,Y139&gt;0,Z139&gt;0),AA139,1E+300)</f>
        <v/>
      </c>
    </row>
    <row r="140">
      <c r="A140">
        <f>$B$3+$B$5*2</f>
        <v/>
      </c>
      <c r="B140">
        <f>$B$3+$B$5*6</f>
        <v/>
      </c>
      <c r="C140">
        <f>SUMPRODUCT(Calc!$K$3:$K$22*(Calc!$G$3:$G$22&lt;=A140))</f>
        <v/>
      </c>
      <c r="D140">
        <f>SUMPRODUCT(Calc!$K$3:$K$22*(Calc!$G$3:$G$22&gt;A140)*(Calc!$G$3:$G$22&lt;B140))</f>
        <v/>
      </c>
      <c r="E140">
        <f>SUMPRODUCT(Calc!$K$3:$K$22*(Calc!$G$3:$G$22&gt;=B140))</f>
        <v/>
      </c>
      <c r="F140">
        <f>AND(k_n&gt;=5,B140&gt;A140+1E-9,C140&gt;=2,D140&gt;=1,E140&gt;=2)</f>
        <v/>
      </c>
      <c r="G140">
        <f>SUMPRODUCT(Calc!$K$3:$K$22*(Calc!$G$3:$G$22&gt;A140)*(Calc!$G$3:$G$22-A140))</f>
        <v/>
      </c>
      <c r="H140">
        <f>SUMPRODUCT(Calc!$K$3:$K$22*(Calc!$G$3:$G$22&gt;B140)*(Calc!$G$3:$G$22-B140))</f>
        <v/>
      </c>
      <c r="I140">
        <f>SUMPRODUCT(Calc!$K$3:$K$22*(Calc!$G$3:$G$22&gt;A140)*(Calc!$G$3:$G$22-A140)^2)</f>
        <v/>
      </c>
      <c r="J140">
        <f>SUMPRODUCT(Calc!$K$3:$K$22*(Calc!$G$3:$G$22&gt;B140)*(Calc!$G$3:$G$22-B140)^2)</f>
        <v/>
      </c>
      <c r="K140">
        <f>SUMPRODUCT(Calc!$K$3:$K$22*(Calc!$G$3:$G$22&gt;A140)*(Calc!$G$3:$G$22-A140)*(Calc!$G$3:$G$22&gt;B140)*(Calc!$G$3:$G$22-B140))</f>
        <v/>
      </c>
      <c r="L140">
        <f>SUMPRODUCT(Calc!$K$3:$K$22*(Calc!$G$3:$G$22&gt;A140)*(Calc!$G$3:$G$22-A140)*Calc!$G$3:$G$22)</f>
        <v/>
      </c>
      <c r="M140">
        <f>SUMPRODUCT(Calc!$K$3:$K$22*(Calc!$G$3:$G$22&gt;B140)*(Calc!$G$3:$G$22-B140)*Calc!$G$3:$G$22)</f>
        <v/>
      </c>
      <c r="N140">
        <f>SUMPRODUCT(Calc!$K$3:$K$22*(Calc!$G$3:$G$22&gt;A140)*(Calc!$G$3:$G$22-A140)*Calc!$I$3:$I$22)</f>
        <v/>
      </c>
      <c r="O140">
        <f>SUMPRODUCT(Calc!$K$3:$K$22*(Calc!$G$3:$G$22&gt;B140)*(Calc!$G$3:$G$22-B140)*Calc!$I$3:$I$22)</f>
        <v/>
      </c>
      <c r="P140">
        <f>I140-G140^2/k_n</f>
        <v/>
      </c>
      <c r="Q140">
        <f>J140-H140^2/k_n</f>
        <v/>
      </c>
      <c r="R140">
        <f>K140-G140*H140/k_n</f>
        <v/>
      </c>
      <c r="S140">
        <f>L140-LTP3!$D$3*G140/k_n</f>
        <v/>
      </c>
      <c r="T140">
        <f>M140-LTP3!$D$3*H140/k_n</f>
        <v/>
      </c>
      <c r="U140">
        <f>N140-G140*LTP3!$D$4/k_n</f>
        <v/>
      </c>
      <c r="V140">
        <f>O140-H140*LTP3!$D$4/k_n</f>
        <v/>
      </c>
      <c r="W140">
        <f>((LTP3!$D$5)*((P140)*(Q140)-(R140)*(R140))-(S140)*((S140)*(Q140)-(R140)*(T140))+(T140)*((S140)*(R140)-(P140)*(T140)))</f>
        <v/>
      </c>
      <c r="X140">
        <f>IF(ABS(W140)&gt;1E-12,((LTP3!$D$6)*((P140)*(Q140)-(R140)*(R140))-(S140)*((U140)*(Q140)-(R140)*(V140))+(T140)*((U140)*(R140)-(P140)*(V140)))/W140,0)</f>
        <v/>
      </c>
      <c r="Y140">
        <f>IF(ABS(W140)&gt;1E-12,((LTP3!$D$5)*((U140)*(Q140)-(R140)*(V140))-(LTP3!$D$6)*((S140)*(Q140)-(R140)*(T140))+(T140)*((S140)*(V140)-(U140)*(T140)))/W140,0)</f>
        <v/>
      </c>
      <c r="Z140">
        <f>IF(ABS(W140)&gt;1E-12,((LTP3!$D$5)*((P140)*(V140)-(U140)*(R140))-(S140)*((S140)*(V140)-(U140)*(T140))+(LTP3!$D$6)*((S140)*(R140)-(P140)*(T140)))/W140,0)</f>
        <v/>
      </c>
      <c r="AA140">
        <f>LTP3!$D$7-X140*LTP3!$D$6-Y140*U140-Z140*V140</f>
        <v/>
      </c>
      <c r="AB140">
        <f>IF(AND(F140,ABS(W140)&gt;1E-12,Y140&gt;0,Z140&gt;0),AA140,1E+300)</f>
        <v/>
      </c>
    </row>
    <row r="141">
      <c r="A141">
        <f>$B$3+$B$5*2</f>
        <v/>
      </c>
      <c r="B141">
        <f>$B$3+$B$5*7</f>
        <v/>
      </c>
      <c r="C141">
        <f>SUMPRODUCT(Calc!$K$3:$K$22*(Calc!$G$3:$G$22&lt;=A141))</f>
        <v/>
      </c>
      <c r="D141">
        <f>SUMPRODUCT(Calc!$K$3:$K$22*(Calc!$G$3:$G$22&gt;A141)*(Calc!$G$3:$G$22&lt;B141))</f>
        <v/>
      </c>
      <c r="E141">
        <f>SUMPRODUCT(Calc!$K$3:$K$22*(Calc!$G$3:$G$22&gt;=B141))</f>
        <v/>
      </c>
      <c r="F141">
        <f>AND(k_n&gt;=5,B141&gt;A141+1E-9,C141&gt;=2,D141&gt;=1,E141&gt;=2)</f>
        <v/>
      </c>
      <c r="G141">
        <f>SUMPRODUCT(Calc!$K$3:$K$22*(Calc!$G$3:$G$22&gt;A141)*(Calc!$G$3:$G$22-A141))</f>
        <v/>
      </c>
      <c r="H141">
        <f>SUMPRODUCT(Calc!$K$3:$K$22*(Calc!$G$3:$G$22&gt;B141)*(Calc!$G$3:$G$22-B141))</f>
        <v/>
      </c>
      <c r="I141">
        <f>SUMPRODUCT(Calc!$K$3:$K$22*(Calc!$G$3:$G$22&gt;A141)*(Calc!$G$3:$G$22-A141)^2)</f>
        <v/>
      </c>
      <c r="J141">
        <f>SUMPRODUCT(Calc!$K$3:$K$22*(Calc!$G$3:$G$22&gt;B141)*(Calc!$G$3:$G$22-B141)^2)</f>
        <v/>
      </c>
      <c r="K141">
        <f>SUMPRODUCT(Calc!$K$3:$K$22*(Calc!$G$3:$G$22&gt;A141)*(Calc!$G$3:$G$22-A141)*(Calc!$G$3:$G$22&gt;B141)*(Calc!$G$3:$G$22-B141))</f>
        <v/>
      </c>
      <c r="L141">
        <f>SUMPRODUCT(Calc!$K$3:$K$22*(Calc!$G$3:$G$22&gt;A141)*(Calc!$G$3:$G$22-A141)*Calc!$G$3:$G$22)</f>
        <v/>
      </c>
      <c r="M141">
        <f>SUMPRODUCT(Calc!$K$3:$K$22*(Calc!$G$3:$G$22&gt;B141)*(Calc!$G$3:$G$22-B141)*Calc!$G$3:$G$22)</f>
        <v/>
      </c>
      <c r="N141">
        <f>SUMPRODUCT(Calc!$K$3:$K$22*(Calc!$G$3:$G$22&gt;A141)*(Calc!$G$3:$G$22-A141)*Calc!$I$3:$I$22)</f>
        <v/>
      </c>
      <c r="O141">
        <f>SUMPRODUCT(Calc!$K$3:$K$22*(Calc!$G$3:$G$22&gt;B141)*(Calc!$G$3:$G$22-B141)*Calc!$I$3:$I$22)</f>
        <v/>
      </c>
      <c r="P141">
        <f>I141-G141^2/k_n</f>
        <v/>
      </c>
      <c r="Q141">
        <f>J141-H141^2/k_n</f>
        <v/>
      </c>
      <c r="R141">
        <f>K141-G141*H141/k_n</f>
        <v/>
      </c>
      <c r="S141">
        <f>L141-LTP3!$D$3*G141/k_n</f>
        <v/>
      </c>
      <c r="T141">
        <f>M141-LTP3!$D$3*H141/k_n</f>
        <v/>
      </c>
      <c r="U141">
        <f>N141-G141*LTP3!$D$4/k_n</f>
        <v/>
      </c>
      <c r="V141">
        <f>O141-H141*LTP3!$D$4/k_n</f>
        <v/>
      </c>
      <c r="W141">
        <f>((LTP3!$D$5)*((P141)*(Q141)-(R141)*(R141))-(S141)*((S141)*(Q141)-(R141)*(T141))+(T141)*((S141)*(R141)-(P141)*(T141)))</f>
        <v/>
      </c>
      <c r="X141">
        <f>IF(ABS(W141)&gt;1E-12,((LTP3!$D$6)*((P141)*(Q141)-(R141)*(R141))-(S141)*((U141)*(Q141)-(R141)*(V141))+(T141)*((U141)*(R141)-(P141)*(V141)))/W141,0)</f>
        <v/>
      </c>
      <c r="Y141">
        <f>IF(ABS(W141)&gt;1E-12,((LTP3!$D$5)*((U141)*(Q141)-(R141)*(V141))-(LTP3!$D$6)*((S141)*(Q141)-(R141)*(T141))+(T141)*((S141)*(V141)-(U141)*(T141)))/W141,0)</f>
        <v/>
      </c>
      <c r="Z141">
        <f>IF(ABS(W141)&gt;1E-12,((LTP3!$D$5)*((P141)*(V141)-(U141)*(R141))-(S141)*((S141)*(V141)-(U141)*(T141))+(LTP3!$D$6)*((S141)*(R141)-(P141)*(T141)))/W141,0)</f>
        <v/>
      </c>
      <c r="AA141">
        <f>LTP3!$D$7-X141*LTP3!$D$6-Y141*U141-Z141*V141</f>
        <v/>
      </c>
      <c r="AB141">
        <f>IF(AND(F141,ABS(W141)&gt;1E-12,Y141&gt;0,Z141&gt;0),AA141,1E+300)</f>
        <v/>
      </c>
    </row>
    <row r="142">
      <c r="A142">
        <f>$B$3+$B$5*2</f>
        <v/>
      </c>
      <c r="B142">
        <f>$B$3+$B$5*8</f>
        <v/>
      </c>
      <c r="C142">
        <f>SUMPRODUCT(Calc!$K$3:$K$22*(Calc!$G$3:$G$22&lt;=A142))</f>
        <v/>
      </c>
      <c r="D142">
        <f>SUMPRODUCT(Calc!$K$3:$K$22*(Calc!$G$3:$G$22&gt;A142)*(Calc!$G$3:$G$22&lt;B142))</f>
        <v/>
      </c>
      <c r="E142">
        <f>SUMPRODUCT(Calc!$K$3:$K$22*(Calc!$G$3:$G$22&gt;=B142))</f>
        <v/>
      </c>
      <c r="F142">
        <f>AND(k_n&gt;=5,B142&gt;A142+1E-9,C142&gt;=2,D142&gt;=1,E142&gt;=2)</f>
        <v/>
      </c>
      <c r="G142">
        <f>SUMPRODUCT(Calc!$K$3:$K$22*(Calc!$G$3:$G$22&gt;A142)*(Calc!$G$3:$G$22-A142))</f>
        <v/>
      </c>
      <c r="H142">
        <f>SUMPRODUCT(Calc!$K$3:$K$22*(Calc!$G$3:$G$22&gt;B142)*(Calc!$G$3:$G$22-B142))</f>
        <v/>
      </c>
      <c r="I142">
        <f>SUMPRODUCT(Calc!$K$3:$K$22*(Calc!$G$3:$G$22&gt;A142)*(Calc!$G$3:$G$22-A142)^2)</f>
        <v/>
      </c>
      <c r="J142">
        <f>SUMPRODUCT(Calc!$K$3:$K$22*(Calc!$G$3:$G$22&gt;B142)*(Calc!$G$3:$G$22-B142)^2)</f>
        <v/>
      </c>
      <c r="K142">
        <f>SUMPRODUCT(Calc!$K$3:$K$22*(Calc!$G$3:$G$22&gt;A142)*(Calc!$G$3:$G$22-A142)*(Calc!$G$3:$G$22&gt;B142)*(Calc!$G$3:$G$22-B142))</f>
        <v/>
      </c>
      <c r="L142">
        <f>SUMPRODUCT(Calc!$K$3:$K$22*(Calc!$G$3:$G$22&gt;A142)*(Calc!$G$3:$G$22-A142)*Calc!$G$3:$G$22)</f>
        <v/>
      </c>
      <c r="M142">
        <f>SUMPRODUCT(Calc!$K$3:$K$22*(Calc!$G$3:$G$22&gt;B142)*(Calc!$G$3:$G$22-B142)*Calc!$G$3:$G$22)</f>
        <v/>
      </c>
      <c r="N142">
        <f>SUMPRODUCT(Calc!$K$3:$K$22*(Calc!$G$3:$G$22&gt;A142)*(Calc!$G$3:$G$22-A142)*Calc!$I$3:$I$22)</f>
        <v/>
      </c>
      <c r="O142">
        <f>SUMPRODUCT(Calc!$K$3:$K$22*(Calc!$G$3:$G$22&gt;B142)*(Calc!$G$3:$G$22-B142)*Calc!$I$3:$I$22)</f>
        <v/>
      </c>
      <c r="P142">
        <f>I142-G142^2/k_n</f>
        <v/>
      </c>
      <c r="Q142">
        <f>J142-H142^2/k_n</f>
        <v/>
      </c>
      <c r="R142">
        <f>K142-G142*H142/k_n</f>
        <v/>
      </c>
      <c r="S142">
        <f>L142-LTP3!$D$3*G142/k_n</f>
        <v/>
      </c>
      <c r="T142">
        <f>M142-LTP3!$D$3*H142/k_n</f>
        <v/>
      </c>
      <c r="U142">
        <f>N142-G142*LTP3!$D$4/k_n</f>
        <v/>
      </c>
      <c r="V142">
        <f>O142-H142*LTP3!$D$4/k_n</f>
        <v/>
      </c>
      <c r="W142">
        <f>((LTP3!$D$5)*((P142)*(Q142)-(R142)*(R142))-(S142)*((S142)*(Q142)-(R142)*(T142))+(T142)*((S142)*(R142)-(P142)*(T142)))</f>
        <v/>
      </c>
      <c r="X142">
        <f>IF(ABS(W142)&gt;1E-12,((LTP3!$D$6)*((P142)*(Q142)-(R142)*(R142))-(S142)*((U142)*(Q142)-(R142)*(V142))+(T142)*((U142)*(R142)-(P142)*(V142)))/W142,0)</f>
        <v/>
      </c>
      <c r="Y142">
        <f>IF(ABS(W142)&gt;1E-12,((LTP3!$D$5)*((U142)*(Q142)-(R142)*(V142))-(LTP3!$D$6)*((S142)*(Q142)-(R142)*(T142))+(T142)*((S142)*(V142)-(U142)*(T142)))/W142,0)</f>
        <v/>
      </c>
      <c r="Z142">
        <f>IF(ABS(W142)&gt;1E-12,((LTP3!$D$5)*((P142)*(V142)-(U142)*(R142))-(S142)*((S142)*(V142)-(U142)*(T142))+(LTP3!$D$6)*((S142)*(R142)-(P142)*(T142)))/W142,0)</f>
        <v/>
      </c>
      <c r="AA142">
        <f>LTP3!$D$7-X142*LTP3!$D$6-Y142*U142-Z142*V142</f>
        <v/>
      </c>
      <c r="AB142">
        <f>IF(AND(F142,ABS(W142)&gt;1E-12,Y142&gt;0,Z142&gt;0),AA142,1E+300)</f>
        <v/>
      </c>
    </row>
    <row r="143">
      <c r="A143">
        <f>$B$3+$B$5*2</f>
        <v/>
      </c>
      <c r="B143">
        <f>$B$3+$B$5*9</f>
        <v/>
      </c>
      <c r="C143">
        <f>SUMPRODUCT(Calc!$K$3:$K$22*(Calc!$G$3:$G$22&lt;=A143))</f>
        <v/>
      </c>
      <c r="D143">
        <f>SUMPRODUCT(Calc!$K$3:$K$22*(Calc!$G$3:$G$22&gt;A143)*(Calc!$G$3:$G$22&lt;B143))</f>
        <v/>
      </c>
      <c r="E143">
        <f>SUMPRODUCT(Calc!$K$3:$K$22*(Calc!$G$3:$G$22&gt;=B143))</f>
        <v/>
      </c>
      <c r="F143">
        <f>AND(k_n&gt;=5,B143&gt;A143+1E-9,C143&gt;=2,D143&gt;=1,E143&gt;=2)</f>
        <v/>
      </c>
      <c r="G143">
        <f>SUMPRODUCT(Calc!$K$3:$K$22*(Calc!$G$3:$G$22&gt;A143)*(Calc!$G$3:$G$22-A143))</f>
        <v/>
      </c>
      <c r="H143">
        <f>SUMPRODUCT(Calc!$K$3:$K$22*(Calc!$G$3:$G$22&gt;B143)*(Calc!$G$3:$G$22-B143))</f>
        <v/>
      </c>
      <c r="I143">
        <f>SUMPRODUCT(Calc!$K$3:$K$22*(Calc!$G$3:$G$22&gt;A143)*(Calc!$G$3:$G$22-A143)^2)</f>
        <v/>
      </c>
      <c r="J143">
        <f>SUMPRODUCT(Calc!$K$3:$K$22*(Calc!$G$3:$G$22&gt;B143)*(Calc!$G$3:$G$22-B143)^2)</f>
        <v/>
      </c>
      <c r="K143">
        <f>SUMPRODUCT(Calc!$K$3:$K$22*(Calc!$G$3:$G$22&gt;A143)*(Calc!$G$3:$G$22-A143)*(Calc!$G$3:$G$22&gt;B143)*(Calc!$G$3:$G$22-B143))</f>
        <v/>
      </c>
      <c r="L143">
        <f>SUMPRODUCT(Calc!$K$3:$K$22*(Calc!$G$3:$G$22&gt;A143)*(Calc!$G$3:$G$22-A143)*Calc!$G$3:$G$22)</f>
        <v/>
      </c>
      <c r="M143">
        <f>SUMPRODUCT(Calc!$K$3:$K$22*(Calc!$G$3:$G$22&gt;B143)*(Calc!$G$3:$G$22-B143)*Calc!$G$3:$G$22)</f>
        <v/>
      </c>
      <c r="N143">
        <f>SUMPRODUCT(Calc!$K$3:$K$22*(Calc!$G$3:$G$22&gt;A143)*(Calc!$G$3:$G$22-A143)*Calc!$I$3:$I$22)</f>
        <v/>
      </c>
      <c r="O143">
        <f>SUMPRODUCT(Calc!$K$3:$K$22*(Calc!$G$3:$G$22&gt;B143)*(Calc!$G$3:$G$22-B143)*Calc!$I$3:$I$22)</f>
        <v/>
      </c>
      <c r="P143">
        <f>I143-G143^2/k_n</f>
        <v/>
      </c>
      <c r="Q143">
        <f>J143-H143^2/k_n</f>
        <v/>
      </c>
      <c r="R143">
        <f>K143-G143*H143/k_n</f>
        <v/>
      </c>
      <c r="S143">
        <f>L143-LTP3!$D$3*G143/k_n</f>
        <v/>
      </c>
      <c r="T143">
        <f>M143-LTP3!$D$3*H143/k_n</f>
        <v/>
      </c>
      <c r="U143">
        <f>N143-G143*LTP3!$D$4/k_n</f>
        <v/>
      </c>
      <c r="V143">
        <f>O143-H143*LTP3!$D$4/k_n</f>
        <v/>
      </c>
      <c r="W143">
        <f>((LTP3!$D$5)*((P143)*(Q143)-(R143)*(R143))-(S143)*((S143)*(Q143)-(R143)*(T143))+(T143)*((S143)*(R143)-(P143)*(T143)))</f>
        <v/>
      </c>
      <c r="X143">
        <f>IF(ABS(W143)&gt;1E-12,((LTP3!$D$6)*((P143)*(Q143)-(R143)*(R143))-(S143)*((U143)*(Q143)-(R143)*(V143))+(T143)*((U143)*(R143)-(P143)*(V143)))/W143,0)</f>
        <v/>
      </c>
      <c r="Y143">
        <f>IF(ABS(W143)&gt;1E-12,((LTP3!$D$5)*((U143)*(Q143)-(R143)*(V143))-(LTP3!$D$6)*((S143)*(Q143)-(R143)*(T143))+(T143)*((S143)*(V143)-(U143)*(T143)))/W143,0)</f>
        <v/>
      </c>
      <c r="Z143">
        <f>IF(ABS(W143)&gt;1E-12,((LTP3!$D$5)*((P143)*(V143)-(U143)*(R143))-(S143)*((S143)*(V143)-(U143)*(T143))+(LTP3!$D$6)*((S143)*(R143)-(P143)*(T143)))/W143,0)</f>
        <v/>
      </c>
      <c r="AA143">
        <f>LTP3!$D$7-X143*LTP3!$D$6-Y143*U143-Z143*V143</f>
        <v/>
      </c>
      <c r="AB143">
        <f>IF(AND(F143,ABS(W143)&gt;1E-12,Y143&gt;0,Z143&gt;0),AA143,1E+300)</f>
        <v/>
      </c>
    </row>
    <row r="144">
      <c r="A144">
        <f>$B$3+$B$5*2</f>
        <v/>
      </c>
      <c r="B144">
        <f>$B$3+$B$5*10</f>
        <v/>
      </c>
      <c r="C144">
        <f>SUMPRODUCT(Calc!$K$3:$K$22*(Calc!$G$3:$G$22&lt;=A144))</f>
        <v/>
      </c>
      <c r="D144">
        <f>SUMPRODUCT(Calc!$K$3:$K$22*(Calc!$G$3:$G$22&gt;A144)*(Calc!$G$3:$G$22&lt;B144))</f>
        <v/>
      </c>
      <c r="E144">
        <f>SUMPRODUCT(Calc!$K$3:$K$22*(Calc!$G$3:$G$22&gt;=B144))</f>
        <v/>
      </c>
      <c r="F144">
        <f>AND(k_n&gt;=5,B144&gt;A144+1E-9,C144&gt;=2,D144&gt;=1,E144&gt;=2)</f>
        <v/>
      </c>
      <c r="G144">
        <f>SUMPRODUCT(Calc!$K$3:$K$22*(Calc!$G$3:$G$22&gt;A144)*(Calc!$G$3:$G$22-A144))</f>
        <v/>
      </c>
      <c r="H144">
        <f>SUMPRODUCT(Calc!$K$3:$K$22*(Calc!$G$3:$G$22&gt;B144)*(Calc!$G$3:$G$22-B144))</f>
        <v/>
      </c>
      <c r="I144">
        <f>SUMPRODUCT(Calc!$K$3:$K$22*(Calc!$G$3:$G$22&gt;A144)*(Calc!$G$3:$G$22-A144)^2)</f>
        <v/>
      </c>
      <c r="J144">
        <f>SUMPRODUCT(Calc!$K$3:$K$22*(Calc!$G$3:$G$22&gt;B144)*(Calc!$G$3:$G$22-B144)^2)</f>
        <v/>
      </c>
      <c r="K144">
        <f>SUMPRODUCT(Calc!$K$3:$K$22*(Calc!$G$3:$G$22&gt;A144)*(Calc!$G$3:$G$22-A144)*(Calc!$G$3:$G$22&gt;B144)*(Calc!$G$3:$G$22-B144))</f>
        <v/>
      </c>
      <c r="L144">
        <f>SUMPRODUCT(Calc!$K$3:$K$22*(Calc!$G$3:$G$22&gt;A144)*(Calc!$G$3:$G$22-A144)*Calc!$G$3:$G$22)</f>
        <v/>
      </c>
      <c r="M144">
        <f>SUMPRODUCT(Calc!$K$3:$K$22*(Calc!$G$3:$G$22&gt;B144)*(Calc!$G$3:$G$22-B144)*Calc!$G$3:$G$22)</f>
        <v/>
      </c>
      <c r="N144">
        <f>SUMPRODUCT(Calc!$K$3:$K$22*(Calc!$G$3:$G$22&gt;A144)*(Calc!$G$3:$G$22-A144)*Calc!$I$3:$I$22)</f>
        <v/>
      </c>
      <c r="O144">
        <f>SUMPRODUCT(Calc!$K$3:$K$22*(Calc!$G$3:$G$22&gt;B144)*(Calc!$G$3:$G$22-B144)*Calc!$I$3:$I$22)</f>
        <v/>
      </c>
      <c r="P144">
        <f>I144-G144^2/k_n</f>
        <v/>
      </c>
      <c r="Q144">
        <f>J144-H144^2/k_n</f>
        <v/>
      </c>
      <c r="R144">
        <f>K144-G144*H144/k_n</f>
        <v/>
      </c>
      <c r="S144">
        <f>L144-LTP3!$D$3*G144/k_n</f>
        <v/>
      </c>
      <c r="T144">
        <f>M144-LTP3!$D$3*H144/k_n</f>
        <v/>
      </c>
      <c r="U144">
        <f>N144-G144*LTP3!$D$4/k_n</f>
        <v/>
      </c>
      <c r="V144">
        <f>O144-H144*LTP3!$D$4/k_n</f>
        <v/>
      </c>
      <c r="W144">
        <f>((LTP3!$D$5)*((P144)*(Q144)-(R144)*(R144))-(S144)*((S144)*(Q144)-(R144)*(T144))+(T144)*((S144)*(R144)-(P144)*(T144)))</f>
        <v/>
      </c>
      <c r="X144">
        <f>IF(ABS(W144)&gt;1E-12,((LTP3!$D$6)*((P144)*(Q144)-(R144)*(R144))-(S144)*((U144)*(Q144)-(R144)*(V144))+(T144)*((U144)*(R144)-(P144)*(V144)))/W144,0)</f>
        <v/>
      </c>
      <c r="Y144">
        <f>IF(ABS(W144)&gt;1E-12,((LTP3!$D$5)*((U144)*(Q144)-(R144)*(V144))-(LTP3!$D$6)*((S144)*(Q144)-(R144)*(T144))+(T144)*((S144)*(V144)-(U144)*(T144)))/W144,0)</f>
        <v/>
      </c>
      <c r="Z144">
        <f>IF(ABS(W144)&gt;1E-12,((LTP3!$D$5)*((P144)*(V144)-(U144)*(R144))-(S144)*((S144)*(V144)-(U144)*(T144))+(LTP3!$D$6)*((S144)*(R144)-(P144)*(T144)))/W144,0)</f>
        <v/>
      </c>
      <c r="AA144">
        <f>LTP3!$D$7-X144*LTP3!$D$6-Y144*U144-Z144*V144</f>
        <v/>
      </c>
      <c r="AB144">
        <f>IF(AND(F144,ABS(W144)&gt;1E-12,Y144&gt;0,Z144&gt;0),AA144,1E+300)</f>
        <v/>
      </c>
    </row>
    <row r="145">
      <c r="A145">
        <f>$B$3+$B$5*2</f>
        <v/>
      </c>
      <c r="B145">
        <f>$B$3+$B$5*11</f>
        <v/>
      </c>
      <c r="C145">
        <f>SUMPRODUCT(Calc!$K$3:$K$22*(Calc!$G$3:$G$22&lt;=A145))</f>
        <v/>
      </c>
      <c r="D145">
        <f>SUMPRODUCT(Calc!$K$3:$K$22*(Calc!$G$3:$G$22&gt;A145)*(Calc!$G$3:$G$22&lt;B145))</f>
        <v/>
      </c>
      <c r="E145">
        <f>SUMPRODUCT(Calc!$K$3:$K$22*(Calc!$G$3:$G$22&gt;=B145))</f>
        <v/>
      </c>
      <c r="F145">
        <f>AND(k_n&gt;=5,B145&gt;A145+1E-9,C145&gt;=2,D145&gt;=1,E145&gt;=2)</f>
        <v/>
      </c>
      <c r="G145">
        <f>SUMPRODUCT(Calc!$K$3:$K$22*(Calc!$G$3:$G$22&gt;A145)*(Calc!$G$3:$G$22-A145))</f>
        <v/>
      </c>
      <c r="H145">
        <f>SUMPRODUCT(Calc!$K$3:$K$22*(Calc!$G$3:$G$22&gt;B145)*(Calc!$G$3:$G$22-B145))</f>
        <v/>
      </c>
      <c r="I145">
        <f>SUMPRODUCT(Calc!$K$3:$K$22*(Calc!$G$3:$G$22&gt;A145)*(Calc!$G$3:$G$22-A145)^2)</f>
        <v/>
      </c>
      <c r="J145">
        <f>SUMPRODUCT(Calc!$K$3:$K$22*(Calc!$G$3:$G$22&gt;B145)*(Calc!$G$3:$G$22-B145)^2)</f>
        <v/>
      </c>
      <c r="K145">
        <f>SUMPRODUCT(Calc!$K$3:$K$22*(Calc!$G$3:$G$22&gt;A145)*(Calc!$G$3:$G$22-A145)*(Calc!$G$3:$G$22&gt;B145)*(Calc!$G$3:$G$22-B145))</f>
        <v/>
      </c>
      <c r="L145">
        <f>SUMPRODUCT(Calc!$K$3:$K$22*(Calc!$G$3:$G$22&gt;A145)*(Calc!$G$3:$G$22-A145)*Calc!$G$3:$G$22)</f>
        <v/>
      </c>
      <c r="M145">
        <f>SUMPRODUCT(Calc!$K$3:$K$22*(Calc!$G$3:$G$22&gt;B145)*(Calc!$G$3:$G$22-B145)*Calc!$G$3:$G$22)</f>
        <v/>
      </c>
      <c r="N145">
        <f>SUMPRODUCT(Calc!$K$3:$K$22*(Calc!$G$3:$G$22&gt;A145)*(Calc!$G$3:$G$22-A145)*Calc!$I$3:$I$22)</f>
        <v/>
      </c>
      <c r="O145">
        <f>SUMPRODUCT(Calc!$K$3:$K$22*(Calc!$G$3:$G$22&gt;B145)*(Calc!$G$3:$G$22-B145)*Calc!$I$3:$I$22)</f>
        <v/>
      </c>
      <c r="P145">
        <f>I145-G145^2/k_n</f>
        <v/>
      </c>
      <c r="Q145">
        <f>J145-H145^2/k_n</f>
        <v/>
      </c>
      <c r="R145">
        <f>K145-G145*H145/k_n</f>
        <v/>
      </c>
      <c r="S145">
        <f>L145-LTP3!$D$3*G145/k_n</f>
        <v/>
      </c>
      <c r="T145">
        <f>M145-LTP3!$D$3*H145/k_n</f>
        <v/>
      </c>
      <c r="U145">
        <f>N145-G145*LTP3!$D$4/k_n</f>
        <v/>
      </c>
      <c r="V145">
        <f>O145-H145*LTP3!$D$4/k_n</f>
        <v/>
      </c>
      <c r="W145">
        <f>((LTP3!$D$5)*((P145)*(Q145)-(R145)*(R145))-(S145)*((S145)*(Q145)-(R145)*(T145))+(T145)*((S145)*(R145)-(P145)*(T145)))</f>
        <v/>
      </c>
      <c r="X145">
        <f>IF(ABS(W145)&gt;1E-12,((LTP3!$D$6)*((P145)*(Q145)-(R145)*(R145))-(S145)*((U145)*(Q145)-(R145)*(V145))+(T145)*((U145)*(R145)-(P145)*(V145)))/W145,0)</f>
        <v/>
      </c>
      <c r="Y145">
        <f>IF(ABS(W145)&gt;1E-12,((LTP3!$D$5)*((U145)*(Q145)-(R145)*(V145))-(LTP3!$D$6)*((S145)*(Q145)-(R145)*(T145))+(T145)*((S145)*(V145)-(U145)*(T145)))/W145,0)</f>
        <v/>
      </c>
      <c r="Z145">
        <f>IF(ABS(W145)&gt;1E-12,((LTP3!$D$5)*((P145)*(V145)-(U145)*(R145))-(S145)*((S145)*(V145)-(U145)*(T145))+(LTP3!$D$6)*((S145)*(R145)-(P145)*(T145)))/W145,0)</f>
        <v/>
      </c>
      <c r="AA145">
        <f>LTP3!$D$7-X145*LTP3!$D$6-Y145*U145-Z145*V145</f>
        <v/>
      </c>
      <c r="AB145">
        <f>IF(AND(F145,ABS(W145)&gt;1E-12,Y145&gt;0,Z145&gt;0),AA145,1E+300)</f>
        <v/>
      </c>
    </row>
    <row r="146">
      <c r="A146">
        <f>$B$3+$B$5*2</f>
        <v/>
      </c>
      <c r="B146">
        <f>$B$3+$B$5*12</f>
        <v/>
      </c>
      <c r="C146">
        <f>SUMPRODUCT(Calc!$K$3:$K$22*(Calc!$G$3:$G$22&lt;=A146))</f>
        <v/>
      </c>
      <c r="D146">
        <f>SUMPRODUCT(Calc!$K$3:$K$22*(Calc!$G$3:$G$22&gt;A146)*(Calc!$G$3:$G$22&lt;B146))</f>
        <v/>
      </c>
      <c r="E146">
        <f>SUMPRODUCT(Calc!$K$3:$K$22*(Calc!$G$3:$G$22&gt;=B146))</f>
        <v/>
      </c>
      <c r="F146">
        <f>AND(k_n&gt;=5,B146&gt;A146+1E-9,C146&gt;=2,D146&gt;=1,E146&gt;=2)</f>
        <v/>
      </c>
      <c r="G146">
        <f>SUMPRODUCT(Calc!$K$3:$K$22*(Calc!$G$3:$G$22&gt;A146)*(Calc!$G$3:$G$22-A146))</f>
        <v/>
      </c>
      <c r="H146">
        <f>SUMPRODUCT(Calc!$K$3:$K$22*(Calc!$G$3:$G$22&gt;B146)*(Calc!$G$3:$G$22-B146))</f>
        <v/>
      </c>
      <c r="I146">
        <f>SUMPRODUCT(Calc!$K$3:$K$22*(Calc!$G$3:$G$22&gt;A146)*(Calc!$G$3:$G$22-A146)^2)</f>
        <v/>
      </c>
      <c r="J146">
        <f>SUMPRODUCT(Calc!$K$3:$K$22*(Calc!$G$3:$G$22&gt;B146)*(Calc!$G$3:$G$22-B146)^2)</f>
        <v/>
      </c>
      <c r="K146">
        <f>SUMPRODUCT(Calc!$K$3:$K$22*(Calc!$G$3:$G$22&gt;A146)*(Calc!$G$3:$G$22-A146)*(Calc!$G$3:$G$22&gt;B146)*(Calc!$G$3:$G$22-B146))</f>
        <v/>
      </c>
      <c r="L146">
        <f>SUMPRODUCT(Calc!$K$3:$K$22*(Calc!$G$3:$G$22&gt;A146)*(Calc!$G$3:$G$22-A146)*Calc!$G$3:$G$22)</f>
        <v/>
      </c>
      <c r="M146">
        <f>SUMPRODUCT(Calc!$K$3:$K$22*(Calc!$G$3:$G$22&gt;B146)*(Calc!$G$3:$G$22-B146)*Calc!$G$3:$G$22)</f>
        <v/>
      </c>
      <c r="N146">
        <f>SUMPRODUCT(Calc!$K$3:$K$22*(Calc!$G$3:$G$22&gt;A146)*(Calc!$G$3:$G$22-A146)*Calc!$I$3:$I$22)</f>
        <v/>
      </c>
      <c r="O146">
        <f>SUMPRODUCT(Calc!$K$3:$K$22*(Calc!$G$3:$G$22&gt;B146)*(Calc!$G$3:$G$22-B146)*Calc!$I$3:$I$22)</f>
        <v/>
      </c>
      <c r="P146">
        <f>I146-G146^2/k_n</f>
        <v/>
      </c>
      <c r="Q146">
        <f>J146-H146^2/k_n</f>
        <v/>
      </c>
      <c r="R146">
        <f>K146-G146*H146/k_n</f>
        <v/>
      </c>
      <c r="S146">
        <f>L146-LTP3!$D$3*G146/k_n</f>
        <v/>
      </c>
      <c r="T146">
        <f>M146-LTP3!$D$3*H146/k_n</f>
        <v/>
      </c>
      <c r="U146">
        <f>N146-G146*LTP3!$D$4/k_n</f>
        <v/>
      </c>
      <c r="V146">
        <f>O146-H146*LTP3!$D$4/k_n</f>
        <v/>
      </c>
      <c r="W146">
        <f>((LTP3!$D$5)*((P146)*(Q146)-(R146)*(R146))-(S146)*((S146)*(Q146)-(R146)*(T146))+(T146)*((S146)*(R146)-(P146)*(T146)))</f>
        <v/>
      </c>
      <c r="X146">
        <f>IF(ABS(W146)&gt;1E-12,((LTP3!$D$6)*((P146)*(Q146)-(R146)*(R146))-(S146)*((U146)*(Q146)-(R146)*(V146))+(T146)*((U146)*(R146)-(P146)*(V146)))/W146,0)</f>
        <v/>
      </c>
      <c r="Y146">
        <f>IF(ABS(W146)&gt;1E-12,((LTP3!$D$5)*((U146)*(Q146)-(R146)*(V146))-(LTP3!$D$6)*((S146)*(Q146)-(R146)*(T146))+(T146)*((S146)*(V146)-(U146)*(T146)))/W146,0)</f>
        <v/>
      </c>
      <c r="Z146">
        <f>IF(ABS(W146)&gt;1E-12,((LTP3!$D$5)*((P146)*(V146)-(U146)*(R146))-(S146)*((S146)*(V146)-(U146)*(T146))+(LTP3!$D$6)*((S146)*(R146)-(P146)*(T146)))/W146,0)</f>
        <v/>
      </c>
      <c r="AA146">
        <f>LTP3!$D$7-X146*LTP3!$D$6-Y146*U146-Z146*V146</f>
        <v/>
      </c>
      <c r="AB146">
        <f>IF(AND(F146,ABS(W146)&gt;1E-12,Y146&gt;0,Z146&gt;0),AA146,1E+300)</f>
        <v/>
      </c>
    </row>
    <row r="147">
      <c r="A147">
        <f>$B$3+$B$5*2</f>
        <v/>
      </c>
      <c r="B147">
        <f>$B$3+$B$5*13</f>
        <v/>
      </c>
      <c r="C147">
        <f>SUMPRODUCT(Calc!$K$3:$K$22*(Calc!$G$3:$G$22&lt;=A147))</f>
        <v/>
      </c>
      <c r="D147">
        <f>SUMPRODUCT(Calc!$K$3:$K$22*(Calc!$G$3:$G$22&gt;A147)*(Calc!$G$3:$G$22&lt;B147))</f>
        <v/>
      </c>
      <c r="E147">
        <f>SUMPRODUCT(Calc!$K$3:$K$22*(Calc!$G$3:$G$22&gt;=B147))</f>
        <v/>
      </c>
      <c r="F147">
        <f>AND(k_n&gt;=5,B147&gt;A147+1E-9,C147&gt;=2,D147&gt;=1,E147&gt;=2)</f>
        <v/>
      </c>
      <c r="G147">
        <f>SUMPRODUCT(Calc!$K$3:$K$22*(Calc!$G$3:$G$22&gt;A147)*(Calc!$G$3:$G$22-A147))</f>
        <v/>
      </c>
      <c r="H147">
        <f>SUMPRODUCT(Calc!$K$3:$K$22*(Calc!$G$3:$G$22&gt;B147)*(Calc!$G$3:$G$22-B147))</f>
        <v/>
      </c>
      <c r="I147">
        <f>SUMPRODUCT(Calc!$K$3:$K$22*(Calc!$G$3:$G$22&gt;A147)*(Calc!$G$3:$G$22-A147)^2)</f>
        <v/>
      </c>
      <c r="J147">
        <f>SUMPRODUCT(Calc!$K$3:$K$22*(Calc!$G$3:$G$22&gt;B147)*(Calc!$G$3:$G$22-B147)^2)</f>
        <v/>
      </c>
      <c r="K147">
        <f>SUMPRODUCT(Calc!$K$3:$K$22*(Calc!$G$3:$G$22&gt;A147)*(Calc!$G$3:$G$22-A147)*(Calc!$G$3:$G$22&gt;B147)*(Calc!$G$3:$G$22-B147))</f>
        <v/>
      </c>
      <c r="L147">
        <f>SUMPRODUCT(Calc!$K$3:$K$22*(Calc!$G$3:$G$22&gt;A147)*(Calc!$G$3:$G$22-A147)*Calc!$G$3:$G$22)</f>
        <v/>
      </c>
      <c r="M147">
        <f>SUMPRODUCT(Calc!$K$3:$K$22*(Calc!$G$3:$G$22&gt;B147)*(Calc!$G$3:$G$22-B147)*Calc!$G$3:$G$22)</f>
        <v/>
      </c>
      <c r="N147">
        <f>SUMPRODUCT(Calc!$K$3:$K$22*(Calc!$G$3:$G$22&gt;A147)*(Calc!$G$3:$G$22-A147)*Calc!$I$3:$I$22)</f>
        <v/>
      </c>
      <c r="O147">
        <f>SUMPRODUCT(Calc!$K$3:$K$22*(Calc!$G$3:$G$22&gt;B147)*(Calc!$G$3:$G$22-B147)*Calc!$I$3:$I$22)</f>
        <v/>
      </c>
      <c r="P147">
        <f>I147-G147^2/k_n</f>
        <v/>
      </c>
      <c r="Q147">
        <f>J147-H147^2/k_n</f>
        <v/>
      </c>
      <c r="R147">
        <f>K147-G147*H147/k_n</f>
        <v/>
      </c>
      <c r="S147">
        <f>L147-LTP3!$D$3*G147/k_n</f>
        <v/>
      </c>
      <c r="T147">
        <f>M147-LTP3!$D$3*H147/k_n</f>
        <v/>
      </c>
      <c r="U147">
        <f>N147-G147*LTP3!$D$4/k_n</f>
        <v/>
      </c>
      <c r="V147">
        <f>O147-H147*LTP3!$D$4/k_n</f>
        <v/>
      </c>
      <c r="W147">
        <f>((LTP3!$D$5)*((P147)*(Q147)-(R147)*(R147))-(S147)*((S147)*(Q147)-(R147)*(T147))+(T147)*((S147)*(R147)-(P147)*(T147)))</f>
        <v/>
      </c>
      <c r="X147">
        <f>IF(ABS(W147)&gt;1E-12,((LTP3!$D$6)*((P147)*(Q147)-(R147)*(R147))-(S147)*((U147)*(Q147)-(R147)*(V147))+(T147)*((U147)*(R147)-(P147)*(V147)))/W147,0)</f>
        <v/>
      </c>
      <c r="Y147">
        <f>IF(ABS(W147)&gt;1E-12,((LTP3!$D$5)*((U147)*(Q147)-(R147)*(V147))-(LTP3!$D$6)*((S147)*(Q147)-(R147)*(T147))+(T147)*((S147)*(V147)-(U147)*(T147)))/W147,0)</f>
        <v/>
      </c>
      <c r="Z147">
        <f>IF(ABS(W147)&gt;1E-12,((LTP3!$D$5)*((P147)*(V147)-(U147)*(R147))-(S147)*((S147)*(V147)-(U147)*(T147))+(LTP3!$D$6)*((S147)*(R147)-(P147)*(T147)))/W147,0)</f>
        <v/>
      </c>
      <c r="AA147">
        <f>LTP3!$D$7-X147*LTP3!$D$6-Y147*U147-Z147*V147</f>
        <v/>
      </c>
      <c r="AB147">
        <f>IF(AND(F147,ABS(W147)&gt;1E-12,Y147&gt;0,Z147&gt;0),AA147,1E+300)</f>
        <v/>
      </c>
    </row>
    <row r="148">
      <c r="A148">
        <f>$B$3+$B$5*2</f>
        <v/>
      </c>
      <c r="B148">
        <f>$B$3+$B$5*14</f>
        <v/>
      </c>
      <c r="C148">
        <f>SUMPRODUCT(Calc!$K$3:$K$22*(Calc!$G$3:$G$22&lt;=A148))</f>
        <v/>
      </c>
      <c r="D148">
        <f>SUMPRODUCT(Calc!$K$3:$K$22*(Calc!$G$3:$G$22&gt;A148)*(Calc!$G$3:$G$22&lt;B148))</f>
        <v/>
      </c>
      <c r="E148">
        <f>SUMPRODUCT(Calc!$K$3:$K$22*(Calc!$G$3:$G$22&gt;=B148))</f>
        <v/>
      </c>
      <c r="F148">
        <f>AND(k_n&gt;=5,B148&gt;A148+1E-9,C148&gt;=2,D148&gt;=1,E148&gt;=2)</f>
        <v/>
      </c>
      <c r="G148">
        <f>SUMPRODUCT(Calc!$K$3:$K$22*(Calc!$G$3:$G$22&gt;A148)*(Calc!$G$3:$G$22-A148))</f>
        <v/>
      </c>
      <c r="H148">
        <f>SUMPRODUCT(Calc!$K$3:$K$22*(Calc!$G$3:$G$22&gt;B148)*(Calc!$G$3:$G$22-B148))</f>
        <v/>
      </c>
      <c r="I148">
        <f>SUMPRODUCT(Calc!$K$3:$K$22*(Calc!$G$3:$G$22&gt;A148)*(Calc!$G$3:$G$22-A148)^2)</f>
        <v/>
      </c>
      <c r="J148">
        <f>SUMPRODUCT(Calc!$K$3:$K$22*(Calc!$G$3:$G$22&gt;B148)*(Calc!$G$3:$G$22-B148)^2)</f>
        <v/>
      </c>
      <c r="K148">
        <f>SUMPRODUCT(Calc!$K$3:$K$22*(Calc!$G$3:$G$22&gt;A148)*(Calc!$G$3:$G$22-A148)*(Calc!$G$3:$G$22&gt;B148)*(Calc!$G$3:$G$22-B148))</f>
        <v/>
      </c>
      <c r="L148">
        <f>SUMPRODUCT(Calc!$K$3:$K$22*(Calc!$G$3:$G$22&gt;A148)*(Calc!$G$3:$G$22-A148)*Calc!$G$3:$G$22)</f>
        <v/>
      </c>
      <c r="M148">
        <f>SUMPRODUCT(Calc!$K$3:$K$22*(Calc!$G$3:$G$22&gt;B148)*(Calc!$G$3:$G$22-B148)*Calc!$G$3:$G$22)</f>
        <v/>
      </c>
      <c r="N148">
        <f>SUMPRODUCT(Calc!$K$3:$K$22*(Calc!$G$3:$G$22&gt;A148)*(Calc!$G$3:$G$22-A148)*Calc!$I$3:$I$22)</f>
        <v/>
      </c>
      <c r="O148">
        <f>SUMPRODUCT(Calc!$K$3:$K$22*(Calc!$G$3:$G$22&gt;B148)*(Calc!$G$3:$G$22-B148)*Calc!$I$3:$I$22)</f>
        <v/>
      </c>
      <c r="P148">
        <f>I148-G148^2/k_n</f>
        <v/>
      </c>
      <c r="Q148">
        <f>J148-H148^2/k_n</f>
        <v/>
      </c>
      <c r="R148">
        <f>K148-G148*H148/k_n</f>
        <v/>
      </c>
      <c r="S148">
        <f>L148-LTP3!$D$3*G148/k_n</f>
        <v/>
      </c>
      <c r="T148">
        <f>M148-LTP3!$D$3*H148/k_n</f>
        <v/>
      </c>
      <c r="U148">
        <f>N148-G148*LTP3!$D$4/k_n</f>
        <v/>
      </c>
      <c r="V148">
        <f>O148-H148*LTP3!$D$4/k_n</f>
        <v/>
      </c>
      <c r="W148">
        <f>((LTP3!$D$5)*((P148)*(Q148)-(R148)*(R148))-(S148)*((S148)*(Q148)-(R148)*(T148))+(T148)*((S148)*(R148)-(P148)*(T148)))</f>
        <v/>
      </c>
      <c r="X148">
        <f>IF(ABS(W148)&gt;1E-12,((LTP3!$D$6)*((P148)*(Q148)-(R148)*(R148))-(S148)*((U148)*(Q148)-(R148)*(V148))+(T148)*((U148)*(R148)-(P148)*(V148)))/W148,0)</f>
        <v/>
      </c>
      <c r="Y148">
        <f>IF(ABS(W148)&gt;1E-12,((LTP3!$D$5)*((U148)*(Q148)-(R148)*(V148))-(LTP3!$D$6)*((S148)*(Q148)-(R148)*(T148))+(T148)*((S148)*(V148)-(U148)*(T148)))/W148,0)</f>
        <v/>
      </c>
      <c r="Z148">
        <f>IF(ABS(W148)&gt;1E-12,((LTP3!$D$5)*((P148)*(V148)-(U148)*(R148))-(S148)*((S148)*(V148)-(U148)*(T148))+(LTP3!$D$6)*((S148)*(R148)-(P148)*(T148)))/W148,0)</f>
        <v/>
      </c>
      <c r="AA148">
        <f>LTP3!$D$7-X148*LTP3!$D$6-Y148*U148-Z148*V148</f>
        <v/>
      </c>
      <c r="AB148">
        <f>IF(AND(F148,ABS(W148)&gt;1E-12,Y148&gt;0,Z148&gt;0),AA148,1E+300)</f>
        <v/>
      </c>
    </row>
    <row r="149">
      <c r="A149">
        <f>$B$3+$B$5*2</f>
        <v/>
      </c>
      <c r="B149">
        <f>$B$3+$B$5*15</f>
        <v/>
      </c>
      <c r="C149">
        <f>SUMPRODUCT(Calc!$K$3:$K$22*(Calc!$G$3:$G$22&lt;=A149))</f>
        <v/>
      </c>
      <c r="D149">
        <f>SUMPRODUCT(Calc!$K$3:$K$22*(Calc!$G$3:$G$22&gt;A149)*(Calc!$G$3:$G$22&lt;B149))</f>
        <v/>
      </c>
      <c r="E149">
        <f>SUMPRODUCT(Calc!$K$3:$K$22*(Calc!$G$3:$G$22&gt;=B149))</f>
        <v/>
      </c>
      <c r="F149">
        <f>AND(k_n&gt;=5,B149&gt;A149+1E-9,C149&gt;=2,D149&gt;=1,E149&gt;=2)</f>
        <v/>
      </c>
      <c r="G149">
        <f>SUMPRODUCT(Calc!$K$3:$K$22*(Calc!$G$3:$G$22&gt;A149)*(Calc!$G$3:$G$22-A149))</f>
        <v/>
      </c>
      <c r="H149">
        <f>SUMPRODUCT(Calc!$K$3:$K$22*(Calc!$G$3:$G$22&gt;B149)*(Calc!$G$3:$G$22-B149))</f>
        <v/>
      </c>
      <c r="I149">
        <f>SUMPRODUCT(Calc!$K$3:$K$22*(Calc!$G$3:$G$22&gt;A149)*(Calc!$G$3:$G$22-A149)^2)</f>
        <v/>
      </c>
      <c r="J149">
        <f>SUMPRODUCT(Calc!$K$3:$K$22*(Calc!$G$3:$G$22&gt;B149)*(Calc!$G$3:$G$22-B149)^2)</f>
        <v/>
      </c>
      <c r="K149">
        <f>SUMPRODUCT(Calc!$K$3:$K$22*(Calc!$G$3:$G$22&gt;A149)*(Calc!$G$3:$G$22-A149)*(Calc!$G$3:$G$22&gt;B149)*(Calc!$G$3:$G$22-B149))</f>
        <v/>
      </c>
      <c r="L149">
        <f>SUMPRODUCT(Calc!$K$3:$K$22*(Calc!$G$3:$G$22&gt;A149)*(Calc!$G$3:$G$22-A149)*Calc!$G$3:$G$22)</f>
        <v/>
      </c>
      <c r="M149">
        <f>SUMPRODUCT(Calc!$K$3:$K$22*(Calc!$G$3:$G$22&gt;B149)*(Calc!$G$3:$G$22-B149)*Calc!$G$3:$G$22)</f>
        <v/>
      </c>
      <c r="N149">
        <f>SUMPRODUCT(Calc!$K$3:$K$22*(Calc!$G$3:$G$22&gt;A149)*(Calc!$G$3:$G$22-A149)*Calc!$I$3:$I$22)</f>
        <v/>
      </c>
      <c r="O149">
        <f>SUMPRODUCT(Calc!$K$3:$K$22*(Calc!$G$3:$G$22&gt;B149)*(Calc!$G$3:$G$22-B149)*Calc!$I$3:$I$22)</f>
        <v/>
      </c>
      <c r="P149">
        <f>I149-G149^2/k_n</f>
        <v/>
      </c>
      <c r="Q149">
        <f>J149-H149^2/k_n</f>
        <v/>
      </c>
      <c r="R149">
        <f>K149-G149*H149/k_n</f>
        <v/>
      </c>
      <c r="S149">
        <f>L149-LTP3!$D$3*G149/k_n</f>
        <v/>
      </c>
      <c r="T149">
        <f>M149-LTP3!$D$3*H149/k_n</f>
        <v/>
      </c>
      <c r="U149">
        <f>N149-G149*LTP3!$D$4/k_n</f>
        <v/>
      </c>
      <c r="V149">
        <f>O149-H149*LTP3!$D$4/k_n</f>
        <v/>
      </c>
      <c r="W149">
        <f>((LTP3!$D$5)*((P149)*(Q149)-(R149)*(R149))-(S149)*((S149)*(Q149)-(R149)*(T149))+(T149)*((S149)*(R149)-(P149)*(T149)))</f>
        <v/>
      </c>
      <c r="X149">
        <f>IF(ABS(W149)&gt;1E-12,((LTP3!$D$6)*((P149)*(Q149)-(R149)*(R149))-(S149)*((U149)*(Q149)-(R149)*(V149))+(T149)*((U149)*(R149)-(P149)*(V149)))/W149,0)</f>
        <v/>
      </c>
      <c r="Y149">
        <f>IF(ABS(W149)&gt;1E-12,((LTP3!$D$5)*((U149)*(Q149)-(R149)*(V149))-(LTP3!$D$6)*((S149)*(Q149)-(R149)*(T149))+(T149)*((S149)*(V149)-(U149)*(T149)))/W149,0)</f>
        <v/>
      </c>
      <c r="Z149">
        <f>IF(ABS(W149)&gt;1E-12,((LTP3!$D$5)*((P149)*(V149)-(U149)*(R149))-(S149)*((S149)*(V149)-(U149)*(T149))+(LTP3!$D$6)*((S149)*(R149)-(P149)*(T149)))/W149,0)</f>
        <v/>
      </c>
      <c r="AA149">
        <f>LTP3!$D$7-X149*LTP3!$D$6-Y149*U149-Z149*V149</f>
        <v/>
      </c>
      <c r="AB149">
        <f>IF(AND(F149,ABS(W149)&gt;1E-12,Y149&gt;0,Z149&gt;0),AA149,1E+300)</f>
        <v/>
      </c>
    </row>
    <row r="150">
      <c r="A150">
        <f>$B$3+$B$5*2</f>
        <v/>
      </c>
      <c r="B150">
        <f>$B$3+$B$5*16</f>
        <v/>
      </c>
      <c r="C150">
        <f>SUMPRODUCT(Calc!$K$3:$K$22*(Calc!$G$3:$G$22&lt;=A150))</f>
        <v/>
      </c>
      <c r="D150">
        <f>SUMPRODUCT(Calc!$K$3:$K$22*(Calc!$G$3:$G$22&gt;A150)*(Calc!$G$3:$G$22&lt;B150))</f>
        <v/>
      </c>
      <c r="E150">
        <f>SUMPRODUCT(Calc!$K$3:$K$22*(Calc!$G$3:$G$22&gt;=B150))</f>
        <v/>
      </c>
      <c r="F150">
        <f>AND(k_n&gt;=5,B150&gt;A150+1E-9,C150&gt;=2,D150&gt;=1,E150&gt;=2)</f>
        <v/>
      </c>
      <c r="G150">
        <f>SUMPRODUCT(Calc!$K$3:$K$22*(Calc!$G$3:$G$22&gt;A150)*(Calc!$G$3:$G$22-A150))</f>
        <v/>
      </c>
      <c r="H150">
        <f>SUMPRODUCT(Calc!$K$3:$K$22*(Calc!$G$3:$G$22&gt;B150)*(Calc!$G$3:$G$22-B150))</f>
        <v/>
      </c>
      <c r="I150">
        <f>SUMPRODUCT(Calc!$K$3:$K$22*(Calc!$G$3:$G$22&gt;A150)*(Calc!$G$3:$G$22-A150)^2)</f>
        <v/>
      </c>
      <c r="J150">
        <f>SUMPRODUCT(Calc!$K$3:$K$22*(Calc!$G$3:$G$22&gt;B150)*(Calc!$G$3:$G$22-B150)^2)</f>
        <v/>
      </c>
      <c r="K150">
        <f>SUMPRODUCT(Calc!$K$3:$K$22*(Calc!$G$3:$G$22&gt;A150)*(Calc!$G$3:$G$22-A150)*(Calc!$G$3:$G$22&gt;B150)*(Calc!$G$3:$G$22-B150))</f>
        <v/>
      </c>
      <c r="L150">
        <f>SUMPRODUCT(Calc!$K$3:$K$22*(Calc!$G$3:$G$22&gt;A150)*(Calc!$G$3:$G$22-A150)*Calc!$G$3:$G$22)</f>
        <v/>
      </c>
      <c r="M150">
        <f>SUMPRODUCT(Calc!$K$3:$K$22*(Calc!$G$3:$G$22&gt;B150)*(Calc!$G$3:$G$22-B150)*Calc!$G$3:$G$22)</f>
        <v/>
      </c>
      <c r="N150">
        <f>SUMPRODUCT(Calc!$K$3:$K$22*(Calc!$G$3:$G$22&gt;A150)*(Calc!$G$3:$G$22-A150)*Calc!$I$3:$I$22)</f>
        <v/>
      </c>
      <c r="O150">
        <f>SUMPRODUCT(Calc!$K$3:$K$22*(Calc!$G$3:$G$22&gt;B150)*(Calc!$G$3:$G$22-B150)*Calc!$I$3:$I$22)</f>
        <v/>
      </c>
      <c r="P150">
        <f>I150-G150^2/k_n</f>
        <v/>
      </c>
      <c r="Q150">
        <f>J150-H150^2/k_n</f>
        <v/>
      </c>
      <c r="R150">
        <f>K150-G150*H150/k_n</f>
        <v/>
      </c>
      <c r="S150">
        <f>L150-LTP3!$D$3*G150/k_n</f>
        <v/>
      </c>
      <c r="T150">
        <f>M150-LTP3!$D$3*H150/k_n</f>
        <v/>
      </c>
      <c r="U150">
        <f>N150-G150*LTP3!$D$4/k_n</f>
        <v/>
      </c>
      <c r="V150">
        <f>O150-H150*LTP3!$D$4/k_n</f>
        <v/>
      </c>
      <c r="W150">
        <f>((LTP3!$D$5)*((P150)*(Q150)-(R150)*(R150))-(S150)*((S150)*(Q150)-(R150)*(T150))+(T150)*((S150)*(R150)-(P150)*(T150)))</f>
        <v/>
      </c>
      <c r="X150">
        <f>IF(ABS(W150)&gt;1E-12,((LTP3!$D$6)*((P150)*(Q150)-(R150)*(R150))-(S150)*((U150)*(Q150)-(R150)*(V150))+(T150)*((U150)*(R150)-(P150)*(V150)))/W150,0)</f>
        <v/>
      </c>
      <c r="Y150">
        <f>IF(ABS(W150)&gt;1E-12,((LTP3!$D$5)*((U150)*(Q150)-(R150)*(V150))-(LTP3!$D$6)*((S150)*(Q150)-(R150)*(T150))+(T150)*((S150)*(V150)-(U150)*(T150)))/W150,0)</f>
        <v/>
      </c>
      <c r="Z150">
        <f>IF(ABS(W150)&gt;1E-12,((LTP3!$D$5)*((P150)*(V150)-(U150)*(R150))-(S150)*((S150)*(V150)-(U150)*(T150))+(LTP3!$D$6)*((S150)*(R150)-(P150)*(T150)))/W150,0)</f>
        <v/>
      </c>
      <c r="AA150">
        <f>LTP3!$D$7-X150*LTP3!$D$6-Y150*U150-Z150*V150</f>
        <v/>
      </c>
      <c r="AB150">
        <f>IF(AND(F150,ABS(W150)&gt;1E-12,Y150&gt;0,Z150&gt;0),AA150,1E+300)</f>
        <v/>
      </c>
    </row>
    <row r="151">
      <c r="A151">
        <f>$B$3+$B$5*2</f>
        <v/>
      </c>
      <c r="B151">
        <f>$B$3+$B$5*17</f>
        <v/>
      </c>
      <c r="C151">
        <f>SUMPRODUCT(Calc!$K$3:$K$22*(Calc!$G$3:$G$22&lt;=A151))</f>
        <v/>
      </c>
      <c r="D151">
        <f>SUMPRODUCT(Calc!$K$3:$K$22*(Calc!$G$3:$G$22&gt;A151)*(Calc!$G$3:$G$22&lt;B151))</f>
        <v/>
      </c>
      <c r="E151">
        <f>SUMPRODUCT(Calc!$K$3:$K$22*(Calc!$G$3:$G$22&gt;=B151))</f>
        <v/>
      </c>
      <c r="F151">
        <f>AND(k_n&gt;=5,B151&gt;A151+1E-9,C151&gt;=2,D151&gt;=1,E151&gt;=2)</f>
        <v/>
      </c>
      <c r="G151">
        <f>SUMPRODUCT(Calc!$K$3:$K$22*(Calc!$G$3:$G$22&gt;A151)*(Calc!$G$3:$G$22-A151))</f>
        <v/>
      </c>
      <c r="H151">
        <f>SUMPRODUCT(Calc!$K$3:$K$22*(Calc!$G$3:$G$22&gt;B151)*(Calc!$G$3:$G$22-B151))</f>
        <v/>
      </c>
      <c r="I151">
        <f>SUMPRODUCT(Calc!$K$3:$K$22*(Calc!$G$3:$G$22&gt;A151)*(Calc!$G$3:$G$22-A151)^2)</f>
        <v/>
      </c>
      <c r="J151">
        <f>SUMPRODUCT(Calc!$K$3:$K$22*(Calc!$G$3:$G$22&gt;B151)*(Calc!$G$3:$G$22-B151)^2)</f>
        <v/>
      </c>
      <c r="K151">
        <f>SUMPRODUCT(Calc!$K$3:$K$22*(Calc!$G$3:$G$22&gt;A151)*(Calc!$G$3:$G$22-A151)*(Calc!$G$3:$G$22&gt;B151)*(Calc!$G$3:$G$22-B151))</f>
        <v/>
      </c>
      <c r="L151">
        <f>SUMPRODUCT(Calc!$K$3:$K$22*(Calc!$G$3:$G$22&gt;A151)*(Calc!$G$3:$G$22-A151)*Calc!$G$3:$G$22)</f>
        <v/>
      </c>
      <c r="M151">
        <f>SUMPRODUCT(Calc!$K$3:$K$22*(Calc!$G$3:$G$22&gt;B151)*(Calc!$G$3:$G$22-B151)*Calc!$G$3:$G$22)</f>
        <v/>
      </c>
      <c r="N151">
        <f>SUMPRODUCT(Calc!$K$3:$K$22*(Calc!$G$3:$G$22&gt;A151)*(Calc!$G$3:$G$22-A151)*Calc!$I$3:$I$22)</f>
        <v/>
      </c>
      <c r="O151">
        <f>SUMPRODUCT(Calc!$K$3:$K$22*(Calc!$G$3:$G$22&gt;B151)*(Calc!$G$3:$G$22-B151)*Calc!$I$3:$I$22)</f>
        <v/>
      </c>
      <c r="P151">
        <f>I151-G151^2/k_n</f>
        <v/>
      </c>
      <c r="Q151">
        <f>J151-H151^2/k_n</f>
        <v/>
      </c>
      <c r="R151">
        <f>K151-G151*H151/k_n</f>
        <v/>
      </c>
      <c r="S151">
        <f>L151-LTP3!$D$3*G151/k_n</f>
        <v/>
      </c>
      <c r="T151">
        <f>M151-LTP3!$D$3*H151/k_n</f>
        <v/>
      </c>
      <c r="U151">
        <f>N151-G151*LTP3!$D$4/k_n</f>
        <v/>
      </c>
      <c r="V151">
        <f>O151-H151*LTP3!$D$4/k_n</f>
        <v/>
      </c>
      <c r="W151">
        <f>((LTP3!$D$5)*((P151)*(Q151)-(R151)*(R151))-(S151)*((S151)*(Q151)-(R151)*(T151))+(T151)*((S151)*(R151)-(P151)*(T151)))</f>
        <v/>
      </c>
      <c r="X151">
        <f>IF(ABS(W151)&gt;1E-12,((LTP3!$D$6)*((P151)*(Q151)-(R151)*(R151))-(S151)*((U151)*(Q151)-(R151)*(V151))+(T151)*((U151)*(R151)-(P151)*(V151)))/W151,0)</f>
        <v/>
      </c>
      <c r="Y151">
        <f>IF(ABS(W151)&gt;1E-12,((LTP3!$D$5)*((U151)*(Q151)-(R151)*(V151))-(LTP3!$D$6)*((S151)*(Q151)-(R151)*(T151))+(T151)*((S151)*(V151)-(U151)*(T151)))/W151,0)</f>
        <v/>
      </c>
      <c r="Z151">
        <f>IF(ABS(W151)&gt;1E-12,((LTP3!$D$5)*((P151)*(V151)-(U151)*(R151))-(S151)*((S151)*(V151)-(U151)*(T151))+(LTP3!$D$6)*((S151)*(R151)-(P151)*(T151)))/W151,0)</f>
        <v/>
      </c>
      <c r="AA151">
        <f>LTP3!$D$7-X151*LTP3!$D$6-Y151*U151-Z151*V151</f>
        <v/>
      </c>
      <c r="AB151">
        <f>IF(AND(F151,ABS(W151)&gt;1E-12,Y151&gt;0,Z151&gt;0),AA151,1E+300)</f>
        <v/>
      </c>
    </row>
    <row r="152">
      <c r="A152">
        <f>$B$3+$B$5*2</f>
        <v/>
      </c>
      <c r="B152">
        <f>$B$3+$B$5*18</f>
        <v/>
      </c>
      <c r="C152">
        <f>SUMPRODUCT(Calc!$K$3:$K$22*(Calc!$G$3:$G$22&lt;=A152))</f>
        <v/>
      </c>
      <c r="D152">
        <f>SUMPRODUCT(Calc!$K$3:$K$22*(Calc!$G$3:$G$22&gt;A152)*(Calc!$G$3:$G$22&lt;B152))</f>
        <v/>
      </c>
      <c r="E152">
        <f>SUMPRODUCT(Calc!$K$3:$K$22*(Calc!$G$3:$G$22&gt;=B152))</f>
        <v/>
      </c>
      <c r="F152">
        <f>AND(k_n&gt;=5,B152&gt;A152+1E-9,C152&gt;=2,D152&gt;=1,E152&gt;=2)</f>
        <v/>
      </c>
      <c r="G152">
        <f>SUMPRODUCT(Calc!$K$3:$K$22*(Calc!$G$3:$G$22&gt;A152)*(Calc!$G$3:$G$22-A152))</f>
        <v/>
      </c>
      <c r="H152">
        <f>SUMPRODUCT(Calc!$K$3:$K$22*(Calc!$G$3:$G$22&gt;B152)*(Calc!$G$3:$G$22-B152))</f>
        <v/>
      </c>
      <c r="I152">
        <f>SUMPRODUCT(Calc!$K$3:$K$22*(Calc!$G$3:$G$22&gt;A152)*(Calc!$G$3:$G$22-A152)^2)</f>
        <v/>
      </c>
      <c r="J152">
        <f>SUMPRODUCT(Calc!$K$3:$K$22*(Calc!$G$3:$G$22&gt;B152)*(Calc!$G$3:$G$22-B152)^2)</f>
        <v/>
      </c>
      <c r="K152">
        <f>SUMPRODUCT(Calc!$K$3:$K$22*(Calc!$G$3:$G$22&gt;A152)*(Calc!$G$3:$G$22-A152)*(Calc!$G$3:$G$22&gt;B152)*(Calc!$G$3:$G$22-B152))</f>
        <v/>
      </c>
      <c r="L152">
        <f>SUMPRODUCT(Calc!$K$3:$K$22*(Calc!$G$3:$G$22&gt;A152)*(Calc!$G$3:$G$22-A152)*Calc!$G$3:$G$22)</f>
        <v/>
      </c>
      <c r="M152">
        <f>SUMPRODUCT(Calc!$K$3:$K$22*(Calc!$G$3:$G$22&gt;B152)*(Calc!$G$3:$G$22-B152)*Calc!$G$3:$G$22)</f>
        <v/>
      </c>
      <c r="N152">
        <f>SUMPRODUCT(Calc!$K$3:$K$22*(Calc!$G$3:$G$22&gt;A152)*(Calc!$G$3:$G$22-A152)*Calc!$I$3:$I$22)</f>
        <v/>
      </c>
      <c r="O152">
        <f>SUMPRODUCT(Calc!$K$3:$K$22*(Calc!$G$3:$G$22&gt;B152)*(Calc!$G$3:$G$22-B152)*Calc!$I$3:$I$22)</f>
        <v/>
      </c>
      <c r="P152">
        <f>I152-G152^2/k_n</f>
        <v/>
      </c>
      <c r="Q152">
        <f>J152-H152^2/k_n</f>
        <v/>
      </c>
      <c r="R152">
        <f>K152-G152*H152/k_n</f>
        <v/>
      </c>
      <c r="S152">
        <f>L152-LTP3!$D$3*G152/k_n</f>
        <v/>
      </c>
      <c r="T152">
        <f>M152-LTP3!$D$3*H152/k_n</f>
        <v/>
      </c>
      <c r="U152">
        <f>N152-G152*LTP3!$D$4/k_n</f>
        <v/>
      </c>
      <c r="V152">
        <f>O152-H152*LTP3!$D$4/k_n</f>
        <v/>
      </c>
      <c r="W152">
        <f>((LTP3!$D$5)*((P152)*(Q152)-(R152)*(R152))-(S152)*((S152)*(Q152)-(R152)*(T152))+(T152)*((S152)*(R152)-(P152)*(T152)))</f>
        <v/>
      </c>
      <c r="X152">
        <f>IF(ABS(W152)&gt;1E-12,((LTP3!$D$6)*((P152)*(Q152)-(R152)*(R152))-(S152)*((U152)*(Q152)-(R152)*(V152))+(T152)*((U152)*(R152)-(P152)*(V152)))/W152,0)</f>
        <v/>
      </c>
      <c r="Y152">
        <f>IF(ABS(W152)&gt;1E-12,((LTP3!$D$5)*((U152)*(Q152)-(R152)*(V152))-(LTP3!$D$6)*((S152)*(Q152)-(R152)*(T152))+(T152)*((S152)*(V152)-(U152)*(T152)))/W152,0)</f>
        <v/>
      </c>
      <c r="Z152">
        <f>IF(ABS(W152)&gt;1E-12,((LTP3!$D$5)*((P152)*(V152)-(U152)*(R152))-(S152)*((S152)*(V152)-(U152)*(T152))+(LTP3!$D$6)*((S152)*(R152)-(P152)*(T152)))/W152,0)</f>
        <v/>
      </c>
      <c r="AA152">
        <f>LTP3!$D$7-X152*LTP3!$D$6-Y152*U152-Z152*V152</f>
        <v/>
      </c>
      <c r="AB152">
        <f>IF(AND(F152,ABS(W152)&gt;1E-12,Y152&gt;0,Z152&gt;0),AA152,1E+300)</f>
        <v/>
      </c>
    </row>
    <row r="153">
      <c r="A153">
        <f>$B$3+$B$5*2</f>
        <v/>
      </c>
      <c r="B153">
        <f>$B$3+$B$5*19</f>
        <v/>
      </c>
      <c r="C153">
        <f>SUMPRODUCT(Calc!$K$3:$K$22*(Calc!$G$3:$G$22&lt;=A153))</f>
        <v/>
      </c>
      <c r="D153">
        <f>SUMPRODUCT(Calc!$K$3:$K$22*(Calc!$G$3:$G$22&gt;A153)*(Calc!$G$3:$G$22&lt;B153))</f>
        <v/>
      </c>
      <c r="E153">
        <f>SUMPRODUCT(Calc!$K$3:$K$22*(Calc!$G$3:$G$22&gt;=B153))</f>
        <v/>
      </c>
      <c r="F153">
        <f>AND(k_n&gt;=5,B153&gt;A153+1E-9,C153&gt;=2,D153&gt;=1,E153&gt;=2)</f>
        <v/>
      </c>
      <c r="G153">
        <f>SUMPRODUCT(Calc!$K$3:$K$22*(Calc!$G$3:$G$22&gt;A153)*(Calc!$G$3:$G$22-A153))</f>
        <v/>
      </c>
      <c r="H153">
        <f>SUMPRODUCT(Calc!$K$3:$K$22*(Calc!$G$3:$G$22&gt;B153)*(Calc!$G$3:$G$22-B153))</f>
        <v/>
      </c>
      <c r="I153">
        <f>SUMPRODUCT(Calc!$K$3:$K$22*(Calc!$G$3:$G$22&gt;A153)*(Calc!$G$3:$G$22-A153)^2)</f>
        <v/>
      </c>
      <c r="J153">
        <f>SUMPRODUCT(Calc!$K$3:$K$22*(Calc!$G$3:$G$22&gt;B153)*(Calc!$G$3:$G$22-B153)^2)</f>
        <v/>
      </c>
      <c r="K153">
        <f>SUMPRODUCT(Calc!$K$3:$K$22*(Calc!$G$3:$G$22&gt;A153)*(Calc!$G$3:$G$22-A153)*(Calc!$G$3:$G$22&gt;B153)*(Calc!$G$3:$G$22-B153))</f>
        <v/>
      </c>
      <c r="L153">
        <f>SUMPRODUCT(Calc!$K$3:$K$22*(Calc!$G$3:$G$22&gt;A153)*(Calc!$G$3:$G$22-A153)*Calc!$G$3:$G$22)</f>
        <v/>
      </c>
      <c r="M153">
        <f>SUMPRODUCT(Calc!$K$3:$K$22*(Calc!$G$3:$G$22&gt;B153)*(Calc!$G$3:$G$22-B153)*Calc!$G$3:$G$22)</f>
        <v/>
      </c>
      <c r="N153">
        <f>SUMPRODUCT(Calc!$K$3:$K$22*(Calc!$G$3:$G$22&gt;A153)*(Calc!$G$3:$G$22-A153)*Calc!$I$3:$I$22)</f>
        <v/>
      </c>
      <c r="O153">
        <f>SUMPRODUCT(Calc!$K$3:$K$22*(Calc!$G$3:$G$22&gt;B153)*(Calc!$G$3:$G$22-B153)*Calc!$I$3:$I$22)</f>
        <v/>
      </c>
      <c r="P153">
        <f>I153-G153^2/k_n</f>
        <v/>
      </c>
      <c r="Q153">
        <f>J153-H153^2/k_n</f>
        <v/>
      </c>
      <c r="R153">
        <f>K153-G153*H153/k_n</f>
        <v/>
      </c>
      <c r="S153">
        <f>L153-LTP3!$D$3*G153/k_n</f>
        <v/>
      </c>
      <c r="T153">
        <f>M153-LTP3!$D$3*H153/k_n</f>
        <v/>
      </c>
      <c r="U153">
        <f>N153-G153*LTP3!$D$4/k_n</f>
        <v/>
      </c>
      <c r="V153">
        <f>O153-H153*LTP3!$D$4/k_n</f>
        <v/>
      </c>
      <c r="W153">
        <f>((LTP3!$D$5)*((P153)*(Q153)-(R153)*(R153))-(S153)*((S153)*(Q153)-(R153)*(T153))+(T153)*((S153)*(R153)-(P153)*(T153)))</f>
        <v/>
      </c>
      <c r="X153">
        <f>IF(ABS(W153)&gt;1E-12,((LTP3!$D$6)*((P153)*(Q153)-(R153)*(R153))-(S153)*((U153)*(Q153)-(R153)*(V153))+(T153)*((U153)*(R153)-(P153)*(V153)))/W153,0)</f>
        <v/>
      </c>
      <c r="Y153">
        <f>IF(ABS(W153)&gt;1E-12,((LTP3!$D$5)*((U153)*(Q153)-(R153)*(V153))-(LTP3!$D$6)*((S153)*(Q153)-(R153)*(T153))+(T153)*((S153)*(V153)-(U153)*(T153)))/W153,0)</f>
        <v/>
      </c>
      <c r="Z153">
        <f>IF(ABS(W153)&gt;1E-12,((LTP3!$D$5)*((P153)*(V153)-(U153)*(R153))-(S153)*((S153)*(V153)-(U153)*(T153))+(LTP3!$D$6)*((S153)*(R153)-(P153)*(T153)))/W153,0)</f>
        <v/>
      </c>
      <c r="AA153">
        <f>LTP3!$D$7-X153*LTP3!$D$6-Y153*U153-Z153*V153</f>
        <v/>
      </c>
      <c r="AB153">
        <f>IF(AND(F153,ABS(W153)&gt;1E-12,Y153&gt;0,Z153&gt;0),AA153,1E+300)</f>
        <v/>
      </c>
    </row>
    <row r="154">
      <c r="A154">
        <f>$B$3+$B$5*2</f>
        <v/>
      </c>
      <c r="B154">
        <f>$B$3+$B$5*20</f>
        <v/>
      </c>
      <c r="C154">
        <f>SUMPRODUCT(Calc!$K$3:$K$22*(Calc!$G$3:$G$22&lt;=A154))</f>
        <v/>
      </c>
      <c r="D154">
        <f>SUMPRODUCT(Calc!$K$3:$K$22*(Calc!$G$3:$G$22&gt;A154)*(Calc!$G$3:$G$22&lt;B154))</f>
        <v/>
      </c>
      <c r="E154">
        <f>SUMPRODUCT(Calc!$K$3:$K$22*(Calc!$G$3:$G$22&gt;=B154))</f>
        <v/>
      </c>
      <c r="F154">
        <f>AND(k_n&gt;=5,B154&gt;A154+1E-9,C154&gt;=2,D154&gt;=1,E154&gt;=2)</f>
        <v/>
      </c>
      <c r="G154">
        <f>SUMPRODUCT(Calc!$K$3:$K$22*(Calc!$G$3:$G$22&gt;A154)*(Calc!$G$3:$G$22-A154))</f>
        <v/>
      </c>
      <c r="H154">
        <f>SUMPRODUCT(Calc!$K$3:$K$22*(Calc!$G$3:$G$22&gt;B154)*(Calc!$G$3:$G$22-B154))</f>
        <v/>
      </c>
      <c r="I154">
        <f>SUMPRODUCT(Calc!$K$3:$K$22*(Calc!$G$3:$G$22&gt;A154)*(Calc!$G$3:$G$22-A154)^2)</f>
        <v/>
      </c>
      <c r="J154">
        <f>SUMPRODUCT(Calc!$K$3:$K$22*(Calc!$G$3:$G$22&gt;B154)*(Calc!$G$3:$G$22-B154)^2)</f>
        <v/>
      </c>
      <c r="K154">
        <f>SUMPRODUCT(Calc!$K$3:$K$22*(Calc!$G$3:$G$22&gt;A154)*(Calc!$G$3:$G$22-A154)*(Calc!$G$3:$G$22&gt;B154)*(Calc!$G$3:$G$22-B154))</f>
        <v/>
      </c>
      <c r="L154">
        <f>SUMPRODUCT(Calc!$K$3:$K$22*(Calc!$G$3:$G$22&gt;A154)*(Calc!$G$3:$G$22-A154)*Calc!$G$3:$G$22)</f>
        <v/>
      </c>
      <c r="M154">
        <f>SUMPRODUCT(Calc!$K$3:$K$22*(Calc!$G$3:$G$22&gt;B154)*(Calc!$G$3:$G$22-B154)*Calc!$G$3:$G$22)</f>
        <v/>
      </c>
      <c r="N154">
        <f>SUMPRODUCT(Calc!$K$3:$K$22*(Calc!$G$3:$G$22&gt;A154)*(Calc!$G$3:$G$22-A154)*Calc!$I$3:$I$22)</f>
        <v/>
      </c>
      <c r="O154">
        <f>SUMPRODUCT(Calc!$K$3:$K$22*(Calc!$G$3:$G$22&gt;B154)*(Calc!$G$3:$G$22-B154)*Calc!$I$3:$I$22)</f>
        <v/>
      </c>
      <c r="P154">
        <f>I154-G154^2/k_n</f>
        <v/>
      </c>
      <c r="Q154">
        <f>J154-H154^2/k_n</f>
        <v/>
      </c>
      <c r="R154">
        <f>K154-G154*H154/k_n</f>
        <v/>
      </c>
      <c r="S154">
        <f>L154-LTP3!$D$3*G154/k_n</f>
        <v/>
      </c>
      <c r="T154">
        <f>M154-LTP3!$D$3*H154/k_n</f>
        <v/>
      </c>
      <c r="U154">
        <f>N154-G154*LTP3!$D$4/k_n</f>
        <v/>
      </c>
      <c r="V154">
        <f>O154-H154*LTP3!$D$4/k_n</f>
        <v/>
      </c>
      <c r="W154">
        <f>((LTP3!$D$5)*((P154)*(Q154)-(R154)*(R154))-(S154)*((S154)*(Q154)-(R154)*(T154))+(T154)*((S154)*(R154)-(P154)*(T154)))</f>
        <v/>
      </c>
      <c r="X154">
        <f>IF(ABS(W154)&gt;1E-12,((LTP3!$D$6)*((P154)*(Q154)-(R154)*(R154))-(S154)*((U154)*(Q154)-(R154)*(V154))+(T154)*((U154)*(R154)-(P154)*(V154)))/W154,0)</f>
        <v/>
      </c>
      <c r="Y154">
        <f>IF(ABS(W154)&gt;1E-12,((LTP3!$D$5)*((U154)*(Q154)-(R154)*(V154))-(LTP3!$D$6)*((S154)*(Q154)-(R154)*(T154))+(T154)*((S154)*(V154)-(U154)*(T154)))/W154,0)</f>
        <v/>
      </c>
      <c r="Z154">
        <f>IF(ABS(W154)&gt;1E-12,((LTP3!$D$5)*((P154)*(V154)-(U154)*(R154))-(S154)*((S154)*(V154)-(U154)*(T154))+(LTP3!$D$6)*((S154)*(R154)-(P154)*(T154)))/W154,0)</f>
        <v/>
      </c>
      <c r="AA154">
        <f>LTP3!$D$7-X154*LTP3!$D$6-Y154*U154-Z154*V154</f>
        <v/>
      </c>
      <c r="AB154">
        <f>IF(AND(F154,ABS(W154)&gt;1E-12,Y154&gt;0,Z154&gt;0),AA154,1E+300)</f>
        <v/>
      </c>
    </row>
    <row r="155">
      <c r="A155">
        <f>$B$3+$B$5*2</f>
        <v/>
      </c>
      <c r="B155">
        <f>$B$3+$B$5*21</f>
        <v/>
      </c>
      <c r="C155">
        <f>SUMPRODUCT(Calc!$K$3:$K$22*(Calc!$G$3:$G$22&lt;=A155))</f>
        <v/>
      </c>
      <c r="D155">
        <f>SUMPRODUCT(Calc!$K$3:$K$22*(Calc!$G$3:$G$22&gt;A155)*(Calc!$G$3:$G$22&lt;B155))</f>
        <v/>
      </c>
      <c r="E155">
        <f>SUMPRODUCT(Calc!$K$3:$K$22*(Calc!$G$3:$G$22&gt;=B155))</f>
        <v/>
      </c>
      <c r="F155">
        <f>AND(k_n&gt;=5,B155&gt;A155+1E-9,C155&gt;=2,D155&gt;=1,E155&gt;=2)</f>
        <v/>
      </c>
      <c r="G155">
        <f>SUMPRODUCT(Calc!$K$3:$K$22*(Calc!$G$3:$G$22&gt;A155)*(Calc!$G$3:$G$22-A155))</f>
        <v/>
      </c>
      <c r="H155">
        <f>SUMPRODUCT(Calc!$K$3:$K$22*(Calc!$G$3:$G$22&gt;B155)*(Calc!$G$3:$G$22-B155))</f>
        <v/>
      </c>
      <c r="I155">
        <f>SUMPRODUCT(Calc!$K$3:$K$22*(Calc!$G$3:$G$22&gt;A155)*(Calc!$G$3:$G$22-A155)^2)</f>
        <v/>
      </c>
      <c r="J155">
        <f>SUMPRODUCT(Calc!$K$3:$K$22*(Calc!$G$3:$G$22&gt;B155)*(Calc!$G$3:$G$22-B155)^2)</f>
        <v/>
      </c>
      <c r="K155">
        <f>SUMPRODUCT(Calc!$K$3:$K$22*(Calc!$G$3:$G$22&gt;A155)*(Calc!$G$3:$G$22-A155)*(Calc!$G$3:$G$22&gt;B155)*(Calc!$G$3:$G$22-B155))</f>
        <v/>
      </c>
      <c r="L155">
        <f>SUMPRODUCT(Calc!$K$3:$K$22*(Calc!$G$3:$G$22&gt;A155)*(Calc!$G$3:$G$22-A155)*Calc!$G$3:$G$22)</f>
        <v/>
      </c>
      <c r="M155">
        <f>SUMPRODUCT(Calc!$K$3:$K$22*(Calc!$G$3:$G$22&gt;B155)*(Calc!$G$3:$G$22-B155)*Calc!$G$3:$G$22)</f>
        <v/>
      </c>
      <c r="N155">
        <f>SUMPRODUCT(Calc!$K$3:$K$22*(Calc!$G$3:$G$22&gt;A155)*(Calc!$G$3:$G$22-A155)*Calc!$I$3:$I$22)</f>
        <v/>
      </c>
      <c r="O155">
        <f>SUMPRODUCT(Calc!$K$3:$K$22*(Calc!$G$3:$G$22&gt;B155)*(Calc!$G$3:$G$22-B155)*Calc!$I$3:$I$22)</f>
        <v/>
      </c>
      <c r="P155">
        <f>I155-G155^2/k_n</f>
        <v/>
      </c>
      <c r="Q155">
        <f>J155-H155^2/k_n</f>
        <v/>
      </c>
      <c r="R155">
        <f>K155-G155*H155/k_n</f>
        <v/>
      </c>
      <c r="S155">
        <f>L155-LTP3!$D$3*G155/k_n</f>
        <v/>
      </c>
      <c r="T155">
        <f>M155-LTP3!$D$3*H155/k_n</f>
        <v/>
      </c>
      <c r="U155">
        <f>N155-G155*LTP3!$D$4/k_n</f>
        <v/>
      </c>
      <c r="V155">
        <f>O155-H155*LTP3!$D$4/k_n</f>
        <v/>
      </c>
      <c r="W155">
        <f>((LTP3!$D$5)*((P155)*(Q155)-(R155)*(R155))-(S155)*((S155)*(Q155)-(R155)*(T155))+(T155)*((S155)*(R155)-(P155)*(T155)))</f>
        <v/>
      </c>
      <c r="X155">
        <f>IF(ABS(W155)&gt;1E-12,((LTP3!$D$6)*((P155)*(Q155)-(R155)*(R155))-(S155)*((U155)*(Q155)-(R155)*(V155))+(T155)*((U155)*(R155)-(P155)*(V155)))/W155,0)</f>
        <v/>
      </c>
      <c r="Y155">
        <f>IF(ABS(W155)&gt;1E-12,((LTP3!$D$5)*((U155)*(Q155)-(R155)*(V155))-(LTP3!$D$6)*((S155)*(Q155)-(R155)*(T155))+(T155)*((S155)*(V155)-(U155)*(T155)))/W155,0)</f>
        <v/>
      </c>
      <c r="Z155">
        <f>IF(ABS(W155)&gt;1E-12,((LTP3!$D$5)*((P155)*(V155)-(U155)*(R155))-(S155)*((S155)*(V155)-(U155)*(T155))+(LTP3!$D$6)*((S155)*(R155)-(P155)*(T155)))/W155,0)</f>
        <v/>
      </c>
      <c r="AA155">
        <f>LTP3!$D$7-X155*LTP3!$D$6-Y155*U155-Z155*V155</f>
        <v/>
      </c>
      <c r="AB155">
        <f>IF(AND(F155,ABS(W155)&gt;1E-12,Y155&gt;0,Z155&gt;0),AA155,1E+300)</f>
        <v/>
      </c>
    </row>
    <row r="156">
      <c r="A156">
        <f>$B$3+$B$5*2</f>
        <v/>
      </c>
      <c r="B156">
        <f>$B$3+$B$5*22</f>
        <v/>
      </c>
      <c r="C156">
        <f>SUMPRODUCT(Calc!$K$3:$K$22*(Calc!$G$3:$G$22&lt;=A156))</f>
        <v/>
      </c>
      <c r="D156">
        <f>SUMPRODUCT(Calc!$K$3:$K$22*(Calc!$G$3:$G$22&gt;A156)*(Calc!$G$3:$G$22&lt;B156))</f>
        <v/>
      </c>
      <c r="E156">
        <f>SUMPRODUCT(Calc!$K$3:$K$22*(Calc!$G$3:$G$22&gt;=B156))</f>
        <v/>
      </c>
      <c r="F156">
        <f>AND(k_n&gt;=5,B156&gt;A156+1E-9,C156&gt;=2,D156&gt;=1,E156&gt;=2)</f>
        <v/>
      </c>
      <c r="G156">
        <f>SUMPRODUCT(Calc!$K$3:$K$22*(Calc!$G$3:$G$22&gt;A156)*(Calc!$G$3:$G$22-A156))</f>
        <v/>
      </c>
      <c r="H156">
        <f>SUMPRODUCT(Calc!$K$3:$K$22*(Calc!$G$3:$G$22&gt;B156)*(Calc!$G$3:$G$22-B156))</f>
        <v/>
      </c>
      <c r="I156">
        <f>SUMPRODUCT(Calc!$K$3:$K$22*(Calc!$G$3:$G$22&gt;A156)*(Calc!$G$3:$G$22-A156)^2)</f>
        <v/>
      </c>
      <c r="J156">
        <f>SUMPRODUCT(Calc!$K$3:$K$22*(Calc!$G$3:$G$22&gt;B156)*(Calc!$G$3:$G$22-B156)^2)</f>
        <v/>
      </c>
      <c r="K156">
        <f>SUMPRODUCT(Calc!$K$3:$K$22*(Calc!$G$3:$G$22&gt;A156)*(Calc!$G$3:$G$22-A156)*(Calc!$G$3:$G$22&gt;B156)*(Calc!$G$3:$G$22-B156))</f>
        <v/>
      </c>
      <c r="L156">
        <f>SUMPRODUCT(Calc!$K$3:$K$22*(Calc!$G$3:$G$22&gt;A156)*(Calc!$G$3:$G$22-A156)*Calc!$G$3:$G$22)</f>
        <v/>
      </c>
      <c r="M156">
        <f>SUMPRODUCT(Calc!$K$3:$K$22*(Calc!$G$3:$G$22&gt;B156)*(Calc!$G$3:$G$22-B156)*Calc!$G$3:$G$22)</f>
        <v/>
      </c>
      <c r="N156">
        <f>SUMPRODUCT(Calc!$K$3:$K$22*(Calc!$G$3:$G$22&gt;A156)*(Calc!$G$3:$G$22-A156)*Calc!$I$3:$I$22)</f>
        <v/>
      </c>
      <c r="O156">
        <f>SUMPRODUCT(Calc!$K$3:$K$22*(Calc!$G$3:$G$22&gt;B156)*(Calc!$G$3:$G$22-B156)*Calc!$I$3:$I$22)</f>
        <v/>
      </c>
      <c r="P156">
        <f>I156-G156^2/k_n</f>
        <v/>
      </c>
      <c r="Q156">
        <f>J156-H156^2/k_n</f>
        <v/>
      </c>
      <c r="R156">
        <f>K156-G156*H156/k_n</f>
        <v/>
      </c>
      <c r="S156">
        <f>L156-LTP3!$D$3*G156/k_n</f>
        <v/>
      </c>
      <c r="T156">
        <f>M156-LTP3!$D$3*H156/k_n</f>
        <v/>
      </c>
      <c r="U156">
        <f>N156-G156*LTP3!$D$4/k_n</f>
        <v/>
      </c>
      <c r="V156">
        <f>O156-H156*LTP3!$D$4/k_n</f>
        <v/>
      </c>
      <c r="W156">
        <f>((LTP3!$D$5)*((P156)*(Q156)-(R156)*(R156))-(S156)*((S156)*(Q156)-(R156)*(T156))+(T156)*((S156)*(R156)-(P156)*(T156)))</f>
        <v/>
      </c>
      <c r="X156">
        <f>IF(ABS(W156)&gt;1E-12,((LTP3!$D$6)*((P156)*(Q156)-(R156)*(R156))-(S156)*((U156)*(Q156)-(R156)*(V156))+(T156)*((U156)*(R156)-(P156)*(V156)))/W156,0)</f>
        <v/>
      </c>
      <c r="Y156">
        <f>IF(ABS(W156)&gt;1E-12,((LTP3!$D$5)*((U156)*(Q156)-(R156)*(V156))-(LTP3!$D$6)*((S156)*(Q156)-(R156)*(T156))+(T156)*((S156)*(V156)-(U156)*(T156)))/W156,0)</f>
        <v/>
      </c>
      <c r="Z156">
        <f>IF(ABS(W156)&gt;1E-12,((LTP3!$D$5)*((P156)*(V156)-(U156)*(R156))-(S156)*((S156)*(V156)-(U156)*(T156))+(LTP3!$D$6)*((S156)*(R156)-(P156)*(T156)))/W156,0)</f>
        <v/>
      </c>
      <c r="AA156">
        <f>LTP3!$D$7-X156*LTP3!$D$6-Y156*U156-Z156*V156</f>
        <v/>
      </c>
      <c r="AB156">
        <f>IF(AND(F156,ABS(W156)&gt;1E-12,Y156&gt;0,Z156&gt;0),AA156,1E+300)</f>
        <v/>
      </c>
    </row>
    <row r="157">
      <c r="A157">
        <f>$B$3+$B$5*2</f>
        <v/>
      </c>
      <c r="B157">
        <f>$B$3+$B$5*23</f>
        <v/>
      </c>
      <c r="C157">
        <f>SUMPRODUCT(Calc!$K$3:$K$22*(Calc!$G$3:$G$22&lt;=A157))</f>
        <v/>
      </c>
      <c r="D157">
        <f>SUMPRODUCT(Calc!$K$3:$K$22*(Calc!$G$3:$G$22&gt;A157)*(Calc!$G$3:$G$22&lt;B157))</f>
        <v/>
      </c>
      <c r="E157">
        <f>SUMPRODUCT(Calc!$K$3:$K$22*(Calc!$G$3:$G$22&gt;=B157))</f>
        <v/>
      </c>
      <c r="F157">
        <f>AND(k_n&gt;=5,B157&gt;A157+1E-9,C157&gt;=2,D157&gt;=1,E157&gt;=2)</f>
        <v/>
      </c>
      <c r="G157">
        <f>SUMPRODUCT(Calc!$K$3:$K$22*(Calc!$G$3:$G$22&gt;A157)*(Calc!$G$3:$G$22-A157))</f>
        <v/>
      </c>
      <c r="H157">
        <f>SUMPRODUCT(Calc!$K$3:$K$22*(Calc!$G$3:$G$22&gt;B157)*(Calc!$G$3:$G$22-B157))</f>
        <v/>
      </c>
      <c r="I157">
        <f>SUMPRODUCT(Calc!$K$3:$K$22*(Calc!$G$3:$G$22&gt;A157)*(Calc!$G$3:$G$22-A157)^2)</f>
        <v/>
      </c>
      <c r="J157">
        <f>SUMPRODUCT(Calc!$K$3:$K$22*(Calc!$G$3:$G$22&gt;B157)*(Calc!$G$3:$G$22-B157)^2)</f>
        <v/>
      </c>
      <c r="K157">
        <f>SUMPRODUCT(Calc!$K$3:$K$22*(Calc!$G$3:$G$22&gt;A157)*(Calc!$G$3:$G$22-A157)*(Calc!$G$3:$G$22&gt;B157)*(Calc!$G$3:$G$22-B157))</f>
        <v/>
      </c>
      <c r="L157">
        <f>SUMPRODUCT(Calc!$K$3:$K$22*(Calc!$G$3:$G$22&gt;A157)*(Calc!$G$3:$G$22-A157)*Calc!$G$3:$G$22)</f>
        <v/>
      </c>
      <c r="M157">
        <f>SUMPRODUCT(Calc!$K$3:$K$22*(Calc!$G$3:$G$22&gt;B157)*(Calc!$G$3:$G$22-B157)*Calc!$G$3:$G$22)</f>
        <v/>
      </c>
      <c r="N157">
        <f>SUMPRODUCT(Calc!$K$3:$K$22*(Calc!$G$3:$G$22&gt;A157)*(Calc!$G$3:$G$22-A157)*Calc!$I$3:$I$22)</f>
        <v/>
      </c>
      <c r="O157">
        <f>SUMPRODUCT(Calc!$K$3:$K$22*(Calc!$G$3:$G$22&gt;B157)*(Calc!$G$3:$G$22-B157)*Calc!$I$3:$I$22)</f>
        <v/>
      </c>
      <c r="P157">
        <f>I157-G157^2/k_n</f>
        <v/>
      </c>
      <c r="Q157">
        <f>J157-H157^2/k_n</f>
        <v/>
      </c>
      <c r="R157">
        <f>K157-G157*H157/k_n</f>
        <v/>
      </c>
      <c r="S157">
        <f>L157-LTP3!$D$3*G157/k_n</f>
        <v/>
      </c>
      <c r="T157">
        <f>M157-LTP3!$D$3*H157/k_n</f>
        <v/>
      </c>
      <c r="U157">
        <f>N157-G157*LTP3!$D$4/k_n</f>
        <v/>
      </c>
      <c r="V157">
        <f>O157-H157*LTP3!$D$4/k_n</f>
        <v/>
      </c>
      <c r="W157">
        <f>((LTP3!$D$5)*((P157)*(Q157)-(R157)*(R157))-(S157)*((S157)*(Q157)-(R157)*(T157))+(T157)*((S157)*(R157)-(P157)*(T157)))</f>
        <v/>
      </c>
      <c r="X157">
        <f>IF(ABS(W157)&gt;1E-12,((LTP3!$D$6)*((P157)*(Q157)-(R157)*(R157))-(S157)*((U157)*(Q157)-(R157)*(V157))+(T157)*((U157)*(R157)-(P157)*(V157)))/W157,0)</f>
        <v/>
      </c>
      <c r="Y157">
        <f>IF(ABS(W157)&gt;1E-12,((LTP3!$D$5)*((U157)*(Q157)-(R157)*(V157))-(LTP3!$D$6)*((S157)*(Q157)-(R157)*(T157))+(T157)*((S157)*(V157)-(U157)*(T157)))/W157,0)</f>
        <v/>
      </c>
      <c r="Z157">
        <f>IF(ABS(W157)&gt;1E-12,((LTP3!$D$5)*((P157)*(V157)-(U157)*(R157))-(S157)*((S157)*(V157)-(U157)*(T157))+(LTP3!$D$6)*((S157)*(R157)-(P157)*(T157)))/W157,0)</f>
        <v/>
      </c>
      <c r="AA157">
        <f>LTP3!$D$7-X157*LTP3!$D$6-Y157*U157-Z157*V157</f>
        <v/>
      </c>
      <c r="AB157">
        <f>IF(AND(F157,ABS(W157)&gt;1E-12,Y157&gt;0,Z157&gt;0),AA157,1E+300)</f>
        <v/>
      </c>
    </row>
    <row r="158">
      <c r="A158">
        <f>$B$3+$B$5*2</f>
        <v/>
      </c>
      <c r="B158">
        <f>$B$3+$B$5*24</f>
        <v/>
      </c>
      <c r="C158">
        <f>SUMPRODUCT(Calc!$K$3:$K$22*(Calc!$G$3:$G$22&lt;=A158))</f>
        <v/>
      </c>
      <c r="D158">
        <f>SUMPRODUCT(Calc!$K$3:$K$22*(Calc!$G$3:$G$22&gt;A158)*(Calc!$G$3:$G$22&lt;B158))</f>
        <v/>
      </c>
      <c r="E158">
        <f>SUMPRODUCT(Calc!$K$3:$K$22*(Calc!$G$3:$G$22&gt;=B158))</f>
        <v/>
      </c>
      <c r="F158">
        <f>AND(k_n&gt;=5,B158&gt;A158+1E-9,C158&gt;=2,D158&gt;=1,E158&gt;=2)</f>
        <v/>
      </c>
      <c r="G158">
        <f>SUMPRODUCT(Calc!$K$3:$K$22*(Calc!$G$3:$G$22&gt;A158)*(Calc!$G$3:$G$22-A158))</f>
        <v/>
      </c>
      <c r="H158">
        <f>SUMPRODUCT(Calc!$K$3:$K$22*(Calc!$G$3:$G$22&gt;B158)*(Calc!$G$3:$G$22-B158))</f>
        <v/>
      </c>
      <c r="I158">
        <f>SUMPRODUCT(Calc!$K$3:$K$22*(Calc!$G$3:$G$22&gt;A158)*(Calc!$G$3:$G$22-A158)^2)</f>
        <v/>
      </c>
      <c r="J158">
        <f>SUMPRODUCT(Calc!$K$3:$K$22*(Calc!$G$3:$G$22&gt;B158)*(Calc!$G$3:$G$22-B158)^2)</f>
        <v/>
      </c>
      <c r="K158">
        <f>SUMPRODUCT(Calc!$K$3:$K$22*(Calc!$G$3:$G$22&gt;A158)*(Calc!$G$3:$G$22-A158)*(Calc!$G$3:$G$22&gt;B158)*(Calc!$G$3:$G$22-B158))</f>
        <v/>
      </c>
      <c r="L158">
        <f>SUMPRODUCT(Calc!$K$3:$K$22*(Calc!$G$3:$G$22&gt;A158)*(Calc!$G$3:$G$22-A158)*Calc!$G$3:$G$22)</f>
        <v/>
      </c>
      <c r="M158">
        <f>SUMPRODUCT(Calc!$K$3:$K$22*(Calc!$G$3:$G$22&gt;B158)*(Calc!$G$3:$G$22-B158)*Calc!$G$3:$G$22)</f>
        <v/>
      </c>
      <c r="N158">
        <f>SUMPRODUCT(Calc!$K$3:$K$22*(Calc!$G$3:$G$22&gt;A158)*(Calc!$G$3:$G$22-A158)*Calc!$I$3:$I$22)</f>
        <v/>
      </c>
      <c r="O158">
        <f>SUMPRODUCT(Calc!$K$3:$K$22*(Calc!$G$3:$G$22&gt;B158)*(Calc!$G$3:$G$22-B158)*Calc!$I$3:$I$22)</f>
        <v/>
      </c>
      <c r="P158">
        <f>I158-G158^2/k_n</f>
        <v/>
      </c>
      <c r="Q158">
        <f>J158-H158^2/k_n</f>
        <v/>
      </c>
      <c r="R158">
        <f>K158-G158*H158/k_n</f>
        <v/>
      </c>
      <c r="S158">
        <f>L158-LTP3!$D$3*G158/k_n</f>
        <v/>
      </c>
      <c r="T158">
        <f>M158-LTP3!$D$3*H158/k_n</f>
        <v/>
      </c>
      <c r="U158">
        <f>N158-G158*LTP3!$D$4/k_n</f>
        <v/>
      </c>
      <c r="V158">
        <f>O158-H158*LTP3!$D$4/k_n</f>
        <v/>
      </c>
      <c r="W158">
        <f>((LTP3!$D$5)*((P158)*(Q158)-(R158)*(R158))-(S158)*((S158)*(Q158)-(R158)*(T158))+(T158)*((S158)*(R158)-(P158)*(T158)))</f>
        <v/>
      </c>
      <c r="X158">
        <f>IF(ABS(W158)&gt;1E-12,((LTP3!$D$6)*((P158)*(Q158)-(R158)*(R158))-(S158)*((U158)*(Q158)-(R158)*(V158))+(T158)*((U158)*(R158)-(P158)*(V158)))/W158,0)</f>
        <v/>
      </c>
      <c r="Y158">
        <f>IF(ABS(W158)&gt;1E-12,((LTP3!$D$5)*((U158)*(Q158)-(R158)*(V158))-(LTP3!$D$6)*((S158)*(Q158)-(R158)*(T158))+(T158)*((S158)*(V158)-(U158)*(T158)))/W158,0)</f>
        <v/>
      </c>
      <c r="Z158">
        <f>IF(ABS(W158)&gt;1E-12,((LTP3!$D$5)*((P158)*(V158)-(U158)*(R158))-(S158)*((S158)*(V158)-(U158)*(T158))+(LTP3!$D$6)*((S158)*(R158)-(P158)*(T158)))/W158,0)</f>
        <v/>
      </c>
      <c r="AA158">
        <f>LTP3!$D$7-X158*LTP3!$D$6-Y158*U158-Z158*V158</f>
        <v/>
      </c>
      <c r="AB158">
        <f>IF(AND(F158,ABS(W158)&gt;1E-12,Y158&gt;0,Z158&gt;0),AA158,1E+300)</f>
        <v/>
      </c>
    </row>
    <row r="159">
      <c r="A159">
        <f>$B$3+$B$5*2</f>
        <v/>
      </c>
      <c r="B159">
        <f>$B$3+$B$5*25</f>
        <v/>
      </c>
      <c r="C159">
        <f>SUMPRODUCT(Calc!$K$3:$K$22*(Calc!$G$3:$G$22&lt;=A159))</f>
        <v/>
      </c>
      <c r="D159">
        <f>SUMPRODUCT(Calc!$K$3:$K$22*(Calc!$G$3:$G$22&gt;A159)*(Calc!$G$3:$G$22&lt;B159))</f>
        <v/>
      </c>
      <c r="E159">
        <f>SUMPRODUCT(Calc!$K$3:$K$22*(Calc!$G$3:$G$22&gt;=B159))</f>
        <v/>
      </c>
      <c r="F159">
        <f>AND(k_n&gt;=5,B159&gt;A159+1E-9,C159&gt;=2,D159&gt;=1,E159&gt;=2)</f>
        <v/>
      </c>
      <c r="G159">
        <f>SUMPRODUCT(Calc!$K$3:$K$22*(Calc!$G$3:$G$22&gt;A159)*(Calc!$G$3:$G$22-A159))</f>
        <v/>
      </c>
      <c r="H159">
        <f>SUMPRODUCT(Calc!$K$3:$K$22*(Calc!$G$3:$G$22&gt;B159)*(Calc!$G$3:$G$22-B159))</f>
        <v/>
      </c>
      <c r="I159">
        <f>SUMPRODUCT(Calc!$K$3:$K$22*(Calc!$G$3:$G$22&gt;A159)*(Calc!$G$3:$G$22-A159)^2)</f>
        <v/>
      </c>
      <c r="J159">
        <f>SUMPRODUCT(Calc!$K$3:$K$22*(Calc!$G$3:$G$22&gt;B159)*(Calc!$G$3:$G$22-B159)^2)</f>
        <v/>
      </c>
      <c r="K159">
        <f>SUMPRODUCT(Calc!$K$3:$K$22*(Calc!$G$3:$G$22&gt;A159)*(Calc!$G$3:$G$22-A159)*(Calc!$G$3:$G$22&gt;B159)*(Calc!$G$3:$G$22-B159))</f>
        <v/>
      </c>
      <c r="L159">
        <f>SUMPRODUCT(Calc!$K$3:$K$22*(Calc!$G$3:$G$22&gt;A159)*(Calc!$G$3:$G$22-A159)*Calc!$G$3:$G$22)</f>
        <v/>
      </c>
      <c r="M159">
        <f>SUMPRODUCT(Calc!$K$3:$K$22*(Calc!$G$3:$G$22&gt;B159)*(Calc!$G$3:$G$22-B159)*Calc!$G$3:$G$22)</f>
        <v/>
      </c>
      <c r="N159">
        <f>SUMPRODUCT(Calc!$K$3:$K$22*(Calc!$G$3:$G$22&gt;A159)*(Calc!$G$3:$G$22-A159)*Calc!$I$3:$I$22)</f>
        <v/>
      </c>
      <c r="O159">
        <f>SUMPRODUCT(Calc!$K$3:$K$22*(Calc!$G$3:$G$22&gt;B159)*(Calc!$G$3:$G$22-B159)*Calc!$I$3:$I$22)</f>
        <v/>
      </c>
      <c r="P159">
        <f>I159-G159^2/k_n</f>
        <v/>
      </c>
      <c r="Q159">
        <f>J159-H159^2/k_n</f>
        <v/>
      </c>
      <c r="R159">
        <f>K159-G159*H159/k_n</f>
        <v/>
      </c>
      <c r="S159">
        <f>L159-LTP3!$D$3*G159/k_n</f>
        <v/>
      </c>
      <c r="T159">
        <f>M159-LTP3!$D$3*H159/k_n</f>
        <v/>
      </c>
      <c r="U159">
        <f>N159-G159*LTP3!$D$4/k_n</f>
        <v/>
      </c>
      <c r="V159">
        <f>O159-H159*LTP3!$D$4/k_n</f>
        <v/>
      </c>
      <c r="W159">
        <f>((LTP3!$D$5)*((P159)*(Q159)-(R159)*(R159))-(S159)*((S159)*(Q159)-(R159)*(T159))+(T159)*((S159)*(R159)-(P159)*(T159)))</f>
        <v/>
      </c>
      <c r="X159">
        <f>IF(ABS(W159)&gt;1E-12,((LTP3!$D$6)*((P159)*(Q159)-(R159)*(R159))-(S159)*((U159)*(Q159)-(R159)*(V159))+(T159)*((U159)*(R159)-(P159)*(V159)))/W159,0)</f>
        <v/>
      </c>
      <c r="Y159">
        <f>IF(ABS(W159)&gt;1E-12,((LTP3!$D$5)*((U159)*(Q159)-(R159)*(V159))-(LTP3!$D$6)*((S159)*(Q159)-(R159)*(T159))+(T159)*((S159)*(V159)-(U159)*(T159)))/W159,0)</f>
        <v/>
      </c>
      <c r="Z159">
        <f>IF(ABS(W159)&gt;1E-12,((LTP3!$D$5)*((P159)*(V159)-(U159)*(R159))-(S159)*((S159)*(V159)-(U159)*(T159))+(LTP3!$D$6)*((S159)*(R159)-(P159)*(T159)))/W159,0)</f>
        <v/>
      </c>
      <c r="AA159">
        <f>LTP3!$D$7-X159*LTP3!$D$6-Y159*U159-Z159*V159</f>
        <v/>
      </c>
      <c r="AB159">
        <f>IF(AND(F159,ABS(W159)&gt;1E-12,Y159&gt;0,Z159&gt;0),AA159,1E+300)</f>
        <v/>
      </c>
    </row>
    <row r="160">
      <c r="A160">
        <f>$B$3+$B$5*2</f>
        <v/>
      </c>
      <c r="B160">
        <f>$B$3+$B$5*26</f>
        <v/>
      </c>
      <c r="C160">
        <f>SUMPRODUCT(Calc!$K$3:$K$22*(Calc!$G$3:$G$22&lt;=A160))</f>
        <v/>
      </c>
      <c r="D160">
        <f>SUMPRODUCT(Calc!$K$3:$K$22*(Calc!$G$3:$G$22&gt;A160)*(Calc!$G$3:$G$22&lt;B160))</f>
        <v/>
      </c>
      <c r="E160">
        <f>SUMPRODUCT(Calc!$K$3:$K$22*(Calc!$G$3:$G$22&gt;=B160))</f>
        <v/>
      </c>
      <c r="F160">
        <f>AND(k_n&gt;=5,B160&gt;A160+1E-9,C160&gt;=2,D160&gt;=1,E160&gt;=2)</f>
        <v/>
      </c>
      <c r="G160">
        <f>SUMPRODUCT(Calc!$K$3:$K$22*(Calc!$G$3:$G$22&gt;A160)*(Calc!$G$3:$G$22-A160))</f>
        <v/>
      </c>
      <c r="H160">
        <f>SUMPRODUCT(Calc!$K$3:$K$22*(Calc!$G$3:$G$22&gt;B160)*(Calc!$G$3:$G$22-B160))</f>
        <v/>
      </c>
      <c r="I160">
        <f>SUMPRODUCT(Calc!$K$3:$K$22*(Calc!$G$3:$G$22&gt;A160)*(Calc!$G$3:$G$22-A160)^2)</f>
        <v/>
      </c>
      <c r="J160">
        <f>SUMPRODUCT(Calc!$K$3:$K$22*(Calc!$G$3:$G$22&gt;B160)*(Calc!$G$3:$G$22-B160)^2)</f>
        <v/>
      </c>
      <c r="K160">
        <f>SUMPRODUCT(Calc!$K$3:$K$22*(Calc!$G$3:$G$22&gt;A160)*(Calc!$G$3:$G$22-A160)*(Calc!$G$3:$G$22&gt;B160)*(Calc!$G$3:$G$22-B160))</f>
        <v/>
      </c>
      <c r="L160">
        <f>SUMPRODUCT(Calc!$K$3:$K$22*(Calc!$G$3:$G$22&gt;A160)*(Calc!$G$3:$G$22-A160)*Calc!$G$3:$G$22)</f>
        <v/>
      </c>
      <c r="M160">
        <f>SUMPRODUCT(Calc!$K$3:$K$22*(Calc!$G$3:$G$22&gt;B160)*(Calc!$G$3:$G$22-B160)*Calc!$G$3:$G$22)</f>
        <v/>
      </c>
      <c r="N160">
        <f>SUMPRODUCT(Calc!$K$3:$K$22*(Calc!$G$3:$G$22&gt;A160)*(Calc!$G$3:$G$22-A160)*Calc!$I$3:$I$22)</f>
        <v/>
      </c>
      <c r="O160">
        <f>SUMPRODUCT(Calc!$K$3:$K$22*(Calc!$G$3:$G$22&gt;B160)*(Calc!$G$3:$G$22-B160)*Calc!$I$3:$I$22)</f>
        <v/>
      </c>
      <c r="P160">
        <f>I160-G160^2/k_n</f>
        <v/>
      </c>
      <c r="Q160">
        <f>J160-H160^2/k_n</f>
        <v/>
      </c>
      <c r="R160">
        <f>K160-G160*H160/k_n</f>
        <v/>
      </c>
      <c r="S160">
        <f>L160-LTP3!$D$3*G160/k_n</f>
        <v/>
      </c>
      <c r="T160">
        <f>M160-LTP3!$D$3*H160/k_n</f>
        <v/>
      </c>
      <c r="U160">
        <f>N160-G160*LTP3!$D$4/k_n</f>
        <v/>
      </c>
      <c r="V160">
        <f>O160-H160*LTP3!$D$4/k_n</f>
        <v/>
      </c>
      <c r="W160">
        <f>((LTP3!$D$5)*((P160)*(Q160)-(R160)*(R160))-(S160)*((S160)*(Q160)-(R160)*(T160))+(T160)*((S160)*(R160)-(P160)*(T160)))</f>
        <v/>
      </c>
      <c r="X160">
        <f>IF(ABS(W160)&gt;1E-12,((LTP3!$D$6)*((P160)*(Q160)-(R160)*(R160))-(S160)*((U160)*(Q160)-(R160)*(V160))+(T160)*((U160)*(R160)-(P160)*(V160)))/W160,0)</f>
        <v/>
      </c>
      <c r="Y160">
        <f>IF(ABS(W160)&gt;1E-12,((LTP3!$D$5)*((U160)*(Q160)-(R160)*(V160))-(LTP3!$D$6)*((S160)*(Q160)-(R160)*(T160))+(T160)*((S160)*(V160)-(U160)*(T160)))/W160,0)</f>
        <v/>
      </c>
      <c r="Z160">
        <f>IF(ABS(W160)&gt;1E-12,((LTP3!$D$5)*((P160)*(V160)-(U160)*(R160))-(S160)*((S160)*(V160)-(U160)*(T160))+(LTP3!$D$6)*((S160)*(R160)-(P160)*(T160)))/W160,0)</f>
        <v/>
      </c>
      <c r="AA160">
        <f>LTP3!$D$7-X160*LTP3!$D$6-Y160*U160-Z160*V160</f>
        <v/>
      </c>
      <c r="AB160">
        <f>IF(AND(F160,ABS(W160)&gt;1E-12,Y160&gt;0,Z160&gt;0),AA160,1E+300)</f>
        <v/>
      </c>
    </row>
    <row r="161">
      <c r="A161">
        <f>$B$3+$B$5*2</f>
        <v/>
      </c>
      <c r="B161">
        <f>$B$3+$B$5*27</f>
        <v/>
      </c>
      <c r="C161">
        <f>SUMPRODUCT(Calc!$K$3:$K$22*(Calc!$G$3:$G$22&lt;=A161))</f>
        <v/>
      </c>
      <c r="D161">
        <f>SUMPRODUCT(Calc!$K$3:$K$22*(Calc!$G$3:$G$22&gt;A161)*(Calc!$G$3:$G$22&lt;B161))</f>
        <v/>
      </c>
      <c r="E161">
        <f>SUMPRODUCT(Calc!$K$3:$K$22*(Calc!$G$3:$G$22&gt;=B161))</f>
        <v/>
      </c>
      <c r="F161">
        <f>AND(k_n&gt;=5,B161&gt;A161+1E-9,C161&gt;=2,D161&gt;=1,E161&gt;=2)</f>
        <v/>
      </c>
      <c r="G161">
        <f>SUMPRODUCT(Calc!$K$3:$K$22*(Calc!$G$3:$G$22&gt;A161)*(Calc!$G$3:$G$22-A161))</f>
        <v/>
      </c>
      <c r="H161">
        <f>SUMPRODUCT(Calc!$K$3:$K$22*(Calc!$G$3:$G$22&gt;B161)*(Calc!$G$3:$G$22-B161))</f>
        <v/>
      </c>
      <c r="I161">
        <f>SUMPRODUCT(Calc!$K$3:$K$22*(Calc!$G$3:$G$22&gt;A161)*(Calc!$G$3:$G$22-A161)^2)</f>
        <v/>
      </c>
      <c r="J161">
        <f>SUMPRODUCT(Calc!$K$3:$K$22*(Calc!$G$3:$G$22&gt;B161)*(Calc!$G$3:$G$22-B161)^2)</f>
        <v/>
      </c>
      <c r="K161">
        <f>SUMPRODUCT(Calc!$K$3:$K$22*(Calc!$G$3:$G$22&gt;A161)*(Calc!$G$3:$G$22-A161)*(Calc!$G$3:$G$22&gt;B161)*(Calc!$G$3:$G$22-B161))</f>
        <v/>
      </c>
      <c r="L161">
        <f>SUMPRODUCT(Calc!$K$3:$K$22*(Calc!$G$3:$G$22&gt;A161)*(Calc!$G$3:$G$22-A161)*Calc!$G$3:$G$22)</f>
        <v/>
      </c>
      <c r="M161">
        <f>SUMPRODUCT(Calc!$K$3:$K$22*(Calc!$G$3:$G$22&gt;B161)*(Calc!$G$3:$G$22-B161)*Calc!$G$3:$G$22)</f>
        <v/>
      </c>
      <c r="N161">
        <f>SUMPRODUCT(Calc!$K$3:$K$22*(Calc!$G$3:$G$22&gt;A161)*(Calc!$G$3:$G$22-A161)*Calc!$I$3:$I$22)</f>
        <v/>
      </c>
      <c r="O161">
        <f>SUMPRODUCT(Calc!$K$3:$K$22*(Calc!$G$3:$G$22&gt;B161)*(Calc!$G$3:$G$22-B161)*Calc!$I$3:$I$22)</f>
        <v/>
      </c>
      <c r="P161">
        <f>I161-G161^2/k_n</f>
        <v/>
      </c>
      <c r="Q161">
        <f>J161-H161^2/k_n</f>
        <v/>
      </c>
      <c r="R161">
        <f>K161-G161*H161/k_n</f>
        <v/>
      </c>
      <c r="S161">
        <f>L161-LTP3!$D$3*G161/k_n</f>
        <v/>
      </c>
      <c r="T161">
        <f>M161-LTP3!$D$3*H161/k_n</f>
        <v/>
      </c>
      <c r="U161">
        <f>N161-G161*LTP3!$D$4/k_n</f>
        <v/>
      </c>
      <c r="V161">
        <f>O161-H161*LTP3!$D$4/k_n</f>
        <v/>
      </c>
      <c r="W161">
        <f>((LTP3!$D$5)*((P161)*(Q161)-(R161)*(R161))-(S161)*((S161)*(Q161)-(R161)*(T161))+(T161)*((S161)*(R161)-(P161)*(T161)))</f>
        <v/>
      </c>
      <c r="X161">
        <f>IF(ABS(W161)&gt;1E-12,((LTP3!$D$6)*((P161)*(Q161)-(R161)*(R161))-(S161)*((U161)*(Q161)-(R161)*(V161))+(T161)*((U161)*(R161)-(P161)*(V161)))/W161,0)</f>
        <v/>
      </c>
      <c r="Y161">
        <f>IF(ABS(W161)&gt;1E-12,((LTP3!$D$5)*((U161)*(Q161)-(R161)*(V161))-(LTP3!$D$6)*((S161)*(Q161)-(R161)*(T161))+(T161)*((S161)*(V161)-(U161)*(T161)))/W161,0)</f>
        <v/>
      </c>
      <c r="Z161">
        <f>IF(ABS(W161)&gt;1E-12,((LTP3!$D$5)*((P161)*(V161)-(U161)*(R161))-(S161)*((S161)*(V161)-(U161)*(T161))+(LTP3!$D$6)*((S161)*(R161)-(P161)*(T161)))/W161,0)</f>
        <v/>
      </c>
      <c r="AA161">
        <f>LTP3!$D$7-X161*LTP3!$D$6-Y161*U161-Z161*V161</f>
        <v/>
      </c>
      <c r="AB161">
        <f>IF(AND(F161,ABS(W161)&gt;1E-12,Y161&gt;0,Z161&gt;0),AA161,1E+300)</f>
        <v/>
      </c>
    </row>
    <row r="162">
      <c r="A162">
        <f>$B$3+$B$5*2</f>
        <v/>
      </c>
      <c r="B162">
        <f>$B$3+$B$5*28</f>
        <v/>
      </c>
      <c r="C162">
        <f>SUMPRODUCT(Calc!$K$3:$K$22*(Calc!$G$3:$G$22&lt;=A162))</f>
        <v/>
      </c>
      <c r="D162">
        <f>SUMPRODUCT(Calc!$K$3:$K$22*(Calc!$G$3:$G$22&gt;A162)*(Calc!$G$3:$G$22&lt;B162))</f>
        <v/>
      </c>
      <c r="E162">
        <f>SUMPRODUCT(Calc!$K$3:$K$22*(Calc!$G$3:$G$22&gt;=B162))</f>
        <v/>
      </c>
      <c r="F162">
        <f>AND(k_n&gt;=5,B162&gt;A162+1E-9,C162&gt;=2,D162&gt;=1,E162&gt;=2)</f>
        <v/>
      </c>
      <c r="G162">
        <f>SUMPRODUCT(Calc!$K$3:$K$22*(Calc!$G$3:$G$22&gt;A162)*(Calc!$G$3:$G$22-A162))</f>
        <v/>
      </c>
      <c r="H162">
        <f>SUMPRODUCT(Calc!$K$3:$K$22*(Calc!$G$3:$G$22&gt;B162)*(Calc!$G$3:$G$22-B162))</f>
        <v/>
      </c>
      <c r="I162">
        <f>SUMPRODUCT(Calc!$K$3:$K$22*(Calc!$G$3:$G$22&gt;A162)*(Calc!$G$3:$G$22-A162)^2)</f>
        <v/>
      </c>
      <c r="J162">
        <f>SUMPRODUCT(Calc!$K$3:$K$22*(Calc!$G$3:$G$22&gt;B162)*(Calc!$G$3:$G$22-B162)^2)</f>
        <v/>
      </c>
      <c r="K162">
        <f>SUMPRODUCT(Calc!$K$3:$K$22*(Calc!$G$3:$G$22&gt;A162)*(Calc!$G$3:$G$22-A162)*(Calc!$G$3:$G$22&gt;B162)*(Calc!$G$3:$G$22-B162))</f>
        <v/>
      </c>
      <c r="L162">
        <f>SUMPRODUCT(Calc!$K$3:$K$22*(Calc!$G$3:$G$22&gt;A162)*(Calc!$G$3:$G$22-A162)*Calc!$G$3:$G$22)</f>
        <v/>
      </c>
      <c r="M162">
        <f>SUMPRODUCT(Calc!$K$3:$K$22*(Calc!$G$3:$G$22&gt;B162)*(Calc!$G$3:$G$22-B162)*Calc!$G$3:$G$22)</f>
        <v/>
      </c>
      <c r="N162">
        <f>SUMPRODUCT(Calc!$K$3:$K$22*(Calc!$G$3:$G$22&gt;A162)*(Calc!$G$3:$G$22-A162)*Calc!$I$3:$I$22)</f>
        <v/>
      </c>
      <c r="O162">
        <f>SUMPRODUCT(Calc!$K$3:$K$22*(Calc!$G$3:$G$22&gt;B162)*(Calc!$G$3:$G$22-B162)*Calc!$I$3:$I$22)</f>
        <v/>
      </c>
      <c r="P162">
        <f>I162-G162^2/k_n</f>
        <v/>
      </c>
      <c r="Q162">
        <f>J162-H162^2/k_n</f>
        <v/>
      </c>
      <c r="R162">
        <f>K162-G162*H162/k_n</f>
        <v/>
      </c>
      <c r="S162">
        <f>L162-LTP3!$D$3*G162/k_n</f>
        <v/>
      </c>
      <c r="T162">
        <f>M162-LTP3!$D$3*H162/k_n</f>
        <v/>
      </c>
      <c r="U162">
        <f>N162-G162*LTP3!$D$4/k_n</f>
        <v/>
      </c>
      <c r="V162">
        <f>O162-H162*LTP3!$D$4/k_n</f>
        <v/>
      </c>
      <c r="W162">
        <f>((LTP3!$D$5)*((P162)*(Q162)-(R162)*(R162))-(S162)*((S162)*(Q162)-(R162)*(T162))+(T162)*((S162)*(R162)-(P162)*(T162)))</f>
        <v/>
      </c>
      <c r="X162">
        <f>IF(ABS(W162)&gt;1E-12,((LTP3!$D$6)*((P162)*(Q162)-(R162)*(R162))-(S162)*((U162)*(Q162)-(R162)*(V162))+(T162)*((U162)*(R162)-(P162)*(V162)))/W162,0)</f>
        <v/>
      </c>
      <c r="Y162">
        <f>IF(ABS(W162)&gt;1E-12,((LTP3!$D$5)*((U162)*(Q162)-(R162)*(V162))-(LTP3!$D$6)*((S162)*(Q162)-(R162)*(T162))+(T162)*((S162)*(V162)-(U162)*(T162)))/W162,0)</f>
        <v/>
      </c>
      <c r="Z162">
        <f>IF(ABS(W162)&gt;1E-12,((LTP3!$D$5)*((P162)*(V162)-(U162)*(R162))-(S162)*((S162)*(V162)-(U162)*(T162))+(LTP3!$D$6)*((S162)*(R162)-(P162)*(T162)))/W162,0)</f>
        <v/>
      </c>
      <c r="AA162">
        <f>LTP3!$D$7-X162*LTP3!$D$6-Y162*U162-Z162*V162</f>
        <v/>
      </c>
      <c r="AB162">
        <f>IF(AND(F162,ABS(W162)&gt;1E-12,Y162&gt;0,Z162&gt;0),AA162,1E+300)</f>
        <v/>
      </c>
    </row>
    <row r="163">
      <c r="A163">
        <f>$B$3+$B$5*2</f>
        <v/>
      </c>
      <c r="B163">
        <f>$B$3+$B$5*29</f>
        <v/>
      </c>
      <c r="C163">
        <f>SUMPRODUCT(Calc!$K$3:$K$22*(Calc!$G$3:$G$22&lt;=A163))</f>
        <v/>
      </c>
      <c r="D163">
        <f>SUMPRODUCT(Calc!$K$3:$K$22*(Calc!$G$3:$G$22&gt;A163)*(Calc!$G$3:$G$22&lt;B163))</f>
        <v/>
      </c>
      <c r="E163">
        <f>SUMPRODUCT(Calc!$K$3:$K$22*(Calc!$G$3:$G$22&gt;=B163))</f>
        <v/>
      </c>
      <c r="F163">
        <f>AND(k_n&gt;=5,B163&gt;A163+1E-9,C163&gt;=2,D163&gt;=1,E163&gt;=2)</f>
        <v/>
      </c>
      <c r="G163">
        <f>SUMPRODUCT(Calc!$K$3:$K$22*(Calc!$G$3:$G$22&gt;A163)*(Calc!$G$3:$G$22-A163))</f>
        <v/>
      </c>
      <c r="H163">
        <f>SUMPRODUCT(Calc!$K$3:$K$22*(Calc!$G$3:$G$22&gt;B163)*(Calc!$G$3:$G$22-B163))</f>
        <v/>
      </c>
      <c r="I163">
        <f>SUMPRODUCT(Calc!$K$3:$K$22*(Calc!$G$3:$G$22&gt;A163)*(Calc!$G$3:$G$22-A163)^2)</f>
        <v/>
      </c>
      <c r="J163">
        <f>SUMPRODUCT(Calc!$K$3:$K$22*(Calc!$G$3:$G$22&gt;B163)*(Calc!$G$3:$G$22-B163)^2)</f>
        <v/>
      </c>
      <c r="K163">
        <f>SUMPRODUCT(Calc!$K$3:$K$22*(Calc!$G$3:$G$22&gt;A163)*(Calc!$G$3:$G$22-A163)*(Calc!$G$3:$G$22&gt;B163)*(Calc!$G$3:$G$22-B163))</f>
        <v/>
      </c>
      <c r="L163">
        <f>SUMPRODUCT(Calc!$K$3:$K$22*(Calc!$G$3:$G$22&gt;A163)*(Calc!$G$3:$G$22-A163)*Calc!$G$3:$G$22)</f>
        <v/>
      </c>
      <c r="M163">
        <f>SUMPRODUCT(Calc!$K$3:$K$22*(Calc!$G$3:$G$22&gt;B163)*(Calc!$G$3:$G$22-B163)*Calc!$G$3:$G$22)</f>
        <v/>
      </c>
      <c r="N163">
        <f>SUMPRODUCT(Calc!$K$3:$K$22*(Calc!$G$3:$G$22&gt;A163)*(Calc!$G$3:$G$22-A163)*Calc!$I$3:$I$22)</f>
        <v/>
      </c>
      <c r="O163">
        <f>SUMPRODUCT(Calc!$K$3:$K$22*(Calc!$G$3:$G$22&gt;B163)*(Calc!$G$3:$G$22-B163)*Calc!$I$3:$I$22)</f>
        <v/>
      </c>
      <c r="P163">
        <f>I163-G163^2/k_n</f>
        <v/>
      </c>
      <c r="Q163">
        <f>J163-H163^2/k_n</f>
        <v/>
      </c>
      <c r="R163">
        <f>K163-G163*H163/k_n</f>
        <v/>
      </c>
      <c r="S163">
        <f>L163-LTP3!$D$3*G163/k_n</f>
        <v/>
      </c>
      <c r="T163">
        <f>M163-LTP3!$D$3*H163/k_n</f>
        <v/>
      </c>
      <c r="U163">
        <f>N163-G163*LTP3!$D$4/k_n</f>
        <v/>
      </c>
      <c r="V163">
        <f>O163-H163*LTP3!$D$4/k_n</f>
        <v/>
      </c>
      <c r="W163">
        <f>((LTP3!$D$5)*((P163)*(Q163)-(R163)*(R163))-(S163)*((S163)*(Q163)-(R163)*(T163))+(T163)*((S163)*(R163)-(P163)*(T163)))</f>
        <v/>
      </c>
      <c r="X163">
        <f>IF(ABS(W163)&gt;1E-12,((LTP3!$D$6)*((P163)*(Q163)-(R163)*(R163))-(S163)*((U163)*(Q163)-(R163)*(V163))+(T163)*((U163)*(R163)-(P163)*(V163)))/W163,0)</f>
        <v/>
      </c>
      <c r="Y163">
        <f>IF(ABS(W163)&gt;1E-12,((LTP3!$D$5)*((U163)*(Q163)-(R163)*(V163))-(LTP3!$D$6)*((S163)*(Q163)-(R163)*(T163))+(T163)*((S163)*(V163)-(U163)*(T163)))/W163,0)</f>
        <v/>
      </c>
      <c r="Z163">
        <f>IF(ABS(W163)&gt;1E-12,((LTP3!$D$5)*((P163)*(V163)-(U163)*(R163))-(S163)*((S163)*(V163)-(U163)*(T163))+(LTP3!$D$6)*((S163)*(R163)-(P163)*(T163)))/W163,0)</f>
        <v/>
      </c>
      <c r="AA163">
        <f>LTP3!$D$7-X163*LTP3!$D$6-Y163*U163-Z163*V163</f>
        <v/>
      </c>
      <c r="AB163">
        <f>IF(AND(F163,ABS(W163)&gt;1E-12,Y163&gt;0,Z163&gt;0),AA163,1E+300)</f>
        <v/>
      </c>
    </row>
    <row r="164">
      <c r="A164">
        <f>$B$3+$B$5*2</f>
        <v/>
      </c>
      <c r="B164">
        <f>$B$3+$B$5*30</f>
        <v/>
      </c>
      <c r="C164">
        <f>SUMPRODUCT(Calc!$K$3:$K$22*(Calc!$G$3:$G$22&lt;=A164))</f>
        <v/>
      </c>
      <c r="D164">
        <f>SUMPRODUCT(Calc!$K$3:$K$22*(Calc!$G$3:$G$22&gt;A164)*(Calc!$G$3:$G$22&lt;B164))</f>
        <v/>
      </c>
      <c r="E164">
        <f>SUMPRODUCT(Calc!$K$3:$K$22*(Calc!$G$3:$G$22&gt;=B164))</f>
        <v/>
      </c>
      <c r="F164">
        <f>AND(k_n&gt;=5,B164&gt;A164+1E-9,C164&gt;=2,D164&gt;=1,E164&gt;=2)</f>
        <v/>
      </c>
      <c r="G164">
        <f>SUMPRODUCT(Calc!$K$3:$K$22*(Calc!$G$3:$G$22&gt;A164)*(Calc!$G$3:$G$22-A164))</f>
        <v/>
      </c>
      <c r="H164">
        <f>SUMPRODUCT(Calc!$K$3:$K$22*(Calc!$G$3:$G$22&gt;B164)*(Calc!$G$3:$G$22-B164))</f>
        <v/>
      </c>
      <c r="I164">
        <f>SUMPRODUCT(Calc!$K$3:$K$22*(Calc!$G$3:$G$22&gt;A164)*(Calc!$G$3:$G$22-A164)^2)</f>
        <v/>
      </c>
      <c r="J164">
        <f>SUMPRODUCT(Calc!$K$3:$K$22*(Calc!$G$3:$G$22&gt;B164)*(Calc!$G$3:$G$22-B164)^2)</f>
        <v/>
      </c>
      <c r="K164">
        <f>SUMPRODUCT(Calc!$K$3:$K$22*(Calc!$G$3:$G$22&gt;A164)*(Calc!$G$3:$G$22-A164)*(Calc!$G$3:$G$22&gt;B164)*(Calc!$G$3:$G$22-B164))</f>
        <v/>
      </c>
      <c r="L164">
        <f>SUMPRODUCT(Calc!$K$3:$K$22*(Calc!$G$3:$G$22&gt;A164)*(Calc!$G$3:$G$22-A164)*Calc!$G$3:$G$22)</f>
        <v/>
      </c>
      <c r="M164">
        <f>SUMPRODUCT(Calc!$K$3:$K$22*(Calc!$G$3:$G$22&gt;B164)*(Calc!$G$3:$G$22-B164)*Calc!$G$3:$G$22)</f>
        <v/>
      </c>
      <c r="N164">
        <f>SUMPRODUCT(Calc!$K$3:$K$22*(Calc!$G$3:$G$22&gt;A164)*(Calc!$G$3:$G$22-A164)*Calc!$I$3:$I$22)</f>
        <v/>
      </c>
      <c r="O164">
        <f>SUMPRODUCT(Calc!$K$3:$K$22*(Calc!$G$3:$G$22&gt;B164)*(Calc!$G$3:$G$22-B164)*Calc!$I$3:$I$22)</f>
        <v/>
      </c>
      <c r="P164">
        <f>I164-G164^2/k_n</f>
        <v/>
      </c>
      <c r="Q164">
        <f>J164-H164^2/k_n</f>
        <v/>
      </c>
      <c r="R164">
        <f>K164-G164*H164/k_n</f>
        <v/>
      </c>
      <c r="S164">
        <f>L164-LTP3!$D$3*G164/k_n</f>
        <v/>
      </c>
      <c r="T164">
        <f>M164-LTP3!$D$3*H164/k_n</f>
        <v/>
      </c>
      <c r="U164">
        <f>N164-G164*LTP3!$D$4/k_n</f>
        <v/>
      </c>
      <c r="V164">
        <f>O164-H164*LTP3!$D$4/k_n</f>
        <v/>
      </c>
      <c r="W164">
        <f>((LTP3!$D$5)*((P164)*(Q164)-(R164)*(R164))-(S164)*((S164)*(Q164)-(R164)*(T164))+(T164)*((S164)*(R164)-(P164)*(T164)))</f>
        <v/>
      </c>
      <c r="X164">
        <f>IF(ABS(W164)&gt;1E-12,((LTP3!$D$6)*((P164)*(Q164)-(R164)*(R164))-(S164)*((U164)*(Q164)-(R164)*(V164))+(T164)*((U164)*(R164)-(P164)*(V164)))/W164,0)</f>
        <v/>
      </c>
      <c r="Y164">
        <f>IF(ABS(W164)&gt;1E-12,((LTP3!$D$5)*((U164)*(Q164)-(R164)*(V164))-(LTP3!$D$6)*((S164)*(Q164)-(R164)*(T164))+(T164)*((S164)*(V164)-(U164)*(T164)))/W164,0)</f>
        <v/>
      </c>
      <c r="Z164">
        <f>IF(ABS(W164)&gt;1E-12,((LTP3!$D$5)*((P164)*(V164)-(U164)*(R164))-(S164)*((S164)*(V164)-(U164)*(T164))+(LTP3!$D$6)*((S164)*(R164)-(P164)*(T164)))/W164,0)</f>
        <v/>
      </c>
      <c r="AA164">
        <f>LTP3!$D$7-X164*LTP3!$D$6-Y164*U164-Z164*V164</f>
        <v/>
      </c>
      <c r="AB164">
        <f>IF(AND(F164,ABS(W164)&gt;1E-12,Y164&gt;0,Z164&gt;0),AA164,1E+300)</f>
        <v/>
      </c>
    </row>
    <row r="165">
      <c r="A165">
        <f>$B$3+$B$5*2</f>
        <v/>
      </c>
      <c r="B165">
        <f>$B$3+$B$5*31</f>
        <v/>
      </c>
      <c r="C165">
        <f>SUMPRODUCT(Calc!$K$3:$K$22*(Calc!$G$3:$G$22&lt;=A165))</f>
        <v/>
      </c>
      <c r="D165">
        <f>SUMPRODUCT(Calc!$K$3:$K$22*(Calc!$G$3:$G$22&gt;A165)*(Calc!$G$3:$G$22&lt;B165))</f>
        <v/>
      </c>
      <c r="E165">
        <f>SUMPRODUCT(Calc!$K$3:$K$22*(Calc!$G$3:$G$22&gt;=B165))</f>
        <v/>
      </c>
      <c r="F165">
        <f>AND(k_n&gt;=5,B165&gt;A165+1E-9,C165&gt;=2,D165&gt;=1,E165&gt;=2)</f>
        <v/>
      </c>
      <c r="G165">
        <f>SUMPRODUCT(Calc!$K$3:$K$22*(Calc!$G$3:$G$22&gt;A165)*(Calc!$G$3:$G$22-A165))</f>
        <v/>
      </c>
      <c r="H165">
        <f>SUMPRODUCT(Calc!$K$3:$K$22*(Calc!$G$3:$G$22&gt;B165)*(Calc!$G$3:$G$22-B165))</f>
        <v/>
      </c>
      <c r="I165">
        <f>SUMPRODUCT(Calc!$K$3:$K$22*(Calc!$G$3:$G$22&gt;A165)*(Calc!$G$3:$G$22-A165)^2)</f>
        <v/>
      </c>
      <c r="J165">
        <f>SUMPRODUCT(Calc!$K$3:$K$22*(Calc!$G$3:$G$22&gt;B165)*(Calc!$G$3:$G$22-B165)^2)</f>
        <v/>
      </c>
      <c r="K165">
        <f>SUMPRODUCT(Calc!$K$3:$K$22*(Calc!$G$3:$G$22&gt;A165)*(Calc!$G$3:$G$22-A165)*(Calc!$G$3:$G$22&gt;B165)*(Calc!$G$3:$G$22-B165))</f>
        <v/>
      </c>
      <c r="L165">
        <f>SUMPRODUCT(Calc!$K$3:$K$22*(Calc!$G$3:$G$22&gt;A165)*(Calc!$G$3:$G$22-A165)*Calc!$G$3:$G$22)</f>
        <v/>
      </c>
      <c r="M165">
        <f>SUMPRODUCT(Calc!$K$3:$K$22*(Calc!$G$3:$G$22&gt;B165)*(Calc!$G$3:$G$22-B165)*Calc!$G$3:$G$22)</f>
        <v/>
      </c>
      <c r="N165">
        <f>SUMPRODUCT(Calc!$K$3:$K$22*(Calc!$G$3:$G$22&gt;A165)*(Calc!$G$3:$G$22-A165)*Calc!$I$3:$I$22)</f>
        <v/>
      </c>
      <c r="O165">
        <f>SUMPRODUCT(Calc!$K$3:$K$22*(Calc!$G$3:$G$22&gt;B165)*(Calc!$G$3:$G$22-B165)*Calc!$I$3:$I$22)</f>
        <v/>
      </c>
      <c r="P165">
        <f>I165-G165^2/k_n</f>
        <v/>
      </c>
      <c r="Q165">
        <f>J165-H165^2/k_n</f>
        <v/>
      </c>
      <c r="R165">
        <f>K165-G165*H165/k_n</f>
        <v/>
      </c>
      <c r="S165">
        <f>L165-LTP3!$D$3*G165/k_n</f>
        <v/>
      </c>
      <c r="T165">
        <f>M165-LTP3!$D$3*H165/k_n</f>
        <v/>
      </c>
      <c r="U165">
        <f>N165-G165*LTP3!$D$4/k_n</f>
        <v/>
      </c>
      <c r="V165">
        <f>O165-H165*LTP3!$D$4/k_n</f>
        <v/>
      </c>
      <c r="W165">
        <f>((LTP3!$D$5)*((P165)*(Q165)-(R165)*(R165))-(S165)*((S165)*(Q165)-(R165)*(T165))+(T165)*((S165)*(R165)-(P165)*(T165)))</f>
        <v/>
      </c>
      <c r="X165">
        <f>IF(ABS(W165)&gt;1E-12,((LTP3!$D$6)*((P165)*(Q165)-(R165)*(R165))-(S165)*((U165)*(Q165)-(R165)*(V165))+(T165)*((U165)*(R165)-(P165)*(V165)))/W165,0)</f>
        <v/>
      </c>
      <c r="Y165">
        <f>IF(ABS(W165)&gt;1E-12,((LTP3!$D$5)*((U165)*(Q165)-(R165)*(V165))-(LTP3!$D$6)*((S165)*(Q165)-(R165)*(T165))+(T165)*((S165)*(V165)-(U165)*(T165)))/W165,0)</f>
        <v/>
      </c>
      <c r="Z165">
        <f>IF(ABS(W165)&gt;1E-12,((LTP3!$D$5)*((P165)*(V165)-(U165)*(R165))-(S165)*((S165)*(V165)-(U165)*(T165))+(LTP3!$D$6)*((S165)*(R165)-(P165)*(T165)))/W165,0)</f>
        <v/>
      </c>
      <c r="AA165">
        <f>LTP3!$D$7-X165*LTP3!$D$6-Y165*U165-Z165*V165</f>
        <v/>
      </c>
      <c r="AB165">
        <f>IF(AND(F165,ABS(W165)&gt;1E-12,Y165&gt;0,Z165&gt;0),AA165,1E+300)</f>
        <v/>
      </c>
    </row>
    <row r="166">
      <c r="A166">
        <f>$B$3+$B$5*2</f>
        <v/>
      </c>
      <c r="B166">
        <f>$B$3+$B$5*32</f>
        <v/>
      </c>
      <c r="C166">
        <f>SUMPRODUCT(Calc!$K$3:$K$22*(Calc!$G$3:$G$22&lt;=A166))</f>
        <v/>
      </c>
      <c r="D166">
        <f>SUMPRODUCT(Calc!$K$3:$K$22*(Calc!$G$3:$G$22&gt;A166)*(Calc!$G$3:$G$22&lt;B166))</f>
        <v/>
      </c>
      <c r="E166">
        <f>SUMPRODUCT(Calc!$K$3:$K$22*(Calc!$G$3:$G$22&gt;=B166))</f>
        <v/>
      </c>
      <c r="F166">
        <f>AND(k_n&gt;=5,B166&gt;A166+1E-9,C166&gt;=2,D166&gt;=1,E166&gt;=2)</f>
        <v/>
      </c>
      <c r="G166">
        <f>SUMPRODUCT(Calc!$K$3:$K$22*(Calc!$G$3:$G$22&gt;A166)*(Calc!$G$3:$G$22-A166))</f>
        <v/>
      </c>
      <c r="H166">
        <f>SUMPRODUCT(Calc!$K$3:$K$22*(Calc!$G$3:$G$22&gt;B166)*(Calc!$G$3:$G$22-B166))</f>
        <v/>
      </c>
      <c r="I166">
        <f>SUMPRODUCT(Calc!$K$3:$K$22*(Calc!$G$3:$G$22&gt;A166)*(Calc!$G$3:$G$22-A166)^2)</f>
        <v/>
      </c>
      <c r="J166">
        <f>SUMPRODUCT(Calc!$K$3:$K$22*(Calc!$G$3:$G$22&gt;B166)*(Calc!$G$3:$G$22-B166)^2)</f>
        <v/>
      </c>
      <c r="K166">
        <f>SUMPRODUCT(Calc!$K$3:$K$22*(Calc!$G$3:$G$22&gt;A166)*(Calc!$G$3:$G$22-A166)*(Calc!$G$3:$G$22&gt;B166)*(Calc!$G$3:$G$22-B166))</f>
        <v/>
      </c>
      <c r="L166">
        <f>SUMPRODUCT(Calc!$K$3:$K$22*(Calc!$G$3:$G$22&gt;A166)*(Calc!$G$3:$G$22-A166)*Calc!$G$3:$G$22)</f>
        <v/>
      </c>
      <c r="M166">
        <f>SUMPRODUCT(Calc!$K$3:$K$22*(Calc!$G$3:$G$22&gt;B166)*(Calc!$G$3:$G$22-B166)*Calc!$G$3:$G$22)</f>
        <v/>
      </c>
      <c r="N166">
        <f>SUMPRODUCT(Calc!$K$3:$K$22*(Calc!$G$3:$G$22&gt;A166)*(Calc!$G$3:$G$22-A166)*Calc!$I$3:$I$22)</f>
        <v/>
      </c>
      <c r="O166">
        <f>SUMPRODUCT(Calc!$K$3:$K$22*(Calc!$G$3:$G$22&gt;B166)*(Calc!$G$3:$G$22-B166)*Calc!$I$3:$I$22)</f>
        <v/>
      </c>
      <c r="P166">
        <f>I166-G166^2/k_n</f>
        <v/>
      </c>
      <c r="Q166">
        <f>J166-H166^2/k_n</f>
        <v/>
      </c>
      <c r="R166">
        <f>K166-G166*H166/k_n</f>
        <v/>
      </c>
      <c r="S166">
        <f>L166-LTP3!$D$3*G166/k_n</f>
        <v/>
      </c>
      <c r="T166">
        <f>M166-LTP3!$D$3*H166/k_n</f>
        <v/>
      </c>
      <c r="U166">
        <f>N166-G166*LTP3!$D$4/k_n</f>
        <v/>
      </c>
      <c r="V166">
        <f>O166-H166*LTP3!$D$4/k_n</f>
        <v/>
      </c>
      <c r="W166">
        <f>((LTP3!$D$5)*((P166)*(Q166)-(R166)*(R166))-(S166)*((S166)*(Q166)-(R166)*(T166))+(T166)*((S166)*(R166)-(P166)*(T166)))</f>
        <v/>
      </c>
      <c r="X166">
        <f>IF(ABS(W166)&gt;1E-12,((LTP3!$D$6)*((P166)*(Q166)-(R166)*(R166))-(S166)*((U166)*(Q166)-(R166)*(V166))+(T166)*((U166)*(R166)-(P166)*(V166)))/W166,0)</f>
        <v/>
      </c>
      <c r="Y166">
        <f>IF(ABS(W166)&gt;1E-12,((LTP3!$D$5)*((U166)*(Q166)-(R166)*(V166))-(LTP3!$D$6)*((S166)*(Q166)-(R166)*(T166))+(T166)*((S166)*(V166)-(U166)*(T166)))/W166,0)</f>
        <v/>
      </c>
      <c r="Z166">
        <f>IF(ABS(W166)&gt;1E-12,((LTP3!$D$5)*((P166)*(V166)-(U166)*(R166))-(S166)*((S166)*(V166)-(U166)*(T166))+(LTP3!$D$6)*((S166)*(R166)-(P166)*(T166)))/W166,0)</f>
        <v/>
      </c>
      <c r="AA166">
        <f>LTP3!$D$7-X166*LTP3!$D$6-Y166*U166-Z166*V166</f>
        <v/>
      </c>
      <c r="AB166">
        <f>IF(AND(F166,ABS(W166)&gt;1E-12,Y166&gt;0,Z166&gt;0),AA166,1E+300)</f>
        <v/>
      </c>
    </row>
    <row r="167">
      <c r="A167">
        <f>$B$3+$B$5*2</f>
        <v/>
      </c>
      <c r="B167">
        <f>$B$3+$B$5*33</f>
        <v/>
      </c>
      <c r="C167">
        <f>SUMPRODUCT(Calc!$K$3:$K$22*(Calc!$G$3:$G$22&lt;=A167))</f>
        <v/>
      </c>
      <c r="D167">
        <f>SUMPRODUCT(Calc!$K$3:$K$22*(Calc!$G$3:$G$22&gt;A167)*(Calc!$G$3:$G$22&lt;B167))</f>
        <v/>
      </c>
      <c r="E167">
        <f>SUMPRODUCT(Calc!$K$3:$K$22*(Calc!$G$3:$G$22&gt;=B167))</f>
        <v/>
      </c>
      <c r="F167">
        <f>AND(k_n&gt;=5,B167&gt;A167+1E-9,C167&gt;=2,D167&gt;=1,E167&gt;=2)</f>
        <v/>
      </c>
      <c r="G167">
        <f>SUMPRODUCT(Calc!$K$3:$K$22*(Calc!$G$3:$G$22&gt;A167)*(Calc!$G$3:$G$22-A167))</f>
        <v/>
      </c>
      <c r="H167">
        <f>SUMPRODUCT(Calc!$K$3:$K$22*(Calc!$G$3:$G$22&gt;B167)*(Calc!$G$3:$G$22-B167))</f>
        <v/>
      </c>
      <c r="I167">
        <f>SUMPRODUCT(Calc!$K$3:$K$22*(Calc!$G$3:$G$22&gt;A167)*(Calc!$G$3:$G$22-A167)^2)</f>
        <v/>
      </c>
      <c r="J167">
        <f>SUMPRODUCT(Calc!$K$3:$K$22*(Calc!$G$3:$G$22&gt;B167)*(Calc!$G$3:$G$22-B167)^2)</f>
        <v/>
      </c>
      <c r="K167">
        <f>SUMPRODUCT(Calc!$K$3:$K$22*(Calc!$G$3:$G$22&gt;A167)*(Calc!$G$3:$G$22-A167)*(Calc!$G$3:$G$22&gt;B167)*(Calc!$G$3:$G$22-B167))</f>
        <v/>
      </c>
      <c r="L167">
        <f>SUMPRODUCT(Calc!$K$3:$K$22*(Calc!$G$3:$G$22&gt;A167)*(Calc!$G$3:$G$22-A167)*Calc!$G$3:$G$22)</f>
        <v/>
      </c>
      <c r="M167">
        <f>SUMPRODUCT(Calc!$K$3:$K$22*(Calc!$G$3:$G$22&gt;B167)*(Calc!$G$3:$G$22-B167)*Calc!$G$3:$G$22)</f>
        <v/>
      </c>
      <c r="N167">
        <f>SUMPRODUCT(Calc!$K$3:$K$22*(Calc!$G$3:$G$22&gt;A167)*(Calc!$G$3:$G$22-A167)*Calc!$I$3:$I$22)</f>
        <v/>
      </c>
      <c r="O167">
        <f>SUMPRODUCT(Calc!$K$3:$K$22*(Calc!$G$3:$G$22&gt;B167)*(Calc!$G$3:$G$22-B167)*Calc!$I$3:$I$22)</f>
        <v/>
      </c>
      <c r="P167">
        <f>I167-G167^2/k_n</f>
        <v/>
      </c>
      <c r="Q167">
        <f>J167-H167^2/k_n</f>
        <v/>
      </c>
      <c r="R167">
        <f>K167-G167*H167/k_n</f>
        <v/>
      </c>
      <c r="S167">
        <f>L167-LTP3!$D$3*G167/k_n</f>
        <v/>
      </c>
      <c r="T167">
        <f>M167-LTP3!$D$3*H167/k_n</f>
        <v/>
      </c>
      <c r="U167">
        <f>N167-G167*LTP3!$D$4/k_n</f>
        <v/>
      </c>
      <c r="V167">
        <f>O167-H167*LTP3!$D$4/k_n</f>
        <v/>
      </c>
      <c r="W167">
        <f>((LTP3!$D$5)*((P167)*(Q167)-(R167)*(R167))-(S167)*((S167)*(Q167)-(R167)*(T167))+(T167)*((S167)*(R167)-(P167)*(T167)))</f>
        <v/>
      </c>
      <c r="X167">
        <f>IF(ABS(W167)&gt;1E-12,((LTP3!$D$6)*((P167)*(Q167)-(R167)*(R167))-(S167)*((U167)*(Q167)-(R167)*(V167))+(T167)*((U167)*(R167)-(P167)*(V167)))/W167,0)</f>
        <v/>
      </c>
      <c r="Y167">
        <f>IF(ABS(W167)&gt;1E-12,((LTP3!$D$5)*((U167)*(Q167)-(R167)*(V167))-(LTP3!$D$6)*((S167)*(Q167)-(R167)*(T167))+(T167)*((S167)*(V167)-(U167)*(T167)))/W167,0)</f>
        <v/>
      </c>
      <c r="Z167">
        <f>IF(ABS(W167)&gt;1E-12,((LTP3!$D$5)*((P167)*(V167)-(U167)*(R167))-(S167)*((S167)*(V167)-(U167)*(T167))+(LTP3!$D$6)*((S167)*(R167)-(P167)*(T167)))/W167,0)</f>
        <v/>
      </c>
      <c r="AA167">
        <f>LTP3!$D$7-X167*LTP3!$D$6-Y167*U167-Z167*V167</f>
        <v/>
      </c>
      <c r="AB167">
        <f>IF(AND(F167,ABS(W167)&gt;1E-12,Y167&gt;0,Z167&gt;0),AA167,1E+300)</f>
        <v/>
      </c>
    </row>
    <row r="168">
      <c r="A168">
        <f>$B$3+$B$5*2</f>
        <v/>
      </c>
      <c r="B168">
        <f>$B$3+$B$5*34</f>
        <v/>
      </c>
      <c r="C168">
        <f>SUMPRODUCT(Calc!$K$3:$K$22*(Calc!$G$3:$G$22&lt;=A168))</f>
        <v/>
      </c>
      <c r="D168">
        <f>SUMPRODUCT(Calc!$K$3:$K$22*(Calc!$G$3:$G$22&gt;A168)*(Calc!$G$3:$G$22&lt;B168))</f>
        <v/>
      </c>
      <c r="E168">
        <f>SUMPRODUCT(Calc!$K$3:$K$22*(Calc!$G$3:$G$22&gt;=B168))</f>
        <v/>
      </c>
      <c r="F168">
        <f>AND(k_n&gt;=5,B168&gt;A168+1E-9,C168&gt;=2,D168&gt;=1,E168&gt;=2)</f>
        <v/>
      </c>
      <c r="G168">
        <f>SUMPRODUCT(Calc!$K$3:$K$22*(Calc!$G$3:$G$22&gt;A168)*(Calc!$G$3:$G$22-A168))</f>
        <v/>
      </c>
      <c r="H168">
        <f>SUMPRODUCT(Calc!$K$3:$K$22*(Calc!$G$3:$G$22&gt;B168)*(Calc!$G$3:$G$22-B168))</f>
        <v/>
      </c>
      <c r="I168">
        <f>SUMPRODUCT(Calc!$K$3:$K$22*(Calc!$G$3:$G$22&gt;A168)*(Calc!$G$3:$G$22-A168)^2)</f>
        <v/>
      </c>
      <c r="J168">
        <f>SUMPRODUCT(Calc!$K$3:$K$22*(Calc!$G$3:$G$22&gt;B168)*(Calc!$G$3:$G$22-B168)^2)</f>
        <v/>
      </c>
      <c r="K168">
        <f>SUMPRODUCT(Calc!$K$3:$K$22*(Calc!$G$3:$G$22&gt;A168)*(Calc!$G$3:$G$22-A168)*(Calc!$G$3:$G$22&gt;B168)*(Calc!$G$3:$G$22-B168))</f>
        <v/>
      </c>
      <c r="L168">
        <f>SUMPRODUCT(Calc!$K$3:$K$22*(Calc!$G$3:$G$22&gt;A168)*(Calc!$G$3:$G$22-A168)*Calc!$G$3:$G$22)</f>
        <v/>
      </c>
      <c r="M168">
        <f>SUMPRODUCT(Calc!$K$3:$K$22*(Calc!$G$3:$G$22&gt;B168)*(Calc!$G$3:$G$22-B168)*Calc!$G$3:$G$22)</f>
        <v/>
      </c>
      <c r="N168">
        <f>SUMPRODUCT(Calc!$K$3:$K$22*(Calc!$G$3:$G$22&gt;A168)*(Calc!$G$3:$G$22-A168)*Calc!$I$3:$I$22)</f>
        <v/>
      </c>
      <c r="O168">
        <f>SUMPRODUCT(Calc!$K$3:$K$22*(Calc!$G$3:$G$22&gt;B168)*(Calc!$G$3:$G$22-B168)*Calc!$I$3:$I$22)</f>
        <v/>
      </c>
      <c r="P168">
        <f>I168-G168^2/k_n</f>
        <v/>
      </c>
      <c r="Q168">
        <f>J168-H168^2/k_n</f>
        <v/>
      </c>
      <c r="R168">
        <f>K168-G168*H168/k_n</f>
        <v/>
      </c>
      <c r="S168">
        <f>L168-LTP3!$D$3*G168/k_n</f>
        <v/>
      </c>
      <c r="T168">
        <f>M168-LTP3!$D$3*H168/k_n</f>
        <v/>
      </c>
      <c r="U168">
        <f>N168-G168*LTP3!$D$4/k_n</f>
        <v/>
      </c>
      <c r="V168">
        <f>O168-H168*LTP3!$D$4/k_n</f>
        <v/>
      </c>
      <c r="W168">
        <f>((LTP3!$D$5)*((P168)*(Q168)-(R168)*(R168))-(S168)*((S168)*(Q168)-(R168)*(T168))+(T168)*((S168)*(R168)-(P168)*(T168)))</f>
        <v/>
      </c>
      <c r="X168">
        <f>IF(ABS(W168)&gt;1E-12,((LTP3!$D$6)*((P168)*(Q168)-(R168)*(R168))-(S168)*((U168)*(Q168)-(R168)*(V168))+(T168)*((U168)*(R168)-(P168)*(V168)))/W168,0)</f>
        <v/>
      </c>
      <c r="Y168">
        <f>IF(ABS(W168)&gt;1E-12,((LTP3!$D$5)*((U168)*(Q168)-(R168)*(V168))-(LTP3!$D$6)*((S168)*(Q168)-(R168)*(T168))+(T168)*((S168)*(V168)-(U168)*(T168)))/W168,0)</f>
        <v/>
      </c>
      <c r="Z168">
        <f>IF(ABS(W168)&gt;1E-12,((LTP3!$D$5)*((P168)*(V168)-(U168)*(R168))-(S168)*((S168)*(V168)-(U168)*(T168))+(LTP3!$D$6)*((S168)*(R168)-(P168)*(T168)))/W168,0)</f>
        <v/>
      </c>
      <c r="AA168">
        <f>LTP3!$D$7-X168*LTP3!$D$6-Y168*U168-Z168*V168</f>
        <v/>
      </c>
      <c r="AB168">
        <f>IF(AND(F168,ABS(W168)&gt;1E-12,Y168&gt;0,Z168&gt;0),AA168,1E+300)</f>
        <v/>
      </c>
    </row>
    <row r="169">
      <c r="A169">
        <f>$B$3+$B$5*2</f>
        <v/>
      </c>
      <c r="B169">
        <f>$B$3+$B$5*35</f>
        <v/>
      </c>
      <c r="C169">
        <f>SUMPRODUCT(Calc!$K$3:$K$22*(Calc!$G$3:$G$22&lt;=A169))</f>
        <v/>
      </c>
      <c r="D169">
        <f>SUMPRODUCT(Calc!$K$3:$K$22*(Calc!$G$3:$G$22&gt;A169)*(Calc!$G$3:$G$22&lt;B169))</f>
        <v/>
      </c>
      <c r="E169">
        <f>SUMPRODUCT(Calc!$K$3:$K$22*(Calc!$G$3:$G$22&gt;=B169))</f>
        <v/>
      </c>
      <c r="F169">
        <f>AND(k_n&gt;=5,B169&gt;A169+1E-9,C169&gt;=2,D169&gt;=1,E169&gt;=2)</f>
        <v/>
      </c>
      <c r="G169">
        <f>SUMPRODUCT(Calc!$K$3:$K$22*(Calc!$G$3:$G$22&gt;A169)*(Calc!$G$3:$G$22-A169))</f>
        <v/>
      </c>
      <c r="H169">
        <f>SUMPRODUCT(Calc!$K$3:$K$22*(Calc!$G$3:$G$22&gt;B169)*(Calc!$G$3:$G$22-B169))</f>
        <v/>
      </c>
      <c r="I169">
        <f>SUMPRODUCT(Calc!$K$3:$K$22*(Calc!$G$3:$G$22&gt;A169)*(Calc!$G$3:$G$22-A169)^2)</f>
        <v/>
      </c>
      <c r="J169">
        <f>SUMPRODUCT(Calc!$K$3:$K$22*(Calc!$G$3:$G$22&gt;B169)*(Calc!$G$3:$G$22-B169)^2)</f>
        <v/>
      </c>
      <c r="K169">
        <f>SUMPRODUCT(Calc!$K$3:$K$22*(Calc!$G$3:$G$22&gt;A169)*(Calc!$G$3:$G$22-A169)*(Calc!$G$3:$G$22&gt;B169)*(Calc!$G$3:$G$22-B169))</f>
        <v/>
      </c>
      <c r="L169">
        <f>SUMPRODUCT(Calc!$K$3:$K$22*(Calc!$G$3:$G$22&gt;A169)*(Calc!$G$3:$G$22-A169)*Calc!$G$3:$G$22)</f>
        <v/>
      </c>
      <c r="M169">
        <f>SUMPRODUCT(Calc!$K$3:$K$22*(Calc!$G$3:$G$22&gt;B169)*(Calc!$G$3:$G$22-B169)*Calc!$G$3:$G$22)</f>
        <v/>
      </c>
      <c r="N169">
        <f>SUMPRODUCT(Calc!$K$3:$K$22*(Calc!$G$3:$G$22&gt;A169)*(Calc!$G$3:$G$22-A169)*Calc!$I$3:$I$22)</f>
        <v/>
      </c>
      <c r="O169">
        <f>SUMPRODUCT(Calc!$K$3:$K$22*(Calc!$G$3:$G$22&gt;B169)*(Calc!$G$3:$G$22-B169)*Calc!$I$3:$I$22)</f>
        <v/>
      </c>
      <c r="P169">
        <f>I169-G169^2/k_n</f>
        <v/>
      </c>
      <c r="Q169">
        <f>J169-H169^2/k_n</f>
        <v/>
      </c>
      <c r="R169">
        <f>K169-G169*H169/k_n</f>
        <v/>
      </c>
      <c r="S169">
        <f>L169-LTP3!$D$3*G169/k_n</f>
        <v/>
      </c>
      <c r="T169">
        <f>M169-LTP3!$D$3*H169/k_n</f>
        <v/>
      </c>
      <c r="U169">
        <f>N169-G169*LTP3!$D$4/k_n</f>
        <v/>
      </c>
      <c r="V169">
        <f>O169-H169*LTP3!$D$4/k_n</f>
        <v/>
      </c>
      <c r="W169">
        <f>((LTP3!$D$5)*((P169)*(Q169)-(R169)*(R169))-(S169)*((S169)*(Q169)-(R169)*(T169))+(T169)*((S169)*(R169)-(P169)*(T169)))</f>
        <v/>
      </c>
      <c r="X169">
        <f>IF(ABS(W169)&gt;1E-12,((LTP3!$D$6)*((P169)*(Q169)-(R169)*(R169))-(S169)*((U169)*(Q169)-(R169)*(V169))+(T169)*((U169)*(R169)-(P169)*(V169)))/W169,0)</f>
        <v/>
      </c>
      <c r="Y169">
        <f>IF(ABS(W169)&gt;1E-12,((LTP3!$D$5)*((U169)*(Q169)-(R169)*(V169))-(LTP3!$D$6)*((S169)*(Q169)-(R169)*(T169))+(T169)*((S169)*(V169)-(U169)*(T169)))/W169,0)</f>
        <v/>
      </c>
      <c r="Z169">
        <f>IF(ABS(W169)&gt;1E-12,((LTP3!$D$5)*((P169)*(V169)-(U169)*(R169))-(S169)*((S169)*(V169)-(U169)*(T169))+(LTP3!$D$6)*((S169)*(R169)-(P169)*(T169)))/W169,0)</f>
        <v/>
      </c>
      <c r="AA169">
        <f>LTP3!$D$7-X169*LTP3!$D$6-Y169*U169-Z169*V169</f>
        <v/>
      </c>
      <c r="AB169">
        <f>IF(AND(F169,ABS(W169)&gt;1E-12,Y169&gt;0,Z169&gt;0),AA169,1E+300)</f>
        <v/>
      </c>
    </row>
    <row r="170">
      <c r="A170">
        <f>$B$3+$B$5*2</f>
        <v/>
      </c>
      <c r="B170">
        <f>$B$3+$B$5*36</f>
        <v/>
      </c>
      <c r="C170">
        <f>SUMPRODUCT(Calc!$K$3:$K$22*(Calc!$G$3:$G$22&lt;=A170))</f>
        <v/>
      </c>
      <c r="D170">
        <f>SUMPRODUCT(Calc!$K$3:$K$22*(Calc!$G$3:$G$22&gt;A170)*(Calc!$G$3:$G$22&lt;B170))</f>
        <v/>
      </c>
      <c r="E170">
        <f>SUMPRODUCT(Calc!$K$3:$K$22*(Calc!$G$3:$G$22&gt;=B170))</f>
        <v/>
      </c>
      <c r="F170">
        <f>AND(k_n&gt;=5,B170&gt;A170+1E-9,C170&gt;=2,D170&gt;=1,E170&gt;=2)</f>
        <v/>
      </c>
      <c r="G170">
        <f>SUMPRODUCT(Calc!$K$3:$K$22*(Calc!$G$3:$G$22&gt;A170)*(Calc!$G$3:$G$22-A170))</f>
        <v/>
      </c>
      <c r="H170">
        <f>SUMPRODUCT(Calc!$K$3:$K$22*(Calc!$G$3:$G$22&gt;B170)*(Calc!$G$3:$G$22-B170))</f>
        <v/>
      </c>
      <c r="I170">
        <f>SUMPRODUCT(Calc!$K$3:$K$22*(Calc!$G$3:$G$22&gt;A170)*(Calc!$G$3:$G$22-A170)^2)</f>
        <v/>
      </c>
      <c r="J170">
        <f>SUMPRODUCT(Calc!$K$3:$K$22*(Calc!$G$3:$G$22&gt;B170)*(Calc!$G$3:$G$22-B170)^2)</f>
        <v/>
      </c>
      <c r="K170">
        <f>SUMPRODUCT(Calc!$K$3:$K$22*(Calc!$G$3:$G$22&gt;A170)*(Calc!$G$3:$G$22-A170)*(Calc!$G$3:$G$22&gt;B170)*(Calc!$G$3:$G$22-B170))</f>
        <v/>
      </c>
      <c r="L170">
        <f>SUMPRODUCT(Calc!$K$3:$K$22*(Calc!$G$3:$G$22&gt;A170)*(Calc!$G$3:$G$22-A170)*Calc!$G$3:$G$22)</f>
        <v/>
      </c>
      <c r="M170">
        <f>SUMPRODUCT(Calc!$K$3:$K$22*(Calc!$G$3:$G$22&gt;B170)*(Calc!$G$3:$G$22-B170)*Calc!$G$3:$G$22)</f>
        <v/>
      </c>
      <c r="N170">
        <f>SUMPRODUCT(Calc!$K$3:$K$22*(Calc!$G$3:$G$22&gt;A170)*(Calc!$G$3:$G$22-A170)*Calc!$I$3:$I$22)</f>
        <v/>
      </c>
      <c r="O170">
        <f>SUMPRODUCT(Calc!$K$3:$K$22*(Calc!$G$3:$G$22&gt;B170)*(Calc!$G$3:$G$22-B170)*Calc!$I$3:$I$22)</f>
        <v/>
      </c>
      <c r="P170">
        <f>I170-G170^2/k_n</f>
        <v/>
      </c>
      <c r="Q170">
        <f>J170-H170^2/k_n</f>
        <v/>
      </c>
      <c r="R170">
        <f>K170-G170*H170/k_n</f>
        <v/>
      </c>
      <c r="S170">
        <f>L170-LTP3!$D$3*G170/k_n</f>
        <v/>
      </c>
      <c r="T170">
        <f>M170-LTP3!$D$3*H170/k_n</f>
        <v/>
      </c>
      <c r="U170">
        <f>N170-G170*LTP3!$D$4/k_n</f>
        <v/>
      </c>
      <c r="V170">
        <f>O170-H170*LTP3!$D$4/k_n</f>
        <v/>
      </c>
      <c r="W170">
        <f>((LTP3!$D$5)*((P170)*(Q170)-(R170)*(R170))-(S170)*((S170)*(Q170)-(R170)*(T170))+(T170)*((S170)*(R170)-(P170)*(T170)))</f>
        <v/>
      </c>
      <c r="X170">
        <f>IF(ABS(W170)&gt;1E-12,((LTP3!$D$6)*((P170)*(Q170)-(R170)*(R170))-(S170)*((U170)*(Q170)-(R170)*(V170))+(T170)*((U170)*(R170)-(P170)*(V170)))/W170,0)</f>
        <v/>
      </c>
      <c r="Y170">
        <f>IF(ABS(W170)&gt;1E-12,((LTP3!$D$5)*((U170)*(Q170)-(R170)*(V170))-(LTP3!$D$6)*((S170)*(Q170)-(R170)*(T170))+(T170)*((S170)*(V170)-(U170)*(T170)))/W170,0)</f>
        <v/>
      </c>
      <c r="Z170">
        <f>IF(ABS(W170)&gt;1E-12,((LTP3!$D$5)*((P170)*(V170)-(U170)*(R170))-(S170)*((S170)*(V170)-(U170)*(T170))+(LTP3!$D$6)*((S170)*(R170)-(P170)*(T170)))/W170,0)</f>
        <v/>
      </c>
      <c r="AA170">
        <f>LTP3!$D$7-X170*LTP3!$D$6-Y170*U170-Z170*V170</f>
        <v/>
      </c>
      <c r="AB170">
        <f>IF(AND(F170,ABS(W170)&gt;1E-12,Y170&gt;0,Z170&gt;0),AA170,1E+300)</f>
        <v/>
      </c>
    </row>
    <row r="171">
      <c r="A171">
        <f>$B$3+$B$5*2</f>
        <v/>
      </c>
      <c r="B171">
        <f>$B$3+$B$5*37</f>
        <v/>
      </c>
      <c r="C171">
        <f>SUMPRODUCT(Calc!$K$3:$K$22*(Calc!$G$3:$G$22&lt;=A171))</f>
        <v/>
      </c>
      <c r="D171">
        <f>SUMPRODUCT(Calc!$K$3:$K$22*(Calc!$G$3:$G$22&gt;A171)*(Calc!$G$3:$G$22&lt;B171))</f>
        <v/>
      </c>
      <c r="E171">
        <f>SUMPRODUCT(Calc!$K$3:$K$22*(Calc!$G$3:$G$22&gt;=B171))</f>
        <v/>
      </c>
      <c r="F171">
        <f>AND(k_n&gt;=5,B171&gt;A171+1E-9,C171&gt;=2,D171&gt;=1,E171&gt;=2)</f>
        <v/>
      </c>
      <c r="G171">
        <f>SUMPRODUCT(Calc!$K$3:$K$22*(Calc!$G$3:$G$22&gt;A171)*(Calc!$G$3:$G$22-A171))</f>
        <v/>
      </c>
      <c r="H171">
        <f>SUMPRODUCT(Calc!$K$3:$K$22*(Calc!$G$3:$G$22&gt;B171)*(Calc!$G$3:$G$22-B171))</f>
        <v/>
      </c>
      <c r="I171">
        <f>SUMPRODUCT(Calc!$K$3:$K$22*(Calc!$G$3:$G$22&gt;A171)*(Calc!$G$3:$G$22-A171)^2)</f>
        <v/>
      </c>
      <c r="J171">
        <f>SUMPRODUCT(Calc!$K$3:$K$22*(Calc!$G$3:$G$22&gt;B171)*(Calc!$G$3:$G$22-B171)^2)</f>
        <v/>
      </c>
      <c r="K171">
        <f>SUMPRODUCT(Calc!$K$3:$K$22*(Calc!$G$3:$G$22&gt;A171)*(Calc!$G$3:$G$22-A171)*(Calc!$G$3:$G$22&gt;B171)*(Calc!$G$3:$G$22-B171))</f>
        <v/>
      </c>
      <c r="L171">
        <f>SUMPRODUCT(Calc!$K$3:$K$22*(Calc!$G$3:$G$22&gt;A171)*(Calc!$G$3:$G$22-A171)*Calc!$G$3:$G$22)</f>
        <v/>
      </c>
      <c r="M171">
        <f>SUMPRODUCT(Calc!$K$3:$K$22*(Calc!$G$3:$G$22&gt;B171)*(Calc!$G$3:$G$22-B171)*Calc!$G$3:$G$22)</f>
        <v/>
      </c>
      <c r="N171">
        <f>SUMPRODUCT(Calc!$K$3:$K$22*(Calc!$G$3:$G$22&gt;A171)*(Calc!$G$3:$G$22-A171)*Calc!$I$3:$I$22)</f>
        <v/>
      </c>
      <c r="O171">
        <f>SUMPRODUCT(Calc!$K$3:$K$22*(Calc!$G$3:$G$22&gt;B171)*(Calc!$G$3:$G$22-B171)*Calc!$I$3:$I$22)</f>
        <v/>
      </c>
      <c r="P171">
        <f>I171-G171^2/k_n</f>
        <v/>
      </c>
      <c r="Q171">
        <f>J171-H171^2/k_n</f>
        <v/>
      </c>
      <c r="R171">
        <f>K171-G171*H171/k_n</f>
        <v/>
      </c>
      <c r="S171">
        <f>L171-LTP3!$D$3*G171/k_n</f>
        <v/>
      </c>
      <c r="T171">
        <f>M171-LTP3!$D$3*H171/k_n</f>
        <v/>
      </c>
      <c r="U171">
        <f>N171-G171*LTP3!$D$4/k_n</f>
        <v/>
      </c>
      <c r="V171">
        <f>O171-H171*LTP3!$D$4/k_n</f>
        <v/>
      </c>
      <c r="W171">
        <f>((LTP3!$D$5)*((P171)*(Q171)-(R171)*(R171))-(S171)*((S171)*(Q171)-(R171)*(T171))+(T171)*((S171)*(R171)-(P171)*(T171)))</f>
        <v/>
      </c>
      <c r="X171">
        <f>IF(ABS(W171)&gt;1E-12,((LTP3!$D$6)*((P171)*(Q171)-(R171)*(R171))-(S171)*((U171)*(Q171)-(R171)*(V171))+(T171)*((U171)*(R171)-(P171)*(V171)))/W171,0)</f>
        <v/>
      </c>
      <c r="Y171">
        <f>IF(ABS(W171)&gt;1E-12,((LTP3!$D$5)*((U171)*(Q171)-(R171)*(V171))-(LTP3!$D$6)*((S171)*(Q171)-(R171)*(T171))+(T171)*((S171)*(V171)-(U171)*(T171)))/W171,0)</f>
        <v/>
      </c>
      <c r="Z171">
        <f>IF(ABS(W171)&gt;1E-12,((LTP3!$D$5)*((P171)*(V171)-(U171)*(R171))-(S171)*((S171)*(V171)-(U171)*(T171))+(LTP3!$D$6)*((S171)*(R171)-(P171)*(T171)))/W171,0)</f>
        <v/>
      </c>
      <c r="AA171">
        <f>LTP3!$D$7-X171*LTP3!$D$6-Y171*U171-Z171*V171</f>
        <v/>
      </c>
      <c r="AB171">
        <f>IF(AND(F171,ABS(W171)&gt;1E-12,Y171&gt;0,Z171&gt;0),AA171,1E+300)</f>
        <v/>
      </c>
    </row>
    <row r="172">
      <c r="A172">
        <f>$B$3+$B$5*2</f>
        <v/>
      </c>
      <c r="B172">
        <f>$B$3+$B$5*38</f>
        <v/>
      </c>
      <c r="C172">
        <f>SUMPRODUCT(Calc!$K$3:$K$22*(Calc!$G$3:$G$22&lt;=A172))</f>
        <v/>
      </c>
      <c r="D172">
        <f>SUMPRODUCT(Calc!$K$3:$K$22*(Calc!$G$3:$G$22&gt;A172)*(Calc!$G$3:$G$22&lt;B172))</f>
        <v/>
      </c>
      <c r="E172">
        <f>SUMPRODUCT(Calc!$K$3:$K$22*(Calc!$G$3:$G$22&gt;=B172))</f>
        <v/>
      </c>
      <c r="F172">
        <f>AND(k_n&gt;=5,B172&gt;A172+1E-9,C172&gt;=2,D172&gt;=1,E172&gt;=2)</f>
        <v/>
      </c>
      <c r="G172">
        <f>SUMPRODUCT(Calc!$K$3:$K$22*(Calc!$G$3:$G$22&gt;A172)*(Calc!$G$3:$G$22-A172))</f>
        <v/>
      </c>
      <c r="H172">
        <f>SUMPRODUCT(Calc!$K$3:$K$22*(Calc!$G$3:$G$22&gt;B172)*(Calc!$G$3:$G$22-B172))</f>
        <v/>
      </c>
      <c r="I172">
        <f>SUMPRODUCT(Calc!$K$3:$K$22*(Calc!$G$3:$G$22&gt;A172)*(Calc!$G$3:$G$22-A172)^2)</f>
        <v/>
      </c>
      <c r="J172">
        <f>SUMPRODUCT(Calc!$K$3:$K$22*(Calc!$G$3:$G$22&gt;B172)*(Calc!$G$3:$G$22-B172)^2)</f>
        <v/>
      </c>
      <c r="K172">
        <f>SUMPRODUCT(Calc!$K$3:$K$22*(Calc!$G$3:$G$22&gt;A172)*(Calc!$G$3:$G$22-A172)*(Calc!$G$3:$G$22&gt;B172)*(Calc!$G$3:$G$22-B172))</f>
        <v/>
      </c>
      <c r="L172">
        <f>SUMPRODUCT(Calc!$K$3:$K$22*(Calc!$G$3:$G$22&gt;A172)*(Calc!$G$3:$G$22-A172)*Calc!$G$3:$G$22)</f>
        <v/>
      </c>
      <c r="M172">
        <f>SUMPRODUCT(Calc!$K$3:$K$22*(Calc!$G$3:$G$22&gt;B172)*(Calc!$G$3:$G$22-B172)*Calc!$G$3:$G$22)</f>
        <v/>
      </c>
      <c r="N172">
        <f>SUMPRODUCT(Calc!$K$3:$K$22*(Calc!$G$3:$G$22&gt;A172)*(Calc!$G$3:$G$22-A172)*Calc!$I$3:$I$22)</f>
        <v/>
      </c>
      <c r="O172">
        <f>SUMPRODUCT(Calc!$K$3:$K$22*(Calc!$G$3:$G$22&gt;B172)*(Calc!$G$3:$G$22-B172)*Calc!$I$3:$I$22)</f>
        <v/>
      </c>
      <c r="P172">
        <f>I172-G172^2/k_n</f>
        <v/>
      </c>
      <c r="Q172">
        <f>J172-H172^2/k_n</f>
        <v/>
      </c>
      <c r="R172">
        <f>K172-G172*H172/k_n</f>
        <v/>
      </c>
      <c r="S172">
        <f>L172-LTP3!$D$3*G172/k_n</f>
        <v/>
      </c>
      <c r="T172">
        <f>M172-LTP3!$D$3*H172/k_n</f>
        <v/>
      </c>
      <c r="U172">
        <f>N172-G172*LTP3!$D$4/k_n</f>
        <v/>
      </c>
      <c r="V172">
        <f>O172-H172*LTP3!$D$4/k_n</f>
        <v/>
      </c>
      <c r="W172">
        <f>((LTP3!$D$5)*((P172)*(Q172)-(R172)*(R172))-(S172)*((S172)*(Q172)-(R172)*(T172))+(T172)*((S172)*(R172)-(P172)*(T172)))</f>
        <v/>
      </c>
      <c r="X172">
        <f>IF(ABS(W172)&gt;1E-12,((LTP3!$D$6)*((P172)*(Q172)-(R172)*(R172))-(S172)*((U172)*(Q172)-(R172)*(V172))+(T172)*((U172)*(R172)-(P172)*(V172)))/W172,0)</f>
        <v/>
      </c>
      <c r="Y172">
        <f>IF(ABS(W172)&gt;1E-12,((LTP3!$D$5)*((U172)*(Q172)-(R172)*(V172))-(LTP3!$D$6)*((S172)*(Q172)-(R172)*(T172))+(T172)*((S172)*(V172)-(U172)*(T172)))/W172,0)</f>
        <v/>
      </c>
      <c r="Z172">
        <f>IF(ABS(W172)&gt;1E-12,((LTP3!$D$5)*((P172)*(V172)-(U172)*(R172))-(S172)*((S172)*(V172)-(U172)*(T172))+(LTP3!$D$6)*((S172)*(R172)-(P172)*(T172)))/W172,0)</f>
        <v/>
      </c>
      <c r="AA172">
        <f>LTP3!$D$7-X172*LTP3!$D$6-Y172*U172-Z172*V172</f>
        <v/>
      </c>
      <c r="AB172">
        <f>IF(AND(F172,ABS(W172)&gt;1E-12,Y172&gt;0,Z172&gt;0),AA172,1E+300)</f>
        <v/>
      </c>
    </row>
    <row r="173">
      <c r="A173">
        <f>$B$3+$B$5*2</f>
        <v/>
      </c>
      <c r="B173">
        <f>$B$3+$B$5*39</f>
        <v/>
      </c>
      <c r="C173">
        <f>SUMPRODUCT(Calc!$K$3:$K$22*(Calc!$G$3:$G$22&lt;=A173))</f>
        <v/>
      </c>
      <c r="D173">
        <f>SUMPRODUCT(Calc!$K$3:$K$22*(Calc!$G$3:$G$22&gt;A173)*(Calc!$G$3:$G$22&lt;B173))</f>
        <v/>
      </c>
      <c r="E173">
        <f>SUMPRODUCT(Calc!$K$3:$K$22*(Calc!$G$3:$G$22&gt;=B173))</f>
        <v/>
      </c>
      <c r="F173">
        <f>AND(k_n&gt;=5,B173&gt;A173+1E-9,C173&gt;=2,D173&gt;=1,E173&gt;=2)</f>
        <v/>
      </c>
      <c r="G173">
        <f>SUMPRODUCT(Calc!$K$3:$K$22*(Calc!$G$3:$G$22&gt;A173)*(Calc!$G$3:$G$22-A173))</f>
        <v/>
      </c>
      <c r="H173">
        <f>SUMPRODUCT(Calc!$K$3:$K$22*(Calc!$G$3:$G$22&gt;B173)*(Calc!$G$3:$G$22-B173))</f>
        <v/>
      </c>
      <c r="I173">
        <f>SUMPRODUCT(Calc!$K$3:$K$22*(Calc!$G$3:$G$22&gt;A173)*(Calc!$G$3:$G$22-A173)^2)</f>
        <v/>
      </c>
      <c r="J173">
        <f>SUMPRODUCT(Calc!$K$3:$K$22*(Calc!$G$3:$G$22&gt;B173)*(Calc!$G$3:$G$22-B173)^2)</f>
        <v/>
      </c>
      <c r="K173">
        <f>SUMPRODUCT(Calc!$K$3:$K$22*(Calc!$G$3:$G$22&gt;A173)*(Calc!$G$3:$G$22-A173)*(Calc!$G$3:$G$22&gt;B173)*(Calc!$G$3:$G$22-B173))</f>
        <v/>
      </c>
      <c r="L173">
        <f>SUMPRODUCT(Calc!$K$3:$K$22*(Calc!$G$3:$G$22&gt;A173)*(Calc!$G$3:$G$22-A173)*Calc!$G$3:$G$22)</f>
        <v/>
      </c>
      <c r="M173">
        <f>SUMPRODUCT(Calc!$K$3:$K$22*(Calc!$G$3:$G$22&gt;B173)*(Calc!$G$3:$G$22-B173)*Calc!$G$3:$G$22)</f>
        <v/>
      </c>
      <c r="N173">
        <f>SUMPRODUCT(Calc!$K$3:$K$22*(Calc!$G$3:$G$22&gt;A173)*(Calc!$G$3:$G$22-A173)*Calc!$I$3:$I$22)</f>
        <v/>
      </c>
      <c r="O173">
        <f>SUMPRODUCT(Calc!$K$3:$K$22*(Calc!$G$3:$G$22&gt;B173)*(Calc!$G$3:$G$22-B173)*Calc!$I$3:$I$22)</f>
        <v/>
      </c>
      <c r="P173">
        <f>I173-G173^2/k_n</f>
        <v/>
      </c>
      <c r="Q173">
        <f>J173-H173^2/k_n</f>
        <v/>
      </c>
      <c r="R173">
        <f>K173-G173*H173/k_n</f>
        <v/>
      </c>
      <c r="S173">
        <f>L173-LTP3!$D$3*G173/k_n</f>
        <v/>
      </c>
      <c r="T173">
        <f>M173-LTP3!$D$3*H173/k_n</f>
        <v/>
      </c>
      <c r="U173">
        <f>N173-G173*LTP3!$D$4/k_n</f>
        <v/>
      </c>
      <c r="V173">
        <f>O173-H173*LTP3!$D$4/k_n</f>
        <v/>
      </c>
      <c r="W173">
        <f>((LTP3!$D$5)*((P173)*(Q173)-(R173)*(R173))-(S173)*((S173)*(Q173)-(R173)*(T173))+(T173)*((S173)*(R173)-(P173)*(T173)))</f>
        <v/>
      </c>
      <c r="X173">
        <f>IF(ABS(W173)&gt;1E-12,((LTP3!$D$6)*((P173)*(Q173)-(R173)*(R173))-(S173)*((U173)*(Q173)-(R173)*(V173))+(T173)*((U173)*(R173)-(P173)*(V173)))/W173,0)</f>
        <v/>
      </c>
      <c r="Y173">
        <f>IF(ABS(W173)&gt;1E-12,((LTP3!$D$5)*((U173)*(Q173)-(R173)*(V173))-(LTP3!$D$6)*((S173)*(Q173)-(R173)*(T173))+(T173)*((S173)*(V173)-(U173)*(T173)))/W173,0)</f>
        <v/>
      </c>
      <c r="Z173">
        <f>IF(ABS(W173)&gt;1E-12,((LTP3!$D$5)*((P173)*(V173)-(U173)*(R173))-(S173)*((S173)*(V173)-(U173)*(T173))+(LTP3!$D$6)*((S173)*(R173)-(P173)*(T173)))/W173,0)</f>
        <v/>
      </c>
      <c r="AA173">
        <f>LTP3!$D$7-X173*LTP3!$D$6-Y173*U173-Z173*V173</f>
        <v/>
      </c>
      <c r="AB173">
        <f>IF(AND(F173,ABS(W173)&gt;1E-12,Y173&gt;0,Z173&gt;0),AA173,1E+300)</f>
        <v/>
      </c>
    </row>
    <row r="174">
      <c r="A174">
        <f>$B$3+$B$5*2</f>
        <v/>
      </c>
      <c r="B174">
        <f>$B$3+$B$5*40</f>
        <v/>
      </c>
      <c r="C174">
        <f>SUMPRODUCT(Calc!$K$3:$K$22*(Calc!$G$3:$G$22&lt;=A174))</f>
        <v/>
      </c>
      <c r="D174">
        <f>SUMPRODUCT(Calc!$K$3:$K$22*(Calc!$G$3:$G$22&gt;A174)*(Calc!$G$3:$G$22&lt;B174))</f>
        <v/>
      </c>
      <c r="E174">
        <f>SUMPRODUCT(Calc!$K$3:$K$22*(Calc!$G$3:$G$22&gt;=B174))</f>
        <v/>
      </c>
      <c r="F174">
        <f>AND(k_n&gt;=5,B174&gt;A174+1E-9,C174&gt;=2,D174&gt;=1,E174&gt;=2)</f>
        <v/>
      </c>
      <c r="G174">
        <f>SUMPRODUCT(Calc!$K$3:$K$22*(Calc!$G$3:$G$22&gt;A174)*(Calc!$G$3:$G$22-A174))</f>
        <v/>
      </c>
      <c r="H174">
        <f>SUMPRODUCT(Calc!$K$3:$K$22*(Calc!$G$3:$G$22&gt;B174)*(Calc!$G$3:$G$22-B174))</f>
        <v/>
      </c>
      <c r="I174">
        <f>SUMPRODUCT(Calc!$K$3:$K$22*(Calc!$G$3:$G$22&gt;A174)*(Calc!$G$3:$G$22-A174)^2)</f>
        <v/>
      </c>
      <c r="J174">
        <f>SUMPRODUCT(Calc!$K$3:$K$22*(Calc!$G$3:$G$22&gt;B174)*(Calc!$G$3:$G$22-B174)^2)</f>
        <v/>
      </c>
      <c r="K174">
        <f>SUMPRODUCT(Calc!$K$3:$K$22*(Calc!$G$3:$G$22&gt;A174)*(Calc!$G$3:$G$22-A174)*(Calc!$G$3:$G$22&gt;B174)*(Calc!$G$3:$G$22-B174))</f>
        <v/>
      </c>
      <c r="L174">
        <f>SUMPRODUCT(Calc!$K$3:$K$22*(Calc!$G$3:$G$22&gt;A174)*(Calc!$G$3:$G$22-A174)*Calc!$G$3:$G$22)</f>
        <v/>
      </c>
      <c r="M174">
        <f>SUMPRODUCT(Calc!$K$3:$K$22*(Calc!$G$3:$G$22&gt;B174)*(Calc!$G$3:$G$22-B174)*Calc!$G$3:$G$22)</f>
        <v/>
      </c>
      <c r="N174">
        <f>SUMPRODUCT(Calc!$K$3:$K$22*(Calc!$G$3:$G$22&gt;A174)*(Calc!$G$3:$G$22-A174)*Calc!$I$3:$I$22)</f>
        <v/>
      </c>
      <c r="O174">
        <f>SUMPRODUCT(Calc!$K$3:$K$22*(Calc!$G$3:$G$22&gt;B174)*(Calc!$G$3:$G$22-B174)*Calc!$I$3:$I$22)</f>
        <v/>
      </c>
      <c r="P174">
        <f>I174-G174^2/k_n</f>
        <v/>
      </c>
      <c r="Q174">
        <f>J174-H174^2/k_n</f>
        <v/>
      </c>
      <c r="R174">
        <f>K174-G174*H174/k_n</f>
        <v/>
      </c>
      <c r="S174">
        <f>L174-LTP3!$D$3*G174/k_n</f>
        <v/>
      </c>
      <c r="T174">
        <f>M174-LTP3!$D$3*H174/k_n</f>
        <v/>
      </c>
      <c r="U174">
        <f>N174-G174*LTP3!$D$4/k_n</f>
        <v/>
      </c>
      <c r="V174">
        <f>O174-H174*LTP3!$D$4/k_n</f>
        <v/>
      </c>
      <c r="W174">
        <f>((LTP3!$D$5)*((P174)*(Q174)-(R174)*(R174))-(S174)*((S174)*(Q174)-(R174)*(T174))+(T174)*((S174)*(R174)-(P174)*(T174)))</f>
        <v/>
      </c>
      <c r="X174">
        <f>IF(ABS(W174)&gt;1E-12,((LTP3!$D$6)*((P174)*(Q174)-(R174)*(R174))-(S174)*((U174)*(Q174)-(R174)*(V174))+(T174)*((U174)*(R174)-(P174)*(V174)))/W174,0)</f>
        <v/>
      </c>
      <c r="Y174">
        <f>IF(ABS(W174)&gt;1E-12,((LTP3!$D$5)*((U174)*(Q174)-(R174)*(V174))-(LTP3!$D$6)*((S174)*(Q174)-(R174)*(T174))+(T174)*((S174)*(V174)-(U174)*(T174)))/W174,0)</f>
        <v/>
      </c>
      <c r="Z174">
        <f>IF(ABS(W174)&gt;1E-12,((LTP3!$D$5)*((P174)*(V174)-(U174)*(R174))-(S174)*((S174)*(V174)-(U174)*(T174))+(LTP3!$D$6)*((S174)*(R174)-(P174)*(T174)))/W174,0)</f>
        <v/>
      </c>
      <c r="AA174">
        <f>LTP3!$D$7-X174*LTP3!$D$6-Y174*U174-Z174*V174</f>
        <v/>
      </c>
      <c r="AB174">
        <f>IF(AND(F174,ABS(W174)&gt;1E-12,Y174&gt;0,Z174&gt;0),AA174,1E+300)</f>
        <v/>
      </c>
    </row>
    <row r="175">
      <c r="A175">
        <f>$B$3+$B$5*2</f>
        <v/>
      </c>
      <c r="B175">
        <f>$B$3+$B$5*41</f>
        <v/>
      </c>
      <c r="C175">
        <f>SUMPRODUCT(Calc!$K$3:$K$22*(Calc!$G$3:$G$22&lt;=A175))</f>
        <v/>
      </c>
      <c r="D175">
        <f>SUMPRODUCT(Calc!$K$3:$K$22*(Calc!$G$3:$G$22&gt;A175)*(Calc!$G$3:$G$22&lt;B175))</f>
        <v/>
      </c>
      <c r="E175">
        <f>SUMPRODUCT(Calc!$K$3:$K$22*(Calc!$G$3:$G$22&gt;=B175))</f>
        <v/>
      </c>
      <c r="F175">
        <f>AND(k_n&gt;=5,B175&gt;A175+1E-9,C175&gt;=2,D175&gt;=1,E175&gt;=2)</f>
        <v/>
      </c>
      <c r="G175">
        <f>SUMPRODUCT(Calc!$K$3:$K$22*(Calc!$G$3:$G$22&gt;A175)*(Calc!$G$3:$G$22-A175))</f>
        <v/>
      </c>
      <c r="H175">
        <f>SUMPRODUCT(Calc!$K$3:$K$22*(Calc!$G$3:$G$22&gt;B175)*(Calc!$G$3:$G$22-B175))</f>
        <v/>
      </c>
      <c r="I175">
        <f>SUMPRODUCT(Calc!$K$3:$K$22*(Calc!$G$3:$G$22&gt;A175)*(Calc!$G$3:$G$22-A175)^2)</f>
        <v/>
      </c>
      <c r="J175">
        <f>SUMPRODUCT(Calc!$K$3:$K$22*(Calc!$G$3:$G$22&gt;B175)*(Calc!$G$3:$G$22-B175)^2)</f>
        <v/>
      </c>
      <c r="K175">
        <f>SUMPRODUCT(Calc!$K$3:$K$22*(Calc!$G$3:$G$22&gt;A175)*(Calc!$G$3:$G$22-A175)*(Calc!$G$3:$G$22&gt;B175)*(Calc!$G$3:$G$22-B175))</f>
        <v/>
      </c>
      <c r="L175">
        <f>SUMPRODUCT(Calc!$K$3:$K$22*(Calc!$G$3:$G$22&gt;A175)*(Calc!$G$3:$G$22-A175)*Calc!$G$3:$G$22)</f>
        <v/>
      </c>
      <c r="M175">
        <f>SUMPRODUCT(Calc!$K$3:$K$22*(Calc!$G$3:$G$22&gt;B175)*(Calc!$G$3:$G$22-B175)*Calc!$G$3:$G$22)</f>
        <v/>
      </c>
      <c r="N175">
        <f>SUMPRODUCT(Calc!$K$3:$K$22*(Calc!$G$3:$G$22&gt;A175)*(Calc!$G$3:$G$22-A175)*Calc!$I$3:$I$22)</f>
        <v/>
      </c>
      <c r="O175">
        <f>SUMPRODUCT(Calc!$K$3:$K$22*(Calc!$G$3:$G$22&gt;B175)*(Calc!$G$3:$G$22-B175)*Calc!$I$3:$I$22)</f>
        <v/>
      </c>
      <c r="P175">
        <f>I175-G175^2/k_n</f>
        <v/>
      </c>
      <c r="Q175">
        <f>J175-H175^2/k_n</f>
        <v/>
      </c>
      <c r="R175">
        <f>K175-G175*H175/k_n</f>
        <v/>
      </c>
      <c r="S175">
        <f>L175-LTP3!$D$3*G175/k_n</f>
        <v/>
      </c>
      <c r="T175">
        <f>M175-LTP3!$D$3*H175/k_n</f>
        <v/>
      </c>
      <c r="U175">
        <f>N175-G175*LTP3!$D$4/k_n</f>
        <v/>
      </c>
      <c r="V175">
        <f>O175-H175*LTP3!$D$4/k_n</f>
        <v/>
      </c>
      <c r="W175">
        <f>((LTP3!$D$5)*((P175)*(Q175)-(R175)*(R175))-(S175)*((S175)*(Q175)-(R175)*(T175))+(T175)*((S175)*(R175)-(P175)*(T175)))</f>
        <v/>
      </c>
      <c r="X175">
        <f>IF(ABS(W175)&gt;1E-12,((LTP3!$D$6)*((P175)*(Q175)-(R175)*(R175))-(S175)*((U175)*(Q175)-(R175)*(V175))+(T175)*((U175)*(R175)-(P175)*(V175)))/W175,0)</f>
        <v/>
      </c>
      <c r="Y175">
        <f>IF(ABS(W175)&gt;1E-12,((LTP3!$D$5)*((U175)*(Q175)-(R175)*(V175))-(LTP3!$D$6)*((S175)*(Q175)-(R175)*(T175))+(T175)*((S175)*(V175)-(U175)*(T175)))/W175,0)</f>
        <v/>
      </c>
      <c r="Z175">
        <f>IF(ABS(W175)&gt;1E-12,((LTP3!$D$5)*((P175)*(V175)-(U175)*(R175))-(S175)*((S175)*(V175)-(U175)*(T175))+(LTP3!$D$6)*((S175)*(R175)-(P175)*(T175)))/W175,0)</f>
        <v/>
      </c>
      <c r="AA175">
        <f>LTP3!$D$7-X175*LTP3!$D$6-Y175*U175-Z175*V175</f>
        <v/>
      </c>
      <c r="AB175">
        <f>IF(AND(F175,ABS(W175)&gt;1E-12,Y175&gt;0,Z175&gt;0),AA175,1E+300)</f>
        <v/>
      </c>
    </row>
    <row r="176">
      <c r="A176">
        <f>$B$3+$B$5*2</f>
        <v/>
      </c>
      <c r="B176">
        <f>$B$3+$B$5*42</f>
        <v/>
      </c>
      <c r="C176">
        <f>SUMPRODUCT(Calc!$K$3:$K$22*(Calc!$G$3:$G$22&lt;=A176))</f>
        <v/>
      </c>
      <c r="D176">
        <f>SUMPRODUCT(Calc!$K$3:$K$22*(Calc!$G$3:$G$22&gt;A176)*(Calc!$G$3:$G$22&lt;B176))</f>
        <v/>
      </c>
      <c r="E176">
        <f>SUMPRODUCT(Calc!$K$3:$K$22*(Calc!$G$3:$G$22&gt;=B176))</f>
        <v/>
      </c>
      <c r="F176">
        <f>AND(k_n&gt;=5,B176&gt;A176+1E-9,C176&gt;=2,D176&gt;=1,E176&gt;=2)</f>
        <v/>
      </c>
      <c r="G176">
        <f>SUMPRODUCT(Calc!$K$3:$K$22*(Calc!$G$3:$G$22&gt;A176)*(Calc!$G$3:$G$22-A176))</f>
        <v/>
      </c>
      <c r="H176">
        <f>SUMPRODUCT(Calc!$K$3:$K$22*(Calc!$G$3:$G$22&gt;B176)*(Calc!$G$3:$G$22-B176))</f>
        <v/>
      </c>
      <c r="I176">
        <f>SUMPRODUCT(Calc!$K$3:$K$22*(Calc!$G$3:$G$22&gt;A176)*(Calc!$G$3:$G$22-A176)^2)</f>
        <v/>
      </c>
      <c r="J176">
        <f>SUMPRODUCT(Calc!$K$3:$K$22*(Calc!$G$3:$G$22&gt;B176)*(Calc!$G$3:$G$22-B176)^2)</f>
        <v/>
      </c>
      <c r="K176">
        <f>SUMPRODUCT(Calc!$K$3:$K$22*(Calc!$G$3:$G$22&gt;A176)*(Calc!$G$3:$G$22-A176)*(Calc!$G$3:$G$22&gt;B176)*(Calc!$G$3:$G$22-B176))</f>
        <v/>
      </c>
      <c r="L176">
        <f>SUMPRODUCT(Calc!$K$3:$K$22*(Calc!$G$3:$G$22&gt;A176)*(Calc!$G$3:$G$22-A176)*Calc!$G$3:$G$22)</f>
        <v/>
      </c>
      <c r="M176">
        <f>SUMPRODUCT(Calc!$K$3:$K$22*(Calc!$G$3:$G$22&gt;B176)*(Calc!$G$3:$G$22-B176)*Calc!$G$3:$G$22)</f>
        <v/>
      </c>
      <c r="N176">
        <f>SUMPRODUCT(Calc!$K$3:$K$22*(Calc!$G$3:$G$22&gt;A176)*(Calc!$G$3:$G$22-A176)*Calc!$I$3:$I$22)</f>
        <v/>
      </c>
      <c r="O176">
        <f>SUMPRODUCT(Calc!$K$3:$K$22*(Calc!$G$3:$G$22&gt;B176)*(Calc!$G$3:$G$22-B176)*Calc!$I$3:$I$22)</f>
        <v/>
      </c>
      <c r="P176">
        <f>I176-G176^2/k_n</f>
        <v/>
      </c>
      <c r="Q176">
        <f>J176-H176^2/k_n</f>
        <v/>
      </c>
      <c r="R176">
        <f>K176-G176*H176/k_n</f>
        <v/>
      </c>
      <c r="S176">
        <f>L176-LTP3!$D$3*G176/k_n</f>
        <v/>
      </c>
      <c r="T176">
        <f>M176-LTP3!$D$3*H176/k_n</f>
        <v/>
      </c>
      <c r="U176">
        <f>N176-G176*LTP3!$D$4/k_n</f>
        <v/>
      </c>
      <c r="V176">
        <f>O176-H176*LTP3!$D$4/k_n</f>
        <v/>
      </c>
      <c r="W176">
        <f>((LTP3!$D$5)*((P176)*(Q176)-(R176)*(R176))-(S176)*((S176)*(Q176)-(R176)*(T176))+(T176)*((S176)*(R176)-(P176)*(T176)))</f>
        <v/>
      </c>
      <c r="X176">
        <f>IF(ABS(W176)&gt;1E-12,((LTP3!$D$6)*((P176)*(Q176)-(R176)*(R176))-(S176)*((U176)*(Q176)-(R176)*(V176))+(T176)*((U176)*(R176)-(P176)*(V176)))/W176,0)</f>
        <v/>
      </c>
      <c r="Y176">
        <f>IF(ABS(W176)&gt;1E-12,((LTP3!$D$5)*((U176)*(Q176)-(R176)*(V176))-(LTP3!$D$6)*((S176)*(Q176)-(R176)*(T176))+(T176)*((S176)*(V176)-(U176)*(T176)))/W176,0)</f>
        <v/>
      </c>
      <c r="Z176">
        <f>IF(ABS(W176)&gt;1E-12,((LTP3!$D$5)*((P176)*(V176)-(U176)*(R176))-(S176)*((S176)*(V176)-(U176)*(T176))+(LTP3!$D$6)*((S176)*(R176)-(P176)*(T176)))/W176,0)</f>
        <v/>
      </c>
      <c r="AA176">
        <f>LTP3!$D$7-X176*LTP3!$D$6-Y176*U176-Z176*V176</f>
        <v/>
      </c>
      <c r="AB176">
        <f>IF(AND(F176,ABS(W176)&gt;1E-12,Y176&gt;0,Z176&gt;0),AA176,1E+300)</f>
        <v/>
      </c>
    </row>
    <row r="177">
      <c r="A177">
        <f>$B$3+$B$5*2</f>
        <v/>
      </c>
      <c r="B177">
        <f>$B$3+$B$5*43</f>
        <v/>
      </c>
      <c r="C177">
        <f>SUMPRODUCT(Calc!$K$3:$K$22*(Calc!$G$3:$G$22&lt;=A177))</f>
        <v/>
      </c>
      <c r="D177">
        <f>SUMPRODUCT(Calc!$K$3:$K$22*(Calc!$G$3:$G$22&gt;A177)*(Calc!$G$3:$G$22&lt;B177))</f>
        <v/>
      </c>
      <c r="E177">
        <f>SUMPRODUCT(Calc!$K$3:$K$22*(Calc!$G$3:$G$22&gt;=B177))</f>
        <v/>
      </c>
      <c r="F177">
        <f>AND(k_n&gt;=5,B177&gt;A177+1E-9,C177&gt;=2,D177&gt;=1,E177&gt;=2)</f>
        <v/>
      </c>
      <c r="G177">
        <f>SUMPRODUCT(Calc!$K$3:$K$22*(Calc!$G$3:$G$22&gt;A177)*(Calc!$G$3:$G$22-A177))</f>
        <v/>
      </c>
      <c r="H177">
        <f>SUMPRODUCT(Calc!$K$3:$K$22*(Calc!$G$3:$G$22&gt;B177)*(Calc!$G$3:$G$22-B177))</f>
        <v/>
      </c>
      <c r="I177">
        <f>SUMPRODUCT(Calc!$K$3:$K$22*(Calc!$G$3:$G$22&gt;A177)*(Calc!$G$3:$G$22-A177)^2)</f>
        <v/>
      </c>
      <c r="J177">
        <f>SUMPRODUCT(Calc!$K$3:$K$22*(Calc!$G$3:$G$22&gt;B177)*(Calc!$G$3:$G$22-B177)^2)</f>
        <v/>
      </c>
      <c r="K177">
        <f>SUMPRODUCT(Calc!$K$3:$K$22*(Calc!$G$3:$G$22&gt;A177)*(Calc!$G$3:$G$22-A177)*(Calc!$G$3:$G$22&gt;B177)*(Calc!$G$3:$G$22-B177))</f>
        <v/>
      </c>
      <c r="L177">
        <f>SUMPRODUCT(Calc!$K$3:$K$22*(Calc!$G$3:$G$22&gt;A177)*(Calc!$G$3:$G$22-A177)*Calc!$G$3:$G$22)</f>
        <v/>
      </c>
      <c r="M177">
        <f>SUMPRODUCT(Calc!$K$3:$K$22*(Calc!$G$3:$G$22&gt;B177)*(Calc!$G$3:$G$22-B177)*Calc!$G$3:$G$22)</f>
        <v/>
      </c>
      <c r="N177">
        <f>SUMPRODUCT(Calc!$K$3:$K$22*(Calc!$G$3:$G$22&gt;A177)*(Calc!$G$3:$G$22-A177)*Calc!$I$3:$I$22)</f>
        <v/>
      </c>
      <c r="O177">
        <f>SUMPRODUCT(Calc!$K$3:$K$22*(Calc!$G$3:$G$22&gt;B177)*(Calc!$G$3:$G$22-B177)*Calc!$I$3:$I$22)</f>
        <v/>
      </c>
      <c r="P177">
        <f>I177-G177^2/k_n</f>
        <v/>
      </c>
      <c r="Q177">
        <f>J177-H177^2/k_n</f>
        <v/>
      </c>
      <c r="R177">
        <f>K177-G177*H177/k_n</f>
        <v/>
      </c>
      <c r="S177">
        <f>L177-LTP3!$D$3*G177/k_n</f>
        <v/>
      </c>
      <c r="T177">
        <f>M177-LTP3!$D$3*H177/k_n</f>
        <v/>
      </c>
      <c r="U177">
        <f>N177-G177*LTP3!$D$4/k_n</f>
        <v/>
      </c>
      <c r="V177">
        <f>O177-H177*LTP3!$D$4/k_n</f>
        <v/>
      </c>
      <c r="W177">
        <f>((LTP3!$D$5)*((P177)*(Q177)-(R177)*(R177))-(S177)*((S177)*(Q177)-(R177)*(T177))+(T177)*((S177)*(R177)-(P177)*(T177)))</f>
        <v/>
      </c>
      <c r="X177">
        <f>IF(ABS(W177)&gt;1E-12,((LTP3!$D$6)*((P177)*(Q177)-(R177)*(R177))-(S177)*((U177)*(Q177)-(R177)*(V177))+(T177)*((U177)*(R177)-(P177)*(V177)))/W177,0)</f>
        <v/>
      </c>
      <c r="Y177">
        <f>IF(ABS(W177)&gt;1E-12,((LTP3!$D$5)*((U177)*(Q177)-(R177)*(V177))-(LTP3!$D$6)*((S177)*(Q177)-(R177)*(T177))+(T177)*((S177)*(V177)-(U177)*(T177)))/W177,0)</f>
        <v/>
      </c>
      <c r="Z177">
        <f>IF(ABS(W177)&gt;1E-12,((LTP3!$D$5)*((P177)*(V177)-(U177)*(R177))-(S177)*((S177)*(V177)-(U177)*(T177))+(LTP3!$D$6)*((S177)*(R177)-(P177)*(T177)))/W177,0)</f>
        <v/>
      </c>
      <c r="AA177">
        <f>LTP3!$D$7-X177*LTP3!$D$6-Y177*U177-Z177*V177</f>
        <v/>
      </c>
      <c r="AB177">
        <f>IF(AND(F177,ABS(W177)&gt;1E-12,Y177&gt;0,Z177&gt;0),AA177,1E+300)</f>
        <v/>
      </c>
    </row>
    <row r="178">
      <c r="A178">
        <f>$B$3+$B$5*2</f>
        <v/>
      </c>
      <c r="B178">
        <f>$B$3+$B$5*44</f>
        <v/>
      </c>
      <c r="C178">
        <f>SUMPRODUCT(Calc!$K$3:$K$22*(Calc!$G$3:$G$22&lt;=A178))</f>
        <v/>
      </c>
      <c r="D178">
        <f>SUMPRODUCT(Calc!$K$3:$K$22*(Calc!$G$3:$G$22&gt;A178)*(Calc!$G$3:$G$22&lt;B178))</f>
        <v/>
      </c>
      <c r="E178">
        <f>SUMPRODUCT(Calc!$K$3:$K$22*(Calc!$G$3:$G$22&gt;=B178))</f>
        <v/>
      </c>
      <c r="F178">
        <f>AND(k_n&gt;=5,B178&gt;A178+1E-9,C178&gt;=2,D178&gt;=1,E178&gt;=2)</f>
        <v/>
      </c>
      <c r="G178">
        <f>SUMPRODUCT(Calc!$K$3:$K$22*(Calc!$G$3:$G$22&gt;A178)*(Calc!$G$3:$G$22-A178))</f>
        <v/>
      </c>
      <c r="H178">
        <f>SUMPRODUCT(Calc!$K$3:$K$22*(Calc!$G$3:$G$22&gt;B178)*(Calc!$G$3:$G$22-B178))</f>
        <v/>
      </c>
      <c r="I178">
        <f>SUMPRODUCT(Calc!$K$3:$K$22*(Calc!$G$3:$G$22&gt;A178)*(Calc!$G$3:$G$22-A178)^2)</f>
        <v/>
      </c>
      <c r="J178">
        <f>SUMPRODUCT(Calc!$K$3:$K$22*(Calc!$G$3:$G$22&gt;B178)*(Calc!$G$3:$G$22-B178)^2)</f>
        <v/>
      </c>
      <c r="K178">
        <f>SUMPRODUCT(Calc!$K$3:$K$22*(Calc!$G$3:$G$22&gt;A178)*(Calc!$G$3:$G$22-A178)*(Calc!$G$3:$G$22&gt;B178)*(Calc!$G$3:$G$22-B178))</f>
        <v/>
      </c>
      <c r="L178">
        <f>SUMPRODUCT(Calc!$K$3:$K$22*(Calc!$G$3:$G$22&gt;A178)*(Calc!$G$3:$G$22-A178)*Calc!$G$3:$G$22)</f>
        <v/>
      </c>
      <c r="M178">
        <f>SUMPRODUCT(Calc!$K$3:$K$22*(Calc!$G$3:$G$22&gt;B178)*(Calc!$G$3:$G$22-B178)*Calc!$G$3:$G$22)</f>
        <v/>
      </c>
      <c r="N178">
        <f>SUMPRODUCT(Calc!$K$3:$K$22*(Calc!$G$3:$G$22&gt;A178)*(Calc!$G$3:$G$22-A178)*Calc!$I$3:$I$22)</f>
        <v/>
      </c>
      <c r="O178">
        <f>SUMPRODUCT(Calc!$K$3:$K$22*(Calc!$G$3:$G$22&gt;B178)*(Calc!$G$3:$G$22-B178)*Calc!$I$3:$I$22)</f>
        <v/>
      </c>
      <c r="P178">
        <f>I178-G178^2/k_n</f>
        <v/>
      </c>
      <c r="Q178">
        <f>J178-H178^2/k_n</f>
        <v/>
      </c>
      <c r="R178">
        <f>K178-G178*H178/k_n</f>
        <v/>
      </c>
      <c r="S178">
        <f>L178-LTP3!$D$3*G178/k_n</f>
        <v/>
      </c>
      <c r="T178">
        <f>M178-LTP3!$D$3*H178/k_n</f>
        <v/>
      </c>
      <c r="U178">
        <f>N178-G178*LTP3!$D$4/k_n</f>
        <v/>
      </c>
      <c r="V178">
        <f>O178-H178*LTP3!$D$4/k_n</f>
        <v/>
      </c>
      <c r="W178">
        <f>((LTP3!$D$5)*((P178)*(Q178)-(R178)*(R178))-(S178)*((S178)*(Q178)-(R178)*(T178))+(T178)*((S178)*(R178)-(P178)*(T178)))</f>
        <v/>
      </c>
      <c r="X178">
        <f>IF(ABS(W178)&gt;1E-12,((LTP3!$D$6)*((P178)*(Q178)-(R178)*(R178))-(S178)*((U178)*(Q178)-(R178)*(V178))+(T178)*((U178)*(R178)-(P178)*(V178)))/W178,0)</f>
        <v/>
      </c>
      <c r="Y178">
        <f>IF(ABS(W178)&gt;1E-12,((LTP3!$D$5)*((U178)*(Q178)-(R178)*(V178))-(LTP3!$D$6)*((S178)*(Q178)-(R178)*(T178))+(T178)*((S178)*(V178)-(U178)*(T178)))/W178,0)</f>
        <v/>
      </c>
      <c r="Z178">
        <f>IF(ABS(W178)&gt;1E-12,((LTP3!$D$5)*((P178)*(V178)-(U178)*(R178))-(S178)*((S178)*(V178)-(U178)*(T178))+(LTP3!$D$6)*((S178)*(R178)-(P178)*(T178)))/W178,0)</f>
        <v/>
      </c>
      <c r="AA178">
        <f>LTP3!$D$7-X178*LTP3!$D$6-Y178*U178-Z178*V178</f>
        <v/>
      </c>
      <c r="AB178">
        <f>IF(AND(F178,ABS(W178)&gt;1E-12,Y178&gt;0,Z178&gt;0),AA178,1E+300)</f>
        <v/>
      </c>
    </row>
    <row r="179">
      <c r="A179">
        <f>$B$3+$B$5*2</f>
        <v/>
      </c>
      <c r="B179">
        <f>$B$3+$B$5*45</f>
        <v/>
      </c>
      <c r="C179">
        <f>SUMPRODUCT(Calc!$K$3:$K$22*(Calc!$G$3:$G$22&lt;=A179))</f>
        <v/>
      </c>
      <c r="D179">
        <f>SUMPRODUCT(Calc!$K$3:$K$22*(Calc!$G$3:$G$22&gt;A179)*(Calc!$G$3:$G$22&lt;B179))</f>
        <v/>
      </c>
      <c r="E179">
        <f>SUMPRODUCT(Calc!$K$3:$K$22*(Calc!$G$3:$G$22&gt;=B179))</f>
        <v/>
      </c>
      <c r="F179">
        <f>AND(k_n&gt;=5,B179&gt;A179+1E-9,C179&gt;=2,D179&gt;=1,E179&gt;=2)</f>
        <v/>
      </c>
      <c r="G179">
        <f>SUMPRODUCT(Calc!$K$3:$K$22*(Calc!$G$3:$G$22&gt;A179)*(Calc!$G$3:$G$22-A179))</f>
        <v/>
      </c>
      <c r="H179">
        <f>SUMPRODUCT(Calc!$K$3:$K$22*(Calc!$G$3:$G$22&gt;B179)*(Calc!$G$3:$G$22-B179))</f>
        <v/>
      </c>
      <c r="I179">
        <f>SUMPRODUCT(Calc!$K$3:$K$22*(Calc!$G$3:$G$22&gt;A179)*(Calc!$G$3:$G$22-A179)^2)</f>
        <v/>
      </c>
      <c r="J179">
        <f>SUMPRODUCT(Calc!$K$3:$K$22*(Calc!$G$3:$G$22&gt;B179)*(Calc!$G$3:$G$22-B179)^2)</f>
        <v/>
      </c>
      <c r="K179">
        <f>SUMPRODUCT(Calc!$K$3:$K$22*(Calc!$G$3:$G$22&gt;A179)*(Calc!$G$3:$G$22-A179)*(Calc!$G$3:$G$22&gt;B179)*(Calc!$G$3:$G$22-B179))</f>
        <v/>
      </c>
      <c r="L179">
        <f>SUMPRODUCT(Calc!$K$3:$K$22*(Calc!$G$3:$G$22&gt;A179)*(Calc!$G$3:$G$22-A179)*Calc!$G$3:$G$22)</f>
        <v/>
      </c>
      <c r="M179">
        <f>SUMPRODUCT(Calc!$K$3:$K$22*(Calc!$G$3:$G$22&gt;B179)*(Calc!$G$3:$G$22-B179)*Calc!$G$3:$G$22)</f>
        <v/>
      </c>
      <c r="N179">
        <f>SUMPRODUCT(Calc!$K$3:$K$22*(Calc!$G$3:$G$22&gt;A179)*(Calc!$G$3:$G$22-A179)*Calc!$I$3:$I$22)</f>
        <v/>
      </c>
      <c r="O179">
        <f>SUMPRODUCT(Calc!$K$3:$K$22*(Calc!$G$3:$G$22&gt;B179)*(Calc!$G$3:$G$22-B179)*Calc!$I$3:$I$22)</f>
        <v/>
      </c>
      <c r="P179">
        <f>I179-G179^2/k_n</f>
        <v/>
      </c>
      <c r="Q179">
        <f>J179-H179^2/k_n</f>
        <v/>
      </c>
      <c r="R179">
        <f>K179-G179*H179/k_n</f>
        <v/>
      </c>
      <c r="S179">
        <f>L179-LTP3!$D$3*G179/k_n</f>
        <v/>
      </c>
      <c r="T179">
        <f>M179-LTP3!$D$3*H179/k_n</f>
        <v/>
      </c>
      <c r="U179">
        <f>N179-G179*LTP3!$D$4/k_n</f>
        <v/>
      </c>
      <c r="V179">
        <f>O179-H179*LTP3!$D$4/k_n</f>
        <v/>
      </c>
      <c r="W179">
        <f>((LTP3!$D$5)*((P179)*(Q179)-(R179)*(R179))-(S179)*((S179)*(Q179)-(R179)*(T179))+(T179)*((S179)*(R179)-(P179)*(T179)))</f>
        <v/>
      </c>
      <c r="X179">
        <f>IF(ABS(W179)&gt;1E-12,((LTP3!$D$6)*((P179)*(Q179)-(R179)*(R179))-(S179)*((U179)*(Q179)-(R179)*(V179))+(T179)*((U179)*(R179)-(P179)*(V179)))/W179,0)</f>
        <v/>
      </c>
      <c r="Y179">
        <f>IF(ABS(W179)&gt;1E-12,((LTP3!$D$5)*((U179)*(Q179)-(R179)*(V179))-(LTP3!$D$6)*((S179)*(Q179)-(R179)*(T179))+(T179)*((S179)*(V179)-(U179)*(T179)))/W179,0)</f>
        <v/>
      </c>
      <c r="Z179">
        <f>IF(ABS(W179)&gt;1E-12,((LTP3!$D$5)*((P179)*(V179)-(U179)*(R179))-(S179)*((S179)*(V179)-(U179)*(T179))+(LTP3!$D$6)*((S179)*(R179)-(P179)*(T179)))/W179,0)</f>
        <v/>
      </c>
      <c r="AA179">
        <f>LTP3!$D$7-X179*LTP3!$D$6-Y179*U179-Z179*V179</f>
        <v/>
      </c>
      <c r="AB179">
        <f>IF(AND(F179,ABS(W179)&gt;1E-12,Y179&gt;0,Z179&gt;0),AA179,1E+300)</f>
        <v/>
      </c>
    </row>
    <row r="180">
      <c r="A180">
        <f>$B$3+$B$5*2</f>
        <v/>
      </c>
      <c r="B180">
        <f>$B$3+$B$5*46</f>
        <v/>
      </c>
      <c r="C180">
        <f>SUMPRODUCT(Calc!$K$3:$K$22*(Calc!$G$3:$G$22&lt;=A180))</f>
        <v/>
      </c>
      <c r="D180">
        <f>SUMPRODUCT(Calc!$K$3:$K$22*(Calc!$G$3:$G$22&gt;A180)*(Calc!$G$3:$G$22&lt;B180))</f>
        <v/>
      </c>
      <c r="E180">
        <f>SUMPRODUCT(Calc!$K$3:$K$22*(Calc!$G$3:$G$22&gt;=B180))</f>
        <v/>
      </c>
      <c r="F180">
        <f>AND(k_n&gt;=5,B180&gt;A180+1E-9,C180&gt;=2,D180&gt;=1,E180&gt;=2)</f>
        <v/>
      </c>
      <c r="G180">
        <f>SUMPRODUCT(Calc!$K$3:$K$22*(Calc!$G$3:$G$22&gt;A180)*(Calc!$G$3:$G$22-A180))</f>
        <v/>
      </c>
      <c r="H180">
        <f>SUMPRODUCT(Calc!$K$3:$K$22*(Calc!$G$3:$G$22&gt;B180)*(Calc!$G$3:$G$22-B180))</f>
        <v/>
      </c>
      <c r="I180">
        <f>SUMPRODUCT(Calc!$K$3:$K$22*(Calc!$G$3:$G$22&gt;A180)*(Calc!$G$3:$G$22-A180)^2)</f>
        <v/>
      </c>
      <c r="J180">
        <f>SUMPRODUCT(Calc!$K$3:$K$22*(Calc!$G$3:$G$22&gt;B180)*(Calc!$G$3:$G$22-B180)^2)</f>
        <v/>
      </c>
      <c r="K180">
        <f>SUMPRODUCT(Calc!$K$3:$K$22*(Calc!$G$3:$G$22&gt;A180)*(Calc!$G$3:$G$22-A180)*(Calc!$G$3:$G$22&gt;B180)*(Calc!$G$3:$G$22-B180))</f>
        <v/>
      </c>
      <c r="L180">
        <f>SUMPRODUCT(Calc!$K$3:$K$22*(Calc!$G$3:$G$22&gt;A180)*(Calc!$G$3:$G$22-A180)*Calc!$G$3:$G$22)</f>
        <v/>
      </c>
      <c r="M180">
        <f>SUMPRODUCT(Calc!$K$3:$K$22*(Calc!$G$3:$G$22&gt;B180)*(Calc!$G$3:$G$22-B180)*Calc!$G$3:$G$22)</f>
        <v/>
      </c>
      <c r="N180">
        <f>SUMPRODUCT(Calc!$K$3:$K$22*(Calc!$G$3:$G$22&gt;A180)*(Calc!$G$3:$G$22-A180)*Calc!$I$3:$I$22)</f>
        <v/>
      </c>
      <c r="O180">
        <f>SUMPRODUCT(Calc!$K$3:$K$22*(Calc!$G$3:$G$22&gt;B180)*(Calc!$G$3:$G$22-B180)*Calc!$I$3:$I$22)</f>
        <v/>
      </c>
      <c r="P180">
        <f>I180-G180^2/k_n</f>
        <v/>
      </c>
      <c r="Q180">
        <f>J180-H180^2/k_n</f>
        <v/>
      </c>
      <c r="R180">
        <f>K180-G180*H180/k_n</f>
        <v/>
      </c>
      <c r="S180">
        <f>L180-LTP3!$D$3*G180/k_n</f>
        <v/>
      </c>
      <c r="T180">
        <f>M180-LTP3!$D$3*H180/k_n</f>
        <v/>
      </c>
      <c r="U180">
        <f>N180-G180*LTP3!$D$4/k_n</f>
        <v/>
      </c>
      <c r="V180">
        <f>O180-H180*LTP3!$D$4/k_n</f>
        <v/>
      </c>
      <c r="W180">
        <f>((LTP3!$D$5)*((P180)*(Q180)-(R180)*(R180))-(S180)*((S180)*(Q180)-(R180)*(T180))+(T180)*((S180)*(R180)-(P180)*(T180)))</f>
        <v/>
      </c>
      <c r="X180">
        <f>IF(ABS(W180)&gt;1E-12,((LTP3!$D$6)*((P180)*(Q180)-(R180)*(R180))-(S180)*((U180)*(Q180)-(R180)*(V180))+(T180)*((U180)*(R180)-(P180)*(V180)))/W180,0)</f>
        <v/>
      </c>
      <c r="Y180">
        <f>IF(ABS(W180)&gt;1E-12,((LTP3!$D$5)*((U180)*(Q180)-(R180)*(V180))-(LTP3!$D$6)*((S180)*(Q180)-(R180)*(T180))+(T180)*((S180)*(V180)-(U180)*(T180)))/W180,0)</f>
        <v/>
      </c>
      <c r="Z180">
        <f>IF(ABS(W180)&gt;1E-12,((LTP3!$D$5)*((P180)*(V180)-(U180)*(R180))-(S180)*((S180)*(V180)-(U180)*(T180))+(LTP3!$D$6)*((S180)*(R180)-(P180)*(T180)))/W180,0)</f>
        <v/>
      </c>
      <c r="AA180">
        <f>LTP3!$D$7-X180*LTP3!$D$6-Y180*U180-Z180*V180</f>
        <v/>
      </c>
      <c r="AB180">
        <f>IF(AND(F180,ABS(W180)&gt;1E-12,Y180&gt;0,Z180&gt;0),AA180,1E+300)</f>
        <v/>
      </c>
    </row>
    <row r="181">
      <c r="A181">
        <f>$B$3+$B$5*2</f>
        <v/>
      </c>
      <c r="B181">
        <f>$B$3+$B$5*47</f>
        <v/>
      </c>
      <c r="C181">
        <f>SUMPRODUCT(Calc!$K$3:$K$22*(Calc!$G$3:$G$22&lt;=A181))</f>
        <v/>
      </c>
      <c r="D181">
        <f>SUMPRODUCT(Calc!$K$3:$K$22*(Calc!$G$3:$G$22&gt;A181)*(Calc!$G$3:$G$22&lt;B181))</f>
        <v/>
      </c>
      <c r="E181">
        <f>SUMPRODUCT(Calc!$K$3:$K$22*(Calc!$G$3:$G$22&gt;=B181))</f>
        <v/>
      </c>
      <c r="F181">
        <f>AND(k_n&gt;=5,B181&gt;A181+1E-9,C181&gt;=2,D181&gt;=1,E181&gt;=2)</f>
        <v/>
      </c>
      <c r="G181">
        <f>SUMPRODUCT(Calc!$K$3:$K$22*(Calc!$G$3:$G$22&gt;A181)*(Calc!$G$3:$G$22-A181))</f>
        <v/>
      </c>
      <c r="H181">
        <f>SUMPRODUCT(Calc!$K$3:$K$22*(Calc!$G$3:$G$22&gt;B181)*(Calc!$G$3:$G$22-B181))</f>
        <v/>
      </c>
      <c r="I181">
        <f>SUMPRODUCT(Calc!$K$3:$K$22*(Calc!$G$3:$G$22&gt;A181)*(Calc!$G$3:$G$22-A181)^2)</f>
        <v/>
      </c>
      <c r="J181">
        <f>SUMPRODUCT(Calc!$K$3:$K$22*(Calc!$G$3:$G$22&gt;B181)*(Calc!$G$3:$G$22-B181)^2)</f>
        <v/>
      </c>
      <c r="K181">
        <f>SUMPRODUCT(Calc!$K$3:$K$22*(Calc!$G$3:$G$22&gt;A181)*(Calc!$G$3:$G$22-A181)*(Calc!$G$3:$G$22&gt;B181)*(Calc!$G$3:$G$22-B181))</f>
        <v/>
      </c>
      <c r="L181">
        <f>SUMPRODUCT(Calc!$K$3:$K$22*(Calc!$G$3:$G$22&gt;A181)*(Calc!$G$3:$G$22-A181)*Calc!$G$3:$G$22)</f>
        <v/>
      </c>
      <c r="M181">
        <f>SUMPRODUCT(Calc!$K$3:$K$22*(Calc!$G$3:$G$22&gt;B181)*(Calc!$G$3:$G$22-B181)*Calc!$G$3:$G$22)</f>
        <v/>
      </c>
      <c r="N181">
        <f>SUMPRODUCT(Calc!$K$3:$K$22*(Calc!$G$3:$G$22&gt;A181)*(Calc!$G$3:$G$22-A181)*Calc!$I$3:$I$22)</f>
        <v/>
      </c>
      <c r="O181">
        <f>SUMPRODUCT(Calc!$K$3:$K$22*(Calc!$G$3:$G$22&gt;B181)*(Calc!$G$3:$G$22-B181)*Calc!$I$3:$I$22)</f>
        <v/>
      </c>
      <c r="P181">
        <f>I181-G181^2/k_n</f>
        <v/>
      </c>
      <c r="Q181">
        <f>J181-H181^2/k_n</f>
        <v/>
      </c>
      <c r="R181">
        <f>K181-G181*H181/k_n</f>
        <v/>
      </c>
      <c r="S181">
        <f>L181-LTP3!$D$3*G181/k_n</f>
        <v/>
      </c>
      <c r="T181">
        <f>M181-LTP3!$D$3*H181/k_n</f>
        <v/>
      </c>
      <c r="U181">
        <f>N181-G181*LTP3!$D$4/k_n</f>
        <v/>
      </c>
      <c r="V181">
        <f>O181-H181*LTP3!$D$4/k_n</f>
        <v/>
      </c>
      <c r="W181">
        <f>((LTP3!$D$5)*((P181)*(Q181)-(R181)*(R181))-(S181)*((S181)*(Q181)-(R181)*(T181))+(T181)*((S181)*(R181)-(P181)*(T181)))</f>
        <v/>
      </c>
      <c r="X181">
        <f>IF(ABS(W181)&gt;1E-12,((LTP3!$D$6)*((P181)*(Q181)-(R181)*(R181))-(S181)*((U181)*(Q181)-(R181)*(V181))+(T181)*((U181)*(R181)-(P181)*(V181)))/W181,0)</f>
        <v/>
      </c>
      <c r="Y181">
        <f>IF(ABS(W181)&gt;1E-12,((LTP3!$D$5)*((U181)*(Q181)-(R181)*(V181))-(LTP3!$D$6)*((S181)*(Q181)-(R181)*(T181))+(T181)*((S181)*(V181)-(U181)*(T181)))/W181,0)</f>
        <v/>
      </c>
      <c r="Z181">
        <f>IF(ABS(W181)&gt;1E-12,((LTP3!$D$5)*((P181)*(V181)-(U181)*(R181))-(S181)*((S181)*(V181)-(U181)*(T181))+(LTP3!$D$6)*((S181)*(R181)-(P181)*(T181)))/W181,0)</f>
        <v/>
      </c>
      <c r="AA181">
        <f>LTP3!$D$7-X181*LTP3!$D$6-Y181*U181-Z181*V181</f>
        <v/>
      </c>
      <c r="AB181">
        <f>IF(AND(F181,ABS(W181)&gt;1E-12,Y181&gt;0,Z181&gt;0),AA181,1E+300)</f>
        <v/>
      </c>
    </row>
    <row r="182">
      <c r="A182">
        <f>$B$3+$B$5*2</f>
        <v/>
      </c>
      <c r="B182">
        <f>$B$3+$B$5*48</f>
        <v/>
      </c>
      <c r="C182">
        <f>SUMPRODUCT(Calc!$K$3:$K$22*(Calc!$G$3:$G$22&lt;=A182))</f>
        <v/>
      </c>
      <c r="D182">
        <f>SUMPRODUCT(Calc!$K$3:$K$22*(Calc!$G$3:$G$22&gt;A182)*(Calc!$G$3:$G$22&lt;B182))</f>
        <v/>
      </c>
      <c r="E182">
        <f>SUMPRODUCT(Calc!$K$3:$K$22*(Calc!$G$3:$G$22&gt;=B182))</f>
        <v/>
      </c>
      <c r="F182">
        <f>AND(k_n&gt;=5,B182&gt;A182+1E-9,C182&gt;=2,D182&gt;=1,E182&gt;=2)</f>
        <v/>
      </c>
      <c r="G182">
        <f>SUMPRODUCT(Calc!$K$3:$K$22*(Calc!$G$3:$G$22&gt;A182)*(Calc!$G$3:$G$22-A182))</f>
        <v/>
      </c>
      <c r="H182">
        <f>SUMPRODUCT(Calc!$K$3:$K$22*(Calc!$G$3:$G$22&gt;B182)*(Calc!$G$3:$G$22-B182))</f>
        <v/>
      </c>
      <c r="I182">
        <f>SUMPRODUCT(Calc!$K$3:$K$22*(Calc!$G$3:$G$22&gt;A182)*(Calc!$G$3:$G$22-A182)^2)</f>
        <v/>
      </c>
      <c r="J182">
        <f>SUMPRODUCT(Calc!$K$3:$K$22*(Calc!$G$3:$G$22&gt;B182)*(Calc!$G$3:$G$22-B182)^2)</f>
        <v/>
      </c>
      <c r="K182">
        <f>SUMPRODUCT(Calc!$K$3:$K$22*(Calc!$G$3:$G$22&gt;A182)*(Calc!$G$3:$G$22-A182)*(Calc!$G$3:$G$22&gt;B182)*(Calc!$G$3:$G$22-B182))</f>
        <v/>
      </c>
      <c r="L182">
        <f>SUMPRODUCT(Calc!$K$3:$K$22*(Calc!$G$3:$G$22&gt;A182)*(Calc!$G$3:$G$22-A182)*Calc!$G$3:$G$22)</f>
        <v/>
      </c>
      <c r="M182">
        <f>SUMPRODUCT(Calc!$K$3:$K$22*(Calc!$G$3:$G$22&gt;B182)*(Calc!$G$3:$G$22-B182)*Calc!$G$3:$G$22)</f>
        <v/>
      </c>
      <c r="N182">
        <f>SUMPRODUCT(Calc!$K$3:$K$22*(Calc!$G$3:$G$22&gt;A182)*(Calc!$G$3:$G$22-A182)*Calc!$I$3:$I$22)</f>
        <v/>
      </c>
      <c r="O182">
        <f>SUMPRODUCT(Calc!$K$3:$K$22*(Calc!$G$3:$G$22&gt;B182)*(Calc!$G$3:$G$22-B182)*Calc!$I$3:$I$22)</f>
        <v/>
      </c>
      <c r="P182">
        <f>I182-G182^2/k_n</f>
        <v/>
      </c>
      <c r="Q182">
        <f>J182-H182^2/k_n</f>
        <v/>
      </c>
      <c r="R182">
        <f>K182-G182*H182/k_n</f>
        <v/>
      </c>
      <c r="S182">
        <f>L182-LTP3!$D$3*G182/k_n</f>
        <v/>
      </c>
      <c r="T182">
        <f>M182-LTP3!$D$3*H182/k_n</f>
        <v/>
      </c>
      <c r="U182">
        <f>N182-G182*LTP3!$D$4/k_n</f>
        <v/>
      </c>
      <c r="V182">
        <f>O182-H182*LTP3!$D$4/k_n</f>
        <v/>
      </c>
      <c r="W182">
        <f>((LTP3!$D$5)*((P182)*(Q182)-(R182)*(R182))-(S182)*((S182)*(Q182)-(R182)*(T182))+(T182)*((S182)*(R182)-(P182)*(T182)))</f>
        <v/>
      </c>
      <c r="X182">
        <f>IF(ABS(W182)&gt;1E-12,((LTP3!$D$6)*((P182)*(Q182)-(R182)*(R182))-(S182)*((U182)*(Q182)-(R182)*(V182))+(T182)*((U182)*(R182)-(P182)*(V182)))/W182,0)</f>
        <v/>
      </c>
      <c r="Y182">
        <f>IF(ABS(W182)&gt;1E-12,((LTP3!$D$5)*((U182)*(Q182)-(R182)*(V182))-(LTP3!$D$6)*((S182)*(Q182)-(R182)*(T182))+(T182)*((S182)*(V182)-(U182)*(T182)))/W182,0)</f>
        <v/>
      </c>
      <c r="Z182">
        <f>IF(ABS(W182)&gt;1E-12,((LTP3!$D$5)*((P182)*(V182)-(U182)*(R182))-(S182)*((S182)*(V182)-(U182)*(T182))+(LTP3!$D$6)*((S182)*(R182)-(P182)*(T182)))/W182,0)</f>
        <v/>
      </c>
      <c r="AA182">
        <f>LTP3!$D$7-X182*LTP3!$D$6-Y182*U182-Z182*V182</f>
        <v/>
      </c>
      <c r="AB182">
        <f>IF(AND(F182,ABS(W182)&gt;1E-12,Y182&gt;0,Z182&gt;0),AA182,1E+300)</f>
        <v/>
      </c>
    </row>
    <row r="183">
      <c r="A183">
        <f>$B$3+$B$5*2</f>
        <v/>
      </c>
      <c r="B183">
        <f>$B$3+$B$5*49</f>
        <v/>
      </c>
      <c r="C183">
        <f>SUMPRODUCT(Calc!$K$3:$K$22*(Calc!$G$3:$G$22&lt;=A183))</f>
        <v/>
      </c>
      <c r="D183">
        <f>SUMPRODUCT(Calc!$K$3:$K$22*(Calc!$G$3:$G$22&gt;A183)*(Calc!$G$3:$G$22&lt;B183))</f>
        <v/>
      </c>
      <c r="E183">
        <f>SUMPRODUCT(Calc!$K$3:$K$22*(Calc!$G$3:$G$22&gt;=B183))</f>
        <v/>
      </c>
      <c r="F183">
        <f>AND(k_n&gt;=5,B183&gt;A183+1E-9,C183&gt;=2,D183&gt;=1,E183&gt;=2)</f>
        <v/>
      </c>
      <c r="G183">
        <f>SUMPRODUCT(Calc!$K$3:$K$22*(Calc!$G$3:$G$22&gt;A183)*(Calc!$G$3:$G$22-A183))</f>
        <v/>
      </c>
      <c r="H183">
        <f>SUMPRODUCT(Calc!$K$3:$K$22*(Calc!$G$3:$G$22&gt;B183)*(Calc!$G$3:$G$22-B183))</f>
        <v/>
      </c>
      <c r="I183">
        <f>SUMPRODUCT(Calc!$K$3:$K$22*(Calc!$G$3:$G$22&gt;A183)*(Calc!$G$3:$G$22-A183)^2)</f>
        <v/>
      </c>
      <c r="J183">
        <f>SUMPRODUCT(Calc!$K$3:$K$22*(Calc!$G$3:$G$22&gt;B183)*(Calc!$G$3:$G$22-B183)^2)</f>
        <v/>
      </c>
      <c r="K183">
        <f>SUMPRODUCT(Calc!$K$3:$K$22*(Calc!$G$3:$G$22&gt;A183)*(Calc!$G$3:$G$22-A183)*(Calc!$G$3:$G$22&gt;B183)*(Calc!$G$3:$G$22-B183))</f>
        <v/>
      </c>
      <c r="L183">
        <f>SUMPRODUCT(Calc!$K$3:$K$22*(Calc!$G$3:$G$22&gt;A183)*(Calc!$G$3:$G$22-A183)*Calc!$G$3:$G$22)</f>
        <v/>
      </c>
      <c r="M183">
        <f>SUMPRODUCT(Calc!$K$3:$K$22*(Calc!$G$3:$G$22&gt;B183)*(Calc!$G$3:$G$22-B183)*Calc!$G$3:$G$22)</f>
        <v/>
      </c>
      <c r="N183">
        <f>SUMPRODUCT(Calc!$K$3:$K$22*(Calc!$G$3:$G$22&gt;A183)*(Calc!$G$3:$G$22-A183)*Calc!$I$3:$I$22)</f>
        <v/>
      </c>
      <c r="O183">
        <f>SUMPRODUCT(Calc!$K$3:$K$22*(Calc!$G$3:$G$22&gt;B183)*(Calc!$G$3:$G$22-B183)*Calc!$I$3:$I$22)</f>
        <v/>
      </c>
      <c r="P183">
        <f>I183-G183^2/k_n</f>
        <v/>
      </c>
      <c r="Q183">
        <f>J183-H183^2/k_n</f>
        <v/>
      </c>
      <c r="R183">
        <f>K183-G183*H183/k_n</f>
        <v/>
      </c>
      <c r="S183">
        <f>L183-LTP3!$D$3*G183/k_n</f>
        <v/>
      </c>
      <c r="T183">
        <f>M183-LTP3!$D$3*H183/k_n</f>
        <v/>
      </c>
      <c r="U183">
        <f>N183-G183*LTP3!$D$4/k_n</f>
        <v/>
      </c>
      <c r="V183">
        <f>O183-H183*LTP3!$D$4/k_n</f>
        <v/>
      </c>
      <c r="W183">
        <f>((LTP3!$D$5)*((P183)*(Q183)-(R183)*(R183))-(S183)*((S183)*(Q183)-(R183)*(T183))+(T183)*((S183)*(R183)-(P183)*(T183)))</f>
        <v/>
      </c>
      <c r="X183">
        <f>IF(ABS(W183)&gt;1E-12,((LTP3!$D$6)*((P183)*(Q183)-(R183)*(R183))-(S183)*((U183)*(Q183)-(R183)*(V183))+(T183)*((U183)*(R183)-(P183)*(V183)))/W183,0)</f>
        <v/>
      </c>
      <c r="Y183">
        <f>IF(ABS(W183)&gt;1E-12,((LTP3!$D$5)*((U183)*(Q183)-(R183)*(V183))-(LTP3!$D$6)*((S183)*(Q183)-(R183)*(T183))+(T183)*((S183)*(V183)-(U183)*(T183)))/W183,0)</f>
        <v/>
      </c>
      <c r="Z183">
        <f>IF(ABS(W183)&gt;1E-12,((LTP3!$D$5)*((P183)*(V183)-(U183)*(R183))-(S183)*((S183)*(V183)-(U183)*(T183))+(LTP3!$D$6)*((S183)*(R183)-(P183)*(T183)))/W183,0)</f>
        <v/>
      </c>
      <c r="AA183">
        <f>LTP3!$D$7-X183*LTP3!$D$6-Y183*U183-Z183*V183</f>
        <v/>
      </c>
      <c r="AB183">
        <f>IF(AND(F183,ABS(W183)&gt;1E-12,Y183&gt;0,Z183&gt;0),AA183,1E+300)</f>
        <v/>
      </c>
    </row>
    <row r="184">
      <c r="A184">
        <f>$B$3+$B$5*2</f>
        <v/>
      </c>
      <c r="B184">
        <f>$B$3+$B$5*50</f>
        <v/>
      </c>
      <c r="C184">
        <f>SUMPRODUCT(Calc!$K$3:$K$22*(Calc!$G$3:$G$22&lt;=A184))</f>
        <v/>
      </c>
      <c r="D184">
        <f>SUMPRODUCT(Calc!$K$3:$K$22*(Calc!$G$3:$G$22&gt;A184)*(Calc!$G$3:$G$22&lt;B184))</f>
        <v/>
      </c>
      <c r="E184">
        <f>SUMPRODUCT(Calc!$K$3:$K$22*(Calc!$G$3:$G$22&gt;=B184))</f>
        <v/>
      </c>
      <c r="F184">
        <f>AND(k_n&gt;=5,B184&gt;A184+1E-9,C184&gt;=2,D184&gt;=1,E184&gt;=2)</f>
        <v/>
      </c>
      <c r="G184">
        <f>SUMPRODUCT(Calc!$K$3:$K$22*(Calc!$G$3:$G$22&gt;A184)*(Calc!$G$3:$G$22-A184))</f>
        <v/>
      </c>
      <c r="H184">
        <f>SUMPRODUCT(Calc!$K$3:$K$22*(Calc!$G$3:$G$22&gt;B184)*(Calc!$G$3:$G$22-B184))</f>
        <v/>
      </c>
      <c r="I184">
        <f>SUMPRODUCT(Calc!$K$3:$K$22*(Calc!$G$3:$G$22&gt;A184)*(Calc!$G$3:$G$22-A184)^2)</f>
        <v/>
      </c>
      <c r="J184">
        <f>SUMPRODUCT(Calc!$K$3:$K$22*(Calc!$G$3:$G$22&gt;B184)*(Calc!$G$3:$G$22-B184)^2)</f>
        <v/>
      </c>
      <c r="K184">
        <f>SUMPRODUCT(Calc!$K$3:$K$22*(Calc!$G$3:$G$22&gt;A184)*(Calc!$G$3:$G$22-A184)*(Calc!$G$3:$G$22&gt;B184)*(Calc!$G$3:$G$22-B184))</f>
        <v/>
      </c>
      <c r="L184">
        <f>SUMPRODUCT(Calc!$K$3:$K$22*(Calc!$G$3:$G$22&gt;A184)*(Calc!$G$3:$G$22-A184)*Calc!$G$3:$G$22)</f>
        <v/>
      </c>
      <c r="M184">
        <f>SUMPRODUCT(Calc!$K$3:$K$22*(Calc!$G$3:$G$22&gt;B184)*(Calc!$G$3:$G$22-B184)*Calc!$G$3:$G$22)</f>
        <v/>
      </c>
      <c r="N184">
        <f>SUMPRODUCT(Calc!$K$3:$K$22*(Calc!$G$3:$G$22&gt;A184)*(Calc!$G$3:$G$22-A184)*Calc!$I$3:$I$22)</f>
        <v/>
      </c>
      <c r="O184">
        <f>SUMPRODUCT(Calc!$K$3:$K$22*(Calc!$G$3:$G$22&gt;B184)*(Calc!$G$3:$G$22-B184)*Calc!$I$3:$I$22)</f>
        <v/>
      </c>
      <c r="P184">
        <f>I184-G184^2/k_n</f>
        <v/>
      </c>
      <c r="Q184">
        <f>J184-H184^2/k_n</f>
        <v/>
      </c>
      <c r="R184">
        <f>K184-G184*H184/k_n</f>
        <v/>
      </c>
      <c r="S184">
        <f>L184-LTP3!$D$3*G184/k_n</f>
        <v/>
      </c>
      <c r="T184">
        <f>M184-LTP3!$D$3*H184/k_n</f>
        <v/>
      </c>
      <c r="U184">
        <f>N184-G184*LTP3!$D$4/k_n</f>
        <v/>
      </c>
      <c r="V184">
        <f>O184-H184*LTP3!$D$4/k_n</f>
        <v/>
      </c>
      <c r="W184">
        <f>((LTP3!$D$5)*((P184)*(Q184)-(R184)*(R184))-(S184)*((S184)*(Q184)-(R184)*(T184))+(T184)*((S184)*(R184)-(P184)*(T184)))</f>
        <v/>
      </c>
      <c r="X184">
        <f>IF(ABS(W184)&gt;1E-12,((LTP3!$D$6)*((P184)*(Q184)-(R184)*(R184))-(S184)*((U184)*(Q184)-(R184)*(V184))+(T184)*((U184)*(R184)-(P184)*(V184)))/W184,0)</f>
        <v/>
      </c>
      <c r="Y184">
        <f>IF(ABS(W184)&gt;1E-12,((LTP3!$D$5)*((U184)*(Q184)-(R184)*(V184))-(LTP3!$D$6)*((S184)*(Q184)-(R184)*(T184))+(T184)*((S184)*(V184)-(U184)*(T184)))/W184,0)</f>
        <v/>
      </c>
      <c r="Z184">
        <f>IF(ABS(W184)&gt;1E-12,((LTP3!$D$5)*((P184)*(V184)-(U184)*(R184))-(S184)*((S184)*(V184)-(U184)*(T184))+(LTP3!$D$6)*((S184)*(R184)-(P184)*(T184)))/W184,0)</f>
        <v/>
      </c>
      <c r="AA184">
        <f>LTP3!$D$7-X184*LTP3!$D$6-Y184*U184-Z184*V184</f>
        <v/>
      </c>
      <c r="AB184">
        <f>IF(AND(F184,ABS(W184)&gt;1E-12,Y184&gt;0,Z184&gt;0),AA184,1E+300)</f>
        <v/>
      </c>
    </row>
    <row r="185">
      <c r="A185">
        <f>$B$3+$B$5*2</f>
        <v/>
      </c>
      <c r="B185">
        <f>$B$3+$B$5*51</f>
        <v/>
      </c>
      <c r="C185">
        <f>SUMPRODUCT(Calc!$K$3:$K$22*(Calc!$G$3:$G$22&lt;=A185))</f>
        <v/>
      </c>
      <c r="D185">
        <f>SUMPRODUCT(Calc!$K$3:$K$22*(Calc!$G$3:$G$22&gt;A185)*(Calc!$G$3:$G$22&lt;B185))</f>
        <v/>
      </c>
      <c r="E185">
        <f>SUMPRODUCT(Calc!$K$3:$K$22*(Calc!$G$3:$G$22&gt;=B185))</f>
        <v/>
      </c>
      <c r="F185">
        <f>AND(k_n&gt;=5,B185&gt;A185+1E-9,C185&gt;=2,D185&gt;=1,E185&gt;=2)</f>
        <v/>
      </c>
      <c r="G185">
        <f>SUMPRODUCT(Calc!$K$3:$K$22*(Calc!$G$3:$G$22&gt;A185)*(Calc!$G$3:$G$22-A185))</f>
        <v/>
      </c>
      <c r="H185">
        <f>SUMPRODUCT(Calc!$K$3:$K$22*(Calc!$G$3:$G$22&gt;B185)*(Calc!$G$3:$G$22-B185))</f>
        <v/>
      </c>
      <c r="I185">
        <f>SUMPRODUCT(Calc!$K$3:$K$22*(Calc!$G$3:$G$22&gt;A185)*(Calc!$G$3:$G$22-A185)^2)</f>
        <v/>
      </c>
      <c r="J185">
        <f>SUMPRODUCT(Calc!$K$3:$K$22*(Calc!$G$3:$G$22&gt;B185)*(Calc!$G$3:$G$22-B185)^2)</f>
        <v/>
      </c>
      <c r="K185">
        <f>SUMPRODUCT(Calc!$K$3:$K$22*(Calc!$G$3:$G$22&gt;A185)*(Calc!$G$3:$G$22-A185)*(Calc!$G$3:$G$22&gt;B185)*(Calc!$G$3:$G$22-B185))</f>
        <v/>
      </c>
      <c r="L185">
        <f>SUMPRODUCT(Calc!$K$3:$K$22*(Calc!$G$3:$G$22&gt;A185)*(Calc!$G$3:$G$22-A185)*Calc!$G$3:$G$22)</f>
        <v/>
      </c>
      <c r="M185">
        <f>SUMPRODUCT(Calc!$K$3:$K$22*(Calc!$G$3:$G$22&gt;B185)*(Calc!$G$3:$G$22-B185)*Calc!$G$3:$G$22)</f>
        <v/>
      </c>
      <c r="N185">
        <f>SUMPRODUCT(Calc!$K$3:$K$22*(Calc!$G$3:$G$22&gt;A185)*(Calc!$G$3:$G$22-A185)*Calc!$I$3:$I$22)</f>
        <v/>
      </c>
      <c r="O185">
        <f>SUMPRODUCT(Calc!$K$3:$K$22*(Calc!$G$3:$G$22&gt;B185)*(Calc!$G$3:$G$22-B185)*Calc!$I$3:$I$22)</f>
        <v/>
      </c>
      <c r="P185">
        <f>I185-G185^2/k_n</f>
        <v/>
      </c>
      <c r="Q185">
        <f>J185-H185^2/k_n</f>
        <v/>
      </c>
      <c r="R185">
        <f>K185-G185*H185/k_n</f>
        <v/>
      </c>
      <c r="S185">
        <f>L185-LTP3!$D$3*G185/k_n</f>
        <v/>
      </c>
      <c r="T185">
        <f>M185-LTP3!$D$3*H185/k_n</f>
        <v/>
      </c>
      <c r="U185">
        <f>N185-G185*LTP3!$D$4/k_n</f>
        <v/>
      </c>
      <c r="V185">
        <f>O185-H185*LTP3!$D$4/k_n</f>
        <v/>
      </c>
      <c r="W185">
        <f>((LTP3!$D$5)*((P185)*(Q185)-(R185)*(R185))-(S185)*((S185)*(Q185)-(R185)*(T185))+(T185)*((S185)*(R185)-(P185)*(T185)))</f>
        <v/>
      </c>
      <c r="X185">
        <f>IF(ABS(W185)&gt;1E-12,((LTP3!$D$6)*((P185)*(Q185)-(R185)*(R185))-(S185)*((U185)*(Q185)-(R185)*(V185))+(T185)*((U185)*(R185)-(P185)*(V185)))/W185,0)</f>
        <v/>
      </c>
      <c r="Y185">
        <f>IF(ABS(W185)&gt;1E-12,((LTP3!$D$5)*((U185)*(Q185)-(R185)*(V185))-(LTP3!$D$6)*((S185)*(Q185)-(R185)*(T185))+(T185)*((S185)*(V185)-(U185)*(T185)))/W185,0)</f>
        <v/>
      </c>
      <c r="Z185">
        <f>IF(ABS(W185)&gt;1E-12,((LTP3!$D$5)*((P185)*(V185)-(U185)*(R185))-(S185)*((S185)*(V185)-(U185)*(T185))+(LTP3!$D$6)*((S185)*(R185)-(P185)*(T185)))/W185,0)</f>
        <v/>
      </c>
      <c r="AA185">
        <f>LTP3!$D$7-X185*LTP3!$D$6-Y185*U185-Z185*V185</f>
        <v/>
      </c>
      <c r="AB185">
        <f>IF(AND(F185,ABS(W185)&gt;1E-12,Y185&gt;0,Z185&gt;0),AA185,1E+300)</f>
        <v/>
      </c>
    </row>
    <row r="186">
      <c r="A186">
        <f>$B$3+$B$5*2</f>
        <v/>
      </c>
      <c r="B186">
        <f>$B$3+$B$5*52</f>
        <v/>
      </c>
      <c r="C186">
        <f>SUMPRODUCT(Calc!$K$3:$K$22*(Calc!$G$3:$G$22&lt;=A186))</f>
        <v/>
      </c>
      <c r="D186">
        <f>SUMPRODUCT(Calc!$K$3:$K$22*(Calc!$G$3:$G$22&gt;A186)*(Calc!$G$3:$G$22&lt;B186))</f>
        <v/>
      </c>
      <c r="E186">
        <f>SUMPRODUCT(Calc!$K$3:$K$22*(Calc!$G$3:$G$22&gt;=B186))</f>
        <v/>
      </c>
      <c r="F186">
        <f>AND(k_n&gt;=5,B186&gt;A186+1E-9,C186&gt;=2,D186&gt;=1,E186&gt;=2)</f>
        <v/>
      </c>
      <c r="G186">
        <f>SUMPRODUCT(Calc!$K$3:$K$22*(Calc!$G$3:$G$22&gt;A186)*(Calc!$G$3:$G$22-A186))</f>
        <v/>
      </c>
      <c r="H186">
        <f>SUMPRODUCT(Calc!$K$3:$K$22*(Calc!$G$3:$G$22&gt;B186)*(Calc!$G$3:$G$22-B186))</f>
        <v/>
      </c>
      <c r="I186">
        <f>SUMPRODUCT(Calc!$K$3:$K$22*(Calc!$G$3:$G$22&gt;A186)*(Calc!$G$3:$G$22-A186)^2)</f>
        <v/>
      </c>
      <c r="J186">
        <f>SUMPRODUCT(Calc!$K$3:$K$22*(Calc!$G$3:$G$22&gt;B186)*(Calc!$G$3:$G$22-B186)^2)</f>
        <v/>
      </c>
      <c r="K186">
        <f>SUMPRODUCT(Calc!$K$3:$K$22*(Calc!$G$3:$G$22&gt;A186)*(Calc!$G$3:$G$22-A186)*(Calc!$G$3:$G$22&gt;B186)*(Calc!$G$3:$G$22-B186))</f>
        <v/>
      </c>
      <c r="L186">
        <f>SUMPRODUCT(Calc!$K$3:$K$22*(Calc!$G$3:$G$22&gt;A186)*(Calc!$G$3:$G$22-A186)*Calc!$G$3:$G$22)</f>
        <v/>
      </c>
      <c r="M186">
        <f>SUMPRODUCT(Calc!$K$3:$K$22*(Calc!$G$3:$G$22&gt;B186)*(Calc!$G$3:$G$22-B186)*Calc!$G$3:$G$22)</f>
        <v/>
      </c>
      <c r="N186">
        <f>SUMPRODUCT(Calc!$K$3:$K$22*(Calc!$G$3:$G$22&gt;A186)*(Calc!$G$3:$G$22-A186)*Calc!$I$3:$I$22)</f>
        <v/>
      </c>
      <c r="O186">
        <f>SUMPRODUCT(Calc!$K$3:$K$22*(Calc!$G$3:$G$22&gt;B186)*(Calc!$G$3:$G$22-B186)*Calc!$I$3:$I$22)</f>
        <v/>
      </c>
      <c r="P186">
        <f>I186-G186^2/k_n</f>
        <v/>
      </c>
      <c r="Q186">
        <f>J186-H186^2/k_n</f>
        <v/>
      </c>
      <c r="R186">
        <f>K186-G186*H186/k_n</f>
        <v/>
      </c>
      <c r="S186">
        <f>L186-LTP3!$D$3*G186/k_n</f>
        <v/>
      </c>
      <c r="T186">
        <f>M186-LTP3!$D$3*H186/k_n</f>
        <v/>
      </c>
      <c r="U186">
        <f>N186-G186*LTP3!$D$4/k_n</f>
        <v/>
      </c>
      <c r="V186">
        <f>O186-H186*LTP3!$D$4/k_n</f>
        <v/>
      </c>
      <c r="W186">
        <f>((LTP3!$D$5)*((P186)*(Q186)-(R186)*(R186))-(S186)*((S186)*(Q186)-(R186)*(T186))+(T186)*((S186)*(R186)-(P186)*(T186)))</f>
        <v/>
      </c>
      <c r="X186">
        <f>IF(ABS(W186)&gt;1E-12,((LTP3!$D$6)*((P186)*(Q186)-(R186)*(R186))-(S186)*((U186)*(Q186)-(R186)*(V186))+(T186)*((U186)*(R186)-(P186)*(V186)))/W186,0)</f>
        <v/>
      </c>
      <c r="Y186">
        <f>IF(ABS(W186)&gt;1E-12,((LTP3!$D$5)*((U186)*(Q186)-(R186)*(V186))-(LTP3!$D$6)*((S186)*(Q186)-(R186)*(T186))+(T186)*((S186)*(V186)-(U186)*(T186)))/W186,0)</f>
        <v/>
      </c>
      <c r="Z186">
        <f>IF(ABS(W186)&gt;1E-12,((LTP3!$D$5)*((P186)*(V186)-(U186)*(R186))-(S186)*((S186)*(V186)-(U186)*(T186))+(LTP3!$D$6)*((S186)*(R186)-(P186)*(T186)))/W186,0)</f>
        <v/>
      </c>
      <c r="AA186">
        <f>LTP3!$D$7-X186*LTP3!$D$6-Y186*U186-Z186*V186</f>
        <v/>
      </c>
      <c r="AB186">
        <f>IF(AND(F186,ABS(W186)&gt;1E-12,Y186&gt;0,Z186&gt;0),AA186,1E+300)</f>
        <v/>
      </c>
    </row>
    <row r="187">
      <c r="A187">
        <f>$B$3+$B$5*2</f>
        <v/>
      </c>
      <c r="B187">
        <f>$B$3+$B$5*53</f>
        <v/>
      </c>
      <c r="C187">
        <f>SUMPRODUCT(Calc!$K$3:$K$22*(Calc!$G$3:$G$22&lt;=A187))</f>
        <v/>
      </c>
      <c r="D187">
        <f>SUMPRODUCT(Calc!$K$3:$K$22*(Calc!$G$3:$G$22&gt;A187)*(Calc!$G$3:$G$22&lt;B187))</f>
        <v/>
      </c>
      <c r="E187">
        <f>SUMPRODUCT(Calc!$K$3:$K$22*(Calc!$G$3:$G$22&gt;=B187))</f>
        <v/>
      </c>
      <c r="F187">
        <f>AND(k_n&gt;=5,B187&gt;A187+1E-9,C187&gt;=2,D187&gt;=1,E187&gt;=2)</f>
        <v/>
      </c>
      <c r="G187">
        <f>SUMPRODUCT(Calc!$K$3:$K$22*(Calc!$G$3:$G$22&gt;A187)*(Calc!$G$3:$G$22-A187))</f>
        <v/>
      </c>
      <c r="H187">
        <f>SUMPRODUCT(Calc!$K$3:$K$22*(Calc!$G$3:$G$22&gt;B187)*(Calc!$G$3:$G$22-B187))</f>
        <v/>
      </c>
      <c r="I187">
        <f>SUMPRODUCT(Calc!$K$3:$K$22*(Calc!$G$3:$G$22&gt;A187)*(Calc!$G$3:$G$22-A187)^2)</f>
        <v/>
      </c>
      <c r="J187">
        <f>SUMPRODUCT(Calc!$K$3:$K$22*(Calc!$G$3:$G$22&gt;B187)*(Calc!$G$3:$G$22-B187)^2)</f>
        <v/>
      </c>
      <c r="K187">
        <f>SUMPRODUCT(Calc!$K$3:$K$22*(Calc!$G$3:$G$22&gt;A187)*(Calc!$G$3:$G$22-A187)*(Calc!$G$3:$G$22&gt;B187)*(Calc!$G$3:$G$22-B187))</f>
        <v/>
      </c>
      <c r="L187">
        <f>SUMPRODUCT(Calc!$K$3:$K$22*(Calc!$G$3:$G$22&gt;A187)*(Calc!$G$3:$G$22-A187)*Calc!$G$3:$G$22)</f>
        <v/>
      </c>
      <c r="M187">
        <f>SUMPRODUCT(Calc!$K$3:$K$22*(Calc!$G$3:$G$22&gt;B187)*(Calc!$G$3:$G$22-B187)*Calc!$G$3:$G$22)</f>
        <v/>
      </c>
      <c r="N187">
        <f>SUMPRODUCT(Calc!$K$3:$K$22*(Calc!$G$3:$G$22&gt;A187)*(Calc!$G$3:$G$22-A187)*Calc!$I$3:$I$22)</f>
        <v/>
      </c>
      <c r="O187">
        <f>SUMPRODUCT(Calc!$K$3:$K$22*(Calc!$G$3:$G$22&gt;B187)*(Calc!$G$3:$G$22-B187)*Calc!$I$3:$I$22)</f>
        <v/>
      </c>
      <c r="P187">
        <f>I187-G187^2/k_n</f>
        <v/>
      </c>
      <c r="Q187">
        <f>J187-H187^2/k_n</f>
        <v/>
      </c>
      <c r="R187">
        <f>K187-G187*H187/k_n</f>
        <v/>
      </c>
      <c r="S187">
        <f>L187-LTP3!$D$3*G187/k_n</f>
        <v/>
      </c>
      <c r="T187">
        <f>M187-LTP3!$D$3*H187/k_n</f>
        <v/>
      </c>
      <c r="U187">
        <f>N187-G187*LTP3!$D$4/k_n</f>
        <v/>
      </c>
      <c r="V187">
        <f>O187-H187*LTP3!$D$4/k_n</f>
        <v/>
      </c>
      <c r="W187">
        <f>((LTP3!$D$5)*((P187)*(Q187)-(R187)*(R187))-(S187)*((S187)*(Q187)-(R187)*(T187))+(T187)*((S187)*(R187)-(P187)*(T187)))</f>
        <v/>
      </c>
      <c r="X187">
        <f>IF(ABS(W187)&gt;1E-12,((LTP3!$D$6)*((P187)*(Q187)-(R187)*(R187))-(S187)*((U187)*(Q187)-(R187)*(V187))+(T187)*((U187)*(R187)-(P187)*(V187)))/W187,0)</f>
        <v/>
      </c>
      <c r="Y187">
        <f>IF(ABS(W187)&gt;1E-12,((LTP3!$D$5)*((U187)*(Q187)-(R187)*(V187))-(LTP3!$D$6)*((S187)*(Q187)-(R187)*(T187))+(T187)*((S187)*(V187)-(U187)*(T187)))/W187,0)</f>
        <v/>
      </c>
      <c r="Z187">
        <f>IF(ABS(W187)&gt;1E-12,((LTP3!$D$5)*((P187)*(V187)-(U187)*(R187))-(S187)*((S187)*(V187)-(U187)*(T187))+(LTP3!$D$6)*((S187)*(R187)-(P187)*(T187)))/W187,0)</f>
        <v/>
      </c>
      <c r="AA187">
        <f>LTP3!$D$7-X187*LTP3!$D$6-Y187*U187-Z187*V187</f>
        <v/>
      </c>
      <c r="AB187">
        <f>IF(AND(F187,ABS(W187)&gt;1E-12,Y187&gt;0,Z187&gt;0),AA187,1E+300)</f>
        <v/>
      </c>
    </row>
    <row r="188">
      <c r="A188">
        <f>$B$3+$B$5*2</f>
        <v/>
      </c>
      <c r="B188">
        <f>$B$3+$B$5*54</f>
        <v/>
      </c>
      <c r="C188">
        <f>SUMPRODUCT(Calc!$K$3:$K$22*(Calc!$G$3:$G$22&lt;=A188))</f>
        <v/>
      </c>
      <c r="D188">
        <f>SUMPRODUCT(Calc!$K$3:$K$22*(Calc!$G$3:$G$22&gt;A188)*(Calc!$G$3:$G$22&lt;B188))</f>
        <v/>
      </c>
      <c r="E188">
        <f>SUMPRODUCT(Calc!$K$3:$K$22*(Calc!$G$3:$G$22&gt;=B188))</f>
        <v/>
      </c>
      <c r="F188">
        <f>AND(k_n&gt;=5,B188&gt;A188+1E-9,C188&gt;=2,D188&gt;=1,E188&gt;=2)</f>
        <v/>
      </c>
      <c r="G188">
        <f>SUMPRODUCT(Calc!$K$3:$K$22*(Calc!$G$3:$G$22&gt;A188)*(Calc!$G$3:$G$22-A188))</f>
        <v/>
      </c>
      <c r="H188">
        <f>SUMPRODUCT(Calc!$K$3:$K$22*(Calc!$G$3:$G$22&gt;B188)*(Calc!$G$3:$G$22-B188))</f>
        <v/>
      </c>
      <c r="I188">
        <f>SUMPRODUCT(Calc!$K$3:$K$22*(Calc!$G$3:$G$22&gt;A188)*(Calc!$G$3:$G$22-A188)^2)</f>
        <v/>
      </c>
      <c r="J188">
        <f>SUMPRODUCT(Calc!$K$3:$K$22*(Calc!$G$3:$G$22&gt;B188)*(Calc!$G$3:$G$22-B188)^2)</f>
        <v/>
      </c>
      <c r="K188">
        <f>SUMPRODUCT(Calc!$K$3:$K$22*(Calc!$G$3:$G$22&gt;A188)*(Calc!$G$3:$G$22-A188)*(Calc!$G$3:$G$22&gt;B188)*(Calc!$G$3:$G$22-B188))</f>
        <v/>
      </c>
      <c r="L188">
        <f>SUMPRODUCT(Calc!$K$3:$K$22*(Calc!$G$3:$G$22&gt;A188)*(Calc!$G$3:$G$22-A188)*Calc!$G$3:$G$22)</f>
        <v/>
      </c>
      <c r="M188">
        <f>SUMPRODUCT(Calc!$K$3:$K$22*(Calc!$G$3:$G$22&gt;B188)*(Calc!$G$3:$G$22-B188)*Calc!$G$3:$G$22)</f>
        <v/>
      </c>
      <c r="N188">
        <f>SUMPRODUCT(Calc!$K$3:$K$22*(Calc!$G$3:$G$22&gt;A188)*(Calc!$G$3:$G$22-A188)*Calc!$I$3:$I$22)</f>
        <v/>
      </c>
      <c r="O188">
        <f>SUMPRODUCT(Calc!$K$3:$K$22*(Calc!$G$3:$G$22&gt;B188)*(Calc!$G$3:$G$22-B188)*Calc!$I$3:$I$22)</f>
        <v/>
      </c>
      <c r="P188">
        <f>I188-G188^2/k_n</f>
        <v/>
      </c>
      <c r="Q188">
        <f>J188-H188^2/k_n</f>
        <v/>
      </c>
      <c r="R188">
        <f>K188-G188*H188/k_n</f>
        <v/>
      </c>
      <c r="S188">
        <f>L188-LTP3!$D$3*G188/k_n</f>
        <v/>
      </c>
      <c r="T188">
        <f>M188-LTP3!$D$3*H188/k_n</f>
        <v/>
      </c>
      <c r="U188">
        <f>N188-G188*LTP3!$D$4/k_n</f>
        <v/>
      </c>
      <c r="V188">
        <f>O188-H188*LTP3!$D$4/k_n</f>
        <v/>
      </c>
      <c r="W188">
        <f>((LTP3!$D$5)*((P188)*(Q188)-(R188)*(R188))-(S188)*((S188)*(Q188)-(R188)*(T188))+(T188)*((S188)*(R188)-(P188)*(T188)))</f>
        <v/>
      </c>
      <c r="X188">
        <f>IF(ABS(W188)&gt;1E-12,((LTP3!$D$6)*((P188)*(Q188)-(R188)*(R188))-(S188)*((U188)*(Q188)-(R188)*(V188))+(T188)*((U188)*(R188)-(P188)*(V188)))/W188,0)</f>
        <v/>
      </c>
      <c r="Y188">
        <f>IF(ABS(W188)&gt;1E-12,((LTP3!$D$5)*((U188)*(Q188)-(R188)*(V188))-(LTP3!$D$6)*((S188)*(Q188)-(R188)*(T188))+(T188)*((S188)*(V188)-(U188)*(T188)))/W188,0)</f>
        <v/>
      </c>
      <c r="Z188">
        <f>IF(ABS(W188)&gt;1E-12,((LTP3!$D$5)*((P188)*(V188)-(U188)*(R188))-(S188)*((S188)*(V188)-(U188)*(T188))+(LTP3!$D$6)*((S188)*(R188)-(P188)*(T188)))/W188,0)</f>
        <v/>
      </c>
      <c r="AA188">
        <f>LTP3!$D$7-X188*LTP3!$D$6-Y188*U188-Z188*V188</f>
        <v/>
      </c>
      <c r="AB188">
        <f>IF(AND(F188,ABS(W188)&gt;1E-12,Y188&gt;0,Z188&gt;0),AA188,1E+300)</f>
        <v/>
      </c>
    </row>
    <row r="189">
      <c r="A189">
        <f>$B$3+$B$5*2</f>
        <v/>
      </c>
      <c r="B189">
        <f>$B$3+$B$5*55</f>
        <v/>
      </c>
      <c r="C189">
        <f>SUMPRODUCT(Calc!$K$3:$K$22*(Calc!$G$3:$G$22&lt;=A189))</f>
        <v/>
      </c>
      <c r="D189">
        <f>SUMPRODUCT(Calc!$K$3:$K$22*(Calc!$G$3:$G$22&gt;A189)*(Calc!$G$3:$G$22&lt;B189))</f>
        <v/>
      </c>
      <c r="E189">
        <f>SUMPRODUCT(Calc!$K$3:$K$22*(Calc!$G$3:$G$22&gt;=B189))</f>
        <v/>
      </c>
      <c r="F189">
        <f>AND(k_n&gt;=5,B189&gt;A189+1E-9,C189&gt;=2,D189&gt;=1,E189&gt;=2)</f>
        <v/>
      </c>
      <c r="G189">
        <f>SUMPRODUCT(Calc!$K$3:$K$22*(Calc!$G$3:$G$22&gt;A189)*(Calc!$G$3:$G$22-A189))</f>
        <v/>
      </c>
      <c r="H189">
        <f>SUMPRODUCT(Calc!$K$3:$K$22*(Calc!$G$3:$G$22&gt;B189)*(Calc!$G$3:$G$22-B189))</f>
        <v/>
      </c>
      <c r="I189">
        <f>SUMPRODUCT(Calc!$K$3:$K$22*(Calc!$G$3:$G$22&gt;A189)*(Calc!$G$3:$G$22-A189)^2)</f>
        <v/>
      </c>
      <c r="J189">
        <f>SUMPRODUCT(Calc!$K$3:$K$22*(Calc!$G$3:$G$22&gt;B189)*(Calc!$G$3:$G$22-B189)^2)</f>
        <v/>
      </c>
      <c r="K189">
        <f>SUMPRODUCT(Calc!$K$3:$K$22*(Calc!$G$3:$G$22&gt;A189)*(Calc!$G$3:$G$22-A189)*(Calc!$G$3:$G$22&gt;B189)*(Calc!$G$3:$G$22-B189))</f>
        <v/>
      </c>
      <c r="L189">
        <f>SUMPRODUCT(Calc!$K$3:$K$22*(Calc!$G$3:$G$22&gt;A189)*(Calc!$G$3:$G$22-A189)*Calc!$G$3:$G$22)</f>
        <v/>
      </c>
      <c r="M189">
        <f>SUMPRODUCT(Calc!$K$3:$K$22*(Calc!$G$3:$G$22&gt;B189)*(Calc!$G$3:$G$22-B189)*Calc!$G$3:$G$22)</f>
        <v/>
      </c>
      <c r="N189">
        <f>SUMPRODUCT(Calc!$K$3:$K$22*(Calc!$G$3:$G$22&gt;A189)*(Calc!$G$3:$G$22-A189)*Calc!$I$3:$I$22)</f>
        <v/>
      </c>
      <c r="O189">
        <f>SUMPRODUCT(Calc!$K$3:$K$22*(Calc!$G$3:$G$22&gt;B189)*(Calc!$G$3:$G$22-B189)*Calc!$I$3:$I$22)</f>
        <v/>
      </c>
      <c r="P189">
        <f>I189-G189^2/k_n</f>
        <v/>
      </c>
      <c r="Q189">
        <f>J189-H189^2/k_n</f>
        <v/>
      </c>
      <c r="R189">
        <f>K189-G189*H189/k_n</f>
        <v/>
      </c>
      <c r="S189">
        <f>L189-LTP3!$D$3*G189/k_n</f>
        <v/>
      </c>
      <c r="T189">
        <f>M189-LTP3!$D$3*H189/k_n</f>
        <v/>
      </c>
      <c r="U189">
        <f>N189-G189*LTP3!$D$4/k_n</f>
        <v/>
      </c>
      <c r="V189">
        <f>O189-H189*LTP3!$D$4/k_n</f>
        <v/>
      </c>
      <c r="W189">
        <f>((LTP3!$D$5)*((P189)*(Q189)-(R189)*(R189))-(S189)*((S189)*(Q189)-(R189)*(T189))+(T189)*((S189)*(R189)-(P189)*(T189)))</f>
        <v/>
      </c>
      <c r="X189">
        <f>IF(ABS(W189)&gt;1E-12,((LTP3!$D$6)*((P189)*(Q189)-(R189)*(R189))-(S189)*((U189)*(Q189)-(R189)*(V189))+(T189)*((U189)*(R189)-(P189)*(V189)))/W189,0)</f>
        <v/>
      </c>
      <c r="Y189">
        <f>IF(ABS(W189)&gt;1E-12,((LTP3!$D$5)*((U189)*(Q189)-(R189)*(V189))-(LTP3!$D$6)*((S189)*(Q189)-(R189)*(T189))+(T189)*((S189)*(V189)-(U189)*(T189)))/W189,0)</f>
        <v/>
      </c>
      <c r="Z189">
        <f>IF(ABS(W189)&gt;1E-12,((LTP3!$D$5)*((P189)*(V189)-(U189)*(R189))-(S189)*((S189)*(V189)-(U189)*(T189))+(LTP3!$D$6)*((S189)*(R189)-(P189)*(T189)))/W189,0)</f>
        <v/>
      </c>
      <c r="AA189">
        <f>LTP3!$D$7-X189*LTP3!$D$6-Y189*U189-Z189*V189</f>
        <v/>
      </c>
      <c r="AB189">
        <f>IF(AND(F189,ABS(W189)&gt;1E-12,Y189&gt;0,Z189&gt;0),AA189,1E+300)</f>
        <v/>
      </c>
    </row>
    <row r="190">
      <c r="A190">
        <f>$B$3+$B$5*2</f>
        <v/>
      </c>
      <c r="B190">
        <f>$B$3+$B$5*56</f>
        <v/>
      </c>
      <c r="C190">
        <f>SUMPRODUCT(Calc!$K$3:$K$22*(Calc!$G$3:$G$22&lt;=A190))</f>
        <v/>
      </c>
      <c r="D190">
        <f>SUMPRODUCT(Calc!$K$3:$K$22*(Calc!$G$3:$G$22&gt;A190)*(Calc!$G$3:$G$22&lt;B190))</f>
        <v/>
      </c>
      <c r="E190">
        <f>SUMPRODUCT(Calc!$K$3:$K$22*(Calc!$G$3:$G$22&gt;=B190))</f>
        <v/>
      </c>
      <c r="F190">
        <f>AND(k_n&gt;=5,B190&gt;A190+1E-9,C190&gt;=2,D190&gt;=1,E190&gt;=2)</f>
        <v/>
      </c>
      <c r="G190">
        <f>SUMPRODUCT(Calc!$K$3:$K$22*(Calc!$G$3:$G$22&gt;A190)*(Calc!$G$3:$G$22-A190))</f>
        <v/>
      </c>
      <c r="H190">
        <f>SUMPRODUCT(Calc!$K$3:$K$22*(Calc!$G$3:$G$22&gt;B190)*(Calc!$G$3:$G$22-B190))</f>
        <v/>
      </c>
      <c r="I190">
        <f>SUMPRODUCT(Calc!$K$3:$K$22*(Calc!$G$3:$G$22&gt;A190)*(Calc!$G$3:$G$22-A190)^2)</f>
        <v/>
      </c>
      <c r="J190">
        <f>SUMPRODUCT(Calc!$K$3:$K$22*(Calc!$G$3:$G$22&gt;B190)*(Calc!$G$3:$G$22-B190)^2)</f>
        <v/>
      </c>
      <c r="K190">
        <f>SUMPRODUCT(Calc!$K$3:$K$22*(Calc!$G$3:$G$22&gt;A190)*(Calc!$G$3:$G$22-A190)*(Calc!$G$3:$G$22&gt;B190)*(Calc!$G$3:$G$22-B190))</f>
        <v/>
      </c>
      <c r="L190">
        <f>SUMPRODUCT(Calc!$K$3:$K$22*(Calc!$G$3:$G$22&gt;A190)*(Calc!$G$3:$G$22-A190)*Calc!$G$3:$G$22)</f>
        <v/>
      </c>
      <c r="M190">
        <f>SUMPRODUCT(Calc!$K$3:$K$22*(Calc!$G$3:$G$22&gt;B190)*(Calc!$G$3:$G$22-B190)*Calc!$G$3:$G$22)</f>
        <v/>
      </c>
      <c r="N190">
        <f>SUMPRODUCT(Calc!$K$3:$K$22*(Calc!$G$3:$G$22&gt;A190)*(Calc!$G$3:$G$22-A190)*Calc!$I$3:$I$22)</f>
        <v/>
      </c>
      <c r="O190">
        <f>SUMPRODUCT(Calc!$K$3:$K$22*(Calc!$G$3:$G$22&gt;B190)*(Calc!$G$3:$G$22-B190)*Calc!$I$3:$I$22)</f>
        <v/>
      </c>
      <c r="P190">
        <f>I190-G190^2/k_n</f>
        <v/>
      </c>
      <c r="Q190">
        <f>J190-H190^2/k_n</f>
        <v/>
      </c>
      <c r="R190">
        <f>K190-G190*H190/k_n</f>
        <v/>
      </c>
      <c r="S190">
        <f>L190-LTP3!$D$3*G190/k_n</f>
        <v/>
      </c>
      <c r="T190">
        <f>M190-LTP3!$D$3*H190/k_n</f>
        <v/>
      </c>
      <c r="U190">
        <f>N190-G190*LTP3!$D$4/k_n</f>
        <v/>
      </c>
      <c r="V190">
        <f>O190-H190*LTP3!$D$4/k_n</f>
        <v/>
      </c>
      <c r="W190">
        <f>((LTP3!$D$5)*((P190)*(Q190)-(R190)*(R190))-(S190)*((S190)*(Q190)-(R190)*(T190))+(T190)*((S190)*(R190)-(P190)*(T190)))</f>
        <v/>
      </c>
      <c r="X190">
        <f>IF(ABS(W190)&gt;1E-12,((LTP3!$D$6)*((P190)*(Q190)-(R190)*(R190))-(S190)*((U190)*(Q190)-(R190)*(V190))+(T190)*((U190)*(R190)-(P190)*(V190)))/W190,0)</f>
        <v/>
      </c>
      <c r="Y190">
        <f>IF(ABS(W190)&gt;1E-12,((LTP3!$D$5)*((U190)*(Q190)-(R190)*(V190))-(LTP3!$D$6)*((S190)*(Q190)-(R190)*(T190))+(T190)*((S190)*(V190)-(U190)*(T190)))/W190,0)</f>
        <v/>
      </c>
      <c r="Z190">
        <f>IF(ABS(W190)&gt;1E-12,((LTP3!$D$5)*((P190)*(V190)-(U190)*(R190))-(S190)*((S190)*(V190)-(U190)*(T190))+(LTP3!$D$6)*((S190)*(R190)-(P190)*(T190)))/W190,0)</f>
        <v/>
      </c>
      <c r="AA190">
        <f>LTP3!$D$7-X190*LTP3!$D$6-Y190*U190-Z190*V190</f>
        <v/>
      </c>
      <c r="AB190">
        <f>IF(AND(F190,ABS(W190)&gt;1E-12,Y190&gt;0,Z190&gt;0),AA190,1E+300)</f>
        <v/>
      </c>
    </row>
    <row r="191">
      <c r="A191">
        <f>$B$3+$B$5*2</f>
        <v/>
      </c>
      <c r="B191">
        <f>$B$3+$B$5*57</f>
        <v/>
      </c>
      <c r="C191">
        <f>SUMPRODUCT(Calc!$K$3:$K$22*(Calc!$G$3:$G$22&lt;=A191))</f>
        <v/>
      </c>
      <c r="D191">
        <f>SUMPRODUCT(Calc!$K$3:$K$22*(Calc!$G$3:$G$22&gt;A191)*(Calc!$G$3:$G$22&lt;B191))</f>
        <v/>
      </c>
      <c r="E191">
        <f>SUMPRODUCT(Calc!$K$3:$K$22*(Calc!$G$3:$G$22&gt;=B191))</f>
        <v/>
      </c>
      <c r="F191">
        <f>AND(k_n&gt;=5,B191&gt;A191+1E-9,C191&gt;=2,D191&gt;=1,E191&gt;=2)</f>
        <v/>
      </c>
      <c r="G191">
        <f>SUMPRODUCT(Calc!$K$3:$K$22*(Calc!$G$3:$G$22&gt;A191)*(Calc!$G$3:$G$22-A191))</f>
        <v/>
      </c>
      <c r="H191">
        <f>SUMPRODUCT(Calc!$K$3:$K$22*(Calc!$G$3:$G$22&gt;B191)*(Calc!$G$3:$G$22-B191))</f>
        <v/>
      </c>
      <c r="I191">
        <f>SUMPRODUCT(Calc!$K$3:$K$22*(Calc!$G$3:$G$22&gt;A191)*(Calc!$G$3:$G$22-A191)^2)</f>
        <v/>
      </c>
      <c r="J191">
        <f>SUMPRODUCT(Calc!$K$3:$K$22*(Calc!$G$3:$G$22&gt;B191)*(Calc!$G$3:$G$22-B191)^2)</f>
        <v/>
      </c>
      <c r="K191">
        <f>SUMPRODUCT(Calc!$K$3:$K$22*(Calc!$G$3:$G$22&gt;A191)*(Calc!$G$3:$G$22-A191)*(Calc!$G$3:$G$22&gt;B191)*(Calc!$G$3:$G$22-B191))</f>
        <v/>
      </c>
      <c r="L191">
        <f>SUMPRODUCT(Calc!$K$3:$K$22*(Calc!$G$3:$G$22&gt;A191)*(Calc!$G$3:$G$22-A191)*Calc!$G$3:$G$22)</f>
        <v/>
      </c>
      <c r="M191">
        <f>SUMPRODUCT(Calc!$K$3:$K$22*(Calc!$G$3:$G$22&gt;B191)*(Calc!$G$3:$G$22-B191)*Calc!$G$3:$G$22)</f>
        <v/>
      </c>
      <c r="N191">
        <f>SUMPRODUCT(Calc!$K$3:$K$22*(Calc!$G$3:$G$22&gt;A191)*(Calc!$G$3:$G$22-A191)*Calc!$I$3:$I$22)</f>
        <v/>
      </c>
      <c r="O191">
        <f>SUMPRODUCT(Calc!$K$3:$K$22*(Calc!$G$3:$G$22&gt;B191)*(Calc!$G$3:$G$22-B191)*Calc!$I$3:$I$22)</f>
        <v/>
      </c>
      <c r="P191">
        <f>I191-G191^2/k_n</f>
        <v/>
      </c>
      <c r="Q191">
        <f>J191-H191^2/k_n</f>
        <v/>
      </c>
      <c r="R191">
        <f>K191-G191*H191/k_n</f>
        <v/>
      </c>
      <c r="S191">
        <f>L191-LTP3!$D$3*G191/k_n</f>
        <v/>
      </c>
      <c r="T191">
        <f>M191-LTP3!$D$3*H191/k_n</f>
        <v/>
      </c>
      <c r="U191">
        <f>N191-G191*LTP3!$D$4/k_n</f>
        <v/>
      </c>
      <c r="V191">
        <f>O191-H191*LTP3!$D$4/k_n</f>
        <v/>
      </c>
      <c r="W191">
        <f>((LTP3!$D$5)*((P191)*(Q191)-(R191)*(R191))-(S191)*((S191)*(Q191)-(R191)*(T191))+(T191)*((S191)*(R191)-(P191)*(T191)))</f>
        <v/>
      </c>
      <c r="X191">
        <f>IF(ABS(W191)&gt;1E-12,((LTP3!$D$6)*((P191)*(Q191)-(R191)*(R191))-(S191)*((U191)*(Q191)-(R191)*(V191))+(T191)*((U191)*(R191)-(P191)*(V191)))/W191,0)</f>
        <v/>
      </c>
      <c r="Y191">
        <f>IF(ABS(W191)&gt;1E-12,((LTP3!$D$5)*((U191)*(Q191)-(R191)*(V191))-(LTP3!$D$6)*((S191)*(Q191)-(R191)*(T191))+(T191)*((S191)*(V191)-(U191)*(T191)))/W191,0)</f>
        <v/>
      </c>
      <c r="Z191">
        <f>IF(ABS(W191)&gt;1E-12,((LTP3!$D$5)*((P191)*(V191)-(U191)*(R191))-(S191)*((S191)*(V191)-(U191)*(T191))+(LTP3!$D$6)*((S191)*(R191)-(P191)*(T191)))/W191,0)</f>
        <v/>
      </c>
      <c r="AA191">
        <f>LTP3!$D$7-X191*LTP3!$D$6-Y191*U191-Z191*V191</f>
        <v/>
      </c>
      <c r="AB191">
        <f>IF(AND(F191,ABS(W191)&gt;1E-12,Y191&gt;0,Z191&gt;0),AA191,1E+300)</f>
        <v/>
      </c>
    </row>
    <row r="192">
      <c r="A192">
        <f>$B$3+$B$5*2</f>
        <v/>
      </c>
      <c r="B192">
        <f>$B$3+$B$5*58</f>
        <v/>
      </c>
      <c r="C192">
        <f>SUMPRODUCT(Calc!$K$3:$K$22*(Calc!$G$3:$G$22&lt;=A192))</f>
        <v/>
      </c>
      <c r="D192">
        <f>SUMPRODUCT(Calc!$K$3:$K$22*(Calc!$G$3:$G$22&gt;A192)*(Calc!$G$3:$G$22&lt;B192))</f>
        <v/>
      </c>
      <c r="E192">
        <f>SUMPRODUCT(Calc!$K$3:$K$22*(Calc!$G$3:$G$22&gt;=B192))</f>
        <v/>
      </c>
      <c r="F192">
        <f>AND(k_n&gt;=5,B192&gt;A192+1E-9,C192&gt;=2,D192&gt;=1,E192&gt;=2)</f>
        <v/>
      </c>
      <c r="G192">
        <f>SUMPRODUCT(Calc!$K$3:$K$22*(Calc!$G$3:$G$22&gt;A192)*(Calc!$G$3:$G$22-A192))</f>
        <v/>
      </c>
      <c r="H192">
        <f>SUMPRODUCT(Calc!$K$3:$K$22*(Calc!$G$3:$G$22&gt;B192)*(Calc!$G$3:$G$22-B192))</f>
        <v/>
      </c>
      <c r="I192">
        <f>SUMPRODUCT(Calc!$K$3:$K$22*(Calc!$G$3:$G$22&gt;A192)*(Calc!$G$3:$G$22-A192)^2)</f>
        <v/>
      </c>
      <c r="J192">
        <f>SUMPRODUCT(Calc!$K$3:$K$22*(Calc!$G$3:$G$22&gt;B192)*(Calc!$G$3:$G$22-B192)^2)</f>
        <v/>
      </c>
      <c r="K192">
        <f>SUMPRODUCT(Calc!$K$3:$K$22*(Calc!$G$3:$G$22&gt;A192)*(Calc!$G$3:$G$22-A192)*(Calc!$G$3:$G$22&gt;B192)*(Calc!$G$3:$G$22-B192))</f>
        <v/>
      </c>
      <c r="L192">
        <f>SUMPRODUCT(Calc!$K$3:$K$22*(Calc!$G$3:$G$22&gt;A192)*(Calc!$G$3:$G$22-A192)*Calc!$G$3:$G$22)</f>
        <v/>
      </c>
      <c r="M192">
        <f>SUMPRODUCT(Calc!$K$3:$K$22*(Calc!$G$3:$G$22&gt;B192)*(Calc!$G$3:$G$22-B192)*Calc!$G$3:$G$22)</f>
        <v/>
      </c>
      <c r="N192">
        <f>SUMPRODUCT(Calc!$K$3:$K$22*(Calc!$G$3:$G$22&gt;A192)*(Calc!$G$3:$G$22-A192)*Calc!$I$3:$I$22)</f>
        <v/>
      </c>
      <c r="O192">
        <f>SUMPRODUCT(Calc!$K$3:$K$22*(Calc!$G$3:$G$22&gt;B192)*(Calc!$G$3:$G$22-B192)*Calc!$I$3:$I$22)</f>
        <v/>
      </c>
      <c r="P192">
        <f>I192-G192^2/k_n</f>
        <v/>
      </c>
      <c r="Q192">
        <f>J192-H192^2/k_n</f>
        <v/>
      </c>
      <c r="R192">
        <f>K192-G192*H192/k_n</f>
        <v/>
      </c>
      <c r="S192">
        <f>L192-LTP3!$D$3*G192/k_n</f>
        <v/>
      </c>
      <c r="T192">
        <f>M192-LTP3!$D$3*H192/k_n</f>
        <v/>
      </c>
      <c r="U192">
        <f>N192-G192*LTP3!$D$4/k_n</f>
        <v/>
      </c>
      <c r="V192">
        <f>O192-H192*LTP3!$D$4/k_n</f>
        <v/>
      </c>
      <c r="W192">
        <f>((LTP3!$D$5)*((P192)*(Q192)-(R192)*(R192))-(S192)*((S192)*(Q192)-(R192)*(T192))+(T192)*((S192)*(R192)-(P192)*(T192)))</f>
        <v/>
      </c>
      <c r="X192">
        <f>IF(ABS(W192)&gt;1E-12,((LTP3!$D$6)*((P192)*(Q192)-(R192)*(R192))-(S192)*((U192)*(Q192)-(R192)*(V192))+(T192)*((U192)*(R192)-(P192)*(V192)))/W192,0)</f>
        <v/>
      </c>
      <c r="Y192">
        <f>IF(ABS(W192)&gt;1E-12,((LTP3!$D$5)*((U192)*(Q192)-(R192)*(V192))-(LTP3!$D$6)*((S192)*(Q192)-(R192)*(T192))+(T192)*((S192)*(V192)-(U192)*(T192)))/W192,0)</f>
        <v/>
      </c>
      <c r="Z192">
        <f>IF(ABS(W192)&gt;1E-12,((LTP3!$D$5)*((P192)*(V192)-(U192)*(R192))-(S192)*((S192)*(V192)-(U192)*(T192))+(LTP3!$D$6)*((S192)*(R192)-(P192)*(T192)))/W192,0)</f>
        <v/>
      </c>
      <c r="AA192">
        <f>LTP3!$D$7-X192*LTP3!$D$6-Y192*U192-Z192*V192</f>
        <v/>
      </c>
      <c r="AB192">
        <f>IF(AND(F192,ABS(W192)&gt;1E-12,Y192&gt;0,Z192&gt;0),AA192,1E+300)</f>
        <v/>
      </c>
    </row>
    <row r="193">
      <c r="A193">
        <f>$B$3+$B$5*2</f>
        <v/>
      </c>
      <c r="B193">
        <f>$B$3+$B$5*59</f>
        <v/>
      </c>
      <c r="C193">
        <f>SUMPRODUCT(Calc!$K$3:$K$22*(Calc!$G$3:$G$22&lt;=A193))</f>
        <v/>
      </c>
      <c r="D193">
        <f>SUMPRODUCT(Calc!$K$3:$K$22*(Calc!$G$3:$G$22&gt;A193)*(Calc!$G$3:$G$22&lt;B193))</f>
        <v/>
      </c>
      <c r="E193">
        <f>SUMPRODUCT(Calc!$K$3:$K$22*(Calc!$G$3:$G$22&gt;=B193))</f>
        <v/>
      </c>
      <c r="F193">
        <f>AND(k_n&gt;=5,B193&gt;A193+1E-9,C193&gt;=2,D193&gt;=1,E193&gt;=2)</f>
        <v/>
      </c>
      <c r="G193">
        <f>SUMPRODUCT(Calc!$K$3:$K$22*(Calc!$G$3:$G$22&gt;A193)*(Calc!$G$3:$G$22-A193))</f>
        <v/>
      </c>
      <c r="H193">
        <f>SUMPRODUCT(Calc!$K$3:$K$22*(Calc!$G$3:$G$22&gt;B193)*(Calc!$G$3:$G$22-B193))</f>
        <v/>
      </c>
      <c r="I193">
        <f>SUMPRODUCT(Calc!$K$3:$K$22*(Calc!$G$3:$G$22&gt;A193)*(Calc!$G$3:$G$22-A193)^2)</f>
        <v/>
      </c>
      <c r="J193">
        <f>SUMPRODUCT(Calc!$K$3:$K$22*(Calc!$G$3:$G$22&gt;B193)*(Calc!$G$3:$G$22-B193)^2)</f>
        <v/>
      </c>
      <c r="K193">
        <f>SUMPRODUCT(Calc!$K$3:$K$22*(Calc!$G$3:$G$22&gt;A193)*(Calc!$G$3:$G$22-A193)*(Calc!$G$3:$G$22&gt;B193)*(Calc!$G$3:$G$22-B193))</f>
        <v/>
      </c>
      <c r="L193">
        <f>SUMPRODUCT(Calc!$K$3:$K$22*(Calc!$G$3:$G$22&gt;A193)*(Calc!$G$3:$G$22-A193)*Calc!$G$3:$G$22)</f>
        <v/>
      </c>
      <c r="M193">
        <f>SUMPRODUCT(Calc!$K$3:$K$22*(Calc!$G$3:$G$22&gt;B193)*(Calc!$G$3:$G$22-B193)*Calc!$G$3:$G$22)</f>
        <v/>
      </c>
      <c r="N193">
        <f>SUMPRODUCT(Calc!$K$3:$K$22*(Calc!$G$3:$G$22&gt;A193)*(Calc!$G$3:$G$22-A193)*Calc!$I$3:$I$22)</f>
        <v/>
      </c>
      <c r="O193">
        <f>SUMPRODUCT(Calc!$K$3:$K$22*(Calc!$G$3:$G$22&gt;B193)*(Calc!$G$3:$G$22-B193)*Calc!$I$3:$I$22)</f>
        <v/>
      </c>
      <c r="P193">
        <f>I193-G193^2/k_n</f>
        <v/>
      </c>
      <c r="Q193">
        <f>J193-H193^2/k_n</f>
        <v/>
      </c>
      <c r="R193">
        <f>K193-G193*H193/k_n</f>
        <v/>
      </c>
      <c r="S193">
        <f>L193-LTP3!$D$3*G193/k_n</f>
        <v/>
      </c>
      <c r="T193">
        <f>M193-LTP3!$D$3*H193/k_n</f>
        <v/>
      </c>
      <c r="U193">
        <f>N193-G193*LTP3!$D$4/k_n</f>
        <v/>
      </c>
      <c r="V193">
        <f>O193-H193*LTP3!$D$4/k_n</f>
        <v/>
      </c>
      <c r="W193">
        <f>((LTP3!$D$5)*((P193)*(Q193)-(R193)*(R193))-(S193)*((S193)*(Q193)-(R193)*(T193))+(T193)*((S193)*(R193)-(P193)*(T193)))</f>
        <v/>
      </c>
      <c r="X193">
        <f>IF(ABS(W193)&gt;1E-12,((LTP3!$D$6)*((P193)*(Q193)-(R193)*(R193))-(S193)*((U193)*(Q193)-(R193)*(V193))+(T193)*((U193)*(R193)-(P193)*(V193)))/W193,0)</f>
        <v/>
      </c>
      <c r="Y193">
        <f>IF(ABS(W193)&gt;1E-12,((LTP3!$D$5)*((U193)*(Q193)-(R193)*(V193))-(LTP3!$D$6)*((S193)*(Q193)-(R193)*(T193))+(T193)*((S193)*(V193)-(U193)*(T193)))/W193,0)</f>
        <v/>
      </c>
      <c r="Z193">
        <f>IF(ABS(W193)&gt;1E-12,((LTP3!$D$5)*((P193)*(V193)-(U193)*(R193))-(S193)*((S193)*(V193)-(U193)*(T193))+(LTP3!$D$6)*((S193)*(R193)-(P193)*(T193)))/W193,0)</f>
        <v/>
      </c>
      <c r="AA193">
        <f>LTP3!$D$7-X193*LTP3!$D$6-Y193*U193-Z193*V193</f>
        <v/>
      </c>
      <c r="AB193">
        <f>IF(AND(F193,ABS(W193)&gt;1E-12,Y193&gt;0,Z193&gt;0),AA193,1E+300)</f>
        <v/>
      </c>
    </row>
    <row r="194">
      <c r="A194">
        <f>$B$3+$B$5*2</f>
        <v/>
      </c>
      <c r="B194">
        <f>$B$3+$B$5*60</f>
        <v/>
      </c>
      <c r="C194">
        <f>SUMPRODUCT(Calc!$K$3:$K$22*(Calc!$G$3:$G$22&lt;=A194))</f>
        <v/>
      </c>
      <c r="D194">
        <f>SUMPRODUCT(Calc!$K$3:$K$22*(Calc!$G$3:$G$22&gt;A194)*(Calc!$G$3:$G$22&lt;B194))</f>
        <v/>
      </c>
      <c r="E194">
        <f>SUMPRODUCT(Calc!$K$3:$K$22*(Calc!$G$3:$G$22&gt;=B194))</f>
        <v/>
      </c>
      <c r="F194">
        <f>AND(k_n&gt;=5,B194&gt;A194+1E-9,C194&gt;=2,D194&gt;=1,E194&gt;=2)</f>
        <v/>
      </c>
      <c r="G194">
        <f>SUMPRODUCT(Calc!$K$3:$K$22*(Calc!$G$3:$G$22&gt;A194)*(Calc!$G$3:$G$22-A194))</f>
        <v/>
      </c>
      <c r="H194">
        <f>SUMPRODUCT(Calc!$K$3:$K$22*(Calc!$G$3:$G$22&gt;B194)*(Calc!$G$3:$G$22-B194))</f>
        <v/>
      </c>
      <c r="I194">
        <f>SUMPRODUCT(Calc!$K$3:$K$22*(Calc!$G$3:$G$22&gt;A194)*(Calc!$G$3:$G$22-A194)^2)</f>
        <v/>
      </c>
      <c r="J194">
        <f>SUMPRODUCT(Calc!$K$3:$K$22*(Calc!$G$3:$G$22&gt;B194)*(Calc!$G$3:$G$22-B194)^2)</f>
        <v/>
      </c>
      <c r="K194">
        <f>SUMPRODUCT(Calc!$K$3:$K$22*(Calc!$G$3:$G$22&gt;A194)*(Calc!$G$3:$G$22-A194)*(Calc!$G$3:$G$22&gt;B194)*(Calc!$G$3:$G$22-B194))</f>
        <v/>
      </c>
      <c r="L194">
        <f>SUMPRODUCT(Calc!$K$3:$K$22*(Calc!$G$3:$G$22&gt;A194)*(Calc!$G$3:$G$22-A194)*Calc!$G$3:$G$22)</f>
        <v/>
      </c>
      <c r="M194">
        <f>SUMPRODUCT(Calc!$K$3:$K$22*(Calc!$G$3:$G$22&gt;B194)*(Calc!$G$3:$G$22-B194)*Calc!$G$3:$G$22)</f>
        <v/>
      </c>
      <c r="N194">
        <f>SUMPRODUCT(Calc!$K$3:$K$22*(Calc!$G$3:$G$22&gt;A194)*(Calc!$G$3:$G$22-A194)*Calc!$I$3:$I$22)</f>
        <v/>
      </c>
      <c r="O194">
        <f>SUMPRODUCT(Calc!$K$3:$K$22*(Calc!$G$3:$G$22&gt;B194)*(Calc!$G$3:$G$22-B194)*Calc!$I$3:$I$22)</f>
        <v/>
      </c>
      <c r="P194">
        <f>I194-G194^2/k_n</f>
        <v/>
      </c>
      <c r="Q194">
        <f>J194-H194^2/k_n</f>
        <v/>
      </c>
      <c r="R194">
        <f>K194-G194*H194/k_n</f>
        <v/>
      </c>
      <c r="S194">
        <f>L194-LTP3!$D$3*G194/k_n</f>
        <v/>
      </c>
      <c r="T194">
        <f>M194-LTP3!$D$3*H194/k_n</f>
        <v/>
      </c>
      <c r="U194">
        <f>N194-G194*LTP3!$D$4/k_n</f>
        <v/>
      </c>
      <c r="V194">
        <f>O194-H194*LTP3!$D$4/k_n</f>
        <v/>
      </c>
      <c r="W194">
        <f>((LTP3!$D$5)*((P194)*(Q194)-(R194)*(R194))-(S194)*((S194)*(Q194)-(R194)*(T194))+(T194)*((S194)*(R194)-(P194)*(T194)))</f>
        <v/>
      </c>
      <c r="X194">
        <f>IF(ABS(W194)&gt;1E-12,((LTP3!$D$6)*((P194)*(Q194)-(R194)*(R194))-(S194)*((U194)*(Q194)-(R194)*(V194))+(T194)*((U194)*(R194)-(P194)*(V194)))/W194,0)</f>
        <v/>
      </c>
      <c r="Y194">
        <f>IF(ABS(W194)&gt;1E-12,((LTP3!$D$5)*((U194)*(Q194)-(R194)*(V194))-(LTP3!$D$6)*((S194)*(Q194)-(R194)*(T194))+(T194)*((S194)*(V194)-(U194)*(T194)))/W194,0)</f>
        <v/>
      </c>
      <c r="Z194">
        <f>IF(ABS(W194)&gt;1E-12,((LTP3!$D$5)*((P194)*(V194)-(U194)*(R194))-(S194)*((S194)*(V194)-(U194)*(T194))+(LTP3!$D$6)*((S194)*(R194)-(P194)*(T194)))/W194,0)</f>
        <v/>
      </c>
      <c r="AA194">
        <f>LTP3!$D$7-X194*LTP3!$D$6-Y194*U194-Z194*V194</f>
        <v/>
      </c>
      <c r="AB194">
        <f>IF(AND(F194,ABS(W194)&gt;1E-12,Y194&gt;0,Z194&gt;0),AA194,1E+300)</f>
        <v/>
      </c>
    </row>
    <row r="195">
      <c r="A195">
        <f>$B$3+$B$5*3</f>
        <v/>
      </c>
      <c r="B195">
        <f>$B$3+$B$5*0</f>
        <v/>
      </c>
      <c r="C195">
        <f>SUMPRODUCT(Calc!$K$3:$K$22*(Calc!$G$3:$G$22&lt;=A195))</f>
        <v/>
      </c>
      <c r="D195">
        <f>SUMPRODUCT(Calc!$K$3:$K$22*(Calc!$G$3:$G$22&gt;A195)*(Calc!$G$3:$G$22&lt;B195))</f>
        <v/>
      </c>
      <c r="E195">
        <f>SUMPRODUCT(Calc!$K$3:$K$22*(Calc!$G$3:$G$22&gt;=B195))</f>
        <v/>
      </c>
      <c r="F195">
        <f>AND(k_n&gt;=5,B195&gt;A195+1E-9,C195&gt;=2,D195&gt;=1,E195&gt;=2)</f>
        <v/>
      </c>
      <c r="G195">
        <f>SUMPRODUCT(Calc!$K$3:$K$22*(Calc!$G$3:$G$22&gt;A195)*(Calc!$G$3:$G$22-A195))</f>
        <v/>
      </c>
      <c r="H195">
        <f>SUMPRODUCT(Calc!$K$3:$K$22*(Calc!$G$3:$G$22&gt;B195)*(Calc!$G$3:$G$22-B195))</f>
        <v/>
      </c>
      <c r="I195">
        <f>SUMPRODUCT(Calc!$K$3:$K$22*(Calc!$G$3:$G$22&gt;A195)*(Calc!$G$3:$G$22-A195)^2)</f>
        <v/>
      </c>
      <c r="J195">
        <f>SUMPRODUCT(Calc!$K$3:$K$22*(Calc!$G$3:$G$22&gt;B195)*(Calc!$G$3:$G$22-B195)^2)</f>
        <v/>
      </c>
      <c r="K195">
        <f>SUMPRODUCT(Calc!$K$3:$K$22*(Calc!$G$3:$G$22&gt;A195)*(Calc!$G$3:$G$22-A195)*(Calc!$G$3:$G$22&gt;B195)*(Calc!$G$3:$G$22-B195))</f>
        <v/>
      </c>
      <c r="L195">
        <f>SUMPRODUCT(Calc!$K$3:$K$22*(Calc!$G$3:$G$22&gt;A195)*(Calc!$G$3:$G$22-A195)*Calc!$G$3:$G$22)</f>
        <v/>
      </c>
      <c r="M195">
        <f>SUMPRODUCT(Calc!$K$3:$K$22*(Calc!$G$3:$G$22&gt;B195)*(Calc!$G$3:$G$22-B195)*Calc!$G$3:$G$22)</f>
        <v/>
      </c>
      <c r="N195">
        <f>SUMPRODUCT(Calc!$K$3:$K$22*(Calc!$G$3:$G$22&gt;A195)*(Calc!$G$3:$G$22-A195)*Calc!$I$3:$I$22)</f>
        <v/>
      </c>
      <c r="O195">
        <f>SUMPRODUCT(Calc!$K$3:$K$22*(Calc!$G$3:$G$22&gt;B195)*(Calc!$G$3:$G$22-B195)*Calc!$I$3:$I$22)</f>
        <v/>
      </c>
      <c r="P195">
        <f>I195-G195^2/k_n</f>
        <v/>
      </c>
      <c r="Q195">
        <f>J195-H195^2/k_n</f>
        <v/>
      </c>
      <c r="R195">
        <f>K195-G195*H195/k_n</f>
        <v/>
      </c>
      <c r="S195">
        <f>L195-LTP3!$D$3*G195/k_n</f>
        <v/>
      </c>
      <c r="T195">
        <f>M195-LTP3!$D$3*H195/k_n</f>
        <v/>
      </c>
      <c r="U195">
        <f>N195-G195*LTP3!$D$4/k_n</f>
        <v/>
      </c>
      <c r="V195">
        <f>O195-H195*LTP3!$D$4/k_n</f>
        <v/>
      </c>
      <c r="W195">
        <f>((LTP3!$D$5)*((P195)*(Q195)-(R195)*(R195))-(S195)*((S195)*(Q195)-(R195)*(T195))+(T195)*((S195)*(R195)-(P195)*(T195)))</f>
        <v/>
      </c>
      <c r="X195">
        <f>IF(ABS(W195)&gt;1E-12,((LTP3!$D$6)*((P195)*(Q195)-(R195)*(R195))-(S195)*((U195)*(Q195)-(R195)*(V195))+(T195)*((U195)*(R195)-(P195)*(V195)))/W195,0)</f>
        <v/>
      </c>
      <c r="Y195">
        <f>IF(ABS(W195)&gt;1E-12,((LTP3!$D$5)*((U195)*(Q195)-(R195)*(V195))-(LTP3!$D$6)*((S195)*(Q195)-(R195)*(T195))+(T195)*((S195)*(V195)-(U195)*(T195)))/W195,0)</f>
        <v/>
      </c>
      <c r="Z195">
        <f>IF(ABS(W195)&gt;1E-12,((LTP3!$D$5)*((P195)*(V195)-(U195)*(R195))-(S195)*((S195)*(V195)-(U195)*(T195))+(LTP3!$D$6)*((S195)*(R195)-(P195)*(T195)))/W195,0)</f>
        <v/>
      </c>
      <c r="AA195">
        <f>LTP3!$D$7-X195*LTP3!$D$6-Y195*U195-Z195*V195</f>
        <v/>
      </c>
      <c r="AB195">
        <f>IF(AND(F195,ABS(W195)&gt;1E-12,Y195&gt;0,Z195&gt;0),AA195,1E+300)</f>
        <v/>
      </c>
    </row>
    <row r="196">
      <c r="A196">
        <f>$B$3+$B$5*3</f>
        <v/>
      </c>
      <c r="B196">
        <f>$B$3+$B$5*1</f>
        <v/>
      </c>
      <c r="C196">
        <f>SUMPRODUCT(Calc!$K$3:$K$22*(Calc!$G$3:$G$22&lt;=A196))</f>
        <v/>
      </c>
      <c r="D196">
        <f>SUMPRODUCT(Calc!$K$3:$K$22*(Calc!$G$3:$G$22&gt;A196)*(Calc!$G$3:$G$22&lt;B196))</f>
        <v/>
      </c>
      <c r="E196">
        <f>SUMPRODUCT(Calc!$K$3:$K$22*(Calc!$G$3:$G$22&gt;=B196))</f>
        <v/>
      </c>
      <c r="F196">
        <f>AND(k_n&gt;=5,B196&gt;A196+1E-9,C196&gt;=2,D196&gt;=1,E196&gt;=2)</f>
        <v/>
      </c>
      <c r="G196">
        <f>SUMPRODUCT(Calc!$K$3:$K$22*(Calc!$G$3:$G$22&gt;A196)*(Calc!$G$3:$G$22-A196))</f>
        <v/>
      </c>
      <c r="H196">
        <f>SUMPRODUCT(Calc!$K$3:$K$22*(Calc!$G$3:$G$22&gt;B196)*(Calc!$G$3:$G$22-B196))</f>
        <v/>
      </c>
      <c r="I196">
        <f>SUMPRODUCT(Calc!$K$3:$K$22*(Calc!$G$3:$G$22&gt;A196)*(Calc!$G$3:$G$22-A196)^2)</f>
        <v/>
      </c>
      <c r="J196">
        <f>SUMPRODUCT(Calc!$K$3:$K$22*(Calc!$G$3:$G$22&gt;B196)*(Calc!$G$3:$G$22-B196)^2)</f>
        <v/>
      </c>
      <c r="K196">
        <f>SUMPRODUCT(Calc!$K$3:$K$22*(Calc!$G$3:$G$22&gt;A196)*(Calc!$G$3:$G$22-A196)*(Calc!$G$3:$G$22&gt;B196)*(Calc!$G$3:$G$22-B196))</f>
        <v/>
      </c>
      <c r="L196">
        <f>SUMPRODUCT(Calc!$K$3:$K$22*(Calc!$G$3:$G$22&gt;A196)*(Calc!$G$3:$G$22-A196)*Calc!$G$3:$G$22)</f>
        <v/>
      </c>
      <c r="M196">
        <f>SUMPRODUCT(Calc!$K$3:$K$22*(Calc!$G$3:$G$22&gt;B196)*(Calc!$G$3:$G$22-B196)*Calc!$G$3:$G$22)</f>
        <v/>
      </c>
      <c r="N196">
        <f>SUMPRODUCT(Calc!$K$3:$K$22*(Calc!$G$3:$G$22&gt;A196)*(Calc!$G$3:$G$22-A196)*Calc!$I$3:$I$22)</f>
        <v/>
      </c>
      <c r="O196">
        <f>SUMPRODUCT(Calc!$K$3:$K$22*(Calc!$G$3:$G$22&gt;B196)*(Calc!$G$3:$G$22-B196)*Calc!$I$3:$I$22)</f>
        <v/>
      </c>
      <c r="P196">
        <f>I196-G196^2/k_n</f>
        <v/>
      </c>
      <c r="Q196">
        <f>J196-H196^2/k_n</f>
        <v/>
      </c>
      <c r="R196">
        <f>K196-G196*H196/k_n</f>
        <v/>
      </c>
      <c r="S196">
        <f>L196-LTP3!$D$3*G196/k_n</f>
        <v/>
      </c>
      <c r="T196">
        <f>M196-LTP3!$D$3*H196/k_n</f>
        <v/>
      </c>
      <c r="U196">
        <f>N196-G196*LTP3!$D$4/k_n</f>
        <v/>
      </c>
      <c r="V196">
        <f>O196-H196*LTP3!$D$4/k_n</f>
        <v/>
      </c>
      <c r="W196">
        <f>((LTP3!$D$5)*((P196)*(Q196)-(R196)*(R196))-(S196)*((S196)*(Q196)-(R196)*(T196))+(T196)*((S196)*(R196)-(P196)*(T196)))</f>
        <v/>
      </c>
      <c r="X196">
        <f>IF(ABS(W196)&gt;1E-12,((LTP3!$D$6)*((P196)*(Q196)-(R196)*(R196))-(S196)*((U196)*(Q196)-(R196)*(V196))+(T196)*((U196)*(R196)-(P196)*(V196)))/W196,0)</f>
        <v/>
      </c>
      <c r="Y196">
        <f>IF(ABS(W196)&gt;1E-12,((LTP3!$D$5)*((U196)*(Q196)-(R196)*(V196))-(LTP3!$D$6)*((S196)*(Q196)-(R196)*(T196))+(T196)*((S196)*(V196)-(U196)*(T196)))/W196,0)</f>
        <v/>
      </c>
      <c r="Z196">
        <f>IF(ABS(W196)&gt;1E-12,((LTP3!$D$5)*((P196)*(V196)-(U196)*(R196))-(S196)*((S196)*(V196)-(U196)*(T196))+(LTP3!$D$6)*((S196)*(R196)-(P196)*(T196)))/W196,0)</f>
        <v/>
      </c>
      <c r="AA196">
        <f>LTP3!$D$7-X196*LTP3!$D$6-Y196*U196-Z196*V196</f>
        <v/>
      </c>
      <c r="AB196">
        <f>IF(AND(F196,ABS(W196)&gt;1E-12,Y196&gt;0,Z196&gt;0),AA196,1E+300)</f>
        <v/>
      </c>
    </row>
    <row r="197">
      <c r="A197">
        <f>$B$3+$B$5*3</f>
        <v/>
      </c>
      <c r="B197">
        <f>$B$3+$B$5*2</f>
        <v/>
      </c>
      <c r="C197">
        <f>SUMPRODUCT(Calc!$K$3:$K$22*(Calc!$G$3:$G$22&lt;=A197))</f>
        <v/>
      </c>
      <c r="D197">
        <f>SUMPRODUCT(Calc!$K$3:$K$22*(Calc!$G$3:$G$22&gt;A197)*(Calc!$G$3:$G$22&lt;B197))</f>
        <v/>
      </c>
      <c r="E197">
        <f>SUMPRODUCT(Calc!$K$3:$K$22*(Calc!$G$3:$G$22&gt;=B197))</f>
        <v/>
      </c>
      <c r="F197">
        <f>AND(k_n&gt;=5,B197&gt;A197+1E-9,C197&gt;=2,D197&gt;=1,E197&gt;=2)</f>
        <v/>
      </c>
      <c r="G197">
        <f>SUMPRODUCT(Calc!$K$3:$K$22*(Calc!$G$3:$G$22&gt;A197)*(Calc!$G$3:$G$22-A197))</f>
        <v/>
      </c>
      <c r="H197">
        <f>SUMPRODUCT(Calc!$K$3:$K$22*(Calc!$G$3:$G$22&gt;B197)*(Calc!$G$3:$G$22-B197))</f>
        <v/>
      </c>
      <c r="I197">
        <f>SUMPRODUCT(Calc!$K$3:$K$22*(Calc!$G$3:$G$22&gt;A197)*(Calc!$G$3:$G$22-A197)^2)</f>
        <v/>
      </c>
      <c r="J197">
        <f>SUMPRODUCT(Calc!$K$3:$K$22*(Calc!$G$3:$G$22&gt;B197)*(Calc!$G$3:$G$22-B197)^2)</f>
        <v/>
      </c>
      <c r="K197">
        <f>SUMPRODUCT(Calc!$K$3:$K$22*(Calc!$G$3:$G$22&gt;A197)*(Calc!$G$3:$G$22-A197)*(Calc!$G$3:$G$22&gt;B197)*(Calc!$G$3:$G$22-B197))</f>
        <v/>
      </c>
      <c r="L197">
        <f>SUMPRODUCT(Calc!$K$3:$K$22*(Calc!$G$3:$G$22&gt;A197)*(Calc!$G$3:$G$22-A197)*Calc!$G$3:$G$22)</f>
        <v/>
      </c>
      <c r="M197">
        <f>SUMPRODUCT(Calc!$K$3:$K$22*(Calc!$G$3:$G$22&gt;B197)*(Calc!$G$3:$G$22-B197)*Calc!$G$3:$G$22)</f>
        <v/>
      </c>
      <c r="N197">
        <f>SUMPRODUCT(Calc!$K$3:$K$22*(Calc!$G$3:$G$22&gt;A197)*(Calc!$G$3:$G$22-A197)*Calc!$I$3:$I$22)</f>
        <v/>
      </c>
      <c r="O197">
        <f>SUMPRODUCT(Calc!$K$3:$K$22*(Calc!$G$3:$G$22&gt;B197)*(Calc!$G$3:$G$22-B197)*Calc!$I$3:$I$22)</f>
        <v/>
      </c>
      <c r="P197">
        <f>I197-G197^2/k_n</f>
        <v/>
      </c>
      <c r="Q197">
        <f>J197-H197^2/k_n</f>
        <v/>
      </c>
      <c r="R197">
        <f>K197-G197*H197/k_n</f>
        <v/>
      </c>
      <c r="S197">
        <f>L197-LTP3!$D$3*G197/k_n</f>
        <v/>
      </c>
      <c r="T197">
        <f>M197-LTP3!$D$3*H197/k_n</f>
        <v/>
      </c>
      <c r="U197">
        <f>N197-G197*LTP3!$D$4/k_n</f>
        <v/>
      </c>
      <c r="V197">
        <f>O197-H197*LTP3!$D$4/k_n</f>
        <v/>
      </c>
      <c r="W197">
        <f>((LTP3!$D$5)*((P197)*(Q197)-(R197)*(R197))-(S197)*((S197)*(Q197)-(R197)*(T197))+(T197)*((S197)*(R197)-(P197)*(T197)))</f>
        <v/>
      </c>
      <c r="X197">
        <f>IF(ABS(W197)&gt;1E-12,((LTP3!$D$6)*((P197)*(Q197)-(R197)*(R197))-(S197)*((U197)*(Q197)-(R197)*(V197))+(T197)*((U197)*(R197)-(P197)*(V197)))/W197,0)</f>
        <v/>
      </c>
      <c r="Y197">
        <f>IF(ABS(W197)&gt;1E-12,((LTP3!$D$5)*((U197)*(Q197)-(R197)*(V197))-(LTP3!$D$6)*((S197)*(Q197)-(R197)*(T197))+(T197)*((S197)*(V197)-(U197)*(T197)))/W197,0)</f>
        <v/>
      </c>
      <c r="Z197">
        <f>IF(ABS(W197)&gt;1E-12,((LTP3!$D$5)*((P197)*(V197)-(U197)*(R197))-(S197)*((S197)*(V197)-(U197)*(T197))+(LTP3!$D$6)*((S197)*(R197)-(P197)*(T197)))/W197,0)</f>
        <v/>
      </c>
      <c r="AA197">
        <f>LTP3!$D$7-X197*LTP3!$D$6-Y197*U197-Z197*V197</f>
        <v/>
      </c>
      <c r="AB197">
        <f>IF(AND(F197,ABS(W197)&gt;1E-12,Y197&gt;0,Z197&gt;0),AA197,1E+300)</f>
        <v/>
      </c>
    </row>
    <row r="198">
      <c r="A198">
        <f>$B$3+$B$5*3</f>
        <v/>
      </c>
      <c r="B198">
        <f>$B$3+$B$5*3</f>
        <v/>
      </c>
      <c r="C198">
        <f>SUMPRODUCT(Calc!$K$3:$K$22*(Calc!$G$3:$G$22&lt;=A198))</f>
        <v/>
      </c>
      <c r="D198">
        <f>SUMPRODUCT(Calc!$K$3:$K$22*(Calc!$G$3:$G$22&gt;A198)*(Calc!$G$3:$G$22&lt;B198))</f>
        <v/>
      </c>
      <c r="E198">
        <f>SUMPRODUCT(Calc!$K$3:$K$22*(Calc!$G$3:$G$22&gt;=B198))</f>
        <v/>
      </c>
      <c r="F198">
        <f>AND(k_n&gt;=5,B198&gt;A198+1E-9,C198&gt;=2,D198&gt;=1,E198&gt;=2)</f>
        <v/>
      </c>
      <c r="G198">
        <f>SUMPRODUCT(Calc!$K$3:$K$22*(Calc!$G$3:$G$22&gt;A198)*(Calc!$G$3:$G$22-A198))</f>
        <v/>
      </c>
      <c r="H198">
        <f>SUMPRODUCT(Calc!$K$3:$K$22*(Calc!$G$3:$G$22&gt;B198)*(Calc!$G$3:$G$22-B198))</f>
        <v/>
      </c>
      <c r="I198">
        <f>SUMPRODUCT(Calc!$K$3:$K$22*(Calc!$G$3:$G$22&gt;A198)*(Calc!$G$3:$G$22-A198)^2)</f>
        <v/>
      </c>
      <c r="J198">
        <f>SUMPRODUCT(Calc!$K$3:$K$22*(Calc!$G$3:$G$22&gt;B198)*(Calc!$G$3:$G$22-B198)^2)</f>
        <v/>
      </c>
      <c r="K198">
        <f>SUMPRODUCT(Calc!$K$3:$K$22*(Calc!$G$3:$G$22&gt;A198)*(Calc!$G$3:$G$22-A198)*(Calc!$G$3:$G$22&gt;B198)*(Calc!$G$3:$G$22-B198))</f>
        <v/>
      </c>
      <c r="L198">
        <f>SUMPRODUCT(Calc!$K$3:$K$22*(Calc!$G$3:$G$22&gt;A198)*(Calc!$G$3:$G$22-A198)*Calc!$G$3:$G$22)</f>
        <v/>
      </c>
      <c r="M198">
        <f>SUMPRODUCT(Calc!$K$3:$K$22*(Calc!$G$3:$G$22&gt;B198)*(Calc!$G$3:$G$22-B198)*Calc!$G$3:$G$22)</f>
        <v/>
      </c>
      <c r="N198">
        <f>SUMPRODUCT(Calc!$K$3:$K$22*(Calc!$G$3:$G$22&gt;A198)*(Calc!$G$3:$G$22-A198)*Calc!$I$3:$I$22)</f>
        <v/>
      </c>
      <c r="O198">
        <f>SUMPRODUCT(Calc!$K$3:$K$22*(Calc!$G$3:$G$22&gt;B198)*(Calc!$G$3:$G$22-B198)*Calc!$I$3:$I$22)</f>
        <v/>
      </c>
      <c r="P198">
        <f>I198-G198^2/k_n</f>
        <v/>
      </c>
      <c r="Q198">
        <f>J198-H198^2/k_n</f>
        <v/>
      </c>
      <c r="R198">
        <f>K198-G198*H198/k_n</f>
        <v/>
      </c>
      <c r="S198">
        <f>L198-LTP3!$D$3*G198/k_n</f>
        <v/>
      </c>
      <c r="T198">
        <f>M198-LTP3!$D$3*H198/k_n</f>
        <v/>
      </c>
      <c r="U198">
        <f>N198-G198*LTP3!$D$4/k_n</f>
        <v/>
      </c>
      <c r="V198">
        <f>O198-H198*LTP3!$D$4/k_n</f>
        <v/>
      </c>
      <c r="W198">
        <f>((LTP3!$D$5)*((P198)*(Q198)-(R198)*(R198))-(S198)*((S198)*(Q198)-(R198)*(T198))+(T198)*((S198)*(R198)-(P198)*(T198)))</f>
        <v/>
      </c>
      <c r="X198">
        <f>IF(ABS(W198)&gt;1E-12,((LTP3!$D$6)*((P198)*(Q198)-(R198)*(R198))-(S198)*((U198)*(Q198)-(R198)*(V198))+(T198)*((U198)*(R198)-(P198)*(V198)))/W198,0)</f>
        <v/>
      </c>
      <c r="Y198">
        <f>IF(ABS(W198)&gt;1E-12,((LTP3!$D$5)*((U198)*(Q198)-(R198)*(V198))-(LTP3!$D$6)*((S198)*(Q198)-(R198)*(T198))+(T198)*((S198)*(V198)-(U198)*(T198)))/W198,0)</f>
        <v/>
      </c>
      <c r="Z198">
        <f>IF(ABS(W198)&gt;1E-12,((LTP3!$D$5)*((P198)*(V198)-(U198)*(R198))-(S198)*((S198)*(V198)-(U198)*(T198))+(LTP3!$D$6)*((S198)*(R198)-(P198)*(T198)))/W198,0)</f>
        <v/>
      </c>
      <c r="AA198">
        <f>LTP3!$D$7-X198*LTP3!$D$6-Y198*U198-Z198*V198</f>
        <v/>
      </c>
      <c r="AB198">
        <f>IF(AND(F198,ABS(W198)&gt;1E-12,Y198&gt;0,Z198&gt;0),AA198,1E+300)</f>
        <v/>
      </c>
    </row>
    <row r="199">
      <c r="A199">
        <f>$B$3+$B$5*3</f>
        <v/>
      </c>
      <c r="B199">
        <f>$B$3+$B$5*4</f>
        <v/>
      </c>
      <c r="C199">
        <f>SUMPRODUCT(Calc!$K$3:$K$22*(Calc!$G$3:$G$22&lt;=A199))</f>
        <v/>
      </c>
      <c r="D199">
        <f>SUMPRODUCT(Calc!$K$3:$K$22*(Calc!$G$3:$G$22&gt;A199)*(Calc!$G$3:$G$22&lt;B199))</f>
        <v/>
      </c>
      <c r="E199">
        <f>SUMPRODUCT(Calc!$K$3:$K$22*(Calc!$G$3:$G$22&gt;=B199))</f>
        <v/>
      </c>
      <c r="F199">
        <f>AND(k_n&gt;=5,B199&gt;A199+1E-9,C199&gt;=2,D199&gt;=1,E199&gt;=2)</f>
        <v/>
      </c>
      <c r="G199">
        <f>SUMPRODUCT(Calc!$K$3:$K$22*(Calc!$G$3:$G$22&gt;A199)*(Calc!$G$3:$G$22-A199))</f>
        <v/>
      </c>
      <c r="H199">
        <f>SUMPRODUCT(Calc!$K$3:$K$22*(Calc!$G$3:$G$22&gt;B199)*(Calc!$G$3:$G$22-B199))</f>
        <v/>
      </c>
      <c r="I199">
        <f>SUMPRODUCT(Calc!$K$3:$K$22*(Calc!$G$3:$G$22&gt;A199)*(Calc!$G$3:$G$22-A199)^2)</f>
        <v/>
      </c>
      <c r="J199">
        <f>SUMPRODUCT(Calc!$K$3:$K$22*(Calc!$G$3:$G$22&gt;B199)*(Calc!$G$3:$G$22-B199)^2)</f>
        <v/>
      </c>
      <c r="K199">
        <f>SUMPRODUCT(Calc!$K$3:$K$22*(Calc!$G$3:$G$22&gt;A199)*(Calc!$G$3:$G$22-A199)*(Calc!$G$3:$G$22&gt;B199)*(Calc!$G$3:$G$22-B199))</f>
        <v/>
      </c>
      <c r="L199">
        <f>SUMPRODUCT(Calc!$K$3:$K$22*(Calc!$G$3:$G$22&gt;A199)*(Calc!$G$3:$G$22-A199)*Calc!$G$3:$G$22)</f>
        <v/>
      </c>
      <c r="M199">
        <f>SUMPRODUCT(Calc!$K$3:$K$22*(Calc!$G$3:$G$22&gt;B199)*(Calc!$G$3:$G$22-B199)*Calc!$G$3:$G$22)</f>
        <v/>
      </c>
      <c r="N199">
        <f>SUMPRODUCT(Calc!$K$3:$K$22*(Calc!$G$3:$G$22&gt;A199)*(Calc!$G$3:$G$22-A199)*Calc!$I$3:$I$22)</f>
        <v/>
      </c>
      <c r="O199">
        <f>SUMPRODUCT(Calc!$K$3:$K$22*(Calc!$G$3:$G$22&gt;B199)*(Calc!$G$3:$G$22-B199)*Calc!$I$3:$I$22)</f>
        <v/>
      </c>
      <c r="P199">
        <f>I199-G199^2/k_n</f>
        <v/>
      </c>
      <c r="Q199">
        <f>J199-H199^2/k_n</f>
        <v/>
      </c>
      <c r="R199">
        <f>K199-G199*H199/k_n</f>
        <v/>
      </c>
      <c r="S199">
        <f>L199-LTP3!$D$3*G199/k_n</f>
        <v/>
      </c>
      <c r="T199">
        <f>M199-LTP3!$D$3*H199/k_n</f>
        <v/>
      </c>
      <c r="U199">
        <f>N199-G199*LTP3!$D$4/k_n</f>
        <v/>
      </c>
      <c r="V199">
        <f>O199-H199*LTP3!$D$4/k_n</f>
        <v/>
      </c>
      <c r="W199">
        <f>((LTP3!$D$5)*((P199)*(Q199)-(R199)*(R199))-(S199)*((S199)*(Q199)-(R199)*(T199))+(T199)*((S199)*(R199)-(P199)*(T199)))</f>
        <v/>
      </c>
      <c r="X199">
        <f>IF(ABS(W199)&gt;1E-12,((LTP3!$D$6)*((P199)*(Q199)-(R199)*(R199))-(S199)*((U199)*(Q199)-(R199)*(V199))+(T199)*((U199)*(R199)-(P199)*(V199)))/W199,0)</f>
        <v/>
      </c>
      <c r="Y199">
        <f>IF(ABS(W199)&gt;1E-12,((LTP3!$D$5)*((U199)*(Q199)-(R199)*(V199))-(LTP3!$D$6)*((S199)*(Q199)-(R199)*(T199))+(T199)*((S199)*(V199)-(U199)*(T199)))/W199,0)</f>
        <v/>
      </c>
      <c r="Z199">
        <f>IF(ABS(W199)&gt;1E-12,((LTP3!$D$5)*((P199)*(V199)-(U199)*(R199))-(S199)*((S199)*(V199)-(U199)*(T199))+(LTP3!$D$6)*((S199)*(R199)-(P199)*(T199)))/W199,0)</f>
        <v/>
      </c>
      <c r="AA199">
        <f>LTP3!$D$7-X199*LTP3!$D$6-Y199*U199-Z199*V199</f>
        <v/>
      </c>
      <c r="AB199">
        <f>IF(AND(F199,ABS(W199)&gt;1E-12,Y199&gt;0,Z199&gt;0),AA199,1E+300)</f>
        <v/>
      </c>
    </row>
    <row r="200">
      <c r="A200">
        <f>$B$3+$B$5*3</f>
        <v/>
      </c>
      <c r="B200">
        <f>$B$3+$B$5*5</f>
        <v/>
      </c>
      <c r="C200">
        <f>SUMPRODUCT(Calc!$K$3:$K$22*(Calc!$G$3:$G$22&lt;=A200))</f>
        <v/>
      </c>
      <c r="D200">
        <f>SUMPRODUCT(Calc!$K$3:$K$22*(Calc!$G$3:$G$22&gt;A200)*(Calc!$G$3:$G$22&lt;B200))</f>
        <v/>
      </c>
      <c r="E200">
        <f>SUMPRODUCT(Calc!$K$3:$K$22*(Calc!$G$3:$G$22&gt;=B200))</f>
        <v/>
      </c>
      <c r="F200">
        <f>AND(k_n&gt;=5,B200&gt;A200+1E-9,C200&gt;=2,D200&gt;=1,E200&gt;=2)</f>
        <v/>
      </c>
      <c r="G200">
        <f>SUMPRODUCT(Calc!$K$3:$K$22*(Calc!$G$3:$G$22&gt;A200)*(Calc!$G$3:$G$22-A200))</f>
        <v/>
      </c>
      <c r="H200">
        <f>SUMPRODUCT(Calc!$K$3:$K$22*(Calc!$G$3:$G$22&gt;B200)*(Calc!$G$3:$G$22-B200))</f>
        <v/>
      </c>
      <c r="I200">
        <f>SUMPRODUCT(Calc!$K$3:$K$22*(Calc!$G$3:$G$22&gt;A200)*(Calc!$G$3:$G$22-A200)^2)</f>
        <v/>
      </c>
      <c r="J200">
        <f>SUMPRODUCT(Calc!$K$3:$K$22*(Calc!$G$3:$G$22&gt;B200)*(Calc!$G$3:$G$22-B200)^2)</f>
        <v/>
      </c>
      <c r="K200">
        <f>SUMPRODUCT(Calc!$K$3:$K$22*(Calc!$G$3:$G$22&gt;A200)*(Calc!$G$3:$G$22-A200)*(Calc!$G$3:$G$22&gt;B200)*(Calc!$G$3:$G$22-B200))</f>
        <v/>
      </c>
      <c r="L200">
        <f>SUMPRODUCT(Calc!$K$3:$K$22*(Calc!$G$3:$G$22&gt;A200)*(Calc!$G$3:$G$22-A200)*Calc!$G$3:$G$22)</f>
        <v/>
      </c>
      <c r="M200">
        <f>SUMPRODUCT(Calc!$K$3:$K$22*(Calc!$G$3:$G$22&gt;B200)*(Calc!$G$3:$G$22-B200)*Calc!$G$3:$G$22)</f>
        <v/>
      </c>
      <c r="N200">
        <f>SUMPRODUCT(Calc!$K$3:$K$22*(Calc!$G$3:$G$22&gt;A200)*(Calc!$G$3:$G$22-A200)*Calc!$I$3:$I$22)</f>
        <v/>
      </c>
      <c r="O200">
        <f>SUMPRODUCT(Calc!$K$3:$K$22*(Calc!$G$3:$G$22&gt;B200)*(Calc!$G$3:$G$22-B200)*Calc!$I$3:$I$22)</f>
        <v/>
      </c>
      <c r="P200">
        <f>I200-G200^2/k_n</f>
        <v/>
      </c>
      <c r="Q200">
        <f>J200-H200^2/k_n</f>
        <v/>
      </c>
      <c r="R200">
        <f>K200-G200*H200/k_n</f>
        <v/>
      </c>
      <c r="S200">
        <f>L200-LTP3!$D$3*G200/k_n</f>
        <v/>
      </c>
      <c r="T200">
        <f>M200-LTP3!$D$3*H200/k_n</f>
        <v/>
      </c>
      <c r="U200">
        <f>N200-G200*LTP3!$D$4/k_n</f>
        <v/>
      </c>
      <c r="V200">
        <f>O200-H200*LTP3!$D$4/k_n</f>
        <v/>
      </c>
      <c r="W200">
        <f>((LTP3!$D$5)*((P200)*(Q200)-(R200)*(R200))-(S200)*((S200)*(Q200)-(R200)*(T200))+(T200)*((S200)*(R200)-(P200)*(T200)))</f>
        <v/>
      </c>
      <c r="X200">
        <f>IF(ABS(W200)&gt;1E-12,((LTP3!$D$6)*((P200)*(Q200)-(R200)*(R200))-(S200)*((U200)*(Q200)-(R200)*(V200))+(T200)*((U200)*(R200)-(P200)*(V200)))/W200,0)</f>
        <v/>
      </c>
      <c r="Y200">
        <f>IF(ABS(W200)&gt;1E-12,((LTP3!$D$5)*((U200)*(Q200)-(R200)*(V200))-(LTP3!$D$6)*((S200)*(Q200)-(R200)*(T200))+(T200)*((S200)*(V200)-(U200)*(T200)))/W200,0)</f>
        <v/>
      </c>
      <c r="Z200">
        <f>IF(ABS(W200)&gt;1E-12,((LTP3!$D$5)*((P200)*(V200)-(U200)*(R200))-(S200)*((S200)*(V200)-(U200)*(T200))+(LTP3!$D$6)*((S200)*(R200)-(P200)*(T200)))/W200,0)</f>
        <v/>
      </c>
      <c r="AA200">
        <f>LTP3!$D$7-X200*LTP3!$D$6-Y200*U200-Z200*V200</f>
        <v/>
      </c>
      <c r="AB200">
        <f>IF(AND(F200,ABS(W200)&gt;1E-12,Y200&gt;0,Z200&gt;0),AA200,1E+300)</f>
        <v/>
      </c>
    </row>
    <row r="201">
      <c r="A201">
        <f>$B$3+$B$5*3</f>
        <v/>
      </c>
      <c r="B201">
        <f>$B$3+$B$5*6</f>
        <v/>
      </c>
      <c r="C201">
        <f>SUMPRODUCT(Calc!$K$3:$K$22*(Calc!$G$3:$G$22&lt;=A201))</f>
        <v/>
      </c>
      <c r="D201">
        <f>SUMPRODUCT(Calc!$K$3:$K$22*(Calc!$G$3:$G$22&gt;A201)*(Calc!$G$3:$G$22&lt;B201))</f>
        <v/>
      </c>
      <c r="E201">
        <f>SUMPRODUCT(Calc!$K$3:$K$22*(Calc!$G$3:$G$22&gt;=B201))</f>
        <v/>
      </c>
      <c r="F201">
        <f>AND(k_n&gt;=5,B201&gt;A201+1E-9,C201&gt;=2,D201&gt;=1,E201&gt;=2)</f>
        <v/>
      </c>
      <c r="G201">
        <f>SUMPRODUCT(Calc!$K$3:$K$22*(Calc!$G$3:$G$22&gt;A201)*(Calc!$G$3:$G$22-A201))</f>
        <v/>
      </c>
      <c r="H201">
        <f>SUMPRODUCT(Calc!$K$3:$K$22*(Calc!$G$3:$G$22&gt;B201)*(Calc!$G$3:$G$22-B201))</f>
        <v/>
      </c>
      <c r="I201">
        <f>SUMPRODUCT(Calc!$K$3:$K$22*(Calc!$G$3:$G$22&gt;A201)*(Calc!$G$3:$G$22-A201)^2)</f>
        <v/>
      </c>
      <c r="J201">
        <f>SUMPRODUCT(Calc!$K$3:$K$22*(Calc!$G$3:$G$22&gt;B201)*(Calc!$G$3:$G$22-B201)^2)</f>
        <v/>
      </c>
      <c r="K201">
        <f>SUMPRODUCT(Calc!$K$3:$K$22*(Calc!$G$3:$G$22&gt;A201)*(Calc!$G$3:$G$22-A201)*(Calc!$G$3:$G$22&gt;B201)*(Calc!$G$3:$G$22-B201))</f>
        <v/>
      </c>
      <c r="L201">
        <f>SUMPRODUCT(Calc!$K$3:$K$22*(Calc!$G$3:$G$22&gt;A201)*(Calc!$G$3:$G$22-A201)*Calc!$G$3:$G$22)</f>
        <v/>
      </c>
      <c r="M201">
        <f>SUMPRODUCT(Calc!$K$3:$K$22*(Calc!$G$3:$G$22&gt;B201)*(Calc!$G$3:$G$22-B201)*Calc!$G$3:$G$22)</f>
        <v/>
      </c>
      <c r="N201">
        <f>SUMPRODUCT(Calc!$K$3:$K$22*(Calc!$G$3:$G$22&gt;A201)*(Calc!$G$3:$G$22-A201)*Calc!$I$3:$I$22)</f>
        <v/>
      </c>
      <c r="O201">
        <f>SUMPRODUCT(Calc!$K$3:$K$22*(Calc!$G$3:$G$22&gt;B201)*(Calc!$G$3:$G$22-B201)*Calc!$I$3:$I$22)</f>
        <v/>
      </c>
      <c r="P201">
        <f>I201-G201^2/k_n</f>
        <v/>
      </c>
      <c r="Q201">
        <f>J201-H201^2/k_n</f>
        <v/>
      </c>
      <c r="R201">
        <f>K201-G201*H201/k_n</f>
        <v/>
      </c>
      <c r="S201">
        <f>L201-LTP3!$D$3*G201/k_n</f>
        <v/>
      </c>
      <c r="T201">
        <f>M201-LTP3!$D$3*H201/k_n</f>
        <v/>
      </c>
      <c r="U201">
        <f>N201-G201*LTP3!$D$4/k_n</f>
        <v/>
      </c>
      <c r="V201">
        <f>O201-H201*LTP3!$D$4/k_n</f>
        <v/>
      </c>
      <c r="W201">
        <f>((LTP3!$D$5)*((P201)*(Q201)-(R201)*(R201))-(S201)*((S201)*(Q201)-(R201)*(T201))+(T201)*((S201)*(R201)-(P201)*(T201)))</f>
        <v/>
      </c>
      <c r="X201">
        <f>IF(ABS(W201)&gt;1E-12,((LTP3!$D$6)*((P201)*(Q201)-(R201)*(R201))-(S201)*((U201)*(Q201)-(R201)*(V201))+(T201)*((U201)*(R201)-(P201)*(V201)))/W201,0)</f>
        <v/>
      </c>
      <c r="Y201">
        <f>IF(ABS(W201)&gt;1E-12,((LTP3!$D$5)*((U201)*(Q201)-(R201)*(V201))-(LTP3!$D$6)*((S201)*(Q201)-(R201)*(T201))+(T201)*((S201)*(V201)-(U201)*(T201)))/W201,0)</f>
        <v/>
      </c>
      <c r="Z201">
        <f>IF(ABS(W201)&gt;1E-12,((LTP3!$D$5)*((P201)*(V201)-(U201)*(R201))-(S201)*((S201)*(V201)-(U201)*(T201))+(LTP3!$D$6)*((S201)*(R201)-(P201)*(T201)))/W201,0)</f>
        <v/>
      </c>
      <c r="AA201">
        <f>LTP3!$D$7-X201*LTP3!$D$6-Y201*U201-Z201*V201</f>
        <v/>
      </c>
      <c r="AB201">
        <f>IF(AND(F201,ABS(W201)&gt;1E-12,Y201&gt;0,Z201&gt;0),AA201,1E+300)</f>
        <v/>
      </c>
    </row>
    <row r="202">
      <c r="A202">
        <f>$B$3+$B$5*3</f>
        <v/>
      </c>
      <c r="B202">
        <f>$B$3+$B$5*7</f>
        <v/>
      </c>
      <c r="C202">
        <f>SUMPRODUCT(Calc!$K$3:$K$22*(Calc!$G$3:$G$22&lt;=A202))</f>
        <v/>
      </c>
      <c r="D202">
        <f>SUMPRODUCT(Calc!$K$3:$K$22*(Calc!$G$3:$G$22&gt;A202)*(Calc!$G$3:$G$22&lt;B202))</f>
        <v/>
      </c>
      <c r="E202">
        <f>SUMPRODUCT(Calc!$K$3:$K$22*(Calc!$G$3:$G$22&gt;=B202))</f>
        <v/>
      </c>
      <c r="F202">
        <f>AND(k_n&gt;=5,B202&gt;A202+1E-9,C202&gt;=2,D202&gt;=1,E202&gt;=2)</f>
        <v/>
      </c>
      <c r="G202">
        <f>SUMPRODUCT(Calc!$K$3:$K$22*(Calc!$G$3:$G$22&gt;A202)*(Calc!$G$3:$G$22-A202))</f>
        <v/>
      </c>
      <c r="H202">
        <f>SUMPRODUCT(Calc!$K$3:$K$22*(Calc!$G$3:$G$22&gt;B202)*(Calc!$G$3:$G$22-B202))</f>
        <v/>
      </c>
      <c r="I202">
        <f>SUMPRODUCT(Calc!$K$3:$K$22*(Calc!$G$3:$G$22&gt;A202)*(Calc!$G$3:$G$22-A202)^2)</f>
        <v/>
      </c>
      <c r="J202">
        <f>SUMPRODUCT(Calc!$K$3:$K$22*(Calc!$G$3:$G$22&gt;B202)*(Calc!$G$3:$G$22-B202)^2)</f>
        <v/>
      </c>
      <c r="K202">
        <f>SUMPRODUCT(Calc!$K$3:$K$22*(Calc!$G$3:$G$22&gt;A202)*(Calc!$G$3:$G$22-A202)*(Calc!$G$3:$G$22&gt;B202)*(Calc!$G$3:$G$22-B202))</f>
        <v/>
      </c>
      <c r="L202">
        <f>SUMPRODUCT(Calc!$K$3:$K$22*(Calc!$G$3:$G$22&gt;A202)*(Calc!$G$3:$G$22-A202)*Calc!$G$3:$G$22)</f>
        <v/>
      </c>
      <c r="M202">
        <f>SUMPRODUCT(Calc!$K$3:$K$22*(Calc!$G$3:$G$22&gt;B202)*(Calc!$G$3:$G$22-B202)*Calc!$G$3:$G$22)</f>
        <v/>
      </c>
      <c r="N202">
        <f>SUMPRODUCT(Calc!$K$3:$K$22*(Calc!$G$3:$G$22&gt;A202)*(Calc!$G$3:$G$22-A202)*Calc!$I$3:$I$22)</f>
        <v/>
      </c>
      <c r="O202">
        <f>SUMPRODUCT(Calc!$K$3:$K$22*(Calc!$G$3:$G$22&gt;B202)*(Calc!$G$3:$G$22-B202)*Calc!$I$3:$I$22)</f>
        <v/>
      </c>
      <c r="P202">
        <f>I202-G202^2/k_n</f>
        <v/>
      </c>
      <c r="Q202">
        <f>J202-H202^2/k_n</f>
        <v/>
      </c>
      <c r="R202">
        <f>K202-G202*H202/k_n</f>
        <v/>
      </c>
      <c r="S202">
        <f>L202-LTP3!$D$3*G202/k_n</f>
        <v/>
      </c>
      <c r="T202">
        <f>M202-LTP3!$D$3*H202/k_n</f>
        <v/>
      </c>
      <c r="U202">
        <f>N202-G202*LTP3!$D$4/k_n</f>
        <v/>
      </c>
      <c r="V202">
        <f>O202-H202*LTP3!$D$4/k_n</f>
        <v/>
      </c>
      <c r="W202">
        <f>((LTP3!$D$5)*((P202)*(Q202)-(R202)*(R202))-(S202)*((S202)*(Q202)-(R202)*(T202))+(T202)*((S202)*(R202)-(P202)*(T202)))</f>
        <v/>
      </c>
      <c r="X202">
        <f>IF(ABS(W202)&gt;1E-12,((LTP3!$D$6)*((P202)*(Q202)-(R202)*(R202))-(S202)*((U202)*(Q202)-(R202)*(V202))+(T202)*((U202)*(R202)-(P202)*(V202)))/W202,0)</f>
        <v/>
      </c>
      <c r="Y202">
        <f>IF(ABS(W202)&gt;1E-12,((LTP3!$D$5)*((U202)*(Q202)-(R202)*(V202))-(LTP3!$D$6)*((S202)*(Q202)-(R202)*(T202))+(T202)*((S202)*(V202)-(U202)*(T202)))/W202,0)</f>
        <v/>
      </c>
      <c r="Z202">
        <f>IF(ABS(W202)&gt;1E-12,((LTP3!$D$5)*((P202)*(V202)-(U202)*(R202))-(S202)*((S202)*(V202)-(U202)*(T202))+(LTP3!$D$6)*((S202)*(R202)-(P202)*(T202)))/W202,0)</f>
        <v/>
      </c>
      <c r="AA202">
        <f>LTP3!$D$7-X202*LTP3!$D$6-Y202*U202-Z202*V202</f>
        <v/>
      </c>
      <c r="AB202">
        <f>IF(AND(F202,ABS(W202)&gt;1E-12,Y202&gt;0,Z202&gt;0),AA202,1E+300)</f>
        <v/>
      </c>
    </row>
    <row r="203">
      <c r="A203">
        <f>$B$3+$B$5*3</f>
        <v/>
      </c>
      <c r="B203">
        <f>$B$3+$B$5*8</f>
        <v/>
      </c>
      <c r="C203">
        <f>SUMPRODUCT(Calc!$K$3:$K$22*(Calc!$G$3:$G$22&lt;=A203))</f>
        <v/>
      </c>
      <c r="D203">
        <f>SUMPRODUCT(Calc!$K$3:$K$22*(Calc!$G$3:$G$22&gt;A203)*(Calc!$G$3:$G$22&lt;B203))</f>
        <v/>
      </c>
      <c r="E203">
        <f>SUMPRODUCT(Calc!$K$3:$K$22*(Calc!$G$3:$G$22&gt;=B203))</f>
        <v/>
      </c>
      <c r="F203">
        <f>AND(k_n&gt;=5,B203&gt;A203+1E-9,C203&gt;=2,D203&gt;=1,E203&gt;=2)</f>
        <v/>
      </c>
      <c r="G203">
        <f>SUMPRODUCT(Calc!$K$3:$K$22*(Calc!$G$3:$G$22&gt;A203)*(Calc!$G$3:$G$22-A203))</f>
        <v/>
      </c>
      <c r="H203">
        <f>SUMPRODUCT(Calc!$K$3:$K$22*(Calc!$G$3:$G$22&gt;B203)*(Calc!$G$3:$G$22-B203))</f>
        <v/>
      </c>
      <c r="I203">
        <f>SUMPRODUCT(Calc!$K$3:$K$22*(Calc!$G$3:$G$22&gt;A203)*(Calc!$G$3:$G$22-A203)^2)</f>
        <v/>
      </c>
      <c r="J203">
        <f>SUMPRODUCT(Calc!$K$3:$K$22*(Calc!$G$3:$G$22&gt;B203)*(Calc!$G$3:$G$22-B203)^2)</f>
        <v/>
      </c>
      <c r="K203">
        <f>SUMPRODUCT(Calc!$K$3:$K$22*(Calc!$G$3:$G$22&gt;A203)*(Calc!$G$3:$G$22-A203)*(Calc!$G$3:$G$22&gt;B203)*(Calc!$G$3:$G$22-B203))</f>
        <v/>
      </c>
      <c r="L203">
        <f>SUMPRODUCT(Calc!$K$3:$K$22*(Calc!$G$3:$G$22&gt;A203)*(Calc!$G$3:$G$22-A203)*Calc!$G$3:$G$22)</f>
        <v/>
      </c>
      <c r="M203">
        <f>SUMPRODUCT(Calc!$K$3:$K$22*(Calc!$G$3:$G$22&gt;B203)*(Calc!$G$3:$G$22-B203)*Calc!$G$3:$G$22)</f>
        <v/>
      </c>
      <c r="N203">
        <f>SUMPRODUCT(Calc!$K$3:$K$22*(Calc!$G$3:$G$22&gt;A203)*(Calc!$G$3:$G$22-A203)*Calc!$I$3:$I$22)</f>
        <v/>
      </c>
      <c r="O203">
        <f>SUMPRODUCT(Calc!$K$3:$K$22*(Calc!$G$3:$G$22&gt;B203)*(Calc!$G$3:$G$22-B203)*Calc!$I$3:$I$22)</f>
        <v/>
      </c>
      <c r="P203">
        <f>I203-G203^2/k_n</f>
        <v/>
      </c>
      <c r="Q203">
        <f>J203-H203^2/k_n</f>
        <v/>
      </c>
      <c r="R203">
        <f>K203-G203*H203/k_n</f>
        <v/>
      </c>
      <c r="S203">
        <f>L203-LTP3!$D$3*G203/k_n</f>
        <v/>
      </c>
      <c r="T203">
        <f>M203-LTP3!$D$3*H203/k_n</f>
        <v/>
      </c>
      <c r="U203">
        <f>N203-G203*LTP3!$D$4/k_n</f>
        <v/>
      </c>
      <c r="V203">
        <f>O203-H203*LTP3!$D$4/k_n</f>
        <v/>
      </c>
      <c r="W203">
        <f>((LTP3!$D$5)*((P203)*(Q203)-(R203)*(R203))-(S203)*((S203)*(Q203)-(R203)*(T203))+(T203)*((S203)*(R203)-(P203)*(T203)))</f>
        <v/>
      </c>
      <c r="X203">
        <f>IF(ABS(W203)&gt;1E-12,((LTP3!$D$6)*((P203)*(Q203)-(R203)*(R203))-(S203)*((U203)*(Q203)-(R203)*(V203))+(T203)*((U203)*(R203)-(P203)*(V203)))/W203,0)</f>
        <v/>
      </c>
      <c r="Y203">
        <f>IF(ABS(W203)&gt;1E-12,((LTP3!$D$5)*((U203)*(Q203)-(R203)*(V203))-(LTP3!$D$6)*((S203)*(Q203)-(R203)*(T203))+(T203)*((S203)*(V203)-(U203)*(T203)))/W203,0)</f>
        <v/>
      </c>
      <c r="Z203">
        <f>IF(ABS(W203)&gt;1E-12,((LTP3!$D$5)*((P203)*(V203)-(U203)*(R203))-(S203)*((S203)*(V203)-(U203)*(T203))+(LTP3!$D$6)*((S203)*(R203)-(P203)*(T203)))/W203,0)</f>
        <v/>
      </c>
      <c r="AA203">
        <f>LTP3!$D$7-X203*LTP3!$D$6-Y203*U203-Z203*V203</f>
        <v/>
      </c>
      <c r="AB203">
        <f>IF(AND(F203,ABS(W203)&gt;1E-12,Y203&gt;0,Z203&gt;0),AA203,1E+300)</f>
        <v/>
      </c>
    </row>
    <row r="204">
      <c r="A204">
        <f>$B$3+$B$5*3</f>
        <v/>
      </c>
      <c r="B204">
        <f>$B$3+$B$5*9</f>
        <v/>
      </c>
      <c r="C204">
        <f>SUMPRODUCT(Calc!$K$3:$K$22*(Calc!$G$3:$G$22&lt;=A204))</f>
        <v/>
      </c>
      <c r="D204">
        <f>SUMPRODUCT(Calc!$K$3:$K$22*(Calc!$G$3:$G$22&gt;A204)*(Calc!$G$3:$G$22&lt;B204))</f>
        <v/>
      </c>
      <c r="E204">
        <f>SUMPRODUCT(Calc!$K$3:$K$22*(Calc!$G$3:$G$22&gt;=B204))</f>
        <v/>
      </c>
      <c r="F204">
        <f>AND(k_n&gt;=5,B204&gt;A204+1E-9,C204&gt;=2,D204&gt;=1,E204&gt;=2)</f>
        <v/>
      </c>
      <c r="G204">
        <f>SUMPRODUCT(Calc!$K$3:$K$22*(Calc!$G$3:$G$22&gt;A204)*(Calc!$G$3:$G$22-A204))</f>
        <v/>
      </c>
      <c r="H204">
        <f>SUMPRODUCT(Calc!$K$3:$K$22*(Calc!$G$3:$G$22&gt;B204)*(Calc!$G$3:$G$22-B204))</f>
        <v/>
      </c>
      <c r="I204">
        <f>SUMPRODUCT(Calc!$K$3:$K$22*(Calc!$G$3:$G$22&gt;A204)*(Calc!$G$3:$G$22-A204)^2)</f>
        <v/>
      </c>
      <c r="J204">
        <f>SUMPRODUCT(Calc!$K$3:$K$22*(Calc!$G$3:$G$22&gt;B204)*(Calc!$G$3:$G$22-B204)^2)</f>
        <v/>
      </c>
      <c r="K204">
        <f>SUMPRODUCT(Calc!$K$3:$K$22*(Calc!$G$3:$G$22&gt;A204)*(Calc!$G$3:$G$22-A204)*(Calc!$G$3:$G$22&gt;B204)*(Calc!$G$3:$G$22-B204))</f>
        <v/>
      </c>
      <c r="L204">
        <f>SUMPRODUCT(Calc!$K$3:$K$22*(Calc!$G$3:$G$22&gt;A204)*(Calc!$G$3:$G$22-A204)*Calc!$G$3:$G$22)</f>
        <v/>
      </c>
      <c r="M204">
        <f>SUMPRODUCT(Calc!$K$3:$K$22*(Calc!$G$3:$G$22&gt;B204)*(Calc!$G$3:$G$22-B204)*Calc!$G$3:$G$22)</f>
        <v/>
      </c>
      <c r="N204">
        <f>SUMPRODUCT(Calc!$K$3:$K$22*(Calc!$G$3:$G$22&gt;A204)*(Calc!$G$3:$G$22-A204)*Calc!$I$3:$I$22)</f>
        <v/>
      </c>
      <c r="O204">
        <f>SUMPRODUCT(Calc!$K$3:$K$22*(Calc!$G$3:$G$22&gt;B204)*(Calc!$G$3:$G$22-B204)*Calc!$I$3:$I$22)</f>
        <v/>
      </c>
      <c r="P204">
        <f>I204-G204^2/k_n</f>
        <v/>
      </c>
      <c r="Q204">
        <f>J204-H204^2/k_n</f>
        <v/>
      </c>
      <c r="R204">
        <f>K204-G204*H204/k_n</f>
        <v/>
      </c>
      <c r="S204">
        <f>L204-LTP3!$D$3*G204/k_n</f>
        <v/>
      </c>
      <c r="T204">
        <f>M204-LTP3!$D$3*H204/k_n</f>
        <v/>
      </c>
      <c r="U204">
        <f>N204-G204*LTP3!$D$4/k_n</f>
        <v/>
      </c>
      <c r="V204">
        <f>O204-H204*LTP3!$D$4/k_n</f>
        <v/>
      </c>
      <c r="W204">
        <f>((LTP3!$D$5)*((P204)*(Q204)-(R204)*(R204))-(S204)*((S204)*(Q204)-(R204)*(T204))+(T204)*((S204)*(R204)-(P204)*(T204)))</f>
        <v/>
      </c>
      <c r="X204">
        <f>IF(ABS(W204)&gt;1E-12,((LTP3!$D$6)*((P204)*(Q204)-(R204)*(R204))-(S204)*((U204)*(Q204)-(R204)*(V204))+(T204)*((U204)*(R204)-(P204)*(V204)))/W204,0)</f>
        <v/>
      </c>
      <c r="Y204">
        <f>IF(ABS(W204)&gt;1E-12,((LTP3!$D$5)*((U204)*(Q204)-(R204)*(V204))-(LTP3!$D$6)*((S204)*(Q204)-(R204)*(T204))+(T204)*((S204)*(V204)-(U204)*(T204)))/W204,0)</f>
        <v/>
      </c>
      <c r="Z204">
        <f>IF(ABS(W204)&gt;1E-12,((LTP3!$D$5)*((P204)*(V204)-(U204)*(R204))-(S204)*((S204)*(V204)-(U204)*(T204))+(LTP3!$D$6)*((S204)*(R204)-(P204)*(T204)))/W204,0)</f>
        <v/>
      </c>
      <c r="AA204">
        <f>LTP3!$D$7-X204*LTP3!$D$6-Y204*U204-Z204*V204</f>
        <v/>
      </c>
      <c r="AB204">
        <f>IF(AND(F204,ABS(W204)&gt;1E-12,Y204&gt;0,Z204&gt;0),AA204,1E+300)</f>
        <v/>
      </c>
    </row>
    <row r="205">
      <c r="A205">
        <f>$B$3+$B$5*3</f>
        <v/>
      </c>
      <c r="B205">
        <f>$B$3+$B$5*10</f>
        <v/>
      </c>
      <c r="C205">
        <f>SUMPRODUCT(Calc!$K$3:$K$22*(Calc!$G$3:$G$22&lt;=A205))</f>
        <v/>
      </c>
      <c r="D205">
        <f>SUMPRODUCT(Calc!$K$3:$K$22*(Calc!$G$3:$G$22&gt;A205)*(Calc!$G$3:$G$22&lt;B205))</f>
        <v/>
      </c>
      <c r="E205">
        <f>SUMPRODUCT(Calc!$K$3:$K$22*(Calc!$G$3:$G$22&gt;=B205))</f>
        <v/>
      </c>
      <c r="F205">
        <f>AND(k_n&gt;=5,B205&gt;A205+1E-9,C205&gt;=2,D205&gt;=1,E205&gt;=2)</f>
        <v/>
      </c>
      <c r="G205">
        <f>SUMPRODUCT(Calc!$K$3:$K$22*(Calc!$G$3:$G$22&gt;A205)*(Calc!$G$3:$G$22-A205))</f>
        <v/>
      </c>
      <c r="H205">
        <f>SUMPRODUCT(Calc!$K$3:$K$22*(Calc!$G$3:$G$22&gt;B205)*(Calc!$G$3:$G$22-B205))</f>
        <v/>
      </c>
      <c r="I205">
        <f>SUMPRODUCT(Calc!$K$3:$K$22*(Calc!$G$3:$G$22&gt;A205)*(Calc!$G$3:$G$22-A205)^2)</f>
        <v/>
      </c>
      <c r="J205">
        <f>SUMPRODUCT(Calc!$K$3:$K$22*(Calc!$G$3:$G$22&gt;B205)*(Calc!$G$3:$G$22-B205)^2)</f>
        <v/>
      </c>
      <c r="K205">
        <f>SUMPRODUCT(Calc!$K$3:$K$22*(Calc!$G$3:$G$22&gt;A205)*(Calc!$G$3:$G$22-A205)*(Calc!$G$3:$G$22&gt;B205)*(Calc!$G$3:$G$22-B205))</f>
        <v/>
      </c>
      <c r="L205">
        <f>SUMPRODUCT(Calc!$K$3:$K$22*(Calc!$G$3:$G$22&gt;A205)*(Calc!$G$3:$G$22-A205)*Calc!$G$3:$G$22)</f>
        <v/>
      </c>
      <c r="M205">
        <f>SUMPRODUCT(Calc!$K$3:$K$22*(Calc!$G$3:$G$22&gt;B205)*(Calc!$G$3:$G$22-B205)*Calc!$G$3:$G$22)</f>
        <v/>
      </c>
      <c r="N205">
        <f>SUMPRODUCT(Calc!$K$3:$K$22*(Calc!$G$3:$G$22&gt;A205)*(Calc!$G$3:$G$22-A205)*Calc!$I$3:$I$22)</f>
        <v/>
      </c>
      <c r="O205">
        <f>SUMPRODUCT(Calc!$K$3:$K$22*(Calc!$G$3:$G$22&gt;B205)*(Calc!$G$3:$G$22-B205)*Calc!$I$3:$I$22)</f>
        <v/>
      </c>
      <c r="P205">
        <f>I205-G205^2/k_n</f>
        <v/>
      </c>
      <c r="Q205">
        <f>J205-H205^2/k_n</f>
        <v/>
      </c>
      <c r="R205">
        <f>K205-G205*H205/k_n</f>
        <v/>
      </c>
      <c r="S205">
        <f>L205-LTP3!$D$3*G205/k_n</f>
        <v/>
      </c>
      <c r="T205">
        <f>M205-LTP3!$D$3*H205/k_n</f>
        <v/>
      </c>
      <c r="U205">
        <f>N205-G205*LTP3!$D$4/k_n</f>
        <v/>
      </c>
      <c r="V205">
        <f>O205-H205*LTP3!$D$4/k_n</f>
        <v/>
      </c>
      <c r="W205">
        <f>((LTP3!$D$5)*((P205)*(Q205)-(R205)*(R205))-(S205)*((S205)*(Q205)-(R205)*(T205))+(T205)*((S205)*(R205)-(P205)*(T205)))</f>
        <v/>
      </c>
      <c r="X205">
        <f>IF(ABS(W205)&gt;1E-12,((LTP3!$D$6)*((P205)*(Q205)-(R205)*(R205))-(S205)*((U205)*(Q205)-(R205)*(V205))+(T205)*((U205)*(R205)-(P205)*(V205)))/W205,0)</f>
        <v/>
      </c>
      <c r="Y205">
        <f>IF(ABS(W205)&gt;1E-12,((LTP3!$D$5)*((U205)*(Q205)-(R205)*(V205))-(LTP3!$D$6)*((S205)*(Q205)-(R205)*(T205))+(T205)*((S205)*(V205)-(U205)*(T205)))/W205,0)</f>
        <v/>
      </c>
      <c r="Z205">
        <f>IF(ABS(W205)&gt;1E-12,((LTP3!$D$5)*((P205)*(V205)-(U205)*(R205))-(S205)*((S205)*(V205)-(U205)*(T205))+(LTP3!$D$6)*((S205)*(R205)-(P205)*(T205)))/W205,0)</f>
        <v/>
      </c>
      <c r="AA205">
        <f>LTP3!$D$7-X205*LTP3!$D$6-Y205*U205-Z205*V205</f>
        <v/>
      </c>
      <c r="AB205">
        <f>IF(AND(F205,ABS(W205)&gt;1E-12,Y205&gt;0,Z205&gt;0),AA205,1E+300)</f>
        <v/>
      </c>
    </row>
    <row r="206">
      <c r="A206">
        <f>$B$3+$B$5*3</f>
        <v/>
      </c>
      <c r="B206">
        <f>$B$3+$B$5*11</f>
        <v/>
      </c>
      <c r="C206">
        <f>SUMPRODUCT(Calc!$K$3:$K$22*(Calc!$G$3:$G$22&lt;=A206))</f>
        <v/>
      </c>
      <c r="D206">
        <f>SUMPRODUCT(Calc!$K$3:$K$22*(Calc!$G$3:$G$22&gt;A206)*(Calc!$G$3:$G$22&lt;B206))</f>
        <v/>
      </c>
      <c r="E206">
        <f>SUMPRODUCT(Calc!$K$3:$K$22*(Calc!$G$3:$G$22&gt;=B206))</f>
        <v/>
      </c>
      <c r="F206">
        <f>AND(k_n&gt;=5,B206&gt;A206+1E-9,C206&gt;=2,D206&gt;=1,E206&gt;=2)</f>
        <v/>
      </c>
      <c r="G206">
        <f>SUMPRODUCT(Calc!$K$3:$K$22*(Calc!$G$3:$G$22&gt;A206)*(Calc!$G$3:$G$22-A206))</f>
        <v/>
      </c>
      <c r="H206">
        <f>SUMPRODUCT(Calc!$K$3:$K$22*(Calc!$G$3:$G$22&gt;B206)*(Calc!$G$3:$G$22-B206))</f>
        <v/>
      </c>
      <c r="I206">
        <f>SUMPRODUCT(Calc!$K$3:$K$22*(Calc!$G$3:$G$22&gt;A206)*(Calc!$G$3:$G$22-A206)^2)</f>
        <v/>
      </c>
      <c r="J206">
        <f>SUMPRODUCT(Calc!$K$3:$K$22*(Calc!$G$3:$G$22&gt;B206)*(Calc!$G$3:$G$22-B206)^2)</f>
        <v/>
      </c>
      <c r="K206">
        <f>SUMPRODUCT(Calc!$K$3:$K$22*(Calc!$G$3:$G$22&gt;A206)*(Calc!$G$3:$G$22-A206)*(Calc!$G$3:$G$22&gt;B206)*(Calc!$G$3:$G$22-B206))</f>
        <v/>
      </c>
      <c r="L206">
        <f>SUMPRODUCT(Calc!$K$3:$K$22*(Calc!$G$3:$G$22&gt;A206)*(Calc!$G$3:$G$22-A206)*Calc!$G$3:$G$22)</f>
        <v/>
      </c>
      <c r="M206">
        <f>SUMPRODUCT(Calc!$K$3:$K$22*(Calc!$G$3:$G$22&gt;B206)*(Calc!$G$3:$G$22-B206)*Calc!$G$3:$G$22)</f>
        <v/>
      </c>
      <c r="N206">
        <f>SUMPRODUCT(Calc!$K$3:$K$22*(Calc!$G$3:$G$22&gt;A206)*(Calc!$G$3:$G$22-A206)*Calc!$I$3:$I$22)</f>
        <v/>
      </c>
      <c r="O206">
        <f>SUMPRODUCT(Calc!$K$3:$K$22*(Calc!$G$3:$G$22&gt;B206)*(Calc!$G$3:$G$22-B206)*Calc!$I$3:$I$22)</f>
        <v/>
      </c>
      <c r="P206">
        <f>I206-G206^2/k_n</f>
        <v/>
      </c>
      <c r="Q206">
        <f>J206-H206^2/k_n</f>
        <v/>
      </c>
      <c r="R206">
        <f>K206-G206*H206/k_n</f>
        <v/>
      </c>
      <c r="S206">
        <f>L206-LTP3!$D$3*G206/k_n</f>
        <v/>
      </c>
      <c r="T206">
        <f>M206-LTP3!$D$3*H206/k_n</f>
        <v/>
      </c>
      <c r="U206">
        <f>N206-G206*LTP3!$D$4/k_n</f>
        <v/>
      </c>
      <c r="V206">
        <f>O206-H206*LTP3!$D$4/k_n</f>
        <v/>
      </c>
      <c r="W206">
        <f>((LTP3!$D$5)*((P206)*(Q206)-(R206)*(R206))-(S206)*((S206)*(Q206)-(R206)*(T206))+(T206)*((S206)*(R206)-(P206)*(T206)))</f>
        <v/>
      </c>
      <c r="X206">
        <f>IF(ABS(W206)&gt;1E-12,((LTP3!$D$6)*((P206)*(Q206)-(R206)*(R206))-(S206)*((U206)*(Q206)-(R206)*(V206))+(T206)*((U206)*(R206)-(P206)*(V206)))/W206,0)</f>
        <v/>
      </c>
      <c r="Y206">
        <f>IF(ABS(W206)&gt;1E-12,((LTP3!$D$5)*((U206)*(Q206)-(R206)*(V206))-(LTP3!$D$6)*((S206)*(Q206)-(R206)*(T206))+(T206)*((S206)*(V206)-(U206)*(T206)))/W206,0)</f>
        <v/>
      </c>
      <c r="Z206">
        <f>IF(ABS(W206)&gt;1E-12,((LTP3!$D$5)*((P206)*(V206)-(U206)*(R206))-(S206)*((S206)*(V206)-(U206)*(T206))+(LTP3!$D$6)*((S206)*(R206)-(P206)*(T206)))/W206,0)</f>
        <v/>
      </c>
      <c r="AA206">
        <f>LTP3!$D$7-X206*LTP3!$D$6-Y206*U206-Z206*V206</f>
        <v/>
      </c>
      <c r="AB206">
        <f>IF(AND(F206,ABS(W206)&gt;1E-12,Y206&gt;0,Z206&gt;0),AA206,1E+300)</f>
        <v/>
      </c>
    </row>
    <row r="207">
      <c r="A207">
        <f>$B$3+$B$5*3</f>
        <v/>
      </c>
      <c r="B207">
        <f>$B$3+$B$5*12</f>
        <v/>
      </c>
      <c r="C207">
        <f>SUMPRODUCT(Calc!$K$3:$K$22*(Calc!$G$3:$G$22&lt;=A207))</f>
        <v/>
      </c>
      <c r="D207">
        <f>SUMPRODUCT(Calc!$K$3:$K$22*(Calc!$G$3:$G$22&gt;A207)*(Calc!$G$3:$G$22&lt;B207))</f>
        <v/>
      </c>
      <c r="E207">
        <f>SUMPRODUCT(Calc!$K$3:$K$22*(Calc!$G$3:$G$22&gt;=B207))</f>
        <v/>
      </c>
      <c r="F207">
        <f>AND(k_n&gt;=5,B207&gt;A207+1E-9,C207&gt;=2,D207&gt;=1,E207&gt;=2)</f>
        <v/>
      </c>
      <c r="G207">
        <f>SUMPRODUCT(Calc!$K$3:$K$22*(Calc!$G$3:$G$22&gt;A207)*(Calc!$G$3:$G$22-A207))</f>
        <v/>
      </c>
      <c r="H207">
        <f>SUMPRODUCT(Calc!$K$3:$K$22*(Calc!$G$3:$G$22&gt;B207)*(Calc!$G$3:$G$22-B207))</f>
        <v/>
      </c>
      <c r="I207">
        <f>SUMPRODUCT(Calc!$K$3:$K$22*(Calc!$G$3:$G$22&gt;A207)*(Calc!$G$3:$G$22-A207)^2)</f>
        <v/>
      </c>
      <c r="J207">
        <f>SUMPRODUCT(Calc!$K$3:$K$22*(Calc!$G$3:$G$22&gt;B207)*(Calc!$G$3:$G$22-B207)^2)</f>
        <v/>
      </c>
      <c r="K207">
        <f>SUMPRODUCT(Calc!$K$3:$K$22*(Calc!$G$3:$G$22&gt;A207)*(Calc!$G$3:$G$22-A207)*(Calc!$G$3:$G$22&gt;B207)*(Calc!$G$3:$G$22-B207))</f>
        <v/>
      </c>
      <c r="L207">
        <f>SUMPRODUCT(Calc!$K$3:$K$22*(Calc!$G$3:$G$22&gt;A207)*(Calc!$G$3:$G$22-A207)*Calc!$G$3:$G$22)</f>
        <v/>
      </c>
      <c r="M207">
        <f>SUMPRODUCT(Calc!$K$3:$K$22*(Calc!$G$3:$G$22&gt;B207)*(Calc!$G$3:$G$22-B207)*Calc!$G$3:$G$22)</f>
        <v/>
      </c>
      <c r="N207">
        <f>SUMPRODUCT(Calc!$K$3:$K$22*(Calc!$G$3:$G$22&gt;A207)*(Calc!$G$3:$G$22-A207)*Calc!$I$3:$I$22)</f>
        <v/>
      </c>
      <c r="O207">
        <f>SUMPRODUCT(Calc!$K$3:$K$22*(Calc!$G$3:$G$22&gt;B207)*(Calc!$G$3:$G$22-B207)*Calc!$I$3:$I$22)</f>
        <v/>
      </c>
      <c r="P207">
        <f>I207-G207^2/k_n</f>
        <v/>
      </c>
      <c r="Q207">
        <f>J207-H207^2/k_n</f>
        <v/>
      </c>
      <c r="R207">
        <f>K207-G207*H207/k_n</f>
        <v/>
      </c>
      <c r="S207">
        <f>L207-LTP3!$D$3*G207/k_n</f>
        <v/>
      </c>
      <c r="T207">
        <f>M207-LTP3!$D$3*H207/k_n</f>
        <v/>
      </c>
      <c r="U207">
        <f>N207-G207*LTP3!$D$4/k_n</f>
        <v/>
      </c>
      <c r="V207">
        <f>O207-H207*LTP3!$D$4/k_n</f>
        <v/>
      </c>
      <c r="W207">
        <f>((LTP3!$D$5)*((P207)*(Q207)-(R207)*(R207))-(S207)*((S207)*(Q207)-(R207)*(T207))+(T207)*((S207)*(R207)-(P207)*(T207)))</f>
        <v/>
      </c>
      <c r="X207">
        <f>IF(ABS(W207)&gt;1E-12,((LTP3!$D$6)*((P207)*(Q207)-(R207)*(R207))-(S207)*((U207)*(Q207)-(R207)*(V207))+(T207)*((U207)*(R207)-(P207)*(V207)))/W207,0)</f>
        <v/>
      </c>
      <c r="Y207">
        <f>IF(ABS(W207)&gt;1E-12,((LTP3!$D$5)*((U207)*(Q207)-(R207)*(V207))-(LTP3!$D$6)*((S207)*(Q207)-(R207)*(T207))+(T207)*((S207)*(V207)-(U207)*(T207)))/W207,0)</f>
        <v/>
      </c>
      <c r="Z207">
        <f>IF(ABS(W207)&gt;1E-12,((LTP3!$D$5)*((P207)*(V207)-(U207)*(R207))-(S207)*((S207)*(V207)-(U207)*(T207))+(LTP3!$D$6)*((S207)*(R207)-(P207)*(T207)))/W207,0)</f>
        <v/>
      </c>
      <c r="AA207">
        <f>LTP3!$D$7-X207*LTP3!$D$6-Y207*U207-Z207*V207</f>
        <v/>
      </c>
      <c r="AB207">
        <f>IF(AND(F207,ABS(W207)&gt;1E-12,Y207&gt;0,Z207&gt;0),AA207,1E+300)</f>
        <v/>
      </c>
    </row>
    <row r="208">
      <c r="A208">
        <f>$B$3+$B$5*3</f>
        <v/>
      </c>
      <c r="B208">
        <f>$B$3+$B$5*13</f>
        <v/>
      </c>
      <c r="C208">
        <f>SUMPRODUCT(Calc!$K$3:$K$22*(Calc!$G$3:$G$22&lt;=A208))</f>
        <v/>
      </c>
      <c r="D208">
        <f>SUMPRODUCT(Calc!$K$3:$K$22*(Calc!$G$3:$G$22&gt;A208)*(Calc!$G$3:$G$22&lt;B208))</f>
        <v/>
      </c>
      <c r="E208">
        <f>SUMPRODUCT(Calc!$K$3:$K$22*(Calc!$G$3:$G$22&gt;=B208))</f>
        <v/>
      </c>
      <c r="F208">
        <f>AND(k_n&gt;=5,B208&gt;A208+1E-9,C208&gt;=2,D208&gt;=1,E208&gt;=2)</f>
        <v/>
      </c>
      <c r="G208">
        <f>SUMPRODUCT(Calc!$K$3:$K$22*(Calc!$G$3:$G$22&gt;A208)*(Calc!$G$3:$G$22-A208))</f>
        <v/>
      </c>
      <c r="H208">
        <f>SUMPRODUCT(Calc!$K$3:$K$22*(Calc!$G$3:$G$22&gt;B208)*(Calc!$G$3:$G$22-B208))</f>
        <v/>
      </c>
      <c r="I208">
        <f>SUMPRODUCT(Calc!$K$3:$K$22*(Calc!$G$3:$G$22&gt;A208)*(Calc!$G$3:$G$22-A208)^2)</f>
        <v/>
      </c>
      <c r="J208">
        <f>SUMPRODUCT(Calc!$K$3:$K$22*(Calc!$G$3:$G$22&gt;B208)*(Calc!$G$3:$G$22-B208)^2)</f>
        <v/>
      </c>
      <c r="K208">
        <f>SUMPRODUCT(Calc!$K$3:$K$22*(Calc!$G$3:$G$22&gt;A208)*(Calc!$G$3:$G$22-A208)*(Calc!$G$3:$G$22&gt;B208)*(Calc!$G$3:$G$22-B208))</f>
        <v/>
      </c>
      <c r="L208">
        <f>SUMPRODUCT(Calc!$K$3:$K$22*(Calc!$G$3:$G$22&gt;A208)*(Calc!$G$3:$G$22-A208)*Calc!$G$3:$G$22)</f>
        <v/>
      </c>
      <c r="M208">
        <f>SUMPRODUCT(Calc!$K$3:$K$22*(Calc!$G$3:$G$22&gt;B208)*(Calc!$G$3:$G$22-B208)*Calc!$G$3:$G$22)</f>
        <v/>
      </c>
      <c r="N208">
        <f>SUMPRODUCT(Calc!$K$3:$K$22*(Calc!$G$3:$G$22&gt;A208)*(Calc!$G$3:$G$22-A208)*Calc!$I$3:$I$22)</f>
        <v/>
      </c>
      <c r="O208">
        <f>SUMPRODUCT(Calc!$K$3:$K$22*(Calc!$G$3:$G$22&gt;B208)*(Calc!$G$3:$G$22-B208)*Calc!$I$3:$I$22)</f>
        <v/>
      </c>
      <c r="P208">
        <f>I208-G208^2/k_n</f>
        <v/>
      </c>
      <c r="Q208">
        <f>J208-H208^2/k_n</f>
        <v/>
      </c>
      <c r="R208">
        <f>K208-G208*H208/k_n</f>
        <v/>
      </c>
      <c r="S208">
        <f>L208-LTP3!$D$3*G208/k_n</f>
        <v/>
      </c>
      <c r="T208">
        <f>M208-LTP3!$D$3*H208/k_n</f>
        <v/>
      </c>
      <c r="U208">
        <f>N208-G208*LTP3!$D$4/k_n</f>
        <v/>
      </c>
      <c r="V208">
        <f>O208-H208*LTP3!$D$4/k_n</f>
        <v/>
      </c>
      <c r="W208">
        <f>((LTP3!$D$5)*((P208)*(Q208)-(R208)*(R208))-(S208)*((S208)*(Q208)-(R208)*(T208))+(T208)*((S208)*(R208)-(P208)*(T208)))</f>
        <v/>
      </c>
      <c r="X208">
        <f>IF(ABS(W208)&gt;1E-12,((LTP3!$D$6)*((P208)*(Q208)-(R208)*(R208))-(S208)*((U208)*(Q208)-(R208)*(V208))+(T208)*((U208)*(R208)-(P208)*(V208)))/W208,0)</f>
        <v/>
      </c>
      <c r="Y208">
        <f>IF(ABS(W208)&gt;1E-12,((LTP3!$D$5)*((U208)*(Q208)-(R208)*(V208))-(LTP3!$D$6)*((S208)*(Q208)-(R208)*(T208))+(T208)*((S208)*(V208)-(U208)*(T208)))/W208,0)</f>
        <v/>
      </c>
      <c r="Z208">
        <f>IF(ABS(W208)&gt;1E-12,((LTP3!$D$5)*((P208)*(V208)-(U208)*(R208))-(S208)*((S208)*(V208)-(U208)*(T208))+(LTP3!$D$6)*((S208)*(R208)-(P208)*(T208)))/W208,0)</f>
        <v/>
      </c>
      <c r="AA208">
        <f>LTP3!$D$7-X208*LTP3!$D$6-Y208*U208-Z208*V208</f>
        <v/>
      </c>
      <c r="AB208">
        <f>IF(AND(F208,ABS(W208)&gt;1E-12,Y208&gt;0,Z208&gt;0),AA208,1E+300)</f>
        <v/>
      </c>
    </row>
    <row r="209">
      <c r="A209">
        <f>$B$3+$B$5*3</f>
        <v/>
      </c>
      <c r="B209">
        <f>$B$3+$B$5*14</f>
        <v/>
      </c>
      <c r="C209">
        <f>SUMPRODUCT(Calc!$K$3:$K$22*(Calc!$G$3:$G$22&lt;=A209))</f>
        <v/>
      </c>
      <c r="D209">
        <f>SUMPRODUCT(Calc!$K$3:$K$22*(Calc!$G$3:$G$22&gt;A209)*(Calc!$G$3:$G$22&lt;B209))</f>
        <v/>
      </c>
      <c r="E209">
        <f>SUMPRODUCT(Calc!$K$3:$K$22*(Calc!$G$3:$G$22&gt;=B209))</f>
        <v/>
      </c>
      <c r="F209">
        <f>AND(k_n&gt;=5,B209&gt;A209+1E-9,C209&gt;=2,D209&gt;=1,E209&gt;=2)</f>
        <v/>
      </c>
      <c r="G209">
        <f>SUMPRODUCT(Calc!$K$3:$K$22*(Calc!$G$3:$G$22&gt;A209)*(Calc!$G$3:$G$22-A209))</f>
        <v/>
      </c>
      <c r="H209">
        <f>SUMPRODUCT(Calc!$K$3:$K$22*(Calc!$G$3:$G$22&gt;B209)*(Calc!$G$3:$G$22-B209))</f>
        <v/>
      </c>
      <c r="I209">
        <f>SUMPRODUCT(Calc!$K$3:$K$22*(Calc!$G$3:$G$22&gt;A209)*(Calc!$G$3:$G$22-A209)^2)</f>
        <v/>
      </c>
      <c r="J209">
        <f>SUMPRODUCT(Calc!$K$3:$K$22*(Calc!$G$3:$G$22&gt;B209)*(Calc!$G$3:$G$22-B209)^2)</f>
        <v/>
      </c>
      <c r="K209">
        <f>SUMPRODUCT(Calc!$K$3:$K$22*(Calc!$G$3:$G$22&gt;A209)*(Calc!$G$3:$G$22-A209)*(Calc!$G$3:$G$22&gt;B209)*(Calc!$G$3:$G$22-B209))</f>
        <v/>
      </c>
      <c r="L209">
        <f>SUMPRODUCT(Calc!$K$3:$K$22*(Calc!$G$3:$G$22&gt;A209)*(Calc!$G$3:$G$22-A209)*Calc!$G$3:$G$22)</f>
        <v/>
      </c>
      <c r="M209">
        <f>SUMPRODUCT(Calc!$K$3:$K$22*(Calc!$G$3:$G$22&gt;B209)*(Calc!$G$3:$G$22-B209)*Calc!$G$3:$G$22)</f>
        <v/>
      </c>
      <c r="N209">
        <f>SUMPRODUCT(Calc!$K$3:$K$22*(Calc!$G$3:$G$22&gt;A209)*(Calc!$G$3:$G$22-A209)*Calc!$I$3:$I$22)</f>
        <v/>
      </c>
      <c r="O209">
        <f>SUMPRODUCT(Calc!$K$3:$K$22*(Calc!$G$3:$G$22&gt;B209)*(Calc!$G$3:$G$22-B209)*Calc!$I$3:$I$22)</f>
        <v/>
      </c>
      <c r="P209">
        <f>I209-G209^2/k_n</f>
        <v/>
      </c>
      <c r="Q209">
        <f>J209-H209^2/k_n</f>
        <v/>
      </c>
      <c r="R209">
        <f>K209-G209*H209/k_n</f>
        <v/>
      </c>
      <c r="S209">
        <f>L209-LTP3!$D$3*G209/k_n</f>
        <v/>
      </c>
      <c r="T209">
        <f>M209-LTP3!$D$3*H209/k_n</f>
        <v/>
      </c>
      <c r="U209">
        <f>N209-G209*LTP3!$D$4/k_n</f>
        <v/>
      </c>
      <c r="V209">
        <f>O209-H209*LTP3!$D$4/k_n</f>
        <v/>
      </c>
      <c r="W209">
        <f>((LTP3!$D$5)*((P209)*(Q209)-(R209)*(R209))-(S209)*((S209)*(Q209)-(R209)*(T209))+(T209)*((S209)*(R209)-(P209)*(T209)))</f>
        <v/>
      </c>
      <c r="X209">
        <f>IF(ABS(W209)&gt;1E-12,((LTP3!$D$6)*((P209)*(Q209)-(R209)*(R209))-(S209)*((U209)*(Q209)-(R209)*(V209))+(T209)*((U209)*(R209)-(P209)*(V209)))/W209,0)</f>
        <v/>
      </c>
      <c r="Y209">
        <f>IF(ABS(W209)&gt;1E-12,((LTP3!$D$5)*((U209)*(Q209)-(R209)*(V209))-(LTP3!$D$6)*((S209)*(Q209)-(R209)*(T209))+(T209)*((S209)*(V209)-(U209)*(T209)))/W209,0)</f>
        <v/>
      </c>
      <c r="Z209">
        <f>IF(ABS(W209)&gt;1E-12,((LTP3!$D$5)*((P209)*(V209)-(U209)*(R209))-(S209)*((S209)*(V209)-(U209)*(T209))+(LTP3!$D$6)*((S209)*(R209)-(P209)*(T209)))/W209,0)</f>
        <v/>
      </c>
      <c r="AA209">
        <f>LTP3!$D$7-X209*LTP3!$D$6-Y209*U209-Z209*V209</f>
        <v/>
      </c>
      <c r="AB209">
        <f>IF(AND(F209,ABS(W209)&gt;1E-12,Y209&gt;0,Z209&gt;0),AA209,1E+300)</f>
        <v/>
      </c>
    </row>
    <row r="210">
      <c r="A210">
        <f>$B$3+$B$5*3</f>
        <v/>
      </c>
      <c r="B210">
        <f>$B$3+$B$5*15</f>
        <v/>
      </c>
      <c r="C210">
        <f>SUMPRODUCT(Calc!$K$3:$K$22*(Calc!$G$3:$G$22&lt;=A210))</f>
        <v/>
      </c>
      <c r="D210">
        <f>SUMPRODUCT(Calc!$K$3:$K$22*(Calc!$G$3:$G$22&gt;A210)*(Calc!$G$3:$G$22&lt;B210))</f>
        <v/>
      </c>
      <c r="E210">
        <f>SUMPRODUCT(Calc!$K$3:$K$22*(Calc!$G$3:$G$22&gt;=B210))</f>
        <v/>
      </c>
      <c r="F210">
        <f>AND(k_n&gt;=5,B210&gt;A210+1E-9,C210&gt;=2,D210&gt;=1,E210&gt;=2)</f>
        <v/>
      </c>
      <c r="G210">
        <f>SUMPRODUCT(Calc!$K$3:$K$22*(Calc!$G$3:$G$22&gt;A210)*(Calc!$G$3:$G$22-A210))</f>
        <v/>
      </c>
      <c r="H210">
        <f>SUMPRODUCT(Calc!$K$3:$K$22*(Calc!$G$3:$G$22&gt;B210)*(Calc!$G$3:$G$22-B210))</f>
        <v/>
      </c>
      <c r="I210">
        <f>SUMPRODUCT(Calc!$K$3:$K$22*(Calc!$G$3:$G$22&gt;A210)*(Calc!$G$3:$G$22-A210)^2)</f>
        <v/>
      </c>
      <c r="J210">
        <f>SUMPRODUCT(Calc!$K$3:$K$22*(Calc!$G$3:$G$22&gt;B210)*(Calc!$G$3:$G$22-B210)^2)</f>
        <v/>
      </c>
      <c r="K210">
        <f>SUMPRODUCT(Calc!$K$3:$K$22*(Calc!$G$3:$G$22&gt;A210)*(Calc!$G$3:$G$22-A210)*(Calc!$G$3:$G$22&gt;B210)*(Calc!$G$3:$G$22-B210))</f>
        <v/>
      </c>
      <c r="L210">
        <f>SUMPRODUCT(Calc!$K$3:$K$22*(Calc!$G$3:$G$22&gt;A210)*(Calc!$G$3:$G$22-A210)*Calc!$G$3:$G$22)</f>
        <v/>
      </c>
      <c r="M210">
        <f>SUMPRODUCT(Calc!$K$3:$K$22*(Calc!$G$3:$G$22&gt;B210)*(Calc!$G$3:$G$22-B210)*Calc!$G$3:$G$22)</f>
        <v/>
      </c>
      <c r="N210">
        <f>SUMPRODUCT(Calc!$K$3:$K$22*(Calc!$G$3:$G$22&gt;A210)*(Calc!$G$3:$G$22-A210)*Calc!$I$3:$I$22)</f>
        <v/>
      </c>
      <c r="O210">
        <f>SUMPRODUCT(Calc!$K$3:$K$22*(Calc!$G$3:$G$22&gt;B210)*(Calc!$G$3:$G$22-B210)*Calc!$I$3:$I$22)</f>
        <v/>
      </c>
      <c r="P210">
        <f>I210-G210^2/k_n</f>
        <v/>
      </c>
      <c r="Q210">
        <f>J210-H210^2/k_n</f>
        <v/>
      </c>
      <c r="R210">
        <f>K210-G210*H210/k_n</f>
        <v/>
      </c>
      <c r="S210">
        <f>L210-LTP3!$D$3*G210/k_n</f>
        <v/>
      </c>
      <c r="T210">
        <f>M210-LTP3!$D$3*H210/k_n</f>
        <v/>
      </c>
      <c r="U210">
        <f>N210-G210*LTP3!$D$4/k_n</f>
        <v/>
      </c>
      <c r="V210">
        <f>O210-H210*LTP3!$D$4/k_n</f>
        <v/>
      </c>
      <c r="W210">
        <f>((LTP3!$D$5)*((P210)*(Q210)-(R210)*(R210))-(S210)*((S210)*(Q210)-(R210)*(T210))+(T210)*((S210)*(R210)-(P210)*(T210)))</f>
        <v/>
      </c>
      <c r="X210">
        <f>IF(ABS(W210)&gt;1E-12,((LTP3!$D$6)*((P210)*(Q210)-(R210)*(R210))-(S210)*((U210)*(Q210)-(R210)*(V210))+(T210)*((U210)*(R210)-(P210)*(V210)))/W210,0)</f>
        <v/>
      </c>
      <c r="Y210">
        <f>IF(ABS(W210)&gt;1E-12,((LTP3!$D$5)*((U210)*(Q210)-(R210)*(V210))-(LTP3!$D$6)*((S210)*(Q210)-(R210)*(T210))+(T210)*((S210)*(V210)-(U210)*(T210)))/W210,0)</f>
        <v/>
      </c>
      <c r="Z210">
        <f>IF(ABS(W210)&gt;1E-12,((LTP3!$D$5)*((P210)*(V210)-(U210)*(R210))-(S210)*((S210)*(V210)-(U210)*(T210))+(LTP3!$D$6)*((S210)*(R210)-(P210)*(T210)))/W210,0)</f>
        <v/>
      </c>
      <c r="AA210">
        <f>LTP3!$D$7-X210*LTP3!$D$6-Y210*U210-Z210*V210</f>
        <v/>
      </c>
      <c r="AB210">
        <f>IF(AND(F210,ABS(W210)&gt;1E-12,Y210&gt;0,Z210&gt;0),AA210,1E+300)</f>
        <v/>
      </c>
    </row>
    <row r="211">
      <c r="A211">
        <f>$B$3+$B$5*3</f>
        <v/>
      </c>
      <c r="B211">
        <f>$B$3+$B$5*16</f>
        <v/>
      </c>
      <c r="C211">
        <f>SUMPRODUCT(Calc!$K$3:$K$22*(Calc!$G$3:$G$22&lt;=A211))</f>
        <v/>
      </c>
      <c r="D211">
        <f>SUMPRODUCT(Calc!$K$3:$K$22*(Calc!$G$3:$G$22&gt;A211)*(Calc!$G$3:$G$22&lt;B211))</f>
        <v/>
      </c>
      <c r="E211">
        <f>SUMPRODUCT(Calc!$K$3:$K$22*(Calc!$G$3:$G$22&gt;=B211))</f>
        <v/>
      </c>
      <c r="F211">
        <f>AND(k_n&gt;=5,B211&gt;A211+1E-9,C211&gt;=2,D211&gt;=1,E211&gt;=2)</f>
        <v/>
      </c>
      <c r="G211">
        <f>SUMPRODUCT(Calc!$K$3:$K$22*(Calc!$G$3:$G$22&gt;A211)*(Calc!$G$3:$G$22-A211))</f>
        <v/>
      </c>
      <c r="H211">
        <f>SUMPRODUCT(Calc!$K$3:$K$22*(Calc!$G$3:$G$22&gt;B211)*(Calc!$G$3:$G$22-B211))</f>
        <v/>
      </c>
      <c r="I211">
        <f>SUMPRODUCT(Calc!$K$3:$K$22*(Calc!$G$3:$G$22&gt;A211)*(Calc!$G$3:$G$22-A211)^2)</f>
        <v/>
      </c>
      <c r="J211">
        <f>SUMPRODUCT(Calc!$K$3:$K$22*(Calc!$G$3:$G$22&gt;B211)*(Calc!$G$3:$G$22-B211)^2)</f>
        <v/>
      </c>
      <c r="K211">
        <f>SUMPRODUCT(Calc!$K$3:$K$22*(Calc!$G$3:$G$22&gt;A211)*(Calc!$G$3:$G$22-A211)*(Calc!$G$3:$G$22&gt;B211)*(Calc!$G$3:$G$22-B211))</f>
        <v/>
      </c>
      <c r="L211">
        <f>SUMPRODUCT(Calc!$K$3:$K$22*(Calc!$G$3:$G$22&gt;A211)*(Calc!$G$3:$G$22-A211)*Calc!$G$3:$G$22)</f>
        <v/>
      </c>
      <c r="M211">
        <f>SUMPRODUCT(Calc!$K$3:$K$22*(Calc!$G$3:$G$22&gt;B211)*(Calc!$G$3:$G$22-B211)*Calc!$G$3:$G$22)</f>
        <v/>
      </c>
      <c r="N211">
        <f>SUMPRODUCT(Calc!$K$3:$K$22*(Calc!$G$3:$G$22&gt;A211)*(Calc!$G$3:$G$22-A211)*Calc!$I$3:$I$22)</f>
        <v/>
      </c>
      <c r="O211">
        <f>SUMPRODUCT(Calc!$K$3:$K$22*(Calc!$G$3:$G$22&gt;B211)*(Calc!$G$3:$G$22-B211)*Calc!$I$3:$I$22)</f>
        <v/>
      </c>
      <c r="P211">
        <f>I211-G211^2/k_n</f>
        <v/>
      </c>
      <c r="Q211">
        <f>J211-H211^2/k_n</f>
        <v/>
      </c>
      <c r="R211">
        <f>K211-G211*H211/k_n</f>
        <v/>
      </c>
      <c r="S211">
        <f>L211-LTP3!$D$3*G211/k_n</f>
        <v/>
      </c>
      <c r="T211">
        <f>M211-LTP3!$D$3*H211/k_n</f>
        <v/>
      </c>
      <c r="U211">
        <f>N211-G211*LTP3!$D$4/k_n</f>
        <v/>
      </c>
      <c r="V211">
        <f>O211-H211*LTP3!$D$4/k_n</f>
        <v/>
      </c>
      <c r="W211">
        <f>((LTP3!$D$5)*((P211)*(Q211)-(R211)*(R211))-(S211)*((S211)*(Q211)-(R211)*(T211))+(T211)*((S211)*(R211)-(P211)*(T211)))</f>
        <v/>
      </c>
      <c r="X211">
        <f>IF(ABS(W211)&gt;1E-12,((LTP3!$D$6)*((P211)*(Q211)-(R211)*(R211))-(S211)*((U211)*(Q211)-(R211)*(V211))+(T211)*((U211)*(R211)-(P211)*(V211)))/W211,0)</f>
        <v/>
      </c>
      <c r="Y211">
        <f>IF(ABS(W211)&gt;1E-12,((LTP3!$D$5)*((U211)*(Q211)-(R211)*(V211))-(LTP3!$D$6)*((S211)*(Q211)-(R211)*(T211))+(T211)*((S211)*(V211)-(U211)*(T211)))/W211,0)</f>
        <v/>
      </c>
      <c r="Z211">
        <f>IF(ABS(W211)&gt;1E-12,((LTP3!$D$5)*((P211)*(V211)-(U211)*(R211))-(S211)*((S211)*(V211)-(U211)*(T211))+(LTP3!$D$6)*((S211)*(R211)-(P211)*(T211)))/W211,0)</f>
        <v/>
      </c>
      <c r="AA211">
        <f>LTP3!$D$7-X211*LTP3!$D$6-Y211*U211-Z211*V211</f>
        <v/>
      </c>
      <c r="AB211">
        <f>IF(AND(F211,ABS(W211)&gt;1E-12,Y211&gt;0,Z211&gt;0),AA211,1E+300)</f>
        <v/>
      </c>
    </row>
    <row r="212">
      <c r="A212">
        <f>$B$3+$B$5*3</f>
        <v/>
      </c>
      <c r="B212">
        <f>$B$3+$B$5*17</f>
        <v/>
      </c>
      <c r="C212">
        <f>SUMPRODUCT(Calc!$K$3:$K$22*(Calc!$G$3:$G$22&lt;=A212))</f>
        <v/>
      </c>
      <c r="D212">
        <f>SUMPRODUCT(Calc!$K$3:$K$22*(Calc!$G$3:$G$22&gt;A212)*(Calc!$G$3:$G$22&lt;B212))</f>
        <v/>
      </c>
      <c r="E212">
        <f>SUMPRODUCT(Calc!$K$3:$K$22*(Calc!$G$3:$G$22&gt;=B212))</f>
        <v/>
      </c>
      <c r="F212">
        <f>AND(k_n&gt;=5,B212&gt;A212+1E-9,C212&gt;=2,D212&gt;=1,E212&gt;=2)</f>
        <v/>
      </c>
      <c r="G212">
        <f>SUMPRODUCT(Calc!$K$3:$K$22*(Calc!$G$3:$G$22&gt;A212)*(Calc!$G$3:$G$22-A212))</f>
        <v/>
      </c>
      <c r="H212">
        <f>SUMPRODUCT(Calc!$K$3:$K$22*(Calc!$G$3:$G$22&gt;B212)*(Calc!$G$3:$G$22-B212))</f>
        <v/>
      </c>
      <c r="I212">
        <f>SUMPRODUCT(Calc!$K$3:$K$22*(Calc!$G$3:$G$22&gt;A212)*(Calc!$G$3:$G$22-A212)^2)</f>
        <v/>
      </c>
      <c r="J212">
        <f>SUMPRODUCT(Calc!$K$3:$K$22*(Calc!$G$3:$G$22&gt;B212)*(Calc!$G$3:$G$22-B212)^2)</f>
        <v/>
      </c>
      <c r="K212">
        <f>SUMPRODUCT(Calc!$K$3:$K$22*(Calc!$G$3:$G$22&gt;A212)*(Calc!$G$3:$G$22-A212)*(Calc!$G$3:$G$22&gt;B212)*(Calc!$G$3:$G$22-B212))</f>
        <v/>
      </c>
      <c r="L212">
        <f>SUMPRODUCT(Calc!$K$3:$K$22*(Calc!$G$3:$G$22&gt;A212)*(Calc!$G$3:$G$22-A212)*Calc!$G$3:$G$22)</f>
        <v/>
      </c>
      <c r="M212">
        <f>SUMPRODUCT(Calc!$K$3:$K$22*(Calc!$G$3:$G$22&gt;B212)*(Calc!$G$3:$G$22-B212)*Calc!$G$3:$G$22)</f>
        <v/>
      </c>
      <c r="N212">
        <f>SUMPRODUCT(Calc!$K$3:$K$22*(Calc!$G$3:$G$22&gt;A212)*(Calc!$G$3:$G$22-A212)*Calc!$I$3:$I$22)</f>
        <v/>
      </c>
      <c r="O212">
        <f>SUMPRODUCT(Calc!$K$3:$K$22*(Calc!$G$3:$G$22&gt;B212)*(Calc!$G$3:$G$22-B212)*Calc!$I$3:$I$22)</f>
        <v/>
      </c>
      <c r="P212">
        <f>I212-G212^2/k_n</f>
        <v/>
      </c>
      <c r="Q212">
        <f>J212-H212^2/k_n</f>
        <v/>
      </c>
      <c r="R212">
        <f>K212-G212*H212/k_n</f>
        <v/>
      </c>
      <c r="S212">
        <f>L212-LTP3!$D$3*G212/k_n</f>
        <v/>
      </c>
      <c r="T212">
        <f>M212-LTP3!$D$3*H212/k_n</f>
        <v/>
      </c>
      <c r="U212">
        <f>N212-G212*LTP3!$D$4/k_n</f>
        <v/>
      </c>
      <c r="V212">
        <f>O212-H212*LTP3!$D$4/k_n</f>
        <v/>
      </c>
      <c r="W212">
        <f>((LTP3!$D$5)*((P212)*(Q212)-(R212)*(R212))-(S212)*((S212)*(Q212)-(R212)*(T212))+(T212)*((S212)*(R212)-(P212)*(T212)))</f>
        <v/>
      </c>
      <c r="X212">
        <f>IF(ABS(W212)&gt;1E-12,((LTP3!$D$6)*((P212)*(Q212)-(R212)*(R212))-(S212)*((U212)*(Q212)-(R212)*(V212))+(T212)*((U212)*(R212)-(P212)*(V212)))/W212,0)</f>
        <v/>
      </c>
      <c r="Y212">
        <f>IF(ABS(W212)&gt;1E-12,((LTP3!$D$5)*((U212)*(Q212)-(R212)*(V212))-(LTP3!$D$6)*((S212)*(Q212)-(R212)*(T212))+(T212)*((S212)*(V212)-(U212)*(T212)))/W212,0)</f>
        <v/>
      </c>
      <c r="Z212">
        <f>IF(ABS(W212)&gt;1E-12,((LTP3!$D$5)*((P212)*(V212)-(U212)*(R212))-(S212)*((S212)*(V212)-(U212)*(T212))+(LTP3!$D$6)*((S212)*(R212)-(P212)*(T212)))/W212,0)</f>
        <v/>
      </c>
      <c r="AA212">
        <f>LTP3!$D$7-X212*LTP3!$D$6-Y212*U212-Z212*V212</f>
        <v/>
      </c>
      <c r="AB212">
        <f>IF(AND(F212,ABS(W212)&gt;1E-12,Y212&gt;0,Z212&gt;0),AA212,1E+300)</f>
        <v/>
      </c>
    </row>
    <row r="213">
      <c r="A213">
        <f>$B$3+$B$5*3</f>
        <v/>
      </c>
      <c r="B213">
        <f>$B$3+$B$5*18</f>
        <v/>
      </c>
      <c r="C213">
        <f>SUMPRODUCT(Calc!$K$3:$K$22*(Calc!$G$3:$G$22&lt;=A213))</f>
        <v/>
      </c>
      <c r="D213">
        <f>SUMPRODUCT(Calc!$K$3:$K$22*(Calc!$G$3:$G$22&gt;A213)*(Calc!$G$3:$G$22&lt;B213))</f>
        <v/>
      </c>
      <c r="E213">
        <f>SUMPRODUCT(Calc!$K$3:$K$22*(Calc!$G$3:$G$22&gt;=B213))</f>
        <v/>
      </c>
      <c r="F213">
        <f>AND(k_n&gt;=5,B213&gt;A213+1E-9,C213&gt;=2,D213&gt;=1,E213&gt;=2)</f>
        <v/>
      </c>
      <c r="G213">
        <f>SUMPRODUCT(Calc!$K$3:$K$22*(Calc!$G$3:$G$22&gt;A213)*(Calc!$G$3:$G$22-A213))</f>
        <v/>
      </c>
      <c r="H213">
        <f>SUMPRODUCT(Calc!$K$3:$K$22*(Calc!$G$3:$G$22&gt;B213)*(Calc!$G$3:$G$22-B213))</f>
        <v/>
      </c>
      <c r="I213">
        <f>SUMPRODUCT(Calc!$K$3:$K$22*(Calc!$G$3:$G$22&gt;A213)*(Calc!$G$3:$G$22-A213)^2)</f>
        <v/>
      </c>
      <c r="J213">
        <f>SUMPRODUCT(Calc!$K$3:$K$22*(Calc!$G$3:$G$22&gt;B213)*(Calc!$G$3:$G$22-B213)^2)</f>
        <v/>
      </c>
      <c r="K213">
        <f>SUMPRODUCT(Calc!$K$3:$K$22*(Calc!$G$3:$G$22&gt;A213)*(Calc!$G$3:$G$22-A213)*(Calc!$G$3:$G$22&gt;B213)*(Calc!$G$3:$G$22-B213))</f>
        <v/>
      </c>
      <c r="L213">
        <f>SUMPRODUCT(Calc!$K$3:$K$22*(Calc!$G$3:$G$22&gt;A213)*(Calc!$G$3:$G$22-A213)*Calc!$G$3:$G$22)</f>
        <v/>
      </c>
      <c r="M213">
        <f>SUMPRODUCT(Calc!$K$3:$K$22*(Calc!$G$3:$G$22&gt;B213)*(Calc!$G$3:$G$22-B213)*Calc!$G$3:$G$22)</f>
        <v/>
      </c>
      <c r="N213">
        <f>SUMPRODUCT(Calc!$K$3:$K$22*(Calc!$G$3:$G$22&gt;A213)*(Calc!$G$3:$G$22-A213)*Calc!$I$3:$I$22)</f>
        <v/>
      </c>
      <c r="O213">
        <f>SUMPRODUCT(Calc!$K$3:$K$22*(Calc!$G$3:$G$22&gt;B213)*(Calc!$G$3:$G$22-B213)*Calc!$I$3:$I$22)</f>
        <v/>
      </c>
      <c r="P213">
        <f>I213-G213^2/k_n</f>
        <v/>
      </c>
      <c r="Q213">
        <f>J213-H213^2/k_n</f>
        <v/>
      </c>
      <c r="R213">
        <f>K213-G213*H213/k_n</f>
        <v/>
      </c>
      <c r="S213">
        <f>L213-LTP3!$D$3*G213/k_n</f>
        <v/>
      </c>
      <c r="T213">
        <f>M213-LTP3!$D$3*H213/k_n</f>
        <v/>
      </c>
      <c r="U213">
        <f>N213-G213*LTP3!$D$4/k_n</f>
        <v/>
      </c>
      <c r="V213">
        <f>O213-H213*LTP3!$D$4/k_n</f>
        <v/>
      </c>
      <c r="W213">
        <f>((LTP3!$D$5)*((P213)*(Q213)-(R213)*(R213))-(S213)*((S213)*(Q213)-(R213)*(T213))+(T213)*((S213)*(R213)-(P213)*(T213)))</f>
        <v/>
      </c>
      <c r="X213">
        <f>IF(ABS(W213)&gt;1E-12,((LTP3!$D$6)*((P213)*(Q213)-(R213)*(R213))-(S213)*((U213)*(Q213)-(R213)*(V213))+(T213)*((U213)*(R213)-(P213)*(V213)))/W213,0)</f>
        <v/>
      </c>
      <c r="Y213">
        <f>IF(ABS(W213)&gt;1E-12,((LTP3!$D$5)*((U213)*(Q213)-(R213)*(V213))-(LTP3!$D$6)*((S213)*(Q213)-(R213)*(T213))+(T213)*((S213)*(V213)-(U213)*(T213)))/W213,0)</f>
        <v/>
      </c>
      <c r="Z213">
        <f>IF(ABS(W213)&gt;1E-12,((LTP3!$D$5)*((P213)*(V213)-(U213)*(R213))-(S213)*((S213)*(V213)-(U213)*(T213))+(LTP3!$D$6)*((S213)*(R213)-(P213)*(T213)))/W213,0)</f>
        <v/>
      </c>
      <c r="AA213">
        <f>LTP3!$D$7-X213*LTP3!$D$6-Y213*U213-Z213*V213</f>
        <v/>
      </c>
      <c r="AB213">
        <f>IF(AND(F213,ABS(W213)&gt;1E-12,Y213&gt;0,Z213&gt;0),AA213,1E+300)</f>
        <v/>
      </c>
    </row>
    <row r="214">
      <c r="A214">
        <f>$B$3+$B$5*3</f>
        <v/>
      </c>
      <c r="B214">
        <f>$B$3+$B$5*19</f>
        <v/>
      </c>
      <c r="C214">
        <f>SUMPRODUCT(Calc!$K$3:$K$22*(Calc!$G$3:$G$22&lt;=A214))</f>
        <v/>
      </c>
      <c r="D214">
        <f>SUMPRODUCT(Calc!$K$3:$K$22*(Calc!$G$3:$G$22&gt;A214)*(Calc!$G$3:$G$22&lt;B214))</f>
        <v/>
      </c>
      <c r="E214">
        <f>SUMPRODUCT(Calc!$K$3:$K$22*(Calc!$G$3:$G$22&gt;=B214))</f>
        <v/>
      </c>
      <c r="F214">
        <f>AND(k_n&gt;=5,B214&gt;A214+1E-9,C214&gt;=2,D214&gt;=1,E214&gt;=2)</f>
        <v/>
      </c>
      <c r="G214">
        <f>SUMPRODUCT(Calc!$K$3:$K$22*(Calc!$G$3:$G$22&gt;A214)*(Calc!$G$3:$G$22-A214))</f>
        <v/>
      </c>
      <c r="H214">
        <f>SUMPRODUCT(Calc!$K$3:$K$22*(Calc!$G$3:$G$22&gt;B214)*(Calc!$G$3:$G$22-B214))</f>
        <v/>
      </c>
      <c r="I214">
        <f>SUMPRODUCT(Calc!$K$3:$K$22*(Calc!$G$3:$G$22&gt;A214)*(Calc!$G$3:$G$22-A214)^2)</f>
        <v/>
      </c>
      <c r="J214">
        <f>SUMPRODUCT(Calc!$K$3:$K$22*(Calc!$G$3:$G$22&gt;B214)*(Calc!$G$3:$G$22-B214)^2)</f>
        <v/>
      </c>
      <c r="K214">
        <f>SUMPRODUCT(Calc!$K$3:$K$22*(Calc!$G$3:$G$22&gt;A214)*(Calc!$G$3:$G$22-A214)*(Calc!$G$3:$G$22&gt;B214)*(Calc!$G$3:$G$22-B214))</f>
        <v/>
      </c>
      <c r="L214">
        <f>SUMPRODUCT(Calc!$K$3:$K$22*(Calc!$G$3:$G$22&gt;A214)*(Calc!$G$3:$G$22-A214)*Calc!$G$3:$G$22)</f>
        <v/>
      </c>
      <c r="M214">
        <f>SUMPRODUCT(Calc!$K$3:$K$22*(Calc!$G$3:$G$22&gt;B214)*(Calc!$G$3:$G$22-B214)*Calc!$G$3:$G$22)</f>
        <v/>
      </c>
      <c r="N214">
        <f>SUMPRODUCT(Calc!$K$3:$K$22*(Calc!$G$3:$G$22&gt;A214)*(Calc!$G$3:$G$22-A214)*Calc!$I$3:$I$22)</f>
        <v/>
      </c>
      <c r="O214">
        <f>SUMPRODUCT(Calc!$K$3:$K$22*(Calc!$G$3:$G$22&gt;B214)*(Calc!$G$3:$G$22-B214)*Calc!$I$3:$I$22)</f>
        <v/>
      </c>
      <c r="P214">
        <f>I214-G214^2/k_n</f>
        <v/>
      </c>
      <c r="Q214">
        <f>J214-H214^2/k_n</f>
        <v/>
      </c>
      <c r="R214">
        <f>K214-G214*H214/k_n</f>
        <v/>
      </c>
      <c r="S214">
        <f>L214-LTP3!$D$3*G214/k_n</f>
        <v/>
      </c>
      <c r="T214">
        <f>M214-LTP3!$D$3*H214/k_n</f>
        <v/>
      </c>
      <c r="U214">
        <f>N214-G214*LTP3!$D$4/k_n</f>
        <v/>
      </c>
      <c r="V214">
        <f>O214-H214*LTP3!$D$4/k_n</f>
        <v/>
      </c>
      <c r="W214">
        <f>((LTP3!$D$5)*((P214)*(Q214)-(R214)*(R214))-(S214)*((S214)*(Q214)-(R214)*(T214))+(T214)*((S214)*(R214)-(P214)*(T214)))</f>
        <v/>
      </c>
      <c r="X214">
        <f>IF(ABS(W214)&gt;1E-12,((LTP3!$D$6)*((P214)*(Q214)-(R214)*(R214))-(S214)*((U214)*(Q214)-(R214)*(V214))+(T214)*((U214)*(R214)-(P214)*(V214)))/W214,0)</f>
        <v/>
      </c>
      <c r="Y214">
        <f>IF(ABS(W214)&gt;1E-12,((LTP3!$D$5)*((U214)*(Q214)-(R214)*(V214))-(LTP3!$D$6)*((S214)*(Q214)-(R214)*(T214))+(T214)*((S214)*(V214)-(U214)*(T214)))/W214,0)</f>
        <v/>
      </c>
      <c r="Z214">
        <f>IF(ABS(W214)&gt;1E-12,((LTP3!$D$5)*((P214)*(V214)-(U214)*(R214))-(S214)*((S214)*(V214)-(U214)*(T214))+(LTP3!$D$6)*((S214)*(R214)-(P214)*(T214)))/W214,0)</f>
        <v/>
      </c>
      <c r="AA214">
        <f>LTP3!$D$7-X214*LTP3!$D$6-Y214*U214-Z214*V214</f>
        <v/>
      </c>
      <c r="AB214">
        <f>IF(AND(F214,ABS(W214)&gt;1E-12,Y214&gt;0,Z214&gt;0),AA214,1E+300)</f>
        <v/>
      </c>
    </row>
    <row r="215">
      <c r="A215">
        <f>$B$3+$B$5*3</f>
        <v/>
      </c>
      <c r="B215">
        <f>$B$3+$B$5*20</f>
        <v/>
      </c>
      <c r="C215">
        <f>SUMPRODUCT(Calc!$K$3:$K$22*(Calc!$G$3:$G$22&lt;=A215))</f>
        <v/>
      </c>
      <c r="D215">
        <f>SUMPRODUCT(Calc!$K$3:$K$22*(Calc!$G$3:$G$22&gt;A215)*(Calc!$G$3:$G$22&lt;B215))</f>
        <v/>
      </c>
      <c r="E215">
        <f>SUMPRODUCT(Calc!$K$3:$K$22*(Calc!$G$3:$G$22&gt;=B215))</f>
        <v/>
      </c>
      <c r="F215">
        <f>AND(k_n&gt;=5,B215&gt;A215+1E-9,C215&gt;=2,D215&gt;=1,E215&gt;=2)</f>
        <v/>
      </c>
      <c r="G215">
        <f>SUMPRODUCT(Calc!$K$3:$K$22*(Calc!$G$3:$G$22&gt;A215)*(Calc!$G$3:$G$22-A215))</f>
        <v/>
      </c>
      <c r="H215">
        <f>SUMPRODUCT(Calc!$K$3:$K$22*(Calc!$G$3:$G$22&gt;B215)*(Calc!$G$3:$G$22-B215))</f>
        <v/>
      </c>
      <c r="I215">
        <f>SUMPRODUCT(Calc!$K$3:$K$22*(Calc!$G$3:$G$22&gt;A215)*(Calc!$G$3:$G$22-A215)^2)</f>
        <v/>
      </c>
      <c r="J215">
        <f>SUMPRODUCT(Calc!$K$3:$K$22*(Calc!$G$3:$G$22&gt;B215)*(Calc!$G$3:$G$22-B215)^2)</f>
        <v/>
      </c>
      <c r="K215">
        <f>SUMPRODUCT(Calc!$K$3:$K$22*(Calc!$G$3:$G$22&gt;A215)*(Calc!$G$3:$G$22-A215)*(Calc!$G$3:$G$22&gt;B215)*(Calc!$G$3:$G$22-B215))</f>
        <v/>
      </c>
      <c r="L215">
        <f>SUMPRODUCT(Calc!$K$3:$K$22*(Calc!$G$3:$G$22&gt;A215)*(Calc!$G$3:$G$22-A215)*Calc!$G$3:$G$22)</f>
        <v/>
      </c>
      <c r="M215">
        <f>SUMPRODUCT(Calc!$K$3:$K$22*(Calc!$G$3:$G$22&gt;B215)*(Calc!$G$3:$G$22-B215)*Calc!$G$3:$G$22)</f>
        <v/>
      </c>
      <c r="N215">
        <f>SUMPRODUCT(Calc!$K$3:$K$22*(Calc!$G$3:$G$22&gt;A215)*(Calc!$G$3:$G$22-A215)*Calc!$I$3:$I$22)</f>
        <v/>
      </c>
      <c r="O215">
        <f>SUMPRODUCT(Calc!$K$3:$K$22*(Calc!$G$3:$G$22&gt;B215)*(Calc!$G$3:$G$22-B215)*Calc!$I$3:$I$22)</f>
        <v/>
      </c>
      <c r="P215">
        <f>I215-G215^2/k_n</f>
        <v/>
      </c>
      <c r="Q215">
        <f>J215-H215^2/k_n</f>
        <v/>
      </c>
      <c r="R215">
        <f>K215-G215*H215/k_n</f>
        <v/>
      </c>
      <c r="S215">
        <f>L215-LTP3!$D$3*G215/k_n</f>
        <v/>
      </c>
      <c r="T215">
        <f>M215-LTP3!$D$3*H215/k_n</f>
        <v/>
      </c>
      <c r="U215">
        <f>N215-G215*LTP3!$D$4/k_n</f>
        <v/>
      </c>
      <c r="V215">
        <f>O215-H215*LTP3!$D$4/k_n</f>
        <v/>
      </c>
      <c r="W215">
        <f>((LTP3!$D$5)*((P215)*(Q215)-(R215)*(R215))-(S215)*((S215)*(Q215)-(R215)*(T215))+(T215)*((S215)*(R215)-(P215)*(T215)))</f>
        <v/>
      </c>
      <c r="X215">
        <f>IF(ABS(W215)&gt;1E-12,((LTP3!$D$6)*((P215)*(Q215)-(R215)*(R215))-(S215)*((U215)*(Q215)-(R215)*(V215))+(T215)*((U215)*(R215)-(P215)*(V215)))/W215,0)</f>
        <v/>
      </c>
      <c r="Y215">
        <f>IF(ABS(W215)&gt;1E-12,((LTP3!$D$5)*((U215)*(Q215)-(R215)*(V215))-(LTP3!$D$6)*((S215)*(Q215)-(R215)*(T215))+(T215)*((S215)*(V215)-(U215)*(T215)))/W215,0)</f>
        <v/>
      </c>
      <c r="Z215">
        <f>IF(ABS(W215)&gt;1E-12,((LTP3!$D$5)*((P215)*(V215)-(U215)*(R215))-(S215)*((S215)*(V215)-(U215)*(T215))+(LTP3!$D$6)*((S215)*(R215)-(P215)*(T215)))/W215,0)</f>
        <v/>
      </c>
      <c r="AA215">
        <f>LTP3!$D$7-X215*LTP3!$D$6-Y215*U215-Z215*V215</f>
        <v/>
      </c>
      <c r="AB215">
        <f>IF(AND(F215,ABS(W215)&gt;1E-12,Y215&gt;0,Z215&gt;0),AA215,1E+300)</f>
        <v/>
      </c>
    </row>
    <row r="216">
      <c r="A216">
        <f>$B$3+$B$5*3</f>
        <v/>
      </c>
      <c r="B216">
        <f>$B$3+$B$5*21</f>
        <v/>
      </c>
      <c r="C216">
        <f>SUMPRODUCT(Calc!$K$3:$K$22*(Calc!$G$3:$G$22&lt;=A216))</f>
        <v/>
      </c>
      <c r="D216">
        <f>SUMPRODUCT(Calc!$K$3:$K$22*(Calc!$G$3:$G$22&gt;A216)*(Calc!$G$3:$G$22&lt;B216))</f>
        <v/>
      </c>
      <c r="E216">
        <f>SUMPRODUCT(Calc!$K$3:$K$22*(Calc!$G$3:$G$22&gt;=B216))</f>
        <v/>
      </c>
      <c r="F216">
        <f>AND(k_n&gt;=5,B216&gt;A216+1E-9,C216&gt;=2,D216&gt;=1,E216&gt;=2)</f>
        <v/>
      </c>
      <c r="G216">
        <f>SUMPRODUCT(Calc!$K$3:$K$22*(Calc!$G$3:$G$22&gt;A216)*(Calc!$G$3:$G$22-A216))</f>
        <v/>
      </c>
      <c r="H216">
        <f>SUMPRODUCT(Calc!$K$3:$K$22*(Calc!$G$3:$G$22&gt;B216)*(Calc!$G$3:$G$22-B216))</f>
        <v/>
      </c>
      <c r="I216">
        <f>SUMPRODUCT(Calc!$K$3:$K$22*(Calc!$G$3:$G$22&gt;A216)*(Calc!$G$3:$G$22-A216)^2)</f>
        <v/>
      </c>
      <c r="J216">
        <f>SUMPRODUCT(Calc!$K$3:$K$22*(Calc!$G$3:$G$22&gt;B216)*(Calc!$G$3:$G$22-B216)^2)</f>
        <v/>
      </c>
      <c r="K216">
        <f>SUMPRODUCT(Calc!$K$3:$K$22*(Calc!$G$3:$G$22&gt;A216)*(Calc!$G$3:$G$22-A216)*(Calc!$G$3:$G$22&gt;B216)*(Calc!$G$3:$G$22-B216))</f>
        <v/>
      </c>
      <c r="L216">
        <f>SUMPRODUCT(Calc!$K$3:$K$22*(Calc!$G$3:$G$22&gt;A216)*(Calc!$G$3:$G$22-A216)*Calc!$G$3:$G$22)</f>
        <v/>
      </c>
      <c r="M216">
        <f>SUMPRODUCT(Calc!$K$3:$K$22*(Calc!$G$3:$G$22&gt;B216)*(Calc!$G$3:$G$22-B216)*Calc!$G$3:$G$22)</f>
        <v/>
      </c>
      <c r="N216">
        <f>SUMPRODUCT(Calc!$K$3:$K$22*(Calc!$G$3:$G$22&gt;A216)*(Calc!$G$3:$G$22-A216)*Calc!$I$3:$I$22)</f>
        <v/>
      </c>
      <c r="O216">
        <f>SUMPRODUCT(Calc!$K$3:$K$22*(Calc!$G$3:$G$22&gt;B216)*(Calc!$G$3:$G$22-B216)*Calc!$I$3:$I$22)</f>
        <v/>
      </c>
      <c r="P216">
        <f>I216-G216^2/k_n</f>
        <v/>
      </c>
      <c r="Q216">
        <f>J216-H216^2/k_n</f>
        <v/>
      </c>
      <c r="R216">
        <f>K216-G216*H216/k_n</f>
        <v/>
      </c>
      <c r="S216">
        <f>L216-LTP3!$D$3*G216/k_n</f>
        <v/>
      </c>
      <c r="T216">
        <f>M216-LTP3!$D$3*H216/k_n</f>
        <v/>
      </c>
      <c r="U216">
        <f>N216-G216*LTP3!$D$4/k_n</f>
        <v/>
      </c>
      <c r="V216">
        <f>O216-H216*LTP3!$D$4/k_n</f>
        <v/>
      </c>
      <c r="W216">
        <f>((LTP3!$D$5)*((P216)*(Q216)-(R216)*(R216))-(S216)*((S216)*(Q216)-(R216)*(T216))+(T216)*((S216)*(R216)-(P216)*(T216)))</f>
        <v/>
      </c>
      <c r="X216">
        <f>IF(ABS(W216)&gt;1E-12,((LTP3!$D$6)*((P216)*(Q216)-(R216)*(R216))-(S216)*((U216)*(Q216)-(R216)*(V216))+(T216)*((U216)*(R216)-(P216)*(V216)))/W216,0)</f>
        <v/>
      </c>
      <c r="Y216">
        <f>IF(ABS(W216)&gt;1E-12,((LTP3!$D$5)*((U216)*(Q216)-(R216)*(V216))-(LTP3!$D$6)*((S216)*(Q216)-(R216)*(T216))+(T216)*((S216)*(V216)-(U216)*(T216)))/W216,0)</f>
        <v/>
      </c>
      <c r="Z216">
        <f>IF(ABS(W216)&gt;1E-12,((LTP3!$D$5)*((P216)*(V216)-(U216)*(R216))-(S216)*((S216)*(V216)-(U216)*(T216))+(LTP3!$D$6)*((S216)*(R216)-(P216)*(T216)))/W216,0)</f>
        <v/>
      </c>
      <c r="AA216">
        <f>LTP3!$D$7-X216*LTP3!$D$6-Y216*U216-Z216*V216</f>
        <v/>
      </c>
      <c r="AB216">
        <f>IF(AND(F216,ABS(W216)&gt;1E-12,Y216&gt;0,Z216&gt;0),AA216,1E+300)</f>
        <v/>
      </c>
    </row>
    <row r="217">
      <c r="A217">
        <f>$B$3+$B$5*3</f>
        <v/>
      </c>
      <c r="B217">
        <f>$B$3+$B$5*22</f>
        <v/>
      </c>
      <c r="C217">
        <f>SUMPRODUCT(Calc!$K$3:$K$22*(Calc!$G$3:$G$22&lt;=A217))</f>
        <v/>
      </c>
      <c r="D217">
        <f>SUMPRODUCT(Calc!$K$3:$K$22*(Calc!$G$3:$G$22&gt;A217)*(Calc!$G$3:$G$22&lt;B217))</f>
        <v/>
      </c>
      <c r="E217">
        <f>SUMPRODUCT(Calc!$K$3:$K$22*(Calc!$G$3:$G$22&gt;=B217))</f>
        <v/>
      </c>
      <c r="F217">
        <f>AND(k_n&gt;=5,B217&gt;A217+1E-9,C217&gt;=2,D217&gt;=1,E217&gt;=2)</f>
        <v/>
      </c>
      <c r="G217">
        <f>SUMPRODUCT(Calc!$K$3:$K$22*(Calc!$G$3:$G$22&gt;A217)*(Calc!$G$3:$G$22-A217))</f>
        <v/>
      </c>
      <c r="H217">
        <f>SUMPRODUCT(Calc!$K$3:$K$22*(Calc!$G$3:$G$22&gt;B217)*(Calc!$G$3:$G$22-B217))</f>
        <v/>
      </c>
      <c r="I217">
        <f>SUMPRODUCT(Calc!$K$3:$K$22*(Calc!$G$3:$G$22&gt;A217)*(Calc!$G$3:$G$22-A217)^2)</f>
        <v/>
      </c>
      <c r="J217">
        <f>SUMPRODUCT(Calc!$K$3:$K$22*(Calc!$G$3:$G$22&gt;B217)*(Calc!$G$3:$G$22-B217)^2)</f>
        <v/>
      </c>
      <c r="K217">
        <f>SUMPRODUCT(Calc!$K$3:$K$22*(Calc!$G$3:$G$22&gt;A217)*(Calc!$G$3:$G$22-A217)*(Calc!$G$3:$G$22&gt;B217)*(Calc!$G$3:$G$22-B217))</f>
        <v/>
      </c>
      <c r="L217">
        <f>SUMPRODUCT(Calc!$K$3:$K$22*(Calc!$G$3:$G$22&gt;A217)*(Calc!$G$3:$G$22-A217)*Calc!$G$3:$G$22)</f>
        <v/>
      </c>
      <c r="M217">
        <f>SUMPRODUCT(Calc!$K$3:$K$22*(Calc!$G$3:$G$22&gt;B217)*(Calc!$G$3:$G$22-B217)*Calc!$G$3:$G$22)</f>
        <v/>
      </c>
      <c r="N217">
        <f>SUMPRODUCT(Calc!$K$3:$K$22*(Calc!$G$3:$G$22&gt;A217)*(Calc!$G$3:$G$22-A217)*Calc!$I$3:$I$22)</f>
        <v/>
      </c>
      <c r="O217">
        <f>SUMPRODUCT(Calc!$K$3:$K$22*(Calc!$G$3:$G$22&gt;B217)*(Calc!$G$3:$G$22-B217)*Calc!$I$3:$I$22)</f>
        <v/>
      </c>
      <c r="P217">
        <f>I217-G217^2/k_n</f>
        <v/>
      </c>
      <c r="Q217">
        <f>J217-H217^2/k_n</f>
        <v/>
      </c>
      <c r="R217">
        <f>K217-G217*H217/k_n</f>
        <v/>
      </c>
      <c r="S217">
        <f>L217-LTP3!$D$3*G217/k_n</f>
        <v/>
      </c>
      <c r="T217">
        <f>M217-LTP3!$D$3*H217/k_n</f>
        <v/>
      </c>
      <c r="U217">
        <f>N217-G217*LTP3!$D$4/k_n</f>
        <v/>
      </c>
      <c r="V217">
        <f>O217-H217*LTP3!$D$4/k_n</f>
        <v/>
      </c>
      <c r="W217">
        <f>((LTP3!$D$5)*((P217)*(Q217)-(R217)*(R217))-(S217)*((S217)*(Q217)-(R217)*(T217))+(T217)*((S217)*(R217)-(P217)*(T217)))</f>
        <v/>
      </c>
      <c r="X217">
        <f>IF(ABS(W217)&gt;1E-12,((LTP3!$D$6)*((P217)*(Q217)-(R217)*(R217))-(S217)*((U217)*(Q217)-(R217)*(V217))+(T217)*((U217)*(R217)-(P217)*(V217)))/W217,0)</f>
        <v/>
      </c>
      <c r="Y217">
        <f>IF(ABS(W217)&gt;1E-12,((LTP3!$D$5)*((U217)*(Q217)-(R217)*(V217))-(LTP3!$D$6)*((S217)*(Q217)-(R217)*(T217))+(T217)*((S217)*(V217)-(U217)*(T217)))/W217,0)</f>
        <v/>
      </c>
      <c r="Z217">
        <f>IF(ABS(W217)&gt;1E-12,((LTP3!$D$5)*((P217)*(V217)-(U217)*(R217))-(S217)*((S217)*(V217)-(U217)*(T217))+(LTP3!$D$6)*((S217)*(R217)-(P217)*(T217)))/W217,0)</f>
        <v/>
      </c>
      <c r="AA217">
        <f>LTP3!$D$7-X217*LTP3!$D$6-Y217*U217-Z217*V217</f>
        <v/>
      </c>
      <c r="AB217">
        <f>IF(AND(F217,ABS(W217)&gt;1E-12,Y217&gt;0,Z217&gt;0),AA217,1E+300)</f>
        <v/>
      </c>
    </row>
    <row r="218">
      <c r="A218">
        <f>$B$3+$B$5*3</f>
        <v/>
      </c>
      <c r="B218">
        <f>$B$3+$B$5*23</f>
        <v/>
      </c>
      <c r="C218">
        <f>SUMPRODUCT(Calc!$K$3:$K$22*(Calc!$G$3:$G$22&lt;=A218))</f>
        <v/>
      </c>
      <c r="D218">
        <f>SUMPRODUCT(Calc!$K$3:$K$22*(Calc!$G$3:$G$22&gt;A218)*(Calc!$G$3:$G$22&lt;B218))</f>
        <v/>
      </c>
      <c r="E218">
        <f>SUMPRODUCT(Calc!$K$3:$K$22*(Calc!$G$3:$G$22&gt;=B218))</f>
        <v/>
      </c>
      <c r="F218">
        <f>AND(k_n&gt;=5,B218&gt;A218+1E-9,C218&gt;=2,D218&gt;=1,E218&gt;=2)</f>
        <v/>
      </c>
      <c r="G218">
        <f>SUMPRODUCT(Calc!$K$3:$K$22*(Calc!$G$3:$G$22&gt;A218)*(Calc!$G$3:$G$22-A218))</f>
        <v/>
      </c>
      <c r="H218">
        <f>SUMPRODUCT(Calc!$K$3:$K$22*(Calc!$G$3:$G$22&gt;B218)*(Calc!$G$3:$G$22-B218))</f>
        <v/>
      </c>
      <c r="I218">
        <f>SUMPRODUCT(Calc!$K$3:$K$22*(Calc!$G$3:$G$22&gt;A218)*(Calc!$G$3:$G$22-A218)^2)</f>
        <v/>
      </c>
      <c r="J218">
        <f>SUMPRODUCT(Calc!$K$3:$K$22*(Calc!$G$3:$G$22&gt;B218)*(Calc!$G$3:$G$22-B218)^2)</f>
        <v/>
      </c>
      <c r="K218">
        <f>SUMPRODUCT(Calc!$K$3:$K$22*(Calc!$G$3:$G$22&gt;A218)*(Calc!$G$3:$G$22-A218)*(Calc!$G$3:$G$22&gt;B218)*(Calc!$G$3:$G$22-B218))</f>
        <v/>
      </c>
      <c r="L218">
        <f>SUMPRODUCT(Calc!$K$3:$K$22*(Calc!$G$3:$G$22&gt;A218)*(Calc!$G$3:$G$22-A218)*Calc!$G$3:$G$22)</f>
        <v/>
      </c>
      <c r="M218">
        <f>SUMPRODUCT(Calc!$K$3:$K$22*(Calc!$G$3:$G$22&gt;B218)*(Calc!$G$3:$G$22-B218)*Calc!$G$3:$G$22)</f>
        <v/>
      </c>
      <c r="N218">
        <f>SUMPRODUCT(Calc!$K$3:$K$22*(Calc!$G$3:$G$22&gt;A218)*(Calc!$G$3:$G$22-A218)*Calc!$I$3:$I$22)</f>
        <v/>
      </c>
      <c r="O218">
        <f>SUMPRODUCT(Calc!$K$3:$K$22*(Calc!$G$3:$G$22&gt;B218)*(Calc!$G$3:$G$22-B218)*Calc!$I$3:$I$22)</f>
        <v/>
      </c>
      <c r="P218">
        <f>I218-G218^2/k_n</f>
        <v/>
      </c>
      <c r="Q218">
        <f>J218-H218^2/k_n</f>
        <v/>
      </c>
      <c r="R218">
        <f>K218-G218*H218/k_n</f>
        <v/>
      </c>
      <c r="S218">
        <f>L218-LTP3!$D$3*G218/k_n</f>
        <v/>
      </c>
      <c r="T218">
        <f>M218-LTP3!$D$3*H218/k_n</f>
        <v/>
      </c>
      <c r="U218">
        <f>N218-G218*LTP3!$D$4/k_n</f>
        <v/>
      </c>
      <c r="V218">
        <f>O218-H218*LTP3!$D$4/k_n</f>
        <v/>
      </c>
      <c r="W218">
        <f>((LTP3!$D$5)*((P218)*(Q218)-(R218)*(R218))-(S218)*((S218)*(Q218)-(R218)*(T218))+(T218)*((S218)*(R218)-(P218)*(T218)))</f>
        <v/>
      </c>
      <c r="X218">
        <f>IF(ABS(W218)&gt;1E-12,((LTP3!$D$6)*((P218)*(Q218)-(R218)*(R218))-(S218)*((U218)*(Q218)-(R218)*(V218))+(T218)*((U218)*(R218)-(P218)*(V218)))/W218,0)</f>
        <v/>
      </c>
      <c r="Y218">
        <f>IF(ABS(W218)&gt;1E-12,((LTP3!$D$5)*((U218)*(Q218)-(R218)*(V218))-(LTP3!$D$6)*((S218)*(Q218)-(R218)*(T218))+(T218)*((S218)*(V218)-(U218)*(T218)))/W218,0)</f>
        <v/>
      </c>
      <c r="Z218">
        <f>IF(ABS(W218)&gt;1E-12,((LTP3!$D$5)*((P218)*(V218)-(U218)*(R218))-(S218)*((S218)*(V218)-(U218)*(T218))+(LTP3!$D$6)*((S218)*(R218)-(P218)*(T218)))/W218,0)</f>
        <v/>
      </c>
      <c r="AA218">
        <f>LTP3!$D$7-X218*LTP3!$D$6-Y218*U218-Z218*V218</f>
        <v/>
      </c>
      <c r="AB218">
        <f>IF(AND(F218,ABS(W218)&gt;1E-12,Y218&gt;0,Z218&gt;0),AA218,1E+300)</f>
        <v/>
      </c>
    </row>
    <row r="219">
      <c r="A219">
        <f>$B$3+$B$5*3</f>
        <v/>
      </c>
      <c r="B219">
        <f>$B$3+$B$5*24</f>
        <v/>
      </c>
      <c r="C219">
        <f>SUMPRODUCT(Calc!$K$3:$K$22*(Calc!$G$3:$G$22&lt;=A219))</f>
        <v/>
      </c>
      <c r="D219">
        <f>SUMPRODUCT(Calc!$K$3:$K$22*(Calc!$G$3:$G$22&gt;A219)*(Calc!$G$3:$G$22&lt;B219))</f>
        <v/>
      </c>
      <c r="E219">
        <f>SUMPRODUCT(Calc!$K$3:$K$22*(Calc!$G$3:$G$22&gt;=B219))</f>
        <v/>
      </c>
      <c r="F219">
        <f>AND(k_n&gt;=5,B219&gt;A219+1E-9,C219&gt;=2,D219&gt;=1,E219&gt;=2)</f>
        <v/>
      </c>
      <c r="G219">
        <f>SUMPRODUCT(Calc!$K$3:$K$22*(Calc!$G$3:$G$22&gt;A219)*(Calc!$G$3:$G$22-A219))</f>
        <v/>
      </c>
      <c r="H219">
        <f>SUMPRODUCT(Calc!$K$3:$K$22*(Calc!$G$3:$G$22&gt;B219)*(Calc!$G$3:$G$22-B219))</f>
        <v/>
      </c>
      <c r="I219">
        <f>SUMPRODUCT(Calc!$K$3:$K$22*(Calc!$G$3:$G$22&gt;A219)*(Calc!$G$3:$G$22-A219)^2)</f>
        <v/>
      </c>
      <c r="J219">
        <f>SUMPRODUCT(Calc!$K$3:$K$22*(Calc!$G$3:$G$22&gt;B219)*(Calc!$G$3:$G$22-B219)^2)</f>
        <v/>
      </c>
      <c r="K219">
        <f>SUMPRODUCT(Calc!$K$3:$K$22*(Calc!$G$3:$G$22&gt;A219)*(Calc!$G$3:$G$22-A219)*(Calc!$G$3:$G$22&gt;B219)*(Calc!$G$3:$G$22-B219))</f>
        <v/>
      </c>
      <c r="L219">
        <f>SUMPRODUCT(Calc!$K$3:$K$22*(Calc!$G$3:$G$22&gt;A219)*(Calc!$G$3:$G$22-A219)*Calc!$G$3:$G$22)</f>
        <v/>
      </c>
      <c r="M219">
        <f>SUMPRODUCT(Calc!$K$3:$K$22*(Calc!$G$3:$G$22&gt;B219)*(Calc!$G$3:$G$22-B219)*Calc!$G$3:$G$22)</f>
        <v/>
      </c>
      <c r="N219">
        <f>SUMPRODUCT(Calc!$K$3:$K$22*(Calc!$G$3:$G$22&gt;A219)*(Calc!$G$3:$G$22-A219)*Calc!$I$3:$I$22)</f>
        <v/>
      </c>
      <c r="O219">
        <f>SUMPRODUCT(Calc!$K$3:$K$22*(Calc!$G$3:$G$22&gt;B219)*(Calc!$G$3:$G$22-B219)*Calc!$I$3:$I$22)</f>
        <v/>
      </c>
      <c r="P219">
        <f>I219-G219^2/k_n</f>
        <v/>
      </c>
      <c r="Q219">
        <f>J219-H219^2/k_n</f>
        <v/>
      </c>
      <c r="R219">
        <f>K219-G219*H219/k_n</f>
        <v/>
      </c>
      <c r="S219">
        <f>L219-LTP3!$D$3*G219/k_n</f>
        <v/>
      </c>
      <c r="T219">
        <f>M219-LTP3!$D$3*H219/k_n</f>
        <v/>
      </c>
      <c r="U219">
        <f>N219-G219*LTP3!$D$4/k_n</f>
        <v/>
      </c>
      <c r="V219">
        <f>O219-H219*LTP3!$D$4/k_n</f>
        <v/>
      </c>
      <c r="W219">
        <f>((LTP3!$D$5)*((P219)*(Q219)-(R219)*(R219))-(S219)*((S219)*(Q219)-(R219)*(T219))+(T219)*((S219)*(R219)-(P219)*(T219)))</f>
        <v/>
      </c>
      <c r="X219">
        <f>IF(ABS(W219)&gt;1E-12,((LTP3!$D$6)*((P219)*(Q219)-(R219)*(R219))-(S219)*((U219)*(Q219)-(R219)*(V219))+(T219)*((U219)*(R219)-(P219)*(V219)))/W219,0)</f>
        <v/>
      </c>
      <c r="Y219">
        <f>IF(ABS(W219)&gt;1E-12,((LTP3!$D$5)*((U219)*(Q219)-(R219)*(V219))-(LTP3!$D$6)*((S219)*(Q219)-(R219)*(T219))+(T219)*((S219)*(V219)-(U219)*(T219)))/W219,0)</f>
        <v/>
      </c>
      <c r="Z219">
        <f>IF(ABS(W219)&gt;1E-12,((LTP3!$D$5)*((P219)*(V219)-(U219)*(R219))-(S219)*((S219)*(V219)-(U219)*(T219))+(LTP3!$D$6)*((S219)*(R219)-(P219)*(T219)))/W219,0)</f>
        <v/>
      </c>
      <c r="AA219">
        <f>LTP3!$D$7-X219*LTP3!$D$6-Y219*U219-Z219*V219</f>
        <v/>
      </c>
      <c r="AB219">
        <f>IF(AND(F219,ABS(W219)&gt;1E-12,Y219&gt;0,Z219&gt;0),AA219,1E+300)</f>
        <v/>
      </c>
    </row>
    <row r="220">
      <c r="A220">
        <f>$B$3+$B$5*3</f>
        <v/>
      </c>
      <c r="B220">
        <f>$B$3+$B$5*25</f>
        <v/>
      </c>
      <c r="C220">
        <f>SUMPRODUCT(Calc!$K$3:$K$22*(Calc!$G$3:$G$22&lt;=A220))</f>
        <v/>
      </c>
      <c r="D220">
        <f>SUMPRODUCT(Calc!$K$3:$K$22*(Calc!$G$3:$G$22&gt;A220)*(Calc!$G$3:$G$22&lt;B220))</f>
        <v/>
      </c>
      <c r="E220">
        <f>SUMPRODUCT(Calc!$K$3:$K$22*(Calc!$G$3:$G$22&gt;=B220))</f>
        <v/>
      </c>
      <c r="F220">
        <f>AND(k_n&gt;=5,B220&gt;A220+1E-9,C220&gt;=2,D220&gt;=1,E220&gt;=2)</f>
        <v/>
      </c>
      <c r="G220">
        <f>SUMPRODUCT(Calc!$K$3:$K$22*(Calc!$G$3:$G$22&gt;A220)*(Calc!$G$3:$G$22-A220))</f>
        <v/>
      </c>
      <c r="H220">
        <f>SUMPRODUCT(Calc!$K$3:$K$22*(Calc!$G$3:$G$22&gt;B220)*(Calc!$G$3:$G$22-B220))</f>
        <v/>
      </c>
      <c r="I220">
        <f>SUMPRODUCT(Calc!$K$3:$K$22*(Calc!$G$3:$G$22&gt;A220)*(Calc!$G$3:$G$22-A220)^2)</f>
        <v/>
      </c>
      <c r="J220">
        <f>SUMPRODUCT(Calc!$K$3:$K$22*(Calc!$G$3:$G$22&gt;B220)*(Calc!$G$3:$G$22-B220)^2)</f>
        <v/>
      </c>
      <c r="K220">
        <f>SUMPRODUCT(Calc!$K$3:$K$22*(Calc!$G$3:$G$22&gt;A220)*(Calc!$G$3:$G$22-A220)*(Calc!$G$3:$G$22&gt;B220)*(Calc!$G$3:$G$22-B220))</f>
        <v/>
      </c>
      <c r="L220">
        <f>SUMPRODUCT(Calc!$K$3:$K$22*(Calc!$G$3:$G$22&gt;A220)*(Calc!$G$3:$G$22-A220)*Calc!$G$3:$G$22)</f>
        <v/>
      </c>
      <c r="M220">
        <f>SUMPRODUCT(Calc!$K$3:$K$22*(Calc!$G$3:$G$22&gt;B220)*(Calc!$G$3:$G$22-B220)*Calc!$G$3:$G$22)</f>
        <v/>
      </c>
      <c r="N220">
        <f>SUMPRODUCT(Calc!$K$3:$K$22*(Calc!$G$3:$G$22&gt;A220)*(Calc!$G$3:$G$22-A220)*Calc!$I$3:$I$22)</f>
        <v/>
      </c>
      <c r="O220">
        <f>SUMPRODUCT(Calc!$K$3:$K$22*(Calc!$G$3:$G$22&gt;B220)*(Calc!$G$3:$G$22-B220)*Calc!$I$3:$I$22)</f>
        <v/>
      </c>
      <c r="P220">
        <f>I220-G220^2/k_n</f>
        <v/>
      </c>
      <c r="Q220">
        <f>J220-H220^2/k_n</f>
        <v/>
      </c>
      <c r="R220">
        <f>K220-G220*H220/k_n</f>
        <v/>
      </c>
      <c r="S220">
        <f>L220-LTP3!$D$3*G220/k_n</f>
        <v/>
      </c>
      <c r="T220">
        <f>M220-LTP3!$D$3*H220/k_n</f>
        <v/>
      </c>
      <c r="U220">
        <f>N220-G220*LTP3!$D$4/k_n</f>
        <v/>
      </c>
      <c r="V220">
        <f>O220-H220*LTP3!$D$4/k_n</f>
        <v/>
      </c>
      <c r="W220">
        <f>((LTP3!$D$5)*((P220)*(Q220)-(R220)*(R220))-(S220)*((S220)*(Q220)-(R220)*(T220))+(T220)*((S220)*(R220)-(P220)*(T220)))</f>
        <v/>
      </c>
      <c r="X220">
        <f>IF(ABS(W220)&gt;1E-12,((LTP3!$D$6)*((P220)*(Q220)-(R220)*(R220))-(S220)*((U220)*(Q220)-(R220)*(V220))+(T220)*((U220)*(R220)-(P220)*(V220)))/W220,0)</f>
        <v/>
      </c>
      <c r="Y220">
        <f>IF(ABS(W220)&gt;1E-12,((LTP3!$D$5)*((U220)*(Q220)-(R220)*(V220))-(LTP3!$D$6)*((S220)*(Q220)-(R220)*(T220))+(T220)*((S220)*(V220)-(U220)*(T220)))/W220,0)</f>
        <v/>
      </c>
      <c r="Z220">
        <f>IF(ABS(W220)&gt;1E-12,((LTP3!$D$5)*((P220)*(V220)-(U220)*(R220))-(S220)*((S220)*(V220)-(U220)*(T220))+(LTP3!$D$6)*((S220)*(R220)-(P220)*(T220)))/W220,0)</f>
        <v/>
      </c>
      <c r="AA220">
        <f>LTP3!$D$7-X220*LTP3!$D$6-Y220*U220-Z220*V220</f>
        <v/>
      </c>
      <c r="AB220">
        <f>IF(AND(F220,ABS(W220)&gt;1E-12,Y220&gt;0,Z220&gt;0),AA220,1E+300)</f>
        <v/>
      </c>
    </row>
    <row r="221">
      <c r="A221">
        <f>$B$3+$B$5*3</f>
        <v/>
      </c>
      <c r="B221">
        <f>$B$3+$B$5*26</f>
        <v/>
      </c>
      <c r="C221">
        <f>SUMPRODUCT(Calc!$K$3:$K$22*(Calc!$G$3:$G$22&lt;=A221))</f>
        <v/>
      </c>
      <c r="D221">
        <f>SUMPRODUCT(Calc!$K$3:$K$22*(Calc!$G$3:$G$22&gt;A221)*(Calc!$G$3:$G$22&lt;B221))</f>
        <v/>
      </c>
      <c r="E221">
        <f>SUMPRODUCT(Calc!$K$3:$K$22*(Calc!$G$3:$G$22&gt;=B221))</f>
        <v/>
      </c>
      <c r="F221">
        <f>AND(k_n&gt;=5,B221&gt;A221+1E-9,C221&gt;=2,D221&gt;=1,E221&gt;=2)</f>
        <v/>
      </c>
      <c r="G221">
        <f>SUMPRODUCT(Calc!$K$3:$K$22*(Calc!$G$3:$G$22&gt;A221)*(Calc!$G$3:$G$22-A221))</f>
        <v/>
      </c>
      <c r="H221">
        <f>SUMPRODUCT(Calc!$K$3:$K$22*(Calc!$G$3:$G$22&gt;B221)*(Calc!$G$3:$G$22-B221))</f>
        <v/>
      </c>
      <c r="I221">
        <f>SUMPRODUCT(Calc!$K$3:$K$22*(Calc!$G$3:$G$22&gt;A221)*(Calc!$G$3:$G$22-A221)^2)</f>
        <v/>
      </c>
      <c r="J221">
        <f>SUMPRODUCT(Calc!$K$3:$K$22*(Calc!$G$3:$G$22&gt;B221)*(Calc!$G$3:$G$22-B221)^2)</f>
        <v/>
      </c>
      <c r="K221">
        <f>SUMPRODUCT(Calc!$K$3:$K$22*(Calc!$G$3:$G$22&gt;A221)*(Calc!$G$3:$G$22-A221)*(Calc!$G$3:$G$22&gt;B221)*(Calc!$G$3:$G$22-B221))</f>
        <v/>
      </c>
      <c r="L221">
        <f>SUMPRODUCT(Calc!$K$3:$K$22*(Calc!$G$3:$G$22&gt;A221)*(Calc!$G$3:$G$22-A221)*Calc!$G$3:$G$22)</f>
        <v/>
      </c>
      <c r="M221">
        <f>SUMPRODUCT(Calc!$K$3:$K$22*(Calc!$G$3:$G$22&gt;B221)*(Calc!$G$3:$G$22-B221)*Calc!$G$3:$G$22)</f>
        <v/>
      </c>
      <c r="N221">
        <f>SUMPRODUCT(Calc!$K$3:$K$22*(Calc!$G$3:$G$22&gt;A221)*(Calc!$G$3:$G$22-A221)*Calc!$I$3:$I$22)</f>
        <v/>
      </c>
      <c r="O221">
        <f>SUMPRODUCT(Calc!$K$3:$K$22*(Calc!$G$3:$G$22&gt;B221)*(Calc!$G$3:$G$22-B221)*Calc!$I$3:$I$22)</f>
        <v/>
      </c>
      <c r="P221">
        <f>I221-G221^2/k_n</f>
        <v/>
      </c>
      <c r="Q221">
        <f>J221-H221^2/k_n</f>
        <v/>
      </c>
      <c r="R221">
        <f>K221-G221*H221/k_n</f>
        <v/>
      </c>
      <c r="S221">
        <f>L221-LTP3!$D$3*G221/k_n</f>
        <v/>
      </c>
      <c r="T221">
        <f>M221-LTP3!$D$3*H221/k_n</f>
        <v/>
      </c>
      <c r="U221">
        <f>N221-G221*LTP3!$D$4/k_n</f>
        <v/>
      </c>
      <c r="V221">
        <f>O221-H221*LTP3!$D$4/k_n</f>
        <v/>
      </c>
      <c r="W221">
        <f>((LTP3!$D$5)*((P221)*(Q221)-(R221)*(R221))-(S221)*((S221)*(Q221)-(R221)*(T221))+(T221)*((S221)*(R221)-(P221)*(T221)))</f>
        <v/>
      </c>
      <c r="X221">
        <f>IF(ABS(W221)&gt;1E-12,((LTP3!$D$6)*((P221)*(Q221)-(R221)*(R221))-(S221)*((U221)*(Q221)-(R221)*(V221))+(T221)*((U221)*(R221)-(P221)*(V221)))/W221,0)</f>
        <v/>
      </c>
      <c r="Y221">
        <f>IF(ABS(W221)&gt;1E-12,((LTP3!$D$5)*((U221)*(Q221)-(R221)*(V221))-(LTP3!$D$6)*((S221)*(Q221)-(R221)*(T221))+(T221)*((S221)*(V221)-(U221)*(T221)))/W221,0)</f>
        <v/>
      </c>
      <c r="Z221">
        <f>IF(ABS(W221)&gt;1E-12,((LTP3!$D$5)*((P221)*(V221)-(U221)*(R221))-(S221)*((S221)*(V221)-(U221)*(T221))+(LTP3!$D$6)*((S221)*(R221)-(P221)*(T221)))/W221,0)</f>
        <v/>
      </c>
      <c r="AA221">
        <f>LTP3!$D$7-X221*LTP3!$D$6-Y221*U221-Z221*V221</f>
        <v/>
      </c>
      <c r="AB221">
        <f>IF(AND(F221,ABS(W221)&gt;1E-12,Y221&gt;0,Z221&gt;0),AA221,1E+300)</f>
        <v/>
      </c>
    </row>
    <row r="222">
      <c r="A222">
        <f>$B$3+$B$5*3</f>
        <v/>
      </c>
      <c r="B222">
        <f>$B$3+$B$5*27</f>
        <v/>
      </c>
      <c r="C222">
        <f>SUMPRODUCT(Calc!$K$3:$K$22*(Calc!$G$3:$G$22&lt;=A222))</f>
        <v/>
      </c>
      <c r="D222">
        <f>SUMPRODUCT(Calc!$K$3:$K$22*(Calc!$G$3:$G$22&gt;A222)*(Calc!$G$3:$G$22&lt;B222))</f>
        <v/>
      </c>
      <c r="E222">
        <f>SUMPRODUCT(Calc!$K$3:$K$22*(Calc!$G$3:$G$22&gt;=B222))</f>
        <v/>
      </c>
      <c r="F222">
        <f>AND(k_n&gt;=5,B222&gt;A222+1E-9,C222&gt;=2,D222&gt;=1,E222&gt;=2)</f>
        <v/>
      </c>
      <c r="G222">
        <f>SUMPRODUCT(Calc!$K$3:$K$22*(Calc!$G$3:$G$22&gt;A222)*(Calc!$G$3:$G$22-A222))</f>
        <v/>
      </c>
      <c r="H222">
        <f>SUMPRODUCT(Calc!$K$3:$K$22*(Calc!$G$3:$G$22&gt;B222)*(Calc!$G$3:$G$22-B222))</f>
        <v/>
      </c>
      <c r="I222">
        <f>SUMPRODUCT(Calc!$K$3:$K$22*(Calc!$G$3:$G$22&gt;A222)*(Calc!$G$3:$G$22-A222)^2)</f>
        <v/>
      </c>
      <c r="J222">
        <f>SUMPRODUCT(Calc!$K$3:$K$22*(Calc!$G$3:$G$22&gt;B222)*(Calc!$G$3:$G$22-B222)^2)</f>
        <v/>
      </c>
      <c r="K222">
        <f>SUMPRODUCT(Calc!$K$3:$K$22*(Calc!$G$3:$G$22&gt;A222)*(Calc!$G$3:$G$22-A222)*(Calc!$G$3:$G$22&gt;B222)*(Calc!$G$3:$G$22-B222))</f>
        <v/>
      </c>
      <c r="L222">
        <f>SUMPRODUCT(Calc!$K$3:$K$22*(Calc!$G$3:$G$22&gt;A222)*(Calc!$G$3:$G$22-A222)*Calc!$G$3:$G$22)</f>
        <v/>
      </c>
      <c r="M222">
        <f>SUMPRODUCT(Calc!$K$3:$K$22*(Calc!$G$3:$G$22&gt;B222)*(Calc!$G$3:$G$22-B222)*Calc!$G$3:$G$22)</f>
        <v/>
      </c>
      <c r="N222">
        <f>SUMPRODUCT(Calc!$K$3:$K$22*(Calc!$G$3:$G$22&gt;A222)*(Calc!$G$3:$G$22-A222)*Calc!$I$3:$I$22)</f>
        <v/>
      </c>
      <c r="O222">
        <f>SUMPRODUCT(Calc!$K$3:$K$22*(Calc!$G$3:$G$22&gt;B222)*(Calc!$G$3:$G$22-B222)*Calc!$I$3:$I$22)</f>
        <v/>
      </c>
      <c r="P222">
        <f>I222-G222^2/k_n</f>
        <v/>
      </c>
      <c r="Q222">
        <f>J222-H222^2/k_n</f>
        <v/>
      </c>
      <c r="R222">
        <f>K222-G222*H222/k_n</f>
        <v/>
      </c>
      <c r="S222">
        <f>L222-LTP3!$D$3*G222/k_n</f>
        <v/>
      </c>
      <c r="T222">
        <f>M222-LTP3!$D$3*H222/k_n</f>
        <v/>
      </c>
      <c r="U222">
        <f>N222-G222*LTP3!$D$4/k_n</f>
        <v/>
      </c>
      <c r="V222">
        <f>O222-H222*LTP3!$D$4/k_n</f>
        <v/>
      </c>
      <c r="W222">
        <f>((LTP3!$D$5)*((P222)*(Q222)-(R222)*(R222))-(S222)*((S222)*(Q222)-(R222)*(T222))+(T222)*((S222)*(R222)-(P222)*(T222)))</f>
        <v/>
      </c>
      <c r="X222">
        <f>IF(ABS(W222)&gt;1E-12,((LTP3!$D$6)*((P222)*(Q222)-(R222)*(R222))-(S222)*((U222)*(Q222)-(R222)*(V222))+(T222)*((U222)*(R222)-(P222)*(V222)))/W222,0)</f>
        <v/>
      </c>
      <c r="Y222">
        <f>IF(ABS(W222)&gt;1E-12,((LTP3!$D$5)*((U222)*(Q222)-(R222)*(V222))-(LTP3!$D$6)*((S222)*(Q222)-(R222)*(T222))+(T222)*((S222)*(V222)-(U222)*(T222)))/W222,0)</f>
        <v/>
      </c>
      <c r="Z222">
        <f>IF(ABS(W222)&gt;1E-12,((LTP3!$D$5)*((P222)*(V222)-(U222)*(R222))-(S222)*((S222)*(V222)-(U222)*(T222))+(LTP3!$D$6)*((S222)*(R222)-(P222)*(T222)))/W222,0)</f>
        <v/>
      </c>
      <c r="AA222">
        <f>LTP3!$D$7-X222*LTP3!$D$6-Y222*U222-Z222*V222</f>
        <v/>
      </c>
      <c r="AB222">
        <f>IF(AND(F222,ABS(W222)&gt;1E-12,Y222&gt;0,Z222&gt;0),AA222,1E+300)</f>
        <v/>
      </c>
    </row>
    <row r="223">
      <c r="A223">
        <f>$B$3+$B$5*3</f>
        <v/>
      </c>
      <c r="B223">
        <f>$B$3+$B$5*28</f>
        <v/>
      </c>
      <c r="C223">
        <f>SUMPRODUCT(Calc!$K$3:$K$22*(Calc!$G$3:$G$22&lt;=A223))</f>
        <v/>
      </c>
      <c r="D223">
        <f>SUMPRODUCT(Calc!$K$3:$K$22*(Calc!$G$3:$G$22&gt;A223)*(Calc!$G$3:$G$22&lt;B223))</f>
        <v/>
      </c>
      <c r="E223">
        <f>SUMPRODUCT(Calc!$K$3:$K$22*(Calc!$G$3:$G$22&gt;=B223))</f>
        <v/>
      </c>
      <c r="F223">
        <f>AND(k_n&gt;=5,B223&gt;A223+1E-9,C223&gt;=2,D223&gt;=1,E223&gt;=2)</f>
        <v/>
      </c>
      <c r="G223">
        <f>SUMPRODUCT(Calc!$K$3:$K$22*(Calc!$G$3:$G$22&gt;A223)*(Calc!$G$3:$G$22-A223))</f>
        <v/>
      </c>
      <c r="H223">
        <f>SUMPRODUCT(Calc!$K$3:$K$22*(Calc!$G$3:$G$22&gt;B223)*(Calc!$G$3:$G$22-B223))</f>
        <v/>
      </c>
      <c r="I223">
        <f>SUMPRODUCT(Calc!$K$3:$K$22*(Calc!$G$3:$G$22&gt;A223)*(Calc!$G$3:$G$22-A223)^2)</f>
        <v/>
      </c>
      <c r="J223">
        <f>SUMPRODUCT(Calc!$K$3:$K$22*(Calc!$G$3:$G$22&gt;B223)*(Calc!$G$3:$G$22-B223)^2)</f>
        <v/>
      </c>
      <c r="K223">
        <f>SUMPRODUCT(Calc!$K$3:$K$22*(Calc!$G$3:$G$22&gt;A223)*(Calc!$G$3:$G$22-A223)*(Calc!$G$3:$G$22&gt;B223)*(Calc!$G$3:$G$22-B223))</f>
        <v/>
      </c>
      <c r="L223">
        <f>SUMPRODUCT(Calc!$K$3:$K$22*(Calc!$G$3:$G$22&gt;A223)*(Calc!$G$3:$G$22-A223)*Calc!$G$3:$G$22)</f>
        <v/>
      </c>
      <c r="M223">
        <f>SUMPRODUCT(Calc!$K$3:$K$22*(Calc!$G$3:$G$22&gt;B223)*(Calc!$G$3:$G$22-B223)*Calc!$G$3:$G$22)</f>
        <v/>
      </c>
      <c r="N223">
        <f>SUMPRODUCT(Calc!$K$3:$K$22*(Calc!$G$3:$G$22&gt;A223)*(Calc!$G$3:$G$22-A223)*Calc!$I$3:$I$22)</f>
        <v/>
      </c>
      <c r="O223">
        <f>SUMPRODUCT(Calc!$K$3:$K$22*(Calc!$G$3:$G$22&gt;B223)*(Calc!$G$3:$G$22-B223)*Calc!$I$3:$I$22)</f>
        <v/>
      </c>
      <c r="P223">
        <f>I223-G223^2/k_n</f>
        <v/>
      </c>
      <c r="Q223">
        <f>J223-H223^2/k_n</f>
        <v/>
      </c>
      <c r="R223">
        <f>K223-G223*H223/k_n</f>
        <v/>
      </c>
      <c r="S223">
        <f>L223-LTP3!$D$3*G223/k_n</f>
        <v/>
      </c>
      <c r="T223">
        <f>M223-LTP3!$D$3*H223/k_n</f>
        <v/>
      </c>
      <c r="U223">
        <f>N223-G223*LTP3!$D$4/k_n</f>
        <v/>
      </c>
      <c r="V223">
        <f>O223-H223*LTP3!$D$4/k_n</f>
        <v/>
      </c>
      <c r="W223">
        <f>((LTP3!$D$5)*((P223)*(Q223)-(R223)*(R223))-(S223)*((S223)*(Q223)-(R223)*(T223))+(T223)*((S223)*(R223)-(P223)*(T223)))</f>
        <v/>
      </c>
      <c r="X223">
        <f>IF(ABS(W223)&gt;1E-12,((LTP3!$D$6)*((P223)*(Q223)-(R223)*(R223))-(S223)*((U223)*(Q223)-(R223)*(V223))+(T223)*((U223)*(R223)-(P223)*(V223)))/W223,0)</f>
        <v/>
      </c>
      <c r="Y223">
        <f>IF(ABS(W223)&gt;1E-12,((LTP3!$D$5)*((U223)*(Q223)-(R223)*(V223))-(LTP3!$D$6)*((S223)*(Q223)-(R223)*(T223))+(T223)*((S223)*(V223)-(U223)*(T223)))/W223,0)</f>
        <v/>
      </c>
      <c r="Z223">
        <f>IF(ABS(W223)&gt;1E-12,((LTP3!$D$5)*((P223)*(V223)-(U223)*(R223))-(S223)*((S223)*(V223)-(U223)*(T223))+(LTP3!$D$6)*((S223)*(R223)-(P223)*(T223)))/W223,0)</f>
        <v/>
      </c>
      <c r="AA223">
        <f>LTP3!$D$7-X223*LTP3!$D$6-Y223*U223-Z223*V223</f>
        <v/>
      </c>
      <c r="AB223">
        <f>IF(AND(F223,ABS(W223)&gt;1E-12,Y223&gt;0,Z223&gt;0),AA223,1E+300)</f>
        <v/>
      </c>
    </row>
    <row r="224">
      <c r="A224">
        <f>$B$3+$B$5*3</f>
        <v/>
      </c>
      <c r="B224">
        <f>$B$3+$B$5*29</f>
        <v/>
      </c>
      <c r="C224">
        <f>SUMPRODUCT(Calc!$K$3:$K$22*(Calc!$G$3:$G$22&lt;=A224))</f>
        <v/>
      </c>
      <c r="D224">
        <f>SUMPRODUCT(Calc!$K$3:$K$22*(Calc!$G$3:$G$22&gt;A224)*(Calc!$G$3:$G$22&lt;B224))</f>
        <v/>
      </c>
      <c r="E224">
        <f>SUMPRODUCT(Calc!$K$3:$K$22*(Calc!$G$3:$G$22&gt;=B224))</f>
        <v/>
      </c>
      <c r="F224">
        <f>AND(k_n&gt;=5,B224&gt;A224+1E-9,C224&gt;=2,D224&gt;=1,E224&gt;=2)</f>
        <v/>
      </c>
      <c r="G224">
        <f>SUMPRODUCT(Calc!$K$3:$K$22*(Calc!$G$3:$G$22&gt;A224)*(Calc!$G$3:$G$22-A224))</f>
        <v/>
      </c>
      <c r="H224">
        <f>SUMPRODUCT(Calc!$K$3:$K$22*(Calc!$G$3:$G$22&gt;B224)*(Calc!$G$3:$G$22-B224))</f>
        <v/>
      </c>
      <c r="I224">
        <f>SUMPRODUCT(Calc!$K$3:$K$22*(Calc!$G$3:$G$22&gt;A224)*(Calc!$G$3:$G$22-A224)^2)</f>
        <v/>
      </c>
      <c r="J224">
        <f>SUMPRODUCT(Calc!$K$3:$K$22*(Calc!$G$3:$G$22&gt;B224)*(Calc!$G$3:$G$22-B224)^2)</f>
        <v/>
      </c>
      <c r="K224">
        <f>SUMPRODUCT(Calc!$K$3:$K$22*(Calc!$G$3:$G$22&gt;A224)*(Calc!$G$3:$G$22-A224)*(Calc!$G$3:$G$22&gt;B224)*(Calc!$G$3:$G$22-B224))</f>
        <v/>
      </c>
      <c r="L224">
        <f>SUMPRODUCT(Calc!$K$3:$K$22*(Calc!$G$3:$G$22&gt;A224)*(Calc!$G$3:$G$22-A224)*Calc!$G$3:$G$22)</f>
        <v/>
      </c>
      <c r="M224">
        <f>SUMPRODUCT(Calc!$K$3:$K$22*(Calc!$G$3:$G$22&gt;B224)*(Calc!$G$3:$G$22-B224)*Calc!$G$3:$G$22)</f>
        <v/>
      </c>
      <c r="N224">
        <f>SUMPRODUCT(Calc!$K$3:$K$22*(Calc!$G$3:$G$22&gt;A224)*(Calc!$G$3:$G$22-A224)*Calc!$I$3:$I$22)</f>
        <v/>
      </c>
      <c r="O224">
        <f>SUMPRODUCT(Calc!$K$3:$K$22*(Calc!$G$3:$G$22&gt;B224)*(Calc!$G$3:$G$22-B224)*Calc!$I$3:$I$22)</f>
        <v/>
      </c>
      <c r="P224">
        <f>I224-G224^2/k_n</f>
        <v/>
      </c>
      <c r="Q224">
        <f>J224-H224^2/k_n</f>
        <v/>
      </c>
      <c r="R224">
        <f>K224-G224*H224/k_n</f>
        <v/>
      </c>
      <c r="S224">
        <f>L224-LTP3!$D$3*G224/k_n</f>
        <v/>
      </c>
      <c r="T224">
        <f>M224-LTP3!$D$3*H224/k_n</f>
        <v/>
      </c>
      <c r="U224">
        <f>N224-G224*LTP3!$D$4/k_n</f>
        <v/>
      </c>
      <c r="V224">
        <f>O224-H224*LTP3!$D$4/k_n</f>
        <v/>
      </c>
      <c r="W224">
        <f>((LTP3!$D$5)*((P224)*(Q224)-(R224)*(R224))-(S224)*((S224)*(Q224)-(R224)*(T224))+(T224)*((S224)*(R224)-(P224)*(T224)))</f>
        <v/>
      </c>
      <c r="X224">
        <f>IF(ABS(W224)&gt;1E-12,((LTP3!$D$6)*((P224)*(Q224)-(R224)*(R224))-(S224)*((U224)*(Q224)-(R224)*(V224))+(T224)*((U224)*(R224)-(P224)*(V224)))/W224,0)</f>
        <v/>
      </c>
      <c r="Y224">
        <f>IF(ABS(W224)&gt;1E-12,((LTP3!$D$5)*((U224)*(Q224)-(R224)*(V224))-(LTP3!$D$6)*((S224)*(Q224)-(R224)*(T224))+(T224)*((S224)*(V224)-(U224)*(T224)))/W224,0)</f>
        <v/>
      </c>
      <c r="Z224">
        <f>IF(ABS(W224)&gt;1E-12,((LTP3!$D$5)*((P224)*(V224)-(U224)*(R224))-(S224)*((S224)*(V224)-(U224)*(T224))+(LTP3!$D$6)*((S224)*(R224)-(P224)*(T224)))/W224,0)</f>
        <v/>
      </c>
      <c r="AA224">
        <f>LTP3!$D$7-X224*LTP3!$D$6-Y224*U224-Z224*V224</f>
        <v/>
      </c>
      <c r="AB224">
        <f>IF(AND(F224,ABS(W224)&gt;1E-12,Y224&gt;0,Z224&gt;0),AA224,1E+300)</f>
        <v/>
      </c>
    </row>
    <row r="225">
      <c r="A225">
        <f>$B$3+$B$5*3</f>
        <v/>
      </c>
      <c r="B225">
        <f>$B$3+$B$5*30</f>
        <v/>
      </c>
      <c r="C225">
        <f>SUMPRODUCT(Calc!$K$3:$K$22*(Calc!$G$3:$G$22&lt;=A225))</f>
        <v/>
      </c>
      <c r="D225">
        <f>SUMPRODUCT(Calc!$K$3:$K$22*(Calc!$G$3:$G$22&gt;A225)*(Calc!$G$3:$G$22&lt;B225))</f>
        <v/>
      </c>
      <c r="E225">
        <f>SUMPRODUCT(Calc!$K$3:$K$22*(Calc!$G$3:$G$22&gt;=B225))</f>
        <v/>
      </c>
      <c r="F225">
        <f>AND(k_n&gt;=5,B225&gt;A225+1E-9,C225&gt;=2,D225&gt;=1,E225&gt;=2)</f>
        <v/>
      </c>
      <c r="G225">
        <f>SUMPRODUCT(Calc!$K$3:$K$22*(Calc!$G$3:$G$22&gt;A225)*(Calc!$G$3:$G$22-A225))</f>
        <v/>
      </c>
      <c r="H225">
        <f>SUMPRODUCT(Calc!$K$3:$K$22*(Calc!$G$3:$G$22&gt;B225)*(Calc!$G$3:$G$22-B225))</f>
        <v/>
      </c>
      <c r="I225">
        <f>SUMPRODUCT(Calc!$K$3:$K$22*(Calc!$G$3:$G$22&gt;A225)*(Calc!$G$3:$G$22-A225)^2)</f>
        <v/>
      </c>
      <c r="J225">
        <f>SUMPRODUCT(Calc!$K$3:$K$22*(Calc!$G$3:$G$22&gt;B225)*(Calc!$G$3:$G$22-B225)^2)</f>
        <v/>
      </c>
      <c r="K225">
        <f>SUMPRODUCT(Calc!$K$3:$K$22*(Calc!$G$3:$G$22&gt;A225)*(Calc!$G$3:$G$22-A225)*(Calc!$G$3:$G$22&gt;B225)*(Calc!$G$3:$G$22-B225))</f>
        <v/>
      </c>
      <c r="L225">
        <f>SUMPRODUCT(Calc!$K$3:$K$22*(Calc!$G$3:$G$22&gt;A225)*(Calc!$G$3:$G$22-A225)*Calc!$G$3:$G$22)</f>
        <v/>
      </c>
      <c r="M225">
        <f>SUMPRODUCT(Calc!$K$3:$K$22*(Calc!$G$3:$G$22&gt;B225)*(Calc!$G$3:$G$22-B225)*Calc!$G$3:$G$22)</f>
        <v/>
      </c>
      <c r="N225">
        <f>SUMPRODUCT(Calc!$K$3:$K$22*(Calc!$G$3:$G$22&gt;A225)*(Calc!$G$3:$G$22-A225)*Calc!$I$3:$I$22)</f>
        <v/>
      </c>
      <c r="O225">
        <f>SUMPRODUCT(Calc!$K$3:$K$22*(Calc!$G$3:$G$22&gt;B225)*(Calc!$G$3:$G$22-B225)*Calc!$I$3:$I$22)</f>
        <v/>
      </c>
      <c r="P225">
        <f>I225-G225^2/k_n</f>
        <v/>
      </c>
      <c r="Q225">
        <f>J225-H225^2/k_n</f>
        <v/>
      </c>
      <c r="R225">
        <f>K225-G225*H225/k_n</f>
        <v/>
      </c>
      <c r="S225">
        <f>L225-LTP3!$D$3*G225/k_n</f>
        <v/>
      </c>
      <c r="T225">
        <f>M225-LTP3!$D$3*H225/k_n</f>
        <v/>
      </c>
      <c r="U225">
        <f>N225-G225*LTP3!$D$4/k_n</f>
        <v/>
      </c>
      <c r="V225">
        <f>O225-H225*LTP3!$D$4/k_n</f>
        <v/>
      </c>
      <c r="W225">
        <f>((LTP3!$D$5)*((P225)*(Q225)-(R225)*(R225))-(S225)*((S225)*(Q225)-(R225)*(T225))+(T225)*((S225)*(R225)-(P225)*(T225)))</f>
        <v/>
      </c>
      <c r="X225">
        <f>IF(ABS(W225)&gt;1E-12,((LTP3!$D$6)*((P225)*(Q225)-(R225)*(R225))-(S225)*((U225)*(Q225)-(R225)*(V225))+(T225)*((U225)*(R225)-(P225)*(V225)))/W225,0)</f>
        <v/>
      </c>
      <c r="Y225">
        <f>IF(ABS(W225)&gt;1E-12,((LTP3!$D$5)*((U225)*(Q225)-(R225)*(V225))-(LTP3!$D$6)*((S225)*(Q225)-(R225)*(T225))+(T225)*((S225)*(V225)-(U225)*(T225)))/W225,0)</f>
        <v/>
      </c>
      <c r="Z225">
        <f>IF(ABS(W225)&gt;1E-12,((LTP3!$D$5)*((P225)*(V225)-(U225)*(R225))-(S225)*((S225)*(V225)-(U225)*(T225))+(LTP3!$D$6)*((S225)*(R225)-(P225)*(T225)))/W225,0)</f>
        <v/>
      </c>
      <c r="AA225">
        <f>LTP3!$D$7-X225*LTP3!$D$6-Y225*U225-Z225*V225</f>
        <v/>
      </c>
      <c r="AB225">
        <f>IF(AND(F225,ABS(W225)&gt;1E-12,Y225&gt;0,Z225&gt;0),AA225,1E+300)</f>
        <v/>
      </c>
    </row>
    <row r="226">
      <c r="A226">
        <f>$B$3+$B$5*3</f>
        <v/>
      </c>
      <c r="B226">
        <f>$B$3+$B$5*31</f>
        <v/>
      </c>
      <c r="C226">
        <f>SUMPRODUCT(Calc!$K$3:$K$22*(Calc!$G$3:$G$22&lt;=A226))</f>
        <v/>
      </c>
      <c r="D226">
        <f>SUMPRODUCT(Calc!$K$3:$K$22*(Calc!$G$3:$G$22&gt;A226)*(Calc!$G$3:$G$22&lt;B226))</f>
        <v/>
      </c>
      <c r="E226">
        <f>SUMPRODUCT(Calc!$K$3:$K$22*(Calc!$G$3:$G$22&gt;=B226))</f>
        <v/>
      </c>
      <c r="F226">
        <f>AND(k_n&gt;=5,B226&gt;A226+1E-9,C226&gt;=2,D226&gt;=1,E226&gt;=2)</f>
        <v/>
      </c>
      <c r="G226">
        <f>SUMPRODUCT(Calc!$K$3:$K$22*(Calc!$G$3:$G$22&gt;A226)*(Calc!$G$3:$G$22-A226))</f>
        <v/>
      </c>
      <c r="H226">
        <f>SUMPRODUCT(Calc!$K$3:$K$22*(Calc!$G$3:$G$22&gt;B226)*(Calc!$G$3:$G$22-B226))</f>
        <v/>
      </c>
      <c r="I226">
        <f>SUMPRODUCT(Calc!$K$3:$K$22*(Calc!$G$3:$G$22&gt;A226)*(Calc!$G$3:$G$22-A226)^2)</f>
        <v/>
      </c>
      <c r="J226">
        <f>SUMPRODUCT(Calc!$K$3:$K$22*(Calc!$G$3:$G$22&gt;B226)*(Calc!$G$3:$G$22-B226)^2)</f>
        <v/>
      </c>
      <c r="K226">
        <f>SUMPRODUCT(Calc!$K$3:$K$22*(Calc!$G$3:$G$22&gt;A226)*(Calc!$G$3:$G$22-A226)*(Calc!$G$3:$G$22&gt;B226)*(Calc!$G$3:$G$22-B226))</f>
        <v/>
      </c>
      <c r="L226">
        <f>SUMPRODUCT(Calc!$K$3:$K$22*(Calc!$G$3:$G$22&gt;A226)*(Calc!$G$3:$G$22-A226)*Calc!$G$3:$G$22)</f>
        <v/>
      </c>
      <c r="M226">
        <f>SUMPRODUCT(Calc!$K$3:$K$22*(Calc!$G$3:$G$22&gt;B226)*(Calc!$G$3:$G$22-B226)*Calc!$G$3:$G$22)</f>
        <v/>
      </c>
      <c r="N226">
        <f>SUMPRODUCT(Calc!$K$3:$K$22*(Calc!$G$3:$G$22&gt;A226)*(Calc!$G$3:$G$22-A226)*Calc!$I$3:$I$22)</f>
        <v/>
      </c>
      <c r="O226">
        <f>SUMPRODUCT(Calc!$K$3:$K$22*(Calc!$G$3:$G$22&gt;B226)*(Calc!$G$3:$G$22-B226)*Calc!$I$3:$I$22)</f>
        <v/>
      </c>
      <c r="P226">
        <f>I226-G226^2/k_n</f>
        <v/>
      </c>
      <c r="Q226">
        <f>J226-H226^2/k_n</f>
        <v/>
      </c>
      <c r="R226">
        <f>K226-G226*H226/k_n</f>
        <v/>
      </c>
      <c r="S226">
        <f>L226-LTP3!$D$3*G226/k_n</f>
        <v/>
      </c>
      <c r="T226">
        <f>M226-LTP3!$D$3*H226/k_n</f>
        <v/>
      </c>
      <c r="U226">
        <f>N226-G226*LTP3!$D$4/k_n</f>
        <v/>
      </c>
      <c r="V226">
        <f>O226-H226*LTP3!$D$4/k_n</f>
        <v/>
      </c>
      <c r="W226">
        <f>((LTP3!$D$5)*((P226)*(Q226)-(R226)*(R226))-(S226)*((S226)*(Q226)-(R226)*(T226))+(T226)*((S226)*(R226)-(P226)*(T226)))</f>
        <v/>
      </c>
      <c r="X226">
        <f>IF(ABS(W226)&gt;1E-12,((LTP3!$D$6)*((P226)*(Q226)-(R226)*(R226))-(S226)*((U226)*(Q226)-(R226)*(V226))+(T226)*((U226)*(R226)-(P226)*(V226)))/W226,0)</f>
        <v/>
      </c>
      <c r="Y226">
        <f>IF(ABS(W226)&gt;1E-12,((LTP3!$D$5)*((U226)*(Q226)-(R226)*(V226))-(LTP3!$D$6)*((S226)*(Q226)-(R226)*(T226))+(T226)*((S226)*(V226)-(U226)*(T226)))/W226,0)</f>
        <v/>
      </c>
      <c r="Z226">
        <f>IF(ABS(W226)&gt;1E-12,((LTP3!$D$5)*((P226)*(V226)-(U226)*(R226))-(S226)*((S226)*(V226)-(U226)*(T226))+(LTP3!$D$6)*((S226)*(R226)-(P226)*(T226)))/W226,0)</f>
        <v/>
      </c>
      <c r="AA226">
        <f>LTP3!$D$7-X226*LTP3!$D$6-Y226*U226-Z226*V226</f>
        <v/>
      </c>
      <c r="AB226">
        <f>IF(AND(F226,ABS(W226)&gt;1E-12,Y226&gt;0,Z226&gt;0),AA226,1E+300)</f>
        <v/>
      </c>
    </row>
    <row r="227">
      <c r="A227">
        <f>$B$3+$B$5*3</f>
        <v/>
      </c>
      <c r="B227">
        <f>$B$3+$B$5*32</f>
        <v/>
      </c>
      <c r="C227">
        <f>SUMPRODUCT(Calc!$K$3:$K$22*(Calc!$G$3:$G$22&lt;=A227))</f>
        <v/>
      </c>
      <c r="D227">
        <f>SUMPRODUCT(Calc!$K$3:$K$22*(Calc!$G$3:$G$22&gt;A227)*(Calc!$G$3:$G$22&lt;B227))</f>
        <v/>
      </c>
      <c r="E227">
        <f>SUMPRODUCT(Calc!$K$3:$K$22*(Calc!$G$3:$G$22&gt;=B227))</f>
        <v/>
      </c>
      <c r="F227">
        <f>AND(k_n&gt;=5,B227&gt;A227+1E-9,C227&gt;=2,D227&gt;=1,E227&gt;=2)</f>
        <v/>
      </c>
      <c r="G227">
        <f>SUMPRODUCT(Calc!$K$3:$K$22*(Calc!$G$3:$G$22&gt;A227)*(Calc!$G$3:$G$22-A227))</f>
        <v/>
      </c>
      <c r="H227">
        <f>SUMPRODUCT(Calc!$K$3:$K$22*(Calc!$G$3:$G$22&gt;B227)*(Calc!$G$3:$G$22-B227))</f>
        <v/>
      </c>
      <c r="I227">
        <f>SUMPRODUCT(Calc!$K$3:$K$22*(Calc!$G$3:$G$22&gt;A227)*(Calc!$G$3:$G$22-A227)^2)</f>
        <v/>
      </c>
      <c r="J227">
        <f>SUMPRODUCT(Calc!$K$3:$K$22*(Calc!$G$3:$G$22&gt;B227)*(Calc!$G$3:$G$22-B227)^2)</f>
        <v/>
      </c>
      <c r="K227">
        <f>SUMPRODUCT(Calc!$K$3:$K$22*(Calc!$G$3:$G$22&gt;A227)*(Calc!$G$3:$G$22-A227)*(Calc!$G$3:$G$22&gt;B227)*(Calc!$G$3:$G$22-B227))</f>
        <v/>
      </c>
      <c r="L227">
        <f>SUMPRODUCT(Calc!$K$3:$K$22*(Calc!$G$3:$G$22&gt;A227)*(Calc!$G$3:$G$22-A227)*Calc!$G$3:$G$22)</f>
        <v/>
      </c>
      <c r="M227">
        <f>SUMPRODUCT(Calc!$K$3:$K$22*(Calc!$G$3:$G$22&gt;B227)*(Calc!$G$3:$G$22-B227)*Calc!$G$3:$G$22)</f>
        <v/>
      </c>
      <c r="N227">
        <f>SUMPRODUCT(Calc!$K$3:$K$22*(Calc!$G$3:$G$22&gt;A227)*(Calc!$G$3:$G$22-A227)*Calc!$I$3:$I$22)</f>
        <v/>
      </c>
      <c r="O227">
        <f>SUMPRODUCT(Calc!$K$3:$K$22*(Calc!$G$3:$G$22&gt;B227)*(Calc!$G$3:$G$22-B227)*Calc!$I$3:$I$22)</f>
        <v/>
      </c>
      <c r="P227">
        <f>I227-G227^2/k_n</f>
        <v/>
      </c>
      <c r="Q227">
        <f>J227-H227^2/k_n</f>
        <v/>
      </c>
      <c r="R227">
        <f>K227-G227*H227/k_n</f>
        <v/>
      </c>
      <c r="S227">
        <f>L227-LTP3!$D$3*G227/k_n</f>
        <v/>
      </c>
      <c r="T227">
        <f>M227-LTP3!$D$3*H227/k_n</f>
        <v/>
      </c>
      <c r="U227">
        <f>N227-G227*LTP3!$D$4/k_n</f>
        <v/>
      </c>
      <c r="V227">
        <f>O227-H227*LTP3!$D$4/k_n</f>
        <v/>
      </c>
      <c r="W227">
        <f>((LTP3!$D$5)*((P227)*(Q227)-(R227)*(R227))-(S227)*((S227)*(Q227)-(R227)*(T227))+(T227)*((S227)*(R227)-(P227)*(T227)))</f>
        <v/>
      </c>
      <c r="X227">
        <f>IF(ABS(W227)&gt;1E-12,((LTP3!$D$6)*((P227)*(Q227)-(R227)*(R227))-(S227)*((U227)*(Q227)-(R227)*(V227))+(T227)*((U227)*(R227)-(P227)*(V227)))/W227,0)</f>
        <v/>
      </c>
      <c r="Y227">
        <f>IF(ABS(W227)&gt;1E-12,((LTP3!$D$5)*((U227)*(Q227)-(R227)*(V227))-(LTP3!$D$6)*((S227)*(Q227)-(R227)*(T227))+(T227)*((S227)*(V227)-(U227)*(T227)))/W227,0)</f>
        <v/>
      </c>
      <c r="Z227">
        <f>IF(ABS(W227)&gt;1E-12,((LTP3!$D$5)*((P227)*(V227)-(U227)*(R227))-(S227)*((S227)*(V227)-(U227)*(T227))+(LTP3!$D$6)*((S227)*(R227)-(P227)*(T227)))/W227,0)</f>
        <v/>
      </c>
      <c r="AA227">
        <f>LTP3!$D$7-X227*LTP3!$D$6-Y227*U227-Z227*V227</f>
        <v/>
      </c>
      <c r="AB227">
        <f>IF(AND(F227,ABS(W227)&gt;1E-12,Y227&gt;0,Z227&gt;0),AA227,1E+300)</f>
        <v/>
      </c>
    </row>
    <row r="228">
      <c r="A228">
        <f>$B$3+$B$5*3</f>
        <v/>
      </c>
      <c r="B228">
        <f>$B$3+$B$5*33</f>
        <v/>
      </c>
      <c r="C228">
        <f>SUMPRODUCT(Calc!$K$3:$K$22*(Calc!$G$3:$G$22&lt;=A228))</f>
        <v/>
      </c>
      <c r="D228">
        <f>SUMPRODUCT(Calc!$K$3:$K$22*(Calc!$G$3:$G$22&gt;A228)*(Calc!$G$3:$G$22&lt;B228))</f>
        <v/>
      </c>
      <c r="E228">
        <f>SUMPRODUCT(Calc!$K$3:$K$22*(Calc!$G$3:$G$22&gt;=B228))</f>
        <v/>
      </c>
      <c r="F228">
        <f>AND(k_n&gt;=5,B228&gt;A228+1E-9,C228&gt;=2,D228&gt;=1,E228&gt;=2)</f>
        <v/>
      </c>
      <c r="G228">
        <f>SUMPRODUCT(Calc!$K$3:$K$22*(Calc!$G$3:$G$22&gt;A228)*(Calc!$G$3:$G$22-A228))</f>
        <v/>
      </c>
      <c r="H228">
        <f>SUMPRODUCT(Calc!$K$3:$K$22*(Calc!$G$3:$G$22&gt;B228)*(Calc!$G$3:$G$22-B228))</f>
        <v/>
      </c>
      <c r="I228">
        <f>SUMPRODUCT(Calc!$K$3:$K$22*(Calc!$G$3:$G$22&gt;A228)*(Calc!$G$3:$G$22-A228)^2)</f>
        <v/>
      </c>
      <c r="J228">
        <f>SUMPRODUCT(Calc!$K$3:$K$22*(Calc!$G$3:$G$22&gt;B228)*(Calc!$G$3:$G$22-B228)^2)</f>
        <v/>
      </c>
      <c r="K228">
        <f>SUMPRODUCT(Calc!$K$3:$K$22*(Calc!$G$3:$G$22&gt;A228)*(Calc!$G$3:$G$22-A228)*(Calc!$G$3:$G$22&gt;B228)*(Calc!$G$3:$G$22-B228))</f>
        <v/>
      </c>
      <c r="L228">
        <f>SUMPRODUCT(Calc!$K$3:$K$22*(Calc!$G$3:$G$22&gt;A228)*(Calc!$G$3:$G$22-A228)*Calc!$G$3:$G$22)</f>
        <v/>
      </c>
      <c r="M228">
        <f>SUMPRODUCT(Calc!$K$3:$K$22*(Calc!$G$3:$G$22&gt;B228)*(Calc!$G$3:$G$22-B228)*Calc!$G$3:$G$22)</f>
        <v/>
      </c>
      <c r="N228">
        <f>SUMPRODUCT(Calc!$K$3:$K$22*(Calc!$G$3:$G$22&gt;A228)*(Calc!$G$3:$G$22-A228)*Calc!$I$3:$I$22)</f>
        <v/>
      </c>
      <c r="O228">
        <f>SUMPRODUCT(Calc!$K$3:$K$22*(Calc!$G$3:$G$22&gt;B228)*(Calc!$G$3:$G$22-B228)*Calc!$I$3:$I$22)</f>
        <v/>
      </c>
      <c r="P228">
        <f>I228-G228^2/k_n</f>
        <v/>
      </c>
      <c r="Q228">
        <f>J228-H228^2/k_n</f>
        <v/>
      </c>
      <c r="R228">
        <f>K228-G228*H228/k_n</f>
        <v/>
      </c>
      <c r="S228">
        <f>L228-LTP3!$D$3*G228/k_n</f>
        <v/>
      </c>
      <c r="T228">
        <f>M228-LTP3!$D$3*H228/k_n</f>
        <v/>
      </c>
      <c r="U228">
        <f>N228-G228*LTP3!$D$4/k_n</f>
        <v/>
      </c>
      <c r="V228">
        <f>O228-H228*LTP3!$D$4/k_n</f>
        <v/>
      </c>
      <c r="W228">
        <f>((LTP3!$D$5)*((P228)*(Q228)-(R228)*(R228))-(S228)*((S228)*(Q228)-(R228)*(T228))+(T228)*((S228)*(R228)-(P228)*(T228)))</f>
        <v/>
      </c>
      <c r="X228">
        <f>IF(ABS(W228)&gt;1E-12,((LTP3!$D$6)*((P228)*(Q228)-(R228)*(R228))-(S228)*((U228)*(Q228)-(R228)*(V228))+(T228)*((U228)*(R228)-(P228)*(V228)))/W228,0)</f>
        <v/>
      </c>
      <c r="Y228">
        <f>IF(ABS(W228)&gt;1E-12,((LTP3!$D$5)*((U228)*(Q228)-(R228)*(V228))-(LTP3!$D$6)*((S228)*(Q228)-(R228)*(T228))+(T228)*((S228)*(V228)-(U228)*(T228)))/W228,0)</f>
        <v/>
      </c>
      <c r="Z228">
        <f>IF(ABS(W228)&gt;1E-12,((LTP3!$D$5)*((P228)*(V228)-(U228)*(R228))-(S228)*((S228)*(V228)-(U228)*(T228))+(LTP3!$D$6)*((S228)*(R228)-(P228)*(T228)))/W228,0)</f>
        <v/>
      </c>
      <c r="AA228">
        <f>LTP3!$D$7-X228*LTP3!$D$6-Y228*U228-Z228*V228</f>
        <v/>
      </c>
      <c r="AB228">
        <f>IF(AND(F228,ABS(W228)&gt;1E-12,Y228&gt;0,Z228&gt;0),AA228,1E+300)</f>
        <v/>
      </c>
    </row>
    <row r="229">
      <c r="A229">
        <f>$B$3+$B$5*3</f>
        <v/>
      </c>
      <c r="B229">
        <f>$B$3+$B$5*34</f>
        <v/>
      </c>
      <c r="C229">
        <f>SUMPRODUCT(Calc!$K$3:$K$22*(Calc!$G$3:$G$22&lt;=A229))</f>
        <v/>
      </c>
      <c r="D229">
        <f>SUMPRODUCT(Calc!$K$3:$K$22*(Calc!$G$3:$G$22&gt;A229)*(Calc!$G$3:$G$22&lt;B229))</f>
        <v/>
      </c>
      <c r="E229">
        <f>SUMPRODUCT(Calc!$K$3:$K$22*(Calc!$G$3:$G$22&gt;=B229))</f>
        <v/>
      </c>
      <c r="F229">
        <f>AND(k_n&gt;=5,B229&gt;A229+1E-9,C229&gt;=2,D229&gt;=1,E229&gt;=2)</f>
        <v/>
      </c>
      <c r="G229">
        <f>SUMPRODUCT(Calc!$K$3:$K$22*(Calc!$G$3:$G$22&gt;A229)*(Calc!$G$3:$G$22-A229))</f>
        <v/>
      </c>
      <c r="H229">
        <f>SUMPRODUCT(Calc!$K$3:$K$22*(Calc!$G$3:$G$22&gt;B229)*(Calc!$G$3:$G$22-B229))</f>
        <v/>
      </c>
      <c r="I229">
        <f>SUMPRODUCT(Calc!$K$3:$K$22*(Calc!$G$3:$G$22&gt;A229)*(Calc!$G$3:$G$22-A229)^2)</f>
        <v/>
      </c>
      <c r="J229">
        <f>SUMPRODUCT(Calc!$K$3:$K$22*(Calc!$G$3:$G$22&gt;B229)*(Calc!$G$3:$G$22-B229)^2)</f>
        <v/>
      </c>
      <c r="K229">
        <f>SUMPRODUCT(Calc!$K$3:$K$22*(Calc!$G$3:$G$22&gt;A229)*(Calc!$G$3:$G$22-A229)*(Calc!$G$3:$G$22&gt;B229)*(Calc!$G$3:$G$22-B229))</f>
        <v/>
      </c>
      <c r="L229">
        <f>SUMPRODUCT(Calc!$K$3:$K$22*(Calc!$G$3:$G$22&gt;A229)*(Calc!$G$3:$G$22-A229)*Calc!$G$3:$G$22)</f>
        <v/>
      </c>
      <c r="M229">
        <f>SUMPRODUCT(Calc!$K$3:$K$22*(Calc!$G$3:$G$22&gt;B229)*(Calc!$G$3:$G$22-B229)*Calc!$G$3:$G$22)</f>
        <v/>
      </c>
      <c r="N229">
        <f>SUMPRODUCT(Calc!$K$3:$K$22*(Calc!$G$3:$G$22&gt;A229)*(Calc!$G$3:$G$22-A229)*Calc!$I$3:$I$22)</f>
        <v/>
      </c>
      <c r="O229">
        <f>SUMPRODUCT(Calc!$K$3:$K$22*(Calc!$G$3:$G$22&gt;B229)*(Calc!$G$3:$G$22-B229)*Calc!$I$3:$I$22)</f>
        <v/>
      </c>
      <c r="P229">
        <f>I229-G229^2/k_n</f>
        <v/>
      </c>
      <c r="Q229">
        <f>J229-H229^2/k_n</f>
        <v/>
      </c>
      <c r="R229">
        <f>K229-G229*H229/k_n</f>
        <v/>
      </c>
      <c r="S229">
        <f>L229-LTP3!$D$3*G229/k_n</f>
        <v/>
      </c>
      <c r="T229">
        <f>M229-LTP3!$D$3*H229/k_n</f>
        <v/>
      </c>
      <c r="U229">
        <f>N229-G229*LTP3!$D$4/k_n</f>
        <v/>
      </c>
      <c r="V229">
        <f>O229-H229*LTP3!$D$4/k_n</f>
        <v/>
      </c>
      <c r="W229">
        <f>((LTP3!$D$5)*((P229)*(Q229)-(R229)*(R229))-(S229)*((S229)*(Q229)-(R229)*(T229))+(T229)*((S229)*(R229)-(P229)*(T229)))</f>
        <v/>
      </c>
      <c r="X229">
        <f>IF(ABS(W229)&gt;1E-12,((LTP3!$D$6)*((P229)*(Q229)-(R229)*(R229))-(S229)*((U229)*(Q229)-(R229)*(V229))+(T229)*((U229)*(R229)-(P229)*(V229)))/W229,0)</f>
        <v/>
      </c>
      <c r="Y229">
        <f>IF(ABS(W229)&gt;1E-12,((LTP3!$D$5)*((U229)*(Q229)-(R229)*(V229))-(LTP3!$D$6)*((S229)*(Q229)-(R229)*(T229))+(T229)*((S229)*(V229)-(U229)*(T229)))/W229,0)</f>
        <v/>
      </c>
      <c r="Z229">
        <f>IF(ABS(W229)&gt;1E-12,((LTP3!$D$5)*((P229)*(V229)-(U229)*(R229))-(S229)*((S229)*(V229)-(U229)*(T229))+(LTP3!$D$6)*((S229)*(R229)-(P229)*(T229)))/W229,0)</f>
        <v/>
      </c>
      <c r="AA229">
        <f>LTP3!$D$7-X229*LTP3!$D$6-Y229*U229-Z229*V229</f>
        <v/>
      </c>
      <c r="AB229">
        <f>IF(AND(F229,ABS(W229)&gt;1E-12,Y229&gt;0,Z229&gt;0),AA229,1E+300)</f>
        <v/>
      </c>
    </row>
    <row r="230">
      <c r="A230">
        <f>$B$3+$B$5*3</f>
        <v/>
      </c>
      <c r="B230">
        <f>$B$3+$B$5*35</f>
        <v/>
      </c>
      <c r="C230">
        <f>SUMPRODUCT(Calc!$K$3:$K$22*(Calc!$G$3:$G$22&lt;=A230))</f>
        <v/>
      </c>
      <c r="D230">
        <f>SUMPRODUCT(Calc!$K$3:$K$22*(Calc!$G$3:$G$22&gt;A230)*(Calc!$G$3:$G$22&lt;B230))</f>
        <v/>
      </c>
      <c r="E230">
        <f>SUMPRODUCT(Calc!$K$3:$K$22*(Calc!$G$3:$G$22&gt;=B230))</f>
        <v/>
      </c>
      <c r="F230">
        <f>AND(k_n&gt;=5,B230&gt;A230+1E-9,C230&gt;=2,D230&gt;=1,E230&gt;=2)</f>
        <v/>
      </c>
      <c r="G230">
        <f>SUMPRODUCT(Calc!$K$3:$K$22*(Calc!$G$3:$G$22&gt;A230)*(Calc!$G$3:$G$22-A230))</f>
        <v/>
      </c>
      <c r="H230">
        <f>SUMPRODUCT(Calc!$K$3:$K$22*(Calc!$G$3:$G$22&gt;B230)*(Calc!$G$3:$G$22-B230))</f>
        <v/>
      </c>
      <c r="I230">
        <f>SUMPRODUCT(Calc!$K$3:$K$22*(Calc!$G$3:$G$22&gt;A230)*(Calc!$G$3:$G$22-A230)^2)</f>
        <v/>
      </c>
      <c r="J230">
        <f>SUMPRODUCT(Calc!$K$3:$K$22*(Calc!$G$3:$G$22&gt;B230)*(Calc!$G$3:$G$22-B230)^2)</f>
        <v/>
      </c>
      <c r="K230">
        <f>SUMPRODUCT(Calc!$K$3:$K$22*(Calc!$G$3:$G$22&gt;A230)*(Calc!$G$3:$G$22-A230)*(Calc!$G$3:$G$22&gt;B230)*(Calc!$G$3:$G$22-B230))</f>
        <v/>
      </c>
      <c r="L230">
        <f>SUMPRODUCT(Calc!$K$3:$K$22*(Calc!$G$3:$G$22&gt;A230)*(Calc!$G$3:$G$22-A230)*Calc!$G$3:$G$22)</f>
        <v/>
      </c>
      <c r="M230">
        <f>SUMPRODUCT(Calc!$K$3:$K$22*(Calc!$G$3:$G$22&gt;B230)*(Calc!$G$3:$G$22-B230)*Calc!$G$3:$G$22)</f>
        <v/>
      </c>
      <c r="N230">
        <f>SUMPRODUCT(Calc!$K$3:$K$22*(Calc!$G$3:$G$22&gt;A230)*(Calc!$G$3:$G$22-A230)*Calc!$I$3:$I$22)</f>
        <v/>
      </c>
      <c r="O230">
        <f>SUMPRODUCT(Calc!$K$3:$K$22*(Calc!$G$3:$G$22&gt;B230)*(Calc!$G$3:$G$22-B230)*Calc!$I$3:$I$22)</f>
        <v/>
      </c>
      <c r="P230">
        <f>I230-G230^2/k_n</f>
        <v/>
      </c>
      <c r="Q230">
        <f>J230-H230^2/k_n</f>
        <v/>
      </c>
      <c r="R230">
        <f>K230-G230*H230/k_n</f>
        <v/>
      </c>
      <c r="S230">
        <f>L230-LTP3!$D$3*G230/k_n</f>
        <v/>
      </c>
      <c r="T230">
        <f>M230-LTP3!$D$3*H230/k_n</f>
        <v/>
      </c>
      <c r="U230">
        <f>N230-G230*LTP3!$D$4/k_n</f>
        <v/>
      </c>
      <c r="V230">
        <f>O230-H230*LTP3!$D$4/k_n</f>
        <v/>
      </c>
      <c r="W230">
        <f>((LTP3!$D$5)*((P230)*(Q230)-(R230)*(R230))-(S230)*((S230)*(Q230)-(R230)*(T230))+(T230)*((S230)*(R230)-(P230)*(T230)))</f>
        <v/>
      </c>
      <c r="X230">
        <f>IF(ABS(W230)&gt;1E-12,((LTP3!$D$6)*((P230)*(Q230)-(R230)*(R230))-(S230)*((U230)*(Q230)-(R230)*(V230))+(T230)*((U230)*(R230)-(P230)*(V230)))/W230,0)</f>
        <v/>
      </c>
      <c r="Y230">
        <f>IF(ABS(W230)&gt;1E-12,((LTP3!$D$5)*((U230)*(Q230)-(R230)*(V230))-(LTP3!$D$6)*((S230)*(Q230)-(R230)*(T230))+(T230)*((S230)*(V230)-(U230)*(T230)))/W230,0)</f>
        <v/>
      </c>
      <c r="Z230">
        <f>IF(ABS(W230)&gt;1E-12,((LTP3!$D$5)*((P230)*(V230)-(U230)*(R230))-(S230)*((S230)*(V230)-(U230)*(T230))+(LTP3!$D$6)*((S230)*(R230)-(P230)*(T230)))/W230,0)</f>
        <v/>
      </c>
      <c r="AA230">
        <f>LTP3!$D$7-X230*LTP3!$D$6-Y230*U230-Z230*V230</f>
        <v/>
      </c>
      <c r="AB230">
        <f>IF(AND(F230,ABS(W230)&gt;1E-12,Y230&gt;0,Z230&gt;0),AA230,1E+300)</f>
        <v/>
      </c>
    </row>
    <row r="231">
      <c r="A231">
        <f>$B$3+$B$5*3</f>
        <v/>
      </c>
      <c r="B231">
        <f>$B$3+$B$5*36</f>
        <v/>
      </c>
      <c r="C231">
        <f>SUMPRODUCT(Calc!$K$3:$K$22*(Calc!$G$3:$G$22&lt;=A231))</f>
        <v/>
      </c>
      <c r="D231">
        <f>SUMPRODUCT(Calc!$K$3:$K$22*(Calc!$G$3:$G$22&gt;A231)*(Calc!$G$3:$G$22&lt;B231))</f>
        <v/>
      </c>
      <c r="E231">
        <f>SUMPRODUCT(Calc!$K$3:$K$22*(Calc!$G$3:$G$22&gt;=B231))</f>
        <v/>
      </c>
      <c r="F231">
        <f>AND(k_n&gt;=5,B231&gt;A231+1E-9,C231&gt;=2,D231&gt;=1,E231&gt;=2)</f>
        <v/>
      </c>
      <c r="G231">
        <f>SUMPRODUCT(Calc!$K$3:$K$22*(Calc!$G$3:$G$22&gt;A231)*(Calc!$G$3:$G$22-A231))</f>
        <v/>
      </c>
      <c r="H231">
        <f>SUMPRODUCT(Calc!$K$3:$K$22*(Calc!$G$3:$G$22&gt;B231)*(Calc!$G$3:$G$22-B231))</f>
        <v/>
      </c>
      <c r="I231">
        <f>SUMPRODUCT(Calc!$K$3:$K$22*(Calc!$G$3:$G$22&gt;A231)*(Calc!$G$3:$G$22-A231)^2)</f>
        <v/>
      </c>
      <c r="J231">
        <f>SUMPRODUCT(Calc!$K$3:$K$22*(Calc!$G$3:$G$22&gt;B231)*(Calc!$G$3:$G$22-B231)^2)</f>
        <v/>
      </c>
      <c r="K231">
        <f>SUMPRODUCT(Calc!$K$3:$K$22*(Calc!$G$3:$G$22&gt;A231)*(Calc!$G$3:$G$22-A231)*(Calc!$G$3:$G$22&gt;B231)*(Calc!$G$3:$G$22-B231))</f>
        <v/>
      </c>
      <c r="L231">
        <f>SUMPRODUCT(Calc!$K$3:$K$22*(Calc!$G$3:$G$22&gt;A231)*(Calc!$G$3:$G$22-A231)*Calc!$G$3:$G$22)</f>
        <v/>
      </c>
      <c r="M231">
        <f>SUMPRODUCT(Calc!$K$3:$K$22*(Calc!$G$3:$G$22&gt;B231)*(Calc!$G$3:$G$22-B231)*Calc!$G$3:$G$22)</f>
        <v/>
      </c>
      <c r="N231">
        <f>SUMPRODUCT(Calc!$K$3:$K$22*(Calc!$G$3:$G$22&gt;A231)*(Calc!$G$3:$G$22-A231)*Calc!$I$3:$I$22)</f>
        <v/>
      </c>
      <c r="O231">
        <f>SUMPRODUCT(Calc!$K$3:$K$22*(Calc!$G$3:$G$22&gt;B231)*(Calc!$G$3:$G$22-B231)*Calc!$I$3:$I$22)</f>
        <v/>
      </c>
      <c r="P231">
        <f>I231-G231^2/k_n</f>
        <v/>
      </c>
      <c r="Q231">
        <f>J231-H231^2/k_n</f>
        <v/>
      </c>
      <c r="R231">
        <f>K231-G231*H231/k_n</f>
        <v/>
      </c>
      <c r="S231">
        <f>L231-LTP3!$D$3*G231/k_n</f>
        <v/>
      </c>
      <c r="T231">
        <f>M231-LTP3!$D$3*H231/k_n</f>
        <v/>
      </c>
      <c r="U231">
        <f>N231-G231*LTP3!$D$4/k_n</f>
        <v/>
      </c>
      <c r="V231">
        <f>O231-H231*LTP3!$D$4/k_n</f>
        <v/>
      </c>
      <c r="W231">
        <f>((LTP3!$D$5)*((P231)*(Q231)-(R231)*(R231))-(S231)*((S231)*(Q231)-(R231)*(T231))+(T231)*((S231)*(R231)-(P231)*(T231)))</f>
        <v/>
      </c>
      <c r="X231">
        <f>IF(ABS(W231)&gt;1E-12,((LTP3!$D$6)*((P231)*(Q231)-(R231)*(R231))-(S231)*((U231)*(Q231)-(R231)*(V231))+(T231)*((U231)*(R231)-(P231)*(V231)))/W231,0)</f>
        <v/>
      </c>
      <c r="Y231">
        <f>IF(ABS(W231)&gt;1E-12,((LTP3!$D$5)*((U231)*(Q231)-(R231)*(V231))-(LTP3!$D$6)*((S231)*(Q231)-(R231)*(T231))+(T231)*((S231)*(V231)-(U231)*(T231)))/W231,0)</f>
        <v/>
      </c>
      <c r="Z231">
        <f>IF(ABS(W231)&gt;1E-12,((LTP3!$D$5)*((P231)*(V231)-(U231)*(R231))-(S231)*((S231)*(V231)-(U231)*(T231))+(LTP3!$D$6)*((S231)*(R231)-(P231)*(T231)))/W231,0)</f>
        <v/>
      </c>
      <c r="AA231">
        <f>LTP3!$D$7-X231*LTP3!$D$6-Y231*U231-Z231*V231</f>
        <v/>
      </c>
      <c r="AB231">
        <f>IF(AND(F231,ABS(W231)&gt;1E-12,Y231&gt;0,Z231&gt;0),AA231,1E+300)</f>
        <v/>
      </c>
    </row>
    <row r="232">
      <c r="A232">
        <f>$B$3+$B$5*3</f>
        <v/>
      </c>
      <c r="B232">
        <f>$B$3+$B$5*37</f>
        <v/>
      </c>
      <c r="C232">
        <f>SUMPRODUCT(Calc!$K$3:$K$22*(Calc!$G$3:$G$22&lt;=A232))</f>
        <v/>
      </c>
      <c r="D232">
        <f>SUMPRODUCT(Calc!$K$3:$K$22*(Calc!$G$3:$G$22&gt;A232)*(Calc!$G$3:$G$22&lt;B232))</f>
        <v/>
      </c>
      <c r="E232">
        <f>SUMPRODUCT(Calc!$K$3:$K$22*(Calc!$G$3:$G$22&gt;=B232))</f>
        <v/>
      </c>
      <c r="F232">
        <f>AND(k_n&gt;=5,B232&gt;A232+1E-9,C232&gt;=2,D232&gt;=1,E232&gt;=2)</f>
        <v/>
      </c>
      <c r="G232">
        <f>SUMPRODUCT(Calc!$K$3:$K$22*(Calc!$G$3:$G$22&gt;A232)*(Calc!$G$3:$G$22-A232))</f>
        <v/>
      </c>
      <c r="H232">
        <f>SUMPRODUCT(Calc!$K$3:$K$22*(Calc!$G$3:$G$22&gt;B232)*(Calc!$G$3:$G$22-B232))</f>
        <v/>
      </c>
      <c r="I232">
        <f>SUMPRODUCT(Calc!$K$3:$K$22*(Calc!$G$3:$G$22&gt;A232)*(Calc!$G$3:$G$22-A232)^2)</f>
        <v/>
      </c>
      <c r="J232">
        <f>SUMPRODUCT(Calc!$K$3:$K$22*(Calc!$G$3:$G$22&gt;B232)*(Calc!$G$3:$G$22-B232)^2)</f>
        <v/>
      </c>
      <c r="K232">
        <f>SUMPRODUCT(Calc!$K$3:$K$22*(Calc!$G$3:$G$22&gt;A232)*(Calc!$G$3:$G$22-A232)*(Calc!$G$3:$G$22&gt;B232)*(Calc!$G$3:$G$22-B232))</f>
        <v/>
      </c>
      <c r="L232">
        <f>SUMPRODUCT(Calc!$K$3:$K$22*(Calc!$G$3:$G$22&gt;A232)*(Calc!$G$3:$G$22-A232)*Calc!$G$3:$G$22)</f>
        <v/>
      </c>
      <c r="M232">
        <f>SUMPRODUCT(Calc!$K$3:$K$22*(Calc!$G$3:$G$22&gt;B232)*(Calc!$G$3:$G$22-B232)*Calc!$G$3:$G$22)</f>
        <v/>
      </c>
      <c r="N232">
        <f>SUMPRODUCT(Calc!$K$3:$K$22*(Calc!$G$3:$G$22&gt;A232)*(Calc!$G$3:$G$22-A232)*Calc!$I$3:$I$22)</f>
        <v/>
      </c>
      <c r="O232">
        <f>SUMPRODUCT(Calc!$K$3:$K$22*(Calc!$G$3:$G$22&gt;B232)*(Calc!$G$3:$G$22-B232)*Calc!$I$3:$I$22)</f>
        <v/>
      </c>
      <c r="P232">
        <f>I232-G232^2/k_n</f>
        <v/>
      </c>
      <c r="Q232">
        <f>J232-H232^2/k_n</f>
        <v/>
      </c>
      <c r="R232">
        <f>K232-G232*H232/k_n</f>
        <v/>
      </c>
      <c r="S232">
        <f>L232-LTP3!$D$3*G232/k_n</f>
        <v/>
      </c>
      <c r="T232">
        <f>M232-LTP3!$D$3*H232/k_n</f>
        <v/>
      </c>
      <c r="U232">
        <f>N232-G232*LTP3!$D$4/k_n</f>
        <v/>
      </c>
      <c r="V232">
        <f>O232-H232*LTP3!$D$4/k_n</f>
        <v/>
      </c>
      <c r="W232">
        <f>((LTP3!$D$5)*((P232)*(Q232)-(R232)*(R232))-(S232)*((S232)*(Q232)-(R232)*(T232))+(T232)*((S232)*(R232)-(P232)*(T232)))</f>
        <v/>
      </c>
      <c r="X232">
        <f>IF(ABS(W232)&gt;1E-12,((LTP3!$D$6)*((P232)*(Q232)-(R232)*(R232))-(S232)*((U232)*(Q232)-(R232)*(V232))+(T232)*((U232)*(R232)-(P232)*(V232)))/W232,0)</f>
        <v/>
      </c>
      <c r="Y232">
        <f>IF(ABS(W232)&gt;1E-12,((LTP3!$D$5)*((U232)*(Q232)-(R232)*(V232))-(LTP3!$D$6)*((S232)*(Q232)-(R232)*(T232))+(T232)*((S232)*(V232)-(U232)*(T232)))/W232,0)</f>
        <v/>
      </c>
      <c r="Z232">
        <f>IF(ABS(W232)&gt;1E-12,((LTP3!$D$5)*((P232)*(V232)-(U232)*(R232))-(S232)*((S232)*(V232)-(U232)*(T232))+(LTP3!$D$6)*((S232)*(R232)-(P232)*(T232)))/W232,0)</f>
        <v/>
      </c>
      <c r="AA232">
        <f>LTP3!$D$7-X232*LTP3!$D$6-Y232*U232-Z232*V232</f>
        <v/>
      </c>
      <c r="AB232">
        <f>IF(AND(F232,ABS(W232)&gt;1E-12,Y232&gt;0,Z232&gt;0),AA232,1E+300)</f>
        <v/>
      </c>
    </row>
    <row r="233">
      <c r="A233">
        <f>$B$3+$B$5*3</f>
        <v/>
      </c>
      <c r="B233">
        <f>$B$3+$B$5*38</f>
        <v/>
      </c>
      <c r="C233">
        <f>SUMPRODUCT(Calc!$K$3:$K$22*(Calc!$G$3:$G$22&lt;=A233))</f>
        <v/>
      </c>
      <c r="D233">
        <f>SUMPRODUCT(Calc!$K$3:$K$22*(Calc!$G$3:$G$22&gt;A233)*(Calc!$G$3:$G$22&lt;B233))</f>
        <v/>
      </c>
      <c r="E233">
        <f>SUMPRODUCT(Calc!$K$3:$K$22*(Calc!$G$3:$G$22&gt;=B233))</f>
        <v/>
      </c>
      <c r="F233">
        <f>AND(k_n&gt;=5,B233&gt;A233+1E-9,C233&gt;=2,D233&gt;=1,E233&gt;=2)</f>
        <v/>
      </c>
      <c r="G233">
        <f>SUMPRODUCT(Calc!$K$3:$K$22*(Calc!$G$3:$G$22&gt;A233)*(Calc!$G$3:$G$22-A233))</f>
        <v/>
      </c>
      <c r="H233">
        <f>SUMPRODUCT(Calc!$K$3:$K$22*(Calc!$G$3:$G$22&gt;B233)*(Calc!$G$3:$G$22-B233))</f>
        <v/>
      </c>
      <c r="I233">
        <f>SUMPRODUCT(Calc!$K$3:$K$22*(Calc!$G$3:$G$22&gt;A233)*(Calc!$G$3:$G$22-A233)^2)</f>
        <v/>
      </c>
      <c r="J233">
        <f>SUMPRODUCT(Calc!$K$3:$K$22*(Calc!$G$3:$G$22&gt;B233)*(Calc!$G$3:$G$22-B233)^2)</f>
        <v/>
      </c>
      <c r="K233">
        <f>SUMPRODUCT(Calc!$K$3:$K$22*(Calc!$G$3:$G$22&gt;A233)*(Calc!$G$3:$G$22-A233)*(Calc!$G$3:$G$22&gt;B233)*(Calc!$G$3:$G$22-B233))</f>
        <v/>
      </c>
      <c r="L233">
        <f>SUMPRODUCT(Calc!$K$3:$K$22*(Calc!$G$3:$G$22&gt;A233)*(Calc!$G$3:$G$22-A233)*Calc!$G$3:$G$22)</f>
        <v/>
      </c>
      <c r="M233">
        <f>SUMPRODUCT(Calc!$K$3:$K$22*(Calc!$G$3:$G$22&gt;B233)*(Calc!$G$3:$G$22-B233)*Calc!$G$3:$G$22)</f>
        <v/>
      </c>
      <c r="N233">
        <f>SUMPRODUCT(Calc!$K$3:$K$22*(Calc!$G$3:$G$22&gt;A233)*(Calc!$G$3:$G$22-A233)*Calc!$I$3:$I$22)</f>
        <v/>
      </c>
      <c r="O233">
        <f>SUMPRODUCT(Calc!$K$3:$K$22*(Calc!$G$3:$G$22&gt;B233)*(Calc!$G$3:$G$22-B233)*Calc!$I$3:$I$22)</f>
        <v/>
      </c>
      <c r="P233">
        <f>I233-G233^2/k_n</f>
        <v/>
      </c>
      <c r="Q233">
        <f>J233-H233^2/k_n</f>
        <v/>
      </c>
      <c r="R233">
        <f>K233-G233*H233/k_n</f>
        <v/>
      </c>
      <c r="S233">
        <f>L233-LTP3!$D$3*G233/k_n</f>
        <v/>
      </c>
      <c r="T233">
        <f>M233-LTP3!$D$3*H233/k_n</f>
        <v/>
      </c>
      <c r="U233">
        <f>N233-G233*LTP3!$D$4/k_n</f>
        <v/>
      </c>
      <c r="V233">
        <f>O233-H233*LTP3!$D$4/k_n</f>
        <v/>
      </c>
      <c r="W233">
        <f>((LTP3!$D$5)*((P233)*(Q233)-(R233)*(R233))-(S233)*((S233)*(Q233)-(R233)*(T233))+(T233)*((S233)*(R233)-(P233)*(T233)))</f>
        <v/>
      </c>
      <c r="X233">
        <f>IF(ABS(W233)&gt;1E-12,((LTP3!$D$6)*((P233)*(Q233)-(R233)*(R233))-(S233)*((U233)*(Q233)-(R233)*(V233))+(T233)*((U233)*(R233)-(P233)*(V233)))/W233,0)</f>
        <v/>
      </c>
      <c r="Y233">
        <f>IF(ABS(W233)&gt;1E-12,((LTP3!$D$5)*((U233)*(Q233)-(R233)*(V233))-(LTP3!$D$6)*((S233)*(Q233)-(R233)*(T233))+(T233)*((S233)*(V233)-(U233)*(T233)))/W233,0)</f>
        <v/>
      </c>
      <c r="Z233">
        <f>IF(ABS(W233)&gt;1E-12,((LTP3!$D$5)*((P233)*(V233)-(U233)*(R233))-(S233)*((S233)*(V233)-(U233)*(T233))+(LTP3!$D$6)*((S233)*(R233)-(P233)*(T233)))/W233,0)</f>
        <v/>
      </c>
      <c r="AA233">
        <f>LTP3!$D$7-X233*LTP3!$D$6-Y233*U233-Z233*V233</f>
        <v/>
      </c>
      <c r="AB233">
        <f>IF(AND(F233,ABS(W233)&gt;1E-12,Y233&gt;0,Z233&gt;0),AA233,1E+300)</f>
        <v/>
      </c>
    </row>
    <row r="234">
      <c r="A234">
        <f>$B$3+$B$5*3</f>
        <v/>
      </c>
      <c r="B234">
        <f>$B$3+$B$5*39</f>
        <v/>
      </c>
      <c r="C234">
        <f>SUMPRODUCT(Calc!$K$3:$K$22*(Calc!$G$3:$G$22&lt;=A234))</f>
        <v/>
      </c>
      <c r="D234">
        <f>SUMPRODUCT(Calc!$K$3:$K$22*(Calc!$G$3:$G$22&gt;A234)*(Calc!$G$3:$G$22&lt;B234))</f>
        <v/>
      </c>
      <c r="E234">
        <f>SUMPRODUCT(Calc!$K$3:$K$22*(Calc!$G$3:$G$22&gt;=B234))</f>
        <v/>
      </c>
      <c r="F234">
        <f>AND(k_n&gt;=5,B234&gt;A234+1E-9,C234&gt;=2,D234&gt;=1,E234&gt;=2)</f>
        <v/>
      </c>
      <c r="G234">
        <f>SUMPRODUCT(Calc!$K$3:$K$22*(Calc!$G$3:$G$22&gt;A234)*(Calc!$G$3:$G$22-A234))</f>
        <v/>
      </c>
      <c r="H234">
        <f>SUMPRODUCT(Calc!$K$3:$K$22*(Calc!$G$3:$G$22&gt;B234)*(Calc!$G$3:$G$22-B234))</f>
        <v/>
      </c>
      <c r="I234">
        <f>SUMPRODUCT(Calc!$K$3:$K$22*(Calc!$G$3:$G$22&gt;A234)*(Calc!$G$3:$G$22-A234)^2)</f>
        <v/>
      </c>
      <c r="J234">
        <f>SUMPRODUCT(Calc!$K$3:$K$22*(Calc!$G$3:$G$22&gt;B234)*(Calc!$G$3:$G$22-B234)^2)</f>
        <v/>
      </c>
      <c r="K234">
        <f>SUMPRODUCT(Calc!$K$3:$K$22*(Calc!$G$3:$G$22&gt;A234)*(Calc!$G$3:$G$22-A234)*(Calc!$G$3:$G$22&gt;B234)*(Calc!$G$3:$G$22-B234))</f>
        <v/>
      </c>
      <c r="L234">
        <f>SUMPRODUCT(Calc!$K$3:$K$22*(Calc!$G$3:$G$22&gt;A234)*(Calc!$G$3:$G$22-A234)*Calc!$G$3:$G$22)</f>
        <v/>
      </c>
      <c r="M234">
        <f>SUMPRODUCT(Calc!$K$3:$K$22*(Calc!$G$3:$G$22&gt;B234)*(Calc!$G$3:$G$22-B234)*Calc!$G$3:$G$22)</f>
        <v/>
      </c>
      <c r="N234">
        <f>SUMPRODUCT(Calc!$K$3:$K$22*(Calc!$G$3:$G$22&gt;A234)*(Calc!$G$3:$G$22-A234)*Calc!$I$3:$I$22)</f>
        <v/>
      </c>
      <c r="O234">
        <f>SUMPRODUCT(Calc!$K$3:$K$22*(Calc!$G$3:$G$22&gt;B234)*(Calc!$G$3:$G$22-B234)*Calc!$I$3:$I$22)</f>
        <v/>
      </c>
      <c r="P234">
        <f>I234-G234^2/k_n</f>
        <v/>
      </c>
      <c r="Q234">
        <f>J234-H234^2/k_n</f>
        <v/>
      </c>
      <c r="R234">
        <f>K234-G234*H234/k_n</f>
        <v/>
      </c>
      <c r="S234">
        <f>L234-LTP3!$D$3*G234/k_n</f>
        <v/>
      </c>
      <c r="T234">
        <f>M234-LTP3!$D$3*H234/k_n</f>
        <v/>
      </c>
      <c r="U234">
        <f>N234-G234*LTP3!$D$4/k_n</f>
        <v/>
      </c>
      <c r="V234">
        <f>O234-H234*LTP3!$D$4/k_n</f>
        <v/>
      </c>
      <c r="W234">
        <f>((LTP3!$D$5)*((P234)*(Q234)-(R234)*(R234))-(S234)*((S234)*(Q234)-(R234)*(T234))+(T234)*((S234)*(R234)-(P234)*(T234)))</f>
        <v/>
      </c>
      <c r="X234">
        <f>IF(ABS(W234)&gt;1E-12,((LTP3!$D$6)*((P234)*(Q234)-(R234)*(R234))-(S234)*((U234)*(Q234)-(R234)*(V234))+(T234)*((U234)*(R234)-(P234)*(V234)))/W234,0)</f>
        <v/>
      </c>
      <c r="Y234">
        <f>IF(ABS(W234)&gt;1E-12,((LTP3!$D$5)*((U234)*(Q234)-(R234)*(V234))-(LTP3!$D$6)*((S234)*(Q234)-(R234)*(T234))+(T234)*((S234)*(V234)-(U234)*(T234)))/W234,0)</f>
        <v/>
      </c>
      <c r="Z234">
        <f>IF(ABS(W234)&gt;1E-12,((LTP3!$D$5)*((P234)*(V234)-(U234)*(R234))-(S234)*((S234)*(V234)-(U234)*(T234))+(LTP3!$D$6)*((S234)*(R234)-(P234)*(T234)))/W234,0)</f>
        <v/>
      </c>
      <c r="AA234">
        <f>LTP3!$D$7-X234*LTP3!$D$6-Y234*U234-Z234*V234</f>
        <v/>
      </c>
      <c r="AB234">
        <f>IF(AND(F234,ABS(W234)&gt;1E-12,Y234&gt;0,Z234&gt;0),AA234,1E+300)</f>
        <v/>
      </c>
    </row>
    <row r="235">
      <c r="A235">
        <f>$B$3+$B$5*3</f>
        <v/>
      </c>
      <c r="B235">
        <f>$B$3+$B$5*40</f>
        <v/>
      </c>
      <c r="C235">
        <f>SUMPRODUCT(Calc!$K$3:$K$22*(Calc!$G$3:$G$22&lt;=A235))</f>
        <v/>
      </c>
      <c r="D235">
        <f>SUMPRODUCT(Calc!$K$3:$K$22*(Calc!$G$3:$G$22&gt;A235)*(Calc!$G$3:$G$22&lt;B235))</f>
        <v/>
      </c>
      <c r="E235">
        <f>SUMPRODUCT(Calc!$K$3:$K$22*(Calc!$G$3:$G$22&gt;=B235))</f>
        <v/>
      </c>
      <c r="F235">
        <f>AND(k_n&gt;=5,B235&gt;A235+1E-9,C235&gt;=2,D235&gt;=1,E235&gt;=2)</f>
        <v/>
      </c>
      <c r="G235">
        <f>SUMPRODUCT(Calc!$K$3:$K$22*(Calc!$G$3:$G$22&gt;A235)*(Calc!$G$3:$G$22-A235))</f>
        <v/>
      </c>
      <c r="H235">
        <f>SUMPRODUCT(Calc!$K$3:$K$22*(Calc!$G$3:$G$22&gt;B235)*(Calc!$G$3:$G$22-B235))</f>
        <v/>
      </c>
      <c r="I235">
        <f>SUMPRODUCT(Calc!$K$3:$K$22*(Calc!$G$3:$G$22&gt;A235)*(Calc!$G$3:$G$22-A235)^2)</f>
        <v/>
      </c>
      <c r="J235">
        <f>SUMPRODUCT(Calc!$K$3:$K$22*(Calc!$G$3:$G$22&gt;B235)*(Calc!$G$3:$G$22-B235)^2)</f>
        <v/>
      </c>
      <c r="K235">
        <f>SUMPRODUCT(Calc!$K$3:$K$22*(Calc!$G$3:$G$22&gt;A235)*(Calc!$G$3:$G$22-A235)*(Calc!$G$3:$G$22&gt;B235)*(Calc!$G$3:$G$22-B235))</f>
        <v/>
      </c>
      <c r="L235">
        <f>SUMPRODUCT(Calc!$K$3:$K$22*(Calc!$G$3:$G$22&gt;A235)*(Calc!$G$3:$G$22-A235)*Calc!$G$3:$G$22)</f>
        <v/>
      </c>
      <c r="M235">
        <f>SUMPRODUCT(Calc!$K$3:$K$22*(Calc!$G$3:$G$22&gt;B235)*(Calc!$G$3:$G$22-B235)*Calc!$G$3:$G$22)</f>
        <v/>
      </c>
      <c r="N235">
        <f>SUMPRODUCT(Calc!$K$3:$K$22*(Calc!$G$3:$G$22&gt;A235)*(Calc!$G$3:$G$22-A235)*Calc!$I$3:$I$22)</f>
        <v/>
      </c>
      <c r="O235">
        <f>SUMPRODUCT(Calc!$K$3:$K$22*(Calc!$G$3:$G$22&gt;B235)*(Calc!$G$3:$G$22-B235)*Calc!$I$3:$I$22)</f>
        <v/>
      </c>
      <c r="P235">
        <f>I235-G235^2/k_n</f>
        <v/>
      </c>
      <c r="Q235">
        <f>J235-H235^2/k_n</f>
        <v/>
      </c>
      <c r="R235">
        <f>K235-G235*H235/k_n</f>
        <v/>
      </c>
      <c r="S235">
        <f>L235-LTP3!$D$3*G235/k_n</f>
        <v/>
      </c>
      <c r="T235">
        <f>M235-LTP3!$D$3*H235/k_n</f>
        <v/>
      </c>
      <c r="U235">
        <f>N235-G235*LTP3!$D$4/k_n</f>
        <v/>
      </c>
      <c r="V235">
        <f>O235-H235*LTP3!$D$4/k_n</f>
        <v/>
      </c>
      <c r="W235">
        <f>((LTP3!$D$5)*((P235)*(Q235)-(R235)*(R235))-(S235)*((S235)*(Q235)-(R235)*(T235))+(T235)*((S235)*(R235)-(P235)*(T235)))</f>
        <v/>
      </c>
      <c r="X235">
        <f>IF(ABS(W235)&gt;1E-12,((LTP3!$D$6)*((P235)*(Q235)-(R235)*(R235))-(S235)*((U235)*(Q235)-(R235)*(V235))+(T235)*((U235)*(R235)-(P235)*(V235)))/W235,0)</f>
        <v/>
      </c>
      <c r="Y235">
        <f>IF(ABS(W235)&gt;1E-12,((LTP3!$D$5)*((U235)*(Q235)-(R235)*(V235))-(LTP3!$D$6)*((S235)*(Q235)-(R235)*(T235))+(T235)*((S235)*(V235)-(U235)*(T235)))/W235,0)</f>
        <v/>
      </c>
      <c r="Z235">
        <f>IF(ABS(W235)&gt;1E-12,((LTP3!$D$5)*((P235)*(V235)-(U235)*(R235))-(S235)*((S235)*(V235)-(U235)*(T235))+(LTP3!$D$6)*((S235)*(R235)-(P235)*(T235)))/W235,0)</f>
        <v/>
      </c>
      <c r="AA235">
        <f>LTP3!$D$7-X235*LTP3!$D$6-Y235*U235-Z235*V235</f>
        <v/>
      </c>
      <c r="AB235">
        <f>IF(AND(F235,ABS(W235)&gt;1E-12,Y235&gt;0,Z235&gt;0),AA235,1E+300)</f>
        <v/>
      </c>
    </row>
    <row r="236">
      <c r="A236">
        <f>$B$3+$B$5*3</f>
        <v/>
      </c>
      <c r="B236">
        <f>$B$3+$B$5*41</f>
        <v/>
      </c>
      <c r="C236">
        <f>SUMPRODUCT(Calc!$K$3:$K$22*(Calc!$G$3:$G$22&lt;=A236))</f>
        <v/>
      </c>
      <c r="D236">
        <f>SUMPRODUCT(Calc!$K$3:$K$22*(Calc!$G$3:$G$22&gt;A236)*(Calc!$G$3:$G$22&lt;B236))</f>
        <v/>
      </c>
      <c r="E236">
        <f>SUMPRODUCT(Calc!$K$3:$K$22*(Calc!$G$3:$G$22&gt;=B236))</f>
        <v/>
      </c>
      <c r="F236">
        <f>AND(k_n&gt;=5,B236&gt;A236+1E-9,C236&gt;=2,D236&gt;=1,E236&gt;=2)</f>
        <v/>
      </c>
      <c r="G236">
        <f>SUMPRODUCT(Calc!$K$3:$K$22*(Calc!$G$3:$G$22&gt;A236)*(Calc!$G$3:$G$22-A236))</f>
        <v/>
      </c>
      <c r="H236">
        <f>SUMPRODUCT(Calc!$K$3:$K$22*(Calc!$G$3:$G$22&gt;B236)*(Calc!$G$3:$G$22-B236))</f>
        <v/>
      </c>
      <c r="I236">
        <f>SUMPRODUCT(Calc!$K$3:$K$22*(Calc!$G$3:$G$22&gt;A236)*(Calc!$G$3:$G$22-A236)^2)</f>
        <v/>
      </c>
      <c r="J236">
        <f>SUMPRODUCT(Calc!$K$3:$K$22*(Calc!$G$3:$G$22&gt;B236)*(Calc!$G$3:$G$22-B236)^2)</f>
        <v/>
      </c>
      <c r="K236">
        <f>SUMPRODUCT(Calc!$K$3:$K$22*(Calc!$G$3:$G$22&gt;A236)*(Calc!$G$3:$G$22-A236)*(Calc!$G$3:$G$22&gt;B236)*(Calc!$G$3:$G$22-B236))</f>
        <v/>
      </c>
      <c r="L236">
        <f>SUMPRODUCT(Calc!$K$3:$K$22*(Calc!$G$3:$G$22&gt;A236)*(Calc!$G$3:$G$22-A236)*Calc!$G$3:$G$22)</f>
        <v/>
      </c>
      <c r="M236">
        <f>SUMPRODUCT(Calc!$K$3:$K$22*(Calc!$G$3:$G$22&gt;B236)*(Calc!$G$3:$G$22-B236)*Calc!$G$3:$G$22)</f>
        <v/>
      </c>
      <c r="N236">
        <f>SUMPRODUCT(Calc!$K$3:$K$22*(Calc!$G$3:$G$22&gt;A236)*(Calc!$G$3:$G$22-A236)*Calc!$I$3:$I$22)</f>
        <v/>
      </c>
      <c r="O236">
        <f>SUMPRODUCT(Calc!$K$3:$K$22*(Calc!$G$3:$G$22&gt;B236)*(Calc!$G$3:$G$22-B236)*Calc!$I$3:$I$22)</f>
        <v/>
      </c>
      <c r="P236">
        <f>I236-G236^2/k_n</f>
        <v/>
      </c>
      <c r="Q236">
        <f>J236-H236^2/k_n</f>
        <v/>
      </c>
      <c r="R236">
        <f>K236-G236*H236/k_n</f>
        <v/>
      </c>
      <c r="S236">
        <f>L236-LTP3!$D$3*G236/k_n</f>
        <v/>
      </c>
      <c r="T236">
        <f>M236-LTP3!$D$3*H236/k_n</f>
        <v/>
      </c>
      <c r="U236">
        <f>N236-G236*LTP3!$D$4/k_n</f>
        <v/>
      </c>
      <c r="V236">
        <f>O236-H236*LTP3!$D$4/k_n</f>
        <v/>
      </c>
      <c r="W236">
        <f>((LTP3!$D$5)*((P236)*(Q236)-(R236)*(R236))-(S236)*((S236)*(Q236)-(R236)*(T236))+(T236)*((S236)*(R236)-(P236)*(T236)))</f>
        <v/>
      </c>
      <c r="X236">
        <f>IF(ABS(W236)&gt;1E-12,((LTP3!$D$6)*((P236)*(Q236)-(R236)*(R236))-(S236)*((U236)*(Q236)-(R236)*(V236))+(T236)*((U236)*(R236)-(P236)*(V236)))/W236,0)</f>
        <v/>
      </c>
      <c r="Y236">
        <f>IF(ABS(W236)&gt;1E-12,((LTP3!$D$5)*((U236)*(Q236)-(R236)*(V236))-(LTP3!$D$6)*((S236)*(Q236)-(R236)*(T236))+(T236)*((S236)*(V236)-(U236)*(T236)))/W236,0)</f>
        <v/>
      </c>
      <c r="Z236">
        <f>IF(ABS(W236)&gt;1E-12,((LTP3!$D$5)*((P236)*(V236)-(U236)*(R236))-(S236)*((S236)*(V236)-(U236)*(T236))+(LTP3!$D$6)*((S236)*(R236)-(P236)*(T236)))/W236,0)</f>
        <v/>
      </c>
      <c r="AA236">
        <f>LTP3!$D$7-X236*LTP3!$D$6-Y236*U236-Z236*V236</f>
        <v/>
      </c>
      <c r="AB236">
        <f>IF(AND(F236,ABS(W236)&gt;1E-12,Y236&gt;0,Z236&gt;0),AA236,1E+300)</f>
        <v/>
      </c>
    </row>
    <row r="237">
      <c r="A237">
        <f>$B$3+$B$5*3</f>
        <v/>
      </c>
      <c r="B237">
        <f>$B$3+$B$5*42</f>
        <v/>
      </c>
      <c r="C237">
        <f>SUMPRODUCT(Calc!$K$3:$K$22*(Calc!$G$3:$G$22&lt;=A237))</f>
        <v/>
      </c>
      <c r="D237">
        <f>SUMPRODUCT(Calc!$K$3:$K$22*(Calc!$G$3:$G$22&gt;A237)*(Calc!$G$3:$G$22&lt;B237))</f>
        <v/>
      </c>
      <c r="E237">
        <f>SUMPRODUCT(Calc!$K$3:$K$22*(Calc!$G$3:$G$22&gt;=B237))</f>
        <v/>
      </c>
      <c r="F237">
        <f>AND(k_n&gt;=5,B237&gt;A237+1E-9,C237&gt;=2,D237&gt;=1,E237&gt;=2)</f>
        <v/>
      </c>
      <c r="G237">
        <f>SUMPRODUCT(Calc!$K$3:$K$22*(Calc!$G$3:$G$22&gt;A237)*(Calc!$G$3:$G$22-A237))</f>
        <v/>
      </c>
      <c r="H237">
        <f>SUMPRODUCT(Calc!$K$3:$K$22*(Calc!$G$3:$G$22&gt;B237)*(Calc!$G$3:$G$22-B237))</f>
        <v/>
      </c>
      <c r="I237">
        <f>SUMPRODUCT(Calc!$K$3:$K$22*(Calc!$G$3:$G$22&gt;A237)*(Calc!$G$3:$G$22-A237)^2)</f>
        <v/>
      </c>
      <c r="J237">
        <f>SUMPRODUCT(Calc!$K$3:$K$22*(Calc!$G$3:$G$22&gt;B237)*(Calc!$G$3:$G$22-B237)^2)</f>
        <v/>
      </c>
      <c r="K237">
        <f>SUMPRODUCT(Calc!$K$3:$K$22*(Calc!$G$3:$G$22&gt;A237)*(Calc!$G$3:$G$22-A237)*(Calc!$G$3:$G$22&gt;B237)*(Calc!$G$3:$G$22-B237))</f>
        <v/>
      </c>
      <c r="L237">
        <f>SUMPRODUCT(Calc!$K$3:$K$22*(Calc!$G$3:$G$22&gt;A237)*(Calc!$G$3:$G$22-A237)*Calc!$G$3:$G$22)</f>
        <v/>
      </c>
      <c r="M237">
        <f>SUMPRODUCT(Calc!$K$3:$K$22*(Calc!$G$3:$G$22&gt;B237)*(Calc!$G$3:$G$22-B237)*Calc!$G$3:$G$22)</f>
        <v/>
      </c>
      <c r="N237">
        <f>SUMPRODUCT(Calc!$K$3:$K$22*(Calc!$G$3:$G$22&gt;A237)*(Calc!$G$3:$G$22-A237)*Calc!$I$3:$I$22)</f>
        <v/>
      </c>
      <c r="O237">
        <f>SUMPRODUCT(Calc!$K$3:$K$22*(Calc!$G$3:$G$22&gt;B237)*(Calc!$G$3:$G$22-B237)*Calc!$I$3:$I$22)</f>
        <v/>
      </c>
      <c r="P237">
        <f>I237-G237^2/k_n</f>
        <v/>
      </c>
      <c r="Q237">
        <f>J237-H237^2/k_n</f>
        <v/>
      </c>
      <c r="R237">
        <f>K237-G237*H237/k_n</f>
        <v/>
      </c>
      <c r="S237">
        <f>L237-LTP3!$D$3*G237/k_n</f>
        <v/>
      </c>
      <c r="T237">
        <f>M237-LTP3!$D$3*H237/k_n</f>
        <v/>
      </c>
      <c r="U237">
        <f>N237-G237*LTP3!$D$4/k_n</f>
        <v/>
      </c>
      <c r="V237">
        <f>O237-H237*LTP3!$D$4/k_n</f>
        <v/>
      </c>
      <c r="W237">
        <f>((LTP3!$D$5)*((P237)*(Q237)-(R237)*(R237))-(S237)*((S237)*(Q237)-(R237)*(T237))+(T237)*((S237)*(R237)-(P237)*(T237)))</f>
        <v/>
      </c>
      <c r="X237">
        <f>IF(ABS(W237)&gt;1E-12,((LTP3!$D$6)*((P237)*(Q237)-(R237)*(R237))-(S237)*((U237)*(Q237)-(R237)*(V237))+(T237)*((U237)*(R237)-(P237)*(V237)))/W237,0)</f>
        <v/>
      </c>
      <c r="Y237">
        <f>IF(ABS(W237)&gt;1E-12,((LTP3!$D$5)*((U237)*(Q237)-(R237)*(V237))-(LTP3!$D$6)*((S237)*(Q237)-(R237)*(T237))+(T237)*((S237)*(V237)-(U237)*(T237)))/W237,0)</f>
        <v/>
      </c>
      <c r="Z237">
        <f>IF(ABS(W237)&gt;1E-12,((LTP3!$D$5)*((P237)*(V237)-(U237)*(R237))-(S237)*((S237)*(V237)-(U237)*(T237))+(LTP3!$D$6)*((S237)*(R237)-(P237)*(T237)))/W237,0)</f>
        <v/>
      </c>
      <c r="AA237">
        <f>LTP3!$D$7-X237*LTP3!$D$6-Y237*U237-Z237*V237</f>
        <v/>
      </c>
      <c r="AB237">
        <f>IF(AND(F237,ABS(W237)&gt;1E-12,Y237&gt;0,Z237&gt;0),AA237,1E+300)</f>
        <v/>
      </c>
    </row>
    <row r="238">
      <c r="A238">
        <f>$B$3+$B$5*3</f>
        <v/>
      </c>
      <c r="B238">
        <f>$B$3+$B$5*43</f>
        <v/>
      </c>
      <c r="C238">
        <f>SUMPRODUCT(Calc!$K$3:$K$22*(Calc!$G$3:$G$22&lt;=A238))</f>
        <v/>
      </c>
      <c r="D238">
        <f>SUMPRODUCT(Calc!$K$3:$K$22*(Calc!$G$3:$G$22&gt;A238)*(Calc!$G$3:$G$22&lt;B238))</f>
        <v/>
      </c>
      <c r="E238">
        <f>SUMPRODUCT(Calc!$K$3:$K$22*(Calc!$G$3:$G$22&gt;=B238))</f>
        <v/>
      </c>
      <c r="F238">
        <f>AND(k_n&gt;=5,B238&gt;A238+1E-9,C238&gt;=2,D238&gt;=1,E238&gt;=2)</f>
        <v/>
      </c>
      <c r="G238">
        <f>SUMPRODUCT(Calc!$K$3:$K$22*(Calc!$G$3:$G$22&gt;A238)*(Calc!$G$3:$G$22-A238))</f>
        <v/>
      </c>
      <c r="H238">
        <f>SUMPRODUCT(Calc!$K$3:$K$22*(Calc!$G$3:$G$22&gt;B238)*(Calc!$G$3:$G$22-B238))</f>
        <v/>
      </c>
      <c r="I238">
        <f>SUMPRODUCT(Calc!$K$3:$K$22*(Calc!$G$3:$G$22&gt;A238)*(Calc!$G$3:$G$22-A238)^2)</f>
        <v/>
      </c>
      <c r="J238">
        <f>SUMPRODUCT(Calc!$K$3:$K$22*(Calc!$G$3:$G$22&gt;B238)*(Calc!$G$3:$G$22-B238)^2)</f>
        <v/>
      </c>
      <c r="K238">
        <f>SUMPRODUCT(Calc!$K$3:$K$22*(Calc!$G$3:$G$22&gt;A238)*(Calc!$G$3:$G$22-A238)*(Calc!$G$3:$G$22&gt;B238)*(Calc!$G$3:$G$22-B238))</f>
        <v/>
      </c>
      <c r="L238">
        <f>SUMPRODUCT(Calc!$K$3:$K$22*(Calc!$G$3:$G$22&gt;A238)*(Calc!$G$3:$G$22-A238)*Calc!$G$3:$G$22)</f>
        <v/>
      </c>
      <c r="M238">
        <f>SUMPRODUCT(Calc!$K$3:$K$22*(Calc!$G$3:$G$22&gt;B238)*(Calc!$G$3:$G$22-B238)*Calc!$G$3:$G$22)</f>
        <v/>
      </c>
      <c r="N238">
        <f>SUMPRODUCT(Calc!$K$3:$K$22*(Calc!$G$3:$G$22&gt;A238)*(Calc!$G$3:$G$22-A238)*Calc!$I$3:$I$22)</f>
        <v/>
      </c>
      <c r="O238">
        <f>SUMPRODUCT(Calc!$K$3:$K$22*(Calc!$G$3:$G$22&gt;B238)*(Calc!$G$3:$G$22-B238)*Calc!$I$3:$I$22)</f>
        <v/>
      </c>
      <c r="P238">
        <f>I238-G238^2/k_n</f>
        <v/>
      </c>
      <c r="Q238">
        <f>J238-H238^2/k_n</f>
        <v/>
      </c>
      <c r="R238">
        <f>K238-G238*H238/k_n</f>
        <v/>
      </c>
      <c r="S238">
        <f>L238-LTP3!$D$3*G238/k_n</f>
        <v/>
      </c>
      <c r="T238">
        <f>M238-LTP3!$D$3*H238/k_n</f>
        <v/>
      </c>
      <c r="U238">
        <f>N238-G238*LTP3!$D$4/k_n</f>
        <v/>
      </c>
      <c r="V238">
        <f>O238-H238*LTP3!$D$4/k_n</f>
        <v/>
      </c>
      <c r="W238">
        <f>((LTP3!$D$5)*((P238)*(Q238)-(R238)*(R238))-(S238)*((S238)*(Q238)-(R238)*(T238))+(T238)*((S238)*(R238)-(P238)*(T238)))</f>
        <v/>
      </c>
      <c r="X238">
        <f>IF(ABS(W238)&gt;1E-12,((LTP3!$D$6)*((P238)*(Q238)-(R238)*(R238))-(S238)*((U238)*(Q238)-(R238)*(V238))+(T238)*((U238)*(R238)-(P238)*(V238)))/W238,0)</f>
        <v/>
      </c>
      <c r="Y238">
        <f>IF(ABS(W238)&gt;1E-12,((LTP3!$D$5)*((U238)*(Q238)-(R238)*(V238))-(LTP3!$D$6)*((S238)*(Q238)-(R238)*(T238))+(T238)*((S238)*(V238)-(U238)*(T238)))/W238,0)</f>
        <v/>
      </c>
      <c r="Z238">
        <f>IF(ABS(W238)&gt;1E-12,((LTP3!$D$5)*((P238)*(V238)-(U238)*(R238))-(S238)*((S238)*(V238)-(U238)*(T238))+(LTP3!$D$6)*((S238)*(R238)-(P238)*(T238)))/W238,0)</f>
        <v/>
      </c>
      <c r="AA238">
        <f>LTP3!$D$7-X238*LTP3!$D$6-Y238*U238-Z238*V238</f>
        <v/>
      </c>
      <c r="AB238">
        <f>IF(AND(F238,ABS(W238)&gt;1E-12,Y238&gt;0,Z238&gt;0),AA238,1E+300)</f>
        <v/>
      </c>
    </row>
    <row r="239">
      <c r="A239">
        <f>$B$3+$B$5*3</f>
        <v/>
      </c>
      <c r="B239">
        <f>$B$3+$B$5*44</f>
        <v/>
      </c>
      <c r="C239">
        <f>SUMPRODUCT(Calc!$K$3:$K$22*(Calc!$G$3:$G$22&lt;=A239))</f>
        <v/>
      </c>
      <c r="D239">
        <f>SUMPRODUCT(Calc!$K$3:$K$22*(Calc!$G$3:$G$22&gt;A239)*(Calc!$G$3:$G$22&lt;B239))</f>
        <v/>
      </c>
      <c r="E239">
        <f>SUMPRODUCT(Calc!$K$3:$K$22*(Calc!$G$3:$G$22&gt;=B239))</f>
        <v/>
      </c>
      <c r="F239">
        <f>AND(k_n&gt;=5,B239&gt;A239+1E-9,C239&gt;=2,D239&gt;=1,E239&gt;=2)</f>
        <v/>
      </c>
      <c r="G239">
        <f>SUMPRODUCT(Calc!$K$3:$K$22*(Calc!$G$3:$G$22&gt;A239)*(Calc!$G$3:$G$22-A239))</f>
        <v/>
      </c>
      <c r="H239">
        <f>SUMPRODUCT(Calc!$K$3:$K$22*(Calc!$G$3:$G$22&gt;B239)*(Calc!$G$3:$G$22-B239))</f>
        <v/>
      </c>
      <c r="I239">
        <f>SUMPRODUCT(Calc!$K$3:$K$22*(Calc!$G$3:$G$22&gt;A239)*(Calc!$G$3:$G$22-A239)^2)</f>
        <v/>
      </c>
      <c r="J239">
        <f>SUMPRODUCT(Calc!$K$3:$K$22*(Calc!$G$3:$G$22&gt;B239)*(Calc!$G$3:$G$22-B239)^2)</f>
        <v/>
      </c>
      <c r="K239">
        <f>SUMPRODUCT(Calc!$K$3:$K$22*(Calc!$G$3:$G$22&gt;A239)*(Calc!$G$3:$G$22-A239)*(Calc!$G$3:$G$22&gt;B239)*(Calc!$G$3:$G$22-B239))</f>
        <v/>
      </c>
      <c r="L239">
        <f>SUMPRODUCT(Calc!$K$3:$K$22*(Calc!$G$3:$G$22&gt;A239)*(Calc!$G$3:$G$22-A239)*Calc!$G$3:$G$22)</f>
        <v/>
      </c>
      <c r="M239">
        <f>SUMPRODUCT(Calc!$K$3:$K$22*(Calc!$G$3:$G$22&gt;B239)*(Calc!$G$3:$G$22-B239)*Calc!$G$3:$G$22)</f>
        <v/>
      </c>
      <c r="N239">
        <f>SUMPRODUCT(Calc!$K$3:$K$22*(Calc!$G$3:$G$22&gt;A239)*(Calc!$G$3:$G$22-A239)*Calc!$I$3:$I$22)</f>
        <v/>
      </c>
      <c r="O239">
        <f>SUMPRODUCT(Calc!$K$3:$K$22*(Calc!$G$3:$G$22&gt;B239)*(Calc!$G$3:$G$22-B239)*Calc!$I$3:$I$22)</f>
        <v/>
      </c>
      <c r="P239">
        <f>I239-G239^2/k_n</f>
        <v/>
      </c>
      <c r="Q239">
        <f>J239-H239^2/k_n</f>
        <v/>
      </c>
      <c r="R239">
        <f>K239-G239*H239/k_n</f>
        <v/>
      </c>
      <c r="S239">
        <f>L239-LTP3!$D$3*G239/k_n</f>
        <v/>
      </c>
      <c r="T239">
        <f>M239-LTP3!$D$3*H239/k_n</f>
        <v/>
      </c>
      <c r="U239">
        <f>N239-G239*LTP3!$D$4/k_n</f>
        <v/>
      </c>
      <c r="V239">
        <f>O239-H239*LTP3!$D$4/k_n</f>
        <v/>
      </c>
      <c r="W239">
        <f>((LTP3!$D$5)*((P239)*(Q239)-(R239)*(R239))-(S239)*((S239)*(Q239)-(R239)*(T239))+(T239)*((S239)*(R239)-(P239)*(T239)))</f>
        <v/>
      </c>
      <c r="X239">
        <f>IF(ABS(W239)&gt;1E-12,((LTP3!$D$6)*((P239)*(Q239)-(R239)*(R239))-(S239)*((U239)*(Q239)-(R239)*(V239))+(T239)*((U239)*(R239)-(P239)*(V239)))/W239,0)</f>
        <v/>
      </c>
      <c r="Y239">
        <f>IF(ABS(W239)&gt;1E-12,((LTP3!$D$5)*((U239)*(Q239)-(R239)*(V239))-(LTP3!$D$6)*((S239)*(Q239)-(R239)*(T239))+(T239)*((S239)*(V239)-(U239)*(T239)))/W239,0)</f>
        <v/>
      </c>
      <c r="Z239">
        <f>IF(ABS(W239)&gt;1E-12,((LTP3!$D$5)*((P239)*(V239)-(U239)*(R239))-(S239)*((S239)*(V239)-(U239)*(T239))+(LTP3!$D$6)*((S239)*(R239)-(P239)*(T239)))/W239,0)</f>
        <v/>
      </c>
      <c r="AA239">
        <f>LTP3!$D$7-X239*LTP3!$D$6-Y239*U239-Z239*V239</f>
        <v/>
      </c>
      <c r="AB239">
        <f>IF(AND(F239,ABS(W239)&gt;1E-12,Y239&gt;0,Z239&gt;0),AA239,1E+300)</f>
        <v/>
      </c>
    </row>
    <row r="240">
      <c r="A240">
        <f>$B$3+$B$5*3</f>
        <v/>
      </c>
      <c r="B240">
        <f>$B$3+$B$5*45</f>
        <v/>
      </c>
      <c r="C240">
        <f>SUMPRODUCT(Calc!$K$3:$K$22*(Calc!$G$3:$G$22&lt;=A240))</f>
        <v/>
      </c>
      <c r="D240">
        <f>SUMPRODUCT(Calc!$K$3:$K$22*(Calc!$G$3:$G$22&gt;A240)*(Calc!$G$3:$G$22&lt;B240))</f>
        <v/>
      </c>
      <c r="E240">
        <f>SUMPRODUCT(Calc!$K$3:$K$22*(Calc!$G$3:$G$22&gt;=B240))</f>
        <v/>
      </c>
      <c r="F240">
        <f>AND(k_n&gt;=5,B240&gt;A240+1E-9,C240&gt;=2,D240&gt;=1,E240&gt;=2)</f>
        <v/>
      </c>
      <c r="G240">
        <f>SUMPRODUCT(Calc!$K$3:$K$22*(Calc!$G$3:$G$22&gt;A240)*(Calc!$G$3:$G$22-A240))</f>
        <v/>
      </c>
      <c r="H240">
        <f>SUMPRODUCT(Calc!$K$3:$K$22*(Calc!$G$3:$G$22&gt;B240)*(Calc!$G$3:$G$22-B240))</f>
        <v/>
      </c>
      <c r="I240">
        <f>SUMPRODUCT(Calc!$K$3:$K$22*(Calc!$G$3:$G$22&gt;A240)*(Calc!$G$3:$G$22-A240)^2)</f>
        <v/>
      </c>
      <c r="J240">
        <f>SUMPRODUCT(Calc!$K$3:$K$22*(Calc!$G$3:$G$22&gt;B240)*(Calc!$G$3:$G$22-B240)^2)</f>
        <v/>
      </c>
      <c r="K240">
        <f>SUMPRODUCT(Calc!$K$3:$K$22*(Calc!$G$3:$G$22&gt;A240)*(Calc!$G$3:$G$22-A240)*(Calc!$G$3:$G$22&gt;B240)*(Calc!$G$3:$G$22-B240))</f>
        <v/>
      </c>
      <c r="L240">
        <f>SUMPRODUCT(Calc!$K$3:$K$22*(Calc!$G$3:$G$22&gt;A240)*(Calc!$G$3:$G$22-A240)*Calc!$G$3:$G$22)</f>
        <v/>
      </c>
      <c r="M240">
        <f>SUMPRODUCT(Calc!$K$3:$K$22*(Calc!$G$3:$G$22&gt;B240)*(Calc!$G$3:$G$22-B240)*Calc!$G$3:$G$22)</f>
        <v/>
      </c>
      <c r="N240">
        <f>SUMPRODUCT(Calc!$K$3:$K$22*(Calc!$G$3:$G$22&gt;A240)*(Calc!$G$3:$G$22-A240)*Calc!$I$3:$I$22)</f>
        <v/>
      </c>
      <c r="O240">
        <f>SUMPRODUCT(Calc!$K$3:$K$22*(Calc!$G$3:$G$22&gt;B240)*(Calc!$G$3:$G$22-B240)*Calc!$I$3:$I$22)</f>
        <v/>
      </c>
      <c r="P240">
        <f>I240-G240^2/k_n</f>
        <v/>
      </c>
      <c r="Q240">
        <f>J240-H240^2/k_n</f>
        <v/>
      </c>
      <c r="R240">
        <f>K240-G240*H240/k_n</f>
        <v/>
      </c>
      <c r="S240">
        <f>L240-LTP3!$D$3*G240/k_n</f>
        <v/>
      </c>
      <c r="T240">
        <f>M240-LTP3!$D$3*H240/k_n</f>
        <v/>
      </c>
      <c r="U240">
        <f>N240-G240*LTP3!$D$4/k_n</f>
        <v/>
      </c>
      <c r="V240">
        <f>O240-H240*LTP3!$D$4/k_n</f>
        <v/>
      </c>
      <c r="W240">
        <f>((LTP3!$D$5)*((P240)*(Q240)-(R240)*(R240))-(S240)*((S240)*(Q240)-(R240)*(T240))+(T240)*((S240)*(R240)-(P240)*(T240)))</f>
        <v/>
      </c>
      <c r="X240">
        <f>IF(ABS(W240)&gt;1E-12,((LTP3!$D$6)*((P240)*(Q240)-(R240)*(R240))-(S240)*((U240)*(Q240)-(R240)*(V240))+(T240)*((U240)*(R240)-(P240)*(V240)))/W240,0)</f>
        <v/>
      </c>
      <c r="Y240">
        <f>IF(ABS(W240)&gt;1E-12,((LTP3!$D$5)*((U240)*(Q240)-(R240)*(V240))-(LTP3!$D$6)*((S240)*(Q240)-(R240)*(T240))+(T240)*((S240)*(V240)-(U240)*(T240)))/W240,0)</f>
        <v/>
      </c>
      <c r="Z240">
        <f>IF(ABS(W240)&gt;1E-12,((LTP3!$D$5)*((P240)*(V240)-(U240)*(R240))-(S240)*((S240)*(V240)-(U240)*(T240))+(LTP3!$D$6)*((S240)*(R240)-(P240)*(T240)))/W240,0)</f>
        <v/>
      </c>
      <c r="AA240">
        <f>LTP3!$D$7-X240*LTP3!$D$6-Y240*U240-Z240*V240</f>
        <v/>
      </c>
      <c r="AB240">
        <f>IF(AND(F240,ABS(W240)&gt;1E-12,Y240&gt;0,Z240&gt;0),AA240,1E+300)</f>
        <v/>
      </c>
    </row>
    <row r="241">
      <c r="A241">
        <f>$B$3+$B$5*3</f>
        <v/>
      </c>
      <c r="B241">
        <f>$B$3+$B$5*46</f>
        <v/>
      </c>
      <c r="C241">
        <f>SUMPRODUCT(Calc!$K$3:$K$22*(Calc!$G$3:$G$22&lt;=A241))</f>
        <v/>
      </c>
      <c r="D241">
        <f>SUMPRODUCT(Calc!$K$3:$K$22*(Calc!$G$3:$G$22&gt;A241)*(Calc!$G$3:$G$22&lt;B241))</f>
        <v/>
      </c>
      <c r="E241">
        <f>SUMPRODUCT(Calc!$K$3:$K$22*(Calc!$G$3:$G$22&gt;=B241))</f>
        <v/>
      </c>
      <c r="F241">
        <f>AND(k_n&gt;=5,B241&gt;A241+1E-9,C241&gt;=2,D241&gt;=1,E241&gt;=2)</f>
        <v/>
      </c>
      <c r="G241">
        <f>SUMPRODUCT(Calc!$K$3:$K$22*(Calc!$G$3:$G$22&gt;A241)*(Calc!$G$3:$G$22-A241))</f>
        <v/>
      </c>
      <c r="H241">
        <f>SUMPRODUCT(Calc!$K$3:$K$22*(Calc!$G$3:$G$22&gt;B241)*(Calc!$G$3:$G$22-B241))</f>
        <v/>
      </c>
      <c r="I241">
        <f>SUMPRODUCT(Calc!$K$3:$K$22*(Calc!$G$3:$G$22&gt;A241)*(Calc!$G$3:$G$22-A241)^2)</f>
        <v/>
      </c>
      <c r="J241">
        <f>SUMPRODUCT(Calc!$K$3:$K$22*(Calc!$G$3:$G$22&gt;B241)*(Calc!$G$3:$G$22-B241)^2)</f>
        <v/>
      </c>
      <c r="K241">
        <f>SUMPRODUCT(Calc!$K$3:$K$22*(Calc!$G$3:$G$22&gt;A241)*(Calc!$G$3:$G$22-A241)*(Calc!$G$3:$G$22&gt;B241)*(Calc!$G$3:$G$22-B241))</f>
        <v/>
      </c>
      <c r="L241">
        <f>SUMPRODUCT(Calc!$K$3:$K$22*(Calc!$G$3:$G$22&gt;A241)*(Calc!$G$3:$G$22-A241)*Calc!$G$3:$G$22)</f>
        <v/>
      </c>
      <c r="M241">
        <f>SUMPRODUCT(Calc!$K$3:$K$22*(Calc!$G$3:$G$22&gt;B241)*(Calc!$G$3:$G$22-B241)*Calc!$G$3:$G$22)</f>
        <v/>
      </c>
      <c r="N241">
        <f>SUMPRODUCT(Calc!$K$3:$K$22*(Calc!$G$3:$G$22&gt;A241)*(Calc!$G$3:$G$22-A241)*Calc!$I$3:$I$22)</f>
        <v/>
      </c>
      <c r="O241">
        <f>SUMPRODUCT(Calc!$K$3:$K$22*(Calc!$G$3:$G$22&gt;B241)*(Calc!$G$3:$G$22-B241)*Calc!$I$3:$I$22)</f>
        <v/>
      </c>
      <c r="P241">
        <f>I241-G241^2/k_n</f>
        <v/>
      </c>
      <c r="Q241">
        <f>J241-H241^2/k_n</f>
        <v/>
      </c>
      <c r="R241">
        <f>K241-G241*H241/k_n</f>
        <v/>
      </c>
      <c r="S241">
        <f>L241-LTP3!$D$3*G241/k_n</f>
        <v/>
      </c>
      <c r="T241">
        <f>M241-LTP3!$D$3*H241/k_n</f>
        <v/>
      </c>
      <c r="U241">
        <f>N241-G241*LTP3!$D$4/k_n</f>
        <v/>
      </c>
      <c r="V241">
        <f>O241-H241*LTP3!$D$4/k_n</f>
        <v/>
      </c>
      <c r="W241">
        <f>((LTP3!$D$5)*((P241)*(Q241)-(R241)*(R241))-(S241)*((S241)*(Q241)-(R241)*(T241))+(T241)*((S241)*(R241)-(P241)*(T241)))</f>
        <v/>
      </c>
      <c r="X241">
        <f>IF(ABS(W241)&gt;1E-12,((LTP3!$D$6)*((P241)*(Q241)-(R241)*(R241))-(S241)*((U241)*(Q241)-(R241)*(V241))+(T241)*((U241)*(R241)-(P241)*(V241)))/W241,0)</f>
        <v/>
      </c>
      <c r="Y241">
        <f>IF(ABS(W241)&gt;1E-12,((LTP3!$D$5)*((U241)*(Q241)-(R241)*(V241))-(LTP3!$D$6)*((S241)*(Q241)-(R241)*(T241))+(T241)*((S241)*(V241)-(U241)*(T241)))/W241,0)</f>
        <v/>
      </c>
      <c r="Z241">
        <f>IF(ABS(W241)&gt;1E-12,((LTP3!$D$5)*((P241)*(V241)-(U241)*(R241))-(S241)*((S241)*(V241)-(U241)*(T241))+(LTP3!$D$6)*((S241)*(R241)-(P241)*(T241)))/W241,0)</f>
        <v/>
      </c>
      <c r="AA241">
        <f>LTP3!$D$7-X241*LTP3!$D$6-Y241*U241-Z241*V241</f>
        <v/>
      </c>
      <c r="AB241">
        <f>IF(AND(F241,ABS(W241)&gt;1E-12,Y241&gt;0,Z241&gt;0),AA241,1E+300)</f>
        <v/>
      </c>
    </row>
    <row r="242">
      <c r="A242">
        <f>$B$3+$B$5*3</f>
        <v/>
      </c>
      <c r="B242">
        <f>$B$3+$B$5*47</f>
        <v/>
      </c>
      <c r="C242">
        <f>SUMPRODUCT(Calc!$K$3:$K$22*(Calc!$G$3:$G$22&lt;=A242))</f>
        <v/>
      </c>
      <c r="D242">
        <f>SUMPRODUCT(Calc!$K$3:$K$22*(Calc!$G$3:$G$22&gt;A242)*(Calc!$G$3:$G$22&lt;B242))</f>
        <v/>
      </c>
      <c r="E242">
        <f>SUMPRODUCT(Calc!$K$3:$K$22*(Calc!$G$3:$G$22&gt;=B242))</f>
        <v/>
      </c>
      <c r="F242">
        <f>AND(k_n&gt;=5,B242&gt;A242+1E-9,C242&gt;=2,D242&gt;=1,E242&gt;=2)</f>
        <v/>
      </c>
      <c r="G242">
        <f>SUMPRODUCT(Calc!$K$3:$K$22*(Calc!$G$3:$G$22&gt;A242)*(Calc!$G$3:$G$22-A242))</f>
        <v/>
      </c>
      <c r="H242">
        <f>SUMPRODUCT(Calc!$K$3:$K$22*(Calc!$G$3:$G$22&gt;B242)*(Calc!$G$3:$G$22-B242))</f>
        <v/>
      </c>
      <c r="I242">
        <f>SUMPRODUCT(Calc!$K$3:$K$22*(Calc!$G$3:$G$22&gt;A242)*(Calc!$G$3:$G$22-A242)^2)</f>
        <v/>
      </c>
      <c r="J242">
        <f>SUMPRODUCT(Calc!$K$3:$K$22*(Calc!$G$3:$G$22&gt;B242)*(Calc!$G$3:$G$22-B242)^2)</f>
        <v/>
      </c>
      <c r="K242">
        <f>SUMPRODUCT(Calc!$K$3:$K$22*(Calc!$G$3:$G$22&gt;A242)*(Calc!$G$3:$G$22-A242)*(Calc!$G$3:$G$22&gt;B242)*(Calc!$G$3:$G$22-B242))</f>
        <v/>
      </c>
      <c r="L242">
        <f>SUMPRODUCT(Calc!$K$3:$K$22*(Calc!$G$3:$G$22&gt;A242)*(Calc!$G$3:$G$22-A242)*Calc!$G$3:$G$22)</f>
        <v/>
      </c>
      <c r="M242">
        <f>SUMPRODUCT(Calc!$K$3:$K$22*(Calc!$G$3:$G$22&gt;B242)*(Calc!$G$3:$G$22-B242)*Calc!$G$3:$G$22)</f>
        <v/>
      </c>
      <c r="N242">
        <f>SUMPRODUCT(Calc!$K$3:$K$22*(Calc!$G$3:$G$22&gt;A242)*(Calc!$G$3:$G$22-A242)*Calc!$I$3:$I$22)</f>
        <v/>
      </c>
      <c r="O242">
        <f>SUMPRODUCT(Calc!$K$3:$K$22*(Calc!$G$3:$G$22&gt;B242)*(Calc!$G$3:$G$22-B242)*Calc!$I$3:$I$22)</f>
        <v/>
      </c>
      <c r="P242">
        <f>I242-G242^2/k_n</f>
        <v/>
      </c>
      <c r="Q242">
        <f>J242-H242^2/k_n</f>
        <v/>
      </c>
      <c r="R242">
        <f>K242-G242*H242/k_n</f>
        <v/>
      </c>
      <c r="S242">
        <f>L242-LTP3!$D$3*G242/k_n</f>
        <v/>
      </c>
      <c r="T242">
        <f>M242-LTP3!$D$3*H242/k_n</f>
        <v/>
      </c>
      <c r="U242">
        <f>N242-G242*LTP3!$D$4/k_n</f>
        <v/>
      </c>
      <c r="V242">
        <f>O242-H242*LTP3!$D$4/k_n</f>
        <v/>
      </c>
      <c r="W242">
        <f>((LTP3!$D$5)*((P242)*(Q242)-(R242)*(R242))-(S242)*((S242)*(Q242)-(R242)*(T242))+(T242)*((S242)*(R242)-(P242)*(T242)))</f>
        <v/>
      </c>
      <c r="X242">
        <f>IF(ABS(W242)&gt;1E-12,((LTP3!$D$6)*((P242)*(Q242)-(R242)*(R242))-(S242)*((U242)*(Q242)-(R242)*(V242))+(T242)*((U242)*(R242)-(P242)*(V242)))/W242,0)</f>
        <v/>
      </c>
      <c r="Y242">
        <f>IF(ABS(W242)&gt;1E-12,((LTP3!$D$5)*((U242)*(Q242)-(R242)*(V242))-(LTP3!$D$6)*((S242)*(Q242)-(R242)*(T242))+(T242)*((S242)*(V242)-(U242)*(T242)))/W242,0)</f>
        <v/>
      </c>
      <c r="Z242">
        <f>IF(ABS(W242)&gt;1E-12,((LTP3!$D$5)*((P242)*(V242)-(U242)*(R242))-(S242)*((S242)*(V242)-(U242)*(T242))+(LTP3!$D$6)*((S242)*(R242)-(P242)*(T242)))/W242,0)</f>
        <v/>
      </c>
      <c r="AA242">
        <f>LTP3!$D$7-X242*LTP3!$D$6-Y242*U242-Z242*V242</f>
        <v/>
      </c>
      <c r="AB242">
        <f>IF(AND(F242,ABS(W242)&gt;1E-12,Y242&gt;0,Z242&gt;0),AA242,1E+300)</f>
        <v/>
      </c>
    </row>
    <row r="243">
      <c r="A243">
        <f>$B$3+$B$5*3</f>
        <v/>
      </c>
      <c r="B243">
        <f>$B$3+$B$5*48</f>
        <v/>
      </c>
      <c r="C243">
        <f>SUMPRODUCT(Calc!$K$3:$K$22*(Calc!$G$3:$G$22&lt;=A243))</f>
        <v/>
      </c>
      <c r="D243">
        <f>SUMPRODUCT(Calc!$K$3:$K$22*(Calc!$G$3:$G$22&gt;A243)*(Calc!$G$3:$G$22&lt;B243))</f>
        <v/>
      </c>
      <c r="E243">
        <f>SUMPRODUCT(Calc!$K$3:$K$22*(Calc!$G$3:$G$22&gt;=B243))</f>
        <v/>
      </c>
      <c r="F243">
        <f>AND(k_n&gt;=5,B243&gt;A243+1E-9,C243&gt;=2,D243&gt;=1,E243&gt;=2)</f>
        <v/>
      </c>
      <c r="G243">
        <f>SUMPRODUCT(Calc!$K$3:$K$22*(Calc!$G$3:$G$22&gt;A243)*(Calc!$G$3:$G$22-A243))</f>
        <v/>
      </c>
      <c r="H243">
        <f>SUMPRODUCT(Calc!$K$3:$K$22*(Calc!$G$3:$G$22&gt;B243)*(Calc!$G$3:$G$22-B243))</f>
        <v/>
      </c>
      <c r="I243">
        <f>SUMPRODUCT(Calc!$K$3:$K$22*(Calc!$G$3:$G$22&gt;A243)*(Calc!$G$3:$G$22-A243)^2)</f>
        <v/>
      </c>
      <c r="J243">
        <f>SUMPRODUCT(Calc!$K$3:$K$22*(Calc!$G$3:$G$22&gt;B243)*(Calc!$G$3:$G$22-B243)^2)</f>
        <v/>
      </c>
      <c r="K243">
        <f>SUMPRODUCT(Calc!$K$3:$K$22*(Calc!$G$3:$G$22&gt;A243)*(Calc!$G$3:$G$22-A243)*(Calc!$G$3:$G$22&gt;B243)*(Calc!$G$3:$G$22-B243))</f>
        <v/>
      </c>
      <c r="L243">
        <f>SUMPRODUCT(Calc!$K$3:$K$22*(Calc!$G$3:$G$22&gt;A243)*(Calc!$G$3:$G$22-A243)*Calc!$G$3:$G$22)</f>
        <v/>
      </c>
      <c r="M243">
        <f>SUMPRODUCT(Calc!$K$3:$K$22*(Calc!$G$3:$G$22&gt;B243)*(Calc!$G$3:$G$22-B243)*Calc!$G$3:$G$22)</f>
        <v/>
      </c>
      <c r="N243">
        <f>SUMPRODUCT(Calc!$K$3:$K$22*(Calc!$G$3:$G$22&gt;A243)*(Calc!$G$3:$G$22-A243)*Calc!$I$3:$I$22)</f>
        <v/>
      </c>
      <c r="O243">
        <f>SUMPRODUCT(Calc!$K$3:$K$22*(Calc!$G$3:$G$22&gt;B243)*(Calc!$G$3:$G$22-B243)*Calc!$I$3:$I$22)</f>
        <v/>
      </c>
      <c r="P243">
        <f>I243-G243^2/k_n</f>
        <v/>
      </c>
      <c r="Q243">
        <f>J243-H243^2/k_n</f>
        <v/>
      </c>
      <c r="R243">
        <f>K243-G243*H243/k_n</f>
        <v/>
      </c>
      <c r="S243">
        <f>L243-LTP3!$D$3*G243/k_n</f>
        <v/>
      </c>
      <c r="T243">
        <f>M243-LTP3!$D$3*H243/k_n</f>
        <v/>
      </c>
      <c r="U243">
        <f>N243-G243*LTP3!$D$4/k_n</f>
        <v/>
      </c>
      <c r="V243">
        <f>O243-H243*LTP3!$D$4/k_n</f>
        <v/>
      </c>
      <c r="W243">
        <f>((LTP3!$D$5)*((P243)*(Q243)-(R243)*(R243))-(S243)*((S243)*(Q243)-(R243)*(T243))+(T243)*((S243)*(R243)-(P243)*(T243)))</f>
        <v/>
      </c>
      <c r="X243">
        <f>IF(ABS(W243)&gt;1E-12,((LTP3!$D$6)*((P243)*(Q243)-(R243)*(R243))-(S243)*((U243)*(Q243)-(R243)*(V243))+(T243)*((U243)*(R243)-(P243)*(V243)))/W243,0)</f>
        <v/>
      </c>
      <c r="Y243">
        <f>IF(ABS(W243)&gt;1E-12,((LTP3!$D$5)*((U243)*(Q243)-(R243)*(V243))-(LTP3!$D$6)*((S243)*(Q243)-(R243)*(T243))+(T243)*((S243)*(V243)-(U243)*(T243)))/W243,0)</f>
        <v/>
      </c>
      <c r="Z243">
        <f>IF(ABS(W243)&gt;1E-12,((LTP3!$D$5)*((P243)*(V243)-(U243)*(R243))-(S243)*((S243)*(V243)-(U243)*(T243))+(LTP3!$D$6)*((S243)*(R243)-(P243)*(T243)))/W243,0)</f>
        <v/>
      </c>
      <c r="AA243">
        <f>LTP3!$D$7-X243*LTP3!$D$6-Y243*U243-Z243*V243</f>
        <v/>
      </c>
      <c r="AB243">
        <f>IF(AND(F243,ABS(W243)&gt;1E-12,Y243&gt;0,Z243&gt;0),AA243,1E+300)</f>
        <v/>
      </c>
    </row>
    <row r="244">
      <c r="A244">
        <f>$B$3+$B$5*3</f>
        <v/>
      </c>
      <c r="B244">
        <f>$B$3+$B$5*49</f>
        <v/>
      </c>
      <c r="C244">
        <f>SUMPRODUCT(Calc!$K$3:$K$22*(Calc!$G$3:$G$22&lt;=A244))</f>
        <v/>
      </c>
      <c r="D244">
        <f>SUMPRODUCT(Calc!$K$3:$K$22*(Calc!$G$3:$G$22&gt;A244)*(Calc!$G$3:$G$22&lt;B244))</f>
        <v/>
      </c>
      <c r="E244">
        <f>SUMPRODUCT(Calc!$K$3:$K$22*(Calc!$G$3:$G$22&gt;=B244))</f>
        <v/>
      </c>
      <c r="F244">
        <f>AND(k_n&gt;=5,B244&gt;A244+1E-9,C244&gt;=2,D244&gt;=1,E244&gt;=2)</f>
        <v/>
      </c>
      <c r="G244">
        <f>SUMPRODUCT(Calc!$K$3:$K$22*(Calc!$G$3:$G$22&gt;A244)*(Calc!$G$3:$G$22-A244))</f>
        <v/>
      </c>
      <c r="H244">
        <f>SUMPRODUCT(Calc!$K$3:$K$22*(Calc!$G$3:$G$22&gt;B244)*(Calc!$G$3:$G$22-B244))</f>
        <v/>
      </c>
      <c r="I244">
        <f>SUMPRODUCT(Calc!$K$3:$K$22*(Calc!$G$3:$G$22&gt;A244)*(Calc!$G$3:$G$22-A244)^2)</f>
        <v/>
      </c>
      <c r="J244">
        <f>SUMPRODUCT(Calc!$K$3:$K$22*(Calc!$G$3:$G$22&gt;B244)*(Calc!$G$3:$G$22-B244)^2)</f>
        <v/>
      </c>
      <c r="K244">
        <f>SUMPRODUCT(Calc!$K$3:$K$22*(Calc!$G$3:$G$22&gt;A244)*(Calc!$G$3:$G$22-A244)*(Calc!$G$3:$G$22&gt;B244)*(Calc!$G$3:$G$22-B244))</f>
        <v/>
      </c>
      <c r="L244">
        <f>SUMPRODUCT(Calc!$K$3:$K$22*(Calc!$G$3:$G$22&gt;A244)*(Calc!$G$3:$G$22-A244)*Calc!$G$3:$G$22)</f>
        <v/>
      </c>
      <c r="M244">
        <f>SUMPRODUCT(Calc!$K$3:$K$22*(Calc!$G$3:$G$22&gt;B244)*(Calc!$G$3:$G$22-B244)*Calc!$G$3:$G$22)</f>
        <v/>
      </c>
      <c r="N244">
        <f>SUMPRODUCT(Calc!$K$3:$K$22*(Calc!$G$3:$G$22&gt;A244)*(Calc!$G$3:$G$22-A244)*Calc!$I$3:$I$22)</f>
        <v/>
      </c>
      <c r="O244">
        <f>SUMPRODUCT(Calc!$K$3:$K$22*(Calc!$G$3:$G$22&gt;B244)*(Calc!$G$3:$G$22-B244)*Calc!$I$3:$I$22)</f>
        <v/>
      </c>
      <c r="P244">
        <f>I244-G244^2/k_n</f>
        <v/>
      </c>
      <c r="Q244">
        <f>J244-H244^2/k_n</f>
        <v/>
      </c>
      <c r="R244">
        <f>K244-G244*H244/k_n</f>
        <v/>
      </c>
      <c r="S244">
        <f>L244-LTP3!$D$3*G244/k_n</f>
        <v/>
      </c>
      <c r="T244">
        <f>M244-LTP3!$D$3*H244/k_n</f>
        <v/>
      </c>
      <c r="U244">
        <f>N244-G244*LTP3!$D$4/k_n</f>
        <v/>
      </c>
      <c r="V244">
        <f>O244-H244*LTP3!$D$4/k_n</f>
        <v/>
      </c>
      <c r="W244">
        <f>((LTP3!$D$5)*((P244)*(Q244)-(R244)*(R244))-(S244)*((S244)*(Q244)-(R244)*(T244))+(T244)*((S244)*(R244)-(P244)*(T244)))</f>
        <v/>
      </c>
      <c r="X244">
        <f>IF(ABS(W244)&gt;1E-12,((LTP3!$D$6)*((P244)*(Q244)-(R244)*(R244))-(S244)*((U244)*(Q244)-(R244)*(V244))+(T244)*((U244)*(R244)-(P244)*(V244)))/W244,0)</f>
        <v/>
      </c>
      <c r="Y244">
        <f>IF(ABS(W244)&gt;1E-12,((LTP3!$D$5)*((U244)*(Q244)-(R244)*(V244))-(LTP3!$D$6)*((S244)*(Q244)-(R244)*(T244))+(T244)*((S244)*(V244)-(U244)*(T244)))/W244,0)</f>
        <v/>
      </c>
      <c r="Z244">
        <f>IF(ABS(W244)&gt;1E-12,((LTP3!$D$5)*((P244)*(V244)-(U244)*(R244))-(S244)*((S244)*(V244)-(U244)*(T244))+(LTP3!$D$6)*((S244)*(R244)-(P244)*(T244)))/W244,0)</f>
        <v/>
      </c>
      <c r="AA244">
        <f>LTP3!$D$7-X244*LTP3!$D$6-Y244*U244-Z244*V244</f>
        <v/>
      </c>
      <c r="AB244">
        <f>IF(AND(F244,ABS(W244)&gt;1E-12,Y244&gt;0,Z244&gt;0),AA244,1E+300)</f>
        <v/>
      </c>
    </row>
    <row r="245">
      <c r="A245">
        <f>$B$3+$B$5*3</f>
        <v/>
      </c>
      <c r="B245">
        <f>$B$3+$B$5*50</f>
        <v/>
      </c>
      <c r="C245">
        <f>SUMPRODUCT(Calc!$K$3:$K$22*(Calc!$G$3:$G$22&lt;=A245))</f>
        <v/>
      </c>
      <c r="D245">
        <f>SUMPRODUCT(Calc!$K$3:$K$22*(Calc!$G$3:$G$22&gt;A245)*(Calc!$G$3:$G$22&lt;B245))</f>
        <v/>
      </c>
      <c r="E245">
        <f>SUMPRODUCT(Calc!$K$3:$K$22*(Calc!$G$3:$G$22&gt;=B245))</f>
        <v/>
      </c>
      <c r="F245">
        <f>AND(k_n&gt;=5,B245&gt;A245+1E-9,C245&gt;=2,D245&gt;=1,E245&gt;=2)</f>
        <v/>
      </c>
      <c r="G245">
        <f>SUMPRODUCT(Calc!$K$3:$K$22*(Calc!$G$3:$G$22&gt;A245)*(Calc!$G$3:$G$22-A245))</f>
        <v/>
      </c>
      <c r="H245">
        <f>SUMPRODUCT(Calc!$K$3:$K$22*(Calc!$G$3:$G$22&gt;B245)*(Calc!$G$3:$G$22-B245))</f>
        <v/>
      </c>
      <c r="I245">
        <f>SUMPRODUCT(Calc!$K$3:$K$22*(Calc!$G$3:$G$22&gt;A245)*(Calc!$G$3:$G$22-A245)^2)</f>
        <v/>
      </c>
      <c r="J245">
        <f>SUMPRODUCT(Calc!$K$3:$K$22*(Calc!$G$3:$G$22&gt;B245)*(Calc!$G$3:$G$22-B245)^2)</f>
        <v/>
      </c>
      <c r="K245">
        <f>SUMPRODUCT(Calc!$K$3:$K$22*(Calc!$G$3:$G$22&gt;A245)*(Calc!$G$3:$G$22-A245)*(Calc!$G$3:$G$22&gt;B245)*(Calc!$G$3:$G$22-B245))</f>
        <v/>
      </c>
      <c r="L245">
        <f>SUMPRODUCT(Calc!$K$3:$K$22*(Calc!$G$3:$G$22&gt;A245)*(Calc!$G$3:$G$22-A245)*Calc!$G$3:$G$22)</f>
        <v/>
      </c>
      <c r="M245">
        <f>SUMPRODUCT(Calc!$K$3:$K$22*(Calc!$G$3:$G$22&gt;B245)*(Calc!$G$3:$G$22-B245)*Calc!$G$3:$G$22)</f>
        <v/>
      </c>
      <c r="N245">
        <f>SUMPRODUCT(Calc!$K$3:$K$22*(Calc!$G$3:$G$22&gt;A245)*(Calc!$G$3:$G$22-A245)*Calc!$I$3:$I$22)</f>
        <v/>
      </c>
      <c r="O245">
        <f>SUMPRODUCT(Calc!$K$3:$K$22*(Calc!$G$3:$G$22&gt;B245)*(Calc!$G$3:$G$22-B245)*Calc!$I$3:$I$22)</f>
        <v/>
      </c>
      <c r="P245">
        <f>I245-G245^2/k_n</f>
        <v/>
      </c>
      <c r="Q245">
        <f>J245-H245^2/k_n</f>
        <v/>
      </c>
      <c r="R245">
        <f>K245-G245*H245/k_n</f>
        <v/>
      </c>
      <c r="S245">
        <f>L245-LTP3!$D$3*G245/k_n</f>
        <v/>
      </c>
      <c r="T245">
        <f>M245-LTP3!$D$3*H245/k_n</f>
        <v/>
      </c>
      <c r="U245">
        <f>N245-G245*LTP3!$D$4/k_n</f>
        <v/>
      </c>
      <c r="V245">
        <f>O245-H245*LTP3!$D$4/k_n</f>
        <v/>
      </c>
      <c r="W245">
        <f>((LTP3!$D$5)*((P245)*(Q245)-(R245)*(R245))-(S245)*((S245)*(Q245)-(R245)*(T245))+(T245)*((S245)*(R245)-(P245)*(T245)))</f>
        <v/>
      </c>
      <c r="X245">
        <f>IF(ABS(W245)&gt;1E-12,((LTP3!$D$6)*((P245)*(Q245)-(R245)*(R245))-(S245)*((U245)*(Q245)-(R245)*(V245))+(T245)*((U245)*(R245)-(P245)*(V245)))/W245,0)</f>
        <v/>
      </c>
      <c r="Y245">
        <f>IF(ABS(W245)&gt;1E-12,((LTP3!$D$5)*((U245)*(Q245)-(R245)*(V245))-(LTP3!$D$6)*((S245)*(Q245)-(R245)*(T245))+(T245)*((S245)*(V245)-(U245)*(T245)))/W245,0)</f>
        <v/>
      </c>
      <c r="Z245">
        <f>IF(ABS(W245)&gt;1E-12,((LTP3!$D$5)*((P245)*(V245)-(U245)*(R245))-(S245)*((S245)*(V245)-(U245)*(T245))+(LTP3!$D$6)*((S245)*(R245)-(P245)*(T245)))/W245,0)</f>
        <v/>
      </c>
      <c r="AA245">
        <f>LTP3!$D$7-X245*LTP3!$D$6-Y245*U245-Z245*V245</f>
        <v/>
      </c>
      <c r="AB245">
        <f>IF(AND(F245,ABS(W245)&gt;1E-12,Y245&gt;0,Z245&gt;0),AA245,1E+300)</f>
        <v/>
      </c>
    </row>
    <row r="246">
      <c r="A246">
        <f>$B$3+$B$5*3</f>
        <v/>
      </c>
      <c r="B246">
        <f>$B$3+$B$5*51</f>
        <v/>
      </c>
      <c r="C246">
        <f>SUMPRODUCT(Calc!$K$3:$K$22*(Calc!$G$3:$G$22&lt;=A246))</f>
        <v/>
      </c>
      <c r="D246">
        <f>SUMPRODUCT(Calc!$K$3:$K$22*(Calc!$G$3:$G$22&gt;A246)*(Calc!$G$3:$G$22&lt;B246))</f>
        <v/>
      </c>
      <c r="E246">
        <f>SUMPRODUCT(Calc!$K$3:$K$22*(Calc!$G$3:$G$22&gt;=B246))</f>
        <v/>
      </c>
      <c r="F246">
        <f>AND(k_n&gt;=5,B246&gt;A246+1E-9,C246&gt;=2,D246&gt;=1,E246&gt;=2)</f>
        <v/>
      </c>
      <c r="G246">
        <f>SUMPRODUCT(Calc!$K$3:$K$22*(Calc!$G$3:$G$22&gt;A246)*(Calc!$G$3:$G$22-A246))</f>
        <v/>
      </c>
      <c r="H246">
        <f>SUMPRODUCT(Calc!$K$3:$K$22*(Calc!$G$3:$G$22&gt;B246)*(Calc!$G$3:$G$22-B246))</f>
        <v/>
      </c>
      <c r="I246">
        <f>SUMPRODUCT(Calc!$K$3:$K$22*(Calc!$G$3:$G$22&gt;A246)*(Calc!$G$3:$G$22-A246)^2)</f>
        <v/>
      </c>
      <c r="J246">
        <f>SUMPRODUCT(Calc!$K$3:$K$22*(Calc!$G$3:$G$22&gt;B246)*(Calc!$G$3:$G$22-B246)^2)</f>
        <v/>
      </c>
      <c r="K246">
        <f>SUMPRODUCT(Calc!$K$3:$K$22*(Calc!$G$3:$G$22&gt;A246)*(Calc!$G$3:$G$22-A246)*(Calc!$G$3:$G$22&gt;B246)*(Calc!$G$3:$G$22-B246))</f>
        <v/>
      </c>
      <c r="L246">
        <f>SUMPRODUCT(Calc!$K$3:$K$22*(Calc!$G$3:$G$22&gt;A246)*(Calc!$G$3:$G$22-A246)*Calc!$G$3:$G$22)</f>
        <v/>
      </c>
      <c r="M246">
        <f>SUMPRODUCT(Calc!$K$3:$K$22*(Calc!$G$3:$G$22&gt;B246)*(Calc!$G$3:$G$22-B246)*Calc!$G$3:$G$22)</f>
        <v/>
      </c>
      <c r="N246">
        <f>SUMPRODUCT(Calc!$K$3:$K$22*(Calc!$G$3:$G$22&gt;A246)*(Calc!$G$3:$G$22-A246)*Calc!$I$3:$I$22)</f>
        <v/>
      </c>
      <c r="O246">
        <f>SUMPRODUCT(Calc!$K$3:$K$22*(Calc!$G$3:$G$22&gt;B246)*(Calc!$G$3:$G$22-B246)*Calc!$I$3:$I$22)</f>
        <v/>
      </c>
      <c r="P246">
        <f>I246-G246^2/k_n</f>
        <v/>
      </c>
      <c r="Q246">
        <f>J246-H246^2/k_n</f>
        <v/>
      </c>
      <c r="R246">
        <f>K246-G246*H246/k_n</f>
        <v/>
      </c>
      <c r="S246">
        <f>L246-LTP3!$D$3*G246/k_n</f>
        <v/>
      </c>
      <c r="T246">
        <f>M246-LTP3!$D$3*H246/k_n</f>
        <v/>
      </c>
      <c r="U246">
        <f>N246-G246*LTP3!$D$4/k_n</f>
        <v/>
      </c>
      <c r="V246">
        <f>O246-H246*LTP3!$D$4/k_n</f>
        <v/>
      </c>
      <c r="W246">
        <f>((LTP3!$D$5)*((P246)*(Q246)-(R246)*(R246))-(S246)*((S246)*(Q246)-(R246)*(T246))+(T246)*((S246)*(R246)-(P246)*(T246)))</f>
        <v/>
      </c>
      <c r="X246">
        <f>IF(ABS(W246)&gt;1E-12,((LTP3!$D$6)*((P246)*(Q246)-(R246)*(R246))-(S246)*((U246)*(Q246)-(R246)*(V246))+(T246)*((U246)*(R246)-(P246)*(V246)))/W246,0)</f>
        <v/>
      </c>
      <c r="Y246">
        <f>IF(ABS(W246)&gt;1E-12,((LTP3!$D$5)*((U246)*(Q246)-(R246)*(V246))-(LTP3!$D$6)*((S246)*(Q246)-(R246)*(T246))+(T246)*((S246)*(V246)-(U246)*(T246)))/W246,0)</f>
        <v/>
      </c>
      <c r="Z246">
        <f>IF(ABS(W246)&gt;1E-12,((LTP3!$D$5)*((P246)*(V246)-(U246)*(R246))-(S246)*((S246)*(V246)-(U246)*(T246))+(LTP3!$D$6)*((S246)*(R246)-(P246)*(T246)))/W246,0)</f>
        <v/>
      </c>
      <c r="AA246">
        <f>LTP3!$D$7-X246*LTP3!$D$6-Y246*U246-Z246*V246</f>
        <v/>
      </c>
      <c r="AB246">
        <f>IF(AND(F246,ABS(W246)&gt;1E-12,Y246&gt;0,Z246&gt;0),AA246,1E+300)</f>
        <v/>
      </c>
    </row>
    <row r="247">
      <c r="A247">
        <f>$B$3+$B$5*3</f>
        <v/>
      </c>
      <c r="B247">
        <f>$B$3+$B$5*52</f>
        <v/>
      </c>
      <c r="C247">
        <f>SUMPRODUCT(Calc!$K$3:$K$22*(Calc!$G$3:$G$22&lt;=A247))</f>
        <v/>
      </c>
      <c r="D247">
        <f>SUMPRODUCT(Calc!$K$3:$K$22*(Calc!$G$3:$G$22&gt;A247)*(Calc!$G$3:$G$22&lt;B247))</f>
        <v/>
      </c>
      <c r="E247">
        <f>SUMPRODUCT(Calc!$K$3:$K$22*(Calc!$G$3:$G$22&gt;=B247))</f>
        <v/>
      </c>
      <c r="F247">
        <f>AND(k_n&gt;=5,B247&gt;A247+1E-9,C247&gt;=2,D247&gt;=1,E247&gt;=2)</f>
        <v/>
      </c>
      <c r="G247">
        <f>SUMPRODUCT(Calc!$K$3:$K$22*(Calc!$G$3:$G$22&gt;A247)*(Calc!$G$3:$G$22-A247))</f>
        <v/>
      </c>
      <c r="H247">
        <f>SUMPRODUCT(Calc!$K$3:$K$22*(Calc!$G$3:$G$22&gt;B247)*(Calc!$G$3:$G$22-B247))</f>
        <v/>
      </c>
      <c r="I247">
        <f>SUMPRODUCT(Calc!$K$3:$K$22*(Calc!$G$3:$G$22&gt;A247)*(Calc!$G$3:$G$22-A247)^2)</f>
        <v/>
      </c>
      <c r="J247">
        <f>SUMPRODUCT(Calc!$K$3:$K$22*(Calc!$G$3:$G$22&gt;B247)*(Calc!$G$3:$G$22-B247)^2)</f>
        <v/>
      </c>
      <c r="K247">
        <f>SUMPRODUCT(Calc!$K$3:$K$22*(Calc!$G$3:$G$22&gt;A247)*(Calc!$G$3:$G$22-A247)*(Calc!$G$3:$G$22&gt;B247)*(Calc!$G$3:$G$22-B247))</f>
        <v/>
      </c>
      <c r="L247">
        <f>SUMPRODUCT(Calc!$K$3:$K$22*(Calc!$G$3:$G$22&gt;A247)*(Calc!$G$3:$G$22-A247)*Calc!$G$3:$G$22)</f>
        <v/>
      </c>
      <c r="M247">
        <f>SUMPRODUCT(Calc!$K$3:$K$22*(Calc!$G$3:$G$22&gt;B247)*(Calc!$G$3:$G$22-B247)*Calc!$G$3:$G$22)</f>
        <v/>
      </c>
      <c r="N247">
        <f>SUMPRODUCT(Calc!$K$3:$K$22*(Calc!$G$3:$G$22&gt;A247)*(Calc!$G$3:$G$22-A247)*Calc!$I$3:$I$22)</f>
        <v/>
      </c>
      <c r="O247">
        <f>SUMPRODUCT(Calc!$K$3:$K$22*(Calc!$G$3:$G$22&gt;B247)*(Calc!$G$3:$G$22-B247)*Calc!$I$3:$I$22)</f>
        <v/>
      </c>
      <c r="P247">
        <f>I247-G247^2/k_n</f>
        <v/>
      </c>
      <c r="Q247">
        <f>J247-H247^2/k_n</f>
        <v/>
      </c>
      <c r="R247">
        <f>K247-G247*H247/k_n</f>
        <v/>
      </c>
      <c r="S247">
        <f>L247-LTP3!$D$3*G247/k_n</f>
        <v/>
      </c>
      <c r="T247">
        <f>M247-LTP3!$D$3*H247/k_n</f>
        <v/>
      </c>
      <c r="U247">
        <f>N247-G247*LTP3!$D$4/k_n</f>
        <v/>
      </c>
      <c r="V247">
        <f>O247-H247*LTP3!$D$4/k_n</f>
        <v/>
      </c>
      <c r="W247">
        <f>((LTP3!$D$5)*((P247)*(Q247)-(R247)*(R247))-(S247)*((S247)*(Q247)-(R247)*(T247))+(T247)*((S247)*(R247)-(P247)*(T247)))</f>
        <v/>
      </c>
      <c r="X247">
        <f>IF(ABS(W247)&gt;1E-12,((LTP3!$D$6)*((P247)*(Q247)-(R247)*(R247))-(S247)*((U247)*(Q247)-(R247)*(V247))+(T247)*((U247)*(R247)-(P247)*(V247)))/W247,0)</f>
        <v/>
      </c>
      <c r="Y247">
        <f>IF(ABS(W247)&gt;1E-12,((LTP3!$D$5)*((U247)*(Q247)-(R247)*(V247))-(LTP3!$D$6)*((S247)*(Q247)-(R247)*(T247))+(T247)*((S247)*(V247)-(U247)*(T247)))/W247,0)</f>
        <v/>
      </c>
      <c r="Z247">
        <f>IF(ABS(W247)&gt;1E-12,((LTP3!$D$5)*((P247)*(V247)-(U247)*(R247))-(S247)*((S247)*(V247)-(U247)*(T247))+(LTP3!$D$6)*((S247)*(R247)-(P247)*(T247)))/W247,0)</f>
        <v/>
      </c>
      <c r="AA247">
        <f>LTP3!$D$7-X247*LTP3!$D$6-Y247*U247-Z247*V247</f>
        <v/>
      </c>
      <c r="AB247">
        <f>IF(AND(F247,ABS(W247)&gt;1E-12,Y247&gt;0,Z247&gt;0),AA247,1E+300)</f>
        <v/>
      </c>
    </row>
    <row r="248">
      <c r="A248">
        <f>$B$3+$B$5*3</f>
        <v/>
      </c>
      <c r="B248">
        <f>$B$3+$B$5*53</f>
        <v/>
      </c>
      <c r="C248">
        <f>SUMPRODUCT(Calc!$K$3:$K$22*(Calc!$G$3:$G$22&lt;=A248))</f>
        <v/>
      </c>
      <c r="D248">
        <f>SUMPRODUCT(Calc!$K$3:$K$22*(Calc!$G$3:$G$22&gt;A248)*(Calc!$G$3:$G$22&lt;B248))</f>
        <v/>
      </c>
      <c r="E248">
        <f>SUMPRODUCT(Calc!$K$3:$K$22*(Calc!$G$3:$G$22&gt;=B248))</f>
        <v/>
      </c>
      <c r="F248">
        <f>AND(k_n&gt;=5,B248&gt;A248+1E-9,C248&gt;=2,D248&gt;=1,E248&gt;=2)</f>
        <v/>
      </c>
      <c r="G248">
        <f>SUMPRODUCT(Calc!$K$3:$K$22*(Calc!$G$3:$G$22&gt;A248)*(Calc!$G$3:$G$22-A248))</f>
        <v/>
      </c>
      <c r="H248">
        <f>SUMPRODUCT(Calc!$K$3:$K$22*(Calc!$G$3:$G$22&gt;B248)*(Calc!$G$3:$G$22-B248))</f>
        <v/>
      </c>
      <c r="I248">
        <f>SUMPRODUCT(Calc!$K$3:$K$22*(Calc!$G$3:$G$22&gt;A248)*(Calc!$G$3:$G$22-A248)^2)</f>
        <v/>
      </c>
      <c r="J248">
        <f>SUMPRODUCT(Calc!$K$3:$K$22*(Calc!$G$3:$G$22&gt;B248)*(Calc!$G$3:$G$22-B248)^2)</f>
        <v/>
      </c>
      <c r="K248">
        <f>SUMPRODUCT(Calc!$K$3:$K$22*(Calc!$G$3:$G$22&gt;A248)*(Calc!$G$3:$G$22-A248)*(Calc!$G$3:$G$22&gt;B248)*(Calc!$G$3:$G$22-B248))</f>
        <v/>
      </c>
      <c r="L248">
        <f>SUMPRODUCT(Calc!$K$3:$K$22*(Calc!$G$3:$G$22&gt;A248)*(Calc!$G$3:$G$22-A248)*Calc!$G$3:$G$22)</f>
        <v/>
      </c>
      <c r="M248">
        <f>SUMPRODUCT(Calc!$K$3:$K$22*(Calc!$G$3:$G$22&gt;B248)*(Calc!$G$3:$G$22-B248)*Calc!$G$3:$G$22)</f>
        <v/>
      </c>
      <c r="N248">
        <f>SUMPRODUCT(Calc!$K$3:$K$22*(Calc!$G$3:$G$22&gt;A248)*(Calc!$G$3:$G$22-A248)*Calc!$I$3:$I$22)</f>
        <v/>
      </c>
      <c r="O248">
        <f>SUMPRODUCT(Calc!$K$3:$K$22*(Calc!$G$3:$G$22&gt;B248)*(Calc!$G$3:$G$22-B248)*Calc!$I$3:$I$22)</f>
        <v/>
      </c>
      <c r="P248">
        <f>I248-G248^2/k_n</f>
        <v/>
      </c>
      <c r="Q248">
        <f>J248-H248^2/k_n</f>
        <v/>
      </c>
      <c r="R248">
        <f>K248-G248*H248/k_n</f>
        <v/>
      </c>
      <c r="S248">
        <f>L248-LTP3!$D$3*G248/k_n</f>
        <v/>
      </c>
      <c r="T248">
        <f>M248-LTP3!$D$3*H248/k_n</f>
        <v/>
      </c>
      <c r="U248">
        <f>N248-G248*LTP3!$D$4/k_n</f>
        <v/>
      </c>
      <c r="V248">
        <f>O248-H248*LTP3!$D$4/k_n</f>
        <v/>
      </c>
      <c r="W248">
        <f>((LTP3!$D$5)*((P248)*(Q248)-(R248)*(R248))-(S248)*((S248)*(Q248)-(R248)*(T248))+(T248)*((S248)*(R248)-(P248)*(T248)))</f>
        <v/>
      </c>
      <c r="X248">
        <f>IF(ABS(W248)&gt;1E-12,((LTP3!$D$6)*((P248)*(Q248)-(R248)*(R248))-(S248)*((U248)*(Q248)-(R248)*(V248))+(T248)*((U248)*(R248)-(P248)*(V248)))/W248,0)</f>
        <v/>
      </c>
      <c r="Y248">
        <f>IF(ABS(W248)&gt;1E-12,((LTP3!$D$5)*((U248)*(Q248)-(R248)*(V248))-(LTP3!$D$6)*((S248)*(Q248)-(R248)*(T248))+(T248)*((S248)*(V248)-(U248)*(T248)))/W248,0)</f>
        <v/>
      </c>
      <c r="Z248">
        <f>IF(ABS(W248)&gt;1E-12,((LTP3!$D$5)*((P248)*(V248)-(U248)*(R248))-(S248)*((S248)*(V248)-(U248)*(T248))+(LTP3!$D$6)*((S248)*(R248)-(P248)*(T248)))/W248,0)</f>
        <v/>
      </c>
      <c r="AA248">
        <f>LTP3!$D$7-X248*LTP3!$D$6-Y248*U248-Z248*V248</f>
        <v/>
      </c>
      <c r="AB248">
        <f>IF(AND(F248,ABS(W248)&gt;1E-12,Y248&gt;0,Z248&gt;0),AA248,1E+300)</f>
        <v/>
      </c>
    </row>
    <row r="249">
      <c r="A249">
        <f>$B$3+$B$5*3</f>
        <v/>
      </c>
      <c r="B249">
        <f>$B$3+$B$5*54</f>
        <v/>
      </c>
      <c r="C249">
        <f>SUMPRODUCT(Calc!$K$3:$K$22*(Calc!$G$3:$G$22&lt;=A249))</f>
        <v/>
      </c>
      <c r="D249">
        <f>SUMPRODUCT(Calc!$K$3:$K$22*(Calc!$G$3:$G$22&gt;A249)*(Calc!$G$3:$G$22&lt;B249))</f>
        <v/>
      </c>
      <c r="E249">
        <f>SUMPRODUCT(Calc!$K$3:$K$22*(Calc!$G$3:$G$22&gt;=B249))</f>
        <v/>
      </c>
      <c r="F249">
        <f>AND(k_n&gt;=5,B249&gt;A249+1E-9,C249&gt;=2,D249&gt;=1,E249&gt;=2)</f>
        <v/>
      </c>
      <c r="G249">
        <f>SUMPRODUCT(Calc!$K$3:$K$22*(Calc!$G$3:$G$22&gt;A249)*(Calc!$G$3:$G$22-A249))</f>
        <v/>
      </c>
      <c r="H249">
        <f>SUMPRODUCT(Calc!$K$3:$K$22*(Calc!$G$3:$G$22&gt;B249)*(Calc!$G$3:$G$22-B249))</f>
        <v/>
      </c>
      <c r="I249">
        <f>SUMPRODUCT(Calc!$K$3:$K$22*(Calc!$G$3:$G$22&gt;A249)*(Calc!$G$3:$G$22-A249)^2)</f>
        <v/>
      </c>
      <c r="J249">
        <f>SUMPRODUCT(Calc!$K$3:$K$22*(Calc!$G$3:$G$22&gt;B249)*(Calc!$G$3:$G$22-B249)^2)</f>
        <v/>
      </c>
      <c r="K249">
        <f>SUMPRODUCT(Calc!$K$3:$K$22*(Calc!$G$3:$G$22&gt;A249)*(Calc!$G$3:$G$22-A249)*(Calc!$G$3:$G$22&gt;B249)*(Calc!$G$3:$G$22-B249))</f>
        <v/>
      </c>
      <c r="L249">
        <f>SUMPRODUCT(Calc!$K$3:$K$22*(Calc!$G$3:$G$22&gt;A249)*(Calc!$G$3:$G$22-A249)*Calc!$G$3:$G$22)</f>
        <v/>
      </c>
      <c r="M249">
        <f>SUMPRODUCT(Calc!$K$3:$K$22*(Calc!$G$3:$G$22&gt;B249)*(Calc!$G$3:$G$22-B249)*Calc!$G$3:$G$22)</f>
        <v/>
      </c>
      <c r="N249">
        <f>SUMPRODUCT(Calc!$K$3:$K$22*(Calc!$G$3:$G$22&gt;A249)*(Calc!$G$3:$G$22-A249)*Calc!$I$3:$I$22)</f>
        <v/>
      </c>
      <c r="O249">
        <f>SUMPRODUCT(Calc!$K$3:$K$22*(Calc!$G$3:$G$22&gt;B249)*(Calc!$G$3:$G$22-B249)*Calc!$I$3:$I$22)</f>
        <v/>
      </c>
      <c r="P249">
        <f>I249-G249^2/k_n</f>
        <v/>
      </c>
      <c r="Q249">
        <f>J249-H249^2/k_n</f>
        <v/>
      </c>
      <c r="R249">
        <f>K249-G249*H249/k_n</f>
        <v/>
      </c>
      <c r="S249">
        <f>L249-LTP3!$D$3*G249/k_n</f>
        <v/>
      </c>
      <c r="T249">
        <f>M249-LTP3!$D$3*H249/k_n</f>
        <v/>
      </c>
      <c r="U249">
        <f>N249-G249*LTP3!$D$4/k_n</f>
        <v/>
      </c>
      <c r="V249">
        <f>O249-H249*LTP3!$D$4/k_n</f>
        <v/>
      </c>
      <c r="W249">
        <f>((LTP3!$D$5)*((P249)*(Q249)-(R249)*(R249))-(S249)*((S249)*(Q249)-(R249)*(T249))+(T249)*((S249)*(R249)-(P249)*(T249)))</f>
        <v/>
      </c>
      <c r="X249">
        <f>IF(ABS(W249)&gt;1E-12,((LTP3!$D$6)*((P249)*(Q249)-(R249)*(R249))-(S249)*((U249)*(Q249)-(R249)*(V249))+(T249)*((U249)*(R249)-(P249)*(V249)))/W249,0)</f>
        <v/>
      </c>
      <c r="Y249">
        <f>IF(ABS(W249)&gt;1E-12,((LTP3!$D$5)*((U249)*(Q249)-(R249)*(V249))-(LTP3!$D$6)*((S249)*(Q249)-(R249)*(T249))+(T249)*((S249)*(V249)-(U249)*(T249)))/W249,0)</f>
        <v/>
      </c>
      <c r="Z249">
        <f>IF(ABS(W249)&gt;1E-12,((LTP3!$D$5)*((P249)*(V249)-(U249)*(R249))-(S249)*((S249)*(V249)-(U249)*(T249))+(LTP3!$D$6)*((S249)*(R249)-(P249)*(T249)))/W249,0)</f>
        <v/>
      </c>
      <c r="AA249">
        <f>LTP3!$D$7-X249*LTP3!$D$6-Y249*U249-Z249*V249</f>
        <v/>
      </c>
      <c r="AB249">
        <f>IF(AND(F249,ABS(W249)&gt;1E-12,Y249&gt;0,Z249&gt;0),AA249,1E+300)</f>
        <v/>
      </c>
    </row>
    <row r="250">
      <c r="A250">
        <f>$B$3+$B$5*3</f>
        <v/>
      </c>
      <c r="B250">
        <f>$B$3+$B$5*55</f>
        <v/>
      </c>
      <c r="C250">
        <f>SUMPRODUCT(Calc!$K$3:$K$22*(Calc!$G$3:$G$22&lt;=A250))</f>
        <v/>
      </c>
      <c r="D250">
        <f>SUMPRODUCT(Calc!$K$3:$K$22*(Calc!$G$3:$G$22&gt;A250)*(Calc!$G$3:$G$22&lt;B250))</f>
        <v/>
      </c>
      <c r="E250">
        <f>SUMPRODUCT(Calc!$K$3:$K$22*(Calc!$G$3:$G$22&gt;=B250))</f>
        <v/>
      </c>
      <c r="F250">
        <f>AND(k_n&gt;=5,B250&gt;A250+1E-9,C250&gt;=2,D250&gt;=1,E250&gt;=2)</f>
        <v/>
      </c>
      <c r="G250">
        <f>SUMPRODUCT(Calc!$K$3:$K$22*(Calc!$G$3:$G$22&gt;A250)*(Calc!$G$3:$G$22-A250))</f>
        <v/>
      </c>
      <c r="H250">
        <f>SUMPRODUCT(Calc!$K$3:$K$22*(Calc!$G$3:$G$22&gt;B250)*(Calc!$G$3:$G$22-B250))</f>
        <v/>
      </c>
      <c r="I250">
        <f>SUMPRODUCT(Calc!$K$3:$K$22*(Calc!$G$3:$G$22&gt;A250)*(Calc!$G$3:$G$22-A250)^2)</f>
        <v/>
      </c>
      <c r="J250">
        <f>SUMPRODUCT(Calc!$K$3:$K$22*(Calc!$G$3:$G$22&gt;B250)*(Calc!$G$3:$G$22-B250)^2)</f>
        <v/>
      </c>
      <c r="K250">
        <f>SUMPRODUCT(Calc!$K$3:$K$22*(Calc!$G$3:$G$22&gt;A250)*(Calc!$G$3:$G$22-A250)*(Calc!$G$3:$G$22&gt;B250)*(Calc!$G$3:$G$22-B250))</f>
        <v/>
      </c>
      <c r="L250">
        <f>SUMPRODUCT(Calc!$K$3:$K$22*(Calc!$G$3:$G$22&gt;A250)*(Calc!$G$3:$G$22-A250)*Calc!$G$3:$G$22)</f>
        <v/>
      </c>
      <c r="M250">
        <f>SUMPRODUCT(Calc!$K$3:$K$22*(Calc!$G$3:$G$22&gt;B250)*(Calc!$G$3:$G$22-B250)*Calc!$G$3:$G$22)</f>
        <v/>
      </c>
      <c r="N250">
        <f>SUMPRODUCT(Calc!$K$3:$K$22*(Calc!$G$3:$G$22&gt;A250)*(Calc!$G$3:$G$22-A250)*Calc!$I$3:$I$22)</f>
        <v/>
      </c>
      <c r="O250">
        <f>SUMPRODUCT(Calc!$K$3:$K$22*(Calc!$G$3:$G$22&gt;B250)*(Calc!$G$3:$G$22-B250)*Calc!$I$3:$I$22)</f>
        <v/>
      </c>
      <c r="P250">
        <f>I250-G250^2/k_n</f>
        <v/>
      </c>
      <c r="Q250">
        <f>J250-H250^2/k_n</f>
        <v/>
      </c>
      <c r="R250">
        <f>K250-G250*H250/k_n</f>
        <v/>
      </c>
      <c r="S250">
        <f>L250-LTP3!$D$3*G250/k_n</f>
        <v/>
      </c>
      <c r="T250">
        <f>M250-LTP3!$D$3*H250/k_n</f>
        <v/>
      </c>
      <c r="U250">
        <f>N250-G250*LTP3!$D$4/k_n</f>
        <v/>
      </c>
      <c r="V250">
        <f>O250-H250*LTP3!$D$4/k_n</f>
        <v/>
      </c>
      <c r="W250">
        <f>((LTP3!$D$5)*((P250)*(Q250)-(R250)*(R250))-(S250)*((S250)*(Q250)-(R250)*(T250))+(T250)*((S250)*(R250)-(P250)*(T250)))</f>
        <v/>
      </c>
      <c r="X250">
        <f>IF(ABS(W250)&gt;1E-12,((LTP3!$D$6)*((P250)*(Q250)-(R250)*(R250))-(S250)*((U250)*(Q250)-(R250)*(V250))+(T250)*((U250)*(R250)-(P250)*(V250)))/W250,0)</f>
        <v/>
      </c>
      <c r="Y250">
        <f>IF(ABS(W250)&gt;1E-12,((LTP3!$D$5)*((U250)*(Q250)-(R250)*(V250))-(LTP3!$D$6)*((S250)*(Q250)-(R250)*(T250))+(T250)*((S250)*(V250)-(U250)*(T250)))/W250,0)</f>
        <v/>
      </c>
      <c r="Z250">
        <f>IF(ABS(W250)&gt;1E-12,((LTP3!$D$5)*((P250)*(V250)-(U250)*(R250))-(S250)*((S250)*(V250)-(U250)*(T250))+(LTP3!$D$6)*((S250)*(R250)-(P250)*(T250)))/W250,0)</f>
        <v/>
      </c>
      <c r="AA250">
        <f>LTP3!$D$7-X250*LTP3!$D$6-Y250*U250-Z250*V250</f>
        <v/>
      </c>
      <c r="AB250">
        <f>IF(AND(F250,ABS(W250)&gt;1E-12,Y250&gt;0,Z250&gt;0),AA250,1E+300)</f>
        <v/>
      </c>
    </row>
    <row r="251">
      <c r="A251">
        <f>$B$3+$B$5*3</f>
        <v/>
      </c>
      <c r="B251">
        <f>$B$3+$B$5*56</f>
        <v/>
      </c>
      <c r="C251">
        <f>SUMPRODUCT(Calc!$K$3:$K$22*(Calc!$G$3:$G$22&lt;=A251))</f>
        <v/>
      </c>
      <c r="D251">
        <f>SUMPRODUCT(Calc!$K$3:$K$22*(Calc!$G$3:$G$22&gt;A251)*(Calc!$G$3:$G$22&lt;B251))</f>
        <v/>
      </c>
      <c r="E251">
        <f>SUMPRODUCT(Calc!$K$3:$K$22*(Calc!$G$3:$G$22&gt;=B251))</f>
        <v/>
      </c>
      <c r="F251">
        <f>AND(k_n&gt;=5,B251&gt;A251+1E-9,C251&gt;=2,D251&gt;=1,E251&gt;=2)</f>
        <v/>
      </c>
      <c r="G251">
        <f>SUMPRODUCT(Calc!$K$3:$K$22*(Calc!$G$3:$G$22&gt;A251)*(Calc!$G$3:$G$22-A251))</f>
        <v/>
      </c>
      <c r="H251">
        <f>SUMPRODUCT(Calc!$K$3:$K$22*(Calc!$G$3:$G$22&gt;B251)*(Calc!$G$3:$G$22-B251))</f>
        <v/>
      </c>
      <c r="I251">
        <f>SUMPRODUCT(Calc!$K$3:$K$22*(Calc!$G$3:$G$22&gt;A251)*(Calc!$G$3:$G$22-A251)^2)</f>
        <v/>
      </c>
      <c r="J251">
        <f>SUMPRODUCT(Calc!$K$3:$K$22*(Calc!$G$3:$G$22&gt;B251)*(Calc!$G$3:$G$22-B251)^2)</f>
        <v/>
      </c>
      <c r="K251">
        <f>SUMPRODUCT(Calc!$K$3:$K$22*(Calc!$G$3:$G$22&gt;A251)*(Calc!$G$3:$G$22-A251)*(Calc!$G$3:$G$22&gt;B251)*(Calc!$G$3:$G$22-B251))</f>
        <v/>
      </c>
      <c r="L251">
        <f>SUMPRODUCT(Calc!$K$3:$K$22*(Calc!$G$3:$G$22&gt;A251)*(Calc!$G$3:$G$22-A251)*Calc!$G$3:$G$22)</f>
        <v/>
      </c>
      <c r="M251">
        <f>SUMPRODUCT(Calc!$K$3:$K$22*(Calc!$G$3:$G$22&gt;B251)*(Calc!$G$3:$G$22-B251)*Calc!$G$3:$G$22)</f>
        <v/>
      </c>
      <c r="N251">
        <f>SUMPRODUCT(Calc!$K$3:$K$22*(Calc!$G$3:$G$22&gt;A251)*(Calc!$G$3:$G$22-A251)*Calc!$I$3:$I$22)</f>
        <v/>
      </c>
      <c r="O251">
        <f>SUMPRODUCT(Calc!$K$3:$K$22*(Calc!$G$3:$G$22&gt;B251)*(Calc!$G$3:$G$22-B251)*Calc!$I$3:$I$22)</f>
        <v/>
      </c>
      <c r="P251">
        <f>I251-G251^2/k_n</f>
        <v/>
      </c>
      <c r="Q251">
        <f>J251-H251^2/k_n</f>
        <v/>
      </c>
      <c r="R251">
        <f>K251-G251*H251/k_n</f>
        <v/>
      </c>
      <c r="S251">
        <f>L251-LTP3!$D$3*G251/k_n</f>
        <v/>
      </c>
      <c r="T251">
        <f>M251-LTP3!$D$3*H251/k_n</f>
        <v/>
      </c>
      <c r="U251">
        <f>N251-G251*LTP3!$D$4/k_n</f>
        <v/>
      </c>
      <c r="V251">
        <f>O251-H251*LTP3!$D$4/k_n</f>
        <v/>
      </c>
      <c r="W251">
        <f>((LTP3!$D$5)*((P251)*(Q251)-(R251)*(R251))-(S251)*((S251)*(Q251)-(R251)*(T251))+(T251)*((S251)*(R251)-(P251)*(T251)))</f>
        <v/>
      </c>
      <c r="X251">
        <f>IF(ABS(W251)&gt;1E-12,((LTP3!$D$6)*((P251)*(Q251)-(R251)*(R251))-(S251)*((U251)*(Q251)-(R251)*(V251))+(T251)*((U251)*(R251)-(P251)*(V251)))/W251,0)</f>
        <v/>
      </c>
      <c r="Y251">
        <f>IF(ABS(W251)&gt;1E-12,((LTP3!$D$5)*((U251)*(Q251)-(R251)*(V251))-(LTP3!$D$6)*((S251)*(Q251)-(R251)*(T251))+(T251)*((S251)*(V251)-(U251)*(T251)))/W251,0)</f>
        <v/>
      </c>
      <c r="Z251">
        <f>IF(ABS(W251)&gt;1E-12,((LTP3!$D$5)*((P251)*(V251)-(U251)*(R251))-(S251)*((S251)*(V251)-(U251)*(T251))+(LTP3!$D$6)*((S251)*(R251)-(P251)*(T251)))/W251,0)</f>
        <v/>
      </c>
      <c r="AA251">
        <f>LTP3!$D$7-X251*LTP3!$D$6-Y251*U251-Z251*V251</f>
        <v/>
      </c>
      <c r="AB251">
        <f>IF(AND(F251,ABS(W251)&gt;1E-12,Y251&gt;0,Z251&gt;0),AA251,1E+300)</f>
        <v/>
      </c>
    </row>
    <row r="252">
      <c r="A252">
        <f>$B$3+$B$5*3</f>
        <v/>
      </c>
      <c r="B252">
        <f>$B$3+$B$5*57</f>
        <v/>
      </c>
      <c r="C252">
        <f>SUMPRODUCT(Calc!$K$3:$K$22*(Calc!$G$3:$G$22&lt;=A252))</f>
        <v/>
      </c>
      <c r="D252">
        <f>SUMPRODUCT(Calc!$K$3:$K$22*(Calc!$G$3:$G$22&gt;A252)*(Calc!$G$3:$G$22&lt;B252))</f>
        <v/>
      </c>
      <c r="E252">
        <f>SUMPRODUCT(Calc!$K$3:$K$22*(Calc!$G$3:$G$22&gt;=B252))</f>
        <v/>
      </c>
      <c r="F252">
        <f>AND(k_n&gt;=5,B252&gt;A252+1E-9,C252&gt;=2,D252&gt;=1,E252&gt;=2)</f>
        <v/>
      </c>
      <c r="G252">
        <f>SUMPRODUCT(Calc!$K$3:$K$22*(Calc!$G$3:$G$22&gt;A252)*(Calc!$G$3:$G$22-A252))</f>
        <v/>
      </c>
      <c r="H252">
        <f>SUMPRODUCT(Calc!$K$3:$K$22*(Calc!$G$3:$G$22&gt;B252)*(Calc!$G$3:$G$22-B252))</f>
        <v/>
      </c>
      <c r="I252">
        <f>SUMPRODUCT(Calc!$K$3:$K$22*(Calc!$G$3:$G$22&gt;A252)*(Calc!$G$3:$G$22-A252)^2)</f>
        <v/>
      </c>
      <c r="J252">
        <f>SUMPRODUCT(Calc!$K$3:$K$22*(Calc!$G$3:$G$22&gt;B252)*(Calc!$G$3:$G$22-B252)^2)</f>
        <v/>
      </c>
      <c r="K252">
        <f>SUMPRODUCT(Calc!$K$3:$K$22*(Calc!$G$3:$G$22&gt;A252)*(Calc!$G$3:$G$22-A252)*(Calc!$G$3:$G$22&gt;B252)*(Calc!$G$3:$G$22-B252))</f>
        <v/>
      </c>
      <c r="L252">
        <f>SUMPRODUCT(Calc!$K$3:$K$22*(Calc!$G$3:$G$22&gt;A252)*(Calc!$G$3:$G$22-A252)*Calc!$G$3:$G$22)</f>
        <v/>
      </c>
      <c r="M252">
        <f>SUMPRODUCT(Calc!$K$3:$K$22*(Calc!$G$3:$G$22&gt;B252)*(Calc!$G$3:$G$22-B252)*Calc!$G$3:$G$22)</f>
        <v/>
      </c>
      <c r="N252">
        <f>SUMPRODUCT(Calc!$K$3:$K$22*(Calc!$G$3:$G$22&gt;A252)*(Calc!$G$3:$G$22-A252)*Calc!$I$3:$I$22)</f>
        <v/>
      </c>
      <c r="O252">
        <f>SUMPRODUCT(Calc!$K$3:$K$22*(Calc!$G$3:$G$22&gt;B252)*(Calc!$G$3:$G$22-B252)*Calc!$I$3:$I$22)</f>
        <v/>
      </c>
      <c r="P252">
        <f>I252-G252^2/k_n</f>
        <v/>
      </c>
      <c r="Q252">
        <f>J252-H252^2/k_n</f>
        <v/>
      </c>
      <c r="R252">
        <f>K252-G252*H252/k_n</f>
        <v/>
      </c>
      <c r="S252">
        <f>L252-LTP3!$D$3*G252/k_n</f>
        <v/>
      </c>
      <c r="T252">
        <f>M252-LTP3!$D$3*H252/k_n</f>
        <v/>
      </c>
      <c r="U252">
        <f>N252-G252*LTP3!$D$4/k_n</f>
        <v/>
      </c>
      <c r="V252">
        <f>O252-H252*LTP3!$D$4/k_n</f>
        <v/>
      </c>
      <c r="W252">
        <f>((LTP3!$D$5)*((P252)*(Q252)-(R252)*(R252))-(S252)*((S252)*(Q252)-(R252)*(T252))+(T252)*((S252)*(R252)-(P252)*(T252)))</f>
        <v/>
      </c>
      <c r="X252">
        <f>IF(ABS(W252)&gt;1E-12,((LTP3!$D$6)*((P252)*(Q252)-(R252)*(R252))-(S252)*((U252)*(Q252)-(R252)*(V252))+(T252)*((U252)*(R252)-(P252)*(V252)))/W252,0)</f>
        <v/>
      </c>
      <c r="Y252">
        <f>IF(ABS(W252)&gt;1E-12,((LTP3!$D$5)*((U252)*(Q252)-(R252)*(V252))-(LTP3!$D$6)*((S252)*(Q252)-(R252)*(T252))+(T252)*((S252)*(V252)-(U252)*(T252)))/W252,0)</f>
        <v/>
      </c>
      <c r="Z252">
        <f>IF(ABS(W252)&gt;1E-12,((LTP3!$D$5)*((P252)*(V252)-(U252)*(R252))-(S252)*((S252)*(V252)-(U252)*(T252))+(LTP3!$D$6)*((S252)*(R252)-(P252)*(T252)))/W252,0)</f>
        <v/>
      </c>
      <c r="AA252">
        <f>LTP3!$D$7-X252*LTP3!$D$6-Y252*U252-Z252*V252</f>
        <v/>
      </c>
      <c r="AB252">
        <f>IF(AND(F252,ABS(W252)&gt;1E-12,Y252&gt;0,Z252&gt;0),AA252,1E+300)</f>
        <v/>
      </c>
    </row>
    <row r="253">
      <c r="A253">
        <f>$B$3+$B$5*3</f>
        <v/>
      </c>
      <c r="B253">
        <f>$B$3+$B$5*58</f>
        <v/>
      </c>
      <c r="C253">
        <f>SUMPRODUCT(Calc!$K$3:$K$22*(Calc!$G$3:$G$22&lt;=A253))</f>
        <v/>
      </c>
      <c r="D253">
        <f>SUMPRODUCT(Calc!$K$3:$K$22*(Calc!$G$3:$G$22&gt;A253)*(Calc!$G$3:$G$22&lt;B253))</f>
        <v/>
      </c>
      <c r="E253">
        <f>SUMPRODUCT(Calc!$K$3:$K$22*(Calc!$G$3:$G$22&gt;=B253))</f>
        <v/>
      </c>
      <c r="F253">
        <f>AND(k_n&gt;=5,B253&gt;A253+1E-9,C253&gt;=2,D253&gt;=1,E253&gt;=2)</f>
        <v/>
      </c>
      <c r="G253">
        <f>SUMPRODUCT(Calc!$K$3:$K$22*(Calc!$G$3:$G$22&gt;A253)*(Calc!$G$3:$G$22-A253))</f>
        <v/>
      </c>
      <c r="H253">
        <f>SUMPRODUCT(Calc!$K$3:$K$22*(Calc!$G$3:$G$22&gt;B253)*(Calc!$G$3:$G$22-B253))</f>
        <v/>
      </c>
      <c r="I253">
        <f>SUMPRODUCT(Calc!$K$3:$K$22*(Calc!$G$3:$G$22&gt;A253)*(Calc!$G$3:$G$22-A253)^2)</f>
        <v/>
      </c>
      <c r="J253">
        <f>SUMPRODUCT(Calc!$K$3:$K$22*(Calc!$G$3:$G$22&gt;B253)*(Calc!$G$3:$G$22-B253)^2)</f>
        <v/>
      </c>
      <c r="K253">
        <f>SUMPRODUCT(Calc!$K$3:$K$22*(Calc!$G$3:$G$22&gt;A253)*(Calc!$G$3:$G$22-A253)*(Calc!$G$3:$G$22&gt;B253)*(Calc!$G$3:$G$22-B253))</f>
        <v/>
      </c>
      <c r="L253">
        <f>SUMPRODUCT(Calc!$K$3:$K$22*(Calc!$G$3:$G$22&gt;A253)*(Calc!$G$3:$G$22-A253)*Calc!$G$3:$G$22)</f>
        <v/>
      </c>
      <c r="M253">
        <f>SUMPRODUCT(Calc!$K$3:$K$22*(Calc!$G$3:$G$22&gt;B253)*(Calc!$G$3:$G$22-B253)*Calc!$G$3:$G$22)</f>
        <v/>
      </c>
      <c r="N253">
        <f>SUMPRODUCT(Calc!$K$3:$K$22*(Calc!$G$3:$G$22&gt;A253)*(Calc!$G$3:$G$22-A253)*Calc!$I$3:$I$22)</f>
        <v/>
      </c>
      <c r="O253">
        <f>SUMPRODUCT(Calc!$K$3:$K$22*(Calc!$G$3:$G$22&gt;B253)*(Calc!$G$3:$G$22-B253)*Calc!$I$3:$I$22)</f>
        <v/>
      </c>
      <c r="P253">
        <f>I253-G253^2/k_n</f>
        <v/>
      </c>
      <c r="Q253">
        <f>J253-H253^2/k_n</f>
        <v/>
      </c>
      <c r="R253">
        <f>K253-G253*H253/k_n</f>
        <v/>
      </c>
      <c r="S253">
        <f>L253-LTP3!$D$3*G253/k_n</f>
        <v/>
      </c>
      <c r="T253">
        <f>M253-LTP3!$D$3*H253/k_n</f>
        <v/>
      </c>
      <c r="U253">
        <f>N253-G253*LTP3!$D$4/k_n</f>
        <v/>
      </c>
      <c r="V253">
        <f>O253-H253*LTP3!$D$4/k_n</f>
        <v/>
      </c>
      <c r="W253">
        <f>((LTP3!$D$5)*((P253)*(Q253)-(R253)*(R253))-(S253)*((S253)*(Q253)-(R253)*(T253))+(T253)*((S253)*(R253)-(P253)*(T253)))</f>
        <v/>
      </c>
      <c r="X253">
        <f>IF(ABS(W253)&gt;1E-12,((LTP3!$D$6)*((P253)*(Q253)-(R253)*(R253))-(S253)*((U253)*(Q253)-(R253)*(V253))+(T253)*((U253)*(R253)-(P253)*(V253)))/W253,0)</f>
        <v/>
      </c>
      <c r="Y253">
        <f>IF(ABS(W253)&gt;1E-12,((LTP3!$D$5)*((U253)*(Q253)-(R253)*(V253))-(LTP3!$D$6)*((S253)*(Q253)-(R253)*(T253))+(T253)*((S253)*(V253)-(U253)*(T253)))/W253,0)</f>
        <v/>
      </c>
      <c r="Z253">
        <f>IF(ABS(W253)&gt;1E-12,((LTP3!$D$5)*((P253)*(V253)-(U253)*(R253))-(S253)*((S253)*(V253)-(U253)*(T253))+(LTP3!$D$6)*((S253)*(R253)-(P253)*(T253)))/W253,0)</f>
        <v/>
      </c>
      <c r="AA253">
        <f>LTP3!$D$7-X253*LTP3!$D$6-Y253*U253-Z253*V253</f>
        <v/>
      </c>
      <c r="AB253">
        <f>IF(AND(F253,ABS(W253)&gt;1E-12,Y253&gt;0,Z253&gt;0),AA253,1E+300)</f>
        <v/>
      </c>
    </row>
    <row r="254">
      <c r="A254">
        <f>$B$3+$B$5*3</f>
        <v/>
      </c>
      <c r="B254">
        <f>$B$3+$B$5*59</f>
        <v/>
      </c>
      <c r="C254">
        <f>SUMPRODUCT(Calc!$K$3:$K$22*(Calc!$G$3:$G$22&lt;=A254))</f>
        <v/>
      </c>
      <c r="D254">
        <f>SUMPRODUCT(Calc!$K$3:$K$22*(Calc!$G$3:$G$22&gt;A254)*(Calc!$G$3:$G$22&lt;B254))</f>
        <v/>
      </c>
      <c r="E254">
        <f>SUMPRODUCT(Calc!$K$3:$K$22*(Calc!$G$3:$G$22&gt;=B254))</f>
        <v/>
      </c>
      <c r="F254">
        <f>AND(k_n&gt;=5,B254&gt;A254+1E-9,C254&gt;=2,D254&gt;=1,E254&gt;=2)</f>
        <v/>
      </c>
      <c r="G254">
        <f>SUMPRODUCT(Calc!$K$3:$K$22*(Calc!$G$3:$G$22&gt;A254)*(Calc!$G$3:$G$22-A254))</f>
        <v/>
      </c>
      <c r="H254">
        <f>SUMPRODUCT(Calc!$K$3:$K$22*(Calc!$G$3:$G$22&gt;B254)*(Calc!$G$3:$G$22-B254))</f>
        <v/>
      </c>
      <c r="I254">
        <f>SUMPRODUCT(Calc!$K$3:$K$22*(Calc!$G$3:$G$22&gt;A254)*(Calc!$G$3:$G$22-A254)^2)</f>
        <v/>
      </c>
      <c r="J254">
        <f>SUMPRODUCT(Calc!$K$3:$K$22*(Calc!$G$3:$G$22&gt;B254)*(Calc!$G$3:$G$22-B254)^2)</f>
        <v/>
      </c>
      <c r="K254">
        <f>SUMPRODUCT(Calc!$K$3:$K$22*(Calc!$G$3:$G$22&gt;A254)*(Calc!$G$3:$G$22-A254)*(Calc!$G$3:$G$22&gt;B254)*(Calc!$G$3:$G$22-B254))</f>
        <v/>
      </c>
      <c r="L254">
        <f>SUMPRODUCT(Calc!$K$3:$K$22*(Calc!$G$3:$G$22&gt;A254)*(Calc!$G$3:$G$22-A254)*Calc!$G$3:$G$22)</f>
        <v/>
      </c>
      <c r="M254">
        <f>SUMPRODUCT(Calc!$K$3:$K$22*(Calc!$G$3:$G$22&gt;B254)*(Calc!$G$3:$G$22-B254)*Calc!$G$3:$G$22)</f>
        <v/>
      </c>
      <c r="N254">
        <f>SUMPRODUCT(Calc!$K$3:$K$22*(Calc!$G$3:$G$22&gt;A254)*(Calc!$G$3:$G$22-A254)*Calc!$I$3:$I$22)</f>
        <v/>
      </c>
      <c r="O254">
        <f>SUMPRODUCT(Calc!$K$3:$K$22*(Calc!$G$3:$G$22&gt;B254)*(Calc!$G$3:$G$22-B254)*Calc!$I$3:$I$22)</f>
        <v/>
      </c>
      <c r="P254">
        <f>I254-G254^2/k_n</f>
        <v/>
      </c>
      <c r="Q254">
        <f>J254-H254^2/k_n</f>
        <v/>
      </c>
      <c r="R254">
        <f>K254-G254*H254/k_n</f>
        <v/>
      </c>
      <c r="S254">
        <f>L254-LTP3!$D$3*G254/k_n</f>
        <v/>
      </c>
      <c r="T254">
        <f>M254-LTP3!$D$3*H254/k_n</f>
        <v/>
      </c>
      <c r="U254">
        <f>N254-G254*LTP3!$D$4/k_n</f>
        <v/>
      </c>
      <c r="V254">
        <f>O254-H254*LTP3!$D$4/k_n</f>
        <v/>
      </c>
      <c r="W254">
        <f>((LTP3!$D$5)*((P254)*(Q254)-(R254)*(R254))-(S254)*((S254)*(Q254)-(R254)*(T254))+(T254)*((S254)*(R254)-(P254)*(T254)))</f>
        <v/>
      </c>
      <c r="X254">
        <f>IF(ABS(W254)&gt;1E-12,((LTP3!$D$6)*((P254)*(Q254)-(R254)*(R254))-(S254)*((U254)*(Q254)-(R254)*(V254))+(T254)*((U254)*(R254)-(P254)*(V254)))/W254,0)</f>
        <v/>
      </c>
      <c r="Y254">
        <f>IF(ABS(W254)&gt;1E-12,((LTP3!$D$5)*((U254)*(Q254)-(R254)*(V254))-(LTP3!$D$6)*((S254)*(Q254)-(R254)*(T254))+(T254)*((S254)*(V254)-(U254)*(T254)))/W254,0)</f>
        <v/>
      </c>
      <c r="Z254">
        <f>IF(ABS(W254)&gt;1E-12,((LTP3!$D$5)*((P254)*(V254)-(U254)*(R254))-(S254)*((S254)*(V254)-(U254)*(T254))+(LTP3!$D$6)*((S254)*(R254)-(P254)*(T254)))/W254,0)</f>
        <v/>
      </c>
      <c r="AA254">
        <f>LTP3!$D$7-X254*LTP3!$D$6-Y254*U254-Z254*V254</f>
        <v/>
      </c>
      <c r="AB254">
        <f>IF(AND(F254,ABS(W254)&gt;1E-12,Y254&gt;0,Z254&gt;0),AA254,1E+300)</f>
        <v/>
      </c>
    </row>
    <row r="255">
      <c r="A255">
        <f>$B$3+$B$5*3</f>
        <v/>
      </c>
      <c r="B255">
        <f>$B$3+$B$5*60</f>
        <v/>
      </c>
      <c r="C255">
        <f>SUMPRODUCT(Calc!$K$3:$K$22*(Calc!$G$3:$G$22&lt;=A255))</f>
        <v/>
      </c>
      <c r="D255">
        <f>SUMPRODUCT(Calc!$K$3:$K$22*(Calc!$G$3:$G$22&gt;A255)*(Calc!$G$3:$G$22&lt;B255))</f>
        <v/>
      </c>
      <c r="E255">
        <f>SUMPRODUCT(Calc!$K$3:$K$22*(Calc!$G$3:$G$22&gt;=B255))</f>
        <v/>
      </c>
      <c r="F255">
        <f>AND(k_n&gt;=5,B255&gt;A255+1E-9,C255&gt;=2,D255&gt;=1,E255&gt;=2)</f>
        <v/>
      </c>
      <c r="G255">
        <f>SUMPRODUCT(Calc!$K$3:$K$22*(Calc!$G$3:$G$22&gt;A255)*(Calc!$G$3:$G$22-A255))</f>
        <v/>
      </c>
      <c r="H255">
        <f>SUMPRODUCT(Calc!$K$3:$K$22*(Calc!$G$3:$G$22&gt;B255)*(Calc!$G$3:$G$22-B255))</f>
        <v/>
      </c>
      <c r="I255">
        <f>SUMPRODUCT(Calc!$K$3:$K$22*(Calc!$G$3:$G$22&gt;A255)*(Calc!$G$3:$G$22-A255)^2)</f>
        <v/>
      </c>
      <c r="J255">
        <f>SUMPRODUCT(Calc!$K$3:$K$22*(Calc!$G$3:$G$22&gt;B255)*(Calc!$G$3:$G$22-B255)^2)</f>
        <v/>
      </c>
      <c r="K255">
        <f>SUMPRODUCT(Calc!$K$3:$K$22*(Calc!$G$3:$G$22&gt;A255)*(Calc!$G$3:$G$22-A255)*(Calc!$G$3:$G$22&gt;B255)*(Calc!$G$3:$G$22-B255))</f>
        <v/>
      </c>
      <c r="L255">
        <f>SUMPRODUCT(Calc!$K$3:$K$22*(Calc!$G$3:$G$22&gt;A255)*(Calc!$G$3:$G$22-A255)*Calc!$G$3:$G$22)</f>
        <v/>
      </c>
      <c r="M255">
        <f>SUMPRODUCT(Calc!$K$3:$K$22*(Calc!$G$3:$G$22&gt;B255)*(Calc!$G$3:$G$22-B255)*Calc!$G$3:$G$22)</f>
        <v/>
      </c>
      <c r="N255">
        <f>SUMPRODUCT(Calc!$K$3:$K$22*(Calc!$G$3:$G$22&gt;A255)*(Calc!$G$3:$G$22-A255)*Calc!$I$3:$I$22)</f>
        <v/>
      </c>
      <c r="O255">
        <f>SUMPRODUCT(Calc!$K$3:$K$22*(Calc!$G$3:$G$22&gt;B255)*(Calc!$G$3:$G$22-B255)*Calc!$I$3:$I$22)</f>
        <v/>
      </c>
      <c r="P255">
        <f>I255-G255^2/k_n</f>
        <v/>
      </c>
      <c r="Q255">
        <f>J255-H255^2/k_n</f>
        <v/>
      </c>
      <c r="R255">
        <f>K255-G255*H255/k_n</f>
        <v/>
      </c>
      <c r="S255">
        <f>L255-LTP3!$D$3*G255/k_n</f>
        <v/>
      </c>
      <c r="T255">
        <f>M255-LTP3!$D$3*H255/k_n</f>
        <v/>
      </c>
      <c r="U255">
        <f>N255-G255*LTP3!$D$4/k_n</f>
        <v/>
      </c>
      <c r="V255">
        <f>O255-H255*LTP3!$D$4/k_n</f>
        <v/>
      </c>
      <c r="W255">
        <f>((LTP3!$D$5)*((P255)*(Q255)-(R255)*(R255))-(S255)*((S255)*(Q255)-(R255)*(T255))+(T255)*((S255)*(R255)-(P255)*(T255)))</f>
        <v/>
      </c>
      <c r="X255">
        <f>IF(ABS(W255)&gt;1E-12,((LTP3!$D$6)*((P255)*(Q255)-(R255)*(R255))-(S255)*((U255)*(Q255)-(R255)*(V255))+(T255)*((U255)*(R255)-(P255)*(V255)))/W255,0)</f>
        <v/>
      </c>
      <c r="Y255">
        <f>IF(ABS(W255)&gt;1E-12,((LTP3!$D$5)*((U255)*(Q255)-(R255)*(V255))-(LTP3!$D$6)*((S255)*(Q255)-(R255)*(T255))+(T255)*((S255)*(V255)-(U255)*(T255)))/W255,0)</f>
        <v/>
      </c>
      <c r="Z255">
        <f>IF(ABS(W255)&gt;1E-12,((LTP3!$D$5)*((P255)*(V255)-(U255)*(R255))-(S255)*((S255)*(V255)-(U255)*(T255))+(LTP3!$D$6)*((S255)*(R255)-(P255)*(T255)))/W255,0)</f>
        <v/>
      </c>
      <c r="AA255">
        <f>LTP3!$D$7-X255*LTP3!$D$6-Y255*U255-Z255*V255</f>
        <v/>
      </c>
      <c r="AB255">
        <f>IF(AND(F255,ABS(W255)&gt;1E-12,Y255&gt;0,Z255&gt;0),AA255,1E+300)</f>
        <v/>
      </c>
    </row>
    <row r="256">
      <c r="A256">
        <f>$B$3+$B$5*4</f>
        <v/>
      </c>
      <c r="B256">
        <f>$B$3+$B$5*0</f>
        <v/>
      </c>
      <c r="C256">
        <f>SUMPRODUCT(Calc!$K$3:$K$22*(Calc!$G$3:$G$22&lt;=A256))</f>
        <v/>
      </c>
      <c r="D256">
        <f>SUMPRODUCT(Calc!$K$3:$K$22*(Calc!$G$3:$G$22&gt;A256)*(Calc!$G$3:$G$22&lt;B256))</f>
        <v/>
      </c>
      <c r="E256">
        <f>SUMPRODUCT(Calc!$K$3:$K$22*(Calc!$G$3:$G$22&gt;=B256))</f>
        <v/>
      </c>
      <c r="F256">
        <f>AND(k_n&gt;=5,B256&gt;A256+1E-9,C256&gt;=2,D256&gt;=1,E256&gt;=2)</f>
        <v/>
      </c>
      <c r="G256">
        <f>SUMPRODUCT(Calc!$K$3:$K$22*(Calc!$G$3:$G$22&gt;A256)*(Calc!$G$3:$G$22-A256))</f>
        <v/>
      </c>
      <c r="H256">
        <f>SUMPRODUCT(Calc!$K$3:$K$22*(Calc!$G$3:$G$22&gt;B256)*(Calc!$G$3:$G$22-B256))</f>
        <v/>
      </c>
      <c r="I256">
        <f>SUMPRODUCT(Calc!$K$3:$K$22*(Calc!$G$3:$G$22&gt;A256)*(Calc!$G$3:$G$22-A256)^2)</f>
        <v/>
      </c>
      <c r="J256">
        <f>SUMPRODUCT(Calc!$K$3:$K$22*(Calc!$G$3:$G$22&gt;B256)*(Calc!$G$3:$G$22-B256)^2)</f>
        <v/>
      </c>
      <c r="K256">
        <f>SUMPRODUCT(Calc!$K$3:$K$22*(Calc!$G$3:$G$22&gt;A256)*(Calc!$G$3:$G$22-A256)*(Calc!$G$3:$G$22&gt;B256)*(Calc!$G$3:$G$22-B256))</f>
        <v/>
      </c>
      <c r="L256">
        <f>SUMPRODUCT(Calc!$K$3:$K$22*(Calc!$G$3:$G$22&gt;A256)*(Calc!$G$3:$G$22-A256)*Calc!$G$3:$G$22)</f>
        <v/>
      </c>
      <c r="M256">
        <f>SUMPRODUCT(Calc!$K$3:$K$22*(Calc!$G$3:$G$22&gt;B256)*(Calc!$G$3:$G$22-B256)*Calc!$G$3:$G$22)</f>
        <v/>
      </c>
      <c r="N256">
        <f>SUMPRODUCT(Calc!$K$3:$K$22*(Calc!$G$3:$G$22&gt;A256)*(Calc!$G$3:$G$22-A256)*Calc!$I$3:$I$22)</f>
        <v/>
      </c>
      <c r="O256">
        <f>SUMPRODUCT(Calc!$K$3:$K$22*(Calc!$G$3:$G$22&gt;B256)*(Calc!$G$3:$G$22-B256)*Calc!$I$3:$I$22)</f>
        <v/>
      </c>
      <c r="P256">
        <f>I256-G256^2/k_n</f>
        <v/>
      </c>
      <c r="Q256">
        <f>J256-H256^2/k_n</f>
        <v/>
      </c>
      <c r="R256">
        <f>K256-G256*H256/k_n</f>
        <v/>
      </c>
      <c r="S256">
        <f>L256-LTP3!$D$3*G256/k_n</f>
        <v/>
      </c>
      <c r="T256">
        <f>M256-LTP3!$D$3*H256/k_n</f>
        <v/>
      </c>
      <c r="U256">
        <f>N256-G256*LTP3!$D$4/k_n</f>
        <v/>
      </c>
      <c r="V256">
        <f>O256-H256*LTP3!$D$4/k_n</f>
        <v/>
      </c>
      <c r="W256">
        <f>((LTP3!$D$5)*((P256)*(Q256)-(R256)*(R256))-(S256)*((S256)*(Q256)-(R256)*(T256))+(T256)*((S256)*(R256)-(P256)*(T256)))</f>
        <v/>
      </c>
      <c r="X256">
        <f>IF(ABS(W256)&gt;1E-12,((LTP3!$D$6)*((P256)*(Q256)-(R256)*(R256))-(S256)*((U256)*(Q256)-(R256)*(V256))+(T256)*((U256)*(R256)-(P256)*(V256)))/W256,0)</f>
        <v/>
      </c>
      <c r="Y256">
        <f>IF(ABS(W256)&gt;1E-12,((LTP3!$D$5)*((U256)*(Q256)-(R256)*(V256))-(LTP3!$D$6)*((S256)*(Q256)-(R256)*(T256))+(T256)*((S256)*(V256)-(U256)*(T256)))/W256,0)</f>
        <v/>
      </c>
      <c r="Z256">
        <f>IF(ABS(W256)&gt;1E-12,((LTP3!$D$5)*((P256)*(V256)-(U256)*(R256))-(S256)*((S256)*(V256)-(U256)*(T256))+(LTP3!$D$6)*((S256)*(R256)-(P256)*(T256)))/W256,0)</f>
        <v/>
      </c>
      <c r="AA256">
        <f>LTP3!$D$7-X256*LTP3!$D$6-Y256*U256-Z256*V256</f>
        <v/>
      </c>
      <c r="AB256">
        <f>IF(AND(F256,ABS(W256)&gt;1E-12,Y256&gt;0,Z256&gt;0),AA256,1E+300)</f>
        <v/>
      </c>
    </row>
    <row r="257">
      <c r="A257">
        <f>$B$3+$B$5*4</f>
        <v/>
      </c>
      <c r="B257">
        <f>$B$3+$B$5*1</f>
        <v/>
      </c>
      <c r="C257">
        <f>SUMPRODUCT(Calc!$K$3:$K$22*(Calc!$G$3:$G$22&lt;=A257))</f>
        <v/>
      </c>
      <c r="D257">
        <f>SUMPRODUCT(Calc!$K$3:$K$22*(Calc!$G$3:$G$22&gt;A257)*(Calc!$G$3:$G$22&lt;B257))</f>
        <v/>
      </c>
      <c r="E257">
        <f>SUMPRODUCT(Calc!$K$3:$K$22*(Calc!$G$3:$G$22&gt;=B257))</f>
        <v/>
      </c>
      <c r="F257">
        <f>AND(k_n&gt;=5,B257&gt;A257+1E-9,C257&gt;=2,D257&gt;=1,E257&gt;=2)</f>
        <v/>
      </c>
      <c r="G257">
        <f>SUMPRODUCT(Calc!$K$3:$K$22*(Calc!$G$3:$G$22&gt;A257)*(Calc!$G$3:$G$22-A257))</f>
        <v/>
      </c>
      <c r="H257">
        <f>SUMPRODUCT(Calc!$K$3:$K$22*(Calc!$G$3:$G$22&gt;B257)*(Calc!$G$3:$G$22-B257))</f>
        <v/>
      </c>
      <c r="I257">
        <f>SUMPRODUCT(Calc!$K$3:$K$22*(Calc!$G$3:$G$22&gt;A257)*(Calc!$G$3:$G$22-A257)^2)</f>
        <v/>
      </c>
      <c r="J257">
        <f>SUMPRODUCT(Calc!$K$3:$K$22*(Calc!$G$3:$G$22&gt;B257)*(Calc!$G$3:$G$22-B257)^2)</f>
        <v/>
      </c>
      <c r="K257">
        <f>SUMPRODUCT(Calc!$K$3:$K$22*(Calc!$G$3:$G$22&gt;A257)*(Calc!$G$3:$G$22-A257)*(Calc!$G$3:$G$22&gt;B257)*(Calc!$G$3:$G$22-B257))</f>
        <v/>
      </c>
      <c r="L257">
        <f>SUMPRODUCT(Calc!$K$3:$K$22*(Calc!$G$3:$G$22&gt;A257)*(Calc!$G$3:$G$22-A257)*Calc!$G$3:$G$22)</f>
        <v/>
      </c>
      <c r="M257">
        <f>SUMPRODUCT(Calc!$K$3:$K$22*(Calc!$G$3:$G$22&gt;B257)*(Calc!$G$3:$G$22-B257)*Calc!$G$3:$G$22)</f>
        <v/>
      </c>
      <c r="N257">
        <f>SUMPRODUCT(Calc!$K$3:$K$22*(Calc!$G$3:$G$22&gt;A257)*(Calc!$G$3:$G$22-A257)*Calc!$I$3:$I$22)</f>
        <v/>
      </c>
      <c r="O257">
        <f>SUMPRODUCT(Calc!$K$3:$K$22*(Calc!$G$3:$G$22&gt;B257)*(Calc!$G$3:$G$22-B257)*Calc!$I$3:$I$22)</f>
        <v/>
      </c>
      <c r="P257">
        <f>I257-G257^2/k_n</f>
        <v/>
      </c>
      <c r="Q257">
        <f>J257-H257^2/k_n</f>
        <v/>
      </c>
      <c r="R257">
        <f>K257-G257*H257/k_n</f>
        <v/>
      </c>
      <c r="S257">
        <f>L257-LTP3!$D$3*G257/k_n</f>
        <v/>
      </c>
      <c r="T257">
        <f>M257-LTP3!$D$3*H257/k_n</f>
        <v/>
      </c>
      <c r="U257">
        <f>N257-G257*LTP3!$D$4/k_n</f>
        <v/>
      </c>
      <c r="V257">
        <f>O257-H257*LTP3!$D$4/k_n</f>
        <v/>
      </c>
      <c r="W257">
        <f>((LTP3!$D$5)*((P257)*(Q257)-(R257)*(R257))-(S257)*((S257)*(Q257)-(R257)*(T257))+(T257)*((S257)*(R257)-(P257)*(T257)))</f>
        <v/>
      </c>
      <c r="X257">
        <f>IF(ABS(W257)&gt;1E-12,((LTP3!$D$6)*((P257)*(Q257)-(R257)*(R257))-(S257)*((U257)*(Q257)-(R257)*(V257))+(T257)*((U257)*(R257)-(P257)*(V257)))/W257,0)</f>
        <v/>
      </c>
      <c r="Y257">
        <f>IF(ABS(W257)&gt;1E-12,((LTP3!$D$5)*((U257)*(Q257)-(R257)*(V257))-(LTP3!$D$6)*((S257)*(Q257)-(R257)*(T257))+(T257)*((S257)*(V257)-(U257)*(T257)))/W257,0)</f>
        <v/>
      </c>
      <c r="Z257">
        <f>IF(ABS(W257)&gt;1E-12,((LTP3!$D$5)*((P257)*(V257)-(U257)*(R257))-(S257)*((S257)*(V257)-(U257)*(T257))+(LTP3!$D$6)*((S257)*(R257)-(P257)*(T257)))/W257,0)</f>
        <v/>
      </c>
      <c r="AA257">
        <f>LTP3!$D$7-X257*LTP3!$D$6-Y257*U257-Z257*V257</f>
        <v/>
      </c>
      <c r="AB257">
        <f>IF(AND(F257,ABS(W257)&gt;1E-12,Y257&gt;0,Z257&gt;0),AA257,1E+300)</f>
        <v/>
      </c>
    </row>
    <row r="258">
      <c r="A258">
        <f>$B$3+$B$5*4</f>
        <v/>
      </c>
      <c r="B258">
        <f>$B$3+$B$5*2</f>
        <v/>
      </c>
      <c r="C258">
        <f>SUMPRODUCT(Calc!$K$3:$K$22*(Calc!$G$3:$G$22&lt;=A258))</f>
        <v/>
      </c>
      <c r="D258">
        <f>SUMPRODUCT(Calc!$K$3:$K$22*(Calc!$G$3:$G$22&gt;A258)*(Calc!$G$3:$G$22&lt;B258))</f>
        <v/>
      </c>
      <c r="E258">
        <f>SUMPRODUCT(Calc!$K$3:$K$22*(Calc!$G$3:$G$22&gt;=B258))</f>
        <v/>
      </c>
      <c r="F258">
        <f>AND(k_n&gt;=5,B258&gt;A258+1E-9,C258&gt;=2,D258&gt;=1,E258&gt;=2)</f>
        <v/>
      </c>
      <c r="G258">
        <f>SUMPRODUCT(Calc!$K$3:$K$22*(Calc!$G$3:$G$22&gt;A258)*(Calc!$G$3:$G$22-A258))</f>
        <v/>
      </c>
      <c r="H258">
        <f>SUMPRODUCT(Calc!$K$3:$K$22*(Calc!$G$3:$G$22&gt;B258)*(Calc!$G$3:$G$22-B258))</f>
        <v/>
      </c>
      <c r="I258">
        <f>SUMPRODUCT(Calc!$K$3:$K$22*(Calc!$G$3:$G$22&gt;A258)*(Calc!$G$3:$G$22-A258)^2)</f>
        <v/>
      </c>
      <c r="J258">
        <f>SUMPRODUCT(Calc!$K$3:$K$22*(Calc!$G$3:$G$22&gt;B258)*(Calc!$G$3:$G$22-B258)^2)</f>
        <v/>
      </c>
      <c r="K258">
        <f>SUMPRODUCT(Calc!$K$3:$K$22*(Calc!$G$3:$G$22&gt;A258)*(Calc!$G$3:$G$22-A258)*(Calc!$G$3:$G$22&gt;B258)*(Calc!$G$3:$G$22-B258))</f>
        <v/>
      </c>
      <c r="L258">
        <f>SUMPRODUCT(Calc!$K$3:$K$22*(Calc!$G$3:$G$22&gt;A258)*(Calc!$G$3:$G$22-A258)*Calc!$G$3:$G$22)</f>
        <v/>
      </c>
      <c r="M258">
        <f>SUMPRODUCT(Calc!$K$3:$K$22*(Calc!$G$3:$G$22&gt;B258)*(Calc!$G$3:$G$22-B258)*Calc!$G$3:$G$22)</f>
        <v/>
      </c>
      <c r="N258">
        <f>SUMPRODUCT(Calc!$K$3:$K$22*(Calc!$G$3:$G$22&gt;A258)*(Calc!$G$3:$G$22-A258)*Calc!$I$3:$I$22)</f>
        <v/>
      </c>
      <c r="O258">
        <f>SUMPRODUCT(Calc!$K$3:$K$22*(Calc!$G$3:$G$22&gt;B258)*(Calc!$G$3:$G$22-B258)*Calc!$I$3:$I$22)</f>
        <v/>
      </c>
      <c r="P258">
        <f>I258-G258^2/k_n</f>
        <v/>
      </c>
      <c r="Q258">
        <f>J258-H258^2/k_n</f>
        <v/>
      </c>
      <c r="R258">
        <f>K258-G258*H258/k_n</f>
        <v/>
      </c>
      <c r="S258">
        <f>L258-LTP3!$D$3*G258/k_n</f>
        <v/>
      </c>
      <c r="T258">
        <f>M258-LTP3!$D$3*H258/k_n</f>
        <v/>
      </c>
      <c r="U258">
        <f>N258-G258*LTP3!$D$4/k_n</f>
        <v/>
      </c>
      <c r="V258">
        <f>O258-H258*LTP3!$D$4/k_n</f>
        <v/>
      </c>
      <c r="W258">
        <f>((LTP3!$D$5)*((P258)*(Q258)-(R258)*(R258))-(S258)*((S258)*(Q258)-(R258)*(T258))+(T258)*((S258)*(R258)-(P258)*(T258)))</f>
        <v/>
      </c>
      <c r="X258">
        <f>IF(ABS(W258)&gt;1E-12,((LTP3!$D$6)*((P258)*(Q258)-(R258)*(R258))-(S258)*((U258)*(Q258)-(R258)*(V258))+(T258)*((U258)*(R258)-(P258)*(V258)))/W258,0)</f>
        <v/>
      </c>
      <c r="Y258">
        <f>IF(ABS(W258)&gt;1E-12,((LTP3!$D$5)*((U258)*(Q258)-(R258)*(V258))-(LTP3!$D$6)*((S258)*(Q258)-(R258)*(T258))+(T258)*((S258)*(V258)-(U258)*(T258)))/W258,0)</f>
        <v/>
      </c>
      <c r="Z258">
        <f>IF(ABS(W258)&gt;1E-12,((LTP3!$D$5)*((P258)*(V258)-(U258)*(R258))-(S258)*((S258)*(V258)-(U258)*(T258))+(LTP3!$D$6)*((S258)*(R258)-(P258)*(T258)))/W258,0)</f>
        <v/>
      </c>
      <c r="AA258">
        <f>LTP3!$D$7-X258*LTP3!$D$6-Y258*U258-Z258*V258</f>
        <v/>
      </c>
      <c r="AB258">
        <f>IF(AND(F258,ABS(W258)&gt;1E-12,Y258&gt;0,Z258&gt;0),AA258,1E+300)</f>
        <v/>
      </c>
    </row>
    <row r="259">
      <c r="A259">
        <f>$B$3+$B$5*4</f>
        <v/>
      </c>
      <c r="B259">
        <f>$B$3+$B$5*3</f>
        <v/>
      </c>
      <c r="C259">
        <f>SUMPRODUCT(Calc!$K$3:$K$22*(Calc!$G$3:$G$22&lt;=A259))</f>
        <v/>
      </c>
      <c r="D259">
        <f>SUMPRODUCT(Calc!$K$3:$K$22*(Calc!$G$3:$G$22&gt;A259)*(Calc!$G$3:$G$22&lt;B259))</f>
        <v/>
      </c>
      <c r="E259">
        <f>SUMPRODUCT(Calc!$K$3:$K$22*(Calc!$G$3:$G$22&gt;=B259))</f>
        <v/>
      </c>
      <c r="F259">
        <f>AND(k_n&gt;=5,B259&gt;A259+1E-9,C259&gt;=2,D259&gt;=1,E259&gt;=2)</f>
        <v/>
      </c>
      <c r="G259">
        <f>SUMPRODUCT(Calc!$K$3:$K$22*(Calc!$G$3:$G$22&gt;A259)*(Calc!$G$3:$G$22-A259))</f>
        <v/>
      </c>
      <c r="H259">
        <f>SUMPRODUCT(Calc!$K$3:$K$22*(Calc!$G$3:$G$22&gt;B259)*(Calc!$G$3:$G$22-B259))</f>
        <v/>
      </c>
      <c r="I259">
        <f>SUMPRODUCT(Calc!$K$3:$K$22*(Calc!$G$3:$G$22&gt;A259)*(Calc!$G$3:$G$22-A259)^2)</f>
        <v/>
      </c>
      <c r="J259">
        <f>SUMPRODUCT(Calc!$K$3:$K$22*(Calc!$G$3:$G$22&gt;B259)*(Calc!$G$3:$G$22-B259)^2)</f>
        <v/>
      </c>
      <c r="K259">
        <f>SUMPRODUCT(Calc!$K$3:$K$22*(Calc!$G$3:$G$22&gt;A259)*(Calc!$G$3:$G$22-A259)*(Calc!$G$3:$G$22&gt;B259)*(Calc!$G$3:$G$22-B259))</f>
        <v/>
      </c>
      <c r="L259">
        <f>SUMPRODUCT(Calc!$K$3:$K$22*(Calc!$G$3:$G$22&gt;A259)*(Calc!$G$3:$G$22-A259)*Calc!$G$3:$G$22)</f>
        <v/>
      </c>
      <c r="M259">
        <f>SUMPRODUCT(Calc!$K$3:$K$22*(Calc!$G$3:$G$22&gt;B259)*(Calc!$G$3:$G$22-B259)*Calc!$G$3:$G$22)</f>
        <v/>
      </c>
      <c r="N259">
        <f>SUMPRODUCT(Calc!$K$3:$K$22*(Calc!$G$3:$G$22&gt;A259)*(Calc!$G$3:$G$22-A259)*Calc!$I$3:$I$22)</f>
        <v/>
      </c>
      <c r="O259">
        <f>SUMPRODUCT(Calc!$K$3:$K$22*(Calc!$G$3:$G$22&gt;B259)*(Calc!$G$3:$G$22-B259)*Calc!$I$3:$I$22)</f>
        <v/>
      </c>
      <c r="P259">
        <f>I259-G259^2/k_n</f>
        <v/>
      </c>
      <c r="Q259">
        <f>J259-H259^2/k_n</f>
        <v/>
      </c>
      <c r="R259">
        <f>K259-G259*H259/k_n</f>
        <v/>
      </c>
      <c r="S259">
        <f>L259-LTP3!$D$3*G259/k_n</f>
        <v/>
      </c>
      <c r="T259">
        <f>M259-LTP3!$D$3*H259/k_n</f>
        <v/>
      </c>
      <c r="U259">
        <f>N259-G259*LTP3!$D$4/k_n</f>
        <v/>
      </c>
      <c r="V259">
        <f>O259-H259*LTP3!$D$4/k_n</f>
        <v/>
      </c>
      <c r="W259">
        <f>((LTP3!$D$5)*((P259)*(Q259)-(R259)*(R259))-(S259)*((S259)*(Q259)-(R259)*(T259))+(T259)*((S259)*(R259)-(P259)*(T259)))</f>
        <v/>
      </c>
      <c r="X259">
        <f>IF(ABS(W259)&gt;1E-12,((LTP3!$D$6)*((P259)*(Q259)-(R259)*(R259))-(S259)*((U259)*(Q259)-(R259)*(V259))+(T259)*((U259)*(R259)-(P259)*(V259)))/W259,0)</f>
        <v/>
      </c>
      <c r="Y259">
        <f>IF(ABS(W259)&gt;1E-12,((LTP3!$D$5)*((U259)*(Q259)-(R259)*(V259))-(LTP3!$D$6)*((S259)*(Q259)-(R259)*(T259))+(T259)*((S259)*(V259)-(U259)*(T259)))/W259,0)</f>
        <v/>
      </c>
      <c r="Z259">
        <f>IF(ABS(W259)&gt;1E-12,((LTP3!$D$5)*((P259)*(V259)-(U259)*(R259))-(S259)*((S259)*(V259)-(U259)*(T259))+(LTP3!$D$6)*((S259)*(R259)-(P259)*(T259)))/W259,0)</f>
        <v/>
      </c>
      <c r="AA259">
        <f>LTP3!$D$7-X259*LTP3!$D$6-Y259*U259-Z259*V259</f>
        <v/>
      </c>
      <c r="AB259">
        <f>IF(AND(F259,ABS(W259)&gt;1E-12,Y259&gt;0,Z259&gt;0),AA259,1E+300)</f>
        <v/>
      </c>
    </row>
    <row r="260">
      <c r="A260">
        <f>$B$3+$B$5*4</f>
        <v/>
      </c>
      <c r="B260">
        <f>$B$3+$B$5*4</f>
        <v/>
      </c>
      <c r="C260">
        <f>SUMPRODUCT(Calc!$K$3:$K$22*(Calc!$G$3:$G$22&lt;=A260))</f>
        <v/>
      </c>
      <c r="D260">
        <f>SUMPRODUCT(Calc!$K$3:$K$22*(Calc!$G$3:$G$22&gt;A260)*(Calc!$G$3:$G$22&lt;B260))</f>
        <v/>
      </c>
      <c r="E260">
        <f>SUMPRODUCT(Calc!$K$3:$K$22*(Calc!$G$3:$G$22&gt;=B260))</f>
        <v/>
      </c>
      <c r="F260">
        <f>AND(k_n&gt;=5,B260&gt;A260+1E-9,C260&gt;=2,D260&gt;=1,E260&gt;=2)</f>
        <v/>
      </c>
      <c r="G260">
        <f>SUMPRODUCT(Calc!$K$3:$K$22*(Calc!$G$3:$G$22&gt;A260)*(Calc!$G$3:$G$22-A260))</f>
        <v/>
      </c>
      <c r="H260">
        <f>SUMPRODUCT(Calc!$K$3:$K$22*(Calc!$G$3:$G$22&gt;B260)*(Calc!$G$3:$G$22-B260))</f>
        <v/>
      </c>
      <c r="I260">
        <f>SUMPRODUCT(Calc!$K$3:$K$22*(Calc!$G$3:$G$22&gt;A260)*(Calc!$G$3:$G$22-A260)^2)</f>
        <v/>
      </c>
      <c r="J260">
        <f>SUMPRODUCT(Calc!$K$3:$K$22*(Calc!$G$3:$G$22&gt;B260)*(Calc!$G$3:$G$22-B260)^2)</f>
        <v/>
      </c>
      <c r="K260">
        <f>SUMPRODUCT(Calc!$K$3:$K$22*(Calc!$G$3:$G$22&gt;A260)*(Calc!$G$3:$G$22-A260)*(Calc!$G$3:$G$22&gt;B260)*(Calc!$G$3:$G$22-B260))</f>
        <v/>
      </c>
      <c r="L260">
        <f>SUMPRODUCT(Calc!$K$3:$K$22*(Calc!$G$3:$G$22&gt;A260)*(Calc!$G$3:$G$22-A260)*Calc!$G$3:$G$22)</f>
        <v/>
      </c>
      <c r="M260">
        <f>SUMPRODUCT(Calc!$K$3:$K$22*(Calc!$G$3:$G$22&gt;B260)*(Calc!$G$3:$G$22-B260)*Calc!$G$3:$G$22)</f>
        <v/>
      </c>
      <c r="N260">
        <f>SUMPRODUCT(Calc!$K$3:$K$22*(Calc!$G$3:$G$22&gt;A260)*(Calc!$G$3:$G$22-A260)*Calc!$I$3:$I$22)</f>
        <v/>
      </c>
      <c r="O260">
        <f>SUMPRODUCT(Calc!$K$3:$K$22*(Calc!$G$3:$G$22&gt;B260)*(Calc!$G$3:$G$22-B260)*Calc!$I$3:$I$22)</f>
        <v/>
      </c>
      <c r="P260">
        <f>I260-G260^2/k_n</f>
        <v/>
      </c>
      <c r="Q260">
        <f>J260-H260^2/k_n</f>
        <v/>
      </c>
      <c r="R260">
        <f>K260-G260*H260/k_n</f>
        <v/>
      </c>
      <c r="S260">
        <f>L260-LTP3!$D$3*G260/k_n</f>
        <v/>
      </c>
      <c r="T260">
        <f>M260-LTP3!$D$3*H260/k_n</f>
        <v/>
      </c>
      <c r="U260">
        <f>N260-G260*LTP3!$D$4/k_n</f>
        <v/>
      </c>
      <c r="V260">
        <f>O260-H260*LTP3!$D$4/k_n</f>
        <v/>
      </c>
      <c r="W260">
        <f>((LTP3!$D$5)*((P260)*(Q260)-(R260)*(R260))-(S260)*((S260)*(Q260)-(R260)*(T260))+(T260)*((S260)*(R260)-(P260)*(T260)))</f>
        <v/>
      </c>
      <c r="X260">
        <f>IF(ABS(W260)&gt;1E-12,((LTP3!$D$6)*((P260)*(Q260)-(R260)*(R260))-(S260)*((U260)*(Q260)-(R260)*(V260))+(T260)*((U260)*(R260)-(P260)*(V260)))/W260,0)</f>
        <v/>
      </c>
      <c r="Y260">
        <f>IF(ABS(W260)&gt;1E-12,((LTP3!$D$5)*((U260)*(Q260)-(R260)*(V260))-(LTP3!$D$6)*((S260)*(Q260)-(R260)*(T260))+(T260)*((S260)*(V260)-(U260)*(T260)))/W260,0)</f>
        <v/>
      </c>
      <c r="Z260">
        <f>IF(ABS(W260)&gt;1E-12,((LTP3!$D$5)*((P260)*(V260)-(U260)*(R260))-(S260)*((S260)*(V260)-(U260)*(T260))+(LTP3!$D$6)*((S260)*(R260)-(P260)*(T260)))/W260,0)</f>
        <v/>
      </c>
      <c r="AA260">
        <f>LTP3!$D$7-X260*LTP3!$D$6-Y260*U260-Z260*V260</f>
        <v/>
      </c>
      <c r="AB260">
        <f>IF(AND(F260,ABS(W260)&gt;1E-12,Y260&gt;0,Z260&gt;0),AA260,1E+300)</f>
        <v/>
      </c>
    </row>
    <row r="261">
      <c r="A261">
        <f>$B$3+$B$5*4</f>
        <v/>
      </c>
      <c r="B261">
        <f>$B$3+$B$5*5</f>
        <v/>
      </c>
      <c r="C261">
        <f>SUMPRODUCT(Calc!$K$3:$K$22*(Calc!$G$3:$G$22&lt;=A261))</f>
        <v/>
      </c>
      <c r="D261">
        <f>SUMPRODUCT(Calc!$K$3:$K$22*(Calc!$G$3:$G$22&gt;A261)*(Calc!$G$3:$G$22&lt;B261))</f>
        <v/>
      </c>
      <c r="E261">
        <f>SUMPRODUCT(Calc!$K$3:$K$22*(Calc!$G$3:$G$22&gt;=B261))</f>
        <v/>
      </c>
      <c r="F261">
        <f>AND(k_n&gt;=5,B261&gt;A261+1E-9,C261&gt;=2,D261&gt;=1,E261&gt;=2)</f>
        <v/>
      </c>
      <c r="G261">
        <f>SUMPRODUCT(Calc!$K$3:$K$22*(Calc!$G$3:$G$22&gt;A261)*(Calc!$G$3:$G$22-A261))</f>
        <v/>
      </c>
      <c r="H261">
        <f>SUMPRODUCT(Calc!$K$3:$K$22*(Calc!$G$3:$G$22&gt;B261)*(Calc!$G$3:$G$22-B261))</f>
        <v/>
      </c>
      <c r="I261">
        <f>SUMPRODUCT(Calc!$K$3:$K$22*(Calc!$G$3:$G$22&gt;A261)*(Calc!$G$3:$G$22-A261)^2)</f>
        <v/>
      </c>
      <c r="J261">
        <f>SUMPRODUCT(Calc!$K$3:$K$22*(Calc!$G$3:$G$22&gt;B261)*(Calc!$G$3:$G$22-B261)^2)</f>
        <v/>
      </c>
      <c r="K261">
        <f>SUMPRODUCT(Calc!$K$3:$K$22*(Calc!$G$3:$G$22&gt;A261)*(Calc!$G$3:$G$22-A261)*(Calc!$G$3:$G$22&gt;B261)*(Calc!$G$3:$G$22-B261))</f>
        <v/>
      </c>
      <c r="L261">
        <f>SUMPRODUCT(Calc!$K$3:$K$22*(Calc!$G$3:$G$22&gt;A261)*(Calc!$G$3:$G$22-A261)*Calc!$G$3:$G$22)</f>
        <v/>
      </c>
      <c r="M261">
        <f>SUMPRODUCT(Calc!$K$3:$K$22*(Calc!$G$3:$G$22&gt;B261)*(Calc!$G$3:$G$22-B261)*Calc!$G$3:$G$22)</f>
        <v/>
      </c>
      <c r="N261">
        <f>SUMPRODUCT(Calc!$K$3:$K$22*(Calc!$G$3:$G$22&gt;A261)*(Calc!$G$3:$G$22-A261)*Calc!$I$3:$I$22)</f>
        <v/>
      </c>
      <c r="O261">
        <f>SUMPRODUCT(Calc!$K$3:$K$22*(Calc!$G$3:$G$22&gt;B261)*(Calc!$G$3:$G$22-B261)*Calc!$I$3:$I$22)</f>
        <v/>
      </c>
      <c r="P261">
        <f>I261-G261^2/k_n</f>
        <v/>
      </c>
      <c r="Q261">
        <f>J261-H261^2/k_n</f>
        <v/>
      </c>
      <c r="R261">
        <f>K261-G261*H261/k_n</f>
        <v/>
      </c>
      <c r="S261">
        <f>L261-LTP3!$D$3*G261/k_n</f>
        <v/>
      </c>
      <c r="T261">
        <f>M261-LTP3!$D$3*H261/k_n</f>
        <v/>
      </c>
      <c r="U261">
        <f>N261-G261*LTP3!$D$4/k_n</f>
        <v/>
      </c>
      <c r="V261">
        <f>O261-H261*LTP3!$D$4/k_n</f>
        <v/>
      </c>
      <c r="W261">
        <f>((LTP3!$D$5)*((P261)*(Q261)-(R261)*(R261))-(S261)*((S261)*(Q261)-(R261)*(T261))+(T261)*((S261)*(R261)-(P261)*(T261)))</f>
        <v/>
      </c>
      <c r="X261">
        <f>IF(ABS(W261)&gt;1E-12,((LTP3!$D$6)*((P261)*(Q261)-(R261)*(R261))-(S261)*((U261)*(Q261)-(R261)*(V261))+(T261)*((U261)*(R261)-(P261)*(V261)))/W261,0)</f>
        <v/>
      </c>
      <c r="Y261">
        <f>IF(ABS(W261)&gt;1E-12,((LTP3!$D$5)*((U261)*(Q261)-(R261)*(V261))-(LTP3!$D$6)*((S261)*(Q261)-(R261)*(T261))+(T261)*((S261)*(V261)-(U261)*(T261)))/W261,0)</f>
        <v/>
      </c>
      <c r="Z261">
        <f>IF(ABS(W261)&gt;1E-12,((LTP3!$D$5)*((P261)*(V261)-(U261)*(R261))-(S261)*((S261)*(V261)-(U261)*(T261))+(LTP3!$D$6)*((S261)*(R261)-(P261)*(T261)))/W261,0)</f>
        <v/>
      </c>
      <c r="AA261">
        <f>LTP3!$D$7-X261*LTP3!$D$6-Y261*U261-Z261*V261</f>
        <v/>
      </c>
      <c r="AB261">
        <f>IF(AND(F261,ABS(W261)&gt;1E-12,Y261&gt;0,Z261&gt;0),AA261,1E+300)</f>
        <v/>
      </c>
    </row>
    <row r="262">
      <c r="A262">
        <f>$B$3+$B$5*4</f>
        <v/>
      </c>
      <c r="B262">
        <f>$B$3+$B$5*6</f>
        <v/>
      </c>
      <c r="C262">
        <f>SUMPRODUCT(Calc!$K$3:$K$22*(Calc!$G$3:$G$22&lt;=A262))</f>
        <v/>
      </c>
      <c r="D262">
        <f>SUMPRODUCT(Calc!$K$3:$K$22*(Calc!$G$3:$G$22&gt;A262)*(Calc!$G$3:$G$22&lt;B262))</f>
        <v/>
      </c>
      <c r="E262">
        <f>SUMPRODUCT(Calc!$K$3:$K$22*(Calc!$G$3:$G$22&gt;=B262))</f>
        <v/>
      </c>
      <c r="F262">
        <f>AND(k_n&gt;=5,B262&gt;A262+1E-9,C262&gt;=2,D262&gt;=1,E262&gt;=2)</f>
        <v/>
      </c>
      <c r="G262">
        <f>SUMPRODUCT(Calc!$K$3:$K$22*(Calc!$G$3:$G$22&gt;A262)*(Calc!$G$3:$G$22-A262))</f>
        <v/>
      </c>
      <c r="H262">
        <f>SUMPRODUCT(Calc!$K$3:$K$22*(Calc!$G$3:$G$22&gt;B262)*(Calc!$G$3:$G$22-B262))</f>
        <v/>
      </c>
      <c r="I262">
        <f>SUMPRODUCT(Calc!$K$3:$K$22*(Calc!$G$3:$G$22&gt;A262)*(Calc!$G$3:$G$22-A262)^2)</f>
        <v/>
      </c>
      <c r="J262">
        <f>SUMPRODUCT(Calc!$K$3:$K$22*(Calc!$G$3:$G$22&gt;B262)*(Calc!$G$3:$G$22-B262)^2)</f>
        <v/>
      </c>
      <c r="K262">
        <f>SUMPRODUCT(Calc!$K$3:$K$22*(Calc!$G$3:$G$22&gt;A262)*(Calc!$G$3:$G$22-A262)*(Calc!$G$3:$G$22&gt;B262)*(Calc!$G$3:$G$22-B262))</f>
        <v/>
      </c>
      <c r="L262">
        <f>SUMPRODUCT(Calc!$K$3:$K$22*(Calc!$G$3:$G$22&gt;A262)*(Calc!$G$3:$G$22-A262)*Calc!$G$3:$G$22)</f>
        <v/>
      </c>
      <c r="M262">
        <f>SUMPRODUCT(Calc!$K$3:$K$22*(Calc!$G$3:$G$22&gt;B262)*(Calc!$G$3:$G$22-B262)*Calc!$G$3:$G$22)</f>
        <v/>
      </c>
      <c r="N262">
        <f>SUMPRODUCT(Calc!$K$3:$K$22*(Calc!$G$3:$G$22&gt;A262)*(Calc!$G$3:$G$22-A262)*Calc!$I$3:$I$22)</f>
        <v/>
      </c>
      <c r="O262">
        <f>SUMPRODUCT(Calc!$K$3:$K$22*(Calc!$G$3:$G$22&gt;B262)*(Calc!$G$3:$G$22-B262)*Calc!$I$3:$I$22)</f>
        <v/>
      </c>
      <c r="P262">
        <f>I262-G262^2/k_n</f>
        <v/>
      </c>
      <c r="Q262">
        <f>J262-H262^2/k_n</f>
        <v/>
      </c>
      <c r="R262">
        <f>K262-G262*H262/k_n</f>
        <v/>
      </c>
      <c r="S262">
        <f>L262-LTP3!$D$3*G262/k_n</f>
        <v/>
      </c>
      <c r="T262">
        <f>M262-LTP3!$D$3*H262/k_n</f>
        <v/>
      </c>
      <c r="U262">
        <f>N262-G262*LTP3!$D$4/k_n</f>
        <v/>
      </c>
      <c r="V262">
        <f>O262-H262*LTP3!$D$4/k_n</f>
        <v/>
      </c>
      <c r="W262">
        <f>((LTP3!$D$5)*((P262)*(Q262)-(R262)*(R262))-(S262)*((S262)*(Q262)-(R262)*(T262))+(T262)*((S262)*(R262)-(P262)*(T262)))</f>
        <v/>
      </c>
      <c r="X262">
        <f>IF(ABS(W262)&gt;1E-12,((LTP3!$D$6)*((P262)*(Q262)-(R262)*(R262))-(S262)*((U262)*(Q262)-(R262)*(V262))+(T262)*((U262)*(R262)-(P262)*(V262)))/W262,0)</f>
        <v/>
      </c>
      <c r="Y262">
        <f>IF(ABS(W262)&gt;1E-12,((LTP3!$D$5)*((U262)*(Q262)-(R262)*(V262))-(LTP3!$D$6)*((S262)*(Q262)-(R262)*(T262))+(T262)*((S262)*(V262)-(U262)*(T262)))/W262,0)</f>
        <v/>
      </c>
      <c r="Z262">
        <f>IF(ABS(W262)&gt;1E-12,((LTP3!$D$5)*((P262)*(V262)-(U262)*(R262))-(S262)*((S262)*(V262)-(U262)*(T262))+(LTP3!$D$6)*((S262)*(R262)-(P262)*(T262)))/W262,0)</f>
        <v/>
      </c>
      <c r="AA262">
        <f>LTP3!$D$7-X262*LTP3!$D$6-Y262*U262-Z262*V262</f>
        <v/>
      </c>
      <c r="AB262">
        <f>IF(AND(F262,ABS(W262)&gt;1E-12,Y262&gt;0,Z262&gt;0),AA262,1E+300)</f>
        <v/>
      </c>
    </row>
    <row r="263">
      <c r="A263">
        <f>$B$3+$B$5*4</f>
        <v/>
      </c>
      <c r="B263">
        <f>$B$3+$B$5*7</f>
        <v/>
      </c>
      <c r="C263">
        <f>SUMPRODUCT(Calc!$K$3:$K$22*(Calc!$G$3:$G$22&lt;=A263))</f>
        <v/>
      </c>
      <c r="D263">
        <f>SUMPRODUCT(Calc!$K$3:$K$22*(Calc!$G$3:$G$22&gt;A263)*(Calc!$G$3:$G$22&lt;B263))</f>
        <v/>
      </c>
      <c r="E263">
        <f>SUMPRODUCT(Calc!$K$3:$K$22*(Calc!$G$3:$G$22&gt;=B263))</f>
        <v/>
      </c>
      <c r="F263">
        <f>AND(k_n&gt;=5,B263&gt;A263+1E-9,C263&gt;=2,D263&gt;=1,E263&gt;=2)</f>
        <v/>
      </c>
      <c r="G263">
        <f>SUMPRODUCT(Calc!$K$3:$K$22*(Calc!$G$3:$G$22&gt;A263)*(Calc!$G$3:$G$22-A263))</f>
        <v/>
      </c>
      <c r="H263">
        <f>SUMPRODUCT(Calc!$K$3:$K$22*(Calc!$G$3:$G$22&gt;B263)*(Calc!$G$3:$G$22-B263))</f>
        <v/>
      </c>
      <c r="I263">
        <f>SUMPRODUCT(Calc!$K$3:$K$22*(Calc!$G$3:$G$22&gt;A263)*(Calc!$G$3:$G$22-A263)^2)</f>
        <v/>
      </c>
      <c r="J263">
        <f>SUMPRODUCT(Calc!$K$3:$K$22*(Calc!$G$3:$G$22&gt;B263)*(Calc!$G$3:$G$22-B263)^2)</f>
        <v/>
      </c>
      <c r="K263">
        <f>SUMPRODUCT(Calc!$K$3:$K$22*(Calc!$G$3:$G$22&gt;A263)*(Calc!$G$3:$G$22-A263)*(Calc!$G$3:$G$22&gt;B263)*(Calc!$G$3:$G$22-B263))</f>
        <v/>
      </c>
      <c r="L263">
        <f>SUMPRODUCT(Calc!$K$3:$K$22*(Calc!$G$3:$G$22&gt;A263)*(Calc!$G$3:$G$22-A263)*Calc!$G$3:$G$22)</f>
        <v/>
      </c>
      <c r="M263">
        <f>SUMPRODUCT(Calc!$K$3:$K$22*(Calc!$G$3:$G$22&gt;B263)*(Calc!$G$3:$G$22-B263)*Calc!$G$3:$G$22)</f>
        <v/>
      </c>
      <c r="N263">
        <f>SUMPRODUCT(Calc!$K$3:$K$22*(Calc!$G$3:$G$22&gt;A263)*(Calc!$G$3:$G$22-A263)*Calc!$I$3:$I$22)</f>
        <v/>
      </c>
      <c r="O263">
        <f>SUMPRODUCT(Calc!$K$3:$K$22*(Calc!$G$3:$G$22&gt;B263)*(Calc!$G$3:$G$22-B263)*Calc!$I$3:$I$22)</f>
        <v/>
      </c>
      <c r="P263">
        <f>I263-G263^2/k_n</f>
        <v/>
      </c>
      <c r="Q263">
        <f>J263-H263^2/k_n</f>
        <v/>
      </c>
      <c r="R263">
        <f>K263-G263*H263/k_n</f>
        <v/>
      </c>
      <c r="S263">
        <f>L263-LTP3!$D$3*G263/k_n</f>
        <v/>
      </c>
      <c r="T263">
        <f>M263-LTP3!$D$3*H263/k_n</f>
        <v/>
      </c>
      <c r="U263">
        <f>N263-G263*LTP3!$D$4/k_n</f>
        <v/>
      </c>
      <c r="V263">
        <f>O263-H263*LTP3!$D$4/k_n</f>
        <v/>
      </c>
      <c r="W263">
        <f>((LTP3!$D$5)*((P263)*(Q263)-(R263)*(R263))-(S263)*((S263)*(Q263)-(R263)*(T263))+(T263)*((S263)*(R263)-(P263)*(T263)))</f>
        <v/>
      </c>
      <c r="X263">
        <f>IF(ABS(W263)&gt;1E-12,((LTP3!$D$6)*((P263)*(Q263)-(R263)*(R263))-(S263)*((U263)*(Q263)-(R263)*(V263))+(T263)*((U263)*(R263)-(P263)*(V263)))/W263,0)</f>
        <v/>
      </c>
      <c r="Y263">
        <f>IF(ABS(W263)&gt;1E-12,((LTP3!$D$5)*((U263)*(Q263)-(R263)*(V263))-(LTP3!$D$6)*((S263)*(Q263)-(R263)*(T263))+(T263)*((S263)*(V263)-(U263)*(T263)))/W263,0)</f>
        <v/>
      </c>
      <c r="Z263">
        <f>IF(ABS(W263)&gt;1E-12,((LTP3!$D$5)*((P263)*(V263)-(U263)*(R263))-(S263)*((S263)*(V263)-(U263)*(T263))+(LTP3!$D$6)*((S263)*(R263)-(P263)*(T263)))/W263,0)</f>
        <v/>
      </c>
      <c r="AA263">
        <f>LTP3!$D$7-X263*LTP3!$D$6-Y263*U263-Z263*V263</f>
        <v/>
      </c>
      <c r="AB263">
        <f>IF(AND(F263,ABS(W263)&gt;1E-12,Y263&gt;0,Z263&gt;0),AA263,1E+300)</f>
        <v/>
      </c>
    </row>
    <row r="264">
      <c r="A264">
        <f>$B$3+$B$5*4</f>
        <v/>
      </c>
      <c r="B264">
        <f>$B$3+$B$5*8</f>
        <v/>
      </c>
      <c r="C264">
        <f>SUMPRODUCT(Calc!$K$3:$K$22*(Calc!$G$3:$G$22&lt;=A264))</f>
        <v/>
      </c>
      <c r="D264">
        <f>SUMPRODUCT(Calc!$K$3:$K$22*(Calc!$G$3:$G$22&gt;A264)*(Calc!$G$3:$G$22&lt;B264))</f>
        <v/>
      </c>
      <c r="E264">
        <f>SUMPRODUCT(Calc!$K$3:$K$22*(Calc!$G$3:$G$22&gt;=B264))</f>
        <v/>
      </c>
      <c r="F264">
        <f>AND(k_n&gt;=5,B264&gt;A264+1E-9,C264&gt;=2,D264&gt;=1,E264&gt;=2)</f>
        <v/>
      </c>
      <c r="G264">
        <f>SUMPRODUCT(Calc!$K$3:$K$22*(Calc!$G$3:$G$22&gt;A264)*(Calc!$G$3:$G$22-A264))</f>
        <v/>
      </c>
      <c r="H264">
        <f>SUMPRODUCT(Calc!$K$3:$K$22*(Calc!$G$3:$G$22&gt;B264)*(Calc!$G$3:$G$22-B264))</f>
        <v/>
      </c>
      <c r="I264">
        <f>SUMPRODUCT(Calc!$K$3:$K$22*(Calc!$G$3:$G$22&gt;A264)*(Calc!$G$3:$G$22-A264)^2)</f>
        <v/>
      </c>
      <c r="J264">
        <f>SUMPRODUCT(Calc!$K$3:$K$22*(Calc!$G$3:$G$22&gt;B264)*(Calc!$G$3:$G$22-B264)^2)</f>
        <v/>
      </c>
      <c r="K264">
        <f>SUMPRODUCT(Calc!$K$3:$K$22*(Calc!$G$3:$G$22&gt;A264)*(Calc!$G$3:$G$22-A264)*(Calc!$G$3:$G$22&gt;B264)*(Calc!$G$3:$G$22-B264))</f>
        <v/>
      </c>
      <c r="L264">
        <f>SUMPRODUCT(Calc!$K$3:$K$22*(Calc!$G$3:$G$22&gt;A264)*(Calc!$G$3:$G$22-A264)*Calc!$G$3:$G$22)</f>
        <v/>
      </c>
      <c r="M264">
        <f>SUMPRODUCT(Calc!$K$3:$K$22*(Calc!$G$3:$G$22&gt;B264)*(Calc!$G$3:$G$22-B264)*Calc!$G$3:$G$22)</f>
        <v/>
      </c>
      <c r="N264">
        <f>SUMPRODUCT(Calc!$K$3:$K$22*(Calc!$G$3:$G$22&gt;A264)*(Calc!$G$3:$G$22-A264)*Calc!$I$3:$I$22)</f>
        <v/>
      </c>
      <c r="O264">
        <f>SUMPRODUCT(Calc!$K$3:$K$22*(Calc!$G$3:$G$22&gt;B264)*(Calc!$G$3:$G$22-B264)*Calc!$I$3:$I$22)</f>
        <v/>
      </c>
      <c r="P264">
        <f>I264-G264^2/k_n</f>
        <v/>
      </c>
      <c r="Q264">
        <f>J264-H264^2/k_n</f>
        <v/>
      </c>
      <c r="R264">
        <f>K264-G264*H264/k_n</f>
        <v/>
      </c>
      <c r="S264">
        <f>L264-LTP3!$D$3*G264/k_n</f>
        <v/>
      </c>
      <c r="T264">
        <f>M264-LTP3!$D$3*H264/k_n</f>
        <v/>
      </c>
      <c r="U264">
        <f>N264-G264*LTP3!$D$4/k_n</f>
        <v/>
      </c>
      <c r="V264">
        <f>O264-H264*LTP3!$D$4/k_n</f>
        <v/>
      </c>
      <c r="W264">
        <f>((LTP3!$D$5)*((P264)*(Q264)-(R264)*(R264))-(S264)*((S264)*(Q264)-(R264)*(T264))+(T264)*((S264)*(R264)-(P264)*(T264)))</f>
        <v/>
      </c>
      <c r="X264">
        <f>IF(ABS(W264)&gt;1E-12,((LTP3!$D$6)*((P264)*(Q264)-(R264)*(R264))-(S264)*((U264)*(Q264)-(R264)*(V264))+(T264)*((U264)*(R264)-(P264)*(V264)))/W264,0)</f>
        <v/>
      </c>
      <c r="Y264">
        <f>IF(ABS(W264)&gt;1E-12,((LTP3!$D$5)*((U264)*(Q264)-(R264)*(V264))-(LTP3!$D$6)*((S264)*(Q264)-(R264)*(T264))+(T264)*((S264)*(V264)-(U264)*(T264)))/W264,0)</f>
        <v/>
      </c>
      <c r="Z264">
        <f>IF(ABS(W264)&gt;1E-12,((LTP3!$D$5)*((P264)*(V264)-(U264)*(R264))-(S264)*((S264)*(V264)-(U264)*(T264))+(LTP3!$D$6)*((S264)*(R264)-(P264)*(T264)))/W264,0)</f>
        <v/>
      </c>
      <c r="AA264">
        <f>LTP3!$D$7-X264*LTP3!$D$6-Y264*U264-Z264*V264</f>
        <v/>
      </c>
      <c r="AB264">
        <f>IF(AND(F264,ABS(W264)&gt;1E-12,Y264&gt;0,Z264&gt;0),AA264,1E+300)</f>
        <v/>
      </c>
    </row>
    <row r="265">
      <c r="A265">
        <f>$B$3+$B$5*4</f>
        <v/>
      </c>
      <c r="B265">
        <f>$B$3+$B$5*9</f>
        <v/>
      </c>
      <c r="C265">
        <f>SUMPRODUCT(Calc!$K$3:$K$22*(Calc!$G$3:$G$22&lt;=A265))</f>
        <v/>
      </c>
      <c r="D265">
        <f>SUMPRODUCT(Calc!$K$3:$K$22*(Calc!$G$3:$G$22&gt;A265)*(Calc!$G$3:$G$22&lt;B265))</f>
        <v/>
      </c>
      <c r="E265">
        <f>SUMPRODUCT(Calc!$K$3:$K$22*(Calc!$G$3:$G$22&gt;=B265))</f>
        <v/>
      </c>
      <c r="F265">
        <f>AND(k_n&gt;=5,B265&gt;A265+1E-9,C265&gt;=2,D265&gt;=1,E265&gt;=2)</f>
        <v/>
      </c>
      <c r="G265">
        <f>SUMPRODUCT(Calc!$K$3:$K$22*(Calc!$G$3:$G$22&gt;A265)*(Calc!$G$3:$G$22-A265))</f>
        <v/>
      </c>
      <c r="H265">
        <f>SUMPRODUCT(Calc!$K$3:$K$22*(Calc!$G$3:$G$22&gt;B265)*(Calc!$G$3:$G$22-B265))</f>
        <v/>
      </c>
      <c r="I265">
        <f>SUMPRODUCT(Calc!$K$3:$K$22*(Calc!$G$3:$G$22&gt;A265)*(Calc!$G$3:$G$22-A265)^2)</f>
        <v/>
      </c>
      <c r="J265">
        <f>SUMPRODUCT(Calc!$K$3:$K$22*(Calc!$G$3:$G$22&gt;B265)*(Calc!$G$3:$G$22-B265)^2)</f>
        <v/>
      </c>
      <c r="K265">
        <f>SUMPRODUCT(Calc!$K$3:$K$22*(Calc!$G$3:$G$22&gt;A265)*(Calc!$G$3:$G$22-A265)*(Calc!$G$3:$G$22&gt;B265)*(Calc!$G$3:$G$22-B265))</f>
        <v/>
      </c>
      <c r="L265">
        <f>SUMPRODUCT(Calc!$K$3:$K$22*(Calc!$G$3:$G$22&gt;A265)*(Calc!$G$3:$G$22-A265)*Calc!$G$3:$G$22)</f>
        <v/>
      </c>
      <c r="M265">
        <f>SUMPRODUCT(Calc!$K$3:$K$22*(Calc!$G$3:$G$22&gt;B265)*(Calc!$G$3:$G$22-B265)*Calc!$G$3:$G$22)</f>
        <v/>
      </c>
      <c r="N265">
        <f>SUMPRODUCT(Calc!$K$3:$K$22*(Calc!$G$3:$G$22&gt;A265)*(Calc!$G$3:$G$22-A265)*Calc!$I$3:$I$22)</f>
        <v/>
      </c>
      <c r="O265">
        <f>SUMPRODUCT(Calc!$K$3:$K$22*(Calc!$G$3:$G$22&gt;B265)*(Calc!$G$3:$G$22-B265)*Calc!$I$3:$I$22)</f>
        <v/>
      </c>
      <c r="P265">
        <f>I265-G265^2/k_n</f>
        <v/>
      </c>
      <c r="Q265">
        <f>J265-H265^2/k_n</f>
        <v/>
      </c>
      <c r="R265">
        <f>K265-G265*H265/k_n</f>
        <v/>
      </c>
      <c r="S265">
        <f>L265-LTP3!$D$3*G265/k_n</f>
        <v/>
      </c>
      <c r="T265">
        <f>M265-LTP3!$D$3*H265/k_n</f>
        <v/>
      </c>
      <c r="U265">
        <f>N265-G265*LTP3!$D$4/k_n</f>
        <v/>
      </c>
      <c r="V265">
        <f>O265-H265*LTP3!$D$4/k_n</f>
        <v/>
      </c>
      <c r="W265">
        <f>((LTP3!$D$5)*((P265)*(Q265)-(R265)*(R265))-(S265)*((S265)*(Q265)-(R265)*(T265))+(T265)*((S265)*(R265)-(P265)*(T265)))</f>
        <v/>
      </c>
      <c r="X265">
        <f>IF(ABS(W265)&gt;1E-12,((LTP3!$D$6)*((P265)*(Q265)-(R265)*(R265))-(S265)*((U265)*(Q265)-(R265)*(V265))+(T265)*((U265)*(R265)-(P265)*(V265)))/W265,0)</f>
        <v/>
      </c>
      <c r="Y265">
        <f>IF(ABS(W265)&gt;1E-12,((LTP3!$D$5)*((U265)*(Q265)-(R265)*(V265))-(LTP3!$D$6)*((S265)*(Q265)-(R265)*(T265))+(T265)*((S265)*(V265)-(U265)*(T265)))/W265,0)</f>
        <v/>
      </c>
      <c r="Z265">
        <f>IF(ABS(W265)&gt;1E-12,((LTP3!$D$5)*((P265)*(V265)-(U265)*(R265))-(S265)*((S265)*(V265)-(U265)*(T265))+(LTP3!$D$6)*((S265)*(R265)-(P265)*(T265)))/W265,0)</f>
        <v/>
      </c>
      <c r="AA265">
        <f>LTP3!$D$7-X265*LTP3!$D$6-Y265*U265-Z265*V265</f>
        <v/>
      </c>
      <c r="AB265">
        <f>IF(AND(F265,ABS(W265)&gt;1E-12,Y265&gt;0,Z265&gt;0),AA265,1E+300)</f>
        <v/>
      </c>
    </row>
    <row r="266">
      <c r="A266">
        <f>$B$3+$B$5*4</f>
        <v/>
      </c>
      <c r="B266">
        <f>$B$3+$B$5*10</f>
        <v/>
      </c>
      <c r="C266">
        <f>SUMPRODUCT(Calc!$K$3:$K$22*(Calc!$G$3:$G$22&lt;=A266))</f>
        <v/>
      </c>
      <c r="D266">
        <f>SUMPRODUCT(Calc!$K$3:$K$22*(Calc!$G$3:$G$22&gt;A266)*(Calc!$G$3:$G$22&lt;B266))</f>
        <v/>
      </c>
      <c r="E266">
        <f>SUMPRODUCT(Calc!$K$3:$K$22*(Calc!$G$3:$G$22&gt;=B266))</f>
        <v/>
      </c>
      <c r="F266">
        <f>AND(k_n&gt;=5,B266&gt;A266+1E-9,C266&gt;=2,D266&gt;=1,E266&gt;=2)</f>
        <v/>
      </c>
      <c r="G266">
        <f>SUMPRODUCT(Calc!$K$3:$K$22*(Calc!$G$3:$G$22&gt;A266)*(Calc!$G$3:$G$22-A266))</f>
        <v/>
      </c>
      <c r="H266">
        <f>SUMPRODUCT(Calc!$K$3:$K$22*(Calc!$G$3:$G$22&gt;B266)*(Calc!$G$3:$G$22-B266))</f>
        <v/>
      </c>
      <c r="I266">
        <f>SUMPRODUCT(Calc!$K$3:$K$22*(Calc!$G$3:$G$22&gt;A266)*(Calc!$G$3:$G$22-A266)^2)</f>
        <v/>
      </c>
      <c r="J266">
        <f>SUMPRODUCT(Calc!$K$3:$K$22*(Calc!$G$3:$G$22&gt;B266)*(Calc!$G$3:$G$22-B266)^2)</f>
        <v/>
      </c>
      <c r="K266">
        <f>SUMPRODUCT(Calc!$K$3:$K$22*(Calc!$G$3:$G$22&gt;A266)*(Calc!$G$3:$G$22-A266)*(Calc!$G$3:$G$22&gt;B266)*(Calc!$G$3:$G$22-B266))</f>
        <v/>
      </c>
      <c r="L266">
        <f>SUMPRODUCT(Calc!$K$3:$K$22*(Calc!$G$3:$G$22&gt;A266)*(Calc!$G$3:$G$22-A266)*Calc!$G$3:$G$22)</f>
        <v/>
      </c>
      <c r="M266">
        <f>SUMPRODUCT(Calc!$K$3:$K$22*(Calc!$G$3:$G$22&gt;B266)*(Calc!$G$3:$G$22-B266)*Calc!$G$3:$G$22)</f>
        <v/>
      </c>
      <c r="N266">
        <f>SUMPRODUCT(Calc!$K$3:$K$22*(Calc!$G$3:$G$22&gt;A266)*(Calc!$G$3:$G$22-A266)*Calc!$I$3:$I$22)</f>
        <v/>
      </c>
      <c r="O266">
        <f>SUMPRODUCT(Calc!$K$3:$K$22*(Calc!$G$3:$G$22&gt;B266)*(Calc!$G$3:$G$22-B266)*Calc!$I$3:$I$22)</f>
        <v/>
      </c>
      <c r="P266">
        <f>I266-G266^2/k_n</f>
        <v/>
      </c>
      <c r="Q266">
        <f>J266-H266^2/k_n</f>
        <v/>
      </c>
      <c r="R266">
        <f>K266-G266*H266/k_n</f>
        <v/>
      </c>
      <c r="S266">
        <f>L266-LTP3!$D$3*G266/k_n</f>
        <v/>
      </c>
      <c r="T266">
        <f>M266-LTP3!$D$3*H266/k_n</f>
        <v/>
      </c>
      <c r="U266">
        <f>N266-G266*LTP3!$D$4/k_n</f>
        <v/>
      </c>
      <c r="V266">
        <f>O266-H266*LTP3!$D$4/k_n</f>
        <v/>
      </c>
      <c r="W266">
        <f>((LTP3!$D$5)*((P266)*(Q266)-(R266)*(R266))-(S266)*((S266)*(Q266)-(R266)*(T266))+(T266)*((S266)*(R266)-(P266)*(T266)))</f>
        <v/>
      </c>
      <c r="X266">
        <f>IF(ABS(W266)&gt;1E-12,((LTP3!$D$6)*((P266)*(Q266)-(R266)*(R266))-(S266)*((U266)*(Q266)-(R266)*(V266))+(T266)*((U266)*(R266)-(P266)*(V266)))/W266,0)</f>
        <v/>
      </c>
      <c r="Y266">
        <f>IF(ABS(W266)&gt;1E-12,((LTP3!$D$5)*((U266)*(Q266)-(R266)*(V266))-(LTP3!$D$6)*((S266)*(Q266)-(R266)*(T266))+(T266)*((S266)*(V266)-(U266)*(T266)))/W266,0)</f>
        <v/>
      </c>
      <c r="Z266">
        <f>IF(ABS(W266)&gt;1E-12,((LTP3!$D$5)*((P266)*(V266)-(U266)*(R266))-(S266)*((S266)*(V266)-(U266)*(T266))+(LTP3!$D$6)*((S266)*(R266)-(P266)*(T266)))/W266,0)</f>
        <v/>
      </c>
      <c r="AA266">
        <f>LTP3!$D$7-X266*LTP3!$D$6-Y266*U266-Z266*V266</f>
        <v/>
      </c>
      <c r="AB266">
        <f>IF(AND(F266,ABS(W266)&gt;1E-12,Y266&gt;0,Z266&gt;0),AA266,1E+300)</f>
        <v/>
      </c>
    </row>
    <row r="267">
      <c r="A267">
        <f>$B$3+$B$5*4</f>
        <v/>
      </c>
      <c r="B267">
        <f>$B$3+$B$5*11</f>
        <v/>
      </c>
      <c r="C267">
        <f>SUMPRODUCT(Calc!$K$3:$K$22*(Calc!$G$3:$G$22&lt;=A267))</f>
        <v/>
      </c>
      <c r="D267">
        <f>SUMPRODUCT(Calc!$K$3:$K$22*(Calc!$G$3:$G$22&gt;A267)*(Calc!$G$3:$G$22&lt;B267))</f>
        <v/>
      </c>
      <c r="E267">
        <f>SUMPRODUCT(Calc!$K$3:$K$22*(Calc!$G$3:$G$22&gt;=B267))</f>
        <v/>
      </c>
      <c r="F267">
        <f>AND(k_n&gt;=5,B267&gt;A267+1E-9,C267&gt;=2,D267&gt;=1,E267&gt;=2)</f>
        <v/>
      </c>
      <c r="G267">
        <f>SUMPRODUCT(Calc!$K$3:$K$22*(Calc!$G$3:$G$22&gt;A267)*(Calc!$G$3:$G$22-A267))</f>
        <v/>
      </c>
      <c r="H267">
        <f>SUMPRODUCT(Calc!$K$3:$K$22*(Calc!$G$3:$G$22&gt;B267)*(Calc!$G$3:$G$22-B267))</f>
        <v/>
      </c>
      <c r="I267">
        <f>SUMPRODUCT(Calc!$K$3:$K$22*(Calc!$G$3:$G$22&gt;A267)*(Calc!$G$3:$G$22-A267)^2)</f>
        <v/>
      </c>
      <c r="J267">
        <f>SUMPRODUCT(Calc!$K$3:$K$22*(Calc!$G$3:$G$22&gt;B267)*(Calc!$G$3:$G$22-B267)^2)</f>
        <v/>
      </c>
      <c r="K267">
        <f>SUMPRODUCT(Calc!$K$3:$K$22*(Calc!$G$3:$G$22&gt;A267)*(Calc!$G$3:$G$22-A267)*(Calc!$G$3:$G$22&gt;B267)*(Calc!$G$3:$G$22-B267))</f>
        <v/>
      </c>
      <c r="L267">
        <f>SUMPRODUCT(Calc!$K$3:$K$22*(Calc!$G$3:$G$22&gt;A267)*(Calc!$G$3:$G$22-A267)*Calc!$G$3:$G$22)</f>
        <v/>
      </c>
      <c r="M267">
        <f>SUMPRODUCT(Calc!$K$3:$K$22*(Calc!$G$3:$G$22&gt;B267)*(Calc!$G$3:$G$22-B267)*Calc!$G$3:$G$22)</f>
        <v/>
      </c>
      <c r="N267">
        <f>SUMPRODUCT(Calc!$K$3:$K$22*(Calc!$G$3:$G$22&gt;A267)*(Calc!$G$3:$G$22-A267)*Calc!$I$3:$I$22)</f>
        <v/>
      </c>
      <c r="O267">
        <f>SUMPRODUCT(Calc!$K$3:$K$22*(Calc!$G$3:$G$22&gt;B267)*(Calc!$G$3:$G$22-B267)*Calc!$I$3:$I$22)</f>
        <v/>
      </c>
      <c r="P267">
        <f>I267-G267^2/k_n</f>
        <v/>
      </c>
      <c r="Q267">
        <f>J267-H267^2/k_n</f>
        <v/>
      </c>
      <c r="R267">
        <f>K267-G267*H267/k_n</f>
        <v/>
      </c>
      <c r="S267">
        <f>L267-LTP3!$D$3*G267/k_n</f>
        <v/>
      </c>
      <c r="T267">
        <f>M267-LTP3!$D$3*H267/k_n</f>
        <v/>
      </c>
      <c r="U267">
        <f>N267-G267*LTP3!$D$4/k_n</f>
        <v/>
      </c>
      <c r="V267">
        <f>O267-H267*LTP3!$D$4/k_n</f>
        <v/>
      </c>
      <c r="W267">
        <f>((LTP3!$D$5)*((P267)*(Q267)-(R267)*(R267))-(S267)*((S267)*(Q267)-(R267)*(T267))+(T267)*((S267)*(R267)-(P267)*(T267)))</f>
        <v/>
      </c>
      <c r="X267">
        <f>IF(ABS(W267)&gt;1E-12,((LTP3!$D$6)*((P267)*(Q267)-(R267)*(R267))-(S267)*((U267)*(Q267)-(R267)*(V267))+(T267)*((U267)*(R267)-(P267)*(V267)))/W267,0)</f>
        <v/>
      </c>
      <c r="Y267">
        <f>IF(ABS(W267)&gt;1E-12,((LTP3!$D$5)*((U267)*(Q267)-(R267)*(V267))-(LTP3!$D$6)*((S267)*(Q267)-(R267)*(T267))+(T267)*((S267)*(V267)-(U267)*(T267)))/W267,0)</f>
        <v/>
      </c>
      <c r="Z267">
        <f>IF(ABS(W267)&gt;1E-12,((LTP3!$D$5)*((P267)*(V267)-(U267)*(R267))-(S267)*((S267)*(V267)-(U267)*(T267))+(LTP3!$D$6)*((S267)*(R267)-(P267)*(T267)))/W267,0)</f>
        <v/>
      </c>
      <c r="AA267">
        <f>LTP3!$D$7-X267*LTP3!$D$6-Y267*U267-Z267*V267</f>
        <v/>
      </c>
      <c r="AB267">
        <f>IF(AND(F267,ABS(W267)&gt;1E-12,Y267&gt;0,Z267&gt;0),AA267,1E+300)</f>
        <v/>
      </c>
    </row>
    <row r="268">
      <c r="A268">
        <f>$B$3+$B$5*4</f>
        <v/>
      </c>
      <c r="B268">
        <f>$B$3+$B$5*12</f>
        <v/>
      </c>
      <c r="C268">
        <f>SUMPRODUCT(Calc!$K$3:$K$22*(Calc!$G$3:$G$22&lt;=A268))</f>
        <v/>
      </c>
      <c r="D268">
        <f>SUMPRODUCT(Calc!$K$3:$K$22*(Calc!$G$3:$G$22&gt;A268)*(Calc!$G$3:$G$22&lt;B268))</f>
        <v/>
      </c>
      <c r="E268">
        <f>SUMPRODUCT(Calc!$K$3:$K$22*(Calc!$G$3:$G$22&gt;=B268))</f>
        <v/>
      </c>
      <c r="F268">
        <f>AND(k_n&gt;=5,B268&gt;A268+1E-9,C268&gt;=2,D268&gt;=1,E268&gt;=2)</f>
        <v/>
      </c>
      <c r="G268">
        <f>SUMPRODUCT(Calc!$K$3:$K$22*(Calc!$G$3:$G$22&gt;A268)*(Calc!$G$3:$G$22-A268))</f>
        <v/>
      </c>
      <c r="H268">
        <f>SUMPRODUCT(Calc!$K$3:$K$22*(Calc!$G$3:$G$22&gt;B268)*(Calc!$G$3:$G$22-B268))</f>
        <v/>
      </c>
      <c r="I268">
        <f>SUMPRODUCT(Calc!$K$3:$K$22*(Calc!$G$3:$G$22&gt;A268)*(Calc!$G$3:$G$22-A268)^2)</f>
        <v/>
      </c>
      <c r="J268">
        <f>SUMPRODUCT(Calc!$K$3:$K$22*(Calc!$G$3:$G$22&gt;B268)*(Calc!$G$3:$G$22-B268)^2)</f>
        <v/>
      </c>
      <c r="K268">
        <f>SUMPRODUCT(Calc!$K$3:$K$22*(Calc!$G$3:$G$22&gt;A268)*(Calc!$G$3:$G$22-A268)*(Calc!$G$3:$G$22&gt;B268)*(Calc!$G$3:$G$22-B268))</f>
        <v/>
      </c>
      <c r="L268">
        <f>SUMPRODUCT(Calc!$K$3:$K$22*(Calc!$G$3:$G$22&gt;A268)*(Calc!$G$3:$G$22-A268)*Calc!$G$3:$G$22)</f>
        <v/>
      </c>
      <c r="M268">
        <f>SUMPRODUCT(Calc!$K$3:$K$22*(Calc!$G$3:$G$22&gt;B268)*(Calc!$G$3:$G$22-B268)*Calc!$G$3:$G$22)</f>
        <v/>
      </c>
      <c r="N268">
        <f>SUMPRODUCT(Calc!$K$3:$K$22*(Calc!$G$3:$G$22&gt;A268)*(Calc!$G$3:$G$22-A268)*Calc!$I$3:$I$22)</f>
        <v/>
      </c>
      <c r="O268">
        <f>SUMPRODUCT(Calc!$K$3:$K$22*(Calc!$G$3:$G$22&gt;B268)*(Calc!$G$3:$G$22-B268)*Calc!$I$3:$I$22)</f>
        <v/>
      </c>
      <c r="P268">
        <f>I268-G268^2/k_n</f>
        <v/>
      </c>
      <c r="Q268">
        <f>J268-H268^2/k_n</f>
        <v/>
      </c>
      <c r="R268">
        <f>K268-G268*H268/k_n</f>
        <v/>
      </c>
      <c r="S268">
        <f>L268-LTP3!$D$3*G268/k_n</f>
        <v/>
      </c>
      <c r="T268">
        <f>M268-LTP3!$D$3*H268/k_n</f>
        <v/>
      </c>
      <c r="U268">
        <f>N268-G268*LTP3!$D$4/k_n</f>
        <v/>
      </c>
      <c r="V268">
        <f>O268-H268*LTP3!$D$4/k_n</f>
        <v/>
      </c>
      <c r="W268">
        <f>((LTP3!$D$5)*((P268)*(Q268)-(R268)*(R268))-(S268)*((S268)*(Q268)-(R268)*(T268))+(T268)*((S268)*(R268)-(P268)*(T268)))</f>
        <v/>
      </c>
      <c r="X268">
        <f>IF(ABS(W268)&gt;1E-12,((LTP3!$D$6)*((P268)*(Q268)-(R268)*(R268))-(S268)*((U268)*(Q268)-(R268)*(V268))+(T268)*((U268)*(R268)-(P268)*(V268)))/W268,0)</f>
        <v/>
      </c>
      <c r="Y268">
        <f>IF(ABS(W268)&gt;1E-12,((LTP3!$D$5)*((U268)*(Q268)-(R268)*(V268))-(LTP3!$D$6)*((S268)*(Q268)-(R268)*(T268))+(T268)*((S268)*(V268)-(U268)*(T268)))/W268,0)</f>
        <v/>
      </c>
      <c r="Z268">
        <f>IF(ABS(W268)&gt;1E-12,((LTP3!$D$5)*((P268)*(V268)-(U268)*(R268))-(S268)*((S268)*(V268)-(U268)*(T268))+(LTP3!$D$6)*((S268)*(R268)-(P268)*(T268)))/W268,0)</f>
        <v/>
      </c>
      <c r="AA268">
        <f>LTP3!$D$7-X268*LTP3!$D$6-Y268*U268-Z268*V268</f>
        <v/>
      </c>
      <c r="AB268">
        <f>IF(AND(F268,ABS(W268)&gt;1E-12,Y268&gt;0,Z268&gt;0),AA268,1E+300)</f>
        <v/>
      </c>
    </row>
    <row r="269">
      <c r="A269">
        <f>$B$3+$B$5*4</f>
        <v/>
      </c>
      <c r="B269">
        <f>$B$3+$B$5*13</f>
        <v/>
      </c>
      <c r="C269">
        <f>SUMPRODUCT(Calc!$K$3:$K$22*(Calc!$G$3:$G$22&lt;=A269))</f>
        <v/>
      </c>
      <c r="D269">
        <f>SUMPRODUCT(Calc!$K$3:$K$22*(Calc!$G$3:$G$22&gt;A269)*(Calc!$G$3:$G$22&lt;B269))</f>
        <v/>
      </c>
      <c r="E269">
        <f>SUMPRODUCT(Calc!$K$3:$K$22*(Calc!$G$3:$G$22&gt;=B269))</f>
        <v/>
      </c>
      <c r="F269">
        <f>AND(k_n&gt;=5,B269&gt;A269+1E-9,C269&gt;=2,D269&gt;=1,E269&gt;=2)</f>
        <v/>
      </c>
      <c r="G269">
        <f>SUMPRODUCT(Calc!$K$3:$K$22*(Calc!$G$3:$G$22&gt;A269)*(Calc!$G$3:$G$22-A269))</f>
        <v/>
      </c>
      <c r="H269">
        <f>SUMPRODUCT(Calc!$K$3:$K$22*(Calc!$G$3:$G$22&gt;B269)*(Calc!$G$3:$G$22-B269))</f>
        <v/>
      </c>
      <c r="I269">
        <f>SUMPRODUCT(Calc!$K$3:$K$22*(Calc!$G$3:$G$22&gt;A269)*(Calc!$G$3:$G$22-A269)^2)</f>
        <v/>
      </c>
      <c r="J269">
        <f>SUMPRODUCT(Calc!$K$3:$K$22*(Calc!$G$3:$G$22&gt;B269)*(Calc!$G$3:$G$22-B269)^2)</f>
        <v/>
      </c>
      <c r="K269">
        <f>SUMPRODUCT(Calc!$K$3:$K$22*(Calc!$G$3:$G$22&gt;A269)*(Calc!$G$3:$G$22-A269)*(Calc!$G$3:$G$22&gt;B269)*(Calc!$G$3:$G$22-B269))</f>
        <v/>
      </c>
      <c r="L269">
        <f>SUMPRODUCT(Calc!$K$3:$K$22*(Calc!$G$3:$G$22&gt;A269)*(Calc!$G$3:$G$22-A269)*Calc!$G$3:$G$22)</f>
        <v/>
      </c>
      <c r="M269">
        <f>SUMPRODUCT(Calc!$K$3:$K$22*(Calc!$G$3:$G$22&gt;B269)*(Calc!$G$3:$G$22-B269)*Calc!$G$3:$G$22)</f>
        <v/>
      </c>
      <c r="N269">
        <f>SUMPRODUCT(Calc!$K$3:$K$22*(Calc!$G$3:$G$22&gt;A269)*(Calc!$G$3:$G$22-A269)*Calc!$I$3:$I$22)</f>
        <v/>
      </c>
      <c r="O269">
        <f>SUMPRODUCT(Calc!$K$3:$K$22*(Calc!$G$3:$G$22&gt;B269)*(Calc!$G$3:$G$22-B269)*Calc!$I$3:$I$22)</f>
        <v/>
      </c>
      <c r="P269">
        <f>I269-G269^2/k_n</f>
        <v/>
      </c>
      <c r="Q269">
        <f>J269-H269^2/k_n</f>
        <v/>
      </c>
      <c r="R269">
        <f>K269-G269*H269/k_n</f>
        <v/>
      </c>
      <c r="S269">
        <f>L269-LTP3!$D$3*G269/k_n</f>
        <v/>
      </c>
      <c r="T269">
        <f>M269-LTP3!$D$3*H269/k_n</f>
        <v/>
      </c>
      <c r="U269">
        <f>N269-G269*LTP3!$D$4/k_n</f>
        <v/>
      </c>
      <c r="V269">
        <f>O269-H269*LTP3!$D$4/k_n</f>
        <v/>
      </c>
      <c r="W269">
        <f>((LTP3!$D$5)*((P269)*(Q269)-(R269)*(R269))-(S269)*((S269)*(Q269)-(R269)*(T269))+(T269)*((S269)*(R269)-(P269)*(T269)))</f>
        <v/>
      </c>
      <c r="X269">
        <f>IF(ABS(W269)&gt;1E-12,((LTP3!$D$6)*((P269)*(Q269)-(R269)*(R269))-(S269)*((U269)*(Q269)-(R269)*(V269))+(T269)*((U269)*(R269)-(P269)*(V269)))/W269,0)</f>
        <v/>
      </c>
      <c r="Y269">
        <f>IF(ABS(W269)&gt;1E-12,((LTP3!$D$5)*((U269)*(Q269)-(R269)*(V269))-(LTP3!$D$6)*((S269)*(Q269)-(R269)*(T269))+(T269)*((S269)*(V269)-(U269)*(T269)))/W269,0)</f>
        <v/>
      </c>
      <c r="Z269">
        <f>IF(ABS(W269)&gt;1E-12,((LTP3!$D$5)*((P269)*(V269)-(U269)*(R269))-(S269)*((S269)*(V269)-(U269)*(T269))+(LTP3!$D$6)*((S269)*(R269)-(P269)*(T269)))/W269,0)</f>
        <v/>
      </c>
      <c r="AA269">
        <f>LTP3!$D$7-X269*LTP3!$D$6-Y269*U269-Z269*V269</f>
        <v/>
      </c>
      <c r="AB269">
        <f>IF(AND(F269,ABS(W269)&gt;1E-12,Y269&gt;0,Z269&gt;0),AA269,1E+300)</f>
        <v/>
      </c>
    </row>
    <row r="270">
      <c r="A270">
        <f>$B$3+$B$5*4</f>
        <v/>
      </c>
      <c r="B270">
        <f>$B$3+$B$5*14</f>
        <v/>
      </c>
      <c r="C270">
        <f>SUMPRODUCT(Calc!$K$3:$K$22*(Calc!$G$3:$G$22&lt;=A270))</f>
        <v/>
      </c>
      <c r="D270">
        <f>SUMPRODUCT(Calc!$K$3:$K$22*(Calc!$G$3:$G$22&gt;A270)*(Calc!$G$3:$G$22&lt;B270))</f>
        <v/>
      </c>
      <c r="E270">
        <f>SUMPRODUCT(Calc!$K$3:$K$22*(Calc!$G$3:$G$22&gt;=B270))</f>
        <v/>
      </c>
      <c r="F270">
        <f>AND(k_n&gt;=5,B270&gt;A270+1E-9,C270&gt;=2,D270&gt;=1,E270&gt;=2)</f>
        <v/>
      </c>
      <c r="G270">
        <f>SUMPRODUCT(Calc!$K$3:$K$22*(Calc!$G$3:$G$22&gt;A270)*(Calc!$G$3:$G$22-A270))</f>
        <v/>
      </c>
      <c r="H270">
        <f>SUMPRODUCT(Calc!$K$3:$K$22*(Calc!$G$3:$G$22&gt;B270)*(Calc!$G$3:$G$22-B270))</f>
        <v/>
      </c>
      <c r="I270">
        <f>SUMPRODUCT(Calc!$K$3:$K$22*(Calc!$G$3:$G$22&gt;A270)*(Calc!$G$3:$G$22-A270)^2)</f>
        <v/>
      </c>
      <c r="J270">
        <f>SUMPRODUCT(Calc!$K$3:$K$22*(Calc!$G$3:$G$22&gt;B270)*(Calc!$G$3:$G$22-B270)^2)</f>
        <v/>
      </c>
      <c r="K270">
        <f>SUMPRODUCT(Calc!$K$3:$K$22*(Calc!$G$3:$G$22&gt;A270)*(Calc!$G$3:$G$22-A270)*(Calc!$G$3:$G$22&gt;B270)*(Calc!$G$3:$G$22-B270))</f>
        <v/>
      </c>
      <c r="L270">
        <f>SUMPRODUCT(Calc!$K$3:$K$22*(Calc!$G$3:$G$22&gt;A270)*(Calc!$G$3:$G$22-A270)*Calc!$G$3:$G$22)</f>
        <v/>
      </c>
      <c r="M270">
        <f>SUMPRODUCT(Calc!$K$3:$K$22*(Calc!$G$3:$G$22&gt;B270)*(Calc!$G$3:$G$22-B270)*Calc!$G$3:$G$22)</f>
        <v/>
      </c>
      <c r="N270">
        <f>SUMPRODUCT(Calc!$K$3:$K$22*(Calc!$G$3:$G$22&gt;A270)*(Calc!$G$3:$G$22-A270)*Calc!$I$3:$I$22)</f>
        <v/>
      </c>
      <c r="O270">
        <f>SUMPRODUCT(Calc!$K$3:$K$22*(Calc!$G$3:$G$22&gt;B270)*(Calc!$G$3:$G$22-B270)*Calc!$I$3:$I$22)</f>
        <v/>
      </c>
      <c r="P270">
        <f>I270-G270^2/k_n</f>
        <v/>
      </c>
      <c r="Q270">
        <f>J270-H270^2/k_n</f>
        <v/>
      </c>
      <c r="R270">
        <f>K270-G270*H270/k_n</f>
        <v/>
      </c>
      <c r="S270">
        <f>L270-LTP3!$D$3*G270/k_n</f>
        <v/>
      </c>
      <c r="T270">
        <f>M270-LTP3!$D$3*H270/k_n</f>
        <v/>
      </c>
      <c r="U270">
        <f>N270-G270*LTP3!$D$4/k_n</f>
        <v/>
      </c>
      <c r="V270">
        <f>O270-H270*LTP3!$D$4/k_n</f>
        <v/>
      </c>
      <c r="W270">
        <f>((LTP3!$D$5)*((P270)*(Q270)-(R270)*(R270))-(S270)*((S270)*(Q270)-(R270)*(T270))+(T270)*((S270)*(R270)-(P270)*(T270)))</f>
        <v/>
      </c>
      <c r="X270">
        <f>IF(ABS(W270)&gt;1E-12,((LTP3!$D$6)*((P270)*(Q270)-(R270)*(R270))-(S270)*((U270)*(Q270)-(R270)*(V270))+(T270)*((U270)*(R270)-(P270)*(V270)))/W270,0)</f>
        <v/>
      </c>
      <c r="Y270">
        <f>IF(ABS(W270)&gt;1E-12,((LTP3!$D$5)*((U270)*(Q270)-(R270)*(V270))-(LTP3!$D$6)*((S270)*(Q270)-(R270)*(T270))+(T270)*((S270)*(V270)-(U270)*(T270)))/W270,0)</f>
        <v/>
      </c>
      <c r="Z270">
        <f>IF(ABS(W270)&gt;1E-12,((LTP3!$D$5)*((P270)*(V270)-(U270)*(R270))-(S270)*((S270)*(V270)-(U270)*(T270))+(LTP3!$D$6)*((S270)*(R270)-(P270)*(T270)))/W270,0)</f>
        <v/>
      </c>
      <c r="AA270">
        <f>LTP3!$D$7-X270*LTP3!$D$6-Y270*U270-Z270*V270</f>
        <v/>
      </c>
      <c r="AB270">
        <f>IF(AND(F270,ABS(W270)&gt;1E-12,Y270&gt;0,Z270&gt;0),AA270,1E+300)</f>
        <v/>
      </c>
    </row>
    <row r="271">
      <c r="A271">
        <f>$B$3+$B$5*4</f>
        <v/>
      </c>
      <c r="B271">
        <f>$B$3+$B$5*15</f>
        <v/>
      </c>
      <c r="C271">
        <f>SUMPRODUCT(Calc!$K$3:$K$22*(Calc!$G$3:$G$22&lt;=A271))</f>
        <v/>
      </c>
      <c r="D271">
        <f>SUMPRODUCT(Calc!$K$3:$K$22*(Calc!$G$3:$G$22&gt;A271)*(Calc!$G$3:$G$22&lt;B271))</f>
        <v/>
      </c>
      <c r="E271">
        <f>SUMPRODUCT(Calc!$K$3:$K$22*(Calc!$G$3:$G$22&gt;=B271))</f>
        <v/>
      </c>
      <c r="F271">
        <f>AND(k_n&gt;=5,B271&gt;A271+1E-9,C271&gt;=2,D271&gt;=1,E271&gt;=2)</f>
        <v/>
      </c>
      <c r="G271">
        <f>SUMPRODUCT(Calc!$K$3:$K$22*(Calc!$G$3:$G$22&gt;A271)*(Calc!$G$3:$G$22-A271))</f>
        <v/>
      </c>
      <c r="H271">
        <f>SUMPRODUCT(Calc!$K$3:$K$22*(Calc!$G$3:$G$22&gt;B271)*(Calc!$G$3:$G$22-B271))</f>
        <v/>
      </c>
      <c r="I271">
        <f>SUMPRODUCT(Calc!$K$3:$K$22*(Calc!$G$3:$G$22&gt;A271)*(Calc!$G$3:$G$22-A271)^2)</f>
        <v/>
      </c>
      <c r="J271">
        <f>SUMPRODUCT(Calc!$K$3:$K$22*(Calc!$G$3:$G$22&gt;B271)*(Calc!$G$3:$G$22-B271)^2)</f>
        <v/>
      </c>
      <c r="K271">
        <f>SUMPRODUCT(Calc!$K$3:$K$22*(Calc!$G$3:$G$22&gt;A271)*(Calc!$G$3:$G$22-A271)*(Calc!$G$3:$G$22&gt;B271)*(Calc!$G$3:$G$22-B271))</f>
        <v/>
      </c>
      <c r="L271">
        <f>SUMPRODUCT(Calc!$K$3:$K$22*(Calc!$G$3:$G$22&gt;A271)*(Calc!$G$3:$G$22-A271)*Calc!$G$3:$G$22)</f>
        <v/>
      </c>
      <c r="M271">
        <f>SUMPRODUCT(Calc!$K$3:$K$22*(Calc!$G$3:$G$22&gt;B271)*(Calc!$G$3:$G$22-B271)*Calc!$G$3:$G$22)</f>
        <v/>
      </c>
      <c r="N271">
        <f>SUMPRODUCT(Calc!$K$3:$K$22*(Calc!$G$3:$G$22&gt;A271)*(Calc!$G$3:$G$22-A271)*Calc!$I$3:$I$22)</f>
        <v/>
      </c>
      <c r="O271">
        <f>SUMPRODUCT(Calc!$K$3:$K$22*(Calc!$G$3:$G$22&gt;B271)*(Calc!$G$3:$G$22-B271)*Calc!$I$3:$I$22)</f>
        <v/>
      </c>
      <c r="P271">
        <f>I271-G271^2/k_n</f>
        <v/>
      </c>
      <c r="Q271">
        <f>J271-H271^2/k_n</f>
        <v/>
      </c>
      <c r="R271">
        <f>K271-G271*H271/k_n</f>
        <v/>
      </c>
      <c r="S271">
        <f>L271-LTP3!$D$3*G271/k_n</f>
        <v/>
      </c>
      <c r="T271">
        <f>M271-LTP3!$D$3*H271/k_n</f>
        <v/>
      </c>
      <c r="U271">
        <f>N271-G271*LTP3!$D$4/k_n</f>
        <v/>
      </c>
      <c r="V271">
        <f>O271-H271*LTP3!$D$4/k_n</f>
        <v/>
      </c>
      <c r="W271">
        <f>((LTP3!$D$5)*((P271)*(Q271)-(R271)*(R271))-(S271)*((S271)*(Q271)-(R271)*(T271))+(T271)*((S271)*(R271)-(P271)*(T271)))</f>
        <v/>
      </c>
      <c r="X271">
        <f>IF(ABS(W271)&gt;1E-12,((LTP3!$D$6)*((P271)*(Q271)-(R271)*(R271))-(S271)*((U271)*(Q271)-(R271)*(V271))+(T271)*((U271)*(R271)-(P271)*(V271)))/W271,0)</f>
        <v/>
      </c>
      <c r="Y271">
        <f>IF(ABS(W271)&gt;1E-12,((LTP3!$D$5)*((U271)*(Q271)-(R271)*(V271))-(LTP3!$D$6)*((S271)*(Q271)-(R271)*(T271))+(T271)*((S271)*(V271)-(U271)*(T271)))/W271,0)</f>
        <v/>
      </c>
      <c r="Z271">
        <f>IF(ABS(W271)&gt;1E-12,((LTP3!$D$5)*((P271)*(V271)-(U271)*(R271))-(S271)*((S271)*(V271)-(U271)*(T271))+(LTP3!$D$6)*((S271)*(R271)-(P271)*(T271)))/W271,0)</f>
        <v/>
      </c>
      <c r="AA271">
        <f>LTP3!$D$7-X271*LTP3!$D$6-Y271*U271-Z271*V271</f>
        <v/>
      </c>
      <c r="AB271">
        <f>IF(AND(F271,ABS(W271)&gt;1E-12,Y271&gt;0,Z271&gt;0),AA271,1E+300)</f>
        <v/>
      </c>
    </row>
    <row r="272">
      <c r="A272">
        <f>$B$3+$B$5*4</f>
        <v/>
      </c>
      <c r="B272">
        <f>$B$3+$B$5*16</f>
        <v/>
      </c>
      <c r="C272">
        <f>SUMPRODUCT(Calc!$K$3:$K$22*(Calc!$G$3:$G$22&lt;=A272))</f>
        <v/>
      </c>
      <c r="D272">
        <f>SUMPRODUCT(Calc!$K$3:$K$22*(Calc!$G$3:$G$22&gt;A272)*(Calc!$G$3:$G$22&lt;B272))</f>
        <v/>
      </c>
      <c r="E272">
        <f>SUMPRODUCT(Calc!$K$3:$K$22*(Calc!$G$3:$G$22&gt;=B272))</f>
        <v/>
      </c>
      <c r="F272">
        <f>AND(k_n&gt;=5,B272&gt;A272+1E-9,C272&gt;=2,D272&gt;=1,E272&gt;=2)</f>
        <v/>
      </c>
      <c r="G272">
        <f>SUMPRODUCT(Calc!$K$3:$K$22*(Calc!$G$3:$G$22&gt;A272)*(Calc!$G$3:$G$22-A272))</f>
        <v/>
      </c>
      <c r="H272">
        <f>SUMPRODUCT(Calc!$K$3:$K$22*(Calc!$G$3:$G$22&gt;B272)*(Calc!$G$3:$G$22-B272))</f>
        <v/>
      </c>
      <c r="I272">
        <f>SUMPRODUCT(Calc!$K$3:$K$22*(Calc!$G$3:$G$22&gt;A272)*(Calc!$G$3:$G$22-A272)^2)</f>
        <v/>
      </c>
      <c r="J272">
        <f>SUMPRODUCT(Calc!$K$3:$K$22*(Calc!$G$3:$G$22&gt;B272)*(Calc!$G$3:$G$22-B272)^2)</f>
        <v/>
      </c>
      <c r="K272">
        <f>SUMPRODUCT(Calc!$K$3:$K$22*(Calc!$G$3:$G$22&gt;A272)*(Calc!$G$3:$G$22-A272)*(Calc!$G$3:$G$22&gt;B272)*(Calc!$G$3:$G$22-B272))</f>
        <v/>
      </c>
      <c r="L272">
        <f>SUMPRODUCT(Calc!$K$3:$K$22*(Calc!$G$3:$G$22&gt;A272)*(Calc!$G$3:$G$22-A272)*Calc!$G$3:$G$22)</f>
        <v/>
      </c>
      <c r="M272">
        <f>SUMPRODUCT(Calc!$K$3:$K$22*(Calc!$G$3:$G$22&gt;B272)*(Calc!$G$3:$G$22-B272)*Calc!$G$3:$G$22)</f>
        <v/>
      </c>
      <c r="N272">
        <f>SUMPRODUCT(Calc!$K$3:$K$22*(Calc!$G$3:$G$22&gt;A272)*(Calc!$G$3:$G$22-A272)*Calc!$I$3:$I$22)</f>
        <v/>
      </c>
      <c r="O272">
        <f>SUMPRODUCT(Calc!$K$3:$K$22*(Calc!$G$3:$G$22&gt;B272)*(Calc!$G$3:$G$22-B272)*Calc!$I$3:$I$22)</f>
        <v/>
      </c>
      <c r="P272">
        <f>I272-G272^2/k_n</f>
        <v/>
      </c>
      <c r="Q272">
        <f>J272-H272^2/k_n</f>
        <v/>
      </c>
      <c r="R272">
        <f>K272-G272*H272/k_n</f>
        <v/>
      </c>
      <c r="S272">
        <f>L272-LTP3!$D$3*G272/k_n</f>
        <v/>
      </c>
      <c r="T272">
        <f>M272-LTP3!$D$3*H272/k_n</f>
        <v/>
      </c>
      <c r="U272">
        <f>N272-G272*LTP3!$D$4/k_n</f>
        <v/>
      </c>
      <c r="V272">
        <f>O272-H272*LTP3!$D$4/k_n</f>
        <v/>
      </c>
      <c r="W272">
        <f>((LTP3!$D$5)*((P272)*(Q272)-(R272)*(R272))-(S272)*((S272)*(Q272)-(R272)*(T272))+(T272)*((S272)*(R272)-(P272)*(T272)))</f>
        <v/>
      </c>
      <c r="X272">
        <f>IF(ABS(W272)&gt;1E-12,((LTP3!$D$6)*((P272)*(Q272)-(R272)*(R272))-(S272)*((U272)*(Q272)-(R272)*(V272))+(T272)*((U272)*(R272)-(P272)*(V272)))/W272,0)</f>
        <v/>
      </c>
      <c r="Y272">
        <f>IF(ABS(W272)&gt;1E-12,((LTP3!$D$5)*((U272)*(Q272)-(R272)*(V272))-(LTP3!$D$6)*((S272)*(Q272)-(R272)*(T272))+(T272)*((S272)*(V272)-(U272)*(T272)))/W272,0)</f>
        <v/>
      </c>
      <c r="Z272">
        <f>IF(ABS(W272)&gt;1E-12,((LTP3!$D$5)*((P272)*(V272)-(U272)*(R272))-(S272)*((S272)*(V272)-(U272)*(T272))+(LTP3!$D$6)*((S272)*(R272)-(P272)*(T272)))/W272,0)</f>
        <v/>
      </c>
      <c r="AA272">
        <f>LTP3!$D$7-X272*LTP3!$D$6-Y272*U272-Z272*V272</f>
        <v/>
      </c>
      <c r="AB272">
        <f>IF(AND(F272,ABS(W272)&gt;1E-12,Y272&gt;0,Z272&gt;0),AA272,1E+300)</f>
        <v/>
      </c>
    </row>
    <row r="273">
      <c r="A273">
        <f>$B$3+$B$5*4</f>
        <v/>
      </c>
      <c r="B273">
        <f>$B$3+$B$5*17</f>
        <v/>
      </c>
      <c r="C273">
        <f>SUMPRODUCT(Calc!$K$3:$K$22*(Calc!$G$3:$G$22&lt;=A273))</f>
        <v/>
      </c>
      <c r="D273">
        <f>SUMPRODUCT(Calc!$K$3:$K$22*(Calc!$G$3:$G$22&gt;A273)*(Calc!$G$3:$G$22&lt;B273))</f>
        <v/>
      </c>
      <c r="E273">
        <f>SUMPRODUCT(Calc!$K$3:$K$22*(Calc!$G$3:$G$22&gt;=B273))</f>
        <v/>
      </c>
      <c r="F273">
        <f>AND(k_n&gt;=5,B273&gt;A273+1E-9,C273&gt;=2,D273&gt;=1,E273&gt;=2)</f>
        <v/>
      </c>
      <c r="G273">
        <f>SUMPRODUCT(Calc!$K$3:$K$22*(Calc!$G$3:$G$22&gt;A273)*(Calc!$G$3:$G$22-A273))</f>
        <v/>
      </c>
      <c r="H273">
        <f>SUMPRODUCT(Calc!$K$3:$K$22*(Calc!$G$3:$G$22&gt;B273)*(Calc!$G$3:$G$22-B273))</f>
        <v/>
      </c>
      <c r="I273">
        <f>SUMPRODUCT(Calc!$K$3:$K$22*(Calc!$G$3:$G$22&gt;A273)*(Calc!$G$3:$G$22-A273)^2)</f>
        <v/>
      </c>
      <c r="J273">
        <f>SUMPRODUCT(Calc!$K$3:$K$22*(Calc!$G$3:$G$22&gt;B273)*(Calc!$G$3:$G$22-B273)^2)</f>
        <v/>
      </c>
      <c r="K273">
        <f>SUMPRODUCT(Calc!$K$3:$K$22*(Calc!$G$3:$G$22&gt;A273)*(Calc!$G$3:$G$22-A273)*(Calc!$G$3:$G$22&gt;B273)*(Calc!$G$3:$G$22-B273))</f>
        <v/>
      </c>
      <c r="L273">
        <f>SUMPRODUCT(Calc!$K$3:$K$22*(Calc!$G$3:$G$22&gt;A273)*(Calc!$G$3:$G$22-A273)*Calc!$G$3:$G$22)</f>
        <v/>
      </c>
      <c r="M273">
        <f>SUMPRODUCT(Calc!$K$3:$K$22*(Calc!$G$3:$G$22&gt;B273)*(Calc!$G$3:$G$22-B273)*Calc!$G$3:$G$22)</f>
        <v/>
      </c>
      <c r="N273">
        <f>SUMPRODUCT(Calc!$K$3:$K$22*(Calc!$G$3:$G$22&gt;A273)*(Calc!$G$3:$G$22-A273)*Calc!$I$3:$I$22)</f>
        <v/>
      </c>
      <c r="O273">
        <f>SUMPRODUCT(Calc!$K$3:$K$22*(Calc!$G$3:$G$22&gt;B273)*(Calc!$G$3:$G$22-B273)*Calc!$I$3:$I$22)</f>
        <v/>
      </c>
      <c r="P273">
        <f>I273-G273^2/k_n</f>
        <v/>
      </c>
      <c r="Q273">
        <f>J273-H273^2/k_n</f>
        <v/>
      </c>
      <c r="R273">
        <f>K273-G273*H273/k_n</f>
        <v/>
      </c>
      <c r="S273">
        <f>L273-LTP3!$D$3*G273/k_n</f>
        <v/>
      </c>
      <c r="T273">
        <f>M273-LTP3!$D$3*H273/k_n</f>
        <v/>
      </c>
      <c r="U273">
        <f>N273-G273*LTP3!$D$4/k_n</f>
        <v/>
      </c>
      <c r="V273">
        <f>O273-H273*LTP3!$D$4/k_n</f>
        <v/>
      </c>
      <c r="W273">
        <f>((LTP3!$D$5)*((P273)*(Q273)-(R273)*(R273))-(S273)*((S273)*(Q273)-(R273)*(T273))+(T273)*((S273)*(R273)-(P273)*(T273)))</f>
        <v/>
      </c>
      <c r="X273">
        <f>IF(ABS(W273)&gt;1E-12,((LTP3!$D$6)*((P273)*(Q273)-(R273)*(R273))-(S273)*((U273)*(Q273)-(R273)*(V273))+(T273)*((U273)*(R273)-(P273)*(V273)))/W273,0)</f>
        <v/>
      </c>
      <c r="Y273">
        <f>IF(ABS(W273)&gt;1E-12,((LTP3!$D$5)*((U273)*(Q273)-(R273)*(V273))-(LTP3!$D$6)*((S273)*(Q273)-(R273)*(T273))+(T273)*((S273)*(V273)-(U273)*(T273)))/W273,0)</f>
        <v/>
      </c>
      <c r="Z273">
        <f>IF(ABS(W273)&gt;1E-12,((LTP3!$D$5)*((P273)*(V273)-(U273)*(R273))-(S273)*((S273)*(V273)-(U273)*(T273))+(LTP3!$D$6)*((S273)*(R273)-(P273)*(T273)))/W273,0)</f>
        <v/>
      </c>
      <c r="AA273">
        <f>LTP3!$D$7-X273*LTP3!$D$6-Y273*U273-Z273*V273</f>
        <v/>
      </c>
      <c r="AB273">
        <f>IF(AND(F273,ABS(W273)&gt;1E-12,Y273&gt;0,Z273&gt;0),AA273,1E+300)</f>
        <v/>
      </c>
    </row>
    <row r="274">
      <c r="A274">
        <f>$B$3+$B$5*4</f>
        <v/>
      </c>
      <c r="B274">
        <f>$B$3+$B$5*18</f>
        <v/>
      </c>
      <c r="C274">
        <f>SUMPRODUCT(Calc!$K$3:$K$22*(Calc!$G$3:$G$22&lt;=A274))</f>
        <v/>
      </c>
      <c r="D274">
        <f>SUMPRODUCT(Calc!$K$3:$K$22*(Calc!$G$3:$G$22&gt;A274)*(Calc!$G$3:$G$22&lt;B274))</f>
        <v/>
      </c>
      <c r="E274">
        <f>SUMPRODUCT(Calc!$K$3:$K$22*(Calc!$G$3:$G$22&gt;=B274))</f>
        <v/>
      </c>
      <c r="F274">
        <f>AND(k_n&gt;=5,B274&gt;A274+1E-9,C274&gt;=2,D274&gt;=1,E274&gt;=2)</f>
        <v/>
      </c>
      <c r="G274">
        <f>SUMPRODUCT(Calc!$K$3:$K$22*(Calc!$G$3:$G$22&gt;A274)*(Calc!$G$3:$G$22-A274))</f>
        <v/>
      </c>
      <c r="H274">
        <f>SUMPRODUCT(Calc!$K$3:$K$22*(Calc!$G$3:$G$22&gt;B274)*(Calc!$G$3:$G$22-B274))</f>
        <v/>
      </c>
      <c r="I274">
        <f>SUMPRODUCT(Calc!$K$3:$K$22*(Calc!$G$3:$G$22&gt;A274)*(Calc!$G$3:$G$22-A274)^2)</f>
        <v/>
      </c>
      <c r="J274">
        <f>SUMPRODUCT(Calc!$K$3:$K$22*(Calc!$G$3:$G$22&gt;B274)*(Calc!$G$3:$G$22-B274)^2)</f>
        <v/>
      </c>
      <c r="K274">
        <f>SUMPRODUCT(Calc!$K$3:$K$22*(Calc!$G$3:$G$22&gt;A274)*(Calc!$G$3:$G$22-A274)*(Calc!$G$3:$G$22&gt;B274)*(Calc!$G$3:$G$22-B274))</f>
        <v/>
      </c>
      <c r="L274">
        <f>SUMPRODUCT(Calc!$K$3:$K$22*(Calc!$G$3:$G$22&gt;A274)*(Calc!$G$3:$G$22-A274)*Calc!$G$3:$G$22)</f>
        <v/>
      </c>
      <c r="M274">
        <f>SUMPRODUCT(Calc!$K$3:$K$22*(Calc!$G$3:$G$22&gt;B274)*(Calc!$G$3:$G$22-B274)*Calc!$G$3:$G$22)</f>
        <v/>
      </c>
      <c r="N274">
        <f>SUMPRODUCT(Calc!$K$3:$K$22*(Calc!$G$3:$G$22&gt;A274)*(Calc!$G$3:$G$22-A274)*Calc!$I$3:$I$22)</f>
        <v/>
      </c>
      <c r="O274">
        <f>SUMPRODUCT(Calc!$K$3:$K$22*(Calc!$G$3:$G$22&gt;B274)*(Calc!$G$3:$G$22-B274)*Calc!$I$3:$I$22)</f>
        <v/>
      </c>
      <c r="P274">
        <f>I274-G274^2/k_n</f>
        <v/>
      </c>
      <c r="Q274">
        <f>J274-H274^2/k_n</f>
        <v/>
      </c>
      <c r="R274">
        <f>K274-G274*H274/k_n</f>
        <v/>
      </c>
      <c r="S274">
        <f>L274-LTP3!$D$3*G274/k_n</f>
        <v/>
      </c>
      <c r="T274">
        <f>M274-LTP3!$D$3*H274/k_n</f>
        <v/>
      </c>
      <c r="U274">
        <f>N274-G274*LTP3!$D$4/k_n</f>
        <v/>
      </c>
      <c r="V274">
        <f>O274-H274*LTP3!$D$4/k_n</f>
        <v/>
      </c>
      <c r="W274">
        <f>((LTP3!$D$5)*((P274)*(Q274)-(R274)*(R274))-(S274)*((S274)*(Q274)-(R274)*(T274))+(T274)*((S274)*(R274)-(P274)*(T274)))</f>
        <v/>
      </c>
      <c r="X274">
        <f>IF(ABS(W274)&gt;1E-12,((LTP3!$D$6)*((P274)*(Q274)-(R274)*(R274))-(S274)*((U274)*(Q274)-(R274)*(V274))+(T274)*((U274)*(R274)-(P274)*(V274)))/W274,0)</f>
        <v/>
      </c>
      <c r="Y274">
        <f>IF(ABS(W274)&gt;1E-12,((LTP3!$D$5)*((U274)*(Q274)-(R274)*(V274))-(LTP3!$D$6)*((S274)*(Q274)-(R274)*(T274))+(T274)*((S274)*(V274)-(U274)*(T274)))/W274,0)</f>
        <v/>
      </c>
      <c r="Z274">
        <f>IF(ABS(W274)&gt;1E-12,((LTP3!$D$5)*((P274)*(V274)-(U274)*(R274))-(S274)*((S274)*(V274)-(U274)*(T274))+(LTP3!$D$6)*((S274)*(R274)-(P274)*(T274)))/W274,0)</f>
        <v/>
      </c>
      <c r="AA274">
        <f>LTP3!$D$7-X274*LTP3!$D$6-Y274*U274-Z274*V274</f>
        <v/>
      </c>
      <c r="AB274">
        <f>IF(AND(F274,ABS(W274)&gt;1E-12,Y274&gt;0,Z274&gt;0),AA274,1E+300)</f>
        <v/>
      </c>
    </row>
    <row r="275">
      <c r="A275">
        <f>$B$3+$B$5*4</f>
        <v/>
      </c>
      <c r="B275">
        <f>$B$3+$B$5*19</f>
        <v/>
      </c>
      <c r="C275">
        <f>SUMPRODUCT(Calc!$K$3:$K$22*(Calc!$G$3:$G$22&lt;=A275))</f>
        <v/>
      </c>
      <c r="D275">
        <f>SUMPRODUCT(Calc!$K$3:$K$22*(Calc!$G$3:$G$22&gt;A275)*(Calc!$G$3:$G$22&lt;B275))</f>
        <v/>
      </c>
      <c r="E275">
        <f>SUMPRODUCT(Calc!$K$3:$K$22*(Calc!$G$3:$G$22&gt;=B275))</f>
        <v/>
      </c>
      <c r="F275">
        <f>AND(k_n&gt;=5,B275&gt;A275+1E-9,C275&gt;=2,D275&gt;=1,E275&gt;=2)</f>
        <v/>
      </c>
      <c r="G275">
        <f>SUMPRODUCT(Calc!$K$3:$K$22*(Calc!$G$3:$G$22&gt;A275)*(Calc!$G$3:$G$22-A275))</f>
        <v/>
      </c>
      <c r="H275">
        <f>SUMPRODUCT(Calc!$K$3:$K$22*(Calc!$G$3:$G$22&gt;B275)*(Calc!$G$3:$G$22-B275))</f>
        <v/>
      </c>
      <c r="I275">
        <f>SUMPRODUCT(Calc!$K$3:$K$22*(Calc!$G$3:$G$22&gt;A275)*(Calc!$G$3:$G$22-A275)^2)</f>
        <v/>
      </c>
      <c r="J275">
        <f>SUMPRODUCT(Calc!$K$3:$K$22*(Calc!$G$3:$G$22&gt;B275)*(Calc!$G$3:$G$22-B275)^2)</f>
        <v/>
      </c>
      <c r="K275">
        <f>SUMPRODUCT(Calc!$K$3:$K$22*(Calc!$G$3:$G$22&gt;A275)*(Calc!$G$3:$G$22-A275)*(Calc!$G$3:$G$22&gt;B275)*(Calc!$G$3:$G$22-B275))</f>
        <v/>
      </c>
      <c r="L275">
        <f>SUMPRODUCT(Calc!$K$3:$K$22*(Calc!$G$3:$G$22&gt;A275)*(Calc!$G$3:$G$22-A275)*Calc!$G$3:$G$22)</f>
        <v/>
      </c>
      <c r="M275">
        <f>SUMPRODUCT(Calc!$K$3:$K$22*(Calc!$G$3:$G$22&gt;B275)*(Calc!$G$3:$G$22-B275)*Calc!$G$3:$G$22)</f>
        <v/>
      </c>
      <c r="N275">
        <f>SUMPRODUCT(Calc!$K$3:$K$22*(Calc!$G$3:$G$22&gt;A275)*(Calc!$G$3:$G$22-A275)*Calc!$I$3:$I$22)</f>
        <v/>
      </c>
      <c r="O275">
        <f>SUMPRODUCT(Calc!$K$3:$K$22*(Calc!$G$3:$G$22&gt;B275)*(Calc!$G$3:$G$22-B275)*Calc!$I$3:$I$22)</f>
        <v/>
      </c>
      <c r="P275">
        <f>I275-G275^2/k_n</f>
        <v/>
      </c>
      <c r="Q275">
        <f>J275-H275^2/k_n</f>
        <v/>
      </c>
      <c r="R275">
        <f>K275-G275*H275/k_n</f>
        <v/>
      </c>
      <c r="S275">
        <f>L275-LTP3!$D$3*G275/k_n</f>
        <v/>
      </c>
      <c r="T275">
        <f>M275-LTP3!$D$3*H275/k_n</f>
        <v/>
      </c>
      <c r="U275">
        <f>N275-G275*LTP3!$D$4/k_n</f>
        <v/>
      </c>
      <c r="V275">
        <f>O275-H275*LTP3!$D$4/k_n</f>
        <v/>
      </c>
      <c r="W275">
        <f>((LTP3!$D$5)*((P275)*(Q275)-(R275)*(R275))-(S275)*((S275)*(Q275)-(R275)*(T275))+(T275)*((S275)*(R275)-(P275)*(T275)))</f>
        <v/>
      </c>
      <c r="X275">
        <f>IF(ABS(W275)&gt;1E-12,((LTP3!$D$6)*((P275)*(Q275)-(R275)*(R275))-(S275)*((U275)*(Q275)-(R275)*(V275))+(T275)*((U275)*(R275)-(P275)*(V275)))/W275,0)</f>
        <v/>
      </c>
      <c r="Y275">
        <f>IF(ABS(W275)&gt;1E-12,((LTP3!$D$5)*((U275)*(Q275)-(R275)*(V275))-(LTP3!$D$6)*((S275)*(Q275)-(R275)*(T275))+(T275)*((S275)*(V275)-(U275)*(T275)))/W275,0)</f>
        <v/>
      </c>
      <c r="Z275">
        <f>IF(ABS(W275)&gt;1E-12,((LTP3!$D$5)*((P275)*(V275)-(U275)*(R275))-(S275)*((S275)*(V275)-(U275)*(T275))+(LTP3!$D$6)*((S275)*(R275)-(P275)*(T275)))/W275,0)</f>
        <v/>
      </c>
      <c r="AA275">
        <f>LTP3!$D$7-X275*LTP3!$D$6-Y275*U275-Z275*V275</f>
        <v/>
      </c>
      <c r="AB275">
        <f>IF(AND(F275,ABS(W275)&gt;1E-12,Y275&gt;0,Z275&gt;0),AA275,1E+300)</f>
        <v/>
      </c>
    </row>
    <row r="276">
      <c r="A276">
        <f>$B$3+$B$5*4</f>
        <v/>
      </c>
      <c r="B276">
        <f>$B$3+$B$5*20</f>
        <v/>
      </c>
      <c r="C276">
        <f>SUMPRODUCT(Calc!$K$3:$K$22*(Calc!$G$3:$G$22&lt;=A276))</f>
        <v/>
      </c>
      <c r="D276">
        <f>SUMPRODUCT(Calc!$K$3:$K$22*(Calc!$G$3:$G$22&gt;A276)*(Calc!$G$3:$G$22&lt;B276))</f>
        <v/>
      </c>
      <c r="E276">
        <f>SUMPRODUCT(Calc!$K$3:$K$22*(Calc!$G$3:$G$22&gt;=B276))</f>
        <v/>
      </c>
      <c r="F276">
        <f>AND(k_n&gt;=5,B276&gt;A276+1E-9,C276&gt;=2,D276&gt;=1,E276&gt;=2)</f>
        <v/>
      </c>
      <c r="G276">
        <f>SUMPRODUCT(Calc!$K$3:$K$22*(Calc!$G$3:$G$22&gt;A276)*(Calc!$G$3:$G$22-A276))</f>
        <v/>
      </c>
      <c r="H276">
        <f>SUMPRODUCT(Calc!$K$3:$K$22*(Calc!$G$3:$G$22&gt;B276)*(Calc!$G$3:$G$22-B276))</f>
        <v/>
      </c>
      <c r="I276">
        <f>SUMPRODUCT(Calc!$K$3:$K$22*(Calc!$G$3:$G$22&gt;A276)*(Calc!$G$3:$G$22-A276)^2)</f>
        <v/>
      </c>
      <c r="J276">
        <f>SUMPRODUCT(Calc!$K$3:$K$22*(Calc!$G$3:$G$22&gt;B276)*(Calc!$G$3:$G$22-B276)^2)</f>
        <v/>
      </c>
      <c r="K276">
        <f>SUMPRODUCT(Calc!$K$3:$K$22*(Calc!$G$3:$G$22&gt;A276)*(Calc!$G$3:$G$22-A276)*(Calc!$G$3:$G$22&gt;B276)*(Calc!$G$3:$G$22-B276))</f>
        <v/>
      </c>
      <c r="L276">
        <f>SUMPRODUCT(Calc!$K$3:$K$22*(Calc!$G$3:$G$22&gt;A276)*(Calc!$G$3:$G$22-A276)*Calc!$G$3:$G$22)</f>
        <v/>
      </c>
      <c r="M276">
        <f>SUMPRODUCT(Calc!$K$3:$K$22*(Calc!$G$3:$G$22&gt;B276)*(Calc!$G$3:$G$22-B276)*Calc!$G$3:$G$22)</f>
        <v/>
      </c>
      <c r="N276">
        <f>SUMPRODUCT(Calc!$K$3:$K$22*(Calc!$G$3:$G$22&gt;A276)*(Calc!$G$3:$G$22-A276)*Calc!$I$3:$I$22)</f>
        <v/>
      </c>
      <c r="O276">
        <f>SUMPRODUCT(Calc!$K$3:$K$22*(Calc!$G$3:$G$22&gt;B276)*(Calc!$G$3:$G$22-B276)*Calc!$I$3:$I$22)</f>
        <v/>
      </c>
      <c r="P276">
        <f>I276-G276^2/k_n</f>
        <v/>
      </c>
      <c r="Q276">
        <f>J276-H276^2/k_n</f>
        <v/>
      </c>
      <c r="R276">
        <f>K276-G276*H276/k_n</f>
        <v/>
      </c>
      <c r="S276">
        <f>L276-LTP3!$D$3*G276/k_n</f>
        <v/>
      </c>
      <c r="T276">
        <f>M276-LTP3!$D$3*H276/k_n</f>
        <v/>
      </c>
      <c r="U276">
        <f>N276-G276*LTP3!$D$4/k_n</f>
        <v/>
      </c>
      <c r="V276">
        <f>O276-H276*LTP3!$D$4/k_n</f>
        <v/>
      </c>
      <c r="W276">
        <f>((LTP3!$D$5)*((P276)*(Q276)-(R276)*(R276))-(S276)*((S276)*(Q276)-(R276)*(T276))+(T276)*((S276)*(R276)-(P276)*(T276)))</f>
        <v/>
      </c>
      <c r="X276">
        <f>IF(ABS(W276)&gt;1E-12,((LTP3!$D$6)*((P276)*(Q276)-(R276)*(R276))-(S276)*((U276)*(Q276)-(R276)*(V276))+(T276)*((U276)*(R276)-(P276)*(V276)))/W276,0)</f>
        <v/>
      </c>
      <c r="Y276">
        <f>IF(ABS(W276)&gt;1E-12,((LTP3!$D$5)*((U276)*(Q276)-(R276)*(V276))-(LTP3!$D$6)*((S276)*(Q276)-(R276)*(T276))+(T276)*((S276)*(V276)-(U276)*(T276)))/W276,0)</f>
        <v/>
      </c>
      <c r="Z276">
        <f>IF(ABS(W276)&gt;1E-12,((LTP3!$D$5)*((P276)*(V276)-(U276)*(R276))-(S276)*((S276)*(V276)-(U276)*(T276))+(LTP3!$D$6)*((S276)*(R276)-(P276)*(T276)))/W276,0)</f>
        <v/>
      </c>
      <c r="AA276">
        <f>LTP3!$D$7-X276*LTP3!$D$6-Y276*U276-Z276*V276</f>
        <v/>
      </c>
      <c r="AB276">
        <f>IF(AND(F276,ABS(W276)&gt;1E-12,Y276&gt;0,Z276&gt;0),AA276,1E+300)</f>
        <v/>
      </c>
    </row>
    <row r="277">
      <c r="A277">
        <f>$B$3+$B$5*4</f>
        <v/>
      </c>
      <c r="B277">
        <f>$B$3+$B$5*21</f>
        <v/>
      </c>
      <c r="C277">
        <f>SUMPRODUCT(Calc!$K$3:$K$22*(Calc!$G$3:$G$22&lt;=A277))</f>
        <v/>
      </c>
      <c r="D277">
        <f>SUMPRODUCT(Calc!$K$3:$K$22*(Calc!$G$3:$G$22&gt;A277)*(Calc!$G$3:$G$22&lt;B277))</f>
        <v/>
      </c>
      <c r="E277">
        <f>SUMPRODUCT(Calc!$K$3:$K$22*(Calc!$G$3:$G$22&gt;=B277))</f>
        <v/>
      </c>
      <c r="F277">
        <f>AND(k_n&gt;=5,B277&gt;A277+1E-9,C277&gt;=2,D277&gt;=1,E277&gt;=2)</f>
        <v/>
      </c>
      <c r="G277">
        <f>SUMPRODUCT(Calc!$K$3:$K$22*(Calc!$G$3:$G$22&gt;A277)*(Calc!$G$3:$G$22-A277))</f>
        <v/>
      </c>
      <c r="H277">
        <f>SUMPRODUCT(Calc!$K$3:$K$22*(Calc!$G$3:$G$22&gt;B277)*(Calc!$G$3:$G$22-B277))</f>
        <v/>
      </c>
      <c r="I277">
        <f>SUMPRODUCT(Calc!$K$3:$K$22*(Calc!$G$3:$G$22&gt;A277)*(Calc!$G$3:$G$22-A277)^2)</f>
        <v/>
      </c>
      <c r="J277">
        <f>SUMPRODUCT(Calc!$K$3:$K$22*(Calc!$G$3:$G$22&gt;B277)*(Calc!$G$3:$G$22-B277)^2)</f>
        <v/>
      </c>
      <c r="K277">
        <f>SUMPRODUCT(Calc!$K$3:$K$22*(Calc!$G$3:$G$22&gt;A277)*(Calc!$G$3:$G$22-A277)*(Calc!$G$3:$G$22&gt;B277)*(Calc!$G$3:$G$22-B277))</f>
        <v/>
      </c>
      <c r="L277">
        <f>SUMPRODUCT(Calc!$K$3:$K$22*(Calc!$G$3:$G$22&gt;A277)*(Calc!$G$3:$G$22-A277)*Calc!$G$3:$G$22)</f>
        <v/>
      </c>
      <c r="M277">
        <f>SUMPRODUCT(Calc!$K$3:$K$22*(Calc!$G$3:$G$22&gt;B277)*(Calc!$G$3:$G$22-B277)*Calc!$G$3:$G$22)</f>
        <v/>
      </c>
      <c r="N277">
        <f>SUMPRODUCT(Calc!$K$3:$K$22*(Calc!$G$3:$G$22&gt;A277)*(Calc!$G$3:$G$22-A277)*Calc!$I$3:$I$22)</f>
        <v/>
      </c>
      <c r="O277">
        <f>SUMPRODUCT(Calc!$K$3:$K$22*(Calc!$G$3:$G$22&gt;B277)*(Calc!$G$3:$G$22-B277)*Calc!$I$3:$I$22)</f>
        <v/>
      </c>
      <c r="P277">
        <f>I277-G277^2/k_n</f>
        <v/>
      </c>
      <c r="Q277">
        <f>J277-H277^2/k_n</f>
        <v/>
      </c>
      <c r="R277">
        <f>K277-G277*H277/k_n</f>
        <v/>
      </c>
      <c r="S277">
        <f>L277-LTP3!$D$3*G277/k_n</f>
        <v/>
      </c>
      <c r="T277">
        <f>M277-LTP3!$D$3*H277/k_n</f>
        <v/>
      </c>
      <c r="U277">
        <f>N277-G277*LTP3!$D$4/k_n</f>
        <v/>
      </c>
      <c r="V277">
        <f>O277-H277*LTP3!$D$4/k_n</f>
        <v/>
      </c>
      <c r="W277">
        <f>((LTP3!$D$5)*((P277)*(Q277)-(R277)*(R277))-(S277)*((S277)*(Q277)-(R277)*(T277))+(T277)*((S277)*(R277)-(P277)*(T277)))</f>
        <v/>
      </c>
      <c r="X277">
        <f>IF(ABS(W277)&gt;1E-12,((LTP3!$D$6)*((P277)*(Q277)-(R277)*(R277))-(S277)*((U277)*(Q277)-(R277)*(V277))+(T277)*((U277)*(R277)-(P277)*(V277)))/W277,0)</f>
        <v/>
      </c>
      <c r="Y277">
        <f>IF(ABS(W277)&gt;1E-12,((LTP3!$D$5)*((U277)*(Q277)-(R277)*(V277))-(LTP3!$D$6)*((S277)*(Q277)-(R277)*(T277))+(T277)*((S277)*(V277)-(U277)*(T277)))/W277,0)</f>
        <v/>
      </c>
      <c r="Z277">
        <f>IF(ABS(W277)&gt;1E-12,((LTP3!$D$5)*((P277)*(V277)-(U277)*(R277))-(S277)*((S277)*(V277)-(U277)*(T277))+(LTP3!$D$6)*((S277)*(R277)-(P277)*(T277)))/W277,0)</f>
        <v/>
      </c>
      <c r="AA277">
        <f>LTP3!$D$7-X277*LTP3!$D$6-Y277*U277-Z277*V277</f>
        <v/>
      </c>
      <c r="AB277">
        <f>IF(AND(F277,ABS(W277)&gt;1E-12,Y277&gt;0,Z277&gt;0),AA277,1E+300)</f>
        <v/>
      </c>
    </row>
    <row r="278">
      <c r="A278">
        <f>$B$3+$B$5*4</f>
        <v/>
      </c>
      <c r="B278">
        <f>$B$3+$B$5*22</f>
        <v/>
      </c>
      <c r="C278">
        <f>SUMPRODUCT(Calc!$K$3:$K$22*(Calc!$G$3:$G$22&lt;=A278))</f>
        <v/>
      </c>
      <c r="D278">
        <f>SUMPRODUCT(Calc!$K$3:$K$22*(Calc!$G$3:$G$22&gt;A278)*(Calc!$G$3:$G$22&lt;B278))</f>
        <v/>
      </c>
      <c r="E278">
        <f>SUMPRODUCT(Calc!$K$3:$K$22*(Calc!$G$3:$G$22&gt;=B278))</f>
        <v/>
      </c>
      <c r="F278">
        <f>AND(k_n&gt;=5,B278&gt;A278+1E-9,C278&gt;=2,D278&gt;=1,E278&gt;=2)</f>
        <v/>
      </c>
      <c r="G278">
        <f>SUMPRODUCT(Calc!$K$3:$K$22*(Calc!$G$3:$G$22&gt;A278)*(Calc!$G$3:$G$22-A278))</f>
        <v/>
      </c>
      <c r="H278">
        <f>SUMPRODUCT(Calc!$K$3:$K$22*(Calc!$G$3:$G$22&gt;B278)*(Calc!$G$3:$G$22-B278))</f>
        <v/>
      </c>
      <c r="I278">
        <f>SUMPRODUCT(Calc!$K$3:$K$22*(Calc!$G$3:$G$22&gt;A278)*(Calc!$G$3:$G$22-A278)^2)</f>
        <v/>
      </c>
      <c r="J278">
        <f>SUMPRODUCT(Calc!$K$3:$K$22*(Calc!$G$3:$G$22&gt;B278)*(Calc!$G$3:$G$22-B278)^2)</f>
        <v/>
      </c>
      <c r="K278">
        <f>SUMPRODUCT(Calc!$K$3:$K$22*(Calc!$G$3:$G$22&gt;A278)*(Calc!$G$3:$G$22-A278)*(Calc!$G$3:$G$22&gt;B278)*(Calc!$G$3:$G$22-B278))</f>
        <v/>
      </c>
      <c r="L278">
        <f>SUMPRODUCT(Calc!$K$3:$K$22*(Calc!$G$3:$G$22&gt;A278)*(Calc!$G$3:$G$22-A278)*Calc!$G$3:$G$22)</f>
        <v/>
      </c>
      <c r="M278">
        <f>SUMPRODUCT(Calc!$K$3:$K$22*(Calc!$G$3:$G$22&gt;B278)*(Calc!$G$3:$G$22-B278)*Calc!$G$3:$G$22)</f>
        <v/>
      </c>
      <c r="N278">
        <f>SUMPRODUCT(Calc!$K$3:$K$22*(Calc!$G$3:$G$22&gt;A278)*(Calc!$G$3:$G$22-A278)*Calc!$I$3:$I$22)</f>
        <v/>
      </c>
      <c r="O278">
        <f>SUMPRODUCT(Calc!$K$3:$K$22*(Calc!$G$3:$G$22&gt;B278)*(Calc!$G$3:$G$22-B278)*Calc!$I$3:$I$22)</f>
        <v/>
      </c>
      <c r="P278">
        <f>I278-G278^2/k_n</f>
        <v/>
      </c>
      <c r="Q278">
        <f>J278-H278^2/k_n</f>
        <v/>
      </c>
      <c r="R278">
        <f>K278-G278*H278/k_n</f>
        <v/>
      </c>
      <c r="S278">
        <f>L278-LTP3!$D$3*G278/k_n</f>
        <v/>
      </c>
      <c r="T278">
        <f>M278-LTP3!$D$3*H278/k_n</f>
        <v/>
      </c>
      <c r="U278">
        <f>N278-G278*LTP3!$D$4/k_n</f>
        <v/>
      </c>
      <c r="V278">
        <f>O278-H278*LTP3!$D$4/k_n</f>
        <v/>
      </c>
      <c r="W278">
        <f>((LTP3!$D$5)*((P278)*(Q278)-(R278)*(R278))-(S278)*((S278)*(Q278)-(R278)*(T278))+(T278)*((S278)*(R278)-(P278)*(T278)))</f>
        <v/>
      </c>
      <c r="X278">
        <f>IF(ABS(W278)&gt;1E-12,((LTP3!$D$6)*((P278)*(Q278)-(R278)*(R278))-(S278)*((U278)*(Q278)-(R278)*(V278))+(T278)*((U278)*(R278)-(P278)*(V278)))/W278,0)</f>
        <v/>
      </c>
      <c r="Y278">
        <f>IF(ABS(W278)&gt;1E-12,((LTP3!$D$5)*((U278)*(Q278)-(R278)*(V278))-(LTP3!$D$6)*((S278)*(Q278)-(R278)*(T278))+(T278)*((S278)*(V278)-(U278)*(T278)))/W278,0)</f>
        <v/>
      </c>
      <c r="Z278">
        <f>IF(ABS(W278)&gt;1E-12,((LTP3!$D$5)*((P278)*(V278)-(U278)*(R278))-(S278)*((S278)*(V278)-(U278)*(T278))+(LTP3!$D$6)*((S278)*(R278)-(P278)*(T278)))/W278,0)</f>
        <v/>
      </c>
      <c r="AA278">
        <f>LTP3!$D$7-X278*LTP3!$D$6-Y278*U278-Z278*V278</f>
        <v/>
      </c>
      <c r="AB278">
        <f>IF(AND(F278,ABS(W278)&gt;1E-12,Y278&gt;0,Z278&gt;0),AA278,1E+300)</f>
        <v/>
      </c>
    </row>
    <row r="279">
      <c r="A279">
        <f>$B$3+$B$5*4</f>
        <v/>
      </c>
      <c r="B279">
        <f>$B$3+$B$5*23</f>
        <v/>
      </c>
      <c r="C279">
        <f>SUMPRODUCT(Calc!$K$3:$K$22*(Calc!$G$3:$G$22&lt;=A279))</f>
        <v/>
      </c>
      <c r="D279">
        <f>SUMPRODUCT(Calc!$K$3:$K$22*(Calc!$G$3:$G$22&gt;A279)*(Calc!$G$3:$G$22&lt;B279))</f>
        <v/>
      </c>
      <c r="E279">
        <f>SUMPRODUCT(Calc!$K$3:$K$22*(Calc!$G$3:$G$22&gt;=B279))</f>
        <v/>
      </c>
      <c r="F279">
        <f>AND(k_n&gt;=5,B279&gt;A279+1E-9,C279&gt;=2,D279&gt;=1,E279&gt;=2)</f>
        <v/>
      </c>
      <c r="G279">
        <f>SUMPRODUCT(Calc!$K$3:$K$22*(Calc!$G$3:$G$22&gt;A279)*(Calc!$G$3:$G$22-A279))</f>
        <v/>
      </c>
      <c r="H279">
        <f>SUMPRODUCT(Calc!$K$3:$K$22*(Calc!$G$3:$G$22&gt;B279)*(Calc!$G$3:$G$22-B279))</f>
        <v/>
      </c>
      <c r="I279">
        <f>SUMPRODUCT(Calc!$K$3:$K$22*(Calc!$G$3:$G$22&gt;A279)*(Calc!$G$3:$G$22-A279)^2)</f>
        <v/>
      </c>
      <c r="J279">
        <f>SUMPRODUCT(Calc!$K$3:$K$22*(Calc!$G$3:$G$22&gt;B279)*(Calc!$G$3:$G$22-B279)^2)</f>
        <v/>
      </c>
      <c r="K279">
        <f>SUMPRODUCT(Calc!$K$3:$K$22*(Calc!$G$3:$G$22&gt;A279)*(Calc!$G$3:$G$22-A279)*(Calc!$G$3:$G$22&gt;B279)*(Calc!$G$3:$G$22-B279))</f>
        <v/>
      </c>
      <c r="L279">
        <f>SUMPRODUCT(Calc!$K$3:$K$22*(Calc!$G$3:$G$22&gt;A279)*(Calc!$G$3:$G$22-A279)*Calc!$G$3:$G$22)</f>
        <v/>
      </c>
      <c r="M279">
        <f>SUMPRODUCT(Calc!$K$3:$K$22*(Calc!$G$3:$G$22&gt;B279)*(Calc!$G$3:$G$22-B279)*Calc!$G$3:$G$22)</f>
        <v/>
      </c>
      <c r="N279">
        <f>SUMPRODUCT(Calc!$K$3:$K$22*(Calc!$G$3:$G$22&gt;A279)*(Calc!$G$3:$G$22-A279)*Calc!$I$3:$I$22)</f>
        <v/>
      </c>
      <c r="O279">
        <f>SUMPRODUCT(Calc!$K$3:$K$22*(Calc!$G$3:$G$22&gt;B279)*(Calc!$G$3:$G$22-B279)*Calc!$I$3:$I$22)</f>
        <v/>
      </c>
      <c r="P279">
        <f>I279-G279^2/k_n</f>
        <v/>
      </c>
      <c r="Q279">
        <f>J279-H279^2/k_n</f>
        <v/>
      </c>
      <c r="R279">
        <f>K279-G279*H279/k_n</f>
        <v/>
      </c>
      <c r="S279">
        <f>L279-LTP3!$D$3*G279/k_n</f>
        <v/>
      </c>
      <c r="T279">
        <f>M279-LTP3!$D$3*H279/k_n</f>
        <v/>
      </c>
      <c r="U279">
        <f>N279-G279*LTP3!$D$4/k_n</f>
        <v/>
      </c>
      <c r="V279">
        <f>O279-H279*LTP3!$D$4/k_n</f>
        <v/>
      </c>
      <c r="W279">
        <f>((LTP3!$D$5)*((P279)*(Q279)-(R279)*(R279))-(S279)*((S279)*(Q279)-(R279)*(T279))+(T279)*((S279)*(R279)-(P279)*(T279)))</f>
        <v/>
      </c>
      <c r="X279">
        <f>IF(ABS(W279)&gt;1E-12,((LTP3!$D$6)*((P279)*(Q279)-(R279)*(R279))-(S279)*((U279)*(Q279)-(R279)*(V279))+(T279)*((U279)*(R279)-(P279)*(V279)))/W279,0)</f>
        <v/>
      </c>
      <c r="Y279">
        <f>IF(ABS(W279)&gt;1E-12,((LTP3!$D$5)*((U279)*(Q279)-(R279)*(V279))-(LTP3!$D$6)*((S279)*(Q279)-(R279)*(T279))+(T279)*((S279)*(V279)-(U279)*(T279)))/W279,0)</f>
        <v/>
      </c>
      <c r="Z279">
        <f>IF(ABS(W279)&gt;1E-12,((LTP3!$D$5)*((P279)*(V279)-(U279)*(R279))-(S279)*((S279)*(V279)-(U279)*(T279))+(LTP3!$D$6)*((S279)*(R279)-(P279)*(T279)))/W279,0)</f>
        <v/>
      </c>
      <c r="AA279">
        <f>LTP3!$D$7-X279*LTP3!$D$6-Y279*U279-Z279*V279</f>
        <v/>
      </c>
      <c r="AB279">
        <f>IF(AND(F279,ABS(W279)&gt;1E-12,Y279&gt;0,Z279&gt;0),AA279,1E+300)</f>
        <v/>
      </c>
    </row>
    <row r="280">
      <c r="A280">
        <f>$B$3+$B$5*4</f>
        <v/>
      </c>
      <c r="B280">
        <f>$B$3+$B$5*24</f>
        <v/>
      </c>
      <c r="C280">
        <f>SUMPRODUCT(Calc!$K$3:$K$22*(Calc!$G$3:$G$22&lt;=A280))</f>
        <v/>
      </c>
      <c r="D280">
        <f>SUMPRODUCT(Calc!$K$3:$K$22*(Calc!$G$3:$G$22&gt;A280)*(Calc!$G$3:$G$22&lt;B280))</f>
        <v/>
      </c>
      <c r="E280">
        <f>SUMPRODUCT(Calc!$K$3:$K$22*(Calc!$G$3:$G$22&gt;=B280))</f>
        <v/>
      </c>
      <c r="F280">
        <f>AND(k_n&gt;=5,B280&gt;A280+1E-9,C280&gt;=2,D280&gt;=1,E280&gt;=2)</f>
        <v/>
      </c>
      <c r="G280">
        <f>SUMPRODUCT(Calc!$K$3:$K$22*(Calc!$G$3:$G$22&gt;A280)*(Calc!$G$3:$G$22-A280))</f>
        <v/>
      </c>
      <c r="H280">
        <f>SUMPRODUCT(Calc!$K$3:$K$22*(Calc!$G$3:$G$22&gt;B280)*(Calc!$G$3:$G$22-B280))</f>
        <v/>
      </c>
      <c r="I280">
        <f>SUMPRODUCT(Calc!$K$3:$K$22*(Calc!$G$3:$G$22&gt;A280)*(Calc!$G$3:$G$22-A280)^2)</f>
        <v/>
      </c>
      <c r="J280">
        <f>SUMPRODUCT(Calc!$K$3:$K$22*(Calc!$G$3:$G$22&gt;B280)*(Calc!$G$3:$G$22-B280)^2)</f>
        <v/>
      </c>
      <c r="K280">
        <f>SUMPRODUCT(Calc!$K$3:$K$22*(Calc!$G$3:$G$22&gt;A280)*(Calc!$G$3:$G$22-A280)*(Calc!$G$3:$G$22&gt;B280)*(Calc!$G$3:$G$22-B280))</f>
        <v/>
      </c>
      <c r="L280">
        <f>SUMPRODUCT(Calc!$K$3:$K$22*(Calc!$G$3:$G$22&gt;A280)*(Calc!$G$3:$G$22-A280)*Calc!$G$3:$G$22)</f>
        <v/>
      </c>
      <c r="M280">
        <f>SUMPRODUCT(Calc!$K$3:$K$22*(Calc!$G$3:$G$22&gt;B280)*(Calc!$G$3:$G$22-B280)*Calc!$G$3:$G$22)</f>
        <v/>
      </c>
      <c r="N280">
        <f>SUMPRODUCT(Calc!$K$3:$K$22*(Calc!$G$3:$G$22&gt;A280)*(Calc!$G$3:$G$22-A280)*Calc!$I$3:$I$22)</f>
        <v/>
      </c>
      <c r="O280">
        <f>SUMPRODUCT(Calc!$K$3:$K$22*(Calc!$G$3:$G$22&gt;B280)*(Calc!$G$3:$G$22-B280)*Calc!$I$3:$I$22)</f>
        <v/>
      </c>
      <c r="P280">
        <f>I280-G280^2/k_n</f>
        <v/>
      </c>
      <c r="Q280">
        <f>J280-H280^2/k_n</f>
        <v/>
      </c>
      <c r="R280">
        <f>K280-G280*H280/k_n</f>
        <v/>
      </c>
      <c r="S280">
        <f>L280-LTP3!$D$3*G280/k_n</f>
        <v/>
      </c>
      <c r="T280">
        <f>M280-LTP3!$D$3*H280/k_n</f>
        <v/>
      </c>
      <c r="U280">
        <f>N280-G280*LTP3!$D$4/k_n</f>
        <v/>
      </c>
      <c r="V280">
        <f>O280-H280*LTP3!$D$4/k_n</f>
        <v/>
      </c>
      <c r="W280">
        <f>((LTP3!$D$5)*((P280)*(Q280)-(R280)*(R280))-(S280)*((S280)*(Q280)-(R280)*(T280))+(T280)*((S280)*(R280)-(P280)*(T280)))</f>
        <v/>
      </c>
      <c r="X280">
        <f>IF(ABS(W280)&gt;1E-12,((LTP3!$D$6)*((P280)*(Q280)-(R280)*(R280))-(S280)*((U280)*(Q280)-(R280)*(V280))+(T280)*((U280)*(R280)-(P280)*(V280)))/W280,0)</f>
        <v/>
      </c>
      <c r="Y280">
        <f>IF(ABS(W280)&gt;1E-12,((LTP3!$D$5)*((U280)*(Q280)-(R280)*(V280))-(LTP3!$D$6)*((S280)*(Q280)-(R280)*(T280))+(T280)*((S280)*(V280)-(U280)*(T280)))/W280,0)</f>
        <v/>
      </c>
      <c r="Z280">
        <f>IF(ABS(W280)&gt;1E-12,((LTP3!$D$5)*((P280)*(V280)-(U280)*(R280))-(S280)*((S280)*(V280)-(U280)*(T280))+(LTP3!$D$6)*((S280)*(R280)-(P280)*(T280)))/W280,0)</f>
        <v/>
      </c>
      <c r="AA280">
        <f>LTP3!$D$7-X280*LTP3!$D$6-Y280*U280-Z280*V280</f>
        <v/>
      </c>
      <c r="AB280">
        <f>IF(AND(F280,ABS(W280)&gt;1E-12,Y280&gt;0,Z280&gt;0),AA280,1E+300)</f>
        <v/>
      </c>
    </row>
    <row r="281">
      <c r="A281">
        <f>$B$3+$B$5*4</f>
        <v/>
      </c>
      <c r="B281">
        <f>$B$3+$B$5*25</f>
        <v/>
      </c>
      <c r="C281">
        <f>SUMPRODUCT(Calc!$K$3:$K$22*(Calc!$G$3:$G$22&lt;=A281))</f>
        <v/>
      </c>
      <c r="D281">
        <f>SUMPRODUCT(Calc!$K$3:$K$22*(Calc!$G$3:$G$22&gt;A281)*(Calc!$G$3:$G$22&lt;B281))</f>
        <v/>
      </c>
      <c r="E281">
        <f>SUMPRODUCT(Calc!$K$3:$K$22*(Calc!$G$3:$G$22&gt;=B281))</f>
        <v/>
      </c>
      <c r="F281">
        <f>AND(k_n&gt;=5,B281&gt;A281+1E-9,C281&gt;=2,D281&gt;=1,E281&gt;=2)</f>
        <v/>
      </c>
      <c r="G281">
        <f>SUMPRODUCT(Calc!$K$3:$K$22*(Calc!$G$3:$G$22&gt;A281)*(Calc!$G$3:$G$22-A281))</f>
        <v/>
      </c>
      <c r="H281">
        <f>SUMPRODUCT(Calc!$K$3:$K$22*(Calc!$G$3:$G$22&gt;B281)*(Calc!$G$3:$G$22-B281))</f>
        <v/>
      </c>
      <c r="I281">
        <f>SUMPRODUCT(Calc!$K$3:$K$22*(Calc!$G$3:$G$22&gt;A281)*(Calc!$G$3:$G$22-A281)^2)</f>
        <v/>
      </c>
      <c r="J281">
        <f>SUMPRODUCT(Calc!$K$3:$K$22*(Calc!$G$3:$G$22&gt;B281)*(Calc!$G$3:$G$22-B281)^2)</f>
        <v/>
      </c>
      <c r="K281">
        <f>SUMPRODUCT(Calc!$K$3:$K$22*(Calc!$G$3:$G$22&gt;A281)*(Calc!$G$3:$G$22-A281)*(Calc!$G$3:$G$22&gt;B281)*(Calc!$G$3:$G$22-B281))</f>
        <v/>
      </c>
      <c r="L281">
        <f>SUMPRODUCT(Calc!$K$3:$K$22*(Calc!$G$3:$G$22&gt;A281)*(Calc!$G$3:$G$22-A281)*Calc!$G$3:$G$22)</f>
        <v/>
      </c>
      <c r="M281">
        <f>SUMPRODUCT(Calc!$K$3:$K$22*(Calc!$G$3:$G$22&gt;B281)*(Calc!$G$3:$G$22-B281)*Calc!$G$3:$G$22)</f>
        <v/>
      </c>
      <c r="N281">
        <f>SUMPRODUCT(Calc!$K$3:$K$22*(Calc!$G$3:$G$22&gt;A281)*(Calc!$G$3:$G$22-A281)*Calc!$I$3:$I$22)</f>
        <v/>
      </c>
      <c r="O281">
        <f>SUMPRODUCT(Calc!$K$3:$K$22*(Calc!$G$3:$G$22&gt;B281)*(Calc!$G$3:$G$22-B281)*Calc!$I$3:$I$22)</f>
        <v/>
      </c>
      <c r="P281">
        <f>I281-G281^2/k_n</f>
        <v/>
      </c>
      <c r="Q281">
        <f>J281-H281^2/k_n</f>
        <v/>
      </c>
      <c r="R281">
        <f>K281-G281*H281/k_n</f>
        <v/>
      </c>
      <c r="S281">
        <f>L281-LTP3!$D$3*G281/k_n</f>
        <v/>
      </c>
      <c r="T281">
        <f>M281-LTP3!$D$3*H281/k_n</f>
        <v/>
      </c>
      <c r="U281">
        <f>N281-G281*LTP3!$D$4/k_n</f>
        <v/>
      </c>
      <c r="V281">
        <f>O281-H281*LTP3!$D$4/k_n</f>
        <v/>
      </c>
      <c r="W281">
        <f>((LTP3!$D$5)*((P281)*(Q281)-(R281)*(R281))-(S281)*((S281)*(Q281)-(R281)*(T281))+(T281)*((S281)*(R281)-(P281)*(T281)))</f>
        <v/>
      </c>
      <c r="X281">
        <f>IF(ABS(W281)&gt;1E-12,((LTP3!$D$6)*((P281)*(Q281)-(R281)*(R281))-(S281)*((U281)*(Q281)-(R281)*(V281))+(T281)*((U281)*(R281)-(P281)*(V281)))/W281,0)</f>
        <v/>
      </c>
      <c r="Y281">
        <f>IF(ABS(W281)&gt;1E-12,((LTP3!$D$5)*((U281)*(Q281)-(R281)*(V281))-(LTP3!$D$6)*((S281)*(Q281)-(R281)*(T281))+(T281)*((S281)*(V281)-(U281)*(T281)))/W281,0)</f>
        <v/>
      </c>
      <c r="Z281">
        <f>IF(ABS(W281)&gt;1E-12,((LTP3!$D$5)*((P281)*(V281)-(U281)*(R281))-(S281)*((S281)*(V281)-(U281)*(T281))+(LTP3!$D$6)*((S281)*(R281)-(P281)*(T281)))/W281,0)</f>
        <v/>
      </c>
      <c r="AA281">
        <f>LTP3!$D$7-X281*LTP3!$D$6-Y281*U281-Z281*V281</f>
        <v/>
      </c>
      <c r="AB281">
        <f>IF(AND(F281,ABS(W281)&gt;1E-12,Y281&gt;0,Z281&gt;0),AA281,1E+300)</f>
        <v/>
      </c>
    </row>
    <row r="282">
      <c r="A282">
        <f>$B$3+$B$5*4</f>
        <v/>
      </c>
      <c r="B282">
        <f>$B$3+$B$5*26</f>
        <v/>
      </c>
      <c r="C282">
        <f>SUMPRODUCT(Calc!$K$3:$K$22*(Calc!$G$3:$G$22&lt;=A282))</f>
        <v/>
      </c>
      <c r="D282">
        <f>SUMPRODUCT(Calc!$K$3:$K$22*(Calc!$G$3:$G$22&gt;A282)*(Calc!$G$3:$G$22&lt;B282))</f>
        <v/>
      </c>
      <c r="E282">
        <f>SUMPRODUCT(Calc!$K$3:$K$22*(Calc!$G$3:$G$22&gt;=B282))</f>
        <v/>
      </c>
      <c r="F282">
        <f>AND(k_n&gt;=5,B282&gt;A282+1E-9,C282&gt;=2,D282&gt;=1,E282&gt;=2)</f>
        <v/>
      </c>
      <c r="G282">
        <f>SUMPRODUCT(Calc!$K$3:$K$22*(Calc!$G$3:$G$22&gt;A282)*(Calc!$G$3:$G$22-A282))</f>
        <v/>
      </c>
      <c r="H282">
        <f>SUMPRODUCT(Calc!$K$3:$K$22*(Calc!$G$3:$G$22&gt;B282)*(Calc!$G$3:$G$22-B282))</f>
        <v/>
      </c>
      <c r="I282">
        <f>SUMPRODUCT(Calc!$K$3:$K$22*(Calc!$G$3:$G$22&gt;A282)*(Calc!$G$3:$G$22-A282)^2)</f>
        <v/>
      </c>
      <c r="J282">
        <f>SUMPRODUCT(Calc!$K$3:$K$22*(Calc!$G$3:$G$22&gt;B282)*(Calc!$G$3:$G$22-B282)^2)</f>
        <v/>
      </c>
      <c r="K282">
        <f>SUMPRODUCT(Calc!$K$3:$K$22*(Calc!$G$3:$G$22&gt;A282)*(Calc!$G$3:$G$22-A282)*(Calc!$G$3:$G$22&gt;B282)*(Calc!$G$3:$G$22-B282))</f>
        <v/>
      </c>
      <c r="L282">
        <f>SUMPRODUCT(Calc!$K$3:$K$22*(Calc!$G$3:$G$22&gt;A282)*(Calc!$G$3:$G$22-A282)*Calc!$G$3:$G$22)</f>
        <v/>
      </c>
      <c r="M282">
        <f>SUMPRODUCT(Calc!$K$3:$K$22*(Calc!$G$3:$G$22&gt;B282)*(Calc!$G$3:$G$22-B282)*Calc!$G$3:$G$22)</f>
        <v/>
      </c>
      <c r="N282">
        <f>SUMPRODUCT(Calc!$K$3:$K$22*(Calc!$G$3:$G$22&gt;A282)*(Calc!$G$3:$G$22-A282)*Calc!$I$3:$I$22)</f>
        <v/>
      </c>
      <c r="O282">
        <f>SUMPRODUCT(Calc!$K$3:$K$22*(Calc!$G$3:$G$22&gt;B282)*(Calc!$G$3:$G$22-B282)*Calc!$I$3:$I$22)</f>
        <v/>
      </c>
      <c r="P282">
        <f>I282-G282^2/k_n</f>
        <v/>
      </c>
      <c r="Q282">
        <f>J282-H282^2/k_n</f>
        <v/>
      </c>
      <c r="R282">
        <f>K282-G282*H282/k_n</f>
        <v/>
      </c>
      <c r="S282">
        <f>L282-LTP3!$D$3*G282/k_n</f>
        <v/>
      </c>
      <c r="T282">
        <f>M282-LTP3!$D$3*H282/k_n</f>
        <v/>
      </c>
      <c r="U282">
        <f>N282-G282*LTP3!$D$4/k_n</f>
        <v/>
      </c>
      <c r="V282">
        <f>O282-H282*LTP3!$D$4/k_n</f>
        <v/>
      </c>
      <c r="W282">
        <f>((LTP3!$D$5)*((P282)*(Q282)-(R282)*(R282))-(S282)*((S282)*(Q282)-(R282)*(T282))+(T282)*((S282)*(R282)-(P282)*(T282)))</f>
        <v/>
      </c>
      <c r="X282">
        <f>IF(ABS(W282)&gt;1E-12,((LTP3!$D$6)*((P282)*(Q282)-(R282)*(R282))-(S282)*((U282)*(Q282)-(R282)*(V282))+(T282)*((U282)*(R282)-(P282)*(V282)))/W282,0)</f>
        <v/>
      </c>
      <c r="Y282">
        <f>IF(ABS(W282)&gt;1E-12,((LTP3!$D$5)*((U282)*(Q282)-(R282)*(V282))-(LTP3!$D$6)*((S282)*(Q282)-(R282)*(T282))+(T282)*((S282)*(V282)-(U282)*(T282)))/W282,0)</f>
        <v/>
      </c>
      <c r="Z282">
        <f>IF(ABS(W282)&gt;1E-12,((LTP3!$D$5)*((P282)*(V282)-(U282)*(R282))-(S282)*((S282)*(V282)-(U282)*(T282))+(LTP3!$D$6)*((S282)*(R282)-(P282)*(T282)))/W282,0)</f>
        <v/>
      </c>
      <c r="AA282">
        <f>LTP3!$D$7-X282*LTP3!$D$6-Y282*U282-Z282*V282</f>
        <v/>
      </c>
      <c r="AB282">
        <f>IF(AND(F282,ABS(W282)&gt;1E-12,Y282&gt;0,Z282&gt;0),AA282,1E+300)</f>
        <v/>
      </c>
    </row>
    <row r="283">
      <c r="A283">
        <f>$B$3+$B$5*4</f>
        <v/>
      </c>
      <c r="B283">
        <f>$B$3+$B$5*27</f>
        <v/>
      </c>
      <c r="C283">
        <f>SUMPRODUCT(Calc!$K$3:$K$22*(Calc!$G$3:$G$22&lt;=A283))</f>
        <v/>
      </c>
      <c r="D283">
        <f>SUMPRODUCT(Calc!$K$3:$K$22*(Calc!$G$3:$G$22&gt;A283)*(Calc!$G$3:$G$22&lt;B283))</f>
        <v/>
      </c>
      <c r="E283">
        <f>SUMPRODUCT(Calc!$K$3:$K$22*(Calc!$G$3:$G$22&gt;=B283))</f>
        <v/>
      </c>
      <c r="F283">
        <f>AND(k_n&gt;=5,B283&gt;A283+1E-9,C283&gt;=2,D283&gt;=1,E283&gt;=2)</f>
        <v/>
      </c>
      <c r="G283">
        <f>SUMPRODUCT(Calc!$K$3:$K$22*(Calc!$G$3:$G$22&gt;A283)*(Calc!$G$3:$G$22-A283))</f>
        <v/>
      </c>
      <c r="H283">
        <f>SUMPRODUCT(Calc!$K$3:$K$22*(Calc!$G$3:$G$22&gt;B283)*(Calc!$G$3:$G$22-B283))</f>
        <v/>
      </c>
      <c r="I283">
        <f>SUMPRODUCT(Calc!$K$3:$K$22*(Calc!$G$3:$G$22&gt;A283)*(Calc!$G$3:$G$22-A283)^2)</f>
        <v/>
      </c>
      <c r="J283">
        <f>SUMPRODUCT(Calc!$K$3:$K$22*(Calc!$G$3:$G$22&gt;B283)*(Calc!$G$3:$G$22-B283)^2)</f>
        <v/>
      </c>
      <c r="K283">
        <f>SUMPRODUCT(Calc!$K$3:$K$22*(Calc!$G$3:$G$22&gt;A283)*(Calc!$G$3:$G$22-A283)*(Calc!$G$3:$G$22&gt;B283)*(Calc!$G$3:$G$22-B283))</f>
        <v/>
      </c>
      <c r="L283">
        <f>SUMPRODUCT(Calc!$K$3:$K$22*(Calc!$G$3:$G$22&gt;A283)*(Calc!$G$3:$G$22-A283)*Calc!$G$3:$G$22)</f>
        <v/>
      </c>
      <c r="M283">
        <f>SUMPRODUCT(Calc!$K$3:$K$22*(Calc!$G$3:$G$22&gt;B283)*(Calc!$G$3:$G$22-B283)*Calc!$G$3:$G$22)</f>
        <v/>
      </c>
      <c r="N283">
        <f>SUMPRODUCT(Calc!$K$3:$K$22*(Calc!$G$3:$G$22&gt;A283)*(Calc!$G$3:$G$22-A283)*Calc!$I$3:$I$22)</f>
        <v/>
      </c>
      <c r="O283">
        <f>SUMPRODUCT(Calc!$K$3:$K$22*(Calc!$G$3:$G$22&gt;B283)*(Calc!$G$3:$G$22-B283)*Calc!$I$3:$I$22)</f>
        <v/>
      </c>
      <c r="P283">
        <f>I283-G283^2/k_n</f>
        <v/>
      </c>
      <c r="Q283">
        <f>J283-H283^2/k_n</f>
        <v/>
      </c>
      <c r="R283">
        <f>K283-G283*H283/k_n</f>
        <v/>
      </c>
      <c r="S283">
        <f>L283-LTP3!$D$3*G283/k_n</f>
        <v/>
      </c>
      <c r="T283">
        <f>M283-LTP3!$D$3*H283/k_n</f>
        <v/>
      </c>
      <c r="U283">
        <f>N283-G283*LTP3!$D$4/k_n</f>
        <v/>
      </c>
      <c r="V283">
        <f>O283-H283*LTP3!$D$4/k_n</f>
        <v/>
      </c>
      <c r="W283">
        <f>((LTP3!$D$5)*((P283)*(Q283)-(R283)*(R283))-(S283)*((S283)*(Q283)-(R283)*(T283))+(T283)*((S283)*(R283)-(P283)*(T283)))</f>
        <v/>
      </c>
      <c r="X283">
        <f>IF(ABS(W283)&gt;1E-12,((LTP3!$D$6)*((P283)*(Q283)-(R283)*(R283))-(S283)*((U283)*(Q283)-(R283)*(V283))+(T283)*((U283)*(R283)-(P283)*(V283)))/W283,0)</f>
        <v/>
      </c>
      <c r="Y283">
        <f>IF(ABS(W283)&gt;1E-12,((LTP3!$D$5)*((U283)*(Q283)-(R283)*(V283))-(LTP3!$D$6)*((S283)*(Q283)-(R283)*(T283))+(T283)*((S283)*(V283)-(U283)*(T283)))/W283,0)</f>
        <v/>
      </c>
      <c r="Z283">
        <f>IF(ABS(W283)&gt;1E-12,((LTP3!$D$5)*((P283)*(V283)-(U283)*(R283))-(S283)*((S283)*(V283)-(U283)*(T283))+(LTP3!$D$6)*((S283)*(R283)-(P283)*(T283)))/W283,0)</f>
        <v/>
      </c>
      <c r="AA283">
        <f>LTP3!$D$7-X283*LTP3!$D$6-Y283*U283-Z283*V283</f>
        <v/>
      </c>
      <c r="AB283">
        <f>IF(AND(F283,ABS(W283)&gt;1E-12,Y283&gt;0,Z283&gt;0),AA283,1E+300)</f>
        <v/>
      </c>
    </row>
    <row r="284">
      <c r="A284">
        <f>$B$3+$B$5*4</f>
        <v/>
      </c>
      <c r="B284">
        <f>$B$3+$B$5*28</f>
        <v/>
      </c>
      <c r="C284">
        <f>SUMPRODUCT(Calc!$K$3:$K$22*(Calc!$G$3:$G$22&lt;=A284))</f>
        <v/>
      </c>
      <c r="D284">
        <f>SUMPRODUCT(Calc!$K$3:$K$22*(Calc!$G$3:$G$22&gt;A284)*(Calc!$G$3:$G$22&lt;B284))</f>
        <v/>
      </c>
      <c r="E284">
        <f>SUMPRODUCT(Calc!$K$3:$K$22*(Calc!$G$3:$G$22&gt;=B284))</f>
        <v/>
      </c>
      <c r="F284">
        <f>AND(k_n&gt;=5,B284&gt;A284+1E-9,C284&gt;=2,D284&gt;=1,E284&gt;=2)</f>
        <v/>
      </c>
      <c r="G284">
        <f>SUMPRODUCT(Calc!$K$3:$K$22*(Calc!$G$3:$G$22&gt;A284)*(Calc!$G$3:$G$22-A284))</f>
        <v/>
      </c>
      <c r="H284">
        <f>SUMPRODUCT(Calc!$K$3:$K$22*(Calc!$G$3:$G$22&gt;B284)*(Calc!$G$3:$G$22-B284))</f>
        <v/>
      </c>
      <c r="I284">
        <f>SUMPRODUCT(Calc!$K$3:$K$22*(Calc!$G$3:$G$22&gt;A284)*(Calc!$G$3:$G$22-A284)^2)</f>
        <v/>
      </c>
      <c r="J284">
        <f>SUMPRODUCT(Calc!$K$3:$K$22*(Calc!$G$3:$G$22&gt;B284)*(Calc!$G$3:$G$22-B284)^2)</f>
        <v/>
      </c>
      <c r="K284">
        <f>SUMPRODUCT(Calc!$K$3:$K$22*(Calc!$G$3:$G$22&gt;A284)*(Calc!$G$3:$G$22-A284)*(Calc!$G$3:$G$22&gt;B284)*(Calc!$G$3:$G$22-B284))</f>
        <v/>
      </c>
      <c r="L284">
        <f>SUMPRODUCT(Calc!$K$3:$K$22*(Calc!$G$3:$G$22&gt;A284)*(Calc!$G$3:$G$22-A284)*Calc!$G$3:$G$22)</f>
        <v/>
      </c>
      <c r="M284">
        <f>SUMPRODUCT(Calc!$K$3:$K$22*(Calc!$G$3:$G$22&gt;B284)*(Calc!$G$3:$G$22-B284)*Calc!$G$3:$G$22)</f>
        <v/>
      </c>
      <c r="N284">
        <f>SUMPRODUCT(Calc!$K$3:$K$22*(Calc!$G$3:$G$22&gt;A284)*(Calc!$G$3:$G$22-A284)*Calc!$I$3:$I$22)</f>
        <v/>
      </c>
      <c r="O284">
        <f>SUMPRODUCT(Calc!$K$3:$K$22*(Calc!$G$3:$G$22&gt;B284)*(Calc!$G$3:$G$22-B284)*Calc!$I$3:$I$22)</f>
        <v/>
      </c>
      <c r="P284">
        <f>I284-G284^2/k_n</f>
        <v/>
      </c>
      <c r="Q284">
        <f>J284-H284^2/k_n</f>
        <v/>
      </c>
      <c r="R284">
        <f>K284-G284*H284/k_n</f>
        <v/>
      </c>
      <c r="S284">
        <f>L284-LTP3!$D$3*G284/k_n</f>
        <v/>
      </c>
      <c r="T284">
        <f>M284-LTP3!$D$3*H284/k_n</f>
        <v/>
      </c>
      <c r="U284">
        <f>N284-G284*LTP3!$D$4/k_n</f>
        <v/>
      </c>
      <c r="V284">
        <f>O284-H284*LTP3!$D$4/k_n</f>
        <v/>
      </c>
      <c r="W284">
        <f>((LTP3!$D$5)*((P284)*(Q284)-(R284)*(R284))-(S284)*((S284)*(Q284)-(R284)*(T284))+(T284)*((S284)*(R284)-(P284)*(T284)))</f>
        <v/>
      </c>
      <c r="X284">
        <f>IF(ABS(W284)&gt;1E-12,((LTP3!$D$6)*((P284)*(Q284)-(R284)*(R284))-(S284)*((U284)*(Q284)-(R284)*(V284))+(T284)*((U284)*(R284)-(P284)*(V284)))/W284,0)</f>
        <v/>
      </c>
      <c r="Y284">
        <f>IF(ABS(W284)&gt;1E-12,((LTP3!$D$5)*((U284)*(Q284)-(R284)*(V284))-(LTP3!$D$6)*((S284)*(Q284)-(R284)*(T284))+(T284)*((S284)*(V284)-(U284)*(T284)))/W284,0)</f>
        <v/>
      </c>
      <c r="Z284">
        <f>IF(ABS(W284)&gt;1E-12,((LTP3!$D$5)*((P284)*(V284)-(U284)*(R284))-(S284)*((S284)*(V284)-(U284)*(T284))+(LTP3!$D$6)*((S284)*(R284)-(P284)*(T284)))/W284,0)</f>
        <v/>
      </c>
      <c r="AA284">
        <f>LTP3!$D$7-X284*LTP3!$D$6-Y284*U284-Z284*V284</f>
        <v/>
      </c>
      <c r="AB284">
        <f>IF(AND(F284,ABS(W284)&gt;1E-12,Y284&gt;0,Z284&gt;0),AA284,1E+300)</f>
        <v/>
      </c>
    </row>
    <row r="285">
      <c r="A285">
        <f>$B$3+$B$5*4</f>
        <v/>
      </c>
      <c r="B285">
        <f>$B$3+$B$5*29</f>
        <v/>
      </c>
      <c r="C285">
        <f>SUMPRODUCT(Calc!$K$3:$K$22*(Calc!$G$3:$G$22&lt;=A285))</f>
        <v/>
      </c>
      <c r="D285">
        <f>SUMPRODUCT(Calc!$K$3:$K$22*(Calc!$G$3:$G$22&gt;A285)*(Calc!$G$3:$G$22&lt;B285))</f>
        <v/>
      </c>
      <c r="E285">
        <f>SUMPRODUCT(Calc!$K$3:$K$22*(Calc!$G$3:$G$22&gt;=B285))</f>
        <v/>
      </c>
      <c r="F285">
        <f>AND(k_n&gt;=5,B285&gt;A285+1E-9,C285&gt;=2,D285&gt;=1,E285&gt;=2)</f>
        <v/>
      </c>
      <c r="G285">
        <f>SUMPRODUCT(Calc!$K$3:$K$22*(Calc!$G$3:$G$22&gt;A285)*(Calc!$G$3:$G$22-A285))</f>
        <v/>
      </c>
      <c r="H285">
        <f>SUMPRODUCT(Calc!$K$3:$K$22*(Calc!$G$3:$G$22&gt;B285)*(Calc!$G$3:$G$22-B285))</f>
        <v/>
      </c>
      <c r="I285">
        <f>SUMPRODUCT(Calc!$K$3:$K$22*(Calc!$G$3:$G$22&gt;A285)*(Calc!$G$3:$G$22-A285)^2)</f>
        <v/>
      </c>
      <c r="J285">
        <f>SUMPRODUCT(Calc!$K$3:$K$22*(Calc!$G$3:$G$22&gt;B285)*(Calc!$G$3:$G$22-B285)^2)</f>
        <v/>
      </c>
      <c r="K285">
        <f>SUMPRODUCT(Calc!$K$3:$K$22*(Calc!$G$3:$G$22&gt;A285)*(Calc!$G$3:$G$22-A285)*(Calc!$G$3:$G$22&gt;B285)*(Calc!$G$3:$G$22-B285))</f>
        <v/>
      </c>
      <c r="L285">
        <f>SUMPRODUCT(Calc!$K$3:$K$22*(Calc!$G$3:$G$22&gt;A285)*(Calc!$G$3:$G$22-A285)*Calc!$G$3:$G$22)</f>
        <v/>
      </c>
      <c r="M285">
        <f>SUMPRODUCT(Calc!$K$3:$K$22*(Calc!$G$3:$G$22&gt;B285)*(Calc!$G$3:$G$22-B285)*Calc!$G$3:$G$22)</f>
        <v/>
      </c>
      <c r="N285">
        <f>SUMPRODUCT(Calc!$K$3:$K$22*(Calc!$G$3:$G$22&gt;A285)*(Calc!$G$3:$G$22-A285)*Calc!$I$3:$I$22)</f>
        <v/>
      </c>
      <c r="O285">
        <f>SUMPRODUCT(Calc!$K$3:$K$22*(Calc!$G$3:$G$22&gt;B285)*(Calc!$G$3:$G$22-B285)*Calc!$I$3:$I$22)</f>
        <v/>
      </c>
      <c r="P285">
        <f>I285-G285^2/k_n</f>
        <v/>
      </c>
      <c r="Q285">
        <f>J285-H285^2/k_n</f>
        <v/>
      </c>
      <c r="R285">
        <f>K285-G285*H285/k_n</f>
        <v/>
      </c>
      <c r="S285">
        <f>L285-LTP3!$D$3*G285/k_n</f>
        <v/>
      </c>
      <c r="T285">
        <f>M285-LTP3!$D$3*H285/k_n</f>
        <v/>
      </c>
      <c r="U285">
        <f>N285-G285*LTP3!$D$4/k_n</f>
        <v/>
      </c>
      <c r="V285">
        <f>O285-H285*LTP3!$D$4/k_n</f>
        <v/>
      </c>
      <c r="W285">
        <f>((LTP3!$D$5)*((P285)*(Q285)-(R285)*(R285))-(S285)*((S285)*(Q285)-(R285)*(T285))+(T285)*((S285)*(R285)-(P285)*(T285)))</f>
        <v/>
      </c>
      <c r="X285">
        <f>IF(ABS(W285)&gt;1E-12,((LTP3!$D$6)*((P285)*(Q285)-(R285)*(R285))-(S285)*((U285)*(Q285)-(R285)*(V285))+(T285)*((U285)*(R285)-(P285)*(V285)))/W285,0)</f>
        <v/>
      </c>
      <c r="Y285">
        <f>IF(ABS(W285)&gt;1E-12,((LTP3!$D$5)*((U285)*(Q285)-(R285)*(V285))-(LTP3!$D$6)*((S285)*(Q285)-(R285)*(T285))+(T285)*((S285)*(V285)-(U285)*(T285)))/W285,0)</f>
        <v/>
      </c>
      <c r="Z285">
        <f>IF(ABS(W285)&gt;1E-12,((LTP3!$D$5)*((P285)*(V285)-(U285)*(R285))-(S285)*((S285)*(V285)-(U285)*(T285))+(LTP3!$D$6)*((S285)*(R285)-(P285)*(T285)))/W285,0)</f>
        <v/>
      </c>
      <c r="AA285">
        <f>LTP3!$D$7-X285*LTP3!$D$6-Y285*U285-Z285*V285</f>
        <v/>
      </c>
      <c r="AB285">
        <f>IF(AND(F285,ABS(W285)&gt;1E-12,Y285&gt;0,Z285&gt;0),AA285,1E+300)</f>
        <v/>
      </c>
    </row>
    <row r="286">
      <c r="A286">
        <f>$B$3+$B$5*4</f>
        <v/>
      </c>
      <c r="B286">
        <f>$B$3+$B$5*30</f>
        <v/>
      </c>
      <c r="C286">
        <f>SUMPRODUCT(Calc!$K$3:$K$22*(Calc!$G$3:$G$22&lt;=A286))</f>
        <v/>
      </c>
      <c r="D286">
        <f>SUMPRODUCT(Calc!$K$3:$K$22*(Calc!$G$3:$G$22&gt;A286)*(Calc!$G$3:$G$22&lt;B286))</f>
        <v/>
      </c>
      <c r="E286">
        <f>SUMPRODUCT(Calc!$K$3:$K$22*(Calc!$G$3:$G$22&gt;=B286))</f>
        <v/>
      </c>
      <c r="F286">
        <f>AND(k_n&gt;=5,B286&gt;A286+1E-9,C286&gt;=2,D286&gt;=1,E286&gt;=2)</f>
        <v/>
      </c>
      <c r="G286">
        <f>SUMPRODUCT(Calc!$K$3:$K$22*(Calc!$G$3:$G$22&gt;A286)*(Calc!$G$3:$G$22-A286))</f>
        <v/>
      </c>
      <c r="H286">
        <f>SUMPRODUCT(Calc!$K$3:$K$22*(Calc!$G$3:$G$22&gt;B286)*(Calc!$G$3:$G$22-B286))</f>
        <v/>
      </c>
      <c r="I286">
        <f>SUMPRODUCT(Calc!$K$3:$K$22*(Calc!$G$3:$G$22&gt;A286)*(Calc!$G$3:$G$22-A286)^2)</f>
        <v/>
      </c>
      <c r="J286">
        <f>SUMPRODUCT(Calc!$K$3:$K$22*(Calc!$G$3:$G$22&gt;B286)*(Calc!$G$3:$G$22-B286)^2)</f>
        <v/>
      </c>
      <c r="K286">
        <f>SUMPRODUCT(Calc!$K$3:$K$22*(Calc!$G$3:$G$22&gt;A286)*(Calc!$G$3:$G$22-A286)*(Calc!$G$3:$G$22&gt;B286)*(Calc!$G$3:$G$22-B286))</f>
        <v/>
      </c>
      <c r="L286">
        <f>SUMPRODUCT(Calc!$K$3:$K$22*(Calc!$G$3:$G$22&gt;A286)*(Calc!$G$3:$G$22-A286)*Calc!$G$3:$G$22)</f>
        <v/>
      </c>
      <c r="M286">
        <f>SUMPRODUCT(Calc!$K$3:$K$22*(Calc!$G$3:$G$22&gt;B286)*(Calc!$G$3:$G$22-B286)*Calc!$G$3:$G$22)</f>
        <v/>
      </c>
      <c r="N286">
        <f>SUMPRODUCT(Calc!$K$3:$K$22*(Calc!$G$3:$G$22&gt;A286)*(Calc!$G$3:$G$22-A286)*Calc!$I$3:$I$22)</f>
        <v/>
      </c>
      <c r="O286">
        <f>SUMPRODUCT(Calc!$K$3:$K$22*(Calc!$G$3:$G$22&gt;B286)*(Calc!$G$3:$G$22-B286)*Calc!$I$3:$I$22)</f>
        <v/>
      </c>
      <c r="P286">
        <f>I286-G286^2/k_n</f>
        <v/>
      </c>
      <c r="Q286">
        <f>J286-H286^2/k_n</f>
        <v/>
      </c>
      <c r="R286">
        <f>K286-G286*H286/k_n</f>
        <v/>
      </c>
      <c r="S286">
        <f>L286-LTP3!$D$3*G286/k_n</f>
        <v/>
      </c>
      <c r="T286">
        <f>M286-LTP3!$D$3*H286/k_n</f>
        <v/>
      </c>
      <c r="U286">
        <f>N286-G286*LTP3!$D$4/k_n</f>
        <v/>
      </c>
      <c r="V286">
        <f>O286-H286*LTP3!$D$4/k_n</f>
        <v/>
      </c>
      <c r="W286">
        <f>((LTP3!$D$5)*((P286)*(Q286)-(R286)*(R286))-(S286)*((S286)*(Q286)-(R286)*(T286))+(T286)*((S286)*(R286)-(P286)*(T286)))</f>
        <v/>
      </c>
      <c r="X286">
        <f>IF(ABS(W286)&gt;1E-12,((LTP3!$D$6)*((P286)*(Q286)-(R286)*(R286))-(S286)*((U286)*(Q286)-(R286)*(V286))+(T286)*((U286)*(R286)-(P286)*(V286)))/W286,0)</f>
        <v/>
      </c>
      <c r="Y286">
        <f>IF(ABS(W286)&gt;1E-12,((LTP3!$D$5)*((U286)*(Q286)-(R286)*(V286))-(LTP3!$D$6)*((S286)*(Q286)-(R286)*(T286))+(T286)*((S286)*(V286)-(U286)*(T286)))/W286,0)</f>
        <v/>
      </c>
      <c r="Z286">
        <f>IF(ABS(W286)&gt;1E-12,((LTP3!$D$5)*((P286)*(V286)-(U286)*(R286))-(S286)*((S286)*(V286)-(U286)*(T286))+(LTP3!$D$6)*((S286)*(R286)-(P286)*(T286)))/W286,0)</f>
        <v/>
      </c>
      <c r="AA286">
        <f>LTP3!$D$7-X286*LTP3!$D$6-Y286*U286-Z286*V286</f>
        <v/>
      </c>
      <c r="AB286">
        <f>IF(AND(F286,ABS(W286)&gt;1E-12,Y286&gt;0,Z286&gt;0),AA286,1E+300)</f>
        <v/>
      </c>
    </row>
    <row r="287">
      <c r="A287">
        <f>$B$3+$B$5*4</f>
        <v/>
      </c>
      <c r="B287">
        <f>$B$3+$B$5*31</f>
        <v/>
      </c>
      <c r="C287">
        <f>SUMPRODUCT(Calc!$K$3:$K$22*(Calc!$G$3:$G$22&lt;=A287))</f>
        <v/>
      </c>
      <c r="D287">
        <f>SUMPRODUCT(Calc!$K$3:$K$22*(Calc!$G$3:$G$22&gt;A287)*(Calc!$G$3:$G$22&lt;B287))</f>
        <v/>
      </c>
      <c r="E287">
        <f>SUMPRODUCT(Calc!$K$3:$K$22*(Calc!$G$3:$G$22&gt;=B287))</f>
        <v/>
      </c>
      <c r="F287">
        <f>AND(k_n&gt;=5,B287&gt;A287+1E-9,C287&gt;=2,D287&gt;=1,E287&gt;=2)</f>
        <v/>
      </c>
      <c r="G287">
        <f>SUMPRODUCT(Calc!$K$3:$K$22*(Calc!$G$3:$G$22&gt;A287)*(Calc!$G$3:$G$22-A287))</f>
        <v/>
      </c>
      <c r="H287">
        <f>SUMPRODUCT(Calc!$K$3:$K$22*(Calc!$G$3:$G$22&gt;B287)*(Calc!$G$3:$G$22-B287))</f>
        <v/>
      </c>
      <c r="I287">
        <f>SUMPRODUCT(Calc!$K$3:$K$22*(Calc!$G$3:$G$22&gt;A287)*(Calc!$G$3:$G$22-A287)^2)</f>
        <v/>
      </c>
      <c r="J287">
        <f>SUMPRODUCT(Calc!$K$3:$K$22*(Calc!$G$3:$G$22&gt;B287)*(Calc!$G$3:$G$22-B287)^2)</f>
        <v/>
      </c>
      <c r="K287">
        <f>SUMPRODUCT(Calc!$K$3:$K$22*(Calc!$G$3:$G$22&gt;A287)*(Calc!$G$3:$G$22-A287)*(Calc!$G$3:$G$22&gt;B287)*(Calc!$G$3:$G$22-B287))</f>
        <v/>
      </c>
      <c r="L287">
        <f>SUMPRODUCT(Calc!$K$3:$K$22*(Calc!$G$3:$G$22&gt;A287)*(Calc!$G$3:$G$22-A287)*Calc!$G$3:$G$22)</f>
        <v/>
      </c>
      <c r="M287">
        <f>SUMPRODUCT(Calc!$K$3:$K$22*(Calc!$G$3:$G$22&gt;B287)*(Calc!$G$3:$G$22-B287)*Calc!$G$3:$G$22)</f>
        <v/>
      </c>
      <c r="N287">
        <f>SUMPRODUCT(Calc!$K$3:$K$22*(Calc!$G$3:$G$22&gt;A287)*(Calc!$G$3:$G$22-A287)*Calc!$I$3:$I$22)</f>
        <v/>
      </c>
      <c r="O287">
        <f>SUMPRODUCT(Calc!$K$3:$K$22*(Calc!$G$3:$G$22&gt;B287)*(Calc!$G$3:$G$22-B287)*Calc!$I$3:$I$22)</f>
        <v/>
      </c>
      <c r="P287">
        <f>I287-G287^2/k_n</f>
        <v/>
      </c>
      <c r="Q287">
        <f>J287-H287^2/k_n</f>
        <v/>
      </c>
      <c r="R287">
        <f>K287-G287*H287/k_n</f>
        <v/>
      </c>
      <c r="S287">
        <f>L287-LTP3!$D$3*G287/k_n</f>
        <v/>
      </c>
      <c r="T287">
        <f>M287-LTP3!$D$3*H287/k_n</f>
        <v/>
      </c>
      <c r="U287">
        <f>N287-G287*LTP3!$D$4/k_n</f>
        <v/>
      </c>
      <c r="V287">
        <f>O287-H287*LTP3!$D$4/k_n</f>
        <v/>
      </c>
      <c r="W287">
        <f>((LTP3!$D$5)*((P287)*(Q287)-(R287)*(R287))-(S287)*((S287)*(Q287)-(R287)*(T287))+(T287)*((S287)*(R287)-(P287)*(T287)))</f>
        <v/>
      </c>
      <c r="X287">
        <f>IF(ABS(W287)&gt;1E-12,((LTP3!$D$6)*((P287)*(Q287)-(R287)*(R287))-(S287)*((U287)*(Q287)-(R287)*(V287))+(T287)*((U287)*(R287)-(P287)*(V287)))/W287,0)</f>
        <v/>
      </c>
      <c r="Y287">
        <f>IF(ABS(W287)&gt;1E-12,((LTP3!$D$5)*((U287)*(Q287)-(R287)*(V287))-(LTP3!$D$6)*((S287)*(Q287)-(R287)*(T287))+(T287)*((S287)*(V287)-(U287)*(T287)))/W287,0)</f>
        <v/>
      </c>
      <c r="Z287">
        <f>IF(ABS(W287)&gt;1E-12,((LTP3!$D$5)*((P287)*(V287)-(U287)*(R287))-(S287)*((S287)*(V287)-(U287)*(T287))+(LTP3!$D$6)*((S287)*(R287)-(P287)*(T287)))/W287,0)</f>
        <v/>
      </c>
      <c r="AA287">
        <f>LTP3!$D$7-X287*LTP3!$D$6-Y287*U287-Z287*V287</f>
        <v/>
      </c>
      <c r="AB287">
        <f>IF(AND(F287,ABS(W287)&gt;1E-12,Y287&gt;0,Z287&gt;0),AA287,1E+300)</f>
        <v/>
      </c>
    </row>
    <row r="288">
      <c r="A288">
        <f>$B$3+$B$5*4</f>
        <v/>
      </c>
      <c r="B288">
        <f>$B$3+$B$5*32</f>
        <v/>
      </c>
      <c r="C288">
        <f>SUMPRODUCT(Calc!$K$3:$K$22*(Calc!$G$3:$G$22&lt;=A288))</f>
        <v/>
      </c>
      <c r="D288">
        <f>SUMPRODUCT(Calc!$K$3:$K$22*(Calc!$G$3:$G$22&gt;A288)*(Calc!$G$3:$G$22&lt;B288))</f>
        <v/>
      </c>
      <c r="E288">
        <f>SUMPRODUCT(Calc!$K$3:$K$22*(Calc!$G$3:$G$22&gt;=B288))</f>
        <v/>
      </c>
      <c r="F288">
        <f>AND(k_n&gt;=5,B288&gt;A288+1E-9,C288&gt;=2,D288&gt;=1,E288&gt;=2)</f>
        <v/>
      </c>
      <c r="G288">
        <f>SUMPRODUCT(Calc!$K$3:$K$22*(Calc!$G$3:$G$22&gt;A288)*(Calc!$G$3:$G$22-A288))</f>
        <v/>
      </c>
      <c r="H288">
        <f>SUMPRODUCT(Calc!$K$3:$K$22*(Calc!$G$3:$G$22&gt;B288)*(Calc!$G$3:$G$22-B288))</f>
        <v/>
      </c>
      <c r="I288">
        <f>SUMPRODUCT(Calc!$K$3:$K$22*(Calc!$G$3:$G$22&gt;A288)*(Calc!$G$3:$G$22-A288)^2)</f>
        <v/>
      </c>
      <c r="J288">
        <f>SUMPRODUCT(Calc!$K$3:$K$22*(Calc!$G$3:$G$22&gt;B288)*(Calc!$G$3:$G$22-B288)^2)</f>
        <v/>
      </c>
      <c r="K288">
        <f>SUMPRODUCT(Calc!$K$3:$K$22*(Calc!$G$3:$G$22&gt;A288)*(Calc!$G$3:$G$22-A288)*(Calc!$G$3:$G$22&gt;B288)*(Calc!$G$3:$G$22-B288))</f>
        <v/>
      </c>
      <c r="L288">
        <f>SUMPRODUCT(Calc!$K$3:$K$22*(Calc!$G$3:$G$22&gt;A288)*(Calc!$G$3:$G$22-A288)*Calc!$G$3:$G$22)</f>
        <v/>
      </c>
      <c r="M288">
        <f>SUMPRODUCT(Calc!$K$3:$K$22*(Calc!$G$3:$G$22&gt;B288)*(Calc!$G$3:$G$22-B288)*Calc!$G$3:$G$22)</f>
        <v/>
      </c>
      <c r="N288">
        <f>SUMPRODUCT(Calc!$K$3:$K$22*(Calc!$G$3:$G$22&gt;A288)*(Calc!$G$3:$G$22-A288)*Calc!$I$3:$I$22)</f>
        <v/>
      </c>
      <c r="O288">
        <f>SUMPRODUCT(Calc!$K$3:$K$22*(Calc!$G$3:$G$22&gt;B288)*(Calc!$G$3:$G$22-B288)*Calc!$I$3:$I$22)</f>
        <v/>
      </c>
      <c r="P288">
        <f>I288-G288^2/k_n</f>
        <v/>
      </c>
      <c r="Q288">
        <f>J288-H288^2/k_n</f>
        <v/>
      </c>
      <c r="R288">
        <f>K288-G288*H288/k_n</f>
        <v/>
      </c>
      <c r="S288">
        <f>L288-LTP3!$D$3*G288/k_n</f>
        <v/>
      </c>
      <c r="T288">
        <f>M288-LTP3!$D$3*H288/k_n</f>
        <v/>
      </c>
      <c r="U288">
        <f>N288-G288*LTP3!$D$4/k_n</f>
        <v/>
      </c>
      <c r="V288">
        <f>O288-H288*LTP3!$D$4/k_n</f>
        <v/>
      </c>
      <c r="W288">
        <f>((LTP3!$D$5)*((P288)*(Q288)-(R288)*(R288))-(S288)*((S288)*(Q288)-(R288)*(T288))+(T288)*((S288)*(R288)-(P288)*(T288)))</f>
        <v/>
      </c>
      <c r="X288">
        <f>IF(ABS(W288)&gt;1E-12,((LTP3!$D$6)*((P288)*(Q288)-(R288)*(R288))-(S288)*((U288)*(Q288)-(R288)*(V288))+(T288)*((U288)*(R288)-(P288)*(V288)))/W288,0)</f>
        <v/>
      </c>
      <c r="Y288">
        <f>IF(ABS(W288)&gt;1E-12,((LTP3!$D$5)*((U288)*(Q288)-(R288)*(V288))-(LTP3!$D$6)*((S288)*(Q288)-(R288)*(T288))+(T288)*((S288)*(V288)-(U288)*(T288)))/W288,0)</f>
        <v/>
      </c>
      <c r="Z288">
        <f>IF(ABS(W288)&gt;1E-12,((LTP3!$D$5)*((P288)*(V288)-(U288)*(R288))-(S288)*((S288)*(V288)-(U288)*(T288))+(LTP3!$D$6)*((S288)*(R288)-(P288)*(T288)))/W288,0)</f>
        <v/>
      </c>
      <c r="AA288">
        <f>LTP3!$D$7-X288*LTP3!$D$6-Y288*U288-Z288*V288</f>
        <v/>
      </c>
      <c r="AB288">
        <f>IF(AND(F288,ABS(W288)&gt;1E-12,Y288&gt;0,Z288&gt;0),AA288,1E+300)</f>
        <v/>
      </c>
    </row>
    <row r="289">
      <c r="A289">
        <f>$B$3+$B$5*4</f>
        <v/>
      </c>
      <c r="B289">
        <f>$B$3+$B$5*33</f>
        <v/>
      </c>
      <c r="C289">
        <f>SUMPRODUCT(Calc!$K$3:$K$22*(Calc!$G$3:$G$22&lt;=A289))</f>
        <v/>
      </c>
      <c r="D289">
        <f>SUMPRODUCT(Calc!$K$3:$K$22*(Calc!$G$3:$G$22&gt;A289)*(Calc!$G$3:$G$22&lt;B289))</f>
        <v/>
      </c>
      <c r="E289">
        <f>SUMPRODUCT(Calc!$K$3:$K$22*(Calc!$G$3:$G$22&gt;=B289))</f>
        <v/>
      </c>
      <c r="F289">
        <f>AND(k_n&gt;=5,B289&gt;A289+1E-9,C289&gt;=2,D289&gt;=1,E289&gt;=2)</f>
        <v/>
      </c>
      <c r="G289">
        <f>SUMPRODUCT(Calc!$K$3:$K$22*(Calc!$G$3:$G$22&gt;A289)*(Calc!$G$3:$G$22-A289))</f>
        <v/>
      </c>
      <c r="H289">
        <f>SUMPRODUCT(Calc!$K$3:$K$22*(Calc!$G$3:$G$22&gt;B289)*(Calc!$G$3:$G$22-B289))</f>
        <v/>
      </c>
      <c r="I289">
        <f>SUMPRODUCT(Calc!$K$3:$K$22*(Calc!$G$3:$G$22&gt;A289)*(Calc!$G$3:$G$22-A289)^2)</f>
        <v/>
      </c>
      <c r="J289">
        <f>SUMPRODUCT(Calc!$K$3:$K$22*(Calc!$G$3:$G$22&gt;B289)*(Calc!$G$3:$G$22-B289)^2)</f>
        <v/>
      </c>
      <c r="K289">
        <f>SUMPRODUCT(Calc!$K$3:$K$22*(Calc!$G$3:$G$22&gt;A289)*(Calc!$G$3:$G$22-A289)*(Calc!$G$3:$G$22&gt;B289)*(Calc!$G$3:$G$22-B289))</f>
        <v/>
      </c>
      <c r="L289">
        <f>SUMPRODUCT(Calc!$K$3:$K$22*(Calc!$G$3:$G$22&gt;A289)*(Calc!$G$3:$G$22-A289)*Calc!$G$3:$G$22)</f>
        <v/>
      </c>
      <c r="M289">
        <f>SUMPRODUCT(Calc!$K$3:$K$22*(Calc!$G$3:$G$22&gt;B289)*(Calc!$G$3:$G$22-B289)*Calc!$G$3:$G$22)</f>
        <v/>
      </c>
      <c r="N289">
        <f>SUMPRODUCT(Calc!$K$3:$K$22*(Calc!$G$3:$G$22&gt;A289)*(Calc!$G$3:$G$22-A289)*Calc!$I$3:$I$22)</f>
        <v/>
      </c>
      <c r="O289">
        <f>SUMPRODUCT(Calc!$K$3:$K$22*(Calc!$G$3:$G$22&gt;B289)*(Calc!$G$3:$G$22-B289)*Calc!$I$3:$I$22)</f>
        <v/>
      </c>
      <c r="P289">
        <f>I289-G289^2/k_n</f>
        <v/>
      </c>
      <c r="Q289">
        <f>J289-H289^2/k_n</f>
        <v/>
      </c>
      <c r="R289">
        <f>K289-G289*H289/k_n</f>
        <v/>
      </c>
      <c r="S289">
        <f>L289-LTP3!$D$3*G289/k_n</f>
        <v/>
      </c>
      <c r="T289">
        <f>M289-LTP3!$D$3*H289/k_n</f>
        <v/>
      </c>
      <c r="U289">
        <f>N289-G289*LTP3!$D$4/k_n</f>
        <v/>
      </c>
      <c r="V289">
        <f>O289-H289*LTP3!$D$4/k_n</f>
        <v/>
      </c>
      <c r="W289">
        <f>((LTP3!$D$5)*((P289)*(Q289)-(R289)*(R289))-(S289)*((S289)*(Q289)-(R289)*(T289))+(T289)*((S289)*(R289)-(P289)*(T289)))</f>
        <v/>
      </c>
      <c r="X289">
        <f>IF(ABS(W289)&gt;1E-12,((LTP3!$D$6)*((P289)*(Q289)-(R289)*(R289))-(S289)*((U289)*(Q289)-(R289)*(V289))+(T289)*((U289)*(R289)-(P289)*(V289)))/W289,0)</f>
        <v/>
      </c>
      <c r="Y289">
        <f>IF(ABS(W289)&gt;1E-12,((LTP3!$D$5)*((U289)*(Q289)-(R289)*(V289))-(LTP3!$D$6)*((S289)*(Q289)-(R289)*(T289))+(T289)*((S289)*(V289)-(U289)*(T289)))/W289,0)</f>
        <v/>
      </c>
      <c r="Z289">
        <f>IF(ABS(W289)&gt;1E-12,((LTP3!$D$5)*((P289)*(V289)-(U289)*(R289))-(S289)*((S289)*(V289)-(U289)*(T289))+(LTP3!$D$6)*((S289)*(R289)-(P289)*(T289)))/W289,0)</f>
        <v/>
      </c>
      <c r="AA289">
        <f>LTP3!$D$7-X289*LTP3!$D$6-Y289*U289-Z289*V289</f>
        <v/>
      </c>
      <c r="AB289">
        <f>IF(AND(F289,ABS(W289)&gt;1E-12,Y289&gt;0,Z289&gt;0),AA289,1E+300)</f>
        <v/>
      </c>
    </row>
    <row r="290">
      <c r="A290">
        <f>$B$3+$B$5*4</f>
        <v/>
      </c>
      <c r="B290">
        <f>$B$3+$B$5*34</f>
        <v/>
      </c>
      <c r="C290">
        <f>SUMPRODUCT(Calc!$K$3:$K$22*(Calc!$G$3:$G$22&lt;=A290))</f>
        <v/>
      </c>
      <c r="D290">
        <f>SUMPRODUCT(Calc!$K$3:$K$22*(Calc!$G$3:$G$22&gt;A290)*(Calc!$G$3:$G$22&lt;B290))</f>
        <v/>
      </c>
      <c r="E290">
        <f>SUMPRODUCT(Calc!$K$3:$K$22*(Calc!$G$3:$G$22&gt;=B290))</f>
        <v/>
      </c>
      <c r="F290">
        <f>AND(k_n&gt;=5,B290&gt;A290+1E-9,C290&gt;=2,D290&gt;=1,E290&gt;=2)</f>
        <v/>
      </c>
      <c r="G290">
        <f>SUMPRODUCT(Calc!$K$3:$K$22*(Calc!$G$3:$G$22&gt;A290)*(Calc!$G$3:$G$22-A290))</f>
        <v/>
      </c>
      <c r="H290">
        <f>SUMPRODUCT(Calc!$K$3:$K$22*(Calc!$G$3:$G$22&gt;B290)*(Calc!$G$3:$G$22-B290))</f>
        <v/>
      </c>
      <c r="I290">
        <f>SUMPRODUCT(Calc!$K$3:$K$22*(Calc!$G$3:$G$22&gt;A290)*(Calc!$G$3:$G$22-A290)^2)</f>
        <v/>
      </c>
      <c r="J290">
        <f>SUMPRODUCT(Calc!$K$3:$K$22*(Calc!$G$3:$G$22&gt;B290)*(Calc!$G$3:$G$22-B290)^2)</f>
        <v/>
      </c>
      <c r="K290">
        <f>SUMPRODUCT(Calc!$K$3:$K$22*(Calc!$G$3:$G$22&gt;A290)*(Calc!$G$3:$G$22-A290)*(Calc!$G$3:$G$22&gt;B290)*(Calc!$G$3:$G$22-B290))</f>
        <v/>
      </c>
      <c r="L290">
        <f>SUMPRODUCT(Calc!$K$3:$K$22*(Calc!$G$3:$G$22&gt;A290)*(Calc!$G$3:$G$22-A290)*Calc!$G$3:$G$22)</f>
        <v/>
      </c>
      <c r="M290">
        <f>SUMPRODUCT(Calc!$K$3:$K$22*(Calc!$G$3:$G$22&gt;B290)*(Calc!$G$3:$G$22-B290)*Calc!$G$3:$G$22)</f>
        <v/>
      </c>
      <c r="N290">
        <f>SUMPRODUCT(Calc!$K$3:$K$22*(Calc!$G$3:$G$22&gt;A290)*(Calc!$G$3:$G$22-A290)*Calc!$I$3:$I$22)</f>
        <v/>
      </c>
      <c r="O290">
        <f>SUMPRODUCT(Calc!$K$3:$K$22*(Calc!$G$3:$G$22&gt;B290)*(Calc!$G$3:$G$22-B290)*Calc!$I$3:$I$22)</f>
        <v/>
      </c>
      <c r="P290">
        <f>I290-G290^2/k_n</f>
        <v/>
      </c>
      <c r="Q290">
        <f>J290-H290^2/k_n</f>
        <v/>
      </c>
      <c r="R290">
        <f>K290-G290*H290/k_n</f>
        <v/>
      </c>
      <c r="S290">
        <f>L290-LTP3!$D$3*G290/k_n</f>
        <v/>
      </c>
      <c r="T290">
        <f>M290-LTP3!$D$3*H290/k_n</f>
        <v/>
      </c>
      <c r="U290">
        <f>N290-G290*LTP3!$D$4/k_n</f>
        <v/>
      </c>
      <c r="V290">
        <f>O290-H290*LTP3!$D$4/k_n</f>
        <v/>
      </c>
      <c r="W290">
        <f>((LTP3!$D$5)*((P290)*(Q290)-(R290)*(R290))-(S290)*((S290)*(Q290)-(R290)*(T290))+(T290)*((S290)*(R290)-(P290)*(T290)))</f>
        <v/>
      </c>
      <c r="X290">
        <f>IF(ABS(W290)&gt;1E-12,((LTP3!$D$6)*((P290)*(Q290)-(R290)*(R290))-(S290)*((U290)*(Q290)-(R290)*(V290))+(T290)*((U290)*(R290)-(P290)*(V290)))/W290,0)</f>
        <v/>
      </c>
      <c r="Y290">
        <f>IF(ABS(W290)&gt;1E-12,((LTP3!$D$5)*((U290)*(Q290)-(R290)*(V290))-(LTP3!$D$6)*((S290)*(Q290)-(R290)*(T290))+(T290)*((S290)*(V290)-(U290)*(T290)))/W290,0)</f>
        <v/>
      </c>
      <c r="Z290">
        <f>IF(ABS(W290)&gt;1E-12,((LTP3!$D$5)*((P290)*(V290)-(U290)*(R290))-(S290)*((S290)*(V290)-(U290)*(T290))+(LTP3!$D$6)*((S290)*(R290)-(P290)*(T290)))/W290,0)</f>
        <v/>
      </c>
      <c r="AA290">
        <f>LTP3!$D$7-X290*LTP3!$D$6-Y290*U290-Z290*V290</f>
        <v/>
      </c>
      <c r="AB290">
        <f>IF(AND(F290,ABS(W290)&gt;1E-12,Y290&gt;0,Z290&gt;0),AA290,1E+300)</f>
        <v/>
      </c>
    </row>
    <row r="291">
      <c r="A291">
        <f>$B$3+$B$5*4</f>
        <v/>
      </c>
      <c r="B291">
        <f>$B$3+$B$5*35</f>
        <v/>
      </c>
      <c r="C291">
        <f>SUMPRODUCT(Calc!$K$3:$K$22*(Calc!$G$3:$G$22&lt;=A291))</f>
        <v/>
      </c>
      <c r="D291">
        <f>SUMPRODUCT(Calc!$K$3:$K$22*(Calc!$G$3:$G$22&gt;A291)*(Calc!$G$3:$G$22&lt;B291))</f>
        <v/>
      </c>
      <c r="E291">
        <f>SUMPRODUCT(Calc!$K$3:$K$22*(Calc!$G$3:$G$22&gt;=B291))</f>
        <v/>
      </c>
      <c r="F291">
        <f>AND(k_n&gt;=5,B291&gt;A291+1E-9,C291&gt;=2,D291&gt;=1,E291&gt;=2)</f>
        <v/>
      </c>
      <c r="G291">
        <f>SUMPRODUCT(Calc!$K$3:$K$22*(Calc!$G$3:$G$22&gt;A291)*(Calc!$G$3:$G$22-A291))</f>
        <v/>
      </c>
      <c r="H291">
        <f>SUMPRODUCT(Calc!$K$3:$K$22*(Calc!$G$3:$G$22&gt;B291)*(Calc!$G$3:$G$22-B291))</f>
        <v/>
      </c>
      <c r="I291">
        <f>SUMPRODUCT(Calc!$K$3:$K$22*(Calc!$G$3:$G$22&gt;A291)*(Calc!$G$3:$G$22-A291)^2)</f>
        <v/>
      </c>
      <c r="J291">
        <f>SUMPRODUCT(Calc!$K$3:$K$22*(Calc!$G$3:$G$22&gt;B291)*(Calc!$G$3:$G$22-B291)^2)</f>
        <v/>
      </c>
      <c r="K291">
        <f>SUMPRODUCT(Calc!$K$3:$K$22*(Calc!$G$3:$G$22&gt;A291)*(Calc!$G$3:$G$22-A291)*(Calc!$G$3:$G$22&gt;B291)*(Calc!$G$3:$G$22-B291))</f>
        <v/>
      </c>
      <c r="L291">
        <f>SUMPRODUCT(Calc!$K$3:$K$22*(Calc!$G$3:$G$22&gt;A291)*(Calc!$G$3:$G$22-A291)*Calc!$G$3:$G$22)</f>
        <v/>
      </c>
      <c r="M291">
        <f>SUMPRODUCT(Calc!$K$3:$K$22*(Calc!$G$3:$G$22&gt;B291)*(Calc!$G$3:$G$22-B291)*Calc!$G$3:$G$22)</f>
        <v/>
      </c>
      <c r="N291">
        <f>SUMPRODUCT(Calc!$K$3:$K$22*(Calc!$G$3:$G$22&gt;A291)*(Calc!$G$3:$G$22-A291)*Calc!$I$3:$I$22)</f>
        <v/>
      </c>
      <c r="O291">
        <f>SUMPRODUCT(Calc!$K$3:$K$22*(Calc!$G$3:$G$22&gt;B291)*(Calc!$G$3:$G$22-B291)*Calc!$I$3:$I$22)</f>
        <v/>
      </c>
      <c r="P291">
        <f>I291-G291^2/k_n</f>
        <v/>
      </c>
      <c r="Q291">
        <f>J291-H291^2/k_n</f>
        <v/>
      </c>
      <c r="R291">
        <f>K291-G291*H291/k_n</f>
        <v/>
      </c>
      <c r="S291">
        <f>L291-LTP3!$D$3*G291/k_n</f>
        <v/>
      </c>
      <c r="T291">
        <f>M291-LTP3!$D$3*H291/k_n</f>
        <v/>
      </c>
      <c r="U291">
        <f>N291-G291*LTP3!$D$4/k_n</f>
        <v/>
      </c>
      <c r="V291">
        <f>O291-H291*LTP3!$D$4/k_n</f>
        <v/>
      </c>
      <c r="W291">
        <f>((LTP3!$D$5)*((P291)*(Q291)-(R291)*(R291))-(S291)*((S291)*(Q291)-(R291)*(T291))+(T291)*((S291)*(R291)-(P291)*(T291)))</f>
        <v/>
      </c>
      <c r="X291">
        <f>IF(ABS(W291)&gt;1E-12,((LTP3!$D$6)*((P291)*(Q291)-(R291)*(R291))-(S291)*((U291)*(Q291)-(R291)*(V291))+(T291)*((U291)*(R291)-(P291)*(V291)))/W291,0)</f>
        <v/>
      </c>
      <c r="Y291">
        <f>IF(ABS(W291)&gt;1E-12,((LTP3!$D$5)*((U291)*(Q291)-(R291)*(V291))-(LTP3!$D$6)*((S291)*(Q291)-(R291)*(T291))+(T291)*((S291)*(V291)-(U291)*(T291)))/W291,0)</f>
        <v/>
      </c>
      <c r="Z291">
        <f>IF(ABS(W291)&gt;1E-12,((LTP3!$D$5)*((P291)*(V291)-(U291)*(R291))-(S291)*((S291)*(V291)-(U291)*(T291))+(LTP3!$D$6)*((S291)*(R291)-(P291)*(T291)))/W291,0)</f>
        <v/>
      </c>
      <c r="AA291">
        <f>LTP3!$D$7-X291*LTP3!$D$6-Y291*U291-Z291*V291</f>
        <v/>
      </c>
      <c r="AB291">
        <f>IF(AND(F291,ABS(W291)&gt;1E-12,Y291&gt;0,Z291&gt;0),AA291,1E+300)</f>
        <v/>
      </c>
    </row>
    <row r="292">
      <c r="A292">
        <f>$B$3+$B$5*4</f>
        <v/>
      </c>
      <c r="B292">
        <f>$B$3+$B$5*36</f>
        <v/>
      </c>
      <c r="C292">
        <f>SUMPRODUCT(Calc!$K$3:$K$22*(Calc!$G$3:$G$22&lt;=A292))</f>
        <v/>
      </c>
      <c r="D292">
        <f>SUMPRODUCT(Calc!$K$3:$K$22*(Calc!$G$3:$G$22&gt;A292)*(Calc!$G$3:$G$22&lt;B292))</f>
        <v/>
      </c>
      <c r="E292">
        <f>SUMPRODUCT(Calc!$K$3:$K$22*(Calc!$G$3:$G$22&gt;=B292))</f>
        <v/>
      </c>
      <c r="F292">
        <f>AND(k_n&gt;=5,B292&gt;A292+1E-9,C292&gt;=2,D292&gt;=1,E292&gt;=2)</f>
        <v/>
      </c>
      <c r="G292">
        <f>SUMPRODUCT(Calc!$K$3:$K$22*(Calc!$G$3:$G$22&gt;A292)*(Calc!$G$3:$G$22-A292))</f>
        <v/>
      </c>
      <c r="H292">
        <f>SUMPRODUCT(Calc!$K$3:$K$22*(Calc!$G$3:$G$22&gt;B292)*(Calc!$G$3:$G$22-B292))</f>
        <v/>
      </c>
      <c r="I292">
        <f>SUMPRODUCT(Calc!$K$3:$K$22*(Calc!$G$3:$G$22&gt;A292)*(Calc!$G$3:$G$22-A292)^2)</f>
        <v/>
      </c>
      <c r="J292">
        <f>SUMPRODUCT(Calc!$K$3:$K$22*(Calc!$G$3:$G$22&gt;B292)*(Calc!$G$3:$G$22-B292)^2)</f>
        <v/>
      </c>
      <c r="K292">
        <f>SUMPRODUCT(Calc!$K$3:$K$22*(Calc!$G$3:$G$22&gt;A292)*(Calc!$G$3:$G$22-A292)*(Calc!$G$3:$G$22&gt;B292)*(Calc!$G$3:$G$22-B292))</f>
        <v/>
      </c>
      <c r="L292">
        <f>SUMPRODUCT(Calc!$K$3:$K$22*(Calc!$G$3:$G$22&gt;A292)*(Calc!$G$3:$G$22-A292)*Calc!$G$3:$G$22)</f>
        <v/>
      </c>
      <c r="M292">
        <f>SUMPRODUCT(Calc!$K$3:$K$22*(Calc!$G$3:$G$22&gt;B292)*(Calc!$G$3:$G$22-B292)*Calc!$G$3:$G$22)</f>
        <v/>
      </c>
      <c r="N292">
        <f>SUMPRODUCT(Calc!$K$3:$K$22*(Calc!$G$3:$G$22&gt;A292)*(Calc!$G$3:$G$22-A292)*Calc!$I$3:$I$22)</f>
        <v/>
      </c>
      <c r="O292">
        <f>SUMPRODUCT(Calc!$K$3:$K$22*(Calc!$G$3:$G$22&gt;B292)*(Calc!$G$3:$G$22-B292)*Calc!$I$3:$I$22)</f>
        <v/>
      </c>
      <c r="P292">
        <f>I292-G292^2/k_n</f>
        <v/>
      </c>
      <c r="Q292">
        <f>J292-H292^2/k_n</f>
        <v/>
      </c>
      <c r="R292">
        <f>K292-G292*H292/k_n</f>
        <v/>
      </c>
      <c r="S292">
        <f>L292-LTP3!$D$3*G292/k_n</f>
        <v/>
      </c>
      <c r="T292">
        <f>M292-LTP3!$D$3*H292/k_n</f>
        <v/>
      </c>
      <c r="U292">
        <f>N292-G292*LTP3!$D$4/k_n</f>
        <v/>
      </c>
      <c r="V292">
        <f>O292-H292*LTP3!$D$4/k_n</f>
        <v/>
      </c>
      <c r="W292">
        <f>((LTP3!$D$5)*((P292)*(Q292)-(R292)*(R292))-(S292)*((S292)*(Q292)-(R292)*(T292))+(T292)*((S292)*(R292)-(P292)*(T292)))</f>
        <v/>
      </c>
      <c r="X292">
        <f>IF(ABS(W292)&gt;1E-12,((LTP3!$D$6)*((P292)*(Q292)-(R292)*(R292))-(S292)*((U292)*(Q292)-(R292)*(V292))+(T292)*((U292)*(R292)-(P292)*(V292)))/W292,0)</f>
        <v/>
      </c>
      <c r="Y292">
        <f>IF(ABS(W292)&gt;1E-12,((LTP3!$D$5)*((U292)*(Q292)-(R292)*(V292))-(LTP3!$D$6)*((S292)*(Q292)-(R292)*(T292))+(T292)*((S292)*(V292)-(U292)*(T292)))/W292,0)</f>
        <v/>
      </c>
      <c r="Z292">
        <f>IF(ABS(W292)&gt;1E-12,((LTP3!$D$5)*((P292)*(V292)-(U292)*(R292))-(S292)*((S292)*(V292)-(U292)*(T292))+(LTP3!$D$6)*((S292)*(R292)-(P292)*(T292)))/W292,0)</f>
        <v/>
      </c>
      <c r="AA292">
        <f>LTP3!$D$7-X292*LTP3!$D$6-Y292*U292-Z292*V292</f>
        <v/>
      </c>
      <c r="AB292">
        <f>IF(AND(F292,ABS(W292)&gt;1E-12,Y292&gt;0,Z292&gt;0),AA292,1E+300)</f>
        <v/>
      </c>
    </row>
    <row r="293">
      <c r="A293">
        <f>$B$3+$B$5*4</f>
        <v/>
      </c>
      <c r="B293">
        <f>$B$3+$B$5*37</f>
        <v/>
      </c>
      <c r="C293">
        <f>SUMPRODUCT(Calc!$K$3:$K$22*(Calc!$G$3:$G$22&lt;=A293))</f>
        <v/>
      </c>
      <c r="D293">
        <f>SUMPRODUCT(Calc!$K$3:$K$22*(Calc!$G$3:$G$22&gt;A293)*(Calc!$G$3:$G$22&lt;B293))</f>
        <v/>
      </c>
      <c r="E293">
        <f>SUMPRODUCT(Calc!$K$3:$K$22*(Calc!$G$3:$G$22&gt;=B293))</f>
        <v/>
      </c>
      <c r="F293">
        <f>AND(k_n&gt;=5,B293&gt;A293+1E-9,C293&gt;=2,D293&gt;=1,E293&gt;=2)</f>
        <v/>
      </c>
      <c r="G293">
        <f>SUMPRODUCT(Calc!$K$3:$K$22*(Calc!$G$3:$G$22&gt;A293)*(Calc!$G$3:$G$22-A293))</f>
        <v/>
      </c>
      <c r="H293">
        <f>SUMPRODUCT(Calc!$K$3:$K$22*(Calc!$G$3:$G$22&gt;B293)*(Calc!$G$3:$G$22-B293))</f>
        <v/>
      </c>
      <c r="I293">
        <f>SUMPRODUCT(Calc!$K$3:$K$22*(Calc!$G$3:$G$22&gt;A293)*(Calc!$G$3:$G$22-A293)^2)</f>
        <v/>
      </c>
      <c r="J293">
        <f>SUMPRODUCT(Calc!$K$3:$K$22*(Calc!$G$3:$G$22&gt;B293)*(Calc!$G$3:$G$22-B293)^2)</f>
        <v/>
      </c>
      <c r="K293">
        <f>SUMPRODUCT(Calc!$K$3:$K$22*(Calc!$G$3:$G$22&gt;A293)*(Calc!$G$3:$G$22-A293)*(Calc!$G$3:$G$22&gt;B293)*(Calc!$G$3:$G$22-B293))</f>
        <v/>
      </c>
      <c r="L293">
        <f>SUMPRODUCT(Calc!$K$3:$K$22*(Calc!$G$3:$G$22&gt;A293)*(Calc!$G$3:$G$22-A293)*Calc!$G$3:$G$22)</f>
        <v/>
      </c>
      <c r="M293">
        <f>SUMPRODUCT(Calc!$K$3:$K$22*(Calc!$G$3:$G$22&gt;B293)*(Calc!$G$3:$G$22-B293)*Calc!$G$3:$G$22)</f>
        <v/>
      </c>
      <c r="N293">
        <f>SUMPRODUCT(Calc!$K$3:$K$22*(Calc!$G$3:$G$22&gt;A293)*(Calc!$G$3:$G$22-A293)*Calc!$I$3:$I$22)</f>
        <v/>
      </c>
      <c r="O293">
        <f>SUMPRODUCT(Calc!$K$3:$K$22*(Calc!$G$3:$G$22&gt;B293)*(Calc!$G$3:$G$22-B293)*Calc!$I$3:$I$22)</f>
        <v/>
      </c>
      <c r="P293">
        <f>I293-G293^2/k_n</f>
        <v/>
      </c>
      <c r="Q293">
        <f>J293-H293^2/k_n</f>
        <v/>
      </c>
      <c r="R293">
        <f>K293-G293*H293/k_n</f>
        <v/>
      </c>
      <c r="S293">
        <f>L293-LTP3!$D$3*G293/k_n</f>
        <v/>
      </c>
      <c r="T293">
        <f>M293-LTP3!$D$3*H293/k_n</f>
        <v/>
      </c>
      <c r="U293">
        <f>N293-G293*LTP3!$D$4/k_n</f>
        <v/>
      </c>
      <c r="V293">
        <f>O293-H293*LTP3!$D$4/k_n</f>
        <v/>
      </c>
      <c r="W293">
        <f>((LTP3!$D$5)*((P293)*(Q293)-(R293)*(R293))-(S293)*((S293)*(Q293)-(R293)*(T293))+(T293)*((S293)*(R293)-(P293)*(T293)))</f>
        <v/>
      </c>
      <c r="X293">
        <f>IF(ABS(W293)&gt;1E-12,((LTP3!$D$6)*((P293)*(Q293)-(R293)*(R293))-(S293)*((U293)*(Q293)-(R293)*(V293))+(T293)*((U293)*(R293)-(P293)*(V293)))/W293,0)</f>
        <v/>
      </c>
      <c r="Y293">
        <f>IF(ABS(W293)&gt;1E-12,((LTP3!$D$5)*((U293)*(Q293)-(R293)*(V293))-(LTP3!$D$6)*((S293)*(Q293)-(R293)*(T293))+(T293)*((S293)*(V293)-(U293)*(T293)))/W293,0)</f>
        <v/>
      </c>
      <c r="Z293">
        <f>IF(ABS(W293)&gt;1E-12,((LTP3!$D$5)*((P293)*(V293)-(U293)*(R293))-(S293)*((S293)*(V293)-(U293)*(T293))+(LTP3!$D$6)*((S293)*(R293)-(P293)*(T293)))/W293,0)</f>
        <v/>
      </c>
      <c r="AA293">
        <f>LTP3!$D$7-X293*LTP3!$D$6-Y293*U293-Z293*V293</f>
        <v/>
      </c>
      <c r="AB293">
        <f>IF(AND(F293,ABS(W293)&gt;1E-12,Y293&gt;0,Z293&gt;0),AA293,1E+300)</f>
        <v/>
      </c>
    </row>
    <row r="294">
      <c r="A294">
        <f>$B$3+$B$5*4</f>
        <v/>
      </c>
      <c r="B294">
        <f>$B$3+$B$5*38</f>
        <v/>
      </c>
      <c r="C294">
        <f>SUMPRODUCT(Calc!$K$3:$K$22*(Calc!$G$3:$G$22&lt;=A294))</f>
        <v/>
      </c>
      <c r="D294">
        <f>SUMPRODUCT(Calc!$K$3:$K$22*(Calc!$G$3:$G$22&gt;A294)*(Calc!$G$3:$G$22&lt;B294))</f>
        <v/>
      </c>
      <c r="E294">
        <f>SUMPRODUCT(Calc!$K$3:$K$22*(Calc!$G$3:$G$22&gt;=B294))</f>
        <v/>
      </c>
      <c r="F294">
        <f>AND(k_n&gt;=5,B294&gt;A294+1E-9,C294&gt;=2,D294&gt;=1,E294&gt;=2)</f>
        <v/>
      </c>
      <c r="G294">
        <f>SUMPRODUCT(Calc!$K$3:$K$22*(Calc!$G$3:$G$22&gt;A294)*(Calc!$G$3:$G$22-A294))</f>
        <v/>
      </c>
      <c r="H294">
        <f>SUMPRODUCT(Calc!$K$3:$K$22*(Calc!$G$3:$G$22&gt;B294)*(Calc!$G$3:$G$22-B294))</f>
        <v/>
      </c>
      <c r="I294">
        <f>SUMPRODUCT(Calc!$K$3:$K$22*(Calc!$G$3:$G$22&gt;A294)*(Calc!$G$3:$G$22-A294)^2)</f>
        <v/>
      </c>
      <c r="J294">
        <f>SUMPRODUCT(Calc!$K$3:$K$22*(Calc!$G$3:$G$22&gt;B294)*(Calc!$G$3:$G$22-B294)^2)</f>
        <v/>
      </c>
      <c r="K294">
        <f>SUMPRODUCT(Calc!$K$3:$K$22*(Calc!$G$3:$G$22&gt;A294)*(Calc!$G$3:$G$22-A294)*(Calc!$G$3:$G$22&gt;B294)*(Calc!$G$3:$G$22-B294))</f>
        <v/>
      </c>
      <c r="L294">
        <f>SUMPRODUCT(Calc!$K$3:$K$22*(Calc!$G$3:$G$22&gt;A294)*(Calc!$G$3:$G$22-A294)*Calc!$G$3:$G$22)</f>
        <v/>
      </c>
      <c r="M294">
        <f>SUMPRODUCT(Calc!$K$3:$K$22*(Calc!$G$3:$G$22&gt;B294)*(Calc!$G$3:$G$22-B294)*Calc!$G$3:$G$22)</f>
        <v/>
      </c>
      <c r="N294">
        <f>SUMPRODUCT(Calc!$K$3:$K$22*(Calc!$G$3:$G$22&gt;A294)*(Calc!$G$3:$G$22-A294)*Calc!$I$3:$I$22)</f>
        <v/>
      </c>
      <c r="O294">
        <f>SUMPRODUCT(Calc!$K$3:$K$22*(Calc!$G$3:$G$22&gt;B294)*(Calc!$G$3:$G$22-B294)*Calc!$I$3:$I$22)</f>
        <v/>
      </c>
      <c r="P294">
        <f>I294-G294^2/k_n</f>
        <v/>
      </c>
      <c r="Q294">
        <f>J294-H294^2/k_n</f>
        <v/>
      </c>
      <c r="R294">
        <f>K294-G294*H294/k_n</f>
        <v/>
      </c>
      <c r="S294">
        <f>L294-LTP3!$D$3*G294/k_n</f>
        <v/>
      </c>
      <c r="T294">
        <f>M294-LTP3!$D$3*H294/k_n</f>
        <v/>
      </c>
      <c r="U294">
        <f>N294-G294*LTP3!$D$4/k_n</f>
        <v/>
      </c>
      <c r="V294">
        <f>O294-H294*LTP3!$D$4/k_n</f>
        <v/>
      </c>
      <c r="W294">
        <f>((LTP3!$D$5)*((P294)*(Q294)-(R294)*(R294))-(S294)*((S294)*(Q294)-(R294)*(T294))+(T294)*((S294)*(R294)-(P294)*(T294)))</f>
        <v/>
      </c>
      <c r="X294">
        <f>IF(ABS(W294)&gt;1E-12,((LTP3!$D$6)*((P294)*(Q294)-(R294)*(R294))-(S294)*((U294)*(Q294)-(R294)*(V294))+(T294)*((U294)*(R294)-(P294)*(V294)))/W294,0)</f>
        <v/>
      </c>
      <c r="Y294">
        <f>IF(ABS(W294)&gt;1E-12,((LTP3!$D$5)*((U294)*(Q294)-(R294)*(V294))-(LTP3!$D$6)*((S294)*(Q294)-(R294)*(T294))+(T294)*((S294)*(V294)-(U294)*(T294)))/W294,0)</f>
        <v/>
      </c>
      <c r="Z294">
        <f>IF(ABS(W294)&gt;1E-12,((LTP3!$D$5)*((P294)*(V294)-(U294)*(R294))-(S294)*((S294)*(V294)-(U294)*(T294))+(LTP3!$D$6)*((S294)*(R294)-(P294)*(T294)))/W294,0)</f>
        <v/>
      </c>
      <c r="AA294">
        <f>LTP3!$D$7-X294*LTP3!$D$6-Y294*U294-Z294*V294</f>
        <v/>
      </c>
      <c r="AB294">
        <f>IF(AND(F294,ABS(W294)&gt;1E-12,Y294&gt;0,Z294&gt;0),AA294,1E+300)</f>
        <v/>
      </c>
    </row>
    <row r="295">
      <c r="A295">
        <f>$B$3+$B$5*4</f>
        <v/>
      </c>
      <c r="B295">
        <f>$B$3+$B$5*39</f>
        <v/>
      </c>
      <c r="C295">
        <f>SUMPRODUCT(Calc!$K$3:$K$22*(Calc!$G$3:$G$22&lt;=A295))</f>
        <v/>
      </c>
      <c r="D295">
        <f>SUMPRODUCT(Calc!$K$3:$K$22*(Calc!$G$3:$G$22&gt;A295)*(Calc!$G$3:$G$22&lt;B295))</f>
        <v/>
      </c>
      <c r="E295">
        <f>SUMPRODUCT(Calc!$K$3:$K$22*(Calc!$G$3:$G$22&gt;=B295))</f>
        <v/>
      </c>
      <c r="F295">
        <f>AND(k_n&gt;=5,B295&gt;A295+1E-9,C295&gt;=2,D295&gt;=1,E295&gt;=2)</f>
        <v/>
      </c>
      <c r="G295">
        <f>SUMPRODUCT(Calc!$K$3:$K$22*(Calc!$G$3:$G$22&gt;A295)*(Calc!$G$3:$G$22-A295))</f>
        <v/>
      </c>
      <c r="H295">
        <f>SUMPRODUCT(Calc!$K$3:$K$22*(Calc!$G$3:$G$22&gt;B295)*(Calc!$G$3:$G$22-B295))</f>
        <v/>
      </c>
      <c r="I295">
        <f>SUMPRODUCT(Calc!$K$3:$K$22*(Calc!$G$3:$G$22&gt;A295)*(Calc!$G$3:$G$22-A295)^2)</f>
        <v/>
      </c>
      <c r="J295">
        <f>SUMPRODUCT(Calc!$K$3:$K$22*(Calc!$G$3:$G$22&gt;B295)*(Calc!$G$3:$G$22-B295)^2)</f>
        <v/>
      </c>
      <c r="K295">
        <f>SUMPRODUCT(Calc!$K$3:$K$22*(Calc!$G$3:$G$22&gt;A295)*(Calc!$G$3:$G$22-A295)*(Calc!$G$3:$G$22&gt;B295)*(Calc!$G$3:$G$22-B295))</f>
        <v/>
      </c>
      <c r="L295">
        <f>SUMPRODUCT(Calc!$K$3:$K$22*(Calc!$G$3:$G$22&gt;A295)*(Calc!$G$3:$G$22-A295)*Calc!$G$3:$G$22)</f>
        <v/>
      </c>
      <c r="M295">
        <f>SUMPRODUCT(Calc!$K$3:$K$22*(Calc!$G$3:$G$22&gt;B295)*(Calc!$G$3:$G$22-B295)*Calc!$G$3:$G$22)</f>
        <v/>
      </c>
      <c r="N295">
        <f>SUMPRODUCT(Calc!$K$3:$K$22*(Calc!$G$3:$G$22&gt;A295)*(Calc!$G$3:$G$22-A295)*Calc!$I$3:$I$22)</f>
        <v/>
      </c>
      <c r="O295">
        <f>SUMPRODUCT(Calc!$K$3:$K$22*(Calc!$G$3:$G$22&gt;B295)*(Calc!$G$3:$G$22-B295)*Calc!$I$3:$I$22)</f>
        <v/>
      </c>
      <c r="P295">
        <f>I295-G295^2/k_n</f>
        <v/>
      </c>
      <c r="Q295">
        <f>J295-H295^2/k_n</f>
        <v/>
      </c>
      <c r="R295">
        <f>K295-G295*H295/k_n</f>
        <v/>
      </c>
      <c r="S295">
        <f>L295-LTP3!$D$3*G295/k_n</f>
        <v/>
      </c>
      <c r="T295">
        <f>M295-LTP3!$D$3*H295/k_n</f>
        <v/>
      </c>
      <c r="U295">
        <f>N295-G295*LTP3!$D$4/k_n</f>
        <v/>
      </c>
      <c r="V295">
        <f>O295-H295*LTP3!$D$4/k_n</f>
        <v/>
      </c>
      <c r="W295">
        <f>((LTP3!$D$5)*((P295)*(Q295)-(R295)*(R295))-(S295)*((S295)*(Q295)-(R295)*(T295))+(T295)*((S295)*(R295)-(P295)*(T295)))</f>
        <v/>
      </c>
      <c r="X295">
        <f>IF(ABS(W295)&gt;1E-12,((LTP3!$D$6)*((P295)*(Q295)-(R295)*(R295))-(S295)*((U295)*(Q295)-(R295)*(V295))+(T295)*((U295)*(R295)-(P295)*(V295)))/W295,0)</f>
        <v/>
      </c>
      <c r="Y295">
        <f>IF(ABS(W295)&gt;1E-12,((LTP3!$D$5)*((U295)*(Q295)-(R295)*(V295))-(LTP3!$D$6)*((S295)*(Q295)-(R295)*(T295))+(T295)*((S295)*(V295)-(U295)*(T295)))/W295,0)</f>
        <v/>
      </c>
      <c r="Z295">
        <f>IF(ABS(W295)&gt;1E-12,((LTP3!$D$5)*((P295)*(V295)-(U295)*(R295))-(S295)*((S295)*(V295)-(U295)*(T295))+(LTP3!$D$6)*((S295)*(R295)-(P295)*(T295)))/W295,0)</f>
        <v/>
      </c>
      <c r="AA295">
        <f>LTP3!$D$7-X295*LTP3!$D$6-Y295*U295-Z295*V295</f>
        <v/>
      </c>
      <c r="AB295">
        <f>IF(AND(F295,ABS(W295)&gt;1E-12,Y295&gt;0,Z295&gt;0),AA295,1E+300)</f>
        <v/>
      </c>
    </row>
    <row r="296">
      <c r="A296">
        <f>$B$3+$B$5*4</f>
        <v/>
      </c>
      <c r="B296">
        <f>$B$3+$B$5*40</f>
        <v/>
      </c>
      <c r="C296">
        <f>SUMPRODUCT(Calc!$K$3:$K$22*(Calc!$G$3:$G$22&lt;=A296))</f>
        <v/>
      </c>
      <c r="D296">
        <f>SUMPRODUCT(Calc!$K$3:$K$22*(Calc!$G$3:$G$22&gt;A296)*(Calc!$G$3:$G$22&lt;B296))</f>
        <v/>
      </c>
      <c r="E296">
        <f>SUMPRODUCT(Calc!$K$3:$K$22*(Calc!$G$3:$G$22&gt;=B296))</f>
        <v/>
      </c>
      <c r="F296">
        <f>AND(k_n&gt;=5,B296&gt;A296+1E-9,C296&gt;=2,D296&gt;=1,E296&gt;=2)</f>
        <v/>
      </c>
      <c r="G296">
        <f>SUMPRODUCT(Calc!$K$3:$K$22*(Calc!$G$3:$G$22&gt;A296)*(Calc!$G$3:$G$22-A296))</f>
        <v/>
      </c>
      <c r="H296">
        <f>SUMPRODUCT(Calc!$K$3:$K$22*(Calc!$G$3:$G$22&gt;B296)*(Calc!$G$3:$G$22-B296))</f>
        <v/>
      </c>
      <c r="I296">
        <f>SUMPRODUCT(Calc!$K$3:$K$22*(Calc!$G$3:$G$22&gt;A296)*(Calc!$G$3:$G$22-A296)^2)</f>
        <v/>
      </c>
      <c r="J296">
        <f>SUMPRODUCT(Calc!$K$3:$K$22*(Calc!$G$3:$G$22&gt;B296)*(Calc!$G$3:$G$22-B296)^2)</f>
        <v/>
      </c>
      <c r="K296">
        <f>SUMPRODUCT(Calc!$K$3:$K$22*(Calc!$G$3:$G$22&gt;A296)*(Calc!$G$3:$G$22-A296)*(Calc!$G$3:$G$22&gt;B296)*(Calc!$G$3:$G$22-B296))</f>
        <v/>
      </c>
      <c r="L296">
        <f>SUMPRODUCT(Calc!$K$3:$K$22*(Calc!$G$3:$G$22&gt;A296)*(Calc!$G$3:$G$22-A296)*Calc!$G$3:$G$22)</f>
        <v/>
      </c>
      <c r="M296">
        <f>SUMPRODUCT(Calc!$K$3:$K$22*(Calc!$G$3:$G$22&gt;B296)*(Calc!$G$3:$G$22-B296)*Calc!$G$3:$G$22)</f>
        <v/>
      </c>
      <c r="N296">
        <f>SUMPRODUCT(Calc!$K$3:$K$22*(Calc!$G$3:$G$22&gt;A296)*(Calc!$G$3:$G$22-A296)*Calc!$I$3:$I$22)</f>
        <v/>
      </c>
      <c r="O296">
        <f>SUMPRODUCT(Calc!$K$3:$K$22*(Calc!$G$3:$G$22&gt;B296)*(Calc!$G$3:$G$22-B296)*Calc!$I$3:$I$22)</f>
        <v/>
      </c>
      <c r="P296">
        <f>I296-G296^2/k_n</f>
        <v/>
      </c>
      <c r="Q296">
        <f>J296-H296^2/k_n</f>
        <v/>
      </c>
      <c r="R296">
        <f>K296-G296*H296/k_n</f>
        <v/>
      </c>
      <c r="S296">
        <f>L296-LTP3!$D$3*G296/k_n</f>
        <v/>
      </c>
      <c r="T296">
        <f>M296-LTP3!$D$3*H296/k_n</f>
        <v/>
      </c>
      <c r="U296">
        <f>N296-G296*LTP3!$D$4/k_n</f>
        <v/>
      </c>
      <c r="V296">
        <f>O296-H296*LTP3!$D$4/k_n</f>
        <v/>
      </c>
      <c r="W296">
        <f>((LTP3!$D$5)*((P296)*(Q296)-(R296)*(R296))-(S296)*((S296)*(Q296)-(R296)*(T296))+(T296)*((S296)*(R296)-(P296)*(T296)))</f>
        <v/>
      </c>
      <c r="X296">
        <f>IF(ABS(W296)&gt;1E-12,((LTP3!$D$6)*((P296)*(Q296)-(R296)*(R296))-(S296)*((U296)*(Q296)-(R296)*(V296))+(T296)*((U296)*(R296)-(P296)*(V296)))/W296,0)</f>
        <v/>
      </c>
      <c r="Y296">
        <f>IF(ABS(W296)&gt;1E-12,((LTP3!$D$5)*((U296)*(Q296)-(R296)*(V296))-(LTP3!$D$6)*((S296)*(Q296)-(R296)*(T296))+(T296)*((S296)*(V296)-(U296)*(T296)))/W296,0)</f>
        <v/>
      </c>
      <c r="Z296">
        <f>IF(ABS(W296)&gt;1E-12,((LTP3!$D$5)*((P296)*(V296)-(U296)*(R296))-(S296)*((S296)*(V296)-(U296)*(T296))+(LTP3!$D$6)*((S296)*(R296)-(P296)*(T296)))/W296,0)</f>
        <v/>
      </c>
      <c r="AA296">
        <f>LTP3!$D$7-X296*LTP3!$D$6-Y296*U296-Z296*V296</f>
        <v/>
      </c>
      <c r="AB296">
        <f>IF(AND(F296,ABS(W296)&gt;1E-12,Y296&gt;0,Z296&gt;0),AA296,1E+300)</f>
        <v/>
      </c>
    </row>
    <row r="297">
      <c r="A297">
        <f>$B$3+$B$5*4</f>
        <v/>
      </c>
      <c r="B297">
        <f>$B$3+$B$5*41</f>
        <v/>
      </c>
      <c r="C297">
        <f>SUMPRODUCT(Calc!$K$3:$K$22*(Calc!$G$3:$G$22&lt;=A297))</f>
        <v/>
      </c>
      <c r="D297">
        <f>SUMPRODUCT(Calc!$K$3:$K$22*(Calc!$G$3:$G$22&gt;A297)*(Calc!$G$3:$G$22&lt;B297))</f>
        <v/>
      </c>
      <c r="E297">
        <f>SUMPRODUCT(Calc!$K$3:$K$22*(Calc!$G$3:$G$22&gt;=B297))</f>
        <v/>
      </c>
      <c r="F297">
        <f>AND(k_n&gt;=5,B297&gt;A297+1E-9,C297&gt;=2,D297&gt;=1,E297&gt;=2)</f>
        <v/>
      </c>
      <c r="G297">
        <f>SUMPRODUCT(Calc!$K$3:$K$22*(Calc!$G$3:$G$22&gt;A297)*(Calc!$G$3:$G$22-A297))</f>
        <v/>
      </c>
      <c r="H297">
        <f>SUMPRODUCT(Calc!$K$3:$K$22*(Calc!$G$3:$G$22&gt;B297)*(Calc!$G$3:$G$22-B297))</f>
        <v/>
      </c>
      <c r="I297">
        <f>SUMPRODUCT(Calc!$K$3:$K$22*(Calc!$G$3:$G$22&gt;A297)*(Calc!$G$3:$G$22-A297)^2)</f>
        <v/>
      </c>
      <c r="J297">
        <f>SUMPRODUCT(Calc!$K$3:$K$22*(Calc!$G$3:$G$22&gt;B297)*(Calc!$G$3:$G$22-B297)^2)</f>
        <v/>
      </c>
      <c r="K297">
        <f>SUMPRODUCT(Calc!$K$3:$K$22*(Calc!$G$3:$G$22&gt;A297)*(Calc!$G$3:$G$22-A297)*(Calc!$G$3:$G$22&gt;B297)*(Calc!$G$3:$G$22-B297))</f>
        <v/>
      </c>
      <c r="L297">
        <f>SUMPRODUCT(Calc!$K$3:$K$22*(Calc!$G$3:$G$22&gt;A297)*(Calc!$G$3:$G$22-A297)*Calc!$G$3:$G$22)</f>
        <v/>
      </c>
      <c r="M297">
        <f>SUMPRODUCT(Calc!$K$3:$K$22*(Calc!$G$3:$G$22&gt;B297)*(Calc!$G$3:$G$22-B297)*Calc!$G$3:$G$22)</f>
        <v/>
      </c>
      <c r="N297">
        <f>SUMPRODUCT(Calc!$K$3:$K$22*(Calc!$G$3:$G$22&gt;A297)*(Calc!$G$3:$G$22-A297)*Calc!$I$3:$I$22)</f>
        <v/>
      </c>
      <c r="O297">
        <f>SUMPRODUCT(Calc!$K$3:$K$22*(Calc!$G$3:$G$22&gt;B297)*(Calc!$G$3:$G$22-B297)*Calc!$I$3:$I$22)</f>
        <v/>
      </c>
      <c r="P297">
        <f>I297-G297^2/k_n</f>
        <v/>
      </c>
      <c r="Q297">
        <f>J297-H297^2/k_n</f>
        <v/>
      </c>
      <c r="R297">
        <f>K297-G297*H297/k_n</f>
        <v/>
      </c>
      <c r="S297">
        <f>L297-LTP3!$D$3*G297/k_n</f>
        <v/>
      </c>
      <c r="T297">
        <f>M297-LTP3!$D$3*H297/k_n</f>
        <v/>
      </c>
      <c r="U297">
        <f>N297-G297*LTP3!$D$4/k_n</f>
        <v/>
      </c>
      <c r="V297">
        <f>O297-H297*LTP3!$D$4/k_n</f>
        <v/>
      </c>
      <c r="W297">
        <f>((LTP3!$D$5)*((P297)*(Q297)-(R297)*(R297))-(S297)*((S297)*(Q297)-(R297)*(T297))+(T297)*((S297)*(R297)-(P297)*(T297)))</f>
        <v/>
      </c>
      <c r="X297">
        <f>IF(ABS(W297)&gt;1E-12,((LTP3!$D$6)*((P297)*(Q297)-(R297)*(R297))-(S297)*((U297)*(Q297)-(R297)*(V297))+(T297)*((U297)*(R297)-(P297)*(V297)))/W297,0)</f>
        <v/>
      </c>
      <c r="Y297">
        <f>IF(ABS(W297)&gt;1E-12,((LTP3!$D$5)*((U297)*(Q297)-(R297)*(V297))-(LTP3!$D$6)*((S297)*(Q297)-(R297)*(T297))+(T297)*((S297)*(V297)-(U297)*(T297)))/W297,0)</f>
        <v/>
      </c>
      <c r="Z297">
        <f>IF(ABS(W297)&gt;1E-12,((LTP3!$D$5)*((P297)*(V297)-(U297)*(R297))-(S297)*((S297)*(V297)-(U297)*(T297))+(LTP3!$D$6)*((S297)*(R297)-(P297)*(T297)))/W297,0)</f>
        <v/>
      </c>
      <c r="AA297">
        <f>LTP3!$D$7-X297*LTP3!$D$6-Y297*U297-Z297*V297</f>
        <v/>
      </c>
      <c r="AB297">
        <f>IF(AND(F297,ABS(W297)&gt;1E-12,Y297&gt;0,Z297&gt;0),AA297,1E+300)</f>
        <v/>
      </c>
    </row>
    <row r="298">
      <c r="A298">
        <f>$B$3+$B$5*4</f>
        <v/>
      </c>
      <c r="B298">
        <f>$B$3+$B$5*42</f>
        <v/>
      </c>
      <c r="C298">
        <f>SUMPRODUCT(Calc!$K$3:$K$22*(Calc!$G$3:$G$22&lt;=A298))</f>
        <v/>
      </c>
      <c r="D298">
        <f>SUMPRODUCT(Calc!$K$3:$K$22*(Calc!$G$3:$G$22&gt;A298)*(Calc!$G$3:$G$22&lt;B298))</f>
        <v/>
      </c>
      <c r="E298">
        <f>SUMPRODUCT(Calc!$K$3:$K$22*(Calc!$G$3:$G$22&gt;=B298))</f>
        <v/>
      </c>
      <c r="F298">
        <f>AND(k_n&gt;=5,B298&gt;A298+1E-9,C298&gt;=2,D298&gt;=1,E298&gt;=2)</f>
        <v/>
      </c>
      <c r="G298">
        <f>SUMPRODUCT(Calc!$K$3:$K$22*(Calc!$G$3:$G$22&gt;A298)*(Calc!$G$3:$G$22-A298))</f>
        <v/>
      </c>
      <c r="H298">
        <f>SUMPRODUCT(Calc!$K$3:$K$22*(Calc!$G$3:$G$22&gt;B298)*(Calc!$G$3:$G$22-B298))</f>
        <v/>
      </c>
      <c r="I298">
        <f>SUMPRODUCT(Calc!$K$3:$K$22*(Calc!$G$3:$G$22&gt;A298)*(Calc!$G$3:$G$22-A298)^2)</f>
        <v/>
      </c>
      <c r="J298">
        <f>SUMPRODUCT(Calc!$K$3:$K$22*(Calc!$G$3:$G$22&gt;B298)*(Calc!$G$3:$G$22-B298)^2)</f>
        <v/>
      </c>
      <c r="K298">
        <f>SUMPRODUCT(Calc!$K$3:$K$22*(Calc!$G$3:$G$22&gt;A298)*(Calc!$G$3:$G$22-A298)*(Calc!$G$3:$G$22&gt;B298)*(Calc!$G$3:$G$22-B298))</f>
        <v/>
      </c>
      <c r="L298">
        <f>SUMPRODUCT(Calc!$K$3:$K$22*(Calc!$G$3:$G$22&gt;A298)*(Calc!$G$3:$G$22-A298)*Calc!$G$3:$G$22)</f>
        <v/>
      </c>
      <c r="M298">
        <f>SUMPRODUCT(Calc!$K$3:$K$22*(Calc!$G$3:$G$22&gt;B298)*(Calc!$G$3:$G$22-B298)*Calc!$G$3:$G$22)</f>
        <v/>
      </c>
      <c r="N298">
        <f>SUMPRODUCT(Calc!$K$3:$K$22*(Calc!$G$3:$G$22&gt;A298)*(Calc!$G$3:$G$22-A298)*Calc!$I$3:$I$22)</f>
        <v/>
      </c>
      <c r="O298">
        <f>SUMPRODUCT(Calc!$K$3:$K$22*(Calc!$G$3:$G$22&gt;B298)*(Calc!$G$3:$G$22-B298)*Calc!$I$3:$I$22)</f>
        <v/>
      </c>
      <c r="P298">
        <f>I298-G298^2/k_n</f>
        <v/>
      </c>
      <c r="Q298">
        <f>J298-H298^2/k_n</f>
        <v/>
      </c>
      <c r="R298">
        <f>K298-G298*H298/k_n</f>
        <v/>
      </c>
      <c r="S298">
        <f>L298-LTP3!$D$3*G298/k_n</f>
        <v/>
      </c>
      <c r="T298">
        <f>M298-LTP3!$D$3*H298/k_n</f>
        <v/>
      </c>
      <c r="U298">
        <f>N298-G298*LTP3!$D$4/k_n</f>
        <v/>
      </c>
      <c r="V298">
        <f>O298-H298*LTP3!$D$4/k_n</f>
        <v/>
      </c>
      <c r="W298">
        <f>((LTP3!$D$5)*((P298)*(Q298)-(R298)*(R298))-(S298)*((S298)*(Q298)-(R298)*(T298))+(T298)*((S298)*(R298)-(P298)*(T298)))</f>
        <v/>
      </c>
      <c r="X298">
        <f>IF(ABS(W298)&gt;1E-12,((LTP3!$D$6)*((P298)*(Q298)-(R298)*(R298))-(S298)*((U298)*(Q298)-(R298)*(V298))+(T298)*((U298)*(R298)-(P298)*(V298)))/W298,0)</f>
        <v/>
      </c>
      <c r="Y298">
        <f>IF(ABS(W298)&gt;1E-12,((LTP3!$D$5)*((U298)*(Q298)-(R298)*(V298))-(LTP3!$D$6)*((S298)*(Q298)-(R298)*(T298))+(T298)*((S298)*(V298)-(U298)*(T298)))/W298,0)</f>
        <v/>
      </c>
      <c r="Z298">
        <f>IF(ABS(W298)&gt;1E-12,((LTP3!$D$5)*((P298)*(V298)-(U298)*(R298))-(S298)*((S298)*(V298)-(U298)*(T298))+(LTP3!$D$6)*((S298)*(R298)-(P298)*(T298)))/W298,0)</f>
        <v/>
      </c>
      <c r="AA298">
        <f>LTP3!$D$7-X298*LTP3!$D$6-Y298*U298-Z298*V298</f>
        <v/>
      </c>
      <c r="AB298">
        <f>IF(AND(F298,ABS(W298)&gt;1E-12,Y298&gt;0,Z298&gt;0),AA298,1E+300)</f>
        <v/>
      </c>
    </row>
    <row r="299">
      <c r="A299">
        <f>$B$3+$B$5*4</f>
        <v/>
      </c>
      <c r="B299">
        <f>$B$3+$B$5*43</f>
        <v/>
      </c>
      <c r="C299">
        <f>SUMPRODUCT(Calc!$K$3:$K$22*(Calc!$G$3:$G$22&lt;=A299))</f>
        <v/>
      </c>
      <c r="D299">
        <f>SUMPRODUCT(Calc!$K$3:$K$22*(Calc!$G$3:$G$22&gt;A299)*(Calc!$G$3:$G$22&lt;B299))</f>
        <v/>
      </c>
      <c r="E299">
        <f>SUMPRODUCT(Calc!$K$3:$K$22*(Calc!$G$3:$G$22&gt;=B299))</f>
        <v/>
      </c>
      <c r="F299">
        <f>AND(k_n&gt;=5,B299&gt;A299+1E-9,C299&gt;=2,D299&gt;=1,E299&gt;=2)</f>
        <v/>
      </c>
      <c r="G299">
        <f>SUMPRODUCT(Calc!$K$3:$K$22*(Calc!$G$3:$G$22&gt;A299)*(Calc!$G$3:$G$22-A299))</f>
        <v/>
      </c>
      <c r="H299">
        <f>SUMPRODUCT(Calc!$K$3:$K$22*(Calc!$G$3:$G$22&gt;B299)*(Calc!$G$3:$G$22-B299))</f>
        <v/>
      </c>
      <c r="I299">
        <f>SUMPRODUCT(Calc!$K$3:$K$22*(Calc!$G$3:$G$22&gt;A299)*(Calc!$G$3:$G$22-A299)^2)</f>
        <v/>
      </c>
      <c r="J299">
        <f>SUMPRODUCT(Calc!$K$3:$K$22*(Calc!$G$3:$G$22&gt;B299)*(Calc!$G$3:$G$22-B299)^2)</f>
        <v/>
      </c>
      <c r="K299">
        <f>SUMPRODUCT(Calc!$K$3:$K$22*(Calc!$G$3:$G$22&gt;A299)*(Calc!$G$3:$G$22-A299)*(Calc!$G$3:$G$22&gt;B299)*(Calc!$G$3:$G$22-B299))</f>
        <v/>
      </c>
      <c r="L299">
        <f>SUMPRODUCT(Calc!$K$3:$K$22*(Calc!$G$3:$G$22&gt;A299)*(Calc!$G$3:$G$22-A299)*Calc!$G$3:$G$22)</f>
        <v/>
      </c>
      <c r="M299">
        <f>SUMPRODUCT(Calc!$K$3:$K$22*(Calc!$G$3:$G$22&gt;B299)*(Calc!$G$3:$G$22-B299)*Calc!$G$3:$G$22)</f>
        <v/>
      </c>
      <c r="N299">
        <f>SUMPRODUCT(Calc!$K$3:$K$22*(Calc!$G$3:$G$22&gt;A299)*(Calc!$G$3:$G$22-A299)*Calc!$I$3:$I$22)</f>
        <v/>
      </c>
      <c r="O299">
        <f>SUMPRODUCT(Calc!$K$3:$K$22*(Calc!$G$3:$G$22&gt;B299)*(Calc!$G$3:$G$22-B299)*Calc!$I$3:$I$22)</f>
        <v/>
      </c>
      <c r="P299">
        <f>I299-G299^2/k_n</f>
        <v/>
      </c>
      <c r="Q299">
        <f>J299-H299^2/k_n</f>
        <v/>
      </c>
      <c r="R299">
        <f>K299-G299*H299/k_n</f>
        <v/>
      </c>
      <c r="S299">
        <f>L299-LTP3!$D$3*G299/k_n</f>
        <v/>
      </c>
      <c r="T299">
        <f>M299-LTP3!$D$3*H299/k_n</f>
        <v/>
      </c>
      <c r="U299">
        <f>N299-G299*LTP3!$D$4/k_n</f>
        <v/>
      </c>
      <c r="V299">
        <f>O299-H299*LTP3!$D$4/k_n</f>
        <v/>
      </c>
      <c r="W299">
        <f>((LTP3!$D$5)*((P299)*(Q299)-(R299)*(R299))-(S299)*((S299)*(Q299)-(R299)*(T299))+(T299)*((S299)*(R299)-(P299)*(T299)))</f>
        <v/>
      </c>
      <c r="X299">
        <f>IF(ABS(W299)&gt;1E-12,((LTP3!$D$6)*((P299)*(Q299)-(R299)*(R299))-(S299)*((U299)*(Q299)-(R299)*(V299))+(T299)*((U299)*(R299)-(P299)*(V299)))/W299,0)</f>
        <v/>
      </c>
      <c r="Y299">
        <f>IF(ABS(W299)&gt;1E-12,((LTP3!$D$5)*((U299)*(Q299)-(R299)*(V299))-(LTP3!$D$6)*((S299)*(Q299)-(R299)*(T299))+(T299)*((S299)*(V299)-(U299)*(T299)))/W299,0)</f>
        <v/>
      </c>
      <c r="Z299">
        <f>IF(ABS(W299)&gt;1E-12,((LTP3!$D$5)*((P299)*(V299)-(U299)*(R299))-(S299)*((S299)*(V299)-(U299)*(T299))+(LTP3!$D$6)*((S299)*(R299)-(P299)*(T299)))/W299,0)</f>
        <v/>
      </c>
      <c r="AA299">
        <f>LTP3!$D$7-X299*LTP3!$D$6-Y299*U299-Z299*V299</f>
        <v/>
      </c>
      <c r="AB299">
        <f>IF(AND(F299,ABS(W299)&gt;1E-12,Y299&gt;0,Z299&gt;0),AA299,1E+300)</f>
        <v/>
      </c>
    </row>
    <row r="300">
      <c r="A300">
        <f>$B$3+$B$5*4</f>
        <v/>
      </c>
      <c r="B300">
        <f>$B$3+$B$5*44</f>
        <v/>
      </c>
      <c r="C300">
        <f>SUMPRODUCT(Calc!$K$3:$K$22*(Calc!$G$3:$G$22&lt;=A300))</f>
        <v/>
      </c>
      <c r="D300">
        <f>SUMPRODUCT(Calc!$K$3:$K$22*(Calc!$G$3:$G$22&gt;A300)*(Calc!$G$3:$G$22&lt;B300))</f>
        <v/>
      </c>
      <c r="E300">
        <f>SUMPRODUCT(Calc!$K$3:$K$22*(Calc!$G$3:$G$22&gt;=B300))</f>
        <v/>
      </c>
      <c r="F300">
        <f>AND(k_n&gt;=5,B300&gt;A300+1E-9,C300&gt;=2,D300&gt;=1,E300&gt;=2)</f>
        <v/>
      </c>
      <c r="G300">
        <f>SUMPRODUCT(Calc!$K$3:$K$22*(Calc!$G$3:$G$22&gt;A300)*(Calc!$G$3:$G$22-A300))</f>
        <v/>
      </c>
      <c r="H300">
        <f>SUMPRODUCT(Calc!$K$3:$K$22*(Calc!$G$3:$G$22&gt;B300)*(Calc!$G$3:$G$22-B300))</f>
        <v/>
      </c>
      <c r="I300">
        <f>SUMPRODUCT(Calc!$K$3:$K$22*(Calc!$G$3:$G$22&gt;A300)*(Calc!$G$3:$G$22-A300)^2)</f>
        <v/>
      </c>
      <c r="J300">
        <f>SUMPRODUCT(Calc!$K$3:$K$22*(Calc!$G$3:$G$22&gt;B300)*(Calc!$G$3:$G$22-B300)^2)</f>
        <v/>
      </c>
      <c r="K300">
        <f>SUMPRODUCT(Calc!$K$3:$K$22*(Calc!$G$3:$G$22&gt;A300)*(Calc!$G$3:$G$22-A300)*(Calc!$G$3:$G$22&gt;B300)*(Calc!$G$3:$G$22-B300))</f>
        <v/>
      </c>
      <c r="L300">
        <f>SUMPRODUCT(Calc!$K$3:$K$22*(Calc!$G$3:$G$22&gt;A300)*(Calc!$G$3:$G$22-A300)*Calc!$G$3:$G$22)</f>
        <v/>
      </c>
      <c r="M300">
        <f>SUMPRODUCT(Calc!$K$3:$K$22*(Calc!$G$3:$G$22&gt;B300)*(Calc!$G$3:$G$22-B300)*Calc!$G$3:$G$22)</f>
        <v/>
      </c>
      <c r="N300">
        <f>SUMPRODUCT(Calc!$K$3:$K$22*(Calc!$G$3:$G$22&gt;A300)*(Calc!$G$3:$G$22-A300)*Calc!$I$3:$I$22)</f>
        <v/>
      </c>
      <c r="O300">
        <f>SUMPRODUCT(Calc!$K$3:$K$22*(Calc!$G$3:$G$22&gt;B300)*(Calc!$G$3:$G$22-B300)*Calc!$I$3:$I$22)</f>
        <v/>
      </c>
      <c r="P300">
        <f>I300-G300^2/k_n</f>
        <v/>
      </c>
      <c r="Q300">
        <f>J300-H300^2/k_n</f>
        <v/>
      </c>
      <c r="R300">
        <f>K300-G300*H300/k_n</f>
        <v/>
      </c>
      <c r="S300">
        <f>L300-LTP3!$D$3*G300/k_n</f>
        <v/>
      </c>
      <c r="T300">
        <f>M300-LTP3!$D$3*H300/k_n</f>
        <v/>
      </c>
      <c r="U300">
        <f>N300-G300*LTP3!$D$4/k_n</f>
        <v/>
      </c>
      <c r="V300">
        <f>O300-H300*LTP3!$D$4/k_n</f>
        <v/>
      </c>
      <c r="W300">
        <f>((LTP3!$D$5)*((P300)*(Q300)-(R300)*(R300))-(S300)*((S300)*(Q300)-(R300)*(T300))+(T300)*((S300)*(R300)-(P300)*(T300)))</f>
        <v/>
      </c>
      <c r="X300">
        <f>IF(ABS(W300)&gt;1E-12,((LTP3!$D$6)*((P300)*(Q300)-(R300)*(R300))-(S300)*((U300)*(Q300)-(R300)*(V300))+(T300)*((U300)*(R300)-(P300)*(V300)))/W300,0)</f>
        <v/>
      </c>
      <c r="Y300">
        <f>IF(ABS(W300)&gt;1E-12,((LTP3!$D$5)*((U300)*(Q300)-(R300)*(V300))-(LTP3!$D$6)*((S300)*(Q300)-(R300)*(T300))+(T300)*((S300)*(V300)-(U300)*(T300)))/W300,0)</f>
        <v/>
      </c>
      <c r="Z300">
        <f>IF(ABS(W300)&gt;1E-12,((LTP3!$D$5)*((P300)*(V300)-(U300)*(R300))-(S300)*((S300)*(V300)-(U300)*(T300))+(LTP3!$D$6)*((S300)*(R300)-(P300)*(T300)))/W300,0)</f>
        <v/>
      </c>
      <c r="AA300">
        <f>LTP3!$D$7-X300*LTP3!$D$6-Y300*U300-Z300*V300</f>
        <v/>
      </c>
      <c r="AB300">
        <f>IF(AND(F300,ABS(W300)&gt;1E-12,Y300&gt;0,Z300&gt;0),AA300,1E+300)</f>
        <v/>
      </c>
    </row>
    <row r="301">
      <c r="A301">
        <f>$B$3+$B$5*4</f>
        <v/>
      </c>
      <c r="B301">
        <f>$B$3+$B$5*45</f>
        <v/>
      </c>
      <c r="C301">
        <f>SUMPRODUCT(Calc!$K$3:$K$22*(Calc!$G$3:$G$22&lt;=A301))</f>
        <v/>
      </c>
      <c r="D301">
        <f>SUMPRODUCT(Calc!$K$3:$K$22*(Calc!$G$3:$G$22&gt;A301)*(Calc!$G$3:$G$22&lt;B301))</f>
        <v/>
      </c>
      <c r="E301">
        <f>SUMPRODUCT(Calc!$K$3:$K$22*(Calc!$G$3:$G$22&gt;=B301))</f>
        <v/>
      </c>
      <c r="F301">
        <f>AND(k_n&gt;=5,B301&gt;A301+1E-9,C301&gt;=2,D301&gt;=1,E301&gt;=2)</f>
        <v/>
      </c>
      <c r="G301">
        <f>SUMPRODUCT(Calc!$K$3:$K$22*(Calc!$G$3:$G$22&gt;A301)*(Calc!$G$3:$G$22-A301))</f>
        <v/>
      </c>
      <c r="H301">
        <f>SUMPRODUCT(Calc!$K$3:$K$22*(Calc!$G$3:$G$22&gt;B301)*(Calc!$G$3:$G$22-B301))</f>
        <v/>
      </c>
      <c r="I301">
        <f>SUMPRODUCT(Calc!$K$3:$K$22*(Calc!$G$3:$G$22&gt;A301)*(Calc!$G$3:$G$22-A301)^2)</f>
        <v/>
      </c>
      <c r="J301">
        <f>SUMPRODUCT(Calc!$K$3:$K$22*(Calc!$G$3:$G$22&gt;B301)*(Calc!$G$3:$G$22-B301)^2)</f>
        <v/>
      </c>
      <c r="K301">
        <f>SUMPRODUCT(Calc!$K$3:$K$22*(Calc!$G$3:$G$22&gt;A301)*(Calc!$G$3:$G$22-A301)*(Calc!$G$3:$G$22&gt;B301)*(Calc!$G$3:$G$22-B301))</f>
        <v/>
      </c>
      <c r="L301">
        <f>SUMPRODUCT(Calc!$K$3:$K$22*(Calc!$G$3:$G$22&gt;A301)*(Calc!$G$3:$G$22-A301)*Calc!$G$3:$G$22)</f>
        <v/>
      </c>
      <c r="M301">
        <f>SUMPRODUCT(Calc!$K$3:$K$22*(Calc!$G$3:$G$22&gt;B301)*(Calc!$G$3:$G$22-B301)*Calc!$G$3:$G$22)</f>
        <v/>
      </c>
      <c r="N301">
        <f>SUMPRODUCT(Calc!$K$3:$K$22*(Calc!$G$3:$G$22&gt;A301)*(Calc!$G$3:$G$22-A301)*Calc!$I$3:$I$22)</f>
        <v/>
      </c>
      <c r="O301">
        <f>SUMPRODUCT(Calc!$K$3:$K$22*(Calc!$G$3:$G$22&gt;B301)*(Calc!$G$3:$G$22-B301)*Calc!$I$3:$I$22)</f>
        <v/>
      </c>
      <c r="P301">
        <f>I301-G301^2/k_n</f>
        <v/>
      </c>
      <c r="Q301">
        <f>J301-H301^2/k_n</f>
        <v/>
      </c>
      <c r="R301">
        <f>K301-G301*H301/k_n</f>
        <v/>
      </c>
      <c r="S301">
        <f>L301-LTP3!$D$3*G301/k_n</f>
        <v/>
      </c>
      <c r="T301">
        <f>M301-LTP3!$D$3*H301/k_n</f>
        <v/>
      </c>
      <c r="U301">
        <f>N301-G301*LTP3!$D$4/k_n</f>
        <v/>
      </c>
      <c r="V301">
        <f>O301-H301*LTP3!$D$4/k_n</f>
        <v/>
      </c>
      <c r="W301">
        <f>((LTP3!$D$5)*((P301)*(Q301)-(R301)*(R301))-(S301)*((S301)*(Q301)-(R301)*(T301))+(T301)*((S301)*(R301)-(P301)*(T301)))</f>
        <v/>
      </c>
      <c r="X301">
        <f>IF(ABS(W301)&gt;1E-12,((LTP3!$D$6)*((P301)*(Q301)-(R301)*(R301))-(S301)*((U301)*(Q301)-(R301)*(V301))+(T301)*((U301)*(R301)-(P301)*(V301)))/W301,0)</f>
        <v/>
      </c>
      <c r="Y301">
        <f>IF(ABS(W301)&gt;1E-12,((LTP3!$D$5)*((U301)*(Q301)-(R301)*(V301))-(LTP3!$D$6)*((S301)*(Q301)-(R301)*(T301))+(T301)*((S301)*(V301)-(U301)*(T301)))/W301,0)</f>
        <v/>
      </c>
      <c r="Z301">
        <f>IF(ABS(W301)&gt;1E-12,((LTP3!$D$5)*((P301)*(V301)-(U301)*(R301))-(S301)*((S301)*(V301)-(U301)*(T301))+(LTP3!$D$6)*((S301)*(R301)-(P301)*(T301)))/W301,0)</f>
        <v/>
      </c>
      <c r="AA301">
        <f>LTP3!$D$7-X301*LTP3!$D$6-Y301*U301-Z301*V301</f>
        <v/>
      </c>
      <c r="AB301">
        <f>IF(AND(F301,ABS(W301)&gt;1E-12,Y301&gt;0,Z301&gt;0),AA301,1E+300)</f>
        <v/>
      </c>
    </row>
    <row r="302">
      <c r="A302">
        <f>$B$3+$B$5*4</f>
        <v/>
      </c>
      <c r="B302">
        <f>$B$3+$B$5*46</f>
        <v/>
      </c>
      <c r="C302">
        <f>SUMPRODUCT(Calc!$K$3:$K$22*(Calc!$G$3:$G$22&lt;=A302))</f>
        <v/>
      </c>
      <c r="D302">
        <f>SUMPRODUCT(Calc!$K$3:$K$22*(Calc!$G$3:$G$22&gt;A302)*(Calc!$G$3:$G$22&lt;B302))</f>
        <v/>
      </c>
      <c r="E302">
        <f>SUMPRODUCT(Calc!$K$3:$K$22*(Calc!$G$3:$G$22&gt;=B302))</f>
        <v/>
      </c>
      <c r="F302">
        <f>AND(k_n&gt;=5,B302&gt;A302+1E-9,C302&gt;=2,D302&gt;=1,E302&gt;=2)</f>
        <v/>
      </c>
      <c r="G302">
        <f>SUMPRODUCT(Calc!$K$3:$K$22*(Calc!$G$3:$G$22&gt;A302)*(Calc!$G$3:$G$22-A302))</f>
        <v/>
      </c>
      <c r="H302">
        <f>SUMPRODUCT(Calc!$K$3:$K$22*(Calc!$G$3:$G$22&gt;B302)*(Calc!$G$3:$G$22-B302))</f>
        <v/>
      </c>
      <c r="I302">
        <f>SUMPRODUCT(Calc!$K$3:$K$22*(Calc!$G$3:$G$22&gt;A302)*(Calc!$G$3:$G$22-A302)^2)</f>
        <v/>
      </c>
      <c r="J302">
        <f>SUMPRODUCT(Calc!$K$3:$K$22*(Calc!$G$3:$G$22&gt;B302)*(Calc!$G$3:$G$22-B302)^2)</f>
        <v/>
      </c>
      <c r="K302">
        <f>SUMPRODUCT(Calc!$K$3:$K$22*(Calc!$G$3:$G$22&gt;A302)*(Calc!$G$3:$G$22-A302)*(Calc!$G$3:$G$22&gt;B302)*(Calc!$G$3:$G$22-B302))</f>
        <v/>
      </c>
      <c r="L302">
        <f>SUMPRODUCT(Calc!$K$3:$K$22*(Calc!$G$3:$G$22&gt;A302)*(Calc!$G$3:$G$22-A302)*Calc!$G$3:$G$22)</f>
        <v/>
      </c>
      <c r="M302">
        <f>SUMPRODUCT(Calc!$K$3:$K$22*(Calc!$G$3:$G$22&gt;B302)*(Calc!$G$3:$G$22-B302)*Calc!$G$3:$G$22)</f>
        <v/>
      </c>
      <c r="N302">
        <f>SUMPRODUCT(Calc!$K$3:$K$22*(Calc!$G$3:$G$22&gt;A302)*(Calc!$G$3:$G$22-A302)*Calc!$I$3:$I$22)</f>
        <v/>
      </c>
      <c r="O302">
        <f>SUMPRODUCT(Calc!$K$3:$K$22*(Calc!$G$3:$G$22&gt;B302)*(Calc!$G$3:$G$22-B302)*Calc!$I$3:$I$22)</f>
        <v/>
      </c>
      <c r="P302">
        <f>I302-G302^2/k_n</f>
        <v/>
      </c>
      <c r="Q302">
        <f>J302-H302^2/k_n</f>
        <v/>
      </c>
      <c r="R302">
        <f>K302-G302*H302/k_n</f>
        <v/>
      </c>
      <c r="S302">
        <f>L302-LTP3!$D$3*G302/k_n</f>
        <v/>
      </c>
      <c r="T302">
        <f>M302-LTP3!$D$3*H302/k_n</f>
        <v/>
      </c>
      <c r="U302">
        <f>N302-G302*LTP3!$D$4/k_n</f>
        <v/>
      </c>
      <c r="V302">
        <f>O302-H302*LTP3!$D$4/k_n</f>
        <v/>
      </c>
      <c r="W302">
        <f>((LTP3!$D$5)*((P302)*(Q302)-(R302)*(R302))-(S302)*((S302)*(Q302)-(R302)*(T302))+(T302)*((S302)*(R302)-(P302)*(T302)))</f>
        <v/>
      </c>
      <c r="X302">
        <f>IF(ABS(W302)&gt;1E-12,((LTP3!$D$6)*((P302)*(Q302)-(R302)*(R302))-(S302)*((U302)*(Q302)-(R302)*(V302))+(T302)*((U302)*(R302)-(P302)*(V302)))/W302,0)</f>
        <v/>
      </c>
      <c r="Y302">
        <f>IF(ABS(W302)&gt;1E-12,((LTP3!$D$5)*((U302)*(Q302)-(R302)*(V302))-(LTP3!$D$6)*((S302)*(Q302)-(R302)*(T302))+(T302)*((S302)*(V302)-(U302)*(T302)))/W302,0)</f>
        <v/>
      </c>
      <c r="Z302">
        <f>IF(ABS(W302)&gt;1E-12,((LTP3!$D$5)*((P302)*(V302)-(U302)*(R302))-(S302)*((S302)*(V302)-(U302)*(T302))+(LTP3!$D$6)*((S302)*(R302)-(P302)*(T302)))/W302,0)</f>
        <v/>
      </c>
      <c r="AA302">
        <f>LTP3!$D$7-X302*LTP3!$D$6-Y302*U302-Z302*V302</f>
        <v/>
      </c>
      <c r="AB302">
        <f>IF(AND(F302,ABS(W302)&gt;1E-12,Y302&gt;0,Z302&gt;0),AA302,1E+300)</f>
        <v/>
      </c>
    </row>
    <row r="303">
      <c r="A303">
        <f>$B$3+$B$5*4</f>
        <v/>
      </c>
      <c r="B303">
        <f>$B$3+$B$5*47</f>
        <v/>
      </c>
      <c r="C303">
        <f>SUMPRODUCT(Calc!$K$3:$K$22*(Calc!$G$3:$G$22&lt;=A303))</f>
        <v/>
      </c>
      <c r="D303">
        <f>SUMPRODUCT(Calc!$K$3:$K$22*(Calc!$G$3:$G$22&gt;A303)*(Calc!$G$3:$G$22&lt;B303))</f>
        <v/>
      </c>
      <c r="E303">
        <f>SUMPRODUCT(Calc!$K$3:$K$22*(Calc!$G$3:$G$22&gt;=B303))</f>
        <v/>
      </c>
      <c r="F303">
        <f>AND(k_n&gt;=5,B303&gt;A303+1E-9,C303&gt;=2,D303&gt;=1,E303&gt;=2)</f>
        <v/>
      </c>
      <c r="G303">
        <f>SUMPRODUCT(Calc!$K$3:$K$22*(Calc!$G$3:$G$22&gt;A303)*(Calc!$G$3:$G$22-A303))</f>
        <v/>
      </c>
      <c r="H303">
        <f>SUMPRODUCT(Calc!$K$3:$K$22*(Calc!$G$3:$G$22&gt;B303)*(Calc!$G$3:$G$22-B303))</f>
        <v/>
      </c>
      <c r="I303">
        <f>SUMPRODUCT(Calc!$K$3:$K$22*(Calc!$G$3:$G$22&gt;A303)*(Calc!$G$3:$G$22-A303)^2)</f>
        <v/>
      </c>
      <c r="J303">
        <f>SUMPRODUCT(Calc!$K$3:$K$22*(Calc!$G$3:$G$22&gt;B303)*(Calc!$G$3:$G$22-B303)^2)</f>
        <v/>
      </c>
      <c r="K303">
        <f>SUMPRODUCT(Calc!$K$3:$K$22*(Calc!$G$3:$G$22&gt;A303)*(Calc!$G$3:$G$22-A303)*(Calc!$G$3:$G$22&gt;B303)*(Calc!$G$3:$G$22-B303))</f>
        <v/>
      </c>
      <c r="L303">
        <f>SUMPRODUCT(Calc!$K$3:$K$22*(Calc!$G$3:$G$22&gt;A303)*(Calc!$G$3:$G$22-A303)*Calc!$G$3:$G$22)</f>
        <v/>
      </c>
      <c r="M303">
        <f>SUMPRODUCT(Calc!$K$3:$K$22*(Calc!$G$3:$G$22&gt;B303)*(Calc!$G$3:$G$22-B303)*Calc!$G$3:$G$22)</f>
        <v/>
      </c>
      <c r="N303">
        <f>SUMPRODUCT(Calc!$K$3:$K$22*(Calc!$G$3:$G$22&gt;A303)*(Calc!$G$3:$G$22-A303)*Calc!$I$3:$I$22)</f>
        <v/>
      </c>
      <c r="O303">
        <f>SUMPRODUCT(Calc!$K$3:$K$22*(Calc!$G$3:$G$22&gt;B303)*(Calc!$G$3:$G$22-B303)*Calc!$I$3:$I$22)</f>
        <v/>
      </c>
      <c r="P303">
        <f>I303-G303^2/k_n</f>
        <v/>
      </c>
      <c r="Q303">
        <f>J303-H303^2/k_n</f>
        <v/>
      </c>
      <c r="R303">
        <f>K303-G303*H303/k_n</f>
        <v/>
      </c>
      <c r="S303">
        <f>L303-LTP3!$D$3*G303/k_n</f>
        <v/>
      </c>
      <c r="T303">
        <f>M303-LTP3!$D$3*H303/k_n</f>
        <v/>
      </c>
      <c r="U303">
        <f>N303-G303*LTP3!$D$4/k_n</f>
        <v/>
      </c>
      <c r="V303">
        <f>O303-H303*LTP3!$D$4/k_n</f>
        <v/>
      </c>
      <c r="W303">
        <f>((LTP3!$D$5)*((P303)*(Q303)-(R303)*(R303))-(S303)*((S303)*(Q303)-(R303)*(T303))+(T303)*((S303)*(R303)-(P303)*(T303)))</f>
        <v/>
      </c>
      <c r="X303">
        <f>IF(ABS(W303)&gt;1E-12,((LTP3!$D$6)*((P303)*(Q303)-(R303)*(R303))-(S303)*((U303)*(Q303)-(R303)*(V303))+(T303)*((U303)*(R303)-(P303)*(V303)))/W303,0)</f>
        <v/>
      </c>
      <c r="Y303">
        <f>IF(ABS(W303)&gt;1E-12,((LTP3!$D$5)*((U303)*(Q303)-(R303)*(V303))-(LTP3!$D$6)*((S303)*(Q303)-(R303)*(T303))+(T303)*((S303)*(V303)-(U303)*(T303)))/W303,0)</f>
        <v/>
      </c>
      <c r="Z303">
        <f>IF(ABS(W303)&gt;1E-12,((LTP3!$D$5)*((P303)*(V303)-(U303)*(R303))-(S303)*((S303)*(V303)-(U303)*(T303))+(LTP3!$D$6)*((S303)*(R303)-(P303)*(T303)))/W303,0)</f>
        <v/>
      </c>
      <c r="AA303">
        <f>LTP3!$D$7-X303*LTP3!$D$6-Y303*U303-Z303*V303</f>
        <v/>
      </c>
      <c r="AB303">
        <f>IF(AND(F303,ABS(W303)&gt;1E-12,Y303&gt;0,Z303&gt;0),AA303,1E+300)</f>
        <v/>
      </c>
    </row>
    <row r="304">
      <c r="A304">
        <f>$B$3+$B$5*4</f>
        <v/>
      </c>
      <c r="B304">
        <f>$B$3+$B$5*48</f>
        <v/>
      </c>
      <c r="C304">
        <f>SUMPRODUCT(Calc!$K$3:$K$22*(Calc!$G$3:$G$22&lt;=A304))</f>
        <v/>
      </c>
      <c r="D304">
        <f>SUMPRODUCT(Calc!$K$3:$K$22*(Calc!$G$3:$G$22&gt;A304)*(Calc!$G$3:$G$22&lt;B304))</f>
        <v/>
      </c>
      <c r="E304">
        <f>SUMPRODUCT(Calc!$K$3:$K$22*(Calc!$G$3:$G$22&gt;=B304))</f>
        <v/>
      </c>
      <c r="F304">
        <f>AND(k_n&gt;=5,B304&gt;A304+1E-9,C304&gt;=2,D304&gt;=1,E304&gt;=2)</f>
        <v/>
      </c>
      <c r="G304">
        <f>SUMPRODUCT(Calc!$K$3:$K$22*(Calc!$G$3:$G$22&gt;A304)*(Calc!$G$3:$G$22-A304))</f>
        <v/>
      </c>
      <c r="H304">
        <f>SUMPRODUCT(Calc!$K$3:$K$22*(Calc!$G$3:$G$22&gt;B304)*(Calc!$G$3:$G$22-B304))</f>
        <v/>
      </c>
      <c r="I304">
        <f>SUMPRODUCT(Calc!$K$3:$K$22*(Calc!$G$3:$G$22&gt;A304)*(Calc!$G$3:$G$22-A304)^2)</f>
        <v/>
      </c>
      <c r="J304">
        <f>SUMPRODUCT(Calc!$K$3:$K$22*(Calc!$G$3:$G$22&gt;B304)*(Calc!$G$3:$G$22-B304)^2)</f>
        <v/>
      </c>
      <c r="K304">
        <f>SUMPRODUCT(Calc!$K$3:$K$22*(Calc!$G$3:$G$22&gt;A304)*(Calc!$G$3:$G$22-A304)*(Calc!$G$3:$G$22&gt;B304)*(Calc!$G$3:$G$22-B304))</f>
        <v/>
      </c>
      <c r="L304">
        <f>SUMPRODUCT(Calc!$K$3:$K$22*(Calc!$G$3:$G$22&gt;A304)*(Calc!$G$3:$G$22-A304)*Calc!$G$3:$G$22)</f>
        <v/>
      </c>
      <c r="M304">
        <f>SUMPRODUCT(Calc!$K$3:$K$22*(Calc!$G$3:$G$22&gt;B304)*(Calc!$G$3:$G$22-B304)*Calc!$G$3:$G$22)</f>
        <v/>
      </c>
      <c r="N304">
        <f>SUMPRODUCT(Calc!$K$3:$K$22*(Calc!$G$3:$G$22&gt;A304)*(Calc!$G$3:$G$22-A304)*Calc!$I$3:$I$22)</f>
        <v/>
      </c>
      <c r="O304">
        <f>SUMPRODUCT(Calc!$K$3:$K$22*(Calc!$G$3:$G$22&gt;B304)*(Calc!$G$3:$G$22-B304)*Calc!$I$3:$I$22)</f>
        <v/>
      </c>
      <c r="P304">
        <f>I304-G304^2/k_n</f>
        <v/>
      </c>
      <c r="Q304">
        <f>J304-H304^2/k_n</f>
        <v/>
      </c>
      <c r="R304">
        <f>K304-G304*H304/k_n</f>
        <v/>
      </c>
      <c r="S304">
        <f>L304-LTP3!$D$3*G304/k_n</f>
        <v/>
      </c>
      <c r="T304">
        <f>M304-LTP3!$D$3*H304/k_n</f>
        <v/>
      </c>
      <c r="U304">
        <f>N304-G304*LTP3!$D$4/k_n</f>
        <v/>
      </c>
      <c r="V304">
        <f>O304-H304*LTP3!$D$4/k_n</f>
        <v/>
      </c>
      <c r="W304">
        <f>((LTP3!$D$5)*((P304)*(Q304)-(R304)*(R304))-(S304)*((S304)*(Q304)-(R304)*(T304))+(T304)*((S304)*(R304)-(P304)*(T304)))</f>
        <v/>
      </c>
      <c r="X304">
        <f>IF(ABS(W304)&gt;1E-12,((LTP3!$D$6)*((P304)*(Q304)-(R304)*(R304))-(S304)*((U304)*(Q304)-(R304)*(V304))+(T304)*((U304)*(R304)-(P304)*(V304)))/W304,0)</f>
        <v/>
      </c>
      <c r="Y304">
        <f>IF(ABS(W304)&gt;1E-12,((LTP3!$D$5)*((U304)*(Q304)-(R304)*(V304))-(LTP3!$D$6)*((S304)*(Q304)-(R304)*(T304))+(T304)*((S304)*(V304)-(U304)*(T304)))/W304,0)</f>
        <v/>
      </c>
      <c r="Z304">
        <f>IF(ABS(W304)&gt;1E-12,((LTP3!$D$5)*((P304)*(V304)-(U304)*(R304))-(S304)*((S304)*(V304)-(U304)*(T304))+(LTP3!$D$6)*((S304)*(R304)-(P304)*(T304)))/W304,0)</f>
        <v/>
      </c>
      <c r="AA304">
        <f>LTP3!$D$7-X304*LTP3!$D$6-Y304*U304-Z304*V304</f>
        <v/>
      </c>
      <c r="AB304">
        <f>IF(AND(F304,ABS(W304)&gt;1E-12,Y304&gt;0,Z304&gt;0),AA304,1E+300)</f>
        <v/>
      </c>
    </row>
    <row r="305">
      <c r="A305">
        <f>$B$3+$B$5*4</f>
        <v/>
      </c>
      <c r="B305">
        <f>$B$3+$B$5*49</f>
        <v/>
      </c>
      <c r="C305">
        <f>SUMPRODUCT(Calc!$K$3:$K$22*(Calc!$G$3:$G$22&lt;=A305))</f>
        <v/>
      </c>
      <c r="D305">
        <f>SUMPRODUCT(Calc!$K$3:$K$22*(Calc!$G$3:$G$22&gt;A305)*(Calc!$G$3:$G$22&lt;B305))</f>
        <v/>
      </c>
      <c r="E305">
        <f>SUMPRODUCT(Calc!$K$3:$K$22*(Calc!$G$3:$G$22&gt;=B305))</f>
        <v/>
      </c>
      <c r="F305">
        <f>AND(k_n&gt;=5,B305&gt;A305+1E-9,C305&gt;=2,D305&gt;=1,E305&gt;=2)</f>
        <v/>
      </c>
      <c r="G305">
        <f>SUMPRODUCT(Calc!$K$3:$K$22*(Calc!$G$3:$G$22&gt;A305)*(Calc!$G$3:$G$22-A305))</f>
        <v/>
      </c>
      <c r="H305">
        <f>SUMPRODUCT(Calc!$K$3:$K$22*(Calc!$G$3:$G$22&gt;B305)*(Calc!$G$3:$G$22-B305))</f>
        <v/>
      </c>
      <c r="I305">
        <f>SUMPRODUCT(Calc!$K$3:$K$22*(Calc!$G$3:$G$22&gt;A305)*(Calc!$G$3:$G$22-A305)^2)</f>
        <v/>
      </c>
      <c r="J305">
        <f>SUMPRODUCT(Calc!$K$3:$K$22*(Calc!$G$3:$G$22&gt;B305)*(Calc!$G$3:$G$22-B305)^2)</f>
        <v/>
      </c>
      <c r="K305">
        <f>SUMPRODUCT(Calc!$K$3:$K$22*(Calc!$G$3:$G$22&gt;A305)*(Calc!$G$3:$G$22-A305)*(Calc!$G$3:$G$22&gt;B305)*(Calc!$G$3:$G$22-B305))</f>
        <v/>
      </c>
      <c r="L305">
        <f>SUMPRODUCT(Calc!$K$3:$K$22*(Calc!$G$3:$G$22&gt;A305)*(Calc!$G$3:$G$22-A305)*Calc!$G$3:$G$22)</f>
        <v/>
      </c>
      <c r="M305">
        <f>SUMPRODUCT(Calc!$K$3:$K$22*(Calc!$G$3:$G$22&gt;B305)*(Calc!$G$3:$G$22-B305)*Calc!$G$3:$G$22)</f>
        <v/>
      </c>
      <c r="N305">
        <f>SUMPRODUCT(Calc!$K$3:$K$22*(Calc!$G$3:$G$22&gt;A305)*(Calc!$G$3:$G$22-A305)*Calc!$I$3:$I$22)</f>
        <v/>
      </c>
      <c r="O305">
        <f>SUMPRODUCT(Calc!$K$3:$K$22*(Calc!$G$3:$G$22&gt;B305)*(Calc!$G$3:$G$22-B305)*Calc!$I$3:$I$22)</f>
        <v/>
      </c>
      <c r="P305">
        <f>I305-G305^2/k_n</f>
        <v/>
      </c>
      <c r="Q305">
        <f>J305-H305^2/k_n</f>
        <v/>
      </c>
      <c r="R305">
        <f>K305-G305*H305/k_n</f>
        <v/>
      </c>
      <c r="S305">
        <f>L305-LTP3!$D$3*G305/k_n</f>
        <v/>
      </c>
      <c r="T305">
        <f>M305-LTP3!$D$3*H305/k_n</f>
        <v/>
      </c>
      <c r="U305">
        <f>N305-G305*LTP3!$D$4/k_n</f>
        <v/>
      </c>
      <c r="V305">
        <f>O305-H305*LTP3!$D$4/k_n</f>
        <v/>
      </c>
      <c r="W305">
        <f>((LTP3!$D$5)*((P305)*(Q305)-(R305)*(R305))-(S305)*((S305)*(Q305)-(R305)*(T305))+(T305)*((S305)*(R305)-(P305)*(T305)))</f>
        <v/>
      </c>
      <c r="X305">
        <f>IF(ABS(W305)&gt;1E-12,((LTP3!$D$6)*((P305)*(Q305)-(R305)*(R305))-(S305)*((U305)*(Q305)-(R305)*(V305))+(T305)*((U305)*(R305)-(P305)*(V305)))/W305,0)</f>
        <v/>
      </c>
      <c r="Y305">
        <f>IF(ABS(W305)&gt;1E-12,((LTP3!$D$5)*((U305)*(Q305)-(R305)*(V305))-(LTP3!$D$6)*((S305)*(Q305)-(R305)*(T305))+(T305)*((S305)*(V305)-(U305)*(T305)))/W305,0)</f>
        <v/>
      </c>
      <c r="Z305">
        <f>IF(ABS(W305)&gt;1E-12,((LTP3!$D$5)*((P305)*(V305)-(U305)*(R305))-(S305)*((S305)*(V305)-(U305)*(T305))+(LTP3!$D$6)*((S305)*(R305)-(P305)*(T305)))/W305,0)</f>
        <v/>
      </c>
      <c r="AA305">
        <f>LTP3!$D$7-X305*LTP3!$D$6-Y305*U305-Z305*V305</f>
        <v/>
      </c>
      <c r="AB305">
        <f>IF(AND(F305,ABS(W305)&gt;1E-12,Y305&gt;0,Z305&gt;0),AA305,1E+300)</f>
        <v/>
      </c>
    </row>
    <row r="306">
      <c r="A306">
        <f>$B$3+$B$5*4</f>
        <v/>
      </c>
      <c r="B306">
        <f>$B$3+$B$5*50</f>
        <v/>
      </c>
      <c r="C306">
        <f>SUMPRODUCT(Calc!$K$3:$K$22*(Calc!$G$3:$G$22&lt;=A306))</f>
        <v/>
      </c>
      <c r="D306">
        <f>SUMPRODUCT(Calc!$K$3:$K$22*(Calc!$G$3:$G$22&gt;A306)*(Calc!$G$3:$G$22&lt;B306))</f>
        <v/>
      </c>
      <c r="E306">
        <f>SUMPRODUCT(Calc!$K$3:$K$22*(Calc!$G$3:$G$22&gt;=B306))</f>
        <v/>
      </c>
      <c r="F306">
        <f>AND(k_n&gt;=5,B306&gt;A306+1E-9,C306&gt;=2,D306&gt;=1,E306&gt;=2)</f>
        <v/>
      </c>
      <c r="G306">
        <f>SUMPRODUCT(Calc!$K$3:$K$22*(Calc!$G$3:$G$22&gt;A306)*(Calc!$G$3:$G$22-A306))</f>
        <v/>
      </c>
      <c r="H306">
        <f>SUMPRODUCT(Calc!$K$3:$K$22*(Calc!$G$3:$G$22&gt;B306)*(Calc!$G$3:$G$22-B306))</f>
        <v/>
      </c>
      <c r="I306">
        <f>SUMPRODUCT(Calc!$K$3:$K$22*(Calc!$G$3:$G$22&gt;A306)*(Calc!$G$3:$G$22-A306)^2)</f>
        <v/>
      </c>
      <c r="J306">
        <f>SUMPRODUCT(Calc!$K$3:$K$22*(Calc!$G$3:$G$22&gt;B306)*(Calc!$G$3:$G$22-B306)^2)</f>
        <v/>
      </c>
      <c r="K306">
        <f>SUMPRODUCT(Calc!$K$3:$K$22*(Calc!$G$3:$G$22&gt;A306)*(Calc!$G$3:$G$22-A306)*(Calc!$G$3:$G$22&gt;B306)*(Calc!$G$3:$G$22-B306))</f>
        <v/>
      </c>
      <c r="L306">
        <f>SUMPRODUCT(Calc!$K$3:$K$22*(Calc!$G$3:$G$22&gt;A306)*(Calc!$G$3:$G$22-A306)*Calc!$G$3:$G$22)</f>
        <v/>
      </c>
      <c r="M306">
        <f>SUMPRODUCT(Calc!$K$3:$K$22*(Calc!$G$3:$G$22&gt;B306)*(Calc!$G$3:$G$22-B306)*Calc!$G$3:$G$22)</f>
        <v/>
      </c>
      <c r="N306">
        <f>SUMPRODUCT(Calc!$K$3:$K$22*(Calc!$G$3:$G$22&gt;A306)*(Calc!$G$3:$G$22-A306)*Calc!$I$3:$I$22)</f>
        <v/>
      </c>
      <c r="O306">
        <f>SUMPRODUCT(Calc!$K$3:$K$22*(Calc!$G$3:$G$22&gt;B306)*(Calc!$G$3:$G$22-B306)*Calc!$I$3:$I$22)</f>
        <v/>
      </c>
      <c r="P306">
        <f>I306-G306^2/k_n</f>
        <v/>
      </c>
      <c r="Q306">
        <f>J306-H306^2/k_n</f>
        <v/>
      </c>
      <c r="R306">
        <f>K306-G306*H306/k_n</f>
        <v/>
      </c>
      <c r="S306">
        <f>L306-LTP3!$D$3*G306/k_n</f>
        <v/>
      </c>
      <c r="T306">
        <f>M306-LTP3!$D$3*H306/k_n</f>
        <v/>
      </c>
      <c r="U306">
        <f>N306-G306*LTP3!$D$4/k_n</f>
        <v/>
      </c>
      <c r="V306">
        <f>O306-H306*LTP3!$D$4/k_n</f>
        <v/>
      </c>
      <c r="W306">
        <f>((LTP3!$D$5)*((P306)*(Q306)-(R306)*(R306))-(S306)*((S306)*(Q306)-(R306)*(T306))+(T306)*((S306)*(R306)-(P306)*(T306)))</f>
        <v/>
      </c>
      <c r="X306">
        <f>IF(ABS(W306)&gt;1E-12,((LTP3!$D$6)*((P306)*(Q306)-(R306)*(R306))-(S306)*((U306)*(Q306)-(R306)*(V306))+(T306)*((U306)*(R306)-(P306)*(V306)))/W306,0)</f>
        <v/>
      </c>
      <c r="Y306">
        <f>IF(ABS(W306)&gt;1E-12,((LTP3!$D$5)*((U306)*(Q306)-(R306)*(V306))-(LTP3!$D$6)*((S306)*(Q306)-(R306)*(T306))+(T306)*((S306)*(V306)-(U306)*(T306)))/W306,0)</f>
        <v/>
      </c>
      <c r="Z306">
        <f>IF(ABS(W306)&gt;1E-12,((LTP3!$D$5)*((P306)*(V306)-(U306)*(R306))-(S306)*((S306)*(V306)-(U306)*(T306))+(LTP3!$D$6)*((S306)*(R306)-(P306)*(T306)))/W306,0)</f>
        <v/>
      </c>
      <c r="AA306">
        <f>LTP3!$D$7-X306*LTP3!$D$6-Y306*U306-Z306*V306</f>
        <v/>
      </c>
      <c r="AB306">
        <f>IF(AND(F306,ABS(W306)&gt;1E-12,Y306&gt;0,Z306&gt;0),AA306,1E+300)</f>
        <v/>
      </c>
    </row>
    <row r="307">
      <c r="A307">
        <f>$B$3+$B$5*4</f>
        <v/>
      </c>
      <c r="B307">
        <f>$B$3+$B$5*51</f>
        <v/>
      </c>
      <c r="C307">
        <f>SUMPRODUCT(Calc!$K$3:$K$22*(Calc!$G$3:$G$22&lt;=A307))</f>
        <v/>
      </c>
      <c r="D307">
        <f>SUMPRODUCT(Calc!$K$3:$K$22*(Calc!$G$3:$G$22&gt;A307)*(Calc!$G$3:$G$22&lt;B307))</f>
        <v/>
      </c>
      <c r="E307">
        <f>SUMPRODUCT(Calc!$K$3:$K$22*(Calc!$G$3:$G$22&gt;=B307))</f>
        <v/>
      </c>
      <c r="F307">
        <f>AND(k_n&gt;=5,B307&gt;A307+1E-9,C307&gt;=2,D307&gt;=1,E307&gt;=2)</f>
        <v/>
      </c>
      <c r="G307">
        <f>SUMPRODUCT(Calc!$K$3:$K$22*(Calc!$G$3:$G$22&gt;A307)*(Calc!$G$3:$G$22-A307))</f>
        <v/>
      </c>
      <c r="H307">
        <f>SUMPRODUCT(Calc!$K$3:$K$22*(Calc!$G$3:$G$22&gt;B307)*(Calc!$G$3:$G$22-B307))</f>
        <v/>
      </c>
      <c r="I307">
        <f>SUMPRODUCT(Calc!$K$3:$K$22*(Calc!$G$3:$G$22&gt;A307)*(Calc!$G$3:$G$22-A307)^2)</f>
        <v/>
      </c>
      <c r="J307">
        <f>SUMPRODUCT(Calc!$K$3:$K$22*(Calc!$G$3:$G$22&gt;B307)*(Calc!$G$3:$G$22-B307)^2)</f>
        <v/>
      </c>
      <c r="K307">
        <f>SUMPRODUCT(Calc!$K$3:$K$22*(Calc!$G$3:$G$22&gt;A307)*(Calc!$G$3:$G$22-A307)*(Calc!$G$3:$G$22&gt;B307)*(Calc!$G$3:$G$22-B307))</f>
        <v/>
      </c>
      <c r="L307">
        <f>SUMPRODUCT(Calc!$K$3:$K$22*(Calc!$G$3:$G$22&gt;A307)*(Calc!$G$3:$G$22-A307)*Calc!$G$3:$G$22)</f>
        <v/>
      </c>
      <c r="M307">
        <f>SUMPRODUCT(Calc!$K$3:$K$22*(Calc!$G$3:$G$22&gt;B307)*(Calc!$G$3:$G$22-B307)*Calc!$G$3:$G$22)</f>
        <v/>
      </c>
      <c r="N307">
        <f>SUMPRODUCT(Calc!$K$3:$K$22*(Calc!$G$3:$G$22&gt;A307)*(Calc!$G$3:$G$22-A307)*Calc!$I$3:$I$22)</f>
        <v/>
      </c>
      <c r="O307">
        <f>SUMPRODUCT(Calc!$K$3:$K$22*(Calc!$G$3:$G$22&gt;B307)*(Calc!$G$3:$G$22-B307)*Calc!$I$3:$I$22)</f>
        <v/>
      </c>
      <c r="P307">
        <f>I307-G307^2/k_n</f>
        <v/>
      </c>
      <c r="Q307">
        <f>J307-H307^2/k_n</f>
        <v/>
      </c>
      <c r="R307">
        <f>K307-G307*H307/k_n</f>
        <v/>
      </c>
      <c r="S307">
        <f>L307-LTP3!$D$3*G307/k_n</f>
        <v/>
      </c>
      <c r="T307">
        <f>M307-LTP3!$D$3*H307/k_n</f>
        <v/>
      </c>
      <c r="U307">
        <f>N307-G307*LTP3!$D$4/k_n</f>
        <v/>
      </c>
      <c r="V307">
        <f>O307-H307*LTP3!$D$4/k_n</f>
        <v/>
      </c>
      <c r="W307">
        <f>((LTP3!$D$5)*((P307)*(Q307)-(R307)*(R307))-(S307)*((S307)*(Q307)-(R307)*(T307))+(T307)*((S307)*(R307)-(P307)*(T307)))</f>
        <v/>
      </c>
      <c r="X307">
        <f>IF(ABS(W307)&gt;1E-12,((LTP3!$D$6)*((P307)*(Q307)-(R307)*(R307))-(S307)*((U307)*(Q307)-(R307)*(V307))+(T307)*((U307)*(R307)-(P307)*(V307)))/W307,0)</f>
        <v/>
      </c>
      <c r="Y307">
        <f>IF(ABS(W307)&gt;1E-12,((LTP3!$D$5)*((U307)*(Q307)-(R307)*(V307))-(LTP3!$D$6)*((S307)*(Q307)-(R307)*(T307))+(T307)*((S307)*(V307)-(U307)*(T307)))/W307,0)</f>
        <v/>
      </c>
      <c r="Z307">
        <f>IF(ABS(W307)&gt;1E-12,((LTP3!$D$5)*((P307)*(V307)-(U307)*(R307))-(S307)*((S307)*(V307)-(U307)*(T307))+(LTP3!$D$6)*((S307)*(R307)-(P307)*(T307)))/W307,0)</f>
        <v/>
      </c>
      <c r="AA307">
        <f>LTP3!$D$7-X307*LTP3!$D$6-Y307*U307-Z307*V307</f>
        <v/>
      </c>
      <c r="AB307">
        <f>IF(AND(F307,ABS(W307)&gt;1E-12,Y307&gt;0,Z307&gt;0),AA307,1E+300)</f>
        <v/>
      </c>
    </row>
    <row r="308">
      <c r="A308">
        <f>$B$3+$B$5*4</f>
        <v/>
      </c>
      <c r="B308">
        <f>$B$3+$B$5*52</f>
        <v/>
      </c>
      <c r="C308">
        <f>SUMPRODUCT(Calc!$K$3:$K$22*(Calc!$G$3:$G$22&lt;=A308))</f>
        <v/>
      </c>
      <c r="D308">
        <f>SUMPRODUCT(Calc!$K$3:$K$22*(Calc!$G$3:$G$22&gt;A308)*(Calc!$G$3:$G$22&lt;B308))</f>
        <v/>
      </c>
      <c r="E308">
        <f>SUMPRODUCT(Calc!$K$3:$K$22*(Calc!$G$3:$G$22&gt;=B308))</f>
        <v/>
      </c>
      <c r="F308">
        <f>AND(k_n&gt;=5,B308&gt;A308+1E-9,C308&gt;=2,D308&gt;=1,E308&gt;=2)</f>
        <v/>
      </c>
      <c r="G308">
        <f>SUMPRODUCT(Calc!$K$3:$K$22*(Calc!$G$3:$G$22&gt;A308)*(Calc!$G$3:$G$22-A308))</f>
        <v/>
      </c>
      <c r="H308">
        <f>SUMPRODUCT(Calc!$K$3:$K$22*(Calc!$G$3:$G$22&gt;B308)*(Calc!$G$3:$G$22-B308))</f>
        <v/>
      </c>
      <c r="I308">
        <f>SUMPRODUCT(Calc!$K$3:$K$22*(Calc!$G$3:$G$22&gt;A308)*(Calc!$G$3:$G$22-A308)^2)</f>
        <v/>
      </c>
      <c r="J308">
        <f>SUMPRODUCT(Calc!$K$3:$K$22*(Calc!$G$3:$G$22&gt;B308)*(Calc!$G$3:$G$22-B308)^2)</f>
        <v/>
      </c>
      <c r="K308">
        <f>SUMPRODUCT(Calc!$K$3:$K$22*(Calc!$G$3:$G$22&gt;A308)*(Calc!$G$3:$G$22-A308)*(Calc!$G$3:$G$22&gt;B308)*(Calc!$G$3:$G$22-B308))</f>
        <v/>
      </c>
      <c r="L308">
        <f>SUMPRODUCT(Calc!$K$3:$K$22*(Calc!$G$3:$G$22&gt;A308)*(Calc!$G$3:$G$22-A308)*Calc!$G$3:$G$22)</f>
        <v/>
      </c>
      <c r="M308">
        <f>SUMPRODUCT(Calc!$K$3:$K$22*(Calc!$G$3:$G$22&gt;B308)*(Calc!$G$3:$G$22-B308)*Calc!$G$3:$G$22)</f>
        <v/>
      </c>
      <c r="N308">
        <f>SUMPRODUCT(Calc!$K$3:$K$22*(Calc!$G$3:$G$22&gt;A308)*(Calc!$G$3:$G$22-A308)*Calc!$I$3:$I$22)</f>
        <v/>
      </c>
      <c r="O308">
        <f>SUMPRODUCT(Calc!$K$3:$K$22*(Calc!$G$3:$G$22&gt;B308)*(Calc!$G$3:$G$22-B308)*Calc!$I$3:$I$22)</f>
        <v/>
      </c>
      <c r="P308">
        <f>I308-G308^2/k_n</f>
        <v/>
      </c>
      <c r="Q308">
        <f>J308-H308^2/k_n</f>
        <v/>
      </c>
      <c r="R308">
        <f>K308-G308*H308/k_n</f>
        <v/>
      </c>
      <c r="S308">
        <f>L308-LTP3!$D$3*G308/k_n</f>
        <v/>
      </c>
      <c r="T308">
        <f>M308-LTP3!$D$3*H308/k_n</f>
        <v/>
      </c>
      <c r="U308">
        <f>N308-G308*LTP3!$D$4/k_n</f>
        <v/>
      </c>
      <c r="V308">
        <f>O308-H308*LTP3!$D$4/k_n</f>
        <v/>
      </c>
      <c r="W308">
        <f>((LTP3!$D$5)*((P308)*(Q308)-(R308)*(R308))-(S308)*((S308)*(Q308)-(R308)*(T308))+(T308)*((S308)*(R308)-(P308)*(T308)))</f>
        <v/>
      </c>
      <c r="X308">
        <f>IF(ABS(W308)&gt;1E-12,((LTP3!$D$6)*((P308)*(Q308)-(R308)*(R308))-(S308)*((U308)*(Q308)-(R308)*(V308))+(T308)*((U308)*(R308)-(P308)*(V308)))/W308,0)</f>
        <v/>
      </c>
      <c r="Y308">
        <f>IF(ABS(W308)&gt;1E-12,((LTP3!$D$5)*((U308)*(Q308)-(R308)*(V308))-(LTP3!$D$6)*((S308)*(Q308)-(R308)*(T308))+(T308)*((S308)*(V308)-(U308)*(T308)))/W308,0)</f>
        <v/>
      </c>
      <c r="Z308">
        <f>IF(ABS(W308)&gt;1E-12,((LTP3!$D$5)*((P308)*(V308)-(U308)*(R308))-(S308)*((S308)*(V308)-(U308)*(T308))+(LTP3!$D$6)*((S308)*(R308)-(P308)*(T308)))/W308,0)</f>
        <v/>
      </c>
      <c r="AA308">
        <f>LTP3!$D$7-X308*LTP3!$D$6-Y308*U308-Z308*V308</f>
        <v/>
      </c>
      <c r="AB308">
        <f>IF(AND(F308,ABS(W308)&gt;1E-12,Y308&gt;0,Z308&gt;0),AA308,1E+300)</f>
        <v/>
      </c>
    </row>
    <row r="309">
      <c r="A309">
        <f>$B$3+$B$5*4</f>
        <v/>
      </c>
      <c r="B309">
        <f>$B$3+$B$5*53</f>
        <v/>
      </c>
      <c r="C309">
        <f>SUMPRODUCT(Calc!$K$3:$K$22*(Calc!$G$3:$G$22&lt;=A309))</f>
        <v/>
      </c>
      <c r="D309">
        <f>SUMPRODUCT(Calc!$K$3:$K$22*(Calc!$G$3:$G$22&gt;A309)*(Calc!$G$3:$G$22&lt;B309))</f>
        <v/>
      </c>
      <c r="E309">
        <f>SUMPRODUCT(Calc!$K$3:$K$22*(Calc!$G$3:$G$22&gt;=B309))</f>
        <v/>
      </c>
      <c r="F309">
        <f>AND(k_n&gt;=5,B309&gt;A309+1E-9,C309&gt;=2,D309&gt;=1,E309&gt;=2)</f>
        <v/>
      </c>
      <c r="G309">
        <f>SUMPRODUCT(Calc!$K$3:$K$22*(Calc!$G$3:$G$22&gt;A309)*(Calc!$G$3:$G$22-A309))</f>
        <v/>
      </c>
      <c r="H309">
        <f>SUMPRODUCT(Calc!$K$3:$K$22*(Calc!$G$3:$G$22&gt;B309)*(Calc!$G$3:$G$22-B309))</f>
        <v/>
      </c>
      <c r="I309">
        <f>SUMPRODUCT(Calc!$K$3:$K$22*(Calc!$G$3:$G$22&gt;A309)*(Calc!$G$3:$G$22-A309)^2)</f>
        <v/>
      </c>
      <c r="J309">
        <f>SUMPRODUCT(Calc!$K$3:$K$22*(Calc!$G$3:$G$22&gt;B309)*(Calc!$G$3:$G$22-B309)^2)</f>
        <v/>
      </c>
      <c r="K309">
        <f>SUMPRODUCT(Calc!$K$3:$K$22*(Calc!$G$3:$G$22&gt;A309)*(Calc!$G$3:$G$22-A309)*(Calc!$G$3:$G$22&gt;B309)*(Calc!$G$3:$G$22-B309))</f>
        <v/>
      </c>
      <c r="L309">
        <f>SUMPRODUCT(Calc!$K$3:$K$22*(Calc!$G$3:$G$22&gt;A309)*(Calc!$G$3:$G$22-A309)*Calc!$G$3:$G$22)</f>
        <v/>
      </c>
      <c r="M309">
        <f>SUMPRODUCT(Calc!$K$3:$K$22*(Calc!$G$3:$G$22&gt;B309)*(Calc!$G$3:$G$22-B309)*Calc!$G$3:$G$22)</f>
        <v/>
      </c>
      <c r="N309">
        <f>SUMPRODUCT(Calc!$K$3:$K$22*(Calc!$G$3:$G$22&gt;A309)*(Calc!$G$3:$G$22-A309)*Calc!$I$3:$I$22)</f>
        <v/>
      </c>
      <c r="O309">
        <f>SUMPRODUCT(Calc!$K$3:$K$22*(Calc!$G$3:$G$22&gt;B309)*(Calc!$G$3:$G$22-B309)*Calc!$I$3:$I$22)</f>
        <v/>
      </c>
      <c r="P309">
        <f>I309-G309^2/k_n</f>
        <v/>
      </c>
      <c r="Q309">
        <f>J309-H309^2/k_n</f>
        <v/>
      </c>
      <c r="R309">
        <f>K309-G309*H309/k_n</f>
        <v/>
      </c>
      <c r="S309">
        <f>L309-LTP3!$D$3*G309/k_n</f>
        <v/>
      </c>
      <c r="T309">
        <f>M309-LTP3!$D$3*H309/k_n</f>
        <v/>
      </c>
      <c r="U309">
        <f>N309-G309*LTP3!$D$4/k_n</f>
        <v/>
      </c>
      <c r="V309">
        <f>O309-H309*LTP3!$D$4/k_n</f>
        <v/>
      </c>
      <c r="W309">
        <f>((LTP3!$D$5)*((P309)*(Q309)-(R309)*(R309))-(S309)*((S309)*(Q309)-(R309)*(T309))+(T309)*((S309)*(R309)-(P309)*(T309)))</f>
        <v/>
      </c>
      <c r="X309">
        <f>IF(ABS(W309)&gt;1E-12,((LTP3!$D$6)*((P309)*(Q309)-(R309)*(R309))-(S309)*((U309)*(Q309)-(R309)*(V309))+(T309)*((U309)*(R309)-(P309)*(V309)))/W309,0)</f>
        <v/>
      </c>
      <c r="Y309">
        <f>IF(ABS(W309)&gt;1E-12,((LTP3!$D$5)*((U309)*(Q309)-(R309)*(V309))-(LTP3!$D$6)*((S309)*(Q309)-(R309)*(T309))+(T309)*((S309)*(V309)-(U309)*(T309)))/W309,0)</f>
        <v/>
      </c>
      <c r="Z309">
        <f>IF(ABS(W309)&gt;1E-12,((LTP3!$D$5)*((P309)*(V309)-(U309)*(R309))-(S309)*((S309)*(V309)-(U309)*(T309))+(LTP3!$D$6)*((S309)*(R309)-(P309)*(T309)))/W309,0)</f>
        <v/>
      </c>
      <c r="AA309">
        <f>LTP3!$D$7-X309*LTP3!$D$6-Y309*U309-Z309*V309</f>
        <v/>
      </c>
      <c r="AB309">
        <f>IF(AND(F309,ABS(W309)&gt;1E-12,Y309&gt;0,Z309&gt;0),AA309,1E+300)</f>
        <v/>
      </c>
    </row>
    <row r="310">
      <c r="A310">
        <f>$B$3+$B$5*4</f>
        <v/>
      </c>
      <c r="B310">
        <f>$B$3+$B$5*54</f>
        <v/>
      </c>
      <c r="C310">
        <f>SUMPRODUCT(Calc!$K$3:$K$22*(Calc!$G$3:$G$22&lt;=A310))</f>
        <v/>
      </c>
      <c r="D310">
        <f>SUMPRODUCT(Calc!$K$3:$K$22*(Calc!$G$3:$G$22&gt;A310)*(Calc!$G$3:$G$22&lt;B310))</f>
        <v/>
      </c>
      <c r="E310">
        <f>SUMPRODUCT(Calc!$K$3:$K$22*(Calc!$G$3:$G$22&gt;=B310))</f>
        <v/>
      </c>
      <c r="F310">
        <f>AND(k_n&gt;=5,B310&gt;A310+1E-9,C310&gt;=2,D310&gt;=1,E310&gt;=2)</f>
        <v/>
      </c>
      <c r="G310">
        <f>SUMPRODUCT(Calc!$K$3:$K$22*(Calc!$G$3:$G$22&gt;A310)*(Calc!$G$3:$G$22-A310))</f>
        <v/>
      </c>
      <c r="H310">
        <f>SUMPRODUCT(Calc!$K$3:$K$22*(Calc!$G$3:$G$22&gt;B310)*(Calc!$G$3:$G$22-B310))</f>
        <v/>
      </c>
      <c r="I310">
        <f>SUMPRODUCT(Calc!$K$3:$K$22*(Calc!$G$3:$G$22&gt;A310)*(Calc!$G$3:$G$22-A310)^2)</f>
        <v/>
      </c>
      <c r="J310">
        <f>SUMPRODUCT(Calc!$K$3:$K$22*(Calc!$G$3:$G$22&gt;B310)*(Calc!$G$3:$G$22-B310)^2)</f>
        <v/>
      </c>
      <c r="K310">
        <f>SUMPRODUCT(Calc!$K$3:$K$22*(Calc!$G$3:$G$22&gt;A310)*(Calc!$G$3:$G$22-A310)*(Calc!$G$3:$G$22&gt;B310)*(Calc!$G$3:$G$22-B310))</f>
        <v/>
      </c>
      <c r="L310">
        <f>SUMPRODUCT(Calc!$K$3:$K$22*(Calc!$G$3:$G$22&gt;A310)*(Calc!$G$3:$G$22-A310)*Calc!$G$3:$G$22)</f>
        <v/>
      </c>
      <c r="M310">
        <f>SUMPRODUCT(Calc!$K$3:$K$22*(Calc!$G$3:$G$22&gt;B310)*(Calc!$G$3:$G$22-B310)*Calc!$G$3:$G$22)</f>
        <v/>
      </c>
      <c r="N310">
        <f>SUMPRODUCT(Calc!$K$3:$K$22*(Calc!$G$3:$G$22&gt;A310)*(Calc!$G$3:$G$22-A310)*Calc!$I$3:$I$22)</f>
        <v/>
      </c>
      <c r="O310">
        <f>SUMPRODUCT(Calc!$K$3:$K$22*(Calc!$G$3:$G$22&gt;B310)*(Calc!$G$3:$G$22-B310)*Calc!$I$3:$I$22)</f>
        <v/>
      </c>
      <c r="P310">
        <f>I310-G310^2/k_n</f>
        <v/>
      </c>
      <c r="Q310">
        <f>J310-H310^2/k_n</f>
        <v/>
      </c>
      <c r="R310">
        <f>K310-G310*H310/k_n</f>
        <v/>
      </c>
      <c r="S310">
        <f>L310-LTP3!$D$3*G310/k_n</f>
        <v/>
      </c>
      <c r="T310">
        <f>M310-LTP3!$D$3*H310/k_n</f>
        <v/>
      </c>
      <c r="U310">
        <f>N310-G310*LTP3!$D$4/k_n</f>
        <v/>
      </c>
      <c r="V310">
        <f>O310-H310*LTP3!$D$4/k_n</f>
        <v/>
      </c>
      <c r="W310">
        <f>((LTP3!$D$5)*((P310)*(Q310)-(R310)*(R310))-(S310)*((S310)*(Q310)-(R310)*(T310))+(T310)*((S310)*(R310)-(P310)*(T310)))</f>
        <v/>
      </c>
      <c r="X310">
        <f>IF(ABS(W310)&gt;1E-12,((LTP3!$D$6)*((P310)*(Q310)-(R310)*(R310))-(S310)*((U310)*(Q310)-(R310)*(V310))+(T310)*((U310)*(R310)-(P310)*(V310)))/W310,0)</f>
        <v/>
      </c>
      <c r="Y310">
        <f>IF(ABS(W310)&gt;1E-12,((LTP3!$D$5)*((U310)*(Q310)-(R310)*(V310))-(LTP3!$D$6)*((S310)*(Q310)-(R310)*(T310))+(T310)*((S310)*(V310)-(U310)*(T310)))/W310,0)</f>
        <v/>
      </c>
      <c r="Z310">
        <f>IF(ABS(W310)&gt;1E-12,((LTP3!$D$5)*((P310)*(V310)-(U310)*(R310))-(S310)*((S310)*(V310)-(U310)*(T310))+(LTP3!$D$6)*((S310)*(R310)-(P310)*(T310)))/W310,0)</f>
        <v/>
      </c>
      <c r="AA310">
        <f>LTP3!$D$7-X310*LTP3!$D$6-Y310*U310-Z310*V310</f>
        <v/>
      </c>
      <c r="AB310">
        <f>IF(AND(F310,ABS(W310)&gt;1E-12,Y310&gt;0,Z310&gt;0),AA310,1E+300)</f>
        <v/>
      </c>
    </row>
    <row r="311">
      <c r="A311">
        <f>$B$3+$B$5*4</f>
        <v/>
      </c>
      <c r="B311">
        <f>$B$3+$B$5*55</f>
        <v/>
      </c>
      <c r="C311">
        <f>SUMPRODUCT(Calc!$K$3:$K$22*(Calc!$G$3:$G$22&lt;=A311))</f>
        <v/>
      </c>
      <c r="D311">
        <f>SUMPRODUCT(Calc!$K$3:$K$22*(Calc!$G$3:$G$22&gt;A311)*(Calc!$G$3:$G$22&lt;B311))</f>
        <v/>
      </c>
      <c r="E311">
        <f>SUMPRODUCT(Calc!$K$3:$K$22*(Calc!$G$3:$G$22&gt;=B311))</f>
        <v/>
      </c>
      <c r="F311">
        <f>AND(k_n&gt;=5,B311&gt;A311+1E-9,C311&gt;=2,D311&gt;=1,E311&gt;=2)</f>
        <v/>
      </c>
      <c r="G311">
        <f>SUMPRODUCT(Calc!$K$3:$K$22*(Calc!$G$3:$G$22&gt;A311)*(Calc!$G$3:$G$22-A311))</f>
        <v/>
      </c>
      <c r="H311">
        <f>SUMPRODUCT(Calc!$K$3:$K$22*(Calc!$G$3:$G$22&gt;B311)*(Calc!$G$3:$G$22-B311))</f>
        <v/>
      </c>
      <c r="I311">
        <f>SUMPRODUCT(Calc!$K$3:$K$22*(Calc!$G$3:$G$22&gt;A311)*(Calc!$G$3:$G$22-A311)^2)</f>
        <v/>
      </c>
      <c r="J311">
        <f>SUMPRODUCT(Calc!$K$3:$K$22*(Calc!$G$3:$G$22&gt;B311)*(Calc!$G$3:$G$22-B311)^2)</f>
        <v/>
      </c>
      <c r="K311">
        <f>SUMPRODUCT(Calc!$K$3:$K$22*(Calc!$G$3:$G$22&gt;A311)*(Calc!$G$3:$G$22-A311)*(Calc!$G$3:$G$22&gt;B311)*(Calc!$G$3:$G$22-B311))</f>
        <v/>
      </c>
      <c r="L311">
        <f>SUMPRODUCT(Calc!$K$3:$K$22*(Calc!$G$3:$G$22&gt;A311)*(Calc!$G$3:$G$22-A311)*Calc!$G$3:$G$22)</f>
        <v/>
      </c>
      <c r="M311">
        <f>SUMPRODUCT(Calc!$K$3:$K$22*(Calc!$G$3:$G$22&gt;B311)*(Calc!$G$3:$G$22-B311)*Calc!$G$3:$G$22)</f>
        <v/>
      </c>
      <c r="N311">
        <f>SUMPRODUCT(Calc!$K$3:$K$22*(Calc!$G$3:$G$22&gt;A311)*(Calc!$G$3:$G$22-A311)*Calc!$I$3:$I$22)</f>
        <v/>
      </c>
      <c r="O311">
        <f>SUMPRODUCT(Calc!$K$3:$K$22*(Calc!$G$3:$G$22&gt;B311)*(Calc!$G$3:$G$22-B311)*Calc!$I$3:$I$22)</f>
        <v/>
      </c>
      <c r="P311">
        <f>I311-G311^2/k_n</f>
        <v/>
      </c>
      <c r="Q311">
        <f>J311-H311^2/k_n</f>
        <v/>
      </c>
      <c r="R311">
        <f>K311-G311*H311/k_n</f>
        <v/>
      </c>
      <c r="S311">
        <f>L311-LTP3!$D$3*G311/k_n</f>
        <v/>
      </c>
      <c r="T311">
        <f>M311-LTP3!$D$3*H311/k_n</f>
        <v/>
      </c>
      <c r="U311">
        <f>N311-G311*LTP3!$D$4/k_n</f>
        <v/>
      </c>
      <c r="V311">
        <f>O311-H311*LTP3!$D$4/k_n</f>
        <v/>
      </c>
      <c r="W311">
        <f>((LTP3!$D$5)*((P311)*(Q311)-(R311)*(R311))-(S311)*((S311)*(Q311)-(R311)*(T311))+(T311)*((S311)*(R311)-(P311)*(T311)))</f>
        <v/>
      </c>
      <c r="X311">
        <f>IF(ABS(W311)&gt;1E-12,((LTP3!$D$6)*((P311)*(Q311)-(R311)*(R311))-(S311)*((U311)*(Q311)-(R311)*(V311))+(T311)*((U311)*(R311)-(P311)*(V311)))/W311,0)</f>
        <v/>
      </c>
      <c r="Y311">
        <f>IF(ABS(W311)&gt;1E-12,((LTP3!$D$5)*((U311)*(Q311)-(R311)*(V311))-(LTP3!$D$6)*((S311)*(Q311)-(R311)*(T311))+(T311)*((S311)*(V311)-(U311)*(T311)))/W311,0)</f>
        <v/>
      </c>
      <c r="Z311">
        <f>IF(ABS(W311)&gt;1E-12,((LTP3!$D$5)*((P311)*(V311)-(U311)*(R311))-(S311)*((S311)*(V311)-(U311)*(T311))+(LTP3!$D$6)*((S311)*(R311)-(P311)*(T311)))/W311,0)</f>
        <v/>
      </c>
      <c r="AA311">
        <f>LTP3!$D$7-X311*LTP3!$D$6-Y311*U311-Z311*V311</f>
        <v/>
      </c>
      <c r="AB311">
        <f>IF(AND(F311,ABS(W311)&gt;1E-12,Y311&gt;0,Z311&gt;0),AA311,1E+300)</f>
        <v/>
      </c>
    </row>
    <row r="312">
      <c r="A312">
        <f>$B$3+$B$5*4</f>
        <v/>
      </c>
      <c r="B312">
        <f>$B$3+$B$5*56</f>
        <v/>
      </c>
      <c r="C312">
        <f>SUMPRODUCT(Calc!$K$3:$K$22*(Calc!$G$3:$G$22&lt;=A312))</f>
        <v/>
      </c>
      <c r="D312">
        <f>SUMPRODUCT(Calc!$K$3:$K$22*(Calc!$G$3:$G$22&gt;A312)*(Calc!$G$3:$G$22&lt;B312))</f>
        <v/>
      </c>
      <c r="E312">
        <f>SUMPRODUCT(Calc!$K$3:$K$22*(Calc!$G$3:$G$22&gt;=B312))</f>
        <v/>
      </c>
      <c r="F312">
        <f>AND(k_n&gt;=5,B312&gt;A312+1E-9,C312&gt;=2,D312&gt;=1,E312&gt;=2)</f>
        <v/>
      </c>
      <c r="G312">
        <f>SUMPRODUCT(Calc!$K$3:$K$22*(Calc!$G$3:$G$22&gt;A312)*(Calc!$G$3:$G$22-A312))</f>
        <v/>
      </c>
      <c r="H312">
        <f>SUMPRODUCT(Calc!$K$3:$K$22*(Calc!$G$3:$G$22&gt;B312)*(Calc!$G$3:$G$22-B312))</f>
        <v/>
      </c>
      <c r="I312">
        <f>SUMPRODUCT(Calc!$K$3:$K$22*(Calc!$G$3:$G$22&gt;A312)*(Calc!$G$3:$G$22-A312)^2)</f>
        <v/>
      </c>
      <c r="J312">
        <f>SUMPRODUCT(Calc!$K$3:$K$22*(Calc!$G$3:$G$22&gt;B312)*(Calc!$G$3:$G$22-B312)^2)</f>
        <v/>
      </c>
      <c r="K312">
        <f>SUMPRODUCT(Calc!$K$3:$K$22*(Calc!$G$3:$G$22&gt;A312)*(Calc!$G$3:$G$22-A312)*(Calc!$G$3:$G$22&gt;B312)*(Calc!$G$3:$G$22-B312))</f>
        <v/>
      </c>
      <c r="L312">
        <f>SUMPRODUCT(Calc!$K$3:$K$22*(Calc!$G$3:$G$22&gt;A312)*(Calc!$G$3:$G$22-A312)*Calc!$G$3:$G$22)</f>
        <v/>
      </c>
      <c r="M312">
        <f>SUMPRODUCT(Calc!$K$3:$K$22*(Calc!$G$3:$G$22&gt;B312)*(Calc!$G$3:$G$22-B312)*Calc!$G$3:$G$22)</f>
        <v/>
      </c>
      <c r="N312">
        <f>SUMPRODUCT(Calc!$K$3:$K$22*(Calc!$G$3:$G$22&gt;A312)*(Calc!$G$3:$G$22-A312)*Calc!$I$3:$I$22)</f>
        <v/>
      </c>
      <c r="O312">
        <f>SUMPRODUCT(Calc!$K$3:$K$22*(Calc!$G$3:$G$22&gt;B312)*(Calc!$G$3:$G$22-B312)*Calc!$I$3:$I$22)</f>
        <v/>
      </c>
      <c r="P312">
        <f>I312-G312^2/k_n</f>
        <v/>
      </c>
      <c r="Q312">
        <f>J312-H312^2/k_n</f>
        <v/>
      </c>
      <c r="R312">
        <f>K312-G312*H312/k_n</f>
        <v/>
      </c>
      <c r="S312">
        <f>L312-LTP3!$D$3*G312/k_n</f>
        <v/>
      </c>
      <c r="T312">
        <f>M312-LTP3!$D$3*H312/k_n</f>
        <v/>
      </c>
      <c r="U312">
        <f>N312-G312*LTP3!$D$4/k_n</f>
        <v/>
      </c>
      <c r="V312">
        <f>O312-H312*LTP3!$D$4/k_n</f>
        <v/>
      </c>
      <c r="W312">
        <f>((LTP3!$D$5)*((P312)*(Q312)-(R312)*(R312))-(S312)*((S312)*(Q312)-(R312)*(T312))+(T312)*((S312)*(R312)-(P312)*(T312)))</f>
        <v/>
      </c>
      <c r="X312">
        <f>IF(ABS(W312)&gt;1E-12,((LTP3!$D$6)*((P312)*(Q312)-(R312)*(R312))-(S312)*((U312)*(Q312)-(R312)*(V312))+(T312)*((U312)*(R312)-(P312)*(V312)))/W312,0)</f>
        <v/>
      </c>
      <c r="Y312">
        <f>IF(ABS(W312)&gt;1E-12,((LTP3!$D$5)*((U312)*(Q312)-(R312)*(V312))-(LTP3!$D$6)*((S312)*(Q312)-(R312)*(T312))+(T312)*((S312)*(V312)-(U312)*(T312)))/W312,0)</f>
        <v/>
      </c>
      <c r="Z312">
        <f>IF(ABS(W312)&gt;1E-12,((LTP3!$D$5)*((P312)*(V312)-(U312)*(R312))-(S312)*((S312)*(V312)-(U312)*(T312))+(LTP3!$D$6)*((S312)*(R312)-(P312)*(T312)))/W312,0)</f>
        <v/>
      </c>
      <c r="AA312">
        <f>LTP3!$D$7-X312*LTP3!$D$6-Y312*U312-Z312*V312</f>
        <v/>
      </c>
      <c r="AB312">
        <f>IF(AND(F312,ABS(W312)&gt;1E-12,Y312&gt;0,Z312&gt;0),AA312,1E+300)</f>
        <v/>
      </c>
    </row>
    <row r="313">
      <c r="A313">
        <f>$B$3+$B$5*4</f>
        <v/>
      </c>
      <c r="B313">
        <f>$B$3+$B$5*57</f>
        <v/>
      </c>
      <c r="C313">
        <f>SUMPRODUCT(Calc!$K$3:$K$22*(Calc!$G$3:$G$22&lt;=A313))</f>
        <v/>
      </c>
      <c r="D313">
        <f>SUMPRODUCT(Calc!$K$3:$K$22*(Calc!$G$3:$G$22&gt;A313)*(Calc!$G$3:$G$22&lt;B313))</f>
        <v/>
      </c>
      <c r="E313">
        <f>SUMPRODUCT(Calc!$K$3:$K$22*(Calc!$G$3:$G$22&gt;=B313))</f>
        <v/>
      </c>
      <c r="F313">
        <f>AND(k_n&gt;=5,B313&gt;A313+1E-9,C313&gt;=2,D313&gt;=1,E313&gt;=2)</f>
        <v/>
      </c>
      <c r="G313">
        <f>SUMPRODUCT(Calc!$K$3:$K$22*(Calc!$G$3:$G$22&gt;A313)*(Calc!$G$3:$G$22-A313))</f>
        <v/>
      </c>
      <c r="H313">
        <f>SUMPRODUCT(Calc!$K$3:$K$22*(Calc!$G$3:$G$22&gt;B313)*(Calc!$G$3:$G$22-B313))</f>
        <v/>
      </c>
      <c r="I313">
        <f>SUMPRODUCT(Calc!$K$3:$K$22*(Calc!$G$3:$G$22&gt;A313)*(Calc!$G$3:$G$22-A313)^2)</f>
        <v/>
      </c>
      <c r="J313">
        <f>SUMPRODUCT(Calc!$K$3:$K$22*(Calc!$G$3:$G$22&gt;B313)*(Calc!$G$3:$G$22-B313)^2)</f>
        <v/>
      </c>
      <c r="K313">
        <f>SUMPRODUCT(Calc!$K$3:$K$22*(Calc!$G$3:$G$22&gt;A313)*(Calc!$G$3:$G$22-A313)*(Calc!$G$3:$G$22&gt;B313)*(Calc!$G$3:$G$22-B313))</f>
        <v/>
      </c>
      <c r="L313">
        <f>SUMPRODUCT(Calc!$K$3:$K$22*(Calc!$G$3:$G$22&gt;A313)*(Calc!$G$3:$G$22-A313)*Calc!$G$3:$G$22)</f>
        <v/>
      </c>
      <c r="M313">
        <f>SUMPRODUCT(Calc!$K$3:$K$22*(Calc!$G$3:$G$22&gt;B313)*(Calc!$G$3:$G$22-B313)*Calc!$G$3:$G$22)</f>
        <v/>
      </c>
      <c r="N313">
        <f>SUMPRODUCT(Calc!$K$3:$K$22*(Calc!$G$3:$G$22&gt;A313)*(Calc!$G$3:$G$22-A313)*Calc!$I$3:$I$22)</f>
        <v/>
      </c>
      <c r="O313">
        <f>SUMPRODUCT(Calc!$K$3:$K$22*(Calc!$G$3:$G$22&gt;B313)*(Calc!$G$3:$G$22-B313)*Calc!$I$3:$I$22)</f>
        <v/>
      </c>
      <c r="P313">
        <f>I313-G313^2/k_n</f>
        <v/>
      </c>
      <c r="Q313">
        <f>J313-H313^2/k_n</f>
        <v/>
      </c>
      <c r="R313">
        <f>K313-G313*H313/k_n</f>
        <v/>
      </c>
      <c r="S313">
        <f>L313-LTP3!$D$3*G313/k_n</f>
        <v/>
      </c>
      <c r="T313">
        <f>M313-LTP3!$D$3*H313/k_n</f>
        <v/>
      </c>
      <c r="U313">
        <f>N313-G313*LTP3!$D$4/k_n</f>
        <v/>
      </c>
      <c r="V313">
        <f>O313-H313*LTP3!$D$4/k_n</f>
        <v/>
      </c>
      <c r="W313">
        <f>((LTP3!$D$5)*((P313)*(Q313)-(R313)*(R313))-(S313)*((S313)*(Q313)-(R313)*(T313))+(T313)*((S313)*(R313)-(P313)*(T313)))</f>
        <v/>
      </c>
      <c r="X313">
        <f>IF(ABS(W313)&gt;1E-12,((LTP3!$D$6)*((P313)*(Q313)-(R313)*(R313))-(S313)*((U313)*(Q313)-(R313)*(V313))+(T313)*((U313)*(R313)-(P313)*(V313)))/W313,0)</f>
        <v/>
      </c>
      <c r="Y313">
        <f>IF(ABS(W313)&gt;1E-12,((LTP3!$D$5)*((U313)*(Q313)-(R313)*(V313))-(LTP3!$D$6)*((S313)*(Q313)-(R313)*(T313))+(T313)*((S313)*(V313)-(U313)*(T313)))/W313,0)</f>
        <v/>
      </c>
      <c r="Z313">
        <f>IF(ABS(W313)&gt;1E-12,((LTP3!$D$5)*((P313)*(V313)-(U313)*(R313))-(S313)*((S313)*(V313)-(U313)*(T313))+(LTP3!$D$6)*((S313)*(R313)-(P313)*(T313)))/W313,0)</f>
        <v/>
      </c>
      <c r="AA313">
        <f>LTP3!$D$7-X313*LTP3!$D$6-Y313*U313-Z313*V313</f>
        <v/>
      </c>
      <c r="AB313">
        <f>IF(AND(F313,ABS(W313)&gt;1E-12,Y313&gt;0,Z313&gt;0),AA313,1E+300)</f>
        <v/>
      </c>
    </row>
    <row r="314">
      <c r="A314">
        <f>$B$3+$B$5*4</f>
        <v/>
      </c>
      <c r="B314">
        <f>$B$3+$B$5*58</f>
        <v/>
      </c>
      <c r="C314">
        <f>SUMPRODUCT(Calc!$K$3:$K$22*(Calc!$G$3:$G$22&lt;=A314))</f>
        <v/>
      </c>
      <c r="D314">
        <f>SUMPRODUCT(Calc!$K$3:$K$22*(Calc!$G$3:$G$22&gt;A314)*(Calc!$G$3:$G$22&lt;B314))</f>
        <v/>
      </c>
      <c r="E314">
        <f>SUMPRODUCT(Calc!$K$3:$K$22*(Calc!$G$3:$G$22&gt;=B314))</f>
        <v/>
      </c>
      <c r="F314">
        <f>AND(k_n&gt;=5,B314&gt;A314+1E-9,C314&gt;=2,D314&gt;=1,E314&gt;=2)</f>
        <v/>
      </c>
      <c r="G314">
        <f>SUMPRODUCT(Calc!$K$3:$K$22*(Calc!$G$3:$G$22&gt;A314)*(Calc!$G$3:$G$22-A314))</f>
        <v/>
      </c>
      <c r="H314">
        <f>SUMPRODUCT(Calc!$K$3:$K$22*(Calc!$G$3:$G$22&gt;B314)*(Calc!$G$3:$G$22-B314))</f>
        <v/>
      </c>
      <c r="I314">
        <f>SUMPRODUCT(Calc!$K$3:$K$22*(Calc!$G$3:$G$22&gt;A314)*(Calc!$G$3:$G$22-A314)^2)</f>
        <v/>
      </c>
      <c r="J314">
        <f>SUMPRODUCT(Calc!$K$3:$K$22*(Calc!$G$3:$G$22&gt;B314)*(Calc!$G$3:$G$22-B314)^2)</f>
        <v/>
      </c>
      <c r="K314">
        <f>SUMPRODUCT(Calc!$K$3:$K$22*(Calc!$G$3:$G$22&gt;A314)*(Calc!$G$3:$G$22-A314)*(Calc!$G$3:$G$22&gt;B314)*(Calc!$G$3:$G$22-B314))</f>
        <v/>
      </c>
      <c r="L314">
        <f>SUMPRODUCT(Calc!$K$3:$K$22*(Calc!$G$3:$G$22&gt;A314)*(Calc!$G$3:$G$22-A314)*Calc!$G$3:$G$22)</f>
        <v/>
      </c>
      <c r="M314">
        <f>SUMPRODUCT(Calc!$K$3:$K$22*(Calc!$G$3:$G$22&gt;B314)*(Calc!$G$3:$G$22-B314)*Calc!$G$3:$G$22)</f>
        <v/>
      </c>
      <c r="N314">
        <f>SUMPRODUCT(Calc!$K$3:$K$22*(Calc!$G$3:$G$22&gt;A314)*(Calc!$G$3:$G$22-A314)*Calc!$I$3:$I$22)</f>
        <v/>
      </c>
      <c r="O314">
        <f>SUMPRODUCT(Calc!$K$3:$K$22*(Calc!$G$3:$G$22&gt;B314)*(Calc!$G$3:$G$22-B314)*Calc!$I$3:$I$22)</f>
        <v/>
      </c>
      <c r="P314">
        <f>I314-G314^2/k_n</f>
        <v/>
      </c>
      <c r="Q314">
        <f>J314-H314^2/k_n</f>
        <v/>
      </c>
      <c r="R314">
        <f>K314-G314*H314/k_n</f>
        <v/>
      </c>
      <c r="S314">
        <f>L314-LTP3!$D$3*G314/k_n</f>
        <v/>
      </c>
      <c r="T314">
        <f>M314-LTP3!$D$3*H314/k_n</f>
        <v/>
      </c>
      <c r="U314">
        <f>N314-G314*LTP3!$D$4/k_n</f>
        <v/>
      </c>
      <c r="V314">
        <f>O314-H314*LTP3!$D$4/k_n</f>
        <v/>
      </c>
      <c r="W314">
        <f>((LTP3!$D$5)*((P314)*(Q314)-(R314)*(R314))-(S314)*((S314)*(Q314)-(R314)*(T314))+(T314)*((S314)*(R314)-(P314)*(T314)))</f>
        <v/>
      </c>
      <c r="X314">
        <f>IF(ABS(W314)&gt;1E-12,((LTP3!$D$6)*((P314)*(Q314)-(R314)*(R314))-(S314)*((U314)*(Q314)-(R314)*(V314))+(T314)*((U314)*(R314)-(P314)*(V314)))/W314,0)</f>
        <v/>
      </c>
      <c r="Y314">
        <f>IF(ABS(W314)&gt;1E-12,((LTP3!$D$5)*((U314)*(Q314)-(R314)*(V314))-(LTP3!$D$6)*((S314)*(Q314)-(R314)*(T314))+(T314)*((S314)*(V314)-(U314)*(T314)))/W314,0)</f>
        <v/>
      </c>
      <c r="Z314">
        <f>IF(ABS(W314)&gt;1E-12,((LTP3!$D$5)*((P314)*(V314)-(U314)*(R314))-(S314)*((S314)*(V314)-(U314)*(T314))+(LTP3!$D$6)*((S314)*(R314)-(P314)*(T314)))/W314,0)</f>
        <v/>
      </c>
      <c r="AA314">
        <f>LTP3!$D$7-X314*LTP3!$D$6-Y314*U314-Z314*V314</f>
        <v/>
      </c>
      <c r="AB314">
        <f>IF(AND(F314,ABS(W314)&gt;1E-12,Y314&gt;0,Z314&gt;0),AA314,1E+300)</f>
        <v/>
      </c>
    </row>
    <row r="315">
      <c r="A315">
        <f>$B$3+$B$5*4</f>
        <v/>
      </c>
      <c r="B315">
        <f>$B$3+$B$5*59</f>
        <v/>
      </c>
      <c r="C315">
        <f>SUMPRODUCT(Calc!$K$3:$K$22*(Calc!$G$3:$G$22&lt;=A315))</f>
        <v/>
      </c>
      <c r="D315">
        <f>SUMPRODUCT(Calc!$K$3:$K$22*(Calc!$G$3:$G$22&gt;A315)*(Calc!$G$3:$G$22&lt;B315))</f>
        <v/>
      </c>
      <c r="E315">
        <f>SUMPRODUCT(Calc!$K$3:$K$22*(Calc!$G$3:$G$22&gt;=B315))</f>
        <v/>
      </c>
      <c r="F315">
        <f>AND(k_n&gt;=5,B315&gt;A315+1E-9,C315&gt;=2,D315&gt;=1,E315&gt;=2)</f>
        <v/>
      </c>
      <c r="G315">
        <f>SUMPRODUCT(Calc!$K$3:$K$22*(Calc!$G$3:$G$22&gt;A315)*(Calc!$G$3:$G$22-A315))</f>
        <v/>
      </c>
      <c r="H315">
        <f>SUMPRODUCT(Calc!$K$3:$K$22*(Calc!$G$3:$G$22&gt;B315)*(Calc!$G$3:$G$22-B315))</f>
        <v/>
      </c>
      <c r="I315">
        <f>SUMPRODUCT(Calc!$K$3:$K$22*(Calc!$G$3:$G$22&gt;A315)*(Calc!$G$3:$G$22-A315)^2)</f>
        <v/>
      </c>
      <c r="J315">
        <f>SUMPRODUCT(Calc!$K$3:$K$22*(Calc!$G$3:$G$22&gt;B315)*(Calc!$G$3:$G$22-B315)^2)</f>
        <v/>
      </c>
      <c r="K315">
        <f>SUMPRODUCT(Calc!$K$3:$K$22*(Calc!$G$3:$G$22&gt;A315)*(Calc!$G$3:$G$22-A315)*(Calc!$G$3:$G$22&gt;B315)*(Calc!$G$3:$G$22-B315))</f>
        <v/>
      </c>
      <c r="L315">
        <f>SUMPRODUCT(Calc!$K$3:$K$22*(Calc!$G$3:$G$22&gt;A315)*(Calc!$G$3:$G$22-A315)*Calc!$G$3:$G$22)</f>
        <v/>
      </c>
      <c r="M315">
        <f>SUMPRODUCT(Calc!$K$3:$K$22*(Calc!$G$3:$G$22&gt;B315)*(Calc!$G$3:$G$22-B315)*Calc!$G$3:$G$22)</f>
        <v/>
      </c>
      <c r="N315">
        <f>SUMPRODUCT(Calc!$K$3:$K$22*(Calc!$G$3:$G$22&gt;A315)*(Calc!$G$3:$G$22-A315)*Calc!$I$3:$I$22)</f>
        <v/>
      </c>
      <c r="O315">
        <f>SUMPRODUCT(Calc!$K$3:$K$22*(Calc!$G$3:$G$22&gt;B315)*(Calc!$G$3:$G$22-B315)*Calc!$I$3:$I$22)</f>
        <v/>
      </c>
      <c r="P315">
        <f>I315-G315^2/k_n</f>
        <v/>
      </c>
      <c r="Q315">
        <f>J315-H315^2/k_n</f>
        <v/>
      </c>
      <c r="R315">
        <f>K315-G315*H315/k_n</f>
        <v/>
      </c>
      <c r="S315">
        <f>L315-LTP3!$D$3*G315/k_n</f>
        <v/>
      </c>
      <c r="T315">
        <f>M315-LTP3!$D$3*H315/k_n</f>
        <v/>
      </c>
      <c r="U315">
        <f>N315-G315*LTP3!$D$4/k_n</f>
        <v/>
      </c>
      <c r="V315">
        <f>O315-H315*LTP3!$D$4/k_n</f>
        <v/>
      </c>
      <c r="W315">
        <f>((LTP3!$D$5)*((P315)*(Q315)-(R315)*(R315))-(S315)*((S315)*(Q315)-(R315)*(T315))+(T315)*((S315)*(R315)-(P315)*(T315)))</f>
        <v/>
      </c>
      <c r="X315">
        <f>IF(ABS(W315)&gt;1E-12,((LTP3!$D$6)*((P315)*(Q315)-(R315)*(R315))-(S315)*((U315)*(Q315)-(R315)*(V315))+(T315)*((U315)*(R315)-(P315)*(V315)))/W315,0)</f>
        <v/>
      </c>
      <c r="Y315">
        <f>IF(ABS(W315)&gt;1E-12,((LTP3!$D$5)*((U315)*(Q315)-(R315)*(V315))-(LTP3!$D$6)*((S315)*(Q315)-(R315)*(T315))+(T315)*((S315)*(V315)-(U315)*(T315)))/W315,0)</f>
        <v/>
      </c>
      <c r="Z315">
        <f>IF(ABS(W315)&gt;1E-12,((LTP3!$D$5)*((P315)*(V315)-(U315)*(R315))-(S315)*((S315)*(V315)-(U315)*(T315))+(LTP3!$D$6)*((S315)*(R315)-(P315)*(T315)))/W315,0)</f>
        <v/>
      </c>
      <c r="AA315">
        <f>LTP3!$D$7-X315*LTP3!$D$6-Y315*U315-Z315*V315</f>
        <v/>
      </c>
      <c r="AB315">
        <f>IF(AND(F315,ABS(W315)&gt;1E-12,Y315&gt;0,Z315&gt;0),AA315,1E+300)</f>
        <v/>
      </c>
    </row>
    <row r="316">
      <c r="A316">
        <f>$B$3+$B$5*4</f>
        <v/>
      </c>
      <c r="B316">
        <f>$B$3+$B$5*60</f>
        <v/>
      </c>
      <c r="C316">
        <f>SUMPRODUCT(Calc!$K$3:$K$22*(Calc!$G$3:$G$22&lt;=A316))</f>
        <v/>
      </c>
      <c r="D316">
        <f>SUMPRODUCT(Calc!$K$3:$K$22*(Calc!$G$3:$G$22&gt;A316)*(Calc!$G$3:$G$22&lt;B316))</f>
        <v/>
      </c>
      <c r="E316">
        <f>SUMPRODUCT(Calc!$K$3:$K$22*(Calc!$G$3:$G$22&gt;=B316))</f>
        <v/>
      </c>
      <c r="F316">
        <f>AND(k_n&gt;=5,B316&gt;A316+1E-9,C316&gt;=2,D316&gt;=1,E316&gt;=2)</f>
        <v/>
      </c>
      <c r="G316">
        <f>SUMPRODUCT(Calc!$K$3:$K$22*(Calc!$G$3:$G$22&gt;A316)*(Calc!$G$3:$G$22-A316))</f>
        <v/>
      </c>
      <c r="H316">
        <f>SUMPRODUCT(Calc!$K$3:$K$22*(Calc!$G$3:$G$22&gt;B316)*(Calc!$G$3:$G$22-B316))</f>
        <v/>
      </c>
      <c r="I316">
        <f>SUMPRODUCT(Calc!$K$3:$K$22*(Calc!$G$3:$G$22&gt;A316)*(Calc!$G$3:$G$22-A316)^2)</f>
        <v/>
      </c>
      <c r="J316">
        <f>SUMPRODUCT(Calc!$K$3:$K$22*(Calc!$G$3:$G$22&gt;B316)*(Calc!$G$3:$G$22-B316)^2)</f>
        <v/>
      </c>
      <c r="K316">
        <f>SUMPRODUCT(Calc!$K$3:$K$22*(Calc!$G$3:$G$22&gt;A316)*(Calc!$G$3:$G$22-A316)*(Calc!$G$3:$G$22&gt;B316)*(Calc!$G$3:$G$22-B316))</f>
        <v/>
      </c>
      <c r="L316">
        <f>SUMPRODUCT(Calc!$K$3:$K$22*(Calc!$G$3:$G$22&gt;A316)*(Calc!$G$3:$G$22-A316)*Calc!$G$3:$G$22)</f>
        <v/>
      </c>
      <c r="M316">
        <f>SUMPRODUCT(Calc!$K$3:$K$22*(Calc!$G$3:$G$22&gt;B316)*(Calc!$G$3:$G$22-B316)*Calc!$G$3:$G$22)</f>
        <v/>
      </c>
      <c r="N316">
        <f>SUMPRODUCT(Calc!$K$3:$K$22*(Calc!$G$3:$G$22&gt;A316)*(Calc!$G$3:$G$22-A316)*Calc!$I$3:$I$22)</f>
        <v/>
      </c>
      <c r="O316">
        <f>SUMPRODUCT(Calc!$K$3:$K$22*(Calc!$G$3:$G$22&gt;B316)*(Calc!$G$3:$G$22-B316)*Calc!$I$3:$I$22)</f>
        <v/>
      </c>
      <c r="P316">
        <f>I316-G316^2/k_n</f>
        <v/>
      </c>
      <c r="Q316">
        <f>J316-H316^2/k_n</f>
        <v/>
      </c>
      <c r="R316">
        <f>K316-G316*H316/k_n</f>
        <v/>
      </c>
      <c r="S316">
        <f>L316-LTP3!$D$3*G316/k_n</f>
        <v/>
      </c>
      <c r="T316">
        <f>M316-LTP3!$D$3*H316/k_n</f>
        <v/>
      </c>
      <c r="U316">
        <f>N316-G316*LTP3!$D$4/k_n</f>
        <v/>
      </c>
      <c r="V316">
        <f>O316-H316*LTP3!$D$4/k_n</f>
        <v/>
      </c>
      <c r="W316">
        <f>((LTP3!$D$5)*((P316)*(Q316)-(R316)*(R316))-(S316)*((S316)*(Q316)-(R316)*(T316))+(T316)*((S316)*(R316)-(P316)*(T316)))</f>
        <v/>
      </c>
      <c r="X316">
        <f>IF(ABS(W316)&gt;1E-12,((LTP3!$D$6)*((P316)*(Q316)-(R316)*(R316))-(S316)*((U316)*(Q316)-(R316)*(V316))+(T316)*((U316)*(R316)-(P316)*(V316)))/W316,0)</f>
        <v/>
      </c>
      <c r="Y316">
        <f>IF(ABS(W316)&gt;1E-12,((LTP3!$D$5)*((U316)*(Q316)-(R316)*(V316))-(LTP3!$D$6)*((S316)*(Q316)-(R316)*(T316))+(T316)*((S316)*(V316)-(U316)*(T316)))/W316,0)</f>
        <v/>
      </c>
      <c r="Z316">
        <f>IF(ABS(W316)&gt;1E-12,((LTP3!$D$5)*((P316)*(V316)-(U316)*(R316))-(S316)*((S316)*(V316)-(U316)*(T316))+(LTP3!$D$6)*((S316)*(R316)-(P316)*(T316)))/W316,0)</f>
        <v/>
      </c>
      <c r="AA316">
        <f>LTP3!$D$7-X316*LTP3!$D$6-Y316*U316-Z316*V316</f>
        <v/>
      </c>
      <c r="AB316">
        <f>IF(AND(F316,ABS(W316)&gt;1E-12,Y316&gt;0,Z316&gt;0),AA316,1E+300)</f>
        <v/>
      </c>
    </row>
    <row r="317">
      <c r="A317">
        <f>$B$3+$B$5*5</f>
        <v/>
      </c>
      <c r="B317">
        <f>$B$3+$B$5*0</f>
        <v/>
      </c>
      <c r="C317">
        <f>SUMPRODUCT(Calc!$K$3:$K$22*(Calc!$G$3:$G$22&lt;=A317))</f>
        <v/>
      </c>
      <c r="D317">
        <f>SUMPRODUCT(Calc!$K$3:$K$22*(Calc!$G$3:$G$22&gt;A317)*(Calc!$G$3:$G$22&lt;B317))</f>
        <v/>
      </c>
      <c r="E317">
        <f>SUMPRODUCT(Calc!$K$3:$K$22*(Calc!$G$3:$G$22&gt;=B317))</f>
        <v/>
      </c>
      <c r="F317">
        <f>AND(k_n&gt;=5,B317&gt;A317+1E-9,C317&gt;=2,D317&gt;=1,E317&gt;=2)</f>
        <v/>
      </c>
      <c r="G317">
        <f>SUMPRODUCT(Calc!$K$3:$K$22*(Calc!$G$3:$G$22&gt;A317)*(Calc!$G$3:$G$22-A317))</f>
        <v/>
      </c>
      <c r="H317">
        <f>SUMPRODUCT(Calc!$K$3:$K$22*(Calc!$G$3:$G$22&gt;B317)*(Calc!$G$3:$G$22-B317))</f>
        <v/>
      </c>
      <c r="I317">
        <f>SUMPRODUCT(Calc!$K$3:$K$22*(Calc!$G$3:$G$22&gt;A317)*(Calc!$G$3:$G$22-A317)^2)</f>
        <v/>
      </c>
      <c r="J317">
        <f>SUMPRODUCT(Calc!$K$3:$K$22*(Calc!$G$3:$G$22&gt;B317)*(Calc!$G$3:$G$22-B317)^2)</f>
        <v/>
      </c>
      <c r="K317">
        <f>SUMPRODUCT(Calc!$K$3:$K$22*(Calc!$G$3:$G$22&gt;A317)*(Calc!$G$3:$G$22-A317)*(Calc!$G$3:$G$22&gt;B317)*(Calc!$G$3:$G$22-B317))</f>
        <v/>
      </c>
      <c r="L317">
        <f>SUMPRODUCT(Calc!$K$3:$K$22*(Calc!$G$3:$G$22&gt;A317)*(Calc!$G$3:$G$22-A317)*Calc!$G$3:$G$22)</f>
        <v/>
      </c>
      <c r="M317">
        <f>SUMPRODUCT(Calc!$K$3:$K$22*(Calc!$G$3:$G$22&gt;B317)*(Calc!$G$3:$G$22-B317)*Calc!$G$3:$G$22)</f>
        <v/>
      </c>
      <c r="N317">
        <f>SUMPRODUCT(Calc!$K$3:$K$22*(Calc!$G$3:$G$22&gt;A317)*(Calc!$G$3:$G$22-A317)*Calc!$I$3:$I$22)</f>
        <v/>
      </c>
      <c r="O317">
        <f>SUMPRODUCT(Calc!$K$3:$K$22*(Calc!$G$3:$G$22&gt;B317)*(Calc!$G$3:$G$22-B317)*Calc!$I$3:$I$22)</f>
        <v/>
      </c>
      <c r="P317">
        <f>I317-G317^2/k_n</f>
        <v/>
      </c>
      <c r="Q317">
        <f>J317-H317^2/k_n</f>
        <v/>
      </c>
      <c r="R317">
        <f>K317-G317*H317/k_n</f>
        <v/>
      </c>
      <c r="S317">
        <f>L317-LTP3!$D$3*G317/k_n</f>
        <v/>
      </c>
      <c r="T317">
        <f>M317-LTP3!$D$3*H317/k_n</f>
        <v/>
      </c>
      <c r="U317">
        <f>N317-G317*LTP3!$D$4/k_n</f>
        <v/>
      </c>
      <c r="V317">
        <f>O317-H317*LTP3!$D$4/k_n</f>
        <v/>
      </c>
      <c r="W317">
        <f>((LTP3!$D$5)*((P317)*(Q317)-(R317)*(R317))-(S317)*((S317)*(Q317)-(R317)*(T317))+(T317)*((S317)*(R317)-(P317)*(T317)))</f>
        <v/>
      </c>
      <c r="X317">
        <f>IF(ABS(W317)&gt;1E-12,((LTP3!$D$6)*((P317)*(Q317)-(R317)*(R317))-(S317)*((U317)*(Q317)-(R317)*(V317))+(T317)*((U317)*(R317)-(P317)*(V317)))/W317,0)</f>
        <v/>
      </c>
      <c r="Y317">
        <f>IF(ABS(W317)&gt;1E-12,((LTP3!$D$5)*((U317)*(Q317)-(R317)*(V317))-(LTP3!$D$6)*((S317)*(Q317)-(R317)*(T317))+(T317)*((S317)*(V317)-(U317)*(T317)))/W317,0)</f>
        <v/>
      </c>
      <c r="Z317">
        <f>IF(ABS(W317)&gt;1E-12,((LTP3!$D$5)*((P317)*(V317)-(U317)*(R317))-(S317)*((S317)*(V317)-(U317)*(T317))+(LTP3!$D$6)*((S317)*(R317)-(P317)*(T317)))/W317,0)</f>
        <v/>
      </c>
      <c r="AA317">
        <f>LTP3!$D$7-X317*LTP3!$D$6-Y317*U317-Z317*V317</f>
        <v/>
      </c>
      <c r="AB317">
        <f>IF(AND(F317,ABS(W317)&gt;1E-12,Y317&gt;0,Z317&gt;0),AA317,1E+300)</f>
        <v/>
      </c>
    </row>
    <row r="318">
      <c r="A318">
        <f>$B$3+$B$5*5</f>
        <v/>
      </c>
      <c r="B318">
        <f>$B$3+$B$5*1</f>
        <v/>
      </c>
      <c r="C318">
        <f>SUMPRODUCT(Calc!$K$3:$K$22*(Calc!$G$3:$G$22&lt;=A318))</f>
        <v/>
      </c>
      <c r="D318">
        <f>SUMPRODUCT(Calc!$K$3:$K$22*(Calc!$G$3:$G$22&gt;A318)*(Calc!$G$3:$G$22&lt;B318))</f>
        <v/>
      </c>
      <c r="E318">
        <f>SUMPRODUCT(Calc!$K$3:$K$22*(Calc!$G$3:$G$22&gt;=B318))</f>
        <v/>
      </c>
      <c r="F318">
        <f>AND(k_n&gt;=5,B318&gt;A318+1E-9,C318&gt;=2,D318&gt;=1,E318&gt;=2)</f>
        <v/>
      </c>
      <c r="G318">
        <f>SUMPRODUCT(Calc!$K$3:$K$22*(Calc!$G$3:$G$22&gt;A318)*(Calc!$G$3:$G$22-A318))</f>
        <v/>
      </c>
      <c r="H318">
        <f>SUMPRODUCT(Calc!$K$3:$K$22*(Calc!$G$3:$G$22&gt;B318)*(Calc!$G$3:$G$22-B318))</f>
        <v/>
      </c>
      <c r="I318">
        <f>SUMPRODUCT(Calc!$K$3:$K$22*(Calc!$G$3:$G$22&gt;A318)*(Calc!$G$3:$G$22-A318)^2)</f>
        <v/>
      </c>
      <c r="J318">
        <f>SUMPRODUCT(Calc!$K$3:$K$22*(Calc!$G$3:$G$22&gt;B318)*(Calc!$G$3:$G$22-B318)^2)</f>
        <v/>
      </c>
      <c r="K318">
        <f>SUMPRODUCT(Calc!$K$3:$K$22*(Calc!$G$3:$G$22&gt;A318)*(Calc!$G$3:$G$22-A318)*(Calc!$G$3:$G$22&gt;B318)*(Calc!$G$3:$G$22-B318))</f>
        <v/>
      </c>
      <c r="L318">
        <f>SUMPRODUCT(Calc!$K$3:$K$22*(Calc!$G$3:$G$22&gt;A318)*(Calc!$G$3:$G$22-A318)*Calc!$G$3:$G$22)</f>
        <v/>
      </c>
      <c r="M318">
        <f>SUMPRODUCT(Calc!$K$3:$K$22*(Calc!$G$3:$G$22&gt;B318)*(Calc!$G$3:$G$22-B318)*Calc!$G$3:$G$22)</f>
        <v/>
      </c>
      <c r="N318">
        <f>SUMPRODUCT(Calc!$K$3:$K$22*(Calc!$G$3:$G$22&gt;A318)*(Calc!$G$3:$G$22-A318)*Calc!$I$3:$I$22)</f>
        <v/>
      </c>
      <c r="O318">
        <f>SUMPRODUCT(Calc!$K$3:$K$22*(Calc!$G$3:$G$22&gt;B318)*(Calc!$G$3:$G$22-B318)*Calc!$I$3:$I$22)</f>
        <v/>
      </c>
      <c r="P318">
        <f>I318-G318^2/k_n</f>
        <v/>
      </c>
      <c r="Q318">
        <f>J318-H318^2/k_n</f>
        <v/>
      </c>
      <c r="R318">
        <f>K318-G318*H318/k_n</f>
        <v/>
      </c>
      <c r="S318">
        <f>L318-LTP3!$D$3*G318/k_n</f>
        <v/>
      </c>
      <c r="T318">
        <f>M318-LTP3!$D$3*H318/k_n</f>
        <v/>
      </c>
      <c r="U318">
        <f>N318-G318*LTP3!$D$4/k_n</f>
        <v/>
      </c>
      <c r="V318">
        <f>O318-H318*LTP3!$D$4/k_n</f>
        <v/>
      </c>
      <c r="W318">
        <f>((LTP3!$D$5)*((P318)*(Q318)-(R318)*(R318))-(S318)*((S318)*(Q318)-(R318)*(T318))+(T318)*((S318)*(R318)-(P318)*(T318)))</f>
        <v/>
      </c>
      <c r="X318">
        <f>IF(ABS(W318)&gt;1E-12,((LTP3!$D$6)*((P318)*(Q318)-(R318)*(R318))-(S318)*((U318)*(Q318)-(R318)*(V318))+(T318)*((U318)*(R318)-(P318)*(V318)))/W318,0)</f>
        <v/>
      </c>
      <c r="Y318">
        <f>IF(ABS(W318)&gt;1E-12,((LTP3!$D$5)*((U318)*(Q318)-(R318)*(V318))-(LTP3!$D$6)*((S318)*(Q318)-(R318)*(T318))+(T318)*((S318)*(V318)-(U318)*(T318)))/W318,0)</f>
        <v/>
      </c>
      <c r="Z318">
        <f>IF(ABS(W318)&gt;1E-12,((LTP3!$D$5)*((P318)*(V318)-(U318)*(R318))-(S318)*((S318)*(V318)-(U318)*(T318))+(LTP3!$D$6)*((S318)*(R318)-(P318)*(T318)))/W318,0)</f>
        <v/>
      </c>
      <c r="AA318">
        <f>LTP3!$D$7-X318*LTP3!$D$6-Y318*U318-Z318*V318</f>
        <v/>
      </c>
      <c r="AB318">
        <f>IF(AND(F318,ABS(W318)&gt;1E-12,Y318&gt;0,Z318&gt;0),AA318,1E+300)</f>
        <v/>
      </c>
    </row>
    <row r="319">
      <c r="A319">
        <f>$B$3+$B$5*5</f>
        <v/>
      </c>
      <c r="B319">
        <f>$B$3+$B$5*2</f>
        <v/>
      </c>
      <c r="C319">
        <f>SUMPRODUCT(Calc!$K$3:$K$22*(Calc!$G$3:$G$22&lt;=A319))</f>
        <v/>
      </c>
      <c r="D319">
        <f>SUMPRODUCT(Calc!$K$3:$K$22*(Calc!$G$3:$G$22&gt;A319)*(Calc!$G$3:$G$22&lt;B319))</f>
        <v/>
      </c>
      <c r="E319">
        <f>SUMPRODUCT(Calc!$K$3:$K$22*(Calc!$G$3:$G$22&gt;=B319))</f>
        <v/>
      </c>
      <c r="F319">
        <f>AND(k_n&gt;=5,B319&gt;A319+1E-9,C319&gt;=2,D319&gt;=1,E319&gt;=2)</f>
        <v/>
      </c>
      <c r="G319">
        <f>SUMPRODUCT(Calc!$K$3:$K$22*(Calc!$G$3:$G$22&gt;A319)*(Calc!$G$3:$G$22-A319))</f>
        <v/>
      </c>
      <c r="H319">
        <f>SUMPRODUCT(Calc!$K$3:$K$22*(Calc!$G$3:$G$22&gt;B319)*(Calc!$G$3:$G$22-B319))</f>
        <v/>
      </c>
      <c r="I319">
        <f>SUMPRODUCT(Calc!$K$3:$K$22*(Calc!$G$3:$G$22&gt;A319)*(Calc!$G$3:$G$22-A319)^2)</f>
        <v/>
      </c>
      <c r="J319">
        <f>SUMPRODUCT(Calc!$K$3:$K$22*(Calc!$G$3:$G$22&gt;B319)*(Calc!$G$3:$G$22-B319)^2)</f>
        <v/>
      </c>
      <c r="K319">
        <f>SUMPRODUCT(Calc!$K$3:$K$22*(Calc!$G$3:$G$22&gt;A319)*(Calc!$G$3:$G$22-A319)*(Calc!$G$3:$G$22&gt;B319)*(Calc!$G$3:$G$22-B319))</f>
        <v/>
      </c>
      <c r="L319">
        <f>SUMPRODUCT(Calc!$K$3:$K$22*(Calc!$G$3:$G$22&gt;A319)*(Calc!$G$3:$G$22-A319)*Calc!$G$3:$G$22)</f>
        <v/>
      </c>
      <c r="M319">
        <f>SUMPRODUCT(Calc!$K$3:$K$22*(Calc!$G$3:$G$22&gt;B319)*(Calc!$G$3:$G$22-B319)*Calc!$G$3:$G$22)</f>
        <v/>
      </c>
      <c r="N319">
        <f>SUMPRODUCT(Calc!$K$3:$K$22*(Calc!$G$3:$G$22&gt;A319)*(Calc!$G$3:$G$22-A319)*Calc!$I$3:$I$22)</f>
        <v/>
      </c>
      <c r="O319">
        <f>SUMPRODUCT(Calc!$K$3:$K$22*(Calc!$G$3:$G$22&gt;B319)*(Calc!$G$3:$G$22-B319)*Calc!$I$3:$I$22)</f>
        <v/>
      </c>
      <c r="P319">
        <f>I319-G319^2/k_n</f>
        <v/>
      </c>
      <c r="Q319">
        <f>J319-H319^2/k_n</f>
        <v/>
      </c>
      <c r="R319">
        <f>K319-G319*H319/k_n</f>
        <v/>
      </c>
      <c r="S319">
        <f>L319-LTP3!$D$3*G319/k_n</f>
        <v/>
      </c>
      <c r="T319">
        <f>M319-LTP3!$D$3*H319/k_n</f>
        <v/>
      </c>
      <c r="U319">
        <f>N319-G319*LTP3!$D$4/k_n</f>
        <v/>
      </c>
      <c r="V319">
        <f>O319-H319*LTP3!$D$4/k_n</f>
        <v/>
      </c>
      <c r="W319">
        <f>((LTP3!$D$5)*((P319)*(Q319)-(R319)*(R319))-(S319)*((S319)*(Q319)-(R319)*(T319))+(T319)*((S319)*(R319)-(P319)*(T319)))</f>
        <v/>
      </c>
      <c r="X319">
        <f>IF(ABS(W319)&gt;1E-12,((LTP3!$D$6)*((P319)*(Q319)-(R319)*(R319))-(S319)*((U319)*(Q319)-(R319)*(V319))+(T319)*((U319)*(R319)-(P319)*(V319)))/W319,0)</f>
        <v/>
      </c>
      <c r="Y319">
        <f>IF(ABS(W319)&gt;1E-12,((LTP3!$D$5)*((U319)*(Q319)-(R319)*(V319))-(LTP3!$D$6)*((S319)*(Q319)-(R319)*(T319))+(T319)*((S319)*(V319)-(U319)*(T319)))/W319,0)</f>
        <v/>
      </c>
      <c r="Z319">
        <f>IF(ABS(W319)&gt;1E-12,((LTP3!$D$5)*((P319)*(V319)-(U319)*(R319))-(S319)*((S319)*(V319)-(U319)*(T319))+(LTP3!$D$6)*((S319)*(R319)-(P319)*(T319)))/W319,0)</f>
        <v/>
      </c>
      <c r="AA319">
        <f>LTP3!$D$7-X319*LTP3!$D$6-Y319*U319-Z319*V319</f>
        <v/>
      </c>
      <c r="AB319">
        <f>IF(AND(F319,ABS(W319)&gt;1E-12,Y319&gt;0,Z319&gt;0),AA319,1E+300)</f>
        <v/>
      </c>
    </row>
    <row r="320">
      <c r="A320">
        <f>$B$3+$B$5*5</f>
        <v/>
      </c>
      <c r="B320">
        <f>$B$3+$B$5*3</f>
        <v/>
      </c>
      <c r="C320">
        <f>SUMPRODUCT(Calc!$K$3:$K$22*(Calc!$G$3:$G$22&lt;=A320))</f>
        <v/>
      </c>
      <c r="D320">
        <f>SUMPRODUCT(Calc!$K$3:$K$22*(Calc!$G$3:$G$22&gt;A320)*(Calc!$G$3:$G$22&lt;B320))</f>
        <v/>
      </c>
      <c r="E320">
        <f>SUMPRODUCT(Calc!$K$3:$K$22*(Calc!$G$3:$G$22&gt;=B320))</f>
        <v/>
      </c>
      <c r="F320">
        <f>AND(k_n&gt;=5,B320&gt;A320+1E-9,C320&gt;=2,D320&gt;=1,E320&gt;=2)</f>
        <v/>
      </c>
      <c r="G320">
        <f>SUMPRODUCT(Calc!$K$3:$K$22*(Calc!$G$3:$G$22&gt;A320)*(Calc!$G$3:$G$22-A320))</f>
        <v/>
      </c>
      <c r="H320">
        <f>SUMPRODUCT(Calc!$K$3:$K$22*(Calc!$G$3:$G$22&gt;B320)*(Calc!$G$3:$G$22-B320))</f>
        <v/>
      </c>
      <c r="I320">
        <f>SUMPRODUCT(Calc!$K$3:$K$22*(Calc!$G$3:$G$22&gt;A320)*(Calc!$G$3:$G$22-A320)^2)</f>
        <v/>
      </c>
      <c r="J320">
        <f>SUMPRODUCT(Calc!$K$3:$K$22*(Calc!$G$3:$G$22&gt;B320)*(Calc!$G$3:$G$22-B320)^2)</f>
        <v/>
      </c>
      <c r="K320">
        <f>SUMPRODUCT(Calc!$K$3:$K$22*(Calc!$G$3:$G$22&gt;A320)*(Calc!$G$3:$G$22-A320)*(Calc!$G$3:$G$22&gt;B320)*(Calc!$G$3:$G$22-B320))</f>
        <v/>
      </c>
      <c r="L320">
        <f>SUMPRODUCT(Calc!$K$3:$K$22*(Calc!$G$3:$G$22&gt;A320)*(Calc!$G$3:$G$22-A320)*Calc!$G$3:$G$22)</f>
        <v/>
      </c>
      <c r="M320">
        <f>SUMPRODUCT(Calc!$K$3:$K$22*(Calc!$G$3:$G$22&gt;B320)*(Calc!$G$3:$G$22-B320)*Calc!$G$3:$G$22)</f>
        <v/>
      </c>
      <c r="N320">
        <f>SUMPRODUCT(Calc!$K$3:$K$22*(Calc!$G$3:$G$22&gt;A320)*(Calc!$G$3:$G$22-A320)*Calc!$I$3:$I$22)</f>
        <v/>
      </c>
      <c r="O320">
        <f>SUMPRODUCT(Calc!$K$3:$K$22*(Calc!$G$3:$G$22&gt;B320)*(Calc!$G$3:$G$22-B320)*Calc!$I$3:$I$22)</f>
        <v/>
      </c>
      <c r="P320">
        <f>I320-G320^2/k_n</f>
        <v/>
      </c>
      <c r="Q320">
        <f>J320-H320^2/k_n</f>
        <v/>
      </c>
      <c r="R320">
        <f>K320-G320*H320/k_n</f>
        <v/>
      </c>
      <c r="S320">
        <f>L320-LTP3!$D$3*G320/k_n</f>
        <v/>
      </c>
      <c r="T320">
        <f>M320-LTP3!$D$3*H320/k_n</f>
        <v/>
      </c>
      <c r="U320">
        <f>N320-G320*LTP3!$D$4/k_n</f>
        <v/>
      </c>
      <c r="V320">
        <f>O320-H320*LTP3!$D$4/k_n</f>
        <v/>
      </c>
      <c r="W320">
        <f>((LTP3!$D$5)*((P320)*(Q320)-(R320)*(R320))-(S320)*((S320)*(Q320)-(R320)*(T320))+(T320)*((S320)*(R320)-(P320)*(T320)))</f>
        <v/>
      </c>
      <c r="X320">
        <f>IF(ABS(W320)&gt;1E-12,((LTP3!$D$6)*((P320)*(Q320)-(R320)*(R320))-(S320)*((U320)*(Q320)-(R320)*(V320))+(T320)*((U320)*(R320)-(P320)*(V320)))/W320,0)</f>
        <v/>
      </c>
      <c r="Y320">
        <f>IF(ABS(W320)&gt;1E-12,((LTP3!$D$5)*((U320)*(Q320)-(R320)*(V320))-(LTP3!$D$6)*((S320)*(Q320)-(R320)*(T320))+(T320)*((S320)*(V320)-(U320)*(T320)))/W320,0)</f>
        <v/>
      </c>
      <c r="Z320">
        <f>IF(ABS(W320)&gt;1E-12,((LTP3!$D$5)*((P320)*(V320)-(U320)*(R320))-(S320)*((S320)*(V320)-(U320)*(T320))+(LTP3!$D$6)*((S320)*(R320)-(P320)*(T320)))/W320,0)</f>
        <v/>
      </c>
      <c r="AA320">
        <f>LTP3!$D$7-X320*LTP3!$D$6-Y320*U320-Z320*V320</f>
        <v/>
      </c>
      <c r="AB320">
        <f>IF(AND(F320,ABS(W320)&gt;1E-12,Y320&gt;0,Z320&gt;0),AA320,1E+300)</f>
        <v/>
      </c>
    </row>
    <row r="321">
      <c r="A321">
        <f>$B$3+$B$5*5</f>
        <v/>
      </c>
      <c r="B321">
        <f>$B$3+$B$5*4</f>
        <v/>
      </c>
      <c r="C321">
        <f>SUMPRODUCT(Calc!$K$3:$K$22*(Calc!$G$3:$G$22&lt;=A321))</f>
        <v/>
      </c>
      <c r="D321">
        <f>SUMPRODUCT(Calc!$K$3:$K$22*(Calc!$G$3:$G$22&gt;A321)*(Calc!$G$3:$G$22&lt;B321))</f>
        <v/>
      </c>
      <c r="E321">
        <f>SUMPRODUCT(Calc!$K$3:$K$22*(Calc!$G$3:$G$22&gt;=B321))</f>
        <v/>
      </c>
      <c r="F321">
        <f>AND(k_n&gt;=5,B321&gt;A321+1E-9,C321&gt;=2,D321&gt;=1,E321&gt;=2)</f>
        <v/>
      </c>
      <c r="G321">
        <f>SUMPRODUCT(Calc!$K$3:$K$22*(Calc!$G$3:$G$22&gt;A321)*(Calc!$G$3:$G$22-A321))</f>
        <v/>
      </c>
      <c r="H321">
        <f>SUMPRODUCT(Calc!$K$3:$K$22*(Calc!$G$3:$G$22&gt;B321)*(Calc!$G$3:$G$22-B321))</f>
        <v/>
      </c>
      <c r="I321">
        <f>SUMPRODUCT(Calc!$K$3:$K$22*(Calc!$G$3:$G$22&gt;A321)*(Calc!$G$3:$G$22-A321)^2)</f>
        <v/>
      </c>
      <c r="J321">
        <f>SUMPRODUCT(Calc!$K$3:$K$22*(Calc!$G$3:$G$22&gt;B321)*(Calc!$G$3:$G$22-B321)^2)</f>
        <v/>
      </c>
      <c r="K321">
        <f>SUMPRODUCT(Calc!$K$3:$K$22*(Calc!$G$3:$G$22&gt;A321)*(Calc!$G$3:$G$22-A321)*(Calc!$G$3:$G$22&gt;B321)*(Calc!$G$3:$G$22-B321))</f>
        <v/>
      </c>
      <c r="L321">
        <f>SUMPRODUCT(Calc!$K$3:$K$22*(Calc!$G$3:$G$22&gt;A321)*(Calc!$G$3:$G$22-A321)*Calc!$G$3:$G$22)</f>
        <v/>
      </c>
      <c r="M321">
        <f>SUMPRODUCT(Calc!$K$3:$K$22*(Calc!$G$3:$G$22&gt;B321)*(Calc!$G$3:$G$22-B321)*Calc!$G$3:$G$22)</f>
        <v/>
      </c>
      <c r="N321">
        <f>SUMPRODUCT(Calc!$K$3:$K$22*(Calc!$G$3:$G$22&gt;A321)*(Calc!$G$3:$G$22-A321)*Calc!$I$3:$I$22)</f>
        <v/>
      </c>
      <c r="O321">
        <f>SUMPRODUCT(Calc!$K$3:$K$22*(Calc!$G$3:$G$22&gt;B321)*(Calc!$G$3:$G$22-B321)*Calc!$I$3:$I$22)</f>
        <v/>
      </c>
      <c r="P321">
        <f>I321-G321^2/k_n</f>
        <v/>
      </c>
      <c r="Q321">
        <f>J321-H321^2/k_n</f>
        <v/>
      </c>
      <c r="R321">
        <f>K321-G321*H321/k_n</f>
        <v/>
      </c>
      <c r="S321">
        <f>L321-LTP3!$D$3*G321/k_n</f>
        <v/>
      </c>
      <c r="T321">
        <f>M321-LTP3!$D$3*H321/k_n</f>
        <v/>
      </c>
      <c r="U321">
        <f>N321-G321*LTP3!$D$4/k_n</f>
        <v/>
      </c>
      <c r="V321">
        <f>O321-H321*LTP3!$D$4/k_n</f>
        <v/>
      </c>
      <c r="W321">
        <f>((LTP3!$D$5)*((P321)*(Q321)-(R321)*(R321))-(S321)*((S321)*(Q321)-(R321)*(T321))+(T321)*((S321)*(R321)-(P321)*(T321)))</f>
        <v/>
      </c>
      <c r="X321">
        <f>IF(ABS(W321)&gt;1E-12,((LTP3!$D$6)*((P321)*(Q321)-(R321)*(R321))-(S321)*((U321)*(Q321)-(R321)*(V321))+(T321)*((U321)*(R321)-(P321)*(V321)))/W321,0)</f>
        <v/>
      </c>
      <c r="Y321">
        <f>IF(ABS(W321)&gt;1E-12,((LTP3!$D$5)*((U321)*(Q321)-(R321)*(V321))-(LTP3!$D$6)*((S321)*(Q321)-(R321)*(T321))+(T321)*((S321)*(V321)-(U321)*(T321)))/W321,0)</f>
        <v/>
      </c>
      <c r="Z321">
        <f>IF(ABS(W321)&gt;1E-12,((LTP3!$D$5)*((P321)*(V321)-(U321)*(R321))-(S321)*((S321)*(V321)-(U321)*(T321))+(LTP3!$D$6)*((S321)*(R321)-(P321)*(T321)))/W321,0)</f>
        <v/>
      </c>
      <c r="AA321">
        <f>LTP3!$D$7-X321*LTP3!$D$6-Y321*U321-Z321*V321</f>
        <v/>
      </c>
      <c r="AB321">
        <f>IF(AND(F321,ABS(W321)&gt;1E-12,Y321&gt;0,Z321&gt;0),AA321,1E+300)</f>
        <v/>
      </c>
    </row>
    <row r="322">
      <c r="A322">
        <f>$B$3+$B$5*5</f>
        <v/>
      </c>
      <c r="B322">
        <f>$B$3+$B$5*5</f>
        <v/>
      </c>
      <c r="C322">
        <f>SUMPRODUCT(Calc!$K$3:$K$22*(Calc!$G$3:$G$22&lt;=A322))</f>
        <v/>
      </c>
      <c r="D322">
        <f>SUMPRODUCT(Calc!$K$3:$K$22*(Calc!$G$3:$G$22&gt;A322)*(Calc!$G$3:$G$22&lt;B322))</f>
        <v/>
      </c>
      <c r="E322">
        <f>SUMPRODUCT(Calc!$K$3:$K$22*(Calc!$G$3:$G$22&gt;=B322))</f>
        <v/>
      </c>
      <c r="F322">
        <f>AND(k_n&gt;=5,B322&gt;A322+1E-9,C322&gt;=2,D322&gt;=1,E322&gt;=2)</f>
        <v/>
      </c>
      <c r="G322">
        <f>SUMPRODUCT(Calc!$K$3:$K$22*(Calc!$G$3:$G$22&gt;A322)*(Calc!$G$3:$G$22-A322))</f>
        <v/>
      </c>
      <c r="H322">
        <f>SUMPRODUCT(Calc!$K$3:$K$22*(Calc!$G$3:$G$22&gt;B322)*(Calc!$G$3:$G$22-B322))</f>
        <v/>
      </c>
      <c r="I322">
        <f>SUMPRODUCT(Calc!$K$3:$K$22*(Calc!$G$3:$G$22&gt;A322)*(Calc!$G$3:$G$22-A322)^2)</f>
        <v/>
      </c>
      <c r="J322">
        <f>SUMPRODUCT(Calc!$K$3:$K$22*(Calc!$G$3:$G$22&gt;B322)*(Calc!$G$3:$G$22-B322)^2)</f>
        <v/>
      </c>
      <c r="K322">
        <f>SUMPRODUCT(Calc!$K$3:$K$22*(Calc!$G$3:$G$22&gt;A322)*(Calc!$G$3:$G$22-A322)*(Calc!$G$3:$G$22&gt;B322)*(Calc!$G$3:$G$22-B322))</f>
        <v/>
      </c>
      <c r="L322">
        <f>SUMPRODUCT(Calc!$K$3:$K$22*(Calc!$G$3:$G$22&gt;A322)*(Calc!$G$3:$G$22-A322)*Calc!$G$3:$G$22)</f>
        <v/>
      </c>
      <c r="M322">
        <f>SUMPRODUCT(Calc!$K$3:$K$22*(Calc!$G$3:$G$22&gt;B322)*(Calc!$G$3:$G$22-B322)*Calc!$G$3:$G$22)</f>
        <v/>
      </c>
      <c r="N322">
        <f>SUMPRODUCT(Calc!$K$3:$K$22*(Calc!$G$3:$G$22&gt;A322)*(Calc!$G$3:$G$22-A322)*Calc!$I$3:$I$22)</f>
        <v/>
      </c>
      <c r="O322">
        <f>SUMPRODUCT(Calc!$K$3:$K$22*(Calc!$G$3:$G$22&gt;B322)*(Calc!$G$3:$G$22-B322)*Calc!$I$3:$I$22)</f>
        <v/>
      </c>
      <c r="P322">
        <f>I322-G322^2/k_n</f>
        <v/>
      </c>
      <c r="Q322">
        <f>J322-H322^2/k_n</f>
        <v/>
      </c>
      <c r="R322">
        <f>K322-G322*H322/k_n</f>
        <v/>
      </c>
      <c r="S322">
        <f>L322-LTP3!$D$3*G322/k_n</f>
        <v/>
      </c>
      <c r="T322">
        <f>M322-LTP3!$D$3*H322/k_n</f>
        <v/>
      </c>
      <c r="U322">
        <f>N322-G322*LTP3!$D$4/k_n</f>
        <v/>
      </c>
      <c r="V322">
        <f>O322-H322*LTP3!$D$4/k_n</f>
        <v/>
      </c>
      <c r="W322">
        <f>((LTP3!$D$5)*((P322)*(Q322)-(R322)*(R322))-(S322)*((S322)*(Q322)-(R322)*(T322))+(T322)*((S322)*(R322)-(P322)*(T322)))</f>
        <v/>
      </c>
      <c r="X322">
        <f>IF(ABS(W322)&gt;1E-12,((LTP3!$D$6)*((P322)*(Q322)-(R322)*(R322))-(S322)*((U322)*(Q322)-(R322)*(V322))+(T322)*((U322)*(R322)-(P322)*(V322)))/W322,0)</f>
        <v/>
      </c>
      <c r="Y322">
        <f>IF(ABS(W322)&gt;1E-12,((LTP3!$D$5)*((U322)*(Q322)-(R322)*(V322))-(LTP3!$D$6)*((S322)*(Q322)-(R322)*(T322))+(T322)*((S322)*(V322)-(U322)*(T322)))/W322,0)</f>
        <v/>
      </c>
      <c r="Z322">
        <f>IF(ABS(W322)&gt;1E-12,((LTP3!$D$5)*((P322)*(V322)-(U322)*(R322))-(S322)*((S322)*(V322)-(U322)*(T322))+(LTP3!$D$6)*((S322)*(R322)-(P322)*(T322)))/W322,0)</f>
        <v/>
      </c>
      <c r="AA322">
        <f>LTP3!$D$7-X322*LTP3!$D$6-Y322*U322-Z322*V322</f>
        <v/>
      </c>
      <c r="AB322">
        <f>IF(AND(F322,ABS(W322)&gt;1E-12,Y322&gt;0,Z322&gt;0),AA322,1E+300)</f>
        <v/>
      </c>
    </row>
    <row r="323">
      <c r="A323">
        <f>$B$3+$B$5*5</f>
        <v/>
      </c>
      <c r="B323">
        <f>$B$3+$B$5*6</f>
        <v/>
      </c>
      <c r="C323">
        <f>SUMPRODUCT(Calc!$K$3:$K$22*(Calc!$G$3:$G$22&lt;=A323))</f>
        <v/>
      </c>
      <c r="D323">
        <f>SUMPRODUCT(Calc!$K$3:$K$22*(Calc!$G$3:$G$22&gt;A323)*(Calc!$G$3:$G$22&lt;B323))</f>
        <v/>
      </c>
      <c r="E323">
        <f>SUMPRODUCT(Calc!$K$3:$K$22*(Calc!$G$3:$G$22&gt;=B323))</f>
        <v/>
      </c>
      <c r="F323">
        <f>AND(k_n&gt;=5,B323&gt;A323+1E-9,C323&gt;=2,D323&gt;=1,E323&gt;=2)</f>
        <v/>
      </c>
      <c r="G323">
        <f>SUMPRODUCT(Calc!$K$3:$K$22*(Calc!$G$3:$G$22&gt;A323)*(Calc!$G$3:$G$22-A323))</f>
        <v/>
      </c>
      <c r="H323">
        <f>SUMPRODUCT(Calc!$K$3:$K$22*(Calc!$G$3:$G$22&gt;B323)*(Calc!$G$3:$G$22-B323))</f>
        <v/>
      </c>
      <c r="I323">
        <f>SUMPRODUCT(Calc!$K$3:$K$22*(Calc!$G$3:$G$22&gt;A323)*(Calc!$G$3:$G$22-A323)^2)</f>
        <v/>
      </c>
      <c r="J323">
        <f>SUMPRODUCT(Calc!$K$3:$K$22*(Calc!$G$3:$G$22&gt;B323)*(Calc!$G$3:$G$22-B323)^2)</f>
        <v/>
      </c>
      <c r="K323">
        <f>SUMPRODUCT(Calc!$K$3:$K$22*(Calc!$G$3:$G$22&gt;A323)*(Calc!$G$3:$G$22-A323)*(Calc!$G$3:$G$22&gt;B323)*(Calc!$G$3:$G$22-B323))</f>
        <v/>
      </c>
      <c r="L323">
        <f>SUMPRODUCT(Calc!$K$3:$K$22*(Calc!$G$3:$G$22&gt;A323)*(Calc!$G$3:$G$22-A323)*Calc!$G$3:$G$22)</f>
        <v/>
      </c>
      <c r="M323">
        <f>SUMPRODUCT(Calc!$K$3:$K$22*(Calc!$G$3:$G$22&gt;B323)*(Calc!$G$3:$G$22-B323)*Calc!$G$3:$G$22)</f>
        <v/>
      </c>
      <c r="N323">
        <f>SUMPRODUCT(Calc!$K$3:$K$22*(Calc!$G$3:$G$22&gt;A323)*(Calc!$G$3:$G$22-A323)*Calc!$I$3:$I$22)</f>
        <v/>
      </c>
      <c r="O323">
        <f>SUMPRODUCT(Calc!$K$3:$K$22*(Calc!$G$3:$G$22&gt;B323)*(Calc!$G$3:$G$22-B323)*Calc!$I$3:$I$22)</f>
        <v/>
      </c>
      <c r="P323">
        <f>I323-G323^2/k_n</f>
        <v/>
      </c>
      <c r="Q323">
        <f>J323-H323^2/k_n</f>
        <v/>
      </c>
      <c r="R323">
        <f>K323-G323*H323/k_n</f>
        <v/>
      </c>
      <c r="S323">
        <f>L323-LTP3!$D$3*G323/k_n</f>
        <v/>
      </c>
      <c r="T323">
        <f>M323-LTP3!$D$3*H323/k_n</f>
        <v/>
      </c>
      <c r="U323">
        <f>N323-G323*LTP3!$D$4/k_n</f>
        <v/>
      </c>
      <c r="V323">
        <f>O323-H323*LTP3!$D$4/k_n</f>
        <v/>
      </c>
      <c r="W323">
        <f>((LTP3!$D$5)*((P323)*(Q323)-(R323)*(R323))-(S323)*((S323)*(Q323)-(R323)*(T323))+(T323)*((S323)*(R323)-(P323)*(T323)))</f>
        <v/>
      </c>
      <c r="X323">
        <f>IF(ABS(W323)&gt;1E-12,((LTP3!$D$6)*((P323)*(Q323)-(R323)*(R323))-(S323)*((U323)*(Q323)-(R323)*(V323))+(T323)*((U323)*(R323)-(P323)*(V323)))/W323,0)</f>
        <v/>
      </c>
      <c r="Y323">
        <f>IF(ABS(W323)&gt;1E-12,((LTP3!$D$5)*((U323)*(Q323)-(R323)*(V323))-(LTP3!$D$6)*((S323)*(Q323)-(R323)*(T323))+(T323)*((S323)*(V323)-(U323)*(T323)))/W323,0)</f>
        <v/>
      </c>
      <c r="Z323">
        <f>IF(ABS(W323)&gt;1E-12,((LTP3!$D$5)*((P323)*(V323)-(U323)*(R323))-(S323)*((S323)*(V323)-(U323)*(T323))+(LTP3!$D$6)*((S323)*(R323)-(P323)*(T323)))/W323,0)</f>
        <v/>
      </c>
      <c r="AA323">
        <f>LTP3!$D$7-X323*LTP3!$D$6-Y323*U323-Z323*V323</f>
        <v/>
      </c>
      <c r="AB323">
        <f>IF(AND(F323,ABS(W323)&gt;1E-12,Y323&gt;0,Z323&gt;0),AA323,1E+300)</f>
        <v/>
      </c>
    </row>
    <row r="324">
      <c r="A324">
        <f>$B$3+$B$5*5</f>
        <v/>
      </c>
      <c r="B324">
        <f>$B$3+$B$5*7</f>
        <v/>
      </c>
      <c r="C324">
        <f>SUMPRODUCT(Calc!$K$3:$K$22*(Calc!$G$3:$G$22&lt;=A324))</f>
        <v/>
      </c>
      <c r="D324">
        <f>SUMPRODUCT(Calc!$K$3:$K$22*(Calc!$G$3:$G$22&gt;A324)*(Calc!$G$3:$G$22&lt;B324))</f>
        <v/>
      </c>
      <c r="E324">
        <f>SUMPRODUCT(Calc!$K$3:$K$22*(Calc!$G$3:$G$22&gt;=B324))</f>
        <v/>
      </c>
      <c r="F324">
        <f>AND(k_n&gt;=5,B324&gt;A324+1E-9,C324&gt;=2,D324&gt;=1,E324&gt;=2)</f>
        <v/>
      </c>
      <c r="G324">
        <f>SUMPRODUCT(Calc!$K$3:$K$22*(Calc!$G$3:$G$22&gt;A324)*(Calc!$G$3:$G$22-A324))</f>
        <v/>
      </c>
      <c r="H324">
        <f>SUMPRODUCT(Calc!$K$3:$K$22*(Calc!$G$3:$G$22&gt;B324)*(Calc!$G$3:$G$22-B324))</f>
        <v/>
      </c>
      <c r="I324">
        <f>SUMPRODUCT(Calc!$K$3:$K$22*(Calc!$G$3:$G$22&gt;A324)*(Calc!$G$3:$G$22-A324)^2)</f>
        <v/>
      </c>
      <c r="J324">
        <f>SUMPRODUCT(Calc!$K$3:$K$22*(Calc!$G$3:$G$22&gt;B324)*(Calc!$G$3:$G$22-B324)^2)</f>
        <v/>
      </c>
      <c r="K324">
        <f>SUMPRODUCT(Calc!$K$3:$K$22*(Calc!$G$3:$G$22&gt;A324)*(Calc!$G$3:$G$22-A324)*(Calc!$G$3:$G$22&gt;B324)*(Calc!$G$3:$G$22-B324))</f>
        <v/>
      </c>
      <c r="L324">
        <f>SUMPRODUCT(Calc!$K$3:$K$22*(Calc!$G$3:$G$22&gt;A324)*(Calc!$G$3:$G$22-A324)*Calc!$G$3:$G$22)</f>
        <v/>
      </c>
      <c r="M324">
        <f>SUMPRODUCT(Calc!$K$3:$K$22*(Calc!$G$3:$G$22&gt;B324)*(Calc!$G$3:$G$22-B324)*Calc!$G$3:$G$22)</f>
        <v/>
      </c>
      <c r="N324">
        <f>SUMPRODUCT(Calc!$K$3:$K$22*(Calc!$G$3:$G$22&gt;A324)*(Calc!$G$3:$G$22-A324)*Calc!$I$3:$I$22)</f>
        <v/>
      </c>
      <c r="O324">
        <f>SUMPRODUCT(Calc!$K$3:$K$22*(Calc!$G$3:$G$22&gt;B324)*(Calc!$G$3:$G$22-B324)*Calc!$I$3:$I$22)</f>
        <v/>
      </c>
      <c r="P324">
        <f>I324-G324^2/k_n</f>
        <v/>
      </c>
      <c r="Q324">
        <f>J324-H324^2/k_n</f>
        <v/>
      </c>
      <c r="R324">
        <f>K324-G324*H324/k_n</f>
        <v/>
      </c>
      <c r="S324">
        <f>L324-LTP3!$D$3*G324/k_n</f>
        <v/>
      </c>
      <c r="T324">
        <f>M324-LTP3!$D$3*H324/k_n</f>
        <v/>
      </c>
      <c r="U324">
        <f>N324-G324*LTP3!$D$4/k_n</f>
        <v/>
      </c>
      <c r="V324">
        <f>O324-H324*LTP3!$D$4/k_n</f>
        <v/>
      </c>
      <c r="W324">
        <f>((LTP3!$D$5)*((P324)*(Q324)-(R324)*(R324))-(S324)*((S324)*(Q324)-(R324)*(T324))+(T324)*((S324)*(R324)-(P324)*(T324)))</f>
        <v/>
      </c>
      <c r="X324">
        <f>IF(ABS(W324)&gt;1E-12,((LTP3!$D$6)*((P324)*(Q324)-(R324)*(R324))-(S324)*((U324)*(Q324)-(R324)*(V324))+(T324)*((U324)*(R324)-(P324)*(V324)))/W324,0)</f>
        <v/>
      </c>
      <c r="Y324">
        <f>IF(ABS(W324)&gt;1E-12,((LTP3!$D$5)*((U324)*(Q324)-(R324)*(V324))-(LTP3!$D$6)*((S324)*(Q324)-(R324)*(T324))+(T324)*((S324)*(V324)-(U324)*(T324)))/W324,0)</f>
        <v/>
      </c>
      <c r="Z324">
        <f>IF(ABS(W324)&gt;1E-12,((LTP3!$D$5)*((P324)*(V324)-(U324)*(R324))-(S324)*((S324)*(V324)-(U324)*(T324))+(LTP3!$D$6)*((S324)*(R324)-(P324)*(T324)))/W324,0)</f>
        <v/>
      </c>
      <c r="AA324">
        <f>LTP3!$D$7-X324*LTP3!$D$6-Y324*U324-Z324*V324</f>
        <v/>
      </c>
      <c r="AB324">
        <f>IF(AND(F324,ABS(W324)&gt;1E-12,Y324&gt;0,Z324&gt;0),AA324,1E+300)</f>
        <v/>
      </c>
    </row>
    <row r="325">
      <c r="A325">
        <f>$B$3+$B$5*5</f>
        <v/>
      </c>
      <c r="B325">
        <f>$B$3+$B$5*8</f>
        <v/>
      </c>
      <c r="C325">
        <f>SUMPRODUCT(Calc!$K$3:$K$22*(Calc!$G$3:$G$22&lt;=A325))</f>
        <v/>
      </c>
      <c r="D325">
        <f>SUMPRODUCT(Calc!$K$3:$K$22*(Calc!$G$3:$G$22&gt;A325)*(Calc!$G$3:$G$22&lt;B325))</f>
        <v/>
      </c>
      <c r="E325">
        <f>SUMPRODUCT(Calc!$K$3:$K$22*(Calc!$G$3:$G$22&gt;=B325))</f>
        <v/>
      </c>
      <c r="F325">
        <f>AND(k_n&gt;=5,B325&gt;A325+1E-9,C325&gt;=2,D325&gt;=1,E325&gt;=2)</f>
        <v/>
      </c>
      <c r="G325">
        <f>SUMPRODUCT(Calc!$K$3:$K$22*(Calc!$G$3:$G$22&gt;A325)*(Calc!$G$3:$G$22-A325))</f>
        <v/>
      </c>
      <c r="H325">
        <f>SUMPRODUCT(Calc!$K$3:$K$22*(Calc!$G$3:$G$22&gt;B325)*(Calc!$G$3:$G$22-B325))</f>
        <v/>
      </c>
      <c r="I325">
        <f>SUMPRODUCT(Calc!$K$3:$K$22*(Calc!$G$3:$G$22&gt;A325)*(Calc!$G$3:$G$22-A325)^2)</f>
        <v/>
      </c>
      <c r="J325">
        <f>SUMPRODUCT(Calc!$K$3:$K$22*(Calc!$G$3:$G$22&gt;B325)*(Calc!$G$3:$G$22-B325)^2)</f>
        <v/>
      </c>
      <c r="K325">
        <f>SUMPRODUCT(Calc!$K$3:$K$22*(Calc!$G$3:$G$22&gt;A325)*(Calc!$G$3:$G$22-A325)*(Calc!$G$3:$G$22&gt;B325)*(Calc!$G$3:$G$22-B325))</f>
        <v/>
      </c>
      <c r="L325">
        <f>SUMPRODUCT(Calc!$K$3:$K$22*(Calc!$G$3:$G$22&gt;A325)*(Calc!$G$3:$G$22-A325)*Calc!$G$3:$G$22)</f>
        <v/>
      </c>
      <c r="M325">
        <f>SUMPRODUCT(Calc!$K$3:$K$22*(Calc!$G$3:$G$22&gt;B325)*(Calc!$G$3:$G$22-B325)*Calc!$G$3:$G$22)</f>
        <v/>
      </c>
      <c r="N325">
        <f>SUMPRODUCT(Calc!$K$3:$K$22*(Calc!$G$3:$G$22&gt;A325)*(Calc!$G$3:$G$22-A325)*Calc!$I$3:$I$22)</f>
        <v/>
      </c>
      <c r="O325">
        <f>SUMPRODUCT(Calc!$K$3:$K$22*(Calc!$G$3:$G$22&gt;B325)*(Calc!$G$3:$G$22-B325)*Calc!$I$3:$I$22)</f>
        <v/>
      </c>
      <c r="P325">
        <f>I325-G325^2/k_n</f>
        <v/>
      </c>
      <c r="Q325">
        <f>J325-H325^2/k_n</f>
        <v/>
      </c>
      <c r="R325">
        <f>K325-G325*H325/k_n</f>
        <v/>
      </c>
      <c r="S325">
        <f>L325-LTP3!$D$3*G325/k_n</f>
        <v/>
      </c>
      <c r="T325">
        <f>M325-LTP3!$D$3*H325/k_n</f>
        <v/>
      </c>
      <c r="U325">
        <f>N325-G325*LTP3!$D$4/k_n</f>
        <v/>
      </c>
      <c r="V325">
        <f>O325-H325*LTP3!$D$4/k_n</f>
        <v/>
      </c>
      <c r="W325">
        <f>((LTP3!$D$5)*((P325)*(Q325)-(R325)*(R325))-(S325)*((S325)*(Q325)-(R325)*(T325))+(T325)*((S325)*(R325)-(P325)*(T325)))</f>
        <v/>
      </c>
      <c r="X325">
        <f>IF(ABS(W325)&gt;1E-12,((LTP3!$D$6)*((P325)*(Q325)-(R325)*(R325))-(S325)*((U325)*(Q325)-(R325)*(V325))+(T325)*((U325)*(R325)-(P325)*(V325)))/W325,0)</f>
        <v/>
      </c>
      <c r="Y325">
        <f>IF(ABS(W325)&gt;1E-12,((LTP3!$D$5)*((U325)*(Q325)-(R325)*(V325))-(LTP3!$D$6)*((S325)*(Q325)-(R325)*(T325))+(T325)*((S325)*(V325)-(U325)*(T325)))/W325,0)</f>
        <v/>
      </c>
      <c r="Z325">
        <f>IF(ABS(W325)&gt;1E-12,((LTP3!$D$5)*((P325)*(V325)-(U325)*(R325))-(S325)*((S325)*(V325)-(U325)*(T325))+(LTP3!$D$6)*((S325)*(R325)-(P325)*(T325)))/W325,0)</f>
        <v/>
      </c>
      <c r="AA325">
        <f>LTP3!$D$7-X325*LTP3!$D$6-Y325*U325-Z325*V325</f>
        <v/>
      </c>
      <c r="AB325">
        <f>IF(AND(F325,ABS(W325)&gt;1E-12,Y325&gt;0,Z325&gt;0),AA325,1E+300)</f>
        <v/>
      </c>
    </row>
    <row r="326">
      <c r="A326">
        <f>$B$3+$B$5*5</f>
        <v/>
      </c>
      <c r="B326">
        <f>$B$3+$B$5*9</f>
        <v/>
      </c>
      <c r="C326">
        <f>SUMPRODUCT(Calc!$K$3:$K$22*(Calc!$G$3:$G$22&lt;=A326))</f>
        <v/>
      </c>
      <c r="D326">
        <f>SUMPRODUCT(Calc!$K$3:$K$22*(Calc!$G$3:$G$22&gt;A326)*(Calc!$G$3:$G$22&lt;B326))</f>
        <v/>
      </c>
      <c r="E326">
        <f>SUMPRODUCT(Calc!$K$3:$K$22*(Calc!$G$3:$G$22&gt;=B326))</f>
        <v/>
      </c>
      <c r="F326">
        <f>AND(k_n&gt;=5,B326&gt;A326+1E-9,C326&gt;=2,D326&gt;=1,E326&gt;=2)</f>
        <v/>
      </c>
      <c r="G326">
        <f>SUMPRODUCT(Calc!$K$3:$K$22*(Calc!$G$3:$G$22&gt;A326)*(Calc!$G$3:$G$22-A326))</f>
        <v/>
      </c>
      <c r="H326">
        <f>SUMPRODUCT(Calc!$K$3:$K$22*(Calc!$G$3:$G$22&gt;B326)*(Calc!$G$3:$G$22-B326))</f>
        <v/>
      </c>
      <c r="I326">
        <f>SUMPRODUCT(Calc!$K$3:$K$22*(Calc!$G$3:$G$22&gt;A326)*(Calc!$G$3:$G$22-A326)^2)</f>
        <v/>
      </c>
      <c r="J326">
        <f>SUMPRODUCT(Calc!$K$3:$K$22*(Calc!$G$3:$G$22&gt;B326)*(Calc!$G$3:$G$22-B326)^2)</f>
        <v/>
      </c>
      <c r="K326">
        <f>SUMPRODUCT(Calc!$K$3:$K$22*(Calc!$G$3:$G$22&gt;A326)*(Calc!$G$3:$G$22-A326)*(Calc!$G$3:$G$22&gt;B326)*(Calc!$G$3:$G$22-B326))</f>
        <v/>
      </c>
      <c r="L326">
        <f>SUMPRODUCT(Calc!$K$3:$K$22*(Calc!$G$3:$G$22&gt;A326)*(Calc!$G$3:$G$22-A326)*Calc!$G$3:$G$22)</f>
        <v/>
      </c>
      <c r="M326">
        <f>SUMPRODUCT(Calc!$K$3:$K$22*(Calc!$G$3:$G$22&gt;B326)*(Calc!$G$3:$G$22-B326)*Calc!$G$3:$G$22)</f>
        <v/>
      </c>
      <c r="N326">
        <f>SUMPRODUCT(Calc!$K$3:$K$22*(Calc!$G$3:$G$22&gt;A326)*(Calc!$G$3:$G$22-A326)*Calc!$I$3:$I$22)</f>
        <v/>
      </c>
      <c r="O326">
        <f>SUMPRODUCT(Calc!$K$3:$K$22*(Calc!$G$3:$G$22&gt;B326)*(Calc!$G$3:$G$22-B326)*Calc!$I$3:$I$22)</f>
        <v/>
      </c>
      <c r="P326">
        <f>I326-G326^2/k_n</f>
        <v/>
      </c>
      <c r="Q326">
        <f>J326-H326^2/k_n</f>
        <v/>
      </c>
      <c r="R326">
        <f>K326-G326*H326/k_n</f>
        <v/>
      </c>
      <c r="S326">
        <f>L326-LTP3!$D$3*G326/k_n</f>
        <v/>
      </c>
      <c r="T326">
        <f>M326-LTP3!$D$3*H326/k_n</f>
        <v/>
      </c>
      <c r="U326">
        <f>N326-G326*LTP3!$D$4/k_n</f>
        <v/>
      </c>
      <c r="V326">
        <f>O326-H326*LTP3!$D$4/k_n</f>
        <v/>
      </c>
      <c r="W326">
        <f>((LTP3!$D$5)*((P326)*(Q326)-(R326)*(R326))-(S326)*((S326)*(Q326)-(R326)*(T326))+(T326)*((S326)*(R326)-(P326)*(T326)))</f>
        <v/>
      </c>
      <c r="X326">
        <f>IF(ABS(W326)&gt;1E-12,((LTP3!$D$6)*((P326)*(Q326)-(R326)*(R326))-(S326)*((U326)*(Q326)-(R326)*(V326))+(T326)*((U326)*(R326)-(P326)*(V326)))/W326,0)</f>
        <v/>
      </c>
      <c r="Y326">
        <f>IF(ABS(W326)&gt;1E-12,((LTP3!$D$5)*((U326)*(Q326)-(R326)*(V326))-(LTP3!$D$6)*((S326)*(Q326)-(R326)*(T326))+(T326)*((S326)*(V326)-(U326)*(T326)))/W326,0)</f>
        <v/>
      </c>
      <c r="Z326">
        <f>IF(ABS(W326)&gt;1E-12,((LTP3!$D$5)*((P326)*(V326)-(U326)*(R326))-(S326)*((S326)*(V326)-(U326)*(T326))+(LTP3!$D$6)*((S326)*(R326)-(P326)*(T326)))/W326,0)</f>
        <v/>
      </c>
      <c r="AA326">
        <f>LTP3!$D$7-X326*LTP3!$D$6-Y326*U326-Z326*V326</f>
        <v/>
      </c>
      <c r="AB326">
        <f>IF(AND(F326,ABS(W326)&gt;1E-12,Y326&gt;0,Z326&gt;0),AA326,1E+300)</f>
        <v/>
      </c>
    </row>
    <row r="327">
      <c r="A327">
        <f>$B$3+$B$5*5</f>
        <v/>
      </c>
      <c r="B327">
        <f>$B$3+$B$5*10</f>
        <v/>
      </c>
      <c r="C327">
        <f>SUMPRODUCT(Calc!$K$3:$K$22*(Calc!$G$3:$G$22&lt;=A327))</f>
        <v/>
      </c>
      <c r="D327">
        <f>SUMPRODUCT(Calc!$K$3:$K$22*(Calc!$G$3:$G$22&gt;A327)*(Calc!$G$3:$G$22&lt;B327))</f>
        <v/>
      </c>
      <c r="E327">
        <f>SUMPRODUCT(Calc!$K$3:$K$22*(Calc!$G$3:$G$22&gt;=B327))</f>
        <v/>
      </c>
      <c r="F327">
        <f>AND(k_n&gt;=5,B327&gt;A327+1E-9,C327&gt;=2,D327&gt;=1,E327&gt;=2)</f>
        <v/>
      </c>
      <c r="G327">
        <f>SUMPRODUCT(Calc!$K$3:$K$22*(Calc!$G$3:$G$22&gt;A327)*(Calc!$G$3:$G$22-A327))</f>
        <v/>
      </c>
      <c r="H327">
        <f>SUMPRODUCT(Calc!$K$3:$K$22*(Calc!$G$3:$G$22&gt;B327)*(Calc!$G$3:$G$22-B327))</f>
        <v/>
      </c>
      <c r="I327">
        <f>SUMPRODUCT(Calc!$K$3:$K$22*(Calc!$G$3:$G$22&gt;A327)*(Calc!$G$3:$G$22-A327)^2)</f>
        <v/>
      </c>
      <c r="J327">
        <f>SUMPRODUCT(Calc!$K$3:$K$22*(Calc!$G$3:$G$22&gt;B327)*(Calc!$G$3:$G$22-B327)^2)</f>
        <v/>
      </c>
      <c r="K327">
        <f>SUMPRODUCT(Calc!$K$3:$K$22*(Calc!$G$3:$G$22&gt;A327)*(Calc!$G$3:$G$22-A327)*(Calc!$G$3:$G$22&gt;B327)*(Calc!$G$3:$G$22-B327))</f>
        <v/>
      </c>
      <c r="L327">
        <f>SUMPRODUCT(Calc!$K$3:$K$22*(Calc!$G$3:$G$22&gt;A327)*(Calc!$G$3:$G$22-A327)*Calc!$G$3:$G$22)</f>
        <v/>
      </c>
      <c r="M327">
        <f>SUMPRODUCT(Calc!$K$3:$K$22*(Calc!$G$3:$G$22&gt;B327)*(Calc!$G$3:$G$22-B327)*Calc!$G$3:$G$22)</f>
        <v/>
      </c>
      <c r="N327">
        <f>SUMPRODUCT(Calc!$K$3:$K$22*(Calc!$G$3:$G$22&gt;A327)*(Calc!$G$3:$G$22-A327)*Calc!$I$3:$I$22)</f>
        <v/>
      </c>
      <c r="O327">
        <f>SUMPRODUCT(Calc!$K$3:$K$22*(Calc!$G$3:$G$22&gt;B327)*(Calc!$G$3:$G$22-B327)*Calc!$I$3:$I$22)</f>
        <v/>
      </c>
      <c r="P327">
        <f>I327-G327^2/k_n</f>
        <v/>
      </c>
      <c r="Q327">
        <f>J327-H327^2/k_n</f>
        <v/>
      </c>
      <c r="R327">
        <f>K327-G327*H327/k_n</f>
        <v/>
      </c>
      <c r="S327">
        <f>L327-LTP3!$D$3*G327/k_n</f>
        <v/>
      </c>
      <c r="T327">
        <f>M327-LTP3!$D$3*H327/k_n</f>
        <v/>
      </c>
      <c r="U327">
        <f>N327-G327*LTP3!$D$4/k_n</f>
        <v/>
      </c>
      <c r="V327">
        <f>O327-H327*LTP3!$D$4/k_n</f>
        <v/>
      </c>
      <c r="W327">
        <f>((LTP3!$D$5)*((P327)*(Q327)-(R327)*(R327))-(S327)*((S327)*(Q327)-(R327)*(T327))+(T327)*((S327)*(R327)-(P327)*(T327)))</f>
        <v/>
      </c>
      <c r="X327">
        <f>IF(ABS(W327)&gt;1E-12,((LTP3!$D$6)*((P327)*(Q327)-(R327)*(R327))-(S327)*((U327)*(Q327)-(R327)*(V327))+(T327)*((U327)*(R327)-(P327)*(V327)))/W327,0)</f>
        <v/>
      </c>
      <c r="Y327">
        <f>IF(ABS(W327)&gt;1E-12,((LTP3!$D$5)*((U327)*(Q327)-(R327)*(V327))-(LTP3!$D$6)*((S327)*(Q327)-(R327)*(T327))+(T327)*((S327)*(V327)-(U327)*(T327)))/W327,0)</f>
        <v/>
      </c>
      <c r="Z327">
        <f>IF(ABS(W327)&gt;1E-12,((LTP3!$D$5)*((P327)*(V327)-(U327)*(R327))-(S327)*((S327)*(V327)-(U327)*(T327))+(LTP3!$D$6)*((S327)*(R327)-(P327)*(T327)))/W327,0)</f>
        <v/>
      </c>
      <c r="AA327">
        <f>LTP3!$D$7-X327*LTP3!$D$6-Y327*U327-Z327*V327</f>
        <v/>
      </c>
      <c r="AB327">
        <f>IF(AND(F327,ABS(W327)&gt;1E-12,Y327&gt;0,Z327&gt;0),AA327,1E+300)</f>
        <v/>
      </c>
    </row>
    <row r="328">
      <c r="A328">
        <f>$B$3+$B$5*5</f>
        <v/>
      </c>
      <c r="B328">
        <f>$B$3+$B$5*11</f>
        <v/>
      </c>
      <c r="C328">
        <f>SUMPRODUCT(Calc!$K$3:$K$22*(Calc!$G$3:$G$22&lt;=A328))</f>
        <v/>
      </c>
      <c r="D328">
        <f>SUMPRODUCT(Calc!$K$3:$K$22*(Calc!$G$3:$G$22&gt;A328)*(Calc!$G$3:$G$22&lt;B328))</f>
        <v/>
      </c>
      <c r="E328">
        <f>SUMPRODUCT(Calc!$K$3:$K$22*(Calc!$G$3:$G$22&gt;=B328))</f>
        <v/>
      </c>
      <c r="F328">
        <f>AND(k_n&gt;=5,B328&gt;A328+1E-9,C328&gt;=2,D328&gt;=1,E328&gt;=2)</f>
        <v/>
      </c>
      <c r="G328">
        <f>SUMPRODUCT(Calc!$K$3:$K$22*(Calc!$G$3:$G$22&gt;A328)*(Calc!$G$3:$G$22-A328))</f>
        <v/>
      </c>
      <c r="H328">
        <f>SUMPRODUCT(Calc!$K$3:$K$22*(Calc!$G$3:$G$22&gt;B328)*(Calc!$G$3:$G$22-B328))</f>
        <v/>
      </c>
      <c r="I328">
        <f>SUMPRODUCT(Calc!$K$3:$K$22*(Calc!$G$3:$G$22&gt;A328)*(Calc!$G$3:$G$22-A328)^2)</f>
        <v/>
      </c>
      <c r="J328">
        <f>SUMPRODUCT(Calc!$K$3:$K$22*(Calc!$G$3:$G$22&gt;B328)*(Calc!$G$3:$G$22-B328)^2)</f>
        <v/>
      </c>
      <c r="K328">
        <f>SUMPRODUCT(Calc!$K$3:$K$22*(Calc!$G$3:$G$22&gt;A328)*(Calc!$G$3:$G$22-A328)*(Calc!$G$3:$G$22&gt;B328)*(Calc!$G$3:$G$22-B328))</f>
        <v/>
      </c>
      <c r="L328">
        <f>SUMPRODUCT(Calc!$K$3:$K$22*(Calc!$G$3:$G$22&gt;A328)*(Calc!$G$3:$G$22-A328)*Calc!$G$3:$G$22)</f>
        <v/>
      </c>
      <c r="M328">
        <f>SUMPRODUCT(Calc!$K$3:$K$22*(Calc!$G$3:$G$22&gt;B328)*(Calc!$G$3:$G$22-B328)*Calc!$G$3:$G$22)</f>
        <v/>
      </c>
      <c r="N328">
        <f>SUMPRODUCT(Calc!$K$3:$K$22*(Calc!$G$3:$G$22&gt;A328)*(Calc!$G$3:$G$22-A328)*Calc!$I$3:$I$22)</f>
        <v/>
      </c>
      <c r="O328">
        <f>SUMPRODUCT(Calc!$K$3:$K$22*(Calc!$G$3:$G$22&gt;B328)*(Calc!$G$3:$G$22-B328)*Calc!$I$3:$I$22)</f>
        <v/>
      </c>
      <c r="P328">
        <f>I328-G328^2/k_n</f>
        <v/>
      </c>
      <c r="Q328">
        <f>J328-H328^2/k_n</f>
        <v/>
      </c>
      <c r="R328">
        <f>K328-G328*H328/k_n</f>
        <v/>
      </c>
      <c r="S328">
        <f>L328-LTP3!$D$3*G328/k_n</f>
        <v/>
      </c>
      <c r="T328">
        <f>M328-LTP3!$D$3*H328/k_n</f>
        <v/>
      </c>
      <c r="U328">
        <f>N328-G328*LTP3!$D$4/k_n</f>
        <v/>
      </c>
      <c r="V328">
        <f>O328-H328*LTP3!$D$4/k_n</f>
        <v/>
      </c>
      <c r="W328">
        <f>((LTP3!$D$5)*((P328)*(Q328)-(R328)*(R328))-(S328)*((S328)*(Q328)-(R328)*(T328))+(T328)*((S328)*(R328)-(P328)*(T328)))</f>
        <v/>
      </c>
      <c r="X328">
        <f>IF(ABS(W328)&gt;1E-12,((LTP3!$D$6)*((P328)*(Q328)-(R328)*(R328))-(S328)*((U328)*(Q328)-(R328)*(V328))+(T328)*((U328)*(R328)-(P328)*(V328)))/W328,0)</f>
        <v/>
      </c>
      <c r="Y328">
        <f>IF(ABS(W328)&gt;1E-12,((LTP3!$D$5)*((U328)*(Q328)-(R328)*(V328))-(LTP3!$D$6)*((S328)*(Q328)-(R328)*(T328))+(T328)*((S328)*(V328)-(U328)*(T328)))/W328,0)</f>
        <v/>
      </c>
      <c r="Z328">
        <f>IF(ABS(W328)&gt;1E-12,((LTP3!$D$5)*((P328)*(V328)-(U328)*(R328))-(S328)*((S328)*(V328)-(U328)*(T328))+(LTP3!$D$6)*((S328)*(R328)-(P328)*(T328)))/W328,0)</f>
        <v/>
      </c>
      <c r="AA328">
        <f>LTP3!$D$7-X328*LTP3!$D$6-Y328*U328-Z328*V328</f>
        <v/>
      </c>
      <c r="AB328">
        <f>IF(AND(F328,ABS(W328)&gt;1E-12,Y328&gt;0,Z328&gt;0),AA328,1E+300)</f>
        <v/>
      </c>
    </row>
    <row r="329">
      <c r="A329">
        <f>$B$3+$B$5*5</f>
        <v/>
      </c>
      <c r="B329">
        <f>$B$3+$B$5*12</f>
        <v/>
      </c>
      <c r="C329">
        <f>SUMPRODUCT(Calc!$K$3:$K$22*(Calc!$G$3:$G$22&lt;=A329))</f>
        <v/>
      </c>
      <c r="D329">
        <f>SUMPRODUCT(Calc!$K$3:$K$22*(Calc!$G$3:$G$22&gt;A329)*(Calc!$G$3:$G$22&lt;B329))</f>
        <v/>
      </c>
      <c r="E329">
        <f>SUMPRODUCT(Calc!$K$3:$K$22*(Calc!$G$3:$G$22&gt;=B329))</f>
        <v/>
      </c>
      <c r="F329">
        <f>AND(k_n&gt;=5,B329&gt;A329+1E-9,C329&gt;=2,D329&gt;=1,E329&gt;=2)</f>
        <v/>
      </c>
      <c r="G329">
        <f>SUMPRODUCT(Calc!$K$3:$K$22*(Calc!$G$3:$G$22&gt;A329)*(Calc!$G$3:$G$22-A329))</f>
        <v/>
      </c>
      <c r="H329">
        <f>SUMPRODUCT(Calc!$K$3:$K$22*(Calc!$G$3:$G$22&gt;B329)*(Calc!$G$3:$G$22-B329))</f>
        <v/>
      </c>
      <c r="I329">
        <f>SUMPRODUCT(Calc!$K$3:$K$22*(Calc!$G$3:$G$22&gt;A329)*(Calc!$G$3:$G$22-A329)^2)</f>
        <v/>
      </c>
      <c r="J329">
        <f>SUMPRODUCT(Calc!$K$3:$K$22*(Calc!$G$3:$G$22&gt;B329)*(Calc!$G$3:$G$22-B329)^2)</f>
        <v/>
      </c>
      <c r="K329">
        <f>SUMPRODUCT(Calc!$K$3:$K$22*(Calc!$G$3:$G$22&gt;A329)*(Calc!$G$3:$G$22-A329)*(Calc!$G$3:$G$22&gt;B329)*(Calc!$G$3:$G$22-B329))</f>
        <v/>
      </c>
      <c r="L329">
        <f>SUMPRODUCT(Calc!$K$3:$K$22*(Calc!$G$3:$G$22&gt;A329)*(Calc!$G$3:$G$22-A329)*Calc!$G$3:$G$22)</f>
        <v/>
      </c>
      <c r="M329">
        <f>SUMPRODUCT(Calc!$K$3:$K$22*(Calc!$G$3:$G$22&gt;B329)*(Calc!$G$3:$G$22-B329)*Calc!$G$3:$G$22)</f>
        <v/>
      </c>
      <c r="N329">
        <f>SUMPRODUCT(Calc!$K$3:$K$22*(Calc!$G$3:$G$22&gt;A329)*(Calc!$G$3:$G$22-A329)*Calc!$I$3:$I$22)</f>
        <v/>
      </c>
      <c r="O329">
        <f>SUMPRODUCT(Calc!$K$3:$K$22*(Calc!$G$3:$G$22&gt;B329)*(Calc!$G$3:$G$22-B329)*Calc!$I$3:$I$22)</f>
        <v/>
      </c>
      <c r="P329">
        <f>I329-G329^2/k_n</f>
        <v/>
      </c>
      <c r="Q329">
        <f>J329-H329^2/k_n</f>
        <v/>
      </c>
      <c r="R329">
        <f>K329-G329*H329/k_n</f>
        <v/>
      </c>
      <c r="S329">
        <f>L329-LTP3!$D$3*G329/k_n</f>
        <v/>
      </c>
      <c r="T329">
        <f>M329-LTP3!$D$3*H329/k_n</f>
        <v/>
      </c>
      <c r="U329">
        <f>N329-G329*LTP3!$D$4/k_n</f>
        <v/>
      </c>
      <c r="V329">
        <f>O329-H329*LTP3!$D$4/k_n</f>
        <v/>
      </c>
      <c r="W329">
        <f>((LTP3!$D$5)*((P329)*(Q329)-(R329)*(R329))-(S329)*((S329)*(Q329)-(R329)*(T329))+(T329)*((S329)*(R329)-(P329)*(T329)))</f>
        <v/>
      </c>
      <c r="X329">
        <f>IF(ABS(W329)&gt;1E-12,((LTP3!$D$6)*((P329)*(Q329)-(R329)*(R329))-(S329)*((U329)*(Q329)-(R329)*(V329))+(T329)*((U329)*(R329)-(P329)*(V329)))/W329,0)</f>
        <v/>
      </c>
      <c r="Y329">
        <f>IF(ABS(W329)&gt;1E-12,((LTP3!$D$5)*((U329)*(Q329)-(R329)*(V329))-(LTP3!$D$6)*((S329)*(Q329)-(R329)*(T329))+(T329)*((S329)*(V329)-(U329)*(T329)))/W329,0)</f>
        <v/>
      </c>
      <c r="Z329">
        <f>IF(ABS(W329)&gt;1E-12,((LTP3!$D$5)*((P329)*(V329)-(U329)*(R329))-(S329)*((S329)*(V329)-(U329)*(T329))+(LTP3!$D$6)*((S329)*(R329)-(P329)*(T329)))/W329,0)</f>
        <v/>
      </c>
      <c r="AA329">
        <f>LTP3!$D$7-X329*LTP3!$D$6-Y329*U329-Z329*V329</f>
        <v/>
      </c>
      <c r="AB329">
        <f>IF(AND(F329,ABS(W329)&gt;1E-12,Y329&gt;0,Z329&gt;0),AA329,1E+300)</f>
        <v/>
      </c>
    </row>
    <row r="330">
      <c r="A330">
        <f>$B$3+$B$5*5</f>
        <v/>
      </c>
      <c r="B330">
        <f>$B$3+$B$5*13</f>
        <v/>
      </c>
      <c r="C330">
        <f>SUMPRODUCT(Calc!$K$3:$K$22*(Calc!$G$3:$G$22&lt;=A330))</f>
        <v/>
      </c>
      <c r="D330">
        <f>SUMPRODUCT(Calc!$K$3:$K$22*(Calc!$G$3:$G$22&gt;A330)*(Calc!$G$3:$G$22&lt;B330))</f>
        <v/>
      </c>
      <c r="E330">
        <f>SUMPRODUCT(Calc!$K$3:$K$22*(Calc!$G$3:$G$22&gt;=B330))</f>
        <v/>
      </c>
      <c r="F330">
        <f>AND(k_n&gt;=5,B330&gt;A330+1E-9,C330&gt;=2,D330&gt;=1,E330&gt;=2)</f>
        <v/>
      </c>
      <c r="G330">
        <f>SUMPRODUCT(Calc!$K$3:$K$22*(Calc!$G$3:$G$22&gt;A330)*(Calc!$G$3:$G$22-A330))</f>
        <v/>
      </c>
      <c r="H330">
        <f>SUMPRODUCT(Calc!$K$3:$K$22*(Calc!$G$3:$G$22&gt;B330)*(Calc!$G$3:$G$22-B330))</f>
        <v/>
      </c>
      <c r="I330">
        <f>SUMPRODUCT(Calc!$K$3:$K$22*(Calc!$G$3:$G$22&gt;A330)*(Calc!$G$3:$G$22-A330)^2)</f>
        <v/>
      </c>
      <c r="J330">
        <f>SUMPRODUCT(Calc!$K$3:$K$22*(Calc!$G$3:$G$22&gt;B330)*(Calc!$G$3:$G$22-B330)^2)</f>
        <v/>
      </c>
      <c r="K330">
        <f>SUMPRODUCT(Calc!$K$3:$K$22*(Calc!$G$3:$G$22&gt;A330)*(Calc!$G$3:$G$22-A330)*(Calc!$G$3:$G$22&gt;B330)*(Calc!$G$3:$G$22-B330))</f>
        <v/>
      </c>
      <c r="L330">
        <f>SUMPRODUCT(Calc!$K$3:$K$22*(Calc!$G$3:$G$22&gt;A330)*(Calc!$G$3:$G$22-A330)*Calc!$G$3:$G$22)</f>
        <v/>
      </c>
      <c r="M330">
        <f>SUMPRODUCT(Calc!$K$3:$K$22*(Calc!$G$3:$G$22&gt;B330)*(Calc!$G$3:$G$22-B330)*Calc!$G$3:$G$22)</f>
        <v/>
      </c>
      <c r="N330">
        <f>SUMPRODUCT(Calc!$K$3:$K$22*(Calc!$G$3:$G$22&gt;A330)*(Calc!$G$3:$G$22-A330)*Calc!$I$3:$I$22)</f>
        <v/>
      </c>
      <c r="O330">
        <f>SUMPRODUCT(Calc!$K$3:$K$22*(Calc!$G$3:$G$22&gt;B330)*(Calc!$G$3:$G$22-B330)*Calc!$I$3:$I$22)</f>
        <v/>
      </c>
      <c r="P330">
        <f>I330-G330^2/k_n</f>
        <v/>
      </c>
      <c r="Q330">
        <f>J330-H330^2/k_n</f>
        <v/>
      </c>
      <c r="R330">
        <f>K330-G330*H330/k_n</f>
        <v/>
      </c>
      <c r="S330">
        <f>L330-LTP3!$D$3*G330/k_n</f>
        <v/>
      </c>
      <c r="T330">
        <f>M330-LTP3!$D$3*H330/k_n</f>
        <v/>
      </c>
      <c r="U330">
        <f>N330-G330*LTP3!$D$4/k_n</f>
        <v/>
      </c>
      <c r="V330">
        <f>O330-H330*LTP3!$D$4/k_n</f>
        <v/>
      </c>
      <c r="W330">
        <f>((LTP3!$D$5)*((P330)*(Q330)-(R330)*(R330))-(S330)*((S330)*(Q330)-(R330)*(T330))+(T330)*((S330)*(R330)-(P330)*(T330)))</f>
        <v/>
      </c>
      <c r="X330">
        <f>IF(ABS(W330)&gt;1E-12,((LTP3!$D$6)*((P330)*(Q330)-(R330)*(R330))-(S330)*((U330)*(Q330)-(R330)*(V330))+(T330)*((U330)*(R330)-(P330)*(V330)))/W330,0)</f>
        <v/>
      </c>
      <c r="Y330">
        <f>IF(ABS(W330)&gt;1E-12,((LTP3!$D$5)*((U330)*(Q330)-(R330)*(V330))-(LTP3!$D$6)*((S330)*(Q330)-(R330)*(T330))+(T330)*((S330)*(V330)-(U330)*(T330)))/W330,0)</f>
        <v/>
      </c>
      <c r="Z330">
        <f>IF(ABS(W330)&gt;1E-12,((LTP3!$D$5)*((P330)*(V330)-(U330)*(R330))-(S330)*((S330)*(V330)-(U330)*(T330))+(LTP3!$D$6)*((S330)*(R330)-(P330)*(T330)))/W330,0)</f>
        <v/>
      </c>
      <c r="AA330">
        <f>LTP3!$D$7-X330*LTP3!$D$6-Y330*U330-Z330*V330</f>
        <v/>
      </c>
      <c r="AB330">
        <f>IF(AND(F330,ABS(W330)&gt;1E-12,Y330&gt;0,Z330&gt;0),AA330,1E+300)</f>
        <v/>
      </c>
    </row>
    <row r="331">
      <c r="A331">
        <f>$B$3+$B$5*5</f>
        <v/>
      </c>
      <c r="B331">
        <f>$B$3+$B$5*14</f>
        <v/>
      </c>
      <c r="C331">
        <f>SUMPRODUCT(Calc!$K$3:$K$22*(Calc!$G$3:$G$22&lt;=A331))</f>
        <v/>
      </c>
      <c r="D331">
        <f>SUMPRODUCT(Calc!$K$3:$K$22*(Calc!$G$3:$G$22&gt;A331)*(Calc!$G$3:$G$22&lt;B331))</f>
        <v/>
      </c>
      <c r="E331">
        <f>SUMPRODUCT(Calc!$K$3:$K$22*(Calc!$G$3:$G$22&gt;=B331))</f>
        <v/>
      </c>
      <c r="F331">
        <f>AND(k_n&gt;=5,B331&gt;A331+1E-9,C331&gt;=2,D331&gt;=1,E331&gt;=2)</f>
        <v/>
      </c>
      <c r="G331">
        <f>SUMPRODUCT(Calc!$K$3:$K$22*(Calc!$G$3:$G$22&gt;A331)*(Calc!$G$3:$G$22-A331))</f>
        <v/>
      </c>
      <c r="H331">
        <f>SUMPRODUCT(Calc!$K$3:$K$22*(Calc!$G$3:$G$22&gt;B331)*(Calc!$G$3:$G$22-B331))</f>
        <v/>
      </c>
      <c r="I331">
        <f>SUMPRODUCT(Calc!$K$3:$K$22*(Calc!$G$3:$G$22&gt;A331)*(Calc!$G$3:$G$22-A331)^2)</f>
        <v/>
      </c>
      <c r="J331">
        <f>SUMPRODUCT(Calc!$K$3:$K$22*(Calc!$G$3:$G$22&gt;B331)*(Calc!$G$3:$G$22-B331)^2)</f>
        <v/>
      </c>
      <c r="K331">
        <f>SUMPRODUCT(Calc!$K$3:$K$22*(Calc!$G$3:$G$22&gt;A331)*(Calc!$G$3:$G$22-A331)*(Calc!$G$3:$G$22&gt;B331)*(Calc!$G$3:$G$22-B331))</f>
        <v/>
      </c>
      <c r="L331">
        <f>SUMPRODUCT(Calc!$K$3:$K$22*(Calc!$G$3:$G$22&gt;A331)*(Calc!$G$3:$G$22-A331)*Calc!$G$3:$G$22)</f>
        <v/>
      </c>
      <c r="M331">
        <f>SUMPRODUCT(Calc!$K$3:$K$22*(Calc!$G$3:$G$22&gt;B331)*(Calc!$G$3:$G$22-B331)*Calc!$G$3:$G$22)</f>
        <v/>
      </c>
      <c r="N331">
        <f>SUMPRODUCT(Calc!$K$3:$K$22*(Calc!$G$3:$G$22&gt;A331)*(Calc!$G$3:$G$22-A331)*Calc!$I$3:$I$22)</f>
        <v/>
      </c>
      <c r="O331">
        <f>SUMPRODUCT(Calc!$K$3:$K$22*(Calc!$G$3:$G$22&gt;B331)*(Calc!$G$3:$G$22-B331)*Calc!$I$3:$I$22)</f>
        <v/>
      </c>
      <c r="P331">
        <f>I331-G331^2/k_n</f>
        <v/>
      </c>
      <c r="Q331">
        <f>J331-H331^2/k_n</f>
        <v/>
      </c>
      <c r="R331">
        <f>K331-G331*H331/k_n</f>
        <v/>
      </c>
      <c r="S331">
        <f>L331-LTP3!$D$3*G331/k_n</f>
        <v/>
      </c>
      <c r="T331">
        <f>M331-LTP3!$D$3*H331/k_n</f>
        <v/>
      </c>
      <c r="U331">
        <f>N331-G331*LTP3!$D$4/k_n</f>
        <v/>
      </c>
      <c r="V331">
        <f>O331-H331*LTP3!$D$4/k_n</f>
        <v/>
      </c>
      <c r="W331">
        <f>((LTP3!$D$5)*((P331)*(Q331)-(R331)*(R331))-(S331)*((S331)*(Q331)-(R331)*(T331))+(T331)*((S331)*(R331)-(P331)*(T331)))</f>
        <v/>
      </c>
      <c r="X331">
        <f>IF(ABS(W331)&gt;1E-12,((LTP3!$D$6)*((P331)*(Q331)-(R331)*(R331))-(S331)*((U331)*(Q331)-(R331)*(V331))+(T331)*((U331)*(R331)-(P331)*(V331)))/W331,0)</f>
        <v/>
      </c>
      <c r="Y331">
        <f>IF(ABS(W331)&gt;1E-12,((LTP3!$D$5)*((U331)*(Q331)-(R331)*(V331))-(LTP3!$D$6)*((S331)*(Q331)-(R331)*(T331))+(T331)*((S331)*(V331)-(U331)*(T331)))/W331,0)</f>
        <v/>
      </c>
      <c r="Z331">
        <f>IF(ABS(W331)&gt;1E-12,((LTP3!$D$5)*((P331)*(V331)-(U331)*(R331))-(S331)*((S331)*(V331)-(U331)*(T331))+(LTP3!$D$6)*((S331)*(R331)-(P331)*(T331)))/W331,0)</f>
        <v/>
      </c>
      <c r="AA331">
        <f>LTP3!$D$7-X331*LTP3!$D$6-Y331*U331-Z331*V331</f>
        <v/>
      </c>
      <c r="AB331">
        <f>IF(AND(F331,ABS(W331)&gt;1E-12,Y331&gt;0,Z331&gt;0),AA331,1E+300)</f>
        <v/>
      </c>
    </row>
    <row r="332">
      <c r="A332">
        <f>$B$3+$B$5*5</f>
        <v/>
      </c>
      <c r="B332">
        <f>$B$3+$B$5*15</f>
        <v/>
      </c>
      <c r="C332">
        <f>SUMPRODUCT(Calc!$K$3:$K$22*(Calc!$G$3:$G$22&lt;=A332))</f>
        <v/>
      </c>
      <c r="D332">
        <f>SUMPRODUCT(Calc!$K$3:$K$22*(Calc!$G$3:$G$22&gt;A332)*(Calc!$G$3:$G$22&lt;B332))</f>
        <v/>
      </c>
      <c r="E332">
        <f>SUMPRODUCT(Calc!$K$3:$K$22*(Calc!$G$3:$G$22&gt;=B332))</f>
        <v/>
      </c>
      <c r="F332">
        <f>AND(k_n&gt;=5,B332&gt;A332+1E-9,C332&gt;=2,D332&gt;=1,E332&gt;=2)</f>
        <v/>
      </c>
      <c r="G332">
        <f>SUMPRODUCT(Calc!$K$3:$K$22*(Calc!$G$3:$G$22&gt;A332)*(Calc!$G$3:$G$22-A332))</f>
        <v/>
      </c>
      <c r="H332">
        <f>SUMPRODUCT(Calc!$K$3:$K$22*(Calc!$G$3:$G$22&gt;B332)*(Calc!$G$3:$G$22-B332))</f>
        <v/>
      </c>
      <c r="I332">
        <f>SUMPRODUCT(Calc!$K$3:$K$22*(Calc!$G$3:$G$22&gt;A332)*(Calc!$G$3:$G$22-A332)^2)</f>
        <v/>
      </c>
      <c r="J332">
        <f>SUMPRODUCT(Calc!$K$3:$K$22*(Calc!$G$3:$G$22&gt;B332)*(Calc!$G$3:$G$22-B332)^2)</f>
        <v/>
      </c>
      <c r="K332">
        <f>SUMPRODUCT(Calc!$K$3:$K$22*(Calc!$G$3:$G$22&gt;A332)*(Calc!$G$3:$G$22-A332)*(Calc!$G$3:$G$22&gt;B332)*(Calc!$G$3:$G$22-B332))</f>
        <v/>
      </c>
      <c r="L332">
        <f>SUMPRODUCT(Calc!$K$3:$K$22*(Calc!$G$3:$G$22&gt;A332)*(Calc!$G$3:$G$22-A332)*Calc!$G$3:$G$22)</f>
        <v/>
      </c>
      <c r="M332">
        <f>SUMPRODUCT(Calc!$K$3:$K$22*(Calc!$G$3:$G$22&gt;B332)*(Calc!$G$3:$G$22-B332)*Calc!$G$3:$G$22)</f>
        <v/>
      </c>
      <c r="N332">
        <f>SUMPRODUCT(Calc!$K$3:$K$22*(Calc!$G$3:$G$22&gt;A332)*(Calc!$G$3:$G$22-A332)*Calc!$I$3:$I$22)</f>
        <v/>
      </c>
      <c r="O332">
        <f>SUMPRODUCT(Calc!$K$3:$K$22*(Calc!$G$3:$G$22&gt;B332)*(Calc!$G$3:$G$22-B332)*Calc!$I$3:$I$22)</f>
        <v/>
      </c>
      <c r="P332">
        <f>I332-G332^2/k_n</f>
        <v/>
      </c>
      <c r="Q332">
        <f>J332-H332^2/k_n</f>
        <v/>
      </c>
      <c r="R332">
        <f>K332-G332*H332/k_n</f>
        <v/>
      </c>
      <c r="S332">
        <f>L332-LTP3!$D$3*G332/k_n</f>
        <v/>
      </c>
      <c r="T332">
        <f>M332-LTP3!$D$3*H332/k_n</f>
        <v/>
      </c>
      <c r="U332">
        <f>N332-G332*LTP3!$D$4/k_n</f>
        <v/>
      </c>
      <c r="V332">
        <f>O332-H332*LTP3!$D$4/k_n</f>
        <v/>
      </c>
      <c r="W332">
        <f>((LTP3!$D$5)*((P332)*(Q332)-(R332)*(R332))-(S332)*((S332)*(Q332)-(R332)*(T332))+(T332)*((S332)*(R332)-(P332)*(T332)))</f>
        <v/>
      </c>
      <c r="X332">
        <f>IF(ABS(W332)&gt;1E-12,((LTP3!$D$6)*((P332)*(Q332)-(R332)*(R332))-(S332)*((U332)*(Q332)-(R332)*(V332))+(T332)*((U332)*(R332)-(P332)*(V332)))/W332,0)</f>
        <v/>
      </c>
      <c r="Y332">
        <f>IF(ABS(W332)&gt;1E-12,((LTP3!$D$5)*((U332)*(Q332)-(R332)*(V332))-(LTP3!$D$6)*((S332)*(Q332)-(R332)*(T332))+(T332)*((S332)*(V332)-(U332)*(T332)))/W332,0)</f>
        <v/>
      </c>
      <c r="Z332">
        <f>IF(ABS(W332)&gt;1E-12,((LTP3!$D$5)*((P332)*(V332)-(U332)*(R332))-(S332)*((S332)*(V332)-(U332)*(T332))+(LTP3!$D$6)*((S332)*(R332)-(P332)*(T332)))/W332,0)</f>
        <v/>
      </c>
      <c r="AA332">
        <f>LTP3!$D$7-X332*LTP3!$D$6-Y332*U332-Z332*V332</f>
        <v/>
      </c>
      <c r="AB332">
        <f>IF(AND(F332,ABS(W332)&gt;1E-12,Y332&gt;0,Z332&gt;0),AA332,1E+300)</f>
        <v/>
      </c>
    </row>
    <row r="333">
      <c r="A333">
        <f>$B$3+$B$5*5</f>
        <v/>
      </c>
      <c r="B333">
        <f>$B$3+$B$5*16</f>
        <v/>
      </c>
      <c r="C333">
        <f>SUMPRODUCT(Calc!$K$3:$K$22*(Calc!$G$3:$G$22&lt;=A333))</f>
        <v/>
      </c>
      <c r="D333">
        <f>SUMPRODUCT(Calc!$K$3:$K$22*(Calc!$G$3:$G$22&gt;A333)*(Calc!$G$3:$G$22&lt;B333))</f>
        <v/>
      </c>
      <c r="E333">
        <f>SUMPRODUCT(Calc!$K$3:$K$22*(Calc!$G$3:$G$22&gt;=B333))</f>
        <v/>
      </c>
      <c r="F333">
        <f>AND(k_n&gt;=5,B333&gt;A333+1E-9,C333&gt;=2,D333&gt;=1,E333&gt;=2)</f>
        <v/>
      </c>
      <c r="G333">
        <f>SUMPRODUCT(Calc!$K$3:$K$22*(Calc!$G$3:$G$22&gt;A333)*(Calc!$G$3:$G$22-A333))</f>
        <v/>
      </c>
      <c r="H333">
        <f>SUMPRODUCT(Calc!$K$3:$K$22*(Calc!$G$3:$G$22&gt;B333)*(Calc!$G$3:$G$22-B333))</f>
        <v/>
      </c>
      <c r="I333">
        <f>SUMPRODUCT(Calc!$K$3:$K$22*(Calc!$G$3:$G$22&gt;A333)*(Calc!$G$3:$G$22-A333)^2)</f>
        <v/>
      </c>
      <c r="J333">
        <f>SUMPRODUCT(Calc!$K$3:$K$22*(Calc!$G$3:$G$22&gt;B333)*(Calc!$G$3:$G$22-B333)^2)</f>
        <v/>
      </c>
      <c r="K333">
        <f>SUMPRODUCT(Calc!$K$3:$K$22*(Calc!$G$3:$G$22&gt;A333)*(Calc!$G$3:$G$22-A333)*(Calc!$G$3:$G$22&gt;B333)*(Calc!$G$3:$G$22-B333))</f>
        <v/>
      </c>
      <c r="L333">
        <f>SUMPRODUCT(Calc!$K$3:$K$22*(Calc!$G$3:$G$22&gt;A333)*(Calc!$G$3:$G$22-A333)*Calc!$G$3:$G$22)</f>
        <v/>
      </c>
      <c r="M333">
        <f>SUMPRODUCT(Calc!$K$3:$K$22*(Calc!$G$3:$G$22&gt;B333)*(Calc!$G$3:$G$22-B333)*Calc!$G$3:$G$22)</f>
        <v/>
      </c>
      <c r="N333">
        <f>SUMPRODUCT(Calc!$K$3:$K$22*(Calc!$G$3:$G$22&gt;A333)*(Calc!$G$3:$G$22-A333)*Calc!$I$3:$I$22)</f>
        <v/>
      </c>
      <c r="O333">
        <f>SUMPRODUCT(Calc!$K$3:$K$22*(Calc!$G$3:$G$22&gt;B333)*(Calc!$G$3:$G$22-B333)*Calc!$I$3:$I$22)</f>
        <v/>
      </c>
      <c r="P333">
        <f>I333-G333^2/k_n</f>
        <v/>
      </c>
      <c r="Q333">
        <f>J333-H333^2/k_n</f>
        <v/>
      </c>
      <c r="R333">
        <f>K333-G333*H333/k_n</f>
        <v/>
      </c>
      <c r="S333">
        <f>L333-LTP3!$D$3*G333/k_n</f>
        <v/>
      </c>
      <c r="T333">
        <f>M333-LTP3!$D$3*H333/k_n</f>
        <v/>
      </c>
      <c r="U333">
        <f>N333-G333*LTP3!$D$4/k_n</f>
        <v/>
      </c>
      <c r="V333">
        <f>O333-H333*LTP3!$D$4/k_n</f>
        <v/>
      </c>
      <c r="W333">
        <f>((LTP3!$D$5)*((P333)*(Q333)-(R333)*(R333))-(S333)*((S333)*(Q333)-(R333)*(T333))+(T333)*((S333)*(R333)-(P333)*(T333)))</f>
        <v/>
      </c>
      <c r="X333">
        <f>IF(ABS(W333)&gt;1E-12,((LTP3!$D$6)*((P333)*(Q333)-(R333)*(R333))-(S333)*((U333)*(Q333)-(R333)*(V333))+(T333)*((U333)*(R333)-(P333)*(V333)))/W333,0)</f>
        <v/>
      </c>
      <c r="Y333">
        <f>IF(ABS(W333)&gt;1E-12,((LTP3!$D$5)*((U333)*(Q333)-(R333)*(V333))-(LTP3!$D$6)*((S333)*(Q333)-(R333)*(T333))+(T333)*((S333)*(V333)-(U333)*(T333)))/W333,0)</f>
        <v/>
      </c>
      <c r="Z333">
        <f>IF(ABS(W333)&gt;1E-12,((LTP3!$D$5)*((P333)*(V333)-(U333)*(R333))-(S333)*((S333)*(V333)-(U333)*(T333))+(LTP3!$D$6)*((S333)*(R333)-(P333)*(T333)))/W333,0)</f>
        <v/>
      </c>
      <c r="AA333">
        <f>LTP3!$D$7-X333*LTP3!$D$6-Y333*U333-Z333*V333</f>
        <v/>
      </c>
      <c r="AB333">
        <f>IF(AND(F333,ABS(W333)&gt;1E-12,Y333&gt;0,Z333&gt;0),AA333,1E+300)</f>
        <v/>
      </c>
    </row>
    <row r="334">
      <c r="A334">
        <f>$B$3+$B$5*5</f>
        <v/>
      </c>
      <c r="B334">
        <f>$B$3+$B$5*17</f>
        <v/>
      </c>
      <c r="C334">
        <f>SUMPRODUCT(Calc!$K$3:$K$22*(Calc!$G$3:$G$22&lt;=A334))</f>
        <v/>
      </c>
      <c r="D334">
        <f>SUMPRODUCT(Calc!$K$3:$K$22*(Calc!$G$3:$G$22&gt;A334)*(Calc!$G$3:$G$22&lt;B334))</f>
        <v/>
      </c>
      <c r="E334">
        <f>SUMPRODUCT(Calc!$K$3:$K$22*(Calc!$G$3:$G$22&gt;=B334))</f>
        <v/>
      </c>
      <c r="F334">
        <f>AND(k_n&gt;=5,B334&gt;A334+1E-9,C334&gt;=2,D334&gt;=1,E334&gt;=2)</f>
        <v/>
      </c>
      <c r="G334">
        <f>SUMPRODUCT(Calc!$K$3:$K$22*(Calc!$G$3:$G$22&gt;A334)*(Calc!$G$3:$G$22-A334))</f>
        <v/>
      </c>
      <c r="H334">
        <f>SUMPRODUCT(Calc!$K$3:$K$22*(Calc!$G$3:$G$22&gt;B334)*(Calc!$G$3:$G$22-B334))</f>
        <v/>
      </c>
      <c r="I334">
        <f>SUMPRODUCT(Calc!$K$3:$K$22*(Calc!$G$3:$G$22&gt;A334)*(Calc!$G$3:$G$22-A334)^2)</f>
        <v/>
      </c>
      <c r="J334">
        <f>SUMPRODUCT(Calc!$K$3:$K$22*(Calc!$G$3:$G$22&gt;B334)*(Calc!$G$3:$G$22-B334)^2)</f>
        <v/>
      </c>
      <c r="K334">
        <f>SUMPRODUCT(Calc!$K$3:$K$22*(Calc!$G$3:$G$22&gt;A334)*(Calc!$G$3:$G$22-A334)*(Calc!$G$3:$G$22&gt;B334)*(Calc!$G$3:$G$22-B334))</f>
        <v/>
      </c>
      <c r="L334">
        <f>SUMPRODUCT(Calc!$K$3:$K$22*(Calc!$G$3:$G$22&gt;A334)*(Calc!$G$3:$G$22-A334)*Calc!$G$3:$G$22)</f>
        <v/>
      </c>
      <c r="M334">
        <f>SUMPRODUCT(Calc!$K$3:$K$22*(Calc!$G$3:$G$22&gt;B334)*(Calc!$G$3:$G$22-B334)*Calc!$G$3:$G$22)</f>
        <v/>
      </c>
      <c r="N334">
        <f>SUMPRODUCT(Calc!$K$3:$K$22*(Calc!$G$3:$G$22&gt;A334)*(Calc!$G$3:$G$22-A334)*Calc!$I$3:$I$22)</f>
        <v/>
      </c>
      <c r="O334">
        <f>SUMPRODUCT(Calc!$K$3:$K$22*(Calc!$G$3:$G$22&gt;B334)*(Calc!$G$3:$G$22-B334)*Calc!$I$3:$I$22)</f>
        <v/>
      </c>
      <c r="P334">
        <f>I334-G334^2/k_n</f>
        <v/>
      </c>
      <c r="Q334">
        <f>J334-H334^2/k_n</f>
        <v/>
      </c>
      <c r="R334">
        <f>K334-G334*H334/k_n</f>
        <v/>
      </c>
      <c r="S334">
        <f>L334-LTP3!$D$3*G334/k_n</f>
        <v/>
      </c>
      <c r="T334">
        <f>M334-LTP3!$D$3*H334/k_n</f>
        <v/>
      </c>
      <c r="U334">
        <f>N334-G334*LTP3!$D$4/k_n</f>
        <v/>
      </c>
      <c r="V334">
        <f>O334-H334*LTP3!$D$4/k_n</f>
        <v/>
      </c>
      <c r="W334">
        <f>((LTP3!$D$5)*((P334)*(Q334)-(R334)*(R334))-(S334)*((S334)*(Q334)-(R334)*(T334))+(T334)*((S334)*(R334)-(P334)*(T334)))</f>
        <v/>
      </c>
      <c r="X334">
        <f>IF(ABS(W334)&gt;1E-12,((LTP3!$D$6)*((P334)*(Q334)-(R334)*(R334))-(S334)*((U334)*(Q334)-(R334)*(V334))+(T334)*((U334)*(R334)-(P334)*(V334)))/W334,0)</f>
        <v/>
      </c>
      <c r="Y334">
        <f>IF(ABS(W334)&gt;1E-12,((LTP3!$D$5)*((U334)*(Q334)-(R334)*(V334))-(LTP3!$D$6)*((S334)*(Q334)-(R334)*(T334))+(T334)*((S334)*(V334)-(U334)*(T334)))/W334,0)</f>
        <v/>
      </c>
      <c r="Z334">
        <f>IF(ABS(W334)&gt;1E-12,((LTP3!$D$5)*((P334)*(V334)-(U334)*(R334))-(S334)*((S334)*(V334)-(U334)*(T334))+(LTP3!$D$6)*((S334)*(R334)-(P334)*(T334)))/W334,0)</f>
        <v/>
      </c>
      <c r="AA334">
        <f>LTP3!$D$7-X334*LTP3!$D$6-Y334*U334-Z334*V334</f>
        <v/>
      </c>
      <c r="AB334">
        <f>IF(AND(F334,ABS(W334)&gt;1E-12,Y334&gt;0,Z334&gt;0),AA334,1E+300)</f>
        <v/>
      </c>
    </row>
    <row r="335">
      <c r="A335">
        <f>$B$3+$B$5*5</f>
        <v/>
      </c>
      <c r="B335">
        <f>$B$3+$B$5*18</f>
        <v/>
      </c>
      <c r="C335">
        <f>SUMPRODUCT(Calc!$K$3:$K$22*(Calc!$G$3:$G$22&lt;=A335))</f>
        <v/>
      </c>
      <c r="D335">
        <f>SUMPRODUCT(Calc!$K$3:$K$22*(Calc!$G$3:$G$22&gt;A335)*(Calc!$G$3:$G$22&lt;B335))</f>
        <v/>
      </c>
      <c r="E335">
        <f>SUMPRODUCT(Calc!$K$3:$K$22*(Calc!$G$3:$G$22&gt;=B335))</f>
        <v/>
      </c>
      <c r="F335">
        <f>AND(k_n&gt;=5,B335&gt;A335+1E-9,C335&gt;=2,D335&gt;=1,E335&gt;=2)</f>
        <v/>
      </c>
      <c r="G335">
        <f>SUMPRODUCT(Calc!$K$3:$K$22*(Calc!$G$3:$G$22&gt;A335)*(Calc!$G$3:$G$22-A335))</f>
        <v/>
      </c>
      <c r="H335">
        <f>SUMPRODUCT(Calc!$K$3:$K$22*(Calc!$G$3:$G$22&gt;B335)*(Calc!$G$3:$G$22-B335))</f>
        <v/>
      </c>
      <c r="I335">
        <f>SUMPRODUCT(Calc!$K$3:$K$22*(Calc!$G$3:$G$22&gt;A335)*(Calc!$G$3:$G$22-A335)^2)</f>
        <v/>
      </c>
      <c r="J335">
        <f>SUMPRODUCT(Calc!$K$3:$K$22*(Calc!$G$3:$G$22&gt;B335)*(Calc!$G$3:$G$22-B335)^2)</f>
        <v/>
      </c>
      <c r="K335">
        <f>SUMPRODUCT(Calc!$K$3:$K$22*(Calc!$G$3:$G$22&gt;A335)*(Calc!$G$3:$G$22-A335)*(Calc!$G$3:$G$22&gt;B335)*(Calc!$G$3:$G$22-B335))</f>
        <v/>
      </c>
      <c r="L335">
        <f>SUMPRODUCT(Calc!$K$3:$K$22*(Calc!$G$3:$G$22&gt;A335)*(Calc!$G$3:$G$22-A335)*Calc!$G$3:$G$22)</f>
        <v/>
      </c>
      <c r="M335">
        <f>SUMPRODUCT(Calc!$K$3:$K$22*(Calc!$G$3:$G$22&gt;B335)*(Calc!$G$3:$G$22-B335)*Calc!$G$3:$G$22)</f>
        <v/>
      </c>
      <c r="N335">
        <f>SUMPRODUCT(Calc!$K$3:$K$22*(Calc!$G$3:$G$22&gt;A335)*(Calc!$G$3:$G$22-A335)*Calc!$I$3:$I$22)</f>
        <v/>
      </c>
      <c r="O335">
        <f>SUMPRODUCT(Calc!$K$3:$K$22*(Calc!$G$3:$G$22&gt;B335)*(Calc!$G$3:$G$22-B335)*Calc!$I$3:$I$22)</f>
        <v/>
      </c>
      <c r="P335">
        <f>I335-G335^2/k_n</f>
        <v/>
      </c>
      <c r="Q335">
        <f>J335-H335^2/k_n</f>
        <v/>
      </c>
      <c r="R335">
        <f>K335-G335*H335/k_n</f>
        <v/>
      </c>
      <c r="S335">
        <f>L335-LTP3!$D$3*G335/k_n</f>
        <v/>
      </c>
      <c r="T335">
        <f>M335-LTP3!$D$3*H335/k_n</f>
        <v/>
      </c>
      <c r="U335">
        <f>N335-G335*LTP3!$D$4/k_n</f>
        <v/>
      </c>
      <c r="V335">
        <f>O335-H335*LTP3!$D$4/k_n</f>
        <v/>
      </c>
      <c r="W335">
        <f>((LTP3!$D$5)*((P335)*(Q335)-(R335)*(R335))-(S335)*((S335)*(Q335)-(R335)*(T335))+(T335)*((S335)*(R335)-(P335)*(T335)))</f>
        <v/>
      </c>
      <c r="X335">
        <f>IF(ABS(W335)&gt;1E-12,((LTP3!$D$6)*((P335)*(Q335)-(R335)*(R335))-(S335)*((U335)*(Q335)-(R335)*(V335))+(T335)*((U335)*(R335)-(P335)*(V335)))/W335,0)</f>
        <v/>
      </c>
      <c r="Y335">
        <f>IF(ABS(W335)&gt;1E-12,((LTP3!$D$5)*((U335)*(Q335)-(R335)*(V335))-(LTP3!$D$6)*((S335)*(Q335)-(R335)*(T335))+(T335)*((S335)*(V335)-(U335)*(T335)))/W335,0)</f>
        <v/>
      </c>
      <c r="Z335">
        <f>IF(ABS(W335)&gt;1E-12,((LTP3!$D$5)*((P335)*(V335)-(U335)*(R335))-(S335)*((S335)*(V335)-(U335)*(T335))+(LTP3!$D$6)*((S335)*(R335)-(P335)*(T335)))/W335,0)</f>
        <v/>
      </c>
      <c r="AA335">
        <f>LTP3!$D$7-X335*LTP3!$D$6-Y335*U335-Z335*V335</f>
        <v/>
      </c>
      <c r="AB335">
        <f>IF(AND(F335,ABS(W335)&gt;1E-12,Y335&gt;0,Z335&gt;0),AA335,1E+300)</f>
        <v/>
      </c>
    </row>
    <row r="336">
      <c r="A336">
        <f>$B$3+$B$5*5</f>
        <v/>
      </c>
      <c r="B336">
        <f>$B$3+$B$5*19</f>
        <v/>
      </c>
      <c r="C336">
        <f>SUMPRODUCT(Calc!$K$3:$K$22*(Calc!$G$3:$G$22&lt;=A336))</f>
        <v/>
      </c>
      <c r="D336">
        <f>SUMPRODUCT(Calc!$K$3:$K$22*(Calc!$G$3:$G$22&gt;A336)*(Calc!$G$3:$G$22&lt;B336))</f>
        <v/>
      </c>
      <c r="E336">
        <f>SUMPRODUCT(Calc!$K$3:$K$22*(Calc!$G$3:$G$22&gt;=B336))</f>
        <v/>
      </c>
      <c r="F336">
        <f>AND(k_n&gt;=5,B336&gt;A336+1E-9,C336&gt;=2,D336&gt;=1,E336&gt;=2)</f>
        <v/>
      </c>
      <c r="G336">
        <f>SUMPRODUCT(Calc!$K$3:$K$22*(Calc!$G$3:$G$22&gt;A336)*(Calc!$G$3:$G$22-A336))</f>
        <v/>
      </c>
      <c r="H336">
        <f>SUMPRODUCT(Calc!$K$3:$K$22*(Calc!$G$3:$G$22&gt;B336)*(Calc!$G$3:$G$22-B336))</f>
        <v/>
      </c>
      <c r="I336">
        <f>SUMPRODUCT(Calc!$K$3:$K$22*(Calc!$G$3:$G$22&gt;A336)*(Calc!$G$3:$G$22-A336)^2)</f>
        <v/>
      </c>
      <c r="J336">
        <f>SUMPRODUCT(Calc!$K$3:$K$22*(Calc!$G$3:$G$22&gt;B336)*(Calc!$G$3:$G$22-B336)^2)</f>
        <v/>
      </c>
      <c r="K336">
        <f>SUMPRODUCT(Calc!$K$3:$K$22*(Calc!$G$3:$G$22&gt;A336)*(Calc!$G$3:$G$22-A336)*(Calc!$G$3:$G$22&gt;B336)*(Calc!$G$3:$G$22-B336))</f>
        <v/>
      </c>
      <c r="L336">
        <f>SUMPRODUCT(Calc!$K$3:$K$22*(Calc!$G$3:$G$22&gt;A336)*(Calc!$G$3:$G$22-A336)*Calc!$G$3:$G$22)</f>
        <v/>
      </c>
      <c r="M336">
        <f>SUMPRODUCT(Calc!$K$3:$K$22*(Calc!$G$3:$G$22&gt;B336)*(Calc!$G$3:$G$22-B336)*Calc!$G$3:$G$22)</f>
        <v/>
      </c>
      <c r="N336">
        <f>SUMPRODUCT(Calc!$K$3:$K$22*(Calc!$G$3:$G$22&gt;A336)*(Calc!$G$3:$G$22-A336)*Calc!$I$3:$I$22)</f>
        <v/>
      </c>
      <c r="O336">
        <f>SUMPRODUCT(Calc!$K$3:$K$22*(Calc!$G$3:$G$22&gt;B336)*(Calc!$G$3:$G$22-B336)*Calc!$I$3:$I$22)</f>
        <v/>
      </c>
      <c r="P336">
        <f>I336-G336^2/k_n</f>
        <v/>
      </c>
      <c r="Q336">
        <f>J336-H336^2/k_n</f>
        <v/>
      </c>
      <c r="R336">
        <f>K336-G336*H336/k_n</f>
        <v/>
      </c>
      <c r="S336">
        <f>L336-LTP3!$D$3*G336/k_n</f>
        <v/>
      </c>
      <c r="T336">
        <f>M336-LTP3!$D$3*H336/k_n</f>
        <v/>
      </c>
      <c r="U336">
        <f>N336-G336*LTP3!$D$4/k_n</f>
        <v/>
      </c>
      <c r="V336">
        <f>O336-H336*LTP3!$D$4/k_n</f>
        <v/>
      </c>
      <c r="W336">
        <f>((LTP3!$D$5)*((P336)*(Q336)-(R336)*(R336))-(S336)*((S336)*(Q336)-(R336)*(T336))+(T336)*((S336)*(R336)-(P336)*(T336)))</f>
        <v/>
      </c>
      <c r="X336">
        <f>IF(ABS(W336)&gt;1E-12,((LTP3!$D$6)*((P336)*(Q336)-(R336)*(R336))-(S336)*((U336)*(Q336)-(R336)*(V336))+(T336)*((U336)*(R336)-(P336)*(V336)))/W336,0)</f>
        <v/>
      </c>
      <c r="Y336">
        <f>IF(ABS(W336)&gt;1E-12,((LTP3!$D$5)*((U336)*(Q336)-(R336)*(V336))-(LTP3!$D$6)*((S336)*(Q336)-(R336)*(T336))+(T336)*((S336)*(V336)-(U336)*(T336)))/W336,0)</f>
        <v/>
      </c>
      <c r="Z336">
        <f>IF(ABS(W336)&gt;1E-12,((LTP3!$D$5)*((P336)*(V336)-(U336)*(R336))-(S336)*((S336)*(V336)-(U336)*(T336))+(LTP3!$D$6)*((S336)*(R336)-(P336)*(T336)))/W336,0)</f>
        <v/>
      </c>
      <c r="AA336">
        <f>LTP3!$D$7-X336*LTP3!$D$6-Y336*U336-Z336*V336</f>
        <v/>
      </c>
      <c r="AB336">
        <f>IF(AND(F336,ABS(W336)&gt;1E-12,Y336&gt;0,Z336&gt;0),AA336,1E+300)</f>
        <v/>
      </c>
    </row>
    <row r="337">
      <c r="A337">
        <f>$B$3+$B$5*5</f>
        <v/>
      </c>
      <c r="B337">
        <f>$B$3+$B$5*20</f>
        <v/>
      </c>
      <c r="C337">
        <f>SUMPRODUCT(Calc!$K$3:$K$22*(Calc!$G$3:$G$22&lt;=A337))</f>
        <v/>
      </c>
      <c r="D337">
        <f>SUMPRODUCT(Calc!$K$3:$K$22*(Calc!$G$3:$G$22&gt;A337)*(Calc!$G$3:$G$22&lt;B337))</f>
        <v/>
      </c>
      <c r="E337">
        <f>SUMPRODUCT(Calc!$K$3:$K$22*(Calc!$G$3:$G$22&gt;=B337))</f>
        <v/>
      </c>
      <c r="F337">
        <f>AND(k_n&gt;=5,B337&gt;A337+1E-9,C337&gt;=2,D337&gt;=1,E337&gt;=2)</f>
        <v/>
      </c>
      <c r="G337">
        <f>SUMPRODUCT(Calc!$K$3:$K$22*(Calc!$G$3:$G$22&gt;A337)*(Calc!$G$3:$G$22-A337))</f>
        <v/>
      </c>
      <c r="H337">
        <f>SUMPRODUCT(Calc!$K$3:$K$22*(Calc!$G$3:$G$22&gt;B337)*(Calc!$G$3:$G$22-B337))</f>
        <v/>
      </c>
      <c r="I337">
        <f>SUMPRODUCT(Calc!$K$3:$K$22*(Calc!$G$3:$G$22&gt;A337)*(Calc!$G$3:$G$22-A337)^2)</f>
        <v/>
      </c>
      <c r="J337">
        <f>SUMPRODUCT(Calc!$K$3:$K$22*(Calc!$G$3:$G$22&gt;B337)*(Calc!$G$3:$G$22-B337)^2)</f>
        <v/>
      </c>
      <c r="K337">
        <f>SUMPRODUCT(Calc!$K$3:$K$22*(Calc!$G$3:$G$22&gt;A337)*(Calc!$G$3:$G$22-A337)*(Calc!$G$3:$G$22&gt;B337)*(Calc!$G$3:$G$22-B337))</f>
        <v/>
      </c>
      <c r="L337">
        <f>SUMPRODUCT(Calc!$K$3:$K$22*(Calc!$G$3:$G$22&gt;A337)*(Calc!$G$3:$G$22-A337)*Calc!$G$3:$G$22)</f>
        <v/>
      </c>
      <c r="M337">
        <f>SUMPRODUCT(Calc!$K$3:$K$22*(Calc!$G$3:$G$22&gt;B337)*(Calc!$G$3:$G$22-B337)*Calc!$G$3:$G$22)</f>
        <v/>
      </c>
      <c r="N337">
        <f>SUMPRODUCT(Calc!$K$3:$K$22*(Calc!$G$3:$G$22&gt;A337)*(Calc!$G$3:$G$22-A337)*Calc!$I$3:$I$22)</f>
        <v/>
      </c>
      <c r="O337">
        <f>SUMPRODUCT(Calc!$K$3:$K$22*(Calc!$G$3:$G$22&gt;B337)*(Calc!$G$3:$G$22-B337)*Calc!$I$3:$I$22)</f>
        <v/>
      </c>
      <c r="P337">
        <f>I337-G337^2/k_n</f>
        <v/>
      </c>
      <c r="Q337">
        <f>J337-H337^2/k_n</f>
        <v/>
      </c>
      <c r="R337">
        <f>K337-G337*H337/k_n</f>
        <v/>
      </c>
      <c r="S337">
        <f>L337-LTP3!$D$3*G337/k_n</f>
        <v/>
      </c>
      <c r="T337">
        <f>M337-LTP3!$D$3*H337/k_n</f>
        <v/>
      </c>
      <c r="U337">
        <f>N337-G337*LTP3!$D$4/k_n</f>
        <v/>
      </c>
      <c r="V337">
        <f>O337-H337*LTP3!$D$4/k_n</f>
        <v/>
      </c>
      <c r="W337">
        <f>((LTP3!$D$5)*((P337)*(Q337)-(R337)*(R337))-(S337)*((S337)*(Q337)-(R337)*(T337))+(T337)*((S337)*(R337)-(P337)*(T337)))</f>
        <v/>
      </c>
      <c r="X337">
        <f>IF(ABS(W337)&gt;1E-12,((LTP3!$D$6)*((P337)*(Q337)-(R337)*(R337))-(S337)*((U337)*(Q337)-(R337)*(V337))+(T337)*((U337)*(R337)-(P337)*(V337)))/W337,0)</f>
        <v/>
      </c>
      <c r="Y337">
        <f>IF(ABS(W337)&gt;1E-12,((LTP3!$D$5)*((U337)*(Q337)-(R337)*(V337))-(LTP3!$D$6)*((S337)*(Q337)-(R337)*(T337))+(T337)*((S337)*(V337)-(U337)*(T337)))/W337,0)</f>
        <v/>
      </c>
      <c r="Z337">
        <f>IF(ABS(W337)&gt;1E-12,((LTP3!$D$5)*((P337)*(V337)-(U337)*(R337))-(S337)*((S337)*(V337)-(U337)*(T337))+(LTP3!$D$6)*((S337)*(R337)-(P337)*(T337)))/W337,0)</f>
        <v/>
      </c>
      <c r="AA337">
        <f>LTP3!$D$7-X337*LTP3!$D$6-Y337*U337-Z337*V337</f>
        <v/>
      </c>
      <c r="AB337">
        <f>IF(AND(F337,ABS(W337)&gt;1E-12,Y337&gt;0,Z337&gt;0),AA337,1E+300)</f>
        <v/>
      </c>
    </row>
    <row r="338">
      <c r="A338">
        <f>$B$3+$B$5*5</f>
        <v/>
      </c>
      <c r="B338">
        <f>$B$3+$B$5*21</f>
        <v/>
      </c>
      <c r="C338">
        <f>SUMPRODUCT(Calc!$K$3:$K$22*(Calc!$G$3:$G$22&lt;=A338))</f>
        <v/>
      </c>
      <c r="D338">
        <f>SUMPRODUCT(Calc!$K$3:$K$22*(Calc!$G$3:$G$22&gt;A338)*(Calc!$G$3:$G$22&lt;B338))</f>
        <v/>
      </c>
      <c r="E338">
        <f>SUMPRODUCT(Calc!$K$3:$K$22*(Calc!$G$3:$G$22&gt;=B338))</f>
        <v/>
      </c>
      <c r="F338">
        <f>AND(k_n&gt;=5,B338&gt;A338+1E-9,C338&gt;=2,D338&gt;=1,E338&gt;=2)</f>
        <v/>
      </c>
      <c r="G338">
        <f>SUMPRODUCT(Calc!$K$3:$K$22*(Calc!$G$3:$G$22&gt;A338)*(Calc!$G$3:$G$22-A338))</f>
        <v/>
      </c>
      <c r="H338">
        <f>SUMPRODUCT(Calc!$K$3:$K$22*(Calc!$G$3:$G$22&gt;B338)*(Calc!$G$3:$G$22-B338))</f>
        <v/>
      </c>
      <c r="I338">
        <f>SUMPRODUCT(Calc!$K$3:$K$22*(Calc!$G$3:$G$22&gt;A338)*(Calc!$G$3:$G$22-A338)^2)</f>
        <v/>
      </c>
      <c r="J338">
        <f>SUMPRODUCT(Calc!$K$3:$K$22*(Calc!$G$3:$G$22&gt;B338)*(Calc!$G$3:$G$22-B338)^2)</f>
        <v/>
      </c>
      <c r="K338">
        <f>SUMPRODUCT(Calc!$K$3:$K$22*(Calc!$G$3:$G$22&gt;A338)*(Calc!$G$3:$G$22-A338)*(Calc!$G$3:$G$22&gt;B338)*(Calc!$G$3:$G$22-B338))</f>
        <v/>
      </c>
      <c r="L338">
        <f>SUMPRODUCT(Calc!$K$3:$K$22*(Calc!$G$3:$G$22&gt;A338)*(Calc!$G$3:$G$22-A338)*Calc!$G$3:$G$22)</f>
        <v/>
      </c>
      <c r="M338">
        <f>SUMPRODUCT(Calc!$K$3:$K$22*(Calc!$G$3:$G$22&gt;B338)*(Calc!$G$3:$G$22-B338)*Calc!$G$3:$G$22)</f>
        <v/>
      </c>
      <c r="N338">
        <f>SUMPRODUCT(Calc!$K$3:$K$22*(Calc!$G$3:$G$22&gt;A338)*(Calc!$G$3:$G$22-A338)*Calc!$I$3:$I$22)</f>
        <v/>
      </c>
      <c r="O338">
        <f>SUMPRODUCT(Calc!$K$3:$K$22*(Calc!$G$3:$G$22&gt;B338)*(Calc!$G$3:$G$22-B338)*Calc!$I$3:$I$22)</f>
        <v/>
      </c>
      <c r="P338">
        <f>I338-G338^2/k_n</f>
        <v/>
      </c>
      <c r="Q338">
        <f>J338-H338^2/k_n</f>
        <v/>
      </c>
      <c r="R338">
        <f>K338-G338*H338/k_n</f>
        <v/>
      </c>
      <c r="S338">
        <f>L338-LTP3!$D$3*G338/k_n</f>
        <v/>
      </c>
      <c r="T338">
        <f>M338-LTP3!$D$3*H338/k_n</f>
        <v/>
      </c>
      <c r="U338">
        <f>N338-G338*LTP3!$D$4/k_n</f>
        <v/>
      </c>
      <c r="V338">
        <f>O338-H338*LTP3!$D$4/k_n</f>
        <v/>
      </c>
      <c r="W338">
        <f>((LTP3!$D$5)*((P338)*(Q338)-(R338)*(R338))-(S338)*((S338)*(Q338)-(R338)*(T338))+(T338)*((S338)*(R338)-(P338)*(T338)))</f>
        <v/>
      </c>
      <c r="X338">
        <f>IF(ABS(W338)&gt;1E-12,((LTP3!$D$6)*((P338)*(Q338)-(R338)*(R338))-(S338)*((U338)*(Q338)-(R338)*(V338))+(T338)*((U338)*(R338)-(P338)*(V338)))/W338,0)</f>
        <v/>
      </c>
      <c r="Y338">
        <f>IF(ABS(W338)&gt;1E-12,((LTP3!$D$5)*((U338)*(Q338)-(R338)*(V338))-(LTP3!$D$6)*((S338)*(Q338)-(R338)*(T338))+(T338)*((S338)*(V338)-(U338)*(T338)))/W338,0)</f>
        <v/>
      </c>
      <c r="Z338">
        <f>IF(ABS(W338)&gt;1E-12,((LTP3!$D$5)*((P338)*(V338)-(U338)*(R338))-(S338)*((S338)*(V338)-(U338)*(T338))+(LTP3!$D$6)*((S338)*(R338)-(P338)*(T338)))/W338,0)</f>
        <v/>
      </c>
      <c r="AA338">
        <f>LTP3!$D$7-X338*LTP3!$D$6-Y338*U338-Z338*V338</f>
        <v/>
      </c>
      <c r="AB338">
        <f>IF(AND(F338,ABS(W338)&gt;1E-12,Y338&gt;0,Z338&gt;0),AA338,1E+300)</f>
        <v/>
      </c>
    </row>
    <row r="339">
      <c r="A339">
        <f>$B$3+$B$5*5</f>
        <v/>
      </c>
      <c r="B339">
        <f>$B$3+$B$5*22</f>
        <v/>
      </c>
      <c r="C339">
        <f>SUMPRODUCT(Calc!$K$3:$K$22*(Calc!$G$3:$G$22&lt;=A339))</f>
        <v/>
      </c>
      <c r="D339">
        <f>SUMPRODUCT(Calc!$K$3:$K$22*(Calc!$G$3:$G$22&gt;A339)*(Calc!$G$3:$G$22&lt;B339))</f>
        <v/>
      </c>
      <c r="E339">
        <f>SUMPRODUCT(Calc!$K$3:$K$22*(Calc!$G$3:$G$22&gt;=B339))</f>
        <v/>
      </c>
      <c r="F339">
        <f>AND(k_n&gt;=5,B339&gt;A339+1E-9,C339&gt;=2,D339&gt;=1,E339&gt;=2)</f>
        <v/>
      </c>
      <c r="G339">
        <f>SUMPRODUCT(Calc!$K$3:$K$22*(Calc!$G$3:$G$22&gt;A339)*(Calc!$G$3:$G$22-A339))</f>
        <v/>
      </c>
      <c r="H339">
        <f>SUMPRODUCT(Calc!$K$3:$K$22*(Calc!$G$3:$G$22&gt;B339)*(Calc!$G$3:$G$22-B339))</f>
        <v/>
      </c>
      <c r="I339">
        <f>SUMPRODUCT(Calc!$K$3:$K$22*(Calc!$G$3:$G$22&gt;A339)*(Calc!$G$3:$G$22-A339)^2)</f>
        <v/>
      </c>
      <c r="J339">
        <f>SUMPRODUCT(Calc!$K$3:$K$22*(Calc!$G$3:$G$22&gt;B339)*(Calc!$G$3:$G$22-B339)^2)</f>
        <v/>
      </c>
      <c r="K339">
        <f>SUMPRODUCT(Calc!$K$3:$K$22*(Calc!$G$3:$G$22&gt;A339)*(Calc!$G$3:$G$22-A339)*(Calc!$G$3:$G$22&gt;B339)*(Calc!$G$3:$G$22-B339))</f>
        <v/>
      </c>
      <c r="L339">
        <f>SUMPRODUCT(Calc!$K$3:$K$22*(Calc!$G$3:$G$22&gt;A339)*(Calc!$G$3:$G$22-A339)*Calc!$G$3:$G$22)</f>
        <v/>
      </c>
      <c r="M339">
        <f>SUMPRODUCT(Calc!$K$3:$K$22*(Calc!$G$3:$G$22&gt;B339)*(Calc!$G$3:$G$22-B339)*Calc!$G$3:$G$22)</f>
        <v/>
      </c>
      <c r="N339">
        <f>SUMPRODUCT(Calc!$K$3:$K$22*(Calc!$G$3:$G$22&gt;A339)*(Calc!$G$3:$G$22-A339)*Calc!$I$3:$I$22)</f>
        <v/>
      </c>
      <c r="O339">
        <f>SUMPRODUCT(Calc!$K$3:$K$22*(Calc!$G$3:$G$22&gt;B339)*(Calc!$G$3:$G$22-B339)*Calc!$I$3:$I$22)</f>
        <v/>
      </c>
      <c r="P339">
        <f>I339-G339^2/k_n</f>
        <v/>
      </c>
      <c r="Q339">
        <f>J339-H339^2/k_n</f>
        <v/>
      </c>
      <c r="R339">
        <f>K339-G339*H339/k_n</f>
        <v/>
      </c>
      <c r="S339">
        <f>L339-LTP3!$D$3*G339/k_n</f>
        <v/>
      </c>
      <c r="T339">
        <f>M339-LTP3!$D$3*H339/k_n</f>
        <v/>
      </c>
      <c r="U339">
        <f>N339-G339*LTP3!$D$4/k_n</f>
        <v/>
      </c>
      <c r="V339">
        <f>O339-H339*LTP3!$D$4/k_n</f>
        <v/>
      </c>
      <c r="W339">
        <f>((LTP3!$D$5)*((P339)*(Q339)-(R339)*(R339))-(S339)*((S339)*(Q339)-(R339)*(T339))+(T339)*((S339)*(R339)-(P339)*(T339)))</f>
        <v/>
      </c>
      <c r="X339">
        <f>IF(ABS(W339)&gt;1E-12,((LTP3!$D$6)*((P339)*(Q339)-(R339)*(R339))-(S339)*((U339)*(Q339)-(R339)*(V339))+(T339)*((U339)*(R339)-(P339)*(V339)))/W339,0)</f>
        <v/>
      </c>
      <c r="Y339">
        <f>IF(ABS(W339)&gt;1E-12,((LTP3!$D$5)*((U339)*(Q339)-(R339)*(V339))-(LTP3!$D$6)*((S339)*(Q339)-(R339)*(T339))+(T339)*((S339)*(V339)-(U339)*(T339)))/W339,0)</f>
        <v/>
      </c>
      <c r="Z339">
        <f>IF(ABS(W339)&gt;1E-12,((LTP3!$D$5)*((P339)*(V339)-(U339)*(R339))-(S339)*((S339)*(V339)-(U339)*(T339))+(LTP3!$D$6)*((S339)*(R339)-(P339)*(T339)))/W339,0)</f>
        <v/>
      </c>
      <c r="AA339">
        <f>LTP3!$D$7-X339*LTP3!$D$6-Y339*U339-Z339*V339</f>
        <v/>
      </c>
      <c r="AB339">
        <f>IF(AND(F339,ABS(W339)&gt;1E-12,Y339&gt;0,Z339&gt;0),AA339,1E+300)</f>
        <v/>
      </c>
    </row>
    <row r="340">
      <c r="A340">
        <f>$B$3+$B$5*5</f>
        <v/>
      </c>
      <c r="B340">
        <f>$B$3+$B$5*23</f>
        <v/>
      </c>
      <c r="C340">
        <f>SUMPRODUCT(Calc!$K$3:$K$22*(Calc!$G$3:$G$22&lt;=A340))</f>
        <v/>
      </c>
      <c r="D340">
        <f>SUMPRODUCT(Calc!$K$3:$K$22*(Calc!$G$3:$G$22&gt;A340)*(Calc!$G$3:$G$22&lt;B340))</f>
        <v/>
      </c>
      <c r="E340">
        <f>SUMPRODUCT(Calc!$K$3:$K$22*(Calc!$G$3:$G$22&gt;=B340))</f>
        <v/>
      </c>
      <c r="F340">
        <f>AND(k_n&gt;=5,B340&gt;A340+1E-9,C340&gt;=2,D340&gt;=1,E340&gt;=2)</f>
        <v/>
      </c>
      <c r="G340">
        <f>SUMPRODUCT(Calc!$K$3:$K$22*(Calc!$G$3:$G$22&gt;A340)*(Calc!$G$3:$G$22-A340))</f>
        <v/>
      </c>
      <c r="H340">
        <f>SUMPRODUCT(Calc!$K$3:$K$22*(Calc!$G$3:$G$22&gt;B340)*(Calc!$G$3:$G$22-B340))</f>
        <v/>
      </c>
      <c r="I340">
        <f>SUMPRODUCT(Calc!$K$3:$K$22*(Calc!$G$3:$G$22&gt;A340)*(Calc!$G$3:$G$22-A340)^2)</f>
        <v/>
      </c>
      <c r="J340">
        <f>SUMPRODUCT(Calc!$K$3:$K$22*(Calc!$G$3:$G$22&gt;B340)*(Calc!$G$3:$G$22-B340)^2)</f>
        <v/>
      </c>
      <c r="K340">
        <f>SUMPRODUCT(Calc!$K$3:$K$22*(Calc!$G$3:$G$22&gt;A340)*(Calc!$G$3:$G$22-A340)*(Calc!$G$3:$G$22&gt;B340)*(Calc!$G$3:$G$22-B340))</f>
        <v/>
      </c>
      <c r="L340">
        <f>SUMPRODUCT(Calc!$K$3:$K$22*(Calc!$G$3:$G$22&gt;A340)*(Calc!$G$3:$G$22-A340)*Calc!$G$3:$G$22)</f>
        <v/>
      </c>
      <c r="M340">
        <f>SUMPRODUCT(Calc!$K$3:$K$22*(Calc!$G$3:$G$22&gt;B340)*(Calc!$G$3:$G$22-B340)*Calc!$G$3:$G$22)</f>
        <v/>
      </c>
      <c r="N340">
        <f>SUMPRODUCT(Calc!$K$3:$K$22*(Calc!$G$3:$G$22&gt;A340)*(Calc!$G$3:$G$22-A340)*Calc!$I$3:$I$22)</f>
        <v/>
      </c>
      <c r="O340">
        <f>SUMPRODUCT(Calc!$K$3:$K$22*(Calc!$G$3:$G$22&gt;B340)*(Calc!$G$3:$G$22-B340)*Calc!$I$3:$I$22)</f>
        <v/>
      </c>
      <c r="P340">
        <f>I340-G340^2/k_n</f>
        <v/>
      </c>
      <c r="Q340">
        <f>J340-H340^2/k_n</f>
        <v/>
      </c>
      <c r="R340">
        <f>K340-G340*H340/k_n</f>
        <v/>
      </c>
      <c r="S340">
        <f>L340-LTP3!$D$3*G340/k_n</f>
        <v/>
      </c>
      <c r="T340">
        <f>M340-LTP3!$D$3*H340/k_n</f>
        <v/>
      </c>
      <c r="U340">
        <f>N340-G340*LTP3!$D$4/k_n</f>
        <v/>
      </c>
      <c r="V340">
        <f>O340-H340*LTP3!$D$4/k_n</f>
        <v/>
      </c>
      <c r="W340">
        <f>((LTP3!$D$5)*((P340)*(Q340)-(R340)*(R340))-(S340)*((S340)*(Q340)-(R340)*(T340))+(T340)*((S340)*(R340)-(P340)*(T340)))</f>
        <v/>
      </c>
      <c r="X340">
        <f>IF(ABS(W340)&gt;1E-12,((LTP3!$D$6)*((P340)*(Q340)-(R340)*(R340))-(S340)*((U340)*(Q340)-(R340)*(V340))+(T340)*((U340)*(R340)-(P340)*(V340)))/W340,0)</f>
        <v/>
      </c>
      <c r="Y340">
        <f>IF(ABS(W340)&gt;1E-12,((LTP3!$D$5)*((U340)*(Q340)-(R340)*(V340))-(LTP3!$D$6)*((S340)*(Q340)-(R340)*(T340))+(T340)*((S340)*(V340)-(U340)*(T340)))/W340,0)</f>
        <v/>
      </c>
      <c r="Z340">
        <f>IF(ABS(W340)&gt;1E-12,((LTP3!$D$5)*((P340)*(V340)-(U340)*(R340))-(S340)*((S340)*(V340)-(U340)*(T340))+(LTP3!$D$6)*((S340)*(R340)-(P340)*(T340)))/W340,0)</f>
        <v/>
      </c>
      <c r="AA340">
        <f>LTP3!$D$7-X340*LTP3!$D$6-Y340*U340-Z340*V340</f>
        <v/>
      </c>
      <c r="AB340">
        <f>IF(AND(F340,ABS(W340)&gt;1E-12,Y340&gt;0,Z340&gt;0),AA340,1E+300)</f>
        <v/>
      </c>
    </row>
    <row r="341">
      <c r="A341">
        <f>$B$3+$B$5*5</f>
        <v/>
      </c>
      <c r="B341">
        <f>$B$3+$B$5*24</f>
        <v/>
      </c>
      <c r="C341">
        <f>SUMPRODUCT(Calc!$K$3:$K$22*(Calc!$G$3:$G$22&lt;=A341))</f>
        <v/>
      </c>
      <c r="D341">
        <f>SUMPRODUCT(Calc!$K$3:$K$22*(Calc!$G$3:$G$22&gt;A341)*(Calc!$G$3:$G$22&lt;B341))</f>
        <v/>
      </c>
      <c r="E341">
        <f>SUMPRODUCT(Calc!$K$3:$K$22*(Calc!$G$3:$G$22&gt;=B341))</f>
        <v/>
      </c>
      <c r="F341">
        <f>AND(k_n&gt;=5,B341&gt;A341+1E-9,C341&gt;=2,D341&gt;=1,E341&gt;=2)</f>
        <v/>
      </c>
      <c r="G341">
        <f>SUMPRODUCT(Calc!$K$3:$K$22*(Calc!$G$3:$G$22&gt;A341)*(Calc!$G$3:$G$22-A341))</f>
        <v/>
      </c>
      <c r="H341">
        <f>SUMPRODUCT(Calc!$K$3:$K$22*(Calc!$G$3:$G$22&gt;B341)*(Calc!$G$3:$G$22-B341))</f>
        <v/>
      </c>
      <c r="I341">
        <f>SUMPRODUCT(Calc!$K$3:$K$22*(Calc!$G$3:$G$22&gt;A341)*(Calc!$G$3:$G$22-A341)^2)</f>
        <v/>
      </c>
      <c r="J341">
        <f>SUMPRODUCT(Calc!$K$3:$K$22*(Calc!$G$3:$G$22&gt;B341)*(Calc!$G$3:$G$22-B341)^2)</f>
        <v/>
      </c>
      <c r="K341">
        <f>SUMPRODUCT(Calc!$K$3:$K$22*(Calc!$G$3:$G$22&gt;A341)*(Calc!$G$3:$G$22-A341)*(Calc!$G$3:$G$22&gt;B341)*(Calc!$G$3:$G$22-B341))</f>
        <v/>
      </c>
      <c r="L341">
        <f>SUMPRODUCT(Calc!$K$3:$K$22*(Calc!$G$3:$G$22&gt;A341)*(Calc!$G$3:$G$22-A341)*Calc!$G$3:$G$22)</f>
        <v/>
      </c>
      <c r="M341">
        <f>SUMPRODUCT(Calc!$K$3:$K$22*(Calc!$G$3:$G$22&gt;B341)*(Calc!$G$3:$G$22-B341)*Calc!$G$3:$G$22)</f>
        <v/>
      </c>
      <c r="N341">
        <f>SUMPRODUCT(Calc!$K$3:$K$22*(Calc!$G$3:$G$22&gt;A341)*(Calc!$G$3:$G$22-A341)*Calc!$I$3:$I$22)</f>
        <v/>
      </c>
      <c r="O341">
        <f>SUMPRODUCT(Calc!$K$3:$K$22*(Calc!$G$3:$G$22&gt;B341)*(Calc!$G$3:$G$22-B341)*Calc!$I$3:$I$22)</f>
        <v/>
      </c>
      <c r="P341">
        <f>I341-G341^2/k_n</f>
        <v/>
      </c>
      <c r="Q341">
        <f>J341-H341^2/k_n</f>
        <v/>
      </c>
      <c r="R341">
        <f>K341-G341*H341/k_n</f>
        <v/>
      </c>
      <c r="S341">
        <f>L341-LTP3!$D$3*G341/k_n</f>
        <v/>
      </c>
      <c r="T341">
        <f>M341-LTP3!$D$3*H341/k_n</f>
        <v/>
      </c>
      <c r="U341">
        <f>N341-G341*LTP3!$D$4/k_n</f>
        <v/>
      </c>
      <c r="V341">
        <f>O341-H341*LTP3!$D$4/k_n</f>
        <v/>
      </c>
      <c r="W341">
        <f>((LTP3!$D$5)*((P341)*(Q341)-(R341)*(R341))-(S341)*((S341)*(Q341)-(R341)*(T341))+(T341)*((S341)*(R341)-(P341)*(T341)))</f>
        <v/>
      </c>
      <c r="X341">
        <f>IF(ABS(W341)&gt;1E-12,((LTP3!$D$6)*((P341)*(Q341)-(R341)*(R341))-(S341)*((U341)*(Q341)-(R341)*(V341))+(T341)*((U341)*(R341)-(P341)*(V341)))/W341,0)</f>
        <v/>
      </c>
      <c r="Y341">
        <f>IF(ABS(W341)&gt;1E-12,((LTP3!$D$5)*((U341)*(Q341)-(R341)*(V341))-(LTP3!$D$6)*((S341)*(Q341)-(R341)*(T341))+(T341)*((S341)*(V341)-(U341)*(T341)))/W341,0)</f>
        <v/>
      </c>
      <c r="Z341">
        <f>IF(ABS(W341)&gt;1E-12,((LTP3!$D$5)*((P341)*(V341)-(U341)*(R341))-(S341)*((S341)*(V341)-(U341)*(T341))+(LTP3!$D$6)*((S341)*(R341)-(P341)*(T341)))/W341,0)</f>
        <v/>
      </c>
      <c r="AA341">
        <f>LTP3!$D$7-X341*LTP3!$D$6-Y341*U341-Z341*V341</f>
        <v/>
      </c>
      <c r="AB341">
        <f>IF(AND(F341,ABS(W341)&gt;1E-12,Y341&gt;0,Z341&gt;0),AA341,1E+300)</f>
        <v/>
      </c>
    </row>
    <row r="342">
      <c r="A342">
        <f>$B$3+$B$5*5</f>
        <v/>
      </c>
      <c r="B342">
        <f>$B$3+$B$5*25</f>
        <v/>
      </c>
      <c r="C342">
        <f>SUMPRODUCT(Calc!$K$3:$K$22*(Calc!$G$3:$G$22&lt;=A342))</f>
        <v/>
      </c>
      <c r="D342">
        <f>SUMPRODUCT(Calc!$K$3:$K$22*(Calc!$G$3:$G$22&gt;A342)*(Calc!$G$3:$G$22&lt;B342))</f>
        <v/>
      </c>
      <c r="E342">
        <f>SUMPRODUCT(Calc!$K$3:$K$22*(Calc!$G$3:$G$22&gt;=B342))</f>
        <v/>
      </c>
      <c r="F342">
        <f>AND(k_n&gt;=5,B342&gt;A342+1E-9,C342&gt;=2,D342&gt;=1,E342&gt;=2)</f>
        <v/>
      </c>
      <c r="G342">
        <f>SUMPRODUCT(Calc!$K$3:$K$22*(Calc!$G$3:$G$22&gt;A342)*(Calc!$G$3:$G$22-A342))</f>
        <v/>
      </c>
      <c r="H342">
        <f>SUMPRODUCT(Calc!$K$3:$K$22*(Calc!$G$3:$G$22&gt;B342)*(Calc!$G$3:$G$22-B342))</f>
        <v/>
      </c>
      <c r="I342">
        <f>SUMPRODUCT(Calc!$K$3:$K$22*(Calc!$G$3:$G$22&gt;A342)*(Calc!$G$3:$G$22-A342)^2)</f>
        <v/>
      </c>
      <c r="J342">
        <f>SUMPRODUCT(Calc!$K$3:$K$22*(Calc!$G$3:$G$22&gt;B342)*(Calc!$G$3:$G$22-B342)^2)</f>
        <v/>
      </c>
      <c r="K342">
        <f>SUMPRODUCT(Calc!$K$3:$K$22*(Calc!$G$3:$G$22&gt;A342)*(Calc!$G$3:$G$22-A342)*(Calc!$G$3:$G$22&gt;B342)*(Calc!$G$3:$G$22-B342))</f>
        <v/>
      </c>
      <c r="L342">
        <f>SUMPRODUCT(Calc!$K$3:$K$22*(Calc!$G$3:$G$22&gt;A342)*(Calc!$G$3:$G$22-A342)*Calc!$G$3:$G$22)</f>
        <v/>
      </c>
      <c r="M342">
        <f>SUMPRODUCT(Calc!$K$3:$K$22*(Calc!$G$3:$G$22&gt;B342)*(Calc!$G$3:$G$22-B342)*Calc!$G$3:$G$22)</f>
        <v/>
      </c>
      <c r="N342">
        <f>SUMPRODUCT(Calc!$K$3:$K$22*(Calc!$G$3:$G$22&gt;A342)*(Calc!$G$3:$G$22-A342)*Calc!$I$3:$I$22)</f>
        <v/>
      </c>
      <c r="O342">
        <f>SUMPRODUCT(Calc!$K$3:$K$22*(Calc!$G$3:$G$22&gt;B342)*(Calc!$G$3:$G$22-B342)*Calc!$I$3:$I$22)</f>
        <v/>
      </c>
      <c r="P342">
        <f>I342-G342^2/k_n</f>
        <v/>
      </c>
      <c r="Q342">
        <f>J342-H342^2/k_n</f>
        <v/>
      </c>
      <c r="R342">
        <f>K342-G342*H342/k_n</f>
        <v/>
      </c>
      <c r="S342">
        <f>L342-LTP3!$D$3*G342/k_n</f>
        <v/>
      </c>
      <c r="T342">
        <f>M342-LTP3!$D$3*H342/k_n</f>
        <v/>
      </c>
      <c r="U342">
        <f>N342-G342*LTP3!$D$4/k_n</f>
        <v/>
      </c>
      <c r="V342">
        <f>O342-H342*LTP3!$D$4/k_n</f>
        <v/>
      </c>
      <c r="W342">
        <f>((LTP3!$D$5)*((P342)*(Q342)-(R342)*(R342))-(S342)*((S342)*(Q342)-(R342)*(T342))+(T342)*((S342)*(R342)-(P342)*(T342)))</f>
        <v/>
      </c>
      <c r="X342">
        <f>IF(ABS(W342)&gt;1E-12,((LTP3!$D$6)*((P342)*(Q342)-(R342)*(R342))-(S342)*((U342)*(Q342)-(R342)*(V342))+(T342)*((U342)*(R342)-(P342)*(V342)))/W342,0)</f>
        <v/>
      </c>
      <c r="Y342">
        <f>IF(ABS(W342)&gt;1E-12,((LTP3!$D$5)*((U342)*(Q342)-(R342)*(V342))-(LTP3!$D$6)*((S342)*(Q342)-(R342)*(T342))+(T342)*((S342)*(V342)-(U342)*(T342)))/W342,0)</f>
        <v/>
      </c>
      <c r="Z342">
        <f>IF(ABS(W342)&gt;1E-12,((LTP3!$D$5)*((P342)*(V342)-(U342)*(R342))-(S342)*((S342)*(V342)-(U342)*(T342))+(LTP3!$D$6)*((S342)*(R342)-(P342)*(T342)))/W342,0)</f>
        <v/>
      </c>
      <c r="AA342">
        <f>LTP3!$D$7-X342*LTP3!$D$6-Y342*U342-Z342*V342</f>
        <v/>
      </c>
      <c r="AB342">
        <f>IF(AND(F342,ABS(W342)&gt;1E-12,Y342&gt;0,Z342&gt;0),AA342,1E+300)</f>
        <v/>
      </c>
    </row>
    <row r="343">
      <c r="A343">
        <f>$B$3+$B$5*5</f>
        <v/>
      </c>
      <c r="B343">
        <f>$B$3+$B$5*26</f>
        <v/>
      </c>
      <c r="C343">
        <f>SUMPRODUCT(Calc!$K$3:$K$22*(Calc!$G$3:$G$22&lt;=A343))</f>
        <v/>
      </c>
      <c r="D343">
        <f>SUMPRODUCT(Calc!$K$3:$K$22*(Calc!$G$3:$G$22&gt;A343)*(Calc!$G$3:$G$22&lt;B343))</f>
        <v/>
      </c>
      <c r="E343">
        <f>SUMPRODUCT(Calc!$K$3:$K$22*(Calc!$G$3:$G$22&gt;=B343))</f>
        <v/>
      </c>
      <c r="F343">
        <f>AND(k_n&gt;=5,B343&gt;A343+1E-9,C343&gt;=2,D343&gt;=1,E343&gt;=2)</f>
        <v/>
      </c>
      <c r="G343">
        <f>SUMPRODUCT(Calc!$K$3:$K$22*(Calc!$G$3:$G$22&gt;A343)*(Calc!$G$3:$G$22-A343))</f>
        <v/>
      </c>
      <c r="H343">
        <f>SUMPRODUCT(Calc!$K$3:$K$22*(Calc!$G$3:$G$22&gt;B343)*(Calc!$G$3:$G$22-B343))</f>
        <v/>
      </c>
      <c r="I343">
        <f>SUMPRODUCT(Calc!$K$3:$K$22*(Calc!$G$3:$G$22&gt;A343)*(Calc!$G$3:$G$22-A343)^2)</f>
        <v/>
      </c>
      <c r="J343">
        <f>SUMPRODUCT(Calc!$K$3:$K$22*(Calc!$G$3:$G$22&gt;B343)*(Calc!$G$3:$G$22-B343)^2)</f>
        <v/>
      </c>
      <c r="K343">
        <f>SUMPRODUCT(Calc!$K$3:$K$22*(Calc!$G$3:$G$22&gt;A343)*(Calc!$G$3:$G$22-A343)*(Calc!$G$3:$G$22&gt;B343)*(Calc!$G$3:$G$22-B343))</f>
        <v/>
      </c>
      <c r="L343">
        <f>SUMPRODUCT(Calc!$K$3:$K$22*(Calc!$G$3:$G$22&gt;A343)*(Calc!$G$3:$G$22-A343)*Calc!$G$3:$G$22)</f>
        <v/>
      </c>
      <c r="M343">
        <f>SUMPRODUCT(Calc!$K$3:$K$22*(Calc!$G$3:$G$22&gt;B343)*(Calc!$G$3:$G$22-B343)*Calc!$G$3:$G$22)</f>
        <v/>
      </c>
      <c r="N343">
        <f>SUMPRODUCT(Calc!$K$3:$K$22*(Calc!$G$3:$G$22&gt;A343)*(Calc!$G$3:$G$22-A343)*Calc!$I$3:$I$22)</f>
        <v/>
      </c>
      <c r="O343">
        <f>SUMPRODUCT(Calc!$K$3:$K$22*(Calc!$G$3:$G$22&gt;B343)*(Calc!$G$3:$G$22-B343)*Calc!$I$3:$I$22)</f>
        <v/>
      </c>
      <c r="P343">
        <f>I343-G343^2/k_n</f>
        <v/>
      </c>
      <c r="Q343">
        <f>J343-H343^2/k_n</f>
        <v/>
      </c>
      <c r="R343">
        <f>K343-G343*H343/k_n</f>
        <v/>
      </c>
      <c r="S343">
        <f>L343-LTP3!$D$3*G343/k_n</f>
        <v/>
      </c>
      <c r="T343">
        <f>M343-LTP3!$D$3*H343/k_n</f>
        <v/>
      </c>
      <c r="U343">
        <f>N343-G343*LTP3!$D$4/k_n</f>
        <v/>
      </c>
      <c r="V343">
        <f>O343-H343*LTP3!$D$4/k_n</f>
        <v/>
      </c>
      <c r="W343">
        <f>((LTP3!$D$5)*((P343)*(Q343)-(R343)*(R343))-(S343)*((S343)*(Q343)-(R343)*(T343))+(T343)*((S343)*(R343)-(P343)*(T343)))</f>
        <v/>
      </c>
      <c r="X343">
        <f>IF(ABS(W343)&gt;1E-12,((LTP3!$D$6)*((P343)*(Q343)-(R343)*(R343))-(S343)*((U343)*(Q343)-(R343)*(V343))+(T343)*((U343)*(R343)-(P343)*(V343)))/W343,0)</f>
        <v/>
      </c>
      <c r="Y343">
        <f>IF(ABS(W343)&gt;1E-12,((LTP3!$D$5)*((U343)*(Q343)-(R343)*(V343))-(LTP3!$D$6)*((S343)*(Q343)-(R343)*(T343))+(T343)*((S343)*(V343)-(U343)*(T343)))/W343,0)</f>
        <v/>
      </c>
      <c r="Z343">
        <f>IF(ABS(W343)&gt;1E-12,((LTP3!$D$5)*((P343)*(V343)-(U343)*(R343))-(S343)*((S343)*(V343)-(U343)*(T343))+(LTP3!$D$6)*((S343)*(R343)-(P343)*(T343)))/W343,0)</f>
        <v/>
      </c>
      <c r="AA343">
        <f>LTP3!$D$7-X343*LTP3!$D$6-Y343*U343-Z343*V343</f>
        <v/>
      </c>
      <c r="AB343">
        <f>IF(AND(F343,ABS(W343)&gt;1E-12,Y343&gt;0,Z343&gt;0),AA343,1E+300)</f>
        <v/>
      </c>
    </row>
    <row r="344">
      <c r="A344">
        <f>$B$3+$B$5*5</f>
        <v/>
      </c>
      <c r="B344">
        <f>$B$3+$B$5*27</f>
        <v/>
      </c>
      <c r="C344">
        <f>SUMPRODUCT(Calc!$K$3:$K$22*(Calc!$G$3:$G$22&lt;=A344))</f>
        <v/>
      </c>
      <c r="D344">
        <f>SUMPRODUCT(Calc!$K$3:$K$22*(Calc!$G$3:$G$22&gt;A344)*(Calc!$G$3:$G$22&lt;B344))</f>
        <v/>
      </c>
      <c r="E344">
        <f>SUMPRODUCT(Calc!$K$3:$K$22*(Calc!$G$3:$G$22&gt;=B344))</f>
        <v/>
      </c>
      <c r="F344">
        <f>AND(k_n&gt;=5,B344&gt;A344+1E-9,C344&gt;=2,D344&gt;=1,E344&gt;=2)</f>
        <v/>
      </c>
      <c r="G344">
        <f>SUMPRODUCT(Calc!$K$3:$K$22*(Calc!$G$3:$G$22&gt;A344)*(Calc!$G$3:$G$22-A344))</f>
        <v/>
      </c>
      <c r="H344">
        <f>SUMPRODUCT(Calc!$K$3:$K$22*(Calc!$G$3:$G$22&gt;B344)*(Calc!$G$3:$G$22-B344))</f>
        <v/>
      </c>
      <c r="I344">
        <f>SUMPRODUCT(Calc!$K$3:$K$22*(Calc!$G$3:$G$22&gt;A344)*(Calc!$G$3:$G$22-A344)^2)</f>
        <v/>
      </c>
      <c r="J344">
        <f>SUMPRODUCT(Calc!$K$3:$K$22*(Calc!$G$3:$G$22&gt;B344)*(Calc!$G$3:$G$22-B344)^2)</f>
        <v/>
      </c>
      <c r="K344">
        <f>SUMPRODUCT(Calc!$K$3:$K$22*(Calc!$G$3:$G$22&gt;A344)*(Calc!$G$3:$G$22-A344)*(Calc!$G$3:$G$22&gt;B344)*(Calc!$G$3:$G$22-B344))</f>
        <v/>
      </c>
      <c r="L344">
        <f>SUMPRODUCT(Calc!$K$3:$K$22*(Calc!$G$3:$G$22&gt;A344)*(Calc!$G$3:$G$22-A344)*Calc!$G$3:$G$22)</f>
        <v/>
      </c>
      <c r="M344">
        <f>SUMPRODUCT(Calc!$K$3:$K$22*(Calc!$G$3:$G$22&gt;B344)*(Calc!$G$3:$G$22-B344)*Calc!$G$3:$G$22)</f>
        <v/>
      </c>
      <c r="N344">
        <f>SUMPRODUCT(Calc!$K$3:$K$22*(Calc!$G$3:$G$22&gt;A344)*(Calc!$G$3:$G$22-A344)*Calc!$I$3:$I$22)</f>
        <v/>
      </c>
      <c r="O344">
        <f>SUMPRODUCT(Calc!$K$3:$K$22*(Calc!$G$3:$G$22&gt;B344)*(Calc!$G$3:$G$22-B344)*Calc!$I$3:$I$22)</f>
        <v/>
      </c>
      <c r="P344">
        <f>I344-G344^2/k_n</f>
        <v/>
      </c>
      <c r="Q344">
        <f>J344-H344^2/k_n</f>
        <v/>
      </c>
      <c r="R344">
        <f>K344-G344*H344/k_n</f>
        <v/>
      </c>
      <c r="S344">
        <f>L344-LTP3!$D$3*G344/k_n</f>
        <v/>
      </c>
      <c r="T344">
        <f>M344-LTP3!$D$3*H344/k_n</f>
        <v/>
      </c>
      <c r="U344">
        <f>N344-G344*LTP3!$D$4/k_n</f>
        <v/>
      </c>
      <c r="V344">
        <f>O344-H344*LTP3!$D$4/k_n</f>
        <v/>
      </c>
      <c r="W344">
        <f>((LTP3!$D$5)*((P344)*(Q344)-(R344)*(R344))-(S344)*((S344)*(Q344)-(R344)*(T344))+(T344)*((S344)*(R344)-(P344)*(T344)))</f>
        <v/>
      </c>
      <c r="X344">
        <f>IF(ABS(W344)&gt;1E-12,((LTP3!$D$6)*((P344)*(Q344)-(R344)*(R344))-(S344)*((U344)*(Q344)-(R344)*(V344))+(T344)*((U344)*(R344)-(P344)*(V344)))/W344,0)</f>
        <v/>
      </c>
      <c r="Y344">
        <f>IF(ABS(W344)&gt;1E-12,((LTP3!$D$5)*((U344)*(Q344)-(R344)*(V344))-(LTP3!$D$6)*((S344)*(Q344)-(R344)*(T344))+(T344)*((S344)*(V344)-(U344)*(T344)))/W344,0)</f>
        <v/>
      </c>
      <c r="Z344">
        <f>IF(ABS(W344)&gt;1E-12,((LTP3!$D$5)*((P344)*(V344)-(U344)*(R344))-(S344)*((S344)*(V344)-(U344)*(T344))+(LTP3!$D$6)*((S344)*(R344)-(P344)*(T344)))/W344,0)</f>
        <v/>
      </c>
      <c r="AA344">
        <f>LTP3!$D$7-X344*LTP3!$D$6-Y344*U344-Z344*V344</f>
        <v/>
      </c>
      <c r="AB344">
        <f>IF(AND(F344,ABS(W344)&gt;1E-12,Y344&gt;0,Z344&gt;0),AA344,1E+300)</f>
        <v/>
      </c>
    </row>
    <row r="345">
      <c r="A345">
        <f>$B$3+$B$5*5</f>
        <v/>
      </c>
      <c r="B345">
        <f>$B$3+$B$5*28</f>
        <v/>
      </c>
      <c r="C345">
        <f>SUMPRODUCT(Calc!$K$3:$K$22*(Calc!$G$3:$G$22&lt;=A345))</f>
        <v/>
      </c>
      <c r="D345">
        <f>SUMPRODUCT(Calc!$K$3:$K$22*(Calc!$G$3:$G$22&gt;A345)*(Calc!$G$3:$G$22&lt;B345))</f>
        <v/>
      </c>
      <c r="E345">
        <f>SUMPRODUCT(Calc!$K$3:$K$22*(Calc!$G$3:$G$22&gt;=B345))</f>
        <v/>
      </c>
      <c r="F345">
        <f>AND(k_n&gt;=5,B345&gt;A345+1E-9,C345&gt;=2,D345&gt;=1,E345&gt;=2)</f>
        <v/>
      </c>
      <c r="G345">
        <f>SUMPRODUCT(Calc!$K$3:$K$22*(Calc!$G$3:$G$22&gt;A345)*(Calc!$G$3:$G$22-A345))</f>
        <v/>
      </c>
      <c r="H345">
        <f>SUMPRODUCT(Calc!$K$3:$K$22*(Calc!$G$3:$G$22&gt;B345)*(Calc!$G$3:$G$22-B345))</f>
        <v/>
      </c>
      <c r="I345">
        <f>SUMPRODUCT(Calc!$K$3:$K$22*(Calc!$G$3:$G$22&gt;A345)*(Calc!$G$3:$G$22-A345)^2)</f>
        <v/>
      </c>
      <c r="J345">
        <f>SUMPRODUCT(Calc!$K$3:$K$22*(Calc!$G$3:$G$22&gt;B345)*(Calc!$G$3:$G$22-B345)^2)</f>
        <v/>
      </c>
      <c r="K345">
        <f>SUMPRODUCT(Calc!$K$3:$K$22*(Calc!$G$3:$G$22&gt;A345)*(Calc!$G$3:$G$22-A345)*(Calc!$G$3:$G$22&gt;B345)*(Calc!$G$3:$G$22-B345))</f>
        <v/>
      </c>
      <c r="L345">
        <f>SUMPRODUCT(Calc!$K$3:$K$22*(Calc!$G$3:$G$22&gt;A345)*(Calc!$G$3:$G$22-A345)*Calc!$G$3:$G$22)</f>
        <v/>
      </c>
      <c r="M345">
        <f>SUMPRODUCT(Calc!$K$3:$K$22*(Calc!$G$3:$G$22&gt;B345)*(Calc!$G$3:$G$22-B345)*Calc!$G$3:$G$22)</f>
        <v/>
      </c>
      <c r="N345">
        <f>SUMPRODUCT(Calc!$K$3:$K$22*(Calc!$G$3:$G$22&gt;A345)*(Calc!$G$3:$G$22-A345)*Calc!$I$3:$I$22)</f>
        <v/>
      </c>
      <c r="O345">
        <f>SUMPRODUCT(Calc!$K$3:$K$22*(Calc!$G$3:$G$22&gt;B345)*(Calc!$G$3:$G$22-B345)*Calc!$I$3:$I$22)</f>
        <v/>
      </c>
      <c r="P345">
        <f>I345-G345^2/k_n</f>
        <v/>
      </c>
      <c r="Q345">
        <f>J345-H345^2/k_n</f>
        <v/>
      </c>
      <c r="R345">
        <f>K345-G345*H345/k_n</f>
        <v/>
      </c>
      <c r="S345">
        <f>L345-LTP3!$D$3*G345/k_n</f>
        <v/>
      </c>
      <c r="T345">
        <f>M345-LTP3!$D$3*H345/k_n</f>
        <v/>
      </c>
      <c r="U345">
        <f>N345-G345*LTP3!$D$4/k_n</f>
        <v/>
      </c>
      <c r="V345">
        <f>O345-H345*LTP3!$D$4/k_n</f>
        <v/>
      </c>
      <c r="W345">
        <f>((LTP3!$D$5)*((P345)*(Q345)-(R345)*(R345))-(S345)*((S345)*(Q345)-(R345)*(T345))+(T345)*((S345)*(R345)-(P345)*(T345)))</f>
        <v/>
      </c>
      <c r="X345">
        <f>IF(ABS(W345)&gt;1E-12,((LTP3!$D$6)*((P345)*(Q345)-(R345)*(R345))-(S345)*((U345)*(Q345)-(R345)*(V345))+(T345)*((U345)*(R345)-(P345)*(V345)))/W345,0)</f>
        <v/>
      </c>
      <c r="Y345">
        <f>IF(ABS(W345)&gt;1E-12,((LTP3!$D$5)*((U345)*(Q345)-(R345)*(V345))-(LTP3!$D$6)*((S345)*(Q345)-(R345)*(T345))+(T345)*((S345)*(V345)-(U345)*(T345)))/W345,0)</f>
        <v/>
      </c>
      <c r="Z345">
        <f>IF(ABS(W345)&gt;1E-12,((LTP3!$D$5)*((P345)*(V345)-(U345)*(R345))-(S345)*((S345)*(V345)-(U345)*(T345))+(LTP3!$D$6)*((S345)*(R345)-(P345)*(T345)))/W345,0)</f>
        <v/>
      </c>
      <c r="AA345">
        <f>LTP3!$D$7-X345*LTP3!$D$6-Y345*U345-Z345*V345</f>
        <v/>
      </c>
      <c r="AB345">
        <f>IF(AND(F345,ABS(W345)&gt;1E-12,Y345&gt;0,Z345&gt;0),AA345,1E+300)</f>
        <v/>
      </c>
    </row>
    <row r="346">
      <c r="A346">
        <f>$B$3+$B$5*5</f>
        <v/>
      </c>
      <c r="B346">
        <f>$B$3+$B$5*29</f>
        <v/>
      </c>
      <c r="C346">
        <f>SUMPRODUCT(Calc!$K$3:$K$22*(Calc!$G$3:$G$22&lt;=A346))</f>
        <v/>
      </c>
      <c r="D346">
        <f>SUMPRODUCT(Calc!$K$3:$K$22*(Calc!$G$3:$G$22&gt;A346)*(Calc!$G$3:$G$22&lt;B346))</f>
        <v/>
      </c>
      <c r="E346">
        <f>SUMPRODUCT(Calc!$K$3:$K$22*(Calc!$G$3:$G$22&gt;=B346))</f>
        <v/>
      </c>
      <c r="F346">
        <f>AND(k_n&gt;=5,B346&gt;A346+1E-9,C346&gt;=2,D346&gt;=1,E346&gt;=2)</f>
        <v/>
      </c>
      <c r="G346">
        <f>SUMPRODUCT(Calc!$K$3:$K$22*(Calc!$G$3:$G$22&gt;A346)*(Calc!$G$3:$G$22-A346))</f>
        <v/>
      </c>
      <c r="H346">
        <f>SUMPRODUCT(Calc!$K$3:$K$22*(Calc!$G$3:$G$22&gt;B346)*(Calc!$G$3:$G$22-B346))</f>
        <v/>
      </c>
      <c r="I346">
        <f>SUMPRODUCT(Calc!$K$3:$K$22*(Calc!$G$3:$G$22&gt;A346)*(Calc!$G$3:$G$22-A346)^2)</f>
        <v/>
      </c>
      <c r="J346">
        <f>SUMPRODUCT(Calc!$K$3:$K$22*(Calc!$G$3:$G$22&gt;B346)*(Calc!$G$3:$G$22-B346)^2)</f>
        <v/>
      </c>
      <c r="K346">
        <f>SUMPRODUCT(Calc!$K$3:$K$22*(Calc!$G$3:$G$22&gt;A346)*(Calc!$G$3:$G$22-A346)*(Calc!$G$3:$G$22&gt;B346)*(Calc!$G$3:$G$22-B346))</f>
        <v/>
      </c>
      <c r="L346">
        <f>SUMPRODUCT(Calc!$K$3:$K$22*(Calc!$G$3:$G$22&gt;A346)*(Calc!$G$3:$G$22-A346)*Calc!$G$3:$G$22)</f>
        <v/>
      </c>
      <c r="M346">
        <f>SUMPRODUCT(Calc!$K$3:$K$22*(Calc!$G$3:$G$22&gt;B346)*(Calc!$G$3:$G$22-B346)*Calc!$G$3:$G$22)</f>
        <v/>
      </c>
      <c r="N346">
        <f>SUMPRODUCT(Calc!$K$3:$K$22*(Calc!$G$3:$G$22&gt;A346)*(Calc!$G$3:$G$22-A346)*Calc!$I$3:$I$22)</f>
        <v/>
      </c>
      <c r="O346">
        <f>SUMPRODUCT(Calc!$K$3:$K$22*(Calc!$G$3:$G$22&gt;B346)*(Calc!$G$3:$G$22-B346)*Calc!$I$3:$I$22)</f>
        <v/>
      </c>
      <c r="P346">
        <f>I346-G346^2/k_n</f>
        <v/>
      </c>
      <c r="Q346">
        <f>J346-H346^2/k_n</f>
        <v/>
      </c>
      <c r="R346">
        <f>K346-G346*H346/k_n</f>
        <v/>
      </c>
      <c r="S346">
        <f>L346-LTP3!$D$3*G346/k_n</f>
        <v/>
      </c>
      <c r="T346">
        <f>M346-LTP3!$D$3*H346/k_n</f>
        <v/>
      </c>
      <c r="U346">
        <f>N346-G346*LTP3!$D$4/k_n</f>
        <v/>
      </c>
      <c r="V346">
        <f>O346-H346*LTP3!$D$4/k_n</f>
        <v/>
      </c>
      <c r="W346">
        <f>((LTP3!$D$5)*((P346)*(Q346)-(R346)*(R346))-(S346)*((S346)*(Q346)-(R346)*(T346))+(T346)*((S346)*(R346)-(P346)*(T346)))</f>
        <v/>
      </c>
      <c r="X346">
        <f>IF(ABS(W346)&gt;1E-12,((LTP3!$D$6)*((P346)*(Q346)-(R346)*(R346))-(S346)*((U346)*(Q346)-(R346)*(V346))+(T346)*((U346)*(R346)-(P346)*(V346)))/W346,0)</f>
        <v/>
      </c>
      <c r="Y346">
        <f>IF(ABS(W346)&gt;1E-12,((LTP3!$D$5)*((U346)*(Q346)-(R346)*(V346))-(LTP3!$D$6)*((S346)*(Q346)-(R346)*(T346))+(T346)*((S346)*(V346)-(U346)*(T346)))/W346,0)</f>
        <v/>
      </c>
      <c r="Z346">
        <f>IF(ABS(W346)&gt;1E-12,((LTP3!$D$5)*((P346)*(V346)-(U346)*(R346))-(S346)*((S346)*(V346)-(U346)*(T346))+(LTP3!$D$6)*((S346)*(R346)-(P346)*(T346)))/W346,0)</f>
        <v/>
      </c>
      <c r="AA346">
        <f>LTP3!$D$7-X346*LTP3!$D$6-Y346*U346-Z346*V346</f>
        <v/>
      </c>
      <c r="AB346">
        <f>IF(AND(F346,ABS(W346)&gt;1E-12,Y346&gt;0,Z346&gt;0),AA346,1E+300)</f>
        <v/>
      </c>
    </row>
    <row r="347">
      <c r="A347">
        <f>$B$3+$B$5*5</f>
        <v/>
      </c>
      <c r="B347">
        <f>$B$3+$B$5*30</f>
        <v/>
      </c>
      <c r="C347">
        <f>SUMPRODUCT(Calc!$K$3:$K$22*(Calc!$G$3:$G$22&lt;=A347))</f>
        <v/>
      </c>
      <c r="D347">
        <f>SUMPRODUCT(Calc!$K$3:$K$22*(Calc!$G$3:$G$22&gt;A347)*(Calc!$G$3:$G$22&lt;B347))</f>
        <v/>
      </c>
      <c r="E347">
        <f>SUMPRODUCT(Calc!$K$3:$K$22*(Calc!$G$3:$G$22&gt;=B347))</f>
        <v/>
      </c>
      <c r="F347">
        <f>AND(k_n&gt;=5,B347&gt;A347+1E-9,C347&gt;=2,D347&gt;=1,E347&gt;=2)</f>
        <v/>
      </c>
      <c r="G347">
        <f>SUMPRODUCT(Calc!$K$3:$K$22*(Calc!$G$3:$G$22&gt;A347)*(Calc!$G$3:$G$22-A347))</f>
        <v/>
      </c>
      <c r="H347">
        <f>SUMPRODUCT(Calc!$K$3:$K$22*(Calc!$G$3:$G$22&gt;B347)*(Calc!$G$3:$G$22-B347))</f>
        <v/>
      </c>
      <c r="I347">
        <f>SUMPRODUCT(Calc!$K$3:$K$22*(Calc!$G$3:$G$22&gt;A347)*(Calc!$G$3:$G$22-A347)^2)</f>
        <v/>
      </c>
      <c r="J347">
        <f>SUMPRODUCT(Calc!$K$3:$K$22*(Calc!$G$3:$G$22&gt;B347)*(Calc!$G$3:$G$22-B347)^2)</f>
        <v/>
      </c>
      <c r="K347">
        <f>SUMPRODUCT(Calc!$K$3:$K$22*(Calc!$G$3:$G$22&gt;A347)*(Calc!$G$3:$G$22-A347)*(Calc!$G$3:$G$22&gt;B347)*(Calc!$G$3:$G$22-B347))</f>
        <v/>
      </c>
      <c r="L347">
        <f>SUMPRODUCT(Calc!$K$3:$K$22*(Calc!$G$3:$G$22&gt;A347)*(Calc!$G$3:$G$22-A347)*Calc!$G$3:$G$22)</f>
        <v/>
      </c>
      <c r="M347">
        <f>SUMPRODUCT(Calc!$K$3:$K$22*(Calc!$G$3:$G$22&gt;B347)*(Calc!$G$3:$G$22-B347)*Calc!$G$3:$G$22)</f>
        <v/>
      </c>
      <c r="N347">
        <f>SUMPRODUCT(Calc!$K$3:$K$22*(Calc!$G$3:$G$22&gt;A347)*(Calc!$G$3:$G$22-A347)*Calc!$I$3:$I$22)</f>
        <v/>
      </c>
      <c r="O347">
        <f>SUMPRODUCT(Calc!$K$3:$K$22*(Calc!$G$3:$G$22&gt;B347)*(Calc!$G$3:$G$22-B347)*Calc!$I$3:$I$22)</f>
        <v/>
      </c>
      <c r="P347">
        <f>I347-G347^2/k_n</f>
        <v/>
      </c>
      <c r="Q347">
        <f>J347-H347^2/k_n</f>
        <v/>
      </c>
      <c r="R347">
        <f>K347-G347*H347/k_n</f>
        <v/>
      </c>
      <c r="S347">
        <f>L347-LTP3!$D$3*G347/k_n</f>
        <v/>
      </c>
      <c r="T347">
        <f>M347-LTP3!$D$3*H347/k_n</f>
        <v/>
      </c>
      <c r="U347">
        <f>N347-G347*LTP3!$D$4/k_n</f>
        <v/>
      </c>
      <c r="V347">
        <f>O347-H347*LTP3!$D$4/k_n</f>
        <v/>
      </c>
      <c r="W347">
        <f>((LTP3!$D$5)*((P347)*(Q347)-(R347)*(R347))-(S347)*((S347)*(Q347)-(R347)*(T347))+(T347)*((S347)*(R347)-(P347)*(T347)))</f>
        <v/>
      </c>
      <c r="X347">
        <f>IF(ABS(W347)&gt;1E-12,((LTP3!$D$6)*((P347)*(Q347)-(R347)*(R347))-(S347)*((U347)*(Q347)-(R347)*(V347))+(T347)*((U347)*(R347)-(P347)*(V347)))/W347,0)</f>
        <v/>
      </c>
      <c r="Y347">
        <f>IF(ABS(W347)&gt;1E-12,((LTP3!$D$5)*((U347)*(Q347)-(R347)*(V347))-(LTP3!$D$6)*((S347)*(Q347)-(R347)*(T347))+(T347)*((S347)*(V347)-(U347)*(T347)))/W347,0)</f>
        <v/>
      </c>
      <c r="Z347">
        <f>IF(ABS(W347)&gt;1E-12,((LTP3!$D$5)*((P347)*(V347)-(U347)*(R347))-(S347)*((S347)*(V347)-(U347)*(T347))+(LTP3!$D$6)*((S347)*(R347)-(P347)*(T347)))/W347,0)</f>
        <v/>
      </c>
      <c r="AA347">
        <f>LTP3!$D$7-X347*LTP3!$D$6-Y347*U347-Z347*V347</f>
        <v/>
      </c>
      <c r="AB347">
        <f>IF(AND(F347,ABS(W347)&gt;1E-12,Y347&gt;0,Z347&gt;0),AA347,1E+300)</f>
        <v/>
      </c>
    </row>
    <row r="348">
      <c r="A348">
        <f>$B$3+$B$5*5</f>
        <v/>
      </c>
      <c r="B348">
        <f>$B$3+$B$5*31</f>
        <v/>
      </c>
      <c r="C348">
        <f>SUMPRODUCT(Calc!$K$3:$K$22*(Calc!$G$3:$G$22&lt;=A348))</f>
        <v/>
      </c>
      <c r="D348">
        <f>SUMPRODUCT(Calc!$K$3:$K$22*(Calc!$G$3:$G$22&gt;A348)*(Calc!$G$3:$G$22&lt;B348))</f>
        <v/>
      </c>
      <c r="E348">
        <f>SUMPRODUCT(Calc!$K$3:$K$22*(Calc!$G$3:$G$22&gt;=B348))</f>
        <v/>
      </c>
      <c r="F348">
        <f>AND(k_n&gt;=5,B348&gt;A348+1E-9,C348&gt;=2,D348&gt;=1,E348&gt;=2)</f>
        <v/>
      </c>
      <c r="G348">
        <f>SUMPRODUCT(Calc!$K$3:$K$22*(Calc!$G$3:$G$22&gt;A348)*(Calc!$G$3:$G$22-A348))</f>
        <v/>
      </c>
      <c r="H348">
        <f>SUMPRODUCT(Calc!$K$3:$K$22*(Calc!$G$3:$G$22&gt;B348)*(Calc!$G$3:$G$22-B348))</f>
        <v/>
      </c>
      <c r="I348">
        <f>SUMPRODUCT(Calc!$K$3:$K$22*(Calc!$G$3:$G$22&gt;A348)*(Calc!$G$3:$G$22-A348)^2)</f>
        <v/>
      </c>
      <c r="J348">
        <f>SUMPRODUCT(Calc!$K$3:$K$22*(Calc!$G$3:$G$22&gt;B348)*(Calc!$G$3:$G$22-B348)^2)</f>
        <v/>
      </c>
      <c r="K348">
        <f>SUMPRODUCT(Calc!$K$3:$K$22*(Calc!$G$3:$G$22&gt;A348)*(Calc!$G$3:$G$22-A348)*(Calc!$G$3:$G$22&gt;B348)*(Calc!$G$3:$G$22-B348))</f>
        <v/>
      </c>
      <c r="L348">
        <f>SUMPRODUCT(Calc!$K$3:$K$22*(Calc!$G$3:$G$22&gt;A348)*(Calc!$G$3:$G$22-A348)*Calc!$G$3:$G$22)</f>
        <v/>
      </c>
      <c r="M348">
        <f>SUMPRODUCT(Calc!$K$3:$K$22*(Calc!$G$3:$G$22&gt;B348)*(Calc!$G$3:$G$22-B348)*Calc!$G$3:$G$22)</f>
        <v/>
      </c>
      <c r="N348">
        <f>SUMPRODUCT(Calc!$K$3:$K$22*(Calc!$G$3:$G$22&gt;A348)*(Calc!$G$3:$G$22-A348)*Calc!$I$3:$I$22)</f>
        <v/>
      </c>
      <c r="O348">
        <f>SUMPRODUCT(Calc!$K$3:$K$22*(Calc!$G$3:$G$22&gt;B348)*(Calc!$G$3:$G$22-B348)*Calc!$I$3:$I$22)</f>
        <v/>
      </c>
      <c r="P348">
        <f>I348-G348^2/k_n</f>
        <v/>
      </c>
      <c r="Q348">
        <f>J348-H348^2/k_n</f>
        <v/>
      </c>
      <c r="R348">
        <f>K348-G348*H348/k_n</f>
        <v/>
      </c>
      <c r="S348">
        <f>L348-LTP3!$D$3*G348/k_n</f>
        <v/>
      </c>
      <c r="T348">
        <f>M348-LTP3!$D$3*H348/k_n</f>
        <v/>
      </c>
      <c r="U348">
        <f>N348-G348*LTP3!$D$4/k_n</f>
        <v/>
      </c>
      <c r="V348">
        <f>O348-H348*LTP3!$D$4/k_n</f>
        <v/>
      </c>
      <c r="W348">
        <f>((LTP3!$D$5)*((P348)*(Q348)-(R348)*(R348))-(S348)*((S348)*(Q348)-(R348)*(T348))+(T348)*((S348)*(R348)-(P348)*(T348)))</f>
        <v/>
      </c>
      <c r="X348">
        <f>IF(ABS(W348)&gt;1E-12,((LTP3!$D$6)*((P348)*(Q348)-(R348)*(R348))-(S348)*((U348)*(Q348)-(R348)*(V348))+(T348)*((U348)*(R348)-(P348)*(V348)))/W348,0)</f>
        <v/>
      </c>
      <c r="Y348">
        <f>IF(ABS(W348)&gt;1E-12,((LTP3!$D$5)*((U348)*(Q348)-(R348)*(V348))-(LTP3!$D$6)*((S348)*(Q348)-(R348)*(T348))+(T348)*((S348)*(V348)-(U348)*(T348)))/W348,0)</f>
        <v/>
      </c>
      <c r="Z348">
        <f>IF(ABS(W348)&gt;1E-12,((LTP3!$D$5)*((P348)*(V348)-(U348)*(R348))-(S348)*((S348)*(V348)-(U348)*(T348))+(LTP3!$D$6)*((S348)*(R348)-(P348)*(T348)))/W348,0)</f>
        <v/>
      </c>
      <c r="AA348">
        <f>LTP3!$D$7-X348*LTP3!$D$6-Y348*U348-Z348*V348</f>
        <v/>
      </c>
      <c r="AB348">
        <f>IF(AND(F348,ABS(W348)&gt;1E-12,Y348&gt;0,Z348&gt;0),AA348,1E+300)</f>
        <v/>
      </c>
    </row>
    <row r="349">
      <c r="A349">
        <f>$B$3+$B$5*5</f>
        <v/>
      </c>
      <c r="B349">
        <f>$B$3+$B$5*32</f>
        <v/>
      </c>
      <c r="C349">
        <f>SUMPRODUCT(Calc!$K$3:$K$22*(Calc!$G$3:$G$22&lt;=A349))</f>
        <v/>
      </c>
      <c r="D349">
        <f>SUMPRODUCT(Calc!$K$3:$K$22*(Calc!$G$3:$G$22&gt;A349)*(Calc!$G$3:$G$22&lt;B349))</f>
        <v/>
      </c>
      <c r="E349">
        <f>SUMPRODUCT(Calc!$K$3:$K$22*(Calc!$G$3:$G$22&gt;=B349))</f>
        <v/>
      </c>
      <c r="F349">
        <f>AND(k_n&gt;=5,B349&gt;A349+1E-9,C349&gt;=2,D349&gt;=1,E349&gt;=2)</f>
        <v/>
      </c>
      <c r="G349">
        <f>SUMPRODUCT(Calc!$K$3:$K$22*(Calc!$G$3:$G$22&gt;A349)*(Calc!$G$3:$G$22-A349))</f>
        <v/>
      </c>
      <c r="H349">
        <f>SUMPRODUCT(Calc!$K$3:$K$22*(Calc!$G$3:$G$22&gt;B349)*(Calc!$G$3:$G$22-B349))</f>
        <v/>
      </c>
      <c r="I349">
        <f>SUMPRODUCT(Calc!$K$3:$K$22*(Calc!$G$3:$G$22&gt;A349)*(Calc!$G$3:$G$22-A349)^2)</f>
        <v/>
      </c>
      <c r="J349">
        <f>SUMPRODUCT(Calc!$K$3:$K$22*(Calc!$G$3:$G$22&gt;B349)*(Calc!$G$3:$G$22-B349)^2)</f>
        <v/>
      </c>
      <c r="K349">
        <f>SUMPRODUCT(Calc!$K$3:$K$22*(Calc!$G$3:$G$22&gt;A349)*(Calc!$G$3:$G$22-A349)*(Calc!$G$3:$G$22&gt;B349)*(Calc!$G$3:$G$22-B349))</f>
        <v/>
      </c>
      <c r="L349">
        <f>SUMPRODUCT(Calc!$K$3:$K$22*(Calc!$G$3:$G$22&gt;A349)*(Calc!$G$3:$G$22-A349)*Calc!$G$3:$G$22)</f>
        <v/>
      </c>
      <c r="M349">
        <f>SUMPRODUCT(Calc!$K$3:$K$22*(Calc!$G$3:$G$22&gt;B349)*(Calc!$G$3:$G$22-B349)*Calc!$G$3:$G$22)</f>
        <v/>
      </c>
      <c r="N349">
        <f>SUMPRODUCT(Calc!$K$3:$K$22*(Calc!$G$3:$G$22&gt;A349)*(Calc!$G$3:$G$22-A349)*Calc!$I$3:$I$22)</f>
        <v/>
      </c>
      <c r="O349">
        <f>SUMPRODUCT(Calc!$K$3:$K$22*(Calc!$G$3:$G$22&gt;B349)*(Calc!$G$3:$G$22-B349)*Calc!$I$3:$I$22)</f>
        <v/>
      </c>
      <c r="P349">
        <f>I349-G349^2/k_n</f>
        <v/>
      </c>
      <c r="Q349">
        <f>J349-H349^2/k_n</f>
        <v/>
      </c>
      <c r="R349">
        <f>K349-G349*H349/k_n</f>
        <v/>
      </c>
      <c r="S349">
        <f>L349-LTP3!$D$3*G349/k_n</f>
        <v/>
      </c>
      <c r="T349">
        <f>M349-LTP3!$D$3*H349/k_n</f>
        <v/>
      </c>
      <c r="U349">
        <f>N349-G349*LTP3!$D$4/k_n</f>
        <v/>
      </c>
      <c r="V349">
        <f>O349-H349*LTP3!$D$4/k_n</f>
        <v/>
      </c>
      <c r="W349">
        <f>((LTP3!$D$5)*((P349)*(Q349)-(R349)*(R349))-(S349)*((S349)*(Q349)-(R349)*(T349))+(T349)*((S349)*(R349)-(P349)*(T349)))</f>
        <v/>
      </c>
      <c r="X349">
        <f>IF(ABS(W349)&gt;1E-12,((LTP3!$D$6)*((P349)*(Q349)-(R349)*(R349))-(S349)*((U349)*(Q349)-(R349)*(V349))+(T349)*((U349)*(R349)-(P349)*(V349)))/W349,0)</f>
        <v/>
      </c>
      <c r="Y349">
        <f>IF(ABS(W349)&gt;1E-12,((LTP3!$D$5)*((U349)*(Q349)-(R349)*(V349))-(LTP3!$D$6)*((S349)*(Q349)-(R349)*(T349))+(T349)*((S349)*(V349)-(U349)*(T349)))/W349,0)</f>
        <v/>
      </c>
      <c r="Z349">
        <f>IF(ABS(W349)&gt;1E-12,((LTP3!$D$5)*((P349)*(V349)-(U349)*(R349))-(S349)*((S349)*(V349)-(U349)*(T349))+(LTP3!$D$6)*((S349)*(R349)-(P349)*(T349)))/W349,0)</f>
        <v/>
      </c>
      <c r="AA349">
        <f>LTP3!$D$7-X349*LTP3!$D$6-Y349*U349-Z349*V349</f>
        <v/>
      </c>
      <c r="AB349">
        <f>IF(AND(F349,ABS(W349)&gt;1E-12,Y349&gt;0,Z349&gt;0),AA349,1E+300)</f>
        <v/>
      </c>
    </row>
    <row r="350">
      <c r="A350">
        <f>$B$3+$B$5*5</f>
        <v/>
      </c>
      <c r="B350">
        <f>$B$3+$B$5*33</f>
        <v/>
      </c>
      <c r="C350">
        <f>SUMPRODUCT(Calc!$K$3:$K$22*(Calc!$G$3:$G$22&lt;=A350))</f>
        <v/>
      </c>
      <c r="D350">
        <f>SUMPRODUCT(Calc!$K$3:$K$22*(Calc!$G$3:$G$22&gt;A350)*(Calc!$G$3:$G$22&lt;B350))</f>
        <v/>
      </c>
      <c r="E350">
        <f>SUMPRODUCT(Calc!$K$3:$K$22*(Calc!$G$3:$G$22&gt;=B350))</f>
        <v/>
      </c>
      <c r="F350">
        <f>AND(k_n&gt;=5,B350&gt;A350+1E-9,C350&gt;=2,D350&gt;=1,E350&gt;=2)</f>
        <v/>
      </c>
      <c r="G350">
        <f>SUMPRODUCT(Calc!$K$3:$K$22*(Calc!$G$3:$G$22&gt;A350)*(Calc!$G$3:$G$22-A350))</f>
        <v/>
      </c>
      <c r="H350">
        <f>SUMPRODUCT(Calc!$K$3:$K$22*(Calc!$G$3:$G$22&gt;B350)*(Calc!$G$3:$G$22-B350))</f>
        <v/>
      </c>
      <c r="I350">
        <f>SUMPRODUCT(Calc!$K$3:$K$22*(Calc!$G$3:$G$22&gt;A350)*(Calc!$G$3:$G$22-A350)^2)</f>
        <v/>
      </c>
      <c r="J350">
        <f>SUMPRODUCT(Calc!$K$3:$K$22*(Calc!$G$3:$G$22&gt;B350)*(Calc!$G$3:$G$22-B350)^2)</f>
        <v/>
      </c>
      <c r="K350">
        <f>SUMPRODUCT(Calc!$K$3:$K$22*(Calc!$G$3:$G$22&gt;A350)*(Calc!$G$3:$G$22-A350)*(Calc!$G$3:$G$22&gt;B350)*(Calc!$G$3:$G$22-B350))</f>
        <v/>
      </c>
      <c r="L350">
        <f>SUMPRODUCT(Calc!$K$3:$K$22*(Calc!$G$3:$G$22&gt;A350)*(Calc!$G$3:$G$22-A350)*Calc!$G$3:$G$22)</f>
        <v/>
      </c>
      <c r="M350">
        <f>SUMPRODUCT(Calc!$K$3:$K$22*(Calc!$G$3:$G$22&gt;B350)*(Calc!$G$3:$G$22-B350)*Calc!$G$3:$G$22)</f>
        <v/>
      </c>
      <c r="N350">
        <f>SUMPRODUCT(Calc!$K$3:$K$22*(Calc!$G$3:$G$22&gt;A350)*(Calc!$G$3:$G$22-A350)*Calc!$I$3:$I$22)</f>
        <v/>
      </c>
      <c r="O350">
        <f>SUMPRODUCT(Calc!$K$3:$K$22*(Calc!$G$3:$G$22&gt;B350)*(Calc!$G$3:$G$22-B350)*Calc!$I$3:$I$22)</f>
        <v/>
      </c>
      <c r="P350">
        <f>I350-G350^2/k_n</f>
        <v/>
      </c>
      <c r="Q350">
        <f>J350-H350^2/k_n</f>
        <v/>
      </c>
      <c r="R350">
        <f>K350-G350*H350/k_n</f>
        <v/>
      </c>
      <c r="S350">
        <f>L350-LTP3!$D$3*G350/k_n</f>
        <v/>
      </c>
      <c r="T350">
        <f>M350-LTP3!$D$3*H350/k_n</f>
        <v/>
      </c>
      <c r="U350">
        <f>N350-G350*LTP3!$D$4/k_n</f>
        <v/>
      </c>
      <c r="V350">
        <f>O350-H350*LTP3!$D$4/k_n</f>
        <v/>
      </c>
      <c r="W350">
        <f>((LTP3!$D$5)*((P350)*(Q350)-(R350)*(R350))-(S350)*((S350)*(Q350)-(R350)*(T350))+(T350)*((S350)*(R350)-(P350)*(T350)))</f>
        <v/>
      </c>
      <c r="X350">
        <f>IF(ABS(W350)&gt;1E-12,((LTP3!$D$6)*((P350)*(Q350)-(R350)*(R350))-(S350)*((U350)*(Q350)-(R350)*(V350))+(T350)*((U350)*(R350)-(P350)*(V350)))/W350,0)</f>
        <v/>
      </c>
      <c r="Y350">
        <f>IF(ABS(W350)&gt;1E-12,((LTP3!$D$5)*((U350)*(Q350)-(R350)*(V350))-(LTP3!$D$6)*((S350)*(Q350)-(R350)*(T350))+(T350)*((S350)*(V350)-(U350)*(T350)))/W350,0)</f>
        <v/>
      </c>
      <c r="Z350">
        <f>IF(ABS(W350)&gt;1E-12,((LTP3!$D$5)*((P350)*(V350)-(U350)*(R350))-(S350)*((S350)*(V350)-(U350)*(T350))+(LTP3!$D$6)*((S350)*(R350)-(P350)*(T350)))/W350,0)</f>
        <v/>
      </c>
      <c r="AA350">
        <f>LTP3!$D$7-X350*LTP3!$D$6-Y350*U350-Z350*V350</f>
        <v/>
      </c>
      <c r="AB350">
        <f>IF(AND(F350,ABS(W350)&gt;1E-12,Y350&gt;0,Z350&gt;0),AA350,1E+300)</f>
        <v/>
      </c>
    </row>
    <row r="351">
      <c r="A351">
        <f>$B$3+$B$5*5</f>
        <v/>
      </c>
      <c r="B351">
        <f>$B$3+$B$5*34</f>
        <v/>
      </c>
      <c r="C351">
        <f>SUMPRODUCT(Calc!$K$3:$K$22*(Calc!$G$3:$G$22&lt;=A351))</f>
        <v/>
      </c>
      <c r="D351">
        <f>SUMPRODUCT(Calc!$K$3:$K$22*(Calc!$G$3:$G$22&gt;A351)*(Calc!$G$3:$G$22&lt;B351))</f>
        <v/>
      </c>
      <c r="E351">
        <f>SUMPRODUCT(Calc!$K$3:$K$22*(Calc!$G$3:$G$22&gt;=B351))</f>
        <v/>
      </c>
      <c r="F351">
        <f>AND(k_n&gt;=5,B351&gt;A351+1E-9,C351&gt;=2,D351&gt;=1,E351&gt;=2)</f>
        <v/>
      </c>
      <c r="G351">
        <f>SUMPRODUCT(Calc!$K$3:$K$22*(Calc!$G$3:$G$22&gt;A351)*(Calc!$G$3:$G$22-A351))</f>
        <v/>
      </c>
      <c r="H351">
        <f>SUMPRODUCT(Calc!$K$3:$K$22*(Calc!$G$3:$G$22&gt;B351)*(Calc!$G$3:$G$22-B351))</f>
        <v/>
      </c>
      <c r="I351">
        <f>SUMPRODUCT(Calc!$K$3:$K$22*(Calc!$G$3:$G$22&gt;A351)*(Calc!$G$3:$G$22-A351)^2)</f>
        <v/>
      </c>
      <c r="J351">
        <f>SUMPRODUCT(Calc!$K$3:$K$22*(Calc!$G$3:$G$22&gt;B351)*(Calc!$G$3:$G$22-B351)^2)</f>
        <v/>
      </c>
      <c r="K351">
        <f>SUMPRODUCT(Calc!$K$3:$K$22*(Calc!$G$3:$G$22&gt;A351)*(Calc!$G$3:$G$22-A351)*(Calc!$G$3:$G$22&gt;B351)*(Calc!$G$3:$G$22-B351))</f>
        <v/>
      </c>
      <c r="L351">
        <f>SUMPRODUCT(Calc!$K$3:$K$22*(Calc!$G$3:$G$22&gt;A351)*(Calc!$G$3:$G$22-A351)*Calc!$G$3:$G$22)</f>
        <v/>
      </c>
      <c r="M351">
        <f>SUMPRODUCT(Calc!$K$3:$K$22*(Calc!$G$3:$G$22&gt;B351)*(Calc!$G$3:$G$22-B351)*Calc!$G$3:$G$22)</f>
        <v/>
      </c>
      <c r="N351">
        <f>SUMPRODUCT(Calc!$K$3:$K$22*(Calc!$G$3:$G$22&gt;A351)*(Calc!$G$3:$G$22-A351)*Calc!$I$3:$I$22)</f>
        <v/>
      </c>
      <c r="O351">
        <f>SUMPRODUCT(Calc!$K$3:$K$22*(Calc!$G$3:$G$22&gt;B351)*(Calc!$G$3:$G$22-B351)*Calc!$I$3:$I$22)</f>
        <v/>
      </c>
      <c r="P351">
        <f>I351-G351^2/k_n</f>
        <v/>
      </c>
      <c r="Q351">
        <f>J351-H351^2/k_n</f>
        <v/>
      </c>
      <c r="R351">
        <f>K351-G351*H351/k_n</f>
        <v/>
      </c>
      <c r="S351">
        <f>L351-LTP3!$D$3*G351/k_n</f>
        <v/>
      </c>
      <c r="T351">
        <f>M351-LTP3!$D$3*H351/k_n</f>
        <v/>
      </c>
      <c r="U351">
        <f>N351-G351*LTP3!$D$4/k_n</f>
        <v/>
      </c>
      <c r="V351">
        <f>O351-H351*LTP3!$D$4/k_n</f>
        <v/>
      </c>
      <c r="W351">
        <f>((LTP3!$D$5)*((P351)*(Q351)-(R351)*(R351))-(S351)*((S351)*(Q351)-(R351)*(T351))+(T351)*((S351)*(R351)-(P351)*(T351)))</f>
        <v/>
      </c>
      <c r="X351">
        <f>IF(ABS(W351)&gt;1E-12,((LTP3!$D$6)*((P351)*(Q351)-(R351)*(R351))-(S351)*((U351)*(Q351)-(R351)*(V351))+(T351)*((U351)*(R351)-(P351)*(V351)))/W351,0)</f>
        <v/>
      </c>
      <c r="Y351">
        <f>IF(ABS(W351)&gt;1E-12,((LTP3!$D$5)*((U351)*(Q351)-(R351)*(V351))-(LTP3!$D$6)*((S351)*(Q351)-(R351)*(T351))+(T351)*((S351)*(V351)-(U351)*(T351)))/W351,0)</f>
        <v/>
      </c>
      <c r="Z351">
        <f>IF(ABS(W351)&gt;1E-12,((LTP3!$D$5)*((P351)*(V351)-(U351)*(R351))-(S351)*((S351)*(V351)-(U351)*(T351))+(LTP3!$D$6)*((S351)*(R351)-(P351)*(T351)))/W351,0)</f>
        <v/>
      </c>
      <c r="AA351">
        <f>LTP3!$D$7-X351*LTP3!$D$6-Y351*U351-Z351*V351</f>
        <v/>
      </c>
      <c r="AB351">
        <f>IF(AND(F351,ABS(W351)&gt;1E-12,Y351&gt;0,Z351&gt;0),AA351,1E+300)</f>
        <v/>
      </c>
    </row>
    <row r="352">
      <c r="A352">
        <f>$B$3+$B$5*5</f>
        <v/>
      </c>
      <c r="B352">
        <f>$B$3+$B$5*35</f>
        <v/>
      </c>
      <c r="C352">
        <f>SUMPRODUCT(Calc!$K$3:$K$22*(Calc!$G$3:$G$22&lt;=A352))</f>
        <v/>
      </c>
      <c r="D352">
        <f>SUMPRODUCT(Calc!$K$3:$K$22*(Calc!$G$3:$G$22&gt;A352)*(Calc!$G$3:$G$22&lt;B352))</f>
        <v/>
      </c>
      <c r="E352">
        <f>SUMPRODUCT(Calc!$K$3:$K$22*(Calc!$G$3:$G$22&gt;=B352))</f>
        <v/>
      </c>
      <c r="F352">
        <f>AND(k_n&gt;=5,B352&gt;A352+1E-9,C352&gt;=2,D352&gt;=1,E352&gt;=2)</f>
        <v/>
      </c>
      <c r="G352">
        <f>SUMPRODUCT(Calc!$K$3:$K$22*(Calc!$G$3:$G$22&gt;A352)*(Calc!$G$3:$G$22-A352))</f>
        <v/>
      </c>
      <c r="H352">
        <f>SUMPRODUCT(Calc!$K$3:$K$22*(Calc!$G$3:$G$22&gt;B352)*(Calc!$G$3:$G$22-B352))</f>
        <v/>
      </c>
      <c r="I352">
        <f>SUMPRODUCT(Calc!$K$3:$K$22*(Calc!$G$3:$G$22&gt;A352)*(Calc!$G$3:$G$22-A352)^2)</f>
        <v/>
      </c>
      <c r="J352">
        <f>SUMPRODUCT(Calc!$K$3:$K$22*(Calc!$G$3:$G$22&gt;B352)*(Calc!$G$3:$G$22-B352)^2)</f>
        <v/>
      </c>
      <c r="K352">
        <f>SUMPRODUCT(Calc!$K$3:$K$22*(Calc!$G$3:$G$22&gt;A352)*(Calc!$G$3:$G$22-A352)*(Calc!$G$3:$G$22&gt;B352)*(Calc!$G$3:$G$22-B352))</f>
        <v/>
      </c>
      <c r="L352">
        <f>SUMPRODUCT(Calc!$K$3:$K$22*(Calc!$G$3:$G$22&gt;A352)*(Calc!$G$3:$G$22-A352)*Calc!$G$3:$G$22)</f>
        <v/>
      </c>
      <c r="M352">
        <f>SUMPRODUCT(Calc!$K$3:$K$22*(Calc!$G$3:$G$22&gt;B352)*(Calc!$G$3:$G$22-B352)*Calc!$G$3:$G$22)</f>
        <v/>
      </c>
      <c r="N352">
        <f>SUMPRODUCT(Calc!$K$3:$K$22*(Calc!$G$3:$G$22&gt;A352)*(Calc!$G$3:$G$22-A352)*Calc!$I$3:$I$22)</f>
        <v/>
      </c>
      <c r="O352">
        <f>SUMPRODUCT(Calc!$K$3:$K$22*(Calc!$G$3:$G$22&gt;B352)*(Calc!$G$3:$G$22-B352)*Calc!$I$3:$I$22)</f>
        <v/>
      </c>
      <c r="P352">
        <f>I352-G352^2/k_n</f>
        <v/>
      </c>
      <c r="Q352">
        <f>J352-H352^2/k_n</f>
        <v/>
      </c>
      <c r="R352">
        <f>K352-G352*H352/k_n</f>
        <v/>
      </c>
      <c r="S352">
        <f>L352-LTP3!$D$3*G352/k_n</f>
        <v/>
      </c>
      <c r="T352">
        <f>M352-LTP3!$D$3*H352/k_n</f>
        <v/>
      </c>
      <c r="U352">
        <f>N352-G352*LTP3!$D$4/k_n</f>
        <v/>
      </c>
      <c r="V352">
        <f>O352-H352*LTP3!$D$4/k_n</f>
        <v/>
      </c>
      <c r="W352">
        <f>((LTP3!$D$5)*((P352)*(Q352)-(R352)*(R352))-(S352)*((S352)*(Q352)-(R352)*(T352))+(T352)*((S352)*(R352)-(P352)*(T352)))</f>
        <v/>
      </c>
      <c r="X352">
        <f>IF(ABS(W352)&gt;1E-12,((LTP3!$D$6)*((P352)*(Q352)-(R352)*(R352))-(S352)*((U352)*(Q352)-(R352)*(V352))+(T352)*((U352)*(R352)-(P352)*(V352)))/W352,0)</f>
        <v/>
      </c>
      <c r="Y352">
        <f>IF(ABS(W352)&gt;1E-12,((LTP3!$D$5)*((U352)*(Q352)-(R352)*(V352))-(LTP3!$D$6)*((S352)*(Q352)-(R352)*(T352))+(T352)*((S352)*(V352)-(U352)*(T352)))/W352,0)</f>
        <v/>
      </c>
      <c r="Z352">
        <f>IF(ABS(W352)&gt;1E-12,((LTP3!$D$5)*((P352)*(V352)-(U352)*(R352))-(S352)*((S352)*(V352)-(U352)*(T352))+(LTP3!$D$6)*((S352)*(R352)-(P352)*(T352)))/W352,0)</f>
        <v/>
      </c>
      <c r="AA352">
        <f>LTP3!$D$7-X352*LTP3!$D$6-Y352*U352-Z352*V352</f>
        <v/>
      </c>
      <c r="AB352">
        <f>IF(AND(F352,ABS(W352)&gt;1E-12,Y352&gt;0,Z352&gt;0),AA352,1E+300)</f>
        <v/>
      </c>
    </row>
    <row r="353">
      <c r="A353">
        <f>$B$3+$B$5*5</f>
        <v/>
      </c>
      <c r="B353">
        <f>$B$3+$B$5*36</f>
        <v/>
      </c>
      <c r="C353">
        <f>SUMPRODUCT(Calc!$K$3:$K$22*(Calc!$G$3:$G$22&lt;=A353))</f>
        <v/>
      </c>
      <c r="D353">
        <f>SUMPRODUCT(Calc!$K$3:$K$22*(Calc!$G$3:$G$22&gt;A353)*(Calc!$G$3:$G$22&lt;B353))</f>
        <v/>
      </c>
      <c r="E353">
        <f>SUMPRODUCT(Calc!$K$3:$K$22*(Calc!$G$3:$G$22&gt;=B353))</f>
        <v/>
      </c>
      <c r="F353">
        <f>AND(k_n&gt;=5,B353&gt;A353+1E-9,C353&gt;=2,D353&gt;=1,E353&gt;=2)</f>
        <v/>
      </c>
      <c r="G353">
        <f>SUMPRODUCT(Calc!$K$3:$K$22*(Calc!$G$3:$G$22&gt;A353)*(Calc!$G$3:$G$22-A353))</f>
        <v/>
      </c>
      <c r="H353">
        <f>SUMPRODUCT(Calc!$K$3:$K$22*(Calc!$G$3:$G$22&gt;B353)*(Calc!$G$3:$G$22-B353))</f>
        <v/>
      </c>
      <c r="I353">
        <f>SUMPRODUCT(Calc!$K$3:$K$22*(Calc!$G$3:$G$22&gt;A353)*(Calc!$G$3:$G$22-A353)^2)</f>
        <v/>
      </c>
      <c r="J353">
        <f>SUMPRODUCT(Calc!$K$3:$K$22*(Calc!$G$3:$G$22&gt;B353)*(Calc!$G$3:$G$22-B353)^2)</f>
        <v/>
      </c>
      <c r="K353">
        <f>SUMPRODUCT(Calc!$K$3:$K$22*(Calc!$G$3:$G$22&gt;A353)*(Calc!$G$3:$G$22-A353)*(Calc!$G$3:$G$22&gt;B353)*(Calc!$G$3:$G$22-B353))</f>
        <v/>
      </c>
      <c r="L353">
        <f>SUMPRODUCT(Calc!$K$3:$K$22*(Calc!$G$3:$G$22&gt;A353)*(Calc!$G$3:$G$22-A353)*Calc!$G$3:$G$22)</f>
        <v/>
      </c>
      <c r="M353">
        <f>SUMPRODUCT(Calc!$K$3:$K$22*(Calc!$G$3:$G$22&gt;B353)*(Calc!$G$3:$G$22-B353)*Calc!$G$3:$G$22)</f>
        <v/>
      </c>
      <c r="N353">
        <f>SUMPRODUCT(Calc!$K$3:$K$22*(Calc!$G$3:$G$22&gt;A353)*(Calc!$G$3:$G$22-A353)*Calc!$I$3:$I$22)</f>
        <v/>
      </c>
      <c r="O353">
        <f>SUMPRODUCT(Calc!$K$3:$K$22*(Calc!$G$3:$G$22&gt;B353)*(Calc!$G$3:$G$22-B353)*Calc!$I$3:$I$22)</f>
        <v/>
      </c>
      <c r="P353">
        <f>I353-G353^2/k_n</f>
        <v/>
      </c>
      <c r="Q353">
        <f>J353-H353^2/k_n</f>
        <v/>
      </c>
      <c r="R353">
        <f>K353-G353*H353/k_n</f>
        <v/>
      </c>
      <c r="S353">
        <f>L353-LTP3!$D$3*G353/k_n</f>
        <v/>
      </c>
      <c r="T353">
        <f>M353-LTP3!$D$3*H353/k_n</f>
        <v/>
      </c>
      <c r="U353">
        <f>N353-G353*LTP3!$D$4/k_n</f>
        <v/>
      </c>
      <c r="V353">
        <f>O353-H353*LTP3!$D$4/k_n</f>
        <v/>
      </c>
      <c r="W353">
        <f>((LTP3!$D$5)*((P353)*(Q353)-(R353)*(R353))-(S353)*((S353)*(Q353)-(R353)*(T353))+(T353)*((S353)*(R353)-(P353)*(T353)))</f>
        <v/>
      </c>
      <c r="X353">
        <f>IF(ABS(W353)&gt;1E-12,((LTP3!$D$6)*((P353)*(Q353)-(R353)*(R353))-(S353)*((U353)*(Q353)-(R353)*(V353))+(T353)*((U353)*(R353)-(P353)*(V353)))/W353,0)</f>
        <v/>
      </c>
      <c r="Y353">
        <f>IF(ABS(W353)&gt;1E-12,((LTP3!$D$5)*((U353)*(Q353)-(R353)*(V353))-(LTP3!$D$6)*((S353)*(Q353)-(R353)*(T353))+(T353)*((S353)*(V353)-(U353)*(T353)))/W353,0)</f>
        <v/>
      </c>
      <c r="Z353">
        <f>IF(ABS(W353)&gt;1E-12,((LTP3!$D$5)*((P353)*(V353)-(U353)*(R353))-(S353)*((S353)*(V353)-(U353)*(T353))+(LTP3!$D$6)*((S353)*(R353)-(P353)*(T353)))/W353,0)</f>
        <v/>
      </c>
      <c r="AA353">
        <f>LTP3!$D$7-X353*LTP3!$D$6-Y353*U353-Z353*V353</f>
        <v/>
      </c>
      <c r="AB353">
        <f>IF(AND(F353,ABS(W353)&gt;1E-12,Y353&gt;0,Z353&gt;0),AA353,1E+300)</f>
        <v/>
      </c>
    </row>
    <row r="354">
      <c r="A354">
        <f>$B$3+$B$5*5</f>
        <v/>
      </c>
      <c r="B354">
        <f>$B$3+$B$5*37</f>
        <v/>
      </c>
      <c r="C354">
        <f>SUMPRODUCT(Calc!$K$3:$K$22*(Calc!$G$3:$G$22&lt;=A354))</f>
        <v/>
      </c>
      <c r="D354">
        <f>SUMPRODUCT(Calc!$K$3:$K$22*(Calc!$G$3:$G$22&gt;A354)*(Calc!$G$3:$G$22&lt;B354))</f>
        <v/>
      </c>
      <c r="E354">
        <f>SUMPRODUCT(Calc!$K$3:$K$22*(Calc!$G$3:$G$22&gt;=B354))</f>
        <v/>
      </c>
      <c r="F354">
        <f>AND(k_n&gt;=5,B354&gt;A354+1E-9,C354&gt;=2,D354&gt;=1,E354&gt;=2)</f>
        <v/>
      </c>
      <c r="G354">
        <f>SUMPRODUCT(Calc!$K$3:$K$22*(Calc!$G$3:$G$22&gt;A354)*(Calc!$G$3:$G$22-A354))</f>
        <v/>
      </c>
      <c r="H354">
        <f>SUMPRODUCT(Calc!$K$3:$K$22*(Calc!$G$3:$G$22&gt;B354)*(Calc!$G$3:$G$22-B354))</f>
        <v/>
      </c>
      <c r="I354">
        <f>SUMPRODUCT(Calc!$K$3:$K$22*(Calc!$G$3:$G$22&gt;A354)*(Calc!$G$3:$G$22-A354)^2)</f>
        <v/>
      </c>
      <c r="J354">
        <f>SUMPRODUCT(Calc!$K$3:$K$22*(Calc!$G$3:$G$22&gt;B354)*(Calc!$G$3:$G$22-B354)^2)</f>
        <v/>
      </c>
      <c r="K354">
        <f>SUMPRODUCT(Calc!$K$3:$K$22*(Calc!$G$3:$G$22&gt;A354)*(Calc!$G$3:$G$22-A354)*(Calc!$G$3:$G$22&gt;B354)*(Calc!$G$3:$G$22-B354))</f>
        <v/>
      </c>
      <c r="L354">
        <f>SUMPRODUCT(Calc!$K$3:$K$22*(Calc!$G$3:$G$22&gt;A354)*(Calc!$G$3:$G$22-A354)*Calc!$G$3:$G$22)</f>
        <v/>
      </c>
      <c r="M354">
        <f>SUMPRODUCT(Calc!$K$3:$K$22*(Calc!$G$3:$G$22&gt;B354)*(Calc!$G$3:$G$22-B354)*Calc!$G$3:$G$22)</f>
        <v/>
      </c>
      <c r="N354">
        <f>SUMPRODUCT(Calc!$K$3:$K$22*(Calc!$G$3:$G$22&gt;A354)*(Calc!$G$3:$G$22-A354)*Calc!$I$3:$I$22)</f>
        <v/>
      </c>
      <c r="O354">
        <f>SUMPRODUCT(Calc!$K$3:$K$22*(Calc!$G$3:$G$22&gt;B354)*(Calc!$G$3:$G$22-B354)*Calc!$I$3:$I$22)</f>
        <v/>
      </c>
      <c r="P354">
        <f>I354-G354^2/k_n</f>
        <v/>
      </c>
      <c r="Q354">
        <f>J354-H354^2/k_n</f>
        <v/>
      </c>
      <c r="R354">
        <f>K354-G354*H354/k_n</f>
        <v/>
      </c>
      <c r="S354">
        <f>L354-LTP3!$D$3*G354/k_n</f>
        <v/>
      </c>
      <c r="T354">
        <f>M354-LTP3!$D$3*H354/k_n</f>
        <v/>
      </c>
      <c r="U354">
        <f>N354-G354*LTP3!$D$4/k_n</f>
        <v/>
      </c>
      <c r="V354">
        <f>O354-H354*LTP3!$D$4/k_n</f>
        <v/>
      </c>
      <c r="W354">
        <f>((LTP3!$D$5)*((P354)*(Q354)-(R354)*(R354))-(S354)*((S354)*(Q354)-(R354)*(T354))+(T354)*((S354)*(R354)-(P354)*(T354)))</f>
        <v/>
      </c>
      <c r="X354">
        <f>IF(ABS(W354)&gt;1E-12,((LTP3!$D$6)*((P354)*(Q354)-(R354)*(R354))-(S354)*((U354)*(Q354)-(R354)*(V354))+(T354)*((U354)*(R354)-(P354)*(V354)))/W354,0)</f>
        <v/>
      </c>
      <c r="Y354">
        <f>IF(ABS(W354)&gt;1E-12,((LTP3!$D$5)*((U354)*(Q354)-(R354)*(V354))-(LTP3!$D$6)*((S354)*(Q354)-(R354)*(T354))+(T354)*((S354)*(V354)-(U354)*(T354)))/W354,0)</f>
        <v/>
      </c>
      <c r="Z354">
        <f>IF(ABS(W354)&gt;1E-12,((LTP3!$D$5)*((P354)*(V354)-(U354)*(R354))-(S354)*((S354)*(V354)-(U354)*(T354))+(LTP3!$D$6)*((S354)*(R354)-(P354)*(T354)))/W354,0)</f>
        <v/>
      </c>
      <c r="AA354">
        <f>LTP3!$D$7-X354*LTP3!$D$6-Y354*U354-Z354*V354</f>
        <v/>
      </c>
      <c r="AB354">
        <f>IF(AND(F354,ABS(W354)&gt;1E-12,Y354&gt;0,Z354&gt;0),AA354,1E+300)</f>
        <v/>
      </c>
    </row>
    <row r="355">
      <c r="A355">
        <f>$B$3+$B$5*5</f>
        <v/>
      </c>
      <c r="B355">
        <f>$B$3+$B$5*38</f>
        <v/>
      </c>
      <c r="C355">
        <f>SUMPRODUCT(Calc!$K$3:$K$22*(Calc!$G$3:$G$22&lt;=A355))</f>
        <v/>
      </c>
      <c r="D355">
        <f>SUMPRODUCT(Calc!$K$3:$K$22*(Calc!$G$3:$G$22&gt;A355)*(Calc!$G$3:$G$22&lt;B355))</f>
        <v/>
      </c>
      <c r="E355">
        <f>SUMPRODUCT(Calc!$K$3:$K$22*(Calc!$G$3:$G$22&gt;=B355))</f>
        <v/>
      </c>
      <c r="F355">
        <f>AND(k_n&gt;=5,B355&gt;A355+1E-9,C355&gt;=2,D355&gt;=1,E355&gt;=2)</f>
        <v/>
      </c>
      <c r="G355">
        <f>SUMPRODUCT(Calc!$K$3:$K$22*(Calc!$G$3:$G$22&gt;A355)*(Calc!$G$3:$G$22-A355))</f>
        <v/>
      </c>
      <c r="H355">
        <f>SUMPRODUCT(Calc!$K$3:$K$22*(Calc!$G$3:$G$22&gt;B355)*(Calc!$G$3:$G$22-B355))</f>
        <v/>
      </c>
      <c r="I355">
        <f>SUMPRODUCT(Calc!$K$3:$K$22*(Calc!$G$3:$G$22&gt;A355)*(Calc!$G$3:$G$22-A355)^2)</f>
        <v/>
      </c>
      <c r="J355">
        <f>SUMPRODUCT(Calc!$K$3:$K$22*(Calc!$G$3:$G$22&gt;B355)*(Calc!$G$3:$G$22-B355)^2)</f>
        <v/>
      </c>
      <c r="K355">
        <f>SUMPRODUCT(Calc!$K$3:$K$22*(Calc!$G$3:$G$22&gt;A355)*(Calc!$G$3:$G$22-A355)*(Calc!$G$3:$G$22&gt;B355)*(Calc!$G$3:$G$22-B355))</f>
        <v/>
      </c>
      <c r="L355">
        <f>SUMPRODUCT(Calc!$K$3:$K$22*(Calc!$G$3:$G$22&gt;A355)*(Calc!$G$3:$G$22-A355)*Calc!$G$3:$G$22)</f>
        <v/>
      </c>
      <c r="M355">
        <f>SUMPRODUCT(Calc!$K$3:$K$22*(Calc!$G$3:$G$22&gt;B355)*(Calc!$G$3:$G$22-B355)*Calc!$G$3:$G$22)</f>
        <v/>
      </c>
      <c r="N355">
        <f>SUMPRODUCT(Calc!$K$3:$K$22*(Calc!$G$3:$G$22&gt;A355)*(Calc!$G$3:$G$22-A355)*Calc!$I$3:$I$22)</f>
        <v/>
      </c>
      <c r="O355">
        <f>SUMPRODUCT(Calc!$K$3:$K$22*(Calc!$G$3:$G$22&gt;B355)*(Calc!$G$3:$G$22-B355)*Calc!$I$3:$I$22)</f>
        <v/>
      </c>
      <c r="P355">
        <f>I355-G355^2/k_n</f>
        <v/>
      </c>
      <c r="Q355">
        <f>J355-H355^2/k_n</f>
        <v/>
      </c>
      <c r="R355">
        <f>K355-G355*H355/k_n</f>
        <v/>
      </c>
      <c r="S355">
        <f>L355-LTP3!$D$3*G355/k_n</f>
        <v/>
      </c>
      <c r="T355">
        <f>M355-LTP3!$D$3*H355/k_n</f>
        <v/>
      </c>
      <c r="U355">
        <f>N355-G355*LTP3!$D$4/k_n</f>
        <v/>
      </c>
      <c r="V355">
        <f>O355-H355*LTP3!$D$4/k_n</f>
        <v/>
      </c>
      <c r="W355">
        <f>((LTP3!$D$5)*((P355)*(Q355)-(R355)*(R355))-(S355)*((S355)*(Q355)-(R355)*(T355))+(T355)*((S355)*(R355)-(P355)*(T355)))</f>
        <v/>
      </c>
      <c r="X355">
        <f>IF(ABS(W355)&gt;1E-12,((LTP3!$D$6)*((P355)*(Q355)-(R355)*(R355))-(S355)*((U355)*(Q355)-(R355)*(V355))+(T355)*((U355)*(R355)-(P355)*(V355)))/W355,0)</f>
        <v/>
      </c>
      <c r="Y355">
        <f>IF(ABS(W355)&gt;1E-12,((LTP3!$D$5)*((U355)*(Q355)-(R355)*(V355))-(LTP3!$D$6)*((S355)*(Q355)-(R355)*(T355))+(T355)*((S355)*(V355)-(U355)*(T355)))/W355,0)</f>
        <v/>
      </c>
      <c r="Z355">
        <f>IF(ABS(W355)&gt;1E-12,((LTP3!$D$5)*((P355)*(V355)-(U355)*(R355))-(S355)*((S355)*(V355)-(U355)*(T355))+(LTP3!$D$6)*((S355)*(R355)-(P355)*(T355)))/W355,0)</f>
        <v/>
      </c>
      <c r="AA355">
        <f>LTP3!$D$7-X355*LTP3!$D$6-Y355*U355-Z355*V355</f>
        <v/>
      </c>
      <c r="AB355">
        <f>IF(AND(F355,ABS(W355)&gt;1E-12,Y355&gt;0,Z355&gt;0),AA355,1E+300)</f>
        <v/>
      </c>
    </row>
    <row r="356">
      <c r="A356">
        <f>$B$3+$B$5*5</f>
        <v/>
      </c>
      <c r="B356">
        <f>$B$3+$B$5*39</f>
        <v/>
      </c>
      <c r="C356">
        <f>SUMPRODUCT(Calc!$K$3:$K$22*(Calc!$G$3:$G$22&lt;=A356))</f>
        <v/>
      </c>
      <c r="D356">
        <f>SUMPRODUCT(Calc!$K$3:$K$22*(Calc!$G$3:$G$22&gt;A356)*(Calc!$G$3:$G$22&lt;B356))</f>
        <v/>
      </c>
      <c r="E356">
        <f>SUMPRODUCT(Calc!$K$3:$K$22*(Calc!$G$3:$G$22&gt;=B356))</f>
        <v/>
      </c>
      <c r="F356">
        <f>AND(k_n&gt;=5,B356&gt;A356+1E-9,C356&gt;=2,D356&gt;=1,E356&gt;=2)</f>
        <v/>
      </c>
      <c r="G356">
        <f>SUMPRODUCT(Calc!$K$3:$K$22*(Calc!$G$3:$G$22&gt;A356)*(Calc!$G$3:$G$22-A356))</f>
        <v/>
      </c>
      <c r="H356">
        <f>SUMPRODUCT(Calc!$K$3:$K$22*(Calc!$G$3:$G$22&gt;B356)*(Calc!$G$3:$G$22-B356))</f>
        <v/>
      </c>
      <c r="I356">
        <f>SUMPRODUCT(Calc!$K$3:$K$22*(Calc!$G$3:$G$22&gt;A356)*(Calc!$G$3:$G$22-A356)^2)</f>
        <v/>
      </c>
      <c r="J356">
        <f>SUMPRODUCT(Calc!$K$3:$K$22*(Calc!$G$3:$G$22&gt;B356)*(Calc!$G$3:$G$22-B356)^2)</f>
        <v/>
      </c>
      <c r="K356">
        <f>SUMPRODUCT(Calc!$K$3:$K$22*(Calc!$G$3:$G$22&gt;A356)*(Calc!$G$3:$G$22-A356)*(Calc!$G$3:$G$22&gt;B356)*(Calc!$G$3:$G$22-B356))</f>
        <v/>
      </c>
      <c r="L356">
        <f>SUMPRODUCT(Calc!$K$3:$K$22*(Calc!$G$3:$G$22&gt;A356)*(Calc!$G$3:$G$22-A356)*Calc!$G$3:$G$22)</f>
        <v/>
      </c>
      <c r="M356">
        <f>SUMPRODUCT(Calc!$K$3:$K$22*(Calc!$G$3:$G$22&gt;B356)*(Calc!$G$3:$G$22-B356)*Calc!$G$3:$G$22)</f>
        <v/>
      </c>
      <c r="N356">
        <f>SUMPRODUCT(Calc!$K$3:$K$22*(Calc!$G$3:$G$22&gt;A356)*(Calc!$G$3:$G$22-A356)*Calc!$I$3:$I$22)</f>
        <v/>
      </c>
      <c r="O356">
        <f>SUMPRODUCT(Calc!$K$3:$K$22*(Calc!$G$3:$G$22&gt;B356)*(Calc!$G$3:$G$22-B356)*Calc!$I$3:$I$22)</f>
        <v/>
      </c>
      <c r="P356">
        <f>I356-G356^2/k_n</f>
        <v/>
      </c>
      <c r="Q356">
        <f>J356-H356^2/k_n</f>
        <v/>
      </c>
      <c r="R356">
        <f>K356-G356*H356/k_n</f>
        <v/>
      </c>
      <c r="S356">
        <f>L356-LTP3!$D$3*G356/k_n</f>
        <v/>
      </c>
      <c r="T356">
        <f>M356-LTP3!$D$3*H356/k_n</f>
        <v/>
      </c>
      <c r="U356">
        <f>N356-G356*LTP3!$D$4/k_n</f>
        <v/>
      </c>
      <c r="V356">
        <f>O356-H356*LTP3!$D$4/k_n</f>
        <v/>
      </c>
      <c r="W356">
        <f>((LTP3!$D$5)*((P356)*(Q356)-(R356)*(R356))-(S356)*((S356)*(Q356)-(R356)*(T356))+(T356)*((S356)*(R356)-(P356)*(T356)))</f>
        <v/>
      </c>
      <c r="X356">
        <f>IF(ABS(W356)&gt;1E-12,((LTP3!$D$6)*((P356)*(Q356)-(R356)*(R356))-(S356)*((U356)*(Q356)-(R356)*(V356))+(T356)*((U356)*(R356)-(P356)*(V356)))/W356,0)</f>
        <v/>
      </c>
      <c r="Y356">
        <f>IF(ABS(W356)&gt;1E-12,((LTP3!$D$5)*((U356)*(Q356)-(R356)*(V356))-(LTP3!$D$6)*((S356)*(Q356)-(R356)*(T356))+(T356)*((S356)*(V356)-(U356)*(T356)))/W356,0)</f>
        <v/>
      </c>
      <c r="Z356">
        <f>IF(ABS(W356)&gt;1E-12,((LTP3!$D$5)*((P356)*(V356)-(U356)*(R356))-(S356)*((S356)*(V356)-(U356)*(T356))+(LTP3!$D$6)*((S356)*(R356)-(P356)*(T356)))/W356,0)</f>
        <v/>
      </c>
      <c r="AA356">
        <f>LTP3!$D$7-X356*LTP3!$D$6-Y356*U356-Z356*V356</f>
        <v/>
      </c>
      <c r="AB356">
        <f>IF(AND(F356,ABS(W356)&gt;1E-12,Y356&gt;0,Z356&gt;0),AA356,1E+300)</f>
        <v/>
      </c>
    </row>
    <row r="357">
      <c r="A357">
        <f>$B$3+$B$5*5</f>
        <v/>
      </c>
      <c r="B357">
        <f>$B$3+$B$5*40</f>
        <v/>
      </c>
      <c r="C357">
        <f>SUMPRODUCT(Calc!$K$3:$K$22*(Calc!$G$3:$G$22&lt;=A357))</f>
        <v/>
      </c>
      <c r="D357">
        <f>SUMPRODUCT(Calc!$K$3:$K$22*(Calc!$G$3:$G$22&gt;A357)*(Calc!$G$3:$G$22&lt;B357))</f>
        <v/>
      </c>
      <c r="E357">
        <f>SUMPRODUCT(Calc!$K$3:$K$22*(Calc!$G$3:$G$22&gt;=B357))</f>
        <v/>
      </c>
      <c r="F357">
        <f>AND(k_n&gt;=5,B357&gt;A357+1E-9,C357&gt;=2,D357&gt;=1,E357&gt;=2)</f>
        <v/>
      </c>
      <c r="G357">
        <f>SUMPRODUCT(Calc!$K$3:$K$22*(Calc!$G$3:$G$22&gt;A357)*(Calc!$G$3:$G$22-A357))</f>
        <v/>
      </c>
      <c r="H357">
        <f>SUMPRODUCT(Calc!$K$3:$K$22*(Calc!$G$3:$G$22&gt;B357)*(Calc!$G$3:$G$22-B357))</f>
        <v/>
      </c>
      <c r="I357">
        <f>SUMPRODUCT(Calc!$K$3:$K$22*(Calc!$G$3:$G$22&gt;A357)*(Calc!$G$3:$G$22-A357)^2)</f>
        <v/>
      </c>
      <c r="J357">
        <f>SUMPRODUCT(Calc!$K$3:$K$22*(Calc!$G$3:$G$22&gt;B357)*(Calc!$G$3:$G$22-B357)^2)</f>
        <v/>
      </c>
      <c r="K357">
        <f>SUMPRODUCT(Calc!$K$3:$K$22*(Calc!$G$3:$G$22&gt;A357)*(Calc!$G$3:$G$22-A357)*(Calc!$G$3:$G$22&gt;B357)*(Calc!$G$3:$G$22-B357))</f>
        <v/>
      </c>
      <c r="L357">
        <f>SUMPRODUCT(Calc!$K$3:$K$22*(Calc!$G$3:$G$22&gt;A357)*(Calc!$G$3:$G$22-A357)*Calc!$G$3:$G$22)</f>
        <v/>
      </c>
      <c r="M357">
        <f>SUMPRODUCT(Calc!$K$3:$K$22*(Calc!$G$3:$G$22&gt;B357)*(Calc!$G$3:$G$22-B357)*Calc!$G$3:$G$22)</f>
        <v/>
      </c>
      <c r="N357">
        <f>SUMPRODUCT(Calc!$K$3:$K$22*(Calc!$G$3:$G$22&gt;A357)*(Calc!$G$3:$G$22-A357)*Calc!$I$3:$I$22)</f>
        <v/>
      </c>
      <c r="O357">
        <f>SUMPRODUCT(Calc!$K$3:$K$22*(Calc!$G$3:$G$22&gt;B357)*(Calc!$G$3:$G$22-B357)*Calc!$I$3:$I$22)</f>
        <v/>
      </c>
      <c r="P357">
        <f>I357-G357^2/k_n</f>
        <v/>
      </c>
      <c r="Q357">
        <f>J357-H357^2/k_n</f>
        <v/>
      </c>
      <c r="R357">
        <f>K357-G357*H357/k_n</f>
        <v/>
      </c>
      <c r="S357">
        <f>L357-LTP3!$D$3*G357/k_n</f>
        <v/>
      </c>
      <c r="T357">
        <f>M357-LTP3!$D$3*H357/k_n</f>
        <v/>
      </c>
      <c r="U357">
        <f>N357-G357*LTP3!$D$4/k_n</f>
        <v/>
      </c>
      <c r="V357">
        <f>O357-H357*LTP3!$D$4/k_n</f>
        <v/>
      </c>
      <c r="W357">
        <f>((LTP3!$D$5)*((P357)*(Q357)-(R357)*(R357))-(S357)*((S357)*(Q357)-(R357)*(T357))+(T357)*((S357)*(R357)-(P357)*(T357)))</f>
        <v/>
      </c>
      <c r="X357">
        <f>IF(ABS(W357)&gt;1E-12,((LTP3!$D$6)*((P357)*(Q357)-(R357)*(R357))-(S357)*((U357)*(Q357)-(R357)*(V357))+(T357)*((U357)*(R357)-(P357)*(V357)))/W357,0)</f>
        <v/>
      </c>
      <c r="Y357">
        <f>IF(ABS(W357)&gt;1E-12,((LTP3!$D$5)*((U357)*(Q357)-(R357)*(V357))-(LTP3!$D$6)*((S357)*(Q357)-(R357)*(T357))+(T357)*((S357)*(V357)-(U357)*(T357)))/W357,0)</f>
        <v/>
      </c>
      <c r="Z357">
        <f>IF(ABS(W357)&gt;1E-12,((LTP3!$D$5)*((P357)*(V357)-(U357)*(R357))-(S357)*((S357)*(V357)-(U357)*(T357))+(LTP3!$D$6)*((S357)*(R357)-(P357)*(T357)))/W357,0)</f>
        <v/>
      </c>
      <c r="AA357">
        <f>LTP3!$D$7-X357*LTP3!$D$6-Y357*U357-Z357*V357</f>
        <v/>
      </c>
      <c r="AB357">
        <f>IF(AND(F357,ABS(W357)&gt;1E-12,Y357&gt;0,Z357&gt;0),AA357,1E+300)</f>
        <v/>
      </c>
    </row>
    <row r="358">
      <c r="A358">
        <f>$B$3+$B$5*5</f>
        <v/>
      </c>
      <c r="B358">
        <f>$B$3+$B$5*41</f>
        <v/>
      </c>
      <c r="C358">
        <f>SUMPRODUCT(Calc!$K$3:$K$22*(Calc!$G$3:$G$22&lt;=A358))</f>
        <v/>
      </c>
      <c r="D358">
        <f>SUMPRODUCT(Calc!$K$3:$K$22*(Calc!$G$3:$G$22&gt;A358)*(Calc!$G$3:$G$22&lt;B358))</f>
        <v/>
      </c>
      <c r="E358">
        <f>SUMPRODUCT(Calc!$K$3:$K$22*(Calc!$G$3:$G$22&gt;=B358))</f>
        <v/>
      </c>
      <c r="F358">
        <f>AND(k_n&gt;=5,B358&gt;A358+1E-9,C358&gt;=2,D358&gt;=1,E358&gt;=2)</f>
        <v/>
      </c>
      <c r="G358">
        <f>SUMPRODUCT(Calc!$K$3:$K$22*(Calc!$G$3:$G$22&gt;A358)*(Calc!$G$3:$G$22-A358))</f>
        <v/>
      </c>
      <c r="H358">
        <f>SUMPRODUCT(Calc!$K$3:$K$22*(Calc!$G$3:$G$22&gt;B358)*(Calc!$G$3:$G$22-B358))</f>
        <v/>
      </c>
      <c r="I358">
        <f>SUMPRODUCT(Calc!$K$3:$K$22*(Calc!$G$3:$G$22&gt;A358)*(Calc!$G$3:$G$22-A358)^2)</f>
        <v/>
      </c>
      <c r="J358">
        <f>SUMPRODUCT(Calc!$K$3:$K$22*(Calc!$G$3:$G$22&gt;B358)*(Calc!$G$3:$G$22-B358)^2)</f>
        <v/>
      </c>
      <c r="K358">
        <f>SUMPRODUCT(Calc!$K$3:$K$22*(Calc!$G$3:$G$22&gt;A358)*(Calc!$G$3:$G$22-A358)*(Calc!$G$3:$G$22&gt;B358)*(Calc!$G$3:$G$22-B358))</f>
        <v/>
      </c>
      <c r="L358">
        <f>SUMPRODUCT(Calc!$K$3:$K$22*(Calc!$G$3:$G$22&gt;A358)*(Calc!$G$3:$G$22-A358)*Calc!$G$3:$G$22)</f>
        <v/>
      </c>
      <c r="M358">
        <f>SUMPRODUCT(Calc!$K$3:$K$22*(Calc!$G$3:$G$22&gt;B358)*(Calc!$G$3:$G$22-B358)*Calc!$G$3:$G$22)</f>
        <v/>
      </c>
      <c r="N358">
        <f>SUMPRODUCT(Calc!$K$3:$K$22*(Calc!$G$3:$G$22&gt;A358)*(Calc!$G$3:$G$22-A358)*Calc!$I$3:$I$22)</f>
        <v/>
      </c>
      <c r="O358">
        <f>SUMPRODUCT(Calc!$K$3:$K$22*(Calc!$G$3:$G$22&gt;B358)*(Calc!$G$3:$G$22-B358)*Calc!$I$3:$I$22)</f>
        <v/>
      </c>
      <c r="P358">
        <f>I358-G358^2/k_n</f>
        <v/>
      </c>
      <c r="Q358">
        <f>J358-H358^2/k_n</f>
        <v/>
      </c>
      <c r="R358">
        <f>K358-G358*H358/k_n</f>
        <v/>
      </c>
      <c r="S358">
        <f>L358-LTP3!$D$3*G358/k_n</f>
        <v/>
      </c>
      <c r="T358">
        <f>M358-LTP3!$D$3*H358/k_n</f>
        <v/>
      </c>
      <c r="U358">
        <f>N358-G358*LTP3!$D$4/k_n</f>
        <v/>
      </c>
      <c r="V358">
        <f>O358-H358*LTP3!$D$4/k_n</f>
        <v/>
      </c>
      <c r="W358">
        <f>((LTP3!$D$5)*((P358)*(Q358)-(R358)*(R358))-(S358)*((S358)*(Q358)-(R358)*(T358))+(T358)*((S358)*(R358)-(P358)*(T358)))</f>
        <v/>
      </c>
      <c r="X358">
        <f>IF(ABS(W358)&gt;1E-12,((LTP3!$D$6)*((P358)*(Q358)-(R358)*(R358))-(S358)*((U358)*(Q358)-(R358)*(V358))+(T358)*((U358)*(R358)-(P358)*(V358)))/W358,0)</f>
        <v/>
      </c>
      <c r="Y358">
        <f>IF(ABS(W358)&gt;1E-12,((LTP3!$D$5)*((U358)*(Q358)-(R358)*(V358))-(LTP3!$D$6)*((S358)*(Q358)-(R358)*(T358))+(T358)*((S358)*(V358)-(U358)*(T358)))/W358,0)</f>
        <v/>
      </c>
      <c r="Z358">
        <f>IF(ABS(W358)&gt;1E-12,((LTP3!$D$5)*((P358)*(V358)-(U358)*(R358))-(S358)*((S358)*(V358)-(U358)*(T358))+(LTP3!$D$6)*((S358)*(R358)-(P358)*(T358)))/W358,0)</f>
        <v/>
      </c>
      <c r="AA358">
        <f>LTP3!$D$7-X358*LTP3!$D$6-Y358*U358-Z358*V358</f>
        <v/>
      </c>
      <c r="AB358">
        <f>IF(AND(F358,ABS(W358)&gt;1E-12,Y358&gt;0,Z358&gt;0),AA358,1E+300)</f>
        <v/>
      </c>
    </row>
    <row r="359">
      <c r="A359">
        <f>$B$3+$B$5*5</f>
        <v/>
      </c>
      <c r="B359">
        <f>$B$3+$B$5*42</f>
        <v/>
      </c>
      <c r="C359">
        <f>SUMPRODUCT(Calc!$K$3:$K$22*(Calc!$G$3:$G$22&lt;=A359))</f>
        <v/>
      </c>
      <c r="D359">
        <f>SUMPRODUCT(Calc!$K$3:$K$22*(Calc!$G$3:$G$22&gt;A359)*(Calc!$G$3:$G$22&lt;B359))</f>
        <v/>
      </c>
      <c r="E359">
        <f>SUMPRODUCT(Calc!$K$3:$K$22*(Calc!$G$3:$G$22&gt;=B359))</f>
        <v/>
      </c>
      <c r="F359">
        <f>AND(k_n&gt;=5,B359&gt;A359+1E-9,C359&gt;=2,D359&gt;=1,E359&gt;=2)</f>
        <v/>
      </c>
      <c r="G359">
        <f>SUMPRODUCT(Calc!$K$3:$K$22*(Calc!$G$3:$G$22&gt;A359)*(Calc!$G$3:$G$22-A359))</f>
        <v/>
      </c>
      <c r="H359">
        <f>SUMPRODUCT(Calc!$K$3:$K$22*(Calc!$G$3:$G$22&gt;B359)*(Calc!$G$3:$G$22-B359))</f>
        <v/>
      </c>
      <c r="I359">
        <f>SUMPRODUCT(Calc!$K$3:$K$22*(Calc!$G$3:$G$22&gt;A359)*(Calc!$G$3:$G$22-A359)^2)</f>
        <v/>
      </c>
      <c r="J359">
        <f>SUMPRODUCT(Calc!$K$3:$K$22*(Calc!$G$3:$G$22&gt;B359)*(Calc!$G$3:$G$22-B359)^2)</f>
        <v/>
      </c>
      <c r="K359">
        <f>SUMPRODUCT(Calc!$K$3:$K$22*(Calc!$G$3:$G$22&gt;A359)*(Calc!$G$3:$G$22-A359)*(Calc!$G$3:$G$22&gt;B359)*(Calc!$G$3:$G$22-B359))</f>
        <v/>
      </c>
      <c r="L359">
        <f>SUMPRODUCT(Calc!$K$3:$K$22*(Calc!$G$3:$G$22&gt;A359)*(Calc!$G$3:$G$22-A359)*Calc!$G$3:$G$22)</f>
        <v/>
      </c>
      <c r="M359">
        <f>SUMPRODUCT(Calc!$K$3:$K$22*(Calc!$G$3:$G$22&gt;B359)*(Calc!$G$3:$G$22-B359)*Calc!$G$3:$G$22)</f>
        <v/>
      </c>
      <c r="N359">
        <f>SUMPRODUCT(Calc!$K$3:$K$22*(Calc!$G$3:$G$22&gt;A359)*(Calc!$G$3:$G$22-A359)*Calc!$I$3:$I$22)</f>
        <v/>
      </c>
      <c r="O359">
        <f>SUMPRODUCT(Calc!$K$3:$K$22*(Calc!$G$3:$G$22&gt;B359)*(Calc!$G$3:$G$22-B359)*Calc!$I$3:$I$22)</f>
        <v/>
      </c>
      <c r="P359">
        <f>I359-G359^2/k_n</f>
        <v/>
      </c>
      <c r="Q359">
        <f>J359-H359^2/k_n</f>
        <v/>
      </c>
      <c r="R359">
        <f>K359-G359*H359/k_n</f>
        <v/>
      </c>
      <c r="S359">
        <f>L359-LTP3!$D$3*G359/k_n</f>
        <v/>
      </c>
      <c r="T359">
        <f>M359-LTP3!$D$3*H359/k_n</f>
        <v/>
      </c>
      <c r="U359">
        <f>N359-G359*LTP3!$D$4/k_n</f>
        <v/>
      </c>
      <c r="V359">
        <f>O359-H359*LTP3!$D$4/k_n</f>
        <v/>
      </c>
      <c r="W359">
        <f>((LTP3!$D$5)*((P359)*(Q359)-(R359)*(R359))-(S359)*((S359)*(Q359)-(R359)*(T359))+(T359)*((S359)*(R359)-(P359)*(T359)))</f>
        <v/>
      </c>
      <c r="X359">
        <f>IF(ABS(W359)&gt;1E-12,((LTP3!$D$6)*((P359)*(Q359)-(R359)*(R359))-(S359)*((U359)*(Q359)-(R359)*(V359))+(T359)*((U359)*(R359)-(P359)*(V359)))/W359,0)</f>
        <v/>
      </c>
      <c r="Y359">
        <f>IF(ABS(W359)&gt;1E-12,((LTP3!$D$5)*((U359)*(Q359)-(R359)*(V359))-(LTP3!$D$6)*((S359)*(Q359)-(R359)*(T359))+(T359)*((S359)*(V359)-(U359)*(T359)))/W359,0)</f>
        <v/>
      </c>
      <c r="Z359">
        <f>IF(ABS(W359)&gt;1E-12,((LTP3!$D$5)*((P359)*(V359)-(U359)*(R359))-(S359)*((S359)*(V359)-(U359)*(T359))+(LTP3!$D$6)*((S359)*(R359)-(P359)*(T359)))/W359,0)</f>
        <v/>
      </c>
      <c r="AA359">
        <f>LTP3!$D$7-X359*LTP3!$D$6-Y359*U359-Z359*V359</f>
        <v/>
      </c>
      <c r="AB359">
        <f>IF(AND(F359,ABS(W359)&gt;1E-12,Y359&gt;0,Z359&gt;0),AA359,1E+300)</f>
        <v/>
      </c>
    </row>
    <row r="360">
      <c r="A360">
        <f>$B$3+$B$5*5</f>
        <v/>
      </c>
      <c r="B360">
        <f>$B$3+$B$5*43</f>
        <v/>
      </c>
      <c r="C360">
        <f>SUMPRODUCT(Calc!$K$3:$K$22*(Calc!$G$3:$G$22&lt;=A360))</f>
        <v/>
      </c>
      <c r="D360">
        <f>SUMPRODUCT(Calc!$K$3:$K$22*(Calc!$G$3:$G$22&gt;A360)*(Calc!$G$3:$G$22&lt;B360))</f>
        <v/>
      </c>
      <c r="E360">
        <f>SUMPRODUCT(Calc!$K$3:$K$22*(Calc!$G$3:$G$22&gt;=B360))</f>
        <v/>
      </c>
      <c r="F360">
        <f>AND(k_n&gt;=5,B360&gt;A360+1E-9,C360&gt;=2,D360&gt;=1,E360&gt;=2)</f>
        <v/>
      </c>
      <c r="G360">
        <f>SUMPRODUCT(Calc!$K$3:$K$22*(Calc!$G$3:$G$22&gt;A360)*(Calc!$G$3:$G$22-A360))</f>
        <v/>
      </c>
      <c r="H360">
        <f>SUMPRODUCT(Calc!$K$3:$K$22*(Calc!$G$3:$G$22&gt;B360)*(Calc!$G$3:$G$22-B360))</f>
        <v/>
      </c>
      <c r="I360">
        <f>SUMPRODUCT(Calc!$K$3:$K$22*(Calc!$G$3:$G$22&gt;A360)*(Calc!$G$3:$G$22-A360)^2)</f>
        <v/>
      </c>
      <c r="J360">
        <f>SUMPRODUCT(Calc!$K$3:$K$22*(Calc!$G$3:$G$22&gt;B360)*(Calc!$G$3:$G$22-B360)^2)</f>
        <v/>
      </c>
      <c r="K360">
        <f>SUMPRODUCT(Calc!$K$3:$K$22*(Calc!$G$3:$G$22&gt;A360)*(Calc!$G$3:$G$22-A360)*(Calc!$G$3:$G$22&gt;B360)*(Calc!$G$3:$G$22-B360))</f>
        <v/>
      </c>
      <c r="L360">
        <f>SUMPRODUCT(Calc!$K$3:$K$22*(Calc!$G$3:$G$22&gt;A360)*(Calc!$G$3:$G$22-A360)*Calc!$G$3:$G$22)</f>
        <v/>
      </c>
      <c r="M360">
        <f>SUMPRODUCT(Calc!$K$3:$K$22*(Calc!$G$3:$G$22&gt;B360)*(Calc!$G$3:$G$22-B360)*Calc!$G$3:$G$22)</f>
        <v/>
      </c>
      <c r="N360">
        <f>SUMPRODUCT(Calc!$K$3:$K$22*(Calc!$G$3:$G$22&gt;A360)*(Calc!$G$3:$G$22-A360)*Calc!$I$3:$I$22)</f>
        <v/>
      </c>
      <c r="O360">
        <f>SUMPRODUCT(Calc!$K$3:$K$22*(Calc!$G$3:$G$22&gt;B360)*(Calc!$G$3:$G$22-B360)*Calc!$I$3:$I$22)</f>
        <v/>
      </c>
      <c r="P360">
        <f>I360-G360^2/k_n</f>
        <v/>
      </c>
      <c r="Q360">
        <f>J360-H360^2/k_n</f>
        <v/>
      </c>
      <c r="R360">
        <f>K360-G360*H360/k_n</f>
        <v/>
      </c>
      <c r="S360">
        <f>L360-LTP3!$D$3*G360/k_n</f>
        <v/>
      </c>
      <c r="T360">
        <f>M360-LTP3!$D$3*H360/k_n</f>
        <v/>
      </c>
      <c r="U360">
        <f>N360-G360*LTP3!$D$4/k_n</f>
        <v/>
      </c>
      <c r="V360">
        <f>O360-H360*LTP3!$D$4/k_n</f>
        <v/>
      </c>
      <c r="W360">
        <f>((LTP3!$D$5)*((P360)*(Q360)-(R360)*(R360))-(S360)*((S360)*(Q360)-(R360)*(T360))+(T360)*((S360)*(R360)-(P360)*(T360)))</f>
        <v/>
      </c>
      <c r="X360">
        <f>IF(ABS(W360)&gt;1E-12,((LTP3!$D$6)*((P360)*(Q360)-(R360)*(R360))-(S360)*((U360)*(Q360)-(R360)*(V360))+(T360)*((U360)*(R360)-(P360)*(V360)))/W360,0)</f>
        <v/>
      </c>
      <c r="Y360">
        <f>IF(ABS(W360)&gt;1E-12,((LTP3!$D$5)*((U360)*(Q360)-(R360)*(V360))-(LTP3!$D$6)*((S360)*(Q360)-(R360)*(T360))+(T360)*((S360)*(V360)-(U360)*(T360)))/W360,0)</f>
        <v/>
      </c>
      <c r="Z360">
        <f>IF(ABS(W360)&gt;1E-12,((LTP3!$D$5)*((P360)*(V360)-(U360)*(R360))-(S360)*((S360)*(V360)-(U360)*(T360))+(LTP3!$D$6)*((S360)*(R360)-(P360)*(T360)))/W360,0)</f>
        <v/>
      </c>
      <c r="AA360">
        <f>LTP3!$D$7-X360*LTP3!$D$6-Y360*U360-Z360*V360</f>
        <v/>
      </c>
      <c r="AB360">
        <f>IF(AND(F360,ABS(W360)&gt;1E-12,Y360&gt;0,Z360&gt;0),AA360,1E+300)</f>
        <v/>
      </c>
    </row>
    <row r="361">
      <c r="A361">
        <f>$B$3+$B$5*5</f>
        <v/>
      </c>
      <c r="B361">
        <f>$B$3+$B$5*44</f>
        <v/>
      </c>
      <c r="C361">
        <f>SUMPRODUCT(Calc!$K$3:$K$22*(Calc!$G$3:$G$22&lt;=A361))</f>
        <v/>
      </c>
      <c r="D361">
        <f>SUMPRODUCT(Calc!$K$3:$K$22*(Calc!$G$3:$G$22&gt;A361)*(Calc!$G$3:$G$22&lt;B361))</f>
        <v/>
      </c>
      <c r="E361">
        <f>SUMPRODUCT(Calc!$K$3:$K$22*(Calc!$G$3:$G$22&gt;=B361))</f>
        <v/>
      </c>
      <c r="F361">
        <f>AND(k_n&gt;=5,B361&gt;A361+1E-9,C361&gt;=2,D361&gt;=1,E361&gt;=2)</f>
        <v/>
      </c>
      <c r="G361">
        <f>SUMPRODUCT(Calc!$K$3:$K$22*(Calc!$G$3:$G$22&gt;A361)*(Calc!$G$3:$G$22-A361))</f>
        <v/>
      </c>
      <c r="H361">
        <f>SUMPRODUCT(Calc!$K$3:$K$22*(Calc!$G$3:$G$22&gt;B361)*(Calc!$G$3:$G$22-B361))</f>
        <v/>
      </c>
      <c r="I361">
        <f>SUMPRODUCT(Calc!$K$3:$K$22*(Calc!$G$3:$G$22&gt;A361)*(Calc!$G$3:$G$22-A361)^2)</f>
        <v/>
      </c>
      <c r="J361">
        <f>SUMPRODUCT(Calc!$K$3:$K$22*(Calc!$G$3:$G$22&gt;B361)*(Calc!$G$3:$G$22-B361)^2)</f>
        <v/>
      </c>
      <c r="K361">
        <f>SUMPRODUCT(Calc!$K$3:$K$22*(Calc!$G$3:$G$22&gt;A361)*(Calc!$G$3:$G$22-A361)*(Calc!$G$3:$G$22&gt;B361)*(Calc!$G$3:$G$22-B361))</f>
        <v/>
      </c>
      <c r="L361">
        <f>SUMPRODUCT(Calc!$K$3:$K$22*(Calc!$G$3:$G$22&gt;A361)*(Calc!$G$3:$G$22-A361)*Calc!$G$3:$G$22)</f>
        <v/>
      </c>
      <c r="M361">
        <f>SUMPRODUCT(Calc!$K$3:$K$22*(Calc!$G$3:$G$22&gt;B361)*(Calc!$G$3:$G$22-B361)*Calc!$G$3:$G$22)</f>
        <v/>
      </c>
      <c r="N361">
        <f>SUMPRODUCT(Calc!$K$3:$K$22*(Calc!$G$3:$G$22&gt;A361)*(Calc!$G$3:$G$22-A361)*Calc!$I$3:$I$22)</f>
        <v/>
      </c>
      <c r="O361">
        <f>SUMPRODUCT(Calc!$K$3:$K$22*(Calc!$G$3:$G$22&gt;B361)*(Calc!$G$3:$G$22-B361)*Calc!$I$3:$I$22)</f>
        <v/>
      </c>
      <c r="P361">
        <f>I361-G361^2/k_n</f>
        <v/>
      </c>
      <c r="Q361">
        <f>J361-H361^2/k_n</f>
        <v/>
      </c>
      <c r="R361">
        <f>K361-G361*H361/k_n</f>
        <v/>
      </c>
      <c r="S361">
        <f>L361-LTP3!$D$3*G361/k_n</f>
        <v/>
      </c>
      <c r="T361">
        <f>M361-LTP3!$D$3*H361/k_n</f>
        <v/>
      </c>
      <c r="U361">
        <f>N361-G361*LTP3!$D$4/k_n</f>
        <v/>
      </c>
      <c r="V361">
        <f>O361-H361*LTP3!$D$4/k_n</f>
        <v/>
      </c>
      <c r="W361">
        <f>((LTP3!$D$5)*((P361)*(Q361)-(R361)*(R361))-(S361)*((S361)*(Q361)-(R361)*(T361))+(T361)*((S361)*(R361)-(P361)*(T361)))</f>
        <v/>
      </c>
      <c r="X361">
        <f>IF(ABS(W361)&gt;1E-12,((LTP3!$D$6)*((P361)*(Q361)-(R361)*(R361))-(S361)*((U361)*(Q361)-(R361)*(V361))+(T361)*((U361)*(R361)-(P361)*(V361)))/W361,0)</f>
        <v/>
      </c>
      <c r="Y361">
        <f>IF(ABS(W361)&gt;1E-12,((LTP3!$D$5)*((U361)*(Q361)-(R361)*(V361))-(LTP3!$D$6)*((S361)*(Q361)-(R361)*(T361))+(T361)*((S361)*(V361)-(U361)*(T361)))/W361,0)</f>
        <v/>
      </c>
      <c r="Z361">
        <f>IF(ABS(W361)&gt;1E-12,((LTP3!$D$5)*((P361)*(V361)-(U361)*(R361))-(S361)*((S361)*(V361)-(U361)*(T361))+(LTP3!$D$6)*((S361)*(R361)-(P361)*(T361)))/W361,0)</f>
        <v/>
      </c>
      <c r="AA361">
        <f>LTP3!$D$7-X361*LTP3!$D$6-Y361*U361-Z361*V361</f>
        <v/>
      </c>
      <c r="AB361">
        <f>IF(AND(F361,ABS(W361)&gt;1E-12,Y361&gt;0,Z361&gt;0),AA361,1E+300)</f>
        <v/>
      </c>
    </row>
    <row r="362">
      <c r="A362">
        <f>$B$3+$B$5*5</f>
        <v/>
      </c>
      <c r="B362">
        <f>$B$3+$B$5*45</f>
        <v/>
      </c>
      <c r="C362">
        <f>SUMPRODUCT(Calc!$K$3:$K$22*(Calc!$G$3:$G$22&lt;=A362))</f>
        <v/>
      </c>
      <c r="D362">
        <f>SUMPRODUCT(Calc!$K$3:$K$22*(Calc!$G$3:$G$22&gt;A362)*(Calc!$G$3:$G$22&lt;B362))</f>
        <v/>
      </c>
      <c r="E362">
        <f>SUMPRODUCT(Calc!$K$3:$K$22*(Calc!$G$3:$G$22&gt;=B362))</f>
        <v/>
      </c>
      <c r="F362">
        <f>AND(k_n&gt;=5,B362&gt;A362+1E-9,C362&gt;=2,D362&gt;=1,E362&gt;=2)</f>
        <v/>
      </c>
      <c r="G362">
        <f>SUMPRODUCT(Calc!$K$3:$K$22*(Calc!$G$3:$G$22&gt;A362)*(Calc!$G$3:$G$22-A362))</f>
        <v/>
      </c>
      <c r="H362">
        <f>SUMPRODUCT(Calc!$K$3:$K$22*(Calc!$G$3:$G$22&gt;B362)*(Calc!$G$3:$G$22-B362))</f>
        <v/>
      </c>
      <c r="I362">
        <f>SUMPRODUCT(Calc!$K$3:$K$22*(Calc!$G$3:$G$22&gt;A362)*(Calc!$G$3:$G$22-A362)^2)</f>
        <v/>
      </c>
      <c r="J362">
        <f>SUMPRODUCT(Calc!$K$3:$K$22*(Calc!$G$3:$G$22&gt;B362)*(Calc!$G$3:$G$22-B362)^2)</f>
        <v/>
      </c>
      <c r="K362">
        <f>SUMPRODUCT(Calc!$K$3:$K$22*(Calc!$G$3:$G$22&gt;A362)*(Calc!$G$3:$G$22-A362)*(Calc!$G$3:$G$22&gt;B362)*(Calc!$G$3:$G$22-B362))</f>
        <v/>
      </c>
      <c r="L362">
        <f>SUMPRODUCT(Calc!$K$3:$K$22*(Calc!$G$3:$G$22&gt;A362)*(Calc!$G$3:$G$22-A362)*Calc!$G$3:$G$22)</f>
        <v/>
      </c>
      <c r="M362">
        <f>SUMPRODUCT(Calc!$K$3:$K$22*(Calc!$G$3:$G$22&gt;B362)*(Calc!$G$3:$G$22-B362)*Calc!$G$3:$G$22)</f>
        <v/>
      </c>
      <c r="N362">
        <f>SUMPRODUCT(Calc!$K$3:$K$22*(Calc!$G$3:$G$22&gt;A362)*(Calc!$G$3:$G$22-A362)*Calc!$I$3:$I$22)</f>
        <v/>
      </c>
      <c r="O362">
        <f>SUMPRODUCT(Calc!$K$3:$K$22*(Calc!$G$3:$G$22&gt;B362)*(Calc!$G$3:$G$22-B362)*Calc!$I$3:$I$22)</f>
        <v/>
      </c>
      <c r="P362">
        <f>I362-G362^2/k_n</f>
        <v/>
      </c>
      <c r="Q362">
        <f>J362-H362^2/k_n</f>
        <v/>
      </c>
      <c r="R362">
        <f>K362-G362*H362/k_n</f>
        <v/>
      </c>
      <c r="S362">
        <f>L362-LTP3!$D$3*G362/k_n</f>
        <v/>
      </c>
      <c r="T362">
        <f>M362-LTP3!$D$3*H362/k_n</f>
        <v/>
      </c>
      <c r="U362">
        <f>N362-G362*LTP3!$D$4/k_n</f>
        <v/>
      </c>
      <c r="V362">
        <f>O362-H362*LTP3!$D$4/k_n</f>
        <v/>
      </c>
      <c r="W362">
        <f>((LTP3!$D$5)*((P362)*(Q362)-(R362)*(R362))-(S362)*((S362)*(Q362)-(R362)*(T362))+(T362)*((S362)*(R362)-(P362)*(T362)))</f>
        <v/>
      </c>
      <c r="X362">
        <f>IF(ABS(W362)&gt;1E-12,((LTP3!$D$6)*((P362)*(Q362)-(R362)*(R362))-(S362)*((U362)*(Q362)-(R362)*(V362))+(T362)*((U362)*(R362)-(P362)*(V362)))/W362,0)</f>
        <v/>
      </c>
      <c r="Y362">
        <f>IF(ABS(W362)&gt;1E-12,((LTP3!$D$5)*((U362)*(Q362)-(R362)*(V362))-(LTP3!$D$6)*((S362)*(Q362)-(R362)*(T362))+(T362)*((S362)*(V362)-(U362)*(T362)))/W362,0)</f>
        <v/>
      </c>
      <c r="Z362">
        <f>IF(ABS(W362)&gt;1E-12,((LTP3!$D$5)*((P362)*(V362)-(U362)*(R362))-(S362)*((S362)*(V362)-(U362)*(T362))+(LTP3!$D$6)*((S362)*(R362)-(P362)*(T362)))/W362,0)</f>
        <v/>
      </c>
      <c r="AA362">
        <f>LTP3!$D$7-X362*LTP3!$D$6-Y362*U362-Z362*V362</f>
        <v/>
      </c>
      <c r="AB362">
        <f>IF(AND(F362,ABS(W362)&gt;1E-12,Y362&gt;0,Z362&gt;0),AA362,1E+300)</f>
        <v/>
      </c>
    </row>
    <row r="363">
      <c r="A363">
        <f>$B$3+$B$5*5</f>
        <v/>
      </c>
      <c r="B363">
        <f>$B$3+$B$5*46</f>
        <v/>
      </c>
      <c r="C363">
        <f>SUMPRODUCT(Calc!$K$3:$K$22*(Calc!$G$3:$G$22&lt;=A363))</f>
        <v/>
      </c>
      <c r="D363">
        <f>SUMPRODUCT(Calc!$K$3:$K$22*(Calc!$G$3:$G$22&gt;A363)*(Calc!$G$3:$G$22&lt;B363))</f>
        <v/>
      </c>
      <c r="E363">
        <f>SUMPRODUCT(Calc!$K$3:$K$22*(Calc!$G$3:$G$22&gt;=B363))</f>
        <v/>
      </c>
      <c r="F363">
        <f>AND(k_n&gt;=5,B363&gt;A363+1E-9,C363&gt;=2,D363&gt;=1,E363&gt;=2)</f>
        <v/>
      </c>
      <c r="G363">
        <f>SUMPRODUCT(Calc!$K$3:$K$22*(Calc!$G$3:$G$22&gt;A363)*(Calc!$G$3:$G$22-A363))</f>
        <v/>
      </c>
      <c r="H363">
        <f>SUMPRODUCT(Calc!$K$3:$K$22*(Calc!$G$3:$G$22&gt;B363)*(Calc!$G$3:$G$22-B363))</f>
        <v/>
      </c>
      <c r="I363">
        <f>SUMPRODUCT(Calc!$K$3:$K$22*(Calc!$G$3:$G$22&gt;A363)*(Calc!$G$3:$G$22-A363)^2)</f>
        <v/>
      </c>
      <c r="J363">
        <f>SUMPRODUCT(Calc!$K$3:$K$22*(Calc!$G$3:$G$22&gt;B363)*(Calc!$G$3:$G$22-B363)^2)</f>
        <v/>
      </c>
      <c r="K363">
        <f>SUMPRODUCT(Calc!$K$3:$K$22*(Calc!$G$3:$G$22&gt;A363)*(Calc!$G$3:$G$22-A363)*(Calc!$G$3:$G$22&gt;B363)*(Calc!$G$3:$G$22-B363))</f>
        <v/>
      </c>
      <c r="L363">
        <f>SUMPRODUCT(Calc!$K$3:$K$22*(Calc!$G$3:$G$22&gt;A363)*(Calc!$G$3:$G$22-A363)*Calc!$G$3:$G$22)</f>
        <v/>
      </c>
      <c r="M363">
        <f>SUMPRODUCT(Calc!$K$3:$K$22*(Calc!$G$3:$G$22&gt;B363)*(Calc!$G$3:$G$22-B363)*Calc!$G$3:$G$22)</f>
        <v/>
      </c>
      <c r="N363">
        <f>SUMPRODUCT(Calc!$K$3:$K$22*(Calc!$G$3:$G$22&gt;A363)*(Calc!$G$3:$G$22-A363)*Calc!$I$3:$I$22)</f>
        <v/>
      </c>
      <c r="O363">
        <f>SUMPRODUCT(Calc!$K$3:$K$22*(Calc!$G$3:$G$22&gt;B363)*(Calc!$G$3:$G$22-B363)*Calc!$I$3:$I$22)</f>
        <v/>
      </c>
      <c r="P363">
        <f>I363-G363^2/k_n</f>
        <v/>
      </c>
      <c r="Q363">
        <f>J363-H363^2/k_n</f>
        <v/>
      </c>
      <c r="R363">
        <f>K363-G363*H363/k_n</f>
        <v/>
      </c>
      <c r="S363">
        <f>L363-LTP3!$D$3*G363/k_n</f>
        <v/>
      </c>
      <c r="T363">
        <f>M363-LTP3!$D$3*H363/k_n</f>
        <v/>
      </c>
      <c r="U363">
        <f>N363-G363*LTP3!$D$4/k_n</f>
        <v/>
      </c>
      <c r="V363">
        <f>O363-H363*LTP3!$D$4/k_n</f>
        <v/>
      </c>
      <c r="W363">
        <f>((LTP3!$D$5)*((P363)*(Q363)-(R363)*(R363))-(S363)*((S363)*(Q363)-(R363)*(T363))+(T363)*((S363)*(R363)-(P363)*(T363)))</f>
        <v/>
      </c>
      <c r="X363">
        <f>IF(ABS(W363)&gt;1E-12,((LTP3!$D$6)*((P363)*(Q363)-(R363)*(R363))-(S363)*((U363)*(Q363)-(R363)*(V363))+(T363)*((U363)*(R363)-(P363)*(V363)))/W363,0)</f>
        <v/>
      </c>
      <c r="Y363">
        <f>IF(ABS(W363)&gt;1E-12,((LTP3!$D$5)*((U363)*(Q363)-(R363)*(V363))-(LTP3!$D$6)*((S363)*(Q363)-(R363)*(T363))+(T363)*((S363)*(V363)-(U363)*(T363)))/W363,0)</f>
        <v/>
      </c>
      <c r="Z363">
        <f>IF(ABS(W363)&gt;1E-12,((LTP3!$D$5)*((P363)*(V363)-(U363)*(R363))-(S363)*((S363)*(V363)-(U363)*(T363))+(LTP3!$D$6)*((S363)*(R363)-(P363)*(T363)))/W363,0)</f>
        <v/>
      </c>
      <c r="AA363">
        <f>LTP3!$D$7-X363*LTP3!$D$6-Y363*U363-Z363*V363</f>
        <v/>
      </c>
      <c r="AB363">
        <f>IF(AND(F363,ABS(W363)&gt;1E-12,Y363&gt;0,Z363&gt;0),AA363,1E+300)</f>
        <v/>
      </c>
    </row>
    <row r="364">
      <c r="A364">
        <f>$B$3+$B$5*5</f>
        <v/>
      </c>
      <c r="B364">
        <f>$B$3+$B$5*47</f>
        <v/>
      </c>
      <c r="C364">
        <f>SUMPRODUCT(Calc!$K$3:$K$22*(Calc!$G$3:$G$22&lt;=A364))</f>
        <v/>
      </c>
      <c r="D364">
        <f>SUMPRODUCT(Calc!$K$3:$K$22*(Calc!$G$3:$G$22&gt;A364)*(Calc!$G$3:$G$22&lt;B364))</f>
        <v/>
      </c>
      <c r="E364">
        <f>SUMPRODUCT(Calc!$K$3:$K$22*(Calc!$G$3:$G$22&gt;=B364))</f>
        <v/>
      </c>
      <c r="F364">
        <f>AND(k_n&gt;=5,B364&gt;A364+1E-9,C364&gt;=2,D364&gt;=1,E364&gt;=2)</f>
        <v/>
      </c>
      <c r="G364">
        <f>SUMPRODUCT(Calc!$K$3:$K$22*(Calc!$G$3:$G$22&gt;A364)*(Calc!$G$3:$G$22-A364))</f>
        <v/>
      </c>
      <c r="H364">
        <f>SUMPRODUCT(Calc!$K$3:$K$22*(Calc!$G$3:$G$22&gt;B364)*(Calc!$G$3:$G$22-B364))</f>
        <v/>
      </c>
      <c r="I364">
        <f>SUMPRODUCT(Calc!$K$3:$K$22*(Calc!$G$3:$G$22&gt;A364)*(Calc!$G$3:$G$22-A364)^2)</f>
        <v/>
      </c>
      <c r="J364">
        <f>SUMPRODUCT(Calc!$K$3:$K$22*(Calc!$G$3:$G$22&gt;B364)*(Calc!$G$3:$G$22-B364)^2)</f>
        <v/>
      </c>
      <c r="K364">
        <f>SUMPRODUCT(Calc!$K$3:$K$22*(Calc!$G$3:$G$22&gt;A364)*(Calc!$G$3:$G$22-A364)*(Calc!$G$3:$G$22&gt;B364)*(Calc!$G$3:$G$22-B364))</f>
        <v/>
      </c>
      <c r="L364">
        <f>SUMPRODUCT(Calc!$K$3:$K$22*(Calc!$G$3:$G$22&gt;A364)*(Calc!$G$3:$G$22-A364)*Calc!$G$3:$G$22)</f>
        <v/>
      </c>
      <c r="M364">
        <f>SUMPRODUCT(Calc!$K$3:$K$22*(Calc!$G$3:$G$22&gt;B364)*(Calc!$G$3:$G$22-B364)*Calc!$G$3:$G$22)</f>
        <v/>
      </c>
      <c r="N364">
        <f>SUMPRODUCT(Calc!$K$3:$K$22*(Calc!$G$3:$G$22&gt;A364)*(Calc!$G$3:$G$22-A364)*Calc!$I$3:$I$22)</f>
        <v/>
      </c>
      <c r="O364">
        <f>SUMPRODUCT(Calc!$K$3:$K$22*(Calc!$G$3:$G$22&gt;B364)*(Calc!$G$3:$G$22-B364)*Calc!$I$3:$I$22)</f>
        <v/>
      </c>
      <c r="P364">
        <f>I364-G364^2/k_n</f>
        <v/>
      </c>
      <c r="Q364">
        <f>J364-H364^2/k_n</f>
        <v/>
      </c>
      <c r="R364">
        <f>K364-G364*H364/k_n</f>
        <v/>
      </c>
      <c r="S364">
        <f>L364-LTP3!$D$3*G364/k_n</f>
        <v/>
      </c>
      <c r="T364">
        <f>M364-LTP3!$D$3*H364/k_n</f>
        <v/>
      </c>
      <c r="U364">
        <f>N364-G364*LTP3!$D$4/k_n</f>
        <v/>
      </c>
      <c r="V364">
        <f>O364-H364*LTP3!$D$4/k_n</f>
        <v/>
      </c>
      <c r="W364">
        <f>((LTP3!$D$5)*((P364)*(Q364)-(R364)*(R364))-(S364)*((S364)*(Q364)-(R364)*(T364))+(T364)*((S364)*(R364)-(P364)*(T364)))</f>
        <v/>
      </c>
      <c r="X364">
        <f>IF(ABS(W364)&gt;1E-12,((LTP3!$D$6)*((P364)*(Q364)-(R364)*(R364))-(S364)*((U364)*(Q364)-(R364)*(V364))+(T364)*((U364)*(R364)-(P364)*(V364)))/W364,0)</f>
        <v/>
      </c>
      <c r="Y364">
        <f>IF(ABS(W364)&gt;1E-12,((LTP3!$D$5)*((U364)*(Q364)-(R364)*(V364))-(LTP3!$D$6)*((S364)*(Q364)-(R364)*(T364))+(T364)*((S364)*(V364)-(U364)*(T364)))/W364,0)</f>
        <v/>
      </c>
      <c r="Z364">
        <f>IF(ABS(W364)&gt;1E-12,((LTP3!$D$5)*((P364)*(V364)-(U364)*(R364))-(S364)*((S364)*(V364)-(U364)*(T364))+(LTP3!$D$6)*((S364)*(R364)-(P364)*(T364)))/W364,0)</f>
        <v/>
      </c>
      <c r="AA364">
        <f>LTP3!$D$7-X364*LTP3!$D$6-Y364*U364-Z364*V364</f>
        <v/>
      </c>
      <c r="AB364">
        <f>IF(AND(F364,ABS(W364)&gt;1E-12,Y364&gt;0,Z364&gt;0),AA364,1E+300)</f>
        <v/>
      </c>
    </row>
    <row r="365">
      <c r="A365">
        <f>$B$3+$B$5*5</f>
        <v/>
      </c>
      <c r="B365">
        <f>$B$3+$B$5*48</f>
        <v/>
      </c>
      <c r="C365">
        <f>SUMPRODUCT(Calc!$K$3:$K$22*(Calc!$G$3:$G$22&lt;=A365))</f>
        <v/>
      </c>
      <c r="D365">
        <f>SUMPRODUCT(Calc!$K$3:$K$22*(Calc!$G$3:$G$22&gt;A365)*(Calc!$G$3:$G$22&lt;B365))</f>
        <v/>
      </c>
      <c r="E365">
        <f>SUMPRODUCT(Calc!$K$3:$K$22*(Calc!$G$3:$G$22&gt;=B365))</f>
        <v/>
      </c>
      <c r="F365">
        <f>AND(k_n&gt;=5,B365&gt;A365+1E-9,C365&gt;=2,D365&gt;=1,E365&gt;=2)</f>
        <v/>
      </c>
      <c r="G365">
        <f>SUMPRODUCT(Calc!$K$3:$K$22*(Calc!$G$3:$G$22&gt;A365)*(Calc!$G$3:$G$22-A365))</f>
        <v/>
      </c>
      <c r="H365">
        <f>SUMPRODUCT(Calc!$K$3:$K$22*(Calc!$G$3:$G$22&gt;B365)*(Calc!$G$3:$G$22-B365))</f>
        <v/>
      </c>
      <c r="I365">
        <f>SUMPRODUCT(Calc!$K$3:$K$22*(Calc!$G$3:$G$22&gt;A365)*(Calc!$G$3:$G$22-A365)^2)</f>
        <v/>
      </c>
      <c r="J365">
        <f>SUMPRODUCT(Calc!$K$3:$K$22*(Calc!$G$3:$G$22&gt;B365)*(Calc!$G$3:$G$22-B365)^2)</f>
        <v/>
      </c>
      <c r="K365">
        <f>SUMPRODUCT(Calc!$K$3:$K$22*(Calc!$G$3:$G$22&gt;A365)*(Calc!$G$3:$G$22-A365)*(Calc!$G$3:$G$22&gt;B365)*(Calc!$G$3:$G$22-B365))</f>
        <v/>
      </c>
      <c r="L365">
        <f>SUMPRODUCT(Calc!$K$3:$K$22*(Calc!$G$3:$G$22&gt;A365)*(Calc!$G$3:$G$22-A365)*Calc!$G$3:$G$22)</f>
        <v/>
      </c>
      <c r="M365">
        <f>SUMPRODUCT(Calc!$K$3:$K$22*(Calc!$G$3:$G$22&gt;B365)*(Calc!$G$3:$G$22-B365)*Calc!$G$3:$G$22)</f>
        <v/>
      </c>
      <c r="N365">
        <f>SUMPRODUCT(Calc!$K$3:$K$22*(Calc!$G$3:$G$22&gt;A365)*(Calc!$G$3:$G$22-A365)*Calc!$I$3:$I$22)</f>
        <v/>
      </c>
      <c r="O365">
        <f>SUMPRODUCT(Calc!$K$3:$K$22*(Calc!$G$3:$G$22&gt;B365)*(Calc!$G$3:$G$22-B365)*Calc!$I$3:$I$22)</f>
        <v/>
      </c>
      <c r="P365">
        <f>I365-G365^2/k_n</f>
        <v/>
      </c>
      <c r="Q365">
        <f>J365-H365^2/k_n</f>
        <v/>
      </c>
      <c r="R365">
        <f>K365-G365*H365/k_n</f>
        <v/>
      </c>
      <c r="S365">
        <f>L365-LTP3!$D$3*G365/k_n</f>
        <v/>
      </c>
      <c r="T365">
        <f>M365-LTP3!$D$3*H365/k_n</f>
        <v/>
      </c>
      <c r="U365">
        <f>N365-G365*LTP3!$D$4/k_n</f>
        <v/>
      </c>
      <c r="V365">
        <f>O365-H365*LTP3!$D$4/k_n</f>
        <v/>
      </c>
      <c r="W365">
        <f>((LTP3!$D$5)*((P365)*(Q365)-(R365)*(R365))-(S365)*((S365)*(Q365)-(R365)*(T365))+(T365)*((S365)*(R365)-(P365)*(T365)))</f>
        <v/>
      </c>
      <c r="X365">
        <f>IF(ABS(W365)&gt;1E-12,((LTP3!$D$6)*((P365)*(Q365)-(R365)*(R365))-(S365)*((U365)*(Q365)-(R365)*(V365))+(T365)*((U365)*(R365)-(P365)*(V365)))/W365,0)</f>
        <v/>
      </c>
      <c r="Y365">
        <f>IF(ABS(W365)&gt;1E-12,((LTP3!$D$5)*((U365)*(Q365)-(R365)*(V365))-(LTP3!$D$6)*((S365)*(Q365)-(R365)*(T365))+(T365)*((S365)*(V365)-(U365)*(T365)))/W365,0)</f>
        <v/>
      </c>
      <c r="Z365">
        <f>IF(ABS(W365)&gt;1E-12,((LTP3!$D$5)*((P365)*(V365)-(U365)*(R365))-(S365)*((S365)*(V365)-(U365)*(T365))+(LTP3!$D$6)*((S365)*(R365)-(P365)*(T365)))/W365,0)</f>
        <v/>
      </c>
      <c r="AA365">
        <f>LTP3!$D$7-X365*LTP3!$D$6-Y365*U365-Z365*V365</f>
        <v/>
      </c>
      <c r="AB365">
        <f>IF(AND(F365,ABS(W365)&gt;1E-12,Y365&gt;0,Z365&gt;0),AA365,1E+300)</f>
        <v/>
      </c>
    </row>
    <row r="366">
      <c r="A366">
        <f>$B$3+$B$5*5</f>
        <v/>
      </c>
      <c r="B366">
        <f>$B$3+$B$5*49</f>
        <v/>
      </c>
      <c r="C366">
        <f>SUMPRODUCT(Calc!$K$3:$K$22*(Calc!$G$3:$G$22&lt;=A366))</f>
        <v/>
      </c>
      <c r="D366">
        <f>SUMPRODUCT(Calc!$K$3:$K$22*(Calc!$G$3:$G$22&gt;A366)*(Calc!$G$3:$G$22&lt;B366))</f>
        <v/>
      </c>
      <c r="E366">
        <f>SUMPRODUCT(Calc!$K$3:$K$22*(Calc!$G$3:$G$22&gt;=B366))</f>
        <v/>
      </c>
      <c r="F366">
        <f>AND(k_n&gt;=5,B366&gt;A366+1E-9,C366&gt;=2,D366&gt;=1,E366&gt;=2)</f>
        <v/>
      </c>
      <c r="G366">
        <f>SUMPRODUCT(Calc!$K$3:$K$22*(Calc!$G$3:$G$22&gt;A366)*(Calc!$G$3:$G$22-A366))</f>
        <v/>
      </c>
      <c r="H366">
        <f>SUMPRODUCT(Calc!$K$3:$K$22*(Calc!$G$3:$G$22&gt;B366)*(Calc!$G$3:$G$22-B366))</f>
        <v/>
      </c>
      <c r="I366">
        <f>SUMPRODUCT(Calc!$K$3:$K$22*(Calc!$G$3:$G$22&gt;A366)*(Calc!$G$3:$G$22-A366)^2)</f>
        <v/>
      </c>
      <c r="J366">
        <f>SUMPRODUCT(Calc!$K$3:$K$22*(Calc!$G$3:$G$22&gt;B366)*(Calc!$G$3:$G$22-B366)^2)</f>
        <v/>
      </c>
      <c r="K366">
        <f>SUMPRODUCT(Calc!$K$3:$K$22*(Calc!$G$3:$G$22&gt;A366)*(Calc!$G$3:$G$22-A366)*(Calc!$G$3:$G$22&gt;B366)*(Calc!$G$3:$G$22-B366))</f>
        <v/>
      </c>
      <c r="L366">
        <f>SUMPRODUCT(Calc!$K$3:$K$22*(Calc!$G$3:$G$22&gt;A366)*(Calc!$G$3:$G$22-A366)*Calc!$G$3:$G$22)</f>
        <v/>
      </c>
      <c r="M366">
        <f>SUMPRODUCT(Calc!$K$3:$K$22*(Calc!$G$3:$G$22&gt;B366)*(Calc!$G$3:$G$22-B366)*Calc!$G$3:$G$22)</f>
        <v/>
      </c>
      <c r="N366">
        <f>SUMPRODUCT(Calc!$K$3:$K$22*(Calc!$G$3:$G$22&gt;A366)*(Calc!$G$3:$G$22-A366)*Calc!$I$3:$I$22)</f>
        <v/>
      </c>
      <c r="O366">
        <f>SUMPRODUCT(Calc!$K$3:$K$22*(Calc!$G$3:$G$22&gt;B366)*(Calc!$G$3:$G$22-B366)*Calc!$I$3:$I$22)</f>
        <v/>
      </c>
      <c r="P366">
        <f>I366-G366^2/k_n</f>
        <v/>
      </c>
      <c r="Q366">
        <f>J366-H366^2/k_n</f>
        <v/>
      </c>
      <c r="R366">
        <f>K366-G366*H366/k_n</f>
        <v/>
      </c>
      <c r="S366">
        <f>L366-LTP3!$D$3*G366/k_n</f>
        <v/>
      </c>
      <c r="T366">
        <f>M366-LTP3!$D$3*H366/k_n</f>
        <v/>
      </c>
      <c r="U366">
        <f>N366-G366*LTP3!$D$4/k_n</f>
        <v/>
      </c>
      <c r="V366">
        <f>O366-H366*LTP3!$D$4/k_n</f>
        <v/>
      </c>
      <c r="W366">
        <f>((LTP3!$D$5)*((P366)*(Q366)-(R366)*(R366))-(S366)*((S366)*(Q366)-(R366)*(T366))+(T366)*((S366)*(R366)-(P366)*(T366)))</f>
        <v/>
      </c>
      <c r="X366">
        <f>IF(ABS(W366)&gt;1E-12,((LTP3!$D$6)*((P366)*(Q366)-(R366)*(R366))-(S366)*((U366)*(Q366)-(R366)*(V366))+(T366)*((U366)*(R366)-(P366)*(V366)))/W366,0)</f>
        <v/>
      </c>
      <c r="Y366">
        <f>IF(ABS(W366)&gt;1E-12,((LTP3!$D$5)*((U366)*(Q366)-(R366)*(V366))-(LTP3!$D$6)*((S366)*(Q366)-(R366)*(T366))+(T366)*((S366)*(V366)-(U366)*(T366)))/W366,0)</f>
        <v/>
      </c>
      <c r="Z366">
        <f>IF(ABS(W366)&gt;1E-12,((LTP3!$D$5)*((P366)*(V366)-(U366)*(R366))-(S366)*((S366)*(V366)-(U366)*(T366))+(LTP3!$D$6)*((S366)*(R366)-(P366)*(T366)))/W366,0)</f>
        <v/>
      </c>
      <c r="AA366">
        <f>LTP3!$D$7-X366*LTP3!$D$6-Y366*U366-Z366*V366</f>
        <v/>
      </c>
      <c r="AB366">
        <f>IF(AND(F366,ABS(W366)&gt;1E-12,Y366&gt;0,Z366&gt;0),AA366,1E+300)</f>
        <v/>
      </c>
    </row>
    <row r="367">
      <c r="A367">
        <f>$B$3+$B$5*5</f>
        <v/>
      </c>
      <c r="B367">
        <f>$B$3+$B$5*50</f>
        <v/>
      </c>
      <c r="C367">
        <f>SUMPRODUCT(Calc!$K$3:$K$22*(Calc!$G$3:$G$22&lt;=A367))</f>
        <v/>
      </c>
      <c r="D367">
        <f>SUMPRODUCT(Calc!$K$3:$K$22*(Calc!$G$3:$G$22&gt;A367)*(Calc!$G$3:$G$22&lt;B367))</f>
        <v/>
      </c>
      <c r="E367">
        <f>SUMPRODUCT(Calc!$K$3:$K$22*(Calc!$G$3:$G$22&gt;=B367))</f>
        <v/>
      </c>
      <c r="F367">
        <f>AND(k_n&gt;=5,B367&gt;A367+1E-9,C367&gt;=2,D367&gt;=1,E367&gt;=2)</f>
        <v/>
      </c>
      <c r="G367">
        <f>SUMPRODUCT(Calc!$K$3:$K$22*(Calc!$G$3:$G$22&gt;A367)*(Calc!$G$3:$G$22-A367))</f>
        <v/>
      </c>
      <c r="H367">
        <f>SUMPRODUCT(Calc!$K$3:$K$22*(Calc!$G$3:$G$22&gt;B367)*(Calc!$G$3:$G$22-B367))</f>
        <v/>
      </c>
      <c r="I367">
        <f>SUMPRODUCT(Calc!$K$3:$K$22*(Calc!$G$3:$G$22&gt;A367)*(Calc!$G$3:$G$22-A367)^2)</f>
        <v/>
      </c>
      <c r="J367">
        <f>SUMPRODUCT(Calc!$K$3:$K$22*(Calc!$G$3:$G$22&gt;B367)*(Calc!$G$3:$G$22-B367)^2)</f>
        <v/>
      </c>
      <c r="K367">
        <f>SUMPRODUCT(Calc!$K$3:$K$22*(Calc!$G$3:$G$22&gt;A367)*(Calc!$G$3:$G$22-A367)*(Calc!$G$3:$G$22&gt;B367)*(Calc!$G$3:$G$22-B367))</f>
        <v/>
      </c>
      <c r="L367">
        <f>SUMPRODUCT(Calc!$K$3:$K$22*(Calc!$G$3:$G$22&gt;A367)*(Calc!$G$3:$G$22-A367)*Calc!$G$3:$G$22)</f>
        <v/>
      </c>
      <c r="M367">
        <f>SUMPRODUCT(Calc!$K$3:$K$22*(Calc!$G$3:$G$22&gt;B367)*(Calc!$G$3:$G$22-B367)*Calc!$G$3:$G$22)</f>
        <v/>
      </c>
      <c r="N367">
        <f>SUMPRODUCT(Calc!$K$3:$K$22*(Calc!$G$3:$G$22&gt;A367)*(Calc!$G$3:$G$22-A367)*Calc!$I$3:$I$22)</f>
        <v/>
      </c>
      <c r="O367">
        <f>SUMPRODUCT(Calc!$K$3:$K$22*(Calc!$G$3:$G$22&gt;B367)*(Calc!$G$3:$G$22-B367)*Calc!$I$3:$I$22)</f>
        <v/>
      </c>
      <c r="P367">
        <f>I367-G367^2/k_n</f>
        <v/>
      </c>
      <c r="Q367">
        <f>J367-H367^2/k_n</f>
        <v/>
      </c>
      <c r="R367">
        <f>K367-G367*H367/k_n</f>
        <v/>
      </c>
      <c r="S367">
        <f>L367-LTP3!$D$3*G367/k_n</f>
        <v/>
      </c>
      <c r="T367">
        <f>M367-LTP3!$D$3*H367/k_n</f>
        <v/>
      </c>
      <c r="U367">
        <f>N367-G367*LTP3!$D$4/k_n</f>
        <v/>
      </c>
      <c r="V367">
        <f>O367-H367*LTP3!$D$4/k_n</f>
        <v/>
      </c>
      <c r="W367">
        <f>((LTP3!$D$5)*((P367)*(Q367)-(R367)*(R367))-(S367)*((S367)*(Q367)-(R367)*(T367))+(T367)*((S367)*(R367)-(P367)*(T367)))</f>
        <v/>
      </c>
      <c r="X367">
        <f>IF(ABS(W367)&gt;1E-12,((LTP3!$D$6)*((P367)*(Q367)-(R367)*(R367))-(S367)*((U367)*(Q367)-(R367)*(V367))+(T367)*((U367)*(R367)-(P367)*(V367)))/W367,0)</f>
        <v/>
      </c>
      <c r="Y367">
        <f>IF(ABS(W367)&gt;1E-12,((LTP3!$D$5)*((U367)*(Q367)-(R367)*(V367))-(LTP3!$D$6)*((S367)*(Q367)-(R367)*(T367))+(T367)*((S367)*(V367)-(U367)*(T367)))/W367,0)</f>
        <v/>
      </c>
      <c r="Z367">
        <f>IF(ABS(W367)&gt;1E-12,((LTP3!$D$5)*((P367)*(V367)-(U367)*(R367))-(S367)*((S367)*(V367)-(U367)*(T367))+(LTP3!$D$6)*((S367)*(R367)-(P367)*(T367)))/W367,0)</f>
        <v/>
      </c>
      <c r="AA367">
        <f>LTP3!$D$7-X367*LTP3!$D$6-Y367*U367-Z367*V367</f>
        <v/>
      </c>
      <c r="AB367">
        <f>IF(AND(F367,ABS(W367)&gt;1E-12,Y367&gt;0,Z367&gt;0),AA367,1E+300)</f>
        <v/>
      </c>
    </row>
    <row r="368">
      <c r="A368">
        <f>$B$3+$B$5*5</f>
        <v/>
      </c>
      <c r="B368">
        <f>$B$3+$B$5*51</f>
        <v/>
      </c>
      <c r="C368">
        <f>SUMPRODUCT(Calc!$K$3:$K$22*(Calc!$G$3:$G$22&lt;=A368))</f>
        <v/>
      </c>
      <c r="D368">
        <f>SUMPRODUCT(Calc!$K$3:$K$22*(Calc!$G$3:$G$22&gt;A368)*(Calc!$G$3:$G$22&lt;B368))</f>
        <v/>
      </c>
      <c r="E368">
        <f>SUMPRODUCT(Calc!$K$3:$K$22*(Calc!$G$3:$G$22&gt;=B368))</f>
        <v/>
      </c>
      <c r="F368">
        <f>AND(k_n&gt;=5,B368&gt;A368+1E-9,C368&gt;=2,D368&gt;=1,E368&gt;=2)</f>
        <v/>
      </c>
      <c r="G368">
        <f>SUMPRODUCT(Calc!$K$3:$K$22*(Calc!$G$3:$G$22&gt;A368)*(Calc!$G$3:$G$22-A368))</f>
        <v/>
      </c>
      <c r="H368">
        <f>SUMPRODUCT(Calc!$K$3:$K$22*(Calc!$G$3:$G$22&gt;B368)*(Calc!$G$3:$G$22-B368))</f>
        <v/>
      </c>
      <c r="I368">
        <f>SUMPRODUCT(Calc!$K$3:$K$22*(Calc!$G$3:$G$22&gt;A368)*(Calc!$G$3:$G$22-A368)^2)</f>
        <v/>
      </c>
      <c r="J368">
        <f>SUMPRODUCT(Calc!$K$3:$K$22*(Calc!$G$3:$G$22&gt;B368)*(Calc!$G$3:$G$22-B368)^2)</f>
        <v/>
      </c>
      <c r="K368">
        <f>SUMPRODUCT(Calc!$K$3:$K$22*(Calc!$G$3:$G$22&gt;A368)*(Calc!$G$3:$G$22-A368)*(Calc!$G$3:$G$22&gt;B368)*(Calc!$G$3:$G$22-B368))</f>
        <v/>
      </c>
      <c r="L368">
        <f>SUMPRODUCT(Calc!$K$3:$K$22*(Calc!$G$3:$G$22&gt;A368)*(Calc!$G$3:$G$22-A368)*Calc!$G$3:$G$22)</f>
        <v/>
      </c>
      <c r="M368">
        <f>SUMPRODUCT(Calc!$K$3:$K$22*(Calc!$G$3:$G$22&gt;B368)*(Calc!$G$3:$G$22-B368)*Calc!$G$3:$G$22)</f>
        <v/>
      </c>
      <c r="N368">
        <f>SUMPRODUCT(Calc!$K$3:$K$22*(Calc!$G$3:$G$22&gt;A368)*(Calc!$G$3:$G$22-A368)*Calc!$I$3:$I$22)</f>
        <v/>
      </c>
      <c r="O368">
        <f>SUMPRODUCT(Calc!$K$3:$K$22*(Calc!$G$3:$G$22&gt;B368)*(Calc!$G$3:$G$22-B368)*Calc!$I$3:$I$22)</f>
        <v/>
      </c>
      <c r="P368">
        <f>I368-G368^2/k_n</f>
        <v/>
      </c>
      <c r="Q368">
        <f>J368-H368^2/k_n</f>
        <v/>
      </c>
      <c r="R368">
        <f>K368-G368*H368/k_n</f>
        <v/>
      </c>
      <c r="S368">
        <f>L368-LTP3!$D$3*G368/k_n</f>
        <v/>
      </c>
      <c r="T368">
        <f>M368-LTP3!$D$3*H368/k_n</f>
        <v/>
      </c>
      <c r="U368">
        <f>N368-G368*LTP3!$D$4/k_n</f>
        <v/>
      </c>
      <c r="V368">
        <f>O368-H368*LTP3!$D$4/k_n</f>
        <v/>
      </c>
      <c r="W368">
        <f>((LTP3!$D$5)*((P368)*(Q368)-(R368)*(R368))-(S368)*((S368)*(Q368)-(R368)*(T368))+(T368)*((S368)*(R368)-(P368)*(T368)))</f>
        <v/>
      </c>
      <c r="X368">
        <f>IF(ABS(W368)&gt;1E-12,((LTP3!$D$6)*((P368)*(Q368)-(R368)*(R368))-(S368)*((U368)*(Q368)-(R368)*(V368))+(T368)*((U368)*(R368)-(P368)*(V368)))/W368,0)</f>
        <v/>
      </c>
      <c r="Y368">
        <f>IF(ABS(W368)&gt;1E-12,((LTP3!$D$5)*((U368)*(Q368)-(R368)*(V368))-(LTP3!$D$6)*((S368)*(Q368)-(R368)*(T368))+(T368)*((S368)*(V368)-(U368)*(T368)))/W368,0)</f>
        <v/>
      </c>
      <c r="Z368">
        <f>IF(ABS(W368)&gt;1E-12,((LTP3!$D$5)*((P368)*(V368)-(U368)*(R368))-(S368)*((S368)*(V368)-(U368)*(T368))+(LTP3!$D$6)*((S368)*(R368)-(P368)*(T368)))/W368,0)</f>
        <v/>
      </c>
      <c r="AA368">
        <f>LTP3!$D$7-X368*LTP3!$D$6-Y368*U368-Z368*V368</f>
        <v/>
      </c>
      <c r="AB368">
        <f>IF(AND(F368,ABS(W368)&gt;1E-12,Y368&gt;0,Z368&gt;0),AA368,1E+300)</f>
        <v/>
      </c>
    </row>
    <row r="369">
      <c r="A369">
        <f>$B$3+$B$5*5</f>
        <v/>
      </c>
      <c r="B369">
        <f>$B$3+$B$5*52</f>
        <v/>
      </c>
      <c r="C369">
        <f>SUMPRODUCT(Calc!$K$3:$K$22*(Calc!$G$3:$G$22&lt;=A369))</f>
        <v/>
      </c>
      <c r="D369">
        <f>SUMPRODUCT(Calc!$K$3:$K$22*(Calc!$G$3:$G$22&gt;A369)*(Calc!$G$3:$G$22&lt;B369))</f>
        <v/>
      </c>
      <c r="E369">
        <f>SUMPRODUCT(Calc!$K$3:$K$22*(Calc!$G$3:$G$22&gt;=B369))</f>
        <v/>
      </c>
      <c r="F369">
        <f>AND(k_n&gt;=5,B369&gt;A369+1E-9,C369&gt;=2,D369&gt;=1,E369&gt;=2)</f>
        <v/>
      </c>
      <c r="G369">
        <f>SUMPRODUCT(Calc!$K$3:$K$22*(Calc!$G$3:$G$22&gt;A369)*(Calc!$G$3:$G$22-A369))</f>
        <v/>
      </c>
      <c r="H369">
        <f>SUMPRODUCT(Calc!$K$3:$K$22*(Calc!$G$3:$G$22&gt;B369)*(Calc!$G$3:$G$22-B369))</f>
        <v/>
      </c>
      <c r="I369">
        <f>SUMPRODUCT(Calc!$K$3:$K$22*(Calc!$G$3:$G$22&gt;A369)*(Calc!$G$3:$G$22-A369)^2)</f>
        <v/>
      </c>
      <c r="J369">
        <f>SUMPRODUCT(Calc!$K$3:$K$22*(Calc!$G$3:$G$22&gt;B369)*(Calc!$G$3:$G$22-B369)^2)</f>
        <v/>
      </c>
      <c r="K369">
        <f>SUMPRODUCT(Calc!$K$3:$K$22*(Calc!$G$3:$G$22&gt;A369)*(Calc!$G$3:$G$22-A369)*(Calc!$G$3:$G$22&gt;B369)*(Calc!$G$3:$G$22-B369))</f>
        <v/>
      </c>
      <c r="L369">
        <f>SUMPRODUCT(Calc!$K$3:$K$22*(Calc!$G$3:$G$22&gt;A369)*(Calc!$G$3:$G$22-A369)*Calc!$G$3:$G$22)</f>
        <v/>
      </c>
      <c r="M369">
        <f>SUMPRODUCT(Calc!$K$3:$K$22*(Calc!$G$3:$G$22&gt;B369)*(Calc!$G$3:$G$22-B369)*Calc!$G$3:$G$22)</f>
        <v/>
      </c>
      <c r="N369">
        <f>SUMPRODUCT(Calc!$K$3:$K$22*(Calc!$G$3:$G$22&gt;A369)*(Calc!$G$3:$G$22-A369)*Calc!$I$3:$I$22)</f>
        <v/>
      </c>
      <c r="O369">
        <f>SUMPRODUCT(Calc!$K$3:$K$22*(Calc!$G$3:$G$22&gt;B369)*(Calc!$G$3:$G$22-B369)*Calc!$I$3:$I$22)</f>
        <v/>
      </c>
      <c r="P369">
        <f>I369-G369^2/k_n</f>
        <v/>
      </c>
      <c r="Q369">
        <f>J369-H369^2/k_n</f>
        <v/>
      </c>
      <c r="R369">
        <f>K369-G369*H369/k_n</f>
        <v/>
      </c>
      <c r="S369">
        <f>L369-LTP3!$D$3*G369/k_n</f>
        <v/>
      </c>
      <c r="T369">
        <f>M369-LTP3!$D$3*H369/k_n</f>
        <v/>
      </c>
      <c r="U369">
        <f>N369-G369*LTP3!$D$4/k_n</f>
        <v/>
      </c>
      <c r="V369">
        <f>O369-H369*LTP3!$D$4/k_n</f>
        <v/>
      </c>
      <c r="W369">
        <f>((LTP3!$D$5)*((P369)*(Q369)-(R369)*(R369))-(S369)*((S369)*(Q369)-(R369)*(T369))+(T369)*((S369)*(R369)-(P369)*(T369)))</f>
        <v/>
      </c>
      <c r="X369">
        <f>IF(ABS(W369)&gt;1E-12,((LTP3!$D$6)*((P369)*(Q369)-(R369)*(R369))-(S369)*((U369)*(Q369)-(R369)*(V369))+(T369)*((U369)*(R369)-(P369)*(V369)))/W369,0)</f>
        <v/>
      </c>
      <c r="Y369">
        <f>IF(ABS(W369)&gt;1E-12,((LTP3!$D$5)*((U369)*(Q369)-(R369)*(V369))-(LTP3!$D$6)*((S369)*(Q369)-(R369)*(T369))+(T369)*((S369)*(V369)-(U369)*(T369)))/W369,0)</f>
        <v/>
      </c>
      <c r="Z369">
        <f>IF(ABS(W369)&gt;1E-12,((LTP3!$D$5)*((P369)*(V369)-(U369)*(R369))-(S369)*((S369)*(V369)-(U369)*(T369))+(LTP3!$D$6)*((S369)*(R369)-(P369)*(T369)))/W369,0)</f>
        <v/>
      </c>
      <c r="AA369">
        <f>LTP3!$D$7-X369*LTP3!$D$6-Y369*U369-Z369*V369</f>
        <v/>
      </c>
      <c r="AB369">
        <f>IF(AND(F369,ABS(W369)&gt;1E-12,Y369&gt;0,Z369&gt;0),AA369,1E+300)</f>
        <v/>
      </c>
    </row>
    <row r="370">
      <c r="A370">
        <f>$B$3+$B$5*5</f>
        <v/>
      </c>
      <c r="B370">
        <f>$B$3+$B$5*53</f>
        <v/>
      </c>
      <c r="C370">
        <f>SUMPRODUCT(Calc!$K$3:$K$22*(Calc!$G$3:$G$22&lt;=A370))</f>
        <v/>
      </c>
      <c r="D370">
        <f>SUMPRODUCT(Calc!$K$3:$K$22*(Calc!$G$3:$G$22&gt;A370)*(Calc!$G$3:$G$22&lt;B370))</f>
        <v/>
      </c>
      <c r="E370">
        <f>SUMPRODUCT(Calc!$K$3:$K$22*(Calc!$G$3:$G$22&gt;=B370))</f>
        <v/>
      </c>
      <c r="F370">
        <f>AND(k_n&gt;=5,B370&gt;A370+1E-9,C370&gt;=2,D370&gt;=1,E370&gt;=2)</f>
        <v/>
      </c>
      <c r="G370">
        <f>SUMPRODUCT(Calc!$K$3:$K$22*(Calc!$G$3:$G$22&gt;A370)*(Calc!$G$3:$G$22-A370))</f>
        <v/>
      </c>
      <c r="H370">
        <f>SUMPRODUCT(Calc!$K$3:$K$22*(Calc!$G$3:$G$22&gt;B370)*(Calc!$G$3:$G$22-B370))</f>
        <v/>
      </c>
      <c r="I370">
        <f>SUMPRODUCT(Calc!$K$3:$K$22*(Calc!$G$3:$G$22&gt;A370)*(Calc!$G$3:$G$22-A370)^2)</f>
        <v/>
      </c>
      <c r="J370">
        <f>SUMPRODUCT(Calc!$K$3:$K$22*(Calc!$G$3:$G$22&gt;B370)*(Calc!$G$3:$G$22-B370)^2)</f>
        <v/>
      </c>
      <c r="K370">
        <f>SUMPRODUCT(Calc!$K$3:$K$22*(Calc!$G$3:$G$22&gt;A370)*(Calc!$G$3:$G$22-A370)*(Calc!$G$3:$G$22&gt;B370)*(Calc!$G$3:$G$22-B370))</f>
        <v/>
      </c>
      <c r="L370">
        <f>SUMPRODUCT(Calc!$K$3:$K$22*(Calc!$G$3:$G$22&gt;A370)*(Calc!$G$3:$G$22-A370)*Calc!$G$3:$G$22)</f>
        <v/>
      </c>
      <c r="M370">
        <f>SUMPRODUCT(Calc!$K$3:$K$22*(Calc!$G$3:$G$22&gt;B370)*(Calc!$G$3:$G$22-B370)*Calc!$G$3:$G$22)</f>
        <v/>
      </c>
      <c r="N370">
        <f>SUMPRODUCT(Calc!$K$3:$K$22*(Calc!$G$3:$G$22&gt;A370)*(Calc!$G$3:$G$22-A370)*Calc!$I$3:$I$22)</f>
        <v/>
      </c>
      <c r="O370">
        <f>SUMPRODUCT(Calc!$K$3:$K$22*(Calc!$G$3:$G$22&gt;B370)*(Calc!$G$3:$G$22-B370)*Calc!$I$3:$I$22)</f>
        <v/>
      </c>
      <c r="P370">
        <f>I370-G370^2/k_n</f>
        <v/>
      </c>
      <c r="Q370">
        <f>J370-H370^2/k_n</f>
        <v/>
      </c>
      <c r="R370">
        <f>K370-G370*H370/k_n</f>
        <v/>
      </c>
      <c r="S370">
        <f>L370-LTP3!$D$3*G370/k_n</f>
        <v/>
      </c>
      <c r="T370">
        <f>M370-LTP3!$D$3*H370/k_n</f>
        <v/>
      </c>
      <c r="U370">
        <f>N370-G370*LTP3!$D$4/k_n</f>
        <v/>
      </c>
      <c r="V370">
        <f>O370-H370*LTP3!$D$4/k_n</f>
        <v/>
      </c>
      <c r="W370">
        <f>((LTP3!$D$5)*((P370)*(Q370)-(R370)*(R370))-(S370)*((S370)*(Q370)-(R370)*(T370))+(T370)*((S370)*(R370)-(P370)*(T370)))</f>
        <v/>
      </c>
      <c r="X370">
        <f>IF(ABS(W370)&gt;1E-12,((LTP3!$D$6)*((P370)*(Q370)-(R370)*(R370))-(S370)*((U370)*(Q370)-(R370)*(V370))+(T370)*((U370)*(R370)-(P370)*(V370)))/W370,0)</f>
        <v/>
      </c>
      <c r="Y370">
        <f>IF(ABS(W370)&gt;1E-12,((LTP3!$D$5)*((U370)*(Q370)-(R370)*(V370))-(LTP3!$D$6)*((S370)*(Q370)-(R370)*(T370))+(T370)*((S370)*(V370)-(U370)*(T370)))/W370,0)</f>
        <v/>
      </c>
      <c r="Z370">
        <f>IF(ABS(W370)&gt;1E-12,((LTP3!$D$5)*((P370)*(V370)-(U370)*(R370))-(S370)*((S370)*(V370)-(U370)*(T370))+(LTP3!$D$6)*((S370)*(R370)-(P370)*(T370)))/W370,0)</f>
        <v/>
      </c>
      <c r="AA370">
        <f>LTP3!$D$7-X370*LTP3!$D$6-Y370*U370-Z370*V370</f>
        <v/>
      </c>
      <c r="AB370">
        <f>IF(AND(F370,ABS(W370)&gt;1E-12,Y370&gt;0,Z370&gt;0),AA370,1E+300)</f>
        <v/>
      </c>
    </row>
    <row r="371">
      <c r="A371">
        <f>$B$3+$B$5*5</f>
        <v/>
      </c>
      <c r="B371">
        <f>$B$3+$B$5*54</f>
        <v/>
      </c>
      <c r="C371">
        <f>SUMPRODUCT(Calc!$K$3:$K$22*(Calc!$G$3:$G$22&lt;=A371))</f>
        <v/>
      </c>
      <c r="D371">
        <f>SUMPRODUCT(Calc!$K$3:$K$22*(Calc!$G$3:$G$22&gt;A371)*(Calc!$G$3:$G$22&lt;B371))</f>
        <v/>
      </c>
      <c r="E371">
        <f>SUMPRODUCT(Calc!$K$3:$K$22*(Calc!$G$3:$G$22&gt;=B371))</f>
        <v/>
      </c>
      <c r="F371">
        <f>AND(k_n&gt;=5,B371&gt;A371+1E-9,C371&gt;=2,D371&gt;=1,E371&gt;=2)</f>
        <v/>
      </c>
      <c r="G371">
        <f>SUMPRODUCT(Calc!$K$3:$K$22*(Calc!$G$3:$G$22&gt;A371)*(Calc!$G$3:$G$22-A371))</f>
        <v/>
      </c>
      <c r="H371">
        <f>SUMPRODUCT(Calc!$K$3:$K$22*(Calc!$G$3:$G$22&gt;B371)*(Calc!$G$3:$G$22-B371))</f>
        <v/>
      </c>
      <c r="I371">
        <f>SUMPRODUCT(Calc!$K$3:$K$22*(Calc!$G$3:$G$22&gt;A371)*(Calc!$G$3:$G$22-A371)^2)</f>
        <v/>
      </c>
      <c r="J371">
        <f>SUMPRODUCT(Calc!$K$3:$K$22*(Calc!$G$3:$G$22&gt;B371)*(Calc!$G$3:$G$22-B371)^2)</f>
        <v/>
      </c>
      <c r="K371">
        <f>SUMPRODUCT(Calc!$K$3:$K$22*(Calc!$G$3:$G$22&gt;A371)*(Calc!$G$3:$G$22-A371)*(Calc!$G$3:$G$22&gt;B371)*(Calc!$G$3:$G$22-B371))</f>
        <v/>
      </c>
      <c r="L371">
        <f>SUMPRODUCT(Calc!$K$3:$K$22*(Calc!$G$3:$G$22&gt;A371)*(Calc!$G$3:$G$22-A371)*Calc!$G$3:$G$22)</f>
        <v/>
      </c>
      <c r="M371">
        <f>SUMPRODUCT(Calc!$K$3:$K$22*(Calc!$G$3:$G$22&gt;B371)*(Calc!$G$3:$G$22-B371)*Calc!$G$3:$G$22)</f>
        <v/>
      </c>
      <c r="N371">
        <f>SUMPRODUCT(Calc!$K$3:$K$22*(Calc!$G$3:$G$22&gt;A371)*(Calc!$G$3:$G$22-A371)*Calc!$I$3:$I$22)</f>
        <v/>
      </c>
      <c r="O371">
        <f>SUMPRODUCT(Calc!$K$3:$K$22*(Calc!$G$3:$G$22&gt;B371)*(Calc!$G$3:$G$22-B371)*Calc!$I$3:$I$22)</f>
        <v/>
      </c>
      <c r="P371">
        <f>I371-G371^2/k_n</f>
        <v/>
      </c>
      <c r="Q371">
        <f>J371-H371^2/k_n</f>
        <v/>
      </c>
      <c r="R371">
        <f>K371-G371*H371/k_n</f>
        <v/>
      </c>
      <c r="S371">
        <f>L371-LTP3!$D$3*G371/k_n</f>
        <v/>
      </c>
      <c r="T371">
        <f>M371-LTP3!$D$3*H371/k_n</f>
        <v/>
      </c>
      <c r="U371">
        <f>N371-G371*LTP3!$D$4/k_n</f>
        <v/>
      </c>
      <c r="V371">
        <f>O371-H371*LTP3!$D$4/k_n</f>
        <v/>
      </c>
      <c r="W371">
        <f>((LTP3!$D$5)*((P371)*(Q371)-(R371)*(R371))-(S371)*((S371)*(Q371)-(R371)*(T371))+(T371)*((S371)*(R371)-(P371)*(T371)))</f>
        <v/>
      </c>
      <c r="X371">
        <f>IF(ABS(W371)&gt;1E-12,((LTP3!$D$6)*((P371)*(Q371)-(R371)*(R371))-(S371)*((U371)*(Q371)-(R371)*(V371))+(T371)*((U371)*(R371)-(P371)*(V371)))/W371,0)</f>
        <v/>
      </c>
      <c r="Y371">
        <f>IF(ABS(W371)&gt;1E-12,((LTP3!$D$5)*((U371)*(Q371)-(R371)*(V371))-(LTP3!$D$6)*((S371)*(Q371)-(R371)*(T371))+(T371)*((S371)*(V371)-(U371)*(T371)))/W371,0)</f>
        <v/>
      </c>
      <c r="Z371">
        <f>IF(ABS(W371)&gt;1E-12,((LTP3!$D$5)*((P371)*(V371)-(U371)*(R371))-(S371)*((S371)*(V371)-(U371)*(T371))+(LTP3!$D$6)*((S371)*(R371)-(P371)*(T371)))/W371,0)</f>
        <v/>
      </c>
      <c r="AA371">
        <f>LTP3!$D$7-X371*LTP3!$D$6-Y371*U371-Z371*V371</f>
        <v/>
      </c>
      <c r="AB371">
        <f>IF(AND(F371,ABS(W371)&gt;1E-12,Y371&gt;0,Z371&gt;0),AA371,1E+300)</f>
        <v/>
      </c>
    </row>
    <row r="372">
      <c r="A372">
        <f>$B$3+$B$5*5</f>
        <v/>
      </c>
      <c r="B372">
        <f>$B$3+$B$5*55</f>
        <v/>
      </c>
      <c r="C372">
        <f>SUMPRODUCT(Calc!$K$3:$K$22*(Calc!$G$3:$G$22&lt;=A372))</f>
        <v/>
      </c>
      <c r="D372">
        <f>SUMPRODUCT(Calc!$K$3:$K$22*(Calc!$G$3:$G$22&gt;A372)*(Calc!$G$3:$G$22&lt;B372))</f>
        <v/>
      </c>
      <c r="E372">
        <f>SUMPRODUCT(Calc!$K$3:$K$22*(Calc!$G$3:$G$22&gt;=B372))</f>
        <v/>
      </c>
      <c r="F372">
        <f>AND(k_n&gt;=5,B372&gt;A372+1E-9,C372&gt;=2,D372&gt;=1,E372&gt;=2)</f>
        <v/>
      </c>
      <c r="G372">
        <f>SUMPRODUCT(Calc!$K$3:$K$22*(Calc!$G$3:$G$22&gt;A372)*(Calc!$G$3:$G$22-A372))</f>
        <v/>
      </c>
      <c r="H372">
        <f>SUMPRODUCT(Calc!$K$3:$K$22*(Calc!$G$3:$G$22&gt;B372)*(Calc!$G$3:$G$22-B372))</f>
        <v/>
      </c>
      <c r="I372">
        <f>SUMPRODUCT(Calc!$K$3:$K$22*(Calc!$G$3:$G$22&gt;A372)*(Calc!$G$3:$G$22-A372)^2)</f>
        <v/>
      </c>
      <c r="J372">
        <f>SUMPRODUCT(Calc!$K$3:$K$22*(Calc!$G$3:$G$22&gt;B372)*(Calc!$G$3:$G$22-B372)^2)</f>
        <v/>
      </c>
      <c r="K372">
        <f>SUMPRODUCT(Calc!$K$3:$K$22*(Calc!$G$3:$G$22&gt;A372)*(Calc!$G$3:$G$22-A372)*(Calc!$G$3:$G$22&gt;B372)*(Calc!$G$3:$G$22-B372))</f>
        <v/>
      </c>
      <c r="L372">
        <f>SUMPRODUCT(Calc!$K$3:$K$22*(Calc!$G$3:$G$22&gt;A372)*(Calc!$G$3:$G$22-A372)*Calc!$G$3:$G$22)</f>
        <v/>
      </c>
      <c r="M372">
        <f>SUMPRODUCT(Calc!$K$3:$K$22*(Calc!$G$3:$G$22&gt;B372)*(Calc!$G$3:$G$22-B372)*Calc!$G$3:$G$22)</f>
        <v/>
      </c>
      <c r="N372">
        <f>SUMPRODUCT(Calc!$K$3:$K$22*(Calc!$G$3:$G$22&gt;A372)*(Calc!$G$3:$G$22-A372)*Calc!$I$3:$I$22)</f>
        <v/>
      </c>
      <c r="O372">
        <f>SUMPRODUCT(Calc!$K$3:$K$22*(Calc!$G$3:$G$22&gt;B372)*(Calc!$G$3:$G$22-B372)*Calc!$I$3:$I$22)</f>
        <v/>
      </c>
      <c r="P372">
        <f>I372-G372^2/k_n</f>
        <v/>
      </c>
      <c r="Q372">
        <f>J372-H372^2/k_n</f>
        <v/>
      </c>
      <c r="R372">
        <f>K372-G372*H372/k_n</f>
        <v/>
      </c>
      <c r="S372">
        <f>L372-LTP3!$D$3*G372/k_n</f>
        <v/>
      </c>
      <c r="T372">
        <f>M372-LTP3!$D$3*H372/k_n</f>
        <v/>
      </c>
      <c r="U372">
        <f>N372-G372*LTP3!$D$4/k_n</f>
        <v/>
      </c>
      <c r="V372">
        <f>O372-H372*LTP3!$D$4/k_n</f>
        <v/>
      </c>
      <c r="W372">
        <f>((LTP3!$D$5)*((P372)*(Q372)-(R372)*(R372))-(S372)*((S372)*(Q372)-(R372)*(T372))+(T372)*((S372)*(R372)-(P372)*(T372)))</f>
        <v/>
      </c>
      <c r="X372">
        <f>IF(ABS(W372)&gt;1E-12,((LTP3!$D$6)*((P372)*(Q372)-(R372)*(R372))-(S372)*((U372)*(Q372)-(R372)*(V372))+(T372)*((U372)*(R372)-(P372)*(V372)))/W372,0)</f>
        <v/>
      </c>
      <c r="Y372">
        <f>IF(ABS(W372)&gt;1E-12,((LTP3!$D$5)*((U372)*(Q372)-(R372)*(V372))-(LTP3!$D$6)*((S372)*(Q372)-(R372)*(T372))+(T372)*((S372)*(V372)-(U372)*(T372)))/W372,0)</f>
        <v/>
      </c>
      <c r="Z372">
        <f>IF(ABS(W372)&gt;1E-12,((LTP3!$D$5)*((P372)*(V372)-(U372)*(R372))-(S372)*((S372)*(V372)-(U372)*(T372))+(LTP3!$D$6)*((S372)*(R372)-(P372)*(T372)))/W372,0)</f>
        <v/>
      </c>
      <c r="AA372">
        <f>LTP3!$D$7-X372*LTP3!$D$6-Y372*U372-Z372*V372</f>
        <v/>
      </c>
      <c r="AB372">
        <f>IF(AND(F372,ABS(W372)&gt;1E-12,Y372&gt;0,Z372&gt;0),AA372,1E+300)</f>
        <v/>
      </c>
    </row>
    <row r="373">
      <c r="A373">
        <f>$B$3+$B$5*5</f>
        <v/>
      </c>
      <c r="B373">
        <f>$B$3+$B$5*56</f>
        <v/>
      </c>
      <c r="C373">
        <f>SUMPRODUCT(Calc!$K$3:$K$22*(Calc!$G$3:$G$22&lt;=A373))</f>
        <v/>
      </c>
      <c r="D373">
        <f>SUMPRODUCT(Calc!$K$3:$K$22*(Calc!$G$3:$G$22&gt;A373)*(Calc!$G$3:$G$22&lt;B373))</f>
        <v/>
      </c>
      <c r="E373">
        <f>SUMPRODUCT(Calc!$K$3:$K$22*(Calc!$G$3:$G$22&gt;=B373))</f>
        <v/>
      </c>
      <c r="F373">
        <f>AND(k_n&gt;=5,B373&gt;A373+1E-9,C373&gt;=2,D373&gt;=1,E373&gt;=2)</f>
        <v/>
      </c>
      <c r="G373">
        <f>SUMPRODUCT(Calc!$K$3:$K$22*(Calc!$G$3:$G$22&gt;A373)*(Calc!$G$3:$G$22-A373))</f>
        <v/>
      </c>
      <c r="H373">
        <f>SUMPRODUCT(Calc!$K$3:$K$22*(Calc!$G$3:$G$22&gt;B373)*(Calc!$G$3:$G$22-B373))</f>
        <v/>
      </c>
      <c r="I373">
        <f>SUMPRODUCT(Calc!$K$3:$K$22*(Calc!$G$3:$G$22&gt;A373)*(Calc!$G$3:$G$22-A373)^2)</f>
        <v/>
      </c>
      <c r="J373">
        <f>SUMPRODUCT(Calc!$K$3:$K$22*(Calc!$G$3:$G$22&gt;B373)*(Calc!$G$3:$G$22-B373)^2)</f>
        <v/>
      </c>
      <c r="K373">
        <f>SUMPRODUCT(Calc!$K$3:$K$22*(Calc!$G$3:$G$22&gt;A373)*(Calc!$G$3:$G$22-A373)*(Calc!$G$3:$G$22&gt;B373)*(Calc!$G$3:$G$22-B373))</f>
        <v/>
      </c>
      <c r="L373">
        <f>SUMPRODUCT(Calc!$K$3:$K$22*(Calc!$G$3:$G$22&gt;A373)*(Calc!$G$3:$G$22-A373)*Calc!$G$3:$G$22)</f>
        <v/>
      </c>
      <c r="M373">
        <f>SUMPRODUCT(Calc!$K$3:$K$22*(Calc!$G$3:$G$22&gt;B373)*(Calc!$G$3:$G$22-B373)*Calc!$G$3:$G$22)</f>
        <v/>
      </c>
      <c r="N373">
        <f>SUMPRODUCT(Calc!$K$3:$K$22*(Calc!$G$3:$G$22&gt;A373)*(Calc!$G$3:$G$22-A373)*Calc!$I$3:$I$22)</f>
        <v/>
      </c>
      <c r="O373">
        <f>SUMPRODUCT(Calc!$K$3:$K$22*(Calc!$G$3:$G$22&gt;B373)*(Calc!$G$3:$G$22-B373)*Calc!$I$3:$I$22)</f>
        <v/>
      </c>
      <c r="P373">
        <f>I373-G373^2/k_n</f>
        <v/>
      </c>
      <c r="Q373">
        <f>J373-H373^2/k_n</f>
        <v/>
      </c>
      <c r="R373">
        <f>K373-G373*H373/k_n</f>
        <v/>
      </c>
      <c r="S373">
        <f>L373-LTP3!$D$3*G373/k_n</f>
        <v/>
      </c>
      <c r="T373">
        <f>M373-LTP3!$D$3*H373/k_n</f>
        <v/>
      </c>
      <c r="U373">
        <f>N373-G373*LTP3!$D$4/k_n</f>
        <v/>
      </c>
      <c r="V373">
        <f>O373-H373*LTP3!$D$4/k_n</f>
        <v/>
      </c>
      <c r="W373">
        <f>((LTP3!$D$5)*((P373)*(Q373)-(R373)*(R373))-(S373)*((S373)*(Q373)-(R373)*(T373))+(T373)*((S373)*(R373)-(P373)*(T373)))</f>
        <v/>
      </c>
      <c r="X373">
        <f>IF(ABS(W373)&gt;1E-12,((LTP3!$D$6)*((P373)*(Q373)-(R373)*(R373))-(S373)*((U373)*(Q373)-(R373)*(V373))+(T373)*((U373)*(R373)-(P373)*(V373)))/W373,0)</f>
        <v/>
      </c>
      <c r="Y373">
        <f>IF(ABS(W373)&gt;1E-12,((LTP3!$D$5)*((U373)*(Q373)-(R373)*(V373))-(LTP3!$D$6)*((S373)*(Q373)-(R373)*(T373))+(T373)*((S373)*(V373)-(U373)*(T373)))/W373,0)</f>
        <v/>
      </c>
      <c r="Z373">
        <f>IF(ABS(W373)&gt;1E-12,((LTP3!$D$5)*((P373)*(V373)-(U373)*(R373))-(S373)*((S373)*(V373)-(U373)*(T373))+(LTP3!$D$6)*((S373)*(R373)-(P373)*(T373)))/W373,0)</f>
        <v/>
      </c>
      <c r="AA373">
        <f>LTP3!$D$7-X373*LTP3!$D$6-Y373*U373-Z373*V373</f>
        <v/>
      </c>
      <c r="AB373">
        <f>IF(AND(F373,ABS(W373)&gt;1E-12,Y373&gt;0,Z373&gt;0),AA373,1E+300)</f>
        <v/>
      </c>
    </row>
    <row r="374">
      <c r="A374">
        <f>$B$3+$B$5*5</f>
        <v/>
      </c>
      <c r="B374">
        <f>$B$3+$B$5*57</f>
        <v/>
      </c>
      <c r="C374">
        <f>SUMPRODUCT(Calc!$K$3:$K$22*(Calc!$G$3:$G$22&lt;=A374))</f>
        <v/>
      </c>
      <c r="D374">
        <f>SUMPRODUCT(Calc!$K$3:$K$22*(Calc!$G$3:$G$22&gt;A374)*(Calc!$G$3:$G$22&lt;B374))</f>
        <v/>
      </c>
      <c r="E374">
        <f>SUMPRODUCT(Calc!$K$3:$K$22*(Calc!$G$3:$G$22&gt;=B374))</f>
        <v/>
      </c>
      <c r="F374">
        <f>AND(k_n&gt;=5,B374&gt;A374+1E-9,C374&gt;=2,D374&gt;=1,E374&gt;=2)</f>
        <v/>
      </c>
      <c r="G374">
        <f>SUMPRODUCT(Calc!$K$3:$K$22*(Calc!$G$3:$G$22&gt;A374)*(Calc!$G$3:$G$22-A374))</f>
        <v/>
      </c>
      <c r="H374">
        <f>SUMPRODUCT(Calc!$K$3:$K$22*(Calc!$G$3:$G$22&gt;B374)*(Calc!$G$3:$G$22-B374))</f>
        <v/>
      </c>
      <c r="I374">
        <f>SUMPRODUCT(Calc!$K$3:$K$22*(Calc!$G$3:$G$22&gt;A374)*(Calc!$G$3:$G$22-A374)^2)</f>
        <v/>
      </c>
      <c r="J374">
        <f>SUMPRODUCT(Calc!$K$3:$K$22*(Calc!$G$3:$G$22&gt;B374)*(Calc!$G$3:$G$22-B374)^2)</f>
        <v/>
      </c>
      <c r="K374">
        <f>SUMPRODUCT(Calc!$K$3:$K$22*(Calc!$G$3:$G$22&gt;A374)*(Calc!$G$3:$G$22-A374)*(Calc!$G$3:$G$22&gt;B374)*(Calc!$G$3:$G$22-B374))</f>
        <v/>
      </c>
      <c r="L374">
        <f>SUMPRODUCT(Calc!$K$3:$K$22*(Calc!$G$3:$G$22&gt;A374)*(Calc!$G$3:$G$22-A374)*Calc!$G$3:$G$22)</f>
        <v/>
      </c>
      <c r="M374">
        <f>SUMPRODUCT(Calc!$K$3:$K$22*(Calc!$G$3:$G$22&gt;B374)*(Calc!$G$3:$G$22-B374)*Calc!$G$3:$G$22)</f>
        <v/>
      </c>
      <c r="N374">
        <f>SUMPRODUCT(Calc!$K$3:$K$22*(Calc!$G$3:$G$22&gt;A374)*(Calc!$G$3:$G$22-A374)*Calc!$I$3:$I$22)</f>
        <v/>
      </c>
      <c r="O374">
        <f>SUMPRODUCT(Calc!$K$3:$K$22*(Calc!$G$3:$G$22&gt;B374)*(Calc!$G$3:$G$22-B374)*Calc!$I$3:$I$22)</f>
        <v/>
      </c>
      <c r="P374">
        <f>I374-G374^2/k_n</f>
        <v/>
      </c>
      <c r="Q374">
        <f>J374-H374^2/k_n</f>
        <v/>
      </c>
      <c r="R374">
        <f>K374-G374*H374/k_n</f>
        <v/>
      </c>
      <c r="S374">
        <f>L374-LTP3!$D$3*G374/k_n</f>
        <v/>
      </c>
      <c r="T374">
        <f>M374-LTP3!$D$3*H374/k_n</f>
        <v/>
      </c>
      <c r="U374">
        <f>N374-G374*LTP3!$D$4/k_n</f>
        <v/>
      </c>
      <c r="V374">
        <f>O374-H374*LTP3!$D$4/k_n</f>
        <v/>
      </c>
      <c r="W374">
        <f>((LTP3!$D$5)*((P374)*(Q374)-(R374)*(R374))-(S374)*((S374)*(Q374)-(R374)*(T374))+(T374)*((S374)*(R374)-(P374)*(T374)))</f>
        <v/>
      </c>
      <c r="X374">
        <f>IF(ABS(W374)&gt;1E-12,((LTP3!$D$6)*((P374)*(Q374)-(R374)*(R374))-(S374)*((U374)*(Q374)-(R374)*(V374))+(T374)*((U374)*(R374)-(P374)*(V374)))/W374,0)</f>
        <v/>
      </c>
      <c r="Y374">
        <f>IF(ABS(W374)&gt;1E-12,((LTP3!$D$5)*((U374)*(Q374)-(R374)*(V374))-(LTP3!$D$6)*((S374)*(Q374)-(R374)*(T374))+(T374)*((S374)*(V374)-(U374)*(T374)))/W374,0)</f>
        <v/>
      </c>
      <c r="Z374">
        <f>IF(ABS(W374)&gt;1E-12,((LTP3!$D$5)*((P374)*(V374)-(U374)*(R374))-(S374)*((S374)*(V374)-(U374)*(T374))+(LTP3!$D$6)*((S374)*(R374)-(P374)*(T374)))/W374,0)</f>
        <v/>
      </c>
      <c r="AA374">
        <f>LTP3!$D$7-X374*LTP3!$D$6-Y374*U374-Z374*V374</f>
        <v/>
      </c>
      <c r="AB374">
        <f>IF(AND(F374,ABS(W374)&gt;1E-12,Y374&gt;0,Z374&gt;0),AA374,1E+300)</f>
        <v/>
      </c>
    </row>
    <row r="375">
      <c r="A375">
        <f>$B$3+$B$5*5</f>
        <v/>
      </c>
      <c r="B375">
        <f>$B$3+$B$5*58</f>
        <v/>
      </c>
      <c r="C375">
        <f>SUMPRODUCT(Calc!$K$3:$K$22*(Calc!$G$3:$G$22&lt;=A375))</f>
        <v/>
      </c>
      <c r="D375">
        <f>SUMPRODUCT(Calc!$K$3:$K$22*(Calc!$G$3:$G$22&gt;A375)*(Calc!$G$3:$G$22&lt;B375))</f>
        <v/>
      </c>
      <c r="E375">
        <f>SUMPRODUCT(Calc!$K$3:$K$22*(Calc!$G$3:$G$22&gt;=B375))</f>
        <v/>
      </c>
      <c r="F375">
        <f>AND(k_n&gt;=5,B375&gt;A375+1E-9,C375&gt;=2,D375&gt;=1,E375&gt;=2)</f>
        <v/>
      </c>
      <c r="G375">
        <f>SUMPRODUCT(Calc!$K$3:$K$22*(Calc!$G$3:$G$22&gt;A375)*(Calc!$G$3:$G$22-A375))</f>
        <v/>
      </c>
      <c r="H375">
        <f>SUMPRODUCT(Calc!$K$3:$K$22*(Calc!$G$3:$G$22&gt;B375)*(Calc!$G$3:$G$22-B375))</f>
        <v/>
      </c>
      <c r="I375">
        <f>SUMPRODUCT(Calc!$K$3:$K$22*(Calc!$G$3:$G$22&gt;A375)*(Calc!$G$3:$G$22-A375)^2)</f>
        <v/>
      </c>
      <c r="J375">
        <f>SUMPRODUCT(Calc!$K$3:$K$22*(Calc!$G$3:$G$22&gt;B375)*(Calc!$G$3:$G$22-B375)^2)</f>
        <v/>
      </c>
      <c r="K375">
        <f>SUMPRODUCT(Calc!$K$3:$K$22*(Calc!$G$3:$G$22&gt;A375)*(Calc!$G$3:$G$22-A375)*(Calc!$G$3:$G$22&gt;B375)*(Calc!$G$3:$G$22-B375))</f>
        <v/>
      </c>
      <c r="L375">
        <f>SUMPRODUCT(Calc!$K$3:$K$22*(Calc!$G$3:$G$22&gt;A375)*(Calc!$G$3:$G$22-A375)*Calc!$G$3:$G$22)</f>
        <v/>
      </c>
      <c r="M375">
        <f>SUMPRODUCT(Calc!$K$3:$K$22*(Calc!$G$3:$G$22&gt;B375)*(Calc!$G$3:$G$22-B375)*Calc!$G$3:$G$22)</f>
        <v/>
      </c>
      <c r="N375">
        <f>SUMPRODUCT(Calc!$K$3:$K$22*(Calc!$G$3:$G$22&gt;A375)*(Calc!$G$3:$G$22-A375)*Calc!$I$3:$I$22)</f>
        <v/>
      </c>
      <c r="O375">
        <f>SUMPRODUCT(Calc!$K$3:$K$22*(Calc!$G$3:$G$22&gt;B375)*(Calc!$G$3:$G$22-B375)*Calc!$I$3:$I$22)</f>
        <v/>
      </c>
      <c r="P375">
        <f>I375-G375^2/k_n</f>
        <v/>
      </c>
      <c r="Q375">
        <f>J375-H375^2/k_n</f>
        <v/>
      </c>
      <c r="R375">
        <f>K375-G375*H375/k_n</f>
        <v/>
      </c>
      <c r="S375">
        <f>L375-LTP3!$D$3*G375/k_n</f>
        <v/>
      </c>
      <c r="T375">
        <f>M375-LTP3!$D$3*H375/k_n</f>
        <v/>
      </c>
      <c r="U375">
        <f>N375-G375*LTP3!$D$4/k_n</f>
        <v/>
      </c>
      <c r="V375">
        <f>O375-H375*LTP3!$D$4/k_n</f>
        <v/>
      </c>
      <c r="W375">
        <f>((LTP3!$D$5)*((P375)*(Q375)-(R375)*(R375))-(S375)*((S375)*(Q375)-(R375)*(T375))+(T375)*((S375)*(R375)-(P375)*(T375)))</f>
        <v/>
      </c>
      <c r="X375">
        <f>IF(ABS(W375)&gt;1E-12,((LTP3!$D$6)*((P375)*(Q375)-(R375)*(R375))-(S375)*((U375)*(Q375)-(R375)*(V375))+(T375)*((U375)*(R375)-(P375)*(V375)))/W375,0)</f>
        <v/>
      </c>
      <c r="Y375">
        <f>IF(ABS(W375)&gt;1E-12,((LTP3!$D$5)*((U375)*(Q375)-(R375)*(V375))-(LTP3!$D$6)*((S375)*(Q375)-(R375)*(T375))+(T375)*((S375)*(V375)-(U375)*(T375)))/W375,0)</f>
        <v/>
      </c>
      <c r="Z375">
        <f>IF(ABS(W375)&gt;1E-12,((LTP3!$D$5)*((P375)*(V375)-(U375)*(R375))-(S375)*((S375)*(V375)-(U375)*(T375))+(LTP3!$D$6)*((S375)*(R375)-(P375)*(T375)))/W375,0)</f>
        <v/>
      </c>
      <c r="AA375">
        <f>LTP3!$D$7-X375*LTP3!$D$6-Y375*U375-Z375*V375</f>
        <v/>
      </c>
      <c r="AB375">
        <f>IF(AND(F375,ABS(W375)&gt;1E-12,Y375&gt;0,Z375&gt;0),AA375,1E+300)</f>
        <v/>
      </c>
    </row>
    <row r="376">
      <c r="A376">
        <f>$B$3+$B$5*5</f>
        <v/>
      </c>
      <c r="B376">
        <f>$B$3+$B$5*59</f>
        <v/>
      </c>
      <c r="C376">
        <f>SUMPRODUCT(Calc!$K$3:$K$22*(Calc!$G$3:$G$22&lt;=A376))</f>
        <v/>
      </c>
      <c r="D376">
        <f>SUMPRODUCT(Calc!$K$3:$K$22*(Calc!$G$3:$G$22&gt;A376)*(Calc!$G$3:$G$22&lt;B376))</f>
        <v/>
      </c>
      <c r="E376">
        <f>SUMPRODUCT(Calc!$K$3:$K$22*(Calc!$G$3:$G$22&gt;=B376))</f>
        <v/>
      </c>
      <c r="F376">
        <f>AND(k_n&gt;=5,B376&gt;A376+1E-9,C376&gt;=2,D376&gt;=1,E376&gt;=2)</f>
        <v/>
      </c>
      <c r="G376">
        <f>SUMPRODUCT(Calc!$K$3:$K$22*(Calc!$G$3:$G$22&gt;A376)*(Calc!$G$3:$G$22-A376))</f>
        <v/>
      </c>
      <c r="H376">
        <f>SUMPRODUCT(Calc!$K$3:$K$22*(Calc!$G$3:$G$22&gt;B376)*(Calc!$G$3:$G$22-B376))</f>
        <v/>
      </c>
      <c r="I376">
        <f>SUMPRODUCT(Calc!$K$3:$K$22*(Calc!$G$3:$G$22&gt;A376)*(Calc!$G$3:$G$22-A376)^2)</f>
        <v/>
      </c>
      <c r="J376">
        <f>SUMPRODUCT(Calc!$K$3:$K$22*(Calc!$G$3:$G$22&gt;B376)*(Calc!$G$3:$G$22-B376)^2)</f>
        <v/>
      </c>
      <c r="K376">
        <f>SUMPRODUCT(Calc!$K$3:$K$22*(Calc!$G$3:$G$22&gt;A376)*(Calc!$G$3:$G$22-A376)*(Calc!$G$3:$G$22&gt;B376)*(Calc!$G$3:$G$22-B376))</f>
        <v/>
      </c>
      <c r="L376">
        <f>SUMPRODUCT(Calc!$K$3:$K$22*(Calc!$G$3:$G$22&gt;A376)*(Calc!$G$3:$G$22-A376)*Calc!$G$3:$G$22)</f>
        <v/>
      </c>
      <c r="M376">
        <f>SUMPRODUCT(Calc!$K$3:$K$22*(Calc!$G$3:$G$22&gt;B376)*(Calc!$G$3:$G$22-B376)*Calc!$G$3:$G$22)</f>
        <v/>
      </c>
      <c r="N376">
        <f>SUMPRODUCT(Calc!$K$3:$K$22*(Calc!$G$3:$G$22&gt;A376)*(Calc!$G$3:$G$22-A376)*Calc!$I$3:$I$22)</f>
        <v/>
      </c>
      <c r="O376">
        <f>SUMPRODUCT(Calc!$K$3:$K$22*(Calc!$G$3:$G$22&gt;B376)*(Calc!$G$3:$G$22-B376)*Calc!$I$3:$I$22)</f>
        <v/>
      </c>
      <c r="P376">
        <f>I376-G376^2/k_n</f>
        <v/>
      </c>
      <c r="Q376">
        <f>J376-H376^2/k_n</f>
        <v/>
      </c>
      <c r="R376">
        <f>K376-G376*H376/k_n</f>
        <v/>
      </c>
      <c r="S376">
        <f>L376-LTP3!$D$3*G376/k_n</f>
        <v/>
      </c>
      <c r="T376">
        <f>M376-LTP3!$D$3*H376/k_n</f>
        <v/>
      </c>
      <c r="U376">
        <f>N376-G376*LTP3!$D$4/k_n</f>
        <v/>
      </c>
      <c r="V376">
        <f>O376-H376*LTP3!$D$4/k_n</f>
        <v/>
      </c>
      <c r="W376">
        <f>((LTP3!$D$5)*((P376)*(Q376)-(R376)*(R376))-(S376)*((S376)*(Q376)-(R376)*(T376))+(T376)*((S376)*(R376)-(P376)*(T376)))</f>
        <v/>
      </c>
      <c r="X376">
        <f>IF(ABS(W376)&gt;1E-12,((LTP3!$D$6)*((P376)*(Q376)-(R376)*(R376))-(S376)*((U376)*(Q376)-(R376)*(V376))+(T376)*((U376)*(R376)-(P376)*(V376)))/W376,0)</f>
        <v/>
      </c>
      <c r="Y376">
        <f>IF(ABS(W376)&gt;1E-12,((LTP3!$D$5)*((U376)*(Q376)-(R376)*(V376))-(LTP3!$D$6)*((S376)*(Q376)-(R376)*(T376))+(T376)*((S376)*(V376)-(U376)*(T376)))/W376,0)</f>
        <v/>
      </c>
      <c r="Z376">
        <f>IF(ABS(W376)&gt;1E-12,((LTP3!$D$5)*((P376)*(V376)-(U376)*(R376))-(S376)*((S376)*(V376)-(U376)*(T376))+(LTP3!$D$6)*((S376)*(R376)-(P376)*(T376)))/W376,0)</f>
        <v/>
      </c>
      <c r="AA376">
        <f>LTP3!$D$7-X376*LTP3!$D$6-Y376*U376-Z376*V376</f>
        <v/>
      </c>
      <c r="AB376">
        <f>IF(AND(F376,ABS(W376)&gt;1E-12,Y376&gt;0,Z376&gt;0),AA376,1E+300)</f>
        <v/>
      </c>
    </row>
    <row r="377">
      <c r="A377">
        <f>$B$3+$B$5*5</f>
        <v/>
      </c>
      <c r="B377">
        <f>$B$3+$B$5*60</f>
        <v/>
      </c>
      <c r="C377">
        <f>SUMPRODUCT(Calc!$K$3:$K$22*(Calc!$G$3:$G$22&lt;=A377))</f>
        <v/>
      </c>
      <c r="D377">
        <f>SUMPRODUCT(Calc!$K$3:$K$22*(Calc!$G$3:$G$22&gt;A377)*(Calc!$G$3:$G$22&lt;B377))</f>
        <v/>
      </c>
      <c r="E377">
        <f>SUMPRODUCT(Calc!$K$3:$K$22*(Calc!$G$3:$G$22&gt;=B377))</f>
        <v/>
      </c>
      <c r="F377">
        <f>AND(k_n&gt;=5,B377&gt;A377+1E-9,C377&gt;=2,D377&gt;=1,E377&gt;=2)</f>
        <v/>
      </c>
      <c r="G377">
        <f>SUMPRODUCT(Calc!$K$3:$K$22*(Calc!$G$3:$G$22&gt;A377)*(Calc!$G$3:$G$22-A377))</f>
        <v/>
      </c>
      <c r="H377">
        <f>SUMPRODUCT(Calc!$K$3:$K$22*(Calc!$G$3:$G$22&gt;B377)*(Calc!$G$3:$G$22-B377))</f>
        <v/>
      </c>
      <c r="I377">
        <f>SUMPRODUCT(Calc!$K$3:$K$22*(Calc!$G$3:$G$22&gt;A377)*(Calc!$G$3:$G$22-A377)^2)</f>
        <v/>
      </c>
      <c r="J377">
        <f>SUMPRODUCT(Calc!$K$3:$K$22*(Calc!$G$3:$G$22&gt;B377)*(Calc!$G$3:$G$22-B377)^2)</f>
        <v/>
      </c>
      <c r="K377">
        <f>SUMPRODUCT(Calc!$K$3:$K$22*(Calc!$G$3:$G$22&gt;A377)*(Calc!$G$3:$G$22-A377)*(Calc!$G$3:$G$22&gt;B377)*(Calc!$G$3:$G$22-B377))</f>
        <v/>
      </c>
      <c r="L377">
        <f>SUMPRODUCT(Calc!$K$3:$K$22*(Calc!$G$3:$G$22&gt;A377)*(Calc!$G$3:$G$22-A377)*Calc!$G$3:$G$22)</f>
        <v/>
      </c>
      <c r="M377">
        <f>SUMPRODUCT(Calc!$K$3:$K$22*(Calc!$G$3:$G$22&gt;B377)*(Calc!$G$3:$G$22-B377)*Calc!$G$3:$G$22)</f>
        <v/>
      </c>
      <c r="N377">
        <f>SUMPRODUCT(Calc!$K$3:$K$22*(Calc!$G$3:$G$22&gt;A377)*(Calc!$G$3:$G$22-A377)*Calc!$I$3:$I$22)</f>
        <v/>
      </c>
      <c r="O377">
        <f>SUMPRODUCT(Calc!$K$3:$K$22*(Calc!$G$3:$G$22&gt;B377)*(Calc!$G$3:$G$22-B377)*Calc!$I$3:$I$22)</f>
        <v/>
      </c>
      <c r="P377">
        <f>I377-G377^2/k_n</f>
        <v/>
      </c>
      <c r="Q377">
        <f>J377-H377^2/k_n</f>
        <v/>
      </c>
      <c r="R377">
        <f>K377-G377*H377/k_n</f>
        <v/>
      </c>
      <c r="S377">
        <f>L377-LTP3!$D$3*G377/k_n</f>
        <v/>
      </c>
      <c r="T377">
        <f>M377-LTP3!$D$3*H377/k_n</f>
        <v/>
      </c>
      <c r="U377">
        <f>N377-G377*LTP3!$D$4/k_n</f>
        <v/>
      </c>
      <c r="V377">
        <f>O377-H377*LTP3!$D$4/k_n</f>
        <v/>
      </c>
      <c r="W377">
        <f>((LTP3!$D$5)*((P377)*(Q377)-(R377)*(R377))-(S377)*((S377)*(Q377)-(R377)*(T377))+(T377)*((S377)*(R377)-(P377)*(T377)))</f>
        <v/>
      </c>
      <c r="X377">
        <f>IF(ABS(W377)&gt;1E-12,((LTP3!$D$6)*((P377)*(Q377)-(R377)*(R377))-(S377)*((U377)*(Q377)-(R377)*(V377))+(T377)*((U377)*(R377)-(P377)*(V377)))/W377,0)</f>
        <v/>
      </c>
      <c r="Y377">
        <f>IF(ABS(W377)&gt;1E-12,((LTP3!$D$5)*((U377)*(Q377)-(R377)*(V377))-(LTP3!$D$6)*((S377)*(Q377)-(R377)*(T377))+(T377)*((S377)*(V377)-(U377)*(T377)))/W377,0)</f>
        <v/>
      </c>
      <c r="Z377">
        <f>IF(ABS(W377)&gt;1E-12,((LTP3!$D$5)*((P377)*(V377)-(U377)*(R377))-(S377)*((S377)*(V377)-(U377)*(T377))+(LTP3!$D$6)*((S377)*(R377)-(P377)*(T377)))/W377,0)</f>
        <v/>
      </c>
      <c r="AA377">
        <f>LTP3!$D$7-X377*LTP3!$D$6-Y377*U377-Z377*V377</f>
        <v/>
      </c>
      <c r="AB377">
        <f>IF(AND(F377,ABS(W377)&gt;1E-12,Y377&gt;0,Z377&gt;0),AA377,1E+300)</f>
        <v/>
      </c>
    </row>
    <row r="378">
      <c r="A378">
        <f>$B$3+$B$5*6</f>
        <v/>
      </c>
      <c r="B378">
        <f>$B$3+$B$5*0</f>
        <v/>
      </c>
      <c r="C378">
        <f>SUMPRODUCT(Calc!$K$3:$K$22*(Calc!$G$3:$G$22&lt;=A378))</f>
        <v/>
      </c>
      <c r="D378">
        <f>SUMPRODUCT(Calc!$K$3:$K$22*(Calc!$G$3:$G$22&gt;A378)*(Calc!$G$3:$G$22&lt;B378))</f>
        <v/>
      </c>
      <c r="E378">
        <f>SUMPRODUCT(Calc!$K$3:$K$22*(Calc!$G$3:$G$22&gt;=B378))</f>
        <v/>
      </c>
      <c r="F378">
        <f>AND(k_n&gt;=5,B378&gt;A378+1E-9,C378&gt;=2,D378&gt;=1,E378&gt;=2)</f>
        <v/>
      </c>
      <c r="G378">
        <f>SUMPRODUCT(Calc!$K$3:$K$22*(Calc!$G$3:$G$22&gt;A378)*(Calc!$G$3:$G$22-A378))</f>
        <v/>
      </c>
      <c r="H378">
        <f>SUMPRODUCT(Calc!$K$3:$K$22*(Calc!$G$3:$G$22&gt;B378)*(Calc!$G$3:$G$22-B378))</f>
        <v/>
      </c>
      <c r="I378">
        <f>SUMPRODUCT(Calc!$K$3:$K$22*(Calc!$G$3:$G$22&gt;A378)*(Calc!$G$3:$G$22-A378)^2)</f>
        <v/>
      </c>
      <c r="J378">
        <f>SUMPRODUCT(Calc!$K$3:$K$22*(Calc!$G$3:$G$22&gt;B378)*(Calc!$G$3:$G$22-B378)^2)</f>
        <v/>
      </c>
      <c r="K378">
        <f>SUMPRODUCT(Calc!$K$3:$K$22*(Calc!$G$3:$G$22&gt;A378)*(Calc!$G$3:$G$22-A378)*(Calc!$G$3:$G$22&gt;B378)*(Calc!$G$3:$G$22-B378))</f>
        <v/>
      </c>
      <c r="L378">
        <f>SUMPRODUCT(Calc!$K$3:$K$22*(Calc!$G$3:$G$22&gt;A378)*(Calc!$G$3:$G$22-A378)*Calc!$G$3:$G$22)</f>
        <v/>
      </c>
      <c r="M378">
        <f>SUMPRODUCT(Calc!$K$3:$K$22*(Calc!$G$3:$G$22&gt;B378)*(Calc!$G$3:$G$22-B378)*Calc!$G$3:$G$22)</f>
        <v/>
      </c>
      <c r="N378">
        <f>SUMPRODUCT(Calc!$K$3:$K$22*(Calc!$G$3:$G$22&gt;A378)*(Calc!$G$3:$G$22-A378)*Calc!$I$3:$I$22)</f>
        <v/>
      </c>
      <c r="O378">
        <f>SUMPRODUCT(Calc!$K$3:$K$22*(Calc!$G$3:$G$22&gt;B378)*(Calc!$G$3:$G$22-B378)*Calc!$I$3:$I$22)</f>
        <v/>
      </c>
      <c r="P378">
        <f>I378-G378^2/k_n</f>
        <v/>
      </c>
      <c r="Q378">
        <f>J378-H378^2/k_n</f>
        <v/>
      </c>
      <c r="R378">
        <f>K378-G378*H378/k_n</f>
        <v/>
      </c>
      <c r="S378">
        <f>L378-LTP3!$D$3*G378/k_n</f>
        <v/>
      </c>
      <c r="T378">
        <f>M378-LTP3!$D$3*H378/k_n</f>
        <v/>
      </c>
      <c r="U378">
        <f>N378-G378*LTP3!$D$4/k_n</f>
        <v/>
      </c>
      <c r="V378">
        <f>O378-H378*LTP3!$D$4/k_n</f>
        <v/>
      </c>
      <c r="W378">
        <f>((LTP3!$D$5)*((P378)*(Q378)-(R378)*(R378))-(S378)*((S378)*(Q378)-(R378)*(T378))+(T378)*((S378)*(R378)-(P378)*(T378)))</f>
        <v/>
      </c>
      <c r="X378">
        <f>IF(ABS(W378)&gt;1E-12,((LTP3!$D$6)*((P378)*(Q378)-(R378)*(R378))-(S378)*((U378)*(Q378)-(R378)*(V378))+(T378)*((U378)*(R378)-(P378)*(V378)))/W378,0)</f>
        <v/>
      </c>
      <c r="Y378">
        <f>IF(ABS(W378)&gt;1E-12,((LTP3!$D$5)*((U378)*(Q378)-(R378)*(V378))-(LTP3!$D$6)*((S378)*(Q378)-(R378)*(T378))+(T378)*((S378)*(V378)-(U378)*(T378)))/W378,0)</f>
        <v/>
      </c>
      <c r="Z378">
        <f>IF(ABS(W378)&gt;1E-12,((LTP3!$D$5)*((P378)*(V378)-(U378)*(R378))-(S378)*((S378)*(V378)-(U378)*(T378))+(LTP3!$D$6)*((S378)*(R378)-(P378)*(T378)))/W378,0)</f>
        <v/>
      </c>
      <c r="AA378">
        <f>LTP3!$D$7-X378*LTP3!$D$6-Y378*U378-Z378*V378</f>
        <v/>
      </c>
      <c r="AB378">
        <f>IF(AND(F378,ABS(W378)&gt;1E-12,Y378&gt;0,Z378&gt;0),AA378,1E+300)</f>
        <v/>
      </c>
    </row>
    <row r="379">
      <c r="A379">
        <f>$B$3+$B$5*6</f>
        <v/>
      </c>
      <c r="B379">
        <f>$B$3+$B$5*1</f>
        <v/>
      </c>
      <c r="C379">
        <f>SUMPRODUCT(Calc!$K$3:$K$22*(Calc!$G$3:$G$22&lt;=A379))</f>
        <v/>
      </c>
      <c r="D379">
        <f>SUMPRODUCT(Calc!$K$3:$K$22*(Calc!$G$3:$G$22&gt;A379)*(Calc!$G$3:$G$22&lt;B379))</f>
        <v/>
      </c>
      <c r="E379">
        <f>SUMPRODUCT(Calc!$K$3:$K$22*(Calc!$G$3:$G$22&gt;=B379))</f>
        <v/>
      </c>
      <c r="F379">
        <f>AND(k_n&gt;=5,B379&gt;A379+1E-9,C379&gt;=2,D379&gt;=1,E379&gt;=2)</f>
        <v/>
      </c>
      <c r="G379">
        <f>SUMPRODUCT(Calc!$K$3:$K$22*(Calc!$G$3:$G$22&gt;A379)*(Calc!$G$3:$G$22-A379))</f>
        <v/>
      </c>
      <c r="H379">
        <f>SUMPRODUCT(Calc!$K$3:$K$22*(Calc!$G$3:$G$22&gt;B379)*(Calc!$G$3:$G$22-B379))</f>
        <v/>
      </c>
      <c r="I379">
        <f>SUMPRODUCT(Calc!$K$3:$K$22*(Calc!$G$3:$G$22&gt;A379)*(Calc!$G$3:$G$22-A379)^2)</f>
        <v/>
      </c>
      <c r="J379">
        <f>SUMPRODUCT(Calc!$K$3:$K$22*(Calc!$G$3:$G$22&gt;B379)*(Calc!$G$3:$G$22-B379)^2)</f>
        <v/>
      </c>
      <c r="K379">
        <f>SUMPRODUCT(Calc!$K$3:$K$22*(Calc!$G$3:$G$22&gt;A379)*(Calc!$G$3:$G$22-A379)*(Calc!$G$3:$G$22&gt;B379)*(Calc!$G$3:$G$22-B379))</f>
        <v/>
      </c>
      <c r="L379">
        <f>SUMPRODUCT(Calc!$K$3:$K$22*(Calc!$G$3:$G$22&gt;A379)*(Calc!$G$3:$G$22-A379)*Calc!$G$3:$G$22)</f>
        <v/>
      </c>
      <c r="M379">
        <f>SUMPRODUCT(Calc!$K$3:$K$22*(Calc!$G$3:$G$22&gt;B379)*(Calc!$G$3:$G$22-B379)*Calc!$G$3:$G$22)</f>
        <v/>
      </c>
      <c r="N379">
        <f>SUMPRODUCT(Calc!$K$3:$K$22*(Calc!$G$3:$G$22&gt;A379)*(Calc!$G$3:$G$22-A379)*Calc!$I$3:$I$22)</f>
        <v/>
      </c>
      <c r="O379">
        <f>SUMPRODUCT(Calc!$K$3:$K$22*(Calc!$G$3:$G$22&gt;B379)*(Calc!$G$3:$G$22-B379)*Calc!$I$3:$I$22)</f>
        <v/>
      </c>
      <c r="P379">
        <f>I379-G379^2/k_n</f>
        <v/>
      </c>
      <c r="Q379">
        <f>J379-H379^2/k_n</f>
        <v/>
      </c>
      <c r="R379">
        <f>K379-G379*H379/k_n</f>
        <v/>
      </c>
      <c r="S379">
        <f>L379-LTP3!$D$3*G379/k_n</f>
        <v/>
      </c>
      <c r="T379">
        <f>M379-LTP3!$D$3*H379/k_n</f>
        <v/>
      </c>
      <c r="U379">
        <f>N379-G379*LTP3!$D$4/k_n</f>
        <v/>
      </c>
      <c r="V379">
        <f>O379-H379*LTP3!$D$4/k_n</f>
        <v/>
      </c>
      <c r="W379">
        <f>((LTP3!$D$5)*((P379)*(Q379)-(R379)*(R379))-(S379)*((S379)*(Q379)-(R379)*(T379))+(T379)*((S379)*(R379)-(P379)*(T379)))</f>
        <v/>
      </c>
      <c r="X379">
        <f>IF(ABS(W379)&gt;1E-12,((LTP3!$D$6)*((P379)*(Q379)-(R379)*(R379))-(S379)*((U379)*(Q379)-(R379)*(V379))+(T379)*((U379)*(R379)-(P379)*(V379)))/W379,0)</f>
        <v/>
      </c>
      <c r="Y379">
        <f>IF(ABS(W379)&gt;1E-12,((LTP3!$D$5)*((U379)*(Q379)-(R379)*(V379))-(LTP3!$D$6)*((S379)*(Q379)-(R379)*(T379))+(T379)*((S379)*(V379)-(U379)*(T379)))/W379,0)</f>
        <v/>
      </c>
      <c r="Z379">
        <f>IF(ABS(W379)&gt;1E-12,((LTP3!$D$5)*((P379)*(V379)-(U379)*(R379))-(S379)*((S379)*(V379)-(U379)*(T379))+(LTP3!$D$6)*((S379)*(R379)-(P379)*(T379)))/W379,0)</f>
        <v/>
      </c>
      <c r="AA379">
        <f>LTP3!$D$7-X379*LTP3!$D$6-Y379*U379-Z379*V379</f>
        <v/>
      </c>
      <c r="AB379">
        <f>IF(AND(F379,ABS(W379)&gt;1E-12,Y379&gt;0,Z379&gt;0),AA379,1E+300)</f>
        <v/>
      </c>
    </row>
    <row r="380">
      <c r="A380">
        <f>$B$3+$B$5*6</f>
        <v/>
      </c>
      <c r="B380">
        <f>$B$3+$B$5*2</f>
        <v/>
      </c>
      <c r="C380">
        <f>SUMPRODUCT(Calc!$K$3:$K$22*(Calc!$G$3:$G$22&lt;=A380))</f>
        <v/>
      </c>
      <c r="D380">
        <f>SUMPRODUCT(Calc!$K$3:$K$22*(Calc!$G$3:$G$22&gt;A380)*(Calc!$G$3:$G$22&lt;B380))</f>
        <v/>
      </c>
      <c r="E380">
        <f>SUMPRODUCT(Calc!$K$3:$K$22*(Calc!$G$3:$G$22&gt;=B380))</f>
        <v/>
      </c>
      <c r="F380">
        <f>AND(k_n&gt;=5,B380&gt;A380+1E-9,C380&gt;=2,D380&gt;=1,E380&gt;=2)</f>
        <v/>
      </c>
      <c r="G380">
        <f>SUMPRODUCT(Calc!$K$3:$K$22*(Calc!$G$3:$G$22&gt;A380)*(Calc!$G$3:$G$22-A380))</f>
        <v/>
      </c>
      <c r="H380">
        <f>SUMPRODUCT(Calc!$K$3:$K$22*(Calc!$G$3:$G$22&gt;B380)*(Calc!$G$3:$G$22-B380))</f>
        <v/>
      </c>
      <c r="I380">
        <f>SUMPRODUCT(Calc!$K$3:$K$22*(Calc!$G$3:$G$22&gt;A380)*(Calc!$G$3:$G$22-A380)^2)</f>
        <v/>
      </c>
      <c r="J380">
        <f>SUMPRODUCT(Calc!$K$3:$K$22*(Calc!$G$3:$G$22&gt;B380)*(Calc!$G$3:$G$22-B380)^2)</f>
        <v/>
      </c>
      <c r="K380">
        <f>SUMPRODUCT(Calc!$K$3:$K$22*(Calc!$G$3:$G$22&gt;A380)*(Calc!$G$3:$G$22-A380)*(Calc!$G$3:$G$22&gt;B380)*(Calc!$G$3:$G$22-B380))</f>
        <v/>
      </c>
      <c r="L380">
        <f>SUMPRODUCT(Calc!$K$3:$K$22*(Calc!$G$3:$G$22&gt;A380)*(Calc!$G$3:$G$22-A380)*Calc!$G$3:$G$22)</f>
        <v/>
      </c>
      <c r="M380">
        <f>SUMPRODUCT(Calc!$K$3:$K$22*(Calc!$G$3:$G$22&gt;B380)*(Calc!$G$3:$G$22-B380)*Calc!$G$3:$G$22)</f>
        <v/>
      </c>
      <c r="N380">
        <f>SUMPRODUCT(Calc!$K$3:$K$22*(Calc!$G$3:$G$22&gt;A380)*(Calc!$G$3:$G$22-A380)*Calc!$I$3:$I$22)</f>
        <v/>
      </c>
      <c r="O380">
        <f>SUMPRODUCT(Calc!$K$3:$K$22*(Calc!$G$3:$G$22&gt;B380)*(Calc!$G$3:$G$22-B380)*Calc!$I$3:$I$22)</f>
        <v/>
      </c>
      <c r="P380">
        <f>I380-G380^2/k_n</f>
        <v/>
      </c>
      <c r="Q380">
        <f>J380-H380^2/k_n</f>
        <v/>
      </c>
      <c r="R380">
        <f>K380-G380*H380/k_n</f>
        <v/>
      </c>
      <c r="S380">
        <f>L380-LTP3!$D$3*G380/k_n</f>
        <v/>
      </c>
      <c r="T380">
        <f>M380-LTP3!$D$3*H380/k_n</f>
        <v/>
      </c>
      <c r="U380">
        <f>N380-G380*LTP3!$D$4/k_n</f>
        <v/>
      </c>
      <c r="V380">
        <f>O380-H380*LTP3!$D$4/k_n</f>
        <v/>
      </c>
      <c r="W380">
        <f>((LTP3!$D$5)*((P380)*(Q380)-(R380)*(R380))-(S380)*((S380)*(Q380)-(R380)*(T380))+(T380)*((S380)*(R380)-(P380)*(T380)))</f>
        <v/>
      </c>
      <c r="X380">
        <f>IF(ABS(W380)&gt;1E-12,((LTP3!$D$6)*((P380)*(Q380)-(R380)*(R380))-(S380)*((U380)*(Q380)-(R380)*(V380))+(T380)*((U380)*(R380)-(P380)*(V380)))/W380,0)</f>
        <v/>
      </c>
      <c r="Y380">
        <f>IF(ABS(W380)&gt;1E-12,((LTP3!$D$5)*((U380)*(Q380)-(R380)*(V380))-(LTP3!$D$6)*((S380)*(Q380)-(R380)*(T380))+(T380)*((S380)*(V380)-(U380)*(T380)))/W380,0)</f>
        <v/>
      </c>
      <c r="Z380">
        <f>IF(ABS(W380)&gt;1E-12,((LTP3!$D$5)*((P380)*(V380)-(U380)*(R380))-(S380)*((S380)*(V380)-(U380)*(T380))+(LTP3!$D$6)*((S380)*(R380)-(P380)*(T380)))/W380,0)</f>
        <v/>
      </c>
      <c r="AA380">
        <f>LTP3!$D$7-X380*LTP3!$D$6-Y380*U380-Z380*V380</f>
        <v/>
      </c>
      <c r="AB380">
        <f>IF(AND(F380,ABS(W380)&gt;1E-12,Y380&gt;0,Z380&gt;0),AA380,1E+300)</f>
        <v/>
      </c>
    </row>
    <row r="381">
      <c r="A381">
        <f>$B$3+$B$5*6</f>
        <v/>
      </c>
      <c r="B381">
        <f>$B$3+$B$5*3</f>
        <v/>
      </c>
      <c r="C381">
        <f>SUMPRODUCT(Calc!$K$3:$K$22*(Calc!$G$3:$G$22&lt;=A381))</f>
        <v/>
      </c>
      <c r="D381">
        <f>SUMPRODUCT(Calc!$K$3:$K$22*(Calc!$G$3:$G$22&gt;A381)*(Calc!$G$3:$G$22&lt;B381))</f>
        <v/>
      </c>
      <c r="E381">
        <f>SUMPRODUCT(Calc!$K$3:$K$22*(Calc!$G$3:$G$22&gt;=B381))</f>
        <v/>
      </c>
      <c r="F381">
        <f>AND(k_n&gt;=5,B381&gt;A381+1E-9,C381&gt;=2,D381&gt;=1,E381&gt;=2)</f>
        <v/>
      </c>
      <c r="G381">
        <f>SUMPRODUCT(Calc!$K$3:$K$22*(Calc!$G$3:$G$22&gt;A381)*(Calc!$G$3:$G$22-A381))</f>
        <v/>
      </c>
      <c r="H381">
        <f>SUMPRODUCT(Calc!$K$3:$K$22*(Calc!$G$3:$G$22&gt;B381)*(Calc!$G$3:$G$22-B381))</f>
        <v/>
      </c>
      <c r="I381">
        <f>SUMPRODUCT(Calc!$K$3:$K$22*(Calc!$G$3:$G$22&gt;A381)*(Calc!$G$3:$G$22-A381)^2)</f>
        <v/>
      </c>
      <c r="J381">
        <f>SUMPRODUCT(Calc!$K$3:$K$22*(Calc!$G$3:$G$22&gt;B381)*(Calc!$G$3:$G$22-B381)^2)</f>
        <v/>
      </c>
      <c r="K381">
        <f>SUMPRODUCT(Calc!$K$3:$K$22*(Calc!$G$3:$G$22&gt;A381)*(Calc!$G$3:$G$22-A381)*(Calc!$G$3:$G$22&gt;B381)*(Calc!$G$3:$G$22-B381))</f>
        <v/>
      </c>
      <c r="L381">
        <f>SUMPRODUCT(Calc!$K$3:$K$22*(Calc!$G$3:$G$22&gt;A381)*(Calc!$G$3:$G$22-A381)*Calc!$G$3:$G$22)</f>
        <v/>
      </c>
      <c r="M381">
        <f>SUMPRODUCT(Calc!$K$3:$K$22*(Calc!$G$3:$G$22&gt;B381)*(Calc!$G$3:$G$22-B381)*Calc!$G$3:$G$22)</f>
        <v/>
      </c>
      <c r="N381">
        <f>SUMPRODUCT(Calc!$K$3:$K$22*(Calc!$G$3:$G$22&gt;A381)*(Calc!$G$3:$G$22-A381)*Calc!$I$3:$I$22)</f>
        <v/>
      </c>
      <c r="O381">
        <f>SUMPRODUCT(Calc!$K$3:$K$22*(Calc!$G$3:$G$22&gt;B381)*(Calc!$G$3:$G$22-B381)*Calc!$I$3:$I$22)</f>
        <v/>
      </c>
      <c r="P381">
        <f>I381-G381^2/k_n</f>
        <v/>
      </c>
      <c r="Q381">
        <f>J381-H381^2/k_n</f>
        <v/>
      </c>
      <c r="R381">
        <f>K381-G381*H381/k_n</f>
        <v/>
      </c>
      <c r="S381">
        <f>L381-LTP3!$D$3*G381/k_n</f>
        <v/>
      </c>
      <c r="T381">
        <f>M381-LTP3!$D$3*H381/k_n</f>
        <v/>
      </c>
      <c r="U381">
        <f>N381-G381*LTP3!$D$4/k_n</f>
        <v/>
      </c>
      <c r="V381">
        <f>O381-H381*LTP3!$D$4/k_n</f>
        <v/>
      </c>
      <c r="W381">
        <f>((LTP3!$D$5)*((P381)*(Q381)-(R381)*(R381))-(S381)*((S381)*(Q381)-(R381)*(T381))+(T381)*((S381)*(R381)-(P381)*(T381)))</f>
        <v/>
      </c>
      <c r="X381">
        <f>IF(ABS(W381)&gt;1E-12,((LTP3!$D$6)*((P381)*(Q381)-(R381)*(R381))-(S381)*((U381)*(Q381)-(R381)*(V381))+(T381)*((U381)*(R381)-(P381)*(V381)))/W381,0)</f>
        <v/>
      </c>
      <c r="Y381">
        <f>IF(ABS(W381)&gt;1E-12,((LTP3!$D$5)*((U381)*(Q381)-(R381)*(V381))-(LTP3!$D$6)*((S381)*(Q381)-(R381)*(T381))+(T381)*((S381)*(V381)-(U381)*(T381)))/W381,0)</f>
        <v/>
      </c>
      <c r="Z381">
        <f>IF(ABS(W381)&gt;1E-12,((LTP3!$D$5)*((P381)*(V381)-(U381)*(R381))-(S381)*((S381)*(V381)-(U381)*(T381))+(LTP3!$D$6)*((S381)*(R381)-(P381)*(T381)))/W381,0)</f>
        <v/>
      </c>
      <c r="AA381">
        <f>LTP3!$D$7-X381*LTP3!$D$6-Y381*U381-Z381*V381</f>
        <v/>
      </c>
      <c r="AB381">
        <f>IF(AND(F381,ABS(W381)&gt;1E-12,Y381&gt;0,Z381&gt;0),AA381,1E+300)</f>
        <v/>
      </c>
    </row>
    <row r="382">
      <c r="A382">
        <f>$B$3+$B$5*6</f>
        <v/>
      </c>
      <c r="B382">
        <f>$B$3+$B$5*4</f>
        <v/>
      </c>
      <c r="C382">
        <f>SUMPRODUCT(Calc!$K$3:$K$22*(Calc!$G$3:$G$22&lt;=A382))</f>
        <v/>
      </c>
      <c r="D382">
        <f>SUMPRODUCT(Calc!$K$3:$K$22*(Calc!$G$3:$G$22&gt;A382)*(Calc!$G$3:$G$22&lt;B382))</f>
        <v/>
      </c>
      <c r="E382">
        <f>SUMPRODUCT(Calc!$K$3:$K$22*(Calc!$G$3:$G$22&gt;=B382))</f>
        <v/>
      </c>
      <c r="F382">
        <f>AND(k_n&gt;=5,B382&gt;A382+1E-9,C382&gt;=2,D382&gt;=1,E382&gt;=2)</f>
        <v/>
      </c>
      <c r="G382">
        <f>SUMPRODUCT(Calc!$K$3:$K$22*(Calc!$G$3:$G$22&gt;A382)*(Calc!$G$3:$G$22-A382))</f>
        <v/>
      </c>
      <c r="H382">
        <f>SUMPRODUCT(Calc!$K$3:$K$22*(Calc!$G$3:$G$22&gt;B382)*(Calc!$G$3:$G$22-B382))</f>
        <v/>
      </c>
      <c r="I382">
        <f>SUMPRODUCT(Calc!$K$3:$K$22*(Calc!$G$3:$G$22&gt;A382)*(Calc!$G$3:$G$22-A382)^2)</f>
        <v/>
      </c>
      <c r="J382">
        <f>SUMPRODUCT(Calc!$K$3:$K$22*(Calc!$G$3:$G$22&gt;B382)*(Calc!$G$3:$G$22-B382)^2)</f>
        <v/>
      </c>
      <c r="K382">
        <f>SUMPRODUCT(Calc!$K$3:$K$22*(Calc!$G$3:$G$22&gt;A382)*(Calc!$G$3:$G$22-A382)*(Calc!$G$3:$G$22&gt;B382)*(Calc!$G$3:$G$22-B382))</f>
        <v/>
      </c>
      <c r="L382">
        <f>SUMPRODUCT(Calc!$K$3:$K$22*(Calc!$G$3:$G$22&gt;A382)*(Calc!$G$3:$G$22-A382)*Calc!$G$3:$G$22)</f>
        <v/>
      </c>
      <c r="M382">
        <f>SUMPRODUCT(Calc!$K$3:$K$22*(Calc!$G$3:$G$22&gt;B382)*(Calc!$G$3:$G$22-B382)*Calc!$G$3:$G$22)</f>
        <v/>
      </c>
      <c r="N382">
        <f>SUMPRODUCT(Calc!$K$3:$K$22*(Calc!$G$3:$G$22&gt;A382)*(Calc!$G$3:$G$22-A382)*Calc!$I$3:$I$22)</f>
        <v/>
      </c>
      <c r="O382">
        <f>SUMPRODUCT(Calc!$K$3:$K$22*(Calc!$G$3:$G$22&gt;B382)*(Calc!$G$3:$G$22-B382)*Calc!$I$3:$I$22)</f>
        <v/>
      </c>
      <c r="P382">
        <f>I382-G382^2/k_n</f>
        <v/>
      </c>
      <c r="Q382">
        <f>J382-H382^2/k_n</f>
        <v/>
      </c>
      <c r="R382">
        <f>K382-G382*H382/k_n</f>
        <v/>
      </c>
      <c r="S382">
        <f>L382-LTP3!$D$3*G382/k_n</f>
        <v/>
      </c>
      <c r="T382">
        <f>M382-LTP3!$D$3*H382/k_n</f>
        <v/>
      </c>
      <c r="U382">
        <f>N382-G382*LTP3!$D$4/k_n</f>
        <v/>
      </c>
      <c r="V382">
        <f>O382-H382*LTP3!$D$4/k_n</f>
        <v/>
      </c>
      <c r="W382">
        <f>((LTP3!$D$5)*((P382)*(Q382)-(R382)*(R382))-(S382)*((S382)*(Q382)-(R382)*(T382))+(T382)*((S382)*(R382)-(P382)*(T382)))</f>
        <v/>
      </c>
      <c r="X382">
        <f>IF(ABS(W382)&gt;1E-12,((LTP3!$D$6)*((P382)*(Q382)-(R382)*(R382))-(S382)*((U382)*(Q382)-(R382)*(V382))+(T382)*((U382)*(R382)-(P382)*(V382)))/W382,0)</f>
        <v/>
      </c>
      <c r="Y382">
        <f>IF(ABS(W382)&gt;1E-12,((LTP3!$D$5)*((U382)*(Q382)-(R382)*(V382))-(LTP3!$D$6)*((S382)*(Q382)-(R382)*(T382))+(T382)*((S382)*(V382)-(U382)*(T382)))/W382,0)</f>
        <v/>
      </c>
      <c r="Z382">
        <f>IF(ABS(W382)&gt;1E-12,((LTP3!$D$5)*((P382)*(V382)-(U382)*(R382))-(S382)*((S382)*(V382)-(U382)*(T382))+(LTP3!$D$6)*((S382)*(R382)-(P382)*(T382)))/W382,0)</f>
        <v/>
      </c>
      <c r="AA382">
        <f>LTP3!$D$7-X382*LTP3!$D$6-Y382*U382-Z382*V382</f>
        <v/>
      </c>
      <c r="AB382">
        <f>IF(AND(F382,ABS(W382)&gt;1E-12,Y382&gt;0,Z382&gt;0),AA382,1E+300)</f>
        <v/>
      </c>
    </row>
    <row r="383">
      <c r="A383">
        <f>$B$3+$B$5*6</f>
        <v/>
      </c>
      <c r="B383">
        <f>$B$3+$B$5*5</f>
        <v/>
      </c>
      <c r="C383">
        <f>SUMPRODUCT(Calc!$K$3:$K$22*(Calc!$G$3:$G$22&lt;=A383))</f>
        <v/>
      </c>
      <c r="D383">
        <f>SUMPRODUCT(Calc!$K$3:$K$22*(Calc!$G$3:$G$22&gt;A383)*(Calc!$G$3:$G$22&lt;B383))</f>
        <v/>
      </c>
      <c r="E383">
        <f>SUMPRODUCT(Calc!$K$3:$K$22*(Calc!$G$3:$G$22&gt;=B383))</f>
        <v/>
      </c>
      <c r="F383">
        <f>AND(k_n&gt;=5,B383&gt;A383+1E-9,C383&gt;=2,D383&gt;=1,E383&gt;=2)</f>
        <v/>
      </c>
      <c r="G383">
        <f>SUMPRODUCT(Calc!$K$3:$K$22*(Calc!$G$3:$G$22&gt;A383)*(Calc!$G$3:$G$22-A383))</f>
        <v/>
      </c>
      <c r="H383">
        <f>SUMPRODUCT(Calc!$K$3:$K$22*(Calc!$G$3:$G$22&gt;B383)*(Calc!$G$3:$G$22-B383))</f>
        <v/>
      </c>
      <c r="I383">
        <f>SUMPRODUCT(Calc!$K$3:$K$22*(Calc!$G$3:$G$22&gt;A383)*(Calc!$G$3:$G$22-A383)^2)</f>
        <v/>
      </c>
      <c r="J383">
        <f>SUMPRODUCT(Calc!$K$3:$K$22*(Calc!$G$3:$G$22&gt;B383)*(Calc!$G$3:$G$22-B383)^2)</f>
        <v/>
      </c>
      <c r="K383">
        <f>SUMPRODUCT(Calc!$K$3:$K$22*(Calc!$G$3:$G$22&gt;A383)*(Calc!$G$3:$G$22-A383)*(Calc!$G$3:$G$22&gt;B383)*(Calc!$G$3:$G$22-B383))</f>
        <v/>
      </c>
      <c r="L383">
        <f>SUMPRODUCT(Calc!$K$3:$K$22*(Calc!$G$3:$G$22&gt;A383)*(Calc!$G$3:$G$22-A383)*Calc!$G$3:$G$22)</f>
        <v/>
      </c>
      <c r="M383">
        <f>SUMPRODUCT(Calc!$K$3:$K$22*(Calc!$G$3:$G$22&gt;B383)*(Calc!$G$3:$G$22-B383)*Calc!$G$3:$G$22)</f>
        <v/>
      </c>
      <c r="N383">
        <f>SUMPRODUCT(Calc!$K$3:$K$22*(Calc!$G$3:$G$22&gt;A383)*(Calc!$G$3:$G$22-A383)*Calc!$I$3:$I$22)</f>
        <v/>
      </c>
      <c r="O383">
        <f>SUMPRODUCT(Calc!$K$3:$K$22*(Calc!$G$3:$G$22&gt;B383)*(Calc!$G$3:$G$22-B383)*Calc!$I$3:$I$22)</f>
        <v/>
      </c>
      <c r="P383">
        <f>I383-G383^2/k_n</f>
        <v/>
      </c>
      <c r="Q383">
        <f>J383-H383^2/k_n</f>
        <v/>
      </c>
      <c r="R383">
        <f>K383-G383*H383/k_n</f>
        <v/>
      </c>
      <c r="S383">
        <f>L383-LTP3!$D$3*G383/k_n</f>
        <v/>
      </c>
      <c r="T383">
        <f>M383-LTP3!$D$3*H383/k_n</f>
        <v/>
      </c>
      <c r="U383">
        <f>N383-G383*LTP3!$D$4/k_n</f>
        <v/>
      </c>
      <c r="V383">
        <f>O383-H383*LTP3!$D$4/k_n</f>
        <v/>
      </c>
      <c r="W383">
        <f>((LTP3!$D$5)*((P383)*(Q383)-(R383)*(R383))-(S383)*((S383)*(Q383)-(R383)*(T383))+(T383)*((S383)*(R383)-(P383)*(T383)))</f>
        <v/>
      </c>
      <c r="X383">
        <f>IF(ABS(W383)&gt;1E-12,((LTP3!$D$6)*((P383)*(Q383)-(R383)*(R383))-(S383)*((U383)*(Q383)-(R383)*(V383))+(T383)*((U383)*(R383)-(P383)*(V383)))/W383,0)</f>
        <v/>
      </c>
      <c r="Y383">
        <f>IF(ABS(W383)&gt;1E-12,((LTP3!$D$5)*((U383)*(Q383)-(R383)*(V383))-(LTP3!$D$6)*((S383)*(Q383)-(R383)*(T383))+(T383)*((S383)*(V383)-(U383)*(T383)))/W383,0)</f>
        <v/>
      </c>
      <c r="Z383">
        <f>IF(ABS(W383)&gt;1E-12,((LTP3!$D$5)*((P383)*(V383)-(U383)*(R383))-(S383)*((S383)*(V383)-(U383)*(T383))+(LTP3!$D$6)*((S383)*(R383)-(P383)*(T383)))/W383,0)</f>
        <v/>
      </c>
      <c r="AA383">
        <f>LTP3!$D$7-X383*LTP3!$D$6-Y383*U383-Z383*V383</f>
        <v/>
      </c>
      <c r="AB383">
        <f>IF(AND(F383,ABS(W383)&gt;1E-12,Y383&gt;0,Z383&gt;0),AA383,1E+300)</f>
        <v/>
      </c>
    </row>
    <row r="384">
      <c r="A384">
        <f>$B$3+$B$5*6</f>
        <v/>
      </c>
      <c r="B384">
        <f>$B$3+$B$5*6</f>
        <v/>
      </c>
      <c r="C384">
        <f>SUMPRODUCT(Calc!$K$3:$K$22*(Calc!$G$3:$G$22&lt;=A384))</f>
        <v/>
      </c>
      <c r="D384">
        <f>SUMPRODUCT(Calc!$K$3:$K$22*(Calc!$G$3:$G$22&gt;A384)*(Calc!$G$3:$G$22&lt;B384))</f>
        <v/>
      </c>
      <c r="E384">
        <f>SUMPRODUCT(Calc!$K$3:$K$22*(Calc!$G$3:$G$22&gt;=B384))</f>
        <v/>
      </c>
      <c r="F384">
        <f>AND(k_n&gt;=5,B384&gt;A384+1E-9,C384&gt;=2,D384&gt;=1,E384&gt;=2)</f>
        <v/>
      </c>
      <c r="G384">
        <f>SUMPRODUCT(Calc!$K$3:$K$22*(Calc!$G$3:$G$22&gt;A384)*(Calc!$G$3:$G$22-A384))</f>
        <v/>
      </c>
      <c r="H384">
        <f>SUMPRODUCT(Calc!$K$3:$K$22*(Calc!$G$3:$G$22&gt;B384)*(Calc!$G$3:$G$22-B384))</f>
        <v/>
      </c>
      <c r="I384">
        <f>SUMPRODUCT(Calc!$K$3:$K$22*(Calc!$G$3:$G$22&gt;A384)*(Calc!$G$3:$G$22-A384)^2)</f>
        <v/>
      </c>
      <c r="J384">
        <f>SUMPRODUCT(Calc!$K$3:$K$22*(Calc!$G$3:$G$22&gt;B384)*(Calc!$G$3:$G$22-B384)^2)</f>
        <v/>
      </c>
      <c r="K384">
        <f>SUMPRODUCT(Calc!$K$3:$K$22*(Calc!$G$3:$G$22&gt;A384)*(Calc!$G$3:$G$22-A384)*(Calc!$G$3:$G$22&gt;B384)*(Calc!$G$3:$G$22-B384))</f>
        <v/>
      </c>
      <c r="L384">
        <f>SUMPRODUCT(Calc!$K$3:$K$22*(Calc!$G$3:$G$22&gt;A384)*(Calc!$G$3:$G$22-A384)*Calc!$G$3:$G$22)</f>
        <v/>
      </c>
      <c r="M384">
        <f>SUMPRODUCT(Calc!$K$3:$K$22*(Calc!$G$3:$G$22&gt;B384)*(Calc!$G$3:$G$22-B384)*Calc!$G$3:$G$22)</f>
        <v/>
      </c>
      <c r="N384">
        <f>SUMPRODUCT(Calc!$K$3:$K$22*(Calc!$G$3:$G$22&gt;A384)*(Calc!$G$3:$G$22-A384)*Calc!$I$3:$I$22)</f>
        <v/>
      </c>
      <c r="O384">
        <f>SUMPRODUCT(Calc!$K$3:$K$22*(Calc!$G$3:$G$22&gt;B384)*(Calc!$G$3:$G$22-B384)*Calc!$I$3:$I$22)</f>
        <v/>
      </c>
      <c r="P384">
        <f>I384-G384^2/k_n</f>
        <v/>
      </c>
      <c r="Q384">
        <f>J384-H384^2/k_n</f>
        <v/>
      </c>
      <c r="R384">
        <f>K384-G384*H384/k_n</f>
        <v/>
      </c>
      <c r="S384">
        <f>L384-LTP3!$D$3*G384/k_n</f>
        <v/>
      </c>
      <c r="T384">
        <f>M384-LTP3!$D$3*H384/k_n</f>
        <v/>
      </c>
      <c r="U384">
        <f>N384-G384*LTP3!$D$4/k_n</f>
        <v/>
      </c>
      <c r="V384">
        <f>O384-H384*LTP3!$D$4/k_n</f>
        <v/>
      </c>
      <c r="W384">
        <f>((LTP3!$D$5)*((P384)*(Q384)-(R384)*(R384))-(S384)*((S384)*(Q384)-(R384)*(T384))+(T384)*((S384)*(R384)-(P384)*(T384)))</f>
        <v/>
      </c>
      <c r="X384">
        <f>IF(ABS(W384)&gt;1E-12,((LTP3!$D$6)*((P384)*(Q384)-(R384)*(R384))-(S384)*((U384)*(Q384)-(R384)*(V384))+(T384)*((U384)*(R384)-(P384)*(V384)))/W384,0)</f>
        <v/>
      </c>
      <c r="Y384">
        <f>IF(ABS(W384)&gt;1E-12,((LTP3!$D$5)*((U384)*(Q384)-(R384)*(V384))-(LTP3!$D$6)*((S384)*(Q384)-(R384)*(T384))+(T384)*((S384)*(V384)-(U384)*(T384)))/W384,0)</f>
        <v/>
      </c>
      <c r="Z384">
        <f>IF(ABS(W384)&gt;1E-12,((LTP3!$D$5)*((P384)*(V384)-(U384)*(R384))-(S384)*((S384)*(V384)-(U384)*(T384))+(LTP3!$D$6)*((S384)*(R384)-(P384)*(T384)))/W384,0)</f>
        <v/>
      </c>
      <c r="AA384">
        <f>LTP3!$D$7-X384*LTP3!$D$6-Y384*U384-Z384*V384</f>
        <v/>
      </c>
      <c r="AB384">
        <f>IF(AND(F384,ABS(W384)&gt;1E-12,Y384&gt;0,Z384&gt;0),AA384,1E+300)</f>
        <v/>
      </c>
    </row>
    <row r="385">
      <c r="A385">
        <f>$B$3+$B$5*6</f>
        <v/>
      </c>
      <c r="B385">
        <f>$B$3+$B$5*7</f>
        <v/>
      </c>
      <c r="C385">
        <f>SUMPRODUCT(Calc!$K$3:$K$22*(Calc!$G$3:$G$22&lt;=A385))</f>
        <v/>
      </c>
      <c r="D385">
        <f>SUMPRODUCT(Calc!$K$3:$K$22*(Calc!$G$3:$G$22&gt;A385)*(Calc!$G$3:$G$22&lt;B385))</f>
        <v/>
      </c>
      <c r="E385">
        <f>SUMPRODUCT(Calc!$K$3:$K$22*(Calc!$G$3:$G$22&gt;=B385))</f>
        <v/>
      </c>
      <c r="F385">
        <f>AND(k_n&gt;=5,B385&gt;A385+1E-9,C385&gt;=2,D385&gt;=1,E385&gt;=2)</f>
        <v/>
      </c>
      <c r="G385">
        <f>SUMPRODUCT(Calc!$K$3:$K$22*(Calc!$G$3:$G$22&gt;A385)*(Calc!$G$3:$G$22-A385))</f>
        <v/>
      </c>
      <c r="H385">
        <f>SUMPRODUCT(Calc!$K$3:$K$22*(Calc!$G$3:$G$22&gt;B385)*(Calc!$G$3:$G$22-B385))</f>
        <v/>
      </c>
      <c r="I385">
        <f>SUMPRODUCT(Calc!$K$3:$K$22*(Calc!$G$3:$G$22&gt;A385)*(Calc!$G$3:$G$22-A385)^2)</f>
        <v/>
      </c>
      <c r="J385">
        <f>SUMPRODUCT(Calc!$K$3:$K$22*(Calc!$G$3:$G$22&gt;B385)*(Calc!$G$3:$G$22-B385)^2)</f>
        <v/>
      </c>
      <c r="K385">
        <f>SUMPRODUCT(Calc!$K$3:$K$22*(Calc!$G$3:$G$22&gt;A385)*(Calc!$G$3:$G$22-A385)*(Calc!$G$3:$G$22&gt;B385)*(Calc!$G$3:$G$22-B385))</f>
        <v/>
      </c>
      <c r="L385">
        <f>SUMPRODUCT(Calc!$K$3:$K$22*(Calc!$G$3:$G$22&gt;A385)*(Calc!$G$3:$G$22-A385)*Calc!$G$3:$G$22)</f>
        <v/>
      </c>
      <c r="M385">
        <f>SUMPRODUCT(Calc!$K$3:$K$22*(Calc!$G$3:$G$22&gt;B385)*(Calc!$G$3:$G$22-B385)*Calc!$G$3:$G$22)</f>
        <v/>
      </c>
      <c r="N385">
        <f>SUMPRODUCT(Calc!$K$3:$K$22*(Calc!$G$3:$G$22&gt;A385)*(Calc!$G$3:$G$22-A385)*Calc!$I$3:$I$22)</f>
        <v/>
      </c>
      <c r="O385">
        <f>SUMPRODUCT(Calc!$K$3:$K$22*(Calc!$G$3:$G$22&gt;B385)*(Calc!$G$3:$G$22-B385)*Calc!$I$3:$I$22)</f>
        <v/>
      </c>
      <c r="P385">
        <f>I385-G385^2/k_n</f>
        <v/>
      </c>
      <c r="Q385">
        <f>J385-H385^2/k_n</f>
        <v/>
      </c>
      <c r="R385">
        <f>K385-G385*H385/k_n</f>
        <v/>
      </c>
      <c r="S385">
        <f>L385-LTP3!$D$3*G385/k_n</f>
        <v/>
      </c>
      <c r="T385">
        <f>M385-LTP3!$D$3*H385/k_n</f>
        <v/>
      </c>
      <c r="U385">
        <f>N385-G385*LTP3!$D$4/k_n</f>
        <v/>
      </c>
      <c r="V385">
        <f>O385-H385*LTP3!$D$4/k_n</f>
        <v/>
      </c>
      <c r="W385">
        <f>((LTP3!$D$5)*((P385)*(Q385)-(R385)*(R385))-(S385)*((S385)*(Q385)-(R385)*(T385))+(T385)*((S385)*(R385)-(P385)*(T385)))</f>
        <v/>
      </c>
      <c r="X385">
        <f>IF(ABS(W385)&gt;1E-12,((LTP3!$D$6)*((P385)*(Q385)-(R385)*(R385))-(S385)*((U385)*(Q385)-(R385)*(V385))+(T385)*((U385)*(R385)-(P385)*(V385)))/W385,0)</f>
        <v/>
      </c>
      <c r="Y385">
        <f>IF(ABS(W385)&gt;1E-12,((LTP3!$D$5)*((U385)*(Q385)-(R385)*(V385))-(LTP3!$D$6)*((S385)*(Q385)-(R385)*(T385))+(T385)*((S385)*(V385)-(U385)*(T385)))/W385,0)</f>
        <v/>
      </c>
      <c r="Z385">
        <f>IF(ABS(W385)&gt;1E-12,((LTP3!$D$5)*((P385)*(V385)-(U385)*(R385))-(S385)*((S385)*(V385)-(U385)*(T385))+(LTP3!$D$6)*((S385)*(R385)-(P385)*(T385)))/W385,0)</f>
        <v/>
      </c>
      <c r="AA385">
        <f>LTP3!$D$7-X385*LTP3!$D$6-Y385*U385-Z385*V385</f>
        <v/>
      </c>
      <c r="AB385">
        <f>IF(AND(F385,ABS(W385)&gt;1E-12,Y385&gt;0,Z385&gt;0),AA385,1E+300)</f>
        <v/>
      </c>
    </row>
    <row r="386">
      <c r="A386">
        <f>$B$3+$B$5*6</f>
        <v/>
      </c>
      <c r="B386">
        <f>$B$3+$B$5*8</f>
        <v/>
      </c>
      <c r="C386">
        <f>SUMPRODUCT(Calc!$K$3:$K$22*(Calc!$G$3:$G$22&lt;=A386))</f>
        <v/>
      </c>
      <c r="D386">
        <f>SUMPRODUCT(Calc!$K$3:$K$22*(Calc!$G$3:$G$22&gt;A386)*(Calc!$G$3:$G$22&lt;B386))</f>
        <v/>
      </c>
      <c r="E386">
        <f>SUMPRODUCT(Calc!$K$3:$K$22*(Calc!$G$3:$G$22&gt;=B386))</f>
        <v/>
      </c>
      <c r="F386">
        <f>AND(k_n&gt;=5,B386&gt;A386+1E-9,C386&gt;=2,D386&gt;=1,E386&gt;=2)</f>
        <v/>
      </c>
      <c r="G386">
        <f>SUMPRODUCT(Calc!$K$3:$K$22*(Calc!$G$3:$G$22&gt;A386)*(Calc!$G$3:$G$22-A386))</f>
        <v/>
      </c>
      <c r="H386">
        <f>SUMPRODUCT(Calc!$K$3:$K$22*(Calc!$G$3:$G$22&gt;B386)*(Calc!$G$3:$G$22-B386))</f>
        <v/>
      </c>
      <c r="I386">
        <f>SUMPRODUCT(Calc!$K$3:$K$22*(Calc!$G$3:$G$22&gt;A386)*(Calc!$G$3:$G$22-A386)^2)</f>
        <v/>
      </c>
      <c r="J386">
        <f>SUMPRODUCT(Calc!$K$3:$K$22*(Calc!$G$3:$G$22&gt;B386)*(Calc!$G$3:$G$22-B386)^2)</f>
        <v/>
      </c>
      <c r="K386">
        <f>SUMPRODUCT(Calc!$K$3:$K$22*(Calc!$G$3:$G$22&gt;A386)*(Calc!$G$3:$G$22-A386)*(Calc!$G$3:$G$22&gt;B386)*(Calc!$G$3:$G$22-B386))</f>
        <v/>
      </c>
      <c r="L386">
        <f>SUMPRODUCT(Calc!$K$3:$K$22*(Calc!$G$3:$G$22&gt;A386)*(Calc!$G$3:$G$22-A386)*Calc!$G$3:$G$22)</f>
        <v/>
      </c>
      <c r="M386">
        <f>SUMPRODUCT(Calc!$K$3:$K$22*(Calc!$G$3:$G$22&gt;B386)*(Calc!$G$3:$G$22-B386)*Calc!$G$3:$G$22)</f>
        <v/>
      </c>
      <c r="N386">
        <f>SUMPRODUCT(Calc!$K$3:$K$22*(Calc!$G$3:$G$22&gt;A386)*(Calc!$G$3:$G$22-A386)*Calc!$I$3:$I$22)</f>
        <v/>
      </c>
      <c r="O386">
        <f>SUMPRODUCT(Calc!$K$3:$K$22*(Calc!$G$3:$G$22&gt;B386)*(Calc!$G$3:$G$22-B386)*Calc!$I$3:$I$22)</f>
        <v/>
      </c>
      <c r="P386">
        <f>I386-G386^2/k_n</f>
        <v/>
      </c>
      <c r="Q386">
        <f>J386-H386^2/k_n</f>
        <v/>
      </c>
      <c r="R386">
        <f>K386-G386*H386/k_n</f>
        <v/>
      </c>
      <c r="S386">
        <f>L386-LTP3!$D$3*G386/k_n</f>
        <v/>
      </c>
      <c r="T386">
        <f>M386-LTP3!$D$3*H386/k_n</f>
        <v/>
      </c>
      <c r="U386">
        <f>N386-G386*LTP3!$D$4/k_n</f>
        <v/>
      </c>
      <c r="V386">
        <f>O386-H386*LTP3!$D$4/k_n</f>
        <v/>
      </c>
      <c r="W386">
        <f>((LTP3!$D$5)*((P386)*(Q386)-(R386)*(R386))-(S386)*((S386)*(Q386)-(R386)*(T386))+(T386)*((S386)*(R386)-(P386)*(T386)))</f>
        <v/>
      </c>
      <c r="X386">
        <f>IF(ABS(W386)&gt;1E-12,((LTP3!$D$6)*((P386)*(Q386)-(R386)*(R386))-(S386)*((U386)*(Q386)-(R386)*(V386))+(T386)*((U386)*(R386)-(P386)*(V386)))/W386,0)</f>
        <v/>
      </c>
      <c r="Y386">
        <f>IF(ABS(W386)&gt;1E-12,((LTP3!$D$5)*((U386)*(Q386)-(R386)*(V386))-(LTP3!$D$6)*((S386)*(Q386)-(R386)*(T386))+(T386)*((S386)*(V386)-(U386)*(T386)))/W386,0)</f>
        <v/>
      </c>
      <c r="Z386">
        <f>IF(ABS(W386)&gt;1E-12,((LTP3!$D$5)*((P386)*(V386)-(U386)*(R386))-(S386)*((S386)*(V386)-(U386)*(T386))+(LTP3!$D$6)*((S386)*(R386)-(P386)*(T386)))/W386,0)</f>
        <v/>
      </c>
      <c r="AA386">
        <f>LTP3!$D$7-X386*LTP3!$D$6-Y386*U386-Z386*V386</f>
        <v/>
      </c>
      <c r="AB386">
        <f>IF(AND(F386,ABS(W386)&gt;1E-12,Y386&gt;0,Z386&gt;0),AA386,1E+300)</f>
        <v/>
      </c>
    </row>
    <row r="387">
      <c r="A387">
        <f>$B$3+$B$5*6</f>
        <v/>
      </c>
      <c r="B387">
        <f>$B$3+$B$5*9</f>
        <v/>
      </c>
      <c r="C387">
        <f>SUMPRODUCT(Calc!$K$3:$K$22*(Calc!$G$3:$G$22&lt;=A387))</f>
        <v/>
      </c>
      <c r="D387">
        <f>SUMPRODUCT(Calc!$K$3:$K$22*(Calc!$G$3:$G$22&gt;A387)*(Calc!$G$3:$G$22&lt;B387))</f>
        <v/>
      </c>
      <c r="E387">
        <f>SUMPRODUCT(Calc!$K$3:$K$22*(Calc!$G$3:$G$22&gt;=B387))</f>
        <v/>
      </c>
      <c r="F387">
        <f>AND(k_n&gt;=5,B387&gt;A387+1E-9,C387&gt;=2,D387&gt;=1,E387&gt;=2)</f>
        <v/>
      </c>
      <c r="G387">
        <f>SUMPRODUCT(Calc!$K$3:$K$22*(Calc!$G$3:$G$22&gt;A387)*(Calc!$G$3:$G$22-A387))</f>
        <v/>
      </c>
      <c r="H387">
        <f>SUMPRODUCT(Calc!$K$3:$K$22*(Calc!$G$3:$G$22&gt;B387)*(Calc!$G$3:$G$22-B387))</f>
        <v/>
      </c>
      <c r="I387">
        <f>SUMPRODUCT(Calc!$K$3:$K$22*(Calc!$G$3:$G$22&gt;A387)*(Calc!$G$3:$G$22-A387)^2)</f>
        <v/>
      </c>
      <c r="J387">
        <f>SUMPRODUCT(Calc!$K$3:$K$22*(Calc!$G$3:$G$22&gt;B387)*(Calc!$G$3:$G$22-B387)^2)</f>
        <v/>
      </c>
      <c r="K387">
        <f>SUMPRODUCT(Calc!$K$3:$K$22*(Calc!$G$3:$G$22&gt;A387)*(Calc!$G$3:$G$22-A387)*(Calc!$G$3:$G$22&gt;B387)*(Calc!$G$3:$G$22-B387))</f>
        <v/>
      </c>
      <c r="L387">
        <f>SUMPRODUCT(Calc!$K$3:$K$22*(Calc!$G$3:$G$22&gt;A387)*(Calc!$G$3:$G$22-A387)*Calc!$G$3:$G$22)</f>
        <v/>
      </c>
      <c r="M387">
        <f>SUMPRODUCT(Calc!$K$3:$K$22*(Calc!$G$3:$G$22&gt;B387)*(Calc!$G$3:$G$22-B387)*Calc!$G$3:$G$22)</f>
        <v/>
      </c>
      <c r="N387">
        <f>SUMPRODUCT(Calc!$K$3:$K$22*(Calc!$G$3:$G$22&gt;A387)*(Calc!$G$3:$G$22-A387)*Calc!$I$3:$I$22)</f>
        <v/>
      </c>
      <c r="O387">
        <f>SUMPRODUCT(Calc!$K$3:$K$22*(Calc!$G$3:$G$22&gt;B387)*(Calc!$G$3:$G$22-B387)*Calc!$I$3:$I$22)</f>
        <v/>
      </c>
      <c r="P387">
        <f>I387-G387^2/k_n</f>
        <v/>
      </c>
      <c r="Q387">
        <f>J387-H387^2/k_n</f>
        <v/>
      </c>
      <c r="R387">
        <f>K387-G387*H387/k_n</f>
        <v/>
      </c>
      <c r="S387">
        <f>L387-LTP3!$D$3*G387/k_n</f>
        <v/>
      </c>
      <c r="T387">
        <f>M387-LTP3!$D$3*H387/k_n</f>
        <v/>
      </c>
      <c r="U387">
        <f>N387-G387*LTP3!$D$4/k_n</f>
        <v/>
      </c>
      <c r="V387">
        <f>O387-H387*LTP3!$D$4/k_n</f>
        <v/>
      </c>
      <c r="W387">
        <f>((LTP3!$D$5)*((P387)*(Q387)-(R387)*(R387))-(S387)*((S387)*(Q387)-(R387)*(T387))+(T387)*((S387)*(R387)-(P387)*(T387)))</f>
        <v/>
      </c>
      <c r="X387">
        <f>IF(ABS(W387)&gt;1E-12,((LTP3!$D$6)*((P387)*(Q387)-(R387)*(R387))-(S387)*((U387)*(Q387)-(R387)*(V387))+(T387)*((U387)*(R387)-(P387)*(V387)))/W387,0)</f>
        <v/>
      </c>
      <c r="Y387">
        <f>IF(ABS(W387)&gt;1E-12,((LTP3!$D$5)*((U387)*(Q387)-(R387)*(V387))-(LTP3!$D$6)*((S387)*(Q387)-(R387)*(T387))+(T387)*((S387)*(V387)-(U387)*(T387)))/W387,0)</f>
        <v/>
      </c>
      <c r="Z387">
        <f>IF(ABS(W387)&gt;1E-12,((LTP3!$D$5)*((P387)*(V387)-(U387)*(R387))-(S387)*((S387)*(V387)-(U387)*(T387))+(LTP3!$D$6)*((S387)*(R387)-(P387)*(T387)))/W387,0)</f>
        <v/>
      </c>
      <c r="AA387">
        <f>LTP3!$D$7-X387*LTP3!$D$6-Y387*U387-Z387*V387</f>
        <v/>
      </c>
      <c r="AB387">
        <f>IF(AND(F387,ABS(W387)&gt;1E-12,Y387&gt;0,Z387&gt;0),AA387,1E+300)</f>
        <v/>
      </c>
    </row>
    <row r="388">
      <c r="A388">
        <f>$B$3+$B$5*6</f>
        <v/>
      </c>
      <c r="B388">
        <f>$B$3+$B$5*10</f>
        <v/>
      </c>
      <c r="C388">
        <f>SUMPRODUCT(Calc!$K$3:$K$22*(Calc!$G$3:$G$22&lt;=A388))</f>
        <v/>
      </c>
      <c r="D388">
        <f>SUMPRODUCT(Calc!$K$3:$K$22*(Calc!$G$3:$G$22&gt;A388)*(Calc!$G$3:$G$22&lt;B388))</f>
        <v/>
      </c>
      <c r="E388">
        <f>SUMPRODUCT(Calc!$K$3:$K$22*(Calc!$G$3:$G$22&gt;=B388))</f>
        <v/>
      </c>
      <c r="F388">
        <f>AND(k_n&gt;=5,B388&gt;A388+1E-9,C388&gt;=2,D388&gt;=1,E388&gt;=2)</f>
        <v/>
      </c>
      <c r="G388">
        <f>SUMPRODUCT(Calc!$K$3:$K$22*(Calc!$G$3:$G$22&gt;A388)*(Calc!$G$3:$G$22-A388))</f>
        <v/>
      </c>
      <c r="H388">
        <f>SUMPRODUCT(Calc!$K$3:$K$22*(Calc!$G$3:$G$22&gt;B388)*(Calc!$G$3:$G$22-B388))</f>
        <v/>
      </c>
      <c r="I388">
        <f>SUMPRODUCT(Calc!$K$3:$K$22*(Calc!$G$3:$G$22&gt;A388)*(Calc!$G$3:$G$22-A388)^2)</f>
        <v/>
      </c>
      <c r="J388">
        <f>SUMPRODUCT(Calc!$K$3:$K$22*(Calc!$G$3:$G$22&gt;B388)*(Calc!$G$3:$G$22-B388)^2)</f>
        <v/>
      </c>
      <c r="K388">
        <f>SUMPRODUCT(Calc!$K$3:$K$22*(Calc!$G$3:$G$22&gt;A388)*(Calc!$G$3:$G$22-A388)*(Calc!$G$3:$G$22&gt;B388)*(Calc!$G$3:$G$22-B388))</f>
        <v/>
      </c>
      <c r="L388">
        <f>SUMPRODUCT(Calc!$K$3:$K$22*(Calc!$G$3:$G$22&gt;A388)*(Calc!$G$3:$G$22-A388)*Calc!$G$3:$G$22)</f>
        <v/>
      </c>
      <c r="M388">
        <f>SUMPRODUCT(Calc!$K$3:$K$22*(Calc!$G$3:$G$22&gt;B388)*(Calc!$G$3:$G$22-B388)*Calc!$G$3:$G$22)</f>
        <v/>
      </c>
      <c r="N388">
        <f>SUMPRODUCT(Calc!$K$3:$K$22*(Calc!$G$3:$G$22&gt;A388)*(Calc!$G$3:$G$22-A388)*Calc!$I$3:$I$22)</f>
        <v/>
      </c>
      <c r="O388">
        <f>SUMPRODUCT(Calc!$K$3:$K$22*(Calc!$G$3:$G$22&gt;B388)*(Calc!$G$3:$G$22-B388)*Calc!$I$3:$I$22)</f>
        <v/>
      </c>
      <c r="P388">
        <f>I388-G388^2/k_n</f>
        <v/>
      </c>
      <c r="Q388">
        <f>J388-H388^2/k_n</f>
        <v/>
      </c>
      <c r="R388">
        <f>K388-G388*H388/k_n</f>
        <v/>
      </c>
      <c r="S388">
        <f>L388-LTP3!$D$3*G388/k_n</f>
        <v/>
      </c>
      <c r="T388">
        <f>M388-LTP3!$D$3*H388/k_n</f>
        <v/>
      </c>
      <c r="U388">
        <f>N388-G388*LTP3!$D$4/k_n</f>
        <v/>
      </c>
      <c r="V388">
        <f>O388-H388*LTP3!$D$4/k_n</f>
        <v/>
      </c>
      <c r="W388">
        <f>((LTP3!$D$5)*((P388)*(Q388)-(R388)*(R388))-(S388)*((S388)*(Q388)-(R388)*(T388))+(T388)*((S388)*(R388)-(P388)*(T388)))</f>
        <v/>
      </c>
      <c r="X388">
        <f>IF(ABS(W388)&gt;1E-12,((LTP3!$D$6)*((P388)*(Q388)-(R388)*(R388))-(S388)*((U388)*(Q388)-(R388)*(V388))+(T388)*((U388)*(R388)-(P388)*(V388)))/W388,0)</f>
        <v/>
      </c>
      <c r="Y388">
        <f>IF(ABS(W388)&gt;1E-12,((LTP3!$D$5)*((U388)*(Q388)-(R388)*(V388))-(LTP3!$D$6)*((S388)*(Q388)-(R388)*(T388))+(T388)*((S388)*(V388)-(U388)*(T388)))/W388,0)</f>
        <v/>
      </c>
      <c r="Z388">
        <f>IF(ABS(W388)&gt;1E-12,((LTP3!$D$5)*((P388)*(V388)-(U388)*(R388))-(S388)*((S388)*(V388)-(U388)*(T388))+(LTP3!$D$6)*((S388)*(R388)-(P388)*(T388)))/W388,0)</f>
        <v/>
      </c>
      <c r="AA388">
        <f>LTP3!$D$7-X388*LTP3!$D$6-Y388*U388-Z388*V388</f>
        <v/>
      </c>
      <c r="AB388">
        <f>IF(AND(F388,ABS(W388)&gt;1E-12,Y388&gt;0,Z388&gt;0),AA388,1E+300)</f>
        <v/>
      </c>
    </row>
    <row r="389">
      <c r="A389">
        <f>$B$3+$B$5*6</f>
        <v/>
      </c>
      <c r="B389">
        <f>$B$3+$B$5*11</f>
        <v/>
      </c>
      <c r="C389">
        <f>SUMPRODUCT(Calc!$K$3:$K$22*(Calc!$G$3:$G$22&lt;=A389))</f>
        <v/>
      </c>
      <c r="D389">
        <f>SUMPRODUCT(Calc!$K$3:$K$22*(Calc!$G$3:$G$22&gt;A389)*(Calc!$G$3:$G$22&lt;B389))</f>
        <v/>
      </c>
      <c r="E389">
        <f>SUMPRODUCT(Calc!$K$3:$K$22*(Calc!$G$3:$G$22&gt;=B389))</f>
        <v/>
      </c>
      <c r="F389">
        <f>AND(k_n&gt;=5,B389&gt;A389+1E-9,C389&gt;=2,D389&gt;=1,E389&gt;=2)</f>
        <v/>
      </c>
      <c r="G389">
        <f>SUMPRODUCT(Calc!$K$3:$K$22*(Calc!$G$3:$G$22&gt;A389)*(Calc!$G$3:$G$22-A389))</f>
        <v/>
      </c>
      <c r="H389">
        <f>SUMPRODUCT(Calc!$K$3:$K$22*(Calc!$G$3:$G$22&gt;B389)*(Calc!$G$3:$G$22-B389))</f>
        <v/>
      </c>
      <c r="I389">
        <f>SUMPRODUCT(Calc!$K$3:$K$22*(Calc!$G$3:$G$22&gt;A389)*(Calc!$G$3:$G$22-A389)^2)</f>
        <v/>
      </c>
      <c r="J389">
        <f>SUMPRODUCT(Calc!$K$3:$K$22*(Calc!$G$3:$G$22&gt;B389)*(Calc!$G$3:$G$22-B389)^2)</f>
        <v/>
      </c>
      <c r="K389">
        <f>SUMPRODUCT(Calc!$K$3:$K$22*(Calc!$G$3:$G$22&gt;A389)*(Calc!$G$3:$G$22-A389)*(Calc!$G$3:$G$22&gt;B389)*(Calc!$G$3:$G$22-B389))</f>
        <v/>
      </c>
      <c r="L389">
        <f>SUMPRODUCT(Calc!$K$3:$K$22*(Calc!$G$3:$G$22&gt;A389)*(Calc!$G$3:$G$22-A389)*Calc!$G$3:$G$22)</f>
        <v/>
      </c>
      <c r="M389">
        <f>SUMPRODUCT(Calc!$K$3:$K$22*(Calc!$G$3:$G$22&gt;B389)*(Calc!$G$3:$G$22-B389)*Calc!$G$3:$G$22)</f>
        <v/>
      </c>
      <c r="N389">
        <f>SUMPRODUCT(Calc!$K$3:$K$22*(Calc!$G$3:$G$22&gt;A389)*(Calc!$G$3:$G$22-A389)*Calc!$I$3:$I$22)</f>
        <v/>
      </c>
      <c r="O389">
        <f>SUMPRODUCT(Calc!$K$3:$K$22*(Calc!$G$3:$G$22&gt;B389)*(Calc!$G$3:$G$22-B389)*Calc!$I$3:$I$22)</f>
        <v/>
      </c>
      <c r="P389">
        <f>I389-G389^2/k_n</f>
        <v/>
      </c>
      <c r="Q389">
        <f>J389-H389^2/k_n</f>
        <v/>
      </c>
      <c r="R389">
        <f>K389-G389*H389/k_n</f>
        <v/>
      </c>
      <c r="S389">
        <f>L389-LTP3!$D$3*G389/k_n</f>
        <v/>
      </c>
      <c r="T389">
        <f>M389-LTP3!$D$3*H389/k_n</f>
        <v/>
      </c>
      <c r="U389">
        <f>N389-G389*LTP3!$D$4/k_n</f>
        <v/>
      </c>
      <c r="V389">
        <f>O389-H389*LTP3!$D$4/k_n</f>
        <v/>
      </c>
      <c r="W389">
        <f>((LTP3!$D$5)*((P389)*(Q389)-(R389)*(R389))-(S389)*((S389)*(Q389)-(R389)*(T389))+(T389)*((S389)*(R389)-(P389)*(T389)))</f>
        <v/>
      </c>
      <c r="X389">
        <f>IF(ABS(W389)&gt;1E-12,((LTP3!$D$6)*((P389)*(Q389)-(R389)*(R389))-(S389)*((U389)*(Q389)-(R389)*(V389))+(T389)*((U389)*(R389)-(P389)*(V389)))/W389,0)</f>
        <v/>
      </c>
      <c r="Y389">
        <f>IF(ABS(W389)&gt;1E-12,((LTP3!$D$5)*((U389)*(Q389)-(R389)*(V389))-(LTP3!$D$6)*((S389)*(Q389)-(R389)*(T389))+(T389)*((S389)*(V389)-(U389)*(T389)))/W389,0)</f>
        <v/>
      </c>
      <c r="Z389">
        <f>IF(ABS(W389)&gt;1E-12,((LTP3!$D$5)*((P389)*(V389)-(U389)*(R389))-(S389)*((S389)*(V389)-(U389)*(T389))+(LTP3!$D$6)*((S389)*(R389)-(P389)*(T389)))/W389,0)</f>
        <v/>
      </c>
      <c r="AA389">
        <f>LTP3!$D$7-X389*LTP3!$D$6-Y389*U389-Z389*V389</f>
        <v/>
      </c>
      <c r="AB389">
        <f>IF(AND(F389,ABS(W389)&gt;1E-12,Y389&gt;0,Z389&gt;0),AA389,1E+300)</f>
        <v/>
      </c>
    </row>
    <row r="390">
      <c r="A390">
        <f>$B$3+$B$5*6</f>
        <v/>
      </c>
      <c r="B390">
        <f>$B$3+$B$5*12</f>
        <v/>
      </c>
      <c r="C390">
        <f>SUMPRODUCT(Calc!$K$3:$K$22*(Calc!$G$3:$G$22&lt;=A390))</f>
        <v/>
      </c>
      <c r="D390">
        <f>SUMPRODUCT(Calc!$K$3:$K$22*(Calc!$G$3:$G$22&gt;A390)*(Calc!$G$3:$G$22&lt;B390))</f>
        <v/>
      </c>
      <c r="E390">
        <f>SUMPRODUCT(Calc!$K$3:$K$22*(Calc!$G$3:$G$22&gt;=B390))</f>
        <v/>
      </c>
      <c r="F390">
        <f>AND(k_n&gt;=5,B390&gt;A390+1E-9,C390&gt;=2,D390&gt;=1,E390&gt;=2)</f>
        <v/>
      </c>
      <c r="G390">
        <f>SUMPRODUCT(Calc!$K$3:$K$22*(Calc!$G$3:$G$22&gt;A390)*(Calc!$G$3:$G$22-A390))</f>
        <v/>
      </c>
      <c r="H390">
        <f>SUMPRODUCT(Calc!$K$3:$K$22*(Calc!$G$3:$G$22&gt;B390)*(Calc!$G$3:$G$22-B390))</f>
        <v/>
      </c>
      <c r="I390">
        <f>SUMPRODUCT(Calc!$K$3:$K$22*(Calc!$G$3:$G$22&gt;A390)*(Calc!$G$3:$G$22-A390)^2)</f>
        <v/>
      </c>
      <c r="J390">
        <f>SUMPRODUCT(Calc!$K$3:$K$22*(Calc!$G$3:$G$22&gt;B390)*(Calc!$G$3:$G$22-B390)^2)</f>
        <v/>
      </c>
      <c r="K390">
        <f>SUMPRODUCT(Calc!$K$3:$K$22*(Calc!$G$3:$G$22&gt;A390)*(Calc!$G$3:$G$22-A390)*(Calc!$G$3:$G$22&gt;B390)*(Calc!$G$3:$G$22-B390))</f>
        <v/>
      </c>
      <c r="L390">
        <f>SUMPRODUCT(Calc!$K$3:$K$22*(Calc!$G$3:$G$22&gt;A390)*(Calc!$G$3:$G$22-A390)*Calc!$G$3:$G$22)</f>
        <v/>
      </c>
      <c r="M390">
        <f>SUMPRODUCT(Calc!$K$3:$K$22*(Calc!$G$3:$G$22&gt;B390)*(Calc!$G$3:$G$22-B390)*Calc!$G$3:$G$22)</f>
        <v/>
      </c>
      <c r="N390">
        <f>SUMPRODUCT(Calc!$K$3:$K$22*(Calc!$G$3:$G$22&gt;A390)*(Calc!$G$3:$G$22-A390)*Calc!$I$3:$I$22)</f>
        <v/>
      </c>
      <c r="O390">
        <f>SUMPRODUCT(Calc!$K$3:$K$22*(Calc!$G$3:$G$22&gt;B390)*(Calc!$G$3:$G$22-B390)*Calc!$I$3:$I$22)</f>
        <v/>
      </c>
      <c r="P390">
        <f>I390-G390^2/k_n</f>
        <v/>
      </c>
      <c r="Q390">
        <f>J390-H390^2/k_n</f>
        <v/>
      </c>
      <c r="R390">
        <f>K390-G390*H390/k_n</f>
        <v/>
      </c>
      <c r="S390">
        <f>L390-LTP3!$D$3*G390/k_n</f>
        <v/>
      </c>
      <c r="T390">
        <f>M390-LTP3!$D$3*H390/k_n</f>
        <v/>
      </c>
      <c r="U390">
        <f>N390-G390*LTP3!$D$4/k_n</f>
        <v/>
      </c>
      <c r="V390">
        <f>O390-H390*LTP3!$D$4/k_n</f>
        <v/>
      </c>
      <c r="W390">
        <f>((LTP3!$D$5)*((P390)*(Q390)-(R390)*(R390))-(S390)*((S390)*(Q390)-(R390)*(T390))+(T390)*((S390)*(R390)-(P390)*(T390)))</f>
        <v/>
      </c>
      <c r="X390">
        <f>IF(ABS(W390)&gt;1E-12,((LTP3!$D$6)*((P390)*(Q390)-(R390)*(R390))-(S390)*((U390)*(Q390)-(R390)*(V390))+(T390)*((U390)*(R390)-(P390)*(V390)))/W390,0)</f>
        <v/>
      </c>
      <c r="Y390">
        <f>IF(ABS(W390)&gt;1E-12,((LTP3!$D$5)*((U390)*(Q390)-(R390)*(V390))-(LTP3!$D$6)*((S390)*(Q390)-(R390)*(T390))+(T390)*((S390)*(V390)-(U390)*(T390)))/W390,0)</f>
        <v/>
      </c>
      <c r="Z390">
        <f>IF(ABS(W390)&gt;1E-12,((LTP3!$D$5)*((P390)*(V390)-(U390)*(R390))-(S390)*((S390)*(V390)-(U390)*(T390))+(LTP3!$D$6)*((S390)*(R390)-(P390)*(T390)))/W390,0)</f>
        <v/>
      </c>
      <c r="AA390">
        <f>LTP3!$D$7-X390*LTP3!$D$6-Y390*U390-Z390*V390</f>
        <v/>
      </c>
      <c r="AB390">
        <f>IF(AND(F390,ABS(W390)&gt;1E-12,Y390&gt;0,Z390&gt;0),AA390,1E+300)</f>
        <v/>
      </c>
    </row>
    <row r="391">
      <c r="A391">
        <f>$B$3+$B$5*6</f>
        <v/>
      </c>
      <c r="B391">
        <f>$B$3+$B$5*13</f>
        <v/>
      </c>
      <c r="C391">
        <f>SUMPRODUCT(Calc!$K$3:$K$22*(Calc!$G$3:$G$22&lt;=A391))</f>
        <v/>
      </c>
      <c r="D391">
        <f>SUMPRODUCT(Calc!$K$3:$K$22*(Calc!$G$3:$G$22&gt;A391)*(Calc!$G$3:$G$22&lt;B391))</f>
        <v/>
      </c>
      <c r="E391">
        <f>SUMPRODUCT(Calc!$K$3:$K$22*(Calc!$G$3:$G$22&gt;=B391))</f>
        <v/>
      </c>
      <c r="F391">
        <f>AND(k_n&gt;=5,B391&gt;A391+1E-9,C391&gt;=2,D391&gt;=1,E391&gt;=2)</f>
        <v/>
      </c>
      <c r="G391">
        <f>SUMPRODUCT(Calc!$K$3:$K$22*(Calc!$G$3:$G$22&gt;A391)*(Calc!$G$3:$G$22-A391))</f>
        <v/>
      </c>
      <c r="H391">
        <f>SUMPRODUCT(Calc!$K$3:$K$22*(Calc!$G$3:$G$22&gt;B391)*(Calc!$G$3:$G$22-B391))</f>
        <v/>
      </c>
      <c r="I391">
        <f>SUMPRODUCT(Calc!$K$3:$K$22*(Calc!$G$3:$G$22&gt;A391)*(Calc!$G$3:$G$22-A391)^2)</f>
        <v/>
      </c>
      <c r="J391">
        <f>SUMPRODUCT(Calc!$K$3:$K$22*(Calc!$G$3:$G$22&gt;B391)*(Calc!$G$3:$G$22-B391)^2)</f>
        <v/>
      </c>
      <c r="K391">
        <f>SUMPRODUCT(Calc!$K$3:$K$22*(Calc!$G$3:$G$22&gt;A391)*(Calc!$G$3:$G$22-A391)*(Calc!$G$3:$G$22&gt;B391)*(Calc!$G$3:$G$22-B391))</f>
        <v/>
      </c>
      <c r="L391">
        <f>SUMPRODUCT(Calc!$K$3:$K$22*(Calc!$G$3:$G$22&gt;A391)*(Calc!$G$3:$G$22-A391)*Calc!$G$3:$G$22)</f>
        <v/>
      </c>
      <c r="M391">
        <f>SUMPRODUCT(Calc!$K$3:$K$22*(Calc!$G$3:$G$22&gt;B391)*(Calc!$G$3:$G$22-B391)*Calc!$G$3:$G$22)</f>
        <v/>
      </c>
      <c r="N391">
        <f>SUMPRODUCT(Calc!$K$3:$K$22*(Calc!$G$3:$G$22&gt;A391)*(Calc!$G$3:$G$22-A391)*Calc!$I$3:$I$22)</f>
        <v/>
      </c>
      <c r="O391">
        <f>SUMPRODUCT(Calc!$K$3:$K$22*(Calc!$G$3:$G$22&gt;B391)*(Calc!$G$3:$G$22-B391)*Calc!$I$3:$I$22)</f>
        <v/>
      </c>
      <c r="P391">
        <f>I391-G391^2/k_n</f>
        <v/>
      </c>
      <c r="Q391">
        <f>J391-H391^2/k_n</f>
        <v/>
      </c>
      <c r="R391">
        <f>K391-G391*H391/k_n</f>
        <v/>
      </c>
      <c r="S391">
        <f>L391-LTP3!$D$3*G391/k_n</f>
        <v/>
      </c>
      <c r="T391">
        <f>M391-LTP3!$D$3*H391/k_n</f>
        <v/>
      </c>
      <c r="U391">
        <f>N391-G391*LTP3!$D$4/k_n</f>
        <v/>
      </c>
      <c r="V391">
        <f>O391-H391*LTP3!$D$4/k_n</f>
        <v/>
      </c>
      <c r="W391">
        <f>((LTP3!$D$5)*((P391)*(Q391)-(R391)*(R391))-(S391)*((S391)*(Q391)-(R391)*(T391))+(T391)*((S391)*(R391)-(P391)*(T391)))</f>
        <v/>
      </c>
      <c r="X391">
        <f>IF(ABS(W391)&gt;1E-12,((LTP3!$D$6)*((P391)*(Q391)-(R391)*(R391))-(S391)*((U391)*(Q391)-(R391)*(V391))+(T391)*((U391)*(R391)-(P391)*(V391)))/W391,0)</f>
        <v/>
      </c>
      <c r="Y391">
        <f>IF(ABS(W391)&gt;1E-12,((LTP3!$D$5)*((U391)*(Q391)-(R391)*(V391))-(LTP3!$D$6)*((S391)*(Q391)-(R391)*(T391))+(T391)*((S391)*(V391)-(U391)*(T391)))/W391,0)</f>
        <v/>
      </c>
      <c r="Z391">
        <f>IF(ABS(W391)&gt;1E-12,((LTP3!$D$5)*((P391)*(V391)-(U391)*(R391))-(S391)*((S391)*(V391)-(U391)*(T391))+(LTP3!$D$6)*((S391)*(R391)-(P391)*(T391)))/W391,0)</f>
        <v/>
      </c>
      <c r="AA391">
        <f>LTP3!$D$7-X391*LTP3!$D$6-Y391*U391-Z391*V391</f>
        <v/>
      </c>
      <c r="AB391">
        <f>IF(AND(F391,ABS(W391)&gt;1E-12,Y391&gt;0,Z391&gt;0),AA391,1E+300)</f>
        <v/>
      </c>
    </row>
    <row r="392">
      <c r="A392">
        <f>$B$3+$B$5*6</f>
        <v/>
      </c>
      <c r="B392">
        <f>$B$3+$B$5*14</f>
        <v/>
      </c>
      <c r="C392">
        <f>SUMPRODUCT(Calc!$K$3:$K$22*(Calc!$G$3:$G$22&lt;=A392))</f>
        <v/>
      </c>
      <c r="D392">
        <f>SUMPRODUCT(Calc!$K$3:$K$22*(Calc!$G$3:$G$22&gt;A392)*(Calc!$G$3:$G$22&lt;B392))</f>
        <v/>
      </c>
      <c r="E392">
        <f>SUMPRODUCT(Calc!$K$3:$K$22*(Calc!$G$3:$G$22&gt;=B392))</f>
        <v/>
      </c>
      <c r="F392">
        <f>AND(k_n&gt;=5,B392&gt;A392+1E-9,C392&gt;=2,D392&gt;=1,E392&gt;=2)</f>
        <v/>
      </c>
      <c r="G392">
        <f>SUMPRODUCT(Calc!$K$3:$K$22*(Calc!$G$3:$G$22&gt;A392)*(Calc!$G$3:$G$22-A392))</f>
        <v/>
      </c>
      <c r="H392">
        <f>SUMPRODUCT(Calc!$K$3:$K$22*(Calc!$G$3:$G$22&gt;B392)*(Calc!$G$3:$G$22-B392))</f>
        <v/>
      </c>
      <c r="I392">
        <f>SUMPRODUCT(Calc!$K$3:$K$22*(Calc!$G$3:$G$22&gt;A392)*(Calc!$G$3:$G$22-A392)^2)</f>
        <v/>
      </c>
      <c r="J392">
        <f>SUMPRODUCT(Calc!$K$3:$K$22*(Calc!$G$3:$G$22&gt;B392)*(Calc!$G$3:$G$22-B392)^2)</f>
        <v/>
      </c>
      <c r="K392">
        <f>SUMPRODUCT(Calc!$K$3:$K$22*(Calc!$G$3:$G$22&gt;A392)*(Calc!$G$3:$G$22-A392)*(Calc!$G$3:$G$22&gt;B392)*(Calc!$G$3:$G$22-B392))</f>
        <v/>
      </c>
      <c r="L392">
        <f>SUMPRODUCT(Calc!$K$3:$K$22*(Calc!$G$3:$G$22&gt;A392)*(Calc!$G$3:$G$22-A392)*Calc!$G$3:$G$22)</f>
        <v/>
      </c>
      <c r="M392">
        <f>SUMPRODUCT(Calc!$K$3:$K$22*(Calc!$G$3:$G$22&gt;B392)*(Calc!$G$3:$G$22-B392)*Calc!$G$3:$G$22)</f>
        <v/>
      </c>
      <c r="N392">
        <f>SUMPRODUCT(Calc!$K$3:$K$22*(Calc!$G$3:$G$22&gt;A392)*(Calc!$G$3:$G$22-A392)*Calc!$I$3:$I$22)</f>
        <v/>
      </c>
      <c r="O392">
        <f>SUMPRODUCT(Calc!$K$3:$K$22*(Calc!$G$3:$G$22&gt;B392)*(Calc!$G$3:$G$22-B392)*Calc!$I$3:$I$22)</f>
        <v/>
      </c>
      <c r="P392">
        <f>I392-G392^2/k_n</f>
        <v/>
      </c>
      <c r="Q392">
        <f>J392-H392^2/k_n</f>
        <v/>
      </c>
      <c r="R392">
        <f>K392-G392*H392/k_n</f>
        <v/>
      </c>
      <c r="S392">
        <f>L392-LTP3!$D$3*G392/k_n</f>
        <v/>
      </c>
      <c r="T392">
        <f>M392-LTP3!$D$3*H392/k_n</f>
        <v/>
      </c>
      <c r="U392">
        <f>N392-G392*LTP3!$D$4/k_n</f>
        <v/>
      </c>
      <c r="V392">
        <f>O392-H392*LTP3!$D$4/k_n</f>
        <v/>
      </c>
      <c r="W392">
        <f>((LTP3!$D$5)*((P392)*(Q392)-(R392)*(R392))-(S392)*((S392)*(Q392)-(R392)*(T392))+(T392)*((S392)*(R392)-(P392)*(T392)))</f>
        <v/>
      </c>
      <c r="X392">
        <f>IF(ABS(W392)&gt;1E-12,((LTP3!$D$6)*((P392)*(Q392)-(R392)*(R392))-(S392)*((U392)*(Q392)-(R392)*(V392))+(T392)*((U392)*(R392)-(P392)*(V392)))/W392,0)</f>
        <v/>
      </c>
      <c r="Y392">
        <f>IF(ABS(W392)&gt;1E-12,((LTP3!$D$5)*((U392)*(Q392)-(R392)*(V392))-(LTP3!$D$6)*((S392)*(Q392)-(R392)*(T392))+(T392)*((S392)*(V392)-(U392)*(T392)))/W392,0)</f>
        <v/>
      </c>
      <c r="Z392">
        <f>IF(ABS(W392)&gt;1E-12,((LTP3!$D$5)*((P392)*(V392)-(U392)*(R392))-(S392)*((S392)*(V392)-(U392)*(T392))+(LTP3!$D$6)*((S392)*(R392)-(P392)*(T392)))/W392,0)</f>
        <v/>
      </c>
      <c r="AA392">
        <f>LTP3!$D$7-X392*LTP3!$D$6-Y392*U392-Z392*V392</f>
        <v/>
      </c>
      <c r="AB392">
        <f>IF(AND(F392,ABS(W392)&gt;1E-12,Y392&gt;0,Z392&gt;0),AA392,1E+300)</f>
        <v/>
      </c>
    </row>
    <row r="393">
      <c r="A393">
        <f>$B$3+$B$5*6</f>
        <v/>
      </c>
      <c r="B393">
        <f>$B$3+$B$5*15</f>
        <v/>
      </c>
      <c r="C393">
        <f>SUMPRODUCT(Calc!$K$3:$K$22*(Calc!$G$3:$G$22&lt;=A393))</f>
        <v/>
      </c>
      <c r="D393">
        <f>SUMPRODUCT(Calc!$K$3:$K$22*(Calc!$G$3:$G$22&gt;A393)*(Calc!$G$3:$G$22&lt;B393))</f>
        <v/>
      </c>
      <c r="E393">
        <f>SUMPRODUCT(Calc!$K$3:$K$22*(Calc!$G$3:$G$22&gt;=B393))</f>
        <v/>
      </c>
      <c r="F393">
        <f>AND(k_n&gt;=5,B393&gt;A393+1E-9,C393&gt;=2,D393&gt;=1,E393&gt;=2)</f>
        <v/>
      </c>
      <c r="G393">
        <f>SUMPRODUCT(Calc!$K$3:$K$22*(Calc!$G$3:$G$22&gt;A393)*(Calc!$G$3:$G$22-A393))</f>
        <v/>
      </c>
      <c r="H393">
        <f>SUMPRODUCT(Calc!$K$3:$K$22*(Calc!$G$3:$G$22&gt;B393)*(Calc!$G$3:$G$22-B393))</f>
        <v/>
      </c>
      <c r="I393">
        <f>SUMPRODUCT(Calc!$K$3:$K$22*(Calc!$G$3:$G$22&gt;A393)*(Calc!$G$3:$G$22-A393)^2)</f>
        <v/>
      </c>
      <c r="J393">
        <f>SUMPRODUCT(Calc!$K$3:$K$22*(Calc!$G$3:$G$22&gt;B393)*(Calc!$G$3:$G$22-B393)^2)</f>
        <v/>
      </c>
      <c r="K393">
        <f>SUMPRODUCT(Calc!$K$3:$K$22*(Calc!$G$3:$G$22&gt;A393)*(Calc!$G$3:$G$22-A393)*(Calc!$G$3:$G$22&gt;B393)*(Calc!$G$3:$G$22-B393))</f>
        <v/>
      </c>
      <c r="L393">
        <f>SUMPRODUCT(Calc!$K$3:$K$22*(Calc!$G$3:$G$22&gt;A393)*(Calc!$G$3:$G$22-A393)*Calc!$G$3:$G$22)</f>
        <v/>
      </c>
      <c r="M393">
        <f>SUMPRODUCT(Calc!$K$3:$K$22*(Calc!$G$3:$G$22&gt;B393)*(Calc!$G$3:$G$22-B393)*Calc!$G$3:$G$22)</f>
        <v/>
      </c>
      <c r="N393">
        <f>SUMPRODUCT(Calc!$K$3:$K$22*(Calc!$G$3:$G$22&gt;A393)*(Calc!$G$3:$G$22-A393)*Calc!$I$3:$I$22)</f>
        <v/>
      </c>
      <c r="O393">
        <f>SUMPRODUCT(Calc!$K$3:$K$22*(Calc!$G$3:$G$22&gt;B393)*(Calc!$G$3:$G$22-B393)*Calc!$I$3:$I$22)</f>
        <v/>
      </c>
      <c r="P393">
        <f>I393-G393^2/k_n</f>
        <v/>
      </c>
      <c r="Q393">
        <f>J393-H393^2/k_n</f>
        <v/>
      </c>
      <c r="R393">
        <f>K393-G393*H393/k_n</f>
        <v/>
      </c>
      <c r="S393">
        <f>L393-LTP3!$D$3*G393/k_n</f>
        <v/>
      </c>
      <c r="T393">
        <f>M393-LTP3!$D$3*H393/k_n</f>
        <v/>
      </c>
      <c r="U393">
        <f>N393-G393*LTP3!$D$4/k_n</f>
        <v/>
      </c>
      <c r="V393">
        <f>O393-H393*LTP3!$D$4/k_n</f>
        <v/>
      </c>
      <c r="W393">
        <f>((LTP3!$D$5)*((P393)*(Q393)-(R393)*(R393))-(S393)*((S393)*(Q393)-(R393)*(T393))+(T393)*((S393)*(R393)-(P393)*(T393)))</f>
        <v/>
      </c>
      <c r="X393">
        <f>IF(ABS(W393)&gt;1E-12,((LTP3!$D$6)*((P393)*(Q393)-(R393)*(R393))-(S393)*((U393)*(Q393)-(R393)*(V393))+(T393)*((U393)*(R393)-(P393)*(V393)))/W393,0)</f>
        <v/>
      </c>
      <c r="Y393">
        <f>IF(ABS(W393)&gt;1E-12,((LTP3!$D$5)*((U393)*(Q393)-(R393)*(V393))-(LTP3!$D$6)*((S393)*(Q393)-(R393)*(T393))+(T393)*((S393)*(V393)-(U393)*(T393)))/W393,0)</f>
        <v/>
      </c>
      <c r="Z393">
        <f>IF(ABS(W393)&gt;1E-12,((LTP3!$D$5)*((P393)*(V393)-(U393)*(R393))-(S393)*((S393)*(V393)-(U393)*(T393))+(LTP3!$D$6)*((S393)*(R393)-(P393)*(T393)))/W393,0)</f>
        <v/>
      </c>
      <c r="AA393">
        <f>LTP3!$D$7-X393*LTP3!$D$6-Y393*U393-Z393*V393</f>
        <v/>
      </c>
      <c r="AB393">
        <f>IF(AND(F393,ABS(W393)&gt;1E-12,Y393&gt;0,Z393&gt;0),AA393,1E+300)</f>
        <v/>
      </c>
    </row>
    <row r="394">
      <c r="A394">
        <f>$B$3+$B$5*6</f>
        <v/>
      </c>
      <c r="B394">
        <f>$B$3+$B$5*16</f>
        <v/>
      </c>
      <c r="C394">
        <f>SUMPRODUCT(Calc!$K$3:$K$22*(Calc!$G$3:$G$22&lt;=A394))</f>
        <v/>
      </c>
      <c r="D394">
        <f>SUMPRODUCT(Calc!$K$3:$K$22*(Calc!$G$3:$G$22&gt;A394)*(Calc!$G$3:$G$22&lt;B394))</f>
        <v/>
      </c>
      <c r="E394">
        <f>SUMPRODUCT(Calc!$K$3:$K$22*(Calc!$G$3:$G$22&gt;=B394))</f>
        <v/>
      </c>
      <c r="F394">
        <f>AND(k_n&gt;=5,B394&gt;A394+1E-9,C394&gt;=2,D394&gt;=1,E394&gt;=2)</f>
        <v/>
      </c>
      <c r="G394">
        <f>SUMPRODUCT(Calc!$K$3:$K$22*(Calc!$G$3:$G$22&gt;A394)*(Calc!$G$3:$G$22-A394))</f>
        <v/>
      </c>
      <c r="H394">
        <f>SUMPRODUCT(Calc!$K$3:$K$22*(Calc!$G$3:$G$22&gt;B394)*(Calc!$G$3:$G$22-B394))</f>
        <v/>
      </c>
      <c r="I394">
        <f>SUMPRODUCT(Calc!$K$3:$K$22*(Calc!$G$3:$G$22&gt;A394)*(Calc!$G$3:$G$22-A394)^2)</f>
        <v/>
      </c>
      <c r="J394">
        <f>SUMPRODUCT(Calc!$K$3:$K$22*(Calc!$G$3:$G$22&gt;B394)*(Calc!$G$3:$G$22-B394)^2)</f>
        <v/>
      </c>
      <c r="K394">
        <f>SUMPRODUCT(Calc!$K$3:$K$22*(Calc!$G$3:$G$22&gt;A394)*(Calc!$G$3:$G$22-A394)*(Calc!$G$3:$G$22&gt;B394)*(Calc!$G$3:$G$22-B394))</f>
        <v/>
      </c>
      <c r="L394">
        <f>SUMPRODUCT(Calc!$K$3:$K$22*(Calc!$G$3:$G$22&gt;A394)*(Calc!$G$3:$G$22-A394)*Calc!$G$3:$G$22)</f>
        <v/>
      </c>
      <c r="M394">
        <f>SUMPRODUCT(Calc!$K$3:$K$22*(Calc!$G$3:$G$22&gt;B394)*(Calc!$G$3:$G$22-B394)*Calc!$G$3:$G$22)</f>
        <v/>
      </c>
      <c r="N394">
        <f>SUMPRODUCT(Calc!$K$3:$K$22*(Calc!$G$3:$G$22&gt;A394)*(Calc!$G$3:$G$22-A394)*Calc!$I$3:$I$22)</f>
        <v/>
      </c>
      <c r="O394">
        <f>SUMPRODUCT(Calc!$K$3:$K$22*(Calc!$G$3:$G$22&gt;B394)*(Calc!$G$3:$G$22-B394)*Calc!$I$3:$I$22)</f>
        <v/>
      </c>
      <c r="P394">
        <f>I394-G394^2/k_n</f>
        <v/>
      </c>
      <c r="Q394">
        <f>J394-H394^2/k_n</f>
        <v/>
      </c>
      <c r="R394">
        <f>K394-G394*H394/k_n</f>
        <v/>
      </c>
      <c r="S394">
        <f>L394-LTP3!$D$3*G394/k_n</f>
        <v/>
      </c>
      <c r="T394">
        <f>M394-LTP3!$D$3*H394/k_n</f>
        <v/>
      </c>
      <c r="U394">
        <f>N394-G394*LTP3!$D$4/k_n</f>
        <v/>
      </c>
      <c r="V394">
        <f>O394-H394*LTP3!$D$4/k_n</f>
        <v/>
      </c>
      <c r="W394">
        <f>((LTP3!$D$5)*((P394)*(Q394)-(R394)*(R394))-(S394)*((S394)*(Q394)-(R394)*(T394))+(T394)*((S394)*(R394)-(P394)*(T394)))</f>
        <v/>
      </c>
      <c r="X394">
        <f>IF(ABS(W394)&gt;1E-12,((LTP3!$D$6)*((P394)*(Q394)-(R394)*(R394))-(S394)*((U394)*(Q394)-(R394)*(V394))+(T394)*((U394)*(R394)-(P394)*(V394)))/W394,0)</f>
        <v/>
      </c>
      <c r="Y394">
        <f>IF(ABS(W394)&gt;1E-12,((LTP3!$D$5)*((U394)*(Q394)-(R394)*(V394))-(LTP3!$D$6)*((S394)*(Q394)-(R394)*(T394))+(T394)*((S394)*(V394)-(U394)*(T394)))/W394,0)</f>
        <v/>
      </c>
      <c r="Z394">
        <f>IF(ABS(W394)&gt;1E-12,((LTP3!$D$5)*((P394)*(V394)-(U394)*(R394))-(S394)*((S394)*(V394)-(U394)*(T394))+(LTP3!$D$6)*((S394)*(R394)-(P394)*(T394)))/W394,0)</f>
        <v/>
      </c>
      <c r="AA394">
        <f>LTP3!$D$7-X394*LTP3!$D$6-Y394*U394-Z394*V394</f>
        <v/>
      </c>
      <c r="AB394">
        <f>IF(AND(F394,ABS(W394)&gt;1E-12,Y394&gt;0,Z394&gt;0),AA394,1E+300)</f>
        <v/>
      </c>
    </row>
    <row r="395">
      <c r="A395">
        <f>$B$3+$B$5*6</f>
        <v/>
      </c>
      <c r="B395">
        <f>$B$3+$B$5*17</f>
        <v/>
      </c>
      <c r="C395">
        <f>SUMPRODUCT(Calc!$K$3:$K$22*(Calc!$G$3:$G$22&lt;=A395))</f>
        <v/>
      </c>
      <c r="D395">
        <f>SUMPRODUCT(Calc!$K$3:$K$22*(Calc!$G$3:$G$22&gt;A395)*(Calc!$G$3:$G$22&lt;B395))</f>
        <v/>
      </c>
      <c r="E395">
        <f>SUMPRODUCT(Calc!$K$3:$K$22*(Calc!$G$3:$G$22&gt;=B395))</f>
        <v/>
      </c>
      <c r="F395">
        <f>AND(k_n&gt;=5,B395&gt;A395+1E-9,C395&gt;=2,D395&gt;=1,E395&gt;=2)</f>
        <v/>
      </c>
      <c r="G395">
        <f>SUMPRODUCT(Calc!$K$3:$K$22*(Calc!$G$3:$G$22&gt;A395)*(Calc!$G$3:$G$22-A395))</f>
        <v/>
      </c>
      <c r="H395">
        <f>SUMPRODUCT(Calc!$K$3:$K$22*(Calc!$G$3:$G$22&gt;B395)*(Calc!$G$3:$G$22-B395))</f>
        <v/>
      </c>
      <c r="I395">
        <f>SUMPRODUCT(Calc!$K$3:$K$22*(Calc!$G$3:$G$22&gt;A395)*(Calc!$G$3:$G$22-A395)^2)</f>
        <v/>
      </c>
      <c r="J395">
        <f>SUMPRODUCT(Calc!$K$3:$K$22*(Calc!$G$3:$G$22&gt;B395)*(Calc!$G$3:$G$22-B395)^2)</f>
        <v/>
      </c>
      <c r="K395">
        <f>SUMPRODUCT(Calc!$K$3:$K$22*(Calc!$G$3:$G$22&gt;A395)*(Calc!$G$3:$G$22-A395)*(Calc!$G$3:$G$22&gt;B395)*(Calc!$G$3:$G$22-B395))</f>
        <v/>
      </c>
      <c r="L395">
        <f>SUMPRODUCT(Calc!$K$3:$K$22*(Calc!$G$3:$G$22&gt;A395)*(Calc!$G$3:$G$22-A395)*Calc!$G$3:$G$22)</f>
        <v/>
      </c>
      <c r="M395">
        <f>SUMPRODUCT(Calc!$K$3:$K$22*(Calc!$G$3:$G$22&gt;B395)*(Calc!$G$3:$G$22-B395)*Calc!$G$3:$G$22)</f>
        <v/>
      </c>
      <c r="N395">
        <f>SUMPRODUCT(Calc!$K$3:$K$22*(Calc!$G$3:$G$22&gt;A395)*(Calc!$G$3:$G$22-A395)*Calc!$I$3:$I$22)</f>
        <v/>
      </c>
      <c r="O395">
        <f>SUMPRODUCT(Calc!$K$3:$K$22*(Calc!$G$3:$G$22&gt;B395)*(Calc!$G$3:$G$22-B395)*Calc!$I$3:$I$22)</f>
        <v/>
      </c>
      <c r="P395">
        <f>I395-G395^2/k_n</f>
        <v/>
      </c>
      <c r="Q395">
        <f>J395-H395^2/k_n</f>
        <v/>
      </c>
      <c r="R395">
        <f>K395-G395*H395/k_n</f>
        <v/>
      </c>
      <c r="S395">
        <f>L395-LTP3!$D$3*G395/k_n</f>
        <v/>
      </c>
      <c r="T395">
        <f>M395-LTP3!$D$3*H395/k_n</f>
        <v/>
      </c>
      <c r="U395">
        <f>N395-G395*LTP3!$D$4/k_n</f>
        <v/>
      </c>
      <c r="V395">
        <f>O395-H395*LTP3!$D$4/k_n</f>
        <v/>
      </c>
      <c r="W395">
        <f>((LTP3!$D$5)*((P395)*(Q395)-(R395)*(R395))-(S395)*((S395)*(Q395)-(R395)*(T395))+(T395)*((S395)*(R395)-(P395)*(T395)))</f>
        <v/>
      </c>
      <c r="X395">
        <f>IF(ABS(W395)&gt;1E-12,((LTP3!$D$6)*((P395)*(Q395)-(R395)*(R395))-(S395)*((U395)*(Q395)-(R395)*(V395))+(T395)*((U395)*(R395)-(P395)*(V395)))/W395,0)</f>
        <v/>
      </c>
      <c r="Y395">
        <f>IF(ABS(W395)&gt;1E-12,((LTP3!$D$5)*((U395)*(Q395)-(R395)*(V395))-(LTP3!$D$6)*((S395)*(Q395)-(R395)*(T395))+(T395)*((S395)*(V395)-(U395)*(T395)))/W395,0)</f>
        <v/>
      </c>
      <c r="Z395">
        <f>IF(ABS(W395)&gt;1E-12,((LTP3!$D$5)*((P395)*(V395)-(U395)*(R395))-(S395)*((S395)*(V395)-(U395)*(T395))+(LTP3!$D$6)*((S395)*(R395)-(P395)*(T395)))/W395,0)</f>
        <v/>
      </c>
      <c r="AA395">
        <f>LTP3!$D$7-X395*LTP3!$D$6-Y395*U395-Z395*V395</f>
        <v/>
      </c>
      <c r="AB395">
        <f>IF(AND(F395,ABS(W395)&gt;1E-12,Y395&gt;0,Z395&gt;0),AA395,1E+300)</f>
        <v/>
      </c>
    </row>
    <row r="396">
      <c r="A396">
        <f>$B$3+$B$5*6</f>
        <v/>
      </c>
      <c r="B396">
        <f>$B$3+$B$5*18</f>
        <v/>
      </c>
      <c r="C396">
        <f>SUMPRODUCT(Calc!$K$3:$K$22*(Calc!$G$3:$G$22&lt;=A396))</f>
        <v/>
      </c>
      <c r="D396">
        <f>SUMPRODUCT(Calc!$K$3:$K$22*(Calc!$G$3:$G$22&gt;A396)*(Calc!$G$3:$G$22&lt;B396))</f>
        <v/>
      </c>
      <c r="E396">
        <f>SUMPRODUCT(Calc!$K$3:$K$22*(Calc!$G$3:$G$22&gt;=B396))</f>
        <v/>
      </c>
      <c r="F396">
        <f>AND(k_n&gt;=5,B396&gt;A396+1E-9,C396&gt;=2,D396&gt;=1,E396&gt;=2)</f>
        <v/>
      </c>
      <c r="G396">
        <f>SUMPRODUCT(Calc!$K$3:$K$22*(Calc!$G$3:$G$22&gt;A396)*(Calc!$G$3:$G$22-A396))</f>
        <v/>
      </c>
      <c r="H396">
        <f>SUMPRODUCT(Calc!$K$3:$K$22*(Calc!$G$3:$G$22&gt;B396)*(Calc!$G$3:$G$22-B396))</f>
        <v/>
      </c>
      <c r="I396">
        <f>SUMPRODUCT(Calc!$K$3:$K$22*(Calc!$G$3:$G$22&gt;A396)*(Calc!$G$3:$G$22-A396)^2)</f>
        <v/>
      </c>
      <c r="J396">
        <f>SUMPRODUCT(Calc!$K$3:$K$22*(Calc!$G$3:$G$22&gt;B396)*(Calc!$G$3:$G$22-B396)^2)</f>
        <v/>
      </c>
      <c r="K396">
        <f>SUMPRODUCT(Calc!$K$3:$K$22*(Calc!$G$3:$G$22&gt;A396)*(Calc!$G$3:$G$22-A396)*(Calc!$G$3:$G$22&gt;B396)*(Calc!$G$3:$G$22-B396))</f>
        <v/>
      </c>
      <c r="L396">
        <f>SUMPRODUCT(Calc!$K$3:$K$22*(Calc!$G$3:$G$22&gt;A396)*(Calc!$G$3:$G$22-A396)*Calc!$G$3:$G$22)</f>
        <v/>
      </c>
      <c r="M396">
        <f>SUMPRODUCT(Calc!$K$3:$K$22*(Calc!$G$3:$G$22&gt;B396)*(Calc!$G$3:$G$22-B396)*Calc!$G$3:$G$22)</f>
        <v/>
      </c>
      <c r="N396">
        <f>SUMPRODUCT(Calc!$K$3:$K$22*(Calc!$G$3:$G$22&gt;A396)*(Calc!$G$3:$G$22-A396)*Calc!$I$3:$I$22)</f>
        <v/>
      </c>
      <c r="O396">
        <f>SUMPRODUCT(Calc!$K$3:$K$22*(Calc!$G$3:$G$22&gt;B396)*(Calc!$G$3:$G$22-B396)*Calc!$I$3:$I$22)</f>
        <v/>
      </c>
      <c r="P396">
        <f>I396-G396^2/k_n</f>
        <v/>
      </c>
      <c r="Q396">
        <f>J396-H396^2/k_n</f>
        <v/>
      </c>
      <c r="R396">
        <f>K396-G396*H396/k_n</f>
        <v/>
      </c>
      <c r="S396">
        <f>L396-LTP3!$D$3*G396/k_n</f>
        <v/>
      </c>
      <c r="T396">
        <f>M396-LTP3!$D$3*H396/k_n</f>
        <v/>
      </c>
      <c r="U396">
        <f>N396-G396*LTP3!$D$4/k_n</f>
        <v/>
      </c>
      <c r="V396">
        <f>O396-H396*LTP3!$D$4/k_n</f>
        <v/>
      </c>
      <c r="W396">
        <f>((LTP3!$D$5)*((P396)*(Q396)-(R396)*(R396))-(S396)*((S396)*(Q396)-(R396)*(T396))+(T396)*((S396)*(R396)-(P396)*(T396)))</f>
        <v/>
      </c>
      <c r="X396">
        <f>IF(ABS(W396)&gt;1E-12,((LTP3!$D$6)*((P396)*(Q396)-(R396)*(R396))-(S396)*((U396)*(Q396)-(R396)*(V396))+(T396)*((U396)*(R396)-(P396)*(V396)))/W396,0)</f>
        <v/>
      </c>
      <c r="Y396">
        <f>IF(ABS(W396)&gt;1E-12,((LTP3!$D$5)*((U396)*(Q396)-(R396)*(V396))-(LTP3!$D$6)*((S396)*(Q396)-(R396)*(T396))+(T396)*((S396)*(V396)-(U396)*(T396)))/W396,0)</f>
        <v/>
      </c>
      <c r="Z396">
        <f>IF(ABS(W396)&gt;1E-12,((LTP3!$D$5)*((P396)*(V396)-(U396)*(R396))-(S396)*((S396)*(V396)-(U396)*(T396))+(LTP3!$D$6)*((S396)*(R396)-(P396)*(T396)))/W396,0)</f>
        <v/>
      </c>
      <c r="AA396">
        <f>LTP3!$D$7-X396*LTP3!$D$6-Y396*U396-Z396*V396</f>
        <v/>
      </c>
      <c r="AB396">
        <f>IF(AND(F396,ABS(W396)&gt;1E-12,Y396&gt;0,Z396&gt;0),AA396,1E+300)</f>
        <v/>
      </c>
    </row>
    <row r="397">
      <c r="A397">
        <f>$B$3+$B$5*6</f>
        <v/>
      </c>
      <c r="B397">
        <f>$B$3+$B$5*19</f>
        <v/>
      </c>
      <c r="C397">
        <f>SUMPRODUCT(Calc!$K$3:$K$22*(Calc!$G$3:$G$22&lt;=A397))</f>
        <v/>
      </c>
      <c r="D397">
        <f>SUMPRODUCT(Calc!$K$3:$K$22*(Calc!$G$3:$G$22&gt;A397)*(Calc!$G$3:$G$22&lt;B397))</f>
        <v/>
      </c>
      <c r="E397">
        <f>SUMPRODUCT(Calc!$K$3:$K$22*(Calc!$G$3:$G$22&gt;=B397))</f>
        <v/>
      </c>
      <c r="F397">
        <f>AND(k_n&gt;=5,B397&gt;A397+1E-9,C397&gt;=2,D397&gt;=1,E397&gt;=2)</f>
        <v/>
      </c>
      <c r="G397">
        <f>SUMPRODUCT(Calc!$K$3:$K$22*(Calc!$G$3:$G$22&gt;A397)*(Calc!$G$3:$G$22-A397))</f>
        <v/>
      </c>
      <c r="H397">
        <f>SUMPRODUCT(Calc!$K$3:$K$22*(Calc!$G$3:$G$22&gt;B397)*(Calc!$G$3:$G$22-B397))</f>
        <v/>
      </c>
      <c r="I397">
        <f>SUMPRODUCT(Calc!$K$3:$K$22*(Calc!$G$3:$G$22&gt;A397)*(Calc!$G$3:$G$22-A397)^2)</f>
        <v/>
      </c>
      <c r="J397">
        <f>SUMPRODUCT(Calc!$K$3:$K$22*(Calc!$G$3:$G$22&gt;B397)*(Calc!$G$3:$G$22-B397)^2)</f>
        <v/>
      </c>
      <c r="K397">
        <f>SUMPRODUCT(Calc!$K$3:$K$22*(Calc!$G$3:$G$22&gt;A397)*(Calc!$G$3:$G$22-A397)*(Calc!$G$3:$G$22&gt;B397)*(Calc!$G$3:$G$22-B397))</f>
        <v/>
      </c>
      <c r="L397">
        <f>SUMPRODUCT(Calc!$K$3:$K$22*(Calc!$G$3:$G$22&gt;A397)*(Calc!$G$3:$G$22-A397)*Calc!$G$3:$G$22)</f>
        <v/>
      </c>
      <c r="M397">
        <f>SUMPRODUCT(Calc!$K$3:$K$22*(Calc!$G$3:$G$22&gt;B397)*(Calc!$G$3:$G$22-B397)*Calc!$G$3:$G$22)</f>
        <v/>
      </c>
      <c r="N397">
        <f>SUMPRODUCT(Calc!$K$3:$K$22*(Calc!$G$3:$G$22&gt;A397)*(Calc!$G$3:$G$22-A397)*Calc!$I$3:$I$22)</f>
        <v/>
      </c>
      <c r="O397">
        <f>SUMPRODUCT(Calc!$K$3:$K$22*(Calc!$G$3:$G$22&gt;B397)*(Calc!$G$3:$G$22-B397)*Calc!$I$3:$I$22)</f>
        <v/>
      </c>
      <c r="P397">
        <f>I397-G397^2/k_n</f>
        <v/>
      </c>
      <c r="Q397">
        <f>J397-H397^2/k_n</f>
        <v/>
      </c>
      <c r="R397">
        <f>K397-G397*H397/k_n</f>
        <v/>
      </c>
      <c r="S397">
        <f>L397-LTP3!$D$3*G397/k_n</f>
        <v/>
      </c>
      <c r="T397">
        <f>M397-LTP3!$D$3*H397/k_n</f>
        <v/>
      </c>
      <c r="U397">
        <f>N397-G397*LTP3!$D$4/k_n</f>
        <v/>
      </c>
      <c r="V397">
        <f>O397-H397*LTP3!$D$4/k_n</f>
        <v/>
      </c>
      <c r="W397">
        <f>((LTP3!$D$5)*((P397)*(Q397)-(R397)*(R397))-(S397)*((S397)*(Q397)-(R397)*(T397))+(T397)*((S397)*(R397)-(P397)*(T397)))</f>
        <v/>
      </c>
      <c r="X397">
        <f>IF(ABS(W397)&gt;1E-12,((LTP3!$D$6)*((P397)*(Q397)-(R397)*(R397))-(S397)*((U397)*(Q397)-(R397)*(V397))+(T397)*((U397)*(R397)-(P397)*(V397)))/W397,0)</f>
        <v/>
      </c>
      <c r="Y397">
        <f>IF(ABS(W397)&gt;1E-12,((LTP3!$D$5)*((U397)*(Q397)-(R397)*(V397))-(LTP3!$D$6)*((S397)*(Q397)-(R397)*(T397))+(T397)*((S397)*(V397)-(U397)*(T397)))/W397,0)</f>
        <v/>
      </c>
      <c r="Z397">
        <f>IF(ABS(W397)&gt;1E-12,((LTP3!$D$5)*((P397)*(V397)-(U397)*(R397))-(S397)*((S397)*(V397)-(U397)*(T397))+(LTP3!$D$6)*((S397)*(R397)-(P397)*(T397)))/W397,0)</f>
        <v/>
      </c>
      <c r="AA397">
        <f>LTP3!$D$7-X397*LTP3!$D$6-Y397*U397-Z397*V397</f>
        <v/>
      </c>
      <c r="AB397">
        <f>IF(AND(F397,ABS(W397)&gt;1E-12,Y397&gt;0,Z397&gt;0),AA397,1E+300)</f>
        <v/>
      </c>
    </row>
    <row r="398">
      <c r="A398">
        <f>$B$3+$B$5*6</f>
        <v/>
      </c>
      <c r="B398">
        <f>$B$3+$B$5*20</f>
        <v/>
      </c>
      <c r="C398">
        <f>SUMPRODUCT(Calc!$K$3:$K$22*(Calc!$G$3:$G$22&lt;=A398))</f>
        <v/>
      </c>
      <c r="D398">
        <f>SUMPRODUCT(Calc!$K$3:$K$22*(Calc!$G$3:$G$22&gt;A398)*(Calc!$G$3:$G$22&lt;B398))</f>
        <v/>
      </c>
      <c r="E398">
        <f>SUMPRODUCT(Calc!$K$3:$K$22*(Calc!$G$3:$G$22&gt;=B398))</f>
        <v/>
      </c>
      <c r="F398">
        <f>AND(k_n&gt;=5,B398&gt;A398+1E-9,C398&gt;=2,D398&gt;=1,E398&gt;=2)</f>
        <v/>
      </c>
      <c r="G398">
        <f>SUMPRODUCT(Calc!$K$3:$K$22*(Calc!$G$3:$G$22&gt;A398)*(Calc!$G$3:$G$22-A398))</f>
        <v/>
      </c>
      <c r="H398">
        <f>SUMPRODUCT(Calc!$K$3:$K$22*(Calc!$G$3:$G$22&gt;B398)*(Calc!$G$3:$G$22-B398))</f>
        <v/>
      </c>
      <c r="I398">
        <f>SUMPRODUCT(Calc!$K$3:$K$22*(Calc!$G$3:$G$22&gt;A398)*(Calc!$G$3:$G$22-A398)^2)</f>
        <v/>
      </c>
      <c r="J398">
        <f>SUMPRODUCT(Calc!$K$3:$K$22*(Calc!$G$3:$G$22&gt;B398)*(Calc!$G$3:$G$22-B398)^2)</f>
        <v/>
      </c>
      <c r="K398">
        <f>SUMPRODUCT(Calc!$K$3:$K$22*(Calc!$G$3:$G$22&gt;A398)*(Calc!$G$3:$G$22-A398)*(Calc!$G$3:$G$22&gt;B398)*(Calc!$G$3:$G$22-B398))</f>
        <v/>
      </c>
      <c r="L398">
        <f>SUMPRODUCT(Calc!$K$3:$K$22*(Calc!$G$3:$G$22&gt;A398)*(Calc!$G$3:$G$22-A398)*Calc!$G$3:$G$22)</f>
        <v/>
      </c>
      <c r="M398">
        <f>SUMPRODUCT(Calc!$K$3:$K$22*(Calc!$G$3:$G$22&gt;B398)*(Calc!$G$3:$G$22-B398)*Calc!$G$3:$G$22)</f>
        <v/>
      </c>
      <c r="N398">
        <f>SUMPRODUCT(Calc!$K$3:$K$22*(Calc!$G$3:$G$22&gt;A398)*(Calc!$G$3:$G$22-A398)*Calc!$I$3:$I$22)</f>
        <v/>
      </c>
      <c r="O398">
        <f>SUMPRODUCT(Calc!$K$3:$K$22*(Calc!$G$3:$G$22&gt;B398)*(Calc!$G$3:$G$22-B398)*Calc!$I$3:$I$22)</f>
        <v/>
      </c>
      <c r="P398">
        <f>I398-G398^2/k_n</f>
        <v/>
      </c>
      <c r="Q398">
        <f>J398-H398^2/k_n</f>
        <v/>
      </c>
      <c r="R398">
        <f>K398-G398*H398/k_n</f>
        <v/>
      </c>
      <c r="S398">
        <f>L398-LTP3!$D$3*G398/k_n</f>
        <v/>
      </c>
      <c r="T398">
        <f>M398-LTP3!$D$3*H398/k_n</f>
        <v/>
      </c>
      <c r="U398">
        <f>N398-G398*LTP3!$D$4/k_n</f>
        <v/>
      </c>
      <c r="V398">
        <f>O398-H398*LTP3!$D$4/k_n</f>
        <v/>
      </c>
      <c r="W398">
        <f>((LTP3!$D$5)*((P398)*(Q398)-(R398)*(R398))-(S398)*((S398)*(Q398)-(R398)*(T398))+(T398)*((S398)*(R398)-(P398)*(T398)))</f>
        <v/>
      </c>
      <c r="X398">
        <f>IF(ABS(W398)&gt;1E-12,((LTP3!$D$6)*((P398)*(Q398)-(R398)*(R398))-(S398)*((U398)*(Q398)-(R398)*(V398))+(T398)*((U398)*(R398)-(P398)*(V398)))/W398,0)</f>
        <v/>
      </c>
      <c r="Y398">
        <f>IF(ABS(W398)&gt;1E-12,((LTP3!$D$5)*((U398)*(Q398)-(R398)*(V398))-(LTP3!$D$6)*((S398)*(Q398)-(R398)*(T398))+(T398)*((S398)*(V398)-(U398)*(T398)))/W398,0)</f>
        <v/>
      </c>
      <c r="Z398">
        <f>IF(ABS(W398)&gt;1E-12,((LTP3!$D$5)*((P398)*(V398)-(U398)*(R398))-(S398)*((S398)*(V398)-(U398)*(T398))+(LTP3!$D$6)*((S398)*(R398)-(P398)*(T398)))/W398,0)</f>
        <v/>
      </c>
      <c r="AA398">
        <f>LTP3!$D$7-X398*LTP3!$D$6-Y398*U398-Z398*V398</f>
        <v/>
      </c>
      <c r="AB398">
        <f>IF(AND(F398,ABS(W398)&gt;1E-12,Y398&gt;0,Z398&gt;0),AA398,1E+300)</f>
        <v/>
      </c>
    </row>
    <row r="399">
      <c r="A399">
        <f>$B$3+$B$5*6</f>
        <v/>
      </c>
      <c r="B399">
        <f>$B$3+$B$5*21</f>
        <v/>
      </c>
      <c r="C399">
        <f>SUMPRODUCT(Calc!$K$3:$K$22*(Calc!$G$3:$G$22&lt;=A399))</f>
        <v/>
      </c>
      <c r="D399">
        <f>SUMPRODUCT(Calc!$K$3:$K$22*(Calc!$G$3:$G$22&gt;A399)*(Calc!$G$3:$G$22&lt;B399))</f>
        <v/>
      </c>
      <c r="E399">
        <f>SUMPRODUCT(Calc!$K$3:$K$22*(Calc!$G$3:$G$22&gt;=B399))</f>
        <v/>
      </c>
      <c r="F399">
        <f>AND(k_n&gt;=5,B399&gt;A399+1E-9,C399&gt;=2,D399&gt;=1,E399&gt;=2)</f>
        <v/>
      </c>
      <c r="G399">
        <f>SUMPRODUCT(Calc!$K$3:$K$22*(Calc!$G$3:$G$22&gt;A399)*(Calc!$G$3:$G$22-A399))</f>
        <v/>
      </c>
      <c r="H399">
        <f>SUMPRODUCT(Calc!$K$3:$K$22*(Calc!$G$3:$G$22&gt;B399)*(Calc!$G$3:$G$22-B399))</f>
        <v/>
      </c>
      <c r="I399">
        <f>SUMPRODUCT(Calc!$K$3:$K$22*(Calc!$G$3:$G$22&gt;A399)*(Calc!$G$3:$G$22-A399)^2)</f>
        <v/>
      </c>
      <c r="J399">
        <f>SUMPRODUCT(Calc!$K$3:$K$22*(Calc!$G$3:$G$22&gt;B399)*(Calc!$G$3:$G$22-B399)^2)</f>
        <v/>
      </c>
      <c r="K399">
        <f>SUMPRODUCT(Calc!$K$3:$K$22*(Calc!$G$3:$G$22&gt;A399)*(Calc!$G$3:$G$22-A399)*(Calc!$G$3:$G$22&gt;B399)*(Calc!$G$3:$G$22-B399))</f>
        <v/>
      </c>
      <c r="L399">
        <f>SUMPRODUCT(Calc!$K$3:$K$22*(Calc!$G$3:$G$22&gt;A399)*(Calc!$G$3:$G$22-A399)*Calc!$G$3:$G$22)</f>
        <v/>
      </c>
      <c r="M399">
        <f>SUMPRODUCT(Calc!$K$3:$K$22*(Calc!$G$3:$G$22&gt;B399)*(Calc!$G$3:$G$22-B399)*Calc!$G$3:$G$22)</f>
        <v/>
      </c>
      <c r="N399">
        <f>SUMPRODUCT(Calc!$K$3:$K$22*(Calc!$G$3:$G$22&gt;A399)*(Calc!$G$3:$G$22-A399)*Calc!$I$3:$I$22)</f>
        <v/>
      </c>
      <c r="O399">
        <f>SUMPRODUCT(Calc!$K$3:$K$22*(Calc!$G$3:$G$22&gt;B399)*(Calc!$G$3:$G$22-B399)*Calc!$I$3:$I$22)</f>
        <v/>
      </c>
      <c r="P399">
        <f>I399-G399^2/k_n</f>
        <v/>
      </c>
      <c r="Q399">
        <f>J399-H399^2/k_n</f>
        <v/>
      </c>
      <c r="R399">
        <f>K399-G399*H399/k_n</f>
        <v/>
      </c>
      <c r="S399">
        <f>L399-LTP3!$D$3*G399/k_n</f>
        <v/>
      </c>
      <c r="T399">
        <f>M399-LTP3!$D$3*H399/k_n</f>
        <v/>
      </c>
      <c r="U399">
        <f>N399-G399*LTP3!$D$4/k_n</f>
        <v/>
      </c>
      <c r="V399">
        <f>O399-H399*LTP3!$D$4/k_n</f>
        <v/>
      </c>
      <c r="W399">
        <f>((LTP3!$D$5)*((P399)*(Q399)-(R399)*(R399))-(S399)*((S399)*(Q399)-(R399)*(T399))+(T399)*((S399)*(R399)-(P399)*(T399)))</f>
        <v/>
      </c>
      <c r="X399">
        <f>IF(ABS(W399)&gt;1E-12,((LTP3!$D$6)*((P399)*(Q399)-(R399)*(R399))-(S399)*((U399)*(Q399)-(R399)*(V399))+(T399)*((U399)*(R399)-(P399)*(V399)))/W399,0)</f>
        <v/>
      </c>
      <c r="Y399">
        <f>IF(ABS(W399)&gt;1E-12,((LTP3!$D$5)*((U399)*(Q399)-(R399)*(V399))-(LTP3!$D$6)*((S399)*(Q399)-(R399)*(T399))+(T399)*((S399)*(V399)-(U399)*(T399)))/W399,0)</f>
        <v/>
      </c>
      <c r="Z399">
        <f>IF(ABS(W399)&gt;1E-12,((LTP3!$D$5)*((P399)*(V399)-(U399)*(R399))-(S399)*((S399)*(V399)-(U399)*(T399))+(LTP3!$D$6)*((S399)*(R399)-(P399)*(T399)))/W399,0)</f>
        <v/>
      </c>
      <c r="AA399">
        <f>LTP3!$D$7-X399*LTP3!$D$6-Y399*U399-Z399*V399</f>
        <v/>
      </c>
      <c r="AB399">
        <f>IF(AND(F399,ABS(W399)&gt;1E-12,Y399&gt;0,Z399&gt;0),AA399,1E+300)</f>
        <v/>
      </c>
    </row>
    <row r="400">
      <c r="A400">
        <f>$B$3+$B$5*6</f>
        <v/>
      </c>
      <c r="B400">
        <f>$B$3+$B$5*22</f>
        <v/>
      </c>
      <c r="C400">
        <f>SUMPRODUCT(Calc!$K$3:$K$22*(Calc!$G$3:$G$22&lt;=A400))</f>
        <v/>
      </c>
      <c r="D400">
        <f>SUMPRODUCT(Calc!$K$3:$K$22*(Calc!$G$3:$G$22&gt;A400)*(Calc!$G$3:$G$22&lt;B400))</f>
        <v/>
      </c>
      <c r="E400">
        <f>SUMPRODUCT(Calc!$K$3:$K$22*(Calc!$G$3:$G$22&gt;=B400))</f>
        <v/>
      </c>
      <c r="F400">
        <f>AND(k_n&gt;=5,B400&gt;A400+1E-9,C400&gt;=2,D400&gt;=1,E400&gt;=2)</f>
        <v/>
      </c>
      <c r="G400">
        <f>SUMPRODUCT(Calc!$K$3:$K$22*(Calc!$G$3:$G$22&gt;A400)*(Calc!$G$3:$G$22-A400))</f>
        <v/>
      </c>
      <c r="H400">
        <f>SUMPRODUCT(Calc!$K$3:$K$22*(Calc!$G$3:$G$22&gt;B400)*(Calc!$G$3:$G$22-B400))</f>
        <v/>
      </c>
      <c r="I400">
        <f>SUMPRODUCT(Calc!$K$3:$K$22*(Calc!$G$3:$G$22&gt;A400)*(Calc!$G$3:$G$22-A400)^2)</f>
        <v/>
      </c>
      <c r="J400">
        <f>SUMPRODUCT(Calc!$K$3:$K$22*(Calc!$G$3:$G$22&gt;B400)*(Calc!$G$3:$G$22-B400)^2)</f>
        <v/>
      </c>
      <c r="K400">
        <f>SUMPRODUCT(Calc!$K$3:$K$22*(Calc!$G$3:$G$22&gt;A400)*(Calc!$G$3:$G$22-A400)*(Calc!$G$3:$G$22&gt;B400)*(Calc!$G$3:$G$22-B400))</f>
        <v/>
      </c>
      <c r="L400">
        <f>SUMPRODUCT(Calc!$K$3:$K$22*(Calc!$G$3:$G$22&gt;A400)*(Calc!$G$3:$G$22-A400)*Calc!$G$3:$G$22)</f>
        <v/>
      </c>
      <c r="M400">
        <f>SUMPRODUCT(Calc!$K$3:$K$22*(Calc!$G$3:$G$22&gt;B400)*(Calc!$G$3:$G$22-B400)*Calc!$G$3:$G$22)</f>
        <v/>
      </c>
      <c r="N400">
        <f>SUMPRODUCT(Calc!$K$3:$K$22*(Calc!$G$3:$G$22&gt;A400)*(Calc!$G$3:$G$22-A400)*Calc!$I$3:$I$22)</f>
        <v/>
      </c>
      <c r="O400">
        <f>SUMPRODUCT(Calc!$K$3:$K$22*(Calc!$G$3:$G$22&gt;B400)*(Calc!$G$3:$G$22-B400)*Calc!$I$3:$I$22)</f>
        <v/>
      </c>
      <c r="P400">
        <f>I400-G400^2/k_n</f>
        <v/>
      </c>
      <c r="Q400">
        <f>J400-H400^2/k_n</f>
        <v/>
      </c>
      <c r="R400">
        <f>K400-G400*H400/k_n</f>
        <v/>
      </c>
      <c r="S400">
        <f>L400-LTP3!$D$3*G400/k_n</f>
        <v/>
      </c>
      <c r="T400">
        <f>M400-LTP3!$D$3*H400/k_n</f>
        <v/>
      </c>
      <c r="U400">
        <f>N400-G400*LTP3!$D$4/k_n</f>
        <v/>
      </c>
      <c r="V400">
        <f>O400-H400*LTP3!$D$4/k_n</f>
        <v/>
      </c>
      <c r="W400">
        <f>((LTP3!$D$5)*((P400)*(Q400)-(R400)*(R400))-(S400)*((S400)*(Q400)-(R400)*(T400))+(T400)*((S400)*(R400)-(P400)*(T400)))</f>
        <v/>
      </c>
      <c r="X400">
        <f>IF(ABS(W400)&gt;1E-12,((LTP3!$D$6)*((P400)*(Q400)-(R400)*(R400))-(S400)*((U400)*(Q400)-(R400)*(V400))+(T400)*((U400)*(R400)-(P400)*(V400)))/W400,0)</f>
        <v/>
      </c>
      <c r="Y400">
        <f>IF(ABS(W400)&gt;1E-12,((LTP3!$D$5)*((U400)*(Q400)-(R400)*(V400))-(LTP3!$D$6)*((S400)*(Q400)-(R400)*(T400))+(T400)*((S400)*(V400)-(U400)*(T400)))/W400,0)</f>
        <v/>
      </c>
      <c r="Z400">
        <f>IF(ABS(W400)&gt;1E-12,((LTP3!$D$5)*((P400)*(V400)-(U400)*(R400))-(S400)*((S400)*(V400)-(U400)*(T400))+(LTP3!$D$6)*((S400)*(R400)-(P400)*(T400)))/W400,0)</f>
        <v/>
      </c>
      <c r="AA400">
        <f>LTP3!$D$7-X400*LTP3!$D$6-Y400*U400-Z400*V400</f>
        <v/>
      </c>
      <c r="AB400">
        <f>IF(AND(F400,ABS(W400)&gt;1E-12,Y400&gt;0,Z400&gt;0),AA400,1E+300)</f>
        <v/>
      </c>
    </row>
    <row r="401">
      <c r="A401">
        <f>$B$3+$B$5*6</f>
        <v/>
      </c>
      <c r="B401">
        <f>$B$3+$B$5*23</f>
        <v/>
      </c>
      <c r="C401">
        <f>SUMPRODUCT(Calc!$K$3:$K$22*(Calc!$G$3:$G$22&lt;=A401))</f>
        <v/>
      </c>
      <c r="D401">
        <f>SUMPRODUCT(Calc!$K$3:$K$22*(Calc!$G$3:$G$22&gt;A401)*(Calc!$G$3:$G$22&lt;B401))</f>
        <v/>
      </c>
      <c r="E401">
        <f>SUMPRODUCT(Calc!$K$3:$K$22*(Calc!$G$3:$G$22&gt;=B401))</f>
        <v/>
      </c>
      <c r="F401">
        <f>AND(k_n&gt;=5,B401&gt;A401+1E-9,C401&gt;=2,D401&gt;=1,E401&gt;=2)</f>
        <v/>
      </c>
      <c r="G401">
        <f>SUMPRODUCT(Calc!$K$3:$K$22*(Calc!$G$3:$G$22&gt;A401)*(Calc!$G$3:$G$22-A401))</f>
        <v/>
      </c>
      <c r="H401">
        <f>SUMPRODUCT(Calc!$K$3:$K$22*(Calc!$G$3:$G$22&gt;B401)*(Calc!$G$3:$G$22-B401))</f>
        <v/>
      </c>
      <c r="I401">
        <f>SUMPRODUCT(Calc!$K$3:$K$22*(Calc!$G$3:$G$22&gt;A401)*(Calc!$G$3:$G$22-A401)^2)</f>
        <v/>
      </c>
      <c r="J401">
        <f>SUMPRODUCT(Calc!$K$3:$K$22*(Calc!$G$3:$G$22&gt;B401)*(Calc!$G$3:$G$22-B401)^2)</f>
        <v/>
      </c>
      <c r="K401">
        <f>SUMPRODUCT(Calc!$K$3:$K$22*(Calc!$G$3:$G$22&gt;A401)*(Calc!$G$3:$G$22-A401)*(Calc!$G$3:$G$22&gt;B401)*(Calc!$G$3:$G$22-B401))</f>
        <v/>
      </c>
      <c r="L401">
        <f>SUMPRODUCT(Calc!$K$3:$K$22*(Calc!$G$3:$G$22&gt;A401)*(Calc!$G$3:$G$22-A401)*Calc!$G$3:$G$22)</f>
        <v/>
      </c>
      <c r="M401">
        <f>SUMPRODUCT(Calc!$K$3:$K$22*(Calc!$G$3:$G$22&gt;B401)*(Calc!$G$3:$G$22-B401)*Calc!$G$3:$G$22)</f>
        <v/>
      </c>
      <c r="N401">
        <f>SUMPRODUCT(Calc!$K$3:$K$22*(Calc!$G$3:$G$22&gt;A401)*(Calc!$G$3:$G$22-A401)*Calc!$I$3:$I$22)</f>
        <v/>
      </c>
      <c r="O401">
        <f>SUMPRODUCT(Calc!$K$3:$K$22*(Calc!$G$3:$G$22&gt;B401)*(Calc!$G$3:$G$22-B401)*Calc!$I$3:$I$22)</f>
        <v/>
      </c>
      <c r="P401">
        <f>I401-G401^2/k_n</f>
        <v/>
      </c>
      <c r="Q401">
        <f>J401-H401^2/k_n</f>
        <v/>
      </c>
      <c r="R401">
        <f>K401-G401*H401/k_n</f>
        <v/>
      </c>
      <c r="S401">
        <f>L401-LTP3!$D$3*G401/k_n</f>
        <v/>
      </c>
      <c r="T401">
        <f>M401-LTP3!$D$3*H401/k_n</f>
        <v/>
      </c>
      <c r="U401">
        <f>N401-G401*LTP3!$D$4/k_n</f>
        <v/>
      </c>
      <c r="V401">
        <f>O401-H401*LTP3!$D$4/k_n</f>
        <v/>
      </c>
      <c r="W401">
        <f>((LTP3!$D$5)*((P401)*(Q401)-(R401)*(R401))-(S401)*((S401)*(Q401)-(R401)*(T401))+(T401)*((S401)*(R401)-(P401)*(T401)))</f>
        <v/>
      </c>
      <c r="X401">
        <f>IF(ABS(W401)&gt;1E-12,((LTP3!$D$6)*((P401)*(Q401)-(R401)*(R401))-(S401)*((U401)*(Q401)-(R401)*(V401))+(T401)*((U401)*(R401)-(P401)*(V401)))/W401,0)</f>
        <v/>
      </c>
      <c r="Y401">
        <f>IF(ABS(W401)&gt;1E-12,((LTP3!$D$5)*((U401)*(Q401)-(R401)*(V401))-(LTP3!$D$6)*((S401)*(Q401)-(R401)*(T401))+(T401)*((S401)*(V401)-(U401)*(T401)))/W401,0)</f>
        <v/>
      </c>
      <c r="Z401">
        <f>IF(ABS(W401)&gt;1E-12,((LTP3!$D$5)*((P401)*(V401)-(U401)*(R401))-(S401)*((S401)*(V401)-(U401)*(T401))+(LTP3!$D$6)*((S401)*(R401)-(P401)*(T401)))/W401,0)</f>
        <v/>
      </c>
      <c r="AA401">
        <f>LTP3!$D$7-X401*LTP3!$D$6-Y401*U401-Z401*V401</f>
        <v/>
      </c>
      <c r="AB401">
        <f>IF(AND(F401,ABS(W401)&gt;1E-12,Y401&gt;0,Z401&gt;0),AA401,1E+300)</f>
        <v/>
      </c>
    </row>
    <row r="402">
      <c r="A402">
        <f>$B$3+$B$5*6</f>
        <v/>
      </c>
      <c r="B402">
        <f>$B$3+$B$5*24</f>
        <v/>
      </c>
      <c r="C402">
        <f>SUMPRODUCT(Calc!$K$3:$K$22*(Calc!$G$3:$G$22&lt;=A402))</f>
        <v/>
      </c>
      <c r="D402">
        <f>SUMPRODUCT(Calc!$K$3:$K$22*(Calc!$G$3:$G$22&gt;A402)*(Calc!$G$3:$G$22&lt;B402))</f>
        <v/>
      </c>
      <c r="E402">
        <f>SUMPRODUCT(Calc!$K$3:$K$22*(Calc!$G$3:$G$22&gt;=B402))</f>
        <v/>
      </c>
      <c r="F402">
        <f>AND(k_n&gt;=5,B402&gt;A402+1E-9,C402&gt;=2,D402&gt;=1,E402&gt;=2)</f>
        <v/>
      </c>
      <c r="G402">
        <f>SUMPRODUCT(Calc!$K$3:$K$22*(Calc!$G$3:$G$22&gt;A402)*(Calc!$G$3:$G$22-A402))</f>
        <v/>
      </c>
      <c r="H402">
        <f>SUMPRODUCT(Calc!$K$3:$K$22*(Calc!$G$3:$G$22&gt;B402)*(Calc!$G$3:$G$22-B402))</f>
        <v/>
      </c>
      <c r="I402">
        <f>SUMPRODUCT(Calc!$K$3:$K$22*(Calc!$G$3:$G$22&gt;A402)*(Calc!$G$3:$G$22-A402)^2)</f>
        <v/>
      </c>
      <c r="J402">
        <f>SUMPRODUCT(Calc!$K$3:$K$22*(Calc!$G$3:$G$22&gt;B402)*(Calc!$G$3:$G$22-B402)^2)</f>
        <v/>
      </c>
      <c r="K402">
        <f>SUMPRODUCT(Calc!$K$3:$K$22*(Calc!$G$3:$G$22&gt;A402)*(Calc!$G$3:$G$22-A402)*(Calc!$G$3:$G$22&gt;B402)*(Calc!$G$3:$G$22-B402))</f>
        <v/>
      </c>
      <c r="L402">
        <f>SUMPRODUCT(Calc!$K$3:$K$22*(Calc!$G$3:$G$22&gt;A402)*(Calc!$G$3:$G$22-A402)*Calc!$G$3:$G$22)</f>
        <v/>
      </c>
      <c r="M402">
        <f>SUMPRODUCT(Calc!$K$3:$K$22*(Calc!$G$3:$G$22&gt;B402)*(Calc!$G$3:$G$22-B402)*Calc!$G$3:$G$22)</f>
        <v/>
      </c>
      <c r="N402">
        <f>SUMPRODUCT(Calc!$K$3:$K$22*(Calc!$G$3:$G$22&gt;A402)*(Calc!$G$3:$G$22-A402)*Calc!$I$3:$I$22)</f>
        <v/>
      </c>
      <c r="O402">
        <f>SUMPRODUCT(Calc!$K$3:$K$22*(Calc!$G$3:$G$22&gt;B402)*(Calc!$G$3:$G$22-B402)*Calc!$I$3:$I$22)</f>
        <v/>
      </c>
      <c r="P402">
        <f>I402-G402^2/k_n</f>
        <v/>
      </c>
      <c r="Q402">
        <f>J402-H402^2/k_n</f>
        <v/>
      </c>
      <c r="R402">
        <f>K402-G402*H402/k_n</f>
        <v/>
      </c>
      <c r="S402">
        <f>L402-LTP3!$D$3*G402/k_n</f>
        <v/>
      </c>
      <c r="T402">
        <f>M402-LTP3!$D$3*H402/k_n</f>
        <v/>
      </c>
      <c r="U402">
        <f>N402-G402*LTP3!$D$4/k_n</f>
        <v/>
      </c>
      <c r="V402">
        <f>O402-H402*LTP3!$D$4/k_n</f>
        <v/>
      </c>
      <c r="W402">
        <f>((LTP3!$D$5)*((P402)*(Q402)-(R402)*(R402))-(S402)*((S402)*(Q402)-(R402)*(T402))+(T402)*((S402)*(R402)-(P402)*(T402)))</f>
        <v/>
      </c>
      <c r="X402">
        <f>IF(ABS(W402)&gt;1E-12,((LTP3!$D$6)*((P402)*(Q402)-(R402)*(R402))-(S402)*((U402)*(Q402)-(R402)*(V402))+(T402)*((U402)*(R402)-(P402)*(V402)))/W402,0)</f>
        <v/>
      </c>
      <c r="Y402">
        <f>IF(ABS(W402)&gt;1E-12,((LTP3!$D$5)*((U402)*(Q402)-(R402)*(V402))-(LTP3!$D$6)*((S402)*(Q402)-(R402)*(T402))+(T402)*((S402)*(V402)-(U402)*(T402)))/W402,0)</f>
        <v/>
      </c>
      <c r="Z402">
        <f>IF(ABS(W402)&gt;1E-12,((LTP3!$D$5)*((P402)*(V402)-(U402)*(R402))-(S402)*((S402)*(V402)-(U402)*(T402))+(LTP3!$D$6)*((S402)*(R402)-(P402)*(T402)))/W402,0)</f>
        <v/>
      </c>
      <c r="AA402">
        <f>LTP3!$D$7-X402*LTP3!$D$6-Y402*U402-Z402*V402</f>
        <v/>
      </c>
      <c r="AB402">
        <f>IF(AND(F402,ABS(W402)&gt;1E-12,Y402&gt;0,Z402&gt;0),AA402,1E+300)</f>
        <v/>
      </c>
    </row>
    <row r="403">
      <c r="A403">
        <f>$B$3+$B$5*6</f>
        <v/>
      </c>
      <c r="B403">
        <f>$B$3+$B$5*25</f>
        <v/>
      </c>
      <c r="C403">
        <f>SUMPRODUCT(Calc!$K$3:$K$22*(Calc!$G$3:$G$22&lt;=A403))</f>
        <v/>
      </c>
      <c r="D403">
        <f>SUMPRODUCT(Calc!$K$3:$K$22*(Calc!$G$3:$G$22&gt;A403)*(Calc!$G$3:$G$22&lt;B403))</f>
        <v/>
      </c>
      <c r="E403">
        <f>SUMPRODUCT(Calc!$K$3:$K$22*(Calc!$G$3:$G$22&gt;=B403))</f>
        <v/>
      </c>
      <c r="F403">
        <f>AND(k_n&gt;=5,B403&gt;A403+1E-9,C403&gt;=2,D403&gt;=1,E403&gt;=2)</f>
        <v/>
      </c>
      <c r="G403">
        <f>SUMPRODUCT(Calc!$K$3:$K$22*(Calc!$G$3:$G$22&gt;A403)*(Calc!$G$3:$G$22-A403))</f>
        <v/>
      </c>
      <c r="H403">
        <f>SUMPRODUCT(Calc!$K$3:$K$22*(Calc!$G$3:$G$22&gt;B403)*(Calc!$G$3:$G$22-B403))</f>
        <v/>
      </c>
      <c r="I403">
        <f>SUMPRODUCT(Calc!$K$3:$K$22*(Calc!$G$3:$G$22&gt;A403)*(Calc!$G$3:$G$22-A403)^2)</f>
        <v/>
      </c>
      <c r="J403">
        <f>SUMPRODUCT(Calc!$K$3:$K$22*(Calc!$G$3:$G$22&gt;B403)*(Calc!$G$3:$G$22-B403)^2)</f>
        <v/>
      </c>
      <c r="K403">
        <f>SUMPRODUCT(Calc!$K$3:$K$22*(Calc!$G$3:$G$22&gt;A403)*(Calc!$G$3:$G$22-A403)*(Calc!$G$3:$G$22&gt;B403)*(Calc!$G$3:$G$22-B403))</f>
        <v/>
      </c>
      <c r="L403">
        <f>SUMPRODUCT(Calc!$K$3:$K$22*(Calc!$G$3:$G$22&gt;A403)*(Calc!$G$3:$G$22-A403)*Calc!$G$3:$G$22)</f>
        <v/>
      </c>
      <c r="M403">
        <f>SUMPRODUCT(Calc!$K$3:$K$22*(Calc!$G$3:$G$22&gt;B403)*(Calc!$G$3:$G$22-B403)*Calc!$G$3:$G$22)</f>
        <v/>
      </c>
      <c r="N403">
        <f>SUMPRODUCT(Calc!$K$3:$K$22*(Calc!$G$3:$G$22&gt;A403)*(Calc!$G$3:$G$22-A403)*Calc!$I$3:$I$22)</f>
        <v/>
      </c>
      <c r="O403">
        <f>SUMPRODUCT(Calc!$K$3:$K$22*(Calc!$G$3:$G$22&gt;B403)*(Calc!$G$3:$G$22-B403)*Calc!$I$3:$I$22)</f>
        <v/>
      </c>
      <c r="P403">
        <f>I403-G403^2/k_n</f>
        <v/>
      </c>
      <c r="Q403">
        <f>J403-H403^2/k_n</f>
        <v/>
      </c>
      <c r="R403">
        <f>K403-G403*H403/k_n</f>
        <v/>
      </c>
      <c r="S403">
        <f>L403-LTP3!$D$3*G403/k_n</f>
        <v/>
      </c>
      <c r="T403">
        <f>M403-LTP3!$D$3*H403/k_n</f>
        <v/>
      </c>
      <c r="U403">
        <f>N403-G403*LTP3!$D$4/k_n</f>
        <v/>
      </c>
      <c r="V403">
        <f>O403-H403*LTP3!$D$4/k_n</f>
        <v/>
      </c>
      <c r="W403">
        <f>((LTP3!$D$5)*((P403)*(Q403)-(R403)*(R403))-(S403)*((S403)*(Q403)-(R403)*(T403))+(T403)*((S403)*(R403)-(P403)*(T403)))</f>
        <v/>
      </c>
      <c r="X403">
        <f>IF(ABS(W403)&gt;1E-12,((LTP3!$D$6)*((P403)*(Q403)-(R403)*(R403))-(S403)*((U403)*(Q403)-(R403)*(V403))+(T403)*((U403)*(R403)-(P403)*(V403)))/W403,0)</f>
        <v/>
      </c>
      <c r="Y403">
        <f>IF(ABS(W403)&gt;1E-12,((LTP3!$D$5)*((U403)*(Q403)-(R403)*(V403))-(LTP3!$D$6)*((S403)*(Q403)-(R403)*(T403))+(T403)*((S403)*(V403)-(U403)*(T403)))/W403,0)</f>
        <v/>
      </c>
      <c r="Z403">
        <f>IF(ABS(W403)&gt;1E-12,((LTP3!$D$5)*((P403)*(V403)-(U403)*(R403))-(S403)*((S403)*(V403)-(U403)*(T403))+(LTP3!$D$6)*((S403)*(R403)-(P403)*(T403)))/W403,0)</f>
        <v/>
      </c>
      <c r="AA403">
        <f>LTP3!$D$7-X403*LTP3!$D$6-Y403*U403-Z403*V403</f>
        <v/>
      </c>
      <c r="AB403">
        <f>IF(AND(F403,ABS(W403)&gt;1E-12,Y403&gt;0,Z403&gt;0),AA403,1E+300)</f>
        <v/>
      </c>
    </row>
    <row r="404">
      <c r="A404">
        <f>$B$3+$B$5*6</f>
        <v/>
      </c>
      <c r="B404">
        <f>$B$3+$B$5*26</f>
        <v/>
      </c>
      <c r="C404">
        <f>SUMPRODUCT(Calc!$K$3:$K$22*(Calc!$G$3:$G$22&lt;=A404))</f>
        <v/>
      </c>
      <c r="D404">
        <f>SUMPRODUCT(Calc!$K$3:$K$22*(Calc!$G$3:$G$22&gt;A404)*(Calc!$G$3:$G$22&lt;B404))</f>
        <v/>
      </c>
      <c r="E404">
        <f>SUMPRODUCT(Calc!$K$3:$K$22*(Calc!$G$3:$G$22&gt;=B404))</f>
        <v/>
      </c>
      <c r="F404">
        <f>AND(k_n&gt;=5,B404&gt;A404+1E-9,C404&gt;=2,D404&gt;=1,E404&gt;=2)</f>
        <v/>
      </c>
      <c r="G404">
        <f>SUMPRODUCT(Calc!$K$3:$K$22*(Calc!$G$3:$G$22&gt;A404)*(Calc!$G$3:$G$22-A404))</f>
        <v/>
      </c>
      <c r="H404">
        <f>SUMPRODUCT(Calc!$K$3:$K$22*(Calc!$G$3:$G$22&gt;B404)*(Calc!$G$3:$G$22-B404))</f>
        <v/>
      </c>
      <c r="I404">
        <f>SUMPRODUCT(Calc!$K$3:$K$22*(Calc!$G$3:$G$22&gt;A404)*(Calc!$G$3:$G$22-A404)^2)</f>
        <v/>
      </c>
      <c r="J404">
        <f>SUMPRODUCT(Calc!$K$3:$K$22*(Calc!$G$3:$G$22&gt;B404)*(Calc!$G$3:$G$22-B404)^2)</f>
        <v/>
      </c>
      <c r="K404">
        <f>SUMPRODUCT(Calc!$K$3:$K$22*(Calc!$G$3:$G$22&gt;A404)*(Calc!$G$3:$G$22-A404)*(Calc!$G$3:$G$22&gt;B404)*(Calc!$G$3:$G$22-B404))</f>
        <v/>
      </c>
      <c r="L404">
        <f>SUMPRODUCT(Calc!$K$3:$K$22*(Calc!$G$3:$G$22&gt;A404)*(Calc!$G$3:$G$22-A404)*Calc!$G$3:$G$22)</f>
        <v/>
      </c>
      <c r="M404">
        <f>SUMPRODUCT(Calc!$K$3:$K$22*(Calc!$G$3:$G$22&gt;B404)*(Calc!$G$3:$G$22-B404)*Calc!$G$3:$G$22)</f>
        <v/>
      </c>
      <c r="N404">
        <f>SUMPRODUCT(Calc!$K$3:$K$22*(Calc!$G$3:$G$22&gt;A404)*(Calc!$G$3:$G$22-A404)*Calc!$I$3:$I$22)</f>
        <v/>
      </c>
      <c r="O404">
        <f>SUMPRODUCT(Calc!$K$3:$K$22*(Calc!$G$3:$G$22&gt;B404)*(Calc!$G$3:$G$22-B404)*Calc!$I$3:$I$22)</f>
        <v/>
      </c>
      <c r="P404">
        <f>I404-G404^2/k_n</f>
        <v/>
      </c>
      <c r="Q404">
        <f>J404-H404^2/k_n</f>
        <v/>
      </c>
      <c r="R404">
        <f>K404-G404*H404/k_n</f>
        <v/>
      </c>
      <c r="S404">
        <f>L404-LTP3!$D$3*G404/k_n</f>
        <v/>
      </c>
      <c r="T404">
        <f>M404-LTP3!$D$3*H404/k_n</f>
        <v/>
      </c>
      <c r="U404">
        <f>N404-G404*LTP3!$D$4/k_n</f>
        <v/>
      </c>
      <c r="V404">
        <f>O404-H404*LTP3!$D$4/k_n</f>
        <v/>
      </c>
      <c r="W404">
        <f>((LTP3!$D$5)*((P404)*(Q404)-(R404)*(R404))-(S404)*((S404)*(Q404)-(R404)*(T404))+(T404)*((S404)*(R404)-(P404)*(T404)))</f>
        <v/>
      </c>
      <c r="X404">
        <f>IF(ABS(W404)&gt;1E-12,((LTP3!$D$6)*((P404)*(Q404)-(R404)*(R404))-(S404)*((U404)*(Q404)-(R404)*(V404))+(T404)*((U404)*(R404)-(P404)*(V404)))/W404,0)</f>
        <v/>
      </c>
      <c r="Y404">
        <f>IF(ABS(W404)&gt;1E-12,((LTP3!$D$5)*((U404)*(Q404)-(R404)*(V404))-(LTP3!$D$6)*((S404)*(Q404)-(R404)*(T404))+(T404)*((S404)*(V404)-(U404)*(T404)))/W404,0)</f>
        <v/>
      </c>
      <c r="Z404">
        <f>IF(ABS(W404)&gt;1E-12,((LTP3!$D$5)*((P404)*(V404)-(U404)*(R404))-(S404)*((S404)*(V404)-(U404)*(T404))+(LTP3!$D$6)*((S404)*(R404)-(P404)*(T404)))/W404,0)</f>
        <v/>
      </c>
      <c r="AA404">
        <f>LTP3!$D$7-X404*LTP3!$D$6-Y404*U404-Z404*V404</f>
        <v/>
      </c>
      <c r="AB404">
        <f>IF(AND(F404,ABS(W404)&gt;1E-12,Y404&gt;0,Z404&gt;0),AA404,1E+300)</f>
        <v/>
      </c>
    </row>
    <row r="405">
      <c r="A405">
        <f>$B$3+$B$5*6</f>
        <v/>
      </c>
      <c r="B405">
        <f>$B$3+$B$5*27</f>
        <v/>
      </c>
      <c r="C405">
        <f>SUMPRODUCT(Calc!$K$3:$K$22*(Calc!$G$3:$G$22&lt;=A405))</f>
        <v/>
      </c>
      <c r="D405">
        <f>SUMPRODUCT(Calc!$K$3:$K$22*(Calc!$G$3:$G$22&gt;A405)*(Calc!$G$3:$G$22&lt;B405))</f>
        <v/>
      </c>
      <c r="E405">
        <f>SUMPRODUCT(Calc!$K$3:$K$22*(Calc!$G$3:$G$22&gt;=B405))</f>
        <v/>
      </c>
      <c r="F405">
        <f>AND(k_n&gt;=5,B405&gt;A405+1E-9,C405&gt;=2,D405&gt;=1,E405&gt;=2)</f>
        <v/>
      </c>
      <c r="G405">
        <f>SUMPRODUCT(Calc!$K$3:$K$22*(Calc!$G$3:$G$22&gt;A405)*(Calc!$G$3:$G$22-A405))</f>
        <v/>
      </c>
      <c r="H405">
        <f>SUMPRODUCT(Calc!$K$3:$K$22*(Calc!$G$3:$G$22&gt;B405)*(Calc!$G$3:$G$22-B405))</f>
        <v/>
      </c>
      <c r="I405">
        <f>SUMPRODUCT(Calc!$K$3:$K$22*(Calc!$G$3:$G$22&gt;A405)*(Calc!$G$3:$G$22-A405)^2)</f>
        <v/>
      </c>
      <c r="J405">
        <f>SUMPRODUCT(Calc!$K$3:$K$22*(Calc!$G$3:$G$22&gt;B405)*(Calc!$G$3:$G$22-B405)^2)</f>
        <v/>
      </c>
      <c r="K405">
        <f>SUMPRODUCT(Calc!$K$3:$K$22*(Calc!$G$3:$G$22&gt;A405)*(Calc!$G$3:$G$22-A405)*(Calc!$G$3:$G$22&gt;B405)*(Calc!$G$3:$G$22-B405))</f>
        <v/>
      </c>
      <c r="L405">
        <f>SUMPRODUCT(Calc!$K$3:$K$22*(Calc!$G$3:$G$22&gt;A405)*(Calc!$G$3:$G$22-A405)*Calc!$G$3:$G$22)</f>
        <v/>
      </c>
      <c r="M405">
        <f>SUMPRODUCT(Calc!$K$3:$K$22*(Calc!$G$3:$G$22&gt;B405)*(Calc!$G$3:$G$22-B405)*Calc!$G$3:$G$22)</f>
        <v/>
      </c>
      <c r="N405">
        <f>SUMPRODUCT(Calc!$K$3:$K$22*(Calc!$G$3:$G$22&gt;A405)*(Calc!$G$3:$G$22-A405)*Calc!$I$3:$I$22)</f>
        <v/>
      </c>
      <c r="O405">
        <f>SUMPRODUCT(Calc!$K$3:$K$22*(Calc!$G$3:$G$22&gt;B405)*(Calc!$G$3:$G$22-B405)*Calc!$I$3:$I$22)</f>
        <v/>
      </c>
      <c r="P405">
        <f>I405-G405^2/k_n</f>
        <v/>
      </c>
      <c r="Q405">
        <f>J405-H405^2/k_n</f>
        <v/>
      </c>
      <c r="R405">
        <f>K405-G405*H405/k_n</f>
        <v/>
      </c>
      <c r="S405">
        <f>L405-LTP3!$D$3*G405/k_n</f>
        <v/>
      </c>
      <c r="T405">
        <f>M405-LTP3!$D$3*H405/k_n</f>
        <v/>
      </c>
      <c r="U405">
        <f>N405-G405*LTP3!$D$4/k_n</f>
        <v/>
      </c>
      <c r="V405">
        <f>O405-H405*LTP3!$D$4/k_n</f>
        <v/>
      </c>
      <c r="W405">
        <f>((LTP3!$D$5)*((P405)*(Q405)-(R405)*(R405))-(S405)*((S405)*(Q405)-(R405)*(T405))+(T405)*((S405)*(R405)-(P405)*(T405)))</f>
        <v/>
      </c>
      <c r="X405">
        <f>IF(ABS(W405)&gt;1E-12,((LTP3!$D$6)*((P405)*(Q405)-(R405)*(R405))-(S405)*((U405)*(Q405)-(R405)*(V405))+(T405)*((U405)*(R405)-(P405)*(V405)))/W405,0)</f>
        <v/>
      </c>
      <c r="Y405">
        <f>IF(ABS(W405)&gt;1E-12,((LTP3!$D$5)*((U405)*(Q405)-(R405)*(V405))-(LTP3!$D$6)*((S405)*(Q405)-(R405)*(T405))+(T405)*((S405)*(V405)-(U405)*(T405)))/W405,0)</f>
        <v/>
      </c>
      <c r="Z405">
        <f>IF(ABS(W405)&gt;1E-12,((LTP3!$D$5)*((P405)*(V405)-(U405)*(R405))-(S405)*((S405)*(V405)-(U405)*(T405))+(LTP3!$D$6)*((S405)*(R405)-(P405)*(T405)))/W405,0)</f>
        <v/>
      </c>
      <c r="AA405">
        <f>LTP3!$D$7-X405*LTP3!$D$6-Y405*U405-Z405*V405</f>
        <v/>
      </c>
      <c r="AB405">
        <f>IF(AND(F405,ABS(W405)&gt;1E-12,Y405&gt;0,Z405&gt;0),AA405,1E+300)</f>
        <v/>
      </c>
    </row>
    <row r="406">
      <c r="A406">
        <f>$B$3+$B$5*6</f>
        <v/>
      </c>
      <c r="B406">
        <f>$B$3+$B$5*28</f>
        <v/>
      </c>
      <c r="C406">
        <f>SUMPRODUCT(Calc!$K$3:$K$22*(Calc!$G$3:$G$22&lt;=A406))</f>
        <v/>
      </c>
      <c r="D406">
        <f>SUMPRODUCT(Calc!$K$3:$K$22*(Calc!$G$3:$G$22&gt;A406)*(Calc!$G$3:$G$22&lt;B406))</f>
        <v/>
      </c>
      <c r="E406">
        <f>SUMPRODUCT(Calc!$K$3:$K$22*(Calc!$G$3:$G$22&gt;=B406))</f>
        <v/>
      </c>
      <c r="F406">
        <f>AND(k_n&gt;=5,B406&gt;A406+1E-9,C406&gt;=2,D406&gt;=1,E406&gt;=2)</f>
        <v/>
      </c>
      <c r="G406">
        <f>SUMPRODUCT(Calc!$K$3:$K$22*(Calc!$G$3:$G$22&gt;A406)*(Calc!$G$3:$G$22-A406))</f>
        <v/>
      </c>
      <c r="H406">
        <f>SUMPRODUCT(Calc!$K$3:$K$22*(Calc!$G$3:$G$22&gt;B406)*(Calc!$G$3:$G$22-B406))</f>
        <v/>
      </c>
      <c r="I406">
        <f>SUMPRODUCT(Calc!$K$3:$K$22*(Calc!$G$3:$G$22&gt;A406)*(Calc!$G$3:$G$22-A406)^2)</f>
        <v/>
      </c>
      <c r="J406">
        <f>SUMPRODUCT(Calc!$K$3:$K$22*(Calc!$G$3:$G$22&gt;B406)*(Calc!$G$3:$G$22-B406)^2)</f>
        <v/>
      </c>
      <c r="K406">
        <f>SUMPRODUCT(Calc!$K$3:$K$22*(Calc!$G$3:$G$22&gt;A406)*(Calc!$G$3:$G$22-A406)*(Calc!$G$3:$G$22&gt;B406)*(Calc!$G$3:$G$22-B406))</f>
        <v/>
      </c>
      <c r="L406">
        <f>SUMPRODUCT(Calc!$K$3:$K$22*(Calc!$G$3:$G$22&gt;A406)*(Calc!$G$3:$G$22-A406)*Calc!$G$3:$G$22)</f>
        <v/>
      </c>
      <c r="M406">
        <f>SUMPRODUCT(Calc!$K$3:$K$22*(Calc!$G$3:$G$22&gt;B406)*(Calc!$G$3:$G$22-B406)*Calc!$G$3:$G$22)</f>
        <v/>
      </c>
      <c r="N406">
        <f>SUMPRODUCT(Calc!$K$3:$K$22*(Calc!$G$3:$G$22&gt;A406)*(Calc!$G$3:$G$22-A406)*Calc!$I$3:$I$22)</f>
        <v/>
      </c>
      <c r="O406">
        <f>SUMPRODUCT(Calc!$K$3:$K$22*(Calc!$G$3:$G$22&gt;B406)*(Calc!$G$3:$G$22-B406)*Calc!$I$3:$I$22)</f>
        <v/>
      </c>
      <c r="P406">
        <f>I406-G406^2/k_n</f>
        <v/>
      </c>
      <c r="Q406">
        <f>J406-H406^2/k_n</f>
        <v/>
      </c>
      <c r="R406">
        <f>K406-G406*H406/k_n</f>
        <v/>
      </c>
      <c r="S406">
        <f>L406-LTP3!$D$3*G406/k_n</f>
        <v/>
      </c>
      <c r="T406">
        <f>M406-LTP3!$D$3*H406/k_n</f>
        <v/>
      </c>
      <c r="U406">
        <f>N406-G406*LTP3!$D$4/k_n</f>
        <v/>
      </c>
      <c r="V406">
        <f>O406-H406*LTP3!$D$4/k_n</f>
        <v/>
      </c>
      <c r="W406">
        <f>((LTP3!$D$5)*((P406)*(Q406)-(R406)*(R406))-(S406)*((S406)*(Q406)-(R406)*(T406))+(T406)*((S406)*(R406)-(P406)*(T406)))</f>
        <v/>
      </c>
      <c r="X406">
        <f>IF(ABS(W406)&gt;1E-12,((LTP3!$D$6)*((P406)*(Q406)-(R406)*(R406))-(S406)*((U406)*(Q406)-(R406)*(V406))+(T406)*((U406)*(R406)-(P406)*(V406)))/W406,0)</f>
        <v/>
      </c>
      <c r="Y406">
        <f>IF(ABS(W406)&gt;1E-12,((LTP3!$D$5)*((U406)*(Q406)-(R406)*(V406))-(LTP3!$D$6)*((S406)*(Q406)-(R406)*(T406))+(T406)*((S406)*(V406)-(U406)*(T406)))/W406,0)</f>
        <v/>
      </c>
      <c r="Z406">
        <f>IF(ABS(W406)&gt;1E-12,((LTP3!$D$5)*((P406)*(V406)-(U406)*(R406))-(S406)*((S406)*(V406)-(U406)*(T406))+(LTP3!$D$6)*((S406)*(R406)-(P406)*(T406)))/W406,0)</f>
        <v/>
      </c>
      <c r="AA406">
        <f>LTP3!$D$7-X406*LTP3!$D$6-Y406*U406-Z406*V406</f>
        <v/>
      </c>
      <c r="AB406">
        <f>IF(AND(F406,ABS(W406)&gt;1E-12,Y406&gt;0,Z406&gt;0),AA406,1E+300)</f>
        <v/>
      </c>
    </row>
    <row r="407">
      <c r="A407">
        <f>$B$3+$B$5*6</f>
        <v/>
      </c>
      <c r="B407">
        <f>$B$3+$B$5*29</f>
        <v/>
      </c>
      <c r="C407">
        <f>SUMPRODUCT(Calc!$K$3:$K$22*(Calc!$G$3:$G$22&lt;=A407))</f>
        <v/>
      </c>
      <c r="D407">
        <f>SUMPRODUCT(Calc!$K$3:$K$22*(Calc!$G$3:$G$22&gt;A407)*(Calc!$G$3:$G$22&lt;B407))</f>
        <v/>
      </c>
      <c r="E407">
        <f>SUMPRODUCT(Calc!$K$3:$K$22*(Calc!$G$3:$G$22&gt;=B407))</f>
        <v/>
      </c>
      <c r="F407">
        <f>AND(k_n&gt;=5,B407&gt;A407+1E-9,C407&gt;=2,D407&gt;=1,E407&gt;=2)</f>
        <v/>
      </c>
      <c r="G407">
        <f>SUMPRODUCT(Calc!$K$3:$K$22*(Calc!$G$3:$G$22&gt;A407)*(Calc!$G$3:$G$22-A407))</f>
        <v/>
      </c>
      <c r="H407">
        <f>SUMPRODUCT(Calc!$K$3:$K$22*(Calc!$G$3:$G$22&gt;B407)*(Calc!$G$3:$G$22-B407))</f>
        <v/>
      </c>
      <c r="I407">
        <f>SUMPRODUCT(Calc!$K$3:$K$22*(Calc!$G$3:$G$22&gt;A407)*(Calc!$G$3:$G$22-A407)^2)</f>
        <v/>
      </c>
      <c r="J407">
        <f>SUMPRODUCT(Calc!$K$3:$K$22*(Calc!$G$3:$G$22&gt;B407)*(Calc!$G$3:$G$22-B407)^2)</f>
        <v/>
      </c>
      <c r="K407">
        <f>SUMPRODUCT(Calc!$K$3:$K$22*(Calc!$G$3:$G$22&gt;A407)*(Calc!$G$3:$G$22-A407)*(Calc!$G$3:$G$22&gt;B407)*(Calc!$G$3:$G$22-B407))</f>
        <v/>
      </c>
      <c r="L407">
        <f>SUMPRODUCT(Calc!$K$3:$K$22*(Calc!$G$3:$G$22&gt;A407)*(Calc!$G$3:$G$22-A407)*Calc!$G$3:$G$22)</f>
        <v/>
      </c>
      <c r="M407">
        <f>SUMPRODUCT(Calc!$K$3:$K$22*(Calc!$G$3:$G$22&gt;B407)*(Calc!$G$3:$G$22-B407)*Calc!$G$3:$G$22)</f>
        <v/>
      </c>
      <c r="N407">
        <f>SUMPRODUCT(Calc!$K$3:$K$22*(Calc!$G$3:$G$22&gt;A407)*(Calc!$G$3:$G$22-A407)*Calc!$I$3:$I$22)</f>
        <v/>
      </c>
      <c r="O407">
        <f>SUMPRODUCT(Calc!$K$3:$K$22*(Calc!$G$3:$G$22&gt;B407)*(Calc!$G$3:$G$22-B407)*Calc!$I$3:$I$22)</f>
        <v/>
      </c>
      <c r="P407">
        <f>I407-G407^2/k_n</f>
        <v/>
      </c>
      <c r="Q407">
        <f>J407-H407^2/k_n</f>
        <v/>
      </c>
      <c r="R407">
        <f>K407-G407*H407/k_n</f>
        <v/>
      </c>
      <c r="S407">
        <f>L407-LTP3!$D$3*G407/k_n</f>
        <v/>
      </c>
      <c r="T407">
        <f>M407-LTP3!$D$3*H407/k_n</f>
        <v/>
      </c>
      <c r="U407">
        <f>N407-G407*LTP3!$D$4/k_n</f>
        <v/>
      </c>
      <c r="V407">
        <f>O407-H407*LTP3!$D$4/k_n</f>
        <v/>
      </c>
      <c r="W407">
        <f>((LTP3!$D$5)*((P407)*(Q407)-(R407)*(R407))-(S407)*((S407)*(Q407)-(R407)*(T407))+(T407)*((S407)*(R407)-(P407)*(T407)))</f>
        <v/>
      </c>
      <c r="X407">
        <f>IF(ABS(W407)&gt;1E-12,((LTP3!$D$6)*((P407)*(Q407)-(R407)*(R407))-(S407)*((U407)*(Q407)-(R407)*(V407))+(T407)*((U407)*(R407)-(P407)*(V407)))/W407,0)</f>
        <v/>
      </c>
      <c r="Y407">
        <f>IF(ABS(W407)&gt;1E-12,((LTP3!$D$5)*((U407)*(Q407)-(R407)*(V407))-(LTP3!$D$6)*((S407)*(Q407)-(R407)*(T407))+(T407)*((S407)*(V407)-(U407)*(T407)))/W407,0)</f>
        <v/>
      </c>
      <c r="Z407">
        <f>IF(ABS(W407)&gt;1E-12,((LTP3!$D$5)*((P407)*(V407)-(U407)*(R407))-(S407)*((S407)*(V407)-(U407)*(T407))+(LTP3!$D$6)*((S407)*(R407)-(P407)*(T407)))/W407,0)</f>
        <v/>
      </c>
      <c r="AA407">
        <f>LTP3!$D$7-X407*LTP3!$D$6-Y407*U407-Z407*V407</f>
        <v/>
      </c>
      <c r="AB407">
        <f>IF(AND(F407,ABS(W407)&gt;1E-12,Y407&gt;0,Z407&gt;0),AA407,1E+300)</f>
        <v/>
      </c>
    </row>
    <row r="408">
      <c r="A408">
        <f>$B$3+$B$5*6</f>
        <v/>
      </c>
      <c r="B408">
        <f>$B$3+$B$5*30</f>
        <v/>
      </c>
      <c r="C408">
        <f>SUMPRODUCT(Calc!$K$3:$K$22*(Calc!$G$3:$G$22&lt;=A408))</f>
        <v/>
      </c>
      <c r="D408">
        <f>SUMPRODUCT(Calc!$K$3:$K$22*(Calc!$G$3:$G$22&gt;A408)*(Calc!$G$3:$G$22&lt;B408))</f>
        <v/>
      </c>
      <c r="E408">
        <f>SUMPRODUCT(Calc!$K$3:$K$22*(Calc!$G$3:$G$22&gt;=B408))</f>
        <v/>
      </c>
      <c r="F408">
        <f>AND(k_n&gt;=5,B408&gt;A408+1E-9,C408&gt;=2,D408&gt;=1,E408&gt;=2)</f>
        <v/>
      </c>
      <c r="G408">
        <f>SUMPRODUCT(Calc!$K$3:$K$22*(Calc!$G$3:$G$22&gt;A408)*(Calc!$G$3:$G$22-A408))</f>
        <v/>
      </c>
      <c r="H408">
        <f>SUMPRODUCT(Calc!$K$3:$K$22*(Calc!$G$3:$G$22&gt;B408)*(Calc!$G$3:$G$22-B408))</f>
        <v/>
      </c>
      <c r="I408">
        <f>SUMPRODUCT(Calc!$K$3:$K$22*(Calc!$G$3:$G$22&gt;A408)*(Calc!$G$3:$G$22-A408)^2)</f>
        <v/>
      </c>
      <c r="J408">
        <f>SUMPRODUCT(Calc!$K$3:$K$22*(Calc!$G$3:$G$22&gt;B408)*(Calc!$G$3:$G$22-B408)^2)</f>
        <v/>
      </c>
      <c r="K408">
        <f>SUMPRODUCT(Calc!$K$3:$K$22*(Calc!$G$3:$G$22&gt;A408)*(Calc!$G$3:$G$22-A408)*(Calc!$G$3:$G$22&gt;B408)*(Calc!$G$3:$G$22-B408))</f>
        <v/>
      </c>
      <c r="L408">
        <f>SUMPRODUCT(Calc!$K$3:$K$22*(Calc!$G$3:$G$22&gt;A408)*(Calc!$G$3:$G$22-A408)*Calc!$G$3:$G$22)</f>
        <v/>
      </c>
      <c r="M408">
        <f>SUMPRODUCT(Calc!$K$3:$K$22*(Calc!$G$3:$G$22&gt;B408)*(Calc!$G$3:$G$22-B408)*Calc!$G$3:$G$22)</f>
        <v/>
      </c>
      <c r="N408">
        <f>SUMPRODUCT(Calc!$K$3:$K$22*(Calc!$G$3:$G$22&gt;A408)*(Calc!$G$3:$G$22-A408)*Calc!$I$3:$I$22)</f>
        <v/>
      </c>
      <c r="O408">
        <f>SUMPRODUCT(Calc!$K$3:$K$22*(Calc!$G$3:$G$22&gt;B408)*(Calc!$G$3:$G$22-B408)*Calc!$I$3:$I$22)</f>
        <v/>
      </c>
      <c r="P408">
        <f>I408-G408^2/k_n</f>
        <v/>
      </c>
      <c r="Q408">
        <f>J408-H408^2/k_n</f>
        <v/>
      </c>
      <c r="R408">
        <f>K408-G408*H408/k_n</f>
        <v/>
      </c>
      <c r="S408">
        <f>L408-LTP3!$D$3*G408/k_n</f>
        <v/>
      </c>
      <c r="T408">
        <f>M408-LTP3!$D$3*H408/k_n</f>
        <v/>
      </c>
      <c r="U408">
        <f>N408-G408*LTP3!$D$4/k_n</f>
        <v/>
      </c>
      <c r="V408">
        <f>O408-H408*LTP3!$D$4/k_n</f>
        <v/>
      </c>
      <c r="W408">
        <f>((LTP3!$D$5)*((P408)*(Q408)-(R408)*(R408))-(S408)*((S408)*(Q408)-(R408)*(T408))+(T408)*((S408)*(R408)-(P408)*(T408)))</f>
        <v/>
      </c>
      <c r="X408">
        <f>IF(ABS(W408)&gt;1E-12,((LTP3!$D$6)*((P408)*(Q408)-(R408)*(R408))-(S408)*((U408)*(Q408)-(R408)*(V408))+(T408)*((U408)*(R408)-(P408)*(V408)))/W408,0)</f>
        <v/>
      </c>
      <c r="Y408">
        <f>IF(ABS(W408)&gt;1E-12,((LTP3!$D$5)*((U408)*(Q408)-(R408)*(V408))-(LTP3!$D$6)*((S408)*(Q408)-(R408)*(T408))+(T408)*((S408)*(V408)-(U408)*(T408)))/W408,0)</f>
        <v/>
      </c>
      <c r="Z408">
        <f>IF(ABS(W408)&gt;1E-12,((LTP3!$D$5)*((P408)*(V408)-(U408)*(R408))-(S408)*((S408)*(V408)-(U408)*(T408))+(LTP3!$D$6)*((S408)*(R408)-(P408)*(T408)))/W408,0)</f>
        <v/>
      </c>
      <c r="AA408">
        <f>LTP3!$D$7-X408*LTP3!$D$6-Y408*U408-Z408*V408</f>
        <v/>
      </c>
      <c r="AB408">
        <f>IF(AND(F408,ABS(W408)&gt;1E-12,Y408&gt;0,Z408&gt;0),AA408,1E+300)</f>
        <v/>
      </c>
    </row>
    <row r="409">
      <c r="A409">
        <f>$B$3+$B$5*6</f>
        <v/>
      </c>
      <c r="B409">
        <f>$B$3+$B$5*31</f>
        <v/>
      </c>
      <c r="C409">
        <f>SUMPRODUCT(Calc!$K$3:$K$22*(Calc!$G$3:$G$22&lt;=A409))</f>
        <v/>
      </c>
      <c r="D409">
        <f>SUMPRODUCT(Calc!$K$3:$K$22*(Calc!$G$3:$G$22&gt;A409)*(Calc!$G$3:$G$22&lt;B409))</f>
        <v/>
      </c>
      <c r="E409">
        <f>SUMPRODUCT(Calc!$K$3:$K$22*(Calc!$G$3:$G$22&gt;=B409))</f>
        <v/>
      </c>
      <c r="F409">
        <f>AND(k_n&gt;=5,B409&gt;A409+1E-9,C409&gt;=2,D409&gt;=1,E409&gt;=2)</f>
        <v/>
      </c>
      <c r="G409">
        <f>SUMPRODUCT(Calc!$K$3:$K$22*(Calc!$G$3:$G$22&gt;A409)*(Calc!$G$3:$G$22-A409))</f>
        <v/>
      </c>
      <c r="H409">
        <f>SUMPRODUCT(Calc!$K$3:$K$22*(Calc!$G$3:$G$22&gt;B409)*(Calc!$G$3:$G$22-B409))</f>
        <v/>
      </c>
      <c r="I409">
        <f>SUMPRODUCT(Calc!$K$3:$K$22*(Calc!$G$3:$G$22&gt;A409)*(Calc!$G$3:$G$22-A409)^2)</f>
        <v/>
      </c>
      <c r="J409">
        <f>SUMPRODUCT(Calc!$K$3:$K$22*(Calc!$G$3:$G$22&gt;B409)*(Calc!$G$3:$G$22-B409)^2)</f>
        <v/>
      </c>
      <c r="K409">
        <f>SUMPRODUCT(Calc!$K$3:$K$22*(Calc!$G$3:$G$22&gt;A409)*(Calc!$G$3:$G$22-A409)*(Calc!$G$3:$G$22&gt;B409)*(Calc!$G$3:$G$22-B409))</f>
        <v/>
      </c>
      <c r="L409">
        <f>SUMPRODUCT(Calc!$K$3:$K$22*(Calc!$G$3:$G$22&gt;A409)*(Calc!$G$3:$G$22-A409)*Calc!$G$3:$G$22)</f>
        <v/>
      </c>
      <c r="M409">
        <f>SUMPRODUCT(Calc!$K$3:$K$22*(Calc!$G$3:$G$22&gt;B409)*(Calc!$G$3:$G$22-B409)*Calc!$G$3:$G$22)</f>
        <v/>
      </c>
      <c r="N409">
        <f>SUMPRODUCT(Calc!$K$3:$K$22*(Calc!$G$3:$G$22&gt;A409)*(Calc!$G$3:$G$22-A409)*Calc!$I$3:$I$22)</f>
        <v/>
      </c>
      <c r="O409">
        <f>SUMPRODUCT(Calc!$K$3:$K$22*(Calc!$G$3:$G$22&gt;B409)*(Calc!$G$3:$G$22-B409)*Calc!$I$3:$I$22)</f>
        <v/>
      </c>
      <c r="P409">
        <f>I409-G409^2/k_n</f>
        <v/>
      </c>
      <c r="Q409">
        <f>J409-H409^2/k_n</f>
        <v/>
      </c>
      <c r="R409">
        <f>K409-G409*H409/k_n</f>
        <v/>
      </c>
      <c r="S409">
        <f>L409-LTP3!$D$3*G409/k_n</f>
        <v/>
      </c>
      <c r="T409">
        <f>M409-LTP3!$D$3*H409/k_n</f>
        <v/>
      </c>
      <c r="U409">
        <f>N409-G409*LTP3!$D$4/k_n</f>
        <v/>
      </c>
      <c r="V409">
        <f>O409-H409*LTP3!$D$4/k_n</f>
        <v/>
      </c>
      <c r="W409">
        <f>((LTP3!$D$5)*((P409)*(Q409)-(R409)*(R409))-(S409)*((S409)*(Q409)-(R409)*(T409))+(T409)*((S409)*(R409)-(P409)*(T409)))</f>
        <v/>
      </c>
      <c r="X409">
        <f>IF(ABS(W409)&gt;1E-12,((LTP3!$D$6)*((P409)*(Q409)-(R409)*(R409))-(S409)*((U409)*(Q409)-(R409)*(V409))+(T409)*((U409)*(R409)-(P409)*(V409)))/W409,0)</f>
        <v/>
      </c>
      <c r="Y409">
        <f>IF(ABS(W409)&gt;1E-12,((LTP3!$D$5)*((U409)*(Q409)-(R409)*(V409))-(LTP3!$D$6)*((S409)*(Q409)-(R409)*(T409))+(T409)*((S409)*(V409)-(U409)*(T409)))/W409,0)</f>
        <v/>
      </c>
      <c r="Z409">
        <f>IF(ABS(W409)&gt;1E-12,((LTP3!$D$5)*((P409)*(V409)-(U409)*(R409))-(S409)*((S409)*(V409)-(U409)*(T409))+(LTP3!$D$6)*((S409)*(R409)-(P409)*(T409)))/W409,0)</f>
        <v/>
      </c>
      <c r="AA409">
        <f>LTP3!$D$7-X409*LTP3!$D$6-Y409*U409-Z409*V409</f>
        <v/>
      </c>
      <c r="AB409">
        <f>IF(AND(F409,ABS(W409)&gt;1E-12,Y409&gt;0,Z409&gt;0),AA409,1E+300)</f>
        <v/>
      </c>
    </row>
    <row r="410">
      <c r="A410">
        <f>$B$3+$B$5*6</f>
        <v/>
      </c>
      <c r="B410">
        <f>$B$3+$B$5*32</f>
        <v/>
      </c>
      <c r="C410">
        <f>SUMPRODUCT(Calc!$K$3:$K$22*(Calc!$G$3:$G$22&lt;=A410))</f>
        <v/>
      </c>
      <c r="D410">
        <f>SUMPRODUCT(Calc!$K$3:$K$22*(Calc!$G$3:$G$22&gt;A410)*(Calc!$G$3:$G$22&lt;B410))</f>
        <v/>
      </c>
      <c r="E410">
        <f>SUMPRODUCT(Calc!$K$3:$K$22*(Calc!$G$3:$G$22&gt;=B410))</f>
        <v/>
      </c>
      <c r="F410">
        <f>AND(k_n&gt;=5,B410&gt;A410+1E-9,C410&gt;=2,D410&gt;=1,E410&gt;=2)</f>
        <v/>
      </c>
      <c r="G410">
        <f>SUMPRODUCT(Calc!$K$3:$K$22*(Calc!$G$3:$G$22&gt;A410)*(Calc!$G$3:$G$22-A410))</f>
        <v/>
      </c>
      <c r="H410">
        <f>SUMPRODUCT(Calc!$K$3:$K$22*(Calc!$G$3:$G$22&gt;B410)*(Calc!$G$3:$G$22-B410))</f>
        <v/>
      </c>
      <c r="I410">
        <f>SUMPRODUCT(Calc!$K$3:$K$22*(Calc!$G$3:$G$22&gt;A410)*(Calc!$G$3:$G$22-A410)^2)</f>
        <v/>
      </c>
      <c r="J410">
        <f>SUMPRODUCT(Calc!$K$3:$K$22*(Calc!$G$3:$G$22&gt;B410)*(Calc!$G$3:$G$22-B410)^2)</f>
        <v/>
      </c>
      <c r="K410">
        <f>SUMPRODUCT(Calc!$K$3:$K$22*(Calc!$G$3:$G$22&gt;A410)*(Calc!$G$3:$G$22-A410)*(Calc!$G$3:$G$22&gt;B410)*(Calc!$G$3:$G$22-B410))</f>
        <v/>
      </c>
      <c r="L410">
        <f>SUMPRODUCT(Calc!$K$3:$K$22*(Calc!$G$3:$G$22&gt;A410)*(Calc!$G$3:$G$22-A410)*Calc!$G$3:$G$22)</f>
        <v/>
      </c>
      <c r="M410">
        <f>SUMPRODUCT(Calc!$K$3:$K$22*(Calc!$G$3:$G$22&gt;B410)*(Calc!$G$3:$G$22-B410)*Calc!$G$3:$G$22)</f>
        <v/>
      </c>
      <c r="N410">
        <f>SUMPRODUCT(Calc!$K$3:$K$22*(Calc!$G$3:$G$22&gt;A410)*(Calc!$G$3:$G$22-A410)*Calc!$I$3:$I$22)</f>
        <v/>
      </c>
      <c r="O410">
        <f>SUMPRODUCT(Calc!$K$3:$K$22*(Calc!$G$3:$G$22&gt;B410)*(Calc!$G$3:$G$22-B410)*Calc!$I$3:$I$22)</f>
        <v/>
      </c>
      <c r="P410">
        <f>I410-G410^2/k_n</f>
        <v/>
      </c>
      <c r="Q410">
        <f>J410-H410^2/k_n</f>
        <v/>
      </c>
      <c r="R410">
        <f>K410-G410*H410/k_n</f>
        <v/>
      </c>
      <c r="S410">
        <f>L410-LTP3!$D$3*G410/k_n</f>
        <v/>
      </c>
      <c r="T410">
        <f>M410-LTP3!$D$3*H410/k_n</f>
        <v/>
      </c>
      <c r="U410">
        <f>N410-G410*LTP3!$D$4/k_n</f>
        <v/>
      </c>
      <c r="V410">
        <f>O410-H410*LTP3!$D$4/k_n</f>
        <v/>
      </c>
      <c r="W410">
        <f>((LTP3!$D$5)*((P410)*(Q410)-(R410)*(R410))-(S410)*((S410)*(Q410)-(R410)*(T410))+(T410)*((S410)*(R410)-(P410)*(T410)))</f>
        <v/>
      </c>
      <c r="X410">
        <f>IF(ABS(W410)&gt;1E-12,((LTP3!$D$6)*((P410)*(Q410)-(R410)*(R410))-(S410)*((U410)*(Q410)-(R410)*(V410))+(T410)*((U410)*(R410)-(P410)*(V410)))/W410,0)</f>
        <v/>
      </c>
      <c r="Y410">
        <f>IF(ABS(W410)&gt;1E-12,((LTP3!$D$5)*((U410)*(Q410)-(R410)*(V410))-(LTP3!$D$6)*((S410)*(Q410)-(R410)*(T410))+(T410)*((S410)*(V410)-(U410)*(T410)))/W410,0)</f>
        <v/>
      </c>
      <c r="Z410">
        <f>IF(ABS(W410)&gt;1E-12,((LTP3!$D$5)*((P410)*(V410)-(U410)*(R410))-(S410)*((S410)*(V410)-(U410)*(T410))+(LTP3!$D$6)*((S410)*(R410)-(P410)*(T410)))/W410,0)</f>
        <v/>
      </c>
      <c r="AA410">
        <f>LTP3!$D$7-X410*LTP3!$D$6-Y410*U410-Z410*V410</f>
        <v/>
      </c>
      <c r="AB410">
        <f>IF(AND(F410,ABS(W410)&gt;1E-12,Y410&gt;0,Z410&gt;0),AA410,1E+300)</f>
        <v/>
      </c>
    </row>
    <row r="411">
      <c r="A411">
        <f>$B$3+$B$5*6</f>
        <v/>
      </c>
      <c r="B411">
        <f>$B$3+$B$5*33</f>
        <v/>
      </c>
      <c r="C411">
        <f>SUMPRODUCT(Calc!$K$3:$K$22*(Calc!$G$3:$G$22&lt;=A411))</f>
        <v/>
      </c>
      <c r="D411">
        <f>SUMPRODUCT(Calc!$K$3:$K$22*(Calc!$G$3:$G$22&gt;A411)*(Calc!$G$3:$G$22&lt;B411))</f>
        <v/>
      </c>
      <c r="E411">
        <f>SUMPRODUCT(Calc!$K$3:$K$22*(Calc!$G$3:$G$22&gt;=B411))</f>
        <v/>
      </c>
      <c r="F411">
        <f>AND(k_n&gt;=5,B411&gt;A411+1E-9,C411&gt;=2,D411&gt;=1,E411&gt;=2)</f>
        <v/>
      </c>
      <c r="G411">
        <f>SUMPRODUCT(Calc!$K$3:$K$22*(Calc!$G$3:$G$22&gt;A411)*(Calc!$G$3:$G$22-A411))</f>
        <v/>
      </c>
      <c r="H411">
        <f>SUMPRODUCT(Calc!$K$3:$K$22*(Calc!$G$3:$G$22&gt;B411)*(Calc!$G$3:$G$22-B411))</f>
        <v/>
      </c>
      <c r="I411">
        <f>SUMPRODUCT(Calc!$K$3:$K$22*(Calc!$G$3:$G$22&gt;A411)*(Calc!$G$3:$G$22-A411)^2)</f>
        <v/>
      </c>
      <c r="J411">
        <f>SUMPRODUCT(Calc!$K$3:$K$22*(Calc!$G$3:$G$22&gt;B411)*(Calc!$G$3:$G$22-B411)^2)</f>
        <v/>
      </c>
      <c r="K411">
        <f>SUMPRODUCT(Calc!$K$3:$K$22*(Calc!$G$3:$G$22&gt;A411)*(Calc!$G$3:$G$22-A411)*(Calc!$G$3:$G$22&gt;B411)*(Calc!$G$3:$G$22-B411))</f>
        <v/>
      </c>
      <c r="L411">
        <f>SUMPRODUCT(Calc!$K$3:$K$22*(Calc!$G$3:$G$22&gt;A411)*(Calc!$G$3:$G$22-A411)*Calc!$G$3:$G$22)</f>
        <v/>
      </c>
      <c r="M411">
        <f>SUMPRODUCT(Calc!$K$3:$K$22*(Calc!$G$3:$G$22&gt;B411)*(Calc!$G$3:$G$22-B411)*Calc!$G$3:$G$22)</f>
        <v/>
      </c>
      <c r="N411">
        <f>SUMPRODUCT(Calc!$K$3:$K$22*(Calc!$G$3:$G$22&gt;A411)*(Calc!$G$3:$G$22-A411)*Calc!$I$3:$I$22)</f>
        <v/>
      </c>
      <c r="O411">
        <f>SUMPRODUCT(Calc!$K$3:$K$22*(Calc!$G$3:$G$22&gt;B411)*(Calc!$G$3:$G$22-B411)*Calc!$I$3:$I$22)</f>
        <v/>
      </c>
      <c r="P411">
        <f>I411-G411^2/k_n</f>
        <v/>
      </c>
      <c r="Q411">
        <f>J411-H411^2/k_n</f>
        <v/>
      </c>
      <c r="R411">
        <f>K411-G411*H411/k_n</f>
        <v/>
      </c>
      <c r="S411">
        <f>L411-LTP3!$D$3*G411/k_n</f>
        <v/>
      </c>
      <c r="T411">
        <f>M411-LTP3!$D$3*H411/k_n</f>
        <v/>
      </c>
      <c r="U411">
        <f>N411-G411*LTP3!$D$4/k_n</f>
        <v/>
      </c>
      <c r="V411">
        <f>O411-H411*LTP3!$D$4/k_n</f>
        <v/>
      </c>
      <c r="W411">
        <f>((LTP3!$D$5)*((P411)*(Q411)-(R411)*(R411))-(S411)*((S411)*(Q411)-(R411)*(T411))+(T411)*((S411)*(R411)-(P411)*(T411)))</f>
        <v/>
      </c>
      <c r="X411">
        <f>IF(ABS(W411)&gt;1E-12,((LTP3!$D$6)*((P411)*(Q411)-(R411)*(R411))-(S411)*((U411)*(Q411)-(R411)*(V411))+(T411)*((U411)*(R411)-(P411)*(V411)))/W411,0)</f>
        <v/>
      </c>
      <c r="Y411">
        <f>IF(ABS(W411)&gt;1E-12,((LTP3!$D$5)*((U411)*(Q411)-(R411)*(V411))-(LTP3!$D$6)*((S411)*(Q411)-(R411)*(T411))+(T411)*((S411)*(V411)-(U411)*(T411)))/W411,0)</f>
        <v/>
      </c>
      <c r="Z411">
        <f>IF(ABS(W411)&gt;1E-12,((LTP3!$D$5)*((P411)*(V411)-(U411)*(R411))-(S411)*((S411)*(V411)-(U411)*(T411))+(LTP3!$D$6)*((S411)*(R411)-(P411)*(T411)))/W411,0)</f>
        <v/>
      </c>
      <c r="AA411">
        <f>LTP3!$D$7-X411*LTP3!$D$6-Y411*U411-Z411*V411</f>
        <v/>
      </c>
      <c r="AB411">
        <f>IF(AND(F411,ABS(W411)&gt;1E-12,Y411&gt;0,Z411&gt;0),AA411,1E+300)</f>
        <v/>
      </c>
    </row>
    <row r="412">
      <c r="A412">
        <f>$B$3+$B$5*6</f>
        <v/>
      </c>
      <c r="B412">
        <f>$B$3+$B$5*34</f>
        <v/>
      </c>
      <c r="C412">
        <f>SUMPRODUCT(Calc!$K$3:$K$22*(Calc!$G$3:$G$22&lt;=A412))</f>
        <v/>
      </c>
      <c r="D412">
        <f>SUMPRODUCT(Calc!$K$3:$K$22*(Calc!$G$3:$G$22&gt;A412)*(Calc!$G$3:$G$22&lt;B412))</f>
        <v/>
      </c>
      <c r="E412">
        <f>SUMPRODUCT(Calc!$K$3:$K$22*(Calc!$G$3:$G$22&gt;=B412))</f>
        <v/>
      </c>
      <c r="F412">
        <f>AND(k_n&gt;=5,B412&gt;A412+1E-9,C412&gt;=2,D412&gt;=1,E412&gt;=2)</f>
        <v/>
      </c>
      <c r="G412">
        <f>SUMPRODUCT(Calc!$K$3:$K$22*(Calc!$G$3:$G$22&gt;A412)*(Calc!$G$3:$G$22-A412))</f>
        <v/>
      </c>
      <c r="H412">
        <f>SUMPRODUCT(Calc!$K$3:$K$22*(Calc!$G$3:$G$22&gt;B412)*(Calc!$G$3:$G$22-B412))</f>
        <v/>
      </c>
      <c r="I412">
        <f>SUMPRODUCT(Calc!$K$3:$K$22*(Calc!$G$3:$G$22&gt;A412)*(Calc!$G$3:$G$22-A412)^2)</f>
        <v/>
      </c>
      <c r="J412">
        <f>SUMPRODUCT(Calc!$K$3:$K$22*(Calc!$G$3:$G$22&gt;B412)*(Calc!$G$3:$G$22-B412)^2)</f>
        <v/>
      </c>
      <c r="K412">
        <f>SUMPRODUCT(Calc!$K$3:$K$22*(Calc!$G$3:$G$22&gt;A412)*(Calc!$G$3:$G$22-A412)*(Calc!$G$3:$G$22&gt;B412)*(Calc!$G$3:$G$22-B412))</f>
        <v/>
      </c>
      <c r="L412">
        <f>SUMPRODUCT(Calc!$K$3:$K$22*(Calc!$G$3:$G$22&gt;A412)*(Calc!$G$3:$G$22-A412)*Calc!$G$3:$G$22)</f>
        <v/>
      </c>
      <c r="M412">
        <f>SUMPRODUCT(Calc!$K$3:$K$22*(Calc!$G$3:$G$22&gt;B412)*(Calc!$G$3:$G$22-B412)*Calc!$G$3:$G$22)</f>
        <v/>
      </c>
      <c r="N412">
        <f>SUMPRODUCT(Calc!$K$3:$K$22*(Calc!$G$3:$G$22&gt;A412)*(Calc!$G$3:$G$22-A412)*Calc!$I$3:$I$22)</f>
        <v/>
      </c>
      <c r="O412">
        <f>SUMPRODUCT(Calc!$K$3:$K$22*(Calc!$G$3:$G$22&gt;B412)*(Calc!$G$3:$G$22-B412)*Calc!$I$3:$I$22)</f>
        <v/>
      </c>
      <c r="P412">
        <f>I412-G412^2/k_n</f>
        <v/>
      </c>
      <c r="Q412">
        <f>J412-H412^2/k_n</f>
        <v/>
      </c>
      <c r="R412">
        <f>K412-G412*H412/k_n</f>
        <v/>
      </c>
      <c r="S412">
        <f>L412-LTP3!$D$3*G412/k_n</f>
        <v/>
      </c>
      <c r="T412">
        <f>M412-LTP3!$D$3*H412/k_n</f>
        <v/>
      </c>
      <c r="U412">
        <f>N412-G412*LTP3!$D$4/k_n</f>
        <v/>
      </c>
      <c r="V412">
        <f>O412-H412*LTP3!$D$4/k_n</f>
        <v/>
      </c>
      <c r="W412">
        <f>((LTP3!$D$5)*((P412)*(Q412)-(R412)*(R412))-(S412)*((S412)*(Q412)-(R412)*(T412))+(T412)*((S412)*(R412)-(P412)*(T412)))</f>
        <v/>
      </c>
      <c r="X412">
        <f>IF(ABS(W412)&gt;1E-12,((LTP3!$D$6)*((P412)*(Q412)-(R412)*(R412))-(S412)*((U412)*(Q412)-(R412)*(V412))+(T412)*((U412)*(R412)-(P412)*(V412)))/W412,0)</f>
        <v/>
      </c>
      <c r="Y412">
        <f>IF(ABS(W412)&gt;1E-12,((LTP3!$D$5)*((U412)*(Q412)-(R412)*(V412))-(LTP3!$D$6)*((S412)*(Q412)-(R412)*(T412))+(T412)*((S412)*(V412)-(U412)*(T412)))/W412,0)</f>
        <v/>
      </c>
      <c r="Z412">
        <f>IF(ABS(W412)&gt;1E-12,((LTP3!$D$5)*((P412)*(V412)-(U412)*(R412))-(S412)*((S412)*(V412)-(U412)*(T412))+(LTP3!$D$6)*((S412)*(R412)-(P412)*(T412)))/W412,0)</f>
        <v/>
      </c>
      <c r="AA412">
        <f>LTP3!$D$7-X412*LTP3!$D$6-Y412*U412-Z412*V412</f>
        <v/>
      </c>
      <c r="AB412">
        <f>IF(AND(F412,ABS(W412)&gt;1E-12,Y412&gt;0,Z412&gt;0),AA412,1E+300)</f>
        <v/>
      </c>
    </row>
    <row r="413">
      <c r="A413">
        <f>$B$3+$B$5*6</f>
        <v/>
      </c>
      <c r="B413">
        <f>$B$3+$B$5*35</f>
        <v/>
      </c>
      <c r="C413">
        <f>SUMPRODUCT(Calc!$K$3:$K$22*(Calc!$G$3:$G$22&lt;=A413))</f>
        <v/>
      </c>
      <c r="D413">
        <f>SUMPRODUCT(Calc!$K$3:$K$22*(Calc!$G$3:$G$22&gt;A413)*(Calc!$G$3:$G$22&lt;B413))</f>
        <v/>
      </c>
      <c r="E413">
        <f>SUMPRODUCT(Calc!$K$3:$K$22*(Calc!$G$3:$G$22&gt;=B413))</f>
        <v/>
      </c>
      <c r="F413">
        <f>AND(k_n&gt;=5,B413&gt;A413+1E-9,C413&gt;=2,D413&gt;=1,E413&gt;=2)</f>
        <v/>
      </c>
      <c r="G413">
        <f>SUMPRODUCT(Calc!$K$3:$K$22*(Calc!$G$3:$G$22&gt;A413)*(Calc!$G$3:$G$22-A413))</f>
        <v/>
      </c>
      <c r="H413">
        <f>SUMPRODUCT(Calc!$K$3:$K$22*(Calc!$G$3:$G$22&gt;B413)*(Calc!$G$3:$G$22-B413))</f>
        <v/>
      </c>
      <c r="I413">
        <f>SUMPRODUCT(Calc!$K$3:$K$22*(Calc!$G$3:$G$22&gt;A413)*(Calc!$G$3:$G$22-A413)^2)</f>
        <v/>
      </c>
      <c r="J413">
        <f>SUMPRODUCT(Calc!$K$3:$K$22*(Calc!$G$3:$G$22&gt;B413)*(Calc!$G$3:$G$22-B413)^2)</f>
        <v/>
      </c>
      <c r="K413">
        <f>SUMPRODUCT(Calc!$K$3:$K$22*(Calc!$G$3:$G$22&gt;A413)*(Calc!$G$3:$G$22-A413)*(Calc!$G$3:$G$22&gt;B413)*(Calc!$G$3:$G$22-B413))</f>
        <v/>
      </c>
      <c r="L413">
        <f>SUMPRODUCT(Calc!$K$3:$K$22*(Calc!$G$3:$G$22&gt;A413)*(Calc!$G$3:$G$22-A413)*Calc!$G$3:$G$22)</f>
        <v/>
      </c>
      <c r="M413">
        <f>SUMPRODUCT(Calc!$K$3:$K$22*(Calc!$G$3:$G$22&gt;B413)*(Calc!$G$3:$G$22-B413)*Calc!$G$3:$G$22)</f>
        <v/>
      </c>
      <c r="N413">
        <f>SUMPRODUCT(Calc!$K$3:$K$22*(Calc!$G$3:$G$22&gt;A413)*(Calc!$G$3:$G$22-A413)*Calc!$I$3:$I$22)</f>
        <v/>
      </c>
      <c r="O413">
        <f>SUMPRODUCT(Calc!$K$3:$K$22*(Calc!$G$3:$G$22&gt;B413)*(Calc!$G$3:$G$22-B413)*Calc!$I$3:$I$22)</f>
        <v/>
      </c>
      <c r="P413">
        <f>I413-G413^2/k_n</f>
        <v/>
      </c>
      <c r="Q413">
        <f>J413-H413^2/k_n</f>
        <v/>
      </c>
      <c r="R413">
        <f>K413-G413*H413/k_n</f>
        <v/>
      </c>
      <c r="S413">
        <f>L413-LTP3!$D$3*G413/k_n</f>
        <v/>
      </c>
      <c r="T413">
        <f>M413-LTP3!$D$3*H413/k_n</f>
        <v/>
      </c>
      <c r="U413">
        <f>N413-G413*LTP3!$D$4/k_n</f>
        <v/>
      </c>
      <c r="V413">
        <f>O413-H413*LTP3!$D$4/k_n</f>
        <v/>
      </c>
      <c r="W413">
        <f>((LTP3!$D$5)*((P413)*(Q413)-(R413)*(R413))-(S413)*((S413)*(Q413)-(R413)*(T413))+(T413)*((S413)*(R413)-(P413)*(T413)))</f>
        <v/>
      </c>
      <c r="X413">
        <f>IF(ABS(W413)&gt;1E-12,((LTP3!$D$6)*((P413)*(Q413)-(R413)*(R413))-(S413)*((U413)*(Q413)-(R413)*(V413))+(T413)*((U413)*(R413)-(P413)*(V413)))/W413,0)</f>
        <v/>
      </c>
      <c r="Y413">
        <f>IF(ABS(W413)&gt;1E-12,((LTP3!$D$5)*((U413)*(Q413)-(R413)*(V413))-(LTP3!$D$6)*((S413)*(Q413)-(R413)*(T413))+(T413)*((S413)*(V413)-(U413)*(T413)))/W413,0)</f>
        <v/>
      </c>
      <c r="Z413">
        <f>IF(ABS(W413)&gt;1E-12,((LTP3!$D$5)*((P413)*(V413)-(U413)*(R413))-(S413)*((S413)*(V413)-(U413)*(T413))+(LTP3!$D$6)*((S413)*(R413)-(P413)*(T413)))/W413,0)</f>
        <v/>
      </c>
      <c r="AA413">
        <f>LTP3!$D$7-X413*LTP3!$D$6-Y413*U413-Z413*V413</f>
        <v/>
      </c>
      <c r="AB413">
        <f>IF(AND(F413,ABS(W413)&gt;1E-12,Y413&gt;0,Z413&gt;0),AA413,1E+300)</f>
        <v/>
      </c>
    </row>
    <row r="414">
      <c r="A414">
        <f>$B$3+$B$5*6</f>
        <v/>
      </c>
      <c r="B414">
        <f>$B$3+$B$5*36</f>
        <v/>
      </c>
      <c r="C414">
        <f>SUMPRODUCT(Calc!$K$3:$K$22*(Calc!$G$3:$G$22&lt;=A414))</f>
        <v/>
      </c>
      <c r="D414">
        <f>SUMPRODUCT(Calc!$K$3:$K$22*(Calc!$G$3:$G$22&gt;A414)*(Calc!$G$3:$G$22&lt;B414))</f>
        <v/>
      </c>
      <c r="E414">
        <f>SUMPRODUCT(Calc!$K$3:$K$22*(Calc!$G$3:$G$22&gt;=B414))</f>
        <v/>
      </c>
      <c r="F414">
        <f>AND(k_n&gt;=5,B414&gt;A414+1E-9,C414&gt;=2,D414&gt;=1,E414&gt;=2)</f>
        <v/>
      </c>
      <c r="G414">
        <f>SUMPRODUCT(Calc!$K$3:$K$22*(Calc!$G$3:$G$22&gt;A414)*(Calc!$G$3:$G$22-A414))</f>
        <v/>
      </c>
      <c r="H414">
        <f>SUMPRODUCT(Calc!$K$3:$K$22*(Calc!$G$3:$G$22&gt;B414)*(Calc!$G$3:$G$22-B414))</f>
        <v/>
      </c>
      <c r="I414">
        <f>SUMPRODUCT(Calc!$K$3:$K$22*(Calc!$G$3:$G$22&gt;A414)*(Calc!$G$3:$G$22-A414)^2)</f>
        <v/>
      </c>
      <c r="J414">
        <f>SUMPRODUCT(Calc!$K$3:$K$22*(Calc!$G$3:$G$22&gt;B414)*(Calc!$G$3:$G$22-B414)^2)</f>
        <v/>
      </c>
      <c r="K414">
        <f>SUMPRODUCT(Calc!$K$3:$K$22*(Calc!$G$3:$G$22&gt;A414)*(Calc!$G$3:$G$22-A414)*(Calc!$G$3:$G$22&gt;B414)*(Calc!$G$3:$G$22-B414))</f>
        <v/>
      </c>
      <c r="L414">
        <f>SUMPRODUCT(Calc!$K$3:$K$22*(Calc!$G$3:$G$22&gt;A414)*(Calc!$G$3:$G$22-A414)*Calc!$G$3:$G$22)</f>
        <v/>
      </c>
      <c r="M414">
        <f>SUMPRODUCT(Calc!$K$3:$K$22*(Calc!$G$3:$G$22&gt;B414)*(Calc!$G$3:$G$22-B414)*Calc!$G$3:$G$22)</f>
        <v/>
      </c>
      <c r="N414">
        <f>SUMPRODUCT(Calc!$K$3:$K$22*(Calc!$G$3:$G$22&gt;A414)*(Calc!$G$3:$G$22-A414)*Calc!$I$3:$I$22)</f>
        <v/>
      </c>
      <c r="O414">
        <f>SUMPRODUCT(Calc!$K$3:$K$22*(Calc!$G$3:$G$22&gt;B414)*(Calc!$G$3:$G$22-B414)*Calc!$I$3:$I$22)</f>
        <v/>
      </c>
      <c r="P414">
        <f>I414-G414^2/k_n</f>
        <v/>
      </c>
      <c r="Q414">
        <f>J414-H414^2/k_n</f>
        <v/>
      </c>
      <c r="R414">
        <f>K414-G414*H414/k_n</f>
        <v/>
      </c>
      <c r="S414">
        <f>L414-LTP3!$D$3*G414/k_n</f>
        <v/>
      </c>
      <c r="T414">
        <f>M414-LTP3!$D$3*H414/k_n</f>
        <v/>
      </c>
      <c r="U414">
        <f>N414-G414*LTP3!$D$4/k_n</f>
        <v/>
      </c>
      <c r="V414">
        <f>O414-H414*LTP3!$D$4/k_n</f>
        <v/>
      </c>
      <c r="W414">
        <f>((LTP3!$D$5)*((P414)*(Q414)-(R414)*(R414))-(S414)*((S414)*(Q414)-(R414)*(T414))+(T414)*((S414)*(R414)-(P414)*(T414)))</f>
        <v/>
      </c>
      <c r="X414">
        <f>IF(ABS(W414)&gt;1E-12,((LTP3!$D$6)*((P414)*(Q414)-(R414)*(R414))-(S414)*((U414)*(Q414)-(R414)*(V414))+(T414)*((U414)*(R414)-(P414)*(V414)))/W414,0)</f>
        <v/>
      </c>
      <c r="Y414">
        <f>IF(ABS(W414)&gt;1E-12,((LTP3!$D$5)*((U414)*(Q414)-(R414)*(V414))-(LTP3!$D$6)*((S414)*(Q414)-(R414)*(T414))+(T414)*((S414)*(V414)-(U414)*(T414)))/W414,0)</f>
        <v/>
      </c>
      <c r="Z414">
        <f>IF(ABS(W414)&gt;1E-12,((LTP3!$D$5)*((P414)*(V414)-(U414)*(R414))-(S414)*((S414)*(V414)-(U414)*(T414))+(LTP3!$D$6)*((S414)*(R414)-(P414)*(T414)))/W414,0)</f>
        <v/>
      </c>
      <c r="AA414">
        <f>LTP3!$D$7-X414*LTP3!$D$6-Y414*U414-Z414*V414</f>
        <v/>
      </c>
      <c r="AB414">
        <f>IF(AND(F414,ABS(W414)&gt;1E-12,Y414&gt;0,Z414&gt;0),AA414,1E+300)</f>
        <v/>
      </c>
    </row>
    <row r="415">
      <c r="A415">
        <f>$B$3+$B$5*6</f>
        <v/>
      </c>
      <c r="B415">
        <f>$B$3+$B$5*37</f>
        <v/>
      </c>
      <c r="C415">
        <f>SUMPRODUCT(Calc!$K$3:$K$22*(Calc!$G$3:$G$22&lt;=A415))</f>
        <v/>
      </c>
      <c r="D415">
        <f>SUMPRODUCT(Calc!$K$3:$K$22*(Calc!$G$3:$G$22&gt;A415)*(Calc!$G$3:$G$22&lt;B415))</f>
        <v/>
      </c>
      <c r="E415">
        <f>SUMPRODUCT(Calc!$K$3:$K$22*(Calc!$G$3:$G$22&gt;=B415))</f>
        <v/>
      </c>
      <c r="F415">
        <f>AND(k_n&gt;=5,B415&gt;A415+1E-9,C415&gt;=2,D415&gt;=1,E415&gt;=2)</f>
        <v/>
      </c>
      <c r="G415">
        <f>SUMPRODUCT(Calc!$K$3:$K$22*(Calc!$G$3:$G$22&gt;A415)*(Calc!$G$3:$G$22-A415))</f>
        <v/>
      </c>
      <c r="H415">
        <f>SUMPRODUCT(Calc!$K$3:$K$22*(Calc!$G$3:$G$22&gt;B415)*(Calc!$G$3:$G$22-B415))</f>
        <v/>
      </c>
      <c r="I415">
        <f>SUMPRODUCT(Calc!$K$3:$K$22*(Calc!$G$3:$G$22&gt;A415)*(Calc!$G$3:$G$22-A415)^2)</f>
        <v/>
      </c>
      <c r="J415">
        <f>SUMPRODUCT(Calc!$K$3:$K$22*(Calc!$G$3:$G$22&gt;B415)*(Calc!$G$3:$G$22-B415)^2)</f>
        <v/>
      </c>
      <c r="K415">
        <f>SUMPRODUCT(Calc!$K$3:$K$22*(Calc!$G$3:$G$22&gt;A415)*(Calc!$G$3:$G$22-A415)*(Calc!$G$3:$G$22&gt;B415)*(Calc!$G$3:$G$22-B415))</f>
        <v/>
      </c>
      <c r="L415">
        <f>SUMPRODUCT(Calc!$K$3:$K$22*(Calc!$G$3:$G$22&gt;A415)*(Calc!$G$3:$G$22-A415)*Calc!$G$3:$G$22)</f>
        <v/>
      </c>
      <c r="M415">
        <f>SUMPRODUCT(Calc!$K$3:$K$22*(Calc!$G$3:$G$22&gt;B415)*(Calc!$G$3:$G$22-B415)*Calc!$G$3:$G$22)</f>
        <v/>
      </c>
      <c r="N415">
        <f>SUMPRODUCT(Calc!$K$3:$K$22*(Calc!$G$3:$G$22&gt;A415)*(Calc!$G$3:$G$22-A415)*Calc!$I$3:$I$22)</f>
        <v/>
      </c>
      <c r="O415">
        <f>SUMPRODUCT(Calc!$K$3:$K$22*(Calc!$G$3:$G$22&gt;B415)*(Calc!$G$3:$G$22-B415)*Calc!$I$3:$I$22)</f>
        <v/>
      </c>
      <c r="P415">
        <f>I415-G415^2/k_n</f>
        <v/>
      </c>
      <c r="Q415">
        <f>J415-H415^2/k_n</f>
        <v/>
      </c>
      <c r="R415">
        <f>K415-G415*H415/k_n</f>
        <v/>
      </c>
      <c r="S415">
        <f>L415-LTP3!$D$3*G415/k_n</f>
        <v/>
      </c>
      <c r="T415">
        <f>M415-LTP3!$D$3*H415/k_n</f>
        <v/>
      </c>
      <c r="U415">
        <f>N415-G415*LTP3!$D$4/k_n</f>
        <v/>
      </c>
      <c r="V415">
        <f>O415-H415*LTP3!$D$4/k_n</f>
        <v/>
      </c>
      <c r="W415">
        <f>((LTP3!$D$5)*((P415)*(Q415)-(R415)*(R415))-(S415)*((S415)*(Q415)-(R415)*(T415))+(T415)*((S415)*(R415)-(P415)*(T415)))</f>
        <v/>
      </c>
      <c r="X415">
        <f>IF(ABS(W415)&gt;1E-12,((LTP3!$D$6)*((P415)*(Q415)-(R415)*(R415))-(S415)*((U415)*(Q415)-(R415)*(V415))+(T415)*((U415)*(R415)-(P415)*(V415)))/W415,0)</f>
        <v/>
      </c>
      <c r="Y415">
        <f>IF(ABS(W415)&gt;1E-12,((LTP3!$D$5)*((U415)*(Q415)-(R415)*(V415))-(LTP3!$D$6)*((S415)*(Q415)-(R415)*(T415))+(T415)*((S415)*(V415)-(U415)*(T415)))/W415,0)</f>
        <v/>
      </c>
      <c r="Z415">
        <f>IF(ABS(W415)&gt;1E-12,((LTP3!$D$5)*((P415)*(V415)-(U415)*(R415))-(S415)*((S415)*(V415)-(U415)*(T415))+(LTP3!$D$6)*((S415)*(R415)-(P415)*(T415)))/W415,0)</f>
        <v/>
      </c>
      <c r="AA415">
        <f>LTP3!$D$7-X415*LTP3!$D$6-Y415*U415-Z415*V415</f>
        <v/>
      </c>
      <c r="AB415">
        <f>IF(AND(F415,ABS(W415)&gt;1E-12,Y415&gt;0,Z415&gt;0),AA415,1E+300)</f>
        <v/>
      </c>
    </row>
    <row r="416">
      <c r="A416">
        <f>$B$3+$B$5*6</f>
        <v/>
      </c>
      <c r="B416">
        <f>$B$3+$B$5*38</f>
        <v/>
      </c>
      <c r="C416">
        <f>SUMPRODUCT(Calc!$K$3:$K$22*(Calc!$G$3:$G$22&lt;=A416))</f>
        <v/>
      </c>
      <c r="D416">
        <f>SUMPRODUCT(Calc!$K$3:$K$22*(Calc!$G$3:$G$22&gt;A416)*(Calc!$G$3:$G$22&lt;B416))</f>
        <v/>
      </c>
      <c r="E416">
        <f>SUMPRODUCT(Calc!$K$3:$K$22*(Calc!$G$3:$G$22&gt;=B416))</f>
        <v/>
      </c>
      <c r="F416">
        <f>AND(k_n&gt;=5,B416&gt;A416+1E-9,C416&gt;=2,D416&gt;=1,E416&gt;=2)</f>
        <v/>
      </c>
      <c r="G416">
        <f>SUMPRODUCT(Calc!$K$3:$K$22*(Calc!$G$3:$G$22&gt;A416)*(Calc!$G$3:$G$22-A416))</f>
        <v/>
      </c>
      <c r="H416">
        <f>SUMPRODUCT(Calc!$K$3:$K$22*(Calc!$G$3:$G$22&gt;B416)*(Calc!$G$3:$G$22-B416))</f>
        <v/>
      </c>
      <c r="I416">
        <f>SUMPRODUCT(Calc!$K$3:$K$22*(Calc!$G$3:$G$22&gt;A416)*(Calc!$G$3:$G$22-A416)^2)</f>
        <v/>
      </c>
      <c r="J416">
        <f>SUMPRODUCT(Calc!$K$3:$K$22*(Calc!$G$3:$G$22&gt;B416)*(Calc!$G$3:$G$22-B416)^2)</f>
        <v/>
      </c>
      <c r="K416">
        <f>SUMPRODUCT(Calc!$K$3:$K$22*(Calc!$G$3:$G$22&gt;A416)*(Calc!$G$3:$G$22-A416)*(Calc!$G$3:$G$22&gt;B416)*(Calc!$G$3:$G$22-B416))</f>
        <v/>
      </c>
      <c r="L416">
        <f>SUMPRODUCT(Calc!$K$3:$K$22*(Calc!$G$3:$G$22&gt;A416)*(Calc!$G$3:$G$22-A416)*Calc!$G$3:$G$22)</f>
        <v/>
      </c>
      <c r="M416">
        <f>SUMPRODUCT(Calc!$K$3:$K$22*(Calc!$G$3:$G$22&gt;B416)*(Calc!$G$3:$G$22-B416)*Calc!$G$3:$G$22)</f>
        <v/>
      </c>
      <c r="N416">
        <f>SUMPRODUCT(Calc!$K$3:$K$22*(Calc!$G$3:$G$22&gt;A416)*(Calc!$G$3:$G$22-A416)*Calc!$I$3:$I$22)</f>
        <v/>
      </c>
      <c r="O416">
        <f>SUMPRODUCT(Calc!$K$3:$K$22*(Calc!$G$3:$G$22&gt;B416)*(Calc!$G$3:$G$22-B416)*Calc!$I$3:$I$22)</f>
        <v/>
      </c>
      <c r="P416">
        <f>I416-G416^2/k_n</f>
        <v/>
      </c>
      <c r="Q416">
        <f>J416-H416^2/k_n</f>
        <v/>
      </c>
      <c r="R416">
        <f>K416-G416*H416/k_n</f>
        <v/>
      </c>
      <c r="S416">
        <f>L416-LTP3!$D$3*G416/k_n</f>
        <v/>
      </c>
      <c r="T416">
        <f>M416-LTP3!$D$3*H416/k_n</f>
        <v/>
      </c>
      <c r="U416">
        <f>N416-G416*LTP3!$D$4/k_n</f>
        <v/>
      </c>
      <c r="V416">
        <f>O416-H416*LTP3!$D$4/k_n</f>
        <v/>
      </c>
      <c r="W416">
        <f>((LTP3!$D$5)*((P416)*(Q416)-(R416)*(R416))-(S416)*((S416)*(Q416)-(R416)*(T416))+(T416)*((S416)*(R416)-(P416)*(T416)))</f>
        <v/>
      </c>
      <c r="X416">
        <f>IF(ABS(W416)&gt;1E-12,((LTP3!$D$6)*((P416)*(Q416)-(R416)*(R416))-(S416)*((U416)*(Q416)-(R416)*(V416))+(T416)*((U416)*(R416)-(P416)*(V416)))/W416,0)</f>
        <v/>
      </c>
      <c r="Y416">
        <f>IF(ABS(W416)&gt;1E-12,((LTP3!$D$5)*((U416)*(Q416)-(R416)*(V416))-(LTP3!$D$6)*((S416)*(Q416)-(R416)*(T416))+(T416)*((S416)*(V416)-(U416)*(T416)))/W416,0)</f>
        <v/>
      </c>
      <c r="Z416">
        <f>IF(ABS(W416)&gt;1E-12,((LTP3!$D$5)*((P416)*(V416)-(U416)*(R416))-(S416)*((S416)*(V416)-(U416)*(T416))+(LTP3!$D$6)*((S416)*(R416)-(P416)*(T416)))/W416,0)</f>
        <v/>
      </c>
      <c r="AA416">
        <f>LTP3!$D$7-X416*LTP3!$D$6-Y416*U416-Z416*V416</f>
        <v/>
      </c>
      <c r="AB416">
        <f>IF(AND(F416,ABS(W416)&gt;1E-12,Y416&gt;0,Z416&gt;0),AA416,1E+300)</f>
        <v/>
      </c>
    </row>
    <row r="417">
      <c r="A417">
        <f>$B$3+$B$5*6</f>
        <v/>
      </c>
      <c r="B417">
        <f>$B$3+$B$5*39</f>
        <v/>
      </c>
      <c r="C417">
        <f>SUMPRODUCT(Calc!$K$3:$K$22*(Calc!$G$3:$G$22&lt;=A417))</f>
        <v/>
      </c>
      <c r="D417">
        <f>SUMPRODUCT(Calc!$K$3:$K$22*(Calc!$G$3:$G$22&gt;A417)*(Calc!$G$3:$G$22&lt;B417))</f>
        <v/>
      </c>
      <c r="E417">
        <f>SUMPRODUCT(Calc!$K$3:$K$22*(Calc!$G$3:$G$22&gt;=B417))</f>
        <v/>
      </c>
      <c r="F417">
        <f>AND(k_n&gt;=5,B417&gt;A417+1E-9,C417&gt;=2,D417&gt;=1,E417&gt;=2)</f>
        <v/>
      </c>
      <c r="G417">
        <f>SUMPRODUCT(Calc!$K$3:$K$22*(Calc!$G$3:$G$22&gt;A417)*(Calc!$G$3:$G$22-A417))</f>
        <v/>
      </c>
      <c r="H417">
        <f>SUMPRODUCT(Calc!$K$3:$K$22*(Calc!$G$3:$G$22&gt;B417)*(Calc!$G$3:$G$22-B417))</f>
        <v/>
      </c>
      <c r="I417">
        <f>SUMPRODUCT(Calc!$K$3:$K$22*(Calc!$G$3:$G$22&gt;A417)*(Calc!$G$3:$G$22-A417)^2)</f>
        <v/>
      </c>
      <c r="J417">
        <f>SUMPRODUCT(Calc!$K$3:$K$22*(Calc!$G$3:$G$22&gt;B417)*(Calc!$G$3:$G$22-B417)^2)</f>
        <v/>
      </c>
      <c r="K417">
        <f>SUMPRODUCT(Calc!$K$3:$K$22*(Calc!$G$3:$G$22&gt;A417)*(Calc!$G$3:$G$22-A417)*(Calc!$G$3:$G$22&gt;B417)*(Calc!$G$3:$G$22-B417))</f>
        <v/>
      </c>
      <c r="L417">
        <f>SUMPRODUCT(Calc!$K$3:$K$22*(Calc!$G$3:$G$22&gt;A417)*(Calc!$G$3:$G$22-A417)*Calc!$G$3:$G$22)</f>
        <v/>
      </c>
      <c r="M417">
        <f>SUMPRODUCT(Calc!$K$3:$K$22*(Calc!$G$3:$G$22&gt;B417)*(Calc!$G$3:$G$22-B417)*Calc!$G$3:$G$22)</f>
        <v/>
      </c>
      <c r="N417">
        <f>SUMPRODUCT(Calc!$K$3:$K$22*(Calc!$G$3:$G$22&gt;A417)*(Calc!$G$3:$G$22-A417)*Calc!$I$3:$I$22)</f>
        <v/>
      </c>
      <c r="O417">
        <f>SUMPRODUCT(Calc!$K$3:$K$22*(Calc!$G$3:$G$22&gt;B417)*(Calc!$G$3:$G$22-B417)*Calc!$I$3:$I$22)</f>
        <v/>
      </c>
      <c r="P417">
        <f>I417-G417^2/k_n</f>
        <v/>
      </c>
      <c r="Q417">
        <f>J417-H417^2/k_n</f>
        <v/>
      </c>
      <c r="R417">
        <f>K417-G417*H417/k_n</f>
        <v/>
      </c>
      <c r="S417">
        <f>L417-LTP3!$D$3*G417/k_n</f>
        <v/>
      </c>
      <c r="T417">
        <f>M417-LTP3!$D$3*H417/k_n</f>
        <v/>
      </c>
      <c r="U417">
        <f>N417-G417*LTP3!$D$4/k_n</f>
        <v/>
      </c>
      <c r="V417">
        <f>O417-H417*LTP3!$D$4/k_n</f>
        <v/>
      </c>
      <c r="W417">
        <f>((LTP3!$D$5)*((P417)*(Q417)-(R417)*(R417))-(S417)*((S417)*(Q417)-(R417)*(T417))+(T417)*((S417)*(R417)-(P417)*(T417)))</f>
        <v/>
      </c>
      <c r="X417">
        <f>IF(ABS(W417)&gt;1E-12,((LTP3!$D$6)*((P417)*(Q417)-(R417)*(R417))-(S417)*((U417)*(Q417)-(R417)*(V417))+(T417)*((U417)*(R417)-(P417)*(V417)))/W417,0)</f>
        <v/>
      </c>
      <c r="Y417">
        <f>IF(ABS(W417)&gt;1E-12,((LTP3!$D$5)*((U417)*(Q417)-(R417)*(V417))-(LTP3!$D$6)*((S417)*(Q417)-(R417)*(T417))+(T417)*((S417)*(V417)-(U417)*(T417)))/W417,0)</f>
        <v/>
      </c>
      <c r="Z417">
        <f>IF(ABS(W417)&gt;1E-12,((LTP3!$D$5)*((P417)*(V417)-(U417)*(R417))-(S417)*((S417)*(V417)-(U417)*(T417))+(LTP3!$D$6)*((S417)*(R417)-(P417)*(T417)))/W417,0)</f>
        <v/>
      </c>
      <c r="AA417">
        <f>LTP3!$D$7-X417*LTP3!$D$6-Y417*U417-Z417*V417</f>
        <v/>
      </c>
      <c r="AB417">
        <f>IF(AND(F417,ABS(W417)&gt;1E-12,Y417&gt;0,Z417&gt;0),AA417,1E+300)</f>
        <v/>
      </c>
    </row>
    <row r="418">
      <c r="A418">
        <f>$B$3+$B$5*6</f>
        <v/>
      </c>
      <c r="B418">
        <f>$B$3+$B$5*40</f>
        <v/>
      </c>
      <c r="C418">
        <f>SUMPRODUCT(Calc!$K$3:$K$22*(Calc!$G$3:$G$22&lt;=A418))</f>
        <v/>
      </c>
      <c r="D418">
        <f>SUMPRODUCT(Calc!$K$3:$K$22*(Calc!$G$3:$G$22&gt;A418)*(Calc!$G$3:$G$22&lt;B418))</f>
        <v/>
      </c>
      <c r="E418">
        <f>SUMPRODUCT(Calc!$K$3:$K$22*(Calc!$G$3:$G$22&gt;=B418))</f>
        <v/>
      </c>
      <c r="F418">
        <f>AND(k_n&gt;=5,B418&gt;A418+1E-9,C418&gt;=2,D418&gt;=1,E418&gt;=2)</f>
        <v/>
      </c>
      <c r="G418">
        <f>SUMPRODUCT(Calc!$K$3:$K$22*(Calc!$G$3:$G$22&gt;A418)*(Calc!$G$3:$G$22-A418))</f>
        <v/>
      </c>
      <c r="H418">
        <f>SUMPRODUCT(Calc!$K$3:$K$22*(Calc!$G$3:$G$22&gt;B418)*(Calc!$G$3:$G$22-B418))</f>
        <v/>
      </c>
      <c r="I418">
        <f>SUMPRODUCT(Calc!$K$3:$K$22*(Calc!$G$3:$G$22&gt;A418)*(Calc!$G$3:$G$22-A418)^2)</f>
        <v/>
      </c>
      <c r="J418">
        <f>SUMPRODUCT(Calc!$K$3:$K$22*(Calc!$G$3:$G$22&gt;B418)*(Calc!$G$3:$G$22-B418)^2)</f>
        <v/>
      </c>
      <c r="K418">
        <f>SUMPRODUCT(Calc!$K$3:$K$22*(Calc!$G$3:$G$22&gt;A418)*(Calc!$G$3:$G$22-A418)*(Calc!$G$3:$G$22&gt;B418)*(Calc!$G$3:$G$22-B418))</f>
        <v/>
      </c>
      <c r="L418">
        <f>SUMPRODUCT(Calc!$K$3:$K$22*(Calc!$G$3:$G$22&gt;A418)*(Calc!$G$3:$G$22-A418)*Calc!$G$3:$G$22)</f>
        <v/>
      </c>
      <c r="M418">
        <f>SUMPRODUCT(Calc!$K$3:$K$22*(Calc!$G$3:$G$22&gt;B418)*(Calc!$G$3:$G$22-B418)*Calc!$G$3:$G$22)</f>
        <v/>
      </c>
      <c r="N418">
        <f>SUMPRODUCT(Calc!$K$3:$K$22*(Calc!$G$3:$G$22&gt;A418)*(Calc!$G$3:$G$22-A418)*Calc!$I$3:$I$22)</f>
        <v/>
      </c>
      <c r="O418">
        <f>SUMPRODUCT(Calc!$K$3:$K$22*(Calc!$G$3:$G$22&gt;B418)*(Calc!$G$3:$G$22-B418)*Calc!$I$3:$I$22)</f>
        <v/>
      </c>
      <c r="P418">
        <f>I418-G418^2/k_n</f>
        <v/>
      </c>
      <c r="Q418">
        <f>J418-H418^2/k_n</f>
        <v/>
      </c>
      <c r="R418">
        <f>K418-G418*H418/k_n</f>
        <v/>
      </c>
      <c r="S418">
        <f>L418-LTP3!$D$3*G418/k_n</f>
        <v/>
      </c>
      <c r="T418">
        <f>M418-LTP3!$D$3*H418/k_n</f>
        <v/>
      </c>
      <c r="U418">
        <f>N418-G418*LTP3!$D$4/k_n</f>
        <v/>
      </c>
      <c r="V418">
        <f>O418-H418*LTP3!$D$4/k_n</f>
        <v/>
      </c>
      <c r="W418">
        <f>((LTP3!$D$5)*((P418)*(Q418)-(R418)*(R418))-(S418)*((S418)*(Q418)-(R418)*(T418))+(T418)*((S418)*(R418)-(P418)*(T418)))</f>
        <v/>
      </c>
      <c r="X418">
        <f>IF(ABS(W418)&gt;1E-12,((LTP3!$D$6)*((P418)*(Q418)-(R418)*(R418))-(S418)*((U418)*(Q418)-(R418)*(V418))+(T418)*((U418)*(R418)-(P418)*(V418)))/W418,0)</f>
        <v/>
      </c>
      <c r="Y418">
        <f>IF(ABS(W418)&gt;1E-12,((LTP3!$D$5)*((U418)*(Q418)-(R418)*(V418))-(LTP3!$D$6)*((S418)*(Q418)-(R418)*(T418))+(T418)*((S418)*(V418)-(U418)*(T418)))/W418,0)</f>
        <v/>
      </c>
      <c r="Z418">
        <f>IF(ABS(W418)&gt;1E-12,((LTP3!$D$5)*((P418)*(V418)-(U418)*(R418))-(S418)*((S418)*(V418)-(U418)*(T418))+(LTP3!$D$6)*((S418)*(R418)-(P418)*(T418)))/W418,0)</f>
        <v/>
      </c>
      <c r="AA418">
        <f>LTP3!$D$7-X418*LTP3!$D$6-Y418*U418-Z418*V418</f>
        <v/>
      </c>
      <c r="AB418">
        <f>IF(AND(F418,ABS(W418)&gt;1E-12,Y418&gt;0,Z418&gt;0),AA418,1E+300)</f>
        <v/>
      </c>
    </row>
    <row r="419">
      <c r="A419">
        <f>$B$3+$B$5*6</f>
        <v/>
      </c>
      <c r="B419">
        <f>$B$3+$B$5*41</f>
        <v/>
      </c>
      <c r="C419">
        <f>SUMPRODUCT(Calc!$K$3:$K$22*(Calc!$G$3:$G$22&lt;=A419))</f>
        <v/>
      </c>
      <c r="D419">
        <f>SUMPRODUCT(Calc!$K$3:$K$22*(Calc!$G$3:$G$22&gt;A419)*(Calc!$G$3:$G$22&lt;B419))</f>
        <v/>
      </c>
      <c r="E419">
        <f>SUMPRODUCT(Calc!$K$3:$K$22*(Calc!$G$3:$G$22&gt;=B419))</f>
        <v/>
      </c>
      <c r="F419">
        <f>AND(k_n&gt;=5,B419&gt;A419+1E-9,C419&gt;=2,D419&gt;=1,E419&gt;=2)</f>
        <v/>
      </c>
      <c r="G419">
        <f>SUMPRODUCT(Calc!$K$3:$K$22*(Calc!$G$3:$G$22&gt;A419)*(Calc!$G$3:$G$22-A419))</f>
        <v/>
      </c>
      <c r="H419">
        <f>SUMPRODUCT(Calc!$K$3:$K$22*(Calc!$G$3:$G$22&gt;B419)*(Calc!$G$3:$G$22-B419))</f>
        <v/>
      </c>
      <c r="I419">
        <f>SUMPRODUCT(Calc!$K$3:$K$22*(Calc!$G$3:$G$22&gt;A419)*(Calc!$G$3:$G$22-A419)^2)</f>
        <v/>
      </c>
      <c r="J419">
        <f>SUMPRODUCT(Calc!$K$3:$K$22*(Calc!$G$3:$G$22&gt;B419)*(Calc!$G$3:$G$22-B419)^2)</f>
        <v/>
      </c>
      <c r="K419">
        <f>SUMPRODUCT(Calc!$K$3:$K$22*(Calc!$G$3:$G$22&gt;A419)*(Calc!$G$3:$G$22-A419)*(Calc!$G$3:$G$22&gt;B419)*(Calc!$G$3:$G$22-B419))</f>
        <v/>
      </c>
      <c r="L419">
        <f>SUMPRODUCT(Calc!$K$3:$K$22*(Calc!$G$3:$G$22&gt;A419)*(Calc!$G$3:$G$22-A419)*Calc!$G$3:$G$22)</f>
        <v/>
      </c>
      <c r="M419">
        <f>SUMPRODUCT(Calc!$K$3:$K$22*(Calc!$G$3:$G$22&gt;B419)*(Calc!$G$3:$G$22-B419)*Calc!$G$3:$G$22)</f>
        <v/>
      </c>
      <c r="N419">
        <f>SUMPRODUCT(Calc!$K$3:$K$22*(Calc!$G$3:$G$22&gt;A419)*(Calc!$G$3:$G$22-A419)*Calc!$I$3:$I$22)</f>
        <v/>
      </c>
      <c r="O419">
        <f>SUMPRODUCT(Calc!$K$3:$K$22*(Calc!$G$3:$G$22&gt;B419)*(Calc!$G$3:$G$22-B419)*Calc!$I$3:$I$22)</f>
        <v/>
      </c>
      <c r="P419">
        <f>I419-G419^2/k_n</f>
        <v/>
      </c>
      <c r="Q419">
        <f>J419-H419^2/k_n</f>
        <v/>
      </c>
      <c r="R419">
        <f>K419-G419*H419/k_n</f>
        <v/>
      </c>
      <c r="S419">
        <f>L419-LTP3!$D$3*G419/k_n</f>
        <v/>
      </c>
      <c r="T419">
        <f>M419-LTP3!$D$3*H419/k_n</f>
        <v/>
      </c>
      <c r="U419">
        <f>N419-G419*LTP3!$D$4/k_n</f>
        <v/>
      </c>
      <c r="V419">
        <f>O419-H419*LTP3!$D$4/k_n</f>
        <v/>
      </c>
      <c r="W419">
        <f>((LTP3!$D$5)*((P419)*(Q419)-(R419)*(R419))-(S419)*((S419)*(Q419)-(R419)*(T419))+(T419)*((S419)*(R419)-(P419)*(T419)))</f>
        <v/>
      </c>
      <c r="X419">
        <f>IF(ABS(W419)&gt;1E-12,((LTP3!$D$6)*((P419)*(Q419)-(R419)*(R419))-(S419)*((U419)*(Q419)-(R419)*(V419))+(T419)*((U419)*(R419)-(P419)*(V419)))/W419,0)</f>
        <v/>
      </c>
      <c r="Y419">
        <f>IF(ABS(W419)&gt;1E-12,((LTP3!$D$5)*((U419)*(Q419)-(R419)*(V419))-(LTP3!$D$6)*((S419)*(Q419)-(R419)*(T419))+(T419)*((S419)*(V419)-(U419)*(T419)))/W419,0)</f>
        <v/>
      </c>
      <c r="Z419">
        <f>IF(ABS(W419)&gt;1E-12,((LTP3!$D$5)*((P419)*(V419)-(U419)*(R419))-(S419)*((S419)*(V419)-(U419)*(T419))+(LTP3!$D$6)*((S419)*(R419)-(P419)*(T419)))/W419,0)</f>
        <v/>
      </c>
      <c r="AA419">
        <f>LTP3!$D$7-X419*LTP3!$D$6-Y419*U419-Z419*V419</f>
        <v/>
      </c>
      <c r="AB419">
        <f>IF(AND(F419,ABS(W419)&gt;1E-12,Y419&gt;0,Z419&gt;0),AA419,1E+300)</f>
        <v/>
      </c>
    </row>
    <row r="420">
      <c r="A420">
        <f>$B$3+$B$5*6</f>
        <v/>
      </c>
      <c r="B420">
        <f>$B$3+$B$5*42</f>
        <v/>
      </c>
      <c r="C420">
        <f>SUMPRODUCT(Calc!$K$3:$K$22*(Calc!$G$3:$G$22&lt;=A420))</f>
        <v/>
      </c>
      <c r="D420">
        <f>SUMPRODUCT(Calc!$K$3:$K$22*(Calc!$G$3:$G$22&gt;A420)*(Calc!$G$3:$G$22&lt;B420))</f>
        <v/>
      </c>
      <c r="E420">
        <f>SUMPRODUCT(Calc!$K$3:$K$22*(Calc!$G$3:$G$22&gt;=B420))</f>
        <v/>
      </c>
      <c r="F420">
        <f>AND(k_n&gt;=5,B420&gt;A420+1E-9,C420&gt;=2,D420&gt;=1,E420&gt;=2)</f>
        <v/>
      </c>
      <c r="G420">
        <f>SUMPRODUCT(Calc!$K$3:$K$22*(Calc!$G$3:$G$22&gt;A420)*(Calc!$G$3:$G$22-A420))</f>
        <v/>
      </c>
      <c r="H420">
        <f>SUMPRODUCT(Calc!$K$3:$K$22*(Calc!$G$3:$G$22&gt;B420)*(Calc!$G$3:$G$22-B420))</f>
        <v/>
      </c>
      <c r="I420">
        <f>SUMPRODUCT(Calc!$K$3:$K$22*(Calc!$G$3:$G$22&gt;A420)*(Calc!$G$3:$G$22-A420)^2)</f>
        <v/>
      </c>
      <c r="J420">
        <f>SUMPRODUCT(Calc!$K$3:$K$22*(Calc!$G$3:$G$22&gt;B420)*(Calc!$G$3:$G$22-B420)^2)</f>
        <v/>
      </c>
      <c r="K420">
        <f>SUMPRODUCT(Calc!$K$3:$K$22*(Calc!$G$3:$G$22&gt;A420)*(Calc!$G$3:$G$22-A420)*(Calc!$G$3:$G$22&gt;B420)*(Calc!$G$3:$G$22-B420))</f>
        <v/>
      </c>
      <c r="L420">
        <f>SUMPRODUCT(Calc!$K$3:$K$22*(Calc!$G$3:$G$22&gt;A420)*(Calc!$G$3:$G$22-A420)*Calc!$G$3:$G$22)</f>
        <v/>
      </c>
      <c r="M420">
        <f>SUMPRODUCT(Calc!$K$3:$K$22*(Calc!$G$3:$G$22&gt;B420)*(Calc!$G$3:$G$22-B420)*Calc!$G$3:$G$22)</f>
        <v/>
      </c>
      <c r="N420">
        <f>SUMPRODUCT(Calc!$K$3:$K$22*(Calc!$G$3:$G$22&gt;A420)*(Calc!$G$3:$G$22-A420)*Calc!$I$3:$I$22)</f>
        <v/>
      </c>
      <c r="O420">
        <f>SUMPRODUCT(Calc!$K$3:$K$22*(Calc!$G$3:$G$22&gt;B420)*(Calc!$G$3:$G$22-B420)*Calc!$I$3:$I$22)</f>
        <v/>
      </c>
      <c r="P420">
        <f>I420-G420^2/k_n</f>
        <v/>
      </c>
      <c r="Q420">
        <f>J420-H420^2/k_n</f>
        <v/>
      </c>
      <c r="R420">
        <f>K420-G420*H420/k_n</f>
        <v/>
      </c>
      <c r="S420">
        <f>L420-LTP3!$D$3*G420/k_n</f>
        <v/>
      </c>
      <c r="T420">
        <f>M420-LTP3!$D$3*H420/k_n</f>
        <v/>
      </c>
      <c r="U420">
        <f>N420-G420*LTP3!$D$4/k_n</f>
        <v/>
      </c>
      <c r="V420">
        <f>O420-H420*LTP3!$D$4/k_n</f>
        <v/>
      </c>
      <c r="W420">
        <f>((LTP3!$D$5)*((P420)*(Q420)-(R420)*(R420))-(S420)*((S420)*(Q420)-(R420)*(T420))+(T420)*((S420)*(R420)-(P420)*(T420)))</f>
        <v/>
      </c>
      <c r="X420">
        <f>IF(ABS(W420)&gt;1E-12,((LTP3!$D$6)*((P420)*(Q420)-(R420)*(R420))-(S420)*((U420)*(Q420)-(R420)*(V420))+(T420)*((U420)*(R420)-(P420)*(V420)))/W420,0)</f>
        <v/>
      </c>
      <c r="Y420">
        <f>IF(ABS(W420)&gt;1E-12,((LTP3!$D$5)*((U420)*(Q420)-(R420)*(V420))-(LTP3!$D$6)*((S420)*(Q420)-(R420)*(T420))+(T420)*((S420)*(V420)-(U420)*(T420)))/W420,0)</f>
        <v/>
      </c>
      <c r="Z420">
        <f>IF(ABS(W420)&gt;1E-12,((LTP3!$D$5)*((P420)*(V420)-(U420)*(R420))-(S420)*((S420)*(V420)-(U420)*(T420))+(LTP3!$D$6)*((S420)*(R420)-(P420)*(T420)))/W420,0)</f>
        <v/>
      </c>
      <c r="AA420">
        <f>LTP3!$D$7-X420*LTP3!$D$6-Y420*U420-Z420*V420</f>
        <v/>
      </c>
      <c r="AB420">
        <f>IF(AND(F420,ABS(W420)&gt;1E-12,Y420&gt;0,Z420&gt;0),AA420,1E+300)</f>
        <v/>
      </c>
    </row>
    <row r="421">
      <c r="A421">
        <f>$B$3+$B$5*6</f>
        <v/>
      </c>
      <c r="B421">
        <f>$B$3+$B$5*43</f>
        <v/>
      </c>
      <c r="C421">
        <f>SUMPRODUCT(Calc!$K$3:$K$22*(Calc!$G$3:$G$22&lt;=A421))</f>
        <v/>
      </c>
      <c r="D421">
        <f>SUMPRODUCT(Calc!$K$3:$K$22*(Calc!$G$3:$G$22&gt;A421)*(Calc!$G$3:$G$22&lt;B421))</f>
        <v/>
      </c>
      <c r="E421">
        <f>SUMPRODUCT(Calc!$K$3:$K$22*(Calc!$G$3:$G$22&gt;=B421))</f>
        <v/>
      </c>
      <c r="F421">
        <f>AND(k_n&gt;=5,B421&gt;A421+1E-9,C421&gt;=2,D421&gt;=1,E421&gt;=2)</f>
        <v/>
      </c>
      <c r="G421">
        <f>SUMPRODUCT(Calc!$K$3:$K$22*(Calc!$G$3:$G$22&gt;A421)*(Calc!$G$3:$G$22-A421))</f>
        <v/>
      </c>
      <c r="H421">
        <f>SUMPRODUCT(Calc!$K$3:$K$22*(Calc!$G$3:$G$22&gt;B421)*(Calc!$G$3:$G$22-B421))</f>
        <v/>
      </c>
      <c r="I421">
        <f>SUMPRODUCT(Calc!$K$3:$K$22*(Calc!$G$3:$G$22&gt;A421)*(Calc!$G$3:$G$22-A421)^2)</f>
        <v/>
      </c>
      <c r="J421">
        <f>SUMPRODUCT(Calc!$K$3:$K$22*(Calc!$G$3:$G$22&gt;B421)*(Calc!$G$3:$G$22-B421)^2)</f>
        <v/>
      </c>
      <c r="K421">
        <f>SUMPRODUCT(Calc!$K$3:$K$22*(Calc!$G$3:$G$22&gt;A421)*(Calc!$G$3:$G$22-A421)*(Calc!$G$3:$G$22&gt;B421)*(Calc!$G$3:$G$22-B421))</f>
        <v/>
      </c>
      <c r="L421">
        <f>SUMPRODUCT(Calc!$K$3:$K$22*(Calc!$G$3:$G$22&gt;A421)*(Calc!$G$3:$G$22-A421)*Calc!$G$3:$G$22)</f>
        <v/>
      </c>
      <c r="M421">
        <f>SUMPRODUCT(Calc!$K$3:$K$22*(Calc!$G$3:$G$22&gt;B421)*(Calc!$G$3:$G$22-B421)*Calc!$G$3:$G$22)</f>
        <v/>
      </c>
      <c r="N421">
        <f>SUMPRODUCT(Calc!$K$3:$K$22*(Calc!$G$3:$G$22&gt;A421)*(Calc!$G$3:$G$22-A421)*Calc!$I$3:$I$22)</f>
        <v/>
      </c>
      <c r="O421">
        <f>SUMPRODUCT(Calc!$K$3:$K$22*(Calc!$G$3:$G$22&gt;B421)*(Calc!$G$3:$G$22-B421)*Calc!$I$3:$I$22)</f>
        <v/>
      </c>
      <c r="P421">
        <f>I421-G421^2/k_n</f>
        <v/>
      </c>
      <c r="Q421">
        <f>J421-H421^2/k_n</f>
        <v/>
      </c>
      <c r="R421">
        <f>K421-G421*H421/k_n</f>
        <v/>
      </c>
      <c r="S421">
        <f>L421-LTP3!$D$3*G421/k_n</f>
        <v/>
      </c>
      <c r="T421">
        <f>M421-LTP3!$D$3*H421/k_n</f>
        <v/>
      </c>
      <c r="U421">
        <f>N421-G421*LTP3!$D$4/k_n</f>
        <v/>
      </c>
      <c r="V421">
        <f>O421-H421*LTP3!$D$4/k_n</f>
        <v/>
      </c>
      <c r="W421">
        <f>((LTP3!$D$5)*((P421)*(Q421)-(R421)*(R421))-(S421)*((S421)*(Q421)-(R421)*(T421))+(T421)*((S421)*(R421)-(P421)*(T421)))</f>
        <v/>
      </c>
      <c r="X421">
        <f>IF(ABS(W421)&gt;1E-12,((LTP3!$D$6)*((P421)*(Q421)-(R421)*(R421))-(S421)*((U421)*(Q421)-(R421)*(V421))+(T421)*((U421)*(R421)-(P421)*(V421)))/W421,0)</f>
        <v/>
      </c>
      <c r="Y421">
        <f>IF(ABS(W421)&gt;1E-12,((LTP3!$D$5)*((U421)*(Q421)-(R421)*(V421))-(LTP3!$D$6)*((S421)*(Q421)-(R421)*(T421))+(T421)*((S421)*(V421)-(U421)*(T421)))/W421,0)</f>
        <v/>
      </c>
      <c r="Z421">
        <f>IF(ABS(W421)&gt;1E-12,((LTP3!$D$5)*((P421)*(V421)-(U421)*(R421))-(S421)*((S421)*(V421)-(U421)*(T421))+(LTP3!$D$6)*((S421)*(R421)-(P421)*(T421)))/W421,0)</f>
        <v/>
      </c>
      <c r="AA421">
        <f>LTP3!$D$7-X421*LTP3!$D$6-Y421*U421-Z421*V421</f>
        <v/>
      </c>
      <c r="AB421">
        <f>IF(AND(F421,ABS(W421)&gt;1E-12,Y421&gt;0,Z421&gt;0),AA421,1E+300)</f>
        <v/>
      </c>
    </row>
    <row r="422">
      <c r="A422">
        <f>$B$3+$B$5*6</f>
        <v/>
      </c>
      <c r="B422">
        <f>$B$3+$B$5*44</f>
        <v/>
      </c>
      <c r="C422">
        <f>SUMPRODUCT(Calc!$K$3:$K$22*(Calc!$G$3:$G$22&lt;=A422))</f>
        <v/>
      </c>
      <c r="D422">
        <f>SUMPRODUCT(Calc!$K$3:$K$22*(Calc!$G$3:$G$22&gt;A422)*(Calc!$G$3:$G$22&lt;B422))</f>
        <v/>
      </c>
      <c r="E422">
        <f>SUMPRODUCT(Calc!$K$3:$K$22*(Calc!$G$3:$G$22&gt;=B422))</f>
        <v/>
      </c>
      <c r="F422">
        <f>AND(k_n&gt;=5,B422&gt;A422+1E-9,C422&gt;=2,D422&gt;=1,E422&gt;=2)</f>
        <v/>
      </c>
      <c r="G422">
        <f>SUMPRODUCT(Calc!$K$3:$K$22*(Calc!$G$3:$G$22&gt;A422)*(Calc!$G$3:$G$22-A422))</f>
        <v/>
      </c>
      <c r="H422">
        <f>SUMPRODUCT(Calc!$K$3:$K$22*(Calc!$G$3:$G$22&gt;B422)*(Calc!$G$3:$G$22-B422))</f>
        <v/>
      </c>
      <c r="I422">
        <f>SUMPRODUCT(Calc!$K$3:$K$22*(Calc!$G$3:$G$22&gt;A422)*(Calc!$G$3:$G$22-A422)^2)</f>
        <v/>
      </c>
      <c r="J422">
        <f>SUMPRODUCT(Calc!$K$3:$K$22*(Calc!$G$3:$G$22&gt;B422)*(Calc!$G$3:$G$22-B422)^2)</f>
        <v/>
      </c>
      <c r="K422">
        <f>SUMPRODUCT(Calc!$K$3:$K$22*(Calc!$G$3:$G$22&gt;A422)*(Calc!$G$3:$G$22-A422)*(Calc!$G$3:$G$22&gt;B422)*(Calc!$G$3:$G$22-B422))</f>
        <v/>
      </c>
      <c r="L422">
        <f>SUMPRODUCT(Calc!$K$3:$K$22*(Calc!$G$3:$G$22&gt;A422)*(Calc!$G$3:$G$22-A422)*Calc!$G$3:$G$22)</f>
        <v/>
      </c>
      <c r="M422">
        <f>SUMPRODUCT(Calc!$K$3:$K$22*(Calc!$G$3:$G$22&gt;B422)*(Calc!$G$3:$G$22-B422)*Calc!$G$3:$G$22)</f>
        <v/>
      </c>
      <c r="N422">
        <f>SUMPRODUCT(Calc!$K$3:$K$22*(Calc!$G$3:$G$22&gt;A422)*(Calc!$G$3:$G$22-A422)*Calc!$I$3:$I$22)</f>
        <v/>
      </c>
      <c r="O422">
        <f>SUMPRODUCT(Calc!$K$3:$K$22*(Calc!$G$3:$G$22&gt;B422)*(Calc!$G$3:$G$22-B422)*Calc!$I$3:$I$22)</f>
        <v/>
      </c>
      <c r="P422">
        <f>I422-G422^2/k_n</f>
        <v/>
      </c>
      <c r="Q422">
        <f>J422-H422^2/k_n</f>
        <v/>
      </c>
      <c r="R422">
        <f>K422-G422*H422/k_n</f>
        <v/>
      </c>
      <c r="S422">
        <f>L422-LTP3!$D$3*G422/k_n</f>
        <v/>
      </c>
      <c r="T422">
        <f>M422-LTP3!$D$3*H422/k_n</f>
        <v/>
      </c>
      <c r="U422">
        <f>N422-G422*LTP3!$D$4/k_n</f>
        <v/>
      </c>
      <c r="V422">
        <f>O422-H422*LTP3!$D$4/k_n</f>
        <v/>
      </c>
      <c r="W422">
        <f>((LTP3!$D$5)*((P422)*(Q422)-(R422)*(R422))-(S422)*((S422)*(Q422)-(R422)*(T422))+(T422)*((S422)*(R422)-(P422)*(T422)))</f>
        <v/>
      </c>
      <c r="X422">
        <f>IF(ABS(W422)&gt;1E-12,((LTP3!$D$6)*((P422)*(Q422)-(R422)*(R422))-(S422)*((U422)*(Q422)-(R422)*(V422))+(T422)*((U422)*(R422)-(P422)*(V422)))/W422,0)</f>
        <v/>
      </c>
      <c r="Y422">
        <f>IF(ABS(W422)&gt;1E-12,((LTP3!$D$5)*((U422)*(Q422)-(R422)*(V422))-(LTP3!$D$6)*((S422)*(Q422)-(R422)*(T422))+(T422)*((S422)*(V422)-(U422)*(T422)))/W422,0)</f>
        <v/>
      </c>
      <c r="Z422">
        <f>IF(ABS(W422)&gt;1E-12,((LTP3!$D$5)*((P422)*(V422)-(U422)*(R422))-(S422)*((S422)*(V422)-(U422)*(T422))+(LTP3!$D$6)*((S422)*(R422)-(P422)*(T422)))/W422,0)</f>
        <v/>
      </c>
      <c r="AA422">
        <f>LTP3!$D$7-X422*LTP3!$D$6-Y422*U422-Z422*V422</f>
        <v/>
      </c>
      <c r="AB422">
        <f>IF(AND(F422,ABS(W422)&gt;1E-12,Y422&gt;0,Z422&gt;0),AA422,1E+300)</f>
        <v/>
      </c>
    </row>
    <row r="423">
      <c r="A423">
        <f>$B$3+$B$5*6</f>
        <v/>
      </c>
      <c r="B423">
        <f>$B$3+$B$5*45</f>
        <v/>
      </c>
      <c r="C423">
        <f>SUMPRODUCT(Calc!$K$3:$K$22*(Calc!$G$3:$G$22&lt;=A423))</f>
        <v/>
      </c>
      <c r="D423">
        <f>SUMPRODUCT(Calc!$K$3:$K$22*(Calc!$G$3:$G$22&gt;A423)*(Calc!$G$3:$G$22&lt;B423))</f>
        <v/>
      </c>
      <c r="E423">
        <f>SUMPRODUCT(Calc!$K$3:$K$22*(Calc!$G$3:$G$22&gt;=B423))</f>
        <v/>
      </c>
      <c r="F423">
        <f>AND(k_n&gt;=5,B423&gt;A423+1E-9,C423&gt;=2,D423&gt;=1,E423&gt;=2)</f>
        <v/>
      </c>
      <c r="G423">
        <f>SUMPRODUCT(Calc!$K$3:$K$22*(Calc!$G$3:$G$22&gt;A423)*(Calc!$G$3:$G$22-A423))</f>
        <v/>
      </c>
      <c r="H423">
        <f>SUMPRODUCT(Calc!$K$3:$K$22*(Calc!$G$3:$G$22&gt;B423)*(Calc!$G$3:$G$22-B423))</f>
        <v/>
      </c>
      <c r="I423">
        <f>SUMPRODUCT(Calc!$K$3:$K$22*(Calc!$G$3:$G$22&gt;A423)*(Calc!$G$3:$G$22-A423)^2)</f>
        <v/>
      </c>
      <c r="J423">
        <f>SUMPRODUCT(Calc!$K$3:$K$22*(Calc!$G$3:$G$22&gt;B423)*(Calc!$G$3:$G$22-B423)^2)</f>
        <v/>
      </c>
      <c r="K423">
        <f>SUMPRODUCT(Calc!$K$3:$K$22*(Calc!$G$3:$G$22&gt;A423)*(Calc!$G$3:$G$22-A423)*(Calc!$G$3:$G$22&gt;B423)*(Calc!$G$3:$G$22-B423))</f>
        <v/>
      </c>
      <c r="L423">
        <f>SUMPRODUCT(Calc!$K$3:$K$22*(Calc!$G$3:$G$22&gt;A423)*(Calc!$G$3:$G$22-A423)*Calc!$G$3:$G$22)</f>
        <v/>
      </c>
      <c r="M423">
        <f>SUMPRODUCT(Calc!$K$3:$K$22*(Calc!$G$3:$G$22&gt;B423)*(Calc!$G$3:$G$22-B423)*Calc!$G$3:$G$22)</f>
        <v/>
      </c>
      <c r="N423">
        <f>SUMPRODUCT(Calc!$K$3:$K$22*(Calc!$G$3:$G$22&gt;A423)*(Calc!$G$3:$G$22-A423)*Calc!$I$3:$I$22)</f>
        <v/>
      </c>
      <c r="O423">
        <f>SUMPRODUCT(Calc!$K$3:$K$22*(Calc!$G$3:$G$22&gt;B423)*(Calc!$G$3:$G$22-B423)*Calc!$I$3:$I$22)</f>
        <v/>
      </c>
      <c r="P423">
        <f>I423-G423^2/k_n</f>
        <v/>
      </c>
      <c r="Q423">
        <f>J423-H423^2/k_n</f>
        <v/>
      </c>
      <c r="R423">
        <f>K423-G423*H423/k_n</f>
        <v/>
      </c>
      <c r="S423">
        <f>L423-LTP3!$D$3*G423/k_n</f>
        <v/>
      </c>
      <c r="T423">
        <f>M423-LTP3!$D$3*H423/k_n</f>
        <v/>
      </c>
      <c r="U423">
        <f>N423-G423*LTP3!$D$4/k_n</f>
        <v/>
      </c>
      <c r="V423">
        <f>O423-H423*LTP3!$D$4/k_n</f>
        <v/>
      </c>
      <c r="W423">
        <f>((LTP3!$D$5)*((P423)*(Q423)-(R423)*(R423))-(S423)*((S423)*(Q423)-(R423)*(T423))+(T423)*((S423)*(R423)-(P423)*(T423)))</f>
        <v/>
      </c>
      <c r="X423">
        <f>IF(ABS(W423)&gt;1E-12,((LTP3!$D$6)*((P423)*(Q423)-(R423)*(R423))-(S423)*((U423)*(Q423)-(R423)*(V423))+(T423)*((U423)*(R423)-(P423)*(V423)))/W423,0)</f>
        <v/>
      </c>
      <c r="Y423">
        <f>IF(ABS(W423)&gt;1E-12,((LTP3!$D$5)*((U423)*(Q423)-(R423)*(V423))-(LTP3!$D$6)*((S423)*(Q423)-(R423)*(T423))+(T423)*((S423)*(V423)-(U423)*(T423)))/W423,0)</f>
        <v/>
      </c>
      <c r="Z423">
        <f>IF(ABS(W423)&gt;1E-12,((LTP3!$D$5)*((P423)*(V423)-(U423)*(R423))-(S423)*((S423)*(V423)-(U423)*(T423))+(LTP3!$D$6)*((S423)*(R423)-(P423)*(T423)))/W423,0)</f>
        <v/>
      </c>
      <c r="AA423">
        <f>LTP3!$D$7-X423*LTP3!$D$6-Y423*U423-Z423*V423</f>
        <v/>
      </c>
      <c r="AB423">
        <f>IF(AND(F423,ABS(W423)&gt;1E-12,Y423&gt;0,Z423&gt;0),AA423,1E+300)</f>
        <v/>
      </c>
    </row>
    <row r="424">
      <c r="A424">
        <f>$B$3+$B$5*6</f>
        <v/>
      </c>
      <c r="B424">
        <f>$B$3+$B$5*46</f>
        <v/>
      </c>
      <c r="C424">
        <f>SUMPRODUCT(Calc!$K$3:$K$22*(Calc!$G$3:$G$22&lt;=A424))</f>
        <v/>
      </c>
      <c r="D424">
        <f>SUMPRODUCT(Calc!$K$3:$K$22*(Calc!$G$3:$G$22&gt;A424)*(Calc!$G$3:$G$22&lt;B424))</f>
        <v/>
      </c>
      <c r="E424">
        <f>SUMPRODUCT(Calc!$K$3:$K$22*(Calc!$G$3:$G$22&gt;=B424))</f>
        <v/>
      </c>
      <c r="F424">
        <f>AND(k_n&gt;=5,B424&gt;A424+1E-9,C424&gt;=2,D424&gt;=1,E424&gt;=2)</f>
        <v/>
      </c>
      <c r="G424">
        <f>SUMPRODUCT(Calc!$K$3:$K$22*(Calc!$G$3:$G$22&gt;A424)*(Calc!$G$3:$G$22-A424))</f>
        <v/>
      </c>
      <c r="H424">
        <f>SUMPRODUCT(Calc!$K$3:$K$22*(Calc!$G$3:$G$22&gt;B424)*(Calc!$G$3:$G$22-B424))</f>
        <v/>
      </c>
      <c r="I424">
        <f>SUMPRODUCT(Calc!$K$3:$K$22*(Calc!$G$3:$G$22&gt;A424)*(Calc!$G$3:$G$22-A424)^2)</f>
        <v/>
      </c>
      <c r="J424">
        <f>SUMPRODUCT(Calc!$K$3:$K$22*(Calc!$G$3:$G$22&gt;B424)*(Calc!$G$3:$G$22-B424)^2)</f>
        <v/>
      </c>
      <c r="K424">
        <f>SUMPRODUCT(Calc!$K$3:$K$22*(Calc!$G$3:$G$22&gt;A424)*(Calc!$G$3:$G$22-A424)*(Calc!$G$3:$G$22&gt;B424)*(Calc!$G$3:$G$22-B424))</f>
        <v/>
      </c>
      <c r="L424">
        <f>SUMPRODUCT(Calc!$K$3:$K$22*(Calc!$G$3:$G$22&gt;A424)*(Calc!$G$3:$G$22-A424)*Calc!$G$3:$G$22)</f>
        <v/>
      </c>
      <c r="M424">
        <f>SUMPRODUCT(Calc!$K$3:$K$22*(Calc!$G$3:$G$22&gt;B424)*(Calc!$G$3:$G$22-B424)*Calc!$G$3:$G$22)</f>
        <v/>
      </c>
      <c r="N424">
        <f>SUMPRODUCT(Calc!$K$3:$K$22*(Calc!$G$3:$G$22&gt;A424)*(Calc!$G$3:$G$22-A424)*Calc!$I$3:$I$22)</f>
        <v/>
      </c>
      <c r="O424">
        <f>SUMPRODUCT(Calc!$K$3:$K$22*(Calc!$G$3:$G$22&gt;B424)*(Calc!$G$3:$G$22-B424)*Calc!$I$3:$I$22)</f>
        <v/>
      </c>
      <c r="P424">
        <f>I424-G424^2/k_n</f>
        <v/>
      </c>
      <c r="Q424">
        <f>J424-H424^2/k_n</f>
        <v/>
      </c>
      <c r="R424">
        <f>K424-G424*H424/k_n</f>
        <v/>
      </c>
      <c r="S424">
        <f>L424-LTP3!$D$3*G424/k_n</f>
        <v/>
      </c>
      <c r="T424">
        <f>M424-LTP3!$D$3*H424/k_n</f>
        <v/>
      </c>
      <c r="U424">
        <f>N424-G424*LTP3!$D$4/k_n</f>
        <v/>
      </c>
      <c r="V424">
        <f>O424-H424*LTP3!$D$4/k_n</f>
        <v/>
      </c>
      <c r="W424">
        <f>((LTP3!$D$5)*((P424)*(Q424)-(R424)*(R424))-(S424)*((S424)*(Q424)-(R424)*(T424))+(T424)*((S424)*(R424)-(P424)*(T424)))</f>
        <v/>
      </c>
      <c r="X424">
        <f>IF(ABS(W424)&gt;1E-12,((LTP3!$D$6)*((P424)*(Q424)-(R424)*(R424))-(S424)*((U424)*(Q424)-(R424)*(V424))+(T424)*((U424)*(R424)-(P424)*(V424)))/W424,0)</f>
        <v/>
      </c>
      <c r="Y424">
        <f>IF(ABS(W424)&gt;1E-12,((LTP3!$D$5)*((U424)*(Q424)-(R424)*(V424))-(LTP3!$D$6)*((S424)*(Q424)-(R424)*(T424))+(T424)*((S424)*(V424)-(U424)*(T424)))/W424,0)</f>
        <v/>
      </c>
      <c r="Z424">
        <f>IF(ABS(W424)&gt;1E-12,((LTP3!$D$5)*((P424)*(V424)-(U424)*(R424))-(S424)*((S424)*(V424)-(U424)*(T424))+(LTP3!$D$6)*((S424)*(R424)-(P424)*(T424)))/W424,0)</f>
        <v/>
      </c>
      <c r="AA424">
        <f>LTP3!$D$7-X424*LTP3!$D$6-Y424*U424-Z424*V424</f>
        <v/>
      </c>
      <c r="AB424">
        <f>IF(AND(F424,ABS(W424)&gt;1E-12,Y424&gt;0,Z424&gt;0),AA424,1E+300)</f>
        <v/>
      </c>
    </row>
    <row r="425">
      <c r="A425">
        <f>$B$3+$B$5*6</f>
        <v/>
      </c>
      <c r="B425">
        <f>$B$3+$B$5*47</f>
        <v/>
      </c>
      <c r="C425">
        <f>SUMPRODUCT(Calc!$K$3:$K$22*(Calc!$G$3:$G$22&lt;=A425))</f>
        <v/>
      </c>
      <c r="D425">
        <f>SUMPRODUCT(Calc!$K$3:$K$22*(Calc!$G$3:$G$22&gt;A425)*(Calc!$G$3:$G$22&lt;B425))</f>
        <v/>
      </c>
      <c r="E425">
        <f>SUMPRODUCT(Calc!$K$3:$K$22*(Calc!$G$3:$G$22&gt;=B425))</f>
        <v/>
      </c>
      <c r="F425">
        <f>AND(k_n&gt;=5,B425&gt;A425+1E-9,C425&gt;=2,D425&gt;=1,E425&gt;=2)</f>
        <v/>
      </c>
      <c r="G425">
        <f>SUMPRODUCT(Calc!$K$3:$K$22*(Calc!$G$3:$G$22&gt;A425)*(Calc!$G$3:$G$22-A425))</f>
        <v/>
      </c>
      <c r="H425">
        <f>SUMPRODUCT(Calc!$K$3:$K$22*(Calc!$G$3:$G$22&gt;B425)*(Calc!$G$3:$G$22-B425))</f>
        <v/>
      </c>
      <c r="I425">
        <f>SUMPRODUCT(Calc!$K$3:$K$22*(Calc!$G$3:$G$22&gt;A425)*(Calc!$G$3:$G$22-A425)^2)</f>
        <v/>
      </c>
      <c r="J425">
        <f>SUMPRODUCT(Calc!$K$3:$K$22*(Calc!$G$3:$G$22&gt;B425)*(Calc!$G$3:$G$22-B425)^2)</f>
        <v/>
      </c>
      <c r="K425">
        <f>SUMPRODUCT(Calc!$K$3:$K$22*(Calc!$G$3:$G$22&gt;A425)*(Calc!$G$3:$G$22-A425)*(Calc!$G$3:$G$22&gt;B425)*(Calc!$G$3:$G$22-B425))</f>
        <v/>
      </c>
      <c r="L425">
        <f>SUMPRODUCT(Calc!$K$3:$K$22*(Calc!$G$3:$G$22&gt;A425)*(Calc!$G$3:$G$22-A425)*Calc!$G$3:$G$22)</f>
        <v/>
      </c>
      <c r="M425">
        <f>SUMPRODUCT(Calc!$K$3:$K$22*(Calc!$G$3:$G$22&gt;B425)*(Calc!$G$3:$G$22-B425)*Calc!$G$3:$G$22)</f>
        <v/>
      </c>
      <c r="N425">
        <f>SUMPRODUCT(Calc!$K$3:$K$22*(Calc!$G$3:$G$22&gt;A425)*(Calc!$G$3:$G$22-A425)*Calc!$I$3:$I$22)</f>
        <v/>
      </c>
      <c r="O425">
        <f>SUMPRODUCT(Calc!$K$3:$K$22*(Calc!$G$3:$G$22&gt;B425)*(Calc!$G$3:$G$22-B425)*Calc!$I$3:$I$22)</f>
        <v/>
      </c>
      <c r="P425">
        <f>I425-G425^2/k_n</f>
        <v/>
      </c>
      <c r="Q425">
        <f>J425-H425^2/k_n</f>
        <v/>
      </c>
      <c r="R425">
        <f>K425-G425*H425/k_n</f>
        <v/>
      </c>
      <c r="S425">
        <f>L425-LTP3!$D$3*G425/k_n</f>
        <v/>
      </c>
      <c r="T425">
        <f>M425-LTP3!$D$3*H425/k_n</f>
        <v/>
      </c>
      <c r="U425">
        <f>N425-G425*LTP3!$D$4/k_n</f>
        <v/>
      </c>
      <c r="V425">
        <f>O425-H425*LTP3!$D$4/k_n</f>
        <v/>
      </c>
      <c r="W425">
        <f>((LTP3!$D$5)*((P425)*(Q425)-(R425)*(R425))-(S425)*((S425)*(Q425)-(R425)*(T425))+(T425)*((S425)*(R425)-(P425)*(T425)))</f>
        <v/>
      </c>
      <c r="X425">
        <f>IF(ABS(W425)&gt;1E-12,((LTP3!$D$6)*((P425)*(Q425)-(R425)*(R425))-(S425)*((U425)*(Q425)-(R425)*(V425))+(T425)*((U425)*(R425)-(P425)*(V425)))/W425,0)</f>
        <v/>
      </c>
      <c r="Y425">
        <f>IF(ABS(W425)&gt;1E-12,((LTP3!$D$5)*((U425)*(Q425)-(R425)*(V425))-(LTP3!$D$6)*((S425)*(Q425)-(R425)*(T425))+(T425)*((S425)*(V425)-(U425)*(T425)))/W425,0)</f>
        <v/>
      </c>
      <c r="Z425">
        <f>IF(ABS(W425)&gt;1E-12,((LTP3!$D$5)*((P425)*(V425)-(U425)*(R425))-(S425)*((S425)*(V425)-(U425)*(T425))+(LTP3!$D$6)*((S425)*(R425)-(P425)*(T425)))/W425,0)</f>
        <v/>
      </c>
      <c r="AA425">
        <f>LTP3!$D$7-X425*LTP3!$D$6-Y425*U425-Z425*V425</f>
        <v/>
      </c>
      <c r="AB425">
        <f>IF(AND(F425,ABS(W425)&gt;1E-12,Y425&gt;0,Z425&gt;0),AA425,1E+300)</f>
        <v/>
      </c>
    </row>
    <row r="426">
      <c r="A426">
        <f>$B$3+$B$5*6</f>
        <v/>
      </c>
      <c r="B426">
        <f>$B$3+$B$5*48</f>
        <v/>
      </c>
      <c r="C426">
        <f>SUMPRODUCT(Calc!$K$3:$K$22*(Calc!$G$3:$G$22&lt;=A426))</f>
        <v/>
      </c>
      <c r="D426">
        <f>SUMPRODUCT(Calc!$K$3:$K$22*(Calc!$G$3:$G$22&gt;A426)*(Calc!$G$3:$G$22&lt;B426))</f>
        <v/>
      </c>
      <c r="E426">
        <f>SUMPRODUCT(Calc!$K$3:$K$22*(Calc!$G$3:$G$22&gt;=B426))</f>
        <v/>
      </c>
      <c r="F426">
        <f>AND(k_n&gt;=5,B426&gt;A426+1E-9,C426&gt;=2,D426&gt;=1,E426&gt;=2)</f>
        <v/>
      </c>
      <c r="G426">
        <f>SUMPRODUCT(Calc!$K$3:$K$22*(Calc!$G$3:$G$22&gt;A426)*(Calc!$G$3:$G$22-A426))</f>
        <v/>
      </c>
      <c r="H426">
        <f>SUMPRODUCT(Calc!$K$3:$K$22*(Calc!$G$3:$G$22&gt;B426)*(Calc!$G$3:$G$22-B426))</f>
        <v/>
      </c>
      <c r="I426">
        <f>SUMPRODUCT(Calc!$K$3:$K$22*(Calc!$G$3:$G$22&gt;A426)*(Calc!$G$3:$G$22-A426)^2)</f>
        <v/>
      </c>
      <c r="J426">
        <f>SUMPRODUCT(Calc!$K$3:$K$22*(Calc!$G$3:$G$22&gt;B426)*(Calc!$G$3:$G$22-B426)^2)</f>
        <v/>
      </c>
      <c r="K426">
        <f>SUMPRODUCT(Calc!$K$3:$K$22*(Calc!$G$3:$G$22&gt;A426)*(Calc!$G$3:$G$22-A426)*(Calc!$G$3:$G$22&gt;B426)*(Calc!$G$3:$G$22-B426))</f>
        <v/>
      </c>
      <c r="L426">
        <f>SUMPRODUCT(Calc!$K$3:$K$22*(Calc!$G$3:$G$22&gt;A426)*(Calc!$G$3:$G$22-A426)*Calc!$G$3:$G$22)</f>
        <v/>
      </c>
      <c r="M426">
        <f>SUMPRODUCT(Calc!$K$3:$K$22*(Calc!$G$3:$G$22&gt;B426)*(Calc!$G$3:$G$22-B426)*Calc!$G$3:$G$22)</f>
        <v/>
      </c>
      <c r="N426">
        <f>SUMPRODUCT(Calc!$K$3:$K$22*(Calc!$G$3:$G$22&gt;A426)*(Calc!$G$3:$G$22-A426)*Calc!$I$3:$I$22)</f>
        <v/>
      </c>
      <c r="O426">
        <f>SUMPRODUCT(Calc!$K$3:$K$22*(Calc!$G$3:$G$22&gt;B426)*(Calc!$G$3:$G$22-B426)*Calc!$I$3:$I$22)</f>
        <v/>
      </c>
      <c r="P426">
        <f>I426-G426^2/k_n</f>
        <v/>
      </c>
      <c r="Q426">
        <f>J426-H426^2/k_n</f>
        <v/>
      </c>
      <c r="R426">
        <f>K426-G426*H426/k_n</f>
        <v/>
      </c>
      <c r="S426">
        <f>L426-LTP3!$D$3*G426/k_n</f>
        <v/>
      </c>
      <c r="T426">
        <f>M426-LTP3!$D$3*H426/k_n</f>
        <v/>
      </c>
      <c r="U426">
        <f>N426-G426*LTP3!$D$4/k_n</f>
        <v/>
      </c>
      <c r="V426">
        <f>O426-H426*LTP3!$D$4/k_n</f>
        <v/>
      </c>
      <c r="W426">
        <f>((LTP3!$D$5)*((P426)*(Q426)-(R426)*(R426))-(S426)*((S426)*(Q426)-(R426)*(T426))+(T426)*((S426)*(R426)-(P426)*(T426)))</f>
        <v/>
      </c>
      <c r="X426">
        <f>IF(ABS(W426)&gt;1E-12,((LTP3!$D$6)*((P426)*(Q426)-(R426)*(R426))-(S426)*((U426)*(Q426)-(R426)*(V426))+(T426)*((U426)*(R426)-(P426)*(V426)))/W426,0)</f>
        <v/>
      </c>
      <c r="Y426">
        <f>IF(ABS(W426)&gt;1E-12,((LTP3!$D$5)*((U426)*(Q426)-(R426)*(V426))-(LTP3!$D$6)*((S426)*(Q426)-(R426)*(T426))+(T426)*((S426)*(V426)-(U426)*(T426)))/W426,0)</f>
        <v/>
      </c>
      <c r="Z426">
        <f>IF(ABS(W426)&gt;1E-12,((LTP3!$D$5)*((P426)*(V426)-(U426)*(R426))-(S426)*((S426)*(V426)-(U426)*(T426))+(LTP3!$D$6)*((S426)*(R426)-(P426)*(T426)))/W426,0)</f>
        <v/>
      </c>
      <c r="AA426">
        <f>LTP3!$D$7-X426*LTP3!$D$6-Y426*U426-Z426*V426</f>
        <v/>
      </c>
      <c r="AB426">
        <f>IF(AND(F426,ABS(W426)&gt;1E-12,Y426&gt;0,Z426&gt;0),AA426,1E+300)</f>
        <v/>
      </c>
    </row>
    <row r="427">
      <c r="A427">
        <f>$B$3+$B$5*6</f>
        <v/>
      </c>
      <c r="B427">
        <f>$B$3+$B$5*49</f>
        <v/>
      </c>
      <c r="C427">
        <f>SUMPRODUCT(Calc!$K$3:$K$22*(Calc!$G$3:$G$22&lt;=A427))</f>
        <v/>
      </c>
      <c r="D427">
        <f>SUMPRODUCT(Calc!$K$3:$K$22*(Calc!$G$3:$G$22&gt;A427)*(Calc!$G$3:$G$22&lt;B427))</f>
        <v/>
      </c>
      <c r="E427">
        <f>SUMPRODUCT(Calc!$K$3:$K$22*(Calc!$G$3:$G$22&gt;=B427))</f>
        <v/>
      </c>
      <c r="F427">
        <f>AND(k_n&gt;=5,B427&gt;A427+1E-9,C427&gt;=2,D427&gt;=1,E427&gt;=2)</f>
        <v/>
      </c>
      <c r="G427">
        <f>SUMPRODUCT(Calc!$K$3:$K$22*(Calc!$G$3:$G$22&gt;A427)*(Calc!$G$3:$G$22-A427))</f>
        <v/>
      </c>
      <c r="H427">
        <f>SUMPRODUCT(Calc!$K$3:$K$22*(Calc!$G$3:$G$22&gt;B427)*(Calc!$G$3:$G$22-B427))</f>
        <v/>
      </c>
      <c r="I427">
        <f>SUMPRODUCT(Calc!$K$3:$K$22*(Calc!$G$3:$G$22&gt;A427)*(Calc!$G$3:$G$22-A427)^2)</f>
        <v/>
      </c>
      <c r="J427">
        <f>SUMPRODUCT(Calc!$K$3:$K$22*(Calc!$G$3:$G$22&gt;B427)*(Calc!$G$3:$G$22-B427)^2)</f>
        <v/>
      </c>
      <c r="K427">
        <f>SUMPRODUCT(Calc!$K$3:$K$22*(Calc!$G$3:$G$22&gt;A427)*(Calc!$G$3:$G$22-A427)*(Calc!$G$3:$G$22&gt;B427)*(Calc!$G$3:$G$22-B427))</f>
        <v/>
      </c>
      <c r="L427">
        <f>SUMPRODUCT(Calc!$K$3:$K$22*(Calc!$G$3:$G$22&gt;A427)*(Calc!$G$3:$G$22-A427)*Calc!$G$3:$G$22)</f>
        <v/>
      </c>
      <c r="M427">
        <f>SUMPRODUCT(Calc!$K$3:$K$22*(Calc!$G$3:$G$22&gt;B427)*(Calc!$G$3:$G$22-B427)*Calc!$G$3:$G$22)</f>
        <v/>
      </c>
      <c r="N427">
        <f>SUMPRODUCT(Calc!$K$3:$K$22*(Calc!$G$3:$G$22&gt;A427)*(Calc!$G$3:$G$22-A427)*Calc!$I$3:$I$22)</f>
        <v/>
      </c>
      <c r="O427">
        <f>SUMPRODUCT(Calc!$K$3:$K$22*(Calc!$G$3:$G$22&gt;B427)*(Calc!$G$3:$G$22-B427)*Calc!$I$3:$I$22)</f>
        <v/>
      </c>
      <c r="P427">
        <f>I427-G427^2/k_n</f>
        <v/>
      </c>
      <c r="Q427">
        <f>J427-H427^2/k_n</f>
        <v/>
      </c>
      <c r="R427">
        <f>K427-G427*H427/k_n</f>
        <v/>
      </c>
      <c r="S427">
        <f>L427-LTP3!$D$3*G427/k_n</f>
        <v/>
      </c>
      <c r="T427">
        <f>M427-LTP3!$D$3*H427/k_n</f>
        <v/>
      </c>
      <c r="U427">
        <f>N427-G427*LTP3!$D$4/k_n</f>
        <v/>
      </c>
      <c r="V427">
        <f>O427-H427*LTP3!$D$4/k_n</f>
        <v/>
      </c>
      <c r="W427">
        <f>((LTP3!$D$5)*((P427)*(Q427)-(R427)*(R427))-(S427)*((S427)*(Q427)-(R427)*(T427))+(T427)*((S427)*(R427)-(P427)*(T427)))</f>
        <v/>
      </c>
      <c r="X427">
        <f>IF(ABS(W427)&gt;1E-12,((LTP3!$D$6)*((P427)*(Q427)-(R427)*(R427))-(S427)*((U427)*(Q427)-(R427)*(V427))+(T427)*((U427)*(R427)-(P427)*(V427)))/W427,0)</f>
        <v/>
      </c>
      <c r="Y427">
        <f>IF(ABS(W427)&gt;1E-12,((LTP3!$D$5)*((U427)*(Q427)-(R427)*(V427))-(LTP3!$D$6)*((S427)*(Q427)-(R427)*(T427))+(T427)*((S427)*(V427)-(U427)*(T427)))/W427,0)</f>
        <v/>
      </c>
      <c r="Z427">
        <f>IF(ABS(W427)&gt;1E-12,((LTP3!$D$5)*((P427)*(V427)-(U427)*(R427))-(S427)*((S427)*(V427)-(U427)*(T427))+(LTP3!$D$6)*((S427)*(R427)-(P427)*(T427)))/W427,0)</f>
        <v/>
      </c>
      <c r="AA427">
        <f>LTP3!$D$7-X427*LTP3!$D$6-Y427*U427-Z427*V427</f>
        <v/>
      </c>
      <c r="AB427">
        <f>IF(AND(F427,ABS(W427)&gt;1E-12,Y427&gt;0,Z427&gt;0),AA427,1E+300)</f>
        <v/>
      </c>
    </row>
    <row r="428">
      <c r="A428">
        <f>$B$3+$B$5*6</f>
        <v/>
      </c>
      <c r="B428">
        <f>$B$3+$B$5*50</f>
        <v/>
      </c>
      <c r="C428">
        <f>SUMPRODUCT(Calc!$K$3:$K$22*(Calc!$G$3:$G$22&lt;=A428))</f>
        <v/>
      </c>
      <c r="D428">
        <f>SUMPRODUCT(Calc!$K$3:$K$22*(Calc!$G$3:$G$22&gt;A428)*(Calc!$G$3:$G$22&lt;B428))</f>
        <v/>
      </c>
      <c r="E428">
        <f>SUMPRODUCT(Calc!$K$3:$K$22*(Calc!$G$3:$G$22&gt;=B428))</f>
        <v/>
      </c>
      <c r="F428">
        <f>AND(k_n&gt;=5,B428&gt;A428+1E-9,C428&gt;=2,D428&gt;=1,E428&gt;=2)</f>
        <v/>
      </c>
      <c r="G428">
        <f>SUMPRODUCT(Calc!$K$3:$K$22*(Calc!$G$3:$G$22&gt;A428)*(Calc!$G$3:$G$22-A428))</f>
        <v/>
      </c>
      <c r="H428">
        <f>SUMPRODUCT(Calc!$K$3:$K$22*(Calc!$G$3:$G$22&gt;B428)*(Calc!$G$3:$G$22-B428))</f>
        <v/>
      </c>
      <c r="I428">
        <f>SUMPRODUCT(Calc!$K$3:$K$22*(Calc!$G$3:$G$22&gt;A428)*(Calc!$G$3:$G$22-A428)^2)</f>
        <v/>
      </c>
      <c r="J428">
        <f>SUMPRODUCT(Calc!$K$3:$K$22*(Calc!$G$3:$G$22&gt;B428)*(Calc!$G$3:$G$22-B428)^2)</f>
        <v/>
      </c>
      <c r="K428">
        <f>SUMPRODUCT(Calc!$K$3:$K$22*(Calc!$G$3:$G$22&gt;A428)*(Calc!$G$3:$G$22-A428)*(Calc!$G$3:$G$22&gt;B428)*(Calc!$G$3:$G$22-B428))</f>
        <v/>
      </c>
      <c r="L428">
        <f>SUMPRODUCT(Calc!$K$3:$K$22*(Calc!$G$3:$G$22&gt;A428)*(Calc!$G$3:$G$22-A428)*Calc!$G$3:$G$22)</f>
        <v/>
      </c>
      <c r="M428">
        <f>SUMPRODUCT(Calc!$K$3:$K$22*(Calc!$G$3:$G$22&gt;B428)*(Calc!$G$3:$G$22-B428)*Calc!$G$3:$G$22)</f>
        <v/>
      </c>
      <c r="N428">
        <f>SUMPRODUCT(Calc!$K$3:$K$22*(Calc!$G$3:$G$22&gt;A428)*(Calc!$G$3:$G$22-A428)*Calc!$I$3:$I$22)</f>
        <v/>
      </c>
      <c r="O428">
        <f>SUMPRODUCT(Calc!$K$3:$K$22*(Calc!$G$3:$G$22&gt;B428)*(Calc!$G$3:$G$22-B428)*Calc!$I$3:$I$22)</f>
        <v/>
      </c>
      <c r="P428">
        <f>I428-G428^2/k_n</f>
        <v/>
      </c>
      <c r="Q428">
        <f>J428-H428^2/k_n</f>
        <v/>
      </c>
      <c r="R428">
        <f>K428-G428*H428/k_n</f>
        <v/>
      </c>
      <c r="S428">
        <f>L428-LTP3!$D$3*G428/k_n</f>
        <v/>
      </c>
      <c r="T428">
        <f>M428-LTP3!$D$3*H428/k_n</f>
        <v/>
      </c>
      <c r="U428">
        <f>N428-G428*LTP3!$D$4/k_n</f>
        <v/>
      </c>
      <c r="V428">
        <f>O428-H428*LTP3!$D$4/k_n</f>
        <v/>
      </c>
      <c r="W428">
        <f>((LTP3!$D$5)*((P428)*(Q428)-(R428)*(R428))-(S428)*((S428)*(Q428)-(R428)*(T428))+(T428)*((S428)*(R428)-(P428)*(T428)))</f>
        <v/>
      </c>
      <c r="X428">
        <f>IF(ABS(W428)&gt;1E-12,((LTP3!$D$6)*((P428)*(Q428)-(R428)*(R428))-(S428)*((U428)*(Q428)-(R428)*(V428))+(T428)*((U428)*(R428)-(P428)*(V428)))/W428,0)</f>
        <v/>
      </c>
      <c r="Y428">
        <f>IF(ABS(W428)&gt;1E-12,((LTP3!$D$5)*((U428)*(Q428)-(R428)*(V428))-(LTP3!$D$6)*((S428)*(Q428)-(R428)*(T428))+(T428)*((S428)*(V428)-(U428)*(T428)))/W428,0)</f>
        <v/>
      </c>
      <c r="Z428">
        <f>IF(ABS(W428)&gt;1E-12,((LTP3!$D$5)*((P428)*(V428)-(U428)*(R428))-(S428)*((S428)*(V428)-(U428)*(T428))+(LTP3!$D$6)*((S428)*(R428)-(P428)*(T428)))/W428,0)</f>
        <v/>
      </c>
      <c r="AA428">
        <f>LTP3!$D$7-X428*LTP3!$D$6-Y428*U428-Z428*V428</f>
        <v/>
      </c>
      <c r="AB428">
        <f>IF(AND(F428,ABS(W428)&gt;1E-12,Y428&gt;0,Z428&gt;0),AA428,1E+300)</f>
        <v/>
      </c>
    </row>
    <row r="429">
      <c r="A429">
        <f>$B$3+$B$5*6</f>
        <v/>
      </c>
      <c r="B429">
        <f>$B$3+$B$5*51</f>
        <v/>
      </c>
      <c r="C429">
        <f>SUMPRODUCT(Calc!$K$3:$K$22*(Calc!$G$3:$G$22&lt;=A429))</f>
        <v/>
      </c>
      <c r="D429">
        <f>SUMPRODUCT(Calc!$K$3:$K$22*(Calc!$G$3:$G$22&gt;A429)*(Calc!$G$3:$G$22&lt;B429))</f>
        <v/>
      </c>
      <c r="E429">
        <f>SUMPRODUCT(Calc!$K$3:$K$22*(Calc!$G$3:$G$22&gt;=B429))</f>
        <v/>
      </c>
      <c r="F429">
        <f>AND(k_n&gt;=5,B429&gt;A429+1E-9,C429&gt;=2,D429&gt;=1,E429&gt;=2)</f>
        <v/>
      </c>
      <c r="G429">
        <f>SUMPRODUCT(Calc!$K$3:$K$22*(Calc!$G$3:$G$22&gt;A429)*(Calc!$G$3:$G$22-A429))</f>
        <v/>
      </c>
      <c r="H429">
        <f>SUMPRODUCT(Calc!$K$3:$K$22*(Calc!$G$3:$G$22&gt;B429)*(Calc!$G$3:$G$22-B429))</f>
        <v/>
      </c>
      <c r="I429">
        <f>SUMPRODUCT(Calc!$K$3:$K$22*(Calc!$G$3:$G$22&gt;A429)*(Calc!$G$3:$G$22-A429)^2)</f>
        <v/>
      </c>
      <c r="J429">
        <f>SUMPRODUCT(Calc!$K$3:$K$22*(Calc!$G$3:$G$22&gt;B429)*(Calc!$G$3:$G$22-B429)^2)</f>
        <v/>
      </c>
      <c r="K429">
        <f>SUMPRODUCT(Calc!$K$3:$K$22*(Calc!$G$3:$G$22&gt;A429)*(Calc!$G$3:$G$22-A429)*(Calc!$G$3:$G$22&gt;B429)*(Calc!$G$3:$G$22-B429))</f>
        <v/>
      </c>
      <c r="L429">
        <f>SUMPRODUCT(Calc!$K$3:$K$22*(Calc!$G$3:$G$22&gt;A429)*(Calc!$G$3:$G$22-A429)*Calc!$G$3:$G$22)</f>
        <v/>
      </c>
      <c r="M429">
        <f>SUMPRODUCT(Calc!$K$3:$K$22*(Calc!$G$3:$G$22&gt;B429)*(Calc!$G$3:$G$22-B429)*Calc!$G$3:$G$22)</f>
        <v/>
      </c>
      <c r="N429">
        <f>SUMPRODUCT(Calc!$K$3:$K$22*(Calc!$G$3:$G$22&gt;A429)*(Calc!$G$3:$G$22-A429)*Calc!$I$3:$I$22)</f>
        <v/>
      </c>
      <c r="O429">
        <f>SUMPRODUCT(Calc!$K$3:$K$22*(Calc!$G$3:$G$22&gt;B429)*(Calc!$G$3:$G$22-B429)*Calc!$I$3:$I$22)</f>
        <v/>
      </c>
      <c r="P429">
        <f>I429-G429^2/k_n</f>
        <v/>
      </c>
      <c r="Q429">
        <f>J429-H429^2/k_n</f>
        <v/>
      </c>
      <c r="R429">
        <f>K429-G429*H429/k_n</f>
        <v/>
      </c>
      <c r="S429">
        <f>L429-LTP3!$D$3*G429/k_n</f>
        <v/>
      </c>
      <c r="T429">
        <f>M429-LTP3!$D$3*H429/k_n</f>
        <v/>
      </c>
      <c r="U429">
        <f>N429-G429*LTP3!$D$4/k_n</f>
        <v/>
      </c>
      <c r="V429">
        <f>O429-H429*LTP3!$D$4/k_n</f>
        <v/>
      </c>
      <c r="W429">
        <f>((LTP3!$D$5)*((P429)*(Q429)-(R429)*(R429))-(S429)*((S429)*(Q429)-(R429)*(T429))+(T429)*((S429)*(R429)-(P429)*(T429)))</f>
        <v/>
      </c>
      <c r="X429">
        <f>IF(ABS(W429)&gt;1E-12,((LTP3!$D$6)*((P429)*(Q429)-(R429)*(R429))-(S429)*((U429)*(Q429)-(R429)*(V429))+(T429)*((U429)*(R429)-(P429)*(V429)))/W429,0)</f>
        <v/>
      </c>
      <c r="Y429">
        <f>IF(ABS(W429)&gt;1E-12,((LTP3!$D$5)*((U429)*(Q429)-(R429)*(V429))-(LTP3!$D$6)*((S429)*(Q429)-(R429)*(T429))+(T429)*((S429)*(V429)-(U429)*(T429)))/W429,0)</f>
        <v/>
      </c>
      <c r="Z429">
        <f>IF(ABS(W429)&gt;1E-12,((LTP3!$D$5)*((P429)*(V429)-(U429)*(R429))-(S429)*((S429)*(V429)-(U429)*(T429))+(LTP3!$D$6)*((S429)*(R429)-(P429)*(T429)))/W429,0)</f>
        <v/>
      </c>
      <c r="AA429">
        <f>LTP3!$D$7-X429*LTP3!$D$6-Y429*U429-Z429*V429</f>
        <v/>
      </c>
      <c r="AB429">
        <f>IF(AND(F429,ABS(W429)&gt;1E-12,Y429&gt;0,Z429&gt;0),AA429,1E+300)</f>
        <v/>
      </c>
    </row>
    <row r="430">
      <c r="A430">
        <f>$B$3+$B$5*6</f>
        <v/>
      </c>
      <c r="B430">
        <f>$B$3+$B$5*52</f>
        <v/>
      </c>
      <c r="C430">
        <f>SUMPRODUCT(Calc!$K$3:$K$22*(Calc!$G$3:$G$22&lt;=A430))</f>
        <v/>
      </c>
      <c r="D430">
        <f>SUMPRODUCT(Calc!$K$3:$K$22*(Calc!$G$3:$G$22&gt;A430)*(Calc!$G$3:$G$22&lt;B430))</f>
        <v/>
      </c>
      <c r="E430">
        <f>SUMPRODUCT(Calc!$K$3:$K$22*(Calc!$G$3:$G$22&gt;=B430))</f>
        <v/>
      </c>
      <c r="F430">
        <f>AND(k_n&gt;=5,B430&gt;A430+1E-9,C430&gt;=2,D430&gt;=1,E430&gt;=2)</f>
        <v/>
      </c>
      <c r="G430">
        <f>SUMPRODUCT(Calc!$K$3:$K$22*(Calc!$G$3:$G$22&gt;A430)*(Calc!$G$3:$G$22-A430))</f>
        <v/>
      </c>
      <c r="H430">
        <f>SUMPRODUCT(Calc!$K$3:$K$22*(Calc!$G$3:$G$22&gt;B430)*(Calc!$G$3:$G$22-B430))</f>
        <v/>
      </c>
      <c r="I430">
        <f>SUMPRODUCT(Calc!$K$3:$K$22*(Calc!$G$3:$G$22&gt;A430)*(Calc!$G$3:$G$22-A430)^2)</f>
        <v/>
      </c>
      <c r="J430">
        <f>SUMPRODUCT(Calc!$K$3:$K$22*(Calc!$G$3:$G$22&gt;B430)*(Calc!$G$3:$G$22-B430)^2)</f>
        <v/>
      </c>
      <c r="K430">
        <f>SUMPRODUCT(Calc!$K$3:$K$22*(Calc!$G$3:$G$22&gt;A430)*(Calc!$G$3:$G$22-A430)*(Calc!$G$3:$G$22&gt;B430)*(Calc!$G$3:$G$22-B430))</f>
        <v/>
      </c>
      <c r="L430">
        <f>SUMPRODUCT(Calc!$K$3:$K$22*(Calc!$G$3:$G$22&gt;A430)*(Calc!$G$3:$G$22-A430)*Calc!$G$3:$G$22)</f>
        <v/>
      </c>
      <c r="M430">
        <f>SUMPRODUCT(Calc!$K$3:$K$22*(Calc!$G$3:$G$22&gt;B430)*(Calc!$G$3:$G$22-B430)*Calc!$G$3:$G$22)</f>
        <v/>
      </c>
      <c r="N430">
        <f>SUMPRODUCT(Calc!$K$3:$K$22*(Calc!$G$3:$G$22&gt;A430)*(Calc!$G$3:$G$22-A430)*Calc!$I$3:$I$22)</f>
        <v/>
      </c>
      <c r="O430">
        <f>SUMPRODUCT(Calc!$K$3:$K$22*(Calc!$G$3:$G$22&gt;B430)*(Calc!$G$3:$G$22-B430)*Calc!$I$3:$I$22)</f>
        <v/>
      </c>
      <c r="P430">
        <f>I430-G430^2/k_n</f>
        <v/>
      </c>
      <c r="Q430">
        <f>J430-H430^2/k_n</f>
        <v/>
      </c>
      <c r="R430">
        <f>K430-G430*H430/k_n</f>
        <v/>
      </c>
      <c r="S430">
        <f>L430-LTP3!$D$3*G430/k_n</f>
        <v/>
      </c>
      <c r="T430">
        <f>M430-LTP3!$D$3*H430/k_n</f>
        <v/>
      </c>
      <c r="U430">
        <f>N430-G430*LTP3!$D$4/k_n</f>
        <v/>
      </c>
      <c r="V430">
        <f>O430-H430*LTP3!$D$4/k_n</f>
        <v/>
      </c>
      <c r="W430">
        <f>((LTP3!$D$5)*((P430)*(Q430)-(R430)*(R430))-(S430)*((S430)*(Q430)-(R430)*(T430))+(T430)*((S430)*(R430)-(P430)*(T430)))</f>
        <v/>
      </c>
      <c r="X430">
        <f>IF(ABS(W430)&gt;1E-12,((LTP3!$D$6)*((P430)*(Q430)-(R430)*(R430))-(S430)*((U430)*(Q430)-(R430)*(V430))+(T430)*((U430)*(R430)-(P430)*(V430)))/W430,0)</f>
        <v/>
      </c>
      <c r="Y430">
        <f>IF(ABS(W430)&gt;1E-12,((LTP3!$D$5)*((U430)*(Q430)-(R430)*(V430))-(LTP3!$D$6)*((S430)*(Q430)-(R430)*(T430))+(T430)*((S430)*(V430)-(U430)*(T430)))/W430,0)</f>
        <v/>
      </c>
      <c r="Z430">
        <f>IF(ABS(W430)&gt;1E-12,((LTP3!$D$5)*((P430)*(V430)-(U430)*(R430))-(S430)*((S430)*(V430)-(U430)*(T430))+(LTP3!$D$6)*((S430)*(R430)-(P430)*(T430)))/W430,0)</f>
        <v/>
      </c>
      <c r="AA430">
        <f>LTP3!$D$7-X430*LTP3!$D$6-Y430*U430-Z430*V430</f>
        <v/>
      </c>
      <c r="AB430">
        <f>IF(AND(F430,ABS(W430)&gt;1E-12,Y430&gt;0,Z430&gt;0),AA430,1E+300)</f>
        <v/>
      </c>
    </row>
    <row r="431">
      <c r="A431">
        <f>$B$3+$B$5*6</f>
        <v/>
      </c>
      <c r="B431">
        <f>$B$3+$B$5*53</f>
        <v/>
      </c>
      <c r="C431">
        <f>SUMPRODUCT(Calc!$K$3:$K$22*(Calc!$G$3:$G$22&lt;=A431))</f>
        <v/>
      </c>
      <c r="D431">
        <f>SUMPRODUCT(Calc!$K$3:$K$22*(Calc!$G$3:$G$22&gt;A431)*(Calc!$G$3:$G$22&lt;B431))</f>
        <v/>
      </c>
      <c r="E431">
        <f>SUMPRODUCT(Calc!$K$3:$K$22*(Calc!$G$3:$G$22&gt;=B431))</f>
        <v/>
      </c>
      <c r="F431">
        <f>AND(k_n&gt;=5,B431&gt;A431+1E-9,C431&gt;=2,D431&gt;=1,E431&gt;=2)</f>
        <v/>
      </c>
      <c r="G431">
        <f>SUMPRODUCT(Calc!$K$3:$K$22*(Calc!$G$3:$G$22&gt;A431)*(Calc!$G$3:$G$22-A431))</f>
        <v/>
      </c>
      <c r="H431">
        <f>SUMPRODUCT(Calc!$K$3:$K$22*(Calc!$G$3:$G$22&gt;B431)*(Calc!$G$3:$G$22-B431))</f>
        <v/>
      </c>
      <c r="I431">
        <f>SUMPRODUCT(Calc!$K$3:$K$22*(Calc!$G$3:$G$22&gt;A431)*(Calc!$G$3:$G$22-A431)^2)</f>
        <v/>
      </c>
      <c r="J431">
        <f>SUMPRODUCT(Calc!$K$3:$K$22*(Calc!$G$3:$G$22&gt;B431)*(Calc!$G$3:$G$22-B431)^2)</f>
        <v/>
      </c>
      <c r="K431">
        <f>SUMPRODUCT(Calc!$K$3:$K$22*(Calc!$G$3:$G$22&gt;A431)*(Calc!$G$3:$G$22-A431)*(Calc!$G$3:$G$22&gt;B431)*(Calc!$G$3:$G$22-B431))</f>
        <v/>
      </c>
      <c r="L431">
        <f>SUMPRODUCT(Calc!$K$3:$K$22*(Calc!$G$3:$G$22&gt;A431)*(Calc!$G$3:$G$22-A431)*Calc!$G$3:$G$22)</f>
        <v/>
      </c>
      <c r="M431">
        <f>SUMPRODUCT(Calc!$K$3:$K$22*(Calc!$G$3:$G$22&gt;B431)*(Calc!$G$3:$G$22-B431)*Calc!$G$3:$G$22)</f>
        <v/>
      </c>
      <c r="N431">
        <f>SUMPRODUCT(Calc!$K$3:$K$22*(Calc!$G$3:$G$22&gt;A431)*(Calc!$G$3:$G$22-A431)*Calc!$I$3:$I$22)</f>
        <v/>
      </c>
      <c r="O431">
        <f>SUMPRODUCT(Calc!$K$3:$K$22*(Calc!$G$3:$G$22&gt;B431)*(Calc!$G$3:$G$22-B431)*Calc!$I$3:$I$22)</f>
        <v/>
      </c>
      <c r="P431">
        <f>I431-G431^2/k_n</f>
        <v/>
      </c>
      <c r="Q431">
        <f>J431-H431^2/k_n</f>
        <v/>
      </c>
      <c r="R431">
        <f>K431-G431*H431/k_n</f>
        <v/>
      </c>
      <c r="S431">
        <f>L431-LTP3!$D$3*G431/k_n</f>
        <v/>
      </c>
      <c r="T431">
        <f>M431-LTP3!$D$3*H431/k_n</f>
        <v/>
      </c>
      <c r="U431">
        <f>N431-G431*LTP3!$D$4/k_n</f>
        <v/>
      </c>
      <c r="V431">
        <f>O431-H431*LTP3!$D$4/k_n</f>
        <v/>
      </c>
      <c r="W431">
        <f>((LTP3!$D$5)*((P431)*(Q431)-(R431)*(R431))-(S431)*((S431)*(Q431)-(R431)*(T431))+(T431)*((S431)*(R431)-(P431)*(T431)))</f>
        <v/>
      </c>
      <c r="X431">
        <f>IF(ABS(W431)&gt;1E-12,((LTP3!$D$6)*((P431)*(Q431)-(R431)*(R431))-(S431)*((U431)*(Q431)-(R431)*(V431))+(T431)*((U431)*(R431)-(P431)*(V431)))/W431,0)</f>
        <v/>
      </c>
      <c r="Y431">
        <f>IF(ABS(W431)&gt;1E-12,((LTP3!$D$5)*((U431)*(Q431)-(R431)*(V431))-(LTP3!$D$6)*((S431)*(Q431)-(R431)*(T431))+(T431)*((S431)*(V431)-(U431)*(T431)))/W431,0)</f>
        <v/>
      </c>
      <c r="Z431">
        <f>IF(ABS(W431)&gt;1E-12,((LTP3!$D$5)*((P431)*(V431)-(U431)*(R431))-(S431)*((S431)*(V431)-(U431)*(T431))+(LTP3!$D$6)*((S431)*(R431)-(P431)*(T431)))/W431,0)</f>
        <v/>
      </c>
      <c r="AA431">
        <f>LTP3!$D$7-X431*LTP3!$D$6-Y431*U431-Z431*V431</f>
        <v/>
      </c>
      <c r="AB431">
        <f>IF(AND(F431,ABS(W431)&gt;1E-12,Y431&gt;0,Z431&gt;0),AA431,1E+300)</f>
        <v/>
      </c>
    </row>
    <row r="432">
      <c r="A432">
        <f>$B$3+$B$5*6</f>
        <v/>
      </c>
      <c r="B432">
        <f>$B$3+$B$5*54</f>
        <v/>
      </c>
      <c r="C432">
        <f>SUMPRODUCT(Calc!$K$3:$K$22*(Calc!$G$3:$G$22&lt;=A432))</f>
        <v/>
      </c>
      <c r="D432">
        <f>SUMPRODUCT(Calc!$K$3:$K$22*(Calc!$G$3:$G$22&gt;A432)*(Calc!$G$3:$G$22&lt;B432))</f>
        <v/>
      </c>
      <c r="E432">
        <f>SUMPRODUCT(Calc!$K$3:$K$22*(Calc!$G$3:$G$22&gt;=B432))</f>
        <v/>
      </c>
      <c r="F432">
        <f>AND(k_n&gt;=5,B432&gt;A432+1E-9,C432&gt;=2,D432&gt;=1,E432&gt;=2)</f>
        <v/>
      </c>
      <c r="G432">
        <f>SUMPRODUCT(Calc!$K$3:$K$22*(Calc!$G$3:$G$22&gt;A432)*(Calc!$G$3:$G$22-A432))</f>
        <v/>
      </c>
      <c r="H432">
        <f>SUMPRODUCT(Calc!$K$3:$K$22*(Calc!$G$3:$G$22&gt;B432)*(Calc!$G$3:$G$22-B432))</f>
        <v/>
      </c>
      <c r="I432">
        <f>SUMPRODUCT(Calc!$K$3:$K$22*(Calc!$G$3:$G$22&gt;A432)*(Calc!$G$3:$G$22-A432)^2)</f>
        <v/>
      </c>
      <c r="J432">
        <f>SUMPRODUCT(Calc!$K$3:$K$22*(Calc!$G$3:$G$22&gt;B432)*(Calc!$G$3:$G$22-B432)^2)</f>
        <v/>
      </c>
      <c r="K432">
        <f>SUMPRODUCT(Calc!$K$3:$K$22*(Calc!$G$3:$G$22&gt;A432)*(Calc!$G$3:$G$22-A432)*(Calc!$G$3:$G$22&gt;B432)*(Calc!$G$3:$G$22-B432))</f>
        <v/>
      </c>
      <c r="L432">
        <f>SUMPRODUCT(Calc!$K$3:$K$22*(Calc!$G$3:$G$22&gt;A432)*(Calc!$G$3:$G$22-A432)*Calc!$G$3:$G$22)</f>
        <v/>
      </c>
      <c r="M432">
        <f>SUMPRODUCT(Calc!$K$3:$K$22*(Calc!$G$3:$G$22&gt;B432)*(Calc!$G$3:$G$22-B432)*Calc!$G$3:$G$22)</f>
        <v/>
      </c>
      <c r="N432">
        <f>SUMPRODUCT(Calc!$K$3:$K$22*(Calc!$G$3:$G$22&gt;A432)*(Calc!$G$3:$G$22-A432)*Calc!$I$3:$I$22)</f>
        <v/>
      </c>
      <c r="O432">
        <f>SUMPRODUCT(Calc!$K$3:$K$22*(Calc!$G$3:$G$22&gt;B432)*(Calc!$G$3:$G$22-B432)*Calc!$I$3:$I$22)</f>
        <v/>
      </c>
      <c r="P432">
        <f>I432-G432^2/k_n</f>
        <v/>
      </c>
      <c r="Q432">
        <f>J432-H432^2/k_n</f>
        <v/>
      </c>
      <c r="R432">
        <f>K432-G432*H432/k_n</f>
        <v/>
      </c>
      <c r="S432">
        <f>L432-LTP3!$D$3*G432/k_n</f>
        <v/>
      </c>
      <c r="T432">
        <f>M432-LTP3!$D$3*H432/k_n</f>
        <v/>
      </c>
      <c r="U432">
        <f>N432-G432*LTP3!$D$4/k_n</f>
        <v/>
      </c>
      <c r="V432">
        <f>O432-H432*LTP3!$D$4/k_n</f>
        <v/>
      </c>
      <c r="W432">
        <f>((LTP3!$D$5)*((P432)*(Q432)-(R432)*(R432))-(S432)*((S432)*(Q432)-(R432)*(T432))+(T432)*((S432)*(R432)-(P432)*(T432)))</f>
        <v/>
      </c>
      <c r="X432">
        <f>IF(ABS(W432)&gt;1E-12,((LTP3!$D$6)*((P432)*(Q432)-(R432)*(R432))-(S432)*((U432)*(Q432)-(R432)*(V432))+(T432)*((U432)*(R432)-(P432)*(V432)))/W432,0)</f>
        <v/>
      </c>
      <c r="Y432">
        <f>IF(ABS(W432)&gt;1E-12,((LTP3!$D$5)*((U432)*(Q432)-(R432)*(V432))-(LTP3!$D$6)*((S432)*(Q432)-(R432)*(T432))+(T432)*((S432)*(V432)-(U432)*(T432)))/W432,0)</f>
        <v/>
      </c>
      <c r="Z432">
        <f>IF(ABS(W432)&gt;1E-12,((LTP3!$D$5)*((P432)*(V432)-(U432)*(R432))-(S432)*((S432)*(V432)-(U432)*(T432))+(LTP3!$D$6)*((S432)*(R432)-(P432)*(T432)))/W432,0)</f>
        <v/>
      </c>
      <c r="AA432">
        <f>LTP3!$D$7-X432*LTP3!$D$6-Y432*U432-Z432*V432</f>
        <v/>
      </c>
      <c r="AB432">
        <f>IF(AND(F432,ABS(W432)&gt;1E-12,Y432&gt;0,Z432&gt;0),AA432,1E+300)</f>
        <v/>
      </c>
    </row>
    <row r="433">
      <c r="A433">
        <f>$B$3+$B$5*6</f>
        <v/>
      </c>
      <c r="B433">
        <f>$B$3+$B$5*55</f>
        <v/>
      </c>
      <c r="C433">
        <f>SUMPRODUCT(Calc!$K$3:$K$22*(Calc!$G$3:$G$22&lt;=A433))</f>
        <v/>
      </c>
      <c r="D433">
        <f>SUMPRODUCT(Calc!$K$3:$K$22*(Calc!$G$3:$G$22&gt;A433)*(Calc!$G$3:$G$22&lt;B433))</f>
        <v/>
      </c>
      <c r="E433">
        <f>SUMPRODUCT(Calc!$K$3:$K$22*(Calc!$G$3:$G$22&gt;=B433))</f>
        <v/>
      </c>
      <c r="F433">
        <f>AND(k_n&gt;=5,B433&gt;A433+1E-9,C433&gt;=2,D433&gt;=1,E433&gt;=2)</f>
        <v/>
      </c>
      <c r="G433">
        <f>SUMPRODUCT(Calc!$K$3:$K$22*(Calc!$G$3:$G$22&gt;A433)*(Calc!$G$3:$G$22-A433))</f>
        <v/>
      </c>
      <c r="H433">
        <f>SUMPRODUCT(Calc!$K$3:$K$22*(Calc!$G$3:$G$22&gt;B433)*(Calc!$G$3:$G$22-B433))</f>
        <v/>
      </c>
      <c r="I433">
        <f>SUMPRODUCT(Calc!$K$3:$K$22*(Calc!$G$3:$G$22&gt;A433)*(Calc!$G$3:$G$22-A433)^2)</f>
        <v/>
      </c>
      <c r="J433">
        <f>SUMPRODUCT(Calc!$K$3:$K$22*(Calc!$G$3:$G$22&gt;B433)*(Calc!$G$3:$G$22-B433)^2)</f>
        <v/>
      </c>
      <c r="K433">
        <f>SUMPRODUCT(Calc!$K$3:$K$22*(Calc!$G$3:$G$22&gt;A433)*(Calc!$G$3:$G$22-A433)*(Calc!$G$3:$G$22&gt;B433)*(Calc!$G$3:$G$22-B433))</f>
        <v/>
      </c>
      <c r="L433">
        <f>SUMPRODUCT(Calc!$K$3:$K$22*(Calc!$G$3:$G$22&gt;A433)*(Calc!$G$3:$G$22-A433)*Calc!$G$3:$G$22)</f>
        <v/>
      </c>
      <c r="M433">
        <f>SUMPRODUCT(Calc!$K$3:$K$22*(Calc!$G$3:$G$22&gt;B433)*(Calc!$G$3:$G$22-B433)*Calc!$G$3:$G$22)</f>
        <v/>
      </c>
      <c r="N433">
        <f>SUMPRODUCT(Calc!$K$3:$K$22*(Calc!$G$3:$G$22&gt;A433)*(Calc!$G$3:$G$22-A433)*Calc!$I$3:$I$22)</f>
        <v/>
      </c>
      <c r="O433">
        <f>SUMPRODUCT(Calc!$K$3:$K$22*(Calc!$G$3:$G$22&gt;B433)*(Calc!$G$3:$G$22-B433)*Calc!$I$3:$I$22)</f>
        <v/>
      </c>
      <c r="P433">
        <f>I433-G433^2/k_n</f>
        <v/>
      </c>
      <c r="Q433">
        <f>J433-H433^2/k_n</f>
        <v/>
      </c>
      <c r="R433">
        <f>K433-G433*H433/k_n</f>
        <v/>
      </c>
      <c r="S433">
        <f>L433-LTP3!$D$3*G433/k_n</f>
        <v/>
      </c>
      <c r="T433">
        <f>M433-LTP3!$D$3*H433/k_n</f>
        <v/>
      </c>
      <c r="U433">
        <f>N433-G433*LTP3!$D$4/k_n</f>
        <v/>
      </c>
      <c r="V433">
        <f>O433-H433*LTP3!$D$4/k_n</f>
        <v/>
      </c>
      <c r="W433">
        <f>((LTP3!$D$5)*((P433)*(Q433)-(R433)*(R433))-(S433)*((S433)*(Q433)-(R433)*(T433))+(T433)*((S433)*(R433)-(P433)*(T433)))</f>
        <v/>
      </c>
      <c r="X433">
        <f>IF(ABS(W433)&gt;1E-12,((LTP3!$D$6)*((P433)*(Q433)-(R433)*(R433))-(S433)*((U433)*(Q433)-(R433)*(V433))+(T433)*((U433)*(R433)-(P433)*(V433)))/W433,0)</f>
        <v/>
      </c>
      <c r="Y433">
        <f>IF(ABS(W433)&gt;1E-12,((LTP3!$D$5)*((U433)*(Q433)-(R433)*(V433))-(LTP3!$D$6)*((S433)*(Q433)-(R433)*(T433))+(T433)*((S433)*(V433)-(U433)*(T433)))/W433,0)</f>
        <v/>
      </c>
      <c r="Z433">
        <f>IF(ABS(W433)&gt;1E-12,((LTP3!$D$5)*((P433)*(V433)-(U433)*(R433))-(S433)*((S433)*(V433)-(U433)*(T433))+(LTP3!$D$6)*((S433)*(R433)-(P433)*(T433)))/W433,0)</f>
        <v/>
      </c>
      <c r="AA433">
        <f>LTP3!$D$7-X433*LTP3!$D$6-Y433*U433-Z433*V433</f>
        <v/>
      </c>
      <c r="AB433">
        <f>IF(AND(F433,ABS(W433)&gt;1E-12,Y433&gt;0,Z433&gt;0),AA433,1E+300)</f>
        <v/>
      </c>
    </row>
    <row r="434">
      <c r="A434">
        <f>$B$3+$B$5*6</f>
        <v/>
      </c>
      <c r="B434">
        <f>$B$3+$B$5*56</f>
        <v/>
      </c>
      <c r="C434">
        <f>SUMPRODUCT(Calc!$K$3:$K$22*(Calc!$G$3:$G$22&lt;=A434))</f>
        <v/>
      </c>
      <c r="D434">
        <f>SUMPRODUCT(Calc!$K$3:$K$22*(Calc!$G$3:$G$22&gt;A434)*(Calc!$G$3:$G$22&lt;B434))</f>
        <v/>
      </c>
      <c r="E434">
        <f>SUMPRODUCT(Calc!$K$3:$K$22*(Calc!$G$3:$G$22&gt;=B434))</f>
        <v/>
      </c>
      <c r="F434">
        <f>AND(k_n&gt;=5,B434&gt;A434+1E-9,C434&gt;=2,D434&gt;=1,E434&gt;=2)</f>
        <v/>
      </c>
      <c r="G434">
        <f>SUMPRODUCT(Calc!$K$3:$K$22*(Calc!$G$3:$G$22&gt;A434)*(Calc!$G$3:$G$22-A434))</f>
        <v/>
      </c>
      <c r="H434">
        <f>SUMPRODUCT(Calc!$K$3:$K$22*(Calc!$G$3:$G$22&gt;B434)*(Calc!$G$3:$G$22-B434))</f>
        <v/>
      </c>
      <c r="I434">
        <f>SUMPRODUCT(Calc!$K$3:$K$22*(Calc!$G$3:$G$22&gt;A434)*(Calc!$G$3:$G$22-A434)^2)</f>
        <v/>
      </c>
      <c r="J434">
        <f>SUMPRODUCT(Calc!$K$3:$K$22*(Calc!$G$3:$G$22&gt;B434)*(Calc!$G$3:$G$22-B434)^2)</f>
        <v/>
      </c>
      <c r="K434">
        <f>SUMPRODUCT(Calc!$K$3:$K$22*(Calc!$G$3:$G$22&gt;A434)*(Calc!$G$3:$G$22-A434)*(Calc!$G$3:$G$22&gt;B434)*(Calc!$G$3:$G$22-B434))</f>
        <v/>
      </c>
      <c r="L434">
        <f>SUMPRODUCT(Calc!$K$3:$K$22*(Calc!$G$3:$G$22&gt;A434)*(Calc!$G$3:$G$22-A434)*Calc!$G$3:$G$22)</f>
        <v/>
      </c>
      <c r="M434">
        <f>SUMPRODUCT(Calc!$K$3:$K$22*(Calc!$G$3:$G$22&gt;B434)*(Calc!$G$3:$G$22-B434)*Calc!$G$3:$G$22)</f>
        <v/>
      </c>
      <c r="N434">
        <f>SUMPRODUCT(Calc!$K$3:$K$22*(Calc!$G$3:$G$22&gt;A434)*(Calc!$G$3:$G$22-A434)*Calc!$I$3:$I$22)</f>
        <v/>
      </c>
      <c r="O434">
        <f>SUMPRODUCT(Calc!$K$3:$K$22*(Calc!$G$3:$G$22&gt;B434)*(Calc!$G$3:$G$22-B434)*Calc!$I$3:$I$22)</f>
        <v/>
      </c>
      <c r="P434">
        <f>I434-G434^2/k_n</f>
        <v/>
      </c>
      <c r="Q434">
        <f>J434-H434^2/k_n</f>
        <v/>
      </c>
      <c r="R434">
        <f>K434-G434*H434/k_n</f>
        <v/>
      </c>
      <c r="S434">
        <f>L434-LTP3!$D$3*G434/k_n</f>
        <v/>
      </c>
      <c r="T434">
        <f>M434-LTP3!$D$3*H434/k_n</f>
        <v/>
      </c>
      <c r="U434">
        <f>N434-G434*LTP3!$D$4/k_n</f>
        <v/>
      </c>
      <c r="V434">
        <f>O434-H434*LTP3!$D$4/k_n</f>
        <v/>
      </c>
      <c r="W434">
        <f>((LTP3!$D$5)*((P434)*(Q434)-(R434)*(R434))-(S434)*((S434)*(Q434)-(R434)*(T434))+(T434)*((S434)*(R434)-(P434)*(T434)))</f>
        <v/>
      </c>
      <c r="X434">
        <f>IF(ABS(W434)&gt;1E-12,((LTP3!$D$6)*((P434)*(Q434)-(R434)*(R434))-(S434)*((U434)*(Q434)-(R434)*(V434))+(T434)*((U434)*(R434)-(P434)*(V434)))/W434,0)</f>
        <v/>
      </c>
      <c r="Y434">
        <f>IF(ABS(W434)&gt;1E-12,((LTP3!$D$5)*((U434)*(Q434)-(R434)*(V434))-(LTP3!$D$6)*((S434)*(Q434)-(R434)*(T434))+(T434)*((S434)*(V434)-(U434)*(T434)))/W434,0)</f>
        <v/>
      </c>
      <c r="Z434">
        <f>IF(ABS(W434)&gt;1E-12,((LTP3!$D$5)*((P434)*(V434)-(U434)*(R434))-(S434)*((S434)*(V434)-(U434)*(T434))+(LTP3!$D$6)*((S434)*(R434)-(P434)*(T434)))/W434,0)</f>
        <v/>
      </c>
      <c r="AA434">
        <f>LTP3!$D$7-X434*LTP3!$D$6-Y434*U434-Z434*V434</f>
        <v/>
      </c>
      <c r="AB434">
        <f>IF(AND(F434,ABS(W434)&gt;1E-12,Y434&gt;0,Z434&gt;0),AA434,1E+300)</f>
        <v/>
      </c>
    </row>
    <row r="435">
      <c r="A435">
        <f>$B$3+$B$5*6</f>
        <v/>
      </c>
      <c r="B435">
        <f>$B$3+$B$5*57</f>
        <v/>
      </c>
      <c r="C435">
        <f>SUMPRODUCT(Calc!$K$3:$K$22*(Calc!$G$3:$G$22&lt;=A435))</f>
        <v/>
      </c>
      <c r="D435">
        <f>SUMPRODUCT(Calc!$K$3:$K$22*(Calc!$G$3:$G$22&gt;A435)*(Calc!$G$3:$G$22&lt;B435))</f>
        <v/>
      </c>
      <c r="E435">
        <f>SUMPRODUCT(Calc!$K$3:$K$22*(Calc!$G$3:$G$22&gt;=B435))</f>
        <v/>
      </c>
      <c r="F435">
        <f>AND(k_n&gt;=5,B435&gt;A435+1E-9,C435&gt;=2,D435&gt;=1,E435&gt;=2)</f>
        <v/>
      </c>
      <c r="G435">
        <f>SUMPRODUCT(Calc!$K$3:$K$22*(Calc!$G$3:$G$22&gt;A435)*(Calc!$G$3:$G$22-A435))</f>
        <v/>
      </c>
      <c r="H435">
        <f>SUMPRODUCT(Calc!$K$3:$K$22*(Calc!$G$3:$G$22&gt;B435)*(Calc!$G$3:$G$22-B435))</f>
        <v/>
      </c>
      <c r="I435">
        <f>SUMPRODUCT(Calc!$K$3:$K$22*(Calc!$G$3:$G$22&gt;A435)*(Calc!$G$3:$G$22-A435)^2)</f>
        <v/>
      </c>
      <c r="J435">
        <f>SUMPRODUCT(Calc!$K$3:$K$22*(Calc!$G$3:$G$22&gt;B435)*(Calc!$G$3:$G$22-B435)^2)</f>
        <v/>
      </c>
      <c r="K435">
        <f>SUMPRODUCT(Calc!$K$3:$K$22*(Calc!$G$3:$G$22&gt;A435)*(Calc!$G$3:$G$22-A435)*(Calc!$G$3:$G$22&gt;B435)*(Calc!$G$3:$G$22-B435))</f>
        <v/>
      </c>
      <c r="L435">
        <f>SUMPRODUCT(Calc!$K$3:$K$22*(Calc!$G$3:$G$22&gt;A435)*(Calc!$G$3:$G$22-A435)*Calc!$G$3:$G$22)</f>
        <v/>
      </c>
      <c r="M435">
        <f>SUMPRODUCT(Calc!$K$3:$K$22*(Calc!$G$3:$G$22&gt;B435)*(Calc!$G$3:$G$22-B435)*Calc!$G$3:$G$22)</f>
        <v/>
      </c>
      <c r="N435">
        <f>SUMPRODUCT(Calc!$K$3:$K$22*(Calc!$G$3:$G$22&gt;A435)*(Calc!$G$3:$G$22-A435)*Calc!$I$3:$I$22)</f>
        <v/>
      </c>
      <c r="O435">
        <f>SUMPRODUCT(Calc!$K$3:$K$22*(Calc!$G$3:$G$22&gt;B435)*(Calc!$G$3:$G$22-B435)*Calc!$I$3:$I$22)</f>
        <v/>
      </c>
      <c r="P435">
        <f>I435-G435^2/k_n</f>
        <v/>
      </c>
      <c r="Q435">
        <f>J435-H435^2/k_n</f>
        <v/>
      </c>
      <c r="R435">
        <f>K435-G435*H435/k_n</f>
        <v/>
      </c>
      <c r="S435">
        <f>L435-LTP3!$D$3*G435/k_n</f>
        <v/>
      </c>
      <c r="T435">
        <f>M435-LTP3!$D$3*H435/k_n</f>
        <v/>
      </c>
      <c r="U435">
        <f>N435-G435*LTP3!$D$4/k_n</f>
        <v/>
      </c>
      <c r="V435">
        <f>O435-H435*LTP3!$D$4/k_n</f>
        <v/>
      </c>
      <c r="W435">
        <f>((LTP3!$D$5)*((P435)*(Q435)-(R435)*(R435))-(S435)*((S435)*(Q435)-(R435)*(T435))+(T435)*((S435)*(R435)-(P435)*(T435)))</f>
        <v/>
      </c>
      <c r="X435">
        <f>IF(ABS(W435)&gt;1E-12,((LTP3!$D$6)*((P435)*(Q435)-(R435)*(R435))-(S435)*((U435)*(Q435)-(R435)*(V435))+(T435)*((U435)*(R435)-(P435)*(V435)))/W435,0)</f>
        <v/>
      </c>
      <c r="Y435">
        <f>IF(ABS(W435)&gt;1E-12,((LTP3!$D$5)*((U435)*(Q435)-(R435)*(V435))-(LTP3!$D$6)*((S435)*(Q435)-(R435)*(T435))+(T435)*((S435)*(V435)-(U435)*(T435)))/W435,0)</f>
        <v/>
      </c>
      <c r="Z435">
        <f>IF(ABS(W435)&gt;1E-12,((LTP3!$D$5)*((P435)*(V435)-(U435)*(R435))-(S435)*((S435)*(V435)-(U435)*(T435))+(LTP3!$D$6)*((S435)*(R435)-(P435)*(T435)))/W435,0)</f>
        <v/>
      </c>
      <c r="AA435">
        <f>LTP3!$D$7-X435*LTP3!$D$6-Y435*U435-Z435*V435</f>
        <v/>
      </c>
      <c r="AB435">
        <f>IF(AND(F435,ABS(W435)&gt;1E-12,Y435&gt;0,Z435&gt;0),AA435,1E+300)</f>
        <v/>
      </c>
    </row>
    <row r="436">
      <c r="A436">
        <f>$B$3+$B$5*6</f>
        <v/>
      </c>
      <c r="B436">
        <f>$B$3+$B$5*58</f>
        <v/>
      </c>
      <c r="C436">
        <f>SUMPRODUCT(Calc!$K$3:$K$22*(Calc!$G$3:$G$22&lt;=A436))</f>
        <v/>
      </c>
      <c r="D436">
        <f>SUMPRODUCT(Calc!$K$3:$K$22*(Calc!$G$3:$G$22&gt;A436)*(Calc!$G$3:$G$22&lt;B436))</f>
        <v/>
      </c>
      <c r="E436">
        <f>SUMPRODUCT(Calc!$K$3:$K$22*(Calc!$G$3:$G$22&gt;=B436))</f>
        <v/>
      </c>
      <c r="F436">
        <f>AND(k_n&gt;=5,B436&gt;A436+1E-9,C436&gt;=2,D436&gt;=1,E436&gt;=2)</f>
        <v/>
      </c>
      <c r="G436">
        <f>SUMPRODUCT(Calc!$K$3:$K$22*(Calc!$G$3:$G$22&gt;A436)*(Calc!$G$3:$G$22-A436))</f>
        <v/>
      </c>
      <c r="H436">
        <f>SUMPRODUCT(Calc!$K$3:$K$22*(Calc!$G$3:$G$22&gt;B436)*(Calc!$G$3:$G$22-B436))</f>
        <v/>
      </c>
      <c r="I436">
        <f>SUMPRODUCT(Calc!$K$3:$K$22*(Calc!$G$3:$G$22&gt;A436)*(Calc!$G$3:$G$22-A436)^2)</f>
        <v/>
      </c>
      <c r="J436">
        <f>SUMPRODUCT(Calc!$K$3:$K$22*(Calc!$G$3:$G$22&gt;B436)*(Calc!$G$3:$G$22-B436)^2)</f>
        <v/>
      </c>
      <c r="K436">
        <f>SUMPRODUCT(Calc!$K$3:$K$22*(Calc!$G$3:$G$22&gt;A436)*(Calc!$G$3:$G$22-A436)*(Calc!$G$3:$G$22&gt;B436)*(Calc!$G$3:$G$22-B436))</f>
        <v/>
      </c>
      <c r="L436">
        <f>SUMPRODUCT(Calc!$K$3:$K$22*(Calc!$G$3:$G$22&gt;A436)*(Calc!$G$3:$G$22-A436)*Calc!$G$3:$G$22)</f>
        <v/>
      </c>
      <c r="M436">
        <f>SUMPRODUCT(Calc!$K$3:$K$22*(Calc!$G$3:$G$22&gt;B436)*(Calc!$G$3:$G$22-B436)*Calc!$G$3:$G$22)</f>
        <v/>
      </c>
      <c r="N436">
        <f>SUMPRODUCT(Calc!$K$3:$K$22*(Calc!$G$3:$G$22&gt;A436)*(Calc!$G$3:$G$22-A436)*Calc!$I$3:$I$22)</f>
        <v/>
      </c>
      <c r="O436">
        <f>SUMPRODUCT(Calc!$K$3:$K$22*(Calc!$G$3:$G$22&gt;B436)*(Calc!$G$3:$G$22-B436)*Calc!$I$3:$I$22)</f>
        <v/>
      </c>
      <c r="P436">
        <f>I436-G436^2/k_n</f>
        <v/>
      </c>
      <c r="Q436">
        <f>J436-H436^2/k_n</f>
        <v/>
      </c>
      <c r="R436">
        <f>K436-G436*H436/k_n</f>
        <v/>
      </c>
      <c r="S436">
        <f>L436-LTP3!$D$3*G436/k_n</f>
        <v/>
      </c>
      <c r="T436">
        <f>M436-LTP3!$D$3*H436/k_n</f>
        <v/>
      </c>
      <c r="U436">
        <f>N436-G436*LTP3!$D$4/k_n</f>
        <v/>
      </c>
      <c r="V436">
        <f>O436-H436*LTP3!$D$4/k_n</f>
        <v/>
      </c>
      <c r="W436">
        <f>((LTP3!$D$5)*((P436)*(Q436)-(R436)*(R436))-(S436)*((S436)*(Q436)-(R436)*(T436))+(T436)*((S436)*(R436)-(P436)*(T436)))</f>
        <v/>
      </c>
      <c r="X436">
        <f>IF(ABS(W436)&gt;1E-12,((LTP3!$D$6)*((P436)*(Q436)-(R436)*(R436))-(S436)*((U436)*(Q436)-(R436)*(V436))+(T436)*((U436)*(R436)-(P436)*(V436)))/W436,0)</f>
        <v/>
      </c>
      <c r="Y436">
        <f>IF(ABS(W436)&gt;1E-12,((LTP3!$D$5)*((U436)*(Q436)-(R436)*(V436))-(LTP3!$D$6)*((S436)*(Q436)-(R436)*(T436))+(T436)*((S436)*(V436)-(U436)*(T436)))/W436,0)</f>
        <v/>
      </c>
      <c r="Z436">
        <f>IF(ABS(W436)&gt;1E-12,((LTP3!$D$5)*((P436)*(V436)-(U436)*(R436))-(S436)*((S436)*(V436)-(U436)*(T436))+(LTP3!$D$6)*((S436)*(R436)-(P436)*(T436)))/W436,0)</f>
        <v/>
      </c>
      <c r="AA436">
        <f>LTP3!$D$7-X436*LTP3!$D$6-Y436*U436-Z436*V436</f>
        <v/>
      </c>
      <c r="AB436">
        <f>IF(AND(F436,ABS(W436)&gt;1E-12,Y436&gt;0,Z436&gt;0),AA436,1E+300)</f>
        <v/>
      </c>
    </row>
    <row r="437">
      <c r="A437">
        <f>$B$3+$B$5*6</f>
        <v/>
      </c>
      <c r="B437">
        <f>$B$3+$B$5*59</f>
        <v/>
      </c>
      <c r="C437">
        <f>SUMPRODUCT(Calc!$K$3:$K$22*(Calc!$G$3:$G$22&lt;=A437))</f>
        <v/>
      </c>
      <c r="D437">
        <f>SUMPRODUCT(Calc!$K$3:$K$22*(Calc!$G$3:$G$22&gt;A437)*(Calc!$G$3:$G$22&lt;B437))</f>
        <v/>
      </c>
      <c r="E437">
        <f>SUMPRODUCT(Calc!$K$3:$K$22*(Calc!$G$3:$G$22&gt;=B437))</f>
        <v/>
      </c>
      <c r="F437">
        <f>AND(k_n&gt;=5,B437&gt;A437+1E-9,C437&gt;=2,D437&gt;=1,E437&gt;=2)</f>
        <v/>
      </c>
      <c r="G437">
        <f>SUMPRODUCT(Calc!$K$3:$K$22*(Calc!$G$3:$G$22&gt;A437)*(Calc!$G$3:$G$22-A437))</f>
        <v/>
      </c>
      <c r="H437">
        <f>SUMPRODUCT(Calc!$K$3:$K$22*(Calc!$G$3:$G$22&gt;B437)*(Calc!$G$3:$G$22-B437))</f>
        <v/>
      </c>
      <c r="I437">
        <f>SUMPRODUCT(Calc!$K$3:$K$22*(Calc!$G$3:$G$22&gt;A437)*(Calc!$G$3:$G$22-A437)^2)</f>
        <v/>
      </c>
      <c r="J437">
        <f>SUMPRODUCT(Calc!$K$3:$K$22*(Calc!$G$3:$G$22&gt;B437)*(Calc!$G$3:$G$22-B437)^2)</f>
        <v/>
      </c>
      <c r="K437">
        <f>SUMPRODUCT(Calc!$K$3:$K$22*(Calc!$G$3:$G$22&gt;A437)*(Calc!$G$3:$G$22-A437)*(Calc!$G$3:$G$22&gt;B437)*(Calc!$G$3:$G$22-B437))</f>
        <v/>
      </c>
      <c r="L437">
        <f>SUMPRODUCT(Calc!$K$3:$K$22*(Calc!$G$3:$G$22&gt;A437)*(Calc!$G$3:$G$22-A437)*Calc!$G$3:$G$22)</f>
        <v/>
      </c>
      <c r="M437">
        <f>SUMPRODUCT(Calc!$K$3:$K$22*(Calc!$G$3:$G$22&gt;B437)*(Calc!$G$3:$G$22-B437)*Calc!$G$3:$G$22)</f>
        <v/>
      </c>
      <c r="N437">
        <f>SUMPRODUCT(Calc!$K$3:$K$22*(Calc!$G$3:$G$22&gt;A437)*(Calc!$G$3:$G$22-A437)*Calc!$I$3:$I$22)</f>
        <v/>
      </c>
      <c r="O437">
        <f>SUMPRODUCT(Calc!$K$3:$K$22*(Calc!$G$3:$G$22&gt;B437)*(Calc!$G$3:$G$22-B437)*Calc!$I$3:$I$22)</f>
        <v/>
      </c>
      <c r="P437">
        <f>I437-G437^2/k_n</f>
        <v/>
      </c>
      <c r="Q437">
        <f>J437-H437^2/k_n</f>
        <v/>
      </c>
      <c r="R437">
        <f>K437-G437*H437/k_n</f>
        <v/>
      </c>
      <c r="S437">
        <f>L437-LTP3!$D$3*G437/k_n</f>
        <v/>
      </c>
      <c r="T437">
        <f>M437-LTP3!$D$3*H437/k_n</f>
        <v/>
      </c>
      <c r="U437">
        <f>N437-G437*LTP3!$D$4/k_n</f>
        <v/>
      </c>
      <c r="V437">
        <f>O437-H437*LTP3!$D$4/k_n</f>
        <v/>
      </c>
      <c r="W437">
        <f>((LTP3!$D$5)*((P437)*(Q437)-(R437)*(R437))-(S437)*((S437)*(Q437)-(R437)*(T437))+(T437)*((S437)*(R437)-(P437)*(T437)))</f>
        <v/>
      </c>
      <c r="X437">
        <f>IF(ABS(W437)&gt;1E-12,((LTP3!$D$6)*((P437)*(Q437)-(R437)*(R437))-(S437)*((U437)*(Q437)-(R437)*(V437))+(T437)*((U437)*(R437)-(P437)*(V437)))/W437,0)</f>
        <v/>
      </c>
      <c r="Y437">
        <f>IF(ABS(W437)&gt;1E-12,((LTP3!$D$5)*((U437)*(Q437)-(R437)*(V437))-(LTP3!$D$6)*((S437)*(Q437)-(R437)*(T437))+(T437)*((S437)*(V437)-(U437)*(T437)))/W437,0)</f>
        <v/>
      </c>
      <c r="Z437">
        <f>IF(ABS(W437)&gt;1E-12,((LTP3!$D$5)*((P437)*(V437)-(U437)*(R437))-(S437)*((S437)*(V437)-(U437)*(T437))+(LTP3!$D$6)*((S437)*(R437)-(P437)*(T437)))/W437,0)</f>
        <v/>
      </c>
      <c r="AA437">
        <f>LTP3!$D$7-X437*LTP3!$D$6-Y437*U437-Z437*V437</f>
        <v/>
      </c>
      <c r="AB437">
        <f>IF(AND(F437,ABS(W437)&gt;1E-12,Y437&gt;0,Z437&gt;0),AA437,1E+300)</f>
        <v/>
      </c>
    </row>
    <row r="438">
      <c r="A438">
        <f>$B$3+$B$5*6</f>
        <v/>
      </c>
      <c r="B438">
        <f>$B$3+$B$5*60</f>
        <v/>
      </c>
      <c r="C438">
        <f>SUMPRODUCT(Calc!$K$3:$K$22*(Calc!$G$3:$G$22&lt;=A438))</f>
        <v/>
      </c>
      <c r="D438">
        <f>SUMPRODUCT(Calc!$K$3:$K$22*(Calc!$G$3:$G$22&gt;A438)*(Calc!$G$3:$G$22&lt;B438))</f>
        <v/>
      </c>
      <c r="E438">
        <f>SUMPRODUCT(Calc!$K$3:$K$22*(Calc!$G$3:$G$22&gt;=B438))</f>
        <v/>
      </c>
      <c r="F438">
        <f>AND(k_n&gt;=5,B438&gt;A438+1E-9,C438&gt;=2,D438&gt;=1,E438&gt;=2)</f>
        <v/>
      </c>
      <c r="G438">
        <f>SUMPRODUCT(Calc!$K$3:$K$22*(Calc!$G$3:$G$22&gt;A438)*(Calc!$G$3:$G$22-A438))</f>
        <v/>
      </c>
      <c r="H438">
        <f>SUMPRODUCT(Calc!$K$3:$K$22*(Calc!$G$3:$G$22&gt;B438)*(Calc!$G$3:$G$22-B438))</f>
        <v/>
      </c>
      <c r="I438">
        <f>SUMPRODUCT(Calc!$K$3:$K$22*(Calc!$G$3:$G$22&gt;A438)*(Calc!$G$3:$G$22-A438)^2)</f>
        <v/>
      </c>
      <c r="J438">
        <f>SUMPRODUCT(Calc!$K$3:$K$22*(Calc!$G$3:$G$22&gt;B438)*(Calc!$G$3:$G$22-B438)^2)</f>
        <v/>
      </c>
      <c r="K438">
        <f>SUMPRODUCT(Calc!$K$3:$K$22*(Calc!$G$3:$G$22&gt;A438)*(Calc!$G$3:$G$22-A438)*(Calc!$G$3:$G$22&gt;B438)*(Calc!$G$3:$G$22-B438))</f>
        <v/>
      </c>
      <c r="L438">
        <f>SUMPRODUCT(Calc!$K$3:$K$22*(Calc!$G$3:$G$22&gt;A438)*(Calc!$G$3:$G$22-A438)*Calc!$G$3:$G$22)</f>
        <v/>
      </c>
      <c r="M438">
        <f>SUMPRODUCT(Calc!$K$3:$K$22*(Calc!$G$3:$G$22&gt;B438)*(Calc!$G$3:$G$22-B438)*Calc!$G$3:$G$22)</f>
        <v/>
      </c>
      <c r="N438">
        <f>SUMPRODUCT(Calc!$K$3:$K$22*(Calc!$G$3:$G$22&gt;A438)*(Calc!$G$3:$G$22-A438)*Calc!$I$3:$I$22)</f>
        <v/>
      </c>
      <c r="O438">
        <f>SUMPRODUCT(Calc!$K$3:$K$22*(Calc!$G$3:$G$22&gt;B438)*(Calc!$G$3:$G$22-B438)*Calc!$I$3:$I$22)</f>
        <v/>
      </c>
      <c r="P438">
        <f>I438-G438^2/k_n</f>
        <v/>
      </c>
      <c r="Q438">
        <f>J438-H438^2/k_n</f>
        <v/>
      </c>
      <c r="R438">
        <f>K438-G438*H438/k_n</f>
        <v/>
      </c>
      <c r="S438">
        <f>L438-LTP3!$D$3*G438/k_n</f>
        <v/>
      </c>
      <c r="T438">
        <f>M438-LTP3!$D$3*H438/k_n</f>
        <v/>
      </c>
      <c r="U438">
        <f>N438-G438*LTP3!$D$4/k_n</f>
        <v/>
      </c>
      <c r="V438">
        <f>O438-H438*LTP3!$D$4/k_n</f>
        <v/>
      </c>
      <c r="W438">
        <f>((LTP3!$D$5)*((P438)*(Q438)-(R438)*(R438))-(S438)*((S438)*(Q438)-(R438)*(T438))+(T438)*((S438)*(R438)-(P438)*(T438)))</f>
        <v/>
      </c>
      <c r="X438">
        <f>IF(ABS(W438)&gt;1E-12,((LTP3!$D$6)*((P438)*(Q438)-(R438)*(R438))-(S438)*((U438)*(Q438)-(R438)*(V438))+(T438)*((U438)*(R438)-(P438)*(V438)))/W438,0)</f>
        <v/>
      </c>
      <c r="Y438">
        <f>IF(ABS(W438)&gt;1E-12,((LTP3!$D$5)*((U438)*(Q438)-(R438)*(V438))-(LTP3!$D$6)*((S438)*(Q438)-(R438)*(T438))+(T438)*((S438)*(V438)-(U438)*(T438)))/W438,0)</f>
        <v/>
      </c>
      <c r="Z438">
        <f>IF(ABS(W438)&gt;1E-12,((LTP3!$D$5)*((P438)*(V438)-(U438)*(R438))-(S438)*((S438)*(V438)-(U438)*(T438))+(LTP3!$D$6)*((S438)*(R438)-(P438)*(T438)))/W438,0)</f>
        <v/>
      </c>
      <c r="AA438">
        <f>LTP3!$D$7-X438*LTP3!$D$6-Y438*U438-Z438*V438</f>
        <v/>
      </c>
      <c r="AB438">
        <f>IF(AND(F438,ABS(W438)&gt;1E-12,Y438&gt;0,Z438&gt;0),AA438,1E+300)</f>
        <v/>
      </c>
    </row>
    <row r="439">
      <c r="A439">
        <f>$B$3+$B$5*7</f>
        <v/>
      </c>
      <c r="B439">
        <f>$B$3+$B$5*0</f>
        <v/>
      </c>
      <c r="C439">
        <f>SUMPRODUCT(Calc!$K$3:$K$22*(Calc!$G$3:$G$22&lt;=A439))</f>
        <v/>
      </c>
      <c r="D439">
        <f>SUMPRODUCT(Calc!$K$3:$K$22*(Calc!$G$3:$G$22&gt;A439)*(Calc!$G$3:$G$22&lt;B439))</f>
        <v/>
      </c>
      <c r="E439">
        <f>SUMPRODUCT(Calc!$K$3:$K$22*(Calc!$G$3:$G$22&gt;=B439))</f>
        <v/>
      </c>
      <c r="F439">
        <f>AND(k_n&gt;=5,B439&gt;A439+1E-9,C439&gt;=2,D439&gt;=1,E439&gt;=2)</f>
        <v/>
      </c>
      <c r="G439">
        <f>SUMPRODUCT(Calc!$K$3:$K$22*(Calc!$G$3:$G$22&gt;A439)*(Calc!$G$3:$G$22-A439))</f>
        <v/>
      </c>
      <c r="H439">
        <f>SUMPRODUCT(Calc!$K$3:$K$22*(Calc!$G$3:$G$22&gt;B439)*(Calc!$G$3:$G$22-B439))</f>
        <v/>
      </c>
      <c r="I439">
        <f>SUMPRODUCT(Calc!$K$3:$K$22*(Calc!$G$3:$G$22&gt;A439)*(Calc!$G$3:$G$22-A439)^2)</f>
        <v/>
      </c>
      <c r="J439">
        <f>SUMPRODUCT(Calc!$K$3:$K$22*(Calc!$G$3:$G$22&gt;B439)*(Calc!$G$3:$G$22-B439)^2)</f>
        <v/>
      </c>
      <c r="K439">
        <f>SUMPRODUCT(Calc!$K$3:$K$22*(Calc!$G$3:$G$22&gt;A439)*(Calc!$G$3:$G$22-A439)*(Calc!$G$3:$G$22&gt;B439)*(Calc!$G$3:$G$22-B439))</f>
        <v/>
      </c>
      <c r="L439">
        <f>SUMPRODUCT(Calc!$K$3:$K$22*(Calc!$G$3:$G$22&gt;A439)*(Calc!$G$3:$G$22-A439)*Calc!$G$3:$G$22)</f>
        <v/>
      </c>
      <c r="M439">
        <f>SUMPRODUCT(Calc!$K$3:$K$22*(Calc!$G$3:$G$22&gt;B439)*(Calc!$G$3:$G$22-B439)*Calc!$G$3:$G$22)</f>
        <v/>
      </c>
      <c r="N439">
        <f>SUMPRODUCT(Calc!$K$3:$K$22*(Calc!$G$3:$G$22&gt;A439)*(Calc!$G$3:$G$22-A439)*Calc!$I$3:$I$22)</f>
        <v/>
      </c>
      <c r="O439">
        <f>SUMPRODUCT(Calc!$K$3:$K$22*(Calc!$G$3:$G$22&gt;B439)*(Calc!$G$3:$G$22-B439)*Calc!$I$3:$I$22)</f>
        <v/>
      </c>
      <c r="P439">
        <f>I439-G439^2/k_n</f>
        <v/>
      </c>
      <c r="Q439">
        <f>J439-H439^2/k_n</f>
        <v/>
      </c>
      <c r="R439">
        <f>K439-G439*H439/k_n</f>
        <v/>
      </c>
      <c r="S439">
        <f>L439-LTP3!$D$3*G439/k_n</f>
        <v/>
      </c>
      <c r="T439">
        <f>M439-LTP3!$D$3*H439/k_n</f>
        <v/>
      </c>
      <c r="U439">
        <f>N439-G439*LTP3!$D$4/k_n</f>
        <v/>
      </c>
      <c r="V439">
        <f>O439-H439*LTP3!$D$4/k_n</f>
        <v/>
      </c>
      <c r="W439">
        <f>((LTP3!$D$5)*((P439)*(Q439)-(R439)*(R439))-(S439)*((S439)*(Q439)-(R439)*(T439))+(T439)*((S439)*(R439)-(P439)*(T439)))</f>
        <v/>
      </c>
      <c r="X439">
        <f>IF(ABS(W439)&gt;1E-12,((LTP3!$D$6)*((P439)*(Q439)-(R439)*(R439))-(S439)*((U439)*(Q439)-(R439)*(V439))+(T439)*((U439)*(R439)-(P439)*(V439)))/W439,0)</f>
        <v/>
      </c>
      <c r="Y439">
        <f>IF(ABS(W439)&gt;1E-12,((LTP3!$D$5)*((U439)*(Q439)-(R439)*(V439))-(LTP3!$D$6)*((S439)*(Q439)-(R439)*(T439))+(T439)*((S439)*(V439)-(U439)*(T439)))/W439,0)</f>
        <v/>
      </c>
      <c r="Z439">
        <f>IF(ABS(W439)&gt;1E-12,((LTP3!$D$5)*((P439)*(V439)-(U439)*(R439))-(S439)*((S439)*(V439)-(U439)*(T439))+(LTP3!$D$6)*((S439)*(R439)-(P439)*(T439)))/W439,0)</f>
        <v/>
      </c>
      <c r="AA439">
        <f>LTP3!$D$7-X439*LTP3!$D$6-Y439*U439-Z439*V439</f>
        <v/>
      </c>
      <c r="AB439">
        <f>IF(AND(F439,ABS(W439)&gt;1E-12,Y439&gt;0,Z439&gt;0),AA439,1E+300)</f>
        <v/>
      </c>
    </row>
    <row r="440">
      <c r="A440">
        <f>$B$3+$B$5*7</f>
        <v/>
      </c>
      <c r="B440">
        <f>$B$3+$B$5*1</f>
        <v/>
      </c>
      <c r="C440">
        <f>SUMPRODUCT(Calc!$K$3:$K$22*(Calc!$G$3:$G$22&lt;=A440))</f>
        <v/>
      </c>
      <c r="D440">
        <f>SUMPRODUCT(Calc!$K$3:$K$22*(Calc!$G$3:$G$22&gt;A440)*(Calc!$G$3:$G$22&lt;B440))</f>
        <v/>
      </c>
      <c r="E440">
        <f>SUMPRODUCT(Calc!$K$3:$K$22*(Calc!$G$3:$G$22&gt;=B440))</f>
        <v/>
      </c>
      <c r="F440">
        <f>AND(k_n&gt;=5,B440&gt;A440+1E-9,C440&gt;=2,D440&gt;=1,E440&gt;=2)</f>
        <v/>
      </c>
      <c r="G440">
        <f>SUMPRODUCT(Calc!$K$3:$K$22*(Calc!$G$3:$G$22&gt;A440)*(Calc!$G$3:$G$22-A440))</f>
        <v/>
      </c>
      <c r="H440">
        <f>SUMPRODUCT(Calc!$K$3:$K$22*(Calc!$G$3:$G$22&gt;B440)*(Calc!$G$3:$G$22-B440))</f>
        <v/>
      </c>
      <c r="I440">
        <f>SUMPRODUCT(Calc!$K$3:$K$22*(Calc!$G$3:$G$22&gt;A440)*(Calc!$G$3:$G$22-A440)^2)</f>
        <v/>
      </c>
      <c r="J440">
        <f>SUMPRODUCT(Calc!$K$3:$K$22*(Calc!$G$3:$G$22&gt;B440)*(Calc!$G$3:$G$22-B440)^2)</f>
        <v/>
      </c>
      <c r="K440">
        <f>SUMPRODUCT(Calc!$K$3:$K$22*(Calc!$G$3:$G$22&gt;A440)*(Calc!$G$3:$G$22-A440)*(Calc!$G$3:$G$22&gt;B440)*(Calc!$G$3:$G$22-B440))</f>
        <v/>
      </c>
      <c r="L440">
        <f>SUMPRODUCT(Calc!$K$3:$K$22*(Calc!$G$3:$G$22&gt;A440)*(Calc!$G$3:$G$22-A440)*Calc!$G$3:$G$22)</f>
        <v/>
      </c>
      <c r="M440">
        <f>SUMPRODUCT(Calc!$K$3:$K$22*(Calc!$G$3:$G$22&gt;B440)*(Calc!$G$3:$G$22-B440)*Calc!$G$3:$G$22)</f>
        <v/>
      </c>
      <c r="N440">
        <f>SUMPRODUCT(Calc!$K$3:$K$22*(Calc!$G$3:$G$22&gt;A440)*(Calc!$G$3:$G$22-A440)*Calc!$I$3:$I$22)</f>
        <v/>
      </c>
      <c r="O440">
        <f>SUMPRODUCT(Calc!$K$3:$K$22*(Calc!$G$3:$G$22&gt;B440)*(Calc!$G$3:$G$22-B440)*Calc!$I$3:$I$22)</f>
        <v/>
      </c>
      <c r="P440">
        <f>I440-G440^2/k_n</f>
        <v/>
      </c>
      <c r="Q440">
        <f>J440-H440^2/k_n</f>
        <v/>
      </c>
      <c r="R440">
        <f>K440-G440*H440/k_n</f>
        <v/>
      </c>
      <c r="S440">
        <f>L440-LTP3!$D$3*G440/k_n</f>
        <v/>
      </c>
      <c r="T440">
        <f>M440-LTP3!$D$3*H440/k_n</f>
        <v/>
      </c>
      <c r="U440">
        <f>N440-G440*LTP3!$D$4/k_n</f>
        <v/>
      </c>
      <c r="V440">
        <f>O440-H440*LTP3!$D$4/k_n</f>
        <v/>
      </c>
      <c r="W440">
        <f>((LTP3!$D$5)*((P440)*(Q440)-(R440)*(R440))-(S440)*((S440)*(Q440)-(R440)*(T440))+(T440)*((S440)*(R440)-(P440)*(T440)))</f>
        <v/>
      </c>
      <c r="X440">
        <f>IF(ABS(W440)&gt;1E-12,((LTP3!$D$6)*((P440)*(Q440)-(R440)*(R440))-(S440)*((U440)*(Q440)-(R440)*(V440))+(T440)*((U440)*(R440)-(P440)*(V440)))/W440,0)</f>
        <v/>
      </c>
      <c r="Y440">
        <f>IF(ABS(W440)&gt;1E-12,((LTP3!$D$5)*((U440)*(Q440)-(R440)*(V440))-(LTP3!$D$6)*((S440)*(Q440)-(R440)*(T440))+(T440)*((S440)*(V440)-(U440)*(T440)))/W440,0)</f>
        <v/>
      </c>
      <c r="Z440">
        <f>IF(ABS(W440)&gt;1E-12,((LTP3!$D$5)*((P440)*(V440)-(U440)*(R440))-(S440)*((S440)*(V440)-(U440)*(T440))+(LTP3!$D$6)*((S440)*(R440)-(P440)*(T440)))/W440,0)</f>
        <v/>
      </c>
      <c r="AA440">
        <f>LTP3!$D$7-X440*LTP3!$D$6-Y440*U440-Z440*V440</f>
        <v/>
      </c>
      <c r="AB440">
        <f>IF(AND(F440,ABS(W440)&gt;1E-12,Y440&gt;0,Z440&gt;0),AA440,1E+300)</f>
        <v/>
      </c>
    </row>
    <row r="441">
      <c r="A441">
        <f>$B$3+$B$5*7</f>
        <v/>
      </c>
      <c r="B441">
        <f>$B$3+$B$5*2</f>
        <v/>
      </c>
      <c r="C441">
        <f>SUMPRODUCT(Calc!$K$3:$K$22*(Calc!$G$3:$G$22&lt;=A441))</f>
        <v/>
      </c>
      <c r="D441">
        <f>SUMPRODUCT(Calc!$K$3:$K$22*(Calc!$G$3:$G$22&gt;A441)*(Calc!$G$3:$G$22&lt;B441))</f>
        <v/>
      </c>
      <c r="E441">
        <f>SUMPRODUCT(Calc!$K$3:$K$22*(Calc!$G$3:$G$22&gt;=B441))</f>
        <v/>
      </c>
      <c r="F441">
        <f>AND(k_n&gt;=5,B441&gt;A441+1E-9,C441&gt;=2,D441&gt;=1,E441&gt;=2)</f>
        <v/>
      </c>
      <c r="G441">
        <f>SUMPRODUCT(Calc!$K$3:$K$22*(Calc!$G$3:$G$22&gt;A441)*(Calc!$G$3:$G$22-A441))</f>
        <v/>
      </c>
      <c r="H441">
        <f>SUMPRODUCT(Calc!$K$3:$K$22*(Calc!$G$3:$G$22&gt;B441)*(Calc!$G$3:$G$22-B441))</f>
        <v/>
      </c>
      <c r="I441">
        <f>SUMPRODUCT(Calc!$K$3:$K$22*(Calc!$G$3:$G$22&gt;A441)*(Calc!$G$3:$G$22-A441)^2)</f>
        <v/>
      </c>
      <c r="J441">
        <f>SUMPRODUCT(Calc!$K$3:$K$22*(Calc!$G$3:$G$22&gt;B441)*(Calc!$G$3:$G$22-B441)^2)</f>
        <v/>
      </c>
      <c r="K441">
        <f>SUMPRODUCT(Calc!$K$3:$K$22*(Calc!$G$3:$G$22&gt;A441)*(Calc!$G$3:$G$22-A441)*(Calc!$G$3:$G$22&gt;B441)*(Calc!$G$3:$G$22-B441))</f>
        <v/>
      </c>
      <c r="L441">
        <f>SUMPRODUCT(Calc!$K$3:$K$22*(Calc!$G$3:$G$22&gt;A441)*(Calc!$G$3:$G$22-A441)*Calc!$G$3:$G$22)</f>
        <v/>
      </c>
      <c r="M441">
        <f>SUMPRODUCT(Calc!$K$3:$K$22*(Calc!$G$3:$G$22&gt;B441)*(Calc!$G$3:$G$22-B441)*Calc!$G$3:$G$22)</f>
        <v/>
      </c>
      <c r="N441">
        <f>SUMPRODUCT(Calc!$K$3:$K$22*(Calc!$G$3:$G$22&gt;A441)*(Calc!$G$3:$G$22-A441)*Calc!$I$3:$I$22)</f>
        <v/>
      </c>
      <c r="O441">
        <f>SUMPRODUCT(Calc!$K$3:$K$22*(Calc!$G$3:$G$22&gt;B441)*(Calc!$G$3:$G$22-B441)*Calc!$I$3:$I$22)</f>
        <v/>
      </c>
      <c r="P441">
        <f>I441-G441^2/k_n</f>
        <v/>
      </c>
      <c r="Q441">
        <f>J441-H441^2/k_n</f>
        <v/>
      </c>
      <c r="R441">
        <f>K441-G441*H441/k_n</f>
        <v/>
      </c>
      <c r="S441">
        <f>L441-LTP3!$D$3*G441/k_n</f>
        <v/>
      </c>
      <c r="T441">
        <f>M441-LTP3!$D$3*H441/k_n</f>
        <v/>
      </c>
      <c r="U441">
        <f>N441-G441*LTP3!$D$4/k_n</f>
        <v/>
      </c>
      <c r="V441">
        <f>O441-H441*LTP3!$D$4/k_n</f>
        <v/>
      </c>
      <c r="W441">
        <f>((LTP3!$D$5)*((P441)*(Q441)-(R441)*(R441))-(S441)*((S441)*(Q441)-(R441)*(T441))+(T441)*((S441)*(R441)-(P441)*(T441)))</f>
        <v/>
      </c>
      <c r="X441">
        <f>IF(ABS(W441)&gt;1E-12,((LTP3!$D$6)*((P441)*(Q441)-(R441)*(R441))-(S441)*((U441)*(Q441)-(R441)*(V441))+(T441)*((U441)*(R441)-(P441)*(V441)))/W441,0)</f>
        <v/>
      </c>
      <c r="Y441">
        <f>IF(ABS(W441)&gt;1E-12,((LTP3!$D$5)*((U441)*(Q441)-(R441)*(V441))-(LTP3!$D$6)*((S441)*(Q441)-(R441)*(T441))+(T441)*((S441)*(V441)-(U441)*(T441)))/W441,0)</f>
        <v/>
      </c>
      <c r="Z441">
        <f>IF(ABS(W441)&gt;1E-12,((LTP3!$D$5)*((P441)*(V441)-(U441)*(R441))-(S441)*((S441)*(V441)-(U441)*(T441))+(LTP3!$D$6)*((S441)*(R441)-(P441)*(T441)))/W441,0)</f>
        <v/>
      </c>
      <c r="AA441">
        <f>LTP3!$D$7-X441*LTP3!$D$6-Y441*U441-Z441*V441</f>
        <v/>
      </c>
      <c r="AB441">
        <f>IF(AND(F441,ABS(W441)&gt;1E-12,Y441&gt;0,Z441&gt;0),AA441,1E+300)</f>
        <v/>
      </c>
    </row>
    <row r="442">
      <c r="A442">
        <f>$B$3+$B$5*7</f>
        <v/>
      </c>
      <c r="B442">
        <f>$B$3+$B$5*3</f>
        <v/>
      </c>
      <c r="C442">
        <f>SUMPRODUCT(Calc!$K$3:$K$22*(Calc!$G$3:$G$22&lt;=A442))</f>
        <v/>
      </c>
      <c r="D442">
        <f>SUMPRODUCT(Calc!$K$3:$K$22*(Calc!$G$3:$G$22&gt;A442)*(Calc!$G$3:$G$22&lt;B442))</f>
        <v/>
      </c>
      <c r="E442">
        <f>SUMPRODUCT(Calc!$K$3:$K$22*(Calc!$G$3:$G$22&gt;=B442))</f>
        <v/>
      </c>
      <c r="F442">
        <f>AND(k_n&gt;=5,B442&gt;A442+1E-9,C442&gt;=2,D442&gt;=1,E442&gt;=2)</f>
        <v/>
      </c>
      <c r="G442">
        <f>SUMPRODUCT(Calc!$K$3:$K$22*(Calc!$G$3:$G$22&gt;A442)*(Calc!$G$3:$G$22-A442))</f>
        <v/>
      </c>
      <c r="H442">
        <f>SUMPRODUCT(Calc!$K$3:$K$22*(Calc!$G$3:$G$22&gt;B442)*(Calc!$G$3:$G$22-B442))</f>
        <v/>
      </c>
      <c r="I442">
        <f>SUMPRODUCT(Calc!$K$3:$K$22*(Calc!$G$3:$G$22&gt;A442)*(Calc!$G$3:$G$22-A442)^2)</f>
        <v/>
      </c>
      <c r="J442">
        <f>SUMPRODUCT(Calc!$K$3:$K$22*(Calc!$G$3:$G$22&gt;B442)*(Calc!$G$3:$G$22-B442)^2)</f>
        <v/>
      </c>
      <c r="K442">
        <f>SUMPRODUCT(Calc!$K$3:$K$22*(Calc!$G$3:$G$22&gt;A442)*(Calc!$G$3:$G$22-A442)*(Calc!$G$3:$G$22&gt;B442)*(Calc!$G$3:$G$22-B442))</f>
        <v/>
      </c>
      <c r="L442">
        <f>SUMPRODUCT(Calc!$K$3:$K$22*(Calc!$G$3:$G$22&gt;A442)*(Calc!$G$3:$G$22-A442)*Calc!$G$3:$G$22)</f>
        <v/>
      </c>
      <c r="M442">
        <f>SUMPRODUCT(Calc!$K$3:$K$22*(Calc!$G$3:$G$22&gt;B442)*(Calc!$G$3:$G$22-B442)*Calc!$G$3:$G$22)</f>
        <v/>
      </c>
      <c r="N442">
        <f>SUMPRODUCT(Calc!$K$3:$K$22*(Calc!$G$3:$G$22&gt;A442)*(Calc!$G$3:$G$22-A442)*Calc!$I$3:$I$22)</f>
        <v/>
      </c>
      <c r="O442">
        <f>SUMPRODUCT(Calc!$K$3:$K$22*(Calc!$G$3:$G$22&gt;B442)*(Calc!$G$3:$G$22-B442)*Calc!$I$3:$I$22)</f>
        <v/>
      </c>
      <c r="P442">
        <f>I442-G442^2/k_n</f>
        <v/>
      </c>
      <c r="Q442">
        <f>J442-H442^2/k_n</f>
        <v/>
      </c>
      <c r="R442">
        <f>K442-G442*H442/k_n</f>
        <v/>
      </c>
      <c r="S442">
        <f>L442-LTP3!$D$3*G442/k_n</f>
        <v/>
      </c>
      <c r="T442">
        <f>M442-LTP3!$D$3*H442/k_n</f>
        <v/>
      </c>
      <c r="U442">
        <f>N442-G442*LTP3!$D$4/k_n</f>
        <v/>
      </c>
      <c r="V442">
        <f>O442-H442*LTP3!$D$4/k_n</f>
        <v/>
      </c>
      <c r="W442">
        <f>((LTP3!$D$5)*((P442)*(Q442)-(R442)*(R442))-(S442)*((S442)*(Q442)-(R442)*(T442))+(T442)*((S442)*(R442)-(P442)*(T442)))</f>
        <v/>
      </c>
      <c r="X442">
        <f>IF(ABS(W442)&gt;1E-12,((LTP3!$D$6)*((P442)*(Q442)-(R442)*(R442))-(S442)*((U442)*(Q442)-(R442)*(V442))+(T442)*((U442)*(R442)-(P442)*(V442)))/W442,0)</f>
        <v/>
      </c>
      <c r="Y442">
        <f>IF(ABS(W442)&gt;1E-12,((LTP3!$D$5)*((U442)*(Q442)-(R442)*(V442))-(LTP3!$D$6)*((S442)*(Q442)-(R442)*(T442))+(T442)*((S442)*(V442)-(U442)*(T442)))/W442,0)</f>
        <v/>
      </c>
      <c r="Z442">
        <f>IF(ABS(W442)&gt;1E-12,((LTP3!$D$5)*((P442)*(V442)-(U442)*(R442))-(S442)*((S442)*(V442)-(U442)*(T442))+(LTP3!$D$6)*((S442)*(R442)-(P442)*(T442)))/W442,0)</f>
        <v/>
      </c>
      <c r="AA442">
        <f>LTP3!$D$7-X442*LTP3!$D$6-Y442*U442-Z442*V442</f>
        <v/>
      </c>
      <c r="AB442">
        <f>IF(AND(F442,ABS(W442)&gt;1E-12,Y442&gt;0,Z442&gt;0),AA442,1E+300)</f>
        <v/>
      </c>
    </row>
    <row r="443">
      <c r="A443">
        <f>$B$3+$B$5*7</f>
        <v/>
      </c>
      <c r="B443">
        <f>$B$3+$B$5*4</f>
        <v/>
      </c>
      <c r="C443">
        <f>SUMPRODUCT(Calc!$K$3:$K$22*(Calc!$G$3:$G$22&lt;=A443))</f>
        <v/>
      </c>
      <c r="D443">
        <f>SUMPRODUCT(Calc!$K$3:$K$22*(Calc!$G$3:$G$22&gt;A443)*(Calc!$G$3:$G$22&lt;B443))</f>
        <v/>
      </c>
      <c r="E443">
        <f>SUMPRODUCT(Calc!$K$3:$K$22*(Calc!$G$3:$G$22&gt;=B443))</f>
        <v/>
      </c>
      <c r="F443">
        <f>AND(k_n&gt;=5,B443&gt;A443+1E-9,C443&gt;=2,D443&gt;=1,E443&gt;=2)</f>
        <v/>
      </c>
      <c r="G443">
        <f>SUMPRODUCT(Calc!$K$3:$K$22*(Calc!$G$3:$G$22&gt;A443)*(Calc!$G$3:$G$22-A443))</f>
        <v/>
      </c>
      <c r="H443">
        <f>SUMPRODUCT(Calc!$K$3:$K$22*(Calc!$G$3:$G$22&gt;B443)*(Calc!$G$3:$G$22-B443))</f>
        <v/>
      </c>
      <c r="I443">
        <f>SUMPRODUCT(Calc!$K$3:$K$22*(Calc!$G$3:$G$22&gt;A443)*(Calc!$G$3:$G$22-A443)^2)</f>
        <v/>
      </c>
      <c r="J443">
        <f>SUMPRODUCT(Calc!$K$3:$K$22*(Calc!$G$3:$G$22&gt;B443)*(Calc!$G$3:$G$22-B443)^2)</f>
        <v/>
      </c>
      <c r="K443">
        <f>SUMPRODUCT(Calc!$K$3:$K$22*(Calc!$G$3:$G$22&gt;A443)*(Calc!$G$3:$G$22-A443)*(Calc!$G$3:$G$22&gt;B443)*(Calc!$G$3:$G$22-B443))</f>
        <v/>
      </c>
      <c r="L443">
        <f>SUMPRODUCT(Calc!$K$3:$K$22*(Calc!$G$3:$G$22&gt;A443)*(Calc!$G$3:$G$22-A443)*Calc!$G$3:$G$22)</f>
        <v/>
      </c>
      <c r="M443">
        <f>SUMPRODUCT(Calc!$K$3:$K$22*(Calc!$G$3:$G$22&gt;B443)*(Calc!$G$3:$G$22-B443)*Calc!$G$3:$G$22)</f>
        <v/>
      </c>
      <c r="N443">
        <f>SUMPRODUCT(Calc!$K$3:$K$22*(Calc!$G$3:$G$22&gt;A443)*(Calc!$G$3:$G$22-A443)*Calc!$I$3:$I$22)</f>
        <v/>
      </c>
      <c r="O443">
        <f>SUMPRODUCT(Calc!$K$3:$K$22*(Calc!$G$3:$G$22&gt;B443)*(Calc!$G$3:$G$22-B443)*Calc!$I$3:$I$22)</f>
        <v/>
      </c>
      <c r="P443">
        <f>I443-G443^2/k_n</f>
        <v/>
      </c>
      <c r="Q443">
        <f>J443-H443^2/k_n</f>
        <v/>
      </c>
      <c r="R443">
        <f>K443-G443*H443/k_n</f>
        <v/>
      </c>
      <c r="S443">
        <f>L443-LTP3!$D$3*G443/k_n</f>
        <v/>
      </c>
      <c r="T443">
        <f>M443-LTP3!$D$3*H443/k_n</f>
        <v/>
      </c>
      <c r="U443">
        <f>N443-G443*LTP3!$D$4/k_n</f>
        <v/>
      </c>
      <c r="V443">
        <f>O443-H443*LTP3!$D$4/k_n</f>
        <v/>
      </c>
      <c r="W443">
        <f>((LTP3!$D$5)*((P443)*(Q443)-(R443)*(R443))-(S443)*((S443)*(Q443)-(R443)*(T443))+(T443)*((S443)*(R443)-(P443)*(T443)))</f>
        <v/>
      </c>
      <c r="X443">
        <f>IF(ABS(W443)&gt;1E-12,((LTP3!$D$6)*((P443)*(Q443)-(R443)*(R443))-(S443)*((U443)*(Q443)-(R443)*(V443))+(T443)*((U443)*(R443)-(P443)*(V443)))/W443,0)</f>
        <v/>
      </c>
      <c r="Y443">
        <f>IF(ABS(W443)&gt;1E-12,((LTP3!$D$5)*((U443)*(Q443)-(R443)*(V443))-(LTP3!$D$6)*((S443)*(Q443)-(R443)*(T443))+(T443)*((S443)*(V443)-(U443)*(T443)))/W443,0)</f>
        <v/>
      </c>
      <c r="Z443">
        <f>IF(ABS(W443)&gt;1E-12,((LTP3!$D$5)*((P443)*(V443)-(U443)*(R443))-(S443)*((S443)*(V443)-(U443)*(T443))+(LTP3!$D$6)*((S443)*(R443)-(P443)*(T443)))/W443,0)</f>
        <v/>
      </c>
      <c r="AA443">
        <f>LTP3!$D$7-X443*LTP3!$D$6-Y443*U443-Z443*V443</f>
        <v/>
      </c>
      <c r="AB443">
        <f>IF(AND(F443,ABS(W443)&gt;1E-12,Y443&gt;0,Z443&gt;0),AA443,1E+300)</f>
        <v/>
      </c>
    </row>
    <row r="444">
      <c r="A444">
        <f>$B$3+$B$5*7</f>
        <v/>
      </c>
      <c r="B444">
        <f>$B$3+$B$5*5</f>
        <v/>
      </c>
      <c r="C444">
        <f>SUMPRODUCT(Calc!$K$3:$K$22*(Calc!$G$3:$G$22&lt;=A444))</f>
        <v/>
      </c>
      <c r="D444">
        <f>SUMPRODUCT(Calc!$K$3:$K$22*(Calc!$G$3:$G$22&gt;A444)*(Calc!$G$3:$G$22&lt;B444))</f>
        <v/>
      </c>
      <c r="E444">
        <f>SUMPRODUCT(Calc!$K$3:$K$22*(Calc!$G$3:$G$22&gt;=B444))</f>
        <v/>
      </c>
      <c r="F444">
        <f>AND(k_n&gt;=5,B444&gt;A444+1E-9,C444&gt;=2,D444&gt;=1,E444&gt;=2)</f>
        <v/>
      </c>
      <c r="G444">
        <f>SUMPRODUCT(Calc!$K$3:$K$22*(Calc!$G$3:$G$22&gt;A444)*(Calc!$G$3:$G$22-A444))</f>
        <v/>
      </c>
      <c r="H444">
        <f>SUMPRODUCT(Calc!$K$3:$K$22*(Calc!$G$3:$G$22&gt;B444)*(Calc!$G$3:$G$22-B444))</f>
        <v/>
      </c>
      <c r="I444">
        <f>SUMPRODUCT(Calc!$K$3:$K$22*(Calc!$G$3:$G$22&gt;A444)*(Calc!$G$3:$G$22-A444)^2)</f>
        <v/>
      </c>
      <c r="J444">
        <f>SUMPRODUCT(Calc!$K$3:$K$22*(Calc!$G$3:$G$22&gt;B444)*(Calc!$G$3:$G$22-B444)^2)</f>
        <v/>
      </c>
      <c r="K444">
        <f>SUMPRODUCT(Calc!$K$3:$K$22*(Calc!$G$3:$G$22&gt;A444)*(Calc!$G$3:$G$22-A444)*(Calc!$G$3:$G$22&gt;B444)*(Calc!$G$3:$G$22-B444))</f>
        <v/>
      </c>
      <c r="L444">
        <f>SUMPRODUCT(Calc!$K$3:$K$22*(Calc!$G$3:$G$22&gt;A444)*(Calc!$G$3:$G$22-A444)*Calc!$G$3:$G$22)</f>
        <v/>
      </c>
      <c r="M444">
        <f>SUMPRODUCT(Calc!$K$3:$K$22*(Calc!$G$3:$G$22&gt;B444)*(Calc!$G$3:$G$22-B444)*Calc!$G$3:$G$22)</f>
        <v/>
      </c>
      <c r="N444">
        <f>SUMPRODUCT(Calc!$K$3:$K$22*(Calc!$G$3:$G$22&gt;A444)*(Calc!$G$3:$G$22-A444)*Calc!$I$3:$I$22)</f>
        <v/>
      </c>
      <c r="O444">
        <f>SUMPRODUCT(Calc!$K$3:$K$22*(Calc!$G$3:$G$22&gt;B444)*(Calc!$G$3:$G$22-B444)*Calc!$I$3:$I$22)</f>
        <v/>
      </c>
      <c r="P444">
        <f>I444-G444^2/k_n</f>
        <v/>
      </c>
      <c r="Q444">
        <f>J444-H444^2/k_n</f>
        <v/>
      </c>
      <c r="R444">
        <f>K444-G444*H444/k_n</f>
        <v/>
      </c>
      <c r="S444">
        <f>L444-LTP3!$D$3*G444/k_n</f>
        <v/>
      </c>
      <c r="T444">
        <f>M444-LTP3!$D$3*H444/k_n</f>
        <v/>
      </c>
      <c r="U444">
        <f>N444-G444*LTP3!$D$4/k_n</f>
        <v/>
      </c>
      <c r="V444">
        <f>O444-H444*LTP3!$D$4/k_n</f>
        <v/>
      </c>
      <c r="W444">
        <f>((LTP3!$D$5)*((P444)*(Q444)-(R444)*(R444))-(S444)*((S444)*(Q444)-(R444)*(T444))+(T444)*((S444)*(R444)-(P444)*(T444)))</f>
        <v/>
      </c>
      <c r="X444">
        <f>IF(ABS(W444)&gt;1E-12,((LTP3!$D$6)*((P444)*(Q444)-(R444)*(R444))-(S444)*((U444)*(Q444)-(R444)*(V444))+(T444)*((U444)*(R444)-(P444)*(V444)))/W444,0)</f>
        <v/>
      </c>
      <c r="Y444">
        <f>IF(ABS(W444)&gt;1E-12,((LTP3!$D$5)*((U444)*(Q444)-(R444)*(V444))-(LTP3!$D$6)*((S444)*(Q444)-(R444)*(T444))+(T444)*((S444)*(V444)-(U444)*(T444)))/W444,0)</f>
        <v/>
      </c>
      <c r="Z444">
        <f>IF(ABS(W444)&gt;1E-12,((LTP3!$D$5)*((P444)*(V444)-(U444)*(R444))-(S444)*((S444)*(V444)-(U444)*(T444))+(LTP3!$D$6)*((S444)*(R444)-(P444)*(T444)))/W444,0)</f>
        <v/>
      </c>
      <c r="AA444">
        <f>LTP3!$D$7-X444*LTP3!$D$6-Y444*U444-Z444*V444</f>
        <v/>
      </c>
      <c r="AB444">
        <f>IF(AND(F444,ABS(W444)&gt;1E-12,Y444&gt;0,Z444&gt;0),AA444,1E+300)</f>
        <v/>
      </c>
    </row>
    <row r="445">
      <c r="A445">
        <f>$B$3+$B$5*7</f>
        <v/>
      </c>
      <c r="B445">
        <f>$B$3+$B$5*6</f>
        <v/>
      </c>
      <c r="C445">
        <f>SUMPRODUCT(Calc!$K$3:$K$22*(Calc!$G$3:$G$22&lt;=A445))</f>
        <v/>
      </c>
      <c r="D445">
        <f>SUMPRODUCT(Calc!$K$3:$K$22*(Calc!$G$3:$G$22&gt;A445)*(Calc!$G$3:$G$22&lt;B445))</f>
        <v/>
      </c>
      <c r="E445">
        <f>SUMPRODUCT(Calc!$K$3:$K$22*(Calc!$G$3:$G$22&gt;=B445))</f>
        <v/>
      </c>
      <c r="F445">
        <f>AND(k_n&gt;=5,B445&gt;A445+1E-9,C445&gt;=2,D445&gt;=1,E445&gt;=2)</f>
        <v/>
      </c>
      <c r="G445">
        <f>SUMPRODUCT(Calc!$K$3:$K$22*(Calc!$G$3:$G$22&gt;A445)*(Calc!$G$3:$G$22-A445))</f>
        <v/>
      </c>
      <c r="H445">
        <f>SUMPRODUCT(Calc!$K$3:$K$22*(Calc!$G$3:$G$22&gt;B445)*(Calc!$G$3:$G$22-B445))</f>
        <v/>
      </c>
      <c r="I445">
        <f>SUMPRODUCT(Calc!$K$3:$K$22*(Calc!$G$3:$G$22&gt;A445)*(Calc!$G$3:$G$22-A445)^2)</f>
        <v/>
      </c>
      <c r="J445">
        <f>SUMPRODUCT(Calc!$K$3:$K$22*(Calc!$G$3:$G$22&gt;B445)*(Calc!$G$3:$G$22-B445)^2)</f>
        <v/>
      </c>
      <c r="K445">
        <f>SUMPRODUCT(Calc!$K$3:$K$22*(Calc!$G$3:$G$22&gt;A445)*(Calc!$G$3:$G$22-A445)*(Calc!$G$3:$G$22&gt;B445)*(Calc!$G$3:$G$22-B445))</f>
        <v/>
      </c>
      <c r="L445">
        <f>SUMPRODUCT(Calc!$K$3:$K$22*(Calc!$G$3:$G$22&gt;A445)*(Calc!$G$3:$G$22-A445)*Calc!$G$3:$G$22)</f>
        <v/>
      </c>
      <c r="M445">
        <f>SUMPRODUCT(Calc!$K$3:$K$22*(Calc!$G$3:$G$22&gt;B445)*(Calc!$G$3:$G$22-B445)*Calc!$G$3:$G$22)</f>
        <v/>
      </c>
      <c r="N445">
        <f>SUMPRODUCT(Calc!$K$3:$K$22*(Calc!$G$3:$G$22&gt;A445)*(Calc!$G$3:$G$22-A445)*Calc!$I$3:$I$22)</f>
        <v/>
      </c>
      <c r="O445">
        <f>SUMPRODUCT(Calc!$K$3:$K$22*(Calc!$G$3:$G$22&gt;B445)*(Calc!$G$3:$G$22-B445)*Calc!$I$3:$I$22)</f>
        <v/>
      </c>
      <c r="P445">
        <f>I445-G445^2/k_n</f>
        <v/>
      </c>
      <c r="Q445">
        <f>J445-H445^2/k_n</f>
        <v/>
      </c>
      <c r="R445">
        <f>K445-G445*H445/k_n</f>
        <v/>
      </c>
      <c r="S445">
        <f>L445-LTP3!$D$3*G445/k_n</f>
        <v/>
      </c>
      <c r="T445">
        <f>M445-LTP3!$D$3*H445/k_n</f>
        <v/>
      </c>
      <c r="U445">
        <f>N445-G445*LTP3!$D$4/k_n</f>
        <v/>
      </c>
      <c r="V445">
        <f>O445-H445*LTP3!$D$4/k_n</f>
        <v/>
      </c>
      <c r="W445">
        <f>((LTP3!$D$5)*((P445)*(Q445)-(R445)*(R445))-(S445)*((S445)*(Q445)-(R445)*(T445))+(T445)*((S445)*(R445)-(P445)*(T445)))</f>
        <v/>
      </c>
      <c r="X445">
        <f>IF(ABS(W445)&gt;1E-12,((LTP3!$D$6)*((P445)*(Q445)-(R445)*(R445))-(S445)*((U445)*(Q445)-(R445)*(V445))+(T445)*((U445)*(R445)-(P445)*(V445)))/W445,0)</f>
        <v/>
      </c>
      <c r="Y445">
        <f>IF(ABS(W445)&gt;1E-12,((LTP3!$D$5)*((U445)*(Q445)-(R445)*(V445))-(LTP3!$D$6)*((S445)*(Q445)-(R445)*(T445))+(T445)*((S445)*(V445)-(U445)*(T445)))/W445,0)</f>
        <v/>
      </c>
      <c r="Z445">
        <f>IF(ABS(W445)&gt;1E-12,((LTP3!$D$5)*((P445)*(V445)-(U445)*(R445))-(S445)*((S445)*(V445)-(U445)*(T445))+(LTP3!$D$6)*((S445)*(R445)-(P445)*(T445)))/W445,0)</f>
        <v/>
      </c>
      <c r="AA445">
        <f>LTP3!$D$7-X445*LTP3!$D$6-Y445*U445-Z445*V445</f>
        <v/>
      </c>
      <c r="AB445">
        <f>IF(AND(F445,ABS(W445)&gt;1E-12,Y445&gt;0,Z445&gt;0),AA445,1E+300)</f>
        <v/>
      </c>
    </row>
    <row r="446">
      <c r="A446">
        <f>$B$3+$B$5*7</f>
        <v/>
      </c>
      <c r="B446">
        <f>$B$3+$B$5*7</f>
        <v/>
      </c>
      <c r="C446">
        <f>SUMPRODUCT(Calc!$K$3:$K$22*(Calc!$G$3:$G$22&lt;=A446))</f>
        <v/>
      </c>
      <c r="D446">
        <f>SUMPRODUCT(Calc!$K$3:$K$22*(Calc!$G$3:$G$22&gt;A446)*(Calc!$G$3:$G$22&lt;B446))</f>
        <v/>
      </c>
      <c r="E446">
        <f>SUMPRODUCT(Calc!$K$3:$K$22*(Calc!$G$3:$G$22&gt;=B446))</f>
        <v/>
      </c>
      <c r="F446">
        <f>AND(k_n&gt;=5,B446&gt;A446+1E-9,C446&gt;=2,D446&gt;=1,E446&gt;=2)</f>
        <v/>
      </c>
      <c r="G446">
        <f>SUMPRODUCT(Calc!$K$3:$K$22*(Calc!$G$3:$G$22&gt;A446)*(Calc!$G$3:$G$22-A446))</f>
        <v/>
      </c>
      <c r="H446">
        <f>SUMPRODUCT(Calc!$K$3:$K$22*(Calc!$G$3:$G$22&gt;B446)*(Calc!$G$3:$G$22-B446))</f>
        <v/>
      </c>
      <c r="I446">
        <f>SUMPRODUCT(Calc!$K$3:$K$22*(Calc!$G$3:$G$22&gt;A446)*(Calc!$G$3:$G$22-A446)^2)</f>
        <v/>
      </c>
      <c r="J446">
        <f>SUMPRODUCT(Calc!$K$3:$K$22*(Calc!$G$3:$G$22&gt;B446)*(Calc!$G$3:$G$22-B446)^2)</f>
        <v/>
      </c>
      <c r="K446">
        <f>SUMPRODUCT(Calc!$K$3:$K$22*(Calc!$G$3:$G$22&gt;A446)*(Calc!$G$3:$G$22-A446)*(Calc!$G$3:$G$22&gt;B446)*(Calc!$G$3:$G$22-B446))</f>
        <v/>
      </c>
      <c r="L446">
        <f>SUMPRODUCT(Calc!$K$3:$K$22*(Calc!$G$3:$G$22&gt;A446)*(Calc!$G$3:$G$22-A446)*Calc!$G$3:$G$22)</f>
        <v/>
      </c>
      <c r="M446">
        <f>SUMPRODUCT(Calc!$K$3:$K$22*(Calc!$G$3:$G$22&gt;B446)*(Calc!$G$3:$G$22-B446)*Calc!$G$3:$G$22)</f>
        <v/>
      </c>
      <c r="N446">
        <f>SUMPRODUCT(Calc!$K$3:$K$22*(Calc!$G$3:$G$22&gt;A446)*(Calc!$G$3:$G$22-A446)*Calc!$I$3:$I$22)</f>
        <v/>
      </c>
      <c r="O446">
        <f>SUMPRODUCT(Calc!$K$3:$K$22*(Calc!$G$3:$G$22&gt;B446)*(Calc!$G$3:$G$22-B446)*Calc!$I$3:$I$22)</f>
        <v/>
      </c>
      <c r="P446">
        <f>I446-G446^2/k_n</f>
        <v/>
      </c>
      <c r="Q446">
        <f>J446-H446^2/k_n</f>
        <v/>
      </c>
      <c r="R446">
        <f>K446-G446*H446/k_n</f>
        <v/>
      </c>
      <c r="S446">
        <f>L446-LTP3!$D$3*G446/k_n</f>
        <v/>
      </c>
      <c r="T446">
        <f>M446-LTP3!$D$3*H446/k_n</f>
        <v/>
      </c>
      <c r="U446">
        <f>N446-G446*LTP3!$D$4/k_n</f>
        <v/>
      </c>
      <c r="V446">
        <f>O446-H446*LTP3!$D$4/k_n</f>
        <v/>
      </c>
      <c r="W446">
        <f>((LTP3!$D$5)*((P446)*(Q446)-(R446)*(R446))-(S446)*((S446)*(Q446)-(R446)*(T446))+(T446)*((S446)*(R446)-(P446)*(T446)))</f>
        <v/>
      </c>
      <c r="X446">
        <f>IF(ABS(W446)&gt;1E-12,((LTP3!$D$6)*((P446)*(Q446)-(R446)*(R446))-(S446)*((U446)*(Q446)-(R446)*(V446))+(T446)*((U446)*(R446)-(P446)*(V446)))/W446,0)</f>
        <v/>
      </c>
      <c r="Y446">
        <f>IF(ABS(W446)&gt;1E-12,((LTP3!$D$5)*((U446)*(Q446)-(R446)*(V446))-(LTP3!$D$6)*((S446)*(Q446)-(R446)*(T446))+(T446)*((S446)*(V446)-(U446)*(T446)))/W446,0)</f>
        <v/>
      </c>
      <c r="Z446">
        <f>IF(ABS(W446)&gt;1E-12,((LTP3!$D$5)*((P446)*(V446)-(U446)*(R446))-(S446)*((S446)*(V446)-(U446)*(T446))+(LTP3!$D$6)*((S446)*(R446)-(P446)*(T446)))/W446,0)</f>
        <v/>
      </c>
      <c r="AA446">
        <f>LTP3!$D$7-X446*LTP3!$D$6-Y446*U446-Z446*V446</f>
        <v/>
      </c>
      <c r="AB446">
        <f>IF(AND(F446,ABS(W446)&gt;1E-12,Y446&gt;0,Z446&gt;0),AA446,1E+300)</f>
        <v/>
      </c>
    </row>
    <row r="447">
      <c r="A447">
        <f>$B$3+$B$5*7</f>
        <v/>
      </c>
      <c r="B447">
        <f>$B$3+$B$5*8</f>
        <v/>
      </c>
      <c r="C447">
        <f>SUMPRODUCT(Calc!$K$3:$K$22*(Calc!$G$3:$G$22&lt;=A447))</f>
        <v/>
      </c>
      <c r="D447">
        <f>SUMPRODUCT(Calc!$K$3:$K$22*(Calc!$G$3:$G$22&gt;A447)*(Calc!$G$3:$G$22&lt;B447))</f>
        <v/>
      </c>
      <c r="E447">
        <f>SUMPRODUCT(Calc!$K$3:$K$22*(Calc!$G$3:$G$22&gt;=B447))</f>
        <v/>
      </c>
      <c r="F447">
        <f>AND(k_n&gt;=5,B447&gt;A447+1E-9,C447&gt;=2,D447&gt;=1,E447&gt;=2)</f>
        <v/>
      </c>
      <c r="G447">
        <f>SUMPRODUCT(Calc!$K$3:$K$22*(Calc!$G$3:$G$22&gt;A447)*(Calc!$G$3:$G$22-A447))</f>
        <v/>
      </c>
      <c r="H447">
        <f>SUMPRODUCT(Calc!$K$3:$K$22*(Calc!$G$3:$G$22&gt;B447)*(Calc!$G$3:$G$22-B447))</f>
        <v/>
      </c>
      <c r="I447">
        <f>SUMPRODUCT(Calc!$K$3:$K$22*(Calc!$G$3:$G$22&gt;A447)*(Calc!$G$3:$G$22-A447)^2)</f>
        <v/>
      </c>
      <c r="J447">
        <f>SUMPRODUCT(Calc!$K$3:$K$22*(Calc!$G$3:$G$22&gt;B447)*(Calc!$G$3:$G$22-B447)^2)</f>
        <v/>
      </c>
      <c r="K447">
        <f>SUMPRODUCT(Calc!$K$3:$K$22*(Calc!$G$3:$G$22&gt;A447)*(Calc!$G$3:$G$22-A447)*(Calc!$G$3:$G$22&gt;B447)*(Calc!$G$3:$G$22-B447))</f>
        <v/>
      </c>
      <c r="L447">
        <f>SUMPRODUCT(Calc!$K$3:$K$22*(Calc!$G$3:$G$22&gt;A447)*(Calc!$G$3:$G$22-A447)*Calc!$G$3:$G$22)</f>
        <v/>
      </c>
      <c r="M447">
        <f>SUMPRODUCT(Calc!$K$3:$K$22*(Calc!$G$3:$G$22&gt;B447)*(Calc!$G$3:$G$22-B447)*Calc!$G$3:$G$22)</f>
        <v/>
      </c>
      <c r="N447">
        <f>SUMPRODUCT(Calc!$K$3:$K$22*(Calc!$G$3:$G$22&gt;A447)*(Calc!$G$3:$G$22-A447)*Calc!$I$3:$I$22)</f>
        <v/>
      </c>
      <c r="O447">
        <f>SUMPRODUCT(Calc!$K$3:$K$22*(Calc!$G$3:$G$22&gt;B447)*(Calc!$G$3:$G$22-B447)*Calc!$I$3:$I$22)</f>
        <v/>
      </c>
      <c r="P447">
        <f>I447-G447^2/k_n</f>
        <v/>
      </c>
      <c r="Q447">
        <f>J447-H447^2/k_n</f>
        <v/>
      </c>
      <c r="R447">
        <f>K447-G447*H447/k_n</f>
        <v/>
      </c>
      <c r="S447">
        <f>L447-LTP3!$D$3*G447/k_n</f>
        <v/>
      </c>
      <c r="T447">
        <f>M447-LTP3!$D$3*H447/k_n</f>
        <v/>
      </c>
      <c r="U447">
        <f>N447-G447*LTP3!$D$4/k_n</f>
        <v/>
      </c>
      <c r="V447">
        <f>O447-H447*LTP3!$D$4/k_n</f>
        <v/>
      </c>
      <c r="W447">
        <f>((LTP3!$D$5)*((P447)*(Q447)-(R447)*(R447))-(S447)*((S447)*(Q447)-(R447)*(T447))+(T447)*((S447)*(R447)-(P447)*(T447)))</f>
        <v/>
      </c>
      <c r="X447">
        <f>IF(ABS(W447)&gt;1E-12,((LTP3!$D$6)*((P447)*(Q447)-(R447)*(R447))-(S447)*((U447)*(Q447)-(R447)*(V447))+(T447)*((U447)*(R447)-(P447)*(V447)))/W447,0)</f>
        <v/>
      </c>
      <c r="Y447">
        <f>IF(ABS(W447)&gt;1E-12,((LTP3!$D$5)*((U447)*(Q447)-(R447)*(V447))-(LTP3!$D$6)*((S447)*(Q447)-(R447)*(T447))+(T447)*((S447)*(V447)-(U447)*(T447)))/W447,0)</f>
        <v/>
      </c>
      <c r="Z447">
        <f>IF(ABS(W447)&gt;1E-12,((LTP3!$D$5)*((P447)*(V447)-(U447)*(R447))-(S447)*((S447)*(V447)-(U447)*(T447))+(LTP3!$D$6)*((S447)*(R447)-(P447)*(T447)))/W447,0)</f>
        <v/>
      </c>
      <c r="AA447">
        <f>LTP3!$D$7-X447*LTP3!$D$6-Y447*U447-Z447*V447</f>
        <v/>
      </c>
      <c r="AB447">
        <f>IF(AND(F447,ABS(W447)&gt;1E-12,Y447&gt;0,Z447&gt;0),AA447,1E+300)</f>
        <v/>
      </c>
    </row>
    <row r="448">
      <c r="A448">
        <f>$B$3+$B$5*7</f>
        <v/>
      </c>
      <c r="B448">
        <f>$B$3+$B$5*9</f>
        <v/>
      </c>
      <c r="C448">
        <f>SUMPRODUCT(Calc!$K$3:$K$22*(Calc!$G$3:$G$22&lt;=A448))</f>
        <v/>
      </c>
      <c r="D448">
        <f>SUMPRODUCT(Calc!$K$3:$K$22*(Calc!$G$3:$G$22&gt;A448)*(Calc!$G$3:$G$22&lt;B448))</f>
        <v/>
      </c>
      <c r="E448">
        <f>SUMPRODUCT(Calc!$K$3:$K$22*(Calc!$G$3:$G$22&gt;=B448))</f>
        <v/>
      </c>
      <c r="F448">
        <f>AND(k_n&gt;=5,B448&gt;A448+1E-9,C448&gt;=2,D448&gt;=1,E448&gt;=2)</f>
        <v/>
      </c>
      <c r="G448">
        <f>SUMPRODUCT(Calc!$K$3:$K$22*(Calc!$G$3:$G$22&gt;A448)*(Calc!$G$3:$G$22-A448))</f>
        <v/>
      </c>
      <c r="H448">
        <f>SUMPRODUCT(Calc!$K$3:$K$22*(Calc!$G$3:$G$22&gt;B448)*(Calc!$G$3:$G$22-B448))</f>
        <v/>
      </c>
      <c r="I448">
        <f>SUMPRODUCT(Calc!$K$3:$K$22*(Calc!$G$3:$G$22&gt;A448)*(Calc!$G$3:$G$22-A448)^2)</f>
        <v/>
      </c>
      <c r="J448">
        <f>SUMPRODUCT(Calc!$K$3:$K$22*(Calc!$G$3:$G$22&gt;B448)*(Calc!$G$3:$G$22-B448)^2)</f>
        <v/>
      </c>
      <c r="K448">
        <f>SUMPRODUCT(Calc!$K$3:$K$22*(Calc!$G$3:$G$22&gt;A448)*(Calc!$G$3:$G$22-A448)*(Calc!$G$3:$G$22&gt;B448)*(Calc!$G$3:$G$22-B448))</f>
        <v/>
      </c>
      <c r="L448">
        <f>SUMPRODUCT(Calc!$K$3:$K$22*(Calc!$G$3:$G$22&gt;A448)*(Calc!$G$3:$G$22-A448)*Calc!$G$3:$G$22)</f>
        <v/>
      </c>
      <c r="M448">
        <f>SUMPRODUCT(Calc!$K$3:$K$22*(Calc!$G$3:$G$22&gt;B448)*(Calc!$G$3:$G$22-B448)*Calc!$G$3:$G$22)</f>
        <v/>
      </c>
      <c r="N448">
        <f>SUMPRODUCT(Calc!$K$3:$K$22*(Calc!$G$3:$G$22&gt;A448)*(Calc!$G$3:$G$22-A448)*Calc!$I$3:$I$22)</f>
        <v/>
      </c>
      <c r="O448">
        <f>SUMPRODUCT(Calc!$K$3:$K$22*(Calc!$G$3:$G$22&gt;B448)*(Calc!$G$3:$G$22-B448)*Calc!$I$3:$I$22)</f>
        <v/>
      </c>
      <c r="P448">
        <f>I448-G448^2/k_n</f>
        <v/>
      </c>
      <c r="Q448">
        <f>J448-H448^2/k_n</f>
        <v/>
      </c>
      <c r="R448">
        <f>K448-G448*H448/k_n</f>
        <v/>
      </c>
      <c r="S448">
        <f>L448-LTP3!$D$3*G448/k_n</f>
        <v/>
      </c>
      <c r="T448">
        <f>M448-LTP3!$D$3*H448/k_n</f>
        <v/>
      </c>
      <c r="U448">
        <f>N448-G448*LTP3!$D$4/k_n</f>
        <v/>
      </c>
      <c r="V448">
        <f>O448-H448*LTP3!$D$4/k_n</f>
        <v/>
      </c>
      <c r="W448">
        <f>((LTP3!$D$5)*((P448)*(Q448)-(R448)*(R448))-(S448)*((S448)*(Q448)-(R448)*(T448))+(T448)*((S448)*(R448)-(P448)*(T448)))</f>
        <v/>
      </c>
      <c r="X448">
        <f>IF(ABS(W448)&gt;1E-12,((LTP3!$D$6)*((P448)*(Q448)-(R448)*(R448))-(S448)*((U448)*(Q448)-(R448)*(V448))+(T448)*((U448)*(R448)-(P448)*(V448)))/W448,0)</f>
        <v/>
      </c>
      <c r="Y448">
        <f>IF(ABS(W448)&gt;1E-12,((LTP3!$D$5)*((U448)*(Q448)-(R448)*(V448))-(LTP3!$D$6)*((S448)*(Q448)-(R448)*(T448))+(T448)*((S448)*(V448)-(U448)*(T448)))/W448,0)</f>
        <v/>
      </c>
      <c r="Z448">
        <f>IF(ABS(W448)&gt;1E-12,((LTP3!$D$5)*((P448)*(V448)-(U448)*(R448))-(S448)*((S448)*(V448)-(U448)*(T448))+(LTP3!$D$6)*((S448)*(R448)-(P448)*(T448)))/W448,0)</f>
        <v/>
      </c>
      <c r="AA448">
        <f>LTP3!$D$7-X448*LTP3!$D$6-Y448*U448-Z448*V448</f>
        <v/>
      </c>
      <c r="AB448">
        <f>IF(AND(F448,ABS(W448)&gt;1E-12,Y448&gt;0,Z448&gt;0),AA448,1E+300)</f>
        <v/>
      </c>
    </row>
    <row r="449">
      <c r="A449">
        <f>$B$3+$B$5*7</f>
        <v/>
      </c>
      <c r="B449">
        <f>$B$3+$B$5*10</f>
        <v/>
      </c>
      <c r="C449">
        <f>SUMPRODUCT(Calc!$K$3:$K$22*(Calc!$G$3:$G$22&lt;=A449))</f>
        <v/>
      </c>
      <c r="D449">
        <f>SUMPRODUCT(Calc!$K$3:$K$22*(Calc!$G$3:$G$22&gt;A449)*(Calc!$G$3:$G$22&lt;B449))</f>
        <v/>
      </c>
      <c r="E449">
        <f>SUMPRODUCT(Calc!$K$3:$K$22*(Calc!$G$3:$G$22&gt;=B449))</f>
        <v/>
      </c>
      <c r="F449">
        <f>AND(k_n&gt;=5,B449&gt;A449+1E-9,C449&gt;=2,D449&gt;=1,E449&gt;=2)</f>
        <v/>
      </c>
      <c r="G449">
        <f>SUMPRODUCT(Calc!$K$3:$K$22*(Calc!$G$3:$G$22&gt;A449)*(Calc!$G$3:$G$22-A449))</f>
        <v/>
      </c>
      <c r="H449">
        <f>SUMPRODUCT(Calc!$K$3:$K$22*(Calc!$G$3:$G$22&gt;B449)*(Calc!$G$3:$G$22-B449))</f>
        <v/>
      </c>
      <c r="I449">
        <f>SUMPRODUCT(Calc!$K$3:$K$22*(Calc!$G$3:$G$22&gt;A449)*(Calc!$G$3:$G$22-A449)^2)</f>
        <v/>
      </c>
      <c r="J449">
        <f>SUMPRODUCT(Calc!$K$3:$K$22*(Calc!$G$3:$G$22&gt;B449)*(Calc!$G$3:$G$22-B449)^2)</f>
        <v/>
      </c>
      <c r="K449">
        <f>SUMPRODUCT(Calc!$K$3:$K$22*(Calc!$G$3:$G$22&gt;A449)*(Calc!$G$3:$G$22-A449)*(Calc!$G$3:$G$22&gt;B449)*(Calc!$G$3:$G$22-B449))</f>
        <v/>
      </c>
      <c r="L449">
        <f>SUMPRODUCT(Calc!$K$3:$K$22*(Calc!$G$3:$G$22&gt;A449)*(Calc!$G$3:$G$22-A449)*Calc!$G$3:$G$22)</f>
        <v/>
      </c>
      <c r="M449">
        <f>SUMPRODUCT(Calc!$K$3:$K$22*(Calc!$G$3:$G$22&gt;B449)*(Calc!$G$3:$G$22-B449)*Calc!$G$3:$G$22)</f>
        <v/>
      </c>
      <c r="N449">
        <f>SUMPRODUCT(Calc!$K$3:$K$22*(Calc!$G$3:$G$22&gt;A449)*(Calc!$G$3:$G$22-A449)*Calc!$I$3:$I$22)</f>
        <v/>
      </c>
      <c r="O449">
        <f>SUMPRODUCT(Calc!$K$3:$K$22*(Calc!$G$3:$G$22&gt;B449)*(Calc!$G$3:$G$22-B449)*Calc!$I$3:$I$22)</f>
        <v/>
      </c>
      <c r="P449">
        <f>I449-G449^2/k_n</f>
        <v/>
      </c>
      <c r="Q449">
        <f>J449-H449^2/k_n</f>
        <v/>
      </c>
      <c r="R449">
        <f>K449-G449*H449/k_n</f>
        <v/>
      </c>
      <c r="S449">
        <f>L449-LTP3!$D$3*G449/k_n</f>
        <v/>
      </c>
      <c r="T449">
        <f>M449-LTP3!$D$3*H449/k_n</f>
        <v/>
      </c>
      <c r="U449">
        <f>N449-G449*LTP3!$D$4/k_n</f>
        <v/>
      </c>
      <c r="V449">
        <f>O449-H449*LTP3!$D$4/k_n</f>
        <v/>
      </c>
      <c r="W449">
        <f>((LTP3!$D$5)*((P449)*(Q449)-(R449)*(R449))-(S449)*((S449)*(Q449)-(R449)*(T449))+(T449)*((S449)*(R449)-(P449)*(T449)))</f>
        <v/>
      </c>
      <c r="X449">
        <f>IF(ABS(W449)&gt;1E-12,((LTP3!$D$6)*((P449)*(Q449)-(R449)*(R449))-(S449)*((U449)*(Q449)-(R449)*(V449))+(T449)*((U449)*(R449)-(P449)*(V449)))/W449,0)</f>
        <v/>
      </c>
      <c r="Y449">
        <f>IF(ABS(W449)&gt;1E-12,((LTP3!$D$5)*((U449)*(Q449)-(R449)*(V449))-(LTP3!$D$6)*((S449)*(Q449)-(R449)*(T449))+(T449)*((S449)*(V449)-(U449)*(T449)))/W449,0)</f>
        <v/>
      </c>
      <c r="Z449">
        <f>IF(ABS(W449)&gt;1E-12,((LTP3!$D$5)*((P449)*(V449)-(U449)*(R449))-(S449)*((S449)*(V449)-(U449)*(T449))+(LTP3!$D$6)*((S449)*(R449)-(P449)*(T449)))/W449,0)</f>
        <v/>
      </c>
      <c r="AA449">
        <f>LTP3!$D$7-X449*LTP3!$D$6-Y449*U449-Z449*V449</f>
        <v/>
      </c>
      <c r="AB449">
        <f>IF(AND(F449,ABS(W449)&gt;1E-12,Y449&gt;0,Z449&gt;0),AA449,1E+300)</f>
        <v/>
      </c>
    </row>
    <row r="450">
      <c r="A450">
        <f>$B$3+$B$5*7</f>
        <v/>
      </c>
      <c r="B450">
        <f>$B$3+$B$5*11</f>
        <v/>
      </c>
      <c r="C450">
        <f>SUMPRODUCT(Calc!$K$3:$K$22*(Calc!$G$3:$G$22&lt;=A450))</f>
        <v/>
      </c>
      <c r="D450">
        <f>SUMPRODUCT(Calc!$K$3:$K$22*(Calc!$G$3:$G$22&gt;A450)*(Calc!$G$3:$G$22&lt;B450))</f>
        <v/>
      </c>
      <c r="E450">
        <f>SUMPRODUCT(Calc!$K$3:$K$22*(Calc!$G$3:$G$22&gt;=B450))</f>
        <v/>
      </c>
      <c r="F450">
        <f>AND(k_n&gt;=5,B450&gt;A450+1E-9,C450&gt;=2,D450&gt;=1,E450&gt;=2)</f>
        <v/>
      </c>
      <c r="G450">
        <f>SUMPRODUCT(Calc!$K$3:$K$22*(Calc!$G$3:$G$22&gt;A450)*(Calc!$G$3:$G$22-A450))</f>
        <v/>
      </c>
      <c r="H450">
        <f>SUMPRODUCT(Calc!$K$3:$K$22*(Calc!$G$3:$G$22&gt;B450)*(Calc!$G$3:$G$22-B450))</f>
        <v/>
      </c>
      <c r="I450">
        <f>SUMPRODUCT(Calc!$K$3:$K$22*(Calc!$G$3:$G$22&gt;A450)*(Calc!$G$3:$G$22-A450)^2)</f>
        <v/>
      </c>
      <c r="J450">
        <f>SUMPRODUCT(Calc!$K$3:$K$22*(Calc!$G$3:$G$22&gt;B450)*(Calc!$G$3:$G$22-B450)^2)</f>
        <v/>
      </c>
      <c r="K450">
        <f>SUMPRODUCT(Calc!$K$3:$K$22*(Calc!$G$3:$G$22&gt;A450)*(Calc!$G$3:$G$22-A450)*(Calc!$G$3:$G$22&gt;B450)*(Calc!$G$3:$G$22-B450))</f>
        <v/>
      </c>
      <c r="L450">
        <f>SUMPRODUCT(Calc!$K$3:$K$22*(Calc!$G$3:$G$22&gt;A450)*(Calc!$G$3:$G$22-A450)*Calc!$G$3:$G$22)</f>
        <v/>
      </c>
      <c r="M450">
        <f>SUMPRODUCT(Calc!$K$3:$K$22*(Calc!$G$3:$G$22&gt;B450)*(Calc!$G$3:$G$22-B450)*Calc!$G$3:$G$22)</f>
        <v/>
      </c>
      <c r="N450">
        <f>SUMPRODUCT(Calc!$K$3:$K$22*(Calc!$G$3:$G$22&gt;A450)*(Calc!$G$3:$G$22-A450)*Calc!$I$3:$I$22)</f>
        <v/>
      </c>
      <c r="O450">
        <f>SUMPRODUCT(Calc!$K$3:$K$22*(Calc!$G$3:$G$22&gt;B450)*(Calc!$G$3:$G$22-B450)*Calc!$I$3:$I$22)</f>
        <v/>
      </c>
      <c r="P450">
        <f>I450-G450^2/k_n</f>
        <v/>
      </c>
      <c r="Q450">
        <f>J450-H450^2/k_n</f>
        <v/>
      </c>
      <c r="R450">
        <f>K450-G450*H450/k_n</f>
        <v/>
      </c>
      <c r="S450">
        <f>L450-LTP3!$D$3*G450/k_n</f>
        <v/>
      </c>
      <c r="T450">
        <f>M450-LTP3!$D$3*H450/k_n</f>
        <v/>
      </c>
      <c r="U450">
        <f>N450-G450*LTP3!$D$4/k_n</f>
        <v/>
      </c>
      <c r="V450">
        <f>O450-H450*LTP3!$D$4/k_n</f>
        <v/>
      </c>
      <c r="W450">
        <f>((LTP3!$D$5)*((P450)*(Q450)-(R450)*(R450))-(S450)*((S450)*(Q450)-(R450)*(T450))+(T450)*((S450)*(R450)-(P450)*(T450)))</f>
        <v/>
      </c>
      <c r="X450">
        <f>IF(ABS(W450)&gt;1E-12,((LTP3!$D$6)*((P450)*(Q450)-(R450)*(R450))-(S450)*((U450)*(Q450)-(R450)*(V450))+(T450)*((U450)*(R450)-(P450)*(V450)))/W450,0)</f>
        <v/>
      </c>
      <c r="Y450">
        <f>IF(ABS(W450)&gt;1E-12,((LTP3!$D$5)*((U450)*(Q450)-(R450)*(V450))-(LTP3!$D$6)*((S450)*(Q450)-(R450)*(T450))+(T450)*((S450)*(V450)-(U450)*(T450)))/W450,0)</f>
        <v/>
      </c>
      <c r="Z450">
        <f>IF(ABS(W450)&gt;1E-12,((LTP3!$D$5)*((P450)*(V450)-(U450)*(R450))-(S450)*((S450)*(V450)-(U450)*(T450))+(LTP3!$D$6)*((S450)*(R450)-(P450)*(T450)))/W450,0)</f>
        <v/>
      </c>
      <c r="AA450">
        <f>LTP3!$D$7-X450*LTP3!$D$6-Y450*U450-Z450*V450</f>
        <v/>
      </c>
      <c r="AB450">
        <f>IF(AND(F450,ABS(W450)&gt;1E-12,Y450&gt;0,Z450&gt;0),AA450,1E+300)</f>
        <v/>
      </c>
    </row>
    <row r="451">
      <c r="A451">
        <f>$B$3+$B$5*7</f>
        <v/>
      </c>
      <c r="B451">
        <f>$B$3+$B$5*12</f>
        <v/>
      </c>
      <c r="C451">
        <f>SUMPRODUCT(Calc!$K$3:$K$22*(Calc!$G$3:$G$22&lt;=A451))</f>
        <v/>
      </c>
      <c r="D451">
        <f>SUMPRODUCT(Calc!$K$3:$K$22*(Calc!$G$3:$G$22&gt;A451)*(Calc!$G$3:$G$22&lt;B451))</f>
        <v/>
      </c>
      <c r="E451">
        <f>SUMPRODUCT(Calc!$K$3:$K$22*(Calc!$G$3:$G$22&gt;=B451))</f>
        <v/>
      </c>
      <c r="F451">
        <f>AND(k_n&gt;=5,B451&gt;A451+1E-9,C451&gt;=2,D451&gt;=1,E451&gt;=2)</f>
        <v/>
      </c>
      <c r="G451">
        <f>SUMPRODUCT(Calc!$K$3:$K$22*(Calc!$G$3:$G$22&gt;A451)*(Calc!$G$3:$G$22-A451))</f>
        <v/>
      </c>
      <c r="H451">
        <f>SUMPRODUCT(Calc!$K$3:$K$22*(Calc!$G$3:$G$22&gt;B451)*(Calc!$G$3:$G$22-B451))</f>
        <v/>
      </c>
      <c r="I451">
        <f>SUMPRODUCT(Calc!$K$3:$K$22*(Calc!$G$3:$G$22&gt;A451)*(Calc!$G$3:$G$22-A451)^2)</f>
        <v/>
      </c>
      <c r="J451">
        <f>SUMPRODUCT(Calc!$K$3:$K$22*(Calc!$G$3:$G$22&gt;B451)*(Calc!$G$3:$G$22-B451)^2)</f>
        <v/>
      </c>
      <c r="K451">
        <f>SUMPRODUCT(Calc!$K$3:$K$22*(Calc!$G$3:$G$22&gt;A451)*(Calc!$G$3:$G$22-A451)*(Calc!$G$3:$G$22&gt;B451)*(Calc!$G$3:$G$22-B451))</f>
        <v/>
      </c>
      <c r="L451">
        <f>SUMPRODUCT(Calc!$K$3:$K$22*(Calc!$G$3:$G$22&gt;A451)*(Calc!$G$3:$G$22-A451)*Calc!$G$3:$G$22)</f>
        <v/>
      </c>
      <c r="M451">
        <f>SUMPRODUCT(Calc!$K$3:$K$22*(Calc!$G$3:$G$22&gt;B451)*(Calc!$G$3:$G$22-B451)*Calc!$G$3:$G$22)</f>
        <v/>
      </c>
      <c r="N451">
        <f>SUMPRODUCT(Calc!$K$3:$K$22*(Calc!$G$3:$G$22&gt;A451)*(Calc!$G$3:$G$22-A451)*Calc!$I$3:$I$22)</f>
        <v/>
      </c>
      <c r="O451">
        <f>SUMPRODUCT(Calc!$K$3:$K$22*(Calc!$G$3:$G$22&gt;B451)*(Calc!$G$3:$G$22-B451)*Calc!$I$3:$I$22)</f>
        <v/>
      </c>
      <c r="P451">
        <f>I451-G451^2/k_n</f>
        <v/>
      </c>
      <c r="Q451">
        <f>J451-H451^2/k_n</f>
        <v/>
      </c>
      <c r="R451">
        <f>K451-G451*H451/k_n</f>
        <v/>
      </c>
      <c r="S451">
        <f>L451-LTP3!$D$3*G451/k_n</f>
        <v/>
      </c>
      <c r="T451">
        <f>M451-LTP3!$D$3*H451/k_n</f>
        <v/>
      </c>
      <c r="U451">
        <f>N451-G451*LTP3!$D$4/k_n</f>
        <v/>
      </c>
      <c r="V451">
        <f>O451-H451*LTP3!$D$4/k_n</f>
        <v/>
      </c>
      <c r="W451">
        <f>((LTP3!$D$5)*((P451)*(Q451)-(R451)*(R451))-(S451)*((S451)*(Q451)-(R451)*(T451))+(T451)*((S451)*(R451)-(P451)*(T451)))</f>
        <v/>
      </c>
      <c r="X451">
        <f>IF(ABS(W451)&gt;1E-12,((LTP3!$D$6)*((P451)*(Q451)-(R451)*(R451))-(S451)*((U451)*(Q451)-(R451)*(V451))+(T451)*((U451)*(R451)-(P451)*(V451)))/W451,0)</f>
        <v/>
      </c>
      <c r="Y451">
        <f>IF(ABS(W451)&gt;1E-12,((LTP3!$D$5)*((U451)*(Q451)-(R451)*(V451))-(LTP3!$D$6)*((S451)*(Q451)-(R451)*(T451))+(T451)*((S451)*(V451)-(U451)*(T451)))/W451,0)</f>
        <v/>
      </c>
      <c r="Z451">
        <f>IF(ABS(W451)&gt;1E-12,((LTP3!$D$5)*((P451)*(V451)-(U451)*(R451))-(S451)*((S451)*(V451)-(U451)*(T451))+(LTP3!$D$6)*((S451)*(R451)-(P451)*(T451)))/W451,0)</f>
        <v/>
      </c>
      <c r="AA451">
        <f>LTP3!$D$7-X451*LTP3!$D$6-Y451*U451-Z451*V451</f>
        <v/>
      </c>
      <c r="AB451">
        <f>IF(AND(F451,ABS(W451)&gt;1E-12,Y451&gt;0,Z451&gt;0),AA451,1E+300)</f>
        <v/>
      </c>
    </row>
    <row r="452">
      <c r="A452">
        <f>$B$3+$B$5*7</f>
        <v/>
      </c>
      <c r="B452">
        <f>$B$3+$B$5*13</f>
        <v/>
      </c>
      <c r="C452">
        <f>SUMPRODUCT(Calc!$K$3:$K$22*(Calc!$G$3:$G$22&lt;=A452))</f>
        <v/>
      </c>
      <c r="D452">
        <f>SUMPRODUCT(Calc!$K$3:$K$22*(Calc!$G$3:$G$22&gt;A452)*(Calc!$G$3:$G$22&lt;B452))</f>
        <v/>
      </c>
      <c r="E452">
        <f>SUMPRODUCT(Calc!$K$3:$K$22*(Calc!$G$3:$G$22&gt;=B452))</f>
        <v/>
      </c>
      <c r="F452">
        <f>AND(k_n&gt;=5,B452&gt;A452+1E-9,C452&gt;=2,D452&gt;=1,E452&gt;=2)</f>
        <v/>
      </c>
      <c r="G452">
        <f>SUMPRODUCT(Calc!$K$3:$K$22*(Calc!$G$3:$G$22&gt;A452)*(Calc!$G$3:$G$22-A452))</f>
        <v/>
      </c>
      <c r="H452">
        <f>SUMPRODUCT(Calc!$K$3:$K$22*(Calc!$G$3:$G$22&gt;B452)*(Calc!$G$3:$G$22-B452))</f>
        <v/>
      </c>
      <c r="I452">
        <f>SUMPRODUCT(Calc!$K$3:$K$22*(Calc!$G$3:$G$22&gt;A452)*(Calc!$G$3:$G$22-A452)^2)</f>
        <v/>
      </c>
      <c r="J452">
        <f>SUMPRODUCT(Calc!$K$3:$K$22*(Calc!$G$3:$G$22&gt;B452)*(Calc!$G$3:$G$22-B452)^2)</f>
        <v/>
      </c>
      <c r="K452">
        <f>SUMPRODUCT(Calc!$K$3:$K$22*(Calc!$G$3:$G$22&gt;A452)*(Calc!$G$3:$G$22-A452)*(Calc!$G$3:$G$22&gt;B452)*(Calc!$G$3:$G$22-B452))</f>
        <v/>
      </c>
      <c r="L452">
        <f>SUMPRODUCT(Calc!$K$3:$K$22*(Calc!$G$3:$G$22&gt;A452)*(Calc!$G$3:$G$22-A452)*Calc!$G$3:$G$22)</f>
        <v/>
      </c>
      <c r="M452">
        <f>SUMPRODUCT(Calc!$K$3:$K$22*(Calc!$G$3:$G$22&gt;B452)*(Calc!$G$3:$G$22-B452)*Calc!$G$3:$G$22)</f>
        <v/>
      </c>
      <c r="N452">
        <f>SUMPRODUCT(Calc!$K$3:$K$22*(Calc!$G$3:$G$22&gt;A452)*(Calc!$G$3:$G$22-A452)*Calc!$I$3:$I$22)</f>
        <v/>
      </c>
      <c r="O452">
        <f>SUMPRODUCT(Calc!$K$3:$K$22*(Calc!$G$3:$G$22&gt;B452)*(Calc!$G$3:$G$22-B452)*Calc!$I$3:$I$22)</f>
        <v/>
      </c>
      <c r="P452">
        <f>I452-G452^2/k_n</f>
        <v/>
      </c>
      <c r="Q452">
        <f>J452-H452^2/k_n</f>
        <v/>
      </c>
      <c r="R452">
        <f>K452-G452*H452/k_n</f>
        <v/>
      </c>
      <c r="S452">
        <f>L452-LTP3!$D$3*G452/k_n</f>
        <v/>
      </c>
      <c r="T452">
        <f>M452-LTP3!$D$3*H452/k_n</f>
        <v/>
      </c>
      <c r="U452">
        <f>N452-G452*LTP3!$D$4/k_n</f>
        <v/>
      </c>
      <c r="V452">
        <f>O452-H452*LTP3!$D$4/k_n</f>
        <v/>
      </c>
      <c r="W452">
        <f>((LTP3!$D$5)*((P452)*(Q452)-(R452)*(R452))-(S452)*((S452)*(Q452)-(R452)*(T452))+(T452)*((S452)*(R452)-(P452)*(T452)))</f>
        <v/>
      </c>
      <c r="X452">
        <f>IF(ABS(W452)&gt;1E-12,((LTP3!$D$6)*((P452)*(Q452)-(R452)*(R452))-(S452)*((U452)*(Q452)-(R452)*(V452))+(T452)*((U452)*(R452)-(P452)*(V452)))/W452,0)</f>
        <v/>
      </c>
      <c r="Y452">
        <f>IF(ABS(W452)&gt;1E-12,((LTP3!$D$5)*((U452)*(Q452)-(R452)*(V452))-(LTP3!$D$6)*((S452)*(Q452)-(R452)*(T452))+(T452)*((S452)*(V452)-(U452)*(T452)))/W452,0)</f>
        <v/>
      </c>
      <c r="Z452">
        <f>IF(ABS(W452)&gt;1E-12,((LTP3!$D$5)*((P452)*(V452)-(U452)*(R452))-(S452)*((S452)*(V452)-(U452)*(T452))+(LTP3!$D$6)*((S452)*(R452)-(P452)*(T452)))/W452,0)</f>
        <v/>
      </c>
      <c r="AA452">
        <f>LTP3!$D$7-X452*LTP3!$D$6-Y452*U452-Z452*V452</f>
        <v/>
      </c>
      <c r="AB452">
        <f>IF(AND(F452,ABS(W452)&gt;1E-12,Y452&gt;0,Z452&gt;0),AA452,1E+300)</f>
        <v/>
      </c>
    </row>
    <row r="453">
      <c r="A453">
        <f>$B$3+$B$5*7</f>
        <v/>
      </c>
      <c r="B453">
        <f>$B$3+$B$5*14</f>
        <v/>
      </c>
      <c r="C453">
        <f>SUMPRODUCT(Calc!$K$3:$K$22*(Calc!$G$3:$G$22&lt;=A453))</f>
        <v/>
      </c>
      <c r="D453">
        <f>SUMPRODUCT(Calc!$K$3:$K$22*(Calc!$G$3:$G$22&gt;A453)*(Calc!$G$3:$G$22&lt;B453))</f>
        <v/>
      </c>
      <c r="E453">
        <f>SUMPRODUCT(Calc!$K$3:$K$22*(Calc!$G$3:$G$22&gt;=B453))</f>
        <v/>
      </c>
      <c r="F453">
        <f>AND(k_n&gt;=5,B453&gt;A453+1E-9,C453&gt;=2,D453&gt;=1,E453&gt;=2)</f>
        <v/>
      </c>
      <c r="G453">
        <f>SUMPRODUCT(Calc!$K$3:$K$22*(Calc!$G$3:$G$22&gt;A453)*(Calc!$G$3:$G$22-A453))</f>
        <v/>
      </c>
      <c r="H453">
        <f>SUMPRODUCT(Calc!$K$3:$K$22*(Calc!$G$3:$G$22&gt;B453)*(Calc!$G$3:$G$22-B453))</f>
        <v/>
      </c>
      <c r="I453">
        <f>SUMPRODUCT(Calc!$K$3:$K$22*(Calc!$G$3:$G$22&gt;A453)*(Calc!$G$3:$G$22-A453)^2)</f>
        <v/>
      </c>
      <c r="J453">
        <f>SUMPRODUCT(Calc!$K$3:$K$22*(Calc!$G$3:$G$22&gt;B453)*(Calc!$G$3:$G$22-B453)^2)</f>
        <v/>
      </c>
      <c r="K453">
        <f>SUMPRODUCT(Calc!$K$3:$K$22*(Calc!$G$3:$G$22&gt;A453)*(Calc!$G$3:$G$22-A453)*(Calc!$G$3:$G$22&gt;B453)*(Calc!$G$3:$G$22-B453))</f>
        <v/>
      </c>
      <c r="L453">
        <f>SUMPRODUCT(Calc!$K$3:$K$22*(Calc!$G$3:$G$22&gt;A453)*(Calc!$G$3:$G$22-A453)*Calc!$G$3:$G$22)</f>
        <v/>
      </c>
      <c r="M453">
        <f>SUMPRODUCT(Calc!$K$3:$K$22*(Calc!$G$3:$G$22&gt;B453)*(Calc!$G$3:$G$22-B453)*Calc!$G$3:$G$22)</f>
        <v/>
      </c>
      <c r="N453">
        <f>SUMPRODUCT(Calc!$K$3:$K$22*(Calc!$G$3:$G$22&gt;A453)*(Calc!$G$3:$G$22-A453)*Calc!$I$3:$I$22)</f>
        <v/>
      </c>
      <c r="O453">
        <f>SUMPRODUCT(Calc!$K$3:$K$22*(Calc!$G$3:$G$22&gt;B453)*(Calc!$G$3:$G$22-B453)*Calc!$I$3:$I$22)</f>
        <v/>
      </c>
      <c r="P453">
        <f>I453-G453^2/k_n</f>
        <v/>
      </c>
      <c r="Q453">
        <f>J453-H453^2/k_n</f>
        <v/>
      </c>
      <c r="R453">
        <f>K453-G453*H453/k_n</f>
        <v/>
      </c>
      <c r="S453">
        <f>L453-LTP3!$D$3*G453/k_n</f>
        <v/>
      </c>
      <c r="T453">
        <f>M453-LTP3!$D$3*H453/k_n</f>
        <v/>
      </c>
      <c r="U453">
        <f>N453-G453*LTP3!$D$4/k_n</f>
        <v/>
      </c>
      <c r="V453">
        <f>O453-H453*LTP3!$D$4/k_n</f>
        <v/>
      </c>
      <c r="W453">
        <f>((LTP3!$D$5)*((P453)*(Q453)-(R453)*(R453))-(S453)*((S453)*(Q453)-(R453)*(T453))+(T453)*((S453)*(R453)-(P453)*(T453)))</f>
        <v/>
      </c>
      <c r="X453">
        <f>IF(ABS(W453)&gt;1E-12,((LTP3!$D$6)*((P453)*(Q453)-(R453)*(R453))-(S453)*((U453)*(Q453)-(R453)*(V453))+(T453)*((U453)*(R453)-(P453)*(V453)))/W453,0)</f>
        <v/>
      </c>
      <c r="Y453">
        <f>IF(ABS(W453)&gt;1E-12,((LTP3!$D$5)*((U453)*(Q453)-(R453)*(V453))-(LTP3!$D$6)*((S453)*(Q453)-(R453)*(T453))+(T453)*((S453)*(V453)-(U453)*(T453)))/W453,0)</f>
        <v/>
      </c>
      <c r="Z453">
        <f>IF(ABS(W453)&gt;1E-12,((LTP3!$D$5)*((P453)*(V453)-(U453)*(R453))-(S453)*((S453)*(V453)-(U453)*(T453))+(LTP3!$D$6)*((S453)*(R453)-(P453)*(T453)))/W453,0)</f>
        <v/>
      </c>
      <c r="AA453">
        <f>LTP3!$D$7-X453*LTP3!$D$6-Y453*U453-Z453*V453</f>
        <v/>
      </c>
      <c r="AB453">
        <f>IF(AND(F453,ABS(W453)&gt;1E-12,Y453&gt;0,Z453&gt;0),AA453,1E+300)</f>
        <v/>
      </c>
    </row>
    <row r="454">
      <c r="A454">
        <f>$B$3+$B$5*7</f>
        <v/>
      </c>
      <c r="B454">
        <f>$B$3+$B$5*15</f>
        <v/>
      </c>
      <c r="C454">
        <f>SUMPRODUCT(Calc!$K$3:$K$22*(Calc!$G$3:$G$22&lt;=A454))</f>
        <v/>
      </c>
      <c r="D454">
        <f>SUMPRODUCT(Calc!$K$3:$K$22*(Calc!$G$3:$G$22&gt;A454)*(Calc!$G$3:$G$22&lt;B454))</f>
        <v/>
      </c>
      <c r="E454">
        <f>SUMPRODUCT(Calc!$K$3:$K$22*(Calc!$G$3:$G$22&gt;=B454))</f>
        <v/>
      </c>
      <c r="F454">
        <f>AND(k_n&gt;=5,B454&gt;A454+1E-9,C454&gt;=2,D454&gt;=1,E454&gt;=2)</f>
        <v/>
      </c>
      <c r="G454">
        <f>SUMPRODUCT(Calc!$K$3:$K$22*(Calc!$G$3:$G$22&gt;A454)*(Calc!$G$3:$G$22-A454))</f>
        <v/>
      </c>
      <c r="H454">
        <f>SUMPRODUCT(Calc!$K$3:$K$22*(Calc!$G$3:$G$22&gt;B454)*(Calc!$G$3:$G$22-B454))</f>
        <v/>
      </c>
      <c r="I454">
        <f>SUMPRODUCT(Calc!$K$3:$K$22*(Calc!$G$3:$G$22&gt;A454)*(Calc!$G$3:$G$22-A454)^2)</f>
        <v/>
      </c>
      <c r="J454">
        <f>SUMPRODUCT(Calc!$K$3:$K$22*(Calc!$G$3:$G$22&gt;B454)*(Calc!$G$3:$G$22-B454)^2)</f>
        <v/>
      </c>
      <c r="K454">
        <f>SUMPRODUCT(Calc!$K$3:$K$22*(Calc!$G$3:$G$22&gt;A454)*(Calc!$G$3:$G$22-A454)*(Calc!$G$3:$G$22&gt;B454)*(Calc!$G$3:$G$22-B454))</f>
        <v/>
      </c>
      <c r="L454">
        <f>SUMPRODUCT(Calc!$K$3:$K$22*(Calc!$G$3:$G$22&gt;A454)*(Calc!$G$3:$G$22-A454)*Calc!$G$3:$G$22)</f>
        <v/>
      </c>
      <c r="M454">
        <f>SUMPRODUCT(Calc!$K$3:$K$22*(Calc!$G$3:$G$22&gt;B454)*(Calc!$G$3:$G$22-B454)*Calc!$G$3:$G$22)</f>
        <v/>
      </c>
      <c r="N454">
        <f>SUMPRODUCT(Calc!$K$3:$K$22*(Calc!$G$3:$G$22&gt;A454)*(Calc!$G$3:$G$22-A454)*Calc!$I$3:$I$22)</f>
        <v/>
      </c>
      <c r="O454">
        <f>SUMPRODUCT(Calc!$K$3:$K$22*(Calc!$G$3:$G$22&gt;B454)*(Calc!$G$3:$G$22-B454)*Calc!$I$3:$I$22)</f>
        <v/>
      </c>
      <c r="P454">
        <f>I454-G454^2/k_n</f>
        <v/>
      </c>
      <c r="Q454">
        <f>J454-H454^2/k_n</f>
        <v/>
      </c>
      <c r="R454">
        <f>K454-G454*H454/k_n</f>
        <v/>
      </c>
      <c r="S454">
        <f>L454-LTP3!$D$3*G454/k_n</f>
        <v/>
      </c>
      <c r="T454">
        <f>M454-LTP3!$D$3*H454/k_n</f>
        <v/>
      </c>
      <c r="U454">
        <f>N454-G454*LTP3!$D$4/k_n</f>
        <v/>
      </c>
      <c r="V454">
        <f>O454-H454*LTP3!$D$4/k_n</f>
        <v/>
      </c>
      <c r="W454">
        <f>((LTP3!$D$5)*((P454)*(Q454)-(R454)*(R454))-(S454)*((S454)*(Q454)-(R454)*(T454))+(T454)*((S454)*(R454)-(P454)*(T454)))</f>
        <v/>
      </c>
      <c r="X454">
        <f>IF(ABS(W454)&gt;1E-12,((LTP3!$D$6)*((P454)*(Q454)-(R454)*(R454))-(S454)*((U454)*(Q454)-(R454)*(V454))+(T454)*((U454)*(R454)-(P454)*(V454)))/W454,0)</f>
        <v/>
      </c>
      <c r="Y454">
        <f>IF(ABS(W454)&gt;1E-12,((LTP3!$D$5)*((U454)*(Q454)-(R454)*(V454))-(LTP3!$D$6)*((S454)*(Q454)-(R454)*(T454))+(T454)*((S454)*(V454)-(U454)*(T454)))/W454,0)</f>
        <v/>
      </c>
      <c r="Z454">
        <f>IF(ABS(W454)&gt;1E-12,((LTP3!$D$5)*((P454)*(V454)-(U454)*(R454))-(S454)*((S454)*(V454)-(U454)*(T454))+(LTP3!$D$6)*((S454)*(R454)-(P454)*(T454)))/W454,0)</f>
        <v/>
      </c>
      <c r="AA454">
        <f>LTP3!$D$7-X454*LTP3!$D$6-Y454*U454-Z454*V454</f>
        <v/>
      </c>
      <c r="AB454">
        <f>IF(AND(F454,ABS(W454)&gt;1E-12,Y454&gt;0,Z454&gt;0),AA454,1E+300)</f>
        <v/>
      </c>
    </row>
    <row r="455">
      <c r="A455">
        <f>$B$3+$B$5*7</f>
        <v/>
      </c>
      <c r="B455">
        <f>$B$3+$B$5*16</f>
        <v/>
      </c>
      <c r="C455">
        <f>SUMPRODUCT(Calc!$K$3:$K$22*(Calc!$G$3:$G$22&lt;=A455))</f>
        <v/>
      </c>
      <c r="D455">
        <f>SUMPRODUCT(Calc!$K$3:$K$22*(Calc!$G$3:$G$22&gt;A455)*(Calc!$G$3:$G$22&lt;B455))</f>
        <v/>
      </c>
      <c r="E455">
        <f>SUMPRODUCT(Calc!$K$3:$K$22*(Calc!$G$3:$G$22&gt;=B455))</f>
        <v/>
      </c>
      <c r="F455">
        <f>AND(k_n&gt;=5,B455&gt;A455+1E-9,C455&gt;=2,D455&gt;=1,E455&gt;=2)</f>
        <v/>
      </c>
      <c r="G455">
        <f>SUMPRODUCT(Calc!$K$3:$K$22*(Calc!$G$3:$G$22&gt;A455)*(Calc!$G$3:$G$22-A455))</f>
        <v/>
      </c>
      <c r="H455">
        <f>SUMPRODUCT(Calc!$K$3:$K$22*(Calc!$G$3:$G$22&gt;B455)*(Calc!$G$3:$G$22-B455))</f>
        <v/>
      </c>
      <c r="I455">
        <f>SUMPRODUCT(Calc!$K$3:$K$22*(Calc!$G$3:$G$22&gt;A455)*(Calc!$G$3:$G$22-A455)^2)</f>
        <v/>
      </c>
      <c r="J455">
        <f>SUMPRODUCT(Calc!$K$3:$K$22*(Calc!$G$3:$G$22&gt;B455)*(Calc!$G$3:$G$22-B455)^2)</f>
        <v/>
      </c>
      <c r="K455">
        <f>SUMPRODUCT(Calc!$K$3:$K$22*(Calc!$G$3:$G$22&gt;A455)*(Calc!$G$3:$G$22-A455)*(Calc!$G$3:$G$22&gt;B455)*(Calc!$G$3:$G$22-B455))</f>
        <v/>
      </c>
      <c r="L455">
        <f>SUMPRODUCT(Calc!$K$3:$K$22*(Calc!$G$3:$G$22&gt;A455)*(Calc!$G$3:$G$22-A455)*Calc!$G$3:$G$22)</f>
        <v/>
      </c>
      <c r="M455">
        <f>SUMPRODUCT(Calc!$K$3:$K$22*(Calc!$G$3:$G$22&gt;B455)*(Calc!$G$3:$G$22-B455)*Calc!$G$3:$G$22)</f>
        <v/>
      </c>
      <c r="N455">
        <f>SUMPRODUCT(Calc!$K$3:$K$22*(Calc!$G$3:$G$22&gt;A455)*(Calc!$G$3:$G$22-A455)*Calc!$I$3:$I$22)</f>
        <v/>
      </c>
      <c r="O455">
        <f>SUMPRODUCT(Calc!$K$3:$K$22*(Calc!$G$3:$G$22&gt;B455)*(Calc!$G$3:$G$22-B455)*Calc!$I$3:$I$22)</f>
        <v/>
      </c>
      <c r="P455">
        <f>I455-G455^2/k_n</f>
        <v/>
      </c>
      <c r="Q455">
        <f>J455-H455^2/k_n</f>
        <v/>
      </c>
      <c r="R455">
        <f>K455-G455*H455/k_n</f>
        <v/>
      </c>
      <c r="S455">
        <f>L455-LTP3!$D$3*G455/k_n</f>
        <v/>
      </c>
      <c r="T455">
        <f>M455-LTP3!$D$3*H455/k_n</f>
        <v/>
      </c>
      <c r="U455">
        <f>N455-G455*LTP3!$D$4/k_n</f>
        <v/>
      </c>
      <c r="V455">
        <f>O455-H455*LTP3!$D$4/k_n</f>
        <v/>
      </c>
      <c r="W455">
        <f>((LTP3!$D$5)*((P455)*(Q455)-(R455)*(R455))-(S455)*((S455)*(Q455)-(R455)*(T455))+(T455)*((S455)*(R455)-(P455)*(T455)))</f>
        <v/>
      </c>
      <c r="X455">
        <f>IF(ABS(W455)&gt;1E-12,((LTP3!$D$6)*((P455)*(Q455)-(R455)*(R455))-(S455)*((U455)*(Q455)-(R455)*(V455))+(T455)*((U455)*(R455)-(P455)*(V455)))/W455,0)</f>
        <v/>
      </c>
      <c r="Y455">
        <f>IF(ABS(W455)&gt;1E-12,((LTP3!$D$5)*((U455)*(Q455)-(R455)*(V455))-(LTP3!$D$6)*((S455)*(Q455)-(R455)*(T455))+(T455)*((S455)*(V455)-(U455)*(T455)))/W455,0)</f>
        <v/>
      </c>
      <c r="Z455">
        <f>IF(ABS(W455)&gt;1E-12,((LTP3!$D$5)*((P455)*(V455)-(U455)*(R455))-(S455)*((S455)*(V455)-(U455)*(T455))+(LTP3!$D$6)*((S455)*(R455)-(P455)*(T455)))/W455,0)</f>
        <v/>
      </c>
      <c r="AA455">
        <f>LTP3!$D$7-X455*LTP3!$D$6-Y455*U455-Z455*V455</f>
        <v/>
      </c>
      <c r="AB455">
        <f>IF(AND(F455,ABS(W455)&gt;1E-12,Y455&gt;0,Z455&gt;0),AA455,1E+300)</f>
        <v/>
      </c>
    </row>
    <row r="456">
      <c r="A456">
        <f>$B$3+$B$5*7</f>
        <v/>
      </c>
      <c r="B456">
        <f>$B$3+$B$5*17</f>
        <v/>
      </c>
      <c r="C456">
        <f>SUMPRODUCT(Calc!$K$3:$K$22*(Calc!$G$3:$G$22&lt;=A456))</f>
        <v/>
      </c>
      <c r="D456">
        <f>SUMPRODUCT(Calc!$K$3:$K$22*(Calc!$G$3:$G$22&gt;A456)*(Calc!$G$3:$G$22&lt;B456))</f>
        <v/>
      </c>
      <c r="E456">
        <f>SUMPRODUCT(Calc!$K$3:$K$22*(Calc!$G$3:$G$22&gt;=B456))</f>
        <v/>
      </c>
      <c r="F456">
        <f>AND(k_n&gt;=5,B456&gt;A456+1E-9,C456&gt;=2,D456&gt;=1,E456&gt;=2)</f>
        <v/>
      </c>
      <c r="G456">
        <f>SUMPRODUCT(Calc!$K$3:$K$22*(Calc!$G$3:$G$22&gt;A456)*(Calc!$G$3:$G$22-A456))</f>
        <v/>
      </c>
      <c r="H456">
        <f>SUMPRODUCT(Calc!$K$3:$K$22*(Calc!$G$3:$G$22&gt;B456)*(Calc!$G$3:$G$22-B456))</f>
        <v/>
      </c>
      <c r="I456">
        <f>SUMPRODUCT(Calc!$K$3:$K$22*(Calc!$G$3:$G$22&gt;A456)*(Calc!$G$3:$G$22-A456)^2)</f>
        <v/>
      </c>
      <c r="J456">
        <f>SUMPRODUCT(Calc!$K$3:$K$22*(Calc!$G$3:$G$22&gt;B456)*(Calc!$G$3:$G$22-B456)^2)</f>
        <v/>
      </c>
      <c r="K456">
        <f>SUMPRODUCT(Calc!$K$3:$K$22*(Calc!$G$3:$G$22&gt;A456)*(Calc!$G$3:$G$22-A456)*(Calc!$G$3:$G$22&gt;B456)*(Calc!$G$3:$G$22-B456))</f>
        <v/>
      </c>
      <c r="L456">
        <f>SUMPRODUCT(Calc!$K$3:$K$22*(Calc!$G$3:$G$22&gt;A456)*(Calc!$G$3:$G$22-A456)*Calc!$G$3:$G$22)</f>
        <v/>
      </c>
      <c r="M456">
        <f>SUMPRODUCT(Calc!$K$3:$K$22*(Calc!$G$3:$G$22&gt;B456)*(Calc!$G$3:$G$22-B456)*Calc!$G$3:$G$22)</f>
        <v/>
      </c>
      <c r="N456">
        <f>SUMPRODUCT(Calc!$K$3:$K$22*(Calc!$G$3:$G$22&gt;A456)*(Calc!$G$3:$G$22-A456)*Calc!$I$3:$I$22)</f>
        <v/>
      </c>
      <c r="O456">
        <f>SUMPRODUCT(Calc!$K$3:$K$22*(Calc!$G$3:$G$22&gt;B456)*(Calc!$G$3:$G$22-B456)*Calc!$I$3:$I$22)</f>
        <v/>
      </c>
      <c r="P456">
        <f>I456-G456^2/k_n</f>
        <v/>
      </c>
      <c r="Q456">
        <f>J456-H456^2/k_n</f>
        <v/>
      </c>
      <c r="R456">
        <f>K456-G456*H456/k_n</f>
        <v/>
      </c>
      <c r="S456">
        <f>L456-LTP3!$D$3*G456/k_n</f>
        <v/>
      </c>
      <c r="T456">
        <f>M456-LTP3!$D$3*H456/k_n</f>
        <v/>
      </c>
      <c r="U456">
        <f>N456-G456*LTP3!$D$4/k_n</f>
        <v/>
      </c>
      <c r="V456">
        <f>O456-H456*LTP3!$D$4/k_n</f>
        <v/>
      </c>
      <c r="W456">
        <f>((LTP3!$D$5)*((P456)*(Q456)-(R456)*(R456))-(S456)*((S456)*(Q456)-(R456)*(T456))+(T456)*((S456)*(R456)-(P456)*(T456)))</f>
        <v/>
      </c>
      <c r="X456">
        <f>IF(ABS(W456)&gt;1E-12,((LTP3!$D$6)*((P456)*(Q456)-(R456)*(R456))-(S456)*((U456)*(Q456)-(R456)*(V456))+(T456)*((U456)*(R456)-(P456)*(V456)))/W456,0)</f>
        <v/>
      </c>
      <c r="Y456">
        <f>IF(ABS(W456)&gt;1E-12,((LTP3!$D$5)*((U456)*(Q456)-(R456)*(V456))-(LTP3!$D$6)*((S456)*(Q456)-(R456)*(T456))+(T456)*((S456)*(V456)-(U456)*(T456)))/W456,0)</f>
        <v/>
      </c>
      <c r="Z456">
        <f>IF(ABS(W456)&gt;1E-12,((LTP3!$D$5)*((P456)*(V456)-(U456)*(R456))-(S456)*((S456)*(V456)-(U456)*(T456))+(LTP3!$D$6)*((S456)*(R456)-(P456)*(T456)))/W456,0)</f>
        <v/>
      </c>
      <c r="AA456">
        <f>LTP3!$D$7-X456*LTP3!$D$6-Y456*U456-Z456*V456</f>
        <v/>
      </c>
      <c r="AB456">
        <f>IF(AND(F456,ABS(W456)&gt;1E-12,Y456&gt;0,Z456&gt;0),AA456,1E+300)</f>
        <v/>
      </c>
    </row>
    <row r="457">
      <c r="A457">
        <f>$B$3+$B$5*7</f>
        <v/>
      </c>
      <c r="B457">
        <f>$B$3+$B$5*18</f>
        <v/>
      </c>
      <c r="C457">
        <f>SUMPRODUCT(Calc!$K$3:$K$22*(Calc!$G$3:$G$22&lt;=A457))</f>
        <v/>
      </c>
      <c r="D457">
        <f>SUMPRODUCT(Calc!$K$3:$K$22*(Calc!$G$3:$G$22&gt;A457)*(Calc!$G$3:$G$22&lt;B457))</f>
        <v/>
      </c>
      <c r="E457">
        <f>SUMPRODUCT(Calc!$K$3:$K$22*(Calc!$G$3:$G$22&gt;=B457))</f>
        <v/>
      </c>
      <c r="F457">
        <f>AND(k_n&gt;=5,B457&gt;A457+1E-9,C457&gt;=2,D457&gt;=1,E457&gt;=2)</f>
        <v/>
      </c>
      <c r="G457">
        <f>SUMPRODUCT(Calc!$K$3:$K$22*(Calc!$G$3:$G$22&gt;A457)*(Calc!$G$3:$G$22-A457))</f>
        <v/>
      </c>
      <c r="H457">
        <f>SUMPRODUCT(Calc!$K$3:$K$22*(Calc!$G$3:$G$22&gt;B457)*(Calc!$G$3:$G$22-B457))</f>
        <v/>
      </c>
      <c r="I457">
        <f>SUMPRODUCT(Calc!$K$3:$K$22*(Calc!$G$3:$G$22&gt;A457)*(Calc!$G$3:$G$22-A457)^2)</f>
        <v/>
      </c>
      <c r="J457">
        <f>SUMPRODUCT(Calc!$K$3:$K$22*(Calc!$G$3:$G$22&gt;B457)*(Calc!$G$3:$G$22-B457)^2)</f>
        <v/>
      </c>
      <c r="K457">
        <f>SUMPRODUCT(Calc!$K$3:$K$22*(Calc!$G$3:$G$22&gt;A457)*(Calc!$G$3:$G$22-A457)*(Calc!$G$3:$G$22&gt;B457)*(Calc!$G$3:$G$22-B457))</f>
        <v/>
      </c>
      <c r="L457">
        <f>SUMPRODUCT(Calc!$K$3:$K$22*(Calc!$G$3:$G$22&gt;A457)*(Calc!$G$3:$G$22-A457)*Calc!$G$3:$G$22)</f>
        <v/>
      </c>
      <c r="M457">
        <f>SUMPRODUCT(Calc!$K$3:$K$22*(Calc!$G$3:$G$22&gt;B457)*(Calc!$G$3:$G$22-B457)*Calc!$G$3:$G$22)</f>
        <v/>
      </c>
      <c r="N457">
        <f>SUMPRODUCT(Calc!$K$3:$K$22*(Calc!$G$3:$G$22&gt;A457)*(Calc!$G$3:$G$22-A457)*Calc!$I$3:$I$22)</f>
        <v/>
      </c>
      <c r="O457">
        <f>SUMPRODUCT(Calc!$K$3:$K$22*(Calc!$G$3:$G$22&gt;B457)*(Calc!$G$3:$G$22-B457)*Calc!$I$3:$I$22)</f>
        <v/>
      </c>
      <c r="P457">
        <f>I457-G457^2/k_n</f>
        <v/>
      </c>
      <c r="Q457">
        <f>J457-H457^2/k_n</f>
        <v/>
      </c>
      <c r="R457">
        <f>K457-G457*H457/k_n</f>
        <v/>
      </c>
      <c r="S457">
        <f>L457-LTP3!$D$3*G457/k_n</f>
        <v/>
      </c>
      <c r="T457">
        <f>M457-LTP3!$D$3*H457/k_n</f>
        <v/>
      </c>
      <c r="U457">
        <f>N457-G457*LTP3!$D$4/k_n</f>
        <v/>
      </c>
      <c r="V457">
        <f>O457-H457*LTP3!$D$4/k_n</f>
        <v/>
      </c>
      <c r="W457">
        <f>((LTP3!$D$5)*((P457)*(Q457)-(R457)*(R457))-(S457)*((S457)*(Q457)-(R457)*(T457))+(T457)*((S457)*(R457)-(P457)*(T457)))</f>
        <v/>
      </c>
      <c r="X457">
        <f>IF(ABS(W457)&gt;1E-12,((LTP3!$D$6)*((P457)*(Q457)-(R457)*(R457))-(S457)*((U457)*(Q457)-(R457)*(V457))+(T457)*((U457)*(R457)-(P457)*(V457)))/W457,0)</f>
        <v/>
      </c>
      <c r="Y457">
        <f>IF(ABS(W457)&gt;1E-12,((LTP3!$D$5)*((U457)*(Q457)-(R457)*(V457))-(LTP3!$D$6)*((S457)*(Q457)-(R457)*(T457))+(T457)*((S457)*(V457)-(U457)*(T457)))/W457,0)</f>
        <v/>
      </c>
      <c r="Z457">
        <f>IF(ABS(W457)&gt;1E-12,((LTP3!$D$5)*((P457)*(V457)-(U457)*(R457))-(S457)*((S457)*(V457)-(U457)*(T457))+(LTP3!$D$6)*((S457)*(R457)-(P457)*(T457)))/W457,0)</f>
        <v/>
      </c>
      <c r="AA457">
        <f>LTP3!$D$7-X457*LTP3!$D$6-Y457*U457-Z457*V457</f>
        <v/>
      </c>
      <c r="AB457">
        <f>IF(AND(F457,ABS(W457)&gt;1E-12,Y457&gt;0,Z457&gt;0),AA457,1E+300)</f>
        <v/>
      </c>
    </row>
    <row r="458">
      <c r="A458">
        <f>$B$3+$B$5*7</f>
        <v/>
      </c>
      <c r="B458">
        <f>$B$3+$B$5*19</f>
        <v/>
      </c>
      <c r="C458">
        <f>SUMPRODUCT(Calc!$K$3:$K$22*(Calc!$G$3:$G$22&lt;=A458))</f>
        <v/>
      </c>
      <c r="D458">
        <f>SUMPRODUCT(Calc!$K$3:$K$22*(Calc!$G$3:$G$22&gt;A458)*(Calc!$G$3:$G$22&lt;B458))</f>
        <v/>
      </c>
      <c r="E458">
        <f>SUMPRODUCT(Calc!$K$3:$K$22*(Calc!$G$3:$G$22&gt;=B458))</f>
        <v/>
      </c>
      <c r="F458">
        <f>AND(k_n&gt;=5,B458&gt;A458+1E-9,C458&gt;=2,D458&gt;=1,E458&gt;=2)</f>
        <v/>
      </c>
      <c r="G458">
        <f>SUMPRODUCT(Calc!$K$3:$K$22*(Calc!$G$3:$G$22&gt;A458)*(Calc!$G$3:$G$22-A458))</f>
        <v/>
      </c>
      <c r="H458">
        <f>SUMPRODUCT(Calc!$K$3:$K$22*(Calc!$G$3:$G$22&gt;B458)*(Calc!$G$3:$G$22-B458))</f>
        <v/>
      </c>
      <c r="I458">
        <f>SUMPRODUCT(Calc!$K$3:$K$22*(Calc!$G$3:$G$22&gt;A458)*(Calc!$G$3:$G$22-A458)^2)</f>
        <v/>
      </c>
      <c r="J458">
        <f>SUMPRODUCT(Calc!$K$3:$K$22*(Calc!$G$3:$G$22&gt;B458)*(Calc!$G$3:$G$22-B458)^2)</f>
        <v/>
      </c>
      <c r="K458">
        <f>SUMPRODUCT(Calc!$K$3:$K$22*(Calc!$G$3:$G$22&gt;A458)*(Calc!$G$3:$G$22-A458)*(Calc!$G$3:$G$22&gt;B458)*(Calc!$G$3:$G$22-B458))</f>
        <v/>
      </c>
      <c r="L458">
        <f>SUMPRODUCT(Calc!$K$3:$K$22*(Calc!$G$3:$G$22&gt;A458)*(Calc!$G$3:$G$22-A458)*Calc!$G$3:$G$22)</f>
        <v/>
      </c>
      <c r="M458">
        <f>SUMPRODUCT(Calc!$K$3:$K$22*(Calc!$G$3:$G$22&gt;B458)*(Calc!$G$3:$G$22-B458)*Calc!$G$3:$G$22)</f>
        <v/>
      </c>
      <c r="N458">
        <f>SUMPRODUCT(Calc!$K$3:$K$22*(Calc!$G$3:$G$22&gt;A458)*(Calc!$G$3:$G$22-A458)*Calc!$I$3:$I$22)</f>
        <v/>
      </c>
      <c r="O458">
        <f>SUMPRODUCT(Calc!$K$3:$K$22*(Calc!$G$3:$G$22&gt;B458)*(Calc!$G$3:$G$22-B458)*Calc!$I$3:$I$22)</f>
        <v/>
      </c>
      <c r="P458">
        <f>I458-G458^2/k_n</f>
        <v/>
      </c>
      <c r="Q458">
        <f>J458-H458^2/k_n</f>
        <v/>
      </c>
      <c r="R458">
        <f>K458-G458*H458/k_n</f>
        <v/>
      </c>
      <c r="S458">
        <f>L458-LTP3!$D$3*G458/k_n</f>
        <v/>
      </c>
      <c r="T458">
        <f>M458-LTP3!$D$3*H458/k_n</f>
        <v/>
      </c>
      <c r="U458">
        <f>N458-G458*LTP3!$D$4/k_n</f>
        <v/>
      </c>
      <c r="V458">
        <f>O458-H458*LTP3!$D$4/k_n</f>
        <v/>
      </c>
      <c r="W458">
        <f>((LTP3!$D$5)*((P458)*(Q458)-(R458)*(R458))-(S458)*((S458)*(Q458)-(R458)*(T458))+(T458)*((S458)*(R458)-(P458)*(T458)))</f>
        <v/>
      </c>
      <c r="X458">
        <f>IF(ABS(W458)&gt;1E-12,((LTP3!$D$6)*((P458)*(Q458)-(R458)*(R458))-(S458)*((U458)*(Q458)-(R458)*(V458))+(T458)*((U458)*(R458)-(P458)*(V458)))/W458,0)</f>
        <v/>
      </c>
      <c r="Y458">
        <f>IF(ABS(W458)&gt;1E-12,((LTP3!$D$5)*((U458)*(Q458)-(R458)*(V458))-(LTP3!$D$6)*((S458)*(Q458)-(R458)*(T458))+(T458)*((S458)*(V458)-(U458)*(T458)))/W458,0)</f>
        <v/>
      </c>
      <c r="Z458">
        <f>IF(ABS(W458)&gt;1E-12,((LTP3!$D$5)*((P458)*(V458)-(U458)*(R458))-(S458)*((S458)*(V458)-(U458)*(T458))+(LTP3!$D$6)*((S458)*(R458)-(P458)*(T458)))/W458,0)</f>
        <v/>
      </c>
      <c r="AA458">
        <f>LTP3!$D$7-X458*LTP3!$D$6-Y458*U458-Z458*V458</f>
        <v/>
      </c>
      <c r="AB458">
        <f>IF(AND(F458,ABS(W458)&gt;1E-12,Y458&gt;0,Z458&gt;0),AA458,1E+300)</f>
        <v/>
      </c>
    </row>
    <row r="459">
      <c r="A459">
        <f>$B$3+$B$5*7</f>
        <v/>
      </c>
      <c r="B459">
        <f>$B$3+$B$5*20</f>
        <v/>
      </c>
      <c r="C459">
        <f>SUMPRODUCT(Calc!$K$3:$K$22*(Calc!$G$3:$G$22&lt;=A459))</f>
        <v/>
      </c>
      <c r="D459">
        <f>SUMPRODUCT(Calc!$K$3:$K$22*(Calc!$G$3:$G$22&gt;A459)*(Calc!$G$3:$G$22&lt;B459))</f>
        <v/>
      </c>
      <c r="E459">
        <f>SUMPRODUCT(Calc!$K$3:$K$22*(Calc!$G$3:$G$22&gt;=B459))</f>
        <v/>
      </c>
      <c r="F459">
        <f>AND(k_n&gt;=5,B459&gt;A459+1E-9,C459&gt;=2,D459&gt;=1,E459&gt;=2)</f>
        <v/>
      </c>
      <c r="G459">
        <f>SUMPRODUCT(Calc!$K$3:$K$22*(Calc!$G$3:$G$22&gt;A459)*(Calc!$G$3:$G$22-A459))</f>
        <v/>
      </c>
      <c r="H459">
        <f>SUMPRODUCT(Calc!$K$3:$K$22*(Calc!$G$3:$G$22&gt;B459)*(Calc!$G$3:$G$22-B459))</f>
        <v/>
      </c>
      <c r="I459">
        <f>SUMPRODUCT(Calc!$K$3:$K$22*(Calc!$G$3:$G$22&gt;A459)*(Calc!$G$3:$G$22-A459)^2)</f>
        <v/>
      </c>
      <c r="J459">
        <f>SUMPRODUCT(Calc!$K$3:$K$22*(Calc!$G$3:$G$22&gt;B459)*(Calc!$G$3:$G$22-B459)^2)</f>
        <v/>
      </c>
      <c r="K459">
        <f>SUMPRODUCT(Calc!$K$3:$K$22*(Calc!$G$3:$G$22&gt;A459)*(Calc!$G$3:$G$22-A459)*(Calc!$G$3:$G$22&gt;B459)*(Calc!$G$3:$G$22-B459))</f>
        <v/>
      </c>
      <c r="L459">
        <f>SUMPRODUCT(Calc!$K$3:$K$22*(Calc!$G$3:$G$22&gt;A459)*(Calc!$G$3:$G$22-A459)*Calc!$G$3:$G$22)</f>
        <v/>
      </c>
      <c r="M459">
        <f>SUMPRODUCT(Calc!$K$3:$K$22*(Calc!$G$3:$G$22&gt;B459)*(Calc!$G$3:$G$22-B459)*Calc!$G$3:$G$22)</f>
        <v/>
      </c>
      <c r="N459">
        <f>SUMPRODUCT(Calc!$K$3:$K$22*(Calc!$G$3:$G$22&gt;A459)*(Calc!$G$3:$G$22-A459)*Calc!$I$3:$I$22)</f>
        <v/>
      </c>
      <c r="O459">
        <f>SUMPRODUCT(Calc!$K$3:$K$22*(Calc!$G$3:$G$22&gt;B459)*(Calc!$G$3:$G$22-B459)*Calc!$I$3:$I$22)</f>
        <v/>
      </c>
      <c r="P459">
        <f>I459-G459^2/k_n</f>
        <v/>
      </c>
      <c r="Q459">
        <f>J459-H459^2/k_n</f>
        <v/>
      </c>
      <c r="R459">
        <f>K459-G459*H459/k_n</f>
        <v/>
      </c>
      <c r="S459">
        <f>L459-LTP3!$D$3*G459/k_n</f>
        <v/>
      </c>
      <c r="T459">
        <f>M459-LTP3!$D$3*H459/k_n</f>
        <v/>
      </c>
      <c r="U459">
        <f>N459-G459*LTP3!$D$4/k_n</f>
        <v/>
      </c>
      <c r="V459">
        <f>O459-H459*LTP3!$D$4/k_n</f>
        <v/>
      </c>
      <c r="W459">
        <f>((LTP3!$D$5)*((P459)*(Q459)-(R459)*(R459))-(S459)*((S459)*(Q459)-(R459)*(T459))+(T459)*((S459)*(R459)-(P459)*(T459)))</f>
        <v/>
      </c>
      <c r="X459">
        <f>IF(ABS(W459)&gt;1E-12,((LTP3!$D$6)*((P459)*(Q459)-(R459)*(R459))-(S459)*((U459)*(Q459)-(R459)*(V459))+(T459)*((U459)*(R459)-(P459)*(V459)))/W459,0)</f>
        <v/>
      </c>
      <c r="Y459">
        <f>IF(ABS(W459)&gt;1E-12,((LTP3!$D$5)*((U459)*(Q459)-(R459)*(V459))-(LTP3!$D$6)*((S459)*(Q459)-(R459)*(T459))+(T459)*((S459)*(V459)-(U459)*(T459)))/W459,0)</f>
        <v/>
      </c>
      <c r="Z459">
        <f>IF(ABS(W459)&gt;1E-12,((LTP3!$D$5)*((P459)*(V459)-(U459)*(R459))-(S459)*((S459)*(V459)-(U459)*(T459))+(LTP3!$D$6)*((S459)*(R459)-(P459)*(T459)))/W459,0)</f>
        <v/>
      </c>
      <c r="AA459">
        <f>LTP3!$D$7-X459*LTP3!$D$6-Y459*U459-Z459*V459</f>
        <v/>
      </c>
      <c r="AB459">
        <f>IF(AND(F459,ABS(W459)&gt;1E-12,Y459&gt;0,Z459&gt;0),AA459,1E+300)</f>
        <v/>
      </c>
    </row>
    <row r="460">
      <c r="A460">
        <f>$B$3+$B$5*7</f>
        <v/>
      </c>
      <c r="B460">
        <f>$B$3+$B$5*21</f>
        <v/>
      </c>
      <c r="C460">
        <f>SUMPRODUCT(Calc!$K$3:$K$22*(Calc!$G$3:$G$22&lt;=A460))</f>
        <v/>
      </c>
      <c r="D460">
        <f>SUMPRODUCT(Calc!$K$3:$K$22*(Calc!$G$3:$G$22&gt;A460)*(Calc!$G$3:$G$22&lt;B460))</f>
        <v/>
      </c>
      <c r="E460">
        <f>SUMPRODUCT(Calc!$K$3:$K$22*(Calc!$G$3:$G$22&gt;=B460))</f>
        <v/>
      </c>
      <c r="F460">
        <f>AND(k_n&gt;=5,B460&gt;A460+1E-9,C460&gt;=2,D460&gt;=1,E460&gt;=2)</f>
        <v/>
      </c>
      <c r="G460">
        <f>SUMPRODUCT(Calc!$K$3:$K$22*(Calc!$G$3:$G$22&gt;A460)*(Calc!$G$3:$G$22-A460))</f>
        <v/>
      </c>
      <c r="H460">
        <f>SUMPRODUCT(Calc!$K$3:$K$22*(Calc!$G$3:$G$22&gt;B460)*(Calc!$G$3:$G$22-B460))</f>
        <v/>
      </c>
      <c r="I460">
        <f>SUMPRODUCT(Calc!$K$3:$K$22*(Calc!$G$3:$G$22&gt;A460)*(Calc!$G$3:$G$22-A460)^2)</f>
        <v/>
      </c>
      <c r="J460">
        <f>SUMPRODUCT(Calc!$K$3:$K$22*(Calc!$G$3:$G$22&gt;B460)*(Calc!$G$3:$G$22-B460)^2)</f>
        <v/>
      </c>
      <c r="K460">
        <f>SUMPRODUCT(Calc!$K$3:$K$22*(Calc!$G$3:$G$22&gt;A460)*(Calc!$G$3:$G$22-A460)*(Calc!$G$3:$G$22&gt;B460)*(Calc!$G$3:$G$22-B460))</f>
        <v/>
      </c>
      <c r="L460">
        <f>SUMPRODUCT(Calc!$K$3:$K$22*(Calc!$G$3:$G$22&gt;A460)*(Calc!$G$3:$G$22-A460)*Calc!$G$3:$G$22)</f>
        <v/>
      </c>
      <c r="M460">
        <f>SUMPRODUCT(Calc!$K$3:$K$22*(Calc!$G$3:$G$22&gt;B460)*(Calc!$G$3:$G$22-B460)*Calc!$G$3:$G$22)</f>
        <v/>
      </c>
      <c r="N460">
        <f>SUMPRODUCT(Calc!$K$3:$K$22*(Calc!$G$3:$G$22&gt;A460)*(Calc!$G$3:$G$22-A460)*Calc!$I$3:$I$22)</f>
        <v/>
      </c>
      <c r="O460">
        <f>SUMPRODUCT(Calc!$K$3:$K$22*(Calc!$G$3:$G$22&gt;B460)*(Calc!$G$3:$G$22-B460)*Calc!$I$3:$I$22)</f>
        <v/>
      </c>
      <c r="P460">
        <f>I460-G460^2/k_n</f>
        <v/>
      </c>
      <c r="Q460">
        <f>J460-H460^2/k_n</f>
        <v/>
      </c>
      <c r="R460">
        <f>K460-G460*H460/k_n</f>
        <v/>
      </c>
      <c r="S460">
        <f>L460-LTP3!$D$3*G460/k_n</f>
        <v/>
      </c>
      <c r="T460">
        <f>M460-LTP3!$D$3*H460/k_n</f>
        <v/>
      </c>
      <c r="U460">
        <f>N460-G460*LTP3!$D$4/k_n</f>
        <v/>
      </c>
      <c r="V460">
        <f>O460-H460*LTP3!$D$4/k_n</f>
        <v/>
      </c>
      <c r="W460">
        <f>((LTP3!$D$5)*((P460)*(Q460)-(R460)*(R460))-(S460)*((S460)*(Q460)-(R460)*(T460))+(T460)*((S460)*(R460)-(P460)*(T460)))</f>
        <v/>
      </c>
      <c r="X460">
        <f>IF(ABS(W460)&gt;1E-12,((LTP3!$D$6)*((P460)*(Q460)-(R460)*(R460))-(S460)*((U460)*(Q460)-(R460)*(V460))+(T460)*((U460)*(R460)-(P460)*(V460)))/W460,0)</f>
        <v/>
      </c>
      <c r="Y460">
        <f>IF(ABS(W460)&gt;1E-12,((LTP3!$D$5)*((U460)*(Q460)-(R460)*(V460))-(LTP3!$D$6)*((S460)*(Q460)-(R460)*(T460))+(T460)*((S460)*(V460)-(U460)*(T460)))/W460,0)</f>
        <v/>
      </c>
      <c r="Z460">
        <f>IF(ABS(W460)&gt;1E-12,((LTP3!$D$5)*((P460)*(V460)-(U460)*(R460))-(S460)*((S460)*(V460)-(U460)*(T460))+(LTP3!$D$6)*((S460)*(R460)-(P460)*(T460)))/W460,0)</f>
        <v/>
      </c>
      <c r="AA460">
        <f>LTP3!$D$7-X460*LTP3!$D$6-Y460*U460-Z460*V460</f>
        <v/>
      </c>
      <c r="AB460">
        <f>IF(AND(F460,ABS(W460)&gt;1E-12,Y460&gt;0,Z460&gt;0),AA460,1E+300)</f>
        <v/>
      </c>
    </row>
    <row r="461">
      <c r="A461">
        <f>$B$3+$B$5*7</f>
        <v/>
      </c>
      <c r="B461">
        <f>$B$3+$B$5*22</f>
        <v/>
      </c>
      <c r="C461">
        <f>SUMPRODUCT(Calc!$K$3:$K$22*(Calc!$G$3:$G$22&lt;=A461))</f>
        <v/>
      </c>
      <c r="D461">
        <f>SUMPRODUCT(Calc!$K$3:$K$22*(Calc!$G$3:$G$22&gt;A461)*(Calc!$G$3:$G$22&lt;B461))</f>
        <v/>
      </c>
      <c r="E461">
        <f>SUMPRODUCT(Calc!$K$3:$K$22*(Calc!$G$3:$G$22&gt;=B461))</f>
        <v/>
      </c>
      <c r="F461">
        <f>AND(k_n&gt;=5,B461&gt;A461+1E-9,C461&gt;=2,D461&gt;=1,E461&gt;=2)</f>
        <v/>
      </c>
      <c r="G461">
        <f>SUMPRODUCT(Calc!$K$3:$K$22*(Calc!$G$3:$G$22&gt;A461)*(Calc!$G$3:$G$22-A461))</f>
        <v/>
      </c>
      <c r="H461">
        <f>SUMPRODUCT(Calc!$K$3:$K$22*(Calc!$G$3:$G$22&gt;B461)*(Calc!$G$3:$G$22-B461))</f>
        <v/>
      </c>
      <c r="I461">
        <f>SUMPRODUCT(Calc!$K$3:$K$22*(Calc!$G$3:$G$22&gt;A461)*(Calc!$G$3:$G$22-A461)^2)</f>
        <v/>
      </c>
      <c r="J461">
        <f>SUMPRODUCT(Calc!$K$3:$K$22*(Calc!$G$3:$G$22&gt;B461)*(Calc!$G$3:$G$22-B461)^2)</f>
        <v/>
      </c>
      <c r="K461">
        <f>SUMPRODUCT(Calc!$K$3:$K$22*(Calc!$G$3:$G$22&gt;A461)*(Calc!$G$3:$G$22-A461)*(Calc!$G$3:$G$22&gt;B461)*(Calc!$G$3:$G$22-B461))</f>
        <v/>
      </c>
      <c r="L461">
        <f>SUMPRODUCT(Calc!$K$3:$K$22*(Calc!$G$3:$G$22&gt;A461)*(Calc!$G$3:$G$22-A461)*Calc!$G$3:$G$22)</f>
        <v/>
      </c>
      <c r="M461">
        <f>SUMPRODUCT(Calc!$K$3:$K$22*(Calc!$G$3:$G$22&gt;B461)*(Calc!$G$3:$G$22-B461)*Calc!$G$3:$G$22)</f>
        <v/>
      </c>
      <c r="N461">
        <f>SUMPRODUCT(Calc!$K$3:$K$22*(Calc!$G$3:$G$22&gt;A461)*(Calc!$G$3:$G$22-A461)*Calc!$I$3:$I$22)</f>
        <v/>
      </c>
      <c r="O461">
        <f>SUMPRODUCT(Calc!$K$3:$K$22*(Calc!$G$3:$G$22&gt;B461)*(Calc!$G$3:$G$22-B461)*Calc!$I$3:$I$22)</f>
        <v/>
      </c>
      <c r="P461">
        <f>I461-G461^2/k_n</f>
        <v/>
      </c>
      <c r="Q461">
        <f>J461-H461^2/k_n</f>
        <v/>
      </c>
      <c r="R461">
        <f>K461-G461*H461/k_n</f>
        <v/>
      </c>
      <c r="S461">
        <f>L461-LTP3!$D$3*G461/k_n</f>
        <v/>
      </c>
      <c r="T461">
        <f>M461-LTP3!$D$3*H461/k_n</f>
        <v/>
      </c>
      <c r="U461">
        <f>N461-G461*LTP3!$D$4/k_n</f>
        <v/>
      </c>
      <c r="V461">
        <f>O461-H461*LTP3!$D$4/k_n</f>
        <v/>
      </c>
      <c r="W461">
        <f>((LTP3!$D$5)*((P461)*(Q461)-(R461)*(R461))-(S461)*((S461)*(Q461)-(R461)*(T461))+(T461)*((S461)*(R461)-(P461)*(T461)))</f>
        <v/>
      </c>
      <c r="X461">
        <f>IF(ABS(W461)&gt;1E-12,((LTP3!$D$6)*((P461)*(Q461)-(R461)*(R461))-(S461)*((U461)*(Q461)-(R461)*(V461))+(T461)*((U461)*(R461)-(P461)*(V461)))/W461,0)</f>
        <v/>
      </c>
      <c r="Y461">
        <f>IF(ABS(W461)&gt;1E-12,((LTP3!$D$5)*((U461)*(Q461)-(R461)*(V461))-(LTP3!$D$6)*((S461)*(Q461)-(R461)*(T461))+(T461)*((S461)*(V461)-(U461)*(T461)))/W461,0)</f>
        <v/>
      </c>
      <c r="Z461">
        <f>IF(ABS(W461)&gt;1E-12,((LTP3!$D$5)*((P461)*(V461)-(U461)*(R461))-(S461)*((S461)*(V461)-(U461)*(T461))+(LTP3!$D$6)*((S461)*(R461)-(P461)*(T461)))/W461,0)</f>
        <v/>
      </c>
      <c r="AA461">
        <f>LTP3!$D$7-X461*LTP3!$D$6-Y461*U461-Z461*V461</f>
        <v/>
      </c>
      <c r="AB461">
        <f>IF(AND(F461,ABS(W461)&gt;1E-12,Y461&gt;0,Z461&gt;0),AA461,1E+300)</f>
        <v/>
      </c>
    </row>
    <row r="462">
      <c r="A462">
        <f>$B$3+$B$5*7</f>
        <v/>
      </c>
      <c r="B462">
        <f>$B$3+$B$5*23</f>
        <v/>
      </c>
      <c r="C462">
        <f>SUMPRODUCT(Calc!$K$3:$K$22*(Calc!$G$3:$G$22&lt;=A462))</f>
        <v/>
      </c>
      <c r="D462">
        <f>SUMPRODUCT(Calc!$K$3:$K$22*(Calc!$G$3:$G$22&gt;A462)*(Calc!$G$3:$G$22&lt;B462))</f>
        <v/>
      </c>
      <c r="E462">
        <f>SUMPRODUCT(Calc!$K$3:$K$22*(Calc!$G$3:$G$22&gt;=B462))</f>
        <v/>
      </c>
      <c r="F462">
        <f>AND(k_n&gt;=5,B462&gt;A462+1E-9,C462&gt;=2,D462&gt;=1,E462&gt;=2)</f>
        <v/>
      </c>
      <c r="G462">
        <f>SUMPRODUCT(Calc!$K$3:$K$22*(Calc!$G$3:$G$22&gt;A462)*(Calc!$G$3:$G$22-A462))</f>
        <v/>
      </c>
      <c r="H462">
        <f>SUMPRODUCT(Calc!$K$3:$K$22*(Calc!$G$3:$G$22&gt;B462)*(Calc!$G$3:$G$22-B462))</f>
        <v/>
      </c>
      <c r="I462">
        <f>SUMPRODUCT(Calc!$K$3:$K$22*(Calc!$G$3:$G$22&gt;A462)*(Calc!$G$3:$G$22-A462)^2)</f>
        <v/>
      </c>
      <c r="J462">
        <f>SUMPRODUCT(Calc!$K$3:$K$22*(Calc!$G$3:$G$22&gt;B462)*(Calc!$G$3:$G$22-B462)^2)</f>
        <v/>
      </c>
      <c r="K462">
        <f>SUMPRODUCT(Calc!$K$3:$K$22*(Calc!$G$3:$G$22&gt;A462)*(Calc!$G$3:$G$22-A462)*(Calc!$G$3:$G$22&gt;B462)*(Calc!$G$3:$G$22-B462))</f>
        <v/>
      </c>
      <c r="L462">
        <f>SUMPRODUCT(Calc!$K$3:$K$22*(Calc!$G$3:$G$22&gt;A462)*(Calc!$G$3:$G$22-A462)*Calc!$G$3:$G$22)</f>
        <v/>
      </c>
      <c r="M462">
        <f>SUMPRODUCT(Calc!$K$3:$K$22*(Calc!$G$3:$G$22&gt;B462)*(Calc!$G$3:$G$22-B462)*Calc!$G$3:$G$22)</f>
        <v/>
      </c>
      <c r="N462">
        <f>SUMPRODUCT(Calc!$K$3:$K$22*(Calc!$G$3:$G$22&gt;A462)*(Calc!$G$3:$G$22-A462)*Calc!$I$3:$I$22)</f>
        <v/>
      </c>
      <c r="O462">
        <f>SUMPRODUCT(Calc!$K$3:$K$22*(Calc!$G$3:$G$22&gt;B462)*(Calc!$G$3:$G$22-B462)*Calc!$I$3:$I$22)</f>
        <v/>
      </c>
      <c r="P462">
        <f>I462-G462^2/k_n</f>
        <v/>
      </c>
      <c r="Q462">
        <f>J462-H462^2/k_n</f>
        <v/>
      </c>
      <c r="R462">
        <f>K462-G462*H462/k_n</f>
        <v/>
      </c>
      <c r="S462">
        <f>L462-LTP3!$D$3*G462/k_n</f>
        <v/>
      </c>
      <c r="T462">
        <f>M462-LTP3!$D$3*H462/k_n</f>
        <v/>
      </c>
      <c r="U462">
        <f>N462-G462*LTP3!$D$4/k_n</f>
        <v/>
      </c>
      <c r="V462">
        <f>O462-H462*LTP3!$D$4/k_n</f>
        <v/>
      </c>
      <c r="W462">
        <f>((LTP3!$D$5)*((P462)*(Q462)-(R462)*(R462))-(S462)*((S462)*(Q462)-(R462)*(T462))+(T462)*((S462)*(R462)-(P462)*(T462)))</f>
        <v/>
      </c>
      <c r="X462">
        <f>IF(ABS(W462)&gt;1E-12,((LTP3!$D$6)*((P462)*(Q462)-(R462)*(R462))-(S462)*((U462)*(Q462)-(R462)*(V462))+(T462)*((U462)*(R462)-(P462)*(V462)))/W462,0)</f>
        <v/>
      </c>
      <c r="Y462">
        <f>IF(ABS(W462)&gt;1E-12,((LTP3!$D$5)*((U462)*(Q462)-(R462)*(V462))-(LTP3!$D$6)*((S462)*(Q462)-(R462)*(T462))+(T462)*((S462)*(V462)-(U462)*(T462)))/W462,0)</f>
        <v/>
      </c>
      <c r="Z462">
        <f>IF(ABS(W462)&gt;1E-12,((LTP3!$D$5)*((P462)*(V462)-(U462)*(R462))-(S462)*((S462)*(V462)-(U462)*(T462))+(LTP3!$D$6)*((S462)*(R462)-(P462)*(T462)))/W462,0)</f>
        <v/>
      </c>
      <c r="AA462">
        <f>LTP3!$D$7-X462*LTP3!$D$6-Y462*U462-Z462*V462</f>
        <v/>
      </c>
      <c r="AB462">
        <f>IF(AND(F462,ABS(W462)&gt;1E-12,Y462&gt;0,Z462&gt;0),AA462,1E+300)</f>
        <v/>
      </c>
    </row>
    <row r="463">
      <c r="A463">
        <f>$B$3+$B$5*7</f>
        <v/>
      </c>
      <c r="B463">
        <f>$B$3+$B$5*24</f>
        <v/>
      </c>
      <c r="C463">
        <f>SUMPRODUCT(Calc!$K$3:$K$22*(Calc!$G$3:$G$22&lt;=A463))</f>
        <v/>
      </c>
      <c r="D463">
        <f>SUMPRODUCT(Calc!$K$3:$K$22*(Calc!$G$3:$G$22&gt;A463)*(Calc!$G$3:$G$22&lt;B463))</f>
        <v/>
      </c>
      <c r="E463">
        <f>SUMPRODUCT(Calc!$K$3:$K$22*(Calc!$G$3:$G$22&gt;=B463))</f>
        <v/>
      </c>
      <c r="F463">
        <f>AND(k_n&gt;=5,B463&gt;A463+1E-9,C463&gt;=2,D463&gt;=1,E463&gt;=2)</f>
        <v/>
      </c>
      <c r="G463">
        <f>SUMPRODUCT(Calc!$K$3:$K$22*(Calc!$G$3:$G$22&gt;A463)*(Calc!$G$3:$G$22-A463))</f>
        <v/>
      </c>
      <c r="H463">
        <f>SUMPRODUCT(Calc!$K$3:$K$22*(Calc!$G$3:$G$22&gt;B463)*(Calc!$G$3:$G$22-B463))</f>
        <v/>
      </c>
      <c r="I463">
        <f>SUMPRODUCT(Calc!$K$3:$K$22*(Calc!$G$3:$G$22&gt;A463)*(Calc!$G$3:$G$22-A463)^2)</f>
        <v/>
      </c>
      <c r="J463">
        <f>SUMPRODUCT(Calc!$K$3:$K$22*(Calc!$G$3:$G$22&gt;B463)*(Calc!$G$3:$G$22-B463)^2)</f>
        <v/>
      </c>
      <c r="K463">
        <f>SUMPRODUCT(Calc!$K$3:$K$22*(Calc!$G$3:$G$22&gt;A463)*(Calc!$G$3:$G$22-A463)*(Calc!$G$3:$G$22&gt;B463)*(Calc!$G$3:$G$22-B463))</f>
        <v/>
      </c>
      <c r="L463">
        <f>SUMPRODUCT(Calc!$K$3:$K$22*(Calc!$G$3:$G$22&gt;A463)*(Calc!$G$3:$G$22-A463)*Calc!$G$3:$G$22)</f>
        <v/>
      </c>
      <c r="M463">
        <f>SUMPRODUCT(Calc!$K$3:$K$22*(Calc!$G$3:$G$22&gt;B463)*(Calc!$G$3:$G$22-B463)*Calc!$G$3:$G$22)</f>
        <v/>
      </c>
      <c r="N463">
        <f>SUMPRODUCT(Calc!$K$3:$K$22*(Calc!$G$3:$G$22&gt;A463)*(Calc!$G$3:$G$22-A463)*Calc!$I$3:$I$22)</f>
        <v/>
      </c>
      <c r="O463">
        <f>SUMPRODUCT(Calc!$K$3:$K$22*(Calc!$G$3:$G$22&gt;B463)*(Calc!$G$3:$G$22-B463)*Calc!$I$3:$I$22)</f>
        <v/>
      </c>
      <c r="P463">
        <f>I463-G463^2/k_n</f>
        <v/>
      </c>
      <c r="Q463">
        <f>J463-H463^2/k_n</f>
        <v/>
      </c>
      <c r="R463">
        <f>K463-G463*H463/k_n</f>
        <v/>
      </c>
      <c r="S463">
        <f>L463-LTP3!$D$3*G463/k_n</f>
        <v/>
      </c>
      <c r="T463">
        <f>M463-LTP3!$D$3*H463/k_n</f>
        <v/>
      </c>
      <c r="U463">
        <f>N463-G463*LTP3!$D$4/k_n</f>
        <v/>
      </c>
      <c r="V463">
        <f>O463-H463*LTP3!$D$4/k_n</f>
        <v/>
      </c>
      <c r="W463">
        <f>((LTP3!$D$5)*((P463)*(Q463)-(R463)*(R463))-(S463)*((S463)*(Q463)-(R463)*(T463))+(T463)*((S463)*(R463)-(P463)*(T463)))</f>
        <v/>
      </c>
      <c r="X463">
        <f>IF(ABS(W463)&gt;1E-12,((LTP3!$D$6)*((P463)*(Q463)-(R463)*(R463))-(S463)*((U463)*(Q463)-(R463)*(V463))+(T463)*((U463)*(R463)-(P463)*(V463)))/W463,0)</f>
        <v/>
      </c>
      <c r="Y463">
        <f>IF(ABS(W463)&gt;1E-12,((LTP3!$D$5)*((U463)*(Q463)-(R463)*(V463))-(LTP3!$D$6)*((S463)*(Q463)-(R463)*(T463))+(T463)*((S463)*(V463)-(U463)*(T463)))/W463,0)</f>
        <v/>
      </c>
      <c r="Z463">
        <f>IF(ABS(W463)&gt;1E-12,((LTP3!$D$5)*((P463)*(V463)-(U463)*(R463))-(S463)*((S463)*(V463)-(U463)*(T463))+(LTP3!$D$6)*((S463)*(R463)-(P463)*(T463)))/W463,0)</f>
        <v/>
      </c>
      <c r="AA463">
        <f>LTP3!$D$7-X463*LTP3!$D$6-Y463*U463-Z463*V463</f>
        <v/>
      </c>
      <c r="AB463">
        <f>IF(AND(F463,ABS(W463)&gt;1E-12,Y463&gt;0,Z463&gt;0),AA463,1E+300)</f>
        <v/>
      </c>
    </row>
    <row r="464">
      <c r="A464">
        <f>$B$3+$B$5*7</f>
        <v/>
      </c>
      <c r="B464">
        <f>$B$3+$B$5*25</f>
        <v/>
      </c>
      <c r="C464">
        <f>SUMPRODUCT(Calc!$K$3:$K$22*(Calc!$G$3:$G$22&lt;=A464))</f>
        <v/>
      </c>
      <c r="D464">
        <f>SUMPRODUCT(Calc!$K$3:$K$22*(Calc!$G$3:$G$22&gt;A464)*(Calc!$G$3:$G$22&lt;B464))</f>
        <v/>
      </c>
      <c r="E464">
        <f>SUMPRODUCT(Calc!$K$3:$K$22*(Calc!$G$3:$G$22&gt;=B464))</f>
        <v/>
      </c>
      <c r="F464">
        <f>AND(k_n&gt;=5,B464&gt;A464+1E-9,C464&gt;=2,D464&gt;=1,E464&gt;=2)</f>
        <v/>
      </c>
      <c r="G464">
        <f>SUMPRODUCT(Calc!$K$3:$K$22*(Calc!$G$3:$G$22&gt;A464)*(Calc!$G$3:$G$22-A464))</f>
        <v/>
      </c>
      <c r="H464">
        <f>SUMPRODUCT(Calc!$K$3:$K$22*(Calc!$G$3:$G$22&gt;B464)*(Calc!$G$3:$G$22-B464))</f>
        <v/>
      </c>
      <c r="I464">
        <f>SUMPRODUCT(Calc!$K$3:$K$22*(Calc!$G$3:$G$22&gt;A464)*(Calc!$G$3:$G$22-A464)^2)</f>
        <v/>
      </c>
      <c r="J464">
        <f>SUMPRODUCT(Calc!$K$3:$K$22*(Calc!$G$3:$G$22&gt;B464)*(Calc!$G$3:$G$22-B464)^2)</f>
        <v/>
      </c>
      <c r="K464">
        <f>SUMPRODUCT(Calc!$K$3:$K$22*(Calc!$G$3:$G$22&gt;A464)*(Calc!$G$3:$G$22-A464)*(Calc!$G$3:$G$22&gt;B464)*(Calc!$G$3:$G$22-B464))</f>
        <v/>
      </c>
      <c r="L464">
        <f>SUMPRODUCT(Calc!$K$3:$K$22*(Calc!$G$3:$G$22&gt;A464)*(Calc!$G$3:$G$22-A464)*Calc!$G$3:$G$22)</f>
        <v/>
      </c>
      <c r="M464">
        <f>SUMPRODUCT(Calc!$K$3:$K$22*(Calc!$G$3:$G$22&gt;B464)*(Calc!$G$3:$G$22-B464)*Calc!$G$3:$G$22)</f>
        <v/>
      </c>
      <c r="N464">
        <f>SUMPRODUCT(Calc!$K$3:$K$22*(Calc!$G$3:$G$22&gt;A464)*(Calc!$G$3:$G$22-A464)*Calc!$I$3:$I$22)</f>
        <v/>
      </c>
      <c r="O464">
        <f>SUMPRODUCT(Calc!$K$3:$K$22*(Calc!$G$3:$G$22&gt;B464)*(Calc!$G$3:$G$22-B464)*Calc!$I$3:$I$22)</f>
        <v/>
      </c>
      <c r="P464">
        <f>I464-G464^2/k_n</f>
        <v/>
      </c>
      <c r="Q464">
        <f>J464-H464^2/k_n</f>
        <v/>
      </c>
      <c r="R464">
        <f>K464-G464*H464/k_n</f>
        <v/>
      </c>
      <c r="S464">
        <f>L464-LTP3!$D$3*G464/k_n</f>
        <v/>
      </c>
      <c r="T464">
        <f>M464-LTP3!$D$3*H464/k_n</f>
        <v/>
      </c>
      <c r="U464">
        <f>N464-G464*LTP3!$D$4/k_n</f>
        <v/>
      </c>
      <c r="V464">
        <f>O464-H464*LTP3!$D$4/k_n</f>
        <v/>
      </c>
      <c r="W464">
        <f>((LTP3!$D$5)*((P464)*(Q464)-(R464)*(R464))-(S464)*((S464)*(Q464)-(R464)*(T464))+(T464)*((S464)*(R464)-(P464)*(T464)))</f>
        <v/>
      </c>
      <c r="X464">
        <f>IF(ABS(W464)&gt;1E-12,((LTP3!$D$6)*((P464)*(Q464)-(R464)*(R464))-(S464)*((U464)*(Q464)-(R464)*(V464))+(T464)*((U464)*(R464)-(P464)*(V464)))/W464,0)</f>
        <v/>
      </c>
      <c r="Y464">
        <f>IF(ABS(W464)&gt;1E-12,((LTP3!$D$5)*((U464)*(Q464)-(R464)*(V464))-(LTP3!$D$6)*((S464)*(Q464)-(R464)*(T464))+(T464)*((S464)*(V464)-(U464)*(T464)))/W464,0)</f>
        <v/>
      </c>
      <c r="Z464">
        <f>IF(ABS(W464)&gt;1E-12,((LTP3!$D$5)*((P464)*(V464)-(U464)*(R464))-(S464)*((S464)*(V464)-(U464)*(T464))+(LTP3!$D$6)*((S464)*(R464)-(P464)*(T464)))/W464,0)</f>
        <v/>
      </c>
      <c r="AA464">
        <f>LTP3!$D$7-X464*LTP3!$D$6-Y464*U464-Z464*V464</f>
        <v/>
      </c>
      <c r="AB464">
        <f>IF(AND(F464,ABS(W464)&gt;1E-12,Y464&gt;0,Z464&gt;0),AA464,1E+300)</f>
        <v/>
      </c>
    </row>
    <row r="465">
      <c r="A465">
        <f>$B$3+$B$5*7</f>
        <v/>
      </c>
      <c r="B465">
        <f>$B$3+$B$5*26</f>
        <v/>
      </c>
      <c r="C465">
        <f>SUMPRODUCT(Calc!$K$3:$K$22*(Calc!$G$3:$G$22&lt;=A465))</f>
        <v/>
      </c>
      <c r="D465">
        <f>SUMPRODUCT(Calc!$K$3:$K$22*(Calc!$G$3:$G$22&gt;A465)*(Calc!$G$3:$G$22&lt;B465))</f>
        <v/>
      </c>
      <c r="E465">
        <f>SUMPRODUCT(Calc!$K$3:$K$22*(Calc!$G$3:$G$22&gt;=B465))</f>
        <v/>
      </c>
      <c r="F465">
        <f>AND(k_n&gt;=5,B465&gt;A465+1E-9,C465&gt;=2,D465&gt;=1,E465&gt;=2)</f>
        <v/>
      </c>
      <c r="G465">
        <f>SUMPRODUCT(Calc!$K$3:$K$22*(Calc!$G$3:$G$22&gt;A465)*(Calc!$G$3:$G$22-A465))</f>
        <v/>
      </c>
      <c r="H465">
        <f>SUMPRODUCT(Calc!$K$3:$K$22*(Calc!$G$3:$G$22&gt;B465)*(Calc!$G$3:$G$22-B465))</f>
        <v/>
      </c>
      <c r="I465">
        <f>SUMPRODUCT(Calc!$K$3:$K$22*(Calc!$G$3:$G$22&gt;A465)*(Calc!$G$3:$G$22-A465)^2)</f>
        <v/>
      </c>
      <c r="J465">
        <f>SUMPRODUCT(Calc!$K$3:$K$22*(Calc!$G$3:$G$22&gt;B465)*(Calc!$G$3:$G$22-B465)^2)</f>
        <v/>
      </c>
      <c r="K465">
        <f>SUMPRODUCT(Calc!$K$3:$K$22*(Calc!$G$3:$G$22&gt;A465)*(Calc!$G$3:$G$22-A465)*(Calc!$G$3:$G$22&gt;B465)*(Calc!$G$3:$G$22-B465))</f>
        <v/>
      </c>
      <c r="L465">
        <f>SUMPRODUCT(Calc!$K$3:$K$22*(Calc!$G$3:$G$22&gt;A465)*(Calc!$G$3:$G$22-A465)*Calc!$G$3:$G$22)</f>
        <v/>
      </c>
      <c r="M465">
        <f>SUMPRODUCT(Calc!$K$3:$K$22*(Calc!$G$3:$G$22&gt;B465)*(Calc!$G$3:$G$22-B465)*Calc!$G$3:$G$22)</f>
        <v/>
      </c>
      <c r="N465">
        <f>SUMPRODUCT(Calc!$K$3:$K$22*(Calc!$G$3:$G$22&gt;A465)*(Calc!$G$3:$G$22-A465)*Calc!$I$3:$I$22)</f>
        <v/>
      </c>
      <c r="O465">
        <f>SUMPRODUCT(Calc!$K$3:$K$22*(Calc!$G$3:$G$22&gt;B465)*(Calc!$G$3:$G$22-B465)*Calc!$I$3:$I$22)</f>
        <v/>
      </c>
      <c r="P465">
        <f>I465-G465^2/k_n</f>
        <v/>
      </c>
      <c r="Q465">
        <f>J465-H465^2/k_n</f>
        <v/>
      </c>
      <c r="R465">
        <f>K465-G465*H465/k_n</f>
        <v/>
      </c>
      <c r="S465">
        <f>L465-LTP3!$D$3*G465/k_n</f>
        <v/>
      </c>
      <c r="T465">
        <f>M465-LTP3!$D$3*H465/k_n</f>
        <v/>
      </c>
      <c r="U465">
        <f>N465-G465*LTP3!$D$4/k_n</f>
        <v/>
      </c>
      <c r="V465">
        <f>O465-H465*LTP3!$D$4/k_n</f>
        <v/>
      </c>
      <c r="W465">
        <f>((LTP3!$D$5)*((P465)*(Q465)-(R465)*(R465))-(S465)*((S465)*(Q465)-(R465)*(T465))+(T465)*((S465)*(R465)-(P465)*(T465)))</f>
        <v/>
      </c>
      <c r="X465">
        <f>IF(ABS(W465)&gt;1E-12,((LTP3!$D$6)*((P465)*(Q465)-(R465)*(R465))-(S465)*((U465)*(Q465)-(R465)*(V465))+(T465)*((U465)*(R465)-(P465)*(V465)))/W465,0)</f>
        <v/>
      </c>
      <c r="Y465">
        <f>IF(ABS(W465)&gt;1E-12,((LTP3!$D$5)*((U465)*(Q465)-(R465)*(V465))-(LTP3!$D$6)*((S465)*(Q465)-(R465)*(T465))+(T465)*((S465)*(V465)-(U465)*(T465)))/W465,0)</f>
        <v/>
      </c>
      <c r="Z465">
        <f>IF(ABS(W465)&gt;1E-12,((LTP3!$D$5)*((P465)*(V465)-(U465)*(R465))-(S465)*((S465)*(V465)-(U465)*(T465))+(LTP3!$D$6)*((S465)*(R465)-(P465)*(T465)))/W465,0)</f>
        <v/>
      </c>
      <c r="AA465">
        <f>LTP3!$D$7-X465*LTP3!$D$6-Y465*U465-Z465*V465</f>
        <v/>
      </c>
      <c r="AB465">
        <f>IF(AND(F465,ABS(W465)&gt;1E-12,Y465&gt;0,Z465&gt;0),AA465,1E+300)</f>
        <v/>
      </c>
    </row>
    <row r="466">
      <c r="A466">
        <f>$B$3+$B$5*7</f>
        <v/>
      </c>
      <c r="B466">
        <f>$B$3+$B$5*27</f>
        <v/>
      </c>
      <c r="C466">
        <f>SUMPRODUCT(Calc!$K$3:$K$22*(Calc!$G$3:$G$22&lt;=A466))</f>
        <v/>
      </c>
      <c r="D466">
        <f>SUMPRODUCT(Calc!$K$3:$K$22*(Calc!$G$3:$G$22&gt;A466)*(Calc!$G$3:$G$22&lt;B466))</f>
        <v/>
      </c>
      <c r="E466">
        <f>SUMPRODUCT(Calc!$K$3:$K$22*(Calc!$G$3:$G$22&gt;=B466))</f>
        <v/>
      </c>
      <c r="F466">
        <f>AND(k_n&gt;=5,B466&gt;A466+1E-9,C466&gt;=2,D466&gt;=1,E466&gt;=2)</f>
        <v/>
      </c>
      <c r="G466">
        <f>SUMPRODUCT(Calc!$K$3:$K$22*(Calc!$G$3:$G$22&gt;A466)*(Calc!$G$3:$G$22-A466))</f>
        <v/>
      </c>
      <c r="H466">
        <f>SUMPRODUCT(Calc!$K$3:$K$22*(Calc!$G$3:$G$22&gt;B466)*(Calc!$G$3:$G$22-B466))</f>
        <v/>
      </c>
      <c r="I466">
        <f>SUMPRODUCT(Calc!$K$3:$K$22*(Calc!$G$3:$G$22&gt;A466)*(Calc!$G$3:$G$22-A466)^2)</f>
        <v/>
      </c>
      <c r="J466">
        <f>SUMPRODUCT(Calc!$K$3:$K$22*(Calc!$G$3:$G$22&gt;B466)*(Calc!$G$3:$G$22-B466)^2)</f>
        <v/>
      </c>
      <c r="K466">
        <f>SUMPRODUCT(Calc!$K$3:$K$22*(Calc!$G$3:$G$22&gt;A466)*(Calc!$G$3:$G$22-A466)*(Calc!$G$3:$G$22&gt;B466)*(Calc!$G$3:$G$22-B466))</f>
        <v/>
      </c>
      <c r="L466">
        <f>SUMPRODUCT(Calc!$K$3:$K$22*(Calc!$G$3:$G$22&gt;A466)*(Calc!$G$3:$G$22-A466)*Calc!$G$3:$G$22)</f>
        <v/>
      </c>
      <c r="M466">
        <f>SUMPRODUCT(Calc!$K$3:$K$22*(Calc!$G$3:$G$22&gt;B466)*(Calc!$G$3:$G$22-B466)*Calc!$G$3:$G$22)</f>
        <v/>
      </c>
      <c r="N466">
        <f>SUMPRODUCT(Calc!$K$3:$K$22*(Calc!$G$3:$G$22&gt;A466)*(Calc!$G$3:$G$22-A466)*Calc!$I$3:$I$22)</f>
        <v/>
      </c>
      <c r="O466">
        <f>SUMPRODUCT(Calc!$K$3:$K$22*(Calc!$G$3:$G$22&gt;B466)*(Calc!$G$3:$G$22-B466)*Calc!$I$3:$I$22)</f>
        <v/>
      </c>
      <c r="P466">
        <f>I466-G466^2/k_n</f>
        <v/>
      </c>
      <c r="Q466">
        <f>J466-H466^2/k_n</f>
        <v/>
      </c>
      <c r="R466">
        <f>K466-G466*H466/k_n</f>
        <v/>
      </c>
      <c r="S466">
        <f>L466-LTP3!$D$3*G466/k_n</f>
        <v/>
      </c>
      <c r="T466">
        <f>M466-LTP3!$D$3*H466/k_n</f>
        <v/>
      </c>
      <c r="U466">
        <f>N466-G466*LTP3!$D$4/k_n</f>
        <v/>
      </c>
      <c r="V466">
        <f>O466-H466*LTP3!$D$4/k_n</f>
        <v/>
      </c>
      <c r="W466">
        <f>((LTP3!$D$5)*((P466)*(Q466)-(R466)*(R466))-(S466)*((S466)*(Q466)-(R466)*(T466))+(T466)*((S466)*(R466)-(P466)*(T466)))</f>
        <v/>
      </c>
      <c r="X466">
        <f>IF(ABS(W466)&gt;1E-12,((LTP3!$D$6)*((P466)*(Q466)-(R466)*(R466))-(S466)*((U466)*(Q466)-(R466)*(V466))+(T466)*((U466)*(R466)-(P466)*(V466)))/W466,0)</f>
        <v/>
      </c>
      <c r="Y466">
        <f>IF(ABS(W466)&gt;1E-12,((LTP3!$D$5)*((U466)*(Q466)-(R466)*(V466))-(LTP3!$D$6)*((S466)*(Q466)-(R466)*(T466))+(T466)*((S466)*(V466)-(U466)*(T466)))/W466,0)</f>
        <v/>
      </c>
      <c r="Z466">
        <f>IF(ABS(W466)&gt;1E-12,((LTP3!$D$5)*((P466)*(V466)-(U466)*(R466))-(S466)*((S466)*(V466)-(U466)*(T466))+(LTP3!$D$6)*((S466)*(R466)-(P466)*(T466)))/W466,0)</f>
        <v/>
      </c>
      <c r="AA466">
        <f>LTP3!$D$7-X466*LTP3!$D$6-Y466*U466-Z466*V466</f>
        <v/>
      </c>
      <c r="AB466">
        <f>IF(AND(F466,ABS(W466)&gt;1E-12,Y466&gt;0,Z466&gt;0),AA466,1E+300)</f>
        <v/>
      </c>
    </row>
    <row r="467">
      <c r="A467">
        <f>$B$3+$B$5*7</f>
        <v/>
      </c>
      <c r="B467">
        <f>$B$3+$B$5*28</f>
        <v/>
      </c>
      <c r="C467">
        <f>SUMPRODUCT(Calc!$K$3:$K$22*(Calc!$G$3:$G$22&lt;=A467))</f>
        <v/>
      </c>
      <c r="D467">
        <f>SUMPRODUCT(Calc!$K$3:$K$22*(Calc!$G$3:$G$22&gt;A467)*(Calc!$G$3:$G$22&lt;B467))</f>
        <v/>
      </c>
      <c r="E467">
        <f>SUMPRODUCT(Calc!$K$3:$K$22*(Calc!$G$3:$G$22&gt;=B467))</f>
        <v/>
      </c>
      <c r="F467">
        <f>AND(k_n&gt;=5,B467&gt;A467+1E-9,C467&gt;=2,D467&gt;=1,E467&gt;=2)</f>
        <v/>
      </c>
      <c r="G467">
        <f>SUMPRODUCT(Calc!$K$3:$K$22*(Calc!$G$3:$G$22&gt;A467)*(Calc!$G$3:$G$22-A467))</f>
        <v/>
      </c>
      <c r="H467">
        <f>SUMPRODUCT(Calc!$K$3:$K$22*(Calc!$G$3:$G$22&gt;B467)*(Calc!$G$3:$G$22-B467))</f>
        <v/>
      </c>
      <c r="I467">
        <f>SUMPRODUCT(Calc!$K$3:$K$22*(Calc!$G$3:$G$22&gt;A467)*(Calc!$G$3:$G$22-A467)^2)</f>
        <v/>
      </c>
      <c r="J467">
        <f>SUMPRODUCT(Calc!$K$3:$K$22*(Calc!$G$3:$G$22&gt;B467)*(Calc!$G$3:$G$22-B467)^2)</f>
        <v/>
      </c>
      <c r="K467">
        <f>SUMPRODUCT(Calc!$K$3:$K$22*(Calc!$G$3:$G$22&gt;A467)*(Calc!$G$3:$G$22-A467)*(Calc!$G$3:$G$22&gt;B467)*(Calc!$G$3:$G$22-B467))</f>
        <v/>
      </c>
      <c r="L467">
        <f>SUMPRODUCT(Calc!$K$3:$K$22*(Calc!$G$3:$G$22&gt;A467)*(Calc!$G$3:$G$22-A467)*Calc!$G$3:$G$22)</f>
        <v/>
      </c>
      <c r="M467">
        <f>SUMPRODUCT(Calc!$K$3:$K$22*(Calc!$G$3:$G$22&gt;B467)*(Calc!$G$3:$G$22-B467)*Calc!$G$3:$G$22)</f>
        <v/>
      </c>
      <c r="N467">
        <f>SUMPRODUCT(Calc!$K$3:$K$22*(Calc!$G$3:$G$22&gt;A467)*(Calc!$G$3:$G$22-A467)*Calc!$I$3:$I$22)</f>
        <v/>
      </c>
      <c r="O467">
        <f>SUMPRODUCT(Calc!$K$3:$K$22*(Calc!$G$3:$G$22&gt;B467)*(Calc!$G$3:$G$22-B467)*Calc!$I$3:$I$22)</f>
        <v/>
      </c>
      <c r="P467">
        <f>I467-G467^2/k_n</f>
        <v/>
      </c>
      <c r="Q467">
        <f>J467-H467^2/k_n</f>
        <v/>
      </c>
      <c r="R467">
        <f>K467-G467*H467/k_n</f>
        <v/>
      </c>
      <c r="S467">
        <f>L467-LTP3!$D$3*G467/k_n</f>
        <v/>
      </c>
      <c r="T467">
        <f>M467-LTP3!$D$3*H467/k_n</f>
        <v/>
      </c>
      <c r="U467">
        <f>N467-G467*LTP3!$D$4/k_n</f>
        <v/>
      </c>
      <c r="V467">
        <f>O467-H467*LTP3!$D$4/k_n</f>
        <v/>
      </c>
      <c r="W467">
        <f>((LTP3!$D$5)*((P467)*(Q467)-(R467)*(R467))-(S467)*((S467)*(Q467)-(R467)*(T467))+(T467)*((S467)*(R467)-(P467)*(T467)))</f>
        <v/>
      </c>
      <c r="X467">
        <f>IF(ABS(W467)&gt;1E-12,((LTP3!$D$6)*((P467)*(Q467)-(R467)*(R467))-(S467)*((U467)*(Q467)-(R467)*(V467))+(T467)*((U467)*(R467)-(P467)*(V467)))/W467,0)</f>
        <v/>
      </c>
      <c r="Y467">
        <f>IF(ABS(W467)&gt;1E-12,((LTP3!$D$5)*((U467)*(Q467)-(R467)*(V467))-(LTP3!$D$6)*((S467)*(Q467)-(R467)*(T467))+(T467)*((S467)*(V467)-(U467)*(T467)))/W467,0)</f>
        <v/>
      </c>
      <c r="Z467">
        <f>IF(ABS(W467)&gt;1E-12,((LTP3!$D$5)*((P467)*(V467)-(U467)*(R467))-(S467)*((S467)*(V467)-(U467)*(T467))+(LTP3!$D$6)*((S467)*(R467)-(P467)*(T467)))/W467,0)</f>
        <v/>
      </c>
      <c r="AA467">
        <f>LTP3!$D$7-X467*LTP3!$D$6-Y467*U467-Z467*V467</f>
        <v/>
      </c>
      <c r="AB467">
        <f>IF(AND(F467,ABS(W467)&gt;1E-12,Y467&gt;0,Z467&gt;0),AA467,1E+300)</f>
        <v/>
      </c>
    </row>
    <row r="468">
      <c r="A468">
        <f>$B$3+$B$5*7</f>
        <v/>
      </c>
      <c r="B468">
        <f>$B$3+$B$5*29</f>
        <v/>
      </c>
      <c r="C468">
        <f>SUMPRODUCT(Calc!$K$3:$K$22*(Calc!$G$3:$G$22&lt;=A468))</f>
        <v/>
      </c>
      <c r="D468">
        <f>SUMPRODUCT(Calc!$K$3:$K$22*(Calc!$G$3:$G$22&gt;A468)*(Calc!$G$3:$G$22&lt;B468))</f>
        <v/>
      </c>
      <c r="E468">
        <f>SUMPRODUCT(Calc!$K$3:$K$22*(Calc!$G$3:$G$22&gt;=B468))</f>
        <v/>
      </c>
      <c r="F468">
        <f>AND(k_n&gt;=5,B468&gt;A468+1E-9,C468&gt;=2,D468&gt;=1,E468&gt;=2)</f>
        <v/>
      </c>
      <c r="G468">
        <f>SUMPRODUCT(Calc!$K$3:$K$22*(Calc!$G$3:$G$22&gt;A468)*(Calc!$G$3:$G$22-A468))</f>
        <v/>
      </c>
      <c r="H468">
        <f>SUMPRODUCT(Calc!$K$3:$K$22*(Calc!$G$3:$G$22&gt;B468)*(Calc!$G$3:$G$22-B468))</f>
        <v/>
      </c>
      <c r="I468">
        <f>SUMPRODUCT(Calc!$K$3:$K$22*(Calc!$G$3:$G$22&gt;A468)*(Calc!$G$3:$G$22-A468)^2)</f>
        <v/>
      </c>
      <c r="J468">
        <f>SUMPRODUCT(Calc!$K$3:$K$22*(Calc!$G$3:$G$22&gt;B468)*(Calc!$G$3:$G$22-B468)^2)</f>
        <v/>
      </c>
      <c r="K468">
        <f>SUMPRODUCT(Calc!$K$3:$K$22*(Calc!$G$3:$G$22&gt;A468)*(Calc!$G$3:$G$22-A468)*(Calc!$G$3:$G$22&gt;B468)*(Calc!$G$3:$G$22-B468))</f>
        <v/>
      </c>
      <c r="L468">
        <f>SUMPRODUCT(Calc!$K$3:$K$22*(Calc!$G$3:$G$22&gt;A468)*(Calc!$G$3:$G$22-A468)*Calc!$G$3:$G$22)</f>
        <v/>
      </c>
      <c r="M468">
        <f>SUMPRODUCT(Calc!$K$3:$K$22*(Calc!$G$3:$G$22&gt;B468)*(Calc!$G$3:$G$22-B468)*Calc!$G$3:$G$22)</f>
        <v/>
      </c>
      <c r="N468">
        <f>SUMPRODUCT(Calc!$K$3:$K$22*(Calc!$G$3:$G$22&gt;A468)*(Calc!$G$3:$G$22-A468)*Calc!$I$3:$I$22)</f>
        <v/>
      </c>
      <c r="O468">
        <f>SUMPRODUCT(Calc!$K$3:$K$22*(Calc!$G$3:$G$22&gt;B468)*(Calc!$G$3:$G$22-B468)*Calc!$I$3:$I$22)</f>
        <v/>
      </c>
      <c r="P468">
        <f>I468-G468^2/k_n</f>
        <v/>
      </c>
      <c r="Q468">
        <f>J468-H468^2/k_n</f>
        <v/>
      </c>
      <c r="R468">
        <f>K468-G468*H468/k_n</f>
        <v/>
      </c>
      <c r="S468">
        <f>L468-LTP3!$D$3*G468/k_n</f>
        <v/>
      </c>
      <c r="T468">
        <f>M468-LTP3!$D$3*H468/k_n</f>
        <v/>
      </c>
      <c r="U468">
        <f>N468-G468*LTP3!$D$4/k_n</f>
        <v/>
      </c>
      <c r="V468">
        <f>O468-H468*LTP3!$D$4/k_n</f>
        <v/>
      </c>
      <c r="W468">
        <f>((LTP3!$D$5)*((P468)*(Q468)-(R468)*(R468))-(S468)*((S468)*(Q468)-(R468)*(T468))+(T468)*((S468)*(R468)-(P468)*(T468)))</f>
        <v/>
      </c>
      <c r="X468">
        <f>IF(ABS(W468)&gt;1E-12,((LTP3!$D$6)*((P468)*(Q468)-(R468)*(R468))-(S468)*((U468)*(Q468)-(R468)*(V468))+(T468)*((U468)*(R468)-(P468)*(V468)))/W468,0)</f>
        <v/>
      </c>
      <c r="Y468">
        <f>IF(ABS(W468)&gt;1E-12,((LTP3!$D$5)*((U468)*(Q468)-(R468)*(V468))-(LTP3!$D$6)*((S468)*(Q468)-(R468)*(T468))+(T468)*((S468)*(V468)-(U468)*(T468)))/W468,0)</f>
        <v/>
      </c>
      <c r="Z468">
        <f>IF(ABS(W468)&gt;1E-12,((LTP3!$D$5)*((P468)*(V468)-(U468)*(R468))-(S468)*((S468)*(V468)-(U468)*(T468))+(LTP3!$D$6)*((S468)*(R468)-(P468)*(T468)))/W468,0)</f>
        <v/>
      </c>
      <c r="AA468">
        <f>LTP3!$D$7-X468*LTP3!$D$6-Y468*U468-Z468*V468</f>
        <v/>
      </c>
      <c r="AB468">
        <f>IF(AND(F468,ABS(W468)&gt;1E-12,Y468&gt;0,Z468&gt;0),AA468,1E+300)</f>
        <v/>
      </c>
    </row>
    <row r="469">
      <c r="A469">
        <f>$B$3+$B$5*7</f>
        <v/>
      </c>
      <c r="B469">
        <f>$B$3+$B$5*30</f>
        <v/>
      </c>
      <c r="C469">
        <f>SUMPRODUCT(Calc!$K$3:$K$22*(Calc!$G$3:$G$22&lt;=A469))</f>
        <v/>
      </c>
      <c r="D469">
        <f>SUMPRODUCT(Calc!$K$3:$K$22*(Calc!$G$3:$G$22&gt;A469)*(Calc!$G$3:$G$22&lt;B469))</f>
        <v/>
      </c>
      <c r="E469">
        <f>SUMPRODUCT(Calc!$K$3:$K$22*(Calc!$G$3:$G$22&gt;=B469))</f>
        <v/>
      </c>
      <c r="F469">
        <f>AND(k_n&gt;=5,B469&gt;A469+1E-9,C469&gt;=2,D469&gt;=1,E469&gt;=2)</f>
        <v/>
      </c>
      <c r="G469">
        <f>SUMPRODUCT(Calc!$K$3:$K$22*(Calc!$G$3:$G$22&gt;A469)*(Calc!$G$3:$G$22-A469))</f>
        <v/>
      </c>
      <c r="H469">
        <f>SUMPRODUCT(Calc!$K$3:$K$22*(Calc!$G$3:$G$22&gt;B469)*(Calc!$G$3:$G$22-B469))</f>
        <v/>
      </c>
      <c r="I469">
        <f>SUMPRODUCT(Calc!$K$3:$K$22*(Calc!$G$3:$G$22&gt;A469)*(Calc!$G$3:$G$22-A469)^2)</f>
        <v/>
      </c>
      <c r="J469">
        <f>SUMPRODUCT(Calc!$K$3:$K$22*(Calc!$G$3:$G$22&gt;B469)*(Calc!$G$3:$G$22-B469)^2)</f>
        <v/>
      </c>
      <c r="K469">
        <f>SUMPRODUCT(Calc!$K$3:$K$22*(Calc!$G$3:$G$22&gt;A469)*(Calc!$G$3:$G$22-A469)*(Calc!$G$3:$G$22&gt;B469)*(Calc!$G$3:$G$22-B469))</f>
        <v/>
      </c>
      <c r="L469">
        <f>SUMPRODUCT(Calc!$K$3:$K$22*(Calc!$G$3:$G$22&gt;A469)*(Calc!$G$3:$G$22-A469)*Calc!$G$3:$G$22)</f>
        <v/>
      </c>
      <c r="M469">
        <f>SUMPRODUCT(Calc!$K$3:$K$22*(Calc!$G$3:$G$22&gt;B469)*(Calc!$G$3:$G$22-B469)*Calc!$G$3:$G$22)</f>
        <v/>
      </c>
      <c r="N469">
        <f>SUMPRODUCT(Calc!$K$3:$K$22*(Calc!$G$3:$G$22&gt;A469)*(Calc!$G$3:$G$22-A469)*Calc!$I$3:$I$22)</f>
        <v/>
      </c>
      <c r="O469">
        <f>SUMPRODUCT(Calc!$K$3:$K$22*(Calc!$G$3:$G$22&gt;B469)*(Calc!$G$3:$G$22-B469)*Calc!$I$3:$I$22)</f>
        <v/>
      </c>
      <c r="P469">
        <f>I469-G469^2/k_n</f>
        <v/>
      </c>
      <c r="Q469">
        <f>J469-H469^2/k_n</f>
        <v/>
      </c>
      <c r="R469">
        <f>K469-G469*H469/k_n</f>
        <v/>
      </c>
      <c r="S469">
        <f>L469-LTP3!$D$3*G469/k_n</f>
        <v/>
      </c>
      <c r="T469">
        <f>M469-LTP3!$D$3*H469/k_n</f>
        <v/>
      </c>
      <c r="U469">
        <f>N469-G469*LTP3!$D$4/k_n</f>
        <v/>
      </c>
      <c r="V469">
        <f>O469-H469*LTP3!$D$4/k_n</f>
        <v/>
      </c>
      <c r="W469">
        <f>((LTP3!$D$5)*((P469)*(Q469)-(R469)*(R469))-(S469)*((S469)*(Q469)-(R469)*(T469))+(T469)*((S469)*(R469)-(P469)*(T469)))</f>
        <v/>
      </c>
      <c r="X469">
        <f>IF(ABS(W469)&gt;1E-12,((LTP3!$D$6)*((P469)*(Q469)-(R469)*(R469))-(S469)*((U469)*(Q469)-(R469)*(V469))+(T469)*((U469)*(R469)-(P469)*(V469)))/W469,0)</f>
        <v/>
      </c>
      <c r="Y469">
        <f>IF(ABS(W469)&gt;1E-12,((LTP3!$D$5)*((U469)*(Q469)-(R469)*(V469))-(LTP3!$D$6)*((S469)*(Q469)-(R469)*(T469))+(T469)*((S469)*(V469)-(U469)*(T469)))/W469,0)</f>
        <v/>
      </c>
      <c r="Z469">
        <f>IF(ABS(W469)&gt;1E-12,((LTP3!$D$5)*((P469)*(V469)-(U469)*(R469))-(S469)*((S469)*(V469)-(U469)*(T469))+(LTP3!$D$6)*((S469)*(R469)-(P469)*(T469)))/W469,0)</f>
        <v/>
      </c>
      <c r="AA469">
        <f>LTP3!$D$7-X469*LTP3!$D$6-Y469*U469-Z469*V469</f>
        <v/>
      </c>
      <c r="AB469">
        <f>IF(AND(F469,ABS(W469)&gt;1E-12,Y469&gt;0,Z469&gt;0),AA469,1E+300)</f>
        <v/>
      </c>
    </row>
    <row r="470">
      <c r="A470">
        <f>$B$3+$B$5*7</f>
        <v/>
      </c>
      <c r="B470">
        <f>$B$3+$B$5*31</f>
        <v/>
      </c>
      <c r="C470">
        <f>SUMPRODUCT(Calc!$K$3:$K$22*(Calc!$G$3:$G$22&lt;=A470))</f>
        <v/>
      </c>
      <c r="D470">
        <f>SUMPRODUCT(Calc!$K$3:$K$22*(Calc!$G$3:$G$22&gt;A470)*(Calc!$G$3:$G$22&lt;B470))</f>
        <v/>
      </c>
      <c r="E470">
        <f>SUMPRODUCT(Calc!$K$3:$K$22*(Calc!$G$3:$G$22&gt;=B470))</f>
        <v/>
      </c>
      <c r="F470">
        <f>AND(k_n&gt;=5,B470&gt;A470+1E-9,C470&gt;=2,D470&gt;=1,E470&gt;=2)</f>
        <v/>
      </c>
      <c r="G470">
        <f>SUMPRODUCT(Calc!$K$3:$K$22*(Calc!$G$3:$G$22&gt;A470)*(Calc!$G$3:$G$22-A470))</f>
        <v/>
      </c>
      <c r="H470">
        <f>SUMPRODUCT(Calc!$K$3:$K$22*(Calc!$G$3:$G$22&gt;B470)*(Calc!$G$3:$G$22-B470))</f>
        <v/>
      </c>
      <c r="I470">
        <f>SUMPRODUCT(Calc!$K$3:$K$22*(Calc!$G$3:$G$22&gt;A470)*(Calc!$G$3:$G$22-A470)^2)</f>
        <v/>
      </c>
      <c r="J470">
        <f>SUMPRODUCT(Calc!$K$3:$K$22*(Calc!$G$3:$G$22&gt;B470)*(Calc!$G$3:$G$22-B470)^2)</f>
        <v/>
      </c>
      <c r="K470">
        <f>SUMPRODUCT(Calc!$K$3:$K$22*(Calc!$G$3:$G$22&gt;A470)*(Calc!$G$3:$G$22-A470)*(Calc!$G$3:$G$22&gt;B470)*(Calc!$G$3:$G$22-B470))</f>
        <v/>
      </c>
      <c r="L470">
        <f>SUMPRODUCT(Calc!$K$3:$K$22*(Calc!$G$3:$G$22&gt;A470)*(Calc!$G$3:$G$22-A470)*Calc!$G$3:$G$22)</f>
        <v/>
      </c>
      <c r="M470">
        <f>SUMPRODUCT(Calc!$K$3:$K$22*(Calc!$G$3:$G$22&gt;B470)*(Calc!$G$3:$G$22-B470)*Calc!$G$3:$G$22)</f>
        <v/>
      </c>
      <c r="N470">
        <f>SUMPRODUCT(Calc!$K$3:$K$22*(Calc!$G$3:$G$22&gt;A470)*(Calc!$G$3:$G$22-A470)*Calc!$I$3:$I$22)</f>
        <v/>
      </c>
      <c r="O470">
        <f>SUMPRODUCT(Calc!$K$3:$K$22*(Calc!$G$3:$G$22&gt;B470)*(Calc!$G$3:$G$22-B470)*Calc!$I$3:$I$22)</f>
        <v/>
      </c>
      <c r="P470">
        <f>I470-G470^2/k_n</f>
        <v/>
      </c>
      <c r="Q470">
        <f>J470-H470^2/k_n</f>
        <v/>
      </c>
      <c r="R470">
        <f>K470-G470*H470/k_n</f>
        <v/>
      </c>
      <c r="S470">
        <f>L470-LTP3!$D$3*G470/k_n</f>
        <v/>
      </c>
      <c r="T470">
        <f>M470-LTP3!$D$3*H470/k_n</f>
        <v/>
      </c>
      <c r="U470">
        <f>N470-G470*LTP3!$D$4/k_n</f>
        <v/>
      </c>
      <c r="V470">
        <f>O470-H470*LTP3!$D$4/k_n</f>
        <v/>
      </c>
      <c r="W470">
        <f>((LTP3!$D$5)*((P470)*(Q470)-(R470)*(R470))-(S470)*((S470)*(Q470)-(R470)*(T470))+(T470)*((S470)*(R470)-(P470)*(T470)))</f>
        <v/>
      </c>
      <c r="X470">
        <f>IF(ABS(W470)&gt;1E-12,((LTP3!$D$6)*((P470)*(Q470)-(R470)*(R470))-(S470)*((U470)*(Q470)-(R470)*(V470))+(T470)*((U470)*(R470)-(P470)*(V470)))/W470,0)</f>
        <v/>
      </c>
      <c r="Y470">
        <f>IF(ABS(W470)&gt;1E-12,((LTP3!$D$5)*((U470)*(Q470)-(R470)*(V470))-(LTP3!$D$6)*((S470)*(Q470)-(R470)*(T470))+(T470)*((S470)*(V470)-(U470)*(T470)))/W470,0)</f>
        <v/>
      </c>
      <c r="Z470">
        <f>IF(ABS(W470)&gt;1E-12,((LTP3!$D$5)*((P470)*(V470)-(U470)*(R470))-(S470)*((S470)*(V470)-(U470)*(T470))+(LTP3!$D$6)*((S470)*(R470)-(P470)*(T470)))/W470,0)</f>
        <v/>
      </c>
      <c r="AA470">
        <f>LTP3!$D$7-X470*LTP3!$D$6-Y470*U470-Z470*V470</f>
        <v/>
      </c>
      <c r="AB470">
        <f>IF(AND(F470,ABS(W470)&gt;1E-12,Y470&gt;0,Z470&gt;0),AA470,1E+300)</f>
        <v/>
      </c>
    </row>
    <row r="471">
      <c r="A471">
        <f>$B$3+$B$5*7</f>
        <v/>
      </c>
      <c r="B471">
        <f>$B$3+$B$5*32</f>
        <v/>
      </c>
      <c r="C471">
        <f>SUMPRODUCT(Calc!$K$3:$K$22*(Calc!$G$3:$G$22&lt;=A471))</f>
        <v/>
      </c>
      <c r="D471">
        <f>SUMPRODUCT(Calc!$K$3:$K$22*(Calc!$G$3:$G$22&gt;A471)*(Calc!$G$3:$G$22&lt;B471))</f>
        <v/>
      </c>
      <c r="E471">
        <f>SUMPRODUCT(Calc!$K$3:$K$22*(Calc!$G$3:$G$22&gt;=B471))</f>
        <v/>
      </c>
      <c r="F471">
        <f>AND(k_n&gt;=5,B471&gt;A471+1E-9,C471&gt;=2,D471&gt;=1,E471&gt;=2)</f>
        <v/>
      </c>
      <c r="G471">
        <f>SUMPRODUCT(Calc!$K$3:$K$22*(Calc!$G$3:$G$22&gt;A471)*(Calc!$G$3:$G$22-A471))</f>
        <v/>
      </c>
      <c r="H471">
        <f>SUMPRODUCT(Calc!$K$3:$K$22*(Calc!$G$3:$G$22&gt;B471)*(Calc!$G$3:$G$22-B471))</f>
        <v/>
      </c>
      <c r="I471">
        <f>SUMPRODUCT(Calc!$K$3:$K$22*(Calc!$G$3:$G$22&gt;A471)*(Calc!$G$3:$G$22-A471)^2)</f>
        <v/>
      </c>
      <c r="J471">
        <f>SUMPRODUCT(Calc!$K$3:$K$22*(Calc!$G$3:$G$22&gt;B471)*(Calc!$G$3:$G$22-B471)^2)</f>
        <v/>
      </c>
      <c r="K471">
        <f>SUMPRODUCT(Calc!$K$3:$K$22*(Calc!$G$3:$G$22&gt;A471)*(Calc!$G$3:$G$22-A471)*(Calc!$G$3:$G$22&gt;B471)*(Calc!$G$3:$G$22-B471))</f>
        <v/>
      </c>
      <c r="L471">
        <f>SUMPRODUCT(Calc!$K$3:$K$22*(Calc!$G$3:$G$22&gt;A471)*(Calc!$G$3:$G$22-A471)*Calc!$G$3:$G$22)</f>
        <v/>
      </c>
      <c r="M471">
        <f>SUMPRODUCT(Calc!$K$3:$K$22*(Calc!$G$3:$G$22&gt;B471)*(Calc!$G$3:$G$22-B471)*Calc!$G$3:$G$22)</f>
        <v/>
      </c>
      <c r="N471">
        <f>SUMPRODUCT(Calc!$K$3:$K$22*(Calc!$G$3:$G$22&gt;A471)*(Calc!$G$3:$G$22-A471)*Calc!$I$3:$I$22)</f>
        <v/>
      </c>
      <c r="O471">
        <f>SUMPRODUCT(Calc!$K$3:$K$22*(Calc!$G$3:$G$22&gt;B471)*(Calc!$G$3:$G$22-B471)*Calc!$I$3:$I$22)</f>
        <v/>
      </c>
      <c r="P471">
        <f>I471-G471^2/k_n</f>
        <v/>
      </c>
      <c r="Q471">
        <f>J471-H471^2/k_n</f>
        <v/>
      </c>
      <c r="R471">
        <f>K471-G471*H471/k_n</f>
        <v/>
      </c>
      <c r="S471">
        <f>L471-LTP3!$D$3*G471/k_n</f>
        <v/>
      </c>
      <c r="T471">
        <f>M471-LTP3!$D$3*H471/k_n</f>
        <v/>
      </c>
      <c r="U471">
        <f>N471-G471*LTP3!$D$4/k_n</f>
        <v/>
      </c>
      <c r="V471">
        <f>O471-H471*LTP3!$D$4/k_n</f>
        <v/>
      </c>
      <c r="W471">
        <f>((LTP3!$D$5)*((P471)*(Q471)-(R471)*(R471))-(S471)*((S471)*(Q471)-(R471)*(T471))+(T471)*((S471)*(R471)-(P471)*(T471)))</f>
        <v/>
      </c>
      <c r="X471">
        <f>IF(ABS(W471)&gt;1E-12,((LTP3!$D$6)*((P471)*(Q471)-(R471)*(R471))-(S471)*((U471)*(Q471)-(R471)*(V471))+(T471)*((U471)*(R471)-(P471)*(V471)))/W471,0)</f>
        <v/>
      </c>
      <c r="Y471">
        <f>IF(ABS(W471)&gt;1E-12,((LTP3!$D$5)*((U471)*(Q471)-(R471)*(V471))-(LTP3!$D$6)*((S471)*(Q471)-(R471)*(T471))+(T471)*((S471)*(V471)-(U471)*(T471)))/W471,0)</f>
        <v/>
      </c>
      <c r="Z471">
        <f>IF(ABS(W471)&gt;1E-12,((LTP3!$D$5)*((P471)*(V471)-(U471)*(R471))-(S471)*((S471)*(V471)-(U471)*(T471))+(LTP3!$D$6)*((S471)*(R471)-(P471)*(T471)))/W471,0)</f>
        <v/>
      </c>
      <c r="AA471">
        <f>LTP3!$D$7-X471*LTP3!$D$6-Y471*U471-Z471*V471</f>
        <v/>
      </c>
      <c r="AB471">
        <f>IF(AND(F471,ABS(W471)&gt;1E-12,Y471&gt;0,Z471&gt;0),AA471,1E+300)</f>
        <v/>
      </c>
    </row>
    <row r="472">
      <c r="A472">
        <f>$B$3+$B$5*7</f>
        <v/>
      </c>
      <c r="B472">
        <f>$B$3+$B$5*33</f>
        <v/>
      </c>
      <c r="C472">
        <f>SUMPRODUCT(Calc!$K$3:$K$22*(Calc!$G$3:$G$22&lt;=A472))</f>
        <v/>
      </c>
      <c r="D472">
        <f>SUMPRODUCT(Calc!$K$3:$K$22*(Calc!$G$3:$G$22&gt;A472)*(Calc!$G$3:$G$22&lt;B472))</f>
        <v/>
      </c>
      <c r="E472">
        <f>SUMPRODUCT(Calc!$K$3:$K$22*(Calc!$G$3:$G$22&gt;=B472))</f>
        <v/>
      </c>
      <c r="F472">
        <f>AND(k_n&gt;=5,B472&gt;A472+1E-9,C472&gt;=2,D472&gt;=1,E472&gt;=2)</f>
        <v/>
      </c>
      <c r="G472">
        <f>SUMPRODUCT(Calc!$K$3:$K$22*(Calc!$G$3:$G$22&gt;A472)*(Calc!$G$3:$G$22-A472))</f>
        <v/>
      </c>
      <c r="H472">
        <f>SUMPRODUCT(Calc!$K$3:$K$22*(Calc!$G$3:$G$22&gt;B472)*(Calc!$G$3:$G$22-B472))</f>
        <v/>
      </c>
      <c r="I472">
        <f>SUMPRODUCT(Calc!$K$3:$K$22*(Calc!$G$3:$G$22&gt;A472)*(Calc!$G$3:$G$22-A472)^2)</f>
        <v/>
      </c>
      <c r="J472">
        <f>SUMPRODUCT(Calc!$K$3:$K$22*(Calc!$G$3:$G$22&gt;B472)*(Calc!$G$3:$G$22-B472)^2)</f>
        <v/>
      </c>
      <c r="K472">
        <f>SUMPRODUCT(Calc!$K$3:$K$22*(Calc!$G$3:$G$22&gt;A472)*(Calc!$G$3:$G$22-A472)*(Calc!$G$3:$G$22&gt;B472)*(Calc!$G$3:$G$22-B472))</f>
        <v/>
      </c>
      <c r="L472">
        <f>SUMPRODUCT(Calc!$K$3:$K$22*(Calc!$G$3:$G$22&gt;A472)*(Calc!$G$3:$G$22-A472)*Calc!$G$3:$G$22)</f>
        <v/>
      </c>
      <c r="M472">
        <f>SUMPRODUCT(Calc!$K$3:$K$22*(Calc!$G$3:$G$22&gt;B472)*(Calc!$G$3:$G$22-B472)*Calc!$G$3:$G$22)</f>
        <v/>
      </c>
      <c r="N472">
        <f>SUMPRODUCT(Calc!$K$3:$K$22*(Calc!$G$3:$G$22&gt;A472)*(Calc!$G$3:$G$22-A472)*Calc!$I$3:$I$22)</f>
        <v/>
      </c>
      <c r="O472">
        <f>SUMPRODUCT(Calc!$K$3:$K$22*(Calc!$G$3:$G$22&gt;B472)*(Calc!$G$3:$G$22-B472)*Calc!$I$3:$I$22)</f>
        <v/>
      </c>
      <c r="P472">
        <f>I472-G472^2/k_n</f>
        <v/>
      </c>
      <c r="Q472">
        <f>J472-H472^2/k_n</f>
        <v/>
      </c>
      <c r="R472">
        <f>K472-G472*H472/k_n</f>
        <v/>
      </c>
      <c r="S472">
        <f>L472-LTP3!$D$3*G472/k_n</f>
        <v/>
      </c>
      <c r="T472">
        <f>M472-LTP3!$D$3*H472/k_n</f>
        <v/>
      </c>
      <c r="U472">
        <f>N472-G472*LTP3!$D$4/k_n</f>
        <v/>
      </c>
      <c r="V472">
        <f>O472-H472*LTP3!$D$4/k_n</f>
        <v/>
      </c>
      <c r="W472">
        <f>((LTP3!$D$5)*((P472)*(Q472)-(R472)*(R472))-(S472)*((S472)*(Q472)-(R472)*(T472))+(T472)*((S472)*(R472)-(P472)*(T472)))</f>
        <v/>
      </c>
      <c r="X472">
        <f>IF(ABS(W472)&gt;1E-12,((LTP3!$D$6)*((P472)*(Q472)-(R472)*(R472))-(S472)*((U472)*(Q472)-(R472)*(V472))+(T472)*((U472)*(R472)-(P472)*(V472)))/W472,0)</f>
        <v/>
      </c>
      <c r="Y472">
        <f>IF(ABS(W472)&gt;1E-12,((LTP3!$D$5)*((U472)*(Q472)-(R472)*(V472))-(LTP3!$D$6)*((S472)*(Q472)-(R472)*(T472))+(T472)*((S472)*(V472)-(U472)*(T472)))/W472,0)</f>
        <v/>
      </c>
      <c r="Z472">
        <f>IF(ABS(W472)&gt;1E-12,((LTP3!$D$5)*((P472)*(V472)-(U472)*(R472))-(S472)*((S472)*(V472)-(U472)*(T472))+(LTP3!$D$6)*((S472)*(R472)-(P472)*(T472)))/W472,0)</f>
        <v/>
      </c>
      <c r="AA472">
        <f>LTP3!$D$7-X472*LTP3!$D$6-Y472*U472-Z472*V472</f>
        <v/>
      </c>
      <c r="AB472">
        <f>IF(AND(F472,ABS(W472)&gt;1E-12,Y472&gt;0,Z472&gt;0),AA472,1E+300)</f>
        <v/>
      </c>
    </row>
    <row r="473">
      <c r="A473">
        <f>$B$3+$B$5*7</f>
        <v/>
      </c>
      <c r="B473">
        <f>$B$3+$B$5*34</f>
        <v/>
      </c>
      <c r="C473">
        <f>SUMPRODUCT(Calc!$K$3:$K$22*(Calc!$G$3:$G$22&lt;=A473))</f>
        <v/>
      </c>
      <c r="D473">
        <f>SUMPRODUCT(Calc!$K$3:$K$22*(Calc!$G$3:$G$22&gt;A473)*(Calc!$G$3:$G$22&lt;B473))</f>
        <v/>
      </c>
      <c r="E473">
        <f>SUMPRODUCT(Calc!$K$3:$K$22*(Calc!$G$3:$G$22&gt;=B473))</f>
        <v/>
      </c>
      <c r="F473">
        <f>AND(k_n&gt;=5,B473&gt;A473+1E-9,C473&gt;=2,D473&gt;=1,E473&gt;=2)</f>
        <v/>
      </c>
      <c r="G473">
        <f>SUMPRODUCT(Calc!$K$3:$K$22*(Calc!$G$3:$G$22&gt;A473)*(Calc!$G$3:$G$22-A473))</f>
        <v/>
      </c>
      <c r="H473">
        <f>SUMPRODUCT(Calc!$K$3:$K$22*(Calc!$G$3:$G$22&gt;B473)*(Calc!$G$3:$G$22-B473))</f>
        <v/>
      </c>
      <c r="I473">
        <f>SUMPRODUCT(Calc!$K$3:$K$22*(Calc!$G$3:$G$22&gt;A473)*(Calc!$G$3:$G$22-A473)^2)</f>
        <v/>
      </c>
      <c r="J473">
        <f>SUMPRODUCT(Calc!$K$3:$K$22*(Calc!$G$3:$G$22&gt;B473)*(Calc!$G$3:$G$22-B473)^2)</f>
        <v/>
      </c>
      <c r="K473">
        <f>SUMPRODUCT(Calc!$K$3:$K$22*(Calc!$G$3:$G$22&gt;A473)*(Calc!$G$3:$G$22-A473)*(Calc!$G$3:$G$22&gt;B473)*(Calc!$G$3:$G$22-B473))</f>
        <v/>
      </c>
      <c r="L473">
        <f>SUMPRODUCT(Calc!$K$3:$K$22*(Calc!$G$3:$G$22&gt;A473)*(Calc!$G$3:$G$22-A473)*Calc!$G$3:$G$22)</f>
        <v/>
      </c>
      <c r="M473">
        <f>SUMPRODUCT(Calc!$K$3:$K$22*(Calc!$G$3:$G$22&gt;B473)*(Calc!$G$3:$G$22-B473)*Calc!$G$3:$G$22)</f>
        <v/>
      </c>
      <c r="N473">
        <f>SUMPRODUCT(Calc!$K$3:$K$22*(Calc!$G$3:$G$22&gt;A473)*(Calc!$G$3:$G$22-A473)*Calc!$I$3:$I$22)</f>
        <v/>
      </c>
      <c r="O473">
        <f>SUMPRODUCT(Calc!$K$3:$K$22*(Calc!$G$3:$G$22&gt;B473)*(Calc!$G$3:$G$22-B473)*Calc!$I$3:$I$22)</f>
        <v/>
      </c>
      <c r="P473">
        <f>I473-G473^2/k_n</f>
        <v/>
      </c>
      <c r="Q473">
        <f>J473-H473^2/k_n</f>
        <v/>
      </c>
      <c r="R473">
        <f>K473-G473*H473/k_n</f>
        <v/>
      </c>
      <c r="S473">
        <f>L473-LTP3!$D$3*G473/k_n</f>
        <v/>
      </c>
      <c r="T473">
        <f>M473-LTP3!$D$3*H473/k_n</f>
        <v/>
      </c>
      <c r="U473">
        <f>N473-G473*LTP3!$D$4/k_n</f>
        <v/>
      </c>
      <c r="V473">
        <f>O473-H473*LTP3!$D$4/k_n</f>
        <v/>
      </c>
      <c r="W473">
        <f>((LTP3!$D$5)*((P473)*(Q473)-(R473)*(R473))-(S473)*((S473)*(Q473)-(R473)*(T473))+(T473)*((S473)*(R473)-(P473)*(T473)))</f>
        <v/>
      </c>
      <c r="X473">
        <f>IF(ABS(W473)&gt;1E-12,((LTP3!$D$6)*((P473)*(Q473)-(R473)*(R473))-(S473)*((U473)*(Q473)-(R473)*(V473))+(T473)*((U473)*(R473)-(P473)*(V473)))/W473,0)</f>
        <v/>
      </c>
      <c r="Y473">
        <f>IF(ABS(W473)&gt;1E-12,((LTP3!$D$5)*((U473)*(Q473)-(R473)*(V473))-(LTP3!$D$6)*((S473)*(Q473)-(R473)*(T473))+(T473)*((S473)*(V473)-(U473)*(T473)))/W473,0)</f>
        <v/>
      </c>
      <c r="Z473">
        <f>IF(ABS(W473)&gt;1E-12,((LTP3!$D$5)*((P473)*(V473)-(U473)*(R473))-(S473)*((S473)*(V473)-(U473)*(T473))+(LTP3!$D$6)*((S473)*(R473)-(P473)*(T473)))/W473,0)</f>
        <v/>
      </c>
      <c r="AA473">
        <f>LTP3!$D$7-X473*LTP3!$D$6-Y473*U473-Z473*V473</f>
        <v/>
      </c>
      <c r="AB473">
        <f>IF(AND(F473,ABS(W473)&gt;1E-12,Y473&gt;0,Z473&gt;0),AA473,1E+300)</f>
        <v/>
      </c>
    </row>
    <row r="474">
      <c r="A474">
        <f>$B$3+$B$5*7</f>
        <v/>
      </c>
      <c r="B474">
        <f>$B$3+$B$5*35</f>
        <v/>
      </c>
      <c r="C474">
        <f>SUMPRODUCT(Calc!$K$3:$K$22*(Calc!$G$3:$G$22&lt;=A474))</f>
        <v/>
      </c>
      <c r="D474">
        <f>SUMPRODUCT(Calc!$K$3:$K$22*(Calc!$G$3:$G$22&gt;A474)*(Calc!$G$3:$G$22&lt;B474))</f>
        <v/>
      </c>
      <c r="E474">
        <f>SUMPRODUCT(Calc!$K$3:$K$22*(Calc!$G$3:$G$22&gt;=B474))</f>
        <v/>
      </c>
      <c r="F474">
        <f>AND(k_n&gt;=5,B474&gt;A474+1E-9,C474&gt;=2,D474&gt;=1,E474&gt;=2)</f>
        <v/>
      </c>
      <c r="G474">
        <f>SUMPRODUCT(Calc!$K$3:$K$22*(Calc!$G$3:$G$22&gt;A474)*(Calc!$G$3:$G$22-A474))</f>
        <v/>
      </c>
      <c r="H474">
        <f>SUMPRODUCT(Calc!$K$3:$K$22*(Calc!$G$3:$G$22&gt;B474)*(Calc!$G$3:$G$22-B474))</f>
        <v/>
      </c>
      <c r="I474">
        <f>SUMPRODUCT(Calc!$K$3:$K$22*(Calc!$G$3:$G$22&gt;A474)*(Calc!$G$3:$G$22-A474)^2)</f>
        <v/>
      </c>
      <c r="J474">
        <f>SUMPRODUCT(Calc!$K$3:$K$22*(Calc!$G$3:$G$22&gt;B474)*(Calc!$G$3:$G$22-B474)^2)</f>
        <v/>
      </c>
      <c r="K474">
        <f>SUMPRODUCT(Calc!$K$3:$K$22*(Calc!$G$3:$G$22&gt;A474)*(Calc!$G$3:$G$22-A474)*(Calc!$G$3:$G$22&gt;B474)*(Calc!$G$3:$G$22-B474))</f>
        <v/>
      </c>
      <c r="L474">
        <f>SUMPRODUCT(Calc!$K$3:$K$22*(Calc!$G$3:$G$22&gt;A474)*(Calc!$G$3:$G$22-A474)*Calc!$G$3:$G$22)</f>
        <v/>
      </c>
      <c r="M474">
        <f>SUMPRODUCT(Calc!$K$3:$K$22*(Calc!$G$3:$G$22&gt;B474)*(Calc!$G$3:$G$22-B474)*Calc!$G$3:$G$22)</f>
        <v/>
      </c>
      <c r="N474">
        <f>SUMPRODUCT(Calc!$K$3:$K$22*(Calc!$G$3:$G$22&gt;A474)*(Calc!$G$3:$G$22-A474)*Calc!$I$3:$I$22)</f>
        <v/>
      </c>
      <c r="O474">
        <f>SUMPRODUCT(Calc!$K$3:$K$22*(Calc!$G$3:$G$22&gt;B474)*(Calc!$G$3:$G$22-B474)*Calc!$I$3:$I$22)</f>
        <v/>
      </c>
      <c r="P474">
        <f>I474-G474^2/k_n</f>
        <v/>
      </c>
      <c r="Q474">
        <f>J474-H474^2/k_n</f>
        <v/>
      </c>
      <c r="R474">
        <f>K474-G474*H474/k_n</f>
        <v/>
      </c>
      <c r="S474">
        <f>L474-LTP3!$D$3*G474/k_n</f>
        <v/>
      </c>
      <c r="T474">
        <f>M474-LTP3!$D$3*H474/k_n</f>
        <v/>
      </c>
      <c r="U474">
        <f>N474-G474*LTP3!$D$4/k_n</f>
        <v/>
      </c>
      <c r="V474">
        <f>O474-H474*LTP3!$D$4/k_n</f>
        <v/>
      </c>
      <c r="W474">
        <f>((LTP3!$D$5)*((P474)*(Q474)-(R474)*(R474))-(S474)*((S474)*(Q474)-(R474)*(T474))+(T474)*((S474)*(R474)-(P474)*(T474)))</f>
        <v/>
      </c>
      <c r="X474">
        <f>IF(ABS(W474)&gt;1E-12,((LTP3!$D$6)*((P474)*(Q474)-(R474)*(R474))-(S474)*((U474)*(Q474)-(R474)*(V474))+(T474)*((U474)*(R474)-(P474)*(V474)))/W474,0)</f>
        <v/>
      </c>
      <c r="Y474">
        <f>IF(ABS(W474)&gt;1E-12,((LTP3!$D$5)*((U474)*(Q474)-(R474)*(V474))-(LTP3!$D$6)*((S474)*(Q474)-(R474)*(T474))+(T474)*((S474)*(V474)-(U474)*(T474)))/W474,0)</f>
        <v/>
      </c>
      <c r="Z474">
        <f>IF(ABS(W474)&gt;1E-12,((LTP3!$D$5)*((P474)*(V474)-(U474)*(R474))-(S474)*((S474)*(V474)-(U474)*(T474))+(LTP3!$D$6)*((S474)*(R474)-(P474)*(T474)))/W474,0)</f>
        <v/>
      </c>
      <c r="AA474">
        <f>LTP3!$D$7-X474*LTP3!$D$6-Y474*U474-Z474*V474</f>
        <v/>
      </c>
      <c r="AB474">
        <f>IF(AND(F474,ABS(W474)&gt;1E-12,Y474&gt;0,Z474&gt;0),AA474,1E+300)</f>
        <v/>
      </c>
    </row>
    <row r="475">
      <c r="A475">
        <f>$B$3+$B$5*7</f>
        <v/>
      </c>
      <c r="B475">
        <f>$B$3+$B$5*36</f>
        <v/>
      </c>
      <c r="C475">
        <f>SUMPRODUCT(Calc!$K$3:$K$22*(Calc!$G$3:$G$22&lt;=A475))</f>
        <v/>
      </c>
      <c r="D475">
        <f>SUMPRODUCT(Calc!$K$3:$K$22*(Calc!$G$3:$G$22&gt;A475)*(Calc!$G$3:$G$22&lt;B475))</f>
        <v/>
      </c>
      <c r="E475">
        <f>SUMPRODUCT(Calc!$K$3:$K$22*(Calc!$G$3:$G$22&gt;=B475))</f>
        <v/>
      </c>
      <c r="F475">
        <f>AND(k_n&gt;=5,B475&gt;A475+1E-9,C475&gt;=2,D475&gt;=1,E475&gt;=2)</f>
        <v/>
      </c>
      <c r="G475">
        <f>SUMPRODUCT(Calc!$K$3:$K$22*(Calc!$G$3:$G$22&gt;A475)*(Calc!$G$3:$G$22-A475))</f>
        <v/>
      </c>
      <c r="H475">
        <f>SUMPRODUCT(Calc!$K$3:$K$22*(Calc!$G$3:$G$22&gt;B475)*(Calc!$G$3:$G$22-B475))</f>
        <v/>
      </c>
      <c r="I475">
        <f>SUMPRODUCT(Calc!$K$3:$K$22*(Calc!$G$3:$G$22&gt;A475)*(Calc!$G$3:$G$22-A475)^2)</f>
        <v/>
      </c>
      <c r="J475">
        <f>SUMPRODUCT(Calc!$K$3:$K$22*(Calc!$G$3:$G$22&gt;B475)*(Calc!$G$3:$G$22-B475)^2)</f>
        <v/>
      </c>
      <c r="K475">
        <f>SUMPRODUCT(Calc!$K$3:$K$22*(Calc!$G$3:$G$22&gt;A475)*(Calc!$G$3:$G$22-A475)*(Calc!$G$3:$G$22&gt;B475)*(Calc!$G$3:$G$22-B475))</f>
        <v/>
      </c>
      <c r="L475">
        <f>SUMPRODUCT(Calc!$K$3:$K$22*(Calc!$G$3:$G$22&gt;A475)*(Calc!$G$3:$G$22-A475)*Calc!$G$3:$G$22)</f>
        <v/>
      </c>
      <c r="M475">
        <f>SUMPRODUCT(Calc!$K$3:$K$22*(Calc!$G$3:$G$22&gt;B475)*(Calc!$G$3:$G$22-B475)*Calc!$G$3:$G$22)</f>
        <v/>
      </c>
      <c r="N475">
        <f>SUMPRODUCT(Calc!$K$3:$K$22*(Calc!$G$3:$G$22&gt;A475)*(Calc!$G$3:$G$22-A475)*Calc!$I$3:$I$22)</f>
        <v/>
      </c>
      <c r="O475">
        <f>SUMPRODUCT(Calc!$K$3:$K$22*(Calc!$G$3:$G$22&gt;B475)*(Calc!$G$3:$G$22-B475)*Calc!$I$3:$I$22)</f>
        <v/>
      </c>
      <c r="P475">
        <f>I475-G475^2/k_n</f>
        <v/>
      </c>
      <c r="Q475">
        <f>J475-H475^2/k_n</f>
        <v/>
      </c>
      <c r="R475">
        <f>K475-G475*H475/k_n</f>
        <v/>
      </c>
      <c r="S475">
        <f>L475-LTP3!$D$3*G475/k_n</f>
        <v/>
      </c>
      <c r="T475">
        <f>M475-LTP3!$D$3*H475/k_n</f>
        <v/>
      </c>
      <c r="U475">
        <f>N475-G475*LTP3!$D$4/k_n</f>
        <v/>
      </c>
      <c r="V475">
        <f>O475-H475*LTP3!$D$4/k_n</f>
        <v/>
      </c>
      <c r="W475">
        <f>((LTP3!$D$5)*((P475)*(Q475)-(R475)*(R475))-(S475)*((S475)*(Q475)-(R475)*(T475))+(T475)*((S475)*(R475)-(P475)*(T475)))</f>
        <v/>
      </c>
      <c r="X475">
        <f>IF(ABS(W475)&gt;1E-12,((LTP3!$D$6)*((P475)*(Q475)-(R475)*(R475))-(S475)*((U475)*(Q475)-(R475)*(V475))+(T475)*((U475)*(R475)-(P475)*(V475)))/W475,0)</f>
        <v/>
      </c>
      <c r="Y475">
        <f>IF(ABS(W475)&gt;1E-12,((LTP3!$D$5)*((U475)*(Q475)-(R475)*(V475))-(LTP3!$D$6)*((S475)*(Q475)-(R475)*(T475))+(T475)*((S475)*(V475)-(U475)*(T475)))/W475,0)</f>
        <v/>
      </c>
      <c r="Z475">
        <f>IF(ABS(W475)&gt;1E-12,((LTP3!$D$5)*((P475)*(V475)-(U475)*(R475))-(S475)*((S475)*(V475)-(U475)*(T475))+(LTP3!$D$6)*((S475)*(R475)-(P475)*(T475)))/W475,0)</f>
        <v/>
      </c>
      <c r="AA475">
        <f>LTP3!$D$7-X475*LTP3!$D$6-Y475*U475-Z475*V475</f>
        <v/>
      </c>
      <c r="AB475">
        <f>IF(AND(F475,ABS(W475)&gt;1E-12,Y475&gt;0,Z475&gt;0),AA475,1E+300)</f>
        <v/>
      </c>
    </row>
    <row r="476">
      <c r="A476">
        <f>$B$3+$B$5*7</f>
        <v/>
      </c>
      <c r="B476">
        <f>$B$3+$B$5*37</f>
        <v/>
      </c>
      <c r="C476">
        <f>SUMPRODUCT(Calc!$K$3:$K$22*(Calc!$G$3:$G$22&lt;=A476))</f>
        <v/>
      </c>
      <c r="D476">
        <f>SUMPRODUCT(Calc!$K$3:$K$22*(Calc!$G$3:$G$22&gt;A476)*(Calc!$G$3:$G$22&lt;B476))</f>
        <v/>
      </c>
      <c r="E476">
        <f>SUMPRODUCT(Calc!$K$3:$K$22*(Calc!$G$3:$G$22&gt;=B476))</f>
        <v/>
      </c>
      <c r="F476">
        <f>AND(k_n&gt;=5,B476&gt;A476+1E-9,C476&gt;=2,D476&gt;=1,E476&gt;=2)</f>
        <v/>
      </c>
      <c r="G476">
        <f>SUMPRODUCT(Calc!$K$3:$K$22*(Calc!$G$3:$G$22&gt;A476)*(Calc!$G$3:$G$22-A476))</f>
        <v/>
      </c>
      <c r="H476">
        <f>SUMPRODUCT(Calc!$K$3:$K$22*(Calc!$G$3:$G$22&gt;B476)*(Calc!$G$3:$G$22-B476))</f>
        <v/>
      </c>
      <c r="I476">
        <f>SUMPRODUCT(Calc!$K$3:$K$22*(Calc!$G$3:$G$22&gt;A476)*(Calc!$G$3:$G$22-A476)^2)</f>
        <v/>
      </c>
      <c r="J476">
        <f>SUMPRODUCT(Calc!$K$3:$K$22*(Calc!$G$3:$G$22&gt;B476)*(Calc!$G$3:$G$22-B476)^2)</f>
        <v/>
      </c>
      <c r="K476">
        <f>SUMPRODUCT(Calc!$K$3:$K$22*(Calc!$G$3:$G$22&gt;A476)*(Calc!$G$3:$G$22-A476)*(Calc!$G$3:$G$22&gt;B476)*(Calc!$G$3:$G$22-B476))</f>
        <v/>
      </c>
      <c r="L476">
        <f>SUMPRODUCT(Calc!$K$3:$K$22*(Calc!$G$3:$G$22&gt;A476)*(Calc!$G$3:$G$22-A476)*Calc!$G$3:$G$22)</f>
        <v/>
      </c>
      <c r="M476">
        <f>SUMPRODUCT(Calc!$K$3:$K$22*(Calc!$G$3:$G$22&gt;B476)*(Calc!$G$3:$G$22-B476)*Calc!$G$3:$G$22)</f>
        <v/>
      </c>
      <c r="N476">
        <f>SUMPRODUCT(Calc!$K$3:$K$22*(Calc!$G$3:$G$22&gt;A476)*(Calc!$G$3:$G$22-A476)*Calc!$I$3:$I$22)</f>
        <v/>
      </c>
      <c r="O476">
        <f>SUMPRODUCT(Calc!$K$3:$K$22*(Calc!$G$3:$G$22&gt;B476)*(Calc!$G$3:$G$22-B476)*Calc!$I$3:$I$22)</f>
        <v/>
      </c>
      <c r="P476">
        <f>I476-G476^2/k_n</f>
        <v/>
      </c>
      <c r="Q476">
        <f>J476-H476^2/k_n</f>
        <v/>
      </c>
      <c r="R476">
        <f>K476-G476*H476/k_n</f>
        <v/>
      </c>
      <c r="S476">
        <f>L476-LTP3!$D$3*G476/k_n</f>
        <v/>
      </c>
      <c r="T476">
        <f>M476-LTP3!$D$3*H476/k_n</f>
        <v/>
      </c>
      <c r="U476">
        <f>N476-G476*LTP3!$D$4/k_n</f>
        <v/>
      </c>
      <c r="V476">
        <f>O476-H476*LTP3!$D$4/k_n</f>
        <v/>
      </c>
      <c r="W476">
        <f>((LTP3!$D$5)*((P476)*(Q476)-(R476)*(R476))-(S476)*((S476)*(Q476)-(R476)*(T476))+(T476)*((S476)*(R476)-(P476)*(T476)))</f>
        <v/>
      </c>
      <c r="X476">
        <f>IF(ABS(W476)&gt;1E-12,((LTP3!$D$6)*((P476)*(Q476)-(R476)*(R476))-(S476)*((U476)*(Q476)-(R476)*(V476))+(T476)*((U476)*(R476)-(P476)*(V476)))/W476,0)</f>
        <v/>
      </c>
      <c r="Y476">
        <f>IF(ABS(W476)&gt;1E-12,((LTP3!$D$5)*((U476)*(Q476)-(R476)*(V476))-(LTP3!$D$6)*((S476)*(Q476)-(R476)*(T476))+(T476)*((S476)*(V476)-(U476)*(T476)))/W476,0)</f>
        <v/>
      </c>
      <c r="Z476">
        <f>IF(ABS(W476)&gt;1E-12,((LTP3!$D$5)*((P476)*(V476)-(U476)*(R476))-(S476)*((S476)*(V476)-(U476)*(T476))+(LTP3!$D$6)*((S476)*(R476)-(P476)*(T476)))/W476,0)</f>
        <v/>
      </c>
      <c r="AA476">
        <f>LTP3!$D$7-X476*LTP3!$D$6-Y476*U476-Z476*V476</f>
        <v/>
      </c>
      <c r="AB476">
        <f>IF(AND(F476,ABS(W476)&gt;1E-12,Y476&gt;0,Z476&gt;0),AA476,1E+300)</f>
        <v/>
      </c>
    </row>
    <row r="477">
      <c r="A477">
        <f>$B$3+$B$5*7</f>
        <v/>
      </c>
      <c r="B477">
        <f>$B$3+$B$5*38</f>
        <v/>
      </c>
      <c r="C477">
        <f>SUMPRODUCT(Calc!$K$3:$K$22*(Calc!$G$3:$G$22&lt;=A477))</f>
        <v/>
      </c>
      <c r="D477">
        <f>SUMPRODUCT(Calc!$K$3:$K$22*(Calc!$G$3:$G$22&gt;A477)*(Calc!$G$3:$G$22&lt;B477))</f>
        <v/>
      </c>
      <c r="E477">
        <f>SUMPRODUCT(Calc!$K$3:$K$22*(Calc!$G$3:$G$22&gt;=B477))</f>
        <v/>
      </c>
      <c r="F477">
        <f>AND(k_n&gt;=5,B477&gt;A477+1E-9,C477&gt;=2,D477&gt;=1,E477&gt;=2)</f>
        <v/>
      </c>
      <c r="G477">
        <f>SUMPRODUCT(Calc!$K$3:$K$22*(Calc!$G$3:$G$22&gt;A477)*(Calc!$G$3:$G$22-A477))</f>
        <v/>
      </c>
      <c r="H477">
        <f>SUMPRODUCT(Calc!$K$3:$K$22*(Calc!$G$3:$G$22&gt;B477)*(Calc!$G$3:$G$22-B477))</f>
        <v/>
      </c>
      <c r="I477">
        <f>SUMPRODUCT(Calc!$K$3:$K$22*(Calc!$G$3:$G$22&gt;A477)*(Calc!$G$3:$G$22-A477)^2)</f>
        <v/>
      </c>
      <c r="J477">
        <f>SUMPRODUCT(Calc!$K$3:$K$22*(Calc!$G$3:$G$22&gt;B477)*(Calc!$G$3:$G$22-B477)^2)</f>
        <v/>
      </c>
      <c r="K477">
        <f>SUMPRODUCT(Calc!$K$3:$K$22*(Calc!$G$3:$G$22&gt;A477)*(Calc!$G$3:$G$22-A477)*(Calc!$G$3:$G$22&gt;B477)*(Calc!$G$3:$G$22-B477))</f>
        <v/>
      </c>
      <c r="L477">
        <f>SUMPRODUCT(Calc!$K$3:$K$22*(Calc!$G$3:$G$22&gt;A477)*(Calc!$G$3:$G$22-A477)*Calc!$G$3:$G$22)</f>
        <v/>
      </c>
      <c r="M477">
        <f>SUMPRODUCT(Calc!$K$3:$K$22*(Calc!$G$3:$G$22&gt;B477)*(Calc!$G$3:$G$22-B477)*Calc!$G$3:$G$22)</f>
        <v/>
      </c>
      <c r="N477">
        <f>SUMPRODUCT(Calc!$K$3:$K$22*(Calc!$G$3:$G$22&gt;A477)*(Calc!$G$3:$G$22-A477)*Calc!$I$3:$I$22)</f>
        <v/>
      </c>
      <c r="O477">
        <f>SUMPRODUCT(Calc!$K$3:$K$22*(Calc!$G$3:$G$22&gt;B477)*(Calc!$G$3:$G$22-B477)*Calc!$I$3:$I$22)</f>
        <v/>
      </c>
      <c r="P477">
        <f>I477-G477^2/k_n</f>
        <v/>
      </c>
      <c r="Q477">
        <f>J477-H477^2/k_n</f>
        <v/>
      </c>
      <c r="R477">
        <f>K477-G477*H477/k_n</f>
        <v/>
      </c>
      <c r="S477">
        <f>L477-LTP3!$D$3*G477/k_n</f>
        <v/>
      </c>
      <c r="T477">
        <f>M477-LTP3!$D$3*H477/k_n</f>
        <v/>
      </c>
      <c r="U477">
        <f>N477-G477*LTP3!$D$4/k_n</f>
        <v/>
      </c>
      <c r="V477">
        <f>O477-H477*LTP3!$D$4/k_n</f>
        <v/>
      </c>
      <c r="W477">
        <f>((LTP3!$D$5)*((P477)*(Q477)-(R477)*(R477))-(S477)*((S477)*(Q477)-(R477)*(T477))+(T477)*((S477)*(R477)-(P477)*(T477)))</f>
        <v/>
      </c>
      <c r="X477">
        <f>IF(ABS(W477)&gt;1E-12,((LTP3!$D$6)*((P477)*(Q477)-(R477)*(R477))-(S477)*((U477)*(Q477)-(R477)*(V477))+(T477)*((U477)*(R477)-(P477)*(V477)))/W477,0)</f>
        <v/>
      </c>
      <c r="Y477">
        <f>IF(ABS(W477)&gt;1E-12,((LTP3!$D$5)*((U477)*(Q477)-(R477)*(V477))-(LTP3!$D$6)*((S477)*(Q477)-(R477)*(T477))+(T477)*((S477)*(V477)-(U477)*(T477)))/W477,0)</f>
        <v/>
      </c>
      <c r="Z477">
        <f>IF(ABS(W477)&gt;1E-12,((LTP3!$D$5)*((P477)*(V477)-(U477)*(R477))-(S477)*((S477)*(V477)-(U477)*(T477))+(LTP3!$D$6)*((S477)*(R477)-(P477)*(T477)))/W477,0)</f>
        <v/>
      </c>
      <c r="AA477">
        <f>LTP3!$D$7-X477*LTP3!$D$6-Y477*U477-Z477*V477</f>
        <v/>
      </c>
      <c r="AB477">
        <f>IF(AND(F477,ABS(W477)&gt;1E-12,Y477&gt;0,Z477&gt;0),AA477,1E+300)</f>
        <v/>
      </c>
    </row>
    <row r="478">
      <c r="A478">
        <f>$B$3+$B$5*7</f>
        <v/>
      </c>
      <c r="B478">
        <f>$B$3+$B$5*39</f>
        <v/>
      </c>
      <c r="C478">
        <f>SUMPRODUCT(Calc!$K$3:$K$22*(Calc!$G$3:$G$22&lt;=A478))</f>
        <v/>
      </c>
      <c r="D478">
        <f>SUMPRODUCT(Calc!$K$3:$K$22*(Calc!$G$3:$G$22&gt;A478)*(Calc!$G$3:$G$22&lt;B478))</f>
        <v/>
      </c>
      <c r="E478">
        <f>SUMPRODUCT(Calc!$K$3:$K$22*(Calc!$G$3:$G$22&gt;=B478))</f>
        <v/>
      </c>
      <c r="F478">
        <f>AND(k_n&gt;=5,B478&gt;A478+1E-9,C478&gt;=2,D478&gt;=1,E478&gt;=2)</f>
        <v/>
      </c>
      <c r="G478">
        <f>SUMPRODUCT(Calc!$K$3:$K$22*(Calc!$G$3:$G$22&gt;A478)*(Calc!$G$3:$G$22-A478))</f>
        <v/>
      </c>
      <c r="H478">
        <f>SUMPRODUCT(Calc!$K$3:$K$22*(Calc!$G$3:$G$22&gt;B478)*(Calc!$G$3:$G$22-B478))</f>
        <v/>
      </c>
      <c r="I478">
        <f>SUMPRODUCT(Calc!$K$3:$K$22*(Calc!$G$3:$G$22&gt;A478)*(Calc!$G$3:$G$22-A478)^2)</f>
        <v/>
      </c>
      <c r="J478">
        <f>SUMPRODUCT(Calc!$K$3:$K$22*(Calc!$G$3:$G$22&gt;B478)*(Calc!$G$3:$G$22-B478)^2)</f>
        <v/>
      </c>
      <c r="K478">
        <f>SUMPRODUCT(Calc!$K$3:$K$22*(Calc!$G$3:$G$22&gt;A478)*(Calc!$G$3:$G$22-A478)*(Calc!$G$3:$G$22&gt;B478)*(Calc!$G$3:$G$22-B478))</f>
        <v/>
      </c>
      <c r="L478">
        <f>SUMPRODUCT(Calc!$K$3:$K$22*(Calc!$G$3:$G$22&gt;A478)*(Calc!$G$3:$G$22-A478)*Calc!$G$3:$G$22)</f>
        <v/>
      </c>
      <c r="M478">
        <f>SUMPRODUCT(Calc!$K$3:$K$22*(Calc!$G$3:$G$22&gt;B478)*(Calc!$G$3:$G$22-B478)*Calc!$G$3:$G$22)</f>
        <v/>
      </c>
      <c r="N478">
        <f>SUMPRODUCT(Calc!$K$3:$K$22*(Calc!$G$3:$G$22&gt;A478)*(Calc!$G$3:$G$22-A478)*Calc!$I$3:$I$22)</f>
        <v/>
      </c>
      <c r="O478">
        <f>SUMPRODUCT(Calc!$K$3:$K$22*(Calc!$G$3:$G$22&gt;B478)*(Calc!$G$3:$G$22-B478)*Calc!$I$3:$I$22)</f>
        <v/>
      </c>
      <c r="P478">
        <f>I478-G478^2/k_n</f>
        <v/>
      </c>
      <c r="Q478">
        <f>J478-H478^2/k_n</f>
        <v/>
      </c>
      <c r="R478">
        <f>K478-G478*H478/k_n</f>
        <v/>
      </c>
      <c r="S478">
        <f>L478-LTP3!$D$3*G478/k_n</f>
        <v/>
      </c>
      <c r="T478">
        <f>M478-LTP3!$D$3*H478/k_n</f>
        <v/>
      </c>
      <c r="U478">
        <f>N478-G478*LTP3!$D$4/k_n</f>
        <v/>
      </c>
      <c r="V478">
        <f>O478-H478*LTP3!$D$4/k_n</f>
        <v/>
      </c>
      <c r="W478">
        <f>((LTP3!$D$5)*((P478)*(Q478)-(R478)*(R478))-(S478)*((S478)*(Q478)-(R478)*(T478))+(T478)*((S478)*(R478)-(P478)*(T478)))</f>
        <v/>
      </c>
      <c r="X478">
        <f>IF(ABS(W478)&gt;1E-12,((LTP3!$D$6)*((P478)*(Q478)-(R478)*(R478))-(S478)*((U478)*(Q478)-(R478)*(V478))+(T478)*((U478)*(R478)-(P478)*(V478)))/W478,0)</f>
        <v/>
      </c>
      <c r="Y478">
        <f>IF(ABS(W478)&gt;1E-12,((LTP3!$D$5)*((U478)*(Q478)-(R478)*(V478))-(LTP3!$D$6)*((S478)*(Q478)-(R478)*(T478))+(T478)*((S478)*(V478)-(U478)*(T478)))/W478,0)</f>
        <v/>
      </c>
      <c r="Z478">
        <f>IF(ABS(W478)&gt;1E-12,((LTP3!$D$5)*((P478)*(V478)-(U478)*(R478))-(S478)*((S478)*(V478)-(U478)*(T478))+(LTP3!$D$6)*((S478)*(R478)-(P478)*(T478)))/W478,0)</f>
        <v/>
      </c>
      <c r="AA478">
        <f>LTP3!$D$7-X478*LTP3!$D$6-Y478*U478-Z478*V478</f>
        <v/>
      </c>
      <c r="AB478">
        <f>IF(AND(F478,ABS(W478)&gt;1E-12,Y478&gt;0,Z478&gt;0),AA478,1E+300)</f>
        <v/>
      </c>
    </row>
    <row r="479">
      <c r="A479">
        <f>$B$3+$B$5*7</f>
        <v/>
      </c>
      <c r="B479">
        <f>$B$3+$B$5*40</f>
        <v/>
      </c>
      <c r="C479">
        <f>SUMPRODUCT(Calc!$K$3:$K$22*(Calc!$G$3:$G$22&lt;=A479))</f>
        <v/>
      </c>
      <c r="D479">
        <f>SUMPRODUCT(Calc!$K$3:$K$22*(Calc!$G$3:$G$22&gt;A479)*(Calc!$G$3:$G$22&lt;B479))</f>
        <v/>
      </c>
      <c r="E479">
        <f>SUMPRODUCT(Calc!$K$3:$K$22*(Calc!$G$3:$G$22&gt;=B479))</f>
        <v/>
      </c>
      <c r="F479">
        <f>AND(k_n&gt;=5,B479&gt;A479+1E-9,C479&gt;=2,D479&gt;=1,E479&gt;=2)</f>
        <v/>
      </c>
      <c r="G479">
        <f>SUMPRODUCT(Calc!$K$3:$K$22*(Calc!$G$3:$G$22&gt;A479)*(Calc!$G$3:$G$22-A479))</f>
        <v/>
      </c>
      <c r="H479">
        <f>SUMPRODUCT(Calc!$K$3:$K$22*(Calc!$G$3:$G$22&gt;B479)*(Calc!$G$3:$G$22-B479))</f>
        <v/>
      </c>
      <c r="I479">
        <f>SUMPRODUCT(Calc!$K$3:$K$22*(Calc!$G$3:$G$22&gt;A479)*(Calc!$G$3:$G$22-A479)^2)</f>
        <v/>
      </c>
      <c r="J479">
        <f>SUMPRODUCT(Calc!$K$3:$K$22*(Calc!$G$3:$G$22&gt;B479)*(Calc!$G$3:$G$22-B479)^2)</f>
        <v/>
      </c>
      <c r="K479">
        <f>SUMPRODUCT(Calc!$K$3:$K$22*(Calc!$G$3:$G$22&gt;A479)*(Calc!$G$3:$G$22-A479)*(Calc!$G$3:$G$22&gt;B479)*(Calc!$G$3:$G$22-B479))</f>
        <v/>
      </c>
      <c r="L479">
        <f>SUMPRODUCT(Calc!$K$3:$K$22*(Calc!$G$3:$G$22&gt;A479)*(Calc!$G$3:$G$22-A479)*Calc!$G$3:$G$22)</f>
        <v/>
      </c>
      <c r="M479">
        <f>SUMPRODUCT(Calc!$K$3:$K$22*(Calc!$G$3:$G$22&gt;B479)*(Calc!$G$3:$G$22-B479)*Calc!$G$3:$G$22)</f>
        <v/>
      </c>
      <c r="N479">
        <f>SUMPRODUCT(Calc!$K$3:$K$22*(Calc!$G$3:$G$22&gt;A479)*(Calc!$G$3:$G$22-A479)*Calc!$I$3:$I$22)</f>
        <v/>
      </c>
      <c r="O479">
        <f>SUMPRODUCT(Calc!$K$3:$K$22*(Calc!$G$3:$G$22&gt;B479)*(Calc!$G$3:$G$22-B479)*Calc!$I$3:$I$22)</f>
        <v/>
      </c>
      <c r="P479">
        <f>I479-G479^2/k_n</f>
        <v/>
      </c>
      <c r="Q479">
        <f>J479-H479^2/k_n</f>
        <v/>
      </c>
      <c r="R479">
        <f>K479-G479*H479/k_n</f>
        <v/>
      </c>
      <c r="S479">
        <f>L479-LTP3!$D$3*G479/k_n</f>
        <v/>
      </c>
      <c r="T479">
        <f>M479-LTP3!$D$3*H479/k_n</f>
        <v/>
      </c>
      <c r="U479">
        <f>N479-G479*LTP3!$D$4/k_n</f>
        <v/>
      </c>
      <c r="V479">
        <f>O479-H479*LTP3!$D$4/k_n</f>
        <v/>
      </c>
      <c r="W479">
        <f>((LTP3!$D$5)*((P479)*(Q479)-(R479)*(R479))-(S479)*((S479)*(Q479)-(R479)*(T479))+(T479)*((S479)*(R479)-(P479)*(T479)))</f>
        <v/>
      </c>
      <c r="X479">
        <f>IF(ABS(W479)&gt;1E-12,((LTP3!$D$6)*((P479)*(Q479)-(R479)*(R479))-(S479)*((U479)*(Q479)-(R479)*(V479))+(T479)*((U479)*(R479)-(P479)*(V479)))/W479,0)</f>
        <v/>
      </c>
      <c r="Y479">
        <f>IF(ABS(W479)&gt;1E-12,((LTP3!$D$5)*((U479)*(Q479)-(R479)*(V479))-(LTP3!$D$6)*((S479)*(Q479)-(R479)*(T479))+(T479)*((S479)*(V479)-(U479)*(T479)))/W479,0)</f>
        <v/>
      </c>
      <c r="Z479">
        <f>IF(ABS(W479)&gt;1E-12,((LTP3!$D$5)*((P479)*(V479)-(U479)*(R479))-(S479)*((S479)*(V479)-(U479)*(T479))+(LTP3!$D$6)*((S479)*(R479)-(P479)*(T479)))/W479,0)</f>
        <v/>
      </c>
      <c r="AA479">
        <f>LTP3!$D$7-X479*LTP3!$D$6-Y479*U479-Z479*V479</f>
        <v/>
      </c>
      <c r="AB479">
        <f>IF(AND(F479,ABS(W479)&gt;1E-12,Y479&gt;0,Z479&gt;0),AA479,1E+300)</f>
        <v/>
      </c>
    </row>
    <row r="480">
      <c r="A480">
        <f>$B$3+$B$5*7</f>
        <v/>
      </c>
      <c r="B480">
        <f>$B$3+$B$5*41</f>
        <v/>
      </c>
      <c r="C480">
        <f>SUMPRODUCT(Calc!$K$3:$K$22*(Calc!$G$3:$G$22&lt;=A480))</f>
        <v/>
      </c>
      <c r="D480">
        <f>SUMPRODUCT(Calc!$K$3:$K$22*(Calc!$G$3:$G$22&gt;A480)*(Calc!$G$3:$G$22&lt;B480))</f>
        <v/>
      </c>
      <c r="E480">
        <f>SUMPRODUCT(Calc!$K$3:$K$22*(Calc!$G$3:$G$22&gt;=B480))</f>
        <v/>
      </c>
      <c r="F480">
        <f>AND(k_n&gt;=5,B480&gt;A480+1E-9,C480&gt;=2,D480&gt;=1,E480&gt;=2)</f>
        <v/>
      </c>
      <c r="G480">
        <f>SUMPRODUCT(Calc!$K$3:$K$22*(Calc!$G$3:$G$22&gt;A480)*(Calc!$G$3:$G$22-A480))</f>
        <v/>
      </c>
      <c r="H480">
        <f>SUMPRODUCT(Calc!$K$3:$K$22*(Calc!$G$3:$G$22&gt;B480)*(Calc!$G$3:$G$22-B480))</f>
        <v/>
      </c>
      <c r="I480">
        <f>SUMPRODUCT(Calc!$K$3:$K$22*(Calc!$G$3:$G$22&gt;A480)*(Calc!$G$3:$G$22-A480)^2)</f>
        <v/>
      </c>
      <c r="J480">
        <f>SUMPRODUCT(Calc!$K$3:$K$22*(Calc!$G$3:$G$22&gt;B480)*(Calc!$G$3:$G$22-B480)^2)</f>
        <v/>
      </c>
      <c r="K480">
        <f>SUMPRODUCT(Calc!$K$3:$K$22*(Calc!$G$3:$G$22&gt;A480)*(Calc!$G$3:$G$22-A480)*(Calc!$G$3:$G$22&gt;B480)*(Calc!$G$3:$G$22-B480))</f>
        <v/>
      </c>
      <c r="L480">
        <f>SUMPRODUCT(Calc!$K$3:$K$22*(Calc!$G$3:$G$22&gt;A480)*(Calc!$G$3:$G$22-A480)*Calc!$G$3:$G$22)</f>
        <v/>
      </c>
      <c r="M480">
        <f>SUMPRODUCT(Calc!$K$3:$K$22*(Calc!$G$3:$G$22&gt;B480)*(Calc!$G$3:$G$22-B480)*Calc!$G$3:$G$22)</f>
        <v/>
      </c>
      <c r="N480">
        <f>SUMPRODUCT(Calc!$K$3:$K$22*(Calc!$G$3:$G$22&gt;A480)*(Calc!$G$3:$G$22-A480)*Calc!$I$3:$I$22)</f>
        <v/>
      </c>
      <c r="O480">
        <f>SUMPRODUCT(Calc!$K$3:$K$22*(Calc!$G$3:$G$22&gt;B480)*(Calc!$G$3:$G$22-B480)*Calc!$I$3:$I$22)</f>
        <v/>
      </c>
      <c r="P480">
        <f>I480-G480^2/k_n</f>
        <v/>
      </c>
      <c r="Q480">
        <f>J480-H480^2/k_n</f>
        <v/>
      </c>
      <c r="R480">
        <f>K480-G480*H480/k_n</f>
        <v/>
      </c>
      <c r="S480">
        <f>L480-LTP3!$D$3*G480/k_n</f>
        <v/>
      </c>
      <c r="T480">
        <f>M480-LTP3!$D$3*H480/k_n</f>
        <v/>
      </c>
      <c r="U480">
        <f>N480-G480*LTP3!$D$4/k_n</f>
        <v/>
      </c>
      <c r="V480">
        <f>O480-H480*LTP3!$D$4/k_n</f>
        <v/>
      </c>
      <c r="W480">
        <f>((LTP3!$D$5)*((P480)*(Q480)-(R480)*(R480))-(S480)*((S480)*(Q480)-(R480)*(T480))+(T480)*((S480)*(R480)-(P480)*(T480)))</f>
        <v/>
      </c>
      <c r="X480">
        <f>IF(ABS(W480)&gt;1E-12,((LTP3!$D$6)*((P480)*(Q480)-(R480)*(R480))-(S480)*((U480)*(Q480)-(R480)*(V480))+(T480)*((U480)*(R480)-(P480)*(V480)))/W480,0)</f>
        <v/>
      </c>
      <c r="Y480">
        <f>IF(ABS(W480)&gt;1E-12,((LTP3!$D$5)*((U480)*(Q480)-(R480)*(V480))-(LTP3!$D$6)*((S480)*(Q480)-(R480)*(T480))+(T480)*((S480)*(V480)-(U480)*(T480)))/W480,0)</f>
        <v/>
      </c>
      <c r="Z480">
        <f>IF(ABS(W480)&gt;1E-12,((LTP3!$D$5)*((P480)*(V480)-(U480)*(R480))-(S480)*((S480)*(V480)-(U480)*(T480))+(LTP3!$D$6)*((S480)*(R480)-(P480)*(T480)))/W480,0)</f>
        <v/>
      </c>
      <c r="AA480">
        <f>LTP3!$D$7-X480*LTP3!$D$6-Y480*U480-Z480*V480</f>
        <v/>
      </c>
      <c r="AB480">
        <f>IF(AND(F480,ABS(W480)&gt;1E-12,Y480&gt;0,Z480&gt;0),AA480,1E+300)</f>
        <v/>
      </c>
    </row>
    <row r="481">
      <c r="A481">
        <f>$B$3+$B$5*7</f>
        <v/>
      </c>
      <c r="B481">
        <f>$B$3+$B$5*42</f>
        <v/>
      </c>
      <c r="C481">
        <f>SUMPRODUCT(Calc!$K$3:$K$22*(Calc!$G$3:$G$22&lt;=A481))</f>
        <v/>
      </c>
      <c r="D481">
        <f>SUMPRODUCT(Calc!$K$3:$K$22*(Calc!$G$3:$G$22&gt;A481)*(Calc!$G$3:$G$22&lt;B481))</f>
        <v/>
      </c>
      <c r="E481">
        <f>SUMPRODUCT(Calc!$K$3:$K$22*(Calc!$G$3:$G$22&gt;=B481))</f>
        <v/>
      </c>
      <c r="F481">
        <f>AND(k_n&gt;=5,B481&gt;A481+1E-9,C481&gt;=2,D481&gt;=1,E481&gt;=2)</f>
        <v/>
      </c>
      <c r="G481">
        <f>SUMPRODUCT(Calc!$K$3:$K$22*(Calc!$G$3:$G$22&gt;A481)*(Calc!$G$3:$G$22-A481))</f>
        <v/>
      </c>
      <c r="H481">
        <f>SUMPRODUCT(Calc!$K$3:$K$22*(Calc!$G$3:$G$22&gt;B481)*(Calc!$G$3:$G$22-B481))</f>
        <v/>
      </c>
      <c r="I481">
        <f>SUMPRODUCT(Calc!$K$3:$K$22*(Calc!$G$3:$G$22&gt;A481)*(Calc!$G$3:$G$22-A481)^2)</f>
        <v/>
      </c>
      <c r="J481">
        <f>SUMPRODUCT(Calc!$K$3:$K$22*(Calc!$G$3:$G$22&gt;B481)*(Calc!$G$3:$G$22-B481)^2)</f>
        <v/>
      </c>
      <c r="K481">
        <f>SUMPRODUCT(Calc!$K$3:$K$22*(Calc!$G$3:$G$22&gt;A481)*(Calc!$G$3:$G$22-A481)*(Calc!$G$3:$G$22&gt;B481)*(Calc!$G$3:$G$22-B481))</f>
        <v/>
      </c>
      <c r="L481">
        <f>SUMPRODUCT(Calc!$K$3:$K$22*(Calc!$G$3:$G$22&gt;A481)*(Calc!$G$3:$G$22-A481)*Calc!$G$3:$G$22)</f>
        <v/>
      </c>
      <c r="M481">
        <f>SUMPRODUCT(Calc!$K$3:$K$22*(Calc!$G$3:$G$22&gt;B481)*(Calc!$G$3:$G$22-B481)*Calc!$G$3:$G$22)</f>
        <v/>
      </c>
      <c r="N481">
        <f>SUMPRODUCT(Calc!$K$3:$K$22*(Calc!$G$3:$G$22&gt;A481)*(Calc!$G$3:$G$22-A481)*Calc!$I$3:$I$22)</f>
        <v/>
      </c>
      <c r="O481">
        <f>SUMPRODUCT(Calc!$K$3:$K$22*(Calc!$G$3:$G$22&gt;B481)*(Calc!$G$3:$G$22-B481)*Calc!$I$3:$I$22)</f>
        <v/>
      </c>
      <c r="P481">
        <f>I481-G481^2/k_n</f>
        <v/>
      </c>
      <c r="Q481">
        <f>J481-H481^2/k_n</f>
        <v/>
      </c>
      <c r="R481">
        <f>K481-G481*H481/k_n</f>
        <v/>
      </c>
      <c r="S481">
        <f>L481-LTP3!$D$3*G481/k_n</f>
        <v/>
      </c>
      <c r="T481">
        <f>M481-LTP3!$D$3*H481/k_n</f>
        <v/>
      </c>
      <c r="U481">
        <f>N481-G481*LTP3!$D$4/k_n</f>
        <v/>
      </c>
      <c r="V481">
        <f>O481-H481*LTP3!$D$4/k_n</f>
        <v/>
      </c>
      <c r="W481">
        <f>((LTP3!$D$5)*((P481)*(Q481)-(R481)*(R481))-(S481)*((S481)*(Q481)-(R481)*(T481))+(T481)*((S481)*(R481)-(P481)*(T481)))</f>
        <v/>
      </c>
      <c r="X481">
        <f>IF(ABS(W481)&gt;1E-12,((LTP3!$D$6)*((P481)*(Q481)-(R481)*(R481))-(S481)*((U481)*(Q481)-(R481)*(V481))+(T481)*((U481)*(R481)-(P481)*(V481)))/W481,0)</f>
        <v/>
      </c>
      <c r="Y481">
        <f>IF(ABS(W481)&gt;1E-12,((LTP3!$D$5)*((U481)*(Q481)-(R481)*(V481))-(LTP3!$D$6)*((S481)*(Q481)-(R481)*(T481))+(T481)*((S481)*(V481)-(U481)*(T481)))/W481,0)</f>
        <v/>
      </c>
      <c r="Z481">
        <f>IF(ABS(W481)&gt;1E-12,((LTP3!$D$5)*((P481)*(V481)-(U481)*(R481))-(S481)*((S481)*(V481)-(U481)*(T481))+(LTP3!$D$6)*((S481)*(R481)-(P481)*(T481)))/W481,0)</f>
        <v/>
      </c>
      <c r="AA481">
        <f>LTP3!$D$7-X481*LTP3!$D$6-Y481*U481-Z481*V481</f>
        <v/>
      </c>
      <c r="AB481">
        <f>IF(AND(F481,ABS(W481)&gt;1E-12,Y481&gt;0,Z481&gt;0),AA481,1E+300)</f>
        <v/>
      </c>
    </row>
    <row r="482">
      <c r="A482">
        <f>$B$3+$B$5*7</f>
        <v/>
      </c>
      <c r="B482">
        <f>$B$3+$B$5*43</f>
        <v/>
      </c>
      <c r="C482">
        <f>SUMPRODUCT(Calc!$K$3:$K$22*(Calc!$G$3:$G$22&lt;=A482))</f>
        <v/>
      </c>
      <c r="D482">
        <f>SUMPRODUCT(Calc!$K$3:$K$22*(Calc!$G$3:$G$22&gt;A482)*(Calc!$G$3:$G$22&lt;B482))</f>
        <v/>
      </c>
      <c r="E482">
        <f>SUMPRODUCT(Calc!$K$3:$K$22*(Calc!$G$3:$G$22&gt;=B482))</f>
        <v/>
      </c>
      <c r="F482">
        <f>AND(k_n&gt;=5,B482&gt;A482+1E-9,C482&gt;=2,D482&gt;=1,E482&gt;=2)</f>
        <v/>
      </c>
      <c r="G482">
        <f>SUMPRODUCT(Calc!$K$3:$K$22*(Calc!$G$3:$G$22&gt;A482)*(Calc!$G$3:$G$22-A482))</f>
        <v/>
      </c>
      <c r="H482">
        <f>SUMPRODUCT(Calc!$K$3:$K$22*(Calc!$G$3:$G$22&gt;B482)*(Calc!$G$3:$G$22-B482))</f>
        <v/>
      </c>
      <c r="I482">
        <f>SUMPRODUCT(Calc!$K$3:$K$22*(Calc!$G$3:$G$22&gt;A482)*(Calc!$G$3:$G$22-A482)^2)</f>
        <v/>
      </c>
      <c r="J482">
        <f>SUMPRODUCT(Calc!$K$3:$K$22*(Calc!$G$3:$G$22&gt;B482)*(Calc!$G$3:$G$22-B482)^2)</f>
        <v/>
      </c>
      <c r="K482">
        <f>SUMPRODUCT(Calc!$K$3:$K$22*(Calc!$G$3:$G$22&gt;A482)*(Calc!$G$3:$G$22-A482)*(Calc!$G$3:$G$22&gt;B482)*(Calc!$G$3:$G$22-B482))</f>
        <v/>
      </c>
      <c r="L482">
        <f>SUMPRODUCT(Calc!$K$3:$K$22*(Calc!$G$3:$G$22&gt;A482)*(Calc!$G$3:$G$22-A482)*Calc!$G$3:$G$22)</f>
        <v/>
      </c>
      <c r="M482">
        <f>SUMPRODUCT(Calc!$K$3:$K$22*(Calc!$G$3:$G$22&gt;B482)*(Calc!$G$3:$G$22-B482)*Calc!$G$3:$G$22)</f>
        <v/>
      </c>
      <c r="N482">
        <f>SUMPRODUCT(Calc!$K$3:$K$22*(Calc!$G$3:$G$22&gt;A482)*(Calc!$G$3:$G$22-A482)*Calc!$I$3:$I$22)</f>
        <v/>
      </c>
      <c r="O482">
        <f>SUMPRODUCT(Calc!$K$3:$K$22*(Calc!$G$3:$G$22&gt;B482)*(Calc!$G$3:$G$22-B482)*Calc!$I$3:$I$22)</f>
        <v/>
      </c>
      <c r="P482">
        <f>I482-G482^2/k_n</f>
        <v/>
      </c>
      <c r="Q482">
        <f>J482-H482^2/k_n</f>
        <v/>
      </c>
      <c r="R482">
        <f>K482-G482*H482/k_n</f>
        <v/>
      </c>
      <c r="S482">
        <f>L482-LTP3!$D$3*G482/k_n</f>
        <v/>
      </c>
      <c r="T482">
        <f>M482-LTP3!$D$3*H482/k_n</f>
        <v/>
      </c>
      <c r="U482">
        <f>N482-G482*LTP3!$D$4/k_n</f>
        <v/>
      </c>
      <c r="V482">
        <f>O482-H482*LTP3!$D$4/k_n</f>
        <v/>
      </c>
      <c r="W482">
        <f>((LTP3!$D$5)*((P482)*(Q482)-(R482)*(R482))-(S482)*((S482)*(Q482)-(R482)*(T482))+(T482)*((S482)*(R482)-(P482)*(T482)))</f>
        <v/>
      </c>
      <c r="X482">
        <f>IF(ABS(W482)&gt;1E-12,((LTP3!$D$6)*((P482)*(Q482)-(R482)*(R482))-(S482)*((U482)*(Q482)-(R482)*(V482))+(T482)*((U482)*(R482)-(P482)*(V482)))/W482,0)</f>
        <v/>
      </c>
      <c r="Y482">
        <f>IF(ABS(W482)&gt;1E-12,((LTP3!$D$5)*((U482)*(Q482)-(R482)*(V482))-(LTP3!$D$6)*((S482)*(Q482)-(R482)*(T482))+(T482)*((S482)*(V482)-(U482)*(T482)))/W482,0)</f>
        <v/>
      </c>
      <c r="Z482">
        <f>IF(ABS(W482)&gt;1E-12,((LTP3!$D$5)*((P482)*(V482)-(U482)*(R482))-(S482)*((S482)*(V482)-(U482)*(T482))+(LTP3!$D$6)*((S482)*(R482)-(P482)*(T482)))/W482,0)</f>
        <v/>
      </c>
      <c r="AA482">
        <f>LTP3!$D$7-X482*LTP3!$D$6-Y482*U482-Z482*V482</f>
        <v/>
      </c>
      <c r="AB482">
        <f>IF(AND(F482,ABS(W482)&gt;1E-12,Y482&gt;0,Z482&gt;0),AA482,1E+300)</f>
        <v/>
      </c>
    </row>
    <row r="483">
      <c r="A483">
        <f>$B$3+$B$5*7</f>
        <v/>
      </c>
      <c r="B483">
        <f>$B$3+$B$5*44</f>
        <v/>
      </c>
      <c r="C483">
        <f>SUMPRODUCT(Calc!$K$3:$K$22*(Calc!$G$3:$G$22&lt;=A483))</f>
        <v/>
      </c>
      <c r="D483">
        <f>SUMPRODUCT(Calc!$K$3:$K$22*(Calc!$G$3:$G$22&gt;A483)*(Calc!$G$3:$G$22&lt;B483))</f>
        <v/>
      </c>
      <c r="E483">
        <f>SUMPRODUCT(Calc!$K$3:$K$22*(Calc!$G$3:$G$22&gt;=B483))</f>
        <v/>
      </c>
      <c r="F483">
        <f>AND(k_n&gt;=5,B483&gt;A483+1E-9,C483&gt;=2,D483&gt;=1,E483&gt;=2)</f>
        <v/>
      </c>
      <c r="G483">
        <f>SUMPRODUCT(Calc!$K$3:$K$22*(Calc!$G$3:$G$22&gt;A483)*(Calc!$G$3:$G$22-A483))</f>
        <v/>
      </c>
      <c r="H483">
        <f>SUMPRODUCT(Calc!$K$3:$K$22*(Calc!$G$3:$G$22&gt;B483)*(Calc!$G$3:$G$22-B483))</f>
        <v/>
      </c>
      <c r="I483">
        <f>SUMPRODUCT(Calc!$K$3:$K$22*(Calc!$G$3:$G$22&gt;A483)*(Calc!$G$3:$G$22-A483)^2)</f>
        <v/>
      </c>
      <c r="J483">
        <f>SUMPRODUCT(Calc!$K$3:$K$22*(Calc!$G$3:$G$22&gt;B483)*(Calc!$G$3:$G$22-B483)^2)</f>
        <v/>
      </c>
      <c r="K483">
        <f>SUMPRODUCT(Calc!$K$3:$K$22*(Calc!$G$3:$G$22&gt;A483)*(Calc!$G$3:$G$22-A483)*(Calc!$G$3:$G$22&gt;B483)*(Calc!$G$3:$G$22-B483))</f>
        <v/>
      </c>
      <c r="L483">
        <f>SUMPRODUCT(Calc!$K$3:$K$22*(Calc!$G$3:$G$22&gt;A483)*(Calc!$G$3:$G$22-A483)*Calc!$G$3:$G$22)</f>
        <v/>
      </c>
      <c r="M483">
        <f>SUMPRODUCT(Calc!$K$3:$K$22*(Calc!$G$3:$G$22&gt;B483)*(Calc!$G$3:$G$22-B483)*Calc!$G$3:$G$22)</f>
        <v/>
      </c>
      <c r="N483">
        <f>SUMPRODUCT(Calc!$K$3:$K$22*(Calc!$G$3:$G$22&gt;A483)*(Calc!$G$3:$G$22-A483)*Calc!$I$3:$I$22)</f>
        <v/>
      </c>
      <c r="O483">
        <f>SUMPRODUCT(Calc!$K$3:$K$22*(Calc!$G$3:$G$22&gt;B483)*(Calc!$G$3:$G$22-B483)*Calc!$I$3:$I$22)</f>
        <v/>
      </c>
      <c r="P483">
        <f>I483-G483^2/k_n</f>
        <v/>
      </c>
      <c r="Q483">
        <f>J483-H483^2/k_n</f>
        <v/>
      </c>
      <c r="R483">
        <f>K483-G483*H483/k_n</f>
        <v/>
      </c>
      <c r="S483">
        <f>L483-LTP3!$D$3*G483/k_n</f>
        <v/>
      </c>
      <c r="T483">
        <f>M483-LTP3!$D$3*H483/k_n</f>
        <v/>
      </c>
      <c r="U483">
        <f>N483-G483*LTP3!$D$4/k_n</f>
        <v/>
      </c>
      <c r="V483">
        <f>O483-H483*LTP3!$D$4/k_n</f>
        <v/>
      </c>
      <c r="W483">
        <f>((LTP3!$D$5)*((P483)*(Q483)-(R483)*(R483))-(S483)*((S483)*(Q483)-(R483)*(T483))+(T483)*((S483)*(R483)-(P483)*(T483)))</f>
        <v/>
      </c>
      <c r="X483">
        <f>IF(ABS(W483)&gt;1E-12,((LTP3!$D$6)*((P483)*(Q483)-(R483)*(R483))-(S483)*((U483)*(Q483)-(R483)*(V483))+(T483)*((U483)*(R483)-(P483)*(V483)))/W483,0)</f>
        <v/>
      </c>
      <c r="Y483">
        <f>IF(ABS(W483)&gt;1E-12,((LTP3!$D$5)*((U483)*(Q483)-(R483)*(V483))-(LTP3!$D$6)*((S483)*(Q483)-(R483)*(T483))+(T483)*((S483)*(V483)-(U483)*(T483)))/W483,0)</f>
        <v/>
      </c>
      <c r="Z483">
        <f>IF(ABS(W483)&gt;1E-12,((LTP3!$D$5)*((P483)*(V483)-(U483)*(R483))-(S483)*((S483)*(V483)-(U483)*(T483))+(LTP3!$D$6)*((S483)*(R483)-(P483)*(T483)))/W483,0)</f>
        <v/>
      </c>
      <c r="AA483">
        <f>LTP3!$D$7-X483*LTP3!$D$6-Y483*U483-Z483*V483</f>
        <v/>
      </c>
      <c r="AB483">
        <f>IF(AND(F483,ABS(W483)&gt;1E-12,Y483&gt;0,Z483&gt;0),AA483,1E+300)</f>
        <v/>
      </c>
    </row>
    <row r="484">
      <c r="A484">
        <f>$B$3+$B$5*7</f>
        <v/>
      </c>
      <c r="B484">
        <f>$B$3+$B$5*45</f>
        <v/>
      </c>
      <c r="C484">
        <f>SUMPRODUCT(Calc!$K$3:$K$22*(Calc!$G$3:$G$22&lt;=A484))</f>
        <v/>
      </c>
      <c r="D484">
        <f>SUMPRODUCT(Calc!$K$3:$K$22*(Calc!$G$3:$G$22&gt;A484)*(Calc!$G$3:$G$22&lt;B484))</f>
        <v/>
      </c>
      <c r="E484">
        <f>SUMPRODUCT(Calc!$K$3:$K$22*(Calc!$G$3:$G$22&gt;=B484))</f>
        <v/>
      </c>
      <c r="F484">
        <f>AND(k_n&gt;=5,B484&gt;A484+1E-9,C484&gt;=2,D484&gt;=1,E484&gt;=2)</f>
        <v/>
      </c>
      <c r="G484">
        <f>SUMPRODUCT(Calc!$K$3:$K$22*(Calc!$G$3:$G$22&gt;A484)*(Calc!$G$3:$G$22-A484))</f>
        <v/>
      </c>
      <c r="H484">
        <f>SUMPRODUCT(Calc!$K$3:$K$22*(Calc!$G$3:$G$22&gt;B484)*(Calc!$G$3:$G$22-B484))</f>
        <v/>
      </c>
      <c r="I484">
        <f>SUMPRODUCT(Calc!$K$3:$K$22*(Calc!$G$3:$G$22&gt;A484)*(Calc!$G$3:$G$22-A484)^2)</f>
        <v/>
      </c>
      <c r="J484">
        <f>SUMPRODUCT(Calc!$K$3:$K$22*(Calc!$G$3:$G$22&gt;B484)*(Calc!$G$3:$G$22-B484)^2)</f>
        <v/>
      </c>
      <c r="K484">
        <f>SUMPRODUCT(Calc!$K$3:$K$22*(Calc!$G$3:$G$22&gt;A484)*(Calc!$G$3:$G$22-A484)*(Calc!$G$3:$G$22&gt;B484)*(Calc!$G$3:$G$22-B484))</f>
        <v/>
      </c>
      <c r="L484">
        <f>SUMPRODUCT(Calc!$K$3:$K$22*(Calc!$G$3:$G$22&gt;A484)*(Calc!$G$3:$G$22-A484)*Calc!$G$3:$G$22)</f>
        <v/>
      </c>
      <c r="M484">
        <f>SUMPRODUCT(Calc!$K$3:$K$22*(Calc!$G$3:$G$22&gt;B484)*(Calc!$G$3:$G$22-B484)*Calc!$G$3:$G$22)</f>
        <v/>
      </c>
      <c r="N484">
        <f>SUMPRODUCT(Calc!$K$3:$K$22*(Calc!$G$3:$G$22&gt;A484)*(Calc!$G$3:$G$22-A484)*Calc!$I$3:$I$22)</f>
        <v/>
      </c>
      <c r="O484">
        <f>SUMPRODUCT(Calc!$K$3:$K$22*(Calc!$G$3:$G$22&gt;B484)*(Calc!$G$3:$G$22-B484)*Calc!$I$3:$I$22)</f>
        <v/>
      </c>
      <c r="P484">
        <f>I484-G484^2/k_n</f>
        <v/>
      </c>
      <c r="Q484">
        <f>J484-H484^2/k_n</f>
        <v/>
      </c>
      <c r="R484">
        <f>K484-G484*H484/k_n</f>
        <v/>
      </c>
      <c r="S484">
        <f>L484-LTP3!$D$3*G484/k_n</f>
        <v/>
      </c>
      <c r="T484">
        <f>M484-LTP3!$D$3*H484/k_n</f>
        <v/>
      </c>
      <c r="U484">
        <f>N484-G484*LTP3!$D$4/k_n</f>
        <v/>
      </c>
      <c r="V484">
        <f>O484-H484*LTP3!$D$4/k_n</f>
        <v/>
      </c>
      <c r="W484">
        <f>((LTP3!$D$5)*((P484)*(Q484)-(R484)*(R484))-(S484)*((S484)*(Q484)-(R484)*(T484))+(T484)*((S484)*(R484)-(P484)*(T484)))</f>
        <v/>
      </c>
      <c r="X484">
        <f>IF(ABS(W484)&gt;1E-12,((LTP3!$D$6)*((P484)*(Q484)-(R484)*(R484))-(S484)*((U484)*(Q484)-(R484)*(V484))+(T484)*((U484)*(R484)-(P484)*(V484)))/W484,0)</f>
        <v/>
      </c>
      <c r="Y484">
        <f>IF(ABS(W484)&gt;1E-12,((LTP3!$D$5)*((U484)*(Q484)-(R484)*(V484))-(LTP3!$D$6)*((S484)*(Q484)-(R484)*(T484))+(T484)*((S484)*(V484)-(U484)*(T484)))/W484,0)</f>
        <v/>
      </c>
      <c r="Z484">
        <f>IF(ABS(W484)&gt;1E-12,((LTP3!$D$5)*((P484)*(V484)-(U484)*(R484))-(S484)*((S484)*(V484)-(U484)*(T484))+(LTP3!$D$6)*((S484)*(R484)-(P484)*(T484)))/W484,0)</f>
        <v/>
      </c>
      <c r="AA484">
        <f>LTP3!$D$7-X484*LTP3!$D$6-Y484*U484-Z484*V484</f>
        <v/>
      </c>
      <c r="AB484">
        <f>IF(AND(F484,ABS(W484)&gt;1E-12,Y484&gt;0,Z484&gt;0),AA484,1E+300)</f>
        <v/>
      </c>
    </row>
    <row r="485">
      <c r="A485">
        <f>$B$3+$B$5*7</f>
        <v/>
      </c>
      <c r="B485">
        <f>$B$3+$B$5*46</f>
        <v/>
      </c>
      <c r="C485">
        <f>SUMPRODUCT(Calc!$K$3:$K$22*(Calc!$G$3:$G$22&lt;=A485))</f>
        <v/>
      </c>
      <c r="D485">
        <f>SUMPRODUCT(Calc!$K$3:$K$22*(Calc!$G$3:$G$22&gt;A485)*(Calc!$G$3:$G$22&lt;B485))</f>
        <v/>
      </c>
      <c r="E485">
        <f>SUMPRODUCT(Calc!$K$3:$K$22*(Calc!$G$3:$G$22&gt;=B485))</f>
        <v/>
      </c>
      <c r="F485">
        <f>AND(k_n&gt;=5,B485&gt;A485+1E-9,C485&gt;=2,D485&gt;=1,E485&gt;=2)</f>
        <v/>
      </c>
      <c r="G485">
        <f>SUMPRODUCT(Calc!$K$3:$K$22*(Calc!$G$3:$G$22&gt;A485)*(Calc!$G$3:$G$22-A485))</f>
        <v/>
      </c>
      <c r="H485">
        <f>SUMPRODUCT(Calc!$K$3:$K$22*(Calc!$G$3:$G$22&gt;B485)*(Calc!$G$3:$G$22-B485))</f>
        <v/>
      </c>
      <c r="I485">
        <f>SUMPRODUCT(Calc!$K$3:$K$22*(Calc!$G$3:$G$22&gt;A485)*(Calc!$G$3:$G$22-A485)^2)</f>
        <v/>
      </c>
      <c r="J485">
        <f>SUMPRODUCT(Calc!$K$3:$K$22*(Calc!$G$3:$G$22&gt;B485)*(Calc!$G$3:$G$22-B485)^2)</f>
        <v/>
      </c>
      <c r="K485">
        <f>SUMPRODUCT(Calc!$K$3:$K$22*(Calc!$G$3:$G$22&gt;A485)*(Calc!$G$3:$G$22-A485)*(Calc!$G$3:$G$22&gt;B485)*(Calc!$G$3:$G$22-B485))</f>
        <v/>
      </c>
      <c r="L485">
        <f>SUMPRODUCT(Calc!$K$3:$K$22*(Calc!$G$3:$G$22&gt;A485)*(Calc!$G$3:$G$22-A485)*Calc!$G$3:$G$22)</f>
        <v/>
      </c>
      <c r="M485">
        <f>SUMPRODUCT(Calc!$K$3:$K$22*(Calc!$G$3:$G$22&gt;B485)*(Calc!$G$3:$G$22-B485)*Calc!$G$3:$G$22)</f>
        <v/>
      </c>
      <c r="N485">
        <f>SUMPRODUCT(Calc!$K$3:$K$22*(Calc!$G$3:$G$22&gt;A485)*(Calc!$G$3:$G$22-A485)*Calc!$I$3:$I$22)</f>
        <v/>
      </c>
      <c r="O485">
        <f>SUMPRODUCT(Calc!$K$3:$K$22*(Calc!$G$3:$G$22&gt;B485)*(Calc!$G$3:$G$22-B485)*Calc!$I$3:$I$22)</f>
        <v/>
      </c>
      <c r="P485">
        <f>I485-G485^2/k_n</f>
        <v/>
      </c>
      <c r="Q485">
        <f>J485-H485^2/k_n</f>
        <v/>
      </c>
      <c r="R485">
        <f>K485-G485*H485/k_n</f>
        <v/>
      </c>
      <c r="S485">
        <f>L485-LTP3!$D$3*G485/k_n</f>
        <v/>
      </c>
      <c r="T485">
        <f>M485-LTP3!$D$3*H485/k_n</f>
        <v/>
      </c>
      <c r="U485">
        <f>N485-G485*LTP3!$D$4/k_n</f>
        <v/>
      </c>
      <c r="V485">
        <f>O485-H485*LTP3!$D$4/k_n</f>
        <v/>
      </c>
      <c r="W485">
        <f>((LTP3!$D$5)*((P485)*(Q485)-(R485)*(R485))-(S485)*((S485)*(Q485)-(R485)*(T485))+(T485)*((S485)*(R485)-(P485)*(T485)))</f>
        <v/>
      </c>
      <c r="X485">
        <f>IF(ABS(W485)&gt;1E-12,((LTP3!$D$6)*((P485)*(Q485)-(R485)*(R485))-(S485)*((U485)*(Q485)-(R485)*(V485))+(T485)*((U485)*(R485)-(P485)*(V485)))/W485,0)</f>
        <v/>
      </c>
      <c r="Y485">
        <f>IF(ABS(W485)&gt;1E-12,((LTP3!$D$5)*((U485)*(Q485)-(R485)*(V485))-(LTP3!$D$6)*((S485)*(Q485)-(R485)*(T485))+(T485)*((S485)*(V485)-(U485)*(T485)))/W485,0)</f>
        <v/>
      </c>
      <c r="Z485">
        <f>IF(ABS(W485)&gt;1E-12,((LTP3!$D$5)*((P485)*(V485)-(U485)*(R485))-(S485)*((S485)*(V485)-(U485)*(T485))+(LTP3!$D$6)*((S485)*(R485)-(P485)*(T485)))/W485,0)</f>
        <v/>
      </c>
      <c r="AA485">
        <f>LTP3!$D$7-X485*LTP3!$D$6-Y485*U485-Z485*V485</f>
        <v/>
      </c>
      <c r="AB485">
        <f>IF(AND(F485,ABS(W485)&gt;1E-12,Y485&gt;0,Z485&gt;0),AA485,1E+300)</f>
        <v/>
      </c>
    </row>
    <row r="486">
      <c r="A486">
        <f>$B$3+$B$5*7</f>
        <v/>
      </c>
      <c r="B486">
        <f>$B$3+$B$5*47</f>
        <v/>
      </c>
      <c r="C486">
        <f>SUMPRODUCT(Calc!$K$3:$K$22*(Calc!$G$3:$G$22&lt;=A486))</f>
        <v/>
      </c>
      <c r="D486">
        <f>SUMPRODUCT(Calc!$K$3:$K$22*(Calc!$G$3:$G$22&gt;A486)*(Calc!$G$3:$G$22&lt;B486))</f>
        <v/>
      </c>
      <c r="E486">
        <f>SUMPRODUCT(Calc!$K$3:$K$22*(Calc!$G$3:$G$22&gt;=B486))</f>
        <v/>
      </c>
      <c r="F486">
        <f>AND(k_n&gt;=5,B486&gt;A486+1E-9,C486&gt;=2,D486&gt;=1,E486&gt;=2)</f>
        <v/>
      </c>
      <c r="G486">
        <f>SUMPRODUCT(Calc!$K$3:$K$22*(Calc!$G$3:$G$22&gt;A486)*(Calc!$G$3:$G$22-A486))</f>
        <v/>
      </c>
      <c r="H486">
        <f>SUMPRODUCT(Calc!$K$3:$K$22*(Calc!$G$3:$G$22&gt;B486)*(Calc!$G$3:$G$22-B486))</f>
        <v/>
      </c>
      <c r="I486">
        <f>SUMPRODUCT(Calc!$K$3:$K$22*(Calc!$G$3:$G$22&gt;A486)*(Calc!$G$3:$G$22-A486)^2)</f>
        <v/>
      </c>
      <c r="J486">
        <f>SUMPRODUCT(Calc!$K$3:$K$22*(Calc!$G$3:$G$22&gt;B486)*(Calc!$G$3:$G$22-B486)^2)</f>
        <v/>
      </c>
      <c r="K486">
        <f>SUMPRODUCT(Calc!$K$3:$K$22*(Calc!$G$3:$G$22&gt;A486)*(Calc!$G$3:$G$22-A486)*(Calc!$G$3:$G$22&gt;B486)*(Calc!$G$3:$G$22-B486))</f>
        <v/>
      </c>
      <c r="L486">
        <f>SUMPRODUCT(Calc!$K$3:$K$22*(Calc!$G$3:$G$22&gt;A486)*(Calc!$G$3:$G$22-A486)*Calc!$G$3:$G$22)</f>
        <v/>
      </c>
      <c r="M486">
        <f>SUMPRODUCT(Calc!$K$3:$K$22*(Calc!$G$3:$G$22&gt;B486)*(Calc!$G$3:$G$22-B486)*Calc!$G$3:$G$22)</f>
        <v/>
      </c>
      <c r="N486">
        <f>SUMPRODUCT(Calc!$K$3:$K$22*(Calc!$G$3:$G$22&gt;A486)*(Calc!$G$3:$G$22-A486)*Calc!$I$3:$I$22)</f>
        <v/>
      </c>
      <c r="O486">
        <f>SUMPRODUCT(Calc!$K$3:$K$22*(Calc!$G$3:$G$22&gt;B486)*(Calc!$G$3:$G$22-B486)*Calc!$I$3:$I$22)</f>
        <v/>
      </c>
      <c r="P486">
        <f>I486-G486^2/k_n</f>
        <v/>
      </c>
      <c r="Q486">
        <f>J486-H486^2/k_n</f>
        <v/>
      </c>
      <c r="R486">
        <f>K486-G486*H486/k_n</f>
        <v/>
      </c>
      <c r="S486">
        <f>L486-LTP3!$D$3*G486/k_n</f>
        <v/>
      </c>
      <c r="T486">
        <f>M486-LTP3!$D$3*H486/k_n</f>
        <v/>
      </c>
      <c r="U486">
        <f>N486-G486*LTP3!$D$4/k_n</f>
        <v/>
      </c>
      <c r="V486">
        <f>O486-H486*LTP3!$D$4/k_n</f>
        <v/>
      </c>
      <c r="W486">
        <f>((LTP3!$D$5)*((P486)*(Q486)-(R486)*(R486))-(S486)*((S486)*(Q486)-(R486)*(T486))+(T486)*((S486)*(R486)-(P486)*(T486)))</f>
        <v/>
      </c>
      <c r="X486">
        <f>IF(ABS(W486)&gt;1E-12,((LTP3!$D$6)*((P486)*(Q486)-(R486)*(R486))-(S486)*((U486)*(Q486)-(R486)*(V486))+(T486)*((U486)*(R486)-(P486)*(V486)))/W486,0)</f>
        <v/>
      </c>
      <c r="Y486">
        <f>IF(ABS(W486)&gt;1E-12,((LTP3!$D$5)*((U486)*(Q486)-(R486)*(V486))-(LTP3!$D$6)*((S486)*(Q486)-(R486)*(T486))+(T486)*((S486)*(V486)-(U486)*(T486)))/W486,0)</f>
        <v/>
      </c>
      <c r="Z486">
        <f>IF(ABS(W486)&gt;1E-12,((LTP3!$D$5)*((P486)*(V486)-(U486)*(R486))-(S486)*((S486)*(V486)-(U486)*(T486))+(LTP3!$D$6)*((S486)*(R486)-(P486)*(T486)))/W486,0)</f>
        <v/>
      </c>
      <c r="AA486">
        <f>LTP3!$D$7-X486*LTP3!$D$6-Y486*U486-Z486*V486</f>
        <v/>
      </c>
      <c r="AB486">
        <f>IF(AND(F486,ABS(W486)&gt;1E-12,Y486&gt;0,Z486&gt;0),AA486,1E+300)</f>
        <v/>
      </c>
    </row>
    <row r="487">
      <c r="A487">
        <f>$B$3+$B$5*7</f>
        <v/>
      </c>
      <c r="B487">
        <f>$B$3+$B$5*48</f>
        <v/>
      </c>
      <c r="C487">
        <f>SUMPRODUCT(Calc!$K$3:$K$22*(Calc!$G$3:$G$22&lt;=A487))</f>
        <v/>
      </c>
      <c r="D487">
        <f>SUMPRODUCT(Calc!$K$3:$K$22*(Calc!$G$3:$G$22&gt;A487)*(Calc!$G$3:$G$22&lt;B487))</f>
        <v/>
      </c>
      <c r="E487">
        <f>SUMPRODUCT(Calc!$K$3:$K$22*(Calc!$G$3:$G$22&gt;=B487))</f>
        <v/>
      </c>
      <c r="F487">
        <f>AND(k_n&gt;=5,B487&gt;A487+1E-9,C487&gt;=2,D487&gt;=1,E487&gt;=2)</f>
        <v/>
      </c>
      <c r="G487">
        <f>SUMPRODUCT(Calc!$K$3:$K$22*(Calc!$G$3:$G$22&gt;A487)*(Calc!$G$3:$G$22-A487))</f>
        <v/>
      </c>
      <c r="H487">
        <f>SUMPRODUCT(Calc!$K$3:$K$22*(Calc!$G$3:$G$22&gt;B487)*(Calc!$G$3:$G$22-B487))</f>
        <v/>
      </c>
      <c r="I487">
        <f>SUMPRODUCT(Calc!$K$3:$K$22*(Calc!$G$3:$G$22&gt;A487)*(Calc!$G$3:$G$22-A487)^2)</f>
        <v/>
      </c>
      <c r="J487">
        <f>SUMPRODUCT(Calc!$K$3:$K$22*(Calc!$G$3:$G$22&gt;B487)*(Calc!$G$3:$G$22-B487)^2)</f>
        <v/>
      </c>
      <c r="K487">
        <f>SUMPRODUCT(Calc!$K$3:$K$22*(Calc!$G$3:$G$22&gt;A487)*(Calc!$G$3:$G$22-A487)*(Calc!$G$3:$G$22&gt;B487)*(Calc!$G$3:$G$22-B487))</f>
        <v/>
      </c>
      <c r="L487">
        <f>SUMPRODUCT(Calc!$K$3:$K$22*(Calc!$G$3:$G$22&gt;A487)*(Calc!$G$3:$G$22-A487)*Calc!$G$3:$G$22)</f>
        <v/>
      </c>
      <c r="M487">
        <f>SUMPRODUCT(Calc!$K$3:$K$22*(Calc!$G$3:$G$22&gt;B487)*(Calc!$G$3:$G$22-B487)*Calc!$G$3:$G$22)</f>
        <v/>
      </c>
      <c r="N487">
        <f>SUMPRODUCT(Calc!$K$3:$K$22*(Calc!$G$3:$G$22&gt;A487)*(Calc!$G$3:$G$22-A487)*Calc!$I$3:$I$22)</f>
        <v/>
      </c>
      <c r="O487">
        <f>SUMPRODUCT(Calc!$K$3:$K$22*(Calc!$G$3:$G$22&gt;B487)*(Calc!$G$3:$G$22-B487)*Calc!$I$3:$I$22)</f>
        <v/>
      </c>
      <c r="P487">
        <f>I487-G487^2/k_n</f>
        <v/>
      </c>
      <c r="Q487">
        <f>J487-H487^2/k_n</f>
        <v/>
      </c>
      <c r="R487">
        <f>K487-G487*H487/k_n</f>
        <v/>
      </c>
      <c r="S487">
        <f>L487-LTP3!$D$3*G487/k_n</f>
        <v/>
      </c>
      <c r="T487">
        <f>M487-LTP3!$D$3*H487/k_n</f>
        <v/>
      </c>
      <c r="U487">
        <f>N487-G487*LTP3!$D$4/k_n</f>
        <v/>
      </c>
      <c r="V487">
        <f>O487-H487*LTP3!$D$4/k_n</f>
        <v/>
      </c>
      <c r="W487">
        <f>((LTP3!$D$5)*((P487)*(Q487)-(R487)*(R487))-(S487)*((S487)*(Q487)-(R487)*(T487))+(T487)*((S487)*(R487)-(P487)*(T487)))</f>
        <v/>
      </c>
      <c r="X487">
        <f>IF(ABS(W487)&gt;1E-12,((LTP3!$D$6)*((P487)*(Q487)-(R487)*(R487))-(S487)*((U487)*(Q487)-(R487)*(V487))+(T487)*((U487)*(R487)-(P487)*(V487)))/W487,0)</f>
        <v/>
      </c>
      <c r="Y487">
        <f>IF(ABS(W487)&gt;1E-12,((LTP3!$D$5)*((U487)*(Q487)-(R487)*(V487))-(LTP3!$D$6)*((S487)*(Q487)-(R487)*(T487))+(T487)*((S487)*(V487)-(U487)*(T487)))/W487,0)</f>
        <v/>
      </c>
      <c r="Z487">
        <f>IF(ABS(W487)&gt;1E-12,((LTP3!$D$5)*((P487)*(V487)-(U487)*(R487))-(S487)*((S487)*(V487)-(U487)*(T487))+(LTP3!$D$6)*((S487)*(R487)-(P487)*(T487)))/W487,0)</f>
        <v/>
      </c>
      <c r="AA487">
        <f>LTP3!$D$7-X487*LTP3!$D$6-Y487*U487-Z487*V487</f>
        <v/>
      </c>
      <c r="AB487">
        <f>IF(AND(F487,ABS(W487)&gt;1E-12,Y487&gt;0,Z487&gt;0),AA487,1E+300)</f>
        <v/>
      </c>
    </row>
    <row r="488">
      <c r="A488">
        <f>$B$3+$B$5*7</f>
        <v/>
      </c>
      <c r="B488">
        <f>$B$3+$B$5*49</f>
        <v/>
      </c>
      <c r="C488">
        <f>SUMPRODUCT(Calc!$K$3:$K$22*(Calc!$G$3:$G$22&lt;=A488))</f>
        <v/>
      </c>
      <c r="D488">
        <f>SUMPRODUCT(Calc!$K$3:$K$22*(Calc!$G$3:$G$22&gt;A488)*(Calc!$G$3:$G$22&lt;B488))</f>
        <v/>
      </c>
      <c r="E488">
        <f>SUMPRODUCT(Calc!$K$3:$K$22*(Calc!$G$3:$G$22&gt;=B488))</f>
        <v/>
      </c>
      <c r="F488">
        <f>AND(k_n&gt;=5,B488&gt;A488+1E-9,C488&gt;=2,D488&gt;=1,E488&gt;=2)</f>
        <v/>
      </c>
      <c r="G488">
        <f>SUMPRODUCT(Calc!$K$3:$K$22*(Calc!$G$3:$G$22&gt;A488)*(Calc!$G$3:$G$22-A488))</f>
        <v/>
      </c>
      <c r="H488">
        <f>SUMPRODUCT(Calc!$K$3:$K$22*(Calc!$G$3:$G$22&gt;B488)*(Calc!$G$3:$G$22-B488))</f>
        <v/>
      </c>
      <c r="I488">
        <f>SUMPRODUCT(Calc!$K$3:$K$22*(Calc!$G$3:$G$22&gt;A488)*(Calc!$G$3:$G$22-A488)^2)</f>
        <v/>
      </c>
      <c r="J488">
        <f>SUMPRODUCT(Calc!$K$3:$K$22*(Calc!$G$3:$G$22&gt;B488)*(Calc!$G$3:$G$22-B488)^2)</f>
        <v/>
      </c>
      <c r="K488">
        <f>SUMPRODUCT(Calc!$K$3:$K$22*(Calc!$G$3:$G$22&gt;A488)*(Calc!$G$3:$G$22-A488)*(Calc!$G$3:$G$22&gt;B488)*(Calc!$G$3:$G$22-B488))</f>
        <v/>
      </c>
      <c r="L488">
        <f>SUMPRODUCT(Calc!$K$3:$K$22*(Calc!$G$3:$G$22&gt;A488)*(Calc!$G$3:$G$22-A488)*Calc!$G$3:$G$22)</f>
        <v/>
      </c>
      <c r="M488">
        <f>SUMPRODUCT(Calc!$K$3:$K$22*(Calc!$G$3:$G$22&gt;B488)*(Calc!$G$3:$G$22-B488)*Calc!$G$3:$G$22)</f>
        <v/>
      </c>
      <c r="N488">
        <f>SUMPRODUCT(Calc!$K$3:$K$22*(Calc!$G$3:$G$22&gt;A488)*(Calc!$G$3:$G$22-A488)*Calc!$I$3:$I$22)</f>
        <v/>
      </c>
      <c r="O488">
        <f>SUMPRODUCT(Calc!$K$3:$K$22*(Calc!$G$3:$G$22&gt;B488)*(Calc!$G$3:$G$22-B488)*Calc!$I$3:$I$22)</f>
        <v/>
      </c>
      <c r="P488">
        <f>I488-G488^2/k_n</f>
        <v/>
      </c>
      <c r="Q488">
        <f>J488-H488^2/k_n</f>
        <v/>
      </c>
      <c r="R488">
        <f>K488-G488*H488/k_n</f>
        <v/>
      </c>
      <c r="S488">
        <f>L488-LTP3!$D$3*G488/k_n</f>
        <v/>
      </c>
      <c r="T488">
        <f>M488-LTP3!$D$3*H488/k_n</f>
        <v/>
      </c>
      <c r="U488">
        <f>N488-G488*LTP3!$D$4/k_n</f>
        <v/>
      </c>
      <c r="V488">
        <f>O488-H488*LTP3!$D$4/k_n</f>
        <v/>
      </c>
      <c r="W488">
        <f>((LTP3!$D$5)*((P488)*(Q488)-(R488)*(R488))-(S488)*((S488)*(Q488)-(R488)*(T488))+(T488)*((S488)*(R488)-(P488)*(T488)))</f>
        <v/>
      </c>
      <c r="X488">
        <f>IF(ABS(W488)&gt;1E-12,((LTP3!$D$6)*((P488)*(Q488)-(R488)*(R488))-(S488)*((U488)*(Q488)-(R488)*(V488))+(T488)*((U488)*(R488)-(P488)*(V488)))/W488,0)</f>
        <v/>
      </c>
      <c r="Y488">
        <f>IF(ABS(W488)&gt;1E-12,((LTP3!$D$5)*((U488)*(Q488)-(R488)*(V488))-(LTP3!$D$6)*((S488)*(Q488)-(R488)*(T488))+(T488)*((S488)*(V488)-(U488)*(T488)))/W488,0)</f>
        <v/>
      </c>
      <c r="Z488">
        <f>IF(ABS(W488)&gt;1E-12,((LTP3!$D$5)*((P488)*(V488)-(U488)*(R488))-(S488)*((S488)*(V488)-(U488)*(T488))+(LTP3!$D$6)*((S488)*(R488)-(P488)*(T488)))/W488,0)</f>
        <v/>
      </c>
      <c r="AA488">
        <f>LTP3!$D$7-X488*LTP3!$D$6-Y488*U488-Z488*V488</f>
        <v/>
      </c>
      <c r="AB488">
        <f>IF(AND(F488,ABS(W488)&gt;1E-12,Y488&gt;0,Z488&gt;0),AA488,1E+300)</f>
        <v/>
      </c>
    </row>
    <row r="489">
      <c r="A489">
        <f>$B$3+$B$5*7</f>
        <v/>
      </c>
      <c r="B489">
        <f>$B$3+$B$5*50</f>
        <v/>
      </c>
      <c r="C489">
        <f>SUMPRODUCT(Calc!$K$3:$K$22*(Calc!$G$3:$G$22&lt;=A489))</f>
        <v/>
      </c>
      <c r="D489">
        <f>SUMPRODUCT(Calc!$K$3:$K$22*(Calc!$G$3:$G$22&gt;A489)*(Calc!$G$3:$G$22&lt;B489))</f>
        <v/>
      </c>
      <c r="E489">
        <f>SUMPRODUCT(Calc!$K$3:$K$22*(Calc!$G$3:$G$22&gt;=B489))</f>
        <v/>
      </c>
      <c r="F489">
        <f>AND(k_n&gt;=5,B489&gt;A489+1E-9,C489&gt;=2,D489&gt;=1,E489&gt;=2)</f>
        <v/>
      </c>
      <c r="G489">
        <f>SUMPRODUCT(Calc!$K$3:$K$22*(Calc!$G$3:$G$22&gt;A489)*(Calc!$G$3:$G$22-A489))</f>
        <v/>
      </c>
      <c r="H489">
        <f>SUMPRODUCT(Calc!$K$3:$K$22*(Calc!$G$3:$G$22&gt;B489)*(Calc!$G$3:$G$22-B489))</f>
        <v/>
      </c>
      <c r="I489">
        <f>SUMPRODUCT(Calc!$K$3:$K$22*(Calc!$G$3:$G$22&gt;A489)*(Calc!$G$3:$G$22-A489)^2)</f>
        <v/>
      </c>
      <c r="J489">
        <f>SUMPRODUCT(Calc!$K$3:$K$22*(Calc!$G$3:$G$22&gt;B489)*(Calc!$G$3:$G$22-B489)^2)</f>
        <v/>
      </c>
      <c r="K489">
        <f>SUMPRODUCT(Calc!$K$3:$K$22*(Calc!$G$3:$G$22&gt;A489)*(Calc!$G$3:$G$22-A489)*(Calc!$G$3:$G$22&gt;B489)*(Calc!$G$3:$G$22-B489))</f>
        <v/>
      </c>
      <c r="L489">
        <f>SUMPRODUCT(Calc!$K$3:$K$22*(Calc!$G$3:$G$22&gt;A489)*(Calc!$G$3:$G$22-A489)*Calc!$G$3:$G$22)</f>
        <v/>
      </c>
      <c r="M489">
        <f>SUMPRODUCT(Calc!$K$3:$K$22*(Calc!$G$3:$G$22&gt;B489)*(Calc!$G$3:$G$22-B489)*Calc!$G$3:$G$22)</f>
        <v/>
      </c>
      <c r="N489">
        <f>SUMPRODUCT(Calc!$K$3:$K$22*(Calc!$G$3:$G$22&gt;A489)*(Calc!$G$3:$G$22-A489)*Calc!$I$3:$I$22)</f>
        <v/>
      </c>
      <c r="O489">
        <f>SUMPRODUCT(Calc!$K$3:$K$22*(Calc!$G$3:$G$22&gt;B489)*(Calc!$G$3:$G$22-B489)*Calc!$I$3:$I$22)</f>
        <v/>
      </c>
      <c r="P489">
        <f>I489-G489^2/k_n</f>
        <v/>
      </c>
      <c r="Q489">
        <f>J489-H489^2/k_n</f>
        <v/>
      </c>
      <c r="R489">
        <f>K489-G489*H489/k_n</f>
        <v/>
      </c>
      <c r="S489">
        <f>L489-LTP3!$D$3*G489/k_n</f>
        <v/>
      </c>
      <c r="T489">
        <f>M489-LTP3!$D$3*H489/k_n</f>
        <v/>
      </c>
      <c r="U489">
        <f>N489-G489*LTP3!$D$4/k_n</f>
        <v/>
      </c>
      <c r="V489">
        <f>O489-H489*LTP3!$D$4/k_n</f>
        <v/>
      </c>
      <c r="W489">
        <f>((LTP3!$D$5)*((P489)*(Q489)-(R489)*(R489))-(S489)*((S489)*(Q489)-(R489)*(T489))+(T489)*((S489)*(R489)-(P489)*(T489)))</f>
        <v/>
      </c>
      <c r="X489">
        <f>IF(ABS(W489)&gt;1E-12,((LTP3!$D$6)*((P489)*(Q489)-(R489)*(R489))-(S489)*((U489)*(Q489)-(R489)*(V489))+(T489)*((U489)*(R489)-(P489)*(V489)))/W489,0)</f>
        <v/>
      </c>
      <c r="Y489">
        <f>IF(ABS(W489)&gt;1E-12,((LTP3!$D$5)*((U489)*(Q489)-(R489)*(V489))-(LTP3!$D$6)*((S489)*(Q489)-(R489)*(T489))+(T489)*((S489)*(V489)-(U489)*(T489)))/W489,0)</f>
        <v/>
      </c>
      <c r="Z489">
        <f>IF(ABS(W489)&gt;1E-12,((LTP3!$D$5)*((P489)*(V489)-(U489)*(R489))-(S489)*((S489)*(V489)-(U489)*(T489))+(LTP3!$D$6)*((S489)*(R489)-(P489)*(T489)))/W489,0)</f>
        <v/>
      </c>
      <c r="AA489">
        <f>LTP3!$D$7-X489*LTP3!$D$6-Y489*U489-Z489*V489</f>
        <v/>
      </c>
      <c r="AB489">
        <f>IF(AND(F489,ABS(W489)&gt;1E-12,Y489&gt;0,Z489&gt;0),AA489,1E+300)</f>
        <v/>
      </c>
    </row>
    <row r="490">
      <c r="A490">
        <f>$B$3+$B$5*7</f>
        <v/>
      </c>
      <c r="B490">
        <f>$B$3+$B$5*51</f>
        <v/>
      </c>
      <c r="C490">
        <f>SUMPRODUCT(Calc!$K$3:$K$22*(Calc!$G$3:$G$22&lt;=A490))</f>
        <v/>
      </c>
      <c r="D490">
        <f>SUMPRODUCT(Calc!$K$3:$K$22*(Calc!$G$3:$G$22&gt;A490)*(Calc!$G$3:$G$22&lt;B490))</f>
        <v/>
      </c>
      <c r="E490">
        <f>SUMPRODUCT(Calc!$K$3:$K$22*(Calc!$G$3:$G$22&gt;=B490))</f>
        <v/>
      </c>
      <c r="F490">
        <f>AND(k_n&gt;=5,B490&gt;A490+1E-9,C490&gt;=2,D490&gt;=1,E490&gt;=2)</f>
        <v/>
      </c>
      <c r="G490">
        <f>SUMPRODUCT(Calc!$K$3:$K$22*(Calc!$G$3:$G$22&gt;A490)*(Calc!$G$3:$G$22-A490))</f>
        <v/>
      </c>
      <c r="H490">
        <f>SUMPRODUCT(Calc!$K$3:$K$22*(Calc!$G$3:$G$22&gt;B490)*(Calc!$G$3:$G$22-B490))</f>
        <v/>
      </c>
      <c r="I490">
        <f>SUMPRODUCT(Calc!$K$3:$K$22*(Calc!$G$3:$G$22&gt;A490)*(Calc!$G$3:$G$22-A490)^2)</f>
        <v/>
      </c>
      <c r="J490">
        <f>SUMPRODUCT(Calc!$K$3:$K$22*(Calc!$G$3:$G$22&gt;B490)*(Calc!$G$3:$G$22-B490)^2)</f>
        <v/>
      </c>
      <c r="K490">
        <f>SUMPRODUCT(Calc!$K$3:$K$22*(Calc!$G$3:$G$22&gt;A490)*(Calc!$G$3:$G$22-A490)*(Calc!$G$3:$G$22&gt;B490)*(Calc!$G$3:$G$22-B490))</f>
        <v/>
      </c>
      <c r="L490">
        <f>SUMPRODUCT(Calc!$K$3:$K$22*(Calc!$G$3:$G$22&gt;A490)*(Calc!$G$3:$G$22-A490)*Calc!$G$3:$G$22)</f>
        <v/>
      </c>
      <c r="M490">
        <f>SUMPRODUCT(Calc!$K$3:$K$22*(Calc!$G$3:$G$22&gt;B490)*(Calc!$G$3:$G$22-B490)*Calc!$G$3:$G$22)</f>
        <v/>
      </c>
      <c r="N490">
        <f>SUMPRODUCT(Calc!$K$3:$K$22*(Calc!$G$3:$G$22&gt;A490)*(Calc!$G$3:$G$22-A490)*Calc!$I$3:$I$22)</f>
        <v/>
      </c>
      <c r="O490">
        <f>SUMPRODUCT(Calc!$K$3:$K$22*(Calc!$G$3:$G$22&gt;B490)*(Calc!$G$3:$G$22-B490)*Calc!$I$3:$I$22)</f>
        <v/>
      </c>
      <c r="P490">
        <f>I490-G490^2/k_n</f>
        <v/>
      </c>
      <c r="Q490">
        <f>J490-H490^2/k_n</f>
        <v/>
      </c>
      <c r="R490">
        <f>K490-G490*H490/k_n</f>
        <v/>
      </c>
      <c r="S490">
        <f>L490-LTP3!$D$3*G490/k_n</f>
        <v/>
      </c>
      <c r="T490">
        <f>M490-LTP3!$D$3*H490/k_n</f>
        <v/>
      </c>
      <c r="U490">
        <f>N490-G490*LTP3!$D$4/k_n</f>
        <v/>
      </c>
      <c r="V490">
        <f>O490-H490*LTP3!$D$4/k_n</f>
        <v/>
      </c>
      <c r="W490">
        <f>((LTP3!$D$5)*((P490)*(Q490)-(R490)*(R490))-(S490)*((S490)*(Q490)-(R490)*(T490))+(T490)*((S490)*(R490)-(P490)*(T490)))</f>
        <v/>
      </c>
      <c r="X490">
        <f>IF(ABS(W490)&gt;1E-12,((LTP3!$D$6)*((P490)*(Q490)-(R490)*(R490))-(S490)*((U490)*(Q490)-(R490)*(V490))+(T490)*((U490)*(R490)-(P490)*(V490)))/W490,0)</f>
        <v/>
      </c>
      <c r="Y490">
        <f>IF(ABS(W490)&gt;1E-12,((LTP3!$D$5)*((U490)*(Q490)-(R490)*(V490))-(LTP3!$D$6)*((S490)*(Q490)-(R490)*(T490))+(T490)*((S490)*(V490)-(U490)*(T490)))/W490,0)</f>
        <v/>
      </c>
      <c r="Z490">
        <f>IF(ABS(W490)&gt;1E-12,((LTP3!$D$5)*((P490)*(V490)-(U490)*(R490))-(S490)*((S490)*(V490)-(U490)*(T490))+(LTP3!$D$6)*((S490)*(R490)-(P490)*(T490)))/W490,0)</f>
        <v/>
      </c>
      <c r="AA490">
        <f>LTP3!$D$7-X490*LTP3!$D$6-Y490*U490-Z490*V490</f>
        <v/>
      </c>
      <c r="AB490">
        <f>IF(AND(F490,ABS(W490)&gt;1E-12,Y490&gt;0,Z490&gt;0),AA490,1E+300)</f>
        <v/>
      </c>
    </row>
    <row r="491">
      <c r="A491">
        <f>$B$3+$B$5*7</f>
        <v/>
      </c>
      <c r="B491">
        <f>$B$3+$B$5*52</f>
        <v/>
      </c>
      <c r="C491">
        <f>SUMPRODUCT(Calc!$K$3:$K$22*(Calc!$G$3:$G$22&lt;=A491))</f>
        <v/>
      </c>
      <c r="D491">
        <f>SUMPRODUCT(Calc!$K$3:$K$22*(Calc!$G$3:$G$22&gt;A491)*(Calc!$G$3:$G$22&lt;B491))</f>
        <v/>
      </c>
      <c r="E491">
        <f>SUMPRODUCT(Calc!$K$3:$K$22*(Calc!$G$3:$G$22&gt;=B491))</f>
        <v/>
      </c>
      <c r="F491">
        <f>AND(k_n&gt;=5,B491&gt;A491+1E-9,C491&gt;=2,D491&gt;=1,E491&gt;=2)</f>
        <v/>
      </c>
      <c r="G491">
        <f>SUMPRODUCT(Calc!$K$3:$K$22*(Calc!$G$3:$G$22&gt;A491)*(Calc!$G$3:$G$22-A491))</f>
        <v/>
      </c>
      <c r="H491">
        <f>SUMPRODUCT(Calc!$K$3:$K$22*(Calc!$G$3:$G$22&gt;B491)*(Calc!$G$3:$G$22-B491))</f>
        <v/>
      </c>
      <c r="I491">
        <f>SUMPRODUCT(Calc!$K$3:$K$22*(Calc!$G$3:$G$22&gt;A491)*(Calc!$G$3:$G$22-A491)^2)</f>
        <v/>
      </c>
      <c r="J491">
        <f>SUMPRODUCT(Calc!$K$3:$K$22*(Calc!$G$3:$G$22&gt;B491)*(Calc!$G$3:$G$22-B491)^2)</f>
        <v/>
      </c>
      <c r="K491">
        <f>SUMPRODUCT(Calc!$K$3:$K$22*(Calc!$G$3:$G$22&gt;A491)*(Calc!$G$3:$G$22-A491)*(Calc!$G$3:$G$22&gt;B491)*(Calc!$G$3:$G$22-B491))</f>
        <v/>
      </c>
      <c r="L491">
        <f>SUMPRODUCT(Calc!$K$3:$K$22*(Calc!$G$3:$G$22&gt;A491)*(Calc!$G$3:$G$22-A491)*Calc!$G$3:$G$22)</f>
        <v/>
      </c>
      <c r="M491">
        <f>SUMPRODUCT(Calc!$K$3:$K$22*(Calc!$G$3:$G$22&gt;B491)*(Calc!$G$3:$G$22-B491)*Calc!$G$3:$G$22)</f>
        <v/>
      </c>
      <c r="N491">
        <f>SUMPRODUCT(Calc!$K$3:$K$22*(Calc!$G$3:$G$22&gt;A491)*(Calc!$G$3:$G$22-A491)*Calc!$I$3:$I$22)</f>
        <v/>
      </c>
      <c r="O491">
        <f>SUMPRODUCT(Calc!$K$3:$K$22*(Calc!$G$3:$G$22&gt;B491)*(Calc!$G$3:$G$22-B491)*Calc!$I$3:$I$22)</f>
        <v/>
      </c>
      <c r="P491">
        <f>I491-G491^2/k_n</f>
        <v/>
      </c>
      <c r="Q491">
        <f>J491-H491^2/k_n</f>
        <v/>
      </c>
      <c r="R491">
        <f>K491-G491*H491/k_n</f>
        <v/>
      </c>
      <c r="S491">
        <f>L491-LTP3!$D$3*G491/k_n</f>
        <v/>
      </c>
      <c r="T491">
        <f>M491-LTP3!$D$3*H491/k_n</f>
        <v/>
      </c>
      <c r="U491">
        <f>N491-G491*LTP3!$D$4/k_n</f>
        <v/>
      </c>
      <c r="V491">
        <f>O491-H491*LTP3!$D$4/k_n</f>
        <v/>
      </c>
      <c r="W491">
        <f>((LTP3!$D$5)*((P491)*(Q491)-(R491)*(R491))-(S491)*((S491)*(Q491)-(R491)*(T491))+(T491)*((S491)*(R491)-(P491)*(T491)))</f>
        <v/>
      </c>
      <c r="X491">
        <f>IF(ABS(W491)&gt;1E-12,((LTP3!$D$6)*((P491)*(Q491)-(R491)*(R491))-(S491)*((U491)*(Q491)-(R491)*(V491))+(T491)*((U491)*(R491)-(P491)*(V491)))/W491,0)</f>
        <v/>
      </c>
      <c r="Y491">
        <f>IF(ABS(W491)&gt;1E-12,((LTP3!$D$5)*((U491)*(Q491)-(R491)*(V491))-(LTP3!$D$6)*((S491)*(Q491)-(R491)*(T491))+(T491)*((S491)*(V491)-(U491)*(T491)))/W491,0)</f>
        <v/>
      </c>
      <c r="Z491">
        <f>IF(ABS(W491)&gt;1E-12,((LTP3!$D$5)*((P491)*(V491)-(U491)*(R491))-(S491)*((S491)*(V491)-(U491)*(T491))+(LTP3!$D$6)*((S491)*(R491)-(P491)*(T491)))/W491,0)</f>
        <v/>
      </c>
      <c r="AA491">
        <f>LTP3!$D$7-X491*LTP3!$D$6-Y491*U491-Z491*V491</f>
        <v/>
      </c>
      <c r="AB491">
        <f>IF(AND(F491,ABS(W491)&gt;1E-12,Y491&gt;0,Z491&gt;0),AA491,1E+300)</f>
        <v/>
      </c>
    </row>
    <row r="492">
      <c r="A492">
        <f>$B$3+$B$5*7</f>
        <v/>
      </c>
      <c r="B492">
        <f>$B$3+$B$5*53</f>
        <v/>
      </c>
      <c r="C492">
        <f>SUMPRODUCT(Calc!$K$3:$K$22*(Calc!$G$3:$G$22&lt;=A492))</f>
        <v/>
      </c>
      <c r="D492">
        <f>SUMPRODUCT(Calc!$K$3:$K$22*(Calc!$G$3:$G$22&gt;A492)*(Calc!$G$3:$G$22&lt;B492))</f>
        <v/>
      </c>
      <c r="E492">
        <f>SUMPRODUCT(Calc!$K$3:$K$22*(Calc!$G$3:$G$22&gt;=B492))</f>
        <v/>
      </c>
      <c r="F492">
        <f>AND(k_n&gt;=5,B492&gt;A492+1E-9,C492&gt;=2,D492&gt;=1,E492&gt;=2)</f>
        <v/>
      </c>
      <c r="G492">
        <f>SUMPRODUCT(Calc!$K$3:$K$22*(Calc!$G$3:$G$22&gt;A492)*(Calc!$G$3:$G$22-A492))</f>
        <v/>
      </c>
      <c r="H492">
        <f>SUMPRODUCT(Calc!$K$3:$K$22*(Calc!$G$3:$G$22&gt;B492)*(Calc!$G$3:$G$22-B492))</f>
        <v/>
      </c>
      <c r="I492">
        <f>SUMPRODUCT(Calc!$K$3:$K$22*(Calc!$G$3:$G$22&gt;A492)*(Calc!$G$3:$G$22-A492)^2)</f>
        <v/>
      </c>
      <c r="J492">
        <f>SUMPRODUCT(Calc!$K$3:$K$22*(Calc!$G$3:$G$22&gt;B492)*(Calc!$G$3:$G$22-B492)^2)</f>
        <v/>
      </c>
      <c r="K492">
        <f>SUMPRODUCT(Calc!$K$3:$K$22*(Calc!$G$3:$G$22&gt;A492)*(Calc!$G$3:$G$22-A492)*(Calc!$G$3:$G$22&gt;B492)*(Calc!$G$3:$G$22-B492))</f>
        <v/>
      </c>
      <c r="L492">
        <f>SUMPRODUCT(Calc!$K$3:$K$22*(Calc!$G$3:$G$22&gt;A492)*(Calc!$G$3:$G$22-A492)*Calc!$G$3:$G$22)</f>
        <v/>
      </c>
      <c r="M492">
        <f>SUMPRODUCT(Calc!$K$3:$K$22*(Calc!$G$3:$G$22&gt;B492)*(Calc!$G$3:$G$22-B492)*Calc!$G$3:$G$22)</f>
        <v/>
      </c>
      <c r="N492">
        <f>SUMPRODUCT(Calc!$K$3:$K$22*(Calc!$G$3:$G$22&gt;A492)*(Calc!$G$3:$G$22-A492)*Calc!$I$3:$I$22)</f>
        <v/>
      </c>
      <c r="O492">
        <f>SUMPRODUCT(Calc!$K$3:$K$22*(Calc!$G$3:$G$22&gt;B492)*(Calc!$G$3:$G$22-B492)*Calc!$I$3:$I$22)</f>
        <v/>
      </c>
      <c r="P492">
        <f>I492-G492^2/k_n</f>
        <v/>
      </c>
      <c r="Q492">
        <f>J492-H492^2/k_n</f>
        <v/>
      </c>
      <c r="R492">
        <f>K492-G492*H492/k_n</f>
        <v/>
      </c>
      <c r="S492">
        <f>L492-LTP3!$D$3*G492/k_n</f>
        <v/>
      </c>
      <c r="T492">
        <f>M492-LTP3!$D$3*H492/k_n</f>
        <v/>
      </c>
      <c r="U492">
        <f>N492-G492*LTP3!$D$4/k_n</f>
        <v/>
      </c>
      <c r="V492">
        <f>O492-H492*LTP3!$D$4/k_n</f>
        <v/>
      </c>
      <c r="W492">
        <f>((LTP3!$D$5)*((P492)*(Q492)-(R492)*(R492))-(S492)*((S492)*(Q492)-(R492)*(T492))+(T492)*((S492)*(R492)-(P492)*(T492)))</f>
        <v/>
      </c>
      <c r="X492">
        <f>IF(ABS(W492)&gt;1E-12,((LTP3!$D$6)*((P492)*(Q492)-(R492)*(R492))-(S492)*((U492)*(Q492)-(R492)*(V492))+(T492)*((U492)*(R492)-(P492)*(V492)))/W492,0)</f>
        <v/>
      </c>
      <c r="Y492">
        <f>IF(ABS(W492)&gt;1E-12,((LTP3!$D$5)*((U492)*(Q492)-(R492)*(V492))-(LTP3!$D$6)*((S492)*(Q492)-(R492)*(T492))+(T492)*((S492)*(V492)-(U492)*(T492)))/W492,0)</f>
        <v/>
      </c>
      <c r="Z492">
        <f>IF(ABS(W492)&gt;1E-12,((LTP3!$D$5)*((P492)*(V492)-(U492)*(R492))-(S492)*((S492)*(V492)-(U492)*(T492))+(LTP3!$D$6)*((S492)*(R492)-(P492)*(T492)))/W492,0)</f>
        <v/>
      </c>
      <c r="AA492">
        <f>LTP3!$D$7-X492*LTP3!$D$6-Y492*U492-Z492*V492</f>
        <v/>
      </c>
      <c r="AB492">
        <f>IF(AND(F492,ABS(W492)&gt;1E-12,Y492&gt;0,Z492&gt;0),AA492,1E+300)</f>
        <v/>
      </c>
    </row>
    <row r="493">
      <c r="A493">
        <f>$B$3+$B$5*7</f>
        <v/>
      </c>
      <c r="B493">
        <f>$B$3+$B$5*54</f>
        <v/>
      </c>
      <c r="C493">
        <f>SUMPRODUCT(Calc!$K$3:$K$22*(Calc!$G$3:$G$22&lt;=A493))</f>
        <v/>
      </c>
      <c r="D493">
        <f>SUMPRODUCT(Calc!$K$3:$K$22*(Calc!$G$3:$G$22&gt;A493)*(Calc!$G$3:$G$22&lt;B493))</f>
        <v/>
      </c>
      <c r="E493">
        <f>SUMPRODUCT(Calc!$K$3:$K$22*(Calc!$G$3:$G$22&gt;=B493))</f>
        <v/>
      </c>
      <c r="F493">
        <f>AND(k_n&gt;=5,B493&gt;A493+1E-9,C493&gt;=2,D493&gt;=1,E493&gt;=2)</f>
        <v/>
      </c>
      <c r="G493">
        <f>SUMPRODUCT(Calc!$K$3:$K$22*(Calc!$G$3:$G$22&gt;A493)*(Calc!$G$3:$G$22-A493))</f>
        <v/>
      </c>
      <c r="H493">
        <f>SUMPRODUCT(Calc!$K$3:$K$22*(Calc!$G$3:$G$22&gt;B493)*(Calc!$G$3:$G$22-B493))</f>
        <v/>
      </c>
      <c r="I493">
        <f>SUMPRODUCT(Calc!$K$3:$K$22*(Calc!$G$3:$G$22&gt;A493)*(Calc!$G$3:$G$22-A493)^2)</f>
        <v/>
      </c>
      <c r="J493">
        <f>SUMPRODUCT(Calc!$K$3:$K$22*(Calc!$G$3:$G$22&gt;B493)*(Calc!$G$3:$G$22-B493)^2)</f>
        <v/>
      </c>
      <c r="K493">
        <f>SUMPRODUCT(Calc!$K$3:$K$22*(Calc!$G$3:$G$22&gt;A493)*(Calc!$G$3:$G$22-A493)*(Calc!$G$3:$G$22&gt;B493)*(Calc!$G$3:$G$22-B493))</f>
        <v/>
      </c>
      <c r="L493">
        <f>SUMPRODUCT(Calc!$K$3:$K$22*(Calc!$G$3:$G$22&gt;A493)*(Calc!$G$3:$G$22-A493)*Calc!$G$3:$G$22)</f>
        <v/>
      </c>
      <c r="M493">
        <f>SUMPRODUCT(Calc!$K$3:$K$22*(Calc!$G$3:$G$22&gt;B493)*(Calc!$G$3:$G$22-B493)*Calc!$G$3:$G$22)</f>
        <v/>
      </c>
      <c r="N493">
        <f>SUMPRODUCT(Calc!$K$3:$K$22*(Calc!$G$3:$G$22&gt;A493)*(Calc!$G$3:$G$22-A493)*Calc!$I$3:$I$22)</f>
        <v/>
      </c>
      <c r="O493">
        <f>SUMPRODUCT(Calc!$K$3:$K$22*(Calc!$G$3:$G$22&gt;B493)*(Calc!$G$3:$G$22-B493)*Calc!$I$3:$I$22)</f>
        <v/>
      </c>
      <c r="P493">
        <f>I493-G493^2/k_n</f>
        <v/>
      </c>
      <c r="Q493">
        <f>J493-H493^2/k_n</f>
        <v/>
      </c>
      <c r="R493">
        <f>K493-G493*H493/k_n</f>
        <v/>
      </c>
      <c r="S493">
        <f>L493-LTP3!$D$3*G493/k_n</f>
        <v/>
      </c>
      <c r="T493">
        <f>M493-LTP3!$D$3*H493/k_n</f>
        <v/>
      </c>
      <c r="U493">
        <f>N493-G493*LTP3!$D$4/k_n</f>
        <v/>
      </c>
      <c r="V493">
        <f>O493-H493*LTP3!$D$4/k_n</f>
        <v/>
      </c>
      <c r="W493">
        <f>((LTP3!$D$5)*((P493)*(Q493)-(R493)*(R493))-(S493)*((S493)*(Q493)-(R493)*(T493))+(T493)*((S493)*(R493)-(P493)*(T493)))</f>
        <v/>
      </c>
      <c r="X493">
        <f>IF(ABS(W493)&gt;1E-12,((LTP3!$D$6)*((P493)*(Q493)-(R493)*(R493))-(S493)*((U493)*(Q493)-(R493)*(V493))+(T493)*((U493)*(R493)-(P493)*(V493)))/W493,0)</f>
        <v/>
      </c>
      <c r="Y493">
        <f>IF(ABS(W493)&gt;1E-12,((LTP3!$D$5)*((U493)*(Q493)-(R493)*(V493))-(LTP3!$D$6)*((S493)*(Q493)-(R493)*(T493))+(T493)*((S493)*(V493)-(U493)*(T493)))/W493,0)</f>
        <v/>
      </c>
      <c r="Z493">
        <f>IF(ABS(W493)&gt;1E-12,((LTP3!$D$5)*((P493)*(V493)-(U493)*(R493))-(S493)*((S493)*(V493)-(U493)*(T493))+(LTP3!$D$6)*((S493)*(R493)-(P493)*(T493)))/W493,0)</f>
        <v/>
      </c>
      <c r="AA493">
        <f>LTP3!$D$7-X493*LTP3!$D$6-Y493*U493-Z493*V493</f>
        <v/>
      </c>
      <c r="AB493">
        <f>IF(AND(F493,ABS(W493)&gt;1E-12,Y493&gt;0,Z493&gt;0),AA493,1E+300)</f>
        <v/>
      </c>
    </row>
    <row r="494">
      <c r="A494">
        <f>$B$3+$B$5*7</f>
        <v/>
      </c>
      <c r="B494">
        <f>$B$3+$B$5*55</f>
        <v/>
      </c>
      <c r="C494">
        <f>SUMPRODUCT(Calc!$K$3:$K$22*(Calc!$G$3:$G$22&lt;=A494))</f>
        <v/>
      </c>
      <c r="D494">
        <f>SUMPRODUCT(Calc!$K$3:$K$22*(Calc!$G$3:$G$22&gt;A494)*(Calc!$G$3:$G$22&lt;B494))</f>
        <v/>
      </c>
      <c r="E494">
        <f>SUMPRODUCT(Calc!$K$3:$K$22*(Calc!$G$3:$G$22&gt;=B494))</f>
        <v/>
      </c>
      <c r="F494">
        <f>AND(k_n&gt;=5,B494&gt;A494+1E-9,C494&gt;=2,D494&gt;=1,E494&gt;=2)</f>
        <v/>
      </c>
      <c r="G494">
        <f>SUMPRODUCT(Calc!$K$3:$K$22*(Calc!$G$3:$G$22&gt;A494)*(Calc!$G$3:$G$22-A494))</f>
        <v/>
      </c>
      <c r="H494">
        <f>SUMPRODUCT(Calc!$K$3:$K$22*(Calc!$G$3:$G$22&gt;B494)*(Calc!$G$3:$G$22-B494))</f>
        <v/>
      </c>
      <c r="I494">
        <f>SUMPRODUCT(Calc!$K$3:$K$22*(Calc!$G$3:$G$22&gt;A494)*(Calc!$G$3:$G$22-A494)^2)</f>
        <v/>
      </c>
      <c r="J494">
        <f>SUMPRODUCT(Calc!$K$3:$K$22*(Calc!$G$3:$G$22&gt;B494)*(Calc!$G$3:$G$22-B494)^2)</f>
        <v/>
      </c>
      <c r="K494">
        <f>SUMPRODUCT(Calc!$K$3:$K$22*(Calc!$G$3:$G$22&gt;A494)*(Calc!$G$3:$G$22-A494)*(Calc!$G$3:$G$22&gt;B494)*(Calc!$G$3:$G$22-B494))</f>
        <v/>
      </c>
      <c r="L494">
        <f>SUMPRODUCT(Calc!$K$3:$K$22*(Calc!$G$3:$G$22&gt;A494)*(Calc!$G$3:$G$22-A494)*Calc!$G$3:$G$22)</f>
        <v/>
      </c>
      <c r="M494">
        <f>SUMPRODUCT(Calc!$K$3:$K$22*(Calc!$G$3:$G$22&gt;B494)*(Calc!$G$3:$G$22-B494)*Calc!$G$3:$G$22)</f>
        <v/>
      </c>
      <c r="N494">
        <f>SUMPRODUCT(Calc!$K$3:$K$22*(Calc!$G$3:$G$22&gt;A494)*(Calc!$G$3:$G$22-A494)*Calc!$I$3:$I$22)</f>
        <v/>
      </c>
      <c r="O494">
        <f>SUMPRODUCT(Calc!$K$3:$K$22*(Calc!$G$3:$G$22&gt;B494)*(Calc!$G$3:$G$22-B494)*Calc!$I$3:$I$22)</f>
        <v/>
      </c>
      <c r="P494">
        <f>I494-G494^2/k_n</f>
        <v/>
      </c>
      <c r="Q494">
        <f>J494-H494^2/k_n</f>
        <v/>
      </c>
      <c r="R494">
        <f>K494-G494*H494/k_n</f>
        <v/>
      </c>
      <c r="S494">
        <f>L494-LTP3!$D$3*G494/k_n</f>
        <v/>
      </c>
      <c r="T494">
        <f>M494-LTP3!$D$3*H494/k_n</f>
        <v/>
      </c>
      <c r="U494">
        <f>N494-G494*LTP3!$D$4/k_n</f>
        <v/>
      </c>
      <c r="V494">
        <f>O494-H494*LTP3!$D$4/k_n</f>
        <v/>
      </c>
      <c r="W494">
        <f>((LTP3!$D$5)*((P494)*(Q494)-(R494)*(R494))-(S494)*((S494)*(Q494)-(R494)*(T494))+(T494)*((S494)*(R494)-(P494)*(T494)))</f>
        <v/>
      </c>
      <c r="X494">
        <f>IF(ABS(W494)&gt;1E-12,((LTP3!$D$6)*((P494)*(Q494)-(R494)*(R494))-(S494)*((U494)*(Q494)-(R494)*(V494))+(T494)*((U494)*(R494)-(P494)*(V494)))/W494,0)</f>
        <v/>
      </c>
      <c r="Y494">
        <f>IF(ABS(W494)&gt;1E-12,((LTP3!$D$5)*((U494)*(Q494)-(R494)*(V494))-(LTP3!$D$6)*((S494)*(Q494)-(R494)*(T494))+(T494)*((S494)*(V494)-(U494)*(T494)))/W494,0)</f>
        <v/>
      </c>
      <c r="Z494">
        <f>IF(ABS(W494)&gt;1E-12,((LTP3!$D$5)*((P494)*(V494)-(U494)*(R494))-(S494)*((S494)*(V494)-(U494)*(T494))+(LTP3!$D$6)*((S494)*(R494)-(P494)*(T494)))/W494,0)</f>
        <v/>
      </c>
      <c r="AA494">
        <f>LTP3!$D$7-X494*LTP3!$D$6-Y494*U494-Z494*V494</f>
        <v/>
      </c>
      <c r="AB494">
        <f>IF(AND(F494,ABS(W494)&gt;1E-12,Y494&gt;0,Z494&gt;0),AA494,1E+300)</f>
        <v/>
      </c>
    </row>
    <row r="495">
      <c r="A495">
        <f>$B$3+$B$5*7</f>
        <v/>
      </c>
      <c r="B495">
        <f>$B$3+$B$5*56</f>
        <v/>
      </c>
      <c r="C495">
        <f>SUMPRODUCT(Calc!$K$3:$K$22*(Calc!$G$3:$G$22&lt;=A495))</f>
        <v/>
      </c>
      <c r="D495">
        <f>SUMPRODUCT(Calc!$K$3:$K$22*(Calc!$G$3:$G$22&gt;A495)*(Calc!$G$3:$G$22&lt;B495))</f>
        <v/>
      </c>
      <c r="E495">
        <f>SUMPRODUCT(Calc!$K$3:$K$22*(Calc!$G$3:$G$22&gt;=B495))</f>
        <v/>
      </c>
      <c r="F495">
        <f>AND(k_n&gt;=5,B495&gt;A495+1E-9,C495&gt;=2,D495&gt;=1,E495&gt;=2)</f>
        <v/>
      </c>
      <c r="G495">
        <f>SUMPRODUCT(Calc!$K$3:$K$22*(Calc!$G$3:$G$22&gt;A495)*(Calc!$G$3:$G$22-A495))</f>
        <v/>
      </c>
      <c r="H495">
        <f>SUMPRODUCT(Calc!$K$3:$K$22*(Calc!$G$3:$G$22&gt;B495)*(Calc!$G$3:$G$22-B495))</f>
        <v/>
      </c>
      <c r="I495">
        <f>SUMPRODUCT(Calc!$K$3:$K$22*(Calc!$G$3:$G$22&gt;A495)*(Calc!$G$3:$G$22-A495)^2)</f>
        <v/>
      </c>
      <c r="J495">
        <f>SUMPRODUCT(Calc!$K$3:$K$22*(Calc!$G$3:$G$22&gt;B495)*(Calc!$G$3:$G$22-B495)^2)</f>
        <v/>
      </c>
      <c r="K495">
        <f>SUMPRODUCT(Calc!$K$3:$K$22*(Calc!$G$3:$G$22&gt;A495)*(Calc!$G$3:$G$22-A495)*(Calc!$G$3:$G$22&gt;B495)*(Calc!$G$3:$G$22-B495))</f>
        <v/>
      </c>
      <c r="L495">
        <f>SUMPRODUCT(Calc!$K$3:$K$22*(Calc!$G$3:$G$22&gt;A495)*(Calc!$G$3:$G$22-A495)*Calc!$G$3:$G$22)</f>
        <v/>
      </c>
      <c r="M495">
        <f>SUMPRODUCT(Calc!$K$3:$K$22*(Calc!$G$3:$G$22&gt;B495)*(Calc!$G$3:$G$22-B495)*Calc!$G$3:$G$22)</f>
        <v/>
      </c>
      <c r="N495">
        <f>SUMPRODUCT(Calc!$K$3:$K$22*(Calc!$G$3:$G$22&gt;A495)*(Calc!$G$3:$G$22-A495)*Calc!$I$3:$I$22)</f>
        <v/>
      </c>
      <c r="O495">
        <f>SUMPRODUCT(Calc!$K$3:$K$22*(Calc!$G$3:$G$22&gt;B495)*(Calc!$G$3:$G$22-B495)*Calc!$I$3:$I$22)</f>
        <v/>
      </c>
      <c r="P495">
        <f>I495-G495^2/k_n</f>
        <v/>
      </c>
      <c r="Q495">
        <f>J495-H495^2/k_n</f>
        <v/>
      </c>
      <c r="R495">
        <f>K495-G495*H495/k_n</f>
        <v/>
      </c>
      <c r="S495">
        <f>L495-LTP3!$D$3*G495/k_n</f>
        <v/>
      </c>
      <c r="T495">
        <f>M495-LTP3!$D$3*H495/k_n</f>
        <v/>
      </c>
      <c r="U495">
        <f>N495-G495*LTP3!$D$4/k_n</f>
        <v/>
      </c>
      <c r="V495">
        <f>O495-H495*LTP3!$D$4/k_n</f>
        <v/>
      </c>
      <c r="W495">
        <f>((LTP3!$D$5)*((P495)*(Q495)-(R495)*(R495))-(S495)*((S495)*(Q495)-(R495)*(T495))+(T495)*((S495)*(R495)-(P495)*(T495)))</f>
        <v/>
      </c>
      <c r="X495">
        <f>IF(ABS(W495)&gt;1E-12,((LTP3!$D$6)*((P495)*(Q495)-(R495)*(R495))-(S495)*((U495)*(Q495)-(R495)*(V495))+(T495)*((U495)*(R495)-(P495)*(V495)))/W495,0)</f>
        <v/>
      </c>
      <c r="Y495">
        <f>IF(ABS(W495)&gt;1E-12,((LTP3!$D$5)*((U495)*(Q495)-(R495)*(V495))-(LTP3!$D$6)*((S495)*(Q495)-(R495)*(T495))+(T495)*((S495)*(V495)-(U495)*(T495)))/W495,0)</f>
        <v/>
      </c>
      <c r="Z495">
        <f>IF(ABS(W495)&gt;1E-12,((LTP3!$D$5)*((P495)*(V495)-(U495)*(R495))-(S495)*((S495)*(V495)-(U495)*(T495))+(LTP3!$D$6)*((S495)*(R495)-(P495)*(T495)))/W495,0)</f>
        <v/>
      </c>
      <c r="AA495">
        <f>LTP3!$D$7-X495*LTP3!$D$6-Y495*U495-Z495*V495</f>
        <v/>
      </c>
      <c r="AB495">
        <f>IF(AND(F495,ABS(W495)&gt;1E-12,Y495&gt;0,Z495&gt;0),AA495,1E+300)</f>
        <v/>
      </c>
    </row>
    <row r="496">
      <c r="A496">
        <f>$B$3+$B$5*7</f>
        <v/>
      </c>
      <c r="B496">
        <f>$B$3+$B$5*57</f>
        <v/>
      </c>
      <c r="C496">
        <f>SUMPRODUCT(Calc!$K$3:$K$22*(Calc!$G$3:$G$22&lt;=A496))</f>
        <v/>
      </c>
      <c r="D496">
        <f>SUMPRODUCT(Calc!$K$3:$K$22*(Calc!$G$3:$G$22&gt;A496)*(Calc!$G$3:$G$22&lt;B496))</f>
        <v/>
      </c>
      <c r="E496">
        <f>SUMPRODUCT(Calc!$K$3:$K$22*(Calc!$G$3:$G$22&gt;=B496))</f>
        <v/>
      </c>
      <c r="F496">
        <f>AND(k_n&gt;=5,B496&gt;A496+1E-9,C496&gt;=2,D496&gt;=1,E496&gt;=2)</f>
        <v/>
      </c>
      <c r="G496">
        <f>SUMPRODUCT(Calc!$K$3:$K$22*(Calc!$G$3:$G$22&gt;A496)*(Calc!$G$3:$G$22-A496))</f>
        <v/>
      </c>
      <c r="H496">
        <f>SUMPRODUCT(Calc!$K$3:$K$22*(Calc!$G$3:$G$22&gt;B496)*(Calc!$G$3:$G$22-B496))</f>
        <v/>
      </c>
      <c r="I496">
        <f>SUMPRODUCT(Calc!$K$3:$K$22*(Calc!$G$3:$G$22&gt;A496)*(Calc!$G$3:$G$22-A496)^2)</f>
        <v/>
      </c>
      <c r="J496">
        <f>SUMPRODUCT(Calc!$K$3:$K$22*(Calc!$G$3:$G$22&gt;B496)*(Calc!$G$3:$G$22-B496)^2)</f>
        <v/>
      </c>
      <c r="K496">
        <f>SUMPRODUCT(Calc!$K$3:$K$22*(Calc!$G$3:$G$22&gt;A496)*(Calc!$G$3:$G$22-A496)*(Calc!$G$3:$G$22&gt;B496)*(Calc!$G$3:$G$22-B496))</f>
        <v/>
      </c>
      <c r="L496">
        <f>SUMPRODUCT(Calc!$K$3:$K$22*(Calc!$G$3:$G$22&gt;A496)*(Calc!$G$3:$G$22-A496)*Calc!$G$3:$G$22)</f>
        <v/>
      </c>
      <c r="M496">
        <f>SUMPRODUCT(Calc!$K$3:$K$22*(Calc!$G$3:$G$22&gt;B496)*(Calc!$G$3:$G$22-B496)*Calc!$G$3:$G$22)</f>
        <v/>
      </c>
      <c r="N496">
        <f>SUMPRODUCT(Calc!$K$3:$K$22*(Calc!$G$3:$G$22&gt;A496)*(Calc!$G$3:$G$22-A496)*Calc!$I$3:$I$22)</f>
        <v/>
      </c>
      <c r="O496">
        <f>SUMPRODUCT(Calc!$K$3:$K$22*(Calc!$G$3:$G$22&gt;B496)*(Calc!$G$3:$G$22-B496)*Calc!$I$3:$I$22)</f>
        <v/>
      </c>
      <c r="P496">
        <f>I496-G496^2/k_n</f>
        <v/>
      </c>
      <c r="Q496">
        <f>J496-H496^2/k_n</f>
        <v/>
      </c>
      <c r="R496">
        <f>K496-G496*H496/k_n</f>
        <v/>
      </c>
      <c r="S496">
        <f>L496-LTP3!$D$3*G496/k_n</f>
        <v/>
      </c>
      <c r="T496">
        <f>M496-LTP3!$D$3*H496/k_n</f>
        <v/>
      </c>
      <c r="U496">
        <f>N496-G496*LTP3!$D$4/k_n</f>
        <v/>
      </c>
      <c r="V496">
        <f>O496-H496*LTP3!$D$4/k_n</f>
        <v/>
      </c>
      <c r="W496">
        <f>((LTP3!$D$5)*((P496)*(Q496)-(R496)*(R496))-(S496)*((S496)*(Q496)-(R496)*(T496))+(T496)*((S496)*(R496)-(P496)*(T496)))</f>
        <v/>
      </c>
      <c r="X496">
        <f>IF(ABS(W496)&gt;1E-12,((LTP3!$D$6)*((P496)*(Q496)-(R496)*(R496))-(S496)*((U496)*(Q496)-(R496)*(V496))+(T496)*((U496)*(R496)-(P496)*(V496)))/W496,0)</f>
        <v/>
      </c>
      <c r="Y496">
        <f>IF(ABS(W496)&gt;1E-12,((LTP3!$D$5)*((U496)*(Q496)-(R496)*(V496))-(LTP3!$D$6)*((S496)*(Q496)-(R496)*(T496))+(T496)*((S496)*(V496)-(U496)*(T496)))/W496,0)</f>
        <v/>
      </c>
      <c r="Z496">
        <f>IF(ABS(W496)&gt;1E-12,((LTP3!$D$5)*((P496)*(V496)-(U496)*(R496))-(S496)*((S496)*(V496)-(U496)*(T496))+(LTP3!$D$6)*((S496)*(R496)-(P496)*(T496)))/W496,0)</f>
        <v/>
      </c>
      <c r="AA496">
        <f>LTP3!$D$7-X496*LTP3!$D$6-Y496*U496-Z496*V496</f>
        <v/>
      </c>
      <c r="AB496">
        <f>IF(AND(F496,ABS(W496)&gt;1E-12,Y496&gt;0,Z496&gt;0),AA496,1E+300)</f>
        <v/>
      </c>
    </row>
    <row r="497">
      <c r="A497">
        <f>$B$3+$B$5*7</f>
        <v/>
      </c>
      <c r="B497">
        <f>$B$3+$B$5*58</f>
        <v/>
      </c>
      <c r="C497">
        <f>SUMPRODUCT(Calc!$K$3:$K$22*(Calc!$G$3:$G$22&lt;=A497))</f>
        <v/>
      </c>
      <c r="D497">
        <f>SUMPRODUCT(Calc!$K$3:$K$22*(Calc!$G$3:$G$22&gt;A497)*(Calc!$G$3:$G$22&lt;B497))</f>
        <v/>
      </c>
      <c r="E497">
        <f>SUMPRODUCT(Calc!$K$3:$K$22*(Calc!$G$3:$G$22&gt;=B497))</f>
        <v/>
      </c>
      <c r="F497">
        <f>AND(k_n&gt;=5,B497&gt;A497+1E-9,C497&gt;=2,D497&gt;=1,E497&gt;=2)</f>
        <v/>
      </c>
      <c r="G497">
        <f>SUMPRODUCT(Calc!$K$3:$K$22*(Calc!$G$3:$G$22&gt;A497)*(Calc!$G$3:$G$22-A497))</f>
        <v/>
      </c>
      <c r="H497">
        <f>SUMPRODUCT(Calc!$K$3:$K$22*(Calc!$G$3:$G$22&gt;B497)*(Calc!$G$3:$G$22-B497))</f>
        <v/>
      </c>
      <c r="I497">
        <f>SUMPRODUCT(Calc!$K$3:$K$22*(Calc!$G$3:$G$22&gt;A497)*(Calc!$G$3:$G$22-A497)^2)</f>
        <v/>
      </c>
      <c r="J497">
        <f>SUMPRODUCT(Calc!$K$3:$K$22*(Calc!$G$3:$G$22&gt;B497)*(Calc!$G$3:$G$22-B497)^2)</f>
        <v/>
      </c>
      <c r="K497">
        <f>SUMPRODUCT(Calc!$K$3:$K$22*(Calc!$G$3:$G$22&gt;A497)*(Calc!$G$3:$G$22-A497)*(Calc!$G$3:$G$22&gt;B497)*(Calc!$G$3:$G$22-B497))</f>
        <v/>
      </c>
      <c r="L497">
        <f>SUMPRODUCT(Calc!$K$3:$K$22*(Calc!$G$3:$G$22&gt;A497)*(Calc!$G$3:$G$22-A497)*Calc!$G$3:$G$22)</f>
        <v/>
      </c>
      <c r="M497">
        <f>SUMPRODUCT(Calc!$K$3:$K$22*(Calc!$G$3:$G$22&gt;B497)*(Calc!$G$3:$G$22-B497)*Calc!$G$3:$G$22)</f>
        <v/>
      </c>
      <c r="N497">
        <f>SUMPRODUCT(Calc!$K$3:$K$22*(Calc!$G$3:$G$22&gt;A497)*(Calc!$G$3:$G$22-A497)*Calc!$I$3:$I$22)</f>
        <v/>
      </c>
      <c r="O497">
        <f>SUMPRODUCT(Calc!$K$3:$K$22*(Calc!$G$3:$G$22&gt;B497)*(Calc!$G$3:$G$22-B497)*Calc!$I$3:$I$22)</f>
        <v/>
      </c>
      <c r="P497">
        <f>I497-G497^2/k_n</f>
        <v/>
      </c>
      <c r="Q497">
        <f>J497-H497^2/k_n</f>
        <v/>
      </c>
      <c r="R497">
        <f>K497-G497*H497/k_n</f>
        <v/>
      </c>
      <c r="S497">
        <f>L497-LTP3!$D$3*G497/k_n</f>
        <v/>
      </c>
      <c r="T497">
        <f>M497-LTP3!$D$3*H497/k_n</f>
        <v/>
      </c>
      <c r="U497">
        <f>N497-G497*LTP3!$D$4/k_n</f>
        <v/>
      </c>
      <c r="V497">
        <f>O497-H497*LTP3!$D$4/k_n</f>
        <v/>
      </c>
      <c r="W497">
        <f>((LTP3!$D$5)*((P497)*(Q497)-(R497)*(R497))-(S497)*((S497)*(Q497)-(R497)*(T497))+(T497)*((S497)*(R497)-(P497)*(T497)))</f>
        <v/>
      </c>
      <c r="X497">
        <f>IF(ABS(W497)&gt;1E-12,((LTP3!$D$6)*((P497)*(Q497)-(R497)*(R497))-(S497)*((U497)*(Q497)-(R497)*(V497))+(T497)*((U497)*(R497)-(P497)*(V497)))/W497,0)</f>
        <v/>
      </c>
      <c r="Y497">
        <f>IF(ABS(W497)&gt;1E-12,((LTP3!$D$5)*((U497)*(Q497)-(R497)*(V497))-(LTP3!$D$6)*((S497)*(Q497)-(R497)*(T497))+(T497)*((S497)*(V497)-(U497)*(T497)))/W497,0)</f>
        <v/>
      </c>
      <c r="Z497">
        <f>IF(ABS(W497)&gt;1E-12,((LTP3!$D$5)*((P497)*(V497)-(U497)*(R497))-(S497)*((S497)*(V497)-(U497)*(T497))+(LTP3!$D$6)*((S497)*(R497)-(P497)*(T497)))/W497,0)</f>
        <v/>
      </c>
      <c r="AA497">
        <f>LTP3!$D$7-X497*LTP3!$D$6-Y497*U497-Z497*V497</f>
        <v/>
      </c>
      <c r="AB497">
        <f>IF(AND(F497,ABS(W497)&gt;1E-12,Y497&gt;0,Z497&gt;0),AA497,1E+300)</f>
        <v/>
      </c>
    </row>
    <row r="498">
      <c r="A498">
        <f>$B$3+$B$5*7</f>
        <v/>
      </c>
      <c r="B498">
        <f>$B$3+$B$5*59</f>
        <v/>
      </c>
      <c r="C498">
        <f>SUMPRODUCT(Calc!$K$3:$K$22*(Calc!$G$3:$G$22&lt;=A498))</f>
        <v/>
      </c>
      <c r="D498">
        <f>SUMPRODUCT(Calc!$K$3:$K$22*(Calc!$G$3:$G$22&gt;A498)*(Calc!$G$3:$G$22&lt;B498))</f>
        <v/>
      </c>
      <c r="E498">
        <f>SUMPRODUCT(Calc!$K$3:$K$22*(Calc!$G$3:$G$22&gt;=B498))</f>
        <v/>
      </c>
      <c r="F498">
        <f>AND(k_n&gt;=5,B498&gt;A498+1E-9,C498&gt;=2,D498&gt;=1,E498&gt;=2)</f>
        <v/>
      </c>
      <c r="G498">
        <f>SUMPRODUCT(Calc!$K$3:$K$22*(Calc!$G$3:$G$22&gt;A498)*(Calc!$G$3:$G$22-A498))</f>
        <v/>
      </c>
      <c r="H498">
        <f>SUMPRODUCT(Calc!$K$3:$K$22*(Calc!$G$3:$G$22&gt;B498)*(Calc!$G$3:$G$22-B498))</f>
        <v/>
      </c>
      <c r="I498">
        <f>SUMPRODUCT(Calc!$K$3:$K$22*(Calc!$G$3:$G$22&gt;A498)*(Calc!$G$3:$G$22-A498)^2)</f>
        <v/>
      </c>
      <c r="J498">
        <f>SUMPRODUCT(Calc!$K$3:$K$22*(Calc!$G$3:$G$22&gt;B498)*(Calc!$G$3:$G$22-B498)^2)</f>
        <v/>
      </c>
      <c r="K498">
        <f>SUMPRODUCT(Calc!$K$3:$K$22*(Calc!$G$3:$G$22&gt;A498)*(Calc!$G$3:$G$22-A498)*(Calc!$G$3:$G$22&gt;B498)*(Calc!$G$3:$G$22-B498))</f>
        <v/>
      </c>
      <c r="L498">
        <f>SUMPRODUCT(Calc!$K$3:$K$22*(Calc!$G$3:$G$22&gt;A498)*(Calc!$G$3:$G$22-A498)*Calc!$G$3:$G$22)</f>
        <v/>
      </c>
      <c r="M498">
        <f>SUMPRODUCT(Calc!$K$3:$K$22*(Calc!$G$3:$G$22&gt;B498)*(Calc!$G$3:$G$22-B498)*Calc!$G$3:$G$22)</f>
        <v/>
      </c>
      <c r="N498">
        <f>SUMPRODUCT(Calc!$K$3:$K$22*(Calc!$G$3:$G$22&gt;A498)*(Calc!$G$3:$G$22-A498)*Calc!$I$3:$I$22)</f>
        <v/>
      </c>
      <c r="O498">
        <f>SUMPRODUCT(Calc!$K$3:$K$22*(Calc!$G$3:$G$22&gt;B498)*(Calc!$G$3:$G$22-B498)*Calc!$I$3:$I$22)</f>
        <v/>
      </c>
      <c r="P498">
        <f>I498-G498^2/k_n</f>
        <v/>
      </c>
      <c r="Q498">
        <f>J498-H498^2/k_n</f>
        <v/>
      </c>
      <c r="R498">
        <f>K498-G498*H498/k_n</f>
        <v/>
      </c>
      <c r="S498">
        <f>L498-LTP3!$D$3*G498/k_n</f>
        <v/>
      </c>
      <c r="T498">
        <f>M498-LTP3!$D$3*H498/k_n</f>
        <v/>
      </c>
      <c r="U498">
        <f>N498-G498*LTP3!$D$4/k_n</f>
        <v/>
      </c>
      <c r="V498">
        <f>O498-H498*LTP3!$D$4/k_n</f>
        <v/>
      </c>
      <c r="W498">
        <f>((LTP3!$D$5)*((P498)*(Q498)-(R498)*(R498))-(S498)*((S498)*(Q498)-(R498)*(T498))+(T498)*((S498)*(R498)-(P498)*(T498)))</f>
        <v/>
      </c>
      <c r="X498">
        <f>IF(ABS(W498)&gt;1E-12,((LTP3!$D$6)*((P498)*(Q498)-(R498)*(R498))-(S498)*((U498)*(Q498)-(R498)*(V498))+(T498)*((U498)*(R498)-(P498)*(V498)))/W498,0)</f>
        <v/>
      </c>
      <c r="Y498">
        <f>IF(ABS(W498)&gt;1E-12,((LTP3!$D$5)*((U498)*(Q498)-(R498)*(V498))-(LTP3!$D$6)*((S498)*(Q498)-(R498)*(T498))+(T498)*((S498)*(V498)-(U498)*(T498)))/W498,0)</f>
        <v/>
      </c>
      <c r="Z498">
        <f>IF(ABS(W498)&gt;1E-12,((LTP3!$D$5)*((P498)*(V498)-(U498)*(R498))-(S498)*((S498)*(V498)-(U498)*(T498))+(LTP3!$D$6)*((S498)*(R498)-(P498)*(T498)))/W498,0)</f>
        <v/>
      </c>
      <c r="AA498">
        <f>LTP3!$D$7-X498*LTP3!$D$6-Y498*U498-Z498*V498</f>
        <v/>
      </c>
      <c r="AB498">
        <f>IF(AND(F498,ABS(W498)&gt;1E-12,Y498&gt;0,Z498&gt;0),AA498,1E+300)</f>
        <v/>
      </c>
    </row>
    <row r="499">
      <c r="A499">
        <f>$B$3+$B$5*7</f>
        <v/>
      </c>
      <c r="B499">
        <f>$B$3+$B$5*60</f>
        <v/>
      </c>
      <c r="C499">
        <f>SUMPRODUCT(Calc!$K$3:$K$22*(Calc!$G$3:$G$22&lt;=A499))</f>
        <v/>
      </c>
      <c r="D499">
        <f>SUMPRODUCT(Calc!$K$3:$K$22*(Calc!$G$3:$G$22&gt;A499)*(Calc!$G$3:$G$22&lt;B499))</f>
        <v/>
      </c>
      <c r="E499">
        <f>SUMPRODUCT(Calc!$K$3:$K$22*(Calc!$G$3:$G$22&gt;=B499))</f>
        <v/>
      </c>
      <c r="F499">
        <f>AND(k_n&gt;=5,B499&gt;A499+1E-9,C499&gt;=2,D499&gt;=1,E499&gt;=2)</f>
        <v/>
      </c>
      <c r="G499">
        <f>SUMPRODUCT(Calc!$K$3:$K$22*(Calc!$G$3:$G$22&gt;A499)*(Calc!$G$3:$G$22-A499))</f>
        <v/>
      </c>
      <c r="H499">
        <f>SUMPRODUCT(Calc!$K$3:$K$22*(Calc!$G$3:$G$22&gt;B499)*(Calc!$G$3:$G$22-B499))</f>
        <v/>
      </c>
      <c r="I499">
        <f>SUMPRODUCT(Calc!$K$3:$K$22*(Calc!$G$3:$G$22&gt;A499)*(Calc!$G$3:$G$22-A499)^2)</f>
        <v/>
      </c>
      <c r="J499">
        <f>SUMPRODUCT(Calc!$K$3:$K$22*(Calc!$G$3:$G$22&gt;B499)*(Calc!$G$3:$G$22-B499)^2)</f>
        <v/>
      </c>
      <c r="K499">
        <f>SUMPRODUCT(Calc!$K$3:$K$22*(Calc!$G$3:$G$22&gt;A499)*(Calc!$G$3:$G$22-A499)*(Calc!$G$3:$G$22&gt;B499)*(Calc!$G$3:$G$22-B499))</f>
        <v/>
      </c>
      <c r="L499">
        <f>SUMPRODUCT(Calc!$K$3:$K$22*(Calc!$G$3:$G$22&gt;A499)*(Calc!$G$3:$G$22-A499)*Calc!$G$3:$G$22)</f>
        <v/>
      </c>
      <c r="M499">
        <f>SUMPRODUCT(Calc!$K$3:$K$22*(Calc!$G$3:$G$22&gt;B499)*(Calc!$G$3:$G$22-B499)*Calc!$G$3:$G$22)</f>
        <v/>
      </c>
      <c r="N499">
        <f>SUMPRODUCT(Calc!$K$3:$K$22*(Calc!$G$3:$G$22&gt;A499)*(Calc!$G$3:$G$22-A499)*Calc!$I$3:$I$22)</f>
        <v/>
      </c>
      <c r="O499">
        <f>SUMPRODUCT(Calc!$K$3:$K$22*(Calc!$G$3:$G$22&gt;B499)*(Calc!$G$3:$G$22-B499)*Calc!$I$3:$I$22)</f>
        <v/>
      </c>
      <c r="P499">
        <f>I499-G499^2/k_n</f>
        <v/>
      </c>
      <c r="Q499">
        <f>J499-H499^2/k_n</f>
        <v/>
      </c>
      <c r="R499">
        <f>K499-G499*H499/k_n</f>
        <v/>
      </c>
      <c r="S499">
        <f>L499-LTP3!$D$3*G499/k_n</f>
        <v/>
      </c>
      <c r="T499">
        <f>M499-LTP3!$D$3*H499/k_n</f>
        <v/>
      </c>
      <c r="U499">
        <f>N499-G499*LTP3!$D$4/k_n</f>
        <v/>
      </c>
      <c r="V499">
        <f>O499-H499*LTP3!$D$4/k_n</f>
        <v/>
      </c>
      <c r="W499">
        <f>((LTP3!$D$5)*((P499)*(Q499)-(R499)*(R499))-(S499)*((S499)*(Q499)-(R499)*(T499))+(T499)*((S499)*(R499)-(P499)*(T499)))</f>
        <v/>
      </c>
      <c r="X499">
        <f>IF(ABS(W499)&gt;1E-12,((LTP3!$D$6)*((P499)*(Q499)-(R499)*(R499))-(S499)*((U499)*(Q499)-(R499)*(V499))+(T499)*((U499)*(R499)-(P499)*(V499)))/W499,0)</f>
        <v/>
      </c>
      <c r="Y499">
        <f>IF(ABS(W499)&gt;1E-12,((LTP3!$D$5)*((U499)*(Q499)-(R499)*(V499))-(LTP3!$D$6)*((S499)*(Q499)-(R499)*(T499))+(T499)*((S499)*(V499)-(U499)*(T499)))/W499,0)</f>
        <v/>
      </c>
      <c r="Z499">
        <f>IF(ABS(W499)&gt;1E-12,((LTP3!$D$5)*((P499)*(V499)-(U499)*(R499))-(S499)*((S499)*(V499)-(U499)*(T499))+(LTP3!$D$6)*((S499)*(R499)-(P499)*(T499)))/W499,0)</f>
        <v/>
      </c>
      <c r="AA499">
        <f>LTP3!$D$7-X499*LTP3!$D$6-Y499*U499-Z499*V499</f>
        <v/>
      </c>
      <c r="AB499">
        <f>IF(AND(F499,ABS(W499)&gt;1E-12,Y499&gt;0,Z499&gt;0),AA499,1E+300)</f>
        <v/>
      </c>
    </row>
    <row r="500">
      <c r="A500">
        <f>$B$3+$B$5*8</f>
        <v/>
      </c>
      <c r="B500">
        <f>$B$3+$B$5*0</f>
        <v/>
      </c>
      <c r="C500">
        <f>SUMPRODUCT(Calc!$K$3:$K$22*(Calc!$G$3:$G$22&lt;=A500))</f>
        <v/>
      </c>
      <c r="D500">
        <f>SUMPRODUCT(Calc!$K$3:$K$22*(Calc!$G$3:$G$22&gt;A500)*(Calc!$G$3:$G$22&lt;B500))</f>
        <v/>
      </c>
      <c r="E500">
        <f>SUMPRODUCT(Calc!$K$3:$K$22*(Calc!$G$3:$G$22&gt;=B500))</f>
        <v/>
      </c>
      <c r="F500">
        <f>AND(k_n&gt;=5,B500&gt;A500+1E-9,C500&gt;=2,D500&gt;=1,E500&gt;=2)</f>
        <v/>
      </c>
      <c r="G500">
        <f>SUMPRODUCT(Calc!$K$3:$K$22*(Calc!$G$3:$G$22&gt;A500)*(Calc!$G$3:$G$22-A500))</f>
        <v/>
      </c>
      <c r="H500">
        <f>SUMPRODUCT(Calc!$K$3:$K$22*(Calc!$G$3:$G$22&gt;B500)*(Calc!$G$3:$G$22-B500))</f>
        <v/>
      </c>
      <c r="I500">
        <f>SUMPRODUCT(Calc!$K$3:$K$22*(Calc!$G$3:$G$22&gt;A500)*(Calc!$G$3:$G$22-A500)^2)</f>
        <v/>
      </c>
      <c r="J500">
        <f>SUMPRODUCT(Calc!$K$3:$K$22*(Calc!$G$3:$G$22&gt;B500)*(Calc!$G$3:$G$22-B500)^2)</f>
        <v/>
      </c>
      <c r="K500">
        <f>SUMPRODUCT(Calc!$K$3:$K$22*(Calc!$G$3:$G$22&gt;A500)*(Calc!$G$3:$G$22-A500)*(Calc!$G$3:$G$22&gt;B500)*(Calc!$G$3:$G$22-B500))</f>
        <v/>
      </c>
      <c r="L500">
        <f>SUMPRODUCT(Calc!$K$3:$K$22*(Calc!$G$3:$G$22&gt;A500)*(Calc!$G$3:$G$22-A500)*Calc!$G$3:$G$22)</f>
        <v/>
      </c>
      <c r="M500">
        <f>SUMPRODUCT(Calc!$K$3:$K$22*(Calc!$G$3:$G$22&gt;B500)*(Calc!$G$3:$G$22-B500)*Calc!$G$3:$G$22)</f>
        <v/>
      </c>
      <c r="N500">
        <f>SUMPRODUCT(Calc!$K$3:$K$22*(Calc!$G$3:$G$22&gt;A500)*(Calc!$G$3:$G$22-A500)*Calc!$I$3:$I$22)</f>
        <v/>
      </c>
      <c r="O500">
        <f>SUMPRODUCT(Calc!$K$3:$K$22*(Calc!$G$3:$G$22&gt;B500)*(Calc!$G$3:$G$22-B500)*Calc!$I$3:$I$22)</f>
        <v/>
      </c>
      <c r="P500">
        <f>I500-G500^2/k_n</f>
        <v/>
      </c>
      <c r="Q500">
        <f>J500-H500^2/k_n</f>
        <v/>
      </c>
      <c r="R500">
        <f>K500-G500*H500/k_n</f>
        <v/>
      </c>
      <c r="S500">
        <f>L500-LTP3!$D$3*G500/k_n</f>
        <v/>
      </c>
      <c r="T500">
        <f>M500-LTP3!$D$3*H500/k_n</f>
        <v/>
      </c>
      <c r="U500">
        <f>N500-G500*LTP3!$D$4/k_n</f>
        <v/>
      </c>
      <c r="V500">
        <f>O500-H500*LTP3!$D$4/k_n</f>
        <v/>
      </c>
      <c r="W500">
        <f>((LTP3!$D$5)*((P500)*(Q500)-(R500)*(R500))-(S500)*((S500)*(Q500)-(R500)*(T500))+(T500)*((S500)*(R500)-(P500)*(T500)))</f>
        <v/>
      </c>
      <c r="X500">
        <f>IF(ABS(W500)&gt;1E-12,((LTP3!$D$6)*((P500)*(Q500)-(R500)*(R500))-(S500)*((U500)*(Q500)-(R500)*(V500))+(T500)*((U500)*(R500)-(P500)*(V500)))/W500,0)</f>
        <v/>
      </c>
      <c r="Y500">
        <f>IF(ABS(W500)&gt;1E-12,((LTP3!$D$5)*((U500)*(Q500)-(R500)*(V500))-(LTP3!$D$6)*((S500)*(Q500)-(R500)*(T500))+(T500)*((S500)*(V500)-(U500)*(T500)))/W500,0)</f>
        <v/>
      </c>
      <c r="Z500">
        <f>IF(ABS(W500)&gt;1E-12,((LTP3!$D$5)*((P500)*(V500)-(U500)*(R500))-(S500)*((S500)*(V500)-(U500)*(T500))+(LTP3!$D$6)*((S500)*(R500)-(P500)*(T500)))/W500,0)</f>
        <v/>
      </c>
      <c r="AA500">
        <f>LTP3!$D$7-X500*LTP3!$D$6-Y500*U500-Z500*V500</f>
        <v/>
      </c>
      <c r="AB500">
        <f>IF(AND(F500,ABS(W500)&gt;1E-12,Y500&gt;0,Z500&gt;0),AA500,1E+300)</f>
        <v/>
      </c>
    </row>
    <row r="501">
      <c r="A501">
        <f>$B$3+$B$5*8</f>
        <v/>
      </c>
      <c r="B501">
        <f>$B$3+$B$5*1</f>
        <v/>
      </c>
      <c r="C501">
        <f>SUMPRODUCT(Calc!$K$3:$K$22*(Calc!$G$3:$G$22&lt;=A501))</f>
        <v/>
      </c>
      <c r="D501">
        <f>SUMPRODUCT(Calc!$K$3:$K$22*(Calc!$G$3:$G$22&gt;A501)*(Calc!$G$3:$G$22&lt;B501))</f>
        <v/>
      </c>
      <c r="E501">
        <f>SUMPRODUCT(Calc!$K$3:$K$22*(Calc!$G$3:$G$22&gt;=B501))</f>
        <v/>
      </c>
      <c r="F501">
        <f>AND(k_n&gt;=5,B501&gt;A501+1E-9,C501&gt;=2,D501&gt;=1,E501&gt;=2)</f>
        <v/>
      </c>
      <c r="G501">
        <f>SUMPRODUCT(Calc!$K$3:$K$22*(Calc!$G$3:$G$22&gt;A501)*(Calc!$G$3:$G$22-A501))</f>
        <v/>
      </c>
      <c r="H501">
        <f>SUMPRODUCT(Calc!$K$3:$K$22*(Calc!$G$3:$G$22&gt;B501)*(Calc!$G$3:$G$22-B501))</f>
        <v/>
      </c>
      <c r="I501">
        <f>SUMPRODUCT(Calc!$K$3:$K$22*(Calc!$G$3:$G$22&gt;A501)*(Calc!$G$3:$G$22-A501)^2)</f>
        <v/>
      </c>
      <c r="J501">
        <f>SUMPRODUCT(Calc!$K$3:$K$22*(Calc!$G$3:$G$22&gt;B501)*(Calc!$G$3:$G$22-B501)^2)</f>
        <v/>
      </c>
      <c r="K501">
        <f>SUMPRODUCT(Calc!$K$3:$K$22*(Calc!$G$3:$G$22&gt;A501)*(Calc!$G$3:$G$22-A501)*(Calc!$G$3:$G$22&gt;B501)*(Calc!$G$3:$G$22-B501))</f>
        <v/>
      </c>
      <c r="L501">
        <f>SUMPRODUCT(Calc!$K$3:$K$22*(Calc!$G$3:$G$22&gt;A501)*(Calc!$G$3:$G$22-A501)*Calc!$G$3:$G$22)</f>
        <v/>
      </c>
      <c r="M501">
        <f>SUMPRODUCT(Calc!$K$3:$K$22*(Calc!$G$3:$G$22&gt;B501)*(Calc!$G$3:$G$22-B501)*Calc!$G$3:$G$22)</f>
        <v/>
      </c>
      <c r="N501">
        <f>SUMPRODUCT(Calc!$K$3:$K$22*(Calc!$G$3:$G$22&gt;A501)*(Calc!$G$3:$G$22-A501)*Calc!$I$3:$I$22)</f>
        <v/>
      </c>
      <c r="O501">
        <f>SUMPRODUCT(Calc!$K$3:$K$22*(Calc!$G$3:$G$22&gt;B501)*(Calc!$G$3:$G$22-B501)*Calc!$I$3:$I$22)</f>
        <v/>
      </c>
      <c r="P501">
        <f>I501-G501^2/k_n</f>
        <v/>
      </c>
      <c r="Q501">
        <f>J501-H501^2/k_n</f>
        <v/>
      </c>
      <c r="R501">
        <f>K501-G501*H501/k_n</f>
        <v/>
      </c>
      <c r="S501">
        <f>L501-LTP3!$D$3*G501/k_n</f>
        <v/>
      </c>
      <c r="T501">
        <f>M501-LTP3!$D$3*H501/k_n</f>
        <v/>
      </c>
      <c r="U501">
        <f>N501-G501*LTP3!$D$4/k_n</f>
        <v/>
      </c>
      <c r="V501">
        <f>O501-H501*LTP3!$D$4/k_n</f>
        <v/>
      </c>
      <c r="W501">
        <f>((LTP3!$D$5)*((P501)*(Q501)-(R501)*(R501))-(S501)*((S501)*(Q501)-(R501)*(T501))+(T501)*((S501)*(R501)-(P501)*(T501)))</f>
        <v/>
      </c>
      <c r="X501">
        <f>IF(ABS(W501)&gt;1E-12,((LTP3!$D$6)*((P501)*(Q501)-(R501)*(R501))-(S501)*((U501)*(Q501)-(R501)*(V501))+(T501)*((U501)*(R501)-(P501)*(V501)))/W501,0)</f>
        <v/>
      </c>
      <c r="Y501">
        <f>IF(ABS(W501)&gt;1E-12,((LTP3!$D$5)*((U501)*(Q501)-(R501)*(V501))-(LTP3!$D$6)*((S501)*(Q501)-(R501)*(T501))+(T501)*((S501)*(V501)-(U501)*(T501)))/W501,0)</f>
        <v/>
      </c>
      <c r="Z501">
        <f>IF(ABS(W501)&gt;1E-12,((LTP3!$D$5)*((P501)*(V501)-(U501)*(R501))-(S501)*((S501)*(V501)-(U501)*(T501))+(LTP3!$D$6)*((S501)*(R501)-(P501)*(T501)))/W501,0)</f>
        <v/>
      </c>
      <c r="AA501">
        <f>LTP3!$D$7-X501*LTP3!$D$6-Y501*U501-Z501*V501</f>
        <v/>
      </c>
      <c r="AB501">
        <f>IF(AND(F501,ABS(W501)&gt;1E-12,Y501&gt;0,Z501&gt;0),AA501,1E+300)</f>
        <v/>
      </c>
    </row>
    <row r="502">
      <c r="A502">
        <f>$B$3+$B$5*8</f>
        <v/>
      </c>
      <c r="B502">
        <f>$B$3+$B$5*2</f>
        <v/>
      </c>
      <c r="C502">
        <f>SUMPRODUCT(Calc!$K$3:$K$22*(Calc!$G$3:$G$22&lt;=A502))</f>
        <v/>
      </c>
      <c r="D502">
        <f>SUMPRODUCT(Calc!$K$3:$K$22*(Calc!$G$3:$G$22&gt;A502)*(Calc!$G$3:$G$22&lt;B502))</f>
        <v/>
      </c>
      <c r="E502">
        <f>SUMPRODUCT(Calc!$K$3:$K$22*(Calc!$G$3:$G$22&gt;=B502))</f>
        <v/>
      </c>
      <c r="F502">
        <f>AND(k_n&gt;=5,B502&gt;A502+1E-9,C502&gt;=2,D502&gt;=1,E502&gt;=2)</f>
        <v/>
      </c>
      <c r="G502">
        <f>SUMPRODUCT(Calc!$K$3:$K$22*(Calc!$G$3:$G$22&gt;A502)*(Calc!$G$3:$G$22-A502))</f>
        <v/>
      </c>
      <c r="H502">
        <f>SUMPRODUCT(Calc!$K$3:$K$22*(Calc!$G$3:$G$22&gt;B502)*(Calc!$G$3:$G$22-B502))</f>
        <v/>
      </c>
      <c r="I502">
        <f>SUMPRODUCT(Calc!$K$3:$K$22*(Calc!$G$3:$G$22&gt;A502)*(Calc!$G$3:$G$22-A502)^2)</f>
        <v/>
      </c>
      <c r="J502">
        <f>SUMPRODUCT(Calc!$K$3:$K$22*(Calc!$G$3:$G$22&gt;B502)*(Calc!$G$3:$G$22-B502)^2)</f>
        <v/>
      </c>
      <c r="K502">
        <f>SUMPRODUCT(Calc!$K$3:$K$22*(Calc!$G$3:$G$22&gt;A502)*(Calc!$G$3:$G$22-A502)*(Calc!$G$3:$G$22&gt;B502)*(Calc!$G$3:$G$22-B502))</f>
        <v/>
      </c>
      <c r="L502">
        <f>SUMPRODUCT(Calc!$K$3:$K$22*(Calc!$G$3:$G$22&gt;A502)*(Calc!$G$3:$G$22-A502)*Calc!$G$3:$G$22)</f>
        <v/>
      </c>
      <c r="M502">
        <f>SUMPRODUCT(Calc!$K$3:$K$22*(Calc!$G$3:$G$22&gt;B502)*(Calc!$G$3:$G$22-B502)*Calc!$G$3:$G$22)</f>
        <v/>
      </c>
      <c r="N502">
        <f>SUMPRODUCT(Calc!$K$3:$K$22*(Calc!$G$3:$G$22&gt;A502)*(Calc!$G$3:$G$22-A502)*Calc!$I$3:$I$22)</f>
        <v/>
      </c>
      <c r="O502">
        <f>SUMPRODUCT(Calc!$K$3:$K$22*(Calc!$G$3:$G$22&gt;B502)*(Calc!$G$3:$G$22-B502)*Calc!$I$3:$I$22)</f>
        <v/>
      </c>
      <c r="P502">
        <f>I502-G502^2/k_n</f>
        <v/>
      </c>
      <c r="Q502">
        <f>J502-H502^2/k_n</f>
        <v/>
      </c>
      <c r="R502">
        <f>K502-G502*H502/k_n</f>
        <v/>
      </c>
      <c r="S502">
        <f>L502-LTP3!$D$3*G502/k_n</f>
        <v/>
      </c>
      <c r="T502">
        <f>M502-LTP3!$D$3*H502/k_n</f>
        <v/>
      </c>
      <c r="U502">
        <f>N502-G502*LTP3!$D$4/k_n</f>
        <v/>
      </c>
      <c r="V502">
        <f>O502-H502*LTP3!$D$4/k_n</f>
        <v/>
      </c>
      <c r="W502">
        <f>((LTP3!$D$5)*((P502)*(Q502)-(R502)*(R502))-(S502)*((S502)*(Q502)-(R502)*(T502))+(T502)*((S502)*(R502)-(P502)*(T502)))</f>
        <v/>
      </c>
      <c r="X502">
        <f>IF(ABS(W502)&gt;1E-12,((LTP3!$D$6)*((P502)*(Q502)-(R502)*(R502))-(S502)*((U502)*(Q502)-(R502)*(V502))+(T502)*((U502)*(R502)-(P502)*(V502)))/W502,0)</f>
        <v/>
      </c>
      <c r="Y502">
        <f>IF(ABS(W502)&gt;1E-12,((LTP3!$D$5)*((U502)*(Q502)-(R502)*(V502))-(LTP3!$D$6)*((S502)*(Q502)-(R502)*(T502))+(T502)*((S502)*(V502)-(U502)*(T502)))/W502,0)</f>
        <v/>
      </c>
      <c r="Z502">
        <f>IF(ABS(W502)&gt;1E-12,((LTP3!$D$5)*((P502)*(V502)-(U502)*(R502))-(S502)*((S502)*(V502)-(U502)*(T502))+(LTP3!$D$6)*((S502)*(R502)-(P502)*(T502)))/W502,0)</f>
        <v/>
      </c>
      <c r="AA502">
        <f>LTP3!$D$7-X502*LTP3!$D$6-Y502*U502-Z502*V502</f>
        <v/>
      </c>
      <c r="AB502">
        <f>IF(AND(F502,ABS(W502)&gt;1E-12,Y502&gt;0,Z502&gt;0),AA502,1E+300)</f>
        <v/>
      </c>
    </row>
    <row r="503">
      <c r="A503">
        <f>$B$3+$B$5*8</f>
        <v/>
      </c>
      <c r="B503">
        <f>$B$3+$B$5*3</f>
        <v/>
      </c>
      <c r="C503">
        <f>SUMPRODUCT(Calc!$K$3:$K$22*(Calc!$G$3:$G$22&lt;=A503))</f>
        <v/>
      </c>
      <c r="D503">
        <f>SUMPRODUCT(Calc!$K$3:$K$22*(Calc!$G$3:$G$22&gt;A503)*(Calc!$G$3:$G$22&lt;B503))</f>
        <v/>
      </c>
      <c r="E503">
        <f>SUMPRODUCT(Calc!$K$3:$K$22*(Calc!$G$3:$G$22&gt;=B503))</f>
        <v/>
      </c>
      <c r="F503">
        <f>AND(k_n&gt;=5,B503&gt;A503+1E-9,C503&gt;=2,D503&gt;=1,E503&gt;=2)</f>
        <v/>
      </c>
      <c r="G503">
        <f>SUMPRODUCT(Calc!$K$3:$K$22*(Calc!$G$3:$G$22&gt;A503)*(Calc!$G$3:$G$22-A503))</f>
        <v/>
      </c>
      <c r="H503">
        <f>SUMPRODUCT(Calc!$K$3:$K$22*(Calc!$G$3:$G$22&gt;B503)*(Calc!$G$3:$G$22-B503))</f>
        <v/>
      </c>
      <c r="I503">
        <f>SUMPRODUCT(Calc!$K$3:$K$22*(Calc!$G$3:$G$22&gt;A503)*(Calc!$G$3:$G$22-A503)^2)</f>
        <v/>
      </c>
      <c r="J503">
        <f>SUMPRODUCT(Calc!$K$3:$K$22*(Calc!$G$3:$G$22&gt;B503)*(Calc!$G$3:$G$22-B503)^2)</f>
        <v/>
      </c>
      <c r="K503">
        <f>SUMPRODUCT(Calc!$K$3:$K$22*(Calc!$G$3:$G$22&gt;A503)*(Calc!$G$3:$G$22-A503)*(Calc!$G$3:$G$22&gt;B503)*(Calc!$G$3:$G$22-B503))</f>
        <v/>
      </c>
      <c r="L503">
        <f>SUMPRODUCT(Calc!$K$3:$K$22*(Calc!$G$3:$G$22&gt;A503)*(Calc!$G$3:$G$22-A503)*Calc!$G$3:$G$22)</f>
        <v/>
      </c>
      <c r="M503">
        <f>SUMPRODUCT(Calc!$K$3:$K$22*(Calc!$G$3:$G$22&gt;B503)*(Calc!$G$3:$G$22-B503)*Calc!$G$3:$G$22)</f>
        <v/>
      </c>
      <c r="N503">
        <f>SUMPRODUCT(Calc!$K$3:$K$22*(Calc!$G$3:$G$22&gt;A503)*(Calc!$G$3:$G$22-A503)*Calc!$I$3:$I$22)</f>
        <v/>
      </c>
      <c r="O503">
        <f>SUMPRODUCT(Calc!$K$3:$K$22*(Calc!$G$3:$G$22&gt;B503)*(Calc!$G$3:$G$22-B503)*Calc!$I$3:$I$22)</f>
        <v/>
      </c>
      <c r="P503">
        <f>I503-G503^2/k_n</f>
        <v/>
      </c>
      <c r="Q503">
        <f>J503-H503^2/k_n</f>
        <v/>
      </c>
      <c r="R503">
        <f>K503-G503*H503/k_n</f>
        <v/>
      </c>
      <c r="S503">
        <f>L503-LTP3!$D$3*G503/k_n</f>
        <v/>
      </c>
      <c r="T503">
        <f>M503-LTP3!$D$3*H503/k_n</f>
        <v/>
      </c>
      <c r="U503">
        <f>N503-G503*LTP3!$D$4/k_n</f>
        <v/>
      </c>
      <c r="V503">
        <f>O503-H503*LTP3!$D$4/k_n</f>
        <v/>
      </c>
      <c r="W503">
        <f>((LTP3!$D$5)*((P503)*(Q503)-(R503)*(R503))-(S503)*((S503)*(Q503)-(R503)*(T503))+(T503)*((S503)*(R503)-(P503)*(T503)))</f>
        <v/>
      </c>
      <c r="X503">
        <f>IF(ABS(W503)&gt;1E-12,((LTP3!$D$6)*((P503)*(Q503)-(R503)*(R503))-(S503)*((U503)*(Q503)-(R503)*(V503))+(T503)*((U503)*(R503)-(P503)*(V503)))/W503,0)</f>
        <v/>
      </c>
      <c r="Y503">
        <f>IF(ABS(W503)&gt;1E-12,((LTP3!$D$5)*((U503)*(Q503)-(R503)*(V503))-(LTP3!$D$6)*((S503)*(Q503)-(R503)*(T503))+(T503)*((S503)*(V503)-(U503)*(T503)))/W503,0)</f>
        <v/>
      </c>
      <c r="Z503">
        <f>IF(ABS(W503)&gt;1E-12,((LTP3!$D$5)*((P503)*(V503)-(U503)*(R503))-(S503)*((S503)*(V503)-(U503)*(T503))+(LTP3!$D$6)*((S503)*(R503)-(P503)*(T503)))/W503,0)</f>
        <v/>
      </c>
      <c r="AA503">
        <f>LTP3!$D$7-X503*LTP3!$D$6-Y503*U503-Z503*V503</f>
        <v/>
      </c>
      <c r="AB503">
        <f>IF(AND(F503,ABS(W503)&gt;1E-12,Y503&gt;0,Z503&gt;0),AA503,1E+300)</f>
        <v/>
      </c>
    </row>
    <row r="504">
      <c r="A504">
        <f>$B$3+$B$5*8</f>
        <v/>
      </c>
      <c r="B504">
        <f>$B$3+$B$5*4</f>
        <v/>
      </c>
      <c r="C504">
        <f>SUMPRODUCT(Calc!$K$3:$K$22*(Calc!$G$3:$G$22&lt;=A504))</f>
        <v/>
      </c>
      <c r="D504">
        <f>SUMPRODUCT(Calc!$K$3:$K$22*(Calc!$G$3:$G$22&gt;A504)*(Calc!$G$3:$G$22&lt;B504))</f>
        <v/>
      </c>
      <c r="E504">
        <f>SUMPRODUCT(Calc!$K$3:$K$22*(Calc!$G$3:$G$22&gt;=B504))</f>
        <v/>
      </c>
      <c r="F504">
        <f>AND(k_n&gt;=5,B504&gt;A504+1E-9,C504&gt;=2,D504&gt;=1,E504&gt;=2)</f>
        <v/>
      </c>
      <c r="G504">
        <f>SUMPRODUCT(Calc!$K$3:$K$22*(Calc!$G$3:$G$22&gt;A504)*(Calc!$G$3:$G$22-A504))</f>
        <v/>
      </c>
      <c r="H504">
        <f>SUMPRODUCT(Calc!$K$3:$K$22*(Calc!$G$3:$G$22&gt;B504)*(Calc!$G$3:$G$22-B504))</f>
        <v/>
      </c>
      <c r="I504">
        <f>SUMPRODUCT(Calc!$K$3:$K$22*(Calc!$G$3:$G$22&gt;A504)*(Calc!$G$3:$G$22-A504)^2)</f>
        <v/>
      </c>
      <c r="J504">
        <f>SUMPRODUCT(Calc!$K$3:$K$22*(Calc!$G$3:$G$22&gt;B504)*(Calc!$G$3:$G$22-B504)^2)</f>
        <v/>
      </c>
      <c r="K504">
        <f>SUMPRODUCT(Calc!$K$3:$K$22*(Calc!$G$3:$G$22&gt;A504)*(Calc!$G$3:$G$22-A504)*(Calc!$G$3:$G$22&gt;B504)*(Calc!$G$3:$G$22-B504))</f>
        <v/>
      </c>
      <c r="L504">
        <f>SUMPRODUCT(Calc!$K$3:$K$22*(Calc!$G$3:$G$22&gt;A504)*(Calc!$G$3:$G$22-A504)*Calc!$G$3:$G$22)</f>
        <v/>
      </c>
      <c r="M504">
        <f>SUMPRODUCT(Calc!$K$3:$K$22*(Calc!$G$3:$G$22&gt;B504)*(Calc!$G$3:$G$22-B504)*Calc!$G$3:$G$22)</f>
        <v/>
      </c>
      <c r="N504">
        <f>SUMPRODUCT(Calc!$K$3:$K$22*(Calc!$G$3:$G$22&gt;A504)*(Calc!$G$3:$G$22-A504)*Calc!$I$3:$I$22)</f>
        <v/>
      </c>
      <c r="O504">
        <f>SUMPRODUCT(Calc!$K$3:$K$22*(Calc!$G$3:$G$22&gt;B504)*(Calc!$G$3:$G$22-B504)*Calc!$I$3:$I$22)</f>
        <v/>
      </c>
      <c r="P504">
        <f>I504-G504^2/k_n</f>
        <v/>
      </c>
      <c r="Q504">
        <f>J504-H504^2/k_n</f>
        <v/>
      </c>
      <c r="R504">
        <f>K504-G504*H504/k_n</f>
        <v/>
      </c>
      <c r="S504">
        <f>L504-LTP3!$D$3*G504/k_n</f>
        <v/>
      </c>
      <c r="T504">
        <f>M504-LTP3!$D$3*H504/k_n</f>
        <v/>
      </c>
      <c r="U504">
        <f>N504-G504*LTP3!$D$4/k_n</f>
        <v/>
      </c>
      <c r="V504">
        <f>O504-H504*LTP3!$D$4/k_n</f>
        <v/>
      </c>
      <c r="W504">
        <f>((LTP3!$D$5)*((P504)*(Q504)-(R504)*(R504))-(S504)*((S504)*(Q504)-(R504)*(T504))+(T504)*((S504)*(R504)-(P504)*(T504)))</f>
        <v/>
      </c>
      <c r="X504">
        <f>IF(ABS(W504)&gt;1E-12,((LTP3!$D$6)*((P504)*(Q504)-(R504)*(R504))-(S504)*((U504)*(Q504)-(R504)*(V504))+(T504)*((U504)*(R504)-(P504)*(V504)))/W504,0)</f>
        <v/>
      </c>
      <c r="Y504">
        <f>IF(ABS(W504)&gt;1E-12,((LTP3!$D$5)*((U504)*(Q504)-(R504)*(V504))-(LTP3!$D$6)*((S504)*(Q504)-(R504)*(T504))+(T504)*((S504)*(V504)-(U504)*(T504)))/W504,0)</f>
        <v/>
      </c>
      <c r="Z504">
        <f>IF(ABS(W504)&gt;1E-12,((LTP3!$D$5)*((P504)*(V504)-(U504)*(R504))-(S504)*((S504)*(V504)-(U504)*(T504))+(LTP3!$D$6)*((S504)*(R504)-(P504)*(T504)))/W504,0)</f>
        <v/>
      </c>
      <c r="AA504">
        <f>LTP3!$D$7-X504*LTP3!$D$6-Y504*U504-Z504*V504</f>
        <v/>
      </c>
      <c r="AB504">
        <f>IF(AND(F504,ABS(W504)&gt;1E-12,Y504&gt;0,Z504&gt;0),AA504,1E+300)</f>
        <v/>
      </c>
    </row>
    <row r="505">
      <c r="A505">
        <f>$B$3+$B$5*8</f>
        <v/>
      </c>
      <c r="B505">
        <f>$B$3+$B$5*5</f>
        <v/>
      </c>
      <c r="C505">
        <f>SUMPRODUCT(Calc!$K$3:$K$22*(Calc!$G$3:$G$22&lt;=A505))</f>
        <v/>
      </c>
      <c r="D505">
        <f>SUMPRODUCT(Calc!$K$3:$K$22*(Calc!$G$3:$G$22&gt;A505)*(Calc!$G$3:$G$22&lt;B505))</f>
        <v/>
      </c>
      <c r="E505">
        <f>SUMPRODUCT(Calc!$K$3:$K$22*(Calc!$G$3:$G$22&gt;=B505))</f>
        <v/>
      </c>
      <c r="F505">
        <f>AND(k_n&gt;=5,B505&gt;A505+1E-9,C505&gt;=2,D505&gt;=1,E505&gt;=2)</f>
        <v/>
      </c>
      <c r="G505">
        <f>SUMPRODUCT(Calc!$K$3:$K$22*(Calc!$G$3:$G$22&gt;A505)*(Calc!$G$3:$G$22-A505))</f>
        <v/>
      </c>
      <c r="H505">
        <f>SUMPRODUCT(Calc!$K$3:$K$22*(Calc!$G$3:$G$22&gt;B505)*(Calc!$G$3:$G$22-B505))</f>
        <v/>
      </c>
      <c r="I505">
        <f>SUMPRODUCT(Calc!$K$3:$K$22*(Calc!$G$3:$G$22&gt;A505)*(Calc!$G$3:$G$22-A505)^2)</f>
        <v/>
      </c>
      <c r="J505">
        <f>SUMPRODUCT(Calc!$K$3:$K$22*(Calc!$G$3:$G$22&gt;B505)*(Calc!$G$3:$G$22-B505)^2)</f>
        <v/>
      </c>
      <c r="K505">
        <f>SUMPRODUCT(Calc!$K$3:$K$22*(Calc!$G$3:$G$22&gt;A505)*(Calc!$G$3:$G$22-A505)*(Calc!$G$3:$G$22&gt;B505)*(Calc!$G$3:$G$22-B505))</f>
        <v/>
      </c>
      <c r="L505">
        <f>SUMPRODUCT(Calc!$K$3:$K$22*(Calc!$G$3:$G$22&gt;A505)*(Calc!$G$3:$G$22-A505)*Calc!$G$3:$G$22)</f>
        <v/>
      </c>
      <c r="M505">
        <f>SUMPRODUCT(Calc!$K$3:$K$22*(Calc!$G$3:$G$22&gt;B505)*(Calc!$G$3:$G$22-B505)*Calc!$G$3:$G$22)</f>
        <v/>
      </c>
      <c r="N505">
        <f>SUMPRODUCT(Calc!$K$3:$K$22*(Calc!$G$3:$G$22&gt;A505)*(Calc!$G$3:$G$22-A505)*Calc!$I$3:$I$22)</f>
        <v/>
      </c>
      <c r="O505">
        <f>SUMPRODUCT(Calc!$K$3:$K$22*(Calc!$G$3:$G$22&gt;B505)*(Calc!$G$3:$G$22-B505)*Calc!$I$3:$I$22)</f>
        <v/>
      </c>
      <c r="P505">
        <f>I505-G505^2/k_n</f>
        <v/>
      </c>
      <c r="Q505">
        <f>J505-H505^2/k_n</f>
        <v/>
      </c>
      <c r="R505">
        <f>K505-G505*H505/k_n</f>
        <v/>
      </c>
      <c r="S505">
        <f>L505-LTP3!$D$3*G505/k_n</f>
        <v/>
      </c>
      <c r="T505">
        <f>M505-LTP3!$D$3*H505/k_n</f>
        <v/>
      </c>
      <c r="U505">
        <f>N505-G505*LTP3!$D$4/k_n</f>
        <v/>
      </c>
      <c r="V505">
        <f>O505-H505*LTP3!$D$4/k_n</f>
        <v/>
      </c>
      <c r="W505">
        <f>((LTP3!$D$5)*((P505)*(Q505)-(R505)*(R505))-(S505)*((S505)*(Q505)-(R505)*(T505))+(T505)*((S505)*(R505)-(P505)*(T505)))</f>
        <v/>
      </c>
      <c r="X505">
        <f>IF(ABS(W505)&gt;1E-12,((LTP3!$D$6)*((P505)*(Q505)-(R505)*(R505))-(S505)*((U505)*(Q505)-(R505)*(V505))+(T505)*((U505)*(R505)-(P505)*(V505)))/W505,0)</f>
        <v/>
      </c>
      <c r="Y505">
        <f>IF(ABS(W505)&gt;1E-12,((LTP3!$D$5)*((U505)*(Q505)-(R505)*(V505))-(LTP3!$D$6)*((S505)*(Q505)-(R505)*(T505))+(T505)*((S505)*(V505)-(U505)*(T505)))/W505,0)</f>
        <v/>
      </c>
      <c r="Z505">
        <f>IF(ABS(W505)&gt;1E-12,((LTP3!$D$5)*((P505)*(V505)-(U505)*(R505))-(S505)*((S505)*(V505)-(U505)*(T505))+(LTP3!$D$6)*((S505)*(R505)-(P505)*(T505)))/W505,0)</f>
        <v/>
      </c>
      <c r="AA505">
        <f>LTP3!$D$7-X505*LTP3!$D$6-Y505*U505-Z505*V505</f>
        <v/>
      </c>
      <c r="AB505">
        <f>IF(AND(F505,ABS(W505)&gt;1E-12,Y505&gt;0,Z505&gt;0),AA505,1E+300)</f>
        <v/>
      </c>
    </row>
    <row r="506">
      <c r="A506">
        <f>$B$3+$B$5*8</f>
        <v/>
      </c>
      <c r="B506">
        <f>$B$3+$B$5*6</f>
        <v/>
      </c>
      <c r="C506">
        <f>SUMPRODUCT(Calc!$K$3:$K$22*(Calc!$G$3:$G$22&lt;=A506))</f>
        <v/>
      </c>
      <c r="D506">
        <f>SUMPRODUCT(Calc!$K$3:$K$22*(Calc!$G$3:$G$22&gt;A506)*(Calc!$G$3:$G$22&lt;B506))</f>
        <v/>
      </c>
      <c r="E506">
        <f>SUMPRODUCT(Calc!$K$3:$K$22*(Calc!$G$3:$G$22&gt;=B506))</f>
        <v/>
      </c>
      <c r="F506">
        <f>AND(k_n&gt;=5,B506&gt;A506+1E-9,C506&gt;=2,D506&gt;=1,E506&gt;=2)</f>
        <v/>
      </c>
      <c r="G506">
        <f>SUMPRODUCT(Calc!$K$3:$K$22*(Calc!$G$3:$G$22&gt;A506)*(Calc!$G$3:$G$22-A506))</f>
        <v/>
      </c>
      <c r="H506">
        <f>SUMPRODUCT(Calc!$K$3:$K$22*(Calc!$G$3:$G$22&gt;B506)*(Calc!$G$3:$G$22-B506))</f>
        <v/>
      </c>
      <c r="I506">
        <f>SUMPRODUCT(Calc!$K$3:$K$22*(Calc!$G$3:$G$22&gt;A506)*(Calc!$G$3:$G$22-A506)^2)</f>
        <v/>
      </c>
      <c r="J506">
        <f>SUMPRODUCT(Calc!$K$3:$K$22*(Calc!$G$3:$G$22&gt;B506)*(Calc!$G$3:$G$22-B506)^2)</f>
        <v/>
      </c>
      <c r="K506">
        <f>SUMPRODUCT(Calc!$K$3:$K$22*(Calc!$G$3:$G$22&gt;A506)*(Calc!$G$3:$G$22-A506)*(Calc!$G$3:$G$22&gt;B506)*(Calc!$G$3:$G$22-B506))</f>
        <v/>
      </c>
      <c r="L506">
        <f>SUMPRODUCT(Calc!$K$3:$K$22*(Calc!$G$3:$G$22&gt;A506)*(Calc!$G$3:$G$22-A506)*Calc!$G$3:$G$22)</f>
        <v/>
      </c>
      <c r="M506">
        <f>SUMPRODUCT(Calc!$K$3:$K$22*(Calc!$G$3:$G$22&gt;B506)*(Calc!$G$3:$G$22-B506)*Calc!$G$3:$G$22)</f>
        <v/>
      </c>
      <c r="N506">
        <f>SUMPRODUCT(Calc!$K$3:$K$22*(Calc!$G$3:$G$22&gt;A506)*(Calc!$G$3:$G$22-A506)*Calc!$I$3:$I$22)</f>
        <v/>
      </c>
      <c r="O506">
        <f>SUMPRODUCT(Calc!$K$3:$K$22*(Calc!$G$3:$G$22&gt;B506)*(Calc!$G$3:$G$22-B506)*Calc!$I$3:$I$22)</f>
        <v/>
      </c>
      <c r="P506">
        <f>I506-G506^2/k_n</f>
        <v/>
      </c>
      <c r="Q506">
        <f>J506-H506^2/k_n</f>
        <v/>
      </c>
      <c r="R506">
        <f>K506-G506*H506/k_n</f>
        <v/>
      </c>
      <c r="S506">
        <f>L506-LTP3!$D$3*G506/k_n</f>
        <v/>
      </c>
      <c r="T506">
        <f>M506-LTP3!$D$3*H506/k_n</f>
        <v/>
      </c>
      <c r="U506">
        <f>N506-G506*LTP3!$D$4/k_n</f>
        <v/>
      </c>
      <c r="V506">
        <f>O506-H506*LTP3!$D$4/k_n</f>
        <v/>
      </c>
      <c r="W506">
        <f>((LTP3!$D$5)*((P506)*(Q506)-(R506)*(R506))-(S506)*((S506)*(Q506)-(R506)*(T506))+(T506)*((S506)*(R506)-(P506)*(T506)))</f>
        <v/>
      </c>
      <c r="X506">
        <f>IF(ABS(W506)&gt;1E-12,((LTP3!$D$6)*((P506)*(Q506)-(R506)*(R506))-(S506)*((U506)*(Q506)-(R506)*(V506))+(T506)*((U506)*(R506)-(P506)*(V506)))/W506,0)</f>
        <v/>
      </c>
      <c r="Y506">
        <f>IF(ABS(W506)&gt;1E-12,((LTP3!$D$5)*((U506)*(Q506)-(R506)*(V506))-(LTP3!$D$6)*((S506)*(Q506)-(R506)*(T506))+(T506)*((S506)*(V506)-(U506)*(T506)))/W506,0)</f>
        <v/>
      </c>
      <c r="Z506">
        <f>IF(ABS(W506)&gt;1E-12,((LTP3!$D$5)*((P506)*(V506)-(U506)*(R506))-(S506)*((S506)*(V506)-(U506)*(T506))+(LTP3!$D$6)*((S506)*(R506)-(P506)*(T506)))/W506,0)</f>
        <v/>
      </c>
      <c r="AA506">
        <f>LTP3!$D$7-X506*LTP3!$D$6-Y506*U506-Z506*V506</f>
        <v/>
      </c>
      <c r="AB506">
        <f>IF(AND(F506,ABS(W506)&gt;1E-12,Y506&gt;0,Z506&gt;0),AA506,1E+300)</f>
        <v/>
      </c>
    </row>
    <row r="507">
      <c r="A507">
        <f>$B$3+$B$5*8</f>
        <v/>
      </c>
      <c r="B507">
        <f>$B$3+$B$5*7</f>
        <v/>
      </c>
      <c r="C507">
        <f>SUMPRODUCT(Calc!$K$3:$K$22*(Calc!$G$3:$G$22&lt;=A507))</f>
        <v/>
      </c>
      <c r="D507">
        <f>SUMPRODUCT(Calc!$K$3:$K$22*(Calc!$G$3:$G$22&gt;A507)*(Calc!$G$3:$G$22&lt;B507))</f>
        <v/>
      </c>
      <c r="E507">
        <f>SUMPRODUCT(Calc!$K$3:$K$22*(Calc!$G$3:$G$22&gt;=B507))</f>
        <v/>
      </c>
      <c r="F507">
        <f>AND(k_n&gt;=5,B507&gt;A507+1E-9,C507&gt;=2,D507&gt;=1,E507&gt;=2)</f>
        <v/>
      </c>
      <c r="G507">
        <f>SUMPRODUCT(Calc!$K$3:$K$22*(Calc!$G$3:$G$22&gt;A507)*(Calc!$G$3:$G$22-A507))</f>
        <v/>
      </c>
      <c r="H507">
        <f>SUMPRODUCT(Calc!$K$3:$K$22*(Calc!$G$3:$G$22&gt;B507)*(Calc!$G$3:$G$22-B507))</f>
        <v/>
      </c>
      <c r="I507">
        <f>SUMPRODUCT(Calc!$K$3:$K$22*(Calc!$G$3:$G$22&gt;A507)*(Calc!$G$3:$G$22-A507)^2)</f>
        <v/>
      </c>
      <c r="J507">
        <f>SUMPRODUCT(Calc!$K$3:$K$22*(Calc!$G$3:$G$22&gt;B507)*(Calc!$G$3:$G$22-B507)^2)</f>
        <v/>
      </c>
      <c r="K507">
        <f>SUMPRODUCT(Calc!$K$3:$K$22*(Calc!$G$3:$G$22&gt;A507)*(Calc!$G$3:$G$22-A507)*(Calc!$G$3:$G$22&gt;B507)*(Calc!$G$3:$G$22-B507))</f>
        <v/>
      </c>
      <c r="L507">
        <f>SUMPRODUCT(Calc!$K$3:$K$22*(Calc!$G$3:$G$22&gt;A507)*(Calc!$G$3:$G$22-A507)*Calc!$G$3:$G$22)</f>
        <v/>
      </c>
      <c r="M507">
        <f>SUMPRODUCT(Calc!$K$3:$K$22*(Calc!$G$3:$G$22&gt;B507)*(Calc!$G$3:$G$22-B507)*Calc!$G$3:$G$22)</f>
        <v/>
      </c>
      <c r="N507">
        <f>SUMPRODUCT(Calc!$K$3:$K$22*(Calc!$G$3:$G$22&gt;A507)*(Calc!$G$3:$G$22-A507)*Calc!$I$3:$I$22)</f>
        <v/>
      </c>
      <c r="O507">
        <f>SUMPRODUCT(Calc!$K$3:$K$22*(Calc!$G$3:$G$22&gt;B507)*(Calc!$G$3:$G$22-B507)*Calc!$I$3:$I$22)</f>
        <v/>
      </c>
      <c r="P507">
        <f>I507-G507^2/k_n</f>
        <v/>
      </c>
      <c r="Q507">
        <f>J507-H507^2/k_n</f>
        <v/>
      </c>
      <c r="R507">
        <f>K507-G507*H507/k_n</f>
        <v/>
      </c>
      <c r="S507">
        <f>L507-LTP3!$D$3*G507/k_n</f>
        <v/>
      </c>
      <c r="T507">
        <f>M507-LTP3!$D$3*H507/k_n</f>
        <v/>
      </c>
      <c r="U507">
        <f>N507-G507*LTP3!$D$4/k_n</f>
        <v/>
      </c>
      <c r="V507">
        <f>O507-H507*LTP3!$D$4/k_n</f>
        <v/>
      </c>
      <c r="W507">
        <f>((LTP3!$D$5)*((P507)*(Q507)-(R507)*(R507))-(S507)*((S507)*(Q507)-(R507)*(T507))+(T507)*((S507)*(R507)-(P507)*(T507)))</f>
        <v/>
      </c>
      <c r="X507">
        <f>IF(ABS(W507)&gt;1E-12,((LTP3!$D$6)*((P507)*(Q507)-(R507)*(R507))-(S507)*((U507)*(Q507)-(R507)*(V507))+(T507)*((U507)*(R507)-(P507)*(V507)))/W507,0)</f>
        <v/>
      </c>
      <c r="Y507">
        <f>IF(ABS(W507)&gt;1E-12,((LTP3!$D$5)*((U507)*(Q507)-(R507)*(V507))-(LTP3!$D$6)*((S507)*(Q507)-(R507)*(T507))+(T507)*((S507)*(V507)-(U507)*(T507)))/W507,0)</f>
        <v/>
      </c>
      <c r="Z507">
        <f>IF(ABS(W507)&gt;1E-12,((LTP3!$D$5)*((P507)*(V507)-(U507)*(R507))-(S507)*((S507)*(V507)-(U507)*(T507))+(LTP3!$D$6)*((S507)*(R507)-(P507)*(T507)))/W507,0)</f>
        <v/>
      </c>
      <c r="AA507">
        <f>LTP3!$D$7-X507*LTP3!$D$6-Y507*U507-Z507*V507</f>
        <v/>
      </c>
      <c r="AB507">
        <f>IF(AND(F507,ABS(W507)&gt;1E-12,Y507&gt;0,Z507&gt;0),AA507,1E+300)</f>
        <v/>
      </c>
    </row>
    <row r="508">
      <c r="A508">
        <f>$B$3+$B$5*8</f>
        <v/>
      </c>
      <c r="B508">
        <f>$B$3+$B$5*8</f>
        <v/>
      </c>
      <c r="C508">
        <f>SUMPRODUCT(Calc!$K$3:$K$22*(Calc!$G$3:$G$22&lt;=A508))</f>
        <v/>
      </c>
      <c r="D508">
        <f>SUMPRODUCT(Calc!$K$3:$K$22*(Calc!$G$3:$G$22&gt;A508)*(Calc!$G$3:$G$22&lt;B508))</f>
        <v/>
      </c>
      <c r="E508">
        <f>SUMPRODUCT(Calc!$K$3:$K$22*(Calc!$G$3:$G$22&gt;=B508))</f>
        <v/>
      </c>
      <c r="F508">
        <f>AND(k_n&gt;=5,B508&gt;A508+1E-9,C508&gt;=2,D508&gt;=1,E508&gt;=2)</f>
        <v/>
      </c>
      <c r="G508">
        <f>SUMPRODUCT(Calc!$K$3:$K$22*(Calc!$G$3:$G$22&gt;A508)*(Calc!$G$3:$G$22-A508))</f>
        <v/>
      </c>
      <c r="H508">
        <f>SUMPRODUCT(Calc!$K$3:$K$22*(Calc!$G$3:$G$22&gt;B508)*(Calc!$G$3:$G$22-B508))</f>
        <v/>
      </c>
      <c r="I508">
        <f>SUMPRODUCT(Calc!$K$3:$K$22*(Calc!$G$3:$G$22&gt;A508)*(Calc!$G$3:$G$22-A508)^2)</f>
        <v/>
      </c>
      <c r="J508">
        <f>SUMPRODUCT(Calc!$K$3:$K$22*(Calc!$G$3:$G$22&gt;B508)*(Calc!$G$3:$G$22-B508)^2)</f>
        <v/>
      </c>
      <c r="K508">
        <f>SUMPRODUCT(Calc!$K$3:$K$22*(Calc!$G$3:$G$22&gt;A508)*(Calc!$G$3:$G$22-A508)*(Calc!$G$3:$G$22&gt;B508)*(Calc!$G$3:$G$22-B508))</f>
        <v/>
      </c>
      <c r="L508">
        <f>SUMPRODUCT(Calc!$K$3:$K$22*(Calc!$G$3:$G$22&gt;A508)*(Calc!$G$3:$G$22-A508)*Calc!$G$3:$G$22)</f>
        <v/>
      </c>
      <c r="M508">
        <f>SUMPRODUCT(Calc!$K$3:$K$22*(Calc!$G$3:$G$22&gt;B508)*(Calc!$G$3:$G$22-B508)*Calc!$G$3:$G$22)</f>
        <v/>
      </c>
      <c r="N508">
        <f>SUMPRODUCT(Calc!$K$3:$K$22*(Calc!$G$3:$G$22&gt;A508)*(Calc!$G$3:$G$22-A508)*Calc!$I$3:$I$22)</f>
        <v/>
      </c>
      <c r="O508">
        <f>SUMPRODUCT(Calc!$K$3:$K$22*(Calc!$G$3:$G$22&gt;B508)*(Calc!$G$3:$G$22-B508)*Calc!$I$3:$I$22)</f>
        <v/>
      </c>
      <c r="P508">
        <f>I508-G508^2/k_n</f>
        <v/>
      </c>
      <c r="Q508">
        <f>J508-H508^2/k_n</f>
        <v/>
      </c>
      <c r="R508">
        <f>K508-G508*H508/k_n</f>
        <v/>
      </c>
      <c r="S508">
        <f>L508-LTP3!$D$3*G508/k_n</f>
        <v/>
      </c>
      <c r="T508">
        <f>M508-LTP3!$D$3*H508/k_n</f>
        <v/>
      </c>
      <c r="U508">
        <f>N508-G508*LTP3!$D$4/k_n</f>
        <v/>
      </c>
      <c r="V508">
        <f>O508-H508*LTP3!$D$4/k_n</f>
        <v/>
      </c>
      <c r="W508">
        <f>((LTP3!$D$5)*((P508)*(Q508)-(R508)*(R508))-(S508)*((S508)*(Q508)-(R508)*(T508))+(T508)*((S508)*(R508)-(P508)*(T508)))</f>
        <v/>
      </c>
      <c r="X508">
        <f>IF(ABS(W508)&gt;1E-12,((LTP3!$D$6)*((P508)*(Q508)-(R508)*(R508))-(S508)*((U508)*(Q508)-(R508)*(V508))+(T508)*((U508)*(R508)-(P508)*(V508)))/W508,0)</f>
        <v/>
      </c>
      <c r="Y508">
        <f>IF(ABS(W508)&gt;1E-12,((LTP3!$D$5)*((U508)*(Q508)-(R508)*(V508))-(LTP3!$D$6)*((S508)*(Q508)-(R508)*(T508))+(T508)*((S508)*(V508)-(U508)*(T508)))/W508,0)</f>
        <v/>
      </c>
      <c r="Z508">
        <f>IF(ABS(W508)&gt;1E-12,((LTP3!$D$5)*((P508)*(V508)-(U508)*(R508))-(S508)*((S508)*(V508)-(U508)*(T508))+(LTP3!$D$6)*((S508)*(R508)-(P508)*(T508)))/W508,0)</f>
        <v/>
      </c>
      <c r="AA508">
        <f>LTP3!$D$7-X508*LTP3!$D$6-Y508*U508-Z508*V508</f>
        <v/>
      </c>
      <c r="AB508">
        <f>IF(AND(F508,ABS(W508)&gt;1E-12,Y508&gt;0,Z508&gt;0),AA508,1E+300)</f>
        <v/>
      </c>
    </row>
    <row r="509">
      <c r="A509">
        <f>$B$3+$B$5*8</f>
        <v/>
      </c>
      <c r="B509">
        <f>$B$3+$B$5*9</f>
        <v/>
      </c>
      <c r="C509">
        <f>SUMPRODUCT(Calc!$K$3:$K$22*(Calc!$G$3:$G$22&lt;=A509))</f>
        <v/>
      </c>
      <c r="D509">
        <f>SUMPRODUCT(Calc!$K$3:$K$22*(Calc!$G$3:$G$22&gt;A509)*(Calc!$G$3:$G$22&lt;B509))</f>
        <v/>
      </c>
      <c r="E509">
        <f>SUMPRODUCT(Calc!$K$3:$K$22*(Calc!$G$3:$G$22&gt;=B509))</f>
        <v/>
      </c>
      <c r="F509">
        <f>AND(k_n&gt;=5,B509&gt;A509+1E-9,C509&gt;=2,D509&gt;=1,E509&gt;=2)</f>
        <v/>
      </c>
      <c r="G509">
        <f>SUMPRODUCT(Calc!$K$3:$K$22*(Calc!$G$3:$G$22&gt;A509)*(Calc!$G$3:$G$22-A509))</f>
        <v/>
      </c>
      <c r="H509">
        <f>SUMPRODUCT(Calc!$K$3:$K$22*(Calc!$G$3:$G$22&gt;B509)*(Calc!$G$3:$G$22-B509))</f>
        <v/>
      </c>
      <c r="I509">
        <f>SUMPRODUCT(Calc!$K$3:$K$22*(Calc!$G$3:$G$22&gt;A509)*(Calc!$G$3:$G$22-A509)^2)</f>
        <v/>
      </c>
      <c r="J509">
        <f>SUMPRODUCT(Calc!$K$3:$K$22*(Calc!$G$3:$G$22&gt;B509)*(Calc!$G$3:$G$22-B509)^2)</f>
        <v/>
      </c>
      <c r="K509">
        <f>SUMPRODUCT(Calc!$K$3:$K$22*(Calc!$G$3:$G$22&gt;A509)*(Calc!$G$3:$G$22-A509)*(Calc!$G$3:$G$22&gt;B509)*(Calc!$G$3:$G$22-B509))</f>
        <v/>
      </c>
      <c r="L509">
        <f>SUMPRODUCT(Calc!$K$3:$K$22*(Calc!$G$3:$G$22&gt;A509)*(Calc!$G$3:$G$22-A509)*Calc!$G$3:$G$22)</f>
        <v/>
      </c>
      <c r="M509">
        <f>SUMPRODUCT(Calc!$K$3:$K$22*(Calc!$G$3:$G$22&gt;B509)*(Calc!$G$3:$G$22-B509)*Calc!$G$3:$G$22)</f>
        <v/>
      </c>
      <c r="N509">
        <f>SUMPRODUCT(Calc!$K$3:$K$22*(Calc!$G$3:$G$22&gt;A509)*(Calc!$G$3:$G$22-A509)*Calc!$I$3:$I$22)</f>
        <v/>
      </c>
      <c r="O509">
        <f>SUMPRODUCT(Calc!$K$3:$K$22*(Calc!$G$3:$G$22&gt;B509)*(Calc!$G$3:$G$22-B509)*Calc!$I$3:$I$22)</f>
        <v/>
      </c>
      <c r="P509">
        <f>I509-G509^2/k_n</f>
        <v/>
      </c>
      <c r="Q509">
        <f>J509-H509^2/k_n</f>
        <v/>
      </c>
      <c r="R509">
        <f>K509-G509*H509/k_n</f>
        <v/>
      </c>
      <c r="S509">
        <f>L509-LTP3!$D$3*G509/k_n</f>
        <v/>
      </c>
      <c r="T509">
        <f>M509-LTP3!$D$3*H509/k_n</f>
        <v/>
      </c>
      <c r="U509">
        <f>N509-G509*LTP3!$D$4/k_n</f>
        <v/>
      </c>
      <c r="V509">
        <f>O509-H509*LTP3!$D$4/k_n</f>
        <v/>
      </c>
      <c r="W509">
        <f>((LTP3!$D$5)*((P509)*(Q509)-(R509)*(R509))-(S509)*((S509)*(Q509)-(R509)*(T509))+(T509)*((S509)*(R509)-(P509)*(T509)))</f>
        <v/>
      </c>
      <c r="X509">
        <f>IF(ABS(W509)&gt;1E-12,((LTP3!$D$6)*((P509)*(Q509)-(R509)*(R509))-(S509)*((U509)*(Q509)-(R509)*(V509))+(T509)*((U509)*(R509)-(P509)*(V509)))/W509,0)</f>
        <v/>
      </c>
      <c r="Y509">
        <f>IF(ABS(W509)&gt;1E-12,((LTP3!$D$5)*((U509)*(Q509)-(R509)*(V509))-(LTP3!$D$6)*((S509)*(Q509)-(R509)*(T509))+(T509)*((S509)*(V509)-(U509)*(T509)))/W509,0)</f>
        <v/>
      </c>
      <c r="Z509">
        <f>IF(ABS(W509)&gt;1E-12,((LTP3!$D$5)*((P509)*(V509)-(U509)*(R509))-(S509)*((S509)*(V509)-(U509)*(T509))+(LTP3!$D$6)*((S509)*(R509)-(P509)*(T509)))/W509,0)</f>
        <v/>
      </c>
      <c r="AA509">
        <f>LTP3!$D$7-X509*LTP3!$D$6-Y509*U509-Z509*V509</f>
        <v/>
      </c>
      <c r="AB509">
        <f>IF(AND(F509,ABS(W509)&gt;1E-12,Y509&gt;0,Z509&gt;0),AA509,1E+300)</f>
        <v/>
      </c>
    </row>
    <row r="510">
      <c r="A510">
        <f>$B$3+$B$5*8</f>
        <v/>
      </c>
      <c r="B510">
        <f>$B$3+$B$5*10</f>
        <v/>
      </c>
      <c r="C510">
        <f>SUMPRODUCT(Calc!$K$3:$K$22*(Calc!$G$3:$G$22&lt;=A510))</f>
        <v/>
      </c>
      <c r="D510">
        <f>SUMPRODUCT(Calc!$K$3:$K$22*(Calc!$G$3:$G$22&gt;A510)*(Calc!$G$3:$G$22&lt;B510))</f>
        <v/>
      </c>
      <c r="E510">
        <f>SUMPRODUCT(Calc!$K$3:$K$22*(Calc!$G$3:$G$22&gt;=B510))</f>
        <v/>
      </c>
      <c r="F510">
        <f>AND(k_n&gt;=5,B510&gt;A510+1E-9,C510&gt;=2,D510&gt;=1,E510&gt;=2)</f>
        <v/>
      </c>
      <c r="G510">
        <f>SUMPRODUCT(Calc!$K$3:$K$22*(Calc!$G$3:$G$22&gt;A510)*(Calc!$G$3:$G$22-A510))</f>
        <v/>
      </c>
      <c r="H510">
        <f>SUMPRODUCT(Calc!$K$3:$K$22*(Calc!$G$3:$G$22&gt;B510)*(Calc!$G$3:$G$22-B510))</f>
        <v/>
      </c>
      <c r="I510">
        <f>SUMPRODUCT(Calc!$K$3:$K$22*(Calc!$G$3:$G$22&gt;A510)*(Calc!$G$3:$G$22-A510)^2)</f>
        <v/>
      </c>
      <c r="J510">
        <f>SUMPRODUCT(Calc!$K$3:$K$22*(Calc!$G$3:$G$22&gt;B510)*(Calc!$G$3:$G$22-B510)^2)</f>
        <v/>
      </c>
      <c r="K510">
        <f>SUMPRODUCT(Calc!$K$3:$K$22*(Calc!$G$3:$G$22&gt;A510)*(Calc!$G$3:$G$22-A510)*(Calc!$G$3:$G$22&gt;B510)*(Calc!$G$3:$G$22-B510))</f>
        <v/>
      </c>
      <c r="L510">
        <f>SUMPRODUCT(Calc!$K$3:$K$22*(Calc!$G$3:$G$22&gt;A510)*(Calc!$G$3:$G$22-A510)*Calc!$G$3:$G$22)</f>
        <v/>
      </c>
      <c r="M510">
        <f>SUMPRODUCT(Calc!$K$3:$K$22*(Calc!$G$3:$G$22&gt;B510)*(Calc!$G$3:$G$22-B510)*Calc!$G$3:$G$22)</f>
        <v/>
      </c>
      <c r="N510">
        <f>SUMPRODUCT(Calc!$K$3:$K$22*(Calc!$G$3:$G$22&gt;A510)*(Calc!$G$3:$G$22-A510)*Calc!$I$3:$I$22)</f>
        <v/>
      </c>
      <c r="O510">
        <f>SUMPRODUCT(Calc!$K$3:$K$22*(Calc!$G$3:$G$22&gt;B510)*(Calc!$G$3:$G$22-B510)*Calc!$I$3:$I$22)</f>
        <v/>
      </c>
      <c r="P510">
        <f>I510-G510^2/k_n</f>
        <v/>
      </c>
      <c r="Q510">
        <f>J510-H510^2/k_n</f>
        <v/>
      </c>
      <c r="R510">
        <f>K510-G510*H510/k_n</f>
        <v/>
      </c>
      <c r="S510">
        <f>L510-LTP3!$D$3*G510/k_n</f>
        <v/>
      </c>
      <c r="T510">
        <f>M510-LTP3!$D$3*H510/k_n</f>
        <v/>
      </c>
      <c r="U510">
        <f>N510-G510*LTP3!$D$4/k_n</f>
        <v/>
      </c>
      <c r="V510">
        <f>O510-H510*LTP3!$D$4/k_n</f>
        <v/>
      </c>
      <c r="W510">
        <f>((LTP3!$D$5)*((P510)*(Q510)-(R510)*(R510))-(S510)*((S510)*(Q510)-(R510)*(T510))+(T510)*((S510)*(R510)-(P510)*(T510)))</f>
        <v/>
      </c>
      <c r="X510">
        <f>IF(ABS(W510)&gt;1E-12,((LTP3!$D$6)*((P510)*(Q510)-(R510)*(R510))-(S510)*((U510)*(Q510)-(R510)*(V510))+(T510)*((U510)*(R510)-(P510)*(V510)))/W510,0)</f>
        <v/>
      </c>
      <c r="Y510">
        <f>IF(ABS(W510)&gt;1E-12,((LTP3!$D$5)*((U510)*(Q510)-(R510)*(V510))-(LTP3!$D$6)*((S510)*(Q510)-(R510)*(T510))+(T510)*((S510)*(V510)-(U510)*(T510)))/W510,0)</f>
        <v/>
      </c>
      <c r="Z510">
        <f>IF(ABS(W510)&gt;1E-12,((LTP3!$D$5)*((P510)*(V510)-(U510)*(R510))-(S510)*((S510)*(V510)-(U510)*(T510))+(LTP3!$D$6)*((S510)*(R510)-(P510)*(T510)))/W510,0)</f>
        <v/>
      </c>
      <c r="AA510">
        <f>LTP3!$D$7-X510*LTP3!$D$6-Y510*U510-Z510*V510</f>
        <v/>
      </c>
      <c r="AB510">
        <f>IF(AND(F510,ABS(W510)&gt;1E-12,Y510&gt;0,Z510&gt;0),AA510,1E+300)</f>
        <v/>
      </c>
    </row>
    <row r="511">
      <c r="A511">
        <f>$B$3+$B$5*8</f>
        <v/>
      </c>
      <c r="B511">
        <f>$B$3+$B$5*11</f>
        <v/>
      </c>
      <c r="C511">
        <f>SUMPRODUCT(Calc!$K$3:$K$22*(Calc!$G$3:$G$22&lt;=A511))</f>
        <v/>
      </c>
      <c r="D511">
        <f>SUMPRODUCT(Calc!$K$3:$K$22*(Calc!$G$3:$G$22&gt;A511)*(Calc!$G$3:$G$22&lt;B511))</f>
        <v/>
      </c>
      <c r="E511">
        <f>SUMPRODUCT(Calc!$K$3:$K$22*(Calc!$G$3:$G$22&gt;=B511))</f>
        <v/>
      </c>
      <c r="F511">
        <f>AND(k_n&gt;=5,B511&gt;A511+1E-9,C511&gt;=2,D511&gt;=1,E511&gt;=2)</f>
        <v/>
      </c>
      <c r="G511">
        <f>SUMPRODUCT(Calc!$K$3:$K$22*(Calc!$G$3:$G$22&gt;A511)*(Calc!$G$3:$G$22-A511))</f>
        <v/>
      </c>
      <c r="H511">
        <f>SUMPRODUCT(Calc!$K$3:$K$22*(Calc!$G$3:$G$22&gt;B511)*(Calc!$G$3:$G$22-B511))</f>
        <v/>
      </c>
      <c r="I511">
        <f>SUMPRODUCT(Calc!$K$3:$K$22*(Calc!$G$3:$G$22&gt;A511)*(Calc!$G$3:$G$22-A511)^2)</f>
        <v/>
      </c>
      <c r="J511">
        <f>SUMPRODUCT(Calc!$K$3:$K$22*(Calc!$G$3:$G$22&gt;B511)*(Calc!$G$3:$G$22-B511)^2)</f>
        <v/>
      </c>
      <c r="K511">
        <f>SUMPRODUCT(Calc!$K$3:$K$22*(Calc!$G$3:$G$22&gt;A511)*(Calc!$G$3:$G$22-A511)*(Calc!$G$3:$G$22&gt;B511)*(Calc!$G$3:$G$22-B511))</f>
        <v/>
      </c>
      <c r="L511">
        <f>SUMPRODUCT(Calc!$K$3:$K$22*(Calc!$G$3:$G$22&gt;A511)*(Calc!$G$3:$G$22-A511)*Calc!$G$3:$G$22)</f>
        <v/>
      </c>
      <c r="M511">
        <f>SUMPRODUCT(Calc!$K$3:$K$22*(Calc!$G$3:$G$22&gt;B511)*(Calc!$G$3:$G$22-B511)*Calc!$G$3:$G$22)</f>
        <v/>
      </c>
      <c r="N511">
        <f>SUMPRODUCT(Calc!$K$3:$K$22*(Calc!$G$3:$G$22&gt;A511)*(Calc!$G$3:$G$22-A511)*Calc!$I$3:$I$22)</f>
        <v/>
      </c>
      <c r="O511">
        <f>SUMPRODUCT(Calc!$K$3:$K$22*(Calc!$G$3:$G$22&gt;B511)*(Calc!$G$3:$G$22-B511)*Calc!$I$3:$I$22)</f>
        <v/>
      </c>
      <c r="P511">
        <f>I511-G511^2/k_n</f>
        <v/>
      </c>
      <c r="Q511">
        <f>J511-H511^2/k_n</f>
        <v/>
      </c>
      <c r="R511">
        <f>K511-G511*H511/k_n</f>
        <v/>
      </c>
      <c r="S511">
        <f>L511-LTP3!$D$3*G511/k_n</f>
        <v/>
      </c>
      <c r="T511">
        <f>M511-LTP3!$D$3*H511/k_n</f>
        <v/>
      </c>
      <c r="U511">
        <f>N511-G511*LTP3!$D$4/k_n</f>
        <v/>
      </c>
      <c r="V511">
        <f>O511-H511*LTP3!$D$4/k_n</f>
        <v/>
      </c>
      <c r="W511">
        <f>((LTP3!$D$5)*((P511)*(Q511)-(R511)*(R511))-(S511)*((S511)*(Q511)-(R511)*(T511))+(T511)*((S511)*(R511)-(P511)*(T511)))</f>
        <v/>
      </c>
      <c r="X511">
        <f>IF(ABS(W511)&gt;1E-12,((LTP3!$D$6)*((P511)*(Q511)-(R511)*(R511))-(S511)*((U511)*(Q511)-(R511)*(V511))+(T511)*((U511)*(R511)-(P511)*(V511)))/W511,0)</f>
        <v/>
      </c>
      <c r="Y511">
        <f>IF(ABS(W511)&gt;1E-12,((LTP3!$D$5)*((U511)*(Q511)-(R511)*(V511))-(LTP3!$D$6)*((S511)*(Q511)-(R511)*(T511))+(T511)*((S511)*(V511)-(U511)*(T511)))/W511,0)</f>
        <v/>
      </c>
      <c r="Z511">
        <f>IF(ABS(W511)&gt;1E-12,((LTP3!$D$5)*((P511)*(V511)-(U511)*(R511))-(S511)*((S511)*(V511)-(U511)*(T511))+(LTP3!$D$6)*((S511)*(R511)-(P511)*(T511)))/W511,0)</f>
        <v/>
      </c>
      <c r="AA511">
        <f>LTP3!$D$7-X511*LTP3!$D$6-Y511*U511-Z511*V511</f>
        <v/>
      </c>
      <c r="AB511">
        <f>IF(AND(F511,ABS(W511)&gt;1E-12,Y511&gt;0,Z511&gt;0),AA511,1E+300)</f>
        <v/>
      </c>
    </row>
    <row r="512">
      <c r="A512">
        <f>$B$3+$B$5*8</f>
        <v/>
      </c>
      <c r="B512">
        <f>$B$3+$B$5*12</f>
        <v/>
      </c>
      <c r="C512">
        <f>SUMPRODUCT(Calc!$K$3:$K$22*(Calc!$G$3:$G$22&lt;=A512))</f>
        <v/>
      </c>
      <c r="D512">
        <f>SUMPRODUCT(Calc!$K$3:$K$22*(Calc!$G$3:$G$22&gt;A512)*(Calc!$G$3:$G$22&lt;B512))</f>
        <v/>
      </c>
      <c r="E512">
        <f>SUMPRODUCT(Calc!$K$3:$K$22*(Calc!$G$3:$G$22&gt;=B512))</f>
        <v/>
      </c>
      <c r="F512">
        <f>AND(k_n&gt;=5,B512&gt;A512+1E-9,C512&gt;=2,D512&gt;=1,E512&gt;=2)</f>
        <v/>
      </c>
      <c r="G512">
        <f>SUMPRODUCT(Calc!$K$3:$K$22*(Calc!$G$3:$G$22&gt;A512)*(Calc!$G$3:$G$22-A512))</f>
        <v/>
      </c>
      <c r="H512">
        <f>SUMPRODUCT(Calc!$K$3:$K$22*(Calc!$G$3:$G$22&gt;B512)*(Calc!$G$3:$G$22-B512))</f>
        <v/>
      </c>
      <c r="I512">
        <f>SUMPRODUCT(Calc!$K$3:$K$22*(Calc!$G$3:$G$22&gt;A512)*(Calc!$G$3:$G$22-A512)^2)</f>
        <v/>
      </c>
      <c r="J512">
        <f>SUMPRODUCT(Calc!$K$3:$K$22*(Calc!$G$3:$G$22&gt;B512)*(Calc!$G$3:$G$22-B512)^2)</f>
        <v/>
      </c>
      <c r="K512">
        <f>SUMPRODUCT(Calc!$K$3:$K$22*(Calc!$G$3:$G$22&gt;A512)*(Calc!$G$3:$G$22-A512)*(Calc!$G$3:$G$22&gt;B512)*(Calc!$G$3:$G$22-B512))</f>
        <v/>
      </c>
      <c r="L512">
        <f>SUMPRODUCT(Calc!$K$3:$K$22*(Calc!$G$3:$G$22&gt;A512)*(Calc!$G$3:$G$22-A512)*Calc!$G$3:$G$22)</f>
        <v/>
      </c>
      <c r="M512">
        <f>SUMPRODUCT(Calc!$K$3:$K$22*(Calc!$G$3:$G$22&gt;B512)*(Calc!$G$3:$G$22-B512)*Calc!$G$3:$G$22)</f>
        <v/>
      </c>
      <c r="N512">
        <f>SUMPRODUCT(Calc!$K$3:$K$22*(Calc!$G$3:$G$22&gt;A512)*(Calc!$G$3:$G$22-A512)*Calc!$I$3:$I$22)</f>
        <v/>
      </c>
      <c r="O512">
        <f>SUMPRODUCT(Calc!$K$3:$K$22*(Calc!$G$3:$G$22&gt;B512)*(Calc!$G$3:$G$22-B512)*Calc!$I$3:$I$22)</f>
        <v/>
      </c>
      <c r="P512">
        <f>I512-G512^2/k_n</f>
        <v/>
      </c>
      <c r="Q512">
        <f>J512-H512^2/k_n</f>
        <v/>
      </c>
      <c r="R512">
        <f>K512-G512*H512/k_n</f>
        <v/>
      </c>
      <c r="S512">
        <f>L512-LTP3!$D$3*G512/k_n</f>
        <v/>
      </c>
      <c r="T512">
        <f>M512-LTP3!$D$3*H512/k_n</f>
        <v/>
      </c>
      <c r="U512">
        <f>N512-G512*LTP3!$D$4/k_n</f>
        <v/>
      </c>
      <c r="V512">
        <f>O512-H512*LTP3!$D$4/k_n</f>
        <v/>
      </c>
      <c r="W512">
        <f>((LTP3!$D$5)*((P512)*(Q512)-(R512)*(R512))-(S512)*((S512)*(Q512)-(R512)*(T512))+(T512)*((S512)*(R512)-(P512)*(T512)))</f>
        <v/>
      </c>
      <c r="X512">
        <f>IF(ABS(W512)&gt;1E-12,((LTP3!$D$6)*((P512)*(Q512)-(R512)*(R512))-(S512)*((U512)*(Q512)-(R512)*(V512))+(T512)*((U512)*(R512)-(P512)*(V512)))/W512,0)</f>
        <v/>
      </c>
      <c r="Y512">
        <f>IF(ABS(W512)&gt;1E-12,((LTP3!$D$5)*((U512)*(Q512)-(R512)*(V512))-(LTP3!$D$6)*((S512)*(Q512)-(R512)*(T512))+(T512)*((S512)*(V512)-(U512)*(T512)))/W512,0)</f>
        <v/>
      </c>
      <c r="Z512">
        <f>IF(ABS(W512)&gt;1E-12,((LTP3!$D$5)*((P512)*(V512)-(U512)*(R512))-(S512)*((S512)*(V512)-(U512)*(T512))+(LTP3!$D$6)*((S512)*(R512)-(P512)*(T512)))/W512,0)</f>
        <v/>
      </c>
      <c r="AA512">
        <f>LTP3!$D$7-X512*LTP3!$D$6-Y512*U512-Z512*V512</f>
        <v/>
      </c>
      <c r="AB512">
        <f>IF(AND(F512,ABS(W512)&gt;1E-12,Y512&gt;0,Z512&gt;0),AA512,1E+300)</f>
        <v/>
      </c>
    </row>
    <row r="513">
      <c r="A513">
        <f>$B$3+$B$5*8</f>
        <v/>
      </c>
      <c r="B513">
        <f>$B$3+$B$5*13</f>
        <v/>
      </c>
      <c r="C513">
        <f>SUMPRODUCT(Calc!$K$3:$K$22*(Calc!$G$3:$G$22&lt;=A513))</f>
        <v/>
      </c>
      <c r="D513">
        <f>SUMPRODUCT(Calc!$K$3:$K$22*(Calc!$G$3:$G$22&gt;A513)*(Calc!$G$3:$G$22&lt;B513))</f>
        <v/>
      </c>
      <c r="E513">
        <f>SUMPRODUCT(Calc!$K$3:$K$22*(Calc!$G$3:$G$22&gt;=B513))</f>
        <v/>
      </c>
      <c r="F513">
        <f>AND(k_n&gt;=5,B513&gt;A513+1E-9,C513&gt;=2,D513&gt;=1,E513&gt;=2)</f>
        <v/>
      </c>
      <c r="G513">
        <f>SUMPRODUCT(Calc!$K$3:$K$22*(Calc!$G$3:$G$22&gt;A513)*(Calc!$G$3:$G$22-A513))</f>
        <v/>
      </c>
      <c r="H513">
        <f>SUMPRODUCT(Calc!$K$3:$K$22*(Calc!$G$3:$G$22&gt;B513)*(Calc!$G$3:$G$22-B513))</f>
        <v/>
      </c>
      <c r="I513">
        <f>SUMPRODUCT(Calc!$K$3:$K$22*(Calc!$G$3:$G$22&gt;A513)*(Calc!$G$3:$G$22-A513)^2)</f>
        <v/>
      </c>
      <c r="J513">
        <f>SUMPRODUCT(Calc!$K$3:$K$22*(Calc!$G$3:$G$22&gt;B513)*(Calc!$G$3:$G$22-B513)^2)</f>
        <v/>
      </c>
      <c r="K513">
        <f>SUMPRODUCT(Calc!$K$3:$K$22*(Calc!$G$3:$G$22&gt;A513)*(Calc!$G$3:$G$22-A513)*(Calc!$G$3:$G$22&gt;B513)*(Calc!$G$3:$G$22-B513))</f>
        <v/>
      </c>
      <c r="L513">
        <f>SUMPRODUCT(Calc!$K$3:$K$22*(Calc!$G$3:$G$22&gt;A513)*(Calc!$G$3:$G$22-A513)*Calc!$G$3:$G$22)</f>
        <v/>
      </c>
      <c r="M513">
        <f>SUMPRODUCT(Calc!$K$3:$K$22*(Calc!$G$3:$G$22&gt;B513)*(Calc!$G$3:$G$22-B513)*Calc!$G$3:$G$22)</f>
        <v/>
      </c>
      <c r="N513">
        <f>SUMPRODUCT(Calc!$K$3:$K$22*(Calc!$G$3:$G$22&gt;A513)*(Calc!$G$3:$G$22-A513)*Calc!$I$3:$I$22)</f>
        <v/>
      </c>
      <c r="O513">
        <f>SUMPRODUCT(Calc!$K$3:$K$22*(Calc!$G$3:$G$22&gt;B513)*(Calc!$G$3:$G$22-B513)*Calc!$I$3:$I$22)</f>
        <v/>
      </c>
      <c r="P513">
        <f>I513-G513^2/k_n</f>
        <v/>
      </c>
      <c r="Q513">
        <f>J513-H513^2/k_n</f>
        <v/>
      </c>
      <c r="R513">
        <f>K513-G513*H513/k_n</f>
        <v/>
      </c>
      <c r="S513">
        <f>L513-LTP3!$D$3*G513/k_n</f>
        <v/>
      </c>
      <c r="T513">
        <f>M513-LTP3!$D$3*H513/k_n</f>
        <v/>
      </c>
      <c r="U513">
        <f>N513-G513*LTP3!$D$4/k_n</f>
        <v/>
      </c>
      <c r="V513">
        <f>O513-H513*LTP3!$D$4/k_n</f>
        <v/>
      </c>
      <c r="W513">
        <f>((LTP3!$D$5)*((P513)*(Q513)-(R513)*(R513))-(S513)*((S513)*(Q513)-(R513)*(T513))+(T513)*((S513)*(R513)-(P513)*(T513)))</f>
        <v/>
      </c>
      <c r="X513">
        <f>IF(ABS(W513)&gt;1E-12,((LTP3!$D$6)*((P513)*(Q513)-(R513)*(R513))-(S513)*((U513)*(Q513)-(R513)*(V513))+(T513)*((U513)*(R513)-(P513)*(V513)))/W513,0)</f>
        <v/>
      </c>
      <c r="Y513">
        <f>IF(ABS(W513)&gt;1E-12,((LTP3!$D$5)*((U513)*(Q513)-(R513)*(V513))-(LTP3!$D$6)*((S513)*(Q513)-(R513)*(T513))+(T513)*((S513)*(V513)-(U513)*(T513)))/W513,0)</f>
        <v/>
      </c>
      <c r="Z513">
        <f>IF(ABS(W513)&gt;1E-12,((LTP3!$D$5)*((P513)*(V513)-(U513)*(R513))-(S513)*((S513)*(V513)-(U513)*(T513))+(LTP3!$D$6)*((S513)*(R513)-(P513)*(T513)))/W513,0)</f>
        <v/>
      </c>
      <c r="AA513">
        <f>LTP3!$D$7-X513*LTP3!$D$6-Y513*U513-Z513*V513</f>
        <v/>
      </c>
      <c r="AB513">
        <f>IF(AND(F513,ABS(W513)&gt;1E-12,Y513&gt;0,Z513&gt;0),AA513,1E+300)</f>
        <v/>
      </c>
    </row>
    <row r="514">
      <c r="A514">
        <f>$B$3+$B$5*8</f>
        <v/>
      </c>
      <c r="B514">
        <f>$B$3+$B$5*14</f>
        <v/>
      </c>
      <c r="C514">
        <f>SUMPRODUCT(Calc!$K$3:$K$22*(Calc!$G$3:$G$22&lt;=A514))</f>
        <v/>
      </c>
      <c r="D514">
        <f>SUMPRODUCT(Calc!$K$3:$K$22*(Calc!$G$3:$G$22&gt;A514)*(Calc!$G$3:$G$22&lt;B514))</f>
        <v/>
      </c>
      <c r="E514">
        <f>SUMPRODUCT(Calc!$K$3:$K$22*(Calc!$G$3:$G$22&gt;=B514))</f>
        <v/>
      </c>
      <c r="F514">
        <f>AND(k_n&gt;=5,B514&gt;A514+1E-9,C514&gt;=2,D514&gt;=1,E514&gt;=2)</f>
        <v/>
      </c>
      <c r="G514">
        <f>SUMPRODUCT(Calc!$K$3:$K$22*(Calc!$G$3:$G$22&gt;A514)*(Calc!$G$3:$G$22-A514))</f>
        <v/>
      </c>
      <c r="H514">
        <f>SUMPRODUCT(Calc!$K$3:$K$22*(Calc!$G$3:$G$22&gt;B514)*(Calc!$G$3:$G$22-B514))</f>
        <v/>
      </c>
      <c r="I514">
        <f>SUMPRODUCT(Calc!$K$3:$K$22*(Calc!$G$3:$G$22&gt;A514)*(Calc!$G$3:$G$22-A514)^2)</f>
        <v/>
      </c>
      <c r="J514">
        <f>SUMPRODUCT(Calc!$K$3:$K$22*(Calc!$G$3:$G$22&gt;B514)*(Calc!$G$3:$G$22-B514)^2)</f>
        <v/>
      </c>
      <c r="K514">
        <f>SUMPRODUCT(Calc!$K$3:$K$22*(Calc!$G$3:$G$22&gt;A514)*(Calc!$G$3:$G$22-A514)*(Calc!$G$3:$G$22&gt;B514)*(Calc!$G$3:$G$22-B514))</f>
        <v/>
      </c>
      <c r="L514">
        <f>SUMPRODUCT(Calc!$K$3:$K$22*(Calc!$G$3:$G$22&gt;A514)*(Calc!$G$3:$G$22-A514)*Calc!$G$3:$G$22)</f>
        <v/>
      </c>
      <c r="M514">
        <f>SUMPRODUCT(Calc!$K$3:$K$22*(Calc!$G$3:$G$22&gt;B514)*(Calc!$G$3:$G$22-B514)*Calc!$G$3:$G$22)</f>
        <v/>
      </c>
      <c r="N514">
        <f>SUMPRODUCT(Calc!$K$3:$K$22*(Calc!$G$3:$G$22&gt;A514)*(Calc!$G$3:$G$22-A514)*Calc!$I$3:$I$22)</f>
        <v/>
      </c>
      <c r="O514">
        <f>SUMPRODUCT(Calc!$K$3:$K$22*(Calc!$G$3:$G$22&gt;B514)*(Calc!$G$3:$G$22-B514)*Calc!$I$3:$I$22)</f>
        <v/>
      </c>
      <c r="P514">
        <f>I514-G514^2/k_n</f>
        <v/>
      </c>
      <c r="Q514">
        <f>J514-H514^2/k_n</f>
        <v/>
      </c>
      <c r="R514">
        <f>K514-G514*H514/k_n</f>
        <v/>
      </c>
      <c r="S514">
        <f>L514-LTP3!$D$3*G514/k_n</f>
        <v/>
      </c>
      <c r="T514">
        <f>M514-LTP3!$D$3*H514/k_n</f>
        <v/>
      </c>
      <c r="U514">
        <f>N514-G514*LTP3!$D$4/k_n</f>
        <v/>
      </c>
      <c r="V514">
        <f>O514-H514*LTP3!$D$4/k_n</f>
        <v/>
      </c>
      <c r="W514">
        <f>((LTP3!$D$5)*((P514)*(Q514)-(R514)*(R514))-(S514)*((S514)*(Q514)-(R514)*(T514))+(T514)*((S514)*(R514)-(P514)*(T514)))</f>
        <v/>
      </c>
      <c r="X514">
        <f>IF(ABS(W514)&gt;1E-12,((LTP3!$D$6)*((P514)*(Q514)-(R514)*(R514))-(S514)*((U514)*(Q514)-(R514)*(V514))+(T514)*((U514)*(R514)-(P514)*(V514)))/W514,0)</f>
        <v/>
      </c>
      <c r="Y514">
        <f>IF(ABS(W514)&gt;1E-12,((LTP3!$D$5)*((U514)*(Q514)-(R514)*(V514))-(LTP3!$D$6)*((S514)*(Q514)-(R514)*(T514))+(T514)*((S514)*(V514)-(U514)*(T514)))/W514,0)</f>
        <v/>
      </c>
      <c r="Z514">
        <f>IF(ABS(W514)&gt;1E-12,((LTP3!$D$5)*((P514)*(V514)-(U514)*(R514))-(S514)*((S514)*(V514)-(U514)*(T514))+(LTP3!$D$6)*((S514)*(R514)-(P514)*(T514)))/W514,0)</f>
        <v/>
      </c>
      <c r="AA514">
        <f>LTP3!$D$7-X514*LTP3!$D$6-Y514*U514-Z514*V514</f>
        <v/>
      </c>
      <c r="AB514">
        <f>IF(AND(F514,ABS(W514)&gt;1E-12,Y514&gt;0,Z514&gt;0),AA514,1E+300)</f>
        <v/>
      </c>
    </row>
    <row r="515">
      <c r="A515">
        <f>$B$3+$B$5*8</f>
        <v/>
      </c>
      <c r="B515">
        <f>$B$3+$B$5*15</f>
        <v/>
      </c>
      <c r="C515">
        <f>SUMPRODUCT(Calc!$K$3:$K$22*(Calc!$G$3:$G$22&lt;=A515))</f>
        <v/>
      </c>
      <c r="D515">
        <f>SUMPRODUCT(Calc!$K$3:$K$22*(Calc!$G$3:$G$22&gt;A515)*(Calc!$G$3:$G$22&lt;B515))</f>
        <v/>
      </c>
      <c r="E515">
        <f>SUMPRODUCT(Calc!$K$3:$K$22*(Calc!$G$3:$G$22&gt;=B515))</f>
        <v/>
      </c>
      <c r="F515">
        <f>AND(k_n&gt;=5,B515&gt;A515+1E-9,C515&gt;=2,D515&gt;=1,E515&gt;=2)</f>
        <v/>
      </c>
      <c r="G515">
        <f>SUMPRODUCT(Calc!$K$3:$K$22*(Calc!$G$3:$G$22&gt;A515)*(Calc!$G$3:$G$22-A515))</f>
        <v/>
      </c>
      <c r="H515">
        <f>SUMPRODUCT(Calc!$K$3:$K$22*(Calc!$G$3:$G$22&gt;B515)*(Calc!$G$3:$G$22-B515))</f>
        <v/>
      </c>
      <c r="I515">
        <f>SUMPRODUCT(Calc!$K$3:$K$22*(Calc!$G$3:$G$22&gt;A515)*(Calc!$G$3:$G$22-A515)^2)</f>
        <v/>
      </c>
      <c r="J515">
        <f>SUMPRODUCT(Calc!$K$3:$K$22*(Calc!$G$3:$G$22&gt;B515)*(Calc!$G$3:$G$22-B515)^2)</f>
        <v/>
      </c>
      <c r="K515">
        <f>SUMPRODUCT(Calc!$K$3:$K$22*(Calc!$G$3:$G$22&gt;A515)*(Calc!$G$3:$G$22-A515)*(Calc!$G$3:$G$22&gt;B515)*(Calc!$G$3:$G$22-B515))</f>
        <v/>
      </c>
      <c r="L515">
        <f>SUMPRODUCT(Calc!$K$3:$K$22*(Calc!$G$3:$G$22&gt;A515)*(Calc!$G$3:$G$22-A515)*Calc!$G$3:$G$22)</f>
        <v/>
      </c>
      <c r="M515">
        <f>SUMPRODUCT(Calc!$K$3:$K$22*(Calc!$G$3:$G$22&gt;B515)*(Calc!$G$3:$G$22-B515)*Calc!$G$3:$G$22)</f>
        <v/>
      </c>
      <c r="N515">
        <f>SUMPRODUCT(Calc!$K$3:$K$22*(Calc!$G$3:$G$22&gt;A515)*(Calc!$G$3:$G$22-A515)*Calc!$I$3:$I$22)</f>
        <v/>
      </c>
      <c r="O515">
        <f>SUMPRODUCT(Calc!$K$3:$K$22*(Calc!$G$3:$G$22&gt;B515)*(Calc!$G$3:$G$22-B515)*Calc!$I$3:$I$22)</f>
        <v/>
      </c>
      <c r="P515">
        <f>I515-G515^2/k_n</f>
        <v/>
      </c>
      <c r="Q515">
        <f>J515-H515^2/k_n</f>
        <v/>
      </c>
      <c r="R515">
        <f>K515-G515*H515/k_n</f>
        <v/>
      </c>
      <c r="S515">
        <f>L515-LTP3!$D$3*G515/k_n</f>
        <v/>
      </c>
      <c r="T515">
        <f>M515-LTP3!$D$3*H515/k_n</f>
        <v/>
      </c>
      <c r="U515">
        <f>N515-G515*LTP3!$D$4/k_n</f>
        <v/>
      </c>
      <c r="V515">
        <f>O515-H515*LTP3!$D$4/k_n</f>
        <v/>
      </c>
      <c r="W515">
        <f>((LTP3!$D$5)*((P515)*(Q515)-(R515)*(R515))-(S515)*((S515)*(Q515)-(R515)*(T515))+(T515)*((S515)*(R515)-(P515)*(T515)))</f>
        <v/>
      </c>
      <c r="X515">
        <f>IF(ABS(W515)&gt;1E-12,((LTP3!$D$6)*((P515)*(Q515)-(R515)*(R515))-(S515)*((U515)*(Q515)-(R515)*(V515))+(T515)*((U515)*(R515)-(P515)*(V515)))/W515,0)</f>
        <v/>
      </c>
      <c r="Y515">
        <f>IF(ABS(W515)&gt;1E-12,((LTP3!$D$5)*((U515)*(Q515)-(R515)*(V515))-(LTP3!$D$6)*((S515)*(Q515)-(R515)*(T515))+(T515)*((S515)*(V515)-(U515)*(T515)))/W515,0)</f>
        <v/>
      </c>
      <c r="Z515">
        <f>IF(ABS(W515)&gt;1E-12,((LTP3!$D$5)*((P515)*(V515)-(U515)*(R515))-(S515)*((S515)*(V515)-(U515)*(T515))+(LTP3!$D$6)*((S515)*(R515)-(P515)*(T515)))/W515,0)</f>
        <v/>
      </c>
      <c r="AA515">
        <f>LTP3!$D$7-X515*LTP3!$D$6-Y515*U515-Z515*V515</f>
        <v/>
      </c>
      <c r="AB515">
        <f>IF(AND(F515,ABS(W515)&gt;1E-12,Y515&gt;0,Z515&gt;0),AA515,1E+300)</f>
        <v/>
      </c>
    </row>
    <row r="516">
      <c r="A516">
        <f>$B$3+$B$5*8</f>
        <v/>
      </c>
      <c r="B516">
        <f>$B$3+$B$5*16</f>
        <v/>
      </c>
      <c r="C516">
        <f>SUMPRODUCT(Calc!$K$3:$K$22*(Calc!$G$3:$G$22&lt;=A516))</f>
        <v/>
      </c>
      <c r="D516">
        <f>SUMPRODUCT(Calc!$K$3:$K$22*(Calc!$G$3:$G$22&gt;A516)*(Calc!$G$3:$G$22&lt;B516))</f>
        <v/>
      </c>
      <c r="E516">
        <f>SUMPRODUCT(Calc!$K$3:$K$22*(Calc!$G$3:$G$22&gt;=B516))</f>
        <v/>
      </c>
      <c r="F516">
        <f>AND(k_n&gt;=5,B516&gt;A516+1E-9,C516&gt;=2,D516&gt;=1,E516&gt;=2)</f>
        <v/>
      </c>
      <c r="G516">
        <f>SUMPRODUCT(Calc!$K$3:$K$22*(Calc!$G$3:$G$22&gt;A516)*(Calc!$G$3:$G$22-A516))</f>
        <v/>
      </c>
      <c r="H516">
        <f>SUMPRODUCT(Calc!$K$3:$K$22*(Calc!$G$3:$G$22&gt;B516)*(Calc!$G$3:$G$22-B516))</f>
        <v/>
      </c>
      <c r="I516">
        <f>SUMPRODUCT(Calc!$K$3:$K$22*(Calc!$G$3:$G$22&gt;A516)*(Calc!$G$3:$G$22-A516)^2)</f>
        <v/>
      </c>
      <c r="J516">
        <f>SUMPRODUCT(Calc!$K$3:$K$22*(Calc!$G$3:$G$22&gt;B516)*(Calc!$G$3:$G$22-B516)^2)</f>
        <v/>
      </c>
      <c r="K516">
        <f>SUMPRODUCT(Calc!$K$3:$K$22*(Calc!$G$3:$G$22&gt;A516)*(Calc!$G$3:$G$22-A516)*(Calc!$G$3:$G$22&gt;B516)*(Calc!$G$3:$G$22-B516))</f>
        <v/>
      </c>
      <c r="L516">
        <f>SUMPRODUCT(Calc!$K$3:$K$22*(Calc!$G$3:$G$22&gt;A516)*(Calc!$G$3:$G$22-A516)*Calc!$G$3:$G$22)</f>
        <v/>
      </c>
      <c r="M516">
        <f>SUMPRODUCT(Calc!$K$3:$K$22*(Calc!$G$3:$G$22&gt;B516)*(Calc!$G$3:$G$22-B516)*Calc!$G$3:$G$22)</f>
        <v/>
      </c>
      <c r="N516">
        <f>SUMPRODUCT(Calc!$K$3:$K$22*(Calc!$G$3:$G$22&gt;A516)*(Calc!$G$3:$G$22-A516)*Calc!$I$3:$I$22)</f>
        <v/>
      </c>
      <c r="O516">
        <f>SUMPRODUCT(Calc!$K$3:$K$22*(Calc!$G$3:$G$22&gt;B516)*(Calc!$G$3:$G$22-B516)*Calc!$I$3:$I$22)</f>
        <v/>
      </c>
      <c r="P516">
        <f>I516-G516^2/k_n</f>
        <v/>
      </c>
      <c r="Q516">
        <f>J516-H516^2/k_n</f>
        <v/>
      </c>
      <c r="R516">
        <f>K516-G516*H516/k_n</f>
        <v/>
      </c>
      <c r="S516">
        <f>L516-LTP3!$D$3*G516/k_n</f>
        <v/>
      </c>
      <c r="T516">
        <f>M516-LTP3!$D$3*H516/k_n</f>
        <v/>
      </c>
      <c r="U516">
        <f>N516-G516*LTP3!$D$4/k_n</f>
        <v/>
      </c>
      <c r="V516">
        <f>O516-H516*LTP3!$D$4/k_n</f>
        <v/>
      </c>
      <c r="W516">
        <f>((LTP3!$D$5)*((P516)*(Q516)-(R516)*(R516))-(S516)*((S516)*(Q516)-(R516)*(T516))+(T516)*((S516)*(R516)-(P516)*(T516)))</f>
        <v/>
      </c>
      <c r="X516">
        <f>IF(ABS(W516)&gt;1E-12,((LTP3!$D$6)*((P516)*(Q516)-(R516)*(R516))-(S516)*((U516)*(Q516)-(R516)*(V516))+(T516)*((U516)*(R516)-(P516)*(V516)))/W516,0)</f>
        <v/>
      </c>
      <c r="Y516">
        <f>IF(ABS(W516)&gt;1E-12,((LTP3!$D$5)*((U516)*(Q516)-(R516)*(V516))-(LTP3!$D$6)*((S516)*(Q516)-(R516)*(T516))+(T516)*((S516)*(V516)-(U516)*(T516)))/W516,0)</f>
        <v/>
      </c>
      <c r="Z516">
        <f>IF(ABS(W516)&gt;1E-12,((LTP3!$D$5)*((P516)*(V516)-(U516)*(R516))-(S516)*((S516)*(V516)-(U516)*(T516))+(LTP3!$D$6)*((S516)*(R516)-(P516)*(T516)))/W516,0)</f>
        <v/>
      </c>
      <c r="AA516">
        <f>LTP3!$D$7-X516*LTP3!$D$6-Y516*U516-Z516*V516</f>
        <v/>
      </c>
      <c r="AB516">
        <f>IF(AND(F516,ABS(W516)&gt;1E-12,Y516&gt;0,Z516&gt;0),AA516,1E+300)</f>
        <v/>
      </c>
    </row>
    <row r="517">
      <c r="A517">
        <f>$B$3+$B$5*8</f>
        <v/>
      </c>
      <c r="B517">
        <f>$B$3+$B$5*17</f>
        <v/>
      </c>
      <c r="C517">
        <f>SUMPRODUCT(Calc!$K$3:$K$22*(Calc!$G$3:$G$22&lt;=A517))</f>
        <v/>
      </c>
      <c r="D517">
        <f>SUMPRODUCT(Calc!$K$3:$K$22*(Calc!$G$3:$G$22&gt;A517)*(Calc!$G$3:$G$22&lt;B517))</f>
        <v/>
      </c>
      <c r="E517">
        <f>SUMPRODUCT(Calc!$K$3:$K$22*(Calc!$G$3:$G$22&gt;=B517))</f>
        <v/>
      </c>
      <c r="F517">
        <f>AND(k_n&gt;=5,B517&gt;A517+1E-9,C517&gt;=2,D517&gt;=1,E517&gt;=2)</f>
        <v/>
      </c>
      <c r="G517">
        <f>SUMPRODUCT(Calc!$K$3:$K$22*(Calc!$G$3:$G$22&gt;A517)*(Calc!$G$3:$G$22-A517))</f>
        <v/>
      </c>
      <c r="H517">
        <f>SUMPRODUCT(Calc!$K$3:$K$22*(Calc!$G$3:$G$22&gt;B517)*(Calc!$G$3:$G$22-B517))</f>
        <v/>
      </c>
      <c r="I517">
        <f>SUMPRODUCT(Calc!$K$3:$K$22*(Calc!$G$3:$G$22&gt;A517)*(Calc!$G$3:$G$22-A517)^2)</f>
        <v/>
      </c>
      <c r="J517">
        <f>SUMPRODUCT(Calc!$K$3:$K$22*(Calc!$G$3:$G$22&gt;B517)*(Calc!$G$3:$G$22-B517)^2)</f>
        <v/>
      </c>
      <c r="K517">
        <f>SUMPRODUCT(Calc!$K$3:$K$22*(Calc!$G$3:$G$22&gt;A517)*(Calc!$G$3:$G$22-A517)*(Calc!$G$3:$G$22&gt;B517)*(Calc!$G$3:$G$22-B517))</f>
        <v/>
      </c>
      <c r="L517">
        <f>SUMPRODUCT(Calc!$K$3:$K$22*(Calc!$G$3:$G$22&gt;A517)*(Calc!$G$3:$G$22-A517)*Calc!$G$3:$G$22)</f>
        <v/>
      </c>
      <c r="M517">
        <f>SUMPRODUCT(Calc!$K$3:$K$22*(Calc!$G$3:$G$22&gt;B517)*(Calc!$G$3:$G$22-B517)*Calc!$G$3:$G$22)</f>
        <v/>
      </c>
      <c r="N517">
        <f>SUMPRODUCT(Calc!$K$3:$K$22*(Calc!$G$3:$G$22&gt;A517)*(Calc!$G$3:$G$22-A517)*Calc!$I$3:$I$22)</f>
        <v/>
      </c>
      <c r="O517">
        <f>SUMPRODUCT(Calc!$K$3:$K$22*(Calc!$G$3:$G$22&gt;B517)*(Calc!$G$3:$G$22-B517)*Calc!$I$3:$I$22)</f>
        <v/>
      </c>
      <c r="P517">
        <f>I517-G517^2/k_n</f>
        <v/>
      </c>
      <c r="Q517">
        <f>J517-H517^2/k_n</f>
        <v/>
      </c>
      <c r="R517">
        <f>K517-G517*H517/k_n</f>
        <v/>
      </c>
      <c r="S517">
        <f>L517-LTP3!$D$3*G517/k_n</f>
        <v/>
      </c>
      <c r="T517">
        <f>M517-LTP3!$D$3*H517/k_n</f>
        <v/>
      </c>
      <c r="U517">
        <f>N517-G517*LTP3!$D$4/k_n</f>
        <v/>
      </c>
      <c r="V517">
        <f>O517-H517*LTP3!$D$4/k_n</f>
        <v/>
      </c>
      <c r="W517">
        <f>((LTP3!$D$5)*((P517)*(Q517)-(R517)*(R517))-(S517)*((S517)*(Q517)-(R517)*(T517))+(T517)*((S517)*(R517)-(P517)*(T517)))</f>
        <v/>
      </c>
      <c r="X517">
        <f>IF(ABS(W517)&gt;1E-12,((LTP3!$D$6)*((P517)*(Q517)-(R517)*(R517))-(S517)*((U517)*(Q517)-(R517)*(V517))+(T517)*((U517)*(R517)-(P517)*(V517)))/W517,0)</f>
        <v/>
      </c>
      <c r="Y517">
        <f>IF(ABS(W517)&gt;1E-12,((LTP3!$D$5)*((U517)*(Q517)-(R517)*(V517))-(LTP3!$D$6)*((S517)*(Q517)-(R517)*(T517))+(T517)*((S517)*(V517)-(U517)*(T517)))/W517,0)</f>
        <v/>
      </c>
      <c r="Z517">
        <f>IF(ABS(W517)&gt;1E-12,((LTP3!$D$5)*((P517)*(V517)-(U517)*(R517))-(S517)*((S517)*(V517)-(U517)*(T517))+(LTP3!$D$6)*((S517)*(R517)-(P517)*(T517)))/W517,0)</f>
        <v/>
      </c>
      <c r="AA517">
        <f>LTP3!$D$7-X517*LTP3!$D$6-Y517*U517-Z517*V517</f>
        <v/>
      </c>
      <c r="AB517">
        <f>IF(AND(F517,ABS(W517)&gt;1E-12,Y517&gt;0,Z517&gt;0),AA517,1E+300)</f>
        <v/>
      </c>
    </row>
    <row r="518">
      <c r="A518">
        <f>$B$3+$B$5*8</f>
        <v/>
      </c>
      <c r="B518">
        <f>$B$3+$B$5*18</f>
        <v/>
      </c>
      <c r="C518">
        <f>SUMPRODUCT(Calc!$K$3:$K$22*(Calc!$G$3:$G$22&lt;=A518))</f>
        <v/>
      </c>
      <c r="D518">
        <f>SUMPRODUCT(Calc!$K$3:$K$22*(Calc!$G$3:$G$22&gt;A518)*(Calc!$G$3:$G$22&lt;B518))</f>
        <v/>
      </c>
      <c r="E518">
        <f>SUMPRODUCT(Calc!$K$3:$K$22*(Calc!$G$3:$G$22&gt;=B518))</f>
        <v/>
      </c>
      <c r="F518">
        <f>AND(k_n&gt;=5,B518&gt;A518+1E-9,C518&gt;=2,D518&gt;=1,E518&gt;=2)</f>
        <v/>
      </c>
      <c r="G518">
        <f>SUMPRODUCT(Calc!$K$3:$K$22*(Calc!$G$3:$G$22&gt;A518)*(Calc!$G$3:$G$22-A518))</f>
        <v/>
      </c>
      <c r="H518">
        <f>SUMPRODUCT(Calc!$K$3:$K$22*(Calc!$G$3:$G$22&gt;B518)*(Calc!$G$3:$G$22-B518))</f>
        <v/>
      </c>
      <c r="I518">
        <f>SUMPRODUCT(Calc!$K$3:$K$22*(Calc!$G$3:$G$22&gt;A518)*(Calc!$G$3:$G$22-A518)^2)</f>
        <v/>
      </c>
      <c r="J518">
        <f>SUMPRODUCT(Calc!$K$3:$K$22*(Calc!$G$3:$G$22&gt;B518)*(Calc!$G$3:$G$22-B518)^2)</f>
        <v/>
      </c>
      <c r="K518">
        <f>SUMPRODUCT(Calc!$K$3:$K$22*(Calc!$G$3:$G$22&gt;A518)*(Calc!$G$3:$G$22-A518)*(Calc!$G$3:$G$22&gt;B518)*(Calc!$G$3:$G$22-B518))</f>
        <v/>
      </c>
      <c r="L518">
        <f>SUMPRODUCT(Calc!$K$3:$K$22*(Calc!$G$3:$G$22&gt;A518)*(Calc!$G$3:$G$22-A518)*Calc!$G$3:$G$22)</f>
        <v/>
      </c>
      <c r="M518">
        <f>SUMPRODUCT(Calc!$K$3:$K$22*(Calc!$G$3:$G$22&gt;B518)*(Calc!$G$3:$G$22-B518)*Calc!$G$3:$G$22)</f>
        <v/>
      </c>
      <c r="N518">
        <f>SUMPRODUCT(Calc!$K$3:$K$22*(Calc!$G$3:$G$22&gt;A518)*(Calc!$G$3:$G$22-A518)*Calc!$I$3:$I$22)</f>
        <v/>
      </c>
      <c r="O518">
        <f>SUMPRODUCT(Calc!$K$3:$K$22*(Calc!$G$3:$G$22&gt;B518)*(Calc!$G$3:$G$22-B518)*Calc!$I$3:$I$22)</f>
        <v/>
      </c>
      <c r="P518">
        <f>I518-G518^2/k_n</f>
        <v/>
      </c>
      <c r="Q518">
        <f>J518-H518^2/k_n</f>
        <v/>
      </c>
      <c r="R518">
        <f>K518-G518*H518/k_n</f>
        <v/>
      </c>
      <c r="S518">
        <f>L518-LTP3!$D$3*G518/k_n</f>
        <v/>
      </c>
      <c r="T518">
        <f>M518-LTP3!$D$3*H518/k_n</f>
        <v/>
      </c>
      <c r="U518">
        <f>N518-G518*LTP3!$D$4/k_n</f>
        <v/>
      </c>
      <c r="V518">
        <f>O518-H518*LTP3!$D$4/k_n</f>
        <v/>
      </c>
      <c r="W518">
        <f>((LTP3!$D$5)*((P518)*(Q518)-(R518)*(R518))-(S518)*((S518)*(Q518)-(R518)*(T518))+(T518)*((S518)*(R518)-(P518)*(T518)))</f>
        <v/>
      </c>
      <c r="X518">
        <f>IF(ABS(W518)&gt;1E-12,((LTP3!$D$6)*((P518)*(Q518)-(R518)*(R518))-(S518)*((U518)*(Q518)-(R518)*(V518))+(T518)*((U518)*(R518)-(P518)*(V518)))/W518,0)</f>
        <v/>
      </c>
      <c r="Y518">
        <f>IF(ABS(W518)&gt;1E-12,((LTP3!$D$5)*((U518)*(Q518)-(R518)*(V518))-(LTP3!$D$6)*((S518)*(Q518)-(R518)*(T518))+(T518)*((S518)*(V518)-(U518)*(T518)))/W518,0)</f>
        <v/>
      </c>
      <c r="Z518">
        <f>IF(ABS(W518)&gt;1E-12,((LTP3!$D$5)*((P518)*(V518)-(U518)*(R518))-(S518)*((S518)*(V518)-(U518)*(T518))+(LTP3!$D$6)*((S518)*(R518)-(P518)*(T518)))/W518,0)</f>
        <v/>
      </c>
      <c r="AA518">
        <f>LTP3!$D$7-X518*LTP3!$D$6-Y518*U518-Z518*V518</f>
        <v/>
      </c>
      <c r="AB518">
        <f>IF(AND(F518,ABS(W518)&gt;1E-12,Y518&gt;0,Z518&gt;0),AA518,1E+300)</f>
        <v/>
      </c>
    </row>
    <row r="519">
      <c r="A519">
        <f>$B$3+$B$5*8</f>
        <v/>
      </c>
      <c r="B519">
        <f>$B$3+$B$5*19</f>
        <v/>
      </c>
      <c r="C519">
        <f>SUMPRODUCT(Calc!$K$3:$K$22*(Calc!$G$3:$G$22&lt;=A519))</f>
        <v/>
      </c>
      <c r="D519">
        <f>SUMPRODUCT(Calc!$K$3:$K$22*(Calc!$G$3:$G$22&gt;A519)*(Calc!$G$3:$G$22&lt;B519))</f>
        <v/>
      </c>
      <c r="E519">
        <f>SUMPRODUCT(Calc!$K$3:$K$22*(Calc!$G$3:$G$22&gt;=B519))</f>
        <v/>
      </c>
      <c r="F519">
        <f>AND(k_n&gt;=5,B519&gt;A519+1E-9,C519&gt;=2,D519&gt;=1,E519&gt;=2)</f>
        <v/>
      </c>
      <c r="G519">
        <f>SUMPRODUCT(Calc!$K$3:$K$22*(Calc!$G$3:$G$22&gt;A519)*(Calc!$G$3:$G$22-A519))</f>
        <v/>
      </c>
      <c r="H519">
        <f>SUMPRODUCT(Calc!$K$3:$K$22*(Calc!$G$3:$G$22&gt;B519)*(Calc!$G$3:$G$22-B519))</f>
        <v/>
      </c>
      <c r="I519">
        <f>SUMPRODUCT(Calc!$K$3:$K$22*(Calc!$G$3:$G$22&gt;A519)*(Calc!$G$3:$G$22-A519)^2)</f>
        <v/>
      </c>
      <c r="J519">
        <f>SUMPRODUCT(Calc!$K$3:$K$22*(Calc!$G$3:$G$22&gt;B519)*(Calc!$G$3:$G$22-B519)^2)</f>
        <v/>
      </c>
      <c r="K519">
        <f>SUMPRODUCT(Calc!$K$3:$K$22*(Calc!$G$3:$G$22&gt;A519)*(Calc!$G$3:$G$22-A519)*(Calc!$G$3:$G$22&gt;B519)*(Calc!$G$3:$G$22-B519))</f>
        <v/>
      </c>
      <c r="L519">
        <f>SUMPRODUCT(Calc!$K$3:$K$22*(Calc!$G$3:$G$22&gt;A519)*(Calc!$G$3:$G$22-A519)*Calc!$G$3:$G$22)</f>
        <v/>
      </c>
      <c r="M519">
        <f>SUMPRODUCT(Calc!$K$3:$K$22*(Calc!$G$3:$G$22&gt;B519)*(Calc!$G$3:$G$22-B519)*Calc!$G$3:$G$22)</f>
        <v/>
      </c>
      <c r="N519">
        <f>SUMPRODUCT(Calc!$K$3:$K$22*(Calc!$G$3:$G$22&gt;A519)*(Calc!$G$3:$G$22-A519)*Calc!$I$3:$I$22)</f>
        <v/>
      </c>
      <c r="O519">
        <f>SUMPRODUCT(Calc!$K$3:$K$22*(Calc!$G$3:$G$22&gt;B519)*(Calc!$G$3:$G$22-B519)*Calc!$I$3:$I$22)</f>
        <v/>
      </c>
      <c r="P519">
        <f>I519-G519^2/k_n</f>
        <v/>
      </c>
      <c r="Q519">
        <f>J519-H519^2/k_n</f>
        <v/>
      </c>
      <c r="R519">
        <f>K519-G519*H519/k_n</f>
        <v/>
      </c>
      <c r="S519">
        <f>L519-LTP3!$D$3*G519/k_n</f>
        <v/>
      </c>
      <c r="T519">
        <f>M519-LTP3!$D$3*H519/k_n</f>
        <v/>
      </c>
      <c r="U519">
        <f>N519-G519*LTP3!$D$4/k_n</f>
        <v/>
      </c>
      <c r="V519">
        <f>O519-H519*LTP3!$D$4/k_n</f>
        <v/>
      </c>
      <c r="W519">
        <f>((LTP3!$D$5)*((P519)*(Q519)-(R519)*(R519))-(S519)*((S519)*(Q519)-(R519)*(T519))+(T519)*((S519)*(R519)-(P519)*(T519)))</f>
        <v/>
      </c>
      <c r="X519">
        <f>IF(ABS(W519)&gt;1E-12,((LTP3!$D$6)*((P519)*(Q519)-(R519)*(R519))-(S519)*((U519)*(Q519)-(R519)*(V519))+(T519)*((U519)*(R519)-(P519)*(V519)))/W519,0)</f>
        <v/>
      </c>
      <c r="Y519">
        <f>IF(ABS(W519)&gt;1E-12,((LTP3!$D$5)*((U519)*(Q519)-(R519)*(V519))-(LTP3!$D$6)*((S519)*(Q519)-(R519)*(T519))+(T519)*((S519)*(V519)-(U519)*(T519)))/W519,0)</f>
        <v/>
      </c>
      <c r="Z519">
        <f>IF(ABS(W519)&gt;1E-12,((LTP3!$D$5)*((P519)*(V519)-(U519)*(R519))-(S519)*((S519)*(V519)-(U519)*(T519))+(LTP3!$D$6)*((S519)*(R519)-(P519)*(T519)))/W519,0)</f>
        <v/>
      </c>
      <c r="AA519">
        <f>LTP3!$D$7-X519*LTP3!$D$6-Y519*U519-Z519*V519</f>
        <v/>
      </c>
      <c r="AB519">
        <f>IF(AND(F519,ABS(W519)&gt;1E-12,Y519&gt;0,Z519&gt;0),AA519,1E+300)</f>
        <v/>
      </c>
    </row>
    <row r="520">
      <c r="A520">
        <f>$B$3+$B$5*8</f>
        <v/>
      </c>
      <c r="B520">
        <f>$B$3+$B$5*20</f>
        <v/>
      </c>
      <c r="C520">
        <f>SUMPRODUCT(Calc!$K$3:$K$22*(Calc!$G$3:$G$22&lt;=A520))</f>
        <v/>
      </c>
      <c r="D520">
        <f>SUMPRODUCT(Calc!$K$3:$K$22*(Calc!$G$3:$G$22&gt;A520)*(Calc!$G$3:$G$22&lt;B520))</f>
        <v/>
      </c>
      <c r="E520">
        <f>SUMPRODUCT(Calc!$K$3:$K$22*(Calc!$G$3:$G$22&gt;=B520))</f>
        <v/>
      </c>
      <c r="F520">
        <f>AND(k_n&gt;=5,B520&gt;A520+1E-9,C520&gt;=2,D520&gt;=1,E520&gt;=2)</f>
        <v/>
      </c>
      <c r="G520">
        <f>SUMPRODUCT(Calc!$K$3:$K$22*(Calc!$G$3:$G$22&gt;A520)*(Calc!$G$3:$G$22-A520))</f>
        <v/>
      </c>
      <c r="H520">
        <f>SUMPRODUCT(Calc!$K$3:$K$22*(Calc!$G$3:$G$22&gt;B520)*(Calc!$G$3:$G$22-B520))</f>
        <v/>
      </c>
      <c r="I520">
        <f>SUMPRODUCT(Calc!$K$3:$K$22*(Calc!$G$3:$G$22&gt;A520)*(Calc!$G$3:$G$22-A520)^2)</f>
        <v/>
      </c>
      <c r="J520">
        <f>SUMPRODUCT(Calc!$K$3:$K$22*(Calc!$G$3:$G$22&gt;B520)*(Calc!$G$3:$G$22-B520)^2)</f>
        <v/>
      </c>
      <c r="K520">
        <f>SUMPRODUCT(Calc!$K$3:$K$22*(Calc!$G$3:$G$22&gt;A520)*(Calc!$G$3:$G$22-A520)*(Calc!$G$3:$G$22&gt;B520)*(Calc!$G$3:$G$22-B520))</f>
        <v/>
      </c>
      <c r="L520">
        <f>SUMPRODUCT(Calc!$K$3:$K$22*(Calc!$G$3:$G$22&gt;A520)*(Calc!$G$3:$G$22-A520)*Calc!$G$3:$G$22)</f>
        <v/>
      </c>
      <c r="M520">
        <f>SUMPRODUCT(Calc!$K$3:$K$22*(Calc!$G$3:$G$22&gt;B520)*(Calc!$G$3:$G$22-B520)*Calc!$G$3:$G$22)</f>
        <v/>
      </c>
      <c r="N520">
        <f>SUMPRODUCT(Calc!$K$3:$K$22*(Calc!$G$3:$G$22&gt;A520)*(Calc!$G$3:$G$22-A520)*Calc!$I$3:$I$22)</f>
        <v/>
      </c>
      <c r="O520">
        <f>SUMPRODUCT(Calc!$K$3:$K$22*(Calc!$G$3:$G$22&gt;B520)*(Calc!$G$3:$G$22-B520)*Calc!$I$3:$I$22)</f>
        <v/>
      </c>
      <c r="P520">
        <f>I520-G520^2/k_n</f>
        <v/>
      </c>
      <c r="Q520">
        <f>J520-H520^2/k_n</f>
        <v/>
      </c>
      <c r="R520">
        <f>K520-G520*H520/k_n</f>
        <v/>
      </c>
      <c r="S520">
        <f>L520-LTP3!$D$3*G520/k_n</f>
        <v/>
      </c>
      <c r="T520">
        <f>M520-LTP3!$D$3*H520/k_n</f>
        <v/>
      </c>
      <c r="U520">
        <f>N520-G520*LTP3!$D$4/k_n</f>
        <v/>
      </c>
      <c r="V520">
        <f>O520-H520*LTP3!$D$4/k_n</f>
        <v/>
      </c>
      <c r="W520">
        <f>((LTP3!$D$5)*((P520)*(Q520)-(R520)*(R520))-(S520)*((S520)*(Q520)-(R520)*(T520))+(T520)*((S520)*(R520)-(P520)*(T520)))</f>
        <v/>
      </c>
      <c r="X520">
        <f>IF(ABS(W520)&gt;1E-12,((LTP3!$D$6)*((P520)*(Q520)-(R520)*(R520))-(S520)*((U520)*(Q520)-(R520)*(V520))+(T520)*((U520)*(R520)-(P520)*(V520)))/W520,0)</f>
        <v/>
      </c>
      <c r="Y520">
        <f>IF(ABS(W520)&gt;1E-12,((LTP3!$D$5)*((U520)*(Q520)-(R520)*(V520))-(LTP3!$D$6)*((S520)*(Q520)-(R520)*(T520))+(T520)*((S520)*(V520)-(U520)*(T520)))/W520,0)</f>
        <v/>
      </c>
      <c r="Z520">
        <f>IF(ABS(W520)&gt;1E-12,((LTP3!$D$5)*((P520)*(V520)-(U520)*(R520))-(S520)*((S520)*(V520)-(U520)*(T520))+(LTP3!$D$6)*((S520)*(R520)-(P520)*(T520)))/W520,0)</f>
        <v/>
      </c>
      <c r="AA520">
        <f>LTP3!$D$7-X520*LTP3!$D$6-Y520*U520-Z520*V520</f>
        <v/>
      </c>
      <c r="AB520">
        <f>IF(AND(F520,ABS(W520)&gt;1E-12,Y520&gt;0,Z520&gt;0),AA520,1E+300)</f>
        <v/>
      </c>
    </row>
    <row r="521">
      <c r="A521">
        <f>$B$3+$B$5*8</f>
        <v/>
      </c>
      <c r="B521">
        <f>$B$3+$B$5*21</f>
        <v/>
      </c>
      <c r="C521">
        <f>SUMPRODUCT(Calc!$K$3:$K$22*(Calc!$G$3:$G$22&lt;=A521))</f>
        <v/>
      </c>
      <c r="D521">
        <f>SUMPRODUCT(Calc!$K$3:$K$22*(Calc!$G$3:$G$22&gt;A521)*(Calc!$G$3:$G$22&lt;B521))</f>
        <v/>
      </c>
      <c r="E521">
        <f>SUMPRODUCT(Calc!$K$3:$K$22*(Calc!$G$3:$G$22&gt;=B521))</f>
        <v/>
      </c>
      <c r="F521">
        <f>AND(k_n&gt;=5,B521&gt;A521+1E-9,C521&gt;=2,D521&gt;=1,E521&gt;=2)</f>
        <v/>
      </c>
      <c r="G521">
        <f>SUMPRODUCT(Calc!$K$3:$K$22*(Calc!$G$3:$G$22&gt;A521)*(Calc!$G$3:$G$22-A521))</f>
        <v/>
      </c>
      <c r="H521">
        <f>SUMPRODUCT(Calc!$K$3:$K$22*(Calc!$G$3:$G$22&gt;B521)*(Calc!$G$3:$G$22-B521))</f>
        <v/>
      </c>
      <c r="I521">
        <f>SUMPRODUCT(Calc!$K$3:$K$22*(Calc!$G$3:$G$22&gt;A521)*(Calc!$G$3:$G$22-A521)^2)</f>
        <v/>
      </c>
      <c r="J521">
        <f>SUMPRODUCT(Calc!$K$3:$K$22*(Calc!$G$3:$G$22&gt;B521)*(Calc!$G$3:$G$22-B521)^2)</f>
        <v/>
      </c>
      <c r="K521">
        <f>SUMPRODUCT(Calc!$K$3:$K$22*(Calc!$G$3:$G$22&gt;A521)*(Calc!$G$3:$G$22-A521)*(Calc!$G$3:$G$22&gt;B521)*(Calc!$G$3:$G$22-B521))</f>
        <v/>
      </c>
      <c r="L521">
        <f>SUMPRODUCT(Calc!$K$3:$K$22*(Calc!$G$3:$G$22&gt;A521)*(Calc!$G$3:$G$22-A521)*Calc!$G$3:$G$22)</f>
        <v/>
      </c>
      <c r="M521">
        <f>SUMPRODUCT(Calc!$K$3:$K$22*(Calc!$G$3:$G$22&gt;B521)*(Calc!$G$3:$G$22-B521)*Calc!$G$3:$G$22)</f>
        <v/>
      </c>
      <c r="N521">
        <f>SUMPRODUCT(Calc!$K$3:$K$22*(Calc!$G$3:$G$22&gt;A521)*(Calc!$G$3:$G$22-A521)*Calc!$I$3:$I$22)</f>
        <v/>
      </c>
      <c r="O521">
        <f>SUMPRODUCT(Calc!$K$3:$K$22*(Calc!$G$3:$G$22&gt;B521)*(Calc!$G$3:$G$22-B521)*Calc!$I$3:$I$22)</f>
        <v/>
      </c>
      <c r="P521">
        <f>I521-G521^2/k_n</f>
        <v/>
      </c>
      <c r="Q521">
        <f>J521-H521^2/k_n</f>
        <v/>
      </c>
      <c r="R521">
        <f>K521-G521*H521/k_n</f>
        <v/>
      </c>
      <c r="S521">
        <f>L521-LTP3!$D$3*G521/k_n</f>
        <v/>
      </c>
      <c r="T521">
        <f>M521-LTP3!$D$3*H521/k_n</f>
        <v/>
      </c>
      <c r="U521">
        <f>N521-G521*LTP3!$D$4/k_n</f>
        <v/>
      </c>
      <c r="V521">
        <f>O521-H521*LTP3!$D$4/k_n</f>
        <v/>
      </c>
      <c r="W521">
        <f>((LTP3!$D$5)*((P521)*(Q521)-(R521)*(R521))-(S521)*((S521)*(Q521)-(R521)*(T521))+(T521)*((S521)*(R521)-(P521)*(T521)))</f>
        <v/>
      </c>
      <c r="X521">
        <f>IF(ABS(W521)&gt;1E-12,((LTP3!$D$6)*((P521)*(Q521)-(R521)*(R521))-(S521)*((U521)*(Q521)-(R521)*(V521))+(T521)*((U521)*(R521)-(P521)*(V521)))/W521,0)</f>
        <v/>
      </c>
      <c r="Y521">
        <f>IF(ABS(W521)&gt;1E-12,((LTP3!$D$5)*((U521)*(Q521)-(R521)*(V521))-(LTP3!$D$6)*((S521)*(Q521)-(R521)*(T521))+(T521)*((S521)*(V521)-(U521)*(T521)))/W521,0)</f>
        <v/>
      </c>
      <c r="Z521">
        <f>IF(ABS(W521)&gt;1E-12,((LTP3!$D$5)*((P521)*(V521)-(U521)*(R521))-(S521)*((S521)*(V521)-(U521)*(T521))+(LTP3!$D$6)*((S521)*(R521)-(P521)*(T521)))/W521,0)</f>
        <v/>
      </c>
      <c r="AA521">
        <f>LTP3!$D$7-X521*LTP3!$D$6-Y521*U521-Z521*V521</f>
        <v/>
      </c>
      <c r="AB521">
        <f>IF(AND(F521,ABS(W521)&gt;1E-12,Y521&gt;0,Z521&gt;0),AA521,1E+300)</f>
        <v/>
      </c>
    </row>
    <row r="522">
      <c r="A522">
        <f>$B$3+$B$5*8</f>
        <v/>
      </c>
      <c r="B522">
        <f>$B$3+$B$5*22</f>
        <v/>
      </c>
      <c r="C522">
        <f>SUMPRODUCT(Calc!$K$3:$K$22*(Calc!$G$3:$G$22&lt;=A522))</f>
        <v/>
      </c>
      <c r="D522">
        <f>SUMPRODUCT(Calc!$K$3:$K$22*(Calc!$G$3:$G$22&gt;A522)*(Calc!$G$3:$G$22&lt;B522))</f>
        <v/>
      </c>
      <c r="E522">
        <f>SUMPRODUCT(Calc!$K$3:$K$22*(Calc!$G$3:$G$22&gt;=B522))</f>
        <v/>
      </c>
      <c r="F522">
        <f>AND(k_n&gt;=5,B522&gt;A522+1E-9,C522&gt;=2,D522&gt;=1,E522&gt;=2)</f>
        <v/>
      </c>
      <c r="G522">
        <f>SUMPRODUCT(Calc!$K$3:$K$22*(Calc!$G$3:$G$22&gt;A522)*(Calc!$G$3:$G$22-A522))</f>
        <v/>
      </c>
      <c r="H522">
        <f>SUMPRODUCT(Calc!$K$3:$K$22*(Calc!$G$3:$G$22&gt;B522)*(Calc!$G$3:$G$22-B522))</f>
        <v/>
      </c>
      <c r="I522">
        <f>SUMPRODUCT(Calc!$K$3:$K$22*(Calc!$G$3:$G$22&gt;A522)*(Calc!$G$3:$G$22-A522)^2)</f>
        <v/>
      </c>
      <c r="J522">
        <f>SUMPRODUCT(Calc!$K$3:$K$22*(Calc!$G$3:$G$22&gt;B522)*(Calc!$G$3:$G$22-B522)^2)</f>
        <v/>
      </c>
      <c r="K522">
        <f>SUMPRODUCT(Calc!$K$3:$K$22*(Calc!$G$3:$G$22&gt;A522)*(Calc!$G$3:$G$22-A522)*(Calc!$G$3:$G$22&gt;B522)*(Calc!$G$3:$G$22-B522))</f>
        <v/>
      </c>
      <c r="L522">
        <f>SUMPRODUCT(Calc!$K$3:$K$22*(Calc!$G$3:$G$22&gt;A522)*(Calc!$G$3:$G$22-A522)*Calc!$G$3:$G$22)</f>
        <v/>
      </c>
      <c r="M522">
        <f>SUMPRODUCT(Calc!$K$3:$K$22*(Calc!$G$3:$G$22&gt;B522)*(Calc!$G$3:$G$22-B522)*Calc!$G$3:$G$22)</f>
        <v/>
      </c>
      <c r="N522">
        <f>SUMPRODUCT(Calc!$K$3:$K$22*(Calc!$G$3:$G$22&gt;A522)*(Calc!$G$3:$G$22-A522)*Calc!$I$3:$I$22)</f>
        <v/>
      </c>
      <c r="O522">
        <f>SUMPRODUCT(Calc!$K$3:$K$22*(Calc!$G$3:$G$22&gt;B522)*(Calc!$G$3:$G$22-B522)*Calc!$I$3:$I$22)</f>
        <v/>
      </c>
      <c r="P522">
        <f>I522-G522^2/k_n</f>
        <v/>
      </c>
      <c r="Q522">
        <f>J522-H522^2/k_n</f>
        <v/>
      </c>
      <c r="R522">
        <f>K522-G522*H522/k_n</f>
        <v/>
      </c>
      <c r="S522">
        <f>L522-LTP3!$D$3*G522/k_n</f>
        <v/>
      </c>
      <c r="T522">
        <f>M522-LTP3!$D$3*H522/k_n</f>
        <v/>
      </c>
      <c r="U522">
        <f>N522-G522*LTP3!$D$4/k_n</f>
        <v/>
      </c>
      <c r="V522">
        <f>O522-H522*LTP3!$D$4/k_n</f>
        <v/>
      </c>
      <c r="W522">
        <f>((LTP3!$D$5)*((P522)*(Q522)-(R522)*(R522))-(S522)*((S522)*(Q522)-(R522)*(T522))+(T522)*((S522)*(R522)-(P522)*(T522)))</f>
        <v/>
      </c>
      <c r="X522">
        <f>IF(ABS(W522)&gt;1E-12,((LTP3!$D$6)*((P522)*(Q522)-(R522)*(R522))-(S522)*((U522)*(Q522)-(R522)*(V522))+(T522)*((U522)*(R522)-(P522)*(V522)))/W522,0)</f>
        <v/>
      </c>
      <c r="Y522">
        <f>IF(ABS(W522)&gt;1E-12,((LTP3!$D$5)*((U522)*(Q522)-(R522)*(V522))-(LTP3!$D$6)*((S522)*(Q522)-(R522)*(T522))+(T522)*((S522)*(V522)-(U522)*(T522)))/W522,0)</f>
        <v/>
      </c>
      <c r="Z522">
        <f>IF(ABS(W522)&gt;1E-12,((LTP3!$D$5)*((P522)*(V522)-(U522)*(R522))-(S522)*((S522)*(V522)-(U522)*(T522))+(LTP3!$D$6)*((S522)*(R522)-(P522)*(T522)))/W522,0)</f>
        <v/>
      </c>
      <c r="AA522">
        <f>LTP3!$D$7-X522*LTP3!$D$6-Y522*U522-Z522*V522</f>
        <v/>
      </c>
      <c r="AB522">
        <f>IF(AND(F522,ABS(W522)&gt;1E-12,Y522&gt;0,Z522&gt;0),AA522,1E+300)</f>
        <v/>
      </c>
    </row>
    <row r="523">
      <c r="A523">
        <f>$B$3+$B$5*8</f>
        <v/>
      </c>
      <c r="B523">
        <f>$B$3+$B$5*23</f>
        <v/>
      </c>
      <c r="C523">
        <f>SUMPRODUCT(Calc!$K$3:$K$22*(Calc!$G$3:$G$22&lt;=A523))</f>
        <v/>
      </c>
      <c r="D523">
        <f>SUMPRODUCT(Calc!$K$3:$K$22*(Calc!$G$3:$G$22&gt;A523)*(Calc!$G$3:$G$22&lt;B523))</f>
        <v/>
      </c>
      <c r="E523">
        <f>SUMPRODUCT(Calc!$K$3:$K$22*(Calc!$G$3:$G$22&gt;=B523))</f>
        <v/>
      </c>
      <c r="F523">
        <f>AND(k_n&gt;=5,B523&gt;A523+1E-9,C523&gt;=2,D523&gt;=1,E523&gt;=2)</f>
        <v/>
      </c>
      <c r="G523">
        <f>SUMPRODUCT(Calc!$K$3:$K$22*(Calc!$G$3:$G$22&gt;A523)*(Calc!$G$3:$G$22-A523))</f>
        <v/>
      </c>
      <c r="H523">
        <f>SUMPRODUCT(Calc!$K$3:$K$22*(Calc!$G$3:$G$22&gt;B523)*(Calc!$G$3:$G$22-B523))</f>
        <v/>
      </c>
      <c r="I523">
        <f>SUMPRODUCT(Calc!$K$3:$K$22*(Calc!$G$3:$G$22&gt;A523)*(Calc!$G$3:$G$22-A523)^2)</f>
        <v/>
      </c>
      <c r="J523">
        <f>SUMPRODUCT(Calc!$K$3:$K$22*(Calc!$G$3:$G$22&gt;B523)*(Calc!$G$3:$G$22-B523)^2)</f>
        <v/>
      </c>
      <c r="K523">
        <f>SUMPRODUCT(Calc!$K$3:$K$22*(Calc!$G$3:$G$22&gt;A523)*(Calc!$G$3:$G$22-A523)*(Calc!$G$3:$G$22&gt;B523)*(Calc!$G$3:$G$22-B523))</f>
        <v/>
      </c>
      <c r="L523">
        <f>SUMPRODUCT(Calc!$K$3:$K$22*(Calc!$G$3:$G$22&gt;A523)*(Calc!$G$3:$G$22-A523)*Calc!$G$3:$G$22)</f>
        <v/>
      </c>
      <c r="M523">
        <f>SUMPRODUCT(Calc!$K$3:$K$22*(Calc!$G$3:$G$22&gt;B523)*(Calc!$G$3:$G$22-B523)*Calc!$G$3:$G$22)</f>
        <v/>
      </c>
      <c r="N523">
        <f>SUMPRODUCT(Calc!$K$3:$K$22*(Calc!$G$3:$G$22&gt;A523)*(Calc!$G$3:$G$22-A523)*Calc!$I$3:$I$22)</f>
        <v/>
      </c>
      <c r="O523">
        <f>SUMPRODUCT(Calc!$K$3:$K$22*(Calc!$G$3:$G$22&gt;B523)*(Calc!$G$3:$G$22-B523)*Calc!$I$3:$I$22)</f>
        <v/>
      </c>
      <c r="P523">
        <f>I523-G523^2/k_n</f>
        <v/>
      </c>
      <c r="Q523">
        <f>J523-H523^2/k_n</f>
        <v/>
      </c>
      <c r="R523">
        <f>K523-G523*H523/k_n</f>
        <v/>
      </c>
      <c r="S523">
        <f>L523-LTP3!$D$3*G523/k_n</f>
        <v/>
      </c>
      <c r="T523">
        <f>M523-LTP3!$D$3*H523/k_n</f>
        <v/>
      </c>
      <c r="U523">
        <f>N523-G523*LTP3!$D$4/k_n</f>
        <v/>
      </c>
      <c r="V523">
        <f>O523-H523*LTP3!$D$4/k_n</f>
        <v/>
      </c>
      <c r="W523">
        <f>((LTP3!$D$5)*((P523)*(Q523)-(R523)*(R523))-(S523)*((S523)*(Q523)-(R523)*(T523))+(T523)*((S523)*(R523)-(P523)*(T523)))</f>
        <v/>
      </c>
      <c r="X523">
        <f>IF(ABS(W523)&gt;1E-12,((LTP3!$D$6)*((P523)*(Q523)-(R523)*(R523))-(S523)*((U523)*(Q523)-(R523)*(V523))+(T523)*((U523)*(R523)-(P523)*(V523)))/W523,0)</f>
        <v/>
      </c>
      <c r="Y523">
        <f>IF(ABS(W523)&gt;1E-12,((LTP3!$D$5)*((U523)*(Q523)-(R523)*(V523))-(LTP3!$D$6)*((S523)*(Q523)-(R523)*(T523))+(T523)*((S523)*(V523)-(U523)*(T523)))/W523,0)</f>
        <v/>
      </c>
      <c r="Z523">
        <f>IF(ABS(W523)&gt;1E-12,((LTP3!$D$5)*((P523)*(V523)-(U523)*(R523))-(S523)*((S523)*(V523)-(U523)*(T523))+(LTP3!$D$6)*((S523)*(R523)-(P523)*(T523)))/W523,0)</f>
        <v/>
      </c>
      <c r="AA523">
        <f>LTP3!$D$7-X523*LTP3!$D$6-Y523*U523-Z523*V523</f>
        <v/>
      </c>
      <c r="AB523">
        <f>IF(AND(F523,ABS(W523)&gt;1E-12,Y523&gt;0,Z523&gt;0),AA523,1E+300)</f>
        <v/>
      </c>
    </row>
    <row r="524">
      <c r="A524">
        <f>$B$3+$B$5*8</f>
        <v/>
      </c>
      <c r="B524">
        <f>$B$3+$B$5*24</f>
        <v/>
      </c>
      <c r="C524">
        <f>SUMPRODUCT(Calc!$K$3:$K$22*(Calc!$G$3:$G$22&lt;=A524))</f>
        <v/>
      </c>
      <c r="D524">
        <f>SUMPRODUCT(Calc!$K$3:$K$22*(Calc!$G$3:$G$22&gt;A524)*(Calc!$G$3:$G$22&lt;B524))</f>
        <v/>
      </c>
      <c r="E524">
        <f>SUMPRODUCT(Calc!$K$3:$K$22*(Calc!$G$3:$G$22&gt;=B524))</f>
        <v/>
      </c>
      <c r="F524">
        <f>AND(k_n&gt;=5,B524&gt;A524+1E-9,C524&gt;=2,D524&gt;=1,E524&gt;=2)</f>
        <v/>
      </c>
      <c r="G524">
        <f>SUMPRODUCT(Calc!$K$3:$K$22*(Calc!$G$3:$G$22&gt;A524)*(Calc!$G$3:$G$22-A524))</f>
        <v/>
      </c>
      <c r="H524">
        <f>SUMPRODUCT(Calc!$K$3:$K$22*(Calc!$G$3:$G$22&gt;B524)*(Calc!$G$3:$G$22-B524))</f>
        <v/>
      </c>
      <c r="I524">
        <f>SUMPRODUCT(Calc!$K$3:$K$22*(Calc!$G$3:$G$22&gt;A524)*(Calc!$G$3:$G$22-A524)^2)</f>
        <v/>
      </c>
      <c r="J524">
        <f>SUMPRODUCT(Calc!$K$3:$K$22*(Calc!$G$3:$G$22&gt;B524)*(Calc!$G$3:$G$22-B524)^2)</f>
        <v/>
      </c>
      <c r="K524">
        <f>SUMPRODUCT(Calc!$K$3:$K$22*(Calc!$G$3:$G$22&gt;A524)*(Calc!$G$3:$G$22-A524)*(Calc!$G$3:$G$22&gt;B524)*(Calc!$G$3:$G$22-B524))</f>
        <v/>
      </c>
      <c r="L524">
        <f>SUMPRODUCT(Calc!$K$3:$K$22*(Calc!$G$3:$G$22&gt;A524)*(Calc!$G$3:$G$22-A524)*Calc!$G$3:$G$22)</f>
        <v/>
      </c>
      <c r="M524">
        <f>SUMPRODUCT(Calc!$K$3:$K$22*(Calc!$G$3:$G$22&gt;B524)*(Calc!$G$3:$G$22-B524)*Calc!$G$3:$G$22)</f>
        <v/>
      </c>
      <c r="N524">
        <f>SUMPRODUCT(Calc!$K$3:$K$22*(Calc!$G$3:$G$22&gt;A524)*(Calc!$G$3:$G$22-A524)*Calc!$I$3:$I$22)</f>
        <v/>
      </c>
      <c r="O524">
        <f>SUMPRODUCT(Calc!$K$3:$K$22*(Calc!$G$3:$G$22&gt;B524)*(Calc!$G$3:$G$22-B524)*Calc!$I$3:$I$22)</f>
        <v/>
      </c>
      <c r="P524">
        <f>I524-G524^2/k_n</f>
        <v/>
      </c>
      <c r="Q524">
        <f>J524-H524^2/k_n</f>
        <v/>
      </c>
      <c r="R524">
        <f>K524-G524*H524/k_n</f>
        <v/>
      </c>
      <c r="S524">
        <f>L524-LTP3!$D$3*G524/k_n</f>
        <v/>
      </c>
      <c r="T524">
        <f>M524-LTP3!$D$3*H524/k_n</f>
        <v/>
      </c>
      <c r="U524">
        <f>N524-G524*LTP3!$D$4/k_n</f>
        <v/>
      </c>
      <c r="V524">
        <f>O524-H524*LTP3!$D$4/k_n</f>
        <v/>
      </c>
      <c r="W524">
        <f>((LTP3!$D$5)*((P524)*(Q524)-(R524)*(R524))-(S524)*((S524)*(Q524)-(R524)*(T524))+(T524)*((S524)*(R524)-(P524)*(T524)))</f>
        <v/>
      </c>
      <c r="X524">
        <f>IF(ABS(W524)&gt;1E-12,((LTP3!$D$6)*((P524)*(Q524)-(R524)*(R524))-(S524)*((U524)*(Q524)-(R524)*(V524))+(T524)*((U524)*(R524)-(P524)*(V524)))/W524,0)</f>
        <v/>
      </c>
      <c r="Y524">
        <f>IF(ABS(W524)&gt;1E-12,((LTP3!$D$5)*((U524)*(Q524)-(R524)*(V524))-(LTP3!$D$6)*((S524)*(Q524)-(R524)*(T524))+(T524)*((S524)*(V524)-(U524)*(T524)))/W524,0)</f>
        <v/>
      </c>
      <c r="Z524">
        <f>IF(ABS(W524)&gt;1E-12,((LTP3!$D$5)*((P524)*(V524)-(U524)*(R524))-(S524)*((S524)*(V524)-(U524)*(T524))+(LTP3!$D$6)*((S524)*(R524)-(P524)*(T524)))/W524,0)</f>
        <v/>
      </c>
      <c r="AA524">
        <f>LTP3!$D$7-X524*LTP3!$D$6-Y524*U524-Z524*V524</f>
        <v/>
      </c>
      <c r="AB524">
        <f>IF(AND(F524,ABS(W524)&gt;1E-12,Y524&gt;0,Z524&gt;0),AA524,1E+300)</f>
        <v/>
      </c>
    </row>
    <row r="525">
      <c r="A525">
        <f>$B$3+$B$5*8</f>
        <v/>
      </c>
      <c r="B525">
        <f>$B$3+$B$5*25</f>
        <v/>
      </c>
      <c r="C525">
        <f>SUMPRODUCT(Calc!$K$3:$K$22*(Calc!$G$3:$G$22&lt;=A525))</f>
        <v/>
      </c>
      <c r="D525">
        <f>SUMPRODUCT(Calc!$K$3:$K$22*(Calc!$G$3:$G$22&gt;A525)*(Calc!$G$3:$G$22&lt;B525))</f>
        <v/>
      </c>
      <c r="E525">
        <f>SUMPRODUCT(Calc!$K$3:$K$22*(Calc!$G$3:$G$22&gt;=B525))</f>
        <v/>
      </c>
      <c r="F525">
        <f>AND(k_n&gt;=5,B525&gt;A525+1E-9,C525&gt;=2,D525&gt;=1,E525&gt;=2)</f>
        <v/>
      </c>
      <c r="G525">
        <f>SUMPRODUCT(Calc!$K$3:$K$22*(Calc!$G$3:$G$22&gt;A525)*(Calc!$G$3:$G$22-A525))</f>
        <v/>
      </c>
      <c r="H525">
        <f>SUMPRODUCT(Calc!$K$3:$K$22*(Calc!$G$3:$G$22&gt;B525)*(Calc!$G$3:$G$22-B525))</f>
        <v/>
      </c>
      <c r="I525">
        <f>SUMPRODUCT(Calc!$K$3:$K$22*(Calc!$G$3:$G$22&gt;A525)*(Calc!$G$3:$G$22-A525)^2)</f>
        <v/>
      </c>
      <c r="J525">
        <f>SUMPRODUCT(Calc!$K$3:$K$22*(Calc!$G$3:$G$22&gt;B525)*(Calc!$G$3:$G$22-B525)^2)</f>
        <v/>
      </c>
      <c r="K525">
        <f>SUMPRODUCT(Calc!$K$3:$K$22*(Calc!$G$3:$G$22&gt;A525)*(Calc!$G$3:$G$22-A525)*(Calc!$G$3:$G$22&gt;B525)*(Calc!$G$3:$G$22-B525))</f>
        <v/>
      </c>
      <c r="L525">
        <f>SUMPRODUCT(Calc!$K$3:$K$22*(Calc!$G$3:$G$22&gt;A525)*(Calc!$G$3:$G$22-A525)*Calc!$G$3:$G$22)</f>
        <v/>
      </c>
      <c r="M525">
        <f>SUMPRODUCT(Calc!$K$3:$K$22*(Calc!$G$3:$G$22&gt;B525)*(Calc!$G$3:$G$22-B525)*Calc!$G$3:$G$22)</f>
        <v/>
      </c>
      <c r="N525">
        <f>SUMPRODUCT(Calc!$K$3:$K$22*(Calc!$G$3:$G$22&gt;A525)*(Calc!$G$3:$G$22-A525)*Calc!$I$3:$I$22)</f>
        <v/>
      </c>
      <c r="O525">
        <f>SUMPRODUCT(Calc!$K$3:$K$22*(Calc!$G$3:$G$22&gt;B525)*(Calc!$G$3:$G$22-B525)*Calc!$I$3:$I$22)</f>
        <v/>
      </c>
      <c r="P525">
        <f>I525-G525^2/k_n</f>
        <v/>
      </c>
      <c r="Q525">
        <f>J525-H525^2/k_n</f>
        <v/>
      </c>
      <c r="R525">
        <f>K525-G525*H525/k_n</f>
        <v/>
      </c>
      <c r="S525">
        <f>L525-LTP3!$D$3*G525/k_n</f>
        <v/>
      </c>
      <c r="T525">
        <f>M525-LTP3!$D$3*H525/k_n</f>
        <v/>
      </c>
      <c r="U525">
        <f>N525-G525*LTP3!$D$4/k_n</f>
        <v/>
      </c>
      <c r="V525">
        <f>O525-H525*LTP3!$D$4/k_n</f>
        <v/>
      </c>
      <c r="W525">
        <f>((LTP3!$D$5)*((P525)*(Q525)-(R525)*(R525))-(S525)*((S525)*(Q525)-(R525)*(T525))+(T525)*((S525)*(R525)-(P525)*(T525)))</f>
        <v/>
      </c>
      <c r="X525">
        <f>IF(ABS(W525)&gt;1E-12,((LTP3!$D$6)*((P525)*(Q525)-(R525)*(R525))-(S525)*((U525)*(Q525)-(R525)*(V525))+(T525)*((U525)*(R525)-(P525)*(V525)))/W525,0)</f>
        <v/>
      </c>
      <c r="Y525">
        <f>IF(ABS(W525)&gt;1E-12,((LTP3!$D$5)*((U525)*(Q525)-(R525)*(V525))-(LTP3!$D$6)*((S525)*(Q525)-(R525)*(T525))+(T525)*((S525)*(V525)-(U525)*(T525)))/W525,0)</f>
        <v/>
      </c>
      <c r="Z525">
        <f>IF(ABS(W525)&gt;1E-12,((LTP3!$D$5)*((P525)*(V525)-(U525)*(R525))-(S525)*((S525)*(V525)-(U525)*(T525))+(LTP3!$D$6)*((S525)*(R525)-(P525)*(T525)))/W525,0)</f>
        <v/>
      </c>
      <c r="AA525">
        <f>LTP3!$D$7-X525*LTP3!$D$6-Y525*U525-Z525*V525</f>
        <v/>
      </c>
      <c r="AB525">
        <f>IF(AND(F525,ABS(W525)&gt;1E-12,Y525&gt;0,Z525&gt;0),AA525,1E+300)</f>
        <v/>
      </c>
    </row>
    <row r="526">
      <c r="A526">
        <f>$B$3+$B$5*8</f>
        <v/>
      </c>
      <c r="B526">
        <f>$B$3+$B$5*26</f>
        <v/>
      </c>
      <c r="C526">
        <f>SUMPRODUCT(Calc!$K$3:$K$22*(Calc!$G$3:$G$22&lt;=A526))</f>
        <v/>
      </c>
      <c r="D526">
        <f>SUMPRODUCT(Calc!$K$3:$K$22*(Calc!$G$3:$G$22&gt;A526)*(Calc!$G$3:$G$22&lt;B526))</f>
        <v/>
      </c>
      <c r="E526">
        <f>SUMPRODUCT(Calc!$K$3:$K$22*(Calc!$G$3:$G$22&gt;=B526))</f>
        <v/>
      </c>
      <c r="F526">
        <f>AND(k_n&gt;=5,B526&gt;A526+1E-9,C526&gt;=2,D526&gt;=1,E526&gt;=2)</f>
        <v/>
      </c>
      <c r="G526">
        <f>SUMPRODUCT(Calc!$K$3:$K$22*(Calc!$G$3:$G$22&gt;A526)*(Calc!$G$3:$G$22-A526))</f>
        <v/>
      </c>
      <c r="H526">
        <f>SUMPRODUCT(Calc!$K$3:$K$22*(Calc!$G$3:$G$22&gt;B526)*(Calc!$G$3:$G$22-B526))</f>
        <v/>
      </c>
      <c r="I526">
        <f>SUMPRODUCT(Calc!$K$3:$K$22*(Calc!$G$3:$G$22&gt;A526)*(Calc!$G$3:$G$22-A526)^2)</f>
        <v/>
      </c>
      <c r="J526">
        <f>SUMPRODUCT(Calc!$K$3:$K$22*(Calc!$G$3:$G$22&gt;B526)*(Calc!$G$3:$G$22-B526)^2)</f>
        <v/>
      </c>
      <c r="K526">
        <f>SUMPRODUCT(Calc!$K$3:$K$22*(Calc!$G$3:$G$22&gt;A526)*(Calc!$G$3:$G$22-A526)*(Calc!$G$3:$G$22&gt;B526)*(Calc!$G$3:$G$22-B526))</f>
        <v/>
      </c>
      <c r="L526">
        <f>SUMPRODUCT(Calc!$K$3:$K$22*(Calc!$G$3:$G$22&gt;A526)*(Calc!$G$3:$G$22-A526)*Calc!$G$3:$G$22)</f>
        <v/>
      </c>
      <c r="M526">
        <f>SUMPRODUCT(Calc!$K$3:$K$22*(Calc!$G$3:$G$22&gt;B526)*(Calc!$G$3:$G$22-B526)*Calc!$G$3:$G$22)</f>
        <v/>
      </c>
      <c r="N526">
        <f>SUMPRODUCT(Calc!$K$3:$K$22*(Calc!$G$3:$G$22&gt;A526)*(Calc!$G$3:$G$22-A526)*Calc!$I$3:$I$22)</f>
        <v/>
      </c>
      <c r="O526">
        <f>SUMPRODUCT(Calc!$K$3:$K$22*(Calc!$G$3:$G$22&gt;B526)*(Calc!$G$3:$G$22-B526)*Calc!$I$3:$I$22)</f>
        <v/>
      </c>
      <c r="P526">
        <f>I526-G526^2/k_n</f>
        <v/>
      </c>
      <c r="Q526">
        <f>J526-H526^2/k_n</f>
        <v/>
      </c>
      <c r="R526">
        <f>K526-G526*H526/k_n</f>
        <v/>
      </c>
      <c r="S526">
        <f>L526-LTP3!$D$3*G526/k_n</f>
        <v/>
      </c>
      <c r="T526">
        <f>M526-LTP3!$D$3*H526/k_n</f>
        <v/>
      </c>
      <c r="U526">
        <f>N526-G526*LTP3!$D$4/k_n</f>
        <v/>
      </c>
      <c r="V526">
        <f>O526-H526*LTP3!$D$4/k_n</f>
        <v/>
      </c>
      <c r="W526">
        <f>((LTP3!$D$5)*((P526)*(Q526)-(R526)*(R526))-(S526)*((S526)*(Q526)-(R526)*(T526))+(T526)*((S526)*(R526)-(P526)*(T526)))</f>
        <v/>
      </c>
      <c r="X526">
        <f>IF(ABS(W526)&gt;1E-12,((LTP3!$D$6)*((P526)*(Q526)-(R526)*(R526))-(S526)*((U526)*(Q526)-(R526)*(V526))+(T526)*((U526)*(R526)-(P526)*(V526)))/W526,0)</f>
        <v/>
      </c>
      <c r="Y526">
        <f>IF(ABS(W526)&gt;1E-12,((LTP3!$D$5)*((U526)*(Q526)-(R526)*(V526))-(LTP3!$D$6)*((S526)*(Q526)-(R526)*(T526))+(T526)*((S526)*(V526)-(U526)*(T526)))/W526,0)</f>
        <v/>
      </c>
      <c r="Z526">
        <f>IF(ABS(W526)&gt;1E-12,((LTP3!$D$5)*((P526)*(V526)-(U526)*(R526))-(S526)*((S526)*(V526)-(U526)*(T526))+(LTP3!$D$6)*((S526)*(R526)-(P526)*(T526)))/W526,0)</f>
        <v/>
      </c>
      <c r="AA526">
        <f>LTP3!$D$7-X526*LTP3!$D$6-Y526*U526-Z526*V526</f>
        <v/>
      </c>
      <c r="AB526">
        <f>IF(AND(F526,ABS(W526)&gt;1E-12,Y526&gt;0,Z526&gt;0),AA526,1E+300)</f>
        <v/>
      </c>
    </row>
    <row r="527">
      <c r="A527">
        <f>$B$3+$B$5*8</f>
        <v/>
      </c>
      <c r="B527">
        <f>$B$3+$B$5*27</f>
        <v/>
      </c>
      <c r="C527">
        <f>SUMPRODUCT(Calc!$K$3:$K$22*(Calc!$G$3:$G$22&lt;=A527))</f>
        <v/>
      </c>
      <c r="D527">
        <f>SUMPRODUCT(Calc!$K$3:$K$22*(Calc!$G$3:$G$22&gt;A527)*(Calc!$G$3:$G$22&lt;B527))</f>
        <v/>
      </c>
      <c r="E527">
        <f>SUMPRODUCT(Calc!$K$3:$K$22*(Calc!$G$3:$G$22&gt;=B527))</f>
        <v/>
      </c>
      <c r="F527">
        <f>AND(k_n&gt;=5,B527&gt;A527+1E-9,C527&gt;=2,D527&gt;=1,E527&gt;=2)</f>
        <v/>
      </c>
      <c r="G527">
        <f>SUMPRODUCT(Calc!$K$3:$K$22*(Calc!$G$3:$G$22&gt;A527)*(Calc!$G$3:$G$22-A527))</f>
        <v/>
      </c>
      <c r="H527">
        <f>SUMPRODUCT(Calc!$K$3:$K$22*(Calc!$G$3:$G$22&gt;B527)*(Calc!$G$3:$G$22-B527))</f>
        <v/>
      </c>
      <c r="I527">
        <f>SUMPRODUCT(Calc!$K$3:$K$22*(Calc!$G$3:$G$22&gt;A527)*(Calc!$G$3:$G$22-A527)^2)</f>
        <v/>
      </c>
      <c r="J527">
        <f>SUMPRODUCT(Calc!$K$3:$K$22*(Calc!$G$3:$G$22&gt;B527)*(Calc!$G$3:$G$22-B527)^2)</f>
        <v/>
      </c>
      <c r="K527">
        <f>SUMPRODUCT(Calc!$K$3:$K$22*(Calc!$G$3:$G$22&gt;A527)*(Calc!$G$3:$G$22-A527)*(Calc!$G$3:$G$22&gt;B527)*(Calc!$G$3:$G$22-B527))</f>
        <v/>
      </c>
      <c r="L527">
        <f>SUMPRODUCT(Calc!$K$3:$K$22*(Calc!$G$3:$G$22&gt;A527)*(Calc!$G$3:$G$22-A527)*Calc!$G$3:$G$22)</f>
        <v/>
      </c>
      <c r="M527">
        <f>SUMPRODUCT(Calc!$K$3:$K$22*(Calc!$G$3:$G$22&gt;B527)*(Calc!$G$3:$G$22-B527)*Calc!$G$3:$G$22)</f>
        <v/>
      </c>
      <c r="N527">
        <f>SUMPRODUCT(Calc!$K$3:$K$22*(Calc!$G$3:$G$22&gt;A527)*(Calc!$G$3:$G$22-A527)*Calc!$I$3:$I$22)</f>
        <v/>
      </c>
      <c r="O527">
        <f>SUMPRODUCT(Calc!$K$3:$K$22*(Calc!$G$3:$G$22&gt;B527)*(Calc!$G$3:$G$22-B527)*Calc!$I$3:$I$22)</f>
        <v/>
      </c>
      <c r="P527">
        <f>I527-G527^2/k_n</f>
        <v/>
      </c>
      <c r="Q527">
        <f>J527-H527^2/k_n</f>
        <v/>
      </c>
      <c r="R527">
        <f>K527-G527*H527/k_n</f>
        <v/>
      </c>
      <c r="S527">
        <f>L527-LTP3!$D$3*G527/k_n</f>
        <v/>
      </c>
      <c r="T527">
        <f>M527-LTP3!$D$3*H527/k_n</f>
        <v/>
      </c>
      <c r="U527">
        <f>N527-G527*LTP3!$D$4/k_n</f>
        <v/>
      </c>
      <c r="V527">
        <f>O527-H527*LTP3!$D$4/k_n</f>
        <v/>
      </c>
      <c r="W527">
        <f>((LTP3!$D$5)*((P527)*(Q527)-(R527)*(R527))-(S527)*((S527)*(Q527)-(R527)*(T527))+(T527)*((S527)*(R527)-(P527)*(T527)))</f>
        <v/>
      </c>
      <c r="X527">
        <f>IF(ABS(W527)&gt;1E-12,((LTP3!$D$6)*((P527)*(Q527)-(R527)*(R527))-(S527)*((U527)*(Q527)-(R527)*(V527))+(T527)*((U527)*(R527)-(P527)*(V527)))/W527,0)</f>
        <v/>
      </c>
      <c r="Y527">
        <f>IF(ABS(W527)&gt;1E-12,((LTP3!$D$5)*((U527)*(Q527)-(R527)*(V527))-(LTP3!$D$6)*((S527)*(Q527)-(R527)*(T527))+(T527)*((S527)*(V527)-(U527)*(T527)))/W527,0)</f>
        <v/>
      </c>
      <c r="Z527">
        <f>IF(ABS(W527)&gt;1E-12,((LTP3!$D$5)*((P527)*(V527)-(U527)*(R527))-(S527)*((S527)*(V527)-(U527)*(T527))+(LTP3!$D$6)*((S527)*(R527)-(P527)*(T527)))/W527,0)</f>
        <v/>
      </c>
      <c r="AA527">
        <f>LTP3!$D$7-X527*LTP3!$D$6-Y527*U527-Z527*V527</f>
        <v/>
      </c>
      <c r="AB527">
        <f>IF(AND(F527,ABS(W527)&gt;1E-12,Y527&gt;0,Z527&gt;0),AA527,1E+300)</f>
        <v/>
      </c>
    </row>
    <row r="528">
      <c r="A528">
        <f>$B$3+$B$5*8</f>
        <v/>
      </c>
      <c r="B528">
        <f>$B$3+$B$5*28</f>
        <v/>
      </c>
      <c r="C528">
        <f>SUMPRODUCT(Calc!$K$3:$K$22*(Calc!$G$3:$G$22&lt;=A528))</f>
        <v/>
      </c>
      <c r="D528">
        <f>SUMPRODUCT(Calc!$K$3:$K$22*(Calc!$G$3:$G$22&gt;A528)*(Calc!$G$3:$G$22&lt;B528))</f>
        <v/>
      </c>
      <c r="E528">
        <f>SUMPRODUCT(Calc!$K$3:$K$22*(Calc!$G$3:$G$22&gt;=B528))</f>
        <v/>
      </c>
      <c r="F528">
        <f>AND(k_n&gt;=5,B528&gt;A528+1E-9,C528&gt;=2,D528&gt;=1,E528&gt;=2)</f>
        <v/>
      </c>
      <c r="G528">
        <f>SUMPRODUCT(Calc!$K$3:$K$22*(Calc!$G$3:$G$22&gt;A528)*(Calc!$G$3:$G$22-A528))</f>
        <v/>
      </c>
      <c r="H528">
        <f>SUMPRODUCT(Calc!$K$3:$K$22*(Calc!$G$3:$G$22&gt;B528)*(Calc!$G$3:$G$22-B528))</f>
        <v/>
      </c>
      <c r="I528">
        <f>SUMPRODUCT(Calc!$K$3:$K$22*(Calc!$G$3:$G$22&gt;A528)*(Calc!$G$3:$G$22-A528)^2)</f>
        <v/>
      </c>
      <c r="J528">
        <f>SUMPRODUCT(Calc!$K$3:$K$22*(Calc!$G$3:$G$22&gt;B528)*(Calc!$G$3:$G$22-B528)^2)</f>
        <v/>
      </c>
      <c r="K528">
        <f>SUMPRODUCT(Calc!$K$3:$K$22*(Calc!$G$3:$G$22&gt;A528)*(Calc!$G$3:$G$22-A528)*(Calc!$G$3:$G$22&gt;B528)*(Calc!$G$3:$G$22-B528))</f>
        <v/>
      </c>
      <c r="L528">
        <f>SUMPRODUCT(Calc!$K$3:$K$22*(Calc!$G$3:$G$22&gt;A528)*(Calc!$G$3:$G$22-A528)*Calc!$G$3:$G$22)</f>
        <v/>
      </c>
      <c r="M528">
        <f>SUMPRODUCT(Calc!$K$3:$K$22*(Calc!$G$3:$G$22&gt;B528)*(Calc!$G$3:$G$22-B528)*Calc!$G$3:$G$22)</f>
        <v/>
      </c>
      <c r="N528">
        <f>SUMPRODUCT(Calc!$K$3:$K$22*(Calc!$G$3:$G$22&gt;A528)*(Calc!$G$3:$G$22-A528)*Calc!$I$3:$I$22)</f>
        <v/>
      </c>
      <c r="O528">
        <f>SUMPRODUCT(Calc!$K$3:$K$22*(Calc!$G$3:$G$22&gt;B528)*(Calc!$G$3:$G$22-B528)*Calc!$I$3:$I$22)</f>
        <v/>
      </c>
      <c r="P528">
        <f>I528-G528^2/k_n</f>
        <v/>
      </c>
      <c r="Q528">
        <f>J528-H528^2/k_n</f>
        <v/>
      </c>
      <c r="R528">
        <f>K528-G528*H528/k_n</f>
        <v/>
      </c>
      <c r="S528">
        <f>L528-LTP3!$D$3*G528/k_n</f>
        <v/>
      </c>
      <c r="T528">
        <f>M528-LTP3!$D$3*H528/k_n</f>
        <v/>
      </c>
      <c r="U528">
        <f>N528-G528*LTP3!$D$4/k_n</f>
        <v/>
      </c>
      <c r="V528">
        <f>O528-H528*LTP3!$D$4/k_n</f>
        <v/>
      </c>
      <c r="W528">
        <f>((LTP3!$D$5)*((P528)*(Q528)-(R528)*(R528))-(S528)*((S528)*(Q528)-(R528)*(T528))+(T528)*((S528)*(R528)-(P528)*(T528)))</f>
        <v/>
      </c>
      <c r="X528">
        <f>IF(ABS(W528)&gt;1E-12,((LTP3!$D$6)*((P528)*(Q528)-(R528)*(R528))-(S528)*((U528)*(Q528)-(R528)*(V528))+(T528)*((U528)*(R528)-(P528)*(V528)))/W528,0)</f>
        <v/>
      </c>
      <c r="Y528">
        <f>IF(ABS(W528)&gt;1E-12,((LTP3!$D$5)*((U528)*(Q528)-(R528)*(V528))-(LTP3!$D$6)*((S528)*(Q528)-(R528)*(T528))+(T528)*((S528)*(V528)-(U528)*(T528)))/W528,0)</f>
        <v/>
      </c>
      <c r="Z528">
        <f>IF(ABS(W528)&gt;1E-12,((LTP3!$D$5)*((P528)*(V528)-(U528)*(R528))-(S528)*((S528)*(V528)-(U528)*(T528))+(LTP3!$D$6)*((S528)*(R528)-(P528)*(T528)))/W528,0)</f>
        <v/>
      </c>
      <c r="AA528">
        <f>LTP3!$D$7-X528*LTP3!$D$6-Y528*U528-Z528*V528</f>
        <v/>
      </c>
      <c r="AB528">
        <f>IF(AND(F528,ABS(W528)&gt;1E-12,Y528&gt;0,Z528&gt;0),AA528,1E+300)</f>
        <v/>
      </c>
    </row>
    <row r="529">
      <c r="A529">
        <f>$B$3+$B$5*8</f>
        <v/>
      </c>
      <c r="B529">
        <f>$B$3+$B$5*29</f>
        <v/>
      </c>
      <c r="C529">
        <f>SUMPRODUCT(Calc!$K$3:$K$22*(Calc!$G$3:$G$22&lt;=A529))</f>
        <v/>
      </c>
      <c r="D529">
        <f>SUMPRODUCT(Calc!$K$3:$K$22*(Calc!$G$3:$G$22&gt;A529)*(Calc!$G$3:$G$22&lt;B529))</f>
        <v/>
      </c>
      <c r="E529">
        <f>SUMPRODUCT(Calc!$K$3:$K$22*(Calc!$G$3:$G$22&gt;=B529))</f>
        <v/>
      </c>
      <c r="F529">
        <f>AND(k_n&gt;=5,B529&gt;A529+1E-9,C529&gt;=2,D529&gt;=1,E529&gt;=2)</f>
        <v/>
      </c>
      <c r="G529">
        <f>SUMPRODUCT(Calc!$K$3:$K$22*(Calc!$G$3:$G$22&gt;A529)*(Calc!$G$3:$G$22-A529))</f>
        <v/>
      </c>
      <c r="H529">
        <f>SUMPRODUCT(Calc!$K$3:$K$22*(Calc!$G$3:$G$22&gt;B529)*(Calc!$G$3:$G$22-B529))</f>
        <v/>
      </c>
      <c r="I529">
        <f>SUMPRODUCT(Calc!$K$3:$K$22*(Calc!$G$3:$G$22&gt;A529)*(Calc!$G$3:$G$22-A529)^2)</f>
        <v/>
      </c>
      <c r="J529">
        <f>SUMPRODUCT(Calc!$K$3:$K$22*(Calc!$G$3:$G$22&gt;B529)*(Calc!$G$3:$G$22-B529)^2)</f>
        <v/>
      </c>
      <c r="K529">
        <f>SUMPRODUCT(Calc!$K$3:$K$22*(Calc!$G$3:$G$22&gt;A529)*(Calc!$G$3:$G$22-A529)*(Calc!$G$3:$G$22&gt;B529)*(Calc!$G$3:$G$22-B529))</f>
        <v/>
      </c>
      <c r="L529">
        <f>SUMPRODUCT(Calc!$K$3:$K$22*(Calc!$G$3:$G$22&gt;A529)*(Calc!$G$3:$G$22-A529)*Calc!$G$3:$G$22)</f>
        <v/>
      </c>
      <c r="M529">
        <f>SUMPRODUCT(Calc!$K$3:$K$22*(Calc!$G$3:$G$22&gt;B529)*(Calc!$G$3:$G$22-B529)*Calc!$G$3:$G$22)</f>
        <v/>
      </c>
      <c r="N529">
        <f>SUMPRODUCT(Calc!$K$3:$K$22*(Calc!$G$3:$G$22&gt;A529)*(Calc!$G$3:$G$22-A529)*Calc!$I$3:$I$22)</f>
        <v/>
      </c>
      <c r="O529">
        <f>SUMPRODUCT(Calc!$K$3:$K$22*(Calc!$G$3:$G$22&gt;B529)*(Calc!$G$3:$G$22-B529)*Calc!$I$3:$I$22)</f>
        <v/>
      </c>
      <c r="P529">
        <f>I529-G529^2/k_n</f>
        <v/>
      </c>
      <c r="Q529">
        <f>J529-H529^2/k_n</f>
        <v/>
      </c>
      <c r="R529">
        <f>K529-G529*H529/k_n</f>
        <v/>
      </c>
      <c r="S529">
        <f>L529-LTP3!$D$3*G529/k_n</f>
        <v/>
      </c>
      <c r="T529">
        <f>M529-LTP3!$D$3*H529/k_n</f>
        <v/>
      </c>
      <c r="U529">
        <f>N529-G529*LTP3!$D$4/k_n</f>
        <v/>
      </c>
      <c r="V529">
        <f>O529-H529*LTP3!$D$4/k_n</f>
        <v/>
      </c>
      <c r="W529">
        <f>((LTP3!$D$5)*((P529)*(Q529)-(R529)*(R529))-(S529)*((S529)*(Q529)-(R529)*(T529))+(T529)*((S529)*(R529)-(P529)*(T529)))</f>
        <v/>
      </c>
      <c r="X529">
        <f>IF(ABS(W529)&gt;1E-12,((LTP3!$D$6)*((P529)*(Q529)-(R529)*(R529))-(S529)*((U529)*(Q529)-(R529)*(V529))+(T529)*((U529)*(R529)-(P529)*(V529)))/W529,0)</f>
        <v/>
      </c>
      <c r="Y529">
        <f>IF(ABS(W529)&gt;1E-12,((LTP3!$D$5)*((U529)*(Q529)-(R529)*(V529))-(LTP3!$D$6)*((S529)*(Q529)-(R529)*(T529))+(T529)*((S529)*(V529)-(U529)*(T529)))/W529,0)</f>
        <v/>
      </c>
      <c r="Z529">
        <f>IF(ABS(W529)&gt;1E-12,((LTP3!$D$5)*((P529)*(V529)-(U529)*(R529))-(S529)*((S529)*(V529)-(U529)*(T529))+(LTP3!$D$6)*((S529)*(R529)-(P529)*(T529)))/W529,0)</f>
        <v/>
      </c>
      <c r="AA529">
        <f>LTP3!$D$7-X529*LTP3!$D$6-Y529*U529-Z529*V529</f>
        <v/>
      </c>
      <c r="AB529">
        <f>IF(AND(F529,ABS(W529)&gt;1E-12,Y529&gt;0,Z529&gt;0),AA529,1E+300)</f>
        <v/>
      </c>
    </row>
    <row r="530">
      <c r="A530">
        <f>$B$3+$B$5*8</f>
        <v/>
      </c>
      <c r="B530">
        <f>$B$3+$B$5*30</f>
        <v/>
      </c>
      <c r="C530">
        <f>SUMPRODUCT(Calc!$K$3:$K$22*(Calc!$G$3:$G$22&lt;=A530))</f>
        <v/>
      </c>
      <c r="D530">
        <f>SUMPRODUCT(Calc!$K$3:$K$22*(Calc!$G$3:$G$22&gt;A530)*(Calc!$G$3:$G$22&lt;B530))</f>
        <v/>
      </c>
      <c r="E530">
        <f>SUMPRODUCT(Calc!$K$3:$K$22*(Calc!$G$3:$G$22&gt;=B530))</f>
        <v/>
      </c>
      <c r="F530">
        <f>AND(k_n&gt;=5,B530&gt;A530+1E-9,C530&gt;=2,D530&gt;=1,E530&gt;=2)</f>
        <v/>
      </c>
      <c r="G530">
        <f>SUMPRODUCT(Calc!$K$3:$K$22*(Calc!$G$3:$G$22&gt;A530)*(Calc!$G$3:$G$22-A530))</f>
        <v/>
      </c>
      <c r="H530">
        <f>SUMPRODUCT(Calc!$K$3:$K$22*(Calc!$G$3:$G$22&gt;B530)*(Calc!$G$3:$G$22-B530))</f>
        <v/>
      </c>
      <c r="I530">
        <f>SUMPRODUCT(Calc!$K$3:$K$22*(Calc!$G$3:$G$22&gt;A530)*(Calc!$G$3:$G$22-A530)^2)</f>
        <v/>
      </c>
      <c r="J530">
        <f>SUMPRODUCT(Calc!$K$3:$K$22*(Calc!$G$3:$G$22&gt;B530)*(Calc!$G$3:$G$22-B530)^2)</f>
        <v/>
      </c>
      <c r="K530">
        <f>SUMPRODUCT(Calc!$K$3:$K$22*(Calc!$G$3:$G$22&gt;A530)*(Calc!$G$3:$G$22-A530)*(Calc!$G$3:$G$22&gt;B530)*(Calc!$G$3:$G$22-B530))</f>
        <v/>
      </c>
      <c r="L530">
        <f>SUMPRODUCT(Calc!$K$3:$K$22*(Calc!$G$3:$G$22&gt;A530)*(Calc!$G$3:$G$22-A530)*Calc!$G$3:$G$22)</f>
        <v/>
      </c>
      <c r="M530">
        <f>SUMPRODUCT(Calc!$K$3:$K$22*(Calc!$G$3:$G$22&gt;B530)*(Calc!$G$3:$G$22-B530)*Calc!$G$3:$G$22)</f>
        <v/>
      </c>
      <c r="N530">
        <f>SUMPRODUCT(Calc!$K$3:$K$22*(Calc!$G$3:$G$22&gt;A530)*(Calc!$G$3:$G$22-A530)*Calc!$I$3:$I$22)</f>
        <v/>
      </c>
      <c r="O530">
        <f>SUMPRODUCT(Calc!$K$3:$K$22*(Calc!$G$3:$G$22&gt;B530)*(Calc!$G$3:$G$22-B530)*Calc!$I$3:$I$22)</f>
        <v/>
      </c>
      <c r="P530">
        <f>I530-G530^2/k_n</f>
        <v/>
      </c>
      <c r="Q530">
        <f>J530-H530^2/k_n</f>
        <v/>
      </c>
      <c r="R530">
        <f>K530-G530*H530/k_n</f>
        <v/>
      </c>
      <c r="S530">
        <f>L530-LTP3!$D$3*G530/k_n</f>
        <v/>
      </c>
      <c r="T530">
        <f>M530-LTP3!$D$3*H530/k_n</f>
        <v/>
      </c>
      <c r="U530">
        <f>N530-G530*LTP3!$D$4/k_n</f>
        <v/>
      </c>
      <c r="V530">
        <f>O530-H530*LTP3!$D$4/k_n</f>
        <v/>
      </c>
      <c r="W530">
        <f>((LTP3!$D$5)*((P530)*(Q530)-(R530)*(R530))-(S530)*((S530)*(Q530)-(R530)*(T530))+(T530)*((S530)*(R530)-(P530)*(T530)))</f>
        <v/>
      </c>
      <c r="X530">
        <f>IF(ABS(W530)&gt;1E-12,((LTP3!$D$6)*((P530)*(Q530)-(R530)*(R530))-(S530)*((U530)*(Q530)-(R530)*(V530))+(T530)*((U530)*(R530)-(P530)*(V530)))/W530,0)</f>
        <v/>
      </c>
      <c r="Y530">
        <f>IF(ABS(W530)&gt;1E-12,((LTP3!$D$5)*((U530)*(Q530)-(R530)*(V530))-(LTP3!$D$6)*((S530)*(Q530)-(R530)*(T530))+(T530)*((S530)*(V530)-(U530)*(T530)))/W530,0)</f>
        <v/>
      </c>
      <c r="Z530">
        <f>IF(ABS(W530)&gt;1E-12,((LTP3!$D$5)*((P530)*(V530)-(U530)*(R530))-(S530)*((S530)*(V530)-(U530)*(T530))+(LTP3!$D$6)*((S530)*(R530)-(P530)*(T530)))/W530,0)</f>
        <v/>
      </c>
      <c r="AA530">
        <f>LTP3!$D$7-X530*LTP3!$D$6-Y530*U530-Z530*V530</f>
        <v/>
      </c>
      <c r="AB530">
        <f>IF(AND(F530,ABS(W530)&gt;1E-12,Y530&gt;0,Z530&gt;0),AA530,1E+300)</f>
        <v/>
      </c>
    </row>
    <row r="531">
      <c r="A531">
        <f>$B$3+$B$5*8</f>
        <v/>
      </c>
      <c r="B531">
        <f>$B$3+$B$5*31</f>
        <v/>
      </c>
      <c r="C531">
        <f>SUMPRODUCT(Calc!$K$3:$K$22*(Calc!$G$3:$G$22&lt;=A531))</f>
        <v/>
      </c>
      <c r="D531">
        <f>SUMPRODUCT(Calc!$K$3:$K$22*(Calc!$G$3:$G$22&gt;A531)*(Calc!$G$3:$G$22&lt;B531))</f>
        <v/>
      </c>
      <c r="E531">
        <f>SUMPRODUCT(Calc!$K$3:$K$22*(Calc!$G$3:$G$22&gt;=B531))</f>
        <v/>
      </c>
      <c r="F531">
        <f>AND(k_n&gt;=5,B531&gt;A531+1E-9,C531&gt;=2,D531&gt;=1,E531&gt;=2)</f>
        <v/>
      </c>
      <c r="G531">
        <f>SUMPRODUCT(Calc!$K$3:$K$22*(Calc!$G$3:$G$22&gt;A531)*(Calc!$G$3:$G$22-A531))</f>
        <v/>
      </c>
      <c r="H531">
        <f>SUMPRODUCT(Calc!$K$3:$K$22*(Calc!$G$3:$G$22&gt;B531)*(Calc!$G$3:$G$22-B531))</f>
        <v/>
      </c>
      <c r="I531">
        <f>SUMPRODUCT(Calc!$K$3:$K$22*(Calc!$G$3:$G$22&gt;A531)*(Calc!$G$3:$G$22-A531)^2)</f>
        <v/>
      </c>
      <c r="J531">
        <f>SUMPRODUCT(Calc!$K$3:$K$22*(Calc!$G$3:$G$22&gt;B531)*(Calc!$G$3:$G$22-B531)^2)</f>
        <v/>
      </c>
      <c r="K531">
        <f>SUMPRODUCT(Calc!$K$3:$K$22*(Calc!$G$3:$G$22&gt;A531)*(Calc!$G$3:$G$22-A531)*(Calc!$G$3:$G$22&gt;B531)*(Calc!$G$3:$G$22-B531))</f>
        <v/>
      </c>
      <c r="L531">
        <f>SUMPRODUCT(Calc!$K$3:$K$22*(Calc!$G$3:$G$22&gt;A531)*(Calc!$G$3:$G$22-A531)*Calc!$G$3:$G$22)</f>
        <v/>
      </c>
      <c r="M531">
        <f>SUMPRODUCT(Calc!$K$3:$K$22*(Calc!$G$3:$G$22&gt;B531)*(Calc!$G$3:$G$22-B531)*Calc!$G$3:$G$22)</f>
        <v/>
      </c>
      <c r="N531">
        <f>SUMPRODUCT(Calc!$K$3:$K$22*(Calc!$G$3:$G$22&gt;A531)*(Calc!$G$3:$G$22-A531)*Calc!$I$3:$I$22)</f>
        <v/>
      </c>
      <c r="O531">
        <f>SUMPRODUCT(Calc!$K$3:$K$22*(Calc!$G$3:$G$22&gt;B531)*(Calc!$G$3:$G$22-B531)*Calc!$I$3:$I$22)</f>
        <v/>
      </c>
      <c r="P531">
        <f>I531-G531^2/k_n</f>
        <v/>
      </c>
      <c r="Q531">
        <f>J531-H531^2/k_n</f>
        <v/>
      </c>
      <c r="R531">
        <f>K531-G531*H531/k_n</f>
        <v/>
      </c>
      <c r="S531">
        <f>L531-LTP3!$D$3*G531/k_n</f>
        <v/>
      </c>
      <c r="T531">
        <f>M531-LTP3!$D$3*H531/k_n</f>
        <v/>
      </c>
      <c r="U531">
        <f>N531-G531*LTP3!$D$4/k_n</f>
        <v/>
      </c>
      <c r="V531">
        <f>O531-H531*LTP3!$D$4/k_n</f>
        <v/>
      </c>
      <c r="W531">
        <f>((LTP3!$D$5)*((P531)*(Q531)-(R531)*(R531))-(S531)*((S531)*(Q531)-(R531)*(T531))+(T531)*((S531)*(R531)-(P531)*(T531)))</f>
        <v/>
      </c>
      <c r="X531">
        <f>IF(ABS(W531)&gt;1E-12,((LTP3!$D$6)*((P531)*(Q531)-(R531)*(R531))-(S531)*((U531)*(Q531)-(R531)*(V531))+(T531)*((U531)*(R531)-(P531)*(V531)))/W531,0)</f>
        <v/>
      </c>
      <c r="Y531">
        <f>IF(ABS(W531)&gt;1E-12,((LTP3!$D$5)*((U531)*(Q531)-(R531)*(V531))-(LTP3!$D$6)*((S531)*(Q531)-(R531)*(T531))+(T531)*((S531)*(V531)-(U531)*(T531)))/W531,0)</f>
        <v/>
      </c>
      <c r="Z531">
        <f>IF(ABS(W531)&gt;1E-12,((LTP3!$D$5)*((P531)*(V531)-(U531)*(R531))-(S531)*((S531)*(V531)-(U531)*(T531))+(LTP3!$D$6)*((S531)*(R531)-(P531)*(T531)))/W531,0)</f>
        <v/>
      </c>
      <c r="AA531">
        <f>LTP3!$D$7-X531*LTP3!$D$6-Y531*U531-Z531*V531</f>
        <v/>
      </c>
      <c r="AB531">
        <f>IF(AND(F531,ABS(W531)&gt;1E-12,Y531&gt;0,Z531&gt;0),AA531,1E+300)</f>
        <v/>
      </c>
    </row>
    <row r="532">
      <c r="A532">
        <f>$B$3+$B$5*8</f>
        <v/>
      </c>
      <c r="B532">
        <f>$B$3+$B$5*32</f>
        <v/>
      </c>
      <c r="C532">
        <f>SUMPRODUCT(Calc!$K$3:$K$22*(Calc!$G$3:$G$22&lt;=A532))</f>
        <v/>
      </c>
      <c r="D532">
        <f>SUMPRODUCT(Calc!$K$3:$K$22*(Calc!$G$3:$G$22&gt;A532)*(Calc!$G$3:$G$22&lt;B532))</f>
        <v/>
      </c>
      <c r="E532">
        <f>SUMPRODUCT(Calc!$K$3:$K$22*(Calc!$G$3:$G$22&gt;=B532))</f>
        <v/>
      </c>
      <c r="F532">
        <f>AND(k_n&gt;=5,B532&gt;A532+1E-9,C532&gt;=2,D532&gt;=1,E532&gt;=2)</f>
        <v/>
      </c>
      <c r="G532">
        <f>SUMPRODUCT(Calc!$K$3:$K$22*(Calc!$G$3:$G$22&gt;A532)*(Calc!$G$3:$G$22-A532))</f>
        <v/>
      </c>
      <c r="H532">
        <f>SUMPRODUCT(Calc!$K$3:$K$22*(Calc!$G$3:$G$22&gt;B532)*(Calc!$G$3:$G$22-B532))</f>
        <v/>
      </c>
      <c r="I532">
        <f>SUMPRODUCT(Calc!$K$3:$K$22*(Calc!$G$3:$G$22&gt;A532)*(Calc!$G$3:$G$22-A532)^2)</f>
        <v/>
      </c>
      <c r="J532">
        <f>SUMPRODUCT(Calc!$K$3:$K$22*(Calc!$G$3:$G$22&gt;B532)*(Calc!$G$3:$G$22-B532)^2)</f>
        <v/>
      </c>
      <c r="K532">
        <f>SUMPRODUCT(Calc!$K$3:$K$22*(Calc!$G$3:$G$22&gt;A532)*(Calc!$G$3:$G$22-A532)*(Calc!$G$3:$G$22&gt;B532)*(Calc!$G$3:$G$22-B532))</f>
        <v/>
      </c>
      <c r="L532">
        <f>SUMPRODUCT(Calc!$K$3:$K$22*(Calc!$G$3:$G$22&gt;A532)*(Calc!$G$3:$G$22-A532)*Calc!$G$3:$G$22)</f>
        <v/>
      </c>
      <c r="M532">
        <f>SUMPRODUCT(Calc!$K$3:$K$22*(Calc!$G$3:$G$22&gt;B532)*(Calc!$G$3:$G$22-B532)*Calc!$G$3:$G$22)</f>
        <v/>
      </c>
      <c r="N532">
        <f>SUMPRODUCT(Calc!$K$3:$K$22*(Calc!$G$3:$G$22&gt;A532)*(Calc!$G$3:$G$22-A532)*Calc!$I$3:$I$22)</f>
        <v/>
      </c>
      <c r="O532">
        <f>SUMPRODUCT(Calc!$K$3:$K$22*(Calc!$G$3:$G$22&gt;B532)*(Calc!$G$3:$G$22-B532)*Calc!$I$3:$I$22)</f>
        <v/>
      </c>
      <c r="P532">
        <f>I532-G532^2/k_n</f>
        <v/>
      </c>
      <c r="Q532">
        <f>J532-H532^2/k_n</f>
        <v/>
      </c>
      <c r="R532">
        <f>K532-G532*H532/k_n</f>
        <v/>
      </c>
      <c r="S532">
        <f>L532-LTP3!$D$3*G532/k_n</f>
        <v/>
      </c>
      <c r="T532">
        <f>M532-LTP3!$D$3*H532/k_n</f>
        <v/>
      </c>
      <c r="U532">
        <f>N532-G532*LTP3!$D$4/k_n</f>
        <v/>
      </c>
      <c r="V532">
        <f>O532-H532*LTP3!$D$4/k_n</f>
        <v/>
      </c>
      <c r="W532">
        <f>((LTP3!$D$5)*((P532)*(Q532)-(R532)*(R532))-(S532)*((S532)*(Q532)-(R532)*(T532))+(T532)*((S532)*(R532)-(P532)*(T532)))</f>
        <v/>
      </c>
      <c r="X532">
        <f>IF(ABS(W532)&gt;1E-12,((LTP3!$D$6)*((P532)*(Q532)-(R532)*(R532))-(S532)*((U532)*(Q532)-(R532)*(V532))+(T532)*((U532)*(R532)-(P532)*(V532)))/W532,0)</f>
        <v/>
      </c>
      <c r="Y532">
        <f>IF(ABS(W532)&gt;1E-12,((LTP3!$D$5)*((U532)*(Q532)-(R532)*(V532))-(LTP3!$D$6)*((S532)*(Q532)-(R532)*(T532))+(T532)*((S532)*(V532)-(U532)*(T532)))/W532,0)</f>
        <v/>
      </c>
      <c r="Z532">
        <f>IF(ABS(W532)&gt;1E-12,((LTP3!$D$5)*((P532)*(V532)-(U532)*(R532))-(S532)*((S532)*(V532)-(U532)*(T532))+(LTP3!$D$6)*((S532)*(R532)-(P532)*(T532)))/W532,0)</f>
        <v/>
      </c>
      <c r="AA532">
        <f>LTP3!$D$7-X532*LTP3!$D$6-Y532*U532-Z532*V532</f>
        <v/>
      </c>
      <c r="AB532">
        <f>IF(AND(F532,ABS(W532)&gt;1E-12,Y532&gt;0,Z532&gt;0),AA532,1E+300)</f>
        <v/>
      </c>
    </row>
    <row r="533">
      <c r="A533">
        <f>$B$3+$B$5*8</f>
        <v/>
      </c>
      <c r="B533">
        <f>$B$3+$B$5*33</f>
        <v/>
      </c>
      <c r="C533">
        <f>SUMPRODUCT(Calc!$K$3:$K$22*(Calc!$G$3:$G$22&lt;=A533))</f>
        <v/>
      </c>
      <c r="D533">
        <f>SUMPRODUCT(Calc!$K$3:$K$22*(Calc!$G$3:$G$22&gt;A533)*(Calc!$G$3:$G$22&lt;B533))</f>
        <v/>
      </c>
      <c r="E533">
        <f>SUMPRODUCT(Calc!$K$3:$K$22*(Calc!$G$3:$G$22&gt;=B533))</f>
        <v/>
      </c>
      <c r="F533">
        <f>AND(k_n&gt;=5,B533&gt;A533+1E-9,C533&gt;=2,D533&gt;=1,E533&gt;=2)</f>
        <v/>
      </c>
      <c r="G533">
        <f>SUMPRODUCT(Calc!$K$3:$K$22*(Calc!$G$3:$G$22&gt;A533)*(Calc!$G$3:$G$22-A533))</f>
        <v/>
      </c>
      <c r="H533">
        <f>SUMPRODUCT(Calc!$K$3:$K$22*(Calc!$G$3:$G$22&gt;B533)*(Calc!$G$3:$G$22-B533))</f>
        <v/>
      </c>
      <c r="I533">
        <f>SUMPRODUCT(Calc!$K$3:$K$22*(Calc!$G$3:$G$22&gt;A533)*(Calc!$G$3:$G$22-A533)^2)</f>
        <v/>
      </c>
      <c r="J533">
        <f>SUMPRODUCT(Calc!$K$3:$K$22*(Calc!$G$3:$G$22&gt;B533)*(Calc!$G$3:$G$22-B533)^2)</f>
        <v/>
      </c>
      <c r="K533">
        <f>SUMPRODUCT(Calc!$K$3:$K$22*(Calc!$G$3:$G$22&gt;A533)*(Calc!$G$3:$G$22-A533)*(Calc!$G$3:$G$22&gt;B533)*(Calc!$G$3:$G$22-B533))</f>
        <v/>
      </c>
      <c r="L533">
        <f>SUMPRODUCT(Calc!$K$3:$K$22*(Calc!$G$3:$G$22&gt;A533)*(Calc!$G$3:$G$22-A533)*Calc!$G$3:$G$22)</f>
        <v/>
      </c>
      <c r="M533">
        <f>SUMPRODUCT(Calc!$K$3:$K$22*(Calc!$G$3:$G$22&gt;B533)*(Calc!$G$3:$G$22-B533)*Calc!$G$3:$G$22)</f>
        <v/>
      </c>
      <c r="N533">
        <f>SUMPRODUCT(Calc!$K$3:$K$22*(Calc!$G$3:$G$22&gt;A533)*(Calc!$G$3:$G$22-A533)*Calc!$I$3:$I$22)</f>
        <v/>
      </c>
      <c r="O533">
        <f>SUMPRODUCT(Calc!$K$3:$K$22*(Calc!$G$3:$G$22&gt;B533)*(Calc!$G$3:$G$22-B533)*Calc!$I$3:$I$22)</f>
        <v/>
      </c>
      <c r="P533">
        <f>I533-G533^2/k_n</f>
        <v/>
      </c>
      <c r="Q533">
        <f>J533-H533^2/k_n</f>
        <v/>
      </c>
      <c r="R533">
        <f>K533-G533*H533/k_n</f>
        <v/>
      </c>
      <c r="S533">
        <f>L533-LTP3!$D$3*G533/k_n</f>
        <v/>
      </c>
      <c r="T533">
        <f>M533-LTP3!$D$3*H533/k_n</f>
        <v/>
      </c>
      <c r="U533">
        <f>N533-G533*LTP3!$D$4/k_n</f>
        <v/>
      </c>
      <c r="V533">
        <f>O533-H533*LTP3!$D$4/k_n</f>
        <v/>
      </c>
      <c r="W533">
        <f>((LTP3!$D$5)*((P533)*(Q533)-(R533)*(R533))-(S533)*((S533)*(Q533)-(R533)*(T533))+(T533)*((S533)*(R533)-(P533)*(T533)))</f>
        <v/>
      </c>
      <c r="X533">
        <f>IF(ABS(W533)&gt;1E-12,((LTP3!$D$6)*((P533)*(Q533)-(R533)*(R533))-(S533)*((U533)*(Q533)-(R533)*(V533))+(T533)*((U533)*(R533)-(P533)*(V533)))/W533,0)</f>
        <v/>
      </c>
      <c r="Y533">
        <f>IF(ABS(W533)&gt;1E-12,((LTP3!$D$5)*((U533)*(Q533)-(R533)*(V533))-(LTP3!$D$6)*((S533)*(Q533)-(R533)*(T533))+(T533)*((S533)*(V533)-(U533)*(T533)))/W533,0)</f>
        <v/>
      </c>
      <c r="Z533">
        <f>IF(ABS(W533)&gt;1E-12,((LTP3!$D$5)*((P533)*(V533)-(U533)*(R533))-(S533)*((S533)*(V533)-(U533)*(T533))+(LTP3!$D$6)*((S533)*(R533)-(P533)*(T533)))/W533,0)</f>
        <v/>
      </c>
      <c r="AA533">
        <f>LTP3!$D$7-X533*LTP3!$D$6-Y533*U533-Z533*V533</f>
        <v/>
      </c>
      <c r="AB533">
        <f>IF(AND(F533,ABS(W533)&gt;1E-12,Y533&gt;0,Z533&gt;0),AA533,1E+300)</f>
        <v/>
      </c>
    </row>
    <row r="534">
      <c r="A534">
        <f>$B$3+$B$5*8</f>
        <v/>
      </c>
      <c r="B534">
        <f>$B$3+$B$5*34</f>
        <v/>
      </c>
      <c r="C534">
        <f>SUMPRODUCT(Calc!$K$3:$K$22*(Calc!$G$3:$G$22&lt;=A534))</f>
        <v/>
      </c>
      <c r="D534">
        <f>SUMPRODUCT(Calc!$K$3:$K$22*(Calc!$G$3:$G$22&gt;A534)*(Calc!$G$3:$G$22&lt;B534))</f>
        <v/>
      </c>
      <c r="E534">
        <f>SUMPRODUCT(Calc!$K$3:$K$22*(Calc!$G$3:$G$22&gt;=B534))</f>
        <v/>
      </c>
      <c r="F534">
        <f>AND(k_n&gt;=5,B534&gt;A534+1E-9,C534&gt;=2,D534&gt;=1,E534&gt;=2)</f>
        <v/>
      </c>
      <c r="G534">
        <f>SUMPRODUCT(Calc!$K$3:$K$22*(Calc!$G$3:$G$22&gt;A534)*(Calc!$G$3:$G$22-A534))</f>
        <v/>
      </c>
      <c r="H534">
        <f>SUMPRODUCT(Calc!$K$3:$K$22*(Calc!$G$3:$G$22&gt;B534)*(Calc!$G$3:$G$22-B534))</f>
        <v/>
      </c>
      <c r="I534">
        <f>SUMPRODUCT(Calc!$K$3:$K$22*(Calc!$G$3:$G$22&gt;A534)*(Calc!$G$3:$G$22-A534)^2)</f>
        <v/>
      </c>
      <c r="J534">
        <f>SUMPRODUCT(Calc!$K$3:$K$22*(Calc!$G$3:$G$22&gt;B534)*(Calc!$G$3:$G$22-B534)^2)</f>
        <v/>
      </c>
      <c r="K534">
        <f>SUMPRODUCT(Calc!$K$3:$K$22*(Calc!$G$3:$G$22&gt;A534)*(Calc!$G$3:$G$22-A534)*(Calc!$G$3:$G$22&gt;B534)*(Calc!$G$3:$G$22-B534))</f>
        <v/>
      </c>
      <c r="L534">
        <f>SUMPRODUCT(Calc!$K$3:$K$22*(Calc!$G$3:$G$22&gt;A534)*(Calc!$G$3:$G$22-A534)*Calc!$G$3:$G$22)</f>
        <v/>
      </c>
      <c r="M534">
        <f>SUMPRODUCT(Calc!$K$3:$K$22*(Calc!$G$3:$G$22&gt;B534)*(Calc!$G$3:$G$22-B534)*Calc!$G$3:$G$22)</f>
        <v/>
      </c>
      <c r="N534">
        <f>SUMPRODUCT(Calc!$K$3:$K$22*(Calc!$G$3:$G$22&gt;A534)*(Calc!$G$3:$G$22-A534)*Calc!$I$3:$I$22)</f>
        <v/>
      </c>
      <c r="O534">
        <f>SUMPRODUCT(Calc!$K$3:$K$22*(Calc!$G$3:$G$22&gt;B534)*(Calc!$G$3:$G$22-B534)*Calc!$I$3:$I$22)</f>
        <v/>
      </c>
      <c r="P534">
        <f>I534-G534^2/k_n</f>
        <v/>
      </c>
      <c r="Q534">
        <f>J534-H534^2/k_n</f>
        <v/>
      </c>
      <c r="R534">
        <f>K534-G534*H534/k_n</f>
        <v/>
      </c>
      <c r="S534">
        <f>L534-LTP3!$D$3*G534/k_n</f>
        <v/>
      </c>
      <c r="T534">
        <f>M534-LTP3!$D$3*H534/k_n</f>
        <v/>
      </c>
      <c r="U534">
        <f>N534-G534*LTP3!$D$4/k_n</f>
        <v/>
      </c>
      <c r="V534">
        <f>O534-H534*LTP3!$D$4/k_n</f>
        <v/>
      </c>
      <c r="W534">
        <f>((LTP3!$D$5)*((P534)*(Q534)-(R534)*(R534))-(S534)*((S534)*(Q534)-(R534)*(T534))+(T534)*((S534)*(R534)-(P534)*(T534)))</f>
        <v/>
      </c>
      <c r="X534">
        <f>IF(ABS(W534)&gt;1E-12,((LTP3!$D$6)*((P534)*(Q534)-(R534)*(R534))-(S534)*((U534)*(Q534)-(R534)*(V534))+(T534)*((U534)*(R534)-(P534)*(V534)))/W534,0)</f>
        <v/>
      </c>
      <c r="Y534">
        <f>IF(ABS(W534)&gt;1E-12,((LTP3!$D$5)*((U534)*(Q534)-(R534)*(V534))-(LTP3!$D$6)*((S534)*(Q534)-(R534)*(T534))+(T534)*((S534)*(V534)-(U534)*(T534)))/W534,0)</f>
        <v/>
      </c>
      <c r="Z534">
        <f>IF(ABS(W534)&gt;1E-12,((LTP3!$D$5)*((P534)*(V534)-(U534)*(R534))-(S534)*((S534)*(V534)-(U534)*(T534))+(LTP3!$D$6)*((S534)*(R534)-(P534)*(T534)))/W534,0)</f>
        <v/>
      </c>
      <c r="AA534">
        <f>LTP3!$D$7-X534*LTP3!$D$6-Y534*U534-Z534*V534</f>
        <v/>
      </c>
      <c r="AB534">
        <f>IF(AND(F534,ABS(W534)&gt;1E-12,Y534&gt;0,Z534&gt;0),AA534,1E+300)</f>
        <v/>
      </c>
    </row>
    <row r="535">
      <c r="A535">
        <f>$B$3+$B$5*8</f>
        <v/>
      </c>
      <c r="B535">
        <f>$B$3+$B$5*35</f>
        <v/>
      </c>
      <c r="C535">
        <f>SUMPRODUCT(Calc!$K$3:$K$22*(Calc!$G$3:$G$22&lt;=A535))</f>
        <v/>
      </c>
      <c r="D535">
        <f>SUMPRODUCT(Calc!$K$3:$K$22*(Calc!$G$3:$G$22&gt;A535)*(Calc!$G$3:$G$22&lt;B535))</f>
        <v/>
      </c>
      <c r="E535">
        <f>SUMPRODUCT(Calc!$K$3:$K$22*(Calc!$G$3:$G$22&gt;=B535))</f>
        <v/>
      </c>
      <c r="F535">
        <f>AND(k_n&gt;=5,B535&gt;A535+1E-9,C535&gt;=2,D535&gt;=1,E535&gt;=2)</f>
        <v/>
      </c>
      <c r="G535">
        <f>SUMPRODUCT(Calc!$K$3:$K$22*(Calc!$G$3:$G$22&gt;A535)*(Calc!$G$3:$G$22-A535))</f>
        <v/>
      </c>
      <c r="H535">
        <f>SUMPRODUCT(Calc!$K$3:$K$22*(Calc!$G$3:$G$22&gt;B535)*(Calc!$G$3:$G$22-B535))</f>
        <v/>
      </c>
      <c r="I535">
        <f>SUMPRODUCT(Calc!$K$3:$K$22*(Calc!$G$3:$G$22&gt;A535)*(Calc!$G$3:$G$22-A535)^2)</f>
        <v/>
      </c>
      <c r="J535">
        <f>SUMPRODUCT(Calc!$K$3:$K$22*(Calc!$G$3:$G$22&gt;B535)*(Calc!$G$3:$G$22-B535)^2)</f>
        <v/>
      </c>
      <c r="K535">
        <f>SUMPRODUCT(Calc!$K$3:$K$22*(Calc!$G$3:$G$22&gt;A535)*(Calc!$G$3:$G$22-A535)*(Calc!$G$3:$G$22&gt;B535)*(Calc!$G$3:$G$22-B535))</f>
        <v/>
      </c>
      <c r="L535">
        <f>SUMPRODUCT(Calc!$K$3:$K$22*(Calc!$G$3:$G$22&gt;A535)*(Calc!$G$3:$G$22-A535)*Calc!$G$3:$G$22)</f>
        <v/>
      </c>
      <c r="M535">
        <f>SUMPRODUCT(Calc!$K$3:$K$22*(Calc!$G$3:$G$22&gt;B535)*(Calc!$G$3:$G$22-B535)*Calc!$G$3:$G$22)</f>
        <v/>
      </c>
      <c r="N535">
        <f>SUMPRODUCT(Calc!$K$3:$K$22*(Calc!$G$3:$G$22&gt;A535)*(Calc!$G$3:$G$22-A535)*Calc!$I$3:$I$22)</f>
        <v/>
      </c>
      <c r="O535">
        <f>SUMPRODUCT(Calc!$K$3:$K$22*(Calc!$G$3:$G$22&gt;B535)*(Calc!$G$3:$G$22-B535)*Calc!$I$3:$I$22)</f>
        <v/>
      </c>
      <c r="P535">
        <f>I535-G535^2/k_n</f>
        <v/>
      </c>
      <c r="Q535">
        <f>J535-H535^2/k_n</f>
        <v/>
      </c>
      <c r="R535">
        <f>K535-G535*H535/k_n</f>
        <v/>
      </c>
      <c r="S535">
        <f>L535-LTP3!$D$3*G535/k_n</f>
        <v/>
      </c>
      <c r="T535">
        <f>M535-LTP3!$D$3*H535/k_n</f>
        <v/>
      </c>
      <c r="U535">
        <f>N535-G535*LTP3!$D$4/k_n</f>
        <v/>
      </c>
      <c r="V535">
        <f>O535-H535*LTP3!$D$4/k_n</f>
        <v/>
      </c>
      <c r="W535">
        <f>((LTP3!$D$5)*((P535)*(Q535)-(R535)*(R535))-(S535)*((S535)*(Q535)-(R535)*(T535))+(T535)*((S535)*(R535)-(P535)*(T535)))</f>
        <v/>
      </c>
      <c r="X535">
        <f>IF(ABS(W535)&gt;1E-12,((LTP3!$D$6)*((P535)*(Q535)-(R535)*(R535))-(S535)*((U535)*(Q535)-(R535)*(V535))+(T535)*((U535)*(R535)-(P535)*(V535)))/W535,0)</f>
        <v/>
      </c>
      <c r="Y535">
        <f>IF(ABS(W535)&gt;1E-12,((LTP3!$D$5)*((U535)*(Q535)-(R535)*(V535))-(LTP3!$D$6)*((S535)*(Q535)-(R535)*(T535))+(T535)*((S535)*(V535)-(U535)*(T535)))/W535,0)</f>
        <v/>
      </c>
      <c r="Z535">
        <f>IF(ABS(W535)&gt;1E-12,((LTP3!$D$5)*((P535)*(V535)-(U535)*(R535))-(S535)*((S535)*(V535)-(U535)*(T535))+(LTP3!$D$6)*((S535)*(R535)-(P535)*(T535)))/W535,0)</f>
        <v/>
      </c>
      <c r="AA535">
        <f>LTP3!$D$7-X535*LTP3!$D$6-Y535*U535-Z535*V535</f>
        <v/>
      </c>
      <c r="AB535">
        <f>IF(AND(F535,ABS(W535)&gt;1E-12,Y535&gt;0,Z535&gt;0),AA535,1E+300)</f>
        <v/>
      </c>
    </row>
    <row r="536">
      <c r="A536">
        <f>$B$3+$B$5*8</f>
        <v/>
      </c>
      <c r="B536">
        <f>$B$3+$B$5*36</f>
        <v/>
      </c>
      <c r="C536">
        <f>SUMPRODUCT(Calc!$K$3:$K$22*(Calc!$G$3:$G$22&lt;=A536))</f>
        <v/>
      </c>
      <c r="D536">
        <f>SUMPRODUCT(Calc!$K$3:$K$22*(Calc!$G$3:$G$22&gt;A536)*(Calc!$G$3:$G$22&lt;B536))</f>
        <v/>
      </c>
      <c r="E536">
        <f>SUMPRODUCT(Calc!$K$3:$K$22*(Calc!$G$3:$G$22&gt;=B536))</f>
        <v/>
      </c>
      <c r="F536">
        <f>AND(k_n&gt;=5,B536&gt;A536+1E-9,C536&gt;=2,D536&gt;=1,E536&gt;=2)</f>
        <v/>
      </c>
      <c r="G536">
        <f>SUMPRODUCT(Calc!$K$3:$K$22*(Calc!$G$3:$G$22&gt;A536)*(Calc!$G$3:$G$22-A536))</f>
        <v/>
      </c>
      <c r="H536">
        <f>SUMPRODUCT(Calc!$K$3:$K$22*(Calc!$G$3:$G$22&gt;B536)*(Calc!$G$3:$G$22-B536))</f>
        <v/>
      </c>
      <c r="I536">
        <f>SUMPRODUCT(Calc!$K$3:$K$22*(Calc!$G$3:$G$22&gt;A536)*(Calc!$G$3:$G$22-A536)^2)</f>
        <v/>
      </c>
      <c r="J536">
        <f>SUMPRODUCT(Calc!$K$3:$K$22*(Calc!$G$3:$G$22&gt;B536)*(Calc!$G$3:$G$22-B536)^2)</f>
        <v/>
      </c>
      <c r="K536">
        <f>SUMPRODUCT(Calc!$K$3:$K$22*(Calc!$G$3:$G$22&gt;A536)*(Calc!$G$3:$G$22-A536)*(Calc!$G$3:$G$22&gt;B536)*(Calc!$G$3:$G$22-B536))</f>
        <v/>
      </c>
      <c r="L536">
        <f>SUMPRODUCT(Calc!$K$3:$K$22*(Calc!$G$3:$G$22&gt;A536)*(Calc!$G$3:$G$22-A536)*Calc!$G$3:$G$22)</f>
        <v/>
      </c>
      <c r="M536">
        <f>SUMPRODUCT(Calc!$K$3:$K$22*(Calc!$G$3:$G$22&gt;B536)*(Calc!$G$3:$G$22-B536)*Calc!$G$3:$G$22)</f>
        <v/>
      </c>
      <c r="N536">
        <f>SUMPRODUCT(Calc!$K$3:$K$22*(Calc!$G$3:$G$22&gt;A536)*(Calc!$G$3:$G$22-A536)*Calc!$I$3:$I$22)</f>
        <v/>
      </c>
      <c r="O536">
        <f>SUMPRODUCT(Calc!$K$3:$K$22*(Calc!$G$3:$G$22&gt;B536)*(Calc!$G$3:$G$22-B536)*Calc!$I$3:$I$22)</f>
        <v/>
      </c>
      <c r="P536">
        <f>I536-G536^2/k_n</f>
        <v/>
      </c>
      <c r="Q536">
        <f>J536-H536^2/k_n</f>
        <v/>
      </c>
      <c r="R536">
        <f>K536-G536*H536/k_n</f>
        <v/>
      </c>
      <c r="S536">
        <f>L536-LTP3!$D$3*G536/k_n</f>
        <v/>
      </c>
      <c r="T536">
        <f>M536-LTP3!$D$3*H536/k_n</f>
        <v/>
      </c>
      <c r="U536">
        <f>N536-G536*LTP3!$D$4/k_n</f>
        <v/>
      </c>
      <c r="V536">
        <f>O536-H536*LTP3!$D$4/k_n</f>
        <v/>
      </c>
      <c r="W536">
        <f>((LTP3!$D$5)*((P536)*(Q536)-(R536)*(R536))-(S536)*((S536)*(Q536)-(R536)*(T536))+(T536)*((S536)*(R536)-(P536)*(T536)))</f>
        <v/>
      </c>
      <c r="X536">
        <f>IF(ABS(W536)&gt;1E-12,((LTP3!$D$6)*((P536)*(Q536)-(R536)*(R536))-(S536)*((U536)*(Q536)-(R536)*(V536))+(T536)*((U536)*(R536)-(P536)*(V536)))/W536,0)</f>
        <v/>
      </c>
      <c r="Y536">
        <f>IF(ABS(W536)&gt;1E-12,((LTP3!$D$5)*((U536)*(Q536)-(R536)*(V536))-(LTP3!$D$6)*((S536)*(Q536)-(R536)*(T536))+(T536)*((S536)*(V536)-(U536)*(T536)))/W536,0)</f>
        <v/>
      </c>
      <c r="Z536">
        <f>IF(ABS(W536)&gt;1E-12,((LTP3!$D$5)*((P536)*(V536)-(U536)*(R536))-(S536)*((S536)*(V536)-(U536)*(T536))+(LTP3!$D$6)*((S536)*(R536)-(P536)*(T536)))/W536,0)</f>
        <v/>
      </c>
      <c r="AA536">
        <f>LTP3!$D$7-X536*LTP3!$D$6-Y536*U536-Z536*V536</f>
        <v/>
      </c>
      <c r="AB536">
        <f>IF(AND(F536,ABS(W536)&gt;1E-12,Y536&gt;0,Z536&gt;0),AA536,1E+300)</f>
        <v/>
      </c>
    </row>
    <row r="537">
      <c r="A537">
        <f>$B$3+$B$5*8</f>
        <v/>
      </c>
      <c r="B537">
        <f>$B$3+$B$5*37</f>
        <v/>
      </c>
      <c r="C537">
        <f>SUMPRODUCT(Calc!$K$3:$K$22*(Calc!$G$3:$G$22&lt;=A537))</f>
        <v/>
      </c>
      <c r="D537">
        <f>SUMPRODUCT(Calc!$K$3:$K$22*(Calc!$G$3:$G$22&gt;A537)*(Calc!$G$3:$G$22&lt;B537))</f>
        <v/>
      </c>
      <c r="E537">
        <f>SUMPRODUCT(Calc!$K$3:$K$22*(Calc!$G$3:$G$22&gt;=B537))</f>
        <v/>
      </c>
      <c r="F537">
        <f>AND(k_n&gt;=5,B537&gt;A537+1E-9,C537&gt;=2,D537&gt;=1,E537&gt;=2)</f>
        <v/>
      </c>
      <c r="G537">
        <f>SUMPRODUCT(Calc!$K$3:$K$22*(Calc!$G$3:$G$22&gt;A537)*(Calc!$G$3:$G$22-A537))</f>
        <v/>
      </c>
      <c r="H537">
        <f>SUMPRODUCT(Calc!$K$3:$K$22*(Calc!$G$3:$G$22&gt;B537)*(Calc!$G$3:$G$22-B537))</f>
        <v/>
      </c>
      <c r="I537">
        <f>SUMPRODUCT(Calc!$K$3:$K$22*(Calc!$G$3:$G$22&gt;A537)*(Calc!$G$3:$G$22-A537)^2)</f>
        <v/>
      </c>
      <c r="J537">
        <f>SUMPRODUCT(Calc!$K$3:$K$22*(Calc!$G$3:$G$22&gt;B537)*(Calc!$G$3:$G$22-B537)^2)</f>
        <v/>
      </c>
      <c r="K537">
        <f>SUMPRODUCT(Calc!$K$3:$K$22*(Calc!$G$3:$G$22&gt;A537)*(Calc!$G$3:$G$22-A537)*(Calc!$G$3:$G$22&gt;B537)*(Calc!$G$3:$G$22-B537))</f>
        <v/>
      </c>
      <c r="L537">
        <f>SUMPRODUCT(Calc!$K$3:$K$22*(Calc!$G$3:$G$22&gt;A537)*(Calc!$G$3:$G$22-A537)*Calc!$G$3:$G$22)</f>
        <v/>
      </c>
      <c r="M537">
        <f>SUMPRODUCT(Calc!$K$3:$K$22*(Calc!$G$3:$G$22&gt;B537)*(Calc!$G$3:$G$22-B537)*Calc!$G$3:$G$22)</f>
        <v/>
      </c>
      <c r="N537">
        <f>SUMPRODUCT(Calc!$K$3:$K$22*(Calc!$G$3:$G$22&gt;A537)*(Calc!$G$3:$G$22-A537)*Calc!$I$3:$I$22)</f>
        <v/>
      </c>
      <c r="O537">
        <f>SUMPRODUCT(Calc!$K$3:$K$22*(Calc!$G$3:$G$22&gt;B537)*(Calc!$G$3:$G$22-B537)*Calc!$I$3:$I$22)</f>
        <v/>
      </c>
      <c r="P537">
        <f>I537-G537^2/k_n</f>
        <v/>
      </c>
      <c r="Q537">
        <f>J537-H537^2/k_n</f>
        <v/>
      </c>
      <c r="R537">
        <f>K537-G537*H537/k_n</f>
        <v/>
      </c>
      <c r="S537">
        <f>L537-LTP3!$D$3*G537/k_n</f>
        <v/>
      </c>
      <c r="T537">
        <f>M537-LTP3!$D$3*H537/k_n</f>
        <v/>
      </c>
      <c r="U537">
        <f>N537-G537*LTP3!$D$4/k_n</f>
        <v/>
      </c>
      <c r="V537">
        <f>O537-H537*LTP3!$D$4/k_n</f>
        <v/>
      </c>
      <c r="W537">
        <f>((LTP3!$D$5)*((P537)*(Q537)-(R537)*(R537))-(S537)*((S537)*(Q537)-(R537)*(T537))+(T537)*((S537)*(R537)-(P537)*(T537)))</f>
        <v/>
      </c>
      <c r="X537">
        <f>IF(ABS(W537)&gt;1E-12,((LTP3!$D$6)*((P537)*(Q537)-(R537)*(R537))-(S537)*((U537)*(Q537)-(R537)*(V537))+(T537)*((U537)*(R537)-(P537)*(V537)))/W537,0)</f>
        <v/>
      </c>
      <c r="Y537">
        <f>IF(ABS(W537)&gt;1E-12,((LTP3!$D$5)*((U537)*(Q537)-(R537)*(V537))-(LTP3!$D$6)*((S537)*(Q537)-(R537)*(T537))+(T537)*((S537)*(V537)-(U537)*(T537)))/W537,0)</f>
        <v/>
      </c>
      <c r="Z537">
        <f>IF(ABS(W537)&gt;1E-12,((LTP3!$D$5)*((P537)*(V537)-(U537)*(R537))-(S537)*((S537)*(V537)-(U537)*(T537))+(LTP3!$D$6)*((S537)*(R537)-(P537)*(T537)))/W537,0)</f>
        <v/>
      </c>
      <c r="AA537">
        <f>LTP3!$D$7-X537*LTP3!$D$6-Y537*U537-Z537*V537</f>
        <v/>
      </c>
      <c r="AB537">
        <f>IF(AND(F537,ABS(W537)&gt;1E-12,Y537&gt;0,Z537&gt;0),AA537,1E+300)</f>
        <v/>
      </c>
    </row>
    <row r="538">
      <c r="A538">
        <f>$B$3+$B$5*8</f>
        <v/>
      </c>
      <c r="B538">
        <f>$B$3+$B$5*38</f>
        <v/>
      </c>
      <c r="C538">
        <f>SUMPRODUCT(Calc!$K$3:$K$22*(Calc!$G$3:$G$22&lt;=A538))</f>
        <v/>
      </c>
      <c r="D538">
        <f>SUMPRODUCT(Calc!$K$3:$K$22*(Calc!$G$3:$G$22&gt;A538)*(Calc!$G$3:$G$22&lt;B538))</f>
        <v/>
      </c>
      <c r="E538">
        <f>SUMPRODUCT(Calc!$K$3:$K$22*(Calc!$G$3:$G$22&gt;=B538))</f>
        <v/>
      </c>
      <c r="F538">
        <f>AND(k_n&gt;=5,B538&gt;A538+1E-9,C538&gt;=2,D538&gt;=1,E538&gt;=2)</f>
        <v/>
      </c>
      <c r="G538">
        <f>SUMPRODUCT(Calc!$K$3:$K$22*(Calc!$G$3:$G$22&gt;A538)*(Calc!$G$3:$G$22-A538))</f>
        <v/>
      </c>
      <c r="H538">
        <f>SUMPRODUCT(Calc!$K$3:$K$22*(Calc!$G$3:$G$22&gt;B538)*(Calc!$G$3:$G$22-B538))</f>
        <v/>
      </c>
      <c r="I538">
        <f>SUMPRODUCT(Calc!$K$3:$K$22*(Calc!$G$3:$G$22&gt;A538)*(Calc!$G$3:$G$22-A538)^2)</f>
        <v/>
      </c>
      <c r="J538">
        <f>SUMPRODUCT(Calc!$K$3:$K$22*(Calc!$G$3:$G$22&gt;B538)*(Calc!$G$3:$G$22-B538)^2)</f>
        <v/>
      </c>
      <c r="K538">
        <f>SUMPRODUCT(Calc!$K$3:$K$22*(Calc!$G$3:$G$22&gt;A538)*(Calc!$G$3:$G$22-A538)*(Calc!$G$3:$G$22&gt;B538)*(Calc!$G$3:$G$22-B538))</f>
        <v/>
      </c>
      <c r="L538">
        <f>SUMPRODUCT(Calc!$K$3:$K$22*(Calc!$G$3:$G$22&gt;A538)*(Calc!$G$3:$G$22-A538)*Calc!$G$3:$G$22)</f>
        <v/>
      </c>
      <c r="M538">
        <f>SUMPRODUCT(Calc!$K$3:$K$22*(Calc!$G$3:$G$22&gt;B538)*(Calc!$G$3:$G$22-B538)*Calc!$G$3:$G$22)</f>
        <v/>
      </c>
      <c r="N538">
        <f>SUMPRODUCT(Calc!$K$3:$K$22*(Calc!$G$3:$G$22&gt;A538)*(Calc!$G$3:$G$22-A538)*Calc!$I$3:$I$22)</f>
        <v/>
      </c>
      <c r="O538">
        <f>SUMPRODUCT(Calc!$K$3:$K$22*(Calc!$G$3:$G$22&gt;B538)*(Calc!$G$3:$G$22-B538)*Calc!$I$3:$I$22)</f>
        <v/>
      </c>
      <c r="P538">
        <f>I538-G538^2/k_n</f>
        <v/>
      </c>
      <c r="Q538">
        <f>J538-H538^2/k_n</f>
        <v/>
      </c>
      <c r="R538">
        <f>K538-G538*H538/k_n</f>
        <v/>
      </c>
      <c r="S538">
        <f>L538-LTP3!$D$3*G538/k_n</f>
        <v/>
      </c>
      <c r="T538">
        <f>M538-LTP3!$D$3*H538/k_n</f>
        <v/>
      </c>
      <c r="U538">
        <f>N538-G538*LTP3!$D$4/k_n</f>
        <v/>
      </c>
      <c r="V538">
        <f>O538-H538*LTP3!$D$4/k_n</f>
        <v/>
      </c>
      <c r="W538">
        <f>((LTP3!$D$5)*((P538)*(Q538)-(R538)*(R538))-(S538)*((S538)*(Q538)-(R538)*(T538))+(T538)*((S538)*(R538)-(P538)*(T538)))</f>
        <v/>
      </c>
      <c r="X538">
        <f>IF(ABS(W538)&gt;1E-12,((LTP3!$D$6)*((P538)*(Q538)-(R538)*(R538))-(S538)*((U538)*(Q538)-(R538)*(V538))+(T538)*((U538)*(R538)-(P538)*(V538)))/W538,0)</f>
        <v/>
      </c>
      <c r="Y538">
        <f>IF(ABS(W538)&gt;1E-12,((LTP3!$D$5)*((U538)*(Q538)-(R538)*(V538))-(LTP3!$D$6)*((S538)*(Q538)-(R538)*(T538))+(T538)*((S538)*(V538)-(U538)*(T538)))/W538,0)</f>
        <v/>
      </c>
      <c r="Z538">
        <f>IF(ABS(W538)&gt;1E-12,((LTP3!$D$5)*((P538)*(V538)-(U538)*(R538))-(S538)*((S538)*(V538)-(U538)*(T538))+(LTP3!$D$6)*((S538)*(R538)-(P538)*(T538)))/W538,0)</f>
        <v/>
      </c>
      <c r="AA538">
        <f>LTP3!$D$7-X538*LTP3!$D$6-Y538*U538-Z538*V538</f>
        <v/>
      </c>
      <c r="AB538">
        <f>IF(AND(F538,ABS(W538)&gt;1E-12,Y538&gt;0,Z538&gt;0),AA538,1E+300)</f>
        <v/>
      </c>
    </row>
    <row r="539">
      <c r="A539">
        <f>$B$3+$B$5*8</f>
        <v/>
      </c>
      <c r="B539">
        <f>$B$3+$B$5*39</f>
        <v/>
      </c>
      <c r="C539">
        <f>SUMPRODUCT(Calc!$K$3:$K$22*(Calc!$G$3:$G$22&lt;=A539))</f>
        <v/>
      </c>
      <c r="D539">
        <f>SUMPRODUCT(Calc!$K$3:$K$22*(Calc!$G$3:$G$22&gt;A539)*(Calc!$G$3:$G$22&lt;B539))</f>
        <v/>
      </c>
      <c r="E539">
        <f>SUMPRODUCT(Calc!$K$3:$K$22*(Calc!$G$3:$G$22&gt;=B539))</f>
        <v/>
      </c>
      <c r="F539">
        <f>AND(k_n&gt;=5,B539&gt;A539+1E-9,C539&gt;=2,D539&gt;=1,E539&gt;=2)</f>
        <v/>
      </c>
      <c r="G539">
        <f>SUMPRODUCT(Calc!$K$3:$K$22*(Calc!$G$3:$G$22&gt;A539)*(Calc!$G$3:$G$22-A539))</f>
        <v/>
      </c>
      <c r="H539">
        <f>SUMPRODUCT(Calc!$K$3:$K$22*(Calc!$G$3:$G$22&gt;B539)*(Calc!$G$3:$G$22-B539))</f>
        <v/>
      </c>
      <c r="I539">
        <f>SUMPRODUCT(Calc!$K$3:$K$22*(Calc!$G$3:$G$22&gt;A539)*(Calc!$G$3:$G$22-A539)^2)</f>
        <v/>
      </c>
      <c r="J539">
        <f>SUMPRODUCT(Calc!$K$3:$K$22*(Calc!$G$3:$G$22&gt;B539)*(Calc!$G$3:$G$22-B539)^2)</f>
        <v/>
      </c>
      <c r="K539">
        <f>SUMPRODUCT(Calc!$K$3:$K$22*(Calc!$G$3:$G$22&gt;A539)*(Calc!$G$3:$G$22-A539)*(Calc!$G$3:$G$22&gt;B539)*(Calc!$G$3:$G$22-B539))</f>
        <v/>
      </c>
      <c r="L539">
        <f>SUMPRODUCT(Calc!$K$3:$K$22*(Calc!$G$3:$G$22&gt;A539)*(Calc!$G$3:$G$22-A539)*Calc!$G$3:$G$22)</f>
        <v/>
      </c>
      <c r="M539">
        <f>SUMPRODUCT(Calc!$K$3:$K$22*(Calc!$G$3:$G$22&gt;B539)*(Calc!$G$3:$G$22-B539)*Calc!$G$3:$G$22)</f>
        <v/>
      </c>
      <c r="N539">
        <f>SUMPRODUCT(Calc!$K$3:$K$22*(Calc!$G$3:$G$22&gt;A539)*(Calc!$G$3:$G$22-A539)*Calc!$I$3:$I$22)</f>
        <v/>
      </c>
      <c r="O539">
        <f>SUMPRODUCT(Calc!$K$3:$K$22*(Calc!$G$3:$G$22&gt;B539)*(Calc!$G$3:$G$22-B539)*Calc!$I$3:$I$22)</f>
        <v/>
      </c>
      <c r="P539">
        <f>I539-G539^2/k_n</f>
        <v/>
      </c>
      <c r="Q539">
        <f>J539-H539^2/k_n</f>
        <v/>
      </c>
      <c r="R539">
        <f>K539-G539*H539/k_n</f>
        <v/>
      </c>
      <c r="S539">
        <f>L539-LTP3!$D$3*G539/k_n</f>
        <v/>
      </c>
      <c r="T539">
        <f>M539-LTP3!$D$3*H539/k_n</f>
        <v/>
      </c>
      <c r="U539">
        <f>N539-G539*LTP3!$D$4/k_n</f>
        <v/>
      </c>
      <c r="V539">
        <f>O539-H539*LTP3!$D$4/k_n</f>
        <v/>
      </c>
      <c r="W539">
        <f>((LTP3!$D$5)*((P539)*(Q539)-(R539)*(R539))-(S539)*((S539)*(Q539)-(R539)*(T539))+(T539)*((S539)*(R539)-(P539)*(T539)))</f>
        <v/>
      </c>
      <c r="X539">
        <f>IF(ABS(W539)&gt;1E-12,((LTP3!$D$6)*((P539)*(Q539)-(R539)*(R539))-(S539)*((U539)*(Q539)-(R539)*(V539))+(T539)*((U539)*(R539)-(P539)*(V539)))/W539,0)</f>
        <v/>
      </c>
      <c r="Y539">
        <f>IF(ABS(W539)&gt;1E-12,((LTP3!$D$5)*((U539)*(Q539)-(R539)*(V539))-(LTP3!$D$6)*((S539)*(Q539)-(R539)*(T539))+(T539)*((S539)*(V539)-(U539)*(T539)))/W539,0)</f>
        <v/>
      </c>
      <c r="Z539">
        <f>IF(ABS(W539)&gt;1E-12,((LTP3!$D$5)*((P539)*(V539)-(U539)*(R539))-(S539)*((S539)*(V539)-(U539)*(T539))+(LTP3!$D$6)*((S539)*(R539)-(P539)*(T539)))/W539,0)</f>
        <v/>
      </c>
      <c r="AA539">
        <f>LTP3!$D$7-X539*LTP3!$D$6-Y539*U539-Z539*V539</f>
        <v/>
      </c>
      <c r="AB539">
        <f>IF(AND(F539,ABS(W539)&gt;1E-12,Y539&gt;0,Z539&gt;0),AA539,1E+300)</f>
        <v/>
      </c>
    </row>
    <row r="540">
      <c r="A540">
        <f>$B$3+$B$5*8</f>
        <v/>
      </c>
      <c r="B540">
        <f>$B$3+$B$5*40</f>
        <v/>
      </c>
      <c r="C540">
        <f>SUMPRODUCT(Calc!$K$3:$K$22*(Calc!$G$3:$G$22&lt;=A540))</f>
        <v/>
      </c>
      <c r="D540">
        <f>SUMPRODUCT(Calc!$K$3:$K$22*(Calc!$G$3:$G$22&gt;A540)*(Calc!$G$3:$G$22&lt;B540))</f>
        <v/>
      </c>
      <c r="E540">
        <f>SUMPRODUCT(Calc!$K$3:$K$22*(Calc!$G$3:$G$22&gt;=B540))</f>
        <v/>
      </c>
      <c r="F540">
        <f>AND(k_n&gt;=5,B540&gt;A540+1E-9,C540&gt;=2,D540&gt;=1,E540&gt;=2)</f>
        <v/>
      </c>
      <c r="G540">
        <f>SUMPRODUCT(Calc!$K$3:$K$22*(Calc!$G$3:$G$22&gt;A540)*(Calc!$G$3:$G$22-A540))</f>
        <v/>
      </c>
      <c r="H540">
        <f>SUMPRODUCT(Calc!$K$3:$K$22*(Calc!$G$3:$G$22&gt;B540)*(Calc!$G$3:$G$22-B540))</f>
        <v/>
      </c>
      <c r="I540">
        <f>SUMPRODUCT(Calc!$K$3:$K$22*(Calc!$G$3:$G$22&gt;A540)*(Calc!$G$3:$G$22-A540)^2)</f>
        <v/>
      </c>
      <c r="J540">
        <f>SUMPRODUCT(Calc!$K$3:$K$22*(Calc!$G$3:$G$22&gt;B540)*(Calc!$G$3:$G$22-B540)^2)</f>
        <v/>
      </c>
      <c r="K540">
        <f>SUMPRODUCT(Calc!$K$3:$K$22*(Calc!$G$3:$G$22&gt;A540)*(Calc!$G$3:$G$22-A540)*(Calc!$G$3:$G$22&gt;B540)*(Calc!$G$3:$G$22-B540))</f>
        <v/>
      </c>
      <c r="L540">
        <f>SUMPRODUCT(Calc!$K$3:$K$22*(Calc!$G$3:$G$22&gt;A540)*(Calc!$G$3:$G$22-A540)*Calc!$G$3:$G$22)</f>
        <v/>
      </c>
      <c r="M540">
        <f>SUMPRODUCT(Calc!$K$3:$K$22*(Calc!$G$3:$G$22&gt;B540)*(Calc!$G$3:$G$22-B540)*Calc!$G$3:$G$22)</f>
        <v/>
      </c>
      <c r="N540">
        <f>SUMPRODUCT(Calc!$K$3:$K$22*(Calc!$G$3:$G$22&gt;A540)*(Calc!$G$3:$G$22-A540)*Calc!$I$3:$I$22)</f>
        <v/>
      </c>
      <c r="O540">
        <f>SUMPRODUCT(Calc!$K$3:$K$22*(Calc!$G$3:$G$22&gt;B540)*(Calc!$G$3:$G$22-B540)*Calc!$I$3:$I$22)</f>
        <v/>
      </c>
      <c r="P540">
        <f>I540-G540^2/k_n</f>
        <v/>
      </c>
      <c r="Q540">
        <f>J540-H540^2/k_n</f>
        <v/>
      </c>
      <c r="R540">
        <f>K540-G540*H540/k_n</f>
        <v/>
      </c>
      <c r="S540">
        <f>L540-LTP3!$D$3*G540/k_n</f>
        <v/>
      </c>
      <c r="T540">
        <f>M540-LTP3!$D$3*H540/k_n</f>
        <v/>
      </c>
      <c r="U540">
        <f>N540-G540*LTP3!$D$4/k_n</f>
        <v/>
      </c>
      <c r="V540">
        <f>O540-H540*LTP3!$D$4/k_n</f>
        <v/>
      </c>
      <c r="W540">
        <f>((LTP3!$D$5)*((P540)*(Q540)-(R540)*(R540))-(S540)*((S540)*(Q540)-(R540)*(T540))+(T540)*((S540)*(R540)-(P540)*(T540)))</f>
        <v/>
      </c>
      <c r="X540">
        <f>IF(ABS(W540)&gt;1E-12,((LTP3!$D$6)*((P540)*(Q540)-(R540)*(R540))-(S540)*((U540)*(Q540)-(R540)*(V540))+(T540)*((U540)*(R540)-(P540)*(V540)))/W540,0)</f>
        <v/>
      </c>
      <c r="Y540">
        <f>IF(ABS(W540)&gt;1E-12,((LTP3!$D$5)*((U540)*(Q540)-(R540)*(V540))-(LTP3!$D$6)*((S540)*(Q540)-(R540)*(T540))+(T540)*((S540)*(V540)-(U540)*(T540)))/W540,0)</f>
        <v/>
      </c>
      <c r="Z540">
        <f>IF(ABS(W540)&gt;1E-12,((LTP3!$D$5)*((P540)*(V540)-(U540)*(R540))-(S540)*((S540)*(V540)-(U540)*(T540))+(LTP3!$D$6)*((S540)*(R540)-(P540)*(T540)))/W540,0)</f>
        <v/>
      </c>
      <c r="AA540">
        <f>LTP3!$D$7-X540*LTP3!$D$6-Y540*U540-Z540*V540</f>
        <v/>
      </c>
      <c r="AB540">
        <f>IF(AND(F540,ABS(W540)&gt;1E-12,Y540&gt;0,Z540&gt;0),AA540,1E+300)</f>
        <v/>
      </c>
    </row>
    <row r="541">
      <c r="A541">
        <f>$B$3+$B$5*8</f>
        <v/>
      </c>
      <c r="B541">
        <f>$B$3+$B$5*41</f>
        <v/>
      </c>
      <c r="C541">
        <f>SUMPRODUCT(Calc!$K$3:$K$22*(Calc!$G$3:$G$22&lt;=A541))</f>
        <v/>
      </c>
      <c r="D541">
        <f>SUMPRODUCT(Calc!$K$3:$K$22*(Calc!$G$3:$G$22&gt;A541)*(Calc!$G$3:$G$22&lt;B541))</f>
        <v/>
      </c>
      <c r="E541">
        <f>SUMPRODUCT(Calc!$K$3:$K$22*(Calc!$G$3:$G$22&gt;=B541))</f>
        <v/>
      </c>
      <c r="F541">
        <f>AND(k_n&gt;=5,B541&gt;A541+1E-9,C541&gt;=2,D541&gt;=1,E541&gt;=2)</f>
        <v/>
      </c>
      <c r="G541">
        <f>SUMPRODUCT(Calc!$K$3:$K$22*(Calc!$G$3:$G$22&gt;A541)*(Calc!$G$3:$G$22-A541))</f>
        <v/>
      </c>
      <c r="H541">
        <f>SUMPRODUCT(Calc!$K$3:$K$22*(Calc!$G$3:$G$22&gt;B541)*(Calc!$G$3:$G$22-B541))</f>
        <v/>
      </c>
      <c r="I541">
        <f>SUMPRODUCT(Calc!$K$3:$K$22*(Calc!$G$3:$G$22&gt;A541)*(Calc!$G$3:$G$22-A541)^2)</f>
        <v/>
      </c>
      <c r="J541">
        <f>SUMPRODUCT(Calc!$K$3:$K$22*(Calc!$G$3:$G$22&gt;B541)*(Calc!$G$3:$G$22-B541)^2)</f>
        <v/>
      </c>
      <c r="K541">
        <f>SUMPRODUCT(Calc!$K$3:$K$22*(Calc!$G$3:$G$22&gt;A541)*(Calc!$G$3:$G$22-A541)*(Calc!$G$3:$G$22&gt;B541)*(Calc!$G$3:$G$22-B541))</f>
        <v/>
      </c>
      <c r="L541">
        <f>SUMPRODUCT(Calc!$K$3:$K$22*(Calc!$G$3:$G$22&gt;A541)*(Calc!$G$3:$G$22-A541)*Calc!$G$3:$G$22)</f>
        <v/>
      </c>
      <c r="M541">
        <f>SUMPRODUCT(Calc!$K$3:$K$22*(Calc!$G$3:$G$22&gt;B541)*(Calc!$G$3:$G$22-B541)*Calc!$G$3:$G$22)</f>
        <v/>
      </c>
      <c r="N541">
        <f>SUMPRODUCT(Calc!$K$3:$K$22*(Calc!$G$3:$G$22&gt;A541)*(Calc!$G$3:$G$22-A541)*Calc!$I$3:$I$22)</f>
        <v/>
      </c>
      <c r="O541">
        <f>SUMPRODUCT(Calc!$K$3:$K$22*(Calc!$G$3:$G$22&gt;B541)*(Calc!$G$3:$G$22-B541)*Calc!$I$3:$I$22)</f>
        <v/>
      </c>
      <c r="P541">
        <f>I541-G541^2/k_n</f>
        <v/>
      </c>
      <c r="Q541">
        <f>J541-H541^2/k_n</f>
        <v/>
      </c>
      <c r="R541">
        <f>K541-G541*H541/k_n</f>
        <v/>
      </c>
      <c r="S541">
        <f>L541-LTP3!$D$3*G541/k_n</f>
        <v/>
      </c>
      <c r="T541">
        <f>M541-LTP3!$D$3*H541/k_n</f>
        <v/>
      </c>
      <c r="U541">
        <f>N541-G541*LTP3!$D$4/k_n</f>
        <v/>
      </c>
      <c r="V541">
        <f>O541-H541*LTP3!$D$4/k_n</f>
        <v/>
      </c>
      <c r="W541">
        <f>((LTP3!$D$5)*((P541)*(Q541)-(R541)*(R541))-(S541)*((S541)*(Q541)-(R541)*(T541))+(T541)*((S541)*(R541)-(P541)*(T541)))</f>
        <v/>
      </c>
      <c r="X541">
        <f>IF(ABS(W541)&gt;1E-12,((LTP3!$D$6)*((P541)*(Q541)-(R541)*(R541))-(S541)*((U541)*(Q541)-(R541)*(V541))+(T541)*((U541)*(R541)-(P541)*(V541)))/W541,0)</f>
        <v/>
      </c>
      <c r="Y541">
        <f>IF(ABS(W541)&gt;1E-12,((LTP3!$D$5)*((U541)*(Q541)-(R541)*(V541))-(LTP3!$D$6)*((S541)*(Q541)-(R541)*(T541))+(T541)*((S541)*(V541)-(U541)*(T541)))/W541,0)</f>
        <v/>
      </c>
      <c r="Z541">
        <f>IF(ABS(W541)&gt;1E-12,((LTP3!$D$5)*((P541)*(V541)-(U541)*(R541))-(S541)*((S541)*(V541)-(U541)*(T541))+(LTP3!$D$6)*((S541)*(R541)-(P541)*(T541)))/W541,0)</f>
        <v/>
      </c>
      <c r="AA541">
        <f>LTP3!$D$7-X541*LTP3!$D$6-Y541*U541-Z541*V541</f>
        <v/>
      </c>
      <c r="AB541">
        <f>IF(AND(F541,ABS(W541)&gt;1E-12,Y541&gt;0,Z541&gt;0),AA541,1E+300)</f>
        <v/>
      </c>
    </row>
    <row r="542">
      <c r="A542">
        <f>$B$3+$B$5*8</f>
        <v/>
      </c>
      <c r="B542">
        <f>$B$3+$B$5*42</f>
        <v/>
      </c>
      <c r="C542">
        <f>SUMPRODUCT(Calc!$K$3:$K$22*(Calc!$G$3:$G$22&lt;=A542))</f>
        <v/>
      </c>
      <c r="D542">
        <f>SUMPRODUCT(Calc!$K$3:$K$22*(Calc!$G$3:$G$22&gt;A542)*(Calc!$G$3:$G$22&lt;B542))</f>
        <v/>
      </c>
      <c r="E542">
        <f>SUMPRODUCT(Calc!$K$3:$K$22*(Calc!$G$3:$G$22&gt;=B542))</f>
        <v/>
      </c>
      <c r="F542">
        <f>AND(k_n&gt;=5,B542&gt;A542+1E-9,C542&gt;=2,D542&gt;=1,E542&gt;=2)</f>
        <v/>
      </c>
      <c r="G542">
        <f>SUMPRODUCT(Calc!$K$3:$K$22*(Calc!$G$3:$G$22&gt;A542)*(Calc!$G$3:$G$22-A542))</f>
        <v/>
      </c>
      <c r="H542">
        <f>SUMPRODUCT(Calc!$K$3:$K$22*(Calc!$G$3:$G$22&gt;B542)*(Calc!$G$3:$G$22-B542))</f>
        <v/>
      </c>
      <c r="I542">
        <f>SUMPRODUCT(Calc!$K$3:$K$22*(Calc!$G$3:$G$22&gt;A542)*(Calc!$G$3:$G$22-A542)^2)</f>
        <v/>
      </c>
      <c r="J542">
        <f>SUMPRODUCT(Calc!$K$3:$K$22*(Calc!$G$3:$G$22&gt;B542)*(Calc!$G$3:$G$22-B542)^2)</f>
        <v/>
      </c>
      <c r="K542">
        <f>SUMPRODUCT(Calc!$K$3:$K$22*(Calc!$G$3:$G$22&gt;A542)*(Calc!$G$3:$G$22-A542)*(Calc!$G$3:$G$22&gt;B542)*(Calc!$G$3:$G$22-B542))</f>
        <v/>
      </c>
      <c r="L542">
        <f>SUMPRODUCT(Calc!$K$3:$K$22*(Calc!$G$3:$G$22&gt;A542)*(Calc!$G$3:$G$22-A542)*Calc!$G$3:$G$22)</f>
        <v/>
      </c>
      <c r="M542">
        <f>SUMPRODUCT(Calc!$K$3:$K$22*(Calc!$G$3:$G$22&gt;B542)*(Calc!$G$3:$G$22-B542)*Calc!$G$3:$G$22)</f>
        <v/>
      </c>
      <c r="N542">
        <f>SUMPRODUCT(Calc!$K$3:$K$22*(Calc!$G$3:$G$22&gt;A542)*(Calc!$G$3:$G$22-A542)*Calc!$I$3:$I$22)</f>
        <v/>
      </c>
      <c r="O542">
        <f>SUMPRODUCT(Calc!$K$3:$K$22*(Calc!$G$3:$G$22&gt;B542)*(Calc!$G$3:$G$22-B542)*Calc!$I$3:$I$22)</f>
        <v/>
      </c>
      <c r="P542">
        <f>I542-G542^2/k_n</f>
        <v/>
      </c>
      <c r="Q542">
        <f>J542-H542^2/k_n</f>
        <v/>
      </c>
      <c r="R542">
        <f>K542-G542*H542/k_n</f>
        <v/>
      </c>
      <c r="S542">
        <f>L542-LTP3!$D$3*G542/k_n</f>
        <v/>
      </c>
      <c r="T542">
        <f>M542-LTP3!$D$3*H542/k_n</f>
        <v/>
      </c>
      <c r="U542">
        <f>N542-G542*LTP3!$D$4/k_n</f>
        <v/>
      </c>
      <c r="V542">
        <f>O542-H542*LTP3!$D$4/k_n</f>
        <v/>
      </c>
      <c r="W542">
        <f>((LTP3!$D$5)*((P542)*(Q542)-(R542)*(R542))-(S542)*((S542)*(Q542)-(R542)*(T542))+(T542)*((S542)*(R542)-(P542)*(T542)))</f>
        <v/>
      </c>
      <c r="X542">
        <f>IF(ABS(W542)&gt;1E-12,((LTP3!$D$6)*((P542)*(Q542)-(R542)*(R542))-(S542)*((U542)*(Q542)-(R542)*(V542))+(T542)*((U542)*(R542)-(P542)*(V542)))/W542,0)</f>
        <v/>
      </c>
      <c r="Y542">
        <f>IF(ABS(W542)&gt;1E-12,((LTP3!$D$5)*((U542)*(Q542)-(R542)*(V542))-(LTP3!$D$6)*((S542)*(Q542)-(R542)*(T542))+(T542)*((S542)*(V542)-(U542)*(T542)))/W542,0)</f>
        <v/>
      </c>
      <c r="Z542">
        <f>IF(ABS(W542)&gt;1E-12,((LTP3!$D$5)*((P542)*(V542)-(U542)*(R542))-(S542)*((S542)*(V542)-(U542)*(T542))+(LTP3!$D$6)*((S542)*(R542)-(P542)*(T542)))/W542,0)</f>
        <v/>
      </c>
      <c r="AA542">
        <f>LTP3!$D$7-X542*LTP3!$D$6-Y542*U542-Z542*V542</f>
        <v/>
      </c>
      <c r="AB542">
        <f>IF(AND(F542,ABS(W542)&gt;1E-12,Y542&gt;0,Z542&gt;0),AA542,1E+300)</f>
        <v/>
      </c>
    </row>
    <row r="543">
      <c r="A543">
        <f>$B$3+$B$5*8</f>
        <v/>
      </c>
      <c r="B543">
        <f>$B$3+$B$5*43</f>
        <v/>
      </c>
      <c r="C543">
        <f>SUMPRODUCT(Calc!$K$3:$K$22*(Calc!$G$3:$G$22&lt;=A543))</f>
        <v/>
      </c>
      <c r="D543">
        <f>SUMPRODUCT(Calc!$K$3:$K$22*(Calc!$G$3:$G$22&gt;A543)*(Calc!$G$3:$G$22&lt;B543))</f>
        <v/>
      </c>
      <c r="E543">
        <f>SUMPRODUCT(Calc!$K$3:$K$22*(Calc!$G$3:$G$22&gt;=B543))</f>
        <v/>
      </c>
      <c r="F543">
        <f>AND(k_n&gt;=5,B543&gt;A543+1E-9,C543&gt;=2,D543&gt;=1,E543&gt;=2)</f>
        <v/>
      </c>
      <c r="G543">
        <f>SUMPRODUCT(Calc!$K$3:$K$22*(Calc!$G$3:$G$22&gt;A543)*(Calc!$G$3:$G$22-A543))</f>
        <v/>
      </c>
      <c r="H543">
        <f>SUMPRODUCT(Calc!$K$3:$K$22*(Calc!$G$3:$G$22&gt;B543)*(Calc!$G$3:$G$22-B543))</f>
        <v/>
      </c>
      <c r="I543">
        <f>SUMPRODUCT(Calc!$K$3:$K$22*(Calc!$G$3:$G$22&gt;A543)*(Calc!$G$3:$G$22-A543)^2)</f>
        <v/>
      </c>
      <c r="J543">
        <f>SUMPRODUCT(Calc!$K$3:$K$22*(Calc!$G$3:$G$22&gt;B543)*(Calc!$G$3:$G$22-B543)^2)</f>
        <v/>
      </c>
      <c r="K543">
        <f>SUMPRODUCT(Calc!$K$3:$K$22*(Calc!$G$3:$G$22&gt;A543)*(Calc!$G$3:$G$22-A543)*(Calc!$G$3:$G$22&gt;B543)*(Calc!$G$3:$G$22-B543))</f>
        <v/>
      </c>
      <c r="L543">
        <f>SUMPRODUCT(Calc!$K$3:$K$22*(Calc!$G$3:$G$22&gt;A543)*(Calc!$G$3:$G$22-A543)*Calc!$G$3:$G$22)</f>
        <v/>
      </c>
      <c r="M543">
        <f>SUMPRODUCT(Calc!$K$3:$K$22*(Calc!$G$3:$G$22&gt;B543)*(Calc!$G$3:$G$22-B543)*Calc!$G$3:$G$22)</f>
        <v/>
      </c>
      <c r="N543">
        <f>SUMPRODUCT(Calc!$K$3:$K$22*(Calc!$G$3:$G$22&gt;A543)*(Calc!$G$3:$G$22-A543)*Calc!$I$3:$I$22)</f>
        <v/>
      </c>
      <c r="O543">
        <f>SUMPRODUCT(Calc!$K$3:$K$22*(Calc!$G$3:$G$22&gt;B543)*(Calc!$G$3:$G$22-B543)*Calc!$I$3:$I$22)</f>
        <v/>
      </c>
      <c r="P543">
        <f>I543-G543^2/k_n</f>
        <v/>
      </c>
      <c r="Q543">
        <f>J543-H543^2/k_n</f>
        <v/>
      </c>
      <c r="R543">
        <f>K543-G543*H543/k_n</f>
        <v/>
      </c>
      <c r="S543">
        <f>L543-LTP3!$D$3*G543/k_n</f>
        <v/>
      </c>
      <c r="T543">
        <f>M543-LTP3!$D$3*H543/k_n</f>
        <v/>
      </c>
      <c r="U543">
        <f>N543-G543*LTP3!$D$4/k_n</f>
        <v/>
      </c>
      <c r="V543">
        <f>O543-H543*LTP3!$D$4/k_n</f>
        <v/>
      </c>
      <c r="W543">
        <f>((LTP3!$D$5)*((P543)*(Q543)-(R543)*(R543))-(S543)*((S543)*(Q543)-(R543)*(T543))+(T543)*((S543)*(R543)-(P543)*(T543)))</f>
        <v/>
      </c>
      <c r="X543">
        <f>IF(ABS(W543)&gt;1E-12,((LTP3!$D$6)*((P543)*(Q543)-(R543)*(R543))-(S543)*((U543)*(Q543)-(R543)*(V543))+(T543)*((U543)*(R543)-(P543)*(V543)))/W543,0)</f>
        <v/>
      </c>
      <c r="Y543">
        <f>IF(ABS(W543)&gt;1E-12,((LTP3!$D$5)*((U543)*(Q543)-(R543)*(V543))-(LTP3!$D$6)*((S543)*(Q543)-(R543)*(T543))+(T543)*((S543)*(V543)-(U543)*(T543)))/W543,0)</f>
        <v/>
      </c>
      <c r="Z543">
        <f>IF(ABS(W543)&gt;1E-12,((LTP3!$D$5)*((P543)*(V543)-(U543)*(R543))-(S543)*((S543)*(V543)-(U543)*(T543))+(LTP3!$D$6)*((S543)*(R543)-(P543)*(T543)))/W543,0)</f>
        <v/>
      </c>
      <c r="AA543">
        <f>LTP3!$D$7-X543*LTP3!$D$6-Y543*U543-Z543*V543</f>
        <v/>
      </c>
      <c r="AB543">
        <f>IF(AND(F543,ABS(W543)&gt;1E-12,Y543&gt;0,Z543&gt;0),AA543,1E+300)</f>
        <v/>
      </c>
    </row>
    <row r="544">
      <c r="A544">
        <f>$B$3+$B$5*8</f>
        <v/>
      </c>
      <c r="B544">
        <f>$B$3+$B$5*44</f>
        <v/>
      </c>
      <c r="C544">
        <f>SUMPRODUCT(Calc!$K$3:$K$22*(Calc!$G$3:$G$22&lt;=A544))</f>
        <v/>
      </c>
      <c r="D544">
        <f>SUMPRODUCT(Calc!$K$3:$K$22*(Calc!$G$3:$G$22&gt;A544)*(Calc!$G$3:$G$22&lt;B544))</f>
        <v/>
      </c>
      <c r="E544">
        <f>SUMPRODUCT(Calc!$K$3:$K$22*(Calc!$G$3:$G$22&gt;=B544))</f>
        <v/>
      </c>
      <c r="F544">
        <f>AND(k_n&gt;=5,B544&gt;A544+1E-9,C544&gt;=2,D544&gt;=1,E544&gt;=2)</f>
        <v/>
      </c>
      <c r="G544">
        <f>SUMPRODUCT(Calc!$K$3:$K$22*(Calc!$G$3:$G$22&gt;A544)*(Calc!$G$3:$G$22-A544))</f>
        <v/>
      </c>
      <c r="H544">
        <f>SUMPRODUCT(Calc!$K$3:$K$22*(Calc!$G$3:$G$22&gt;B544)*(Calc!$G$3:$G$22-B544))</f>
        <v/>
      </c>
      <c r="I544">
        <f>SUMPRODUCT(Calc!$K$3:$K$22*(Calc!$G$3:$G$22&gt;A544)*(Calc!$G$3:$G$22-A544)^2)</f>
        <v/>
      </c>
      <c r="J544">
        <f>SUMPRODUCT(Calc!$K$3:$K$22*(Calc!$G$3:$G$22&gt;B544)*(Calc!$G$3:$G$22-B544)^2)</f>
        <v/>
      </c>
      <c r="K544">
        <f>SUMPRODUCT(Calc!$K$3:$K$22*(Calc!$G$3:$G$22&gt;A544)*(Calc!$G$3:$G$22-A544)*(Calc!$G$3:$G$22&gt;B544)*(Calc!$G$3:$G$22-B544))</f>
        <v/>
      </c>
      <c r="L544">
        <f>SUMPRODUCT(Calc!$K$3:$K$22*(Calc!$G$3:$G$22&gt;A544)*(Calc!$G$3:$G$22-A544)*Calc!$G$3:$G$22)</f>
        <v/>
      </c>
      <c r="M544">
        <f>SUMPRODUCT(Calc!$K$3:$K$22*(Calc!$G$3:$G$22&gt;B544)*(Calc!$G$3:$G$22-B544)*Calc!$G$3:$G$22)</f>
        <v/>
      </c>
      <c r="N544">
        <f>SUMPRODUCT(Calc!$K$3:$K$22*(Calc!$G$3:$G$22&gt;A544)*(Calc!$G$3:$G$22-A544)*Calc!$I$3:$I$22)</f>
        <v/>
      </c>
      <c r="O544">
        <f>SUMPRODUCT(Calc!$K$3:$K$22*(Calc!$G$3:$G$22&gt;B544)*(Calc!$G$3:$G$22-B544)*Calc!$I$3:$I$22)</f>
        <v/>
      </c>
      <c r="P544">
        <f>I544-G544^2/k_n</f>
        <v/>
      </c>
      <c r="Q544">
        <f>J544-H544^2/k_n</f>
        <v/>
      </c>
      <c r="R544">
        <f>K544-G544*H544/k_n</f>
        <v/>
      </c>
      <c r="S544">
        <f>L544-LTP3!$D$3*G544/k_n</f>
        <v/>
      </c>
      <c r="T544">
        <f>M544-LTP3!$D$3*H544/k_n</f>
        <v/>
      </c>
      <c r="U544">
        <f>N544-G544*LTP3!$D$4/k_n</f>
        <v/>
      </c>
      <c r="V544">
        <f>O544-H544*LTP3!$D$4/k_n</f>
        <v/>
      </c>
      <c r="W544">
        <f>((LTP3!$D$5)*((P544)*(Q544)-(R544)*(R544))-(S544)*((S544)*(Q544)-(R544)*(T544))+(T544)*((S544)*(R544)-(P544)*(T544)))</f>
        <v/>
      </c>
      <c r="X544">
        <f>IF(ABS(W544)&gt;1E-12,((LTP3!$D$6)*((P544)*(Q544)-(R544)*(R544))-(S544)*((U544)*(Q544)-(R544)*(V544))+(T544)*((U544)*(R544)-(P544)*(V544)))/W544,0)</f>
        <v/>
      </c>
      <c r="Y544">
        <f>IF(ABS(W544)&gt;1E-12,((LTP3!$D$5)*((U544)*(Q544)-(R544)*(V544))-(LTP3!$D$6)*((S544)*(Q544)-(R544)*(T544))+(T544)*((S544)*(V544)-(U544)*(T544)))/W544,0)</f>
        <v/>
      </c>
      <c r="Z544">
        <f>IF(ABS(W544)&gt;1E-12,((LTP3!$D$5)*((P544)*(V544)-(U544)*(R544))-(S544)*((S544)*(V544)-(U544)*(T544))+(LTP3!$D$6)*((S544)*(R544)-(P544)*(T544)))/W544,0)</f>
        <v/>
      </c>
      <c r="AA544">
        <f>LTP3!$D$7-X544*LTP3!$D$6-Y544*U544-Z544*V544</f>
        <v/>
      </c>
      <c r="AB544">
        <f>IF(AND(F544,ABS(W544)&gt;1E-12,Y544&gt;0,Z544&gt;0),AA544,1E+300)</f>
        <v/>
      </c>
    </row>
    <row r="545">
      <c r="A545">
        <f>$B$3+$B$5*8</f>
        <v/>
      </c>
      <c r="B545">
        <f>$B$3+$B$5*45</f>
        <v/>
      </c>
      <c r="C545">
        <f>SUMPRODUCT(Calc!$K$3:$K$22*(Calc!$G$3:$G$22&lt;=A545))</f>
        <v/>
      </c>
      <c r="D545">
        <f>SUMPRODUCT(Calc!$K$3:$K$22*(Calc!$G$3:$G$22&gt;A545)*(Calc!$G$3:$G$22&lt;B545))</f>
        <v/>
      </c>
      <c r="E545">
        <f>SUMPRODUCT(Calc!$K$3:$K$22*(Calc!$G$3:$G$22&gt;=B545))</f>
        <v/>
      </c>
      <c r="F545">
        <f>AND(k_n&gt;=5,B545&gt;A545+1E-9,C545&gt;=2,D545&gt;=1,E545&gt;=2)</f>
        <v/>
      </c>
      <c r="G545">
        <f>SUMPRODUCT(Calc!$K$3:$K$22*(Calc!$G$3:$G$22&gt;A545)*(Calc!$G$3:$G$22-A545))</f>
        <v/>
      </c>
      <c r="H545">
        <f>SUMPRODUCT(Calc!$K$3:$K$22*(Calc!$G$3:$G$22&gt;B545)*(Calc!$G$3:$G$22-B545))</f>
        <v/>
      </c>
      <c r="I545">
        <f>SUMPRODUCT(Calc!$K$3:$K$22*(Calc!$G$3:$G$22&gt;A545)*(Calc!$G$3:$G$22-A545)^2)</f>
        <v/>
      </c>
      <c r="J545">
        <f>SUMPRODUCT(Calc!$K$3:$K$22*(Calc!$G$3:$G$22&gt;B545)*(Calc!$G$3:$G$22-B545)^2)</f>
        <v/>
      </c>
      <c r="K545">
        <f>SUMPRODUCT(Calc!$K$3:$K$22*(Calc!$G$3:$G$22&gt;A545)*(Calc!$G$3:$G$22-A545)*(Calc!$G$3:$G$22&gt;B545)*(Calc!$G$3:$G$22-B545))</f>
        <v/>
      </c>
      <c r="L545">
        <f>SUMPRODUCT(Calc!$K$3:$K$22*(Calc!$G$3:$G$22&gt;A545)*(Calc!$G$3:$G$22-A545)*Calc!$G$3:$G$22)</f>
        <v/>
      </c>
      <c r="M545">
        <f>SUMPRODUCT(Calc!$K$3:$K$22*(Calc!$G$3:$G$22&gt;B545)*(Calc!$G$3:$G$22-B545)*Calc!$G$3:$G$22)</f>
        <v/>
      </c>
      <c r="N545">
        <f>SUMPRODUCT(Calc!$K$3:$K$22*(Calc!$G$3:$G$22&gt;A545)*(Calc!$G$3:$G$22-A545)*Calc!$I$3:$I$22)</f>
        <v/>
      </c>
      <c r="O545">
        <f>SUMPRODUCT(Calc!$K$3:$K$22*(Calc!$G$3:$G$22&gt;B545)*(Calc!$G$3:$G$22-B545)*Calc!$I$3:$I$22)</f>
        <v/>
      </c>
      <c r="P545">
        <f>I545-G545^2/k_n</f>
        <v/>
      </c>
      <c r="Q545">
        <f>J545-H545^2/k_n</f>
        <v/>
      </c>
      <c r="R545">
        <f>K545-G545*H545/k_n</f>
        <v/>
      </c>
      <c r="S545">
        <f>L545-LTP3!$D$3*G545/k_n</f>
        <v/>
      </c>
      <c r="T545">
        <f>M545-LTP3!$D$3*H545/k_n</f>
        <v/>
      </c>
      <c r="U545">
        <f>N545-G545*LTP3!$D$4/k_n</f>
        <v/>
      </c>
      <c r="V545">
        <f>O545-H545*LTP3!$D$4/k_n</f>
        <v/>
      </c>
      <c r="W545">
        <f>((LTP3!$D$5)*((P545)*(Q545)-(R545)*(R545))-(S545)*((S545)*(Q545)-(R545)*(T545))+(T545)*((S545)*(R545)-(P545)*(T545)))</f>
        <v/>
      </c>
      <c r="X545">
        <f>IF(ABS(W545)&gt;1E-12,((LTP3!$D$6)*((P545)*(Q545)-(R545)*(R545))-(S545)*((U545)*(Q545)-(R545)*(V545))+(T545)*((U545)*(R545)-(P545)*(V545)))/W545,0)</f>
        <v/>
      </c>
      <c r="Y545">
        <f>IF(ABS(W545)&gt;1E-12,((LTP3!$D$5)*((U545)*(Q545)-(R545)*(V545))-(LTP3!$D$6)*((S545)*(Q545)-(R545)*(T545))+(T545)*((S545)*(V545)-(U545)*(T545)))/W545,0)</f>
        <v/>
      </c>
      <c r="Z545">
        <f>IF(ABS(W545)&gt;1E-12,((LTP3!$D$5)*((P545)*(V545)-(U545)*(R545))-(S545)*((S545)*(V545)-(U545)*(T545))+(LTP3!$D$6)*((S545)*(R545)-(P545)*(T545)))/W545,0)</f>
        <v/>
      </c>
      <c r="AA545">
        <f>LTP3!$D$7-X545*LTP3!$D$6-Y545*U545-Z545*V545</f>
        <v/>
      </c>
      <c r="AB545">
        <f>IF(AND(F545,ABS(W545)&gt;1E-12,Y545&gt;0,Z545&gt;0),AA545,1E+300)</f>
        <v/>
      </c>
    </row>
    <row r="546">
      <c r="A546">
        <f>$B$3+$B$5*8</f>
        <v/>
      </c>
      <c r="B546">
        <f>$B$3+$B$5*46</f>
        <v/>
      </c>
      <c r="C546">
        <f>SUMPRODUCT(Calc!$K$3:$K$22*(Calc!$G$3:$G$22&lt;=A546))</f>
        <v/>
      </c>
      <c r="D546">
        <f>SUMPRODUCT(Calc!$K$3:$K$22*(Calc!$G$3:$G$22&gt;A546)*(Calc!$G$3:$G$22&lt;B546))</f>
        <v/>
      </c>
      <c r="E546">
        <f>SUMPRODUCT(Calc!$K$3:$K$22*(Calc!$G$3:$G$22&gt;=B546))</f>
        <v/>
      </c>
      <c r="F546">
        <f>AND(k_n&gt;=5,B546&gt;A546+1E-9,C546&gt;=2,D546&gt;=1,E546&gt;=2)</f>
        <v/>
      </c>
      <c r="G546">
        <f>SUMPRODUCT(Calc!$K$3:$K$22*(Calc!$G$3:$G$22&gt;A546)*(Calc!$G$3:$G$22-A546))</f>
        <v/>
      </c>
      <c r="H546">
        <f>SUMPRODUCT(Calc!$K$3:$K$22*(Calc!$G$3:$G$22&gt;B546)*(Calc!$G$3:$G$22-B546))</f>
        <v/>
      </c>
      <c r="I546">
        <f>SUMPRODUCT(Calc!$K$3:$K$22*(Calc!$G$3:$G$22&gt;A546)*(Calc!$G$3:$G$22-A546)^2)</f>
        <v/>
      </c>
      <c r="J546">
        <f>SUMPRODUCT(Calc!$K$3:$K$22*(Calc!$G$3:$G$22&gt;B546)*(Calc!$G$3:$G$22-B546)^2)</f>
        <v/>
      </c>
      <c r="K546">
        <f>SUMPRODUCT(Calc!$K$3:$K$22*(Calc!$G$3:$G$22&gt;A546)*(Calc!$G$3:$G$22-A546)*(Calc!$G$3:$G$22&gt;B546)*(Calc!$G$3:$G$22-B546))</f>
        <v/>
      </c>
      <c r="L546">
        <f>SUMPRODUCT(Calc!$K$3:$K$22*(Calc!$G$3:$G$22&gt;A546)*(Calc!$G$3:$G$22-A546)*Calc!$G$3:$G$22)</f>
        <v/>
      </c>
      <c r="M546">
        <f>SUMPRODUCT(Calc!$K$3:$K$22*(Calc!$G$3:$G$22&gt;B546)*(Calc!$G$3:$G$22-B546)*Calc!$G$3:$G$22)</f>
        <v/>
      </c>
      <c r="N546">
        <f>SUMPRODUCT(Calc!$K$3:$K$22*(Calc!$G$3:$G$22&gt;A546)*(Calc!$G$3:$G$22-A546)*Calc!$I$3:$I$22)</f>
        <v/>
      </c>
      <c r="O546">
        <f>SUMPRODUCT(Calc!$K$3:$K$22*(Calc!$G$3:$G$22&gt;B546)*(Calc!$G$3:$G$22-B546)*Calc!$I$3:$I$22)</f>
        <v/>
      </c>
      <c r="P546">
        <f>I546-G546^2/k_n</f>
        <v/>
      </c>
      <c r="Q546">
        <f>J546-H546^2/k_n</f>
        <v/>
      </c>
      <c r="R546">
        <f>K546-G546*H546/k_n</f>
        <v/>
      </c>
      <c r="S546">
        <f>L546-LTP3!$D$3*G546/k_n</f>
        <v/>
      </c>
      <c r="T546">
        <f>M546-LTP3!$D$3*H546/k_n</f>
        <v/>
      </c>
      <c r="U546">
        <f>N546-G546*LTP3!$D$4/k_n</f>
        <v/>
      </c>
      <c r="V546">
        <f>O546-H546*LTP3!$D$4/k_n</f>
        <v/>
      </c>
      <c r="W546">
        <f>((LTP3!$D$5)*((P546)*(Q546)-(R546)*(R546))-(S546)*((S546)*(Q546)-(R546)*(T546))+(T546)*((S546)*(R546)-(P546)*(T546)))</f>
        <v/>
      </c>
      <c r="X546">
        <f>IF(ABS(W546)&gt;1E-12,((LTP3!$D$6)*((P546)*(Q546)-(R546)*(R546))-(S546)*((U546)*(Q546)-(R546)*(V546))+(T546)*((U546)*(R546)-(P546)*(V546)))/W546,0)</f>
        <v/>
      </c>
      <c r="Y546">
        <f>IF(ABS(W546)&gt;1E-12,((LTP3!$D$5)*((U546)*(Q546)-(R546)*(V546))-(LTP3!$D$6)*((S546)*(Q546)-(R546)*(T546))+(T546)*((S546)*(V546)-(U546)*(T546)))/W546,0)</f>
        <v/>
      </c>
      <c r="Z546">
        <f>IF(ABS(W546)&gt;1E-12,((LTP3!$D$5)*((P546)*(V546)-(U546)*(R546))-(S546)*((S546)*(V546)-(U546)*(T546))+(LTP3!$D$6)*((S546)*(R546)-(P546)*(T546)))/W546,0)</f>
        <v/>
      </c>
      <c r="AA546">
        <f>LTP3!$D$7-X546*LTP3!$D$6-Y546*U546-Z546*V546</f>
        <v/>
      </c>
      <c r="AB546">
        <f>IF(AND(F546,ABS(W546)&gt;1E-12,Y546&gt;0,Z546&gt;0),AA546,1E+300)</f>
        <v/>
      </c>
    </row>
    <row r="547">
      <c r="A547">
        <f>$B$3+$B$5*8</f>
        <v/>
      </c>
      <c r="B547">
        <f>$B$3+$B$5*47</f>
        <v/>
      </c>
      <c r="C547">
        <f>SUMPRODUCT(Calc!$K$3:$K$22*(Calc!$G$3:$G$22&lt;=A547))</f>
        <v/>
      </c>
      <c r="D547">
        <f>SUMPRODUCT(Calc!$K$3:$K$22*(Calc!$G$3:$G$22&gt;A547)*(Calc!$G$3:$G$22&lt;B547))</f>
        <v/>
      </c>
      <c r="E547">
        <f>SUMPRODUCT(Calc!$K$3:$K$22*(Calc!$G$3:$G$22&gt;=B547))</f>
        <v/>
      </c>
      <c r="F547">
        <f>AND(k_n&gt;=5,B547&gt;A547+1E-9,C547&gt;=2,D547&gt;=1,E547&gt;=2)</f>
        <v/>
      </c>
      <c r="G547">
        <f>SUMPRODUCT(Calc!$K$3:$K$22*(Calc!$G$3:$G$22&gt;A547)*(Calc!$G$3:$G$22-A547))</f>
        <v/>
      </c>
      <c r="H547">
        <f>SUMPRODUCT(Calc!$K$3:$K$22*(Calc!$G$3:$G$22&gt;B547)*(Calc!$G$3:$G$22-B547))</f>
        <v/>
      </c>
      <c r="I547">
        <f>SUMPRODUCT(Calc!$K$3:$K$22*(Calc!$G$3:$G$22&gt;A547)*(Calc!$G$3:$G$22-A547)^2)</f>
        <v/>
      </c>
      <c r="J547">
        <f>SUMPRODUCT(Calc!$K$3:$K$22*(Calc!$G$3:$G$22&gt;B547)*(Calc!$G$3:$G$22-B547)^2)</f>
        <v/>
      </c>
      <c r="K547">
        <f>SUMPRODUCT(Calc!$K$3:$K$22*(Calc!$G$3:$G$22&gt;A547)*(Calc!$G$3:$G$22-A547)*(Calc!$G$3:$G$22&gt;B547)*(Calc!$G$3:$G$22-B547))</f>
        <v/>
      </c>
      <c r="L547">
        <f>SUMPRODUCT(Calc!$K$3:$K$22*(Calc!$G$3:$G$22&gt;A547)*(Calc!$G$3:$G$22-A547)*Calc!$G$3:$G$22)</f>
        <v/>
      </c>
      <c r="M547">
        <f>SUMPRODUCT(Calc!$K$3:$K$22*(Calc!$G$3:$G$22&gt;B547)*(Calc!$G$3:$G$22-B547)*Calc!$G$3:$G$22)</f>
        <v/>
      </c>
      <c r="N547">
        <f>SUMPRODUCT(Calc!$K$3:$K$22*(Calc!$G$3:$G$22&gt;A547)*(Calc!$G$3:$G$22-A547)*Calc!$I$3:$I$22)</f>
        <v/>
      </c>
      <c r="O547">
        <f>SUMPRODUCT(Calc!$K$3:$K$22*(Calc!$G$3:$G$22&gt;B547)*(Calc!$G$3:$G$22-B547)*Calc!$I$3:$I$22)</f>
        <v/>
      </c>
      <c r="P547">
        <f>I547-G547^2/k_n</f>
        <v/>
      </c>
      <c r="Q547">
        <f>J547-H547^2/k_n</f>
        <v/>
      </c>
      <c r="R547">
        <f>K547-G547*H547/k_n</f>
        <v/>
      </c>
      <c r="S547">
        <f>L547-LTP3!$D$3*G547/k_n</f>
        <v/>
      </c>
      <c r="T547">
        <f>M547-LTP3!$D$3*H547/k_n</f>
        <v/>
      </c>
      <c r="U547">
        <f>N547-G547*LTP3!$D$4/k_n</f>
        <v/>
      </c>
      <c r="V547">
        <f>O547-H547*LTP3!$D$4/k_n</f>
        <v/>
      </c>
      <c r="W547">
        <f>((LTP3!$D$5)*((P547)*(Q547)-(R547)*(R547))-(S547)*((S547)*(Q547)-(R547)*(T547))+(T547)*((S547)*(R547)-(P547)*(T547)))</f>
        <v/>
      </c>
      <c r="X547">
        <f>IF(ABS(W547)&gt;1E-12,((LTP3!$D$6)*((P547)*(Q547)-(R547)*(R547))-(S547)*((U547)*(Q547)-(R547)*(V547))+(T547)*((U547)*(R547)-(P547)*(V547)))/W547,0)</f>
        <v/>
      </c>
      <c r="Y547">
        <f>IF(ABS(W547)&gt;1E-12,((LTP3!$D$5)*((U547)*(Q547)-(R547)*(V547))-(LTP3!$D$6)*((S547)*(Q547)-(R547)*(T547))+(T547)*((S547)*(V547)-(U547)*(T547)))/W547,0)</f>
        <v/>
      </c>
      <c r="Z547">
        <f>IF(ABS(W547)&gt;1E-12,((LTP3!$D$5)*((P547)*(V547)-(U547)*(R547))-(S547)*((S547)*(V547)-(U547)*(T547))+(LTP3!$D$6)*((S547)*(R547)-(P547)*(T547)))/W547,0)</f>
        <v/>
      </c>
      <c r="AA547">
        <f>LTP3!$D$7-X547*LTP3!$D$6-Y547*U547-Z547*V547</f>
        <v/>
      </c>
      <c r="AB547">
        <f>IF(AND(F547,ABS(W547)&gt;1E-12,Y547&gt;0,Z547&gt;0),AA547,1E+300)</f>
        <v/>
      </c>
    </row>
    <row r="548">
      <c r="A548">
        <f>$B$3+$B$5*8</f>
        <v/>
      </c>
      <c r="B548">
        <f>$B$3+$B$5*48</f>
        <v/>
      </c>
      <c r="C548">
        <f>SUMPRODUCT(Calc!$K$3:$K$22*(Calc!$G$3:$G$22&lt;=A548))</f>
        <v/>
      </c>
      <c r="D548">
        <f>SUMPRODUCT(Calc!$K$3:$K$22*(Calc!$G$3:$G$22&gt;A548)*(Calc!$G$3:$G$22&lt;B548))</f>
        <v/>
      </c>
      <c r="E548">
        <f>SUMPRODUCT(Calc!$K$3:$K$22*(Calc!$G$3:$G$22&gt;=B548))</f>
        <v/>
      </c>
      <c r="F548">
        <f>AND(k_n&gt;=5,B548&gt;A548+1E-9,C548&gt;=2,D548&gt;=1,E548&gt;=2)</f>
        <v/>
      </c>
      <c r="G548">
        <f>SUMPRODUCT(Calc!$K$3:$K$22*(Calc!$G$3:$G$22&gt;A548)*(Calc!$G$3:$G$22-A548))</f>
        <v/>
      </c>
      <c r="H548">
        <f>SUMPRODUCT(Calc!$K$3:$K$22*(Calc!$G$3:$G$22&gt;B548)*(Calc!$G$3:$G$22-B548))</f>
        <v/>
      </c>
      <c r="I548">
        <f>SUMPRODUCT(Calc!$K$3:$K$22*(Calc!$G$3:$G$22&gt;A548)*(Calc!$G$3:$G$22-A548)^2)</f>
        <v/>
      </c>
      <c r="J548">
        <f>SUMPRODUCT(Calc!$K$3:$K$22*(Calc!$G$3:$G$22&gt;B548)*(Calc!$G$3:$G$22-B548)^2)</f>
        <v/>
      </c>
      <c r="K548">
        <f>SUMPRODUCT(Calc!$K$3:$K$22*(Calc!$G$3:$G$22&gt;A548)*(Calc!$G$3:$G$22-A548)*(Calc!$G$3:$G$22&gt;B548)*(Calc!$G$3:$G$22-B548))</f>
        <v/>
      </c>
      <c r="L548">
        <f>SUMPRODUCT(Calc!$K$3:$K$22*(Calc!$G$3:$G$22&gt;A548)*(Calc!$G$3:$G$22-A548)*Calc!$G$3:$G$22)</f>
        <v/>
      </c>
      <c r="M548">
        <f>SUMPRODUCT(Calc!$K$3:$K$22*(Calc!$G$3:$G$22&gt;B548)*(Calc!$G$3:$G$22-B548)*Calc!$G$3:$G$22)</f>
        <v/>
      </c>
      <c r="N548">
        <f>SUMPRODUCT(Calc!$K$3:$K$22*(Calc!$G$3:$G$22&gt;A548)*(Calc!$G$3:$G$22-A548)*Calc!$I$3:$I$22)</f>
        <v/>
      </c>
      <c r="O548">
        <f>SUMPRODUCT(Calc!$K$3:$K$22*(Calc!$G$3:$G$22&gt;B548)*(Calc!$G$3:$G$22-B548)*Calc!$I$3:$I$22)</f>
        <v/>
      </c>
      <c r="P548">
        <f>I548-G548^2/k_n</f>
        <v/>
      </c>
      <c r="Q548">
        <f>J548-H548^2/k_n</f>
        <v/>
      </c>
      <c r="R548">
        <f>K548-G548*H548/k_n</f>
        <v/>
      </c>
      <c r="S548">
        <f>L548-LTP3!$D$3*G548/k_n</f>
        <v/>
      </c>
      <c r="T548">
        <f>M548-LTP3!$D$3*H548/k_n</f>
        <v/>
      </c>
      <c r="U548">
        <f>N548-G548*LTP3!$D$4/k_n</f>
        <v/>
      </c>
      <c r="V548">
        <f>O548-H548*LTP3!$D$4/k_n</f>
        <v/>
      </c>
      <c r="W548">
        <f>((LTP3!$D$5)*((P548)*(Q548)-(R548)*(R548))-(S548)*((S548)*(Q548)-(R548)*(T548))+(T548)*((S548)*(R548)-(P548)*(T548)))</f>
        <v/>
      </c>
      <c r="X548">
        <f>IF(ABS(W548)&gt;1E-12,((LTP3!$D$6)*((P548)*(Q548)-(R548)*(R548))-(S548)*((U548)*(Q548)-(R548)*(V548))+(T548)*((U548)*(R548)-(P548)*(V548)))/W548,0)</f>
        <v/>
      </c>
      <c r="Y548">
        <f>IF(ABS(W548)&gt;1E-12,((LTP3!$D$5)*((U548)*(Q548)-(R548)*(V548))-(LTP3!$D$6)*((S548)*(Q548)-(R548)*(T548))+(T548)*((S548)*(V548)-(U548)*(T548)))/W548,0)</f>
        <v/>
      </c>
      <c r="Z548">
        <f>IF(ABS(W548)&gt;1E-12,((LTP3!$D$5)*((P548)*(V548)-(U548)*(R548))-(S548)*((S548)*(V548)-(U548)*(T548))+(LTP3!$D$6)*((S548)*(R548)-(P548)*(T548)))/W548,0)</f>
        <v/>
      </c>
      <c r="AA548">
        <f>LTP3!$D$7-X548*LTP3!$D$6-Y548*U548-Z548*V548</f>
        <v/>
      </c>
      <c r="AB548">
        <f>IF(AND(F548,ABS(W548)&gt;1E-12,Y548&gt;0,Z548&gt;0),AA548,1E+300)</f>
        <v/>
      </c>
    </row>
    <row r="549">
      <c r="A549">
        <f>$B$3+$B$5*8</f>
        <v/>
      </c>
      <c r="B549">
        <f>$B$3+$B$5*49</f>
        <v/>
      </c>
      <c r="C549">
        <f>SUMPRODUCT(Calc!$K$3:$K$22*(Calc!$G$3:$G$22&lt;=A549))</f>
        <v/>
      </c>
      <c r="D549">
        <f>SUMPRODUCT(Calc!$K$3:$K$22*(Calc!$G$3:$G$22&gt;A549)*(Calc!$G$3:$G$22&lt;B549))</f>
        <v/>
      </c>
      <c r="E549">
        <f>SUMPRODUCT(Calc!$K$3:$K$22*(Calc!$G$3:$G$22&gt;=B549))</f>
        <v/>
      </c>
      <c r="F549">
        <f>AND(k_n&gt;=5,B549&gt;A549+1E-9,C549&gt;=2,D549&gt;=1,E549&gt;=2)</f>
        <v/>
      </c>
      <c r="G549">
        <f>SUMPRODUCT(Calc!$K$3:$K$22*(Calc!$G$3:$G$22&gt;A549)*(Calc!$G$3:$G$22-A549))</f>
        <v/>
      </c>
      <c r="H549">
        <f>SUMPRODUCT(Calc!$K$3:$K$22*(Calc!$G$3:$G$22&gt;B549)*(Calc!$G$3:$G$22-B549))</f>
        <v/>
      </c>
      <c r="I549">
        <f>SUMPRODUCT(Calc!$K$3:$K$22*(Calc!$G$3:$G$22&gt;A549)*(Calc!$G$3:$G$22-A549)^2)</f>
        <v/>
      </c>
      <c r="J549">
        <f>SUMPRODUCT(Calc!$K$3:$K$22*(Calc!$G$3:$G$22&gt;B549)*(Calc!$G$3:$G$22-B549)^2)</f>
        <v/>
      </c>
      <c r="K549">
        <f>SUMPRODUCT(Calc!$K$3:$K$22*(Calc!$G$3:$G$22&gt;A549)*(Calc!$G$3:$G$22-A549)*(Calc!$G$3:$G$22&gt;B549)*(Calc!$G$3:$G$22-B549))</f>
        <v/>
      </c>
      <c r="L549">
        <f>SUMPRODUCT(Calc!$K$3:$K$22*(Calc!$G$3:$G$22&gt;A549)*(Calc!$G$3:$G$22-A549)*Calc!$G$3:$G$22)</f>
        <v/>
      </c>
      <c r="M549">
        <f>SUMPRODUCT(Calc!$K$3:$K$22*(Calc!$G$3:$G$22&gt;B549)*(Calc!$G$3:$G$22-B549)*Calc!$G$3:$G$22)</f>
        <v/>
      </c>
      <c r="N549">
        <f>SUMPRODUCT(Calc!$K$3:$K$22*(Calc!$G$3:$G$22&gt;A549)*(Calc!$G$3:$G$22-A549)*Calc!$I$3:$I$22)</f>
        <v/>
      </c>
      <c r="O549">
        <f>SUMPRODUCT(Calc!$K$3:$K$22*(Calc!$G$3:$G$22&gt;B549)*(Calc!$G$3:$G$22-B549)*Calc!$I$3:$I$22)</f>
        <v/>
      </c>
      <c r="P549">
        <f>I549-G549^2/k_n</f>
        <v/>
      </c>
      <c r="Q549">
        <f>J549-H549^2/k_n</f>
        <v/>
      </c>
      <c r="R549">
        <f>K549-G549*H549/k_n</f>
        <v/>
      </c>
      <c r="S549">
        <f>L549-LTP3!$D$3*G549/k_n</f>
        <v/>
      </c>
      <c r="T549">
        <f>M549-LTP3!$D$3*H549/k_n</f>
        <v/>
      </c>
      <c r="U549">
        <f>N549-G549*LTP3!$D$4/k_n</f>
        <v/>
      </c>
      <c r="V549">
        <f>O549-H549*LTP3!$D$4/k_n</f>
        <v/>
      </c>
      <c r="W549">
        <f>((LTP3!$D$5)*((P549)*(Q549)-(R549)*(R549))-(S549)*((S549)*(Q549)-(R549)*(T549))+(T549)*((S549)*(R549)-(P549)*(T549)))</f>
        <v/>
      </c>
      <c r="X549">
        <f>IF(ABS(W549)&gt;1E-12,((LTP3!$D$6)*((P549)*(Q549)-(R549)*(R549))-(S549)*((U549)*(Q549)-(R549)*(V549))+(T549)*((U549)*(R549)-(P549)*(V549)))/W549,0)</f>
        <v/>
      </c>
      <c r="Y549">
        <f>IF(ABS(W549)&gt;1E-12,((LTP3!$D$5)*((U549)*(Q549)-(R549)*(V549))-(LTP3!$D$6)*((S549)*(Q549)-(R549)*(T549))+(T549)*((S549)*(V549)-(U549)*(T549)))/W549,0)</f>
        <v/>
      </c>
      <c r="Z549">
        <f>IF(ABS(W549)&gt;1E-12,((LTP3!$D$5)*((P549)*(V549)-(U549)*(R549))-(S549)*((S549)*(V549)-(U549)*(T549))+(LTP3!$D$6)*((S549)*(R549)-(P549)*(T549)))/W549,0)</f>
        <v/>
      </c>
      <c r="AA549">
        <f>LTP3!$D$7-X549*LTP3!$D$6-Y549*U549-Z549*V549</f>
        <v/>
      </c>
      <c r="AB549">
        <f>IF(AND(F549,ABS(W549)&gt;1E-12,Y549&gt;0,Z549&gt;0),AA549,1E+300)</f>
        <v/>
      </c>
    </row>
    <row r="550">
      <c r="A550">
        <f>$B$3+$B$5*8</f>
        <v/>
      </c>
      <c r="B550">
        <f>$B$3+$B$5*50</f>
        <v/>
      </c>
      <c r="C550">
        <f>SUMPRODUCT(Calc!$K$3:$K$22*(Calc!$G$3:$G$22&lt;=A550))</f>
        <v/>
      </c>
      <c r="D550">
        <f>SUMPRODUCT(Calc!$K$3:$K$22*(Calc!$G$3:$G$22&gt;A550)*(Calc!$G$3:$G$22&lt;B550))</f>
        <v/>
      </c>
      <c r="E550">
        <f>SUMPRODUCT(Calc!$K$3:$K$22*(Calc!$G$3:$G$22&gt;=B550))</f>
        <v/>
      </c>
      <c r="F550">
        <f>AND(k_n&gt;=5,B550&gt;A550+1E-9,C550&gt;=2,D550&gt;=1,E550&gt;=2)</f>
        <v/>
      </c>
      <c r="G550">
        <f>SUMPRODUCT(Calc!$K$3:$K$22*(Calc!$G$3:$G$22&gt;A550)*(Calc!$G$3:$G$22-A550))</f>
        <v/>
      </c>
      <c r="H550">
        <f>SUMPRODUCT(Calc!$K$3:$K$22*(Calc!$G$3:$G$22&gt;B550)*(Calc!$G$3:$G$22-B550))</f>
        <v/>
      </c>
      <c r="I550">
        <f>SUMPRODUCT(Calc!$K$3:$K$22*(Calc!$G$3:$G$22&gt;A550)*(Calc!$G$3:$G$22-A550)^2)</f>
        <v/>
      </c>
      <c r="J550">
        <f>SUMPRODUCT(Calc!$K$3:$K$22*(Calc!$G$3:$G$22&gt;B550)*(Calc!$G$3:$G$22-B550)^2)</f>
        <v/>
      </c>
      <c r="K550">
        <f>SUMPRODUCT(Calc!$K$3:$K$22*(Calc!$G$3:$G$22&gt;A550)*(Calc!$G$3:$G$22-A550)*(Calc!$G$3:$G$22&gt;B550)*(Calc!$G$3:$G$22-B550))</f>
        <v/>
      </c>
      <c r="L550">
        <f>SUMPRODUCT(Calc!$K$3:$K$22*(Calc!$G$3:$G$22&gt;A550)*(Calc!$G$3:$G$22-A550)*Calc!$G$3:$G$22)</f>
        <v/>
      </c>
      <c r="M550">
        <f>SUMPRODUCT(Calc!$K$3:$K$22*(Calc!$G$3:$G$22&gt;B550)*(Calc!$G$3:$G$22-B550)*Calc!$G$3:$G$22)</f>
        <v/>
      </c>
      <c r="N550">
        <f>SUMPRODUCT(Calc!$K$3:$K$22*(Calc!$G$3:$G$22&gt;A550)*(Calc!$G$3:$G$22-A550)*Calc!$I$3:$I$22)</f>
        <v/>
      </c>
      <c r="O550">
        <f>SUMPRODUCT(Calc!$K$3:$K$22*(Calc!$G$3:$G$22&gt;B550)*(Calc!$G$3:$G$22-B550)*Calc!$I$3:$I$22)</f>
        <v/>
      </c>
      <c r="P550">
        <f>I550-G550^2/k_n</f>
        <v/>
      </c>
      <c r="Q550">
        <f>J550-H550^2/k_n</f>
        <v/>
      </c>
      <c r="R550">
        <f>K550-G550*H550/k_n</f>
        <v/>
      </c>
      <c r="S550">
        <f>L550-LTP3!$D$3*G550/k_n</f>
        <v/>
      </c>
      <c r="T550">
        <f>M550-LTP3!$D$3*H550/k_n</f>
        <v/>
      </c>
      <c r="U550">
        <f>N550-G550*LTP3!$D$4/k_n</f>
        <v/>
      </c>
      <c r="V550">
        <f>O550-H550*LTP3!$D$4/k_n</f>
        <v/>
      </c>
      <c r="W550">
        <f>((LTP3!$D$5)*((P550)*(Q550)-(R550)*(R550))-(S550)*((S550)*(Q550)-(R550)*(T550))+(T550)*((S550)*(R550)-(P550)*(T550)))</f>
        <v/>
      </c>
      <c r="X550">
        <f>IF(ABS(W550)&gt;1E-12,((LTP3!$D$6)*((P550)*(Q550)-(R550)*(R550))-(S550)*((U550)*(Q550)-(R550)*(V550))+(T550)*((U550)*(R550)-(P550)*(V550)))/W550,0)</f>
        <v/>
      </c>
      <c r="Y550">
        <f>IF(ABS(W550)&gt;1E-12,((LTP3!$D$5)*((U550)*(Q550)-(R550)*(V550))-(LTP3!$D$6)*((S550)*(Q550)-(R550)*(T550))+(T550)*((S550)*(V550)-(U550)*(T550)))/W550,0)</f>
        <v/>
      </c>
      <c r="Z550">
        <f>IF(ABS(W550)&gt;1E-12,((LTP3!$D$5)*((P550)*(V550)-(U550)*(R550))-(S550)*((S550)*(V550)-(U550)*(T550))+(LTP3!$D$6)*((S550)*(R550)-(P550)*(T550)))/W550,0)</f>
        <v/>
      </c>
      <c r="AA550">
        <f>LTP3!$D$7-X550*LTP3!$D$6-Y550*U550-Z550*V550</f>
        <v/>
      </c>
      <c r="AB550">
        <f>IF(AND(F550,ABS(W550)&gt;1E-12,Y550&gt;0,Z550&gt;0),AA550,1E+300)</f>
        <v/>
      </c>
    </row>
    <row r="551">
      <c r="A551">
        <f>$B$3+$B$5*8</f>
        <v/>
      </c>
      <c r="B551">
        <f>$B$3+$B$5*51</f>
        <v/>
      </c>
      <c r="C551">
        <f>SUMPRODUCT(Calc!$K$3:$K$22*(Calc!$G$3:$G$22&lt;=A551))</f>
        <v/>
      </c>
      <c r="D551">
        <f>SUMPRODUCT(Calc!$K$3:$K$22*(Calc!$G$3:$G$22&gt;A551)*(Calc!$G$3:$G$22&lt;B551))</f>
        <v/>
      </c>
      <c r="E551">
        <f>SUMPRODUCT(Calc!$K$3:$K$22*(Calc!$G$3:$G$22&gt;=B551))</f>
        <v/>
      </c>
      <c r="F551">
        <f>AND(k_n&gt;=5,B551&gt;A551+1E-9,C551&gt;=2,D551&gt;=1,E551&gt;=2)</f>
        <v/>
      </c>
      <c r="G551">
        <f>SUMPRODUCT(Calc!$K$3:$K$22*(Calc!$G$3:$G$22&gt;A551)*(Calc!$G$3:$G$22-A551))</f>
        <v/>
      </c>
      <c r="H551">
        <f>SUMPRODUCT(Calc!$K$3:$K$22*(Calc!$G$3:$G$22&gt;B551)*(Calc!$G$3:$G$22-B551))</f>
        <v/>
      </c>
      <c r="I551">
        <f>SUMPRODUCT(Calc!$K$3:$K$22*(Calc!$G$3:$G$22&gt;A551)*(Calc!$G$3:$G$22-A551)^2)</f>
        <v/>
      </c>
      <c r="J551">
        <f>SUMPRODUCT(Calc!$K$3:$K$22*(Calc!$G$3:$G$22&gt;B551)*(Calc!$G$3:$G$22-B551)^2)</f>
        <v/>
      </c>
      <c r="K551">
        <f>SUMPRODUCT(Calc!$K$3:$K$22*(Calc!$G$3:$G$22&gt;A551)*(Calc!$G$3:$G$22-A551)*(Calc!$G$3:$G$22&gt;B551)*(Calc!$G$3:$G$22-B551))</f>
        <v/>
      </c>
      <c r="L551">
        <f>SUMPRODUCT(Calc!$K$3:$K$22*(Calc!$G$3:$G$22&gt;A551)*(Calc!$G$3:$G$22-A551)*Calc!$G$3:$G$22)</f>
        <v/>
      </c>
      <c r="M551">
        <f>SUMPRODUCT(Calc!$K$3:$K$22*(Calc!$G$3:$G$22&gt;B551)*(Calc!$G$3:$G$22-B551)*Calc!$G$3:$G$22)</f>
        <v/>
      </c>
      <c r="N551">
        <f>SUMPRODUCT(Calc!$K$3:$K$22*(Calc!$G$3:$G$22&gt;A551)*(Calc!$G$3:$G$22-A551)*Calc!$I$3:$I$22)</f>
        <v/>
      </c>
      <c r="O551">
        <f>SUMPRODUCT(Calc!$K$3:$K$22*(Calc!$G$3:$G$22&gt;B551)*(Calc!$G$3:$G$22-B551)*Calc!$I$3:$I$22)</f>
        <v/>
      </c>
      <c r="P551">
        <f>I551-G551^2/k_n</f>
        <v/>
      </c>
      <c r="Q551">
        <f>J551-H551^2/k_n</f>
        <v/>
      </c>
      <c r="R551">
        <f>K551-G551*H551/k_n</f>
        <v/>
      </c>
      <c r="S551">
        <f>L551-LTP3!$D$3*G551/k_n</f>
        <v/>
      </c>
      <c r="T551">
        <f>M551-LTP3!$D$3*H551/k_n</f>
        <v/>
      </c>
      <c r="U551">
        <f>N551-G551*LTP3!$D$4/k_n</f>
        <v/>
      </c>
      <c r="V551">
        <f>O551-H551*LTP3!$D$4/k_n</f>
        <v/>
      </c>
      <c r="W551">
        <f>((LTP3!$D$5)*((P551)*(Q551)-(R551)*(R551))-(S551)*((S551)*(Q551)-(R551)*(T551))+(T551)*((S551)*(R551)-(P551)*(T551)))</f>
        <v/>
      </c>
      <c r="X551">
        <f>IF(ABS(W551)&gt;1E-12,((LTP3!$D$6)*((P551)*(Q551)-(R551)*(R551))-(S551)*((U551)*(Q551)-(R551)*(V551))+(T551)*((U551)*(R551)-(P551)*(V551)))/W551,0)</f>
        <v/>
      </c>
      <c r="Y551">
        <f>IF(ABS(W551)&gt;1E-12,((LTP3!$D$5)*((U551)*(Q551)-(R551)*(V551))-(LTP3!$D$6)*((S551)*(Q551)-(R551)*(T551))+(T551)*((S551)*(V551)-(U551)*(T551)))/W551,0)</f>
        <v/>
      </c>
      <c r="Z551">
        <f>IF(ABS(W551)&gt;1E-12,((LTP3!$D$5)*((P551)*(V551)-(U551)*(R551))-(S551)*((S551)*(V551)-(U551)*(T551))+(LTP3!$D$6)*((S551)*(R551)-(P551)*(T551)))/W551,0)</f>
        <v/>
      </c>
      <c r="AA551">
        <f>LTP3!$D$7-X551*LTP3!$D$6-Y551*U551-Z551*V551</f>
        <v/>
      </c>
      <c r="AB551">
        <f>IF(AND(F551,ABS(W551)&gt;1E-12,Y551&gt;0,Z551&gt;0),AA551,1E+300)</f>
        <v/>
      </c>
    </row>
    <row r="552">
      <c r="A552">
        <f>$B$3+$B$5*8</f>
        <v/>
      </c>
      <c r="B552">
        <f>$B$3+$B$5*52</f>
        <v/>
      </c>
      <c r="C552">
        <f>SUMPRODUCT(Calc!$K$3:$K$22*(Calc!$G$3:$G$22&lt;=A552))</f>
        <v/>
      </c>
      <c r="D552">
        <f>SUMPRODUCT(Calc!$K$3:$K$22*(Calc!$G$3:$G$22&gt;A552)*(Calc!$G$3:$G$22&lt;B552))</f>
        <v/>
      </c>
      <c r="E552">
        <f>SUMPRODUCT(Calc!$K$3:$K$22*(Calc!$G$3:$G$22&gt;=B552))</f>
        <v/>
      </c>
      <c r="F552">
        <f>AND(k_n&gt;=5,B552&gt;A552+1E-9,C552&gt;=2,D552&gt;=1,E552&gt;=2)</f>
        <v/>
      </c>
      <c r="G552">
        <f>SUMPRODUCT(Calc!$K$3:$K$22*(Calc!$G$3:$G$22&gt;A552)*(Calc!$G$3:$G$22-A552))</f>
        <v/>
      </c>
      <c r="H552">
        <f>SUMPRODUCT(Calc!$K$3:$K$22*(Calc!$G$3:$G$22&gt;B552)*(Calc!$G$3:$G$22-B552))</f>
        <v/>
      </c>
      <c r="I552">
        <f>SUMPRODUCT(Calc!$K$3:$K$22*(Calc!$G$3:$G$22&gt;A552)*(Calc!$G$3:$G$22-A552)^2)</f>
        <v/>
      </c>
      <c r="J552">
        <f>SUMPRODUCT(Calc!$K$3:$K$22*(Calc!$G$3:$G$22&gt;B552)*(Calc!$G$3:$G$22-B552)^2)</f>
        <v/>
      </c>
      <c r="K552">
        <f>SUMPRODUCT(Calc!$K$3:$K$22*(Calc!$G$3:$G$22&gt;A552)*(Calc!$G$3:$G$22-A552)*(Calc!$G$3:$G$22&gt;B552)*(Calc!$G$3:$G$22-B552))</f>
        <v/>
      </c>
      <c r="L552">
        <f>SUMPRODUCT(Calc!$K$3:$K$22*(Calc!$G$3:$G$22&gt;A552)*(Calc!$G$3:$G$22-A552)*Calc!$G$3:$G$22)</f>
        <v/>
      </c>
      <c r="M552">
        <f>SUMPRODUCT(Calc!$K$3:$K$22*(Calc!$G$3:$G$22&gt;B552)*(Calc!$G$3:$G$22-B552)*Calc!$G$3:$G$22)</f>
        <v/>
      </c>
      <c r="N552">
        <f>SUMPRODUCT(Calc!$K$3:$K$22*(Calc!$G$3:$G$22&gt;A552)*(Calc!$G$3:$G$22-A552)*Calc!$I$3:$I$22)</f>
        <v/>
      </c>
      <c r="O552">
        <f>SUMPRODUCT(Calc!$K$3:$K$22*(Calc!$G$3:$G$22&gt;B552)*(Calc!$G$3:$G$22-B552)*Calc!$I$3:$I$22)</f>
        <v/>
      </c>
      <c r="P552">
        <f>I552-G552^2/k_n</f>
        <v/>
      </c>
      <c r="Q552">
        <f>J552-H552^2/k_n</f>
        <v/>
      </c>
      <c r="R552">
        <f>K552-G552*H552/k_n</f>
        <v/>
      </c>
      <c r="S552">
        <f>L552-LTP3!$D$3*G552/k_n</f>
        <v/>
      </c>
      <c r="T552">
        <f>M552-LTP3!$D$3*H552/k_n</f>
        <v/>
      </c>
      <c r="U552">
        <f>N552-G552*LTP3!$D$4/k_n</f>
        <v/>
      </c>
      <c r="V552">
        <f>O552-H552*LTP3!$D$4/k_n</f>
        <v/>
      </c>
      <c r="W552">
        <f>((LTP3!$D$5)*((P552)*(Q552)-(R552)*(R552))-(S552)*((S552)*(Q552)-(R552)*(T552))+(T552)*((S552)*(R552)-(P552)*(T552)))</f>
        <v/>
      </c>
      <c r="X552">
        <f>IF(ABS(W552)&gt;1E-12,((LTP3!$D$6)*((P552)*(Q552)-(R552)*(R552))-(S552)*((U552)*(Q552)-(R552)*(V552))+(T552)*((U552)*(R552)-(P552)*(V552)))/W552,0)</f>
        <v/>
      </c>
      <c r="Y552">
        <f>IF(ABS(W552)&gt;1E-12,((LTP3!$D$5)*((U552)*(Q552)-(R552)*(V552))-(LTP3!$D$6)*((S552)*(Q552)-(R552)*(T552))+(T552)*((S552)*(V552)-(U552)*(T552)))/W552,0)</f>
        <v/>
      </c>
      <c r="Z552">
        <f>IF(ABS(W552)&gt;1E-12,((LTP3!$D$5)*((P552)*(V552)-(U552)*(R552))-(S552)*((S552)*(V552)-(U552)*(T552))+(LTP3!$D$6)*((S552)*(R552)-(P552)*(T552)))/W552,0)</f>
        <v/>
      </c>
      <c r="AA552">
        <f>LTP3!$D$7-X552*LTP3!$D$6-Y552*U552-Z552*V552</f>
        <v/>
      </c>
      <c r="AB552">
        <f>IF(AND(F552,ABS(W552)&gt;1E-12,Y552&gt;0,Z552&gt;0),AA552,1E+300)</f>
        <v/>
      </c>
    </row>
    <row r="553">
      <c r="A553">
        <f>$B$3+$B$5*8</f>
        <v/>
      </c>
      <c r="B553">
        <f>$B$3+$B$5*53</f>
        <v/>
      </c>
      <c r="C553">
        <f>SUMPRODUCT(Calc!$K$3:$K$22*(Calc!$G$3:$G$22&lt;=A553))</f>
        <v/>
      </c>
      <c r="D553">
        <f>SUMPRODUCT(Calc!$K$3:$K$22*(Calc!$G$3:$G$22&gt;A553)*(Calc!$G$3:$G$22&lt;B553))</f>
        <v/>
      </c>
      <c r="E553">
        <f>SUMPRODUCT(Calc!$K$3:$K$22*(Calc!$G$3:$G$22&gt;=B553))</f>
        <v/>
      </c>
      <c r="F553">
        <f>AND(k_n&gt;=5,B553&gt;A553+1E-9,C553&gt;=2,D553&gt;=1,E553&gt;=2)</f>
        <v/>
      </c>
      <c r="G553">
        <f>SUMPRODUCT(Calc!$K$3:$K$22*(Calc!$G$3:$G$22&gt;A553)*(Calc!$G$3:$G$22-A553))</f>
        <v/>
      </c>
      <c r="H553">
        <f>SUMPRODUCT(Calc!$K$3:$K$22*(Calc!$G$3:$G$22&gt;B553)*(Calc!$G$3:$G$22-B553))</f>
        <v/>
      </c>
      <c r="I553">
        <f>SUMPRODUCT(Calc!$K$3:$K$22*(Calc!$G$3:$G$22&gt;A553)*(Calc!$G$3:$G$22-A553)^2)</f>
        <v/>
      </c>
      <c r="J553">
        <f>SUMPRODUCT(Calc!$K$3:$K$22*(Calc!$G$3:$G$22&gt;B553)*(Calc!$G$3:$G$22-B553)^2)</f>
        <v/>
      </c>
      <c r="K553">
        <f>SUMPRODUCT(Calc!$K$3:$K$22*(Calc!$G$3:$G$22&gt;A553)*(Calc!$G$3:$G$22-A553)*(Calc!$G$3:$G$22&gt;B553)*(Calc!$G$3:$G$22-B553))</f>
        <v/>
      </c>
      <c r="L553">
        <f>SUMPRODUCT(Calc!$K$3:$K$22*(Calc!$G$3:$G$22&gt;A553)*(Calc!$G$3:$G$22-A553)*Calc!$G$3:$G$22)</f>
        <v/>
      </c>
      <c r="M553">
        <f>SUMPRODUCT(Calc!$K$3:$K$22*(Calc!$G$3:$G$22&gt;B553)*(Calc!$G$3:$G$22-B553)*Calc!$G$3:$G$22)</f>
        <v/>
      </c>
      <c r="N553">
        <f>SUMPRODUCT(Calc!$K$3:$K$22*(Calc!$G$3:$G$22&gt;A553)*(Calc!$G$3:$G$22-A553)*Calc!$I$3:$I$22)</f>
        <v/>
      </c>
      <c r="O553">
        <f>SUMPRODUCT(Calc!$K$3:$K$22*(Calc!$G$3:$G$22&gt;B553)*(Calc!$G$3:$G$22-B553)*Calc!$I$3:$I$22)</f>
        <v/>
      </c>
      <c r="P553">
        <f>I553-G553^2/k_n</f>
        <v/>
      </c>
      <c r="Q553">
        <f>J553-H553^2/k_n</f>
        <v/>
      </c>
      <c r="R553">
        <f>K553-G553*H553/k_n</f>
        <v/>
      </c>
      <c r="S553">
        <f>L553-LTP3!$D$3*G553/k_n</f>
        <v/>
      </c>
      <c r="T553">
        <f>M553-LTP3!$D$3*H553/k_n</f>
        <v/>
      </c>
      <c r="U553">
        <f>N553-G553*LTP3!$D$4/k_n</f>
        <v/>
      </c>
      <c r="V553">
        <f>O553-H553*LTP3!$D$4/k_n</f>
        <v/>
      </c>
      <c r="W553">
        <f>((LTP3!$D$5)*((P553)*(Q553)-(R553)*(R553))-(S553)*((S553)*(Q553)-(R553)*(T553))+(T553)*((S553)*(R553)-(P553)*(T553)))</f>
        <v/>
      </c>
      <c r="X553">
        <f>IF(ABS(W553)&gt;1E-12,((LTP3!$D$6)*((P553)*(Q553)-(R553)*(R553))-(S553)*((U553)*(Q553)-(R553)*(V553))+(T553)*((U553)*(R553)-(P553)*(V553)))/W553,0)</f>
        <v/>
      </c>
      <c r="Y553">
        <f>IF(ABS(W553)&gt;1E-12,((LTP3!$D$5)*((U553)*(Q553)-(R553)*(V553))-(LTP3!$D$6)*((S553)*(Q553)-(R553)*(T553))+(T553)*((S553)*(V553)-(U553)*(T553)))/W553,0)</f>
        <v/>
      </c>
      <c r="Z553">
        <f>IF(ABS(W553)&gt;1E-12,((LTP3!$D$5)*((P553)*(V553)-(U553)*(R553))-(S553)*((S553)*(V553)-(U553)*(T553))+(LTP3!$D$6)*((S553)*(R553)-(P553)*(T553)))/W553,0)</f>
        <v/>
      </c>
      <c r="AA553">
        <f>LTP3!$D$7-X553*LTP3!$D$6-Y553*U553-Z553*V553</f>
        <v/>
      </c>
      <c r="AB553">
        <f>IF(AND(F553,ABS(W553)&gt;1E-12,Y553&gt;0,Z553&gt;0),AA553,1E+300)</f>
        <v/>
      </c>
    </row>
    <row r="554">
      <c r="A554">
        <f>$B$3+$B$5*8</f>
        <v/>
      </c>
      <c r="B554">
        <f>$B$3+$B$5*54</f>
        <v/>
      </c>
      <c r="C554">
        <f>SUMPRODUCT(Calc!$K$3:$K$22*(Calc!$G$3:$G$22&lt;=A554))</f>
        <v/>
      </c>
      <c r="D554">
        <f>SUMPRODUCT(Calc!$K$3:$K$22*(Calc!$G$3:$G$22&gt;A554)*(Calc!$G$3:$G$22&lt;B554))</f>
        <v/>
      </c>
      <c r="E554">
        <f>SUMPRODUCT(Calc!$K$3:$K$22*(Calc!$G$3:$G$22&gt;=B554))</f>
        <v/>
      </c>
      <c r="F554">
        <f>AND(k_n&gt;=5,B554&gt;A554+1E-9,C554&gt;=2,D554&gt;=1,E554&gt;=2)</f>
        <v/>
      </c>
      <c r="G554">
        <f>SUMPRODUCT(Calc!$K$3:$K$22*(Calc!$G$3:$G$22&gt;A554)*(Calc!$G$3:$G$22-A554))</f>
        <v/>
      </c>
      <c r="H554">
        <f>SUMPRODUCT(Calc!$K$3:$K$22*(Calc!$G$3:$G$22&gt;B554)*(Calc!$G$3:$G$22-B554))</f>
        <v/>
      </c>
      <c r="I554">
        <f>SUMPRODUCT(Calc!$K$3:$K$22*(Calc!$G$3:$G$22&gt;A554)*(Calc!$G$3:$G$22-A554)^2)</f>
        <v/>
      </c>
      <c r="J554">
        <f>SUMPRODUCT(Calc!$K$3:$K$22*(Calc!$G$3:$G$22&gt;B554)*(Calc!$G$3:$G$22-B554)^2)</f>
        <v/>
      </c>
      <c r="K554">
        <f>SUMPRODUCT(Calc!$K$3:$K$22*(Calc!$G$3:$G$22&gt;A554)*(Calc!$G$3:$G$22-A554)*(Calc!$G$3:$G$22&gt;B554)*(Calc!$G$3:$G$22-B554))</f>
        <v/>
      </c>
      <c r="L554">
        <f>SUMPRODUCT(Calc!$K$3:$K$22*(Calc!$G$3:$G$22&gt;A554)*(Calc!$G$3:$G$22-A554)*Calc!$G$3:$G$22)</f>
        <v/>
      </c>
      <c r="M554">
        <f>SUMPRODUCT(Calc!$K$3:$K$22*(Calc!$G$3:$G$22&gt;B554)*(Calc!$G$3:$G$22-B554)*Calc!$G$3:$G$22)</f>
        <v/>
      </c>
      <c r="N554">
        <f>SUMPRODUCT(Calc!$K$3:$K$22*(Calc!$G$3:$G$22&gt;A554)*(Calc!$G$3:$G$22-A554)*Calc!$I$3:$I$22)</f>
        <v/>
      </c>
      <c r="O554">
        <f>SUMPRODUCT(Calc!$K$3:$K$22*(Calc!$G$3:$G$22&gt;B554)*(Calc!$G$3:$G$22-B554)*Calc!$I$3:$I$22)</f>
        <v/>
      </c>
      <c r="P554">
        <f>I554-G554^2/k_n</f>
        <v/>
      </c>
      <c r="Q554">
        <f>J554-H554^2/k_n</f>
        <v/>
      </c>
      <c r="R554">
        <f>K554-G554*H554/k_n</f>
        <v/>
      </c>
      <c r="S554">
        <f>L554-LTP3!$D$3*G554/k_n</f>
        <v/>
      </c>
      <c r="T554">
        <f>M554-LTP3!$D$3*H554/k_n</f>
        <v/>
      </c>
      <c r="U554">
        <f>N554-G554*LTP3!$D$4/k_n</f>
        <v/>
      </c>
      <c r="V554">
        <f>O554-H554*LTP3!$D$4/k_n</f>
        <v/>
      </c>
      <c r="W554">
        <f>((LTP3!$D$5)*((P554)*(Q554)-(R554)*(R554))-(S554)*((S554)*(Q554)-(R554)*(T554))+(T554)*((S554)*(R554)-(P554)*(T554)))</f>
        <v/>
      </c>
      <c r="X554">
        <f>IF(ABS(W554)&gt;1E-12,((LTP3!$D$6)*((P554)*(Q554)-(R554)*(R554))-(S554)*((U554)*(Q554)-(R554)*(V554))+(T554)*((U554)*(R554)-(P554)*(V554)))/W554,0)</f>
        <v/>
      </c>
      <c r="Y554">
        <f>IF(ABS(W554)&gt;1E-12,((LTP3!$D$5)*((U554)*(Q554)-(R554)*(V554))-(LTP3!$D$6)*((S554)*(Q554)-(R554)*(T554))+(T554)*((S554)*(V554)-(U554)*(T554)))/W554,0)</f>
        <v/>
      </c>
      <c r="Z554">
        <f>IF(ABS(W554)&gt;1E-12,((LTP3!$D$5)*((P554)*(V554)-(U554)*(R554))-(S554)*((S554)*(V554)-(U554)*(T554))+(LTP3!$D$6)*((S554)*(R554)-(P554)*(T554)))/W554,0)</f>
        <v/>
      </c>
      <c r="AA554">
        <f>LTP3!$D$7-X554*LTP3!$D$6-Y554*U554-Z554*V554</f>
        <v/>
      </c>
      <c r="AB554">
        <f>IF(AND(F554,ABS(W554)&gt;1E-12,Y554&gt;0,Z554&gt;0),AA554,1E+300)</f>
        <v/>
      </c>
    </row>
    <row r="555">
      <c r="A555">
        <f>$B$3+$B$5*8</f>
        <v/>
      </c>
      <c r="B555">
        <f>$B$3+$B$5*55</f>
        <v/>
      </c>
      <c r="C555">
        <f>SUMPRODUCT(Calc!$K$3:$K$22*(Calc!$G$3:$G$22&lt;=A555))</f>
        <v/>
      </c>
      <c r="D555">
        <f>SUMPRODUCT(Calc!$K$3:$K$22*(Calc!$G$3:$G$22&gt;A555)*(Calc!$G$3:$G$22&lt;B555))</f>
        <v/>
      </c>
      <c r="E555">
        <f>SUMPRODUCT(Calc!$K$3:$K$22*(Calc!$G$3:$G$22&gt;=B555))</f>
        <v/>
      </c>
      <c r="F555">
        <f>AND(k_n&gt;=5,B555&gt;A555+1E-9,C555&gt;=2,D555&gt;=1,E555&gt;=2)</f>
        <v/>
      </c>
      <c r="G555">
        <f>SUMPRODUCT(Calc!$K$3:$K$22*(Calc!$G$3:$G$22&gt;A555)*(Calc!$G$3:$G$22-A555))</f>
        <v/>
      </c>
      <c r="H555">
        <f>SUMPRODUCT(Calc!$K$3:$K$22*(Calc!$G$3:$G$22&gt;B555)*(Calc!$G$3:$G$22-B555))</f>
        <v/>
      </c>
      <c r="I555">
        <f>SUMPRODUCT(Calc!$K$3:$K$22*(Calc!$G$3:$G$22&gt;A555)*(Calc!$G$3:$G$22-A555)^2)</f>
        <v/>
      </c>
      <c r="J555">
        <f>SUMPRODUCT(Calc!$K$3:$K$22*(Calc!$G$3:$G$22&gt;B555)*(Calc!$G$3:$G$22-B555)^2)</f>
        <v/>
      </c>
      <c r="K555">
        <f>SUMPRODUCT(Calc!$K$3:$K$22*(Calc!$G$3:$G$22&gt;A555)*(Calc!$G$3:$G$22-A555)*(Calc!$G$3:$G$22&gt;B555)*(Calc!$G$3:$G$22-B555))</f>
        <v/>
      </c>
      <c r="L555">
        <f>SUMPRODUCT(Calc!$K$3:$K$22*(Calc!$G$3:$G$22&gt;A555)*(Calc!$G$3:$G$22-A555)*Calc!$G$3:$G$22)</f>
        <v/>
      </c>
      <c r="M555">
        <f>SUMPRODUCT(Calc!$K$3:$K$22*(Calc!$G$3:$G$22&gt;B555)*(Calc!$G$3:$G$22-B555)*Calc!$G$3:$G$22)</f>
        <v/>
      </c>
      <c r="N555">
        <f>SUMPRODUCT(Calc!$K$3:$K$22*(Calc!$G$3:$G$22&gt;A555)*(Calc!$G$3:$G$22-A555)*Calc!$I$3:$I$22)</f>
        <v/>
      </c>
      <c r="O555">
        <f>SUMPRODUCT(Calc!$K$3:$K$22*(Calc!$G$3:$G$22&gt;B555)*(Calc!$G$3:$G$22-B555)*Calc!$I$3:$I$22)</f>
        <v/>
      </c>
      <c r="P555">
        <f>I555-G555^2/k_n</f>
        <v/>
      </c>
      <c r="Q555">
        <f>J555-H555^2/k_n</f>
        <v/>
      </c>
      <c r="R555">
        <f>K555-G555*H555/k_n</f>
        <v/>
      </c>
      <c r="S555">
        <f>L555-LTP3!$D$3*G555/k_n</f>
        <v/>
      </c>
      <c r="T555">
        <f>M555-LTP3!$D$3*H555/k_n</f>
        <v/>
      </c>
      <c r="U555">
        <f>N555-G555*LTP3!$D$4/k_n</f>
        <v/>
      </c>
      <c r="V555">
        <f>O555-H555*LTP3!$D$4/k_n</f>
        <v/>
      </c>
      <c r="W555">
        <f>((LTP3!$D$5)*((P555)*(Q555)-(R555)*(R555))-(S555)*((S555)*(Q555)-(R555)*(T555))+(T555)*((S555)*(R555)-(P555)*(T555)))</f>
        <v/>
      </c>
      <c r="X555">
        <f>IF(ABS(W555)&gt;1E-12,((LTP3!$D$6)*((P555)*(Q555)-(R555)*(R555))-(S555)*((U555)*(Q555)-(R555)*(V555))+(T555)*((U555)*(R555)-(P555)*(V555)))/W555,0)</f>
        <v/>
      </c>
      <c r="Y555">
        <f>IF(ABS(W555)&gt;1E-12,((LTP3!$D$5)*((U555)*(Q555)-(R555)*(V555))-(LTP3!$D$6)*((S555)*(Q555)-(R555)*(T555))+(T555)*((S555)*(V555)-(U555)*(T555)))/W555,0)</f>
        <v/>
      </c>
      <c r="Z555">
        <f>IF(ABS(W555)&gt;1E-12,((LTP3!$D$5)*((P555)*(V555)-(U555)*(R555))-(S555)*((S555)*(V555)-(U555)*(T555))+(LTP3!$D$6)*((S555)*(R555)-(P555)*(T555)))/W555,0)</f>
        <v/>
      </c>
      <c r="AA555">
        <f>LTP3!$D$7-X555*LTP3!$D$6-Y555*U555-Z555*V555</f>
        <v/>
      </c>
      <c r="AB555">
        <f>IF(AND(F555,ABS(W555)&gt;1E-12,Y555&gt;0,Z555&gt;0),AA555,1E+300)</f>
        <v/>
      </c>
    </row>
    <row r="556">
      <c r="A556">
        <f>$B$3+$B$5*8</f>
        <v/>
      </c>
      <c r="B556">
        <f>$B$3+$B$5*56</f>
        <v/>
      </c>
      <c r="C556">
        <f>SUMPRODUCT(Calc!$K$3:$K$22*(Calc!$G$3:$G$22&lt;=A556))</f>
        <v/>
      </c>
      <c r="D556">
        <f>SUMPRODUCT(Calc!$K$3:$K$22*(Calc!$G$3:$G$22&gt;A556)*(Calc!$G$3:$G$22&lt;B556))</f>
        <v/>
      </c>
      <c r="E556">
        <f>SUMPRODUCT(Calc!$K$3:$K$22*(Calc!$G$3:$G$22&gt;=B556))</f>
        <v/>
      </c>
      <c r="F556">
        <f>AND(k_n&gt;=5,B556&gt;A556+1E-9,C556&gt;=2,D556&gt;=1,E556&gt;=2)</f>
        <v/>
      </c>
      <c r="G556">
        <f>SUMPRODUCT(Calc!$K$3:$K$22*(Calc!$G$3:$G$22&gt;A556)*(Calc!$G$3:$G$22-A556))</f>
        <v/>
      </c>
      <c r="H556">
        <f>SUMPRODUCT(Calc!$K$3:$K$22*(Calc!$G$3:$G$22&gt;B556)*(Calc!$G$3:$G$22-B556))</f>
        <v/>
      </c>
      <c r="I556">
        <f>SUMPRODUCT(Calc!$K$3:$K$22*(Calc!$G$3:$G$22&gt;A556)*(Calc!$G$3:$G$22-A556)^2)</f>
        <v/>
      </c>
      <c r="J556">
        <f>SUMPRODUCT(Calc!$K$3:$K$22*(Calc!$G$3:$G$22&gt;B556)*(Calc!$G$3:$G$22-B556)^2)</f>
        <v/>
      </c>
      <c r="K556">
        <f>SUMPRODUCT(Calc!$K$3:$K$22*(Calc!$G$3:$G$22&gt;A556)*(Calc!$G$3:$G$22-A556)*(Calc!$G$3:$G$22&gt;B556)*(Calc!$G$3:$G$22-B556))</f>
        <v/>
      </c>
      <c r="L556">
        <f>SUMPRODUCT(Calc!$K$3:$K$22*(Calc!$G$3:$G$22&gt;A556)*(Calc!$G$3:$G$22-A556)*Calc!$G$3:$G$22)</f>
        <v/>
      </c>
      <c r="M556">
        <f>SUMPRODUCT(Calc!$K$3:$K$22*(Calc!$G$3:$G$22&gt;B556)*(Calc!$G$3:$G$22-B556)*Calc!$G$3:$G$22)</f>
        <v/>
      </c>
      <c r="N556">
        <f>SUMPRODUCT(Calc!$K$3:$K$22*(Calc!$G$3:$G$22&gt;A556)*(Calc!$G$3:$G$22-A556)*Calc!$I$3:$I$22)</f>
        <v/>
      </c>
      <c r="O556">
        <f>SUMPRODUCT(Calc!$K$3:$K$22*(Calc!$G$3:$G$22&gt;B556)*(Calc!$G$3:$G$22-B556)*Calc!$I$3:$I$22)</f>
        <v/>
      </c>
      <c r="P556">
        <f>I556-G556^2/k_n</f>
        <v/>
      </c>
      <c r="Q556">
        <f>J556-H556^2/k_n</f>
        <v/>
      </c>
      <c r="R556">
        <f>K556-G556*H556/k_n</f>
        <v/>
      </c>
      <c r="S556">
        <f>L556-LTP3!$D$3*G556/k_n</f>
        <v/>
      </c>
      <c r="T556">
        <f>M556-LTP3!$D$3*H556/k_n</f>
        <v/>
      </c>
      <c r="U556">
        <f>N556-G556*LTP3!$D$4/k_n</f>
        <v/>
      </c>
      <c r="V556">
        <f>O556-H556*LTP3!$D$4/k_n</f>
        <v/>
      </c>
      <c r="W556">
        <f>((LTP3!$D$5)*((P556)*(Q556)-(R556)*(R556))-(S556)*((S556)*(Q556)-(R556)*(T556))+(T556)*((S556)*(R556)-(P556)*(T556)))</f>
        <v/>
      </c>
      <c r="X556">
        <f>IF(ABS(W556)&gt;1E-12,((LTP3!$D$6)*((P556)*(Q556)-(R556)*(R556))-(S556)*((U556)*(Q556)-(R556)*(V556))+(T556)*((U556)*(R556)-(P556)*(V556)))/W556,0)</f>
        <v/>
      </c>
      <c r="Y556">
        <f>IF(ABS(W556)&gt;1E-12,((LTP3!$D$5)*((U556)*(Q556)-(R556)*(V556))-(LTP3!$D$6)*((S556)*(Q556)-(R556)*(T556))+(T556)*((S556)*(V556)-(U556)*(T556)))/W556,0)</f>
        <v/>
      </c>
      <c r="Z556">
        <f>IF(ABS(W556)&gt;1E-12,((LTP3!$D$5)*((P556)*(V556)-(U556)*(R556))-(S556)*((S556)*(V556)-(U556)*(T556))+(LTP3!$D$6)*((S556)*(R556)-(P556)*(T556)))/W556,0)</f>
        <v/>
      </c>
      <c r="AA556">
        <f>LTP3!$D$7-X556*LTP3!$D$6-Y556*U556-Z556*V556</f>
        <v/>
      </c>
      <c r="AB556">
        <f>IF(AND(F556,ABS(W556)&gt;1E-12,Y556&gt;0,Z556&gt;0),AA556,1E+300)</f>
        <v/>
      </c>
    </row>
    <row r="557">
      <c r="A557">
        <f>$B$3+$B$5*8</f>
        <v/>
      </c>
      <c r="B557">
        <f>$B$3+$B$5*57</f>
        <v/>
      </c>
      <c r="C557">
        <f>SUMPRODUCT(Calc!$K$3:$K$22*(Calc!$G$3:$G$22&lt;=A557))</f>
        <v/>
      </c>
      <c r="D557">
        <f>SUMPRODUCT(Calc!$K$3:$K$22*(Calc!$G$3:$G$22&gt;A557)*(Calc!$G$3:$G$22&lt;B557))</f>
        <v/>
      </c>
      <c r="E557">
        <f>SUMPRODUCT(Calc!$K$3:$K$22*(Calc!$G$3:$G$22&gt;=B557))</f>
        <v/>
      </c>
      <c r="F557">
        <f>AND(k_n&gt;=5,B557&gt;A557+1E-9,C557&gt;=2,D557&gt;=1,E557&gt;=2)</f>
        <v/>
      </c>
      <c r="G557">
        <f>SUMPRODUCT(Calc!$K$3:$K$22*(Calc!$G$3:$G$22&gt;A557)*(Calc!$G$3:$G$22-A557))</f>
        <v/>
      </c>
      <c r="H557">
        <f>SUMPRODUCT(Calc!$K$3:$K$22*(Calc!$G$3:$G$22&gt;B557)*(Calc!$G$3:$G$22-B557))</f>
        <v/>
      </c>
      <c r="I557">
        <f>SUMPRODUCT(Calc!$K$3:$K$22*(Calc!$G$3:$G$22&gt;A557)*(Calc!$G$3:$G$22-A557)^2)</f>
        <v/>
      </c>
      <c r="J557">
        <f>SUMPRODUCT(Calc!$K$3:$K$22*(Calc!$G$3:$G$22&gt;B557)*(Calc!$G$3:$G$22-B557)^2)</f>
        <v/>
      </c>
      <c r="K557">
        <f>SUMPRODUCT(Calc!$K$3:$K$22*(Calc!$G$3:$G$22&gt;A557)*(Calc!$G$3:$G$22-A557)*(Calc!$G$3:$G$22&gt;B557)*(Calc!$G$3:$G$22-B557))</f>
        <v/>
      </c>
      <c r="L557">
        <f>SUMPRODUCT(Calc!$K$3:$K$22*(Calc!$G$3:$G$22&gt;A557)*(Calc!$G$3:$G$22-A557)*Calc!$G$3:$G$22)</f>
        <v/>
      </c>
      <c r="M557">
        <f>SUMPRODUCT(Calc!$K$3:$K$22*(Calc!$G$3:$G$22&gt;B557)*(Calc!$G$3:$G$22-B557)*Calc!$G$3:$G$22)</f>
        <v/>
      </c>
      <c r="N557">
        <f>SUMPRODUCT(Calc!$K$3:$K$22*(Calc!$G$3:$G$22&gt;A557)*(Calc!$G$3:$G$22-A557)*Calc!$I$3:$I$22)</f>
        <v/>
      </c>
      <c r="O557">
        <f>SUMPRODUCT(Calc!$K$3:$K$22*(Calc!$G$3:$G$22&gt;B557)*(Calc!$G$3:$G$22-B557)*Calc!$I$3:$I$22)</f>
        <v/>
      </c>
      <c r="P557">
        <f>I557-G557^2/k_n</f>
        <v/>
      </c>
      <c r="Q557">
        <f>J557-H557^2/k_n</f>
        <v/>
      </c>
      <c r="R557">
        <f>K557-G557*H557/k_n</f>
        <v/>
      </c>
      <c r="S557">
        <f>L557-LTP3!$D$3*G557/k_n</f>
        <v/>
      </c>
      <c r="T557">
        <f>M557-LTP3!$D$3*H557/k_n</f>
        <v/>
      </c>
      <c r="U557">
        <f>N557-G557*LTP3!$D$4/k_n</f>
        <v/>
      </c>
      <c r="V557">
        <f>O557-H557*LTP3!$D$4/k_n</f>
        <v/>
      </c>
      <c r="W557">
        <f>((LTP3!$D$5)*((P557)*(Q557)-(R557)*(R557))-(S557)*((S557)*(Q557)-(R557)*(T557))+(T557)*((S557)*(R557)-(P557)*(T557)))</f>
        <v/>
      </c>
      <c r="X557">
        <f>IF(ABS(W557)&gt;1E-12,((LTP3!$D$6)*((P557)*(Q557)-(R557)*(R557))-(S557)*((U557)*(Q557)-(R557)*(V557))+(T557)*((U557)*(R557)-(P557)*(V557)))/W557,0)</f>
        <v/>
      </c>
      <c r="Y557">
        <f>IF(ABS(W557)&gt;1E-12,((LTP3!$D$5)*((U557)*(Q557)-(R557)*(V557))-(LTP3!$D$6)*((S557)*(Q557)-(R557)*(T557))+(T557)*((S557)*(V557)-(U557)*(T557)))/W557,0)</f>
        <v/>
      </c>
      <c r="Z557">
        <f>IF(ABS(W557)&gt;1E-12,((LTP3!$D$5)*((P557)*(V557)-(U557)*(R557))-(S557)*((S557)*(V557)-(U557)*(T557))+(LTP3!$D$6)*((S557)*(R557)-(P557)*(T557)))/W557,0)</f>
        <v/>
      </c>
      <c r="AA557">
        <f>LTP3!$D$7-X557*LTP3!$D$6-Y557*U557-Z557*V557</f>
        <v/>
      </c>
      <c r="AB557">
        <f>IF(AND(F557,ABS(W557)&gt;1E-12,Y557&gt;0,Z557&gt;0),AA557,1E+300)</f>
        <v/>
      </c>
    </row>
    <row r="558">
      <c r="A558">
        <f>$B$3+$B$5*8</f>
        <v/>
      </c>
      <c r="B558">
        <f>$B$3+$B$5*58</f>
        <v/>
      </c>
      <c r="C558">
        <f>SUMPRODUCT(Calc!$K$3:$K$22*(Calc!$G$3:$G$22&lt;=A558))</f>
        <v/>
      </c>
      <c r="D558">
        <f>SUMPRODUCT(Calc!$K$3:$K$22*(Calc!$G$3:$G$22&gt;A558)*(Calc!$G$3:$G$22&lt;B558))</f>
        <v/>
      </c>
      <c r="E558">
        <f>SUMPRODUCT(Calc!$K$3:$K$22*(Calc!$G$3:$G$22&gt;=B558))</f>
        <v/>
      </c>
      <c r="F558">
        <f>AND(k_n&gt;=5,B558&gt;A558+1E-9,C558&gt;=2,D558&gt;=1,E558&gt;=2)</f>
        <v/>
      </c>
      <c r="G558">
        <f>SUMPRODUCT(Calc!$K$3:$K$22*(Calc!$G$3:$G$22&gt;A558)*(Calc!$G$3:$G$22-A558))</f>
        <v/>
      </c>
      <c r="H558">
        <f>SUMPRODUCT(Calc!$K$3:$K$22*(Calc!$G$3:$G$22&gt;B558)*(Calc!$G$3:$G$22-B558))</f>
        <v/>
      </c>
      <c r="I558">
        <f>SUMPRODUCT(Calc!$K$3:$K$22*(Calc!$G$3:$G$22&gt;A558)*(Calc!$G$3:$G$22-A558)^2)</f>
        <v/>
      </c>
      <c r="J558">
        <f>SUMPRODUCT(Calc!$K$3:$K$22*(Calc!$G$3:$G$22&gt;B558)*(Calc!$G$3:$G$22-B558)^2)</f>
        <v/>
      </c>
      <c r="K558">
        <f>SUMPRODUCT(Calc!$K$3:$K$22*(Calc!$G$3:$G$22&gt;A558)*(Calc!$G$3:$G$22-A558)*(Calc!$G$3:$G$22&gt;B558)*(Calc!$G$3:$G$22-B558))</f>
        <v/>
      </c>
      <c r="L558">
        <f>SUMPRODUCT(Calc!$K$3:$K$22*(Calc!$G$3:$G$22&gt;A558)*(Calc!$G$3:$G$22-A558)*Calc!$G$3:$G$22)</f>
        <v/>
      </c>
      <c r="M558">
        <f>SUMPRODUCT(Calc!$K$3:$K$22*(Calc!$G$3:$G$22&gt;B558)*(Calc!$G$3:$G$22-B558)*Calc!$G$3:$G$22)</f>
        <v/>
      </c>
      <c r="N558">
        <f>SUMPRODUCT(Calc!$K$3:$K$22*(Calc!$G$3:$G$22&gt;A558)*(Calc!$G$3:$G$22-A558)*Calc!$I$3:$I$22)</f>
        <v/>
      </c>
      <c r="O558">
        <f>SUMPRODUCT(Calc!$K$3:$K$22*(Calc!$G$3:$G$22&gt;B558)*(Calc!$G$3:$G$22-B558)*Calc!$I$3:$I$22)</f>
        <v/>
      </c>
      <c r="P558">
        <f>I558-G558^2/k_n</f>
        <v/>
      </c>
      <c r="Q558">
        <f>J558-H558^2/k_n</f>
        <v/>
      </c>
      <c r="R558">
        <f>K558-G558*H558/k_n</f>
        <v/>
      </c>
      <c r="S558">
        <f>L558-LTP3!$D$3*G558/k_n</f>
        <v/>
      </c>
      <c r="T558">
        <f>M558-LTP3!$D$3*H558/k_n</f>
        <v/>
      </c>
      <c r="U558">
        <f>N558-G558*LTP3!$D$4/k_n</f>
        <v/>
      </c>
      <c r="V558">
        <f>O558-H558*LTP3!$D$4/k_n</f>
        <v/>
      </c>
      <c r="W558">
        <f>((LTP3!$D$5)*((P558)*(Q558)-(R558)*(R558))-(S558)*((S558)*(Q558)-(R558)*(T558))+(T558)*((S558)*(R558)-(P558)*(T558)))</f>
        <v/>
      </c>
      <c r="X558">
        <f>IF(ABS(W558)&gt;1E-12,((LTP3!$D$6)*((P558)*(Q558)-(R558)*(R558))-(S558)*((U558)*(Q558)-(R558)*(V558))+(T558)*((U558)*(R558)-(P558)*(V558)))/W558,0)</f>
        <v/>
      </c>
      <c r="Y558">
        <f>IF(ABS(W558)&gt;1E-12,((LTP3!$D$5)*((U558)*(Q558)-(R558)*(V558))-(LTP3!$D$6)*((S558)*(Q558)-(R558)*(T558))+(T558)*((S558)*(V558)-(U558)*(T558)))/W558,0)</f>
        <v/>
      </c>
      <c r="Z558">
        <f>IF(ABS(W558)&gt;1E-12,((LTP3!$D$5)*((P558)*(V558)-(U558)*(R558))-(S558)*((S558)*(V558)-(U558)*(T558))+(LTP3!$D$6)*((S558)*(R558)-(P558)*(T558)))/W558,0)</f>
        <v/>
      </c>
      <c r="AA558">
        <f>LTP3!$D$7-X558*LTP3!$D$6-Y558*U558-Z558*V558</f>
        <v/>
      </c>
      <c r="AB558">
        <f>IF(AND(F558,ABS(W558)&gt;1E-12,Y558&gt;0,Z558&gt;0),AA558,1E+300)</f>
        <v/>
      </c>
    </row>
    <row r="559">
      <c r="A559">
        <f>$B$3+$B$5*8</f>
        <v/>
      </c>
      <c r="B559">
        <f>$B$3+$B$5*59</f>
        <v/>
      </c>
      <c r="C559">
        <f>SUMPRODUCT(Calc!$K$3:$K$22*(Calc!$G$3:$G$22&lt;=A559))</f>
        <v/>
      </c>
      <c r="D559">
        <f>SUMPRODUCT(Calc!$K$3:$K$22*(Calc!$G$3:$G$22&gt;A559)*(Calc!$G$3:$G$22&lt;B559))</f>
        <v/>
      </c>
      <c r="E559">
        <f>SUMPRODUCT(Calc!$K$3:$K$22*(Calc!$G$3:$G$22&gt;=B559))</f>
        <v/>
      </c>
      <c r="F559">
        <f>AND(k_n&gt;=5,B559&gt;A559+1E-9,C559&gt;=2,D559&gt;=1,E559&gt;=2)</f>
        <v/>
      </c>
      <c r="G559">
        <f>SUMPRODUCT(Calc!$K$3:$K$22*(Calc!$G$3:$G$22&gt;A559)*(Calc!$G$3:$G$22-A559))</f>
        <v/>
      </c>
      <c r="H559">
        <f>SUMPRODUCT(Calc!$K$3:$K$22*(Calc!$G$3:$G$22&gt;B559)*(Calc!$G$3:$G$22-B559))</f>
        <v/>
      </c>
      <c r="I559">
        <f>SUMPRODUCT(Calc!$K$3:$K$22*(Calc!$G$3:$G$22&gt;A559)*(Calc!$G$3:$G$22-A559)^2)</f>
        <v/>
      </c>
      <c r="J559">
        <f>SUMPRODUCT(Calc!$K$3:$K$22*(Calc!$G$3:$G$22&gt;B559)*(Calc!$G$3:$G$22-B559)^2)</f>
        <v/>
      </c>
      <c r="K559">
        <f>SUMPRODUCT(Calc!$K$3:$K$22*(Calc!$G$3:$G$22&gt;A559)*(Calc!$G$3:$G$22-A559)*(Calc!$G$3:$G$22&gt;B559)*(Calc!$G$3:$G$22-B559))</f>
        <v/>
      </c>
      <c r="L559">
        <f>SUMPRODUCT(Calc!$K$3:$K$22*(Calc!$G$3:$G$22&gt;A559)*(Calc!$G$3:$G$22-A559)*Calc!$G$3:$G$22)</f>
        <v/>
      </c>
      <c r="M559">
        <f>SUMPRODUCT(Calc!$K$3:$K$22*(Calc!$G$3:$G$22&gt;B559)*(Calc!$G$3:$G$22-B559)*Calc!$G$3:$G$22)</f>
        <v/>
      </c>
      <c r="N559">
        <f>SUMPRODUCT(Calc!$K$3:$K$22*(Calc!$G$3:$G$22&gt;A559)*(Calc!$G$3:$G$22-A559)*Calc!$I$3:$I$22)</f>
        <v/>
      </c>
      <c r="O559">
        <f>SUMPRODUCT(Calc!$K$3:$K$22*(Calc!$G$3:$G$22&gt;B559)*(Calc!$G$3:$G$22-B559)*Calc!$I$3:$I$22)</f>
        <v/>
      </c>
      <c r="P559">
        <f>I559-G559^2/k_n</f>
        <v/>
      </c>
      <c r="Q559">
        <f>J559-H559^2/k_n</f>
        <v/>
      </c>
      <c r="R559">
        <f>K559-G559*H559/k_n</f>
        <v/>
      </c>
      <c r="S559">
        <f>L559-LTP3!$D$3*G559/k_n</f>
        <v/>
      </c>
      <c r="T559">
        <f>M559-LTP3!$D$3*H559/k_n</f>
        <v/>
      </c>
      <c r="U559">
        <f>N559-G559*LTP3!$D$4/k_n</f>
        <v/>
      </c>
      <c r="V559">
        <f>O559-H559*LTP3!$D$4/k_n</f>
        <v/>
      </c>
      <c r="W559">
        <f>((LTP3!$D$5)*((P559)*(Q559)-(R559)*(R559))-(S559)*((S559)*(Q559)-(R559)*(T559))+(T559)*((S559)*(R559)-(P559)*(T559)))</f>
        <v/>
      </c>
      <c r="X559">
        <f>IF(ABS(W559)&gt;1E-12,((LTP3!$D$6)*((P559)*(Q559)-(R559)*(R559))-(S559)*((U559)*(Q559)-(R559)*(V559))+(T559)*((U559)*(R559)-(P559)*(V559)))/W559,0)</f>
        <v/>
      </c>
      <c r="Y559">
        <f>IF(ABS(W559)&gt;1E-12,((LTP3!$D$5)*((U559)*(Q559)-(R559)*(V559))-(LTP3!$D$6)*((S559)*(Q559)-(R559)*(T559))+(T559)*((S559)*(V559)-(U559)*(T559)))/W559,0)</f>
        <v/>
      </c>
      <c r="Z559">
        <f>IF(ABS(W559)&gt;1E-12,((LTP3!$D$5)*((P559)*(V559)-(U559)*(R559))-(S559)*((S559)*(V559)-(U559)*(T559))+(LTP3!$D$6)*((S559)*(R559)-(P559)*(T559)))/W559,0)</f>
        <v/>
      </c>
      <c r="AA559">
        <f>LTP3!$D$7-X559*LTP3!$D$6-Y559*U559-Z559*V559</f>
        <v/>
      </c>
      <c r="AB559">
        <f>IF(AND(F559,ABS(W559)&gt;1E-12,Y559&gt;0,Z559&gt;0),AA559,1E+300)</f>
        <v/>
      </c>
    </row>
    <row r="560">
      <c r="A560">
        <f>$B$3+$B$5*8</f>
        <v/>
      </c>
      <c r="B560">
        <f>$B$3+$B$5*60</f>
        <v/>
      </c>
      <c r="C560">
        <f>SUMPRODUCT(Calc!$K$3:$K$22*(Calc!$G$3:$G$22&lt;=A560))</f>
        <v/>
      </c>
      <c r="D560">
        <f>SUMPRODUCT(Calc!$K$3:$K$22*(Calc!$G$3:$G$22&gt;A560)*(Calc!$G$3:$G$22&lt;B560))</f>
        <v/>
      </c>
      <c r="E560">
        <f>SUMPRODUCT(Calc!$K$3:$K$22*(Calc!$G$3:$G$22&gt;=B560))</f>
        <v/>
      </c>
      <c r="F560">
        <f>AND(k_n&gt;=5,B560&gt;A560+1E-9,C560&gt;=2,D560&gt;=1,E560&gt;=2)</f>
        <v/>
      </c>
      <c r="G560">
        <f>SUMPRODUCT(Calc!$K$3:$K$22*(Calc!$G$3:$G$22&gt;A560)*(Calc!$G$3:$G$22-A560))</f>
        <v/>
      </c>
      <c r="H560">
        <f>SUMPRODUCT(Calc!$K$3:$K$22*(Calc!$G$3:$G$22&gt;B560)*(Calc!$G$3:$G$22-B560))</f>
        <v/>
      </c>
      <c r="I560">
        <f>SUMPRODUCT(Calc!$K$3:$K$22*(Calc!$G$3:$G$22&gt;A560)*(Calc!$G$3:$G$22-A560)^2)</f>
        <v/>
      </c>
      <c r="J560">
        <f>SUMPRODUCT(Calc!$K$3:$K$22*(Calc!$G$3:$G$22&gt;B560)*(Calc!$G$3:$G$22-B560)^2)</f>
        <v/>
      </c>
      <c r="K560">
        <f>SUMPRODUCT(Calc!$K$3:$K$22*(Calc!$G$3:$G$22&gt;A560)*(Calc!$G$3:$G$22-A560)*(Calc!$G$3:$G$22&gt;B560)*(Calc!$G$3:$G$22-B560))</f>
        <v/>
      </c>
      <c r="L560">
        <f>SUMPRODUCT(Calc!$K$3:$K$22*(Calc!$G$3:$G$22&gt;A560)*(Calc!$G$3:$G$22-A560)*Calc!$G$3:$G$22)</f>
        <v/>
      </c>
      <c r="M560">
        <f>SUMPRODUCT(Calc!$K$3:$K$22*(Calc!$G$3:$G$22&gt;B560)*(Calc!$G$3:$G$22-B560)*Calc!$G$3:$G$22)</f>
        <v/>
      </c>
      <c r="N560">
        <f>SUMPRODUCT(Calc!$K$3:$K$22*(Calc!$G$3:$G$22&gt;A560)*(Calc!$G$3:$G$22-A560)*Calc!$I$3:$I$22)</f>
        <v/>
      </c>
      <c r="O560">
        <f>SUMPRODUCT(Calc!$K$3:$K$22*(Calc!$G$3:$G$22&gt;B560)*(Calc!$G$3:$G$22-B560)*Calc!$I$3:$I$22)</f>
        <v/>
      </c>
      <c r="P560">
        <f>I560-G560^2/k_n</f>
        <v/>
      </c>
      <c r="Q560">
        <f>J560-H560^2/k_n</f>
        <v/>
      </c>
      <c r="R560">
        <f>K560-G560*H560/k_n</f>
        <v/>
      </c>
      <c r="S560">
        <f>L560-LTP3!$D$3*G560/k_n</f>
        <v/>
      </c>
      <c r="T560">
        <f>M560-LTP3!$D$3*H560/k_n</f>
        <v/>
      </c>
      <c r="U560">
        <f>N560-G560*LTP3!$D$4/k_n</f>
        <v/>
      </c>
      <c r="V560">
        <f>O560-H560*LTP3!$D$4/k_n</f>
        <v/>
      </c>
      <c r="W560">
        <f>((LTP3!$D$5)*((P560)*(Q560)-(R560)*(R560))-(S560)*((S560)*(Q560)-(R560)*(T560))+(T560)*((S560)*(R560)-(P560)*(T560)))</f>
        <v/>
      </c>
      <c r="X560">
        <f>IF(ABS(W560)&gt;1E-12,((LTP3!$D$6)*((P560)*(Q560)-(R560)*(R560))-(S560)*((U560)*(Q560)-(R560)*(V560))+(T560)*((U560)*(R560)-(P560)*(V560)))/W560,0)</f>
        <v/>
      </c>
      <c r="Y560">
        <f>IF(ABS(W560)&gt;1E-12,((LTP3!$D$5)*((U560)*(Q560)-(R560)*(V560))-(LTP3!$D$6)*((S560)*(Q560)-(R560)*(T560))+(T560)*((S560)*(V560)-(U560)*(T560)))/W560,0)</f>
        <v/>
      </c>
      <c r="Z560">
        <f>IF(ABS(W560)&gt;1E-12,((LTP3!$D$5)*((P560)*(V560)-(U560)*(R560))-(S560)*((S560)*(V560)-(U560)*(T560))+(LTP3!$D$6)*((S560)*(R560)-(P560)*(T560)))/W560,0)</f>
        <v/>
      </c>
      <c r="AA560">
        <f>LTP3!$D$7-X560*LTP3!$D$6-Y560*U560-Z560*V560</f>
        <v/>
      </c>
      <c r="AB560">
        <f>IF(AND(F560,ABS(W560)&gt;1E-12,Y560&gt;0,Z560&gt;0),AA560,1E+300)</f>
        <v/>
      </c>
    </row>
    <row r="561">
      <c r="A561">
        <f>$B$3+$B$5*9</f>
        <v/>
      </c>
      <c r="B561">
        <f>$B$3+$B$5*0</f>
        <v/>
      </c>
      <c r="C561">
        <f>SUMPRODUCT(Calc!$K$3:$K$22*(Calc!$G$3:$G$22&lt;=A561))</f>
        <v/>
      </c>
      <c r="D561">
        <f>SUMPRODUCT(Calc!$K$3:$K$22*(Calc!$G$3:$G$22&gt;A561)*(Calc!$G$3:$G$22&lt;B561))</f>
        <v/>
      </c>
      <c r="E561">
        <f>SUMPRODUCT(Calc!$K$3:$K$22*(Calc!$G$3:$G$22&gt;=B561))</f>
        <v/>
      </c>
      <c r="F561">
        <f>AND(k_n&gt;=5,B561&gt;A561+1E-9,C561&gt;=2,D561&gt;=1,E561&gt;=2)</f>
        <v/>
      </c>
      <c r="G561">
        <f>SUMPRODUCT(Calc!$K$3:$K$22*(Calc!$G$3:$G$22&gt;A561)*(Calc!$G$3:$G$22-A561))</f>
        <v/>
      </c>
      <c r="H561">
        <f>SUMPRODUCT(Calc!$K$3:$K$22*(Calc!$G$3:$G$22&gt;B561)*(Calc!$G$3:$G$22-B561))</f>
        <v/>
      </c>
      <c r="I561">
        <f>SUMPRODUCT(Calc!$K$3:$K$22*(Calc!$G$3:$G$22&gt;A561)*(Calc!$G$3:$G$22-A561)^2)</f>
        <v/>
      </c>
      <c r="J561">
        <f>SUMPRODUCT(Calc!$K$3:$K$22*(Calc!$G$3:$G$22&gt;B561)*(Calc!$G$3:$G$22-B561)^2)</f>
        <v/>
      </c>
      <c r="K561">
        <f>SUMPRODUCT(Calc!$K$3:$K$22*(Calc!$G$3:$G$22&gt;A561)*(Calc!$G$3:$G$22-A561)*(Calc!$G$3:$G$22&gt;B561)*(Calc!$G$3:$G$22-B561))</f>
        <v/>
      </c>
      <c r="L561">
        <f>SUMPRODUCT(Calc!$K$3:$K$22*(Calc!$G$3:$G$22&gt;A561)*(Calc!$G$3:$G$22-A561)*Calc!$G$3:$G$22)</f>
        <v/>
      </c>
      <c r="M561">
        <f>SUMPRODUCT(Calc!$K$3:$K$22*(Calc!$G$3:$G$22&gt;B561)*(Calc!$G$3:$G$22-B561)*Calc!$G$3:$G$22)</f>
        <v/>
      </c>
      <c r="N561">
        <f>SUMPRODUCT(Calc!$K$3:$K$22*(Calc!$G$3:$G$22&gt;A561)*(Calc!$G$3:$G$22-A561)*Calc!$I$3:$I$22)</f>
        <v/>
      </c>
      <c r="O561">
        <f>SUMPRODUCT(Calc!$K$3:$K$22*(Calc!$G$3:$G$22&gt;B561)*(Calc!$G$3:$G$22-B561)*Calc!$I$3:$I$22)</f>
        <v/>
      </c>
      <c r="P561">
        <f>I561-G561^2/k_n</f>
        <v/>
      </c>
      <c r="Q561">
        <f>J561-H561^2/k_n</f>
        <v/>
      </c>
      <c r="R561">
        <f>K561-G561*H561/k_n</f>
        <v/>
      </c>
      <c r="S561">
        <f>L561-LTP3!$D$3*G561/k_n</f>
        <v/>
      </c>
      <c r="T561">
        <f>M561-LTP3!$D$3*H561/k_n</f>
        <v/>
      </c>
      <c r="U561">
        <f>N561-G561*LTP3!$D$4/k_n</f>
        <v/>
      </c>
      <c r="V561">
        <f>O561-H561*LTP3!$D$4/k_n</f>
        <v/>
      </c>
      <c r="W561">
        <f>((LTP3!$D$5)*((P561)*(Q561)-(R561)*(R561))-(S561)*((S561)*(Q561)-(R561)*(T561))+(T561)*((S561)*(R561)-(P561)*(T561)))</f>
        <v/>
      </c>
      <c r="X561">
        <f>IF(ABS(W561)&gt;1E-12,((LTP3!$D$6)*((P561)*(Q561)-(R561)*(R561))-(S561)*((U561)*(Q561)-(R561)*(V561))+(T561)*((U561)*(R561)-(P561)*(V561)))/W561,0)</f>
        <v/>
      </c>
      <c r="Y561">
        <f>IF(ABS(W561)&gt;1E-12,((LTP3!$D$5)*((U561)*(Q561)-(R561)*(V561))-(LTP3!$D$6)*((S561)*(Q561)-(R561)*(T561))+(T561)*((S561)*(V561)-(U561)*(T561)))/W561,0)</f>
        <v/>
      </c>
      <c r="Z561">
        <f>IF(ABS(W561)&gt;1E-12,((LTP3!$D$5)*((P561)*(V561)-(U561)*(R561))-(S561)*((S561)*(V561)-(U561)*(T561))+(LTP3!$D$6)*((S561)*(R561)-(P561)*(T561)))/W561,0)</f>
        <v/>
      </c>
      <c r="AA561">
        <f>LTP3!$D$7-X561*LTP3!$D$6-Y561*U561-Z561*V561</f>
        <v/>
      </c>
      <c r="AB561">
        <f>IF(AND(F561,ABS(W561)&gt;1E-12,Y561&gt;0,Z561&gt;0),AA561,1E+300)</f>
        <v/>
      </c>
    </row>
    <row r="562">
      <c r="A562">
        <f>$B$3+$B$5*9</f>
        <v/>
      </c>
      <c r="B562">
        <f>$B$3+$B$5*1</f>
        <v/>
      </c>
      <c r="C562">
        <f>SUMPRODUCT(Calc!$K$3:$K$22*(Calc!$G$3:$G$22&lt;=A562))</f>
        <v/>
      </c>
      <c r="D562">
        <f>SUMPRODUCT(Calc!$K$3:$K$22*(Calc!$G$3:$G$22&gt;A562)*(Calc!$G$3:$G$22&lt;B562))</f>
        <v/>
      </c>
      <c r="E562">
        <f>SUMPRODUCT(Calc!$K$3:$K$22*(Calc!$G$3:$G$22&gt;=B562))</f>
        <v/>
      </c>
      <c r="F562">
        <f>AND(k_n&gt;=5,B562&gt;A562+1E-9,C562&gt;=2,D562&gt;=1,E562&gt;=2)</f>
        <v/>
      </c>
      <c r="G562">
        <f>SUMPRODUCT(Calc!$K$3:$K$22*(Calc!$G$3:$G$22&gt;A562)*(Calc!$G$3:$G$22-A562))</f>
        <v/>
      </c>
      <c r="H562">
        <f>SUMPRODUCT(Calc!$K$3:$K$22*(Calc!$G$3:$G$22&gt;B562)*(Calc!$G$3:$G$22-B562))</f>
        <v/>
      </c>
      <c r="I562">
        <f>SUMPRODUCT(Calc!$K$3:$K$22*(Calc!$G$3:$G$22&gt;A562)*(Calc!$G$3:$G$22-A562)^2)</f>
        <v/>
      </c>
      <c r="J562">
        <f>SUMPRODUCT(Calc!$K$3:$K$22*(Calc!$G$3:$G$22&gt;B562)*(Calc!$G$3:$G$22-B562)^2)</f>
        <v/>
      </c>
      <c r="K562">
        <f>SUMPRODUCT(Calc!$K$3:$K$22*(Calc!$G$3:$G$22&gt;A562)*(Calc!$G$3:$G$22-A562)*(Calc!$G$3:$G$22&gt;B562)*(Calc!$G$3:$G$22-B562))</f>
        <v/>
      </c>
      <c r="L562">
        <f>SUMPRODUCT(Calc!$K$3:$K$22*(Calc!$G$3:$G$22&gt;A562)*(Calc!$G$3:$G$22-A562)*Calc!$G$3:$G$22)</f>
        <v/>
      </c>
      <c r="M562">
        <f>SUMPRODUCT(Calc!$K$3:$K$22*(Calc!$G$3:$G$22&gt;B562)*(Calc!$G$3:$G$22-B562)*Calc!$G$3:$G$22)</f>
        <v/>
      </c>
      <c r="N562">
        <f>SUMPRODUCT(Calc!$K$3:$K$22*(Calc!$G$3:$G$22&gt;A562)*(Calc!$G$3:$G$22-A562)*Calc!$I$3:$I$22)</f>
        <v/>
      </c>
      <c r="O562">
        <f>SUMPRODUCT(Calc!$K$3:$K$22*(Calc!$G$3:$G$22&gt;B562)*(Calc!$G$3:$G$22-B562)*Calc!$I$3:$I$22)</f>
        <v/>
      </c>
      <c r="P562">
        <f>I562-G562^2/k_n</f>
        <v/>
      </c>
      <c r="Q562">
        <f>J562-H562^2/k_n</f>
        <v/>
      </c>
      <c r="R562">
        <f>K562-G562*H562/k_n</f>
        <v/>
      </c>
      <c r="S562">
        <f>L562-LTP3!$D$3*G562/k_n</f>
        <v/>
      </c>
      <c r="T562">
        <f>M562-LTP3!$D$3*H562/k_n</f>
        <v/>
      </c>
      <c r="U562">
        <f>N562-G562*LTP3!$D$4/k_n</f>
        <v/>
      </c>
      <c r="V562">
        <f>O562-H562*LTP3!$D$4/k_n</f>
        <v/>
      </c>
      <c r="W562">
        <f>((LTP3!$D$5)*((P562)*(Q562)-(R562)*(R562))-(S562)*((S562)*(Q562)-(R562)*(T562))+(T562)*((S562)*(R562)-(P562)*(T562)))</f>
        <v/>
      </c>
      <c r="X562">
        <f>IF(ABS(W562)&gt;1E-12,((LTP3!$D$6)*((P562)*(Q562)-(R562)*(R562))-(S562)*((U562)*(Q562)-(R562)*(V562))+(T562)*((U562)*(R562)-(P562)*(V562)))/W562,0)</f>
        <v/>
      </c>
      <c r="Y562">
        <f>IF(ABS(W562)&gt;1E-12,((LTP3!$D$5)*((U562)*(Q562)-(R562)*(V562))-(LTP3!$D$6)*((S562)*(Q562)-(R562)*(T562))+(T562)*((S562)*(V562)-(U562)*(T562)))/W562,0)</f>
        <v/>
      </c>
      <c r="Z562">
        <f>IF(ABS(W562)&gt;1E-12,((LTP3!$D$5)*((P562)*(V562)-(U562)*(R562))-(S562)*((S562)*(V562)-(U562)*(T562))+(LTP3!$D$6)*((S562)*(R562)-(P562)*(T562)))/W562,0)</f>
        <v/>
      </c>
      <c r="AA562">
        <f>LTP3!$D$7-X562*LTP3!$D$6-Y562*U562-Z562*V562</f>
        <v/>
      </c>
      <c r="AB562">
        <f>IF(AND(F562,ABS(W562)&gt;1E-12,Y562&gt;0,Z562&gt;0),AA562,1E+300)</f>
        <v/>
      </c>
    </row>
    <row r="563">
      <c r="A563">
        <f>$B$3+$B$5*9</f>
        <v/>
      </c>
      <c r="B563">
        <f>$B$3+$B$5*2</f>
        <v/>
      </c>
      <c r="C563">
        <f>SUMPRODUCT(Calc!$K$3:$K$22*(Calc!$G$3:$G$22&lt;=A563))</f>
        <v/>
      </c>
      <c r="D563">
        <f>SUMPRODUCT(Calc!$K$3:$K$22*(Calc!$G$3:$G$22&gt;A563)*(Calc!$G$3:$G$22&lt;B563))</f>
        <v/>
      </c>
      <c r="E563">
        <f>SUMPRODUCT(Calc!$K$3:$K$22*(Calc!$G$3:$G$22&gt;=B563))</f>
        <v/>
      </c>
      <c r="F563">
        <f>AND(k_n&gt;=5,B563&gt;A563+1E-9,C563&gt;=2,D563&gt;=1,E563&gt;=2)</f>
        <v/>
      </c>
      <c r="G563">
        <f>SUMPRODUCT(Calc!$K$3:$K$22*(Calc!$G$3:$G$22&gt;A563)*(Calc!$G$3:$G$22-A563))</f>
        <v/>
      </c>
      <c r="H563">
        <f>SUMPRODUCT(Calc!$K$3:$K$22*(Calc!$G$3:$G$22&gt;B563)*(Calc!$G$3:$G$22-B563))</f>
        <v/>
      </c>
      <c r="I563">
        <f>SUMPRODUCT(Calc!$K$3:$K$22*(Calc!$G$3:$G$22&gt;A563)*(Calc!$G$3:$G$22-A563)^2)</f>
        <v/>
      </c>
      <c r="J563">
        <f>SUMPRODUCT(Calc!$K$3:$K$22*(Calc!$G$3:$G$22&gt;B563)*(Calc!$G$3:$G$22-B563)^2)</f>
        <v/>
      </c>
      <c r="K563">
        <f>SUMPRODUCT(Calc!$K$3:$K$22*(Calc!$G$3:$G$22&gt;A563)*(Calc!$G$3:$G$22-A563)*(Calc!$G$3:$G$22&gt;B563)*(Calc!$G$3:$G$22-B563))</f>
        <v/>
      </c>
      <c r="L563">
        <f>SUMPRODUCT(Calc!$K$3:$K$22*(Calc!$G$3:$G$22&gt;A563)*(Calc!$G$3:$G$22-A563)*Calc!$G$3:$G$22)</f>
        <v/>
      </c>
      <c r="M563">
        <f>SUMPRODUCT(Calc!$K$3:$K$22*(Calc!$G$3:$G$22&gt;B563)*(Calc!$G$3:$G$22-B563)*Calc!$G$3:$G$22)</f>
        <v/>
      </c>
      <c r="N563">
        <f>SUMPRODUCT(Calc!$K$3:$K$22*(Calc!$G$3:$G$22&gt;A563)*(Calc!$G$3:$G$22-A563)*Calc!$I$3:$I$22)</f>
        <v/>
      </c>
      <c r="O563">
        <f>SUMPRODUCT(Calc!$K$3:$K$22*(Calc!$G$3:$G$22&gt;B563)*(Calc!$G$3:$G$22-B563)*Calc!$I$3:$I$22)</f>
        <v/>
      </c>
      <c r="P563">
        <f>I563-G563^2/k_n</f>
        <v/>
      </c>
      <c r="Q563">
        <f>J563-H563^2/k_n</f>
        <v/>
      </c>
      <c r="R563">
        <f>K563-G563*H563/k_n</f>
        <v/>
      </c>
      <c r="S563">
        <f>L563-LTP3!$D$3*G563/k_n</f>
        <v/>
      </c>
      <c r="T563">
        <f>M563-LTP3!$D$3*H563/k_n</f>
        <v/>
      </c>
      <c r="U563">
        <f>N563-G563*LTP3!$D$4/k_n</f>
        <v/>
      </c>
      <c r="V563">
        <f>O563-H563*LTP3!$D$4/k_n</f>
        <v/>
      </c>
      <c r="W563">
        <f>((LTP3!$D$5)*((P563)*(Q563)-(R563)*(R563))-(S563)*((S563)*(Q563)-(R563)*(T563))+(T563)*((S563)*(R563)-(P563)*(T563)))</f>
        <v/>
      </c>
      <c r="X563">
        <f>IF(ABS(W563)&gt;1E-12,((LTP3!$D$6)*((P563)*(Q563)-(R563)*(R563))-(S563)*((U563)*(Q563)-(R563)*(V563))+(T563)*((U563)*(R563)-(P563)*(V563)))/W563,0)</f>
        <v/>
      </c>
      <c r="Y563">
        <f>IF(ABS(W563)&gt;1E-12,((LTP3!$D$5)*((U563)*(Q563)-(R563)*(V563))-(LTP3!$D$6)*((S563)*(Q563)-(R563)*(T563))+(T563)*((S563)*(V563)-(U563)*(T563)))/W563,0)</f>
        <v/>
      </c>
      <c r="Z563">
        <f>IF(ABS(W563)&gt;1E-12,((LTP3!$D$5)*((P563)*(V563)-(U563)*(R563))-(S563)*((S563)*(V563)-(U563)*(T563))+(LTP3!$D$6)*((S563)*(R563)-(P563)*(T563)))/W563,0)</f>
        <v/>
      </c>
      <c r="AA563">
        <f>LTP3!$D$7-X563*LTP3!$D$6-Y563*U563-Z563*V563</f>
        <v/>
      </c>
      <c r="AB563">
        <f>IF(AND(F563,ABS(W563)&gt;1E-12,Y563&gt;0,Z563&gt;0),AA563,1E+300)</f>
        <v/>
      </c>
    </row>
    <row r="564">
      <c r="A564">
        <f>$B$3+$B$5*9</f>
        <v/>
      </c>
      <c r="B564">
        <f>$B$3+$B$5*3</f>
        <v/>
      </c>
      <c r="C564">
        <f>SUMPRODUCT(Calc!$K$3:$K$22*(Calc!$G$3:$G$22&lt;=A564))</f>
        <v/>
      </c>
      <c r="D564">
        <f>SUMPRODUCT(Calc!$K$3:$K$22*(Calc!$G$3:$G$22&gt;A564)*(Calc!$G$3:$G$22&lt;B564))</f>
        <v/>
      </c>
      <c r="E564">
        <f>SUMPRODUCT(Calc!$K$3:$K$22*(Calc!$G$3:$G$22&gt;=B564))</f>
        <v/>
      </c>
      <c r="F564">
        <f>AND(k_n&gt;=5,B564&gt;A564+1E-9,C564&gt;=2,D564&gt;=1,E564&gt;=2)</f>
        <v/>
      </c>
      <c r="G564">
        <f>SUMPRODUCT(Calc!$K$3:$K$22*(Calc!$G$3:$G$22&gt;A564)*(Calc!$G$3:$G$22-A564))</f>
        <v/>
      </c>
      <c r="H564">
        <f>SUMPRODUCT(Calc!$K$3:$K$22*(Calc!$G$3:$G$22&gt;B564)*(Calc!$G$3:$G$22-B564))</f>
        <v/>
      </c>
      <c r="I564">
        <f>SUMPRODUCT(Calc!$K$3:$K$22*(Calc!$G$3:$G$22&gt;A564)*(Calc!$G$3:$G$22-A564)^2)</f>
        <v/>
      </c>
      <c r="J564">
        <f>SUMPRODUCT(Calc!$K$3:$K$22*(Calc!$G$3:$G$22&gt;B564)*(Calc!$G$3:$G$22-B564)^2)</f>
        <v/>
      </c>
      <c r="K564">
        <f>SUMPRODUCT(Calc!$K$3:$K$22*(Calc!$G$3:$G$22&gt;A564)*(Calc!$G$3:$G$22-A564)*(Calc!$G$3:$G$22&gt;B564)*(Calc!$G$3:$G$22-B564))</f>
        <v/>
      </c>
      <c r="L564">
        <f>SUMPRODUCT(Calc!$K$3:$K$22*(Calc!$G$3:$G$22&gt;A564)*(Calc!$G$3:$G$22-A564)*Calc!$G$3:$G$22)</f>
        <v/>
      </c>
      <c r="M564">
        <f>SUMPRODUCT(Calc!$K$3:$K$22*(Calc!$G$3:$G$22&gt;B564)*(Calc!$G$3:$G$22-B564)*Calc!$G$3:$G$22)</f>
        <v/>
      </c>
      <c r="N564">
        <f>SUMPRODUCT(Calc!$K$3:$K$22*(Calc!$G$3:$G$22&gt;A564)*(Calc!$G$3:$G$22-A564)*Calc!$I$3:$I$22)</f>
        <v/>
      </c>
      <c r="O564">
        <f>SUMPRODUCT(Calc!$K$3:$K$22*(Calc!$G$3:$G$22&gt;B564)*(Calc!$G$3:$G$22-B564)*Calc!$I$3:$I$22)</f>
        <v/>
      </c>
      <c r="P564">
        <f>I564-G564^2/k_n</f>
        <v/>
      </c>
      <c r="Q564">
        <f>J564-H564^2/k_n</f>
        <v/>
      </c>
      <c r="R564">
        <f>K564-G564*H564/k_n</f>
        <v/>
      </c>
      <c r="S564">
        <f>L564-LTP3!$D$3*G564/k_n</f>
        <v/>
      </c>
      <c r="T564">
        <f>M564-LTP3!$D$3*H564/k_n</f>
        <v/>
      </c>
      <c r="U564">
        <f>N564-G564*LTP3!$D$4/k_n</f>
        <v/>
      </c>
      <c r="V564">
        <f>O564-H564*LTP3!$D$4/k_n</f>
        <v/>
      </c>
      <c r="W564">
        <f>((LTP3!$D$5)*((P564)*(Q564)-(R564)*(R564))-(S564)*((S564)*(Q564)-(R564)*(T564))+(T564)*((S564)*(R564)-(P564)*(T564)))</f>
        <v/>
      </c>
      <c r="X564">
        <f>IF(ABS(W564)&gt;1E-12,((LTP3!$D$6)*((P564)*(Q564)-(R564)*(R564))-(S564)*((U564)*(Q564)-(R564)*(V564))+(T564)*((U564)*(R564)-(P564)*(V564)))/W564,0)</f>
        <v/>
      </c>
      <c r="Y564">
        <f>IF(ABS(W564)&gt;1E-12,((LTP3!$D$5)*((U564)*(Q564)-(R564)*(V564))-(LTP3!$D$6)*((S564)*(Q564)-(R564)*(T564))+(T564)*((S564)*(V564)-(U564)*(T564)))/W564,0)</f>
        <v/>
      </c>
      <c r="Z564">
        <f>IF(ABS(W564)&gt;1E-12,((LTP3!$D$5)*((P564)*(V564)-(U564)*(R564))-(S564)*((S564)*(V564)-(U564)*(T564))+(LTP3!$D$6)*((S564)*(R564)-(P564)*(T564)))/W564,0)</f>
        <v/>
      </c>
      <c r="AA564">
        <f>LTP3!$D$7-X564*LTP3!$D$6-Y564*U564-Z564*V564</f>
        <v/>
      </c>
      <c r="AB564">
        <f>IF(AND(F564,ABS(W564)&gt;1E-12,Y564&gt;0,Z564&gt;0),AA564,1E+300)</f>
        <v/>
      </c>
    </row>
    <row r="565">
      <c r="A565">
        <f>$B$3+$B$5*9</f>
        <v/>
      </c>
      <c r="B565">
        <f>$B$3+$B$5*4</f>
        <v/>
      </c>
      <c r="C565">
        <f>SUMPRODUCT(Calc!$K$3:$K$22*(Calc!$G$3:$G$22&lt;=A565))</f>
        <v/>
      </c>
      <c r="D565">
        <f>SUMPRODUCT(Calc!$K$3:$K$22*(Calc!$G$3:$G$22&gt;A565)*(Calc!$G$3:$G$22&lt;B565))</f>
        <v/>
      </c>
      <c r="E565">
        <f>SUMPRODUCT(Calc!$K$3:$K$22*(Calc!$G$3:$G$22&gt;=B565))</f>
        <v/>
      </c>
      <c r="F565">
        <f>AND(k_n&gt;=5,B565&gt;A565+1E-9,C565&gt;=2,D565&gt;=1,E565&gt;=2)</f>
        <v/>
      </c>
      <c r="G565">
        <f>SUMPRODUCT(Calc!$K$3:$K$22*(Calc!$G$3:$G$22&gt;A565)*(Calc!$G$3:$G$22-A565))</f>
        <v/>
      </c>
      <c r="H565">
        <f>SUMPRODUCT(Calc!$K$3:$K$22*(Calc!$G$3:$G$22&gt;B565)*(Calc!$G$3:$G$22-B565))</f>
        <v/>
      </c>
      <c r="I565">
        <f>SUMPRODUCT(Calc!$K$3:$K$22*(Calc!$G$3:$G$22&gt;A565)*(Calc!$G$3:$G$22-A565)^2)</f>
        <v/>
      </c>
      <c r="J565">
        <f>SUMPRODUCT(Calc!$K$3:$K$22*(Calc!$G$3:$G$22&gt;B565)*(Calc!$G$3:$G$22-B565)^2)</f>
        <v/>
      </c>
      <c r="K565">
        <f>SUMPRODUCT(Calc!$K$3:$K$22*(Calc!$G$3:$G$22&gt;A565)*(Calc!$G$3:$G$22-A565)*(Calc!$G$3:$G$22&gt;B565)*(Calc!$G$3:$G$22-B565))</f>
        <v/>
      </c>
      <c r="L565">
        <f>SUMPRODUCT(Calc!$K$3:$K$22*(Calc!$G$3:$G$22&gt;A565)*(Calc!$G$3:$G$22-A565)*Calc!$G$3:$G$22)</f>
        <v/>
      </c>
      <c r="M565">
        <f>SUMPRODUCT(Calc!$K$3:$K$22*(Calc!$G$3:$G$22&gt;B565)*(Calc!$G$3:$G$22-B565)*Calc!$G$3:$G$22)</f>
        <v/>
      </c>
      <c r="N565">
        <f>SUMPRODUCT(Calc!$K$3:$K$22*(Calc!$G$3:$G$22&gt;A565)*(Calc!$G$3:$G$22-A565)*Calc!$I$3:$I$22)</f>
        <v/>
      </c>
      <c r="O565">
        <f>SUMPRODUCT(Calc!$K$3:$K$22*(Calc!$G$3:$G$22&gt;B565)*(Calc!$G$3:$G$22-B565)*Calc!$I$3:$I$22)</f>
        <v/>
      </c>
      <c r="P565">
        <f>I565-G565^2/k_n</f>
        <v/>
      </c>
      <c r="Q565">
        <f>J565-H565^2/k_n</f>
        <v/>
      </c>
      <c r="R565">
        <f>K565-G565*H565/k_n</f>
        <v/>
      </c>
      <c r="S565">
        <f>L565-LTP3!$D$3*G565/k_n</f>
        <v/>
      </c>
      <c r="T565">
        <f>M565-LTP3!$D$3*H565/k_n</f>
        <v/>
      </c>
      <c r="U565">
        <f>N565-G565*LTP3!$D$4/k_n</f>
        <v/>
      </c>
      <c r="V565">
        <f>O565-H565*LTP3!$D$4/k_n</f>
        <v/>
      </c>
      <c r="W565">
        <f>((LTP3!$D$5)*((P565)*(Q565)-(R565)*(R565))-(S565)*((S565)*(Q565)-(R565)*(T565))+(T565)*((S565)*(R565)-(P565)*(T565)))</f>
        <v/>
      </c>
      <c r="X565">
        <f>IF(ABS(W565)&gt;1E-12,((LTP3!$D$6)*((P565)*(Q565)-(R565)*(R565))-(S565)*((U565)*(Q565)-(R565)*(V565))+(T565)*((U565)*(R565)-(P565)*(V565)))/W565,0)</f>
        <v/>
      </c>
      <c r="Y565">
        <f>IF(ABS(W565)&gt;1E-12,((LTP3!$D$5)*((U565)*(Q565)-(R565)*(V565))-(LTP3!$D$6)*((S565)*(Q565)-(R565)*(T565))+(T565)*((S565)*(V565)-(U565)*(T565)))/W565,0)</f>
        <v/>
      </c>
      <c r="Z565">
        <f>IF(ABS(W565)&gt;1E-12,((LTP3!$D$5)*((P565)*(V565)-(U565)*(R565))-(S565)*((S565)*(V565)-(U565)*(T565))+(LTP3!$D$6)*((S565)*(R565)-(P565)*(T565)))/W565,0)</f>
        <v/>
      </c>
      <c r="AA565">
        <f>LTP3!$D$7-X565*LTP3!$D$6-Y565*U565-Z565*V565</f>
        <v/>
      </c>
      <c r="AB565">
        <f>IF(AND(F565,ABS(W565)&gt;1E-12,Y565&gt;0,Z565&gt;0),AA565,1E+300)</f>
        <v/>
      </c>
    </row>
    <row r="566">
      <c r="A566">
        <f>$B$3+$B$5*9</f>
        <v/>
      </c>
      <c r="B566">
        <f>$B$3+$B$5*5</f>
        <v/>
      </c>
      <c r="C566">
        <f>SUMPRODUCT(Calc!$K$3:$K$22*(Calc!$G$3:$G$22&lt;=A566))</f>
        <v/>
      </c>
      <c r="D566">
        <f>SUMPRODUCT(Calc!$K$3:$K$22*(Calc!$G$3:$G$22&gt;A566)*(Calc!$G$3:$G$22&lt;B566))</f>
        <v/>
      </c>
      <c r="E566">
        <f>SUMPRODUCT(Calc!$K$3:$K$22*(Calc!$G$3:$G$22&gt;=B566))</f>
        <v/>
      </c>
      <c r="F566">
        <f>AND(k_n&gt;=5,B566&gt;A566+1E-9,C566&gt;=2,D566&gt;=1,E566&gt;=2)</f>
        <v/>
      </c>
      <c r="G566">
        <f>SUMPRODUCT(Calc!$K$3:$K$22*(Calc!$G$3:$G$22&gt;A566)*(Calc!$G$3:$G$22-A566))</f>
        <v/>
      </c>
      <c r="H566">
        <f>SUMPRODUCT(Calc!$K$3:$K$22*(Calc!$G$3:$G$22&gt;B566)*(Calc!$G$3:$G$22-B566))</f>
        <v/>
      </c>
      <c r="I566">
        <f>SUMPRODUCT(Calc!$K$3:$K$22*(Calc!$G$3:$G$22&gt;A566)*(Calc!$G$3:$G$22-A566)^2)</f>
        <v/>
      </c>
      <c r="J566">
        <f>SUMPRODUCT(Calc!$K$3:$K$22*(Calc!$G$3:$G$22&gt;B566)*(Calc!$G$3:$G$22-B566)^2)</f>
        <v/>
      </c>
      <c r="K566">
        <f>SUMPRODUCT(Calc!$K$3:$K$22*(Calc!$G$3:$G$22&gt;A566)*(Calc!$G$3:$G$22-A566)*(Calc!$G$3:$G$22&gt;B566)*(Calc!$G$3:$G$22-B566))</f>
        <v/>
      </c>
      <c r="L566">
        <f>SUMPRODUCT(Calc!$K$3:$K$22*(Calc!$G$3:$G$22&gt;A566)*(Calc!$G$3:$G$22-A566)*Calc!$G$3:$G$22)</f>
        <v/>
      </c>
      <c r="M566">
        <f>SUMPRODUCT(Calc!$K$3:$K$22*(Calc!$G$3:$G$22&gt;B566)*(Calc!$G$3:$G$22-B566)*Calc!$G$3:$G$22)</f>
        <v/>
      </c>
      <c r="N566">
        <f>SUMPRODUCT(Calc!$K$3:$K$22*(Calc!$G$3:$G$22&gt;A566)*(Calc!$G$3:$G$22-A566)*Calc!$I$3:$I$22)</f>
        <v/>
      </c>
      <c r="O566">
        <f>SUMPRODUCT(Calc!$K$3:$K$22*(Calc!$G$3:$G$22&gt;B566)*(Calc!$G$3:$G$22-B566)*Calc!$I$3:$I$22)</f>
        <v/>
      </c>
      <c r="P566">
        <f>I566-G566^2/k_n</f>
        <v/>
      </c>
      <c r="Q566">
        <f>J566-H566^2/k_n</f>
        <v/>
      </c>
      <c r="R566">
        <f>K566-G566*H566/k_n</f>
        <v/>
      </c>
      <c r="S566">
        <f>L566-LTP3!$D$3*G566/k_n</f>
        <v/>
      </c>
      <c r="T566">
        <f>M566-LTP3!$D$3*H566/k_n</f>
        <v/>
      </c>
      <c r="U566">
        <f>N566-G566*LTP3!$D$4/k_n</f>
        <v/>
      </c>
      <c r="V566">
        <f>O566-H566*LTP3!$D$4/k_n</f>
        <v/>
      </c>
      <c r="W566">
        <f>((LTP3!$D$5)*((P566)*(Q566)-(R566)*(R566))-(S566)*((S566)*(Q566)-(R566)*(T566))+(T566)*((S566)*(R566)-(P566)*(T566)))</f>
        <v/>
      </c>
      <c r="X566">
        <f>IF(ABS(W566)&gt;1E-12,((LTP3!$D$6)*((P566)*(Q566)-(R566)*(R566))-(S566)*((U566)*(Q566)-(R566)*(V566))+(T566)*((U566)*(R566)-(P566)*(V566)))/W566,0)</f>
        <v/>
      </c>
      <c r="Y566">
        <f>IF(ABS(W566)&gt;1E-12,((LTP3!$D$5)*((U566)*(Q566)-(R566)*(V566))-(LTP3!$D$6)*((S566)*(Q566)-(R566)*(T566))+(T566)*((S566)*(V566)-(U566)*(T566)))/W566,0)</f>
        <v/>
      </c>
      <c r="Z566">
        <f>IF(ABS(W566)&gt;1E-12,((LTP3!$D$5)*((P566)*(V566)-(U566)*(R566))-(S566)*((S566)*(V566)-(U566)*(T566))+(LTP3!$D$6)*((S566)*(R566)-(P566)*(T566)))/W566,0)</f>
        <v/>
      </c>
      <c r="AA566">
        <f>LTP3!$D$7-X566*LTP3!$D$6-Y566*U566-Z566*V566</f>
        <v/>
      </c>
      <c r="AB566">
        <f>IF(AND(F566,ABS(W566)&gt;1E-12,Y566&gt;0,Z566&gt;0),AA566,1E+300)</f>
        <v/>
      </c>
    </row>
    <row r="567">
      <c r="A567">
        <f>$B$3+$B$5*9</f>
        <v/>
      </c>
      <c r="B567">
        <f>$B$3+$B$5*6</f>
        <v/>
      </c>
      <c r="C567">
        <f>SUMPRODUCT(Calc!$K$3:$K$22*(Calc!$G$3:$G$22&lt;=A567))</f>
        <v/>
      </c>
      <c r="D567">
        <f>SUMPRODUCT(Calc!$K$3:$K$22*(Calc!$G$3:$G$22&gt;A567)*(Calc!$G$3:$G$22&lt;B567))</f>
        <v/>
      </c>
      <c r="E567">
        <f>SUMPRODUCT(Calc!$K$3:$K$22*(Calc!$G$3:$G$22&gt;=B567))</f>
        <v/>
      </c>
      <c r="F567">
        <f>AND(k_n&gt;=5,B567&gt;A567+1E-9,C567&gt;=2,D567&gt;=1,E567&gt;=2)</f>
        <v/>
      </c>
      <c r="G567">
        <f>SUMPRODUCT(Calc!$K$3:$K$22*(Calc!$G$3:$G$22&gt;A567)*(Calc!$G$3:$G$22-A567))</f>
        <v/>
      </c>
      <c r="H567">
        <f>SUMPRODUCT(Calc!$K$3:$K$22*(Calc!$G$3:$G$22&gt;B567)*(Calc!$G$3:$G$22-B567))</f>
        <v/>
      </c>
      <c r="I567">
        <f>SUMPRODUCT(Calc!$K$3:$K$22*(Calc!$G$3:$G$22&gt;A567)*(Calc!$G$3:$G$22-A567)^2)</f>
        <v/>
      </c>
      <c r="J567">
        <f>SUMPRODUCT(Calc!$K$3:$K$22*(Calc!$G$3:$G$22&gt;B567)*(Calc!$G$3:$G$22-B567)^2)</f>
        <v/>
      </c>
      <c r="K567">
        <f>SUMPRODUCT(Calc!$K$3:$K$22*(Calc!$G$3:$G$22&gt;A567)*(Calc!$G$3:$G$22-A567)*(Calc!$G$3:$G$22&gt;B567)*(Calc!$G$3:$G$22-B567))</f>
        <v/>
      </c>
      <c r="L567">
        <f>SUMPRODUCT(Calc!$K$3:$K$22*(Calc!$G$3:$G$22&gt;A567)*(Calc!$G$3:$G$22-A567)*Calc!$G$3:$G$22)</f>
        <v/>
      </c>
      <c r="M567">
        <f>SUMPRODUCT(Calc!$K$3:$K$22*(Calc!$G$3:$G$22&gt;B567)*(Calc!$G$3:$G$22-B567)*Calc!$G$3:$G$22)</f>
        <v/>
      </c>
      <c r="N567">
        <f>SUMPRODUCT(Calc!$K$3:$K$22*(Calc!$G$3:$G$22&gt;A567)*(Calc!$G$3:$G$22-A567)*Calc!$I$3:$I$22)</f>
        <v/>
      </c>
      <c r="O567">
        <f>SUMPRODUCT(Calc!$K$3:$K$22*(Calc!$G$3:$G$22&gt;B567)*(Calc!$G$3:$G$22-B567)*Calc!$I$3:$I$22)</f>
        <v/>
      </c>
      <c r="P567">
        <f>I567-G567^2/k_n</f>
        <v/>
      </c>
      <c r="Q567">
        <f>J567-H567^2/k_n</f>
        <v/>
      </c>
      <c r="R567">
        <f>K567-G567*H567/k_n</f>
        <v/>
      </c>
      <c r="S567">
        <f>L567-LTP3!$D$3*G567/k_n</f>
        <v/>
      </c>
      <c r="T567">
        <f>M567-LTP3!$D$3*H567/k_n</f>
        <v/>
      </c>
      <c r="U567">
        <f>N567-G567*LTP3!$D$4/k_n</f>
        <v/>
      </c>
      <c r="V567">
        <f>O567-H567*LTP3!$D$4/k_n</f>
        <v/>
      </c>
      <c r="W567">
        <f>((LTP3!$D$5)*((P567)*(Q567)-(R567)*(R567))-(S567)*((S567)*(Q567)-(R567)*(T567))+(T567)*((S567)*(R567)-(P567)*(T567)))</f>
        <v/>
      </c>
      <c r="X567">
        <f>IF(ABS(W567)&gt;1E-12,((LTP3!$D$6)*((P567)*(Q567)-(R567)*(R567))-(S567)*((U567)*(Q567)-(R567)*(V567))+(T567)*((U567)*(R567)-(P567)*(V567)))/W567,0)</f>
        <v/>
      </c>
      <c r="Y567">
        <f>IF(ABS(W567)&gt;1E-12,((LTP3!$D$5)*((U567)*(Q567)-(R567)*(V567))-(LTP3!$D$6)*((S567)*(Q567)-(R567)*(T567))+(T567)*((S567)*(V567)-(U567)*(T567)))/W567,0)</f>
        <v/>
      </c>
      <c r="Z567">
        <f>IF(ABS(W567)&gt;1E-12,((LTP3!$D$5)*((P567)*(V567)-(U567)*(R567))-(S567)*((S567)*(V567)-(U567)*(T567))+(LTP3!$D$6)*((S567)*(R567)-(P567)*(T567)))/W567,0)</f>
        <v/>
      </c>
      <c r="AA567">
        <f>LTP3!$D$7-X567*LTP3!$D$6-Y567*U567-Z567*V567</f>
        <v/>
      </c>
      <c r="AB567">
        <f>IF(AND(F567,ABS(W567)&gt;1E-12,Y567&gt;0,Z567&gt;0),AA567,1E+300)</f>
        <v/>
      </c>
    </row>
    <row r="568">
      <c r="A568">
        <f>$B$3+$B$5*9</f>
        <v/>
      </c>
      <c r="B568">
        <f>$B$3+$B$5*7</f>
        <v/>
      </c>
      <c r="C568">
        <f>SUMPRODUCT(Calc!$K$3:$K$22*(Calc!$G$3:$G$22&lt;=A568))</f>
        <v/>
      </c>
      <c r="D568">
        <f>SUMPRODUCT(Calc!$K$3:$K$22*(Calc!$G$3:$G$22&gt;A568)*(Calc!$G$3:$G$22&lt;B568))</f>
        <v/>
      </c>
      <c r="E568">
        <f>SUMPRODUCT(Calc!$K$3:$K$22*(Calc!$G$3:$G$22&gt;=B568))</f>
        <v/>
      </c>
      <c r="F568">
        <f>AND(k_n&gt;=5,B568&gt;A568+1E-9,C568&gt;=2,D568&gt;=1,E568&gt;=2)</f>
        <v/>
      </c>
      <c r="G568">
        <f>SUMPRODUCT(Calc!$K$3:$K$22*(Calc!$G$3:$G$22&gt;A568)*(Calc!$G$3:$G$22-A568))</f>
        <v/>
      </c>
      <c r="H568">
        <f>SUMPRODUCT(Calc!$K$3:$K$22*(Calc!$G$3:$G$22&gt;B568)*(Calc!$G$3:$G$22-B568))</f>
        <v/>
      </c>
      <c r="I568">
        <f>SUMPRODUCT(Calc!$K$3:$K$22*(Calc!$G$3:$G$22&gt;A568)*(Calc!$G$3:$G$22-A568)^2)</f>
        <v/>
      </c>
      <c r="J568">
        <f>SUMPRODUCT(Calc!$K$3:$K$22*(Calc!$G$3:$G$22&gt;B568)*(Calc!$G$3:$G$22-B568)^2)</f>
        <v/>
      </c>
      <c r="K568">
        <f>SUMPRODUCT(Calc!$K$3:$K$22*(Calc!$G$3:$G$22&gt;A568)*(Calc!$G$3:$G$22-A568)*(Calc!$G$3:$G$22&gt;B568)*(Calc!$G$3:$G$22-B568))</f>
        <v/>
      </c>
      <c r="L568">
        <f>SUMPRODUCT(Calc!$K$3:$K$22*(Calc!$G$3:$G$22&gt;A568)*(Calc!$G$3:$G$22-A568)*Calc!$G$3:$G$22)</f>
        <v/>
      </c>
      <c r="M568">
        <f>SUMPRODUCT(Calc!$K$3:$K$22*(Calc!$G$3:$G$22&gt;B568)*(Calc!$G$3:$G$22-B568)*Calc!$G$3:$G$22)</f>
        <v/>
      </c>
      <c r="N568">
        <f>SUMPRODUCT(Calc!$K$3:$K$22*(Calc!$G$3:$G$22&gt;A568)*(Calc!$G$3:$G$22-A568)*Calc!$I$3:$I$22)</f>
        <v/>
      </c>
      <c r="O568">
        <f>SUMPRODUCT(Calc!$K$3:$K$22*(Calc!$G$3:$G$22&gt;B568)*(Calc!$G$3:$G$22-B568)*Calc!$I$3:$I$22)</f>
        <v/>
      </c>
      <c r="P568">
        <f>I568-G568^2/k_n</f>
        <v/>
      </c>
      <c r="Q568">
        <f>J568-H568^2/k_n</f>
        <v/>
      </c>
      <c r="R568">
        <f>K568-G568*H568/k_n</f>
        <v/>
      </c>
      <c r="S568">
        <f>L568-LTP3!$D$3*G568/k_n</f>
        <v/>
      </c>
      <c r="T568">
        <f>M568-LTP3!$D$3*H568/k_n</f>
        <v/>
      </c>
      <c r="U568">
        <f>N568-G568*LTP3!$D$4/k_n</f>
        <v/>
      </c>
      <c r="V568">
        <f>O568-H568*LTP3!$D$4/k_n</f>
        <v/>
      </c>
      <c r="W568">
        <f>((LTP3!$D$5)*((P568)*(Q568)-(R568)*(R568))-(S568)*((S568)*(Q568)-(R568)*(T568))+(T568)*((S568)*(R568)-(P568)*(T568)))</f>
        <v/>
      </c>
      <c r="X568">
        <f>IF(ABS(W568)&gt;1E-12,((LTP3!$D$6)*((P568)*(Q568)-(R568)*(R568))-(S568)*((U568)*(Q568)-(R568)*(V568))+(T568)*((U568)*(R568)-(P568)*(V568)))/W568,0)</f>
        <v/>
      </c>
      <c r="Y568">
        <f>IF(ABS(W568)&gt;1E-12,((LTP3!$D$5)*((U568)*(Q568)-(R568)*(V568))-(LTP3!$D$6)*((S568)*(Q568)-(R568)*(T568))+(T568)*((S568)*(V568)-(U568)*(T568)))/W568,0)</f>
        <v/>
      </c>
      <c r="Z568">
        <f>IF(ABS(W568)&gt;1E-12,((LTP3!$D$5)*((P568)*(V568)-(U568)*(R568))-(S568)*((S568)*(V568)-(U568)*(T568))+(LTP3!$D$6)*((S568)*(R568)-(P568)*(T568)))/W568,0)</f>
        <v/>
      </c>
      <c r="AA568">
        <f>LTP3!$D$7-X568*LTP3!$D$6-Y568*U568-Z568*V568</f>
        <v/>
      </c>
      <c r="AB568">
        <f>IF(AND(F568,ABS(W568)&gt;1E-12,Y568&gt;0,Z568&gt;0),AA568,1E+300)</f>
        <v/>
      </c>
    </row>
    <row r="569">
      <c r="A569">
        <f>$B$3+$B$5*9</f>
        <v/>
      </c>
      <c r="B569">
        <f>$B$3+$B$5*8</f>
        <v/>
      </c>
      <c r="C569">
        <f>SUMPRODUCT(Calc!$K$3:$K$22*(Calc!$G$3:$G$22&lt;=A569))</f>
        <v/>
      </c>
      <c r="D569">
        <f>SUMPRODUCT(Calc!$K$3:$K$22*(Calc!$G$3:$G$22&gt;A569)*(Calc!$G$3:$G$22&lt;B569))</f>
        <v/>
      </c>
      <c r="E569">
        <f>SUMPRODUCT(Calc!$K$3:$K$22*(Calc!$G$3:$G$22&gt;=B569))</f>
        <v/>
      </c>
      <c r="F569">
        <f>AND(k_n&gt;=5,B569&gt;A569+1E-9,C569&gt;=2,D569&gt;=1,E569&gt;=2)</f>
        <v/>
      </c>
      <c r="G569">
        <f>SUMPRODUCT(Calc!$K$3:$K$22*(Calc!$G$3:$G$22&gt;A569)*(Calc!$G$3:$G$22-A569))</f>
        <v/>
      </c>
      <c r="H569">
        <f>SUMPRODUCT(Calc!$K$3:$K$22*(Calc!$G$3:$G$22&gt;B569)*(Calc!$G$3:$G$22-B569))</f>
        <v/>
      </c>
      <c r="I569">
        <f>SUMPRODUCT(Calc!$K$3:$K$22*(Calc!$G$3:$G$22&gt;A569)*(Calc!$G$3:$G$22-A569)^2)</f>
        <v/>
      </c>
      <c r="J569">
        <f>SUMPRODUCT(Calc!$K$3:$K$22*(Calc!$G$3:$G$22&gt;B569)*(Calc!$G$3:$G$22-B569)^2)</f>
        <v/>
      </c>
      <c r="K569">
        <f>SUMPRODUCT(Calc!$K$3:$K$22*(Calc!$G$3:$G$22&gt;A569)*(Calc!$G$3:$G$22-A569)*(Calc!$G$3:$G$22&gt;B569)*(Calc!$G$3:$G$22-B569))</f>
        <v/>
      </c>
      <c r="L569">
        <f>SUMPRODUCT(Calc!$K$3:$K$22*(Calc!$G$3:$G$22&gt;A569)*(Calc!$G$3:$G$22-A569)*Calc!$G$3:$G$22)</f>
        <v/>
      </c>
      <c r="M569">
        <f>SUMPRODUCT(Calc!$K$3:$K$22*(Calc!$G$3:$G$22&gt;B569)*(Calc!$G$3:$G$22-B569)*Calc!$G$3:$G$22)</f>
        <v/>
      </c>
      <c r="N569">
        <f>SUMPRODUCT(Calc!$K$3:$K$22*(Calc!$G$3:$G$22&gt;A569)*(Calc!$G$3:$G$22-A569)*Calc!$I$3:$I$22)</f>
        <v/>
      </c>
      <c r="O569">
        <f>SUMPRODUCT(Calc!$K$3:$K$22*(Calc!$G$3:$G$22&gt;B569)*(Calc!$G$3:$G$22-B569)*Calc!$I$3:$I$22)</f>
        <v/>
      </c>
      <c r="P569">
        <f>I569-G569^2/k_n</f>
        <v/>
      </c>
      <c r="Q569">
        <f>J569-H569^2/k_n</f>
        <v/>
      </c>
      <c r="R569">
        <f>K569-G569*H569/k_n</f>
        <v/>
      </c>
      <c r="S569">
        <f>L569-LTP3!$D$3*G569/k_n</f>
        <v/>
      </c>
      <c r="T569">
        <f>M569-LTP3!$D$3*H569/k_n</f>
        <v/>
      </c>
      <c r="U569">
        <f>N569-G569*LTP3!$D$4/k_n</f>
        <v/>
      </c>
      <c r="V569">
        <f>O569-H569*LTP3!$D$4/k_n</f>
        <v/>
      </c>
      <c r="W569">
        <f>((LTP3!$D$5)*((P569)*(Q569)-(R569)*(R569))-(S569)*((S569)*(Q569)-(R569)*(T569))+(T569)*((S569)*(R569)-(P569)*(T569)))</f>
        <v/>
      </c>
      <c r="X569">
        <f>IF(ABS(W569)&gt;1E-12,((LTP3!$D$6)*((P569)*(Q569)-(R569)*(R569))-(S569)*((U569)*(Q569)-(R569)*(V569))+(T569)*((U569)*(R569)-(P569)*(V569)))/W569,0)</f>
        <v/>
      </c>
      <c r="Y569">
        <f>IF(ABS(W569)&gt;1E-12,((LTP3!$D$5)*((U569)*(Q569)-(R569)*(V569))-(LTP3!$D$6)*((S569)*(Q569)-(R569)*(T569))+(T569)*((S569)*(V569)-(U569)*(T569)))/W569,0)</f>
        <v/>
      </c>
      <c r="Z569">
        <f>IF(ABS(W569)&gt;1E-12,((LTP3!$D$5)*((P569)*(V569)-(U569)*(R569))-(S569)*((S569)*(V569)-(U569)*(T569))+(LTP3!$D$6)*((S569)*(R569)-(P569)*(T569)))/W569,0)</f>
        <v/>
      </c>
      <c r="AA569">
        <f>LTP3!$D$7-X569*LTP3!$D$6-Y569*U569-Z569*V569</f>
        <v/>
      </c>
      <c r="AB569">
        <f>IF(AND(F569,ABS(W569)&gt;1E-12,Y569&gt;0,Z569&gt;0),AA569,1E+300)</f>
        <v/>
      </c>
    </row>
    <row r="570">
      <c r="A570">
        <f>$B$3+$B$5*9</f>
        <v/>
      </c>
      <c r="B570">
        <f>$B$3+$B$5*9</f>
        <v/>
      </c>
      <c r="C570">
        <f>SUMPRODUCT(Calc!$K$3:$K$22*(Calc!$G$3:$G$22&lt;=A570))</f>
        <v/>
      </c>
      <c r="D570">
        <f>SUMPRODUCT(Calc!$K$3:$K$22*(Calc!$G$3:$G$22&gt;A570)*(Calc!$G$3:$G$22&lt;B570))</f>
        <v/>
      </c>
      <c r="E570">
        <f>SUMPRODUCT(Calc!$K$3:$K$22*(Calc!$G$3:$G$22&gt;=B570))</f>
        <v/>
      </c>
      <c r="F570">
        <f>AND(k_n&gt;=5,B570&gt;A570+1E-9,C570&gt;=2,D570&gt;=1,E570&gt;=2)</f>
        <v/>
      </c>
      <c r="G570">
        <f>SUMPRODUCT(Calc!$K$3:$K$22*(Calc!$G$3:$G$22&gt;A570)*(Calc!$G$3:$G$22-A570))</f>
        <v/>
      </c>
      <c r="H570">
        <f>SUMPRODUCT(Calc!$K$3:$K$22*(Calc!$G$3:$G$22&gt;B570)*(Calc!$G$3:$G$22-B570))</f>
        <v/>
      </c>
      <c r="I570">
        <f>SUMPRODUCT(Calc!$K$3:$K$22*(Calc!$G$3:$G$22&gt;A570)*(Calc!$G$3:$G$22-A570)^2)</f>
        <v/>
      </c>
      <c r="J570">
        <f>SUMPRODUCT(Calc!$K$3:$K$22*(Calc!$G$3:$G$22&gt;B570)*(Calc!$G$3:$G$22-B570)^2)</f>
        <v/>
      </c>
      <c r="K570">
        <f>SUMPRODUCT(Calc!$K$3:$K$22*(Calc!$G$3:$G$22&gt;A570)*(Calc!$G$3:$G$22-A570)*(Calc!$G$3:$G$22&gt;B570)*(Calc!$G$3:$G$22-B570))</f>
        <v/>
      </c>
      <c r="L570">
        <f>SUMPRODUCT(Calc!$K$3:$K$22*(Calc!$G$3:$G$22&gt;A570)*(Calc!$G$3:$G$22-A570)*Calc!$G$3:$G$22)</f>
        <v/>
      </c>
      <c r="M570">
        <f>SUMPRODUCT(Calc!$K$3:$K$22*(Calc!$G$3:$G$22&gt;B570)*(Calc!$G$3:$G$22-B570)*Calc!$G$3:$G$22)</f>
        <v/>
      </c>
      <c r="N570">
        <f>SUMPRODUCT(Calc!$K$3:$K$22*(Calc!$G$3:$G$22&gt;A570)*(Calc!$G$3:$G$22-A570)*Calc!$I$3:$I$22)</f>
        <v/>
      </c>
      <c r="O570">
        <f>SUMPRODUCT(Calc!$K$3:$K$22*(Calc!$G$3:$G$22&gt;B570)*(Calc!$G$3:$G$22-B570)*Calc!$I$3:$I$22)</f>
        <v/>
      </c>
      <c r="P570">
        <f>I570-G570^2/k_n</f>
        <v/>
      </c>
      <c r="Q570">
        <f>J570-H570^2/k_n</f>
        <v/>
      </c>
      <c r="R570">
        <f>K570-G570*H570/k_n</f>
        <v/>
      </c>
      <c r="S570">
        <f>L570-LTP3!$D$3*G570/k_n</f>
        <v/>
      </c>
      <c r="T570">
        <f>M570-LTP3!$D$3*H570/k_n</f>
        <v/>
      </c>
      <c r="U570">
        <f>N570-G570*LTP3!$D$4/k_n</f>
        <v/>
      </c>
      <c r="V570">
        <f>O570-H570*LTP3!$D$4/k_n</f>
        <v/>
      </c>
      <c r="W570">
        <f>((LTP3!$D$5)*((P570)*(Q570)-(R570)*(R570))-(S570)*((S570)*(Q570)-(R570)*(T570))+(T570)*((S570)*(R570)-(P570)*(T570)))</f>
        <v/>
      </c>
      <c r="X570">
        <f>IF(ABS(W570)&gt;1E-12,((LTP3!$D$6)*((P570)*(Q570)-(R570)*(R570))-(S570)*((U570)*(Q570)-(R570)*(V570))+(T570)*((U570)*(R570)-(P570)*(V570)))/W570,0)</f>
        <v/>
      </c>
      <c r="Y570">
        <f>IF(ABS(W570)&gt;1E-12,((LTP3!$D$5)*((U570)*(Q570)-(R570)*(V570))-(LTP3!$D$6)*((S570)*(Q570)-(R570)*(T570))+(T570)*((S570)*(V570)-(U570)*(T570)))/W570,0)</f>
        <v/>
      </c>
      <c r="Z570">
        <f>IF(ABS(W570)&gt;1E-12,((LTP3!$D$5)*((P570)*(V570)-(U570)*(R570))-(S570)*((S570)*(V570)-(U570)*(T570))+(LTP3!$D$6)*((S570)*(R570)-(P570)*(T570)))/W570,0)</f>
        <v/>
      </c>
      <c r="AA570">
        <f>LTP3!$D$7-X570*LTP3!$D$6-Y570*U570-Z570*V570</f>
        <v/>
      </c>
      <c r="AB570">
        <f>IF(AND(F570,ABS(W570)&gt;1E-12,Y570&gt;0,Z570&gt;0),AA570,1E+300)</f>
        <v/>
      </c>
    </row>
    <row r="571">
      <c r="A571">
        <f>$B$3+$B$5*9</f>
        <v/>
      </c>
      <c r="B571">
        <f>$B$3+$B$5*10</f>
        <v/>
      </c>
      <c r="C571">
        <f>SUMPRODUCT(Calc!$K$3:$K$22*(Calc!$G$3:$G$22&lt;=A571))</f>
        <v/>
      </c>
      <c r="D571">
        <f>SUMPRODUCT(Calc!$K$3:$K$22*(Calc!$G$3:$G$22&gt;A571)*(Calc!$G$3:$G$22&lt;B571))</f>
        <v/>
      </c>
      <c r="E571">
        <f>SUMPRODUCT(Calc!$K$3:$K$22*(Calc!$G$3:$G$22&gt;=B571))</f>
        <v/>
      </c>
      <c r="F571">
        <f>AND(k_n&gt;=5,B571&gt;A571+1E-9,C571&gt;=2,D571&gt;=1,E571&gt;=2)</f>
        <v/>
      </c>
      <c r="G571">
        <f>SUMPRODUCT(Calc!$K$3:$K$22*(Calc!$G$3:$G$22&gt;A571)*(Calc!$G$3:$G$22-A571))</f>
        <v/>
      </c>
      <c r="H571">
        <f>SUMPRODUCT(Calc!$K$3:$K$22*(Calc!$G$3:$G$22&gt;B571)*(Calc!$G$3:$G$22-B571))</f>
        <v/>
      </c>
      <c r="I571">
        <f>SUMPRODUCT(Calc!$K$3:$K$22*(Calc!$G$3:$G$22&gt;A571)*(Calc!$G$3:$G$22-A571)^2)</f>
        <v/>
      </c>
      <c r="J571">
        <f>SUMPRODUCT(Calc!$K$3:$K$22*(Calc!$G$3:$G$22&gt;B571)*(Calc!$G$3:$G$22-B571)^2)</f>
        <v/>
      </c>
      <c r="K571">
        <f>SUMPRODUCT(Calc!$K$3:$K$22*(Calc!$G$3:$G$22&gt;A571)*(Calc!$G$3:$G$22-A571)*(Calc!$G$3:$G$22&gt;B571)*(Calc!$G$3:$G$22-B571))</f>
        <v/>
      </c>
      <c r="L571">
        <f>SUMPRODUCT(Calc!$K$3:$K$22*(Calc!$G$3:$G$22&gt;A571)*(Calc!$G$3:$G$22-A571)*Calc!$G$3:$G$22)</f>
        <v/>
      </c>
      <c r="M571">
        <f>SUMPRODUCT(Calc!$K$3:$K$22*(Calc!$G$3:$G$22&gt;B571)*(Calc!$G$3:$G$22-B571)*Calc!$G$3:$G$22)</f>
        <v/>
      </c>
      <c r="N571">
        <f>SUMPRODUCT(Calc!$K$3:$K$22*(Calc!$G$3:$G$22&gt;A571)*(Calc!$G$3:$G$22-A571)*Calc!$I$3:$I$22)</f>
        <v/>
      </c>
      <c r="O571">
        <f>SUMPRODUCT(Calc!$K$3:$K$22*(Calc!$G$3:$G$22&gt;B571)*(Calc!$G$3:$G$22-B571)*Calc!$I$3:$I$22)</f>
        <v/>
      </c>
      <c r="P571">
        <f>I571-G571^2/k_n</f>
        <v/>
      </c>
      <c r="Q571">
        <f>J571-H571^2/k_n</f>
        <v/>
      </c>
      <c r="R571">
        <f>K571-G571*H571/k_n</f>
        <v/>
      </c>
      <c r="S571">
        <f>L571-LTP3!$D$3*G571/k_n</f>
        <v/>
      </c>
      <c r="T571">
        <f>M571-LTP3!$D$3*H571/k_n</f>
        <v/>
      </c>
      <c r="U571">
        <f>N571-G571*LTP3!$D$4/k_n</f>
        <v/>
      </c>
      <c r="V571">
        <f>O571-H571*LTP3!$D$4/k_n</f>
        <v/>
      </c>
      <c r="W571">
        <f>((LTP3!$D$5)*((P571)*(Q571)-(R571)*(R571))-(S571)*((S571)*(Q571)-(R571)*(T571))+(T571)*((S571)*(R571)-(P571)*(T571)))</f>
        <v/>
      </c>
      <c r="X571">
        <f>IF(ABS(W571)&gt;1E-12,((LTP3!$D$6)*((P571)*(Q571)-(R571)*(R571))-(S571)*((U571)*(Q571)-(R571)*(V571))+(T571)*((U571)*(R571)-(P571)*(V571)))/W571,0)</f>
        <v/>
      </c>
      <c r="Y571">
        <f>IF(ABS(W571)&gt;1E-12,((LTP3!$D$5)*((U571)*(Q571)-(R571)*(V571))-(LTP3!$D$6)*((S571)*(Q571)-(R571)*(T571))+(T571)*((S571)*(V571)-(U571)*(T571)))/W571,0)</f>
        <v/>
      </c>
      <c r="Z571">
        <f>IF(ABS(W571)&gt;1E-12,((LTP3!$D$5)*((P571)*(V571)-(U571)*(R571))-(S571)*((S571)*(V571)-(U571)*(T571))+(LTP3!$D$6)*((S571)*(R571)-(P571)*(T571)))/W571,0)</f>
        <v/>
      </c>
      <c r="AA571">
        <f>LTP3!$D$7-X571*LTP3!$D$6-Y571*U571-Z571*V571</f>
        <v/>
      </c>
      <c r="AB571">
        <f>IF(AND(F571,ABS(W571)&gt;1E-12,Y571&gt;0,Z571&gt;0),AA571,1E+300)</f>
        <v/>
      </c>
    </row>
    <row r="572">
      <c r="A572">
        <f>$B$3+$B$5*9</f>
        <v/>
      </c>
      <c r="B572">
        <f>$B$3+$B$5*11</f>
        <v/>
      </c>
      <c r="C572">
        <f>SUMPRODUCT(Calc!$K$3:$K$22*(Calc!$G$3:$G$22&lt;=A572))</f>
        <v/>
      </c>
      <c r="D572">
        <f>SUMPRODUCT(Calc!$K$3:$K$22*(Calc!$G$3:$G$22&gt;A572)*(Calc!$G$3:$G$22&lt;B572))</f>
        <v/>
      </c>
      <c r="E572">
        <f>SUMPRODUCT(Calc!$K$3:$K$22*(Calc!$G$3:$G$22&gt;=B572))</f>
        <v/>
      </c>
      <c r="F572">
        <f>AND(k_n&gt;=5,B572&gt;A572+1E-9,C572&gt;=2,D572&gt;=1,E572&gt;=2)</f>
        <v/>
      </c>
      <c r="G572">
        <f>SUMPRODUCT(Calc!$K$3:$K$22*(Calc!$G$3:$G$22&gt;A572)*(Calc!$G$3:$G$22-A572))</f>
        <v/>
      </c>
      <c r="H572">
        <f>SUMPRODUCT(Calc!$K$3:$K$22*(Calc!$G$3:$G$22&gt;B572)*(Calc!$G$3:$G$22-B572))</f>
        <v/>
      </c>
      <c r="I572">
        <f>SUMPRODUCT(Calc!$K$3:$K$22*(Calc!$G$3:$G$22&gt;A572)*(Calc!$G$3:$G$22-A572)^2)</f>
        <v/>
      </c>
      <c r="J572">
        <f>SUMPRODUCT(Calc!$K$3:$K$22*(Calc!$G$3:$G$22&gt;B572)*(Calc!$G$3:$G$22-B572)^2)</f>
        <v/>
      </c>
      <c r="K572">
        <f>SUMPRODUCT(Calc!$K$3:$K$22*(Calc!$G$3:$G$22&gt;A572)*(Calc!$G$3:$G$22-A572)*(Calc!$G$3:$G$22&gt;B572)*(Calc!$G$3:$G$22-B572))</f>
        <v/>
      </c>
      <c r="L572">
        <f>SUMPRODUCT(Calc!$K$3:$K$22*(Calc!$G$3:$G$22&gt;A572)*(Calc!$G$3:$G$22-A572)*Calc!$G$3:$G$22)</f>
        <v/>
      </c>
      <c r="M572">
        <f>SUMPRODUCT(Calc!$K$3:$K$22*(Calc!$G$3:$G$22&gt;B572)*(Calc!$G$3:$G$22-B572)*Calc!$G$3:$G$22)</f>
        <v/>
      </c>
      <c r="N572">
        <f>SUMPRODUCT(Calc!$K$3:$K$22*(Calc!$G$3:$G$22&gt;A572)*(Calc!$G$3:$G$22-A572)*Calc!$I$3:$I$22)</f>
        <v/>
      </c>
      <c r="O572">
        <f>SUMPRODUCT(Calc!$K$3:$K$22*(Calc!$G$3:$G$22&gt;B572)*(Calc!$G$3:$G$22-B572)*Calc!$I$3:$I$22)</f>
        <v/>
      </c>
      <c r="P572">
        <f>I572-G572^2/k_n</f>
        <v/>
      </c>
      <c r="Q572">
        <f>J572-H572^2/k_n</f>
        <v/>
      </c>
      <c r="R572">
        <f>K572-G572*H572/k_n</f>
        <v/>
      </c>
      <c r="S572">
        <f>L572-LTP3!$D$3*G572/k_n</f>
        <v/>
      </c>
      <c r="T572">
        <f>M572-LTP3!$D$3*H572/k_n</f>
        <v/>
      </c>
      <c r="U572">
        <f>N572-G572*LTP3!$D$4/k_n</f>
        <v/>
      </c>
      <c r="V572">
        <f>O572-H572*LTP3!$D$4/k_n</f>
        <v/>
      </c>
      <c r="W572">
        <f>((LTP3!$D$5)*((P572)*(Q572)-(R572)*(R572))-(S572)*((S572)*(Q572)-(R572)*(T572))+(T572)*((S572)*(R572)-(P572)*(T572)))</f>
        <v/>
      </c>
      <c r="X572">
        <f>IF(ABS(W572)&gt;1E-12,((LTP3!$D$6)*((P572)*(Q572)-(R572)*(R572))-(S572)*((U572)*(Q572)-(R572)*(V572))+(T572)*((U572)*(R572)-(P572)*(V572)))/W572,0)</f>
        <v/>
      </c>
      <c r="Y572">
        <f>IF(ABS(W572)&gt;1E-12,((LTP3!$D$5)*((U572)*(Q572)-(R572)*(V572))-(LTP3!$D$6)*((S572)*(Q572)-(R572)*(T572))+(T572)*((S572)*(V572)-(U572)*(T572)))/W572,0)</f>
        <v/>
      </c>
      <c r="Z572">
        <f>IF(ABS(W572)&gt;1E-12,((LTP3!$D$5)*((P572)*(V572)-(U572)*(R572))-(S572)*((S572)*(V572)-(U572)*(T572))+(LTP3!$D$6)*((S572)*(R572)-(P572)*(T572)))/W572,0)</f>
        <v/>
      </c>
      <c r="AA572">
        <f>LTP3!$D$7-X572*LTP3!$D$6-Y572*U572-Z572*V572</f>
        <v/>
      </c>
      <c r="AB572">
        <f>IF(AND(F572,ABS(W572)&gt;1E-12,Y572&gt;0,Z572&gt;0),AA572,1E+300)</f>
        <v/>
      </c>
    </row>
    <row r="573">
      <c r="A573">
        <f>$B$3+$B$5*9</f>
        <v/>
      </c>
      <c r="B573">
        <f>$B$3+$B$5*12</f>
        <v/>
      </c>
      <c r="C573">
        <f>SUMPRODUCT(Calc!$K$3:$K$22*(Calc!$G$3:$G$22&lt;=A573))</f>
        <v/>
      </c>
      <c r="D573">
        <f>SUMPRODUCT(Calc!$K$3:$K$22*(Calc!$G$3:$G$22&gt;A573)*(Calc!$G$3:$G$22&lt;B573))</f>
        <v/>
      </c>
      <c r="E573">
        <f>SUMPRODUCT(Calc!$K$3:$K$22*(Calc!$G$3:$G$22&gt;=B573))</f>
        <v/>
      </c>
      <c r="F573">
        <f>AND(k_n&gt;=5,B573&gt;A573+1E-9,C573&gt;=2,D573&gt;=1,E573&gt;=2)</f>
        <v/>
      </c>
      <c r="G573">
        <f>SUMPRODUCT(Calc!$K$3:$K$22*(Calc!$G$3:$G$22&gt;A573)*(Calc!$G$3:$G$22-A573))</f>
        <v/>
      </c>
      <c r="H573">
        <f>SUMPRODUCT(Calc!$K$3:$K$22*(Calc!$G$3:$G$22&gt;B573)*(Calc!$G$3:$G$22-B573))</f>
        <v/>
      </c>
      <c r="I573">
        <f>SUMPRODUCT(Calc!$K$3:$K$22*(Calc!$G$3:$G$22&gt;A573)*(Calc!$G$3:$G$22-A573)^2)</f>
        <v/>
      </c>
      <c r="J573">
        <f>SUMPRODUCT(Calc!$K$3:$K$22*(Calc!$G$3:$G$22&gt;B573)*(Calc!$G$3:$G$22-B573)^2)</f>
        <v/>
      </c>
      <c r="K573">
        <f>SUMPRODUCT(Calc!$K$3:$K$22*(Calc!$G$3:$G$22&gt;A573)*(Calc!$G$3:$G$22-A573)*(Calc!$G$3:$G$22&gt;B573)*(Calc!$G$3:$G$22-B573))</f>
        <v/>
      </c>
      <c r="L573">
        <f>SUMPRODUCT(Calc!$K$3:$K$22*(Calc!$G$3:$G$22&gt;A573)*(Calc!$G$3:$G$22-A573)*Calc!$G$3:$G$22)</f>
        <v/>
      </c>
      <c r="M573">
        <f>SUMPRODUCT(Calc!$K$3:$K$22*(Calc!$G$3:$G$22&gt;B573)*(Calc!$G$3:$G$22-B573)*Calc!$G$3:$G$22)</f>
        <v/>
      </c>
      <c r="N573">
        <f>SUMPRODUCT(Calc!$K$3:$K$22*(Calc!$G$3:$G$22&gt;A573)*(Calc!$G$3:$G$22-A573)*Calc!$I$3:$I$22)</f>
        <v/>
      </c>
      <c r="O573">
        <f>SUMPRODUCT(Calc!$K$3:$K$22*(Calc!$G$3:$G$22&gt;B573)*(Calc!$G$3:$G$22-B573)*Calc!$I$3:$I$22)</f>
        <v/>
      </c>
      <c r="P573">
        <f>I573-G573^2/k_n</f>
        <v/>
      </c>
      <c r="Q573">
        <f>J573-H573^2/k_n</f>
        <v/>
      </c>
      <c r="R573">
        <f>K573-G573*H573/k_n</f>
        <v/>
      </c>
      <c r="S573">
        <f>L573-LTP3!$D$3*G573/k_n</f>
        <v/>
      </c>
      <c r="T573">
        <f>M573-LTP3!$D$3*H573/k_n</f>
        <v/>
      </c>
      <c r="U573">
        <f>N573-G573*LTP3!$D$4/k_n</f>
        <v/>
      </c>
      <c r="V573">
        <f>O573-H573*LTP3!$D$4/k_n</f>
        <v/>
      </c>
      <c r="W573">
        <f>((LTP3!$D$5)*((P573)*(Q573)-(R573)*(R573))-(S573)*((S573)*(Q573)-(R573)*(T573))+(T573)*((S573)*(R573)-(P573)*(T573)))</f>
        <v/>
      </c>
      <c r="X573">
        <f>IF(ABS(W573)&gt;1E-12,((LTP3!$D$6)*((P573)*(Q573)-(R573)*(R573))-(S573)*((U573)*(Q573)-(R573)*(V573))+(T573)*((U573)*(R573)-(P573)*(V573)))/W573,0)</f>
        <v/>
      </c>
      <c r="Y573">
        <f>IF(ABS(W573)&gt;1E-12,((LTP3!$D$5)*((U573)*(Q573)-(R573)*(V573))-(LTP3!$D$6)*((S573)*(Q573)-(R573)*(T573))+(T573)*((S573)*(V573)-(U573)*(T573)))/W573,0)</f>
        <v/>
      </c>
      <c r="Z573">
        <f>IF(ABS(W573)&gt;1E-12,((LTP3!$D$5)*((P573)*(V573)-(U573)*(R573))-(S573)*((S573)*(V573)-(U573)*(T573))+(LTP3!$D$6)*((S573)*(R573)-(P573)*(T573)))/W573,0)</f>
        <v/>
      </c>
      <c r="AA573">
        <f>LTP3!$D$7-X573*LTP3!$D$6-Y573*U573-Z573*V573</f>
        <v/>
      </c>
      <c r="AB573">
        <f>IF(AND(F573,ABS(W573)&gt;1E-12,Y573&gt;0,Z573&gt;0),AA573,1E+300)</f>
        <v/>
      </c>
    </row>
    <row r="574">
      <c r="A574">
        <f>$B$3+$B$5*9</f>
        <v/>
      </c>
      <c r="B574">
        <f>$B$3+$B$5*13</f>
        <v/>
      </c>
      <c r="C574">
        <f>SUMPRODUCT(Calc!$K$3:$K$22*(Calc!$G$3:$G$22&lt;=A574))</f>
        <v/>
      </c>
      <c r="D574">
        <f>SUMPRODUCT(Calc!$K$3:$K$22*(Calc!$G$3:$G$22&gt;A574)*(Calc!$G$3:$G$22&lt;B574))</f>
        <v/>
      </c>
      <c r="E574">
        <f>SUMPRODUCT(Calc!$K$3:$K$22*(Calc!$G$3:$G$22&gt;=B574))</f>
        <v/>
      </c>
      <c r="F574">
        <f>AND(k_n&gt;=5,B574&gt;A574+1E-9,C574&gt;=2,D574&gt;=1,E574&gt;=2)</f>
        <v/>
      </c>
      <c r="G574">
        <f>SUMPRODUCT(Calc!$K$3:$K$22*(Calc!$G$3:$G$22&gt;A574)*(Calc!$G$3:$G$22-A574))</f>
        <v/>
      </c>
      <c r="H574">
        <f>SUMPRODUCT(Calc!$K$3:$K$22*(Calc!$G$3:$G$22&gt;B574)*(Calc!$G$3:$G$22-B574))</f>
        <v/>
      </c>
      <c r="I574">
        <f>SUMPRODUCT(Calc!$K$3:$K$22*(Calc!$G$3:$G$22&gt;A574)*(Calc!$G$3:$G$22-A574)^2)</f>
        <v/>
      </c>
      <c r="J574">
        <f>SUMPRODUCT(Calc!$K$3:$K$22*(Calc!$G$3:$G$22&gt;B574)*(Calc!$G$3:$G$22-B574)^2)</f>
        <v/>
      </c>
      <c r="K574">
        <f>SUMPRODUCT(Calc!$K$3:$K$22*(Calc!$G$3:$G$22&gt;A574)*(Calc!$G$3:$G$22-A574)*(Calc!$G$3:$G$22&gt;B574)*(Calc!$G$3:$G$22-B574))</f>
        <v/>
      </c>
      <c r="L574">
        <f>SUMPRODUCT(Calc!$K$3:$K$22*(Calc!$G$3:$G$22&gt;A574)*(Calc!$G$3:$G$22-A574)*Calc!$G$3:$G$22)</f>
        <v/>
      </c>
      <c r="M574">
        <f>SUMPRODUCT(Calc!$K$3:$K$22*(Calc!$G$3:$G$22&gt;B574)*(Calc!$G$3:$G$22-B574)*Calc!$G$3:$G$22)</f>
        <v/>
      </c>
      <c r="N574">
        <f>SUMPRODUCT(Calc!$K$3:$K$22*(Calc!$G$3:$G$22&gt;A574)*(Calc!$G$3:$G$22-A574)*Calc!$I$3:$I$22)</f>
        <v/>
      </c>
      <c r="O574">
        <f>SUMPRODUCT(Calc!$K$3:$K$22*(Calc!$G$3:$G$22&gt;B574)*(Calc!$G$3:$G$22-B574)*Calc!$I$3:$I$22)</f>
        <v/>
      </c>
      <c r="P574">
        <f>I574-G574^2/k_n</f>
        <v/>
      </c>
      <c r="Q574">
        <f>J574-H574^2/k_n</f>
        <v/>
      </c>
      <c r="R574">
        <f>K574-G574*H574/k_n</f>
        <v/>
      </c>
      <c r="S574">
        <f>L574-LTP3!$D$3*G574/k_n</f>
        <v/>
      </c>
      <c r="T574">
        <f>M574-LTP3!$D$3*H574/k_n</f>
        <v/>
      </c>
      <c r="U574">
        <f>N574-G574*LTP3!$D$4/k_n</f>
        <v/>
      </c>
      <c r="V574">
        <f>O574-H574*LTP3!$D$4/k_n</f>
        <v/>
      </c>
      <c r="W574">
        <f>((LTP3!$D$5)*((P574)*(Q574)-(R574)*(R574))-(S574)*((S574)*(Q574)-(R574)*(T574))+(T574)*((S574)*(R574)-(P574)*(T574)))</f>
        <v/>
      </c>
      <c r="X574">
        <f>IF(ABS(W574)&gt;1E-12,((LTP3!$D$6)*((P574)*(Q574)-(R574)*(R574))-(S574)*((U574)*(Q574)-(R574)*(V574))+(T574)*((U574)*(R574)-(P574)*(V574)))/W574,0)</f>
        <v/>
      </c>
      <c r="Y574">
        <f>IF(ABS(W574)&gt;1E-12,((LTP3!$D$5)*((U574)*(Q574)-(R574)*(V574))-(LTP3!$D$6)*((S574)*(Q574)-(R574)*(T574))+(T574)*((S574)*(V574)-(U574)*(T574)))/W574,0)</f>
        <v/>
      </c>
      <c r="Z574">
        <f>IF(ABS(W574)&gt;1E-12,((LTP3!$D$5)*((P574)*(V574)-(U574)*(R574))-(S574)*((S574)*(V574)-(U574)*(T574))+(LTP3!$D$6)*((S574)*(R574)-(P574)*(T574)))/W574,0)</f>
        <v/>
      </c>
      <c r="AA574">
        <f>LTP3!$D$7-X574*LTP3!$D$6-Y574*U574-Z574*V574</f>
        <v/>
      </c>
      <c r="AB574">
        <f>IF(AND(F574,ABS(W574)&gt;1E-12,Y574&gt;0,Z574&gt;0),AA574,1E+300)</f>
        <v/>
      </c>
    </row>
    <row r="575">
      <c r="A575">
        <f>$B$3+$B$5*9</f>
        <v/>
      </c>
      <c r="B575">
        <f>$B$3+$B$5*14</f>
        <v/>
      </c>
      <c r="C575">
        <f>SUMPRODUCT(Calc!$K$3:$K$22*(Calc!$G$3:$G$22&lt;=A575))</f>
        <v/>
      </c>
      <c r="D575">
        <f>SUMPRODUCT(Calc!$K$3:$K$22*(Calc!$G$3:$G$22&gt;A575)*(Calc!$G$3:$G$22&lt;B575))</f>
        <v/>
      </c>
      <c r="E575">
        <f>SUMPRODUCT(Calc!$K$3:$K$22*(Calc!$G$3:$G$22&gt;=B575))</f>
        <v/>
      </c>
      <c r="F575">
        <f>AND(k_n&gt;=5,B575&gt;A575+1E-9,C575&gt;=2,D575&gt;=1,E575&gt;=2)</f>
        <v/>
      </c>
      <c r="G575">
        <f>SUMPRODUCT(Calc!$K$3:$K$22*(Calc!$G$3:$G$22&gt;A575)*(Calc!$G$3:$G$22-A575))</f>
        <v/>
      </c>
      <c r="H575">
        <f>SUMPRODUCT(Calc!$K$3:$K$22*(Calc!$G$3:$G$22&gt;B575)*(Calc!$G$3:$G$22-B575))</f>
        <v/>
      </c>
      <c r="I575">
        <f>SUMPRODUCT(Calc!$K$3:$K$22*(Calc!$G$3:$G$22&gt;A575)*(Calc!$G$3:$G$22-A575)^2)</f>
        <v/>
      </c>
      <c r="J575">
        <f>SUMPRODUCT(Calc!$K$3:$K$22*(Calc!$G$3:$G$22&gt;B575)*(Calc!$G$3:$G$22-B575)^2)</f>
        <v/>
      </c>
      <c r="K575">
        <f>SUMPRODUCT(Calc!$K$3:$K$22*(Calc!$G$3:$G$22&gt;A575)*(Calc!$G$3:$G$22-A575)*(Calc!$G$3:$G$22&gt;B575)*(Calc!$G$3:$G$22-B575))</f>
        <v/>
      </c>
      <c r="L575">
        <f>SUMPRODUCT(Calc!$K$3:$K$22*(Calc!$G$3:$G$22&gt;A575)*(Calc!$G$3:$G$22-A575)*Calc!$G$3:$G$22)</f>
        <v/>
      </c>
      <c r="M575">
        <f>SUMPRODUCT(Calc!$K$3:$K$22*(Calc!$G$3:$G$22&gt;B575)*(Calc!$G$3:$G$22-B575)*Calc!$G$3:$G$22)</f>
        <v/>
      </c>
      <c r="N575">
        <f>SUMPRODUCT(Calc!$K$3:$K$22*(Calc!$G$3:$G$22&gt;A575)*(Calc!$G$3:$G$22-A575)*Calc!$I$3:$I$22)</f>
        <v/>
      </c>
      <c r="O575">
        <f>SUMPRODUCT(Calc!$K$3:$K$22*(Calc!$G$3:$G$22&gt;B575)*(Calc!$G$3:$G$22-B575)*Calc!$I$3:$I$22)</f>
        <v/>
      </c>
      <c r="P575">
        <f>I575-G575^2/k_n</f>
        <v/>
      </c>
      <c r="Q575">
        <f>J575-H575^2/k_n</f>
        <v/>
      </c>
      <c r="R575">
        <f>K575-G575*H575/k_n</f>
        <v/>
      </c>
      <c r="S575">
        <f>L575-LTP3!$D$3*G575/k_n</f>
        <v/>
      </c>
      <c r="T575">
        <f>M575-LTP3!$D$3*H575/k_n</f>
        <v/>
      </c>
      <c r="U575">
        <f>N575-G575*LTP3!$D$4/k_n</f>
        <v/>
      </c>
      <c r="V575">
        <f>O575-H575*LTP3!$D$4/k_n</f>
        <v/>
      </c>
      <c r="W575">
        <f>((LTP3!$D$5)*((P575)*(Q575)-(R575)*(R575))-(S575)*((S575)*(Q575)-(R575)*(T575))+(T575)*((S575)*(R575)-(P575)*(T575)))</f>
        <v/>
      </c>
      <c r="X575">
        <f>IF(ABS(W575)&gt;1E-12,((LTP3!$D$6)*((P575)*(Q575)-(R575)*(R575))-(S575)*((U575)*(Q575)-(R575)*(V575))+(T575)*((U575)*(R575)-(P575)*(V575)))/W575,0)</f>
        <v/>
      </c>
      <c r="Y575">
        <f>IF(ABS(W575)&gt;1E-12,((LTP3!$D$5)*((U575)*(Q575)-(R575)*(V575))-(LTP3!$D$6)*((S575)*(Q575)-(R575)*(T575))+(T575)*((S575)*(V575)-(U575)*(T575)))/W575,0)</f>
        <v/>
      </c>
      <c r="Z575">
        <f>IF(ABS(W575)&gt;1E-12,((LTP3!$D$5)*((P575)*(V575)-(U575)*(R575))-(S575)*((S575)*(V575)-(U575)*(T575))+(LTP3!$D$6)*((S575)*(R575)-(P575)*(T575)))/W575,0)</f>
        <v/>
      </c>
      <c r="AA575">
        <f>LTP3!$D$7-X575*LTP3!$D$6-Y575*U575-Z575*V575</f>
        <v/>
      </c>
      <c r="AB575">
        <f>IF(AND(F575,ABS(W575)&gt;1E-12,Y575&gt;0,Z575&gt;0),AA575,1E+300)</f>
        <v/>
      </c>
    </row>
    <row r="576">
      <c r="A576">
        <f>$B$3+$B$5*9</f>
        <v/>
      </c>
      <c r="B576">
        <f>$B$3+$B$5*15</f>
        <v/>
      </c>
      <c r="C576">
        <f>SUMPRODUCT(Calc!$K$3:$K$22*(Calc!$G$3:$G$22&lt;=A576))</f>
        <v/>
      </c>
      <c r="D576">
        <f>SUMPRODUCT(Calc!$K$3:$K$22*(Calc!$G$3:$G$22&gt;A576)*(Calc!$G$3:$G$22&lt;B576))</f>
        <v/>
      </c>
      <c r="E576">
        <f>SUMPRODUCT(Calc!$K$3:$K$22*(Calc!$G$3:$G$22&gt;=B576))</f>
        <v/>
      </c>
      <c r="F576">
        <f>AND(k_n&gt;=5,B576&gt;A576+1E-9,C576&gt;=2,D576&gt;=1,E576&gt;=2)</f>
        <v/>
      </c>
      <c r="G576">
        <f>SUMPRODUCT(Calc!$K$3:$K$22*(Calc!$G$3:$G$22&gt;A576)*(Calc!$G$3:$G$22-A576))</f>
        <v/>
      </c>
      <c r="H576">
        <f>SUMPRODUCT(Calc!$K$3:$K$22*(Calc!$G$3:$G$22&gt;B576)*(Calc!$G$3:$G$22-B576))</f>
        <v/>
      </c>
      <c r="I576">
        <f>SUMPRODUCT(Calc!$K$3:$K$22*(Calc!$G$3:$G$22&gt;A576)*(Calc!$G$3:$G$22-A576)^2)</f>
        <v/>
      </c>
      <c r="J576">
        <f>SUMPRODUCT(Calc!$K$3:$K$22*(Calc!$G$3:$G$22&gt;B576)*(Calc!$G$3:$G$22-B576)^2)</f>
        <v/>
      </c>
      <c r="K576">
        <f>SUMPRODUCT(Calc!$K$3:$K$22*(Calc!$G$3:$G$22&gt;A576)*(Calc!$G$3:$G$22-A576)*(Calc!$G$3:$G$22&gt;B576)*(Calc!$G$3:$G$22-B576))</f>
        <v/>
      </c>
      <c r="L576">
        <f>SUMPRODUCT(Calc!$K$3:$K$22*(Calc!$G$3:$G$22&gt;A576)*(Calc!$G$3:$G$22-A576)*Calc!$G$3:$G$22)</f>
        <v/>
      </c>
      <c r="M576">
        <f>SUMPRODUCT(Calc!$K$3:$K$22*(Calc!$G$3:$G$22&gt;B576)*(Calc!$G$3:$G$22-B576)*Calc!$G$3:$G$22)</f>
        <v/>
      </c>
      <c r="N576">
        <f>SUMPRODUCT(Calc!$K$3:$K$22*(Calc!$G$3:$G$22&gt;A576)*(Calc!$G$3:$G$22-A576)*Calc!$I$3:$I$22)</f>
        <v/>
      </c>
      <c r="O576">
        <f>SUMPRODUCT(Calc!$K$3:$K$22*(Calc!$G$3:$G$22&gt;B576)*(Calc!$G$3:$G$22-B576)*Calc!$I$3:$I$22)</f>
        <v/>
      </c>
      <c r="P576">
        <f>I576-G576^2/k_n</f>
        <v/>
      </c>
      <c r="Q576">
        <f>J576-H576^2/k_n</f>
        <v/>
      </c>
      <c r="R576">
        <f>K576-G576*H576/k_n</f>
        <v/>
      </c>
      <c r="S576">
        <f>L576-LTP3!$D$3*G576/k_n</f>
        <v/>
      </c>
      <c r="T576">
        <f>M576-LTP3!$D$3*H576/k_n</f>
        <v/>
      </c>
      <c r="U576">
        <f>N576-G576*LTP3!$D$4/k_n</f>
        <v/>
      </c>
      <c r="V576">
        <f>O576-H576*LTP3!$D$4/k_n</f>
        <v/>
      </c>
      <c r="W576">
        <f>((LTP3!$D$5)*((P576)*(Q576)-(R576)*(R576))-(S576)*((S576)*(Q576)-(R576)*(T576))+(T576)*((S576)*(R576)-(P576)*(T576)))</f>
        <v/>
      </c>
      <c r="X576">
        <f>IF(ABS(W576)&gt;1E-12,((LTP3!$D$6)*((P576)*(Q576)-(R576)*(R576))-(S576)*((U576)*(Q576)-(R576)*(V576))+(T576)*((U576)*(R576)-(P576)*(V576)))/W576,0)</f>
        <v/>
      </c>
      <c r="Y576">
        <f>IF(ABS(W576)&gt;1E-12,((LTP3!$D$5)*((U576)*(Q576)-(R576)*(V576))-(LTP3!$D$6)*((S576)*(Q576)-(R576)*(T576))+(T576)*((S576)*(V576)-(U576)*(T576)))/W576,0)</f>
        <v/>
      </c>
      <c r="Z576">
        <f>IF(ABS(W576)&gt;1E-12,((LTP3!$D$5)*((P576)*(V576)-(U576)*(R576))-(S576)*((S576)*(V576)-(U576)*(T576))+(LTP3!$D$6)*((S576)*(R576)-(P576)*(T576)))/W576,0)</f>
        <v/>
      </c>
      <c r="AA576">
        <f>LTP3!$D$7-X576*LTP3!$D$6-Y576*U576-Z576*V576</f>
        <v/>
      </c>
      <c r="AB576">
        <f>IF(AND(F576,ABS(W576)&gt;1E-12,Y576&gt;0,Z576&gt;0),AA576,1E+300)</f>
        <v/>
      </c>
    </row>
    <row r="577">
      <c r="A577">
        <f>$B$3+$B$5*9</f>
        <v/>
      </c>
      <c r="B577">
        <f>$B$3+$B$5*16</f>
        <v/>
      </c>
      <c r="C577">
        <f>SUMPRODUCT(Calc!$K$3:$K$22*(Calc!$G$3:$G$22&lt;=A577))</f>
        <v/>
      </c>
      <c r="D577">
        <f>SUMPRODUCT(Calc!$K$3:$K$22*(Calc!$G$3:$G$22&gt;A577)*(Calc!$G$3:$G$22&lt;B577))</f>
        <v/>
      </c>
      <c r="E577">
        <f>SUMPRODUCT(Calc!$K$3:$K$22*(Calc!$G$3:$G$22&gt;=B577))</f>
        <v/>
      </c>
      <c r="F577">
        <f>AND(k_n&gt;=5,B577&gt;A577+1E-9,C577&gt;=2,D577&gt;=1,E577&gt;=2)</f>
        <v/>
      </c>
      <c r="G577">
        <f>SUMPRODUCT(Calc!$K$3:$K$22*(Calc!$G$3:$G$22&gt;A577)*(Calc!$G$3:$G$22-A577))</f>
        <v/>
      </c>
      <c r="H577">
        <f>SUMPRODUCT(Calc!$K$3:$K$22*(Calc!$G$3:$G$22&gt;B577)*(Calc!$G$3:$G$22-B577))</f>
        <v/>
      </c>
      <c r="I577">
        <f>SUMPRODUCT(Calc!$K$3:$K$22*(Calc!$G$3:$G$22&gt;A577)*(Calc!$G$3:$G$22-A577)^2)</f>
        <v/>
      </c>
      <c r="J577">
        <f>SUMPRODUCT(Calc!$K$3:$K$22*(Calc!$G$3:$G$22&gt;B577)*(Calc!$G$3:$G$22-B577)^2)</f>
        <v/>
      </c>
      <c r="K577">
        <f>SUMPRODUCT(Calc!$K$3:$K$22*(Calc!$G$3:$G$22&gt;A577)*(Calc!$G$3:$G$22-A577)*(Calc!$G$3:$G$22&gt;B577)*(Calc!$G$3:$G$22-B577))</f>
        <v/>
      </c>
      <c r="L577">
        <f>SUMPRODUCT(Calc!$K$3:$K$22*(Calc!$G$3:$G$22&gt;A577)*(Calc!$G$3:$G$22-A577)*Calc!$G$3:$G$22)</f>
        <v/>
      </c>
      <c r="M577">
        <f>SUMPRODUCT(Calc!$K$3:$K$22*(Calc!$G$3:$G$22&gt;B577)*(Calc!$G$3:$G$22-B577)*Calc!$G$3:$G$22)</f>
        <v/>
      </c>
      <c r="N577">
        <f>SUMPRODUCT(Calc!$K$3:$K$22*(Calc!$G$3:$G$22&gt;A577)*(Calc!$G$3:$G$22-A577)*Calc!$I$3:$I$22)</f>
        <v/>
      </c>
      <c r="O577">
        <f>SUMPRODUCT(Calc!$K$3:$K$22*(Calc!$G$3:$G$22&gt;B577)*(Calc!$G$3:$G$22-B577)*Calc!$I$3:$I$22)</f>
        <v/>
      </c>
      <c r="P577">
        <f>I577-G577^2/k_n</f>
        <v/>
      </c>
      <c r="Q577">
        <f>J577-H577^2/k_n</f>
        <v/>
      </c>
      <c r="R577">
        <f>K577-G577*H577/k_n</f>
        <v/>
      </c>
      <c r="S577">
        <f>L577-LTP3!$D$3*G577/k_n</f>
        <v/>
      </c>
      <c r="T577">
        <f>M577-LTP3!$D$3*H577/k_n</f>
        <v/>
      </c>
      <c r="U577">
        <f>N577-G577*LTP3!$D$4/k_n</f>
        <v/>
      </c>
      <c r="V577">
        <f>O577-H577*LTP3!$D$4/k_n</f>
        <v/>
      </c>
      <c r="W577">
        <f>((LTP3!$D$5)*((P577)*(Q577)-(R577)*(R577))-(S577)*((S577)*(Q577)-(R577)*(T577))+(T577)*((S577)*(R577)-(P577)*(T577)))</f>
        <v/>
      </c>
      <c r="X577">
        <f>IF(ABS(W577)&gt;1E-12,((LTP3!$D$6)*((P577)*(Q577)-(R577)*(R577))-(S577)*((U577)*(Q577)-(R577)*(V577))+(T577)*((U577)*(R577)-(P577)*(V577)))/W577,0)</f>
        <v/>
      </c>
      <c r="Y577">
        <f>IF(ABS(W577)&gt;1E-12,((LTP3!$D$5)*((U577)*(Q577)-(R577)*(V577))-(LTP3!$D$6)*((S577)*(Q577)-(R577)*(T577))+(T577)*((S577)*(V577)-(U577)*(T577)))/W577,0)</f>
        <v/>
      </c>
      <c r="Z577">
        <f>IF(ABS(W577)&gt;1E-12,((LTP3!$D$5)*((P577)*(V577)-(U577)*(R577))-(S577)*((S577)*(V577)-(U577)*(T577))+(LTP3!$D$6)*((S577)*(R577)-(P577)*(T577)))/W577,0)</f>
        <v/>
      </c>
      <c r="AA577">
        <f>LTP3!$D$7-X577*LTP3!$D$6-Y577*U577-Z577*V577</f>
        <v/>
      </c>
      <c r="AB577">
        <f>IF(AND(F577,ABS(W577)&gt;1E-12,Y577&gt;0,Z577&gt;0),AA577,1E+300)</f>
        <v/>
      </c>
    </row>
    <row r="578">
      <c r="A578">
        <f>$B$3+$B$5*9</f>
        <v/>
      </c>
      <c r="B578">
        <f>$B$3+$B$5*17</f>
        <v/>
      </c>
      <c r="C578">
        <f>SUMPRODUCT(Calc!$K$3:$K$22*(Calc!$G$3:$G$22&lt;=A578))</f>
        <v/>
      </c>
      <c r="D578">
        <f>SUMPRODUCT(Calc!$K$3:$K$22*(Calc!$G$3:$G$22&gt;A578)*(Calc!$G$3:$G$22&lt;B578))</f>
        <v/>
      </c>
      <c r="E578">
        <f>SUMPRODUCT(Calc!$K$3:$K$22*(Calc!$G$3:$G$22&gt;=B578))</f>
        <v/>
      </c>
      <c r="F578">
        <f>AND(k_n&gt;=5,B578&gt;A578+1E-9,C578&gt;=2,D578&gt;=1,E578&gt;=2)</f>
        <v/>
      </c>
      <c r="G578">
        <f>SUMPRODUCT(Calc!$K$3:$K$22*(Calc!$G$3:$G$22&gt;A578)*(Calc!$G$3:$G$22-A578))</f>
        <v/>
      </c>
      <c r="H578">
        <f>SUMPRODUCT(Calc!$K$3:$K$22*(Calc!$G$3:$G$22&gt;B578)*(Calc!$G$3:$G$22-B578))</f>
        <v/>
      </c>
      <c r="I578">
        <f>SUMPRODUCT(Calc!$K$3:$K$22*(Calc!$G$3:$G$22&gt;A578)*(Calc!$G$3:$G$22-A578)^2)</f>
        <v/>
      </c>
      <c r="J578">
        <f>SUMPRODUCT(Calc!$K$3:$K$22*(Calc!$G$3:$G$22&gt;B578)*(Calc!$G$3:$G$22-B578)^2)</f>
        <v/>
      </c>
      <c r="K578">
        <f>SUMPRODUCT(Calc!$K$3:$K$22*(Calc!$G$3:$G$22&gt;A578)*(Calc!$G$3:$G$22-A578)*(Calc!$G$3:$G$22&gt;B578)*(Calc!$G$3:$G$22-B578))</f>
        <v/>
      </c>
      <c r="L578">
        <f>SUMPRODUCT(Calc!$K$3:$K$22*(Calc!$G$3:$G$22&gt;A578)*(Calc!$G$3:$G$22-A578)*Calc!$G$3:$G$22)</f>
        <v/>
      </c>
      <c r="M578">
        <f>SUMPRODUCT(Calc!$K$3:$K$22*(Calc!$G$3:$G$22&gt;B578)*(Calc!$G$3:$G$22-B578)*Calc!$G$3:$G$22)</f>
        <v/>
      </c>
      <c r="N578">
        <f>SUMPRODUCT(Calc!$K$3:$K$22*(Calc!$G$3:$G$22&gt;A578)*(Calc!$G$3:$G$22-A578)*Calc!$I$3:$I$22)</f>
        <v/>
      </c>
      <c r="O578">
        <f>SUMPRODUCT(Calc!$K$3:$K$22*(Calc!$G$3:$G$22&gt;B578)*(Calc!$G$3:$G$22-B578)*Calc!$I$3:$I$22)</f>
        <v/>
      </c>
      <c r="P578">
        <f>I578-G578^2/k_n</f>
        <v/>
      </c>
      <c r="Q578">
        <f>J578-H578^2/k_n</f>
        <v/>
      </c>
      <c r="R578">
        <f>K578-G578*H578/k_n</f>
        <v/>
      </c>
      <c r="S578">
        <f>L578-LTP3!$D$3*G578/k_n</f>
        <v/>
      </c>
      <c r="T578">
        <f>M578-LTP3!$D$3*H578/k_n</f>
        <v/>
      </c>
      <c r="U578">
        <f>N578-G578*LTP3!$D$4/k_n</f>
        <v/>
      </c>
      <c r="V578">
        <f>O578-H578*LTP3!$D$4/k_n</f>
        <v/>
      </c>
      <c r="W578">
        <f>((LTP3!$D$5)*((P578)*(Q578)-(R578)*(R578))-(S578)*((S578)*(Q578)-(R578)*(T578))+(T578)*((S578)*(R578)-(P578)*(T578)))</f>
        <v/>
      </c>
      <c r="X578">
        <f>IF(ABS(W578)&gt;1E-12,((LTP3!$D$6)*((P578)*(Q578)-(R578)*(R578))-(S578)*((U578)*(Q578)-(R578)*(V578))+(T578)*((U578)*(R578)-(P578)*(V578)))/W578,0)</f>
        <v/>
      </c>
      <c r="Y578">
        <f>IF(ABS(W578)&gt;1E-12,((LTP3!$D$5)*((U578)*(Q578)-(R578)*(V578))-(LTP3!$D$6)*((S578)*(Q578)-(R578)*(T578))+(T578)*((S578)*(V578)-(U578)*(T578)))/W578,0)</f>
        <v/>
      </c>
      <c r="Z578">
        <f>IF(ABS(W578)&gt;1E-12,((LTP3!$D$5)*((P578)*(V578)-(U578)*(R578))-(S578)*((S578)*(V578)-(U578)*(T578))+(LTP3!$D$6)*((S578)*(R578)-(P578)*(T578)))/W578,0)</f>
        <v/>
      </c>
      <c r="AA578">
        <f>LTP3!$D$7-X578*LTP3!$D$6-Y578*U578-Z578*V578</f>
        <v/>
      </c>
      <c r="AB578">
        <f>IF(AND(F578,ABS(W578)&gt;1E-12,Y578&gt;0,Z578&gt;0),AA578,1E+300)</f>
        <v/>
      </c>
    </row>
    <row r="579">
      <c r="A579">
        <f>$B$3+$B$5*9</f>
        <v/>
      </c>
      <c r="B579">
        <f>$B$3+$B$5*18</f>
        <v/>
      </c>
      <c r="C579">
        <f>SUMPRODUCT(Calc!$K$3:$K$22*(Calc!$G$3:$G$22&lt;=A579))</f>
        <v/>
      </c>
      <c r="D579">
        <f>SUMPRODUCT(Calc!$K$3:$K$22*(Calc!$G$3:$G$22&gt;A579)*(Calc!$G$3:$G$22&lt;B579))</f>
        <v/>
      </c>
      <c r="E579">
        <f>SUMPRODUCT(Calc!$K$3:$K$22*(Calc!$G$3:$G$22&gt;=B579))</f>
        <v/>
      </c>
      <c r="F579">
        <f>AND(k_n&gt;=5,B579&gt;A579+1E-9,C579&gt;=2,D579&gt;=1,E579&gt;=2)</f>
        <v/>
      </c>
      <c r="G579">
        <f>SUMPRODUCT(Calc!$K$3:$K$22*(Calc!$G$3:$G$22&gt;A579)*(Calc!$G$3:$G$22-A579))</f>
        <v/>
      </c>
      <c r="H579">
        <f>SUMPRODUCT(Calc!$K$3:$K$22*(Calc!$G$3:$G$22&gt;B579)*(Calc!$G$3:$G$22-B579))</f>
        <v/>
      </c>
      <c r="I579">
        <f>SUMPRODUCT(Calc!$K$3:$K$22*(Calc!$G$3:$G$22&gt;A579)*(Calc!$G$3:$G$22-A579)^2)</f>
        <v/>
      </c>
      <c r="J579">
        <f>SUMPRODUCT(Calc!$K$3:$K$22*(Calc!$G$3:$G$22&gt;B579)*(Calc!$G$3:$G$22-B579)^2)</f>
        <v/>
      </c>
      <c r="K579">
        <f>SUMPRODUCT(Calc!$K$3:$K$22*(Calc!$G$3:$G$22&gt;A579)*(Calc!$G$3:$G$22-A579)*(Calc!$G$3:$G$22&gt;B579)*(Calc!$G$3:$G$22-B579))</f>
        <v/>
      </c>
      <c r="L579">
        <f>SUMPRODUCT(Calc!$K$3:$K$22*(Calc!$G$3:$G$22&gt;A579)*(Calc!$G$3:$G$22-A579)*Calc!$G$3:$G$22)</f>
        <v/>
      </c>
      <c r="M579">
        <f>SUMPRODUCT(Calc!$K$3:$K$22*(Calc!$G$3:$G$22&gt;B579)*(Calc!$G$3:$G$22-B579)*Calc!$G$3:$G$22)</f>
        <v/>
      </c>
      <c r="N579">
        <f>SUMPRODUCT(Calc!$K$3:$K$22*(Calc!$G$3:$G$22&gt;A579)*(Calc!$G$3:$G$22-A579)*Calc!$I$3:$I$22)</f>
        <v/>
      </c>
      <c r="O579">
        <f>SUMPRODUCT(Calc!$K$3:$K$22*(Calc!$G$3:$G$22&gt;B579)*(Calc!$G$3:$G$22-B579)*Calc!$I$3:$I$22)</f>
        <v/>
      </c>
      <c r="P579">
        <f>I579-G579^2/k_n</f>
        <v/>
      </c>
      <c r="Q579">
        <f>J579-H579^2/k_n</f>
        <v/>
      </c>
      <c r="R579">
        <f>K579-G579*H579/k_n</f>
        <v/>
      </c>
      <c r="S579">
        <f>L579-LTP3!$D$3*G579/k_n</f>
        <v/>
      </c>
      <c r="T579">
        <f>M579-LTP3!$D$3*H579/k_n</f>
        <v/>
      </c>
      <c r="U579">
        <f>N579-G579*LTP3!$D$4/k_n</f>
        <v/>
      </c>
      <c r="V579">
        <f>O579-H579*LTP3!$D$4/k_n</f>
        <v/>
      </c>
      <c r="W579">
        <f>((LTP3!$D$5)*((P579)*(Q579)-(R579)*(R579))-(S579)*((S579)*(Q579)-(R579)*(T579))+(T579)*((S579)*(R579)-(P579)*(T579)))</f>
        <v/>
      </c>
      <c r="X579">
        <f>IF(ABS(W579)&gt;1E-12,((LTP3!$D$6)*((P579)*(Q579)-(R579)*(R579))-(S579)*((U579)*(Q579)-(R579)*(V579))+(T579)*((U579)*(R579)-(P579)*(V579)))/W579,0)</f>
        <v/>
      </c>
      <c r="Y579">
        <f>IF(ABS(W579)&gt;1E-12,((LTP3!$D$5)*((U579)*(Q579)-(R579)*(V579))-(LTP3!$D$6)*((S579)*(Q579)-(R579)*(T579))+(T579)*((S579)*(V579)-(U579)*(T579)))/W579,0)</f>
        <v/>
      </c>
      <c r="Z579">
        <f>IF(ABS(W579)&gt;1E-12,((LTP3!$D$5)*((P579)*(V579)-(U579)*(R579))-(S579)*((S579)*(V579)-(U579)*(T579))+(LTP3!$D$6)*((S579)*(R579)-(P579)*(T579)))/W579,0)</f>
        <v/>
      </c>
      <c r="AA579">
        <f>LTP3!$D$7-X579*LTP3!$D$6-Y579*U579-Z579*V579</f>
        <v/>
      </c>
      <c r="AB579">
        <f>IF(AND(F579,ABS(W579)&gt;1E-12,Y579&gt;0,Z579&gt;0),AA579,1E+300)</f>
        <v/>
      </c>
    </row>
    <row r="580">
      <c r="A580">
        <f>$B$3+$B$5*9</f>
        <v/>
      </c>
      <c r="B580">
        <f>$B$3+$B$5*19</f>
        <v/>
      </c>
      <c r="C580">
        <f>SUMPRODUCT(Calc!$K$3:$K$22*(Calc!$G$3:$G$22&lt;=A580))</f>
        <v/>
      </c>
      <c r="D580">
        <f>SUMPRODUCT(Calc!$K$3:$K$22*(Calc!$G$3:$G$22&gt;A580)*(Calc!$G$3:$G$22&lt;B580))</f>
        <v/>
      </c>
      <c r="E580">
        <f>SUMPRODUCT(Calc!$K$3:$K$22*(Calc!$G$3:$G$22&gt;=B580))</f>
        <v/>
      </c>
      <c r="F580">
        <f>AND(k_n&gt;=5,B580&gt;A580+1E-9,C580&gt;=2,D580&gt;=1,E580&gt;=2)</f>
        <v/>
      </c>
      <c r="G580">
        <f>SUMPRODUCT(Calc!$K$3:$K$22*(Calc!$G$3:$G$22&gt;A580)*(Calc!$G$3:$G$22-A580))</f>
        <v/>
      </c>
      <c r="H580">
        <f>SUMPRODUCT(Calc!$K$3:$K$22*(Calc!$G$3:$G$22&gt;B580)*(Calc!$G$3:$G$22-B580))</f>
        <v/>
      </c>
      <c r="I580">
        <f>SUMPRODUCT(Calc!$K$3:$K$22*(Calc!$G$3:$G$22&gt;A580)*(Calc!$G$3:$G$22-A580)^2)</f>
        <v/>
      </c>
      <c r="J580">
        <f>SUMPRODUCT(Calc!$K$3:$K$22*(Calc!$G$3:$G$22&gt;B580)*(Calc!$G$3:$G$22-B580)^2)</f>
        <v/>
      </c>
      <c r="K580">
        <f>SUMPRODUCT(Calc!$K$3:$K$22*(Calc!$G$3:$G$22&gt;A580)*(Calc!$G$3:$G$22-A580)*(Calc!$G$3:$G$22&gt;B580)*(Calc!$G$3:$G$22-B580))</f>
        <v/>
      </c>
      <c r="L580">
        <f>SUMPRODUCT(Calc!$K$3:$K$22*(Calc!$G$3:$G$22&gt;A580)*(Calc!$G$3:$G$22-A580)*Calc!$G$3:$G$22)</f>
        <v/>
      </c>
      <c r="M580">
        <f>SUMPRODUCT(Calc!$K$3:$K$22*(Calc!$G$3:$G$22&gt;B580)*(Calc!$G$3:$G$22-B580)*Calc!$G$3:$G$22)</f>
        <v/>
      </c>
      <c r="N580">
        <f>SUMPRODUCT(Calc!$K$3:$K$22*(Calc!$G$3:$G$22&gt;A580)*(Calc!$G$3:$G$22-A580)*Calc!$I$3:$I$22)</f>
        <v/>
      </c>
      <c r="O580">
        <f>SUMPRODUCT(Calc!$K$3:$K$22*(Calc!$G$3:$G$22&gt;B580)*(Calc!$G$3:$G$22-B580)*Calc!$I$3:$I$22)</f>
        <v/>
      </c>
      <c r="P580">
        <f>I580-G580^2/k_n</f>
        <v/>
      </c>
      <c r="Q580">
        <f>J580-H580^2/k_n</f>
        <v/>
      </c>
      <c r="R580">
        <f>K580-G580*H580/k_n</f>
        <v/>
      </c>
      <c r="S580">
        <f>L580-LTP3!$D$3*G580/k_n</f>
        <v/>
      </c>
      <c r="T580">
        <f>M580-LTP3!$D$3*H580/k_n</f>
        <v/>
      </c>
      <c r="U580">
        <f>N580-G580*LTP3!$D$4/k_n</f>
        <v/>
      </c>
      <c r="V580">
        <f>O580-H580*LTP3!$D$4/k_n</f>
        <v/>
      </c>
      <c r="W580">
        <f>((LTP3!$D$5)*((P580)*(Q580)-(R580)*(R580))-(S580)*((S580)*(Q580)-(R580)*(T580))+(T580)*((S580)*(R580)-(P580)*(T580)))</f>
        <v/>
      </c>
      <c r="X580">
        <f>IF(ABS(W580)&gt;1E-12,((LTP3!$D$6)*((P580)*(Q580)-(R580)*(R580))-(S580)*((U580)*(Q580)-(R580)*(V580))+(T580)*((U580)*(R580)-(P580)*(V580)))/W580,0)</f>
        <v/>
      </c>
      <c r="Y580">
        <f>IF(ABS(W580)&gt;1E-12,((LTP3!$D$5)*((U580)*(Q580)-(R580)*(V580))-(LTP3!$D$6)*((S580)*(Q580)-(R580)*(T580))+(T580)*((S580)*(V580)-(U580)*(T580)))/W580,0)</f>
        <v/>
      </c>
      <c r="Z580">
        <f>IF(ABS(W580)&gt;1E-12,((LTP3!$D$5)*((P580)*(V580)-(U580)*(R580))-(S580)*((S580)*(V580)-(U580)*(T580))+(LTP3!$D$6)*((S580)*(R580)-(P580)*(T580)))/W580,0)</f>
        <v/>
      </c>
      <c r="AA580">
        <f>LTP3!$D$7-X580*LTP3!$D$6-Y580*U580-Z580*V580</f>
        <v/>
      </c>
      <c r="AB580">
        <f>IF(AND(F580,ABS(W580)&gt;1E-12,Y580&gt;0,Z580&gt;0),AA580,1E+300)</f>
        <v/>
      </c>
    </row>
    <row r="581">
      <c r="A581">
        <f>$B$3+$B$5*9</f>
        <v/>
      </c>
      <c r="B581">
        <f>$B$3+$B$5*20</f>
        <v/>
      </c>
      <c r="C581">
        <f>SUMPRODUCT(Calc!$K$3:$K$22*(Calc!$G$3:$G$22&lt;=A581))</f>
        <v/>
      </c>
      <c r="D581">
        <f>SUMPRODUCT(Calc!$K$3:$K$22*(Calc!$G$3:$G$22&gt;A581)*(Calc!$G$3:$G$22&lt;B581))</f>
        <v/>
      </c>
      <c r="E581">
        <f>SUMPRODUCT(Calc!$K$3:$K$22*(Calc!$G$3:$G$22&gt;=B581))</f>
        <v/>
      </c>
      <c r="F581">
        <f>AND(k_n&gt;=5,B581&gt;A581+1E-9,C581&gt;=2,D581&gt;=1,E581&gt;=2)</f>
        <v/>
      </c>
      <c r="G581">
        <f>SUMPRODUCT(Calc!$K$3:$K$22*(Calc!$G$3:$G$22&gt;A581)*(Calc!$G$3:$G$22-A581))</f>
        <v/>
      </c>
      <c r="H581">
        <f>SUMPRODUCT(Calc!$K$3:$K$22*(Calc!$G$3:$G$22&gt;B581)*(Calc!$G$3:$G$22-B581))</f>
        <v/>
      </c>
      <c r="I581">
        <f>SUMPRODUCT(Calc!$K$3:$K$22*(Calc!$G$3:$G$22&gt;A581)*(Calc!$G$3:$G$22-A581)^2)</f>
        <v/>
      </c>
      <c r="J581">
        <f>SUMPRODUCT(Calc!$K$3:$K$22*(Calc!$G$3:$G$22&gt;B581)*(Calc!$G$3:$G$22-B581)^2)</f>
        <v/>
      </c>
      <c r="K581">
        <f>SUMPRODUCT(Calc!$K$3:$K$22*(Calc!$G$3:$G$22&gt;A581)*(Calc!$G$3:$G$22-A581)*(Calc!$G$3:$G$22&gt;B581)*(Calc!$G$3:$G$22-B581))</f>
        <v/>
      </c>
      <c r="L581">
        <f>SUMPRODUCT(Calc!$K$3:$K$22*(Calc!$G$3:$G$22&gt;A581)*(Calc!$G$3:$G$22-A581)*Calc!$G$3:$G$22)</f>
        <v/>
      </c>
      <c r="M581">
        <f>SUMPRODUCT(Calc!$K$3:$K$22*(Calc!$G$3:$G$22&gt;B581)*(Calc!$G$3:$G$22-B581)*Calc!$G$3:$G$22)</f>
        <v/>
      </c>
      <c r="N581">
        <f>SUMPRODUCT(Calc!$K$3:$K$22*(Calc!$G$3:$G$22&gt;A581)*(Calc!$G$3:$G$22-A581)*Calc!$I$3:$I$22)</f>
        <v/>
      </c>
      <c r="O581">
        <f>SUMPRODUCT(Calc!$K$3:$K$22*(Calc!$G$3:$G$22&gt;B581)*(Calc!$G$3:$G$22-B581)*Calc!$I$3:$I$22)</f>
        <v/>
      </c>
      <c r="P581">
        <f>I581-G581^2/k_n</f>
        <v/>
      </c>
      <c r="Q581">
        <f>J581-H581^2/k_n</f>
        <v/>
      </c>
      <c r="R581">
        <f>K581-G581*H581/k_n</f>
        <v/>
      </c>
      <c r="S581">
        <f>L581-LTP3!$D$3*G581/k_n</f>
        <v/>
      </c>
      <c r="T581">
        <f>M581-LTP3!$D$3*H581/k_n</f>
        <v/>
      </c>
      <c r="U581">
        <f>N581-G581*LTP3!$D$4/k_n</f>
        <v/>
      </c>
      <c r="V581">
        <f>O581-H581*LTP3!$D$4/k_n</f>
        <v/>
      </c>
      <c r="W581">
        <f>((LTP3!$D$5)*((P581)*(Q581)-(R581)*(R581))-(S581)*((S581)*(Q581)-(R581)*(T581))+(T581)*((S581)*(R581)-(P581)*(T581)))</f>
        <v/>
      </c>
      <c r="X581">
        <f>IF(ABS(W581)&gt;1E-12,((LTP3!$D$6)*((P581)*(Q581)-(R581)*(R581))-(S581)*((U581)*(Q581)-(R581)*(V581))+(T581)*((U581)*(R581)-(P581)*(V581)))/W581,0)</f>
        <v/>
      </c>
      <c r="Y581">
        <f>IF(ABS(W581)&gt;1E-12,((LTP3!$D$5)*((U581)*(Q581)-(R581)*(V581))-(LTP3!$D$6)*((S581)*(Q581)-(R581)*(T581))+(T581)*((S581)*(V581)-(U581)*(T581)))/W581,0)</f>
        <v/>
      </c>
      <c r="Z581">
        <f>IF(ABS(W581)&gt;1E-12,((LTP3!$D$5)*((P581)*(V581)-(U581)*(R581))-(S581)*((S581)*(V581)-(U581)*(T581))+(LTP3!$D$6)*((S581)*(R581)-(P581)*(T581)))/W581,0)</f>
        <v/>
      </c>
      <c r="AA581">
        <f>LTP3!$D$7-X581*LTP3!$D$6-Y581*U581-Z581*V581</f>
        <v/>
      </c>
      <c r="AB581">
        <f>IF(AND(F581,ABS(W581)&gt;1E-12,Y581&gt;0,Z581&gt;0),AA581,1E+300)</f>
        <v/>
      </c>
    </row>
    <row r="582">
      <c r="A582">
        <f>$B$3+$B$5*9</f>
        <v/>
      </c>
      <c r="B582">
        <f>$B$3+$B$5*21</f>
        <v/>
      </c>
      <c r="C582">
        <f>SUMPRODUCT(Calc!$K$3:$K$22*(Calc!$G$3:$G$22&lt;=A582))</f>
        <v/>
      </c>
      <c r="D582">
        <f>SUMPRODUCT(Calc!$K$3:$K$22*(Calc!$G$3:$G$22&gt;A582)*(Calc!$G$3:$G$22&lt;B582))</f>
        <v/>
      </c>
      <c r="E582">
        <f>SUMPRODUCT(Calc!$K$3:$K$22*(Calc!$G$3:$G$22&gt;=B582))</f>
        <v/>
      </c>
      <c r="F582">
        <f>AND(k_n&gt;=5,B582&gt;A582+1E-9,C582&gt;=2,D582&gt;=1,E582&gt;=2)</f>
        <v/>
      </c>
      <c r="G582">
        <f>SUMPRODUCT(Calc!$K$3:$K$22*(Calc!$G$3:$G$22&gt;A582)*(Calc!$G$3:$G$22-A582))</f>
        <v/>
      </c>
      <c r="H582">
        <f>SUMPRODUCT(Calc!$K$3:$K$22*(Calc!$G$3:$G$22&gt;B582)*(Calc!$G$3:$G$22-B582))</f>
        <v/>
      </c>
      <c r="I582">
        <f>SUMPRODUCT(Calc!$K$3:$K$22*(Calc!$G$3:$G$22&gt;A582)*(Calc!$G$3:$G$22-A582)^2)</f>
        <v/>
      </c>
      <c r="J582">
        <f>SUMPRODUCT(Calc!$K$3:$K$22*(Calc!$G$3:$G$22&gt;B582)*(Calc!$G$3:$G$22-B582)^2)</f>
        <v/>
      </c>
      <c r="K582">
        <f>SUMPRODUCT(Calc!$K$3:$K$22*(Calc!$G$3:$G$22&gt;A582)*(Calc!$G$3:$G$22-A582)*(Calc!$G$3:$G$22&gt;B582)*(Calc!$G$3:$G$22-B582))</f>
        <v/>
      </c>
      <c r="L582">
        <f>SUMPRODUCT(Calc!$K$3:$K$22*(Calc!$G$3:$G$22&gt;A582)*(Calc!$G$3:$G$22-A582)*Calc!$G$3:$G$22)</f>
        <v/>
      </c>
      <c r="M582">
        <f>SUMPRODUCT(Calc!$K$3:$K$22*(Calc!$G$3:$G$22&gt;B582)*(Calc!$G$3:$G$22-B582)*Calc!$G$3:$G$22)</f>
        <v/>
      </c>
      <c r="N582">
        <f>SUMPRODUCT(Calc!$K$3:$K$22*(Calc!$G$3:$G$22&gt;A582)*(Calc!$G$3:$G$22-A582)*Calc!$I$3:$I$22)</f>
        <v/>
      </c>
      <c r="O582">
        <f>SUMPRODUCT(Calc!$K$3:$K$22*(Calc!$G$3:$G$22&gt;B582)*(Calc!$G$3:$G$22-B582)*Calc!$I$3:$I$22)</f>
        <v/>
      </c>
      <c r="P582">
        <f>I582-G582^2/k_n</f>
        <v/>
      </c>
      <c r="Q582">
        <f>J582-H582^2/k_n</f>
        <v/>
      </c>
      <c r="R582">
        <f>K582-G582*H582/k_n</f>
        <v/>
      </c>
      <c r="S582">
        <f>L582-LTP3!$D$3*G582/k_n</f>
        <v/>
      </c>
      <c r="T582">
        <f>M582-LTP3!$D$3*H582/k_n</f>
        <v/>
      </c>
      <c r="U582">
        <f>N582-G582*LTP3!$D$4/k_n</f>
        <v/>
      </c>
      <c r="V582">
        <f>O582-H582*LTP3!$D$4/k_n</f>
        <v/>
      </c>
      <c r="W582">
        <f>((LTP3!$D$5)*((P582)*(Q582)-(R582)*(R582))-(S582)*((S582)*(Q582)-(R582)*(T582))+(T582)*((S582)*(R582)-(P582)*(T582)))</f>
        <v/>
      </c>
      <c r="X582">
        <f>IF(ABS(W582)&gt;1E-12,((LTP3!$D$6)*((P582)*(Q582)-(R582)*(R582))-(S582)*((U582)*(Q582)-(R582)*(V582))+(T582)*((U582)*(R582)-(P582)*(V582)))/W582,0)</f>
        <v/>
      </c>
      <c r="Y582">
        <f>IF(ABS(W582)&gt;1E-12,((LTP3!$D$5)*((U582)*(Q582)-(R582)*(V582))-(LTP3!$D$6)*((S582)*(Q582)-(R582)*(T582))+(T582)*((S582)*(V582)-(U582)*(T582)))/W582,0)</f>
        <v/>
      </c>
      <c r="Z582">
        <f>IF(ABS(W582)&gt;1E-12,((LTP3!$D$5)*((P582)*(V582)-(U582)*(R582))-(S582)*((S582)*(V582)-(U582)*(T582))+(LTP3!$D$6)*((S582)*(R582)-(P582)*(T582)))/W582,0)</f>
        <v/>
      </c>
      <c r="AA582">
        <f>LTP3!$D$7-X582*LTP3!$D$6-Y582*U582-Z582*V582</f>
        <v/>
      </c>
      <c r="AB582">
        <f>IF(AND(F582,ABS(W582)&gt;1E-12,Y582&gt;0,Z582&gt;0),AA582,1E+300)</f>
        <v/>
      </c>
    </row>
    <row r="583">
      <c r="A583">
        <f>$B$3+$B$5*9</f>
        <v/>
      </c>
      <c r="B583">
        <f>$B$3+$B$5*22</f>
        <v/>
      </c>
      <c r="C583">
        <f>SUMPRODUCT(Calc!$K$3:$K$22*(Calc!$G$3:$G$22&lt;=A583))</f>
        <v/>
      </c>
      <c r="D583">
        <f>SUMPRODUCT(Calc!$K$3:$K$22*(Calc!$G$3:$G$22&gt;A583)*(Calc!$G$3:$G$22&lt;B583))</f>
        <v/>
      </c>
      <c r="E583">
        <f>SUMPRODUCT(Calc!$K$3:$K$22*(Calc!$G$3:$G$22&gt;=B583))</f>
        <v/>
      </c>
      <c r="F583">
        <f>AND(k_n&gt;=5,B583&gt;A583+1E-9,C583&gt;=2,D583&gt;=1,E583&gt;=2)</f>
        <v/>
      </c>
      <c r="G583">
        <f>SUMPRODUCT(Calc!$K$3:$K$22*(Calc!$G$3:$G$22&gt;A583)*(Calc!$G$3:$G$22-A583))</f>
        <v/>
      </c>
      <c r="H583">
        <f>SUMPRODUCT(Calc!$K$3:$K$22*(Calc!$G$3:$G$22&gt;B583)*(Calc!$G$3:$G$22-B583))</f>
        <v/>
      </c>
      <c r="I583">
        <f>SUMPRODUCT(Calc!$K$3:$K$22*(Calc!$G$3:$G$22&gt;A583)*(Calc!$G$3:$G$22-A583)^2)</f>
        <v/>
      </c>
      <c r="J583">
        <f>SUMPRODUCT(Calc!$K$3:$K$22*(Calc!$G$3:$G$22&gt;B583)*(Calc!$G$3:$G$22-B583)^2)</f>
        <v/>
      </c>
      <c r="K583">
        <f>SUMPRODUCT(Calc!$K$3:$K$22*(Calc!$G$3:$G$22&gt;A583)*(Calc!$G$3:$G$22-A583)*(Calc!$G$3:$G$22&gt;B583)*(Calc!$G$3:$G$22-B583))</f>
        <v/>
      </c>
      <c r="L583">
        <f>SUMPRODUCT(Calc!$K$3:$K$22*(Calc!$G$3:$G$22&gt;A583)*(Calc!$G$3:$G$22-A583)*Calc!$G$3:$G$22)</f>
        <v/>
      </c>
      <c r="M583">
        <f>SUMPRODUCT(Calc!$K$3:$K$22*(Calc!$G$3:$G$22&gt;B583)*(Calc!$G$3:$G$22-B583)*Calc!$G$3:$G$22)</f>
        <v/>
      </c>
      <c r="N583">
        <f>SUMPRODUCT(Calc!$K$3:$K$22*(Calc!$G$3:$G$22&gt;A583)*(Calc!$G$3:$G$22-A583)*Calc!$I$3:$I$22)</f>
        <v/>
      </c>
      <c r="O583">
        <f>SUMPRODUCT(Calc!$K$3:$K$22*(Calc!$G$3:$G$22&gt;B583)*(Calc!$G$3:$G$22-B583)*Calc!$I$3:$I$22)</f>
        <v/>
      </c>
      <c r="P583">
        <f>I583-G583^2/k_n</f>
        <v/>
      </c>
      <c r="Q583">
        <f>J583-H583^2/k_n</f>
        <v/>
      </c>
      <c r="R583">
        <f>K583-G583*H583/k_n</f>
        <v/>
      </c>
      <c r="S583">
        <f>L583-LTP3!$D$3*G583/k_n</f>
        <v/>
      </c>
      <c r="T583">
        <f>M583-LTP3!$D$3*H583/k_n</f>
        <v/>
      </c>
      <c r="U583">
        <f>N583-G583*LTP3!$D$4/k_n</f>
        <v/>
      </c>
      <c r="V583">
        <f>O583-H583*LTP3!$D$4/k_n</f>
        <v/>
      </c>
      <c r="W583">
        <f>((LTP3!$D$5)*((P583)*(Q583)-(R583)*(R583))-(S583)*((S583)*(Q583)-(R583)*(T583))+(T583)*((S583)*(R583)-(P583)*(T583)))</f>
        <v/>
      </c>
      <c r="X583">
        <f>IF(ABS(W583)&gt;1E-12,((LTP3!$D$6)*((P583)*(Q583)-(R583)*(R583))-(S583)*((U583)*(Q583)-(R583)*(V583))+(T583)*((U583)*(R583)-(P583)*(V583)))/W583,0)</f>
        <v/>
      </c>
      <c r="Y583">
        <f>IF(ABS(W583)&gt;1E-12,((LTP3!$D$5)*((U583)*(Q583)-(R583)*(V583))-(LTP3!$D$6)*((S583)*(Q583)-(R583)*(T583))+(T583)*((S583)*(V583)-(U583)*(T583)))/W583,0)</f>
        <v/>
      </c>
      <c r="Z583">
        <f>IF(ABS(W583)&gt;1E-12,((LTP3!$D$5)*((P583)*(V583)-(U583)*(R583))-(S583)*((S583)*(V583)-(U583)*(T583))+(LTP3!$D$6)*((S583)*(R583)-(P583)*(T583)))/W583,0)</f>
        <v/>
      </c>
      <c r="AA583">
        <f>LTP3!$D$7-X583*LTP3!$D$6-Y583*U583-Z583*V583</f>
        <v/>
      </c>
      <c r="AB583">
        <f>IF(AND(F583,ABS(W583)&gt;1E-12,Y583&gt;0,Z583&gt;0),AA583,1E+300)</f>
        <v/>
      </c>
    </row>
    <row r="584">
      <c r="A584">
        <f>$B$3+$B$5*9</f>
        <v/>
      </c>
      <c r="B584">
        <f>$B$3+$B$5*23</f>
        <v/>
      </c>
      <c r="C584">
        <f>SUMPRODUCT(Calc!$K$3:$K$22*(Calc!$G$3:$G$22&lt;=A584))</f>
        <v/>
      </c>
      <c r="D584">
        <f>SUMPRODUCT(Calc!$K$3:$K$22*(Calc!$G$3:$G$22&gt;A584)*(Calc!$G$3:$G$22&lt;B584))</f>
        <v/>
      </c>
      <c r="E584">
        <f>SUMPRODUCT(Calc!$K$3:$K$22*(Calc!$G$3:$G$22&gt;=B584))</f>
        <v/>
      </c>
      <c r="F584">
        <f>AND(k_n&gt;=5,B584&gt;A584+1E-9,C584&gt;=2,D584&gt;=1,E584&gt;=2)</f>
        <v/>
      </c>
      <c r="G584">
        <f>SUMPRODUCT(Calc!$K$3:$K$22*(Calc!$G$3:$G$22&gt;A584)*(Calc!$G$3:$G$22-A584))</f>
        <v/>
      </c>
      <c r="H584">
        <f>SUMPRODUCT(Calc!$K$3:$K$22*(Calc!$G$3:$G$22&gt;B584)*(Calc!$G$3:$G$22-B584))</f>
        <v/>
      </c>
      <c r="I584">
        <f>SUMPRODUCT(Calc!$K$3:$K$22*(Calc!$G$3:$G$22&gt;A584)*(Calc!$G$3:$G$22-A584)^2)</f>
        <v/>
      </c>
      <c r="J584">
        <f>SUMPRODUCT(Calc!$K$3:$K$22*(Calc!$G$3:$G$22&gt;B584)*(Calc!$G$3:$G$22-B584)^2)</f>
        <v/>
      </c>
      <c r="K584">
        <f>SUMPRODUCT(Calc!$K$3:$K$22*(Calc!$G$3:$G$22&gt;A584)*(Calc!$G$3:$G$22-A584)*(Calc!$G$3:$G$22&gt;B584)*(Calc!$G$3:$G$22-B584))</f>
        <v/>
      </c>
      <c r="L584">
        <f>SUMPRODUCT(Calc!$K$3:$K$22*(Calc!$G$3:$G$22&gt;A584)*(Calc!$G$3:$G$22-A584)*Calc!$G$3:$G$22)</f>
        <v/>
      </c>
      <c r="M584">
        <f>SUMPRODUCT(Calc!$K$3:$K$22*(Calc!$G$3:$G$22&gt;B584)*(Calc!$G$3:$G$22-B584)*Calc!$G$3:$G$22)</f>
        <v/>
      </c>
      <c r="N584">
        <f>SUMPRODUCT(Calc!$K$3:$K$22*(Calc!$G$3:$G$22&gt;A584)*(Calc!$G$3:$G$22-A584)*Calc!$I$3:$I$22)</f>
        <v/>
      </c>
      <c r="O584">
        <f>SUMPRODUCT(Calc!$K$3:$K$22*(Calc!$G$3:$G$22&gt;B584)*(Calc!$G$3:$G$22-B584)*Calc!$I$3:$I$22)</f>
        <v/>
      </c>
      <c r="P584">
        <f>I584-G584^2/k_n</f>
        <v/>
      </c>
      <c r="Q584">
        <f>J584-H584^2/k_n</f>
        <v/>
      </c>
      <c r="R584">
        <f>K584-G584*H584/k_n</f>
        <v/>
      </c>
      <c r="S584">
        <f>L584-LTP3!$D$3*G584/k_n</f>
        <v/>
      </c>
      <c r="T584">
        <f>M584-LTP3!$D$3*H584/k_n</f>
        <v/>
      </c>
      <c r="U584">
        <f>N584-G584*LTP3!$D$4/k_n</f>
        <v/>
      </c>
      <c r="V584">
        <f>O584-H584*LTP3!$D$4/k_n</f>
        <v/>
      </c>
      <c r="W584">
        <f>((LTP3!$D$5)*((P584)*(Q584)-(R584)*(R584))-(S584)*((S584)*(Q584)-(R584)*(T584))+(T584)*((S584)*(R584)-(P584)*(T584)))</f>
        <v/>
      </c>
      <c r="X584">
        <f>IF(ABS(W584)&gt;1E-12,((LTP3!$D$6)*((P584)*(Q584)-(R584)*(R584))-(S584)*((U584)*(Q584)-(R584)*(V584))+(T584)*((U584)*(R584)-(P584)*(V584)))/W584,0)</f>
        <v/>
      </c>
      <c r="Y584">
        <f>IF(ABS(W584)&gt;1E-12,((LTP3!$D$5)*((U584)*(Q584)-(R584)*(V584))-(LTP3!$D$6)*((S584)*(Q584)-(R584)*(T584))+(T584)*((S584)*(V584)-(U584)*(T584)))/W584,0)</f>
        <v/>
      </c>
      <c r="Z584">
        <f>IF(ABS(W584)&gt;1E-12,((LTP3!$D$5)*((P584)*(V584)-(U584)*(R584))-(S584)*((S584)*(V584)-(U584)*(T584))+(LTP3!$D$6)*((S584)*(R584)-(P584)*(T584)))/W584,0)</f>
        <v/>
      </c>
      <c r="AA584">
        <f>LTP3!$D$7-X584*LTP3!$D$6-Y584*U584-Z584*V584</f>
        <v/>
      </c>
      <c r="AB584">
        <f>IF(AND(F584,ABS(W584)&gt;1E-12,Y584&gt;0,Z584&gt;0),AA584,1E+300)</f>
        <v/>
      </c>
    </row>
    <row r="585">
      <c r="A585">
        <f>$B$3+$B$5*9</f>
        <v/>
      </c>
      <c r="B585">
        <f>$B$3+$B$5*24</f>
        <v/>
      </c>
      <c r="C585">
        <f>SUMPRODUCT(Calc!$K$3:$K$22*(Calc!$G$3:$G$22&lt;=A585))</f>
        <v/>
      </c>
      <c r="D585">
        <f>SUMPRODUCT(Calc!$K$3:$K$22*(Calc!$G$3:$G$22&gt;A585)*(Calc!$G$3:$G$22&lt;B585))</f>
        <v/>
      </c>
      <c r="E585">
        <f>SUMPRODUCT(Calc!$K$3:$K$22*(Calc!$G$3:$G$22&gt;=B585))</f>
        <v/>
      </c>
      <c r="F585">
        <f>AND(k_n&gt;=5,B585&gt;A585+1E-9,C585&gt;=2,D585&gt;=1,E585&gt;=2)</f>
        <v/>
      </c>
      <c r="G585">
        <f>SUMPRODUCT(Calc!$K$3:$K$22*(Calc!$G$3:$G$22&gt;A585)*(Calc!$G$3:$G$22-A585))</f>
        <v/>
      </c>
      <c r="H585">
        <f>SUMPRODUCT(Calc!$K$3:$K$22*(Calc!$G$3:$G$22&gt;B585)*(Calc!$G$3:$G$22-B585))</f>
        <v/>
      </c>
      <c r="I585">
        <f>SUMPRODUCT(Calc!$K$3:$K$22*(Calc!$G$3:$G$22&gt;A585)*(Calc!$G$3:$G$22-A585)^2)</f>
        <v/>
      </c>
      <c r="J585">
        <f>SUMPRODUCT(Calc!$K$3:$K$22*(Calc!$G$3:$G$22&gt;B585)*(Calc!$G$3:$G$22-B585)^2)</f>
        <v/>
      </c>
      <c r="K585">
        <f>SUMPRODUCT(Calc!$K$3:$K$22*(Calc!$G$3:$G$22&gt;A585)*(Calc!$G$3:$G$22-A585)*(Calc!$G$3:$G$22&gt;B585)*(Calc!$G$3:$G$22-B585))</f>
        <v/>
      </c>
      <c r="L585">
        <f>SUMPRODUCT(Calc!$K$3:$K$22*(Calc!$G$3:$G$22&gt;A585)*(Calc!$G$3:$G$22-A585)*Calc!$G$3:$G$22)</f>
        <v/>
      </c>
      <c r="M585">
        <f>SUMPRODUCT(Calc!$K$3:$K$22*(Calc!$G$3:$G$22&gt;B585)*(Calc!$G$3:$G$22-B585)*Calc!$G$3:$G$22)</f>
        <v/>
      </c>
      <c r="N585">
        <f>SUMPRODUCT(Calc!$K$3:$K$22*(Calc!$G$3:$G$22&gt;A585)*(Calc!$G$3:$G$22-A585)*Calc!$I$3:$I$22)</f>
        <v/>
      </c>
      <c r="O585">
        <f>SUMPRODUCT(Calc!$K$3:$K$22*(Calc!$G$3:$G$22&gt;B585)*(Calc!$G$3:$G$22-B585)*Calc!$I$3:$I$22)</f>
        <v/>
      </c>
      <c r="P585">
        <f>I585-G585^2/k_n</f>
        <v/>
      </c>
      <c r="Q585">
        <f>J585-H585^2/k_n</f>
        <v/>
      </c>
      <c r="R585">
        <f>K585-G585*H585/k_n</f>
        <v/>
      </c>
      <c r="S585">
        <f>L585-LTP3!$D$3*G585/k_n</f>
        <v/>
      </c>
      <c r="T585">
        <f>M585-LTP3!$D$3*H585/k_n</f>
        <v/>
      </c>
      <c r="U585">
        <f>N585-G585*LTP3!$D$4/k_n</f>
        <v/>
      </c>
      <c r="V585">
        <f>O585-H585*LTP3!$D$4/k_n</f>
        <v/>
      </c>
      <c r="W585">
        <f>((LTP3!$D$5)*((P585)*(Q585)-(R585)*(R585))-(S585)*((S585)*(Q585)-(R585)*(T585))+(T585)*((S585)*(R585)-(P585)*(T585)))</f>
        <v/>
      </c>
      <c r="X585">
        <f>IF(ABS(W585)&gt;1E-12,((LTP3!$D$6)*((P585)*(Q585)-(R585)*(R585))-(S585)*((U585)*(Q585)-(R585)*(V585))+(T585)*((U585)*(R585)-(P585)*(V585)))/W585,0)</f>
        <v/>
      </c>
      <c r="Y585">
        <f>IF(ABS(W585)&gt;1E-12,((LTP3!$D$5)*((U585)*(Q585)-(R585)*(V585))-(LTP3!$D$6)*((S585)*(Q585)-(R585)*(T585))+(T585)*((S585)*(V585)-(U585)*(T585)))/W585,0)</f>
        <v/>
      </c>
      <c r="Z585">
        <f>IF(ABS(W585)&gt;1E-12,((LTP3!$D$5)*((P585)*(V585)-(U585)*(R585))-(S585)*((S585)*(V585)-(U585)*(T585))+(LTP3!$D$6)*((S585)*(R585)-(P585)*(T585)))/W585,0)</f>
        <v/>
      </c>
      <c r="AA585">
        <f>LTP3!$D$7-X585*LTP3!$D$6-Y585*U585-Z585*V585</f>
        <v/>
      </c>
      <c r="AB585">
        <f>IF(AND(F585,ABS(W585)&gt;1E-12,Y585&gt;0,Z585&gt;0),AA585,1E+300)</f>
        <v/>
      </c>
    </row>
    <row r="586">
      <c r="A586">
        <f>$B$3+$B$5*9</f>
        <v/>
      </c>
      <c r="B586">
        <f>$B$3+$B$5*25</f>
        <v/>
      </c>
      <c r="C586">
        <f>SUMPRODUCT(Calc!$K$3:$K$22*(Calc!$G$3:$G$22&lt;=A586))</f>
        <v/>
      </c>
      <c r="D586">
        <f>SUMPRODUCT(Calc!$K$3:$K$22*(Calc!$G$3:$G$22&gt;A586)*(Calc!$G$3:$G$22&lt;B586))</f>
        <v/>
      </c>
      <c r="E586">
        <f>SUMPRODUCT(Calc!$K$3:$K$22*(Calc!$G$3:$G$22&gt;=B586))</f>
        <v/>
      </c>
      <c r="F586">
        <f>AND(k_n&gt;=5,B586&gt;A586+1E-9,C586&gt;=2,D586&gt;=1,E586&gt;=2)</f>
        <v/>
      </c>
      <c r="G586">
        <f>SUMPRODUCT(Calc!$K$3:$K$22*(Calc!$G$3:$G$22&gt;A586)*(Calc!$G$3:$G$22-A586))</f>
        <v/>
      </c>
      <c r="H586">
        <f>SUMPRODUCT(Calc!$K$3:$K$22*(Calc!$G$3:$G$22&gt;B586)*(Calc!$G$3:$G$22-B586))</f>
        <v/>
      </c>
      <c r="I586">
        <f>SUMPRODUCT(Calc!$K$3:$K$22*(Calc!$G$3:$G$22&gt;A586)*(Calc!$G$3:$G$22-A586)^2)</f>
        <v/>
      </c>
      <c r="J586">
        <f>SUMPRODUCT(Calc!$K$3:$K$22*(Calc!$G$3:$G$22&gt;B586)*(Calc!$G$3:$G$22-B586)^2)</f>
        <v/>
      </c>
      <c r="K586">
        <f>SUMPRODUCT(Calc!$K$3:$K$22*(Calc!$G$3:$G$22&gt;A586)*(Calc!$G$3:$G$22-A586)*(Calc!$G$3:$G$22&gt;B586)*(Calc!$G$3:$G$22-B586))</f>
        <v/>
      </c>
      <c r="L586">
        <f>SUMPRODUCT(Calc!$K$3:$K$22*(Calc!$G$3:$G$22&gt;A586)*(Calc!$G$3:$G$22-A586)*Calc!$G$3:$G$22)</f>
        <v/>
      </c>
      <c r="M586">
        <f>SUMPRODUCT(Calc!$K$3:$K$22*(Calc!$G$3:$G$22&gt;B586)*(Calc!$G$3:$G$22-B586)*Calc!$G$3:$G$22)</f>
        <v/>
      </c>
      <c r="N586">
        <f>SUMPRODUCT(Calc!$K$3:$K$22*(Calc!$G$3:$G$22&gt;A586)*(Calc!$G$3:$G$22-A586)*Calc!$I$3:$I$22)</f>
        <v/>
      </c>
      <c r="O586">
        <f>SUMPRODUCT(Calc!$K$3:$K$22*(Calc!$G$3:$G$22&gt;B586)*(Calc!$G$3:$G$22-B586)*Calc!$I$3:$I$22)</f>
        <v/>
      </c>
      <c r="P586">
        <f>I586-G586^2/k_n</f>
        <v/>
      </c>
      <c r="Q586">
        <f>J586-H586^2/k_n</f>
        <v/>
      </c>
      <c r="R586">
        <f>K586-G586*H586/k_n</f>
        <v/>
      </c>
      <c r="S586">
        <f>L586-LTP3!$D$3*G586/k_n</f>
        <v/>
      </c>
      <c r="T586">
        <f>M586-LTP3!$D$3*H586/k_n</f>
        <v/>
      </c>
      <c r="U586">
        <f>N586-G586*LTP3!$D$4/k_n</f>
        <v/>
      </c>
      <c r="V586">
        <f>O586-H586*LTP3!$D$4/k_n</f>
        <v/>
      </c>
      <c r="W586">
        <f>((LTP3!$D$5)*((P586)*(Q586)-(R586)*(R586))-(S586)*((S586)*(Q586)-(R586)*(T586))+(T586)*((S586)*(R586)-(P586)*(T586)))</f>
        <v/>
      </c>
      <c r="X586">
        <f>IF(ABS(W586)&gt;1E-12,((LTP3!$D$6)*((P586)*(Q586)-(R586)*(R586))-(S586)*((U586)*(Q586)-(R586)*(V586))+(T586)*((U586)*(R586)-(P586)*(V586)))/W586,0)</f>
        <v/>
      </c>
      <c r="Y586">
        <f>IF(ABS(W586)&gt;1E-12,((LTP3!$D$5)*((U586)*(Q586)-(R586)*(V586))-(LTP3!$D$6)*((S586)*(Q586)-(R586)*(T586))+(T586)*((S586)*(V586)-(U586)*(T586)))/W586,0)</f>
        <v/>
      </c>
      <c r="Z586">
        <f>IF(ABS(W586)&gt;1E-12,((LTP3!$D$5)*((P586)*(V586)-(U586)*(R586))-(S586)*((S586)*(V586)-(U586)*(T586))+(LTP3!$D$6)*((S586)*(R586)-(P586)*(T586)))/W586,0)</f>
        <v/>
      </c>
      <c r="AA586">
        <f>LTP3!$D$7-X586*LTP3!$D$6-Y586*U586-Z586*V586</f>
        <v/>
      </c>
      <c r="AB586">
        <f>IF(AND(F586,ABS(W586)&gt;1E-12,Y586&gt;0,Z586&gt;0),AA586,1E+300)</f>
        <v/>
      </c>
    </row>
    <row r="587">
      <c r="A587">
        <f>$B$3+$B$5*9</f>
        <v/>
      </c>
      <c r="B587">
        <f>$B$3+$B$5*26</f>
        <v/>
      </c>
      <c r="C587">
        <f>SUMPRODUCT(Calc!$K$3:$K$22*(Calc!$G$3:$G$22&lt;=A587))</f>
        <v/>
      </c>
      <c r="D587">
        <f>SUMPRODUCT(Calc!$K$3:$K$22*(Calc!$G$3:$G$22&gt;A587)*(Calc!$G$3:$G$22&lt;B587))</f>
        <v/>
      </c>
      <c r="E587">
        <f>SUMPRODUCT(Calc!$K$3:$K$22*(Calc!$G$3:$G$22&gt;=B587))</f>
        <v/>
      </c>
      <c r="F587">
        <f>AND(k_n&gt;=5,B587&gt;A587+1E-9,C587&gt;=2,D587&gt;=1,E587&gt;=2)</f>
        <v/>
      </c>
      <c r="G587">
        <f>SUMPRODUCT(Calc!$K$3:$K$22*(Calc!$G$3:$G$22&gt;A587)*(Calc!$G$3:$G$22-A587))</f>
        <v/>
      </c>
      <c r="H587">
        <f>SUMPRODUCT(Calc!$K$3:$K$22*(Calc!$G$3:$G$22&gt;B587)*(Calc!$G$3:$G$22-B587))</f>
        <v/>
      </c>
      <c r="I587">
        <f>SUMPRODUCT(Calc!$K$3:$K$22*(Calc!$G$3:$G$22&gt;A587)*(Calc!$G$3:$G$22-A587)^2)</f>
        <v/>
      </c>
      <c r="J587">
        <f>SUMPRODUCT(Calc!$K$3:$K$22*(Calc!$G$3:$G$22&gt;B587)*(Calc!$G$3:$G$22-B587)^2)</f>
        <v/>
      </c>
      <c r="K587">
        <f>SUMPRODUCT(Calc!$K$3:$K$22*(Calc!$G$3:$G$22&gt;A587)*(Calc!$G$3:$G$22-A587)*(Calc!$G$3:$G$22&gt;B587)*(Calc!$G$3:$G$22-B587))</f>
        <v/>
      </c>
      <c r="L587">
        <f>SUMPRODUCT(Calc!$K$3:$K$22*(Calc!$G$3:$G$22&gt;A587)*(Calc!$G$3:$G$22-A587)*Calc!$G$3:$G$22)</f>
        <v/>
      </c>
      <c r="M587">
        <f>SUMPRODUCT(Calc!$K$3:$K$22*(Calc!$G$3:$G$22&gt;B587)*(Calc!$G$3:$G$22-B587)*Calc!$G$3:$G$22)</f>
        <v/>
      </c>
      <c r="N587">
        <f>SUMPRODUCT(Calc!$K$3:$K$22*(Calc!$G$3:$G$22&gt;A587)*(Calc!$G$3:$G$22-A587)*Calc!$I$3:$I$22)</f>
        <v/>
      </c>
      <c r="O587">
        <f>SUMPRODUCT(Calc!$K$3:$K$22*(Calc!$G$3:$G$22&gt;B587)*(Calc!$G$3:$G$22-B587)*Calc!$I$3:$I$22)</f>
        <v/>
      </c>
      <c r="P587">
        <f>I587-G587^2/k_n</f>
        <v/>
      </c>
      <c r="Q587">
        <f>J587-H587^2/k_n</f>
        <v/>
      </c>
      <c r="R587">
        <f>K587-G587*H587/k_n</f>
        <v/>
      </c>
      <c r="S587">
        <f>L587-LTP3!$D$3*G587/k_n</f>
        <v/>
      </c>
      <c r="T587">
        <f>M587-LTP3!$D$3*H587/k_n</f>
        <v/>
      </c>
      <c r="U587">
        <f>N587-G587*LTP3!$D$4/k_n</f>
        <v/>
      </c>
      <c r="V587">
        <f>O587-H587*LTP3!$D$4/k_n</f>
        <v/>
      </c>
      <c r="W587">
        <f>((LTP3!$D$5)*((P587)*(Q587)-(R587)*(R587))-(S587)*((S587)*(Q587)-(R587)*(T587))+(T587)*((S587)*(R587)-(P587)*(T587)))</f>
        <v/>
      </c>
      <c r="X587">
        <f>IF(ABS(W587)&gt;1E-12,((LTP3!$D$6)*((P587)*(Q587)-(R587)*(R587))-(S587)*((U587)*(Q587)-(R587)*(V587))+(T587)*((U587)*(R587)-(P587)*(V587)))/W587,0)</f>
        <v/>
      </c>
      <c r="Y587">
        <f>IF(ABS(W587)&gt;1E-12,((LTP3!$D$5)*((U587)*(Q587)-(R587)*(V587))-(LTP3!$D$6)*((S587)*(Q587)-(R587)*(T587))+(T587)*((S587)*(V587)-(U587)*(T587)))/W587,0)</f>
        <v/>
      </c>
      <c r="Z587">
        <f>IF(ABS(W587)&gt;1E-12,((LTP3!$D$5)*((P587)*(V587)-(U587)*(R587))-(S587)*((S587)*(V587)-(U587)*(T587))+(LTP3!$D$6)*((S587)*(R587)-(P587)*(T587)))/W587,0)</f>
        <v/>
      </c>
      <c r="AA587">
        <f>LTP3!$D$7-X587*LTP3!$D$6-Y587*U587-Z587*V587</f>
        <v/>
      </c>
      <c r="AB587">
        <f>IF(AND(F587,ABS(W587)&gt;1E-12,Y587&gt;0,Z587&gt;0),AA587,1E+300)</f>
        <v/>
      </c>
    </row>
    <row r="588">
      <c r="A588">
        <f>$B$3+$B$5*9</f>
        <v/>
      </c>
      <c r="B588">
        <f>$B$3+$B$5*27</f>
        <v/>
      </c>
      <c r="C588">
        <f>SUMPRODUCT(Calc!$K$3:$K$22*(Calc!$G$3:$G$22&lt;=A588))</f>
        <v/>
      </c>
      <c r="D588">
        <f>SUMPRODUCT(Calc!$K$3:$K$22*(Calc!$G$3:$G$22&gt;A588)*(Calc!$G$3:$G$22&lt;B588))</f>
        <v/>
      </c>
      <c r="E588">
        <f>SUMPRODUCT(Calc!$K$3:$K$22*(Calc!$G$3:$G$22&gt;=B588))</f>
        <v/>
      </c>
      <c r="F588">
        <f>AND(k_n&gt;=5,B588&gt;A588+1E-9,C588&gt;=2,D588&gt;=1,E588&gt;=2)</f>
        <v/>
      </c>
      <c r="G588">
        <f>SUMPRODUCT(Calc!$K$3:$K$22*(Calc!$G$3:$G$22&gt;A588)*(Calc!$G$3:$G$22-A588))</f>
        <v/>
      </c>
      <c r="H588">
        <f>SUMPRODUCT(Calc!$K$3:$K$22*(Calc!$G$3:$G$22&gt;B588)*(Calc!$G$3:$G$22-B588))</f>
        <v/>
      </c>
      <c r="I588">
        <f>SUMPRODUCT(Calc!$K$3:$K$22*(Calc!$G$3:$G$22&gt;A588)*(Calc!$G$3:$G$22-A588)^2)</f>
        <v/>
      </c>
      <c r="J588">
        <f>SUMPRODUCT(Calc!$K$3:$K$22*(Calc!$G$3:$G$22&gt;B588)*(Calc!$G$3:$G$22-B588)^2)</f>
        <v/>
      </c>
      <c r="K588">
        <f>SUMPRODUCT(Calc!$K$3:$K$22*(Calc!$G$3:$G$22&gt;A588)*(Calc!$G$3:$G$22-A588)*(Calc!$G$3:$G$22&gt;B588)*(Calc!$G$3:$G$22-B588))</f>
        <v/>
      </c>
      <c r="L588">
        <f>SUMPRODUCT(Calc!$K$3:$K$22*(Calc!$G$3:$G$22&gt;A588)*(Calc!$G$3:$G$22-A588)*Calc!$G$3:$G$22)</f>
        <v/>
      </c>
      <c r="M588">
        <f>SUMPRODUCT(Calc!$K$3:$K$22*(Calc!$G$3:$G$22&gt;B588)*(Calc!$G$3:$G$22-B588)*Calc!$G$3:$G$22)</f>
        <v/>
      </c>
      <c r="N588">
        <f>SUMPRODUCT(Calc!$K$3:$K$22*(Calc!$G$3:$G$22&gt;A588)*(Calc!$G$3:$G$22-A588)*Calc!$I$3:$I$22)</f>
        <v/>
      </c>
      <c r="O588">
        <f>SUMPRODUCT(Calc!$K$3:$K$22*(Calc!$G$3:$G$22&gt;B588)*(Calc!$G$3:$G$22-B588)*Calc!$I$3:$I$22)</f>
        <v/>
      </c>
      <c r="P588">
        <f>I588-G588^2/k_n</f>
        <v/>
      </c>
      <c r="Q588">
        <f>J588-H588^2/k_n</f>
        <v/>
      </c>
      <c r="R588">
        <f>K588-G588*H588/k_n</f>
        <v/>
      </c>
      <c r="S588">
        <f>L588-LTP3!$D$3*G588/k_n</f>
        <v/>
      </c>
      <c r="T588">
        <f>M588-LTP3!$D$3*H588/k_n</f>
        <v/>
      </c>
      <c r="U588">
        <f>N588-G588*LTP3!$D$4/k_n</f>
        <v/>
      </c>
      <c r="V588">
        <f>O588-H588*LTP3!$D$4/k_n</f>
        <v/>
      </c>
      <c r="W588">
        <f>((LTP3!$D$5)*((P588)*(Q588)-(R588)*(R588))-(S588)*((S588)*(Q588)-(R588)*(T588))+(T588)*((S588)*(R588)-(P588)*(T588)))</f>
        <v/>
      </c>
      <c r="X588">
        <f>IF(ABS(W588)&gt;1E-12,((LTP3!$D$6)*((P588)*(Q588)-(R588)*(R588))-(S588)*((U588)*(Q588)-(R588)*(V588))+(T588)*((U588)*(R588)-(P588)*(V588)))/W588,0)</f>
        <v/>
      </c>
      <c r="Y588">
        <f>IF(ABS(W588)&gt;1E-12,((LTP3!$D$5)*((U588)*(Q588)-(R588)*(V588))-(LTP3!$D$6)*((S588)*(Q588)-(R588)*(T588))+(T588)*((S588)*(V588)-(U588)*(T588)))/W588,0)</f>
        <v/>
      </c>
      <c r="Z588">
        <f>IF(ABS(W588)&gt;1E-12,((LTP3!$D$5)*((P588)*(V588)-(U588)*(R588))-(S588)*((S588)*(V588)-(U588)*(T588))+(LTP3!$D$6)*((S588)*(R588)-(P588)*(T588)))/W588,0)</f>
        <v/>
      </c>
      <c r="AA588">
        <f>LTP3!$D$7-X588*LTP3!$D$6-Y588*U588-Z588*V588</f>
        <v/>
      </c>
      <c r="AB588">
        <f>IF(AND(F588,ABS(W588)&gt;1E-12,Y588&gt;0,Z588&gt;0),AA588,1E+300)</f>
        <v/>
      </c>
    </row>
    <row r="589">
      <c r="A589">
        <f>$B$3+$B$5*9</f>
        <v/>
      </c>
      <c r="B589">
        <f>$B$3+$B$5*28</f>
        <v/>
      </c>
      <c r="C589">
        <f>SUMPRODUCT(Calc!$K$3:$K$22*(Calc!$G$3:$G$22&lt;=A589))</f>
        <v/>
      </c>
      <c r="D589">
        <f>SUMPRODUCT(Calc!$K$3:$K$22*(Calc!$G$3:$G$22&gt;A589)*(Calc!$G$3:$G$22&lt;B589))</f>
        <v/>
      </c>
      <c r="E589">
        <f>SUMPRODUCT(Calc!$K$3:$K$22*(Calc!$G$3:$G$22&gt;=B589))</f>
        <v/>
      </c>
      <c r="F589">
        <f>AND(k_n&gt;=5,B589&gt;A589+1E-9,C589&gt;=2,D589&gt;=1,E589&gt;=2)</f>
        <v/>
      </c>
      <c r="G589">
        <f>SUMPRODUCT(Calc!$K$3:$K$22*(Calc!$G$3:$G$22&gt;A589)*(Calc!$G$3:$G$22-A589))</f>
        <v/>
      </c>
      <c r="H589">
        <f>SUMPRODUCT(Calc!$K$3:$K$22*(Calc!$G$3:$G$22&gt;B589)*(Calc!$G$3:$G$22-B589))</f>
        <v/>
      </c>
      <c r="I589">
        <f>SUMPRODUCT(Calc!$K$3:$K$22*(Calc!$G$3:$G$22&gt;A589)*(Calc!$G$3:$G$22-A589)^2)</f>
        <v/>
      </c>
      <c r="J589">
        <f>SUMPRODUCT(Calc!$K$3:$K$22*(Calc!$G$3:$G$22&gt;B589)*(Calc!$G$3:$G$22-B589)^2)</f>
        <v/>
      </c>
      <c r="K589">
        <f>SUMPRODUCT(Calc!$K$3:$K$22*(Calc!$G$3:$G$22&gt;A589)*(Calc!$G$3:$G$22-A589)*(Calc!$G$3:$G$22&gt;B589)*(Calc!$G$3:$G$22-B589))</f>
        <v/>
      </c>
      <c r="L589">
        <f>SUMPRODUCT(Calc!$K$3:$K$22*(Calc!$G$3:$G$22&gt;A589)*(Calc!$G$3:$G$22-A589)*Calc!$G$3:$G$22)</f>
        <v/>
      </c>
      <c r="M589">
        <f>SUMPRODUCT(Calc!$K$3:$K$22*(Calc!$G$3:$G$22&gt;B589)*(Calc!$G$3:$G$22-B589)*Calc!$G$3:$G$22)</f>
        <v/>
      </c>
      <c r="N589">
        <f>SUMPRODUCT(Calc!$K$3:$K$22*(Calc!$G$3:$G$22&gt;A589)*(Calc!$G$3:$G$22-A589)*Calc!$I$3:$I$22)</f>
        <v/>
      </c>
      <c r="O589">
        <f>SUMPRODUCT(Calc!$K$3:$K$22*(Calc!$G$3:$G$22&gt;B589)*(Calc!$G$3:$G$22-B589)*Calc!$I$3:$I$22)</f>
        <v/>
      </c>
      <c r="P589">
        <f>I589-G589^2/k_n</f>
        <v/>
      </c>
      <c r="Q589">
        <f>J589-H589^2/k_n</f>
        <v/>
      </c>
      <c r="R589">
        <f>K589-G589*H589/k_n</f>
        <v/>
      </c>
      <c r="S589">
        <f>L589-LTP3!$D$3*G589/k_n</f>
        <v/>
      </c>
      <c r="T589">
        <f>M589-LTP3!$D$3*H589/k_n</f>
        <v/>
      </c>
      <c r="U589">
        <f>N589-G589*LTP3!$D$4/k_n</f>
        <v/>
      </c>
      <c r="V589">
        <f>O589-H589*LTP3!$D$4/k_n</f>
        <v/>
      </c>
      <c r="W589">
        <f>((LTP3!$D$5)*((P589)*(Q589)-(R589)*(R589))-(S589)*((S589)*(Q589)-(R589)*(T589))+(T589)*((S589)*(R589)-(P589)*(T589)))</f>
        <v/>
      </c>
      <c r="X589">
        <f>IF(ABS(W589)&gt;1E-12,((LTP3!$D$6)*((P589)*(Q589)-(R589)*(R589))-(S589)*((U589)*(Q589)-(R589)*(V589))+(T589)*((U589)*(R589)-(P589)*(V589)))/W589,0)</f>
        <v/>
      </c>
      <c r="Y589">
        <f>IF(ABS(W589)&gt;1E-12,((LTP3!$D$5)*((U589)*(Q589)-(R589)*(V589))-(LTP3!$D$6)*((S589)*(Q589)-(R589)*(T589))+(T589)*((S589)*(V589)-(U589)*(T589)))/W589,0)</f>
        <v/>
      </c>
      <c r="Z589">
        <f>IF(ABS(W589)&gt;1E-12,((LTP3!$D$5)*((P589)*(V589)-(U589)*(R589))-(S589)*((S589)*(V589)-(U589)*(T589))+(LTP3!$D$6)*((S589)*(R589)-(P589)*(T589)))/W589,0)</f>
        <v/>
      </c>
      <c r="AA589">
        <f>LTP3!$D$7-X589*LTP3!$D$6-Y589*U589-Z589*V589</f>
        <v/>
      </c>
      <c r="AB589">
        <f>IF(AND(F589,ABS(W589)&gt;1E-12,Y589&gt;0,Z589&gt;0),AA589,1E+300)</f>
        <v/>
      </c>
    </row>
    <row r="590">
      <c r="A590">
        <f>$B$3+$B$5*9</f>
        <v/>
      </c>
      <c r="B590">
        <f>$B$3+$B$5*29</f>
        <v/>
      </c>
      <c r="C590">
        <f>SUMPRODUCT(Calc!$K$3:$K$22*(Calc!$G$3:$G$22&lt;=A590))</f>
        <v/>
      </c>
      <c r="D590">
        <f>SUMPRODUCT(Calc!$K$3:$K$22*(Calc!$G$3:$G$22&gt;A590)*(Calc!$G$3:$G$22&lt;B590))</f>
        <v/>
      </c>
      <c r="E590">
        <f>SUMPRODUCT(Calc!$K$3:$K$22*(Calc!$G$3:$G$22&gt;=B590))</f>
        <v/>
      </c>
      <c r="F590">
        <f>AND(k_n&gt;=5,B590&gt;A590+1E-9,C590&gt;=2,D590&gt;=1,E590&gt;=2)</f>
        <v/>
      </c>
      <c r="G590">
        <f>SUMPRODUCT(Calc!$K$3:$K$22*(Calc!$G$3:$G$22&gt;A590)*(Calc!$G$3:$G$22-A590))</f>
        <v/>
      </c>
      <c r="H590">
        <f>SUMPRODUCT(Calc!$K$3:$K$22*(Calc!$G$3:$G$22&gt;B590)*(Calc!$G$3:$G$22-B590))</f>
        <v/>
      </c>
      <c r="I590">
        <f>SUMPRODUCT(Calc!$K$3:$K$22*(Calc!$G$3:$G$22&gt;A590)*(Calc!$G$3:$G$22-A590)^2)</f>
        <v/>
      </c>
      <c r="J590">
        <f>SUMPRODUCT(Calc!$K$3:$K$22*(Calc!$G$3:$G$22&gt;B590)*(Calc!$G$3:$G$22-B590)^2)</f>
        <v/>
      </c>
      <c r="K590">
        <f>SUMPRODUCT(Calc!$K$3:$K$22*(Calc!$G$3:$G$22&gt;A590)*(Calc!$G$3:$G$22-A590)*(Calc!$G$3:$G$22&gt;B590)*(Calc!$G$3:$G$22-B590))</f>
        <v/>
      </c>
      <c r="L590">
        <f>SUMPRODUCT(Calc!$K$3:$K$22*(Calc!$G$3:$G$22&gt;A590)*(Calc!$G$3:$G$22-A590)*Calc!$G$3:$G$22)</f>
        <v/>
      </c>
      <c r="M590">
        <f>SUMPRODUCT(Calc!$K$3:$K$22*(Calc!$G$3:$G$22&gt;B590)*(Calc!$G$3:$G$22-B590)*Calc!$G$3:$G$22)</f>
        <v/>
      </c>
      <c r="N590">
        <f>SUMPRODUCT(Calc!$K$3:$K$22*(Calc!$G$3:$G$22&gt;A590)*(Calc!$G$3:$G$22-A590)*Calc!$I$3:$I$22)</f>
        <v/>
      </c>
      <c r="O590">
        <f>SUMPRODUCT(Calc!$K$3:$K$22*(Calc!$G$3:$G$22&gt;B590)*(Calc!$G$3:$G$22-B590)*Calc!$I$3:$I$22)</f>
        <v/>
      </c>
      <c r="P590">
        <f>I590-G590^2/k_n</f>
        <v/>
      </c>
      <c r="Q590">
        <f>J590-H590^2/k_n</f>
        <v/>
      </c>
      <c r="R590">
        <f>K590-G590*H590/k_n</f>
        <v/>
      </c>
      <c r="S590">
        <f>L590-LTP3!$D$3*G590/k_n</f>
        <v/>
      </c>
      <c r="T590">
        <f>M590-LTP3!$D$3*H590/k_n</f>
        <v/>
      </c>
      <c r="U590">
        <f>N590-G590*LTP3!$D$4/k_n</f>
        <v/>
      </c>
      <c r="V590">
        <f>O590-H590*LTP3!$D$4/k_n</f>
        <v/>
      </c>
      <c r="W590">
        <f>((LTP3!$D$5)*((P590)*(Q590)-(R590)*(R590))-(S590)*((S590)*(Q590)-(R590)*(T590))+(T590)*((S590)*(R590)-(P590)*(T590)))</f>
        <v/>
      </c>
      <c r="X590">
        <f>IF(ABS(W590)&gt;1E-12,((LTP3!$D$6)*((P590)*(Q590)-(R590)*(R590))-(S590)*((U590)*(Q590)-(R590)*(V590))+(T590)*((U590)*(R590)-(P590)*(V590)))/W590,0)</f>
        <v/>
      </c>
      <c r="Y590">
        <f>IF(ABS(W590)&gt;1E-12,((LTP3!$D$5)*((U590)*(Q590)-(R590)*(V590))-(LTP3!$D$6)*((S590)*(Q590)-(R590)*(T590))+(T590)*((S590)*(V590)-(U590)*(T590)))/W590,0)</f>
        <v/>
      </c>
      <c r="Z590">
        <f>IF(ABS(W590)&gt;1E-12,((LTP3!$D$5)*((P590)*(V590)-(U590)*(R590))-(S590)*((S590)*(V590)-(U590)*(T590))+(LTP3!$D$6)*((S590)*(R590)-(P590)*(T590)))/W590,0)</f>
        <v/>
      </c>
      <c r="AA590">
        <f>LTP3!$D$7-X590*LTP3!$D$6-Y590*U590-Z590*V590</f>
        <v/>
      </c>
      <c r="AB590">
        <f>IF(AND(F590,ABS(W590)&gt;1E-12,Y590&gt;0,Z590&gt;0),AA590,1E+300)</f>
        <v/>
      </c>
    </row>
    <row r="591">
      <c r="A591">
        <f>$B$3+$B$5*9</f>
        <v/>
      </c>
      <c r="B591">
        <f>$B$3+$B$5*30</f>
        <v/>
      </c>
      <c r="C591">
        <f>SUMPRODUCT(Calc!$K$3:$K$22*(Calc!$G$3:$G$22&lt;=A591))</f>
        <v/>
      </c>
      <c r="D591">
        <f>SUMPRODUCT(Calc!$K$3:$K$22*(Calc!$G$3:$G$22&gt;A591)*(Calc!$G$3:$G$22&lt;B591))</f>
        <v/>
      </c>
      <c r="E591">
        <f>SUMPRODUCT(Calc!$K$3:$K$22*(Calc!$G$3:$G$22&gt;=B591))</f>
        <v/>
      </c>
      <c r="F591">
        <f>AND(k_n&gt;=5,B591&gt;A591+1E-9,C591&gt;=2,D591&gt;=1,E591&gt;=2)</f>
        <v/>
      </c>
      <c r="G591">
        <f>SUMPRODUCT(Calc!$K$3:$K$22*(Calc!$G$3:$G$22&gt;A591)*(Calc!$G$3:$G$22-A591))</f>
        <v/>
      </c>
      <c r="H591">
        <f>SUMPRODUCT(Calc!$K$3:$K$22*(Calc!$G$3:$G$22&gt;B591)*(Calc!$G$3:$G$22-B591))</f>
        <v/>
      </c>
      <c r="I591">
        <f>SUMPRODUCT(Calc!$K$3:$K$22*(Calc!$G$3:$G$22&gt;A591)*(Calc!$G$3:$G$22-A591)^2)</f>
        <v/>
      </c>
      <c r="J591">
        <f>SUMPRODUCT(Calc!$K$3:$K$22*(Calc!$G$3:$G$22&gt;B591)*(Calc!$G$3:$G$22-B591)^2)</f>
        <v/>
      </c>
      <c r="K591">
        <f>SUMPRODUCT(Calc!$K$3:$K$22*(Calc!$G$3:$G$22&gt;A591)*(Calc!$G$3:$G$22-A591)*(Calc!$G$3:$G$22&gt;B591)*(Calc!$G$3:$G$22-B591))</f>
        <v/>
      </c>
      <c r="L591">
        <f>SUMPRODUCT(Calc!$K$3:$K$22*(Calc!$G$3:$G$22&gt;A591)*(Calc!$G$3:$G$22-A591)*Calc!$G$3:$G$22)</f>
        <v/>
      </c>
      <c r="M591">
        <f>SUMPRODUCT(Calc!$K$3:$K$22*(Calc!$G$3:$G$22&gt;B591)*(Calc!$G$3:$G$22-B591)*Calc!$G$3:$G$22)</f>
        <v/>
      </c>
      <c r="N591">
        <f>SUMPRODUCT(Calc!$K$3:$K$22*(Calc!$G$3:$G$22&gt;A591)*(Calc!$G$3:$G$22-A591)*Calc!$I$3:$I$22)</f>
        <v/>
      </c>
      <c r="O591">
        <f>SUMPRODUCT(Calc!$K$3:$K$22*(Calc!$G$3:$G$22&gt;B591)*(Calc!$G$3:$G$22-B591)*Calc!$I$3:$I$22)</f>
        <v/>
      </c>
      <c r="P591">
        <f>I591-G591^2/k_n</f>
        <v/>
      </c>
      <c r="Q591">
        <f>J591-H591^2/k_n</f>
        <v/>
      </c>
      <c r="R591">
        <f>K591-G591*H591/k_n</f>
        <v/>
      </c>
      <c r="S591">
        <f>L591-LTP3!$D$3*G591/k_n</f>
        <v/>
      </c>
      <c r="T591">
        <f>M591-LTP3!$D$3*H591/k_n</f>
        <v/>
      </c>
      <c r="U591">
        <f>N591-G591*LTP3!$D$4/k_n</f>
        <v/>
      </c>
      <c r="V591">
        <f>O591-H591*LTP3!$D$4/k_n</f>
        <v/>
      </c>
      <c r="W591">
        <f>((LTP3!$D$5)*((P591)*(Q591)-(R591)*(R591))-(S591)*((S591)*(Q591)-(R591)*(T591))+(T591)*((S591)*(R591)-(P591)*(T591)))</f>
        <v/>
      </c>
      <c r="X591">
        <f>IF(ABS(W591)&gt;1E-12,((LTP3!$D$6)*((P591)*(Q591)-(R591)*(R591))-(S591)*((U591)*(Q591)-(R591)*(V591))+(T591)*((U591)*(R591)-(P591)*(V591)))/W591,0)</f>
        <v/>
      </c>
      <c r="Y591">
        <f>IF(ABS(W591)&gt;1E-12,((LTP3!$D$5)*((U591)*(Q591)-(R591)*(V591))-(LTP3!$D$6)*((S591)*(Q591)-(R591)*(T591))+(T591)*((S591)*(V591)-(U591)*(T591)))/W591,0)</f>
        <v/>
      </c>
      <c r="Z591">
        <f>IF(ABS(W591)&gt;1E-12,((LTP3!$D$5)*((P591)*(V591)-(U591)*(R591))-(S591)*((S591)*(V591)-(U591)*(T591))+(LTP3!$D$6)*((S591)*(R591)-(P591)*(T591)))/W591,0)</f>
        <v/>
      </c>
      <c r="AA591">
        <f>LTP3!$D$7-X591*LTP3!$D$6-Y591*U591-Z591*V591</f>
        <v/>
      </c>
      <c r="AB591">
        <f>IF(AND(F591,ABS(W591)&gt;1E-12,Y591&gt;0,Z591&gt;0),AA591,1E+300)</f>
        <v/>
      </c>
    </row>
    <row r="592">
      <c r="A592">
        <f>$B$3+$B$5*9</f>
        <v/>
      </c>
      <c r="B592">
        <f>$B$3+$B$5*31</f>
        <v/>
      </c>
      <c r="C592">
        <f>SUMPRODUCT(Calc!$K$3:$K$22*(Calc!$G$3:$G$22&lt;=A592))</f>
        <v/>
      </c>
      <c r="D592">
        <f>SUMPRODUCT(Calc!$K$3:$K$22*(Calc!$G$3:$G$22&gt;A592)*(Calc!$G$3:$G$22&lt;B592))</f>
        <v/>
      </c>
      <c r="E592">
        <f>SUMPRODUCT(Calc!$K$3:$K$22*(Calc!$G$3:$G$22&gt;=B592))</f>
        <v/>
      </c>
      <c r="F592">
        <f>AND(k_n&gt;=5,B592&gt;A592+1E-9,C592&gt;=2,D592&gt;=1,E592&gt;=2)</f>
        <v/>
      </c>
      <c r="G592">
        <f>SUMPRODUCT(Calc!$K$3:$K$22*(Calc!$G$3:$G$22&gt;A592)*(Calc!$G$3:$G$22-A592))</f>
        <v/>
      </c>
      <c r="H592">
        <f>SUMPRODUCT(Calc!$K$3:$K$22*(Calc!$G$3:$G$22&gt;B592)*(Calc!$G$3:$G$22-B592))</f>
        <v/>
      </c>
      <c r="I592">
        <f>SUMPRODUCT(Calc!$K$3:$K$22*(Calc!$G$3:$G$22&gt;A592)*(Calc!$G$3:$G$22-A592)^2)</f>
        <v/>
      </c>
      <c r="J592">
        <f>SUMPRODUCT(Calc!$K$3:$K$22*(Calc!$G$3:$G$22&gt;B592)*(Calc!$G$3:$G$22-B592)^2)</f>
        <v/>
      </c>
      <c r="K592">
        <f>SUMPRODUCT(Calc!$K$3:$K$22*(Calc!$G$3:$G$22&gt;A592)*(Calc!$G$3:$G$22-A592)*(Calc!$G$3:$G$22&gt;B592)*(Calc!$G$3:$G$22-B592))</f>
        <v/>
      </c>
      <c r="L592">
        <f>SUMPRODUCT(Calc!$K$3:$K$22*(Calc!$G$3:$G$22&gt;A592)*(Calc!$G$3:$G$22-A592)*Calc!$G$3:$G$22)</f>
        <v/>
      </c>
      <c r="M592">
        <f>SUMPRODUCT(Calc!$K$3:$K$22*(Calc!$G$3:$G$22&gt;B592)*(Calc!$G$3:$G$22-B592)*Calc!$G$3:$G$22)</f>
        <v/>
      </c>
      <c r="N592">
        <f>SUMPRODUCT(Calc!$K$3:$K$22*(Calc!$G$3:$G$22&gt;A592)*(Calc!$G$3:$G$22-A592)*Calc!$I$3:$I$22)</f>
        <v/>
      </c>
      <c r="O592">
        <f>SUMPRODUCT(Calc!$K$3:$K$22*(Calc!$G$3:$G$22&gt;B592)*(Calc!$G$3:$G$22-B592)*Calc!$I$3:$I$22)</f>
        <v/>
      </c>
      <c r="P592">
        <f>I592-G592^2/k_n</f>
        <v/>
      </c>
      <c r="Q592">
        <f>J592-H592^2/k_n</f>
        <v/>
      </c>
      <c r="R592">
        <f>K592-G592*H592/k_n</f>
        <v/>
      </c>
      <c r="S592">
        <f>L592-LTP3!$D$3*G592/k_n</f>
        <v/>
      </c>
      <c r="T592">
        <f>M592-LTP3!$D$3*H592/k_n</f>
        <v/>
      </c>
      <c r="U592">
        <f>N592-G592*LTP3!$D$4/k_n</f>
        <v/>
      </c>
      <c r="V592">
        <f>O592-H592*LTP3!$D$4/k_n</f>
        <v/>
      </c>
      <c r="W592">
        <f>((LTP3!$D$5)*((P592)*(Q592)-(R592)*(R592))-(S592)*((S592)*(Q592)-(R592)*(T592))+(T592)*((S592)*(R592)-(P592)*(T592)))</f>
        <v/>
      </c>
      <c r="X592">
        <f>IF(ABS(W592)&gt;1E-12,((LTP3!$D$6)*((P592)*(Q592)-(R592)*(R592))-(S592)*((U592)*(Q592)-(R592)*(V592))+(T592)*((U592)*(R592)-(P592)*(V592)))/W592,0)</f>
        <v/>
      </c>
      <c r="Y592">
        <f>IF(ABS(W592)&gt;1E-12,((LTP3!$D$5)*((U592)*(Q592)-(R592)*(V592))-(LTP3!$D$6)*((S592)*(Q592)-(R592)*(T592))+(T592)*((S592)*(V592)-(U592)*(T592)))/W592,0)</f>
        <v/>
      </c>
      <c r="Z592">
        <f>IF(ABS(W592)&gt;1E-12,((LTP3!$D$5)*((P592)*(V592)-(U592)*(R592))-(S592)*((S592)*(V592)-(U592)*(T592))+(LTP3!$D$6)*((S592)*(R592)-(P592)*(T592)))/W592,0)</f>
        <v/>
      </c>
      <c r="AA592">
        <f>LTP3!$D$7-X592*LTP3!$D$6-Y592*U592-Z592*V592</f>
        <v/>
      </c>
      <c r="AB592">
        <f>IF(AND(F592,ABS(W592)&gt;1E-12,Y592&gt;0,Z592&gt;0),AA592,1E+300)</f>
        <v/>
      </c>
    </row>
    <row r="593">
      <c r="A593">
        <f>$B$3+$B$5*9</f>
        <v/>
      </c>
      <c r="B593">
        <f>$B$3+$B$5*32</f>
        <v/>
      </c>
      <c r="C593">
        <f>SUMPRODUCT(Calc!$K$3:$K$22*(Calc!$G$3:$G$22&lt;=A593))</f>
        <v/>
      </c>
      <c r="D593">
        <f>SUMPRODUCT(Calc!$K$3:$K$22*(Calc!$G$3:$G$22&gt;A593)*(Calc!$G$3:$G$22&lt;B593))</f>
        <v/>
      </c>
      <c r="E593">
        <f>SUMPRODUCT(Calc!$K$3:$K$22*(Calc!$G$3:$G$22&gt;=B593))</f>
        <v/>
      </c>
      <c r="F593">
        <f>AND(k_n&gt;=5,B593&gt;A593+1E-9,C593&gt;=2,D593&gt;=1,E593&gt;=2)</f>
        <v/>
      </c>
      <c r="G593">
        <f>SUMPRODUCT(Calc!$K$3:$K$22*(Calc!$G$3:$G$22&gt;A593)*(Calc!$G$3:$G$22-A593))</f>
        <v/>
      </c>
      <c r="H593">
        <f>SUMPRODUCT(Calc!$K$3:$K$22*(Calc!$G$3:$G$22&gt;B593)*(Calc!$G$3:$G$22-B593))</f>
        <v/>
      </c>
      <c r="I593">
        <f>SUMPRODUCT(Calc!$K$3:$K$22*(Calc!$G$3:$G$22&gt;A593)*(Calc!$G$3:$G$22-A593)^2)</f>
        <v/>
      </c>
      <c r="J593">
        <f>SUMPRODUCT(Calc!$K$3:$K$22*(Calc!$G$3:$G$22&gt;B593)*(Calc!$G$3:$G$22-B593)^2)</f>
        <v/>
      </c>
      <c r="K593">
        <f>SUMPRODUCT(Calc!$K$3:$K$22*(Calc!$G$3:$G$22&gt;A593)*(Calc!$G$3:$G$22-A593)*(Calc!$G$3:$G$22&gt;B593)*(Calc!$G$3:$G$22-B593))</f>
        <v/>
      </c>
      <c r="L593">
        <f>SUMPRODUCT(Calc!$K$3:$K$22*(Calc!$G$3:$G$22&gt;A593)*(Calc!$G$3:$G$22-A593)*Calc!$G$3:$G$22)</f>
        <v/>
      </c>
      <c r="M593">
        <f>SUMPRODUCT(Calc!$K$3:$K$22*(Calc!$G$3:$G$22&gt;B593)*(Calc!$G$3:$G$22-B593)*Calc!$G$3:$G$22)</f>
        <v/>
      </c>
      <c r="N593">
        <f>SUMPRODUCT(Calc!$K$3:$K$22*(Calc!$G$3:$G$22&gt;A593)*(Calc!$G$3:$G$22-A593)*Calc!$I$3:$I$22)</f>
        <v/>
      </c>
      <c r="O593">
        <f>SUMPRODUCT(Calc!$K$3:$K$22*(Calc!$G$3:$G$22&gt;B593)*(Calc!$G$3:$G$22-B593)*Calc!$I$3:$I$22)</f>
        <v/>
      </c>
      <c r="P593">
        <f>I593-G593^2/k_n</f>
        <v/>
      </c>
      <c r="Q593">
        <f>J593-H593^2/k_n</f>
        <v/>
      </c>
      <c r="R593">
        <f>K593-G593*H593/k_n</f>
        <v/>
      </c>
      <c r="S593">
        <f>L593-LTP3!$D$3*G593/k_n</f>
        <v/>
      </c>
      <c r="T593">
        <f>M593-LTP3!$D$3*H593/k_n</f>
        <v/>
      </c>
      <c r="U593">
        <f>N593-G593*LTP3!$D$4/k_n</f>
        <v/>
      </c>
      <c r="V593">
        <f>O593-H593*LTP3!$D$4/k_n</f>
        <v/>
      </c>
      <c r="W593">
        <f>((LTP3!$D$5)*((P593)*(Q593)-(R593)*(R593))-(S593)*((S593)*(Q593)-(R593)*(T593))+(T593)*((S593)*(R593)-(P593)*(T593)))</f>
        <v/>
      </c>
      <c r="X593">
        <f>IF(ABS(W593)&gt;1E-12,((LTP3!$D$6)*((P593)*(Q593)-(R593)*(R593))-(S593)*((U593)*(Q593)-(R593)*(V593))+(T593)*((U593)*(R593)-(P593)*(V593)))/W593,0)</f>
        <v/>
      </c>
      <c r="Y593">
        <f>IF(ABS(W593)&gt;1E-12,((LTP3!$D$5)*((U593)*(Q593)-(R593)*(V593))-(LTP3!$D$6)*((S593)*(Q593)-(R593)*(T593))+(T593)*((S593)*(V593)-(U593)*(T593)))/W593,0)</f>
        <v/>
      </c>
      <c r="Z593">
        <f>IF(ABS(W593)&gt;1E-12,((LTP3!$D$5)*((P593)*(V593)-(U593)*(R593))-(S593)*((S593)*(V593)-(U593)*(T593))+(LTP3!$D$6)*((S593)*(R593)-(P593)*(T593)))/W593,0)</f>
        <v/>
      </c>
      <c r="AA593">
        <f>LTP3!$D$7-X593*LTP3!$D$6-Y593*U593-Z593*V593</f>
        <v/>
      </c>
      <c r="AB593">
        <f>IF(AND(F593,ABS(W593)&gt;1E-12,Y593&gt;0,Z593&gt;0),AA593,1E+300)</f>
        <v/>
      </c>
    </row>
    <row r="594">
      <c r="A594">
        <f>$B$3+$B$5*9</f>
        <v/>
      </c>
      <c r="B594">
        <f>$B$3+$B$5*33</f>
        <v/>
      </c>
      <c r="C594">
        <f>SUMPRODUCT(Calc!$K$3:$K$22*(Calc!$G$3:$G$22&lt;=A594))</f>
        <v/>
      </c>
      <c r="D594">
        <f>SUMPRODUCT(Calc!$K$3:$K$22*(Calc!$G$3:$G$22&gt;A594)*(Calc!$G$3:$G$22&lt;B594))</f>
        <v/>
      </c>
      <c r="E594">
        <f>SUMPRODUCT(Calc!$K$3:$K$22*(Calc!$G$3:$G$22&gt;=B594))</f>
        <v/>
      </c>
      <c r="F594">
        <f>AND(k_n&gt;=5,B594&gt;A594+1E-9,C594&gt;=2,D594&gt;=1,E594&gt;=2)</f>
        <v/>
      </c>
      <c r="G594">
        <f>SUMPRODUCT(Calc!$K$3:$K$22*(Calc!$G$3:$G$22&gt;A594)*(Calc!$G$3:$G$22-A594))</f>
        <v/>
      </c>
      <c r="H594">
        <f>SUMPRODUCT(Calc!$K$3:$K$22*(Calc!$G$3:$G$22&gt;B594)*(Calc!$G$3:$G$22-B594))</f>
        <v/>
      </c>
      <c r="I594">
        <f>SUMPRODUCT(Calc!$K$3:$K$22*(Calc!$G$3:$G$22&gt;A594)*(Calc!$G$3:$G$22-A594)^2)</f>
        <v/>
      </c>
      <c r="J594">
        <f>SUMPRODUCT(Calc!$K$3:$K$22*(Calc!$G$3:$G$22&gt;B594)*(Calc!$G$3:$G$22-B594)^2)</f>
        <v/>
      </c>
      <c r="K594">
        <f>SUMPRODUCT(Calc!$K$3:$K$22*(Calc!$G$3:$G$22&gt;A594)*(Calc!$G$3:$G$22-A594)*(Calc!$G$3:$G$22&gt;B594)*(Calc!$G$3:$G$22-B594))</f>
        <v/>
      </c>
      <c r="L594">
        <f>SUMPRODUCT(Calc!$K$3:$K$22*(Calc!$G$3:$G$22&gt;A594)*(Calc!$G$3:$G$22-A594)*Calc!$G$3:$G$22)</f>
        <v/>
      </c>
      <c r="M594">
        <f>SUMPRODUCT(Calc!$K$3:$K$22*(Calc!$G$3:$G$22&gt;B594)*(Calc!$G$3:$G$22-B594)*Calc!$G$3:$G$22)</f>
        <v/>
      </c>
      <c r="N594">
        <f>SUMPRODUCT(Calc!$K$3:$K$22*(Calc!$G$3:$G$22&gt;A594)*(Calc!$G$3:$G$22-A594)*Calc!$I$3:$I$22)</f>
        <v/>
      </c>
      <c r="O594">
        <f>SUMPRODUCT(Calc!$K$3:$K$22*(Calc!$G$3:$G$22&gt;B594)*(Calc!$G$3:$G$22-B594)*Calc!$I$3:$I$22)</f>
        <v/>
      </c>
      <c r="P594">
        <f>I594-G594^2/k_n</f>
        <v/>
      </c>
      <c r="Q594">
        <f>J594-H594^2/k_n</f>
        <v/>
      </c>
      <c r="R594">
        <f>K594-G594*H594/k_n</f>
        <v/>
      </c>
      <c r="S594">
        <f>L594-LTP3!$D$3*G594/k_n</f>
        <v/>
      </c>
      <c r="T594">
        <f>M594-LTP3!$D$3*H594/k_n</f>
        <v/>
      </c>
      <c r="U594">
        <f>N594-G594*LTP3!$D$4/k_n</f>
        <v/>
      </c>
      <c r="V594">
        <f>O594-H594*LTP3!$D$4/k_n</f>
        <v/>
      </c>
      <c r="W594">
        <f>((LTP3!$D$5)*((P594)*(Q594)-(R594)*(R594))-(S594)*((S594)*(Q594)-(R594)*(T594))+(T594)*((S594)*(R594)-(P594)*(T594)))</f>
        <v/>
      </c>
      <c r="X594">
        <f>IF(ABS(W594)&gt;1E-12,((LTP3!$D$6)*((P594)*(Q594)-(R594)*(R594))-(S594)*((U594)*(Q594)-(R594)*(V594))+(T594)*((U594)*(R594)-(P594)*(V594)))/W594,0)</f>
        <v/>
      </c>
      <c r="Y594">
        <f>IF(ABS(W594)&gt;1E-12,((LTP3!$D$5)*((U594)*(Q594)-(R594)*(V594))-(LTP3!$D$6)*((S594)*(Q594)-(R594)*(T594))+(T594)*((S594)*(V594)-(U594)*(T594)))/W594,0)</f>
        <v/>
      </c>
      <c r="Z594">
        <f>IF(ABS(W594)&gt;1E-12,((LTP3!$D$5)*((P594)*(V594)-(U594)*(R594))-(S594)*((S594)*(V594)-(U594)*(T594))+(LTP3!$D$6)*((S594)*(R594)-(P594)*(T594)))/W594,0)</f>
        <v/>
      </c>
      <c r="AA594">
        <f>LTP3!$D$7-X594*LTP3!$D$6-Y594*U594-Z594*V594</f>
        <v/>
      </c>
      <c r="AB594">
        <f>IF(AND(F594,ABS(W594)&gt;1E-12,Y594&gt;0,Z594&gt;0),AA594,1E+300)</f>
        <v/>
      </c>
    </row>
    <row r="595">
      <c r="A595">
        <f>$B$3+$B$5*9</f>
        <v/>
      </c>
      <c r="B595">
        <f>$B$3+$B$5*34</f>
        <v/>
      </c>
      <c r="C595">
        <f>SUMPRODUCT(Calc!$K$3:$K$22*(Calc!$G$3:$G$22&lt;=A595))</f>
        <v/>
      </c>
      <c r="D595">
        <f>SUMPRODUCT(Calc!$K$3:$K$22*(Calc!$G$3:$G$22&gt;A595)*(Calc!$G$3:$G$22&lt;B595))</f>
        <v/>
      </c>
      <c r="E595">
        <f>SUMPRODUCT(Calc!$K$3:$K$22*(Calc!$G$3:$G$22&gt;=B595))</f>
        <v/>
      </c>
      <c r="F595">
        <f>AND(k_n&gt;=5,B595&gt;A595+1E-9,C595&gt;=2,D595&gt;=1,E595&gt;=2)</f>
        <v/>
      </c>
      <c r="G595">
        <f>SUMPRODUCT(Calc!$K$3:$K$22*(Calc!$G$3:$G$22&gt;A595)*(Calc!$G$3:$G$22-A595))</f>
        <v/>
      </c>
      <c r="H595">
        <f>SUMPRODUCT(Calc!$K$3:$K$22*(Calc!$G$3:$G$22&gt;B595)*(Calc!$G$3:$G$22-B595))</f>
        <v/>
      </c>
      <c r="I595">
        <f>SUMPRODUCT(Calc!$K$3:$K$22*(Calc!$G$3:$G$22&gt;A595)*(Calc!$G$3:$G$22-A595)^2)</f>
        <v/>
      </c>
      <c r="J595">
        <f>SUMPRODUCT(Calc!$K$3:$K$22*(Calc!$G$3:$G$22&gt;B595)*(Calc!$G$3:$G$22-B595)^2)</f>
        <v/>
      </c>
      <c r="K595">
        <f>SUMPRODUCT(Calc!$K$3:$K$22*(Calc!$G$3:$G$22&gt;A595)*(Calc!$G$3:$G$22-A595)*(Calc!$G$3:$G$22&gt;B595)*(Calc!$G$3:$G$22-B595))</f>
        <v/>
      </c>
      <c r="L595">
        <f>SUMPRODUCT(Calc!$K$3:$K$22*(Calc!$G$3:$G$22&gt;A595)*(Calc!$G$3:$G$22-A595)*Calc!$G$3:$G$22)</f>
        <v/>
      </c>
      <c r="M595">
        <f>SUMPRODUCT(Calc!$K$3:$K$22*(Calc!$G$3:$G$22&gt;B595)*(Calc!$G$3:$G$22-B595)*Calc!$G$3:$G$22)</f>
        <v/>
      </c>
      <c r="N595">
        <f>SUMPRODUCT(Calc!$K$3:$K$22*(Calc!$G$3:$G$22&gt;A595)*(Calc!$G$3:$G$22-A595)*Calc!$I$3:$I$22)</f>
        <v/>
      </c>
      <c r="O595">
        <f>SUMPRODUCT(Calc!$K$3:$K$22*(Calc!$G$3:$G$22&gt;B595)*(Calc!$G$3:$G$22-B595)*Calc!$I$3:$I$22)</f>
        <v/>
      </c>
      <c r="P595">
        <f>I595-G595^2/k_n</f>
        <v/>
      </c>
      <c r="Q595">
        <f>J595-H595^2/k_n</f>
        <v/>
      </c>
      <c r="R595">
        <f>K595-G595*H595/k_n</f>
        <v/>
      </c>
      <c r="S595">
        <f>L595-LTP3!$D$3*G595/k_n</f>
        <v/>
      </c>
      <c r="T595">
        <f>M595-LTP3!$D$3*H595/k_n</f>
        <v/>
      </c>
      <c r="U595">
        <f>N595-G595*LTP3!$D$4/k_n</f>
        <v/>
      </c>
      <c r="V595">
        <f>O595-H595*LTP3!$D$4/k_n</f>
        <v/>
      </c>
      <c r="W595">
        <f>((LTP3!$D$5)*((P595)*(Q595)-(R595)*(R595))-(S595)*((S595)*(Q595)-(R595)*(T595))+(T595)*((S595)*(R595)-(P595)*(T595)))</f>
        <v/>
      </c>
      <c r="X595">
        <f>IF(ABS(W595)&gt;1E-12,((LTP3!$D$6)*((P595)*(Q595)-(R595)*(R595))-(S595)*((U595)*(Q595)-(R595)*(V595))+(T595)*((U595)*(R595)-(P595)*(V595)))/W595,0)</f>
        <v/>
      </c>
      <c r="Y595">
        <f>IF(ABS(W595)&gt;1E-12,((LTP3!$D$5)*((U595)*(Q595)-(R595)*(V595))-(LTP3!$D$6)*((S595)*(Q595)-(R595)*(T595))+(T595)*((S595)*(V595)-(U595)*(T595)))/W595,0)</f>
        <v/>
      </c>
      <c r="Z595">
        <f>IF(ABS(W595)&gt;1E-12,((LTP3!$D$5)*((P595)*(V595)-(U595)*(R595))-(S595)*((S595)*(V595)-(U595)*(T595))+(LTP3!$D$6)*((S595)*(R595)-(P595)*(T595)))/W595,0)</f>
        <v/>
      </c>
      <c r="AA595">
        <f>LTP3!$D$7-X595*LTP3!$D$6-Y595*U595-Z595*V595</f>
        <v/>
      </c>
      <c r="AB595">
        <f>IF(AND(F595,ABS(W595)&gt;1E-12,Y595&gt;0,Z595&gt;0),AA595,1E+300)</f>
        <v/>
      </c>
    </row>
    <row r="596">
      <c r="A596">
        <f>$B$3+$B$5*9</f>
        <v/>
      </c>
      <c r="B596">
        <f>$B$3+$B$5*35</f>
        <v/>
      </c>
      <c r="C596">
        <f>SUMPRODUCT(Calc!$K$3:$K$22*(Calc!$G$3:$G$22&lt;=A596))</f>
        <v/>
      </c>
      <c r="D596">
        <f>SUMPRODUCT(Calc!$K$3:$K$22*(Calc!$G$3:$G$22&gt;A596)*(Calc!$G$3:$G$22&lt;B596))</f>
        <v/>
      </c>
      <c r="E596">
        <f>SUMPRODUCT(Calc!$K$3:$K$22*(Calc!$G$3:$G$22&gt;=B596))</f>
        <v/>
      </c>
      <c r="F596">
        <f>AND(k_n&gt;=5,B596&gt;A596+1E-9,C596&gt;=2,D596&gt;=1,E596&gt;=2)</f>
        <v/>
      </c>
      <c r="G596">
        <f>SUMPRODUCT(Calc!$K$3:$K$22*(Calc!$G$3:$G$22&gt;A596)*(Calc!$G$3:$G$22-A596))</f>
        <v/>
      </c>
      <c r="H596">
        <f>SUMPRODUCT(Calc!$K$3:$K$22*(Calc!$G$3:$G$22&gt;B596)*(Calc!$G$3:$G$22-B596))</f>
        <v/>
      </c>
      <c r="I596">
        <f>SUMPRODUCT(Calc!$K$3:$K$22*(Calc!$G$3:$G$22&gt;A596)*(Calc!$G$3:$G$22-A596)^2)</f>
        <v/>
      </c>
      <c r="J596">
        <f>SUMPRODUCT(Calc!$K$3:$K$22*(Calc!$G$3:$G$22&gt;B596)*(Calc!$G$3:$G$22-B596)^2)</f>
        <v/>
      </c>
      <c r="K596">
        <f>SUMPRODUCT(Calc!$K$3:$K$22*(Calc!$G$3:$G$22&gt;A596)*(Calc!$G$3:$G$22-A596)*(Calc!$G$3:$G$22&gt;B596)*(Calc!$G$3:$G$22-B596))</f>
        <v/>
      </c>
      <c r="L596">
        <f>SUMPRODUCT(Calc!$K$3:$K$22*(Calc!$G$3:$G$22&gt;A596)*(Calc!$G$3:$G$22-A596)*Calc!$G$3:$G$22)</f>
        <v/>
      </c>
      <c r="M596">
        <f>SUMPRODUCT(Calc!$K$3:$K$22*(Calc!$G$3:$G$22&gt;B596)*(Calc!$G$3:$G$22-B596)*Calc!$G$3:$G$22)</f>
        <v/>
      </c>
      <c r="N596">
        <f>SUMPRODUCT(Calc!$K$3:$K$22*(Calc!$G$3:$G$22&gt;A596)*(Calc!$G$3:$G$22-A596)*Calc!$I$3:$I$22)</f>
        <v/>
      </c>
      <c r="O596">
        <f>SUMPRODUCT(Calc!$K$3:$K$22*(Calc!$G$3:$G$22&gt;B596)*(Calc!$G$3:$G$22-B596)*Calc!$I$3:$I$22)</f>
        <v/>
      </c>
      <c r="P596">
        <f>I596-G596^2/k_n</f>
        <v/>
      </c>
      <c r="Q596">
        <f>J596-H596^2/k_n</f>
        <v/>
      </c>
      <c r="R596">
        <f>K596-G596*H596/k_n</f>
        <v/>
      </c>
      <c r="S596">
        <f>L596-LTP3!$D$3*G596/k_n</f>
        <v/>
      </c>
      <c r="T596">
        <f>M596-LTP3!$D$3*H596/k_n</f>
        <v/>
      </c>
      <c r="U596">
        <f>N596-G596*LTP3!$D$4/k_n</f>
        <v/>
      </c>
      <c r="V596">
        <f>O596-H596*LTP3!$D$4/k_n</f>
        <v/>
      </c>
      <c r="W596">
        <f>((LTP3!$D$5)*((P596)*(Q596)-(R596)*(R596))-(S596)*((S596)*(Q596)-(R596)*(T596))+(T596)*((S596)*(R596)-(P596)*(T596)))</f>
        <v/>
      </c>
      <c r="X596">
        <f>IF(ABS(W596)&gt;1E-12,((LTP3!$D$6)*((P596)*(Q596)-(R596)*(R596))-(S596)*((U596)*(Q596)-(R596)*(V596))+(T596)*((U596)*(R596)-(P596)*(V596)))/W596,0)</f>
        <v/>
      </c>
      <c r="Y596">
        <f>IF(ABS(W596)&gt;1E-12,((LTP3!$D$5)*((U596)*(Q596)-(R596)*(V596))-(LTP3!$D$6)*((S596)*(Q596)-(R596)*(T596))+(T596)*((S596)*(V596)-(U596)*(T596)))/W596,0)</f>
        <v/>
      </c>
      <c r="Z596">
        <f>IF(ABS(W596)&gt;1E-12,((LTP3!$D$5)*((P596)*(V596)-(U596)*(R596))-(S596)*((S596)*(V596)-(U596)*(T596))+(LTP3!$D$6)*((S596)*(R596)-(P596)*(T596)))/W596,0)</f>
        <v/>
      </c>
      <c r="AA596">
        <f>LTP3!$D$7-X596*LTP3!$D$6-Y596*U596-Z596*V596</f>
        <v/>
      </c>
      <c r="AB596">
        <f>IF(AND(F596,ABS(W596)&gt;1E-12,Y596&gt;0,Z596&gt;0),AA596,1E+300)</f>
        <v/>
      </c>
    </row>
    <row r="597">
      <c r="A597">
        <f>$B$3+$B$5*9</f>
        <v/>
      </c>
      <c r="B597">
        <f>$B$3+$B$5*36</f>
        <v/>
      </c>
      <c r="C597">
        <f>SUMPRODUCT(Calc!$K$3:$K$22*(Calc!$G$3:$G$22&lt;=A597))</f>
        <v/>
      </c>
      <c r="D597">
        <f>SUMPRODUCT(Calc!$K$3:$K$22*(Calc!$G$3:$G$22&gt;A597)*(Calc!$G$3:$G$22&lt;B597))</f>
        <v/>
      </c>
      <c r="E597">
        <f>SUMPRODUCT(Calc!$K$3:$K$22*(Calc!$G$3:$G$22&gt;=B597))</f>
        <v/>
      </c>
      <c r="F597">
        <f>AND(k_n&gt;=5,B597&gt;A597+1E-9,C597&gt;=2,D597&gt;=1,E597&gt;=2)</f>
        <v/>
      </c>
      <c r="G597">
        <f>SUMPRODUCT(Calc!$K$3:$K$22*(Calc!$G$3:$G$22&gt;A597)*(Calc!$G$3:$G$22-A597))</f>
        <v/>
      </c>
      <c r="H597">
        <f>SUMPRODUCT(Calc!$K$3:$K$22*(Calc!$G$3:$G$22&gt;B597)*(Calc!$G$3:$G$22-B597))</f>
        <v/>
      </c>
      <c r="I597">
        <f>SUMPRODUCT(Calc!$K$3:$K$22*(Calc!$G$3:$G$22&gt;A597)*(Calc!$G$3:$G$22-A597)^2)</f>
        <v/>
      </c>
      <c r="J597">
        <f>SUMPRODUCT(Calc!$K$3:$K$22*(Calc!$G$3:$G$22&gt;B597)*(Calc!$G$3:$G$22-B597)^2)</f>
        <v/>
      </c>
      <c r="K597">
        <f>SUMPRODUCT(Calc!$K$3:$K$22*(Calc!$G$3:$G$22&gt;A597)*(Calc!$G$3:$G$22-A597)*(Calc!$G$3:$G$22&gt;B597)*(Calc!$G$3:$G$22-B597))</f>
        <v/>
      </c>
      <c r="L597">
        <f>SUMPRODUCT(Calc!$K$3:$K$22*(Calc!$G$3:$G$22&gt;A597)*(Calc!$G$3:$G$22-A597)*Calc!$G$3:$G$22)</f>
        <v/>
      </c>
      <c r="M597">
        <f>SUMPRODUCT(Calc!$K$3:$K$22*(Calc!$G$3:$G$22&gt;B597)*(Calc!$G$3:$G$22-B597)*Calc!$G$3:$G$22)</f>
        <v/>
      </c>
      <c r="N597">
        <f>SUMPRODUCT(Calc!$K$3:$K$22*(Calc!$G$3:$G$22&gt;A597)*(Calc!$G$3:$G$22-A597)*Calc!$I$3:$I$22)</f>
        <v/>
      </c>
      <c r="O597">
        <f>SUMPRODUCT(Calc!$K$3:$K$22*(Calc!$G$3:$G$22&gt;B597)*(Calc!$G$3:$G$22-B597)*Calc!$I$3:$I$22)</f>
        <v/>
      </c>
      <c r="P597">
        <f>I597-G597^2/k_n</f>
        <v/>
      </c>
      <c r="Q597">
        <f>J597-H597^2/k_n</f>
        <v/>
      </c>
      <c r="R597">
        <f>K597-G597*H597/k_n</f>
        <v/>
      </c>
      <c r="S597">
        <f>L597-LTP3!$D$3*G597/k_n</f>
        <v/>
      </c>
      <c r="T597">
        <f>M597-LTP3!$D$3*H597/k_n</f>
        <v/>
      </c>
      <c r="U597">
        <f>N597-G597*LTP3!$D$4/k_n</f>
        <v/>
      </c>
      <c r="V597">
        <f>O597-H597*LTP3!$D$4/k_n</f>
        <v/>
      </c>
      <c r="W597">
        <f>((LTP3!$D$5)*((P597)*(Q597)-(R597)*(R597))-(S597)*((S597)*(Q597)-(R597)*(T597))+(T597)*((S597)*(R597)-(P597)*(T597)))</f>
        <v/>
      </c>
      <c r="X597">
        <f>IF(ABS(W597)&gt;1E-12,((LTP3!$D$6)*((P597)*(Q597)-(R597)*(R597))-(S597)*((U597)*(Q597)-(R597)*(V597))+(T597)*((U597)*(R597)-(P597)*(V597)))/W597,0)</f>
        <v/>
      </c>
      <c r="Y597">
        <f>IF(ABS(W597)&gt;1E-12,((LTP3!$D$5)*((U597)*(Q597)-(R597)*(V597))-(LTP3!$D$6)*((S597)*(Q597)-(R597)*(T597))+(T597)*((S597)*(V597)-(U597)*(T597)))/W597,0)</f>
        <v/>
      </c>
      <c r="Z597">
        <f>IF(ABS(W597)&gt;1E-12,((LTP3!$D$5)*((P597)*(V597)-(U597)*(R597))-(S597)*((S597)*(V597)-(U597)*(T597))+(LTP3!$D$6)*((S597)*(R597)-(P597)*(T597)))/W597,0)</f>
        <v/>
      </c>
      <c r="AA597">
        <f>LTP3!$D$7-X597*LTP3!$D$6-Y597*U597-Z597*V597</f>
        <v/>
      </c>
      <c r="AB597">
        <f>IF(AND(F597,ABS(W597)&gt;1E-12,Y597&gt;0,Z597&gt;0),AA597,1E+300)</f>
        <v/>
      </c>
    </row>
    <row r="598">
      <c r="A598">
        <f>$B$3+$B$5*9</f>
        <v/>
      </c>
      <c r="B598">
        <f>$B$3+$B$5*37</f>
        <v/>
      </c>
      <c r="C598">
        <f>SUMPRODUCT(Calc!$K$3:$K$22*(Calc!$G$3:$G$22&lt;=A598))</f>
        <v/>
      </c>
      <c r="D598">
        <f>SUMPRODUCT(Calc!$K$3:$K$22*(Calc!$G$3:$G$22&gt;A598)*(Calc!$G$3:$G$22&lt;B598))</f>
        <v/>
      </c>
      <c r="E598">
        <f>SUMPRODUCT(Calc!$K$3:$K$22*(Calc!$G$3:$G$22&gt;=B598))</f>
        <v/>
      </c>
      <c r="F598">
        <f>AND(k_n&gt;=5,B598&gt;A598+1E-9,C598&gt;=2,D598&gt;=1,E598&gt;=2)</f>
        <v/>
      </c>
      <c r="G598">
        <f>SUMPRODUCT(Calc!$K$3:$K$22*(Calc!$G$3:$G$22&gt;A598)*(Calc!$G$3:$G$22-A598))</f>
        <v/>
      </c>
      <c r="H598">
        <f>SUMPRODUCT(Calc!$K$3:$K$22*(Calc!$G$3:$G$22&gt;B598)*(Calc!$G$3:$G$22-B598))</f>
        <v/>
      </c>
      <c r="I598">
        <f>SUMPRODUCT(Calc!$K$3:$K$22*(Calc!$G$3:$G$22&gt;A598)*(Calc!$G$3:$G$22-A598)^2)</f>
        <v/>
      </c>
      <c r="J598">
        <f>SUMPRODUCT(Calc!$K$3:$K$22*(Calc!$G$3:$G$22&gt;B598)*(Calc!$G$3:$G$22-B598)^2)</f>
        <v/>
      </c>
      <c r="K598">
        <f>SUMPRODUCT(Calc!$K$3:$K$22*(Calc!$G$3:$G$22&gt;A598)*(Calc!$G$3:$G$22-A598)*(Calc!$G$3:$G$22&gt;B598)*(Calc!$G$3:$G$22-B598))</f>
        <v/>
      </c>
      <c r="L598">
        <f>SUMPRODUCT(Calc!$K$3:$K$22*(Calc!$G$3:$G$22&gt;A598)*(Calc!$G$3:$G$22-A598)*Calc!$G$3:$G$22)</f>
        <v/>
      </c>
      <c r="M598">
        <f>SUMPRODUCT(Calc!$K$3:$K$22*(Calc!$G$3:$G$22&gt;B598)*(Calc!$G$3:$G$22-B598)*Calc!$G$3:$G$22)</f>
        <v/>
      </c>
      <c r="N598">
        <f>SUMPRODUCT(Calc!$K$3:$K$22*(Calc!$G$3:$G$22&gt;A598)*(Calc!$G$3:$G$22-A598)*Calc!$I$3:$I$22)</f>
        <v/>
      </c>
      <c r="O598">
        <f>SUMPRODUCT(Calc!$K$3:$K$22*(Calc!$G$3:$G$22&gt;B598)*(Calc!$G$3:$G$22-B598)*Calc!$I$3:$I$22)</f>
        <v/>
      </c>
      <c r="P598">
        <f>I598-G598^2/k_n</f>
        <v/>
      </c>
      <c r="Q598">
        <f>J598-H598^2/k_n</f>
        <v/>
      </c>
      <c r="R598">
        <f>K598-G598*H598/k_n</f>
        <v/>
      </c>
      <c r="S598">
        <f>L598-LTP3!$D$3*G598/k_n</f>
        <v/>
      </c>
      <c r="T598">
        <f>M598-LTP3!$D$3*H598/k_n</f>
        <v/>
      </c>
      <c r="U598">
        <f>N598-G598*LTP3!$D$4/k_n</f>
        <v/>
      </c>
      <c r="V598">
        <f>O598-H598*LTP3!$D$4/k_n</f>
        <v/>
      </c>
      <c r="W598">
        <f>((LTP3!$D$5)*((P598)*(Q598)-(R598)*(R598))-(S598)*((S598)*(Q598)-(R598)*(T598))+(T598)*((S598)*(R598)-(P598)*(T598)))</f>
        <v/>
      </c>
      <c r="X598">
        <f>IF(ABS(W598)&gt;1E-12,((LTP3!$D$6)*((P598)*(Q598)-(R598)*(R598))-(S598)*((U598)*(Q598)-(R598)*(V598))+(T598)*((U598)*(R598)-(P598)*(V598)))/W598,0)</f>
        <v/>
      </c>
      <c r="Y598">
        <f>IF(ABS(W598)&gt;1E-12,((LTP3!$D$5)*((U598)*(Q598)-(R598)*(V598))-(LTP3!$D$6)*((S598)*(Q598)-(R598)*(T598))+(T598)*((S598)*(V598)-(U598)*(T598)))/W598,0)</f>
        <v/>
      </c>
      <c r="Z598">
        <f>IF(ABS(W598)&gt;1E-12,((LTP3!$D$5)*((P598)*(V598)-(U598)*(R598))-(S598)*((S598)*(V598)-(U598)*(T598))+(LTP3!$D$6)*((S598)*(R598)-(P598)*(T598)))/W598,0)</f>
        <v/>
      </c>
      <c r="AA598">
        <f>LTP3!$D$7-X598*LTP3!$D$6-Y598*U598-Z598*V598</f>
        <v/>
      </c>
      <c r="AB598">
        <f>IF(AND(F598,ABS(W598)&gt;1E-12,Y598&gt;0,Z598&gt;0),AA598,1E+300)</f>
        <v/>
      </c>
    </row>
    <row r="599">
      <c r="A599">
        <f>$B$3+$B$5*9</f>
        <v/>
      </c>
      <c r="B599">
        <f>$B$3+$B$5*38</f>
        <v/>
      </c>
      <c r="C599">
        <f>SUMPRODUCT(Calc!$K$3:$K$22*(Calc!$G$3:$G$22&lt;=A599))</f>
        <v/>
      </c>
      <c r="D599">
        <f>SUMPRODUCT(Calc!$K$3:$K$22*(Calc!$G$3:$G$22&gt;A599)*(Calc!$G$3:$G$22&lt;B599))</f>
        <v/>
      </c>
      <c r="E599">
        <f>SUMPRODUCT(Calc!$K$3:$K$22*(Calc!$G$3:$G$22&gt;=B599))</f>
        <v/>
      </c>
      <c r="F599">
        <f>AND(k_n&gt;=5,B599&gt;A599+1E-9,C599&gt;=2,D599&gt;=1,E599&gt;=2)</f>
        <v/>
      </c>
      <c r="G599">
        <f>SUMPRODUCT(Calc!$K$3:$K$22*(Calc!$G$3:$G$22&gt;A599)*(Calc!$G$3:$G$22-A599))</f>
        <v/>
      </c>
      <c r="H599">
        <f>SUMPRODUCT(Calc!$K$3:$K$22*(Calc!$G$3:$G$22&gt;B599)*(Calc!$G$3:$G$22-B599))</f>
        <v/>
      </c>
      <c r="I599">
        <f>SUMPRODUCT(Calc!$K$3:$K$22*(Calc!$G$3:$G$22&gt;A599)*(Calc!$G$3:$G$22-A599)^2)</f>
        <v/>
      </c>
      <c r="J599">
        <f>SUMPRODUCT(Calc!$K$3:$K$22*(Calc!$G$3:$G$22&gt;B599)*(Calc!$G$3:$G$22-B599)^2)</f>
        <v/>
      </c>
      <c r="K599">
        <f>SUMPRODUCT(Calc!$K$3:$K$22*(Calc!$G$3:$G$22&gt;A599)*(Calc!$G$3:$G$22-A599)*(Calc!$G$3:$G$22&gt;B599)*(Calc!$G$3:$G$22-B599))</f>
        <v/>
      </c>
      <c r="L599">
        <f>SUMPRODUCT(Calc!$K$3:$K$22*(Calc!$G$3:$G$22&gt;A599)*(Calc!$G$3:$G$22-A599)*Calc!$G$3:$G$22)</f>
        <v/>
      </c>
      <c r="M599">
        <f>SUMPRODUCT(Calc!$K$3:$K$22*(Calc!$G$3:$G$22&gt;B599)*(Calc!$G$3:$G$22-B599)*Calc!$G$3:$G$22)</f>
        <v/>
      </c>
      <c r="N599">
        <f>SUMPRODUCT(Calc!$K$3:$K$22*(Calc!$G$3:$G$22&gt;A599)*(Calc!$G$3:$G$22-A599)*Calc!$I$3:$I$22)</f>
        <v/>
      </c>
      <c r="O599">
        <f>SUMPRODUCT(Calc!$K$3:$K$22*(Calc!$G$3:$G$22&gt;B599)*(Calc!$G$3:$G$22-B599)*Calc!$I$3:$I$22)</f>
        <v/>
      </c>
      <c r="P599">
        <f>I599-G599^2/k_n</f>
        <v/>
      </c>
      <c r="Q599">
        <f>J599-H599^2/k_n</f>
        <v/>
      </c>
      <c r="R599">
        <f>K599-G599*H599/k_n</f>
        <v/>
      </c>
      <c r="S599">
        <f>L599-LTP3!$D$3*G599/k_n</f>
        <v/>
      </c>
      <c r="T599">
        <f>M599-LTP3!$D$3*H599/k_n</f>
        <v/>
      </c>
      <c r="U599">
        <f>N599-G599*LTP3!$D$4/k_n</f>
        <v/>
      </c>
      <c r="V599">
        <f>O599-H599*LTP3!$D$4/k_n</f>
        <v/>
      </c>
      <c r="W599">
        <f>((LTP3!$D$5)*((P599)*(Q599)-(R599)*(R599))-(S599)*((S599)*(Q599)-(R599)*(T599))+(T599)*((S599)*(R599)-(P599)*(T599)))</f>
        <v/>
      </c>
      <c r="X599">
        <f>IF(ABS(W599)&gt;1E-12,((LTP3!$D$6)*((P599)*(Q599)-(R599)*(R599))-(S599)*((U599)*(Q599)-(R599)*(V599))+(T599)*((U599)*(R599)-(P599)*(V599)))/W599,0)</f>
        <v/>
      </c>
      <c r="Y599">
        <f>IF(ABS(W599)&gt;1E-12,((LTP3!$D$5)*((U599)*(Q599)-(R599)*(V599))-(LTP3!$D$6)*((S599)*(Q599)-(R599)*(T599))+(T599)*((S599)*(V599)-(U599)*(T599)))/W599,0)</f>
        <v/>
      </c>
      <c r="Z599">
        <f>IF(ABS(W599)&gt;1E-12,((LTP3!$D$5)*((P599)*(V599)-(U599)*(R599))-(S599)*((S599)*(V599)-(U599)*(T599))+(LTP3!$D$6)*((S599)*(R599)-(P599)*(T599)))/W599,0)</f>
        <v/>
      </c>
      <c r="AA599">
        <f>LTP3!$D$7-X599*LTP3!$D$6-Y599*U599-Z599*V599</f>
        <v/>
      </c>
      <c r="AB599">
        <f>IF(AND(F599,ABS(W599)&gt;1E-12,Y599&gt;0,Z599&gt;0),AA599,1E+300)</f>
        <v/>
      </c>
    </row>
    <row r="600">
      <c r="A600">
        <f>$B$3+$B$5*9</f>
        <v/>
      </c>
      <c r="B600">
        <f>$B$3+$B$5*39</f>
        <v/>
      </c>
      <c r="C600">
        <f>SUMPRODUCT(Calc!$K$3:$K$22*(Calc!$G$3:$G$22&lt;=A600))</f>
        <v/>
      </c>
      <c r="D600">
        <f>SUMPRODUCT(Calc!$K$3:$K$22*(Calc!$G$3:$G$22&gt;A600)*(Calc!$G$3:$G$22&lt;B600))</f>
        <v/>
      </c>
      <c r="E600">
        <f>SUMPRODUCT(Calc!$K$3:$K$22*(Calc!$G$3:$G$22&gt;=B600))</f>
        <v/>
      </c>
      <c r="F600">
        <f>AND(k_n&gt;=5,B600&gt;A600+1E-9,C600&gt;=2,D600&gt;=1,E600&gt;=2)</f>
        <v/>
      </c>
      <c r="G600">
        <f>SUMPRODUCT(Calc!$K$3:$K$22*(Calc!$G$3:$G$22&gt;A600)*(Calc!$G$3:$G$22-A600))</f>
        <v/>
      </c>
      <c r="H600">
        <f>SUMPRODUCT(Calc!$K$3:$K$22*(Calc!$G$3:$G$22&gt;B600)*(Calc!$G$3:$G$22-B600))</f>
        <v/>
      </c>
      <c r="I600">
        <f>SUMPRODUCT(Calc!$K$3:$K$22*(Calc!$G$3:$G$22&gt;A600)*(Calc!$G$3:$G$22-A600)^2)</f>
        <v/>
      </c>
      <c r="J600">
        <f>SUMPRODUCT(Calc!$K$3:$K$22*(Calc!$G$3:$G$22&gt;B600)*(Calc!$G$3:$G$22-B600)^2)</f>
        <v/>
      </c>
      <c r="K600">
        <f>SUMPRODUCT(Calc!$K$3:$K$22*(Calc!$G$3:$G$22&gt;A600)*(Calc!$G$3:$G$22-A600)*(Calc!$G$3:$G$22&gt;B600)*(Calc!$G$3:$G$22-B600))</f>
        <v/>
      </c>
      <c r="L600">
        <f>SUMPRODUCT(Calc!$K$3:$K$22*(Calc!$G$3:$G$22&gt;A600)*(Calc!$G$3:$G$22-A600)*Calc!$G$3:$G$22)</f>
        <v/>
      </c>
      <c r="M600">
        <f>SUMPRODUCT(Calc!$K$3:$K$22*(Calc!$G$3:$G$22&gt;B600)*(Calc!$G$3:$G$22-B600)*Calc!$G$3:$G$22)</f>
        <v/>
      </c>
      <c r="N600">
        <f>SUMPRODUCT(Calc!$K$3:$K$22*(Calc!$G$3:$G$22&gt;A600)*(Calc!$G$3:$G$22-A600)*Calc!$I$3:$I$22)</f>
        <v/>
      </c>
      <c r="O600">
        <f>SUMPRODUCT(Calc!$K$3:$K$22*(Calc!$G$3:$G$22&gt;B600)*(Calc!$G$3:$G$22-B600)*Calc!$I$3:$I$22)</f>
        <v/>
      </c>
      <c r="P600">
        <f>I600-G600^2/k_n</f>
        <v/>
      </c>
      <c r="Q600">
        <f>J600-H600^2/k_n</f>
        <v/>
      </c>
      <c r="R600">
        <f>K600-G600*H600/k_n</f>
        <v/>
      </c>
      <c r="S600">
        <f>L600-LTP3!$D$3*G600/k_n</f>
        <v/>
      </c>
      <c r="T600">
        <f>M600-LTP3!$D$3*H600/k_n</f>
        <v/>
      </c>
      <c r="U600">
        <f>N600-G600*LTP3!$D$4/k_n</f>
        <v/>
      </c>
      <c r="V600">
        <f>O600-H600*LTP3!$D$4/k_n</f>
        <v/>
      </c>
      <c r="W600">
        <f>((LTP3!$D$5)*((P600)*(Q600)-(R600)*(R600))-(S600)*((S600)*(Q600)-(R600)*(T600))+(T600)*((S600)*(R600)-(P600)*(T600)))</f>
        <v/>
      </c>
      <c r="X600">
        <f>IF(ABS(W600)&gt;1E-12,((LTP3!$D$6)*((P600)*(Q600)-(R600)*(R600))-(S600)*((U600)*(Q600)-(R600)*(V600))+(T600)*((U600)*(R600)-(P600)*(V600)))/W600,0)</f>
        <v/>
      </c>
      <c r="Y600">
        <f>IF(ABS(W600)&gt;1E-12,((LTP3!$D$5)*((U600)*(Q600)-(R600)*(V600))-(LTP3!$D$6)*((S600)*(Q600)-(R600)*(T600))+(T600)*((S600)*(V600)-(U600)*(T600)))/W600,0)</f>
        <v/>
      </c>
      <c r="Z600">
        <f>IF(ABS(W600)&gt;1E-12,((LTP3!$D$5)*((P600)*(V600)-(U600)*(R600))-(S600)*((S600)*(V600)-(U600)*(T600))+(LTP3!$D$6)*((S600)*(R600)-(P600)*(T600)))/W600,0)</f>
        <v/>
      </c>
      <c r="AA600">
        <f>LTP3!$D$7-X600*LTP3!$D$6-Y600*U600-Z600*V600</f>
        <v/>
      </c>
      <c r="AB600">
        <f>IF(AND(F600,ABS(W600)&gt;1E-12,Y600&gt;0,Z600&gt;0),AA600,1E+300)</f>
        <v/>
      </c>
    </row>
    <row r="601">
      <c r="A601">
        <f>$B$3+$B$5*9</f>
        <v/>
      </c>
      <c r="B601">
        <f>$B$3+$B$5*40</f>
        <v/>
      </c>
      <c r="C601">
        <f>SUMPRODUCT(Calc!$K$3:$K$22*(Calc!$G$3:$G$22&lt;=A601))</f>
        <v/>
      </c>
      <c r="D601">
        <f>SUMPRODUCT(Calc!$K$3:$K$22*(Calc!$G$3:$G$22&gt;A601)*(Calc!$G$3:$G$22&lt;B601))</f>
        <v/>
      </c>
      <c r="E601">
        <f>SUMPRODUCT(Calc!$K$3:$K$22*(Calc!$G$3:$G$22&gt;=B601))</f>
        <v/>
      </c>
      <c r="F601">
        <f>AND(k_n&gt;=5,B601&gt;A601+1E-9,C601&gt;=2,D601&gt;=1,E601&gt;=2)</f>
        <v/>
      </c>
      <c r="G601">
        <f>SUMPRODUCT(Calc!$K$3:$K$22*(Calc!$G$3:$G$22&gt;A601)*(Calc!$G$3:$G$22-A601))</f>
        <v/>
      </c>
      <c r="H601">
        <f>SUMPRODUCT(Calc!$K$3:$K$22*(Calc!$G$3:$G$22&gt;B601)*(Calc!$G$3:$G$22-B601))</f>
        <v/>
      </c>
      <c r="I601">
        <f>SUMPRODUCT(Calc!$K$3:$K$22*(Calc!$G$3:$G$22&gt;A601)*(Calc!$G$3:$G$22-A601)^2)</f>
        <v/>
      </c>
      <c r="J601">
        <f>SUMPRODUCT(Calc!$K$3:$K$22*(Calc!$G$3:$G$22&gt;B601)*(Calc!$G$3:$G$22-B601)^2)</f>
        <v/>
      </c>
      <c r="K601">
        <f>SUMPRODUCT(Calc!$K$3:$K$22*(Calc!$G$3:$G$22&gt;A601)*(Calc!$G$3:$G$22-A601)*(Calc!$G$3:$G$22&gt;B601)*(Calc!$G$3:$G$22-B601))</f>
        <v/>
      </c>
      <c r="L601">
        <f>SUMPRODUCT(Calc!$K$3:$K$22*(Calc!$G$3:$G$22&gt;A601)*(Calc!$G$3:$G$22-A601)*Calc!$G$3:$G$22)</f>
        <v/>
      </c>
      <c r="M601">
        <f>SUMPRODUCT(Calc!$K$3:$K$22*(Calc!$G$3:$G$22&gt;B601)*(Calc!$G$3:$G$22-B601)*Calc!$G$3:$G$22)</f>
        <v/>
      </c>
      <c r="N601">
        <f>SUMPRODUCT(Calc!$K$3:$K$22*(Calc!$G$3:$G$22&gt;A601)*(Calc!$G$3:$G$22-A601)*Calc!$I$3:$I$22)</f>
        <v/>
      </c>
      <c r="O601">
        <f>SUMPRODUCT(Calc!$K$3:$K$22*(Calc!$G$3:$G$22&gt;B601)*(Calc!$G$3:$G$22-B601)*Calc!$I$3:$I$22)</f>
        <v/>
      </c>
      <c r="P601">
        <f>I601-G601^2/k_n</f>
        <v/>
      </c>
      <c r="Q601">
        <f>J601-H601^2/k_n</f>
        <v/>
      </c>
      <c r="R601">
        <f>K601-G601*H601/k_n</f>
        <v/>
      </c>
      <c r="S601">
        <f>L601-LTP3!$D$3*G601/k_n</f>
        <v/>
      </c>
      <c r="T601">
        <f>M601-LTP3!$D$3*H601/k_n</f>
        <v/>
      </c>
      <c r="U601">
        <f>N601-G601*LTP3!$D$4/k_n</f>
        <v/>
      </c>
      <c r="V601">
        <f>O601-H601*LTP3!$D$4/k_n</f>
        <v/>
      </c>
      <c r="W601">
        <f>((LTP3!$D$5)*((P601)*(Q601)-(R601)*(R601))-(S601)*((S601)*(Q601)-(R601)*(T601))+(T601)*((S601)*(R601)-(P601)*(T601)))</f>
        <v/>
      </c>
      <c r="X601">
        <f>IF(ABS(W601)&gt;1E-12,((LTP3!$D$6)*((P601)*(Q601)-(R601)*(R601))-(S601)*((U601)*(Q601)-(R601)*(V601))+(T601)*((U601)*(R601)-(P601)*(V601)))/W601,0)</f>
        <v/>
      </c>
      <c r="Y601">
        <f>IF(ABS(W601)&gt;1E-12,((LTP3!$D$5)*((U601)*(Q601)-(R601)*(V601))-(LTP3!$D$6)*((S601)*(Q601)-(R601)*(T601))+(T601)*((S601)*(V601)-(U601)*(T601)))/W601,0)</f>
        <v/>
      </c>
      <c r="Z601">
        <f>IF(ABS(W601)&gt;1E-12,((LTP3!$D$5)*((P601)*(V601)-(U601)*(R601))-(S601)*((S601)*(V601)-(U601)*(T601))+(LTP3!$D$6)*((S601)*(R601)-(P601)*(T601)))/W601,0)</f>
        <v/>
      </c>
      <c r="AA601">
        <f>LTP3!$D$7-X601*LTP3!$D$6-Y601*U601-Z601*V601</f>
        <v/>
      </c>
      <c r="AB601">
        <f>IF(AND(F601,ABS(W601)&gt;1E-12,Y601&gt;0,Z601&gt;0),AA601,1E+300)</f>
        <v/>
      </c>
    </row>
    <row r="602">
      <c r="A602">
        <f>$B$3+$B$5*9</f>
        <v/>
      </c>
      <c r="B602">
        <f>$B$3+$B$5*41</f>
        <v/>
      </c>
      <c r="C602">
        <f>SUMPRODUCT(Calc!$K$3:$K$22*(Calc!$G$3:$G$22&lt;=A602))</f>
        <v/>
      </c>
      <c r="D602">
        <f>SUMPRODUCT(Calc!$K$3:$K$22*(Calc!$G$3:$G$22&gt;A602)*(Calc!$G$3:$G$22&lt;B602))</f>
        <v/>
      </c>
      <c r="E602">
        <f>SUMPRODUCT(Calc!$K$3:$K$22*(Calc!$G$3:$G$22&gt;=B602))</f>
        <v/>
      </c>
      <c r="F602">
        <f>AND(k_n&gt;=5,B602&gt;A602+1E-9,C602&gt;=2,D602&gt;=1,E602&gt;=2)</f>
        <v/>
      </c>
      <c r="G602">
        <f>SUMPRODUCT(Calc!$K$3:$K$22*(Calc!$G$3:$G$22&gt;A602)*(Calc!$G$3:$G$22-A602))</f>
        <v/>
      </c>
      <c r="H602">
        <f>SUMPRODUCT(Calc!$K$3:$K$22*(Calc!$G$3:$G$22&gt;B602)*(Calc!$G$3:$G$22-B602))</f>
        <v/>
      </c>
      <c r="I602">
        <f>SUMPRODUCT(Calc!$K$3:$K$22*(Calc!$G$3:$G$22&gt;A602)*(Calc!$G$3:$G$22-A602)^2)</f>
        <v/>
      </c>
      <c r="J602">
        <f>SUMPRODUCT(Calc!$K$3:$K$22*(Calc!$G$3:$G$22&gt;B602)*(Calc!$G$3:$G$22-B602)^2)</f>
        <v/>
      </c>
      <c r="K602">
        <f>SUMPRODUCT(Calc!$K$3:$K$22*(Calc!$G$3:$G$22&gt;A602)*(Calc!$G$3:$G$22-A602)*(Calc!$G$3:$G$22&gt;B602)*(Calc!$G$3:$G$22-B602))</f>
        <v/>
      </c>
      <c r="L602">
        <f>SUMPRODUCT(Calc!$K$3:$K$22*(Calc!$G$3:$G$22&gt;A602)*(Calc!$G$3:$G$22-A602)*Calc!$G$3:$G$22)</f>
        <v/>
      </c>
      <c r="M602">
        <f>SUMPRODUCT(Calc!$K$3:$K$22*(Calc!$G$3:$G$22&gt;B602)*(Calc!$G$3:$G$22-B602)*Calc!$G$3:$G$22)</f>
        <v/>
      </c>
      <c r="N602">
        <f>SUMPRODUCT(Calc!$K$3:$K$22*(Calc!$G$3:$G$22&gt;A602)*(Calc!$G$3:$G$22-A602)*Calc!$I$3:$I$22)</f>
        <v/>
      </c>
      <c r="O602">
        <f>SUMPRODUCT(Calc!$K$3:$K$22*(Calc!$G$3:$G$22&gt;B602)*(Calc!$G$3:$G$22-B602)*Calc!$I$3:$I$22)</f>
        <v/>
      </c>
      <c r="P602">
        <f>I602-G602^2/k_n</f>
        <v/>
      </c>
      <c r="Q602">
        <f>J602-H602^2/k_n</f>
        <v/>
      </c>
      <c r="R602">
        <f>K602-G602*H602/k_n</f>
        <v/>
      </c>
      <c r="S602">
        <f>L602-LTP3!$D$3*G602/k_n</f>
        <v/>
      </c>
      <c r="T602">
        <f>M602-LTP3!$D$3*H602/k_n</f>
        <v/>
      </c>
      <c r="U602">
        <f>N602-G602*LTP3!$D$4/k_n</f>
        <v/>
      </c>
      <c r="V602">
        <f>O602-H602*LTP3!$D$4/k_n</f>
        <v/>
      </c>
      <c r="W602">
        <f>((LTP3!$D$5)*((P602)*(Q602)-(R602)*(R602))-(S602)*((S602)*(Q602)-(R602)*(T602))+(T602)*((S602)*(R602)-(P602)*(T602)))</f>
        <v/>
      </c>
      <c r="X602">
        <f>IF(ABS(W602)&gt;1E-12,((LTP3!$D$6)*((P602)*(Q602)-(R602)*(R602))-(S602)*((U602)*(Q602)-(R602)*(V602))+(T602)*((U602)*(R602)-(P602)*(V602)))/W602,0)</f>
        <v/>
      </c>
      <c r="Y602">
        <f>IF(ABS(W602)&gt;1E-12,((LTP3!$D$5)*((U602)*(Q602)-(R602)*(V602))-(LTP3!$D$6)*((S602)*(Q602)-(R602)*(T602))+(T602)*((S602)*(V602)-(U602)*(T602)))/W602,0)</f>
        <v/>
      </c>
      <c r="Z602">
        <f>IF(ABS(W602)&gt;1E-12,((LTP3!$D$5)*((P602)*(V602)-(U602)*(R602))-(S602)*((S602)*(V602)-(U602)*(T602))+(LTP3!$D$6)*((S602)*(R602)-(P602)*(T602)))/W602,0)</f>
        <v/>
      </c>
      <c r="AA602">
        <f>LTP3!$D$7-X602*LTP3!$D$6-Y602*U602-Z602*V602</f>
        <v/>
      </c>
      <c r="AB602">
        <f>IF(AND(F602,ABS(W602)&gt;1E-12,Y602&gt;0,Z602&gt;0),AA602,1E+300)</f>
        <v/>
      </c>
    </row>
    <row r="603">
      <c r="A603">
        <f>$B$3+$B$5*9</f>
        <v/>
      </c>
      <c r="B603">
        <f>$B$3+$B$5*42</f>
        <v/>
      </c>
      <c r="C603">
        <f>SUMPRODUCT(Calc!$K$3:$K$22*(Calc!$G$3:$G$22&lt;=A603))</f>
        <v/>
      </c>
      <c r="D603">
        <f>SUMPRODUCT(Calc!$K$3:$K$22*(Calc!$G$3:$G$22&gt;A603)*(Calc!$G$3:$G$22&lt;B603))</f>
        <v/>
      </c>
      <c r="E603">
        <f>SUMPRODUCT(Calc!$K$3:$K$22*(Calc!$G$3:$G$22&gt;=B603))</f>
        <v/>
      </c>
      <c r="F603">
        <f>AND(k_n&gt;=5,B603&gt;A603+1E-9,C603&gt;=2,D603&gt;=1,E603&gt;=2)</f>
        <v/>
      </c>
      <c r="G603">
        <f>SUMPRODUCT(Calc!$K$3:$K$22*(Calc!$G$3:$G$22&gt;A603)*(Calc!$G$3:$G$22-A603))</f>
        <v/>
      </c>
      <c r="H603">
        <f>SUMPRODUCT(Calc!$K$3:$K$22*(Calc!$G$3:$G$22&gt;B603)*(Calc!$G$3:$G$22-B603))</f>
        <v/>
      </c>
      <c r="I603">
        <f>SUMPRODUCT(Calc!$K$3:$K$22*(Calc!$G$3:$G$22&gt;A603)*(Calc!$G$3:$G$22-A603)^2)</f>
        <v/>
      </c>
      <c r="J603">
        <f>SUMPRODUCT(Calc!$K$3:$K$22*(Calc!$G$3:$G$22&gt;B603)*(Calc!$G$3:$G$22-B603)^2)</f>
        <v/>
      </c>
      <c r="K603">
        <f>SUMPRODUCT(Calc!$K$3:$K$22*(Calc!$G$3:$G$22&gt;A603)*(Calc!$G$3:$G$22-A603)*(Calc!$G$3:$G$22&gt;B603)*(Calc!$G$3:$G$22-B603))</f>
        <v/>
      </c>
      <c r="L603">
        <f>SUMPRODUCT(Calc!$K$3:$K$22*(Calc!$G$3:$G$22&gt;A603)*(Calc!$G$3:$G$22-A603)*Calc!$G$3:$G$22)</f>
        <v/>
      </c>
      <c r="M603">
        <f>SUMPRODUCT(Calc!$K$3:$K$22*(Calc!$G$3:$G$22&gt;B603)*(Calc!$G$3:$G$22-B603)*Calc!$G$3:$G$22)</f>
        <v/>
      </c>
      <c r="N603">
        <f>SUMPRODUCT(Calc!$K$3:$K$22*(Calc!$G$3:$G$22&gt;A603)*(Calc!$G$3:$G$22-A603)*Calc!$I$3:$I$22)</f>
        <v/>
      </c>
      <c r="O603">
        <f>SUMPRODUCT(Calc!$K$3:$K$22*(Calc!$G$3:$G$22&gt;B603)*(Calc!$G$3:$G$22-B603)*Calc!$I$3:$I$22)</f>
        <v/>
      </c>
      <c r="P603">
        <f>I603-G603^2/k_n</f>
        <v/>
      </c>
      <c r="Q603">
        <f>J603-H603^2/k_n</f>
        <v/>
      </c>
      <c r="R603">
        <f>K603-G603*H603/k_n</f>
        <v/>
      </c>
      <c r="S603">
        <f>L603-LTP3!$D$3*G603/k_n</f>
        <v/>
      </c>
      <c r="T603">
        <f>M603-LTP3!$D$3*H603/k_n</f>
        <v/>
      </c>
      <c r="U603">
        <f>N603-G603*LTP3!$D$4/k_n</f>
        <v/>
      </c>
      <c r="V603">
        <f>O603-H603*LTP3!$D$4/k_n</f>
        <v/>
      </c>
      <c r="W603">
        <f>((LTP3!$D$5)*((P603)*(Q603)-(R603)*(R603))-(S603)*((S603)*(Q603)-(R603)*(T603))+(T603)*((S603)*(R603)-(P603)*(T603)))</f>
        <v/>
      </c>
      <c r="X603">
        <f>IF(ABS(W603)&gt;1E-12,((LTP3!$D$6)*((P603)*(Q603)-(R603)*(R603))-(S603)*((U603)*(Q603)-(R603)*(V603))+(T603)*((U603)*(R603)-(P603)*(V603)))/W603,0)</f>
        <v/>
      </c>
      <c r="Y603">
        <f>IF(ABS(W603)&gt;1E-12,((LTP3!$D$5)*((U603)*(Q603)-(R603)*(V603))-(LTP3!$D$6)*((S603)*(Q603)-(R603)*(T603))+(T603)*((S603)*(V603)-(U603)*(T603)))/W603,0)</f>
        <v/>
      </c>
      <c r="Z603">
        <f>IF(ABS(W603)&gt;1E-12,((LTP3!$D$5)*((P603)*(V603)-(U603)*(R603))-(S603)*((S603)*(V603)-(U603)*(T603))+(LTP3!$D$6)*((S603)*(R603)-(P603)*(T603)))/W603,0)</f>
        <v/>
      </c>
      <c r="AA603">
        <f>LTP3!$D$7-X603*LTP3!$D$6-Y603*U603-Z603*V603</f>
        <v/>
      </c>
      <c r="AB603">
        <f>IF(AND(F603,ABS(W603)&gt;1E-12,Y603&gt;0,Z603&gt;0),AA603,1E+300)</f>
        <v/>
      </c>
    </row>
    <row r="604">
      <c r="A604">
        <f>$B$3+$B$5*9</f>
        <v/>
      </c>
      <c r="B604">
        <f>$B$3+$B$5*43</f>
        <v/>
      </c>
      <c r="C604">
        <f>SUMPRODUCT(Calc!$K$3:$K$22*(Calc!$G$3:$G$22&lt;=A604))</f>
        <v/>
      </c>
      <c r="D604">
        <f>SUMPRODUCT(Calc!$K$3:$K$22*(Calc!$G$3:$G$22&gt;A604)*(Calc!$G$3:$G$22&lt;B604))</f>
        <v/>
      </c>
      <c r="E604">
        <f>SUMPRODUCT(Calc!$K$3:$K$22*(Calc!$G$3:$G$22&gt;=B604))</f>
        <v/>
      </c>
      <c r="F604">
        <f>AND(k_n&gt;=5,B604&gt;A604+1E-9,C604&gt;=2,D604&gt;=1,E604&gt;=2)</f>
        <v/>
      </c>
      <c r="G604">
        <f>SUMPRODUCT(Calc!$K$3:$K$22*(Calc!$G$3:$G$22&gt;A604)*(Calc!$G$3:$G$22-A604))</f>
        <v/>
      </c>
      <c r="H604">
        <f>SUMPRODUCT(Calc!$K$3:$K$22*(Calc!$G$3:$G$22&gt;B604)*(Calc!$G$3:$G$22-B604))</f>
        <v/>
      </c>
      <c r="I604">
        <f>SUMPRODUCT(Calc!$K$3:$K$22*(Calc!$G$3:$G$22&gt;A604)*(Calc!$G$3:$G$22-A604)^2)</f>
        <v/>
      </c>
      <c r="J604">
        <f>SUMPRODUCT(Calc!$K$3:$K$22*(Calc!$G$3:$G$22&gt;B604)*(Calc!$G$3:$G$22-B604)^2)</f>
        <v/>
      </c>
      <c r="K604">
        <f>SUMPRODUCT(Calc!$K$3:$K$22*(Calc!$G$3:$G$22&gt;A604)*(Calc!$G$3:$G$22-A604)*(Calc!$G$3:$G$22&gt;B604)*(Calc!$G$3:$G$22-B604))</f>
        <v/>
      </c>
      <c r="L604">
        <f>SUMPRODUCT(Calc!$K$3:$K$22*(Calc!$G$3:$G$22&gt;A604)*(Calc!$G$3:$G$22-A604)*Calc!$G$3:$G$22)</f>
        <v/>
      </c>
      <c r="M604">
        <f>SUMPRODUCT(Calc!$K$3:$K$22*(Calc!$G$3:$G$22&gt;B604)*(Calc!$G$3:$G$22-B604)*Calc!$G$3:$G$22)</f>
        <v/>
      </c>
      <c r="N604">
        <f>SUMPRODUCT(Calc!$K$3:$K$22*(Calc!$G$3:$G$22&gt;A604)*(Calc!$G$3:$G$22-A604)*Calc!$I$3:$I$22)</f>
        <v/>
      </c>
      <c r="O604">
        <f>SUMPRODUCT(Calc!$K$3:$K$22*(Calc!$G$3:$G$22&gt;B604)*(Calc!$G$3:$G$22-B604)*Calc!$I$3:$I$22)</f>
        <v/>
      </c>
      <c r="P604">
        <f>I604-G604^2/k_n</f>
        <v/>
      </c>
      <c r="Q604">
        <f>J604-H604^2/k_n</f>
        <v/>
      </c>
      <c r="R604">
        <f>K604-G604*H604/k_n</f>
        <v/>
      </c>
      <c r="S604">
        <f>L604-LTP3!$D$3*G604/k_n</f>
        <v/>
      </c>
      <c r="T604">
        <f>M604-LTP3!$D$3*H604/k_n</f>
        <v/>
      </c>
      <c r="U604">
        <f>N604-G604*LTP3!$D$4/k_n</f>
        <v/>
      </c>
      <c r="V604">
        <f>O604-H604*LTP3!$D$4/k_n</f>
        <v/>
      </c>
      <c r="W604">
        <f>((LTP3!$D$5)*((P604)*(Q604)-(R604)*(R604))-(S604)*((S604)*(Q604)-(R604)*(T604))+(T604)*((S604)*(R604)-(P604)*(T604)))</f>
        <v/>
      </c>
      <c r="X604">
        <f>IF(ABS(W604)&gt;1E-12,((LTP3!$D$6)*((P604)*(Q604)-(R604)*(R604))-(S604)*((U604)*(Q604)-(R604)*(V604))+(T604)*((U604)*(R604)-(P604)*(V604)))/W604,0)</f>
        <v/>
      </c>
      <c r="Y604">
        <f>IF(ABS(W604)&gt;1E-12,((LTP3!$D$5)*((U604)*(Q604)-(R604)*(V604))-(LTP3!$D$6)*((S604)*(Q604)-(R604)*(T604))+(T604)*((S604)*(V604)-(U604)*(T604)))/W604,0)</f>
        <v/>
      </c>
      <c r="Z604">
        <f>IF(ABS(W604)&gt;1E-12,((LTP3!$D$5)*((P604)*(V604)-(U604)*(R604))-(S604)*((S604)*(V604)-(U604)*(T604))+(LTP3!$D$6)*((S604)*(R604)-(P604)*(T604)))/W604,0)</f>
        <v/>
      </c>
      <c r="AA604">
        <f>LTP3!$D$7-X604*LTP3!$D$6-Y604*U604-Z604*V604</f>
        <v/>
      </c>
      <c r="AB604">
        <f>IF(AND(F604,ABS(W604)&gt;1E-12,Y604&gt;0,Z604&gt;0),AA604,1E+300)</f>
        <v/>
      </c>
    </row>
    <row r="605">
      <c r="A605">
        <f>$B$3+$B$5*9</f>
        <v/>
      </c>
      <c r="B605">
        <f>$B$3+$B$5*44</f>
        <v/>
      </c>
      <c r="C605">
        <f>SUMPRODUCT(Calc!$K$3:$K$22*(Calc!$G$3:$G$22&lt;=A605))</f>
        <v/>
      </c>
      <c r="D605">
        <f>SUMPRODUCT(Calc!$K$3:$K$22*(Calc!$G$3:$G$22&gt;A605)*(Calc!$G$3:$G$22&lt;B605))</f>
        <v/>
      </c>
      <c r="E605">
        <f>SUMPRODUCT(Calc!$K$3:$K$22*(Calc!$G$3:$G$22&gt;=B605))</f>
        <v/>
      </c>
      <c r="F605">
        <f>AND(k_n&gt;=5,B605&gt;A605+1E-9,C605&gt;=2,D605&gt;=1,E605&gt;=2)</f>
        <v/>
      </c>
      <c r="G605">
        <f>SUMPRODUCT(Calc!$K$3:$K$22*(Calc!$G$3:$G$22&gt;A605)*(Calc!$G$3:$G$22-A605))</f>
        <v/>
      </c>
      <c r="H605">
        <f>SUMPRODUCT(Calc!$K$3:$K$22*(Calc!$G$3:$G$22&gt;B605)*(Calc!$G$3:$G$22-B605))</f>
        <v/>
      </c>
      <c r="I605">
        <f>SUMPRODUCT(Calc!$K$3:$K$22*(Calc!$G$3:$G$22&gt;A605)*(Calc!$G$3:$G$22-A605)^2)</f>
        <v/>
      </c>
      <c r="J605">
        <f>SUMPRODUCT(Calc!$K$3:$K$22*(Calc!$G$3:$G$22&gt;B605)*(Calc!$G$3:$G$22-B605)^2)</f>
        <v/>
      </c>
      <c r="K605">
        <f>SUMPRODUCT(Calc!$K$3:$K$22*(Calc!$G$3:$G$22&gt;A605)*(Calc!$G$3:$G$22-A605)*(Calc!$G$3:$G$22&gt;B605)*(Calc!$G$3:$G$22-B605))</f>
        <v/>
      </c>
      <c r="L605">
        <f>SUMPRODUCT(Calc!$K$3:$K$22*(Calc!$G$3:$G$22&gt;A605)*(Calc!$G$3:$G$22-A605)*Calc!$G$3:$G$22)</f>
        <v/>
      </c>
      <c r="M605">
        <f>SUMPRODUCT(Calc!$K$3:$K$22*(Calc!$G$3:$G$22&gt;B605)*(Calc!$G$3:$G$22-B605)*Calc!$G$3:$G$22)</f>
        <v/>
      </c>
      <c r="N605">
        <f>SUMPRODUCT(Calc!$K$3:$K$22*(Calc!$G$3:$G$22&gt;A605)*(Calc!$G$3:$G$22-A605)*Calc!$I$3:$I$22)</f>
        <v/>
      </c>
      <c r="O605">
        <f>SUMPRODUCT(Calc!$K$3:$K$22*(Calc!$G$3:$G$22&gt;B605)*(Calc!$G$3:$G$22-B605)*Calc!$I$3:$I$22)</f>
        <v/>
      </c>
      <c r="P605">
        <f>I605-G605^2/k_n</f>
        <v/>
      </c>
      <c r="Q605">
        <f>J605-H605^2/k_n</f>
        <v/>
      </c>
      <c r="R605">
        <f>K605-G605*H605/k_n</f>
        <v/>
      </c>
      <c r="S605">
        <f>L605-LTP3!$D$3*G605/k_n</f>
        <v/>
      </c>
      <c r="T605">
        <f>M605-LTP3!$D$3*H605/k_n</f>
        <v/>
      </c>
      <c r="U605">
        <f>N605-G605*LTP3!$D$4/k_n</f>
        <v/>
      </c>
      <c r="V605">
        <f>O605-H605*LTP3!$D$4/k_n</f>
        <v/>
      </c>
      <c r="W605">
        <f>((LTP3!$D$5)*((P605)*(Q605)-(R605)*(R605))-(S605)*((S605)*(Q605)-(R605)*(T605))+(T605)*((S605)*(R605)-(P605)*(T605)))</f>
        <v/>
      </c>
      <c r="X605">
        <f>IF(ABS(W605)&gt;1E-12,((LTP3!$D$6)*((P605)*(Q605)-(R605)*(R605))-(S605)*((U605)*(Q605)-(R605)*(V605))+(T605)*((U605)*(R605)-(P605)*(V605)))/W605,0)</f>
        <v/>
      </c>
      <c r="Y605">
        <f>IF(ABS(W605)&gt;1E-12,((LTP3!$D$5)*((U605)*(Q605)-(R605)*(V605))-(LTP3!$D$6)*((S605)*(Q605)-(R605)*(T605))+(T605)*((S605)*(V605)-(U605)*(T605)))/W605,0)</f>
        <v/>
      </c>
      <c r="Z605">
        <f>IF(ABS(W605)&gt;1E-12,((LTP3!$D$5)*((P605)*(V605)-(U605)*(R605))-(S605)*((S605)*(V605)-(U605)*(T605))+(LTP3!$D$6)*((S605)*(R605)-(P605)*(T605)))/W605,0)</f>
        <v/>
      </c>
      <c r="AA605">
        <f>LTP3!$D$7-X605*LTP3!$D$6-Y605*U605-Z605*V605</f>
        <v/>
      </c>
      <c r="AB605">
        <f>IF(AND(F605,ABS(W605)&gt;1E-12,Y605&gt;0,Z605&gt;0),AA605,1E+300)</f>
        <v/>
      </c>
    </row>
    <row r="606">
      <c r="A606">
        <f>$B$3+$B$5*9</f>
        <v/>
      </c>
      <c r="B606">
        <f>$B$3+$B$5*45</f>
        <v/>
      </c>
      <c r="C606">
        <f>SUMPRODUCT(Calc!$K$3:$K$22*(Calc!$G$3:$G$22&lt;=A606))</f>
        <v/>
      </c>
      <c r="D606">
        <f>SUMPRODUCT(Calc!$K$3:$K$22*(Calc!$G$3:$G$22&gt;A606)*(Calc!$G$3:$G$22&lt;B606))</f>
        <v/>
      </c>
      <c r="E606">
        <f>SUMPRODUCT(Calc!$K$3:$K$22*(Calc!$G$3:$G$22&gt;=B606))</f>
        <v/>
      </c>
      <c r="F606">
        <f>AND(k_n&gt;=5,B606&gt;A606+1E-9,C606&gt;=2,D606&gt;=1,E606&gt;=2)</f>
        <v/>
      </c>
      <c r="G606">
        <f>SUMPRODUCT(Calc!$K$3:$K$22*(Calc!$G$3:$G$22&gt;A606)*(Calc!$G$3:$G$22-A606))</f>
        <v/>
      </c>
      <c r="H606">
        <f>SUMPRODUCT(Calc!$K$3:$K$22*(Calc!$G$3:$G$22&gt;B606)*(Calc!$G$3:$G$22-B606))</f>
        <v/>
      </c>
      <c r="I606">
        <f>SUMPRODUCT(Calc!$K$3:$K$22*(Calc!$G$3:$G$22&gt;A606)*(Calc!$G$3:$G$22-A606)^2)</f>
        <v/>
      </c>
      <c r="J606">
        <f>SUMPRODUCT(Calc!$K$3:$K$22*(Calc!$G$3:$G$22&gt;B606)*(Calc!$G$3:$G$22-B606)^2)</f>
        <v/>
      </c>
      <c r="K606">
        <f>SUMPRODUCT(Calc!$K$3:$K$22*(Calc!$G$3:$G$22&gt;A606)*(Calc!$G$3:$G$22-A606)*(Calc!$G$3:$G$22&gt;B606)*(Calc!$G$3:$G$22-B606))</f>
        <v/>
      </c>
      <c r="L606">
        <f>SUMPRODUCT(Calc!$K$3:$K$22*(Calc!$G$3:$G$22&gt;A606)*(Calc!$G$3:$G$22-A606)*Calc!$G$3:$G$22)</f>
        <v/>
      </c>
      <c r="M606">
        <f>SUMPRODUCT(Calc!$K$3:$K$22*(Calc!$G$3:$G$22&gt;B606)*(Calc!$G$3:$G$22-B606)*Calc!$G$3:$G$22)</f>
        <v/>
      </c>
      <c r="N606">
        <f>SUMPRODUCT(Calc!$K$3:$K$22*(Calc!$G$3:$G$22&gt;A606)*(Calc!$G$3:$G$22-A606)*Calc!$I$3:$I$22)</f>
        <v/>
      </c>
      <c r="O606">
        <f>SUMPRODUCT(Calc!$K$3:$K$22*(Calc!$G$3:$G$22&gt;B606)*(Calc!$G$3:$G$22-B606)*Calc!$I$3:$I$22)</f>
        <v/>
      </c>
      <c r="P606">
        <f>I606-G606^2/k_n</f>
        <v/>
      </c>
      <c r="Q606">
        <f>J606-H606^2/k_n</f>
        <v/>
      </c>
      <c r="R606">
        <f>K606-G606*H606/k_n</f>
        <v/>
      </c>
      <c r="S606">
        <f>L606-LTP3!$D$3*G606/k_n</f>
        <v/>
      </c>
      <c r="T606">
        <f>M606-LTP3!$D$3*H606/k_n</f>
        <v/>
      </c>
      <c r="U606">
        <f>N606-G606*LTP3!$D$4/k_n</f>
        <v/>
      </c>
      <c r="V606">
        <f>O606-H606*LTP3!$D$4/k_n</f>
        <v/>
      </c>
      <c r="W606">
        <f>((LTP3!$D$5)*((P606)*(Q606)-(R606)*(R606))-(S606)*((S606)*(Q606)-(R606)*(T606))+(T606)*((S606)*(R606)-(P606)*(T606)))</f>
        <v/>
      </c>
      <c r="X606">
        <f>IF(ABS(W606)&gt;1E-12,((LTP3!$D$6)*((P606)*(Q606)-(R606)*(R606))-(S606)*((U606)*(Q606)-(R606)*(V606))+(T606)*((U606)*(R606)-(P606)*(V606)))/W606,0)</f>
        <v/>
      </c>
      <c r="Y606">
        <f>IF(ABS(W606)&gt;1E-12,((LTP3!$D$5)*((U606)*(Q606)-(R606)*(V606))-(LTP3!$D$6)*((S606)*(Q606)-(R606)*(T606))+(T606)*((S606)*(V606)-(U606)*(T606)))/W606,0)</f>
        <v/>
      </c>
      <c r="Z606">
        <f>IF(ABS(W606)&gt;1E-12,((LTP3!$D$5)*((P606)*(V606)-(U606)*(R606))-(S606)*((S606)*(V606)-(U606)*(T606))+(LTP3!$D$6)*((S606)*(R606)-(P606)*(T606)))/W606,0)</f>
        <v/>
      </c>
      <c r="AA606">
        <f>LTP3!$D$7-X606*LTP3!$D$6-Y606*U606-Z606*V606</f>
        <v/>
      </c>
      <c r="AB606">
        <f>IF(AND(F606,ABS(W606)&gt;1E-12,Y606&gt;0,Z606&gt;0),AA606,1E+300)</f>
        <v/>
      </c>
    </row>
    <row r="607">
      <c r="A607">
        <f>$B$3+$B$5*9</f>
        <v/>
      </c>
      <c r="B607">
        <f>$B$3+$B$5*46</f>
        <v/>
      </c>
      <c r="C607">
        <f>SUMPRODUCT(Calc!$K$3:$K$22*(Calc!$G$3:$G$22&lt;=A607))</f>
        <v/>
      </c>
      <c r="D607">
        <f>SUMPRODUCT(Calc!$K$3:$K$22*(Calc!$G$3:$G$22&gt;A607)*(Calc!$G$3:$G$22&lt;B607))</f>
        <v/>
      </c>
      <c r="E607">
        <f>SUMPRODUCT(Calc!$K$3:$K$22*(Calc!$G$3:$G$22&gt;=B607))</f>
        <v/>
      </c>
      <c r="F607">
        <f>AND(k_n&gt;=5,B607&gt;A607+1E-9,C607&gt;=2,D607&gt;=1,E607&gt;=2)</f>
        <v/>
      </c>
      <c r="G607">
        <f>SUMPRODUCT(Calc!$K$3:$K$22*(Calc!$G$3:$G$22&gt;A607)*(Calc!$G$3:$G$22-A607))</f>
        <v/>
      </c>
      <c r="H607">
        <f>SUMPRODUCT(Calc!$K$3:$K$22*(Calc!$G$3:$G$22&gt;B607)*(Calc!$G$3:$G$22-B607))</f>
        <v/>
      </c>
      <c r="I607">
        <f>SUMPRODUCT(Calc!$K$3:$K$22*(Calc!$G$3:$G$22&gt;A607)*(Calc!$G$3:$G$22-A607)^2)</f>
        <v/>
      </c>
      <c r="J607">
        <f>SUMPRODUCT(Calc!$K$3:$K$22*(Calc!$G$3:$G$22&gt;B607)*(Calc!$G$3:$G$22-B607)^2)</f>
        <v/>
      </c>
      <c r="K607">
        <f>SUMPRODUCT(Calc!$K$3:$K$22*(Calc!$G$3:$G$22&gt;A607)*(Calc!$G$3:$G$22-A607)*(Calc!$G$3:$G$22&gt;B607)*(Calc!$G$3:$G$22-B607))</f>
        <v/>
      </c>
      <c r="L607">
        <f>SUMPRODUCT(Calc!$K$3:$K$22*(Calc!$G$3:$G$22&gt;A607)*(Calc!$G$3:$G$22-A607)*Calc!$G$3:$G$22)</f>
        <v/>
      </c>
      <c r="M607">
        <f>SUMPRODUCT(Calc!$K$3:$K$22*(Calc!$G$3:$G$22&gt;B607)*(Calc!$G$3:$G$22-B607)*Calc!$G$3:$G$22)</f>
        <v/>
      </c>
      <c r="N607">
        <f>SUMPRODUCT(Calc!$K$3:$K$22*(Calc!$G$3:$G$22&gt;A607)*(Calc!$G$3:$G$22-A607)*Calc!$I$3:$I$22)</f>
        <v/>
      </c>
      <c r="O607">
        <f>SUMPRODUCT(Calc!$K$3:$K$22*(Calc!$G$3:$G$22&gt;B607)*(Calc!$G$3:$G$22-B607)*Calc!$I$3:$I$22)</f>
        <v/>
      </c>
      <c r="P607">
        <f>I607-G607^2/k_n</f>
        <v/>
      </c>
      <c r="Q607">
        <f>J607-H607^2/k_n</f>
        <v/>
      </c>
      <c r="R607">
        <f>K607-G607*H607/k_n</f>
        <v/>
      </c>
      <c r="S607">
        <f>L607-LTP3!$D$3*G607/k_n</f>
        <v/>
      </c>
      <c r="T607">
        <f>M607-LTP3!$D$3*H607/k_n</f>
        <v/>
      </c>
      <c r="U607">
        <f>N607-G607*LTP3!$D$4/k_n</f>
        <v/>
      </c>
      <c r="V607">
        <f>O607-H607*LTP3!$D$4/k_n</f>
        <v/>
      </c>
      <c r="W607">
        <f>((LTP3!$D$5)*((P607)*(Q607)-(R607)*(R607))-(S607)*((S607)*(Q607)-(R607)*(T607))+(T607)*((S607)*(R607)-(P607)*(T607)))</f>
        <v/>
      </c>
      <c r="X607">
        <f>IF(ABS(W607)&gt;1E-12,((LTP3!$D$6)*((P607)*(Q607)-(R607)*(R607))-(S607)*((U607)*(Q607)-(R607)*(V607))+(T607)*((U607)*(R607)-(P607)*(V607)))/W607,0)</f>
        <v/>
      </c>
      <c r="Y607">
        <f>IF(ABS(W607)&gt;1E-12,((LTP3!$D$5)*((U607)*(Q607)-(R607)*(V607))-(LTP3!$D$6)*((S607)*(Q607)-(R607)*(T607))+(T607)*((S607)*(V607)-(U607)*(T607)))/W607,0)</f>
        <v/>
      </c>
      <c r="Z607">
        <f>IF(ABS(W607)&gt;1E-12,((LTP3!$D$5)*((P607)*(V607)-(U607)*(R607))-(S607)*((S607)*(V607)-(U607)*(T607))+(LTP3!$D$6)*((S607)*(R607)-(P607)*(T607)))/W607,0)</f>
        <v/>
      </c>
      <c r="AA607">
        <f>LTP3!$D$7-X607*LTP3!$D$6-Y607*U607-Z607*V607</f>
        <v/>
      </c>
      <c r="AB607">
        <f>IF(AND(F607,ABS(W607)&gt;1E-12,Y607&gt;0,Z607&gt;0),AA607,1E+300)</f>
        <v/>
      </c>
    </row>
    <row r="608">
      <c r="A608">
        <f>$B$3+$B$5*9</f>
        <v/>
      </c>
      <c r="B608">
        <f>$B$3+$B$5*47</f>
        <v/>
      </c>
      <c r="C608">
        <f>SUMPRODUCT(Calc!$K$3:$K$22*(Calc!$G$3:$G$22&lt;=A608))</f>
        <v/>
      </c>
      <c r="D608">
        <f>SUMPRODUCT(Calc!$K$3:$K$22*(Calc!$G$3:$G$22&gt;A608)*(Calc!$G$3:$G$22&lt;B608))</f>
        <v/>
      </c>
      <c r="E608">
        <f>SUMPRODUCT(Calc!$K$3:$K$22*(Calc!$G$3:$G$22&gt;=B608))</f>
        <v/>
      </c>
      <c r="F608">
        <f>AND(k_n&gt;=5,B608&gt;A608+1E-9,C608&gt;=2,D608&gt;=1,E608&gt;=2)</f>
        <v/>
      </c>
      <c r="G608">
        <f>SUMPRODUCT(Calc!$K$3:$K$22*(Calc!$G$3:$G$22&gt;A608)*(Calc!$G$3:$G$22-A608))</f>
        <v/>
      </c>
      <c r="H608">
        <f>SUMPRODUCT(Calc!$K$3:$K$22*(Calc!$G$3:$G$22&gt;B608)*(Calc!$G$3:$G$22-B608))</f>
        <v/>
      </c>
      <c r="I608">
        <f>SUMPRODUCT(Calc!$K$3:$K$22*(Calc!$G$3:$G$22&gt;A608)*(Calc!$G$3:$G$22-A608)^2)</f>
        <v/>
      </c>
      <c r="J608">
        <f>SUMPRODUCT(Calc!$K$3:$K$22*(Calc!$G$3:$G$22&gt;B608)*(Calc!$G$3:$G$22-B608)^2)</f>
        <v/>
      </c>
      <c r="K608">
        <f>SUMPRODUCT(Calc!$K$3:$K$22*(Calc!$G$3:$G$22&gt;A608)*(Calc!$G$3:$G$22-A608)*(Calc!$G$3:$G$22&gt;B608)*(Calc!$G$3:$G$22-B608))</f>
        <v/>
      </c>
      <c r="L608">
        <f>SUMPRODUCT(Calc!$K$3:$K$22*(Calc!$G$3:$G$22&gt;A608)*(Calc!$G$3:$G$22-A608)*Calc!$G$3:$G$22)</f>
        <v/>
      </c>
      <c r="M608">
        <f>SUMPRODUCT(Calc!$K$3:$K$22*(Calc!$G$3:$G$22&gt;B608)*(Calc!$G$3:$G$22-B608)*Calc!$G$3:$G$22)</f>
        <v/>
      </c>
      <c r="N608">
        <f>SUMPRODUCT(Calc!$K$3:$K$22*(Calc!$G$3:$G$22&gt;A608)*(Calc!$G$3:$G$22-A608)*Calc!$I$3:$I$22)</f>
        <v/>
      </c>
      <c r="O608">
        <f>SUMPRODUCT(Calc!$K$3:$K$22*(Calc!$G$3:$G$22&gt;B608)*(Calc!$G$3:$G$22-B608)*Calc!$I$3:$I$22)</f>
        <v/>
      </c>
      <c r="P608">
        <f>I608-G608^2/k_n</f>
        <v/>
      </c>
      <c r="Q608">
        <f>J608-H608^2/k_n</f>
        <v/>
      </c>
      <c r="R608">
        <f>K608-G608*H608/k_n</f>
        <v/>
      </c>
      <c r="S608">
        <f>L608-LTP3!$D$3*G608/k_n</f>
        <v/>
      </c>
      <c r="T608">
        <f>M608-LTP3!$D$3*H608/k_n</f>
        <v/>
      </c>
      <c r="U608">
        <f>N608-G608*LTP3!$D$4/k_n</f>
        <v/>
      </c>
      <c r="V608">
        <f>O608-H608*LTP3!$D$4/k_n</f>
        <v/>
      </c>
      <c r="W608">
        <f>((LTP3!$D$5)*((P608)*(Q608)-(R608)*(R608))-(S608)*((S608)*(Q608)-(R608)*(T608))+(T608)*((S608)*(R608)-(P608)*(T608)))</f>
        <v/>
      </c>
      <c r="X608">
        <f>IF(ABS(W608)&gt;1E-12,((LTP3!$D$6)*((P608)*(Q608)-(R608)*(R608))-(S608)*((U608)*(Q608)-(R608)*(V608))+(T608)*((U608)*(R608)-(P608)*(V608)))/W608,0)</f>
        <v/>
      </c>
      <c r="Y608">
        <f>IF(ABS(W608)&gt;1E-12,((LTP3!$D$5)*((U608)*(Q608)-(R608)*(V608))-(LTP3!$D$6)*((S608)*(Q608)-(R608)*(T608))+(T608)*((S608)*(V608)-(U608)*(T608)))/W608,0)</f>
        <v/>
      </c>
      <c r="Z608">
        <f>IF(ABS(W608)&gt;1E-12,((LTP3!$D$5)*((P608)*(V608)-(U608)*(R608))-(S608)*((S608)*(V608)-(U608)*(T608))+(LTP3!$D$6)*((S608)*(R608)-(P608)*(T608)))/W608,0)</f>
        <v/>
      </c>
      <c r="AA608">
        <f>LTP3!$D$7-X608*LTP3!$D$6-Y608*U608-Z608*V608</f>
        <v/>
      </c>
      <c r="AB608">
        <f>IF(AND(F608,ABS(W608)&gt;1E-12,Y608&gt;0,Z608&gt;0),AA608,1E+300)</f>
        <v/>
      </c>
    </row>
    <row r="609">
      <c r="A609">
        <f>$B$3+$B$5*9</f>
        <v/>
      </c>
      <c r="B609">
        <f>$B$3+$B$5*48</f>
        <v/>
      </c>
      <c r="C609">
        <f>SUMPRODUCT(Calc!$K$3:$K$22*(Calc!$G$3:$G$22&lt;=A609))</f>
        <v/>
      </c>
      <c r="D609">
        <f>SUMPRODUCT(Calc!$K$3:$K$22*(Calc!$G$3:$G$22&gt;A609)*(Calc!$G$3:$G$22&lt;B609))</f>
        <v/>
      </c>
      <c r="E609">
        <f>SUMPRODUCT(Calc!$K$3:$K$22*(Calc!$G$3:$G$22&gt;=B609))</f>
        <v/>
      </c>
      <c r="F609">
        <f>AND(k_n&gt;=5,B609&gt;A609+1E-9,C609&gt;=2,D609&gt;=1,E609&gt;=2)</f>
        <v/>
      </c>
      <c r="G609">
        <f>SUMPRODUCT(Calc!$K$3:$K$22*(Calc!$G$3:$G$22&gt;A609)*(Calc!$G$3:$G$22-A609))</f>
        <v/>
      </c>
      <c r="H609">
        <f>SUMPRODUCT(Calc!$K$3:$K$22*(Calc!$G$3:$G$22&gt;B609)*(Calc!$G$3:$G$22-B609))</f>
        <v/>
      </c>
      <c r="I609">
        <f>SUMPRODUCT(Calc!$K$3:$K$22*(Calc!$G$3:$G$22&gt;A609)*(Calc!$G$3:$G$22-A609)^2)</f>
        <v/>
      </c>
      <c r="J609">
        <f>SUMPRODUCT(Calc!$K$3:$K$22*(Calc!$G$3:$G$22&gt;B609)*(Calc!$G$3:$G$22-B609)^2)</f>
        <v/>
      </c>
      <c r="K609">
        <f>SUMPRODUCT(Calc!$K$3:$K$22*(Calc!$G$3:$G$22&gt;A609)*(Calc!$G$3:$G$22-A609)*(Calc!$G$3:$G$22&gt;B609)*(Calc!$G$3:$G$22-B609))</f>
        <v/>
      </c>
      <c r="L609">
        <f>SUMPRODUCT(Calc!$K$3:$K$22*(Calc!$G$3:$G$22&gt;A609)*(Calc!$G$3:$G$22-A609)*Calc!$G$3:$G$22)</f>
        <v/>
      </c>
      <c r="M609">
        <f>SUMPRODUCT(Calc!$K$3:$K$22*(Calc!$G$3:$G$22&gt;B609)*(Calc!$G$3:$G$22-B609)*Calc!$G$3:$G$22)</f>
        <v/>
      </c>
      <c r="N609">
        <f>SUMPRODUCT(Calc!$K$3:$K$22*(Calc!$G$3:$G$22&gt;A609)*(Calc!$G$3:$G$22-A609)*Calc!$I$3:$I$22)</f>
        <v/>
      </c>
      <c r="O609">
        <f>SUMPRODUCT(Calc!$K$3:$K$22*(Calc!$G$3:$G$22&gt;B609)*(Calc!$G$3:$G$22-B609)*Calc!$I$3:$I$22)</f>
        <v/>
      </c>
      <c r="P609">
        <f>I609-G609^2/k_n</f>
        <v/>
      </c>
      <c r="Q609">
        <f>J609-H609^2/k_n</f>
        <v/>
      </c>
      <c r="R609">
        <f>K609-G609*H609/k_n</f>
        <v/>
      </c>
      <c r="S609">
        <f>L609-LTP3!$D$3*G609/k_n</f>
        <v/>
      </c>
      <c r="T609">
        <f>M609-LTP3!$D$3*H609/k_n</f>
        <v/>
      </c>
      <c r="U609">
        <f>N609-G609*LTP3!$D$4/k_n</f>
        <v/>
      </c>
      <c r="V609">
        <f>O609-H609*LTP3!$D$4/k_n</f>
        <v/>
      </c>
      <c r="W609">
        <f>((LTP3!$D$5)*((P609)*(Q609)-(R609)*(R609))-(S609)*((S609)*(Q609)-(R609)*(T609))+(T609)*((S609)*(R609)-(P609)*(T609)))</f>
        <v/>
      </c>
      <c r="X609">
        <f>IF(ABS(W609)&gt;1E-12,((LTP3!$D$6)*((P609)*(Q609)-(R609)*(R609))-(S609)*((U609)*(Q609)-(R609)*(V609))+(T609)*((U609)*(R609)-(P609)*(V609)))/W609,0)</f>
        <v/>
      </c>
      <c r="Y609">
        <f>IF(ABS(W609)&gt;1E-12,((LTP3!$D$5)*((U609)*(Q609)-(R609)*(V609))-(LTP3!$D$6)*((S609)*(Q609)-(R609)*(T609))+(T609)*((S609)*(V609)-(U609)*(T609)))/W609,0)</f>
        <v/>
      </c>
      <c r="Z609">
        <f>IF(ABS(W609)&gt;1E-12,((LTP3!$D$5)*((P609)*(V609)-(U609)*(R609))-(S609)*((S609)*(V609)-(U609)*(T609))+(LTP3!$D$6)*((S609)*(R609)-(P609)*(T609)))/W609,0)</f>
        <v/>
      </c>
      <c r="AA609">
        <f>LTP3!$D$7-X609*LTP3!$D$6-Y609*U609-Z609*V609</f>
        <v/>
      </c>
      <c r="AB609">
        <f>IF(AND(F609,ABS(W609)&gt;1E-12,Y609&gt;0,Z609&gt;0),AA609,1E+300)</f>
        <v/>
      </c>
    </row>
    <row r="610">
      <c r="A610">
        <f>$B$3+$B$5*9</f>
        <v/>
      </c>
      <c r="B610">
        <f>$B$3+$B$5*49</f>
        <v/>
      </c>
      <c r="C610">
        <f>SUMPRODUCT(Calc!$K$3:$K$22*(Calc!$G$3:$G$22&lt;=A610))</f>
        <v/>
      </c>
      <c r="D610">
        <f>SUMPRODUCT(Calc!$K$3:$K$22*(Calc!$G$3:$G$22&gt;A610)*(Calc!$G$3:$G$22&lt;B610))</f>
        <v/>
      </c>
      <c r="E610">
        <f>SUMPRODUCT(Calc!$K$3:$K$22*(Calc!$G$3:$G$22&gt;=B610))</f>
        <v/>
      </c>
      <c r="F610">
        <f>AND(k_n&gt;=5,B610&gt;A610+1E-9,C610&gt;=2,D610&gt;=1,E610&gt;=2)</f>
        <v/>
      </c>
      <c r="G610">
        <f>SUMPRODUCT(Calc!$K$3:$K$22*(Calc!$G$3:$G$22&gt;A610)*(Calc!$G$3:$G$22-A610))</f>
        <v/>
      </c>
      <c r="H610">
        <f>SUMPRODUCT(Calc!$K$3:$K$22*(Calc!$G$3:$G$22&gt;B610)*(Calc!$G$3:$G$22-B610))</f>
        <v/>
      </c>
      <c r="I610">
        <f>SUMPRODUCT(Calc!$K$3:$K$22*(Calc!$G$3:$G$22&gt;A610)*(Calc!$G$3:$G$22-A610)^2)</f>
        <v/>
      </c>
      <c r="J610">
        <f>SUMPRODUCT(Calc!$K$3:$K$22*(Calc!$G$3:$G$22&gt;B610)*(Calc!$G$3:$G$22-B610)^2)</f>
        <v/>
      </c>
      <c r="K610">
        <f>SUMPRODUCT(Calc!$K$3:$K$22*(Calc!$G$3:$G$22&gt;A610)*(Calc!$G$3:$G$22-A610)*(Calc!$G$3:$G$22&gt;B610)*(Calc!$G$3:$G$22-B610))</f>
        <v/>
      </c>
      <c r="L610">
        <f>SUMPRODUCT(Calc!$K$3:$K$22*(Calc!$G$3:$G$22&gt;A610)*(Calc!$G$3:$G$22-A610)*Calc!$G$3:$G$22)</f>
        <v/>
      </c>
      <c r="M610">
        <f>SUMPRODUCT(Calc!$K$3:$K$22*(Calc!$G$3:$G$22&gt;B610)*(Calc!$G$3:$G$22-B610)*Calc!$G$3:$G$22)</f>
        <v/>
      </c>
      <c r="N610">
        <f>SUMPRODUCT(Calc!$K$3:$K$22*(Calc!$G$3:$G$22&gt;A610)*(Calc!$G$3:$G$22-A610)*Calc!$I$3:$I$22)</f>
        <v/>
      </c>
      <c r="O610">
        <f>SUMPRODUCT(Calc!$K$3:$K$22*(Calc!$G$3:$G$22&gt;B610)*(Calc!$G$3:$G$22-B610)*Calc!$I$3:$I$22)</f>
        <v/>
      </c>
      <c r="P610">
        <f>I610-G610^2/k_n</f>
        <v/>
      </c>
      <c r="Q610">
        <f>J610-H610^2/k_n</f>
        <v/>
      </c>
      <c r="R610">
        <f>K610-G610*H610/k_n</f>
        <v/>
      </c>
      <c r="S610">
        <f>L610-LTP3!$D$3*G610/k_n</f>
        <v/>
      </c>
      <c r="T610">
        <f>M610-LTP3!$D$3*H610/k_n</f>
        <v/>
      </c>
      <c r="U610">
        <f>N610-G610*LTP3!$D$4/k_n</f>
        <v/>
      </c>
      <c r="V610">
        <f>O610-H610*LTP3!$D$4/k_n</f>
        <v/>
      </c>
      <c r="W610">
        <f>((LTP3!$D$5)*((P610)*(Q610)-(R610)*(R610))-(S610)*((S610)*(Q610)-(R610)*(T610))+(T610)*((S610)*(R610)-(P610)*(T610)))</f>
        <v/>
      </c>
      <c r="X610">
        <f>IF(ABS(W610)&gt;1E-12,((LTP3!$D$6)*((P610)*(Q610)-(R610)*(R610))-(S610)*((U610)*(Q610)-(R610)*(V610))+(T610)*((U610)*(R610)-(P610)*(V610)))/W610,0)</f>
        <v/>
      </c>
      <c r="Y610">
        <f>IF(ABS(W610)&gt;1E-12,((LTP3!$D$5)*((U610)*(Q610)-(R610)*(V610))-(LTP3!$D$6)*((S610)*(Q610)-(R610)*(T610))+(T610)*((S610)*(V610)-(U610)*(T610)))/W610,0)</f>
        <v/>
      </c>
      <c r="Z610">
        <f>IF(ABS(W610)&gt;1E-12,((LTP3!$D$5)*((P610)*(V610)-(U610)*(R610))-(S610)*((S610)*(V610)-(U610)*(T610))+(LTP3!$D$6)*((S610)*(R610)-(P610)*(T610)))/W610,0)</f>
        <v/>
      </c>
      <c r="AA610">
        <f>LTP3!$D$7-X610*LTP3!$D$6-Y610*U610-Z610*V610</f>
        <v/>
      </c>
      <c r="AB610">
        <f>IF(AND(F610,ABS(W610)&gt;1E-12,Y610&gt;0,Z610&gt;0),AA610,1E+300)</f>
        <v/>
      </c>
    </row>
    <row r="611">
      <c r="A611">
        <f>$B$3+$B$5*9</f>
        <v/>
      </c>
      <c r="B611">
        <f>$B$3+$B$5*50</f>
        <v/>
      </c>
      <c r="C611">
        <f>SUMPRODUCT(Calc!$K$3:$K$22*(Calc!$G$3:$G$22&lt;=A611))</f>
        <v/>
      </c>
      <c r="D611">
        <f>SUMPRODUCT(Calc!$K$3:$K$22*(Calc!$G$3:$G$22&gt;A611)*(Calc!$G$3:$G$22&lt;B611))</f>
        <v/>
      </c>
      <c r="E611">
        <f>SUMPRODUCT(Calc!$K$3:$K$22*(Calc!$G$3:$G$22&gt;=B611))</f>
        <v/>
      </c>
      <c r="F611">
        <f>AND(k_n&gt;=5,B611&gt;A611+1E-9,C611&gt;=2,D611&gt;=1,E611&gt;=2)</f>
        <v/>
      </c>
      <c r="G611">
        <f>SUMPRODUCT(Calc!$K$3:$K$22*(Calc!$G$3:$G$22&gt;A611)*(Calc!$G$3:$G$22-A611))</f>
        <v/>
      </c>
      <c r="H611">
        <f>SUMPRODUCT(Calc!$K$3:$K$22*(Calc!$G$3:$G$22&gt;B611)*(Calc!$G$3:$G$22-B611))</f>
        <v/>
      </c>
      <c r="I611">
        <f>SUMPRODUCT(Calc!$K$3:$K$22*(Calc!$G$3:$G$22&gt;A611)*(Calc!$G$3:$G$22-A611)^2)</f>
        <v/>
      </c>
      <c r="J611">
        <f>SUMPRODUCT(Calc!$K$3:$K$22*(Calc!$G$3:$G$22&gt;B611)*(Calc!$G$3:$G$22-B611)^2)</f>
        <v/>
      </c>
      <c r="K611">
        <f>SUMPRODUCT(Calc!$K$3:$K$22*(Calc!$G$3:$G$22&gt;A611)*(Calc!$G$3:$G$22-A611)*(Calc!$G$3:$G$22&gt;B611)*(Calc!$G$3:$G$22-B611))</f>
        <v/>
      </c>
      <c r="L611">
        <f>SUMPRODUCT(Calc!$K$3:$K$22*(Calc!$G$3:$G$22&gt;A611)*(Calc!$G$3:$G$22-A611)*Calc!$G$3:$G$22)</f>
        <v/>
      </c>
      <c r="M611">
        <f>SUMPRODUCT(Calc!$K$3:$K$22*(Calc!$G$3:$G$22&gt;B611)*(Calc!$G$3:$G$22-B611)*Calc!$G$3:$G$22)</f>
        <v/>
      </c>
      <c r="N611">
        <f>SUMPRODUCT(Calc!$K$3:$K$22*(Calc!$G$3:$G$22&gt;A611)*(Calc!$G$3:$G$22-A611)*Calc!$I$3:$I$22)</f>
        <v/>
      </c>
      <c r="O611">
        <f>SUMPRODUCT(Calc!$K$3:$K$22*(Calc!$G$3:$G$22&gt;B611)*(Calc!$G$3:$G$22-B611)*Calc!$I$3:$I$22)</f>
        <v/>
      </c>
      <c r="P611">
        <f>I611-G611^2/k_n</f>
        <v/>
      </c>
      <c r="Q611">
        <f>J611-H611^2/k_n</f>
        <v/>
      </c>
      <c r="R611">
        <f>K611-G611*H611/k_n</f>
        <v/>
      </c>
      <c r="S611">
        <f>L611-LTP3!$D$3*G611/k_n</f>
        <v/>
      </c>
      <c r="T611">
        <f>M611-LTP3!$D$3*H611/k_n</f>
        <v/>
      </c>
      <c r="U611">
        <f>N611-G611*LTP3!$D$4/k_n</f>
        <v/>
      </c>
      <c r="V611">
        <f>O611-H611*LTP3!$D$4/k_n</f>
        <v/>
      </c>
      <c r="W611">
        <f>((LTP3!$D$5)*((P611)*(Q611)-(R611)*(R611))-(S611)*((S611)*(Q611)-(R611)*(T611))+(T611)*((S611)*(R611)-(P611)*(T611)))</f>
        <v/>
      </c>
      <c r="X611">
        <f>IF(ABS(W611)&gt;1E-12,((LTP3!$D$6)*((P611)*(Q611)-(R611)*(R611))-(S611)*((U611)*(Q611)-(R611)*(V611))+(T611)*((U611)*(R611)-(P611)*(V611)))/W611,0)</f>
        <v/>
      </c>
      <c r="Y611">
        <f>IF(ABS(W611)&gt;1E-12,((LTP3!$D$5)*((U611)*(Q611)-(R611)*(V611))-(LTP3!$D$6)*((S611)*(Q611)-(R611)*(T611))+(T611)*((S611)*(V611)-(U611)*(T611)))/W611,0)</f>
        <v/>
      </c>
      <c r="Z611">
        <f>IF(ABS(W611)&gt;1E-12,((LTP3!$D$5)*((P611)*(V611)-(U611)*(R611))-(S611)*((S611)*(V611)-(U611)*(T611))+(LTP3!$D$6)*((S611)*(R611)-(P611)*(T611)))/W611,0)</f>
        <v/>
      </c>
      <c r="AA611">
        <f>LTP3!$D$7-X611*LTP3!$D$6-Y611*U611-Z611*V611</f>
        <v/>
      </c>
      <c r="AB611">
        <f>IF(AND(F611,ABS(W611)&gt;1E-12,Y611&gt;0,Z611&gt;0),AA611,1E+300)</f>
        <v/>
      </c>
    </row>
    <row r="612">
      <c r="A612">
        <f>$B$3+$B$5*9</f>
        <v/>
      </c>
      <c r="B612">
        <f>$B$3+$B$5*51</f>
        <v/>
      </c>
      <c r="C612">
        <f>SUMPRODUCT(Calc!$K$3:$K$22*(Calc!$G$3:$G$22&lt;=A612))</f>
        <v/>
      </c>
      <c r="D612">
        <f>SUMPRODUCT(Calc!$K$3:$K$22*(Calc!$G$3:$G$22&gt;A612)*(Calc!$G$3:$G$22&lt;B612))</f>
        <v/>
      </c>
      <c r="E612">
        <f>SUMPRODUCT(Calc!$K$3:$K$22*(Calc!$G$3:$G$22&gt;=B612))</f>
        <v/>
      </c>
      <c r="F612">
        <f>AND(k_n&gt;=5,B612&gt;A612+1E-9,C612&gt;=2,D612&gt;=1,E612&gt;=2)</f>
        <v/>
      </c>
      <c r="G612">
        <f>SUMPRODUCT(Calc!$K$3:$K$22*(Calc!$G$3:$G$22&gt;A612)*(Calc!$G$3:$G$22-A612))</f>
        <v/>
      </c>
      <c r="H612">
        <f>SUMPRODUCT(Calc!$K$3:$K$22*(Calc!$G$3:$G$22&gt;B612)*(Calc!$G$3:$G$22-B612))</f>
        <v/>
      </c>
      <c r="I612">
        <f>SUMPRODUCT(Calc!$K$3:$K$22*(Calc!$G$3:$G$22&gt;A612)*(Calc!$G$3:$G$22-A612)^2)</f>
        <v/>
      </c>
      <c r="J612">
        <f>SUMPRODUCT(Calc!$K$3:$K$22*(Calc!$G$3:$G$22&gt;B612)*(Calc!$G$3:$G$22-B612)^2)</f>
        <v/>
      </c>
      <c r="K612">
        <f>SUMPRODUCT(Calc!$K$3:$K$22*(Calc!$G$3:$G$22&gt;A612)*(Calc!$G$3:$G$22-A612)*(Calc!$G$3:$G$22&gt;B612)*(Calc!$G$3:$G$22-B612))</f>
        <v/>
      </c>
      <c r="L612">
        <f>SUMPRODUCT(Calc!$K$3:$K$22*(Calc!$G$3:$G$22&gt;A612)*(Calc!$G$3:$G$22-A612)*Calc!$G$3:$G$22)</f>
        <v/>
      </c>
      <c r="M612">
        <f>SUMPRODUCT(Calc!$K$3:$K$22*(Calc!$G$3:$G$22&gt;B612)*(Calc!$G$3:$G$22-B612)*Calc!$G$3:$G$22)</f>
        <v/>
      </c>
      <c r="N612">
        <f>SUMPRODUCT(Calc!$K$3:$K$22*(Calc!$G$3:$G$22&gt;A612)*(Calc!$G$3:$G$22-A612)*Calc!$I$3:$I$22)</f>
        <v/>
      </c>
      <c r="O612">
        <f>SUMPRODUCT(Calc!$K$3:$K$22*(Calc!$G$3:$G$22&gt;B612)*(Calc!$G$3:$G$22-B612)*Calc!$I$3:$I$22)</f>
        <v/>
      </c>
      <c r="P612">
        <f>I612-G612^2/k_n</f>
        <v/>
      </c>
      <c r="Q612">
        <f>J612-H612^2/k_n</f>
        <v/>
      </c>
      <c r="R612">
        <f>K612-G612*H612/k_n</f>
        <v/>
      </c>
      <c r="S612">
        <f>L612-LTP3!$D$3*G612/k_n</f>
        <v/>
      </c>
      <c r="T612">
        <f>M612-LTP3!$D$3*H612/k_n</f>
        <v/>
      </c>
      <c r="U612">
        <f>N612-G612*LTP3!$D$4/k_n</f>
        <v/>
      </c>
      <c r="V612">
        <f>O612-H612*LTP3!$D$4/k_n</f>
        <v/>
      </c>
      <c r="W612">
        <f>((LTP3!$D$5)*((P612)*(Q612)-(R612)*(R612))-(S612)*((S612)*(Q612)-(R612)*(T612))+(T612)*((S612)*(R612)-(P612)*(T612)))</f>
        <v/>
      </c>
      <c r="X612">
        <f>IF(ABS(W612)&gt;1E-12,((LTP3!$D$6)*((P612)*(Q612)-(R612)*(R612))-(S612)*((U612)*(Q612)-(R612)*(V612))+(T612)*((U612)*(R612)-(P612)*(V612)))/W612,0)</f>
        <v/>
      </c>
      <c r="Y612">
        <f>IF(ABS(W612)&gt;1E-12,((LTP3!$D$5)*((U612)*(Q612)-(R612)*(V612))-(LTP3!$D$6)*((S612)*(Q612)-(R612)*(T612))+(T612)*((S612)*(V612)-(U612)*(T612)))/W612,0)</f>
        <v/>
      </c>
      <c r="Z612">
        <f>IF(ABS(W612)&gt;1E-12,((LTP3!$D$5)*((P612)*(V612)-(U612)*(R612))-(S612)*((S612)*(V612)-(U612)*(T612))+(LTP3!$D$6)*((S612)*(R612)-(P612)*(T612)))/W612,0)</f>
        <v/>
      </c>
      <c r="AA612">
        <f>LTP3!$D$7-X612*LTP3!$D$6-Y612*U612-Z612*V612</f>
        <v/>
      </c>
      <c r="AB612">
        <f>IF(AND(F612,ABS(W612)&gt;1E-12,Y612&gt;0,Z612&gt;0),AA612,1E+300)</f>
        <v/>
      </c>
    </row>
    <row r="613">
      <c r="A613">
        <f>$B$3+$B$5*9</f>
        <v/>
      </c>
      <c r="B613">
        <f>$B$3+$B$5*52</f>
        <v/>
      </c>
      <c r="C613">
        <f>SUMPRODUCT(Calc!$K$3:$K$22*(Calc!$G$3:$G$22&lt;=A613))</f>
        <v/>
      </c>
      <c r="D613">
        <f>SUMPRODUCT(Calc!$K$3:$K$22*(Calc!$G$3:$G$22&gt;A613)*(Calc!$G$3:$G$22&lt;B613))</f>
        <v/>
      </c>
      <c r="E613">
        <f>SUMPRODUCT(Calc!$K$3:$K$22*(Calc!$G$3:$G$22&gt;=B613))</f>
        <v/>
      </c>
      <c r="F613">
        <f>AND(k_n&gt;=5,B613&gt;A613+1E-9,C613&gt;=2,D613&gt;=1,E613&gt;=2)</f>
        <v/>
      </c>
      <c r="G613">
        <f>SUMPRODUCT(Calc!$K$3:$K$22*(Calc!$G$3:$G$22&gt;A613)*(Calc!$G$3:$G$22-A613))</f>
        <v/>
      </c>
      <c r="H613">
        <f>SUMPRODUCT(Calc!$K$3:$K$22*(Calc!$G$3:$G$22&gt;B613)*(Calc!$G$3:$G$22-B613))</f>
        <v/>
      </c>
      <c r="I613">
        <f>SUMPRODUCT(Calc!$K$3:$K$22*(Calc!$G$3:$G$22&gt;A613)*(Calc!$G$3:$G$22-A613)^2)</f>
        <v/>
      </c>
      <c r="J613">
        <f>SUMPRODUCT(Calc!$K$3:$K$22*(Calc!$G$3:$G$22&gt;B613)*(Calc!$G$3:$G$22-B613)^2)</f>
        <v/>
      </c>
      <c r="K613">
        <f>SUMPRODUCT(Calc!$K$3:$K$22*(Calc!$G$3:$G$22&gt;A613)*(Calc!$G$3:$G$22-A613)*(Calc!$G$3:$G$22&gt;B613)*(Calc!$G$3:$G$22-B613))</f>
        <v/>
      </c>
      <c r="L613">
        <f>SUMPRODUCT(Calc!$K$3:$K$22*(Calc!$G$3:$G$22&gt;A613)*(Calc!$G$3:$G$22-A613)*Calc!$G$3:$G$22)</f>
        <v/>
      </c>
      <c r="M613">
        <f>SUMPRODUCT(Calc!$K$3:$K$22*(Calc!$G$3:$G$22&gt;B613)*(Calc!$G$3:$G$22-B613)*Calc!$G$3:$G$22)</f>
        <v/>
      </c>
      <c r="N613">
        <f>SUMPRODUCT(Calc!$K$3:$K$22*(Calc!$G$3:$G$22&gt;A613)*(Calc!$G$3:$G$22-A613)*Calc!$I$3:$I$22)</f>
        <v/>
      </c>
      <c r="O613">
        <f>SUMPRODUCT(Calc!$K$3:$K$22*(Calc!$G$3:$G$22&gt;B613)*(Calc!$G$3:$G$22-B613)*Calc!$I$3:$I$22)</f>
        <v/>
      </c>
      <c r="P613">
        <f>I613-G613^2/k_n</f>
        <v/>
      </c>
      <c r="Q613">
        <f>J613-H613^2/k_n</f>
        <v/>
      </c>
      <c r="R613">
        <f>K613-G613*H613/k_n</f>
        <v/>
      </c>
      <c r="S613">
        <f>L613-LTP3!$D$3*G613/k_n</f>
        <v/>
      </c>
      <c r="T613">
        <f>M613-LTP3!$D$3*H613/k_n</f>
        <v/>
      </c>
      <c r="U613">
        <f>N613-G613*LTP3!$D$4/k_n</f>
        <v/>
      </c>
      <c r="V613">
        <f>O613-H613*LTP3!$D$4/k_n</f>
        <v/>
      </c>
      <c r="W613">
        <f>((LTP3!$D$5)*((P613)*(Q613)-(R613)*(R613))-(S613)*((S613)*(Q613)-(R613)*(T613))+(T613)*((S613)*(R613)-(P613)*(T613)))</f>
        <v/>
      </c>
      <c r="X613">
        <f>IF(ABS(W613)&gt;1E-12,((LTP3!$D$6)*((P613)*(Q613)-(R613)*(R613))-(S613)*((U613)*(Q613)-(R613)*(V613))+(T613)*((U613)*(R613)-(P613)*(V613)))/W613,0)</f>
        <v/>
      </c>
      <c r="Y613">
        <f>IF(ABS(W613)&gt;1E-12,((LTP3!$D$5)*((U613)*(Q613)-(R613)*(V613))-(LTP3!$D$6)*((S613)*(Q613)-(R613)*(T613))+(T613)*((S613)*(V613)-(U613)*(T613)))/W613,0)</f>
        <v/>
      </c>
      <c r="Z613">
        <f>IF(ABS(W613)&gt;1E-12,((LTP3!$D$5)*((P613)*(V613)-(U613)*(R613))-(S613)*((S613)*(V613)-(U613)*(T613))+(LTP3!$D$6)*((S613)*(R613)-(P613)*(T613)))/W613,0)</f>
        <v/>
      </c>
      <c r="AA613">
        <f>LTP3!$D$7-X613*LTP3!$D$6-Y613*U613-Z613*V613</f>
        <v/>
      </c>
      <c r="AB613">
        <f>IF(AND(F613,ABS(W613)&gt;1E-12,Y613&gt;0,Z613&gt;0),AA613,1E+300)</f>
        <v/>
      </c>
    </row>
    <row r="614">
      <c r="A614">
        <f>$B$3+$B$5*9</f>
        <v/>
      </c>
      <c r="B614">
        <f>$B$3+$B$5*53</f>
        <v/>
      </c>
      <c r="C614">
        <f>SUMPRODUCT(Calc!$K$3:$K$22*(Calc!$G$3:$G$22&lt;=A614))</f>
        <v/>
      </c>
      <c r="D614">
        <f>SUMPRODUCT(Calc!$K$3:$K$22*(Calc!$G$3:$G$22&gt;A614)*(Calc!$G$3:$G$22&lt;B614))</f>
        <v/>
      </c>
      <c r="E614">
        <f>SUMPRODUCT(Calc!$K$3:$K$22*(Calc!$G$3:$G$22&gt;=B614))</f>
        <v/>
      </c>
      <c r="F614">
        <f>AND(k_n&gt;=5,B614&gt;A614+1E-9,C614&gt;=2,D614&gt;=1,E614&gt;=2)</f>
        <v/>
      </c>
      <c r="G614">
        <f>SUMPRODUCT(Calc!$K$3:$K$22*(Calc!$G$3:$G$22&gt;A614)*(Calc!$G$3:$G$22-A614))</f>
        <v/>
      </c>
      <c r="H614">
        <f>SUMPRODUCT(Calc!$K$3:$K$22*(Calc!$G$3:$G$22&gt;B614)*(Calc!$G$3:$G$22-B614))</f>
        <v/>
      </c>
      <c r="I614">
        <f>SUMPRODUCT(Calc!$K$3:$K$22*(Calc!$G$3:$G$22&gt;A614)*(Calc!$G$3:$G$22-A614)^2)</f>
        <v/>
      </c>
      <c r="J614">
        <f>SUMPRODUCT(Calc!$K$3:$K$22*(Calc!$G$3:$G$22&gt;B614)*(Calc!$G$3:$G$22-B614)^2)</f>
        <v/>
      </c>
      <c r="K614">
        <f>SUMPRODUCT(Calc!$K$3:$K$22*(Calc!$G$3:$G$22&gt;A614)*(Calc!$G$3:$G$22-A614)*(Calc!$G$3:$G$22&gt;B614)*(Calc!$G$3:$G$22-B614))</f>
        <v/>
      </c>
      <c r="L614">
        <f>SUMPRODUCT(Calc!$K$3:$K$22*(Calc!$G$3:$G$22&gt;A614)*(Calc!$G$3:$G$22-A614)*Calc!$G$3:$G$22)</f>
        <v/>
      </c>
      <c r="M614">
        <f>SUMPRODUCT(Calc!$K$3:$K$22*(Calc!$G$3:$G$22&gt;B614)*(Calc!$G$3:$G$22-B614)*Calc!$G$3:$G$22)</f>
        <v/>
      </c>
      <c r="N614">
        <f>SUMPRODUCT(Calc!$K$3:$K$22*(Calc!$G$3:$G$22&gt;A614)*(Calc!$G$3:$G$22-A614)*Calc!$I$3:$I$22)</f>
        <v/>
      </c>
      <c r="O614">
        <f>SUMPRODUCT(Calc!$K$3:$K$22*(Calc!$G$3:$G$22&gt;B614)*(Calc!$G$3:$G$22-B614)*Calc!$I$3:$I$22)</f>
        <v/>
      </c>
      <c r="P614">
        <f>I614-G614^2/k_n</f>
        <v/>
      </c>
      <c r="Q614">
        <f>J614-H614^2/k_n</f>
        <v/>
      </c>
      <c r="R614">
        <f>K614-G614*H614/k_n</f>
        <v/>
      </c>
      <c r="S614">
        <f>L614-LTP3!$D$3*G614/k_n</f>
        <v/>
      </c>
      <c r="T614">
        <f>M614-LTP3!$D$3*H614/k_n</f>
        <v/>
      </c>
      <c r="U614">
        <f>N614-G614*LTP3!$D$4/k_n</f>
        <v/>
      </c>
      <c r="V614">
        <f>O614-H614*LTP3!$D$4/k_n</f>
        <v/>
      </c>
      <c r="W614">
        <f>((LTP3!$D$5)*((P614)*(Q614)-(R614)*(R614))-(S614)*((S614)*(Q614)-(R614)*(T614))+(T614)*((S614)*(R614)-(P614)*(T614)))</f>
        <v/>
      </c>
      <c r="X614">
        <f>IF(ABS(W614)&gt;1E-12,((LTP3!$D$6)*((P614)*(Q614)-(R614)*(R614))-(S614)*((U614)*(Q614)-(R614)*(V614))+(T614)*((U614)*(R614)-(P614)*(V614)))/W614,0)</f>
        <v/>
      </c>
      <c r="Y614">
        <f>IF(ABS(W614)&gt;1E-12,((LTP3!$D$5)*((U614)*(Q614)-(R614)*(V614))-(LTP3!$D$6)*((S614)*(Q614)-(R614)*(T614))+(T614)*((S614)*(V614)-(U614)*(T614)))/W614,0)</f>
        <v/>
      </c>
      <c r="Z614">
        <f>IF(ABS(W614)&gt;1E-12,((LTP3!$D$5)*((P614)*(V614)-(U614)*(R614))-(S614)*((S614)*(V614)-(U614)*(T614))+(LTP3!$D$6)*((S614)*(R614)-(P614)*(T614)))/W614,0)</f>
        <v/>
      </c>
      <c r="AA614">
        <f>LTP3!$D$7-X614*LTP3!$D$6-Y614*U614-Z614*V614</f>
        <v/>
      </c>
      <c r="AB614">
        <f>IF(AND(F614,ABS(W614)&gt;1E-12,Y614&gt;0,Z614&gt;0),AA614,1E+300)</f>
        <v/>
      </c>
    </row>
    <row r="615">
      <c r="A615">
        <f>$B$3+$B$5*9</f>
        <v/>
      </c>
      <c r="B615">
        <f>$B$3+$B$5*54</f>
        <v/>
      </c>
      <c r="C615">
        <f>SUMPRODUCT(Calc!$K$3:$K$22*(Calc!$G$3:$G$22&lt;=A615))</f>
        <v/>
      </c>
      <c r="D615">
        <f>SUMPRODUCT(Calc!$K$3:$K$22*(Calc!$G$3:$G$22&gt;A615)*(Calc!$G$3:$G$22&lt;B615))</f>
        <v/>
      </c>
      <c r="E615">
        <f>SUMPRODUCT(Calc!$K$3:$K$22*(Calc!$G$3:$G$22&gt;=B615))</f>
        <v/>
      </c>
      <c r="F615">
        <f>AND(k_n&gt;=5,B615&gt;A615+1E-9,C615&gt;=2,D615&gt;=1,E615&gt;=2)</f>
        <v/>
      </c>
      <c r="G615">
        <f>SUMPRODUCT(Calc!$K$3:$K$22*(Calc!$G$3:$G$22&gt;A615)*(Calc!$G$3:$G$22-A615))</f>
        <v/>
      </c>
      <c r="H615">
        <f>SUMPRODUCT(Calc!$K$3:$K$22*(Calc!$G$3:$G$22&gt;B615)*(Calc!$G$3:$G$22-B615))</f>
        <v/>
      </c>
      <c r="I615">
        <f>SUMPRODUCT(Calc!$K$3:$K$22*(Calc!$G$3:$G$22&gt;A615)*(Calc!$G$3:$G$22-A615)^2)</f>
        <v/>
      </c>
      <c r="J615">
        <f>SUMPRODUCT(Calc!$K$3:$K$22*(Calc!$G$3:$G$22&gt;B615)*(Calc!$G$3:$G$22-B615)^2)</f>
        <v/>
      </c>
      <c r="K615">
        <f>SUMPRODUCT(Calc!$K$3:$K$22*(Calc!$G$3:$G$22&gt;A615)*(Calc!$G$3:$G$22-A615)*(Calc!$G$3:$G$22&gt;B615)*(Calc!$G$3:$G$22-B615))</f>
        <v/>
      </c>
      <c r="L615">
        <f>SUMPRODUCT(Calc!$K$3:$K$22*(Calc!$G$3:$G$22&gt;A615)*(Calc!$G$3:$G$22-A615)*Calc!$G$3:$G$22)</f>
        <v/>
      </c>
      <c r="M615">
        <f>SUMPRODUCT(Calc!$K$3:$K$22*(Calc!$G$3:$G$22&gt;B615)*(Calc!$G$3:$G$22-B615)*Calc!$G$3:$G$22)</f>
        <v/>
      </c>
      <c r="N615">
        <f>SUMPRODUCT(Calc!$K$3:$K$22*(Calc!$G$3:$G$22&gt;A615)*(Calc!$G$3:$G$22-A615)*Calc!$I$3:$I$22)</f>
        <v/>
      </c>
      <c r="O615">
        <f>SUMPRODUCT(Calc!$K$3:$K$22*(Calc!$G$3:$G$22&gt;B615)*(Calc!$G$3:$G$22-B615)*Calc!$I$3:$I$22)</f>
        <v/>
      </c>
      <c r="P615">
        <f>I615-G615^2/k_n</f>
        <v/>
      </c>
      <c r="Q615">
        <f>J615-H615^2/k_n</f>
        <v/>
      </c>
      <c r="R615">
        <f>K615-G615*H615/k_n</f>
        <v/>
      </c>
      <c r="S615">
        <f>L615-LTP3!$D$3*G615/k_n</f>
        <v/>
      </c>
      <c r="T615">
        <f>M615-LTP3!$D$3*H615/k_n</f>
        <v/>
      </c>
      <c r="U615">
        <f>N615-G615*LTP3!$D$4/k_n</f>
        <v/>
      </c>
      <c r="V615">
        <f>O615-H615*LTP3!$D$4/k_n</f>
        <v/>
      </c>
      <c r="W615">
        <f>((LTP3!$D$5)*((P615)*(Q615)-(R615)*(R615))-(S615)*((S615)*(Q615)-(R615)*(T615))+(T615)*((S615)*(R615)-(P615)*(T615)))</f>
        <v/>
      </c>
      <c r="X615">
        <f>IF(ABS(W615)&gt;1E-12,((LTP3!$D$6)*((P615)*(Q615)-(R615)*(R615))-(S615)*((U615)*(Q615)-(R615)*(V615))+(T615)*((U615)*(R615)-(P615)*(V615)))/W615,0)</f>
        <v/>
      </c>
      <c r="Y615">
        <f>IF(ABS(W615)&gt;1E-12,((LTP3!$D$5)*((U615)*(Q615)-(R615)*(V615))-(LTP3!$D$6)*((S615)*(Q615)-(R615)*(T615))+(T615)*((S615)*(V615)-(U615)*(T615)))/W615,0)</f>
        <v/>
      </c>
      <c r="Z615">
        <f>IF(ABS(W615)&gt;1E-12,((LTP3!$D$5)*((P615)*(V615)-(U615)*(R615))-(S615)*((S615)*(V615)-(U615)*(T615))+(LTP3!$D$6)*((S615)*(R615)-(P615)*(T615)))/W615,0)</f>
        <v/>
      </c>
      <c r="AA615">
        <f>LTP3!$D$7-X615*LTP3!$D$6-Y615*U615-Z615*V615</f>
        <v/>
      </c>
      <c r="AB615">
        <f>IF(AND(F615,ABS(W615)&gt;1E-12,Y615&gt;0,Z615&gt;0),AA615,1E+300)</f>
        <v/>
      </c>
    </row>
    <row r="616">
      <c r="A616">
        <f>$B$3+$B$5*9</f>
        <v/>
      </c>
      <c r="B616">
        <f>$B$3+$B$5*55</f>
        <v/>
      </c>
      <c r="C616">
        <f>SUMPRODUCT(Calc!$K$3:$K$22*(Calc!$G$3:$G$22&lt;=A616))</f>
        <v/>
      </c>
      <c r="D616">
        <f>SUMPRODUCT(Calc!$K$3:$K$22*(Calc!$G$3:$G$22&gt;A616)*(Calc!$G$3:$G$22&lt;B616))</f>
        <v/>
      </c>
      <c r="E616">
        <f>SUMPRODUCT(Calc!$K$3:$K$22*(Calc!$G$3:$G$22&gt;=B616))</f>
        <v/>
      </c>
      <c r="F616">
        <f>AND(k_n&gt;=5,B616&gt;A616+1E-9,C616&gt;=2,D616&gt;=1,E616&gt;=2)</f>
        <v/>
      </c>
      <c r="G616">
        <f>SUMPRODUCT(Calc!$K$3:$K$22*(Calc!$G$3:$G$22&gt;A616)*(Calc!$G$3:$G$22-A616))</f>
        <v/>
      </c>
      <c r="H616">
        <f>SUMPRODUCT(Calc!$K$3:$K$22*(Calc!$G$3:$G$22&gt;B616)*(Calc!$G$3:$G$22-B616))</f>
        <v/>
      </c>
      <c r="I616">
        <f>SUMPRODUCT(Calc!$K$3:$K$22*(Calc!$G$3:$G$22&gt;A616)*(Calc!$G$3:$G$22-A616)^2)</f>
        <v/>
      </c>
      <c r="J616">
        <f>SUMPRODUCT(Calc!$K$3:$K$22*(Calc!$G$3:$G$22&gt;B616)*(Calc!$G$3:$G$22-B616)^2)</f>
        <v/>
      </c>
      <c r="K616">
        <f>SUMPRODUCT(Calc!$K$3:$K$22*(Calc!$G$3:$G$22&gt;A616)*(Calc!$G$3:$G$22-A616)*(Calc!$G$3:$G$22&gt;B616)*(Calc!$G$3:$G$22-B616))</f>
        <v/>
      </c>
      <c r="L616">
        <f>SUMPRODUCT(Calc!$K$3:$K$22*(Calc!$G$3:$G$22&gt;A616)*(Calc!$G$3:$G$22-A616)*Calc!$G$3:$G$22)</f>
        <v/>
      </c>
      <c r="M616">
        <f>SUMPRODUCT(Calc!$K$3:$K$22*(Calc!$G$3:$G$22&gt;B616)*(Calc!$G$3:$G$22-B616)*Calc!$G$3:$G$22)</f>
        <v/>
      </c>
      <c r="N616">
        <f>SUMPRODUCT(Calc!$K$3:$K$22*(Calc!$G$3:$G$22&gt;A616)*(Calc!$G$3:$G$22-A616)*Calc!$I$3:$I$22)</f>
        <v/>
      </c>
      <c r="O616">
        <f>SUMPRODUCT(Calc!$K$3:$K$22*(Calc!$G$3:$G$22&gt;B616)*(Calc!$G$3:$G$22-B616)*Calc!$I$3:$I$22)</f>
        <v/>
      </c>
      <c r="P616">
        <f>I616-G616^2/k_n</f>
        <v/>
      </c>
      <c r="Q616">
        <f>J616-H616^2/k_n</f>
        <v/>
      </c>
      <c r="R616">
        <f>K616-G616*H616/k_n</f>
        <v/>
      </c>
      <c r="S616">
        <f>L616-LTP3!$D$3*G616/k_n</f>
        <v/>
      </c>
      <c r="T616">
        <f>M616-LTP3!$D$3*H616/k_n</f>
        <v/>
      </c>
      <c r="U616">
        <f>N616-G616*LTP3!$D$4/k_n</f>
        <v/>
      </c>
      <c r="V616">
        <f>O616-H616*LTP3!$D$4/k_n</f>
        <v/>
      </c>
      <c r="W616">
        <f>((LTP3!$D$5)*((P616)*(Q616)-(R616)*(R616))-(S616)*((S616)*(Q616)-(R616)*(T616))+(T616)*((S616)*(R616)-(P616)*(T616)))</f>
        <v/>
      </c>
      <c r="X616">
        <f>IF(ABS(W616)&gt;1E-12,((LTP3!$D$6)*((P616)*(Q616)-(R616)*(R616))-(S616)*((U616)*(Q616)-(R616)*(V616))+(T616)*((U616)*(R616)-(P616)*(V616)))/W616,0)</f>
        <v/>
      </c>
      <c r="Y616">
        <f>IF(ABS(W616)&gt;1E-12,((LTP3!$D$5)*((U616)*(Q616)-(R616)*(V616))-(LTP3!$D$6)*((S616)*(Q616)-(R616)*(T616))+(T616)*((S616)*(V616)-(U616)*(T616)))/W616,0)</f>
        <v/>
      </c>
      <c r="Z616">
        <f>IF(ABS(W616)&gt;1E-12,((LTP3!$D$5)*((P616)*(V616)-(U616)*(R616))-(S616)*((S616)*(V616)-(U616)*(T616))+(LTP3!$D$6)*((S616)*(R616)-(P616)*(T616)))/W616,0)</f>
        <v/>
      </c>
      <c r="AA616">
        <f>LTP3!$D$7-X616*LTP3!$D$6-Y616*U616-Z616*V616</f>
        <v/>
      </c>
      <c r="AB616">
        <f>IF(AND(F616,ABS(W616)&gt;1E-12,Y616&gt;0,Z616&gt;0),AA616,1E+300)</f>
        <v/>
      </c>
    </row>
    <row r="617">
      <c r="A617">
        <f>$B$3+$B$5*9</f>
        <v/>
      </c>
      <c r="B617">
        <f>$B$3+$B$5*56</f>
        <v/>
      </c>
      <c r="C617">
        <f>SUMPRODUCT(Calc!$K$3:$K$22*(Calc!$G$3:$G$22&lt;=A617))</f>
        <v/>
      </c>
      <c r="D617">
        <f>SUMPRODUCT(Calc!$K$3:$K$22*(Calc!$G$3:$G$22&gt;A617)*(Calc!$G$3:$G$22&lt;B617))</f>
        <v/>
      </c>
      <c r="E617">
        <f>SUMPRODUCT(Calc!$K$3:$K$22*(Calc!$G$3:$G$22&gt;=B617))</f>
        <v/>
      </c>
      <c r="F617">
        <f>AND(k_n&gt;=5,B617&gt;A617+1E-9,C617&gt;=2,D617&gt;=1,E617&gt;=2)</f>
        <v/>
      </c>
      <c r="G617">
        <f>SUMPRODUCT(Calc!$K$3:$K$22*(Calc!$G$3:$G$22&gt;A617)*(Calc!$G$3:$G$22-A617))</f>
        <v/>
      </c>
      <c r="H617">
        <f>SUMPRODUCT(Calc!$K$3:$K$22*(Calc!$G$3:$G$22&gt;B617)*(Calc!$G$3:$G$22-B617))</f>
        <v/>
      </c>
      <c r="I617">
        <f>SUMPRODUCT(Calc!$K$3:$K$22*(Calc!$G$3:$G$22&gt;A617)*(Calc!$G$3:$G$22-A617)^2)</f>
        <v/>
      </c>
      <c r="J617">
        <f>SUMPRODUCT(Calc!$K$3:$K$22*(Calc!$G$3:$G$22&gt;B617)*(Calc!$G$3:$G$22-B617)^2)</f>
        <v/>
      </c>
      <c r="K617">
        <f>SUMPRODUCT(Calc!$K$3:$K$22*(Calc!$G$3:$G$22&gt;A617)*(Calc!$G$3:$G$22-A617)*(Calc!$G$3:$G$22&gt;B617)*(Calc!$G$3:$G$22-B617))</f>
        <v/>
      </c>
      <c r="L617">
        <f>SUMPRODUCT(Calc!$K$3:$K$22*(Calc!$G$3:$G$22&gt;A617)*(Calc!$G$3:$G$22-A617)*Calc!$G$3:$G$22)</f>
        <v/>
      </c>
      <c r="M617">
        <f>SUMPRODUCT(Calc!$K$3:$K$22*(Calc!$G$3:$G$22&gt;B617)*(Calc!$G$3:$G$22-B617)*Calc!$G$3:$G$22)</f>
        <v/>
      </c>
      <c r="N617">
        <f>SUMPRODUCT(Calc!$K$3:$K$22*(Calc!$G$3:$G$22&gt;A617)*(Calc!$G$3:$G$22-A617)*Calc!$I$3:$I$22)</f>
        <v/>
      </c>
      <c r="O617">
        <f>SUMPRODUCT(Calc!$K$3:$K$22*(Calc!$G$3:$G$22&gt;B617)*(Calc!$G$3:$G$22-B617)*Calc!$I$3:$I$22)</f>
        <v/>
      </c>
      <c r="P617">
        <f>I617-G617^2/k_n</f>
        <v/>
      </c>
      <c r="Q617">
        <f>J617-H617^2/k_n</f>
        <v/>
      </c>
      <c r="R617">
        <f>K617-G617*H617/k_n</f>
        <v/>
      </c>
      <c r="S617">
        <f>L617-LTP3!$D$3*G617/k_n</f>
        <v/>
      </c>
      <c r="T617">
        <f>M617-LTP3!$D$3*H617/k_n</f>
        <v/>
      </c>
      <c r="U617">
        <f>N617-G617*LTP3!$D$4/k_n</f>
        <v/>
      </c>
      <c r="V617">
        <f>O617-H617*LTP3!$D$4/k_n</f>
        <v/>
      </c>
      <c r="W617">
        <f>((LTP3!$D$5)*((P617)*(Q617)-(R617)*(R617))-(S617)*((S617)*(Q617)-(R617)*(T617))+(T617)*((S617)*(R617)-(P617)*(T617)))</f>
        <v/>
      </c>
      <c r="X617">
        <f>IF(ABS(W617)&gt;1E-12,((LTP3!$D$6)*((P617)*(Q617)-(R617)*(R617))-(S617)*((U617)*(Q617)-(R617)*(V617))+(T617)*((U617)*(R617)-(P617)*(V617)))/W617,0)</f>
        <v/>
      </c>
      <c r="Y617">
        <f>IF(ABS(W617)&gt;1E-12,((LTP3!$D$5)*((U617)*(Q617)-(R617)*(V617))-(LTP3!$D$6)*((S617)*(Q617)-(R617)*(T617))+(T617)*((S617)*(V617)-(U617)*(T617)))/W617,0)</f>
        <v/>
      </c>
      <c r="Z617">
        <f>IF(ABS(W617)&gt;1E-12,((LTP3!$D$5)*((P617)*(V617)-(U617)*(R617))-(S617)*((S617)*(V617)-(U617)*(T617))+(LTP3!$D$6)*((S617)*(R617)-(P617)*(T617)))/W617,0)</f>
        <v/>
      </c>
      <c r="AA617">
        <f>LTP3!$D$7-X617*LTP3!$D$6-Y617*U617-Z617*V617</f>
        <v/>
      </c>
      <c r="AB617">
        <f>IF(AND(F617,ABS(W617)&gt;1E-12,Y617&gt;0,Z617&gt;0),AA617,1E+300)</f>
        <v/>
      </c>
    </row>
    <row r="618">
      <c r="A618">
        <f>$B$3+$B$5*9</f>
        <v/>
      </c>
      <c r="B618">
        <f>$B$3+$B$5*57</f>
        <v/>
      </c>
      <c r="C618">
        <f>SUMPRODUCT(Calc!$K$3:$K$22*(Calc!$G$3:$G$22&lt;=A618))</f>
        <v/>
      </c>
      <c r="D618">
        <f>SUMPRODUCT(Calc!$K$3:$K$22*(Calc!$G$3:$G$22&gt;A618)*(Calc!$G$3:$G$22&lt;B618))</f>
        <v/>
      </c>
      <c r="E618">
        <f>SUMPRODUCT(Calc!$K$3:$K$22*(Calc!$G$3:$G$22&gt;=B618))</f>
        <v/>
      </c>
      <c r="F618">
        <f>AND(k_n&gt;=5,B618&gt;A618+1E-9,C618&gt;=2,D618&gt;=1,E618&gt;=2)</f>
        <v/>
      </c>
      <c r="G618">
        <f>SUMPRODUCT(Calc!$K$3:$K$22*(Calc!$G$3:$G$22&gt;A618)*(Calc!$G$3:$G$22-A618))</f>
        <v/>
      </c>
      <c r="H618">
        <f>SUMPRODUCT(Calc!$K$3:$K$22*(Calc!$G$3:$G$22&gt;B618)*(Calc!$G$3:$G$22-B618))</f>
        <v/>
      </c>
      <c r="I618">
        <f>SUMPRODUCT(Calc!$K$3:$K$22*(Calc!$G$3:$G$22&gt;A618)*(Calc!$G$3:$G$22-A618)^2)</f>
        <v/>
      </c>
      <c r="J618">
        <f>SUMPRODUCT(Calc!$K$3:$K$22*(Calc!$G$3:$G$22&gt;B618)*(Calc!$G$3:$G$22-B618)^2)</f>
        <v/>
      </c>
      <c r="K618">
        <f>SUMPRODUCT(Calc!$K$3:$K$22*(Calc!$G$3:$G$22&gt;A618)*(Calc!$G$3:$G$22-A618)*(Calc!$G$3:$G$22&gt;B618)*(Calc!$G$3:$G$22-B618))</f>
        <v/>
      </c>
      <c r="L618">
        <f>SUMPRODUCT(Calc!$K$3:$K$22*(Calc!$G$3:$G$22&gt;A618)*(Calc!$G$3:$G$22-A618)*Calc!$G$3:$G$22)</f>
        <v/>
      </c>
      <c r="M618">
        <f>SUMPRODUCT(Calc!$K$3:$K$22*(Calc!$G$3:$G$22&gt;B618)*(Calc!$G$3:$G$22-B618)*Calc!$G$3:$G$22)</f>
        <v/>
      </c>
      <c r="N618">
        <f>SUMPRODUCT(Calc!$K$3:$K$22*(Calc!$G$3:$G$22&gt;A618)*(Calc!$G$3:$G$22-A618)*Calc!$I$3:$I$22)</f>
        <v/>
      </c>
      <c r="O618">
        <f>SUMPRODUCT(Calc!$K$3:$K$22*(Calc!$G$3:$G$22&gt;B618)*(Calc!$G$3:$G$22-B618)*Calc!$I$3:$I$22)</f>
        <v/>
      </c>
      <c r="P618">
        <f>I618-G618^2/k_n</f>
        <v/>
      </c>
      <c r="Q618">
        <f>J618-H618^2/k_n</f>
        <v/>
      </c>
      <c r="R618">
        <f>K618-G618*H618/k_n</f>
        <v/>
      </c>
      <c r="S618">
        <f>L618-LTP3!$D$3*G618/k_n</f>
        <v/>
      </c>
      <c r="T618">
        <f>M618-LTP3!$D$3*H618/k_n</f>
        <v/>
      </c>
      <c r="U618">
        <f>N618-G618*LTP3!$D$4/k_n</f>
        <v/>
      </c>
      <c r="V618">
        <f>O618-H618*LTP3!$D$4/k_n</f>
        <v/>
      </c>
      <c r="W618">
        <f>((LTP3!$D$5)*((P618)*(Q618)-(R618)*(R618))-(S618)*((S618)*(Q618)-(R618)*(T618))+(T618)*((S618)*(R618)-(P618)*(T618)))</f>
        <v/>
      </c>
      <c r="X618">
        <f>IF(ABS(W618)&gt;1E-12,((LTP3!$D$6)*((P618)*(Q618)-(R618)*(R618))-(S618)*((U618)*(Q618)-(R618)*(V618))+(T618)*((U618)*(R618)-(P618)*(V618)))/W618,0)</f>
        <v/>
      </c>
      <c r="Y618">
        <f>IF(ABS(W618)&gt;1E-12,((LTP3!$D$5)*((U618)*(Q618)-(R618)*(V618))-(LTP3!$D$6)*((S618)*(Q618)-(R618)*(T618))+(T618)*((S618)*(V618)-(U618)*(T618)))/W618,0)</f>
        <v/>
      </c>
      <c r="Z618">
        <f>IF(ABS(W618)&gt;1E-12,((LTP3!$D$5)*((P618)*(V618)-(U618)*(R618))-(S618)*((S618)*(V618)-(U618)*(T618))+(LTP3!$D$6)*((S618)*(R618)-(P618)*(T618)))/W618,0)</f>
        <v/>
      </c>
      <c r="AA618">
        <f>LTP3!$D$7-X618*LTP3!$D$6-Y618*U618-Z618*V618</f>
        <v/>
      </c>
      <c r="AB618">
        <f>IF(AND(F618,ABS(W618)&gt;1E-12,Y618&gt;0,Z618&gt;0),AA618,1E+300)</f>
        <v/>
      </c>
    </row>
    <row r="619">
      <c r="A619">
        <f>$B$3+$B$5*9</f>
        <v/>
      </c>
      <c r="B619">
        <f>$B$3+$B$5*58</f>
        <v/>
      </c>
      <c r="C619">
        <f>SUMPRODUCT(Calc!$K$3:$K$22*(Calc!$G$3:$G$22&lt;=A619))</f>
        <v/>
      </c>
      <c r="D619">
        <f>SUMPRODUCT(Calc!$K$3:$K$22*(Calc!$G$3:$G$22&gt;A619)*(Calc!$G$3:$G$22&lt;B619))</f>
        <v/>
      </c>
      <c r="E619">
        <f>SUMPRODUCT(Calc!$K$3:$K$22*(Calc!$G$3:$G$22&gt;=B619))</f>
        <v/>
      </c>
      <c r="F619">
        <f>AND(k_n&gt;=5,B619&gt;A619+1E-9,C619&gt;=2,D619&gt;=1,E619&gt;=2)</f>
        <v/>
      </c>
      <c r="G619">
        <f>SUMPRODUCT(Calc!$K$3:$K$22*(Calc!$G$3:$G$22&gt;A619)*(Calc!$G$3:$G$22-A619))</f>
        <v/>
      </c>
      <c r="H619">
        <f>SUMPRODUCT(Calc!$K$3:$K$22*(Calc!$G$3:$G$22&gt;B619)*(Calc!$G$3:$G$22-B619))</f>
        <v/>
      </c>
      <c r="I619">
        <f>SUMPRODUCT(Calc!$K$3:$K$22*(Calc!$G$3:$G$22&gt;A619)*(Calc!$G$3:$G$22-A619)^2)</f>
        <v/>
      </c>
      <c r="J619">
        <f>SUMPRODUCT(Calc!$K$3:$K$22*(Calc!$G$3:$G$22&gt;B619)*(Calc!$G$3:$G$22-B619)^2)</f>
        <v/>
      </c>
      <c r="K619">
        <f>SUMPRODUCT(Calc!$K$3:$K$22*(Calc!$G$3:$G$22&gt;A619)*(Calc!$G$3:$G$22-A619)*(Calc!$G$3:$G$22&gt;B619)*(Calc!$G$3:$G$22-B619))</f>
        <v/>
      </c>
      <c r="L619">
        <f>SUMPRODUCT(Calc!$K$3:$K$22*(Calc!$G$3:$G$22&gt;A619)*(Calc!$G$3:$G$22-A619)*Calc!$G$3:$G$22)</f>
        <v/>
      </c>
      <c r="M619">
        <f>SUMPRODUCT(Calc!$K$3:$K$22*(Calc!$G$3:$G$22&gt;B619)*(Calc!$G$3:$G$22-B619)*Calc!$G$3:$G$22)</f>
        <v/>
      </c>
      <c r="N619">
        <f>SUMPRODUCT(Calc!$K$3:$K$22*(Calc!$G$3:$G$22&gt;A619)*(Calc!$G$3:$G$22-A619)*Calc!$I$3:$I$22)</f>
        <v/>
      </c>
      <c r="O619">
        <f>SUMPRODUCT(Calc!$K$3:$K$22*(Calc!$G$3:$G$22&gt;B619)*(Calc!$G$3:$G$22-B619)*Calc!$I$3:$I$22)</f>
        <v/>
      </c>
      <c r="P619">
        <f>I619-G619^2/k_n</f>
        <v/>
      </c>
      <c r="Q619">
        <f>J619-H619^2/k_n</f>
        <v/>
      </c>
      <c r="R619">
        <f>K619-G619*H619/k_n</f>
        <v/>
      </c>
      <c r="S619">
        <f>L619-LTP3!$D$3*G619/k_n</f>
        <v/>
      </c>
      <c r="T619">
        <f>M619-LTP3!$D$3*H619/k_n</f>
        <v/>
      </c>
      <c r="U619">
        <f>N619-G619*LTP3!$D$4/k_n</f>
        <v/>
      </c>
      <c r="V619">
        <f>O619-H619*LTP3!$D$4/k_n</f>
        <v/>
      </c>
      <c r="W619">
        <f>((LTP3!$D$5)*((P619)*(Q619)-(R619)*(R619))-(S619)*((S619)*(Q619)-(R619)*(T619))+(T619)*((S619)*(R619)-(P619)*(T619)))</f>
        <v/>
      </c>
      <c r="X619">
        <f>IF(ABS(W619)&gt;1E-12,((LTP3!$D$6)*((P619)*(Q619)-(R619)*(R619))-(S619)*((U619)*(Q619)-(R619)*(V619))+(T619)*((U619)*(R619)-(P619)*(V619)))/W619,0)</f>
        <v/>
      </c>
      <c r="Y619">
        <f>IF(ABS(W619)&gt;1E-12,((LTP3!$D$5)*((U619)*(Q619)-(R619)*(V619))-(LTP3!$D$6)*((S619)*(Q619)-(R619)*(T619))+(T619)*((S619)*(V619)-(U619)*(T619)))/W619,0)</f>
        <v/>
      </c>
      <c r="Z619">
        <f>IF(ABS(W619)&gt;1E-12,((LTP3!$D$5)*((P619)*(V619)-(U619)*(R619))-(S619)*((S619)*(V619)-(U619)*(T619))+(LTP3!$D$6)*((S619)*(R619)-(P619)*(T619)))/W619,0)</f>
        <v/>
      </c>
      <c r="AA619">
        <f>LTP3!$D$7-X619*LTP3!$D$6-Y619*U619-Z619*V619</f>
        <v/>
      </c>
      <c r="AB619">
        <f>IF(AND(F619,ABS(W619)&gt;1E-12,Y619&gt;0,Z619&gt;0),AA619,1E+300)</f>
        <v/>
      </c>
    </row>
    <row r="620">
      <c r="A620">
        <f>$B$3+$B$5*9</f>
        <v/>
      </c>
      <c r="B620">
        <f>$B$3+$B$5*59</f>
        <v/>
      </c>
      <c r="C620">
        <f>SUMPRODUCT(Calc!$K$3:$K$22*(Calc!$G$3:$G$22&lt;=A620))</f>
        <v/>
      </c>
      <c r="D620">
        <f>SUMPRODUCT(Calc!$K$3:$K$22*(Calc!$G$3:$G$22&gt;A620)*(Calc!$G$3:$G$22&lt;B620))</f>
        <v/>
      </c>
      <c r="E620">
        <f>SUMPRODUCT(Calc!$K$3:$K$22*(Calc!$G$3:$G$22&gt;=B620))</f>
        <v/>
      </c>
      <c r="F620">
        <f>AND(k_n&gt;=5,B620&gt;A620+1E-9,C620&gt;=2,D620&gt;=1,E620&gt;=2)</f>
        <v/>
      </c>
      <c r="G620">
        <f>SUMPRODUCT(Calc!$K$3:$K$22*(Calc!$G$3:$G$22&gt;A620)*(Calc!$G$3:$G$22-A620))</f>
        <v/>
      </c>
      <c r="H620">
        <f>SUMPRODUCT(Calc!$K$3:$K$22*(Calc!$G$3:$G$22&gt;B620)*(Calc!$G$3:$G$22-B620))</f>
        <v/>
      </c>
      <c r="I620">
        <f>SUMPRODUCT(Calc!$K$3:$K$22*(Calc!$G$3:$G$22&gt;A620)*(Calc!$G$3:$G$22-A620)^2)</f>
        <v/>
      </c>
      <c r="J620">
        <f>SUMPRODUCT(Calc!$K$3:$K$22*(Calc!$G$3:$G$22&gt;B620)*(Calc!$G$3:$G$22-B620)^2)</f>
        <v/>
      </c>
      <c r="K620">
        <f>SUMPRODUCT(Calc!$K$3:$K$22*(Calc!$G$3:$G$22&gt;A620)*(Calc!$G$3:$G$22-A620)*(Calc!$G$3:$G$22&gt;B620)*(Calc!$G$3:$G$22-B620))</f>
        <v/>
      </c>
      <c r="L620">
        <f>SUMPRODUCT(Calc!$K$3:$K$22*(Calc!$G$3:$G$22&gt;A620)*(Calc!$G$3:$G$22-A620)*Calc!$G$3:$G$22)</f>
        <v/>
      </c>
      <c r="M620">
        <f>SUMPRODUCT(Calc!$K$3:$K$22*(Calc!$G$3:$G$22&gt;B620)*(Calc!$G$3:$G$22-B620)*Calc!$G$3:$G$22)</f>
        <v/>
      </c>
      <c r="N620">
        <f>SUMPRODUCT(Calc!$K$3:$K$22*(Calc!$G$3:$G$22&gt;A620)*(Calc!$G$3:$G$22-A620)*Calc!$I$3:$I$22)</f>
        <v/>
      </c>
      <c r="O620">
        <f>SUMPRODUCT(Calc!$K$3:$K$22*(Calc!$G$3:$G$22&gt;B620)*(Calc!$G$3:$G$22-B620)*Calc!$I$3:$I$22)</f>
        <v/>
      </c>
      <c r="P620">
        <f>I620-G620^2/k_n</f>
        <v/>
      </c>
      <c r="Q620">
        <f>J620-H620^2/k_n</f>
        <v/>
      </c>
      <c r="R620">
        <f>K620-G620*H620/k_n</f>
        <v/>
      </c>
      <c r="S620">
        <f>L620-LTP3!$D$3*G620/k_n</f>
        <v/>
      </c>
      <c r="T620">
        <f>M620-LTP3!$D$3*H620/k_n</f>
        <v/>
      </c>
      <c r="U620">
        <f>N620-G620*LTP3!$D$4/k_n</f>
        <v/>
      </c>
      <c r="V620">
        <f>O620-H620*LTP3!$D$4/k_n</f>
        <v/>
      </c>
      <c r="W620">
        <f>((LTP3!$D$5)*((P620)*(Q620)-(R620)*(R620))-(S620)*((S620)*(Q620)-(R620)*(T620))+(T620)*((S620)*(R620)-(P620)*(T620)))</f>
        <v/>
      </c>
      <c r="X620">
        <f>IF(ABS(W620)&gt;1E-12,((LTP3!$D$6)*((P620)*(Q620)-(R620)*(R620))-(S620)*((U620)*(Q620)-(R620)*(V620))+(T620)*((U620)*(R620)-(P620)*(V620)))/W620,0)</f>
        <v/>
      </c>
      <c r="Y620">
        <f>IF(ABS(W620)&gt;1E-12,((LTP3!$D$5)*((U620)*(Q620)-(R620)*(V620))-(LTP3!$D$6)*((S620)*(Q620)-(R620)*(T620))+(T620)*((S620)*(V620)-(U620)*(T620)))/W620,0)</f>
        <v/>
      </c>
      <c r="Z620">
        <f>IF(ABS(W620)&gt;1E-12,((LTP3!$D$5)*((P620)*(V620)-(U620)*(R620))-(S620)*((S620)*(V620)-(U620)*(T620))+(LTP3!$D$6)*((S620)*(R620)-(P620)*(T620)))/W620,0)</f>
        <v/>
      </c>
      <c r="AA620">
        <f>LTP3!$D$7-X620*LTP3!$D$6-Y620*U620-Z620*V620</f>
        <v/>
      </c>
      <c r="AB620">
        <f>IF(AND(F620,ABS(W620)&gt;1E-12,Y620&gt;0,Z620&gt;0),AA620,1E+300)</f>
        <v/>
      </c>
    </row>
    <row r="621">
      <c r="A621">
        <f>$B$3+$B$5*9</f>
        <v/>
      </c>
      <c r="B621">
        <f>$B$3+$B$5*60</f>
        <v/>
      </c>
      <c r="C621">
        <f>SUMPRODUCT(Calc!$K$3:$K$22*(Calc!$G$3:$G$22&lt;=A621))</f>
        <v/>
      </c>
      <c r="D621">
        <f>SUMPRODUCT(Calc!$K$3:$K$22*(Calc!$G$3:$G$22&gt;A621)*(Calc!$G$3:$G$22&lt;B621))</f>
        <v/>
      </c>
      <c r="E621">
        <f>SUMPRODUCT(Calc!$K$3:$K$22*(Calc!$G$3:$G$22&gt;=B621))</f>
        <v/>
      </c>
      <c r="F621">
        <f>AND(k_n&gt;=5,B621&gt;A621+1E-9,C621&gt;=2,D621&gt;=1,E621&gt;=2)</f>
        <v/>
      </c>
      <c r="G621">
        <f>SUMPRODUCT(Calc!$K$3:$K$22*(Calc!$G$3:$G$22&gt;A621)*(Calc!$G$3:$G$22-A621))</f>
        <v/>
      </c>
      <c r="H621">
        <f>SUMPRODUCT(Calc!$K$3:$K$22*(Calc!$G$3:$G$22&gt;B621)*(Calc!$G$3:$G$22-B621))</f>
        <v/>
      </c>
      <c r="I621">
        <f>SUMPRODUCT(Calc!$K$3:$K$22*(Calc!$G$3:$G$22&gt;A621)*(Calc!$G$3:$G$22-A621)^2)</f>
        <v/>
      </c>
      <c r="J621">
        <f>SUMPRODUCT(Calc!$K$3:$K$22*(Calc!$G$3:$G$22&gt;B621)*(Calc!$G$3:$G$22-B621)^2)</f>
        <v/>
      </c>
      <c r="K621">
        <f>SUMPRODUCT(Calc!$K$3:$K$22*(Calc!$G$3:$G$22&gt;A621)*(Calc!$G$3:$G$22-A621)*(Calc!$G$3:$G$22&gt;B621)*(Calc!$G$3:$G$22-B621))</f>
        <v/>
      </c>
      <c r="L621">
        <f>SUMPRODUCT(Calc!$K$3:$K$22*(Calc!$G$3:$G$22&gt;A621)*(Calc!$G$3:$G$22-A621)*Calc!$G$3:$G$22)</f>
        <v/>
      </c>
      <c r="M621">
        <f>SUMPRODUCT(Calc!$K$3:$K$22*(Calc!$G$3:$G$22&gt;B621)*(Calc!$G$3:$G$22-B621)*Calc!$G$3:$G$22)</f>
        <v/>
      </c>
      <c r="N621">
        <f>SUMPRODUCT(Calc!$K$3:$K$22*(Calc!$G$3:$G$22&gt;A621)*(Calc!$G$3:$G$22-A621)*Calc!$I$3:$I$22)</f>
        <v/>
      </c>
      <c r="O621">
        <f>SUMPRODUCT(Calc!$K$3:$K$22*(Calc!$G$3:$G$22&gt;B621)*(Calc!$G$3:$G$22-B621)*Calc!$I$3:$I$22)</f>
        <v/>
      </c>
      <c r="P621">
        <f>I621-G621^2/k_n</f>
        <v/>
      </c>
      <c r="Q621">
        <f>J621-H621^2/k_n</f>
        <v/>
      </c>
      <c r="R621">
        <f>K621-G621*H621/k_n</f>
        <v/>
      </c>
      <c r="S621">
        <f>L621-LTP3!$D$3*G621/k_n</f>
        <v/>
      </c>
      <c r="T621">
        <f>M621-LTP3!$D$3*H621/k_n</f>
        <v/>
      </c>
      <c r="U621">
        <f>N621-G621*LTP3!$D$4/k_n</f>
        <v/>
      </c>
      <c r="V621">
        <f>O621-H621*LTP3!$D$4/k_n</f>
        <v/>
      </c>
      <c r="W621">
        <f>((LTP3!$D$5)*((P621)*(Q621)-(R621)*(R621))-(S621)*((S621)*(Q621)-(R621)*(T621))+(T621)*((S621)*(R621)-(P621)*(T621)))</f>
        <v/>
      </c>
      <c r="X621">
        <f>IF(ABS(W621)&gt;1E-12,((LTP3!$D$6)*((P621)*(Q621)-(R621)*(R621))-(S621)*((U621)*(Q621)-(R621)*(V621))+(T621)*((U621)*(R621)-(P621)*(V621)))/W621,0)</f>
        <v/>
      </c>
      <c r="Y621">
        <f>IF(ABS(W621)&gt;1E-12,((LTP3!$D$5)*((U621)*(Q621)-(R621)*(V621))-(LTP3!$D$6)*((S621)*(Q621)-(R621)*(T621))+(T621)*((S621)*(V621)-(U621)*(T621)))/W621,0)</f>
        <v/>
      </c>
      <c r="Z621">
        <f>IF(ABS(W621)&gt;1E-12,((LTP3!$D$5)*((P621)*(V621)-(U621)*(R621))-(S621)*((S621)*(V621)-(U621)*(T621))+(LTP3!$D$6)*((S621)*(R621)-(P621)*(T621)))/W621,0)</f>
        <v/>
      </c>
      <c r="AA621">
        <f>LTP3!$D$7-X621*LTP3!$D$6-Y621*U621-Z621*V621</f>
        <v/>
      </c>
      <c r="AB621">
        <f>IF(AND(F621,ABS(W621)&gt;1E-12,Y621&gt;0,Z621&gt;0),AA621,1E+300)</f>
        <v/>
      </c>
    </row>
    <row r="622">
      <c r="A622">
        <f>$B$3+$B$5*10</f>
        <v/>
      </c>
      <c r="B622">
        <f>$B$3+$B$5*0</f>
        <v/>
      </c>
      <c r="C622">
        <f>SUMPRODUCT(Calc!$K$3:$K$22*(Calc!$G$3:$G$22&lt;=A622))</f>
        <v/>
      </c>
      <c r="D622">
        <f>SUMPRODUCT(Calc!$K$3:$K$22*(Calc!$G$3:$G$22&gt;A622)*(Calc!$G$3:$G$22&lt;B622))</f>
        <v/>
      </c>
      <c r="E622">
        <f>SUMPRODUCT(Calc!$K$3:$K$22*(Calc!$G$3:$G$22&gt;=B622))</f>
        <v/>
      </c>
      <c r="F622">
        <f>AND(k_n&gt;=5,B622&gt;A622+1E-9,C622&gt;=2,D622&gt;=1,E622&gt;=2)</f>
        <v/>
      </c>
      <c r="G622">
        <f>SUMPRODUCT(Calc!$K$3:$K$22*(Calc!$G$3:$G$22&gt;A622)*(Calc!$G$3:$G$22-A622))</f>
        <v/>
      </c>
      <c r="H622">
        <f>SUMPRODUCT(Calc!$K$3:$K$22*(Calc!$G$3:$G$22&gt;B622)*(Calc!$G$3:$G$22-B622))</f>
        <v/>
      </c>
      <c r="I622">
        <f>SUMPRODUCT(Calc!$K$3:$K$22*(Calc!$G$3:$G$22&gt;A622)*(Calc!$G$3:$G$22-A622)^2)</f>
        <v/>
      </c>
      <c r="J622">
        <f>SUMPRODUCT(Calc!$K$3:$K$22*(Calc!$G$3:$G$22&gt;B622)*(Calc!$G$3:$G$22-B622)^2)</f>
        <v/>
      </c>
      <c r="K622">
        <f>SUMPRODUCT(Calc!$K$3:$K$22*(Calc!$G$3:$G$22&gt;A622)*(Calc!$G$3:$G$22-A622)*(Calc!$G$3:$G$22&gt;B622)*(Calc!$G$3:$G$22-B622))</f>
        <v/>
      </c>
      <c r="L622">
        <f>SUMPRODUCT(Calc!$K$3:$K$22*(Calc!$G$3:$G$22&gt;A622)*(Calc!$G$3:$G$22-A622)*Calc!$G$3:$G$22)</f>
        <v/>
      </c>
      <c r="M622">
        <f>SUMPRODUCT(Calc!$K$3:$K$22*(Calc!$G$3:$G$22&gt;B622)*(Calc!$G$3:$G$22-B622)*Calc!$G$3:$G$22)</f>
        <v/>
      </c>
      <c r="N622">
        <f>SUMPRODUCT(Calc!$K$3:$K$22*(Calc!$G$3:$G$22&gt;A622)*(Calc!$G$3:$G$22-A622)*Calc!$I$3:$I$22)</f>
        <v/>
      </c>
      <c r="O622">
        <f>SUMPRODUCT(Calc!$K$3:$K$22*(Calc!$G$3:$G$22&gt;B622)*(Calc!$G$3:$G$22-B622)*Calc!$I$3:$I$22)</f>
        <v/>
      </c>
      <c r="P622">
        <f>I622-G622^2/k_n</f>
        <v/>
      </c>
      <c r="Q622">
        <f>J622-H622^2/k_n</f>
        <v/>
      </c>
      <c r="R622">
        <f>K622-G622*H622/k_n</f>
        <v/>
      </c>
      <c r="S622">
        <f>L622-LTP3!$D$3*G622/k_n</f>
        <v/>
      </c>
      <c r="T622">
        <f>M622-LTP3!$D$3*H622/k_n</f>
        <v/>
      </c>
      <c r="U622">
        <f>N622-G622*LTP3!$D$4/k_n</f>
        <v/>
      </c>
      <c r="V622">
        <f>O622-H622*LTP3!$D$4/k_n</f>
        <v/>
      </c>
      <c r="W622">
        <f>((LTP3!$D$5)*((P622)*(Q622)-(R622)*(R622))-(S622)*((S622)*(Q622)-(R622)*(T622))+(T622)*((S622)*(R622)-(P622)*(T622)))</f>
        <v/>
      </c>
      <c r="X622">
        <f>IF(ABS(W622)&gt;1E-12,((LTP3!$D$6)*((P622)*(Q622)-(R622)*(R622))-(S622)*((U622)*(Q622)-(R622)*(V622))+(T622)*((U622)*(R622)-(P622)*(V622)))/W622,0)</f>
        <v/>
      </c>
      <c r="Y622">
        <f>IF(ABS(W622)&gt;1E-12,((LTP3!$D$5)*((U622)*(Q622)-(R622)*(V622))-(LTP3!$D$6)*((S622)*(Q622)-(R622)*(T622))+(T622)*((S622)*(V622)-(U622)*(T622)))/W622,0)</f>
        <v/>
      </c>
      <c r="Z622">
        <f>IF(ABS(W622)&gt;1E-12,((LTP3!$D$5)*((P622)*(V622)-(U622)*(R622))-(S622)*((S622)*(V622)-(U622)*(T622))+(LTP3!$D$6)*((S622)*(R622)-(P622)*(T622)))/W622,0)</f>
        <v/>
      </c>
      <c r="AA622">
        <f>LTP3!$D$7-X622*LTP3!$D$6-Y622*U622-Z622*V622</f>
        <v/>
      </c>
      <c r="AB622">
        <f>IF(AND(F622,ABS(W622)&gt;1E-12,Y622&gt;0,Z622&gt;0),AA622,1E+300)</f>
        <v/>
      </c>
    </row>
    <row r="623">
      <c r="A623">
        <f>$B$3+$B$5*10</f>
        <v/>
      </c>
      <c r="B623">
        <f>$B$3+$B$5*1</f>
        <v/>
      </c>
      <c r="C623">
        <f>SUMPRODUCT(Calc!$K$3:$K$22*(Calc!$G$3:$G$22&lt;=A623))</f>
        <v/>
      </c>
      <c r="D623">
        <f>SUMPRODUCT(Calc!$K$3:$K$22*(Calc!$G$3:$G$22&gt;A623)*(Calc!$G$3:$G$22&lt;B623))</f>
        <v/>
      </c>
      <c r="E623">
        <f>SUMPRODUCT(Calc!$K$3:$K$22*(Calc!$G$3:$G$22&gt;=B623))</f>
        <v/>
      </c>
      <c r="F623">
        <f>AND(k_n&gt;=5,B623&gt;A623+1E-9,C623&gt;=2,D623&gt;=1,E623&gt;=2)</f>
        <v/>
      </c>
      <c r="G623">
        <f>SUMPRODUCT(Calc!$K$3:$K$22*(Calc!$G$3:$G$22&gt;A623)*(Calc!$G$3:$G$22-A623))</f>
        <v/>
      </c>
      <c r="H623">
        <f>SUMPRODUCT(Calc!$K$3:$K$22*(Calc!$G$3:$G$22&gt;B623)*(Calc!$G$3:$G$22-B623))</f>
        <v/>
      </c>
      <c r="I623">
        <f>SUMPRODUCT(Calc!$K$3:$K$22*(Calc!$G$3:$G$22&gt;A623)*(Calc!$G$3:$G$22-A623)^2)</f>
        <v/>
      </c>
      <c r="J623">
        <f>SUMPRODUCT(Calc!$K$3:$K$22*(Calc!$G$3:$G$22&gt;B623)*(Calc!$G$3:$G$22-B623)^2)</f>
        <v/>
      </c>
      <c r="K623">
        <f>SUMPRODUCT(Calc!$K$3:$K$22*(Calc!$G$3:$G$22&gt;A623)*(Calc!$G$3:$G$22-A623)*(Calc!$G$3:$G$22&gt;B623)*(Calc!$G$3:$G$22-B623))</f>
        <v/>
      </c>
      <c r="L623">
        <f>SUMPRODUCT(Calc!$K$3:$K$22*(Calc!$G$3:$G$22&gt;A623)*(Calc!$G$3:$G$22-A623)*Calc!$G$3:$G$22)</f>
        <v/>
      </c>
      <c r="M623">
        <f>SUMPRODUCT(Calc!$K$3:$K$22*(Calc!$G$3:$G$22&gt;B623)*(Calc!$G$3:$G$22-B623)*Calc!$G$3:$G$22)</f>
        <v/>
      </c>
      <c r="N623">
        <f>SUMPRODUCT(Calc!$K$3:$K$22*(Calc!$G$3:$G$22&gt;A623)*(Calc!$G$3:$G$22-A623)*Calc!$I$3:$I$22)</f>
        <v/>
      </c>
      <c r="O623">
        <f>SUMPRODUCT(Calc!$K$3:$K$22*(Calc!$G$3:$G$22&gt;B623)*(Calc!$G$3:$G$22-B623)*Calc!$I$3:$I$22)</f>
        <v/>
      </c>
      <c r="P623">
        <f>I623-G623^2/k_n</f>
        <v/>
      </c>
      <c r="Q623">
        <f>J623-H623^2/k_n</f>
        <v/>
      </c>
      <c r="R623">
        <f>K623-G623*H623/k_n</f>
        <v/>
      </c>
      <c r="S623">
        <f>L623-LTP3!$D$3*G623/k_n</f>
        <v/>
      </c>
      <c r="T623">
        <f>M623-LTP3!$D$3*H623/k_n</f>
        <v/>
      </c>
      <c r="U623">
        <f>N623-G623*LTP3!$D$4/k_n</f>
        <v/>
      </c>
      <c r="V623">
        <f>O623-H623*LTP3!$D$4/k_n</f>
        <v/>
      </c>
      <c r="W623">
        <f>((LTP3!$D$5)*((P623)*(Q623)-(R623)*(R623))-(S623)*((S623)*(Q623)-(R623)*(T623))+(T623)*((S623)*(R623)-(P623)*(T623)))</f>
        <v/>
      </c>
      <c r="X623">
        <f>IF(ABS(W623)&gt;1E-12,((LTP3!$D$6)*((P623)*(Q623)-(R623)*(R623))-(S623)*((U623)*(Q623)-(R623)*(V623))+(T623)*((U623)*(R623)-(P623)*(V623)))/W623,0)</f>
        <v/>
      </c>
      <c r="Y623">
        <f>IF(ABS(W623)&gt;1E-12,((LTP3!$D$5)*((U623)*(Q623)-(R623)*(V623))-(LTP3!$D$6)*((S623)*(Q623)-(R623)*(T623))+(T623)*((S623)*(V623)-(U623)*(T623)))/W623,0)</f>
        <v/>
      </c>
      <c r="Z623">
        <f>IF(ABS(W623)&gt;1E-12,((LTP3!$D$5)*((P623)*(V623)-(U623)*(R623))-(S623)*((S623)*(V623)-(U623)*(T623))+(LTP3!$D$6)*((S623)*(R623)-(P623)*(T623)))/W623,0)</f>
        <v/>
      </c>
      <c r="AA623">
        <f>LTP3!$D$7-X623*LTP3!$D$6-Y623*U623-Z623*V623</f>
        <v/>
      </c>
      <c r="AB623">
        <f>IF(AND(F623,ABS(W623)&gt;1E-12,Y623&gt;0,Z623&gt;0),AA623,1E+300)</f>
        <v/>
      </c>
    </row>
    <row r="624">
      <c r="A624">
        <f>$B$3+$B$5*10</f>
        <v/>
      </c>
      <c r="B624">
        <f>$B$3+$B$5*2</f>
        <v/>
      </c>
      <c r="C624">
        <f>SUMPRODUCT(Calc!$K$3:$K$22*(Calc!$G$3:$G$22&lt;=A624))</f>
        <v/>
      </c>
      <c r="D624">
        <f>SUMPRODUCT(Calc!$K$3:$K$22*(Calc!$G$3:$G$22&gt;A624)*(Calc!$G$3:$G$22&lt;B624))</f>
        <v/>
      </c>
      <c r="E624">
        <f>SUMPRODUCT(Calc!$K$3:$K$22*(Calc!$G$3:$G$22&gt;=B624))</f>
        <v/>
      </c>
      <c r="F624">
        <f>AND(k_n&gt;=5,B624&gt;A624+1E-9,C624&gt;=2,D624&gt;=1,E624&gt;=2)</f>
        <v/>
      </c>
      <c r="G624">
        <f>SUMPRODUCT(Calc!$K$3:$K$22*(Calc!$G$3:$G$22&gt;A624)*(Calc!$G$3:$G$22-A624))</f>
        <v/>
      </c>
      <c r="H624">
        <f>SUMPRODUCT(Calc!$K$3:$K$22*(Calc!$G$3:$G$22&gt;B624)*(Calc!$G$3:$G$22-B624))</f>
        <v/>
      </c>
      <c r="I624">
        <f>SUMPRODUCT(Calc!$K$3:$K$22*(Calc!$G$3:$G$22&gt;A624)*(Calc!$G$3:$G$22-A624)^2)</f>
        <v/>
      </c>
      <c r="J624">
        <f>SUMPRODUCT(Calc!$K$3:$K$22*(Calc!$G$3:$G$22&gt;B624)*(Calc!$G$3:$G$22-B624)^2)</f>
        <v/>
      </c>
      <c r="K624">
        <f>SUMPRODUCT(Calc!$K$3:$K$22*(Calc!$G$3:$G$22&gt;A624)*(Calc!$G$3:$G$22-A624)*(Calc!$G$3:$G$22&gt;B624)*(Calc!$G$3:$G$22-B624))</f>
        <v/>
      </c>
      <c r="L624">
        <f>SUMPRODUCT(Calc!$K$3:$K$22*(Calc!$G$3:$G$22&gt;A624)*(Calc!$G$3:$G$22-A624)*Calc!$G$3:$G$22)</f>
        <v/>
      </c>
      <c r="M624">
        <f>SUMPRODUCT(Calc!$K$3:$K$22*(Calc!$G$3:$G$22&gt;B624)*(Calc!$G$3:$G$22-B624)*Calc!$G$3:$G$22)</f>
        <v/>
      </c>
      <c r="N624">
        <f>SUMPRODUCT(Calc!$K$3:$K$22*(Calc!$G$3:$G$22&gt;A624)*(Calc!$G$3:$G$22-A624)*Calc!$I$3:$I$22)</f>
        <v/>
      </c>
      <c r="O624">
        <f>SUMPRODUCT(Calc!$K$3:$K$22*(Calc!$G$3:$G$22&gt;B624)*(Calc!$G$3:$G$22-B624)*Calc!$I$3:$I$22)</f>
        <v/>
      </c>
      <c r="P624">
        <f>I624-G624^2/k_n</f>
        <v/>
      </c>
      <c r="Q624">
        <f>J624-H624^2/k_n</f>
        <v/>
      </c>
      <c r="R624">
        <f>K624-G624*H624/k_n</f>
        <v/>
      </c>
      <c r="S624">
        <f>L624-LTP3!$D$3*G624/k_n</f>
        <v/>
      </c>
      <c r="T624">
        <f>M624-LTP3!$D$3*H624/k_n</f>
        <v/>
      </c>
      <c r="U624">
        <f>N624-G624*LTP3!$D$4/k_n</f>
        <v/>
      </c>
      <c r="V624">
        <f>O624-H624*LTP3!$D$4/k_n</f>
        <v/>
      </c>
      <c r="W624">
        <f>((LTP3!$D$5)*((P624)*(Q624)-(R624)*(R624))-(S624)*((S624)*(Q624)-(R624)*(T624))+(T624)*((S624)*(R624)-(P624)*(T624)))</f>
        <v/>
      </c>
      <c r="X624">
        <f>IF(ABS(W624)&gt;1E-12,((LTP3!$D$6)*((P624)*(Q624)-(R624)*(R624))-(S624)*((U624)*(Q624)-(R624)*(V624))+(T624)*((U624)*(R624)-(P624)*(V624)))/W624,0)</f>
        <v/>
      </c>
      <c r="Y624">
        <f>IF(ABS(W624)&gt;1E-12,((LTP3!$D$5)*((U624)*(Q624)-(R624)*(V624))-(LTP3!$D$6)*((S624)*(Q624)-(R624)*(T624))+(T624)*((S624)*(V624)-(U624)*(T624)))/W624,0)</f>
        <v/>
      </c>
      <c r="Z624">
        <f>IF(ABS(W624)&gt;1E-12,((LTP3!$D$5)*((P624)*(V624)-(U624)*(R624))-(S624)*((S624)*(V624)-(U624)*(T624))+(LTP3!$D$6)*((S624)*(R624)-(P624)*(T624)))/W624,0)</f>
        <v/>
      </c>
      <c r="AA624">
        <f>LTP3!$D$7-X624*LTP3!$D$6-Y624*U624-Z624*V624</f>
        <v/>
      </c>
      <c r="AB624">
        <f>IF(AND(F624,ABS(W624)&gt;1E-12,Y624&gt;0,Z624&gt;0),AA624,1E+300)</f>
        <v/>
      </c>
    </row>
    <row r="625">
      <c r="A625">
        <f>$B$3+$B$5*10</f>
        <v/>
      </c>
      <c r="B625">
        <f>$B$3+$B$5*3</f>
        <v/>
      </c>
      <c r="C625">
        <f>SUMPRODUCT(Calc!$K$3:$K$22*(Calc!$G$3:$G$22&lt;=A625))</f>
        <v/>
      </c>
      <c r="D625">
        <f>SUMPRODUCT(Calc!$K$3:$K$22*(Calc!$G$3:$G$22&gt;A625)*(Calc!$G$3:$G$22&lt;B625))</f>
        <v/>
      </c>
      <c r="E625">
        <f>SUMPRODUCT(Calc!$K$3:$K$22*(Calc!$G$3:$G$22&gt;=B625))</f>
        <v/>
      </c>
      <c r="F625">
        <f>AND(k_n&gt;=5,B625&gt;A625+1E-9,C625&gt;=2,D625&gt;=1,E625&gt;=2)</f>
        <v/>
      </c>
      <c r="G625">
        <f>SUMPRODUCT(Calc!$K$3:$K$22*(Calc!$G$3:$G$22&gt;A625)*(Calc!$G$3:$G$22-A625))</f>
        <v/>
      </c>
      <c r="H625">
        <f>SUMPRODUCT(Calc!$K$3:$K$22*(Calc!$G$3:$G$22&gt;B625)*(Calc!$G$3:$G$22-B625))</f>
        <v/>
      </c>
      <c r="I625">
        <f>SUMPRODUCT(Calc!$K$3:$K$22*(Calc!$G$3:$G$22&gt;A625)*(Calc!$G$3:$G$22-A625)^2)</f>
        <v/>
      </c>
      <c r="J625">
        <f>SUMPRODUCT(Calc!$K$3:$K$22*(Calc!$G$3:$G$22&gt;B625)*(Calc!$G$3:$G$22-B625)^2)</f>
        <v/>
      </c>
      <c r="K625">
        <f>SUMPRODUCT(Calc!$K$3:$K$22*(Calc!$G$3:$G$22&gt;A625)*(Calc!$G$3:$G$22-A625)*(Calc!$G$3:$G$22&gt;B625)*(Calc!$G$3:$G$22-B625))</f>
        <v/>
      </c>
      <c r="L625">
        <f>SUMPRODUCT(Calc!$K$3:$K$22*(Calc!$G$3:$G$22&gt;A625)*(Calc!$G$3:$G$22-A625)*Calc!$G$3:$G$22)</f>
        <v/>
      </c>
      <c r="M625">
        <f>SUMPRODUCT(Calc!$K$3:$K$22*(Calc!$G$3:$G$22&gt;B625)*(Calc!$G$3:$G$22-B625)*Calc!$G$3:$G$22)</f>
        <v/>
      </c>
      <c r="N625">
        <f>SUMPRODUCT(Calc!$K$3:$K$22*(Calc!$G$3:$G$22&gt;A625)*(Calc!$G$3:$G$22-A625)*Calc!$I$3:$I$22)</f>
        <v/>
      </c>
      <c r="O625">
        <f>SUMPRODUCT(Calc!$K$3:$K$22*(Calc!$G$3:$G$22&gt;B625)*(Calc!$G$3:$G$22-B625)*Calc!$I$3:$I$22)</f>
        <v/>
      </c>
      <c r="P625">
        <f>I625-G625^2/k_n</f>
        <v/>
      </c>
      <c r="Q625">
        <f>J625-H625^2/k_n</f>
        <v/>
      </c>
      <c r="R625">
        <f>K625-G625*H625/k_n</f>
        <v/>
      </c>
      <c r="S625">
        <f>L625-LTP3!$D$3*G625/k_n</f>
        <v/>
      </c>
      <c r="T625">
        <f>M625-LTP3!$D$3*H625/k_n</f>
        <v/>
      </c>
      <c r="U625">
        <f>N625-G625*LTP3!$D$4/k_n</f>
        <v/>
      </c>
      <c r="V625">
        <f>O625-H625*LTP3!$D$4/k_n</f>
        <v/>
      </c>
      <c r="W625">
        <f>((LTP3!$D$5)*((P625)*(Q625)-(R625)*(R625))-(S625)*((S625)*(Q625)-(R625)*(T625))+(T625)*((S625)*(R625)-(P625)*(T625)))</f>
        <v/>
      </c>
      <c r="X625">
        <f>IF(ABS(W625)&gt;1E-12,((LTP3!$D$6)*((P625)*(Q625)-(R625)*(R625))-(S625)*((U625)*(Q625)-(R625)*(V625))+(T625)*((U625)*(R625)-(P625)*(V625)))/W625,0)</f>
        <v/>
      </c>
      <c r="Y625">
        <f>IF(ABS(W625)&gt;1E-12,((LTP3!$D$5)*((U625)*(Q625)-(R625)*(V625))-(LTP3!$D$6)*((S625)*(Q625)-(R625)*(T625))+(T625)*((S625)*(V625)-(U625)*(T625)))/W625,0)</f>
        <v/>
      </c>
      <c r="Z625">
        <f>IF(ABS(W625)&gt;1E-12,((LTP3!$D$5)*((P625)*(V625)-(U625)*(R625))-(S625)*((S625)*(V625)-(U625)*(T625))+(LTP3!$D$6)*((S625)*(R625)-(P625)*(T625)))/W625,0)</f>
        <v/>
      </c>
      <c r="AA625">
        <f>LTP3!$D$7-X625*LTP3!$D$6-Y625*U625-Z625*V625</f>
        <v/>
      </c>
      <c r="AB625">
        <f>IF(AND(F625,ABS(W625)&gt;1E-12,Y625&gt;0,Z625&gt;0),AA625,1E+300)</f>
        <v/>
      </c>
    </row>
    <row r="626">
      <c r="A626">
        <f>$B$3+$B$5*10</f>
        <v/>
      </c>
      <c r="B626">
        <f>$B$3+$B$5*4</f>
        <v/>
      </c>
      <c r="C626">
        <f>SUMPRODUCT(Calc!$K$3:$K$22*(Calc!$G$3:$G$22&lt;=A626))</f>
        <v/>
      </c>
      <c r="D626">
        <f>SUMPRODUCT(Calc!$K$3:$K$22*(Calc!$G$3:$G$22&gt;A626)*(Calc!$G$3:$G$22&lt;B626))</f>
        <v/>
      </c>
      <c r="E626">
        <f>SUMPRODUCT(Calc!$K$3:$K$22*(Calc!$G$3:$G$22&gt;=B626))</f>
        <v/>
      </c>
      <c r="F626">
        <f>AND(k_n&gt;=5,B626&gt;A626+1E-9,C626&gt;=2,D626&gt;=1,E626&gt;=2)</f>
        <v/>
      </c>
      <c r="G626">
        <f>SUMPRODUCT(Calc!$K$3:$K$22*(Calc!$G$3:$G$22&gt;A626)*(Calc!$G$3:$G$22-A626))</f>
        <v/>
      </c>
      <c r="H626">
        <f>SUMPRODUCT(Calc!$K$3:$K$22*(Calc!$G$3:$G$22&gt;B626)*(Calc!$G$3:$G$22-B626))</f>
        <v/>
      </c>
      <c r="I626">
        <f>SUMPRODUCT(Calc!$K$3:$K$22*(Calc!$G$3:$G$22&gt;A626)*(Calc!$G$3:$G$22-A626)^2)</f>
        <v/>
      </c>
      <c r="J626">
        <f>SUMPRODUCT(Calc!$K$3:$K$22*(Calc!$G$3:$G$22&gt;B626)*(Calc!$G$3:$G$22-B626)^2)</f>
        <v/>
      </c>
      <c r="K626">
        <f>SUMPRODUCT(Calc!$K$3:$K$22*(Calc!$G$3:$G$22&gt;A626)*(Calc!$G$3:$G$22-A626)*(Calc!$G$3:$G$22&gt;B626)*(Calc!$G$3:$G$22-B626))</f>
        <v/>
      </c>
      <c r="L626">
        <f>SUMPRODUCT(Calc!$K$3:$K$22*(Calc!$G$3:$G$22&gt;A626)*(Calc!$G$3:$G$22-A626)*Calc!$G$3:$G$22)</f>
        <v/>
      </c>
      <c r="M626">
        <f>SUMPRODUCT(Calc!$K$3:$K$22*(Calc!$G$3:$G$22&gt;B626)*(Calc!$G$3:$G$22-B626)*Calc!$G$3:$G$22)</f>
        <v/>
      </c>
      <c r="N626">
        <f>SUMPRODUCT(Calc!$K$3:$K$22*(Calc!$G$3:$G$22&gt;A626)*(Calc!$G$3:$G$22-A626)*Calc!$I$3:$I$22)</f>
        <v/>
      </c>
      <c r="O626">
        <f>SUMPRODUCT(Calc!$K$3:$K$22*(Calc!$G$3:$G$22&gt;B626)*(Calc!$G$3:$G$22-B626)*Calc!$I$3:$I$22)</f>
        <v/>
      </c>
      <c r="P626">
        <f>I626-G626^2/k_n</f>
        <v/>
      </c>
      <c r="Q626">
        <f>J626-H626^2/k_n</f>
        <v/>
      </c>
      <c r="R626">
        <f>K626-G626*H626/k_n</f>
        <v/>
      </c>
      <c r="S626">
        <f>L626-LTP3!$D$3*G626/k_n</f>
        <v/>
      </c>
      <c r="T626">
        <f>M626-LTP3!$D$3*H626/k_n</f>
        <v/>
      </c>
      <c r="U626">
        <f>N626-G626*LTP3!$D$4/k_n</f>
        <v/>
      </c>
      <c r="V626">
        <f>O626-H626*LTP3!$D$4/k_n</f>
        <v/>
      </c>
      <c r="W626">
        <f>((LTP3!$D$5)*((P626)*(Q626)-(R626)*(R626))-(S626)*((S626)*(Q626)-(R626)*(T626))+(T626)*((S626)*(R626)-(P626)*(T626)))</f>
        <v/>
      </c>
      <c r="X626">
        <f>IF(ABS(W626)&gt;1E-12,((LTP3!$D$6)*((P626)*(Q626)-(R626)*(R626))-(S626)*((U626)*(Q626)-(R626)*(V626))+(T626)*((U626)*(R626)-(P626)*(V626)))/W626,0)</f>
        <v/>
      </c>
      <c r="Y626">
        <f>IF(ABS(W626)&gt;1E-12,((LTP3!$D$5)*((U626)*(Q626)-(R626)*(V626))-(LTP3!$D$6)*((S626)*(Q626)-(R626)*(T626))+(T626)*((S626)*(V626)-(U626)*(T626)))/W626,0)</f>
        <v/>
      </c>
      <c r="Z626">
        <f>IF(ABS(W626)&gt;1E-12,((LTP3!$D$5)*((P626)*(V626)-(U626)*(R626))-(S626)*((S626)*(V626)-(U626)*(T626))+(LTP3!$D$6)*((S626)*(R626)-(P626)*(T626)))/W626,0)</f>
        <v/>
      </c>
      <c r="AA626">
        <f>LTP3!$D$7-X626*LTP3!$D$6-Y626*U626-Z626*V626</f>
        <v/>
      </c>
      <c r="AB626">
        <f>IF(AND(F626,ABS(W626)&gt;1E-12,Y626&gt;0,Z626&gt;0),AA626,1E+300)</f>
        <v/>
      </c>
    </row>
    <row r="627">
      <c r="A627">
        <f>$B$3+$B$5*10</f>
        <v/>
      </c>
      <c r="B627">
        <f>$B$3+$B$5*5</f>
        <v/>
      </c>
      <c r="C627">
        <f>SUMPRODUCT(Calc!$K$3:$K$22*(Calc!$G$3:$G$22&lt;=A627))</f>
        <v/>
      </c>
      <c r="D627">
        <f>SUMPRODUCT(Calc!$K$3:$K$22*(Calc!$G$3:$G$22&gt;A627)*(Calc!$G$3:$G$22&lt;B627))</f>
        <v/>
      </c>
      <c r="E627">
        <f>SUMPRODUCT(Calc!$K$3:$K$22*(Calc!$G$3:$G$22&gt;=B627))</f>
        <v/>
      </c>
      <c r="F627">
        <f>AND(k_n&gt;=5,B627&gt;A627+1E-9,C627&gt;=2,D627&gt;=1,E627&gt;=2)</f>
        <v/>
      </c>
      <c r="G627">
        <f>SUMPRODUCT(Calc!$K$3:$K$22*(Calc!$G$3:$G$22&gt;A627)*(Calc!$G$3:$G$22-A627))</f>
        <v/>
      </c>
      <c r="H627">
        <f>SUMPRODUCT(Calc!$K$3:$K$22*(Calc!$G$3:$G$22&gt;B627)*(Calc!$G$3:$G$22-B627))</f>
        <v/>
      </c>
      <c r="I627">
        <f>SUMPRODUCT(Calc!$K$3:$K$22*(Calc!$G$3:$G$22&gt;A627)*(Calc!$G$3:$G$22-A627)^2)</f>
        <v/>
      </c>
      <c r="J627">
        <f>SUMPRODUCT(Calc!$K$3:$K$22*(Calc!$G$3:$G$22&gt;B627)*(Calc!$G$3:$G$22-B627)^2)</f>
        <v/>
      </c>
      <c r="K627">
        <f>SUMPRODUCT(Calc!$K$3:$K$22*(Calc!$G$3:$G$22&gt;A627)*(Calc!$G$3:$G$22-A627)*(Calc!$G$3:$G$22&gt;B627)*(Calc!$G$3:$G$22-B627))</f>
        <v/>
      </c>
      <c r="L627">
        <f>SUMPRODUCT(Calc!$K$3:$K$22*(Calc!$G$3:$G$22&gt;A627)*(Calc!$G$3:$G$22-A627)*Calc!$G$3:$G$22)</f>
        <v/>
      </c>
      <c r="M627">
        <f>SUMPRODUCT(Calc!$K$3:$K$22*(Calc!$G$3:$G$22&gt;B627)*(Calc!$G$3:$G$22-B627)*Calc!$G$3:$G$22)</f>
        <v/>
      </c>
      <c r="N627">
        <f>SUMPRODUCT(Calc!$K$3:$K$22*(Calc!$G$3:$G$22&gt;A627)*(Calc!$G$3:$G$22-A627)*Calc!$I$3:$I$22)</f>
        <v/>
      </c>
      <c r="O627">
        <f>SUMPRODUCT(Calc!$K$3:$K$22*(Calc!$G$3:$G$22&gt;B627)*(Calc!$G$3:$G$22-B627)*Calc!$I$3:$I$22)</f>
        <v/>
      </c>
      <c r="P627">
        <f>I627-G627^2/k_n</f>
        <v/>
      </c>
      <c r="Q627">
        <f>J627-H627^2/k_n</f>
        <v/>
      </c>
      <c r="R627">
        <f>K627-G627*H627/k_n</f>
        <v/>
      </c>
      <c r="S627">
        <f>L627-LTP3!$D$3*G627/k_n</f>
        <v/>
      </c>
      <c r="T627">
        <f>M627-LTP3!$D$3*H627/k_n</f>
        <v/>
      </c>
      <c r="U627">
        <f>N627-G627*LTP3!$D$4/k_n</f>
        <v/>
      </c>
      <c r="V627">
        <f>O627-H627*LTP3!$D$4/k_n</f>
        <v/>
      </c>
      <c r="W627">
        <f>((LTP3!$D$5)*((P627)*(Q627)-(R627)*(R627))-(S627)*((S627)*(Q627)-(R627)*(T627))+(T627)*((S627)*(R627)-(P627)*(T627)))</f>
        <v/>
      </c>
      <c r="X627">
        <f>IF(ABS(W627)&gt;1E-12,((LTP3!$D$6)*((P627)*(Q627)-(R627)*(R627))-(S627)*((U627)*(Q627)-(R627)*(V627))+(T627)*((U627)*(R627)-(P627)*(V627)))/W627,0)</f>
        <v/>
      </c>
      <c r="Y627">
        <f>IF(ABS(W627)&gt;1E-12,((LTP3!$D$5)*((U627)*(Q627)-(R627)*(V627))-(LTP3!$D$6)*((S627)*(Q627)-(R627)*(T627))+(T627)*((S627)*(V627)-(U627)*(T627)))/W627,0)</f>
        <v/>
      </c>
      <c r="Z627">
        <f>IF(ABS(W627)&gt;1E-12,((LTP3!$D$5)*((P627)*(V627)-(U627)*(R627))-(S627)*((S627)*(V627)-(U627)*(T627))+(LTP3!$D$6)*((S627)*(R627)-(P627)*(T627)))/W627,0)</f>
        <v/>
      </c>
      <c r="AA627">
        <f>LTP3!$D$7-X627*LTP3!$D$6-Y627*U627-Z627*V627</f>
        <v/>
      </c>
      <c r="AB627">
        <f>IF(AND(F627,ABS(W627)&gt;1E-12,Y627&gt;0,Z627&gt;0),AA627,1E+300)</f>
        <v/>
      </c>
    </row>
    <row r="628">
      <c r="A628">
        <f>$B$3+$B$5*10</f>
        <v/>
      </c>
      <c r="B628">
        <f>$B$3+$B$5*6</f>
        <v/>
      </c>
      <c r="C628">
        <f>SUMPRODUCT(Calc!$K$3:$K$22*(Calc!$G$3:$G$22&lt;=A628))</f>
        <v/>
      </c>
      <c r="D628">
        <f>SUMPRODUCT(Calc!$K$3:$K$22*(Calc!$G$3:$G$22&gt;A628)*(Calc!$G$3:$G$22&lt;B628))</f>
        <v/>
      </c>
      <c r="E628">
        <f>SUMPRODUCT(Calc!$K$3:$K$22*(Calc!$G$3:$G$22&gt;=B628))</f>
        <v/>
      </c>
      <c r="F628">
        <f>AND(k_n&gt;=5,B628&gt;A628+1E-9,C628&gt;=2,D628&gt;=1,E628&gt;=2)</f>
        <v/>
      </c>
      <c r="G628">
        <f>SUMPRODUCT(Calc!$K$3:$K$22*(Calc!$G$3:$G$22&gt;A628)*(Calc!$G$3:$G$22-A628))</f>
        <v/>
      </c>
      <c r="H628">
        <f>SUMPRODUCT(Calc!$K$3:$K$22*(Calc!$G$3:$G$22&gt;B628)*(Calc!$G$3:$G$22-B628))</f>
        <v/>
      </c>
      <c r="I628">
        <f>SUMPRODUCT(Calc!$K$3:$K$22*(Calc!$G$3:$G$22&gt;A628)*(Calc!$G$3:$G$22-A628)^2)</f>
        <v/>
      </c>
      <c r="J628">
        <f>SUMPRODUCT(Calc!$K$3:$K$22*(Calc!$G$3:$G$22&gt;B628)*(Calc!$G$3:$G$22-B628)^2)</f>
        <v/>
      </c>
      <c r="K628">
        <f>SUMPRODUCT(Calc!$K$3:$K$22*(Calc!$G$3:$G$22&gt;A628)*(Calc!$G$3:$G$22-A628)*(Calc!$G$3:$G$22&gt;B628)*(Calc!$G$3:$G$22-B628))</f>
        <v/>
      </c>
      <c r="L628">
        <f>SUMPRODUCT(Calc!$K$3:$K$22*(Calc!$G$3:$G$22&gt;A628)*(Calc!$G$3:$G$22-A628)*Calc!$G$3:$G$22)</f>
        <v/>
      </c>
      <c r="M628">
        <f>SUMPRODUCT(Calc!$K$3:$K$22*(Calc!$G$3:$G$22&gt;B628)*(Calc!$G$3:$G$22-B628)*Calc!$G$3:$G$22)</f>
        <v/>
      </c>
      <c r="N628">
        <f>SUMPRODUCT(Calc!$K$3:$K$22*(Calc!$G$3:$G$22&gt;A628)*(Calc!$G$3:$G$22-A628)*Calc!$I$3:$I$22)</f>
        <v/>
      </c>
      <c r="O628">
        <f>SUMPRODUCT(Calc!$K$3:$K$22*(Calc!$G$3:$G$22&gt;B628)*(Calc!$G$3:$G$22-B628)*Calc!$I$3:$I$22)</f>
        <v/>
      </c>
      <c r="P628">
        <f>I628-G628^2/k_n</f>
        <v/>
      </c>
      <c r="Q628">
        <f>J628-H628^2/k_n</f>
        <v/>
      </c>
      <c r="R628">
        <f>K628-G628*H628/k_n</f>
        <v/>
      </c>
      <c r="S628">
        <f>L628-LTP3!$D$3*G628/k_n</f>
        <v/>
      </c>
      <c r="T628">
        <f>M628-LTP3!$D$3*H628/k_n</f>
        <v/>
      </c>
      <c r="U628">
        <f>N628-G628*LTP3!$D$4/k_n</f>
        <v/>
      </c>
      <c r="V628">
        <f>O628-H628*LTP3!$D$4/k_n</f>
        <v/>
      </c>
      <c r="W628">
        <f>((LTP3!$D$5)*((P628)*(Q628)-(R628)*(R628))-(S628)*((S628)*(Q628)-(R628)*(T628))+(T628)*((S628)*(R628)-(P628)*(T628)))</f>
        <v/>
      </c>
      <c r="X628">
        <f>IF(ABS(W628)&gt;1E-12,((LTP3!$D$6)*((P628)*(Q628)-(R628)*(R628))-(S628)*((U628)*(Q628)-(R628)*(V628))+(T628)*((U628)*(R628)-(P628)*(V628)))/W628,0)</f>
        <v/>
      </c>
      <c r="Y628">
        <f>IF(ABS(W628)&gt;1E-12,((LTP3!$D$5)*((U628)*(Q628)-(R628)*(V628))-(LTP3!$D$6)*((S628)*(Q628)-(R628)*(T628))+(T628)*((S628)*(V628)-(U628)*(T628)))/W628,0)</f>
        <v/>
      </c>
      <c r="Z628">
        <f>IF(ABS(W628)&gt;1E-12,((LTP3!$D$5)*((P628)*(V628)-(U628)*(R628))-(S628)*((S628)*(V628)-(U628)*(T628))+(LTP3!$D$6)*((S628)*(R628)-(P628)*(T628)))/W628,0)</f>
        <v/>
      </c>
      <c r="AA628">
        <f>LTP3!$D$7-X628*LTP3!$D$6-Y628*U628-Z628*V628</f>
        <v/>
      </c>
      <c r="AB628">
        <f>IF(AND(F628,ABS(W628)&gt;1E-12,Y628&gt;0,Z628&gt;0),AA628,1E+300)</f>
        <v/>
      </c>
    </row>
    <row r="629">
      <c r="A629">
        <f>$B$3+$B$5*10</f>
        <v/>
      </c>
      <c r="B629">
        <f>$B$3+$B$5*7</f>
        <v/>
      </c>
      <c r="C629">
        <f>SUMPRODUCT(Calc!$K$3:$K$22*(Calc!$G$3:$G$22&lt;=A629))</f>
        <v/>
      </c>
      <c r="D629">
        <f>SUMPRODUCT(Calc!$K$3:$K$22*(Calc!$G$3:$G$22&gt;A629)*(Calc!$G$3:$G$22&lt;B629))</f>
        <v/>
      </c>
      <c r="E629">
        <f>SUMPRODUCT(Calc!$K$3:$K$22*(Calc!$G$3:$G$22&gt;=B629))</f>
        <v/>
      </c>
      <c r="F629">
        <f>AND(k_n&gt;=5,B629&gt;A629+1E-9,C629&gt;=2,D629&gt;=1,E629&gt;=2)</f>
        <v/>
      </c>
      <c r="G629">
        <f>SUMPRODUCT(Calc!$K$3:$K$22*(Calc!$G$3:$G$22&gt;A629)*(Calc!$G$3:$G$22-A629))</f>
        <v/>
      </c>
      <c r="H629">
        <f>SUMPRODUCT(Calc!$K$3:$K$22*(Calc!$G$3:$G$22&gt;B629)*(Calc!$G$3:$G$22-B629))</f>
        <v/>
      </c>
      <c r="I629">
        <f>SUMPRODUCT(Calc!$K$3:$K$22*(Calc!$G$3:$G$22&gt;A629)*(Calc!$G$3:$G$22-A629)^2)</f>
        <v/>
      </c>
      <c r="J629">
        <f>SUMPRODUCT(Calc!$K$3:$K$22*(Calc!$G$3:$G$22&gt;B629)*(Calc!$G$3:$G$22-B629)^2)</f>
        <v/>
      </c>
      <c r="K629">
        <f>SUMPRODUCT(Calc!$K$3:$K$22*(Calc!$G$3:$G$22&gt;A629)*(Calc!$G$3:$G$22-A629)*(Calc!$G$3:$G$22&gt;B629)*(Calc!$G$3:$G$22-B629))</f>
        <v/>
      </c>
      <c r="L629">
        <f>SUMPRODUCT(Calc!$K$3:$K$22*(Calc!$G$3:$G$22&gt;A629)*(Calc!$G$3:$G$22-A629)*Calc!$G$3:$G$22)</f>
        <v/>
      </c>
      <c r="M629">
        <f>SUMPRODUCT(Calc!$K$3:$K$22*(Calc!$G$3:$G$22&gt;B629)*(Calc!$G$3:$G$22-B629)*Calc!$G$3:$G$22)</f>
        <v/>
      </c>
      <c r="N629">
        <f>SUMPRODUCT(Calc!$K$3:$K$22*(Calc!$G$3:$G$22&gt;A629)*(Calc!$G$3:$G$22-A629)*Calc!$I$3:$I$22)</f>
        <v/>
      </c>
      <c r="O629">
        <f>SUMPRODUCT(Calc!$K$3:$K$22*(Calc!$G$3:$G$22&gt;B629)*(Calc!$G$3:$G$22-B629)*Calc!$I$3:$I$22)</f>
        <v/>
      </c>
      <c r="P629">
        <f>I629-G629^2/k_n</f>
        <v/>
      </c>
      <c r="Q629">
        <f>J629-H629^2/k_n</f>
        <v/>
      </c>
      <c r="R629">
        <f>K629-G629*H629/k_n</f>
        <v/>
      </c>
      <c r="S629">
        <f>L629-LTP3!$D$3*G629/k_n</f>
        <v/>
      </c>
      <c r="T629">
        <f>M629-LTP3!$D$3*H629/k_n</f>
        <v/>
      </c>
      <c r="U629">
        <f>N629-G629*LTP3!$D$4/k_n</f>
        <v/>
      </c>
      <c r="V629">
        <f>O629-H629*LTP3!$D$4/k_n</f>
        <v/>
      </c>
      <c r="W629">
        <f>((LTP3!$D$5)*((P629)*(Q629)-(R629)*(R629))-(S629)*((S629)*(Q629)-(R629)*(T629))+(T629)*((S629)*(R629)-(P629)*(T629)))</f>
        <v/>
      </c>
      <c r="X629">
        <f>IF(ABS(W629)&gt;1E-12,((LTP3!$D$6)*((P629)*(Q629)-(R629)*(R629))-(S629)*((U629)*(Q629)-(R629)*(V629))+(T629)*((U629)*(R629)-(P629)*(V629)))/W629,0)</f>
        <v/>
      </c>
      <c r="Y629">
        <f>IF(ABS(W629)&gt;1E-12,((LTP3!$D$5)*((U629)*(Q629)-(R629)*(V629))-(LTP3!$D$6)*((S629)*(Q629)-(R629)*(T629))+(T629)*((S629)*(V629)-(U629)*(T629)))/W629,0)</f>
        <v/>
      </c>
      <c r="Z629">
        <f>IF(ABS(W629)&gt;1E-12,((LTP3!$D$5)*((P629)*(V629)-(U629)*(R629))-(S629)*((S629)*(V629)-(U629)*(T629))+(LTP3!$D$6)*((S629)*(R629)-(P629)*(T629)))/W629,0)</f>
        <v/>
      </c>
      <c r="AA629">
        <f>LTP3!$D$7-X629*LTP3!$D$6-Y629*U629-Z629*V629</f>
        <v/>
      </c>
      <c r="AB629">
        <f>IF(AND(F629,ABS(W629)&gt;1E-12,Y629&gt;0,Z629&gt;0),AA629,1E+300)</f>
        <v/>
      </c>
    </row>
    <row r="630">
      <c r="A630">
        <f>$B$3+$B$5*10</f>
        <v/>
      </c>
      <c r="B630">
        <f>$B$3+$B$5*8</f>
        <v/>
      </c>
      <c r="C630">
        <f>SUMPRODUCT(Calc!$K$3:$K$22*(Calc!$G$3:$G$22&lt;=A630))</f>
        <v/>
      </c>
      <c r="D630">
        <f>SUMPRODUCT(Calc!$K$3:$K$22*(Calc!$G$3:$G$22&gt;A630)*(Calc!$G$3:$G$22&lt;B630))</f>
        <v/>
      </c>
      <c r="E630">
        <f>SUMPRODUCT(Calc!$K$3:$K$22*(Calc!$G$3:$G$22&gt;=B630))</f>
        <v/>
      </c>
      <c r="F630">
        <f>AND(k_n&gt;=5,B630&gt;A630+1E-9,C630&gt;=2,D630&gt;=1,E630&gt;=2)</f>
        <v/>
      </c>
      <c r="G630">
        <f>SUMPRODUCT(Calc!$K$3:$K$22*(Calc!$G$3:$G$22&gt;A630)*(Calc!$G$3:$G$22-A630))</f>
        <v/>
      </c>
      <c r="H630">
        <f>SUMPRODUCT(Calc!$K$3:$K$22*(Calc!$G$3:$G$22&gt;B630)*(Calc!$G$3:$G$22-B630))</f>
        <v/>
      </c>
      <c r="I630">
        <f>SUMPRODUCT(Calc!$K$3:$K$22*(Calc!$G$3:$G$22&gt;A630)*(Calc!$G$3:$G$22-A630)^2)</f>
        <v/>
      </c>
      <c r="J630">
        <f>SUMPRODUCT(Calc!$K$3:$K$22*(Calc!$G$3:$G$22&gt;B630)*(Calc!$G$3:$G$22-B630)^2)</f>
        <v/>
      </c>
      <c r="K630">
        <f>SUMPRODUCT(Calc!$K$3:$K$22*(Calc!$G$3:$G$22&gt;A630)*(Calc!$G$3:$G$22-A630)*(Calc!$G$3:$G$22&gt;B630)*(Calc!$G$3:$G$22-B630))</f>
        <v/>
      </c>
      <c r="L630">
        <f>SUMPRODUCT(Calc!$K$3:$K$22*(Calc!$G$3:$G$22&gt;A630)*(Calc!$G$3:$G$22-A630)*Calc!$G$3:$G$22)</f>
        <v/>
      </c>
      <c r="M630">
        <f>SUMPRODUCT(Calc!$K$3:$K$22*(Calc!$G$3:$G$22&gt;B630)*(Calc!$G$3:$G$22-B630)*Calc!$G$3:$G$22)</f>
        <v/>
      </c>
      <c r="N630">
        <f>SUMPRODUCT(Calc!$K$3:$K$22*(Calc!$G$3:$G$22&gt;A630)*(Calc!$G$3:$G$22-A630)*Calc!$I$3:$I$22)</f>
        <v/>
      </c>
      <c r="O630">
        <f>SUMPRODUCT(Calc!$K$3:$K$22*(Calc!$G$3:$G$22&gt;B630)*(Calc!$G$3:$G$22-B630)*Calc!$I$3:$I$22)</f>
        <v/>
      </c>
      <c r="P630">
        <f>I630-G630^2/k_n</f>
        <v/>
      </c>
      <c r="Q630">
        <f>J630-H630^2/k_n</f>
        <v/>
      </c>
      <c r="R630">
        <f>K630-G630*H630/k_n</f>
        <v/>
      </c>
      <c r="S630">
        <f>L630-LTP3!$D$3*G630/k_n</f>
        <v/>
      </c>
      <c r="T630">
        <f>M630-LTP3!$D$3*H630/k_n</f>
        <v/>
      </c>
      <c r="U630">
        <f>N630-G630*LTP3!$D$4/k_n</f>
        <v/>
      </c>
      <c r="V630">
        <f>O630-H630*LTP3!$D$4/k_n</f>
        <v/>
      </c>
      <c r="W630">
        <f>((LTP3!$D$5)*((P630)*(Q630)-(R630)*(R630))-(S630)*((S630)*(Q630)-(R630)*(T630))+(T630)*((S630)*(R630)-(P630)*(T630)))</f>
        <v/>
      </c>
      <c r="X630">
        <f>IF(ABS(W630)&gt;1E-12,((LTP3!$D$6)*((P630)*(Q630)-(R630)*(R630))-(S630)*((U630)*(Q630)-(R630)*(V630))+(T630)*((U630)*(R630)-(P630)*(V630)))/W630,0)</f>
        <v/>
      </c>
      <c r="Y630">
        <f>IF(ABS(W630)&gt;1E-12,((LTP3!$D$5)*((U630)*(Q630)-(R630)*(V630))-(LTP3!$D$6)*((S630)*(Q630)-(R630)*(T630))+(T630)*((S630)*(V630)-(U630)*(T630)))/W630,0)</f>
        <v/>
      </c>
      <c r="Z630">
        <f>IF(ABS(W630)&gt;1E-12,((LTP3!$D$5)*((P630)*(V630)-(U630)*(R630))-(S630)*((S630)*(V630)-(U630)*(T630))+(LTP3!$D$6)*((S630)*(R630)-(P630)*(T630)))/W630,0)</f>
        <v/>
      </c>
      <c r="AA630">
        <f>LTP3!$D$7-X630*LTP3!$D$6-Y630*U630-Z630*V630</f>
        <v/>
      </c>
      <c r="AB630">
        <f>IF(AND(F630,ABS(W630)&gt;1E-12,Y630&gt;0,Z630&gt;0),AA630,1E+300)</f>
        <v/>
      </c>
    </row>
    <row r="631">
      <c r="A631">
        <f>$B$3+$B$5*10</f>
        <v/>
      </c>
      <c r="B631">
        <f>$B$3+$B$5*9</f>
        <v/>
      </c>
      <c r="C631">
        <f>SUMPRODUCT(Calc!$K$3:$K$22*(Calc!$G$3:$G$22&lt;=A631))</f>
        <v/>
      </c>
      <c r="D631">
        <f>SUMPRODUCT(Calc!$K$3:$K$22*(Calc!$G$3:$G$22&gt;A631)*(Calc!$G$3:$G$22&lt;B631))</f>
        <v/>
      </c>
      <c r="E631">
        <f>SUMPRODUCT(Calc!$K$3:$K$22*(Calc!$G$3:$G$22&gt;=B631))</f>
        <v/>
      </c>
      <c r="F631">
        <f>AND(k_n&gt;=5,B631&gt;A631+1E-9,C631&gt;=2,D631&gt;=1,E631&gt;=2)</f>
        <v/>
      </c>
      <c r="G631">
        <f>SUMPRODUCT(Calc!$K$3:$K$22*(Calc!$G$3:$G$22&gt;A631)*(Calc!$G$3:$G$22-A631))</f>
        <v/>
      </c>
      <c r="H631">
        <f>SUMPRODUCT(Calc!$K$3:$K$22*(Calc!$G$3:$G$22&gt;B631)*(Calc!$G$3:$G$22-B631))</f>
        <v/>
      </c>
      <c r="I631">
        <f>SUMPRODUCT(Calc!$K$3:$K$22*(Calc!$G$3:$G$22&gt;A631)*(Calc!$G$3:$G$22-A631)^2)</f>
        <v/>
      </c>
      <c r="J631">
        <f>SUMPRODUCT(Calc!$K$3:$K$22*(Calc!$G$3:$G$22&gt;B631)*(Calc!$G$3:$G$22-B631)^2)</f>
        <v/>
      </c>
      <c r="K631">
        <f>SUMPRODUCT(Calc!$K$3:$K$22*(Calc!$G$3:$G$22&gt;A631)*(Calc!$G$3:$G$22-A631)*(Calc!$G$3:$G$22&gt;B631)*(Calc!$G$3:$G$22-B631))</f>
        <v/>
      </c>
      <c r="L631">
        <f>SUMPRODUCT(Calc!$K$3:$K$22*(Calc!$G$3:$G$22&gt;A631)*(Calc!$G$3:$G$22-A631)*Calc!$G$3:$G$22)</f>
        <v/>
      </c>
      <c r="M631">
        <f>SUMPRODUCT(Calc!$K$3:$K$22*(Calc!$G$3:$G$22&gt;B631)*(Calc!$G$3:$G$22-B631)*Calc!$G$3:$G$22)</f>
        <v/>
      </c>
      <c r="N631">
        <f>SUMPRODUCT(Calc!$K$3:$K$22*(Calc!$G$3:$G$22&gt;A631)*(Calc!$G$3:$G$22-A631)*Calc!$I$3:$I$22)</f>
        <v/>
      </c>
      <c r="O631">
        <f>SUMPRODUCT(Calc!$K$3:$K$22*(Calc!$G$3:$G$22&gt;B631)*(Calc!$G$3:$G$22-B631)*Calc!$I$3:$I$22)</f>
        <v/>
      </c>
      <c r="P631">
        <f>I631-G631^2/k_n</f>
        <v/>
      </c>
      <c r="Q631">
        <f>J631-H631^2/k_n</f>
        <v/>
      </c>
      <c r="R631">
        <f>K631-G631*H631/k_n</f>
        <v/>
      </c>
      <c r="S631">
        <f>L631-LTP3!$D$3*G631/k_n</f>
        <v/>
      </c>
      <c r="T631">
        <f>M631-LTP3!$D$3*H631/k_n</f>
        <v/>
      </c>
      <c r="U631">
        <f>N631-G631*LTP3!$D$4/k_n</f>
        <v/>
      </c>
      <c r="V631">
        <f>O631-H631*LTP3!$D$4/k_n</f>
        <v/>
      </c>
      <c r="W631">
        <f>((LTP3!$D$5)*((P631)*(Q631)-(R631)*(R631))-(S631)*((S631)*(Q631)-(R631)*(T631))+(T631)*((S631)*(R631)-(P631)*(T631)))</f>
        <v/>
      </c>
      <c r="X631">
        <f>IF(ABS(W631)&gt;1E-12,((LTP3!$D$6)*((P631)*(Q631)-(R631)*(R631))-(S631)*((U631)*(Q631)-(R631)*(V631))+(T631)*((U631)*(R631)-(P631)*(V631)))/W631,0)</f>
        <v/>
      </c>
      <c r="Y631">
        <f>IF(ABS(W631)&gt;1E-12,((LTP3!$D$5)*((U631)*(Q631)-(R631)*(V631))-(LTP3!$D$6)*((S631)*(Q631)-(R631)*(T631))+(T631)*((S631)*(V631)-(U631)*(T631)))/W631,0)</f>
        <v/>
      </c>
      <c r="Z631">
        <f>IF(ABS(W631)&gt;1E-12,((LTP3!$D$5)*((P631)*(V631)-(U631)*(R631))-(S631)*((S631)*(V631)-(U631)*(T631))+(LTP3!$D$6)*((S631)*(R631)-(P631)*(T631)))/W631,0)</f>
        <v/>
      </c>
      <c r="AA631">
        <f>LTP3!$D$7-X631*LTP3!$D$6-Y631*U631-Z631*V631</f>
        <v/>
      </c>
      <c r="AB631">
        <f>IF(AND(F631,ABS(W631)&gt;1E-12,Y631&gt;0,Z631&gt;0),AA631,1E+300)</f>
        <v/>
      </c>
    </row>
    <row r="632">
      <c r="A632">
        <f>$B$3+$B$5*10</f>
        <v/>
      </c>
      <c r="B632">
        <f>$B$3+$B$5*10</f>
        <v/>
      </c>
      <c r="C632">
        <f>SUMPRODUCT(Calc!$K$3:$K$22*(Calc!$G$3:$G$22&lt;=A632))</f>
        <v/>
      </c>
      <c r="D632">
        <f>SUMPRODUCT(Calc!$K$3:$K$22*(Calc!$G$3:$G$22&gt;A632)*(Calc!$G$3:$G$22&lt;B632))</f>
        <v/>
      </c>
      <c r="E632">
        <f>SUMPRODUCT(Calc!$K$3:$K$22*(Calc!$G$3:$G$22&gt;=B632))</f>
        <v/>
      </c>
      <c r="F632">
        <f>AND(k_n&gt;=5,B632&gt;A632+1E-9,C632&gt;=2,D632&gt;=1,E632&gt;=2)</f>
        <v/>
      </c>
      <c r="G632">
        <f>SUMPRODUCT(Calc!$K$3:$K$22*(Calc!$G$3:$G$22&gt;A632)*(Calc!$G$3:$G$22-A632))</f>
        <v/>
      </c>
      <c r="H632">
        <f>SUMPRODUCT(Calc!$K$3:$K$22*(Calc!$G$3:$G$22&gt;B632)*(Calc!$G$3:$G$22-B632))</f>
        <v/>
      </c>
      <c r="I632">
        <f>SUMPRODUCT(Calc!$K$3:$K$22*(Calc!$G$3:$G$22&gt;A632)*(Calc!$G$3:$G$22-A632)^2)</f>
        <v/>
      </c>
      <c r="J632">
        <f>SUMPRODUCT(Calc!$K$3:$K$22*(Calc!$G$3:$G$22&gt;B632)*(Calc!$G$3:$G$22-B632)^2)</f>
        <v/>
      </c>
      <c r="K632">
        <f>SUMPRODUCT(Calc!$K$3:$K$22*(Calc!$G$3:$G$22&gt;A632)*(Calc!$G$3:$G$22-A632)*(Calc!$G$3:$G$22&gt;B632)*(Calc!$G$3:$G$22-B632))</f>
        <v/>
      </c>
      <c r="L632">
        <f>SUMPRODUCT(Calc!$K$3:$K$22*(Calc!$G$3:$G$22&gt;A632)*(Calc!$G$3:$G$22-A632)*Calc!$G$3:$G$22)</f>
        <v/>
      </c>
      <c r="M632">
        <f>SUMPRODUCT(Calc!$K$3:$K$22*(Calc!$G$3:$G$22&gt;B632)*(Calc!$G$3:$G$22-B632)*Calc!$G$3:$G$22)</f>
        <v/>
      </c>
      <c r="N632">
        <f>SUMPRODUCT(Calc!$K$3:$K$22*(Calc!$G$3:$G$22&gt;A632)*(Calc!$G$3:$G$22-A632)*Calc!$I$3:$I$22)</f>
        <v/>
      </c>
      <c r="O632">
        <f>SUMPRODUCT(Calc!$K$3:$K$22*(Calc!$G$3:$G$22&gt;B632)*(Calc!$G$3:$G$22-B632)*Calc!$I$3:$I$22)</f>
        <v/>
      </c>
      <c r="P632">
        <f>I632-G632^2/k_n</f>
        <v/>
      </c>
      <c r="Q632">
        <f>J632-H632^2/k_n</f>
        <v/>
      </c>
      <c r="R632">
        <f>K632-G632*H632/k_n</f>
        <v/>
      </c>
      <c r="S632">
        <f>L632-LTP3!$D$3*G632/k_n</f>
        <v/>
      </c>
      <c r="T632">
        <f>M632-LTP3!$D$3*H632/k_n</f>
        <v/>
      </c>
      <c r="U632">
        <f>N632-G632*LTP3!$D$4/k_n</f>
        <v/>
      </c>
      <c r="V632">
        <f>O632-H632*LTP3!$D$4/k_n</f>
        <v/>
      </c>
      <c r="W632">
        <f>((LTP3!$D$5)*((P632)*(Q632)-(R632)*(R632))-(S632)*((S632)*(Q632)-(R632)*(T632))+(T632)*((S632)*(R632)-(P632)*(T632)))</f>
        <v/>
      </c>
      <c r="X632">
        <f>IF(ABS(W632)&gt;1E-12,((LTP3!$D$6)*((P632)*(Q632)-(R632)*(R632))-(S632)*((U632)*(Q632)-(R632)*(V632))+(T632)*((U632)*(R632)-(P632)*(V632)))/W632,0)</f>
        <v/>
      </c>
      <c r="Y632">
        <f>IF(ABS(W632)&gt;1E-12,((LTP3!$D$5)*((U632)*(Q632)-(R632)*(V632))-(LTP3!$D$6)*((S632)*(Q632)-(R632)*(T632))+(T632)*((S632)*(V632)-(U632)*(T632)))/W632,0)</f>
        <v/>
      </c>
      <c r="Z632">
        <f>IF(ABS(W632)&gt;1E-12,((LTP3!$D$5)*((P632)*(V632)-(U632)*(R632))-(S632)*((S632)*(V632)-(U632)*(T632))+(LTP3!$D$6)*((S632)*(R632)-(P632)*(T632)))/W632,0)</f>
        <v/>
      </c>
      <c r="AA632">
        <f>LTP3!$D$7-X632*LTP3!$D$6-Y632*U632-Z632*V632</f>
        <v/>
      </c>
      <c r="AB632">
        <f>IF(AND(F632,ABS(W632)&gt;1E-12,Y632&gt;0,Z632&gt;0),AA632,1E+300)</f>
        <v/>
      </c>
    </row>
    <row r="633">
      <c r="A633">
        <f>$B$3+$B$5*10</f>
        <v/>
      </c>
      <c r="B633">
        <f>$B$3+$B$5*11</f>
        <v/>
      </c>
      <c r="C633">
        <f>SUMPRODUCT(Calc!$K$3:$K$22*(Calc!$G$3:$G$22&lt;=A633))</f>
        <v/>
      </c>
      <c r="D633">
        <f>SUMPRODUCT(Calc!$K$3:$K$22*(Calc!$G$3:$G$22&gt;A633)*(Calc!$G$3:$G$22&lt;B633))</f>
        <v/>
      </c>
      <c r="E633">
        <f>SUMPRODUCT(Calc!$K$3:$K$22*(Calc!$G$3:$G$22&gt;=B633))</f>
        <v/>
      </c>
      <c r="F633">
        <f>AND(k_n&gt;=5,B633&gt;A633+1E-9,C633&gt;=2,D633&gt;=1,E633&gt;=2)</f>
        <v/>
      </c>
      <c r="G633">
        <f>SUMPRODUCT(Calc!$K$3:$K$22*(Calc!$G$3:$G$22&gt;A633)*(Calc!$G$3:$G$22-A633))</f>
        <v/>
      </c>
      <c r="H633">
        <f>SUMPRODUCT(Calc!$K$3:$K$22*(Calc!$G$3:$G$22&gt;B633)*(Calc!$G$3:$G$22-B633))</f>
        <v/>
      </c>
      <c r="I633">
        <f>SUMPRODUCT(Calc!$K$3:$K$22*(Calc!$G$3:$G$22&gt;A633)*(Calc!$G$3:$G$22-A633)^2)</f>
        <v/>
      </c>
      <c r="J633">
        <f>SUMPRODUCT(Calc!$K$3:$K$22*(Calc!$G$3:$G$22&gt;B633)*(Calc!$G$3:$G$22-B633)^2)</f>
        <v/>
      </c>
      <c r="K633">
        <f>SUMPRODUCT(Calc!$K$3:$K$22*(Calc!$G$3:$G$22&gt;A633)*(Calc!$G$3:$G$22-A633)*(Calc!$G$3:$G$22&gt;B633)*(Calc!$G$3:$G$22-B633))</f>
        <v/>
      </c>
      <c r="L633">
        <f>SUMPRODUCT(Calc!$K$3:$K$22*(Calc!$G$3:$G$22&gt;A633)*(Calc!$G$3:$G$22-A633)*Calc!$G$3:$G$22)</f>
        <v/>
      </c>
      <c r="M633">
        <f>SUMPRODUCT(Calc!$K$3:$K$22*(Calc!$G$3:$G$22&gt;B633)*(Calc!$G$3:$G$22-B633)*Calc!$G$3:$G$22)</f>
        <v/>
      </c>
      <c r="N633">
        <f>SUMPRODUCT(Calc!$K$3:$K$22*(Calc!$G$3:$G$22&gt;A633)*(Calc!$G$3:$G$22-A633)*Calc!$I$3:$I$22)</f>
        <v/>
      </c>
      <c r="O633">
        <f>SUMPRODUCT(Calc!$K$3:$K$22*(Calc!$G$3:$G$22&gt;B633)*(Calc!$G$3:$G$22-B633)*Calc!$I$3:$I$22)</f>
        <v/>
      </c>
      <c r="P633">
        <f>I633-G633^2/k_n</f>
        <v/>
      </c>
      <c r="Q633">
        <f>J633-H633^2/k_n</f>
        <v/>
      </c>
      <c r="R633">
        <f>K633-G633*H633/k_n</f>
        <v/>
      </c>
      <c r="S633">
        <f>L633-LTP3!$D$3*G633/k_n</f>
        <v/>
      </c>
      <c r="T633">
        <f>M633-LTP3!$D$3*H633/k_n</f>
        <v/>
      </c>
      <c r="U633">
        <f>N633-G633*LTP3!$D$4/k_n</f>
        <v/>
      </c>
      <c r="V633">
        <f>O633-H633*LTP3!$D$4/k_n</f>
        <v/>
      </c>
      <c r="W633">
        <f>((LTP3!$D$5)*((P633)*(Q633)-(R633)*(R633))-(S633)*((S633)*(Q633)-(R633)*(T633))+(T633)*((S633)*(R633)-(P633)*(T633)))</f>
        <v/>
      </c>
      <c r="X633">
        <f>IF(ABS(W633)&gt;1E-12,((LTP3!$D$6)*((P633)*(Q633)-(R633)*(R633))-(S633)*((U633)*(Q633)-(R633)*(V633))+(T633)*((U633)*(R633)-(P633)*(V633)))/W633,0)</f>
        <v/>
      </c>
      <c r="Y633">
        <f>IF(ABS(W633)&gt;1E-12,((LTP3!$D$5)*((U633)*(Q633)-(R633)*(V633))-(LTP3!$D$6)*((S633)*(Q633)-(R633)*(T633))+(T633)*((S633)*(V633)-(U633)*(T633)))/W633,0)</f>
        <v/>
      </c>
      <c r="Z633">
        <f>IF(ABS(W633)&gt;1E-12,((LTP3!$D$5)*((P633)*(V633)-(U633)*(R633))-(S633)*((S633)*(V633)-(U633)*(T633))+(LTP3!$D$6)*((S633)*(R633)-(P633)*(T633)))/W633,0)</f>
        <v/>
      </c>
      <c r="AA633">
        <f>LTP3!$D$7-X633*LTP3!$D$6-Y633*U633-Z633*V633</f>
        <v/>
      </c>
      <c r="AB633">
        <f>IF(AND(F633,ABS(W633)&gt;1E-12,Y633&gt;0,Z633&gt;0),AA633,1E+300)</f>
        <v/>
      </c>
    </row>
    <row r="634">
      <c r="A634">
        <f>$B$3+$B$5*10</f>
        <v/>
      </c>
      <c r="B634">
        <f>$B$3+$B$5*12</f>
        <v/>
      </c>
      <c r="C634">
        <f>SUMPRODUCT(Calc!$K$3:$K$22*(Calc!$G$3:$G$22&lt;=A634))</f>
        <v/>
      </c>
      <c r="D634">
        <f>SUMPRODUCT(Calc!$K$3:$K$22*(Calc!$G$3:$G$22&gt;A634)*(Calc!$G$3:$G$22&lt;B634))</f>
        <v/>
      </c>
      <c r="E634">
        <f>SUMPRODUCT(Calc!$K$3:$K$22*(Calc!$G$3:$G$22&gt;=B634))</f>
        <v/>
      </c>
      <c r="F634">
        <f>AND(k_n&gt;=5,B634&gt;A634+1E-9,C634&gt;=2,D634&gt;=1,E634&gt;=2)</f>
        <v/>
      </c>
      <c r="G634">
        <f>SUMPRODUCT(Calc!$K$3:$K$22*(Calc!$G$3:$G$22&gt;A634)*(Calc!$G$3:$G$22-A634))</f>
        <v/>
      </c>
      <c r="H634">
        <f>SUMPRODUCT(Calc!$K$3:$K$22*(Calc!$G$3:$G$22&gt;B634)*(Calc!$G$3:$G$22-B634))</f>
        <v/>
      </c>
      <c r="I634">
        <f>SUMPRODUCT(Calc!$K$3:$K$22*(Calc!$G$3:$G$22&gt;A634)*(Calc!$G$3:$G$22-A634)^2)</f>
        <v/>
      </c>
      <c r="J634">
        <f>SUMPRODUCT(Calc!$K$3:$K$22*(Calc!$G$3:$G$22&gt;B634)*(Calc!$G$3:$G$22-B634)^2)</f>
        <v/>
      </c>
      <c r="K634">
        <f>SUMPRODUCT(Calc!$K$3:$K$22*(Calc!$G$3:$G$22&gt;A634)*(Calc!$G$3:$G$22-A634)*(Calc!$G$3:$G$22&gt;B634)*(Calc!$G$3:$G$22-B634))</f>
        <v/>
      </c>
      <c r="L634">
        <f>SUMPRODUCT(Calc!$K$3:$K$22*(Calc!$G$3:$G$22&gt;A634)*(Calc!$G$3:$G$22-A634)*Calc!$G$3:$G$22)</f>
        <v/>
      </c>
      <c r="M634">
        <f>SUMPRODUCT(Calc!$K$3:$K$22*(Calc!$G$3:$G$22&gt;B634)*(Calc!$G$3:$G$22-B634)*Calc!$G$3:$G$22)</f>
        <v/>
      </c>
      <c r="N634">
        <f>SUMPRODUCT(Calc!$K$3:$K$22*(Calc!$G$3:$G$22&gt;A634)*(Calc!$G$3:$G$22-A634)*Calc!$I$3:$I$22)</f>
        <v/>
      </c>
      <c r="O634">
        <f>SUMPRODUCT(Calc!$K$3:$K$22*(Calc!$G$3:$G$22&gt;B634)*(Calc!$G$3:$G$22-B634)*Calc!$I$3:$I$22)</f>
        <v/>
      </c>
      <c r="P634">
        <f>I634-G634^2/k_n</f>
        <v/>
      </c>
      <c r="Q634">
        <f>J634-H634^2/k_n</f>
        <v/>
      </c>
      <c r="R634">
        <f>K634-G634*H634/k_n</f>
        <v/>
      </c>
      <c r="S634">
        <f>L634-LTP3!$D$3*G634/k_n</f>
        <v/>
      </c>
      <c r="T634">
        <f>M634-LTP3!$D$3*H634/k_n</f>
        <v/>
      </c>
      <c r="U634">
        <f>N634-G634*LTP3!$D$4/k_n</f>
        <v/>
      </c>
      <c r="V634">
        <f>O634-H634*LTP3!$D$4/k_n</f>
        <v/>
      </c>
      <c r="W634">
        <f>((LTP3!$D$5)*((P634)*(Q634)-(R634)*(R634))-(S634)*((S634)*(Q634)-(R634)*(T634))+(T634)*((S634)*(R634)-(P634)*(T634)))</f>
        <v/>
      </c>
      <c r="X634">
        <f>IF(ABS(W634)&gt;1E-12,((LTP3!$D$6)*((P634)*(Q634)-(R634)*(R634))-(S634)*((U634)*(Q634)-(R634)*(V634))+(T634)*((U634)*(R634)-(P634)*(V634)))/W634,0)</f>
        <v/>
      </c>
      <c r="Y634">
        <f>IF(ABS(W634)&gt;1E-12,((LTP3!$D$5)*((U634)*(Q634)-(R634)*(V634))-(LTP3!$D$6)*((S634)*(Q634)-(R634)*(T634))+(T634)*((S634)*(V634)-(U634)*(T634)))/W634,0)</f>
        <v/>
      </c>
      <c r="Z634">
        <f>IF(ABS(W634)&gt;1E-12,((LTP3!$D$5)*((P634)*(V634)-(U634)*(R634))-(S634)*((S634)*(V634)-(U634)*(T634))+(LTP3!$D$6)*((S634)*(R634)-(P634)*(T634)))/W634,0)</f>
        <v/>
      </c>
      <c r="AA634">
        <f>LTP3!$D$7-X634*LTP3!$D$6-Y634*U634-Z634*V634</f>
        <v/>
      </c>
      <c r="AB634">
        <f>IF(AND(F634,ABS(W634)&gt;1E-12,Y634&gt;0,Z634&gt;0),AA634,1E+300)</f>
        <v/>
      </c>
    </row>
    <row r="635">
      <c r="A635">
        <f>$B$3+$B$5*10</f>
        <v/>
      </c>
      <c r="B635">
        <f>$B$3+$B$5*13</f>
        <v/>
      </c>
      <c r="C635">
        <f>SUMPRODUCT(Calc!$K$3:$K$22*(Calc!$G$3:$G$22&lt;=A635))</f>
        <v/>
      </c>
      <c r="D635">
        <f>SUMPRODUCT(Calc!$K$3:$K$22*(Calc!$G$3:$G$22&gt;A635)*(Calc!$G$3:$G$22&lt;B635))</f>
        <v/>
      </c>
      <c r="E635">
        <f>SUMPRODUCT(Calc!$K$3:$K$22*(Calc!$G$3:$G$22&gt;=B635))</f>
        <v/>
      </c>
      <c r="F635">
        <f>AND(k_n&gt;=5,B635&gt;A635+1E-9,C635&gt;=2,D635&gt;=1,E635&gt;=2)</f>
        <v/>
      </c>
      <c r="G635">
        <f>SUMPRODUCT(Calc!$K$3:$K$22*(Calc!$G$3:$G$22&gt;A635)*(Calc!$G$3:$G$22-A635))</f>
        <v/>
      </c>
      <c r="H635">
        <f>SUMPRODUCT(Calc!$K$3:$K$22*(Calc!$G$3:$G$22&gt;B635)*(Calc!$G$3:$G$22-B635))</f>
        <v/>
      </c>
      <c r="I635">
        <f>SUMPRODUCT(Calc!$K$3:$K$22*(Calc!$G$3:$G$22&gt;A635)*(Calc!$G$3:$G$22-A635)^2)</f>
        <v/>
      </c>
      <c r="J635">
        <f>SUMPRODUCT(Calc!$K$3:$K$22*(Calc!$G$3:$G$22&gt;B635)*(Calc!$G$3:$G$22-B635)^2)</f>
        <v/>
      </c>
      <c r="K635">
        <f>SUMPRODUCT(Calc!$K$3:$K$22*(Calc!$G$3:$G$22&gt;A635)*(Calc!$G$3:$G$22-A635)*(Calc!$G$3:$G$22&gt;B635)*(Calc!$G$3:$G$22-B635))</f>
        <v/>
      </c>
      <c r="L635">
        <f>SUMPRODUCT(Calc!$K$3:$K$22*(Calc!$G$3:$G$22&gt;A635)*(Calc!$G$3:$G$22-A635)*Calc!$G$3:$G$22)</f>
        <v/>
      </c>
      <c r="M635">
        <f>SUMPRODUCT(Calc!$K$3:$K$22*(Calc!$G$3:$G$22&gt;B635)*(Calc!$G$3:$G$22-B635)*Calc!$G$3:$G$22)</f>
        <v/>
      </c>
      <c r="N635">
        <f>SUMPRODUCT(Calc!$K$3:$K$22*(Calc!$G$3:$G$22&gt;A635)*(Calc!$G$3:$G$22-A635)*Calc!$I$3:$I$22)</f>
        <v/>
      </c>
      <c r="O635">
        <f>SUMPRODUCT(Calc!$K$3:$K$22*(Calc!$G$3:$G$22&gt;B635)*(Calc!$G$3:$G$22-B635)*Calc!$I$3:$I$22)</f>
        <v/>
      </c>
      <c r="P635">
        <f>I635-G635^2/k_n</f>
        <v/>
      </c>
      <c r="Q635">
        <f>J635-H635^2/k_n</f>
        <v/>
      </c>
      <c r="R635">
        <f>K635-G635*H635/k_n</f>
        <v/>
      </c>
      <c r="S635">
        <f>L635-LTP3!$D$3*G635/k_n</f>
        <v/>
      </c>
      <c r="T635">
        <f>M635-LTP3!$D$3*H635/k_n</f>
        <v/>
      </c>
      <c r="U635">
        <f>N635-G635*LTP3!$D$4/k_n</f>
        <v/>
      </c>
      <c r="V635">
        <f>O635-H635*LTP3!$D$4/k_n</f>
        <v/>
      </c>
      <c r="W635">
        <f>((LTP3!$D$5)*((P635)*(Q635)-(R635)*(R635))-(S635)*((S635)*(Q635)-(R635)*(T635))+(T635)*((S635)*(R635)-(P635)*(T635)))</f>
        <v/>
      </c>
      <c r="X635">
        <f>IF(ABS(W635)&gt;1E-12,((LTP3!$D$6)*((P635)*(Q635)-(R635)*(R635))-(S635)*((U635)*(Q635)-(R635)*(V635))+(T635)*((U635)*(R635)-(P635)*(V635)))/W635,0)</f>
        <v/>
      </c>
      <c r="Y635">
        <f>IF(ABS(W635)&gt;1E-12,((LTP3!$D$5)*((U635)*(Q635)-(R635)*(V635))-(LTP3!$D$6)*((S635)*(Q635)-(R635)*(T635))+(T635)*((S635)*(V635)-(U635)*(T635)))/W635,0)</f>
        <v/>
      </c>
      <c r="Z635">
        <f>IF(ABS(W635)&gt;1E-12,((LTP3!$D$5)*((P635)*(V635)-(U635)*(R635))-(S635)*((S635)*(V635)-(U635)*(T635))+(LTP3!$D$6)*((S635)*(R635)-(P635)*(T635)))/W635,0)</f>
        <v/>
      </c>
      <c r="AA635">
        <f>LTP3!$D$7-X635*LTP3!$D$6-Y635*U635-Z635*V635</f>
        <v/>
      </c>
      <c r="AB635">
        <f>IF(AND(F635,ABS(W635)&gt;1E-12,Y635&gt;0,Z635&gt;0),AA635,1E+300)</f>
        <v/>
      </c>
    </row>
    <row r="636">
      <c r="A636">
        <f>$B$3+$B$5*10</f>
        <v/>
      </c>
      <c r="B636">
        <f>$B$3+$B$5*14</f>
        <v/>
      </c>
      <c r="C636">
        <f>SUMPRODUCT(Calc!$K$3:$K$22*(Calc!$G$3:$G$22&lt;=A636))</f>
        <v/>
      </c>
      <c r="D636">
        <f>SUMPRODUCT(Calc!$K$3:$K$22*(Calc!$G$3:$G$22&gt;A636)*(Calc!$G$3:$G$22&lt;B636))</f>
        <v/>
      </c>
      <c r="E636">
        <f>SUMPRODUCT(Calc!$K$3:$K$22*(Calc!$G$3:$G$22&gt;=B636))</f>
        <v/>
      </c>
      <c r="F636">
        <f>AND(k_n&gt;=5,B636&gt;A636+1E-9,C636&gt;=2,D636&gt;=1,E636&gt;=2)</f>
        <v/>
      </c>
      <c r="G636">
        <f>SUMPRODUCT(Calc!$K$3:$K$22*(Calc!$G$3:$G$22&gt;A636)*(Calc!$G$3:$G$22-A636))</f>
        <v/>
      </c>
      <c r="H636">
        <f>SUMPRODUCT(Calc!$K$3:$K$22*(Calc!$G$3:$G$22&gt;B636)*(Calc!$G$3:$G$22-B636))</f>
        <v/>
      </c>
      <c r="I636">
        <f>SUMPRODUCT(Calc!$K$3:$K$22*(Calc!$G$3:$G$22&gt;A636)*(Calc!$G$3:$G$22-A636)^2)</f>
        <v/>
      </c>
      <c r="J636">
        <f>SUMPRODUCT(Calc!$K$3:$K$22*(Calc!$G$3:$G$22&gt;B636)*(Calc!$G$3:$G$22-B636)^2)</f>
        <v/>
      </c>
      <c r="K636">
        <f>SUMPRODUCT(Calc!$K$3:$K$22*(Calc!$G$3:$G$22&gt;A636)*(Calc!$G$3:$G$22-A636)*(Calc!$G$3:$G$22&gt;B636)*(Calc!$G$3:$G$22-B636))</f>
        <v/>
      </c>
      <c r="L636">
        <f>SUMPRODUCT(Calc!$K$3:$K$22*(Calc!$G$3:$G$22&gt;A636)*(Calc!$G$3:$G$22-A636)*Calc!$G$3:$G$22)</f>
        <v/>
      </c>
      <c r="M636">
        <f>SUMPRODUCT(Calc!$K$3:$K$22*(Calc!$G$3:$G$22&gt;B636)*(Calc!$G$3:$G$22-B636)*Calc!$G$3:$G$22)</f>
        <v/>
      </c>
      <c r="N636">
        <f>SUMPRODUCT(Calc!$K$3:$K$22*(Calc!$G$3:$G$22&gt;A636)*(Calc!$G$3:$G$22-A636)*Calc!$I$3:$I$22)</f>
        <v/>
      </c>
      <c r="O636">
        <f>SUMPRODUCT(Calc!$K$3:$K$22*(Calc!$G$3:$G$22&gt;B636)*(Calc!$G$3:$G$22-B636)*Calc!$I$3:$I$22)</f>
        <v/>
      </c>
      <c r="P636">
        <f>I636-G636^2/k_n</f>
        <v/>
      </c>
      <c r="Q636">
        <f>J636-H636^2/k_n</f>
        <v/>
      </c>
      <c r="R636">
        <f>K636-G636*H636/k_n</f>
        <v/>
      </c>
      <c r="S636">
        <f>L636-LTP3!$D$3*G636/k_n</f>
        <v/>
      </c>
      <c r="T636">
        <f>M636-LTP3!$D$3*H636/k_n</f>
        <v/>
      </c>
      <c r="U636">
        <f>N636-G636*LTP3!$D$4/k_n</f>
        <v/>
      </c>
      <c r="V636">
        <f>O636-H636*LTP3!$D$4/k_n</f>
        <v/>
      </c>
      <c r="W636">
        <f>((LTP3!$D$5)*((P636)*(Q636)-(R636)*(R636))-(S636)*((S636)*(Q636)-(R636)*(T636))+(T636)*((S636)*(R636)-(P636)*(T636)))</f>
        <v/>
      </c>
      <c r="X636">
        <f>IF(ABS(W636)&gt;1E-12,((LTP3!$D$6)*((P636)*(Q636)-(R636)*(R636))-(S636)*((U636)*(Q636)-(R636)*(V636))+(T636)*((U636)*(R636)-(P636)*(V636)))/W636,0)</f>
        <v/>
      </c>
      <c r="Y636">
        <f>IF(ABS(W636)&gt;1E-12,((LTP3!$D$5)*((U636)*(Q636)-(R636)*(V636))-(LTP3!$D$6)*((S636)*(Q636)-(R636)*(T636))+(T636)*((S636)*(V636)-(U636)*(T636)))/W636,0)</f>
        <v/>
      </c>
      <c r="Z636">
        <f>IF(ABS(W636)&gt;1E-12,((LTP3!$D$5)*((P636)*(V636)-(U636)*(R636))-(S636)*((S636)*(V636)-(U636)*(T636))+(LTP3!$D$6)*((S636)*(R636)-(P636)*(T636)))/W636,0)</f>
        <v/>
      </c>
      <c r="AA636">
        <f>LTP3!$D$7-X636*LTP3!$D$6-Y636*U636-Z636*V636</f>
        <v/>
      </c>
      <c r="AB636">
        <f>IF(AND(F636,ABS(W636)&gt;1E-12,Y636&gt;0,Z636&gt;0),AA636,1E+300)</f>
        <v/>
      </c>
    </row>
    <row r="637">
      <c r="A637">
        <f>$B$3+$B$5*10</f>
        <v/>
      </c>
      <c r="B637">
        <f>$B$3+$B$5*15</f>
        <v/>
      </c>
      <c r="C637">
        <f>SUMPRODUCT(Calc!$K$3:$K$22*(Calc!$G$3:$G$22&lt;=A637))</f>
        <v/>
      </c>
      <c r="D637">
        <f>SUMPRODUCT(Calc!$K$3:$K$22*(Calc!$G$3:$G$22&gt;A637)*(Calc!$G$3:$G$22&lt;B637))</f>
        <v/>
      </c>
      <c r="E637">
        <f>SUMPRODUCT(Calc!$K$3:$K$22*(Calc!$G$3:$G$22&gt;=B637))</f>
        <v/>
      </c>
      <c r="F637">
        <f>AND(k_n&gt;=5,B637&gt;A637+1E-9,C637&gt;=2,D637&gt;=1,E637&gt;=2)</f>
        <v/>
      </c>
      <c r="G637">
        <f>SUMPRODUCT(Calc!$K$3:$K$22*(Calc!$G$3:$G$22&gt;A637)*(Calc!$G$3:$G$22-A637))</f>
        <v/>
      </c>
      <c r="H637">
        <f>SUMPRODUCT(Calc!$K$3:$K$22*(Calc!$G$3:$G$22&gt;B637)*(Calc!$G$3:$G$22-B637))</f>
        <v/>
      </c>
      <c r="I637">
        <f>SUMPRODUCT(Calc!$K$3:$K$22*(Calc!$G$3:$G$22&gt;A637)*(Calc!$G$3:$G$22-A637)^2)</f>
        <v/>
      </c>
      <c r="J637">
        <f>SUMPRODUCT(Calc!$K$3:$K$22*(Calc!$G$3:$G$22&gt;B637)*(Calc!$G$3:$G$22-B637)^2)</f>
        <v/>
      </c>
      <c r="K637">
        <f>SUMPRODUCT(Calc!$K$3:$K$22*(Calc!$G$3:$G$22&gt;A637)*(Calc!$G$3:$G$22-A637)*(Calc!$G$3:$G$22&gt;B637)*(Calc!$G$3:$G$22-B637))</f>
        <v/>
      </c>
      <c r="L637">
        <f>SUMPRODUCT(Calc!$K$3:$K$22*(Calc!$G$3:$G$22&gt;A637)*(Calc!$G$3:$G$22-A637)*Calc!$G$3:$G$22)</f>
        <v/>
      </c>
      <c r="M637">
        <f>SUMPRODUCT(Calc!$K$3:$K$22*(Calc!$G$3:$G$22&gt;B637)*(Calc!$G$3:$G$22-B637)*Calc!$G$3:$G$22)</f>
        <v/>
      </c>
      <c r="N637">
        <f>SUMPRODUCT(Calc!$K$3:$K$22*(Calc!$G$3:$G$22&gt;A637)*(Calc!$G$3:$G$22-A637)*Calc!$I$3:$I$22)</f>
        <v/>
      </c>
      <c r="O637">
        <f>SUMPRODUCT(Calc!$K$3:$K$22*(Calc!$G$3:$G$22&gt;B637)*(Calc!$G$3:$G$22-B637)*Calc!$I$3:$I$22)</f>
        <v/>
      </c>
      <c r="P637">
        <f>I637-G637^2/k_n</f>
        <v/>
      </c>
      <c r="Q637">
        <f>J637-H637^2/k_n</f>
        <v/>
      </c>
      <c r="R637">
        <f>K637-G637*H637/k_n</f>
        <v/>
      </c>
      <c r="S637">
        <f>L637-LTP3!$D$3*G637/k_n</f>
        <v/>
      </c>
      <c r="T637">
        <f>M637-LTP3!$D$3*H637/k_n</f>
        <v/>
      </c>
      <c r="U637">
        <f>N637-G637*LTP3!$D$4/k_n</f>
        <v/>
      </c>
      <c r="V637">
        <f>O637-H637*LTP3!$D$4/k_n</f>
        <v/>
      </c>
      <c r="W637">
        <f>((LTP3!$D$5)*((P637)*(Q637)-(R637)*(R637))-(S637)*((S637)*(Q637)-(R637)*(T637))+(T637)*((S637)*(R637)-(P637)*(T637)))</f>
        <v/>
      </c>
      <c r="X637">
        <f>IF(ABS(W637)&gt;1E-12,((LTP3!$D$6)*((P637)*(Q637)-(R637)*(R637))-(S637)*((U637)*(Q637)-(R637)*(V637))+(T637)*((U637)*(R637)-(P637)*(V637)))/W637,0)</f>
        <v/>
      </c>
      <c r="Y637">
        <f>IF(ABS(W637)&gt;1E-12,((LTP3!$D$5)*((U637)*(Q637)-(R637)*(V637))-(LTP3!$D$6)*((S637)*(Q637)-(R637)*(T637))+(T637)*((S637)*(V637)-(U637)*(T637)))/W637,0)</f>
        <v/>
      </c>
      <c r="Z637">
        <f>IF(ABS(W637)&gt;1E-12,((LTP3!$D$5)*((P637)*(V637)-(U637)*(R637))-(S637)*((S637)*(V637)-(U637)*(T637))+(LTP3!$D$6)*((S637)*(R637)-(P637)*(T637)))/W637,0)</f>
        <v/>
      </c>
      <c r="AA637">
        <f>LTP3!$D$7-X637*LTP3!$D$6-Y637*U637-Z637*V637</f>
        <v/>
      </c>
      <c r="AB637">
        <f>IF(AND(F637,ABS(W637)&gt;1E-12,Y637&gt;0,Z637&gt;0),AA637,1E+300)</f>
        <v/>
      </c>
    </row>
    <row r="638">
      <c r="A638">
        <f>$B$3+$B$5*10</f>
        <v/>
      </c>
      <c r="B638">
        <f>$B$3+$B$5*16</f>
        <v/>
      </c>
      <c r="C638">
        <f>SUMPRODUCT(Calc!$K$3:$K$22*(Calc!$G$3:$G$22&lt;=A638))</f>
        <v/>
      </c>
      <c r="D638">
        <f>SUMPRODUCT(Calc!$K$3:$K$22*(Calc!$G$3:$G$22&gt;A638)*(Calc!$G$3:$G$22&lt;B638))</f>
        <v/>
      </c>
      <c r="E638">
        <f>SUMPRODUCT(Calc!$K$3:$K$22*(Calc!$G$3:$G$22&gt;=B638))</f>
        <v/>
      </c>
      <c r="F638">
        <f>AND(k_n&gt;=5,B638&gt;A638+1E-9,C638&gt;=2,D638&gt;=1,E638&gt;=2)</f>
        <v/>
      </c>
      <c r="G638">
        <f>SUMPRODUCT(Calc!$K$3:$K$22*(Calc!$G$3:$G$22&gt;A638)*(Calc!$G$3:$G$22-A638))</f>
        <v/>
      </c>
      <c r="H638">
        <f>SUMPRODUCT(Calc!$K$3:$K$22*(Calc!$G$3:$G$22&gt;B638)*(Calc!$G$3:$G$22-B638))</f>
        <v/>
      </c>
      <c r="I638">
        <f>SUMPRODUCT(Calc!$K$3:$K$22*(Calc!$G$3:$G$22&gt;A638)*(Calc!$G$3:$G$22-A638)^2)</f>
        <v/>
      </c>
      <c r="J638">
        <f>SUMPRODUCT(Calc!$K$3:$K$22*(Calc!$G$3:$G$22&gt;B638)*(Calc!$G$3:$G$22-B638)^2)</f>
        <v/>
      </c>
      <c r="K638">
        <f>SUMPRODUCT(Calc!$K$3:$K$22*(Calc!$G$3:$G$22&gt;A638)*(Calc!$G$3:$G$22-A638)*(Calc!$G$3:$G$22&gt;B638)*(Calc!$G$3:$G$22-B638))</f>
        <v/>
      </c>
      <c r="L638">
        <f>SUMPRODUCT(Calc!$K$3:$K$22*(Calc!$G$3:$G$22&gt;A638)*(Calc!$G$3:$G$22-A638)*Calc!$G$3:$G$22)</f>
        <v/>
      </c>
      <c r="M638">
        <f>SUMPRODUCT(Calc!$K$3:$K$22*(Calc!$G$3:$G$22&gt;B638)*(Calc!$G$3:$G$22-B638)*Calc!$G$3:$G$22)</f>
        <v/>
      </c>
      <c r="N638">
        <f>SUMPRODUCT(Calc!$K$3:$K$22*(Calc!$G$3:$G$22&gt;A638)*(Calc!$G$3:$G$22-A638)*Calc!$I$3:$I$22)</f>
        <v/>
      </c>
      <c r="O638">
        <f>SUMPRODUCT(Calc!$K$3:$K$22*(Calc!$G$3:$G$22&gt;B638)*(Calc!$G$3:$G$22-B638)*Calc!$I$3:$I$22)</f>
        <v/>
      </c>
      <c r="P638">
        <f>I638-G638^2/k_n</f>
        <v/>
      </c>
      <c r="Q638">
        <f>J638-H638^2/k_n</f>
        <v/>
      </c>
      <c r="R638">
        <f>K638-G638*H638/k_n</f>
        <v/>
      </c>
      <c r="S638">
        <f>L638-LTP3!$D$3*G638/k_n</f>
        <v/>
      </c>
      <c r="T638">
        <f>M638-LTP3!$D$3*H638/k_n</f>
        <v/>
      </c>
      <c r="U638">
        <f>N638-G638*LTP3!$D$4/k_n</f>
        <v/>
      </c>
      <c r="V638">
        <f>O638-H638*LTP3!$D$4/k_n</f>
        <v/>
      </c>
      <c r="W638">
        <f>((LTP3!$D$5)*((P638)*(Q638)-(R638)*(R638))-(S638)*((S638)*(Q638)-(R638)*(T638))+(T638)*((S638)*(R638)-(P638)*(T638)))</f>
        <v/>
      </c>
      <c r="X638">
        <f>IF(ABS(W638)&gt;1E-12,((LTP3!$D$6)*((P638)*(Q638)-(R638)*(R638))-(S638)*((U638)*(Q638)-(R638)*(V638))+(T638)*((U638)*(R638)-(P638)*(V638)))/W638,0)</f>
        <v/>
      </c>
      <c r="Y638">
        <f>IF(ABS(W638)&gt;1E-12,((LTP3!$D$5)*((U638)*(Q638)-(R638)*(V638))-(LTP3!$D$6)*((S638)*(Q638)-(R638)*(T638))+(T638)*((S638)*(V638)-(U638)*(T638)))/W638,0)</f>
        <v/>
      </c>
      <c r="Z638">
        <f>IF(ABS(W638)&gt;1E-12,((LTP3!$D$5)*((P638)*(V638)-(U638)*(R638))-(S638)*((S638)*(V638)-(U638)*(T638))+(LTP3!$D$6)*((S638)*(R638)-(P638)*(T638)))/W638,0)</f>
        <v/>
      </c>
      <c r="AA638">
        <f>LTP3!$D$7-X638*LTP3!$D$6-Y638*U638-Z638*V638</f>
        <v/>
      </c>
      <c r="AB638">
        <f>IF(AND(F638,ABS(W638)&gt;1E-12,Y638&gt;0,Z638&gt;0),AA638,1E+300)</f>
        <v/>
      </c>
    </row>
    <row r="639">
      <c r="A639">
        <f>$B$3+$B$5*10</f>
        <v/>
      </c>
      <c r="B639">
        <f>$B$3+$B$5*17</f>
        <v/>
      </c>
      <c r="C639">
        <f>SUMPRODUCT(Calc!$K$3:$K$22*(Calc!$G$3:$G$22&lt;=A639))</f>
        <v/>
      </c>
      <c r="D639">
        <f>SUMPRODUCT(Calc!$K$3:$K$22*(Calc!$G$3:$G$22&gt;A639)*(Calc!$G$3:$G$22&lt;B639))</f>
        <v/>
      </c>
      <c r="E639">
        <f>SUMPRODUCT(Calc!$K$3:$K$22*(Calc!$G$3:$G$22&gt;=B639))</f>
        <v/>
      </c>
      <c r="F639">
        <f>AND(k_n&gt;=5,B639&gt;A639+1E-9,C639&gt;=2,D639&gt;=1,E639&gt;=2)</f>
        <v/>
      </c>
      <c r="G639">
        <f>SUMPRODUCT(Calc!$K$3:$K$22*(Calc!$G$3:$G$22&gt;A639)*(Calc!$G$3:$G$22-A639))</f>
        <v/>
      </c>
      <c r="H639">
        <f>SUMPRODUCT(Calc!$K$3:$K$22*(Calc!$G$3:$G$22&gt;B639)*(Calc!$G$3:$G$22-B639))</f>
        <v/>
      </c>
      <c r="I639">
        <f>SUMPRODUCT(Calc!$K$3:$K$22*(Calc!$G$3:$G$22&gt;A639)*(Calc!$G$3:$G$22-A639)^2)</f>
        <v/>
      </c>
      <c r="J639">
        <f>SUMPRODUCT(Calc!$K$3:$K$22*(Calc!$G$3:$G$22&gt;B639)*(Calc!$G$3:$G$22-B639)^2)</f>
        <v/>
      </c>
      <c r="K639">
        <f>SUMPRODUCT(Calc!$K$3:$K$22*(Calc!$G$3:$G$22&gt;A639)*(Calc!$G$3:$G$22-A639)*(Calc!$G$3:$G$22&gt;B639)*(Calc!$G$3:$G$22-B639))</f>
        <v/>
      </c>
      <c r="L639">
        <f>SUMPRODUCT(Calc!$K$3:$K$22*(Calc!$G$3:$G$22&gt;A639)*(Calc!$G$3:$G$22-A639)*Calc!$G$3:$G$22)</f>
        <v/>
      </c>
      <c r="M639">
        <f>SUMPRODUCT(Calc!$K$3:$K$22*(Calc!$G$3:$G$22&gt;B639)*(Calc!$G$3:$G$22-B639)*Calc!$G$3:$G$22)</f>
        <v/>
      </c>
      <c r="N639">
        <f>SUMPRODUCT(Calc!$K$3:$K$22*(Calc!$G$3:$G$22&gt;A639)*(Calc!$G$3:$G$22-A639)*Calc!$I$3:$I$22)</f>
        <v/>
      </c>
      <c r="O639">
        <f>SUMPRODUCT(Calc!$K$3:$K$22*(Calc!$G$3:$G$22&gt;B639)*(Calc!$G$3:$G$22-B639)*Calc!$I$3:$I$22)</f>
        <v/>
      </c>
      <c r="P639">
        <f>I639-G639^2/k_n</f>
        <v/>
      </c>
      <c r="Q639">
        <f>J639-H639^2/k_n</f>
        <v/>
      </c>
      <c r="R639">
        <f>K639-G639*H639/k_n</f>
        <v/>
      </c>
      <c r="S639">
        <f>L639-LTP3!$D$3*G639/k_n</f>
        <v/>
      </c>
      <c r="T639">
        <f>M639-LTP3!$D$3*H639/k_n</f>
        <v/>
      </c>
      <c r="U639">
        <f>N639-G639*LTP3!$D$4/k_n</f>
        <v/>
      </c>
      <c r="V639">
        <f>O639-H639*LTP3!$D$4/k_n</f>
        <v/>
      </c>
      <c r="W639">
        <f>((LTP3!$D$5)*((P639)*(Q639)-(R639)*(R639))-(S639)*((S639)*(Q639)-(R639)*(T639))+(T639)*((S639)*(R639)-(P639)*(T639)))</f>
        <v/>
      </c>
      <c r="X639">
        <f>IF(ABS(W639)&gt;1E-12,((LTP3!$D$6)*((P639)*(Q639)-(R639)*(R639))-(S639)*((U639)*(Q639)-(R639)*(V639))+(T639)*((U639)*(R639)-(P639)*(V639)))/W639,0)</f>
        <v/>
      </c>
      <c r="Y639">
        <f>IF(ABS(W639)&gt;1E-12,((LTP3!$D$5)*((U639)*(Q639)-(R639)*(V639))-(LTP3!$D$6)*((S639)*(Q639)-(R639)*(T639))+(T639)*((S639)*(V639)-(U639)*(T639)))/W639,0)</f>
        <v/>
      </c>
      <c r="Z639">
        <f>IF(ABS(W639)&gt;1E-12,((LTP3!$D$5)*((P639)*(V639)-(U639)*(R639))-(S639)*((S639)*(V639)-(U639)*(T639))+(LTP3!$D$6)*((S639)*(R639)-(P639)*(T639)))/W639,0)</f>
        <v/>
      </c>
      <c r="AA639">
        <f>LTP3!$D$7-X639*LTP3!$D$6-Y639*U639-Z639*V639</f>
        <v/>
      </c>
      <c r="AB639">
        <f>IF(AND(F639,ABS(W639)&gt;1E-12,Y639&gt;0,Z639&gt;0),AA639,1E+300)</f>
        <v/>
      </c>
    </row>
    <row r="640">
      <c r="A640">
        <f>$B$3+$B$5*10</f>
        <v/>
      </c>
      <c r="B640">
        <f>$B$3+$B$5*18</f>
        <v/>
      </c>
      <c r="C640">
        <f>SUMPRODUCT(Calc!$K$3:$K$22*(Calc!$G$3:$G$22&lt;=A640))</f>
        <v/>
      </c>
      <c r="D640">
        <f>SUMPRODUCT(Calc!$K$3:$K$22*(Calc!$G$3:$G$22&gt;A640)*(Calc!$G$3:$G$22&lt;B640))</f>
        <v/>
      </c>
      <c r="E640">
        <f>SUMPRODUCT(Calc!$K$3:$K$22*(Calc!$G$3:$G$22&gt;=B640))</f>
        <v/>
      </c>
      <c r="F640">
        <f>AND(k_n&gt;=5,B640&gt;A640+1E-9,C640&gt;=2,D640&gt;=1,E640&gt;=2)</f>
        <v/>
      </c>
      <c r="G640">
        <f>SUMPRODUCT(Calc!$K$3:$K$22*(Calc!$G$3:$G$22&gt;A640)*(Calc!$G$3:$G$22-A640))</f>
        <v/>
      </c>
      <c r="H640">
        <f>SUMPRODUCT(Calc!$K$3:$K$22*(Calc!$G$3:$G$22&gt;B640)*(Calc!$G$3:$G$22-B640))</f>
        <v/>
      </c>
      <c r="I640">
        <f>SUMPRODUCT(Calc!$K$3:$K$22*(Calc!$G$3:$G$22&gt;A640)*(Calc!$G$3:$G$22-A640)^2)</f>
        <v/>
      </c>
      <c r="J640">
        <f>SUMPRODUCT(Calc!$K$3:$K$22*(Calc!$G$3:$G$22&gt;B640)*(Calc!$G$3:$G$22-B640)^2)</f>
        <v/>
      </c>
      <c r="K640">
        <f>SUMPRODUCT(Calc!$K$3:$K$22*(Calc!$G$3:$G$22&gt;A640)*(Calc!$G$3:$G$22-A640)*(Calc!$G$3:$G$22&gt;B640)*(Calc!$G$3:$G$22-B640))</f>
        <v/>
      </c>
      <c r="L640">
        <f>SUMPRODUCT(Calc!$K$3:$K$22*(Calc!$G$3:$G$22&gt;A640)*(Calc!$G$3:$G$22-A640)*Calc!$G$3:$G$22)</f>
        <v/>
      </c>
      <c r="M640">
        <f>SUMPRODUCT(Calc!$K$3:$K$22*(Calc!$G$3:$G$22&gt;B640)*(Calc!$G$3:$G$22-B640)*Calc!$G$3:$G$22)</f>
        <v/>
      </c>
      <c r="N640">
        <f>SUMPRODUCT(Calc!$K$3:$K$22*(Calc!$G$3:$G$22&gt;A640)*(Calc!$G$3:$G$22-A640)*Calc!$I$3:$I$22)</f>
        <v/>
      </c>
      <c r="O640">
        <f>SUMPRODUCT(Calc!$K$3:$K$22*(Calc!$G$3:$G$22&gt;B640)*(Calc!$G$3:$G$22-B640)*Calc!$I$3:$I$22)</f>
        <v/>
      </c>
      <c r="P640">
        <f>I640-G640^2/k_n</f>
        <v/>
      </c>
      <c r="Q640">
        <f>J640-H640^2/k_n</f>
        <v/>
      </c>
      <c r="R640">
        <f>K640-G640*H640/k_n</f>
        <v/>
      </c>
      <c r="S640">
        <f>L640-LTP3!$D$3*G640/k_n</f>
        <v/>
      </c>
      <c r="T640">
        <f>M640-LTP3!$D$3*H640/k_n</f>
        <v/>
      </c>
      <c r="U640">
        <f>N640-G640*LTP3!$D$4/k_n</f>
        <v/>
      </c>
      <c r="V640">
        <f>O640-H640*LTP3!$D$4/k_n</f>
        <v/>
      </c>
      <c r="W640">
        <f>((LTP3!$D$5)*((P640)*(Q640)-(R640)*(R640))-(S640)*((S640)*(Q640)-(R640)*(T640))+(T640)*((S640)*(R640)-(P640)*(T640)))</f>
        <v/>
      </c>
      <c r="X640">
        <f>IF(ABS(W640)&gt;1E-12,((LTP3!$D$6)*((P640)*(Q640)-(R640)*(R640))-(S640)*((U640)*(Q640)-(R640)*(V640))+(T640)*((U640)*(R640)-(P640)*(V640)))/W640,0)</f>
        <v/>
      </c>
      <c r="Y640">
        <f>IF(ABS(W640)&gt;1E-12,((LTP3!$D$5)*((U640)*(Q640)-(R640)*(V640))-(LTP3!$D$6)*((S640)*(Q640)-(R640)*(T640))+(T640)*((S640)*(V640)-(U640)*(T640)))/W640,0)</f>
        <v/>
      </c>
      <c r="Z640">
        <f>IF(ABS(W640)&gt;1E-12,((LTP3!$D$5)*((P640)*(V640)-(U640)*(R640))-(S640)*((S640)*(V640)-(U640)*(T640))+(LTP3!$D$6)*((S640)*(R640)-(P640)*(T640)))/W640,0)</f>
        <v/>
      </c>
      <c r="AA640">
        <f>LTP3!$D$7-X640*LTP3!$D$6-Y640*U640-Z640*V640</f>
        <v/>
      </c>
      <c r="AB640">
        <f>IF(AND(F640,ABS(W640)&gt;1E-12,Y640&gt;0,Z640&gt;0),AA640,1E+300)</f>
        <v/>
      </c>
    </row>
    <row r="641">
      <c r="A641">
        <f>$B$3+$B$5*10</f>
        <v/>
      </c>
      <c r="B641">
        <f>$B$3+$B$5*19</f>
        <v/>
      </c>
      <c r="C641">
        <f>SUMPRODUCT(Calc!$K$3:$K$22*(Calc!$G$3:$G$22&lt;=A641))</f>
        <v/>
      </c>
      <c r="D641">
        <f>SUMPRODUCT(Calc!$K$3:$K$22*(Calc!$G$3:$G$22&gt;A641)*(Calc!$G$3:$G$22&lt;B641))</f>
        <v/>
      </c>
      <c r="E641">
        <f>SUMPRODUCT(Calc!$K$3:$K$22*(Calc!$G$3:$G$22&gt;=B641))</f>
        <v/>
      </c>
      <c r="F641">
        <f>AND(k_n&gt;=5,B641&gt;A641+1E-9,C641&gt;=2,D641&gt;=1,E641&gt;=2)</f>
        <v/>
      </c>
      <c r="G641">
        <f>SUMPRODUCT(Calc!$K$3:$K$22*(Calc!$G$3:$G$22&gt;A641)*(Calc!$G$3:$G$22-A641))</f>
        <v/>
      </c>
      <c r="H641">
        <f>SUMPRODUCT(Calc!$K$3:$K$22*(Calc!$G$3:$G$22&gt;B641)*(Calc!$G$3:$G$22-B641))</f>
        <v/>
      </c>
      <c r="I641">
        <f>SUMPRODUCT(Calc!$K$3:$K$22*(Calc!$G$3:$G$22&gt;A641)*(Calc!$G$3:$G$22-A641)^2)</f>
        <v/>
      </c>
      <c r="J641">
        <f>SUMPRODUCT(Calc!$K$3:$K$22*(Calc!$G$3:$G$22&gt;B641)*(Calc!$G$3:$G$22-B641)^2)</f>
        <v/>
      </c>
      <c r="K641">
        <f>SUMPRODUCT(Calc!$K$3:$K$22*(Calc!$G$3:$G$22&gt;A641)*(Calc!$G$3:$G$22-A641)*(Calc!$G$3:$G$22&gt;B641)*(Calc!$G$3:$G$22-B641))</f>
        <v/>
      </c>
      <c r="L641">
        <f>SUMPRODUCT(Calc!$K$3:$K$22*(Calc!$G$3:$G$22&gt;A641)*(Calc!$G$3:$G$22-A641)*Calc!$G$3:$G$22)</f>
        <v/>
      </c>
      <c r="M641">
        <f>SUMPRODUCT(Calc!$K$3:$K$22*(Calc!$G$3:$G$22&gt;B641)*(Calc!$G$3:$G$22-B641)*Calc!$G$3:$G$22)</f>
        <v/>
      </c>
      <c r="N641">
        <f>SUMPRODUCT(Calc!$K$3:$K$22*(Calc!$G$3:$G$22&gt;A641)*(Calc!$G$3:$G$22-A641)*Calc!$I$3:$I$22)</f>
        <v/>
      </c>
      <c r="O641">
        <f>SUMPRODUCT(Calc!$K$3:$K$22*(Calc!$G$3:$G$22&gt;B641)*(Calc!$G$3:$G$22-B641)*Calc!$I$3:$I$22)</f>
        <v/>
      </c>
      <c r="P641">
        <f>I641-G641^2/k_n</f>
        <v/>
      </c>
      <c r="Q641">
        <f>J641-H641^2/k_n</f>
        <v/>
      </c>
      <c r="R641">
        <f>K641-G641*H641/k_n</f>
        <v/>
      </c>
      <c r="S641">
        <f>L641-LTP3!$D$3*G641/k_n</f>
        <v/>
      </c>
      <c r="T641">
        <f>M641-LTP3!$D$3*H641/k_n</f>
        <v/>
      </c>
      <c r="U641">
        <f>N641-G641*LTP3!$D$4/k_n</f>
        <v/>
      </c>
      <c r="V641">
        <f>O641-H641*LTP3!$D$4/k_n</f>
        <v/>
      </c>
      <c r="W641">
        <f>((LTP3!$D$5)*((P641)*(Q641)-(R641)*(R641))-(S641)*((S641)*(Q641)-(R641)*(T641))+(T641)*((S641)*(R641)-(P641)*(T641)))</f>
        <v/>
      </c>
      <c r="X641">
        <f>IF(ABS(W641)&gt;1E-12,((LTP3!$D$6)*((P641)*(Q641)-(R641)*(R641))-(S641)*((U641)*(Q641)-(R641)*(V641))+(T641)*((U641)*(R641)-(P641)*(V641)))/W641,0)</f>
        <v/>
      </c>
      <c r="Y641">
        <f>IF(ABS(W641)&gt;1E-12,((LTP3!$D$5)*((U641)*(Q641)-(R641)*(V641))-(LTP3!$D$6)*((S641)*(Q641)-(R641)*(T641))+(T641)*((S641)*(V641)-(U641)*(T641)))/W641,0)</f>
        <v/>
      </c>
      <c r="Z641">
        <f>IF(ABS(W641)&gt;1E-12,((LTP3!$D$5)*((P641)*(V641)-(U641)*(R641))-(S641)*((S641)*(V641)-(U641)*(T641))+(LTP3!$D$6)*((S641)*(R641)-(P641)*(T641)))/W641,0)</f>
        <v/>
      </c>
      <c r="AA641">
        <f>LTP3!$D$7-X641*LTP3!$D$6-Y641*U641-Z641*V641</f>
        <v/>
      </c>
      <c r="AB641">
        <f>IF(AND(F641,ABS(W641)&gt;1E-12,Y641&gt;0,Z641&gt;0),AA641,1E+300)</f>
        <v/>
      </c>
    </row>
    <row r="642">
      <c r="A642">
        <f>$B$3+$B$5*10</f>
        <v/>
      </c>
      <c r="B642">
        <f>$B$3+$B$5*20</f>
        <v/>
      </c>
      <c r="C642">
        <f>SUMPRODUCT(Calc!$K$3:$K$22*(Calc!$G$3:$G$22&lt;=A642))</f>
        <v/>
      </c>
      <c r="D642">
        <f>SUMPRODUCT(Calc!$K$3:$K$22*(Calc!$G$3:$G$22&gt;A642)*(Calc!$G$3:$G$22&lt;B642))</f>
        <v/>
      </c>
      <c r="E642">
        <f>SUMPRODUCT(Calc!$K$3:$K$22*(Calc!$G$3:$G$22&gt;=B642))</f>
        <v/>
      </c>
      <c r="F642">
        <f>AND(k_n&gt;=5,B642&gt;A642+1E-9,C642&gt;=2,D642&gt;=1,E642&gt;=2)</f>
        <v/>
      </c>
      <c r="G642">
        <f>SUMPRODUCT(Calc!$K$3:$K$22*(Calc!$G$3:$G$22&gt;A642)*(Calc!$G$3:$G$22-A642))</f>
        <v/>
      </c>
      <c r="H642">
        <f>SUMPRODUCT(Calc!$K$3:$K$22*(Calc!$G$3:$G$22&gt;B642)*(Calc!$G$3:$G$22-B642))</f>
        <v/>
      </c>
      <c r="I642">
        <f>SUMPRODUCT(Calc!$K$3:$K$22*(Calc!$G$3:$G$22&gt;A642)*(Calc!$G$3:$G$22-A642)^2)</f>
        <v/>
      </c>
      <c r="J642">
        <f>SUMPRODUCT(Calc!$K$3:$K$22*(Calc!$G$3:$G$22&gt;B642)*(Calc!$G$3:$G$22-B642)^2)</f>
        <v/>
      </c>
      <c r="K642">
        <f>SUMPRODUCT(Calc!$K$3:$K$22*(Calc!$G$3:$G$22&gt;A642)*(Calc!$G$3:$G$22-A642)*(Calc!$G$3:$G$22&gt;B642)*(Calc!$G$3:$G$22-B642))</f>
        <v/>
      </c>
      <c r="L642">
        <f>SUMPRODUCT(Calc!$K$3:$K$22*(Calc!$G$3:$G$22&gt;A642)*(Calc!$G$3:$G$22-A642)*Calc!$G$3:$G$22)</f>
        <v/>
      </c>
      <c r="M642">
        <f>SUMPRODUCT(Calc!$K$3:$K$22*(Calc!$G$3:$G$22&gt;B642)*(Calc!$G$3:$G$22-B642)*Calc!$G$3:$G$22)</f>
        <v/>
      </c>
      <c r="N642">
        <f>SUMPRODUCT(Calc!$K$3:$K$22*(Calc!$G$3:$G$22&gt;A642)*(Calc!$G$3:$G$22-A642)*Calc!$I$3:$I$22)</f>
        <v/>
      </c>
      <c r="O642">
        <f>SUMPRODUCT(Calc!$K$3:$K$22*(Calc!$G$3:$G$22&gt;B642)*(Calc!$G$3:$G$22-B642)*Calc!$I$3:$I$22)</f>
        <v/>
      </c>
      <c r="P642">
        <f>I642-G642^2/k_n</f>
        <v/>
      </c>
      <c r="Q642">
        <f>J642-H642^2/k_n</f>
        <v/>
      </c>
      <c r="R642">
        <f>K642-G642*H642/k_n</f>
        <v/>
      </c>
      <c r="S642">
        <f>L642-LTP3!$D$3*G642/k_n</f>
        <v/>
      </c>
      <c r="T642">
        <f>M642-LTP3!$D$3*H642/k_n</f>
        <v/>
      </c>
      <c r="U642">
        <f>N642-G642*LTP3!$D$4/k_n</f>
        <v/>
      </c>
      <c r="V642">
        <f>O642-H642*LTP3!$D$4/k_n</f>
        <v/>
      </c>
      <c r="W642">
        <f>((LTP3!$D$5)*((P642)*(Q642)-(R642)*(R642))-(S642)*((S642)*(Q642)-(R642)*(T642))+(T642)*((S642)*(R642)-(P642)*(T642)))</f>
        <v/>
      </c>
      <c r="X642">
        <f>IF(ABS(W642)&gt;1E-12,((LTP3!$D$6)*((P642)*(Q642)-(R642)*(R642))-(S642)*((U642)*(Q642)-(R642)*(V642))+(T642)*((U642)*(R642)-(P642)*(V642)))/W642,0)</f>
        <v/>
      </c>
      <c r="Y642">
        <f>IF(ABS(W642)&gt;1E-12,((LTP3!$D$5)*((U642)*(Q642)-(R642)*(V642))-(LTP3!$D$6)*((S642)*(Q642)-(R642)*(T642))+(T642)*((S642)*(V642)-(U642)*(T642)))/W642,0)</f>
        <v/>
      </c>
      <c r="Z642">
        <f>IF(ABS(W642)&gt;1E-12,((LTP3!$D$5)*((P642)*(V642)-(U642)*(R642))-(S642)*((S642)*(V642)-(U642)*(T642))+(LTP3!$D$6)*((S642)*(R642)-(P642)*(T642)))/W642,0)</f>
        <v/>
      </c>
      <c r="AA642">
        <f>LTP3!$D$7-X642*LTP3!$D$6-Y642*U642-Z642*V642</f>
        <v/>
      </c>
      <c r="AB642">
        <f>IF(AND(F642,ABS(W642)&gt;1E-12,Y642&gt;0,Z642&gt;0),AA642,1E+300)</f>
        <v/>
      </c>
    </row>
    <row r="643">
      <c r="A643">
        <f>$B$3+$B$5*10</f>
        <v/>
      </c>
      <c r="B643">
        <f>$B$3+$B$5*21</f>
        <v/>
      </c>
      <c r="C643">
        <f>SUMPRODUCT(Calc!$K$3:$K$22*(Calc!$G$3:$G$22&lt;=A643))</f>
        <v/>
      </c>
      <c r="D643">
        <f>SUMPRODUCT(Calc!$K$3:$K$22*(Calc!$G$3:$G$22&gt;A643)*(Calc!$G$3:$G$22&lt;B643))</f>
        <v/>
      </c>
      <c r="E643">
        <f>SUMPRODUCT(Calc!$K$3:$K$22*(Calc!$G$3:$G$22&gt;=B643))</f>
        <v/>
      </c>
      <c r="F643">
        <f>AND(k_n&gt;=5,B643&gt;A643+1E-9,C643&gt;=2,D643&gt;=1,E643&gt;=2)</f>
        <v/>
      </c>
      <c r="G643">
        <f>SUMPRODUCT(Calc!$K$3:$K$22*(Calc!$G$3:$G$22&gt;A643)*(Calc!$G$3:$G$22-A643))</f>
        <v/>
      </c>
      <c r="H643">
        <f>SUMPRODUCT(Calc!$K$3:$K$22*(Calc!$G$3:$G$22&gt;B643)*(Calc!$G$3:$G$22-B643))</f>
        <v/>
      </c>
      <c r="I643">
        <f>SUMPRODUCT(Calc!$K$3:$K$22*(Calc!$G$3:$G$22&gt;A643)*(Calc!$G$3:$G$22-A643)^2)</f>
        <v/>
      </c>
      <c r="J643">
        <f>SUMPRODUCT(Calc!$K$3:$K$22*(Calc!$G$3:$G$22&gt;B643)*(Calc!$G$3:$G$22-B643)^2)</f>
        <v/>
      </c>
      <c r="K643">
        <f>SUMPRODUCT(Calc!$K$3:$K$22*(Calc!$G$3:$G$22&gt;A643)*(Calc!$G$3:$G$22-A643)*(Calc!$G$3:$G$22&gt;B643)*(Calc!$G$3:$G$22-B643))</f>
        <v/>
      </c>
      <c r="L643">
        <f>SUMPRODUCT(Calc!$K$3:$K$22*(Calc!$G$3:$G$22&gt;A643)*(Calc!$G$3:$G$22-A643)*Calc!$G$3:$G$22)</f>
        <v/>
      </c>
      <c r="M643">
        <f>SUMPRODUCT(Calc!$K$3:$K$22*(Calc!$G$3:$G$22&gt;B643)*(Calc!$G$3:$G$22-B643)*Calc!$G$3:$G$22)</f>
        <v/>
      </c>
      <c r="N643">
        <f>SUMPRODUCT(Calc!$K$3:$K$22*(Calc!$G$3:$G$22&gt;A643)*(Calc!$G$3:$G$22-A643)*Calc!$I$3:$I$22)</f>
        <v/>
      </c>
      <c r="O643">
        <f>SUMPRODUCT(Calc!$K$3:$K$22*(Calc!$G$3:$G$22&gt;B643)*(Calc!$G$3:$G$22-B643)*Calc!$I$3:$I$22)</f>
        <v/>
      </c>
      <c r="P643">
        <f>I643-G643^2/k_n</f>
        <v/>
      </c>
      <c r="Q643">
        <f>J643-H643^2/k_n</f>
        <v/>
      </c>
      <c r="R643">
        <f>K643-G643*H643/k_n</f>
        <v/>
      </c>
      <c r="S643">
        <f>L643-LTP3!$D$3*G643/k_n</f>
        <v/>
      </c>
      <c r="T643">
        <f>M643-LTP3!$D$3*H643/k_n</f>
        <v/>
      </c>
      <c r="U643">
        <f>N643-G643*LTP3!$D$4/k_n</f>
        <v/>
      </c>
      <c r="V643">
        <f>O643-H643*LTP3!$D$4/k_n</f>
        <v/>
      </c>
      <c r="W643">
        <f>((LTP3!$D$5)*((P643)*(Q643)-(R643)*(R643))-(S643)*((S643)*(Q643)-(R643)*(T643))+(T643)*((S643)*(R643)-(P643)*(T643)))</f>
        <v/>
      </c>
      <c r="X643">
        <f>IF(ABS(W643)&gt;1E-12,((LTP3!$D$6)*((P643)*(Q643)-(R643)*(R643))-(S643)*((U643)*(Q643)-(R643)*(V643))+(T643)*((U643)*(R643)-(P643)*(V643)))/W643,0)</f>
        <v/>
      </c>
      <c r="Y643">
        <f>IF(ABS(W643)&gt;1E-12,((LTP3!$D$5)*((U643)*(Q643)-(R643)*(V643))-(LTP3!$D$6)*((S643)*(Q643)-(R643)*(T643))+(T643)*((S643)*(V643)-(U643)*(T643)))/W643,0)</f>
        <v/>
      </c>
      <c r="Z643">
        <f>IF(ABS(W643)&gt;1E-12,((LTP3!$D$5)*((P643)*(V643)-(U643)*(R643))-(S643)*((S643)*(V643)-(U643)*(T643))+(LTP3!$D$6)*((S643)*(R643)-(P643)*(T643)))/W643,0)</f>
        <v/>
      </c>
      <c r="AA643">
        <f>LTP3!$D$7-X643*LTP3!$D$6-Y643*U643-Z643*V643</f>
        <v/>
      </c>
      <c r="AB643">
        <f>IF(AND(F643,ABS(W643)&gt;1E-12,Y643&gt;0,Z643&gt;0),AA643,1E+300)</f>
        <v/>
      </c>
    </row>
    <row r="644">
      <c r="A644">
        <f>$B$3+$B$5*10</f>
        <v/>
      </c>
      <c r="B644">
        <f>$B$3+$B$5*22</f>
        <v/>
      </c>
      <c r="C644">
        <f>SUMPRODUCT(Calc!$K$3:$K$22*(Calc!$G$3:$G$22&lt;=A644))</f>
        <v/>
      </c>
      <c r="D644">
        <f>SUMPRODUCT(Calc!$K$3:$K$22*(Calc!$G$3:$G$22&gt;A644)*(Calc!$G$3:$G$22&lt;B644))</f>
        <v/>
      </c>
      <c r="E644">
        <f>SUMPRODUCT(Calc!$K$3:$K$22*(Calc!$G$3:$G$22&gt;=B644))</f>
        <v/>
      </c>
      <c r="F644">
        <f>AND(k_n&gt;=5,B644&gt;A644+1E-9,C644&gt;=2,D644&gt;=1,E644&gt;=2)</f>
        <v/>
      </c>
      <c r="G644">
        <f>SUMPRODUCT(Calc!$K$3:$K$22*(Calc!$G$3:$G$22&gt;A644)*(Calc!$G$3:$G$22-A644))</f>
        <v/>
      </c>
      <c r="H644">
        <f>SUMPRODUCT(Calc!$K$3:$K$22*(Calc!$G$3:$G$22&gt;B644)*(Calc!$G$3:$G$22-B644))</f>
        <v/>
      </c>
      <c r="I644">
        <f>SUMPRODUCT(Calc!$K$3:$K$22*(Calc!$G$3:$G$22&gt;A644)*(Calc!$G$3:$G$22-A644)^2)</f>
        <v/>
      </c>
      <c r="J644">
        <f>SUMPRODUCT(Calc!$K$3:$K$22*(Calc!$G$3:$G$22&gt;B644)*(Calc!$G$3:$G$22-B644)^2)</f>
        <v/>
      </c>
      <c r="K644">
        <f>SUMPRODUCT(Calc!$K$3:$K$22*(Calc!$G$3:$G$22&gt;A644)*(Calc!$G$3:$G$22-A644)*(Calc!$G$3:$G$22&gt;B644)*(Calc!$G$3:$G$22-B644))</f>
        <v/>
      </c>
      <c r="L644">
        <f>SUMPRODUCT(Calc!$K$3:$K$22*(Calc!$G$3:$G$22&gt;A644)*(Calc!$G$3:$G$22-A644)*Calc!$G$3:$G$22)</f>
        <v/>
      </c>
      <c r="M644">
        <f>SUMPRODUCT(Calc!$K$3:$K$22*(Calc!$G$3:$G$22&gt;B644)*(Calc!$G$3:$G$22-B644)*Calc!$G$3:$G$22)</f>
        <v/>
      </c>
      <c r="N644">
        <f>SUMPRODUCT(Calc!$K$3:$K$22*(Calc!$G$3:$G$22&gt;A644)*(Calc!$G$3:$G$22-A644)*Calc!$I$3:$I$22)</f>
        <v/>
      </c>
      <c r="O644">
        <f>SUMPRODUCT(Calc!$K$3:$K$22*(Calc!$G$3:$G$22&gt;B644)*(Calc!$G$3:$G$22-B644)*Calc!$I$3:$I$22)</f>
        <v/>
      </c>
      <c r="P644">
        <f>I644-G644^2/k_n</f>
        <v/>
      </c>
      <c r="Q644">
        <f>J644-H644^2/k_n</f>
        <v/>
      </c>
      <c r="R644">
        <f>K644-G644*H644/k_n</f>
        <v/>
      </c>
      <c r="S644">
        <f>L644-LTP3!$D$3*G644/k_n</f>
        <v/>
      </c>
      <c r="T644">
        <f>M644-LTP3!$D$3*H644/k_n</f>
        <v/>
      </c>
      <c r="U644">
        <f>N644-G644*LTP3!$D$4/k_n</f>
        <v/>
      </c>
      <c r="V644">
        <f>O644-H644*LTP3!$D$4/k_n</f>
        <v/>
      </c>
      <c r="W644">
        <f>((LTP3!$D$5)*((P644)*(Q644)-(R644)*(R644))-(S644)*((S644)*(Q644)-(R644)*(T644))+(T644)*((S644)*(R644)-(P644)*(T644)))</f>
        <v/>
      </c>
      <c r="X644">
        <f>IF(ABS(W644)&gt;1E-12,((LTP3!$D$6)*((P644)*(Q644)-(R644)*(R644))-(S644)*((U644)*(Q644)-(R644)*(V644))+(T644)*((U644)*(R644)-(P644)*(V644)))/W644,0)</f>
        <v/>
      </c>
      <c r="Y644">
        <f>IF(ABS(W644)&gt;1E-12,((LTP3!$D$5)*((U644)*(Q644)-(R644)*(V644))-(LTP3!$D$6)*((S644)*(Q644)-(R644)*(T644))+(T644)*((S644)*(V644)-(U644)*(T644)))/W644,0)</f>
        <v/>
      </c>
      <c r="Z644">
        <f>IF(ABS(W644)&gt;1E-12,((LTP3!$D$5)*((P644)*(V644)-(U644)*(R644))-(S644)*((S644)*(V644)-(U644)*(T644))+(LTP3!$D$6)*((S644)*(R644)-(P644)*(T644)))/W644,0)</f>
        <v/>
      </c>
      <c r="AA644">
        <f>LTP3!$D$7-X644*LTP3!$D$6-Y644*U644-Z644*V644</f>
        <v/>
      </c>
      <c r="AB644">
        <f>IF(AND(F644,ABS(W644)&gt;1E-12,Y644&gt;0,Z644&gt;0),AA644,1E+300)</f>
        <v/>
      </c>
    </row>
    <row r="645">
      <c r="A645">
        <f>$B$3+$B$5*10</f>
        <v/>
      </c>
      <c r="B645">
        <f>$B$3+$B$5*23</f>
        <v/>
      </c>
      <c r="C645">
        <f>SUMPRODUCT(Calc!$K$3:$K$22*(Calc!$G$3:$G$22&lt;=A645))</f>
        <v/>
      </c>
      <c r="D645">
        <f>SUMPRODUCT(Calc!$K$3:$K$22*(Calc!$G$3:$G$22&gt;A645)*(Calc!$G$3:$G$22&lt;B645))</f>
        <v/>
      </c>
      <c r="E645">
        <f>SUMPRODUCT(Calc!$K$3:$K$22*(Calc!$G$3:$G$22&gt;=B645))</f>
        <v/>
      </c>
      <c r="F645">
        <f>AND(k_n&gt;=5,B645&gt;A645+1E-9,C645&gt;=2,D645&gt;=1,E645&gt;=2)</f>
        <v/>
      </c>
      <c r="G645">
        <f>SUMPRODUCT(Calc!$K$3:$K$22*(Calc!$G$3:$G$22&gt;A645)*(Calc!$G$3:$G$22-A645))</f>
        <v/>
      </c>
      <c r="H645">
        <f>SUMPRODUCT(Calc!$K$3:$K$22*(Calc!$G$3:$G$22&gt;B645)*(Calc!$G$3:$G$22-B645))</f>
        <v/>
      </c>
      <c r="I645">
        <f>SUMPRODUCT(Calc!$K$3:$K$22*(Calc!$G$3:$G$22&gt;A645)*(Calc!$G$3:$G$22-A645)^2)</f>
        <v/>
      </c>
      <c r="J645">
        <f>SUMPRODUCT(Calc!$K$3:$K$22*(Calc!$G$3:$G$22&gt;B645)*(Calc!$G$3:$G$22-B645)^2)</f>
        <v/>
      </c>
      <c r="K645">
        <f>SUMPRODUCT(Calc!$K$3:$K$22*(Calc!$G$3:$G$22&gt;A645)*(Calc!$G$3:$G$22-A645)*(Calc!$G$3:$G$22&gt;B645)*(Calc!$G$3:$G$22-B645))</f>
        <v/>
      </c>
      <c r="L645">
        <f>SUMPRODUCT(Calc!$K$3:$K$22*(Calc!$G$3:$G$22&gt;A645)*(Calc!$G$3:$G$22-A645)*Calc!$G$3:$G$22)</f>
        <v/>
      </c>
      <c r="M645">
        <f>SUMPRODUCT(Calc!$K$3:$K$22*(Calc!$G$3:$G$22&gt;B645)*(Calc!$G$3:$G$22-B645)*Calc!$G$3:$G$22)</f>
        <v/>
      </c>
      <c r="N645">
        <f>SUMPRODUCT(Calc!$K$3:$K$22*(Calc!$G$3:$G$22&gt;A645)*(Calc!$G$3:$G$22-A645)*Calc!$I$3:$I$22)</f>
        <v/>
      </c>
      <c r="O645">
        <f>SUMPRODUCT(Calc!$K$3:$K$22*(Calc!$G$3:$G$22&gt;B645)*(Calc!$G$3:$G$22-B645)*Calc!$I$3:$I$22)</f>
        <v/>
      </c>
      <c r="P645">
        <f>I645-G645^2/k_n</f>
        <v/>
      </c>
      <c r="Q645">
        <f>J645-H645^2/k_n</f>
        <v/>
      </c>
      <c r="R645">
        <f>K645-G645*H645/k_n</f>
        <v/>
      </c>
      <c r="S645">
        <f>L645-LTP3!$D$3*G645/k_n</f>
        <v/>
      </c>
      <c r="T645">
        <f>M645-LTP3!$D$3*H645/k_n</f>
        <v/>
      </c>
      <c r="U645">
        <f>N645-G645*LTP3!$D$4/k_n</f>
        <v/>
      </c>
      <c r="V645">
        <f>O645-H645*LTP3!$D$4/k_n</f>
        <v/>
      </c>
      <c r="W645">
        <f>((LTP3!$D$5)*((P645)*(Q645)-(R645)*(R645))-(S645)*((S645)*(Q645)-(R645)*(T645))+(T645)*((S645)*(R645)-(P645)*(T645)))</f>
        <v/>
      </c>
      <c r="X645">
        <f>IF(ABS(W645)&gt;1E-12,((LTP3!$D$6)*((P645)*(Q645)-(R645)*(R645))-(S645)*((U645)*(Q645)-(R645)*(V645))+(T645)*((U645)*(R645)-(P645)*(V645)))/W645,0)</f>
        <v/>
      </c>
      <c r="Y645">
        <f>IF(ABS(W645)&gt;1E-12,((LTP3!$D$5)*((U645)*(Q645)-(R645)*(V645))-(LTP3!$D$6)*((S645)*(Q645)-(R645)*(T645))+(T645)*((S645)*(V645)-(U645)*(T645)))/W645,0)</f>
        <v/>
      </c>
      <c r="Z645">
        <f>IF(ABS(W645)&gt;1E-12,((LTP3!$D$5)*((P645)*(V645)-(U645)*(R645))-(S645)*((S645)*(V645)-(U645)*(T645))+(LTP3!$D$6)*((S645)*(R645)-(P645)*(T645)))/W645,0)</f>
        <v/>
      </c>
      <c r="AA645">
        <f>LTP3!$D$7-X645*LTP3!$D$6-Y645*U645-Z645*V645</f>
        <v/>
      </c>
      <c r="AB645">
        <f>IF(AND(F645,ABS(W645)&gt;1E-12,Y645&gt;0,Z645&gt;0),AA645,1E+300)</f>
        <v/>
      </c>
    </row>
    <row r="646">
      <c r="A646">
        <f>$B$3+$B$5*10</f>
        <v/>
      </c>
      <c r="B646">
        <f>$B$3+$B$5*24</f>
        <v/>
      </c>
      <c r="C646">
        <f>SUMPRODUCT(Calc!$K$3:$K$22*(Calc!$G$3:$G$22&lt;=A646))</f>
        <v/>
      </c>
      <c r="D646">
        <f>SUMPRODUCT(Calc!$K$3:$K$22*(Calc!$G$3:$G$22&gt;A646)*(Calc!$G$3:$G$22&lt;B646))</f>
        <v/>
      </c>
      <c r="E646">
        <f>SUMPRODUCT(Calc!$K$3:$K$22*(Calc!$G$3:$G$22&gt;=B646))</f>
        <v/>
      </c>
      <c r="F646">
        <f>AND(k_n&gt;=5,B646&gt;A646+1E-9,C646&gt;=2,D646&gt;=1,E646&gt;=2)</f>
        <v/>
      </c>
      <c r="G646">
        <f>SUMPRODUCT(Calc!$K$3:$K$22*(Calc!$G$3:$G$22&gt;A646)*(Calc!$G$3:$G$22-A646))</f>
        <v/>
      </c>
      <c r="H646">
        <f>SUMPRODUCT(Calc!$K$3:$K$22*(Calc!$G$3:$G$22&gt;B646)*(Calc!$G$3:$G$22-B646))</f>
        <v/>
      </c>
      <c r="I646">
        <f>SUMPRODUCT(Calc!$K$3:$K$22*(Calc!$G$3:$G$22&gt;A646)*(Calc!$G$3:$G$22-A646)^2)</f>
        <v/>
      </c>
      <c r="J646">
        <f>SUMPRODUCT(Calc!$K$3:$K$22*(Calc!$G$3:$G$22&gt;B646)*(Calc!$G$3:$G$22-B646)^2)</f>
        <v/>
      </c>
      <c r="K646">
        <f>SUMPRODUCT(Calc!$K$3:$K$22*(Calc!$G$3:$G$22&gt;A646)*(Calc!$G$3:$G$22-A646)*(Calc!$G$3:$G$22&gt;B646)*(Calc!$G$3:$G$22-B646))</f>
        <v/>
      </c>
      <c r="L646">
        <f>SUMPRODUCT(Calc!$K$3:$K$22*(Calc!$G$3:$G$22&gt;A646)*(Calc!$G$3:$G$22-A646)*Calc!$G$3:$G$22)</f>
        <v/>
      </c>
      <c r="M646">
        <f>SUMPRODUCT(Calc!$K$3:$K$22*(Calc!$G$3:$G$22&gt;B646)*(Calc!$G$3:$G$22-B646)*Calc!$G$3:$G$22)</f>
        <v/>
      </c>
      <c r="N646">
        <f>SUMPRODUCT(Calc!$K$3:$K$22*(Calc!$G$3:$G$22&gt;A646)*(Calc!$G$3:$G$22-A646)*Calc!$I$3:$I$22)</f>
        <v/>
      </c>
      <c r="O646">
        <f>SUMPRODUCT(Calc!$K$3:$K$22*(Calc!$G$3:$G$22&gt;B646)*(Calc!$G$3:$G$22-B646)*Calc!$I$3:$I$22)</f>
        <v/>
      </c>
      <c r="P646">
        <f>I646-G646^2/k_n</f>
        <v/>
      </c>
      <c r="Q646">
        <f>J646-H646^2/k_n</f>
        <v/>
      </c>
      <c r="R646">
        <f>K646-G646*H646/k_n</f>
        <v/>
      </c>
      <c r="S646">
        <f>L646-LTP3!$D$3*G646/k_n</f>
        <v/>
      </c>
      <c r="T646">
        <f>M646-LTP3!$D$3*H646/k_n</f>
        <v/>
      </c>
      <c r="U646">
        <f>N646-G646*LTP3!$D$4/k_n</f>
        <v/>
      </c>
      <c r="V646">
        <f>O646-H646*LTP3!$D$4/k_n</f>
        <v/>
      </c>
      <c r="W646">
        <f>((LTP3!$D$5)*((P646)*(Q646)-(R646)*(R646))-(S646)*((S646)*(Q646)-(R646)*(T646))+(T646)*((S646)*(R646)-(P646)*(T646)))</f>
        <v/>
      </c>
      <c r="X646">
        <f>IF(ABS(W646)&gt;1E-12,((LTP3!$D$6)*((P646)*(Q646)-(R646)*(R646))-(S646)*((U646)*(Q646)-(R646)*(V646))+(T646)*((U646)*(R646)-(P646)*(V646)))/W646,0)</f>
        <v/>
      </c>
      <c r="Y646">
        <f>IF(ABS(W646)&gt;1E-12,((LTP3!$D$5)*((U646)*(Q646)-(R646)*(V646))-(LTP3!$D$6)*((S646)*(Q646)-(R646)*(T646))+(T646)*((S646)*(V646)-(U646)*(T646)))/W646,0)</f>
        <v/>
      </c>
      <c r="Z646">
        <f>IF(ABS(W646)&gt;1E-12,((LTP3!$D$5)*((P646)*(V646)-(U646)*(R646))-(S646)*((S646)*(V646)-(U646)*(T646))+(LTP3!$D$6)*((S646)*(R646)-(P646)*(T646)))/W646,0)</f>
        <v/>
      </c>
      <c r="AA646">
        <f>LTP3!$D$7-X646*LTP3!$D$6-Y646*U646-Z646*V646</f>
        <v/>
      </c>
      <c r="AB646">
        <f>IF(AND(F646,ABS(W646)&gt;1E-12,Y646&gt;0,Z646&gt;0),AA646,1E+300)</f>
        <v/>
      </c>
    </row>
    <row r="647">
      <c r="A647">
        <f>$B$3+$B$5*10</f>
        <v/>
      </c>
      <c r="B647">
        <f>$B$3+$B$5*25</f>
        <v/>
      </c>
      <c r="C647">
        <f>SUMPRODUCT(Calc!$K$3:$K$22*(Calc!$G$3:$G$22&lt;=A647))</f>
        <v/>
      </c>
      <c r="D647">
        <f>SUMPRODUCT(Calc!$K$3:$K$22*(Calc!$G$3:$G$22&gt;A647)*(Calc!$G$3:$G$22&lt;B647))</f>
        <v/>
      </c>
      <c r="E647">
        <f>SUMPRODUCT(Calc!$K$3:$K$22*(Calc!$G$3:$G$22&gt;=B647))</f>
        <v/>
      </c>
      <c r="F647">
        <f>AND(k_n&gt;=5,B647&gt;A647+1E-9,C647&gt;=2,D647&gt;=1,E647&gt;=2)</f>
        <v/>
      </c>
      <c r="G647">
        <f>SUMPRODUCT(Calc!$K$3:$K$22*(Calc!$G$3:$G$22&gt;A647)*(Calc!$G$3:$G$22-A647))</f>
        <v/>
      </c>
      <c r="H647">
        <f>SUMPRODUCT(Calc!$K$3:$K$22*(Calc!$G$3:$G$22&gt;B647)*(Calc!$G$3:$G$22-B647))</f>
        <v/>
      </c>
      <c r="I647">
        <f>SUMPRODUCT(Calc!$K$3:$K$22*(Calc!$G$3:$G$22&gt;A647)*(Calc!$G$3:$G$22-A647)^2)</f>
        <v/>
      </c>
      <c r="J647">
        <f>SUMPRODUCT(Calc!$K$3:$K$22*(Calc!$G$3:$G$22&gt;B647)*(Calc!$G$3:$G$22-B647)^2)</f>
        <v/>
      </c>
      <c r="K647">
        <f>SUMPRODUCT(Calc!$K$3:$K$22*(Calc!$G$3:$G$22&gt;A647)*(Calc!$G$3:$G$22-A647)*(Calc!$G$3:$G$22&gt;B647)*(Calc!$G$3:$G$22-B647))</f>
        <v/>
      </c>
      <c r="L647">
        <f>SUMPRODUCT(Calc!$K$3:$K$22*(Calc!$G$3:$G$22&gt;A647)*(Calc!$G$3:$G$22-A647)*Calc!$G$3:$G$22)</f>
        <v/>
      </c>
      <c r="M647">
        <f>SUMPRODUCT(Calc!$K$3:$K$22*(Calc!$G$3:$G$22&gt;B647)*(Calc!$G$3:$G$22-B647)*Calc!$G$3:$G$22)</f>
        <v/>
      </c>
      <c r="N647">
        <f>SUMPRODUCT(Calc!$K$3:$K$22*(Calc!$G$3:$G$22&gt;A647)*(Calc!$G$3:$G$22-A647)*Calc!$I$3:$I$22)</f>
        <v/>
      </c>
      <c r="O647">
        <f>SUMPRODUCT(Calc!$K$3:$K$22*(Calc!$G$3:$G$22&gt;B647)*(Calc!$G$3:$G$22-B647)*Calc!$I$3:$I$22)</f>
        <v/>
      </c>
      <c r="P647">
        <f>I647-G647^2/k_n</f>
        <v/>
      </c>
      <c r="Q647">
        <f>J647-H647^2/k_n</f>
        <v/>
      </c>
      <c r="R647">
        <f>K647-G647*H647/k_n</f>
        <v/>
      </c>
      <c r="S647">
        <f>L647-LTP3!$D$3*G647/k_n</f>
        <v/>
      </c>
      <c r="T647">
        <f>M647-LTP3!$D$3*H647/k_n</f>
        <v/>
      </c>
      <c r="U647">
        <f>N647-G647*LTP3!$D$4/k_n</f>
        <v/>
      </c>
      <c r="V647">
        <f>O647-H647*LTP3!$D$4/k_n</f>
        <v/>
      </c>
      <c r="W647">
        <f>((LTP3!$D$5)*((P647)*(Q647)-(R647)*(R647))-(S647)*((S647)*(Q647)-(R647)*(T647))+(T647)*((S647)*(R647)-(P647)*(T647)))</f>
        <v/>
      </c>
      <c r="X647">
        <f>IF(ABS(W647)&gt;1E-12,((LTP3!$D$6)*((P647)*(Q647)-(R647)*(R647))-(S647)*((U647)*(Q647)-(R647)*(V647))+(T647)*((U647)*(R647)-(P647)*(V647)))/W647,0)</f>
        <v/>
      </c>
      <c r="Y647">
        <f>IF(ABS(W647)&gt;1E-12,((LTP3!$D$5)*((U647)*(Q647)-(R647)*(V647))-(LTP3!$D$6)*((S647)*(Q647)-(R647)*(T647))+(T647)*((S647)*(V647)-(U647)*(T647)))/W647,0)</f>
        <v/>
      </c>
      <c r="Z647">
        <f>IF(ABS(W647)&gt;1E-12,((LTP3!$D$5)*((P647)*(V647)-(U647)*(R647))-(S647)*((S647)*(V647)-(U647)*(T647))+(LTP3!$D$6)*((S647)*(R647)-(P647)*(T647)))/W647,0)</f>
        <v/>
      </c>
      <c r="AA647">
        <f>LTP3!$D$7-X647*LTP3!$D$6-Y647*U647-Z647*V647</f>
        <v/>
      </c>
      <c r="AB647">
        <f>IF(AND(F647,ABS(W647)&gt;1E-12,Y647&gt;0,Z647&gt;0),AA647,1E+300)</f>
        <v/>
      </c>
    </row>
    <row r="648">
      <c r="A648">
        <f>$B$3+$B$5*10</f>
        <v/>
      </c>
      <c r="B648">
        <f>$B$3+$B$5*26</f>
        <v/>
      </c>
      <c r="C648">
        <f>SUMPRODUCT(Calc!$K$3:$K$22*(Calc!$G$3:$G$22&lt;=A648))</f>
        <v/>
      </c>
      <c r="D648">
        <f>SUMPRODUCT(Calc!$K$3:$K$22*(Calc!$G$3:$G$22&gt;A648)*(Calc!$G$3:$G$22&lt;B648))</f>
        <v/>
      </c>
      <c r="E648">
        <f>SUMPRODUCT(Calc!$K$3:$K$22*(Calc!$G$3:$G$22&gt;=B648))</f>
        <v/>
      </c>
      <c r="F648">
        <f>AND(k_n&gt;=5,B648&gt;A648+1E-9,C648&gt;=2,D648&gt;=1,E648&gt;=2)</f>
        <v/>
      </c>
      <c r="G648">
        <f>SUMPRODUCT(Calc!$K$3:$K$22*(Calc!$G$3:$G$22&gt;A648)*(Calc!$G$3:$G$22-A648))</f>
        <v/>
      </c>
      <c r="H648">
        <f>SUMPRODUCT(Calc!$K$3:$K$22*(Calc!$G$3:$G$22&gt;B648)*(Calc!$G$3:$G$22-B648))</f>
        <v/>
      </c>
      <c r="I648">
        <f>SUMPRODUCT(Calc!$K$3:$K$22*(Calc!$G$3:$G$22&gt;A648)*(Calc!$G$3:$G$22-A648)^2)</f>
        <v/>
      </c>
      <c r="J648">
        <f>SUMPRODUCT(Calc!$K$3:$K$22*(Calc!$G$3:$G$22&gt;B648)*(Calc!$G$3:$G$22-B648)^2)</f>
        <v/>
      </c>
      <c r="K648">
        <f>SUMPRODUCT(Calc!$K$3:$K$22*(Calc!$G$3:$G$22&gt;A648)*(Calc!$G$3:$G$22-A648)*(Calc!$G$3:$G$22&gt;B648)*(Calc!$G$3:$G$22-B648))</f>
        <v/>
      </c>
      <c r="L648">
        <f>SUMPRODUCT(Calc!$K$3:$K$22*(Calc!$G$3:$G$22&gt;A648)*(Calc!$G$3:$G$22-A648)*Calc!$G$3:$G$22)</f>
        <v/>
      </c>
      <c r="M648">
        <f>SUMPRODUCT(Calc!$K$3:$K$22*(Calc!$G$3:$G$22&gt;B648)*(Calc!$G$3:$G$22-B648)*Calc!$G$3:$G$22)</f>
        <v/>
      </c>
      <c r="N648">
        <f>SUMPRODUCT(Calc!$K$3:$K$22*(Calc!$G$3:$G$22&gt;A648)*(Calc!$G$3:$G$22-A648)*Calc!$I$3:$I$22)</f>
        <v/>
      </c>
      <c r="O648">
        <f>SUMPRODUCT(Calc!$K$3:$K$22*(Calc!$G$3:$G$22&gt;B648)*(Calc!$G$3:$G$22-B648)*Calc!$I$3:$I$22)</f>
        <v/>
      </c>
      <c r="P648">
        <f>I648-G648^2/k_n</f>
        <v/>
      </c>
      <c r="Q648">
        <f>J648-H648^2/k_n</f>
        <v/>
      </c>
      <c r="R648">
        <f>K648-G648*H648/k_n</f>
        <v/>
      </c>
      <c r="S648">
        <f>L648-LTP3!$D$3*G648/k_n</f>
        <v/>
      </c>
      <c r="T648">
        <f>M648-LTP3!$D$3*H648/k_n</f>
        <v/>
      </c>
      <c r="U648">
        <f>N648-G648*LTP3!$D$4/k_n</f>
        <v/>
      </c>
      <c r="V648">
        <f>O648-H648*LTP3!$D$4/k_n</f>
        <v/>
      </c>
      <c r="W648">
        <f>((LTP3!$D$5)*((P648)*(Q648)-(R648)*(R648))-(S648)*((S648)*(Q648)-(R648)*(T648))+(T648)*((S648)*(R648)-(P648)*(T648)))</f>
        <v/>
      </c>
      <c r="X648">
        <f>IF(ABS(W648)&gt;1E-12,((LTP3!$D$6)*((P648)*(Q648)-(R648)*(R648))-(S648)*((U648)*(Q648)-(R648)*(V648))+(T648)*((U648)*(R648)-(P648)*(V648)))/W648,0)</f>
        <v/>
      </c>
      <c r="Y648">
        <f>IF(ABS(W648)&gt;1E-12,((LTP3!$D$5)*((U648)*(Q648)-(R648)*(V648))-(LTP3!$D$6)*((S648)*(Q648)-(R648)*(T648))+(T648)*((S648)*(V648)-(U648)*(T648)))/W648,0)</f>
        <v/>
      </c>
      <c r="Z648">
        <f>IF(ABS(W648)&gt;1E-12,((LTP3!$D$5)*((P648)*(V648)-(U648)*(R648))-(S648)*((S648)*(V648)-(U648)*(T648))+(LTP3!$D$6)*((S648)*(R648)-(P648)*(T648)))/W648,0)</f>
        <v/>
      </c>
      <c r="AA648">
        <f>LTP3!$D$7-X648*LTP3!$D$6-Y648*U648-Z648*V648</f>
        <v/>
      </c>
      <c r="AB648">
        <f>IF(AND(F648,ABS(W648)&gt;1E-12,Y648&gt;0,Z648&gt;0),AA648,1E+300)</f>
        <v/>
      </c>
    </row>
    <row r="649">
      <c r="A649">
        <f>$B$3+$B$5*10</f>
        <v/>
      </c>
      <c r="B649">
        <f>$B$3+$B$5*27</f>
        <v/>
      </c>
      <c r="C649">
        <f>SUMPRODUCT(Calc!$K$3:$K$22*(Calc!$G$3:$G$22&lt;=A649))</f>
        <v/>
      </c>
      <c r="D649">
        <f>SUMPRODUCT(Calc!$K$3:$K$22*(Calc!$G$3:$G$22&gt;A649)*(Calc!$G$3:$G$22&lt;B649))</f>
        <v/>
      </c>
      <c r="E649">
        <f>SUMPRODUCT(Calc!$K$3:$K$22*(Calc!$G$3:$G$22&gt;=B649))</f>
        <v/>
      </c>
      <c r="F649">
        <f>AND(k_n&gt;=5,B649&gt;A649+1E-9,C649&gt;=2,D649&gt;=1,E649&gt;=2)</f>
        <v/>
      </c>
      <c r="G649">
        <f>SUMPRODUCT(Calc!$K$3:$K$22*(Calc!$G$3:$G$22&gt;A649)*(Calc!$G$3:$G$22-A649))</f>
        <v/>
      </c>
      <c r="H649">
        <f>SUMPRODUCT(Calc!$K$3:$K$22*(Calc!$G$3:$G$22&gt;B649)*(Calc!$G$3:$G$22-B649))</f>
        <v/>
      </c>
      <c r="I649">
        <f>SUMPRODUCT(Calc!$K$3:$K$22*(Calc!$G$3:$G$22&gt;A649)*(Calc!$G$3:$G$22-A649)^2)</f>
        <v/>
      </c>
      <c r="J649">
        <f>SUMPRODUCT(Calc!$K$3:$K$22*(Calc!$G$3:$G$22&gt;B649)*(Calc!$G$3:$G$22-B649)^2)</f>
        <v/>
      </c>
      <c r="K649">
        <f>SUMPRODUCT(Calc!$K$3:$K$22*(Calc!$G$3:$G$22&gt;A649)*(Calc!$G$3:$G$22-A649)*(Calc!$G$3:$G$22&gt;B649)*(Calc!$G$3:$G$22-B649))</f>
        <v/>
      </c>
      <c r="L649">
        <f>SUMPRODUCT(Calc!$K$3:$K$22*(Calc!$G$3:$G$22&gt;A649)*(Calc!$G$3:$G$22-A649)*Calc!$G$3:$G$22)</f>
        <v/>
      </c>
      <c r="M649">
        <f>SUMPRODUCT(Calc!$K$3:$K$22*(Calc!$G$3:$G$22&gt;B649)*(Calc!$G$3:$G$22-B649)*Calc!$G$3:$G$22)</f>
        <v/>
      </c>
      <c r="N649">
        <f>SUMPRODUCT(Calc!$K$3:$K$22*(Calc!$G$3:$G$22&gt;A649)*(Calc!$G$3:$G$22-A649)*Calc!$I$3:$I$22)</f>
        <v/>
      </c>
      <c r="O649">
        <f>SUMPRODUCT(Calc!$K$3:$K$22*(Calc!$G$3:$G$22&gt;B649)*(Calc!$G$3:$G$22-B649)*Calc!$I$3:$I$22)</f>
        <v/>
      </c>
      <c r="P649">
        <f>I649-G649^2/k_n</f>
        <v/>
      </c>
      <c r="Q649">
        <f>J649-H649^2/k_n</f>
        <v/>
      </c>
      <c r="R649">
        <f>K649-G649*H649/k_n</f>
        <v/>
      </c>
      <c r="S649">
        <f>L649-LTP3!$D$3*G649/k_n</f>
        <v/>
      </c>
      <c r="T649">
        <f>M649-LTP3!$D$3*H649/k_n</f>
        <v/>
      </c>
      <c r="U649">
        <f>N649-G649*LTP3!$D$4/k_n</f>
        <v/>
      </c>
      <c r="V649">
        <f>O649-H649*LTP3!$D$4/k_n</f>
        <v/>
      </c>
      <c r="W649">
        <f>((LTP3!$D$5)*((P649)*(Q649)-(R649)*(R649))-(S649)*((S649)*(Q649)-(R649)*(T649))+(T649)*((S649)*(R649)-(P649)*(T649)))</f>
        <v/>
      </c>
      <c r="X649">
        <f>IF(ABS(W649)&gt;1E-12,((LTP3!$D$6)*((P649)*(Q649)-(R649)*(R649))-(S649)*((U649)*(Q649)-(R649)*(V649))+(T649)*((U649)*(R649)-(P649)*(V649)))/W649,0)</f>
        <v/>
      </c>
      <c r="Y649">
        <f>IF(ABS(W649)&gt;1E-12,((LTP3!$D$5)*((U649)*(Q649)-(R649)*(V649))-(LTP3!$D$6)*((S649)*(Q649)-(R649)*(T649))+(T649)*((S649)*(V649)-(U649)*(T649)))/W649,0)</f>
        <v/>
      </c>
      <c r="Z649">
        <f>IF(ABS(W649)&gt;1E-12,((LTP3!$D$5)*((P649)*(V649)-(U649)*(R649))-(S649)*((S649)*(V649)-(U649)*(T649))+(LTP3!$D$6)*((S649)*(R649)-(P649)*(T649)))/W649,0)</f>
        <v/>
      </c>
      <c r="AA649">
        <f>LTP3!$D$7-X649*LTP3!$D$6-Y649*U649-Z649*V649</f>
        <v/>
      </c>
      <c r="AB649">
        <f>IF(AND(F649,ABS(W649)&gt;1E-12,Y649&gt;0,Z649&gt;0),AA649,1E+300)</f>
        <v/>
      </c>
    </row>
    <row r="650">
      <c r="A650">
        <f>$B$3+$B$5*10</f>
        <v/>
      </c>
      <c r="B650">
        <f>$B$3+$B$5*28</f>
        <v/>
      </c>
      <c r="C650">
        <f>SUMPRODUCT(Calc!$K$3:$K$22*(Calc!$G$3:$G$22&lt;=A650))</f>
        <v/>
      </c>
      <c r="D650">
        <f>SUMPRODUCT(Calc!$K$3:$K$22*(Calc!$G$3:$G$22&gt;A650)*(Calc!$G$3:$G$22&lt;B650))</f>
        <v/>
      </c>
      <c r="E650">
        <f>SUMPRODUCT(Calc!$K$3:$K$22*(Calc!$G$3:$G$22&gt;=B650))</f>
        <v/>
      </c>
      <c r="F650">
        <f>AND(k_n&gt;=5,B650&gt;A650+1E-9,C650&gt;=2,D650&gt;=1,E650&gt;=2)</f>
        <v/>
      </c>
      <c r="G650">
        <f>SUMPRODUCT(Calc!$K$3:$K$22*(Calc!$G$3:$G$22&gt;A650)*(Calc!$G$3:$G$22-A650))</f>
        <v/>
      </c>
      <c r="H650">
        <f>SUMPRODUCT(Calc!$K$3:$K$22*(Calc!$G$3:$G$22&gt;B650)*(Calc!$G$3:$G$22-B650))</f>
        <v/>
      </c>
      <c r="I650">
        <f>SUMPRODUCT(Calc!$K$3:$K$22*(Calc!$G$3:$G$22&gt;A650)*(Calc!$G$3:$G$22-A650)^2)</f>
        <v/>
      </c>
      <c r="J650">
        <f>SUMPRODUCT(Calc!$K$3:$K$22*(Calc!$G$3:$G$22&gt;B650)*(Calc!$G$3:$G$22-B650)^2)</f>
        <v/>
      </c>
      <c r="K650">
        <f>SUMPRODUCT(Calc!$K$3:$K$22*(Calc!$G$3:$G$22&gt;A650)*(Calc!$G$3:$G$22-A650)*(Calc!$G$3:$G$22&gt;B650)*(Calc!$G$3:$G$22-B650))</f>
        <v/>
      </c>
      <c r="L650">
        <f>SUMPRODUCT(Calc!$K$3:$K$22*(Calc!$G$3:$G$22&gt;A650)*(Calc!$G$3:$G$22-A650)*Calc!$G$3:$G$22)</f>
        <v/>
      </c>
      <c r="M650">
        <f>SUMPRODUCT(Calc!$K$3:$K$22*(Calc!$G$3:$G$22&gt;B650)*(Calc!$G$3:$G$22-B650)*Calc!$G$3:$G$22)</f>
        <v/>
      </c>
      <c r="N650">
        <f>SUMPRODUCT(Calc!$K$3:$K$22*(Calc!$G$3:$G$22&gt;A650)*(Calc!$G$3:$G$22-A650)*Calc!$I$3:$I$22)</f>
        <v/>
      </c>
      <c r="O650">
        <f>SUMPRODUCT(Calc!$K$3:$K$22*(Calc!$G$3:$G$22&gt;B650)*(Calc!$G$3:$G$22-B650)*Calc!$I$3:$I$22)</f>
        <v/>
      </c>
      <c r="P650">
        <f>I650-G650^2/k_n</f>
        <v/>
      </c>
      <c r="Q650">
        <f>J650-H650^2/k_n</f>
        <v/>
      </c>
      <c r="R650">
        <f>K650-G650*H650/k_n</f>
        <v/>
      </c>
      <c r="S650">
        <f>L650-LTP3!$D$3*G650/k_n</f>
        <v/>
      </c>
      <c r="T650">
        <f>M650-LTP3!$D$3*H650/k_n</f>
        <v/>
      </c>
      <c r="U650">
        <f>N650-G650*LTP3!$D$4/k_n</f>
        <v/>
      </c>
      <c r="V650">
        <f>O650-H650*LTP3!$D$4/k_n</f>
        <v/>
      </c>
      <c r="W650">
        <f>((LTP3!$D$5)*((P650)*(Q650)-(R650)*(R650))-(S650)*((S650)*(Q650)-(R650)*(T650))+(T650)*((S650)*(R650)-(P650)*(T650)))</f>
        <v/>
      </c>
      <c r="X650">
        <f>IF(ABS(W650)&gt;1E-12,((LTP3!$D$6)*((P650)*(Q650)-(R650)*(R650))-(S650)*((U650)*(Q650)-(R650)*(V650))+(T650)*((U650)*(R650)-(P650)*(V650)))/W650,0)</f>
        <v/>
      </c>
      <c r="Y650">
        <f>IF(ABS(W650)&gt;1E-12,((LTP3!$D$5)*((U650)*(Q650)-(R650)*(V650))-(LTP3!$D$6)*((S650)*(Q650)-(R650)*(T650))+(T650)*((S650)*(V650)-(U650)*(T650)))/W650,0)</f>
        <v/>
      </c>
      <c r="Z650">
        <f>IF(ABS(W650)&gt;1E-12,((LTP3!$D$5)*((P650)*(V650)-(U650)*(R650))-(S650)*((S650)*(V650)-(U650)*(T650))+(LTP3!$D$6)*((S650)*(R650)-(P650)*(T650)))/W650,0)</f>
        <v/>
      </c>
      <c r="AA650">
        <f>LTP3!$D$7-X650*LTP3!$D$6-Y650*U650-Z650*V650</f>
        <v/>
      </c>
      <c r="AB650">
        <f>IF(AND(F650,ABS(W650)&gt;1E-12,Y650&gt;0,Z650&gt;0),AA650,1E+300)</f>
        <v/>
      </c>
    </row>
    <row r="651">
      <c r="A651">
        <f>$B$3+$B$5*10</f>
        <v/>
      </c>
      <c r="B651">
        <f>$B$3+$B$5*29</f>
        <v/>
      </c>
      <c r="C651">
        <f>SUMPRODUCT(Calc!$K$3:$K$22*(Calc!$G$3:$G$22&lt;=A651))</f>
        <v/>
      </c>
      <c r="D651">
        <f>SUMPRODUCT(Calc!$K$3:$K$22*(Calc!$G$3:$G$22&gt;A651)*(Calc!$G$3:$G$22&lt;B651))</f>
        <v/>
      </c>
      <c r="E651">
        <f>SUMPRODUCT(Calc!$K$3:$K$22*(Calc!$G$3:$G$22&gt;=B651))</f>
        <v/>
      </c>
      <c r="F651">
        <f>AND(k_n&gt;=5,B651&gt;A651+1E-9,C651&gt;=2,D651&gt;=1,E651&gt;=2)</f>
        <v/>
      </c>
      <c r="G651">
        <f>SUMPRODUCT(Calc!$K$3:$K$22*(Calc!$G$3:$G$22&gt;A651)*(Calc!$G$3:$G$22-A651))</f>
        <v/>
      </c>
      <c r="H651">
        <f>SUMPRODUCT(Calc!$K$3:$K$22*(Calc!$G$3:$G$22&gt;B651)*(Calc!$G$3:$G$22-B651))</f>
        <v/>
      </c>
      <c r="I651">
        <f>SUMPRODUCT(Calc!$K$3:$K$22*(Calc!$G$3:$G$22&gt;A651)*(Calc!$G$3:$G$22-A651)^2)</f>
        <v/>
      </c>
      <c r="J651">
        <f>SUMPRODUCT(Calc!$K$3:$K$22*(Calc!$G$3:$G$22&gt;B651)*(Calc!$G$3:$G$22-B651)^2)</f>
        <v/>
      </c>
      <c r="K651">
        <f>SUMPRODUCT(Calc!$K$3:$K$22*(Calc!$G$3:$G$22&gt;A651)*(Calc!$G$3:$G$22-A651)*(Calc!$G$3:$G$22&gt;B651)*(Calc!$G$3:$G$22-B651))</f>
        <v/>
      </c>
      <c r="L651">
        <f>SUMPRODUCT(Calc!$K$3:$K$22*(Calc!$G$3:$G$22&gt;A651)*(Calc!$G$3:$G$22-A651)*Calc!$G$3:$G$22)</f>
        <v/>
      </c>
      <c r="M651">
        <f>SUMPRODUCT(Calc!$K$3:$K$22*(Calc!$G$3:$G$22&gt;B651)*(Calc!$G$3:$G$22-B651)*Calc!$G$3:$G$22)</f>
        <v/>
      </c>
      <c r="N651">
        <f>SUMPRODUCT(Calc!$K$3:$K$22*(Calc!$G$3:$G$22&gt;A651)*(Calc!$G$3:$G$22-A651)*Calc!$I$3:$I$22)</f>
        <v/>
      </c>
      <c r="O651">
        <f>SUMPRODUCT(Calc!$K$3:$K$22*(Calc!$G$3:$G$22&gt;B651)*(Calc!$G$3:$G$22-B651)*Calc!$I$3:$I$22)</f>
        <v/>
      </c>
      <c r="P651">
        <f>I651-G651^2/k_n</f>
        <v/>
      </c>
      <c r="Q651">
        <f>J651-H651^2/k_n</f>
        <v/>
      </c>
      <c r="R651">
        <f>K651-G651*H651/k_n</f>
        <v/>
      </c>
      <c r="S651">
        <f>L651-LTP3!$D$3*G651/k_n</f>
        <v/>
      </c>
      <c r="T651">
        <f>M651-LTP3!$D$3*H651/k_n</f>
        <v/>
      </c>
      <c r="U651">
        <f>N651-G651*LTP3!$D$4/k_n</f>
        <v/>
      </c>
      <c r="V651">
        <f>O651-H651*LTP3!$D$4/k_n</f>
        <v/>
      </c>
      <c r="W651">
        <f>((LTP3!$D$5)*((P651)*(Q651)-(R651)*(R651))-(S651)*((S651)*(Q651)-(R651)*(T651))+(T651)*((S651)*(R651)-(P651)*(T651)))</f>
        <v/>
      </c>
      <c r="X651">
        <f>IF(ABS(W651)&gt;1E-12,((LTP3!$D$6)*((P651)*(Q651)-(R651)*(R651))-(S651)*((U651)*(Q651)-(R651)*(V651))+(T651)*((U651)*(R651)-(P651)*(V651)))/W651,0)</f>
        <v/>
      </c>
      <c r="Y651">
        <f>IF(ABS(W651)&gt;1E-12,((LTP3!$D$5)*((U651)*(Q651)-(R651)*(V651))-(LTP3!$D$6)*((S651)*(Q651)-(R651)*(T651))+(T651)*((S651)*(V651)-(U651)*(T651)))/W651,0)</f>
        <v/>
      </c>
      <c r="Z651">
        <f>IF(ABS(W651)&gt;1E-12,((LTP3!$D$5)*((P651)*(V651)-(U651)*(R651))-(S651)*((S651)*(V651)-(U651)*(T651))+(LTP3!$D$6)*((S651)*(R651)-(P651)*(T651)))/W651,0)</f>
        <v/>
      </c>
      <c r="AA651">
        <f>LTP3!$D$7-X651*LTP3!$D$6-Y651*U651-Z651*V651</f>
        <v/>
      </c>
      <c r="AB651">
        <f>IF(AND(F651,ABS(W651)&gt;1E-12,Y651&gt;0,Z651&gt;0),AA651,1E+300)</f>
        <v/>
      </c>
    </row>
    <row r="652">
      <c r="A652">
        <f>$B$3+$B$5*10</f>
        <v/>
      </c>
      <c r="B652">
        <f>$B$3+$B$5*30</f>
        <v/>
      </c>
      <c r="C652">
        <f>SUMPRODUCT(Calc!$K$3:$K$22*(Calc!$G$3:$G$22&lt;=A652))</f>
        <v/>
      </c>
      <c r="D652">
        <f>SUMPRODUCT(Calc!$K$3:$K$22*(Calc!$G$3:$G$22&gt;A652)*(Calc!$G$3:$G$22&lt;B652))</f>
        <v/>
      </c>
      <c r="E652">
        <f>SUMPRODUCT(Calc!$K$3:$K$22*(Calc!$G$3:$G$22&gt;=B652))</f>
        <v/>
      </c>
      <c r="F652">
        <f>AND(k_n&gt;=5,B652&gt;A652+1E-9,C652&gt;=2,D652&gt;=1,E652&gt;=2)</f>
        <v/>
      </c>
      <c r="G652">
        <f>SUMPRODUCT(Calc!$K$3:$K$22*(Calc!$G$3:$G$22&gt;A652)*(Calc!$G$3:$G$22-A652))</f>
        <v/>
      </c>
      <c r="H652">
        <f>SUMPRODUCT(Calc!$K$3:$K$22*(Calc!$G$3:$G$22&gt;B652)*(Calc!$G$3:$G$22-B652))</f>
        <v/>
      </c>
      <c r="I652">
        <f>SUMPRODUCT(Calc!$K$3:$K$22*(Calc!$G$3:$G$22&gt;A652)*(Calc!$G$3:$G$22-A652)^2)</f>
        <v/>
      </c>
      <c r="J652">
        <f>SUMPRODUCT(Calc!$K$3:$K$22*(Calc!$G$3:$G$22&gt;B652)*(Calc!$G$3:$G$22-B652)^2)</f>
        <v/>
      </c>
      <c r="K652">
        <f>SUMPRODUCT(Calc!$K$3:$K$22*(Calc!$G$3:$G$22&gt;A652)*(Calc!$G$3:$G$22-A652)*(Calc!$G$3:$G$22&gt;B652)*(Calc!$G$3:$G$22-B652))</f>
        <v/>
      </c>
      <c r="L652">
        <f>SUMPRODUCT(Calc!$K$3:$K$22*(Calc!$G$3:$G$22&gt;A652)*(Calc!$G$3:$G$22-A652)*Calc!$G$3:$G$22)</f>
        <v/>
      </c>
      <c r="M652">
        <f>SUMPRODUCT(Calc!$K$3:$K$22*(Calc!$G$3:$G$22&gt;B652)*(Calc!$G$3:$G$22-B652)*Calc!$G$3:$G$22)</f>
        <v/>
      </c>
      <c r="N652">
        <f>SUMPRODUCT(Calc!$K$3:$K$22*(Calc!$G$3:$G$22&gt;A652)*(Calc!$G$3:$G$22-A652)*Calc!$I$3:$I$22)</f>
        <v/>
      </c>
      <c r="O652">
        <f>SUMPRODUCT(Calc!$K$3:$K$22*(Calc!$G$3:$G$22&gt;B652)*(Calc!$G$3:$G$22-B652)*Calc!$I$3:$I$22)</f>
        <v/>
      </c>
      <c r="P652">
        <f>I652-G652^2/k_n</f>
        <v/>
      </c>
      <c r="Q652">
        <f>J652-H652^2/k_n</f>
        <v/>
      </c>
      <c r="R652">
        <f>K652-G652*H652/k_n</f>
        <v/>
      </c>
      <c r="S652">
        <f>L652-LTP3!$D$3*G652/k_n</f>
        <v/>
      </c>
      <c r="T652">
        <f>M652-LTP3!$D$3*H652/k_n</f>
        <v/>
      </c>
      <c r="U652">
        <f>N652-G652*LTP3!$D$4/k_n</f>
        <v/>
      </c>
      <c r="V652">
        <f>O652-H652*LTP3!$D$4/k_n</f>
        <v/>
      </c>
      <c r="W652">
        <f>((LTP3!$D$5)*((P652)*(Q652)-(R652)*(R652))-(S652)*((S652)*(Q652)-(R652)*(T652))+(T652)*((S652)*(R652)-(P652)*(T652)))</f>
        <v/>
      </c>
      <c r="X652">
        <f>IF(ABS(W652)&gt;1E-12,((LTP3!$D$6)*((P652)*(Q652)-(R652)*(R652))-(S652)*((U652)*(Q652)-(R652)*(V652))+(T652)*((U652)*(R652)-(P652)*(V652)))/W652,0)</f>
        <v/>
      </c>
      <c r="Y652">
        <f>IF(ABS(W652)&gt;1E-12,((LTP3!$D$5)*((U652)*(Q652)-(R652)*(V652))-(LTP3!$D$6)*((S652)*(Q652)-(R652)*(T652))+(T652)*((S652)*(V652)-(U652)*(T652)))/W652,0)</f>
        <v/>
      </c>
      <c r="Z652">
        <f>IF(ABS(W652)&gt;1E-12,((LTP3!$D$5)*((P652)*(V652)-(U652)*(R652))-(S652)*((S652)*(V652)-(U652)*(T652))+(LTP3!$D$6)*((S652)*(R652)-(P652)*(T652)))/W652,0)</f>
        <v/>
      </c>
      <c r="AA652">
        <f>LTP3!$D$7-X652*LTP3!$D$6-Y652*U652-Z652*V652</f>
        <v/>
      </c>
      <c r="AB652">
        <f>IF(AND(F652,ABS(W652)&gt;1E-12,Y652&gt;0,Z652&gt;0),AA652,1E+300)</f>
        <v/>
      </c>
    </row>
    <row r="653">
      <c r="A653">
        <f>$B$3+$B$5*10</f>
        <v/>
      </c>
      <c r="B653">
        <f>$B$3+$B$5*31</f>
        <v/>
      </c>
      <c r="C653">
        <f>SUMPRODUCT(Calc!$K$3:$K$22*(Calc!$G$3:$G$22&lt;=A653))</f>
        <v/>
      </c>
      <c r="D653">
        <f>SUMPRODUCT(Calc!$K$3:$K$22*(Calc!$G$3:$G$22&gt;A653)*(Calc!$G$3:$G$22&lt;B653))</f>
        <v/>
      </c>
      <c r="E653">
        <f>SUMPRODUCT(Calc!$K$3:$K$22*(Calc!$G$3:$G$22&gt;=B653))</f>
        <v/>
      </c>
      <c r="F653">
        <f>AND(k_n&gt;=5,B653&gt;A653+1E-9,C653&gt;=2,D653&gt;=1,E653&gt;=2)</f>
        <v/>
      </c>
      <c r="G653">
        <f>SUMPRODUCT(Calc!$K$3:$K$22*(Calc!$G$3:$G$22&gt;A653)*(Calc!$G$3:$G$22-A653))</f>
        <v/>
      </c>
      <c r="H653">
        <f>SUMPRODUCT(Calc!$K$3:$K$22*(Calc!$G$3:$G$22&gt;B653)*(Calc!$G$3:$G$22-B653))</f>
        <v/>
      </c>
      <c r="I653">
        <f>SUMPRODUCT(Calc!$K$3:$K$22*(Calc!$G$3:$G$22&gt;A653)*(Calc!$G$3:$G$22-A653)^2)</f>
        <v/>
      </c>
      <c r="J653">
        <f>SUMPRODUCT(Calc!$K$3:$K$22*(Calc!$G$3:$G$22&gt;B653)*(Calc!$G$3:$G$22-B653)^2)</f>
        <v/>
      </c>
      <c r="K653">
        <f>SUMPRODUCT(Calc!$K$3:$K$22*(Calc!$G$3:$G$22&gt;A653)*(Calc!$G$3:$G$22-A653)*(Calc!$G$3:$G$22&gt;B653)*(Calc!$G$3:$G$22-B653))</f>
        <v/>
      </c>
      <c r="L653">
        <f>SUMPRODUCT(Calc!$K$3:$K$22*(Calc!$G$3:$G$22&gt;A653)*(Calc!$G$3:$G$22-A653)*Calc!$G$3:$G$22)</f>
        <v/>
      </c>
      <c r="M653">
        <f>SUMPRODUCT(Calc!$K$3:$K$22*(Calc!$G$3:$G$22&gt;B653)*(Calc!$G$3:$G$22-B653)*Calc!$G$3:$G$22)</f>
        <v/>
      </c>
      <c r="N653">
        <f>SUMPRODUCT(Calc!$K$3:$K$22*(Calc!$G$3:$G$22&gt;A653)*(Calc!$G$3:$G$22-A653)*Calc!$I$3:$I$22)</f>
        <v/>
      </c>
      <c r="O653">
        <f>SUMPRODUCT(Calc!$K$3:$K$22*(Calc!$G$3:$G$22&gt;B653)*(Calc!$G$3:$G$22-B653)*Calc!$I$3:$I$22)</f>
        <v/>
      </c>
      <c r="P653">
        <f>I653-G653^2/k_n</f>
        <v/>
      </c>
      <c r="Q653">
        <f>J653-H653^2/k_n</f>
        <v/>
      </c>
      <c r="R653">
        <f>K653-G653*H653/k_n</f>
        <v/>
      </c>
      <c r="S653">
        <f>L653-LTP3!$D$3*G653/k_n</f>
        <v/>
      </c>
      <c r="T653">
        <f>M653-LTP3!$D$3*H653/k_n</f>
        <v/>
      </c>
      <c r="U653">
        <f>N653-G653*LTP3!$D$4/k_n</f>
        <v/>
      </c>
      <c r="V653">
        <f>O653-H653*LTP3!$D$4/k_n</f>
        <v/>
      </c>
      <c r="W653">
        <f>((LTP3!$D$5)*((P653)*(Q653)-(R653)*(R653))-(S653)*((S653)*(Q653)-(R653)*(T653))+(T653)*((S653)*(R653)-(P653)*(T653)))</f>
        <v/>
      </c>
      <c r="X653">
        <f>IF(ABS(W653)&gt;1E-12,((LTP3!$D$6)*((P653)*(Q653)-(R653)*(R653))-(S653)*((U653)*(Q653)-(R653)*(V653))+(T653)*((U653)*(R653)-(P653)*(V653)))/W653,0)</f>
        <v/>
      </c>
      <c r="Y653">
        <f>IF(ABS(W653)&gt;1E-12,((LTP3!$D$5)*((U653)*(Q653)-(R653)*(V653))-(LTP3!$D$6)*((S653)*(Q653)-(R653)*(T653))+(T653)*((S653)*(V653)-(U653)*(T653)))/W653,0)</f>
        <v/>
      </c>
      <c r="Z653">
        <f>IF(ABS(W653)&gt;1E-12,((LTP3!$D$5)*((P653)*(V653)-(U653)*(R653))-(S653)*((S653)*(V653)-(U653)*(T653))+(LTP3!$D$6)*((S653)*(R653)-(P653)*(T653)))/W653,0)</f>
        <v/>
      </c>
      <c r="AA653">
        <f>LTP3!$D$7-X653*LTP3!$D$6-Y653*U653-Z653*V653</f>
        <v/>
      </c>
      <c r="AB653">
        <f>IF(AND(F653,ABS(W653)&gt;1E-12,Y653&gt;0,Z653&gt;0),AA653,1E+300)</f>
        <v/>
      </c>
    </row>
    <row r="654">
      <c r="A654">
        <f>$B$3+$B$5*10</f>
        <v/>
      </c>
      <c r="B654">
        <f>$B$3+$B$5*32</f>
        <v/>
      </c>
      <c r="C654">
        <f>SUMPRODUCT(Calc!$K$3:$K$22*(Calc!$G$3:$G$22&lt;=A654))</f>
        <v/>
      </c>
      <c r="D654">
        <f>SUMPRODUCT(Calc!$K$3:$K$22*(Calc!$G$3:$G$22&gt;A654)*(Calc!$G$3:$G$22&lt;B654))</f>
        <v/>
      </c>
      <c r="E654">
        <f>SUMPRODUCT(Calc!$K$3:$K$22*(Calc!$G$3:$G$22&gt;=B654))</f>
        <v/>
      </c>
      <c r="F654">
        <f>AND(k_n&gt;=5,B654&gt;A654+1E-9,C654&gt;=2,D654&gt;=1,E654&gt;=2)</f>
        <v/>
      </c>
      <c r="G654">
        <f>SUMPRODUCT(Calc!$K$3:$K$22*(Calc!$G$3:$G$22&gt;A654)*(Calc!$G$3:$G$22-A654))</f>
        <v/>
      </c>
      <c r="H654">
        <f>SUMPRODUCT(Calc!$K$3:$K$22*(Calc!$G$3:$G$22&gt;B654)*(Calc!$G$3:$G$22-B654))</f>
        <v/>
      </c>
      <c r="I654">
        <f>SUMPRODUCT(Calc!$K$3:$K$22*(Calc!$G$3:$G$22&gt;A654)*(Calc!$G$3:$G$22-A654)^2)</f>
        <v/>
      </c>
      <c r="J654">
        <f>SUMPRODUCT(Calc!$K$3:$K$22*(Calc!$G$3:$G$22&gt;B654)*(Calc!$G$3:$G$22-B654)^2)</f>
        <v/>
      </c>
      <c r="K654">
        <f>SUMPRODUCT(Calc!$K$3:$K$22*(Calc!$G$3:$G$22&gt;A654)*(Calc!$G$3:$G$22-A654)*(Calc!$G$3:$G$22&gt;B654)*(Calc!$G$3:$G$22-B654))</f>
        <v/>
      </c>
      <c r="L654">
        <f>SUMPRODUCT(Calc!$K$3:$K$22*(Calc!$G$3:$G$22&gt;A654)*(Calc!$G$3:$G$22-A654)*Calc!$G$3:$G$22)</f>
        <v/>
      </c>
      <c r="M654">
        <f>SUMPRODUCT(Calc!$K$3:$K$22*(Calc!$G$3:$G$22&gt;B654)*(Calc!$G$3:$G$22-B654)*Calc!$G$3:$G$22)</f>
        <v/>
      </c>
      <c r="N654">
        <f>SUMPRODUCT(Calc!$K$3:$K$22*(Calc!$G$3:$G$22&gt;A654)*(Calc!$G$3:$G$22-A654)*Calc!$I$3:$I$22)</f>
        <v/>
      </c>
      <c r="O654">
        <f>SUMPRODUCT(Calc!$K$3:$K$22*(Calc!$G$3:$G$22&gt;B654)*(Calc!$G$3:$G$22-B654)*Calc!$I$3:$I$22)</f>
        <v/>
      </c>
      <c r="P654">
        <f>I654-G654^2/k_n</f>
        <v/>
      </c>
      <c r="Q654">
        <f>J654-H654^2/k_n</f>
        <v/>
      </c>
      <c r="R654">
        <f>K654-G654*H654/k_n</f>
        <v/>
      </c>
      <c r="S654">
        <f>L654-LTP3!$D$3*G654/k_n</f>
        <v/>
      </c>
      <c r="T654">
        <f>M654-LTP3!$D$3*H654/k_n</f>
        <v/>
      </c>
      <c r="U654">
        <f>N654-G654*LTP3!$D$4/k_n</f>
        <v/>
      </c>
      <c r="V654">
        <f>O654-H654*LTP3!$D$4/k_n</f>
        <v/>
      </c>
      <c r="W654">
        <f>((LTP3!$D$5)*((P654)*(Q654)-(R654)*(R654))-(S654)*((S654)*(Q654)-(R654)*(T654))+(T654)*((S654)*(R654)-(P654)*(T654)))</f>
        <v/>
      </c>
      <c r="X654">
        <f>IF(ABS(W654)&gt;1E-12,((LTP3!$D$6)*((P654)*(Q654)-(R654)*(R654))-(S654)*((U654)*(Q654)-(R654)*(V654))+(T654)*((U654)*(R654)-(P654)*(V654)))/W654,0)</f>
        <v/>
      </c>
      <c r="Y654">
        <f>IF(ABS(W654)&gt;1E-12,((LTP3!$D$5)*((U654)*(Q654)-(R654)*(V654))-(LTP3!$D$6)*((S654)*(Q654)-(R654)*(T654))+(T654)*((S654)*(V654)-(U654)*(T654)))/W654,0)</f>
        <v/>
      </c>
      <c r="Z654">
        <f>IF(ABS(W654)&gt;1E-12,((LTP3!$D$5)*((P654)*(V654)-(U654)*(R654))-(S654)*((S654)*(V654)-(U654)*(T654))+(LTP3!$D$6)*((S654)*(R654)-(P654)*(T654)))/W654,0)</f>
        <v/>
      </c>
      <c r="AA654">
        <f>LTP3!$D$7-X654*LTP3!$D$6-Y654*U654-Z654*V654</f>
        <v/>
      </c>
      <c r="AB654">
        <f>IF(AND(F654,ABS(W654)&gt;1E-12,Y654&gt;0,Z654&gt;0),AA654,1E+300)</f>
        <v/>
      </c>
    </row>
    <row r="655">
      <c r="A655">
        <f>$B$3+$B$5*10</f>
        <v/>
      </c>
      <c r="B655">
        <f>$B$3+$B$5*33</f>
        <v/>
      </c>
      <c r="C655">
        <f>SUMPRODUCT(Calc!$K$3:$K$22*(Calc!$G$3:$G$22&lt;=A655))</f>
        <v/>
      </c>
      <c r="D655">
        <f>SUMPRODUCT(Calc!$K$3:$K$22*(Calc!$G$3:$G$22&gt;A655)*(Calc!$G$3:$G$22&lt;B655))</f>
        <v/>
      </c>
      <c r="E655">
        <f>SUMPRODUCT(Calc!$K$3:$K$22*(Calc!$G$3:$G$22&gt;=B655))</f>
        <v/>
      </c>
      <c r="F655">
        <f>AND(k_n&gt;=5,B655&gt;A655+1E-9,C655&gt;=2,D655&gt;=1,E655&gt;=2)</f>
        <v/>
      </c>
      <c r="G655">
        <f>SUMPRODUCT(Calc!$K$3:$K$22*(Calc!$G$3:$G$22&gt;A655)*(Calc!$G$3:$G$22-A655))</f>
        <v/>
      </c>
      <c r="H655">
        <f>SUMPRODUCT(Calc!$K$3:$K$22*(Calc!$G$3:$G$22&gt;B655)*(Calc!$G$3:$G$22-B655))</f>
        <v/>
      </c>
      <c r="I655">
        <f>SUMPRODUCT(Calc!$K$3:$K$22*(Calc!$G$3:$G$22&gt;A655)*(Calc!$G$3:$G$22-A655)^2)</f>
        <v/>
      </c>
      <c r="J655">
        <f>SUMPRODUCT(Calc!$K$3:$K$22*(Calc!$G$3:$G$22&gt;B655)*(Calc!$G$3:$G$22-B655)^2)</f>
        <v/>
      </c>
      <c r="K655">
        <f>SUMPRODUCT(Calc!$K$3:$K$22*(Calc!$G$3:$G$22&gt;A655)*(Calc!$G$3:$G$22-A655)*(Calc!$G$3:$G$22&gt;B655)*(Calc!$G$3:$G$22-B655))</f>
        <v/>
      </c>
      <c r="L655">
        <f>SUMPRODUCT(Calc!$K$3:$K$22*(Calc!$G$3:$G$22&gt;A655)*(Calc!$G$3:$G$22-A655)*Calc!$G$3:$G$22)</f>
        <v/>
      </c>
      <c r="M655">
        <f>SUMPRODUCT(Calc!$K$3:$K$22*(Calc!$G$3:$G$22&gt;B655)*(Calc!$G$3:$G$22-B655)*Calc!$G$3:$G$22)</f>
        <v/>
      </c>
      <c r="N655">
        <f>SUMPRODUCT(Calc!$K$3:$K$22*(Calc!$G$3:$G$22&gt;A655)*(Calc!$G$3:$G$22-A655)*Calc!$I$3:$I$22)</f>
        <v/>
      </c>
      <c r="O655">
        <f>SUMPRODUCT(Calc!$K$3:$K$22*(Calc!$G$3:$G$22&gt;B655)*(Calc!$G$3:$G$22-B655)*Calc!$I$3:$I$22)</f>
        <v/>
      </c>
      <c r="P655">
        <f>I655-G655^2/k_n</f>
        <v/>
      </c>
      <c r="Q655">
        <f>J655-H655^2/k_n</f>
        <v/>
      </c>
      <c r="R655">
        <f>K655-G655*H655/k_n</f>
        <v/>
      </c>
      <c r="S655">
        <f>L655-LTP3!$D$3*G655/k_n</f>
        <v/>
      </c>
      <c r="T655">
        <f>M655-LTP3!$D$3*H655/k_n</f>
        <v/>
      </c>
      <c r="U655">
        <f>N655-G655*LTP3!$D$4/k_n</f>
        <v/>
      </c>
      <c r="V655">
        <f>O655-H655*LTP3!$D$4/k_n</f>
        <v/>
      </c>
      <c r="W655">
        <f>((LTP3!$D$5)*((P655)*(Q655)-(R655)*(R655))-(S655)*((S655)*(Q655)-(R655)*(T655))+(T655)*((S655)*(R655)-(P655)*(T655)))</f>
        <v/>
      </c>
      <c r="X655">
        <f>IF(ABS(W655)&gt;1E-12,((LTP3!$D$6)*((P655)*(Q655)-(R655)*(R655))-(S655)*((U655)*(Q655)-(R655)*(V655))+(T655)*((U655)*(R655)-(P655)*(V655)))/W655,0)</f>
        <v/>
      </c>
      <c r="Y655">
        <f>IF(ABS(W655)&gt;1E-12,((LTP3!$D$5)*((U655)*(Q655)-(R655)*(V655))-(LTP3!$D$6)*((S655)*(Q655)-(R655)*(T655))+(T655)*((S655)*(V655)-(U655)*(T655)))/W655,0)</f>
        <v/>
      </c>
      <c r="Z655">
        <f>IF(ABS(W655)&gt;1E-12,((LTP3!$D$5)*((P655)*(V655)-(U655)*(R655))-(S655)*((S655)*(V655)-(U655)*(T655))+(LTP3!$D$6)*((S655)*(R655)-(P655)*(T655)))/W655,0)</f>
        <v/>
      </c>
      <c r="AA655">
        <f>LTP3!$D$7-X655*LTP3!$D$6-Y655*U655-Z655*V655</f>
        <v/>
      </c>
      <c r="AB655">
        <f>IF(AND(F655,ABS(W655)&gt;1E-12,Y655&gt;0,Z655&gt;0),AA655,1E+300)</f>
        <v/>
      </c>
    </row>
    <row r="656">
      <c r="A656">
        <f>$B$3+$B$5*10</f>
        <v/>
      </c>
      <c r="B656">
        <f>$B$3+$B$5*34</f>
        <v/>
      </c>
      <c r="C656">
        <f>SUMPRODUCT(Calc!$K$3:$K$22*(Calc!$G$3:$G$22&lt;=A656))</f>
        <v/>
      </c>
      <c r="D656">
        <f>SUMPRODUCT(Calc!$K$3:$K$22*(Calc!$G$3:$G$22&gt;A656)*(Calc!$G$3:$G$22&lt;B656))</f>
        <v/>
      </c>
      <c r="E656">
        <f>SUMPRODUCT(Calc!$K$3:$K$22*(Calc!$G$3:$G$22&gt;=B656))</f>
        <v/>
      </c>
      <c r="F656">
        <f>AND(k_n&gt;=5,B656&gt;A656+1E-9,C656&gt;=2,D656&gt;=1,E656&gt;=2)</f>
        <v/>
      </c>
      <c r="G656">
        <f>SUMPRODUCT(Calc!$K$3:$K$22*(Calc!$G$3:$G$22&gt;A656)*(Calc!$G$3:$G$22-A656))</f>
        <v/>
      </c>
      <c r="H656">
        <f>SUMPRODUCT(Calc!$K$3:$K$22*(Calc!$G$3:$G$22&gt;B656)*(Calc!$G$3:$G$22-B656))</f>
        <v/>
      </c>
      <c r="I656">
        <f>SUMPRODUCT(Calc!$K$3:$K$22*(Calc!$G$3:$G$22&gt;A656)*(Calc!$G$3:$G$22-A656)^2)</f>
        <v/>
      </c>
      <c r="J656">
        <f>SUMPRODUCT(Calc!$K$3:$K$22*(Calc!$G$3:$G$22&gt;B656)*(Calc!$G$3:$G$22-B656)^2)</f>
        <v/>
      </c>
      <c r="K656">
        <f>SUMPRODUCT(Calc!$K$3:$K$22*(Calc!$G$3:$G$22&gt;A656)*(Calc!$G$3:$G$22-A656)*(Calc!$G$3:$G$22&gt;B656)*(Calc!$G$3:$G$22-B656))</f>
        <v/>
      </c>
      <c r="L656">
        <f>SUMPRODUCT(Calc!$K$3:$K$22*(Calc!$G$3:$G$22&gt;A656)*(Calc!$G$3:$G$22-A656)*Calc!$G$3:$G$22)</f>
        <v/>
      </c>
      <c r="M656">
        <f>SUMPRODUCT(Calc!$K$3:$K$22*(Calc!$G$3:$G$22&gt;B656)*(Calc!$G$3:$G$22-B656)*Calc!$G$3:$G$22)</f>
        <v/>
      </c>
      <c r="N656">
        <f>SUMPRODUCT(Calc!$K$3:$K$22*(Calc!$G$3:$G$22&gt;A656)*(Calc!$G$3:$G$22-A656)*Calc!$I$3:$I$22)</f>
        <v/>
      </c>
      <c r="O656">
        <f>SUMPRODUCT(Calc!$K$3:$K$22*(Calc!$G$3:$G$22&gt;B656)*(Calc!$G$3:$G$22-B656)*Calc!$I$3:$I$22)</f>
        <v/>
      </c>
      <c r="P656">
        <f>I656-G656^2/k_n</f>
        <v/>
      </c>
      <c r="Q656">
        <f>J656-H656^2/k_n</f>
        <v/>
      </c>
      <c r="R656">
        <f>K656-G656*H656/k_n</f>
        <v/>
      </c>
      <c r="S656">
        <f>L656-LTP3!$D$3*G656/k_n</f>
        <v/>
      </c>
      <c r="T656">
        <f>M656-LTP3!$D$3*H656/k_n</f>
        <v/>
      </c>
      <c r="U656">
        <f>N656-G656*LTP3!$D$4/k_n</f>
        <v/>
      </c>
      <c r="V656">
        <f>O656-H656*LTP3!$D$4/k_n</f>
        <v/>
      </c>
      <c r="W656">
        <f>((LTP3!$D$5)*((P656)*(Q656)-(R656)*(R656))-(S656)*((S656)*(Q656)-(R656)*(T656))+(T656)*((S656)*(R656)-(P656)*(T656)))</f>
        <v/>
      </c>
      <c r="X656">
        <f>IF(ABS(W656)&gt;1E-12,((LTP3!$D$6)*((P656)*(Q656)-(R656)*(R656))-(S656)*((U656)*(Q656)-(R656)*(V656))+(T656)*((U656)*(R656)-(P656)*(V656)))/W656,0)</f>
        <v/>
      </c>
      <c r="Y656">
        <f>IF(ABS(W656)&gt;1E-12,((LTP3!$D$5)*((U656)*(Q656)-(R656)*(V656))-(LTP3!$D$6)*((S656)*(Q656)-(R656)*(T656))+(T656)*((S656)*(V656)-(U656)*(T656)))/W656,0)</f>
        <v/>
      </c>
      <c r="Z656">
        <f>IF(ABS(W656)&gt;1E-12,((LTP3!$D$5)*((P656)*(V656)-(U656)*(R656))-(S656)*((S656)*(V656)-(U656)*(T656))+(LTP3!$D$6)*((S656)*(R656)-(P656)*(T656)))/W656,0)</f>
        <v/>
      </c>
      <c r="AA656">
        <f>LTP3!$D$7-X656*LTP3!$D$6-Y656*U656-Z656*V656</f>
        <v/>
      </c>
      <c r="AB656">
        <f>IF(AND(F656,ABS(W656)&gt;1E-12,Y656&gt;0,Z656&gt;0),AA656,1E+300)</f>
        <v/>
      </c>
    </row>
    <row r="657">
      <c r="A657">
        <f>$B$3+$B$5*10</f>
        <v/>
      </c>
      <c r="B657">
        <f>$B$3+$B$5*35</f>
        <v/>
      </c>
      <c r="C657">
        <f>SUMPRODUCT(Calc!$K$3:$K$22*(Calc!$G$3:$G$22&lt;=A657))</f>
        <v/>
      </c>
      <c r="D657">
        <f>SUMPRODUCT(Calc!$K$3:$K$22*(Calc!$G$3:$G$22&gt;A657)*(Calc!$G$3:$G$22&lt;B657))</f>
        <v/>
      </c>
      <c r="E657">
        <f>SUMPRODUCT(Calc!$K$3:$K$22*(Calc!$G$3:$G$22&gt;=B657))</f>
        <v/>
      </c>
      <c r="F657">
        <f>AND(k_n&gt;=5,B657&gt;A657+1E-9,C657&gt;=2,D657&gt;=1,E657&gt;=2)</f>
        <v/>
      </c>
      <c r="G657">
        <f>SUMPRODUCT(Calc!$K$3:$K$22*(Calc!$G$3:$G$22&gt;A657)*(Calc!$G$3:$G$22-A657))</f>
        <v/>
      </c>
      <c r="H657">
        <f>SUMPRODUCT(Calc!$K$3:$K$22*(Calc!$G$3:$G$22&gt;B657)*(Calc!$G$3:$G$22-B657))</f>
        <v/>
      </c>
      <c r="I657">
        <f>SUMPRODUCT(Calc!$K$3:$K$22*(Calc!$G$3:$G$22&gt;A657)*(Calc!$G$3:$G$22-A657)^2)</f>
        <v/>
      </c>
      <c r="J657">
        <f>SUMPRODUCT(Calc!$K$3:$K$22*(Calc!$G$3:$G$22&gt;B657)*(Calc!$G$3:$G$22-B657)^2)</f>
        <v/>
      </c>
      <c r="K657">
        <f>SUMPRODUCT(Calc!$K$3:$K$22*(Calc!$G$3:$G$22&gt;A657)*(Calc!$G$3:$G$22-A657)*(Calc!$G$3:$G$22&gt;B657)*(Calc!$G$3:$G$22-B657))</f>
        <v/>
      </c>
      <c r="L657">
        <f>SUMPRODUCT(Calc!$K$3:$K$22*(Calc!$G$3:$G$22&gt;A657)*(Calc!$G$3:$G$22-A657)*Calc!$G$3:$G$22)</f>
        <v/>
      </c>
      <c r="M657">
        <f>SUMPRODUCT(Calc!$K$3:$K$22*(Calc!$G$3:$G$22&gt;B657)*(Calc!$G$3:$G$22-B657)*Calc!$G$3:$G$22)</f>
        <v/>
      </c>
      <c r="N657">
        <f>SUMPRODUCT(Calc!$K$3:$K$22*(Calc!$G$3:$G$22&gt;A657)*(Calc!$G$3:$G$22-A657)*Calc!$I$3:$I$22)</f>
        <v/>
      </c>
      <c r="O657">
        <f>SUMPRODUCT(Calc!$K$3:$K$22*(Calc!$G$3:$G$22&gt;B657)*(Calc!$G$3:$G$22-B657)*Calc!$I$3:$I$22)</f>
        <v/>
      </c>
      <c r="P657">
        <f>I657-G657^2/k_n</f>
        <v/>
      </c>
      <c r="Q657">
        <f>J657-H657^2/k_n</f>
        <v/>
      </c>
      <c r="R657">
        <f>K657-G657*H657/k_n</f>
        <v/>
      </c>
      <c r="S657">
        <f>L657-LTP3!$D$3*G657/k_n</f>
        <v/>
      </c>
      <c r="T657">
        <f>M657-LTP3!$D$3*H657/k_n</f>
        <v/>
      </c>
      <c r="U657">
        <f>N657-G657*LTP3!$D$4/k_n</f>
        <v/>
      </c>
      <c r="V657">
        <f>O657-H657*LTP3!$D$4/k_n</f>
        <v/>
      </c>
      <c r="W657">
        <f>((LTP3!$D$5)*((P657)*(Q657)-(R657)*(R657))-(S657)*((S657)*(Q657)-(R657)*(T657))+(T657)*((S657)*(R657)-(P657)*(T657)))</f>
        <v/>
      </c>
      <c r="X657">
        <f>IF(ABS(W657)&gt;1E-12,((LTP3!$D$6)*((P657)*(Q657)-(R657)*(R657))-(S657)*((U657)*(Q657)-(R657)*(V657))+(T657)*((U657)*(R657)-(P657)*(V657)))/W657,0)</f>
        <v/>
      </c>
      <c r="Y657">
        <f>IF(ABS(W657)&gt;1E-12,((LTP3!$D$5)*((U657)*(Q657)-(R657)*(V657))-(LTP3!$D$6)*((S657)*(Q657)-(R657)*(T657))+(T657)*((S657)*(V657)-(U657)*(T657)))/W657,0)</f>
        <v/>
      </c>
      <c r="Z657">
        <f>IF(ABS(W657)&gt;1E-12,((LTP3!$D$5)*((P657)*(V657)-(U657)*(R657))-(S657)*((S657)*(V657)-(U657)*(T657))+(LTP3!$D$6)*((S657)*(R657)-(P657)*(T657)))/W657,0)</f>
        <v/>
      </c>
      <c r="AA657">
        <f>LTP3!$D$7-X657*LTP3!$D$6-Y657*U657-Z657*V657</f>
        <v/>
      </c>
      <c r="AB657">
        <f>IF(AND(F657,ABS(W657)&gt;1E-12,Y657&gt;0,Z657&gt;0),AA657,1E+300)</f>
        <v/>
      </c>
    </row>
    <row r="658">
      <c r="A658">
        <f>$B$3+$B$5*10</f>
        <v/>
      </c>
      <c r="B658">
        <f>$B$3+$B$5*36</f>
        <v/>
      </c>
      <c r="C658">
        <f>SUMPRODUCT(Calc!$K$3:$K$22*(Calc!$G$3:$G$22&lt;=A658))</f>
        <v/>
      </c>
      <c r="D658">
        <f>SUMPRODUCT(Calc!$K$3:$K$22*(Calc!$G$3:$G$22&gt;A658)*(Calc!$G$3:$G$22&lt;B658))</f>
        <v/>
      </c>
      <c r="E658">
        <f>SUMPRODUCT(Calc!$K$3:$K$22*(Calc!$G$3:$G$22&gt;=B658))</f>
        <v/>
      </c>
      <c r="F658">
        <f>AND(k_n&gt;=5,B658&gt;A658+1E-9,C658&gt;=2,D658&gt;=1,E658&gt;=2)</f>
        <v/>
      </c>
      <c r="G658">
        <f>SUMPRODUCT(Calc!$K$3:$K$22*(Calc!$G$3:$G$22&gt;A658)*(Calc!$G$3:$G$22-A658))</f>
        <v/>
      </c>
      <c r="H658">
        <f>SUMPRODUCT(Calc!$K$3:$K$22*(Calc!$G$3:$G$22&gt;B658)*(Calc!$G$3:$G$22-B658))</f>
        <v/>
      </c>
      <c r="I658">
        <f>SUMPRODUCT(Calc!$K$3:$K$22*(Calc!$G$3:$G$22&gt;A658)*(Calc!$G$3:$G$22-A658)^2)</f>
        <v/>
      </c>
      <c r="J658">
        <f>SUMPRODUCT(Calc!$K$3:$K$22*(Calc!$G$3:$G$22&gt;B658)*(Calc!$G$3:$G$22-B658)^2)</f>
        <v/>
      </c>
      <c r="K658">
        <f>SUMPRODUCT(Calc!$K$3:$K$22*(Calc!$G$3:$G$22&gt;A658)*(Calc!$G$3:$G$22-A658)*(Calc!$G$3:$G$22&gt;B658)*(Calc!$G$3:$G$22-B658))</f>
        <v/>
      </c>
      <c r="L658">
        <f>SUMPRODUCT(Calc!$K$3:$K$22*(Calc!$G$3:$G$22&gt;A658)*(Calc!$G$3:$G$22-A658)*Calc!$G$3:$G$22)</f>
        <v/>
      </c>
      <c r="M658">
        <f>SUMPRODUCT(Calc!$K$3:$K$22*(Calc!$G$3:$G$22&gt;B658)*(Calc!$G$3:$G$22-B658)*Calc!$G$3:$G$22)</f>
        <v/>
      </c>
      <c r="N658">
        <f>SUMPRODUCT(Calc!$K$3:$K$22*(Calc!$G$3:$G$22&gt;A658)*(Calc!$G$3:$G$22-A658)*Calc!$I$3:$I$22)</f>
        <v/>
      </c>
      <c r="O658">
        <f>SUMPRODUCT(Calc!$K$3:$K$22*(Calc!$G$3:$G$22&gt;B658)*(Calc!$G$3:$G$22-B658)*Calc!$I$3:$I$22)</f>
        <v/>
      </c>
      <c r="P658">
        <f>I658-G658^2/k_n</f>
        <v/>
      </c>
      <c r="Q658">
        <f>J658-H658^2/k_n</f>
        <v/>
      </c>
      <c r="R658">
        <f>K658-G658*H658/k_n</f>
        <v/>
      </c>
      <c r="S658">
        <f>L658-LTP3!$D$3*G658/k_n</f>
        <v/>
      </c>
      <c r="T658">
        <f>M658-LTP3!$D$3*H658/k_n</f>
        <v/>
      </c>
      <c r="U658">
        <f>N658-G658*LTP3!$D$4/k_n</f>
        <v/>
      </c>
      <c r="V658">
        <f>O658-H658*LTP3!$D$4/k_n</f>
        <v/>
      </c>
      <c r="W658">
        <f>((LTP3!$D$5)*((P658)*(Q658)-(R658)*(R658))-(S658)*((S658)*(Q658)-(R658)*(T658))+(T658)*((S658)*(R658)-(P658)*(T658)))</f>
        <v/>
      </c>
      <c r="X658">
        <f>IF(ABS(W658)&gt;1E-12,((LTP3!$D$6)*((P658)*(Q658)-(R658)*(R658))-(S658)*((U658)*(Q658)-(R658)*(V658))+(T658)*((U658)*(R658)-(P658)*(V658)))/W658,0)</f>
        <v/>
      </c>
      <c r="Y658">
        <f>IF(ABS(W658)&gt;1E-12,((LTP3!$D$5)*((U658)*(Q658)-(R658)*(V658))-(LTP3!$D$6)*((S658)*(Q658)-(R658)*(T658))+(T658)*((S658)*(V658)-(U658)*(T658)))/W658,0)</f>
        <v/>
      </c>
      <c r="Z658">
        <f>IF(ABS(W658)&gt;1E-12,((LTP3!$D$5)*((P658)*(V658)-(U658)*(R658))-(S658)*((S658)*(V658)-(U658)*(T658))+(LTP3!$D$6)*((S658)*(R658)-(P658)*(T658)))/W658,0)</f>
        <v/>
      </c>
      <c r="AA658">
        <f>LTP3!$D$7-X658*LTP3!$D$6-Y658*U658-Z658*V658</f>
        <v/>
      </c>
      <c r="AB658">
        <f>IF(AND(F658,ABS(W658)&gt;1E-12,Y658&gt;0,Z658&gt;0),AA658,1E+300)</f>
        <v/>
      </c>
    </row>
    <row r="659">
      <c r="A659">
        <f>$B$3+$B$5*10</f>
        <v/>
      </c>
      <c r="B659">
        <f>$B$3+$B$5*37</f>
        <v/>
      </c>
      <c r="C659">
        <f>SUMPRODUCT(Calc!$K$3:$K$22*(Calc!$G$3:$G$22&lt;=A659))</f>
        <v/>
      </c>
      <c r="D659">
        <f>SUMPRODUCT(Calc!$K$3:$K$22*(Calc!$G$3:$G$22&gt;A659)*(Calc!$G$3:$G$22&lt;B659))</f>
        <v/>
      </c>
      <c r="E659">
        <f>SUMPRODUCT(Calc!$K$3:$K$22*(Calc!$G$3:$G$22&gt;=B659))</f>
        <v/>
      </c>
      <c r="F659">
        <f>AND(k_n&gt;=5,B659&gt;A659+1E-9,C659&gt;=2,D659&gt;=1,E659&gt;=2)</f>
        <v/>
      </c>
      <c r="G659">
        <f>SUMPRODUCT(Calc!$K$3:$K$22*(Calc!$G$3:$G$22&gt;A659)*(Calc!$G$3:$G$22-A659))</f>
        <v/>
      </c>
      <c r="H659">
        <f>SUMPRODUCT(Calc!$K$3:$K$22*(Calc!$G$3:$G$22&gt;B659)*(Calc!$G$3:$G$22-B659))</f>
        <v/>
      </c>
      <c r="I659">
        <f>SUMPRODUCT(Calc!$K$3:$K$22*(Calc!$G$3:$G$22&gt;A659)*(Calc!$G$3:$G$22-A659)^2)</f>
        <v/>
      </c>
      <c r="J659">
        <f>SUMPRODUCT(Calc!$K$3:$K$22*(Calc!$G$3:$G$22&gt;B659)*(Calc!$G$3:$G$22-B659)^2)</f>
        <v/>
      </c>
      <c r="K659">
        <f>SUMPRODUCT(Calc!$K$3:$K$22*(Calc!$G$3:$G$22&gt;A659)*(Calc!$G$3:$G$22-A659)*(Calc!$G$3:$G$22&gt;B659)*(Calc!$G$3:$G$22-B659))</f>
        <v/>
      </c>
      <c r="L659">
        <f>SUMPRODUCT(Calc!$K$3:$K$22*(Calc!$G$3:$G$22&gt;A659)*(Calc!$G$3:$G$22-A659)*Calc!$G$3:$G$22)</f>
        <v/>
      </c>
      <c r="M659">
        <f>SUMPRODUCT(Calc!$K$3:$K$22*(Calc!$G$3:$G$22&gt;B659)*(Calc!$G$3:$G$22-B659)*Calc!$G$3:$G$22)</f>
        <v/>
      </c>
      <c r="N659">
        <f>SUMPRODUCT(Calc!$K$3:$K$22*(Calc!$G$3:$G$22&gt;A659)*(Calc!$G$3:$G$22-A659)*Calc!$I$3:$I$22)</f>
        <v/>
      </c>
      <c r="O659">
        <f>SUMPRODUCT(Calc!$K$3:$K$22*(Calc!$G$3:$G$22&gt;B659)*(Calc!$G$3:$G$22-B659)*Calc!$I$3:$I$22)</f>
        <v/>
      </c>
      <c r="P659">
        <f>I659-G659^2/k_n</f>
        <v/>
      </c>
      <c r="Q659">
        <f>J659-H659^2/k_n</f>
        <v/>
      </c>
      <c r="R659">
        <f>K659-G659*H659/k_n</f>
        <v/>
      </c>
      <c r="S659">
        <f>L659-LTP3!$D$3*G659/k_n</f>
        <v/>
      </c>
      <c r="T659">
        <f>M659-LTP3!$D$3*H659/k_n</f>
        <v/>
      </c>
      <c r="U659">
        <f>N659-G659*LTP3!$D$4/k_n</f>
        <v/>
      </c>
      <c r="V659">
        <f>O659-H659*LTP3!$D$4/k_n</f>
        <v/>
      </c>
      <c r="W659">
        <f>((LTP3!$D$5)*((P659)*(Q659)-(R659)*(R659))-(S659)*((S659)*(Q659)-(R659)*(T659))+(T659)*((S659)*(R659)-(P659)*(T659)))</f>
        <v/>
      </c>
      <c r="X659">
        <f>IF(ABS(W659)&gt;1E-12,((LTP3!$D$6)*((P659)*(Q659)-(R659)*(R659))-(S659)*((U659)*(Q659)-(R659)*(V659))+(T659)*((U659)*(R659)-(P659)*(V659)))/W659,0)</f>
        <v/>
      </c>
      <c r="Y659">
        <f>IF(ABS(W659)&gt;1E-12,((LTP3!$D$5)*((U659)*(Q659)-(R659)*(V659))-(LTP3!$D$6)*((S659)*(Q659)-(R659)*(T659))+(T659)*((S659)*(V659)-(U659)*(T659)))/W659,0)</f>
        <v/>
      </c>
      <c r="Z659">
        <f>IF(ABS(W659)&gt;1E-12,((LTP3!$D$5)*((P659)*(V659)-(U659)*(R659))-(S659)*((S659)*(V659)-(U659)*(T659))+(LTP3!$D$6)*((S659)*(R659)-(P659)*(T659)))/W659,0)</f>
        <v/>
      </c>
      <c r="AA659">
        <f>LTP3!$D$7-X659*LTP3!$D$6-Y659*U659-Z659*V659</f>
        <v/>
      </c>
      <c r="AB659">
        <f>IF(AND(F659,ABS(W659)&gt;1E-12,Y659&gt;0,Z659&gt;0),AA659,1E+300)</f>
        <v/>
      </c>
    </row>
    <row r="660">
      <c r="A660">
        <f>$B$3+$B$5*10</f>
        <v/>
      </c>
      <c r="B660">
        <f>$B$3+$B$5*38</f>
        <v/>
      </c>
      <c r="C660">
        <f>SUMPRODUCT(Calc!$K$3:$K$22*(Calc!$G$3:$G$22&lt;=A660))</f>
        <v/>
      </c>
      <c r="D660">
        <f>SUMPRODUCT(Calc!$K$3:$K$22*(Calc!$G$3:$G$22&gt;A660)*(Calc!$G$3:$G$22&lt;B660))</f>
        <v/>
      </c>
      <c r="E660">
        <f>SUMPRODUCT(Calc!$K$3:$K$22*(Calc!$G$3:$G$22&gt;=B660))</f>
        <v/>
      </c>
      <c r="F660">
        <f>AND(k_n&gt;=5,B660&gt;A660+1E-9,C660&gt;=2,D660&gt;=1,E660&gt;=2)</f>
        <v/>
      </c>
      <c r="G660">
        <f>SUMPRODUCT(Calc!$K$3:$K$22*(Calc!$G$3:$G$22&gt;A660)*(Calc!$G$3:$G$22-A660))</f>
        <v/>
      </c>
      <c r="H660">
        <f>SUMPRODUCT(Calc!$K$3:$K$22*(Calc!$G$3:$G$22&gt;B660)*(Calc!$G$3:$G$22-B660))</f>
        <v/>
      </c>
      <c r="I660">
        <f>SUMPRODUCT(Calc!$K$3:$K$22*(Calc!$G$3:$G$22&gt;A660)*(Calc!$G$3:$G$22-A660)^2)</f>
        <v/>
      </c>
      <c r="J660">
        <f>SUMPRODUCT(Calc!$K$3:$K$22*(Calc!$G$3:$G$22&gt;B660)*(Calc!$G$3:$G$22-B660)^2)</f>
        <v/>
      </c>
      <c r="K660">
        <f>SUMPRODUCT(Calc!$K$3:$K$22*(Calc!$G$3:$G$22&gt;A660)*(Calc!$G$3:$G$22-A660)*(Calc!$G$3:$G$22&gt;B660)*(Calc!$G$3:$G$22-B660))</f>
        <v/>
      </c>
      <c r="L660">
        <f>SUMPRODUCT(Calc!$K$3:$K$22*(Calc!$G$3:$G$22&gt;A660)*(Calc!$G$3:$G$22-A660)*Calc!$G$3:$G$22)</f>
        <v/>
      </c>
      <c r="M660">
        <f>SUMPRODUCT(Calc!$K$3:$K$22*(Calc!$G$3:$G$22&gt;B660)*(Calc!$G$3:$G$22-B660)*Calc!$G$3:$G$22)</f>
        <v/>
      </c>
      <c r="N660">
        <f>SUMPRODUCT(Calc!$K$3:$K$22*(Calc!$G$3:$G$22&gt;A660)*(Calc!$G$3:$G$22-A660)*Calc!$I$3:$I$22)</f>
        <v/>
      </c>
      <c r="O660">
        <f>SUMPRODUCT(Calc!$K$3:$K$22*(Calc!$G$3:$G$22&gt;B660)*(Calc!$G$3:$G$22-B660)*Calc!$I$3:$I$22)</f>
        <v/>
      </c>
      <c r="P660">
        <f>I660-G660^2/k_n</f>
        <v/>
      </c>
      <c r="Q660">
        <f>J660-H660^2/k_n</f>
        <v/>
      </c>
      <c r="R660">
        <f>K660-G660*H660/k_n</f>
        <v/>
      </c>
      <c r="S660">
        <f>L660-LTP3!$D$3*G660/k_n</f>
        <v/>
      </c>
      <c r="T660">
        <f>M660-LTP3!$D$3*H660/k_n</f>
        <v/>
      </c>
      <c r="U660">
        <f>N660-G660*LTP3!$D$4/k_n</f>
        <v/>
      </c>
      <c r="V660">
        <f>O660-H660*LTP3!$D$4/k_n</f>
        <v/>
      </c>
      <c r="W660">
        <f>((LTP3!$D$5)*((P660)*(Q660)-(R660)*(R660))-(S660)*((S660)*(Q660)-(R660)*(T660))+(T660)*((S660)*(R660)-(P660)*(T660)))</f>
        <v/>
      </c>
      <c r="X660">
        <f>IF(ABS(W660)&gt;1E-12,((LTP3!$D$6)*((P660)*(Q660)-(R660)*(R660))-(S660)*((U660)*(Q660)-(R660)*(V660))+(T660)*((U660)*(R660)-(P660)*(V660)))/W660,0)</f>
        <v/>
      </c>
      <c r="Y660">
        <f>IF(ABS(W660)&gt;1E-12,((LTP3!$D$5)*((U660)*(Q660)-(R660)*(V660))-(LTP3!$D$6)*((S660)*(Q660)-(R660)*(T660))+(T660)*((S660)*(V660)-(U660)*(T660)))/W660,0)</f>
        <v/>
      </c>
      <c r="Z660">
        <f>IF(ABS(W660)&gt;1E-12,((LTP3!$D$5)*((P660)*(V660)-(U660)*(R660))-(S660)*((S660)*(V660)-(U660)*(T660))+(LTP3!$D$6)*((S660)*(R660)-(P660)*(T660)))/W660,0)</f>
        <v/>
      </c>
      <c r="AA660">
        <f>LTP3!$D$7-X660*LTP3!$D$6-Y660*U660-Z660*V660</f>
        <v/>
      </c>
      <c r="AB660">
        <f>IF(AND(F660,ABS(W660)&gt;1E-12,Y660&gt;0,Z660&gt;0),AA660,1E+300)</f>
        <v/>
      </c>
    </row>
    <row r="661">
      <c r="A661">
        <f>$B$3+$B$5*10</f>
        <v/>
      </c>
      <c r="B661">
        <f>$B$3+$B$5*39</f>
        <v/>
      </c>
      <c r="C661">
        <f>SUMPRODUCT(Calc!$K$3:$K$22*(Calc!$G$3:$G$22&lt;=A661))</f>
        <v/>
      </c>
      <c r="D661">
        <f>SUMPRODUCT(Calc!$K$3:$K$22*(Calc!$G$3:$G$22&gt;A661)*(Calc!$G$3:$G$22&lt;B661))</f>
        <v/>
      </c>
      <c r="E661">
        <f>SUMPRODUCT(Calc!$K$3:$K$22*(Calc!$G$3:$G$22&gt;=B661))</f>
        <v/>
      </c>
      <c r="F661">
        <f>AND(k_n&gt;=5,B661&gt;A661+1E-9,C661&gt;=2,D661&gt;=1,E661&gt;=2)</f>
        <v/>
      </c>
      <c r="G661">
        <f>SUMPRODUCT(Calc!$K$3:$K$22*(Calc!$G$3:$G$22&gt;A661)*(Calc!$G$3:$G$22-A661))</f>
        <v/>
      </c>
      <c r="H661">
        <f>SUMPRODUCT(Calc!$K$3:$K$22*(Calc!$G$3:$G$22&gt;B661)*(Calc!$G$3:$G$22-B661))</f>
        <v/>
      </c>
      <c r="I661">
        <f>SUMPRODUCT(Calc!$K$3:$K$22*(Calc!$G$3:$G$22&gt;A661)*(Calc!$G$3:$G$22-A661)^2)</f>
        <v/>
      </c>
      <c r="J661">
        <f>SUMPRODUCT(Calc!$K$3:$K$22*(Calc!$G$3:$G$22&gt;B661)*(Calc!$G$3:$G$22-B661)^2)</f>
        <v/>
      </c>
      <c r="K661">
        <f>SUMPRODUCT(Calc!$K$3:$K$22*(Calc!$G$3:$G$22&gt;A661)*(Calc!$G$3:$G$22-A661)*(Calc!$G$3:$G$22&gt;B661)*(Calc!$G$3:$G$22-B661))</f>
        <v/>
      </c>
      <c r="L661">
        <f>SUMPRODUCT(Calc!$K$3:$K$22*(Calc!$G$3:$G$22&gt;A661)*(Calc!$G$3:$G$22-A661)*Calc!$G$3:$G$22)</f>
        <v/>
      </c>
      <c r="M661">
        <f>SUMPRODUCT(Calc!$K$3:$K$22*(Calc!$G$3:$G$22&gt;B661)*(Calc!$G$3:$G$22-B661)*Calc!$G$3:$G$22)</f>
        <v/>
      </c>
      <c r="N661">
        <f>SUMPRODUCT(Calc!$K$3:$K$22*(Calc!$G$3:$G$22&gt;A661)*(Calc!$G$3:$G$22-A661)*Calc!$I$3:$I$22)</f>
        <v/>
      </c>
      <c r="O661">
        <f>SUMPRODUCT(Calc!$K$3:$K$22*(Calc!$G$3:$G$22&gt;B661)*(Calc!$G$3:$G$22-B661)*Calc!$I$3:$I$22)</f>
        <v/>
      </c>
      <c r="P661">
        <f>I661-G661^2/k_n</f>
        <v/>
      </c>
      <c r="Q661">
        <f>J661-H661^2/k_n</f>
        <v/>
      </c>
      <c r="R661">
        <f>K661-G661*H661/k_n</f>
        <v/>
      </c>
      <c r="S661">
        <f>L661-LTP3!$D$3*G661/k_n</f>
        <v/>
      </c>
      <c r="T661">
        <f>M661-LTP3!$D$3*H661/k_n</f>
        <v/>
      </c>
      <c r="U661">
        <f>N661-G661*LTP3!$D$4/k_n</f>
        <v/>
      </c>
      <c r="V661">
        <f>O661-H661*LTP3!$D$4/k_n</f>
        <v/>
      </c>
      <c r="W661">
        <f>((LTP3!$D$5)*((P661)*(Q661)-(R661)*(R661))-(S661)*((S661)*(Q661)-(R661)*(T661))+(T661)*((S661)*(R661)-(P661)*(T661)))</f>
        <v/>
      </c>
      <c r="X661">
        <f>IF(ABS(W661)&gt;1E-12,((LTP3!$D$6)*((P661)*(Q661)-(R661)*(R661))-(S661)*((U661)*(Q661)-(R661)*(V661))+(T661)*((U661)*(R661)-(P661)*(V661)))/W661,0)</f>
        <v/>
      </c>
      <c r="Y661">
        <f>IF(ABS(W661)&gt;1E-12,((LTP3!$D$5)*((U661)*(Q661)-(R661)*(V661))-(LTP3!$D$6)*((S661)*(Q661)-(R661)*(T661))+(T661)*((S661)*(V661)-(U661)*(T661)))/W661,0)</f>
        <v/>
      </c>
      <c r="Z661">
        <f>IF(ABS(W661)&gt;1E-12,((LTP3!$D$5)*((P661)*(V661)-(U661)*(R661))-(S661)*((S661)*(V661)-(U661)*(T661))+(LTP3!$D$6)*((S661)*(R661)-(P661)*(T661)))/W661,0)</f>
        <v/>
      </c>
      <c r="AA661">
        <f>LTP3!$D$7-X661*LTP3!$D$6-Y661*U661-Z661*V661</f>
        <v/>
      </c>
      <c r="AB661">
        <f>IF(AND(F661,ABS(W661)&gt;1E-12,Y661&gt;0,Z661&gt;0),AA661,1E+300)</f>
        <v/>
      </c>
    </row>
    <row r="662">
      <c r="A662">
        <f>$B$3+$B$5*10</f>
        <v/>
      </c>
      <c r="B662">
        <f>$B$3+$B$5*40</f>
        <v/>
      </c>
      <c r="C662">
        <f>SUMPRODUCT(Calc!$K$3:$K$22*(Calc!$G$3:$G$22&lt;=A662))</f>
        <v/>
      </c>
      <c r="D662">
        <f>SUMPRODUCT(Calc!$K$3:$K$22*(Calc!$G$3:$G$22&gt;A662)*(Calc!$G$3:$G$22&lt;B662))</f>
        <v/>
      </c>
      <c r="E662">
        <f>SUMPRODUCT(Calc!$K$3:$K$22*(Calc!$G$3:$G$22&gt;=B662))</f>
        <v/>
      </c>
      <c r="F662">
        <f>AND(k_n&gt;=5,B662&gt;A662+1E-9,C662&gt;=2,D662&gt;=1,E662&gt;=2)</f>
        <v/>
      </c>
      <c r="G662">
        <f>SUMPRODUCT(Calc!$K$3:$K$22*(Calc!$G$3:$G$22&gt;A662)*(Calc!$G$3:$G$22-A662))</f>
        <v/>
      </c>
      <c r="H662">
        <f>SUMPRODUCT(Calc!$K$3:$K$22*(Calc!$G$3:$G$22&gt;B662)*(Calc!$G$3:$G$22-B662))</f>
        <v/>
      </c>
      <c r="I662">
        <f>SUMPRODUCT(Calc!$K$3:$K$22*(Calc!$G$3:$G$22&gt;A662)*(Calc!$G$3:$G$22-A662)^2)</f>
        <v/>
      </c>
      <c r="J662">
        <f>SUMPRODUCT(Calc!$K$3:$K$22*(Calc!$G$3:$G$22&gt;B662)*(Calc!$G$3:$G$22-B662)^2)</f>
        <v/>
      </c>
      <c r="K662">
        <f>SUMPRODUCT(Calc!$K$3:$K$22*(Calc!$G$3:$G$22&gt;A662)*(Calc!$G$3:$G$22-A662)*(Calc!$G$3:$G$22&gt;B662)*(Calc!$G$3:$G$22-B662))</f>
        <v/>
      </c>
      <c r="L662">
        <f>SUMPRODUCT(Calc!$K$3:$K$22*(Calc!$G$3:$G$22&gt;A662)*(Calc!$G$3:$G$22-A662)*Calc!$G$3:$G$22)</f>
        <v/>
      </c>
      <c r="M662">
        <f>SUMPRODUCT(Calc!$K$3:$K$22*(Calc!$G$3:$G$22&gt;B662)*(Calc!$G$3:$G$22-B662)*Calc!$G$3:$G$22)</f>
        <v/>
      </c>
      <c r="N662">
        <f>SUMPRODUCT(Calc!$K$3:$K$22*(Calc!$G$3:$G$22&gt;A662)*(Calc!$G$3:$G$22-A662)*Calc!$I$3:$I$22)</f>
        <v/>
      </c>
      <c r="O662">
        <f>SUMPRODUCT(Calc!$K$3:$K$22*(Calc!$G$3:$G$22&gt;B662)*(Calc!$G$3:$G$22-B662)*Calc!$I$3:$I$22)</f>
        <v/>
      </c>
      <c r="P662">
        <f>I662-G662^2/k_n</f>
        <v/>
      </c>
      <c r="Q662">
        <f>J662-H662^2/k_n</f>
        <v/>
      </c>
      <c r="R662">
        <f>K662-G662*H662/k_n</f>
        <v/>
      </c>
      <c r="S662">
        <f>L662-LTP3!$D$3*G662/k_n</f>
        <v/>
      </c>
      <c r="T662">
        <f>M662-LTP3!$D$3*H662/k_n</f>
        <v/>
      </c>
      <c r="U662">
        <f>N662-G662*LTP3!$D$4/k_n</f>
        <v/>
      </c>
      <c r="V662">
        <f>O662-H662*LTP3!$D$4/k_n</f>
        <v/>
      </c>
      <c r="W662">
        <f>((LTP3!$D$5)*((P662)*(Q662)-(R662)*(R662))-(S662)*((S662)*(Q662)-(R662)*(T662))+(T662)*((S662)*(R662)-(P662)*(T662)))</f>
        <v/>
      </c>
      <c r="X662">
        <f>IF(ABS(W662)&gt;1E-12,((LTP3!$D$6)*((P662)*(Q662)-(R662)*(R662))-(S662)*((U662)*(Q662)-(R662)*(V662))+(T662)*((U662)*(R662)-(P662)*(V662)))/W662,0)</f>
        <v/>
      </c>
      <c r="Y662">
        <f>IF(ABS(W662)&gt;1E-12,((LTP3!$D$5)*((U662)*(Q662)-(R662)*(V662))-(LTP3!$D$6)*((S662)*(Q662)-(R662)*(T662))+(T662)*((S662)*(V662)-(U662)*(T662)))/W662,0)</f>
        <v/>
      </c>
      <c r="Z662">
        <f>IF(ABS(W662)&gt;1E-12,((LTP3!$D$5)*((P662)*(V662)-(U662)*(R662))-(S662)*((S662)*(V662)-(U662)*(T662))+(LTP3!$D$6)*((S662)*(R662)-(P662)*(T662)))/W662,0)</f>
        <v/>
      </c>
      <c r="AA662">
        <f>LTP3!$D$7-X662*LTP3!$D$6-Y662*U662-Z662*V662</f>
        <v/>
      </c>
      <c r="AB662">
        <f>IF(AND(F662,ABS(W662)&gt;1E-12,Y662&gt;0,Z662&gt;0),AA662,1E+300)</f>
        <v/>
      </c>
    </row>
    <row r="663">
      <c r="A663">
        <f>$B$3+$B$5*10</f>
        <v/>
      </c>
      <c r="B663">
        <f>$B$3+$B$5*41</f>
        <v/>
      </c>
      <c r="C663">
        <f>SUMPRODUCT(Calc!$K$3:$K$22*(Calc!$G$3:$G$22&lt;=A663))</f>
        <v/>
      </c>
      <c r="D663">
        <f>SUMPRODUCT(Calc!$K$3:$K$22*(Calc!$G$3:$G$22&gt;A663)*(Calc!$G$3:$G$22&lt;B663))</f>
        <v/>
      </c>
      <c r="E663">
        <f>SUMPRODUCT(Calc!$K$3:$K$22*(Calc!$G$3:$G$22&gt;=B663))</f>
        <v/>
      </c>
      <c r="F663">
        <f>AND(k_n&gt;=5,B663&gt;A663+1E-9,C663&gt;=2,D663&gt;=1,E663&gt;=2)</f>
        <v/>
      </c>
      <c r="G663">
        <f>SUMPRODUCT(Calc!$K$3:$K$22*(Calc!$G$3:$G$22&gt;A663)*(Calc!$G$3:$G$22-A663))</f>
        <v/>
      </c>
      <c r="H663">
        <f>SUMPRODUCT(Calc!$K$3:$K$22*(Calc!$G$3:$G$22&gt;B663)*(Calc!$G$3:$G$22-B663))</f>
        <v/>
      </c>
      <c r="I663">
        <f>SUMPRODUCT(Calc!$K$3:$K$22*(Calc!$G$3:$G$22&gt;A663)*(Calc!$G$3:$G$22-A663)^2)</f>
        <v/>
      </c>
      <c r="J663">
        <f>SUMPRODUCT(Calc!$K$3:$K$22*(Calc!$G$3:$G$22&gt;B663)*(Calc!$G$3:$G$22-B663)^2)</f>
        <v/>
      </c>
      <c r="K663">
        <f>SUMPRODUCT(Calc!$K$3:$K$22*(Calc!$G$3:$G$22&gt;A663)*(Calc!$G$3:$G$22-A663)*(Calc!$G$3:$G$22&gt;B663)*(Calc!$G$3:$G$22-B663))</f>
        <v/>
      </c>
      <c r="L663">
        <f>SUMPRODUCT(Calc!$K$3:$K$22*(Calc!$G$3:$G$22&gt;A663)*(Calc!$G$3:$G$22-A663)*Calc!$G$3:$G$22)</f>
        <v/>
      </c>
      <c r="M663">
        <f>SUMPRODUCT(Calc!$K$3:$K$22*(Calc!$G$3:$G$22&gt;B663)*(Calc!$G$3:$G$22-B663)*Calc!$G$3:$G$22)</f>
        <v/>
      </c>
      <c r="N663">
        <f>SUMPRODUCT(Calc!$K$3:$K$22*(Calc!$G$3:$G$22&gt;A663)*(Calc!$G$3:$G$22-A663)*Calc!$I$3:$I$22)</f>
        <v/>
      </c>
      <c r="O663">
        <f>SUMPRODUCT(Calc!$K$3:$K$22*(Calc!$G$3:$G$22&gt;B663)*(Calc!$G$3:$G$22-B663)*Calc!$I$3:$I$22)</f>
        <v/>
      </c>
      <c r="P663">
        <f>I663-G663^2/k_n</f>
        <v/>
      </c>
      <c r="Q663">
        <f>J663-H663^2/k_n</f>
        <v/>
      </c>
      <c r="R663">
        <f>K663-G663*H663/k_n</f>
        <v/>
      </c>
      <c r="S663">
        <f>L663-LTP3!$D$3*G663/k_n</f>
        <v/>
      </c>
      <c r="T663">
        <f>M663-LTP3!$D$3*H663/k_n</f>
        <v/>
      </c>
      <c r="U663">
        <f>N663-G663*LTP3!$D$4/k_n</f>
        <v/>
      </c>
      <c r="V663">
        <f>O663-H663*LTP3!$D$4/k_n</f>
        <v/>
      </c>
      <c r="W663">
        <f>((LTP3!$D$5)*((P663)*(Q663)-(R663)*(R663))-(S663)*((S663)*(Q663)-(R663)*(T663))+(T663)*((S663)*(R663)-(P663)*(T663)))</f>
        <v/>
      </c>
      <c r="X663">
        <f>IF(ABS(W663)&gt;1E-12,((LTP3!$D$6)*((P663)*(Q663)-(R663)*(R663))-(S663)*((U663)*(Q663)-(R663)*(V663))+(T663)*((U663)*(R663)-(P663)*(V663)))/W663,0)</f>
        <v/>
      </c>
      <c r="Y663">
        <f>IF(ABS(W663)&gt;1E-12,((LTP3!$D$5)*((U663)*(Q663)-(R663)*(V663))-(LTP3!$D$6)*((S663)*(Q663)-(R663)*(T663))+(T663)*((S663)*(V663)-(U663)*(T663)))/W663,0)</f>
        <v/>
      </c>
      <c r="Z663">
        <f>IF(ABS(W663)&gt;1E-12,((LTP3!$D$5)*((P663)*(V663)-(U663)*(R663))-(S663)*((S663)*(V663)-(U663)*(T663))+(LTP3!$D$6)*((S663)*(R663)-(P663)*(T663)))/W663,0)</f>
        <v/>
      </c>
      <c r="AA663">
        <f>LTP3!$D$7-X663*LTP3!$D$6-Y663*U663-Z663*V663</f>
        <v/>
      </c>
      <c r="AB663">
        <f>IF(AND(F663,ABS(W663)&gt;1E-12,Y663&gt;0,Z663&gt;0),AA663,1E+300)</f>
        <v/>
      </c>
    </row>
    <row r="664">
      <c r="A664">
        <f>$B$3+$B$5*10</f>
        <v/>
      </c>
      <c r="B664">
        <f>$B$3+$B$5*42</f>
        <v/>
      </c>
      <c r="C664">
        <f>SUMPRODUCT(Calc!$K$3:$K$22*(Calc!$G$3:$G$22&lt;=A664))</f>
        <v/>
      </c>
      <c r="D664">
        <f>SUMPRODUCT(Calc!$K$3:$K$22*(Calc!$G$3:$G$22&gt;A664)*(Calc!$G$3:$G$22&lt;B664))</f>
        <v/>
      </c>
      <c r="E664">
        <f>SUMPRODUCT(Calc!$K$3:$K$22*(Calc!$G$3:$G$22&gt;=B664))</f>
        <v/>
      </c>
      <c r="F664">
        <f>AND(k_n&gt;=5,B664&gt;A664+1E-9,C664&gt;=2,D664&gt;=1,E664&gt;=2)</f>
        <v/>
      </c>
      <c r="G664">
        <f>SUMPRODUCT(Calc!$K$3:$K$22*(Calc!$G$3:$G$22&gt;A664)*(Calc!$G$3:$G$22-A664))</f>
        <v/>
      </c>
      <c r="H664">
        <f>SUMPRODUCT(Calc!$K$3:$K$22*(Calc!$G$3:$G$22&gt;B664)*(Calc!$G$3:$G$22-B664))</f>
        <v/>
      </c>
      <c r="I664">
        <f>SUMPRODUCT(Calc!$K$3:$K$22*(Calc!$G$3:$G$22&gt;A664)*(Calc!$G$3:$G$22-A664)^2)</f>
        <v/>
      </c>
      <c r="J664">
        <f>SUMPRODUCT(Calc!$K$3:$K$22*(Calc!$G$3:$G$22&gt;B664)*(Calc!$G$3:$G$22-B664)^2)</f>
        <v/>
      </c>
      <c r="K664">
        <f>SUMPRODUCT(Calc!$K$3:$K$22*(Calc!$G$3:$G$22&gt;A664)*(Calc!$G$3:$G$22-A664)*(Calc!$G$3:$G$22&gt;B664)*(Calc!$G$3:$G$22-B664))</f>
        <v/>
      </c>
      <c r="L664">
        <f>SUMPRODUCT(Calc!$K$3:$K$22*(Calc!$G$3:$G$22&gt;A664)*(Calc!$G$3:$G$22-A664)*Calc!$G$3:$G$22)</f>
        <v/>
      </c>
      <c r="M664">
        <f>SUMPRODUCT(Calc!$K$3:$K$22*(Calc!$G$3:$G$22&gt;B664)*(Calc!$G$3:$G$22-B664)*Calc!$G$3:$G$22)</f>
        <v/>
      </c>
      <c r="N664">
        <f>SUMPRODUCT(Calc!$K$3:$K$22*(Calc!$G$3:$G$22&gt;A664)*(Calc!$G$3:$G$22-A664)*Calc!$I$3:$I$22)</f>
        <v/>
      </c>
      <c r="O664">
        <f>SUMPRODUCT(Calc!$K$3:$K$22*(Calc!$G$3:$G$22&gt;B664)*(Calc!$G$3:$G$22-B664)*Calc!$I$3:$I$22)</f>
        <v/>
      </c>
      <c r="P664">
        <f>I664-G664^2/k_n</f>
        <v/>
      </c>
      <c r="Q664">
        <f>J664-H664^2/k_n</f>
        <v/>
      </c>
      <c r="R664">
        <f>K664-G664*H664/k_n</f>
        <v/>
      </c>
      <c r="S664">
        <f>L664-LTP3!$D$3*G664/k_n</f>
        <v/>
      </c>
      <c r="T664">
        <f>M664-LTP3!$D$3*H664/k_n</f>
        <v/>
      </c>
      <c r="U664">
        <f>N664-G664*LTP3!$D$4/k_n</f>
        <v/>
      </c>
      <c r="V664">
        <f>O664-H664*LTP3!$D$4/k_n</f>
        <v/>
      </c>
      <c r="W664">
        <f>((LTP3!$D$5)*((P664)*(Q664)-(R664)*(R664))-(S664)*((S664)*(Q664)-(R664)*(T664))+(T664)*((S664)*(R664)-(P664)*(T664)))</f>
        <v/>
      </c>
      <c r="X664">
        <f>IF(ABS(W664)&gt;1E-12,((LTP3!$D$6)*((P664)*(Q664)-(R664)*(R664))-(S664)*((U664)*(Q664)-(R664)*(V664))+(T664)*((U664)*(R664)-(P664)*(V664)))/W664,0)</f>
        <v/>
      </c>
      <c r="Y664">
        <f>IF(ABS(W664)&gt;1E-12,((LTP3!$D$5)*((U664)*(Q664)-(R664)*(V664))-(LTP3!$D$6)*((S664)*(Q664)-(R664)*(T664))+(T664)*((S664)*(V664)-(U664)*(T664)))/W664,0)</f>
        <v/>
      </c>
      <c r="Z664">
        <f>IF(ABS(W664)&gt;1E-12,((LTP3!$D$5)*((P664)*(V664)-(U664)*(R664))-(S664)*((S664)*(V664)-(U664)*(T664))+(LTP3!$D$6)*((S664)*(R664)-(P664)*(T664)))/W664,0)</f>
        <v/>
      </c>
      <c r="AA664">
        <f>LTP3!$D$7-X664*LTP3!$D$6-Y664*U664-Z664*V664</f>
        <v/>
      </c>
      <c r="AB664">
        <f>IF(AND(F664,ABS(W664)&gt;1E-12,Y664&gt;0,Z664&gt;0),AA664,1E+300)</f>
        <v/>
      </c>
    </row>
    <row r="665">
      <c r="A665">
        <f>$B$3+$B$5*10</f>
        <v/>
      </c>
      <c r="B665">
        <f>$B$3+$B$5*43</f>
        <v/>
      </c>
      <c r="C665">
        <f>SUMPRODUCT(Calc!$K$3:$K$22*(Calc!$G$3:$G$22&lt;=A665))</f>
        <v/>
      </c>
      <c r="D665">
        <f>SUMPRODUCT(Calc!$K$3:$K$22*(Calc!$G$3:$G$22&gt;A665)*(Calc!$G$3:$G$22&lt;B665))</f>
        <v/>
      </c>
      <c r="E665">
        <f>SUMPRODUCT(Calc!$K$3:$K$22*(Calc!$G$3:$G$22&gt;=B665))</f>
        <v/>
      </c>
      <c r="F665">
        <f>AND(k_n&gt;=5,B665&gt;A665+1E-9,C665&gt;=2,D665&gt;=1,E665&gt;=2)</f>
        <v/>
      </c>
      <c r="G665">
        <f>SUMPRODUCT(Calc!$K$3:$K$22*(Calc!$G$3:$G$22&gt;A665)*(Calc!$G$3:$G$22-A665))</f>
        <v/>
      </c>
      <c r="H665">
        <f>SUMPRODUCT(Calc!$K$3:$K$22*(Calc!$G$3:$G$22&gt;B665)*(Calc!$G$3:$G$22-B665))</f>
        <v/>
      </c>
      <c r="I665">
        <f>SUMPRODUCT(Calc!$K$3:$K$22*(Calc!$G$3:$G$22&gt;A665)*(Calc!$G$3:$G$22-A665)^2)</f>
        <v/>
      </c>
      <c r="J665">
        <f>SUMPRODUCT(Calc!$K$3:$K$22*(Calc!$G$3:$G$22&gt;B665)*(Calc!$G$3:$G$22-B665)^2)</f>
        <v/>
      </c>
      <c r="K665">
        <f>SUMPRODUCT(Calc!$K$3:$K$22*(Calc!$G$3:$G$22&gt;A665)*(Calc!$G$3:$G$22-A665)*(Calc!$G$3:$G$22&gt;B665)*(Calc!$G$3:$G$22-B665))</f>
        <v/>
      </c>
      <c r="L665">
        <f>SUMPRODUCT(Calc!$K$3:$K$22*(Calc!$G$3:$G$22&gt;A665)*(Calc!$G$3:$G$22-A665)*Calc!$G$3:$G$22)</f>
        <v/>
      </c>
      <c r="M665">
        <f>SUMPRODUCT(Calc!$K$3:$K$22*(Calc!$G$3:$G$22&gt;B665)*(Calc!$G$3:$G$22-B665)*Calc!$G$3:$G$22)</f>
        <v/>
      </c>
      <c r="N665">
        <f>SUMPRODUCT(Calc!$K$3:$K$22*(Calc!$G$3:$G$22&gt;A665)*(Calc!$G$3:$G$22-A665)*Calc!$I$3:$I$22)</f>
        <v/>
      </c>
      <c r="O665">
        <f>SUMPRODUCT(Calc!$K$3:$K$22*(Calc!$G$3:$G$22&gt;B665)*(Calc!$G$3:$G$22-B665)*Calc!$I$3:$I$22)</f>
        <v/>
      </c>
      <c r="P665">
        <f>I665-G665^2/k_n</f>
        <v/>
      </c>
      <c r="Q665">
        <f>J665-H665^2/k_n</f>
        <v/>
      </c>
      <c r="R665">
        <f>K665-G665*H665/k_n</f>
        <v/>
      </c>
      <c r="S665">
        <f>L665-LTP3!$D$3*G665/k_n</f>
        <v/>
      </c>
      <c r="T665">
        <f>M665-LTP3!$D$3*H665/k_n</f>
        <v/>
      </c>
      <c r="U665">
        <f>N665-G665*LTP3!$D$4/k_n</f>
        <v/>
      </c>
      <c r="V665">
        <f>O665-H665*LTP3!$D$4/k_n</f>
        <v/>
      </c>
      <c r="W665">
        <f>((LTP3!$D$5)*((P665)*(Q665)-(R665)*(R665))-(S665)*((S665)*(Q665)-(R665)*(T665))+(T665)*((S665)*(R665)-(P665)*(T665)))</f>
        <v/>
      </c>
      <c r="X665">
        <f>IF(ABS(W665)&gt;1E-12,((LTP3!$D$6)*((P665)*(Q665)-(R665)*(R665))-(S665)*((U665)*(Q665)-(R665)*(V665))+(T665)*((U665)*(R665)-(P665)*(V665)))/W665,0)</f>
        <v/>
      </c>
      <c r="Y665">
        <f>IF(ABS(W665)&gt;1E-12,((LTP3!$D$5)*((U665)*(Q665)-(R665)*(V665))-(LTP3!$D$6)*((S665)*(Q665)-(R665)*(T665))+(T665)*((S665)*(V665)-(U665)*(T665)))/W665,0)</f>
        <v/>
      </c>
      <c r="Z665">
        <f>IF(ABS(W665)&gt;1E-12,((LTP3!$D$5)*((P665)*(V665)-(U665)*(R665))-(S665)*((S665)*(V665)-(U665)*(T665))+(LTP3!$D$6)*((S665)*(R665)-(P665)*(T665)))/W665,0)</f>
        <v/>
      </c>
      <c r="AA665">
        <f>LTP3!$D$7-X665*LTP3!$D$6-Y665*U665-Z665*V665</f>
        <v/>
      </c>
      <c r="AB665">
        <f>IF(AND(F665,ABS(W665)&gt;1E-12,Y665&gt;0,Z665&gt;0),AA665,1E+300)</f>
        <v/>
      </c>
    </row>
    <row r="666">
      <c r="A666">
        <f>$B$3+$B$5*10</f>
        <v/>
      </c>
      <c r="B666">
        <f>$B$3+$B$5*44</f>
        <v/>
      </c>
      <c r="C666">
        <f>SUMPRODUCT(Calc!$K$3:$K$22*(Calc!$G$3:$G$22&lt;=A666))</f>
        <v/>
      </c>
      <c r="D666">
        <f>SUMPRODUCT(Calc!$K$3:$K$22*(Calc!$G$3:$G$22&gt;A666)*(Calc!$G$3:$G$22&lt;B666))</f>
        <v/>
      </c>
      <c r="E666">
        <f>SUMPRODUCT(Calc!$K$3:$K$22*(Calc!$G$3:$G$22&gt;=B666))</f>
        <v/>
      </c>
      <c r="F666">
        <f>AND(k_n&gt;=5,B666&gt;A666+1E-9,C666&gt;=2,D666&gt;=1,E666&gt;=2)</f>
        <v/>
      </c>
      <c r="G666">
        <f>SUMPRODUCT(Calc!$K$3:$K$22*(Calc!$G$3:$G$22&gt;A666)*(Calc!$G$3:$G$22-A666))</f>
        <v/>
      </c>
      <c r="H666">
        <f>SUMPRODUCT(Calc!$K$3:$K$22*(Calc!$G$3:$G$22&gt;B666)*(Calc!$G$3:$G$22-B666))</f>
        <v/>
      </c>
      <c r="I666">
        <f>SUMPRODUCT(Calc!$K$3:$K$22*(Calc!$G$3:$G$22&gt;A666)*(Calc!$G$3:$G$22-A666)^2)</f>
        <v/>
      </c>
      <c r="J666">
        <f>SUMPRODUCT(Calc!$K$3:$K$22*(Calc!$G$3:$G$22&gt;B666)*(Calc!$G$3:$G$22-B666)^2)</f>
        <v/>
      </c>
      <c r="K666">
        <f>SUMPRODUCT(Calc!$K$3:$K$22*(Calc!$G$3:$G$22&gt;A666)*(Calc!$G$3:$G$22-A666)*(Calc!$G$3:$G$22&gt;B666)*(Calc!$G$3:$G$22-B666))</f>
        <v/>
      </c>
      <c r="L666">
        <f>SUMPRODUCT(Calc!$K$3:$K$22*(Calc!$G$3:$G$22&gt;A666)*(Calc!$G$3:$G$22-A666)*Calc!$G$3:$G$22)</f>
        <v/>
      </c>
      <c r="M666">
        <f>SUMPRODUCT(Calc!$K$3:$K$22*(Calc!$G$3:$G$22&gt;B666)*(Calc!$G$3:$G$22-B666)*Calc!$G$3:$G$22)</f>
        <v/>
      </c>
      <c r="N666">
        <f>SUMPRODUCT(Calc!$K$3:$K$22*(Calc!$G$3:$G$22&gt;A666)*(Calc!$G$3:$G$22-A666)*Calc!$I$3:$I$22)</f>
        <v/>
      </c>
      <c r="O666">
        <f>SUMPRODUCT(Calc!$K$3:$K$22*(Calc!$G$3:$G$22&gt;B666)*(Calc!$G$3:$G$22-B666)*Calc!$I$3:$I$22)</f>
        <v/>
      </c>
      <c r="P666">
        <f>I666-G666^2/k_n</f>
        <v/>
      </c>
      <c r="Q666">
        <f>J666-H666^2/k_n</f>
        <v/>
      </c>
      <c r="R666">
        <f>K666-G666*H666/k_n</f>
        <v/>
      </c>
      <c r="S666">
        <f>L666-LTP3!$D$3*G666/k_n</f>
        <v/>
      </c>
      <c r="T666">
        <f>M666-LTP3!$D$3*H666/k_n</f>
        <v/>
      </c>
      <c r="U666">
        <f>N666-G666*LTP3!$D$4/k_n</f>
        <v/>
      </c>
      <c r="V666">
        <f>O666-H666*LTP3!$D$4/k_n</f>
        <v/>
      </c>
      <c r="W666">
        <f>((LTP3!$D$5)*((P666)*(Q666)-(R666)*(R666))-(S666)*((S666)*(Q666)-(R666)*(T666))+(T666)*((S666)*(R666)-(P666)*(T666)))</f>
        <v/>
      </c>
      <c r="X666">
        <f>IF(ABS(W666)&gt;1E-12,((LTP3!$D$6)*((P666)*(Q666)-(R666)*(R666))-(S666)*((U666)*(Q666)-(R666)*(V666))+(T666)*((U666)*(R666)-(P666)*(V666)))/W666,0)</f>
        <v/>
      </c>
      <c r="Y666">
        <f>IF(ABS(W666)&gt;1E-12,((LTP3!$D$5)*((U666)*(Q666)-(R666)*(V666))-(LTP3!$D$6)*((S666)*(Q666)-(R666)*(T666))+(T666)*((S666)*(V666)-(U666)*(T666)))/W666,0)</f>
        <v/>
      </c>
      <c r="Z666">
        <f>IF(ABS(W666)&gt;1E-12,((LTP3!$D$5)*((P666)*(V666)-(U666)*(R666))-(S666)*((S666)*(V666)-(U666)*(T666))+(LTP3!$D$6)*((S666)*(R666)-(P666)*(T666)))/W666,0)</f>
        <v/>
      </c>
      <c r="AA666">
        <f>LTP3!$D$7-X666*LTP3!$D$6-Y666*U666-Z666*V666</f>
        <v/>
      </c>
      <c r="AB666">
        <f>IF(AND(F666,ABS(W666)&gt;1E-12,Y666&gt;0,Z666&gt;0),AA666,1E+300)</f>
        <v/>
      </c>
    </row>
    <row r="667">
      <c r="A667">
        <f>$B$3+$B$5*10</f>
        <v/>
      </c>
      <c r="B667">
        <f>$B$3+$B$5*45</f>
        <v/>
      </c>
      <c r="C667">
        <f>SUMPRODUCT(Calc!$K$3:$K$22*(Calc!$G$3:$G$22&lt;=A667))</f>
        <v/>
      </c>
      <c r="D667">
        <f>SUMPRODUCT(Calc!$K$3:$K$22*(Calc!$G$3:$G$22&gt;A667)*(Calc!$G$3:$G$22&lt;B667))</f>
        <v/>
      </c>
      <c r="E667">
        <f>SUMPRODUCT(Calc!$K$3:$K$22*(Calc!$G$3:$G$22&gt;=B667))</f>
        <v/>
      </c>
      <c r="F667">
        <f>AND(k_n&gt;=5,B667&gt;A667+1E-9,C667&gt;=2,D667&gt;=1,E667&gt;=2)</f>
        <v/>
      </c>
      <c r="G667">
        <f>SUMPRODUCT(Calc!$K$3:$K$22*(Calc!$G$3:$G$22&gt;A667)*(Calc!$G$3:$G$22-A667))</f>
        <v/>
      </c>
      <c r="H667">
        <f>SUMPRODUCT(Calc!$K$3:$K$22*(Calc!$G$3:$G$22&gt;B667)*(Calc!$G$3:$G$22-B667))</f>
        <v/>
      </c>
      <c r="I667">
        <f>SUMPRODUCT(Calc!$K$3:$K$22*(Calc!$G$3:$G$22&gt;A667)*(Calc!$G$3:$G$22-A667)^2)</f>
        <v/>
      </c>
      <c r="J667">
        <f>SUMPRODUCT(Calc!$K$3:$K$22*(Calc!$G$3:$G$22&gt;B667)*(Calc!$G$3:$G$22-B667)^2)</f>
        <v/>
      </c>
      <c r="K667">
        <f>SUMPRODUCT(Calc!$K$3:$K$22*(Calc!$G$3:$G$22&gt;A667)*(Calc!$G$3:$G$22-A667)*(Calc!$G$3:$G$22&gt;B667)*(Calc!$G$3:$G$22-B667))</f>
        <v/>
      </c>
      <c r="L667">
        <f>SUMPRODUCT(Calc!$K$3:$K$22*(Calc!$G$3:$G$22&gt;A667)*(Calc!$G$3:$G$22-A667)*Calc!$G$3:$G$22)</f>
        <v/>
      </c>
      <c r="M667">
        <f>SUMPRODUCT(Calc!$K$3:$K$22*(Calc!$G$3:$G$22&gt;B667)*(Calc!$G$3:$G$22-B667)*Calc!$G$3:$G$22)</f>
        <v/>
      </c>
      <c r="N667">
        <f>SUMPRODUCT(Calc!$K$3:$K$22*(Calc!$G$3:$G$22&gt;A667)*(Calc!$G$3:$G$22-A667)*Calc!$I$3:$I$22)</f>
        <v/>
      </c>
      <c r="O667">
        <f>SUMPRODUCT(Calc!$K$3:$K$22*(Calc!$G$3:$G$22&gt;B667)*(Calc!$G$3:$G$22-B667)*Calc!$I$3:$I$22)</f>
        <v/>
      </c>
      <c r="P667">
        <f>I667-G667^2/k_n</f>
        <v/>
      </c>
      <c r="Q667">
        <f>J667-H667^2/k_n</f>
        <v/>
      </c>
      <c r="R667">
        <f>K667-G667*H667/k_n</f>
        <v/>
      </c>
      <c r="S667">
        <f>L667-LTP3!$D$3*G667/k_n</f>
        <v/>
      </c>
      <c r="T667">
        <f>M667-LTP3!$D$3*H667/k_n</f>
        <v/>
      </c>
      <c r="U667">
        <f>N667-G667*LTP3!$D$4/k_n</f>
        <v/>
      </c>
      <c r="V667">
        <f>O667-H667*LTP3!$D$4/k_n</f>
        <v/>
      </c>
      <c r="W667">
        <f>((LTP3!$D$5)*((P667)*(Q667)-(R667)*(R667))-(S667)*((S667)*(Q667)-(R667)*(T667))+(T667)*((S667)*(R667)-(P667)*(T667)))</f>
        <v/>
      </c>
      <c r="X667">
        <f>IF(ABS(W667)&gt;1E-12,((LTP3!$D$6)*((P667)*(Q667)-(R667)*(R667))-(S667)*((U667)*(Q667)-(R667)*(V667))+(T667)*((U667)*(R667)-(P667)*(V667)))/W667,0)</f>
        <v/>
      </c>
      <c r="Y667">
        <f>IF(ABS(W667)&gt;1E-12,((LTP3!$D$5)*((U667)*(Q667)-(R667)*(V667))-(LTP3!$D$6)*((S667)*(Q667)-(R667)*(T667))+(T667)*((S667)*(V667)-(U667)*(T667)))/W667,0)</f>
        <v/>
      </c>
      <c r="Z667">
        <f>IF(ABS(W667)&gt;1E-12,((LTP3!$D$5)*((P667)*(V667)-(U667)*(R667))-(S667)*((S667)*(V667)-(U667)*(T667))+(LTP3!$D$6)*((S667)*(R667)-(P667)*(T667)))/W667,0)</f>
        <v/>
      </c>
      <c r="AA667">
        <f>LTP3!$D$7-X667*LTP3!$D$6-Y667*U667-Z667*V667</f>
        <v/>
      </c>
      <c r="AB667">
        <f>IF(AND(F667,ABS(W667)&gt;1E-12,Y667&gt;0,Z667&gt;0),AA667,1E+300)</f>
        <v/>
      </c>
    </row>
    <row r="668">
      <c r="A668">
        <f>$B$3+$B$5*10</f>
        <v/>
      </c>
      <c r="B668">
        <f>$B$3+$B$5*46</f>
        <v/>
      </c>
      <c r="C668">
        <f>SUMPRODUCT(Calc!$K$3:$K$22*(Calc!$G$3:$G$22&lt;=A668))</f>
        <v/>
      </c>
      <c r="D668">
        <f>SUMPRODUCT(Calc!$K$3:$K$22*(Calc!$G$3:$G$22&gt;A668)*(Calc!$G$3:$G$22&lt;B668))</f>
        <v/>
      </c>
      <c r="E668">
        <f>SUMPRODUCT(Calc!$K$3:$K$22*(Calc!$G$3:$G$22&gt;=B668))</f>
        <v/>
      </c>
      <c r="F668">
        <f>AND(k_n&gt;=5,B668&gt;A668+1E-9,C668&gt;=2,D668&gt;=1,E668&gt;=2)</f>
        <v/>
      </c>
      <c r="G668">
        <f>SUMPRODUCT(Calc!$K$3:$K$22*(Calc!$G$3:$G$22&gt;A668)*(Calc!$G$3:$G$22-A668))</f>
        <v/>
      </c>
      <c r="H668">
        <f>SUMPRODUCT(Calc!$K$3:$K$22*(Calc!$G$3:$G$22&gt;B668)*(Calc!$G$3:$G$22-B668))</f>
        <v/>
      </c>
      <c r="I668">
        <f>SUMPRODUCT(Calc!$K$3:$K$22*(Calc!$G$3:$G$22&gt;A668)*(Calc!$G$3:$G$22-A668)^2)</f>
        <v/>
      </c>
      <c r="J668">
        <f>SUMPRODUCT(Calc!$K$3:$K$22*(Calc!$G$3:$G$22&gt;B668)*(Calc!$G$3:$G$22-B668)^2)</f>
        <v/>
      </c>
      <c r="K668">
        <f>SUMPRODUCT(Calc!$K$3:$K$22*(Calc!$G$3:$G$22&gt;A668)*(Calc!$G$3:$G$22-A668)*(Calc!$G$3:$G$22&gt;B668)*(Calc!$G$3:$G$22-B668))</f>
        <v/>
      </c>
      <c r="L668">
        <f>SUMPRODUCT(Calc!$K$3:$K$22*(Calc!$G$3:$G$22&gt;A668)*(Calc!$G$3:$G$22-A668)*Calc!$G$3:$G$22)</f>
        <v/>
      </c>
      <c r="M668">
        <f>SUMPRODUCT(Calc!$K$3:$K$22*(Calc!$G$3:$G$22&gt;B668)*(Calc!$G$3:$G$22-B668)*Calc!$G$3:$G$22)</f>
        <v/>
      </c>
      <c r="N668">
        <f>SUMPRODUCT(Calc!$K$3:$K$22*(Calc!$G$3:$G$22&gt;A668)*(Calc!$G$3:$G$22-A668)*Calc!$I$3:$I$22)</f>
        <v/>
      </c>
      <c r="O668">
        <f>SUMPRODUCT(Calc!$K$3:$K$22*(Calc!$G$3:$G$22&gt;B668)*(Calc!$G$3:$G$22-B668)*Calc!$I$3:$I$22)</f>
        <v/>
      </c>
      <c r="P668">
        <f>I668-G668^2/k_n</f>
        <v/>
      </c>
      <c r="Q668">
        <f>J668-H668^2/k_n</f>
        <v/>
      </c>
      <c r="R668">
        <f>K668-G668*H668/k_n</f>
        <v/>
      </c>
      <c r="S668">
        <f>L668-LTP3!$D$3*G668/k_n</f>
        <v/>
      </c>
      <c r="T668">
        <f>M668-LTP3!$D$3*H668/k_n</f>
        <v/>
      </c>
      <c r="U668">
        <f>N668-G668*LTP3!$D$4/k_n</f>
        <v/>
      </c>
      <c r="V668">
        <f>O668-H668*LTP3!$D$4/k_n</f>
        <v/>
      </c>
      <c r="W668">
        <f>((LTP3!$D$5)*((P668)*(Q668)-(R668)*(R668))-(S668)*((S668)*(Q668)-(R668)*(T668))+(T668)*((S668)*(R668)-(P668)*(T668)))</f>
        <v/>
      </c>
      <c r="X668">
        <f>IF(ABS(W668)&gt;1E-12,((LTP3!$D$6)*((P668)*(Q668)-(R668)*(R668))-(S668)*((U668)*(Q668)-(R668)*(V668))+(T668)*((U668)*(R668)-(P668)*(V668)))/W668,0)</f>
        <v/>
      </c>
      <c r="Y668">
        <f>IF(ABS(W668)&gt;1E-12,((LTP3!$D$5)*((U668)*(Q668)-(R668)*(V668))-(LTP3!$D$6)*((S668)*(Q668)-(R668)*(T668))+(T668)*((S668)*(V668)-(U668)*(T668)))/W668,0)</f>
        <v/>
      </c>
      <c r="Z668">
        <f>IF(ABS(W668)&gt;1E-12,((LTP3!$D$5)*((P668)*(V668)-(U668)*(R668))-(S668)*((S668)*(V668)-(U668)*(T668))+(LTP3!$D$6)*((S668)*(R668)-(P668)*(T668)))/W668,0)</f>
        <v/>
      </c>
      <c r="AA668">
        <f>LTP3!$D$7-X668*LTP3!$D$6-Y668*U668-Z668*V668</f>
        <v/>
      </c>
      <c r="AB668">
        <f>IF(AND(F668,ABS(W668)&gt;1E-12,Y668&gt;0,Z668&gt;0),AA668,1E+300)</f>
        <v/>
      </c>
    </row>
    <row r="669">
      <c r="A669">
        <f>$B$3+$B$5*10</f>
        <v/>
      </c>
      <c r="B669">
        <f>$B$3+$B$5*47</f>
        <v/>
      </c>
      <c r="C669">
        <f>SUMPRODUCT(Calc!$K$3:$K$22*(Calc!$G$3:$G$22&lt;=A669))</f>
        <v/>
      </c>
      <c r="D669">
        <f>SUMPRODUCT(Calc!$K$3:$K$22*(Calc!$G$3:$G$22&gt;A669)*(Calc!$G$3:$G$22&lt;B669))</f>
        <v/>
      </c>
      <c r="E669">
        <f>SUMPRODUCT(Calc!$K$3:$K$22*(Calc!$G$3:$G$22&gt;=B669))</f>
        <v/>
      </c>
      <c r="F669">
        <f>AND(k_n&gt;=5,B669&gt;A669+1E-9,C669&gt;=2,D669&gt;=1,E669&gt;=2)</f>
        <v/>
      </c>
      <c r="G669">
        <f>SUMPRODUCT(Calc!$K$3:$K$22*(Calc!$G$3:$G$22&gt;A669)*(Calc!$G$3:$G$22-A669))</f>
        <v/>
      </c>
      <c r="H669">
        <f>SUMPRODUCT(Calc!$K$3:$K$22*(Calc!$G$3:$G$22&gt;B669)*(Calc!$G$3:$G$22-B669))</f>
        <v/>
      </c>
      <c r="I669">
        <f>SUMPRODUCT(Calc!$K$3:$K$22*(Calc!$G$3:$G$22&gt;A669)*(Calc!$G$3:$G$22-A669)^2)</f>
        <v/>
      </c>
      <c r="J669">
        <f>SUMPRODUCT(Calc!$K$3:$K$22*(Calc!$G$3:$G$22&gt;B669)*(Calc!$G$3:$G$22-B669)^2)</f>
        <v/>
      </c>
      <c r="K669">
        <f>SUMPRODUCT(Calc!$K$3:$K$22*(Calc!$G$3:$G$22&gt;A669)*(Calc!$G$3:$G$22-A669)*(Calc!$G$3:$G$22&gt;B669)*(Calc!$G$3:$G$22-B669))</f>
        <v/>
      </c>
      <c r="L669">
        <f>SUMPRODUCT(Calc!$K$3:$K$22*(Calc!$G$3:$G$22&gt;A669)*(Calc!$G$3:$G$22-A669)*Calc!$G$3:$G$22)</f>
        <v/>
      </c>
      <c r="M669">
        <f>SUMPRODUCT(Calc!$K$3:$K$22*(Calc!$G$3:$G$22&gt;B669)*(Calc!$G$3:$G$22-B669)*Calc!$G$3:$G$22)</f>
        <v/>
      </c>
      <c r="N669">
        <f>SUMPRODUCT(Calc!$K$3:$K$22*(Calc!$G$3:$G$22&gt;A669)*(Calc!$G$3:$G$22-A669)*Calc!$I$3:$I$22)</f>
        <v/>
      </c>
      <c r="O669">
        <f>SUMPRODUCT(Calc!$K$3:$K$22*(Calc!$G$3:$G$22&gt;B669)*(Calc!$G$3:$G$22-B669)*Calc!$I$3:$I$22)</f>
        <v/>
      </c>
      <c r="P669">
        <f>I669-G669^2/k_n</f>
        <v/>
      </c>
      <c r="Q669">
        <f>J669-H669^2/k_n</f>
        <v/>
      </c>
      <c r="R669">
        <f>K669-G669*H669/k_n</f>
        <v/>
      </c>
      <c r="S669">
        <f>L669-LTP3!$D$3*G669/k_n</f>
        <v/>
      </c>
      <c r="T669">
        <f>M669-LTP3!$D$3*H669/k_n</f>
        <v/>
      </c>
      <c r="U669">
        <f>N669-G669*LTP3!$D$4/k_n</f>
        <v/>
      </c>
      <c r="V669">
        <f>O669-H669*LTP3!$D$4/k_n</f>
        <v/>
      </c>
      <c r="W669">
        <f>((LTP3!$D$5)*((P669)*(Q669)-(R669)*(R669))-(S669)*((S669)*(Q669)-(R669)*(T669))+(T669)*((S669)*(R669)-(P669)*(T669)))</f>
        <v/>
      </c>
      <c r="X669">
        <f>IF(ABS(W669)&gt;1E-12,((LTP3!$D$6)*((P669)*(Q669)-(R669)*(R669))-(S669)*((U669)*(Q669)-(R669)*(V669))+(T669)*((U669)*(R669)-(P669)*(V669)))/W669,0)</f>
        <v/>
      </c>
      <c r="Y669">
        <f>IF(ABS(W669)&gt;1E-12,((LTP3!$D$5)*((U669)*(Q669)-(R669)*(V669))-(LTP3!$D$6)*((S669)*(Q669)-(R669)*(T669))+(T669)*((S669)*(V669)-(U669)*(T669)))/W669,0)</f>
        <v/>
      </c>
      <c r="Z669">
        <f>IF(ABS(W669)&gt;1E-12,((LTP3!$D$5)*((P669)*(V669)-(U669)*(R669))-(S669)*((S669)*(V669)-(U669)*(T669))+(LTP3!$D$6)*((S669)*(R669)-(P669)*(T669)))/W669,0)</f>
        <v/>
      </c>
      <c r="AA669">
        <f>LTP3!$D$7-X669*LTP3!$D$6-Y669*U669-Z669*V669</f>
        <v/>
      </c>
      <c r="AB669">
        <f>IF(AND(F669,ABS(W669)&gt;1E-12,Y669&gt;0,Z669&gt;0),AA669,1E+300)</f>
        <v/>
      </c>
    </row>
    <row r="670">
      <c r="A670">
        <f>$B$3+$B$5*10</f>
        <v/>
      </c>
      <c r="B670">
        <f>$B$3+$B$5*48</f>
        <v/>
      </c>
      <c r="C670">
        <f>SUMPRODUCT(Calc!$K$3:$K$22*(Calc!$G$3:$G$22&lt;=A670))</f>
        <v/>
      </c>
      <c r="D670">
        <f>SUMPRODUCT(Calc!$K$3:$K$22*(Calc!$G$3:$G$22&gt;A670)*(Calc!$G$3:$G$22&lt;B670))</f>
        <v/>
      </c>
      <c r="E670">
        <f>SUMPRODUCT(Calc!$K$3:$K$22*(Calc!$G$3:$G$22&gt;=B670))</f>
        <v/>
      </c>
      <c r="F670">
        <f>AND(k_n&gt;=5,B670&gt;A670+1E-9,C670&gt;=2,D670&gt;=1,E670&gt;=2)</f>
        <v/>
      </c>
      <c r="G670">
        <f>SUMPRODUCT(Calc!$K$3:$K$22*(Calc!$G$3:$G$22&gt;A670)*(Calc!$G$3:$G$22-A670))</f>
        <v/>
      </c>
      <c r="H670">
        <f>SUMPRODUCT(Calc!$K$3:$K$22*(Calc!$G$3:$G$22&gt;B670)*(Calc!$G$3:$G$22-B670))</f>
        <v/>
      </c>
      <c r="I670">
        <f>SUMPRODUCT(Calc!$K$3:$K$22*(Calc!$G$3:$G$22&gt;A670)*(Calc!$G$3:$G$22-A670)^2)</f>
        <v/>
      </c>
      <c r="J670">
        <f>SUMPRODUCT(Calc!$K$3:$K$22*(Calc!$G$3:$G$22&gt;B670)*(Calc!$G$3:$G$22-B670)^2)</f>
        <v/>
      </c>
      <c r="K670">
        <f>SUMPRODUCT(Calc!$K$3:$K$22*(Calc!$G$3:$G$22&gt;A670)*(Calc!$G$3:$G$22-A670)*(Calc!$G$3:$G$22&gt;B670)*(Calc!$G$3:$G$22-B670))</f>
        <v/>
      </c>
      <c r="L670">
        <f>SUMPRODUCT(Calc!$K$3:$K$22*(Calc!$G$3:$G$22&gt;A670)*(Calc!$G$3:$G$22-A670)*Calc!$G$3:$G$22)</f>
        <v/>
      </c>
      <c r="M670">
        <f>SUMPRODUCT(Calc!$K$3:$K$22*(Calc!$G$3:$G$22&gt;B670)*(Calc!$G$3:$G$22-B670)*Calc!$G$3:$G$22)</f>
        <v/>
      </c>
      <c r="N670">
        <f>SUMPRODUCT(Calc!$K$3:$K$22*(Calc!$G$3:$G$22&gt;A670)*(Calc!$G$3:$G$22-A670)*Calc!$I$3:$I$22)</f>
        <v/>
      </c>
      <c r="O670">
        <f>SUMPRODUCT(Calc!$K$3:$K$22*(Calc!$G$3:$G$22&gt;B670)*(Calc!$G$3:$G$22-B670)*Calc!$I$3:$I$22)</f>
        <v/>
      </c>
      <c r="P670">
        <f>I670-G670^2/k_n</f>
        <v/>
      </c>
      <c r="Q670">
        <f>J670-H670^2/k_n</f>
        <v/>
      </c>
      <c r="R670">
        <f>K670-G670*H670/k_n</f>
        <v/>
      </c>
      <c r="S670">
        <f>L670-LTP3!$D$3*G670/k_n</f>
        <v/>
      </c>
      <c r="T670">
        <f>M670-LTP3!$D$3*H670/k_n</f>
        <v/>
      </c>
      <c r="U670">
        <f>N670-G670*LTP3!$D$4/k_n</f>
        <v/>
      </c>
      <c r="V670">
        <f>O670-H670*LTP3!$D$4/k_n</f>
        <v/>
      </c>
      <c r="W670">
        <f>((LTP3!$D$5)*((P670)*(Q670)-(R670)*(R670))-(S670)*((S670)*(Q670)-(R670)*(T670))+(T670)*((S670)*(R670)-(P670)*(T670)))</f>
        <v/>
      </c>
      <c r="X670">
        <f>IF(ABS(W670)&gt;1E-12,((LTP3!$D$6)*((P670)*(Q670)-(R670)*(R670))-(S670)*((U670)*(Q670)-(R670)*(V670))+(T670)*((U670)*(R670)-(P670)*(V670)))/W670,0)</f>
        <v/>
      </c>
      <c r="Y670">
        <f>IF(ABS(W670)&gt;1E-12,((LTP3!$D$5)*((U670)*(Q670)-(R670)*(V670))-(LTP3!$D$6)*((S670)*(Q670)-(R670)*(T670))+(T670)*((S670)*(V670)-(U670)*(T670)))/W670,0)</f>
        <v/>
      </c>
      <c r="Z670">
        <f>IF(ABS(W670)&gt;1E-12,((LTP3!$D$5)*((P670)*(V670)-(U670)*(R670))-(S670)*((S670)*(V670)-(U670)*(T670))+(LTP3!$D$6)*((S670)*(R670)-(P670)*(T670)))/W670,0)</f>
        <v/>
      </c>
      <c r="AA670">
        <f>LTP3!$D$7-X670*LTP3!$D$6-Y670*U670-Z670*V670</f>
        <v/>
      </c>
      <c r="AB670">
        <f>IF(AND(F670,ABS(W670)&gt;1E-12,Y670&gt;0,Z670&gt;0),AA670,1E+300)</f>
        <v/>
      </c>
    </row>
    <row r="671">
      <c r="A671">
        <f>$B$3+$B$5*10</f>
        <v/>
      </c>
      <c r="B671">
        <f>$B$3+$B$5*49</f>
        <v/>
      </c>
      <c r="C671">
        <f>SUMPRODUCT(Calc!$K$3:$K$22*(Calc!$G$3:$G$22&lt;=A671))</f>
        <v/>
      </c>
      <c r="D671">
        <f>SUMPRODUCT(Calc!$K$3:$K$22*(Calc!$G$3:$G$22&gt;A671)*(Calc!$G$3:$G$22&lt;B671))</f>
        <v/>
      </c>
      <c r="E671">
        <f>SUMPRODUCT(Calc!$K$3:$K$22*(Calc!$G$3:$G$22&gt;=B671))</f>
        <v/>
      </c>
      <c r="F671">
        <f>AND(k_n&gt;=5,B671&gt;A671+1E-9,C671&gt;=2,D671&gt;=1,E671&gt;=2)</f>
        <v/>
      </c>
      <c r="G671">
        <f>SUMPRODUCT(Calc!$K$3:$K$22*(Calc!$G$3:$G$22&gt;A671)*(Calc!$G$3:$G$22-A671))</f>
        <v/>
      </c>
      <c r="H671">
        <f>SUMPRODUCT(Calc!$K$3:$K$22*(Calc!$G$3:$G$22&gt;B671)*(Calc!$G$3:$G$22-B671))</f>
        <v/>
      </c>
      <c r="I671">
        <f>SUMPRODUCT(Calc!$K$3:$K$22*(Calc!$G$3:$G$22&gt;A671)*(Calc!$G$3:$G$22-A671)^2)</f>
        <v/>
      </c>
      <c r="J671">
        <f>SUMPRODUCT(Calc!$K$3:$K$22*(Calc!$G$3:$G$22&gt;B671)*(Calc!$G$3:$G$22-B671)^2)</f>
        <v/>
      </c>
      <c r="K671">
        <f>SUMPRODUCT(Calc!$K$3:$K$22*(Calc!$G$3:$G$22&gt;A671)*(Calc!$G$3:$G$22-A671)*(Calc!$G$3:$G$22&gt;B671)*(Calc!$G$3:$G$22-B671))</f>
        <v/>
      </c>
      <c r="L671">
        <f>SUMPRODUCT(Calc!$K$3:$K$22*(Calc!$G$3:$G$22&gt;A671)*(Calc!$G$3:$G$22-A671)*Calc!$G$3:$G$22)</f>
        <v/>
      </c>
      <c r="M671">
        <f>SUMPRODUCT(Calc!$K$3:$K$22*(Calc!$G$3:$G$22&gt;B671)*(Calc!$G$3:$G$22-B671)*Calc!$G$3:$G$22)</f>
        <v/>
      </c>
      <c r="N671">
        <f>SUMPRODUCT(Calc!$K$3:$K$22*(Calc!$G$3:$G$22&gt;A671)*(Calc!$G$3:$G$22-A671)*Calc!$I$3:$I$22)</f>
        <v/>
      </c>
      <c r="O671">
        <f>SUMPRODUCT(Calc!$K$3:$K$22*(Calc!$G$3:$G$22&gt;B671)*(Calc!$G$3:$G$22-B671)*Calc!$I$3:$I$22)</f>
        <v/>
      </c>
      <c r="P671">
        <f>I671-G671^2/k_n</f>
        <v/>
      </c>
      <c r="Q671">
        <f>J671-H671^2/k_n</f>
        <v/>
      </c>
      <c r="R671">
        <f>K671-G671*H671/k_n</f>
        <v/>
      </c>
      <c r="S671">
        <f>L671-LTP3!$D$3*G671/k_n</f>
        <v/>
      </c>
      <c r="T671">
        <f>M671-LTP3!$D$3*H671/k_n</f>
        <v/>
      </c>
      <c r="U671">
        <f>N671-G671*LTP3!$D$4/k_n</f>
        <v/>
      </c>
      <c r="V671">
        <f>O671-H671*LTP3!$D$4/k_n</f>
        <v/>
      </c>
      <c r="W671">
        <f>((LTP3!$D$5)*((P671)*(Q671)-(R671)*(R671))-(S671)*((S671)*(Q671)-(R671)*(T671))+(T671)*((S671)*(R671)-(P671)*(T671)))</f>
        <v/>
      </c>
      <c r="X671">
        <f>IF(ABS(W671)&gt;1E-12,((LTP3!$D$6)*((P671)*(Q671)-(R671)*(R671))-(S671)*((U671)*(Q671)-(R671)*(V671))+(T671)*((U671)*(R671)-(P671)*(V671)))/W671,0)</f>
        <v/>
      </c>
      <c r="Y671">
        <f>IF(ABS(W671)&gt;1E-12,((LTP3!$D$5)*((U671)*(Q671)-(R671)*(V671))-(LTP3!$D$6)*((S671)*(Q671)-(R671)*(T671))+(T671)*((S671)*(V671)-(U671)*(T671)))/W671,0)</f>
        <v/>
      </c>
      <c r="Z671">
        <f>IF(ABS(W671)&gt;1E-12,((LTP3!$D$5)*((P671)*(V671)-(U671)*(R671))-(S671)*((S671)*(V671)-(U671)*(T671))+(LTP3!$D$6)*((S671)*(R671)-(P671)*(T671)))/W671,0)</f>
        <v/>
      </c>
      <c r="AA671">
        <f>LTP3!$D$7-X671*LTP3!$D$6-Y671*U671-Z671*V671</f>
        <v/>
      </c>
      <c r="AB671">
        <f>IF(AND(F671,ABS(W671)&gt;1E-12,Y671&gt;0,Z671&gt;0),AA671,1E+300)</f>
        <v/>
      </c>
    </row>
    <row r="672">
      <c r="A672">
        <f>$B$3+$B$5*10</f>
        <v/>
      </c>
      <c r="B672">
        <f>$B$3+$B$5*50</f>
        <v/>
      </c>
      <c r="C672">
        <f>SUMPRODUCT(Calc!$K$3:$K$22*(Calc!$G$3:$G$22&lt;=A672))</f>
        <v/>
      </c>
      <c r="D672">
        <f>SUMPRODUCT(Calc!$K$3:$K$22*(Calc!$G$3:$G$22&gt;A672)*(Calc!$G$3:$G$22&lt;B672))</f>
        <v/>
      </c>
      <c r="E672">
        <f>SUMPRODUCT(Calc!$K$3:$K$22*(Calc!$G$3:$G$22&gt;=B672))</f>
        <v/>
      </c>
      <c r="F672">
        <f>AND(k_n&gt;=5,B672&gt;A672+1E-9,C672&gt;=2,D672&gt;=1,E672&gt;=2)</f>
        <v/>
      </c>
      <c r="G672">
        <f>SUMPRODUCT(Calc!$K$3:$K$22*(Calc!$G$3:$G$22&gt;A672)*(Calc!$G$3:$G$22-A672))</f>
        <v/>
      </c>
      <c r="H672">
        <f>SUMPRODUCT(Calc!$K$3:$K$22*(Calc!$G$3:$G$22&gt;B672)*(Calc!$G$3:$G$22-B672))</f>
        <v/>
      </c>
      <c r="I672">
        <f>SUMPRODUCT(Calc!$K$3:$K$22*(Calc!$G$3:$G$22&gt;A672)*(Calc!$G$3:$G$22-A672)^2)</f>
        <v/>
      </c>
      <c r="J672">
        <f>SUMPRODUCT(Calc!$K$3:$K$22*(Calc!$G$3:$G$22&gt;B672)*(Calc!$G$3:$G$22-B672)^2)</f>
        <v/>
      </c>
      <c r="K672">
        <f>SUMPRODUCT(Calc!$K$3:$K$22*(Calc!$G$3:$G$22&gt;A672)*(Calc!$G$3:$G$22-A672)*(Calc!$G$3:$G$22&gt;B672)*(Calc!$G$3:$G$22-B672))</f>
        <v/>
      </c>
      <c r="L672">
        <f>SUMPRODUCT(Calc!$K$3:$K$22*(Calc!$G$3:$G$22&gt;A672)*(Calc!$G$3:$G$22-A672)*Calc!$G$3:$G$22)</f>
        <v/>
      </c>
      <c r="M672">
        <f>SUMPRODUCT(Calc!$K$3:$K$22*(Calc!$G$3:$G$22&gt;B672)*(Calc!$G$3:$G$22-B672)*Calc!$G$3:$G$22)</f>
        <v/>
      </c>
      <c r="N672">
        <f>SUMPRODUCT(Calc!$K$3:$K$22*(Calc!$G$3:$G$22&gt;A672)*(Calc!$G$3:$G$22-A672)*Calc!$I$3:$I$22)</f>
        <v/>
      </c>
      <c r="O672">
        <f>SUMPRODUCT(Calc!$K$3:$K$22*(Calc!$G$3:$G$22&gt;B672)*(Calc!$G$3:$G$22-B672)*Calc!$I$3:$I$22)</f>
        <v/>
      </c>
      <c r="P672">
        <f>I672-G672^2/k_n</f>
        <v/>
      </c>
      <c r="Q672">
        <f>J672-H672^2/k_n</f>
        <v/>
      </c>
      <c r="R672">
        <f>K672-G672*H672/k_n</f>
        <v/>
      </c>
      <c r="S672">
        <f>L672-LTP3!$D$3*G672/k_n</f>
        <v/>
      </c>
      <c r="T672">
        <f>M672-LTP3!$D$3*H672/k_n</f>
        <v/>
      </c>
      <c r="U672">
        <f>N672-G672*LTP3!$D$4/k_n</f>
        <v/>
      </c>
      <c r="V672">
        <f>O672-H672*LTP3!$D$4/k_n</f>
        <v/>
      </c>
      <c r="W672">
        <f>((LTP3!$D$5)*((P672)*(Q672)-(R672)*(R672))-(S672)*((S672)*(Q672)-(R672)*(T672))+(T672)*((S672)*(R672)-(P672)*(T672)))</f>
        <v/>
      </c>
      <c r="X672">
        <f>IF(ABS(W672)&gt;1E-12,((LTP3!$D$6)*((P672)*(Q672)-(R672)*(R672))-(S672)*((U672)*(Q672)-(R672)*(V672))+(T672)*((U672)*(R672)-(P672)*(V672)))/W672,0)</f>
        <v/>
      </c>
      <c r="Y672">
        <f>IF(ABS(W672)&gt;1E-12,((LTP3!$D$5)*((U672)*(Q672)-(R672)*(V672))-(LTP3!$D$6)*((S672)*(Q672)-(R672)*(T672))+(T672)*((S672)*(V672)-(U672)*(T672)))/W672,0)</f>
        <v/>
      </c>
      <c r="Z672">
        <f>IF(ABS(W672)&gt;1E-12,((LTP3!$D$5)*((P672)*(V672)-(U672)*(R672))-(S672)*((S672)*(V672)-(U672)*(T672))+(LTP3!$D$6)*((S672)*(R672)-(P672)*(T672)))/W672,0)</f>
        <v/>
      </c>
      <c r="AA672">
        <f>LTP3!$D$7-X672*LTP3!$D$6-Y672*U672-Z672*V672</f>
        <v/>
      </c>
      <c r="AB672">
        <f>IF(AND(F672,ABS(W672)&gt;1E-12,Y672&gt;0,Z672&gt;0),AA672,1E+300)</f>
        <v/>
      </c>
    </row>
    <row r="673">
      <c r="A673">
        <f>$B$3+$B$5*10</f>
        <v/>
      </c>
      <c r="B673">
        <f>$B$3+$B$5*51</f>
        <v/>
      </c>
      <c r="C673">
        <f>SUMPRODUCT(Calc!$K$3:$K$22*(Calc!$G$3:$G$22&lt;=A673))</f>
        <v/>
      </c>
      <c r="D673">
        <f>SUMPRODUCT(Calc!$K$3:$K$22*(Calc!$G$3:$G$22&gt;A673)*(Calc!$G$3:$G$22&lt;B673))</f>
        <v/>
      </c>
      <c r="E673">
        <f>SUMPRODUCT(Calc!$K$3:$K$22*(Calc!$G$3:$G$22&gt;=B673))</f>
        <v/>
      </c>
      <c r="F673">
        <f>AND(k_n&gt;=5,B673&gt;A673+1E-9,C673&gt;=2,D673&gt;=1,E673&gt;=2)</f>
        <v/>
      </c>
      <c r="G673">
        <f>SUMPRODUCT(Calc!$K$3:$K$22*(Calc!$G$3:$G$22&gt;A673)*(Calc!$G$3:$G$22-A673))</f>
        <v/>
      </c>
      <c r="H673">
        <f>SUMPRODUCT(Calc!$K$3:$K$22*(Calc!$G$3:$G$22&gt;B673)*(Calc!$G$3:$G$22-B673))</f>
        <v/>
      </c>
      <c r="I673">
        <f>SUMPRODUCT(Calc!$K$3:$K$22*(Calc!$G$3:$G$22&gt;A673)*(Calc!$G$3:$G$22-A673)^2)</f>
        <v/>
      </c>
      <c r="J673">
        <f>SUMPRODUCT(Calc!$K$3:$K$22*(Calc!$G$3:$G$22&gt;B673)*(Calc!$G$3:$G$22-B673)^2)</f>
        <v/>
      </c>
      <c r="K673">
        <f>SUMPRODUCT(Calc!$K$3:$K$22*(Calc!$G$3:$G$22&gt;A673)*(Calc!$G$3:$G$22-A673)*(Calc!$G$3:$G$22&gt;B673)*(Calc!$G$3:$G$22-B673))</f>
        <v/>
      </c>
      <c r="L673">
        <f>SUMPRODUCT(Calc!$K$3:$K$22*(Calc!$G$3:$G$22&gt;A673)*(Calc!$G$3:$G$22-A673)*Calc!$G$3:$G$22)</f>
        <v/>
      </c>
      <c r="M673">
        <f>SUMPRODUCT(Calc!$K$3:$K$22*(Calc!$G$3:$G$22&gt;B673)*(Calc!$G$3:$G$22-B673)*Calc!$G$3:$G$22)</f>
        <v/>
      </c>
      <c r="N673">
        <f>SUMPRODUCT(Calc!$K$3:$K$22*(Calc!$G$3:$G$22&gt;A673)*(Calc!$G$3:$G$22-A673)*Calc!$I$3:$I$22)</f>
        <v/>
      </c>
      <c r="O673">
        <f>SUMPRODUCT(Calc!$K$3:$K$22*(Calc!$G$3:$G$22&gt;B673)*(Calc!$G$3:$G$22-B673)*Calc!$I$3:$I$22)</f>
        <v/>
      </c>
      <c r="P673">
        <f>I673-G673^2/k_n</f>
        <v/>
      </c>
      <c r="Q673">
        <f>J673-H673^2/k_n</f>
        <v/>
      </c>
      <c r="R673">
        <f>K673-G673*H673/k_n</f>
        <v/>
      </c>
      <c r="S673">
        <f>L673-LTP3!$D$3*G673/k_n</f>
        <v/>
      </c>
      <c r="T673">
        <f>M673-LTP3!$D$3*H673/k_n</f>
        <v/>
      </c>
      <c r="U673">
        <f>N673-G673*LTP3!$D$4/k_n</f>
        <v/>
      </c>
      <c r="V673">
        <f>O673-H673*LTP3!$D$4/k_n</f>
        <v/>
      </c>
      <c r="W673">
        <f>((LTP3!$D$5)*((P673)*(Q673)-(R673)*(R673))-(S673)*((S673)*(Q673)-(R673)*(T673))+(T673)*((S673)*(R673)-(P673)*(T673)))</f>
        <v/>
      </c>
      <c r="X673">
        <f>IF(ABS(W673)&gt;1E-12,((LTP3!$D$6)*((P673)*(Q673)-(R673)*(R673))-(S673)*((U673)*(Q673)-(R673)*(V673))+(T673)*((U673)*(R673)-(P673)*(V673)))/W673,0)</f>
        <v/>
      </c>
      <c r="Y673">
        <f>IF(ABS(W673)&gt;1E-12,((LTP3!$D$5)*((U673)*(Q673)-(R673)*(V673))-(LTP3!$D$6)*((S673)*(Q673)-(R673)*(T673))+(T673)*((S673)*(V673)-(U673)*(T673)))/W673,0)</f>
        <v/>
      </c>
      <c r="Z673">
        <f>IF(ABS(W673)&gt;1E-12,((LTP3!$D$5)*((P673)*(V673)-(U673)*(R673))-(S673)*((S673)*(V673)-(U673)*(T673))+(LTP3!$D$6)*((S673)*(R673)-(P673)*(T673)))/W673,0)</f>
        <v/>
      </c>
      <c r="AA673">
        <f>LTP3!$D$7-X673*LTP3!$D$6-Y673*U673-Z673*V673</f>
        <v/>
      </c>
      <c r="AB673">
        <f>IF(AND(F673,ABS(W673)&gt;1E-12,Y673&gt;0,Z673&gt;0),AA673,1E+300)</f>
        <v/>
      </c>
    </row>
    <row r="674">
      <c r="A674">
        <f>$B$3+$B$5*10</f>
        <v/>
      </c>
      <c r="B674">
        <f>$B$3+$B$5*52</f>
        <v/>
      </c>
      <c r="C674">
        <f>SUMPRODUCT(Calc!$K$3:$K$22*(Calc!$G$3:$G$22&lt;=A674))</f>
        <v/>
      </c>
      <c r="D674">
        <f>SUMPRODUCT(Calc!$K$3:$K$22*(Calc!$G$3:$G$22&gt;A674)*(Calc!$G$3:$G$22&lt;B674))</f>
        <v/>
      </c>
      <c r="E674">
        <f>SUMPRODUCT(Calc!$K$3:$K$22*(Calc!$G$3:$G$22&gt;=B674))</f>
        <v/>
      </c>
      <c r="F674">
        <f>AND(k_n&gt;=5,B674&gt;A674+1E-9,C674&gt;=2,D674&gt;=1,E674&gt;=2)</f>
        <v/>
      </c>
      <c r="G674">
        <f>SUMPRODUCT(Calc!$K$3:$K$22*(Calc!$G$3:$G$22&gt;A674)*(Calc!$G$3:$G$22-A674))</f>
        <v/>
      </c>
      <c r="H674">
        <f>SUMPRODUCT(Calc!$K$3:$K$22*(Calc!$G$3:$G$22&gt;B674)*(Calc!$G$3:$G$22-B674))</f>
        <v/>
      </c>
      <c r="I674">
        <f>SUMPRODUCT(Calc!$K$3:$K$22*(Calc!$G$3:$G$22&gt;A674)*(Calc!$G$3:$G$22-A674)^2)</f>
        <v/>
      </c>
      <c r="J674">
        <f>SUMPRODUCT(Calc!$K$3:$K$22*(Calc!$G$3:$G$22&gt;B674)*(Calc!$G$3:$G$22-B674)^2)</f>
        <v/>
      </c>
      <c r="K674">
        <f>SUMPRODUCT(Calc!$K$3:$K$22*(Calc!$G$3:$G$22&gt;A674)*(Calc!$G$3:$G$22-A674)*(Calc!$G$3:$G$22&gt;B674)*(Calc!$G$3:$G$22-B674))</f>
        <v/>
      </c>
      <c r="L674">
        <f>SUMPRODUCT(Calc!$K$3:$K$22*(Calc!$G$3:$G$22&gt;A674)*(Calc!$G$3:$G$22-A674)*Calc!$G$3:$G$22)</f>
        <v/>
      </c>
      <c r="M674">
        <f>SUMPRODUCT(Calc!$K$3:$K$22*(Calc!$G$3:$G$22&gt;B674)*(Calc!$G$3:$G$22-B674)*Calc!$G$3:$G$22)</f>
        <v/>
      </c>
      <c r="N674">
        <f>SUMPRODUCT(Calc!$K$3:$K$22*(Calc!$G$3:$G$22&gt;A674)*(Calc!$G$3:$G$22-A674)*Calc!$I$3:$I$22)</f>
        <v/>
      </c>
      <c r="O674">
        <f>SUMPRODUCT(Calc!$K$3:$K$22*(Calc!$G$3:$G$22&gt;B674)*(Calc!$G$3:$G$22-B674)*Calc!$I$3:$I$22)</f>
        <v/>
      </c>
      <c r="P674">
        <f>I674-G674^2/k_n</f>
        <v/>
      </c>
      <c r="Q674">
        <f>J674-H674^2/k_n</f>
        <v/>
      </c>
      <c r="R674">
        <f>K674-G674*H674/k_n</f>
        <v/>
      </c>
      <c r="S674">
        <f>L674-LTP3!$D$3*G674/k_n</f>
        <v/>
      </c>
      <c r="T674">
        <f>M674-LTP3!$D$3*H674/k_n</f>
        <v/>
      </c>
      <c r="U674">
        <f>N674-G674*LTP3!$D$4/k_n</f>
        <v/>
      </c>
      <c r="V674">
        <f>O674-H674*LTP3!$D$4/k_n</f>
        <v/>
      </c>
      <c r="W674">
        <f>((LTP3!$D$5)*((P674)*(Q674)-(R674)*(R674))-(S674)*((S674)*(Q674)-(R674)*(T674))+(T674)*((S674)*(R674)-(P674)*(T674)))</f>
        <v/>
      </c>
      <c r="X674">
        <f>IF(ABS(W674)&gt;1E-12,((LTP3!$D$6)*((P674)*(Q674)-(R674)*(R674))-(S674)*((U674)*(Q674)-(R674)*(V674))+(T674)*((U674)*(R674)-(P674)*(V674)))/W674,0)</f>
        <v/>
      </c>
      <c r="Y674">
        <f>IF(ABS(W674)&gt;1E-12,((LTP3!$D$5)*((U674)*(Q674)-(R674)*(V674))-(LTP3!$D$6)*((S674)*(Q674)-(R674)*(T674))+(T674)*((S674)*(V674)-(U674)*(T674)))/W674,0)</f>
        <v/>
      </c>
      <c r="Z674">
        <f>IF(ABS(W674)&gt;1E-12,((LTP3!$D$5)*((P674)*(V674)-(U674)*(R674))-(S674)*((S674)*(V674)-(U674)*(T674))+(LTP3!$D$6)*((S674)*(R674)-(P674)*(T674)))/W674,0)</f>
        <v/>
      </c>
      <c r="AA674">
        <f>LTP3!$D$7-X674*LTP3!$D$6-Y674*U674-Z674*V674</f>
        <v/>
      </c>
      <c r="AB674">
        <f>IF(AND(F674,ABS(W674)&gt;1E-12,Y674&gt;0,Z674&gt;0),AA674,1E+300)</f>
        <v/>
      </c>
    </row>
    <row r="675">
      <c r="A675">
        <f>$B$3+$B$5*10</f>
        <v/>
      </c>
      <c r="B675">
        <f>$B$3+$B$5*53</f>
        <v/>
      </c>
      <c r="C675">
        <f>SUMPRODUCT(Calc!$K$3:$K$22*(Calc!$G$3:$G$22&lt;=A675))</f>
        <v/>
      </c>
      <c r="D675">
        <f>SUMPRODUCT(Calc!$K$3:$K$22*(Calc!$G$3:$G$22&gt;A675)*(Calc!$G$3:$G$22&lt;B675))</f>
        <v/>
      </c>
      <c r="E675">
        <f>SUMPRODUCT(Calc!$K$3:$K$22*(Calc!$G$3:$G$22&gt;=B675))</f>
        <v/>
      </c>
      <c r="F675">
        <f>AND(k_n&gt;=5,B675&gt;A675+1E-9,C675&gt;=2,D675&gt;=1,E675&gt;=2)</f>
        <v/>
      </c>
      <c r="G675">
        <f>SUMPRODUCT(Calc!$K$3:$K$22*(Calc!$G$3:$G$22&gt;A675)*(Calc!$G$3:$G$22-A675))</f>
        <v/>
      </c>
      <c r="H675">
        <f>SUMPRODUCT(Calc!$K$3:$K$22*(Calc!$G$3:$G$22&gt;B675)*(Calc!$G$3:$G$22-B675))</f>
        <v/>
      </c>
      <c r="I675">
        <f>SUMPRODUCT(Calc!$K$3:$K$22*(Calc!$G$3:$G$22&gt;A675)*(Calc!$G$3:$G$22-A675)^2)</f>
        <v/>
      </c>
      <c r="J675">
        <f>SUMPRODUCT(Calc!$K$3:$K$22*(Calc!$G$3:$G$22&gt;B675)*(Calc!$G$3:$G$22-B675)^2)</f>
        <v/>
      </c>
      <c r="K675">
        <f>SUMPRODUCT(Calc!$K$3:$K$22*(Calc!$G$3:$G$22&gt;A675)*(Calc!$G$3:$G$22-A675)*(Calc!$G$3:$G$22&gt;B675)*(Calc!$G$3:$G$22-B675))</f>
        <v/>
      </c>
      <c r="L675">
        <f>SUMPRODUCT(Calc!$K$3:$K$22*(Calc!$G$3:$G$22&gt;A675)*(Calc!$G$3:$G$22-A675)*Calc!$G$3:$G$22)</f>
        <v/>
      </c>
      <c r="M675">
        <f>SUMPRODUCT(Calc!$K$3:$K$22*(Calc!$G$3:$G$22&gt;B675)*(Calc!$G$3:$G$22-B675)*Calc!$G$3:$G$22)</f>
        <v/>
      </c>
      <c r="N675">
        <f>SUMPRODUCT(Calc!$K$3:$K$22*(Calc!$G$3:$G$22&gt;A675)*(Calc!$G$3:$G$22-A675)*Calc!$I$3:$I$22)</f>
        <v/>
      </c>
      <c r="O675">
        <f>SUMPRODUCT(Calc!$K$3:$K$22*(Calc!$G$3:$G$22&gt;B675)*(Calc!$G$3:$G$22-B675)*Calc!$I$3:$I$22)</f>
        <v/>
      </c>
      <c r="P675">
        <f>I675-G675^2/k_n</f>
        <v/>
      </c>
      <c r="Q675">
        <f>J675-H675^2/k_n</f>
        <v/>
      </c>
      <c r="R675">
        <f>K675-G675*H675/k_n</f>
        <v/>
      </c>
      <c r="S675">
        <f>L675-LTP3!$D$3*G675/k_n</f>
        <v/>
      </c>
      <c r="T675">
        <f>M675-LTP3!$D$3*H675/k_n</f>
        <v/>
      </c>
      <c r="U675">
        <f>N675-G675*LTP3!$D$4/k_n</f>
        <v/>
      </c>
      <c r="V675">
        <f>O675-H675*LTP3!$D$4/k_n</f>
        <v/>
      </c>
      <c r="W675">
        <f>((LTP3!$D$5)*((P675)*(Q675)-(R675)*(R675))-(S675)*((S675)*(Q675)-(R675)*(T675))+(T675)*((S675)*(R675)-(P675)*(T675)))</f>
        <v/>
      </c>
      <c r="X675">
        <f>IF(ABS(W675)&gt;1E-12,((LTP3!$D$6)*((P675)*(Q675)-(R675)*(R675))-(S675)*((U675)*(Q675)-(R675)*(V675))+(T675)*((U675)*(R675)-(P675)*(V675)))/W675,0)</f>
        <v/>
      </c>
      <c r="Y675">
        <f>IF(ABS(W675)&gt;1E-12,((LTP3!$D$5)*((U675)*(Q675)-(R675)*(V675))-(LTP3!$D$6)*((S675)*(Q675)-(R675)*(T675))+(T675)*((S675)*(V675)-(U675)*(T675)))/W675,0)</f>
        <v/>
      </c>
      <c r="Z675">
        <f>IF(ABS(W675)&gt;1E-12,((LTP3!$D$5)*((P675)*(V675)-(U675)*(R675))-(S675)*((S675)*(V675)-(U675)*(T675))+(LTP3!$D$6)*((S675)*(R675)-(P675)*(T675)))/W675,0)</f>
        <v/>
      </c>
      <c r="AA675">
        <f>LTP3!$D$7-X675*LTP3!$D$6-Y675*U675-Z675*V675</f>
        <v/>
      </c>
      <c r="AB675">
        <f>IF(AND(F675,ABS(W675)&gt;1E-12,Y675&gt;0,Z675&gt;0),AA675,1E+300)</f>
        <v/>
      </c>
    </row>
    <row r="676">
      <c r="A676">
        <f>$B$3+$B$5*10</f>
        <v/>
      </c>
      <c r="B676">
        <f>$B$3+$B$5*54</f>
        <v/>
      </c>
      <c r="C676">
        <f>SUMPRODUCT(Calc!$K$3:$K$22*(Calc!$G$3:$G$22&lt;=A676))</f>
        <v/>
      </c>
      <c r="D676">
        <f>SUMPRODUCT(Calc!$K$3:$K$22*(Calc!$G$3:$G$22&gt;A676)*(Calc!$G$3:$G$22&lt;B676))</f>
        <v/>
      </c>
      <c r="E676">
        <f>SUMPRODUCT(Calc!$K$3:$K$22*(Calc!$G$3:$G$22&gt;=B676))</f>
        <v/>
      </c>
      <c r="F676">
        <f>AND(k_n&gt;=5,B676&gt;A676+1E-9,C676&gt;=2,D676&gt;=1,E676&gt;=2)</f>
        <v/>
      </c>
      <c r="G676">
        <f>SUMPRODUCT(Calc!$K$3:$K$22*(Calc!$G$3:$G$22&gt;A676)*(Calc!$G$3:$G$22-A676))</f>
        <v/>
      </c>
      <c r="H676">
        <f>SUMPRODUCT(Calc!$K$3:$K$22*(Calc!$G$3:$G$22&gt;B676)*(Calc!$G$3:$G$22-B676))</f>
        <v/>
      </c>
      <c r="I676">
        <f>SUMPRODUCT(Calc!$K$3:$K$22*(Calc!$G$3:$G$22&gt;A676)*(Calc!$G$3:$G$22-A676)^2)</f>
        <v/>
      </c>
      <c r="J676">
        <f>SUMPRODUCT(Calc!$K$3:$K$22*(Calc!$G$3:$G$22&gt;B676)*(Calc!$G$3:$G$22-B676)^2)</f>
        <v/>
      </c>
      <c r="K676">
        <f>SUMPRODUCT(Calc!$K$3:$K$22*(Calc!$G$3:$G$22&gt;A676)*(Calc!$G$3:$G$22-A676)*(Calc!$G$3:$G$22&gt;B676)*(Calc!$G$3:$G$22-B676))</f>
        <v/>
      </c>
      <c r="L676">
        <f>SUMPRODUCT(Calc!$K$3:$K$22*(Calc!$G$3:$G$22&gt;A676)*(Calc!$G$3:$G$22-A676)*Calc!$G$3:$G$22)</f>
        <v/>
      </c>
      <c r="M676">
        <f>SUMPRODUCT(Calc!$K$3:$K$22*(Calc!$G$3:$G$22&gt;B676)*(Calc!$G$3:$G$22-B676)*Calc!$G$3:$G$22)</f>
        <v/>
      </c>
      <c r="N676">
        <f>SUMPRODUCT(Calc!$K$3:$K$22*(Calc!$G$3:$G$22&gt;A676)*(Calc!$G$3:$G$22-A676)*Calc!$I$3:$I$22)</f>
        <v/>
      </c>
      <c r="O676">
        <f>SUMPRODUCT(Calc!$K$3:$K$22*(Calc!$G$3:$G$22&gt;B676)*(Calc!$G$3:$G$22-B676)*Calc!$I$3:$I$22)</f>
        <v/>
      </c>
      <c r="P676">
        <f>I676-G676^2/k_n</f>
        <v/>
      </c>
      <c r="Q676">
        <f>J676-H676^2/k_n</f>
        <v/>
      </c>
      <c r="R676">
        <f>K676-G676*H676/k_n</f>
        <v/>
      </c>
      <c r="S676">
        <f>L676-LTP3!$D$3*G676/k_n</f>
        <v/>
      </c>
      <c r="T676">
        <f>M676-LTP3!$D$3*H676/k_n</f>
        <v/>
      </c>
      <c r="U676">
        <f>N676-G676*LTP3!$D$4/k_n</f>
        <v/>
      </c>
      <c r="V676">
        <f>O676-H676*LTP3!$D$4/k_n</f>
        <v/>
      </c>
      <c r="W676">
        <f>((LTP3!$D$5)*((P676)*(Q676)-(R676)*(R676))-(S676)*((S676)*(Q676)-(R676)*(T676))+(T676)*((S676)*(R676)-(P676)*(T676)))</f>
        <v/>
      </c>
      <c r="X676">
        <f>IF(ABS(W676)&gt;1E-12,((LTP3!$D$6)*((P676)*(Q676)-(R676)*(R676))-(S676)*((U676)*(Q676)-(R676)*(V676))+(T676)*((U676)*(R676)-(P676)*(V676)))/W676,0)</f>
        <v/>
      </c>
      <c r="Y676">
        <f>IF(ABS(W676)&gt;1E-12,((LTP3!$D$5)*((U676)*(Q676)-(R676)*(V676))-(LTP3!$D$6)*((S676)*(Q676)-(R676)*(T676))+(T676)*((S676)*(V676)-(U676)*(T676)))/W676,0)</f>
        <v/>
      </c>
      <c r="Z676">
        <f>IF(ABS(W676)&gt;1E-12,((LTP3!$D$5)*((P676)*(V676)-(U676)*(R676))-(S676)*((S676)*(V676)-(U676)*(T676))+(LTP3!$D$6)*((S676)*(R676)-(P676)*(T676)))/W676,0)</f>
        <v/>
      </c>
      <c r="AA676">
        <f>LTP3!$D$7-X676*LTP3!$D$6-Y676*U676-Z676*V676</f>
        <v/>
      </c>
      <c r="AB676">
        <f>IF(AND(F676,ABS(W676)&gt;1E-12,Y676&gt;0,Z676&gt;0),AA676,1E+300)</f>
        <v/>
      </c>
    </row>
    <row r="677">
      <c r="A677">
        <f>$B$3+$B$5*10</f>
        <v/>
      </c>
      <c r="B677">
        <f>$B$3+$B$5*55</f>
        <v/>
      </c>
      <c r="C677">
        <f>SUMPRODUCT(Calc!$K$3:$K$22*(Calc!$G$3:$G$22&lt;=A677))</f>
        <v/>
      </c>
      <c r="D677">
        <f>SUMPRODUCT(Calc!$K$3:$K$22*(Calc!$G$3:$G$22&gt;A677)*(Calc!$G$3:$G$22&lt;B677))</f>
        <v/>
      </c>
      <c r="E677">
        <f>SUMPRODUCT(Calc!$K$3:$K$22*(Calc!$G$3:$G$22&gt;=B677))</f>
        <v/>
      </c>
      <c r="F677">
        <f>AND(k_n&gt;=5,B677&gt;A677+1E-9,C677&gt;=2,D677&gt;=1,E677&gt;=2)</f>
        <v/>
      </c>
      <c r="G677">
        <f>SUMPRODUCT(Calc!$K$3:$K$22*(Calc!$G$3:$G$22&gt;A677)*(Calc!$G$3:$G$22-A677))</f>
        <v/>
      </c>
      <c r="H677">
        <f>SUMPRODUCT(Calc!$K$3:$K$22*(Calc!$G$3:$G$22&gt;B677)*(Calc!$G$3:$G$22-B677))</f>
        <v/>
      </c>
      <c r="I677">
        <f>SUMPRODUCT(Calc!$K$3:$K$22*(Calc!$G$3:$G$22&gt;A677)*(Calc!$G$3:$G$22-A677)^2)</f>
        <v/>
      </c>
      <c r="J677">
        <f>SUMPRODUCT(Calc!$K$3:$K$22*(Calc!$G$3:$G$22&gt;B677)*(Calc!$G$3:$G$22-B677)^2)</f>
        <v/>
      </c>
      <c r="K677">
        <f>SUMPRODUCT(Calc!$K$3:$K$22*(Calc!$G$3:$G$22&gt;A677)*(Calc!$G$3:$G$22-A677)*(Calc!$G$3:$G$22&gt;B677)*(Calc!$G$3:$G$22-B677))</f>
        <v/>
      </c>
      <c r="L677">
        <f>SUMPRODUCT(Calc!$K$3:$K$22*(Calc!$G$3:$G$22&gt;A677)*(Calc!$G$3:$G$22-A677)*Calc!$G$3:$G$22)</f>
        <v/>
      </c>
      <c r="M677">
        <f>SUMPRODUCT(Calc!$K$3:$K$22*(Calc!$G$3:$G$22&gt;B677)*(Calc!$G$3:$G$22-B677)*Calc!$G$3:$G$22)</f>
        <v/>
      </c>
      <c r="N677">
        <f>SUMPRODUCT(Calc!$K$3:$K$22*(Calc!$G$3:$G$22&gt;A677)*(Calc!$G$3:$G$22-A677)*Calc!$I$3:$I$22)</f>
        <v/>
      </c>
      <c r="O677">
        <f>SUMPRODUCT(Calc!$K$3:$K$22*(Calc!$G$3:$G$22&gt;B677)*(Calc!$G$3:$G$22-B677)*Calc!$I$3:$I$22)</f>
        <v/>
      </c>
      <c r="P677">
        <f>I677-G677^2/k_n</f>
        <v/>
      </c>
      <c r="Q677">
        <f>J677-H677^2/k_n</f>
        <v/>
      </c>
      <c r="R677">
        <f>K677-G677*H677/k_n</f>
        <v/>
      </c>
      <c r="S677">
        <f>L677-LTP3!$D$3*G677/k_n</f>
        <v/>
      </c>
      <c r="T677">
        <f>M677-LTP3!$D$3*H677/k_n</f>
        <v/>
      </c>
      <c r="U677">
        <f>N677-G677*LTP3!$D$4/k_n</f>
        <v/>
      </c>
      <c r="V677">
        <f>O677-H677*LTP3!$D$4/k_n</f>
        <v/>
      </c>
      <c r="W677">
        <f>((LTP3!$D$5)*((P677)*(Q677)-(R677)*(R677))-(S677)*((S677)*(Q677)-(R677)*(T677))+(T677)*((S677)*(R677)-(P677)*(T677)))</f>
        <v/>
      </c>
      <c r="X677">
        <f>IF(ABS(W677)&gt;1E-12,((LTP3!$D$6)*((P677)*(Q677)-(R677)*(R677))-(S677)*((U677)*(Q677)-(R677)*(V677))+(T677)*((U677)*(R677)-(P677)*(V677)))/W677,0)</f>
        <v/>
      </c>
      <c r="Y677">
        <f>IF(ABS(W677)&gt;1E-12,((LTP3!$D$5)*((U677)*(Q677)-(R677)*(V677))-(LTP3!$D$6)*((S677)*(Q677)-(R677)*(T677))+(T677)*((S677)*(V677)-(U677)*(T677)))/W677,0)</f>
        <v/>
      </c>
      <c r="Z677">
        <f>IF(ABS(W677)&gt;1E-12,((LTP3!$D$5)*((P677)*(V677)-(U677)*(R677))-(S677)*((S677)*(V677)-(U677)*(T677))+(LTP3!$D$6)*((S677)*(R677)-(P677)*(T677)))/W677,0)</f>
        <v/>
      </c>
      <c r="AA677">
        <f>LTP3!$D$7-X677*LTP3!$D$6-Y677*U677-Z677*V677</f>
        <v/>
      </c>
      <c r="AB677">
        <f>IF(AND(F677,ABS(W677)&gt;1E-12,Y677&gt;0,Z677&gt;0),AA677,1E+300)</f>
        <v/>
      </c>
    </row>
    <row r="678">
      <c r="A678">
        <f>$B$3+$B$5*10</f>
        <v/>
      </c>
      <c r="B678">
        <f>$B$3+$B$5*56</f>
        <v/>
      </c>
      <c r="C678">
        <f>SUMPRODUCT(Calc!$K$3:$K$22*(Calc!$G$3:$G$22&lt;=A678))</f>
        <v/>
      </c>
      <c r="D678">
        <f>SUMPRODUCT(Calc!$K$3:$K$22*(Calc!$G$3:$G$22&gt;A678)*(Calc!$G$3:$G$22&lt;B678))</f>
        <v/>
      </c>
      <c r="E678">
        <f>SUMPRODUCT(Calc!$K$3:$K$22*(Calc!$G$3:$G$22&gt;=B678))</f>
        <v/>
      </c>
      <c r="F678">
        <f>AND(k_n&gt;=5,B678&gt;A678+1E-9,C678&gt;=2,D678&gt;=1,E678&gt;=2)</f>
        <v/>
      </c>
      <c r="G678">
        <f>SUMPRODUCT(Calc!$K$3:$K$22*(Calc!$G$3:$G$22&gt;A678)*(Calc!$G$3:$G$22-A678))</f>
        <v/>
      </c>
      <c r="H678">
        <f>SUMPRODUCT(Calc!$K$3:$K$22*(Calc!$G$3:$G$22&gt;B678)*(Calc!$G$3:$G$22-B678))</f>
        <v/>
      </c>
      <c r="I678">
        <f>SUMPRODUCT(Calc!$K$3:$K$22*(Calc!$G$3:$G$22&gt;A678)*(Calc!$G$3:$G$22-A678)^2)</f>
        <v/>
      </c>
      <c r="J678">
        <f>SUMPRODUCT(Calc!$K$3:$K$22*(Calc!$G$3:$G$22&gt;B678)*(Calc!$G$3:$G$22-B678)^2)</f>
        <v/>
      </c>
      <c r="K678">
        <f>SUMPRODUCT(Calc!$K$3:$K$22*(Calc!$G$3:$G$22&gt;A678)*(Calc!$G$3:$G$22-A678)*(Calc!$G$3:$G$22&gt;B678)*(Calc!$G$3:$G$22-B678))</f>
        <v/>
      </c>
      <c r="L678">
        <f>SUMPRODUCT(Calc!$K$3:$K$22*(Calc!$G$3:$G$22&gt;A678)*(Calc!$G$3:$G$22-A678)*Calc!$G$3:$G$22)</f>
        <v/>
      </c>
      <c r="M678">
        <f>SUMPRODUCT(Calc!$K$3:$K$22*(Calc!$G$3:$G$22&gt;B678)*(Calc!$G$3:$G$22-B678)*Calc!$G$3:$G$22)</f>
        <v/>
      </c>
      <c r="N678">
        <f>SUMPRODUCT(Calc!$K$3:$K$22*(Calc!$G$3:$G$22&gt;A678)*(Calc!$G$3:$G$22-A678)*Calc!$I$3:$I$22)</f>
        <v/>
      </c>
      <c r="O678">
        <f>SUMPRODUCT(Calc!$K$3:$K$22*(Calc!$G$3:$G$22&gt;B678)*(Calc!$G$3:$G$22-B678)*Calc!$I$3:$I$22)</f>
        <v/>
      </c>
      <c r="P678">
        <f>I678-G678^2/k_n</f>
        <v/>
      </c>
      <c r="Q678">
        <f>J678-H678^2/k_n</f>
        <v/>
      </c>
      <c r="R678">
        <f>K678-G678*H678/k_n</f>
        <v/>
      </c>
      <c r="S678">
        <f>L678-LTP3!$D$3*G678/k_n</f>
        <v/>
      </c>
      <c r="T678">
        <f>M678-LTP3!$D$3*H678/k_n</f>
        <v/>
      </c>
      <c r="U678">
        <f>N678-G678*LTP3!$D$4/k_n</f>
        <v/>
      </c>
      <c r="V678">
        <f>O678-H678*LTP3!$D$4/k_n</f>
        <v/>
      </c>
      <c r="W678">
        <f>((LTP3!$D$5)*((P678)*(Q678)-(R678)*(R678))-(S678)*((S678)*(Q678)-(R678)*(T678))+(T678)*((S678)*(R678)-(P678)*(T678)))</f>
        <v/>
      </c>
      <c r="X678">
        <f>IF(ABS(W678)&gt;1E-12,((LTP3!$D$6)*((P678)*(Q678)-(R678)*(R678))-(S678)*((U678)*(Q678)-(R678)*(V678))+(T678)*((U678)*(R678)-(P678)*(V678)))/W678,0)</f>
        <v/>
      </c>
      <c r="Y678">
        <f>IF(ABS(W678)&gt;1E-12,((LTP3!$D$5)*((U678)*(Q678)-(R678)*(V678))-(LTP3!$D$6)*((S678)*(Q678)-(R678)*(T678))+(T678)*((S678)*(V678)-(U678)*(T678)))/W678,0)</f>
        <v/>
      </c>
      <c r="Z678">
        <f>IF(ABS(W678)&gt;1E-12,((LTP3!$D$5)*((P678)*(V678)-(U678)*(R678))-(S678)*((S678)*(V678)-(U678)*(T678))+(LTP3!$D$6)*((S678)*(R678)-(P678)*(T678)))/W678,0)</f>
        <v/>
      </c>
      <c r="AA678">
        <f>LTP3!$D$7-X678*LTP3!$D$6-Y678*U678-Z678*V678</f>
        <v/>
      </c>
      <c r="AB678">
        <f>IF(AND(F678,ABS(W678)&gt;1E-12,Y678&gt;0,Z678&gt;0),AA678,1E+300)</f>
        <v/>
      </c>
    </row>
    <row r="679">
      <c r="A679">
        <f>$B$3+$B$5*10</f>
        <v/>
      </c>
      <c r="B679">
        <f>$B$3+$B$5*57</f>
        <v/>
      </c>
      <c r="C679">
        <f>SUMPRODUCT(Calc!$K$3:$K$22*(Calc!$G$3:$G$22&lt;=A679))</f>
        <v/>
      </c>
      <c r="D679">
        <f>SUMPRODUCT(Calc!$K$3:$K$22*(Calc!$G$3:$G$22&gt;A679)*(Calc!$G$3:$G$22&lt;B679))</f>
        <v/>
      </c>
      <c r="E679">
        <f>SUMPRODUCT(Calc!$K$3:$K$22*(Calc!$G$3:$G$22&gt;=B679))</f>
        <v/>
      </c>
      <c r="F679">
        <f>AND(k_n&gt;=5,B679&gt;A679+1E-9,C679&gt;=2,D679&gt;=1,E679&gt;=2)</f>
        <v/>
      </c>
      <c r="G679">
        <f>SUMPRODUCT(Calc!$K$3:$K$22*(Calc!$G$3:$G$22&gt;A679)*(Calc!$G$3:$G$22-A679))</f>
        <v/>
      </c>
      <c r="H679">
        <f>SUMPRODUCT(Calc!$K$3:$K$22*(Calc!$G$3:$G$22&gt;B679)*(Calc!$G$3:$G$22-B679))</f>
        <v/>
      </c>
      <c r="I679">
        <f>SUMPRODUCT(Calc!$K$3:$K$22*(Calc!$G$3:$G$22&gt;A679)*(Calc!$G$3:$G$22-A679)^2)</f>
        <v/>
      </c>
      <c r="J679">
        <f>SUMPRODUCT(Calc!$K$3:$K$22*(Calc!$G$3:$G$22&gt;B679)*(Calc!$G$3:$G$22-B679)^2)</f>
        <v/>
      </c>
      <c r="K679">
        <f>SUMPRODUCT(Calc!$K$3:$K$22*(Calc!$G$3:$G$22&gt;A679)*(Calc!$G$3:$G$22-A679)*(Calc!$G$3:$G$22&gt;B679)*(Calc!$G$3:$G$22-B679))</f>
        <v/>
      </c>
      <c r="L679">
        <f>SUMPRODUCT(Calc!$K$3:$K$22*(Calc!$G$3:$G$22&gt;A679)*(Calc!$G$3:$G$22-A679)*Calc!$G$3:$G$22)</f>
        <v/>
      </c>
      <c r="M679">
        <f>SUMPRODUCT(Calc!$K$3:$K$22*(Calc!$G$3:$G$22&gt;B679)*(Calc!$G$3:$G$22-B679)*Calc!$G$3:$G$22)</f>
        <v/>
      </c>
      <c r="N679">
        <f>SUMPRODUCT(Calc!$K$3:$K$22*(Calc!$G$3:$G$22&gt;A679)*(Calc!$G$3:$G$22-A679)*Calc!$I$3:$I$22)</f>
        <v/>
      </c>
      <c r="O679">
        <f>SUMPRODUCT(Calc!$K$3:$K$22*(Calc!$G$3:$G$22&gt;B679)*(Calc!$G$3:$G$22-B679)*Calc!$I$3:$I$22)</f>
        <v/>
      </c>
      <c r="P679">
        <f>I679-G679^2/k_n</f>
        <v/>
      </c>
      <c r="Q679">
        <f>J679-H679^2/k_n</f>
        <v/>
      </c>
      <c r="R679">
        <f>K679-G679*H679/k_n</f>
        <v/>
      </c>
      <c r="S679">
        <f>L679-LTP3!$D$3*G679/k_n</f>
        <v/>
      </c>
      <c r="T679">
        <f>M679-LTP3!$D$3*H679/k_n</f>
        <v/>
      </c>
      <c r="U679">
        <f>N679-G679*LTP3!$D$4/k_n</f>
        <v/>
      </c>
      <c r="V679">
        <f>O679-H679*LTP3!$D$4/k_n</f>
        <v/>
      </c>
      <c r="W679">
        <f>((LTP3!$D$5)*((P679)*(Q679)-(R679)*(R679))-(S679)*((S679)*(Q679)-(R679)*(T679))+(T679)*((S679)*(R679)-(P679)*(T679)))</f>
        <v/>
      </c>
      <c r="X679">
        <f>IF(ABS(W679)&gt;1E-12,((LTP3!$D$6)*((P679)*(Q679)-(R679)*(R679))-(S679)*((U679)*(Q679)-(R679)*(V679))+(T679)*((U679)*(R679)-(P679)*(V679)))/W679,0)</f>
        <v/>
      </c>
      <c r="Y679">
        <f>IF(ABS(W679)&gt;1E-12,((LTP3!$D$5)*((U679)*(Q679)-(R679)*(V679))-(LTP3!$D$6)*((S679)*(Q679)-(R679)*(T679))+(T679)*((S679)*(V679)-(U679)*(T679)))/W679,0)</f>
        <v/>
      </c>
      <c r="Z679">
        <f>IF(ABS(W679)&gt;1E-12,((LTP3!$D$5)*((P679)*(V679)-(U679)*(R679))-(S679)*((S679)*(V679)-(U679)*(T679))+(LTP3!$D$6)*((S679)*(R679)-(P679)*(T679)))/W679,0)</f>
        <v/>
      </c>
      <c r="AA679">
        <f>LTP3!$D$7-X679*LTP3!$D$6-Y679*U679-Z679*V679</f>
        <v/>
      </c>
      <c r="AB679">
        <f>IF(AND(F679,ABS(W679)&gt;1E-12,Y679&gt;0,Z679&gt;0),AA679,1E+300)</f>
        <v/>
      </c>
    </row>
    <row r="680">
      <c r="A680">
        <f>$B$3+$B$5*10</f>
        <v/>
      </c>
      <c r="B680">
        <f>$B$3+$B$5*58</f>
        <v/>
      </c>
      <c r="C680">
        <f>SUMPRODUCT(Calc!$K$3:$K$22*(Calc!$G$3:$G$22&lt;=A680))</f>
        <v/>
      </c>
      <c r="D680">
        <f>SUMPRODUCT(Calc!$K$3:$K$22*(Calc!$G$3:$G$22&gt;A680)*(Calc!$G$3:$G$22&lt;B680))</f>
        <v/>
      </c>
      <c r="E680">
        <f>SUMPRODUCT(Calc!$K$3:$K$22*(Calc!$G$3:$G$22&gt;=B680))</f>
        <v/>
      </c>
      <c r="F680">
        <f>AND(k_n&gt;=5,B680&gt;A680+1E-9,C680&gt;=2,D680&gt;=1,E680&gt;=2)</f>
        <v/>
      </c>
      <c r="G680">
        <f>SUMPRODUCT(Calc!$K$3:$K$22*(Calc!$G$3:$G$22&gt;A680)*(Calc!$G$3:$G$22-A680))</f>
        <v/>
      </c>
      <c r="H680">
        <f>SUMPRODUCT(Calc!$K$3:$K$22*(Calc!$G$3:$G$22&gt;B680)*(Calc!$G$3:$G$22-B680))</f>
        <v/>
      </c>
      <c r="I680">
        <f>SUMPRODUCT(Calc!$K$3:$K$22*(Calc!$G$3:$G$22&gt;A680)*(Calc!$G$3:$G$22-A680)^2)</f>
        <v/>
      </c>
      <c r="J680">
        <f>SUMPRODUCT(Calc!$K$3:$K$22*(Calc!$G$3:$G$22&gt;B680)*(Calc!$G$3:$G$22-B680)^2)</f>
        <v/>
      </c>
      <c r="K680">
        <f>SUMPRODUCT(Calc!$K$3:$K$22*(Calc!$G$3:$G$22&gt;A680)*(Calc!$G$3:$G$22-A680)*(Calc!$G$3:$G$22&gt;B680)*(Calc!$G$3:$G$22-B680))</f>
        <v/>
      </c>
      <c r="L680">
        <f>SUMPRODUCT(Calc!$K$3:$K$22*(Calc!$G$3:$G$22&gt;A680)*(Calc!$G$3:$G$22-A680)*Calc!$G$3:$G$22)</f>
        <v/>
      </c>
      <c r="M680">
        <f>SUMPRODUCT(Calc!$K$3:$K$22*(Calc!$G$3:$G$22&gt;B680)*(Calc!$G$3:$G$22-B680)*Calc!$G$3:$G$22)</f>
        <v/>
      </c>
      <c r="N680">
        <f>SUMPRODUCT(Calc!$K$3:$K$22*(Calc!$G$3:$G$22&gt;A680)*(Calc!$G$3:$G$22-A680)*Calc!$I$3:$I$22)</f>
        <v/>
      </c>
      <c r="O680">
        <f>SUMPRODUCT(Calc!$K$3:$K$22*(Calc!$G$3:$G$22&gt;B680)*(Calc!$G$3:$G$22-B680)*Calc!$I$3:$I$22)</f>
        <v/>
      </c>
      <c r="P680">
        <f>I680-G680^2/k_n</f>
        <v/>
      </c>
      <c r="Q680">
        <f>J680-H680^2/k_n</f>
        <v/>
      </c>
      <c r="R680">
        <f>K680-G680*H680/k_n</f>
        <v/>
      </c>
      <c r="S680">
        <f>L680-LTP3!$D$3*G680/k_n</f>
        <v/>
      </c>
      <c r="T680">
        <f>M680-LTP3!$D$3*H680/k_n</f>
        <v/>
      </c>
      <c r="U680">
        <f>N680-G680*LTP3!$D$4/k_n</f>
        <v/>
      </c>
      <c r="V680">
        <f>O680-H680*LTP3!$D$4/k_n</f>
        <v/>
      </c>
      <c r="W680">
        <f>((LTP3!$D$5)*((P680)*(Q680)-(R680)*(R680))-(S680)*((S680)*(Q680)-(R680)*(T680))+(T680)*((S680)*(R680)-(P680)*(T680)))</f>
        <v/>
      </c>
      <c r="X680">
        <f>IF(ABS(W680)&gt;1E-12,((LTP3!$D$6)*((P680)*(Q680)-(R680)*(R680))-(S680)*((U680)*(Q680)-(R680)*(V680))+(T680)*((U680)*(R680)-(P680)*(V680)))/W680,0)</f>
        <v/>
      </c>
      <c r="Y680">
        <f>IF(ABS(W680)&gt;1E-12,((LTP3!$D$5)*((U680)*(Q680)-(R680)*(V680))-(LTP3!$D$6)*((S680)*(Q680)-(R680)*(T680))+(T680)*((S680)*(V680)-(U680)*(T680)))/W680,0)</f>
        <v/>
      </c>
      <c r="Z680">
        <f>IF(ABS(W680)&gt;1E-12,((LTP3!$D$5)*((P680)*(V680)-(U680)*(R680))-(S680)*((S680)*(V680)-(U680)*(T680))+(LTP3!$D$6)*((S680)*(R680)-(P680)*(T680)))/W680,0)</f>
        <v/>
      </c>
      <c r="AA680">
        <f>LTP3!$D$7-X680*LTP3!$D$6-Y680*U680-Z680*V680</f>
        <v/>
      </c>
      <c r="AB680">
        <f>IF(AND(F680,ABS(W680)&gt;1E-12,Y680&gt;0,Z680&gt;0),AA680,1E+300)</f>
        <v/>
      </c>
    </row>
    <row r="681">
      <c r="A681">
        <f>$B$3+$B$5*10</f>
        <v/>
      </c>
      <c r="B681">
        <f>$B$3+$B$5*59</f>
        <v/>
      </c>
      <c r="C681">
        <f>SUMPRODUCT(Calc!$K$3:$K$22*(Calc!$G$3:$G$22&lt;=A681))</f>
        <v/>
      </c>
      <c r="D681">
        <f>SUMPRODUCT(Calc!$K$3:$K$22*(Calc!$G$3:$G$22&gt;A681)*(Calc!$G$3:$G$22&lt;B681))</f>
        <v/>
      </c>
      <c r="E681">
        <f>SUMPRODUCT(Calc!$K$3:$K$22*(Calc!$G$3:$G$22&gt;=B681))</f>
        <v/>
      </c>
      <c r="F681">
        <f>AND(k_n&gt;=5,B681&gt;A681+1E-9,C681&gt;=2,D681&gt;=1,E681&gt;=2)</f>
        <v/>
      </c>
      <c r="G681">
        <f>SUMPRODUCT(Calc!$K$3:$K$22*(Calc!$G$3:$G$22&gt;A681)*(Calc!$G$3:$G$22-A681))</f>
        <v/>
      </c>
      <c r="H681">
        <f>SUMPRODUCT(Calc!$K$3:$K$22*(Calc!$G$3:$G$22&gt;B681)*(Calc!$G$3:$G$22-B681))</f>
        <v/>
      </c>
      <c r="I681">
        <f>SUMPRODUCT(Calc!$K$3:$K$22*(Calc!$G$3:$G$22&gt;A681)*(Calc!$G$3:$G$22-A681)^2)</f>
        <v/>
      </c>
      <c r="J681">
        <f>SUMPRODUCT(Calc!$K$3:$K$22*(Calc!$G$3:$G$22&gt;B681)*(Calc!$G$3:$G$22-B681)^2)</f>
        <v/>
      </c>
      <c r="K681">
        <f>SUMPRODUCT(Calc!$K$3:$K$22*(Calc!$G$3:$G$22&gt;A681)*(Calc!$G$3:$G$22-A681)*(Calc!$G$3:$G$22&gt;B681)*(Calc!$G$3:$G$22-B681))</f>
        <v/>
      </c>
      <c r="L681">
        <f>SUMPRODUCT(Calc!$K$3:$K$22*(Calc!$G$3:$G$22&gt;A681)*(Calc!$G$3:$G$22-A681)*Calc!$G$3:$G$22)</f>
        <v/>
      </c>
      <c r="M681">
        <f>SUMPRODUCT(Calc!$K$3:$K$22*(Calc!$G$3:$G$22&gt;B681)*(Calc!$G$3:$G$22-B681)*Calc!$G$3:$G$22)</f>
        <v/>
      </c>
      <c r="N681">
        <f>SUMPRODUCT(Calc!$K$3:$K$22*(Calc!$G$3:$G$22&gt;A681)*(Calc!$G$3:$G$22-A681)*Calc!$I$3:$I$22)</f>
        <v/>
      </c>
      <c r="O681">
        <f>SUMPRODUCT(Calc!$K$3:$K$22*(Calc!$G$3:$G$22&gt;B681)*(Calc!$G$3:$G$22-B681)*Calc!$I$3:$I$22)</f>
        <v/>
      </c>
      <c r="P681">
        <f>I681-G681^2/k_n</f>
        <v/>
      </c>
      <c r="Q681">
        <f>J681-H681^2/k_n</f>
        <v/>
      </c>
      <c r="R681">
        <f>K681-G681*H681/k_n</f>
        <v/>
      </c>
      <c r="S681">
        <f>L681-LTP3!$D$3*G681/k_n</f>
        <v/>
      </c>
      <c r="T681">
        <f>M681-LTP3!$D$3*H681/k_n</f>
        <v/>
      </c>
      <c r="U681">
        <f>N681-G681*LTP3!$D$4/k_n</f>
        <v/>
      </c>
      <c r="V681">
        <f>O681-H681*LTP3!$D$4/k_n</f>
        <v/>
      </c>
      <c r="W681">
        <f>((LTP3!$D$5)*((P681)*(Q681)-(R681)*(R681))-(S681)*((S681)*(Q681)-(R681)*(T681))+(T681)*((S681)*(R681)-(P681)*(T681)))</f>
        <v/>
      </c>
      <c r="X681">
        <f>IF(ABS(W681)&gt;1E-12,((LTP3!$D$6)*((P681)*(Q681)-(R681)*(R681))-(S681)*((U681)*(Q681)-(R681)*(V681))+(T681)*((U681)*(R681)-(P681)*(V681)))/W681,0)</f>
        <v/>
      </c>
      <c r="Y681">
        <f>IF(ABS(W681)&gt;1E-12,((LTP3!$D$5)*((U681)*(Q681)-(R681)*(V681))-(LTP3!$D$6)*((S681)*(Q681)-(R681)*(T681))+(T681)*((S681)*(V681)-(U681)*(T681)))/W681,0)</f>
        <v/>
      </c>
      <c r="Z681">
        <f>IF(ABS(W681)&gt;1E-12,((LTP3!$D$5)*((P681)*(V681)-(U681)*(R681))-(S681)*((S681)*(V681)-(U681)*(T681))+(LTP3!$D$6)*((S681)*(R681)-(P681)*(T681)))/W681,0)</f>
        <v/>
      </c>
      <c r="AA681">
        <f>LTP3!$D$7-X681*LTP3!$D$6-Y681*U681-Z681*V681</f>
        <v/>
      </c>
      <c r="AB681">
        <f>IF(AND(F681,ABS(W681)&gt;1E-12,Y681&gt;0,Z681&gt;0),AA681,1E+300)</f>
        <v/>
      </c>
    </row>
    <row r="682">
      <c r="A682">
        <f>$B$3+$B$5*10</f>
        <v/>
      </c>
      <c r="B682">
        <f>$B$3+$B$5*60</f>
        <v/>
      </c>
      <c r="C682">
        <f>SUMPRODUCT(Calc!$K$3:$K$22*(Calc!$G$3:$G$22&lt;=A682))</f>
        <v/>
      </c>
      <c r="D682">
        <f>SUMPRODUCT(Calc!$K$3:$K$22*(Calc!$G$3:$G$22&gt;A682)*(Calc!$G$3:$G$22&lt;B682))</f>
        <v/>
      </c>
      <c r="E682">
        <f>SUMPRODUCT(Calc!$K$3:$K$22*(Calc!$G$3:$G$22&gt;=B682))</f>
        <v/>
      </c>
      <c r="F682">
        <f>AND(k_n&gt;=5,B682&gt;A682+1E-9,C682&gt;=2,D682&gt;=1,E682&gt;=2)</f>
        <v/>
      </c>
      <c r="G682">
        <f>SUMPRODUCT(Calc!$K$3:$K$22*(Calc!$G$3:$G$22&gt;A682)*(Calc!$G$3:$G$22-A682))</f>
        <v/>
      </c>
      <c r="H682">
        <f>SUMPRODUCT(Calc!$K$3:$K$22*(Calc!$G$3:$G$22&gt;B682)*(Calc!$G$3:$G$22-B682))</f>
        <v/>
      </c>
      <c r="I682">
        <f>SUMPRODUCT(Calc!$K$3:$K$22*(Calc!$G$3:$G$22&gt;A682)*(Calc!$G$3:$G$22-A682)^2)</f>
        <v/>
      </c>
      <c r="J682">
        <f>SUMPRODUCT(Calc!$K$3:$K$22*(Calc!$G$3:$G$22&gt;B682)*(Calc!$G$3:$G$22-B682)^2)</f>
        <v/>
      </c>
      <c r="K682">
        <f>SUMPRODUCT(Calc!$K$3:$K$22*(Calc!$G$3:$G$22&gt;A682)*(Calc!$G$3:$G$22-A682)*(Calc!$G$3:$G$22&gt;B682)*(Calc!$G$3:$G$22-B682))</f>
        <v/>
      </c>
      <c r="L682">
        <f>SUMPRODUCT(Calc!$K$3:$K$22*(Calc!$G$3:$G$22&gt;A682)*(Calc!$G$3:$G$22-A682)*Calc!$G$3:$G$22)</f>
        <v/>
      </c>
      <c r="M682">
        <f>SUMPRODUCT(Calc!$K$3:$K$22*(Calc!$G$3:$G$22&gt;B682)*(Calc!$G$3:$G$22-B682)*Calc!$G$3:$G$22)</f>
        <v/>
      </c>
      <c r="N682">
        <f>SUMPRODUCT(Calc!$K$3:$K$22*(Calc!$G$3:$G$22&gt;A682)*(Calc!$G$3:$G$22-A682)*Calc!$I$3:$I$22)</f>
        <v/>
      </c>
      <c r="O682">
        <f>SUMPRODUCT(Calc!$K$3:$K$22*(Calc!$G$3:$G$22&gt;B682)*(Calc!$G$3:$G$22-B682)*Calc!$I$3:$I$22)</f>
        <v/>
      </c>
      <c r="P682">
        <f>I682-G682^2/k_n</f>
        <v/>
      </c>
      <c r="Q682">
        <f>J682-H682^2/k_n</f>
        <v/>
      </c>
      <c r="R682">
        <f>K682-G682*H682/k_n</f>
        <v/>
      </c>
      <c r="S682">
        <f>L682-LTP3!$D$3*G682/k_n</f>
        <v/>
      </c>
      <c r="T682">
        <f>M682-LTP3!$D$3*H682/k_n</f>
        <v/>
      </c>
      <c r="U682">
        <f>N682-G682*LTP3!$D$4/k_n</f>
        <v/>
      </c>
      <c r="V682">
        <f>O682-H682*LTP3!$D$4/k_n</f>
        <v/>
      </c>
      <c r="W682">
        <f>((LTP3!$D$5)*((P682)*(Q682)-(R682)*(R682))-(S682)*((S682)*(Q682)-(R682)*(T682))+(T682)*((S682)*(R682)-(P682)*(T682)))</f>
        <v/>
      </c>
      <c r="X682">
        <f>IF(ABS(W682)&gt;1E-12,((LTP3!$D$6)*((P682)*(Q682)-(R682)*(R682))-(S682)*((U682)*(Q682)-(R682)*(V682))+(T682)*((U682)*(R682)-(P682)*(V682)))/W682,0)</f>
        <v/>
      </c>
      <c r="Y682">
        <f>IF(ABS(W682)&gt;1E-12,((LTP3!$D$5)*((U682)*(Q682)-(R682)*(V682))-(LTP3!$D$6)*((S682)*(Q682)-(R682)*(T682))+(T682)*((S682)*(V682)-(U682)*(T682)))/W682,0)</f>
        <v/>
      </c>
      <c r="Z682">
        <f>IF(ABS(W682)&gt;1E-12,((LTP3!$D$5)*((P682)*(V682)-(U682)*(R682))-(S682)*((S682)*(V682)-(U682)*(T682))+(LTP3!$D$6)*((S682)*(R682)-(P682)*(T682)))/W682,0)</f>
        <v/>
      </c>
      <c r="AA682">
        <f>LTP3!$D$7-X682*LTP3!$D$6-Y682*U682-Z682*V682</f>
        <v/>
      </c>
      <c r="AB682">
        <f>IF(AND(F682,ABS(W682)&gt;1E-12,Y682&gt;0,Z682&gt;0),AA682,1E+300)</f>
        <v/>
      </c>
    </row>
    <row r="683">
      <c r="A683">
        <f>$B$3+$B$5*11</f>
        <v/>
      </c>
      <c r="B683">
        <f>$B$3+$B$5*0</f>
        <v/>
      </c>
      <c r="C683">
        <f>SUMPRODUCT(Calc!$K$3:$K$22*(Calc!$G$3:$G$22&lt;=A683))</f>
        <v/>
      </c>
      <c r="D683">
        <f>SUMPRODUCT(Calc!$K$3:$K$22*(Calc!$G$3:$G$22&gt;A683)*(Calc!$G$3:$G$22&lt;B683))</f>
        <v/>
      </c>
      <c r="E683">
        <f>SUMPRODUCT(Calc!$K$3:$K$22*(Calc!$G$3:$G$22&gt;=B683))</f>
        <v/>
      </c>
      <c r="F683">
        <f>AND(k_n&gt;=5,B683&gt;A683+1E-9,C683&gt;=2,D683&gt;=1,E683&gt;=2)</f>
        <v/>
      </c>
      <c r="G683">
        <f>SUMPRODUCT(Calc!$K$3:$K$22*(Calc!$G$3:$G$22&gt;A683)*(Calc!$G$3:$G$22-A683))</f>
        <v/>
      </c>
      <c r="H683">
        <f>SUMPRODUCT(Calc!$K$3:$K$22*(Calc!$G$3:$G$22&gt;B683)*(Calc!$G$3:$G$22-B683))</f>
        <v/>
      </c>
      <c r="I683">
        <f>SUMPRODUCT(Calc!$K$3:$K$22*(Calc!$G$3:$G$22&gt;A683)*(Calc!$G$3:$G$22-A683)^2)</f>
        <v/>
      </c>
      <c r="J683">
        <f>SUMPRODUCT(Calc!$K$3:$K$22*(Calc!$G$3:$G$22&gt;B683)*(Calc!$G$3:$G$22-B683)^2)</f>
        <v/>
      </c>
      <c r="K683">
        <f>SUMPRODUCT(Calc!$K$3:$K$22*(Calc!$G$3:$G$22&gt;A683)*(Calc!$G$3:$G$22-A683)*(Calc!$G$3:$G$22&gt;B683)*(Calc!$G$3:$G$22-B683))</f>
        <v/>
      </c>
      <c r="L683">
        <f>SUMPRODUCT(Calc!$K$3:$K$22*(Calc!$G$3:$G$22&gt;A683)*(Calc!$G$3:$G$22-A683)*Calc!$G$3:$G$22)</f>
        <v/>
      </c>
      <c r="M683">
        <f>SUMPRODUCT(Calc!$K$3:$K$22*(Calc!$G$3:$G$22&gt;B683)*(Calc!$G$3:$G$22-B683)*Calc!$G$3:$G$22)</f>
        <v/>
      </c>
      <c r="N683">
        <f>SUMPRODUCT(Calc!$K$3:$K$22*(Calc!$G$3:$G$22&gt;A683)*(Calc!$G$3:$G$22-A683)*Calc!$I$3:$I$22)</f>
        <v/>
      </c>
      <c r="O683">
        <f>SUMPRODUCT(Calc!$K$3:$K$22*(Calc!$G$3:$G$22&gt;B683)*(Calc!$G$3:$G$22-B683)*Calc!$I$3:$I$22)</f>
        <v/>
      </c>
      <c r="P683">
        <f>I683-G683^2/k_n</f>
        <v/>
      </c>
      <c r="Q683">
        <f>J683-H683^2/k_n</f>
        <v/>
      </c>
      <c r="R683">
        <f>K683-G683*H683/k_n</f>
        <v/>
      </c>
      <c r="S683">
        <f>L683-LTP3!$D$3*G683/k_n</f>
        <v/>
      </c>
      <c r="T683">
        <f>M683-LTP3!$D$3*H683/k_n</f>
        <v/>
      </c>
      <c r="U683">
        <f>N683-G683*LTP3!$D$4/k_n</f>
        <v/>
      </c>
      <c r="V683">
        <f>O683-H683*LTP3!$D$4/k_n</f>
        <v/>
      </c>
      <c r="W683">
        <f>((LTP3!$D$5)*((P683)*(Q683)-(R683)*(R683))-(S683)*((S683)*(Q683)-(R683)*(T683))+(T683)*((S683)*(R683)-(P683)*(T683)))</f>
        <v/>
      </c>
      <c r="X683">
        <f>IF(ABS(W683)&gt;1E-12,((LTP3!$D$6)*((P683)*(Q683)-(R683)*(R683))-(S683)*((U683)*(Q683)-(R683)*(V683))+(T683)*((U683)*(R683)-(P683)*(V683)))/W683,0)</f>
        <v/>
      </c>
      <c r="Y683">
        <f>IF(ABS(W683)&gt;1E-12,((LTP3!$D$5)*((U683)*(Q683)-(R683)*(V683))-(LTP3!$D$6)*((S683)*(Q683)-(R683)*(T683))+(T683)*((S683)*(V683)-(U683)*(T683)))/W683,0)</f>
        <v/>
      </c>
      <c r="Z683">
        <f>IF(ABS(W683)&gt;1E-12,((LTP3!$D$5)*((P683)*(V683)-(U683)*(R683))-(S683)*((S683)*(V683)-(U683)*(T683))+(LTP3!$D$6)*((S683)*(R683)-(P683)*(T683)))/W683,0)</f>
        <v/>
      </c>
      <c r="AA683">
        <f>LTP3!$D$7-X683*LTP3!$D$6-Y683*U683-Z683*V683</f>
        <v/>
      </c>
      <c r="AB683">
        <f>IF(AND(F683,ABS(W683)&gt;1E-12,Y683&gt;0,Z683&gt;0),AA683,1E+300)</f>
        <v/>
      </c>
    </row>
    <row r="684">
      <c r="A684">
        <f>$B$3+$B$5*11</f>
        <v/>
      </c>
      <c r="B684">
        <f>$B$3+$B$5*1</f>
        <v/>
      </c>
      <c r="C684">
        <f>SUMPRODUCT(Calc!$K$3:$K$22*(Calc!$G$3:$G$22&lt;=A684))</f>
        <v/>
      </c>
      <c r="D684">
        <f>SUMPRODUCT(Calc!$K$3:$K$22*(Calc!$G$3:$G$22&gt;A684)*(Calc!$G$3:$G$22&lt;B684))</f>
        <v/>
      </c>
      <c r="E684">
        <f>SUMPRODUCT(Calc!$K$3:$K$22*(Calc!$G$3:$G$22&gt;=B684))</f>
        <v/>
      </c>
      <c r="F684">
        <f>AND(k_n&gt;=5,B684&gt;A684+1E-9,C684&gt;=2,D684&gt;=1,E684&gt;=2)</f>
        <v/>
      </c>
      <c r="G684">
        <f>SUMPRODUCT(Calc!$K$3:$K$22*(Calc!$G$3:$G$22&gt;A684)*(Calc!$G$3:$G$22-A684))</f>
        <v/>
      </c>
      <c r="H684">
        <f>SUMPRODUCT(Calc!$K$3:$K$22*(Calc!$G$3:$G$22&gt;B684)*(Calc!$G$3:$G$22-B684))</f>
        <v/>
      </c>
      <c r="I684">
        <f>SUMPRODUCT(Calc!$K$3:$K$22*(Calc!$G$3:$G$22&gt;A684)*(Calc!$G$3:$G$22-A684)^2)</f>
        <v/>
      </c>
      <c r="J684">
        <f>SUMPRODUCT(Calc!$K$3:$K$22*(Calc!$G$3:$G$22&gt;B684)*(Calc!$G$3:$G$22-B684)^2)</f>
        <v/>
      </c>
      <c r="K684">
        <f>SUMPRODUCT(Calc!$K$3:$K$22*(Calc!$G$3:$G$22&gt;A684)*(Calc!$G$3:$G$22-A684)*(Calc!$G$3:$G$22&gt;B684)*(Calc!$G$3:$G$22-B684))</f>
        <v/>
      </c>
      <c r="L684">
        <f>SUMPRODUCT(Calc!$K$3:$K$22*(Calc!$G$3:$G$22&gt;A684)*(Calc!$G$3:$G$22-A684)*Calc!$G$3:$G$22)</f>
        <v/>
      </c>
      <c r="M684">
        <f>SUMPRODUCT(Calc!$K$3:$K$22*(Calc!$G$3:$G$22&gt;B684)*(Calc!$G$3:$G$22-B684)*Calc!$G$3:$G$22)</f>
        <v/>
      </c>
      <c r="N684">
        <f>SUMPRODUCT(Calc!$K$3:$K$22*(Calc!$G$3:$G$22&gt;A684)*(Calc!$G$3:$G$22-A684)*Calc!$I$3:$I$22)</f>
        <v/>
      </c>
      <c r="O684">
        <f>SUMPRODUCT(Calc!$K$3:$K$22*(Calc!$G$3:$G$22&gt;B684)*(Calc!$G$3:$G$22-B684)*Calc!$I$3:$I$22)</f>
        <v/>
      </c>
      <c r="P684">
        <f>I684-G684^2/k_n</f>
        <v/>
      </c>
      <c r="Q684">
        <f>J684-H684^2/k_n</f>
        <v/>
      </c>
      <c r="R684">
        <f>K684-G684*H684/k_n</f>
        <v/>
      </c>
      <c r="S684">
        <f>L684-LTP3!$D$3*G684/k_n</f>
        <v/>
      </c>
      <c r="T684">
        <f>M684-LTP3!$D$3*H684/k_n</f>
        <v/>
      </c>
      <c r="U684">
        <f>N684-G684*LTP3!$D$4/k_n</f>
        <v/>
      </c>
      <c r="V684">
        <f>O684-H684*LTP3!$D$4/k_n</f>
        <v/>
      </c>
      <c r="W684">
        <f>((LTP3!$D$5)*((P684)*(Q684)-(R684)*(R684))-(S684)*((S684)*(Q684)-(R684)*(T684))+(T684)*((S684)*(R684)-(P684)*(T684)))</f>
        <v/>
      </c>
      <c r="X684">
        <f>IF(ABS(W684)&gt;1E-12,((LTP3!$D$6)*((P684)*(Q684)-(R684)*(R684))-(S684)*((U684)*(Q684)-(R684)*(V684))+(T684)*((U684)*(R684)-(P684)*(V684)))/W684,0)</f>
        <v/>
      </c>
      <c r="Y684">
        <f>IF(ABS(W684)&gt;1E-12,((LTP3!$D$5)*((U684)*(Q684)-(R684)*(V684))-(LTP3!$D$6)*((S684)*(Q684)-(R684)*(T684))+(T684)*((S684)*(V684)-(U684)*(T684)))/W684,0)</f>
        <v/>
      </c>
      <c r="Z684">
        <f>IF(ABS(W684)&gt;1E-12,((LTP3!$D$5)*((P684)*(V684)-(U684)*(R684))-(S684)*((S684)*(V684)-(U684)*(T684))+(LTP3!$D$6)*((S684)*(R684)-(P684)*(T684)))/W684,0)</f>
        <v/>
      </c>
      <c r="AA684">
        <f>LTP3!$D$7-X684*LTP3!$D$6-Y684*U684-Z684*V684</f>
        <v/>
      </c>
      <c r="AB684">
        <f>IF(AND(F684,ABS(W684)&gt;1E-12,Y684&gt;0,Z684&gt;0),AA684,1E+300)</f>
        <v/>
      </c>
    </row>
    <row r="685">
      <c r="A685">
        <f>$B$3+$B$5*11</f>
        <v/>
      </c>
      <c r="B685">
        <f>$B$3+$B$5*2</f>
        <v/>
      </c>
      <c r="C685">
        <f>SUMPRODUCT(Calc!$K$3:$K$22*(Calc!$G$3:$G$22&lt;=A685))</f>
        <v/>
      </c>
      <c r="D685">
        <f>SUMPRODUCT(Calc!$K$3:$K$22*(Calc!$G$3:$G$22&gt;A685)*(Calc!$G$3:$G$22&lt;B685))</f>
        <v/>
      </c>
      <c r="E685">
        <f>SUMPRODUCT(Calc!$K$3:$K$22*(Calc!$G$3:$G$22&gt;=B685))</f>
        <v/>
      </c>
      <c r="F685">
        <f>AND(k_n&gt;=5,B685&gt;A685+1E-9,C685&gt;=2,D685&gt;=1,E685&gt;=2)</f>
        <v/>
      </c>
      <c r="G685">
        <f>SUMPRODUCT(Calc!$K$3:$K$22*(Calc!$G$3:$G$22&gt;A685)*(Calc!$G$3:$G$22-A685))</f>
        <v/>
      </c>
      <c r="H685">
        <f>SUMPRODUCT(Calc!$K$3:$K$22*(Calc!$G$3:$G$22&gt;B685)*(Calc!$G$3:$G$22-B685))</f>
        <v/>
      </c>
      <c r="I685">
        <f>SUMPRODUCT(Calc!$K$3:$K$22*(Calc!$G$3:$G$22&gt;A685)*(Calc!$G$3:$G$22-A685)^2)</f>
        <v/>
      </c>
      <c r="J685">
        <f>SUMPRODUCT(Calc!$K$3:$K$22*(Calc!$G$3:$G$22&gt;B685)*(Calc!$G$3:$G$22-B685)^2)</f>
        <v/>
      </c>
      <c r="K685">
        <f>SUMPRODUCT(Calc!$K$3:$K$22*(Calc!$G$3:$G$22&gt;A685)*(Calc!$G$3:$G$22-A685)*(Calc!$G$3:$G$22&gt;B685)*(Calc!$G$3:$G$22-B685))</f>
        <v/>
      </c>
      <c r="L685">
        <f>SUMPRODUCT(Calc!$K$3:$K$22*(Calc!$G$3:$G$22&gt;A685)*(Calc!$G$3:$G$22-A685)*Calc!$G$3:$G$22)</f>
        <v/>
      </c>
      <c r="M685">
        <f>SUMPRODUCT(Calc!$K$3:$K$22*(Calc!$G$3:$G$22&gt;B685)*(Calc!$G$3:$G$22-B685)*Calc!$G$3:$G$22)</f>
        <v/>
      </c>
      <c r="N685">
        <f>SUMPRODUCT(Calc!$K$3:$K$22*(Calc!$G$3:$G$22&gt;A685)*(Calc!$G$3:$G$22-A685)*Calc!$I$3:$I$22)</f>
        <v/>
      </c>
      <c r="O685">
        <f>SUMPRODUCT(Calc!$K$3:$K$22*(Calc!$G$3:$G$22&gt;B685)*(Calc!$G$3:$G$22-B685)*Calc!$I$3:$I$22)</f>
        <v/>
      </c>
      <c r="P685">
        <f>I685-G685^2/k_n</f>
        <v/>
      </c>
      <c r="Q685">
        <f>J685-H685^2/k_n</f>
        <v/>
      </c>
      <c r="R685">
        <f>K685-G685*H685/k_n</f>
        <v/>
      </c>
      <c r="S685">
        <f>L685-LTP3!$D$3*G685/k_n</f>
        <v/>
      </c>
      <c r="T685">
        <f>M685-LTP3!$D$3*H685/k_n</f>
        <v/>
      </c>
      <c r="U685">
        <f>N685-G685*LTP3!$D$4/k_n</f>
        <v/>
      </c>
      <c r="V685">
        <f>O685-H685*LTP3!$D$4/k_n</f>
        <v/>
      </c>
      <c r="W685">
        <f>((LTP3!$D$5)*((P685)*(Q685)-(R685)*(R685))-(S685)*((S685)*(Q685)-(R685)*(T685))+(T685)*((S685)*(R685)-(P685)*(T685)))</f>
        <v/>
      </c>
      <c r="X685">
        <f>IF(ABS(W685)&gt;1E-12,((LTP3!$D$6)*((P685)*(Q685)-(R685)*(R685))-(S685)*((U685)*(Q685)-(R685)*(V685))+(T685)*((U685)*(R685)-(P685)*(V685)))/W685,0)</f>
        <v/>
      </c>
      <c r="Y685">
        <f>IF(ABS(W685)&gt;1E-12,((LTP3!$D$5)*((U685)*(Q685)-(R685)*(V685))-(LTP3!$D$6)*((S685)*(Q685)-(R685)*(T685))+(T685)*((S685)*(V685)-(U685)*(T685)))/W685,0)</f>
        <v/>
      </c>
      <c r="Z685">
        <f>IF(ABS(W685)&gt;1E-12,((LTP3!$D$5)*((P685)*(V685)-(U685)*(R685))-(S685)*((S685)*(V685)-(U685)*(T685))+(LTP3!$D$6)*((S685)*(R685)-(P685)*(T685)))/W685,0)</f>
        <v/>
      </c>
      <c r="AA685">
        <f>LTP3!$D$7-X685*LTP3!$D$6-Y685*U685-Z685*V685</f>
        <v/>
      </c>
      <c r="AB685">
        <f>IF(AND(F685,ABS(W685)&gt;1E-12,Y685&gt;0,Z685&gt;0),AA685,1E+300)</f>
        <v/>
      </c>
    </row>
    <row r="686">
      <c r="A686">
        <f>$B$3+$B$5*11</f>
        <v/>
      </c>
      <c r="B686">
        <f>$B$3+$B$5*3</f>
        <v/>
      </c>
      <c r="C686">
        <f>SUMPRODUCT(Calc!$K$3:$K$22*(Calc!$G$3:$G$22&lt;=A686))</f>
        <v/>
      </c>
      <c r="D686">
        <f>SUMPRODUCT(Calc!$K$3:$K$22*(Calc!$G$3:$G$22&gt;A686)*(Calc!$G$3:$G$22&lt;B686))</f>
        <v/>
      </c>
      <c r="E686">
        <f>SUMPRODUCT(Calc!$K$3:$K$22*(Calc!$G$3:$G$22&gt;=B686))</f>
        <v/>
      </c>
      <c r="F686">
        <f>AND(k_n&gt;=5,B686&gt;A686+1E-9,C686&gt;=2,D686&gt;=1,E686&gt;=2)</f>
        <v/>
      </c>
      <c r="G686">
        <f>SUMPRODUCT(Calc!$K$3:$K$22*(Calc!$G$3:$G$22&gt;A686)*(Calc!$G$3:$G$22-A686))</f>
        <v/>
      </c>
      <c r="H686">
        <f>SUMPRODUCT(Calc!$K$3:$K$22*(Calc!$G$3:$G$22&gt;B686)*(Calc!$G$3:$G$22-B686))</f>
        <v/>
      </c>
      <c r="I686">
        <f>SUMPRODUCT(Calc!$K$3:$K$22*(Calc!$G$3:$G$22&gt;A686)*(Calc!$G$3:$G$22-A686)^2)</f>
        <v/>
      </c>
      <c r="J686">
        <f>SUMPRODUCT(Calc!$K$3:$K$22*(Calc!$G$3:$G$22&gt;B686)*(Calc!$G$3:$G$22-B686)^2)</f>
        <v/>
      </c>
      <c r="K686">
        <f>SUMPRODUCT(Calc!$K$3:$K$22*(Calc!$G$3:$G$22&gt;A686)*(Calc!$G$3:$G$22-A686)*(Calc!$G$3:$G$22&gt;B686)*(Calc!$G$3:$G$22-B686))</f>
        <v/>
      </c>
      <c r="L686">
        <f>SUMPRODUCT(Calc!$K$3:$K$22*(Calc!$G$3:$G$22&gt;A686)*(Calc!$G$3:$G$22-A686)*Calc!$G$3:$G$22)</f>
        <v/>
      </c>
      <c r="M686">
        <f>SUMPRODUCT(Calc!$K$3:$K$22*(Calc!$G$3:$G$22&gt;B686)*(Calc!$G$3:$G$22-B686)*Calc!$G$3:$G$22)</f>
        <v/>
      </c>
      <c r="N686">
        <f>SUMPRODUCT(Calc!$K$3:$K$22*(Calc!$G$3:$G$22&gt;A686)*(Calc!$G$3:$G$22-A686)*Calc!$I$3:$I$22)</f>
        <v/>
      </c>
      <c r="O686">
        <f>SUMPRODUCT(Calc!$K$3:$K$22*(Calc!$G$3:$G$22&gt;B686)*(Calc!$G$3:$G$22-B686)*Calc!$I$3:$I$22)</f>
        <v/>
      </c>
      <c r="P686">
        <f>I686-G686^2/k_n</f>
        <v/>
      </c>
      <c r="Q686">
        <f>J686-H686^2/k_n</f>
        <v/>
      </c>
      <c r="R686">
        <f>K686-G686*H686/k_n</f>
        <v/>
      </c>
      <c r="S686">
        <f>L686-LTP3!$D$3*G686/k_n</f>
        <v/>
      </c>
      <c r="T686">
        <f>M686-LTP3!$D$3*H686/k_n</f>
        <v/>
      </c>
      <c r="U686">
        <f>N686-G686*LTP3!$D$4/k_n</f>
        <v/>
      </c>
      <c r="V686">
        <f>O686-H686*LTP3!$D$4/k_n</f>
        <v/>
      </c>
      <c r="W686">
        <f>((LTP3!$D$5)*((P686)*(Q686)-(R686)*(R686))-(S686)*((S686)*(Q686)-(R686)*(T686))+(T686)*((S686)*(R686)-(P686)*(T686)))</f>
        <v/>
      </c>
      <c r="X686">
        <f>IF(ABS(W686)&gt;1E-12,((LTP3!$D$6)*((P686)*(Q686)-(R686)*(R686))-(S686)*((U686)*(Q686)-(R686)*(V686))+(T686)*((U686)*(R686)-(P686)*(V686)))/W686,0)</f>
        <v/>
      </c>
      <c r="Y686">
        <f>IF(ABS(W686)&gt;1E-12,((LTP3!$D$5)*((U686)*(Q686)-(R686)*(V686))-(LTP3!$D$6)*((S686)*(Q686)-(R686)*(T686))+(T686)*((S686)*(V686)-(U686)*(T686)))/W686,0)</f>
        <v/>
      </c>
      <c r="Z686">
        <f>IF(ABS(W686)&gt;1E-12,((LTP3!$D$5)*((P686)*(V686)-(U686)*(R686))-(S686)*((S686)*(V686)-(U686)*(T686))+(LTP3!$D$6)*((S686)*(R686)-(P686)*(T686)))/W686,0)</f>
        <v/>
      </c>
      <c r="AA686">
        <f>LTP3!$D$7-X686*LTP3!$D$6-Y686*U686-Z686*V686</f>
        <v/>
      </c>
      <c r="AB686">
        <f>IF(AND(F686,ABS(W686)&gt;1E-12,Y686&gt;0,Z686&gt;0),AA686,1E+300)</f>
        <v/>
      </c>
    </row>
    <row r="687">
      <c r="A687">
        <f>$B$3+$B$5*11</f>
        <v/>
      </c>
      <c r="B687">
        <f>$B$3+$B$5*4</f>
        <v/>
      </c>
      <c r="C687">
        <f>SUMPRODUCT(Calc!$K$3:$K$22*(Calc!$G$3:$G$22&lt;=A687))</f>
        <v/>
      </c>
      <c r="D687">
        <f>SUMPRODUCT(Calc!$K$3:$K$22*(Calc!$G$3:$G$22&gt;A687)*(Calc!$G$3:$G$22&lt;B687))</f>
        <v/>
      </c>
      <c r="E687">
        <f>SUMPRODUCT(Calc!$K$3:$K$22*(Calc!$G$3:$G$22&gt;=B687))</f>
        <v/>
      </c>
      <c r="F687">
        <f>AND(k_n&gt;=5,B687&gt;A687+1E-9,C687&gt;=2,D687&gt;=1,E687&gt;=2)</f>
        <v/>
      </c>
      <c r="G687">
        <f>SUMPRODUCT(Calc!$K$3:$K$22*(Calc!$G$3:$G$22&gt;A687)*(Calc!$G$3:$G$22-A687))</f>
        <v/>
      </c>
      <c r="H687">
        <f>SUMPRODUCT(Calc!$K$3:$K$22*(Calc!$G$3:$G$22&gt;B687)*(Calc!$G$3:$G$22-B687))</f>
        <v/>
      </c>
      <c r="I687">
        <f>SUMPRODUCT(Calc!$K$3:$K$22*(Calc!$G$3:$G$22&gt;A687)*(Calc!$G$3:$G$22-A687)^2)</f>
        <v/>
      </c>
      <c r="J687">
        <f>SUMPRODUCT(Calc!$K$3:$K$22*(Calc!$G$3:$G$22&gt;B687)*(Calc!$G$3:$G$22-B687)^2)</f>
        <v/>
      </c>
      <c r="K687">
        <f>SUMPRODUCT(Calc!$K$3:$K$22*(Calc!$G$3:$G$22&gt;A687)*(Calc!$G$3:$G$22-A687)*(Calc!$G$3:$G$22&gt;B687)*(Calc!$G$3:$G$22-B687))</f>
        <v/>
      </c>
      <c r="L687">
        <f>SUMPRODUCT(Calc!$K$3:$K$22*(Calc!$G$3:$G$22&gt;A687)*(Calc!$G$3:$G$22-A687)*Calc!$G$3:$G$22)</f>
        <v/>
      </c>
      <c r="M687">
        <f>SUMPRODUCT(Calc!$K$3:$K$22*(Calc!$G$3:$G$22&gt;B687)*(Calc!$G$3:$G$22-B687)*Calc!$G$3:$G$22)</f>
        <v/>
      </c>
      <c r="N687">
        <f>SUMPRODUCT(Calc!$K$3:$K$22*(Calc!$G$3:$G$22&gt;A687)*(Calc!$G$3:$G$22-A687)*Calc!$I$3:$I$22)</f>
        <v/>
      </c>
      <c r="O687">
        <f>SUMPRODUCT(Calc!$K$3:$K$22*(Calc!$G$3:$G$22&gt;B687)*(Calc!$G$3:$G$22-B687)*Calc!$I$3:$I$22)</f>
        <v/>
      </c>
      <c r="P687">
        <f>I687-G687^2/k_n</f>
        <v/>
      </c>
      <c r="Q687">
        <f>J687-H687^2/k_n</f>
        <v/>
      </c>
      <c r="R687">
        <f>K687-G687*H687/k_n</f>
        <v/>
      </c>
      <c r="S687">
        <f>L687-LTP3!$D$3*G687/k_n</f>
        <v/>
      </c>
      <c r="T687">
        <f>M687-LTP3!$D$3*H687/k_n</f>
        <v/>
      </c>
      <c r="U687">
        <f>N687-G687*LTP3!$D$4/k_n</f>
        <v/>
      </c>
      <c r="V687">
        <f>O687-H687*LTP3!$D$4/k_n</f>
        <v/>
      </c>
      <c r="W687">
        <f>((LTP3!$D$5)*((P687)*(Q687)-(R687)*(R687))-(S687)*((S687)*(Q687)-(R687)*(T687))+(T687)*((S687)*(R687)-(P687)*(T687)))</f>
        <v/>
      </c>
      <c r="X687">
        <f>IF(ABS(W687)&gt;1E-12,((LTP3!$D$6)*((P687)*(Q687)-(R687)*(R687))-(S687)*((U687)*(Q687)-(R687)*(V687))+(T687)*((U687)*(R687)-(P687)*(V687)))/W687,0)</f>
        <v/>
      </c>
      <c r="Y687">
        <f>IF(ABS(W687)&gt;1E-12,((LTP3!$D$5)*((U687)*(Q687)-(R687)*(V687))-(LTP3!$D$6)*((S687)*(Q687)-(R687)*(T687))+(T687)*((S687)*(V687)-(U687)*(T687)))/W687,0)</f>
        <v/>
      </c>
      <c r="Z687">
        <f>IF(ABS(W687)&gt;1E-12,((LTP3!$D$5)*((P687)*(V687)-(U687)*(R687))-(S687)*((S687)*(V687)-(U687)*(T687))+(LTP3!$D$6)*((S687)*(R687)-(P687)*(T687)))/W687,0)</f>
        <v/>
      </c>
      <c r="AA687">
        <f>LTP3!$D$7-X687*LTP3!$D$6-Y687*U687-Z687*V687</f>
        <v/>
      </c>
      <c r="AB687">
        <f>IF(AND(F687,ABS(W687)&gt;1E-12,Y687&gt;0,Z687&gt;0),AA687,1E+300)</f>
        <v/>
      </c>
    </row>
    <row r="688">
      <c r="A688">
        <f>$B$3+$B$5*11</f>
        <v/>
      </c>
      <c r="B688">
        <f>$B$3+$B$5*5</f>
        <v/>
      </c>
      <c r="C688">
        <f>SUMPRODUCT(Calc!$K$3:$K$22*(Calc!$G$3:$G$22&lt;=A688))</f>
        <v/>
      </c>
      <c r="D688">
        <f>SUMPRODUCT(Calc!$K$3:$K$22*(Calc!$G$3:$G$22&gt;A688)*(Calc!$G$3:$G$22&lt;B688))</f>
        <v/>
      </c>
      <c r="E688">
        <f>SUMPRODUCT(Calc!$K$3:$K$22*(Calc!$G$3:$G$22&gt;=B688))</f>
        <v/>
      </c>
      <c r="F688">
        <f>AND(k_n&gt;=5,B688&gt;A688+1E-9,C688&gt;=2,D688&gt;=1,E688&gt;=2)</f>
        <v/>
      </c>
      <c r="G688">
        <f>SUMPRODUCT(Calc!$K$3:$K$22*(Calc!$G$3:$G$22&gt;A688)*(Calc!$G$3:$G$22-A688))</f>
        <v/>
      </c>
      <c r="H688">
        <f>SUMPRODUCT(Calc!$K$3:$K$22*(Calc!$G$3:$G$22&gt;B688)*(Calc!$G$3:$G$22-B688))</f>
        <v/>
      </c>
      <c r="I688">
        <f>SUMPRODUCT(Calc!$K$3:$K$22*(Calc!$G$3:$G$22&gt;A688)*(Calc!$G$3:$G$22-A688)^2)</f>
        <v/>
      </c>
      <c r="J688">
        <f>SUMPRODUCT(Calc!$K$3:$K$22*(Calc!$G$3:$G$22&gt;B688)*(Calc!$G$3:$G$22-B688)^2)</f>
        <v/>
      </c>
      <c r="K688">
        <f>SUMPRODUCT(Calc!$K$3:$K$22*(Calc!$G$3:$G$22&gt;A688)*(Calc!$G$3:$G$22-A688)*(Calc!$G$3:$G$22&gt;B688)*(Calc!$G$3:$G$22-B688))</f>
        <v/>
      </c>
      <c r="L688">
        <f>SUMPRODUCT(Calc!$K$3:$K$22*(Calc!$G$3:$G$22&gt;A688)*(Calc!$G$3:$G$22-A688)*Calc!$G$3:$G$22)</f>
        <v/>
      </c>
      <c r="M688">
        <f>SUMPRODUCT(Calc!$K$3:$K$22*(Calc!$G$3:$G$22&gt;B688)*(Calc!$G$3:$G$22-B688)*Calc!$G$3:$G$22)</f>
        <v/>
      </c>
      <c r="N688">
        <f>SUMPRODUCT(Calc!$K$3:$K$22*(Calc!$G$3:$G$22&gt;A688)*(Calc!$G$3:$G$22-A688)*Calc!$I$3:$I$22)</f>
        <v/>
      </c>
      <c r="O688">
        <f>SUMPRODUCT(Calc!$K$3:$K$22*(Calc!$G$3:$G$22&gt;B688)*(Calc!$G$3:$G$22-B688)*Calc!$I$3:$I$22)</f>
        <v/>
      </c>
      <c r="P688">
        <f>I688-G688^2/k_n</f>
        <v/>
      </c>
      <c r="Q688">
        <f>J688-H688^2/k_n</f>
        <v/>
      </c>
      <c r="R688">
        <f>K688-G688*H688/k_n</f>
        <v/>
      </c>
      <c r="S688">
        <f>L688-LTP3!$D$3*G688/k_n</f>
        <v/>
      </c>
      <c r="T688">
        <f>M688-LTP3!$D$3*H688/k_n</f>
        <v/>
      </c>
      <c r="U688">
        <f>N688-G688*LTP3!$D$4/k_n</f>
        <v/>
      </c>
      <c r="V688">
        <f>O688-H688*LTP3!$D$4/k_n</f>
        <v/>
      </c>
      <c r="W688">
        <f>((LTP3!$D$5)*((P688)*(Q688)-(R688)*(R688))-(S688)*((S688)*(Q688)-(R688)*(T688))+(T688)*((S688)*(R688)-(P688)*(T688)))</f>
        <v/>
      </c>
      <c r="X688">
        <f>IF(ABS(W688)&gt;1E-12,((LTP3!$D$6)*((P688)*(Q688)-(R688)*(R688))-(S688)*((U688)*(Q688)-(R688)*(V688))+(T688)*((U688)*(R688)-(P688)*(V688)))/W688,0)</f>
        <v/>
      </c>
      <c r="Y688">
        <f>IF(ABS(W688)&gt;1E-12,((LTP3!$D$5)*((U688)*(Q688)-(R688)*(V688))-(LTP3!$D$6)*((S688)*(Q688)-(R688)*(T688))+(T688)*((S688)*(V688)-(U688)*(T688)))/W688,0)</f>
        <v/>
      </c>
      <c r="Z688">
        <f>IF(ABS(W688)&gt;1E-12,((LTP3!$D$5)*((P688)*(V688)-(U688)*(R688))-(S688)*((S688)*(V688)-(U688)*(T688))+(LTP3!$D$6)*((S688)*(R688)-(P688)*(T688)))/W688,0)</f>
        <v/>
      </c>
      <c r="AA688">
        <f>LTP3!$D$7-X688*LTP3!$D$6-Y688*U688-Z688*V688</f>
        <v/>
      </c>
      <c r="AB688">
        <f>IF(AND(F688,ABS(W688)&gt;1E-12,Y688&gt;0,Z688&gt;0),AA688,1E+300)</f>
        <v/>
      </c>
    </row>
    <row r="689">
      <c r="A689">
        <f>$B$3+$B$5*11</f>
        <v/>
      </c>
      <c r="B689">
        <f>$B$3+$B$5*6</f>
        <v/>
      </c>
      <c r="C689">
        <f>SUMPRODUCT(Calc!$K$3:$K$22*(Calc!$G$3:$G$22&lt;=A689))</f>
        <v/>
      </c>
      <c r="D689">
        <f>SUMPRODUCT(Calc!$K$3:$K$22*(Calc!$G$3:$G$22&gt;A689)*(Calc!$G$3:$G$22&lt;B689))</f>
        <v/>
      </c>
      <c r="E689">
        <f>SUMPRODUCT(Calc!$K$3:$K$22*(Calc!$G$3:$G$22&gt;=B689))</f>
        <v/>
      </c>
      <c r="F689">
        <f>AND(k_n&gt;=5,B689&gt;A689+1E-9,C689&gt;=2,D689&gt;=1,E689&gt;=2)</f>
        <v/>
      </c>
      <c r="G689">
        <f>SUMPRODUCT(Calc!$K$3:$K$22*(Calc!$G$3:$G$22&gt;A689)*(Calc!$G$3:$G$22-A689))</f>
        <v/>
      </c>
      <c r="H689">
        <f>SUMPRODUCT(Calc!$K$3:$K$22*(Calc!$G$3:$G$22&gt;B689)*(Calc!$G$3:$G$22-B689))</f>
        <v/>
      </c>
      <c r="I689">
        <f>SUMPRODUCT(Calc!$K$3:$K$22*(Calc!$G$3:$G$22&gt;A689)*(Calc!$G$3:$G$22-A689)^2)</f>
        <v/>
      </c>
      <c r="J689">
        <f>SUMPRODUCT(Calc!$K$3:$K$22*(Calc!$G$3:$G$22&gt;B689)*(Calc!$G$3:$G$22-B689)^2)</f>
        <v/>
      </c>
      <c r="K689">
        <f>SUMPRODUCT(Calc!$K$3:$K$22*(Calc!$G$3:$G$22&gt;A689)*(Calc!$G$3:$G$22-A689)*(Calc!$G$3:$G$22&gt;B689)*(Calc!$G$3:$G$22-B689))</f>
        <v/>
      </c>
      <c r="L689">
        <f>SUMPRODUCT(Calc!$K$3:$K$22*(Calc!$G$3:$G$22&gt;A689)*(Calc!$G$3:$G$22-A689)*Calc!$G$3:$G$22)</f>
        <v/>
      </c>
      <c r="M689">
        <f>SUMPRODUCT(Calc!$K$3:$K$22*(Calc!$G$3:$G$22&gt;B689)*(Calc!$G$3:$G$22-B689)*Calc!$G$3:$G$22)</f>
        <v/>
      </c>
      <c r="N689">
        <f>SUMPRODUCT(Calc!$K$3:$K$22*(Calc!$G$3:$G$22&gt;A689)*(Calc!$G$3:$G$22-A689)*Calc!$I$3:$I$22)</f>
        <v/>
      </c>
      <c r="O689">
        <f>SUMPRODUCT(Calc!$K$3:$K$22*(Calc!$G$3:$G$22&gt;B689)*(Calc!$G$3:$G$22-B689)*Calc!$I$3:$I$22)</f>
        <v/>
      </c>
      <c r="P689">
        <f>I689-G689^2/k_n</f>
        <v/>
      </c>
      <c r="Q689">
        <f>J689-H689^2/k_n</f>
        <v/>
      </c>
      <c r="R689">
        <f>K689-G689*H689/k_n</f>
        <v/>
      </c>
      <c r="S689">
        <f>L689-LTP3!$D$3*G689/k_n</f>
        <v/>
      </c>
      <c r="T689">
        <f>M689-LTP3!$D$3*H689/k_n</f>
        <v/>
      </c>
      <c r="U689">
        <f>N689-G689*LTP3!$D$4/k_n</f>
        <v/>
      </c>
      <c r="V689">
        <f>O689-H689*LTP3!$D$4/k_n</f>
        <v/>
      </c>
      <c r="W689">
        <f>((LTP3!$D$5)*((P689)*(Q689)-(R689)*(R689))-(S689)*((S689)*(Q689)-(R689)*(T689))+(T689)*((S689)*(R689)-(P689)*(T689)))</f>
        <v/>
      </c>
      <c r="X689">
        <f>IF(ABS(W689)&gt;1E-12,((LTP3!$D$6)*((P689)*(Q689)-(R689)*(R689))-(S689)*((U689)*(Q689)-(R689)*(V689))+(T689)*((U689)*(R689)-(P689)*(V689)))/W689,0)</f>
        <v/>
      </c>
      <c r="Y689">
        <f>IF(ABS(W689)&gt;1E-12,((LTP3!$D$5)*((U689)*(Q689)-(R689)*(V689))-(LTP3!$D$6)*((S689)*(Q689)-(R689)*(T689))+(T689)*((S689)*(V689)-(U689)*(T689)))/W689,0)</f>
        <v/>
      </c>
      <c r="Z689">
        <f>IF(ABS(W689)&gt;1E-12,((LTP3!$D$5)*((P689)*(V689)-(U689)*(R689))-(S689)*((S689)*(V689)-(U689)*(T689))+(LTP3!$D$6)*((S689)*(R689)-(P689)*(T689)))/W689,0)</f>
        <v/>
      </c>
      <c r="AA689">
        <f>LTP3!$D$7-X689*LTP3!$D$6-Y689*U689-Z689*V689</f>
        <v/>
      </c>
      <c r="AB689">
        <f>IF(AND(F689,ABS(W689)&gt;1E-12,Y689&gt;0,Z689&gt;0),AA689,1E+300)</f>
        <v/>
      </c>
    </row>
    <row r="690">
      <c r="A690">
        <f>$B$3+$B$5*11</f>
        <v/>
      </c>
      <c r="B690">
        <f>$B$3+$B$5*7</f>
        <v/>
      </c>
      <c r="C690">
        <f>SUMPRODUCT(Calc!$K$3:$K$22*(Calc!$G$3:$G$22&lt;=A690))</f>
        <v/>
      </c>
      <c r="D690">
        <f>SUMPRODUCT(Calc!$K$3:$K$22*(Calc!$G$3:$G$22&gt;A690)*(Calc!$G$3:$G$22&lt;B690))</f>
        <v/>
      </c>
      <c r="E690">
        <f>SUMPRODUCT(Calc!$K$3:$K$22*(Calc!$G$3:$G$22&gt;=B690))</f>
        <v/>
      </c>
      <c r="F690">
        <f>AND(k_n&gt;=5,B690&gt;A690+1E-9,C690&gt;=2,D690&gt;=1,E690&gt;=2)</f>
        <v/>
      </c>
      <c r="G690">
        <f>SUMPRODUCT(Calc!$K$3:$K$22*(Calc!$G$3:$G$22&gt;A690)*(Calc!$G$3:$G$22-A690))</f>
        <v/>
      </c>
      <c r="H690">
        <f>SUMPRODUCT(Calc!$K$3:$K$22*(Calc!$G$3:$G$22&gt;B690)*(Calc!$G$3:$G$22-B690))</f>
        <v/>
      </c>
      <c r="I690">
        <f>SUMPRODUCT(Calc!$K$3:$K$22*(Calc!$G$3:$G$22&gt;A690)*(Calc!$G$3:$G$22-A690)^2)</f>
        <v/>
      </c>
      <c r="J690">
        <f>SUMPRODUCT(Calc!$K$3:$K$22*(Calc!$G$3:$G$22&gt;B690)*(Calc!$G$3:$G$22-B690)^2)</f>
        <v/>
      </c>
      <c r="K690">
        <f>SUMPRODUCT(Calc!$K$3:$K$22*(Calc!$G$3:$G$22&gt;A690)*(Calc!$G$3:$G$22-A690)*(Calc!$G$3:$G$22&gt;B690)*(Calc!$G$3:$G$22-B690))</f>
        <v/>
      </c>
      <c r="L690">
        <f>SUMPRODUCT(Calc!$K$3:$K$22*(Calc!$G$3:$G$22&gt;A690)*(Calc!$G$3:$G$22-A690)*Calc!$G$3:$G$22)</f>
        <v/>
      </c>
      <c r="M690">
        <f>SUMPRODUCT(Calc!$K$3:$K$22*(Calc!$G$3:$G$22&gt;B690)*(Calc!$G$3:$G$22-B690)*Calc!$G$3:$G$22)</f>
        <v/>
      </c>
      <c r="N690">
        <f>SUMPRODUCT(Calc!$K$3:$K$22*(Calc!$G$3:$G$22&gt;A690)*(Calc!$G$3:$G$22-A690)*Calc!$I$3:$I$22)</f>
        <v/>
      </c>
      <c r="O690">
        <f>SUMPRODUCT(Calc!$K$3:$K$22*(Calc!$G$3:$G$22&gt;B690)*(Calc!$G$3:$G$22-B690)*Calc!$I$3:$I$22)</f>
        <v/>
      </c>
      <c r="P690">
        <f>I690-G690^2/k_n</f>
        <v/>
      </c>
      <c r="Q690">
        <f>J690-H690^2/k_n</f>
        <v/>
      </c>
      <c r="R690">
        <f>K690-G690*H690/k_n</f>
        <v/>
      </c>
      <c r="S690">
        <f>L690-LTP3!$D$3*G690/k_n</f>
        <v/>
      </c>
      <c r="T690">
        <f>M690-LTP3!$D$3*H690/k_n</f>
        <v/>
      </c>
      <c r="U690">
        <f>N690-G690*LTP3!$D$4/k_n</f>
        <v/>
      </c>
      <c r="V690">
        <f>O690-H690*LTP3!$D$4/k_n</f>
        <v/>
      </c>
      <c r="W690">
        <f>((LTP3!$D$5)*((P690)*(Q690)-(R690)*(R690))-(S690)*((S690)*(Q690)-(R690)*(T690))+(T690)*((S690)*(R690)-(P690)*(T690)))</f>
        <v/>
      </c>
      <c r="X690">
        <f>IF(ABS(W690)&gt;1E-12,((LTP3!$D$6)*((P690)*(Q690)-(R690)*(R690))-(S690)*((U690)*(Q690)-(R690)*(V690))+(T690)*((U690)*(R690)-(P690)*(V690)))/W690,0)</f>
        <v/>
      </c>
      <c r="Y690">
        <f>IF(ABS(W690)&gt;1E-12,((LTP3!$D$5)*((U690)*(Q690)-(R690)*(V690))-(LTP3!$D$6)*((S690)*(Q690)-(R690)*(T690))+(T690)*((S690)*(V690)-(U690)*(T690)))/W690,0)</f>
        <v/>
      </c>
      <c r="Z690">
        <f>IF(ABS(W690)&gt;1E-12,((LTP3!$D$5)*((P690)*(V690)-(U690)*(R690))-(S690)*((S690)*(V690)-(U690)*(T690))+(LTP3!$D$6)*((S690)*(R690)-(P690)*(T690)))/W690,0)</f>
        <v/>
      </c>
      <c r="AA690">
        <f>LTP3!$D$7-X690*LTP3!$D$6-Y690*U690-Z690*V690</f>
        <v/>
      </c>
      <c r="AB690">
        <f>IF(AND(F690,ABS(W690)&gt;1E-12,Y690&gt;0,Z690&gt;0),AA690,1E+300)</f>
        <v/>
      </c>
    </row>
    <row r="691">
      <c r="A691">
        <f>$B$3+$B$5*11</f>
        <v/>
      </c>
      <c r="B691">
        <f>$B$3+$B$5*8</f>
        <v/>
      </c>
      <c r="C691">
        <f>SUMPRODUCT(Calc!$K$3:$K$22*(Calc!$G$3:$G$22&lt;=A691))</f>
        <v/>
      </c>
      <c r="D691">
        <f>SUMPRODUCT(Calc!$K$3:$K$22*(Calc!$G$3:$G$22&gt;A691)*(Calc!$G$3:$G$22&lt;B691))</f>
        <v/>
      </c>
      <c r="E691">
        <f>SUMPRODUCT(Calc!$K$3:$K$22*(Calc!$G$3:$G$22&gt;=B691))</f>
        <v/>
      </c>
      <c r="F691">
        <f>AND(k_n&gt;=5,B691&gt;A691+1E-9,C691&gt;=2,D691&gt;=1,E691&gt;=2)</f>
        <v/>
      </c>
      <c r="G691">
        <f>SUMPRODUCT(Calc!$K$3:$K$22*(Calc!$G$3:$G$22&gt;A691)*(Calc!$G$3:$G$22-A691))</f>
        <v/>
      </c>
      <c r="H691">
        <f>SUMPRODUCT(Calc!$K$3:$K$22*(Calc!$G$3:$G$22&gt;B691)*(Calc!$G$3:$G$22-B691))</f>
        <v/>
      </c>
      <c r="I691">
        <f>SUMPRODUCT(Calc!$K$3:$K$22*(Calc!$G$3:$G$22&gt;A691)*(Calc!$G$3:$G$22-A691)^2)</f>
        <v/>
      </c>
      <c r="J691">
        <f>SUMPRODUCT(Calc!$K$3:$K$22*(Calc!$G$3:$G$22&gt;B691)*(Calc!$G$3:$G$22-B691)^2)</f>
        <v/>
      </c>
      <c r="K691">
        <f>SUMPRODUCT(Calc!$K$3:$K$22*(Calc!$G$3:$G$22&gt;A691)*(Calc!$G$3:$G$22-A691)*(Calc!$G$3:$G$22&gt;B691)*(Calc!$G$3:$G$22-B691))</f>
        <v/>
      </c>
      <c r="L691">
        <f>SUMPRODUCT(Calc!$K$3:$K$22*(Calc!$G$3:$G$22&gt;A691)*(Calc!$G$3:$G$22-A691)*Calc!$G$3:$G$22)</f>
        <v/>
      </c>
      <c r="M691">
        <f>SUMPRODUCT(Calc!$K$3:$K$22*(Calc!$G$3:$G$22&gt;B691)*(Calc!$G$3:$G$22-B691)*Calc!$G$3:$G$22)</f>
        <v/>
      </c>
      <c r="N691">
        <f>SUMPRODUCT(Calc!$K$3:$K$22*(Calc!$G$3:$G$22&gt;A691)*(Calc!$G$3:$G$22-A691)*Calc!$I$3:$I$22)</f>
        <v/>
      </c>
      <c r="O691">
        <f>SUMPRODUCT(Calc!$K$3:$K$22*(Calc!$G$3:$G$22&gt;B691)*(Calc!$G$3:$G$22-B691)*Calc!$I$3:$I$22)</f>
        <v/>
      </c>
      <c r="P691">
        <f>I691-G691^2/k_n</f>
        <v/>
      </c>
      <c r="Q691">
        <f>J691-H691^2/k_n</f>
        <v/>
      </c>
      <c r="R691">
        <f>K691-G691*H691/k_n</f>
        <v/>
      </c>
      <c r="S691">
        <f>L691-LTP3!$D$3*G691/k_n</f>
        <v/>
      </c>
      <c r="T691">
        <f>M691-LTP3!$D$3*H691/k_n</f>
        <v/>
      </c>
      <c r="U691">
        <f>N691-G691*LTP3!$D$4/k_n</f>
        <v/>
      </c>
      <c r="V691">
        <f>O691-H691*LTP3!$D$4/k_n</f>
        <v/>
      </c>
      <c r="W691">
        <f>((LTP3!$D$5)*((P691)*(Q691)-(R691)*(R691))-(S691)*((S691)*(Q691)-(R691)*(T691))+(T691)*((S691)*(R691)-(P691)*(T691)))</f>
        <v/>
      </c>
      <c r="X691">
        <f>IF(ABS(W691)&gt;1E-12,((LTP3!$D$6)*((P691)*(Q691)-(R691)*(R691))-(S691)*((U691)*(Q691)-(R691)*(V691))+(T691)*((U691)*(R691)-(P691)*(V691)))/W691,0)</f>
        <v/>
      </c>
      <c r="Y691">
        <f>IF(ABS(W691)&gt;1E-12,((LTP3!$D$5)*((U691)*(Q691)-(R691)*(V691))-(LTP3!$D$6)*((S691)*(Q691)-(R691)*(T691))+(T691)*((S691)*(V691)-(U691)*(T691)))/W691,0)</f>
        <v/>
      </c>
      <c r="Z691">
        <f>IF(ABS(W691)&gt;1E-12,((LTP3!$D$5)*((P691)*(V691)-(U691)*(R691))-(S691)*((S691)*(V691)-(U691)*(T691))+(LTP3!$D$6)*((S691)*(R691)-(P691)*(T691)))/W691,0)</f>
        <v/>
      </c>
      <c r="AA691">
        <f>LTP3!$D$7-X691*LTP3!$D$6-Y691*U691-Z691*V691</f>
        <v/>
      </c>
      <c r="AB691">
        <f>IF(AND(F691,ABS(W691)&gt;1E-12,Y691&gt;0,Z691&gt;0),AA691,1E+300)</f>
        <v/>
      </c>
    </row>
    <row r="692">
      <c r="A692">
        <f>$B$3+$B$5*11</f>
        <v/>
      </c>
      <c r="B692">
        <f>$B$3+$B$5*9</f>
        <v/>
      </c>
      <c r="C692">
        <f>SUMPRODUCT(Calc!$K$3:$K$22*(Calc!$G$3:$G$22&lt;=A692))</f>
        <v/>
      </c>
      <c r="D692">
        <f>SUMPRODUCT(Calc!$K$3:$K$22*(Calc!$G$3:$G$22&gt;A692)*(Calc!$G$3:$G$22&lt;B692))</f>
        <v/>
      </c>
      <c r="E692">
        <f>SUMPRODUCT(Calc!$K$3:$K$22*(Calc!$G$3:$G$22&gt;=B692))</f>
        <v/>
      </c>
      <c r="F692">
        <f>AND(k_n&gt;=5,B692&gt;A692+1E-9,C692&gt;=2,D692&gt;=1,E692&gt;=2)</f>
        <v/>
      </c>
      <c r="G692">
        <f>SUMPRODUCT(Calc!$K$3:$K$22*(Calc!$G$3:$G$22&gt;A692)*(Calc!$G$3:$G$22-A692))</f>
        <v/>
      </c>
      <c r="H692">
        <f>SUMPRODUCT(Calc!$K$3:$K$22*(Calc!$G$3:$G$22&gt;B692)*(Calc!$G$3:$G$22-B692))</f>
        <v/>
      </c>
      <c r="I692">
        <f>SUMPRODUCT(Calc!$K$3:$K$22*(Calc!$G$3:$G$22&gt;A692)*(Calc!$G$3:$G$22-A692)^2)</f>
        <v/>
      </c>
      <c r="J692">
        <f>SUMPRODUCT(Calc!$K$3:$K$22*(Calc!$G$3:$G$22&gt;B692)*(Calc!$G$3:$G$22-B692)^2)</f>
        <v/>
      </c>
      <c r="K692">
        <f>SUMPRODUCT(Calc!$K$3:$K$22*(Calc!$G$3:$G$22&gt;A692)*(Calc!$G$3:$G$22-A692)*(Calc!$G$3:$G$22&gt;B692)*(Calc!$G$3:$G$22-B692))</f>
        <v/>
      </c>
      <c r="L692">
        <f>SUMPRODUCT(Calc!$K$3:$K$22*(Calc!$G$3:$G$22&gt;A692)*(Calc!$G$3:$G$22-A692)*Calc!$G$3:$G$22)</f>
        <v/>
      </c>
      <c r="M692">
        <f>SUMPRODUCT(Calc!$K$3:$K$22*(Calc!$G$3:$G$22&gt;B692)*(Calc!$G$3:$G$22-B692)*Calc!$G$3:$G$22)</f>
        <v/>
      </c>
      <c r="N692">
        <f>SUMPRODUCT(Calc!$K$3:$K$22*(Calc!$G$3:$G$22&gt;A692)*(Calc!$G$3:$G$22-A692)*Calc!$I$3:$I$22)</f>
        <v/>
      </c>
      <c r="O692">
        <f>SUMPRODUCT(Calc!$K$3:$K$22*(Calc!$G$3:$G$22&gt;B692)*(Calc!$G$3:$G$22-B692)*Calc!$I$3:$I$22)</f>
        <v/>
      </c>
      <c r="P692">
        <f>I692-G692^2/k_n</f>
        <v/>
      </c>
      <c r="Q692">
        <f>J692-H692^2/k_n</f>
        <v/>
      </c>
      <c r="R692">
        <f>K692-G692*H692/k_n</f>
        <v/>
      </c>
      <c r="S692">
        <f>L692-LTP3!$D$3*G692/k_n</f>
        <v/>
      </c>
      <c r="T692">
        <f>M692-LTP3!$D$3*H692/k_n</f>
        <v/>
      </c>
      <c r="U692">
        <f>N692-G692*LTP3!$D$4/k_n</f>
        <v/>
      </c>
      <c r="V692">
        <f>O692-H692*LTP3!$D$4/k_n</f>
        <v/>
      </c>
      <c r="W692">
        <f>((LTP3!$D$5)*((P692)*(Q692)-(R692)*(R692))-(S692)*((S692)*(Q692)-(R692)*(T692))+(T692)*((S692)*(R692)-(P692)*(T692)))</f>
        <v/>
      </c>
      <c r="X692">
        <f>IF(ABS(W692)&gt;1E-12,((LTP3!$D$6)*((P692)*(Q692)-(R692)*(R692))-(S692)*((U692)*(Q692)-(R692)*(V692))+(T692)*((U692)*(R692)-(P692)*(V692)))/W692,0)</f>
        <v/>
      </c>
      <c r="Y692">
        <f>IF(ABS(W692)&gt;1E-12,((LTP3!$D$5)*((U692)*(Q692)-(R692)*(V692))-(LTP3!$D$6)*((S692)*(Q692)-(R692)*(T692))+(T692)*((S692)*(V692)-(U692)*(T692)))/W692,0)</f>
        <v/>
      </c>
      <c r="Z692">
        <f>IF(ABS(W692)&gt;1E-12,((LTP3!$D$5)*((P692)*(V692)-(U692)*(R692))-(S692)*((S692)*(V692)-(U692)*(T692))+(LTP3!$D$6)*((S692)*(R692)-(P692)*(T692)))/W692,0)</f>
        <v/>
      </c>
      <c r="AA692">
        <f>LTP3!$D$7-X692*LTP3!$D$6-Y692*U692-Z692*V692</f>
        <v/>
      </c>
      <c r="AB692">
        <f>IF(AND(F692,ABS(W692)&gt;1E-12,Y692&gt;0,Z692&gt;0),AA692,1E+300)</f>
        <v/>
      </c>
    </row>
    <row r="693">
      <c r="A693">
        <f>$B$3+$B$5*11</f>
        <v/>
      </c>
      <c r="B693">
        <f>$B$3+$B$5*10</f>
        <v/>
      </c>
      <c r="C693">
        <f>SUMPRODUCT(Calc!$K$3:$K$22*(Calc!$G$3:$G$22&lt;=A693))</f>
        <v/>
      </c>
      <c r="D693">
        <f>SUMPRODUCT(Calc!$K$3:$K$22*(Calc!$G$3:$G$22&gt;A693)*(Calc!$G$3:$G$22&lt;B693))</f>
        <v/>
      </c>
      <c r="E693">
        <f>SUMPRODUCT(Calc!$K$3:$K$22*(Calc!$G$3:$G$22&gt;=B693))</f>
        <v/>
      </c>
      <c r="F693">
        <f>AND(k_n&gt;=5,B693&gt;A693+1E-9,C693&gt;=2,D693&gt;=1,E693&gt;=2)</f>
        <v/>
      </c>
      <c r="G693">
        <f>SUMPRODUCT(Calc!$K$3:$K$22*(Calc!$G$3:$G$22&gt;A693)*(Calc!$G$3:$G$22-A693))</f>
        <v/>
      </c>
      <c r="H693">
        <f>SUMPRODUCT(Calc!$K$3:$K$22*(Calc!$G$3:$G$22&gt;B693)*(Calc!$G$3:$G$22-B693))</f>
        <v/>
      </c>
      <c r="I693">
        <f>SUMPRODUCT(Calc!$K$3:$K$22*(Calc!$G$3:$G$22&gt;A693)*(Calc!$G$3:$G$22-A693)^2)</f>
        <v/>
      </c>
      <c r="J693">
        <f>SUMPRODUCT(Calc!$K$3:$K$22*(Calc!$G$3:$G$22&gt;B693)*(Calc!$G$3:$G$22-B693)^2)</f>
        <v/>
      </c>
      <c r="K693">
        <f>SUMPRODUCT(Calc!$K$3:$K$22*(Calc!$G$3:$G$22&gt;A693)*(Calc!$G$3:$G$22-A693)*(Calc!$G$3:$G$22&gt;B693)*(Calc!$G$3:$G$22-B693))</f>
        <v/>
      </c>
      <c r="L693">
        <f>SUMPRODUCT(Calc!$K$3:$K$22*(Calc!$G$3:$G$22&gt;A693)*(Calc!$G$3:$G$22-A693)*Calc!$G$3:$G$22)</f>
        <v/>
      </c>
      <c r="M693">
        <f>SUMPRODUCT(Calc!$K$3:$K$22*(Calc!$G$3:$G$22&gt;B693)*(Calc!$G$3:$G$22-B693)*Calc!$G$3:$G$22)</f>
        <v/>
      </c>
      <c r="N693">
        <f>SUMPRODUCT(Calc!$K$3:$K$22*(Calc!$G$3:$G$22&gt;A693)*(Calc!$G$3:$G$22-A693)*Calc!$I$3:$I$22)</f>
        <v/>
      </c>
      <c r="O693">
        <f>SUMPRODUCT(Calc!$K$3:$K$22*(Calc!$G$3:$G$22&gt;B693)*(Calc!$G$3:$G$22-B693)*Calc!$I$3:$I$22)</f>
        <v/>
      </c>
      <c r="P693">
        <f>I693-G693^2/k_n</f>
        <v/>
      </c>
      <c r="Q693">
        <f>J693-H693^2/k_n</f>
        <v/>
      </c>
      <c r="R693">
        <f>K693-G693*H693/k_n</f>
        <v/>
      </c>
      <c r="S693">
        <f>L693-LTP3!$D$3*G693/k_n</f>
        <v/>
      </c>
      <c r="T693">
        <f>M693-LTP3!$D$3*H693/k_n</f>
        <v/>
      </c>
      <c r="U693">
        <f>N693-G693*LTP3!$D$4/k_n</f>
        <v/>
      </c>
      <c r="V693">
        <f>O693-H693*LTP3!$D$4/k_n</f>
        <v/>
      </c>
      <c r="W693">
        <f>((LTP3!$D$5)*((P693)*(Q693)-(R693)*(R693))-(S693)*((S693)*(Q693)-(R693)*(T693))+(T693)*((S693)*(R693)-(P693)*(T693)))</f>
        <v/>
      </c>
      <c r="X693">
        <f>IF(ABS(W693)&gt;1E-12,((LTP3!$D$6)*((P693)*(Q693)-(R693)*(R693))-(S693)*((U693)*(Q693)-(R693)*(V693))+(T693)*((U693)*(R693)-(P693)*(V693)))/W693,0)</f>
        <v/>
      </c>
      <c r="Y693">
        <f>IF(ABS(W693)&gt;1E-12,((LTP3!$D$5)*((U693)*(Q693)-(R693)*(V693))-(LTP3!$D$6)*((S693)*(Q693)-(R693)*(T693))+(T693)*((S693)*(V693)-(U693)*(T693)))/W693,0)</f>
        <v/>
      </c>
      <c r="Z693">
        <f>IF(ABS(W693)&gt;1E-12,((LTP3!$D$5)*((P693)*(V693)-(U693)*(R693))-(S693)*((S693)*(V693)-(U693)*(T693))+(LTP3!$D$6)*((S693)*(R693)-(P693)*(T693)))/W693,0)</f>
        <v/>
      </c>
      <c r="AA693">
        <f>LTP3!$D$7-X693*LTP3!$D$6-Y693*U693-Z693*V693</f>
        <v/>
      </c>
      <c r="AB693">
        <f>IF(AND(F693,ABS(W693)&gt;1E-12,Y693&gt;0,Z693&gt;0),AA693,1E+300)</f>
        <v/>
      </c>
    </row>
    <row r="694">
      <c r="A694">
        <f>$B$3+$B$5*11</f>
        <v/>
      </c>
      <c r="B694">
        <f>$B$3+$B$5*11</f>
        <v/>
      </c>
      <c r="C694">
        <f>SUMPRODUCT(Calc!$K$3:$K$22*(Calc!$G$3:$G$22&lt;=A694))</f>
        <v/>
      </c>
      <c r="D694">
        <f>SUMPRODUCT(Calc!$K$3:$K$22*(Calc!$G$3:$G$22&gt;A694)*(Calc!$G$3:$G$22&lt;B694))</f>
        <v/>
      </c>
      <c r="E694">
        <f>SUMPRODUCT(Calc!$K$3:$K$22*(Calc!$G$3:$G$22&gt;=B694))</f>
        <v/>
      </c>
      <c r="F694">
        <f>AND(k_n&gt;=5,B694&gt;A694+1E-9,C694&gt;=2,D694&gt;=1,E694&gt;=2)</f>
        <v/>
      </c>
      <c r="G694">
        <f>SUMPRODUCT(Calc!$K$3:$K$22*(Calc!$G$3:$G$22&gt;A694)*(Calc!$G$3:$G$22-A694))</f>
        <v/>
      </c>
      <c r="H694">
        <f>SUMPRODUCT(Calc!$K$3:$K$22*(Calc!$G$3:$G$22&gt;B694)*(Calc!$G$3:$G$22-B694))</f>
        <v/>
      </c>
      <c r="I694">
        <f>SUMPRODUCT(Calc!$K$3:$K$22*(Calc!$G$3:$G$22&gt;A694)*(Calc!$G$3:$G$22-A694)^2)</f>
        <v/>
      </c>
      <c r="J694">
        <f>SUMPRODUCT(Calc!$K$3:$K$22*(Calc!$G$3:$G$22&gt;B694)*(Calc!$G$3:$G$22-B694)^2)</f>
        <v/>
      </c>
      <c r="K694">
        <f>SUMPRODUCT(Calc!$K$3:$K$22*(Calc!$G$3:$G$22&gt;A694)*(Calc!$G$3:$G$22-A694)*(Calc!$G$3:$G$22&gt;B694)*(Calc!$G$3:$G$22-B694))</f>
        <v/>
      </c>
      <c r="L694">
        <f>SUMPRODUCT(Calc!$K$3:$K$22*(Calc!$G$3:$G$22&gt;A694)*(Calc!$G$3:$G$22-A694)*Calc!$G$3:$G$22)</f>
        <v/>
      </c>
      <c r="M694">
        <f>SUMPRODUCT(Calc!$K$3:$K$22*(Calc!$G$3:$G$22&gt;B694)*(Calc!$G$3:$G$22-B694)*Calc!$G$3:$G$22)</f>
        <v/>
      </c>
      <c r="N694">
        <f>SUMPRODUCT(Calc!$K$3:$K$22*(Calc!$G$3:$G$22&gt;A694)*(Calc!$G$3:$G$22-A694)*Calc!$I$3:$I$22)</f>
        <v/>
      </c>
      <c r="O694">
        <f>SUMPRODUCT(Calc!$K$3:$K$22*(Calc!$G$3:$G$22&gt;B694)*(Calc!$G$3:$G$22-B694)*Calc!$I$3:$I$22)</f>
        <v/>
      </c>
      <c r="P694">
        <f>I694-G694^2/k_n</f>
        <v/>
      </c>
      <c r="Q694">
        <f>J694-H694^2/k_n</f>
        <v/>
      </c>
      <c r="R694">
        <f>K694-G694*H694/k_n</f>
        <v/>
      </c>
      <c r="S694">
        <f>L694-LTP3!$D$3*G694/k_n</f>
        <v/>
      </c>
      <c r="T694">
        <f>M694-LTP3!$D$3*H694/k_n</f>
        <v/>
      </c>
      <c r="U694">
        <f>N694-G694*LTP3!$D$4/k_n</f>
        <v/>
      </c>
      <c r="V694">
        <f>O694-H694*LTP3!$D$4/k_n</f>
        <v/>
      </c>
      <c r="W694">
        <f>((LTP3!$D$5)*((P694)*(Q694)-(R694)*(R694))-(S694)*((S694)*(Q694)-(R694)*(T694))+(T694)*((S694)*(R694)-(P694)*(T694)))</f>
        <v/>
      </c>
      <c r="X694">
        <f>IF(ABS(W694)&gt;1E-12,((LTP3!$D$6)*((P694)*(Q694)-(R694)*(R694))-(S694)*((U694)*(Q694)-(R694)*(V694))+(T694)*((U694)*(R694)-(P694)*(V694)))/W694,0)</f>
        <v/>
      </c>
      <c r="Y694">
        <f>IF(ABS(W694)&gt;1E-12,((LTP3!$D$5)*((U694)*(Q694)-(R694)*(V694))-(LTP3!$D$6)*((S694)*(Q694)-(R694)*(T694))+(T694)*((S694)*(V694)-(U694)*(T694)))/W694,0)</f>
        <v/>
      </c>
      <c r="Z694">
        <f>IF(ABS(W694)&gt;1E-12,((LTP3!$D$5)*((P694)*(V694)-(U694)*(R694))-(S694)*((S694)*(V694)-(U694)*(T694))+(LTP3!$D$6)*((S694)*(R694)-(P694)*(T694)))/W694,0)</f>
        <v/>
      </c>
      <c r="AA694">
        <f>LTP3!$D$7-X694*LTP3!$D$6-Y694*U694-Z694*V694</f>
        <v/>
      </c>
      <c r="AB694">
        <f>IF(AND(F694,ABS(W694)&gt;1E-12,Y694&gt;0,Z694&gt;0),AA694,1E+300)</f>
        <v/>
      </c>
    </row>
    <row r="695">
      <c r="A695">
        <f>$B$3+$B$5*11</f>
        <v/>
      </c>
      <c r="B695">
        <f>$B$3+$B$5*12</f>
        <v/>
      </c>
      <c r="C695">
        <f>SUMPRODUCT(Calc!$K$3:$K$22*(Calc!$G$3:$G$22&lt;=A695))</f>
        <v/>
      </c>
      <c r="D695">
        <f>SUMPRODUCT(Calc!$K$3:$K$22*(Calc!$G$3:$G$22&gt;A695)*(Calc!$G$3:$G$22&lt;B695))</f>
        <v/>
      </c>
      <c r="E695">
        <f>SUMPRODUCT(Calc!$K$3:$K$22*(Calc!$G$3:$G$22&gt;=B695))</f>
        <v/>
      </c>
      <c r="F695">
        <f>AND(k_n&gt;=5,B695&gt;A695+1E-9,C695&gt;=2,D695&gt;=1,E695&gt;=2)</f>
        <v/>
      </c>
      <c r="G695">
        <f>SUMPRODUCT(Calc!$K$3:$K$22*(Calc!$G$3:$G$22&gt;A695)*(Calc!$G$3:$G$22-A695))</f>
        <v/>
      </c>
      <c r="H695">
        <f>SUMPRODUCT(Calc!$K$3:$K$22*(Calc!$G$3:$G$22&gt;B695)*(Calc!$G$3:$G$22-B695))</f>
        <v/>
      </c>
      <c r="I695">
        <f>SUMPRODUCT(Calc!$K$3:$K$22*(Calc!$G$3:$G$22&gt;A695)*(Calc!$G$3:$G$22-A695)^2)</f>
        <v/>
      </c>
      <c r="J695">
        <f>SUMPRODUCT(Calc!$K$3:$K$22*(Calc!$G$3:$G$22&gt;B695)*(Calc!$G$3:$G$22-B695)^2)</f>
        <v/>
      </c>
      <c r="K695">
        <f>SUMPRODUCT(Calc!$K$3:$K$22*(Calc!$G$3:$G$22&gt;A695)*(Calc!$G$3:$G$22-A695)*(Calc!$G$3:$G$22&gt;B695)*(Calc!$G$3:$G$22-B695))</f>
        <v/>
      </c>
      <c r="L695">
        <f>SUMPRODUCT(Calc!$K$3:$K$22*(Calc!$G$3:$G$22&gt;A695)*(Calc!$G$3:$G$22-A695)*Calc!$G$3:$G$22)</f>
        <v/>
      </c>
      <c r="M695">
        <f>SUMPRODUCT(Calc!$K$3:$K$22*(Calc!$G$3:$G$22&gt;B695)*(Calc!$G$3:$G$22-B695)*Calc!$G$3:$G$22)</f>
        <v/>
      </c>
      <c r="N695">
        <f>SUMPRODUCT(Calc!$K$3:$K$22*(Calc!$G$3:$G$22&gt;A695)*(Calc!$G$3:$G$22-A695)*Calc!$I$3:$I$22)</f>
        <v/>
      </c>
      <c r="O695">
        <f>SUMPRODUCT(Calc!$K$3:$K$22*(Calc!$G$3:$G$22&gt;B695)*(Calc!$G$3:$G$22-B695)*Calc!$I$3:$I$22)</f>
        <v/>
      </c>
      <c r="P695">
        <f>I695-G695^2/k_n</f>
        <v/>
      </c>
      <c r="Q695">
        <f>J695-H695^2/k_n</f>
        <v/>
      </c>
      <c r="R695">
        <f>K695-G695*H695/k_n</f>
        <v/>
      </c>
      <c r="S695">
        <f>L695-LTP3!$D$3*G695/k_n</f>
        <v/>
      </c>
      <c r="T695">
        <f>M695-LTP3!$D$3*H695/k_n</f>
        <v/>
      </c>
      <c r="U695">
        <f>N695-G695*LTP3!$D$4/k_n</f>
        <v/>
      </c>
      <c r="V695">
        <f>O695-H695*LTP3!$D$4/k_n</f>
        <v/>
      </c>
      <c r="W695">
        <f>((LTP3!$D$5)*((P695)*(Q695)-(R695)*(R695))-(S695)*((S695)*(Q695)-(R695)*(T695))+(T695)*((S695)*(R695)-(P695)*(T695)))</f>
        <v/>
      </c>
      <c r="X695">
        <f>IF(ABS(W695)&gt;1E-12,((LTP3!$D$6)*((P695)*(Q695)-(R695)*(R695))-(S695)*((U695)*(Q695)-(R695)*(V695))+(T695)*((U695)*(R695)-(P695)*(V695)))/W695,0)</f>
        <v/>
      </c>
      <c r="Y695">
        <f>IF(ABS(W695)&gt;1E-12,((LTP3!$D$5)*((U695)*(Q695)-(R695)*(V695))-(LTP3!$D$6)*((S695)*(Q695)-(R695)*(T695))+(T695)*((S695)*(V695)-(U695)*(T695)))/W695,0)</f>
        <v/>
      </c>
      <c r="Z695">
        <f>IF(ABS(W695)&gt;1E-12,((LTP3!$D$5)*((P695)*(V695)-(U695)*(R695))-(S695)*((S695)*(V695)-(U695)*(T695))+(LTP3!$D$6)*((S695)*(R695)-(P695)*(T695)))/W695,0)</f>
        <v/>
      </c>
      <c r="AA695">
        <f>LTP3!$D$7-X695*LTP3!$D$6-Y695*U695-Z695*V695</f>
        <v/>
      </c>
      <c r="AB695">
        <f>IF(AND(F695,ABS(W695)&gt;1E-12,Y695&gt;0,Z695&gt;0),AA695,1E+300)</f>
        <v/>
      </c>
    </row>
    <row r="696">
      <c r="A696">
        <f>$B$3+$B$5*11</f>
        <v/>
      </c>
      <c r="B696">
        <f>$B$3+$B$5*13</f>
        <v/>
      </c>
      <c r="C696">
        <f>SUMPRODUCT(Calc!$K$3:$K$22*(Calc!$G$3:$G$22&lt;=A696))</f>
        <v/>
      </c>
      <c r="D696">
        <f>SUMPRODUCT(Calc!$K$3:$K$22*(Calc!$G$3:$G$22&gt;A696)*(Calc!$G$3:$G$22&lt;B696))</f>
        <v/>
      </c>
      <c r="E696">
        <f>SUMPRODUCT(Calc!$K$3:$K$22*(Calc!$G$3:$G$22&gt;=B696))</f>
        <v/>
      </c>
      <c r="F696">
        <f>AND(k_n&gt;=5,B696&gt;A696+1E-9,C696&gt;=2,D696&gt;=1,E696&gt;=2)</f>
        <v/>
      </c>
      <c r="G696">
        <f>SUMPRODUCT(Calc!$K$3:$K$22*(Calc!$G$3:$G$22&gt;A696)*(Calc!$G$3:$G$22-A696))</f>
        <v/>
      </c>
      <c r="H696">
        <f>SUMPRODUCT(Calc!$K$3:$K$22*(Calc!$G$3:$G$22&gt;B696)*(Calc!$G$3:$G$22-B696))</f>
        <v/>
      </c>
      <c r="I696">
        <f>SUMPRODUCT(Calc!$K$3:$K$22*(Calc!$G$3:$G$22&gt;A696)*(Calc!$G$3:$G$22-A696)^2)</f>
        <v/>
      </c>
      <c r="J696">
        <f>SUMPRODUCT(Calc!$K$3:$K$22*(Calc!$G$3:$G$22&gt;B696)*(Calc!$G$3:$G$22-B696)^2)</f>
        <v/>
      </c>
      <c r="K696">
        <f>SUMPRODUCT(Calc!$K$3:$K$22*(Calc!$G$3:$G$22&gt;A696)*(Calc!$G$3:$G$22-A696)*(Calc!$G$3:$G$22&gt;B696)*(Calc!$G$3:$G$22-B696))</f>
        <v/>
      </c>
      <c r="L696">
        <f>SUMPRODUCT(Calc!$K$3:$K$22*(Calc!$G$3:$G$22&gt;A696)*(Calc!$G$3:$G$22-A696)*Calc!$G$3:$G$22)</f>
        <v/>
      </c>
      <c r="M696">
        <f>SUMPRODUCT(Calc!$K$3:$K$22*(Calc!$G$3:$G$22&gt;B696)*(Calc!$G$3:$G$22-B696)*Calc!$G$3:$G$22)</f>
        <v/>
      </c>
      <c r="N696">
        <f>SUMPRODUCT(Calc!$K$3:$K$22*(Calc!$G$3:$G$22&gt;A696)*(Calc!$G$3:$G$22-A696)*Calc!$I$3:$I$22)</f>
        <v/>
      </c>
      <c r="O696">
        <f>SUMPRODUCT(Calc!$K$3:$K$22*(Calc!$G$3:$G$22&gt;B696)*(Calc!$G$3:$G$22-B696)*Calc!$I$3:$I$22)</f>
        <v/>
      </c>
      <c r="P696">
        <f>I696-G696^2/k_n</f>
        <v/>
      </c>
      <c r="Q696">
        <f>J696-H696^2/k_n</f>
        <v/>
      </c>
      <c r="R696">
        <f>K696-G696*H696/k_n</f>
        <v/>
      </c>
      <c r="S696">
        <f>L696-LTP3!$D$3*G696/k_n</f>
        <v/>
      </c>
      <c r="T696">
        <f>M696-LTP3!$D$3*H696/k_n</f>
        <v/>
      </c>
      <c r="U696">
        <f>N696-G696*LTP3!$D$4/k_n</f>
        <v/>
      </c>
      <c r="V696">
        <f>O696-H696*LTP3!$D$4/k_n</f>
        <v/>
      </c>
      <c r="W696">
        <f>((LTP3!$D$5)*((P696)*(Q696)-(R696)*(R696))-(S696)*((S696)*(Q696)-(R696)*(T696))+(T696)*((S696)*(R696)-(P696)*(T696)))</f>
        <v/>
      </c>
      <c r="X696">
        <f>IF(ABS(W696)&gt;1E-12,((LTP3!$D$6)*((P696)*(Q696)-(R696)*(R696))-(S696)*((U696)*(Q696)-(R696)*(V696))+(T696)*((U696)*(R696)-(P696)*(V696)))/W696,0)</f>
        <v/>
      </c>
      <c r="Y696">
        <f>IF(ABS(W696)&gt;1E-12,((LTP3!$D$5)*((U696)*(Q696)-(R696)*(V696))-(LTP3!$D$6)*((S696)*(Q696)-(R696)*(T696))+(T696)*((S696)*(V696)-(U696)*(T696)))/W696,0)</f>
        <v/>
      </c>
      <c r="Z696">
        <f>IF(ABS(W696)&gt;1E-12,((LTP3!$D$5)*((P696)*(V696)-(U696)*(R696))-(S696)*((S696)*(V696)-(U696)*(T696))+(LTP3!$D$6)*((S696)*(R696)-(P696)*(T696)))/W696,0)</f>
        <v/>
      </c>
      <c r="AA696">
        <f>LTP3!$D$7-X696*LTP3!$D$6-Y696*U696-Z696*V696</f>
        <v/>
      </c>
      <c r="AB696">
        <f>IF(AND(F696,ABS(W696)&gt;1E-12,Y696&gt;0,Z696&gt;0),AA696,1E+300)</f>
        <v/>
      </c>
    </row>
    <row r="697">
      <c r="A697">
        <f>$B$3+$B$5*11</f>
        <v/>
      </c>
      <c r="B697">
        <f>$B$3+$B$5*14</f>
        <v/>
      </c>
      <c r="C697">
        <f>SUMPRODUCT(Calc!$K$3:$K$22*(Calc!$G$3:$G$22&lt;=A697))</f>
        <v/>
      </c>
      <c r="D697">
        <f>SUMPRODUCT(Calc!$K$3:$K$22*(Calc!$G$3:$G$22&gt;A697)*(Calc!$G$3:$G$22&lt;B697))</f>
        <v/>
      </c>
      <c r="E697">
        <f>SUMPRODUCT(Calc!$K$3:$K$22*(Calc!$G$3:$G$22&gt;=B697))</f>
        <v/>
      </c>
      <c r="F697">
        <f>AND(k_n&gt;=5,B697&gt;A697+1E-9,C697&gt;=2,D697&gt;=1,E697&gt;=2)</f>
        <v/>
      </c>
      <c r="G697">
        <f>SUMPRODUCT(Calc!$K$3:$K$22*(Calc!$G$3:$G$22&gt;A697)*(Calc!$G$3:$G$22-A697))</f>
        <v/>
      </c>
      <c r="H697">
        <f>SUMPRODUCT(Calc!$K$3:$K$22*(Calc!$G$3:$G$22&gt;B697)*(Calc!$G$3:$G$22-B697))</f>
        <v/>
      </c>
      <c r="I697">
        <f>SUMPRODUCT(Calc!$K$3:$K$22*(Calc!$G$3:$G$22&gt;A697)*(Calc!$G$3:$G$22-A697)^2)</f>
        <v/>
      </c>
      <c r="J697">
        <f>SUMPRODUCT(Calc!$K$3:$K$22*(Calc!$G$3:$G$22&gt;B697)*(Calc!$G$3:$G$22-B697)^2)</f>
        <v/>
      </c>
      <c r="K697">
        <f>SUMPRODUCT(Calc!$K$3:$K$22*(Calc!$G$3:$G$22&gt;A697)*(Calc!$G$3:$G$22-A697)*(Calc!$G$3:$G$22&gt;B697)*(Calc!$G$3:$G$22-B697))</f>
        <v/>
      </c>
      <c r="L697">
        <f>SUMPRODUCT(Calc!$K$3:$K$22*(Calc!$G$3:$G$22&gt;A697)*(Calc!$G$3:$G$22-A697)*Calc!$G$3:$G$22)</f>
        <v/>
      </c>
      <c r="M697">
        <f>SUMPRODUCT(Calc!$K$3:$K$22*(Calc!$G$3:$G$22&gt;B697)*(Calc!$G$3:$G$22-B697)*Calc!$G$3:$G$22)</f>
        <v/>
      </c>
      <c r="N697">
        <f>SUMPRODUCT(Calc!$K$3:$K$22*(Calc!$G$3:$G$22&gt;A697)*(Calc!$G$3:$G$22-A697)*Calc!$I$3:$I$22)</f>
        <v/>
      </c>
      <c r="O697">
        <f>SUMPRODUCT(Calc!$K$3:$K$22*(Calc!$G$3:$G$22&gt;B697)*(Calc!$G$3:$G$22-B697)*Calc!$I$3:$I$22)</f>
        <v/>
      </c>
      <c r="P697">
        <f>I697-G697^2/k_n</f>
        <v/>
      </c>
      <c r="Q697">
        <f>J697-H697^2/k_n</f>
        <v/>
      </c>
      <c r="R697">
        <f>K697-G697*H697/k_n</f>
        <v/>
      </c>
      <c r="S697">
        <f>L697-LTP3!$D$3*G697/k_n</f>
        <v/>
      </c>
      <c r="T697">
        <f>M697-LTP3!$D$3*H697/k_n</f>
        <v/>
      </c>
      <c r="U697">
        <f>N697-G697*LTP3!$D$4/k_n</f>
        <v/>
      </c>
      <c r="V697">
        <f>O697-H697*LTP3!$D$4/k_n</f>
        <v/>
      </c>
      <c r="W697">
        <f>((LTP3!$D$5)*((P697)*(Q697)-(R697)*(R697))-(S697)*((S697)*(Q697)-(R697)*(T697))+(T697)*((S697)*(R697)-(P697)*(T697)))</f>
        <v/>
      </c>
      <c r="X697">
        <f>IF(ABS(W697)&gt;1E-12,((LTP3!$D$6)*((P697)*(Q697)-(R697)*(R697))-(S697)*((U697)*(Q697)-(R697)*(V697))+(T697)*((U697)*(R697)-(P697)*(V697)))/W697,0)</f>
        <v/>
      </c>
      <c r="Y697">
        <f>IF(ABS(W697)&gt;1E-12,((LTP3!$D$5)*((U697)*(Q697)-(R697)*(V697))-(LTP3!$D$6)*((S697)*(Q697)-(R697)*(T697))+(T697)*((S697)*(V697)-(U697)*(T697)))/W697,0)</f>
        <v/>
      </c>
      <c r="Z697">
        <f>IF(ABS(W697)&gt;1E-12,((LTP3!$D$5)*((P697)*(V697)-(U697)*(R697))-(S697)*((S697)*(V697)-(U697)*(T697))+(LTP3!$D$6)*((S697)*(R697)-(P697)*(T697)))/W697,0)</f>
        <v/>
      </c>
      <c r="AA697">
        <f>LTP3!$D$7-X697*LTP3!$D$6-Y697*U697-Z697*V697</f>
        <v/>
      </c>
      <c r="AB697">
        <f>IF(AND(F697,ABS(W697)&gt;1E-12,Y697&gt;0,Z697&gt;0),AA697,1E+300)</f>
        <v/>
      </c>
    </row>
    <row r="698">
      <c r="A698">
        <f>$B$3+$B$5*11</f>
        <v/>
      </c>
      <c r="B698">
        <f>$B$3+$B$5*15</f>
        <v/>
      </c>
      <c r="C698">
        <f>SUMPRODUCT(Calc!$K$3:$K$22*(Calc!$G$3:$G$22&lt;=A698))</f>
        <v/>
      </c>
      <c r="D698">
        <f>SUMPRODUCT(Calc!$K$3:$K$22*(Calc!$G$3:$G$22&gt;A698)*(Calc!$G$3:$G$22&lt;B698))</f>
        <v/>
      </c>
      <c r="E698">
        <f>SUMPRODUCT(Calc!$K$3:$K$22*(Calc!$G$3:$G$22&gt;=B698))</f>
        <v/>
      </c>
      <c r="F698">
        <f>AND(k_n&gt;=5,B698&gt;A698+1E-9,C698&gt;=2,D698&gt;=1,E698&gt;=2)</f>
        <v/>
      </c>
      <c r="G698">
        <f>SUMPRODUCT(Calc!$K$3:$K$22*(Calc!$G$3:$G$22&gt;A698)*(Calc!$G$3:$G$22-A698))</f>
        <v/>
      </c>
      <c r="H698">
        <f>SUMPRODUCT(Calc!$K$3:$K$22*(Calc!$G$3:$G$22&gt;B698)*(Calc!$G$3:$G$22-B698))</f>
        <v/>
      </c>
      <c r="I698">
        <f>SUMPRODUCT(Calc!$K$3:$K$22*(Calc!$G$3:$G$22&gt;A698)*(Calc!$G$3:$G$22-A698)^2)</f>
        <v/>
      </c>
      <c r="J698">
        <f>SUMPRODUCT(Calc!$K$3:$K$22*(Calc!$G$3:$G$22&gt;B698)*(Calc!$G$3:$G$22-B698)^2)</f>
        <v/>
      </c>
      <c r="K698">
        <f>SUMPRODUCT(Calc!$K$3:$K$22*(Calc!$G$3:$G$22&gt;A698)*(Calc!$G$3:$G$22-A698)*(Calc!$G$3:$G$22&gt;B698)*(Calc!$G$3:$G$22-B698))</f>
        <v/>
      </c>
      <c r="L698">
        <f>SUMPRODUCT(Calc!$K$3:$K$22*(Calc!$G$3:$G$22&gt;A698)*(Calc!$G$3:$G$22-A698)*Calc!$G$3:$G$22)</f>
        <v/>
      </c>
      <c r="M698">
        <f>SUMPRODUCT(Calc!$K$3:$K$22*(Calc!$G$3:$G$22&gt;B698)*(Calc!$G$3:$G$22-B698)*Calc!$G$3:$G$22)</f>
        <v/>
      </c>
      <c r="N698">
        <f>SUMPRODUCT(Calc!$K$3:$K$22*(Calc!$G$3:$G$22&gt;A698)*(Calc!$G$3:$G$22-A698)*Calc!$I$3:$I$22)</f>
        <v/>
      </c>
      <c r="O698">
        <f>SUMPRODUCT(Calc!$K$3:$K$22*(Calc!$G$3:$G$22&gt;B698)*(Calc!$G$3:$G$22-B698)*Calc!$I$3:$I$22)</f>
        <v/>
      </c>
      <c r="P698">
        <f>I698-G698^2/k_n</f>
        <v/>
      </c>
      <c r="Q698">
        <f>J698-H698^2/k_n</f>
        <v/>
      </c>
      <c r="R698">
        <f>K698-G698*H698/k_n</f>
        <v/>
      </c>
      <c r="S698">
        <f>L698-LTP3!$D$3*G698/k_n</f>
        <v/>
      </c>
      <c r="T698">
        <f>M698-LTP3!$D$3*H698/k_n</f>
        <v/>
      </c>
      <c r="U698">
        <f>N698-G698*LTP3!$D$4/k_n</f>
        <v/>
      </c>
      <c r="V698">
        <f>O698-H698*LTP3!$D$4/k_n</f>
        <v/>
      </c>
      <c r="W698">
        <f>((LTP3!$D$5)*((P698)*(Q698)-(R698)*(R698))-(S698)*((S698)*(Q698)-(R698)*(T698))+(T698)*((S698)*(R698)-(P698)*(T698)))</f>
        <v/>
      </c>
      <c r="X698">
        <f>IF(ABS(W698)&gt;1E-12,((LTP3!$D$6)*((P698)*(Q698)-(R698)*(R698))-(S698)*((U698)*(Q698)-(R698)*(V698))+(T698)*((U698)*(R698)-(P698)*(V698)))/W698,0)</f>
        <v/>
      </c>
      <c r="Y698">
        <f>IF(ABS(W698)&gt;1E-12,((LTP3!$D$5)*((U698)*(Q698)-(R698)*(V698))-(LTP3!$D$6)*((S698)*(Q698)-(R698)*(T698))+(T698)*((S698)*(V698)-(U698)*(T698)))/W698,0)</f>
        <v/>
      </c>
      <c r="Z698">
        <f>IF(ABS(W698)&gt;1E-12,((LTP3!$D$5)*((P698)*(V698)-(U698)*(R698))-(S698)*((S698)*(V698)-(U698)*(T698))+(LTP3!$D$6)*((S698)*(R698)-(P698)*(T698)))/W698,0)</f>
        <v/>
      </c>
      <c r="AA698">
        <f>LTP3!$D$7-X698*LTP3!$D$6-Y698*U698-Z698*V698</f>
        <v/>
      </c>
      <c r="AB698">
        <f>IF(AND(F698,ABS(W698)&gt;1E-12,Y698&gt;0,Z698&gt;0),AA698,1E+300)</f>
        <v/>
      </c>
    </row>
    <row r="699">
      <c r="A699">
        <f>$B$3+$B$5*11</f>
        <v/>
      </c>
      <c r="B699">
        <f>$B$3+$B$5*16</f>
        <v/>
      </c>
      <c r="C699">
        <f>SUMPRODUCT(Calc!$K$3:$K$22*(Calc!$G$3:$G$22&lt;=A699))</f>
        <v/>
      </c>
      <c r="D699">
        <f>SUMPRODUCT(Calc!$K$3:$K$22*(Calc!$G$3:$G$22&gt;A699)*(Calc!$G$3:$G$22&lt;B699))</f>
        <v/>
      </c>
      <c r="E699">
        <f>SUMPRODUCT(Calc!$K$3:$K$22*(Calc!$G$3:$G$22&gt;=B699))</f>
        <v/>
      </c>
      <c r="F699">
        <f>AND(k_n&gt;=5,B699&gt;A699+1E-9,C699&gt;=2,D699&gt;=1,E699&gt;=2)</f>
        <v/>
      </c>
      <c r="G699">
        <f>SUMPRODUCT(Calc!$K$3:$K$22*(Calc!$G$3:$G$22&gt;A699)*(Calc!$G$3:$G$22-A699))</f>
        <v/>
      </c>
      <c r="H699">
        <f>SUMPRODUCT(Calc!$K$3:$K$22*(Calc!$G$3:$G$22&gt;B699)*(Calc!$G$3:$G$22-B699))</f>
        <v/>
      </c>
      <c r="I699">
        <f>SUMPRODUCT(Calc!$K$3:$K$22*(Calc!$G$3:$G$22&gt;A699)*(Calc!$G$3:$G$22-A699)^2)</f>
        <v/>
      </c>
      <c r="J699">
        <f>SUMPRODUCT(Calc!$K$3:$K$22*(Calc!$G$3:$G$22&gt;B699)*(Calc!$G$3:$G$22-B699)^2)</f>
        <v/>
      </c>
      <c r="K699">
        <f>SUMPRODUCT(Calc!$K$3:$K$22*(Calc!$G$3:$G$22&gt;A699)*(Calc!$G$3:$G$22-A699)*(Calc!$G$3:$G$22&gt;B699)*(Calc!$G$3:$G$22-B699))</f>
        <v/>
      </c>
      <c r="L699">
        <f>SUMPRODUCT(Calc!$K$3:$K$22*(Calc!$G$3:$G$22&gt;A699)*(Calc!$G$3:$G$22-A699)*Calc!$G$3:$G$22)</f>
        <v/>
      </c>
      <c r="M699">
        <f>SUMPRODUCT(Calc!$K$3:$K$22*(Calc!$G$3:$G$22&gt;B699)*(Calc!$G$3:$G$22-B699)*Calc!$G$3:$G$22)</f>
        <v/>
      </c>
      <c r="N699">
        <f>SUMPRODUCT(Calc!$K$3:$K$22*(Calc!$G$3:$G$22&gt;A699)*(Calc!$G$3:$G$22-A699)*Calc!$I$3:$I$22)</f>
        <v/>
      </c>
      <c r="O699">
        <f>SUMPRODUCT(Calc!$K$3:$K$22*(Calc!$G$3:$G$22&gt;B699)*(Calc!$G$3:$G$22-B699)*Calc!$I$3:$I$22)</f>
        <v/>
      </c>
      <c r="P699">
        <f>I699-G699^2/k_n</f>
        <v/>
      </c>
      <c r="Q699">
        <f>J699-H699^2/k_n</f>
        <v/>
      </c>
      <c r="R699">
        <f>K699-G699*H699/k_n</f>
        <v/>
      </c>
      <c r="S699">
        <f>L699-LTP3!$D$3*G699/k_n</f>
        <v/>
      </c>
      <c r="T699">
        <f>M699-LTP3!$D$3*H699/k_n</f>
        <v/>
      </c>
      <c r="U699">
        <f>N699-G699*LTP3!$D$4/k_n</f>
        <v/>
      </c>
      <c r="V699">
        <f>O699-H699*LTP3!$D$4/k_n</f>
        <v/>
      </c>
      <c r="W699">
        <f>((LTP3!$D$5)*((P699)*(Q699)-(R699)*(R699))-(S699)*((S699)*(Q699)-(R699)*(T699))+(T699)*((S699)*(R699)-(P699)*(T699)))</f>
        <v/>
      </c>
      <c r="X699">
        <f>IF(ABS(W699)&gt;1E-12,((LTP3!$D$6)*((P699)*(Q699)-(R699)*(R699))-(S699)*((U699)*(Q699)-(R699)*(V699))+(T699)*((U699)*(R699)-(P699)*(V699)))/W699,0)</f>
        <v/>
      </c>
      <c r="Y699">
        <f>IF(ABS(W699)&gt;1E-12,((LTP3!$D$5)*((U699)*(Q699)-(R699)*(V699))-(LTP3!$D$6)*((S699)*(Q699)-(R699)*(T699))+(T699)*((S699)*(V699)-(U699)*(T699)))/W699,0)</f>
        <v/>
      </c>
      <c r="Z699">
        <f>IF(ABS(W699)&gt;1E-12,((LTP3!$D$5)*((P699)*(V699)-(U699)*(R699))-(S699)*((S699)*(V699)-(U699)*(T699))+(LTP3!$D$6)*((S699)*(R699)-(P699)*(T699)))/W699,0)</f>
        <v/>
      </c>
      <c r="AA699">
        <f>LTP3!$D$7-X699*LTP3!$D$6-Y699*U699-Z699*V699</f>
        <v/>
      </c>
      <c r="AB699">
        <f>IF(AND(F699,ABS(W699)&gt;1E-12,Y699&gt;0,Z699&gt;0),AA699,1E+300)</f>
        <v/>
      </c>
    </row>
    <row r="700">
      <c r="A700">
        <f>$B$3+$B$5*11</f>
        <v/>
      </c>
      <c r="B700">
        <f>$B$3+$B$5*17</f>
        <v/>
      </c>
      <c r="C700">
        <f>SUMPRODUCT(Calc!$K$3:$K$22*(Calc!$G$3:$G$22&lt;=A700))</f>
        <v/>
      </c>
      <c r="D700">
        <f>SUMPRODUCT(Calc!$K$3:$K$22*(Calc!$G$3:$G$22&gt;A700)*(Calc!$G$3:$G$22&lt;B700))</f>
        <v/>
      </c>
      <c r="E700">
        <f>SUMPRODUCT(Calc!$K$3:$K$22*(Calc!$G$3:$G$22&gt;=B700))</f>
        <v/>
      </c>
      <c r="F700">
        <f>AND(k_n&gt;=5,B700&gt;A700+1E-9,C700&gt;=2,D700&gt;=1,E700&gt;=2)</f>
        <v/>
      </c>
      <c r="G700">
        <f>SUMPRODUCT(Calc!$K$3:$K$22*(Calc!$G$3:$G$22&gt;A700)*(Calc!$G$3:$G$22-A700))</f>
        <v/>
      </c>
      <c r="H700">
        <f>SUMPRODUCT(Calc!$K$3:$K$22*(Calc!$G$3:$G$22&gt;B700)*(Calc!$G$3:$G$22-B700))</f>
        <v/>
      </c>
      <c r="I700">
        <f>SUMPRODUCT(Calc!$K$3:$K$22*(Calc!$G$3:$G$22&gt;A700)*(Calc!$G$3:$G$22-A700)^2)</f>
        <v/>
      </c>
      <c r="J700">
        <f>SUMPRODUCT(Calc!$K$3:$K$22*(Calc!$G$3:$G$22&gt;B700)*(Calc!$G$3:$G$22-B700)^2)</f>
        <v/>
      </c>
      <c r="K700">
        <f>SUMPRODUCT(Calc!$K$3:$K$22*(Calc!$G$3:$G$22&gt;A700)*(Calc!$G$3:$G$22-A700)*(Calc!$G$3:$G$22&gt;B700)*(Calc!$G$3:$G$22-B700))</f>
        <v/>
      </c>
      <c r="L700">
        <f>SUMPRODUCT(Calc!$K$3:$K$22*(Calc!$G$3:$G$22&gt;A700)*(Calc!$G$3:$G$22-A700)*Calc!$G$3:$G$22)</f>
        <v/>
      </c>
      <c r="M700">
        <f>SUMPRODUCT(Calc!$K$3:$K$22*(Calc!$G$3:$G$22&gt;B700)*(Calc!$G$3:$G$22-B700)*Calc!$G$3:$G$22)</f>
        <v/>
      </c>
      <c r="N700">
        <f>SUMPRODUCT(Calc!$K$3:$K$22*(Calc!$G$3:$G$22&gt;A700)*(Calc!$G$3:$G$22-A700)*Calc!$I$3:$I$22)</f>
        <v/>
      </c>
      <c r="O700">
        <f>SUMPRODUCT(Calc!$K$3:$K$22*(Calc!$G$3:$G$22&gt;B700)*(Calc!$G$3:$G$22-B700)*Calc!$I$3:$I$22)</f>
        <v/>
      </c>
      <c r="P700">
        <f>I700-G700^2/k_n</f>
        <v/>
      </c>
      <c r="Q700">
        <f>J700-H700^2/k_n</f>
        <v/>
      </c>
      <c r="R700">
        <f>K700-G700*H700/k_n</f>
        <v/>
      </c>
      <c r="S700">
        <f>L700-LTP3!$D$3*G700/k_n</f>
        <v/>
      </c>
      <c r="T700">
        <f>M700-LTP3!$D$3*H700/k_n</f>
        <v/>
      </c>
      <c r="U700">
        <f>N700-G700*LTP3!$D$4/k_n</f>
        <v/>
      </c>
      <c r="V700">
        <f>O700-H700*LTP3!$D$4/k_n</f>
        <v/>
      </c>
      <c r="W700">
        <f>((LTP3!$D$5)*((P700)*(Q700)-(R700)*(R700))-(S700)*((S700)*(Q700)-(R700)*(T700))+(T700)*((S700)*(R700)-(P700)*(T700)))</f>
        <v/>
      </c>
      <c r="X700">
        <f>IF(ABS(W700)&gt;1E-12,((LTP3!$D$6)*((P700)*(Q700)-(R700)*(R700))-(S700)*((U700)*(Q700)-(R700)*(V700))+(T700)*((U700)*(R700)-(P700)*(V700)))/W700,0)</f>
        <v/>
      </c>
      <c r="Y700">
        <f>IF(ABS(W700)&gt;1E-12,((LTP3!$D$5)*((U700)*(Q700)-(R700)*(V700))-(LTP3!$D$6)*((S700)*(Q700)-(R700)*(T700))+(T700)*((S700)*(V700)-(U700)*(T700)))/W700,0)</f>
        <v/>
      </c>
      <c r="Z700">
        <f>IF(ABS(W700)&gt;1E-12,((LTP3!$D$5)*((P700)*(V700)-(U700)*(R700))-(S700)*((S700)*(V700)-(U700)*(T700))+(LTP3!$D$6)*((S700)*(R700)-(P700)*(T700)))/W700,0)</f>
        <v/>
      </c>
      <c r="AA700">
        <f>LTP3!$D$7-X700*LTP3!$D$6-Y700*U700-Z700*V700</f>
        <v/>
      </c>
      <c r="AB700">
        <f>IF(AND(F700,ABS(W700)&gt;1E-12,Y700&gt;0,Z700&gt;0),AA700,1E+300)</f>
        <v/>
      </c>
    </row>
    <row r="701">
      <c r="A701">
        <f>$B$3+$B$5*11</f>
        <v/>
      </c>
      <c r="B701">
        <f>$B$3+$B$5*18</f>
        <v/>
      </c>
      <c r="C701">
        <f>SUMPRODUCT(Calc!$K$3:$K$22*(Calc!$G$3:$G$22&lt;=A701))</f>
        <v/>
      </c>
      <c r="D701">
        <f>SUMPRODUCT(Calc!$K$3:$K$22*(Calc!$G$3:$G$22&gt;A701)*(Calc!$G$3:$G$22&lt;B701))</f>
        <v/>
      </c>
      <c r="E701">
        <f>SUMPRODUCT(Calc!$K$3:$K$22*(Calc!$G$3:$G$22&gt;=B701))</f>
        <v/>
      </c>
      <c r="F701">
        <f>AND(k_n&gt;=5,B701&gt;A701+1E-9,C701&gt;=2,D701&gt;=1,E701&gt;=2)</f>
        <v/>
      </c>
      <c r="G701">
        <f>SUMPRODUCT(Calc!$K$3:$K$22*(Calc!$G$3:$G$22&gt;A701)*(Calc!$G$3:$G$22-A701))</f>
        <v/>
      </c>
      <c r="H701">
        <f>SUMPRODUCT(Calc!$K$3:$K$22*(Calc!$G$3:$G$22&gt;B701)*(Calc!$G$3:$G$22-B701))</f>
        <v/>
      </c>
      <c r="I701">
        <f>SUMPRODUCT(Calc!$K$3:$K$22*(Calc!$G$3:$G$22&gt;A701)*(Calc!$G$3:$G$22-A701)^2)</f>
        <v/>
      </c>
      <c r="J701">
        <f>SUMPRODUCT(Calc!$K$3:$K$22*(Calc!$G$3:$G$22&gt;B701)*(Calc!$G$3:$G$22-B701)^2)</f>
        <v/>
      </c>
      <c r="K701">
        <f>SUMPRODUCT(Calc!$K$3:$K$22*(Calc!$G$3:$G$22&gt;A701)*(Calc!$G$3:$G$22-A701)*(Calc!$G$3:$G$22&gt;B701)*(Calc!$G$3:$G$22-B701))</f>
        <v/>
      </c>
      <c r="L701">
        <f>SUMPRODUCT(Calc!$K$3:$K$22*(Calc!$G$3:$G$22&gt;A701)*(Calc!$G$3:$G$22-A701)*Calc!$G$3:$G$22)</f>
        <v/>
      </c>
      <c r="M701">
        <f>SUMPRODUCT(Calc!$K$3:$K$22*(Calc!$G$3:$G$22&gt;B701)*(Calc!$G$3:$G$22-B701)*Calc!$G$3:$G$22)</f>
        <v/>
      </c>
      <c r="N701">
        <f>SUMPRODUCT(Calc!$K$3:$K$22*(Calc!$G$3:$G$22&gt;A701)*(Calc!$G$3:$G$22-A701)*Calc!$I$3:$I$22)</f>
        <v/>
      </c>
      <c r="O701">
        <f>SUMPRODUCT(Calc!$K$3:$K$22*(Calc!$G$3:$G$22&gt;B701)*(Calc!$G$3:$G$22-B701)*Calc!$I$3:$I$22)</f>
        <v/>
      </c>
      <c r="P701">
        <f>I701-G701^2/k_n</f>
        <v/>
      </c>
      <c r="Q701">
        <f>J701-H701^2/k_n</f>
        <v/>
      </c>
      <c r="R701">
        <f>K701-G701*H701/k_n</f>
        <v/>
      </c>
      <c r="S701">
        <f>L701-LTP3!$D$3*G701/k_n</f>
        <v/>
      </c>
      <c r="T701">
        <f>M701-LTP3!$D$3*H701/k_n</f>
        <v/>
      </c>
      <c r="U701">
        <f>N701-G701*LTP3!$D$4/k_n</f>
        <v/>
      </c>
      <c r="V701">
        <f>O701-H701*LTP3!$D$4/k_n</f>
        <v/>
      </c>
      <c r="W701">
        <f>((LTP3!$D$5)*((P701)*(Q701)-(R701)*(R701))-(S701)*((S701)*(Q701)-(R701)*(T701))+(T701)*((S701)*(R701)-(P701)*(T701)))</f>
        <v/>
      </c>
      <c r="X701">
        <f>IF(ABS(W701)&gt;1E-12,((LTP3!$D$6)*((P701)*(Q701)-(R701)*(R701))-(S701)*((U701)*(Q701)-(R701)*(V701))+(T701)*((U701)*(R701)-(P701)*(V701)))/W701,0)</f>
        <v/>
      </c>
      <c r="Y701">
        <f>IF(ABS(W701)&gt;1E-12,((LTP3!$D$5)*((U701)*(Q701)-(R701)*(V701))-(LTP3!$D$6)*((S701)*(Q701)-(R701)*(T701))+(T701)*((S701)*(V701)-(U701)*(T701)))/W701,0)</f>
        <v/>
      </c>
      <c r="Z701">
        <f>IF(ABS(W701)&gt;1E-12,((LTP3!$D$5)*((P701)*(V701)-(U701)*(R701))-(S701)*((S701)*(V701)-(U701)*(T701))+(LTP3!$D$6)*((S701)*(R701)-(P701)*(T701)))/W701,0)</f>
        <v/>
      </c>
      <c r="AA701">
        <f>LTP3!$D$7-X701*LTP3!$D$6-Y701*U701-Z701*V701</f>
        <v/>
      </c>
      <c r="AB701">
        <f>IF(AND(F701,ABS(W701)&gt;1E-12,Y701&gt;0,Z701&gt;0),AA701,1E+300)</f>
        <v/>
      </c>
    </row>
    <row r="702">
      <c r="A702">
        <f>$B$3+$B$5*11</f>
        <v/>
      </c>
      <c r="B702">
        <f>$B$3+$B$5*19</f>
        <v/>
      </c>
      <c r="C702">
        <f>SUMPRODUCT(Calc!$K$3:$K$22*(Calc!$G$3:$G$22&lt;=A702))</f>
        <v/>
      </c>
      <c r="D702">
        <f>SUMPRODUCT(Calc!$K$3:$K$22*(Calc!$G$3:$G$22&gt;A702)*(Calc!$G$3:$G$22&lt;B702))</f>
        <v/>
      </c>
      <c r="E702">
        <f>SUMPRODUCT(Calc!$K$3:$K$22*(Calc!$G$3:$G$22&gt;=B702))</f>
        <v/>
      </c>
      <c r="F702">
        <f>AND(k_n&gt;=5,B702&gt;A702+1E-9,C702&gt;=2,D702&gt;=1,E702&gt;=2)</f>
        <v/>
      </c>
      <c r="G702">
        <f>SUMPRODUCT(Calc!$K$3:$K$22*(Calc!$G$3:$G$22&gt;A702)*(Calc!$G$3:$G$22-A702))</f>
        <v/>
      </c>
      <c r="H702">
        <f>SUMPRODUCT(Calc!$K$3:$K$22*(Calc!$G$3:$G$22&gt;B702)*(Calc!$G$3:$G$22-B702))</f>
        <v/>
      </c>
      <c r="I702">
        <f>SUMPRODUCT(Calc!$K$3:$K$22*(Calc!$G$3:$G$22&gt;A702)*(Calc!$G$3:$G$22-A702)^2)</f>
        <v/>
      </c>
      <c r="J702">
        <f>SUMPRODUCT(Calc!$K$3:$K$22*(Calc!$G$3:$G$22&gt;B702)*(Calc!$G$3:$G$22-B702)^2)</f>
        <v/>
      </c>
      <c r="K702">
        <f>SUMPRODUCT(Calc!$K$3:$K$22*(Calc!$G$3:$G$22&gt;A702)*(Calc!$G$3:$G$22-A702)*(Calc!$G$3:$G$22&gt;B702)*(Calc!$G$3:$G$22-B702))</f>
        <v/>
      </c>
      <c r="L702">
        <f>SUMPRODUCT(Calc!$K$3:$K$22*(Calc!$G$3:$G$22&gt;A702)*(Calc!$G$3:$G$22-A702)*Calc!$G$3:$G$22)</f>
        <v/>
      </c>
      <c r="M702">
        <f>SUMPRODUCT(Calc!$K$3:$K$22*(Calc!$G$3:$G$22&gt;B702)*(Calc!$G$3:$G$22-B702)*Calc!$G$3:$G$22)</f>
        <v/>
      </c>
      <c r="N702">
        <f>SUMPRODUCT(Calc!$K$3:$K$22*(Calc!$G$3:$G$22&gt;A702)*(Calc!$G$3:$G$22-A702)*Calc!$I$3:$I$22)</f>
        <v/>
      </c>
      <c r="O702">
        <f>SUMPRODUCT(Calc!$K$3:$K$22*(Calc!$G$3:$G$22&gt;B702)*(Calc!$G$3:$G$22-B702)*Calc!$I$3:$I$22)</f>
        <v/>
      </c>
      <c r="P702">
        <f>I702-G702^2/k_n</f>
        <v/>
      </c>
      <c r="Q702">
        <f>J702-H702^2/k_n</f>
        <v/>
      </c>
      <c r="R702">
        <f>K702-G702*H702/k_n</f>
        <v/>
      </c>
      <c r="S702">
        <f>L702-LTP3!$D$3*G702/k_n</f>
        <v/>
      </c>
      <c r="T702">
        <f>M702-LTP3!$D$3*H702/k_n</f>
        <v/>
      </c>
      <c r="U702">
        <f>N702-G702*LTP3!$D$4/k_n</f>
        <v/>
      </c>
      <c r="V702">
        <f>O702-H702*LTP3!$D$4/k_n</f>
        <v/>
      </c>
      <c r="W702">
        <f>((LTP3!$D$5)*((P702)*(Q702)-(R702)*(R702))-(S702)*((S702)*(Q702)-(R702)*(T702))+(T702)*((S702)*(R702)-(P702)*(T702)))</f>
        <v/>
      </c>
      <c r="X702">
        <f>IF(ABS(W702)&gt;1E-12,((LTP3!$D$6)*((P702)*(Q702)-(R702)*(R702))-(S702)*((U702)*(Q702)-(R702)*(V702))+(T702)*((U702)*(R702)-(P702)*(V702)))/W702,0)</f>
        <v/>
      </c>
      <c r="Y702">
        <f>IF(ABS(W702)&gt;1E-12,((LTP3!$D$5)*((U702)*(Q702)-(R702)*(V702))-(LTP3!$D$6)*((S702)*(Q702)-(R702)*(T702))+(T702)*((S702)*(V702)-(U702)*(T702)))/W702,0)</f>
        <v/>
      </c>
      <c r="Z702">
        <f>IF(ABS(W702)&gt;1E-12,((LTP3!$D$5)*((P702)*(V702)-(U702)*(R702))-(S702)*((S702)*(V702)-(U702)*(T702))+(LTP3!$D$6)*((S702)*(R702)-(P702)*(T702)))/W702,0)</f>
        <v/>
      </c>
      <c r="AA702">
        <f>LTP3!$D$7-X702*LTP3!$D$6-Y702*U702-Z702*V702</f>
        <v/>
      </c>
      <c r="AB702">
        <f>IF(AND(F702,ABS(W702)&gt;1E-12,Y702&gt;0,Z702&gt;0),AA702,1E+300)</f>
        <v/>
      </c>
    </row>
    <row r="703">
      <c r="A703">
        <f>$B$3+$B$5*11</f>
        <v/>
      </c>
      <c r="B703">
        <f>$B$3+$B$5*20</f>
        <v/>
      </c>
      <c r="C703">
        <f>SUMPRODUCT(Calc!$K$3:$K$22*(Calc!$G$3:$G$22&lt;=A703))</f>
        <v/>
      </c>
      <c r="D703">
        <f>SUMPRODUCT(Calc!$K$3:$K$22*(Calc!$G$3:$G$22&gt;A703)*(Calc!$G$3:$G$22&lt;B703))</f>
        <v/>
      </c>
      <c r="E703">
        <f>SUMPRODUCT(Calc!$K$3:$K$22*(Calc!$G$3:$G$22&gt;=B703))</f>
        <v/>
      </c>
      <c r="F703">
        <f>AND(k_n&gt;=5,B703&gt;A703+1E-9,C703&gt;=2,D703&gt;=1,E703&gt;=2)</f>
        <v/>
      </c>
      <c r="G703">
        <f>SUMPRODUCT(Calc!$K$3:$K$22*(Calc!$G$3:$G$22&gt;A703)*(Calc!$G$3:$G$22-A703))</f>
        <v/>
      </c>
      <c r="H703">
        <f>SUMPRODUCT(Calc!$K$3:$K$22*(Calc!$G$3:$G$22&gt;B703)*(Calc!$G$3:$G$22-B703))</f>
        <v/>
      </c>
      <c r="I703">
        <f>SUMPRODUCT(Calc!$K$3:$K$22*(Calc!$G$3:$G$22&gt;A703)*(Calc!$G$3:$G$22-A703)^2)</f>
        <v/>
      </c>
      <c r="J703">
        <f>SUMPRODUCT(Calc!$K$3:$K$22*(Calc!$G$3:$G$22&gt;B703)*(Calc!$G$3:$G$22-B703)^2)</f>
        <v/>
      </c>
      <c r="K703">
        <f>SUMPRODUCT(Calc!$K$3:$K$22*(Calc!$G$3:$G$22&gt;A703)*(Calc!$G$3:$G$22-A703)*(Calc!$G$3:$G$22&gt;B703)*(Calc!$G$3:$G$22-B703))</f>
        <v/>
      </c>
      <c r="L703">
        <f>SUMPRODUCT(Calc!$K$3:$K$22*(Calc!$G$3:$G$22&gt;A703)*(Calc!$G$3:$G$22-A703)*Calc!$G$3:$G$22)</f>
        <v/>
      </c>
      <c r="M703">
        <f>SUMPRODUCT(Calc!$K$3:$K$22*(Calc!$G$3:$G$22&gt;B703)*(Calc!$G$3:$G$22-B703)*Calc!$G$3:$G$22)</f>
        <v/>
      </c>
      <c r="N703">
        <f>SUMPRODUCT(Calc!$K$3:$K$22*(Calc!$G$3:$G$22&gt;A703)*(Calc!$G$3:$G$22-A703)*Calc!$I$3:$I$22)</f>
        <v/>
      </c>
      <c r="O703">
        <f>SUMPRODUCT(Calc!$K$3:$K$22*(Calc!$G$3:$G$22&gt;B703)*(Calc!$G$3:$G$22-B703)*Calc!$I$3:$I$22)</f>
        <v/>
      </c>
      <c r="P703">
        <f>I703-G703^2/k_n</f>
        <v/>
      </c>
      <c r="Q703">
        <f>J703-H703^2/k_n</f>
        <v/>
      </c>
      <c r="R703">
        <f>K703-G703*H703/k_n</f>
        <v/>
      </c>
      <c r="S703">
        <f>L703-LTP3!$D$3*G703/k_n</f>
        <v/>
      </c>
      <c r="T703">
        <f>M703-LTP3!$D$3*H703/k_n</f>
        <v/>
      </c>
      <c r="U703">
        <f>N703-G703*LTP3!$D$4/k_n</f>
        <v/>
      </c>
      <c r="V703">
        <f>O703-H703*LTP3!$D$4/k_n</f>
        <v/>
      </c>
      <c r="W703">
        <f>((LTP3!$D$5)*((P703)*(Q703)-(R703)*(R703))-(S703)*((S703)*(Q703)-(R703)*(T703))+(T703)*((S703)*(R703)-(P703)*(T703)))</f>
        <v/>
      </c>
      <c r="X703">
        <f>IF(ABS(W703)&gt;1E-12,((LTP3!$D$6)*((P703)*(Q703)-(R703)*(R703))-(S703)*((U703)*(Q703)-(R703)*(V703))+(T703)*((U703)*(R703)-(P703)*(V703)))/W703,0)</f>
        <v/>
      </c>
      <c r="Y703">
        <f>IF(ABS(W703)&gt;1E-12,((LTP3!$D$5)*((U703)*(Q703)-(R703)*(V703))-(LTP3!$D$6)*((S703)*(Q703)-(R703)*(T703))+(T703)*((S703)*(V703)-(U703)*(T703)))/W703,0)</f>
        <v/>
      </c>
      <c r="Z703">
        <f>IF(ABS(W703)&gt;1E-12,((LTP3!$D$5)*((P703)*(V703)-(U703)*(R703))-(S703)*((S703)*(V703)-(U703)*(T703))+(LTP3!$D$6)*((S703)*(R703)-(P703)*(T703)))/W703,0)</f>
        <v/>
      </c>
      <c r="AA703">
        <f>LTP3!$D$7-X703*LTP3!$D$6-Y703*U703-Z703*V703</f>
        <v/>
      </c>
      <c r="AB703">
        <f>IF(AND(F703,ABS(W703)&gt;1E-12,Y703&gt;0,Z703&gt;0),AA703,1E+300)</f>
        <v/>
      </c>
    </row>
    <row r="704">
      <c r="A704">
        <f>$B$3+$B$5*11</f>
        <v/>
      </c>
      <c r="B704">
        <f>$B$3+$B$5*21</f>
        <v/>
      </c>
      <c r="C704">
        <f>SUMPRODUCT(Calc!$K$3:$K$22*(Calc!$G$3:$G$22&lt;=A704))</f>
        <v/>
      </c>
      <c r="D704">
        <f>SUMPRODUCT(Calc!$K$3:$K$22*(Calc!$G$3:$G$22&gt;A704)*(Calc!$G$3:$G$22&lt;B704))</f>
        <v/>
      </c>
      <c r="E704">
        <f>SUMPRODUCT(Calc!$K$3:$K$22*(Calc!$G$3:$G$22&gt;=B704))</f>
        <v/>
      </c>
      <c r="F704">
        <f>AND(k_n&gt;=5,B704&gt;A704+1E-9,C704&gt;=2,D704&gt;=1,E704&gt;=2)</f>
        <v/>
      </c>
      <c r="G704">
        <f>SUMPRODUCT(Calc!$K$3:$K$22*(Calc!$G$3:$G$22&gt;A704)*(Calc!$G$3:$G$22-A704))</f>
        <v/>
      </c>
      <c r="H704">
        <f>SUMPRODUCT(Calc!$K$3:$K$22*(Calc!$G$3:$G$22&gt;B704)*(Calc!$G$3:$G$22-B704))</f>
        <v/>
      </c>
      <c r="I704">
        <f>SUMPRODUCT(Calc!$K$3:$K$22*(Calc!$G$3:$G$22&gt;A704)*(Calc!$G$3:$G$22-A704)^2)</f>
        <v/>
      </c>
      <c r="J704">
        <f>SUMPRODUCT(Calc!$K$3:$K$22*(Calc!$G$3:$G$22&gt;B704)*(Calc!$G$3:$G$22-B704)^2)</f>
        <v/>
      </c>
      <c r="K704">
        <f>SUMPRODUCT(Calc!$K$3:$K$22*(Calc!$G$3:$G$22&gt;A704)*(Calc!$G$3:$G$22-A704)*(Calc!$G$3:$G$22&gt;B704)*(Calc!$G$3:$G$22-B704))</f>
        <v/>
      </c>
      <c r="L704">
        <f>SUMPRODUCT(Calc!$K$3:$K$22*(Calc!$G$3:$G$22&gt;A704)*(Calc!$G$3:$G$22-A704)*Calc!$G$3:$G$22)</f>
        <v/>
      </c>
      <c r="M704">
        <f>SUMPRODUCT(Calc!$K$3:$K$22*(Calc!$G$3:$G$22&gt;B704)*(Calc!$G$3:$G$22-B704)*Calc!$G$3:$G$22)</f>
        <v/>
      </c>
      <c r="N704">
        <f>SUMPRODUCT(Calc!$K$3:$K$22*(Calc!$G$3:$G$22&gt;A704)*(Calc!$G$3:$G$22-A704)*Calc!$I$3:$I$22)</f>
        <v/>
      </c>
      <c r="O704">
        <f>SUMPRODUCT(Calc!$K$3:$K$22*(Calc!$G$3:$G$22&gt;B704)*(Calc!$G$3:$G$22-B704)*Calc!$I$3:$I$22)</f>
        <v/>
      </c>
      <c r="P704">
        <f>I704-G704^2/k_n</f>
        <v/>
      </c>
      <c r="Q704">
        <f>J704-H704^2/k_n</f>
        <v/>
      </c>
      <c r="R704">
        <f>K704-G704*H704/k_n</f>
        <v/>
      </c>
      <c r="S704">
        <f>L704-LTP3!$D$3*G704/k_n</f>
        <v/>
      </c>
      <c r="T704">
        <f>M704-LTP3!$D$3*H704/k_n</f>
        <v/>
      </c>
      <c r="U704">
        <f>N704-G704*LTP3!$D$4/k_n</f>
        <v/>
      </c>
      <c r="V704">
        <f>O704-H704*LTP3!$D$4/k_n</f>
        <v/>
      </c>
      <c r="W704">
        <f>((LTP3!$D$5)*((P704)*(Q704)-(R704)*(R704))-(S704)*((S704)*(Q704)-(R704)*(T704))+(T704)*((S704)*(R704)-(P704)*(T704)))</f>
        <v/>
      </c>
      <c r="X704">
        <f>IF(ABS(W704)&gt;1E-12,((LTP3!$D$6)*((P704)*(Q704)-(R704)*(R704))-(S704)*((U704)*(Q704)-(R704)*(V704))+(T704)*((U704)*(R704)-(P704)*(V704)))/W704,0)</f>
        <v/>
      </c>
      <c r="Y704">
        <f>IF(ABS(W704)&gt;1E-12,((LTP3!$D$5)*((U704)*(Q704)-(R704)*(V704))-(LTP3!$D$6)*((S704)*(Q704)-(R704)*(T704))+(T704)*((S704)*(V704)-(U704)*(T704)))/W704,0)</f>
        <v/>
      </c>
      <c r="Z704">
        <f>IF(ABS(W704)&gt;1E-12,((LTP3!$D$5)*((P704)*(V704)-(U704)*(R704))-(S704)*((S704)*(V704)-(U704)*(T704))+(LTP3!$D$6)*((S704)*(R704)-(P704)*(T704)))/W704,0)</f>
        <v/>
      </c>
      <c r="AA704">
        <f>LTP3!$D$7-X704*LTP3!$D$6-Y704*U704-Z704*V704</f>
        <v/>
      </c>
      <c r="AB704">
        <f>IF(AND(F704,ABS(W704)&gt;1E-12,Y704&gt;0,Z704&gt;0),AA704,1E+300)</f>
        <v/>
      </c>
    </row>
    <row r="705">
      <c r="A705">
        <f>$B$3+$B$5*11</f>
        <v/>
      </c>
      <c r="B705">
        <f>$B$3+$B$5*22</f>
        <v/>
      </c>
      <c r="C705">
        <f>SUMPRODUCT(Calc!$K$3:$K$22*(Calc!$G$3:$G$22&lt;=A705))</f>
        <v/>
      </c>
      <c r="D705">
        <f>SUMPRODUCT(Calc!$K$3:$K$22*(Calc!$G$3:$G$22&gt;A705)*(Calc!$G$3:$G$22&lt;B705))</f>
        <v/>
      </c>
      <c r="E705">
        <f>SUMPRODUCT(Calc!$K$3:$K$22*(Calc!$G$3:$G$22&gt;=B705))</f>
        <v/>
      </c>
      <c r="F705">
        <f>AND(k_n&gt;=5,B705&gt;A705+1E-9,C705&gt;=2,D705&gt;=1,E705&gt;=2)</f>
        <v/>
      </c>
      <c r="G705">
        <f>SUMPRODUCT(Calc!$K$3:$K$22*(Calc!$G$3:$G$22&gt;A705)*(Calc!$G$3:$G$22-A705))</f>
        <v/>
      </c>
      <c r="H705">
        <f>SUMPRODUCT(Calc!$K$3:$K$22*(Calc!$G$3:$G$22&gt;B705)*(Calc!$G$3:$G$22-B705))</f>
        <v/>
      </c>
      <c r="I705">
        <f>SUMPRODUCT(Calc!$K$3:$K$22*(Calc!$G$3:$G$22&gt;A705)*(Calc!$G$3:$G$22-A705)^2)</f>
        <v/>
      </c>
      <c r="J705">
        <f>SUMPRODUCT(Calc!$K$3:$K$22*(Calc!$G$3:$G$22&gt;B705)*(Calc!$G$3:$G$22-B705)^2)</f>
        <v/>
      </c>
      <c r="K705">
        <f>SUMPRODUCT(Calc!$K$3:$K$22*(Calc!$G$3:$G$22&gt;A705)*(Calc!$G$3:$G$22-A705)*(Calc!$G$3:$G$22&gt;B705)*(Calc!$G$3:$G$22-B705))</f>
        <v/>
      </c>
      <c r="L705">
        <f>SUMPRODUCT(Calc!$K$3:$K$22*(Calc!$G$3:$G$22&gt;A705)*(Calc!$G$3:$G$22-A705)*Calc!$G$3:$G$22)</f>
        <v/>
      </c>
      <c r="M705">
        <f>SUMPRODUCT(Calc!$K$3:$K$22*(Calc!$G$3:$G$22&gt;B705)*(Calc!$G$3:$G$22-B705)*Calc!$G$3:$G$22)</f>
        <v/>
      </c>
      <c r="N705">
        <f>SUMPRODUCT(Calc!$K$3:$K$22*(Calc!$G$3:$G$22&gt;A705)*(Calc!$G$3:$G$22-A705)*Calc!$I$3:$I$22)</f>
        <v/>
      </c>
      <c r="O705">
        <f>SUMPRODUCT(Calc!$K$3:$K$22*(Calc!$G$3:$G$22&gt;B705)*(Calc!$G$3:$G$22-B705)*Calc!$I$3:$I$22)</f>
        <v/>
      </c>
      <c r="P705">
        <f>I705-G705^2/k_n</f>
        <v/>
      </c>
      <c r="Q705">
        <f>J705-H705^2/k_n</f>
        <v/>
      </c>
      <c r="R705">
        <f>K705-G705*H705/k_n</f>
        <v/>
      </c>
      <c r="S705">
        <f>L705-LTP3!$D$3*G705/k_n</f>
        <v/>
      </c>
      <c r="T705">
        <f>M705-LTP3!$D$3*H705/k_n</f>
        <v/>
      </c>
      <c r="U705">
        <f>N705-G705*LTP3!$D$4/k_n</f>
        <v/>
      </c>
      <c r="V705">
        <f>O705-H705*LTP3!$D$4/k_n</f>
        <v/>
      </c>
      <c r="W705">
        <f>((LTP3!$D$5)*((P705)*(Q705)-(R705)*(R705))-(S705)*((S705)*(Q705)-(R705)*(T705))+(T705)*((S705)*(R705)-(P705)*(T705)))</f>
        <v/>
      </c>
      <c r="X705">
        <f>IF(ABS(W705)&gt;1E-12,((LTP3!$D$6)*((P705)*(Q705)-(R705)*(R705))-(S705)*((U705)*(Q705)-(R705)*(V705))+(T705)*((U705)*(R705)-(P705)*(V705)))/W705,0)</f>
        <v/>
      </c>
      <c r="Y705">
        <f>IF(ABS(W705)&gt;1E-12,((LTP3!$D$5)*((U705)*(Q705)-(R705)*(V705))-(LTP3!$D$6)*((S705)*(Q705)-(R705)*(T705))+(T705)*((S705)*(V705)-(U705)*(T705)))/W705,0)</f>
        <v/>
      </c>
      <c r="Z705">
        <f>IF(ABS(W705)&gt;1E-12,((LTP3!$D$5)*((P705)*(V705)-(U705)*(R705))-(S705)*((S705)*(V705)-(U705)*(T705))+(LTP3!$D$6)*((S705)*(R705)-(P705)*(T705)))/W705,0)</f>
        <v/>
      </c>
      <c r="AA705">
        <f>LTP3!$D$7-X705*LTP3!$D$6-Y705*U705-Z705*V705</f>
        <v/>
      </c>
      <c r="AB705">
        <f>IF(AND(F705,ABS(W705)&gt;1E-12,Y705&gt;0,Z705&gt;0),AA705,1E+300)</f>
        <v/>
      </c>
    </row>
    <row r="706">
      <c r="A706">
        <f>$B$3+$B$5*11</f>
        <v/>
      </c>
      <c r="B706">
        <f>$B$3+$B$5*23</f>
        <v/>
      </c>
      <c r="C706">
        <f>SUMPRODUCT(Calc!$K$3:$K$22*(Calc!$G$3:$G$22&lt;=A706))</f>
        <v/>
      </c>
      <c r="D706">
        <f>SUMPRODUCT(Calc!$K$3:$K$22*(Calc!$G$3:$G$22&gt;A706)*(Calc!$G$3:$G$22&lt;B706))</f>
        <v/>
      </c>
      <c r="E706">
        <f>SUMPRODUCT(Calc!$K$3:$K$22*(Calc!$G$3:$G$22&gt;=B706))</f>
        <v/>
      </c>
      <c r="F706">
        <f>AND(k_n&gt;=5,B706&gt;A706+1E-9,C706&gt;=2,D706&gt;=1,E706&gt;=2)</f>
        <v/>
      </c>
      <c r="G706">
        <f>SUMPRODUCT(Calc!$K$3:$K$22*(Calc!$G$3:$G$22&gt;A706)*(Calc!$G$3:$G$22-A706))</f>
        <v/>
      </c>
      <c r="H706">
        <f>SUMPRODUCT(Calc!$K$3:$K$22*(Calc!$G$3:$G$22&gt;B706)*(Calc!$G$3:$G$22-B706))</f>
        <v/>
      </c>
      <c r="I706">
        <f>SUMPRODUCT(Calc!$K$3:$K$22*(Calc!$G$3:$G$22&gt;A706)*(Calc!$G$3:$G$22-A706)^2)</f>
        <v/>
      </c>
      <c r="J706">
        <f>SUMPRODUCT(Calc!$K$3:$K$22*(Calc!$G$3:$G$22&gt;B706)*(Calc!$G$3:$G$22-B706)^2)</f>
        <v/>
      </c>
      <c r="K706">
        <f>SUMPRODUCT(Calc!$K$3:$K$22*(Calc!$G$3:$G$22&gt;A706)*(Calc!$G$3:$G$22-A706)*(Calc!$G$3:$G$22&gt;B706)*(Calc!$G$3:$G$22-B706))</f>
        <v/>
      </c>
      <c r="L706">
        <f>SUMPRODUCT(Calc!$K$3:$K$22*(Calc!$G$3:$G$22&gt;A706)*(Calc!$G$3:$G$22-A706)*Calc!$G$3:$G$22)</f>
        <v/>
      </c>
      <c r="M706">
        <f>SUMPRODUCT(Calc!$K$3:$K$22*(Calc!$G$3:$G$22&gt;B706)*(Calc!$G$3:$G$22-B706)*Calc!$G$3:$G$22)</f>
        <v/>
      </c>
      <c r="N706">
        <f>SUMPRODUCT(Calc!$K$3:$K$22*(Calc!$G$3:$G$22&gt;A706)*(Calc!$G$3:$G$22-A706)*Calc!$I$3:$I$22)</f>
        <v/>
      </c>
      <c r="O706">
        <f>SUMPRODUCT(Calc!$K$3:$K$22*(Calc!$G$3:$G$22&gt;B706)*(Calc!$G$3:$G$22-B706)*Calc!$I$3:$I$22)</f>
        <v/>
      </c>
      <c r="P706">
        <f>I706-G706^2/k_n</f>
        <v/>
      </c>
      <c r="Q706">
        <f>J706-H706^2/k_n</f>
        <v/>
      </c>
      <c r="R706">
        <f>K706-G706*H706/k_n</f>
        <v/>
      </c>
      <c r="S706">
        <f>L706-LTP3!$D$3*G706/k_n</f>
        <v/>
      </c>
      <c r="T706">
        <f>M706-LTP3!$D$3*H706/k_n</f>
        <v/>
      </c>
      <c r="U706">
        <f>N706-G706*LTP3!$D$4/k_n</f>
        <v/>
      </c>
      <c r="V706">
        <f>O706-H706*LTP3!$D$4/k_n</f>
        <v/>
      </c>
      <c r="W706">
        <f>((LTP3!$D$5)*((P706)*(Q706)-(R706)*(R706))-(S706)*((S706)*(Q706)-(R706)*(T706))+(T706)*((S706)*(R706)-(P706)*(T706)))</f>
        <v/>
      </c>
      <c r="X706">
        <f>IF(ABS(W706)&gt;1E-12,((LTP3!$D$6)*((P706)*(Q706)-(R706)*(R706))-(S706)*((U706)*(Q706)-(R706)*(V706))+(T706)*((U706)*(R706)-(P706)*(V706)))/W706,0)</f>
        <v/>
      </c>
      <c r="Y706">
        <f>IF(ABS(W706)&gt;1E-12,((LTP3!$D$5)*((U706)*(Q706)-(R706)*(V706))-(LTP3!$D$6)*((S706)*(Q706)-(R706)*(T706))+(T706)*((S706)*(V706)-(U706)*(T706)))/W706,0)</f>
        <v/>
      </c>
      <c r="Z706">
        <f>IF(ABS(W706)&gt;1E-12,((LTP3!$D$5)*((P706)*(V706)-(U706)*(R706))-(S706)*((S706)*(V706)-(U706)*(T706))+(LTP3!$D$6)*((S706)*(R706)-(P706)*(T706)))/W706,0)</f>
        <v/>
      </c>
      <c r="AA706">
        <f>LTP3!$D$7-X706*LTP3!$D$6-Y706*U706-Z706*V706</f>
        <v/>
      </c>
      <c r="AB706">
        <f>IF(AND(F706,ABS(W706)&gt;1E-12,Y706&gt;0,Z706&gt;0),AA706,1E+300)</f>
        <v/>
      </c>
    </row>
    <row r="707">
      <c r="A707">
        <f>$B$3+$B$5*11</f>
        <v/>
      </c>
      <c r="B707">
        <f>$B$3+$B$5*24</f>
        <v/>
      </c>
      <c r="C707">
        <f>SUMPRODUCT(Calc!$K$3:$K$22*(Calc!$G$3:$G$22&lt;=A707))</f>
        <v/>
      </c>
      <c r="D707">
        <f>SUMPRODUCT(Calc!$K$3:$K$22*(Calc!$G$3:$G$22&gt;A707)*(Calc!$G$3:$G$22&lt;B707))</f>
        <v/>
      </c>
      <c r="E707">
        <f>SUMPRODUCT(Calc!$K$3:$K$22*(Calc!$G$3:$G$22&gt;=B707))</f>
        <v/>
      </c>
      <c r="F707">
        <f>AND(k_n&gt;=5,B707&gt;A707+1E-9,C707&gt;=2,D707&gt;=1,E707&gt;=2)</f>
        <v/>
      </c>
      <c r="G707">
        <f>SUMPRODUCT(Calc!$K$3:$K$22*(Calc!$G$3:$G$22&gt;A707)*(Calc!$G$3:$G$22-A707))</f>
        <v/>
      </c>
      <c r="H707">
        <f>SUMPRODUCT(Calc!$K$3:$K$22*(Calc!$G$3:$G$22&gt;B707)*(Calc!$G$3:$G$22-B707))</f>
        <v/>
      </c>
      <c r="I707">
        <f>SUMPRODUCT(Calc!$K$3:$K$22*(Calc!$G$3:$G$22&gt;A707)*(Calc!$G$3:$G$22-A707)^2)</f>
        <v/>
      </c>
      <c r="J707">
        <f>SUMPRODUCT(Calc!$K$3:$K$22*(Calc!$G$3:$G$22&gt;B707)*(Calc!$G$3:$G$22-B707)^2)</f>
        <v/>
      </c>
      <c r="K707">
        <f>SUMPRODUCT(Calc!$K$3:$K$22*(Calc!$G$3:$G$22&gt;A707)*(Calc!$G$3:$G$22-A707)*(Calc!$G$3:$G$22&gt;B707)*(Calc!$G$3:$G$22-B707))</f>
        <v/>
      </c>
      <c r="L707">
        <f>SUMPRODUCT(Calc!$K$3:$K$22*(Calc!$G$3:$G$22&gt;A707)*(Calc!$G$3:$G$22-A707)*Calc!$G$3:$G$22)</f>
        <v/>
      </c>
      <c r="M707">
        <f>SUMPRODUCT(Calc!$K$3:$K$22*(Calc!$G$3:$G$22&gt;B707)*(Calc!$G$3:$G$22-B707)*Calc!$G$3:$G$22)</f>
        <v/>
      </c>
      <c r="N707">
        <f>SUMPRODUCT(Calc!$K$3:$K$22*(Calc!$G$3:$G$22&gt;A707)*(Calc!$G$3:$G$22-A707)*Calc!$I$3:$I$22)</f>
        <v/>
      </c>
      <c r="O707">
        <f>SUMPRODUCT(Calc!$K$3:$K$22*(Calc!$G$3:$G$22&gt;B707)*(Calc!$G$3:$G$22-B707)*Calc!$I$3:$I$22)</f>
        <v/>
      </c>
      <c r="P707">
        <f>I707-G707^2/k_n</f>
        <v/>
      </c>
      <c r="Q707">
        <f>J707-H707^2/k_n</f>
        <v/>
      </c>
      <c r="R707">
        <f>K707-G707*H707/k_n</f>
        <v/>
      </c>
      <c r="S707">
        <f>L707-LTP3!$D$3*G707/k_n</f>
        <v/>
      </c>
      <c r="T707">
        <f>M707-LTP3!$D$3*H707/k_n</f>
        <v/>
      </c>
      <c r="U707">
        <f>N707-G707*LTP3!$D$4/k_n</f>
        <v/>
      </c>
      <c r="V707">
        <f>O707-H707*LTP3!$D$4/k_n</f>
        <v/>
      </c>
      <c r="W707">
        <f>((LTP3!$D$5)*((P707)*(Q707)-(R707)*(R707))-(S707)*((S707)*(Q707)-(R707)*(T707))+(T707)*((S707)*(R707)-(P707)*(T707)))</f>
        <v/>
      </c>
      <c r="X707">
        <f>IF(ABS(W707)&gt;1E-12,((LTP3!$D$6)*((P707)*(Q707)-(R707)*(R707))-(S707)*((U707)*(Q707)-(R707)*(V707))+(T707)*((U707)*(R707)-(P707)*(V707)))/W707,0)</f>
        <v/>
      </c>
      <c r="Y707">
        <f>IF(ABS(W707)&gt;1E-12,((LTP3!$D$5)*((U707)*(Q707)-(R707)*(V707))-(LTP3!$D$6)*((S707)*(Q707)-(R707)*(T707))+(T707)*((S707)*(V707)-(U707)*(T707)))/W707,0)</f>
        <v/>
      </c>
      <c r="Z707">
        <f>IF(ABS(W707)&gt;1E-12,((LTP3!$D$5)*((P707)*(V707)-(U707)*(R707))-(S707)*((S707)*(V707)-(U707)*(T707))+(LTP3!$D$6)*((S707)*(R707)-(P707)*(T707)))/W707,0)</f>
        <v/>
      </c>
      <c r="AA707">
        <f>LTP3!$D$7-X707*LTP3!$D$6-Y707*U707-Z707*V707</f>
        <v/>
      </c>
      <c r="AB707">
        <f>IF(AND(F707,ABS(W707)&gt;1E-12,Y707&gt;0,Z707&gt;0),AA707,1E+300)</f>
        <v/>
      </c>
    </row>
    <row r="708">
      <c r="A708">
        <f>$B$3+$B$5*11</f>
        <v/>
      </c>
      <c r="B708">
        <f>$B$3+$B$5*25</f>
        <v/>
      </c>
      <c r="C708">
        <f>SUMPRODUCT(Calc!$K$3:$K$22*(Calc!$G$3:$G$22&lt;=A708))</f>
        <v/>
      </c>
      <c r="D708">
        <f>SUMPRODUCT(Calc!$K$3:$K$22*(Calc!$G$3:$G$22&gt;A708)*(Calc!$G$3:$G$22&lt;B708))</f>
        <v/>
      </c>
      <c r="E708">
        <f>SUMPRODUCT(Calc!$K$3:$K$22*(Calc!$G$3:$G$22&gt;=B708))</f>
        <v/>
      </c>
      <c r="F708">
        <f>AND(k_n&gt;=5,B708&gt;A708+1E-9,C708&gt;=2,D708&gt;=1,E708&gt;=2)</f>
        <v/>
      </c>
      <c r="G708">
        <f>SUMPRODUCT(Calc!$K$3:$K$22*(Calc!$G$3:$G$22&gt;A708)*(Calc!$G$3:$G$22-A708))</f>
        <v/>
      </c>
      <c r="H708">
        <f>SUMPRODUCT(Calc!$K$3:$K$22*(Calc!$G$3:$G$22&gt;B708)*(Calc!$G$3:$G$22-B708))</f>
        <v/>
      </c>
      <c r="I708">
        <f>SUMPRODUCT(Calc!$K$3:$K$22*(Calc!$G$3:$G$22&gt;A708)*(Calc!$G$3:$G$22-A708)^2)</f>
        <v/>
      </c>
      <c r="J708">
        <f>SUMPRODUCT(Calc!$K$3:$K$22*(Calc!$G$3:$G$22&gt;B708)*(Calc!$G$3:$G$22-B708)^2)</f>
        <v/>
      </c>
      <c r="K708">
        <f>SUMPRODUCT(Calc!$K$3:$K$22*(Calc!$G$3:$G$22&gt;A708)*(Calc!$G$3:$G$22-A708)*(Calc!$G$3:$G$22&gt;B708)*(Calc!$G$3:$G$22-B708))</f>
        <v/>
      </c>
      <c r="L708">
        <f>SUMPRODUCT(Calc!$K$3:$K$22*(Calc!$G$3:$G$22&gt;A708)*(Calc!$G$3:$G$22-A708)*Calc!$G$3:$G$22)</f>
        <v/>
      </c>
      <c r="M708">
        <f>SUMPRODUCT(Calc!$K$3:$K$22*(Calc!$G$3:$G$22&gt;B708)*(Calc!$G$3:$G$22-B708)*Calc!$G$3:$G$22)</f>
        <v/>
      </c>
      <c r="N708">
        <f>SUMPRODUCT(Calc!$K$3:$K$22*(Calc!$G$3:$G$22&gt;A708)*(Calc!$G$3:$G$22-A708)*Calc!$I$3:$I$22)</f>
        <v/>
      </c>
      <c r="O708">
        <f>SUMPRODUCT(Calc!$K$3:$K$22*(Calc!$G$3:$G$22&gt;B708)*(Calc!$G$3:$G$22-B708)*Calc!$I$3:$I$22)</f>
        <v/>
      </c>
      <c r="P708">
        <f>I708-G708^2/k_n</f>
        <v/>
      </c>
      <c r="Q708">
        <f>J708-H708^2/k_n</f>
        <v/>
      </c>
      <c r="R708">
        <f>K708-G708*H708/k_n</f>
        <v/>
      </c>
      <c r="S708">
        <f>L708-LTP3!$D$3*G708/k_n</f>
        <v/>
      </c>
      <c r="T708">
        <f>M708-LTP3!$D$3*H708/k_n</f>
        <v/>
      </c>
      <c r="U708">
        <f>N708-G708*LTP3!$D$4/k_n</f>
        <v/>
      </c>
      <c r="V708">
        <f>O708-H708*LTP3!$D$4/k_n</f>
        <v/>
      </c>
      <c r="W708">
        <f>((LTP3!$D$5)*((P708)*(Q708)-(R708)*(R708))-(S708)*((S708)*(Q708)-(R708)*(T708))+(T708)*((S708)*(R708)-(P708)*(T708)))</f>
        <v/>
      </c>
      <c r="X708">
        <f>IF(ABS(W708)&gt;1E-12,((LTP3!$D$6)*((P708)*(Q708)-(R708)*(R708))-(S708)*((U708)*(Q708)-(R708)*(V708))+(T708)*((U708)*(R708)-(P708)*(V708)))/W708,0)</f>
        <v/>
      </c>
      <c r="Y708">
        <f>IF(ABS(W708)&gt;1E-12,((LTP3!$D$5)*((U708)*(Q708)-(R708)*(V708))-(LTP3!$D$6)*((S708)*(Q708)-(R708)*(T708))+(T708)*((S708)*(V708)-(U708)*(T708)))/W708,0)</f>
        <v/>
      </c>
      <c r="Z708">
        <f>IF(ABS(W708)&gt;1E-12,((LTP3!$D$5)*((P708)*(V708)-(U708)*(R708))-(S708)*((S708)*(V708)-(U708)*(T708))+(LTP3!$D$6)*((S708)*(R708)-(P708)*(T708)))/W708,0)</f>
        <v/>
      </c>
      <c r="AA708">
        <f>LTP3!$D$7-X708*LTP3!$D$6-Y708*U708-Z708*V708</f>
        <v/>
      </c>
      <c r="AB708">
        <f>IF(AND(F708,ABS(W708)&gt;1E-12,Y708&gt;0,Z708&gt;0),AA708,1E+300)</f>
        <v/>
      </c>
    </row>
    <row r="709">
      <c r="A709">
        <f>$B$3+$B$5*11</f>
        <v/>
      </c>
      <c r="B709">
        <f>$B$3+$B$5*26</f>
        <v/>
      </c>
      <c r="C709">
        <f>SUMPRODUCT(Calc!$K$3:$K$22*(Calc!$G$3:$G$22&lt;=A709))</f>
        <v/>
      </c>
      <c r="D709">
        <f>SUMPRODUCT(Calc!$K$3:$K$22*(Calc!$G$3:$G$22&gt;A709)*(Calc!$G$3:$G$22&lt;B709))</f>
        <v/>
      </c>
      <c r="E709">
        <f>SUMPRODUCT(Calc!$K$3:$K$22*(Calc!$G$3:$G$22&gt;=B709))</f>
        <v/>
      </c>
      <c r="F709">
        <f>AND(k_n&gt;=5,B709&gt;A709+1E-9,C709&gt;=2,D709&gt;=1,E709&gt;=2)</f>
        <v/>
      </c>
      <c r="G709">
        <f>SUMPRODUCT(Calc!$K$3:$K$22*(Calc!$G$3:$G$22&gt;A709)*(Calc!$G$3:$G$22-A709))</f>
        <v/>
      </c>
      <c r="H709">
        <f>SUMPRODUCT(Calc!$K$3:$K$22*(Calc!$G$3:$G$22&gt;B709)*(Calc!$G$3:$G$22-B709))</f>
        <v/>
      </c>
      <c r="I709">
        <f>SUMPRODUCT(Calc!$K$3:$K$22*(Calc!$G$3:$G$22&gt;A709)*(Calc!$G$3:$G$22-A709)^2)</f>
        <v/>
      </c>
      <c r="J709">
        <f>SUMPRODUCT(Calc!$K$3:$K$22*(Calc!$G$3:$G$22&gt;B709)*(Calc!$G$3:$G$22-B709)^2)</f>
        <v/>
      </c>
      <c r="K709">
        <f>SUMPRODUCT(Calc!$K$3:$K$22*(Calc!$G$3:$G$22&gt;A709)*(Calc!$G$3:$G$22-A709)*(Calc!$G$3:$G$22&gt;B709)*(Calc!$G$3:$G$22-B709))</f>
        <v/>
      </c>
      <c r="L709">
        <f>SUMPRODUCT(Calc!$K$3:$K$22*(Calc!$G$3:$G$22&gt;A709)*(Calc!$G$3:$G$22-A709)*Calc!$G$3:$G$22)</f>
        <v/>
      </c>
      <c r="M709">
        <f>SUMPRODUCT(Calc!$K$3:$K$22*(Calc!$G$3:$G$22&gt;B709)*(Calc!$G$3:$G$22-B709)*Calc!$G$3:$G$22)</f>
        <v/>
      </c>
      <c r="N709">
        <f>SUMPRODUCT(Calc!$K$3:$K$22*(Calc!$G$3:$G$22&gt;A709)*(Calc!$G$3:$G$22-A709)*Calc!$I$3:$I$22)</f>
        <v/>
      </c>
      <c r="O709">
        <f>SUMPRODUCT(Calc!$K$3:$K$22*(Calc!$G$3:$G$22&gt;B709)*(Calc!$G$3:$G$22-B709)*Calc!$I$3:$I$22)</f>
        <v/>
      </c>
      <c r="P709">
        <f>I709-G709^2/k_n</f>
        <v/>
      </c>
      <c r="Q709">
        <f>J709-H709^2/k_n</f>
        <v/>
      </c>
      <c r="R709">
        <f>K709-G709*H709/k_n</f>
        <v/>
      </c>
      <c r="S709">
        <f>L709-LTP3!$D$3*G709/k_n</f>
        <v/>
      </c>
      <c r="T709">
        <f>M709-LTP3!$D$3*H709/k_n</f>
        <v/>
      </c>
      <c r="U709">
        <f>N709-G709*LTP3!$D$4/k_n</f>
        <v/>
      </c>
      <c r="V709">
        <f>O709-H709*LTP3!$D$4/k_n</f>
        <v/>
      </c>
      <c r="W709">
        <f>((LTP3!$D$5)*((P709)*(Q709)-(R709)*(R709))-(S709)*((S709)*(Q709)-(R709)*(T709))+(T709)*((S709)*(R709)-(P709)*(T709)))</f>
        <v/>
      </c>
      <c r="X709">
        <f>IF(ABS(W709)&gt;1E-12,((LTP3!$D$6)*((P709)*(Q709)-(R709)*(R709))-(S709)*((U709)*(Q709)-(R709)*(V709))+(T709)*((U709)*(R709)-(P709)*(V709)))/W709,0)</f>
        <v/>
      </c>
      <c r="Y709">
        <f>IF(ABS(W709)&gt;1E-12,((LTP3!$D$5)*((U709)*(Q709)-(R709)*(V709))-(LTP3!$D$6)*((S709)*(Q709)-(R709)*(T709))+(T709)*((S709)*(V709)-(U709)*(T709)))/W709,0)</f>
        <v/>
      </c>
      <c r="Z709">
        <f>IF(ABS(W709)&gt;1E-12,((LTP3!$D$5)*((P709)*(V709)-(U709)*(R709))-(S709)*((S709)*(V709)-(U709)*(T709))+(LTP3!$D$6)*((S709)*(R709)-(P709)*(T709)))/W709,0)</f>
        <v/>
      </c>
      <c r="AA709">
        <f>LTP3!$D$7-X709*LTP3!$D$6-Y709*U709-Z709*V709</f>
        <v/>
      </c>
      <c r="AB709">
        <f>IF(AND(F709,ABS(W709)&gt;1E-12,Y709&gt;0,Z709&gt;0),AA709,1E+300)</f>
        <v/>
      </c>
    </row>
    <row r="710">
      <c r="A710">
        <f>$B$3+$B$5*11</f>
        <v/>
      </c>
      <c r="B710">
        <f>$B$3+$B$5*27</f>
        <v/>
      </c>
      <c r="C710">
        <f>SUMPRODUCT(Calc!$K$3:$K$22*(Calc!$G$3:$G$22&lt;=A710))</f>
        <v/>
      </c>
      <c r="D710">
        <f>SUMPRODUCT(Calc!$K$3:$K$22*(Calc!$G$3:$G$22&gt;A710)*(Calc!$G$3:$G$22&lt;B710))</f>
        <v/>
      </c>
      <c r="E710">
        <f>SUMPRODUCT(Calc!$K$3:$K$22*(Calc!$G$3:$G$22&gt;=B710))</f>
        <v/>
      </c>
      <c r="F710">
        <f>AND(k_n&gt;=5,B710&gt;A710+1E-9,C710&gt;=2,D710&gt;=1,E710&gt;=2)</f>
        <v/>
      </c>
      <c r="G710">
        <f>SUMPRODUCT(Calc!$K$3:$K$22*(Calc!$G$3:$G$22&gt;A710)*(Calc!$G$3:$G$22-A710))</f>
        <v/>
      </c>
      <c r="H710">
        <f>SUMPRODUCT(Calc!$K$3:$K$22*(Calc!$G$3:$G$22&gt;B710)*(Calc!$G$3:$G$22-B710))</f>
        <v/>
      </c>
      <c r="I710">
        <f>SUMPRODUCT(Calc!$K$3:$K$22*(Calc!$G$3:$G$22&gt;A710)*(Calc!$G$3:$G$22-A710)^2)</f>
        <v/>
      </c>
      <c r="J710">
        <f>SUMPRODUCT(Calc!$K$3:$K$22*(Calc!$G$3:$G$22&gt;B710)*(Calc!$G$3:$G$22-B710)^2)</f>
        <v/>
      </c>
      <c r="K710">
        <f>SUMPRODUCT(Calc!$K$3:$K$22*(Calc!$G$3:$G$22&gt;A710)*(Calc!$G$3:$G$22-A710)*(Calc!$G$3:$G$22&gt;B710)*(Calc!$G$3:$G$22-B710))</f>
        <v/>
      </c>
      <c r="L710">
        <f>SUMPRODUCT(Calc!$K$3:$K$22*(Calc!$G$3:$G$22&gt;A710)*(Calc!$G$3:$G$22-A710)*Calc!$G$3:$G$22)</f>
        <v/>
      </c>
      <c r="M710">
        <f>SUMPRODUCT(Calc!$K$3:$K$22*(Calc!$G$3:$G$22&gt;B710)*(Calc!$G$3:$G$22-B710)*Calc!$G$3:$G$22)</f>
        <v/>
      </c>
      <c r="N710">
        <f>SUMPRODUCT(Calc!$K$3:$K$22*(Calc!$G$3:$G$22&gt;A710)*(Calc!$G$3:$G$22-A710)*Calc!$I$3:$I$22)</f>
        <v/>
      </c>
      <c r="O710">
        <f>SUMPRODUCT(Calc!$K$3:$K$22*(Calc!$G$3:$G$22&gt;B710)*(Calc!$G$3:$G$22-B710)*Calc!$I$3:$I$22)</f>
        <v/>
      </c>
      <c r="P710">
        <f>I710-G710^2/k_n</f>
        <v/>
      </c>
      <c r="Q710">
        <f>J710-H710^2/k_n</f>
        <v/>
      </c>
      <c r="R710">
        <f>K710-G710*H710/k_n</f>
        <v/>
      </c>
      <c r="S710">
        <f>L710-LTP3!$D$3*G710/k_n</f>
        <v/>
      </c>
      <c r="T710">
        <f>M710-LTP3!$D$3*H710/k_n</f>
        <v/>
      </c>
      <c r="U710">
        <f>N710-G710*LTP3!$D$4/k_n</f>
        <v/>
      </c>
      <c r="V710">
        <f>O710-H710*LTP3!$D$4/k_n</f>
        <v/>
      </c>
      <c r="W710">
        <f>((LTP3!$D$5)*((P710)*(Q710)-(R710)*(R710))-(S710)*((S710)*(Q710)-(R710)*(T710))+(T710)*((S710)*(R710)-(P710)*(T710)))</f>
        <v/>
      </c>
      <c r="X710">
        <f>IF(ABS(W710)&gt;1E-12,((LTP3!$D$6)*((P710)*(Q710)-(R710)*(R710))-(S710)*((U710)*(Q710)-(R710)*(V710))+(T710)*((U710)*(R710)-(P710)*(V710)))/W710,0)</f>
        <v/>
      </c>
      <c r="Y710">
        <f>IF(ABS(W710)&gt;1E-12,((LTP3!$D$5)*((U710)*(Q710)-(R710)*(V710))-(LTP3!$D$6)*((S710)*(Q710)-(R710)*(T710))+(T710)*((S710)*(V710)-(U710)*(T710)))/W710,0)</f>
        <v/>
      </c>
      <c r="Z710">
        <f>IF(ABS(W710)&gt;1E-12,((LTP3!$D$5)*((P710)*(V710)-(U710)*(R710))-(S710)*((S710)*(V710)-(U710)*(T710))+(LTP3!$D$6)*((S710)*(R710)-(P710)*(T710)))/W710,0)</f>
        <v/>
      </c>
      <c r="AA710">
        <f>LTP3!$D$7-X710*LTP3!$D$6-Y710*U710-Z710*V710</f>
        <v/>
      </c>
      <c r="AB710">
        <f>IF(AND(F710,ABS(W710)&gt;1E-12,Y710&gt;0,Z710&gt;0),AA710,1E+300)</f>
        <v/>
      </c>
    </row>
    <row r="711">
      <c r="A711">
        <f>$B$3+$B$5*11</f>
        <v/>
      </c>
      <c r="B711">
        <f>$B$3+$B$5*28</f>
        <v/>
      </c>
      <c r="C711">
        <f>SUMPRODUCT(Calc!$K$3:$K$22*(Calc!$G$3:$G$22&lt;=A711))</f>
        <v/>
      </c>
      <c r="D711">
        <f>SUMPRODUCT(Calc!$K$3:$K$22*(Calc!$G$3:$G$22&gt;A711)*(Calc!$G$3:$G$22&lt;B711))</f>
        <v/>
      </c>
      <c r="E711">
        <f>SUMPRODUCT(Calc!$K$3:$K$22*(Calc!$G$3:$G$22&gt;=B711))</f>
        <v/>
      </c>
      <c r="F711">
        <f>AND(k_n&gt;=5,B711&gt;A711+1E-9,C711&gt;=2,D711&gt;=1,E711&gt;=2)</f>
        <v/>
      </c>
      <c r="G711">
        <f>SUMPRODUCT(Calc!$K$3:$K$22*(Calc!$G$3:$G$22&gt;A711)*(Calc!$G$3:$G$22-A711))</f>
        <v/>
      </c>
      <c r="H711">
        <f>SUMPRODUCT(Calc!$K$3:$K$22*(Calc!$G$3:$G$22&gt;B711)*(Calc!$G$3:$G$22-B711))</f>
        <v/>
      </c>
      <c r="I711">
        <f>SUMPRODUCT(Calc!$K$3:$K$22*(Calc!$G$3:$G$22&gt;A711)*(Calc!$G$3:$G$22-A711)^2)</f>
        <v/>
      </c>
      <c r="J711">
        <f>SUMPRODUCT(Calc!$K$3:$K$22*(Calc!$G$3:$G$22&gt;B711)*(Calc!$G$3:$G$22-B711)^2)</f>
        <v/>
      </c>
      <c r="K711">
        <f>SUMPRODUCT(Calc!$K$3:$K$22*(Calc!$G$3:$G$22&gt;A711)*(Calc!$G$3:$G$22-A711)*(Calc!$G$3:$G$22&gt;B711)*(Calc!$G$3:$G$22-B711))</f>
        <v/>
      </c>
      <c r="L711">
        <f>SUMPRODUCT(Calc!$K$3:$K$22*(Calc!$G$3:$G$22&gt;A711)*(Calc!$G$3:$G$22-A711)*Calc!$G$3:$G$22)</f>
        <v/>
      </c>
      <c r="M711">
        <f>SUMPRODUCT(Calc!$K$3:$K$22*(Calc!$G$3:$G$22&gt;B711)*(Calc!$G$3:$G$22-B711)*Calc!$G$3:$G$22)</f>
        <v/>
      </c>
      <c r="N711">
        <f>SUMPRODUCT(Calc!$K$3:$K$22*(Calc!$G$3:$G$22&gt;A711)*(Calc!$G$3:$G$22-A711)*Calc!$I$3:$I$22)</f>
        <v/>
      </c>
      <c r="O711">
        <f>SUMPRODUCT(Calc!$K$3:$K$22*(Calc!$G$3:$G$22&gt;B711)*(Calc!$G$3:$G$22-B711)*Calc!$I$3:$I$22)</f>
        <v/>
      </c>
      <c r="P711">
        <f>I711-G711^2/k_n</f>
        <v/>
      </c>
      <c r="Q711">
        <f>J711-H711^2/k_n</f>
        <v/>
      </c>
      <c r="R711">
        <f>K711-G711*H711/k_n</f>
        <v/>
      </c>
      <c r="S711">
        <f>L711-LTP3!$D$3*G711/k_n</f>
        <v/>
      </c>
      <c r="T711">
        <f>M711-LTP3!$D$3*H711/k_n</f>
        <v/>
      </c>
      <c r="U711">
        <f>N711-G711*LTP3!$D$4/k_n</f>
        <v/>
      </c>
      <c r="V711">
        <f>O711-H711*LTP3!$D$4/k_n</f>
        <v/>
      </c>
      <c r="W711">
        <f>((LTP3!$D$5)*((P711)*(Q711)-(R711)*(R711))-(S711)*((S711)*(Q711)-(R711)*(T711))+(T711)*((S711)*(R711)-(P711)*(T711)))</f>
        <v/>
      </c>
      <c r="X711">
        <f>IF(ABS(W711)&gt;1E-12,((LTP3!$D$6)*((P711)*(Q711)-(R711)*(R711))-(S711)*((U711)*(Q711)-(R711)*(V711))+(T711)*((U711)*(R711)-(P711)*(V711)))/W711,0)</f>
        <v/>
      </c>
      <c r="Y711">
        <f>IF(ABS(W711)&gt;1E-12,((LTP3!$D$5)*((U711)*(Q711)-(R711)*(V711))-(LTP3!$D$6)*((S711)*(Q711)-(R711)*(T711))+(T711)*((S711)*(V711)-(U711)*(T711)))/W711,0)</f>
        <v/>
      </c>
      <c r="Z711">
        <f>IF(ABS(W711)&gt;1E-12,((LTP3!$D$5)*((P711)*(V711)-(U711)*(R711))-(S711)*((S711)*(V711)-(U711)*(T711))+(LTP3!$D$6)*((S711)*(R711)-(P711)*(T711)))/W711,0)</f>
        <v/>
      </c>
      <c r="AA711">
        <f>LTP3!$D$7-X711*LTP3!$D$6-Y711*U711-Z711*V711</f>
        <v/>
      </c>
      <c r="AB711">
        <f>IF(AND(F711,ABS(W711)&gt;1E-12,Y711&gt;0,Z711&gt;0),AA711,1E+300)</f>
        <v/>
      </c>
    </row>
    <row r="712">
      <c r="A712">
        <f>$B$3+$B$5*11</f>
        <v/>
      </c>
      <c r="B712">
        <f>$B$3+$B$5*29</f>
        <v/>
      </c>
      <c r="C712">
        <f>SUMPRODUCT(Calc!$K$3:$K$22*(Calc!$G$3:$G$22&lt;=A712))</f>
        <v/>
      </c>
      <c r="D712">
        <f>SUMPRODUCT(Calc!$K$3:$K$22*(Calc!$G$3:$G$22&gt;A712)*(Calc!$G$3:$G$22&lt;B712))</f>
        <v/>
      </c>
      <c r="E712">
        <f>SUMPRODUCT(Calc!$K$3:$K$22*(Calc!$G$3:$G$22&gt;=B712))</f>
        <v/>
      </c>
      <c r="F712">
        <f>AND(k_n&gt;=5,B712&gt;A712+1E-9,C712&gt;=2,D712&gt;=1,E712&gt;=2)</f>
        <v/>
      </c>
      <c r="G712">
        <f>SUMPRODUCT(Calc!$K$3:$K$22*(Calc!$G$3:$G$22&gt;A712)*(Calc!$G$3:$G$22-A712))</f>
        <v/>
      </c>
      <c r="H712">
        <f>SUMPRODUCT(Calc!$K$3:$K$22*(Calc!$G$3:$G$22&gt;B712)*(Calc!$G$3:$G$22-B712))</f>
        <v/>
      </c>
      <c r="I712">
        <f>SUMPRODUCT(Calc!$K$3:$K$22*(Calc!$G$3:$G$22&gt;A712)*(Calc!$G$3:$G$22-A712)^2)</f>
        <v/>
      </c>
      <c r="J712">
        <f>SUMPRODUCT(Calc!$K$3:$K$22*(Calc!$G$3:$G$22&gt;B712)*(Calc!$G$3:$G$22-B712)^2)</f>
        <v/>
      </c>
      <c r="K712">
        <f>SUMPRODUCT(Calc!$K$3:$K$22*(Calc!$G$3:$G$22&gt;A712)*(Calc!$G$3:$G$22-A712)*(Calc!$G$3:$G$22&gt;B712)*(Calc!$G$3:$G$22-B712))</f>
        <v/>
      </c>
      <c r="L712">
        <f>SUMPRODUCT(Calc!$K$3:$K$22*(Calc!$G$3:$G$22&gt;A712)*(Calc!$G$3:$G$22-A712)*Calc!$G$3:$G$22)</f>
        <v/>
      </c>
      <c r="M712">
        <f>SUMPRODUCT(Calc!$K$3:$K$22*(Calc!$G$3:$G$22&gt;B712)*(Calc!$G$3:$G$22-B712)*Calc!$G$3:$G$22)</f>
        <v/>
      </c>
      <c r="N712">
        <f>SUMPRODUCT(Calc!$K$3:$K$22*(Calc!$G$3:$G$22&gt;A712)*(Calc!$G$3:$G$22-A712)*Calc!$I$3:$I$22)</f>
        <v/>
      </c>
      <c r="O712">
        <f>SUMPRODUCT(Calc!$K$3:$K$22*(Calc!$G$3:$G$22&gt;B712)*(Calc!$G$3:$G$22-B712)*Calc!$I$3:$I$22)</f>
        <v/>
      </c>
      <c r="P712">
        <f>I712-G712^2/k_n</f>
        <v/>
      </c>
      <c r="Q712">
        <f>J712-H712^2/k_n</f>
        <v/>
      </c>
      <c r="R712">
        <f>K712-G712*H712/k_n</f>
        <v/>
      </c>
      <c r="S712">
        <f>L712-LTP3!$D$3*G712/k_n</f>
        <v/>
      </c>
      <c r="T712">
        <f>M712-LTP3!$D$3*H712/k_n</f>
        <v/>
      </c>
      <c r="U712">
        <f>N712-G712*LTP3!$D$4/k_n</f>
        <v/>
      </c>
      <c r="V712">
        <f>O712-H712*LTP3!$D$4/k_n</f>
        <v/>
      </c>
      <c r="W712">
        <f>((LTP3!$D$5)*((P712)*(Q712)-(R712)*(R712))-(S712)*((S712)*(Q712)-(R712)*(T712))+(T712)*((S712)*(R712)-(P712)*(T712)))</f>
        <v/>
      </c>
      <c r="X712">
        <f>IF(ABS(W712)&gt;1E-12,((LTP3!$D$6)*((P712)*(Q712)-(R712)*(R712))-(S712)*((U712)*(Q712)-(R712)*(V712))+(T712)*((U712)*(R712)-(P712)*(V712)))/W712,0)</f>
        <v/>
      </c>
      <c r="Y712">
        <f>IF(ABS(W712)&gt;1E-12,((LTP3!$D$5)*((U712)*(Q712)-(R712)*(V712))-(LTP3!$D$6)*((S712)*(Q712)-(R712)*(T712))+(T712)*((S712)*(V712)-(U712)*(T712)))/W712,0)</f>
        <v/>
      </c>
      <c r="Z712">
        <f>IF(ABS(W712)&gt;1E-12,((LTP3!$D$5)*((P712)*(V712)-(U712)*(R712))-(S712)*((S712)*(V712)-(U712)*(T712))+(LTP3!$D$6)*((S712)*(R712)-(P712)*(T712)))/W712,0)</f>
        <v/>
      </c>
      <c r="AA712">
        <f>LTP3!$D$7-X712*LTP3!$D$6-Y712*U712-Z712*V712</f>
        <v/>
      </c>
      <c r="AB712">
        <f>IF(AND(F712,ABS(W712)&gt;1E-12,Y712&gt;0,Z712&gt;0),AA712,1E+300)</f>
        <v/>
      </c>
    </row>
    <row r="713">
      <c r="A713">
        <f>$B$3+$B$5*11</f>
        <v/>
      </c>
      <c r="B713">
        <f>$B$3+$B$5*30</f>
        <v/>
      </c>
      <c r="C713">
        <f>SUMPRODUCT(Calc!$K$3:$K$22*(Calc!$G$3:$G$22&lt;=A713))</f>
        <v/>
      </c>
      <c r="D713">
        <f>SUMPRODUCT(Calc!$K$3:$K$22*(Calc!$G$3:$G$22&gt;A713)*(Calc!$G$3:$G$22&lt;B713))</f>
        <v/>
      </c>
      <c r="E713">
        <f>SUMPRODUCT(Calc!$K$3:$K$22*(Calc!$G$3:$G$22&gt;=B713))</f>
        <v/>
      </c>
      <c r="F713">
        <f>AND(k_n&gt;=5,B713&gt;A713+1E-9,C713&gt;=2,D713&gt;=1,E713&gt;=2)</f>
        <v/>
      </c>
      <c r="G713">
        <f>SUMPRODUCT(Calc!$K$3:$K$22*(Calc!$G$3:$G$22&gt;A713)*(Calc!$G$3:$G$22-A713))</f>
        <v/>
      </c>
      <c r="H713">
        <f>SUMPRODUCT(Calc!$K$3:$K$22*(Calc!$G$3:$G$22&gt;B713)*(Calc!$G$3:$G$22-B713))</f>
        <v/>
      </c>
      <c r="I713">
        <f>SUMPRODUCT(Calc!$K$3:$K$22*(Calc!$G$3:$G$22&gt;A713)*(Calc!$G$3:$G$22-A713)^2)</f>
        <v/>
      </c>
      <c r="J713">
        <f>SUMPRODUCT(Calc!$K$3:$K$22*(Calc!$G$3:$G$22&gt;B713)*(Calc!$G$3:$G$22-B713)^2)</f>
        <v/>
      </c>
      <c r="K713">
        <f>SUMPRODUCT(Calc!$K$3:$K$22*(Calc!$G$3:$G$22&gt;A713)*(Calc!$G$3:$G$22-A713)*(Calc!$G$3:$G$22&gt;B713)*(Calc!$G$3:$G$22-B713))</f>
        <v/>
      </c>
      <c r="L713">
        <f>SUMPRODUCT(Calc!$K$3:$K$22*(Calc!$G$3:$G$22&gt;A713)*(Calc!$G$3:$G$22-A713)*Calc!$G$3:$G$22)</f>
        <v/>
      </c>
      <c r="M713">
        <f>SUMPRODUCT(Calc!$K$3:$K$22*(Calc!$G$3:$G$22&gt;B713)*(Calc!$G$3:$G$22-B713)*Calc!$G$3:$G$22)</f>
        <v/>
      </c>
      <c r="N713">
        <f>SUMPRODUCT(Calc!$K$3:$K$22*(Calc!$G$3:$G$22&gt;A713)*(Calc!$G$3:$G$22-A713)*Calc!$I$3:$I$22)</f>
        <v/>
      </c>
      <c r="O713">
        <f>SUMPRODUCT(Calc!$K$3:$K$22*(Calc!$G$3:$G$22&gt;B713)*(Calc!$G$3:$G$22-B713)*Calc!$I$3:$I$22)</f>
        <v/>
      </c>
      <c r="P713">
        <f>I713-G713^2/k_n</f>
        <v/>
      </c>
      <c r="Q713">
        <f>J713-H713^2/k_n</f>
        <v/>
      </c>
      <c r="R713">
        <f>K713-G713*H713/k_n</f>
        <v/>
      </c>
      <c r="S713">
        <f>L713-LTP3!$D$3*G713/k_n</f>
        <v/>
      </c>
      <c r="T713">
        <f>M713-LTP3!$D$3*H713/k_n</f>
        <v/>
      </c>
      <c r="U713">
        <f>N713-G713*LTP3!$D$4/k_n</f>
        <v/>
      </c>
      <c r="V713">
        <f>O713-H713*LTP3!$D$4/k_n</f>
        <v/>
      </c>
      <c r="W713">
        <f>((LTP3!$D$5)*((P713)*(Q713)-(R713)*(R713))-(S713)*((S713)*(Q713)-(R713)*(T713))+(T713)*((S713)*(R713)-(P713)*(T713)))</f>
        <v/>
      </c>
      <c r="X713">
        <f>IF(ABS(W713)&gt;1E-12,((LTP3!$D$6)*((P713)*(Q713)-(R713)*(R713))-(S713)*((U713)*(Q713)-(R713)*(V713))+(T713)*((U713)*(R713)-(P713)*(V713)))/W713,0)</f>
        <v/>
      </c>
      <c r="Y713">
        <f>IF(ABS(W713)&gt;1E-12,((LTP3!$D$5)*((U713)*(Q713)-(R713)*(V713))-(LTP3!$D$6)*((S713)*(Q713)-(R713)*(T713))+(T713)*((S713)*(V713)-(U713)*(T713)))/W713,0)</f>
        <v/>
      </c>
      <c r="Z713">
        <f>IF(ABS(W713)&gt;1E-12,((LTP3!$D$5)*((P713)*(V713)-(U713)*(R713))-(S713)*((S713)*(V713)-(U713)*(T713))+(LTP3!$D$6)*((S713)*(R713)-(P713)*(T713)))/W713,0)</f>
        <v/>
      </c>
      <c r="AA713">
        <f>LTP3!$D$7-X713*LTP3!$D$6-Y713*U713-Z713*V713</f>
        <v/>
      </c>
      <c r="AB713">
        <f>IF(AND(F713,ABS(W713)&gt;1E-12,Y713&gt;0,Z713&gt;0),AA713,1E+300)</f>
        <v/>
      </c>
    </row>
    <row r="714">
      <c r="A714">
        <f>$B$3+$B$5*11</f>
        <v/>
      </c>
      <c r="B714">
        <f>$B$3+$B$5*31</f>
        <v/>
      </c>
      <c r="C714">
        <f>SUMPRODUCT(Calc!$K$3:$K$22*(Calc!$G$3:$G$22&lt;=A714))</f>
        <v/>
      </c>
      <c r="D714">
        <f>SUMPRODUCT(Calc!$K$3:$K$22*(Calc!$G$3:$G$22&gt;A714)*(Calc!$G$3:$G$22&lt;B714))</f>
        <v/>
      </c>
      <c r="E714">
        <f>SUMPRODUCT(Calc!$K$3:$K$22*(Calc!$G$3:$G$22&gt;=B714))</f>
        <v/>
      </c>
      <c r="F714">
        <f>AND(k_n&gt;=5,B714&gt;A714+1E-9,C714&gt;=2,D714&gt;=1,E714&gt;=2)</f>
        <v/>
      </c>
      <c r="G714">
        <f>SUMPRODUCT(Calc!$K$3:$K$22*(Calc!$G$3:$G$22&gt;A714)*(Calc!$G$3:$G$22-A714))</f>
        <v/>
      </c>
      <c r="H714">
        <f>SUMPRODUCT(Calc!$K$3:$K$22*(Calc!$G$3:$G$22&gt;B714)*(Calc!$G$3:$G$22-B714))</f>
        <v/>
      </c>
      <c r="I714">
        <f>SUMPRODUCT(Calc!$K$3:$K$22*(Calc!$G$3:$G$22&gt;A714)*(Calc!$G$3:$G$22-A714)^2)</f>
        <v/>
      </c>
      <c r="J714">
        <f>SUMPRODUCT(Calc!$K$3:$K$22*(Calc!$G$3:$G$22&gt;B714)*(Calc!$G$3:$G$22-B714)^2)</f>
        <v/>
      </c>
      <c r="K714">
        <f>SUMPRODUCT(Calc!$K$3:$K$22*(Calc!$G$3:$G$22&gt;A714)*(Calc!$G$3:$G$22-A714)*(Calc!$G$3:$G$22&gt;B714)*(Calc!$G$3:$G$22-B714))</f>
        <v/>
      </c>
      <c r="L714">
        <f>SUMPRODUCT(Calc!$K$3:$K$22*(Calc!$G$3:$G$22&gt;A714)*(Calc!$G$3:$G$22-A714)*Calc!$G$3:$G$22)</f>
        <v/>
      </c>
      <c r="M714">
        <f>SUMPRODUCT(Calc!$K$3:$K$22*(Calc!$G$3:$G$22&gt;B714)*(Calc!$G$3:$G$22-B714)*Calc!$G$3:$G$22)</f>
        <v/>
      </c>
      <c r="N714">
        <f>SUMPRODUCT(Calc!$K$3:$K$22*(Calc!$G$3:$G$22&gt;A714)*(Calc!$G$3:$G$22-A714)*Calc!$I$3:$I$22)</f>
        <v/>
      </c>
      <c r="O714">
        <f>SUMPRODUCT(Calc!$K$3:$K$22*(Calc!$G$3:$G$22&gt;B714)*(Calc!$G$3:$G$22-B714)*Calc!$I$3:$I$22)</f>
        <v/>
      </c>
      <c r="P714">
        <f>I714-G714^2/k_n</f>
        <v/>
      </c>
      <c r="Q714">
        <f>J714-H714^2/k_n</f>
        <v/>
      </c>
      <c r="R714">
        <f>K714-G714*H714/k_n</f>
        <v/>
      </c>
      <c r="S714">
        <f>L714-LTP3!$D$3*G714/k_n</f>
        <v/>
      </c>
      <c r="T714">
        <f>M714-LTP3!$D$3*H714/k_n</f>
        <v/>
      </c>
      <c r="U714">
        <f>N714-G714*LTP3!$D$4/k_n</f>
        <v/>
      </c>
      <c r="V714">
        <f>O714-H714*LTP3!$D$4/k_n</f>
        <v/>
      </c>
      <c r="W714">
        <f>((LTP3!$D$5)*((P714)*(Q714)-(R714)*(R714))-(S714)*((S714)*(Q714)-(R714)*(T714))+(T714)*((S714)*(R714)-(P714)*(T714)))</f>
        <v/>
      </c>
      <c r="X714">
        <f>IF(ABS(W714)&gt;1E-12,((LTP3!$D$6)*((P714)*(Q714)-(R714)*(R714))-(S714)*((U714)*(Q714)-(R714)*(V714))+(T714)*((U714)*(R714)-(P714)*(V714)))/W714,0)</f>
        <v/>
      </c>
      <c r="Y714">
        <f>IF(ABS(W714)&gt;1E-12,((LTP3!$D$5)*((U714)*(Q714)-(R714)*(V714))-(LTP3!$D$6)*((S714)*(Q714)-(R714)*(T714))+(T714)*((S714)*(V714)-(U714)*(T714)))/W714,0)</f>
        <v/>
      </c>
      <c r="Z714">
        <f>IF(ABS(W714)&gt;1E-12,((LTP3!$D$5)*((P714)*(V714)-(U714)*(R714))-(S714)*((S714)*(V714)-(U714)*(T714))+(LTP3!$D$6)*((S714)*(R714)-(P714)*(T714)))/W714,0)</f>
        <v/>
      </c>
      <c r="AA714">
        <f>LTP3!$D$7-X714*LTP3!$D$6-Y714*U714-Z714*V714</f>
        <v/>
      </c>
      <c r="AB714">
        <f>IF(AND(F714,ABS(W714)&gt;1E-12,Y714&gt;0,Z714&gt;0),AA714,1E+300)</f>
        <v/>
      </c>
    </row>
    <row r="715">
      <c r="A715">
        <f>$B$3+$B$5*11</f>
        <v/>
      </c>
      <c r="B715">
        <f>$B$3+$B$5*32</f>
        <v/>
      </c>
      <c r="C715">
        <f>SUMPRODUCT(Calc!$K$3:$K$22*(Calc!$G$3:$G$22&lt;=A715))</f>
        <v/>
      </c>
      <c r="D715">
        <f>SUMPRODUCT(Calc!$K$3:$K$22*(Calc!$G$3:$G$22&gt;A715)*(Calc!$G$3:$G$22&lt;B715))</f>
        <v/>
      </c>
      <c r="E715">
        <f>SUMPRODUCT(Calc!$K$3:$K$22*(Calc!$G$3:$G$22&gt;=B715))</f>
        <v/>
      </c>
      <c r="F715">
        <f>AND(k_n&gt;=5,B715&gt;A715+1E-9,C715&gt;=2,D715&gt;=1,E715&gt;=2)</f>
        <v/>
      </c>
      <c r="G715">
        <f>SUMPRODUCT(Calc!$K$3:$K$22*(Calc!$G$3:$G$22&gt;A715)*(Calc!$G$3:$G$22-A715))</f>
        <v/>
      </c>
      <c r="H715">
        <f>SUMPRODUCT(Calc!$K$3:$K$22*(Calc!$G$3:$G$22&gt;B715)*(Calc!$G$3:$G$22-B715))</f>
        <v/>
      </c>
      <c r="I715">
        <f>SUMPRODUCT(Calc!$K$3:$K$22*(Calc!$G$3:$G$22&gt;A715)*(Calc!$G$3:$G$22-A715)^2)</f>
        <v/>
      </c>
      <c r="J715">
        <f>SUMPRODUCT(Calc!$K$3:$K$22*(Calc!$G$3:$G$22&gt;B715)*(Calc!$G$3:$G$22-B715)^2)</f>
        <v/>
      </c>
      <c r="K715">
        <f>SUMPRODUCT(Calc!$K$3:$K$22*(Calc!$G$3:$G$22&gt;A715)*(Calc!$G$3:$G$22-A715)*(Calc!$G$3:$G$22&gt;B715)*(Calc!$G$3:$G$22-B715))</f>
        <v/>
      </c>
      <c r="L715">
        <f>SUMPRODUCT(Calc!$K$3:$K$22*(Calc!$G$3:$G$22&gt;A715)*(Calc!$G$3:$G$22-A715)*Calc!$G$3:$G$22)</f>
        <v/>
      </c>
      <c r="M715">
        <f>SUMPRODUCT(Calc!$K$3:$K$22*(Calc!$G$3:$G$22&gt;B715)*(Calc!$G$3:$G$22-B715)*Calc!$G$3:$G$22)</f>
        <v/>
      </c>
      <c r="N715">
        <f>SUMPRODUCT(Calc!$K$3:$K$22*(Calc!$G$3:$G$22&gt;A715)*(Calc!$G$3:$G$22-A715)*Calc!$I$3:$I$22)</f>
        <v/>
      </c>
      <c r="O715">
        <f>SUMPRODUCT(Calc!$K$3:$K$22*(Calc!$G$3:$G$22&gt;B715)*(Calc!$G$3:$G$22-B715)*Calc!$I$3:$I$22)</f>
        <v/>
      </c>
      <c r="P715">
        <f>I715-G715^2/k_n</f>
        <v/>
      </c>
      <c r="Q715">
        <f>J715-H715^2/k_n</f>
        <v/>
      </c>
      <c r="R715">
        <f>K715-G715*H715/k_n</f>
        <v/>
      </c>
      <c r="S715">
        <f>L715-LTP3!$D$3*G715/k_n</f>
        <v/>
      </c>
      <c r="T715">
        <f>M715-LTP3!$D$3*H715/k_n</f>
        <v/>
      </c>
      <c r="U715">
        <f>N715-G715*LTP3!$D$4/k_n</f>
        <v/>
      </c>
      <c r="V715">
        <f>O715-H715*LTP3!$D$4/k_n</f>
        <v/>
      </c>
      <c r="W715">
        <f>((LTP3!$D$5)*((P715)*(Q715)-(R715)*(R715))-(S715)*((S715)*(Q715)-(R715)*(T715))+(T715)*((S715)*(R715)-(P715)*(T715)))</f>
        <v/>
      </c>
      <c r="X715">
        <f>IF(ABS(W715)&gt;1E-12,((LTP3!$D$6)*((P715)*(Q715)-(R715)*(R715))-(S715)*((U715)*(Q715)-(R715)*(V715))+(T715)*((U715)*(R715)-(P715)*(V715)))/W715,0)</f>
        <v/>
      </c>
      <c r="Y715">
        <f>IF(ABS(W715)&gt;1E-12,((LTP3!$D$5)*((U715)*(Q715)-(R715)*(V715))-(LTP3!$D$6)*((S715)*(Q715)-(R715)*(T715))+(T715)*((S715)*(V715)-(U715)*(T715)))/W715,0)</f>
        <v/>
      </c>
      <c r="Z715">
        <f>IF(ABS(W715)&gt;1E-12,((LTP3!$D$5)*((P715)*(V715)-(U715)*(R715))-(S715)*((S715)*(V715)-(U715)*(T715))+(LTP3!$D$6)*((S715)*(R715)-(P715)*(T715)))/W715,0)</f>
        <v/>
      </c>
      <c r="AA715">
        <f>LTP3!$D$7-X715*LTP3!$D$6-Y715*U715-Z715*V715</f>
        <v/>
      </c>
      <c r="AB715">
        <f>IF(AND(F715,ABS(W715)&gt;1E-12,Y715&gt;0,Z715&gt;0),AA715,1E+300)</f>
        <v/>
      </c>
    </row>
    <row r="716">
      <c r="A716">
        <f>$B$3+$B$5*11</f>
        <v/>
      </c>
      <c r="B716">
        <f>$B$3+$B$5*33</f>
        <v/>
      </c>
      <c r="C716">
        <f>SUMPRODUCT(Calc!$K$3:$K$22*(Calc!$G$3:$G$22&lt;=A716))</f>
        <v/>
      </c>
      <c r="D716">
        <f>SUMPRODUCT(Calc!$K$3:$K$22*(Calc!$G$3:$G$22&gt;A716)*(Calc!$G$3:$G$22&lt;B716))</f>
        <v/>
      </c>
      <c r="E716">
        <f>SUMPRODUCT(Calc!$K$3:$K$22*(Calc!$G$3:$G$22&gt;=B716))</f>
        <v/>
      </c>
      <c r="F716">
        <f>AND(k_n&gt;=5,B716&gt;A716+1E-9,C716&gt;=2,D716&gt;=1,E716&gt;=2)</f>
        <v/>
      </c>
      <c r="G716">
        <f>SUMPRODUCT(Calc!$K$3:$K$22*(Calc!$G$3:$G$22&gt;A716)*(Calc!$G$3:$G$22-A716))</f>
        <v/>
      </c>
      <c r="H716">
        <f>SUMPRODUCT(Calc!$K$3:$K$22*(Calc!$G$3:$G$22&gt;B716)*(Calc!$G$3:$G$22-B716))</f>
        <v/>
      </c>
      <c r="I716">
        <f>SUMPRODUCT(Calc!$K$3:$K$22*(Calc!$G$3:$G$22&gt;A716)*(Calc!$G$3:$G$22-A716)^2)</f>
        <v/>
      </c>
      <c r="J716">
        <f>SUMPRODUCT(Calc!$K$3:$K$22*(Calc!$G$3:$G$22&gt;B716)*(Calc!$G$3:$G$22-B716)^2)</f>
        <v/>
      </c>
      <c r="K716">
        <f>SUMPRODUCT(Calc!$K$3:$K$22*(Calc!$G$3:$G$22&gt;A716)*(Calc!$G$3:$G$22-A716)*(Calc!$G$3:$G$22&gt;B716)*(Calc!$G$3:$G$22-B716))</f>
        <v/>
      </c>
      <c r="L716">
        <f>SUMPRODUCT(Calc!$K$3:$K$22*(Calc!$G$3:$G$22&gt;A716)*(Calc!$G$3:$G$22-A716)*Calc!$G$3:$G$22)</f>
        <v/>
      </c>
      <c r="M716">
        <f>SUMPRODUCT(Calc!$K$3:$K$22*(Calc!$G$3:$G$22&gt;B716)*(Calc!$G$3:$G$22-B716)*Calc!$G$3:$G$22)</f>
        <v/>
      </c>
      <c r="N716">
        <f>SUMPRODUCT(Calc!$K$3:$K$22*(Calc!$G$3:$G$22&gt;A716)*(Calc!$G$3:$G$22-A716)*Calc!$I$3:$I$22)</f>
        <v/>
      </c>
      <c r="O716">
        <f>SUMPRODUCT(Calc!$K$3:$K$22*(Calc!$G$3:$G$22&gt;B716)*(Calc!$G$3:$G$22-B716)*Calc!$I$3:$I$22)</f>
        <v/>
      </c>
      <c r="P716">
        <f>I716-G716^2/k_n</f>
        <v/>
      </c>
      <c r="Q716">
        <f>J716-H716^2/k_n</f>
        <v/>
      </c>
      <c r="R716">
        <f>K716-G716*H716/k_n</f>
        <v/>
      </c>
      <c r="S716">
        <f>L716-LTP3!$D$3*G716/k_n</f>
        <v/>
      </c>
      <c r="T716">
        <f>M716-LTP3!$D$3*H716/k_n</f>
        <v/>
      </c>
      <c r="U716">
        <f>N716-G716*LTP3!$D$4/k_n</f>
        <v/>
      </c>
      <c r="V716">
        <f>O716-H716*LTP3!$D$4/k_n</f>
        <v/>
      </c>
      <c r="W716">
        <f>((LTP3!$D$5)*((P716)*(Q716)-(R716)*(R716))-(S716)*((S716)*(Q716)-(R716)*(T716))+(T716)*((S716)*(R716)-(P716)*(T716)))</f>
        <v/>
      </c>
      <c r="X716">
        <f>IF(ABS(W716)&gt;1E-12,((LTP3!$D$6)*((P716)*(Q716)-(R716)*(R716))-(S716)*((U716)*(Q716)-(R716)*(V716))+(T716)*((U716)*(R716)-(P716)*(V716)))/W716,0)</f>
        <v/>
      </c>
      <c r="Y716">
        <f>IF(ABS(W716)&gt;1E-12,((LTP3!$D$5)*((U716)*(Q716)-(R716)*(V716))-(LTP3!$D$6)*((S716)*(Q716)-(R716)*(T716))+(T716)*((S716)*(V716)-(U716)*(T716)))/W716,0)</f>
        <v/>
      </c>
      <c r="Z716">
        <f>IF(ABS(W716)&gt;1E-12,((LTP3!$D$5)*((P716)*(V716)-(U716)*(R716))-(S716)*((S716)*(V716)-(U716)*(T716))+(LTP3!$D$6)*((S716)*(R716)-(P716)*(T716)))/W716,0)</f>
        <v/>
      </c>
      <c r="AA716">
        <f>LTP3!$D$7-X716*LTP3!$D$6-Y716*U716-Z716*V716</f>
        <v/>
      </c>
      <c r="AB716">
        <f>IF(AND(F716,ABS(W716)&gt;1E-12,Y716&gt;0,Z716&gt;0),AA716,1E+300)</f>
        <v/>
      </c>
    </row>
    <row r="717">
      <c r="A717">
        <f>$B$3+$B$5*11</f>
        <v/>
      </c>
      <c r="B717">
        <f>$B$3+$B$5*34</f>
        <v/>
      </c>
      <c r="C717">
        <f>SUMPRODUCT(Calc!$K$3:$K$22*(Calc!$G$3:$G$22&lt;=A717))</f>
        <v/>
      </c>
      <c r="D717">
        <f>SUMPRODUCT(Calc!$K$3:$K$22*(Calc!$G$3:$G$22&gt;A717)*(Calc!$G$3:$G$22&lt;B717))</f>
        <v/>
      </c>
      <c r="E717">
        <f>SUMPRODUCT(Calc!$K$3:$K$22*(Calc!$G$3:$G$22&gt;=B717))</f>
        <v/>
      </c>
      <c r="F717">
        <f>AND(k_n&gt;=5,B717&gt;A717+1E-9,C717&gt;=2,D717&gt;=1,E717&gt;=2)</f>
        <v/>
      </c>
      <c r="G717">
        <f>SUMPRODUCT(Calc!$K$3:$K$22*(Calc!$G$3:$G$22&gt;A717)*(Calc!$G$3:$G$22-A717))</f>
        <v/>
      </c>
      <c r="H717">
        <f>SUMPRODUCT(Calc!$K$3:$K$22*(Calc!$G$3:$G$22&gt;B717)*(Calc!$G$3:$G$22-B717))</f>
        <v/>
      </c>
      <c r="I717">
        <f>SUMPRODUCT(Calc!$K$3:$K$22*(Calc!$G$3:$G$22&gt;A717)*(Calc!$G$3:$G$22-A717)^2)</f>
        <v/>
      </c>
      <c r="J717">
        <f>SUMPRODUCT(Calc!$K$3:$K$22*(Calc!$G$3:$G$22&gt;B717)*(Calc!$G$3:$G$22-B717)^2)</f>
        <v/>
      </c>
      <c r="K717">
        <f>SUMPRODUCT(Calc!$K$3:$K$22*(Calc!$G$3:$G$22&gt;A717)*(Calc!$G$3:$G$22-A717)*(Calc!$G$3:$G$22&gt;B717)*(Calc!$G$3:$G$22-B717))</f>
        <v/>
      </c>
      <c r="L717">
        <f>SUMPRODUCT(Calc!$K$3:$K$22*(Calc!$G$3:$G$22&gt;A717)*(Calc!$G$3:$G$22-A717)*Calc!$G$3:$G$22)</f>
        <v/>
      </c>
      <c r="M717">
        <f>SUMPRODUCT(Calc!$K$3:$K$22*(Calc!$G$3:$G$22&gt;B717)*(Calc!$G$3:$G$22-B717)*Calc!$G$3:$G$22)</f>
        <v/>
      </c>
      <c r="N717">
        <f>SUMPRODUCT(Calc!$K$3:$K$22*(Calc!$G$3:$G$22&gt;A717)*(Calc!$G$3:$G$22-A717)*Calc!$I$3:$I$22)</f>
        <v/>
      </c>
      <c r="O717">
        <f>SUMPRODUCT(Calc!$K$3:$K$22*(Calc!$G$3:$G$22&gt;B717)*(Calc!$G$3:$G$22-B717)*Calc!$I$3:$I$22)</f>
        <v/>
      </c>
      <c r="P717">
        <f>I717-G717^2/k_n</f>
        <v/>
      </c>
      <c r="Q717">
        <f>J717-H717^2/k_n</f>
        <v/>
      </c>
      <c r="R717">
        <f>K717-G717*H717/k_n</f>
        <v/>
      </c>
      <c r="S717">
        <f>L717-LTP3!$D$3*G717/k_n</f>
        <v/>
      </c>
      <c r="T717">
        <f>M717-LTP3!$D$3*H717/k_n</f>
        <v/>
      </c>
      <c r="U717">
        <f>N717-G717*LTP3!$D$4/k_n</f>
        <v/>
      </c>
      <c r="V717">
        <f>O717-H717*LTP3!$D$4/k_n</f>
        <v/>
      </c>
      <c r="W717">
        <f>((LTP3!$D$5)*((P717)*(Q717)-(R717)*(R717))-(S717)*((S717)*(Q717)-(R717)*(T717))+(T717)*((S717)*(R717)-(P717)*(T717)))</f>
        <v/>
      </c>
      <c r="X717">
        <f>IF(ABS(W717)&gt;1E-12,((LTP3!$D$6)*((P717)*(Q717)-(R717)*(R717))-(S717)*((U717)*(Q717)-(R717)*(V717))+(T717)*((U717)*(R717)-(P717)*(V717)))/W717,0)</f>
        <v/>
      </c>
      <c r="Y717">
        <f>IF(ABS(W717)&gt;1E-12,((LTP3!$D$5)*((U717)*(Q717)-(R717)*(V717))-(LTP3!$D$6)*((S717)*(Q717)-(R717)*(T717))+(T717)*((S717)*(V717)-(U717)*(T717)))/W717,0)</f>
        <v/>
      </c>
      <c r="Z717">
        <f>IF(ABS(W717)&gt;1E-12,((LTP3!$D$5)*((P717)*(V717)-(U717)*(R717))-(S717)*((S717)*(V717)-(U717)*(T717))+(LTP3!$D$6)*((S717)*(R717)-(P717)*(T717)))/W717,0)</f>
        <v/>
      </c>
      <c r="AA717">
        <f>LTP3!$D$7-X717*LTP3!$D$6-Y717*U717-Z717*V717</f>
        <v/>
      </c>
      <c r="AB717">
        <f>IF(AND(F717,ABS(W717)&gt;1E-12,Y717&gt;0,Z717&gt;0),AA717,1E+300)</f>
        <v/>
      </c>
    </row>
    <row r="718">
      <c r="A718">
        <f>$B$3+$B$5*11</f>
        <v/>
      </c>
      <c r="B718">
        <f>$B$3+$B$5*35</f>
        <v/>
      </c>
      <c r="C718">
        <f>SUMPRODUCT(Calc!$K$3:$K$22*(Calc!$G$3:$G$22&lt;=A718))</f>
        <v/>
      </c>
      <c r="D718">
        <f>SUMPRODUCT(Calc!$K$3:$K$22*(Calc!$G$3:$G$22&gt;A718)*(Calc!$G$3:$G$22&lt;B718))</f>
        <v/>
      </c>
      <c r="E718">
        <f>SUMPRODUCT(Calc!$K$3:$K$22*(Calc!$G$3:$G$22&gt;=B718))</f>
        <v/>
      </c>
      <c r="F718">
        <f>AND(k_n&gt;=5,B718&gt;A718+1E-9,C718&gt;=2,D718&gt;=1,E718&gt;=2)</f>
        <v/>
      </c>
      <c r="G718">
        <f>SUMPRODUCT(Calc!$K$3:$K$22*(Calc!$G$3:$G$22&gt;A718)*(Calc!$G$3:$G$22-A718))</f>
        <v/>
      </c>
      <c r="H718">
        <f>SUMPRODUCT(Calc!$K$3:$K$22*(Calc!$G$3:$G$22&gt;B718)*(Calc!$G$3:$G$22-B718))</f>
        <v/>
      </c>
      <c r="I718">
        <f>SUMPRODUCT(Calc!$K$3:$K$22*(Calc!$G$3:$G$22&gt;A718)*(Calc!$G$3:$G$22-A718)^2)</f>
        <v/>
      </c>
      <c r="J718">
        <f>SUMPRODUCT(Calc!$K$3:$K$22*(Calc!$G$3:$G$22&gt;B718)*(Calc!$G$3:$G$22-B718)^2)</f>
        <v/>
      </c>
      <c r="K718">
        <f>SUMPRODUCT(Calc!$K$3:$K$22*(Calc!$G$3:$G$22&gt;A718)*(Calc!$G$3:$G$22-A718)*(Calc!$G$3:$G$22&gt;B718)*(Calc!$G$3:$G$22-B718))</f>
        <v/>
      </c>
      <c r="L718">
        <f>SUMPRODUCT(Calc!$K$3:$K$22*(Calc!$G$3:$G$22&gt;A718)*(Calc!$G$3:$G$22-A718)*Calc!$G$3:$G$22)</f>
        <v/>
      </c>
      <c r="M718">
        <f>SUMPRODUCT(Calc!$K$3:$K$22*(Calc!$G$3:$G$22&gt;B718)*(Calc!$G$3:$G$22-B718)*Calc!$G$3:$G$22)</f>
        <v/>
      </c>
      <c r="N718">
        <f>SUMPRODUCT(Calc!$K$3:$K$22*(Calc!$G$3:$G$22&gt;A718)*(Calc!$G$3:$G$22-A718)*Calc!$I$3:$I$22)</f>
        <v/>
      </c>
      <c r="O718">
        <f>SUMPRODUCT(Calc!$K$3:$K$22*(Calc!$G$3:$G$22&gt;B718)*(Calc!$G$3:$G$22-B718)*Calc!$I$3:$I$22)</f>
        <v/>
      </c>
      <c r="P718">
        <f>I718-G718^2/k_n</f>
        <v/>
      </c>
      <c r="Q718">
        <f>J718-H718^2/k_n</f>
        <v/>
      </c>
      <c r="R718">
        <f>K718-G718*H718/k_n</f>
        <v/>
      </c>
      <c r="S718">
        <f>L718-LTP3!$D$3*G718/k_n</f>
        <v/>
      </c>
      <c r="T718">
        <f>M718-LTP3!$D$3*H718/k_n</f>
        <v/>
      </c>
      <c r="U718">
        <f>N718-G718*LTP3!$D$4/k_n</f>
        <v/>
      </c>
      <c r="V718">
        <f>O718-H718*LTP3!$D$4/k_n</f>
        <v/>
      </c>
      <c r="W718">
        <f>((LTP3!$D$5)*((P718)*(Q718)-(R718)*(R718))-(S718)*((S718)*(Q718)-(R718)*(T718))+(T718)*((S718)*(R718)-(P718)*(T718)))</f>
        <v/>
      </c>
      <c r="X718">
        <f>IF(ABS(W718)&gt;1E-12,((LTP3!$D$6)*((P718)*(Q718)-(R718)*(R718))-(S718)*((U718)*(Q718)-(R718)*(V718))+(T718)*((U718)*(R718)-(P718)*(V718)))/W718,0)</f>
        <v/>
      </c>
      <c r="Y718">
        <f>IF(ABS(W718)&gt;1E-12,((LTP3!$D$5)*((U718)*(Q718)-(R718)*(V718))-(LTP3!$D$6)*((S718)*(Q718)-(R718)*(T718))+(T718)*((S718)*(V718)-(U718)*(T718)))/W718,0)</f>
        <v/>
      </c>
      <c r="Z718">
        <f>IF(ABS(W718)&gt;1E-12,((LTP3!$D$5)*((P718)*(V718)-(U718)*(R718))-(S718)*((S718)*(V718)-(U718)*(T718))+(LTP3!$D$6)*((S718)*(R718)-(P718)*(T718)))/W718,0)</f>
        <v/>
      </c>
      <c r="AA718">
        <f>LTP3!$D$7-X718*LTP3!$D$6-Y718*U718-Z718*V718</f>
        <v/>
      </c>
      <c r="AB718">
        <f>IF(AND(F718,ABS(W718)&gt;1E-12,Y718&gt;0,Z718&gt;0),AA718,1E+300)</f>
        <v/>
      </c>
    </row>
    <row r="719">
      <c r="A719">
        <f>$B$3+$B$5*11</f>
        <v/>
      </c>
      <c r="B719">
        <f>$B$3+$B$5*36</f>
        <v/>
      </c>
      <c r="C719">
        <f>SUMPRODUCT(Calc!$K$3:$K$22*(Calc!$G$3:$G$22&lt;=A719))</f>
        <v/>
      </c>
      <c r="D719">
        <f>SUMPRODUCT(Calc!$K$3:$K$22*(Calc!$G$3:$G$22&gt;A719)*(Calc!$G$3:$G$22&lt;B719))</f>
        <v/>
      </c>
      <c r="E719">
        <f>SUMPRODUCT(Calc!$K$3:$K$22*(Calc!$G$3:$G$22&gt;=B719))</f>
        <v/>
      </c>
      <c r="F719">
        <f>AND(k_n&gt;=5,B719&gt;A719+1E-9,C719&gt;=2,D719&gt;=1,E719&gt;=2)</f>
        <v/>
      </c>
      <c r="G719">
        <f>SUMPRODUCT(Calc!$K$3:$K$22*(Calc!$G$3:$G$22&gt;A719)*(Calc!$G$3:$G$22-A719))</f>
        <v/>
      </c>
      <c r="H719">
        <f>SUMPRODUCT(Calc!$K$3:$K$22*(Calc!$G$3:$G$22&gt;B719)*(Calc!$G$3:$G$22-B719))</f>
        <v/>
      </c>
      <c r="I719">
        <f>SUMPRODUCT(Calc!$K$3:$K$22*(Calc!$G$3:$G$22&gt;A719)*(Calc!$G$3:$G$22-A719)^2)</f>
        <v/>
      </c>
      <c r="J719">
        <f>SUMPRODUCT(Calc!$K$3:$K$22*(Calc!$G$3:$G$22&gt;B719)*(Calc!$G$3:$G$22-B719)^2)</f>
        <v/>
      </c>
      <c r="K719">
        <f>SUMPRODUCT(Calc!$K$3:$K$22*(Calc!$G$3:$G$22&gt;A719)*(Calc!$G$3:$G$22-A719)*(Calc!$G$3:$G$22&gt;B719)*(Calc!$G$3:$G$22-B719))</f>
        <v/>
      </c>
      <c r="L719">
        <f>SUMPRODUCT(Calc!$K$3:$K$22*(Calc!$G$3:$G$22&gt;A719)*(Calc!$G$3:$G$22-A719)*Calc!$G$3:$G$22)</f>
        <v/>
      </c>
      <c r="M719">
        <f>SUMPRODUCT(Calc!$K$3:$K$22*(Calc!$G$3:$G$22&gt;B719)*(Calc!$G$3:$G$22-B719)*Calc!$G$3:$G$22)</f>
        <v/>
      </c>
      <c r="N719">
        <f>SUMPRODUCT(Calc!$K$3:$K$22*(Calc!$G$3:$G$22&gt;A719)*(Calc!$G$3:$G$22-A719)*Calc!$I$3:$I$22)</f>
        <v/>
      </c>
      <c r="O719">
        <f>SUMPRODUCT(Calc!$K$3:$K$22*(Calc!$G$3:$G$22&gt;B719)*(Calc!$G$3:$G$22-B719)*Calc!$I$3:$I$22)</f>
        <v/>
      </c>
      <c r="P719">
        <f>I719-G719^2/k_n</f>
        <v/>
      </c>
      <c r="Q719">
        <f>J719-H719^2/k_n</f>
        <v/>
      </c>
      <c r="R719">
        <f>K719-G719*H719/k_n</f>
        <v/>
      </c>
      <c r="S719">
        <f>L719-LTP3!$D$3*G719/k_n</f>
        <v/>
      </c>
      <c r="T719">
        <f>M719-LTP3!$D$3*H719/k_n</f>
        <v/>
      </c>
      <c r="U719">
        <f>N719-G719*LTP3!$D$4/k_n</f>
        <v/>
      </c>
      <c r="V719">
        <f>O719-H719*LTP3!$D$4/k_n</f>
        <v/>
      </c>
      <c r="W719">
        <f>((LTP3!$D$5)*((P719)*(Q719)-(R719)*(R719))-(S719)*((S719)*(Q719)-(R719)*(T719))+(T719)*((S719)*(R719)-(P719)*(T719)))</f>
        <v/>
      </c>
      <c r="X719">
        <f>IF(ABS(W719)&gt;1E-12,((LTP3!$D$6)*((P719)*(Q719)-(R719)*(R719))-(S719)*((U719)*(Q719)-(R719)*(V719))+(T719)*((U719)*(R719)-(P719)*(V719)))/W719,0)</f>
        <v/>
      </c>
      <c r="Y719">
        <f>IF(ABS(W719)&gt;1E-12,((LTP3!$D$5)*((U719)*(Q719)-(R719)*(V719))-(LTP3!$D$6)*((S719)*(Q719)-(R719)*(T719))+(T719)*((S719)*(V719)-(U719)*(T719)))/W719,0)</f>
        <v/>
      </c>
      <c r="Z719">
        <f>IF(ABS(W719)&gt;1E-12,((LTP3!$D$5)*((P719)*(V719)-(U719)*(R719))-(S719)*((S719)*(V719)-(U719)*(T719))+(LTP3!$D$6)*((S719)*(R719)-(P719)*(T719)))/W719,0)</f>
        <v/>
      </c>
      <c r="AA719">
        <f>LTP3!$D$7-X719*LTP3!$D$6-Y719*U719-Z719*V719</f>
        <v/>
      </c>
      <c r="AB719">
        <f>IF(AND(F719,ABS(W719)&gt;1E-12,Y719&gt;0,Z719&gt;0),AA719,1E+300)</f>
        <v/>
      </c>
    </row>
    <row r="720">
      <c r="A720">
        <f>$B$3+$B$5*11</f>
        <v/>
      </c>
      <c r="B720">
        <f>$B$3+$B$5*37</f>
        <v/>
      </c>
      <c r="C720">
        <f>SUMPRODUCT(Calc!$K$3:$K$22*(Calc!$G$3:$G$22&lt;=A720))</f>
        <v/>
      </c>
      <c r="D720">
        <f>SUMPRODUCT(Calc!$K$3:$K$22*(Calc!$G$3:$G$22&gt;A720)*(Calc!$G$3:$G$22&lt;B720))</f>
        <v/>
      </c>
      <c r="E720">
        <f>SUMPRODUCT(Calc!$K$3:$K$22*(Calc!$G$3:$G$22&gt;=B720))</f>
        <v/>
      </c>
      <c r="F720">
        <f>AND(k_n&gt;=5,B720&gt;A720+1E-9,C720&gt;=2,D720&gt;=1,E720&gt;=2)</f>
        <v/>
      </c>
      <c r="G720">
        <f>SUMPRODUCT(Calc!$K$3:$K$22*(Calc!$G$3:$G$22&gt;A720)*(Calc!$G$3:$G$22-A720))</f>
        <v/>
      </c>
      <c r="H720">
        <f>SUMPRODUCT(Calc!$K$3:$K$22*(Calc!$G$3:$G$22&gt;B720)*(Calc!$G$3:$G$22-B720))</f>
        <v/>
      </c>
      <c r="I720">
        <f>SUMPRODUCT(Calc!$K$3:$K$22*(Calc!$G$3:$G$22&gt;A720)*(Calc!$G$3:$G$22-A720)^2)</f>
        <v/>
      </c>
      <c r="J720">
        <f>SUMPRODUCT(Calc!$K$3:$K$22*(Calc!$G$3:$G$22&gt;B720)*(Calc!$G$3:$G$22-B720)^2)</f>
        <v/>
      </c>
      <c r="K720">
        <f>SUMPRODUCT(Calc!$K$3:$K$22*(Calc!$G$3:$G$22&gt;A720)*(Calc!$G$3:$G$22-A720)*(Calc!$G$3:$G$22&gt;B720)*(Calc!$G$3:$G$22-B720))</f>
        <v/>
      </c>
      <c r="L720">
        <f>SUMPRODUCT(Calc!$K$3:$K$22*(Calc!$G$3:$G$22&gt;A720)*(Calc!$G$3:$G$22-A720)*Calc!$G$3:$G$22)</f>
        <v/>
      </c>
      <c r="M720">
        <f>SUMPRODUCT(Calc!$K$3:$K$22*(Calc!$G$3:$G$22&gt;B720)*(Calc!$G$3:$G$22-B720)*Calc!$G$3:$G$22)</f>
        <v/>
      </c>
      <c r="N720">
        <f>SUMPRODUCT(Calc!$K$3:$K$22*(Calc!$G$3:$G$22&gt;A720)*(Calc!$G$3:$G$22-A720)*Calc!$I$3:$I$22)</f>
        <v/>
      </c>
      <c r="O720">
        <f>SUMPRODUCT(Calc!$K$3:$K$22*(Calc!$G$3:$G$22&gt;B720)*(Calc!$G$3:$G$22-B720)*Calc!$I$3:$I$22)</f>
        <v/>
      </c>
      <c r="P720">
        <f>I720-G720^2/k_n</f>
        <v/>
      </c>
      <c r="Q720">
        <f>J720-H720^2/k_n</f>
        <v/>
      </c>
      <c r="R720">
        <f>K720-G720*H720/k_n</f>
        <v/>
      </c>
      <c r="S720">
        <f>L720-LTP3!$D$3*G720/k_n</f>
        <v/>
      </c>
      <c r="T720">
        <f>M720-LTP3!$D$3*H720/k_n</f>
        <v/>
      </c>
      <c r="U720">
        <f>N720-G720*LTP3!$D$4/k_n</f>
        <v/>
      </c>
      <c r="V720">
        <f>O720-H720*LTP3!$D$4/k_n</f>
        <v/>
      </c>
      <c r="W720">
        <f>((LTP3!$D$5)*((P720)*(Q720)-(R720)*(R720))-(S720)*((S720)*(Q720)-(R720)*(T720))+(T720)*((S720)*(R720)-(P720)*(T720)))</f>
        <v/>
      </c>
      <c r="X720">
        <f>IF(ABS(W720)&gt;1E-12,((LTP3!$D$6)*((P720)*(Q720)-(R720)*(R720))-(S720)*((U720)*(Q720)-(R720)*(V720))+(T720)*((U720)*(R720)-(P720)*(V720)))/W720,0)</f>
        <v/>
      </c>
      <c r="Y720">
        <f>IF(ABS(W720)&gt;1E-12,((LTP3!$D$5)*((U720)*(Q720)-(R720)*(V720))-(LTP3!$D$6)*((S720)*(Q720)-(R720)*(T720))+(T720)*((S720)*(V720)-(U720)*(T720)))/W720,0)</f>
        <v/>
      </c>
      <c r="Z720">
        <f>IF(ABS(W720)&gt;1E-12,((LTP3!$D$5)*((P720)*(V720)-(U720)*(R720))-(S720)*((S720)*(V720)-(U720)*(T720))+(LTP3!$D$6)*((S720)*(R720)-(P720)*(T720)))/W720,0)</f>
        <v/>
      </c>
      <c r="AA720">
        <f>LTP3!$D$7-X720*LTP3!$D$6-Y720*U720-Z720*V720</f>
        <v/>
      </c>
      <c r="AB720">
        <f>IF(AND(F720,ABS(W720)&gt;1E-12,Y720&gt;0,Z720&gt;0),AA720,1E+300)</f>
        <v/>
      </c>
    </row>
    <row r="721">
      <c r="A721">
        <f>$B$3+$B$5*11</f>
        <v/>
      </c>
      <c r="B721">
        <f>$B$3+$B$5*38</f>
        <v/>
      </c>
      <c r="C721">
        <f>SUMPRODUCT(Calc!$K$3:$K$22*(Calc!$G$3:$G$22&lt;=A721))</f>
        <v/>
      </c>
      <c r="D721">
        <f>SUMPRODUCT(Calc!$K$3:$K$22*(Calc!$G$3:$G$22&gt;A721)*(Calc!$G$3:$G$22&lt;B721))</f>
        <v/>
      </c>
      <c r="E721">
        <f>SUMPRODUCT(Calc!$K$3:$K$22*(Calc!$G$3:$G$22&gt;=B721))</f>
        <v/>
      </c>
      <c r="F721">
        <f>AND(k_n&gt;=5,B721&gt;A721+1E-9,C721&gt;=2,D721&gt;=1,E721&gt;=2)</f>
        <v/>
      </c>
      <c r="G721">
        <f>SUMPRODUCT(Calc!$K$3:$K$22*(Calc!$G$3:$G$22&gt;A721)*(Calc!$G$3:$G$22-A721))</f>
        <v/>
      </c>
      <c r="H721">
        <f>SUMPRODUCT(Calc!$K$3:$K$22*(Calc!$G$3:$G$22&gt;B721)*(Calc!$G$3:$G$22-B721))</f>
        <v/>
      </c>
      <c r="I721">
        <f>SUMPRODUCT(Calc!$K$3:$K$22*(Calc!$G$3:$G$22&gt;A721)*(Calc!$G$3:$G$22-A721)^2)</f>
        <v/>
      </c>
      <c r="J721">
        <f>SUMPRODUCT(Calc!$K$3:$K$22*(Calc!$G$3:$G$22&gt;B721)*(Calc!$G$3:$G$22-B721)^2)</f>
        <v/>
      </c>
      <c r="K721">
        <f>SUMPRODUCT(Calc!$K$3:$K$22*(Calc!$G$3:$G$22&gt;A721)*(Calc!$G$3:$G$22-A721)*(Calc!$G$3:$G$22&gt;B721)*(Calc!$G$3:$G$22-B721))</f>
        <v/>
      </c>
      <c r="L721">
        <f>SUMPRODUCT(Calc!$K$3:$K$22*(Calc!$G$3:$G$22&gt;A721)*(Calc!$G$3:$G$22-A721)*Calc!$G$3:$G$22)</f>
        <v/>
      </c>
      <c r="M721">
        <f>SUMPRODUCT(Calc!$K$3:$K$22*(Calc!$G$3:$G$22&gt;B721)*(Calc!$G$3:$G$22-B721)*Calc!$G$3:$G$22)</f>
        <v/>
      </c>
      <c r="N721">
        <f>SUMPRODUCT(Calc!$K$3:$K$22*(Calc!$G$3:$G$22&gt;A721)*(Calc!$G$3:$G$22-A721)*Calc!$I$3:$I$22)</f>
        <v/>
      </c>
      <c r="O721">
        <f>SUMPRODUCT(Calc!$K$3:$K$22*(Calc!$G$3:$G$22&gt;B721)*(Calc!$G$3:$G$22-B721)*Calc!$I$3:$I$22)</f>
        <v/>
      </c>
      <c r="P721">
        <f>I721-G721^2/k_n</f>
        <v/>
      </c>
      <c r="Q721">
        <f>J721-H721^2/k_n</f>
        <v/>
      </c>
      <c r="R721">
        <f>K721-G721*H721/k_n</f>
        <v/>
      </c>
      <c r="S721">
        <f>L721-LTP3!$D$3*G721/k_n</f>
        <v/>
      </c>
      <c r="T721">
        <f>M721-LTP3!$D$3*H721/k_n</f>
        <v/>
      </c>
      <c r="U721">
        <f>N721-G721*LTP3!$D$4/k_n</f>
        <v/>
      </c>
      <c r="V721">
        <f>O721-H721*LTP3!$D$4/k_n</f>
        <v/>
      </c>
      <c r="W721">
        <f>((LTP3!$D$5)*((P721)*(Q721)-(R721)*(R721))-(S721)*((S721)*(Q721)-(R721)*(T721))+(T721)*((S721)*(R721)-(P721)*(T721)))</f>
        <v/>
      </c>
      <c r="X721">
        <f>IF(ABS(W721)&gt;1E-12,((LTP3!$D$6)*((P721)*(Q721)-(R721)*(R721))-(S721)*((U721)*(Q721)-(R721)*(V721))+(T721)*((U721)*(R721)-(P721)*(V721)))/W721,0)</f>
        <v/>
      </c>
      <c r="Y721">
        <f>IF(ABS(W721)&gt;1E-12,((LTP3!$D$5)*((U721)*(Q721)-(R721)*(V721))-(LTP3!$D$6)*((S721)*(Q721)-(R721)*(T721))+(T721)*((S721)*(V721)-(U721)*(T721)))/W721,0)</f>
        <v/>
      </c>
      <c r="Z721">
        <f>IF(ABS(W721)&gt;1E-12,((LTP3!$D$5)*((P721)*(V721)-(U721)*(R721))-(S721)*((S721)*(V721)-(U721)*(T721))+(LTP3!$D$6)*((S721)*(R721)-(P721)*(T721)))/W721,0)</f>
        <v/>
      </c>
      <c r="AA721">
        <f>LTP3!$D$7-X721*LTP3!$D$6-Y721*U721-Z721*V721</f>
        <v/>
      </c>
      <c r="AB721">
        <f>IF(AND(F721,ABS(W721)&gt;1E-12,Y721&gt;0,Z721&gt;0),AA721,1E+300)</f>
        <v/>
      </c>
    </row>
    <row r="722">
      <c r="A722">
        <f>$B$3+$B$5*11</f>
        <v/>
      </c>
      <c r="B722">
        <f>$B$3+$B$5*39</f>
        <v/>
      </c>
      <c r="C722">
        <f>SUMPRODUCT(Calc!$K$3:$K$22*(Calc!$G$3:$G$22&lt;=A722))</f>
        <v/>
      </c>
      <c r="D722">
        <f>SUMPRODUCT(Calc!$K$3:$K$22*(Calc!$G$3:$G$22&gt;A722)*(Calc!$G$3:$G$22&lt;B722))</f>
        <v/>
      </c>
      <c r="E722">
        <f>SUMPRODUCT(Calc!$K$3:$K$22*(Calc!$G$3:$G$22&gt;=B722))</f>
        <v/>
      </c>
      <c r="F722">
        <f>AND(k_n&gt;=5,B722&gt;A722+1E-9,C722&gt;=2,D722&gt;=1,E722&gt;=2)</f>
        <v/>
      </c>
      <c r="G722">
        <f>SUMPRODUCT(Calc!$K$3:$K$22*(Calc!$G$3:$G$22&gt;A722)*(Calc!$G$3:$G$22-A722))</f>
        <v/>
      </c>
      <c r="H722">
        <f>SUMPRODUCT(Calc!$K$3:$K$22*(Calc!$G$3:$G$22&gt;B722)*(Calc!$G$3:$G$22-B722))</f>
        <v/>
      </c>
      <c r="I722">
        <f>SUMPRODUCT(Calc!$K$3:$K$22*(Calc!$G$3:$G$22&gt;A722)*(Calc!$G$3:$G$22-A722)^2)</f>
        <v/>
      </c>
      <c r="J722">
        <f>SUMPRODUCT(Calc!$K$3:$K$22*(Calc!$G$3:$G$22&gt;B722)*(Calc!$G$3:$G$22-B722)^2)</f>
        <v/>
      </c>
      <c r="K722">
        <f>SUMPRODUCT(Calc!$K$3:$K$22*(Calc!$G$3:$G$22&gt;A722)*(Calc!$G$3:$G$22-A722)*(Calc!$G$3:$G$22&gt;B722)*(Calc!$G$3:$G$22-B722))</f>
        <v/>
      </c>
      <c r="L722">
        <f>SUMPRODUCT(Calc!$K$3:$K$22*(Calc!$G$3:$G$22&gt;A722)*(Calc!$G$3:$G$22-A722)*Calc!$G$3:$G$22)</f>
        <v/>
      </c>
      <c r="M722">
        <f>SUMPRODUCT(Calc!$K$3:$K$22*(Calc!$G$3:$G$22&gt;B722)*(Calc!$G$3:$G$22-B722)*Calc!$G$3:$G$22)</f>
        <v/>
      </c>
      <c r="N722">
        <f>SUMPRODUCT(Calc!$K$3:$K$22*(Calc!$G$3:$G$22&gt;A722)*(Calc!$G$3:$G$22-A722)*Calc!$I$3:$I$22)</f>
        <v/>
      </c>
      <c r="O722">
        <f>SUMPRODUCT(Calc!$K$3:$K$22*(Calc!$G$3:$G$22&gt;B722)*(Calc!$G$3:$G$22-B722)*Calc!$I$3:$I$22)</f>
        <v/>
      </c>
      <c r="P722">
        <f>I722-G722^2/k_n</f>
        <v/>
      </c>
      <c r="Q722">
        <f>J722-H722^2/k_n</f>
        <v/>
      </c>
      <c r="R722">
        <f>K722-G722*H722/k_n</f>
        <v/>
      </c>
      <c r="S722">
        <f>L722-LTP3!$D$3*G722/k_n</f>
        <v/>
      </c>
      <c r="T722">
        <f>M722-LTP3!$D$3*H722/k_n</f>
        <v/>
      </c>
      <c r="U722">
        <f>N722-G722*LTP3!$D$4/k_n</f>
        <v/>
      </c>
      <c r="V722">
        <f>O722-H722*LTP3!$D$4/k_n</f>
        <v/>
      </c>
      <c r="W722">
        <f>((LTP3!$D$5)*((P722)*(Q722)-(R722)*(R722))-(S722)*((S722)*(Q722)-(R722)*(T722))+(T722)*((S722)*(R722)-(P722)*(T722)))</f>
        <v/>
      </c>
      <c r="X722">
        <f>IF(ABS(W722)&gt;1E-12,((LTP3!$D$6)*((P722)*(Q722)-(R722)*(R722))-(S722)*((U722)*(Q722)-(R722)*(V722))+(T722)*((U722)*(R722)-(P722)*(V722)))/W722,0)</f>
        <v/>
      </c>
      <c r="Y722">
        <f>IF(ABS(W722)&gt;1E-12,((LTP3!$D$5)*((U722)*(Q722)-(R722)*(V722))-(LTP3!$D$6)*((S722)*(Q722)-(R722)*(T722))+(T722)*((S722)*(V722)-(U722)*(T722)))/W722,0)</f>
        <v/>
      </c>
      <c r="Z722">
        <f>IF(ABS(W722)&gt;1E-12,((LTP3!$D$5)*((P722)*(V722)-(U722)*(R722))-(S722)*((S722)*(V722)-(U722)*(T722))+(LTP3!$D$6)*((S722)*(R722)-(P722)*(T722)))/W722,0)</f>
        <v/>
      </c>
      <c r="AA722">
        <f>LTP3!$D$7-X722*LTP3!$D$6-Y722*U722-Z722*V722</f>
        <v/>
      </c>
      <c r="AB722">
        <f>IF(AND(F722,ABS(W722)&gt;1E-12,Y722&gt;0,Z722&gt;0),AA722,1E+300)</f>
        <v/>
      </c>
    </row>
    <row r="723">
      <c r="A723">
        <f>$B$3+$B$5*11</f>
        <v/>
      </c>
      <c r="B723">
        <f>$B$3+$B$5*40</f>
        <v/>
      </c>
      <c r="C723">
        <f>SUMPRODUCT(Calc!$K$3:$K$22*(Calc!$G$3:$G$22&lt;=A723))</f>
        <v/>
      </c>
      <c r="D723">
        <f>SUMPRODUCT(Calc!$K$3:$K$22*(Calc!$G$3:$G$22&gt;A723)*(Calc!$G$3:$G$22&lt;B723))</f>
        <v/>
      </c>
      <c r="E723">
        <f>SUMPRODUCT(Calc!$K$3:$K$22*(Calc!$G$3:$G$22&gt;=B723))</f>
        <v/>
      </c>
      <c r="F723">
        <f>AND(k_n&gt;=5,B723&gt;A723+1E-9,C723&gt;=2,D723&gt;=1,E723&gt;=2)</f>
        <v/>
      </c>
      <c r="G723">
        <f>SUMPRODUCT(Calc!$K$3:$K$22*(Calc!$G$3:$G$22&gt;A723)*(Calc!$G$3:$G$22-A723))</f>
        <v/>
      </c>
      <c r="H723">
        <f>SUMPRODUCT(Calc!$K$3:$K$22*(Calc!$G$3:$G$22&gt;B723)*(Calc!$G$3:$G$22-B723))</f>
        <v/>
      </c>
      <c r="I723">
        <f>SUMPRODUCT(Calc!$K$3:$K$22*(Calc!$G$3:$G$22&gt;A723)*(Calc!$G$3:$G$22-A723)^2)</f>
        <v/>
      </c>
      <c r="J723">
        <f>SUMPRODUCT(Calc!$K$3:$K$22*(Calc!$G$3:$G$22&gt;B723)*(Calc!$G$3:$G$22-B723)^2)</f>
        <v/>
      </c>
      <c r="K723">
        <f>SUMPRODUCT(Calc!$K$3:$K$22*(Calc!$G$3:$G$22&gt;A723)*(Calc!$G$3:$G$22-A723)*(Calc!$G$3:$G$22&gt;B723)*(Calc!$G$3:$G$22-B723))</f>
        <v/>
      </c>
      <c r="L723">
        <f>SUMPRODUCT(Calc!$K$3:$K$22*(Calc!$G$3:$G$22&gt;A723)*(Calc!$G$3:$G$22-A723)*Calc!$G$3:$G$22)</f>
        <v/>
      </c>
      <c r="M723">
        <f>SUMPRODUCT(Calc!$K$3:$K$22*(Calc!$G$3:$G$22&gt;B723)*(Calc!$G$3:$G$22-B723)*Calc!$G$3:$G$22)</f>
        <v/>
      </c>
      <c r="N723">
        <f>SUMPRODUCT(Calc!$K$3:$K$22*(Calc!$G$3:$G$22&gt;A723)*(Calc!$G$3:$G$22-A723)*Calc!$I$3:$I$22)</f>
        <v/>
      </c>
      <c r="O723">
        <f>SUMPRODUCT(Calc!$K$3:$K$22*(Calc!$G$3:$G$22&gt;B723)*(Calc!$G$3:$G$22-B723)*Calc!$I$3:$I$22)</f>
        <v/>
      </c>
      <c r="P723">
        <f>I723-G723^2/k_n</f>
        <v/>
      </c>
      <c r="Q723">
        <f>J723-H723^2/k_n</f>
        <v/>
      </c>
      <c r="R723">
        <f>K723-G723*H723/k_n</f>
        <v/>
      </c>
      <c r="S723">
        <f>L723-LTP3!$D$3*G723/k_n</f>
        <v/>
      </c>
      <c r="T723">
        <f>M723-LTP3!$D$3*H723/k_n</f>
        <v/>
      </c>
      <c r="U723">
        <f>N723-G723*LTP3!$D$4/k_n</f>
        <v/>
      </c>
      <c r="V723">
        <f>O723-H723*LTP3!$D$4/k_n</f>
        <v/>
      </c>
      <c r="W723">
        <f>((LTP3!$D$5)*((P723)*(Q723)-(R723)*(R723))-(S723)*((S723)*(Q723)-(R723)*(T723))+(T723)*((S723)*(R723)-(P723)*(T723)))</f>
        <v/>
      </c>
      <c r="X723">
        <f>IF(ABS(W723)&gt;1E-12,((LTP3!$D$6)*((P723)*(Q723)-(R723)*(R723))-(S723)*((U723)*(Q723)-(R723)*(V723))+(T723)*((U723)*(R723)-(P723)*(V723)))/W723,0)</f>
        <v/>
      </c>
      <c r="Y723">
        <f>IF(ABS(W723)&gt;1E-12,((LTP3!$D$5)*((U723)*(Q723)-(R723)*(V723))-(LTP3!$D$6)*((S723)*(Q723)-(R723)*(T723))+(T723)*((S723)*(V723)-(U723)*(T723)))/W723,0)</f>
        <v/>
      </c>
      <c r="Z723">
        <f>IF(ABS(W723)&gt;1E-12,((LTP3!$D$5)*((P723)*(V723)-(U723)*(R723))-(S723)*((S723)*(V723)-(U723)*(T723))+(LTP3!$D$6)*((S723)*(R723)-(P723)*(T723)))/W723,0)</f>
        <v/>
      </c>
      <c r="AA723">
        <f>LTP3!$D$7-X723*LTP3!$D$6-Y723*U723-Z723*V723</f>
        <v/>
      </c>
      <c r="AB723">
        <f>IF(AND(F723,ABS(W723)&gt;1E-12,Y723&gt;0,Z723&gt;0),AA723,1E+300)</f>
        <v/>
      </c>
    </row>
    <row r="724">
      <c r="A724">
        <f>$B$3+$B$5*11</f>
        <v/>
      </c>
      <c r="B724">
        <f>$B$3+$B$5*41</f>
        <v/>
      </c>
      <c r="C724">
        <f>SUMPRODUCT(Calc!$K$3:$K$22*(Calc!$G$3:$G$22&lt;=A724))</f>
        <v/>
      </c>
      <c r="D724">
        <f>SUMPRODUCT(Calc!$K$3:$K$22*(Calc!$G$3:$G$22&gt;A724)*(Calc!$G$3:$G$22&lt;B724))</f>
        <v/>
      </c>
      <c r="E724">
        <f>SUMPRODUCT(Calc!$K$3:$K$22*(Calc!$G$3:$G$22&gt;=B724))</f>
        <v/>
      </c>
      <c r="F724">
        <f>AND(k_n&gt;=5,B724&gt;A724+1E-9,C724&gt;=2,D724&gt;=1,E724&gt;=2)</f>
        <v/>
      </c>
      <c r="G724">
        <f>SUMPRODUCT(Calc!$K$3:$K$22*(Calc!$G$3:$G$22&gt;A724)*(Calc!$G$3:$G$22-A724))</f>
        <v/>
      </c>
      <c r="H724">
        <f>SUMPRODUCT(Calc!$K$3:$K$22*(Calc!$G$3:$G$22&gt;B724)*(Calc!$G$3:$G$22-B724))</f>
        <v/>
      </c>
      <c r="I724">
        <f>SUMPRODUCT(Calc!$K$3:$K$22*(Calc!$G$3:$G$22&gt;A724)*(Calc!$G$3:$G$22-A724)^2)</f>
        <v/>
      </c>
      <c r="J724">
        <f>SUMPRODUCT(Calc!$K$3:$K$22*(Calc!$G$3:$G$22&gt;B724)*(Calc!$G$3:$G$22-B724)^2)</f>
        <v/>
      </c>
      <c r="K724">
        <f>SUMPRODUCT(Calc!$K$3:$K$22*(Calc!$G$3:$G$22&gt;A724)*(Calc!$G$3:$G$22-A724)*(Calc!$G$3:$G$22&gt;B724)*(Calc!$G$3:$G$22-B724))</f>
        <v/>
      </c>
      <c r="L724">
        <f>SUMPRODUCT(Calc!$K$3:$K$22*(Calc!$G$3:$G$22&gt;A724)*(Calc!$G$3:$G$22-A724)*Calc!$G$3:$G$22)</f>
        <v/>
      </c>
      <c r="M724">
        <f>SUMPRODUCT(Calc!$K$3:$K$22*(Calc!$G$3:$G$22&gt;B724)*(Calc!$G$3:$G$22-B724)*Calc!$G$3:$G$22)</f>
        <v/>
      </c>
      <c r="N724">
        <f>SUMPRODUCT(Calc!$K$3:$K$22*(Calc!$G$3:$G$22&gt;A724)*(Calc!$G$3:$G$22-A724)*Calc!$I$3:$I$22)</f>
        <v/>
      </c>
      <c r="O724">
        <f>SUMPRODUCT(Calc!$K$3:$K$22*(Calc!$G$3:$G$22&gt;B724)*(Calc!$G$3:$G$22-B724)*Calc!$I$3:$I$22)</f>
        <v/>
      </c>
      <c r="P724">
        <f>I724-G724^2/k_n</f>
        <v/>
      </c>
      <c r="Q724">
        <f>J724-H724^2/k_n</f>
        <v/>
      </c>
      <c r="R724">
        <f>K724-G724*H724/k_n</f>
        <v/>
      </c>
      <c r="S724">
        <f>L724-LTP3!$D$3*G724/k_n</f>
        <v/>
      </c>
      <c r="T724">
        <f>M724-LTP3!$D$3*H724/k_n</f>
        <v/>
      </c>
      <c r="U724">
        <f>N724-G724*LTP3!$D$4/k_n</f>
        <v/>
      </c>
      <c r="V724">
        <f>O724-H724*LTP3!$D$4/k_n</f>
        <v/>
      </c>
      <c r="W724">
        <f>((LTP3!$D$5)*((P724)*(Q724)-(R724)*(R724))-(S724)*((S724)*(Q724)-(R724)*(T724))+(T724)*((S724)*(R724)-(P724)*(T724)))</f>
        <v/>
      </c>
      <c r="X724">
        <f>IF(ABS(W724)&gt;1E-12,((LTP3!$D$6)*((P724)*(Q724)-(R724)*(R724))-(S724)*((U724)*(Q724)-(R724)*(V724))+(T724)*((U724)*(R724)-(P724)*(V724)))/W724,0)</f>
        <v/>
      </c>
      <c r="Y724">
        <f>IF(ABS(W724)&gt;1E-12,((LTP3!$D$5)*((U724)*(Q724)-(R724)*(V724))-(LTP3!$D$6)*((S724)*(Q724)-(R724)*(T724))+(T724)*((S724)*(V724)-(U724)*(T724)))/W724,0)</f>
        <v/>
      </c>
      <c r="Z724">
        <f>IF(ABS(W724)&gt;1E-12,((LTP3!$D$5)*((P724)*(V724)-(U724)*(R724))-(S724)*((S724)*(V724)-(U724)*(T724))+(LTP3!$D$6)*((S724)*(R724)-(P724)*(T724)))/W724,0)</f>
        <v/>
      </c>
      <c r="AA724">
        <f>LTP3!$D$7-X724*LTP3!$D$6-Y724*U724-Z724*V724</f>
        <v/>
      </c>
      <c r="AB724">
        <f>IF(AND(F724,ABS(W724)&gt;1E-12,Y724&gt;0,Z724&gt;0),AA724,1E+300)</f>
        <v/>
      </c>
    </row>
    <row r="725">
      <c r="A725">
        <f>$B$3+$B$5*11</f>
        <v/>
      </c>
      <c r="B725">
        <f>$B$3+$B$5*42</f>
        <v/>
      </c>
      <c r="C725">
        <f>SUMPRODUCT(Calc!$K$3:$K$22*(Calc!$G$3:$G$22&lt;=A725))</f>
        <v/>
      </c>
      <c r="D725">
        <f>SUMPRODUCT(Calc!$K$3:$K$22*(Calc!$G$3:$G$22&gt;A725)*(Calc!$G$3:$G$22&lt;B725))</f>
        <v/>
      </c>
      <c r="E725">
        <f>SUMPRODUCT(Calc!$K$3:$K$22*(Calc!$G$3:$G$22&gt;=B725))</f>
        <v/>
      </c>
      <c r="F725">
        <f>AND(k_n&gt;=5,B725&gt;A725+1E-9,C725&gt;=2,D725&gt;=1,E725&gt;=2)</f>
        <v/>
      </c>
      <c r="G725">
        <f>SUMPRODUCT(Calc!$K$3:$K$22*(Calc!$G$3:$G$22&gt;A725)*(Calc!$G$3:$G$22-A725))</f>
        <v/>
      </c>
      <c r="H725">
        <f>SUMPRODUCT(Calc!$K$3:$K$22*(Calc!$G$3:$G$22&gt;B725)*(Calc!$G$3:$G$22-B725))</f>
        <v/>
      </c>
      <c r="I725">
        <f>SUMPRODUCT(Calc!$K$3:$K$22*(Calc!$G$3:$G$22&gt;A725)*(Calc!$G$3:$G$22-A725)^2)</f>
        <v/>
      </c>
      <c r="J725">
        <f>SUMPRODUCT(Calc!$K$3:$K$22*(Calc!$G$3:$G$22&gt;B725)*(Calc!$G$3:$G$22-B725)^2)</f>
        <v/>
      </c>
      <c r="K725">
        <f>SUMPRODUCT(Calc!$K$3:$K$22*(Calc!$G$3:$G$22&gt;A725)*(Calc!$G$3:$G$22-A725)*(Calc!$G$3:$G$22&gt;B725)*(Calc!$G$3:$G$22-B725))</f>
        <v/>
      </c>
      <c r="L725">
        <f>SUMPRODUCT(Calc!$K$3:$K$22*(Calc!$G$3:$G$22&gt;A725)*(Calc!$G$3:$G$22-A725)*Calc!$G$3:$G$22)</f>
        <v/>
      </c>
      <c r="M725">
        <f>SUMPRODUCT(Calc!$K$3:$K$22*(Calc!$G$3:$G$22&gt;B725)*(Calc!$G$3:$G$22-B725)*Calc!$G$3:$G$22)</f>
        <v/>
      </c>
      <c r="N725">
        <f>SUMPRODUCT(Calc!$K$3:$K$22*(Calc!$G$3:$G$22&gt;A725)*(Calc!$G$3:$G$22-A725)*Calc!$I$3:$I$22)</f>
        <v/>
      </c>
      <c r="O725">
        <f>SUMPRODUCT(Calc!$K$3:$K$22*(Calc!$G$3:$G$22&gt;B725)*(Calc!$G$3:$G$22-B725)*Calc!$I$3:$I$22)</f>
        <v/>
      </c>
      <c r="P725">
        <f>I725-G725^2/k_n</f>
        <v/>
      </c>
      <c r="Q725">
        <f>J725-H725^2/k_n</f>
        <v/>
      </c>
      <c r="R725">
        <f>K725-G725*H725/k_n</f>
        <v/>
      </c>
      <c r="S725">
        <f>L725-LTP3!$D$3*G725/k_n</f>
        <v/>
      </c>
      <c r="T725">
        <f>M725-LTP3!$D$3*H725/k_n</f>
        <v/>
      </c>
      <c r="U725">
        <f>N725-G725*LTP3!$D$4/k_n</f>
        <v/>
      </c>
      <c r="V725">
        <f>O725-H725*LTP3!$D$4/k_n</f>
        <v/>
      </c>
      <c r="W725">
        <f>((LTP3!$D$5)*((P725)*(Q725)-(R725)*(R725))-(S725)*((S725)*(Q725)-(R725)*(T725))+(T725)*((S725)*(R725)-(P725)*(T725)))</f>
        <v/>
      </c>
      <c r="X725">
        <f>IF(ABS(W725)&gt;1E-12,((LTP3!$D$6)*((P725)*(Q725)-(R725)*(R725))-(S725)*((U725)*(Q725)-(R725)*(V725))+(T725)*((U725)*(R725)-(P725)*(V725)))/W725,0)</f>
        <v/>
      </c>
      <c r="Y725">
        <f>IF(ABS(W725)&gt;1E-12,((LTP3!$D$5)*((U725)*(Q725)-(R725)*(V725))-(LTP3!$D$6)*((S725)*(Q725)-(R725)*(T725))+(T725)*((S725)*(V725)-(U725)*(T725)))/W725,0)</f>
        <v/>
      </c>
      <c r="Z725">
        <f>IF(ABS(W725)&gt;1E-12,((LTP3!$D$5)*((P725)*(V725)-(U725)*(R725))-(S725)*((S725)*(V725)-(U725)*(T725))+(LTP3!$D$6)*((S725)*(R725)-(P725)*(T725)))/W725,0)</f>
        <v/>
      </c>
      <c r="AA725">
        <f>LTP3!$D$7-X725*LTP3!$D$6-Y725*U725-Z725*V725</f>
        <v/>
      </c>
      <c r="AB725">
        <f>IF(AND(F725,ABS(W725)&gt;1E-12,Y725&gt;0,Z725&gt;0),AA725,1E+300)</f>
        <v/>
      </c>
    </row>
    <row r="726">
      <c r="A726">
        <f>$B$3+$B$5*11</f>
        <v/>
      </c>
      <c r="B726">
        <f>$B$3+$B$5*43</f>
        <v/>
      </c>
      <c r="C726">
        <f>SUMPRODUCT(Calc!$K$3:$K$22*(Calc!$G$3:$G$22&lt;=A726))</f>
        <v/>
      </c>
      <c r="D726">
        <f>SUMPRODUCT(Calc!$K$3:$K$22*(Calc!$G$3:$G$22&gt;A726)*(Calc!$G$3:$G$22&lt;B726))</f>
        <v/>
      </c>
      <c r="E726">
        <f>SUMPRODUCT(Calc!$K$3:$K$22*(Calc!$G$3:$G$22&gt;=B726))</f>
        <v/>
      </c>
      <c r="F726">
        <f>AND(k_n&gt;=5,B726&gt;A726+1E-9,C726&gt;=2,D726&gt;=1,E726&gt;=2)</f>
        <v/>
      </c>
      <c r="G726">
        <f>SUMPRODUCT(Calc!$K$3:$K$22*(Calc!$G$3:$G$22&gt;A726)*(Calc!$G$3:$G$22-A726))</f>
        <v/>
      </c>
      <c r="H726">
        <f>SUMPRODUCT(Calc!$K$3:$K$22*(Calc!$G$3:$G$22&gt;B726)*(Calc!$G$3:$G$22-B726))</f>
        <v/>
      </c>
      <c r="I726">
        <f>SUMPRODUCT(Calc!$K$3:$K$22*(Calc!$G$3:$G$22&gt;A726)*(Calc!$G$3:$G$22-A726)^2)</f>
        <v/>
      </c>
      <c r="J726">
        <f>SUMPRODUCT(Calc!$K$3:$K$22*(Calc!$G$3:$G$22&gt;B726)*(Calc!$G$3:$G$22-B726)^2)</f>
        <v/>
      </c>
      <c r="K726">
        <f>SUMPRODUCT(Calc!$K$3:$K$22*(Calc!$G$3:$G$22&gt;A726)*(Calc!$G$3:$G$22-A726)*(Calc!$G$3:$G$22&gt;B726)*(Calc!$G$3:$G$22-B726))</f>
        <v/>
      </c>
      <c r="L726">
        <f>SUMPRODUCT(Calc!$K$3:$K$22*(Calc!$G$3:$G$22&gt;A726)*(Calc!$G$3:$G$22-A726)*Calc!$G$3:$G$22)</f>
        <v/>
      </c>
      <c r="M726">
        <f>SUMPRODUCT(Calc!$K$3:$K$22*(Calc!$G$3:$G$22&gt;B726)*(Calc!$G$3:$G$22-B726)*Calc!$G$3:$G$22)</f>
        <v/>
      </c>
      <c r="N726">
        <f>SUMPRODUCT(Calc!$K$3:$K$22*(Calc!$G$3:$G$22&gt;A726)*(Calc!$G$3:$G$22-A726)*Calc!$I$3:$I$22)</f>
        <v/>
      </c>
      <c r="O726">
        <f>SUMPRODUCT(Calc!$K$3:$K$22*(Calc!$G$3:$G$22&gt;B726)*(Calc!$G$3:$G$22-B726)*Calc!$I$3:$I$22)</f>
        <v/>
      </c>
      <c r="P726">
        <f>I726-G726^2/k_n</f>
        <v/>
      </c>
      <c r="Q726">
        <f>J726-H726^2/k_n</f>
        <v/>
      </c>
      <c r="R726">
        <f>K726-G726*H726/k_n</f>
        <v/>
      </c>
      <c r="S726">
        <f>L726-LTP3!$D$3*G726/k_n</f>
        <v/>
      </c>
      <c r="T726">
        <f>M726-LTP3!$D$3*H726/k_n</f>
        <v/>
      </c>
      <c r="U726">
        <f>N726-G726*LTP3!$D$4/k_n</f>
        <v/>
      </c>
      <c r="V726">
        <f>O726-H726*LTP3!$D$4/k_n</f>
        <v/>
      </c>
      <c r="W726">
        <f>((LTP3!$D$5)*((P726)*(Q726)-(R726)*(R726))-(S726)*((S726)*(Q726)-(R726)*(T726))+(T726)*((S726)*(R726)-(P726)*(T726)))</f>
        <v/>
      </c>
      <c r="X726">
        <f>IF(ABS(W726)&gt;1E-12,((LTP3!$D$6)*((P726)*(Q726)-(R726)*(R726))-(S726)*((U726)*(Q726)-(R726)*(V726))+(T726)*((U726)*(R726)-(P726)*(V726)))/W726,0)</f>
        <v/>
      </c>
      <c r="Y726">
        <f>IF(ABS(W726)&gt;1E-12,((LTP3!$D$5)*((U726)*(Q726)-(R726)*(V726))-(LTP3!$D$6)*((S726)*(Q726)-(R726)*(T726))+(T726)*((S726)*(V726)-(U726)*(T726)))/W726,0)</f>
        <v/>
      </c>
      <c r="Z726">
        <f>IF(ABS(W726)&gt;1E-12,((LTP3!$D$5)*((P726)*(V726)-(U726)*(R726))-(S726)*((S726)*(V726)-(U726)*(T726))+(LTP3!$D$6)*((S726)*(R726)-(P726)*(T726)))/W726,0)</f>
        <v/>
      </c>
      <c r="AA726">
        <f>LTP3!$D$7-X726*LTP3!$D$6-Y726*U726-Z726*V726</f>
        <v/>
      </c>
      <c r="AB726">
        <f>IF(AND(F726,ABS(W726)&gt;1E-12,Y726&gt;0,Z726&gt;0),AA726,1E+300)</f>
        <v/>
      </c>
    </row>
    <row r="727">
      <c r="A727">
        <f>$B$3+$B$5*11</f>
        <v/>
      </c>
      <c r="B727">
        <f>$B$3+$B$5*44</f>
        <v/>
      </c>
      <c r="C727">
        <f>SUMPRODUCT(Calc!$K$3:$K$22*(Calc!$G$3:$G$22&lt;=A727))</f>
        <v/>
      </c>
      <c r="D727">
        <f>SUMPRODUCT(Calc!$K$3:$K$22*(Calc!$G$3:$G$22&gt;A727)*(Calc!$G$3:$G$22&lt;B727))</f>
        <v/>
      </c>
      <c r="E727">
        <f>SUMPRODUCT(Calc!$K$3:$K$22*(Calc!$G$3:$G$22&gt;=B727))</f>
        <v/>
      </c>
      <c r="F727">
        <f>AND(k_n&gt;=5,B727&gt;A727+1E-9,C727&gt;=2,D727&gt;=1,E727&gt;=2)</f>
        <v/>
      </c>
      <c r="G727">
        <f>SUMPRODUCT(Calc!$K$3:$K$22*(Calc!$G$3:$G$22&gt;A727)*(Calc!$G$3:$G$22-A727))</f>
        <v/>
      </c>
      <c r="H727">
        <f>SUMPRODUCT(Calc!$K$3:$K$22*(Calc!$G$3:$G$22&gt;B727)*(Calc!$G$3:$G$22-B727))</f>
        <v/>
      </c>
      <c r="I727">
        <f>SUMPRODUCT(Calc!$K$3:$K$22*(Calc!$G$3:$G$22&gt;A727)*(Calc!$G$3:$G$22-A727)^2)</f>
        <v/>
      </c>
      <c r="J727">
        <f>SUMPRODUCT(Calc!$K$3:$K$22*(Calc!$G$3:$G$22&gt;B727)*(Calc!$G$3:$G$22-B727)^2)</f>
        <v/>
      </c>
      <c r="K727">
        <f>SUMPRODUCT(Calc!$K$3:$K$22*(Calc!$G$3:$G$22&gt;A727)*(Calc!$G$3:$G$22-A727)*(Calc!$G$3:$G$22&gt;B727)*(Calc!$G$3:$G$22-B727))</f>
        <v/>
      </c>
      <c r="L727">
        <f>SUMPRODUCT(Calc!$K$3:$K$22*(Calc!$G$3:$G$22&gt;A727)*(Calc!$G$3:$G$22-A727)*Calc!$G$3:$G$22)</f>
        <v/>
      </c>
      <c r="M727">
        <f>SUMPRODUCT(Calc!$K$3:$K$22*(Calc!$G$3:$G$22&gt;B727)*(Calc!$G$3:$G$22-B727)*Calc!$G$3:$G$22)</f>
        <v/>
      </c>
      <c r="N727">
        <f>SUMPRODUCT(Calc!$K$3:$K$22*(Calc!$G$3:$G$22&gt;A727)*(Calc!$G$3:$G$22-A727)*Calc!$I$3:$I$22)</f>
        <v/>
      </c>
      <c r="O727">
        <f>SUMPRODUCT(Calc!$K$3:$K$22*(Calc!$G$3:$G$22&gt;B727)*(Calc!$G$3:$G$22-B727)*Calc!$I$3:$I$22)</f>
        <v/>
      </c>
      <c r="P727">
        <f>I727-G727^2/k_n</f>
        <v/>
      </c>
      <c r="Q727">
        <f>J727-H727^2/k_n</f>
        <v/>
      </c>
      <c r="R727">
        <f>K727-G727*H727/k_n</f>
        <v/>
      </c>
      <c r="S727">
        <f>L727-LTP3!$D$3*G727/k_n</f>
        <v/>
      </c>
      <c r="T727">
        <f>M727-LTP3!$D$3*H727/k_n</f>
        <v/>
      </c>
      <c r="U727">
        <f>N727-G727*LTP3!$D$4/k_n</f>
        <v/>
      </c>
      <c r="V727">
        <f>O727-H727*LTP3!$D$4/k_n</f>
        <v/>
      </c>
      <c r="W727">
        <f>((LTP3!$D$5)*((P727)*(Q727)-(R727)*(R727))-(S727)*((S727)*(Q727)-(R727)*(T727))+(T727)*((S727)*(R727)-(P727)*(T727)))</f>
        <v/>
      </c>
      <c r="X727">
        <f>IF(ABS(W727)&gt;1E-12,((LTP3!$D$6)*((P727)*(Q727)-(R727)*(R727))-(S727)*((U727)*(Q727)-(R727)*(V727))+(T727)*((U727)*(R727)-(P727)*(V727)))/W727,0)</f>
        <v/>
      </c>
      <c r="Y727">
        <f>IF(ABS(W727)&gt;1E-12,((LTP3!$D$5)*((U727)*(Q727)-(R727)*(V727))-(LTP3!$D$6)*((S727)*(Q727)-(R727)*(T727))+(T727)*((S727)*(V727)-(U727)*(T727)))/W727,0)</f>
        <v/>
      </c>
      <c r="Z727">
        <f>IF(ABS(W727)&gt;1E-12,((LTP3!$D$5)*((P727)*(V727)-(U727)*(R727))-(S727)*((S727)*(V727)-(U727)*(T727))+(LTP3!$D$6)*((S727)*(R727)-(P727)*(T727)))/W727,0)</f>
        <v/>
      </c>
      <c r="AA727">
        <f>LTP3!$D$7-X727*LTP3!$D$6-Y727*U727-Z727*V727</f>
        <v/>
      </c>
      <c r="AB727">
        <f>IF(AND(F727,ABS(W727)&gt;1E-12,Y727&gt;0,Z727&gt;0),AA727,1E+300)</f>
        <v/>
      </c>
    </row>
    <row r="728">
      <c r="A728">
        <f>$B$3+$B$5*11</f>
        <v/>
      </c>
      <c r="B728">
        <f>$B$3+$B$5*45</f>
        <v/>
      </c>
      <c r="C728">
        <f>SUMPRODUCT(Calc!$K$3:$K$22*(Calc!$G$3:$G$22&lt;=A728))</f>
        <v/>
      </c>
      <c r="D728">
        <f>SUMPRODUCT(Calc!$K$3:$K$22*(Calc!$G$3:$G$22&gt;A728)*(Calc!$G$3:$G$22&lt;B728))</f>
        <v/>
      </c>
      <c r="E728">
        <f>SUMPRODUCT(Calc!$K$3:$K$22*(Calc!$G$3:$G$22&gt;=B728))</f>
        <v/>
      </c>
      <c r="F728">
        <f>AND(k_n&gt;=5,B728&gt;A728+1E-9,C728&gt;=2,D728&gt;=1,E728&gt;=2)</f>
        <v/>
      </c>
      <c r="G728">
        <f>SUMPRODUCT(Calc!$K$3:$K$22*(Calc!$G$3:$G$22&gt;A728)*(Calc!$G$3:$G$22-A728))</f>
        <v/>
      </c>
      <c r="H728">
        <f>SUMPRODUCT(Calc!$K$3:$K$22*(Calc!$G$3:$G$22&gt;B728)*(Calc!$G$3:$G$22-B728))</f>
        <v/>
      </c>
      <c r="I728">
        <f>SUMPRODUCT(Calc!$K$3:$K$22*(Calc!$G$3:$G$22&gt;A728)*(Calc!$G$3:$G$22-A728)^2)</f>
        <v/>
      </c>
      <c r="J728">
        <f>SUMPRODUCT(Calc!$K$3:$K$22*(Calc!$G$3:$G$22&gt;B728)*(Calc!$G$3:$G$22-B728)^2)</f>
        <v/>
      </c>
      <c r="K728">
        <f>SUMPRODUCT(Calc!$K$3:$K$22*(Calc!$G$3:$G$22&gt;A728)*(Calc!$G$3:$G$22-A728)*(Calc!$G$3:$G$22&gt;B728)*(Calc!$G$3:$G$22-B728))</f>
        <v/>
      </c>
      <c r="L728">
        <f>SUMPRODUCT(Calc!$K$3:$K$22*(Calc!$G$3:$G$22&gt;A728)*(Calc!$G$3:$G$22-A728)*Calc!$G$3:$G$22)</f>
        <v/>
      </c>
      <c r="M728">
        <f>SUMPRODUCT(Calc!$K$3:$K$22*(Calc!$G$3:$G$22&gt;B728)*(Calc!$G$3:$G$22-B728)*Calc!$G$3:$G$22)</f>
        <v/>
      </c>
      <c r="N728">
        <f>SUMPRODUCT(Calc!$K$3:$K$22*(Calc!$G$3:$G$22&gt;A728)*(Calc!$G$3:$G$22-A728)*Calc!$I$3:$I$22)</f>
        <v/>
      </c>
      <c r="O728">
        <f>SUMPRODUCT(Calc!$K$3:$K$22*(Calc!$G$3:$G$22&gt;B728)*(Calc!$G$3:$G$22-B728)*Calc!$I$3:$I$22)</f>
        <v/>
      </c>
      <c r="P728">
        <f>I728-G728^2/k_n</f>
        <v/>
      </c>
      <c r="Q728">
        <f>J728-H728^2/k_n</f>
        <v/>
      </c>
      <c r="R728">
        <f>K728-G728*H728/k_n</f>
        <v/>
      </c>
      <c r="S728">
        <f>L728-LTP3!$D$3*G728/k_n</f>
        <v/>
      </c>
      <c r="T728">
        <f>M728-LTP3!$D$3*H728/k_n</f>
        <v/>
      </c>
      <c r="U728">
        <f>N728-G728*LTP3!$D$4/k_n</f>
        <v/>
      </c>
      <c r="V728">
        <f>O728-H728*LTP3!$D$4/k_n</f>
        <v/>
      </c>
      <c r="W728">
        <f>((LTP3!$D$5)*((P728)*(Q728)-(R728)*(R728))-(S728)*((S728)*(Q728)-(R728)*(T728))+(T728)*((S728)*(R728)-(P728)*(T728)))</f>
        <v/>
      </c>
      <c r="X728">
        <f>IF(ABS(W728)&gt;1E-12,((LTP3!$D$6)*((P728)*(Q728)-(R728)*(R728))-(S728)*((U728)*(Q728)-(R728)*(V728))+(T728)*((U728)*(R728)-(P728)*(V728)))/W728,0)</f>
        <v/>
      </c>
      <c r="Y728">
        <f>IF(ABS(W728)&gt;1E-12,((LTP3!$D$5)*((U728)*(Q728)-(R728)*(V728))-(LTP3!$D$6)*((S728)*(Q728)-(R728)*(T728))+(T728)*((S728)*(V728)-(U728)*(T728)))/W728,0)</f>
        <v/>
      </c>
      <c r="Z728">
        <f>IF(ABS(W728)&gt;1E-12,((LTP3!$D$5)*((P728)*(V728)-(U728)*(R728))-(S728)*((S728)*(V728)-(U728)*(T728))+(LTP3!$D$6)*((S728)*(R728)-(P728)*(T728)))/W728,0)</f>
        <v/>
      </c>
      <c r="AA728">
        <f>LTP3!$D$7-X728*LTP3!$D$6-Y728*U728-Z728*V728</f>
        <v/>
      </c>
      <c r="AB728">
        <f>IF(AND(F728,ABS(W728)&gt;1E-12,Y728&gt;0,Z728&gt;0),AA728,1E+300)</f>
        <v/>
      </c>
    </row>
    <row r="729">
      <c r="A729">
        <f>$B$3+$B$5*11</f>
        <v/>
      </c>
      <c r="B729">
        <f>$B$3+$B$5*46</f>
        <v/>
      </c>
      <c r="C729">
        <f>SUMPRODUCT(Calc!$K$3:$K$22*(Calc!$G$3:$G$22&lt;=A729))</f>
        <v/>
      </c>
      <c r="D729">
        <f>SUMPRODUCT(Calc!$K$3:$K$22*(Calc!$G$3:$G$22&gt;A729)*(Calc!$G$3:$G$22&lt;B729))</f>
        <v/>
      </c>
      <c r="E729">
        <f>SUMPRODUCT(Calc!$K$3:$K$22*(Calc!$G$3:$G$22&gt;=B729))</f>
        <v/>
      </c>
      <c r="F729">
        <f>AND(k_n&gt;=5,B729&gt;A729+1E-9,C729&gt;=2,D729&gt;=1,E729&gt;=2)</f>
        <v/>
      </c>
      <c r="G729">
        <f>SUMPRODUCT(Calc!$K$3:$K$22*(Calc!$G$3:$G$22&gt;A729)*(Calc!$G$3:$G$22-A729))</f>
        <v/>
      </c>
      <c r="H729">
        <f>SUMPRODUCT(Calc!$K$3:$K$22*(Calc!$G$3:$G$22&gt;B729)*(Calc!$G$3:$G$22-B729))</f>
        <v/>
      </c>
      <c r="I729">
        <f>SUMPRODUCT(Calc!$K$3:$K$22*(Calc!$G$3:$G$22&gt;A729)*(Calc!$G$3:$G$22-A729)^2)</f>
        <v/>
      </c>
      <c r="J729">
        <f>SUMPRODUCT(Calc!$K$3:$K$22*(Calc!$G$3:$G$22&gt;B729)*(Calc!$G$3:$G$22-B729)^2)</f>
        <v/>
      </c>
      <c r="K729">
        <f>SUMPRODUCT(Calc!$K$3:$K$22*(Calc!$G$3:$G$22&gt;A729)*(Calc!$G$3:$G$22-A729)*(Calc!$G$3:$G$22&gt;B729)*(Calc!$G$3:$G$22-B729))</f>
        <v/>
      </c>
      <c r="L729">
        <f>SUMPRODUCT(Calc!$K$3:$K$22*(Calc!$G$3:$G$22&gt;A729)*(Calc!$G$3:$G$22-A729)*Calc!$G$3:$G$22)</f>
        <v/>
      </c>
      <c r="M729">
        <f>SUMPRODUCT(Calc!$K$3:$K$22*(Calc!$G$3:$G$22&gt;B729)*(Calc!$G$3:$G$22-B729)*Calc!$G$3:$G$22)</f>
        <v/>
      </c>
      <c r="N729">
        <f>SUMPRODUCT(Calc!$K$3:$K$22*(Calc!$G$3:$G$22&gt;A729)*(Calc!$G$3:$G$22-A729)*Calc!$I$3:$I$22)</f>
        <v/>
      </c>
      <c r="O729">
        <f>SUMPRODUCT(Calc!$K$3:$K$22*(Calc!$G$3:$G$22&gt;B729)*(Calc!$G$3:$G$22-B729)*Calc!$I$3:$I$22)</f>
        <v/>
      </c>
      <c r="P729">
        <f>I729-G729^2/k_n</f>
        <v/>
      </c>
      <c r="Q729">
        <f>J729-H729^2/k_n</f>
        <v/>
      </c>
      <c r="R729">
        <f>K729-G729*H729/k_n</f>
        <v/>
      </c>
      <c r="S729">
        <f>L729-LTP3!$D$3*G729/k_n</f>
        <v/>
      </c>
      <c r="T729">
        <f>M729-LTP3!$D$3*H729/k_n</f>
        <v/>
      </c>
      <c r="U729">
        <f>N729-G729*LTP3!$D$4/k_n</f>
        <v/>
      </c>
      <c r="V729">
        <f>O729-H729*LTP3!$D$4/k_n</f>
        <v/>
      </c>
      <c r="W729">
        <f>((LTP3!$D$5)*((P729)*(Q729)-(R729)*(R729))-(S729)*((S729)*(Q729)-(R729)*(T729))+(T729)*((S729)*(R729)-(P729)*(T729)))</f>
        <v/>
      </c>
      <c r="X729">
        <f>IF(ABS(W729)&gt;1E-12,((LTP3!$D$6)*((P729)*(Q729)-(R729)*(R729))-(S729)*((U729)*(Q729)-(R729)*(V729))+(T729)*((U729)*(R729)-(P729)*(V729)))/W729,0)</f>
        <v/>
      </c>
      <c r="Y729">
        <f>IF(ABS(W729)&gt;1E-12,((LTP3!$D$5)*((U729)*(Q729)-(R729)*(V729))-(LTP3!$D$6)*((S729)*(Q729)-(R729)*(T729))+(T729)*((S729)*(V729)-(U729)*(T729)))/W729,0)</f>
        <v/>
      </c>
      <c r="Z729">
        <f>IF(ABS(W729)&gt;1E-12,((LTP3!$D$5)*((P729)*(V729)-(U729)*(R729))-(S729)*((S729)*(V729)-(U729)*(T729))+(LTP3!$D$6)*((S729)*(R729)-(P729)*(T729)))/W729,0)</f>
        <v/>
      </c>
      <c r="AA729">
        <f>LTP3!$D$7-X729*LTP3!$D$6-Y729*U729-Z729*V729</f>
        <v/>
      </c>
      <c r="AB729">
        <f>IF(AND(F729,ABS(W729)&gt;1E-12,Y729&gt;0,Z729&gt;0),AA729,1E+300)</f>
        <v/>
      </c>
    </row>
    <row r="730">
      <c r="A730">
        <f>$B$3+$B$5*11</f>
        <v/>
      </c>
      <c r="B730">
        <f>$B$3+$B$5*47</f>
        <v/>
      </c>
      <c r="C730">
        <f>SUMPRODUCT(Calc!$K$3:$K$22*(Calc!$G$3:$G$22&lt;=A730))</f>
        <v/>
      </c>
      <c r="D730">
        <f>SUMPRODUCT(Calc!$K$3:$K$22*(Calc!$G$3:$G$22&gt;A730)*(Calc!$G$3:$G$22&lt;B730))</f>
        <v/>
      </c>
      <c r="E730">
        <f>SUMPRODUCT(Calc!$K$3:$K$22*(Calc!$G$3:$G$22&gt;=B730))</f>
        <v/>
      </c>
      <c r="F730">
        <f>AND(k_n&gt;=5,B730&gt;A730+1E-9,C730&gt;=2,D730&gt;=1,E730&gt;=2)</f>
        <v/>
      </c>
      <c r="G730">
        <f>SUMPRODUCT(Calc!$K$3:$K$22*(Calc!$G$3:$G$22&gt;A730)*(Calc!$G$3:$G$22-A730))</f>
        <v/>
      </c>
      <c r="H730">
        <f>SUMPRODUCT(Calc!$K$3:$K$22*(Calc!$G$3:$G$22&gt;B730)*(Calc!$G$3:$G$22-B730))</f>
        <v/>
      </c>
      <c r="I730">
        <f>SUMPRODUCT(Calc!$K$3:$K$22*(Calc!$G$3:$G$22&gt;A730)*(Calc!$G$3:$G$22-A730)^2)</f>
        <v/>
      </c>
      <c r="J730">
        <f>SUMPRODUCT(Calc!$K$3:$K$22*(Calc!$G$3:$G$22&gt;B730)*(Calc!$G$3:$G$22-B730)^2)</f>
        <v/>
      </c>
      <c r="K730">
        <f>SUMPRODUCT(Calc!$K$3:$K$22*(Calc!$G$3:$G$22&gt;A730)*(Calc!$G$3:$G$22-A730)*(Calc!$G$3:$G$22&gt;B730)*(Calc!$G$3:$G$22-B730))</f>
        <v/>
      </c>
      <c r="L730">
        <f>SUMPRODUCT(Calc!$K$3:$K$22*(Calc!$G$3:$G$22&gt;A730)*(Calc!$G$3:$G$22-A730)*Calc!$G$3:$G$22)</f>
        <v/>
      </c>
      <c r="M730">
        <f>SUMPRODUCT(Calc!$K$3:$K$22*(Calc!$G$3:$G$22&gt;B730)*(Calc!$G$3:$G$22-B730)*Calc!$G$3:$G$22)</f>
        <v/>
      </c>
      <c r="N730">
        <f>SUMPRODUCT(Calc!$K$3:$K$22*(Calc!$G$3:$G$22&gt;A730)*(Calc!$G$3:$G$22-A730)*Calc!$I$3:$I$22)</f>
        <v/>
      </c>
      <c r="O730">
        <f>SUMPRODUCT(Calc!$K$3:$K$22*(Calc!$G$3:$G$22&gt;B730)*(Calc!$G$3:$G$22-B730)*Calc!$I$3:$I$22)</f>
        <v/>
      </c>
      <c r="P730">
        <f>I730-G730^2/k_n</f>
        <v/>
      </c>
      <c r="Q730">
        <f>J730-H730^2/k_n</f>
        <v/>
      </c>
      <c r="R730">
        <f>K730-G730*H730/k_n</f>
        <v/>
      </c>
      <c r="S730">
        <f>L730-LTP3!$D$3*G730/k_n</f>
        <v/>
      </c>
      <c r="T730">
        <f>M730-LTP3!$D$3*H730/k_n</f>
        <v/>
      </c>
      <c r="U730">
        <f>N730-G730*LTP3!$D$4/k_n</f>
        <v/>
      </c>
      <c r="V730">
        <f>O730-H730*LTP3!$D$4/k_n</f>
        <v/>
      </c>
      <c r="W730">
        <f>((LTP3!$D$5)*((P730)*(Q730)-(R730)*(R730))-(S730)*((S730)*(Q730)-(R730)*(T730))+(T730)*((S730)*(R730)-(P730)*(T730)))</f>
        <v/>
      </c>
      <c r="X730">
        <f>IF(ABS(W730)&gt;1E-12,((LTP3!$D$6)*((P730)*(Q730)-(R730)*(R730))-(S730)*((U730)*(Q730)-(R730)*(V730))+(T730)*((U730)*(R730)-(P730)*(V730)))/W730,0)</f>
        <v/>
      </c>
      <c r="Y730">
        <f>IF(ABS(W730)&gt;1E-12,((LTP3!$D$5)*((U730)*(Q730)-(R730)*(V730))-(LTP3!$D$6)*((S730)*(Q730)-(R730)*(T730))+(T730)*((S730)*(V730)-(U730)*(T730)))/W730,0)</f>
        <v/>
      </c>
      <c r="Z730">
        <f>IF(ABS(W730)&gt;1E-12,((LTP3!$D$5)*((P730)*(V730)-(U730)*(R730))-(S730)*((S730)*(V730)-(U730)*(T730))+(LTP3!$D$6)*((S730)*(R730)-(P730)*(T730)))/W730,0)</f>
        <v/>
      </c>
      <c r="AA730">
        <f>LTP3!$D$7-X730*LTP3!$D$6-Y730*U730-Z730*V730</f>
        <v/>
      </c>
      <c r="AB730">
        <f>IF(AND(F730,ABS(W730)&gt;1E-12,Y730&gt;0,Z730&gt;0),AA730,1E+300)</f>
        <v/>
      </c>
    </row>
    <row r="731">
      <c r="A731">
        <f>$B$3+$B$5*11</f>
        <v/>
      </c>
      <c r="B731">
        <f>$B$3+$B$5*48</f>
        <v/>
      </c>
      <c r="C731">
        <f>SUMPRODUCT(Calc!$K$3:$K$22*(Calc!$G$3:$G$22&lt;=A731))</f>
        <v/>
      </c>
      <c r="D731">
        <f>SUMPRODUCT(Calc!$K$3:$K$22*(Calc!$G$3:$G$22&gt;A731)*(Calc!$G$3:$G$22&lt;B731))</f>
        <v/>
      </c>
      <c r="E731">
        <f>SUMPRODUCT(Calc!$K$3:$K$22*(Calc!$G$3:$G$22&gt;=B731))</f>
        <v/>
      </c>
      <c r="F731">
        <f>AND(k_n&gt;=5,B731&gt;A731+1E-9,C731&gt;=2,D731&gt;=1,E731&gt;=2)</f>
        <v/>
      </c>
      <c r="G731">
        <f>SUMPRODUCT(Calc!$K$3:$K$22*(Calc!$G$3:$G$22&gt;A731)*(Calc!$G$3:$G$22-A731))</f>
        <v/>
      </c>
      <c r="H731">
        <f>SUMPRODUCT(Calc!$K$3:$K$22*(Calc!$G$3:$G$22&gt;B731)*(Calc!$G$3:$G$22-B731))</f>
        <v/>
      </c>
      <c r="I731">
        <f>SUMPRODUCT(Calc!$K$3:$K$22*(Calc!$G$3:$G$22&gt;A731)*(Calc!$G$3:$G$22-A731)^2)</f>
        <v/>
      </c>
      <c r="J731">
        <f>SUMPRODUCT(Calc!$K$3:$K$22*(Calc!$G$3:$G$22&gt;B731)*(Calc!$G$3:$G$22-B731)^2)</f>
        <v/>
      </c>
      <c r="K731">
        <f>SUMPRODUCT(Calc!$K$3:$K$22*(Calc!$G$3:$G$22&gt;A731)*(Calc!$G$3:$G$22-A731)*(Calc!$G$3:$G$22&gt;B731)*(Calc!$G$3:$G$22-B731))</f>
        <v/>
      </c>
      <c r="L731">
        <f>SUMPRODUCT(Calc!$K$3:$K$22*(Calc!$G$3:$G$22&gt;A731)*(Calc!$G$3:$G$22-A731)*Calc!$G$3:$G$22)</f>
        <v/>
      </c>
      <c r="M731">
        <f>SUMPRODUCT(Calc!$K$3:$K$22*(Calc!$G$3:$G$22&gt;B731)*(Calc!$G$3:$G$22-B731)*Calc!$G$3:$G$22)</f>
        <v/>
      </c>
      <c r="N731">
        <f>SUMPRODUCT(Calc!$K$3:$K$22*(Calc!$G$3:$G$22&gt;A731)*(Calc!$G$3:$G$22-A731)*Calc!$I$3:$I$22)</f>
        <v/>
      </c>
      <c r="O731">
        <f>SUMPRODUCT(Calc!$K$3:$K$22*(Calc!$G$3:$G$22&gt;B731)*(Calc!$G$3:$G$22-B731)*Calc!$I$3:$I$22)</f>
        <v/>
      </c>
      <c r="P731">
        <f>I731-G731^2/k_n</f>
        <v/>
      </c>
      <c r="Q731">
        <f>J731-H731^2/k_n</f>
        <v/>
      </c>
      <c r="R731">
        <f>K731-G731*H731/k_n</f>
        <v/>
      </c>
      <c r="S731">
        <f>L731-LTP3!$D$3*G731/k_n</f>
        <v/>
      </c>
      <c r="T731">
        <f>M731-LTP3!$D$3*H731/k_n</f>
        <v/>
      </c>
      <c r="U731">
        <f>N731-G731*LTP3!$D$4/k_n</f>
        <v/>
      </c>
      <c r="V731">
        <f>O731-H731*LTP3!$D$4/k_n</f>
        <v/>
      </c>
      <c r="W731">
        <f>((LTP3!$D$5)*((P731)*(Q731)-(R731)*(R731))-(S731)*((S731)*(Q731)-(R731)*(T731))+(T731)*((S731)*(R731)-(P731)*(T731)))</f>
        <v/>
      </c>
      <c r="X731">
        <f>IF(ABS(W731)&gt;1E-12,((LTP3!$D$6)*((P731)*(Q731)-(R731)*(R731))-(S731)*((U731)*(Q731)-(R731)*(V731))+(T731)*((U731)*(R731)-(P731)*(V731)))/W731,0)</f>
        <v/>
      </c>
      <c r="Y731">
        <f>IF(ABS(W731)&gt;1E-12,((LTP3!$D$5)*((U731)*(Q731)-(R731)*(V731))-(LTP3!$D$6)*((S731)*(Q731)-(R731)*(T731))+(T731)*((S731)*(V731)-(U731)*(T731)))/W731,0)</f>
        <v/>
      </c>
      <c r="Z731">
        <f>IF(ABS(W731)&gt;1E-12,((LTP3!$D$5)*((P731)*(V731)-(U731)*(R731))-(S731)*((S731)*(V731)-(U731)*(T731))+(LTP3!$D$6)*((S731)*(R731)-(P731)*(T731)))/W731,0)</f>
        <v/>
      </c>
      <c r="AA731">
        <f>LTP3!$D$7-X731*LTP3!$D$6-Y731*U731-Z731*V731</f>
        <v/>
      </c>
      <c r="AB731">
        <f>IF(AND(F731,ABS(W731)&gt;1E-12,Y731&gt;0,Z731&gt;0),AA731,1E+300)</f>
        <v/>
      </c>
    </row>
    <row r="732">
      <c r="A732">
        <f>$B$3+$B$5*11</f>
        <v/>
      </c>
      <c r="B732">
        <f>$B$3+$B$5*49</f>
        <v/>
      </c>
      <c r="C732">
        <f>SUMPRODUCT(Calc!$K$3:$K$22*(Calc!$G$3:$G$22&lt;=A732))</f>
        <v/>
      </c>
      <c r="D732">
        <f>SUMPRODUCT(Calc!$K$3:$K$22*(Calc!$G$3:$G$22&gt;A732)*(Calc!$G$3:$G$22&lt;B732))</f>
        <v/>
      </c>
      <c r="E732">
        <f>SUMPRODUCT(Calc!$K$3:$K$22*(Calc!$G$3:$G$22&gt;=B732))</f>
        <v/>
      </c>
      <c r="F732">
        <f>AND(k_n&gt;=5,B732&gt;A732+1E-9,C732&gt;=2,D732&gt;=1,E732&gt;=2)</f>
        <v/>
      </c>
      <c r="G732">
        <f>SUMPRODUCT(Calc!$K$3:$K$22*(Calc!$G$3:$G$22&gt;A732)*(Calc!$G$3:$G$22-A732))</f>
        <v/>
      </c>
      <c r="H732">
        <f>SUMPRODUCT(Calc!$K$3:$K$22*(Calc!$G$3:$G$22&gt;B732)*(Calc!$G$3:$G$22-B732))</f>
        <v/>
      </c>
      <c r="I732">
        <f>SUMPRODUCT(Calc!$K$3:$K$22*(Calc!$G$3:$G$22&gt;A732)*(Calc!$G$3:$G$22-A732)^2)</f>
        <v/>
      </c>
      <c r="J732">
        <f>SUMPRODUCT(Calc!$K$3:$K$22*(Calc!$G$3:$G$22&gt;B732)*(Calc!$G$3:$G$22-B732)^2)</f>
        <v/>
      </c>
      <c r="K732">
        <f>SUMPRODUCT(Calc!$K$3:$K$22*(Calc!$G$3:$G$22&gt;A732)*(Calc!$G$3:$G$22-A732)*(Calc!$G$3:$G$22&gt;B732)*(Calc!$G$3:$G$22-B732))</f>
        <v/>
      </c>
      <c r="L732">
        <f>SUMPRODUCT(Calc!$K$3:$K$22*(Calc!$G$3:$G$22&gt;A732)*(Calc!$G$3:$G$22-A732)*Calc!$G$3:$G$22)</f>
        <v/>
      </c>
      <c r="M732">
        <f>SUMPRODUCT(Calc!$K$3:$K$22*(Calc!$G$3:$G$22&gt;B732)*(Calc!$G$3:$G$22-B732)*Calc!$G$3:$G$22)</f>
        <v/>
      </c>
      <c r="N732">
        <f>SUMPRODUCT(Calc!$K$3:$K$22*(Calc!$G$3:$G$22&gt;A732)*(Calc!$G$3:$G$22-A732)*Calc!$I$3:$I$22)</f>
        <v/>
      </c>
      <c r="O732">
        <f>SUMPRODUCT(Calc!$K$3:$K$22*(Calc!$G$3:$G$22&gt;B732)*(Calc!$G$3:$G$22-B732)*Calc!$I$3:$I$22)</f>
        <v/>
      </c>
      <c r="P732">
        <f>I732-G732^2/k_n</f>
        <v/>
      </c>
      <c r="Q732">
        <f>J732-H732^2/k_n</f>
        <v/>
      </c>
      <c r="R732">
        <f>K732-G732*H732/k_n</f>
        <v/>
      </c>
      <c r="S732">
        <f>L732-LTP3!$D$3*G732/k_n</f>
        <v/>
      </c>
      <c r="T732">
        <f>M732-LTP3!$D$3*H732/k_n</f>
        <v/>
      </c>
      <c r="U732">
        <f>N732-G732*LTP3!$D$4/k_n</f>
        <v/>
      </c>
      <c r="V732">
        <f>O732-H732*LTP3!$D$4/k_n</f>
        <v/>
      </c>
      <c r="W732">
        <f>((LTP3!$D$5)*((P732)*(Q732)-(R732)*(R732))-(S732)*((S732)*(Q732)-(R732)*(T732))+(T732)*((S732)*(R732)-(P732)*(T732)))</f>
        <v/>
      </c>
      <c r="X732">
        <f>IF(ABS(W732)&gt;1E-12,((LTP3!$D$6)*((P732)*(Q732)-(R732)*(R732))-(S732)*((U732)*(Q732)-(R732)*(V732))+(T732)*((U732)*(R732)-(P732)*(V732)))/W732,0)</f>
        <v/>
      </c>
      <c r="Y732">
        <f>IF(ABS(W732)&gt;1E-12,((LTP3!$D$5)*((U732)*(Q732)-(R732)*(V732))-(LTP3!$D$6)*((S732)*(Q732)-(R732)*(T732))+(T732)*((S732)*(V732)-(U732)*(T732)))/W732,0)</f>
        <v/>
      </c>
      <c r="Z732">
        <f>IF(ABS(W732)&gt;1E-12,((LTP3!$D$5)*((P732)*(V732)-(U732)*(R732))-(S732)*((S732)*(V732)-(U732)*(T732))+(LTP3!$D$6)*((S732)*(R732)-(P732)*(T732)))/W732,0)</f>
        <v/>
      </c>
      <c r="AA732">
        <f>LTP3!$D$7-X732*LTP3!$D$6-Y732*U732-Z732*V732</f>
        <v/>
      </c>
      <c r="AB732">
        <f>IF(AND(F732,ABS(W732)&gt;1E-12,Y732&gt;0,Z732&gt;0),AA732,1E+300)</f>
        <v/>
      </c>
    </row>
    <row r="733">
      <c r="A733">
        <f>$B$3+$B$5*11</f>
        <v/>
      </c>
      <c r="B733">
        <f>$B$3+$B$5*50</f>
        <v/>
      </c>
      <c r="C733">
        <f>SUMPRODUCT(Calc!$K$3:$K$22*(Calc!$G$3:$G$22&lt;=A733))</f>
        <v/>
      </c>
      <c r="D733">
        <f>SUMPRODUCT(Calc!$K$3:$K$22*(Calc!$G$3:$G$22&gt;A733)*(Calc!$G$3:$G$22&lt;B733))</f>
        <v/>
      </c>
      <c r="E733">
        <f>SUMPRODUCT(Calc!$K$3:$K$22*(Calc!$G$3:$G$22&gt;=B733))</f>
        <v/>
      </c>
      <c r="F733">
        <f>AND(k_n&gt;=5,B733&gt;A733+1E-9,C733&gt;=2,D733&gt;=1,E733&gt;=2)</f>
        <v/>
      </c>
      <c r="G733">
        <f>SUMPRODUCT(Calc!$K$3:$K$22*(Calc!$G$3:$G$22&gt;A733)*(Calc!$G$3:$G$22-A733))</f>
        <v/>
      </c>
      <c r="H733">
        <f>SUMPRODUCT(Calc!$K$3:$K$22*(Calc!$G$3:$G$22&gt;B733)*(Calc!$G$3:$G$22-B733))</f>
        <v/>
      </c>
      <c r="I733">
        <f>SUMPRODUCT(Calc!$K$3:$K$22*(Calc!$G$3:$G$22&gt;A733)*(Calc!$G$3:$G$22-A733)^2)</f>
        <v/>
      </c>
      <c r="J733">
        <f>SUMPRODUCT(Calc!$K$3:$K$22*(Calc!$G$3:$G$22&gt;B733)*(Calc!$G$3:$G$22-B733)^2)</f>
        <v/>
      </c>
      <c r="K733">
        <f>SUMPRODUCT(Calc!$K$3:$K$22*(Calc!$G$3:$G$22&gt;A733)*(Calc!$G$3:$G$22-A733)*(Calc!$G$3:$G$22&gt;B733)*(Calc!$G$3:$G$22-B733))</f>
        <v/>
      </c>
      <c r="L733">
        <f>SUMPRODUCT(Calc!$K$3:$K$22*(Calc!$G$3:$G$22&gt;A733)*(Calc!$G$3:$G$22-A733)*Calc!$G$3:$G$22)</f>
        <v/>
      </c>
      <c r="M733">
        <f>SUMPRODUCT(Calc!$K$3:$K$22*(Calc!$G$3:$G$22&gt;B733)*(Calc!$G$3:$G$22-B733)*Calc!$G$3:$G$22)</f>
        <v/>
      </c>
      <c r="N733">
        <f>SUMPRODUCT(Calc!$K$3:$K$22*(Calc!$G$3:$G$22&gt;A733)*(Calc!$G$3:$G$22-A733)*Calc!$I$3:$I$22)</f>
        <v/>
      </c>
      <c r="O733">
        <f>SUMPRODUCT(Calc!$K$3:$K$22*(Calc!$G$3:$G$22&gt;B733)*(Calc!$G$3:$G$22-B733)*Calc!$I$3:$I$22)</f>
        <v/>
      </c>
      <c r="P733">
        <f>I733-G733^2/k_n</f>
        <v/>
      </c>
      <c r="Q733">
        <f>J733-H733^2/k_n</f>
        <v/>
      </c>
      <c r="R733">
        <f>K733-G733*H733/k_n</f>
        <v/>
      </c>
      <c r="S733">
        <f>L733-LTP3!$D$3*G733/k_n</f>
        <v/>
      </c>
      <c r="T733">
        <f>M733-LTP3!$D$3*H733/k_n</f>
        <v/>
      </c>
      <c r="U733">
        <f>N733-G733*LTP3!$D$4/k_n</f>
        <v/>
      </c>
      <c r="V733">
        <f>O733-H733*LTP3!$D$4/k_n</f>
        <v/>
      </c>
      <c r="W733">
        <f>((LTP3!$D$5)*((P733)*(Q733)-(R733)*(R733))-(S733)*((S733)*(Q733)-(R733)*(T733))+(T733)*((S733)*(R733)-(P733)*(T733)))</f>
        <v/>
      </c>
      <c r="X733">
        <f>IF(ABS(W733)&gt;1E-12,((LTP3!$D$6)*((P733)*(Q733)-(R733)*(R733))-(S733)*((U733)*(Q733)-(R733)*(V733))+(T733)*((U733)*(R733)-(P733)*(V733)))/W733,0)</f>
        <v/>
      </c>
      <c r="Y733">
        <f>IF(ABS(W733)&gt;1E-12,((LTP3!$D$5)*((U733)*(Q733)-(R733)*(V733))-(LTP3!$D$6)*((S733)*(Q733)-(R733)*(T733))+(T733)*((S733)*(V733)-(U733)*(T733)))/W733,0)</f>
        <v/>
      </c>
      <c r="Z733">
        <f>IF(ABS(W733)&gt;1E-12,((LTP3!$D$5)*((P733)*(V733)-(U733)*(R733))-(S733)*((S733)*(V733)-(U733)*(T733))+(LTP3!$D$6)*((S733)*(R733)-(P733)*(T733)))/W733,0)</f>
        <v/>
      </c>
      <c r="AA733">
        <f>LTP3!$D$7-X733*LTP3!$D$6-Y733*U733-Z733*V733</f>
        <v/>
      </c>
      <c r="AB733">
        <f>IF(AND(F733,ABS(W733)&gt;1E-12,Y733&gt;0,Z733&gt;0),AA733,1E+300)</f>
        <v/>
      </c>
    </row>
    <row r="734">
      <c r="A734">
        <f>$B$3+$B$5*11</f>
        <v/>
      </c>
      <c r="B734">
        <f>$B$3+$B$5*51</f>
        <v/>
      </c>
      <c r="C734">
        <f>SUMPRODUCT(Calc!$K$3:$K$22*(Calc!$G$3:$G$22&lt;=A734))</f>
        <v/>
      </c>
      <c r="D734">
        <f>SUMPRODUCT(Calc!$K$3:$K$22*(Calc!$G$3:$G$22&gt;A734)*(Calc!$G$3:$G$22&lt;B734))</f>
        <v/>
      </c>
      <c r="E734">
        <f>SUMPRODUCT(Calc!$K$3:$K$22*(Calc!$G$3:$G$22&gt;=B734))</f>
        <v/>
      </c>
      <c r="F734">
        <f>AND(k_n&gt;=5,B734&gt;A734+1E-9,C734&gt;=2,D734&gt;=1,E734&gt;=2)</f>
        <v/>
      </c>
      <c r="G734">
        <f>SUMPRODUCT(Calc!$K$3:$K$22*(Calc!$G$3:$G$22&gt;A734)*(Calc!$G$3:$G$22-A734))</f>
        <v/>
      </c>
      <c r="H734">
        <f>SUMPRODUCT(Calc!$K$3:$K$22*(Calc!$G$3:$G$22&gt;B734)*(Calc!$G$3:$G$22-B734))</f>
        <v/>
      </c>
      <c r="I734">
        <f>SUMPRODUCT(Calc!$K$3:$K$22*(Calc!$G$3:$G$22&gt;A734)*(Calc!$G$3:$G$22-A734)^2)</f>
        <v/>
      </c>
      <c r="J734">
        <f>SUMPRODUCT(Calc!$K$3:$K$22*(Calc!$G$3:$G$22&gt;B734)*(Calc!$G$3:$G$22-B734)^2)</f>
        <v/>
      </c>
      <c r="K734">
        <f>SUMPRODUCT(Calc!$K$3:$K$22*(Calc!$G$3:$G$22&gt;A734)*(Calc!$G$3:$G$22-A734)*(Calc!$G$3:$G$22&gt;B734)*(Calc!$G$3:$G$22-B734))</f>
        <v/>
      </c>
      <c r="L734">
        <f>SUMPRODUCT(Calc!$K$3:$K$22*(Calc!$G$3:$G$22&gt;A734)*(Calc!$G$3:$G$22-A734)*Calc!$G$3:$G$22)</f>
        <v/>
      </c>
      <c r="M734">
        <f>SUMPRODUCT(Calc!$K$3:$K$22*(Calc!$G$3:$G$22&gt;B734)*(Calc!$G$3:$G$22-B734)*Calc!$G$3:$G$22)</f>
        <v/>
      </c>
      <c r="N734">
        <f>SUMPRODUCT(Calc!$K$3:$K$22*(Calc!$G$3:$G$22&gt;A734)*(Calc!$G$3:$G$22-A734)*Calc!$I$3:$I$22)</f>
        <v/>
      </c>
      <c r="O734">
        <f>SUMPRODUCT(Calc!$K$3:$K$22*(Calc!$G$3:$G$22&gt;B734)*(Calc!$G$3:$G$22-B734)*Calc!$I$3:$I$22)</f>
        <v/>
      </c>
      <c r="P734">
        <f>I734-G734^2/k_n</f>
        <v/>
      </c>
      <c r="Q734">
        <f>J734-H734^2/k_n</f>
        <v/>
      </c>
      <c r="R734">
        <f>K734-G734*H734/k_n</f>
        <v/>
      </c>
      <c r="S734">
        <f>L734-LTP3!$D$3*G734/k_n</f>
        <v/>
      </c>
      <c r="T734">
        <f>M734-LTP3!$D$3*H734/k_n</f>
        <v/>
      </c>
      <c r="U734">
        <f>N734-G734*LTP3!$D$4/k_n</f>
        <v/>
      </c>
      <c r="V734">
        <f>O734-H734*LTP3!$D$4/k_n</f>
        <v/>
      </c>
      <c r="W734">
        <f>((LTP3!$D$5)*((P734)*(Q734)-(R734)*(R734))-(S734)*((S734)*(Q734)-(R734)*(T734))+(T734)*((S734)*(R734)-(P734)*(T734)))</f>
        <v/>
      </c>
      <c r="X734">
        <f>IF(ABS(W734)&gt;1E-12,((LTP3!$D$6)*((P734)*(Q734)-(R734)*(R734))-(S734)*((U734)*(Q734)-(R734)*(V734))+(T734)*((U734)*(R734)-(P734)*(V734)))/W734,0)</f>
        <v/>
      </c>
      <c r="Y734">
        <f>IF(ABS(W734)&gt;1E-12,((LTP3!$D$5)*((U734)*(Q734)-(R734)*(V734))-(LTP3!$D$6)*((S734)*(Q734)-(R734)*(T734))+(T734)*((S734)*(V734)-(U734)*(T734)))/W734,0)</f>
        <v/>
      </c>
      <c r="Z734">
        <f>IF(ABS(W734)&gt;1E-12,((LTP3!$D$5)*((P734)*(V734)-(U734)*(R734))-(S734)*((S734)*(V734)-(U734)*(T734))+(LTP3!$D$6)*((S734)*(R734)-(P734)*(T734)))/W734,0)</f>
        <v/>
      </c>
      <c r="AA734">
        <f>LTP3!$D$7-X734*LTP3!$D$6-Y734*U734-Z734*V734</f>
        <v/>
      </c>
      <c r="AB734">
        <f>IF(AND(F734,ABS(W734)&gt;1E-12,Y734&gt;0,Z734&gt;0),AA734,1E+300)</f>
        <v/>
      </c>
    </row>
    <row r="735">
      <c r="A735">
        <f>$B$3+$B$5*11</f>
        <v/>
      </c>
      <c r="B735">
        <f>$B$3+$B$5*52</f>
        <v/>
      </c>
      <c r="C735">
        <f>SUMPRODUCT(Calc!$K$3:$K$22*(Calc!$G$3:$G$22&lt;=A735))</f>
        <v/>
      </c>
      <c r="D735">
        <f>SUMPRODUCT(Calc!$K$3:$K$22*(Calc!$G$3:$G$22&gt;A735)*(Calc!$G$3:$G$22&lt;B735))</f>
        <v/>
      </c>
      <c r="E735">
        <f>SUMPRODUCT(Calc!$K$3:$K$22*(Calc!$G$3:$G$22&gt;=B735))</f>
        <v/>
      </c>
      <c r="F735">
        <f>AND(k_n&gt;=5,B735&gt;A735+1E-9,C735&gt;=2,D735&gt;=1,E735&gt;=2)</f>
        <v/>
      </c>
      <c r="G735">
        <f>SUMPRODUCT(Calc!$K$3:$K$22*(Calc!$G$3:$G$22&gt;A735)*(Calc!$G$3:$G$22-A735))</f>
        <v/>
      </c>
      <c r="H735">
        <f>SUMPRODUCT(Calc!$K$3:$K$22*(Calc!$G$3:$G$22&gt;B735)*(Calc!$G$3:$G$22-B735))</f>
        <v/>
      </c>
      <c r="I735">
        <f>SUMPRODUCT(Calc!$K$3:$K$22*(Calc!$G$3:$G$22&gt;A735)*(Calc!$G$3:$G$22-A735)^2)</f>
        <v/>
      </c>
      <c r="J735">
        <f>SUMPRODUCT(Calc!$K$3:$K$22*(Calc!$G$3:$G$22&gt;B735)*(Calc!$G$3:$G$22-B735)^2)</f>
        <v/>
      </c>
      <c r="K735">
        <f>SUMPRODUCT(Calc!$K$3:$K$22*(Calc!$G$3:$G$22&gt;A735)*(Calc!$G$3:$G$22-A735)*(Calc!$G$3:$G$22&gt;B735)*(Calc!$G$3:$G$22-B735))</f>
        <v/>
      </c>
      <c r="L735">
        <f>SUMPRODUCT(Calc!$K$3:$K$22*(Calc!$G$3:$G$22&gt;A735)*(Calc!$G$3:$G$22-A735)*Calc!$G$3:$G$22)</f>
        <v/>
      </c>
      <c r="M735">
        <f>SUMPRODUCT(Calc!$K$3:$K$22*(Calc!$G$3:$G$22&gt;B735)*(Calc!$G$3:$G$22-B735)*Calc!$G$3:$G$22)</f>
        <v/>
      </c>
      <c r="N735">
        <f>SUMPRODUCT(Calc!$K$3:$K$22*(Calc!$G$3:$G$22&gt;A735)*(Calc!$G$3:$G$22-A735)*Calc!$I$3:$I$22)</f>
        <v/>
      </c>
      <c r="O735">
        <f>SUMPRODUCT(Calc!$K$3:$K$22*(Calc!$G$3:$G$22&gt;B735)*(Calc!$G$3:$G$22-B735)*Calc!$I$3:$I$22)</f>
        <v/>
      </c>
      <c r="P735">
        <f>I735-G735^2/k_n</f>
        <v/>
      </c>
      <c r="Q735">
        <f>J735-H735^2/k_n</f>
        <v/>
      </c>
      <c r="R735">
        <f>K735-G735*H735/k_n</f>
        <v/>
      </c>
      <c r="S735">
        <f>L735-LTP3!$D$3*G735/k_n</f>
        <v/>
      </c>
      <c r="T735">
        <f>M735-LTP3!$D$3*H735/k_n</f>
        <v/>
      </c>
      <c r="U735">
        <f>N735-G735*LTP3!$D$4/k_n</f>
        <v/>
      </c>
      <c r="V735">
        <f>O735-H735*LTP3!$D$4/k_n</f>
        <v/>
      </c>
      <c r="W735">
        <f>((LTP3!$D$5)*((P735)*(Q735)-(R735)*(R735))-(S735)*((S735)*(Q735)-(R735)*(T735))+(T735)*((S735)*(R735)-(P735)*(T735)))</f>
        <v/>
      </c>
      <c r="X735">
        <f>IF(ABS(W735)&gt;1E-12,((LTP3!$D$6)*((P735)*(Q735)-(R735)*(R735))-(S735)*((U735)*(Q735)-(R735)*(V735))+(T735)*((U735)*(R735)-(P735)*(V735)))/W735,0)</f>
        <v/>
      </c>
      <c r="Y735">
        <f>IF(ABS(W735)&gt;1E-12,((LTP3!$D$5)*((U735)*(Q735)-(R735)*(V735))-(LTP3!$D$6)*((S735)*(Q735)-(R735)*(T735))+(T735)*((S735)*(V735)-(U735)*(T735)))/W735,0)</f>
        <v/>
      </c>
      <c r="Z735">
        <f>IF(ABS(W735)&gt;1E-12,((LTP3!$D$5)*((P735)*(V735)-(U735)*(R735))-(S735)*((S735)*(V735)-(U735)*(T735))+(LTP3!$D$6)*((S735)*(R735)-(P735)*(T735)))/W735,0)</f>
        <v/>
      </c>
      <c r="AA735">
        <f>LTP3!$D$7-X735*LTP3!$D$6-Y735*U735-Z735*V735</f>
        <v/>
      </c>
      <c r="AB735">
        <f>IF(AND(F735,ABS(W735)&gt;1E-12,Y735&gt;0,Z735&gt;0),AA735,1E+300)</f>
        <v/>
      </c>
    </row>
    <row r="736">
      <c r="A736">
        <f>$B$3+$B$5*11</f>
        <v/>
      </c>
      <c r="B736">
        <f>$B$3+$B$5*53</f>
        <v/>
      </c>
      <c r="C736">
        <f>SUMPRODUCT(Calc!$K$3:$K$22*(Calc!$G$3:$G$22&lt;=A736))</f>
        <v/>
      </c>
      <c r="D736">
        <f>SUMPRODUCT(Calc!$K$3:$K$22*(Calc!$G$3:$G$22&gt;A736)*(Calc!$G$3:$G$22&lt;B736))</f>
        <v/>
      </c>
      <c r="E736">
        <f>SUMPRODUCT(Calc!$K$3:$K$22*(Calc!$G$3:$G$22&gt;=B736))</f>
        <v/>
      </c>
      <c r="F736">
        <f>AND(k_n&gt;=5,B736&gt;A736+1E-9,C736&gt;=2,D736&gt;=1,E736&gt;=2)</f>
        <v/>
      </c>
      <c r="G736">
        <f>SUMPRODUCT(Calc!$K$3:$K$22*(Calc!$G$3:$G$22&gt;A736)*(Calc!$G$3:$G$22-A736))</f>
        <v/>
      </c>
      <c r="H736">
        <f>SUMPRODUCT(Calc!$K$3:$K$22*(Calc!$G$3:$G$22&gt;B736)*(Calc!$G$3:$G$22-B736))</f>
        <v/>
      </c>
      <c r="I736">
        <f>SUMPRODUCT(Calc!$K$3:$K$22*(Calc!$G$3:$G$22&gt;A736)*(Calc!$G$3:$G$22-A736)^2)</f>
        <v/>
      </c>
      <c r="J736">
        <f>SUMPRODUCT(Calc!$K$3:$K$22*(Calc!$G$3:$G$22&gt;B736)*(Calc!$G$3:$G$22-B736)^2)</f>
        <v/>
      </c>
      <c r="K736">
        <f>SUMPRODUCT(Calc!$K$3:$K$22*(Calc!$G$3:$G$22&gt;A736)*(Calc!$G$3:$G$22-A736)*(Calc!$G$3:$G$22&gt;B736)*(Calc!$G$3:$G$22-B736))</f>
        <v/>
      </c>
      <c r="L736">
        <f>SUMPRODUCT(Calc!$K$3:$K$22*(Calc!$G$3:$G$22&gt;A736)*(Calc!$G$3:$G$22-A736)*Calc!$G$3:$G$22)</f>
        <v/>
      </c>
      <c r="M736">
        <f>SUMPRODUCT(Calc!$K$3:$K$22*(Calc!$G$3:$G$22&gt;B736)*(Calc!$G$3:$G$22-B736)*Calc!$G$3:$G$22)</f>
        <v/>
      </c>
      <c r="N736">
        <f>SUMPRODUCT(Calc!$K$3:$K$22*(Calc!$G$3:$G$22&gt;A736)*(Calc!$G$3:$G$22-A736)*Calc!$I$3:$I$22)</f>
        <v/>
      </c>
      <c r="O736">
        <f>SUMPRODUCT(Calc!$K$3:$K$22*(Calc!$G$3:$G$22&gt;B736)*(Calc!$G$3:$G$22-B736)*Calc!$I$3:$I$22)</f>
        <v/>
      </c>
      <c r="P736">
        <f>I736-G736^2/k_n</f>
        <v/>
      </c>
      <c r="Q736">
        <f>J736-H736^2/k_n</f>
        <v/>
      </c>
      <c r="R736">
        <f>K736-G736*H736/k_n</f>
        <v/>
      </c>
      <c r="S736">
        <f>L736-LTP3!$D$3*G736/k_n</f>
        <v/>
      </c>
      <c r="T736">
        <f>M736-LTP3!$D$3*H736/k_n</f>
        <v/>
      </c>
      <c r="U736">
        <f>N736-G736*LTP3!$D$4/k_n</f>
        <v/>
      </c>
      <c r="V736">
        <f>O736-H736*LTP3!$D$4/k_n</f>
        <v/>
      </c>
      <c r="W736">
        <f>((LTP3!$D$5)*((P736)*(Q736)-(R736)*(R736))-(S736)*((S736)*(Q736)-(R736)*(T736))+(T736)*((S736)*(R736)-(P736)*(T736)))</f>
        <v/>
      </c>
      <c r="X736">
        <f>IF(ABS(W736)&gt;1E-12,((LTP3!$D$6)*((P736)*(Q736)-(R736)*(R736))-(S736)*((U736)*(Q736)-(R736)*(V736))+(T736)*((U736)*(R736)-(P736)*(V736)))/W736,0)</f>
        <v/>
      </c>
      <c r="Y736">
        <f>IF(ABS(W736)&gt;1E-12,((LTP3!$D$5)*((U736)*(Q736)-(R736)*(V736))-(LTP3!$D$6)*((S736)*(Q736)-(R736)*(T736))+(T736)*((S736)*(V736)-(U736)*(T736)))/W736,0)</f>
        <v/>
      </c>
      <c r="Z736">
        <f>IF(ABS(W736)&gt;1E-12,((LTP3!$D$5)*((P736)*(V736)-(U736)*(R736))-(S736)*((S736)*(V736)-(U736)*(T736))+(LTP3!$D$6)*((S736)*(R736)-(P736)*(T736)))/W736,0)</f>
        <v/>
      </c>
      <c r="AA736">
        <f>LTP3!$D$7-X736*LTP3!$D$6-Y736*U736-Z736*V736</f>
        <v/>
      </c>
      <c r="AB736">
        <f>IF(AND(F736,ABS(W736)&gt;1E-12,Y736&gt;0,Z736&gt;0),AA736,1E+300)</f>
        <v/>
      </c>
    </row>
    <row r="737">
      <c r="A737">
        <f>$B$3+$B$5*11</f>
        <v/>
      </c>
      <c r="B737">
        <f>$B$3+$B$5*54</f>
        <v/>
      </c>
      <c r="C737">
        <f>SUMPRODUCT(Calc!$K$3:$K$22*(Calc!$G$3:$G$22&lt;=A737))</f>
        <v/>
      </c>
      <c r="D737">
        <f>SUMPRODUCT(Calc!$K$3:$K$22*(Calc!$G$3:$G$22&gt;A737)*(Calc!$G$3:$G$22&lt;B737))</f>
        <v/>
      </c>
      <c r="E737">
        <f>SUMPRODUCT(Calc!$K$3:$K$22*(Calc!$G$3:$G$22&gt;=B737))</f>
        <v/>
      </c>
      <c r="F737">
        <f>AND(k_n&gt;=5,B737&gt;A737+1E-9,C737&gt;=2,D737&gt;=1,E737&gt;=2)</f>
        <v/>
      </c>
      <c r="G737">
        <f>SUMPRODUCT(Calc!$K$3:$K$22*(Calc!$G$3:$G$22&gt;A737)*(Calc!$G$3:$G$22-A737))</f>
        <v/>
      </c>
      <c r="H737">
        <f>SUMPRODUCT(Calc!$K$3:$K$22*(Calc!$G$3:$G$22&gt;B737)*(Calc!$G$3:$G$22-B737))</f>
        <v/>
      </c>
      <c r="I737">
        <f>SUMPRODUCT(Calc!$K$3:$K$22*(Calc!$G$3:$G$22&gt;A737)*(Calc!$G$3:$G$22-A737)^2)</f>
        <v/>
      </c>
      <c r="J737">
        <f>SUMPRODUCT(Calc!$K$3:$K$22*(Calc!$G$3:$G$22&gt;B737)*(Calc!$G$3:$G$22-B737)^2)</f>
        <v/>
      </c>
      <c r="K737">
        <f>SUMPRODUCT(Calc!$K$3:$K$22*(Calc!$G$3:$G$22&gt;A737)*(Calc!$G$3:$G$22-A737)*(Calc!$G$3:$G$22&gt;B737)*(Calc!$G$3:$G$22-B737))</f>
        <v/>
      </c>
      <c r="L737">
        <f>SUMPRODUCT(Calc!$K$3:$K$22*(Calc!$G$3:$G$22&gt;A737)*(Calc!$G$3:$G$22-A737)*Calc!$G$3:$G$22)</f>
        <v/>
      </c>
      <c r="M737">
        <f>SUMPRODUCT(Calc!$K$3:$K$22*(Calc!$G$3:$G$22&gt;B737)*(Calc!$G$3:$G$22-B737)*Calc!$G$3:$G$22)</f>
        <v/>
      </c>
      <c r="N737">
        <f>SUMPRODUCT(Calc!$K$3:$K$22*(Calc!$G$3:$G$22&gt;A737)*(Calc!$G$3:$G$22-A737)*Calc!$I$3:$I$22)</f>
        <v/>
      </c>
      <c r="O737">
        <f>SUMPRODUCT(Calc!$K$3:$K$22*(Calc!$G$3:$G$22&gt;B737)*(Calc!$G$3:$G$22-B737)*Calc!$I$3:$I$22)</f>
        <v/>
      </c>
      <c r="P737">
        <f>I737-G737^2/k_n</f>
        <v/>
      </c>
      <c r="Q737">
        <f>J737-H737^2/k_n</f>
        <v/>
      </c>
      <c r="R737">
        <f>K737-G737*H737/k_n</f>
        <v/>
      </c>
      <c r="S737">
        <f>L737-LTP3!$D$3*G737/k_n</f>
        <v/>
      </c>
      <c r="T737">
        <f>M737-LTP3!$D$3*H737/k_n</f>
        <v/>
      </c>
      <c r="U737">
        <f>N737-G737*LTP3!$D$4/k_n</f>
        <v/>
      </c>
      <c r="V737">
        <f>O737-H737*LTP3!$D$4/k_n</f>
        <v/>
      </c>
      <c r="W737">
        <f>((LTP3!$D$5)*((P737)*(Q737)-(R737)*(R737))-(S737)*((S737)*(Q737)-(R737)*(T737))+(T737)*((S737)*(R737)-(P737)*(T737)))</f>
        <v/>
      </c>
      <c r="X737">
        <f>IF(ABS(W737)&gt;1E-12,((LTP3!$D$6)*((P737)*(Q737)-(R737)*(R737))-(S737)*((U737)*(Q737)-(R737)*(V737))+(T737)*((U737)*(R737)-(P737)*(V737)))/W737,0)</f>
        <v/>
      </c>
      <c r="Y737">
        <f>IF(ABS(W737)&gt;1E-12,((LTP3!$D$5)*((U737)*(Q737)-(R737)*(V737))-(LTP3!$D$6)*((S737)*(Q737)-(R737)*(T737))+(T737)*((S737)*(V737)-(U737)*(T737)))/W737,0)</f>
        <v/>
      </c>
      <c r="Z737">
        <f>IF(ABS(W737)&gt;1E-12,((LTP3!$D$5)*((P737)*(V737)-(U737)*(R737))-(S737)*((S737)*(V737)-(U737)*(T737))+(LTP3!$D$6)*((S737)*(R737)-(P737)*(T737)))/W737,0)</f>
        <v/>
      </c>
      <c r="AA737">
        <f>LTP3!$D$7-X737*LTP3!$D$6-Y737*U737-Z737*V737</f>
        <v/>
      </c>
      <c r="AB737">
        <f>IF(AND(F737,ABS(W737)&gt;1E-12,Y737&gt;0,Z737&gt;0),AA737,1E+300)</f>
        <v/>
      </c>
    </row>
    <row r="738">
      <c r="A738">
        <f>$B$3+$B$5*11</f>
        <v/>
      </c>
      <c r="B738">
        <f>$B$3+$B$5*55</f>
        <v/>
      </c>
      <c r="C738">
        <f>SUMPRODUCT(Calc!$K$3:$K$22*(Calc!$G$3:$G$22&lt;=A738))</f>
        <v/>
      </c>
      <c r="D738">
        <f>SUMPRODUCT(Calc!$K$3:$K$22*(Calc!$G$3:$G$22&gt;A738)*(Calc!$G$3:$G$22&lt;B738))</f>
        <v/>
      </c>
      <c r="E738">
        <f>SUMPRODUCT(Calc!$K$3:$K$22*(Calc!$G$3:$G$22&gt;=B738))</f>
        <v/>
      </c>
      <c r="F738">
        <f>AND(k_n&gt;=5,B738&gt;A738+1E-9,C738&gt;=2,D738&gt;=1,E738&gt;=2)</f>
        <v/>
      </c>
      <c r="G738">
        <f>SUMPRODUCT(Calc!$K$3:$K$22*(Calc!$G$3:$G$22&gt;A738)*(Calc!$G$3:$G$22-A738))</f>
        <v/>
      </c>
      <c r="H738">
        <f>SUMPRODUCT(Calc!$K$3:$K$22*(Calc!$G$3:$G$22&gt;B738)*(Calc!$G$3:$G$22-B738))</f>
        <v/>
      </c>
      <c r="I738">
        <f>SUMPRODUCT(Calc!$K$3:$K$22*(Calc!$G$3:$G$22&gt;A738)*(Calc!$G$3:$G$22-A738)^2)</f>
        <v/>
      </c>
      <c r="J738">
        <f>SUMPRODUCT(Calc!$K$3:$K$22*(Calc!$G$3:$G$22&gt;B738)*(Calc!$G$3:$G$22-B738)^2)</f>
        <v/>
      </c>
      <c r="K738">
        <f>SUMPRODUCT(Calc!$K$3:$K$22*(Calc!$G$3:$G$22&gt;A738)*(Calc!$G$3:$G$22-A738)*(Calc!$G$3:$G$22&gt;B738)*(Calc!$G$3:$G$22-B738))</f>
        <v/>
      </c>
      <c r="L738">
        <f>SUMPRODUCT(Calc!$K$3:$K$22*(Calc!$G$3:$G$22&gt;A738)*(Calc!$G$3:$G$22-A738)*Calc!$G$3:$G$22)</f>
        <v/>
      </c>
      <c r="M738">
        <f>SUMPRODUCT(Calc!$K$3:$K$22*(Calc!$G$3:$G$22&gt;B738)*(Calc!$G$3:$G$22-B738)*Calc!$G$3:$G$22)</f>
        <v/>
      </c>
      <c r="N738">
        <f>SUMPRODUCT(Calc!$K$3:$K$22*(Calc!$G$3:$G$22&gt;A738)*(Calc!$G$3:$G$22-A738)*Calc!$I$3:$I$22)</f>
        <v/>
      </c>
      <c r="O738">
        <f>SUMPRODUCT(Calc!$K$3:$K$22*(Calc!$G$3:$G$22&gt;B738)*(Calc!$G$3:$G$22-B738)*Calc!$I$3:$I$22)</f>
        <v/>
      </c>
      <c r="P738">
        <f>I738-G738^2/k_n</f>
        <v/>
      </c>
      <c r="Q738">
        <f>J738-H738^2/k_n</f>
        <v/>
      </c>
      <c r="R738">
        <f>K738-G738*H738/k_n</f>
        <v/>
      </c>
      <c r="S738">
        <f>L738-LTP3!$D$3*G738/k_n</f>
        <v/>
      </c>
      <c r="T738">
        <f>M738-LTP3!$D$3*H738/k_n</f>
        <v/>
      </c>
      <c r="U738">
        <f>N738-G738*LTP3!$D$4/k_n</f>
        <v/>
      </c>
      <c r="V738">
        <f>O738-H738*LTP3!$D$4/k_n</f>
        <v/>
      </c>
      <c r="W738">
        <f>((LTP3!$D$5)*((P738)*(Q738)-(R738)*(R738))-(S738)*((S738)*(Q738)-(R738)*(T738))+(T738)*((S738)*(R738)-(P738)*(T738)))</f>
        <v/>
      </c>
      <c r="X738">
        <f>IF(ABS(W738)&gt;1E-12,((LTP3!$D$6)*((P738)*(Q738)-(R738)*(R738))-(S738)*((U738)*(Q738)-(R738)*(V738))+(T738)*((U738)*(R738)-(P738)*(V738)))/W738,0)</f>
        <v/>
      </c>
      <c r="Y738">
        <f>IF(ABS(W738)&gt;1E-12,((LTP3!$D$5)*((U738)*(Q738)-(R738)*(V738))-(LTP3!$D$6)*((S738)*(Q738)-(R738)*(T738))+(T738)*((S738)*(V738)-(U738)*(T738)))/W738,0)</f>
        <v/>
      </c>
      <c r="Z738">
        <f>IF(ABS(W738)&gt;1E-12,((LTP3!$D$5)*((P738)*(V738)-(U738)*(R738))-(S738)*((S738)*(V738)-(U738)*(T738))+(LTP3!$D$6)*((S738)*(R738)-(P738)*(T738)))/W738,0)</f>
        <v/>
      </c>
      <c r="AA738">
        <f>LTP3!$D$7-X738*LTP3!$D$6-Y738*U738-Z738*V738</f>
        <v/>
      </c>
      <c r="AB738">
        <f>IF(AND(F738,ABS(W738)&gt;1E-12,Y738&gt;0,Z738&gt;0),AA738,1E+300)</f>
        <v/>
      </c>
    </row>
    <row r="739">
      <c r="A739">
        <f>$B$3+$B$5*11</f>
        <v/>
      </c>
      <c r="B739">
        <f>$B$3+$B$5*56</f>
        <v/>
      </c>
      <c r="C739">
        <f>SUMPRODUCT(Calc!$K$3:$K$22*(Calc!$G$3:$G$22&lt;=A739))</f>
        <v/>
      </c>
      <c r="D739">
        <f>SUMPRODUCT(Calc!$K$3:$K$22*(Calc!$G$3:$G$22&gt;A739)*(Calc!$G$3:$G$22&lt;B739))</f>
        <v/>
      </c>
      <c r="E739">
        <f>SUMPRODUCT(Calc!$K$3:$K$22*(Calc!$G$3:$G$22&gt;=B739))</f>
        <v/>
      </c>
      <c r="F739">
        <f>AND(k_n&gt;=5,B739&gt;A739+1E-9,C739&gt;=2,D739&gt;=1,E739&gt;=2)</f>
        <v/>
      </c>
      <c r="G739">
        <f>SUMPRODUCT(Calc!$K$3:$K$22*(Calc!$G$3:$G$22&gt;A739)*(Calc!$G$3:$G$22-A739))</f>
        <v/>
      </c>
      <c r="H739">
        <f>SUMPRODUCT(Calc!$K$3:$K$22*(Calc!$G$3:$G$22&gt;B739)*(Calc!$G$3:$G$22-B739))</f>
        <v/>
      </c>
      <c r="I739">
        <f>SUMPRODUCT(Calc!$K$3:$K$22*(Calc!$G$3:$G$22&gt;A739)*(Calc!$G$3:$G$22-A739)^2)</f>
        <v/>
      </c>
      <c r="J739">
        <f>SUMPRODUCT(Calc!$K$3:$K$22*(Calc!$G$3:$G$22&gt;B739)*(Calc!$G$3:$G$22-B739)^2)</f>
        <v/>
      </c>
      <c r="K739">
        <f>SUMPRODUCT(Calc!$K$3:$K$22*(Calc!$G$3:$G$22&gt;A739)*(Calc!$G$3:$G$22-A739)*(Calc!$G$3:$G$22&gt;B739)*(Calc!$G$3:$G$22-B739))</f>
        <v/>
      </c>
      <c r="L739">
        <f>SUMPRODUCT(Calc!$K$3:$K$22*(Calc!$G$3:$G$22&gt;A739)*(Calc!$G$3:$G$22-A739)*Calc!$G$3:$G$22)</f>
        <v/>
      </c>
      <c r="M739">
        <f>SUMPRODUCT(Calc!$K$3:$K$22*(Calc!$G$3:$G$22&gt;B739)*(Calc!$G$3:$G$22-B739)*Calc!$G$3:$G$22)</f>
        <v/>
      </c>
      <c r="N739">
        <f>SUMPRODUCT(Calc!$K$3:$K$22*(Calc!$G$3:$G$22&gt;A739)*(Calc!$G$3:$G$22-A739)*Calc!$I$3:$I$22)</f>
        <v/>
      </c>
      <c r="O739">
        <f>SUMPRODUCT(Calc!$K$3:$K$22*(Calc!$G$3:$G$22&gt;B739)*(Calc!$G$3:$G$22-B739)*Calc!$I$3:$I$22)</f>
        <v/>
      </c>
      <c r="P739">
        <f>I739-G739^2/k_n</f>
        <v/>
      </c>
      <c r="Q739">
        <f>J739-H739^2/k_n</f>
        <v/>
      </c>
      <c r="R739">
        <f>K739-G739*H739/k_n</f>
        <v/>
      </c>
      <c r="S739">
        <f>L739-LTP3!$D$3*G739/k_n</f>
        <v/>
      </c>
      <c r="T739">
        <f>M739-LTP3!$D$3*H739/k_n</f>
        <v/>
      </c>
      <c r="U739">
        <f>N739-G739*LTP3!$D$4/k_n</f>
        <v/>
      </c>
      <c r="V739">
        <f>O739-H739*LTP3!$D$4/k_n</f>
        <v/>
      </c>
      <c r="W739">
        <f>((LTP3!$D$5)*((P739)*(Q739)-(R739)*(R739))-(S739)*((S739)*(Q739)-(R739)*(T739))+(T739)*((S739)*(R739)-(P739)*(T739)))</f>
        <v/>
      </c>
      <c r="X739">
        <f>IF(ABS(W739)&gt;1E-12,((LTP3!$D$6)*((P739)*(Q739)-(R739)*(R739))-(S739)*((U739)*(Q739)-(R739)*(V739))+(T739)*((U739)*(R739)-(P739)*(V739)))/W739,0)</f>
        <v/>
      </c>
      <c r="Y739">
        <f>IF(ABS(W739)&gt;1E-12,((LTP3!$D$5)*((U739)*(Q739)-(R739)*(V739))-(LTP3!$D$6)*((S739)*(Q739)-(R739)*(T739))+(T739)*((S739)*(V739)-(U739)*(T739)))/W739,0)</f>
        <v/>
      </c>
      <c r="Z739">
        <f>IF(ABS(W739)&gt;1E-12,((LTP3!$D$5)*((P739)*(V739)-(U739)*(R739))-(S739)*((S739)*(V739)-(U739)*(T739))+(LTP3!$D$6)*((S739)*(R739)-(P739)*(T739)))/W739,0)</f>
        <v/>
      </c>
      <c r="AA739">
        <f>LTP3!$D$7-X739*LTP3!$D$6-Y739*U739-Z739*V739</f>
        <v/>
      </c>
      <c r="AB739">
        <f>IF(AND(F739,ABS(W739)&gt;1E-12,Y739&gt;0,Z739&gt;0),AA739,1E+300)</f>
        <v/>
      </c>
    </row>
    <row r="740">
      <c r="A740">
        <f>$B$3+$B$5*11</f>
        <v/>
      </c>
      <c r="B740">
        <f>$B$3+$B$5*57</f>
        <v/>
      </c>
      <c r="C740">
        <f>SUMPRODUCT(Calc!$K$3:$K$22*(Calc!$G$3:$G$22&lt;=A740))</f>
        <v/>
      </c>
      <c r="D740">
        <f>SUMPRODUCT(Calc!$K$3:$K$22*(Calc!$G$3:$G$22&gt;A740)*(Calc!$G$3:$G$22&lt;B740))</f>
        <v/>
      </c>
      <c r="E740">
        <f>SUMPRODUCT(Calc!$K$3:$K$22*(Calc!$G$3:$G$22&gt;=B740))</f>
        <v/>
      </c>
      <c r="F740">
        <f>AND(k_n&gt;=5,B740&gt;A740+1E-9,C740&gt;=2,D740&gt;=1,E740&gt;=2)</f>
        <v/>
      </c>
      <c r="G740">
        <f>SUMPRODUCT(Calc!$K$3:$K$22*(Calc!$G$3:$G$22&gt;A740)*(Calc!$G$3:$G$22-A740))</f>
        <v/>
      </c>
      <c r="H740">
        <f>SUMPRODUCT(Calc!$K$3:$K$22*(Calc!$G$3:$G$22&gt;B740)*(Calc!$G$3:$G$22-B740))</f>
        <v/>
      </c>
      <c r="I740">
        <f>SUMPRODUCT(Calc!$K$3:$K$22*(Calc!$G$3:$G$22&gt;A740)*(Calc!$G$3:$G$22-A740)^2)</f>
        <v/>
      </c>
      <c r="J740">
        <f>SUMPRODUCT(Calc!$K$3:$K$22*(Calc!$G$3:$G$22&gt;B740)*(Calc!$G$3:$G$22-B740)^2)</f>
        <v/>
      </c>
      <c r="K740">
        <f>SUMPRODUCT(Calc!$K$3:$K$22*(Calc!$G$3:$G$22&gt;A740)*(Calc!$G$3:$G$22-A740)*(Calc!$G$3:$G$22&gt;B740)*(Calc!$G$3:$G$22-B740))</f>
        <v/>
      </c>
      <c r="L740">
        <f>SUMPRODUCT(Calc!$K$3:$K$22*(Calc!$G$3:$G$22&gt;A740)*(Calc!$G$3:$G$22-A740)*Calc!$G$3:$G$22)</f>
        <v/>
      </c>
      <c r="M740">
        <f>SUMPRODUCT(Calc!$K$3:$K$22*(Calc!$G$3:$G$22&gt;B740)*(Calc!$G$3:$G$22-B740)*Calc!$G$3:$G$22)</f>
        <v/>
      </c>
      <c r="N740">
        <f>SUMPRODUCT(Calc!$K$3:$K$22*(Calc!$G$3:$G$22&gt;A740)*(Calc!$G$3:$G$22-A740)*Calc!$I$3:$I$22)</f>
        <v/>
      </c>
      <c r="O740">
        <f>SUMPRODUCT(Calc!$K$3:$K$22*(Calc!$G$3:$G$22&gt;B740)*(Calc!$G$3:$G$22-B740)*Calc!$I$3:$I$22)</f>
        <v/>
      </c>
      <c r="P740">
        <f>I740-G740^2/k_n</f>
        <v/>
      </c>
      <c r="Q740">
        <f>J740-H740^2/k_n</f>
        <v/>
      </c>
      <c r="R740">
        <f>K740-G740*H740/k_n</f>
        <v/>
      </c>
      <c r="S740">
        <f>L740-LTP3!$D$3*G740/k_n</f>
        <v/>
      </c>
      <c r="T740">
        <f>M740-LTP3!$D$3*H740/k_n</f>
        <v/>
      </c>
      <c r="U740">
        <f>N740-G740*LTP3!$D$4/k_n</f>
        <v/>
      </c>
      <c r="V740">
        <f>O740-H740*LTP3!$D$4/k_n</f>
        <v/>
      </c>
      <c r="W740">
        <f>((LTP3!$D$5)*((P740)*(Q740)-(R740)*(R740))-(S740)*((S740)*(Q740)-(R740)*(T740))+(T740)*((S740)*(R740)-(P740)*(T740)))</f>
        <v/>
      </c>
      <c r="X740">
        <f>IF(ABS(W740)&gt;1E-12,((LTP3!$D$6)*((P740)*(Q740)-(R740)*(R740))-(S740)*((U740)*(Q740)-(R740)*(V740))+(T740)*((U740)*(R740)-(P740)*(V740)))/W740,0)</f>
        <v/>
      </c>
      <c r="Y740">
        <f>IF(ABS(W740)&gt;1E-12,((LTP3!$D$5)*((U740)*(Q740)-(R740)*(V740))-(LTP3!$D$6)*((S740)*(Q740)-(R740)*(T740))+(T740)*((S740)*(V740)-(U740)*(T740)))/W740,0)</f>
        <v/>
      </c>
      <c r="Z740">
        <f>IF(ABS(W740)&gt;1E-12,((LTP3!$D$5)*((P740)*(V740)-(U740)*(R740))-(S740)*((S740)*(V740)-(U740)*(T740))+(LTP3!$D$6)*((S740)*(R740)-(P740)*(T740)))/W740,0)</f>
        <v/>
      </c>
      <c r="AA740">
        <f>LTP3!$D$7-X740*LTP3!$D$6-Y740*U740-Z740*V740</f>
        <v/>
      </c>
      <c r="AB740">
        <f>IF(AND(F740,ABS(W740)&gt;1E-12,Y740&gt;0,Z740&gt;0),AA740,1E+300)</f>
        <v/>
      </c>
    </row>
    <row r="741">
      <c r="A741">
        <f>$B$3+$B$5*11</f>
        <v/>
      </c>
      <c r="B741">
        <f>$B$3+$B$5*58</f>
        <v/>
      </c>
      <c r="C741">
        <f>SUMPRODUCT(Calc!$K$3:$K$22*(Calc!$G$3:$G$22&lt;=A741))</f>
        <v/>
      </c>
      <c r="D741">
        <f>SUMPRODUCT(Calc!$K$3:$K$22*(Calc!$G$3:$G$22&gt;A741)*(Calc!$G$3:$G$22&lt;B741))</f>
        <v/>
      </c>
      <c r="E741">
        <f>SUMPRODUCT(Calc!$K$3:$K$22*(Calc!$G$3:$G$22&gt;=B741))</f>
        <v/>
      </c>
      <c r="F741">
        <f>AND(k_n&gt;=5,B741&gt;A741+1E-9,C741&gt;=2,D741&gt;=1,E741&gt;=2)</f>
        <v/>
      </c>
      <c r="G741">
        <f>SUMPRODUCT(Calc!$K$3:$K$22*(Calc!$G$3:$G$22&gt;A741)*(Calc!$G$3:$G$22-A741))</f>
        <v/>
      </c>
      <c r="H741">
        <f>SUMPRODUCT(Calc!$K$3:$K$22*(Calc!$G$3:$G$22&gt;B741)*(Calc!$G$3:$G$22-B741))</f>
        <v/>
      </c>
      <c r="I741">
        <f>SUMPRODUCT(Calc!$K$3:$K$22*(Calc!$G$3:$G$22&gt;A741)*(Calc!$G$3:$G$22-A741)^2)</f>
        <v/>
      </c>
      <c r="J741">
        <f>SUMPRODUCT(Calc!$K$3:$K$22*(Calc!$G$3:$G$22&gt;B741)*(Calc!$G$3:$G$22-B741)^2)</f>
        <v/>
      </c>
      <c r="K741">
        <f>SUMPRODUCT(Calc!$K$3:$K$22*(Calc!$G$3:$G$22&gt;A741)*(Calc!$G$3:$G$22-A741)*(Calc!$G$3:$G$22&gt;B741)*(Calc!$G$3:$G$22-B741))</f>
        <v/>
      </c>
      <c r="L741">
        <f>SUMPRODUCT(Calc!$K$3:$K$22*(Calc!$G$3:$G$22&gt;A741)*(Calc!$G$3:$G$22-A741)*Calc!$G$3:$G$22)</f>
        <v/>
      </c>
      <c r="M741">
        <f>SUMPRODUCT(Calc!$K$3:$K$22*(Calc!$G$3:$G$22&gt;B741)*(Calc!$G$3:$G$22-B741)*Calc!$G$3:$G$22)</f>
        <v/>
      </c>
      <c r="N741">
        <f>SUMPRODUCT(Calc!$K$3:$K$22*(Calc!$G$3:$G$22&gt;A741)*(Calc!$G$3:$G$22-A741)*Calc!$I$3:$I$22)</f>
        <v/>
      </c>
      <c r="O741">
        <f>SUMPRODUCT(Calc!$K$3:$K$22*(Calc!$G$3:$G$22&gt;B741)*(Calc!$G$3:$G$22-B741)*Calc!$I$3:$I$22)</f>
        <v/>
      </c>
      <c r="P741">
        <f>I741-G741^2/k_n</f>
        <v/>
      </c>
      <c r="Q741">
        <f>J741-H741^2/k_n</f>
        <v/>
      </c>
      <c r="R741">
        <f>K741-G741*H741/k_n</f>
        <v/>
      </c>
      <c r="S741">
        <f>L741-LTP3!$D$3*G741/k_n</f>
        <v/>
      </c>
      <c r="T741">
        <f>M741-LTP3!$D$3*H741/k_n</f>
        <v/>
      </c>
      <c r="U741">
        <f>N741-G741*LTP3!$D$4/k_n</f>
        <v/>
      </c>
      <c r="V741">
        <f>O741-H741*LTP3!$D$4/k_n</f>
        <v/>
      </c>
      <c r="W741">
        <f>((LTP3!$D$5)*((P741)*(Q741)-(R741)*(R741))-(S741)*((S741)*(Q741)-(R741)*(T741))+(T741)*((S741)*(R741)-(P741)*(T741)))</f>
        <v/>
      </c>
      <c r="X741">
        <f>IF(ABS(W741)&gt;1E-12,((LTP3!$D$6)*((P741)*(Q741)-(R741)*(R741))-(S741)*((U741)*(Q741)-(R741)*(V741))+(T741)*((U741)*(R741)-(P741)*(V741)))/W741,0)</f>
        <v/>
      </c>
      <c r="Y741">
        <f>IF(ABS(W741)&gt;1E-12,((LTP3!$D$5)*((U741)*(Q741)-(R741)*(V741))-(LTP3!$D$6)*((S741)*(Q741)-(R741)*(T741))+(T741)*((S741)*(V741)-(U741)*(T741)))/W741,0)</f>
        <v/>
      </c>
      <c r="Z741">
        <f>IF(ABS(W741)&gt;1E-12,((LTP3!$D$5)*((P741)*(V741)-(U741)*(R741))-(S741)*((S741)*(V741)-(U741)*(T741))+(LTP3!$D$6)*((S741)*(R741)-(P741)*(T741)))/W741,0)</f>
        <v/>
      </c>
      <c r="AA741">
        <f>LTP3!$D$7-X741*LTP3!$D$6-Y741*U741-Z741*V741</f>
        <v/>
      </c>
      <c r="AB741">
        <f>IF(AND(F741,ABS(W741)&gt;1E-12,Y741&gt;0,Z741&gt;0),AA741,1E+300)</f>
        <v/>
      </c>
    </row>
    <row r="742">
      <c r="A742">
        <f>$B$3+$B$5*11</f>
        <v/>
      </c>
      <c r="B742">
        <f>$B$3+$B$5*59</f>
        <v/>
      </c>
      <c r="C742">
        <f>SUMPRODUCT(Calc!$K$3:$K$22*(Calc!$G$3:$G$22&lt;=A742))</f>
        <v/>
      </c>
      <c r="D742">
        <f>SUMPRODUCT(Calc!$K$3:$K$22*(Calc!$G$3:$G$22&gt;A742)*(Calc!$G$3:$G$22&lt;B742))</f>
        <v/>
      </c>
      <c r="E742">
        <f>SUMPRODUCT(Calc!$K$3:$K$22*(Calc!$G$3:$G$22&gt;=B742))</f>
        <v/>
      </c>
      <c r="F742">
        <f>AND(k_n&gt;=5,B742&gt;A742+1E-9,C742&gt;=2,D742&gt;=1,E742&gt;=2)</f>
        <v/>
      </c>
      <c r="G742">
        <f>SUMPRODUCT(Calc!$K$3:$K$22*(Calc!$G$3:$G$22&gt;A742)*(Calc!$G$3:$G$22-A742))</f>
        <v/>
      </c>
      <c r="H742">
        <f>SUMPRODUCT(Calc!$K$3:$K$22*(Calc!$G$3:$G$22&gt;B742)*(Calc!$G$3:$G$22-B742))</f>
        <v/>
      </c>
      <c r="I742">
        <f>SUMPRODUCT(Calc!$K$3:$K$22*(Calc!$G$3:$G$22&gt;A742)*(Calc!$G$3:$G$22-A742)^2)</f>
        <v/>
      </c>
      <c r="J742">
        <f>SUMPRODUCT(Calc!$K$3:$K$22*(Calc!$G$3:$G$22&gt;B742)*(Calc!$G$3:$G$22-B742)^2)</f>
        <v/>
      </c>
      <c r="K742">
        <f>SUMPRODUCT(Calc!$K$3:$K$22*(Calc!$G$3:$G$22&gt;A742)*(Calc!$G$3:$G$22-A742)*(Calc!$G$3:$G$22&gt;B742)*(Calc!$G$3:$G$22-B742))</f>
        <v/>
      </c>
      <c r="L742">
        <f>SUMPRODUCT(Calc!$K$3:$K$22*(Calc!$G$3:$G$22&gt;A742)*(Calc!$G$3:$G$22-A742)*Calc!$G$3:$G$22)</f>
        <v/>
      </c>
      <c r="M742">
        <f>SUMPRODUCT(Calc!$K$3:$K$22*(Calc!$G$3:$G$22&gt;B742)*(Calc!$G$3:$G$22-B742)*Calc!$G$3:$G$22)</f>
        <v/>
      </c>
      <c r="N742">
        <f>SUMPRODUCT(Calc!$K$3:$K$22*(Calc!$G$3:$G$22&gt;A742)*(Calc!$G$3:$G$22-A742)*Calc!$I$3:$I$22)</f>
        <v/>
      </c>
      <c r="O742">
        <f>SUMPRODUCT(Calc!$K$3:$K$22*(Calc!$G$3:$G$22&gt;B742)*(Calc!$G$3:$G$22-B742)*Calc!$I$3:$I$22)</f>
        <v/>
      </c>
      <c r="P742">
        <f>I742-G742^2/k_n</f>
        <v/>
      </c>
      <c r="Q742">
        <f>J742-H742^2/k_n</f>
        <v/>
      </c>
      <c r="R742">
        <f>K742-G742*H742/k_n</f>
        <v/>
      </c>
      <c r="S742">
        <f>L742-LTP3!$D$3*G742/k_n</f>
        <v/>
      </c>
      <c r="T742">
        <f>M742-LTP3!$D$3*H742/k_n</f>
        <v/>
      </c>
      <c r="U742">
        <f>N742-G742*LTP3!$D$4/k_n</f>
        <v/>
      </c>
      <c r="V742">
        <f>O742-H742*LTP3!$D$4/k_n</f>
        <v/>
      </c>
      <c r="W742">
        <f>((LTP3!$D$5)*((P742)*(Q742)-(R742)*(R742))-(S742)*((S742)*(Q742)-(R742)*(T742))+(T742)*((S742)*(R742)-(P742)*(T742)))</f>
        <v/>
      </c>
      <c r="X742">
        <f>IF(ABS(W742)&gt;1E-12,((LTP3!$D$6)*((P742)*(Q742)-(R742)*(R742))-(S742)*((U742)*(Q742)-(R742)*(V742))+(T742)*((U742)*(R742)-(P742)*(V742)))/W742,0)</f>
        <v/>
      </c>
      <c r="Y742">
        <f>IF(ABS(W742)&gt;1E-12,((LTP3!$D$5)*((U742)*(Q742)-(R742)*(V742))-(LTP3!$D$6)*((S742)*(Q742)-(R742)*(T742))+(T742)*((S742)*(V742)-(U742)*(T742)))/W742,0)</f>
        <v/>
      </c>
      <c r="Z742">
        <f>IF(ABS(W742)&gt;1E-12,((LTP3!$D$5)*((P742)*(V742)-(U742)*(R742))-(S742)*((S742)*(V742)-(U742)*(T742))+(LTP3!$D$6)*((S742)*(R742)-(P742)*(T742)))/W742,0)</f>
        <v/>
      </c>
      <c r="AA742">
        <f>LTP3!$D$7-X742*LTP3!$D$6-Y742*U742-Z742*V742</f>
        <v/>
      </c>
      <c r="AB742">
        <f>IF(AND(F742,ABS(W742)&gt;1E-12,Y742&gt;0,Z742&gt;0),AA742,1E+300)</f>
        <v/>
      </c>
    </row>
    <row r="743">
      <c r="A743">
        <f>$B$3+$B$5*11</f>
        <v/>
      </c>
      <c r="B743">
        <f>$B$3+$B$5*60</f>
        <v/>
      </c>
      <c r="C743">
        <f>SUMPRODUCT(Calc!$K$3:$K$22*(Calc!$G$3:$G$22&lt;=A743))</f>
        <v/>
      </c>
      <c r="D743">
        <f>SUMPRODUCT(Calc!$K$3:$K$22*(Calc!$G$3:$G$22&gt;A743)*(Calc!$G$3:$G$22&lt;B743))</f>
        <v/>
      </c>
      <c r="E743">
        <f>SUMPRODUCT(Calc!$K$3:$K$22*(Calc!$G$3:$G$22&gt;=B743))</f>
        <v/>
      </c>
      <c r="F743">
        <f>AND(k_n&gt;=5,B743&gt;A743+1E-9,C743&gt;=2,D743&gt;=1,E743&gt;=2)</f>
        <v/>
      </c>
      <c r="G743">
        <f>SUMPRODUCT(Calc!$K$3:$K$22*(Calc!$G$3:$G$22&gt;A743)*(Calc!$G$3:$G$22-A743))</f>
        <v/>
      </c>
      <c r="H743">
        <f>SUMPRODUCT(Calc!$K$3:$K$22*(Calc!$G$3:$G$22&gt;B743)*(Calc!$G$3:$G$22-B743))</f>
        <v/>
      </c>
      <c r="I743">
        <f>SUMPRODUCT(Calc!$K$3:$K$22*(Calc!$G$3:$G$22&gt;A743)*(Calc!$G$3:$G$22-A743)^2)</f>
        <v/>
      </c>
      <c r="J743">
        <f>SUMPRODUCT(Calc!$K$3:$K$22*(Calc!$G$3:$G$22&gt;B743)*(Calc!$G$3:$G$22-B743)^2)</f>
        <v/>
      </c>
      <c r="K743">
        <f>SUMPRODUCT(Calc!$K$3:$K$22*(Calc!$G$3:$G$22&gt;A743)*(Calc!$G$3:$G$22-A743)*(Calc!$G$3:$G$22&gt;B743)*(Calc!$G$3:$G$22-B743))</f>
        <v/>
      </c>
      <c r="L743">
        <f>SUMPRODUCT(Calc!$K$3:$K$22*(Calc!$G$3:$G$22&gt;A743)*(Calc!$G$3:$G$22-A743)*Calc!$G$3:$G$22)</f>
        <v/>
      </c>
      <c r="M743">
        <f>SUMPRODUCT(Calc!$K$3:$K$22*(Calc!$G$3:$G$22&gt;B743)*(Calc!$G$3:$G$22-B743)*Calc!$G$3:$G$22)</f>
        <v/>
      </c>
      <c r="N743">
        <f>SUMPRODUCT(Calc!$K$3:$K$22*(Calc!$G$3:$G$22&gt;A743)*(Calc!$G$3:$G$22-A743)*Calc!$I$3:$I$22)</f>
        <v/>
      </c>
      <c r="O743">
        <f>SUMPRODUCT(Calc!$K$3:$K$22*(Calc!$G$3:$G$22&gt;B743)*(Calc!$G$3:$G$22-B743)*Calc!$I$3:$I$22)</f>
        <v/>
      </c>
      <c r="P743">
        <f>I743-G743^2/k_n</f>
        <v/>
      </c>
      <c r="Q743">
        <f>J743-H743^2/k_n</f>
        <v/>
      </c>
      <c r="R743">
        <f>K743-G743*H743/k_n</f>
        <v/>
      </c>
      <c r="S743">
        <f>L743-LTP3!$D$3*G743/k_n</f>
        <v/>
      </c>
      <c r="T743">
        <f>M743-LTP3!$D$3*H743/k_n</f>
        <v/>
      </c>
      <c r="U743">
        <f>N743-G743*LTP3!$D$4/k_n</f>
        <v/>
      </c>
      <c r="V743">
        <f>O743-H743*LTP3!$D$4/k_n</f>
        <v/>
      </c>
      <c r="W743">
        <f>((LTP3!$D$5)*((P743)*(Q743)-(R743)*(R743))-(S743)*((S743)*(Q743)-(R743)*(T743))+(T743)*((S743)*(R743)-(P743)*(T743)))</f>
        <v/>
      </c>
      <c r="X743">
        <f>IF(ABS(W743)&gt;1E-12,((LTP3!$D$6)*((P743)*(Q743)-(R743)*(R743))-(S743)*((U743)*(Q743)-(R743)*(V743))+(T743)*((U743)*(R743)-(P743)*(V743)))/W743,0)</f>
        <v/>
      </c>
      <c r="Y743">
        <f>IF(ABS(W743)&gt;1E-12,((LTP3!$D$5)*((U743)*(Q743)-(R743)*(V743))-(LTP3!$D$6)*((S743)*(Q743)-(R743)*(T743))+(T743)*((S743)*(V743)-(U743)*(T743)))/W743,0)</f>
        <v/>
      </c>
      <c r="Z743">
        <f>IF(ABS(W743)&gt;1E-12,((LTP3!$D$5)*((P743)*(V743)-(U743)*(R743))-(S743)*((S743)*(V743)-(U743)*(T743))+(LTP3!$D$6)*((S743)*(R743)-(P743)*(T743)))/W743,0)</f>
        <v/>
      </c>
      <c r="AA743">
        <f>LTP3!$D$7-X743*LTP3!$D$6-Y743*U743-Z743*V743</f>
        <v/>
      </c>
      <c r="AB743">
        <f>IF(AND(F743,ABS(W743)&gt;1E-12,Y743&gt;0,Z743&gt;0),AA743,1E+300)</f>
        <v/>
      </c>
    </row>
    <row r="744">
      <c r="A744">
        <f>$B$3+$B$5*12</f>
        <v/>
      </c>
      <c r="B744">
        <f>$B$3+$B$5*0</f>
        <v/>
      </c>
      <c r="C744">
        <f>SUMPRODUCT(Calc!$K$3:$K$22*(Calc!$G$3:$G$22&lt;=A744))</f>
        <v/>
      </c>
      <c r="D744">
        <f>SUMPRODUCT(Calc!$K$3:$K$22*(Calc!$G$3:$G$22&gt;A744)*(Calc!$G$3:$G$22&lt;B744))</f>
        <v/>
      </c>
      <c r="E744">
        <f>SUMPRODUCT(Calc!$K$3:$K$22*(Calc!$G$3:$G$22&gt;=B744))</f>
        <v/>
      </c>
      <c r="F744">
        <f>AND(k_n&gt;=5,B744&gt;A744+1E-9,C744&gt;=2,D744&gt;=1,E744&gt;=2)</f>
        <v/>
      </c>
      <c r="G744">
        <f>SUMPRODUCT(Calc!$K$3:$K$22*(Calc!$G$3:$G$22&gt;A744)*(Calc!$G$3:$G$22-A744))</f>
        <v/>
      </c>
      <c r="H744">
        <f>SUMPRODUCT(Calc!$K$3:$K$22*(Calc!$G$3:$G$22&gt;B744)*(Calc!$G$3:$G$22-B744))</f>
        <v/>
      </c>
      <c r="I744">
        <f>SUMPRODUCT(Calc!$K$3:$K$22*(Calc!$G$3:$G$22&gt;A744)*(Calc!$G$3:$G$22-A744)^2)</f>
        <v/>
      </c>
      <c r="J744">
        <f>SUMPRODUCT(Calc!$K$3:$K$22*(Calc!$G$3:$G$22&gt;B744)*(Calc!$G$3:$G$22-B744)^2)</f>
        <v/>
      </c>
      <c r="K744">
        <f>SUMPRODUCT(Calc!$K$3:$K$22*(Calc!$G$3:$G$22&gt;A744)*(Calc!$G$3:$G$22-A744)*(Calc!$G$3:$G$22&gt;B744)*(Calc!$G$3:$G$22-B744))</f>
        <v/>
      </c>
      <c r="L744">
        <f>SUMPRODUCT(Calc!$K$3:$K$22*(Calc!$G$3:$G$22&gt;A744)*(Calc!$G$3:$G$22-A744)*Calc!$G$3:$G$22)</f>
        <v/>
      </c>
      <c r="M744">
        <f>SUMPRODUCT(Calc!$K$3:$K$22*(Calc!$G$3:$G$22&gt;B744)*(Calc!$G$3:$G$22-B744)*Calc!$G$3:$G$22)</f>
        <v/>
      </c>
      <c r="N744">
        <f>SUMPRODUCT(Calc!$K$3:$K$22*(Calc!$G$3:$G$22&gt;A744)*(Calc!$G$3:$G$22-A744)*Calc!$I$3:$I$22)</f>
        <v/>
      </c>
      <c r="O744">
        <f>SUMPRODUCT(Calc!$K$3:$K$22*(Calc!$G$3:$G$22&gt;B744)*(Calc!$G$3:$G$22-B744)*Calc!$I$3:$I$22)</f>
        <v/>
      </c>
      <c r="P744">
        <f>I744-G744^2/k_n</f>
        <v/>
      </c>
      <c r="Q744">
        <f>J744-H744^2/k_n</f>
        <v/>
      </c>
      <c r="R744">
        <f>K744-G744*H744/k_n</f>
        <v/>
      </c>
      <c r="S744">
        <f>L744-LTP3!$D$3*G744/k_n</f>
        <v/>
      </c>
      <c r="T744">
        <f>M744-LTP3!$D$3*H744/k_n</f>
        <v/>
      </c>
      <c r="U744">
        <f>N744-G744*LTP3!$D$4/k_n</f>
        <v/>
      </c>
      <c r="V744">
        <f>O744-H744*LTP3!$D$4/k_n</f>
        <v/>
      </c>
      <c r="W744">
        <f>((LTP3!$D$5)*((P744)*(Q744)-(R744)*(R744))-(S744)*((S744)*(Q744)-(R744)*(T744))+(T744)*((S744)*(R744)-(P744)*(T744)))</f>
        <v/>
      </c>
      <c r="X744">
        <f>IF(ABS(W744)&gt;1E-12,((LTP3!$D$6)*((P744)*(Q744)-(R744)*(R744))-(S744)*((U744)*(Q744)-(R744)*(V744))+(T744)*((U744)*(R744)-(P744)*(V744)))/W744,0)</f>
        <v/>
      </c>
      <c r="Y744">
        <f>IF(ABS(W744)&gt;1E-12,((LTP3!$D$5)*((U744)*(Q744)-(R744)*(V744))-(LTP3!$D$6)*((S744)*(Q744)-(R744)*(T744))+(T744)*((S744)*(V744)-(U744)*(T744)))/W744,0)</f>
        <v/>
      </c>
      <c r="Z744">
        <f>IF(ABS(W744)&gt;1E-12,((LTP3!$D$5)*((P744)*(V744)-(U744)*(R744))-(S744)*((S744)*(V744)-(U744)*(T744))+(LTP3!$D$6)*((S744)*(R744)-(P744)*(T744)))/W744,0)</f>
        <v/>
      </c>
      <c r="AA744">
        <f>LTP3!$D$7-X744*LTP3!$D$6-Y744*U744-Z744*V744</f>
        <v/>
      </c>
      <c r="AB744">
        <f>IF(AND(F744,ABS(W744)&gt;1E-12,Y744&gt;0,Z744&gt;0),AA744,1E+300)</f>
        <v/>
      </c>
    </row>
    <row r="745">
      <c r="A745">
        <f>$B$3+$B$5*12</f>
        <v/>
      </c>
      <c r="B745">
        <f>$B$3+$B$5*1</f>
        <v/>
      </c>
      <c r="C745">
        <f>SUMPRODUCT(Calc!$K$3:$K$22*(Calc!$G$3:$G$22&lt;=A745))</f>
        <v/>
      </c>
      <c r="D745">
        <f>SUMPRODUCT(Calc!$K$3:$K$22*(Calc!$G$3:$G$22&gt;A745)*(Calc!$G$3:$G$22&lt;B745))</f>
        <v/>
      </c>
      <c r="E745">
        <f>SUMPRODUCT(Calc!$K$3:$K$22*(Calc!$G$3:$G$22&gt;=B745))</f>
        <v/>
      </c>
      <c r="F745">
        <f>AND(k_n&gt;=5,B745&gt;A745+1E-9,C745&gt;=2,D745&gt;=1,E745&gt;=2)</f>
        <v/>
      </c>
      <c r="G745">
        <f>SUMPRODUCT(Calc!$K$3:$K$22*(Calc!$G$3:$G$22&gt;A745)*(Calc!$G$3:$G$22-A745))</f>
        <v/>
      </c>
      <c r="H745">
        <f>SUMPRODUCT(Calc!$K$3:$K$22*(Calc!$G$3:$G$22&gt;B745)*(Calc!$G$3:$G$22-B745))</f>
        <v/>
      </c>
      <c r="I745">
        <f>SUMPRODUCT(Calc!$K$3:$K$22*(Calc!$G$3:$G$22&gt;A745)*(Calc!$G$3:$G$22-A745)^2)</f>
        <v/>
      </c>
      <c r="J745">
        <f>SUMPRODUCT(Calc!$K$3:$K$22*(Calc!$G$3:$G$22&gt;B745)*(Calc!$G$3:$G$22-B745)^2)</f>
        <v/>
      </c>
      <c r="K745">
        <f>SUMPRODUCT(Calc!$K$3:$K$22*(Calc!$G$3:$G$22&gt;A745)*(Calc!$G$3:$G$22-A745)*(Calc!$G$3:$G$22&gt;B745)*(Calc!$G$3:$G$22-B745))</f>
        <v/>
      </c>
      <c r="L745">
        <f>SUMPRODUCT(Calc!$K$3:$K$22*(Calc!$G$3:$G$22&gt;A745)*(Calc!$G$3:$G$22-A745)*Calc!$G$3:$G$22)</f>
        <v/>
      </c>
      <c r="M745">
        <f>SUMPRODUCT(Calc!$K$3:$K$22*(Calc!$G$3:$G$22&gt;B745)*(Calc!$G$3:$G$22-B745)*Calc!$G$3:$G$22)</f>
        <v/>
      </c>
      <c r="N745">
        <f>SUMPRODUCT(Calc!$K$3:$K$22*(Calc!$G$3:$G$22&gt;A745)*(Calc!$G$3:$G$22-A745)*Calc!$I$3:$I$22)</f>
        <v/>
      </c>
      <c r="O745">
        <f>SUMPRODUCT(Calc!$K$3:$K$22*(Calc!$G$3:$G$22&gt;B745)*(Calc!$G$3:$G$22-B745)*Calc!$I$3:$I$22)</f>
        <v/>
      </c>
      <c r="P745">
        <f>I745-G745^2/k_n</f>
        <v/>
      </c>
      <c r="Q745">
        <f>J745-H745^2/k_n</f>
        <v/>
      </c>
      <c r="R745">
        <f>K745-G745*H745/k_n</f>
        <v/>
      </c>
      <c r="S745">
        <f>L745-LTP3!$D$3*G745/k_n</f>
        <v/>
      </c>
      <c r="T745">
        <f>M745-LTP3!$D$3*H745/k_n</f>
        <v/>
      </c>
      <c r="U745">
        <f>N745-G745*LTP3!$D$4/k_n</f>
        <v/>
      </c>
      <c r="V745">
        <f>O745-H745*LTP3!$D$4/k_n</f>
        <v/>
      </c>
      <c r="W745">
        <f>((LTP3!$D$5)*((P745)*(Q745)-(R745)*(R745))-(S745)*((S745)*(Q745)-(R745)*(T745))+(T745)*((S745)*(R745)-(P745)*(T745)))</f>
        <v/>
      </c>
      <c r="X745">
        <f>IF(ABS(W745)&gt;1E-12,((LTP3!$D$6)*((P745)*(Q745)-(R745)*(R745))-(S745)*((U745)*(Q745)-(R745)*(V745))+(T745)*((U745)*(R745)-(P745)*(V745)))/W745,0)</f>
        <v/>
      </c>
      <c r="Y745">
        <f>IF(ABS(W745)&gt;1E-12,((LTP3!$D$5)*((U745)*(Q745)-(R745)*(V745))-(LTP3!$D$6)*((S745)*(Q745)-(R745)*(T745))+(T745)*((S745)*(V745)-(U745)*(T745)))/W745,0)</f>
        <v/>
      </c>
      <c r="Z745">
        <f>IF(ABS(W745)&gt;1E-12,((LTP3!$D$5)*((P745)*(V745)-(U745)*(R745))-(S745)*((S745)*(V745)-(U745)*(T745))+(LTP3!$D$6)*((S745)*(R745)-(P745)*(T745)))/W745,0)</f>
        <v/>
      </c>
      <c r="AA745">
        <f>LTP3!$D$7-X745*LTP3!$D$6-Y745*U745-Z745*V745</f>
        <v/>
      </c>
      <c r="AB745">
        <f>IF(AND(F745,ABS(W745)&gt;1E-12,Y745&gt;0,Z745&gt;0),AA745,1E+300)</f>
        <v/>
      </c>
    </row>
    <row r="746">
      <c r="A746">
        <f>$B$3+$B$5*12</f>
        <v/>
      </c>
      <c r="B746">
        <f>$B$3+$B$5*2</f>
        <v/>
      </c>
      <c r="C746">
        <f>SUMPRODUCT(Calc!$K$3:$K$22*(Calc!$G$3:$G$22&lt;=A746))</f>
        <v/>
      </c>
      <c r="D746">
        <f>SUMPRODUCT(Calc!$K$3:$K$22*(Calc!$G$3:$G$22&gt;A746)*(Calc!$G$3:$G$22&lt;B746))</f>
        <v/>
      </c>
      <c r="E746">
        <f>SUMPRODUCT(Calc!$K$3:$K$22*(Calc!$G$3:$G$22&gt;=B746))</f>
        <v/>
      </c>
      <c r="F746">
        <f>AND(k_n&gt;=5,B746&gt;A746+1E-9,C746&gt;=2,D746&gt;=1,E746&gt;=2)</f>
        <v/>
      </c>
      <c r="G746">
        <f>SUMPRODUCT(Calc!$K$3:$K$22*(Calc!$G$3:$G$22&gt;A746)*(Calc!$G$3:$G$22-A746))</f>
        <v/>
      </c>
      <c r="H746">
        <f>SUMPRODUCT(Calc!$K$3:$K$22*(Calc!$G$3:$G$22&gt;B746)*(Calc!$G$3:$G$22-B746))</f>
        <v/>
      </c>
      <c r="I746">
        <f>SUMPRODUCT(Calc!$K$3:$K$22*(Calc!$G$3:$G$22&gt;A746)*(Calc!$G$3:$G$22-A746)^2)</f>
        <v/>
      </c>
      <c r="J746">
        <f>SUMPRODUCT(Calc!$K$3:$K$22*(Calc!$G$3:$G$22&gt;B746)*(Calc!$G$3:$G$22-B746)^2)</f>
        <v/>
      </c>
      <c r="K746">
        <f>SUMPRODUCT(Calc!$K$3:$K$22*(Calc!$G$3:$G$22&gt;A746)*(Calc!$G$3:$G$22-A746)*(Calc!$G$3:$G$22&gt;B746)*(Calc!$G$3:$G$22-B746))</f>
        <v/>
      </c>
      <c r="L746">
        <f>SUMPRODUCT(Calc!$K$3:$K$22*(Calc!$G$3:$G$22&gt;A746)*(Calc!$G$3:$G$22-A746)*Calc!$G$3:$G$22)</f>
        <v/>
      </c>
      <c r="M746">
        <f>SUMPRODUCT(Calc!$K$3:$K$22*(Calc!$G$3:$G$22&gt;B746)*(Calc!$G$3:$G$22-B746)*Calc!$G$3:$G$22)</f>
        <v/>
      </c>
      <c r="N746">
        <f>SUMPRODUCT(Calc!$K$3:$K$22*(Calc!$G$3:$G$22&gt;A746)*(Calc!$G$3:$G$22-A746)*Calc!$I$3:$I$22)</f>
        <v/>
      </c>
      <c r="O746">
        <f>SUMPRODUCT(Calc!$K$3:$K$22*(Calc!$G$3:$G$22&gt;B746)*(Calc!$G$3:$G$22-B746)*Calc!$I$3:$I$22)</f>
        <v/>
      </c>
      <c r="P746">
        <f>I746-G746^2/k_n</f>
        <v/>
      </c>
      <c r="Q746">
        <f>J746-H746^2/k_n</f>
        <v/>
      </c>
      <c r="R746">
        <f>K746-G746*H746/k_n</f>
        <v/>
      </c>
      <c r="S746">
        <f>L746-LTP3!$D$3*G746/k_n</f>
        <v/>
      </c>
      <c r="T746">
        <f>M746-LTP3!$D$3*H746/k_n</f>
        <v/>
      </c>
      <c r="U746">
        <f>N746-G746*LTP3!$D$4/k_n</f>
        <v/>
      </c>
      <c r="V746">
        <f>O746-H746*LTP3!$D$4/k_n</f>
        <v/>
      </c>
      <c r="W746">
        <f>((LTP3!$D$5)*((P746)*(Q746)-(R746)*(R746))-(S746)*((S746)*(Q746)-(R746)*(T746))+(T746)*((S746)*(R746)-(P746)*(T746)))</f>
        <v/>
      </c>
      <c r="X746">
        <f>IF(ABS(W746)&gt;1E-12,((LTP3!$D$6)*((P746)*(Q746)-(R746)*(R746))-(S746)*((U746)*(Q746)-(R746)*(V746))+(T746)*((U746)*(R746)-(P746)*(V746)))/W746,0)</f>
        <v/>
      </c>
      <c r="Y746">
        <f>IF(ABS(W746)&gt;1E-12,((LTP3!$D$5)*((U746)*(Q746)-(R746)*(V746))-(LTP3!$D$6)*((S746)*(Q746)-(R746)*(T746))+(T746)*((S746)*(V746)-(U746)*(T746)))/W746,0)</f>
        <v/>
      </c>
      <c r="Z746">
        <f>IF(ABS(W746)&gt;1E-12,((LTP3!$D$5)*((P746)*(V746)-(U746)*(R746))-(S746)*((S746)*(V746)-(U746)*(T746))+(LTP3!$D$6)*((S746)*(R746)-(P746)*(T746)))/W746,0)</f>
        <v/>
      </c>
      <c r="AA746">
        <f>LTP3!$D$7-X746*LTP3!$D$6-Y746*U746-Z746*V746</f>
        <v/>
      </c>
      <c r="AB746">
        <f>IF(AND(F746,ABS(W746)&gt;1E-12,Y746&gt;0,Z746&gt;0),AA746,1E+300)</f>
        <v/>
      </c>
    </row>
    <row r="747">
      <c r="A747">
        <f>$B$3+$B$5*12</f>
        <v/>
      </c>
      <c r="B747">
        <f>$B$3+$B$5*3</f>
        <v/>
      </c>
      <c r="C747">
        <f>SUMPRODUCT(Calc!$K$3:$K$22*(Calc!$G$3:$G$22&lt;=A747))</f>
        <v/>
      </c>
      <c r="D747">
        <f>SUMPRODUCT(Calc!$K$3:$K$22*(Calc!$G$3:$G$22&gt;A747)*(Calc!$G$3:$G$22&lt;B747))</f>
        <v/>
      </c>
      <c r="E747">
        <f>SUMPRODUCT(Calc!$K$3:$K$22*(Calc!$G$3:$G$22&gt;=B747))</f>
        <v/>
      </c>
      <c r="F747">
        <f>AND(k_n&gt;=5,B747&gt;A747+1E-9,C747&gt;=2,D747&gt;=1,E747&gt;=2)</f>
        <v/>
      </c>
      <c r="G747">
        <f>SUMPRODUCT(Calc!$K$3:$K$22*(Calc!$G$3:$G$22&gt;A747)*(Calc!$G$3:$G$22-A747))</f>
        <v/>
      </c>
      <c r="H747">
        <f>SUMPRODUCT(Calc!$K$3:$K$22*(Calc!$G$3:$G$22&gt;B747)*(Calc!$G$3:$G$22-B747))</f>
        <v/>
      </c>
      <c r="I747">
        <f>SUMPRODUCT(Calc!$K$3:$K$22*(Calc!$G$3:$G$22&gt;A747)*(Calc!$G$3:$G$22-A747)^2)</f>
        <v/>
      </c>
      <c r="J747">
        <f>SUMPRODUCT(Calc!$K$3:$K$22*(Calc!$G$3:$G$22&gt;B747)*(Calc!$G$3:$G$22-B747)^2)</f>
        <v/>
      </c>
      <c r="K747">
        <f>SUMPRODUCT(Calc!$K$3:$K$22*(Calc!$G$3:$G$22&gt;A747)*(Calc!$G$3:$G$22-A747)*(Calc!$G$3:$G$22&gt;B747)*(Calc!$G$3:$G$22-B747))</f>
        <v/>
      </c>
      <c r="L747">
        <f>SUMPRODUCT(Calc!$K$3:$K$22*(Calc!$G$3:$G$22&gt;A747)*(Calc!$G$3:$G$22-A747)*Calc!$G$3:$G$22)</f>
        <v/>
      </c>
      <c r="M747">
        <f>SUMPRODUCT(Calc!$K$3:$K$22*(Calc!$G$3:$G$22&gt;B747)*(Calc!$G$3:$G$22-B747)*Calc!$G$3:$G$22)</f>
        <v/>
      </c>
      <c r="N747">
        <f>SUMPRODUCT(Calc!$K$3:$K$22*(Calc!$G$3:$G$22&gt;A747)*(Calc!$G$3:$G$22-A747)*Calc!$I$3:$I$22)</f>
        <v/>
      </c>
      <c r="O747">
        <f>SUMPRODUCT(Calc!$K$3:$K$22*(Calc!$G$3:$G$22&gt;B747)*(Calc!$G$3:$G$22-B747)*Calc!$I$3:$I$22)</f>
        <v/>
      </c>
      <c r="P747">
        <f>I747-G747^2/k_n</f>
        <v/>
      </c>
      <c r="Q747">
        <f>J747-H747^2/k_n</f>
        <v/>
      </c>
      <c r="R747">
        <f>K747-G747*H747/k_n</f>
        <v/>
      </c>
      <c r="S747">
        <f>L747-LTP3!$D$3*G747/k_n</f>
        <v/>
      </c>
      <c r="T747">
        <f>M747-LTP3!$D$3*H747/k_n</f>
        <v/>
      </c>
      <c r="U747">
        <f>N747-G747*LTP3!$D$4/k_n</f>
        <v/>
      </c>
      <c r="V747">
        <f>O747-H747*LTP3!$D$4/k_n</f>
        <v/>
      </c>
      <c r="W747">
        <f>((LTP3!$D$5)*((P747)*(Q747)-(R747)*(R747))-(S747)*((S747)*(Q747)-(R747)*(T747))+(T747)*((S747)*(R747)-(P747)*(T747)))</f>
        <v/>
      </c>
      <c r="X747">
        <f>IF(ABS(W747)&gt;1E-12,((LTP3!$D$6)*((P747)*(Q747)-(R747)*(R747))-(S747)*((U747)*(Q747)-(R747)*(V747))+(T747)*((U747)*(R747)-(P747)*(V747)))/W747,0)</f>
        <v/>
      </c>
      <c r="Y747">
        <f>IF(ABS(W747)&gt;1E-12,((LTP3!$D$5)*((U747)*(Q747)-(R747)*(V747))-(LTP3!$D$6)*((S747)*(Q747)-(R747)*(T747))+(T747)*((S747)*(V747)-(U747)*(T747)))/W747,0)</f>
        <v/>
      </c>
      <c r="Z747">
        <f>IF(ABS(W747)&gt;1E-12,((LTP3!$D$5)*((P747)*(V747)-(U747)*(R747))-(S747)*((S747)*(V747)-(U747)*(T747))+(LTP3!$D$6)*((S747)*(R747)-(P747)*(T747)))/W747,0)</f>
        <v/>
      </c>
      <c r="AA747">
        <f>LTP3!$D$7-X747*LTP3!$D$6-Y747*U747-Z747*V747</f>
        <v/>
      </c>
      <c r="AB747">
        <f>IF(AND(F747,ABS(W747)&gt;1E-12,Y747&gt;0,Z747&gt;0),AA747,1E+300)</f>
        <v/>
      </c>
    </row>
    <row r="748">
      <c r="A748">
        <f>$B$3+$B$5*12</f>
        <v/>
      </c>
      <c r="B748">
        <f>$B$3+$B$5*4</f>
        <v/>
      </c>
      <c r="C748">
        <f>SUMPRODUCT(Calc!$K$3:$K$22*(Calc!$G$3:$G$22&lt;=A748))</f>
        <v/>
      </c>
      <c r="D748">
        <f>SUMPRODUCT(Calc!$K$3:$K$22*(Calc!$G$3:$G$22&gt;A748)*(Calc!$G$3:$G$22&lt;B748))</f>
        <v/>
      </c>
      <c r="E748">
        <f>SUMPRODUCT(Calc!$K$3:$K$22*(Calc!$G$3:$G$22&gt;=B748))</f>
        <v/>
      </c>
      <c r="F748">
        <f>AND(k_n&gt;=5,B748&gt;A748+1E-9,C748&gt;=2,D748&gt;=1,E748&gt;=2)</f>
        <v/>
      </c>
      <c r="G748">
        <f>SUMPRODUCT(Calc!$K$3:$K$22*(Calc!$G$3:$G$22&gt;A748)*(Calc!$G$3:$G$22-A748))</f>
        <v/>
      </c>
      <c r="H748">
        <f>SUMPRODUCT(Calc!$K$3:$K$22*(Calc!$G$3:$G$22&gt;B748)*(Calc!$G$3:$G$22-B748))</f>
        <v/>
      </c>
      <c r="I748">
        <f>SUMPRODUCT(Calc!$K$3:$K$22*(Calc!$G$3:$G$22&gt;A748)*(Calc!$G$3:$G$22-A748)^2)</f>
        <v/>
      </c>
      <c r="J748">
        <f>SUMPRODUCT(Calc!$K$3:$K$22*(Calc!$G$3:$G$22&gt;B748)*(Calc!$G$3:$G$22-B748)^2)</f>
        <v/>
      </c>
      <c r="K748">
        <f>SUMPRODUCT(Calc!$K$3:$K$22*(Calc!$G$3:$G$22&gt;A748)*(Calc!$G$3:$G$22-A748)*(Calc!$G$3:$G$22&gt;B748)*(Calc!$G$3:$G$22-B748))</f>
        <v/>
      </c>
      <c r="L748">
        <f>SUMPRODUCT(Calc!$K$3:$K$22*(Calc!$G$3:$G$22&gt;A748)*(Calc!$G$3:$G$22-A748)*Calc!$G$3:$G$22)</f>
        <v/>
      </c>
      <c r="M748">
        <f>SUMPRODUCT(Calc!$K$3:$K$22*(Calc!$G$3:$G$22&gt;B748)*(Calc!$G$3:$G$22-B748)*Calc!$G$3:$G$22)</f>
        <v/>
      </c>
      <c r="N748">
        <f>SUMPRODUCT(Calc!$K$3:$K$22*(Calc!$G$3:$G$22&gt;A748)*(Calc!$G$3:$G$22-A748)*Calc!$I$3:$I$22)</f>
        <v/>
      </c>
      <c r="O748">
        <f>SUMPRODUCT(Calc!$K$3:$K$22*(Calc!$G$3:$G$22&gt;B748)*(Calc!$G$3:$G$22-B748)*Calc!$I$3:$I$22)</f>
        <v/>
      </c>
      <c r="P748">
        <f>I748-G748^2/k_n</f>
        <v/>
      </c>
      <c r="Q748">
        <f>J748-H748^2/k_n</f>
        <v/>
      </c>
      <c r="R748">
        <f>K748-G748*H748/k_n</f>
        <v/>
      </c>
      <c r="S748">
        <f>L748-LTP3!$D$3*G748/k_n</f>
        <v/>
      </c>
      <c r="T748">
        <f>M748-LTP3!$D$3*H748/k_n</f>
        <v/>
      </c>
      <c r="U748">
        <f>N748-G748*LTP3!$D$4/k_n</f>
        <v/>
      </c>
      <c r="V748">
        <f>O748-H748*LTP3!$D$4/k_n</f>
        <v/>
      </c>
      <c r="W748">
        <f>((LTP3!$D$5)*((P748)*(Q748)-(R748)*(R748))-(S748)*((S748)*(Q748)-(R748)*(T748))+(T748)*((S748)*(R748)-(P748)*(T748)))</f>
        <v/>
      </c>
      <c r="X748">
        <f>IF(ABS(W748)&gt;1E-12,((LTP3!$D$6)*((P748)*(Q748)-(R748)*(R748))-(S748)*((U748)*(Q748)-(R748)*(V748))+(T748)*((U748)*(R748)-(P748)*(V748)))/W748,0)</f>
        <v/>
      </c>
      <c r="Y748">
        <f>IF(ABS(W748)&gt;1E-12,((LTP3!$D$5)*((U748)*(Q748)-(R748)*(V748))-(LTP3!$D$6)*((S748)*(Q748)-(R748)*(T748))+(T748)*((S748)*(V748)-(U748)*(T748)))/W748,0)</f>
        <v/>
      </c>
      <c r="Z748">
        <f>IF(ABS(W748)&gt;1E-12,((LTP3!$D$5)*((P748)*(V748)-(U748)*(R748))-(S748)*((S748)*(V748)-(U748)*(T748))+(LTP3!$D$6)*((S748)*(R748)-(P748)*(T748)))/W748,0)</f>
        <v/>
      </c>
      <c r="AA748">
        <f>LTP3!$D$7-X748*LTP3!$D$6-Y748*U748-Z748*V748</f>
        <v/>
      </c>
      <c r="AB748">
        <f>IF(AND(F748,ABS(W748)&gt;1E-12,Y748&gt;0,Z748&gt;0),AA748,1E+300)</f>
        <v/>
      </c>
    </row>
    <row r="749">
      <c r="A749">
        <f>$B$3+$B$5*12</f>
        <v/>
      </c>
      <c r="B749">
        <f>$B$3+$B$5*5</f>
        <v/>
      </c>
      <c r="C749">
        <f>SUMPRODUCT(Calc!$K$3:$K$22*(Calc!$G$3:$G$22&lt;=A749))</f>
        <v/>
      </c>
      <c r="D749">
        <f>SUMPRODUCT(Calc!$K$3:$K$22*(Calc!$G$3:$G$22&gt;A749)*(Calc!$G$3:$G$22&lt;B749))</f>
        <v/>
      </c>
      <c r="E749">
        <f>SUMPRODUCT(Calc!$K$3:$K$22*(Calc!$G$3:$G$22&gt;=B749))</f>
        <v/>
      </c>
      <c r="F749">
        <f>AND(k_n&gt;=5,B749&gt;A749+1E-9,C749&gt;=2,D749&gt;=1,E749&gt;=2)</f>
        <v/>
      </c>
      <c r="G749">
        <f>SUMPRODUCT(Calc!$K$3:$K$22*(Calc!$G$3:$G$22&gt;A749)*(Calc!$G$3:$G$22-A749))</f>
        <v/>
      </c>
      <c r="H749">
        <f>SUMPRODUCT(Calc!$K$3:$K$22*(Calc!$G$3:$G$22&gt;B749)*(Calc!$G$3:$G$22-B749))</f>
        <v/>
      </c>
      <c r="I749">
        <f>SUMPRODUCT(Calc!$K$3:$K$22*(Calc!$G$3:$G$22&gt;A749)*(Calc!$G$3:$G$22-A749)^2)</f>
        <v/>
      </c>
      <c r="J749">
        <f>SUMPRODUCT(Calc!$K$3:$K$22*(Calc!$G$3:$G$22&gt;B749)*(Calc!$G$3:$G$22-B749)^2)</f>
        <v/>
      </c>
      <c r="K749">
        <f>SUMPRODUCT(Calc!$K$3:$K$22*(Calc!$G$3:$G$22&gt;A749)*(Calc!$G$3:$G$22-A749)*(Calc!$G$3:$G$22&gt;B749)*(Calc!$G$3:$G$22-B749))</f>
        <v/>
      </c>
      <c r="L749">
        <f>SUMPRODUCT(Calc!$K$3:$K$22*(Calc!$G$3:$G$22&gt;A749)*(Calc!$G$3:$G$22-A749)*Calc!$G$3:$G$22)</f>
        <v/>
      </c>
      <c r="M749">
        <f>SUMPRODUCT(Calc!$K$3:$K$22*(Calc!$G$3:$G$22&gt;B749)*(Calc!$G$3:$G$22-B749)*Calc!$G$3:$G$22)</f>
        <v/>
      </c>
      <c r="N749">
        <f>SUMPRODUCT(Calc!$K$3:$K$22*(Calc!$G$3:$G$22&gt;A749)*(Calc!$G$3:$G$22-A749)*Calc!$I$3:$I$22)</f>
        <v/>
      </c>
      <c r="O749">
        <f>SUMPRODUCT(Calc!$K$3:$K$22*(Calc!$G$3:$G$22&gt;B749)*(Calc!$G$3:$G$22-B749)*Calc!$I$3:$I$22)</f>
        <v/>
      </c>
      <c r="P749">
        <f>I749-G749^2/k_n</f>
        <v/>
      </c>
      <c r="Q749">
        <f>J749-H749^2/k_n</f>
        <v/>
      </c>
      <c r="R749">
        <f>K749-G749*H749/k_n</f>
        <v/>
      </c>
      <c r="S749">
        <f>L749-LTP3!$D$3*G749/k_n</f>
        <v/>
      </c>
      <c r="T749">
        <f>M749-LTP3!$D$3*H749/k_n</f>
        <v/>
      </c>
      <c r="U749">
        <f>N749-G749*LTP3!$D$4/k_n</f>
        <v/>
      </c>
      <c r="V749">
        <f>O749-H749*LTP3!$D$4/k_n</f>
        <v/>
      </c>
      <c r="W749">
        <f>((LTP3!$D$5)*((P749)*(Q749)-(R749)*(R749))-(S749)*((S749)*(Q749)-(R749)*(T749))+(T749)*((S749)*(R749)-(P749)*(T749)))</f>
        <v/>
      </c>
      <c r="X749">
        <f>IF(ABS(W749)&gt;1E-12,((LTP3!$D$6)*((P749)*(Q749)-(R749)*(R749))-(S749)*((U749)*(Q749)-(R749)*(V749))+(T749)*((U749)*(R749)-(P749)*(V749)))/W749,0)</f>
        <v/>
      </c>
      <c r="Y749">
        <f>IF(ABS(W749)&gt;1E-12,((LTP3!$D$5)*((U749)*(Q749)-(R749)*(V749))-(LTP3!$D$6)*((S749)*(Q749)-(R749)*(T749))+(T749)*((S749)*(V749)-(U749)*(T749)))/W749,0)</f>
        <v/>
      </c>
      <c r="Z749">
        <f>IF(ABS(W749)&gt;1E-12,((LTP3!$D$5)*((P749)*(V749)-(U749)*(R749))-(S749)*((S749)*(V749)-(U749)*(T749))+(LTP3!$D$6)*((S749)*(R749)-(P749)*(T749)))/W749,0)</f>
        <v/>
      </c>
      <c r="AA749">
        <f>LTP3!$D$7-X749*LTP3!$D$6-Y749*U749-Z749*V749</f>
        <v/>
      </c>
      <c r="AB749">
        <f>IF(AND(F749,ABS(W749)&gt;1E-12,Y749&gt;0,Z749&gt;0),AA749,1E+300)</f>
        <v/>
      </c>
    </row>
    <row r="750">
      <c r="A750">
        <f>$B$3+$B$5*12</f>
        <v/>
      </c>
      <c r="B750">
        <f>$B$3+$B$5*6</f>
        <v/>
      </c>
      <c r="C750">
        <f>SUMPRODUCT(Calc!$K$3:$K$22*(Calc!$G$3:$G$22&lt;=A750))</f>
        <v/>
      </c>
      <c r="D750">
        <f>SUMPRODUCT(Calc!$K$3:$K$22*(Calc!$G$3:$G$22&gt;A750)*(Calc!$G$3:$G$22&lt;B750))</f>
        <v/>
      </c>
      <c r="E750">
        <f>SUMPRODUCT(Calc!$K$3:$K$22*(Calc!$G$3:$G$22&gt;=B750))</f>
        <v/>
      </c>
      <c r="F750">
        <f>AND(k_n&gt;=5,B750&gt;A750+1E-9,C750&gt;=2,D750&gt;=1,E750&gt;=2)</f>
        <v/>
      </c>
      <c r="G750">
        <f>SUMPRODUCT(Calc!$K$3:$K$22*(Calc!$G$3:$G$22&gt;A750)*(Calc!$G$3:$G$22-A750))</f>
        <v/>
      </c>
      <c r="H750">
        <f>SUMPRODUCT(Calc!$K$3:$K$22*(Calc!$G$3:$G$22&gt;B750)*(Calc!$G$3:$G$22-B750))</f>
        <v/>
      </c>
      <c r="I750">
        <f>SUMPRODUCT(Calc!$K$3:$K$22*(Calc!$G$3:$G$22&gt;A750)*(Calc!$G$3:$G$22-A750)^2)</f>
        <v/>
      </c>
      <c r="J750">
        <f>SUMPRODUCT(Calc!$K$3:$K$22*(Calc!$G$3:$G$22&gt;B750)*(Calc!$G$3:$G$22-B750)^2)</f>
        <v/>
      </c>
      <c r="K750">
        <f>SUMPRODUCT(Calc!$K$3:$K$22*(Calc!$G$3:$G$22&gt;A750)*(Calc!$G$3:$G$22-A750)*(Calc!$G$3:$G$22&gt;B750)*(Calc!$G$3:$G$22-B750))</f>
        <v/>
      </c>
      <c r="L750">
        <f>SUMPRODUCT(Calc!$K$3:$K$22*(Calc!$G$3:$G$22&gt;A750)*(Calc!$G$3:$G$22-A750)*Calc!$G$3:$G$22)</f>
        <v/>
      </c>
      <c r="M750">
        <f>SUMPRODUCT(Calc!$K$3:$K$22*(Calc!$G$3:$G$22&gt;B750)*(Calc!$G$3:$G$22-B750)*Calc!$G$3:$G$22)</f>
        <v/>
      </c>
      <c r="N750">
        <f>SUMPRODUCT(Calc!$K$3:$K$22*(Calc!$G$3:$G$22&gt;A750)*(Calc!$G$3:$G$22-A750)*Calc!$I$3:$I$22)</f>
        <v/>
      </c>
      <c r="O750">
        <f>SUMPRODUCT(Calc!$K$3:$K$22*(Calc!$G$3:$G$22&gt;B750)*(Calc!$G$3:$G$22-B750)*Calc!$I$3:$I$22)</f>
        <v/>
      </c>
      <c r="P750">
        <f>I750-G750^2/k_n</f>
        <v/>
      </c>
      <c r="Q750">
        <f>J750-H750^2/k_n</f>
        <v/>
      </c>
      <c r="R750">
        <f>K750-G750*H750/k_n</f>
        <v/>
      </c>
      <c r="S750">
        <f>L750-LTP3!$D$3*G750/k_n</f>
        <v/>
      </c>
      <c r="T750">
        <f>M750-LTP3!$D$3*H750/k_n</f>
        <v/>
      </c>
      <c r="U750">
        <f>N750-G750*LTP3!$D$4/k_n</f>
        <v/>
      </c>
      <c r="V750">
        <f>O750-H750*LTP3!$D$4/k_n</f>
        <v/>
      </c>
      <c r="W750">
        <f>((LTP3!$D$5)*((P750)*(Q750)-(R750)*(R750))-(S750)*((S750)*(Q750)-(R750)*(T750))+(T750)*((S750)*(R750)-(P750)*(T750)))</f>
        <v/>
      </c>
      <c r="X750">
        <f>IF(ABS(W750)&gt;1E-12,((LTP3!$D$6)*((P750)*(Q750)-(R750)*(R750))-(S750)*((U750)*(Q750)-(R750)*(V750))+(T750)*((U750)*(R750)-(P750)*(V750)))/W750,0)</f>
        <v/>
      </c>
      <c r="Y750">
        <f>IF(ABS(W750)&gt;1E-12,((LTP3!$D$5)*((U750)*(Q750)-(R750)*(V750))-(LTP3!$D$6)*((S750)*(Q750)-(R750)*(T750))+(T750)*((S750)*(V750)-(U750)*(T750)))/W750,0)</f>
        <v/>
      </c>
      <c r="Z750">
        <f>IF(ABS(W750)&gt;1E-12,((LTP3!$D$5)*((P750)*(V750)-(U750)*(R750))-(S750)*((S750)*(V750)-(U750)*(T750))+(LTP3!$D$6)*((S750)*(R750)-(P750)*(T750)))/W750,0)</f>
        <v/>
      </c>
      <c r="AA750">
        <f>LTP3!$D$7-X750*LTP3!$D$6-Y750*U750-Z750*V750</f>
        <v/>
      </c>
      <c r="AB750">
        <f>IF(AND(F750,ABS(W750)&gt;1E-12,Y750&gt;0,Z750&gt;0),AA750,1E+300)</f>
        <v/>
      </c>
    </row>
    <row r="751">
      <c r="A751">
        <f>$B$3+$B$5*12</f>
        <v/>
      </c>
      <c r="B751">
        <f>$B$3+$B$5*7</f>
        <v/>
      </c>
      <c r="C751">
        <f>SUMPRODUCT(Calc!$K$3:$K$22*(Calc!$G$3:$G$22&lt;=A751))</f>
        <v/>
      </c>
      <c r="D751">
        <f>SUMPRODUCT(Calc!$K$3:$K$22*(Calc!$G$3:$G$22&gt;A751)*(Calc!$G$3:$G$22&lt;B751))</f>
        <v/>
      </c>
      <c r="E751">
        <f>SUMPRODUCT(Calc!$K$3:$K$22*(Calc!$G$3:$G$22&gt;=B751))</f>
        <v/>
      </c>
      <c r="F751">
        <f>AND(k_n&gt;=5,B751&gt;A751+1E-9,C751&gt;=2,D751&gt;=1,E751&gt;=2)</f>
        <v/>
      </c>
      <c r="G751">
        <f>SUMPRODUCT(Calc!$K$3:$K$22*(Calc!$G$3:$G$22&gt;A751)*(Calc!$G$3:$G$22-A751))</f>
        <v/>
      </c>
      <c r="H751">
        <f>SUMPRODUCT(Calc!$K$3:$K$22*(Calc!$G$3:$G$22&gt;B751)*(Calc!$G$3:$G$22-B751))</f>
        <v/>
      </c>
      <c r="I751">
        <f>SUMPRODUCT(Calc!$K$3:$K$22*(Calc!$G$3:$G$22&gt;A751)*(Calc!$G$3:$G$22-A751)^2)</f>
        <v/>
      </c>
      <c r="J751">
        <f>SUMPRODUCT(Calc!$K$3:$K$22*(Calc!$G$3:$G$22&gt;B751)*(Calc!$G$3:$G$22-B751)^2)</f>
        <v/>
      </c>
      <c r="K751">
        <f>SUMPRODUCT(Calc!$K$3:$K$22*(Calc!$G$3:$G$22&gt;A751)*(Calc!$G$3:$G$22-A751)*(Calc!$G$3:$G$22&gt;B751)*(Calc!$G$3:$G$22-B751))</f>
        <v/>
      </c>
      <c r="L751">
        <f>SUMPRODUCT(Calc!$K$3:$K$22*(Calc!$G$3:$G$22&gt;A751)*(Calc!$G$3:$G$22-A751)*Calc!$G$3:$G$22)</f>
        <v/>
      </c>
      <c r="M751">
        <f>SUMPRODUCT(Calc!$K$3:$K$22*(Calc!$G$3:$G$22&gt;B751)*(Calc!$G$3:$G$22-B751)*Calc!$G$3:$G$22)</f>
        <v/>
      </c>
      <c r="N751">
        <f>SUMPRODUCT(Calc!$K$3:$K$22*(Calc!$G$3:$G$22&gt;A751)*(Calc!$G$3:$G$22-A751)*Calc!$I$3:$I$22)</f>
        <v/>
      </c>
      <c r="O751">
        <f>SUMPRODUCT(Calc!$K$3:$K$22*(Calc!$G$3:$G$22&gt;B751)*(Calc!$G$3:$G$22-B751)*Calc!$I$3:$I$22)</f>
        <v/>
      </c>
      <c r="P751">
        <f>I751-G751^2/k_n</f>
        <v/>
      </c>
      <c r="Q751">
        <f>J751-H751^2/k_n</f>
        <v/>
      </c>
      <c r="R751">
        <f>K751-G751*H751/k_n</f>
        <v/>
      </c>
      <c r="S751">
        <f>L751-LTP3!$D$3*G751/k_n</f>
        <v/>
      </c>
      <c r="T751">
        <f>M751-LTP3!$D$3*H751/k_n</f>
        <v/>
      </c>
      <c r="U751">
        <f>N751-G751*LTP3!$D$4/k_n</f>
        <v/>
      </c>
      <c r="V751">
        <f>O751-H751*LTP3!$D$4/k_n</f>
        <v/>
      </c>
      <c r="W751">
        <f>((LTP3!$D$5)*((P751)*(Q751)-(R751)*(R751))-(S751)*((S751)*(Q751)-(R751)*(T751))+(T751)*((S751)*(R751)-(P751)*(T751)))</f>
        <v/>
      </c>
      <c r="X751">
        <f>IF(ABS(W751)&gt;1E-12,((LTP3!$D$6)*((P751)*(Q751)-(R751)*(R751))-(S751)*((U751)*(Q751)-(R751)*(V751))+(T751)*((U751)*(R751)-(P751)*(V751)))/W751,0)</f>
        <v/>
      </c>
      <c r="Y751">
        <f>IF(ABS(W751)&gt;1E-12,((LTP3!$D$5)*((U751)*(Q751)-(R751)*(V751))-(LTP3!$D$6)*((S751)*(Q751)-(R751)*(T751))+(T751)*((S751)*(V751)-(U751)*(T751)))/W751,0)</f>
        <v/>
      </c>
      <c r="Z751">
        <f>IF(ABS(W751)&gt;1E-12,((LTP3!$D$5)*((P751)*(V751)-(U751)*(R751))-(S751)*((S751)*(V751)-(U751)*(T751))+(LTP3!$D$6)*((S751)*(R751)-(P751)*(T751)))/W751,0)</f>
        <v/>
      </c>
      <c r="AA751">
        <f>LTP3!$D$7-X751*LTP3!$D$6-Y751*U751-Z751*V751</f>
        <v/>
      </c>
      <c r="AB751">
        <f>IF(AND(F751,ABS(W751)&gt;1E-12,Y751&gt;0,Z751&gt;0),AA751,1E+300)</f>
        <v/>
      </c>
    </row>
    <row r="752">
      <c r="A752">
        <f>$B$3+$B$5*12</f>
        <v/>
      </c>
      <c r="B752">
        <f>$B$3+$B$5*8</f>
        <v/>
      </c>
      <c r="C752">
        <f>SUMPRODUCT(Calc!$K$3:$K$22*(Calc!$G$3:$G$22&lt;=A752))</f>
        <v/>
      </c>
      <c r="D752">
        <f>SUMPRODUCT(Calc!$K$3:$K$22*(Calc!$G$3:$G$22&gt;A752)*(Calc!$G$3:$G$22&lt;B752))</f>
        <v/>
      </c>
      <c r="E752">
        <f>SUMPRODUCT(Calc!$K$3:$K$22*(Calc!$G$3:$G$22&gt;=B752))</f>
        <v/>
      </c>
      <c r="F752">
        <f>AND(k_n&gt;=5,B752&gt;A752+1E-9,C752&gt;=2,D752&gt;=1,E752&gt;=2)</f>
        <v/>
      </c>
      <c r="G752">
        <f>SUMPRODUCT(Calc!$K$3:$K$22*(Calc!$G$3:$G$22&gt;A752)*(Calc!$G$3:$G$22-A752))</f>
        <v/>
      </c>
      <c r="H752">
        <f>SUMPRODUCT(Calc!$K$3:$K$22*(Calc!$G$3:$G$22&gt;B752)*(Calc!$G$3:$G$22-B752))</f>
        <v/>
      </c>
      <c r="I752">
        <f>SUMPRODUCT(Calc!$K$3:$K$22*(Calc!$G$3:$G$22&gt;A752)*(Calc!$G$3:$G$22-A752)^2)</f>
        <v/>
      </c>
      <c r="J752">
        <f>SUMPRODUCT(Calc!$K$3:$K$22*(Calc!$G$3:$G$22&gt;B752)*(Calc!$G$3:$G$22-B752)^2)</f>
        <v/>
      </c>
      <c r="K752">
        <f>SUMPRODUCT(Calc!$K$3:$K$22*(Calc!$G$3:$G$22&gt;A752)*(Calc!$G$3:$G$22-A752)*(Calc!$G$3:$G$22&gt;B752)*(Calc!$G$3:$G$22-B752))</f>
        <v/>
      </c>
      <c r="L752">
        <f>SUMPRODUCT(Calc!$K$3:$K$22*(Calc!$G$3:$G$22&gt;A752)*(Calc!$G$3:$G$22-A752)*Calc!$G$3:$G$22)</f>
        <v/>
      </c>
      <c r="M752">
        <f>SUMPRODUCT(Calc!$K$3:$K$22*(Calc!$G$3:$G$22&gt;B752)*(Calc!$G$3:$G$22-B752)*Calc!$G$3:$G$22)</f>
        <v/>
      </c>
      <c r="N752">
        <f>SUMPRODUCT(Calc!$K$3:$K$22*(Calc!$G$3:$G$22&gt;A752)*(Calc!$G$3:$G$22-A752)*Calc!$I$3:$I$22)</f>
        <v/>
      </c>
      <c r="O752">
        <f>SUMPRODUCT(Calc!$K$3:$K$22*(Calc!$G$3:$G$22&gt;B752)*(Calc!$G$3:$G$22-B752)*Calc!$I$3:$I$22)</f>
        <v/>
      </c>
      <c r="P752">
        <f>I752-G752^2/k_n</f>
        <v/>
      </c>
      <c r="Q752">
        <f>J752-H752^2/k_n</f>
        <v/>
      </c>
      <c r="R752">
        <f>K752-G752*H752/k_n</f>
        <v/>
      </c>
      <c r="S752">
        <f>L752-LTP3!$D$3*G752/k_n</f>
        <v/>
      </c>
      <c r="T752">
        <f>M752-LTP3!$D$3*H752/k_n</f>
        <v/>
      </c>
      <c r="U752">
        <f>N752-G752*LTP3!$D$4/k_n</f>
        <v/>
      </c>
      <c r="V752">
        <f>O752-H752*LTP3!$D$4/k_n</f>
        <v/>
      </c>
      <c r="W752">
        <f>((LTP3!$D$5)*((P752)*(Q752)-(R752)*(R752))-(S752)*((S752)*(Q752)-(R752)*(T752))+(T752)*((S752)*(R752)-(P752)*(T752)))</f>
        <v/>
      </c>
      <c r="X752">
        <f>IF(ABS(W752)&gt;1E-12,((LTP3!$D$6)*((P752)*(Q752)-(R752)*(R752))-(S752)*((U752)*(Q752)-(R752)*(V752))+(T752)*((U752)*(R752)-(P752)*(V752)))/W752,0)</f>
        <v/>
      </c>
      <c r="Y752">
        <f>IF(ABS(W752)&gt;1E-12,((LTP3!$D$5)*((U752)*(Q752)-(R752)*(V752))-(LTP3!$D$6)*((S752)*(Q752)-(R752)*(T752))+(T752)*((S752)*(V752)-(U752)*(T752)))/W752,0)</f>
        <v/>
      </c>
      <c r="Z752">
        <f>IF(ABS(W752)&gt;1E-12,((LTP3!$D$5)*((P752)*(V752)-(U752)*(R752))-(S752)*((S752)*(V752)-(U752)*(T752))+(LTP3!$D$6)*((S752)*(R752)-(P752)*(T752)))/W752,0)</f>
        <v/>
      </c>
      <c r="AA752">
        <f>LTP3!$D$7-X752*LTP3!$D$6-Y752*U752-Z752*V752</f>
        <v/>
      </c>
      <c r="AB752">
        <f>IF(AND(F752,ABS(W752)&gt;1E-12,Y752&gt;0,Z752&gt;0),AA752,1E+300)</f>
        <v/>
      </c>
    </row>
    <row r="753">
      <c r="A753">
        <f>$B$3+$B$5*12</f>
        <v/>
      </c>
      <c r="B753">
        <f>$B$3+$B$5*9</f>
        <v/>
      </c>
      <c r="C753">
        <f>SUMPRODUCT(Calc!$K$3:$K$22*(Calc!$G$3:$G$22&lt;=A753))</f>
        <v/>
      </c>
      <c r="D753">
        <f>SUMPRODUCT(Calc!$K$3:$K$22*(Calc!$G$3:$G$22&gt;A753)*(Calc!$G$3:$G$22&lt;B753))</f>
        <v/>
      </c>
      <c r="E753">
        <f>SUMPRODUCT(Calc!$K$3:$K$22*(Calc!$G$3:$G$22&gt;=B753))</f>
        <v/>
      </c>
      <c r="F753">
        <f>AND(k_n&gt;=5,B753&gt;A753+1E-9,C753&gt;=2,D753&gt;=1,E753&gt;=2)</f>
        <v/>
      </c>
      <c r="G753">
        <f>SUMPRODUCT(Calc!$K$3:$K$22*(Calc!$G$3:$G$22&gt;A753)*(Calc!$G$3:$G$22-A753))</f>
        <v/>
      </c>
      <c r="H753">
        <f>SUMPRODUCT(Calc!$K$3:$K$22*(Calc!$G$3:$G$22&gt;B753)*(Calc!$G$3:$G$22-B753))</f>
        <v/>
      </c>
      <c r="I753">
        <f>SUMPRODUCT(Calc!$K$3:$K$22*(Calc!$G$3:$G$22&gt;A753)*(Calc!$G$3:$G$22-A753)^2)</f>
        <v/>
      </c>
      <c r="J753">
        <f>SUMPRODUCT(Calc!$K$3:$K$22*(Calc!$G$3:$G$22&gt;B753)*(Calc!$G$3:$G$22-B753)^2)</f>
        <v/>
      </c>
      <c r="K753">
        <f>SUMPRODUCT(Calc!$K$3:$K$22*(Calc!$G$3:$G$22&gt;A753)*(Calc!$G$3:$G$22-A753)*(Calc!$G$3:$G$22&gt;B753)*(Calc!$G$3:$G$22-B753))</f>
        <v/>
      </c>
      <c r="L753">
        <f>SUMPRODUCT(Calc!$K$3:$K$22*(Calc!$G$3:$G$22&gt;A753)*(Calc!$G$3:$G$22-A753)*Calc!$G$3:$G$22)</f>
        <v/>
      </c>
      <c r="M753">
        <f>SUMPRODUCT(Calc!$K$3:$K$22*(Calc!$G$3:$G$22&gt;B753)*(Calc!$G$3:$G$22-B753)*Calc!$G$3:$G$22)</f>
        <v/>
      </c>
      <c r="N753">
        <f>SUMPRODUCT(Calc!$K$3:$K$22*(Calc!$G$3:$G$22&gt;A753)*(Calc!$G$3:$G$22-A753)*Calc!$I$3:$I$22)</f>
        <v/>
      </c>
      <c r="O753">
        <f>SUMPRODUCT(Calc!$K$3:$K$22*(Calc!$G$3:$G$22&gt;B753)*(Calc!$G$3:$G$22-B753)*Calc!$I$3:$I$22)</f>
        <v/>
      </c>
      <c r="P753">
        <f>I753-G753^2/k_n</f>
        <v/>
      </c>
      <c r="Q753">
        <f>J753-H753^2/k_n</f>
        <v/>
      </c>
      <c r="R753">
        <f>K753-G753*H753/k_n</f>
        <v/>
      </c>
      <c r="S753">
        <f>L753-LTP3!$D$3*G753/k_n</f>
        <v/>
      </c>
      <c r="T753">
        <f>M753-LTP3!$D$3*H753/k_n</f>
        <v/>
      </c>
      <c r="U753">
        <f>N753-G753*LTP3!$D$4/k_n</f>
        <v/>
      </c>
      <c r="V753">
        <f>O753-H753*LTP3!$D$4/k_n</f>
        <v/>
      </c>
      <c r="W753">
        <f>((LTP3!$D$5)*((P753)*(Q753)-(R753)*(R753))-(S753)*((S753)*(Q753)-(R753)*(T753))+(T753)*((S753)*(R753)-(P753)*(T753)))</f>
        <v/>
      </c>
      <c r="X753">
        <f>IF(ABS(W753)&gt;1E-12,((LTP3!$D$6)*((P753)*(Q753)-(R753)*(R753))-(S753)*((U753)*(Q753)-(R753)*(V753))+(T753)*((U753)*(R753)-(P753)*(V753)))/W753,0)</f>
        <v/>
      </c>
      <c r="Y753">
        <f>IF(ABS(W753)&gt;1E-12,((LTP3!$D$5)*((U753)*(Q753)-(R753)*(V753))-(LTP3!$D$6)*((S753)*(Q753)-(R753)*(T753))+(T753)*((S753)*(V753)-(U753)*(T753)))/W753,0)</f>
        <v/>
      </c>
      <c r="Z753">
        <f>IF(ABS(W753)&gt;1E-12,((LTP3!$D$5)*((P753)*(V753)-(U753)*(R753))-(S753)*((S753)*(V753)-(U753)*(T753))+(LTP3!$D$6)*((S753)*(R753)-(P753)*(T753)))/W753,0)</f>
        <v/>
      </c>
      <c r="AA753">
        <f>LTP3!$D$7-X753*LTP3!$D$6-Y753*U753-Z753*V753</f>
        <v/>
      </c>
      <c r="AB753">
        <f>IF(AND(F753,ABS(W753)&gt;1E-12,Y753&gt;0,Z753&gt;0),AA753,1E+300)</f>
        <v/>
      </c>
    </row>
    <row r="754">
      <c r="A754">
        <f>$B$3+$B$5*12</f>
        <v/>
      </c>
      <c r="B754">
        <f>$B$3+$B$5*10</f>
        <v/>
      </c>
      <c r="C754">
        <f>SUMPRODUCT(Calc!$K$3:$K$22*(Calc!$G$3:$G$22&lt;=A754))</f>
        <v/>
      </c>
      <c r="D754">
        <f>SUMPRODUCT(Calc!$K$3:$K$22*(Calc!$G$3:$G$22&gt;A754)*(Calc!$G$3:$G$22&lt;B754))</f>
        <v/>
      </c>
      <c r="E754">
        <f>SUMPRODUCT(Calc!$K$3:$K$22*(Calc!$G$3:$G$22&gt;=B754))</f>
        <v/>
      </c>
      <c r="F754">
        <f>AND(k_n&gt;=5,B754&gt;A754+1E-9,C754&gt;=2,D754&gt;=1,E754&gt;=2)</f>
        <v/>
      </c>
      <c r="G754">
        <f>SUMPRODUCT(Calc!$K$3:$K$22*(Calc!$G$3:$G$22&gt;A754)*(Calc!$G$3:$G$22-A754))</f>
        <v/>
      </c>
      <c r="H754">
        <f>SUMPRODUCT(Calc!$K$3:$K$22*(Calc!$G$3:$G$22&gt;B754)*(Calc!$G$3:$G$22-B754))</f>
        <v/>
      </c>
      <c r="I754">
        <f>SUMPRODUCT(Calc!$K$3:$K$22*(Calc!$G$3:$G$22&gt;A754)*(Calc!$G$3:$G$22-A754)^2)</f>
        <v/>
      </c>
      <c r="J754">
        <f>SUMPRODUCT(Calc!$K$3:$K$22*(Calc!$G$3:$G$22&gt;B754)*(Calc!$G$3:$G$22-B754)^2)</f>
        <v/>
      </c>
      <c r="K754">
        <f>SUMPRODUCT(Calc!$K$3:$K$22*(Calc!$G$3:$G$22&gt;A754)*(Calc!$G$3:$G$22-A754)*(Calc!$G$3:$G$22&gt;B754)*(Calc!$G$3:$G$22-B754))</f>
        <v/>
      </c>
      <c r="L754">
        <f>SUMPRODUCT(Calc!$K$3:$K$22*(Calc!$G$3:$G$22&gt;A754)*(Calc!$G$3:$G$22-A754)*Calc!$G$3:$G$22)</f>
        <v/>
      </c>
      <c r="M754">
        <f>SUMPRODUCT(Calc!$K$3:$K$22*(Calc!$G$3:$G$22&gt;B754)*(Calc!$G$3:$G$22-B754)*Calc!$G$3:$G$22)</f>
        <v/>
      </c>
      <c r="N754">
        <f>SUMPRODUCT(Calc!$K$3:$K$22*(Calc!$G$3:$G$22&gt;A754)*(Calc!$G$3:$G$22-A754)*Calc!$I$3:$I$22)</f>
        <v/>
      </c>
      <c r="O754">
        <f>SUMPRODUCT(Calc!$K$3:$K$22*(Calc!$G$3:$G$22&gt;B754)*(Calc!$G$3:$G$22-B754)*Calc!$I$3:$I$22)</f>
        <v/>
      </c>
      <c r="P754">
        <f>I754-G754^2/k_n</f>
        <v/>
      </c>
      <c r="Q754">
        <f>J754-H754^2/k_n</f>
        <v/>
      </c>
      <c r="R754">
        <f>K754-G754*H754/k_n</f>
        <v/>
      </c>
      <c r="S754">
        <f>L754-LTP3!$D$3*G754/k_n</f>
        <v/>
      </c>
      <c r="T754">
        <f>M754-LTP3!$D$3*H754/k_n</f>
        <v/>
      </c>
      <c r="U754">
        <f>N754-G754*LTP3!$D$4/k_n</f>
        <v/>
      </c>
      <c r="V754">
        <f>O754-H754*LTP3!$D$4/k_n</f>
        <v/>
      </c>
      <c r="W754">
        <f>((LTP3!$D$5)*((P754)*(Q754)-(R754)*(R754))-(S754)*((S754)*(Q754)-(R754)*(T754))+(T754)*((S754)*(R754)-(P754)*(T754)))</f>
        <v/>
      </c>
      <c r="X754">
        <f>IF(ABS(W754)&gt;1E-12,((LTP3!$D$6)*((P754)*(Q754)-(R754)*(R754))-(S754)*((U754)*(Q754)-(R754)*(V754))+(T754)*((U754)*(R754)-(P754)*(V754)))/W754,0)</f>
        <v/>
      </c>
      <c r="Y754">
        <f>IF(ABS(W754)&gt;1E-12,((LTP3!$D$5)*((U754)*(Q754)-(R754)*(V754))-(LTP3!$D$6)*((S754)*(Q754)-(R754)*(T754))+(T754)*((S754)*(V754)-(U754)*(T754)))/W754,0)</f>
        <v/>
      </c>
      <c r="Z754">
        <f>IF(ABS(W754)&gt;1E-12,((LTP3!$D$5)*((P754)*(V754)-(U754)*(R754))-(S754)*((S754)*(V754)-(U754)*(T754))+(LTP3!$D$6)*((S754)*(R754)-(P754)*(T754)))/W754,0)</f>
        <v/>
      </c>
      <c r="AA754">
        <f>LTP3!$D$7-X754*LTP3!$D$6-Y754*U754-Z754*V754</f>
        <v/>
      </c>
      <c r="AB754">
        <f>IF(AND(F754,ABS(W754)&gt;1E-12,Y754&gt;0,Z754&gt;0),AA754,1E+300)</f>
        <v/>
      </c>
    </row>
    <row r="755">
      <c r="A755">
        <f>$B$3+$B$5*12</f>
        <v/>
      </c>
      <c r="B755">
        <f>$B$3+$B$5*11</f>
        <v/>
      </c>
      <c r="C755">
        <f>SUMPRODUCT(Calc!$K$3:$K$22*(Calc!$G$3:$G$22&lt;=A755))</f>
        <v/>
      </c>
      <c r="D755">
        <f>SUMPRODUCT(Calc!$K$3:$K$22*(Calc!$G$3:$G$22&gt;A755)*(Calc!$G$3:$G$22&lt;B755))</f>
        <v/>
      </c>
      <c r="E755">
        <f>SUMPRODUCT(Calc!$K$3:$K$22*(Calc!$G$3:$G$22&gt;=B755))</f>
        <v/>
      </c>
      <c r="F755">
        <f>AND(k_n&gt;=5,B755&gt;A755+1E-9,C755&gt;=2,D755&gt;=1,E755&gt;=2)</f>
        <v/>
      </c>
      <c r="G755">
        <f>SUMPRODUCT(Calc!$K$3:$K$22*(Calc!$G$3:$G$22&gt;A755)*(Calc!$G$3:$G$22-A755))</f>
        <v/>
      </c>
      <c r="H755">
        <f>SUMPRODUCT(Calc!$K$3:$K$22*(Calc!$G$3:$G$22&gt;B755)*(Calc!$G$3:$G$22-B755))</f>
        <v/>
      </c>
      <c r="I755">
        <f>SUMPRODUCT(Calc!$K$3:$K$22*(Calc!$G$3:$G$22&gt;A755)*(Calc!$G$3:$G$22-A755)^2)</f>
        <v/>
      </c>
      <c r="J755">
        <f>SUMPRODUCT(Calc!$K$3:$K$22*(Calc!$G$3:$G$22&gt;B755)*(Calc!$G$3:$G$22-B755)^2)</f>
        <v/>
      </c>
      <c r="K755">
        <f>SUMPRODUCT(Calc!$K$3:$K$22*(Calc!$G$3:$G$22&gt;A755)*(Calc!$G$3:$G$22-A755)*(Calc!$G$3:$G$22&gt;B755)*(Calc!$G$3:$G$22-B755))</f>
        <v/>
      </c>
      <c r="L755">
        <f>SUMPRODUCT(Calc!$K$3:$K$22*(Calc!$G$3:$G$22&gt;A755)*(Calc!$G$3:$G$22-A755)*Calc!$G$3:$G$22)</f>
        <v/>
      </c>
      <c r="M755">
        <f>SUMPRODUCT(Calc!$K$3:$K$22*(Calc!$G$3:$G$22&gt;B755)*(Calc!$G$3:$G$22-B755)*Calc!$G$3:$G$22)</f>
        <v/>
      </c>
      <c r="N755">
        <f>SUMPRODUCT(Calc!$K$3:$K$22*(Calc!$G$3:$G$22&gt;A755)*(Calc!$G$3:$G$22-A755)*Calc!$I$3:$I$22)</f>
        <v/>
      </c>
      <c r="O755">
        <f>SUMPRODUCT(Calc!$K$3:$K$22*(Calc!$G$3:$G$22&gt;B755)*(Calc!$G$3:$G$22-B755)*Calc!$I$3:$I$22)</f>
        <v/>
      </c>
      <c r="P755">
        <f>I755-G755^2/k_n</f>
        <v/>
      </c>
      <c r="Q755">
        <f>J755-H755^2/k_n</f>
        <v/>
      </c>
      <c r="R755">
        <f>K755-G755*H755/k_n</f>
        <v/>
      </c>
      <c r="S755">
        <f>L755-LTP3!$D$3*G755/k_n</f>
        <v/>
      </c>
      <c r="T755">
        <f>M755-LTP3!$D$3*H755/k_n</f>
        <v/>
      </c>
      <c r="U755">
        <f>N755-G755*LTP3!$D$4/k_n</f>
        <v/>
      </c>
      <c r="V755">
        <f>O755-H755*LTP3!$D$4/k_n</f>
        <v/>
      </c>
      <c r="W755">
        <f>((LTP3!$D$5)*((P755)*(Q755)-(R755)*(R755))-(S755)*((S755)*(Q755)-(R755)*(T755))+(T755)*((S755)*(R755)-(P755)*(T755)))</f>
        <v/>
      </c>
      <c r="X755">
        <f>IF(ABS(W755)&gt;1E-12,((LTP3!$D$6)*((P755)*(Q755)-(R755)*(R755))-(S755)*((U755)*(Q755)-(R755)*(V755))+(T755)*((U755)*(R755)-(P755)*(V755)))/W755,0)</f>
        <v/>
      </c>
      <c r="Y755">
        <f>IF(ABS(W755)&gt;1E-12,((LTP3!$D$5)*((U755)*(Q755)-(R755)*(V755))-(LTP3!$D$6)*((S755)*(Q755)-(R755)*(T755))+(T755)*((S755)*(V755)-(U755)*(T755)))/W755,0)</f>
        <v/>
      </c>
      <c r="Z755">
        <f>IF(ABS(W755)&gt;1E-12,((LTP3!$D$5)*((P755)*(V755)-(U755)*(R755))-(S755)*((S755)*(V755)-(U755)*(T755))+(LTP3!$D$6)*((S755)*(R755)-(P755)*(T755)))/W755,0)</f>
        <v/>
      </c>
      <c r="AA755">
        <f>LTP3!$D$7-X755*LTP3!$D$6-Y755*U755-Z755*V755</f>
        <v/>
      </c>
      <c r="AB755">
        <f>IF(AND(F755,ABS(W755)&gt;1E-12,Y755&gt;0,Z755&gt;0),AA755,1E+300)</f>
        <v/>
      </c>
    </row>
    <row r="756">
      <c r="A756">
        <f>$B$3+$B$5*12</f>
        <v/>
      </c>
      <c r="B756">
        <f>$B$3+$B$5*12</f>
        <v/>
      </c>
      <c r="C756">
        <f>SUMPRODUCT(Calc!$K$3:$K$22*(Calc!$G$3:$G$22&lt;=A756))</f>
        <v/>
      </c>
      <c r="D756">
        <f>SUMPRODUCT(Calc!$K$3:$K$22*(Calc!$G$3:$G$22&gt;A756)*(Calc!$G$3:$G$22&lt;B756))</f>
        <v/>
      </c>
      <c r="E756">
        <f>SUMPRODUCT(Calc!$K$3:$K$22*(Calc!$G$3:$G$22&gt;=B756))</f>
        <v/>
      </c>
      <c r="F756">
        <f>AND(k_n&gt;=5,B756&gt;A756+1E-9,C756&gt;=2,D756&gt;=1,E756&gt;=2)</f>
        <v/>
      </c>
      <c r="G756">
        <f>SUMPRODUCT(Calc!$K$3:$K$22*(Calc!$G$3:$G$22&gt;A756)*(Calc!$G$3:$G$22-A756))</f>
        <v/>
      </c>
      <c r="H756">
        <f>SUMPRODUCT(Calc!$K$3:$K$22*(Calc!$G$3:$G$22&gt;B756)*(Calc!$G$3:$G$22-B756))</f>
        <v/>
      </c>
      <c r="I756">
        <f>SUMPRODUCT(Calc!$K$3:$K$22*(Calc!$G$3:$G$22&gt;A756)*(Calc!$G$3:$G$22-A756)^2)</f>
        <v/>
      </c>
      <c r="J756">
        <f>SUMPRODUCT(Calc!$K$3:$K$22*(Calc!$G$3:$G$22&gt;B756)*(Calc!$G$3:$G$22-B756)^2)</f>
        <v/>
      </c>
      <c r="K756">
        <f>SUMPRODUCT(Calc!$K$3:$K$22*(Calc!$G$3:$G$22&gt;A756)*(Calc!$G$3:$G$22-A756)*(Calc!$G$3:$G$22&gt;B756)*(Calc!$G$3:$G$22-B756))</f>
        <v/>
      </c>
      <c r="L756">
        <f>SUMPRODUCT(Calc!$K$3:$K$22*(Calc!$G$3:$G$22&gt;A756)*(Calc!$G$3:$G$22-A756)*Calc!$G$3:$G$22)</f>
        <v/>
      </c>
      <c r="M756">
        <f>SUMPRODUCT(Calc!$K$3:$K$22*(Calc!$G$3:$G$22&gt;B756)*(Calc!$G$3:$G$22-B756)*Calc!$G$3:$G$22)</f>
        <v/>
      </c>
      <c r="N756">
        <f>SUMPRODUCT(Calc!$K$3:$K$22*(Calc!$G$3:$G$22&gt;A756)*(Calc!$G$3:$G$22-A756)*Calc!$I$3:$I$22)</f>
        <v/>
      </c>
      <c r="O756">
        <f>SUMPRODUCT(Calc!$K$3:$K$22*(Calc!$G$3:$G$22&gt;B756)*(Calc!$G$3:$G$22-B756)*Calc!$I$3:$I$22)</f>
        <v/>
      </c>
      <c r="P756">
        <f>I756-G756^2/k_n</f>
        <v/>
      </c>
      <c r="Q756">
        <f>J756-H756^2/k_n</f>
        <v/>
      </c>
      <c r="R756">
        <f>K756-G756*H756/k_n</f>
        <v/>
      </c>
      <c r="S756">
        <f>L756-LTP3!$D$3*G756/k_n</f>
        <v/>
      </c>
      <c r="T756">
        <f>M756-LTP3!$D$3*H756/k_n</f>
        <v/>
      </c>
      <c r="U756">
        <f>N756-G756*LTP3!$D$4/k_n</f>
        <v/>
      </c>
      <c r="V756">
        <f>O756-H756*LTP3!$D$4/k_n</f>
        <v/>
      </c>
      <c r="W756">
        <f>((LTP3!$D$5)*((P756)*(Q756)-(R756)*(R756))-(S756)*((S756)*(Q756)-(R756)*(T756))+(T756)*((S756)*(R756)-(P756)*(T756)))</f>
        <v/>
      </c>
      <c r="X756">
        <f>IF(ABS(W756)&gt;1E-12,((LTP3!$D$6)*((P756)*(Q756)-(R756)*(R756))-(S756)*((U756)*(Q756)-(R756)*(V756))+(T756)*((U756)*(R756)-(P756)*(V756)))/W756,0)</f>
        <v/>
      </c>
      <c r="Y756">
        <f>IF(ABS(W756)&gt;1E-12,((LTP3!$D$5)*((U756)*(Q756)-(R756)*(V756))-(LTP3!$D$6)*((S756)*(Q756)-(R756)*(T756))+(T756)*((S756)*(V756)-(U756)*(T756)))/W756,0)</f>
        <v/>
      </c>
      <c r="Z756">
        <f>IF(ABS(W756)&gt;1E-12,((LTP3!$D$5)*((P756)*(V756)-(U756)*(R756))-(S756)*((S756)*(V756)-(U756)*(T756))+(LTP3!$D$6)*((S756)*(R756)-(P756)*(T756)))/W756,0)</f>
        <v/>
      </c>
      <c r="AA756">
        <f>LTP3!$D$7-X756*LTP3!$D$6-Y756*U756-Z756*V756</f>
        <v/>
      </c>
      <c r="AB756">
        <f>IF(AND(F756,ABS(W756)&gt;1E-12,Y756&gt;0,Z756&gt;0),AA756,1E+300)</f>
        <v/>
      </c>
    </row>
    <row r="757">
      <c r="A757">
        <f>$B$3+$B$5*12</f>
        <v/>
      </c>
      <c r="B757">
        <f>$B$3+$B$5*13</f>
        <v/>
      </c>
      <c r="C757">
        <f>SUMPRODUCT(Calc!$K$3:$K$22*(Calc!$G$3:$G$22&lt;=A757))</f>
        <v/>
      </c>
      <c r="D757">
        <f>SUMPRODUCT(Calc!$K$3:$K$22*(Calc!$G$3:$G$22&gt;A757)*(Calc!$G$3:$G$22&lt;B757))</f>
        <v/>
      </c>
      <c r="E757">
        <f>SUMPRODUCT(Calc!$K$3:$K$22*(Calc!$G$3:$G$22&gt;=B757))</f>
        <v/>
      </c>
      <c r="F757">
        <f>AND(k_n&gt;=5,B757&gt;A757+1E-9,C757&gt;=2,D757&gt;=1,E757&gt;=2)</f>
        <v/>
      </c>
      <c r="G757">
        <f>SUMPRODUCT(Calc!$K$3:$K$22*(Calc!$G$3:$G$22&gt;A757)*(Calc!$G$3:$G$22-A757))</f>
        <v/>
      </c>
      <c r="H757">
        <f>SUMPRODUCT(Calc!$K$3:$K$22*(Calc!$G$3:$G$22&gt;B757)*(Calc!$G$3:$G$22-B757))</f>
        <v/>
      </c>
      <c r="I757">
        <f>SUMPRODUCT(Calc!$K$3:$K$22*(Calc!$G$3:$G$22&gt;A757)*(Calc!$G$3:$G$22-A757)^2)</f>
        <v/>
      </c>
      <c r="J757">
        <f>SUMPRODUCT(Calc!$K$3:$K$22*(Calc!$G$3:$G$22&gt;B757)*(Calc!$G$3:$G$22-B757)^2)</f>
        <v/>
      </c>
      <c r="K757">
        <f>SUMPRODUCT(Calc!$K$3:$K$22*(Calc!$G$3:$G$22&gt;A757)*(Calc!$G$3:$G$22-A757)*(Calc!$G$3:$G$22&gt;B757)*(Calc!$G$3:$G$22-B757))</f>
        <v/>
      </c>
      <c r="L757">
        <f>SUMPRODUCT(Calc!$K$3:$K$22*(Calc!$G$3:$G$22&gt;A757)*(Calc!$G$3:$G$22-A757)*Calc!$G$3:$G$22)</f>
        <v/>
      </c>
      <c r="M757">
        <f>SUMPRODUCT(Calc!$K$3:$K$22*(Calc!$G$3:$G$22&gt;B757)*(Calc!$G$3:$G$22-B757)*Calc!$G$3:$G$22)</f>
        <v/>
      </c>
      <c r="N757">
        <f>SUMPRODUCT(Calc!$K$3:$K$22*(Calc!$G$3:$G$22&gt;A757)*(Calc!$G$3:$G$22-A757)*Calc!$I$3:$I$22)</f>
        <v/>
      </c>
      <c r="O757">
        <f>SUMPRODUCT(Calc!$K$3:$K$22*(Calc!$G$3:$G$22&gt;B757)*(Calc!$G$3:$G$22-B757)*Calc!$I$3:$I$22)</f>
        <v/>
      </c>
      <c r="P757">
        <f>I757-G757^2/k_n</f>
        <v/>
      </c>
      <c r="Q757">
        <f>J757-H757^2/k_n</f>
        <v/>
      </c>
      <c r="R757">
        <f>K757-G757*H757/k_n</f>
        <v/>
      </c>
      <c r="S757">
        <f>L757-LTP3!$D$3*G757/k_n</f>
        <v/>
      </c>
      <c r="T757">
        <f>M757-LTP3!$D$3*H757/k_n</f>
        <v/>
      </c>
      <c r="U757">
        <f>N757-G757*LTP3!$D$4/k_n</f>
        <v/>
      </c>
      <c r="V757">
        <f>O757-H757*LTP3!$D$4/k_n</f>
        <v/>
      </c>
      <c r="W757">
        <f>((LTP3!$D$5)*((P757)*(Q757)-(R757)*(R757))-(S757)*((S757)*(Q757)-(R757)*(T757))+(T757)*((S757)*(R757)-(P757)*(T757)))</f>
        <v/>
      </c>
      <c r="X757">
        <f>IF(ABS(W757)&gt;1E-12,((LTP3!$D$6)*((P757)*(Q757)-(R757)*(R757))-(S757)*((U757)*(Q757)-(R757)*(V757))+(T757)*((U757)*(R757)-(P757)*(V757)))/W757,0)</f>
        <v/>
      </c>
      <c r="Y757">
        <f>IF(ABS(W757)&gt;1E-12,((LTP3!$D$5)*((U757)*(Q757)-(R757)*(V757))-(LTP3!$D$6)*((S757)*(Q757)-(R757)*(T757))+(T757)*((S757)*(V757)-(U757)*(T757)))/W757,0)</f>
        <v/>
      </c>
      <c r="Z757">
        <f>IF(ABS(W757)&gt;1E-12,((LTP3!$D$5)*((P757)*(V757)-(U757)*(R757))-(S757)*((S757)*(V757)-(U757)*(T757))+(LTP3!$D$6)*((S757)*(R757)-(P757)*(T757)))/W757,0)</f>
        <v/>
      </c>
      <c r="AA757">
        <f>LTP3!$D$7-X757*LTP3!$D$6-Y757*U757-Z757*V757</f>
        <v/>
      </c>
      <c r="AB757">
        <f>IF(AND(F757,ABS(W757)&gt;1E-12,Y757&gt;0,Z757&gt;0),AA757,1E+300)</f>
        <v/>
      </c>
    </row>
    <row r="758">
      <c r="A758">
        <f>$B$3+$B$5*12</f>
        <v/>
      </c>
      <c r="B758">
        <f>$B$3+$B$5*14</f>
        <v/>
      </c>
      <c r="C758">
        <f>SUMPRODUCT(Calc!$K$3:$K$22*(Calc!$G$3:$G$22&lt;=A758))</f>
        <v/>
      </c>
      <c r="D758">
        <f>SUMPRODUCT(Calc!$K$3:$K$22*(Calc!$G$3:$G$22&gt;A758)*(Calc!$G$3:$G$22&lt;B758))</f>
        <v/>
      </c>
      <c r="E758">
        <f>SUMPRODUCT(Calc!$K$3:$K$22*(Calc!$G$3:$G$22&gt;=B758))</f>
        <v/>
      </c>
      <c r="F758">
        <f>AND(k_n&gt;=5,B758&gt;A758+1E-9,C758&gt;=2,D758&gt;=1,E758&gt;=2)</f>
        <v/>
      </c>
      <c r="G758">
        <f>SUMPRODUCT(Calc!$K$3:$K$22*(Calc!$G$3:$G$22&gt;A758)*(Calc!$G$3:$G$22-A758))</f>
        <v/>
      </c>
      <c r="H758">
        <f>SUMPRODUCT(Calc!$K$3:$K$22*(Calc!$G$3:$G$22&gt;B758)*(Calc!$G$3:$G$22-B758))</f>
        <v/>
      </c>
      <c r="I758">
        <f>SUMPRODUCT(Calc!$K$3:$K$22*(Calc!$G$3:$G$22&gt;A758)*(Calc!$G$3:$G$22-A758)^2)</f>
        <v/>
      </c>
      <c r="J758">
        <f>SUMPRODUCT(Calc!$K$3:$K$22*(Calc!$G$3:$G$22&gt;B758)*(Calc!$G$3:$G$22-B758)^2)</f>
        <v/>
      </c>
      <c r="K758">
        <f>SUMPRODUCT(Calc!$K$3:$K$22*(Calc!$G$3:$G$22&gt;A758)*(Calc!$G$3:$G$22-A758)*(Calc!$G$3:$G$22&gt;B758)*(Calc!$G$3:$G$22-B758))</f>
        <v/>
      </c>
      <c r="L758">
        <f>SUMPRODUCT(Calc!$K$3:$K$22*(Calc!$G$3:$G$22&gt;A758)*(Calc!$G$3:$G$22-A758)*Calc!$G$3:$G$22)</f>
        <v/>
      </c>
      <c r="M758">
        <f>SUMPRODUCT(Calc!$K$3:$K$22*(Calc!$G$3:$G$22&gt;B758)*(Calc!$G$3:$G$22-B758)*Calc!$G$3:$G$22)</f>
        <v/>
      </c>
      <c r="N758">
        <f>SUMPRODUCT(Calc!$K$3:$K$22*(Calc!$G$3:$G$22&gt;A758)*(Calc!$G$3:$G$22-A758)*Calc!$I$3:$I$22)</f>
        <v/>
      </c>
      <c r="O758">
        <f>SUMPRODUCT(Calc!$K$3:$K$22*(Calc!$G$3:$G$22&gt;B758)*(Calc!$G$3:$G$22-B758)*Calc!$I$3:$I$22)</f>
        <v/>
      </c>
      <c r="P758">
        <f>I758-G758^2/k_n</f>
        <v/>
      </c>
      <c r="Q758">
        <f>J758-H758^2/k_n</f>
        <v/>
      </c>
      <c r="R758">
        <f>K758-G758*H758/k_n</f>
        <v/>
      </c>
      <c r="S758">
        <f>L758-LTP3!$D$3*G758/k_n</f>
        <v/>
      </c>
      <c r="T758">
        <f>M758-LTP3!$D$3*H758/k_n</f>
        <v/>
      </c>
      <c r="U758">
        <f>N758-G758*LTP3!$D$4/k_n</f>
        <v/>
      </c>
      <c r="V758">
        <f>O758-H758*LTP3!$D$4/k_n</f>
        <v/>
      </c>
      <c r="W758">
        <f>((LTP3!$D$5)*((P758)*(Q758)-(R758)*(R758))-(S758)*((S758)*(Q758)-(R758)*(T758))+(T758)*((S758)*(R758)-(P758)*(T758)))</f>
        <v/>
      </c>
      <c r="X758">
        <f>IF(ABS(W758)&gt;1E-12,((LTP3!$D$6)*((P758)*(Q758)-(R758)*(R758))-(S758)*((U758)*(Q758)-(R758)*(V758))+(T758)*((U758)*(R758)-(P758)*(V758)))/W758,0)</f>
        <v/>
      </c>
      <c r="Y758">
        <f>IF(ABS(W758)&gt;1E-12,((LTP3!$D$5)*((U758)*(Q758)-(R758)*(V758))-(LTP3!$D$6)*((S758)*(Q758)-(R758)*(T758))+(T758)*((S758)*(V758)-(U758)*(T758)))/W758,0)</f>
        <v/>
      </c>
      <c r="Z758">
        <f>IF(ABS(W758)&gt;1E-12,((LTP3!$D$5)*((P758)*(V758)-(U758)*(R758))-(S758)*((S758)*(V758)-(U758)*(T758))+(LTP3!$D$6)*((S758)*(R758)-(P758)*(T758)))/W758,0)</f>
        <v/>
      </c>
      <c r="AA758">
        <f>LTP3!$D$7-X758*LTP3!$D$6-Y758*U758-Z758*V758</f>
        <v/>
      </c>
      <c r="AB758">
        <f>IF(AND(F758,ABS(W758)&gt;1E-12,Y758&gt;0,Z758&gt;0),AA758,1E+300)</f>
        <v/>
      </c>
    </row>
    <row r="759">
      <c r="A759">
        <f>$B$3+$B$5*12</f>
        <v/>
      </c>
      <c r="B759">
        <f>$B$3+$B$5*15</f>
        <v/>
      </c>
      <c r="C759">
        <f>SUMPRODUCT(Calc!$K$3:$K$22*(Calc!$G$3:$G$22&lt;=A759))</f>
        <v/>
      </c>
      <c r="D759">
        <f>SUMPRODUCT(Calc!$K$3:$K$22*(Calc!$G$3:$G$22&gt;A759)*(Calc!$G$3:$G$22&lt;B759))</f>
        <v/>
      </c>
      <c r="E759">
        <f>SUMPRODUCT(Calc!$K$3:$K$22*(Calc!$G$3:$G$22&gt;=B759))</f>
        <v/>
      </c>
      <c r="F759">
        <f>AND(k_n&gt;=5,B759&gt;A759+1E-9,C759&gt;=2,D759&gt;=1,E759&gt;=2)</f>
        <v/>
      </c>
      <c r="G759">
        <f>SUMPRODUCT(Calc!$K$3:$K$22*(Calc!$G$3:$G$22&gt;A759)*(Calc!$G$3:$G$22-A759))</f>
        <v/>
      </c>
      <c r="H759">
        <f>SUMPRODUCT(Calc!$K$3:$K$22*(Calc!$G$3:$G$22&gt;B759)*(Calc!$G$3:$G$22-B759))</f>
        <v/>
      </c>
      <c r="I759">
        <f>SUMPRODUCT(Calc!$K$3:$K$22*(Calc!$G$3:$G$22&gt;A759)*(Calc!$G$3:$G$22-A759)^2)</f>
        <v/>
      </c>
      <c r="J759">
        <f>SUMPRODUCT(Calc!$K$3:$K$22*(Calc!$G$3:$G$22&gt;B759)*(Calc!$G$3:$G$22-B759)^2)</f>
        <v/>
      </c>
      <c r="K759">
        <f>SUMPRODUCT(Calc!$K$3:$K$22*(Calc!$G$3:$G$22&gt;A759)*(Calc!$G$3:$G$22-A759)*(Calc!$G$3:$G$22&gt;B759)*(Calc!$G$3:$G$22-B759))</f>
        <v/>
      </c>
      <c r="L759">
        <f>SUMPRODUCT(Calc!$K$3:$K$22*(Calc!$G$3:$G$22&gt;A759)*(Calc!$G$3:$G$22-A759)*Calc!$G$3:$G$22)</f>
        <v/>
      </c>
      <c r="M759">
        <f>SUMPRODUCT(Calc!$K$3:$K$22*(Calc!$G$3:$G$22&gt;B759)*(Calc!$G$3:$G$22-B759)*Calc!$G$3:$G$22)</f>
        <v/>
      </c>
      <c r="N759">
        <f>SUMPRODUCT(Calc!$K$3:$K$22*(Calc!$G$3:$G$22&gt;A759)*(Calc!$G$3:$G$22-A759)*Calc!$I$3:$I$22)</f>
        <v/>
      </c>
      <c r="O759">
        <f>SUMPRODUCT(Calc!$K$3:$K$22*(Calc!$G$3:$G$22&gt;B759)*(Calc!$G$3:$G$22-B759)*Calc!$I$3:$I$22)</f>
        <v/>
      </c>
      <c r="P759">
        <f>I759-G759^2/k_n</f>
        <v/>
      </c>
      <c r="Q759">
        <f>J759-H759^2/k_n</f>
        <v/>
      </c>
      <c r="R759">
        <f>K759-G759*H759/k_n</f>
        <v/>
      </c>
      <c r="S759">
        <f>L759-LTP3!$D$3*G759/k_n</f>
        <v/>
      </c>
      <c r="T759">
        <f>M759-LTP3!$D$3*H759/k_n</f>
        <v/>
      </c>
      <c r="U759">
        <f>N759-G759*LTP3!$D$4/k_n</f>
        <v/>
      </c>
      <c r="V759">
        <f>O759-H759*LTP3!$D$4/k_n</f>
        <v/>
      </c>
      <c r="W759">
        <f>((LTP3!$D$5)*((P759)*(Q759)-(R759)*(R759))-(S759)*((S759)*(Q759)-(R759)*(T759))+(T759)*((S759)*(R759)-(P759)*(T759)))</f>
        <v/>
      </c>
      <c r="X759">
        <f>IF(ABS(W759)&gt;1E-12,((LTP3!$D$6)*((P759)*(Q759)-(R759)*(R759))-(S759)*((U759)*(Q759)-(R759)*(V759))+(T759)*((U759)*(R759)-(P759)*(V759)))/W759,0)</f>
        <v/>
      </c>
      <c r="Y759">
        <f>IF(ABS(W759)&gt;1E-12,((LTP3!$D$5)*((U759)*(Q759)-(R759)*(V759))-(LTP3!$D$6)*((S759)*(Q759)-(R759)*(T759))+(T759)*((S759)*(V759)-(U759)*(T759)))/W759,0)</f>
        <v/>
      </c>
      <c r="Z759">
        <f>IF(ABS(W759)&gt;1E-12,((LTP3!$D$5)*((P759)*(V759)-(U759)*(R759))-(S759)*((S759)*(V759)-(U759)*(T759))+(LTP3!$D$6)*((S759)*(R759)-(P759)*(T759)))/W759,0)</f>
        <v/>
      </c>
      <c r="AA759">
        <f>LTP3!$D$7-X759*LTP3!$D$6-Y759*U759-Z759*V759</f>
        <v/>
      </c>
      <c r="AB759">
        <f>IF(AND(F759,ABS(W759)&gt;1E-12,Y759&gt;0,Z759&gt;0),AA759,1E+300)</f>
        <v/>
      </c>
    </row>
    <row r="760">
      <c r="A760">
        <f>$B$3+$B$5*12</f>
        <v/>
      </c>
      <c r="B760">
        <f>$B$3+$B$5*16</f>
        <v/>
      </c>
      <c r="C760">
        <f>SUMPRODUCT(Calc!$K$3:$K$22*(Calc!$G$3:$G$22&lt;=A760))</f>
        <v/>
      </c>
      <c r="D760">
        <f>SUMPRODUCT(Calc!$K$3:$K$22*(Calc!$G$3:$G$22&gt;A760)*(Calc!$G$3:$G$22&lt;B760))</f>
        <v/>
      </c>
      <c r="E760">
        <f>SUMPRODUCT(Calc!$K$3:$K$22*(Calc!$G$3:$G$22&gt;=B760))</f>
        <v/>
      </c>
      <c r="F760">
        <f>AND(k_n&gt;=5,B760&gt;A760+1E-9,C760&gt;=2,D760&gt;=1,E760&gt;=2)</f>
        <v/>
      </c>
      <c r="G760">
        <f>SUMPRODUCT(Calc!$K$3:$K$22*(Calc!$G$3:$G$22&gt;A760)*(Calc!$G$3:$G$22-A760))</f>
        <v/>
      </c>
      <c r="H760">
        <f>SUMPRODUCT(Calc!$K$3:$K$22*(Calc!$G$3:$G$22&gt;B760)*(Calc!$G$3:$G$22-B760))</f>
        <v/>
      </c>
      <c r="I760">
        <f>SUMPRODUCT(Calc!$K$3:$K$22*(Calc!$G$3:$G$22&gt;A760)*(Calc!$G$3:$G$22-A760)^2)</f>
        <v/>
      </c>
      <c r="J760">
        <f>SUMPRODUCT(Calc!$K$3:$K$22*(Calc!$G$3:$G$22&gt;B760)*(Calc!$G$3:$G$22-B760)^2)</f>
        <v/>
      </c>
      <c r="K760">
        <f>SUMPRODUCT(Calc!$K$3:$K$22*(Calc!$G$3:$G$22&gt;A760)*(Calc!$G$3:$G$22-A760)*(Calc!$G$3:$G$22&gt;B760)*(Calc!$G$3:$G$22-B760))</f>
        <v/>
      </c>
      <c r="L760">
        <f>SUMPRODUCT(Calc!$K$3:$K$22*(Calc!$G$3:$G$22&gt;A760)*(Calc!$G$3:$G$22-A760)*Calc!$G$3:$G$22)</f>
        <v/>
      </c>
      <c r="M760">
        <f>SUMPRODUCT(Calc!$K$3:$K$22*(Calc!$G$3:$G$22&gt;B760)*(Calc!$G$3:$G$22-B760)*Calc!$G$3:$G$22)</f>
        <v/>
      </c>
      <c r="N760">
        <f>SUMPRODUCT(Calc!$K$3:$K$22*(Calc!$G$3:$G$22&gt;A760)*(Calc!$G$3:$G$22-A760)*Calc!$I$3:$I$22)</f>
        <v/>
      </c>
      <c r="O760">
        <f>SUMPRODUCT(Calc!$K$3:$K$22*(Calc!$G$3:$G$22&gt;B760)*(Calc!$G$3:$G$22-B760)*Calc!$I$3:$I$22)</f>
        <v/>
      </c>
      <c r="P760">
        <f>I760-G760^2/k_n</f>
        <v/>
      </c>
      <c r="Q760">
        <f>J760-H760^2/k_n</f>
        <v/>
      </c>
      <c r="R760">
        <f>K760-G760*H760/k_n</f>
        <v/>
      </c>
      <c r="S760">
        <f>L760-LTP3!$D$3*G760/k_n</f>
        <v/>
      </c>
      <c r="T760">
        <f>M760-LTP3!$D$3*H760/k_n</f>
        <v/>
      </c>
      <c r="U760">
        <f>N760-G760*LTP3!$D$4/k_n</f>
        <v/>
      </c>
      <c r="V760">
        <f>O760-H760*LTP3!$D$4/k_n</f>
        <v/>
      </c>
      <c r="W760">
        <f>((LTP3!$D$5)*((P760)*(Q760)-(R760)*(R760))-(S760)*((S760)*(Q760)-(R760)*(T760))+(T760)*((S760)*(R760)-(P760)*(T760)))</f>
        <v/>
      </c>
      <c r="X760">
        <f>IF(ABS(W760)&gt;1E-12,((LTP3!$D$6)*((P760)*(Q760)-(R760)*(R760))-(S760)*((U760)*(Q760)-(R760)*(V760))+(T760)*((U760)*(R760)-(P760)*(V760)))/W760,0)</f>
        <v/>
      </c>
      <c r="Y760">
        <f>IF(ABS(W760)&gt;1E-12,((LTP3!$D$5)*((U760)*(Q760)-(R760)*(V760))-(LTP3!$D$6)*((S760)*(Q760)-(R760)*(T760))+(T760)*((S760)*(V760)-(U760)*(T760)))/W760,0)</f>
        <v/>
      </c>
      <c r="Z760">
        <f>IF(ABS(W760)&gt;1E-12,((LTP3!$D$5)*((P760)*(V760)-(U760)*(R760))-(S760)*((S760)*(V760)-(U760)*(T760))+(LTP3!$D$6)*((S760)*(R760)-(P760)*(T760)))/W760,0)</f>
        <v/>
      </c>
      <c r="AA760">
        <f>LTP3!$D$7-X760*LTP3!$D$6-Y760*U760-Z760*V760</f>
        <v/>
      </c>
      <c r="AB760">
        <f>IF(AND(F760,ABS(W760)&gt;1E-12,Y760&gt;0,Z760&gt;0),AA760,1E+300)</f>
        <v/>
      </c>
    </row>
    <row r="761">
      <c r="A761">
        <f>$B$3+$B$5*12</f>
        <v/>
      </c>
      <c r="B761">
        <f>$B$3+$B$5*17</f>
        <v/>
      </c>
      <c r="C761">
        <f>SUMPRODUCT(Calc!$K$3:$K$22*(Calc!$G$3:$G$22&lt;=A761))</f>
        <v/>
      </c>
      <c r="D761">
        <f>SUMPRODUCT(Calc!$K$3:$K$22*(Calc!$G$3:$G$22&gt;A761)*(Calc!$G$3:$G$22&lt;B761))</f>
        <v/>
      </c>
      <c r="E761">
        <f>SUMPRODUCT(Calc!$K$3:$K$22*(Calc!$G$3:$G$22&gt;=B761))</f>
        <v/>
      </c>
      <c r="F761">
        <f>AND(k_n&gt;=5,B761&gt;A761+1E-9,C761&gt;=2,D761&gt;=1,E761&gt;=2)</f>
        <v/>
      </c>
      <c r="G761">
        <f>SUMPRODUCT(Calc!$K$3:$K$22*(Calc!$G$3:$G$22&gt;A761)*(Calc!$G$3:$G$22-A761))</f>
        <v/>
      </c>
      <c r="H761">
        <f>SUMPRODUCT(Calc!$K$3:$K$22*(Calc!$G$3:$G$22&gt;B761)*(Calc!$G$3:$G$22-B761))</f>
        <v/>
      </c>
      <c r="I761">
        <f>SUMPRODUCT(Calc!$K$3:$K$22*(Calc!$G$3:$G$22&gt;A761)*(Calc!$G$3:$G$22-A761)^2)</f>
        <v/>
      </c>
      <c r="J761">
        <f>SUMPRODUCT(Calc!$K$3:$K$22*(Calc!$G$3:$G$22&gt;B761)*(Calc!$G$3:$G$22-B761)^2)</f>
        <v/>
      </c>
      <c r="K761">
        <f>SUMPRODUCT(Calc!$K$3:$K$22*(Calc!$G$3:$G$22&gt;A761)*(Calc!$G$3:$G$22-A761)*(Calc!$G$3:$G$22&gt;B761)*(Calc!$G$3:$G$22-B761))</f>
        <v/>
      </c>
      <c r="L761">
        <f>SUMPRODUCT(Calc!$K$3:$K$22*(Calc!$G$3:$G$22&gt;A761)*(Calc!$G$3:$G$22-A761)*Calc!$G$3:$G$22)</f>
        <v/>
      </c>
      <c r="M761">
        <f>SUMPRODUCT(Calc!$K$3:$K$22*(Calc!$G$3:$G$22&gt;B761)*(Calc!$G$3:$G$22-B761)*Calc!$G$3:$G$22)</f>
        <v/>
      </c>
      <c r="N761">
        <f>SUMPRODUCT(Calc!$K$3:$K$22*(Calc!$G$3:$G$22&gt;A761)*(Calc!$G$3:$G$22-A761)*Calc!$I$3:$I$22)</f>
        <v/>
      </c>
      <c r="O761">
        <f>SUMPRODUCT(Calc!$K$3:$K$22*(Calc!$G$3:$G$22&gt;B761)*(Calc!$G$3:$G$22-B761)*Calc!$I$3:$I$22)</f>
        <v/>
      </c>
      <c r="P761">
        <f>I761-G761^2/k_n</f>
        <v/>
      </c>
      <c r="Q761">
        <f>J761-H761^2/k_n</f>
        <v/>
      </c>
      <c r="R761">
        <f>K761-G761*H761/k_n</f>
        <v/>
      </c>
      <c r="S761">
        <f>L761-LTP3!$D$3*G761/k_n</f>
        <v/>
      </c>
      <c r="T761">
        <f>M761-LTP3!$D$3*H761/k_n</f>
        <v/>
      </c>
      <c r="U761">
        <f>N761-G761*LTP3!$D$4/k_n</f>
        <v/>
      </c>
      <c r="V761">
        <f>O761-H761*LTP3!$D$4/k_n</f>
        <v/>
      </c>
      <c r="W761">
        <f>((LTP3!$D$5)*((P761)*(Q761)-(R761)*(R761))-(S761)*((S761)*(Q761)-(R761)*(T761))+(T761)*((S761)*(R761)-(P761)*(T761)))</f>
        <v/>
      </c>
      <c r="X761">
        <f>IF(ABS(W761)&gt;1E-12,((LTP3!$D$6)*((P761)*(Q761)-(R761)*(R761))-(S761)*((U761)*(Q761)-(R761)*(V761))+(T761)*((U761)*(R761)-(P761)*(V761)))/W761,0)</f>
        <v/>
      </c>
      <c r="Y761">
        <f>IF(ABS(W761)&gt;1E-12,((LTP3!$D$5)*((U761)*(Q761)-(R761)*(V761))-(LTP3!$D$6)*((S761)*(Q761)-(R761)*(T761))+(T761)*((S761)*(V761)-(U761)*(T761)))/W761,0)</f>
        <v/>
      </c>
      <c r="Z761">
        <f>IF(ABS(W761)&gt;1E-12,((LTP3!$D$5)*((P761)*(V761)-(U761)*(R761))-(S761)*((S761)*(V761)-(U761)*(T761))+(LTP3!$D$6)*((S761)*(R761)-(P761)*(T761)))/W761,0)</f>
        <v/>
      </c>
      <c r="AA761">
        <f>LTP3!$D$7-X761*LTP3!$D$6-Y761*U761-Z761*V761</f>
        <v/>
      </c>
      <c r="AB761">
        <f>IF(AND(F761,ABS(W761)&gt;1E-12,Y761&gt;0,Z761&gt;0),AA761,1E+300)</f>
        <v/>
      </c>
    </row>
    <row r="762">
      <c r="A762">
        <f>$B$3+$B$5*12</f>
        <v/>
      </c>
      <c r="B762">
        <f>$B$3+$B$5*18</f>
        <v/>
      </c>
      <c r="C762">
        <f>SUMPRODUCT(Calc!$K$3:$K$22*(Calc!$G$3:$G$22&lt;=A762))</f>
        <v/>
      </c>
      <c r="D762">
        <f>SUMPRODUCT(Calc!$K$3:$K$22*(Calc!$G$3:$G$22&gt;A762)*(Calc!$G$3:$G$22&lt;B762))</f>
        <v/>
      </c>
      <c r="E762">
        <f>SUMPRODUCT(Calc!$K$3:$K$22*(Calc!$G$3:$G$22&gt;=B762))</f>
        <v/>
      </c>
      <c r="F762">
        <f>AND(k_n&gt;=5,B762&gt;A762+1E-9,C762&gt;=2,D762&gt;=1,E762&gt;=2)</f>
        <v/>
      </c>
      <c r="G762">
        <f>SUMPRODUCT(Calc!$K$3:$K$22*(Calc!$G$3:$G$22&gt;A762)*(Calc!$G$3:$G$22-A762))</f>
        <v/>
      </c>
      <c r="H762">
        <f>SUMPRODUCT(Calc!$K$3:$K$22*(Calc!$G$3:$G$22&gt;B762)*(Calc!$G$3:$G$22-B762))</f>
        <v/>
      </c>
      <c r="I762">
        <f>SUMPRODUCT(Calc!$K$3:$K$22*(Calc!$G$3:$G$22&gt;A762)*(Calc!$G$3:$G$22-A762)^2)</f>
        <v/>
      </c>
      <c r="J762">
        <f>SUMPRODUCT(Calc!$K$3:$K$22*(Calc!$G$3:$G$22&gt;B762)*(Calc!$G$3:$G$22-B762)^2)</f>
        <v/>
      </c>
      <c r="K762">
        <f>SUMPRODUCT(Calc!$K$3:$K$22*(Calc!$G$3:$G$22&gt;A762)*(Calc!$G$3:$G$22-A762)*(Calc!$G$3:$G$22&gt;B762)*(Calc!$G$3:$G$22-B762))</f>
        <v/>
      </c>
      <c r="L762">
        <f>SUMPRODUCT(Calc!$K$3:$K$22*(Calc!$G$3:$G$22&gt;A762)*(Calc!$G$3:$G$22-A762)*Calc!$G$3:$G$22)</f>
        <v/>
      </c>
      <c r="M762">
        <f>SUMPRODUCT(Calc!$K$3:$K$22*(Calc!$G$3:$G$22&gt;B762)*(Calc!$G$3:$G$22-B762)*Calc!$G$3:$G$22)</f>
        <v/>
      </c>
      <c r="N762">
        <f>SUMPRODUCT(Calc!$K$3:$K$22*(Calc!$G$3:$G$22&gt;A762)*(Calc!$G$3:$G$22-A762)*Calc!$I$3:$I$22)</f>
        <v/>
      </c>
      <c r="O762">
        <f>SUMPRODUCT(Calc!$K$3:$K$22*(Calc!$G$3:$G$22&gt;B762)*(Calc!$G$3:$G$22-B762)*Calc!$I$3:$I$22)</f>
        <v/>
      </c>
      <c r="P762">
        <f>I762-G762^2/k_n</f>
        <v/>
      </c>
      <c r="Q762">
        <f>J762-H762^2/k_n</f>
        <v/>
      </c>
      <c r="R762">
        <f>K762-G762*H762/k_n</f>
        <v/>
      </c>
      <c r="S762">
        <f>L762-LTP3!$D$3*G762/k_n</f>
        <v/>
      </c>
      <c r="T762">
        <f>M762-LTP3!$D$3*H762/k_n</f>
        <v/>
      </c>
      <c r="U762">
        <f>N762-G762*LTP3!$D$4/k_n</f>
        <v/>
      </c>
      <c r="V762">
        <f>O762-H762*LTP3!$D$4/k_n</f>
        <v/>
      </c>
      <c r="W762">
        <f>((LTP3!$D$5)*((P762)*(Q762)-(R762)*(R762))-(S762)*((S762)*(Q762)-(R762)*(T762))+(T762)*((S762)*(R762)-(P762)*(T762)))</f>
        <v/>
      </c>
      <c r="X762">
        <f>IF(ABS(W762)&gt;1E-12,((LTP3!$D$6)*((P762)*(Q762)-(R762)*(R762))-(S762)*((U762)*(Q762)-(R762)*(V762))+(T762)*((U762)*(R762)-(P762)*(V762)))/W762,0)</f>
        <v/>
      </c>
      <c r="Y762">
        <f>IF(ABS(W762)&gt;1E-12,((LTP3!$D$5)*((U762)*(Q762)-(R762)*(V762))-(LTP3!$D$6)*((S762)*(Q762)-(R762)*(T762))+(T762)*((S762)*(V762)-(U762)*(T762)))/W762,0)</f>
        <v/>
      </c>
      <c r="Z762">
        <f>IF(ABS(W762)&gt;1E-12,((LTP3!$D$5)*((P762)*(V762)-(U762)*(R762))-(S762)*((S762)*(V762)-(U762)*(T762))+(LTP3!$D$6)*((S762)*(R762)-(P762)*(T762)))/W762,0)</f>
        <v/>
      </c>
      <c r="AA762">
        <f>LTP3!$D$7-X762*LTP3!$D$6-Y762*U762-Z762*V762</f>
        <v/>
      </c>
      <c r="AB762">
        <f>IF(AND(F762,ABS(W762)&gt;1E-12,Y762&gt;0,Z762&gt;0),AA762,1E+300)</f>
        <v/>
      </c>
    </row>
    <row r="763">
      <c r="A763">
        <f>$B$3+$B$5*12</f>
        <v/>
      </c>
      <c r="B763">
        <f>$B$3+$B$5*19</f>
        <v/>
      </c>
      <c r="C763">
        <f>SUMPRODUCT(Calc!$K$3:$K$22*(Calc!$G$3:$G$22&lt;=A763))</f>
        <v/>
      </c>
      <c r="D763">
        <f>SUMPRODUCT(Calc!$K$3:$K$22*(Calc!$G$3:$G$22&gt;A763)*(Calc!$G$3:$G$22&lt;B763))</f>
        <v/>
      </c>
      <c r="E763">
        <f>SUMPRODUCT(Calc!$K$3:$K$22*(Calc!$G$3:$G$22&gt;=B763))</f>
        <v/>
      </c>
      <c r="F763">
        <f>AND(k_n&gt;=5,B763&gt;A763+1E-9,C763&gt;=2,D763&gt;=1,E763&gt;=2)</f>
        <v/>
      </c>
      <c r="G763">
        <f>SUMPRODUCT(Calc!$K$3:$K$22*(Calc!$G$3:$G$22&gt;A763)*(Calc!$G$3:$G$22-A763))</f>
        <v/>
      </c>
      <c r="H763">
        <f>SUMPRODUCT(Calc!$K$3:$K$22*(Calc!$G$3:$G$22&gt;B763)*(Calc!$G$3:$G$22-B763))</f>
        <v/>
      </c>
      <c r="I763">
        <f>SUMPRODUCT(Calc!$K$3:$K$22*(Calc!$G$3:$G$22&gt;A763)*(Calc!$G$3:$G$22-A763)^2)</f>
        <v/>
      </c>
      <c r="J763">
        <f>SUMPRODUCT(Calc!$K$3:$K$22*(Calc!$G$3:$G$22&gt;B763)*(Calc!$G$3:$G$22-B763)^2)</f>
        <v/>
      </c>
      <c r="K763">
        <f>SUMPRODUCT(Calc!$K$3:$K$22*(Calc!$G$3:$G$22&gt;A763)*(Calc!$G$3:$G$22-A763)*(Calc!$G$3:$G$22&gt;B763)*(Calc!$G$3:$G$22-B763))</f>
        <v/>
      </c>
      <c r="L763">
        <f>SUMPRODUCT(Calc!$K$3:$K$22*(Calc!$G$3:$G$22&gt;A763)*(Calc!$G$3:$G$22-A763)*Calc!$G$3:$G$22)</f>
        <v/>
      </c>
      <c r="M763">
        <f>SUMPRODUCT(Calc!$K$3:$K$22*(Calc!$G$3:$G$22&gt;B763)*(Calc!$G$3:$G$22-B763)*Calc!$G$3:$G$22)</f>
        <v/>
      </c>
      <c r="N763">
        <f>SUMPRODUCT(Calc!$K$3:$K$22*(Calc!$G$3:$G$22&gt;A763)*(Calc!$G$3:$G$22-A763)*Calc!$I$3:$I$22)</f>
        <v/>
      </c>
      <c r="O763">
        <f>SUMPRODUCT(Calc!$K$3:$K$22*(Calc!$G$3:$G$22&gt;B763)*(Calc!$G$3:$G$22-B763)*Calc!$I$3:$I$22)</f>
        <v/>
      </c>
      <c r="P763">
        <f>I763-G763^2/k_n</f>
        <v/>
      </c>
      <c r="Q763">
        <f>J763-H763^2/k_n</f>
        <v/>
      </c>
      <c r="R763">
        <f>K763-G763*H763/k_n</f>
        <v/>
      </c>
      <c r="S763">
        <f>L763-LTP3!$D$3*G763/k_n</f>
        <v/>
      </c>
      <c r="T763">
        <f>M763-LTP3!$D$3*H763/k_n</f>
        <v/>
      </c>
      <c r="U763">
        <f>N763-G763*LTP3!$D$4/k_n</f>
        <v/>
      </c>
      <c r="V763">
        <f>O763-H763*LTP3!$D$4/k_n</f>
        <v/>
      </c>
      <c r="W763">
        <f>((LTP3!$D$5)*((P763)*(Q763)-(R763)*(R763))-(S763)*((S763)*(Q763)-(R763)*(T763))+(T763)*((S763)*(R763)-(P763)*(T763)))</f>
        <v/>
      </c>
      <c r="X763">
        <f>IF(ABS(W763)&gt;1E-12,((LTP3!$D$6)*((P763)*(Q763)-(R763)*(R763))-(S763)*((U763)*(Q763)-(R763)*(V763))+(T763)*((U763)*(R763)-(P763)*(V763)))/W763,0)</f>
        <v/>
      </c>
      <c r="Y763">
        <f>IF(ABS(W763)&gt;1E-12,((LTP3!$D$5)*((U763)*(Q763)-(R763)*(V763))-(LTP3!$D$6)*((S763)*(Q763)-(R763)*(T763))+(T763)*((S763)*(V763)-(U763)*(T763)))/W763,0)</f>
        <v/>
      </c>
      <c r="Z763">
        <f>IF(ABS(W763)&gt;1E-12,((LTP3!$D$5)*((P763)*(V763)-(U763)*(R763))-(S763)*((S763)*(V763)-(U763)*(T763))+(LTP3!$D$6)*((S763)*(R763)-(P763)*(T763)))/W763,0)</f>
        <v/>
      </c>
      <c r="AA763">
        <f>LTP3!$D$7-X763*LTP3!$D$6-Y763*U763-Z763*V763</f>
        <v/>
      </c>
      <c r="AB763">
        <f>IF(AND(F763,ABS(W763)&gt;1E-12,Y763&gt;0,Z763&gt;0),AA763,1E+300)</f>
        <v/>
      </c>
    </row>
    <row r="764">
      <c r="A764">
        <f>$B$3+$B$5*12</f>
        <v/>
      </c>
      <c r="B764">
        <f>$B$3+$B$5*20</f>
        <v/>
      </c>
      <c r="C764">
        <f>SUMPRODUCT(Calc!$K$3:$K$22*(Calc!$G$3:$G$22&lt;=A764))</f>
        <v/>
      </c>
      <c r="D764">
        <f>SUMPRODUCT(Calc!$K$3:$K$22*(Calc!$G$3:$G$22&gt;A764)*(Calc!$G$3:$G$22&lt;B764))</f>
        <v/>
      </c>
      <c r="E764">
        <f>SUMPRODUCT(Calc!$K$3:$K$22*(Calc!$G$3:$G$22&gt;=B764))</f>
        <v/>
      </c>
      <c r="F764">
        <f>AND(k_n&gt;=5,B764&gt;A764+1E-9,C764&gt;=2,D764&gt;=1,E764&gt;=2)</f>
        <v/>
      </c>
      <c r="G764">
        <f>SUMPRODUCT(Calc!$K$3:$K$22*(Calc!$G$3:$G$22&gt;A764)*(Calc!$G$3:$G$22-A764))</f>
        <v/>
      </c>
      <c r="H764">
        <f>SUMPRODUCT(Calc!$K$3:$K$22*(Calc!$G$3:$G$22&gt;B764)*(Calc!$G$3:$G$22-B764))</f>
        <v/>
      </c>
      <c r="I764">
        <f>SUMPRODUCT(Calc!$K$3:$K$22*(Calc!$G$3:$G$22&gt;A764)*(Calc!$G$3:$G$22-A764)^2)</f>
        <v/>
      </c>
      <c r="J764">
        <f>SUMPRODUCT(Calc!$K$3:$K$22*(Calc!$G$3:$G$22&gt;B764)*(Calc!$G$3:$G$22-B764)^2)</f>
        <v/>
      </c>
      <c r="K764">
        <f>SUMPRODUCT(Calc!$K$3:$K$22*(Calc!$G$3:$G$22&gt;A764)*(Calc!$G$3:$G$22-A764)*(Calc!$G$3:$G$22&gt;B764)*(Calc!$G$3:$G$22-B764))</f>
        <v/>
      </c>
      <c r="L764">
        <f>SUMPRODUCT(Calc!$K$3:$K$22*(Calc!$G$3:$G$22&gt;A764)*(Calc!$G$3:$G$22-A764)*Calc!$G$3:$G$22)</f>
        <v/>
      </c>
      <c r="M764">
        <f>SUMPRODUCT(Calc!$K$3:$K$22*(Calc!$G$3:$G$22&gt;B764)*(Calc!$G$3:$G$22-B764)*Calc!$G$3:$G$22)</f>
        <v/>
      </c>
      <c r="N764">
        <f>SUMPRODUCT(Calc!$K$3:$K$22*(Calc!$G$3:$G$22&gt;A764)*(Calc!$G$3:$G$22-A764)*Calc!$I$3:$I$22)</f>
        <v/>
      </c>
      <c r="O764">
        <f>SUMPRODUCT(Calc!$K$3:$K$22*(Calc!$G$3:$G$22&gt;B764)*(Calc!$G$3:$G$22-B764)*Calc!$I$3:$I$22)</f>
        <v/>
      </c>
      <c r="P764">
        <f>I764-G764^2/k_n</f>
        <v/>
      </c>
      <c r="Q764">
        <f>J764-H764^2/k_n</f>
        <v/>
      </c>
      <c r="R764">
        <f>K764-G764*H764/k_n</f>
        <v/>
      </c>
      <c r="S764">
        <f>L764-LTP3!$D$3*G764/k_n</f>
        <v/>
      </c>
      <c r="T764">
        <f>M764-LTP3!$D$3*H764/k_n</f>
        <v/>
      </c>
      <c r="U764">
        <f>N764-G764*LTP3!$D$4/k_n</f>
        <v/>
      </c>
      <c r="V764">
        <f>O764-H764*LTP3!$D$4/k_n</f>
        <v/>
      </c>
      <c r="W764">
        <f>((LTP3!$D$5)*((P764)*(Q764)-(R764)*(R764))-(S764)*((S764)*(Q764)-(R764)*(T764))+(T764)*((S764)*(R764)-(P764)*(T764)))</f>
        <v/>
      </c>
      <c r="X764">
        <f>IF(ABS(W764)&gt;1E-12,((LTP3!$D$6)*((P764)*(Q764)-(R764)*(R764))-(S764)*((U764)*(Q764)-(R764)*(V764))+(T764)*((U764)*(R764)-(P764)*(V764)))/W764,0)</f>
        <v/>
      </c>
      <c r="Y764">
        <f>IF(ABS(W764)&gt;1E-12,((LTP3!$D$5)*((U764)*(Q764)-(R764)*(V764))-(LTP3!$D$6)*((S764)*(Q764)-(R764)*(T764))+(T764)*((S764)*(V764)-(U764)*(T764)))/W764,0)</f>
        <v/>
      </c>
      <c r="Z764">
        <f>IF(ABS(W764)&gt;1E-12,((LTP3!$D$5)*((P764)*(V764)-(U764)*(R764))-(S764)*((S764)*(V764)-(U764)*(T764))+(LTP3!$D$6)*((S764)*(R764)-(P764)*(T764)))/W764,0)</f>
        <v/>
      </c>
      <c r="AA764">
        <f>LTP3!$D$7-X764*LTP3!$D$6-Y764*U764-Z764*V764</f>
        <v/>
      </c>
      <c r="AB764">
        <f>IF(AND(F764,ABS(W764)&gt;1E-12,Y764&gt;0,Z764&gt;0),AA764,1E+300)</f>
        <v/>
      </c>
    </row>
    <row r="765">
      <c r="A765">
        <f>$B$3+$B$5*12</f>
        <v/>
      </c>
      <c r="B765">
        <f>$B$3+$B$5*21</f>
        <v/>
      </c>
      <c r="C765">
        <f>SUMPRODUCT(Calc!$K$3:$K$22*(Calc!$G$3:$G$22&lt;=A765))</f>
        <v/>
      </c>
      <c r="D765">
        <f>SUMPRODUCT(Calc!$K$3:$K$22*(Calc!$G$3:$G$22&gt;A765)*(Calc!$G$3:$G$22&lt;B765))</f>
        <v/>
      </c>
      <c r="E765">
        <f>SUMPRODUCT(Calc!$K$3:$K$22*(Calc!$G$3:$G$22&gt;=B765))</f>
        <v/>
      </c>
      <c r="F765">
        <f>AND(k_n&gt;=5,B765&gt;A765+1E-9,C765&gt;=2,D765&gt;=1,E765&gt;=2)</f>
        <v/>
      </c>
      <c r="G765">
        <f>SUMPRODUCT(Calc!$K$3:$K$22*(Calc!$G$3:$G$22&gt;A765)*(Calc!$G$3:$G$22-A765))</f>
        <v/>
      </c>
      <c r="H765">
        <f>SUMPRODUCT(Calc!$K$3:$K$22*(Calc!$G$3:$G$22&gt;B765)*(Calc!$G$3:$G$22-B765))</f>
        <v/>
      </c>
      <c r="I765">
        <f>SUMPRODUCT(Calc!$K$3:$K$22*(Calc!$G$3:$G$22&gt;A765)*(Calc!$G$3:$G$22-A765)^2)</f>
        <v/>
      </c>
      <c r="J765">
        <f>SUMPRODUCT(Calc!$K$3:$K$22*(Calc!$G$3:$G$22&gt;B765)*(Calc!$G$3:$G$22-B765)^2)</f>
        <v/>
      </c>
      <c r="K765">
        <f>SUMPRODUCT(Calc!$K$3:$K$22*(Calc!$G$3:$G$22&gt;A765)*(Calc!$G$3:$G$22-A765)*(Calc!$G$3:$G$22&gt;B765)*(Calc!$G$3:$G$22-B765))</f>
        <v/>
      </c>
      <c r="L765">
        <f>SUMPRODUCT(Calc!$K$3:$K$22*(Calc!$G$3:$G$22&gt;A765)*(Calc!$G$3:$G$22-A765)*Calc!$G$3:$G$22)</f>
        <v/>
      </c>
      <c r="M765">
        <f>SUMPRODUCT(Calc!$K$3:$K$22*(Calc!$G$3:$G$22&gt;B765)*(Calc!$G$3:$G$22-B765)*Calc!$G$3:$G$22)</f>
        <v/>
      </c>
      <c r="N765">
        <f>SUMPRODUCT(Calc!$K$3:$K$22*(Calc!$G$3:$G$22&gt;A765)*(Calc!$G$3:$G$22-A765)*Calc!$I$3:$I$22)</f>
        <v/>
      </c>
      <c r="O765">
        <f>SUMPRODUCT(Calc!$K$3:$K$22*(Calc!$G$3:$G$22&gt;B765)*(Calc!$G$3:$G$22-B765)*Calc!$I$3:$I$22)</f>
        <v/>
      </c>
      <c r="P765">
        <f>I765-G765^2/k_n</f>
        <v/>
      </c>
      <c r="Q765">
        <f>J765-H765^2/k_n</f>
        <v/>
      </c>
      <c r="R765">
        <f>K765-G765*H765/k_n</f>
        <v/>
      </c>
      <c r="S765">
        <f>L765-LTP3!$D$3*G765/k_n</f>
        <v/>
      </c>
      <c r="T765">
        <f>M765-LTP3!$D$3*H765/k_n</f>
        <v/>
      </c>
      <c r="U765">
        <f>N765-G765*LTP3!$D$4/k_n</f>
        <v/>
      </c>
      <c r="V765">
        <f>O765-H765*LTP3!$D$4/k_n</f>
        <v/>
      </c>
      <c r="W765">
        <f>((LTP3!$D$5)*((P765)*(Q765)-(R765)*(R765))-(S765)*((S765)*(Q765)-(R765)*(T765))+(T765)*((S765)*(R765)-(P765)*(T765)))</f>
        <v/>
      </c>
      <c r="X765">
        <f>IF(ABS(W765)&gt;1E-12,((LTP3!$D$6)*((P765)*(Q765)-(R765)*(R765))-(S765)*((U765)*(Q765)-(R765)*(V765))+(T765)*((U765)*(R765)-(P765)*(V765)))/W765,0)</f>
        <v/>
      </c>
      <c r="Y765">
        <f>IF(ABS(W765)&gt;1E-12,((LTP3!$D$5)*((U765)*(Q765)-(R765)*(V765))-(LTP3!$D$6)*((S765)*(Q765)-(R765)*(T765))+(T765)*((S765)*(V765)-(U765)*(T765)))/W765,0)</f>
        <v/>
      </c>
      <c r="Z765">
        <f>IF(ABS(W765)&gt;1E-12,((LTP3!$D$5)*((P765)*(V765)-(U765)*(R765))-(S765)*((S765)*(V765)-(U765)*(T765))+(LTP3!$D$6)*((S765)*(R765)-(P765)*(T765)))/W765,0)</f>
        <v/>
      </c>
      <c r="AA765">
        <f>LTP3!$D$7-X765*LTP3!$D$6-Y765*U765-Z765*V765</f>
        <v/>
      </c>
      <c r="AB765">
        <f>IF(AND(F765,ABS(W765)&gt;1E-12,Y765&gt;0,Z765&gt;0),AA765,1E+300)</f>
        <v/>
      </c>
    </row>
    <row r="766">
      <c r="A766">
        <f>$B$3+$B$5*12</f>
        <v/>
      </c>
      <c r="B766">
        <f>$B$3+$B$5*22</f>
        <v/>
      </c>
      <c r="C766">
        <f>SUMPRODUCT(Calc!$K$3:$K$22*(Calc!$G$3:$G$22&lt;=A766))</f>
        <v/>
      </c>
      <c r="D766">
        <f>SUMPRODUCT(Calc!$K$3:$K$22*(Calc!$G$3:$G$22&gt;A766)*(Calc!$G$3:$G$22&lt;B766))</f>
        <v/>
      </c>
      <c r="E766">
        <f>SUMPRODUCT(Calc!$K$3:$K$22*(Calc!$G$3:$G$22&gt;=B766))</f>
        <v/>
      </c>
      <c r="F766">
        <f>AND(k_n&gt;=5,B766&gt;A766+1E-9,C766&gt;=2,D766&gt;=1,E766&gt;=2)</f>
        <v/>
      </c>
      <c r="G766">
        <f>SUMPRODUCT(Calc!$K$3:$K$22*(Calc!$G$3:$G$22&gt;A766)*(Calc!$G$3:$G$22-A766))</f>
        <v/>
      </c>
      <c r="H766">
        <f>SUMPRODUCT(Calc!$K$3:$K$22*(Calc!$G$3:$G$22&gt;B766)*(Calc!$G$3:$G$22-B766))</f>
        <v/>
      </c>
      <c r="I766">
        <f>SUMPRODUCT(Calc!$K$3:$K$22*(Calc!$G$3:$G$22&gt;A766)*(Calc!$G$3:$G$22-A766)^2)</f>
        <v/>
      </c>
      <c r="J766">
        <f>SUMPRODUCT(Calc!$K$3:$K$22*(Calc!$G$3:$G$22&gt;B766)*(Calc!$G$3:$G$22-B766)^2)</f>
        <v/>
      </c>
      <c r="K766">
        <f>SUMPRODUCT(Calc!$K$3:$K$22*(Calc!$G$3:$G$22&gt;A766)*(Calc!$G$3:$G$22-A766)*(Calc!$G$3:$G$22&gt;B766)*(Calc!$G$3:$G$22-B766))</f>
        <v/>
      </c>
      <c r="L766">
        <f>SUMPRODUCT(Calc!$K$3:$K$22*(Calc!$G$3:$G$22&gt;A766)*(Calc!$G$3:$G$22-A766)*Calc!$G$3:$G$22)</f>
        <v/>
      </c>
      <c r="M766">
        <f>SUMPRODUCT(Calc!$K$3:$K$22*(Calc!$G$3:$G$22&gt;B766)*(Calc!$G$3:$G$22-B766)*Calc!$G$3:$G$22)</f>
        <v/>
      </c>
      <c r="N766">
        <f>SUMPRODUCT(Calc!$K$3:$K$22*(Calc!$G$3:$G$22&gt;A766)*(Calc!$G$3:$G$22-A766)*Calc!$I$3:$I$22)</f>
        <v/>
      </c>
      <c r="O766">
        <f>SUMPRODUCT(Calc!$K$3:$K$22*(Calc!$G$3:$G$22&gt;B766)*(Calc!$G$3:$G$22-B766)*Calc!$I$3:$I$22)</f>
        <v/>
      </c>
      <c r="P766">
        <f>I766-G766^2/k_n</f>
        <v/>
      </c>
      <c r="Q766">
        <f>J766-H766^2/k_n</f>
        <v/>
      </c>
      <c r="R766">
        <f>K766-G766*H766/k_n</f>
        <v/>
      </c>
      <c r="S766">
        <f>L766-LTP3!$D$3*G766/k_n</f>
        <v/>
      </c>
      <c r="T766">
        <f>M766-LTP3!$D$3*H766/k_n</f>
        <v/>
      </c>
      <c r="U766">
        <f>N766-G766*LTP3!$D$4/k_n</f>
        <v/>
      </c>
      <c r="V766">
        <f>O766-H766*LTP3!$D$4/k_n</f>
        <v/>
      </c>
      <c r="W766">
        <f>((LTP3!$D$5)*((P766)*(Q766)-(R766)*(R766))-(S766)*((S766)*(Q766)-(R766)*(T766))+(T766)*((S766)*(R766)-(P766)*(T766)))</f>
        <v/>
      </c>
      <c r="X766">
        <f>IF(ABS(W766)&gt;1E-12,((LTP3!$D$6)*((P766)*(Q766)-(R766)*(R766))-(S766)*((U766)*(Q766)-(R766)*(V766))+(T766)*((U766)*(R766)-(P766)*(V766)))/W766,0)</f>
        <v/>
      </c>
      <c r="Y766">
        <f>IF(ABS(W766)&gt;1E-12,((LTP3!$D$5)*((U766)*(Q766)-(R766)*(V766))-(LTP3!$D$6)*((S766)*(Q766)-(R766)*(T766))+(T766)*((S766)*(V766)-(U766)*(T766)))/W766,0)</f>
        <v/>
      </c>
      <c r="Z766">
        <f>IF(ABS(W766)&gt;1E-12,((LTP3!$D$5)*((P766)*(V766)-(U766)*(R766))-(S766)*((S766)*(V766)-(U766)*(T766))+(LTP3!$D$6)*((S766)*(R766)-(P766)*(T766)))/W766,0)</f>
        <v/>
      </c>
      <c r="AA766">
        <f>LTP3!$D$7-X766*LTP3!$D$6-Y766*U766-Z766*V766</f>
        <v/>
      </c>
      <c r="AB766">
        <f>IF(AND(F766,ABS(W766)&gt;1E-12,Y766&gt;0,Z766&gt;0),AA766,1E+300)</f>
        <v/>
      </c>
    </row>
    <row r="767">
      <c r="A767">
        <f>$B$3+$B$5*12</f>
        <v/>
      </c>
      <c r="B767">
        <f>$B$3+$B$5*23</f>
        <v/>
      </c>
      <c r="C767">
        <f>SUMPRODUCT(Calc!$K$3:$K$22*(Calc!$G$3:$G$22&lt;=A767))</f>
        <v/>
      </c>
      <c r="D767">
        <f>SUMPRODUCT(Calc!$K$3:$K$22*(Calc!$G$3:$G$22&gt;A767)*(Calc!$G$3:$G$22&lt;B767))</f>
        <v/>
      </c>
      <c r="E767">
        <f>SUMPRODUCT(Calc!$K$3:$K$22*(Calc!$G$3:$G$22&gt;=B767))</f>
        <v/>
      </c>
      <c r="F767">
        <f>AND(k_n&gt;=5,B767&gt;A767+1E-9,C767&gt;=2,D767&gt;=1,E767&gt;=2)</f>
        <v/>
      </c>
      <c r="G767">
        <f>SUMPRODUCT(Calc!$K$3:$K$22*(Calc!$G$3:$G$22&gt;A767)*(Calc!$G$3:$G$22-A767))</f>
        <v/>
      </c>
      <c r="H767">
        <f>SUMPRODUCT(Calc!$K$3:$K$22*(Calc!$G$3:$G$22&gt;B767)*(Calc!$G$3:$G$22-B767))</f>
        <v/>
      </c>
      <c r="I767">
        <f>SUMPRODUCT(Calc!$K$3:$K$22*(Calc!$G$3:$G$22&gt;A767)*(Calc!$G$3:$G$22-A767)^2)</f>
        <v/>
      </c>
      <c r="J767">
        <f>SUMPRODUCT(Calc!$K$3:$K$22*(Calc!$G$3:$G$22&gt;B767)*(Calc!$G$3:$G$22-B767)^2)</f>
        <v/>
      </c>
      <c r="K767">
        <f>SUMPRODUCT(Calc!$K$3:$K$22*(Calc!$G$3:$G$22&gt;A767)*(Calc!$G$3:$G$22-A767)*(Calc!$G$3:$G$22&gt;B767)*(Calc!$G$3:$G$22-B767))</f>
        <v/>
      </c>
      <c r="L767">
        <f>SUMPRODUCT(Calc!$K$3:$K$22*(Calc!$G$3:$G$22&gt;A767)*(Calc!$G$3:$G$22-A767)*Calc!$G$3:$G$22)</f>
        <v/>
      </c>
      <c r="M767">
        <f>SUMPRODUCT(Calc!$K$3:$K$22*(Calc!$G$3:$G$22&gt;B767)*(Calc!$G$3:$G$22-B767)*Calc!$G$3:$G$22)</f>
        <v/>
      </c>
      <c r="N767">
        <f>SUMPRODUCT(Calc!$K$3:$K$22*(Calc!$G$3:$G$22&gt;A767)*(Calc!$G$3:$G$22-A767)*Calc!$I$3:$I$22)</f>
        <v/>
      </c>
      <c r="O767">
        <f>SUMPRODUCT(Calc!$K$3:$K$22*(Calc!$G$3:$G$22&gt;B767)*(Calc!$G$3:$G$22-B767)*Calc!$I$3:$I$22)</f>
        <v/>
      </c>
      <c r="P767">
        <f>I767-G767^2/k_n</f>
        <v/>
      </c>
      <c r="Q767">
        <f>J767-H767^2/k_n</f>
        <v/>
      </c>
      <c r="R767">
        <f>K767-G767*H767/k_n</f>
        <v/>
      </c>
      <c r="S767">
        <f>L767-LTP3!$D$3*G767/k_n</f>
        <v/>
      </c>
      <c r="T767">
        <f>M767-LTP3!$D$3*H767/k_n</f>
        <v/>
      </c>
      <c r="U767">
        <f>N767-G767*LTP3!$D$4/k_n</f>
        <v/>
      </c>
      <c r="V767">
        <f>O767-H767*LTP3!$D$4/k_n</f>
        <v/>
      </c>
      <c r="W767">
        <f>((LTP3!$D$5)*((P767)*(Q767)-(R767)*(R767))-(S767)*((S767)*(Q767)-(R767)*(T767))+(T767)*((S767)*(R767)-(P767)*(T767)))</f>
        <v/>
      </c>
      <c r="X767">
        <f>IF(ABS(W767)&gt;1E-12,((LTP3!$D$6)*((P767)*(Q767)-(R767)*(R767))-(S767)*((U767)*(Q767)-(R767)*(V767))+(T767)*((U767)*(R767)-(P767)*(V767)))/W767,0)</f>
        <v/>
      </c>
      <c r="Y767">
        <f>IF(ABS(W767)&gt;1E-12,((LTP3!$D$5)*((U767)*(Q767)-(R767)*(V767))-(LTP3!$D$6)*((S767)*(Q767)-(R767)*(T767))+(T767)*((S767)*(V767)-(U767)*(T767)))/W767,0)</f>
        <v/>
      </c>
      <c r="Z767">
        <f>IF(ABS(W767)&gt;1E-12,((LTP3!$D$5)*((P767)*(V767)-(U767)*(R767))-(S767)*((S767)*(V767)-(U767)*(T767))+(LTP3!$D$6)*((S767)*(R767)-(P767)*(T767)))/W767,0)</f>
        <v/>
      </c>
      <c r="AA767">
        <f>LTP3!$D$7-X767*LTP3!$D$6-Y767*U767-Z767*V767</f>
        <v/>
      </c>
      <c r="AB767">
        <f>IF(AND(F767,ABS(W767)&gt;1E-12,Y767&gt;0,Z767&gt;0),AA767,1E+300)</f>
        <v/>
      </c>
    </row>
    <row r="768">
      <c r="A768">
        <f>$B$3+$B$5*12</f>
        <v/>
      </c>
      <c r="B768">
        <f>$B$3+$B$5*24</f>
        <v/>
      </c>
      <c r="C768">
        <f>SUMPRODUCT(Calc!$K$3:$K$22*(Calc!$G$3:$G$22&lt;=A768))</f>
        <v/>
      </c>
      <c r="D768">
        <f>SUMPRODUCT(Calc!$K$3:$K$22*(Calc!$G$3:$G$22&gt;A768)*(Calc!$G$3:$G$22&lt;B768))</f>
        <v/>
      </c>
      <c r="E768">
        <f>SUMPRODUCT(Calc!$K$3:$K$22*(Calc!$G$3:$G$22&gt;=B768))</f>
        <v/>
      </c>
      <c r="F768">
        <f>AND(k_n&gt;=5,B768&gt;A768+1E-9,C768&gt;=2,D768&gt;=1,E768&gt;=2)</f>
        <v/>
      </c>
      <c r="G768">
        <f>SUMPRODUCT(Calc!$K$3:$K$22*(Calc!$G$3:$G$22&gt;A768)*(Calc!$G$3:$G$22-A768))</f>
        <v/>
      </c>
      <c r="H768">
        <f>SUMPRODUCT(Calc!$K$3:$K$22*(Calc!$G$3:$G$22&gt;B768)*(Calc!$G$3:$G$22-B768))</f>
        <v/>
      </c>
      <c r="I768">
        <f>SUMPRODUCT(Calc!$K$3:$K$22*(Calc!$G$3:$G$22&gt;A768)*(Calc!$G$3:$G$22-A768)^2)</f>
        <v/>
      </c>
      <c r="J768">
        <f>SUMPRODUCT(Calc!$K$3:$K$22*(Calc!$G$3:$G$22&gt;B768)*(Calc!$G$3:$G$22-B768)^2)</f>
        <v/>
      </c>
      <c r="K768">
        <f>SUMPRODUCT(Calc!$K$3:$K$22*(Calc!$G$3:$G$22&gt;A768)*(Calc!$G$3:$G$22-A768)*(Calc!$G$3:$G$22&gt;B768)*(Calc!$G$3:$G$22-B768))</f>
        <v/>
      </c>
      <c r="L768">
        <f>SUMPRODUCT(Calc!$K$3:$K$22*(Calc!$G$3:$G$22&gt;A768)*(Calc!$G$3:$G$22-A768)*Calc!$G$3:$G$22)</f>
        <v/>
      </c>
      <c r="M768">
        <f>SUMPRODUCT(Calc!$K$3:$K$22*(Calc!$G$3:$G$22&gt;B768)*(Calc!$G$3:$G$22-B768)*Calc!$G$3:$G$22)</f>
        <v/>
      </c>
      <c r="N768">
        <f>SUMPRODUCT(Calc!$K$3:$K$22*(Calc!$G$3:$G$22&gt;A768)*(Calc!$G$3:$G$22-A768)*Calc!$I$3:$I$22)</f>
        <v/>
      </c>
      <c r="O768">
        <f>SUMPRODUCT(Calc!$K$3:$K$22*(Calc!$G$3:$G$22&gt;B768)*(Calc!$G$3:$G$22-B768)*Calc!$I$3:$I$22)</f>
        <v/>
      </c>
      <c r="P768">
        <f>I768-G768^2/k_n</f>
        <v/>
      </c>
      <c r="Q768">
        <f>J768-H768^2/k_n</f>
        <v/>
      </c>
      <c r="R768">
        <f>K768-G768*H768/k_n</f>
        <v/>
      </c>
      <c r="S768">
        <f>L768-LTP3!$D$3*G768/k_n</f>
        <v/>
      </c>
      <c r="T768">
        <f>M768-LTP3!$D$3*H768/k_n</f>
        <v/>
      </c>
      <c r="U768">
        <f>N768-G768*LTP3!$D$4/k_n</f>
        <v/>
      </c>
      <c r="V768">
        <f>O768-H768*LTP3!$D$4/k_n</f>
        <v/>
      </c>
      <c r="W768">
        <f>((LTP3!$D$5)*((P768)*(Q768)-(R768)*(R768))-(S768)*((S768)*(Q768)-(R768)*(T768))+(T768)*((S768)*(R768)-(P768)*(T768)))</f>
        <v/>
      </c>
      <c r="X768">
        <f>IF(ABS(W768)&gt;1E-12,((LTP3!$D$6)*((P768)*(Q768)-(R768)*(R768))-(S768)*((U768)*(Q768)-(R768)*(V768))+(T768)*((U768)*(R768)-(P768)*(V768)))/W768,0)</f>
        <v/>
      </c>
      <c r="Y768">
        <f>IF(ABS(W768)&gt;1E-12,((LTP3!$D$5)*((U768)*(Q768)-(R768)*(V768))-(LTP3!$D$6)*((S768)*(Q768)-(R768)*(T768))+(T768)*((S768)*(V768)-(U768)*(T768)))/W768,0)</f>
        <v/>
      </c>
      <c r="Z768">
        <f>IF(ABS(W768)&gt;1E-12,((LTP3!$D$5)*((P768)*(V768)-(U768)*(R768))-(S768)*((S768)*(V768)-(U768)*(T768))+(LTP3!$D$6)*((S768)*(R768)-(P768)*(T768)))/W768,0)</f>
        <v/>
      </c>
      <c r="AA768">
        <f>LTP3!$D$7-X768*LTP3!$D$6-Y768*U768-Z768*V768</f>
        <v/>
      </c>
      <c r="AB768">
        <f>IF(AND(F768,ABS(W768)&gt;1E-12,Y768&gt;0,Z768&gt;0),AA768,1E+300)</f>
        <v/>
      </c>
    </row>
    <row r="769">
      <c r="A769">
        <f>$B$3+$B$5*12</f>
        <v/>
      </c>
      <c r="B769">
        <f>$B$3+$B$5*25</f>
        <v/>
      </c>
      <c r="C769">
        <f>SUMPRODUCT(Calc!$K$3:$K$22*(Calc!$G$3:$G$22&lt;=A769))</f>
        <v/>
      </c>
      <c r="D769">
        <f>SUMPRODUCT(Calc!$K$3:$K$22*(Calc!$G$3:$G$22&gt;A769)*(Calc!$G$3:$G$22&lt;B769))</f>
        <v/>
      </c>
      <c r="E769">
        <f>SUMPRODUCT(Calc!$K$3:$K$22*(Calc!$G$3:$G$22&gt;=B769))</f>
        <v/>
      </c>
      <c r="F769">
        <f>AND(k_n&gt;=5,B769&gt;A769+1E-9,C769&gt;=2,D769&gt;=1,E769&gt;=2)</f>
        <v/>
      </c>
      <c r="G769">
        <f>SUMPRODUCT(Calc!$K$3:$K$22*(Calc!$G$3:$G$22&gt;A769)*(Calc!$G$3:$G$22-A769))</f>
        <v/>
      </c>
      <c r="H769">
        <f>SUMPRODUCT(Calc!$K$3:$K$22*(Calc!$G$3:$G$22&gt;B769)*(Calc!$G$3:$G$22-B769))</f>
        <v/>
      </c>
      <c r="I769">
        <f>SUMPRODUCT(Calc!$K$3:$K$22*(Calc!$G$3:$G$22&gt;A769)*(Calc!$G$3:$G$22-A769)^2)</f>
        <v/>
      </c>
      <c r="J769">
        <f>SUMPRODUCT(Calc!$K$3:$K$22*(Calc!$G$3:$G$22&gt;B769)*(Calc!$G$3:$G$22-B769)^2)</f>
        <v/>
      </c>
      <c r="K769">
        <f>SUMPRODUCT(Calc!$K$3:$K$22*(Calc!$G$3:$G$22&gt;A769)*(Calc!$G$3:$G$22-A769)*(Calc!$G$3:$G$22&gt;B769)*(Calc!$G$3:$G$22-B769))</f>
        <v/>
      </c>
      <c r="L769">
        <f>SUMPRODUCT(Calc!$K$3:$K$22*(Calc!$G$3:$G$22&gt;A769)*(Calc!$G$3:$G$22-A769)*Calc!$G$3:$G$22)</f>
        <v/>
      </c>
      <c r="M769">
        <f>SUMPRODUCT(Calc!$K$3:$K$22*(Calc!$G$3:$G$22&gt;B769)*(Calc!$G$3:$G$22-B769)*Calc!$G$3:$G$22)</f>
        <v/>
      </c>
      <c r="N769">
        <f>SUMPRODUCT(Calc!$K$3:$K$22*(Calc!$G$3:$G$22&gt;A769)*(Calc!$G$3:$G$22-A769)*Calc!$I$3:$I$22)</f>
        <v/>
      </c>
      <c r="O769">
        <f>SUMPRODUCT(Calc!$K$3:$K$22*(Calc!$G$3:$G$22&gt;B769)*(Calc!$G$3:$G$22-B769)*Calc!$I$3:$I$22)</f>
        <v/>
      </c>
      <c r="P769">
        <f>I769-G769^2/k_n</f>
        <v/>
      </c>
      <c r="Q769">
        <f>J769-H769^2/k_n</f>
        <v/>
      </c>
      <c r="R769">
        <f>K769-G769*H769/k_n</f>
        <v/>
      </c>
      <c r="S769">
        <f>L769-LTP3!$D$3*G769/k_n</f>
        <v/>
      </c>
      <c r="T769">
        <f>M769-LTP3!$D$3*H769/k_n</f>
        <v/>
      </c>
      <c r="U769">
        <f>N769-G769*LTP3!$D$4/k_n</f>
        <v/>
      </c>
      <c r="V769">
        <f>O769-H769*LTP3!$D$4/k_n</f>
        <v/>
      </c>
      <c r="W769">
        <f>((LTP3!$D$5)*((P769)*(Q769)-(R769)*(R769))-(S769)*((S769)*(Q769)-(R769)*(T769))+(T769)*((S769)*(R769)-(P769)*(T769)))</f>
        <v/>
      </c>
      <c r="X769">
        <f>IF(ABS(W769)&gt;1E-12,((LTP3!$D$6)*((P769)*(Q769)-(R769)*(R769))-(S769)*((U769)*(Q769)-(R769)*(V769))+(T769)*((U769)*(R769)-(P769)*(V769)))/W769,0)</f>
        <v/>
      </c>
      <c r="Y769">
        <f>IF(ABS(W769)&gt;1E-12,((LTP3!$D$5)*((U769)*(Q769)-(R769)*(V769))-(LTP3!$D$6)*((S769)*(Q769)-(R769)*(T769))+(T769)*((S769)*(V769)-(U769)*(T769)))/W769,0)</f>
        <v/>
      </c>
      <c r="Z769">
        <f>IF(ABS(W769)&gt;1E-12,((LTP3!$D$5)*((P769)*(V769)-(U769)*(R769))-(S769)*((S769)*(V769)-(U769)*(T769))+(LTP3!$D$6)*((S769)*(R769)-(P769)*(T769)))/W769,0)</f>
        <v/>
      </c>
      <c r="AA769">
        <f>LTP3!$D$7-X769*LTP3!$D$6-Y769*U769-Z769*V769</f>
        <v/>
      </c>
      <c r="AB769">
        <f>IF(AND(F769,ABS(W769)&gt;1E-12,Y769&gt;0,Z769&gt;0),AA769,1E+300)</f>
        <v/>
      </c>
    </row>
    <row r="770">
      <c r="A770">
        <f>$B$3+$B$5*12</f>
        <v/>
      </c>
      <c r="B770">
        <f>$B$3+$B$5*26</f>
        <v/>
      </c>
      <c r="C770">
        <f>SUMPRODUCT(Calc!$K$3:$K$22*(Calc!$G$3:$G$22&lt;=A770))</f>
        <v/>
      </c>
      <c r="D770">
        <f>SUMPRODUCT(Calc!$K$3:$K$22*(Calc!$G$3:$G$22&gt;A770)*(Calc!$G$3:$G$22&lt;B770))</f>
        <v/>
      </c>
      <c r="E770">
        <f>SUMPRODUCT(Calc!$K$3:$K$22*(Calc!$G$3:$G$22&gt;=B770))</f>
        <v/>
      </c>
      <c r="F770">
        <f>AND(k_n&gt;=5,B770&gt;A770+1E-9,C770&gt;=2,D770&gt;=1,E770&gt;=2)</f>
        <v/>
      </c>
      <c r="G770">
        <f>SUMPRODUCT(Calc!$K$3:$K$22*(Calc!$G$3:$G$22&gt;A770)*(Calc!$G$3:$G$22-A770))</f>
        <v/>
      </c>
      <c r="H770">
        <f>SUMPRODUCT(Calc!$K$3:$K$22*(Calc!$G$3:$G$22&gt;B770)*(Calc!$G$3:$G$22-B770))</f>
        <v/>
      </c>
      <c r="I770">
        <f>SUMPRODUCT(Calc!$K$3:$K$22*(Calc!$G$3:$G$22&gt;A770)*(Calc!$G$3:$G$22-A770)^2)</f>
        <v/>
      </c>
      <c r="J770">
        <f>SUMPRODUCT(Calc!$K$3:$K$22*(Calc!$G$3:$G$22&gt;B770)*(Calc!$G$3:$G$22-B770)^2)</f>
        <v/>
      </c>
      <c r="K770">
        <f>SUMPRODUCT(Calc!$K$3:$K$22*(Calc!$G$3:$G$22&gt;A770)*(Calc!$G$3:$G$22-A770)*(Calc!$G$3:$G$22&gt;B770)*(Calc!$G$3:$G$22-B770))</f>
        <v/>
      </c>
      <c r="L770">
        <f>SUMPRODUCT(Calc!$K$3:$K$22*(Calc!$G$3:$G$22&gt;A770)*(Calc!$G$3:$G$22-A770)*Calc!$G$3:$G$22)</f>
        <v/>
      </c>
      <c r="M770">
        <f>SUMPRODUCT(Calc!$K$3:$K$22*(Calc!$G$3:$G$22&gt;B770)*(Calc!$G$3:$G$22-B770)*Calc!$G$3:$G$22)</f>
        <v/>
      </c>
      <c r="N770">
        <f>SUMPRODUCT(Calc!$K$3:$K$22*(Calc!$G$3:$G$22&gt;A770)*(Calc!$G$3:$G$22-A770)*Calc!$I$3:$I$22)</f>
        <v/>
      </c>
      <c r="O770">
        <f>SUMPRODUCT(Calc!$K$3:$K$22*(Calc!$G$3:$G$22&gt;B770)*(Calc!$G$3:$G$22-B770)*Calc!$I$3:$I$22)</f>
        <v/>
      </c>
      <c r="P770">
        <f>I770-G770^2/k_n</f>
        <v/>
      </c>
      <c r="Q770">
        <f>J770-H770^2/k_n</f>
        <v/>
      </c>
      <c r="R770">
        <f>K770-G770*H770/k_n</f>
        <v/>
      </c>
      <c r="S770">
        <f>L770-LTP3!$D$3*G770/k_n</f>
        <v/>
      </c>
      <c r="T770">
        <f>M770-LTP3!$D$3*H770/k_n</f>
        <v/>
      </c>
      <c r="U770">
        <f>N770-G770*LTP3!$D$4/k_n</f>
        <v/>
      </c>
      <c r="V770">
        <f>O770-H770*LTP3!$D$4/k_n</f>
        <v/>
      </c>
      <c r="W770">
        <f>((LTP3!$D$5)*((P770)*(Q770)-(R770)*(R770))-(S770)*((S770)*(Q770)-(R770)*(T770))+(T770)*((S770)*(R770)-(P770)*(T770)))</f>
        <v/>
      </c>
      <c r="X770">
        <f>IF(ABS(W770)&gt;1E-12,((LTP3!$D$6)*((P770)*(Q770)-(R770)*(R770))-(S770)*((U770)*(Q770)-(R770)*(V770))+(T770)*((U770)*(R770)-(P770)*(V770)))/W770,0)</f>
        <v/>
      </c>
      <c r="Y770">
        <f>IF(ABS(W770)&gt;1E-12,((LTP3!$D$5)*((U770)*(Q770)-(R770)*(V770))-(LTP3!$D$6)*((S770)*(Q770)-(R770)*(T770))+(T770)*((S770)*(V770)-(U770)*(T770)))/W770,0)</f>
        <v/>
      </c>
      <c r="Z770">
        <f>IF(ABS(W770)&gt;1E-12,((LTP3!$D$5)*((P770)*(V770)-(U770)*(R770))-(S770)*((S770)*(V770)-(U770)*(T770))+(LTP3!$D$6)*((S770)*(R770)-(P770)*(T770)))/W770,0)</f>
        <v/>
      </c>
      <c r="AA770">
        <f>LTP3!$D$7-X770*LTP3!$D$6-Y770*U770-Z770*V770</f>
        <v/>
      </c>
      <c r="AB770">
        <f>IF(AND(F770,ABS(W770)&gt;1E-12,Y770&gt;0,Z770&gt;0),AA770,1E+300)</f>
        <v/>
      </c>
    </row>
    <row r="771">
      <c r="A771">
        <f>$B$3+$B$5*12</f>
        <v/>
      </c>
      <c r="B771">
        <f>$B$3+$B$5*27</f>
        <v/>
      </c>
      <c r="C771">
        <f>SUMPRODUCT(Calc!$K$3:$K$22*(Calc!$G$3:$G$22&lt;=A771))</f>
        <v/>
      </c>
      <c r="D771">
        <f>SUMPRODUCT(Calc!$K$3:$K$22*(Calc!$G$3:$G$22&gt;A771)*(Calc!$G$3:$G$22&lt;B771))</f>
        <v/>
      </c>
      <c r="E771">
        <f>SUMPRODUCT(Calc!$K$3:$K$22*(Calc!$G$3:$G$22&gt;=B771))</f>
        <v/>
      </c>
      <c r="F771">
        <f>AND(k_n&gt;=5,B771&gt;A771+1E-9,C771&gt;=2,D771&gt;=1,E771&gt;=2)</f>
        <v/>
      </c>
      <c r="G771">
        <f>SUMPRODUCT(Calc!$K$3:$K$22*(Calc!$G$3:$G$22&gt;A771)*(Calc!$G$3:$G$22-A771))</f>
        <v/>
      </c>
      <c r="H771">
        <f>SUMPRODUCT(Calc!$K$3:$K$22*(Calc!$G$3:$G$22&gt;B771)*(Calc!$G$3:$G$22-B771))</f>
        <v/>
      </c>
      <c r="I771">
        <f>SUMPRODUCT(Calc!$K$3:$K$22*(Calc!$G$3:$G$22&gt;A771)*(Calc!$G$3:$G$22-A771)^2)</f>
        <v/>
      </c>
      <c r="J771">
        <f>SUMPRODUCT(Calc!$K$3:$K$22*(Calc!$G$3:$G$22&gt;B771)*(Calc!$G$3:$G$22-B771)^2)</f>
        <v/>
      </c>
      <c r="K771">
        <f>SUMPRODUCT(Calc!$K$3:$K$22*(Calc!$G$3:$G$22&gt;A771)*(Calc!$G$3:$G$22-A771)*(Calc!$G$3:$G$22&gt;B771)*(Calc!$G$3:$G$22-B771))</f>
        <v/>
      </c>
      <c r="L771">
        <f>SUMPRODUCT(Calc!$K$3:$K$22*(Calc!$G$3:$G$22&gt;A771)*(Calc!$G$3:$G$22-A771)*Calc!$G$3:$G$22)</f>
        <v/>
      </c>
      <c r="M771">
        <f>SUMPRODUCT(Calc!$K$3:$K$22*(Calc!$G$3:$G$22&gt;B771)*(Calc!$G$3:$G$22-B771)*Calc!$G$3:$G$22)</f>
        <v/>
      </c>
      <c r="N771">
        <f>SUMPRODUCT(Calc!$K$3:$K$22*(Calc!$G$3:$G$22&gt;A771)*(Calc!$G$3:$G$22-A771)*Calc!$I$3:$I$22)</f>
        <v/>
      </c>
      <c r="O771">
        <f>SUMPRODUCT(Calc!$K$3:$K$22*(Calc!$G$3:$G$22&gt;B771)*(Calc!$G$3:$G$22-B771)*Calc!$I$3:$I$22)</f>
        <v/>
      </c>
      <c r="P771">
        <f>I771-G771^2/k_n</f>
        <v/>
      </c>
      <c r="Q771">
        <f>J771-H771^2/k_n</f>
        <v/>
      </c>
      <c r="R771">
        <f>K771-G771*H771/k_n</f>
        <v/>
      </c>
      <c r="S771">
        <f>L771-LTP3!$D$3*G771/k_n</f>
        <v/>
      </c>
      <c r="T771">
        <f>M771-LTP3!$D$3*H771/k_n</f>
        <v/>
      </c>
      <c r="U771">
        <f>N771-G771*LTP3!$D$4/k_n</f>
        <v/>
      </c>
      <c r="V771">
        <f>O771-H771*LTP3!$D$4/k_n</f>
        <v/>
      </c>
      <c r="W771">
        <f>((LTP3!$D$5)*((P771)*(Q771)-(R771)*(R771))-(S771)*((S771)*(Q771)-(R771)*(T771))+(T771)*((S771)*(R771)-(P771)*(T771)))</f>
        <v/>
      </c>
      <c r="X771">
        <f>IF(ABS(W771)&gt;1E-12,((LTP3!$D$6)*((P771)*(Q771)-(R771)*(R771))-(S771)*((U771)*(Q771)-(R771)*(V771))+(T771)*((U771)*(R771)-(P771)*(V771)))/W771,0)</f>
        <v/>
      </c>
      <c r="Y771">
        <f>IF(ABS(W771)&gt;1E-12,((LTP3!$D$5)*((U771)*(Q771)-(R771)*(V771))-(LTP3!$D$6)*((S771)*(Q771)-(R771)*(T771))+(T771)*((S771)*(V771)-(U771)*(T771)))/W771,0)</f>
        <v/>
      </c>
      <c r="Z771">
        <f>IF(ABS(W771)&gt;1E-12,((LTP3!$D$5)*((P771)*(V771)-(U771)*(R771))-(S771)*((S771)*(V771)-(U771)*(T771))+(LTP3!$D$6)*((S771)*(R771)-(P771)*(T771)))/W771,0)</f>
        <v/>
      </c>
      <c r="AA771">
        <f>LTP3!$D$7-X771*LTP3!$D$6-Y771*U771-Z771*V771</f>
        <v/>
      </c>
      <c r="AB771">
        <f>IF(AND(F771,ABS(W771)&gt;1E-12,Y771&gt;0,Z771&gt;0),AA771,1E+300)</f>
        <v/>
      </c>
    </row>
    <row r="772">
      <c r="A772">
        <f>$B$3+$B$5*12</f>
        <v/>
      </c>
      <c r="B772">
        <f>$B$3+$B$5*28</f>
        <v/>
      </c>
      <c r="C772">
        <f>SUMPRODUCT(Calc!$K$3:$K$22*(Calc!$G$3:$G$22&lt;=A772))</f>
        <v/>
      </c>
      <c r="D772">
        <f>SUMPRODUCT(Calc!$K$3:$K$22*(Calc!$G$3:$G$22&gt;A772)*(Calc!$G$3:$G$22&lt;B772))</f>
        <v/>
      </c>
      <c r="E772">
        <f>SUMPRODUCT(Calc!$K$3:$K$22*(Calc!$G$3:$G$22&gt;=B772))</f>
        <v/>
      </c>
      <c r="F772">
        <f>AND(k_n&gt;=5,B772&gt;A772+1E-9,C772&gt;=2,D772&gt;=1,E772&gt;=2)</f>
        <v/>
      </c>
      <c r="G772">
        <f>SUMPRODUCT(Calc!$K$3:$K$22*(Calc!$G$3:$G$22&gt;A772)*(Calc!$G$3:$G$22-A772))</f>
        <v/>
      </c>
      <c r="H772">
        <f>SUMPRODUCT(Calc!$K$3:$K$22*(Calc!$G$3:$G$22&gt;B772)*(Calc!$G$3:$G$22-B772))</f>
        <v/>
      </c>
      <c r="I772">
        <f>SUMPRODUCT(Calc!$K$3:$K$22*(Calc!$G$3:$G$22&gt;A772)*(Calc!$G$3:$G$22-A772)^2)</f>
        <v/>
      </c>
      <c r="J772">
        <f>SUMPRODUCT(Calc!$K$3:$K$22*(Calc!$G$3:$G$22&gt;B772)*(Calc!$G$3:$G$22-B772)^2)</f>
        <v/>
      </c>
      <c r="K772">
        <f>SUMPRODUCT(Calc!$K$3:$K$22*(Calc!$G$3:$G$22&gt;A772)*(Calc!$G$3:$G$22-A772)*(Calc!$G$3:$G$22&gt;B772)*(Calc!$G$3:$G$22-B772))</f>
        <v/>
      </c>
      <c r="L772">
        <f>SUMPRODUCT(Calc!$K$3:$K$22*(Calc!$G$3:$G$22&gt;A772)*(Calc!$G$3:$G$22-A772)*Calc!$G$3:$G$22)</f>
        <v/>
      </c>
      <c r="M772">
        <f>SUMPRODUCT(Calc!$K$3:$K$22*(Calc!$G$3:$G$22&gt;B772)*(Calc!$G$3:$G$22-B772)*Calc!$G$3:$G$22)</f>
        <v/>
      </c>
      <c r="N772">
        <f>SUMPRODUCT(Calc!$K$3:$K$22*(Calc!$G$3:$G$22&gt;A772)*(Calc!$G$3:$G$22-A772)*Calc!$I$3:$I$22)</f>
        <v/>
      </c>
      <c r="O772">
        <f>SUMPRODUCT(Calc!$K$3:$K$22*(Calc!$G$3:$G$22&gt;B772)*(Calc!$G$3:$G$22-B772)*Calc!$I$3:$I$22)</f>
        <v/>
      </c>
      <c r="P772">
        <f>I772-G772^2/k_n</f>
        <v/>
      </c>
      <c r="Q772">
        <f>J772-H772^2/k_n</f>
        <v/>
      </c>
      <c r="R772">
        <f>K772-G772*H772/k_n</f>
        <v/>
      </c>
      <c r="S772">
        <f>L772-LTP3!$D$3*G772/k_n</f>
        <v/>
      </c>
      <c r="T772">
        <f>M772-LTP3!$D$3*H772/k_n</f>
        <v/>
      </c>
      <c r="U772">
        <f>N772-G772*LTP3!$D$4/k_n</f>
        <v/>
      </c>
      <c r="V772">
        <f>O772-H772*LTP3!$D$4/k_n</f>
        <v/>
      </c>
      <c r="W772">
        <f>((LTP3!$D$5)*((P772)*(Q772)-(R772)*(R772))-(S772)*((S772)*(Q772)-(R772)*(T772))+(T772)*((S772)*(R772)-(P772)*(T772)))</f>
        <v/>
      </c>
      <c r="X772">
        <f>IF(ABS(W772)&gt;1E-12,((LTP3!$D$6)*((P772)*(Q772)-(R772)*(R772))-(S772)*((U772)*(Q772)-(R772)*(V772))+(T772)*((U772)*(R772)-(P772)*(V772)))/W772,0)</f>
        <v/>
      </c>
      <c r="Y772">
        <f>IF(ABS(W772)&gt;1E-12,((LTP3!$D$5)*((U772)*(Q772)-(R772)*(V772))-(LTP3!$D$6)*((S772)*(Q772)-(R772)*(T772))+(T772)*((S772)*(V772)-(U772)*(T772)))/W772,0)</f>
        <v/>
      </c>
      <c r="Z772">
        <f>IF(ABS(W772)&gt;1E-12,((LTP3!$D$5)*((P772)*(V772)-(U772)*(R772))-(S772)*((S772)*(V772)-(U772)*(T772))+(LTP3!$D$6)*((S772)*(R772)-(P772)*(T772)))/W772,0)</f>
        <v/>
      </c>
      <c r="AA772">
        <f>LTP3!$D$7-X772*LTP3!$D$6-Y772*U772-Z772*V772</f>
        <v/>
      </c>
      <c r="AB772">
        <f>IF(AND(F772,ABS(W772)&gt;1E-12,Y772&gt;0,Z772&gt;0),AA772,1E+300)</f>
        <v/>
      </c>
    </row>
    <row r="773">
      <c r="A773">
        <f>$B$3+$B$5*12</f>
        <v/>
      </c>
      <c r="B773">
        <f>$B$3+$B$5*29</f>
        <v/>
      </c>
      <c r="C773">
        <f>SUMPRODUCT(Calc!$K$3:$K$22*(Calc!$G$3:$G$22&lt;=A773))</f>
        <v/>
      </c>
      <c r="D773">
        <f>SUMPRODUCT(Calc!$K$3:$K$22*(Calc!$G$3:$G$22&gt;A773)*(Calc!$G$3:$G$22&lt;B773))</f>
        <v/>
      </c>
      <c r="E773">
        <f>SUMPRODUCT(Calc!$K$3:$K$22*(Calc!$G$3:$G$22&gt;=B773))</f>
        <v/>
      </c>
      <c r="F773">
        <f>AND(k_n&gt;=5,B773&gt;A773+1E-9,C773&gt;=2,D773&gt;=1,E773&gt;=2)</f>
        <v/>
      </c>
      <c r="G773">
        <f>SUMPRODUCT(Calc!$K$3:$K$22*(Calc!$G$3:$G$22&gt;A773)*(Calc!$G$3:$G$22-A773))</f>
        <v/>
      </c>
      <c r="H773">
        <f>SUMPRODUCT(Calc!$K$3:$K$22*(Calc!$G$3:$G$22&gt;B773)*(Calc!$G$3:$G$22-B773))</f>
        <v/>
      </c>
      <c r="I773">
        <f>SUMPRODUCT(Calc!$K$3:$K$22*(Calc!$G$3:$G$22&gt;A773)*(Calc!$G$3:$G$22-A773)^2)</f>
        <v/>
      </c>
      <c r="J773">
        <f>SUMPRODUCT(Calc!$K$3:$K$22*(Calc!$G$3:$G$22&gt;B773)*(Calc!$G$3:$G$22-B773)^2)</f>
        <v/>
      </c>
      <c r="K773">
        <f>SUMPRODUCT(Calc!$K$3:$K$22*(Calc!$G$3:$G$22&gt;A773)*(Calc!$G$3:$G$22-A773)*(Calc!$G$3:$G$22&gt;B773)*(Calc!$G$3:$G$22-B773))</f>
        <v/>
      </c>
      <c r="L773">
        <f>SUMPRODUCT(Calc!$K$3:$K$22*(Calc!$G$3:$G$22&gt;A773)*(Calc!$G$3:$G$22-A773)*Calc!$G$3:$G$22)</f>
        <v/>
      </c>
      <c r="M773">
        <f>SUMPRODUCT(Calc!$K$3:$K$22*(Calc!$G$3:$G$22&gt;B773)*(Calc!$G$3:$G$22-B773)*Calc!$G$3:$G$22)</f>
        <v/>
      </c>
      <c r="N773">
        <f>SUMPRODUCT(Calc!$K$3:$K$22*(Calc!$G$3:$G$22&gt;A773)*(Calc!$G$3:$G$22-A773)*Calc!$I$3:$I$22)</f>
        <v/>
      </c>
      <c r="O773">
        <f>SUMPRODUCT(Calc!$K$3:$K$22*(Calc!$G$3:$G$22&gt;B773)*(Calc!$G$3:$G$22-B773)*Calc!$I$3:$I$22)</f>
        <v/>
      </c>
      <c r="P773">
        <f>I773-G773^2/k_n</f>
        <v/>
      </c>
      <c r="Q773">
        <f>J773-H773^2/k_n</f>
        <v/>
      </c>
      <c r="R773">
        <f>K773-G773*H773/k_n</f>
        <v/>
      </c>
      <c r="S773">
        <f>L773-LTP3!$D$3*G773/k_n</f>
        <v/>
      </c>
      <c r="T773">
        <f>M773-LTP3!$D$3*H773/k_n</f>
        <v/>
      </c>
      <c r="U773">
        <f>N773-G773*LTP3!$D$4/k_n</f>
        <v/>
      </c>
      <c r="V773">
        <f>O773-H773*LTP3!$D$4/k_n</f>
        <v/>
      </c>
      <c r="W773">
        <f>((LTP3!$D$5)*((P773)*(Q773)-(R773)*(R773))-(S773)*((S773)*(Q773)-(R773)*(T773))+(T773)*((S773)*(R773)-(P773)*(T773)))</f>
        <v/>
      </c>
      <c r="X773">
        <f>IF(ABS(W773)&gt;1E-12,((LTP3!$D$6)*((P773)*(Q773)-(R773)*(R773))-(S773)*((U773)*(Q773)-(R773)*(V773))+(T773)*((U773)*(R773)-(P773)*(V773)))/W773,0)</f>
        <v/>
      </c>
      <c r="Y773">
        <f>IF(ABS(W773)&gt;1E-12,((LTP3!$D$5)*((U773)*(Q773)-(R773)*(V773))-(LTP3!$D$6)*((S773)*(Q773)-(R773)*(T773))+(T773)*((S773)*(V773)-(U773)*(T773)))/W773,0)</f>
        <v/>
      </c>
      <c r="Z773">
        <f>IF(ABS(W773)&gt;1E-12,((LTP3!$D$5)*((P773)*(V773)-(U773)*(R773))-(S773)*((S773)*(V773)-(U773)*(T773))+(LTP3!$D$6)*((S773)*(R773)-(P773)*(T773)))/W773,0)</f>
        <v/>
      </c>
      <c r="AA773">
        <f>LTP3!$D$7-X773*LTP3!$D$6-Y773*U773-Z773*V773</f>
        <v/>
      </c>
      <c r="AB773">
        <f>IF(AND(F773,ABS(W773)&gt;1E-12,Y773&gt;0,Z773&gt;0),AA773,1E+300)</f>
        <v/>
      </c>
    </row>
    <row r="774">
      <c r="A774">
        <f>$B$3+$B$5*12</f>
        <v/>
      </c>
      <c r="B774">
        <f>$B$3+$B$5*30</f>
        <v/>
      </c>
      <c r="C774">
        <f>SUMPRODUCT(Calc!$K$3:$K$22*(Calc!$G$3:$G$22&lt;=A774))</f>
        <v/>
      </c>
      <c r="D774">
        <f>SUMPRODUCT(Calc!$K$3:$K$22*(Calc!$G$3:$G$22&gt;A774)*(Calc!$G$3:$G$22&lt;B774))</f>
        <v/>
      </c>
      <c r="E774">
        <f>SUMPRODUCT(Calc!$K$3:$K$22*(Calc!$G$3:$G$22&gt;=B774))</f>
        <v/>
      </c>
      <c r="F774">
        <f>AND(k_n&gt;=5,B774&gt;A774+1E-9,C774&gt;=2,D774&gt;=1,E774&gt;=2)</f>
        <v/>
      </c>
      <c r="G774">
        <f>SUMPRODUCT(Calc!$K$3:$K$22*(Calc!$G$3:$G$22&gt;A774)*(Calc!$G$3:$G$22-A774))</f>
        <v/>
      </c>
      <c r="H774">
        <f>SUMPRODUCT(Calc!$K$3:$K$22*(Calc!$G$3:$G$22&gt;B774)*(Calc!$G$3:$G$22-B774))</f>
        <v/>
      </c>
      <c r="I774">
        <f>SUMPRODUCT(Calc!$K$3:$K$22*(Calc!$G$3:$G$22&gt;A774)*(Calc!$G$3:$G$22-A774)^2)</f>
        <v/>
      </c>
      <c r="J774">
        <f>SUMPRODUCT(Calc!$K$3:$K$22*(Calc!$G$3:$G$22&gt;B774)*(Calc!$G$3:$G$22-B774)^2)</f>
        <v/>
      </c>
      <c r="K774">
        <f>SUMPRODUCT(Calc!$K$3:$K$22*(Calc!$G$3:$G$22&gt;A774)*(Calc!$G$3:$G$22-A774)*(Calc!$G$3:$G$22&gt;B774)*(Calc!$G$3:$G$22-B774))</f>
        <v/>
      </c>
      <c r="L774">
        <f>SUMPRODUCT(Calc!$K$3:$K$22*(Calc!$G$3:$G$22&gt;A774)*(Calc!$G$3:$G$22-A774)*Calc!$G$3:$G$22)</f>
        <v/>
      </c>
      <c r="M774">
        <f>SUMPRODUCT(Calc!$K$3:$K$22*(Calc!$G$3:$G$22&gt;B774)*(Calc!$G$3:$G$22-B774)*Calc!$G$3:$G$22)</f>
        <v/>
      </c>
      <c r="N774">
        <f>SUMPRODUCT(Calc!$K$3:$K$22*(Calc!$G$3:$G$22&gt;A774)*(Calc!$G$3:$G$22-A774)*Calc!$I$3:$I$22)</f>
        <v/>
      </c>
      <c r="O774">
        <f>SUMPRODUCT(Calc!$K$3:$K$22*(Calc!$G$3:$G$22&gt;B774)*(Calc!$G$3:$G$22-B774)*Calc!$I$3:$I$22)</f>
        <v/>
      </c>
      <c r="P774">
        <f>I774-G774^2/k_n</f>
        <v/>
      </c>
      <c r="Q774">
        <f>J774-H774^2/k_n</f>
        <v/>
      </c>
      <c r="R774">
        <f>K774-G774*H774/k_n</f>
        <v/>
      </c>
      <c r="S774">
        <f>L774-LTP3!$D$3*G774/k_n</f>
        <v/>
      </c>
      <c r="T774">
        <f>M774-LTP3!$D$3*H774/k_n</f>
        <v/>
      </c>
      <c r="U774">
        <f>N774-G774*LTP3!$D$4/k_n</f>
        <v/>
      </c>
      <c r="V774">
        <f>O774-H774*LTP3!$D$4/k_n</f>
        <v/>
      </c>
      <c r="W774">
        <f>((LTP3!$D$5)*((P774)*(Q774)-(R774)*(R774))-(S774)*((S774)*(Q774)-(R774)*(T774))+(T774)*((S774)*(R774)-(P774)*(T774)))</f>
        <v/>
      </c>
      <c r="X774">
        <f>IF(ABS(W774)&gt;1E-12,((LTP3!$D$6)*((P774)*(Q774)-(R774)*(R774))-(S774)*((U774)*(Q774)-(R774)*(V774))+(T774)*((U774)*(R774)-(P774)*(V774)))/W774,0)</f>
        <v/>
      </c>
      <c r="Y774">
        <f>IF(ABS(W774)&gt;1E-12,((LTP3!$D$5)*((U774)*(Q774)-(R774)*(V774))-(LTP3!$D$6)*((S774)*(Q774)-(R774)*(T774))+(T774)*((S774)*(V774)-(U774)*(T774)))/W774,0)</f>
        <v/>
      </c>
      <c r="Z774">
        <f>IF(ABS(W774)&gt;1E-12,((LTP3!$D$5)*((P774)*(V774)-(U774)*(R774))-(S774)*((S774)*(V774)-(U774)*(T774))+(LTP3!$D$6)*((S774)*(R774)-(P774)*(T774)))/W774,0)</f>
        <v/>
      </c>
      <c r="AA774">
        <f>LTP3!$D$7-X774*LTP3!$D$6-Y774*U774-Z774*V774</f>
        <v/>
      </c>
      <c r="AB774">
        <f>IF(AND(F774,ABS(W774)&gt;1E-12,Y774&gt;0,Z774&gt;0),AA774,1E+300)</f>
        <v/>
      </c>
    </row>
    <row r="775">
      <c r="A775">
        <f>$B$3+$B$5*12</f>
        <v/>
      </c>
      <c r="B775">
        <f>$B$3+$B$5*31</f>
        <v/>
      </c>
      <c r="C775">
        <f>SUMPRODUCT(Calc!$K$3:$K$22*(Calc!$G$3:$G$22&lt;=A775))</f>
        <v/>
      </c>
      <c r="D775">
        <f>SUMPRODUCT(Calc!$K$3:$K$22*(Calc!$G$3:$G$22&gt;A775)*(Calc!$G$3:$G$22&lt;B775))</f>
        <v/>
      </c>
      <c r="E775">
        <f>SUMPRODUCT(Calc!$K$3:$K$22*(Calc!$G$3:$G$22&gt;=B775))</f>
        <v/>
      </c>
      <c r="F775">
        <f>AND(k_n&gt;=5,B775&gt;A775+1E-9,C775&gt;=2,D775&gt;=1,E775&gt;=2)</f>
        <v/>
      </c>
      <c r="G775">
        <f>SUMPRODUCT(Calc!$K$3:$K$22*(Calc!$G$3:$G$22&gt;A775)*(Calc!$G$3:$G$22-A775))</f>
        <v/>
      </c>
      <c r="H775">
        <f>SUMPRODUCT(Calc!$K$3:$K$22*(Calc!$G$3:$G$22&gt;B775)*(Calc!$G$3:$G$22-B775))</f>
        <v/>
      </c>
      <c r="I775">
        <f>SUMPRODUCT(Calc!$K$3:$K$22*(Calc!$G$3:$G$22&gt;A775)*(Calc!$G$3:$G$22-A775)^2)</f>
        <v/>
      </c>
      <c r="J775">
        <f>SUMPRODUCT(Calc!$K$3:$K$22*(Calc!$G$3:$G$22&gt;B775)*(Calc!$G$3:$G$22-B775)^2)</f>
        <v/>
      </c>
      <c r="K775">
        <f>SUMPRODUCT(Calc!$K$3:$K$22*(Calc!$G$3:$G$22&gt;A775)*(Calc!$G$3:$G$22-A775)*(Calc!$G$3:$G$22&gt;B775)*(Calc!$G$3:$G$22-B775))</f>
        <v/>
      </c>
      <c r="L775">
        <f>SUMPRODUCT(Calc!$K$3:$K$22*(Calc!$G$3:$G$22&gt;A775)*(Calc!$G$3:$G$22-A775)*Calc!$G$3:$G$22)</f>
        <v/>
      </c>
      <c r="M775">
        <f>SUMPRODUCT(Calc!$K$3:$K$22*(Calc!$G$3:$G$22&gt;B775)*(Calc!$G$3:$G$22-B775)*Calc!$G$3:$G$22)</f>
        <v/>
      </c>
      <c r="N775">
        <f>SUMPRODUCT(Calc!$K$3:$K$22*(Calc!$G$3:$G$22&gt;A775)*(Calc!$G$3:$G$22-A775)*Calc!$I$3:$I$22)</f>
        <v/>
      </c>
      <c r="O775">
        <f>SUMPRODUCT(Calc!$K$3:$K$22*(Calc!$G$3:$G$22&gt;B775)*(Calc!$G$3:$G$22-B775)*Calc!$I$3:$I$22)</f>
        <v/>
      </c>
      <c r="P775">
        <f>I775-G775^2/k_n</f>
        <v/>
      </c>
      <c r="Q775">
        <f>J775-H775^2/k_n</f>
        <v/>
      </c>
      <c r="R775">
        <f>K775-G775*H775/k_n</f>
        <v/>
      </c>
      <c r="S775">
        <f>L775-LTP3!$D$3*G775/k_n</f>
        <v/>
      </c>
      <c r="T775">
        <f>M775-LTP3!$D$3*H775/k_n</f>
        <v/>
      </c>
      <c r="U775">
        <f>N775-G775*LTP3!$D$4/k_n</f>
        <v/>
      </c>
      <c r="V775">
        <f>O775-H775*LTP3!$D$4/k_n</f>
        <v/>
      </c>
      <c r="W775">
        <f>((LTP3!$D$5)*((P775)*(Q775)-(R775)*(R775))-(S775)*((S775)*(Q775)-(R775)*(T775))+(T775)*((S775)*(R775)-(P775)*(T775)))</f>
        <v/>
      </c>
      <c r="X775">
        <f>IF(ABS(W775)&gt;1E-12,((LTP3!$D$6)*((P775)*(Q775)-(R775)*(R775))-(S775)*((U775)*(Q775)-(R775)*(V775))+(T775)*((U775)*(R775)-(P775)*(V775)))/W775,0)</f>
        <v/>
      </c>
      <c r="Y775">
        <f>IF(ABS(W775)&gt;1E-12,((LTP3!$D$5)*((U775)*(Q775)-(R775)*(V775))-(LTP3!$D$6)*((S775)*(Q775)-(R775)*(T775))+(T775)*((S775)*(V775)-(U775)*(T775)))/W775,0)</f>
        <v/>
      </c>
      <c r="Z775">
        <f>IF(ABS(W775)&gt;1E-12,((LTP3!$D$5)*((P775)*(V775)-(U775)*(R775))-(S775)*((S775)*(V775)-(U775)*(T775))+(LTP3!$D$6)*((S775)*(R775)-(P775)*(T775)))/W775,0)</f>
        <v/>
      </c>
      <c r="AA775">
        <f>LTP3!$D$7-X775*LTP3!$D$6-Y775*U775-Z775*V775</f>
        <v/>
      </c>
      <c r="AB775">
        <f>IF(AND(F775,ABS(W775)&gt;1E-12,Y775&gt;0,Z775&gt;0),AA775,1E+300)</f>
        <v/>
      </c>
    </row>
    <row r="776">
      <c r="A776">
        <f>$B$3+$B$5*12</f>
        <v/>
      </c>
      <c r="B776">
        <f>$B$3+$B$5*32</f>
        <v/>
      </c>
      <c r="C776">
        <f>SUMPRODUCT(Calc!$K$3:$K$22*(Calc!$G$3:$G$22&lt;=A776))</f>
        <v/>
      </c>
      <c r="D776">
        <f>SUMPRODUCT(Calc!$K$3:$K$22*(Calc!$G$3:$G$22&gt;A776)*(Calc!$G$3:$G$22&lt;B776))</f>
        <v/>
      </c>
      <c r="E776">
        <f>SUMPRODUCT(Calc!$K$3:$K$22*(Calc!$G$3:$G$22&gt;=B776))</f>
        <v/>
      </c>
      <c r="F776">
        <f>AND(k_n&gt;=5,B776&gt;A776+1E-9,C776&gt;=2,D776&gt;=1,E776&gt;=2)</f>
        <v/>
      </c>
      <c r="G776">
        <f>SUMPRODUCT(Calc!$K$3:$K$22*(Calc!$G$3:$G$22&gt;A776)*(Calc!$G$3:$G$22-A776))</f>
        <v/>
      </c>
      <c r="H776">
        <f>SUMPRODUCT(Calc!$K$3:$K$22*(Calc!$G$3:$G$22&gt;B776)*(Calc!$G$3:$G$22-B776))</f>
        <v/>
      </c>
      <c r="I776">
        <f>SUMPRODUCT(Calc!$K$3:$K$22*(Calc!$G$3:$G$22&gt;A776)*(Calc!$G$3:$G$22-A776)^2)</f>
        <v/>
      </c>
      <c r="J776">
        <f>SUMPRODUCT(Calc!$K$3:$K$22*(Calc!$G$3:$G$22&gt;B776)*(Calc!$G$3:$G$22-B776)^2)</f>
        <v/>
      </c>
      <c r="K776">
        <f>SUMPRODUCT(Calc!$K$3:$K$22*(Calc!$G$3:$G$22&gt;A776)*(Calc!$G$3:$G$22-A776)*(Calc!$G$3:$G$22&gt;B776)*(Calc!$G$3:$G$22-B776))</f>
        <v/>
      </c>
      <c r="L776">
        <f>SUMPRODUCT(Calc!$K$3:$K$22*(Calc!$G$3:$G$22&gt;A776)*(Calc!$G$3:$G$22-A776)*Calc!$G$3:$G$22)</f>
        <v/>
      </c>
      <c r="M776">
        <f>SUMPRODUCT(Calc!$K$3:$K$22*(Calc!$G$3:$G$22&gt;B776)*(Calc!$G$3:$G$22-B776)*Calc!$G$3:$G$22)</f>
        <v/>
      </c>
      <c r="N776">
        <f>SUMPRODUCT(Calc!$K$3:$K$22*(Calc!$G$3:$G$22&gt;A776)*(Calc!$G$3:$G$22-A776)*Calc!$I$3:$I$22)</f>
        <v/>
      </c>
      <c r="O776">
        <f>SUMPRODUCT(Calc!$K$3:$K$22*(Calc!$G$3:$G$22&gt;B776)*(Calc!$G$3:$G$22-B776)*Calc!$I$3:$I$22)</f>
        <v/>
      </c>
      <c r="P776">
        <f>I776-G776^2/k_n</f>
        <v/>
      </c>
      <c r="Q776">
        <f>J776-H776^2/k_n</f>
        <v/>
      </c>
      <c r="R776">
        <f>K776-G776*H776/k_n</f>
        <v/>
      </c>
      <c r="S776">
        <f>L776-LTP3!$D$3*G776/k_n</f>
        <v/>
      </c>
      <c r="T776">
        <f>M776-LTP3!$D$3*H776/k_n</f>
        <v/>
      </c>
      <c r="U776">
        <f>N776-G776*LTP3!$D$4/k_n</f>
        <v/>
      </c>
      <c r="V776">
        <f>O776-H776*LTP3!$D$4/k_n</f>
        <v/>
      </c>
      <c r="W776">
        <f>((LTP3!$D$5)*((P776)*(Q776)-(R776)*(R776))-(S776)*((S776)*(Q776)-(R776)*(T776))+(T776)*((S776)*(R776)-(P776)*(T776)))</f>
        <v/>
      </c>
      <c r="X776">
        <f>IF(ABS(W776)&gt;1E-12,((LTP3!$D$6)*((P776)*(Q776)-(R776)*(R776))-(S776)*((U776)*(Q776)-(R776)*(V776))+(T776)*((U776)*(R776)-(P776)*(V776)))/W776,0)</f>
        <v/>
      </c>
      <c r="Y776">
        <f>IF(ABS(W776)&gt;1E-12,((LTP3!$D$5)*((U776)*(Q776)-(R776)*(V776))-(LTP3!$D$6)*((S776)*(Q776)-(R776)*(T776))+(T776)*((S776)*(V776)-(U776)*(T776)))/W776,0)</f>
        <v/>
      </c>
      <c r="Z776">
        <f>IF(ABS(W776)&gt;1E-12,((LTP3!$D$5)*((P776)*(V776)-(U776)*(R776))-(S776)*((S776)*(V776)-(U776)*(T776))+(LTP3!$D$6)*((S776)*(R776)-(P776)*(T776)))/W776,0)</f>
        <v/>
      </c>
      <c r="AA776">
        <f>LTP3!$D$7-X776*LTP3!$D$6-Y776*U776-Z776*V776</f>
        <v/>
      </c>
      <c r="AB776">
        <f>IF(AND(F776,ABS(W776)&gt;1E-12,Y776&gt;0,Z776&gt;0),AA776,1E+300)</f>
        <v/>
      </c>
    </row>
    <row r="777">
      <c r="A777">
        <f>$B$3+$B$5*12</f>
        <v/>
      </c>
      <c r="B777">
        <f>$B$3+$B$5*33</f>
        <v/>
      </c>
      <c r="C777">
        <f>SUMPRODUCT(Calc!$K$3:$K$22*(Calc!$G$3:$G$22&lt;=A777))</f>
        <v/>
      </c>
      <c r="D777">
        <f>SUMPRODUCT(Calc!$K$3:$K$22*(Calc!$G$3:$G$22&gt;A777)*(Calc!$G$3:$G$22&lt;B777))</f>
        <v/>
      </c>
      <c r="E777">
        <f>SUMPRODUCT(Calc!$K$3:$K$22*(Calc!$G$3:$G$22&gt;=B777))</f>
        <v/>
      </c>
      <c r="F777">
        <f>AND(k_n&gt;=5,B777&gt;A777+1E-9,C777&gt;=2,D777&gt;=1,E777&gt;=2)</f>
        <v/>
      </c>
      <c r="G777">
        <f>SUMPRODUCT(Calc!$K$3:$K$22*(Calc!$G$3:$G$22&gt;A777)*(Calc!$G$3:$G$22-A777))</f>
        <v/>
      </c>
      <c r="H777">
        <f>SUMPRODUCT(Calc!$K$3:$K$22*(Calc!$G$3:$G$22&gt;B777)*(Calc!$G$3:$G$22-B777))</f>
        <v/>
      </c>
      <c r="I777">
        <f>SUMPRODUCT(Calc!$K$3:$K$22*(Calc!$G$3:$G$22&gt;A777)*(Calc!$G$3:$G$22-A777)^2)</f>
        <v/>
      </c>
      <c r="J777">
        <f>SUMPRODUCT(Calc!$K$3:$K$22*(Calc!$G$3:$G$22&gt;B777)*(Calc!$G$3:$G$22-B777)^2)</f>
        <v/>
      </c>
      <c r="K777">
        <f>SUMPRODUCT(Calc!$K$3:$K$22*(Calc!$G$3:$G$22&gt;A777)*(Calc!$G$3:$G$22-A777)*(Calc!$G$3:$G$22&gt;B777)*(Calc!$G$3:$G$22-B777))</f>
        <v/>
      </c>
      <c r="L777">
        <f>SUMPRODUCT(Calc!$K$3:$K$22*(Calc!$G$3:$G$22&gt;A777)*(Calc!$G$3:$G$22-A777)*Calc!$G$3:$G$22)</f>
        <v/>
      </c>
      <c r="M777">
        <f>SUMPRODUCT(Calc!$K$3:$K$22*(Calc!$G$3:$G$22&gt;B777)*(Calc!$G$3:$G$22-B777)*Calc!$G$3:$G$22)</f>
        <v/>
      </c>
      <c r="N777">
        <f>SUMPRODUCT(Calc!$K$3:$K$22*(Calc!$G$3:$G$22&gt;A777)*(Calc!$G$3:$G$22-A777)*Calc!$I$3:$I$22)</f>
        <v/>
      </c>
      <c r="O777">
        <f>SUMPRODUCT(Calc!$K$3:$K$22*(Calc!$G$3:$G$22&gt;B777)*(Calc!$G$3:$G$22-B777)*Calc!$I$3:$I$22)</f>
        <v/>
      </c>
      <c r="P777">
        <f>I777-G777^2/k_n</f>
        <v/>
      </c>
      <c r="Q777">
        <f>J777-H777^2/k_n</f>
        <v/>
      </c>
      <c r="R777">
        <f>K777-G777*H777/k_n</f>
        <v/>
      </c>
      <c r="S777">
        <f>L777-LTP3!$D$3*G777/k_n</f>
        <v/>
      </c>
      <c r="T777">
        <f>M777-LTP3!$D$3*H777/k_n</f>
        <v/>
      </c>
      <c r="U777">
        <f>N777-G777*LTP3!$D$4/k_n</f>
        <v/>
      </c>
      <c r="V777">
        <f>O777-H777*LTP3!$D$4/k_n</f>
        <v/>
      </c>
      <c r="W777">
        <f>((LTP3!$D$5)*((P777)*(Q777)-(R777)*(R777))-(S777)*((S777)*(Q777)-(R777)*(T777))+(T777)*((S777)*(R777)-(P777)*(T777)))</f>
        <v/>
      </c>
      <c r="X777">
        <f>IF(ABS(W777)&gt;1E-12,((LTP3!$D$6)*((P777)*(Q777)-(R777)*(R777))-(S777)*((U777)*(Q777)-(R777)*(V777))+(T777)*((U777)*(R777)-(P777)*(V777)))/W777,0)</f>
        <v/>
      </c>
      <c r="Y777">
        <f>IF(ABS(W777)&gt;1E-12,((LTP3!$D$5)*((U777)*(Q777)-(R777)*(V777))-(LTP3!$D$6)*((S777)*(Q777)-(R777)*(T777))+(T777)*((S777)*(V777)-(U777)*(T777)))/W777,0)</f>
        <v/>
      </c>
      <c r="Z777">
        <f>IF(ABS(W777)&gt;1E-12,((LTP3!$D$5)*((P777)*(V777)-(U777)*(R777))-(S777)*((S777)*(V777)-(U777)*(T777))+(LTP3!$D$6)*((S777)*(R777)-(P777)*(T777)))/W777,0)</f>
        <v/>
      </c>
      <c r="AA777">
        <f>LTP3!$D$7-X777*LTP3!$D$6-Y777*U777-Z777*V777</f>
        <v/>
      </c>
      <c r="AB777">
        <f>IF(AND(F777,ABS(W777)&gt;1E-12,Y777&gt;0,Z777&gt;0),AA777,1E+300)</f>
        <v/>
      </c>
    </row>
    <row r="778">
      <c r="A778">
        <f>$B$3+$B$5*12</f>
        <v/>
      </c>
      <c r="B778">
        <f>$B$3+$B$5*34</f>
        <v/>
      </c>
      <c r="C778">
        <f>SUMPRODUCT(Calc!$K$3:$K$22*(Calc!$G$3:$G$22&lt;=A778))</f>
        <v/>
      </c>
      <c r="D778">
        <f>SUMPRODUCT(Calc!$K$3:$K$22*(Calc!$G$3:$G$22&gt;A778)*(Calc!$G$3:$G$22&lt;B778))</f>
        <v/>
      </c>
      <c r="E778">
        <f>SUMPRODUCT(Calc!$K$3:$K$22*(Calc!$G$3:$G$22&gt;=B778))</f>
        <v/>
      </c>
      <c r="F778">
        <f>AND(k_n&gt;=5,B778&gt;A778+1E-9,C778&gt;=2,D778&gt;=1,E778&gt;=2)</f>
        <v/>
      </c>
      <c r="G778">
        <f>SUMPRODUCT(Calc!$K$3:$K$22*(Calc!$G$3:$G$22&gt;A778)*(Calc!$G$3:$G$22-A778))</f>
        <v/>
      </c>
      <c r="H778">
        <f>SUMPRODUCT(Calc!$K$3:$K$22*(Calc!$G$3:$G$22&gt;B778)*(Calc!$G$3:$G$22-B778))</f>
        <v/>
      </c>
      <c r="I778">
        <f>SUMPRODUCT(Calc!$K$3:$K$22*(Calc!$G$3:$G$22&gt;A778)*(Calc!$G$3:$G$22-A778)^2)</f>
        <v/>
      </c>
      <c r="J778">
        <f>SUMPRODUCT(Calc!$K$3:$K$22*(Calc!$G$3:$G$22&gt;B778)*(Calc!$G$3:$G$22-B778)^2)</f>
        <v/>
      </c>
      <c r="K778">
        <f>SUMPRODUCT(Calc!$K$3:$K$22*(Calc!$G$3:$G$22&gt;A778)*(Calc!$G$3:$G$22-A778)*(Calc!$G$3:$G$22&gt;B778)*(Calc!$G$3:$G$22-B778))</f>
        <v/>
      </c>
      <c r="L778">
        <f>SUMPRODUCT(Calc!$K$3:$K$22*(Calc!$G$3:$G$22&gt;A778)*(Calc!$G$3:$G$22-A778)*Calc!$G$3:$G$22)</f>
        <v/>
      </c>
      <c r="M778">
        <f>SUMPRODUCT(Calc!$K$3:$K$22*(Calc!$G$3:$G$22&gt;B778)*(Calc!$G$3:$G$22-B778)*Calc!$G$3:$G$22)</f>
        <v/>
      </c>
      <c r="N778">
        <f>SUMPRODUCT(Calc!$K$3:$K$22*(Calc!$G$3:$G$22&gt;A778)*(Calc!$G$3:$G$22-A778)*Calc!$I$3:$I$22)</f>
        <v/>
      </c>
      <c r="O778">
        <f>SUMPRODUCT(Calc!$K$3:$K$22*(Calc!$G$3:$G$22&gt;B778)*(Calc!$G$3:$G$22-B778)*Calc!$I$3:$I$22)</f>
        <v/>
      </c>
      <c r="P778">
        <f>I778-G778^2/k_n</f>
        <v/>
      </c>
      <c r="Q778">
        <f>J778-H778^2/k_n</f>
        <v/>
      </c>
      <c r="R778">
        <f>K778-G778*H778/k_n</f>
        <v/>
      </c>
      <c r="S778">
        <f>L778-LTP3!$D$3*G778/k_n</f>
        <v/>
      </c>
      <c r="T778">
        <f>M778-LTP3!$D$3*H778/k_n</f>
        <v/>
      </c>
      <c r="U778">
        <f>N778-G778*LTP3!$D$4/k_n</f>
        <v/>
      </c>
      <c r="V778">
        <f>O778-H778*LTP3!$D$4/k_n</f>
        <v/>
      </c>
      <c r="W778">
        <f>((LTP3!$D$5)*((P778)*(Q778)-(R778)*(R778))-(S778)*((S778)*(Q778)-(R778)*(T778))+(T778)*((S778)*(R778)-(P778)*(T778)))</f>
        <v/>
      </c>
      <c r="X778">
        <f>IF(ABS(W778)&gt;1E-12,((LTP3!$D$6)*((P778)*(Q778)-(R778)*(R778))-(S778)*((U778)*(Q778)-(R778)*(V778))+(T778)*((U778)*(R778)-(P778)*(V778)))/W778,0)</f>
        <v/>
      </c>
      <c r="Y778">
        <f>IF(ABS(W778)&gt;1E-12,((LTP3!$D$5)*((U778)*(Q778)-(R778)*(V778))-(LTP3!$D$6)*((S778)*(Q778)-(R778)*(T778))+(T778)*((S778)*(V778)-(U778)*(T778)))/W778,0)</f>
        <v/>
      </c>
      <c r="Z778">
        <f>IF(ABS(W778)&gt;1E-12,((LTP3!$D$5)*((P778)*(V778)-(U778)*(R778))-(S778)*((S778)*(V778)-(U778)*(T778))+(LTP3!$D$6)*((S778)*(R778)-(P778)*(T778)))/W778,0)</f>
        <v/>
      </c>
      <c r="AA778">
        <f>LTP3!$D$7-X778*LTP3!$D$6-Y778*U778-Z778*V778</f>
        <v/>
      </c>
      <c r="AB778">
        <f>IF(AND(F778,ABS(W778)&gt;1E-12,Y778&gt;0,Z778&gt;0),AA778,1E+300)</f>
        <v/>
      </c>
    </row>
    <row r="779">
      <c r="A779">
        <f>$B$3+$B$5*12</f>
        <v/>
      </c>
      <c r="B779">
        <f>$B$3+$B$5*35</f>
        <v/>
      </c>
      <c r="C779">
        <f>SUMPRODUCT(Calc!$K$3:$K$22*(Calc!$G$3:$G$22&lt;=A779))</f>
        <v/>
      </c>
      <c r="D779">
        <f>SUMPRODUCT(Calc!$K$3:$K$22*(Calc!$G$3:$G$22&gt;A779)*(Calc!$G$3:$G$22&lt;B779))</f>
        <v/>
      </c>
      <c r="E779">
        <f>SUMPRODUCT(Calc!$K$3:$K$22*(Calc!$G$3:$G$22&gt;=B779))</f>
        <v/>
      </c>
      <c r="F779">
        <f>AND(k_n&gt;=5,B779&gt;A779+1E-9,C779&gt;=2,D779&gt;=1,E779&gt;=2)</f>
        <v/>
      </c>
      <c r="G779">
        <f>SUMPRODUCT(Calc!$K$3:$K$22*(Calc!$G$3:$G$22&gt;A779)*(Calc!$G$3:$G$22-A779))</f>
        <v/>
      </c>
      <c r="H779">
        <f>SUMPRODUCT(Calc!$K$3:$K$22*(Calc!$G$3:$G$22&gt;B779)*(Calc!$G$3:$G$22-B779))</f>
        <v/>
      </c>
      <c r="I779">
        <f>SUMPRODUCT(Calc!$K$3:$K$22*(Calc!$G$3:$G$22&gt;A779)*(Calc!$G$3:$G$22-A779)^2)</f>
        <v/>
      </c>
      <c r="J779">
        <f>SUMPRODUCT(Calc!$K$3:$K$22*(Calc!$G$3:$G$22&gt;B779)*(Calc!$G$3:$G$22-B779)^2)</f>
        <v/>
      </c>
      <c r="K779">
        <f>SUMPRODUCT(Calc!$K$3:$K$22*(Calc!$G$3:$G$22&gt;A779)*(Calc!$G$3:$G$22-A779)*(Calc!$G$3:$G$22&gt;B779)*(Calc!$G$3:$G$22-B779))</f>
        <v/>
      </c>
      <c r="L779">
        <f>SUMPRODUCT(Calc!$K$3:$K$22*(Calc!$G$3:$G$22&gt;A779)*(Calc!$G$3:$G$22-A779)*Calc!$G$3:$G$22)</f>
        <v/>
      </c>
      <c r="M779">
        <f>SUMPRODUCT(Calc!$K$3:$K$22*(Calc!$G$3:$G$22&gt;B779)*(Calc!$G$3:$G$22-B779)*Calc!$G$3:$G$22)</f>
        <v/>
      </c>
      <c r="N779">
        <f>SUMPRODUCT(Calc!$K$3:$K$22*(Calc!$G$3:$G$22&gt;A779)*(Calc!$G$3:$G$22-A779)*Calc!$I$3:$I$22)</f>
        <v/>
      </c>
      <c r="O779">
        <f>SUMPRODUCT(Calc!$K$3:$K$22*(Calc!$G$3:$G$22&gt;B779)*(Calc!$G$3:$G$22-B779)*Calc!$I$3:$I$22)</f>
        <v/>
      </c>
      <c r="P779">
        <f>I779-G779^2/k_n</f>
        <v/>
      </c>
      <c r="Q779">
        <f>J779-H779^2/k_n</f>
        <v/>
      </c>
      <c r="R779">
        <f>K779-G779*H779/k_n</f>
        <v/>
      </c>
      <c r="S779">
        <f>L779-LTP3!$D$3*G779/k_n</f>
        <v/>
      </c>
      <c r="T779">
        <f>M779-LTP3!$D$3*H779/k_n</f>
        <v/>
      </c>
      <c r="U779">
        <f>N779-G779*LTP3!$D$4/k_n</f>
        <v/>
      </c>
      <c r="V779">
        <f>O779-H779*LTP3!$D$4/k_n</f>
        <v/>
      </c>
      <c r="W779">
        <f>((LTP3!$D$5)*((P779)*(Q779)-(R779)*(R779))-(S779)*((S779)*(Q779)-(R779)*(T779))+(T779)*((S779)*(R779)-(P779)*(T779)))</f>
        <v/>
      </c>
      <c r="X779">
        <f>IF(ABS(W779)&gt;1E-12,((LTP3!$D$6)*((P779)*(Q779)-(R779)*(R779))-(S779)*((U779)*(Q779)-(R779)*(V779))+(T779)*((U779)*(R779)-(P779)*(V779)))/W779,0)</f>
        <v/>
      </c>
      <c r="Y779">
        <f>IF(ABS(W779)&gt;1E-12,((LTP3!$D$5)*((U779)*(Q779)-(R779)*(V779))-(LTP3!$D$6)*((S779)*(Q779)-(R779)*(T779))+(T779)*((S779)*(V779)-(U779)*(T779)))/W779,0)</f>
        <v/>
      </c>
      <c r="Z779">
        <f>IF(ABS(W779)&gt;1E-12,((LTP3!$D$5)*((P779)*(V779)-(U779)*(R779))-(S779)*((S779)*(V779)-(U779)*(T779))+(LTP3!$D$6)*((S779)*(R779)-(P779)*(T779)))/W779,0)</f>
        <v/>
      </c>
      <c r="AA779">
        <f>LTP3!$D$7-X779*LTP3!$D$6-Y779*U779-Z779*V779</f>
        <v/>
      </c>
      <c r="AB779">
        <f>IF(AND(F779,ABS(W779)&gt;1E-12,Y779&gt;0,Z779&gt;0),AA779,1E+300)</f>
        <v/>
      </c>
    </row>
    <row r="780">
      <c r="A780">
        <f>$B$3+$B$5*12</f>
        <v/>
      </c>
      <c r="B780">
        <f>$B$3+$B$5*36</f>
        <v/>
      </c>
      <c r="C780">
        <f>SUMPRODUCT(Calc!$K$3:$K$22*(Calc!$G$3:$G$22&lt;=A780))</f>
        <v/>
      </c>
      <c r="D780">
        <f>SUMPRODUCT(Calc!$K$3:$K$22*(Calc!$G$3:$G$22&gt;A780)*(Calc!$G$3:$G$22&lt;B780))</f>
        <v/>
      </c>
      <c r="E780">
        <f>SUMPRODUCT(Calc!$K$3:$K$22*(Calc!$G$3:$G$22&gt;=B780))</f>
        <v/>
      </c>
      <c r="F780">
        <f>AND(k_n&gt;=5,B780&gt;A780+1E-9,C780&gt;=2,D780&gt;=1,E780&gt;=2)</f>
        <v/>
      </c>
      <c r="G780">
        <f>SUMPRODUCT(Calc!$K$3:$K$22*(Calc!$G$3:$G$22&gt;A780)*(Calc!$G$3:$G$22-A780))</f>
        <v/>
      </c>
      <c r="H780">
        <f>SUMPRODUCT(Calc!$K$3:$K$22*(Calc!$G$3:$G$22&gt;B780)*(Calc!$G$3:$G$22-B780))</f>
        <v/>
      </c>
      <c r="I780">
        <f>SUMPRODUCT(Calc!$K$3:$K$22*(Calc!$G$3:$G$22&gt;A780)*(Calc!$G$3:$G$22-A780)^2)</f>
        <v/>
      </c>
      <c r="J780">
        <f>SUMPRODUCT(Calc!$K$3:$K$22*(Calc!$G$3:$G$22&gt;B780)*(Calc!$G$3:$G$22-B780)^2)</f>
        <v/>
      </c>
      <c r="K780">
        <f>SUMPRODUCT(Calc!$K$3:$K$22*(Calc!$G$3:$G$22&gt;A780)*(Calc!$G$3:$G$22-A780)*(Calc!$G$3:$G$22&gt;B780)*(Calc!$G$3:$G$22-B780))</f>
        <v/>
      </c>
      <c r="L780">
        <f>SUMPRODUCT(Calc!$K$3:$K$22*(Calc!$G$3:$G$22&gt;A780)*(Calc!$G$3:$G$22-A780)*Calc!$G$3:$G$22)</f>
        <v/>
      </c>
      <c r="M780">
        <f>SUMPRODUCT(Calc!$K$3:$K$22*(Calc!$G$3:$G$22&gt;B780)*(Calc!$G$3:$G$22-B780)*Calc!$G$3:$G$22)</f>
        <v/>
      </c>
      <c r="N780">
        <f>SUMPRODUCT(Calc!$K$3:$K$22*(Calc!$G$3:$G$22&gt;A780)*(Calc!$G$3:$G$22-A780)*Calc!$I$3:$I$22)</f>
        <v/>
      </c>
      <c r="O780">
        <f>SUMPRODUCT(Calc!$K$3:$K$22*(Calc!$G$3:$G$22&gt;B780)*(Calc!$G$3:$G$22-B780)*Calc!$I$3:$I$22)</f>
        <v/>
      </c>
      <c r="P780">
        <f>I780-G780^2/k_n</f>
        <v/>
      </c>
      <c r="Q780">
        <f>J780-H780^2/k_n</f>
        <v/>
      </c>
      <c r="R780">
        <f>K780-G780*H780/k_n</f>
        <v/>
      </c>
      <c r="S780">
        <f>L780-LTP3!$D$3*G780/k_n</f>
        <v/>
      </c>
      <c r="T780">
        <f>M780-LTP3!$D$3*H780/k_n</f>
        <v/>
      </c>
      <c r="U780">
        <f>N780-G780*LTP3!$D$4/k_n</f>
        <v/>
      </c>
      <c r="V780">
        <f>O780-H780*LTP3!$D$4/k_n</f>
        <v/>
      </c>
      <c r="W780">
        <f>((LTP3!$D$5)*((P780)*(Q780)-(R780)*(R780))-(S780)*((S780)*(Q780)-(R780)*(T780))+(T780)*((S780)*(R780)-(P780)*(T780)))</f>
        <v/>
      </c>
      <c r="X780">
        <f>IF(ABS(W780)&gt;1E-12,((LTP3!$D$6)*((P780)*(Q780)-(R780)*(R780))-(S780)*((U780)*(Q780)-(R780)*(V780))+(T780)*((U780)*(R780)-(P780)*(V780)))/W780,0)</f>
        <v/>
      </c>
      <c r="Y780">
        <f>IF(ABS(W780)&gt;1E-12,((LTP3!$D$5)*((U780)*(Q780)-(R780)*(V780))-(LTP3!$D$6)*((S780)*(Q780)-(R780)*(T780))+(T780)*((S780)*(V780)-(U780)*(T780)))/W780,0)</f>
        <v/>
      </c>
      <c r="Z780">
        <f>IF(ABS(W780)&gt;1E-12,((LTP3!$D$5)*((P780)*(V780)-(U780)*(R780))-(S780)*((S780)*(V780)-(U780)*(T780))+(LTP3!$D$6)*((S780)*(R780)-(P780)*(T780)))/W780,0)</f>
        <v/>
      </c>
      <c r="AA780">
        <f>LTP3!$D$7-X780*LTP3!$D$6-Y780*U780-Z780*V780</f>
        <v/>
      </c>
      <c r="AB780">
        <f>IF(AND(F780,ABS(W780)&gt;1E-12,Y780&gt;0,Z780&gt;0),AA780,1E+300)</f>
        <v/>
      </c>
    </row>
    <row r="781">
      <c r="A781">
        <f>$B$3+$B$5*12</f>
        <v/>
      </c>
      <c r="B781">
        <f>$B$3+$B$5*37</f>
        <v/>
      </c>
      <c r="C781">
        <f>SUMPRODUCT(Calc!$K$3:$K$22*(Calc!$G$3:$G$22&lt;=A781))</f>
        <v/>
      </c>
      <c r="D781">
        <f>SUMPRODUCT(Calc!$K$3:$K$22*(Calc!$G$3:$G$22&gt;A781)*(Calc!$G$3:$G$22&lt;B781))</f>
        <v/>
      </c>
      <c r="E781">
        <f>SUMPRODUCT(Calc!$K$3:$K$22*(Calc!$G$3:$G$22&gt;=B781))</f>
        <v/>
      </c>
      <c r="F781">
        <f>AND(k_n&gt;=5,B781&gt;A781+1E-9,C781&gt;=2,D781&gt;=1,E781&gt;=2)</f>
        <v/>
      </c>
      <c r="G781">
        <f>SUMPRODUCT(Calc!$K$3:$K$22*(Calc!$G$3:$G$22&gt;A781)*(Calc!$G$3:$G$22-A781))</f>
        <v/>
      </c>
      <c r="H781">
        <f>SUMPRODUCT(Calc!$K$3:$K$22*(Calc!$G$3:$G$22&gt;B781)*(Calc!$G$3:$G$22-B781))</f>
        <v/>
      </c>
      <c r="I781">
        <f>SUMPRODUCT(Calc!$K$3:$K$22*(Calc!$G$3:$G$22&gt;A781)*(Calc!$G$3:$G$22-A781)^2)</f>
        <v/>
      </c>
      <c r="J781">
        <f>SUMPRODUCT(Calc!$K$3:$K$22*(Calc!$G$3:$G$22&gt;B781)*(Calc!$G$3:$G$22-B781)^2)</f>
        <v/>
      </c>
      <c r="K781">
        <f>SUMPRODUCT(Calc!$K$3:$K$22*(Calc!$G$3:$G$22&gt;A781)*(Calc!$G$3:$G$22-A781)*(Calc!$G$3:$G$22&gt;B781)*(Calc!$G$3:$G$22-B781))</f>
        <v/>
      </c>
      <c r="L781">
        <f>SUMPRODUCT(Calc!$K$3:$K$22*(Calc!$G$3:$G$22&gt;A781)*(Calc!$G$3:$G$22-A781)*Calc!$G$3:$G$22)</f>
        <v/>
      </c>
      <c r="M781">
        <f>SUMPRODUCT(Calc!$K$3:$K$22*(Calc!$G$3:$G$22&gt;B781)*(Calc!$G$3:$G$22-B781)*Calc!$G$3:$G$22)</f>
        <v/>
      </c>
      <c r="N781">
        <f>SUMPRODUCT(Calc!$K$3:$K$22*(Calc!$G$3:$G$22&gt;A781)*(Calc!$G$3:$G$22-A781)*Calc!$I$3:$I$22)</f>
        <v/>
      </c>
      <c r="O781">
        <f>SUMPRODUCT(Calc!$K$3:$K$22*(Calc!$G$3:$G$22&gt;B781)*(Calc!$G$3:$G$22-B781)*Calc!$I$3:$I$22)</f>
        <v/>
      </c>
      <c r="P781">
        <f>I781-G781^2/k_n</f>
        <v/>
      </c>
      <c r="Q781">
        <f>J781-H781^2/k_n</f>
        <v/>
      </c>
      <c r="R781">
        <f>K781-G781*H781/k_n</f>
        <v/>
      </c>
      <c r="S781">
        <f>L781-LTP3!$D$3*G781/k_n</f>
        <v/>
      </c>
      <c r="T781">
        <f>M781-LTP3!$D$3*H781/k_n</f>
        <v/>
      </c>
      <c r="U781">
        <f>N781-G781*LTP3!$D$4/k_n</f>
        <v/>
      </c>
      <c r="V781">
        <f>O781-H781*LTP3!$D$4/k_n</f>
        <v/>
      </c>
      <c r="W781">
        <f>((LTP3!$D$5)*((P781)*(Q781)-(R781)*(R781))-(S781)*((S781)*(Q781)-(R781)*(T781))+(T781)*((S781)*(R781)-(P781)*(T781)))</f>
        <v/>
      </c>
      <c r="X781">
        <f>IF(ABS(W781)&gt;1E-12,((LTP3!$D$6)*((P781)*(Q781)-(R781)*(R781))-(S781)*((U781)*(Q781)-(R781)*(V781))+(T781)*((U781)*(R781)-(P781)*(V781)))/W781,0)</f>
        <v/>
      </c>
      <c r="Y781">
        <f>IF(ABS(W781)&gt;1E-12,((LTP3!$D$5)*((U781)*(Q781)-(R781)*(V781))-(LTP3!$D$6)*((S781)*(Q781)-(R781)*(T781))+(T781)*((S781)*(V781)-(U781)*(T781)))/W781,0)</f>
        <v/>
      </c>
      <c r="Z781">
        <f>IF(ABS(W781)&gt;1E-12,((LTP3!$D$5)*((P781)*(V781)-(U781)*(R781))-(S781)*((S781)*(V781)-(U781)*(T781))+(LTP3!$D$6)*((S781)*(R781)-(P781)*(T781)))/W781,0)</f>
        <v/>
      </c>
      <c r="AA781">
        <f>LTP3!$D$7-X781*LTP3!$D$6-Y781*U781-Z781*V781</f>
        <v/>
      </c>
      <c r="AB781">
        <f>IF(AND(F781,ABS(W781)&gt;1E-12,Y781&gt;0,Z781&gt;0),AA781,1E+300)</f>
        <v/>
      </c>
    </row>
    <row r="782">
      <c r="A782">
        <f>$B$3+$B$5*12</f>
        <v/>
      </c>
      <c r="B782">
        <f>$B$3+$B$5*38</f>
        <v/>
      </c>
      <c r="C782">
        <f>SUMPRODUCT(Calc!$K$3:$K$22*(Calc!$G$3:$G$22&lt;=A782))</f>
        <v/>
      </c>
      <c r="D782">
        <f>SUMPRODUCT(Calc!$K$3:$K$22*(Calc!$G$3:$G$22&gt;A782)*(Calc!$G$3:$G$22&lt;B782))</f>
        <v/>
      </c>
      <c r="E782">
        <f>SUMPRODUCT(Calc!$K$3:$K$22*(Calc!$G$3:$G$22&gt;=B782))</f>
        <v/>
      </c>
      <c r="F782">
        <f>AND(k_n&gt;=5,B782&gt;A782+1E-9,C782&gt;=2,D782&gt;=1,E782&gt;=2)</f>
        <v/>
      </c>
      <c r="G782">
        <f>SUMPRODUCT(Calc!$K$3:$K$22*(Calc!$G$3:$G$22&gt;A782)*(Calc!$G$3:$G$22-A782))</f>
        <v/>
      </c>
      <c r="H782">
        <f>SUMPRODUCT(Calc!$K$3:$K$22*(Calc!$G$3:$G$22&gt;B782)*(Calc!$G$3:$G$22-B782))</f>
        <v/>
      </c>
      <c r="I782">
        <f>SUMPRODUCT(Calc!$K$3:$K$22*(Calc!$G$3:$G$22&gt;A782)*(Calc!$G$3:$G$22-A782)^2)</f>
        <v/>
      </c>
      <c r="J782">
        <f>SUMPRODUCT(Calc!$K$3:$K$22*(Calc!$G$3:$G$22&gt;B782)*(Calc!$G$3:$G$22-B782)^2)</f>
        <v/>
      </c>
      <c r="K782">
        <f>SUMPRODUCT(Calc!$K$3:$K$22*(Calc!$G$3:$G$22&gt;A782)*(Calc!$G$3:$G$22-A782)*(Calc!$G$3:$G$22&gt;B782)*(Calc!$G$3:$G$22-B782))</f>
        <v/>
      </c>
      <c r="L782">
        <f>SUMPRODUCT(Calc!$K$3:$K$22*(Calc!$G$3:$G$22&gt;A782)*(Calc!$G$3:$G$22-A782)*Calc!$G$3:$G$22)</f>
        <v/>
      </c>
      <c r="M782">
        <f>SUMPRODUCT(Calc!$K$3:$K$22*(Calc!$G$3:$G$22&gt;B782)*(Calc!$G$3:$G$22-B782)*Calc!$G$3:$G$22)</f>
        <v/>
      </c>
      <c r="N782">
        <f>SUMPRODUCT(Calc!$K$3:$K$22*(Calc!$G$3:$G$22&gt;A782)*(Calc!$G$3:$G$22-A782)*Calc!$I$3:$I$22)</f>
        <v/>
      </c>
      <c r="O782">
        <f>SUMPRODUCT(Calc!$K$3:$K$22*(Calc!$G$3:$G$22&gt;B782)*(Calc!$G$3:$G$22-B782)*Calc!$I$3:$I$22)</f>
        <v/>
      </c>
      <c r="P782">
        <f>I782-G782^2/k_n</f>
        <v/>
      </c>
      <c r="Q782">
        <f>J782-H782^2/k_n</f>
        <v/>
      </c>
      <c r="R782">
        <f>K782-G782*H782/k_n</f>
        <v/>
      </c>
      <c r="S782">
        <f>L782-LTP3!$D$3*G782/k_n</f>
        <v/>
      </c>
      <c r="T782">
        <f>M782-LTP3!$D$3*H782/k_n</f>
        <v/>
      </c>
      <c r="U782">
        <f>N782-G782*LTP3!$D$4/k_n</f>
        <v/>
      </c>
      <c r="V782">
        <f>O782-H782*LTP3!$D$4/k_n</f>
        <v/>
      </c>
      <c r="W782">
        <f>((LTP3!$D$5)*((P782)*(Q782)-(R782)*(R782))-(S782)*((S782)*(Q782)-(R782)*(T782))+(T782)*((S782)*(R782)-(P782)*(T782)))</f>
        <v/>
      </c>
      <c r="X782">
        <f>IF(ABS(W782)&gt;1E-12,((LTP3!$D$6)*((P782)*(Q782)-(R782)*(R782))-(S782)*((U782)*(Q782)-(R782)*(V782))+(T782)*((U782)*(R782)-(P782)*(V782)))/W782,0)</f>
        <v/>
      </c>
      <c r="Y782">
        <f>IF(ABS(W782)&gt;1E-12,((LTP3!$D$5)*((U782)*(Q782)-(R782)*(V782))-(LTP3!$D$6)*((S782)*(Q782)-(R782)*(T782))+(T782)*((S782)*(V782)-(U782)*(T782)))/W782,0)</f>
        <v/>
      </c>
      <c r="Z782">
        <f>IF(ABS(W782)&gt;1E-12,((LTP3!$D$5)*((P782)*(V782)-(U782)*(R782))-(S782)*((S782)*(V782)-(U782)*(T782))+(LTP3!$D$6)*((S782)*(R782)-(P782)*(T782)))/W782,0)</f>
        <v/>
      </c>
      <c r="AA782">
        <f>LTP3!$D$7-X782*LTP3!$D$6-Y782*U782-Z782*V782</f>
        <v/>
      </c>
      <c r="AB782">
        <f>IF(AND(F782,ABS(W782)&gt;1E-12,Y782&gt;0,Z782&gt;0),AA782,1E+300)</f>
        <v/>
      </c>
    </row>
    <row r="783">
      <c r="A783">
        <f>$B$3+$B$5*12</f>
        <v/>
      </c>
      <c r="B783">
        <f>$B$3+$B$5*39</f>
        <v/>
      </c>
      <c r="C783">
        <f>SUMPRODUCT(Calc!$K$3:$K$22*(Calc!$G$3:$G$22&lt;=A783))</f>
        <v/>
      </c>
      <c r="D783">
        <f>SUMPRODUCT(Calc!$K$3:$K$22*(Calc!$G$3:$G$22&gt;A783)*(Calc!$G$3:$G$22&lt;B783))</f>
        <v/>
      </c>
      <c r="E783">
        <f>SUMPRODUCT(Calc!$K$3:$K$22*(Calc!$G$3:$G$22&gt;=B783))</f>
        <v/>
      </c>
      <c r="F783">
        <f>AND(k_n&gt;=5,B783&gt;A783+1E-9,C783&gt;=2,D783&gt;=1,E783&gt;=2)</f>
        <v/>
      </c>
      <c r="G783">
        <f>SUMPRODUCT(Calc!$K$3:$K$22*(Calc!$G$3:$G$22&gt;A783)*(Calc!$G$3:$G$22-A783))</f>
        <v/>
      </c>
      <c r="H783">
        <f>SUMPRODUCT(Calc!$K$3:$K$22*(Calc!$G$3:$G$22&gt;B783)*(Calc!$G$3:$G$22-B783))</f>
        <v/>
      </c>
      <c r="I783">
        <f>SUMPRODUCT(Calc!$K$3:$K$22*(Calc!$G$3:$G$22&gt;A783)*(Calc!$G$3:$G$22-A783)^2)</f>
        <v/>
      </c>
      <c r="J783">
        <f>SUMPRODUCT(Calc!$K$3:$K$22*(Calc!$G$3:$G$22&gt;B783)*(Calc!$G$3:$G$22-B783)^2)</f>
        <v/>
      </c>
      <c r="K783">
        <f>SUMPRODUCT(Calc!$K$3:$K$22*(Calc!$G$3:$G$22&gt;A783)*(Calc!$G$3:$G$22-A783)*(Calc!$G$3:$G$22&gt;B783)*(Calc!$G$3:$G$22-B783))</f>
        <v/>
      </c>
      <c r="L783">
        <f>SUMPRODUCT(Calc!$K$3:$K$22*(Calc!$G$3:$G$22&gt;A783)*(Calc!$G$3:$G$22-A783)*Calc!$G$3:$G$22)</f>
        <v/>
      </c>
      <c r="M783">
        <f>SUMPRODUCT(Calc!$K$3:$K$22*(Calc!$G$3:$G$22&gt;B783)*(Calc!$G$3:$G$22-B783)*Calc!$G$3:$G$22)</f>
        <v/>
      </c>
      <c r="N783">
        <f>SUMPRODUCT(Calc!$K$3:$K$22*(Calc!$G$3:$G$22&gt;A783)*(Calc!$G$3:$G$22-A783)*Calc!$I$3:$I$22)</f>
        <v/>
      </c>
      <c r="O783">
        <f>SUMPRODUCT(Calc!$K$3:$K$22*(Calc!$G$3:$G$22&gt;B783)*(Calc!$G$3:$G$22-B783)*Calc!$I$3:$I$22)</f>
        <v/>
      </c>
      <c r="P783">
        <f>I783-G783^2/k_n</f>
        <v/>
      </c>
      <c r="Q783">
        <f>J783-H783^2/k_n</f>
        <v/>
      </c>
      <c r="R783">
        <f>K783-G783*H783/k_n</f>
        <v/>
      </c>
      <c r="S783">
        <f>L783-LTP3!$D$3*G783/k_n</f>
        <v/>
      </c>
      <c r="T783">
        <f>M783-LTP3!$D$3*H783/k_n</f>
        <v/>
      </c>
      <c r="U783">
        <f>N783-G783*LTP3!$D$4/k_n</f>
        <v/>
      </c>
      <c r="V783">
        <f>O783-H783*LTP3!$D$4/k_n</f>
        <v/>
      </c>
      <c r="W783">
        <f>((LTP3!$D$5)*((P783)*(Q783)-(R783)*(R783))-(S783)*((S783)*(Q783)-(R783)*(T783))+(T783)*((S783)*(R783)-(P783)*(T783)))</f>
        <v/>
      </c>
      <c r="X783">
        <f>IF(ABS(W783)&gt;1E-12,((LTP3!$D$6)*((P783)*(Q783)-(R783)*(R783))-(S783)*((U783)*(Q783)-(R783)*(V783))+(T783)*((U783)*(R783)-(P783)*(V783)))/W783,0)</f>
        <v/>
      </c>
      <c r="Y783">
        <f>IF(ABS(W783)&gt;1E-12,((LTP3!$D$5)*((U783)*(Q783)-(R783)*(V783))-(LTP3!$D$6)*((S783)*(Q783)-(R783)*(T783))+(T783)*((S783)*(V783)-(U783)*(T783)))/W783,0)</f>
        <v/>
      </c>
      <c r="Z783">
        <f>IF(ABS(W783)&gt;1E-12,((LTP3!$D$5)*((P783)*(V783)-(U783)*(R783))-(S783)*((S783)*(V783)-(U783)*(T783))+(LTP3!$D$6)*((S783)*(R783)-(P783)*(T783)))/W783,0)</f>
        <v/>
      </c>
      <c r="AA783">
        <f>LTP3!$D$7-X783*LTP3!$D$6-Y783*U783-Z783*V783</f>
        <v/>
      </c>
      <c r="AB783">
        <f>IF(AND(F783,ABS(W783)&gt;1E-12,Y783&gt;0,Z783&gt;0),AA783,1E+300)</f>
        <v/>
      </c>
    </row>
    <row r="784">
      <c r="A784">
        <f>$B$3+$B$5*12</f>
        <v/>
      </c>
      <c r="B784">
        <f>$B$3+$B$5*40</f>
        <v/>
      </c>
      <c r="C784">
        <f>SUMPRODUCT(Calc!$K$3:$K$22*(Calc!$G$3:$G$22&lt;=A784))</f>
        <v/>
      </c>
      <c r="D784">
        <f>SUMPRODUCT(Calc!$K$3:$K$22*(Calc!$G$3:$G$22&gt;A784)*(Calc!$G$3:$G$22&lt;B784))</f>
        <v/>
      </c>
      <c r="E784">
        <f>SUMPRODUCT(Calc!$K$3:$K$22*(Calc!$G$3:$G$22&gt;=B784))</f>
        <v/>
      </c>
      <c r="F784">
        <f>AND(k_n&gt;=5,B784&gt;A784+1E-9,C784&gt;=2,D784&gt;=1,E784&gt;=2)</f>
        <v/>
      </c>
      <c r="G784">
        <f>SUMPRODUCT(Calc!$K$3:$K$22*(Calc!$G$3:$G$22&gt;A784)*(Calc!$G$3:$G$22-A784))</f>
        <v/>
      </c>
      <c r="H784">
        <f>SUMPRODUCT(Calc!$K$3:$K$22*(Calc!$G$3:$G$22&gt;B784)*(Calc!$G$3:$G$22-B784))</f>
        <v/>
      </c>
      <c r="I784">
        <f>SUMPRODUCT(Calc!$K$3:$K$22*(Calc!$G$3:$G$22&gt;A784)*(Calc!$G$3:$G$22-A784)^2)</f>
        <v/>
      </c>
      <c r="J784">
        <f>SUMPRODUCT(Calc!$K$3:$K$22*(Calc!$G$3:$G$22&gt;B784)*(Calc!$G$3:$G$22-B784)^2)</f>
        <v/>
      </c>
      <c r="K784">
        <f>SUMPRODUCT(Calc!$K$3:$K$22*(Calc!$G$3:$G$22&gt;A784)*(Calc!$G$3:$G$22-A784)*(Calc!$G$3:$G$22&gt;B784)*(Calc!$G$3:$G$22-B784))</f>
        <v/>
      </c>
      <c r="L784">
        <f>SUMPRODUCT(Calc!$K$3:$K$22*(Calc!$G$3:$G$22&gt;A784)*(Calc!$G$3:$G$22-A784)*Calc!$G$3:$G$22)</f>
        <v/>
      </c>
      <c r="M784">
        <f>SUMPRODUCT(Calc!$K$3:$K$22*(Calc!$G$3:$G$22&gt;B784)*(Calc!$G$3:$G$22-B784)*Calc!$G$3:$G$22)</f>
        <v/>
      </c>
      <c r="N784">
        <f>SUMPRODUCT(Calc!$K$3:$K$22*(Calc!$G$3:$G$22&gt;A784)*(Calc!$G$3:$G$22-A784)*Calc!$I$3:$I$22)</f>
        <v/>
      </c>
      <c r="O784">
        <f>SUMPRODUCT(Calc!$K$3:$K$22*(Calc!$G$3:$G$22&gt;B784)*(Calc!$G$3:$G$22-B784)*Calc!$I$3:$I$22)</f>
        <v/>
      </c>
      <c r="P784">
        <f>I784-G784^2/k_n</f>
        <v/>
      </c>
      <c r="Q784">
        <f>J784-H784^2/k_n</f>
        <v/>
      </c>
      <c r="R784">
        <f>K784-G784*H784/k_n</f>
        <v/>
      </c>
      <c r="S784">
        <f>L784-LTP3!$D$3*G784/k_n</f>
        <v/>
      </c>
      <c r="T784">
        <f>M784-LTP3!$D$3*H784/k_n</f>
        <v/>
      </c>
      <c r="U784">
        <f>N784-G784*LTP3!$D$4/k_n</f>
        <v/>
      </c>
      <c r="V784">
        <f>O784-H784*LTP3!$D$4/k_n</f>
        <v/>
      </c>
      <c r="W784">
        <f>((LTP3!$D$5)*((P784)*(Q784)-(R784)*(R784))-(S784)*((S784)*(Q784)-(R784)*(T784))+(T784)*((S784)*(R784)-(P784)*(T784)))</f>
        <v/>
      </c>
      <c r="X784">
        <f>IF(ABS(W784)&gt;1E-12,((LTP3!$D$6)*((P784)*(Q784)-(R784)*(R784))-(S784)*((U784)*(Q784)-(R784)*(V784))+(T784)*((U784)*(R784)-(P784)*(V784)))/W784,0)</f>
        <v/>
      </c>
      <c r="Y784">
        <f>IF(ABS(W784)&gt;1E-12,((LTP3!$D$5)*((U784)*(Q784)-(R784)*(V784))-(LTP3!$D$6)*((S784)*(Q784)-(R784)*(T784))+(T784)*((S784)*(V784)-(U784)*(T784)))/W784,0)</f>
        <v/>
      </c>
      <c r="Z784">
        <f>IF(ABS(W784)&gt;1E-12,((LTP3!$D$5)*((P784)*(V784)-(U784)*(R784))-(S784)*((S784)*(V784)-(U784)*(T784))+(LTP3!$D$6)*((S784)*(R784)-(P784)*(T784)))/W784,0)</f>
        <v/>
      </c>
      <c r="AA784">
        <f>LTP3!$D$7-X784*LTP3!$D$6-Y784*U784-Z784*V784</f>
        <v/>
      </c>
      <c r="AB784">
        <f>IF(AND(F784,ABS(W784)&gt;1E-12,Y784&gt;0,Z784&gt;0),AA784,1E+300)</f>
        <v/>
      </c>
    </row>
    <row r="785">
      <c r="A785">
        <f>$B$3+$B$5*12</f>
        <v/>
      </c>
      <c r="B785">
        <f>$B$3+$B$5*41</f>
        <v/>
      </c>
      <c r="C785">
        <f>SUMPRODUCT(Calc!$K$3:$K$22*(Calc!$G$3:$G$22&lt;=A785))</f>
        <v/>
      </c>
      <c r="D785">
        <f>SUMPRODUCT(Calc!$K$3:$K$22*(Calc!$G$3:$G$22&gt;A785)*(Calc!$G$3:$G$22&lt;B785))</f>
        <v/>
      </c>
      <c r="E785">
        <f>SUMPRODUCT(Calc!$K$3:$K$22*(Calc!$G$3:$G$22&gt;=B785))</f>
        <v/>
      </c>
      <c r="F785">
        <f>AND(k_n&gt;=5,B785&gt;A785+1E-9,C785&gt;=2,D785&gt;=1,E785&gt;=2)</f>
        <v/>
      </c>
      <c r="G785">
        <f>SUMPRODUCT(Calc!$K$3:$K$22*(Calc!$G$3:$G$22&gt;A785)*(Calc!$G$3:$G$22-A785))</f>
        <v/>
      </c>
      <c r="H785">
        <f>SUMPRODUCT(Calc!$K$3:$K$22*(Calc!$G$3:$G$22&gt;B785)*(Calc!$G$3:$G$22-B785))</f>
        <v/>
      </c>
      <c r="I785">
        <f>SUMPRODUCT(Calc!$K$3:$K$22*(Calc!$G$3:$G$22&gt;A785)*(Calc!$G$3:$G$22-A785)^2)</f>
        <v/>
      </c>
      <c r="J785">
        <f>SUMPRODUCT(Calc!$K$3:$K$22*(Calc!$G$3:$G$22&gt;B785)*(Calc!$G$3:$G$22-B785)^2)</f>
        <v/>
      </c>
      <c r="K785">
        <f>SUMPRODUCT(Calc!$K$3:$K$22*(Calc!$G$3:$G$22&gt;A785)*(Calc!$G$3:$G$22-A785)*(Calc!$G$3:$G$22&gt;B785)*(Calc!$G$3:$G$22-B785))</f>
        <v/>
      </c>
      <c r="L785">
        <f>SUMPRODUCT(Calc!$K$3:$K$22*(Calc!$G$3:$G$22&gt;A785)*(Calc!$G$3:$G$22-A785)*Calc!$G$3:$G$22)</f>
        <v/>
      </c>
      <c r="M785">
        <f>SUMPRODUCT(Calc!$K$3:$K$22*(Calc!$G$3:$G$22&gt;B785)*(Calc!$G$3:$G$22-B785)*Calc!$G$3:$G$22)</f>
        <v/>
      </c>
      <c r="N785">
        <f>SUMPRODUCT(Calc!$K$3:$K$22*(Calc!$G$3:$G$22&gt;A785)*(Calc!$G$3:$G$22-A785)*Calc!$I$3:$I$22)</f>
        <v/>
      </c>
      <c r="O785">
        <f>SUMPRODUCT(Calc!$K$3:$K$22*(Calc!$G$3:$G$22&gt;B785)*(Calc!$G$3:$G$22-B785)*Calc!$I$3:$I$22)</f>
        <v/>
      </c>
      <c r="P785">
        <f>I785-G785^2/k_n</f>
        <v/>
      </c>
      <c r="Q785">
        <f>J785-H785^2/k_n</f>
        <v/>
      </c>
      <c r="R785">
        <f>K785-G785*H785/k_n</f>
        <v/>
      </c>
      <c r="S785">
        <f>L785-LTP3!$D$3*G785/k_n</f>
        <v/>
      </c>
      <c r="T785">
        <f>M785-LTP3!$D$3*H785/k_n</f>
        <v/>
      </c>
      <c r="U785">
        <f>N785-G785*LTP3!$D$4/k_n</f>
        <v/>
      </c>
      <c r="V785">
        <f>O785-H785*LTP3!$D$4/k_n</f>
        <v/>
      </c>
      <c r="W785">
        <f>((LTP3!$D$5)*((P785)*(Q785)-(R785)*(R785))-(S785)*((S785)*(Q785)-(R785)*(T785))+(T785)*((S785)*(R785)-(P785)*(T785)))</f>
        <v/>
      </c>
      <c r="X785">
        <f>IF(ABS(W785)&gt;1E-12,((LTP3!$D$6)*((P785)*(Q785)-(R785)*(R785))-(S785)*((U785)*(Q785)-(R785)*(V785))+(T785)*((U785)*(R785)-(P785)*(V785)))/W785,0)</f>
        <v/>
      </c>
      <c r="Y785">
        <f>IF(ABS(W785)&gt;1E-12,((LTP3!$D$5)*((U785)*(Q785)-(R785)*(V785))-(LTP3!$D$6)*((S785)*(Q785)-(R785)*(T785))+(T785)*((S785)*(V785)-(U785)*(T785)))/W785,0)</f>
        <v/>
      </c>
      <c r="Z785">
        <f>IF(ABS(W785)&gt;1E-12,((LTP3!$D$5)*((P785)*(V785)-(U785)*(R785))-(S785)*((S785)*(V785)-(U785)*(T785))+(LTP3!$D$6)*((S785)*(R785)-(P785)*(T785)))/W785,0)</f>
        <v/>
      </c>
      <c r="AA785">
        <f>LTP3!$D$7-X785*LTP3!$D$6-Y785*U785-Z785*V785</f>
        <v/>
      </c>
      <c r="AB785">
        <f>IF(AND(F785,ABS(W785)&gt;1E-12,Y785&gt;0,Z785&gt;0),AA785,1E+300)</f>
        <v/>
      </c>
    </row>
    <row r="786">
      <c r="A786">
        <f>$B$3+$B$5*12</f>
        <v/>
      </c>
      <c r="B786">
        <f>$B$3+$B$5*42</f>
        <v/>
      </c>
      <c r="C786">
        <f>SUMPRODUCT(Calc!$K$3:$K$22*(Calc!$G$3:$G$22&lt;=A786))</f>
        <v/>
      </c>
      <c r="D786">
        <f>SUMPRODUCT(Calc!$K$3:$K$22*(Calc!$G$3:$G$22&gt;A786)*(Calc!$G$3:$G$22&lt;B786))</f>
        <v/>
      </c>
      <c r="E786">
        <f>SUMPRODUCT(Calc!$K$3:$K$22*(Calc!$G$3:$G$22&gt;=B786))</f>
        <v/>
      </c>
      <c r="F786">
        <f>AND(k_n&gt;=5,B786&gt;A786+1E-9,C786&gt;=2,D786&gt;=1,E786&gt;=2)</f>
        <v/>
      </c>
      <c r="G786">
        <f>SUMPRODUCT(Calc!$K$3:$K$22*(Calc!$G$3:$G$22&gt;A786)*(Calc!$G$3:$G$22-A786))</f>
        <v/>
      </c>
      <c r="H786">
        <f>SUMPRODUCT(Calc!$K$3:$K$22*(Calc!$G$3:$G$22&gt;B786)*(Calc!$G$3:$G$22-B786))</f>
        <v/>
      </c>
      <c r="I786">
        <f>SUMPRODUCT(Calc!$K$3:$K$22*(Calc!$G$3:$G$22&gt;A786)*(Calc!$G$3:$G$22-A786)^2)</f>
        <v/>
      </c>
      <c r="J786">
        <f>SUMPRODUCT(Calc!$K$3:$K$22*(Calc!$G$3:$G$22&gt;B786)*(Calc!$G$3:$G$22-B786)^2)</f>
        <v/>
      </c>
      <c r="K786">
        <f>SUMPRODUCT(Calc!$K$3:$K$22*(Calc!$G$3:$G$22&gt;A786)*(Calc!$G$3:$G$22-A786)*(Calc!$G$3:$G$22&gt;B786)*(Calc!$G$3:$G$22-B786))</f>
        <v/>
      </c>
      <c r="L786">
        <f>SUMPRODUCT(Calc!$K$3:$K$22*(Calc!$G$3:$G$22&gt;A786)*(Calc!$G$3:$G$22-A786)*Calc!$G$3:$G$22)</f>
        <v/>
      </c>
      <c r="M786">
        <f>SUMPRODUCT(Calc!$K$3:$K$22*(Calc!$G$3:$G$22&gt;B786)*(Calc!$G$3:$G$22-B786)*Calc!$G$3:$G$22)</f>
        <v/>
      </c>
      <c r="N786">
        <f>SUMPRODUCT(Calc!$K$3:$K$22*(Calc!$G$3:$G$22&gt;A786)*(Calc!$G$3:$G$22-A786)*Calc!$I$3:$I$22)</f>
        <v/>
      </c>
      <c r="O786">
        <f>SUMPRODUCT(Calc!$K$3:$K$22*(Calc!$G$3:$G$22&gt;B786)*(Calc!$G$3:$G$22-B786)*Calc!$I$3:$I$22)</f>
        <v/>
      </c>
      <c r="P786">
        <f>I786-G786^2/k_n</f>
        <v/>
      </c>
      <c r="Q786">
        <f>J786-H786^2/k_n</f>
        <v/>
      </c>
      <c r="R786">
        <f>K786-G786*H786/k_n</f>
        <v/>
      </c>
      <c r="S786">
        <f>L786-LTP3!$D$3*G786/k_n</f>
        <v/>
      </c>
      <c r="T786">
        <f>M786-LTP3!$D$3*H786/k_n</f>
        <v/>
      </c>
      <c r="U786">
        <f>N786-G786*LTP3!$D$4/k_n</f>
        <v/>
      </c>
      <c r="V786">
        <f>O786-H786*LTP3!$D$4/k_n</f>
        <v/>
      </c>
      <c r="W786">
        <f>((LTP3!$D$5)*((P786)*(Q786)-(R786)*(R786))-(S786)*((S786)*(Q786)-(R786)*(T786))+(T786)*((S786)*(R786)-(P786)*(T786)))</f>
        <v/>
      </c>
      <c r="X786">
        <f>IF(ABS(W786)&gt;1E-12,((LTP3!$D$6)*((P786)*(Q786)-(R786)*(R786))-(S786)*((U786)*(Q786)-(R786)*(V786))+(T786)*((U786)*(R786)-(P786)*(V786)))/W786,0)</f>
        <v/>
      </c>
      <c r="Y786">
        <f>IF(ABS(W786)&gt;1E-12,((LTP3!$D$5)*((U786)*(Q786)-(R786)*(V786))-(LTP3!$D$6)*((S786)*(Q786)-(R786)*(T786))+(T786)*((S786)*(V786)-(U786)*(T786)))/W786,0)</f>
        <v/>
      </c>
      <c r="Z786">
        <f>IF(ABS(W786)&gt;1E-12,((LTP3!$D$5)*((P786)*(V786)-(U786)*(R786))-(S786)*((S786)*(V786)-(U786)*(T786))+(LTP3!$D$6)*((S786)*(R786)-(P786)*(T786)))/W786,0)</f>
        <v/>
      </c>
      <c r="AA786">
        <f>LTP3!$D$7-X786*LTP3!$D$6-Y786*U786-Z786*V786</f>
        <v/>
      </c>
      <c r="AB786">
        <f>IF(AND(F786,ABS(W786)&gt;1E-12,Y786&gt;0,Z786&gt;0),AA786,1E+300)</f>
        <v/>
      </c>
    </row>
    <row r="787">
      <c r="A787">
        <f>$B$3+$B$5*12</f>
        <v/>
      </c>
      <c r="B787">
        <f>$B$3+$B$5*43</f>
        <v/>
      </c>
      <c r="C787">
        <f>SUMPRODUCT(Calc!$K$3:$K$22*(Calc!$G$3:$G$22&lt;=A787))</f>
        <v/>
      </c>
      <c r="D787">
        <f>SUMPRODUCT(Calc!$K$3:$K$22*(Calc!$G$3:$G$22&gt;A787)*(Calc!$G$3:$G$22&lt;B787))</f>
        <v/>
      </c>
      <c r="E787">
        <f>SUMPRODUCT(Calc!$K$3:$K$22*(Calc!$G$3:$G$22&gt;=B787))</f>
        <v/>
      </c>
      <c r="F787">
        <f>AND(k_n&gt;=5,B787&gt;A787+1E-9,C787&gt;=2,D787&gt;=1,E787&gt;=2)</f>
        <v/>
      </c>
      <c r="G787">
        <f>SUMPRODUCT(Calc!$K$3:$K$22*(Calc!$G$3:$G$22&gt;A787)*(Calc!$G$3:$G$22-A787))</f>
        <v/>
      </c>
      <c r="H787">
        <f>SUMPRODUCT(Calc!$K$3:$K$22*(Calc!$G$3:$G$22&gt;B787)*(Calc!$G$3:$G$22-B787))</f>
        <v/>
      </c>
      <c r="I787">
        <f>SUMPRODUCT(Calc!$K$3:$K$22*(Calc!$G$3:$G$22&gt;A787)*(Calc!$G$3:$G$22-A787)^2)</f>
        <v/>
      </c>
      <c r="J787">
        <f>SUMPRODUCT(Calc!$K$3:$K$22*(Calc!$G$3:$G$22&gt;B787)*(Calc!$G$3:$G$22-B787)^2)</f>
        <v/>
      </c>
      <c r="K787">
        <f>SUMPRODUCT(Calc!$K$3:$K$22*(Calc!$G$3:$G$22&gt;A787)*(Calc!$G$3:$G$22-A787)*(Calc!$G$3:$G$22&gt;B787)*(Calc!$G$3:$G$22-B787))</f>
        <v/>
      </c>
      <c r="L787">
        <f>SUMPRODUCT(Calc!$K$3:$K$22*(Calc!$G$3:$G$22&gt;A787)*(Calc!$G$3:$G$22-A787)*Calc!$G$3:$G$22)</f>
        <v/>
      </c>
      <c r="M787">
        <f>SUMPRODUCT(Calc!$K$3:$K$22*(Calc!$G$3:$G$22&gt;B787)*(Calc!$G$3:$G$22-B787)*Calc!$G$3:$G$22)</f>
        <v/>
      </c>
      <c r="N787">
        <f>SUMPRODUCT(Calc!$K$3:$K$22*(Calc!$G$3:$G$22&gt;A787)*(Calc!$G$3:$G$22-A787)*Calc!$I$3:$I$22)</f>
        <v/>
      </c>
      <c r="O787">
        <f>SUMPRODUCT(Calc!$K$3:$K$22*(Calc!$G$3:$G$22&gt;B787)*(Calc!$G$3:$G$22-B787)*Calc!$I$3:$I$22)</f>
        <v/>
      </c>
      <c r="P787">
        <f>I787-G787^2/k_n</f>
        <v/>
      </c>
      <c r="Q787">
        <f>J787-H787^2/k_n</f>
        <v/>
      </c>
      <c r="R787">
        <f>K787-G787*H787/k_n</f>
        <v/>
      </c>
      <c r="S787">
        <f>L787-LTP3!$D$3*G787/k_n</f>
        <v/>
      </c>
      <c r="T787">
        <f>M787-LTP3!$D$3*H787/k_n</f>
        <v/>
      </c>
      <c r="U787">
        <f>N787-G787*LTP3!$D$4/k_n</f>
        <v/>
      </c>
      <c r="V787">
        <f>O787-H787*LTP3!$D$4/k_n</f>
        <v/>
      </c>
      <c r="W787">
        <f>((LTP3!$D$5)*((P787)*(Q787)-(R787)*(R787))-(S787)*((S787)*(Q787)-(R787)*(T787))+(T787)*((S787)*(R787)-(P787)*(T787)))</f>
        <v/>
      </c>
      <c r="X787">
        <f>IF(ABS(W787)&gt;1E-12,((LTP3!$D$6)*((P787)*(Q787)-(R787)*(R787))-(S787)*((U787)*(Q787)-(R787)*(V787))+(T787)*((U787)*(R787)-(P787)*(V787)))/W787,0)</f>
        <v/>
      </c>
      <c r="Y787">
        <f>IF(ABS(W787)&gt;1E-12,((LTP3!$D$5)*((U787)*(Q787)-(R787)*(V787))-(LTP3!$D$6)*((S787)*(Q787)-(R787)*(T787))+(T787)*((S787)*(V787)-(U787)*(T787)))/W787,0)</f>
        <v/>
      </c>
      <c r="Z787">
        <f>IF(ABS(W787)&gt;1E-12,((LTP3!$D$5)*((P787)*(V787)-(U787)*(R787))-(S787)*((S787)*(V787)-(U787)*(T787))+(LTP3!$D$6)*((S787)*(R787)-(P787)*(T787)))/W787,0)</f>
        <v/>
      </c>
      <c r="AA787">
        <f>LTP3!$D$7-X787*LTP3!$D$6-Y787*U787-Z787*V787</f>
        <v/>
      </c>
      <c r="AB787">
        <f>IF(AND(F787,ABS(W787)&gt;1E-12,Y787&gt;0,Z787&gt;0),AA787,1E+300)</f>
        <v/>
      </c>
    </row>
    <row r="788">
      <c r="A788">
        <f>$B$3+$B$5*12</f>
        <v/>
      </c>
      <c r="B788">
        <f>$B$3+$B$5*44</f>
        <v/>
      </c>
      <c r="C788">
        <f>SUMPRODUCT(Calc!$K$3:$K$22*(Calc!$G$3:$G$22&lt;=A788))</f>
        <v/>
      </c>
      <c r="D788">
        <f>SUMPRODUCT(Calc!$K$3:$K$22*(Calc!$G$3:$G$22&gt;A788)*(Calc!$G$3:$G$22&lt;B788))</f>
        <v/>
      </c>
      <c r="E788">
        <f>SUMPRODUCT(Calc!$K$3:$K$22*(Calc!$G$3:$G$22&gt;=B788))</f>
        <v/>
      </c>
      <c r="F788">
        <f>AND(k_n&gt;=5,B788&gt;A788+1E-9,C788&gt;=2,D788&gt;=1,E788&gt;=2)</f>
        <v/>
      </c>
      <c r="G788">
        <f>SUMPRODUCT(Calc!$K$3:$K$22*(Calc!$G$3:$G$22&gt;A788)*(Calc!$G$3:$G$22-A788))</f>
        <v/>
      </c>
      <c r="H788">
        <f>SUMPRODUCT(Calc!$K$3:$K$22*(Calc!$G$3:$G$22&gt;B788)*(Calc!$G$3:$G$22-B788))</f>
        <v/>
      </c>
      <c r="I788">
        <f>SUMPRODUCT(Calc!$K$3:$K$22*(Calc!$G$3:$G$22&gt;A788)*(Calc!$G$3:$G$22-A788)^2)</f>
        <v/>
      </c>
      <c r="J788">
        <f>SUMPRODUCT(Calc!$K$3:$K$22*(Calc!$G$3:$G$22&gt;B788)*(Calc!$G$3:$G$22-B788)^2)</f>
        <v/>
      </c>
      <c r="K788">
        <f>SUMPRODUCT(Calc!$K$3:$K$22*(Calc!$G$3:$G$22&gt;A788)*(Calc!$G$3:$G$22-A788)*(Calc!$G$3:$G$22&gt;B788)*(Calc!$G$3:$G$22-B788))</f>
        <v/>
      </c>
      <c r="L788">
        <f>SUMPRODUCT(Calc!$K$3:$K$22*(Calc!$G$3:$G$22&gt;A788)*(Calc!$G$3:$G$22-A788)*Calc!$G$3:$G$22)</f>
        <v/>
      </c>
      <c r="M788">
        <f>SUMPRODUCT(Calc!$K$3:$K$22*(Calc!$G$3:$G$22&gt;B788)*(Calc!$G$3:$G$22-B788)*Calc!$G$3:$G$22)</f>
        <v/>
      </c>
      <c r="N788">
        <f>SUMPRODUCT(Calc!$K$3:$K$22*(Calc!$G$3:$G$22&gt;A788)*(Calc!$G$3:$G$22-A788)*Calc!$I$3:$I$22)</f>
        <v/>
      </c>
      <c r="O788">
        <f>SUMPRODUCT(Calc!$K$3:$K$22*(Calc!$G$3:$G$22&gt;B788)*(Calc!$G$3:$G$22-B788)*Calc!$I$3:$I$22)</f>
        <v/>
      </c>
      <c r="P788">
        <f>I788-G788^2/k_n</f>
        <v/>
      </c>
      <c r="Q788">
        <f>J788-H788^2/k_n</f>
        <v/>
      </c>
      <c r="R788">
        <f>K788-G788*H788/k_n</f>
        <v/>
      </c>
      <c r="S788">
        <f>L788-LTP3!$D$3*G788/k_n</f>
        <v/>
      </c>
      <c r="T788">
        <f>M788-LTP3!$D$3*H788/k_n</f>
        <v/>
      </c>
      <c r="U788">
        <f>N788-G788*LTP3!$D$4/k_n</f>
        <v/>
      </c>
      <c r="V788">
        <f>O788-H788*LTP3!$D$4/k_n</f>
        <v/>
      </c>
      <c r="W788">
        <f>((LTP3!$D$5)*((P788)*(Q788)-(R788)*(R788))-(S788)*((S788)*(Q788)-(R788)*(T788))+(T788)*((S788)*(R788)-(P788)*(T788)))</f>
        <v/>
      </c>
      <c r="X788">
        <f>IF(ABS(W788)&gt;1E-12,((LTP3!$D$6)*((P788)*(Q788)-(R788)*(R788))-(S788)*((U788)*(Q788)-(R788)*(V788))+(T788)*((U788)*(R788)-(P788)*(V788)))/W788,0)</f>
        <v/>
      </c>
      <c r="Y788">
        <f>IF(ABS(W788)&gt;1E-12,((LTP3!$D$5)*((U788)*(Q788)-(R788)*(V788))-(LTP3!$D$6)*((S788)*(Q788)-(R788)*(T788))+(T788)*((S788)*(V788)-(U788)*(T788)))/W788,0)</f>
        <v/>
      </c>
      <c r="Z788">
        <f>IF(ABS(W788)&gt;1E-12,((LTP3!$D$5)*((P788)*(V788)-(U788)*(R788))-(S788)*((S788)*(V788)-(U788)*(T788))+(LTP3!$D$6)*((S788)*(R788)-(P788)*(T788)))/W788,0)</f>
        <v/>
      </c>
      <c r="AA788">
        <f>LTP3!$D$7-X788*LTP3!$D$6-Y788*U788-Z788*V788</f>
        <v/>
      </c>
      <c r="AB788">
        <f>IF(AND(F788,ABS(W788)&gt;1E-12,Y788&gt;0,Z788&gt;0),AA788,1E+300)</f>
        <v/>
      </c>
    </row>
    <row r="789">
      <c r="A789">
        <f>$B$3+$B$5*12</f>
        <v/>
      </c>
      <c r="B789">
        <f>$B$3+$B$5*45</f>
        <v/>
      </c>
      <c r="C789">
        <f>SUMPRODUCT(Calc!$K$3:$K$22*(Calc!$G$3:$G$22&lt;=A789))</f>
        <v/>
      </c>
      <c r="D789">
        <f>SUMPRODUCT(Calc!$K$3:$K$22*(Calc!$G$3:$G$22&gt;A789)*(Calc!$G$3:$G$22&lt;B789))</f>
        <v/>
      </c>
      <c r="E789">
        <f>SUMPRODUCT(Calc!$K$3:$K$22*(Calc!$G$3:$G$22&gt;=B789))</f>
        <v/>
      </c>
      <c r="F789">
        <f>AND(k_n&gt;=5,B789&gt;A789+1E-9,C789&gt;=2,D789&gt;=1,E789&gt;=2)</f>
        <v/>
      </c>
      <c r="G789">
        <f>SUMPRODUCT(Calc!$K$3:$K$22*(Calc!$G$3:$G$22&gt;A789)*(Calc!$G$3:$G$22-A789))</f>
        <v/>
      </c>
      <c r="H789">
        <f>SUMPRODUCT(Calc!$K$3:$K$22*(Calc!$G$3:$G$22&gt;B789)*(Calc!$G$3:$G$22-B789))</f>
        <v/>
      </c>
      <c r="I789">
        <f>SUMPRODUCT(Calc!$K$3:$K$22*(Calc!$G$3:$G$22&gt;A789)*(Calc!$G$3:$G$22-A789)^2)</f>
        <v/>
      </c>
      <c r="J789">
        <f>SUMPRODUCT(Calc!$K$3:$K$22*(Calc!$G$3:$G$22&gt;B789)*(Calc!$G$3:$G$22-B789)^2)</f>
        <v/>
      </c>
      <c r="K789">
        <f>SUMPRODUCT(Calc!$K$3:$K$22*(Calc!$G$3:$G$22&gt;A789)*(Calc!$G$3:$G$22-A789)*(Calc!$G$3:$G$22&gt;B789)*(Calc!$G$3:$G$22-B789))</f>
        <v/>
      </c>
      <c r="L789">
        <f>SUMPRODUCT(Calc!$K$3:$K$22*(Calc!$G$3:$G$22&gt;A789)*(Calc!$G$3:$G$22-A789)*Calc!$G$3:$G$22)</f>
        <v/>
      </c>
      <c r="M789">
        <f>SUMPRODUCT(Calc!$K$3:$K$22*(Calc!$G$3:$G$22&gt;B789)*(Calc!$G$3:$G$22-B789)*Calc!$G$3:$G$22)</f>
        <v/>
      </c>
      <c r="N789">
        <f>SUMPRODUCT(Calc!$K$3:$K$22*(Calc!$G$3:$G$22&gt;A789)*(Calc!$G$3:$G$22-A789)*Calc!$I$3:$I$22)</f>
        <v/>
      </c>
      <c r="O789">
        <f>SUMPRODUCT(Calc!$K$3:$K$22*(Calc!$G$3:$G$22&gt;B789)*(Calc!$G$3:$G$22-B789)*Calc!$I$3:$I$22)</f>
        <v/>
      </c>
      <c r="P789">
        <f>I789-G789^2/k_n</f>
        <v/>
      </c>
      <c r="Q789">
        <f>J789-H789^2/k_n</f>
        <v/>
      </c>
      <c r="R789">
        <f>K789-G789*H789/k_n</f>
        <v/>
      </c>
      <c r="S789">
        <f>L789-LTP3!$D$3*G789/k_n</f>
        <v/>
      </c>
      <c r="T789">
        <f>M789-LTP3!$D$3*H789/k_n</f>
        <v/>
      </c>
      <c r="U789">
        <f>N789-G789*LTP3!$D$4/k_n</f>
        <v/>
      </c>
      <c r="V789">
        <f>O789-H789*LTP3!$D$4/k_n</f>
        <v/>
      </c>
      <c r="W789">
        <f>((LTP3!$D$5)*((P789)*(Q789)-(R789)*(R789))-(S789)*((S789)*(Q789)-(R789)*(T789))+(T789)*((S789)*(R789)-(P789)*(T789)))</f>
        <v/>
      </c>
      <c r="X789">
        <f>IF(ABS(W789)&gt;1E-12,((LTP3!$D$6)*((P789)*(Q789)-(R789)*(R789))-(S789)*((U789)*(Q789)-(R789)*(V789))+(T789)*((U789)*(R789)-(P789)*(V789)))/W789,0)</f>
        <v/>
      </c>
      <c r="Y789">
        <f>IF(ABS(W789)&gt;1E-12,((LTP3!$D$5)*((U789)*(Q789)-(R789)*(V789))-(LTP3!$D$6)*((S789)*(Q789)-(R789)*(T789))+(T789)*((S789)*(V789)-(U789)*(T789)))/W789,0)</f>
        <v/>
      </c>
      <c r="Z789">
        <f>IF(ABS(W789)&gt;1E-12,((LTP3!$D$5)*((P789)*(V789)-(U789)*(R789))-(S789)*((S789)*(V789)-(U789)*(T789))+(LTP3!$D$6)*((S789)*(R789)-(P789)*(T789)))/W789,0)</f>
        <v/>
      </c>
      <c r="AA789">
        <f>LTP3!$D$7-X789*LTP3!$D$6-Y789*U789-Z789*V789</f>
        <v/>
      </c>
      <c r="AB789">
        <f>IF(AND(F789,ABS(W789)&gt;1E-12,Y789&gt;0,Z789&gt;0),AA789,1E+300)</f>
        <v/>
      </c>
    </row>
    <row r="790">
      <c r="A790">
        <f>$B$3+$B$5*12</f>
        <v/>
      </c>
      <c r="B790">
        <f>$B$3+$B$5*46</f>
        <v/>
      </c>
      <c r="C790">
        <f>SUMPRODUCT(Calc!$K$3:$K$22*(Calc!$G$3:$G$22&lt;=A790))</f>
        <v/>
      </c>
      <c r="D790">
        <f>SUMPRODUCT(Calc!$K$3:$K$22*(Calc!$G$3:$G$22&gt;A790)*(Calc!$G$3:$G$22&lt;B790))</f>
        <v/>
      </c>
      <c r="E790">
        <f>SUMPRODUCT(Calc!$K$3:$K$22*(Calc!$G$3:$G$22&gt;=B790))</f>
        <v/>
      </c>
      <c r="F790">
        <f>AND(k_n&gt;=5,B790&gt;A790+1E-9,C790&gt;=2,D790&gt;=1,E790&gt;=2)</f>
        <v/>
      </c>
      <c r="G790">
        <f>SUMPRODUCT(Calc!$K$3:$K$22*(Calc!$G$3:$G$22&gt;A790)*(Calc!$G$3:$G$22-A790))</f>
        <v/>
      </c>
      <c r="H790">
        <f>SUMPRODUCT(Calc!$K$3:$K$22*(Calc!$G$3:$G$22&gt;B790)*(Calc!$G$3:$G$22-B790))</f>
        <v/>
      </c>
      <c r="I790">
        <f>SUMPRODUCT(Calc!$K$3:$K$22*(Calc!$G$3:$G$22&gt;A790)*(Calc!$G$3:$G$22-A790)^2)</f>
        <v/>
      </c>
      <c r="J790">
        <f>SUMPRODUCT(Calc!$K$3:$K$22*(Calc!$G$3:$G$22&gt;B790)*(Calc!$G$3:$G$22-B790)^2)</f>
        <v/>
      </c>
      <c r="K790">
        <f>SUMPRODUCT(Calc!$K$3:$K$22*(Calc!$G$3:$G$22&gt;A790)*(Calc!$G$3:$G$22-A790)*(Calc!$G$3:$G$22&gt;B790)*(Calc!$G$3:$G$22-B790))</f>
        <v/>
      </c>
      <c r="L790">
        <f>SUMPRODUCT(Calc!$K$3:$K$22*(Calc!$G$3:$G$22&gt;A790)*(Calc!$G$3:$G$22-A790)*Calc!$G$3:$G$22)</f>
        <v/>
      </c>
      <c r="M790">
        <f>SUMPRODUCT(Calc!$K$3:$K$22*(Calc!$G$3:$G$22&gt;B790)*(Calc!$G$3:$G$22-B790)*Calc!$G$3:$G$22)</f>
        <v/>
      </c>
      <c r="N790">
        <f>SUMPRODUCT(Calc!$K$3:$K$22*(Calc!$G$3:$G$22&gt;A790)*(Calc!$G$3:$G$22-A790)*Calc!$I$3:$I$22)</f>
        <v/>
      </c>
      <c r="O790">
        <f>SUMPRODUCT(Calc!$K$3:$K$22*(Calc!$G$3:$G$22&gt;B790)*(Calc!$G$3:$G$22-B790)*Calc!$I$3:$I$22)</f>
        <v/>
      </c>
      <c r="P790">
        <f>I790-G790^2/k_n</f>
        <v/>
      </c>
      <c r="Q790">
        <f>J790-H790^2/k_n</f>
        <v/>
      </c>
      <c r="R790">
        <f>K790-G790*H790/k_n</f>
        <v/>
      </c>
      <c r="S790">
        <f>L790-LTP3!$D$3*G790/k_n</f>
        <v/>
      </c>
      <c r="T790">
        <f>M790-LTP3!$D$3*H790/k_n</f>
        <v/>
      </c>
      <c r="U790">
        <f>N790-G790*LTP3!$D$4/k_n</f>
        <v/>
      </c>
      <c r="V790">
        <f>O790-H790*LTP3!$D$4/k_n</f>
        <v/>
      </c>
      <c r="W790">
        <f>((LTP3!$D$5)*((P790)*(Q790)-(R790)*(R790))-(S790)*((S790)*(Q790)-(R790)*(T790))+(T790)*((S790)*(R790)-(P790)*(T790)))</f>
        <v/>
      </c>
      <c r="X790">
        <f>IF(ABS(W790)&gt;1E-12,((LTP3!$D$6)*((P790)*(Q790)-(R790)*(R790))-(S790)*((U790)*(Q790)-(R790)*(V790))+(T790)*((U790)*(R790)-(P790)*(V790)))/W790,0)</f>
        <v/>
      </c>
      <c r="Y790">
        <f>IF(ABS(W790)&gt;1E-12,((LTP3!$D$5)*((U790)*(Q790)-(R790)*(V790))-(LTP3!$D$6)*((S790)*(Q790)-(R790)*(T790))+(T790)*((S790)*(V790)-(U790)*(T790)))/W790,0)</f>
        <v/>
      </c>
      <c r="Z790">
        <f>IF(ABS(W790)&gt;1E-12,((LTP3!$D$5)*((P790)*(V790)-(U790)*(R790))-(S790)*((S790)*(V790)-(U790)*(T790))+(LTP3!$D$6)*((S790)*(R790)-(P790)*(T790)))/W790,0)</f>
        <v/>
      </c>
      <c r="AA790">
        <f>LTP3!$D$7-X790*LTP3!$D$6-Y790*U790-Z790*V790</f>
        <v/>
      </c>
      <c r="AB790">
        <f>IF(AND(F790,ABS(W790)&gt;1E-12,Y790&gt;0,Z790&gt;0),AA790,1E+300)</f>
        <v/>
      </c>
    </row>
    <row r="791">
      <c r="A791">
        <f>$B$3+$B$5*12</f>
        <v/>
      </c>
      <c r="B791">
        <f>$B$3+$B$5*47</f>
        <v/>
      </c>
      <c r="C791">
        <f>SUMPRODUCT(Calc!$K$3:$K$22*(Calc!$G$3:$G$22&lt;=A791))</f>
        <v/>
      </c>
      <c r="D791">
        <f>SUMPRODUCT(Calc!$K$3:$K$22*(Calc!$G$3:$G$22&gt;A791)*(Calc!$G$3:$G$22&lt;B791))</f>
        <v/>
      </c>
      <c r="E791">
        <f>SUMPRODUCT(Calc!$K$3:$K$22*(Calc!$G$3:$G$22&gt;=B791))</f>
        <v/>
      </c>
      <c r="F791">
        <f>AND(k_n&gt;=5,B791&gt;A791+1E-9,C791&gt;=2,D791&gt;=1,E791&gt;=2)</f>
        <v/>
      </c>
      <c r="G791">
        <f>SUMPRODUCT(Calc!$K$3:$K$22*(Calc!$G$3:$G$22&gt;A791)*(Calc!$G$3:$G$22-A791))</f>
        <v/>
      </c>
      <c r="H791">
        <f>SUMPRODUCT(Calc!$K$3:$K$22*(Calc!$G$3:$G$22&gt;B791)*(Calc!$G$3:$G$22-B791))</f>
        <v/>
      </c>
      <c r="I791">
        <f>SUMPRODUCT(Calc!$K$3:$K$22*(Calc!$G$3:$G$22&gt;A791)*(Calc!$G$3:$G$22-A791)^2)</f>
        <v/>
      </c>
      <c r="J791">
        <f>SUMPRODUCT(Calc!$K$3:$K$22*(Calc!$G$3:$G$22&gt;B791)*(Calc!$G$3:$G$22-B791)^2)</f>
        <v/>
      </c>
      <c r="K791">
        <f>SUMPRODUCT(Calc!$K$3:$K$22*(Calc!$G$3:$G$22&gt;A791)*(Calc!$G$3:$G$22-A791)*(Calc!$G$3:$G$22&gt;B791)*(Calc!$G$3:$G$22-B791))</f>
        <v/>
      </c>
      <c r="L791">
        <f>SUMPRODUCT(Calc!$K$3:$K$22*(Calc!$G$3:$G$22&gt;A791)*(Calc!$G$3:$G$22-A791)*Calc!$G$3:$G$22)</f>
        <v/>
      </c>
      <c r="M791">
        <f>SUMPRODUCT(Calc!$K$3:$K$22*(Calc!$G$3:$G$22&gt;B791)*(Calc!$G$3:$G$22-B791)*Calc!$G$3:$G$22)</f>
        <v/>
      </c>
      <c r="N791">
        <f>SUMPRODUCT(Calc!$K$3:$K$22*(Calc!$G$3:$G$22&gt;A791)*(Calc!$G$3:$G$22-A791)*Calc!$I$3:$I$22)</f>
        <v/>
      </c>
      <c r="O791">
        <f>SUMPRODUCT(Calc!$K$3:$K$22*(Calc!$G$3:$G$22&gt;B791)*(Calc!$G$3:$G$22-B791)*Calc!$I$3:$I$22)</f>
        <v/>
      </c>
      <c r="P791">
        <f>I791-G791^2/k_n</f>
        <v/>
      </c>
      <c r="Q791">
        <f>J791-H791^2/k_n</f>
        <v/>
      </c>
      <c r="R791">
        <f>K791-G791*H791/k_n</f>
        <v/>
      </c>
      <c r="S791">
        <f>L791-LTP3!$D$3*G791/k_n</f>
        <v/>
      </c>
      <c r="T791">
        <f>M791-LTP3!$D$3*H791/k_n</f>
        <v/>
      </c>
      <c r="U791">
        <f>N791-G791*LTP3!$D$4/k_n</f>
        <v/>
      </c>
      <c r="V791">
        <f>O791-H791*LTP3!$D$4/k_n</f>
        <v/>
      </c>
      <c r="W791">
        <f>((LTP3!$D$5)*((P791)*(Q791)-(R791)*(R791))-(S791)*((S791)*(Q791)-(R791)*(T791))+(T791)*((S791)*(R791)-(P791)*(T791)))</f>
        <v/>
      </c>
      <c r="X791">
        <f>IF(ABS(W791)&gt;1E-12,((LTP3!$D$6)*((P791)*(Q791)-(R791)*(R791))-(S791)*((U791)*(Q791)-(R791)*(V791))+(T791)*((U791)*(R791)-(P791)*(V791)))/W791,0)</f>
        <v/>
      </c>
      <c r="Y791">
        <f>IF(ABS(W791)&gt;1E-12,((LTP3!$D$5)*((U791)*(Q791)-(R791)*(V791))-(LTP3!$D$6)*((S791)*(Q791)-(R791)*(T791))+(T791)*((S791)*(V791)-(U791)*(T791)))/W791,0)</f>
        <v/>
      </c>
      <c r="Z791">
        <f>IF(ABS(W791)&gt;1E-12,((LTP3!$D$5)*((P791)*(V791)-(U791)*(R791))-(S791)*((S791)*(V791)-(U791)*(T791))+(LTP3!$D$6)*((S791)*(R791)-(P791)*(T791)))/W791,0)</f>
        <v/>
      </c>
      <c r="AA791">
        <f>LTP3!$D$7-X791*LTP3!$D$6-Y791*U791-Z791*V791</f>
        <v/>
      </c>
      <c r="AB791">
        <f>IF(AND(F791,ABS(W791)&gt;1E-12,Y791&gt;0,Z791&gt;0),AA791,1E+300)</f>
        <v/>
      </c>
    </row>
    <row r="792">
      <c r="A792">
        <f>$B$3+$B$5*12</f>
        <v/>
      </c>
      <c r="B792">
        <f>$B$3+$B$5*48</f>
        <v/>
      </c>
      <c r="C792">
        <f>SUMPRODUCT(Calc!$K$3:$K$22*(Calc!$G$3:$G$22&lt;=A792))</f>
        <v/>
      </c>
      <c r="D792">
        <f>SUMPRODUCT(Calc!$K$3:$K$22*(Calc!$G$3:$G$22&gt;A792)*(Calc!$G$3:$G$22&lt;B792))</f>
        <v/>
      </c>
      <c r="E792">
        <f>SUMPRODUCT(Calc!$K$3:$K$22*(Calc!$G$3:$G$22&gt;=B792))</f>
        <v/>
      </c>
      <c r="F792">
        <f>AND(k_n&gt;=5,B792&gt;A792+1E-9,C792&gt;=2,D792&gt;=1,E792&gt;=2)</f>
        <v/>
      </c>
      <c r="G792">
        <f>SUMPRODUCT(Calc!$K$3:$K$22*(Calc!$G$3:$G$22&gt;A792)*(Calc!$G$3:$G$22-A792))</f>
        <v/>
      </c>
      <c r="H792">
        <f>SUMPRODUCT(Calc!$K$3:$K$22*(Calc!$G$3:$G$22&gt;B792)*(Calc!$G$3:$G$22-B792))</f>
        <v/>
      </c>
      <c r="I792">
        <f>SUMPRODUCT(Calc!$K$3:$K$22*(Calc!$G$3:$G$22&gt;A792)*(Calc!$G$3:$G$22-A792)^2)</f>
        <v/>
      </c>
      <c r="J792">
        <f>SUMPRODUCT(Calc!$K$3:$K$22*(Calc!$G$3:$G$22&gt;B792)*(Calc!$G$3:$G$22-B792)^2)</f>
        <v/>
      </c>
      <c r="K792">
        <f>SUMPRODUCT(Calc!$K$3:$K$22*(Calc!$G$3:$G$22&gt;A792)*(Calc!$G$3:$G$22-A792)*(Calc!$G$3:$G$22&gt;B792)*(Calc!$G$3:$G$22-B792))</f>
        <v/>
      </c>
      <c r="L792">
        <f>SUMPRODUCT(Calc!$K$3:$K$22*(Calc!$G$3:$G$22&gt;A792)*(Calc!$G$3:$G$22-A792)*Calc!$G$3:$G$22)</f>
        <v/>
      </c>
      <c r="M792">
        <f>SUMPRODUCT(Calc!$K$3:$K$22*(Calc!$G$3:$G$22&gt;B792)*(Calc!$G$3:$G$22-B792)*Calc!$G$3:$G$22)</f>
        <v/>
      </c>
      <c r="N792">
        <f>SUMPRODUCT(Calc!$K$3:$K$22*(Calc!$G$3:$G$22&gt;A792)*(Calc!$G$3:$G$22-A792)*Calc!$I$3:$I$22)</f>
        <v/>
      </c>
      <c r="O792">
        <f>SUMPRODUCT(Calc!$K$3:$K$22*(Calc!$G$3:$G$22&gt;B792)*(Calc!$G$3:$G$22-B792)*Calc!$I$3:$I$22)</f>
        <v/>
      </c>
      <c r="P792">
        <f>I792-G792^2/k_n</f>
        <v/>
      </c>
      <c r="Q792">
        <f>J792-H792^2/k_n</f>
        <v/>
      </c>
      <c r="R792">
        <f>K792-G792*H792/k_n</f>
        <v/>
      </c>
      <c r="S792">
        <f>L792-LTP3!$D$3*G792/k_n</f>
        <v/>
      </c>
      <c r="T792">
        <f>M792-LTP3!$D$3*H792/k_n</f>
        <v/>
      </c>
      <c r="U792">
        <f>N792-G792*LTP3!$D$4/k_n</f>
        <v/>
      </c>
      <c r="V792">
        <f>O792-H792*LTP3!$D$4/k_n</f>
        <v/>
      </c>
      <c r="W792">
        <f>((LTP3!$D$5)*((P792)*(Q792)-(R792)*(R792))-(S792)*((S792)*(Q792)-(R792)*(T792))+(T792)*((S792)*(R792)-(P792)*(T792)))</f>
        <v/>
      </c>
      <c r="X792">
        <f>IF(ABS(W792)&gt;1E-12,((LTP3!$D$6)*((P792)*(Q792)-(R792)*(R792))-(S792)*((U792)*(Q792)-(R792)*(V792))+(T792)*((U792)*(R792)-(P792)*(V792)))/W792,0)</f>
        <v/>
      </c>
      <c r="Y792">
        <f>IF(ABS(W792)&gt;1E-12,((LTP3!$D$5)*((U792)*(Q792)-(R792)*(V792))-(LTP3!$D$6)*((S792)*(Q792)-(R792)*(T792))+(T792)*((S792)*(V792)-(U792)*(T792)))/W792,0)</f>
        <v/>
      </c>
      <c r="Z792">
        <f>IF(ABS(W792)&gt;1E-12,((LTP3!$D$5)*((P792)*(V792)-(U792)*(R792))-(S792)*((S792)*(V792)-(U792)*(T792))+(LTP3!$D$6)*((S792)*(R792)-(P792)*(T792)))/W792,0)</f>
        <v/>
      </c>
      <c r="AA792">
        <f>LTP3!$D$7-X792*LTP3!$D$6-Y792*U792-Z792*V792</f>
        <v/>
      </c>
      <c r="AB792">
        <f>IF(AND(F792,ABS(W792)&gt;1E-12,Y792&gt;0,Z792&gt;0),AA792,1E+300)</f>
        <v/>
      </c>
    </row>
    <row r="793">
      <c r="A793">
        <f>$B$3+$B$5*12</f>
        <v/>
      </c>
      <c r="B793">
        <f>$B$3+$B$5*49</f>
        <v/>
      </c>
      <c r="C793">
        <f>SUMPRODUCT(Calc!$K$3:$K$22*(Calc!$G$3:$G$22&lt;=A793))</f>
        <v/>
      </c>
      <c r="D793">
        <f>SUMPRODUCT(Calc!$K$3:$K$22*(Calc!$G$3:$G$22&gt;A793)*(Calc!$G$3:$G$22&lt;B793))</f>
        <v/>
      </c>
      <c r="E793">
        <f>SUMPRODUCT(Calc!$K$3:$K$22*(Calc!$G$3:$G$22&gt;=B793))</f>
        <v/>
      </c>
      <c r="F793">
        <f>AND(k_n&gt;=5,B793&gt;A793+1E-9,C793&gt;=2,D793&gt;=1,E793&gt;=2)</f>
        <v/>
      </c>
      <c r="G793">
        <f>SUMPRODUCT(Calc!$K$3:$K$22*(Calc!$G$3:$G$22&gt;A793)*(Calc!$G$3:$G$22-A793))</f>
        <v/>
      </c>
      <c r="H793">
        <f>SUMPRODUCT(Calc!$K$3:$K$22*(Calc!$G$3:$G$22&gt;B793)*(Calc!$G$3:$G$22-B793))</f>
        <v/>
      </c>
      <c r="I793">
        <f>SUMPRODUCT(Calc!$K$3:$K$22*(Calc!$G$3:$G$22&gt;A793)*(Calc!$G$3:$G$22-A793)^2)</f>
        <v/>
      </c>
      <c r="J793">
        <f>SUMPRODUCT(Calc!$K$3:$K$22*(Calc!$G$3:$G$22&gt;B793)*(Calc!$G$3:$G$22-B793)^2)</f>
        <v/>
      </c>
      <c r="K793">
        <f>SUMPRODUCT(Calc!$K$3:$K$22*(Calc!$G$3:$G$22&gt;A793)*(Calc!$G$3:$G$22-A793)*(Calc!$G$3:$G$22&gt;B793)*(Calc!$G$3:$G$22-B793))</f>
        <v/>
      </c>
      <c r="L793">
        <f>SUMPRODUCT(Calc!$K$3:$K$22*(Calc!$G$3:$G$22&gt;A793)*(Calc!$G$3:$G$22-A793)*Calc!$G$3:$G$22)</f>
        <v/>
      </c>
      <c r="M793">
        <f>SUMPRODUCT(Calc!$K$3:$K$22*(Calc!$G$3:$G$22&gt;B793)*(Calc!$G$3:$G$22-B793)*Calc!$G$3:$G$22)</f>
        <v/>
      </c>
      <c r="N793">
        <f>SUMPRODUCT(Calc!$K$3:$K$22*(Calc!$G$3:$G$22&gt;A793)*(Calc!$G$3:$G$22-A793)*Calc!$I$3:$I$22)</f>
        <v/>
      </c>
      <c r="O793">
        <f>SUMPRODUCT(Calc!$K$3:$K$22*(Calc!$G$3:$G$22&gt;B793)*(Calc!$G$3:$G$22-B793)*Calc!$I$3:$I$22)</f>
        <v/>
      </c>
      <c r="P793">
        <f>I793-G793^2/k_n</f>
        <v/>
      </c>
      <c r="Q793">
        <f>J793-H793^2/k_n</f>
        <v/>
      </c>
      <c r="R793">
        <f>K793-G793*H793/k_n</f>
        <v/>
      </c>
      <c r="S793">
        <f>L793-LTP3!$D$3*G793/k_n</f>
        <v/>
      </c>
      <c r="T793">
        <f>M793-LTP3!$D$3*H793/k_n</f>
        <v/>
      </c>
      <c r="U793">
        <f>N793-G793*LTP3!$D$4/k_n</f>
        <v/>
      </c>
      <c r="V793">
        <f>O793-H793*LTP3!$D$4/k_n</f>
        <v/>
      </c>
      <c r="W793">
        <f>((LTP3!$D$5)*((P793)*(Q793)-(R793)*(R793))-(S793)*((S793)*(Q793)-(R793)*(T793))+(T793)*((S793)*(R793)-(P793)*(T793)))</f>
        <v/>
      </c>
      <c r="X793">
        <f>IF(ABS(W793)&gt;1E-12,((LTP3!$D$6)*((P793)*(Q793)-(R793)*(R793))-(S793)*((U793)*(Q793)-(R793)*(V793))+(T793)*((U793)*(R793)-(P793)*(V793)))/W793,0)</f>
        <v/>
      </c>
      <c r="Y793">
        <f>IF(ABS(W793)&gt;1E-12,((LTP3!$D$5)*((U793)*(Q793)-(R793)*(V793))-(LTP3!$D$6)*((S793)*(Q793)-(R793)*(T793))+(T793)*((S793)*(V793)-(U793)*(T793)))/W793,0)</f>
        <v/>
      </c>
      <c r="Z793">
        <f>IF(ABS(W793)&gt;1E-12,((LTP3!$D$5)*((P793)*(V793)-(U793)*(R793))-(S793)*((S793)*(V793)-(U793)*(T793))+(LTP3!$D$6)*((S793)*(R793)-(P793)*(T793)))/W793,0)</f>
        <v/>
      </c>
      <c r="AA793">
        <f>LTP3!$D$7-X793*LTP3!$D$6-Y793*U793-Z793*V793</f>
        <v/>
      </c>
      <c r="AB793">
        <f>IF(AND(F793,ABS(W793)&gt;1E-12,Y793&gt;0,Z793&gt;0),AA793,1E+300)</f>
        <v/>
      </c>
    </row>
    <row r="794">
      <c r="A794">
        <f>$B$3+$B$5*12</f>
        <v/>
      </c>
      <c r="B794">
        <f>$B$3+$B$5*50</f>
        <v/>
      </c>
      <c r="C794">
        <f>SUMPRODUCT(Calc!$K$3:$K$22*(Calc!$G$3:$G$22&lt;=A794))</f>
        <v/>
      </c>
      <c r="D794">
        <f>SUMPRODUCT(Calc!$K$3:$K$22*(Calc!$G$3:$G$22&gt;A794)*(Calc!$G$3:$G$22&lt;B794))</f>
        <v/>
      </c>
      <c r="E794">
        <f>SUMPRODUCT(Calc!$K$3:$K$22*(Calc!$G$3:$G$22&gt;=B794))</f>
        <v/>
      </c>
      <c r="F794">
        <f>AND(k_n&gt;=5,B794&gt;A794+1E-9,C794&gt;=2,D794&gt;=1,E794&gt;=2)</f>
        <v/>
      </c>
      <c r="G794">
        <f>SUMPRODUCT(Calc!$K$3:$K$22*(Calc!$G$3:$G$22&gt;A794)*(Calc!$G$3:$G$22-A794))</f>
        <v/>
      </c>
      <c r="H794">
        <f>SUMPRODUCT(Calc!$K$3:$K$22*(Calc!$G$3:$G$22&gt;B794)*(Calc!$G$3:$G$22-B794))</f>
        <v/>
      </c>
      <c r="I794">
        <f>SUMPRODUCT(Calc!$K$3:$K$22*(Calc!$G$3:$G$22&gt;A794)*(Calc!$G$3:$G$22-A794)^2)</f>
        <v/>
      </c>
      <c r="J794">
        <f>SUMPRODUCT(Calc!$K$3:$K$22*(Calc!$G$3:$G$22&gt;B794)*(Calc!$G$3:$G$22-B794)^2)</f>
        <v/>
      </c>
      <c r="K794">
        <f>SUMPRODUCT(Calc!$K$3:$K$22*(Calc!$G$3:$G$22&gt;A794)*(Calc!$G$3:$G$22-A794)*(Calc!$G$3:$G$22&gt;B794)*(Calc!$G$3:$G$22-B794))</f>
        <v/>
      </c>
      <c r="L794">
        <f>SUMPRODUCT(Calc!$K$3:$K$22*(Calc!$G$3:$G$22&gt;A794)*(Calc!$G$3:$G$22-A794)*Calc!$G$3:$G$22)</f>
        <v/>
      </c>
      <c r="M794">
        <f>SUMPRODUCT(Calc!$K$3:$K$22*(Calc!$G$3:$G$22&gt;B794)*(Calc!$G$3:$G$22-B794)*Calc!$G$3:$G$22)</f>
        <v/>
      </c>
      <c r="N794">
        <f>SUMPRODUCT(Calc!$K$3:$K$22*(Calc!$G$3:$G$22&gt;A794)*(Calc!$G$3:$G$22-A794)*Calc!$I$3:$I$22)</f>
        <v/>
      </c>
      <c r="O794">
        <f>SUMPRODUCT(Calc!$K$3:$K$22*(Calc!$G$3:$G$22&gt;B794)*(Calc!$G$3:$G$22-B794)*Calc!$I$3:$I$22)</f>
        <v/>
      </c>
      <c r="P794">
        <f>I794-G794^2/k_n</f>
        <v/>
      </c>
      <c r="Q794">
        <f>J794-H794^2/k_n</f>
        <v/>
      </c>
      <c r="R794">
        <f>K794-G794*H794/k_n</f>
        <v/>
      </c>
      <c r="S794">
        <f>L794-LTP3!$D$3*G794/k_n</f>
        <v/>
      </c>
      <c r="T794">
        <f>M794-LTP3!$D$3*H794/k_n</f>
        <v/>
      </c>
      <c r="U794">
        <f>N794-G794*LTP3!$D$4/k_n</f>
        <v/>
      </c>
      <c r="V794">
        <f>O794-H794*LTP3!$D$4/k_n</f>
        <v/>
      </c>
      <c r="W794">
        <f>((LTP3!$D$5)*((P794)*(Q794)-(R794)*(R794))-(S794)*((S794)*(Q794)-(R794)*(T794))+(T794)*((S794)*(R794)-(P794)*(T794)))</f>
        <v/>
      </c>
      <c r="X794">
        <f>IF(ABS(W794)&gt;1E-12,((LTP3!$D$6)*((P794)*(Q794)-(R794)*(R794))-(S794)*((U794)*(Q794)-(R794)*(V794))+(T794)*((U794)*(R794)-(P794)*(V794)))/W794,0)</f>
        <v/>
      </c>
      <c r="Y794">
        <f>IF(ABS(W794)&gt;1E-12,((LTP3!$D$5)*((U794)*(Q794)-(R794)*(V794))-(LTP3!$D$6)*((S794)*(Q794)-(R794)*(T794))+(T794)*((S794)*(V794)-(U794)*(T794)))/W794,0)</f>
        <v/>
      </c>
      <c r="Z794">
        <f>IF(ABS(W794)&gt;1E-12,((LTP3!$D$5)*((P794)*(V794)-(U794)*(R794))-(S794)*((S794)*(V794)-(U794)*(T794))+(LTP3!$D$6)*((S794)*(R794)-(P794)*(T794)))/W794,0)</f>
        <v/>
      </c>
      <c r="AA794">
        <f>LTP3!$D$7-X794*LTP3!$D$6-Y794*U794-Z794*V794</f>
        <v/>
      </c>
      <c r="AB794">
        <f>IF(AND(F794,ABS(W794)&gt;1E-12,Y794&gt;0,Z794&gt;0),AA794,1E+300)</f>
        <v/>
      </c>
    </row>
    <row r="795">
      <c r="A795">
        <f>$B$3+$B$5*12</f>
        <v/>
      </c>
      <c r="B795">
        <f>$B$3+$B$5*51</f>
        <v/>
      </c>
      <c r="C795">
        <f>SUMPRODUCT(Calc!$K$3:$K$22*(Calc!$G$3:$G$22&lt;=A795))</f>
        <v/>
      </c>
      <c r="D795">
        <f>SUMPRODUCT(Calc!$K$3:$K$22*(Calc!$G$3:$G$22&gt;A795)*(Calc!$G$3:$G$22&lt;B795))</f>
        <v/>
      </c>
      <c r="E795">
        <f>SUMPRODUCT(Calc!$K$3:$K$22*(Calc!$G$3:$G$22&gt;=B795))</f>
        <v/>
      </c>
      <c r="F795">
        <f>AND(k_n&gt;=5,B795&gt;A795+1E-9,C795&gt;=2,D795&gt;=1,E795&gt;=2)</f>
        <v/>
      </c>
      <c r="G795">
        <f>SUMPRODUCT(Calc!$K$3:$K$22*(Calc!$G$3:$G$22&gt;A795)*(Calc!$G$3:$G$22-A795))</f>
        <v/>
      </c>
      <c r="H795">
        <f>SUMPRODUCT(Calc!$K$3:$K$22*(Calc!$G$3:$G$22&gt;B795)*(Calc!$G$3:$G$22-B795))</f>
        <v/>
      </c>
      <c r="I795">
        <f>SUMPRODUCT(Calc!$K$3:$K$22*(Calc!$G$3:$G$22&gt;A795)*(Calc!$G$3:$G$22-A795)^2)</f>
        <v/>
      </c>
      <c r="J795">
        <f>SUMPRODUCT(Calc!$K$3:$K$22*(Calc!$G$3:$G$22&gt;B795)*(Calc!$G$3:$G$22-B795)^2)</f>
        <v/>
      </c>
      <c r="K795">
        <f>SUMPRODUCT(Calc!$K$3:$K$22*(Calc!$G$3:$G$22&gt;A795)*(Calc!$G$3:$G$22-A795)*(Calc!$G$3:$G$22&gt;B795)*(Calc!$G$3:$G$22-B795))</f>
        <v/>
      </c>
      <c r="L795">
        <f>SUMPRODUCT(Calc!$K$3:$K$22*(Calc!$G$3:$G$22&gt;A795)*(Calc!$G$3:$G$22-A795)*Calc!$G$3:$G$22)</f>
        <v/>
      </c>
      <c r="M795">
        <f>SUMPRODUCT(Calc!$K$3:$K$22*(Calc!$G$3:$G$22&gt;B795)*(Calc!$G$3:$G$22-B795)*Calc!$G$3:$G$22)</f>
        <v/>
      </c>
      <c r="N795">
        <f>SUMPRODUCT(Calc!$K$3:$K$22*(Calc!$G$3:$G$22&gt;A795)*(Calc!$G$3:$G$22-A795)*Calc!$I$3:$I$22)</f>
        <v/>
      </c>
      <c r="O795">
        <f>SUMPRODUCT(Calc!$K$3:$K$22*(Calc!$G$3:$G$22&gt;B795)*(Calc!$G$3:$G$22-B795)*Calc!$I$3:$I$22)</f>
        <v/>
      </c>
      <c r="P795">
        <f>I795-G795^2/k_n</f>
        <v/>
      </c>
      <c r="Q795">
        <f>J795-H795^2/k_n</f>
        <v/>
      </c>
      <c r="R795">
        <f>K795-G795*H795/k_n</f>
        <v/>
      </c>
      <c r="S795">
        <f>L795-LTP3!$D$3*G795/k_n</f>
        <v/>
      </c>
      <c r="T795">
        <f>M795-LTP3!$D$3*H795/k_n</f>
        <v/>
      </c>
      <c r="U795">
        <f>N795-G795*LTP3!$D$4/k_n</f>
        <v/>
      </c>
      <c r="V795">
        <f>O795-H795*LTP3!$D$4/k_n</f>
        <v/>
      </c>
      <c r="W795">
        <f>((LTP3!$D$5)*((P795)*(Q795)-(R795)*(R795))-(S795)*((S795)*(Q795)-(R795)*(T795))+(T795)*((S795)*(R795)-(P795)*(T795)))</f>
        <v/>
      </c>
      <c r="X795">
        <f>IF(ABS(W795)&gt;1E-12,((LTP3!$D$6)*((P795)*(Q795)-(R795)*(R795))-(S795)*((U795)*(Q795)-(R795)*(V795))+(T795)*((U795)*(R795)-(P795)*(V795)))/W795,0)</f>
        <v/>
      </c>
      <c r="Y795">
        <f>IF(ABS(W795)&gt;1E-12,((LTP3!$D$5)*((U795)*(Q795)-(R795)*(V795))-(LTP3!$D$6)*((S795)*(Q795)-(R795)*(T795))+(T795)*((S795)*(V795)-(U795)*(T795)))/W795,0)</f>
        <v/>
      </c>
      <c r="Z795">
        <f>IF(ABS(W795)&gt;1E-12,((LTP3!$D$5)*((P795)*(V795)-(U795)*(R795))-(S795)*((S795)*(V795)-(U795)*(T795))+(LTP3!$D$6)*((S795)*(R795)-(P795)*(T795)))/W795,0)</f>
        <v/>
      </c>
      <c r="AA795">
        <f>LTP3!$D$7-X795*LTP3!$D$6-Y795*U795-Z795*V795</f>
        <v/>
      </c>
      <c r="AB795">
        <f>IF(AND(F795,ABS(W795)&gt;1E-12,Y795&gt;0,Z795&gt;0),AA795,1E+300)</f>
        <v/>
      </c>
    </row>
    <row r="796">
      <c r="A796">
        <f>$B$3+$B$5*12</f>
        <v/>
      </c>
      <c r="B796">
        <f>$B$3+$B$5*52</f>
        <v/>
      </c>
      <c r="C796">
        <f>SUMPRODUCT(Calc!$K$3:$K$22*(Calc!$G$3:$G$22&lt;=A796))</f>
        <v/>
      </c>
      <c r="D796">
        <f>SUMPRODUCT(Calc!$K$3:$K$22*(Calc!$G$3:$G$22&gt;A796)*(Calc!$G$3:$G$22&lt;B796))</f>
        <v/>
      </c>
      <c r="E796">
        <f>SUMPRODUCT(Calc!$K$3:$K$22*(Calc!$G$3:$G$22&gt;=B796))</f>
        <v/>
      </c>
      <c r="F796">
        <f>AND(k_n&gt;=5,B796&gt;A796+1E-9,C796&gt;=2,D796&gt;=1,E796&gt;=2)</f>
        <v/>
      </c>
      <c r="G796">
        <f>SUMPRODUCT(Calc!$K$3:$K$22*(Calc!$G$3:$G$22&gt;A796)*(Calc!$G$3:$G$22-A796))</f>
        <v/>
      </c>
      <c r="H796">
        <f>SUMPRODUCT(Calc!$K$3:$K$22*(Calc!$G$3:$G$22&gt;B796)*(Calc!$G$3:$G$22-B796))</f>
        <v/>
      </c>
      <c r="I796">
        <f>SUMPRODUCT(Calc!$K$3:$K$22*(Calc!$G$3:$G$22&gt;A796)*(Calc!$G$3:$G$22-A796)^2)</f>
        <v/>
      </c>
      <c r="J796">
        <f>SUMPRODUCT(Calc!$K$3:$K$22*(Calc!$G$3:$G$22&gt;B796)*(Calc!$G$3:$G$22-B796)^2)</f>
        <v/>
      </c>
      <c r="K796">
        <f>SUMPRODUCT(Calc!$K$3:$K$22*(Calc!$G$3:$G$22&gt;A796)*(Calc!$G$3:$G$22-A796)*(Calc!$G$3:$G$22&gt;B796)*(Calc!$G$3:$G$22-B796))</f>
        <v/>
      </c>
      <c r="L796">
        <f>SUMPRODUCT(Calc!$K$3:$K$22*(Calc!$G$3:$G$22&gt;A796)*(Calc!$G$3:$G$22-A796)*Calc!$G$3:$G$22)</f>
        <v/>
      </c>
      <c r="M796">
        <f>SUMPRODUCT(Calc!$K$3:$K$22*(Calc!$G$3:$G$22&gt;B796)*(Calc!$G$3:$G$22-B796)*Calc!$G$3:$G$22)</f>
        <v/>
      </c>
      <c r="N796">
        <f>SUMPRODUCT(Calc!$K$3:$K$22*(Calc!$G$3:$G$22&gt;A796)*(Calc!$G$3:$G$22-A796)*Calc!$I$3:$I$22)</f>
        <v/>
      </c>
      <c r="O796">
        <f>SUMPRODUCT(Calc!$K$3:$K$22*(Calc!$G$3:$G$22&gt;B796)*(Calc!$G$3:$G$22-B796)*Calc!$I$3:$I$22)</f>
        <v/>
      </c>
      <c r="P796">
        <f>I796-G796^2/k_n</f>
        <v/>
      </c>
      <c r="Q796">
        <f>J796-H796^2/k_n</f>
        <v/>
      </c>
      <c r="R796">
        <f>K796-G796*H796/k_n</f>
        <v/>
      </c>
      <c r="S796">
        <f>L796-LTP3!$D$3*G796/k_n</f>
        <v/>
      </c>
      <c r="T796">
        <f>M796-LTP3!$D$3*H796/k_n</f>
        <v/>
      </c>
      <c r="U796">
        <f>N796-G796*LTP3!$D$4/k_n</f>
        <v/>
      </c>
      <c r="V796">
        <f>O796-H796*LTP3!$D$4/k_n</f>
        <v/>
      </c>
      <c r="W796">
        <f>((LTP3!$D$5)*((P796)*(Q796)-(R796)*(R796))-(S796)*((S796)*(Q796)-(R796)*(T796))+(T796)*((S796)*(R796)-(P796)*(T796)))</f>
        <v/>
      </c>
      <c r="X796">
        <f>IF(ABS(W796)&gt;1E-12,((LTP3!$D$6)*((P796)*(Q796)-(R796)*(R796))-(S796)*((U796)*(Q796)-(R796)*(V796))+(T796)*((U796)*(R796)-(P796)*(V796)))/W796,0)</f>
        <v/>
      </c>
      <c r="Y796">
        <f>IF(ABS(W796)&gt;1E-12,((LTP3!$D$5)*((U796)*(Q796)-(R796)*(V796))-(LTP3!$D$6)*((S796)*(Q796)-(R796)*(T796))+(T796)*((S796)*(V796)-(U796)*(T796)))/W796,0)</f>
        <v/>
      </c>
      <c r="Z796">
        <f>IF(ABS(W796)&gt;1E-12,((LTP3!$D$5)*((P796)*(V796)-(U796)*(R796))-(S796)*((S796)*(V796)-(U796)*(T796))+(LTP3!$D$6)*((S796)*(R796)-(P796)*(T796)))/W796,0)</f>
        <v/>
      </c>
      <c r="AA796">
        <f>LTP3!$D$7-X796*LTP3!$D$6-Y796*U796-Z796*V796</f>
        <v/>
      </c>
      <c r="AB796">
        <f>IF(AND(F796,ABS(W796)&gt;1E-12,Y796&gt;0,Z796&gt;0),AA796,1E+300)</f>
        <v/>
      </c>
    </row>
    <row r="797">
      <c r="A797">
        <f>$B$3+$B$5*12</f>
        <v/>
      </c>
      <c r="B797">
        <f>$B$3+$B$5*53</f>
        <v/>
      </c>
      <c r="C797">
        <f>SUMPRODUCT(Calc!$K$3:$K$22*(Calc!$G$3:$G$22&lt;=A797))</f>
        <v/>
      </c>
      <c r="D797">
        <f>SUMPRODUCT(Calc!$K$3:$K$22*(Calc!$G$3:$G$22&gt;A797)*(Calc!$G$3:$G$22&lt;B797))</f>
        <v/>
      </c>
      <c r="E797">
        <f>SUMPRODUCT(Calc!$K$3:$K$22*(Calc!$G$3:$G$22&gt;=B797))</f>
        <v/>
      </c>
      <c r="F797">
        <f>AND(k_n&gt;=5,B797&gt;A797+1E-9,C797&gt;=2,D797&gt;=1,E797&gt;=2)</f>
        <v/>
      </c>
      <c r="G797">
        <f>SUMPRODUCT(Calc!$K$3:$K$22*(Calc!$G$3:$G$22&gt;A797)*(Calc!$G$3:$G$22-A797))</f>
        <v/>
      </c>
      <c r="H797">
        <f>SUMPRODUCT(Calc!$K$3:$K$22*(Calc!$G$3:$G$22&gt;B797)*(Calc!$G$3:$G$22-B797))</f>
        <v/>
      </c>
      <c r="I797">
        <f>SUMPRODUCT(Calc!$K$3:$K$22*(Calc!$G$3:$G$22&gt;A797)*(Calc!$G$3:$G$22-A797)^2)</f>
        <v/>
      </c>
      <c r="J797">
        <f>SUMPRODUCT(Calc!$K$3:$K$22*(Calc!$G$3:$G$22&gt;B797)*(Calc!$G$3:$G$22-B797)^2)</f>
        <v/>
      </c>
      <c r="K797">
        <f>SUMPRODUCT(Calc!$K$3:$K$22*(Calc!$G$3:$G$22&gt;A797)*(Calc!$G$3:$G$22-A797)*(Calc!$G$3:$G$22&gt;B797)*(Calc!$G$3:$G$22-B797))</f>
        <v/>
      </c>
      <c r="L797">
        <f>SUMPRODUCT(Calc!$K$3:$K$22*(Calc!$G$3:$G$22&gt;A797)*(Calc!$G$3:$G$22-A797)*Calc!$G$3:$G$22)</f>
        <v/>
      </c>
      <c r="M797">
        <f>SUMPRODUCT(Calc!$K$3:$K$22*(Calc!$G$3:$G$22&gt;B797)*(Calc!$G$3:$G$22-B797)*Calc!$G$3:$G$22)</f>
        <v/>
      </c>
      <c r="N797">
        <f>SUMPRODUCT(Calc!$K$3:$K$22*(Calc!$G$3:$G$22&gt;A797)*(Calc!$G$3:$G$22-A797)*Calc!$I$3:$I$22)</f>
        <v/>
      </c>
      <c r="O797">
        <f>SUMPRODUCT(Calc!$K$3:$K$22*(Calc!$G$3:$G$22&gt;B797)*(Calc!$G$3:$G$22-B797)*Calc!$I$3:$I$22)</f>
        <v/>
      </c>
      <c r="P797">
        <f>I797-G797^2/k_n</f>
        <v/>
      </c>
      <c r="Q797">
        <f>J797-H797^2/k_n</f>
        <v/>
      </c>
      <c r="R797">
        <f>K797-G797*H797/k_n</f>
        <v/>
      </c>
      <c r="S797">
        <f>L797-LTP3!$D$3*G797/k_n</f>
        <v/>
      </c>
      <c r="T797">
        <f>M797-LTP3!$D$3*H797/k_n</f>
        <v/>
      </c>
      <c r="U797">
        <f>N797-G797*LTP3!$D$4/k_n</f>
        <v/>
      </c>
      <c r="V797">
        <f>O797-H797*LTP3!$D$4/k_n</f>
        <v/>
      </c>
      <c r="W797">
        <f>((LTP3!$D$5)*((P797)*(Q797)-(R797)*(R797))-(S797)*((S797)*(Q797)-(R797)*(T797))+(T797)*((S797)*(R797)-(P797)*(T797)))</f>
        <v/>
      </c>
      <c r="X797">
        <f>IF(ABS(W797)&gt;1E-12,((LTP3!$D$6)*((P797)*(Q797)-(R797)*(R797))-(S797)*((U797)*(Q797)-(R797)*(V797))+(T797)*((U797)*(R797)-(P797)*(V797)))/W797,0)</f>
        <v/>
      </c>
      <c r="Y797">
        <f>IF(ABS(W797)&gt;1E-12,((LTP3!$D$5)*((U797)*(Q797)-(R797)*(V797))-(LTP3!$D$6)*((S797)*(Q797)-(R797)*(T797))+(T797)*((S797)*(V797)-(U797)*(T797)))/W797,0)</f>
        <v/>
      </c>
      <c r="Z797">
        <f>IF(ABS(W797)&gt;1E-12,((LTP3!$D$5)*((P797)*(V797)-(U797)*(R797))-(S797)*((S797)*(V797)-(U797)*(T797))+(LTP3!$D$6)*((S797)*(R797)-(P797)*(T797)))/W797,0)</f>
        <v/>
      </c>
      <c r="AA797">
        <f>LTP3!$D$7-X797*LTP3!$D$6-Y797*U797-Z797*V797</f>
        <v/>
      </c>
      <c r="AB797">
        <f>IF(AND(F797,ABS(W797)&gt;1E-12,Y797&gt;0,Z797&gt;0),AA797,1E+300)</f>
        <v/>
      </c>
    </row>
    <row r="798">
      <c r="A798">
        <f>$B$3+$B$5*12</f>
        <v/>
      </c>
      <c r="B798">
        <f>$B$3+$B$5*54</f>
        <v/>
      </c>
      <c r="C798">
        <f>SUMPRODUCT(Calc!$K$3:$K$22*(Calc!$G$3:$G$22&lt;=A798))</f>
        <v/>
      </c>
      <c r="D798">
        <f>SUMPRODUCT(Calc!$K$3:$K$22*(Calc!$G$3:$G$22&gt;A798)*(Calc!$G$3:$G$22&lt;B798))</f>
        <v/>
      </c>
      <c r="E798">
        <f>SUMPRODUCT(Calc!$K$3:$K$22*(Calc!$G$3:$G$22&gt;=B798))</f>
        <v/>
      </c>
      <c r="F798">
        <f>AND(k_n&gt;=5,B798&gt;A798+1E-9,C798&gt;=2,D798&gt;=1,E798&gt;=2)</f>
        <v/>
      </c>
      <c r="G798">
        <f>SUMPRODUCT(Calc!$K$3:$K$22*(Calc!$G$3:$G$22&gt;A798)*(Calc!$G$3:$G$22-A798))</f>
        <v/>
      </c>
      <c r="H798">
        <f>SUMPRODUCT(Calc!$K$3:$K$22*(Calc!$G$3:$G$22&gt;B798)*(Calc!$G$3:$G$22-B798))</f>
        <v/>
      </c>
      <c r="I798">
        <f>SUMPRODUCT(Calc!$K$3:$K$22*(Calc!$G$3:$G$22&gt;A798)*(Calc!$G$3:$G$22-A798)^2)</f>
        <v/>
      </c>
      <c r="J798">
        <f>SUMPRODUCT(Calc!$K$3:$K$22*(Calc!$G$3:$G$22&gt;B798)*(Calc!$G$3:$G$22-B798)^2)</f>
        <v/>
      </c>
      <c r="K798">
        <f>SUMPRODUCT(Calc!$K$3:$K$22*(Calc!$G$3:$G$22&gt;A798)*(Calc!$G$3:$G$22-A798)*(Calc!$G$3:$G$22&gt;B798)*(Calc!$G$3:$G$22-B798))</f>
        <v/>
      </c>
      <c r="L798">
        <f>SUMPRODUCT(Calc!$K$3:$K$22*(Calc!$G$3:$G$22&gt;A798)*(Calc!$G$3:$G$22-A798)*Calc!$G$3:$G$22)</f>
        <v/>
      </c>
      <c r="M798">
        <f>SUMPRODUCT(Calc!$K$3:$K$22*(Calc!$G$3:$G$22&gt;B798)*(Calc!$G$3:$G$22-B798)*Calc!$G$3:$G$22)</f>
        <v/>
      </c>
      <c r="N798">
        <f>SUMPRODUCT(Calc!$K$3:$K$22*(Calc!$G$3:$G$22&gt;A798)*(Calc!$G$3:$G$22-A798)*Calc!$I$3:$I$22)</f>
        <v/>
      </c>
      <c r="O798">
        <f>SUMPRODUCT(Calc!$K$3:$K$22*(Calc!$G$3:$G$22&gt;B798)*(Calc!$G$3:$G$22-B798)*Calc!$I$3:$I$22)</f>
        <v/>
      </c>
      <c r="P798">
        <f>I798-G798^2/k_n</f>
        <v/>
      </c>
      <c r="Q798">
        <f>J798-H798^2/k_n</f>
        <v/>
      </c>
      <c r="R798">
        <f>K798-G798*H798/k_n</f>
        <v/>
      </c>
      <c r="S798">
        <f>L798-LTP3!$D$3*G798/k_n</f>
        <v/>
      </c>
      <c r="T798">
        <f>M798-LTP3!$D$3*H798/k_n</f>
        <v/>
      </c>
      <c r="U798">
        <f>N798-G798*LTP3!$D$4/k_n</f>
        <v/>
      </c>
      <c r="V798">
        <f>O798-H798*LTP3!$D$4/k_n</f>
        <v/>
      </c>
      <c r="W798">
        <f>((LTP3!$D$5)*((P798)*(Q798)-(R798)*(R798))-(S798)*((S798)*(Q798)-(R798)*(T798))+(T798)*((S798)*(R798)-(P798)*(T798)))</f>
        <v/>
      </c>
      <c r="X798">
        <f>IF(ABS(W798)&gt;1E-12,((LTP3!$D$6)*((P798)*(Q798)-(R798)*(R798))-(S798)*((U798)*(Q798)-(R798)*(V798))+(T798)*((U798)*(R798)-(P798)*(V798)))/W798,0)</f>
        <v/>
      </c>
      <c r="Y798">
        <f>IF(ABS(W798)&gt;1E-12,((LTP3!$D$5)*((U798)*(Q798)-(R798)*(V798))-(LTP3!$D$6)*((S798)*(Q798)-(R798)*(T798))+(T798)*((S798)*(V798)-(U798)*(T798)))/W798,0)</f>
        <v/>
      </c>
      <c r="Z798">
        <f>IF(ABS(W798)&gt;1E-12,((LTP3!$D$5)*((P798)*(V798)-(U798)*(R798))-(S798)*((S798)*(V798)-(U798)*(T798))+(LTP3!$D$6)*((S798)*(R798)-(P798)*(T798)))/W798,0)</f>
        <v/>
      </c>
      <c r="AA798">
        <f>LTP3!$D$7-X798*LTP3!$D$6-Y798*U798-Z798*V798</f>
        <v/>
      </c>
      <c r="AB798">
        <f>IF(AND(F798,ABS(W798)&gt;1E-12,Y798&gt;0,Z798&gt;0),AA798,1E+300)</f>
        <v/>
      </c>
    </row>
    <row r="799">
      <c r="A799">
        <f>$B$3+$B$5*12</f>
        <v/>
      </c>
      <c r="B799">
        <f>$B$3+$B$5*55</f>
        <v/>
      </c>
      <c r="C799">
        <f>SUMPRODUCT(Calc!$K$3:$K$22*(Calc!$G$3:$G$22&lt;=A799))</f>
        <v/>
      </c>
      <c r="D799">
        <f>SUMPRODUCT(Calc!$K$3:$K$22*(Calc!$G$3:$G$22&gt;A799)*(Calc!$G$3:$G$22&lt;B799))</f>
        <v/>
      </c>
      <c r="E799">
        <f>SUMPRODUCT(Calc!$K$3:$K$22*(Calc!$G$3:$G$22&gt;=B799))</f>
        <v/>
      </c>
      <c r="F799">
        <f>AND(k_n&gt;=5,B799&gt;A799+1E-9,C799&gt;=2,D799&gt;=1,E799&gt;=2)</f>
        <v/>
      </c>
      <c r="G799">
        <f>SUMPRODUCT(Calc!$K$3:$K$22*(Calc!$G$3:$G$22&gt;A799)*(Calc!$G$3:$G$22-A799))</f>
        <v/>
      </c>
      <c r="H799">
        <f>SUMPRODUCT(Calc!$K$3:$K$22*(Calc!$G$3:$G$22&gt;B799)*(Calc!$G$3:$G$22-B799))</f>
        <v/>
      </c>
      <c r="I799">
        <f>SUMPRODUCT(Calc!$K$3:$K$22*(Calc!$G$3:$G$22&gt;A799)*(Calc!$G$3:$G$22-A799)^2)</f>
        <v/>
      </c>
      <c r="J799">
        <f>SUMPRODUCT(Calc!$K$3:$K$22*(Calc!$G$3:$G$22&gt;B799)*(Calc!$G$3:$G$22-B799)^2)</f>
        <v/>
      </c>
      <c r="K799">
        <f>SUMPRODUCT(Calc!$K$3:$K$22*(Calc!$G$3:$G$22&gt;A799)*(Calc!$G$3:$G$22-A799)*(Calc!$G$3:$G$22&gt;B799)*(Calc!$G$3:$G$22-B799))</f>
        <v/>
      </c>
      <c r="L799">
        <f>SUMPRODUCT(Calc!$K$3:$K$22*(Calc!$G$3:$G$22&gt;A799)*(Calc!$G$3:$G$22-A799)*Calc!$G$3:$G$22)</f>
        <v/>
      </c>
      <c r="M799">
        <f>SUMPRODUCT(Calc!$K$3:$K$22*(Calc!$G$3:$G$22&gt;B799)*(Calc!$G$3:$G$22-B799)*Calc!$G$3:$G$22)</f>
        <v/>
      </c>
      <c r="N799">
        <f>SUMPRODUCT(Calc!$K$3:$K$22*(Calc!$G$3:$G$22&gt;A799)*(Calc!$G$3:$G$22-A799)*Calc!$I$3:$I$22)</f>
        <v/>
      </c>
      <c r="O799">
        <f>SUMPRODUCT(Calc!$K$3:$K$22*(Calc!$G$3:$G$22&gt;B799)*(Calc!$G$3:$G$22-B799)*Calc!$I$3:$I$22)</f>
        <v/>
      </c>
      <c r="P799">
        <f>I799-G799^2/k_n</f>
        <v/>
      </c>
      <c r="Q799">
        <f>J799-H799^2/k_n</f>
        <v/>
      </c>
      <c r="R799">
        <f>K799-G799*H799/k_n</f>
        <v/>
      </c>
      <c r="S799">
        <f>L799-LTP3!$D$3*G799/k_n</f>
        <v/>
      </c>
      <c r="T799">
        <f>M799-LTP3!$D$3*H799/k_n</f>
        <v/>
      </c>
      <c r="U799">
        <f>N799-G799*LTP3!$D$4/k_n</f>
        <v/>
      </c>
      <c r="V799">
        <f>O799-H799*LTP3!$D$4/k_n</f>
        <v/>
      </c>
      <c r="W799">
        <f>((LTP3!$D$5)*((P799)*(Q799)-(R799)*(R799))-(S799)*((S799)*(Q799)-(R799)*(T799))+(T799)*((S799)*(R799)-(P799)*(T799)))</f>
        <v/>
      </c>
      <c r="X799">
        <f>IF(ABS(W799)&gt;1E-12,((LTP3!$D$6)*((P799)*(Q799)-(R799)*(R799))-(S799)*((U799)*(Q799)-(R799)*(V799))+(T799)*((U799)*(R799)-(P799)*(V799)))/W799,0)</f>
        <v/>
      </c>
      <c r="Y799">
        <f>IF(ABS(W799)&gt;1E-12,((LTP3!$D$5)*((U799)*(Q799)-(R799)*(V799))-(LTP3!$D$6)*((S799)*(Q799)-(R799)*(T799))+(T799)*((S799)*(V799)-(U799)*(T799)))/W799,0)</f>
        <v/>
      </c>
      <c r="Z799">
        <f>IF(ABS(W799)&gt;1E-12,((LTP3!$D$5)*((P799)*(V799)-(U799)*(R799))-(S799)*((S799)*(V799)-(U799)*(T799))+(LTP3!$D$6)*((S799)*(R799)-(P799)*(T799)))/W799,0)</f>
        <v/>
      </c>
      <c r="AA799">
        <f>LTP3!$D$7-X799*LTP3!$D$6-Y799*U799-Z799*V799</f>
        <v/>
      </c>
      <c r="AB799">
        <f>IF(AND(F799,ABS(W799)&gt;1E-12,Y799&gt;0,Z799&gt;0),AA799,1E+300)</f>
        <v/>
      </c>
    </row>
    <row r="800">
      <c r="A800">
        <f>$B$3+$B$5*12</f>
        <v/>
      </c>
      <c r="B800">
        <f>$B$3+$B$5*56</f>
        <v/>
      </c>
      <c r="C800">
        <f>SUMPRODUCT(Calc!$K$3:$K$22*(Calc!$G$3:$G$22&lt;=A800))</f>
        <v/>
      </c>
      <c r="D800">
        <f>SUMPRODUCT(Calc!$K$3:$K$22*(Calc!$G$3:$G$22&gt;A800)*(Calc!$G$3:$G$22&lt;B800))</f>
        <v/>
      </c>
      <c r="E800">
        <f>SUMPRODUCT(Calc!$K$3:$K$22*(Calc!$G$3:$G$22&gt;=B800))</f>
        <v/>
      </c>
      <c r="F800">
        <f>AND(k_n&gt;=5,B800&gt;A800+1E-9,C800&gt;=2,D800&gt;=1,E800&gt;=2)</f>
        <v/>
      </c>
      <c r="G800">
        <f>SUMPRODUCT(Calc!$K$3:$K$22*(Calc!$G$3:$G$22&gt;A800)*(Calc!$G$3:$G$22-A800))</f>
        <v/>
      </c>
      <c r="H800">
        <f>SUMPRODUCT(Calc!$K$3:$K$22*(Calc!$G$3:$G$22&gt;B800)*(Calc!$G$3:$G$22-B800))</f>
        <v/>
      </c>
      <c r="I800">
        <f>SUMPRODUCT(Calc!$K$3:$K$22*(Calc!$G$3:$G$22&gt;A800)*(Calc!$G$3:$G$22-A800)^2)</f>
        <v/>
      </c>
      <c r="J800">
        <f>SUMPRODUCT(Calc!$K$3:$K$22*(Calc!$G$3:$G$22&gt;B800)*(Calc!$G$3:$G$22-B800)^2)</f>
        <v/>
      </c>
      <c r="K800">
        <f>SUMPRODUCT(Calc!$K$3:$K$22*(Calc!$G$3:$G$22&gt;A800)*(Calc!$G$3:$G$22-A800)*(Calc!$G$3:$G$22&gt;B800)*(Calc!$G$3:$G$22-B800))</f>
        <v/>
      </c>
      <c r="L800">
        <f>SUMPRODUCT(Calc!$K$3:$K$22*(Calc!$G$3:$G$22&gt;A800)*(Calc!$G$3:$G$22-A800)*Calc!$G$3:$G$22)</f>
        <v/>
      </c>
      <c r="M800">
        <f>SUMPRODUCT(Calc!$K$3:$K$22*(Calc!$G$3:$G$22&gt;B800)*(Calc!$G$3:$G$22-B800)*Calc!$G$3:$G$22)</f>
        <v/>
      </c>
      <c r="N800">
        <f>SUMPRODUCT(Calc!$K$3:$K$22*(Calc!$G$3:$G$22&gt;A800)*(Calc!$G$3:$G$22-A800)*Calc!$I$3:$I$22)</f>
        <v/>
      </c>
      <c r="O800">
        <f>SUMPRODUCT(Calc!$K$3:$K$22*(Calc!$G$3:$G$22&gt;B800)*(Calc!$G$3:$G$22-B800)*Calc!$I$3:$I$22)</f>
        <v/>
      </c>
      <c r="P800">
        <f>I800-G800^2/k_n</f>
        <v/>
      </c>
      <c r="Q800">
        <f>J800-H800^2/k_n</f>
        <v/>
      </c>
      <c r="R800">
        <f>K800-G800*H800/k_n</f>
        <v/>
      </c>
      <c r="S800">
        <f>L800-LTP3!$D$3*G800/k_n</f>
        <v/>
      </c>
      <c r="T800">
        <f>M800-LTP3!$D$3*H800/k_n</f>
        <v/>
      </c>
      <c r="U800">
        <f>N800-G800*LTP3!$D$4/k_n</f>
        <v/>
      </c>
      <c r="V800">
        <f>O800-H800*LTP3!$D$4/k_n</f>
        <v/>
      </c>
      <c r="W800">
        <f>((LTP3!$D$5)*((P800)*(Q800)-(R800)*(R800))-(S800)*((S800)*(Q800)-(R800)*(T800))+(T800)*((S800)*(R800)-(P800)*(T800)))</f>
        <v/>
      </c>
      <c r="X800">
        <f>IF(ABS(W800)&gt;1E-12,((LTP3!$D$6)*((P800)*(Q800)-(R800)*(R800))-(S800)*((U800)*(Q800)-(R800)*(V800))+(T800)*((U800)*(R800)-(P800)*(V800)))/W800,0)</f>
        <v/>
      </c>
      <c r="Y800">
        <f>IF(ABS(W800)&gt;1E-12,((LTP3!$D$5)*((U800)*(Q800)-(R800)*(V800))-(LTP3!$D$6)*((S800)*(Q800)-(R800)*(T800))+(T800)*((S800)*(V800)-(U800)*(T800)))/W800,0)</f>
        <v/>
      </c>
      <c r="Z800">
        <f>IF(ABS(W800)&gt;1E-12,((LTP3!$D$5)*((P800)*(V800)-(U800)*(R800))-(S800)*((S800)*(V800)-(U800)*(T800))+(LTP3!$D$6)*((S800)*(R800)-(P800)*(T800)))/W800,0)</f>
        <v/>
      </c>
      <c r="AA800">
        <f>LTP3!$D$7-X800*LTP3!$D$6-Y800*U800-Z800*V800</f>
        <v/>
      </c>
      <c r="AB800">
        <f>IF(AND(F800,ABS(W800)&gt;1E-12,Y800&gt;0,Z800&gt;0),AA800,1E+300)</f>
        <v/>
      </c>
    </row>
    <row r="801">
      <c r="A801">
        <f>$B$3+$B$5*12</f>
        <v/>
      </c>
      <c r="B801">
        <f>$B$3+$B$5*57</f>
        <v/>
      </c>
      <c r="C801">
        <f>SUMPRODUCT(Calc!$K$3:$K$22*(Calc!$G$3:$G$22&lt;=A801))</f>
        <v/>
      </c>
      <c r="D801">
        <f>SUMPRODUCT(Calc!$K$3:$K$22*(Calc!$G$3:$G$22&gt;A801)*(Calc!$G$3:$G$22&lt;B801))</f>
        <v/>
      </c>
      <c r="E801">
        <f>SUMPRODUCT(Calc!$K$3:$K$22*(Calc!$G$3:$G$22&gt;=B801))</f>
        <v/>
      </c>
      <c r="F801">
        <f>AND(k_n&gt;=5,B801&gt;A801+1E-9,C801&gt;=2,D801&gt;=1,E801&gt;=2)</f>
        <v/>
      </c>
      <c r="G801">
        <f>SUMPRODUCT(Calc!$K$3:$K$22*(Calc!$G$3:$G$22&gt;A801)*(Calc!$G$3:$G$22-A801))</f>
        <v/>
      </c>
      <c r="H801">
        <f>SUMPRODUCT(Calc!$K$3:$K$22*(Calc!$G$3:$G$22&gt;B801)*(Calc!$G$3:$G$22-B801))</f>
        <v/>
      </c>
      <c r="I801">
        <f>SUMPRODUCT(Calc!$K$3:$K$22*(Calc!$G$3:$G$22&gt;A801)*(Calc!$G$3:$G$22-A801)^2)</f>
        <v/>
      </c>
      <c r="J801">
        <f>SUMPRODUCT(Calc!$K$3:$K$22*(Calc!$G$3:$G$22&gt;B801)*(Calc!$G$3:$G$22-B801)^2)</f>
        <v/>
      </c>
      <c r="K801">
        <f>SUMPRODUCT(Calc!$K$3:$K$22*(Calc!$G$3:$G$22&gt;A801)*(Calc!$G$3:$G$22-A801)*(Calc!$G$3:$G$22&gt;B801)*(Calc!$G$3:$G$22-B801))</f>
        <v/>
      </c>
      <c r="L801">
        <f>SUMPRODUCT(Calc!$K$3:$K$22*(Calc!$G$3:$G$22&gt;A801)*(Calc!$G$3:$G$22-A801)*Calc!$G$3:$G$22)</f>
        <v/>
      </c>
      <c r="M801">
        <f>SUMPRODUCT(Calc!$K$3:$K$22*(Calc!$G$3:$G$22&gt;B801)*(Calc!$G$3:$G$22-B801)*Calc!$G$3:$G$22)</f>
        <v/>
      </c>
      <c r="N801">
        <f>SUMPRODUCT(Calc!$K$3:$K$22*(Calc!$G$3:$G$22&gt;A801)*(Calc!$G$3:$G$22-A801)*Calc!$I$3:$I$22)</f>
        <v/>
      </c>
      <c r="O801">
        <f>SUMPRODUCT(Calc!$K$3:$K$22*(Calc!$G$3:$G$22&gt;B801)*(Calc!$G$3:$G$22-B801)*Calc!$I$3:$I$22)</f>
        <v/>
      </c>
      <c r="P801">
        <f>I801-G801^2/k_n</f>
        <v/>
      </c>
      <c r="Q801">
        <f>J801-H801^2/k_n</f>
        <v/>
      </c>
      <c r="R801">
        <f>K801-G801*H801/k_n</f>
        <v/>
      </c>
      <c r="S801">
        <f>L801-LTP3!$D$3*G801/k_n</f>
        <v/>
      </c>
      <c r="T801">
        <f>M801-LTP3!$D$3*H801/k_n</f>
        <v/>
      </c>
      <c r="U801">
        <f>N801-G801*LTP3!$D$4/k_n</f>
        <v/>
      </c>
      <c r="V801">
        <f>O801-H801*LTP3!$D$4/k_n</f>
        <v/>
      </c>
      <c r="W801">
        <f>((LTP3!$D$5)*((P801)*(Q801)-(R801)*(R801))-(S801)*((S801)*(Q801)-(R801)*(T801))+(T801)*((S801)*(R801)-(P801)*(T801)))</f>
        <v/>
      </c>
      <c r="X801">
        <f>IF(ABS(W801)&gt;1E-12,((LTP3!$D$6)*((P801)*(Q801)-(R801)*(R801))-(S801)*((U801)*(Q801)-(R801)*(V801))+(T801)*((U801)*(R801)-(P801)*(V801)))/W801,0)</f>
        <v/>
      </c>
      <c r="Y801">
        <f>IF(ABS(W801)&gt;1E-12,((LTP3!$D$5)*((U801)*(Q801)-(R801)*(V801))-(LTP3!$D$6)*((S801)*(Q801)-(R801)*(T801))+(T801)*((S801)*(V801)-(U801)*(T801)))/W801,0)</f>
        <v/>
      </c>
      <c r="Z801">
        <f>IF(ABS(W801)&gt;1E-12,((LTP3!$D$5)*((P801)*(V801)-(U801)*(R801))-(S801)*((S801)*(V801)-(U801)*(T801))+(LTP3!$D$6)*((S801)*(R801)-(P801)*(T801)))/W801,0)</f>
        <v/>
      </c>
      <c r="AA801">
        <f>LTP3!$D$7-X801*LTP3!$D$6-Y801*U801-Z801*V801</f>
        <v/>
      </c>
      <c r="AB801">
        <f>IF(AND(F801,ABS(W801)&gt;1E-12,Y801&gt;0,Z801&gt;0),AA801,1E+300)</f>
        <v/>
      </c>
    </row>
    <row r="802">
      <c r="A802">
        <f>$B$3+$B$5*12</f>
        <v/>
      </c>
      <c r="B802">
        <f>$B$3+$B$5*58</f>
        <v/>
      </c>
      <c r="C802">
        <f>SUMPRODUCT(Calc!$K$3:$K$22*(Calc!$G$3:$G$22&lt;=A802))</f>
        <v/>
      </c>
      <c r="D802">
        <f>SUMPRODUCT(Calc!$K$3:$K$22*(Calc!$G$3:$G$22&gt;A802)*(Calc!$G$3:$G$22&lt;B802))</f>
        <v/>
      </c>
      <c r="E802">
        <f>SUMPRODUCT(Calc!$K$3:$K$22*(Calc!$G$3:$G$22&gt;=B802))</f>
        <v/>
      </c>
      <c r="F802">
        <f>AND(k_n&gt;=5,B802&gt;A802+1E-9,C802&gt;=2,D802&gt;=1,E802&gt;=2)</f>
        <v/>
      </c>
      <c r="G802">
        <f>SUMPRODUCT(Calc!$K$3:$K$22*(Calc!$G$3:$G$22&gt;A802)*(Calc!$G$3:$G$22-A802))</f>
        <v/>
      </c>
      <c r="H802">
        <f>SUMPRODUCT(Calc!$K$3:$K$22*(Calc!$G$3:$G$22&gt;B802)*(Calc!$G$3:$G$22-B802))</f>
        <v/>
      </c>
      <c r="I802">
        <f>SUMPRODUCT(Calc!$K$3:$K$22*(Calc!$G$3:$G$22&gt;A802)*(Calc!$G$3:$G$22-A802)^2)</f>
        <v/>
      </c>
      <c r="J802">
        <f>SUMPRODUCT(Calc!$K$3:$K$22*(Calc!$G$3:$G$22&gt;B802)*(Calc!$G$3:$G$22-B802)^2)</f>
        <v/>
      </c>
      <c r="K802">
        <f>SUMPRODUCT(Calc!$K$3:$K$22*(Calc!$G$3:$G$22&gt;A802)*(Calc!$G$3:$G$22-A802)*(Calc!$G$3:$G$22&gt;B802)*(Calc!$G$3:$G$22-B802))</f>
        <v/>
      </c>
      <c r="L802">
        <f>SUMPRODUCT(Calc!$K$3:$K$22*(Calc!$G$3:$G$22&gt;A802)*(Calc!$G$3:$G$22-A802)*Calc!$G$3:$G$22)</f>
        <v/>
      </c>
      <c r="M802">
        <f>SUMPRODUCT(Calc!$K$3:$K$22*(Calc!$G$3:$G$22&gt;B802)*(Calc!$G$3:$G$22-B802)*Calc!$G$3:$G$22)</f>
        <v/>
      </c>
      <c r="N802">
        <f>SUMPRODUCT(Calc!$K$3:$K$22*(Calc!$G$3:$G$22&gt;A802)*(Calc!$G$3:$G$22-A802)*Calc!$I$3:$I$22)</f>
        <v/>
      </c>
      <c r="O802">
        <f>SUMPRODUCT(Calc!$K$3:$K$22*(Calc!$G$3:$G$22&gt;B802)*(Calc!$G$3:$G$22-B802)*Calc!$I$3:$I$22)</f>
        <v/>
      </c>
      <c r="P802">
        <f>I802-G802^2/k_n</f>
        <v/>
      </c>
      <c r="Q802">
        <f>J802-H802^2/k_n</f>
        <v/>
      </c>
      <c r="R802">
        <f>K802-G802*H802/k_n</f>
        <v/>
      </c>
      <c r="S802">
        <f>L802-LTP3!$D$3*G802/k_n</f>
        <v/>
      </c>
      <c r="T802">
        <f>M802-LTP3!$D$3*H802/k_n</f>
        <v/>
      </c>
      <c r="U802">
        <f>N802-G802*LTP3!$D$4/k_n</f>
        <v/>
      </c>
      <c r="V802">
        <f>O802-H802*LTP3!$D$4/k_n</f>
        <v/>
      </c>
      <c r="W802">
        <f>((LTP3!$D$5)*((P802)*(Q802)-(R802)*(R802))-(S802)*((S802)*(Q802)-(R802)*(T802))+(T802)*((S802)*(R802)-(P802)*(T802)))</f>
        <v/>
      </c>
      <c r="X802">
        <f>IF(ABS(W802)&gt;1E-12,((LTP3!$D$6)*((P802)*(Q802)-(R802)*(R802))-(S802)*((U802)*(Q802)-(R802)*(V802))+(T802)*((U802)*(R802)-(P802)*(V802)))/W802,0)</f>
        <v/>
      </c>
      <c r="Y802">
        <f>IF(ABS(W802)&gt;1E-12,((LTP3!$D$5)*((U802)*(Q802)-(R802)*(V802))-(LTP3!$D$6)*((S802)*(Q802)-(R802)*(T802))+(T802)*((S802)*(V802)-(U802)*(T802)))/W802,0)</f>
        <v/>
      </c>
      <c r="Z802">
        <f>IF(ABS(W802)&gt;1E-12,((LTP3!$D$5)*((P802)*(V802)-(U802)*(R802))-(S802)*((S802)*(V802)-(U802)*(T802))+(LTP3!$D$6)*((S802)*(R802)-(P802)*(T802)))/W802,0)</f>
        <v/>
      </c>
      <c r="AA802">
        <f>LTP3!$D$7-X802*LTP3!$D$6-Y802*U802-Z802*V802</f>
        <v/>
      </c>
      <c r="AB802">
        <f>IF(AND(F802,ABS(W802)&gt;1E-12,Y802&gt;0,Z802&gt;0),AA802,1E+300)</f>
        <v/>
      </c>
    </row>
    <row r="803">
      <c r="A803">
        <f>$B$3+$B$5*12</f>
        <v/>
      </c>
      <c r="B803">
        <f>$B$3+$B$5*59</f>
        <v/>
      </c>
      <c r="C803">
        <f>SUMPRODUCT(Calc!$K$3:$K$22*(Calc!$G$3:$G$22&lt;=A803))</f>
        <v/>
      </c>
      <c r="D803">
        <f>SUMPRODUCT(Calc!$K$3:$K$22*(Calc!$G$3:$G$22&gt;A803)*(Calc!$G$3:$G$22&lt;B803))</f>
        <v/>
      </c>
      <c r="E803">
        <f>SUMPRODUCT(Calc!$K$3:$K$22*(Calc!$G$3:$G$22&gt;=B803))</f>
        <v/>
      </c>
      <c r="F803">
        <f>AND(k_n&gt;=5,B803&gt;A803+1E-9,C803&gt;=2,D803&gt;=1,E803&gt;=2)</f>
        <v/>
      </c>
      <c r="G803">
        <f>SUMPRODUCT(Calc!$K$3:$K$22*(Calc!$G$3:$G$22&gt;A803)*(Calc!$G$3:$G$22-A803))</f>
        <v/>
      </c>
      <c r="H803">
        <f>SUMPRODUCT(Calc!$K$3:$K$22*(Calc!$G$3:$G$22&gt;B803)*(Calc!$G$3:$G$22-B803))</f>
        <v/>
      </c>
      <c r="I803">
        <f>SUMPRODUCT(Calc!$K$3:$K$22*(Calc!$G$3:$G$22&gt;A803)*(Calc!$G$3:$G$22-A803)^2)</f>
        <v/>
      </c>
      <c r="J803">
        <f>SUMPRODUCT(Calc!$K$3:$K$22*(Calc!$G$3:$G$22&gt;B803)*(Calc!$G$3:$G$22-B803)^2)</f>
        <v/>
      </c>
      <c r="K803">
        <f>SUMPRODUCT(Calc!$K$3:$K$22*(Calc!$G$3:$G$22&gt;A803)*(Calc!$G$3:$G$22-A803)*(Calc!$G$3:$G$22&gt;B803)*(Calc!$G$3:$G$22-B803))</f>
        <v/>
      </c>
      <c r="L803">
        <f>SUMPRODUCT(Calc!$K$3:$K$22*(Calc!$G$3:$G$22&gt;A803)*(Calc!$G$3:$G$22-A803)*Calc!$G$3:$G$22)</f>
        <v/>
      </c>
      <c r="M803">
        <f>SUMPRODUCT(Calc!$K$3:$K$22*(Calc!$G$3:$G$22&gt;B803)*(Calc!$G$3:$G$22-B803)*Calc!$G$3:$G$22)</f>
        <v/>
      </c>
      <c r="N803">
        <f>SUMPRODUCT(Calc!$K$3:$K$22*(Calc!$G$3:$G$22&gt;A803)*(Calc!$G$3:$G$22-A803)*Calc!$I$3:$I$22)</f>
        <v/>
      </c>
      <c r="O803">
        <f>SUMPRODUCT(Calc!$K$3:$K$22*(Calc!$G$3:$G$22&gt;B803)*(Calc!$G$3:$G$22-B803)*Calc!$I$3:$I$22)</f>
        <v/>
      </c>
      <c r="P803">
        <f>I803-G803^2/k_n</f>
        <v/>
      </c>
      <c r="Q803">
        <f>J803-H803^2/k_n</f>
        <v/>
      </c>
      <c r="R803">
        <f>K803-G803*H803/k_n</f>
        <v/>
      </c>
      <c r="S803">
        <f>L803-LTP3!$D$3*G803/k_n</f>
        <v/>
      </c>
      <c r="T803">
        <f>M803-LTP3!$D$3*H803/k_n</f>
        <v/>
      </c>
      <c r="U803">
        <f>N803-G803*LTP3!$D$4/k_n</f>
        <v/>
      </c>
      <c r="V803">
        <f>O803-H803*LTP3!$D$4/k_n</f>
        <v/>
      </c>
      <c r="W803">
        <f>((LTP3!$D$5)*((P803)*(Q803)-(R803)*(R803))-(S803)*((S803)*(Q803)-(R803)*(T803))+(T803)*((S803)*(R803)-(P803)*(T803)))</f>
        <v/>
      </c>
      <c r="X803">
        <f>IF(ABS(W803)&gt;1E-12,((LTP3!$D$6)*((P803)*(Q803)-(R803)*(R803))-(S803)*((U803)*(Q803)-(R803)*(V803))+(T803)*((U803)*(R803)-(P803)*(V803)))/W803,0)</f>
        <v/>
      </c>
      <c r="Y803">
        <f>IF(ABS(W803)&gt;1E-12,((LTP3!$D$5)*((U803)*(Q803)-(R803)*(V803))-(LTP3!$D$6)*((S803)*(Q803)-(R803)*(T803))+(T803)*((S803)*(V803)-(U803)*(T803)))/W803,0)</f>
        <v/>
      </c>
      <c r="Z803">
        <f>IF(ABS(W803)&gt;1E-12,((LTP3!$D$5)*((P803)*(V803)-(U803)*(R803))-(S803)*((S803)*(V803)-(U803)*(T803))+(LTP3!$D$6)*((S803)*(R803)-(P803)*(T803)))/W803,0)</f>
        <v/>
      </c>
      <c r="AA803">
        <f>LTP3!$D$7-X803*LTP3!$D$6-Y803*U803-Z803*V803</f>
        <v/>
      </c>
      <c r="AB803">
        <f>IF(AND(F803,ABS(W803)&gt;1E-12,Y803&gt;0,Z803&gt;0),AA803,1E+300)</f>
        <v/>
      </c>
    </row>
    <row r="804">
      <c r="A804">
        <f>$B$3+$B$5*12</f>
        <v/>
      </c>
      <c r="B804">
        <f>$B$3+$B$5*60</f>
        <v/>
      </c>
      <c r="C804">
        <f>SUMPRODUCT(Calc!$K$3:$K$22*(Calc!$G$3:$G$22&lt;=A804))</f>
        <v/>
      </c>
      <c r="D804">
        <f>SUMPRODUCT(Calc!$K$3:$K$22*(Calc!$G$3:$G$22&gt;A804)*(Calc!$G$3:$G$22&lt;B804))</f>
        <v/>
      </c>
      <c r="E804">
        <f>SUMPRODUCT(Calc!$K$3:$K$22*(Calc!$G$3:$G$22&gt;=B804))</f>
        <v/>
      </c>
      <c r="F804">
        <f>AND(k_n&gt;=5,B804&gt;A804+1E-9,C804&gt;=2,D804&gt;=1,E804&gt;=2)</f>
        <v/>
      </c>
      <c r="G804">
        <f>SUMPRODUCT(Calc!$K$3:$K$22*(Calc!$G$3:$G$22&gt;A804)*(Calc!$G$3:$G$22-A804))</f>
        <v/>
      </c>
      <c r="H804">
        <f>SUMPRODUCT(Calc!$K$3:$K$22*(Calc!$G$3:$G$22&gt;B804)*(Calc!$G$3:$G$22-B804))</f>
        <v/>
      </c>
      <c r="I804">
        <f>SUMPRODUCT(Calc!$K$3:$K$22*(Calc!$G$3:$G$22&gt;A804)*(Calc!$G$3:$G$22-A804)^2)</f>
        <v/>
      </c>
      <c r="J804">
        <f>SUMPRODUCT(Calc!$K$3:$K$22*(Calc!$G$3:$G$22&gt;B804)*(Calc!$G$3:$G$22-B804)^2)</f>
        <v/>
      </c>
      <c r="K804">
        <f>SUMPRODUCT(Calc!$K$3:$K$22*(Calc!$G$3:$G$22&gt;A804)*(Calc!$G$3:$G$22-A804)*(Calc!$G$3:$G$22&gt;B804)*(Calc!$G$3:$G$22-B804))</f>
        <v/>
      </c>
      <c r="L804">
        <f>SUMPRODUCT(Calc!$K$3:$K$22*(Calc!$G$3:$G$22&gt;A804)*(Calc!$G$3:$G$22-A804)*Calc!$G$3:$G$22)</f>
        <v/>
      </c>
      <c r="M804">
        <f>SUMPRODUCT(Calc!$K$3:$K$22*(Calc!$G$3:$G$22&gt;B804)*(Calc!$G$3:$G$22-B804)*Calc!$G$3:$G$22)</f>
        <v/>
      </c>
      <c r="N804">
        <f>SUMPRODUCT(Calc!$K$3:$K$22*(Calc!$G$3:$G$22&gt;A804)*(Calc!$G$3:$G$22-A804)*Calc!$I$3:$I$22)</f>
        <v/>
      </c>
      <c r="O804">
        <f>SUMPRODUCT(Calc!$K$3:$K$22*(Calc!$G$3:$G$22&gt;B804)*(Calc!$G$3:$G$22-B804)*Calc!$I$3:$I$22)</f>
        <v/>
      </c>
      <c r="P804">
        <f>I804-G804^2/k_n</f>
        <v/>
      </c>
      <c r="Q804">
        <f>J804-H804^2/k_n</f>
        <v/>
      </c>
      <c r="R804">
        <f>K804-G804*H804/k_n</f>
        <v/>
      </c>
      <c r="S804">
        <f>L804-LTP3!$D$3*G804/k_n</f>
        <v/>
      </c>
      <c r="T804">
        <f>M804-LTP3!$D$3*H804/k_n</f>
        <v/>
      </c>
      <c r="U804">
        <f>N804-G804*LTP3!$D$4/k_n</f>
        <v/>
      </c>
      <c r="V804">
        <f>O804-H804*LTP3!$D$4/k_n</f>
        <v/>
      </c>
      <c r="W804">
        <f>((LTP3!$D$5)*((P804)*(Q804)-(R804)*(R804))-(S804)*((S804)*(Q804)-(R804)*(T804))+(T804)*((S804)*(R804)-(P804)*(T804)))</f>
        <v/>
      </c>
      <c r="X804">
        <f>IF(ABS(W804)&gt;1E-12,((LTP3!$D$6)*((P804)*(Q804)-(R804)*(R804))-(S804)*((U804)*(Q804)-(R804)*(V804))+(T804)*((U804)*(R804)-(P804)*(V804)))/W804,0)</f>
        <v/>
      </c>
      <c r="Y804">
        <f>IF(ABS(W804)&gt;1E-12,((LTP3!$D$5)*((U804)*(Q804)-(R804)*(V804))-(LTP3!$D$6)*((S804)*(Q804)-(R804)*(T804))+(T804)*((S804)*(V804)-(U804)*(T804)))/W804,0)</f>
        <v/>
      </c>
      <c r="Z804">
        <f>IF(ABS(W804)&gt;1E-12,((LTP3!$D$5)*((P804)*(V804)-(U804)*(R804))-(S804)*((S804)*(V804)-(U804)*(T804))+(LTP3!$D$6)*((S804)*(R804)-(P804)*(T804)))/W804,0)</f>
        <v/>
      </c>
      <c r="AA804">
        <f>LTP3!$D$7-X804*LTP3!$D$6-Y804*U804-Z804*V804</f>
        <v/>
      </c>
      <c r="AB804">
        <f>IF(AND(F804,ABS(W804)&gt;1E-12,Y804&gt;0,Z804&gt;0),AA804,1E+300)</f>
        <v/>
      </c>
    </row>
    <row r="805">
      <c r="A805">
        <f>$B$3+$B$5*13</f>
        <v/>
      </c>
      <c r="B805">
        <f>$B$3+$B$5*0</f>
        <v/>
      </c>
      <c r="C805">
        <f>SUMPRODUCT(Calc!$K$3:$K$22*(Calc!$G$3:$G$22&lt;=A805))</f>
        <v/>
      </c>
      <c r="D805">
        <f>SUMPRODUCT(Calc!$K$3:$K$22*(Calc!$G$3:$G$22&gt;A805)*(Calc!$G$3:$G$22&lt;B805))</f>
        <v/>
      </c>
      <c r="E805">
        <f>SUMPRODUCT(Calc!$K$3:$K$22*(Calc!$G$3:$G$22&gt;=B805))</f>
        <v/>
      </c>
      <c r="F805">
        <f>AND(k_n&gt;=5,B805&gt;A805+1E-9,C805&gt;=2,D805&gt;=1,E805&gt;=2)</f>
        <v/>
      </c>
      <c r="G805">
        <f>SUMPRODUCT(Calc!$K$3:$K$22*(Calc!$G$3:$G$22&gt;A805)*(Calc!$G$3:$G$22-A805))</f>
        <v/>
      </c>
      <c r="H805">
        <f>SUMPRODUCT(Calc!$K$3:$K$22*(Calc!$G$3:$G$22&gt;B805)*(Calc!$G$3:$G$22-B805))</f>
        <v/>
      </c>
      <c r="I805">
        <f>SUMPRODUCT(Calc!$K$3:$K$22*(Calc!$G$3:$G$22&gt;A805)*(Calc!$G$3:$G$22-A805)^2)</f>
        <v/>
      </c>
      <c r="J805">
        <f>SUMPRODUCT(Calc!$K$3:$K$22*(Calc!$G$3:$G$22&gt;B805)*(Calc!$G$3:$G$22-B805)^2)</f>
        <v/>
      </c>
      <c r="K805">
        <f>SUMPRODUCT(Calc!$K$3:$K$22*(Calc!$G$3:$G$22&gt;A805)*(Calc!$G$3:$G$22-A805)*(Calc!$G$3:$G$22&gt;B805)*(Calc!$G$3:$G$22-B805))</f>
        <v/>
      </c>
      <c r="L805">
        <f>SUMPRODUCT(Calc!$K$3:$K$22*(Calc!$G$3:$G$22&gt;A805)*(Calc!$G$3:$G$22-A805)*Calc!$G$3:$G$22)</f>
        <v/>
      </c>
      <c r="M805">
        <f>SUMPRODUCT(Calc!$K$3:$K$22*(Calc!$G$3:$G$22&gt;B805)*(Calc!$G$3:$G$22-B805)*Calc!$G$3:$G$22)</f>
        <v/>
      </c>
      <c r="N805">
        <f>SUMPRODUCT(Calc!$K$3:$K$22*(Calc!$G$3:$G$22&gt;A805)*(Calc!$G$3:$G$22-A805)*Calc!$I$3:$I$22)</f>
        <v/>
      </c>
      <c r="O805">
        <f>SUMPRODUCT(Calc!$K$3:$K$22*(Calc!$G$3:$G$22&gt;B805)*(Calc!$G$3:$G$22-B805)*Calc!$I$3:$I$22)</f>
        <v/>
      </c>
      <c r="P805">
        <f>I805-G805^2/k_n</f>
        <v/>
      </c>
      <c r="Q805">
        <f>J805-H805^2/k_n</f>
        <v/>
      </c>
      <c r="R805">
        <f>K805-G805*H805/k_n</f>
        <v/>
      </c>
      <c r="S805">
        <f>L805-LTP3!$D$3*G805/k_n</f>
        <v/>
      </c>
      <c r="T805">
        <f>M805-LTP3!$D$3*H805/k_n</f>
        <v/>
      </c>
      <c r="U805">
        <f>N805-G805*LTP3!$D$4/k_n</f>
        <v/>
      </c>
      <c r="V805">
        <f>O805-H805*LTP3!$D$4/k_n</f>
        <v/>
      </c>
      <c r="W805">
        <f>((LTP3!$D$5)*((P805)*(Q805)-(R805)*(R805))-(S805)*((S805)*(Q805)-(R805)*(T805))+(T805)*((S805)*(R805)-(P805)*(T805)))</f>
        <v/>
      </c>
      <c r="X805">
        <f>IF(ABS(W805)&gt;1E-12,((LTP3!$D$6)*((P805)*(Q805)-(R805)*(R805))-(S805)*((U805)*(Q805)-(R805)*(V805))+(T805)*((U805)*(R805)-(P805)*(V805)))/W805,0)</f>
        <v/>
      </c>
      <c r="Y805">
        <f>IF(ABS(W805)&gt;1E-12,((LTP3!$D$5)*((U805)*(Q805)-(R805)*(V805))-(LTP3!$D$6)*((S805)*(Q805)-(R805)*(T805))+(T805)*((S805)*(V805)-(U805)*(T805)))/W805,0)</f>
        <v/>
      </c>
      <c r="Z805">
        <f>IF(ABS(W805)&gt;1E-12,((LTP3!$D$5)*((P805)*(V805)-(U805)*(R805))-(S805)*((S805)*(V805)-(U805)*(T805))+(LTP3!$D$6)*((S805)*(R805)-(P805)*(T805)))/W805,0)</f>
        <v/>
      </c>
      <c r="AA805">
        <f>LTP3!$D$7-X805*LTP3!$D$6-Y805*U805-Z805*V805</f>
        <v/>
      </c>
      <c r="AB805">
        <f>IF(AND(F805,ABS(W805)&gt;1E-12,Y805&gt;0,Z805&gt;0),AA805,1E+300)</f>
        <v/>
      </c>
    </row>
    <row r="806">
      <c r="A806">
        <f>$B$3+$B$5*13</f>
        <v/>
      </c>
      <c r="B806">
        <f>$B$3+$B$5*1</f>
        <v/>
      </c>
      <c r="C806">
        <f>SUMPRODUCT(Calc!$K$3:$K$22*(Calc!$G$3:$G$22&lt;=A806))</f>
        <v/>
      </c>
      <c r="D806">
        <f>SUMPRODUCT(Calc!$K$3:$K$22*(Calc!$G$3:$G$22&gt;A806)*(Calc!$G$3:$G$22&lt;B806))</f>
        <v/>
      </c>
      <c r="E806">
        <f>SUMPRODUCT(Calc!$K$3:$K$22*(Calc!$G$3:$G$22&gt;=B806))</f>
        <v/>
      </c>
      <c r="F806">
        <f>AND(k_n&gt;=5,B806&gt;A806+1E-9,C806&gt;=2,D806&gt;=1,E806&gt;=2)</f>
        <v/>
      </c>
      <c r="G806">
        <f>SUMPRODUCT(Calc!$K$3:$K$22*(Calc!$G$3:$G$22&gt;A806)*(Calc!$G$3:$G$22-A806))</f>
        <v/>
      </c>
      <c r="H806">
        <f>SUMPRODUCT(Calc!$K$3:$K$22*(Calc!$G$3:$G$22&gt;B806)*(Calc!$G$3:$G$22-B806))</f>
        <v/>
      </c>
      <c r="I806">
        <f>SUMPRODUCT(Calc!$K$3:$K$22*(Calc!$G$3:$G$22&gt;A806)*(Calc!$G$3:$G$22-A806)^2)</f>
        <v/>
      </c>
      <c r="J806">
        <f>SUMPRODUCT(Calc!$K$3:$K$22*(Calc!$G$3:$G$22&gt;B806)*(Calc!$G$3:$G$22-B806)^2)</f>
        <v/>
      </c>
      <c r="K806">
        <f>SUMPRODUCT(Calc!$K$3:$K$22*(Calc!$G$3:$G$22&gt;A806)*(Calc!$G$3:$G$22-A806)*(Calc!$G$3:$G$22&gt;B806)*(Calc!$G$3:$G$22-B806))</f>
        <v/>
      </c>
      <c r="L806">
        <f>SUMPRODUCT(Calc!$K$3:$K$22*(Calc!$G$3:$G$22&gt;A806)*(Calc!$G$3:$G$22-A806)*Calc!$G$3:$G$22)</f>
        <v/>
      </c>
      <c r="M806">
        <f>SUMPRODUCT(Calc!$K$3:$K$22*(Calc!$G$3:$G$22&gt;B806)*(Calc!$G$3:$G$22-B806)*Calc!$G$3:$G$22)</f>
        <v/>
      </c>
      <c r="N806">
        <f>SUMPRODUCT(Calc!$K$3:$K$22*(Calc!$G$3:$G$22&gt;A806)*(Calc!$G$3:$G$22-A806)*Calc!$I$3:$I$22)</f>
        <v/>
      </c>
      <c r="O806">
        <f>SUMPRODUCT(Calc!$K$3:$K$22*(Calc!$G$3:$G$22&gt;B806)*(Calc!$G$3:$G$22-B806)*Calc!$I$3:$I$22)</f>
        <v/>
      </c>
      <c r="P806">
        <f>I806-G806^2/k_n</f>
        <v/>
      </c>
      <c r="Q806">
        <f>J806-H806^2/k_n</f>
        <v/>
      </c>
      <c r="R806">
        <f>K806-G806*H806/k_n</f>
        <v/>
      </c>
      <c r="S806">
        <f>L806-LTP3!$D$3*G806/k_n</f>
        <v/>
      </c>
      <c r="T806">
        <f>M806-LTP3!$D$3*H806/k_n</f>
        <v/>
      </c>
      <c r="U806">
        <f>N806-G806*LTP3!$D$4/k_n</f>
        <v/>
      </c>
      <c r="V806">
        <f>O806-H806*LTP3!$D$4/k_n</f>
        <v/>
      </c>
      <c r="W806">
        <f>((LTP3!$D$5)*((P806)*(Q806)-(R806)*(R806))-(S806)*((S806)*(Q806)-(R806)*(T806))+(T806)*((S806)*(R806)-(P806)*(T806)))</f>
        <v/>
      </c>
      <c r="X806">
        <f>IF(ABS(W806)&gt;1E-12,((LTP3!$D$6)*((P806)*(Q806)-(R806)*(R806))-(S806)*((U806)*(Q806)-(R806)*(V806))+(T806)*((U806)*(R806)-(P806)*(V806)))/W806,0)</f>
        <v/>
      </c>
      <c r="Y806">
        <f>IF(ABS(W806)&gt;1E-12,((LTP3!$D$5)*((U806)*(Q806)-(R806)*(V806))-(LTP3!$D$6)*((S806)*(Q806)-(R806)*(T806))+(T806)*((S806)*(V806)-(U806)*(T806)))/W806,0)</f>
        <v/>
      </c>
      <c r="Z806">
        <f>IF(ABS(W806)&gt;1E-12,((LTP3!$D$5)*((P806)*(V806)-(U806)*(R806))-(S806)*((S806)*(V806)-(U806)*(T806))+(LTP3!$D$6)*((S806)*(R806)-(P806)*(T806)))/W806,0)</f>
        <v/>
      </c>
      <c r="AA806">
        <f>LTP3!$D$7-X806*LTP3!$D$6-Y806*U806-Z806*V806</f>
        <v/>
      </c>
      <c r="AB806">
        <f>IF(AND(F806,ABS(W806)&gt;1E-12,Y806&gt;0,Z806&gt;0),AA806,1E+300)</f>
        <v/>
      </c>
    </row>
    <row r="807">
      <c r="A807">
        <f>$B$3+$B$5*13</f>
        <v/>
      </c>
      <c r="B807">
        <f>$B$3+$B$5*2</f>
        <v/>
      </c>
      <c r="C807">
        <f>SUMPRODUCT(Calc!$K$3:$K$22*(Calc!$G$3:$G$22&lt;=A807))</f>
        <v/>
      </c>
      <c r="D807">
        <f>SUMPRODUCT(Calc!$K$3:$K$22*(Calc!$G$3:$G$22&gt;A807)*(Calc!$G$3:$G$22&lt;B807))</f>
        <v/>
      </c>
      <c r="E807">
        <f>SUMPRODUCT(Calc!$K$3:$K$22*(Calc!$G$3:$G$22&gt;=B807))</f>
        <v/>
      </c>
      <c r="F807">
        <f>AND(k_n&gt;=5,B807&gt;A807+1E-9,C807&gt;=2,D807&gt;=1,E807&gt;=2)</f>
        <v/>
      </c>
      <c r="G807">
        <f>SUMPRODUCT(Calc!$K$3:$K$22*(Calc!$G$3:$G$22&gt;A807)*(Calc!$G$3:$G$22-A807))</f>
        <v/>
      </c>
      <c r="H807">
        <f>SUMPRODUCT(Calc!$K$3:$K$22*(Calc!$G$3:$G$22&gt;B807)*(Calc!$G$3:$G$22-B807))</f>
        <v/>
      </c>
      <c r="I807">
        <f>SUMPRODUCT(Calc!$K$3:$K$22*(Calc!$G$3:$G$22&gt;A807)*(Calc!$G$3:$G$22-A807)^2)</f>
        <v/>
      </c>
      <c r="J807">
        <f>SUMPRODUCT(Calc!$K$3:$K$22*(Calc!$G$3:$G$22&gt;B807)*(Calc!$G$3:$G$22-B807)^2)</f>
        <v/>
      </c>
      <c r="K807">
        <f>SUMPRODUCT(Calc!$K$3:$K$22*(Calc!$G$3:$G$22&gt;A807)*(Calc!$G$3:$G$22-A807)*(Calc!$G$3:$G$22&gt;B807)*(Calc!$G$3:$G$22-B807))</f>
        <v/>
      </c>
      <c r="L807">
        <f>SUMPRODUCT(Calc!$K$3:$K$22*(Calc!$G$3:$G$22&gt;A807)*(Calc!$G$3:$G$22-A807)*Calc!$G$3:$G$22)</f>
        <v/>
      </c>
      <c r="M807">
        <f>SUMPRODUCT(Calc!$K$3:$K$22*(Calc!$G$3:$G$22&gt;B807)*(Calc!$G$3:$G$22-B807)*Calc!$G$3:$G$22)</f>
        <v/>
      </c>
      <c r="N807">
        <f>SUMPRODUCT(Calc!$K$3:$K$22*(Calc!$G$3:$G$22&gt;A807)*(Calc!$G$3:$G$22-A807)*Calc!$I$3:$I$22)</f>
        <v/>
      </c>
      <c r="O807">
        <f>SUMPRODUCT(Calc!$K$3:$K$22*(Calc!$G$3:$G$22&gt;B807)*(Calc!$G$3:$G$22-B807)*Calc!$I$3:$I$22)</f>
        <v/>
      </c>
      <c r="P807">
        <f>I807-G807^2/k_n</f>
        <v/>
      </c>
      <c r="Q807">
        <f>J807-H807^2/k_n</f>
        <v/>
      </c>
      <c r="R807">
        <f>K807-G807*H807/k_n</f>
        <v/>
      </c>
      <c r="S807">
        <f>L807-LTP3!$D$3*G807/k_n</f>
        <v/>
      </c>
      <c r="T807">
        <f>M807-LTP3!$D$3*H807/k_n</f>
        <v/>
      </c>
      <c r="U807">
        <f>N807-G807*LTP3!$D$4/k_n</f>
        <v/>
      </c>
      <c r="V807">
        <f>O807-H807*LTP3!$D$4/k_n</f>
        <v/>
      </c>
      <c r="W807">
        <f>((LTP3!$D$5)*((P807)*(Q807)-(R807)*(R807))-(S807)*((S807)*(Q807)-(R807)*(T807))+(T807)*((S807)*(R807)-(P807)*(T807)))</f>
        <v/>
      </c>
      <c r="X807">
        <f>IF(ABS(W807)&gt;1E-12,((LTP3!$D$6)*((P807)*(Q807)-(R807)*(R807))-(S807)*((U807)*(Q807)-(R807)*(V807))+(T807)*((U807)*(R807)-(P807)*(V807)))/W807,0)</f>
        <v/>
      </c>
      <c r="Y807">
        <f>IF(ABS(W807)&gt;1E-12,((LTP3!$D$5)*((U807)*(Q807)-(R807)*(V807))-(LTP3!$D$6)*((S807)*(Q807)-(R807)*(T807))+(T807)*((S807)*(V807)-(U807)*(T807)))/W807,0)</f>
        <v/>
      </c>
      <c r="Z807">
        <f>IF(ABS(W807)&gt;1E-12,((LTP3!$D$5)*((P807)*(V807)-(U807)*(R807))-(S807)*((S807)*(V807)-(U807)*(T807))+(LTP3!$D$6)*((S807)*(R807)-(P807)*(T807)))/W807,0)</f>
        <v/>
      </c>
      <c r="AA807">
        <f>LTP3!$D$7-X807*LTP3!$D$6-Y807*U807-Z807*V807</f>
        <v/>
      </c>
      <c r="AB807">
        <f>IF(AND(F807,ABS(W807)&gt;1E-12,Y807&gt;0,Z807&gt;0),AA807,1E+300)</f>
        <v/>
      </c>
    </row>
    <row r="808">
      <c r="A808">
        <f>$B$3+$B$5*13</f>
        <v/>
      </c>
      <c r="B808">
        <f>$B$3+$B$5*3</f>
        <v/>
      </c>
      <c r="C808">
        <f>SUMPRODUCT(Calc!$K$3:$K$22*(Calc!$G$3:$G$22&lt;=A808))</f>
        <v/>
      </c>
      <c r="D808">
        <f>SUMPRODUCT(Calc!$K$3:$K$22*(Calc!$G$3:$G$22&gt;A808)*(Calc!$G$3:$G$22&lt;B808))</f>
        <v/>
      </c>
      <c r="E808">
        <f>SUMPRODUCT(Calc!$K$3:$K$22*(Calc!$G$3:$G$22&gt;=B808))</f>
        <v/>
      </c>
      <c r="F808">
        <f>AND(k_n&gt;=5,B808&gt;A808+1E-9,C808&gt;=2,D808&gt;=1,E808&gt;=2)</f>
        <v/>
      </c>
      <c r="G808">
        <f>SUMPRODUCT(Calc!$K$3:$K$22*(Calc!$G$3:$G$22&gt;A808)*(Calc!$G$3:$G$22-A808))</f>
        <v/>
      </c>
      <c r="H808">
        <f>SUMPRODUCT(Calc!$K$3:$K$22*(Calc!$G$3:$G$22&gt;B808)*(Calc!$G$3:$G$22-B808))</f>
        <v/>
      </c>
      <c r="I808">
        <f>SUMPRODUCT(Calc!$K$3:$K$22*(Calc!$G$3:$G$22&gt;A808)*(Calc!$G$3:$G$22-A808)^2)</f>
        <v/>
      </c>
      <c r="J808">
        <f>SUMPRODUCT(Calc!$K$3:$K$22*(Calc!$G$3:$G$22&gt;B808)*(Calc!$G$3:$G$22-B808)^2)</f>
        <v/>
      </c>
      <c r="K808">
        <f>SUMPRODUCT(Calc!$K$3:$K$22*(Calc!$G$3:$G$22&gt;A808)*(Calc!$G$3:$G$22-A808)*(Calc!$G$3:$G$22&gt;B808)*(Calc!$G$3:$G$22-B808))</f>
        <v/>
      </c>
      <c r="L808">
        <f>SUMPRODUCT(Calc!$K$3:$K$22*(Calc!$G$3:$G$22&gt;A808)*(Calc!$G$3:$G$22-A808)*Calc!$G$3:$G$22)</f>
        <v/>
      </c>
      <c r="M808">
        <f>SUMPRODUCT(Calc!$K$3:$K$22*(Calc!$G$3:$G$22&gt;B808)*(Calc!$G$3:$G$22-B808)*Calc!$G$3:$G$22)</f>
        <v/>
      </c>
      <c r="N808">
        <f>SUMPRODUCT(Calc!$K$3:$K$22*(Calc!$G$3:$G$22&gt;A808)*(Calc!$G$3:$G$22-A808)*Calc!$I$3:$I$22)</f>
        <v/>
      </c>
      <c r="O808">
        <f>SUMPRODUCT(Calc!$K$3:$K$22*(Calc!$G$3:$G$22&gt;B808)*(Calc!$G$3:$G$22-B808)*Calc!$I$3:$I$22)</f>
        <v/>
      </c>
      <c r="P808">
        <f>I808-G808^2/k_n</f>
        <v/>
      </c>
      <c r="Q808">
        <f>J808-H808^2/k_n</f>
        <v/>
      </c>
      <c r="R808">
        <f>K808-G808*H808/k_n</f>
        <v/>
      </c>
      <c r="S808">
        <f>L808-LTP3!$D$3*G808/k_n</f>
        <v/>
      </c>
      <c r="T808">
        <f>M808-LTP3!$D$3*H808/k_n</f>
        <v/>
      </c>
      <c r="U808">
        <f>N808-G808*LTP3!$D$4/k_n</f>
        <v/>
      </c>
      <c r="V808">
        <f>O808-H808*LTP3!$D$4/k_n</f>
        <v/>
      </c>
      <c r="W808">
        <f>((LTP3!$D$5)*((P808)*(Q808)-(R808)*(R808))-(S808)*((S808)*(Q808)-(R808)*(T808))+(T808)*((S808)*(R808)-(P808)*(T808)))</f>
        <v/>
      </c>
      <c r="X808">
        <f>IF(ABS(W808)&gt;1E-12,((LTP3!$D$6)*((P808)*(Q808)-(R808)*(R808))-(S808)*((U808)*(Q808)-(R808)*(V808))+(T808)*((U808)*(R808)-(P808)*(V808)))/W808,0)</f>
        <v/>
      </c>
      <c r="Y808">
        <f>IF(ABS(W808)&gt;1E-12,((LTP3!$D$5)*((U808)*(Q808)-(R808)*(V808))-(LTP3!$D$6)*((S808)*(Q808)-(R808)*(T808))+(T808)*((S808)*(V808)-(U808)*(T808)))/W808,0)</f>
        <v/>
      </c>
      <c r="Z808">
        <f>IF(ABS(W808)&gt;1E-12,((LTP3!$D$5)*((P808)*(V808)-(U808)*(R808))-(S808)*((S808)*(V808)-(U808)*(T808))+(LTP3!$D$6)*((S808)*(R808)-(P808)*(T808)))/W808,0)</f>
        <v/>
      </c>
      <c r="AA808">
        <f>LTP3!$D$7-X808*LTP3!$D$6-Y808*U808-Z808*V808</f>
        <v/>
      </c>
      <c r="AB808">
        <f>IF(AND(F808,ABS(W808)&gt;1E-12,Y808&gt;0,Z808&gt;0),AA808,1E+300)</f>
        <v/>
      </c>
    </row>
    <row r="809">
      <c r="A809">
        <f>$B$3+$B$5*13</f>
        <v/>
      </c>
      <c r="B809">
        <f>$B$3+$B$5*4</f>
        <v/>
      </c>
      <c r="C809">
        <f>SUMPRODUCT(Calc!$K$3:$K$22*(Calc!$G$3:$G$22&lt;=A809))</f>
        <v/>
      </c>
      <c r="D809">
        <f>SUMPRODUCT(Calc!$K$3:$K$22*(Calc!$G$3:$G$22&gt;A809)*(Calc!$G$3:$G$22&lt;B809))</f>
        <v/>
      </c>
      <c r="E809">
        <f>SUMPRODUCT(Calc!$K$3:$K$22*(Calc!$G$3:$G$22&gt;=B809))</f>
        <v/>
      </c>
      <c r="F809">
        <f>AND(k_n&gt;=5,B809&gt;A809+1E-9,C809&gt;=2,D809&gt;=1,E809&gt;=2)</f>
        <v/>
      </c>
      <c r="G809">
        <f>SUMPRODUCT(Calc!$K$3:$K$22*(Calc!$G$3:$G$22&gt;A809)*(Calc!$G$3:$G$22-A809))</f>
        <v/>
      </c>
      <c r="H809">
        <f>SUMPRODUCT(Calc!$K$3:$K$22*(Calc!$G$3:$G$22&gt;B809)*(Calc!$G$3:$G$22-B809))</f>
        <v/>
      </c>
      <c r="I809">
        <f>SUMPRODUCT(Calc!$K$3:$K$22*(Calc!$G$3:$G$22&gt;A809)*(Calc!$G$3:$G$22-A809)^2)</f>
        <v/>
      </c>
      <c r="J809">
        <f>SUMPRODUCT(Calc!$K$3:$K$22*(Calc!$G$3:$G$22&gt;B809)*(Calc!$G$3:$G$22-B809)^2)</f>
        <v/>
      </c>
      <c r="K809">
        <f>SUMPRODUCT(Calc!$K$3:$K$22*(Calc!$G$3:$G$22&gt;A809)*(Calc!$G$3:$G$22-A809)*(Calc!$G$3:$G$22&gt;B809)*(Calc!$G$3:$G$22-B809))</f>
        <v/>
      </c>
      <c r="L809">
        <f>SUMPRODUCT(Calc!$K$3:$K$22*(Calc!$G$3:$G$22&gt;A809)*(Calc!$G$3:$G$22-A809)*Calc!$G$3:$G$22)</f>
        <v/>
      </c>
      <c r="M809">
        <f>SUMPRODUCT(Calc!$K$3:$K$22*(Calc!$G$3:$G$22&gt;B809)*(Calc!$G$3:$G$22-B809)*Calc!$G$3:$G$22)</f>
        <v/>
      </c>
      <c r="N809">
        <f>SUMPRODUCT(Calc!$K$3:$K$22*(Calc!$G$3:$G$22&gt;A809)*(Calc!$G$3:$G$22-A809)*Calc!$I$3:$I$22)</f>
        <v/>
      </c>
      <c r="O809">
        <f>SUMPRODUCT(Calc!$K$3:$K$22*(Calc!$G$3:$G$22&gt;B809)*(Calc!$G$3:$G$22-B809)*Calc!$I$3:$I$22)</f>
        <v/>
      </c>
      <c r="P809">
        <f>I809-G809^2/k_n</f>
        <v/>
      </c>
      <c r="Q809">
        <f>J809-H809^2/k_n</f>
        <v/>
      </c>
      <c r="R809">
        <f>K809-G809*H809/k_n</f>
        <v/>
      </c>
      <c r="S809">
        <f>L809-LTP3!$D$3*G809/k_n</f>
        <v/>
      </c>
      <c r="T809">
        <f>M809-LTP3!$D$3*H809/k_n</f>
        <v/>
      </c>
      <c r="U809">
        <f>N809-G809*LTP3!$D$4/k_n</f>
        <v/>
      </c>
      <c r="V809">
        <f>O809-H809*LTP3!$D$4/k_n</f>
        <v/>
      </c>
      <c r="W809">
        <f>((LTP3!$D$5)*((P809)*(Q809)-(R809)*(R809))-(S809)*((S809)*(Q809)-(R809)*(T809))+(T809)*((S809)*(R809)-(P809)*(T809)))</f>
        <v/>
      </c>
      <c r="X809">
        <f>IF(ABS(W809)&gt;1E-12,((LTP3!$D$6)*((P809)*(Q809)-(R809)*(R809))-(S809)*((U809)*(Q809)-(R809)*(V809))+(T809)*((U809)*(R809)-(P809)*(V809)))/W809,0)</f>
        <v/>
      </c>
      <c r="Y809">
        <f>IF(ABS(W809)&gt;1E-12,((LTP3!$D$5)*((U809)*(Q809)-(R809)*(V809))-(LTP3!$D$6)*((S809)*(Q809)-(R809)*(T809))+(T809)*((S809)*(V809)-(U809)*(T809)))/W809,0)</f>
        <v/>
      </c>
      <c r="Z809">
        <f>IF(ABS(W809)&gt;1E-12,((LTP3!$D$5)*((P809)*(V809)-(U809)*(R809))-(S809)*((S809)*(V809)-(U809)*(T809))+(LTP3!$D$6)*((S809)*(R809)-(P809)*(T809)))/W809,0)</f>
        <v/>
      </c>
      <c r="AA809">
        <f>LTP3!$D$7-X809*LTP3!$D$6-Y809*U809-Z809*V809</f>
        <v/>
      </c>
      <c r="AB809">
        <f>IF(AND(F809,ABS(W809)&gt;1E-12,Y809&gt;0,Z809&gt;0),AA809,1E+300)</f>
        <v/>
      </c>
    </row>
    <row r="810">
      <c r="A810">
        <f>$B$3+$B$5*13</f>
        <v/>
      </c>
      <c r="B810">
        <f>$B$3+$B$5*5</f>
        <v/>
      </c>
      <c r="C810">
        <f>SUMPRODUCT(Calc!$K$3:$K$22*(Calc!$G$3:$G$22&lt;=A810))</f>
        <v/>
      </c>
      <c r="D810">
        <f>SUMPRODUCT(Calc!$K$3:$K$22*(Calc!$G$3:$G$22&gt;A810)*(Calc!$G$3:$G$22&lt;B810))</f>
        <v/>
      </c>
      <c r="E810">
        <f>SUMPRODUCT(Calc!$K$3:$K$22*(Calc!$G$3:$G$22&gt;=B810))</f>
        <v/>
      </c>
      <c r="F810">
        <f>AND(k_n&gt;=5,B810&gt;A810+1E-9,C810&gt;=2,D810&gt;=1,E810&gt;=2)</f>
        <v/>
      </c>
      <c r="G810">
        <f>SUMPRODUCT(Calc!$K$3:$K$22*(Calc!$G$3:$G$22&gt;A810)*(Calc!$G$3:$G$22-A810))</f>
        <v/>
      </c>
      <c r="H810">
        <f>SUMPRODUCT(Calc!$K$3:$K$22*(Calc!$G$3:$G$22&gt;B810)*(Calc!$G$3:$G$22-B810))</f>
        <v/>
      </c>
      <c r="I810">
        <f>SUMPRODUCT(Calc!$K$3:$K$22*(Calc!$G$3:$G$22&gt;A810)*(Calc!$G$3:$G$22-A810)^2)</f>
        <v/>
      </c>
      <c r="J810">
        <f>SUMPRODUCT(Calc!$K$3:$K$22*(Calc!$G$3:$G$22&gt;B810)*(Calc!$G$3:$G$22-B810)^2)</f>
        <v/>
      </c>
      <c r="K810">
        <f>SUMPRODUCT(Calc!$K$3:$K$22*(Calc!$G$3:$G$22&gt;A810)*(Calc!$G$3:$G$22-A810)*(Calc!$G$3:$G$22&gt;B810)*(Calc!$G$3:$G$22-B810))</f>
        <v/>
      </c>
      <c r="L810">
        <f>SUMPRODUCT(Calc!$K$3:$K$22*(Calc!$G$3:$G$22&gt;A810)*(Calc!$G$3:$G$22-A810)*Calc!$G$3:$G$22)</f>
        <v/>
      </c>
      <c r="M810">
        <f>SUMPRODUCT(Calc!$K$3:$K$22*(Calc!$G$3:$G$22&gt;B810)*(Calc!$G$3:$G$22-B810)*Calc!$G$3:$G$22)</f>
        <v/>
      </c>
      <c r="N810">
        <f>SUMPRODUCT(Calc!$K$3:$K$22*(Calc!$G$3:$G$22&gt;A810)*(Calc!$G$3:$G$22-A810)*Calc!$I$3:$I$22)</f>
        <v/>
      </c>
      <c r="O810">
        <f>SUMPRODUCT(Calc!$K$3:$K$22*(Calc!$G$3:$G$22&gt;B810)*(Calc!$G$3:$G$22-B810)*Calc!$I$3:$I$22)</f>
        <v/>
      </c>
      <c r="P810">
        <f>I810-G810^2/k_n</f>
        <v/>
      </c>
      <c r="Q810">
        <f>J810-H810^2/k_n</f>
        <v/>
      </c>
      <c r="R810">
        <f>K810-G810*H810/k_n</f>
        <v/>
      </c>
      <c r="S810">
        <f>L810-LTP3!$D$3*G810/k_n</f>
        <v/>
      </c>
      <c r="T810">
        <f>M810-LTP3!$D$3*H810/k_n</f>
        <v/>
      </c>
      <c r="U810">
        <f>N810-G810*LTP3!$D$4/k_n</f>
        <v/>
      </c>
      <c r="V810">
        <f>O810-H810*LTP3!$D$4/k_n</f>
        <v/>
      </c>
      <c r="W810">
        <f>((LTP3!$D$5)*((P810)*(Q810)-(R810)*(R810))-(S810)*((S810)*(Q810)-(R810)*(T810))+(T810)*((S810)*(R810)-(P810)*(T810)))</f>
        <v/>
      </c>
      <c r="X810">
        <f>IF(ABS(W810)&gt;1E-12,((LTP3!$D$6)*((P810)*(Q810)-(R810)*(R810))-(S810)*((U810)*(Q810)-(R810)*(V810))+(T810)*((U810)*(R810)-(P810)*(V810)))/W810,0)</f>
        <v/>
      </c>
      <c r="Y810">
        <f>IF(ABS(W810)&gt;1E-12,((LTP3!$D$5)*((U810)*(Q810)-(R810)*(V810))-(LTP3!$D$6)*((S810)*(Q810)-(R810)*(T810))+(T810)*((S810)*(V810)-(U810)*(T810)))/W810,0)</f>
        <v/>
      </c>
      <c r="Z810">
        <f>IF(ABS(W810)&gt;1E-12,((LTP3!$D$5)*((P810)*(V810)-(U810)*(R810))-(S810)*((S810)*(V810)-(U810)*(T810))+(LTP3!$D$6)*((S810)*(R810)-(P810)*(T810)))/W810,0)</f>
        <v/>
      </c>
      <c r="AA810">
        <f>LTP3!$D$7-X810*LTP3!$D$6-Y810*U810-Z810*V810</f>
        <v/>
      </c>
      <c r="AB810">
        <f>IF(AND(F810,ABS(W810)&gt;1E-12,Y810&gt;0,Z810&gt;0),AA810,1E+300)</f>
        <v/>
      </c>
    </row>
    <row r="811">
      <c r="A811">
        <f>$B$3+$B$5*13</f>
        <v/>
      </c>
      <c r="B811">
        <f>$B$3+$B$5*6</f>
        <v/>
      </c>
      <c r="C811">
        <f>SUMPRODUCT(Calc!$K$3:$K$22*(Calc!$G$3:$G$22&lt;=A811))</f>
        <v/>
      </c>
      <c r="D811">
        <f>SUMPRODUCT(Calc!$K$3:$K$22*(Calc!$G$3:$G$22&gt;A811)*(Calc!$G$3:$G$22&lt;B811))</f>
        <v/>
      </c>
      <c r="E811">
        <f>SUMPRODUCT(Calc!$K$3:$K$22*(Calc!$G$3:$G$22&gt;=B811))</f>
        <v/>
      </c>
      <c r="F811">
        <f>AND(k_n&gt;=5,B811&gt;A811+1E-9,C811&gt;=2,D811&gt;=1,E811&gt;=2)</f>
        <v/>
      </c>
      <c r="G811">
        <f>SUMPRODUCT(Calc!$K$3:$K$22*(Calc!$G$3:$G$22&gt;A811)*(Calc!$G$3:$G$22-A811))</f>
        <v/>
      </c>
      <c r="H811">
        <f>SUMPRODUCT(Calc!$K$3:$K$22*(Calc!$G$3:$G$22&gt;B811)*(Calc!$G$3:$G$22-B811))</f>
        <v/>
      </c>
      <c r="I811">
        <f>SUMPRODUCT(Calc!$K$3:$K$22*(Calc!$G$3:$G$22&gt;A811)*(Calc!$G$3:$G$22-A811)^2)</f>
        <v/>
      </c>
      <c r="J811">
        <f>SUMPRODUCT(Calc!$K$3:$K$22*(Calc!$G$3:$G$22&gt;B811)*(Calc!$G$3:$G$22-B811)^2)</f>
        <v/>
      </c>
      <c r="K811">
        <f>SUMPRODUCT(Calc!$K$3:$K$22*(Calc!$G$3:$G$22&gt;A811)*(Calc!$G$3:$G$22-A811)*(Calc!$G$3:$G$22&gt;B811)*(Calc!$G$3:$G$22-B811))</f>
        <v/>
      </c>
      <c r="L811">
        <f>SUMPRODUCT(Calc!$K$3:$K$22*(Calc!$G$3:$G$22&gt;A811)*(Calc!$G$3:$G$22-A811)*Calc!$G$3:$G$22)</f>
        <v/>
      </c>
      <c r="M811">
        <f>SUMPRODUCT(Calc!$K$3:$K$22*(Calc!$G$3:$G$22&gt;B811)*(Calc!$G$3:$G$22-B811)*Calc!$G$3:$G$22)</f>
        <v/>
      </c>
      <c r="N811">
        <f>SUMPRODUCT(Calc!$K$3:$K$22*(Calc!$G$3:$G$22&gt;A811)*(Calc!$G$3:$G$22-A811)*Calc!$I$3:$I$22)</f>
        <v/>
      </c>
      <c r="O811">
        <f>SUMPRODUCT(Calc!$K$3:$K$22*(Calc!$G$3:$G$22&gt;B811)*(Calc!$G$3:$G$22-B811)*Calc!$I$3:$I$22)</f>
        <v/>
      </c>
      <c r="P811">
        <f>I811-G811^2/k_n</f>
        <v/>
      </c>
      <c r="Q811">
        <f>J811-H811^2/k_n</f>
        <v/>
      </c>
      <c r="R811">
        <f>K811-G811*H811/k_n</f>
        <v/>
      </c>
      <c r="S811">
        <f>L811-LTP3!$D$3*G811/k_n</f>
        <v/>
      </c>
      <c r="T811">
        <f>M811-LTP3!$D$3*H811/k_n</f>
        <v/>
      </c>
      <c r="U811">
        <f>N811-G811*LTP3!$D$4/k_n</f>
        <v/>
      </c>
      <c r="V811">
        <f>O811-H811*LTP3!$D$4/k_n</f>
        <v/>
      </c>
      <c r="W811">
        <f>((LTP3!$D$5)*((P811)*(Q811)-(R811)*(R811))-(S811)*((S811)*(Q811)-(R811)*(T811))+(T811)*((S811)*(R811)-(P811)*(T811)))</f>
        <v/>
      </c>
      <c r="X811">
        <f>IF(ABS(W811)&gt;1E-12,((LTP3!$D$6)*((P811)*(Q811)-(R811)*(R811))-(S811)*((U811)*(Q811)-(R811)*(V811))+(T811)*((U811)*(R811)-(P811)*(V811)))/W811,0)</f>
        <v/>
      </c>
      <c r="Y811">
        <f>IF(ABS(W811)&gt;1E-12,((LTP3!$D$5)*((U811)*(Q811)-(R811)*(V811))-(LTP3!$D$6)*((S811)*(Q811)-(R811)*(T811))+(T811)*((S811)*(V811)-(U811)*(T811)))/W811,0)</f>
        <v/>
      </c>
      <c r="Z811">
        <f>IF(ABS(W811)&gt;1E-12,((LTP3!$D$5)*((P811)*(V811)-(U811)*(R811))-(S811)*((S811)*(V811)-(U811)*(T811))+(LTP3!$D$6)*((S811)*(R811)-(P811)*(T811)))/W811,0)</f>
        <v/>
      </c>
      <c r="AA811">
        <f>LTP3!$D$7-X811*LTP3!$D$6-Y811*U811-Z811*V811</f>
        <v/>
      </c>
      <c r="AB811">
        <f>IF(AND(F811,ABS(W811)&gt;1E-12,Y811&gt;0,Z811&gt;0),AA811,1E+300)</f>
        <v/>
      </c>
    </row>
    <row r="812">
      <c r="A812">
        <f>$B$3+$B$5*13</f>
        <v/>
      </c>
      <c r="B812">
        <f>$B$3+$B$5*7</f>
        <v/>
      </c>
      <c r="C812">
        <f>SUMPRODUCT(Calc!$K$3:$K$22*(Calc!$G$3:$G$22&lt;=A812))</f>
        <v/>
      </c>
      <c r="D812">
        <f>SUMPRODUCT(Calc!$K$3:$K$22*(Calc!$G$3:$G$22&gt;A812)*(Calc!$G$3:$G$22&lt;B812))</f>
        <v/>
      </c>
      <c r="E812">
        <f>SUMPRODUCT(Calc!$K$3:$K$22*(Calc!$G$3:$G$22&gt;=B812))</f>
        <v/>
      </c>
      <c r="F812">
        <f>AND(k_n&gt;=5,B812&gt;A812+1E-9,C812&gt;=2,D812&gt;=1,E812&gt;=2)</f>
        <v/>
      </c>
      <c r="G812">
        <f>SUMPRODUCT(Calc!$K$3:$K$22*(Calc!$G$3:$G$22&gt;A812)*(Calc!$G$3:$G$22-A812))</f>
        <v/>
      </c>
      <c r="H812">
        <f>SUMPRODUCT(Calc!$K$3:$K$22*(Calc!$G$3:$G$22&gt;B812)*(Calc!$G$3:$G$22-B812))</f>
        <v/>
      </c>
      <c r="I812">
        <f>SUMPRODUCT(Calc!$K$3:$K$22*(Calc!$G$3:$G$22&gt;A812)*(Calc!$G$3:$G$22-A812)^2)</f>
        <v/>
      </c>
      <c r="J812">
        <f>SUMPRODUCT(Calc!$K$3:$K$22*(Calc!$G$3:$G$22&gt;B812)*(Calc!$G$3:$G$22-B812)^2)</f>
        <v/>
      </c>
      <c r="K812">
        <f>SUMPRODUCT(Calc!$K$3:$K$22*(Calc!$G$3:$G$22&gt;A812)*(Calc!$G$3:$G$22-A812)*(Calc!$G$3:$G$22&gt;B812)*(Calc!$G$3:$G$22-B812))</f>
        <v/>
      </c>
      <c r="L812">
        <f>SUMPRODUCT(Calc!$K$3:$K$22*(Calc!$G$3:$G$22&gt;A812)*(Calc!$G$3:$G$22-A812)*Calc!$G$3:$G$22)</f>
        <v/>
      </c>
      <c r="M812">
        <f>SUMPRODUCT(Calc!$K$3:$K$22*(Calc!$G$3:$G$22&gt;B812)*(Calc!$G$3:$G$22-B812)*Calc!$G$3:$G$22)</f>
        <v/>
      </c>
      <c r="N812">
        <f>SUMPRODUCT(Calc!$K$3:$K$22*(Calc!$G$3:$G$22&gt;A812)*(Calc!$G$3:$G$22-A812)*Calc!$I$3:$I$22)</f>
        <v/>
      </c>
      <c r="O812">
        <f>SUMPRODUCT(Calc!$K$3:$K$22*(Calc!$G$3:$G$22&gt;B812)*(Calc!$G$3:$G$22-B812)*Calc!$I$3:$I$22)</f>
        <v/>
      </c>
      <c r="P812">
        <f>I812-G812^2/k_n</f>
        <v/>
      </c>
      <c r="Q812">
        <f>J812-H812^2/k_n</f>
        <v/>
      </c>
      <c r="R812">
        <f>K812-G812*H812/k_n</f>
        <v/>
      </c>
      <c r="S812">
        <f>L812-LTP3!$D$3*G812/k_n</f>
        <v/>
      </c>
      <c r="T812">
        <f>M812-LTP3!$D$3*H812/k_n</f>
        <v/>
      </c>
      <c r="U812">
        <f>N812-G812*LTP3!$D$4/k_n</f>
        <v/>
      </c>
      <c r="V812">
        <f>O812-H812*LTP3!$D$4/k_n</f>
        <v/>
      </c>
      <c r="W812">
        <f>((LTP3!$D$5)*((P812)*(Q812)-(R812)*(R812))-(S812)*((S812)*(Q812)-(R812)*(T812))+(T812)*((S812)*(R812)-(P812)*(T812)))</f>
        <v/>
      </c>
      <c r="X812">
        <f>IF(ABS(W812)&gt;1E-12,((LTP3!$D$6)*((P812)*(Q812)-(R812)*(R812))-(S812)*((U812)*(Q812)-(R812)*(V812))+(T812)*((U812)*(R812)-(P812)*(V812)))/W812,0)</f>
        <v/>
      </c>
      <c r="Y812">
        <f>IF(ABS(W812)&gt;1E-12,((LTP3!$D$5)*((U812)*(Q812)-(R812)*(V812))-(LTP3!$D$6)*((S812)*(Q812)-(R812)*(T812))+(T812)*((S812)*(V812)-(U812)*(T812)))/W812,0)</f>
        <v/>
      </c>
      <c r="Z812">
        <f>IF(ABS(W812)&gt;1E-12,((LTP3!$D$5)*((P812)*(V812)-(U812)*(R812))-(S812)*((S812)*(V812)-(U812)*(T812))+(LTP3!$D$6)*((S812)*(R812)-(P812)*(T812)))/W812,0)</f>
        <v/>
      </c>
      <c r="AA812">
        <f>LTP3!$D$7-X812*LTP3!$D$6-Y812*U812-Z812*V812</f>
        <v/>
      </c>
      <c r="AB812">
        <f>IF(AND(F812,ABS(W812)&gt;1E-12,Y812&gt;0,Z812&gt;0),AA812,1E+300)</f>
        <v/>
      </c>
    </row>
    <row r="813">
      <c r="A813">
        <f>$B$3+$B$5*13</f>
        <v/>
      </c>
      <c r="B813">
        <f>$B$3+$B$5*8</f>
        <v/>
      </c>
      <c r="C813">
        <f>SUMPRODUCT(Calc!$K$3:$K$22*(Calc!$G$3:$G$22&lt;=A813))</f>
        <v/>
      </c>
      <c r="D813">
        <f>SUMPRODUCT(Calc!$K$3:$K$22*(Calc!$G$3:$G$22&gt;A813)*(Calc!$G$3:$G$22&lt;B813))</f>
        <v/>
      </c>
      <c r="E813">
        <f>SUMPRODUCT(Calc!$K$3:$K$22*(Calc!$G$3:$G$22&gt;=B813))</f>
        <v/>
      </c>
      <c r="F813">
        <f>AND(k_n&gt;=5,B813&gt;A813+1E-9,C813&gt;=2,D813&gt;=1,E813&gt;=2)</f>
        <v/>
      </c>
      <c r="G813">
        <f>SUMPRODUCT(Calc!$K$3:$K$22*(Calc!$G$3:$G$22&gt;A813)*(Calc!$G$3:$G$22-A813))</f>
        <v/>
      </c>
      <c r="H813">
        <f>SUMPRODUCT(Calc!$K$3:$K$22*(Calc!$G$3:$G$22&gt;B813)*(Calc!$G$3:$G$22-B813))</f>
        <v/>
      </c>
      <c r="I813">
        <f>SUMPRODUCT(Calc!$K$3:$K$22*(Calc!$G$3:$G$22&gt;A813)*(Calc!$G$3:$G$22-A813)^2)</f>
        <v/>
      </c>
      <c r="J813">
        <f>SUMPRODUCT(Calc!$K$3:$K$22*(Calc!$G$3:$G$22&gt;B813)*(Calc!$G$3:$G$22-B813)^2)</f>
        <v/>
      </c>
      <c r="K813">
        <f>SUMPRODUCT(Calc!$K$3:$K$22*(Calc!$G$3:$G$22&gt;A813)*(Calc!$G$3:$G$22-A813)*(Calc!$G$3:$G$22&gt;B813)*(Calc!$G$3:$G$22-B813))</f>
        <v/>
      </c>
      <c r="L813">
        <f>SUMPRODUCT(Calc!$K$3:$K$22*(Calc!$G$3:$G$22&gt;A813)*(Calc!$G$3:$G$22-A813)*Calc!$G$3:$G$22)</f>
        <v/>
      </c>
      <c r="M813">
        <f>SUMPRODUCT(Calc!$K$3:$K$22*(Calc!$G$3:$G$22&gt;B813)*(Calc!$G$3:$G$22-B813)*Calc!$G$3:$G$22)</f>
        <v/>
      </c>
      <c r="N813">
        <f>SUMPRODUCT(Calc!$K$3:$K$22*(Calc!$G$3:$G$22&gt;A813)*(Calc!$G$3:$G$22-A813)*Calc!$I$3:$I$22)</f>
        <v/>
      </c>
      <c r="O813">
        <f>SUMPRODUCT(Calc!$K$3:$K$22*(Calc!$G$3:$G$22&gt;B813)*(Calc!$G$3:$G$22-B813)*Calc!$I$3:$I$22)</f>
        <v/>
      </c>
      <c r="P813">
        <f>I813-G813^2/k_n</f>
        <v/>
      </c>
      <c r="Q813">
        <f>J813-H813^2/k_n</f>
        <v/>
      </c>
      <c r="R813">
        <f>K813-G813*H813/k_n</f>
        <v/>
      </c>
      <c r="S813">
        <f>L813-LTP3!$D$3*G813/k_n</f>
        <v/>
      </c>
      <c r="T813">
        <f>M813-LTP3!$D$3*H813/k_n</f>
        <v/>
      </c>
      <c r="U813">
        <f>N813-G813*LTP3!$D$4/k_n</f>
        <v/>
      </c>
      <c r="V813">
        <f>O813-H813*LTP3!$D$4/k_n</f>
        <v/>
      </c>
      <c r="W813">
        <f>((LTP3!$D$5)*((P813)*(Q813)-(R813)*(R813))-(S813)*((S813)*(Q813)-(R813)*(T813))+(T813)*((S813)*(R813)-(P813)*(T813)))</f>
        <v/>
      </c>
      <c r="X813">
        <f>IF(ABS(W813)&gt;1E-12,((LTP3!$D$6)*((P813)*(Q813)-(R813)*(R813))-(S813)*((U813)*(Q813)-(R813)*(V813))+(T813)*((U813)*(R813)-(P813)*(V813)))/W813,0)</f>
        <v/>
      </c>
      <c r="Y813">
        <f>IF(ABS(W813)&gt;1E-12,((LTP3!$D$5)*((U813)*(Q813)-(R813)*(V813))-(LTP3!$D$6)*((S813)*(Q813)-(R813)*(T813))+(T813)*((S813)*(V813)-(U813)*(T813)))/W813,0)</f>
        <v/>
      </c>
      <c r="Z813">
        <f>IF(ABS(W813)&gt;1E-12,((LTP3!$D$5)*((P813)*(V813)-(U813)*(R813))-(S813)*((S813)*(V813)-(U813)*(T813))+(LTP3!$D$6)*((S813)*(R813)-(P813)*(T813)))/W813,0)</f>
        <v/>
      </c>
      <c r="AA813">
        <f>LTP3!$D$7-X813*LTP3!$D$6-Y813*U813-Z813*V813</f>
        <v/>
      </c>
      <c r="AB813">
        <f>IF(AND(F813,ABS(W813)&gt;1E-12,Y813&gt;0,Z813&gt;0),AA813,1E+300)</f>
        <v/>
      </c>
    </row>
    <row r="814">
      <c r="A814">
        <f>$B$3+$B$5*13</f>
        <v/>
      </c>
      <c r="B814">
        <f>$B$3+$B$5*9</f>
        <v/>
      </c>
      <c r="C814">
        <f>SUMPRODUCT(Calc!$K$3:$K$22*(Calc!$G$3:$G$22&lt;=A814))</f>
        <v/>
      </c>
      <c r="D814">
        <f>SUMPRODUCT(Calc!$K$3:$K$22*(Calc!$G$3:$G$22&gt;A814)*(Calc!$G$3:$G$22&lt;B814))</f>
        <v/>
      </c>
      <c r="E814">
        <f>SUMPRODUCT(Calc!$K$3:$K$22*(Calc!$G$3:$G$22&gt;=B814))</f>
        <v/>
      </c>
      <c r="F814">
        <f>AND(k_n&gt;=5,B814&gt;A814+1E-9,C814&gt;=2,D814&gt;=1,E814&gt;=2)</f>
        <v/>
      </c>
      <c r="G814">
        <f>SUMPRODUCT(Calc!$K$3:$K$22*(Calc!$G$3:$G$22&gt;A814)*(Calc!$G$3:$G$22-A814))</f>
        <v/>
      </c>
      <c r="H814">
        <f>SUMPRODUCT(Calc!$K$3:$K$22*(Calc!$G$3:$G$22&gt;B814)*(Calc!$G$3:$G$22-B814))</f>
        <v/>
      </c>
      <c r="I814">
        <f>SUMPRODUCT(Calc!$K$3:$K$22*(Calc!$G$3:$G$22&gt;A814)*(Calc!$G$3:$G$22-A814)^2)</f>
        <v/>
      </c>
      <c r="J814">
        <f>SUMPRODUCT(Calc!$K$3:$K$22*(Calc!$G$3:$G$22&gt;B814)*(Calc!$G$3:$G$22-B814)^2)</f>
        <v/>
      </c>
      <c r="K814">
        <f>SUMPRODUCT(Calc!$K$3:$K$22*(Calc!$G$3:$G$22&gt;A814)*(Calc!$G$3:$G$22-A814)*(Calc!$G$3:$G$22&gt;B814)*(Calc!$G$3:$G$22-B814))</f>
        <v/>
      </c>
      <c r="L814">
        <f>SUMPRODUCT(Calc!$K$3:$K$22*(Calc!$G$3:$G$22&gt;A814)*(Calc!$G$3:$G$22-A814)*Calc!$G$3:$G$22)</f>
        <v/>
      </c>
      <c r="M814">
        <f>SUMPRODUCT(Calc!$K$3:$K$22*(Calc!$G$3:$G$22&gt;B814)*(Calc!$G$3:$G$22-B814)*Calc!$G$3:$G$22)</f>
        <v/>
      </c>
      <c r="N814">
        <f>SUMPRODUCT(Calc!$K$3:$K$22*(Calc!$G$3:$G$22&gt;A814)*(Calc!$G$3:$G$22-A814)*Calc!$I$3:$I$22)</f>
        <v/>
      </c>
      <c r="O814">
        <f>SUMPRODUCT(Calc!$K$3:$K$22*(Calc!$G$3:$G$22&gt;B814)*(Calc!$G$3:$G$22-B814)*Calc!$I$3:$I$22)</f>
        <v/>
      </c>
      <c r="P814">
        <f>I814-G814^2/k_n</f>
        <v/>
      </c>
      <c r="Q814">
        <f>J814-H814^2/k_n</f>
        <v/>
      </c>
      <c r="R814">
        <f>K814-G814*H814/k_n</f>
        <v/>
      </c>
      <c r="S814">
        <f>L814-LTP3!$D$3*G814/k_n</f>
        <v/>
      </c>
      <c r="T814">
        <f>M814-LTP3!$D$3*H814/k_n</f>
        <v/>
      </c>
      <c r="U814">
        <f>N814-G814*LTP3!$D$4/k_n</f>
        <v/>
      </c>
      <c r="V814">
        <f>O814-H814*LTP3!$D$4/k_n</f>
        <v/>
      </c>
      <c r="W814">
        <f>((LTP3!$D$5)*((P814)*(Q814)-(R814)*(R814))-(S814)*((S814)*(Q814)-(R814)*(T814))+(T814)*((S814)*(R814)-(P814)*(T814)))</f>
        <v/>
      </c>
      <c r="X814">
        <f>IF(ABS(W814)&gt;1E-12,((LTP3!$D$6)*((P814)*(Q814)-(R814)*(R814))-(S814)*((U814)*(Q814)-(R814)*(V814))+(T814)*((U814)*(R814)-(P814)*(V814)))/W814,0)</f>
        <v/>
      </c>
      <c r="Y814">
        <f>IF(ABS(W814)&gt;1E-12,((LTP3!$D$5)*((U814)*(Q814)-(R814)*(V814))-(LTP3!$D$6)*((S814)*(Q814)-(R814)*(T814))+(T814)*((S814)*(V814)-(U814)*(T814)))/W814,0)</f>
        <v/>
      </c>
      <c r="Z814">
        <f>IF(ABS(W814)&gt;1E-12,((LTP3!$D$5)*((P814)*(V814)-(U814)*(R814))-(S814)*((S814)*(V814)-(U814)*(T814))+(LTP3!$D$6)*((S814)*(R814)-(P814)*(T814)))/W814,0)</f>
        <v/>
      </c>
      <c r="AA814">
        <f>LTP3!$D$7-X814*LTP3!$D$6-Y814*U814-Z814*V814</f>
        <v/>
      </c>
      <c r="AB814">
        <f>IF(AND(F814,ABS(W814)&gt;1E-12,Y814&gt;0,Z814&gt;0),AA814,1E+300)</f>
        <v/>
      </c>
    </row>
    <row r="815">
      <c r="A815">
        <f>$B$3+$B$5*13</f>
        <v/>
      </c>
      <c r="B815">
        <f>$B$3+$B$5*10</f>
        <v/>
      </c>
      <c r="C815">
        <f>SUMPRODUCT(Calc!$K$3:$K$22*(Calc!$G$3:$G$22&lt;=A815))</f>
        <v/>
      </c>
      <c r="D815">
        <f>SUMPRODUCT(Calc!$K$3:$K$22*(Calc!$G$3:$G$22&gt;A815)*(Calc!$G$3:$G$22&lt;B815))</f>
        <v/>
      </c>
      <c r="E815">
        <f>SUMPRODUCT(Calc!$K$3:$K$22*(Calc!$G$3:$G$22&gt;=B815))</f>
        <v/>
      </c>
      <c r="F815">
        <f>AND(k_n&gt;=5,B815&gt;A815+1E-9,C815&gt;=2,D815&gt;=1,E815&gt;=2)</f>
        <v/>
      </c>
      <c r="G815">
        <f>SUMPRODUCT(Calc!$K$3:$K$22*(Calc!$G$3:$G$22&gt;A815)*(Calc!$G$3:$G$22-A815))</f>
        <v/>
      </c>
      <c r="H815">
        <f>SUMPRODUCT(Calc!$K$3:$K$22*(Calc!$G$3:$G$22&gt;B815)*(Calc!$G$3:$G$22-B815))</f>
        <v/>
      </c>
      <c r="I815">
        <f>SUMPRODUCT(Calc!$K$3:$K$22*(Calc!$G$3:$G$22&gt;A815)*(Calc!$G$3:$G$22-A815)^2)</f>
        <v/>
      </c>
      <c r="J815">
        <f>SUMPRODUCT(Calc!$K$3:$K$22*(Calc!$G$3:$G$22&gt;B815)*(Calc!$G$3:$G$22-B815)^2)</f>
        <v/>
      </c>
      <c r="K815">
        <f>SUMPRODUCT(Calc!$K$3:$K$22*(Calc!$G$3:$G$22&gt;A815)*(Calc!$G$3:$G$22-A815)*(Calc!$G$3:$G$22&gt;B815)*(Calc!$G$3:$G$22-B815))</f>
        <v/>
      </c>
      <c r="L815">
        <f>SUMPRODUCT(Calc!$K$3:$K$22*(Calc!$G$3:$G$22&gt;A815)*(Calc!$G$3:$G$22-A815)*Calc!$G$3:$G$22)</f>
        <v/>
      </c>
      <c r="M815">
        <f>SUMPRODUCT(Calc!$K$3:$K$22*(Calc!$G$3:$G$22&gt;B815)*(Calc!$G$3:$G$22-B815)*Calc!$G$3:$G$22)</f>
        <v/>
      </c>
      <c r="N815">
        <f>SUMPRODUCT(Calc!$K$3:$K$22*(Calc!$G$3:$G$22&gt;A815)*(Calc!$G$3:$G$22-A815)*Calc!$I$3:$I$22)</f>
        <v/>
      </c>
      <c r="O815">
        <f>SUMPRODUCT(Calc!$K$3:$K$22*(Calc!$G$3:$G$22&gt;B815)*(Calc!$G$3:$G$22-B815)*Calc!$I$3:$I$22)</f>
        <v/>
      </c>
      <c r="P815">
        <f>I815-G815^2/k_n</f>
        <v/>
      </c>
      <c r="Q815">
        <f>J815-H815^2/k_n</f>
        <v/>
      </c>
      <c r="R815">
        <f>K815-G815*H815/k_n</f>
        <v/>
      </c>
      <c r="S815">
        <f>L815-LTP3!$D$3*G815/k_n</f>
        <v/>
      </c>
      <c r="T815">
        <f>M815-LTP3!$D$3*H815/k_n</f>
        <v/>
      </c>
      <c r="U815">
        <f>N815-G815*LTP3!$D$4/k_n</f>
        <v/>
      </c>
      <c r="V815">
        <f>O815-H815*LTP3!$D$4/k_n</f>
        <v/>
      </c>
      <c r="W815">
        <f>((LTP3!$D$5)*((P815)*(Q815)-(R815)*(R815))-(S815)*((S815)*(Q815)-(R815)*(T815))+(T815)*((S815)*(R815)-(P815)*(T815)))</f>
        <v/>
      </c>
      <c r="X815">
        <f>IF(ABS(W815)&gt;1E-12,((LTP3!$D$6)*((P815)*(Q815)-(R815)*(R815))-(S815)*((U815)*(Q815)-(R815)*(V815))+(T815)*((U815)*(R815)-(P815)*(V815)))/W815,0)</f>
        <v/>
      </c>
      <c r="Y815">
        <f>IF(ABS(W815)&gt;1E-12,((LTP3!$D$5)*((U815)*(Q815)-(R815)*(V815))-(LTP3!$D$6)*((S815)*(Q815)-(R815)*(T815))+(T815)*((S815)*(V815)-(U815)*(T815)))/W815,0)</f>
        <v/>
      </c>
      <c r="Z815">
        <f>IF(ABS(W815)&gt;1E-12,((LTP3!$D$5)*((P815)*(V815)-(U815)*(R815))-(S815)*((S815)*(V815)-(U815)*(T815))+(LTP3!$D$6)*((S815)*(R815)-(P815)*(T815)))/W815,0)</f>
        <v/>
      </c>
      <c r="AA815">
        <f>LTP3!$D$7-X815*LTP3!$D$6-Y815*U815-Z815*V815</f>
        <v/>
      </c>
      <c r="AB815">
        <f>IF(AND(F815,ABS(W815)&gt;1E-12,Y815&gt;0,Z815&gt;0),AA815,1E+300)</f>
        <v/>
      </c>
    </row>
    <row r="816">
      <c r="A816">
        <f>$B$3+$B$5*13</f>
        <v/>
      </c>
      <c r="B816">
        <f>$B$3+$B$5*11</f>
        <v/>
      </c>
      <c r="C816">
        <f>SUMPRODUCT(Calc!$K$3:$K$22*(Calc!$G$3:$G$22&lt;=A816))</f>
        <v/>
      </c>
      <c r="D816">
        <f>SUMPRODUCT(Calc!$K$3:$K$22*(Calc!$G$3:$G$22&gt;A816)*(Calc!$G$3:$G$22&lt;B816))</f>
        <v/>
      </c>
      <c r="E816">
        <f>SUMPRODUCT(Calc!$K$3:$K$22*(Calc!$G$3:$G$22&gt;=B816))</f>
        <v/>
      </c>
      <c r="F816">
        <f>AND(k_n&gt;=5,B816&gt;A816+1E-9,C816&gt;=2,D816&gt;=1,E816&gt;=2)</f>
        <v/>
      </c>
      <c r="G816">
        <f>SUMPRODUCT(Calc!$K$3:$K$22*(Calc!$G$3:$G$22&gt;A816)*(Calc!$G$3:$G$22-A816))</f>
        <v/>
      </c>
      <c r="H816">
        <f>SUMPRODUCT(Calc!$K$3:$K$22*(Calc!$G$3:$G$22&gt;B816)*(Calc!$G$3:$G$22-B816))</f>
        <v/>
      </c>
      <c r="I816">
        <f>SUMPRODUCT(Calc!$K$3:$K$22*(Calc!$G$3:$G$22&gt;A816)*(Calc!$G$3:$G$22-A816)^2)</f>
        <v/>
      </c>
      <c r="J816">
        <f>SUMPRODUCT(Calc!$K$3:$K$22*(Calc!$G$3:$G$22&gt;B816)*(Calc!$G$3:$G$22-B816)^2)</f>
        <v/>
      </c>
      <c r="K816">
        <f>SUMPRODUCT(Calc!$K$3:$K$22*(Calc!$G$3:$G$22&gt;A816)*(Calc!$G$3:$G$22-A816)*(Calc!$G$3:$G$22&gt;B816)*(Calc!$G$3:$G$22-B816))</f>
        <v/>
      </c>
      <c r="L816">
        <f>SUMPRODUCT(Calc!$K$3:$K$22*(Calc!$G$3:$G$22&gt;A816)*(Calc!$G$3:$G$22-A816)*Calc!$G$3:$G$22)</f>
        <v/>
      </c>
      <c r="M816">
        <f>SUMPRODUCT(Calc!$K$3:$K$22*(Calc!$G$3:$G$22&gt;B816)*(Calc!$G$3:$G$22-B816)*Calc!$G$3:$G$22)</f>
        <v/>
      </c>
      <c r="N816">
        <f>SUMPRODUCT(Calc!$K$3:$K$22*(Calc!$G$3:$G$22&gt;A816)*(Calc!$G$3:$G$22-A816)*Calc!$I$3:$I$22)</f>
        <v/>
      </c>
      <c r="O816">
        <f>SUMPRODUCT(Calc!$K$3:$K$22*(Calc!$G$3:$G$22&gt;B816)*(Calc!$G$3:$G$22-B816)*Calc!$I$3:$I$22)</f>
        <v/>
      </c>
      <c r="P816">
        <f>I816-G816^2/k_n</f>
        <v/>
      </c>
      <c r="Q816">
        <f>J816-H816^2/k_n</f>
        <v/>
      </c>
      <c r="R816">
        <f>K816-G816*H816/k_n</f>
        <v/>
      </c>
      <c r="S816">
        <f>L816-LTP3!$D$3*G816/k_n</f>
        <v/>
      </c>
      <c r="T816">
        <f>M816-LTP3!$D$3*H816/k_n</f>
        <v/>
      </c>
      <c r="U816">
        <f>N816-G816*LTP3!$D$4/k_n</f>
        <v/>
      </c>
      <c r="V816">
        <f>O816-H816*LTP3!$D$4/k_n</f>
        <v/>
      </c>
      <c r="W816">
        <f>((LTP3!$D$5)*((P816)*(Q816)-(R816)*(R816))-(S816)*((S816)*(Q816)-(R816)*(T816))+(T816)*((S816)*(R816)-(P816)*(T816)))</f>
        <v/>
      </c>
      <c r="X816">
        <f>IF(ABS(W816)&gt;1E-12,((LTP3!$D$6)*((P816)*(Q816)-(R816)*(R816))-(S816)*((U816)*(Q816)-(R816)*(V816))+(T816)*((U816)*(R816)-(P816)*(V816)))/W816,0)</f>
        <v/>
      </c>
      <c r="Y816">
        <f>IF(ABS(W816)&gt;1E-12,((LTP3!$D$5)*((U816)*(Q816)-(R816)*(V816))-(LTP3!$D$6)*((S816)*(Q816)-(R816)*(T816))+(T816)*((S816)*(V816)-(U816)*(T816)))/W816,0)</f>
        <v/>
      </c>
      <c r="Z816">
        <f>IF(ABS(W816)&gt;1E-12,((LTP3!$D$5)*((P816)*(V816)-(U816)*(R816))-(S816)*((S816)*(V816)-(U816)*(T816))+(LTP3!$D$6)*((S816)*(R816)-(P816)*(T816)))/W816,0)</f>
        <v/>
      </c>
      <c r="AA816">
        <f>LTP3!$D$7-X816*LTP3!$D$6-Y816*U816-Z816*V816</f>
        <v/>
      </c>
      <c r="AB816">
        <f>IF(AND(F816,ABS(W816)&gt;1E-12,Y816&gt;0,Z816&gt;0),AA816,1E+300)</f>
        <v/>
      </c>
    </row>
    <row r="817">
      <c r="A817">
        <f>$B$3+$B$5*13</f>
        <v/>
      </c>
      <c r="B817">
        <f>$B$3+$B$5*12</f>
        <v/>
      </c>
      <c r="C817">
        <f>SUMPRODUCT(Calc!$K$3:$K$22*(Calc!$G$3:$G$22&lt;=A817))</f>
        <v/>
      </c>
      <c r="D817">
        <f>SUMPRODUCT(Calc!$K$3:$K$22*(Calc!$G$3:$G$22&gt;A817)*(Calc!$G$3:$G$22&lt;B817))</f>
        <v/>
      </c>
      <c r="E817">
        <f>SUMPRODUCT(Calc!$K$3:$K$22*(Calc!$G$3:$G$22&gt;=B817))</f>
        <v/>
      </c>
      <c r="F817">
        <f>AND(k_n&gt;=5,B817&gt;A817+1E-9,C817&gt;=2,D817&gt;=1,E817&gt;=2)</f>
        <v/>
      </c>
      <c r="G817">
        <f>SUMPRODUCT(Calc!$K$3:$K$22*(Calc!$G$3:$G$22&gt;A817)*(Calc!$G$3:$G$22-A817))</f>
        <v/>
      </c>
      <c r="H817">
        <f>SUMPRODUCT(Calc!$K$3:$K$22*(Calc!$G$3:$G$22&gt;B817)*(Calc!$G$3:$G$22-B817))</f>
        <v/>
      </c>
      <c r="I817">
        <f>SUMPRODUCT(Calc!$K$3:$K$22*(Calc!$G$3:$G$22&gt;A817)*(Calc!$G$3:$G$22-A817)^2)</f>
        <v/>
      </c>
      <c r="J817">
        <f>SUMPRODUCT(Calc!$K$3:$K$22*(Calc!$G$3:$G$22&gt;B817)*(Calc!$G$3:$G$22-B817)^2)</f>
        <v/>
      </c>
      <c r="K817">
        <f>SUMPRODUCT(Calc!$K$3:$K$22*(Calc!$G$3:$G$22&gt;A817)*(Calc!$G$3:$G$22-A817)*(Calc!$G$3:$G$22&gt;B817)*(Calc!$G$3:$G$22-B817))</f>
        <v/>
      </c>
      <c r="L817">
        <f>SUMPRODUCT(Calc!$K$3:$K$22*(Calc!$G$3:$G$22&gt;A817)*(Calc!$G$3:$G$22-A817)*Calc!$G$3:$G$22)</f>
        <v/>
      </c>
      <c r="M817">
        <f>SUMPRODUCT(Calc!$K$3:$K$22*(Calc!$G$3:$G$22&gt;B817)*(Calc!$G$3:$G$22-B817)*Calc!$G$3:$G$22)</f>
        <v/>
      </c>
      <c r="N817">
        <f>SUMPRODUCT(Calc!$K$3:$K$22*(Calc!$G$3:$G$22&gt;A817)*(Calc!$G$3:$G$22-A817)*Calc!$I$3:$I$22)</f>
        <v/>
      </c>
      <c r="O817">
        <f>SUMPRODUCT(Calc!$K$3:$K$22*(Calc!$G$3:$G$22&gt;B817)*(Calc!$G$3:$G$22-B817)*Calc!$I$3:$I$22)</f>
        <v/>
      </c>
      <c r="P817">
        <f>I817-G817^2/k_n</f>
        <v/>
      </c>
      <c r="Q817">
        <f>J817-H817^2/k_n</f>
        <v/>
      </c>
      <c r="R817">
        <f>K817-G817*H817/k_n</f>
        <v/>
      </c>
      <c r="S817">
        <f>L817-LTP3!$D$3*G817/k_n</f>
        <v/>
      </c>
      <c r="T817">
        <f>M817-LTP3!$D$3*H817/k_n</f>
        <v/>
      </c>
      <c r="U817">
        <f>N817-G817*LTP3!$D$4/k_n</f>
        <v/>
      </c>
      <c r="V817">
        <f>O817-H817*LTP3!$D$4/k_n</f>
        <v/>
      </c>
      <c r="W817">
        <f>((LTP3!$D$5)*((P817)*(Q817)-(R817)*(R817))-(S817)*((S817)*(Q817)-(R817)*(T817))+(T817)*((S817)*(R817)-(P817)*(T817)))</f>
        <v/>
      </c>
      <c r="X817">
        <f>IF(ABS(W817)&gt;1E-12,((LTP3!$D$6)*((P817)*(Q817)-(R817)*(R817))-(S817)*((U817)*(Q817)-(R817)*(V817))+(T817)*((U817)*(R817)-(P817)*(V817)))/W817,0)</f>
        <v/>
      </c>
      <c r="Y817">
        <f>IF(ABS(W817)&gt;1E-12,((LTP3!$D$5)*((U817)*(Q817)-(R817)*(V817))-(LTP3!$D$6)*((S817)*(Q817)-(R817)*(T817))+(T817)*((S817)*(V817)-(U817)*(T817)))/W817,0)</f>
        <v/>
      </c>
      <c r="Z817">
        <f>IF(ABS(W817)&gt;1E-12,((LTP3!$D$5)*((P817)*(V817)-(U817)*(R817))-(S817)*((S817)*(V817)-(U817)*(T817))+(LTP3!$D$6)*((S817)*(R817)-(P817)*(T817)))/W817,0)</f>
        <v/>
      </c>
      <c r="AA817">
        <f>LTP3!$D$7-X817*LTP3!$D$6-Y817*U817-Z817*V817</f>
        <v/>
      </c>
      <c r="AB817">
        <f>IF(AND(F817,ABS(W817)&gt;1E-12,Y817&gt;0,Z817&gt;0),AA817,1E+300)</f>
        <v/>
      </c>
    </row>
    <row r="818">
      <c r="A818">
        <f>$B$3+$B$5*13</f>
        <v/>
      </c>
      <c r="B818">
        <f>$B$3+$B$5*13</f>
        <v/>
      </c>
      <c r="C818">
        <f>SUMPRODUCT(Calc!$K$3:$K$22*(Calc!$G$3:$G$22&lt;=A818))</f>
        <v/>
      </c>
      <c r="D818">
        <f>SUMPRODUCT(Calc!$K$3:$K$22*(Calc!$G$3:$G$22&gt;A818)*(Calc!$G$3:$G$22&lt;B818))</f>
        <v/>
      </c>
      <c r="E818">
        <f>SUMPRODUCT(Calc!$K$3:$K$22*(Calc!$G$3:$G$22&gt;=B818))</f>
        <v/>
      </c>
      <c r="F818">
        <f>AND(k_n&gt;=5,B818&gt;A818+1E-9,C818&gt;=2,D818&gt;=1,E818&gt;=2)</f>
        <v/>
      </c>
      <c r="G818">
        <f>SUMPRODUCT(Calc!$K$3:$K$22*(Calc!$G$3:$G$22&gt;A818)*(Calc!$G$3:$G$22-A818))</f>
        <v/>
      </c>
      <c r="H818">
        <f>SUMPRODUCT(Calc!$K$3:$K$22*(Calc!$G$3:$G$22&gt;B818)*(Calc!$G$3:$G$22-B818))</f>
        <v/>
      </c>
      <c r="I818">
        <f>SUMPRODUCT(Calc!$K$3:$K$22*(Calc!$G$3:$G$22&gt;A818)*(Calc!$G$3:$G$22-A818)^2)</f>
        <v/>
      </c>
      <c r="J818">
        <f>SUMPRODUCT(Calc!$K$3:$K$22*(Calc!$G$3:$G$22&gt;B818)*(Calc!$G$3:$G$22-B818)^2)</f>
        <v/>
      </c>
      <c r="K818">
        <f>SUMPRODUCT(Calc!$K$3:$K$22*(Calc!$G$3:$G$22&gt;A818)*(Calc!$G$3:$G$22-A818)*(Calc!$G$3:$G$22&gt;B818)*(Calc!$G$3:$G$22-B818))</f>
        <v/>
      </c>
      <c r="L818">
        <f>SUMPRODUCT(Calc!$K$3:$K$22*(Calc!$G$3:$G$22&gt;A818)*(Calc!$G$3:$G$22-A818)*Calc!$G$3:$G$22)</f>
        <v/>
      </c>
      <c r="M818">
        <f>SUMPRODUCT(Calc!$K$3:$K$22*(Calc!$G$3:$G$22&gt;B818)*(Calc!$G$3:$G$22-B818)*Calc!$G$3:$G$22)</f>
        <v/>
      </c>
      <c r="N818">
        <f>SUMPRODUCT(Calc!$K$3:$K$22*(Calc!$G$3:$G$22&gt;A818)*(Calc!$G$3:$G$22-A818)*Calc!$I$3:$I$22)</f>
        <v/>
      </c>
      <c r="O818">
        <f>SUMPRODUCT(Calc!$K$3:$K$22*(Calc!$G$3:$G$22&gt;B818)*(Calc!$G$3:$G$22-B818)*Calc!$I$3:$I$22)</f>
        <v/>
      </c>
      <c r="P818">
        <f>I818-G818^2/k_n</f>
        <v/>
      </c>
      <c r="Q818">
        <f>J818-H818^2/k_n</f>
        <v/>
      </c>
      <c r="R818">
        <f>K818-G818*H818/k_n</f>
        <v/>
      </c>
      <c r="S818">
        <f>L818-LTP3!$D$3*G818/k_n</f>
        <v/>
      </c>
      <c r="T818">
        <f>M818-LTP3!$D$3*H818/k_n</f>
        <v/>
      </c>
      <c r="U818">
        <f>N818-G818*LTP3!$D$4/k_n</f>
        <v/>
      </c>
      <c r="V818">
        <f>O818-H818*LTP3!$D$4/k_n</f>
        <v/>
      </c>
      <c r="W818">
        <f>((LTP3!$D$5)*((P818)*(Q818)-(R818)*(R818))-(S818)*((S818)*(Q818)-(R818)*(T818))+(T818)*((S818)*(R818)-(P818)*(T818)))</f>
        <v/>
      </c>
      <c r="X818">
        <f>IF(ABS(W818)&gt;1E-12,((LTP3!$D$6)*((P818)*(Q818)-(R818)*(R818))-(S818)*((U818)*(Q818)-(R818)*(V818))+(T818)*((U818)*(R818)-(P818)*(V818)))/W818,0)</f>
        <v/>
      </c>
      <c r="Y818">
        <f>IF(ABS(W818)&gt;1E-12,((LTP3!$D$5)*((U818)*(Q818)-(R818)*(V818))-(LTP3!$D$6)*((S818)*(Q818)-(R818)*(T818))+(T818)*((S818)*(V818)-(U818)*(T818)))/W818,0)</f>
        <v/>
      </c>
      <c r="Z818">
        <f>IF(ABS(W818)&gt;1E-12,((LTP3!$D$5)*((P818)*(V818)-(U818)*(R818))-(S818)*((S818)*(V818)-(U818)*(T818))+(LTP3!$D$6)*((S818)*(R818)-(P818)*(T818)))/W818,0)</f>
        <v/>
      </c>
      <c r="AA818">
        <f>LTP3!$D$7-X818*LTP3!$D$6-Y818*U818-Z818*V818</f>
        <v/>
      </c>
      <c r="AB818">
        <f>IF(AND(F818,ABS(W818)&gt;1E-12,Y818&gt;0,Z818&gt;0),AA818,1E+300)</f>
        <v/>
      </c>
    </row>
    <row r="819">
      <c r="A819">
        <f>$B$3+$B$5*13</f>
        <v/>
      </c>
      <c r="B819">
        <f>$B$3+$B$5*14</f>
        <v/>
      </c>
      <c r="C819">
        <f>SUMPRODUCT(Calc!$K$3:$K$22*(Calc!$G$3:$G$22&lt;=A819))</f>
        <v/>
      </c>
      <c r="D819">
        <f>SUMPRODUCT(Calc!$K$3:$K$22*(Calc!$G$3:$G$22&gt;A819)*(Calc!$G$3:$G$22&lt;B819))</f>
        <v/>
      </c>
      <c r="E819">
        <f>SUMPRODUCT(Calc!$K$3:$K$22*(Calc!$G$3:$G$22&gt;=B819))</f>
        <v/>
      </c>
      <c r="F819">
        <f>AND(k_n&gt;=5,B819&gt;A819+1E-9,C819&gt;=2,D819&gt;=1,E819&gt;=2)</f>
        <v/>
      </c>
      <c r="G819">
        <f>SUMPRODUCT(Calc!$K$3:$K$22*(Calc!$G$3:$G$22&gt;A819)*(Calc!$G$3:$G$22-A819))</f>
        <v/>
      </c>
      <c r="H819">
        <f>SUMPRODUCT(Calc!$K$3:$K$22*(Calc!$G$3:$G$22&gt;B819)*(Calc!$G$3:$G$22-B819))</f>
        <v/>
      </c>
      <c r="I819">
        <f>SUMPRODUCT(Calc!$K$3:$K$22*(Calc!$G$3:$G$22&gt;A819)*(Calc!$G$3:$G$22-A819)^2)</f>
        <v/>
      </c>
      <c r="J819">
        <f>SUMPRODUCT(Calc!$K$3:$K$22*(Calc!$G$3:$G$22&gt;B819)*(Calc!$G$3:$G$22-B819)^2)</f>
        <v/>
      </c>
      <c r="K819">
        <f>SUMPRODUCT(Calc!$K$3:$K$22*(Calc!$G$3:$G$22&gt;A819)*(Calc!$G$3:$G$22-A819)*(Calc!$G$3:$G$22&gt;B819)*(Calc!$G$3:$G$22-B819))</f>
        <v/>
      </c>
      <c r="L819">
        <f>SUMPRODUCT(Calc!$K$3:$K$22*(Calc!$G$3:$G$22&gt;A819)*(Calc!$G$3:$G$22-A819)*Calc!$G$3:$G$22)</f>
        <v/>
      </c>
      <c r="M819">
        <f>SUMPRODUCT(Calc!$K$3:$K$22*(Calc!$G$3:$G$22&gt;B819)*(Calc!$G$3:$G$22-B819)*Calc!$G$3:$G$22)</f>
        <v/>
      </c>
      <c r="N819">
        <f>SUMPRODUCT(Calc!$K$3:$K$22*(Calc!$G$3:$G$22&gt;A819)*(Calc!$G$3:$G$22-A819)*Calc!$I$3:$I$22)</f>
        <v/>
      </c>
      <c r="O819">
        <f>SUMPRODUCT(Calc!$K$3:$K$22*(Calc!$G$3:$G$22&gt;B819)*(Calc!$G$3:$G$22-B819)*Calc!$I$3:$I$22)</f>
        <v/>
      </c>
      <c r="P819">
        <f>I819-G819^2/k_n</f>
        <v/>
      </c>
      <c r="Q819">
        <f>J819-H819^2/k_n</f>
        <v/>
      </c>
      <c r="R819">
        <f>K819-G819*H819/k_n</f>
        <v/>
      </c>
      <c r="S819">
        <f>L819-LTP3!$D$3*G819/k_n</f>
        <v/>
      </c>
      <c r="T819">
        <f>M819-LTP3!$D$3*H819/k_n</f>
        <v/>
      </c>
      <c r="U819">
        <f>N819-G819*LTP3!$D$4/k_n</f>
        <v/>
      </c>
      <c r="V819">
        <f>O819-H819*LTP3!$D$4/k_n</f>
        <v/>
      </c>
      <c r="W819">
        <f>((LTP3!$D$5)*((P819)*(Q819)-(R819)*(R819))-(S819)*((S819)*(Q819)-(R819)*(T819))+(T819)*((S819)*(R819)-(P819)*(T819)))</f>
        <v/>
      </c>
      <c r="X819">
        <f>IF(ABS(W819)&gt;1E-12,((LTP3!$D$6)*((P819)*(Q819)-(R819)*(R819))-(S819)*((U819)*(Q819)-(R819)*(V819))+(T819)*((U819)*(R819)-(P819)*(V819)))/W819,0)</f>
        <v/>
      </c>
      <c r="Y819">
        <f>IF(ABS(W819)&gt;1E-12,((LTP3!$D$5)*((U819)*(Q819)-(R819)*(V819))-(LTP3!$D$6)*((S819)*(Q819)-(R819)*(T819))+(T819)*((S819)*(V819)-(U819)*(T819)))/W819,0)</f>
        <v/>
      </c>
      <c r="Z819">
        <f>IF(ABS(W819)&gt;1E-12,((LTP3!$D$5)*((P819)*(V819)-(U819)*(R819))-(S819)*((S819)*(V819)-(U819)*(T819))+(LTP3!$D$6)*((S819)*(R819)-(P819)*(T819)))/W819,0)</f>
        <v/>
      </c>
      <c r="AA819">
        <f>LTP3!$D$7-X819*LTP3!$D$6-Y819*U819-Z819*V819</f>
        <v/>
      </c>
      <c r="AB819">
        <f>IF(AND(F819,ABS(W819)&gt;1E-12,Y819&gt;0,Z819&gt;0),AA819,1E+300)</f>
        <v/>
      </c>
    </row>
    <row r="820">
      <c r="A820">
        <f>$B$3+$B$5*13</f>
        <v/>
      </c>
      <c r="B820">
        <f>$B$3+$B$5*15</f>
        <v/>
      </c>
      <c r="C820">
        <f>SUMPRODUCT(Calc!$K$3:$K$22*(Calc!$G$3:$G$22&lt;=A820))</f>
        <v/>
      </c>
      <c r="D820">
        <f>SUMPRODUCT(Calc!$K$3:$K$22*(Calc!$G$3:$G$22&gt;A820)*(Calc!$G$3:$G$22&lt;B820))</f>
        <v/>
      </c>
      <c r="E820">
        <f>SUMPRODUCT(Calc!$K$3:$K$22*(Calc!$G$3:$G$22&gt;=B820))</f>
        <v/>
      </c>
      <c r="F820">
        <f>AND(k_n&gt;=5,B820&gt;A820+1E-9,C820&gt;=2,D820&gt;=1,E820&gt;=2)</f>
        <v/>
      </c>
      <c r="G820">
        <f>SUMPRODUCT(Calc!$K$3:$K$22*(Calc!$G$3:$G$22&gt;A820)*(Calc!$G$3:$G$22-A820))</f>
        <v/>
      </c>
      <c r="H820">
        <f>SUMPRODUCT(Calc!$K$3:$K$22*(Calc!$G$3:$G$22&gt;B820)*(Calc!$G$3:$G$22-B820))</f>
        <v/>
      </c>
      <c r="I820">
        <f>SUMPRODUCT(Calc!$K$3:$K$22*(Calc!$G$3:$G$22&gt;A820)*(Calc!$G$3:$G$22-A820)^2)</f>
        <v/>
      </c>
      <c r="J820">
        <f>SUMPRODUCT(Calc!$K$3:$K$22*(Calc!$G$3:$G$22&gt;B820)*(Calc!$G$3:$G$22-B820)^2)</f>
        <v/>
      </c>
      <c r="K820">
        <f>SUMPRODUCT(Calc!$K$3:$K$22*(Calc!$G$3:$G$22&gt;A820)*(Calc!$G$3:$G$22-A820)*(Calc!$G$3:$G$22&gt;B820)*(Calc!$G$3:$G$22-B820))</f>
        <v/>
      </c>
      <c r="L820">
        <f>SUMPRODUCT(Calc!$K$3:$K$22*(Calc!$G$3:$G$22&gt;A820)*(Calc!$G$3:$G$22-A820)*Calc!$G$3:$G$22)</f>
        <v/>
      </c>
      <c r="M820">
        <f>SUMPRODUCT(Calc!$K$3:$K$22*(Calc!$G$3:$G$22&gt;B820)*(Calc!$G$3:$G$22-B820)*Calc!$G$3:$G$22)</f>
        <v/>
      </c>
      <c r="N820">
        <f>SUMPRODUCT(Calc!$K$3:$K$22*(Calc!$G$3:$G$22&gt;A820)*(Calc!$G$3:$G$22-A820)*Calc!$I$3:$I$22)</f>
        <v/>
      </c>
      <c r="O820">
        <f>SUMPRODUCT(Calc!$K$3:$K$22*(Calc!$G$3:$G$22&gt;B820)*(Calc!$G$3:$G$22-B820)*Calc!$I$3:$I$22)</f>
        <v/>
      </c>
      <c r="P820">
        <f>I820-G820^2/k_n</f>
        <v/>
      </c>
      <c r="Q820">
        <f>J820-H820^2/k_n</f>
        <v/>
      </c>
      <c r="R820">
        <f>K820-G820*H820/k_n</f>
        <v/>
      </c>
      <c r="S820">
        <f>L820-LTP3!$D$3*G820/k_n</f>
        <v/>
      </c>
      <c r="T820">
        <f>M820-LTP3!$D$3*H820/k_n</f>
        <v/>
      </c>
      <c r="U820">
        <f>N820-G820*LTP3!$D$4/k_n</f>
        <v/>
      </c>
      <c r="V820">
        <f>O820-H820*LTP3!$D$4/k_n</f>
        <v/>
      </c>
      <c r="W820">
        <f>((LTP3!$D$5)*((P820)*(Q820)-(R820)*(R820))-(S820)*((S820)*(Q820)-(R820)*(T820))+(T820)*((S820)*(R820)-(P820)*(T820)))</f>
        <v/>
      </c>
      <c r="X820">
        <f>IF(ABS(W820)&gt;1E-12,((LTP3!$D$6)*((P820)*(Q820)-(R820)*(R820))-(S820)*((U820)*(Q820)-(R820)*(V820))+(T820)*((U820)*(R820)-(P820)*(V820)))/W820,0)</f>
        <v/>
      </c>
      <c r="Y820">
        <f>IF(ABS(W820)&gt;1E-12,((LTP3!$D$5)*((U820)*(Q820)-(R820)*(V820))-(LTP3!$D$6)*((S820)*(Q820)-(R820)*(T820))+(T820)*((S820)*(V820)-(U820)*(T820)))/W820,0)</f>
        <v/>
      </c>
      <c r="Z820">
        <f>IF(ABS(W820)&gt;1E-12,((LTP3!$D$5)*((P820)*(V820)-(U820)*(R820))-(S820)*((S820)*(V820)-(U820)*(T820))+(LTP3!$D$6)*((S820)*(R820)-(P820)*(T820)))/W820,0)</f>
        <v/>
      </c>
      <c r="AA820">
        <f>LTP3!$D$7-X820*LTP3!$D$6-Y820*U820-Z820*V820</f>
        <v/>
      </c>
      <c r="AB820">
        <f>IF(AND(F820,ABS(W820)&gt;1E-12,Y820&gt;0,Z820&gt;0),AA820,1E+300)</f>
        <v/>
      </c>
    </row>
    <row r="821">
      <c r="A821">
        <f>$B$3+$B$5*13</f>
        <v/>
      </c>
      <c r="B821">
        <f>$B$3+$B$5*16</f>
        <v/>
      </c>
      <c r="C821">
        <f>SUMPRODUCT(Calc!$K$3:$K$22*(Calc!$G$3:$G$22&lt;=A821))</f>
        <v/>
      </c>
      <c r="D821">
        <f>SUMPRODUCT(Calc!$K$3:$K$22*(Calc!$G$3:$G$22&gt;A821)*(Calc!$G$3:$G$22&lt;B821))</f>
        <v/>
      </c>
      <c r="E821">
        <f>SUMPRODUCT(Calc!$K$3:$K$22*(Calc!$G$3:$G$22&gt;=B821))</f>
        <v/>
      </c>
      <c r="F821">
        <f>AND(k_n&gt;=5,B821&gt;A821+1E-9,C821&gt;=2,D821&gt;=1,E821&gt;=2)</f>
        <v/>
      </c>
      <c r="G821">
        <f>SUMPRODUCT(Calc!$K$3:$K$22*(Calc!$G$3:$G$22&gt;A821)*(Calc!$G$3:$G$22-A821))</f>
        <v/>
      </c>
      <c r="H821">
        <f>SUMPRODUCT(Calc!$K$3:$K$22*(Calc!$G$3:$G$22&gt;B821)*(Calc!$G$3:$G$22-B821))</f>
        <v/>
      </c>
      <c r="I821">
        <f>SUMPRODUCT(Calc!$K$3:$K$22*(Calc!$G$3:$G$22&gt;A821)*(Calc!$G$3:$G$22-A821)^2)</f>
        <v/>
      </c>
      <c r="J821">
        <f>SUMPRODUCT(Calc!$K$3:$K$22*(Calc!$G$3:$G$22&gt;B821)*(Calc!$G$3:$G$22-B821)^2)</f>
        <v/>
      </c>
      <c r="K821">
        <f>SUMPRODUCT(Calc!$K$3:$K$22*(Calc!$G$3:$G$22&gt;A821)*(Calc!$G$3:$G$22-A821)*(Calc!$G$3:$G$22&gt;B821)*(Calc!$G$3:$G$22-B821))</f>
        <v/>
      </c>
      <c r="L821">
        <f>SUMPRODUCT(Calc!$K$3:$K$22*(Calc!$G$3:$G$22&gt;A821)*(Calc!$G$3:$G$22-A821)*Calc!$G$3:$G$22)</f>
        <v/>
      </c>
      <c r="M821">
        <f>SUMPRODUCT(Calc!$K$3:$K$22*(Calc!$G$3:$G$22&gt;B821)*(Calc!$G$3:$G$22-B821)*Calc!$G$3:$G$22)</f>
        <v/>
      </c>
      <c r="N821">
        <f>SUMPRODUCT(Calc!$K$3:$K$22*(Calc!$G$3:$G$22&gt;A821)*(Calc!$G$3:$G$22-A821)*Calc!$I$3:$I$22)</f>
        <v/>
      </c>
      <c r="O821">
        <f>SUMPRODUCT(Calc!$K$3:$K$22*(Calc!$G$3:$G$22&gt;B821)*(Calc!$G$3:$G$22-B821)*Calc!$I$3:$I$22)</f>
        <v/>
      </c>
      <c r="P821">
        <f>I821-G821^2/k_n</f>
        <v/>
      </c>
      <c r="Q821">
        <f>J821-H821^2/k_n</f>
        <v/>
      </c>
      <c r="R821">
        <f>K821-G821*H821/k_n</f>
        <v/>
      </c>
      <c r="S821">
        <f>L821-LTP3!$D$3*G821/k_n</f>
        <v/>
      </c>
      <c r="T821">
        <f>M821-LTP3!$D$3*H821/k_n</f>
        <v/>
      </c>
      <c r="U821">
        <f>N821-G821*LTP3!$D$4/k_n</f>
        <v/>
      </c>
      <c r="V821">
        <f>O821-H821*LTP3!$D$4/k_n</f>
        <v/>
      </c>
      <c r="W821">
        <f>((LTP3!$D$5)*((P821)*(Q821)-(R821)*(R821))-(S821)*((S821)*(Q821)-(R821)*(T821))+(T821)*((S821)*(R821)-(P821)*(T821)))</f>
        <v/>
      </c>
      <c r="X821">
        <f>IF(ABS(W821)&gt;1E-12,((LTP3!$D$6)*((P821)*(Q821)-(R821)*(R821))-(S821)*((U821)*(Q821)-(R821)*(V821))+(T821)*((U821)*(R821)-(P821)*(V821)))/W821,0)</f>
        <v/>
      </c>
      <c r="Y821">
        <f>IF(ABS(W821)&gt;1E-12,((LTP3!$D$5)*((U821)*(Q821)-(R821)*(V821))-(LTP3!$D$6)*((S821)*(Q821)-(R821)*(T821))+(T821)*((S821)*(V821)-(U821)*(T821)))/W821,0)</f>
        <v/>
      </c>
      <c r="Z821">
        <f>IF(ABS(W821)&gt;1E-12,((LTP3!$D$5)*((P821)*(V821)-(U821)*(R821))-(S821)*((S821)*(V821)-(U821)*(T821))+(LTP3!$D$6)*((S821)*(R821)-(P821)*(T821)))/W821,0)</f>
        <v/>
      </c>
      <c r="AA821">
        <f>LTP3!$D$7-X821*LTP3!$D$6-Y821*U821-Z821*V821</f>
        <v/>
      </c>
      <c r="AB821">
        <f>IF(AND(F821,ABS(W821)&gt;1E-12,Y821&gt;0,Z821&gt;0),AA821,1E+300)</f>
        <v/>
      </c>
    </row>
    <row r="822">
      <c r="A822">
        <f>$B$3+$B$5*13</f>
        <v/>
      </c>
      <c r="B822">
        <f>$B$3+$B$5*17</f>
        <v/>
      </c>
      <c r="C822">
        <f>SUMPRODUCT(Calc!$K$3:$K$22*(Calc!$G$3:$G$22&lt;=A822))</f>
        <v/>
      </c>
      <c r="D822">
        <f>SUMPRODUCT(Calc!$K$3:$K$22*(Calc!$G$3:$G$22&gt;A822)*(Calc!$G$3:$G$22&lt;B822))</f>
        <v/>
      </c>
      <c r="E822">
        <f>SUMPRODUCT(Calc!$K$3:$K$22*(Calc!$G$3:$G$22&gt;=B822))</f>
        <v/>
      </c>
      <c r="F822">
        <f>AND(k_n&gt;=5,B822&gt;A822+1E-9,C822&gt;=2,D822&gt;=1,E822&gt;=2)</f>
        <v/>
      </c>
      <c r="G822">
        <f>SUMPRODUCT(Calc!$K$3:$K$22*(Calc!$G$3:$G$22&gt;A822)*(Calc!$G$3:$G$22-A822))</f>
        <v/>
      </c>
      <c r="H822">
        <f>SUMPRODUCT(Calc!$K$3:$K$22*(Calc!$G$3:$G$22&gt;B822)*(Calc!$G$3:$G$22-B822))</f>
        <v/>
      </c>
      <c r="I822">
        <f>SUMPRODUCT(Calc!$K$3:$K$22*(Calc!$G$3:$G$22&gt;A822)*(Calc!$G$3:$G$22-A822)^2)</f>
        <v/>
      </c>
      <c r="J822">
        <f>SUMPRODUCT(Calc!$K$3:$K$22*(Calc!$G$3:$G$22&gt;B822)*(Calc!$G$3:$G$22-B822)^2)</f>
        <v/>
      </c>
      <c r="K822">
        <f>SUMPRODUCT(Calc!$K$3:$K$22*(Calc!$G$3:$G$22&gt;A822)*(Calc!$G$3:$G$22-A822)*(Calc!$G$3:$G$22&gt;B822)*(Calc!$G$3:$G$22-B822))</f>
        <v/>
      </c>
      <c r="L822">
        <f>SUMPRODUCT(Calc!$K$3:$K$22*(Calc!$G$3:$G$22&gt;A822)*(Calc!$G$3:$G$22-A822)*Calc!$G$3:$G$22)</f>
        <v/>
      </c>
      <c r="M822">
        <f>SUMPRODUCT(Calc!$K$3:$K$22*(Calc!$G$3:$G$22&gt;B822)*(Calc!$G$3:$G$22-B822)*Calc!$G$3:$G$22)</f>
        <v/>
      </c>
      <c r="N822">
        <f>SUMPRODUCT(Calc!$K$3:$K$22*(Calc!$G$3:$G$22&gt;A822)*(Calc!$G$3:$G$22-A822)*Calc!$I$3:$I$22)</f>
        <v/>
      </c>
      <c r="O822">
        <f>SUMPRODUCT(Calc!$K$3:$K$22*(Calc!$G$3:$G$22&gt;B822)*(Calc!$G$3:$G$22-B822)*Calc!$I$3:$I$22)</f>
        <v/>
      </c>
      <c r="P822">
        <f>I822-G822^2/k_n</f>
        <v/>
      </c>
      <c r="Q822">
        <f>J822-H822^2/k_n</f>
        <v/>
      </c>
      <c r="R822">
        <f>K822-G822*H822/k_n</f>
        <v/>
      </c>
      <c r="S822">
        <f>L822-LTP3!$D$3*G822/k_n</f>
        <v/>
      </c>
      <c r="T822">
        <f>M822-LTP3!$D$3*H822/k_n</f>
        <v/>
      </c>
      <c r="U822">
        <f>N822-G822*LTP3!$D$4/k_n</f>
        <v/>
      </c>
      <c r="V822">
        <f>O822-H822*LTP3!$D$4/k_n</f>
        <v/>
      </c>
      <c r="W822">
        <f>((LTP3!$D$5)*((P822)*(Q822)-(R822)*(R822))-(S822)*((S822)*(Q822)-(R822)*(T822))+(T822)*((S822)*(R822)-(P822)*(T822)))</f>
        <v/>
      </c>
      <c r="X822">
        <f>IF(ABS(W822)&gt;1E-12,((LTP3!$D$6)*((P822)*(Q822)-(R822)*(R822))-(S822)*((U822)*(Q822)-(R822)*(V822))+(T822)*((U822)*(R822)-(P822)*(V822)))/W822,0)</f>
        <v/>
      </c>
      <c r="Y822">
        <f>IF(ABS(W822)&gt;1E-12,((LTP3!$D$5)*((U822)*(Q822)-(R822)*(V822))-(LTP3!$D$6)*((S822)*(Q822)-(R822)*(T822))+(T822)*((S822)*(V822)-(U822)*(T822)))/W822,0)</f>
        <v/>
      </c>
      <c r="Z822">
        <f>IF(ABS(W822)&gt;1E-12,((LTP3!$D$5)*((P822)*(V822)-(U822)*(R822))-(S822)*((S822)*(V822)-(U822)*(T822))+(LTP3!$D$6)*((S822)*(R822)-(P822)*(T822)))/W822,0)</f>
        <v/>
      </c>
      <c r="AA822">
        <f>LTP3!$D$7-X822*LTP3!$D$6-Y822*U822-Z822*V822</f>
        <v/>
      </c>
      <c r="AB822">
        <f>IF(AND(F822,ABS(W822)&gt;1E-12,Y822&gt;0,Z822&gt;0),AA822,1E+300)</f>
        <v/>
      </c>
    </row>
    <row r="823">
      <c r="A823">
        <f>$B$3+$B$5*13</f>
        <v/>
      </c>
      <c r="B823">
        <f>$B$3+$B$5*18</f>
        <v/>
      </c>
      <c r="C823">
        <f>SUMPRODUCT(Calc!$K$3:$K$22*(Calc!$G$3:$G$22&lt;=A823))</f>
        <v/>
      </c>
      <c r="D823">
        <f>SUMPRODUCT(Calc!$K$3:$K$22*(Calc!$G$3:$G$22&gt;A823)*(Calc!$G$3:$G$22&lt;B823))</f>
        <v/>
      </c>
      <c r="E823">
        <f>SUMPRODUCT(Calc!$K$3:$K$22*(Calc!$G$3:$G$22&gt;=B823))</f>
        <v/>
      </c>
      <c r="F823">
        <f>AND(k_n&gt;=5,B823&gt;A823+1E-9,C823&gt;=2,D823&gt;=1,E823&gt;=2)</f>
        <v/>
      </c>
      <c r="G823">
        <f>SUMPRODUCT(Calc!$K$3:$K$22*(Calc!$G$3:$G$22&gt;A823)*(Calc!$G$3:$G$22-A823))</f>
        <v/>
      </c>
      <c r="H823">
        <f>SUMPRODUCT(Calc!$K$3:$K$22*(Calc!$G$3:$G$22&gt;B823)*(Calc!$G$3:$G$22-B823))</f>
        <v/>
      </c>
      <c r="I823">
        <f>SUMPRODUCT(Calc!$K$3:$K$22*(Calc!$G$3:$G$22&gt;A823)*(Calc!$G$3:$G$22-A823)^2)</f>
        <v/>
      </c>
      <c r="J823">
        <f>SUMPRODUCT(Calc!$K$3:$K$22*(Calc!$G$3:$G$22&gt;B823)*(Calc!$G$3:$G$22-B823)^2)</f>
        <v/>
      </c>
      <c r="K823">
        <f>SUMPRODUCT(Calc!$K$3:$K$22*(Calc!$G$3:$G$22&gt;A823)*(Calc!$G$3:$G$22-A823)*(Calc!$G$3:$G$22&gt;B823)*(Calc!$G$3:$G$22-B823))</f>
        <v/>
      </c>
      <c r="L823">
        <f>SUMPRODUCT(Calc!$K$3:$K$22*(Calc!$G$3:$G$22&gt;A823)*(Calc!$G$3:$G$22-A823)*Calc!$G$3:$G$22)</f>
        <v/>
      </c>
      <c r="M823">
        <f>SUMPRODUCT(Calc!$K$3:$K$22*(Calc!$G$3:$G$22&gt;B823)*(Calc!$G$3:$G$22-B823)*Calc!$G$3:$G$22)</f>
        <v/>
      </c>
      <c r="N823">
        <f>SUMPRODUCT(Calc!$K$3:$K$22*(Calc!$G$3:$G$22&gt;A823)*(Calc!$G$3:$G$22-A823)*Calc!$I$3:$I$22)</f>
        <v/>
      </c>
      <c r="O823">
        <f>SUMPRODUCT(Calc!$K$3:$K$22*(Calc!$G$3:$G$22&gt;B823)*(Calc!$G$3:$G$22-B823)*Calc!$I$3:$I$22)</f>
        <v/>
      </c>
      <c r="P823">
        <f>I823-G823^2/k_n</f>
        <v/>
      </c>
      <c r="Q823">
        <f>J823-H823^2/k_n</f>
        <v/>
      </c>
      <c r="R823">
        <f>K823-G823*H823/k_n</f>
        <v/>
      </c>
      <c r="S823">
        <f>L823-LTP3!$D$3*G823/k_n</f>
        <v/>
      </c>
      <c r="T823">
        <f>M823-LTP3!$D$3*H823/k_n</f>
        <v/>
      </c>
      <c r="U823">
        <f>N823-G823*LTP3!$D$4/k_n</f>
        <v/>
      </c>
      <c r="V823">
        <f>O823-H823*LTP3!$D$4/k_n</f>
        <v/>
      </c>
      <c r="W823">
        <f>((LTP3!$D$5)*((P823)*(Q823)-(R823)*(R823))-(S823)*((S823)*(Q823)-(R823)*(T823))+(T823)*((S823)*(R823)-(P823)*(T823)))</f>
        <v/>
      </c>
      <c r="X823">
        <f>IF(ABS(W823)&gt;1E-12,((LTP3!$D$6)*((P823)*(Q823)-(R823)*(R823))-(S823)*((U823)*(Q823)-(R823)*(V823))+(T823)*((U823)*(R823)-(P823)*(V823)))/W823,0)</f>
        <v/>
      </c>
      <c r="Y823">
        <f>IF(ABS(W823)&gt;1E-12,((LTP3!$D$5)*((U823)*(Q823)-(R823)*(V823))-(LTP3!$D$6)*((S823)*(Q823)-(R823)*(T823))+(T823)*((S823)*(V823)-(U823)*(T823)))/W823,0)</f>
        <v/>
      </c>
      <c r="Z823">
        <f>IF(ABS(W823)&gt;1E-12,((LTP3!$D$5)*((P823)*(V823)-(U823)*(R823))-(S823)*((S823)*(V823)-(U823)*(T823))+(LTP3!$D$6)*((S823)*(R823)-(P823)*(T823)))/W823,0)</f>
        <v/>
      </c>
      <c r="AA823">
        <f>LTP3!$D$7-X823*LTP3!$D$6-Y823*U823-Z823*V823</f>
        <v/>
      </c>
      <c r="AB823">
        <f>IF(AND(F823,ABS(W823)&gt;1E-12,Y823&gt;0,Z823&gt;0),AA823,1E+300)</f>
        <v/>
      </c>
    </row>
    <row r="824">
      <c r="A824">
        <f>$B$3+$B$5*13</f>
        <v/>
      </c>
      <c r="B824">
        <f>$B$3+$B$5*19</f>
        <v/>
      </c>
      <c r="C824">
        <f>SUMPRODUCT(Calc!$K$3:$K$22*(Calc!$G$3:$G$22&lt;=A824))</f>
        <v/>
      </c>
      <c r="D824">
        <f>SUMPRODUCT(Calc!$K$3:$K$22*(Calc!$G$3:$G$22&gt;A824)*(Calc!$G$3:$G$22&lt;B824))</f>
        <v/>
      </c>
      <c r="E824">
        <f>SUMPRODUCT(Calc!$K$3:$K$22*(Calc!$G$3:$G$22&gt;=B824))</f>
        <v/>
      </c>
      <c r="F824">
        <f>AND(k_n&gt;=5,B824&gt;A824+1E-9,C824&gt;=2,D824&gt;=1,E824&gt;=2)</f>
        <v/>
      </c>
      <c r="G824">
        <f>SUMPRODUCT(Calc!$K$3:$K$22*(Calc!$G$3:$G$22&gt;A824)*(Calc!$G$3:$G$22-A824))</f>
        <v/>
      </c>
      <c r="H824">
        <f>SUMPRODUCT(Calc!$K$3:$K$22*(Calc!$G$3:$G$22&gt;B824)*(Calc!$G$3:$G$22-B824))</f>
        <v/>
      </c>
      <c r="I824">
        <f>SUMPRODUCT(Calc!$K$3:$K$22*(Calc!$G$3:$G$22&gt;A824)*(Calc!$G$3:$G$22-A824)^2)</f>
        <v/>
      </c>
      <c r="J824">
        <f>SUMPRODUCT(Calc!$K$3:$K$22*(Calc!$G$3:$G$22&gt;B824)*(Calc!$G$3:$G$22-B824)^2)</f>
        <v/>
      </c>
      <c r="K824">
        <f>SUMPRODUCT(Calc!$K$3:$K$22*(Calc!$G$3:$G$22&gt;A824)*(Calc!$G$3:$G$22-A824)*(Calc!$G$3:$G$22&gt;B824)*(Calc!$G$3:$G$22-B824))</f>
        <v/>
      </c>
      <c r="L824">
        <f>SUMPRODUCT(Calc!$K$3:$K$22*(Calc!$G$3:$G$22&gt;A824)*(Calc!$G$3:$G$22-A824)*Calc!$G$3:$G$22)</f>
        <v/>
      </c>
      <c r="M824">
        <f>SUMPRODUCT(Calc!$K$3:$K$22*(Calc!$G$3:$G$22&gt;B824)*(Calc!$G$3:$G$22-B824)*Calc!$G$3:$G$22)</f>
        <v/>
      </c>
      <c r="N824">
        <f>SUMPRODUCT(Calc!$K$3:$K$22*(Calc!$G$3:$G$22&gt;A824)*(Calc!$G$3:$G$22-A824)*Calc!$I$3:$I$22)</f>
        <v/>
      </c>
      <c r="O824">
        <f>SUMPRODUCT(Calc!$K$3:$K$22*(Calc!$G$3:$G$22&gt;B824)*(Calc!$G$3:$G$22-B824)*Calc!$I$3:$I$22)</f>
        <v/>
      </c>
      <c r="P824">
        <f>I824-G824^2/k_n</f>
        <v/>
      </c>
      <c r="Q824">
        <f>J824-H824^2/k_n</f>
        <v/>
      </c>
      <c r="R824">
        <f>K824-G824*H824/k_n</f>
        <v/>
      </c>
      <c r="S824">
        <f>L824-LTP3!$D$3*G824/k_n</f>
        <v/>
      </c>
      <c r="T824">
        <f>M824-LTP3!$D$3*H824/k_n</f>
        <v/>
      </c>
      <c r="U824">
        <f>N824-G824*LTP3!$D$4/k_n</f>
        <v/>
      </c>
      <c r="V824">
        <f>O824-H824*LTP3!$D$4/k_n</f>
        <v/>
      </c>
      <c r="W824">
        <f>((LTP3!$D$5)*((P824)*(Q824)-(R824)*(R824))-(S824)*((S824)*(Q824)-(R824)*(T824))+(T824)*((S824)*(R824)-(P824)*(T824)))</f>
        <v/>
      </c>
      <c r="X824">
        <f>IF(ABS(W824)&gt;1E-12,((LTP3!$D$6)*((P824)*(Q824)-(R824)*(R824))-(S824)*((U824)*(Q824)-(R824)*(V824))+(T824)*((U824)*(R824)-(P824)*(V824)))/W824,0)</f>
        <v/>
      </c>
      <c r="Y824">
        <f>IF(ABS(W824)&gt;1E-12,((LTP3!$D$5)*((U824)*(Q824)-(R824)*(V824))-(LTP3!$D$6)*((S824)*(Q824)-(R824)*(T824))+(T824)*((S824)*(V824)-(U824)*(T824)))/W824,0)</f>
        <v/>
      </c>
      <c r="Z824">
        <f>IF(ABS(W824)&gt;1E-12,((LTP3!$D$5)*((P824)*(V824)-(U824)*(R824))-(S824)*((S824)*(V824)-(U824)*(T824))+(LTP3!$D$6)*((S824)*(R824)-(P824)*(T824)))/W824,0)</f>
        <v/>
      </c>
      <c r="AA824">
        <f>LTP3!$D$7-X824*LTP3!$D$6-Y824*U824-Z824*V824</f>
        <v/>
      </c>
      <c r="AB824">
        <f>IF(AND(F824,ABS(W824)&gt;1E-12,Y824&gt;0,Z824&gt;0),AA824,1E+300)</f>
        <v/>
      </c>
    </row>
    <row r="825">
      <c r="A825">
        <f>$B$3+$B$5*13</f>
        <v/>
      </c>
      <c r="B825">
        <f>$B$3+$B$5*20</f>
        <v/>
      </c>
      <c r="C825">
        <f>SUMPRODUCT(Calc!$K$3:$K$22*(Calc!$G$3:$G$22&lt;=A825))</f>
        <v/>
      </c>
      <c r="D825">
        <f>SUMPRODUCT(Calc!$K$3:$K$22*(Calc!$G$3:$G$22&gt;A825)*(Calc!$G$3:$G$22&lt;B825))</f>
        <v/>
      </c>
      <c r="E825">
        <f>SUMPRODUCT(Calc!$K$3:$K$22*(Calc!$G$3:$G$22&gt;=B825))</f>
        <v/>
      </c>
      <c r="F825">
        <f>AND(k_n&gt;=5,B825&gt;A825+1E-9,C825&gt;=2,D825&gt;=1,E825&gt;=2)</f>
        <v/>
      </c>
      <c r="G825">
        <f>SUMPRODUCT(Calc!$K$3:$K$22*(Calc!$G$3:$G$22&gt;A825)*(Calc!$G$3:$G$22-A825))</f>
        <v/>
      </c>
      <c r="H825">
        <f>SUMPRODUCT(Calc!$K$3:$K$22*(Calc!$G$3:$G$22&gt;B825)*(Calc!$G$3:$G$22-B825))</f>
        <v/>
      </c>
      <c r="I825">
        <f>SUMPRODUCT(Calc!$K$3:$K$22*(Calc!$G$3:$G$22&gt;A825)*(Calc!$G$3:$G$22-A825)^2)</f>
        <v/>
      </c>
      <c r="J825">
        <f>SUMPRODUCT(Calc!$K$3:$K$22*(Calc!$G$3:$G$22&gt;B825)*(Calc!$G$3:$G$22-B825)^2)</f>
        <v/>
      </c>
      <c r="K825">
        <f>SUMPRODUCT(Calc!$K$3:$K$22*(Calc!$G$3:$G$22&gt;A825)*(Calc!$G$3:$G$22-A825)*(Calc!$G$3:$G$22&gt;B825)*(Calc!$G$3:$G$22-B825))</f>
        <v/>
      </c>
      <c r="L825">
        <f>SUMPRODUCT(Calc!$K$3:$K$22*(Calc!$G$3:$G$22&gt;A825)*(Calc!$G$3:$G$22-A825)*Calc!$G$3:$G$22)</f>
        <v/>
      </c>
      <c r="M825">
        <f>SUMPRODUCT(Calc!$K$3:$K$22*(Calc!$G$3:$G$22&gt;B825)*(Calc!$G$3:$G$22-B825)*Calc!$G$3:$G$22)</f>
        <v/>
      </c>
      <c r="N825">
        <f>SUMPRODUCT(Calc!$K$3:$K$22*(Calc!$G$3:$G$22&gt;A825)*(Calc!$G$3:$G$22-A825)*Calc!$I$3:$I$22)</f>
        <v/>
      </c>
      <c r="O825">
        <f>SUMPRODUCT(Calc!$K$3:$K$22*(Calc!$G$3:$G$22&gt;B825)*(Calc!$G$3:$G$22-B825)*Calc!$I$3:$I$22)</f>
        <v/>
      </c>
      <c r="P825">
        <f>I825-G825^2/k_n</f>
        <v/>
      </c>
      <c r="Q825">
        <f>J825-H825^2/k_n</f>
        <v/>
      </c>
      <c r="R825">
        <f>K825-G825*H825/k_n</f>
        <v/>
      </c>
      <c r="S825">
        <f>L825-LTP3!$D$3*G825/k_n</f>
        <v/>
      </c>
      <c r="T825">
        <f>M825-LTP3!$D$3*H825/k_n</f>
        <v/>
      </c>
      <c r="U825">
        <f>N825-G825*LTP3!$D$4/k_n</f>
        <v/>
      </c>
      <c r="V825">
        <f>O825-H825*LTP3!$D$4/k_n</f>
        <v/>
      </c>
      <c r="W825">
        <f>((LTP3!$D$5)*((P825)*(Q825)-(R825)*(R825))-(S825)*((S825)*(Q825)-(R825)*(T825))+(T825)*((S825)*(R825)-(P825)*(T825)))</f>
        <v/>
      </c>
      <c r="X825">
        <f>IF(ABS(W825)&gt;1E-12,((LTP3!$D$6)*((P825)*(Q825)-(R825)*(R825))-(S825)*((U825)*(Q825)-(R825)*(V825))+(T825)*((U825)*(R825)-(P825)*(V825)))/W825,0)</f>
        <v/>
      </c>
      <c r="Y825">
        <f>IF(ABS(W825)&gt;1E-12,((LTP3!$D$5)*((U825)*(Q825)-(R825)*(V825))-(LTP3!$D$6)*((S825)*(Q825)-(R825)*(T825))+(T825)*((S825)*(V825)-(U825)*(T825)))/W825,0)</f>
        <v/>
      </c>
      <c r="Z825">
        <f>IF(ABS(W825)&gt;1E-12,((LTP3!$D$5)*((P825)*(V825)-(U825)*(R825))-(S825)*((S825)*(V825)-(U825)*(T825))+(LTP3!$D$6)*((S825)*(R825)-(P825)*(T825)))/W825,0)</f>
        <v/>
      </c>
      <c r="AA825">
        <f>LTP3!$D$7-X825*LTP3!$D$6-Y825*U825-Z825*V825</f>
        <v/>
      </c>
      <c r="AB825">
        <f>IF(AND(F825,ABS(W825)&gt;1E-12,Y825&gt;0,Z825&gt;0),AA825,1E+300)</f>
        <v/>
      </c>
    </row>
    <row r="826">
      <c r="A826">
        <f>$B$3+$B$5*13</f>
        <v/>
      </c>
      <c r="B826">
        <f>$B$3+$B$5*21</f>
        <v/>
      </c>
      <c r="C826">
        <f>SUMPRODUCT(Calc!$K$3:$K$22*(Calc!$G$3:$G$22&lt;=A826))</f>
        <v/>
      </c>
      <c r="D826">
        <f>SUMPRODUCT(Calc!$K$3:$K$22*(Calc!$G$3:$G$22&gt;A826)*(Calc!$G$3:$G$22&lt;B826))</f>
        <v/>
      </c>
      <c r="E826">
        <f>SUMPRODUCT(Calc!$K$3:$K$22*(Calc!$G$3:$G$22&gt;=B826))</f>
        <v/>
      </c>
      <c r="F826">
        <f>AND(k_n&gt;=5,B826&gt;A826+1E-9,C826&gt;=2,D826&gt;=1,E826&gt;=2)</f>
        <v/>
      </c>
      <c r="G826">
        <f>SUMPRODUCT(Calc!$K$3:$K$22*(Calc!$G$3:$G$22&gt;A826)*(Calc!$G$3:$G$22-A826))</f>
        <v/>
      </c>
      <c r="H826">
        <f>SUMPRODUCT(Calc!$K$3:$K$22*(Calc!$G$3:$G$22&gt;B826)*(Calc!$G$3:$G$22-B826))</f>
        <v/>
      </c>
      <c r="I826">
        <f>SUMPRODUCT(Calc!$K$3:$K$22*(Calc!$G$3:$G$22&gt;A826)*(Calc!$G$3:$G$22-A826)^2)</f>
        <v/>
      </c>
      <c r="J826">
        <f>SUMPRODUCT(Calc!$K$3:$K$22*(Calc!$G$3:$G$22&gt;B826)*(Calc!$G$3:$G$22-B826)^2)</f>
        <v/>
      </c>
      <c r="K826">
        <f>SUMPRODUCT(Calc!$K$3:$K$22*(Calc!$G$3:$G$22&gt;A826)*(Calc!$G$3:$G$22-A826)*(Calc!$G$3:$G$22&gt;B826)*(Calc!$G$3:$G$22-B826))</f>
        <v/>
      </c>
      <c r="L826">
        <f>SUMPRODUCT(Calc!$K$3:$K$22*(Calc!$G$3:$G$22&gt;A826)*(Calc!$G$3:$G$22-A826)*Calc!$G$3:$G$22)</f>
        <v/>
      </c>
      <c r="M826">
        <f>SUMPRODUCT(Calc!$K$3:$K$22*(Calc!$G$3:$G$22&gt;B826)*(Calc!$G$3:$G$22-B826)*Calc!$G$3:$G$22)</f>
        <v/>
      </c>
      <c r="N826">
        <f>SUMPRODUCT(Calc!$K$3:$K$22*(Calc!$G$3:$G$22&gt;A826)*(Calc!$G$3:$G$22-A826)*Calc!$I$3:$I$22)</f>
        <v/>
      </c>
      <c r="O826">
        <f>SUMPRODUCT(Calc!$K$3:$K$22*(Calc!$G$3:$G$22&gt;B826)*(Calc!$G$3:$G$22-B826)*Calc!$I$3:$I$22)</f>
        <v/>
      </c>
      <c r="P826">
        <f>I826-G826^2/k_n</f>
        <v/>
      </c>
      <c r="Q826">
        <f>J826-H826^2/k_n</f>
        <v/>
      </c>
      <c r="R826">
        <f>K826-G826*H826/k_n</f>
        <v/>
      </c>
      <c r="S826">
        <f>L826-LTP3!$D$3*G826/k_n</f>
        <v/>
      </c>
      <c r="T826">
        <f>M826-LTP3!$D$3*H826/k_n</f>
        <v/>
      </c>
      <c r="U826">
        <f>N826-G826*LTP3!$D$4/k_n</f>
        <v/>
      </c>
      <c r="V826">
        <f>O826-H826*LTP3!$D$4/k_n</f>
        <v/>
      </c>
      <c r="W826">
        <f>((LTP3!$D$5)*((P826)*(Q826)-(R826)*(R826))-(S826)*((S826)*(Q826)-(R826)*(T826))+(T826)*((S826)*(R826)-(P826)*(T826)))</f>
        <v/>
      </c>
      <c r="X826">
        <f>IF(ABS(W826)&gt;1E-12,((LTP3!$D$6)*((P826)*(Q826)-(R826)*(R826))-(S826)*((U826)*(Q826)-(R826)*(V826))+(T826)*((U826)*(R826)-(P826)*(V826)))/W826,0)</f>
        <v/>
      </c>
      <c r="Y826">
        <f>IF(ABS(W826)&gt;1E-12,((LTP3!$D$5)*((U826)*(Q826)-(R826)*(V826))-(LTP3!$D$6)*((S826)*(Q826)-(R826)*(T826))+(T826)*((S826)*(V826)-(U826)*(T826)))/W826,0)</f>
        <v/>
      </c>
      <c r="Z826">
        <f>IF(ABS(W826)&gt;1E-12,((LTP3!$D$5)*((P826)*(V826)-(U826)*(R826))-(S826)*((S826)*(V826)-(U826)*(T826))+(LTP3!$D$6)*((S826)*(R826)-(P826)*(T826)))/W826,0)</f>
        <v/>
      </c>
      <c r="AA826">
        <f>LTP3!$D$7-X826*LTP3!$D$6-Y826*U826-Z826*V826</f>
        <v/>
      </c>
      <c r="AB826">
        <f>IF(AND(F826,ABS(W826)&gt;1E-12,Y826&gt;0,Z826&gt;0),AA826,1E+300)</f>
        <v/>
      </c>
    </row>
    <row r="827">
      <c r="A827">
        <f>$B$3+$B$5*13</f>
        <v/>
      </c>
      <c r="B827">
        <f>$B$3+$B$5*22</f>
        <v/>
      </c>
      <c r="C827">
        <f>SUMPRODUCT(Calc!$K$3:$K$22*(Calc!$G$3:$G$22&lt;=A827))</f>
        <v/>
      </c>
      <c r="D827">
        <f>SUMPRODUCT(Calc!$K$3:$K$22*(Calc!$G$3:$G$22&gt;A827)*(Calc!$G$3:$G$22&lt;B827))</f>
        <v/>
      </c>
      <c r="E827">
        <f>SUMPRODUCT(Calc!$K$3:$K$22*(Calc!$G$3:$G$22&gt;=B827))</f>
        <v/>
      </c>
      <c r="F827">
        <f>AND(k_n&gt;=5,B827&gt;A827+1E-9,C827&gt;=2,D827&gt;=1,E827&gt;=2)</f>
        <v/>
      </c>
      <c r="G827">
        <f>SUMPRODUCT(Calc!$K$3:$K$22*(Calc!$G$3:$G$22&gt;A827)*(Calc!$G$3:$G$22-A827))</f>
        <v/>
      </c>
      <c r="H827">
        <f>SUMPRODUCT(Calc!$K$3:$K$22*(Calc!$G$3:$G$22&gt;B827)*(Calc!$G$3:$G$22-B827))</f>
        <v/>
      </c>
      <c r="I827">
        <f>SUMPRODUCT(Calc!$K$3:$K$22*(Calc!$G$3:$G$22&gt;A827)*(Calc!$G$3:$G$22-A827)^2)</f>
        <v/>
      </c>
      <c r="J827">
        <f>SUMPRODUCT(Calc!$K$3:$K$22*(Calc!$G$3:$G$22&gt;B827)*(Calc!$G$3:$G$22-B827)^2)</f>
        <v/>
      </c>
      <c r="K827">
        <f>SUMPRODUCT(Calc!$K$3:$K$22*(Calc!$G$3:$G$22&gt;A827)*(Calc!$G$3:$G$22-A827)*(Calc!$G$3:$G$22&gt;B827)*(Calc!$G$3:$G$22-B827))</f>
        <v/>
      </c>
      <c r="L827">
        <f>SUMPRODUCT(Calc!$K$3:$K$22*(Calc!$G$3:$G$22&gt;A827)*(Calc!$G$3:$G$22-A827)*Calc!$G$3:$G$22)</f>
        <v/>
      </c>
      <c r="M827">
        <f>SUMPRODUCT(Calc!$K$3:$K$22*(Calc!$G$3:$G$22&gt;B827)*(Calc!$G$3:$G$22-B827)*Calc!$G$3:$G$22)</f>
        <v/>
      </c>
      <c r="N827">
        <f>SUMPRODUCT(Calc!$K$3:$K$22*(Calc!$G$3:$G$22&gt;A827)*(Calc!$G$3:$G$22-A827)*Calc!$I$3:$I$22)</f>
        <v/>
      </c>
      <c r="O827">
        <f>SUMPRODUCT(Calc!$K$3:$K$22*(Calc!$G$3:$G$22&gt;B827)*(Calc!$G$3:$G$22-B827)*Calc!$I$3:$I$22)</f>
        <v/>
      </c>
      <c r="P827">
        <f>I827-G827^2/k_n</f>
        <v/>
      </c>
      <c r="Q827">
        <f>J827-H827^2/k_n</f>
        <v/>
      </c>
      <c r="R827">
        <f>K827-G827*H827/k_n</f>
        <v/>
      </c>
      <c r="S827">
        <f>L827-LTP3!$D$3*G827/k_n</f>
        <v/>
      </c>
      <c r="T827">
        <f>M827-LTP3!$D$3*H827/k_n</f>
        <v/>
      </c>
      <c r="U827">
        <f>N827-G827*LTP3!$D$4/k_n</f>
        <v/>
      </c>
      <c r="V827">
        <f>O827-H827*LTP3!$D$4/k_n</f>
        <v/>
      </c>
      <c r="W827">
        <f>((LTP3!$D$5)*((P827)*(Q827)-(R827)*(R827))-(S827)*((S827)*(Q827)-(R827)*(T827))+(T827)*((S827)*(R827)-(P827)*(T827)))</f>
        <v/>
      </c>
      <c r="X827">
        <f>IF(ABS(W827)&gt;1E-12,((LTP3!$D$6)*((P827)*(Q827)-(R827)*(R827))-(S827)*((U827)*(Q827)-(R827)*(V827))+(T827)*((U827)*(R827)-(P827)*(V827)))/W827,0)</f>
        <v/>
      </c>
      <c r="Y827">
        <f>IF(ABS(W827)&gt;1E-12,((LTP3!$D$5)*((U827)*(Q827)-(R827)*(V827))-(LTP3!$D$6)*((S827)*(Q827)-(R827)*(T827))+(T827)*((S827)*(V827)-(U827)*(T827)))/W827,0)</f>
        <v/>
      </c>
      <c r="Z827">
        <f>IF(ABS(W827)&gt;1E-12,((LTP3!$D$5)*((P827)*(V827)-(U827)*(R827))-(S827)*((S827)*(V827)-(U827)*(T827))+(LTP3!$D$6)*((S827)*(R827)-(P827)*(T827)))/W827,0)</f>
        <v/>
      </c>
      <c r="AA827">
        <f>LTP3!$D$7-X827*LTP3!$D$6-Y827*U827-Z827*V827</f>
        <v/>
      </c>
      <c r="AB827">
        <f>IF(AND(F827,ABS(W827)&gt;1E-12,Y827&gt;0,Z827&gt;0),AA827,1E+300)</f>
        <v/>
      </c>
    </row>
    <row r="828">
      <c r="A828">
        <f>$B$3+$B$5*13</f>
        <v/>
      </c>
      <c r="B828">
        <f>$B$3+$B$5*23</f>
        <v/>
      </c>
      <c r="C828">
        <f>SUMPRODUCT(Calc!$K$3:$K$22*(Calc!$G$3:$G$22&lt;=A828))</f>
        <v/>
      </c>
      <c r="D828">
        <f>SUMPRODUCT(Calc!$K$3:$K$22*(Calc!$G$3:$G$22&gt;A828)*(Calc!$G$3:$G$22&lt;B828))</f>
        <v/>
      </c>
      <c r="E828">
        <f>SUMPRODUCT(Calc!$K$3:$K$22*(Calc!$G$3:$G$22&gt;=B828))</f>
        <v/>
      </c>
      <c r="F828">
        <f>AND(k_n&gt;=5,B828&gt;A828+1E-9,C828&gt;=2,D828&gt;=1,E828&gt;=2)</f>
        <v/>
      </c>
      <c r="G828">
        <f>SUMPRODUCT(Calc!$K$3:$K$22*(Calc!$G$3:$G$22&gt;A828)*(Calc!$G$3:$G$22-A828))</f>
        <v/>
      </c>
      <c r="H828">
        <f>SUMPRODUCT(Calc!$K$3:$K$22*(Calc!$G$3:$G$22&gt;B828)*(Calc!$G$3:$G$22-B828))</f>
        <v/>
      </c>
      <c r="I828">
        <f>SUMPRODUCT(Calc!$K$3:$K$22*(Calc!$G$3:$G$22&gt;A828)*(Calc!$G$3:$G$22-A828)^2)</f>
        <v/>
      </c>
      <c r="J828">
        <f>SUMPRODUCT(Calc!$K$3:$K$22*(Calc!$G$3:$G$22&gt;B828)*(Calc!$G$3:$G$22-B828)^2)</f>
        <v/>
      </c>
      <c r="K828">
        <f>SUMPRODUCT(Calc!$K$3:$K$22*(Calc!$G$3:$G$22&gt;A828)*(Calc!$G$3:$G$22-A828)*(Calc!$G$3:$G$22&gt;B828)*(Calc!$G$3:$G$22-B828))</f>
        <v/>
      </c>
      <c r="L828">
        <f>SUMPRODUCT(Calc!$K$3:$K$22*(Calc!$G$3:$G$22&gt;A828)*(Calc!$G$3:$G$22-A828)*Calc!$G$3:$G$22)</f>
        <v/>
      </c>
      <c r="M828">
        <f>SUMPRODUCT(Calc!$K$3:$K$22*(Calc!$G$3:$G$22&gt;B828)*(Calc!$G$3:$G$22-B828)*Calc!$G$3:$G$22)</f>
        <v/>
      </c>
      <c r="N828">
        <f>SUMPRODUCT(Calc!$K$3:$K$22*(Calc!$G$3:$G$22&gt;A828)*(Calc!$G$3:$G$22-A828)*Calc!$I$3:$I$22)</f>
        <v/>
      </c>
      <c r="O828">
        <f>SUMPRODUCT(Calc!$K$3:$K$22*(Calc!$G$3:$G$22&gt;B828)*(Calc!$G$3:$G$22-B828)*Calc!$I$3:$I$22)</f>
        <v/>
      </c>
      <c r="P828">
        <f>I828-G828^2/k_n</f>
        <v/>
      </c>
      <c r="Q828">
        <f>J828-H828^2/k_n</f>
        <v/>
      </c>
      <c r="R828">
        <f>K828-G828*H828/k_n</f>
        <v/>
      </c>
      <c r="S828">
        <f>L828-LTP3!$D$3*G828/k_n</f>
        <v/>
      </c>
      <c r="T828">
        <f>M828-LTP3!$D$3*H828/k_n</f>
        <v/>
      </c>
      <c r="U828">
        <f>N828-G828*LTP3!$D$4/k_n</f>
        <v/>
      </c>
      <c r="V828">
        <f>O828-H828*LTP3!$D$4/k_n</f>
        <v/>
      </c>
      <c r="W828">
        <f>((LTP3!$D$5)*((P828)*(Q828)-(R828)*(R828))-(S828)*((S828)*(Q828)-(R828)*(T828))+(T828)*((S828)*(R828)-(P828)*(T828)))</f>
        <v/>
      </c>
      <c r="X828">
        <f>IF(ABS(W828)&gt;1E-12,((LTP3!$D$6)*((P828)*(Q828)-(R828)*(R828))-(S828)*((U828)*(Q828)-(R828)*(V828))+(T828)*((U828)*(R828)-(P828)*(V828)))/W828,0)</f>
        <v/>
      </c>
      <c r="Y828">
        <f>IF(ABS(W828)&gt;1E-12,((LTP3!$D$5)*((U828)*(Q828)-(R828)*(V828))-(LTP3!$D$6)*((S828)*(Q828)-(R828)*(T828))+(T828)*((S828)*(V828)-(U828)*(T828)))/W828,0)</f>
        <v/>
      </c>
      <c r="Z828">
        <f>IF(ABS(W828)&gt;1E-12,((LTP3!$D$5)*((P828)*(V828)-(U828)*(R828))-(S828)*((S828)*(V828)-(U828)*(T828))+(LTP3!$D$6)*((S828)*(R828)-(P828)*(T828)))/W828,0)</f>
        <v/>
      </c>
      <c r="AA828">
        <f>LTP3!$D$7-X828*LTP3!$D$6-Y828*U828-Z828*V828</f>
        <v/>
      </c>
      <c r="AB828">
        <f>IF(AND(F828,ABS(W828)&gt;1E-12,Y828&gt;0,Z828&gt;0),AA828,1E+300)</f>
        <v/>
      </c>
    </row>
    <row r="829">
      <c r="A829">
        <f>$B$3+$B$5*13</f>
        <v/>
      </c>
      <c r="B829">
        <f>$B$3+$B$5*24</f>
        <v/>
      </c>
      <c r="C829">
        <f>SUMPRODUCT(Calc!$K$3:$K$22*(Calc!$G$3:$G$22&lt;=A829))</f>
        <v/>
      </c>
      <c r="D829">
        <f>SUMPRODUCT(Calc!$K$3:$K$22*(Calc!$G$3:$G$22&gt;A829)*(Calc!$G$3:$G$22&lt;B829))</f>
        <v/>
      </c>
      <c r="E829">
        <f>SUMPRODUCT(Calc!$K$3:$K$22*(Calc!$G$3:$G$22&gt;=B829))</f>
        <v/>
      </c>
      <c r="F829">
        <f>AND(k_n&gt;=5,B829&gt;A829+1E-9,C829&gt;=2,D829&gt;=1,E829&gt;=2)</f>
        <v/>
      </c>
      <c r="G829">
        <f>SUMPRODUCT(Calc!$K$3:$K$22*(Calc!$G$3:$G$22&gt;A829)*(Calc!$G$3:$G$22-A829))</f>
        <v/>
      </c>
      <c r="H829">
        <f>SUMPRODUCT(Calc!$K$3:$K$22*(Calc!$G$3:$G$22&gt;B829)*(Calc!$G$3:$G$22-B829))</f>
        <v/>
      </c>
      <c r="I829">
        <f>SUMPRODUCT(Calc!$K$3:$K$22*(Calc!$G$3:$G$22&gt;A829)*(Calc!$G$3:$G$22-A829)^2)</f>
        <v/>
      </c>
      <c r="J829">
        <f>SUMPRODUCT(Calc!$K$3:$K$22*(Calc!$G$3:$G$22&gt;B829)*(Calc!$G$3:$G$22-B829)^2)</f>
        <v/>
      </c>
      <c r="K829">
        <f>SUMPRODUCT(Calc!$K$3:$K$22*(Calc!$G$3:$G$22&gt;A829)*(Calc!$G$3:$G$22-A829)*(Calc!$G$3:$G$22&gt;B829)*(Calc!$G$3:$G$22-B829))</f>
        <v/>
      </c>
      <c r="L829">
        <f>SUMPRODUCT(Calc!$K$3:$K$22*(Calc!$G$3:$G$22&gt;A829)*(Calc!$G$3:$G$22-A829)*Calc!$G$3:$G$22)</f>
        <v/>
      </c>
      <c r="M829">
        <f>SUMPRODUCT(Calc!$K$3:$K$22*(Calc!$G$3:$G$22&gt;B829)*(Calc!$G$3:$G$22-B829)*Calc!$G$3:$G$22)</f>
        <v/>
      </c>
      <c r="N829">
        <f>SUMPRODUCT(Calc!$K$3:$K$22*(Calc!$G$3:$G$22&gt;A829)*(Calc!$G$3:$G$22-A829)*Calc!$I$3:$I$22)</f>
        <v/>
      </c>
      <c r="O829">
        <f>SUMPRODUCT(Calc!$K$3:$K$22*(Calc!$G$3:$G$22&gt;B829)*(Calc!$G$3:$G$22-B829)*Calc!$I$3:$I$22)</f>
        <v/>
      </c>
      <c r="P829">
        <f>I829-G829^2/k_n</f>
        <v/>
      </c>
      <c r="Q829">
        <f>J829-H829^2/k_n</f>
        <v/>
      </c>
      <c r="R829">
        <f>K829-G829*H829/k_n</f>
        <v/>
      </c>
      <c r="S829">
        <f>L829-LTP3!$D$3*G829/k_n</f>
        <v/>
      </c>
      <c r="T829">
        <f>M829-LTP3!$D$3*H829/k_n</f>
        <v/>
      </c>
      <c r="U829">
        <f>N829-G829*LTP3!$D$4/k_n</f>
        <v/>
      </c>
      <c r="V829">
        <f>O829-H829*LTP3!$D$4/k_n</f>
        <v/>
      </c>
      <c r="W829">
        <f>((LTP3!$D$5)*((P829)*(Q829)-(R829)*(R829))-(S829)*((S829)*(Q829)-(R829)*(T829))+(T829)*((S829)*(R829)-(P829)*(T829)))</f>
        <v/>
      </c>
      <c r="X829">
        <f>IF(ABS(W829)&gt;1E-12,((LTP3!$D$6)*((P829)*(Q829)-(R829)*(R829))-(S829)*((U829)*(Q829)-(R829)*(V829))+(T829)*((U829)*(R829)-(P829)*(V829)))/W829,0)</f>
        <v/>
      </c>
      <c r="Y829">
        <f>IF(ABS(W829)&gt;1E-12,((LTP3!$D$5)*((U829)*(Q829)-(R829)*(V829))-(LTP3!$D$6)*((S829)*(Q829)-(R829)*(T829))+(T829)*((S829)*(V829)-(U829)*(T829)))/W829,0)</f>
        <v/>
      </c>
      <c r="Z829">
        <f>IF(ABS(W829)&gt;1E-12,((LTP3!$D$5)*((P829)*(V829)-(U829)*(R829))-(S829)*((S829)*(V829)-(U829)*(T829))+(LTP3!$D$6)*((S829)*(R829)-(P829)*(T829)))/W829,0)</f>
        <v/>
      </c>
      <c r="AA829">
        <f>LTP3!$D$7-X829*LTP3!$D$6-Y829*U829-Z829*V829</f>
        <v/>
      </c>
      <c r="AB829">
        <f>IF(AND(F829,ABS(W829)&gt;1E-12,Y829&gt;0,Z829&gt;0),AA829,1E+300)</f>
        <v/>
      </c>
    </row>
    <row r="830">
      <c r="A830">
        <f>$B$3+$B$5*13</f>
        <v/>
      </c>
      <c r="B830">
        <f>$B$3+$B$5*25</f>
        <v/>
      </c>
      <c r="C830">
        <f>SUMPRODUCT(Calc!$K$3:$K$22*(Calc!$G$3:$G$22&lt;=A830))</f>
        <v/>
      </c>
      <c r="D830">
        <f>SUMPRODUCT(Calc!$K$3:$K$22*(Calc!$G$3:$G$22&gt;A830)*(Calc!$G$3:$G$22&lt;B830))</f>
        <v/>
      </c>
      <c r="E830">
        <f>SUMPRODUCT(Calc!$K$3:$K$22*(Calc!$G$3:$G$22&gt;=B830))</f>
        <v/>
      </c>
      <c r="F830">
        <f>AND(k_n&gt;=5,B830&gt;A830+1E-9,C830&gt;=2,D830&gt;=1,E830&gt;=2)</f>
        <v/>
      </c>
      <c r="G830">
        <f>SUMPRODUCT(Calc!$K$3:$K$22*(Calc!$G$3:$G$22&gt;A830)*(Calc!$G$3:$G$22-A830))</f>
        <v/>
      </c>
      <c r="H830">
        <f>SUMPRODUCT(Calc!$K$3:$K$22*(Calc!$G$3:$G$22&gt;B830)*(Calc!$G$3:$G$22-B830))</f>
        <v/>
      </c>
      <c r="I830">
        <f>SUMPRODUCT(Calc!$K$3:$K$22*(Calc!$G$3:$G$22&gt;A830)*(Calc!$G$3:$G$22-A830)^2)</f>
        <v/>
      </c>
      <c r="J830">
        <f>SUMPRODUCT(Calc!$K$3:$K$22*(Calc!$G$3:$G$22&gt;B830)*(Calc!$G$3:$G$22-B830)^2)</f>
        <v/>
      </c>
      <c r="K830">
        <f>SUMPRODUCT(Calc!$K$3:$K$22*(Calc!$G$3:$G$22&gt;A830)*(Calc!$G$3:$G$22-A830)*(Calc!$G$3:$G$22&gt;B830)*(Calc!$G$3:$G$22-B830))</f>
        <v/>
      </c>
      <c r="L830">
        <f>SUMPRODUCT(Calc!$K$3:$K$22*(Calc!$G$3:$G$22&gt;A830)*(Calc!$G$3:$G$22-A830)*Calc!$G$3:$G$22)</f>
        <v/>
      </c>
      <c r="M830">
        <f>SUMPRODUCT(Calc!$K$3:$K$22*(Calc!$G$3:$G$22&gt;B830)*(Calc!$G$3:$G$22-B830)*Calc!$G$3:$G$22)</f>
        <v/>
      </c>
      <c r="N830">
        <f>SUMPRODUCT(Calc!$K$3:$K$22*(Calc!$G$3:$G$22&gt;A830)*(Calc!$G$3:$G$22-A830)*Calc!$I$3:$I$22)</f>
        <v/>
      </c>
      <c r="O830">
        <f>SUMPRODUCT(Calc!$K$3:$K$22*(Calc!$G$3:$G$22&gt;B830)*(Calc!$G$3:$G$22-B830)*Calc!$I$3:$I$22)</f>
        <v/>
      </c>
      <c r="P830">
        <f>I830-G830^2/k_n</f>
        <v/>
      </c>
      <c r="Q830">
        <f>J830-H830^2/k_n</f>
        <v/>
      </c>
      <c r="R830">
        <f>K830-G830*H830/k_n</f>
        <v/>
      </c>
      <c r="S830">
        <f>L830-LTP3!$D$3*G830/k_n</f>
        <v/>
      </c>
      <c r="T830">
        <f>M830-LTP3!$D$3*H830/k_n</f>
        <v/>
      </c>
      <c r="U830">
        <f>N830-G830*LTP3!$D$4/k_n</f>
        <v/>
      </c>
      <c r="V830">
        <f>O830-H830*LTP3!$D$4/k_n</f>
        <v/>
      </c>
      <c r="W830">
        <f>((LTP3!$D$5)*((P830)*(Q830)-(R830)*(R830))-(S830)*((S830)*(Q830)-(R830)*(T830))+(T830)*((S830)*(R830)-(P830)*(T830)))</f>
        <v/>
      </c>
      <c r="X830">
        <f>IF(ABS(W830)&gt;1E-12,((LTP3!$D$6)*((P830)*(Q830)-(R830)*(R830))-(S830)*((U830)*(Q830)-(R830)*(V830))+(T830)*((U830)*(R830)-(P830)*(V830)))/W830,0)</f>
        <v/>
      </c>
      <c r="Y830">
        <f>IF(ABS(W830)&gt;1E-12,((LTP3!$D$5)*((U830)*(Q830)-(R830)*(V830))-(LTP3!$D$6)*((S830)*(Q830)-(R830)*(T830))+(T830)*((S830)*(V830)-(U830)*(T830)))/W830,0)</f>
        <v/>
      </c>
      <c r="Z830">
        <f>IF(ABS(W830)&gt;1E-12,((LTP3!$D$5)*((P830)*(V830)-(U830)*(R830))-(S830)*((S830)*(V830)-(U830)*(T830))+(LTP3!$D$6)*((S830)*(R830)-(P830)*(T830)))/W830,0)</f>
        <v/>
      </c>
      <c r="AA830">
        <f>LTP3!$D$7-X830*LTP3!$D$6-Y830*U830-Z830*V830</f>
        <v/>
      </c>
      <c r="AB830">
        <f>IF(AND(F830,ABS(W830)&gt;1E-12,Y830&gt;0,Z830&gt;0),AA830,1E+300)</f>
        <v/>
      </c>
    </row>
    <row r="831">
      <c r="A831">
        <f>$B$3+$B$5*13</f>
        <v/>
      </c>
      <c r="B831">
        <f>$B$3+$B$5*26</f>
        <v/>
      </c>
      <c r="C831">
        <f>SUMPRODUCT(Calc!$K$3:$K$22*(Calc!$G$3:$G$22&lt;=A831))</f>
        <v/>
      </c>
      <c r="D831">
        <f>SUMPRODUCT(Calc!$K$3:$K$22*(Calc!$G$3:$G$22&gt;A831)*(Calc!$G$3:$G$22&lt;B831))</f>
        <v/>
      </c>
      <c r="E831">
        <f>SUMPRODUCT(Calc!$K$3:$K$22*(Calc!$G$3:$G$22&gt;=B831))</f>
        <v/>
      </c>
      <c r="F831">
        <f>AND(k_n&gt;=5,B831&gt;A831+1E-9,C831&gt;=2,D831&gt;=1,E831&gt;=2)</f>
        <v/>
      </c>
      <c r="G831">
        <f>SUMPRODUCT(Calc!$K$3:$K$22*(Calc!$G$3:$G$22&gt;A831)*(Calc!$G$3:$G$22-A831))</f>
        <v/>
      </c>
      <c r="H831">
        <f>SUMPRODUCT(Calc!$K$3:$K$22*(Calc!$G$3:$G$22&gt;B831)*(Calc!$G$3:$G$22-B831))</f>
        <v/>
      </c>
      <c r="I831">
        <f>SUMPRODUCT(Calc!$K$3:$K$22*(Calc!$G$3:$G$22&gt;A831)*(Calc!$G$3:$G$22-A831)^2)</f>
        <v/>
      </c>
      <c r="J831">
        <f>SUMPRODUCT(Calc!$K$3:$K$22*(Calc!$G$3:$G$22&gt;B831)*(Calc!$G$3:$G$22-B831)^2)</f>
        <v/>
      </c>
      <c r="K831">
        <f>SUMPRODUCT(Calc!$K$3:$K$22*(Calc!$G$3:$G$22&gt;A831)*(Calc!$G$3:$G$22-A831)*(Calc!$G$3:$G$22&gt;B831)*(Calc!$G$3:$G$22-B831))</f>
        <v/>
      </c>
      <c r="L831">
        <f>SUMPRODUCT(Calc!$K$3:$K$22*(Calc!$G$3:$G$22&gt;A831)*(Calc!$G$3:$G$22-A831)*Calc!$G$3:$G$22)</f>
        <v/>
      </c>
      <c r="M831">
        <f>SUMPRODUCT(Calc!$K$3:$K$22*(Calc!$G$3:$G$22&gt;B831)*(Calc!$G$3:$G$22-B831)*Calc!$G$3:$G$22)</f>
        <v/>
      </c>
      <c r="N831">
        <f>SUMPRODUCT(Calc!$K$3:$K$22*(Calc!$G$3:$G$22&gt;A831)*(Calc!$G$3:$G$22-A831)*Calc!$I$3:$I$22)</f>
        <v/>
      </c>
      <c r="O831">
        <f>SUMPRODUCT(Calc!$K$3:$K$22*(Calc!$G$3:$G$22&gt;B831)*(Calc!$G$3:$G$22-B831)*Calc!$I$3:$I$22)</f>
        <v/>
      </c>
      <c r="P831">
        <f>I831-G831^2/k_n</f>
        <v/>
      </c>
      <c r="Q831">
        <f>J831-H831^2/k_n</f>
        <v/>
      </c>
      <c r="R831">
        <f>K831-G831*H831/k_n</f>
        <v/>
      </c>
      <c r="S831">
        <f>L831-LTP3!$D$3*G831/k_n</f>
        <v/>
      </c>
      <c r="T831">
        <f>M831-LTP3!$D$3*H831/k_n</f>
        <v/>
      </c>
      <c r="U831">
        <f>N831-G831*LTP3!$D$4/k_n</f>
        <v/>
      </c>
      <c r="V831">
        <f>O831-H831*LTP3!$D$4/k_n</f>
        <v/>
      </c>
      <c r="W831">
        <f>((LTP3!$D$5)*((P831)*(Q831)-(R831)*(R831))-(S831)*((S831)*(Q831)-(R831)*(T831))+(T831)*((S831)*(R831)-(P831)*(T831)))</f>
        <v/>
      </c>
      <c r="X831">
        <f>IF(ABS(W831)&gt;1E-12,((LTP3!$D$6)*((P831)*(Q831)-(R831)*(R831))-(S831)*((U831)*(Q831)-(R831)*(V831))+(T831)*((U831)*(R831)-(P831)*(V831)))/W831,0)</f>
        <v/>
      </c>
      <c r="Y831">
        <f>IF(ABS(W831)&gt;1E-12,((LTP3!$D$5)*((U831)*(Q831)-(R831)*(V831))-(LTP3!$D$6)*((S831)*(Q831)-(R831)*(T831))+(T831)*((S831)*(V831)-(U831)*(T831)))/W831,0)</f>
        <v/>
      </c>
      <c r="Z831">
        <f>IF(ABS(W831)&gt;1E-12,((LTP3!$D$5)*((P831)*(V831)-(U831)*(R831))-(S831)*((S831)*(V831)-(U831)*(T831))+(LTP3!$D$6)*((S831)*(R831)-(P831)*(T831)))/W831,0)</f>
        <v/>
      </c>
      <c r="AA831">
        <f>LTP3!$D$7-X831*LTP3!$D$6-Y831*U831-Z831*V831</f>
        <v/>
      </c>
      <c r="AB831">
        <f>IF(AND(F831,ABS(W831)&gt;1E-12,Y831&gt;0,Z831&gt;0),AA831,1E+300)</f>
        <v/>
      </c>
    </row>
    <row r="832">
      <c r="A832">
        <f>$B$3+$B$5*13</f>
        <v/>
      </c>
      <c r="B832">
        <f>$B$3+$B$5*27</f>
        <v/>
      </c>
      <c r="C832">
        <f>SUMPRODUCT(Calc!$K$3:$K$22*(Calc!$G$3:$G$22&lt;=A832))</f>
        <v/>
      </c>
      <c r="D832">
        <f>SUMPRODUCT(Calc!$K$3:$K$22*(Calc!$G$3:$G$22&gt;A832)*(Calc!$G$3:$G$22&lt;B832))</f>
        <v/>
      </c>
      <c r="E832">
        <f>SUMPRODUCT(Calc!$K$3:$K$22*(Calc!$G$3:$G$22&gt;=B832))</f>
        <v/>
      </c>
      <c r="F832">
        <f>AND(k_n&gt;=5,B832&gt;A832+1E-9,C832&gt;=2,D832&gt;=1,E832&gt;=2)</f>
        <v/>
      </c>
      <c r="G832">
        <f>SUMPRODUCT(Calc!$K$3:$K$22*(Calc!$G$3:$G$22&gt;A832)*(Calc!$G$3:$G$22-A832))</f>
        <v/>
      </c>
      <c r="H832">
        <f>SUMPRODUCT(Calc!$K$3:$K$22*(Calc!$G$3:$G$22&gt;B832)*(Calc!$G$3:$G$22-B832))</f>
        <v/>
      </c>
      <c r="I832">
        <f>SUMPRODUCT(Calc!$K$3:$K$22*(Calc!$G$3:$G$22&gt;A832)*(Calc!$G$3:$G$22-A832)^2)</f>
        <v/>
      </c>
      <c r="J832">
        <f>SUMPRODUCT(Calc!$K$3:$K$22*(Calc!$G$3:$G$22&gt;B832)*(Calc!$G$3:$G$22-B832)^2)</f>
        <v/>
      </c>
      <c r="K832">
        <f>SUMPRODUCT(Calc!$K$3:$K$22*(Calc!$G$3:$G$22&gt;A832)*(Calc!$G$3:$G$22-A832)*(Calc!$G$3:$G$22&gt;B832)*(Calc!$G$3:$G$22-B832))</f>
        <v/>
      </c>
      <c r="L832">
        <f>SUMPRODUCT(Calc!$K$3:$K$22*(Calc!$G$3:$G$22&gt;A832)*(Calc!$G$3:$G$22-A832)*Calc!$G$3:$G$22)</f>
        <v/>
      </c>
      <c r="M832">
        <f>SUMPRODUCT(Calc!$K$3:$K$22*(Calc!$G$3:$G$22&gt;B832)*(Calc!$G$3:$G$22-B832)*Calc!$G$3:$G$22)</f>
        <v/>
      </c>
      <c r="N832">
        <f>SUMPRODUCT(Calc!$K$3:$K$22*(Calc!$G$3:$G$22&gt;A832)*(Calc!$G$3:$G$22-A832)*Calc!$I$3:$I$22)</f>
        <v/>
      </c>
      <c r="O832">
        <f>SUMPRODUCT(Calc!$K$3:$K$22*(Calc!$G$3:$G$22&gt;B832)*(Calc!$G$3:$G$22-B832)*Calc!$I$3:$I$22)</f>
        <v/>
      </c>
      <c r="P832">
        <f>I832-G832^2/k_n</f>
        <v/>
      </c>
      <c r="Q832">
        <f>J832-H832^2/k_n</f>
        <v/>
      </c>
      <c r="R832">
        <f>K832-G832*H832/k_n</f>
        <v/>
      </c>
      <c r="S832">
        <f>L832-LTP3!$D$3*G832/k_n</f>
        <v/>
      </c>
      <c r="T832">
        <f>M832-LTP3!$D$3*H832/k_n</f>
        <v/>
      </c>
      <c r="U832">
        <f>N832-G832*LTP3!$D$4/k_n</f>
        <v/>
      </c>
      <c r="V832">
        <f>O832-H832*LTP3!$D$4/k_n</f>
        <v/>
      </c>
      <c r="W832">
        <f>((LTP3!$D$5)*((P832)*(Q832)-(R832)*(R832))-(S832)*((S832)*(Q832)-(R832)*(T832))+(T832)*((S832)*(R832)-(P832)*(T832)))</f>
        <v/>
      </c>
      <c r="X832">
        <f>IF(ABS(W832)&gt;1E-12,((LTP3!$D$6)*((P832)*(Q832)-(R832)*(R832))-(S832)*((U832)*(Q832)-(R832)*(V832))+(T832)*((U832)*(R832)-(P832)*(V832)))/W832,0)</f>
        <v/>
      </c>
      <c r="Y832">
        <f>IF(ABS(W832)&gt;1E-12,((LTP3!$D$5)*((U832)*(Q832)-(R832)*(V832))-(LTP3!$D$6)*((S832)*(Q832)-(R832)*(T832))+(T832)*((S832)*(V832)-(U832)*(T832)))/W832,0)</f>
        <v/>
      </c>
      <c r="Z832">
        <f>IF(ABS(W832)&gt;1E-12,((LTP3!$D$5)*((P832)*(V832)-(U832)*(R832))-(S832)*((S832)*(V832)-(U832)*(T832))+(LTP3!$D$6)*((S832)*(R832)-(P832)*(T832)))/W832,0)</f>
        <v/>
      </c>
      <c r="AA832">
        <f>LTP3!$D$7-X832*LTP3!$D$6-Y832*U832-Z832*V832</f>
        <v/>
      </c>
      <c r="AB832">
        <f>IF(AND(F832,ABS(W832)&gt;1E-12,Y832&gt;0,Z832&gt;0),AA832,1E+300)</f>
        <v/>
      </c>
    </row>
    <row r="833">
      <c r="A833">
        <f>$B$3+$B$5*13</f>
        <v/>
      </c>
      <c r="B833">
        <f>$B$3+$B$5*28</f>
        <v/>
      </c>
      <c r="C833">
        <f>SUMPRODUCT(Calc!$K$3:$K$22*(Calc!$G$3:$G$22&lt;=A833))</f>
        <v/>
      </c>
      <c r="D833">
        <f>SUMPRODUCT(Calc!$K$3:$K$22*(Calc!$G$3:$G$22&gt;A833)*(Calc!$G$3:$G$22&lt;B833))</f>
        <v/>
      </c>
      <c r="E833">
        <f>SUMPRODUCT(Calc!$K$3:$K$22*(Calc!$G$3:$G$22&gt;=B833))</f>
        <v/>
      </c>
      <c r="F833">
        <f>AND(k_n&gt;=5,B833&gt;A833+1E-9,C833&gt;=2,D833&gt;=1,E833&gt;=2)</f>
        <v/>
      </c>
      <c r="G833">
        <f>SUMPRODUCT(Calc!$K$3:$K$22*(Calc!$G$3:$G$22&gt;A833)*(Calc!$G$3:$G$22-A833))</f>
        <v/>
      </c>
      <c r="H833">
        <f>SUMPRODUCT(Calc!$K$3:$K$22*(Calc!$G$3:$G$22&gt;B833)*(Calc!$G$3:$G$22-B833))</f>
        <v/>
      </c>
      <c r="I833">
        <f>SUMPRODUCT(Calc!$K$3:$K$22*(Calc!$G$3:$G$22&gt;A833)*(Calc!$G$3:$G$22-A833)^2)</f>
        <v/>
      </c>
      <c r="J833">
        <f>SUMPRODUCT(Calc!$K$3:$K$22*(Calc!$G$3:$G$22&gt;B833)*(Calc!$G$3:$G$22-B833)^2)</f>
        <v/>
      </c>
      <c r="K833">
        <f>SUMPRODUCT(Calc!$K$3:$K$22*(Calc!$G$3:$G$22&gt;A833)*(Calc!$G$3:$G$22-A833)*(Calc!$G$3:$G$22&gt;B833)*(Calc!$G$3:$G$22-B833))</f>
        <v/>
      </c>
      <c r="L833">
        <f>SUMPRODUCT(Calc!$K$3:$K$22*(Calc!$G$3:$G$22&gt;A833)*(Calc!$G$3:$G$22-A833)*Calc!$G$3:$G$22)</f>
        <v/>
      </c>
      <c r="M833">
        <f>SUMPRODUCT(Calc!$K$3:$K$22*(Calc!$G$3:$G$22&gt;B833)*(Calc!$G$3:$G$22-B833)*Calc!$G$3:$G$22)</f>
        <v/>
      </c>
      <c r="N833">
        <f>SUMPRODUCT(Calc!$K$3:$K$22*(Calc!$G$3:$G$22&gt;A833)*(Calc!$G$3:$G$22-A833)*Calc!$I$3:$I$22)</f>
        <v/>
      </c>
      <c r="O833">
        <f>SUMPRODUCT(Calc!$K$3:$K$22*(Calc!$G$3:$G$22&gt;B833)*(Calc!$G$3:$G$22-B833)*Calc!$I$3:$I$22)</f>
        <v/>
      </c>
      <c r="P833">
        <f>I833-G833^2/k_n</f>
        <v/>
      </c>
      <c r="Q833">
        <f>J833-H833^2/k_n</f>
        <v/>
      </c>
      <c r="R833">
        <f>K833-G833*H833/k_n</f>
        <v/>
      </c>
      <c r="S833">
        <f>L833-LTP3!$D$3*G833/k_n</f>
        <v/>
      </c>
      <c r="T833">
        <f>M833-LTP3!$D$3*H833/k_n</f>
        <v/>
      </c>
      <c r="U833">
        <f>N833-G833*LTP3!$D$4/k_n</f>
        <v/>
      </c>
      <c r="V833">
        <f>O833-H833*LTP3!$D$4/k_n</f>
        <v/>
      </c>
      <c r="W833">
        <f>((LTP3!$D$5)*((P833)*(Q833)-(R833)*(R833))-(S833)*((S833)*(Q833)-(R833)*(T833))+(T833)*((S833)*(R833)-(P833)*(T833)))</f>
        <v/>
      </c>
      <c r="X833">
        <f>IF(ABS(W833)&gt;1E-12,((LTP3!$D$6)*((P833)*(Q833)-(R833)*(R833))-(S833)*((U833)*(Q833)-(R833)*(V833))+(T833)*((U833)*(R833)-(P833)*(V833)))/W833,0)</f>
        <v/>
      </c>
      <c r="Y833">
        <f>IF(ABS(W833)&gt;1E-12,((LTP3!$D$5)*((U833)*(Q833)-(R833)*(V833))-(LTP3!$D$6)*((S833)*(Q833)-(R833)*(T833))+(T833)*((S833)*(V833)-(U833)*(T833)))/W833,0)</f>
        <v/>
      </c>
      <c r="Z833">
        <f>IF(ABS(W833)&gt;1E-12,((LTP3!$D$5)*((P833)*(V833)-(U833)*(R833))-(S833)*((S833)*(V833)-(U833)*(T833))+(LTP3!$D$6)*((S833)*(R833)-(P833)*(T833)))/W833,0)</f>
        <v/>
      </c>
      <c r="AA833">
        <f>LTP3!$D$7-X833*LTP3!$D$6-Y833*U833-Z833*V833</f>
        <v/>
      </c>
      <c r="AB833">
        <f>IF(AND(F833,ABS(W833)&gt;1E-12,Y833&gt;0,Z833&gt;0),AA833,1E+300)</f>
        <v/>
      </c>
    </row>
    <row r="834">
      <c r="A834">
        <f>$B$3+$B$5*13</f>
        <v/>
      </c>
      <c r="B834">
        <f>$B$3+$B$5*29</f>
        <v/>
      </c>
      <c r="C834">
        <f>SUMPRODUCT(Calc!$K$3:$K$22*(Calc!$G$3:$G$22&lt;=A834))</f>
        <v/>
      </c>
      <c r="D834">
        <f>SUMPRODUCT(Calc!$K$3:$K$22*(Calc!$G$3:$G$22&gt;A834)*(Calc!$G$3:$G$22&lt;B834))</f>
        <v/>
      </c>
      <c r="E834">
        <f>SUMPRODUCT(Calc!$K$3:$K$22*(Calc!$G$3:$G$22&gt;=B834))</f>
        <v/>
      </c>
      <c r="F834">
        <f>AND(k_n&gt;=5,B834&gt;A834+1E-9,C834&gt;=2,D834&gt;=1,E834&gt;=2)</f>
        <v/>
      </c>
      <c r="G834">
        <f>SUMPRODUCT(Calc!$K$3:$K$22*(Calc!$G$3:$G$22&gt;A834)*(Calc!$G$3:$G$22-A834))</f>
        <v/>
      </c>
      <c r="H834">
        <f>SUMPRODUCT(Calc!$K$3:$K$22*(Calc!$G$3:$G$22&gt;B834)*(Calc!$G$3:$G$22-B834))</f>
        <v/>
      </c>
      <c r="I834">
        <f>SUMPRODUCT(Calc!$K$3:$K$22*(Calc!$G$3:$G$22&gt;A834)*(Calc!$G$3:$G$22-A834)^2)</f>
        <v/>
      </c>
      <c r="J834">
        <f>SUMPRODUCT(Calc!$K$3:$K$22*(Calc!$G$3:$G$22&gt;B834)*(Calc!$G$3:$G$22-B834)^2)</f>
        <v/>
      </c>
      <c r="K834">
        <f>SUMPRODUCT(Calc!$K$3:$K$22*(Calc!$G$3:$G$22&gt;A834)*(Calc!$G$3:$G$22-A834)*(Calc!$G$3:$G$22&gt;B834)*(Calc!$G$3:$G$22-B834))</f>
        <v/>
      </c>
      <c r="L834">
        <f>SUMPRODUCT(Calc!$K$3:$K$22*(Calc!$G$3:$G$22&gt;A834)*(Calc!$G$3:$G$22-A834)*Calc!$G$3:$G$22)</f>
        <v/>
      </c>
      <c r="M834">
        <f>SUMPRODUCT(Calc!$K$3:$K$22*(Calc!$G$3:$G$22&gt;B834)*(Calc!$G$3:$G$22-B834)*Calc!$G$3:$G$22)</f>
        <v/>
      </c>
      <c r="N834">
        <f>SUMPRODUCT(Calc!$K$3:$K$22*(Calc!$G$3:$G$22&gt;A834)*(Calc!$G$3:$G$22-A834)*Calc!$I$3:$I$22)</f>
        <v/>
      </c>
      <c r="O834">
        <f>SUMPRODUCT(Calc!$K$3:$K$22*(Calc!$G$3:$G$22&gt;B834)*(Calc!$G$3:$G$22-B834)*Calc!$I$3:$I$22)</f>
        <v/>
      </c>
      <c r="P834">
        <f>I834-G834^2/k_n</f>
        <v/>
      </c>
      <c r="Q834">
        <f>J834-H834^2/k_n</f>
        <v/>
      </c>
      <c r="R834">
        <f>K834-G834*H834/k_n</f>
        <v/>
      </c>
      <c r="S834">
        <f>L834-LTP3!$D$3*G834/k_n</f>
        <v/>
      </c>
      <c r="T834">
        <f>M834-LTP3!$D$3*H834/k_n</f>
        <v/>
      </c>
      <c r="U834">
        <f>N834-G834*LTP3!$D$4/k_n</f>
        <v/>
      </c>
      <c r="V834">
        <f>O834-H834*LTP3!$D$4/k_n</f>
        <v/>
      </c>
      <c r="W834">
        <f>((LTP3!$D$5)*((P834)*(Q834)-(R834)*(R834))-(S834)*((S834)*(Q834)-(R834)*(T834))+(T834)*((S834)*(R834)-(P834)*(T834)))</f>
        <v/>
      </c>
      <c r="X834">
        <f>IF(ABS(W834)&gt;1E-12,((LTP3!$D$6)*((P834)*(Q834)-(R834)*(R834))-(S834)*((U834)*(Q834)-(R834)*(V834))+(T834)*((U834)*(R834)-(P834)*(V834)))/W834,0)</f>
        <v/>
      </c>
      <c r="Y834">
        <f>IF(ABS(W834)&gt;1E-12,((LTP3!$D$5)*((U834)*(Q834)-(R834)*(V834))-(LTP3!$D$6)*((S834)*(Q834)-(R834)*(T834))+(T834)*((S834)*(V834)-(U834)*(T834)))/W834,0)</f>
        <v/>
      </c>
      <c r="Z834">
        <f>IF(ABS(W834)&gt;1E-12,((LTP3!$D$5)*((P834)*(V834)-(U834)*(R834))-(S834)*((S834)*(V834)-(U834)*(T834))+(LTP3!$D$6)*((S834)*(R834)-(P834)*(T834)))/W834,0)</f>
        <v/>
      </c>
      <c r="AA834">
        <f>LTP3!$D$7-X834*LTP3!$D$6-Y834*U834-Z834*V834</f>
        <v/>
      </c>
      <c r="AB834">
        <f>IF(AND(F834,ABS(W834)&gt;1E-12,Y834&gt;0,Z834&gt;0),AA834,1E+300)</f>
        <v/>
      </c>
    </row>
    <row r="835">
      <c r="A835">
        <f>$B$3+$B$5*13</f>
        <v/>
      </c>
      <c r="B835">
        <f>$B$3+$B$5*30</f>
        <v/>
      </c>
      <c r="C835">
        <f>SUMPRODUCT(Calc!$K$3:$K$22*(Calc!$G$3:$G$22&lt;=A835))</f>
        <v/>
      </c>
      <c r="D835">
        <f>SUMPRODUCT(Calc!$K$3:$K$22*(Calc!$G$3:$G$22&gt;A835)*(Calc!$G$3:$G$22&lt;B835))</f>
        <v/>
      </c>
      <c r="E835">
        <f>SUMPRODUCT(Calc!$K$3:$K$22*(Calc!$G$3:$G$22&gt;=B835))</f>
        <v/>
      </c>
      <c r="F835">
        <f>AND(k_n&gt;=5,B835&gt;A835+1E-9,C835&gt;=2,D835&gt;=1,E835&gt;=2)</f>
        <v/>
      </c>
      <c r="G835">
        <f>SUMPRODUCT(Calc!$K$3:$K$22*(Calc!$G$3:$G$22&gt;A835)*(Calc!$G$3:$G$22-A835))</f>
        <v/>
      </c>
      <c r="H835">
        <f>SUMPRODUCT(Calc!$K$3:$K$22*(Calc!$G$3:$G$22&gt;B835)*(Calc!$G$3:$G$22-B835))</f>
        <v/>
      </c>
      <c r="I835">
        <f>SUMPRODUCT(Calc!$K$3:$K$22*(Calc!$G$3:$G$22&gt;A835)*(Calc!$G$3:$G$22-A835)^2)</f>
        <v/>
      </c>
      <c r="J835">
        <f>SUMPRODUCT(Calc!$K$3:$K$22*(Calc!$G$3:$G$22&gt;B835)*(Calc!$G$3:$G$22-B835)^2)</f>
        <v/>
      </c>
      <c r="K835">
        <f>SUMPRODUCT(Calc!$K$3:$K$22*(Calc!$G$3:$G$22&gt;A835)*(Calc!$G$3:$G$22-A835)*(Calc!$G$3:$G$22&gt;B835)*(Calc!$G$3:$G$22-B835))</f>
        <v/>
      </c>
      <c r="L835">
        <f>SUMPRODUCT(Calc!$K$3:$K$22*(Calc!$G$3:$G$22&gt;A835)*(Calc!$G$3:$G$22-A835)*Calc!$G$3:$G$22)</f>
        <v/>
      </c>
      <c r="M835">
        <f>SUMPRODUCT(Calc!$K$3:$K$22*(Calc!$G$3:$G$22&gt;B835)*(Calc!$G$3:$G$22-B835)*Calc!$G$3:$G$22)</f>
        <v/>
      </c>
      <c r="N835">
        <f>SUMPRODUCT(Calc!$K$3:$K$22*(Calc!$G$3:$G$22&gt;A835)*(Calc!$G$3:$G$22-A835)*Calc!$I$3:$I$22)</f>
        <v/>
      </c>
      <c r="O835">
        <f>SUMPRODUCT(Calc!$K$3:$K$22*(Calc!$G$3:$G$22&gt;B835)*(Calc!$G$3:$G$22-B835)*Calc!$I$3:$I$22)</f>
        <v/>
      </c>
      <c r="P835">
        <f>I835-G835^2/k_n</f>
        <v/>
      </c>
      <c r="Q835">
        <f>J835-H835^2/k_n</f>
        <v/>
      </c>
      <c r="R835">
        <f>K835-G835*H835/k_n</f>
        <v/>
      </c>
      <c r="S835">
        <f>L835-LTP3!$D$3*G835/k_n</f>
        <v/>
      </c>
      <c r="T835">
        <f>M835-LTP3!$D$3*H835/k_n</f>
        <v/>
      </c>
      <c r="U835">
        <f>N835-G835*LTP3!$D$4/k_n</f>
        <v/>
      </c>
      <c r="V835">
        <f>O835-H835*LTP3!$D$4/k_n</f>
        <v/>
      </c>
      <c r="W835">
        <f>((LTP3!$D$5)*((P835)*(Q835)-(R835)*(R835))-(S835)*((S835)*(Q835)-(R835)*(T835))+(T835)*((S835)*(R835)-(P835)*(T835)))</f>
        <v/>
      </c>
      <c r="X835">
        <f>IF(ABS(W835)&gt;1E-12,((LTP3!$D$6)*((P835)*(Q835)-(R835)*(R835))-(S835)*((U835)*(Q835)-(R835)*(V835))+(T835)*((U835)*(R835)-(P835)*(V835)))/W835,0)</f>
        <v/>
      </c>
      <c r="Y835">
        <f>IF(ABS(W835)&gt;1E-12,((LTP3!$D$5)*((U835)*(Q835)-(R835)*(V835))-(LTP3!$D$6)*((S835)*(Q835)-(R835)*(T835))+(T835)*((S835)*(V835)-(U835)*(T835)))/W835,0)</f>
        <v/>
      </c>
      <c r="Z835">
        <f>IF(ABS(W835)&gt;1E-12,((LTP3!$D$5)*((P835)*(V835)-(U835)*(R835))-(S835)*((S835)*(V835)-(U835)*(T835))+(LTP3!$D$6)*((S835)*(R835)-(P835)*(T835)))/W835,0)</f>
        <v/>
      </c>
      <c r="AA835">
        <f>LTP3!$D$7-X835*LTP3!$D$6-Y835*U835-Z835*V835</f>
        <v/>
      </c>
      <c r="AB835">
        <f>IF(AND(F835,ABS(W835)&gt;1E-12,Y835&gt;0,Z835&gt;0),AA835,1E+300)</f>
        <v/>
      </c>
    </row>
    <row r="836">
      <c r="A836">
        <f>$B$3+$B$5*13</f>
        <v/>
      </c>
      <c r="B836">
        <f>$B$3+$B$5*31</f>
        <v/>
      </c>
      <c r="C836">
        <f>SUMPRODUCT(Calc!$K$3:$K$22*(Calc!$G$3:$G$22&lt;=A836))</f>
        <v/>
      </c>
      <c r="D836">
        <f>SUMPRODUCT(Calc!$K$3:$K$22*(Calc!$G$3:$G$22&gt;A836)*(Calc!$G$3:$G$22&lt;B836))</f>
        <v/>
      </c>
      <c r="E836">
        <f>SUMPRODUCT(Calc!$K$3:$K$22*(Calc!$G$3:$G$22&gt;=B836))</f>
        <v/>
      </c>
      <c r="F836">
        <f>AND(k_n&gt;=5,B836&gt;A836+1E-9,C836&gt;=2,D836&gt;=1,E836&gt;=2)</f>
        <v/>
      </c>
      <c r="G836">
        <f>SUMPRODUCT(Calc!$K$3:$K$22*(Calc!$G$3:$G$22&gt;A836)*(Calc!$G$3:$G$22-A836))</f>
        <v/>
      </c>
      <c r="H836">
        <f>SUMPRODUCT(Calc!$K$3:$K$22*(Calc!$G$3:$G$22&gt;B836)*(Calc!$G$3:$G$22-B836))</f>
        <v/>
      </c>
      <c r="I836">
        <f>SUMPRODUCT(Calc!$K$3:$K$22*(Calc!$G$3:$G$22&gt;A836)*(Calc!$G$3:$G$22-A836)^2)</f>
        <v/>
      </c>
      <c r="J836">
        <f>SUMPRODUCT(Calc!$K$3:$K$22*(Calc!$G$3:$G$22&gt;B836)*(Calc!$G$3:$G$22-B836)^2)</f>
        <v/>
      </c>
      <c r="K836">
        <f>SUMPRODUCT(Calc!$K$3:$K$22*(Calc!$G$3:$G$22&gt;A836)*(Calc!$G$3:$G$22-A836)*(Calc!$G$3:$G$22&gt;B836)*(Calc!$G$3:$G$22-B836))</f>
        <v/>
      </c>
      <c r="L836">
        <f>SUMPRODUCT(Calc!$K$3:$K$22*(Calc!$G$3:$G$22&gt;A836)*(Calc!$G$3:$G$22-A836)*Calc!$G$3:$G$22)</f>
        <v/>
      </c>
      <c r="M836">
        <f>SUMPRODUCT(Calc!$K$3:$K$22*(Calc!$G$3:$G$22&gt;B836)*(Calc!$G$3:$G$22-B836)*Calc!$G$3:$G$22)</f>
        <v/>
      </c>
      <c r="N836">
        <f>SUMPRODUCT(Calc!$K$3:$K$22*(Calc!$G$3:$G$22&gt;A836)*(Calc!$G$3:$G$22-A836)*Calc!$I$3:$I$22)</f>
        <v/>
      </c>
      <c r="O836">
        <f>SUMPRODUCT(Calc!$K$3:$K$22*(Calc!$G$3:$G$22&gt;B836)*(Calc!$G$3:$G$22-B836)*Calc!$I$3:$I$22)</f>
        <v/>
      </c>
      <c r="P836">
        <f>I836-G836^2/k_n</f>
        <v/>
      </c>
      <c r="Q836">
        <f>J836-H836^2/k_n</f>
        <v/>
      </c>
      <c r="R836">
        <f>K836-G836*H836/k_n</f>
        <v/>
      </c>
      <c r="S836">
        <f>L836-LTP3!$D$3*G836/k_n</f>
        <v/>
      </c>
      <c r="T836">
        <f>M836-LTP3!$D$3*H836/k_n</f>
        <v/>
      </c>
      <c r="U836">
        <f>N836-G836*LTP3!$D$4/k_n</f>
        <v/>
      </c>
      <c r="V836">
        <f>O836-H836*LTP3!$D$4/k_n</f>
        <v/>
      </c>
      <c r="W836">
        <f>((LTP3!$D$5)*((P836)*(Q836)-(R836)*(R836))-(S836)*((S836)*(Q836)-(R836)*(T836))+(T836)*((S836)*(R836)-(P836)*(T836)))</f>
        <v/>
      </c>
      <c r="X836">
        <f>IF(ABS(W836)&gt;1E-12,((LTP3!$D$6)*((P836)*(Q836)-(R836)*(R836))-(S836)*((U836)*(Q836)-(R836)*(V836))+(T836)*((U836)*(R836)-(P836)*(V836)))/W836,0)</f>
        <v/>
      </c>
      <c r="Y836">
        <f>IF(ABS(W836)&gt;1E-12,((LTP3!$D$5)*((U836)*(Q836)-(R836)*(V836))-(LTP3!$D$6)*((S836)*(Q836)-(R836)*(T836))+(T836)*((S836)*(V836)-(U836)*(T836)))/W836,0)</f>
        <v/>
      </c>
      <c r="Z836">
        <f>IF(ABS(W836)&gt;1E-12,((LTP3!$D$5)*((P836)*(V836)-(U836)*(R836))-(S836)*((S836)*(V836)-(U836)*(T836))+(LTP3!$D$6)*((S836)*(R836)-(P836)*(T836)))/W836,0)</f>
        <v/>
      </c>
      <c r="AA836">
        <f>LTP3!$D$7-X836*LTP3!$D$6-Y836*U836-Z836*V836</f>
        <v/>
      </c>
      <c r="AB836">
        <f>IF(AND(F836,ABS(W836)&gt;1E-12,Y836&gt;0,Z836&gt;0),AA836,1E+300)</f>
        <v/>
      </c>
    </row>
    <row r="837">
      <c r="A837">
        <f>$B$3+$B$5*13</f>
        <v/>
      </c>
      <c r="B837">
        <f>$B$3+$B$5*32</f>
        <v/>
      </c>
      <c r="C837">
        <f>SUMPRODUCT(Calc!$K$3:$K$22*(Calc!$G$3:$G$22&lt;=A837))</f>
        <v/>
      </c>
      <c r="D837">
        <f>SUMPRODUCT(Calc!$K$3:$K$22*(Calc!$G$3:$G$22&gt;A837)*(Calc!$G$3:$G$22&lt;B837))</f>
        <v/>
      </c>
      <c r="E837">
        <f>SUMPRODUCT(Calc!$K$3:$K$22*(Calc!$G$3:$G$22&gt;=B837))</f>
        <v/>
      </c>
      <c r="F837">
        <f>AND(k_n&gt;=5,B837&gt;A837+1E-9,C837&gt;=2,D837&gt;=1,E837&gt;=2)</f>
        <v/>
      </c>
      <c r="G837">
        <f>SUMPRODUCT(Calc!$K$3:$K$22*(Calc!$G$3:$G$22&gt;A837)*(Calc!$G$3:$G$22-A837))</f>
        <v/>
      </c>
      <c r="H837">
        <f>SUMPRODUCT(Calc!$K$3:$K$22*(Calc!$G$3:$G$22&gt;B837)*(Calc!$G$3:$G$22-B837))</f>
        <v/>
      </c>
      <c r="I837">
        <f>SUMPRODUCT(Calc!$K$3:$K$22*(Calc!$G$3:$G$22&gt;A837)*(Calc!$G$3:$G$22-A837)^2)</f>
        <v/>
      </c>
      <c r="J837">
        <f>SUMPRODUCT(Calc!$K$3:$K$22*(Calc!$G$3:$G$22&gt;B837)*(Calc!$G$3:$G$22-B837)^2)</f>
        <v/>
      </c>
      <c r="K837">
        <f>SUMPRODUCT(Calc!$K$3:$K$22*(Calc!$G$3:$G$22&gt;A837)*(Calc!$G$3:$G$22-A837)*(Calc!$G$3:$G$22&gt;B837)*(Calc!$G$3:$G$22-B837))</f>
        <v/>
      </c>
      <c r="L837">
        <f>SUMPRODUCT(Calc!$K$3:$K$22*(Calc!$G$3:$G$22&gt;A837)*(Calc!$G$3:$G$22-A837)*Calc!$G$3:$G$22)</f>
        <v/>
      </c>
      <c r="M837">
        <f>SUMPRODUCT(Calc!$K$3:$K$22*(Calc!$G$3:$G$22&gt;B837)*(Calc!$G$3:$G$22-B837)*Calc!$G$3:$G$22)</f>
        <v/>
      </c>
      <c r="N837">
        <f>SUMPRODUCT(Calc!$K$3:$K$22*(Calc!$G$3:$G$22&gt;A837)*(Calc!$G$3:$G$22-A837)*Calc!$I$3:$I$22)</f>
        <v/>
      </c>
      <c r="O837">
        <f>SUMPRODUCT(Calc!$K$3:$K$22*(Calc!$G$3:$G$22&gt;B837)*(Calc!$G$3:$G$22-B837)*Calc!$I$3:$I$22)</f>
        <v/>
      </c>
      <c r="P837">
        <f>I837-G837^2/k_n</f>
        <v/>
      </c>
      <c r="Q837">
        <f>J837-H837^2/k_n</f>
        <v/>
      </c>
      <c r="R837">
        <f>K837-G837*H837/k_n</f>
        <v/>
      </c>
      <c r="S837">
        <f>L837-LTP3!$D$3*G837/k_n</f>
        <v/>
      </c>
      <c r="T837">
        <f>M837-LTP3!$D$3*H837/k_n</f>
        <v/>
      </c>
      <c r="U837">
        <f>N837-G837*LTP3!$D$4/k_n</f>
        <v/>
      </c>
      <c r="V837">
        <f>O837-H837*LTP3!$D$4/k_n</f>
        <v/>
      </c>
      <c r="W837">
        <f>((LTP3!$D$5)*((P837)*(Q837)-(R837)*(R837))-(S837)*((S837)*(Q837)-(R837)*(T837))+(T837)*((S837)*(R837)-(P837)*(T837)))</f>
        <v/>
      </c>
      <c r="X837">
        <f>IF(ABS(W837)&gt;1E-12,((LTP3!$D$6)*((P837)*(Q837)-(R837)*(R837))-(S837)*((U837)*(Q837)-(R837)*(V837))+(T837)*((U837)*(R837)-(P837)*(V837)))/W837,0)</f>
        <v/>
      </c>
      <c r="Y837">
        <f>IF(ABS(W837)&gt;1E-12,((LTP3!$D$5)*((U837)*(Q837)-(R837)*(V837))-(LTP3!$D$6)*((S837)*(Q837)-(R837)*(T837))+(T837)*((S837)*(V837)-(U837)*(T837)))/W837,0)</f>
        <v/>
      </c>
      <c r="Z837">
        <f>IF(ABS(W837)&gt;1E-12,((LTP3!$D$5)*((P837)*(V837)-(U837)*(R837))-(S837)*((S837)*(V837)-(U837)*(T837))+(LTP3!$D$6)*((S837)*(R837)-(P837)*(T837)))/W837,0)</f>
        <v/>
      </c>
      <c r="AA837">
        <f>LTP3!$D$7-X837*LTP3!$D$6-Y837*U837-Z837*V837</f>
        <v/>
      </c>
      <c r="AB837">
        <f>IF(AND(F837,ABS(W837)&gt;1E-12,Y837&gt;0,Z837&gt;0),AA837,1E+300)</f>
        <v/>
      </c>
    </row>
    <row r="838">
      <c r="A838">
        <f>$B$3+$B$5*13</f>
        <v/>
      </c>
      <c r="B838">
        <f>$B$3+$B$5*33</f>
        <v/>
      </c>
      <c r="C838">
        <f>SUMPRODUCT(Calc!$K$3:$K$22*(Calc!$G$3:$G$22&lt;=A838))</f>
        <v/>
      </c>
      <c r="D838">
        <f>SUMPRODUCT(Calc!$K$3:$K$22*(Calc!$G$3:$G$22&gt;A838)*(Calc!$G$3:$G$22&lt;B838))</f>
        <v/>
      </c>
      <c r="E838">
        <f>SUMPRODUCT(Calc!$K$3:$K$22*(Calc!$G$3:$G$22&gt;=B838))</f>
        <v/>
      </c>
      <c r="F838">
        <f>AND(k_n&gt;=5,B838&gt;A838+1E-9,C838&gt;=2,D838&gt;=1,E838&gt;=2)</f>
        <v/>
      </c>
      <c r="G838">
        <f>SUMPRODUCT(Calc!$K$3:$K$22*(Calc!$G$3:$G$22&gt;A838)*(Calc!$G$3:$G$22-A838))</f>
        <v/>
      </c>
      <c r="H838">
        <f>SUMPRODUCT(Calc!$K$3:$K$22*(Calc!$G$3:$G$22&gt;B838)*(Calc!$G$3:$G$22-B838))</f>
        <v/>
      </c>
      <c r="I838">
        <f>SUMPRODUCT(Calc!$K$3:$K$22*(Calc!$G$3:$G$22&gt;A838)*(Calc!$G$3:$G$22-A838)^2)</f>
        <v/>
      </c>
      <c r="J838">
        <f>SUMPRODUCT(Calc!$K$3:$K$22*(Calc!$G$3:$G$22&gt;B838)*(Calc!$G$3:$G$22-B838)^2)</f>
        <v/>
      </c>
      <c r="K838">
        <f>SUMPRODUCT(Calc!$K$3:$K$22*(Calc!$G$3:$G$22&gt;A838)*(Calc!$G$3:$G$22-A838)*(Calc!$G$3:$G$22&gt;B838)*(Calc!$G$3:$G$22-B838))</f>
        <v/>
      </c>
      <c r="L838">
        <f>SUMPRODUCT(Calc!$K$3:$K$22*(Calc!$G$3:$G$22&gt;A838)*(Calc!$G$3:$G$22-A838)*Calc!$G$3:$G$22)</f>
        <v/>
      </c>
      <c r="M838">
        <f>SUMPRODUCT(Calc!$K$3:$K$22*(Calc!$G$3:$G$22&gt;B838)*(Calc!$G$3:$G$22-B838)*Calc!$G$3:$G$22)</f>
        <v/>
      </c>
      <c r="N838">
        <f>SUMPRODUCT(Calc!$K$3:$K$22*(Calc!$G$3:$G$22&gt;A838)*(Calc!$G$3:$G$22-A838)*Calc!$I$3:$I$22)</f>
        <v/>
      </c>
      <c r="O838">
        <f>SUMPRODUCT(Calc!$K$3:$K$22*(Calc!$G$3:$G$22&gt;B838)*(Calc!$G$3:$G$22-B838)*Calc!$I$3:$I$22)</f>
        <v/>
      </c>
      <c r="P838">
        <f>I838-G838^2/k_n</f>
        <v/>
      </c>
      <c r="Q838">
        <f>J838-H838^2/k_n</f>
        <v/>
      </c>
      <c r="R838">
        <f>K838-G838*H838/k_n</f>
        <v/>
      </c>
      <c r="S838">
        <f>L838-LTP3!$D$3*G838/k_n</f>
        <v/>
      </c>
      <c r="T838">
        <f>M838-LTP3!$D$3*H838/k_n</f>
        <v/>
      </c>
      <c r="U838">
        <f>N838-G838*LTP3!$D$4/k_n</f>
        <v/>
      </c>
      <c r="V838">
        <f>O838-H838*LTP3!$D$4/k_n</f>
        <v/>
      </c>
      <c r="W838">
        <f>((LTP3!$D$5)*((P838)*(Q838)-(R838)*(R838))-(S838)*((S838)*(Q838)-(R838)*(T838))+(T838)*((S838)*(R838)-(P838)*(T838)))</f>
        <v/>
      </c>
      <c r="X838">
        <f>IF(ABS(W838)&gt;1E-12,((LTP3!$D$6)*((P838)*(Q838)-(R838)*(R838))-(S838)*((U838)*(Q838)-(R838)*(V838))+(T838)*((U838)*(R838)-(P838)*(V838)))/W838,0)</f>
        <v/>
      </c>
      <c r="Y838">
        <f>IF(ABS(W838)&gt;1E-12,((LTP3!$D$5)*((U838)*(Q838)-(R838)*(V838))-(LTP3!$D$6)*((S838)*(Q838)-(R838)*(T838))+(T838)*((S838)*(V838)-(U838)*(T838)))/W838,0)</f>
        <v/>
      </c>
      <c r="Z838">
        <f>IF(ABS(W838)&gt;1E-12,((LTP3!$D$5)*((P838)*(V838)-(U838)*(R838))-(S838)*((S838)*(V838)-(U838)*(T838))+(LTP3!$D$6)*((S838)*(R838)-(P838)*(T838)))/W838,0)</f>
        <v/>
      </c>
      <c r="AA838">
        <f>LTP3!$D$7-X838*LTP3!$D$6-Y838*U838-Z838*V838</f>
        <v/>
      </c>
      <c r="AB838">
        <f>IF(AND(F838,ABS(W838)&gt;1E-12,Y838&gt;0,Z838&gt;0),AA838,1E+300)</f>
        <v/>
      </c>
    </row>
    <row r="839">
      <c r="A839">
        <f>$B$3+$B$5*13</f>
        <v/>
      </c>
      <c r="B839">
        <f>$B$3+$B$5*34</f>
        <v/>
      </c>
      <c r="C839">
        <f>SUMPRODUCT(Calc!$K$3:$K$22*(Calc!$G$3:$G$22&lt;=A839))</f>
        <v/>
      </c>
      <c r="D839">
        <f>SUMPRODUCT(Calc!$K$3:$K$22*(Calc!$G$3:$G$22&gt;A839)*(Calc!$G$3:$G$22&lt;B839))</f>
        <v/>
      </c>
      <c r="E839">
        <f>SUMPRODUCT(Calc!$K$3:$K$22*(Calc!$G$3:$G$22&gt;=B839))</f>
        <v/>
      </c>
      <c r="F839">
        <f>AND(k_n&gt;=5,B839&gt;A839+1E-9,C839&gt;=2,D839&gt;=1,E839&gt;=2)</f>
        <v/>
      </c>
      <c r="G839">
        <f>SUMPRODUCT(Calc!$K$3:$K$22*(Calc!$G$3:$G$22&gt;A839)*(Calc!$G$3:$G$22-A839))</f>
        <v/>
      </c>
      <c r="H839">
        <f>SUMPRODUCT(Calc!$K$3:$K$22*(Calc!$G$3:$G$22&gt;B839)*(Calc!$G$3:$G$22-B839))</f>
        <v/>
      </c>
      <c r="I839">
        <f>SUMPRODUCT(Calc!$K$3:$K$22*(Calc!$G$3:$G$22&gt;A839)*(Calc!$G$3:$G$22-A839)^2)</f>
        <v/>
      </c>
      <c r="J839">
        <f>SUMPRODUCT(Calc!$K$3:$K$22*(Calc!$G$3:$G$22&gt;B839)*(Calc!$G$3:$G$22-B839)^2)</f>
        <v/>
      </c>
      <c r="K839">
        <f>SUMPRODUCT(Calc!$K$3:$K$22*(Calc!$G$3:$G$22&gt;A839)*(Calc!$G$3:$G$22-A839)*(Calc!$G$3:$G$22&gt;B839)*(Calc!$G$3:$G$22-B839))</f>
        <v/>
      </c>
      <c r="L839">
        <f>SUMPRODUCT(Calc!$K$3:$K$22*(Calc!$G$3:$G$22&gt;A839)*(Calc!$G$3:$G$22-A839)*Calc!$G$3:$G$22)</f>
        <v/>
      </c>
      <c r="M839">
        <f>SUMPRODUCT(Calc!$K$3:$K$22*(Calc!$G$3:$G$22&gt;B839)*(Calc!$G$3:$G$22-B839)*Calc!$G$3:$G$22)</f>
        <v/>
      </c>
      <c r="N839">
        <f>SUMPRODUCT(Calc!$K$3:$K$22*(Calc!$G$3:$G$22&gt;A839)*(Calc!$G$3:$G$22-A839)*Calc!$I$3:$I$22)</f>
        <v/>
      </c>
      <c r="O839">
        <f>SUMPRODUCT(Calc!$K$3:$K$22*(Calc!$G$3:$G$22&gt;B839)*(Calc!$G$3:$G$22-B839)*Calc!$I$3:$I$22)</f>
        <v/>
      </c>
      <c r="P839">
        <f>I839-G839^2/k_n</f>
        <v/>
      </c>
      <c r="Q839">
        <f>J839-H839^2/k_n</f>
        <v/>
      </c>
      <c r="R839">
        <f>K839-G839*H839/k_n</f>
        <v/>
      </c>
      <c r="S839">
        <f>L839-LTP3!$D$3*G839/k_n</f>
        <v/>
      </c>
      <c r="T839">
        <f>M839-LTP3!$D$3*H839/k_n</f>
        <v/>
      </c>
      <c r="U839">
        <f>N839-G839*LTP3!$D$4/k_n</f>
        <v/>
      </c>
      <c r="V839">
        <f>O839-H839*LTP3!$D$4/k_n</f>
        <v/>
      </c>
      <c r="W839">
        <f>((LTP3!$D$5)*((P839)*(Q839)-(R839)*(R839))-(S839)*((S839)*(Q839)-(R839)*(T839))+(T839)*((S839)*(R839)-(P839)*(T839)))</f>
        <v/>
      </c>
      <c r="X839">
        <f>IF(ABS(W839)&gt;1E-12,((LTP3!$D$6)*((P839)*(Q839)-(R839)*(R839))-(S839)*((U839)*(Q839)-(R839)*(V839))+(T839)*((U839)*(R839)-(P839)*(V839)))/W839,0)</f>
        <v/>
      </c>
      <c r="Y839">
        <f>IF(ABS(W839)&gt;1E-12,((LTP3!$D$5)*((U839)*(Q839)-(R839)*(V839))-(LTP3!$D$6)*((S839)*(Q839)-(R839)*(T839))+(T839)*((S839)*(V839)-(U839)*(T839)))/W839,0)</f>
        <v/>
      </c>
      <c r="Z839">
        <f>IF(ABS(W839)&gt;1E-12,((LTP3!$D$5)*((P839)*(V839)-(U839)*(R839))-(S839)*((S839)*(V839)-(U839)*(T839))+(LTP3!$D$6)*((S839)*(R839)-(P839)*(T839)))/W839,0)</f>
        <v/>
      </c>
      <c r="AA839">
        <f>LTP3!$D$7-X839*LTP3!$D$6-Y839*U839-Z839*V839</f>
        <v/>
      </c>
      <c r="AB839">
        <f>IF(AND(F839,ABS(W839)&gt;1E-12,Y839&gt;0,Z839&gt;0),AA839,1E+300)</f>
        <v/>
      </c>
    </row>
    <row r="840">
      <c r="A840">
        <f>$B$3+$B$5*13</f>
        <v/>
      </c>
      <c r="B840">
        <f>$B$3+$B$5*35</f>
        <v/>
      </c>
      <c r="C840">
        <f>SUMPRODUCT(Calc!$K$3:$K$22*(Calc!$G$3:$G$22&lt;=A840))</f>
        <v/>
      </c>
      <c r="D840">
        <f>SUMPRODUCT(Calc!$K$3:$K$22*(Calc!$G$3:$G$22&gt;A840)*(Calc!$G$3:$G$22&lt;B840))</f>
        <v/>
      </c>
      <c r="E840">
        <f>SUMPRODUCT(Calc!$K$3:$K$22*(Calc!$G$3:$G$22&gt;=B840))</f>
        <v/>
      </c>
      <c r="F840">
        <f>AND(k_n&gt;=5,B840&gt;A840+1E-9,C840&gt;=2,D840&gt;=1,E840&gt;=2)</f>
        <v/>
      </c>
      <c r="G840">
        <f>SUMPRODUCT(Calc!$K$3:$K$22*(Calc!$G$3:$G$22&gt;A840)*(Calc!$G$3:$G$22-A840))</f>
        <v/>
      </c>
      <c r="H840">
        <f>SUMPRODUCT(Calc!$K$3:$K$22*(Calc!$G$3:$G$22&gt;B840)*(Calc!$G$3:$G$22-B840))</f>
        <v/>
      </c>
      <c r="I840">
        <f>SUMPRODUCT(Calc!$K$3:$K$22*(Calc!$G$3:$G$22&gt;A840)*(Calc!$G$3:$G$22-A840)^2)</f>
        <v/>
      </c>
      <c r="J840">
        <f>SUMPRODUCT(Calc!$K$3:$K$22*(Calc!$G$3:$G$22&gt;B840)*(Calc!$G$3:$G$22-B840)^2)</f>
        <v/>
      </c>
      <c r="K840">
        <f>SUMPRODUCT(Calc!$K$3:$K$22*(Calc!$G$3:$G$22&gt;A840)*(Calc!$G$3:$G$22-A840)*(Calc!$G$3:$G$22&gt;B840)*(Calc!$G$3:$G$22-B840))</f>
        <v/>
      </c>
      <c r="L840">
        <f>SUMPRODUCT(Calc!$K$3:$K$22*(Calc!$G$3:$G$22&gt;A840)*(Calc!$G$3:$G$22-A840)*Calc!$G$3:$G$22)</f>
        <v/>
      </c>
      <c r="M840">
        <f>SUMPRODUCT(Calc!$K$3:$K$22*(Calc!$G$3:$G$22&gt;B840)*(Calc!$G$3:$G$22-B840)*Calc!$G$3:$G$22)</f>
        <v/>
      </c>
      <c r="N840">
        <f>SUMPRODUCT(Calc!$K$3:$K$22*(Calc!$G$3:$G$22&gt;A840)*(Calc!$G$3:$G$22-A840)*Calc!$I$3:$I$22)</f>
        <v/>
      </c>
      <c r="O840">
        <f>SUMPRODUCT(Calc!$K$3:$K$22*(Calc!$G$3:$G$22&gt;B840)*(Calc!$G$3:$G$22-B840)*Calc!$I$3:$I$22)</f>
        <v/>
      </c>
      <c r="P840">
        <f>I840-G840^2/k_n</f>
        <v/>
      </c>
      <c r="Q840">
        <f>J840-H840^2/k_n</f>
        <v/>
      </c>
      <c r="R840">
        <f>K840-G840*H840/k_n</f>
        <v/>
      </c>
      <c r="S840">
        <f>L840-LTP3!$D$3*G840/k_n</f>
        <v/>
      </c>
      <c r="T840">
        <f>M840-LTP3!$D$3*H840/k_n</f>
        <v/>
      </c>
      <c r="U840">
        <f>N840-G840*LTP3!$D$4/k_n</f>
        <v/>
      </c>
      <c r="V840">
        <f>O840-H840*LTP3!$D$4/k_n</f>
        <v/>
      </c>
      <c r="W840">
        <f>((LTP3!$D$5)*((P840)*(Q840)-(R840)*(R840))-(S840)*((S840)*(Q840)-(R840)*(T840))+(T840)*((S840)*(R840)-(P840)*(T840)))</f>
        <v/>
      </c>
      <c r="X840">
        <f>IF(ABS(W840)&gt;1E-12,((LTP3!$D$6)*((P840)*(Q840)-(R840)*(R840))-(S840)*((U840)*(Q840)-(R840)*(V840))+(T840)*((U840)*(R840)-(P840)*(V840)))/W840,0)</f>
        <v/>
      </c>
      <c r="Y840">
        <f>IF(ABS(W840)&gt;1E-12,((LTP3!$D$5)*((U840)*(Q840)-(R840)*(V840))-(LTP3!$D$6)*((S840)*(Q840)-(R840)*(T840))+(T840)*((S840)*(V840)-(U840)*(T840)))/W840,0)</f>
        <v/>
      </c>
      <c r="Z840">
        <f>IF(ABS(W840)&gt;1E-12,((LTP3!$D$5)*((P840)*(V840)-(U840)*(R840))-(S840)*((S840)*(V840)-(U840)*(T840))+(LTP3!$D$6)*((S840)*(R840)-(P840)*(T840)))/W840,0)</f>
        <v/>
      </c>
      <c r="AA840">
        <f>LTP3!$D$7-X840*LTP3!$D$6-Y840*U840-Z840*V840</f>
        <v/>
      </c>
      <c r="AB840">
        <f>IF(AND(F840,ABS(W840)&gt;1E-12,Y840&gt;0,Z840&gt;0),AA840,1E+300)</f>
        <v/>
      </c>
    </row>
    <row r="841">
      <c r="A841">
        <f>$B$3+$B$5*13</f>
        <v/>
      </c>
      <c r="B841">
        <f>$B$3+$B$5*36</f>
        <v/>
      </c>
      <c r="C841">
        <f>SUMPRODUCT(Calc!$K$3:$K$22*(Calc!$G$3:$G$22&lt;=A841))</f>
        <v/>
      </c>
      <c r="D841">
        <f>SUMPRODUCT(Calc!$K$3:$K$22*(Calc!$G$3:$G$22&gt;A841)*(Calc!$G$3:$G$22&lt;B841))</f>
        <v/>
      </c>
      <c r="E841">
        <f>SUMPRODUCT(Calc!$K$3:$K$22*(Calc!$G$3:$G$22&gt;=B841))</f>
        <v/>
      </c>
      <c r="F841">
        <f>AND(k_n&gt;=5,B841&gt;A841+1E-9,C841&gt;=2,D841&gt;=1,E841&gt;=2)</f>
        <v/>
      </c>
      <c r="G841">
        <f>SUMPRODUCT(Calc!$K$3:$K$22*(Calc!$G$3:$G$22&gt;A841)*(Calc!$G$3:$G$22-A841))</f>
        <v/>
      </c>
      <c r="H841">
        <f>SUMPRODUCT(Calc!$K$3:$K$22*(Calc!$G$3:$G$22&gt;B841)*(Calc!$G$3:$G$22-B841))</f>
        <v/>
      </c>
      <c r="I841">
        <f>SUMPRODUCT(Calc!$K$3:$K$22*(Calc!$G$3:$G$22&gt;A841)*(Calc!$G$3:$G$22-A841)^2)</f>
        <v/>
      </c>
      <c r="J841">
        <f>SUMPRODUCT(Calc!$K$3:$K$22*(Calc!$G$3:$G$22&gt;B841)*(Calc!$G$3:$G$22-B841)^2)</f>
        <v/>
      </c>
      <c r="K841">
        <f>SUMPRODUCT(Calc!$K$3:$K$22*(Calc!$G$3:$G$22&gt;A841)*(Calc!$G$3:$G$22-A841)*(Calc!$G$3:$G$22&gt;B841)*(Calc!$G$3:$G$22-B841))</f>
        <v/>
      </c>
      <c r="L841">
        <f>SUMPRODUCT(Calc!$K$3:$K$22*(Calc!$G$3:$G$22&gt;A841)*(Calc!$G$3:$G$22-A841)*Calc!$G$3:$G$22)</f>
        <v/>
      </c>
      <c r="M841">
        <f>SUMPRODUCT(Calc!$K$3:$K$22*(Calc!$G$3:$G$22&gt;B841)*(Calc!$G$3:$G$22-B841)*Calc!$G$3:$G$22)</f>
        <v/>
      </c>
      <c r="N841">
        <f>SUMPRODUCT(Calc!$K$3:$K$22*(Calc!$G$3:$G$22&gt;A841)*(Calc!$G$3:$G$22-A841)*Calc!$I$3:$I$22)</f>
        <v/>
      </c>
      <c r="O841">
        <f>SUMPRODUCT(Calc!$K$3:$K$22*(Calc!$G$3:$G$22&gt;B841)*(Calc!$G$3:$G$22-B841)*Calc!$I$3:$I$22)</f>
        <v/>
      </c>
      <c r="P841">
        <f>I841-G841^2/k_n</f>
        <v/>
      </c>
      <c r="Q841">
        <f>J841-H841^2/k_n</f>
        <v/>
      </c>
      <c r="R841">
        <f>K841-G841*H841/k_n</f>
        <v/>
      </c>
      <c r="S841">
        <f>L841-LTP3!$D$3*G841/k_n</f>
        <v/>
      </c>
      <c r="T841">
        <f>M841-LTP3!$D$3*H841/k_n</f>
        <v/>
      </c>
      <c r="U841">
        <f>N841-G841*LTP3!$D$4/k_n</f>
        <v/>
      </c>
      <c r="V841">
        <f>O841-H841*LTP3!$D$4/k_n</f>
        <v/>
      </c>
      <c r="W841">
        <f>((LTP3!$D$5)*((P841)*(Q841)-(R841)*(R841))-(S841)*((S841)*(Q841)-(R841)*(T841))+(T841)*((S841)*(R841)-(P841)*(T841)))</f>
        <v/>
      </c>
      <c r="X841">
        <f>IF(ABS(W841)&gt;1E-12,((LTP3!$D$6)*((P841)*(Q841)-(R841)*(R841))-(S841)*((U841)*(Q841)-(R841)*(V841))+(T841)*((U841)*(R841)-(P841)*(V841)))/W841,0)</f>
        <v/>
      </c>
      <c r="Y841">
        <f>IF(ABS(W841)&gt;1E-12,((LTP3!$D$5)*((U841)*(Q841)-(R841)*(V841))-(LTP3!$D$6)*((S841)*(Q841)-(R841)*(T841))+(T841)*((S841)*(V841)-(U841)*(T841)))/W841,0)</f>
        <v/>
      </c>
      <c r="Z841">
        <f>IF(ABS(W841)&gt;1E-12,((LTP3!$D$5)*((P841)*(V841)-(U841)*(R841))-(S841)*((S841)*(V841)-(U841)*(T841))+(LTP3!$D$6)*((S841)*(R841)-(P841)*(T841)))/W841,0)</f>
        <v/>
      </c>
      <c r="AA841">
        <f>LTP3!$D$7-X841*LTP3!$D$6-Y841*U841-Z841*V841</f>
        <v/>
      </c>
      <c r="AB841">
        <f>IF(AND(F841,ABS(W841)&gt;1E-12,Y841&gt;0,Z841&gt;0),AA841,1E+300)</f>
        <v/>
      </c>
    </row>
    <row r="842">
      <c r="A842">
        <f>$B$3+$B$5*13</f>
        <v/>
      </c>
      <c r="B842">
        <f>$B$3+$B$5*37</f>
        <v/>
      </c>
      <c r="C842">
        <f>SUMPRODUCT(Calc!$K$3:$K$22*(Calc!$G$3:$G$22&lt;=A842))</f>
        <v/>
      </c>
      <c r="D842">
        <f>SUMPRODUCT(Calc!$K$3:$K$22*(Calc!$G$3:$G$22&gt;A842)*(Calc!$G$3:$G$22&lt;B842))</f>
        <v/>
      </c>
      <c r="E842">
        <f>SUMPRODUCT(Calc!$K$3:$K$22*(Calc!$G$3:$G$22&gt;=B842))</f>
        <v/>
      </c>
      <c r="F842">
        <f>AND(k_n&gt;=5,B842&gt;A842+1E-9,C842&gt;=2,D842&gt;=1,E842&gt;=2)</f>
        <v/>
      </c>
      <c r="G842">
        <f>SUMPRODUCT(Calc!$K$3:$K$22*(Calc!$G$3:$G$22&gt;A842)*(Calc!$G$3:$G$22-A842))</f>
        <v/>
      </c>
      <c r="H842">
        <f>SUMPRODUCT(Calc!$K$3:$K$22*(Calc!$G$3:$G$22&gt;B842)*(Calc!$G$3:$G$22-B842))</f>
        <v/>
      </c>
      <c r="I842">
        <f>SUMPRODUCT(Calc!$K$3:$K$22*(Calc!$G$3:$G$22&gt;A842)*(Calc!$G$3:$G$22-A842)^2)</f>
        <v/>
      </c>
      <c r="J842">
        <f>SUMPRODUCT(Calc!$K$3:$K$22*(Calc!$G$3:$G$22&gt;B842)*(Calc!$G$3:$G$22-B842)^2)</f>
        <v/>
      </c>
      <c r="K842">
        <f>SUMPRODUCT(Calc!$K$3:$K$22*(Calc!$G$3:$G$22&gt;A842)*(Calc!$G$3:$G$22-A842)*(Calc!$G$3:$G$22&gt;B842)*(Calc!$G$3:$G$22-B842))</f>
        <v/>
      </c>
      <c r="L842">
        <f>SUMPRODUCT(Calc!$K$3:$K$22*(Calc!$G$3:$G$22&gt;A842)*(Calc!$G$3:$G$22-A842)*Calc!$G$3:$G$22)</f>
        <v/>
      </c>
      <c r="M842">
        <f>SUMPRODUCT(Calc!$K$3:$K$22*(Calc!$G$3:$G$22&gt;B842)*(Calc!$G$3:$G$22-B842)*Calc!$G$3:$G$22)</f>
        <v/>
      </c>
      <c r="N842">
        <f>SUMPRODUCT(Calc!$K$3:$K$22*(Calc!$G$3:$G$22&gt;A842)*(Calc!$G$3:$G$22-A842)*Calc!$I$3:$I$22)</f>
        <v/>
      </c>
      <c r="O842">
        <f>SUMPRODUCT(Calc!$K$3:$K$22*(Calc!$G$3:$G$22&gt;B842)*(Calc!$G$3:$G$22-B842)*Calc!$I$3:$I$22)</f>
        <v/>
      </c>
      <c r="P842">
        <f>I842-G842^2/k_n</f>
        <v/>
      </c>
      <c r="Q842">
        <f>J842-H842^2/k_n</f>
        <v/>
      </c>
      <c r="R842">
        <f>K842-G842*H842/k_n</f>
        <v/>
      </c>
      <c r="S842">
        <f>L842-LTP3!$D$3*G842/k_n</f>
        <v/>
      </c>
      <c r="T842">
        <f>M842-LTP3!$D$3*H842/k_n</f>
        <v/>
      </c>
      <c r="U842">
        <f>N842-G842*LTP3!$D$4/k_n</f>
        <v/>
      </c>
      <c r="V842">
        <f>O842-H842*LTP3!$D$4/k_n</f>
        <v/>
      </c>
      <c r="W842">
        <f>((LTP3!$D$5)*((P842)*(Q842)-(R842)*(R842))-(S842)*((S842)*(Q842)-(R842)*(T842))+(T842)*((S842)*(R842)-(P842)*(T842)))</f>
        <v/>
      </c>
      <c r="X842">
        <f>IF(ABS(W842)&gt;1E-12,((LTP3!$D$6)*((P842)*(Q842)-(R842)*(R842))-(S842)*((U842)*(Q842)-(R842)*(V842))+(T842)*((U842)*(R842)-(P842)*(V842)))/W842,0)</f>
        <v/>
      </c>
      <c r="Y842">
        <f>IF(ABS(W842)&gt;1E-12,((LTP3!$D$5)*((U842)*(Q842)-(R842)*(V842))-(LTP3!$D$6)*((S842)*(Q842)-(R842)*(T842))+(T842)*((S842)*(V842)-(U842)*(T842)))/W842,0)</f>
        <v/>
      </c>
      <c r="Z842">
        <f>IF(ABS(W842)&gt;1E-12,((LTP3!$D$5)*((P842)*(V842)-(U842)*(R842))-(S842)*((S842)*(V842)-(U842)*(T842))+(LTP3!$D$6)*((S842)*(R842)-(P842)*(T842)))/W842,0)</f>
        <v/>
      </c>
      <c r="AA842">
        <f>LTP3!$D$7-X842*LTP3!$D$6-Y842*U842-Z842*V842</f>
        <v/>
      </c>
      <c r="AB842">
        <f>IF(AND(F842,ABS(W842)&gt;1E-12,Y842&gt;0,Z842&gt;0),AA842,1E+300)</f>
        <v/>
      </c>
    </row>
    <row r="843">
      <c r="A843">
        <f>$B$3+$B$5*13</f>
        <v/>
      </c>
      <c r="B843">
        <f>$B$3+$B$5*38</f>
        <v/>
      </c>
      <c r="C843">
        <f>SUMPRODUCT(Calc!$K$3:$K$22*(Calc!$G$3:$G$22&lt;=A843))</f>
        <v/>
      </c>
      <c r="D843">
        <f>SUMPRODUCT(Calc!$K$3:$K$22*(Calc!$G$3:$G$22&gt;A843)*(Calc!$G$3:$G$22&lt;B843))</f>
        <v/>
      </c>
      <c r="E843">
        <f>SUMPRODUCT(Calc!$K$3:$K$22*(Calc!$G$3:$G$22&gt;=B843))</f>
        <v/>
      </c>
      <c r="F843">
        <f>AND(k_n&gt;=5,B843&gt;A843+1E-9,C843&gt;=2,D843&gt;=1,E843&gt;=2)</f>
        <v/>
      </c>
      <c r="G843">
        <f>SUMPRODUCT(Calc!$K$3:$K$22*(Calc!$G$3:$G$22&gt;A843)*(Calc!$G$3:$G$22-A843))</f>
        <v/>
      </c>
      <c r="H843">
        <f>SUMPRODUCT(Calc!$K$3:$K$22*(Calc!$G$3:$G$22&gt;B843)*(Calc!$G$3:$G$22-B843))</f>
        <v/>
      </c>
      <c r="I843">
        <f>SUMPRODUCT(Calc!$K$3:$K$22*(Calc!$G$3:$G$22&gt;A843)*(Calc!$G$3:$G$22-A843)^2)</f>
        <v/>
      </c>
      <c r="J843">
        <f>SUMPRODUCT(Calc!$K$3:$K$22*(Calc!$G$3:$G$22&gt;B843)*(Calc!$G$3:$G$22-B843)^2)</f>
        <v/>
      </c>
      <c r="K843">
        <f>SUMPRODUCT(Calc!$K$3:$K$22*(Calc!$G$3:$G$22&gt;A843)*(Calc!$G$3:$G$22-A843)*(Calc!$G$3:$G$22&gt;B843)*(Calc!$G$3:$G$22-B843))</f>
        <v/>
      </c>
      <c r="L843">
        <f>SUMPRODUCT(Calc!$K$3:$K$22*(Calc!$G$3:$G$22&gt;A843)*(Calc!$G$3:$G$22-A843)*Calc!$G$3:$G$22)</f>
        <v/>
      </c>
      <c r="M843">
        <f>SUMPRODUCT(Calc!$K$3:$K$22*(Calc!$G$3:$G$22&gt;B843)*(Calc!$G$3:$G$22-B843)*Calc!$G$3:$G$22)</f>
        <v/>
      </c>
      <c r="N843">
        <f>SUMPRODUCT(Calc!$K$3:$K$22*(Calc!$G$3:$G$22&gt;A843)*(Calc!$G$3:$G$22-A843)*Calc!$I$3:$I$22)</f>
        <v/>
      </c>
      <c r="O843">
        <f>SUMPRODUCT(Calc!$K$3:$K$22*(Calc!$G$3:$G$22&gt;B843)*(Calc!$G$3:$G$22-B843)*Calc!$I$3:$I$22)</f>
        <v/>
      </c>
      <c r="P843">
        <f>I843-G843^2/k_n</f>
        <v/>
      </c>
      <c r="Q843">
        <f>J843-H843^2/k_n</f>
        <v/>
      </c>
      <c r="R843">
        <f>K843-G843*H843/k_n</f>
        <v/>
      </c>
      <c r="S843">
        <f>L843-LTP3!$D$3*G843/k_n</f>
        <v/>
      </c>
      <c r="T843">
        <f>M843-LTP3!$D$3*H843/k_n</f>
        <v/>
      </c>
      <c r="U843">
        <f>N843-G843*LTP3!$D$4/k_n</f>
        <v/>
      </c>
      <c r="V843">
        <f>O843-H843*LTP3!$D$4/k_n</f>
        <v/>
      </c>
      <c r="W843">
        <f>((LTP3!$D$5)*((P843)*(Q843)-(R843)*(R843))-(S843)*((S843)*(Q843)-(R843)*(T843))+(T843)*((S843)*(R843)-(P843)*(T843)))</f>
        <v/>
      </c>
      <c r="X843">
        <f>IF(ABS(W843)&gt;1E-12,((LTP3!$D$6)*((P843)*(Q843)-(R843)*(R843))-(S843)*((U843)*(Q843)-(R843)*(V843))+(T843)*((U843)*(R843)-(P843)*(V843)))/W843,0)</f>
        <v/>
      </c>
      <c r="Y843">
        <f>IF(ABS(W843)&gt;1E-12,((LTP3!$D$5)*((U843)*(Q843)-(R843)*(V843))-(LTP3!$D$6)*((S843)*(Q843)-(R843)*(T843))+(T843)*((S843)*(V843)-(U843)*(T843)))/W843,0)</f>
        <v/>
      </c>
      <c r="Z843">
        <f>IF(ABS(W843)&gt;1E-12,((LTP3!$D$5)*((P843)*(V843)-(U843)*(R843))-(S843)*((S843)*(V843)-(U843)*(T843))+(LTP3!$D$6)*((S843)*(R843)-(P843)*(T843)))/W843,0)</f>
        <v/>
      </c>
      <c r="AA843">
        <f>LTP3!$D$7-X843*LTP3!$D$6-Y843*U843-Z843*V843</f>
        <v/>
      </c>
      <c r="AB843">
        <f>IF(AND(F843,ABS(W843)&gt;1E-12,Y843&gt;0,Z843&gt;0),AA843,1E+300)</f>
        <v/>
      </c>
    </row>
    <row r="844">
      <c r="A844">
        <f>$B$3+$B$5*13</f>
        <v/>
      </c>
      <c r="B844">
        <f>$B$3+$B$5*39</f>
        <v/>
      </c>
      <c r="C844">
        <f>SUMPRODUCT(Calc!$K$3:$K$22*(Calc!$G$3:$G$22&lt;=A844))</f>
        <v/>
      </c>
      <c r="D844">
        <f>SUMPRODUCT(Calc!$K$3:$K$22*(Calc!$G$3:$G$22&gt;A844)*(Calc!$G$3:$G$22&lt;B844))</f>
        <v/>
      </c>
      <c r="E844">
        <f>SUMPRODUCT(Calc!$K$3:$K$22*(Calc!$G$3:$G$22&gt;=B844))</f>
        <v/>
      </c>
      <c r="F844">
        <f>AND(k_n&gt;=5,B844&gt;A844+1E-9,C844&gt;=2,D844&gt;=1,E844&gt;=2)</f>
        <v/>
      </c>
      <c r="G844">
        <f>SUMPRODUCT(Calc!$K$3:$K$22*(Calc!$G$3:$G$22&gt;A844)*(Calc!$G$3:$G$22-A844))</f>
        <v/>
      </c>
      <c r="H844">
        <f>SUMPRODUCT(Calc!$K$3:$K$22*(Calc!$G$3:$G$22&gt;B844)*(Calc!$G$3:$G$22-B844))</f>
        <v/>
      </c>
      <c r="I844">
        <f>SUMPRODUCT(Calc!$K$3:$K$22*(Calc!$G$3:$G$22&gt;A844)*(Calc!$G$3:$G$22-A844)^2)</f>
        <v/>
      </c>
      <c r="J844">
        <f>SUMPRODUCT(Calc!$K$3:$K$22*(Calc!$G$3:$G$22&gt;B844)*(Calc!$G$3:$G$22-B844)^2)</f>
        <v/>
      </c>
      <c r="K844">
        <f>SUMPRODUCT(Calc!$K$3:$K$22*(Calc!$G$3:$G$22&gt;A844)*(Calc!$G$3:$G$22-A844)*(Calc!$G$3:$G$22&gt;B844)*(Calc!$G$3:$G$22-B844))</f>
        <v/>
      </c>
      <c r="L844">
        <f>SUMPRODUCT(Calc!$K$3:$K$22*(Calc!$G$3:$G$22&gt;A844)*(Calc!$G$3:$G$22-A844)*Calc!$G$3:$G$22)</f>
        <v/>
      </c>
      <c r="M844">
        <f>SUMPRODUCT(Calc!$K$3:$K$22*(Calc!$G$3:$G$22&gt;B844)*(Calc!$G$3:$G$22-B844)*Calc!$G$3:$G$22)</f>
        <v/>
      </c>
      <c r="N844">
        <f>SUMPRODUCT(Calc!$K$3:$K$22*(Calc!$G$3:$G$22&gt;A844)*(Calc!$G$3:$G$22-A844)*Calc!$I$3:$I$22)</f>
        <v/>
      </c>
      <c r="O844">
        <f>SUMPRODUCT(Calc!$K$3:$K$22*(Calc!$G$3:$G$22&gt;B844)*(Calc!$G$3:$G$22-B844)*Calc!$I$3:$I$22)</f>
        <v/>
      </c>
      <c r="P844">
        <f>I844-G844^2/k_n</f>
        <v/>
      </c>
      <c r="Q844">
        <f>J844-H844^2/k_n</f>
        <v/>
      </c>
      <c r="R844">
        <f>K844-G844*H844/k_n</f>
        <v/>
      </c>
      <c r="S844">
        <f>L844-LTP3!$D$3*G844/k_n</f>
        <v/>
      </c>
      <c r="T844">
        <f>M844-LTP3!$D$3*H844/k_n</f>
        <v/>
      </c>
      <c r="U844">
        <f>N844-G844*LTP3!$D$4/k_n</f>
        <v/>
      </c>
      <c r="V844">
        <f>O844-H844*LTP3!$D$4/k_n</f>
        <v/>
      </c>
      <c r="W844">
        <f>((LTP3!$D$5)*((P844)*(Q844)-(R844)*(R844))-(S844)*((S844)*(Q844)-(R844)*(T844))+(T844)*((S844)*(R844)-(P844)*(T844)))</f>
        <v/>
      </c>
      <c r="X844">
        <f>IF(ABS(W844)&gt;1E-12,((LTP3!$D$6)*((P844)*(Q844)-(R844)*(R844))-(S844)*((U844)*(Q844)-(R844)*(V844))+(T844)*((U844)*(R844)-(P844)*(V844)))/W844,0)</f>
        <v/>
      </c>
      <c r="Y844">
        <f>IF(ABS(W844)&gt;1E-12,((LTP3!$D$5)*((U844)*(Q844)-(R844)*(V844))-(LTP3!$D$6)*((S844)*(Q844)-(R844)*(T844))+(T844)*((S844)*(V844)-(U844)*(T844)))/W844,0)</f>
        <v/>
      </c>
      <c r="Z844">
        <f>IF(ABS(W844)&gt;1E-12,((LTP3!$D$5)*((P844)*(V844)-(U844)*(R844))-(S844)*((S844)*(V844)-(U844)*(T844))+(LTP3!$D$6)*((S844)*(R844)-(P844)*(T844)))/W844,0)</f>
        <v/>
      </c>
      <c r="AA844">
        <f>LTP3!$D$7-X844*LTP3!$D$6-Y844*U844-Z844*V844</f>
        <v/>
      </c>
      <c r="AB844">
        <f>IF(AND(F844,ABS(W844)&gt;1E-12,Y844&gt;0,Z844&gt;0),AA844,1E+300)</f>
        <v/>
      </c>
    </row>
    <row r="845">
      <c r="A845">
        <f>$B$3+$B$5*13</f>
        <v/>
      </c>
      <c r="B845">
        <f>$B$3+$B$5*40</f>
        <v/>
      </c>
      <c r="C845">
        <f>SUMPRODUCT(Calc!$K$3:$K$22*(Calc!$G$3:$G$22&lt;=A845))</f>
        <v/>
      </c>
      <c r="D845">
        <f>SUMPRODUCT(Calc!$K$3:$K$22*(Calc!$G$3:$G$22&gt;A845)*(Calc!$G$3:$G$22&lt;B845))</f>
        <v/>
      </c>
      <c r="E845">
        <f>SUMPRODUCT(Calc!$K$3:$K$22*(Calc!$G$3:$G$22&gt;=B845))</f>
        <v/>
      </c>
      <c r="F845">
        <f>AND(k_n&gt;=5,B845&gt;A845+1E-9,C845&gt;=2,D845&gt;=1,E845&gt;=2)</f>
        <v/>
      </c>
      <c r="G845">
        <f>SUMPRODUCT(Calc!$K$3:$K$22*(Calc!$G$3:$G$22&gt;A845)*(Calc!$G$3:$G$22-A845))</f>
        <v/>
      </c>
      <c r="H845">
        <f>SUMPRODUCT(Calc!$K$3:$K$22*(Calc!$G$3:$G$22&gt;B845)*(Calc!$G$3:$G$22-B845))</f>
        <v/>
      </c>
      <c r="I845">
        <f>SUMPRODUCT(Calc!$K$3:$K$22*(Calc!$G$3:$G$22&gt;A845)*(Calc!$G$3:$G$22-A845)^2)</f>
        <v/>
      </c>
      <c r="J845">
        <f>SUMPRODUCT(Calc!$K$3:$K$22*(Calc!$G$3:$G$22&gt;B845)*(Calc!$G$3:$G$22-B845)^2)</f>
        <v/>
      </c>
      <c r="K845">
        <f>SUMPRODUCT(Calc!$K$3:$K$22*(Calc!$G$3:$G$22&gt;A845)*(Calc!$G$3:$G$22-A845)*(Calc!$G$3:$G$22&gt;B845)*(Calc!$G$3:$G$22-B845))</f>
        <v/>
      </c>
      <c r="L845">
        <f>SUMPRODUCT(Calc!$K$3:$K$22*(Calc!$G$3:$G$22&gt;A845)*(Calc!$G$3:$G$22-A845)*Calc!$G$3:$G$22)</f>
        <v/>
      </c>
      <c r="M845">
        <f>SUMPRODUCT(Calc!$K$3:$K$22*(Calc!$G$3:$G$22&gt;B845)*(Calc!$G$3:$G$22-B845)*Calc!$G$3:$G$22)</f>
        <v/>
      </c>
      <c r="N845">
        <f>SUMPRODUCT(Calc!$K$3:$K$22*(Calc!$G$3:$G$22&gt;A845)*(Calc!$G$3:$G$22-A845)*Calc!$I$3:$I$22)</f>
        <v/>
      </c>
      <c r="O845">
        <f>SUMPRODUCT(Calc!$K$3:$K$22*(Calc!$G$3:$G$22&gt;B845)*(Calc!$G$3:$G$22-B845)*Calc!$I$3:$I$22)</f>
        <v/>
      </c>
      <c r="P845">
        <f>I845-G845^2/k_n</f>
        <v/>
      </c>
      <c r="Q845">
        <f>J845-H845^2/k_n</f>
        <v/>
      </c>
      <c r="R845">
        <f>K845-G845*H845/k_n</f>
        <v/>
      </c>
      <c r="S845">
        <f>L845-LTP3!$D$3*G845/k_n</f>
        <v/>
      </c>
      <c r="T845">
        <f>M845-LTP3!$D$3*H845/k_n</f>
        <v/>
      </c>
      <c r="U845">
        <f>N845-G845*LTP3!$D$4/k_n</f>
        <v/>
      </c>
      <c r="V845">
        <f>O845-H845*LTP3!$D$4/k_n</f>
        <v/>
      </c>
      <c r="W845">
        <f>((LTP3!$D$5)*((P845)*(Q845)-(R845)*(R845))-(S845)*((S845)*(Q845)-(R845)*(T845))+(T845)*((S845)*(R845)-(P845)*(T845)))</f>
        <v/>
      </c>
      <c r="X845">
        <f>IF(ABS(W845)&gt;1E-12,((LTP3!$D$6)*((P845)*(Q845)-(R845)*(R845))-(S845)*((U845)*(Q845)-(R845)*(V845))+(T845)*((U845)*(R845)-(P845)*(V845)))/W845,0)</f>
        <v/>
      </c>
      <c r="Y845">
        <f>IF(ABS(W845)&gt;1E-12,((LTP3!$D$5)*((U845)*(Q845)-(R845)*(V845))-(LTP3!$D$6)*((S845)*(Q845)-(R845)*(T845))+(T845)*((S845)*(V845)-(U845)*(T845)))/W845,0)</f>
        <v/>
      </c>
      <c r="Z845">
        <f>IF(ABS(W845)&gt;1E-12,((LTP3!$D$5)*((P845)*(V845)-(U845)*(R845))-(S845)*((S845)*(V845)-(U845)*(T845))+(LTP3!$D$6)*((S845)*(R845)-(P845)*(T845)))/W845,0)</f>
        <v/>
      </c>
      <c r="AA845">
        <f>LTP3!$D$7-X845*LTP3!$D$6-Y845*U845-Z845*V845</f>
        <v/>
      </c>
      <c r="AB845">
        <f>IF(AND(F845,ABS(W845)&gt;1E-12,Y845&gt;0,Z845&gt;0),AA845,1E+300)</f>
        <v/>
      </c>
    </row>
    <row r="846">
      <c r="A846">
        <f>$B$3+$B$5*13</f>
        <v/>
      </c>
      <c r="B846">
        <f>$B$3+$B$5*41</f>
        <v/>
      </c>
      <c r="C846">
        <f>SUMPRODUCT(Calc!$K$3:$K$22*(Calc!$G$3:$G$22&lt;=A846))</f>
        <v/>
      </c>
      <c r="D846">
        <f>SUMPRODUCT(Calc!$K$3:$K$22*(Calc!$G$3:$G$22&gt;A846)*(Calc!$G$3:$G$22&lt;B846))</f>
        <v/>
      </c>
      <c r="E846">
        <f>SUMPRODUCT(Calc!$K$3:$K$22*(Calc!$G$3:$G$22&gt;=B846))</f>
        <v/>
      </c>
      <c r="F846">
        <f>AND(k_n&gt;=5,B846&gt;A846+1E-9,C846&gt;=2,D846&gt;=1,E846&gt;=2)</f>
        <v/>
      </c>
      <c r="G846">
        <f>SUMPRODUCT(Calc!$K$3:$K$22*(Calc!$G$3:$G$22&gt;A846)*(Calc!$G$3:$G$22-A846))</f>
        <v/>
      </c>
      <c r="H846">
        <f>SUMPRODUCT(Calc!$K$3:$K$22*(Calc!$G$3:$G$22&gt;B846)*(Calc!$G$3:$G$22-B846))</f>
        <v/>
      </c>
      <c r="I846">
        <f>SUMPRODUCT(Calc!$K$3:$K$22*(Calc!$G$3:$G$22&gt;A846)*(Calc!$G$3:$G$22-A846)^2)</f>
        <v/>
      </c>
      <c r="J846">
        <f>SUMPRODUCT(Calc!$K$3:$K$22*(Calc!$G$3:$G$22&gt;B846)*(Calc!$G$3:$G$22-B846)^2)</f>
        <v/>
      </c>
      <c r="K846">
        <f>SUMPRODUCT(Calc!$K$3:$K$22*(Calc!$G$3:$G$22&gt;A846)*(Calc!$G$3:$G$22-A846)*(Calc!$G$3:$G$22&gt;B846)*(Calc!$G$3:$G$22-B846))</f>
        <v/>
      </c>
      <c r="L846">
        <f>SUMPRODUCT(Calc!$K$3:$K$22*(Calc!$G$3:$G$22&gt;A846)*(Calc!$G$3:$G$22-A846)*Calc!$G$3:$G$22)</f>
        <v/>
      </c>
      <c r="M846">
        <f>SUMPRODUCT(Calc!$K$3:$K$22*(Calc!$G$3:$G$22&gt;B846)*(Calc!$G$3:$G$22-B846)*Calc!$G$3:$G$22)</f>
        <v/>
      </c>
      <c r="N846">
        <f>SUMPRODUCT(Calc!$K$3:$K$22*(Calc!$G$3:$G$22&gt;A846)*(Calc!$G$3:$G$22-A846)*Calc!$I$3:$I$22)</f>
        <v/>
      </c>
      <c r="O846">
        <f>SUMPRODUCT(Calc!$K$3:$K$22*(Calc!$G$3:$G$22&gt;B846)*(Calc!$G$3:$G$22-B846)*Calc!$I$3:$I$22)</f>
        <v/>
      </c>
      <c r="P846">
        <f>I846-G846^2/k_n</f>
        <v/>
      </c>
      <c r="Q846">
        <f>J846-H846^2/k_n</f>
        <v/>
      </c>
      <c r="R846">
        <f>K846-G846*H846/k_n</f>
        <v/>
      </c>
      <c r="S846">
        <f>L846-LTP3!$D$3*G846/k_n</f>
        <v/>
      </c>
      <c r="T846">
        <f>M846-LTP3!$D$3*H846/k_n</f>
        <v/>
      </c>
      <c r="U846">
        <f>N846-G846*LTP3!$D$4/k_n</f>
        <v/>
      </c>
      <c r="V846">
        <f>O846-H846*LTP3!$D$4/k_n</f>
        <v/>
      </c>
      <c r="W846">
        <f>((LTP3!$D$5)*((P846)*(Q846)-(R846)*(R846))-(S846)*((S846)*(Q846)-(R846)*(T846))+(T846)*((S846)*(R846)-(P846)*(T846)))</f>
        <v/>
      </c>
      <c r="X846">
        <f>IF(ABS(W846)&gt;1E-12,((LTP3!$D$6)*((P846)*(Q846)-(R846)*(R846))-(S846)*((U846)*(Q846)-(R846)*(V846))+(T846)*((U846)*(R846)-(P846)*(V846)))/W846,0)</f>
        <v/>
      </c>
      <c r="Y846">
        <f>IF(ABS(W846)&gt;1E-12,((LTP3!$D$5)*((U846)*(Q846)-(R846)*(V846))-(LTP3!$D$6)*((S846)*(Q846)-(R846)*(T846))+(T846)*((S846)*(V846)-(U846)*(T846)))/W846,0)</f>
        <v/>
      </c>
      <c r="Z846">
        <f>IF(ABS(W846)&gt;1E-12,((LTP3!$D$5)*((P846)*(V846)-(U846)*(R846))-(S846)*((S846)*(V846)-(U846)*(T846))+(LTP3!$D$6)*((S846)*(R846)-(P846)*(T846)))/W846,0)</f>
        <v/>
      </c>
      <c r="AA846">
        <f>LTP3!$D$7-X846*LTP3!$D$6-Y846*U846-Z846*V846</f>
        <v/>
      </c>
      <c r="AB846">
        <f>IF(AND(F846,ABS(W846)&gt;1E-12,Y846&gt;0,Z846&gt;0),AA846,1E+300)</f>
        <v/>
      </c>
    </row>
    <row r="847">
      <c r="A847">
        <f>$B$3+$B$5*13</f>
        <v/>
      </c>
      <c r="B847">
        <f>$B$3+$B$5*42</f>
        <v/>
      </c>
      <c r="C847">
        <f>SUMPRODUCT(Calc!$K$3:$K$22*(Calc!$G$3:$G$22&lt;=A847))</f>
        <v/>
      </c>
      <c r="D847">
        <f>SUMPRODUCT(Calc!$K$3:$K$22*(Calc!$G$3:$G$22&gt;A847)*(Calc!$G$3:$G$22&lt;B847))</f>
        <v/>
      </c>
      <c r="E847">
        <f>SUMPRODUCT(Calc!$K$3:$K$22*(Calc!$G$3:$G$22&gt;=B847))</f>
        <v/>
      </c>
      <c r="F847">
        <f>AND(k_n&gt;=5,B847&gt;A847+1E-9,C847&gt;=2,D847&gt;=1,E847&gt;=2)</f>
        <v/>
      </c>
      <c r="G847">
        <f>SUMPRODUCT(Calc!$K$3:$K$22*(Calc!$G$3:$G$22&gt;A847)*(Calc!$G$3:$G$22-A847))</f>
        <v/>
      </c>
      <c r="H847">
        <f>SUMPRODUCT(Calc!$K$3:$K$22*(Calc!$G$3:$G$22&gt;B847)*(Calc!$G$3:$G$22-B847))</f>
        <v/>
      </c>
      <c r="I847">
        <f>SUMPRODUCT(Calc!$K$3:$K$22*(Calc!$G$3:$G$22&gt;A847)*(Calc!$G$3:$G$22-A847)^2)</f>
        <v/>
      </c>
      <c r="J847">
        <f>SUMPRODUCT(Calc!$K$3:$K$22*(Calc!$G$3:$G$22&gt;B847)*(Calc!$G$3:$G$22-B847)^2)</f>
        <v/>
      </c>
      <c r="K847">
        <f>SUMPRODUCT(Calc!$K$3:$K$22*(Calc!$G$3:$G$22&gt;A847)*(Calc!$G$3:$G$22-A847)*(Calc!$G$3:$G$22&gt;B847)*(Calc!$G$3:$G$22-B847))</f>
        <v/>
      </c>
      <c r="L847">
        <f>SUMPRODUCT(Calc!$K$3:$K$22*(Calc!$G$3:$G$22&gt;A847)*(Calc!$G$3:$G$22-A847)*Calc!$G$3:$G$22)</f>
        <v/>
      </c>
      <c r="M847">
        <f>SUMPRODUCT(Calc!$K$3:$K$22*(Calc!$G$3:$G$22&gt;B847)*(Calc!$G$3:$G$22-B847)*Calc!$G$3:$G$22)</f>
        <v/>
      </c>
      <c r="N847">
        <f>SUMPRODUCT(Calc!$K$3:$K$22*(Calc!$G$3:$G$22&gt;A847)*(Calc!$G$3:$G$22-A847)*Calc!$I$3:$I$22)</f>
        <v/>
      </c>
      <c r="O847">
        <f>SUMPRODUCT(Calc!$K$3:$K$22*(Calc!$G$3:$G$22&gt;B847)*(Calc!$G$3:$G$22-B847)*Calc!$I$3:$I$22)</f>
        <v/>
      </c>
      <c r="P847">
        <f>I847-G847^2/k_n</f>
        <v/>
      </c>
      <c r="Q847">
        <f>J847-H847^2/k_n</f>
        <v/>
      </c>
      <c r="R847">
        <f>K847-G847*H847/k_n</f>
        <v/>
      </c>
      <c r="S847">
        <f>L847-LTP3!$D$3*G847/k_n</f>
        <v/>
      </c>
      <c r="T847">
        <f>M847-LTP3!$D$3*H847/k_n</f>
        <v/>
      </c>
      <c r="U847">
        <f>N847-G847*LTP3!$D$4/k_n</f>
        <v/>
      </c>
      <c r="V847">
        <f>O847-H847*LTP3!$D$4/k_n</f>
        <v/>
      </c>
      <c r="W847">
        <f>((LTP3!$D$5)*((P847)*(Q847)-(R847)*(R847))-(S847)*((S847)*(Q847)-(R847)*(T847))+(T847)*((S847)*(R847)-(P847)*(T847)))</f>
        <v/>
      </c>
      <c r="X847">
        <f>IF(ABS(W847)&gt;1E-12,((LTP3!$D$6)*((P847)*(Q847)-(R847)*(R847))-(S847)*((U847)*(Q847)-(R847)*(V847))+(T847)*((U847)*(R847)-(P847)*(V847)))/W847,0)</f>
        <v/>
      </c>
      <c r="Y847">
        <f>IF(ABS(W847)&gt;1E-12,((LTP3!$D$5)*((U847)*(Q847)-(R847)*(V847))-(LTP3!$D$6)*((S847)*(Q847)-(R847)*(T847))+(T847)*((S847)*(V847)-(U847)*(T847)))/W847,0)</f>
        <v/>
      </c>
      <c r="Z847">
        <f>IF(ABS(W847)&gt;1E-12,((LTP3!$D$5)*((P847)*(V847)-(U847)*(R847))-(S847)*((S847)*(V847)-(U847)*(T847))+(LTP3!$D$6)*((S847)*(R847)-(P847)*(T847)))/W847,0)</f>
        <v/>
      </c>
      <c r="AA847">
        <f>LTP3!$D$7-X847*LTP3!$D$6-Y847*U847-Z847*V847</f>
        <v/>
      </c>
      <c r="AB847">
        <f>IF(AND(F847,ABS(W847)&gt;1E-12,Y847&gt;0,Z847&gt;0),AA847,1E+300)</f>
        <v/>
      </c>
    </row>
    <row r="848">
      <c r="A848">
        <f>$B$3+$B$5*13</f>
        <v/>
      </c>
      <c r="B848">
        <f>$B$3+$B$5*43</f>
        <v/>
      </c>
      <c r="C848">
        <f>SUMPRODUCT(Calc!$K$3:$K$22*(Calc!$G$3:$G$22&lt;=A848))</f>
        <v/>
      </c>
      <c r="D848">
        <f>SUMPRODUCT(Calc!$K$3:$K$22*(Calc!$G$3:$G$22&gt;A848)*(Calc!$G$3:$G$22&lt;B848))</f>
        <v/>
      </c>
      <c r="E848">
        <f>SUMPRODUCT(Calc!$K$3:$K$22*(Calc!$G$3:$G$22&gt;=B848))</f>
        <v/>
      </c>
      <c r="F848">
        <f>AND(k_n&gt;=5,B848&gt;A848+1E-9,C848&gt;=2,D848&gt;=1,E848&gt;=2)</f>
        <v/>
      </c>
      <c r="G848">
        <f>SUMPRODUCT(Calc!$K$3:$K$22*(Calc!$G$3:$G$22&gt;A848)*(Calc!$G$3:$G$22-A848))</f>
        <v/>
      </c>
      <c r="H848">
        <f>SUMPRODUCT(Calc!$K$3:$K$22*(Calc!$G$3:$G$22&gt;B848)*(Calc!$G$3:$G$22-B848))</f>
        <v/>
      </c>
      <c r="I848">
        <f>SUMPRODUCT(Calc!$K$3:$K$22*(Calc!$G$3:$G$22&gt;A848)*(Calc!$G$3:$G$22-A848)^2)</f>
        <v/>
      </c>
      <c r="J848">
        <f>SUMPRODUCT(Calc!$K$3:$K$22*(Calc!$G$3:$G$22&gt;B848)*(Calc!$G$3:$G$22-B848)^2)</f>
        <v/>
      </c>
      <c r="K848">
        <f>SUMPRODUCT(Calc!$K$3:$K$22*(Calc!$G$3:$G$22&gt;A848)*(Calc!$G$3:$G$22-A848)*(Calc!$G$3:$G$22&gt;B848)*(Calc!$G$3:$G$22-B848))</f>
        <v/>
      </c>
      <c r="L848">
        <f>SUMPRODUCT(Calc!$K$3:$K$22*(Calc!$G$3:$G$22&gt;A848)*(Calc!$G$3:$G$22-A848)*Calc!$G$3:$G$22)</f>
        <v/>
      </c>
      <c r="M848">
        <f>SUMPRODUCT(Calc!$K$3:$K$22*(Calc!$G$3:$G$22&gt;B848)*(Calc!$G$3:$G$22-B848)*Calc!$G$3:$G$22)</f>
        <v/>
      </c>
      <c r="N848">
        <f>SUMPRODUCT(Calc!$K$3:$K$22*(Calc!$G$3:$G$22&gt;A848)*(Calc!$G$3:$G$22-A848)*Calc!$I$3:$I$22)</f>
        <v/>
      </c>
      <c r="O848">
        <f>SUMPRODUCT(Calc!$K$3:$K$22*(Calc!$G$3:$G$22&gt;B848)*(Calc!$G$3:$G$22-B848)*Calc!$I$3:$I$22)</f>
        <v/>
      </c>
      <c r="P848">
        <f>I848-G848^2/k_n</f>
        <v/>
      </c>
      <c r="Q848">
        <f>J848-H848^2/k_n</f>
        <v/>
      </c>
      <c r="R848">
        <f>K848-G848*H848/k_n</f>
        <v/>
      </c>
      <c r="S848">
        <f>L848-LTP3!$D$3*G848/k_n</f>
        <v/>
      </c>
      <c r="T848">
        <f>M848-LTP3!$D$3*H848/k_n</f>
        <v/>
      </c>
      <c r="U848">
        <f>N848-G848*LTP3!$D$4/k_n</f>
        <v/>
      </c>
      <c r="V848">
        <f>O848-H848*LTP3!$D$4/k_n</f>
        <v/>
      </c>
      <c r="W848">
        <f>((LTP3!$D$5)*((P848)*(Q848)-(R848)*(R848))-(S848)*((S848)*(Q848)-(R848)*(T848))+(T848)*((S848)*(R848)-(P848)*(T848)))</f>
        <v/>
      </c>
      <c r="X848">
        <f>IF(ABS(W848)&gt;1E-12,((LTP3!$D$6)*((P848)*(Q848)-(R848)*(R848))-(S848)*((U848)*(Q848)-(R848)*(V848))+(T848)*((U848)*(R848)-(P848)*(V848)))/W848,0)</f>
        <v/>
      </c>
      <c r="Y848">
        <f>IF(ABS(W848)&gt;1E-12,((LTP3!$D$5)*((U848)*(Q848)-(R848)*(V848))-(LTP3!$D$6)*((S848)*(Q848)-(R848)*(T848))+(T848)*((S848)*(V848)-(U848)*(T848)))/W848,0)</f>
        <v/>
      </c>
      <c r="Z848">
        <f>IF(ABS(W848)&gt;1E-12,((LTP3!$D$5)*((P848)*(V848)-(U848)*(R848))-(S848)*((S848)*(V848)-(U848)*(T848))+(LTP3!$D$6)*((S848)*(R848)-(P848)*(T848)))/W848,0)</f>
        <v/>
      </c>
      <c r="AA848">
        <f>LTP3!$D$7-X848*LTP3!$D$6-Y848*U848-Z848*V848</f>
        <v/>
      </c>
      <c r="AB848">
        <f>IF(AND(F848,ABS(W848)&gt;1E-12,Y848&gt;0,Z848&gt;0),AA848,1E+300)</f>
        <v/>
      </c>
    </row>
    <row r="849">
      <c r="A849">
        <f>$B$3+$B$5*13</f>
        <v/>
      </c>
      <c r="B849">
        <f>$B$3+$B$5*44</f>
        <v/>
      </c>
      <c r="C849">
        <f>SUMPRODUCT(Calc!$K$3:$K$22*(Calc!$G$3:$G$22&lt;=A849))</f>
        <v/>
      </c>
      <c r="D849">
        <f>SUMPRODUCT(Calc!$K$3:$K$22*(Calc!$G$3:$G$22&gt;A849)*(Calc!$G$3:$G$22&lt;B849))</f>
        <v/>
      </c>
      <c r="E849">
        <f>SUMPRODUCT(Calc!$K$3:$K$22*(Calc!$G$3:$G$22&gt;=B849))</f>
        <v/>
      </c>
      <c r="F849">
        <f>AND(k_n&gt;=5,B849&gt;A849+1E-9,C849&gt;=2,D849&gt;=1,E849&gt;=2)</f>
        <v/>
      </c>
      <c r="G849">
        <f>SUMPRODUCT(Calc!$K$3:$K$22*(Calc!$G$3:$G$22&gt;A849)*(Calc!$G$3:$G$22-A849))</f>
        <v/>
      </c>
      <c r="H849">
        <f>SUMPRODUCT(Calc!$K$3:$K$22*(Calc!$G$3:$G$22&gt;B849)*(Calc!$G$3:$G$22-B849))</f>
        <v/>
      </c>
      <c r="I849">
        <f>SUMPRODUCT(Calc!$K$3:$K$22*(Calc!$G$3:$G$22&gt;A849)*(Calc!$G$3:$G$22-A849)^2)</f>
        <v/>
      </c>
      <c r="J849">
        <f>SUMPRODUCT(Calc!$K$3:$K$22*(Calc!$G$3:$G$22&gt;B849)*(Calc!$G$3:$G$22-B849)^2)</f>
        <v/>
      </c>
      <c r="K849">
        <f>SUMPRODUCT(Calc!$K$3:$K$22*(Calc!$G$3:$G$22&gt;A849)*(Calc!$G$3:$G$22-A849)*(Calc!$G$3:$G$22&gt;B849)*(Calc!$G$3:$G$22-B849))</f>
        <v/>
      </c>
      <c r="L849">
        <f>SUMPRODUCT(Calc!$K$3:$K$22*(Calc!$G$3:$G$22&gt;A849)*(Calc!$G$3:$G$22-A849)*Calc!$G$3:$G$22)</f>
        <v/>
      </c>
      <c r="M849">
        <f>SUMPRODUCT(Calc!$K$3:$K$22*(Calc!$G$3:$G$22&gt;B849)*(Calc!$G$3:$G$22-B849)*Calc!$G$3:$G$22)</f>
        <v/>
      </c>
      <c r="N849">
        <f>SUMPRODUCT(Calc!$K$3:$K$22*(Calc!$G$3:$G$22&gt;A849)*(Calc!$G$3:$G$22-A849)*Calc!$I$3:$I$22)</f>
        <v/>
      </c>
      <c r="O849">
        <f>SUMPRODUCT(Calc!$K$3:$K$22*(Calc!$G$3:$G$22&gt;B849)*(Calc!$G$3:$G$22-B849)*Calc!$I$3:$I$22)</f>
        <v/>
      </c>
      <c r="P849">
        <f>I849-G849^2/k_n</f>
        <v/>
      </c>
      <c r="Q849">
        <f>J849-H849^2/k_n</f>
        <v/>
      </c>
      <c r="R849">
        <f>K849-G849*H849/k_n</f>
        <v/>
      </c>
      <c r="S849">
        <f>L849-LTP3!$D$3*G849/k_n</f>
        <v/>
      </c>
      <c r="T849">
        <f>M849-LTP3!$D$3*H849/k_n</f>
        <v/>
      </c>
      <c r="U849">
        <f>N849-G849*LTP3!$D$4/k_n</f>
        <v/>
      </c>
      <c r="V849">
        <f>O849-H849*LTP3!$D$4/k_n</f>
        <v/>
      </c>
      <c r="W849">
        <f>((LTP3!$D$5)*((P849)*(Q849)-(R849)*(R849))-(S849)*((S849)*(Q849)-(R849)*(T849))+(T849)*((S849)*(R849)-(P849)*(T849)))</f>
        <v/>
      </c>
      <c r="X849">
        <f>IF(ABS(W849)&gt;1E-12,((LTP3!$D$6)*((P849)*(Q849)-(R849)*(R849))-(S849)*((U849)*(Q849)-(R849)*(V849))+(T849)*((U849)*(R849)-(P849)*(V849)))/W849,0)</f>
        <v/>
      </c>
      <c r="Y849">
        <f>IF(ABS(W849)&gt;1E-12,((LTP3!$D$5)*((U849)*(Q849)-(R849)*(V849))-(LTP3!$D$6)*((S849)*(Q849)-(R849)*(T849))+(T849)*((S849)*(V849)-(U849)*(T849)))/W849,0)</f>
        <v/>
      </c>
      <c r="Z849">
        <f>IF(ABS(W849)&gt;1E-12,((LTP3!$D$5)*((P849)*(V849)-(U849)*(R849))-(S849)*((S849)*(V849)-(U849)*(T849))+(LTP3!$D$6)*((S849)*(R849)-(P849)*(T849)))/W849,0)</f>
        <v/>
      </c>
      <c r="AA849">
        <f>LTP3!$D$7-X849*LTP3!$D$6-Y849*U849-Z849*V849</f>
        <v/>
      </c>
      <c r="AB849">
        <f>IF(AND(F849,ABS(W849)&gt;1E-12,Y849&gt;0,Z849&gt;0),AA849,1E+300)</f>
        <v/>
      </c>
    </row>
    <row r="850">
      <c r="A850">
        <f>$B$3+$B$5*13</f>
        <v/>
      </c>
      <c r="B850">
        <f>$B$3+$B$5*45</f>
        <v/>
      </c>
      <c r="C850">
        <f>SUMPRODUCT(Calc!$K$3:$K$22*(Calc!$G$3:$G$22&lt;=A850))</f>
        <v/>
      </c>
      <c r="D850">
        <f>SUMPRODUCT(Calc!$K$3:$K$22*(Calc!$G$3:$G$22&gt;A850)*(Calc!$G$3:$G$22&lt;B850))</f>
        <v/>
      </c>
      <c r="E850">
        <f>SUMPRODUCT(Calc!$K$3:$K$22*(Calc!$G$3:$G$22&gt;=B850))</f>
        <v/>
      </c>
      <c r="F850">
        <f>AND(k_n&gt;=5,B850&gt;A850+1E-9,C850&gt;=2,D850&gt;=1,E850&gt;=2)</f>
        <v/>
      </c>
      <c r="G850">
        <f>SUMPRODUCT(Calc!$K$3:$K$22*(Calc!$G$3:$G$22&gt;A850)*(Calc!$G$3:$G$22-A850))</f>
        <v/>
      </c>
      <c r="H850">
        <f>SUMPRODUCT(Calc!$K$3:$K$22*(Calc!$G$3:$G$22&gt;B850)*(Calc!$G$3:$G$22-B850))</f>
        <v/>
      </c>
      <c r="I850">
        <f>SUMPRODUCT(Calc!$K$3:$K$22*(Calc!$G$3:$G$22&gt;A850)*(Calc!$G$3:$G$22-A850)^2)</f>
        <v/>
      </c>
      <c r="J850">
        <f>SUMPRODUCT(Calc!$K$3:$K$22*(Calc!$G$3:$G$22&gt;B850)*(Calc!$G$3:$G$22-B850)^2)</f>
        <v/>
      </c>
      <c r="K850">
        <f>SUMPRODUCT(Calc!$K$3:$K$22*(Calc!$G$3:$G$22&gt;A850)*(Calc!$G$3:$G$22-A850)*(Calc!$G$3:$G$22&gt;B850)*(Calc!$G$3:$G$22-B850))</f>
        <v/>
      </c>
      <c r="L850">
        <f>SUMPRODUCT(Calc!$K$3:$K$22*(Calc!$G$3:$G$22&gt;A850)*(Calc!$G$3:$G$22-A850)*Calc!$G$3:$G$22)</f>
        <v/>
      </c>
      <c r="M850">
        <f>SUMPRODUCT(Calc!$K$3:$K$22*(Calc!$G$3:$G$22&gt;B850)*(Calc!$G$3:$G$22-B850)*Calc!$G$3:$G$22)</f>
        <v/>
      </c>
      <c r="N850">
        <f>SUMPRODUCT(Calc!$K$3:$K$22*(Calc!$G$3:$G$22&gt;A850)*(Calc!$G$3:$G$22-A850)*Calc!$I$3:$I$22)</f>
        <v/>
      </c>
      <c r="O850">
        <f>SUMPRODUCT(Calc!$K$3:$K$22*(Calc!$G$3:$G$22&gt;B850)*(Calc!$G$3:$G$22-B850)*Calc!$I$3:$I$22)</f>
        <v/>
      </c>
      <c r="P850">
        <f>I850-G850^2/k_n</f>
        <v/>
      </c>
      <c r="Q850">
        <f>J850-H850^2/k_n</f>
        <v/>
      </c>
      <c r="R850">
        <f>K850-G850*H850/k_n</f>
        <v/>
      </c>
      <c r="S850">
        <f>L850-LTP3!$D$3*G850/k_n</f>
        <v/>
      </c>
      <c r="T850">
        <f>M850-LTP3!$D$3*H850/k_n</f>
        <v/>
      </c>
      <c r="U850">
        <f>N850-G850*LTP3!$D$4/k_n</f>
        <v/>
      </c>
      <c r="V850">
        <f>O850-H850*LTP3!$D$4/k_n</f>
        <v/>
      </c>
      <c r="W850">
        <f>((LTP3!$D$5)*((P850)*(Q850)-(R850)*(R850))-(S850)*((S850)*(Q850)-(R850)*(T850))+(T850)*((S850)*(R850)-(P850)*(T850)))</f>
        <v/>
      </c>
      <c r="X850">
        <f>IF(ABS(W850)&gt;1E-12,((LTP3!$D$6)*((P850)*(Q850)-(R850)*(R850))-(S850)*((U850)*(Q850)-(R850)*(V850))+(T850)*((U850)*(R850)-(P850)*(V850)))/W850,0)</f>
        <v/>
      </c>
      <c r="Y850">
        <f>IF(ABS(W850)&gt;1E-12,((LTP3!$D$5)*((U850)*(Q850)-(R850)*(V850))-(LTP3!$D$6)*((S850)*(Q850)-(R850)*(T850))+(T850)*((S850)*(V850)-(U850)*(T850)))/W850,0)</f>
        <v/>
      </c>
      <c r="Z850">
        <f>IF(ABS(W850)&gt;1E-12,((LTP3!$D$5)*((P850)*(V850)-(U850)*(R850))-(S850)*((S850)*(V850)-(U850)*(T850))+(LTP3!$D$6)*((S850)*(R850)-(P850)*(T850)))/W850,0)</f>
        <v/>
      </c>
      <c r="AA850">
        <f>LTP3!$D$7-X850*LTP3!$D$6-Y850*U850-Z850*V850</f>
        <v/>
      </c>
      <c r="AB850">
        <f>IF(AND(F850,ABS(W850)&gt;1E-12,Y850&gt;0,Z850&gt;0),AA850,1E+300)</f>
        <v/>
      </c>
    </row>
    <row r="851">
      <c r="A851">
        <f>$B$3+$B$5*13</f>
        <v/>
      </c>
      <c r="B851">
        <f>$B$3+$B$5*46</f>
        <v/>
      </c>
      <c r="C851">
        <f>SUMPRODUCT(Calc!$K$3:$K$22*(Calc!$G$3:$G$22&lt;=A851))</f>
        <v/>
      </c>
      <c r="D851">
        <f>SUMPRODUCT(Calc!$K$3:$K$22*(Calc!$G$3:$G$22&gt;A851)*(Calc!$G$3:$G$22&lt;B851))</f>
        <v/>
      </c>
      <c r="E851">
        <f>SUMPRODUCT(Calc!$K$3:$K$22*(Calc!$G$3:$G$22&gt;=B851))</f>
        <v/>
      </c>
      <c r="F851">
        <f>AND(k_n&gt;=5,B851&gt;A851+1E-9,C851&gt;=2,D851&gt;=1,E851&gt;=2)</f>
        <v/>
      </c>
      <c r="G851">
        <f>SUMPRODUCT(Calc!$K$3:$K$22*(Calc!$G$3:$G$22&gt;A851)*(Calc!$G$3:$G$22-A851))</f>
        <v/>
      </c>
      <c r="H851">
        <f>SUMPRODUCT(Calc!$K$3:$K$22*(Calc!$G$3:$G$22&gt;B851)*(Calc!$G$3:$G$22-B851))</f>
        <v/>
      </c>
      <c r="I851">
        <f>SUMPRODUCT(Calc!$K$3:$K$22*(Calc!$G$3:$G$22&gt;A851)*(Calc!$G$3:$G$22-A851)^2)</f>
        <v/>
      </c>
      <c r="J851">
        <f>SUMPRODUCT(Calc!$K$3:$K$22*(Calc!$G$3:$G$22&gt;B851)*(Calc!$G$3:$G$22-B851)^2)</f>
        <v/>
      </c>
      <c r="K851">
        <f>SUMPRODUCT(Calc!$K$3:$K$22*(Calc!$G$3:$G$22&gt;A851)*(Calc!$G$3:$G$22-A851)*(Calc!$G$3:$G$22&gt;B851)*(Calc!$G$3:$G$22-B851))</f>
        <v/>
      </c>
      <c r="L851">
        <f>SUMPRODUCT(Calc!$K$3:$K$22*(Calc!$G$3:$G$22&gt;A851)*(Calc!$G$3:$G$22-A851)*Calc!$G$3:$G$22)</f>
        <v/>
      </c>
      <c r="M851">
        <f>SUMPRODUCT(Calc!$K$3:$K$22*(Calc!$G$3:$G$22&gt;B851)*(Calc!$G$3:$G$22-B851)*Calc!$G$3:$G$22)</f>
        <v/>
      </c>
      <c r="N851">
        <f>SUMPRODUCT(Calc!$K$3:$K$22*(Calc!$G$3:$G$22&gt;A851)*(Calc!$G$3:$G$22-A851)*Calc!$I$3:$I$22)</f>
        <v/>
      </c>
      <c r="O851">
        <f>SUMPRODUCT(Calc!$K$3:$K$22*(Calc!$G$3:$G$22&gt;B851)*(Calc!$G$3:$G$22-B851)*Calc!$I$3:$I$22)</f>
        <v/>
      </c>
      <c r="P851">
        <f>I851-G851^2/k_n</f>
        <v/>
      </c>
      <c r="Q851">
        <f>J851-H851^2/k_n</f>
        <v/>
      </c>
      <c r="R851">
        <f>K851-G851*H851/k_n</f>
        <v/>
      </c>
      <c r="S851">
        <f>L851-LTP3!$D$3*G851/k_n</f>
        <v/>
      </c>
      <c r="T851">
        <f>M851-LTP3!$D$3*H851/k_n</f>
        <v/>
      </c>
      <c r="U851">
        <f>N851-G851*LTP3!$D$4/k_n</f>
        <v/>
      </c>
      <c r="V851">
        <f>O851-H851*LTP3!$D$4/k_n</f>
        <v/>
      </c>
      <c r="W851">
        <f>((LTP3!$D$5)*((P851)*(Q851)-(R851)*(R851))-(S851)*((S851)*(Q851)-(R851)*(T851))+(T851)*((S851)*(R851)-(P851)*(T851)))</f>
        <v/>
      </c>
      <c r="X851">
        <f>IF(ABS(W851)&gt;1E-12,((LTP3!$D$6)*((P851)*(Q851)-(R851)*(R851))-(S851)*((U851)*(Q851)-(R851)*(V851))+(T851)*((U851)*(R851)-(P851)*(V851)))/W851,0)</f>
        <v/>
      </c>
      <c r="Y851">
        <f>IF(ABS(W851)&gt;1E-12,((LTP3!$D$5)*((U851)*(Q851)-(R851)*(V851))-(LTP3!$D$6)*((S851)*(Q851)-(R851)*(T851))+(T851)*((S851)*(V851)-(U851)*(T851)))/W851,0)</f>
        <v/>
      </c>
      <c r="Z851">
        <f>IF(ABS(W851)&gt;1E-12,((LTP3!$D$5)*((P851)*(V851)-(U851)*(R851))-(S851)*((S851)*(V851)-(U851)*(T851))+(LTP3!$D$6)*((S851)*(R851)-(P851)*(T851)))/W851,0)</f>
        <v/>
      </c>
      <c r="AA851">
        <f>LTP3!$D$7-X851*LTP3!$D$6-Y851*U851-Z851*V851</f>
        <v/>
      </c>
      <c r="AB851">
        <f>IF(AND(F851,ABS(W851)&gt;1E-12,Y851&gt;0,Z851&gt;0),AA851,1E+300)</f>
        <v/>
      </c>
    </row>
    <row r="852">
      <c r="A852">
        <f>$B$3+$B$5*13</f>
        <v/>
      </c>
      <c r="B852">
        <f>$B$3+$B$5*47</f>
        <v/>
      </c>
      <c r="C852">
        <f>SUMPRODUCT(Calc!$K$3:$K$22*(Calc!$G$3:$G$22&lt;=A852))</f>
        <v/>
      </c>
      <c r="D852">
        <f>SUMPRODUCT(Calc!$K$3:$K$22*(Calc!$G$3:$G$22&gt;A852)*(Calc!$G$3:$G$22&lt;B852))</f>
        <v/>
      </c>
      <c r="E852">
        <f>SUMPRODUCT(Calc!$K$3:$K$22*(Calc!$G$3:$G$22&gt;=B852))</f>
        <v/>
      </c>
      <c r="F852">
        <f>AND(k_n&gt;=5,B852&gt;A852+1E-9,C852&gt;=2,D852&gt;=1,E852&gt;=2)</f>
        <v/>
      </c>
      <c r="G852">
        <f>SUMPRODUCT(Calc!$K$3:$K$22*(Calc!$G$3:$G$22&gt;A852)*(Calc!$G$3:$G$22-A852))</f>
        <v/>
      </c>
      <c r="H852">
        <f>SUMPRODUCT(Calc!$K$3:$K$22*(Calc!$G$3:$G$22&gt;B852)*(Calc!$G$3:$G$22-B852))</f>
        <v/>
      </c>
      <c r="I852">
        <f>SUMPRODUCT(Calc!$K$3:$K$22*(Calc!$G$3:$G$22&gt;A852)*(Calc!$G$3:$G$22-A852)^2)</f>
        <v/>
      </c>
      <c r="J852">
        <f>SUMPRODUCT(Calc!$K$3:$K$22*(Calc!$G$3:$G$22&gt;B852)*(Calc!$G$3:$G$22-B852)^2)</f>
        <v/>
      </c>
      <c r="K852">
        <f>SUMPRODUCT(Calc!$K$3:$K$22*(Calc!$G$3:$G$22&gt;A852)*(Calc!$G$3:$G$22-A852)*(Calc!$G$3:$G$22&gt;B852)*(Calc!$G$3:$G$22-B852))</f>
        <v/>
      </c>
      <c r="L852">
        <f>SUMPRODUCT(Calc!$K$3:$K$22*(Calc!$G$3:$G$22&gt;A852)*(Calc!$G$3:$G$22-A852)*Calc!$G$3:$G$22)</f>
        <v/>
      </c>
      <c r="M852">
        <f>SUMPRODUCT(Calc!$K$3:$K$22*(Calc!$G$3:$G$22&gt;B852)*(Calc!$G$3:$G$22-B852)*Calc!$G$3:$G$22)</f>
        <v/>
      </c>
      <c r="N852">
        <f>SUMPRODUCT(Calc!$K$3:$K$22*(Calc!$G$3:$G$22&gt;A852)*(Calc!$G$3:$G$22-A852)*Calc!$I$3:$I$22)</f>
        <v/>
      </c>
      <c r="O852">
        <f>SUMPRODUCT(Calc!$K$3:$K$22*(Calc!$G$3:$G$22&gt;B852)*(Calc!$G$3:$G$22-B852)*Calc!$I$3:$I$22)</f>
        <v/>
      </c>
      <c r="P852">
        <f>I852-G852^2/k_n</f>
        <v/>
      </c>
      <c r="Q852">
        <f>J852-H852^2/k_n</f>
        <v/>
      </c>
      <c r="R852">
        <f>K852-G852*H852/k_n</f>
        <v/>
      </c>
      <c r="S852">
        <f>L852-LTP3!$D$3*G852/k_n</f>
        <v/>
      </c>
      <c r="T852">
        <f>M852-LTP3!$D$3*H852/k_n</f>
        <v/>
      </c>
      <c r="U852">
        <f>N852-G852*LTP3!$D$4/k_n</f>
        <v/>
      </c>
      <c r="V852">
        <f>O852-H852*LTP3!$D$4/k_n</f>
        <v/>
      </c>
      <c r="W852">
        <f>((LTP3!$D$5)*((P852)*(Q852)-(R852)*(R852))-(S852)*((S852)*(Q852)-(R852)*(T852))+(T852)*((S852)*(R852)-(P852)*(T852)))</f>
        <v/>
      </c>
      <c r="X852">
        <f>IF(ABS(W852)&gt;1E-12,((LTP3!$D$6)*((P852)*(Q852)-(R852)*(R852))-(S852)*((U852)*(Q852)-(R852)*(V852))+(T852)*((U852)*(R852)-(P852)*(V852)))/W852,0)</f>
        <v/>
      </c>
      <c r="Y852">
        <f>IF(ABS(W852)&gt;1E-12,((LTP3!$D$5)*((U852)*(Q852)-(R852)*(V852))-(LTP3!$D$6)*((S852)*(Q852)-(R852)*(T852))+(T852)*((S852)*(V852)-(U852)*(T852)))/W852,0)</f>
        <v/>
      </c>
      <c r="Z852">
        <f>IF(ABS(W852)&gt;1E-12,((LTP3!$D$5)*((P852)*(V852)-(U852)*(R852))-(S852)*((S852)*(V852)-(U852)*(T852))+(LTP3!$D$6)*((S852)*(R852)-(P852)*(T852)))/W852,0)</f>
        <v/>
      </c>
      <c r="AA852">
        <f>LTP3!$D$7-X852*LTP3!$D$6-Y852*U852-Z852*V852</f>
        <v/>
      </c>
      <c r="AB852">
        <f>IF(AND(F852,ABS(W852)&gt;1E-12,Y852&gt;0,Z852&gt;0),AA852,1E+300)</f>
        <v/>
      </c>
    </row>
    <row r="853">
      <c r="A853">
        <f>$B$3+$B$5*13</f>
        <v/>
      </c>
      <c r="B853">
        <f>$B$3+$B$5*48</f>
        <v/>
      </c>
      <c r="C853">
        <f>SUMPRODUCT(Calc!$K$3:$K$22*(Calc!$G$3:$G$22&lt;=A853))</f>
        <v/>
      </c>
      <c r="D853">
        <f>SUMPRODUCT(Calc!$K$3:$K$22*(Calc!$G$3:$G$22&gt;A853)*(Calc!$G$3:$G$22&lt;B853))</f>
        <v/>
      </c>
      <c r="E853">
        <f>SUMPRODUCT(Calc!$K$3:$K$22*(Calc!$G$3:$G$22&gt;=B853))</f>
        <v/>
      </c>
      <c r="F853">
        <f>AND(k_n&gt;=5,B853&gt;A853+1E-9,C853&gt;=2,D853&gt;=1,E853&gt;=2)</f>
        <v/>
      </c>
      <c r="G853">
        <f>SUMPRODUCT(Calc!$K$3:$K$22*(Calc!$G$3:$G$22&gt;A853)*(Calc!$G$3:$G$22-A853))</f>
        <v/>
      </c>
      <c r="H853">
        <f>SUMPRODUCT(Calc!$K$3:$K$22*(Calc!$G$3:$G$22&gt;B853)*(Calc!$G$3:$G$22-B853))</f>
        <v/>
      </c>
      <c r="I853">
        <f>SUMPRODUCT(Calc!$K$3:$K$22*(Calc!$G$3:$G$22&gt;A853)*(Calc!$G$3:$G$22-A853)^2)</f>
        <v/>
      </c>
      <c r="J853">
        <f>SUMPRODUCT(Calc!$K$3:$K$22*(Calc!$G$3:$G$22&gt;B853)*(Calc!$G$3:$G$22-B853)^2)</f>
        <v/>
      </c>
      <c r="K853">
        <f>SUMPRODUCT(Calc!$K$3:$K$22*(Calc!$G$3:$G$22&gt;A853)*(Calc!$G$3:$G$22-A853)*(Calc!$G$3:$G$22&gt;B853)*(Calc!$G$3:$G$22-B853))</f>
        <v/>
      </c>
      <c r="L853">
        <f>SUMPRODUCT(Calc!$K$3:$K$22*(Calc!$G$3:$G$22&gt;A853)*(Calc!$G$3:$G$22-A853)*Calc!$G$3:$G$22)</f>
        <v/>
      </c>
      <c r="M853">
        <f>SUMPRODUCT(Calc!$K$3:$K$22*(Calc!$G$3:$G$22&gt;B853)*(Calc!$G$3:$G$22-B853)*Calc!$G$3:$G$22)</f>
        <v/>
      </c>
      <c r="N853">
        <f>SUMPRODUCT(Calc!$K$3:$K$22*(Calc!$G$3:$G$22&gt;A853)*(Calc!$G$3:$G$22-A853)*Calc!$I$3:$I$22)</f>
        <v/>
      </c>
      <c r="O853">
        <f>SUMPRODUCT(Calc!$K$3:$K$22*(Calc!$G$3:$G$22&gt;B853)*(Calc!$G$3:$G$22-B853)*Calc!$I$3:$I$22)</f>
        <v/>
      </c>
      <c r="P853">
        <f>I853-G853^2/k_n</f>
        <v/>
      </c>
      <c r="Q853">
        <f>J853-H853^2/k_n</f>
        <v/>
      </c>
      <c r="R853">
        <f>K853-G853*H853/k_n</f>
        <v/>
      </c>
      <c r="S853">
        <f>L853-LTP3!$D$3*G853/k_n</f>
        <v/>
      </c>
      <c r="T853">
        <f>M853-LTP3!$D$3*H853/k_n</f>
        <v/>
      </c>
      <c r="U853">
        <f>N853-G853*LTP3!$D$4/k_n</f>
        <v/>
      </c>
      <c r="V853">
        <f>O853-H853*LTP3!$D$4/k_n</f>
        <v/>
      </c>
      <c r="W853">
        <f>((LTP3!$D$5)*((P853)*(Q853)-(R853)*(R853))-(S853)*((S853)*(Q853)-(R853)*(T853))+(T853)*((S853)*(R853)-(P853)*(T853)))</f>
        <v/>
      </c>
      <c r="X853">
        <f>IF(ABS(W853)&gt;1E-12,((LTP3!$D$6)*((P853)*(Q853)-(R853)*(R853))-(S853)*((U853)*(Q853)-(R853)*(V853))+(T853)*((U853)*(R853)-(P853)*(V853)))/W853,0)</f>
        <v/>
      </c>
      <c r="Y853">
        <f>IF(ABS(W853)&gt;1E-12,((LTP3!$D$5)*((U853)*(Q853)-(R853)*(V853))-(LTP3!$D$6)*((S853)*(Q853)-(R853)*(T853))+(T853)*((S853)*(V853)-(U853)*(T853)))/W853,0)</f>
        <v/>
      </c>
      <c r="Z853">
        <f>IF(ABS(W853)&gt;1E-12,((LTP3!$D$5)*((P853)*(V853)-(U853)*(R853))-(S853)*((S853)*(V853)-(U853)*(T853))+(LTP3!$D$6)*((S853)*(R853)-(P853)*(T853)))/W853,0)</f>
        <v/>
      </c>
      <c r="AA853">
        <f>LTP3!$D$7-X853*LTP3!$D$6-Y853*U853-Z853*V853</f>
        <v/>
      </c>
      <c r="AB853">
        <f>IF(AND(F853,ABS(W853)&gt;1E-12,Y853&gt;0,Z853&gt;0),AA853,1E+300)</f>
        <v/>
      </c>
    </row>
    <row r="854">
      <c r="A854">
        <f>$B$3+$B$5*13</f>
        <v/>
      </c>
      <c r="B854">
        <f>$B$3+$B$5*49</f>
        <v/>
      </c>
      <c r="C854">
        <f>SUMPRODUCT(Calc!$K$3:$K$22*(Calc!$G$3:$G$22&lt;=A854))</f>
        <v/>
      </c>
      <c r="D854">
        <f>SUMPRODUCT(Calc!$K$3:$K$22*(Calc!$G$3:$G$22&gt;A854)*(Calc!$G$3:$G$22&lt;B854))</f>
        <v/>
      </c>
      <c r="E854">
        <f>SUMPRODUCT(Calc!$K$3:$K$22*(Calc!$G$3:$G$22&gt;=B854))</f>
        <v/>
      </c>
      <c r="F854">
        <f>AND(k_n&gt;=5,B854&gt;A854+1E-9,C854&gt;=2,D854&gt;=1,E854&gt;=2)</f>
        <v/>
      </c>
      <c r="G854">
        <f>SUMPRODUCT(Calc!$K$3:$K$22*(Calc!$G$3:$G$22&gt;A854)*(Calc!$G$3:$G$22-A854))</f>
        <v/>
      </c>
      <c r="H854">
        <f>SUMPRODUCT(Calc!$K$3:$K$22*(Calc!$G$3:$G$22&gt;B854)*(Calc!$G$3:$G$22-B854))</f>
        <v/>
      </c>
      <c r="I854">
        <f>SUMPRODUCT(Calc!$K$3:$K$22*(Calc!$G$3:$G$22&gt;A854)*(Calc!$G$3:$G$22-A854)^2)</f>
        <v/>
      </c>
      <c r="J854">
        <f>SUMPRODUCT(Calc!$K$3:$K$22*(Calc!$G$3:$G$22&gt;B854)*(Calc!$G$3:$G$22-B854)^2)</f>
        <v/>
      </c>
      <c r="K854">
        <f>SUMPRODUCT(Calc!$K$3:$K$22*(Calc!$G$3:$G$22&gt;A854)*(Calc!$G$3:$G$22-A854)*(Calc!$G$3:$G$22&gt;B854)*(Calc!$G$3:$G$22-B854))</f>
        <v/>
      </c>
      <c r="L854">
        <f>SUMPRODUCT(Calc!$K$3:$K$22*(Calc!$G$3:$G$22&gt;A854)*(Calc!$G$3:$G$22-A854)*Calc!$G$3:$G$22)</f>
        <v/>
      </c>
      <c r="M854">
        <f>SUMPRODUCT(Calc!$K$3:$K$22*(Calc!$G$3:$G$22&gt;B854)*(Calc!$G$3:$G$22-B854)*Calc!$G$3:$G$22)</f>
        <v/>
      </c>
      <c r="N854">
        <f>SUMPRODUCT(Calc!$K$3:$K$22*(Calc!$G$3:$G$22&gt;A854)*(Calc!$G$3:$G$22-A854)*Calc!$I$3:$I$22)</f>
        <v/>
      </c>
      <c r="O854">
        <f>SUMPRODUCT(Calc!$K$3:$K$22*(Calc!$G$3:$G$22&gt;B854)*(Calc!$G$3:$G$22-B854)*Calc!$I$3:$I$22)</f>
        <v/>
      </c>
      <c r="P854">
        <f>I854-G854^2/k_n</f>
        <v/>
      </c>
      <c r="Q854">
        <f>J854-H854^2/k_n</f>
        <v/>
      </c>
      <c r="R854">
        <f>K854-G854*H854/k_n</f>
        <v/>
      </c>
      <c r="S854">
        <f>L854-LTP3!$D$3*G854/k_n</f>
        <v/>
      </c>
      <c r="T854">
        <f>M854-LTP3!$D$3*H854/k_n</f>
        <v/>
      </c>
      <c r="U854">
        <f>N854-G854*LTP3!$D$4/k_n</f>
        <v/>
      </c>
      <c r="V854">
        <f>O854-H854*LTP3!$D$4/k_n</f>
        <v/>
      </c>
      <c r="W854">
        <f>((LTP3!$D$5)*((P854)*(Q854)-(R854)*(R854))-(S854)*((S854)*(Q854)-(R854)*(T854))+(T854)*((S854)*(R854)-(P854)*(T854)))</f>
        <v/>
      </c>
      <c r="X854">
        <f>IF(ABS(W854)&gt;1E-12,((LTP3!$D$6)*((P854)*(Q854)-(R854)*(R854))-(S854)*((U854)*(Q854)-(R854)*(V854))+(T854)*((U854)*(R854)-(P854)*(V854)))/W854,0)</f>
        <v/>
      </c>
      <c r="Y854">
        <f>IF(ABS(W854)&gt;1E-12,((LTP3!$D$5)*((U854)*(Q854)-(R854)*(V854))-(LTP3!$D$6)*((S854)*(Q854)-(R854)*(T854))+(T854)*((S854)*(V854)-(U854)*(T854)))/W854,0)</f>
        <v/>
      </c>
      <c r="Z854">
        <f>IF(ABS(W854)&gt;1E-12,((LTP3!$D$5)*((P854)*(V854)-(U854)*(R854))-(S854)*((S854)*(V854)-(U854)*(T854))+(LTP3!$D$6)*((S854)*(R854)-(P854)*(T854)))/W854,0)</f>
        <v/>
      </c>
      <c r="AA854">
        <f>LTP3!$D$7-X854*LTP3!$D$6-Y854*U854-Z854*V854</f>
        <v/>
      </c>
      <c r="AB854">
        <f>IF(AND(F854,ABS(W854)&gt;1E-12,Y854&gt;0,Z854&gt;0),AA854,1E+300)</f>
        <v/>
      </c>
    </row>
    <row r="855">
      <c r="A855">
        <f>$B$3+$B$5*13</f>
        <v/>
      </c>
      <c r="B855">
        <f>$B$3+$B$5*50</f>
        <v/>
      </c>
      <c r="C855">
        <f>SUMPRODUCT(Calc!$K$3:$K$22*(Calc!$G$3:$G$22&lt;=A855))</f>
        <v/>
      </c>
      <c r="D855">
        <f>SUMPRODUCT(Calc!$K$3:$K$22*(Calc!$G$3:$G$22&gt;A855)*(Calc!$G$3:$G$22&lt;B855))</f>
        <v/>
      </c>
      <c r="E855">
        <f>SUMPRODUCT(Calc!$K$3:$K$22*(Calc!$G$3:$G$22&gt;=B855))</f>
        <v/>
      </c>
      <c r="F855">
        <f>AND(k_n&gt;=5,B855&gt;A855+1E-9,C855&gt;=2,D855&gt;=1,E855&gt;=2)</f>
        <v/>
      </c>
      <c r="G855">
        <f>SUMPRODUCT(Calc!$K$3:$K$22*(Calc!$G$3:$G$22&gt;A855)*(Calc!$G$3:$G$22-A855))</f>
        <v/>
      </c>
      <c r="H855">
        <f>SUMPRODUCT(Calc!$K$3:$K$22*(Calc!$G$3:$G$22&gt;B855)*(Calc!$G$3:$G$22-B855))</f>
        <v/>
      </c>
      <c r="I855">
        <f>SUMPRODUCT(Calc!$K$3:$K$22*(Calc!$G$3:$G$22&gt;A855)*(Calc!$G$3:$G$22-A855)^2)</f>
        <v/>
      </c>
      <c r="J855">
        <f>SUMPRODUCT(Calc!$K$3:$K$22*(Calc!$G$3:$G$22&gt;B855)*(Calc!$G$3:$G$22-B855)^2)</f>
        <v/>
      </c>
      <c r="K855">
        <f>SUMPRODUCT(Calc!$K$3:$K$22*(Calc!$G$3:$G$22&gt;A855)*(Calc!$G$3:$G$22-A855)*(Calc!$G$3:$G$22&gt;B855)*(Calc!$G$3:$G$22-B855))</f>
        <v/>
      </c>
      <c r="L855">
        <f>SUMPRODUCT(Calc!$K$3:$K$22*(Calc!$G$3:$G$22&gt;A855)*(Calc!$G$3:$G$22-A855)*Calc!$G$3:$G$22)</f>
        <v/>
      </c>
      <c r="M855">
        <f>SUMPRODUCT(Calc!$K$3:$K$22*(Calc!$G$3:$G$22&gt;B855)*(Calc!$G$3:$G$22-B855)*Calc!$G$3:$G$22)</f>
        <v/>
      </c>
      <c r="N855">
        <f>SUMPRODUCT(Calc!$K$3:$K$22*(Calc!$G$3:$G$22&gt;A855)*(Calc!$G$3:$G$22-A855)*Calc!$I$3:$I$22)</f>
        <v/>
      </c>
      <c r="O855">
        <f>SUMPRODUCT(Calc!$K$3:$K$22*(Calc!$G$3:$G$22&gt;B855)*(Calc!$G$3:$G$22-B855)*Calc!$I$3:$I$22)</f>
        <v/>
      </c>
      <c r="P855">
        <f>I855-G855^2/k_n</f>
        <v/>
      </c>
      <c r="Q855">
        <f>J855-H855^2/k_n</f>
        <v/>
      </c>
      <c r="R855">
        <f>K855-G855*H855/k_n</f>
        <v/>
      </c>
      <c r="S855">
        <f>L855-LTP3!$D$3*G855/k_n</f>
        <v/>
      </c>
      <c r="T855">
        <f>M855-LTP3!$D$3*H855/k_n</f>
        <v/>
      </c>
      <c r="U855">
        <f>N855-G855*LTP3!$D$4/k_n</f>
        <v/>
      </c>
      <c r="V855">
        <f>O855-H855*LTP3!$D$4/k_n</f>
        <v/>
      </c>
      <c r="W855">
        <f>((LTP3!$D$5)*((P855)*(Q855)-(R855)*(R855))-(S855)*((S855)*(Q855)-(R855)*(T855))+(T855)*((S855)*(R855)-(P855)*(T855)))</f>
        <v/>
      </c>
      <c r="X855">
        <f>IF(ABS(W855)&gt;1E-12,((LTP3!$D$6)*((P855)*(Q855)-(R855)*(R855))-(S855)*((U855)*(Q855)-(R855)*(V855))+(T855)*((U855)*(R855)-(P855)*(V855)))/W855,0)</f>
        <v/>
      </c>
      <c r="Y855">
        <f>IF(ABS(W855)&gt;1E-12,((LTP3!$D$5)*((U855)*(Q855)-(R855)*(V855))-(LTP3!$D$6)*((S855)*(Q855)-(R855)*(T855))+(T855)*((S855)*(V855)-(U855)*(T855)))/W855,0)</f>
        <v/>
      </c>
      <c r="Z855">
        <f>IF(ABS(W855)&gt;1E-12,((LTP3!$D$5)*((P855)*(V855)-(U855)*(R855))-(S855)*((S855)*(V855)-(U855)*(T855))+(LTP3!$D$6)*((S855)*(R855)-(P855)*(T855)))/W855,0)</f>
        <v/>
      </c>
      <c r="AA855">
        <f>LTP3!$D$7-X855*LTP3!$D$6-Y855*U855-Z855*V855</f>
        <v/>
      </c>
      <c r="AB855">
        <f>IF(AND(F855,ABS(W855)&gt;1E-12,Y855&gt;0,Z855&gt;0),AA855,1E+300)</f>
        <v/>
      </c>
    </row>
    <row r="856">
      <c r="A856">
        <f>$B$3+$B$5*13</f>
        <v/>
      </c>
      <c r="B856">
        <f>$B$3+$B$5*51</f>
        <v/>
      </c>
      <c r="C856">
        <f>SUMPRODUCT(Calc!$K$3:$K$22*(Calc!$G$3:$G$22&lt;=A856))</f>
        <v/>
      </c>
      <c r="D856">
        <f>SUMPRODUCT(Calc!$K$3:$K$22*(Calc!$G$3:$G$22&gt;A856)*(Calc!$G$3:$G$22&lt;B856))</f>
        <v/>
      </c>
      <c r="E856">
        <f>SUMPRODUCT(Calc!$K$3:$K$22*(Calc!$G$3:$G$22&gt;=B856))</f>
        <v/>
      </c>
      <c r="F856">
        <f>AND(k_n&gt;=5,B856&gt;A856+1E-9,C856&gt;=2,D856&gt;=1,E856&gt;=2)</f>
        <v/>
      </c>
      <c r="G856">
        <f>SUMPRODUCT(Calc!$K$3:$K$22*(Calc!$G$3:$G$22&gt;A856)*(Calc!$G$3:$G$22-A856))</f>
        <v/>
      </c>
      <c r="H856">
        <f>SUMPRODUCT(Calc!$K$3:$K$22*(Calc!$G$3:$G$22&gt;B856)*(Calc!$G$3:$G$22-B856))</f>
        <v/>
      </c>
      <c r="I856">
        <f>SUMPRODUCT(Calc!$K$3:$K$22*(Calc!$G$3:$G$22&gt;A856)*(Calc!$G$3:$G$22-A856)^2)</f>
        <v/>
      </c>
      <c r="J856">
        <f>SUMPRODUCT(Calc!$K$3:$K$22*(Calc!$G$3:$G$22&gt;B856)*(Calc!$G$3:$G$22-B856)^2)</f>
        <v/>
      </c>
      <c r="K856">
        <f>SUMPRODUCT(Calc!$K$3:$K$22*(Calc!$G$3:$G$22&gt;A856)*(Calc!$G$3:$G$22-A856)*(Calc!$G$3:$G$22&gt;B856)*(Calc!$G$3:$G$22-B856))</f>
        <v/>
      </c>
      <c r="L856">
        <f>SUMPRODUCT(Calc!$K$3:$K$22*(Calc!$G$3:$G$22&gt;A856)*(Calc!$G$3:$G$22-A856)*Calc!$G$3:$G$22)</f>
        <v/>
      </c>
      <c r="M856">
        <f>SUMPRODUCT(Calc!$K$3:$K$22*(Calc!$G$3:$G$22&gt;B856)*(Calc!$G$3:$G$22-B856)*Calc!$G$3:$G$22)</f>
        <v/>
      </c>
      <c r="N856">
        <f>SUMPRODUCT(Calc!$K$3:$K$22*(Calc!$G$3:$G$22&gt;A856)*(Calc!$G$3:$G$22-A856)*Calc!$I$3:$I$22)</f>
        <v/>
      </c>
      <c r="O856">
        <f>SUMPRODUCT(Calc!$K$3:$K$22*(Calc!$G$3:$G$22&gt;B856)*(Calc!$G$3:$G$22-B856)*Calc!$I$3:$I$22)</f>
        <v/>
      </c>
      <c r="P856">
        <f>I856-G856^2/k_n</f>
        <v/>
      </c>
      <c r="Q856">
        <f>J856-H856^2/k_n</f>
        <v/>
      </c>
      <c r="R856">
        <f>K856-G856*H856/k_n</f>
        <v/>
      </c>
      <c r="S856">
        <f>L856-LTP3!$D$3*G856/k_n</f>
        <v/>
      </c>
      <c r="T856">
        <f>M856-LTP3!$D$3*H856/k_n</f>
        <v/>
      </c>
      <c r="U856">
        <f>N856-G856*LTP3!$D$4/k_n</f>
        <v/>
      </c>
      <c r="V856">
        <f>O856-H856*LTP3!$D$4/k_n</f>
        <v/>
      </c>
      <c r="W856">
        <f>((LTP3!$D$5)*((P856)*(Q856)-(R856)*(R856))-(S856)*((S856)*(Q856)-(R856)*(T856))+(T856)*((S856)*(R856)-(P856)*(T856)))</f>
        <v/>
      </c>
      <c r="X856">
        <f>IF(ABS(W856)&gt;1E-12,((LTP3!$D$6)*((P856)*(Q856)-(R856)*(R856))-(S856)*((U856)*(Q856)-(R856)*(V856))+(T856)*((U856)*(R856)-(P856)*(V856)))/W856,0)</f>
        <v/>
      </c>
      <c r="Y856">
        <f>IF(ABS(W856)&gt;1E-12,((LTP3!$D$5)*((U856)*(Q856)-(R856)*(V856))-(LTP3!$D$6)*((S856)*(Q856)-(R856)*(T856))+(T856)*((S856)*(V856)-(U856)*(T856)))/W856,0)</f>
        <v/>
      </c>
      <c r="Z856">
        <f>IF(ABS(W856)&gt;1E-12,((LTP3!$D$5)*((P856)*(V856)-(U856)*(R856))-(S856)*((S856)*(V856)-(U856)*(T856))+(LTP3!$D$6)*((S856)*(R856)-(P856)*(T856)))/W856,0)</f>
        <v/>
      </c>
      <c r="AA856">
        <f>LTP3!$D$7-X856*LTP3!$D$6-Y856*U856-Z856*V856</f>
        <v/>
      </c>
      <c r="AB856">
        <f>IF(AND(F856,ABS(W856)&gt;1E-12,Y856&gt;0,Z856&gt;0),AA856,1E+300)</f>
        <v/>
      </c>
    </row>
    <row r="857">
      <c r="A857">
        <f>$B$3+$B$5*13</f>
        <v/>
      </c>
      <c r="B857">
        <f>$B$3+$B$5*52</f>
        <v/>
      </c>
      <c r="C857">
        <f>SUMPRODUCT(Calc!$K$3:$K$22*(Calc!$G$3:$G$22&lt;=A857))</f>
        <v/>
      </c>
      <c r="D857">
        <f>SUMPRODUCT(Calc!$K$3:$K$22*(Calc!$G$3:$G$22&gt;A857)*(Calc!$G$3:$G$22&lt;B857))</f>
        <v/>
      </c>
      <c r="E857">
        <f>SUMPRODUCT(Calc!$K$3:$K$22*(Calc!$G$3:$G$22&gt;=B857))</f>
        <v/>
      </c>
      <c r="F857">
        <f>AND(k_n&gt;=5,B857&gt;A857+1E-9,C857&gt;=2,D857&gt;=1,E857&gt;=2)</f>
        <v/>
      </c>
      <c r="G857">
        <f>SUMPRODUCT(Calc!$K$3:$K$22*(Calc!$G$3:$G$22&gt;A857)*(Calc!$G$3:$G$22-A857))</f>
        <v/>
      </c>
      <c r="H857">
        <f>SUMPRODUCT(Calc!$K$3:$K$22*(Calc!$G$3:$G$22&gt;B857)*(Calc!$G$3:$G$22-B857))</f>
        <v/>
      </c>
      <c r="I857">
        <f>SUMPRODUCT(Calc!$K$3:$K$22*(Calc!$G$3:$G$22&gt;A857)*(Calc!$G$3:$G$22-A857)^2)</f>
        <v/>
      </c>
      <c r="J857">
        <f>SUMPRODUCT(Calc!$K$3:$K$22*(Calc!$G$3:$G$22&gt;B857)*(Calc!$G$3:$G$22-B857)^2)</f>
        <v/>
      </c>
      <c r="K857">
        <f>SUMPRODUCT(Calc!$K$3:$K$22*(Calc!$G$3:$G$22&gt;A857)*(Calc!$G$3:$G$22-A857)*(Calc!$G$3:$G$22&gt;B857)*(Calc!$G$3:$G$22-B857))</f>
        <v/>
      </c>
      <c r="L857">
        <f>SUMPRODUCT(Calc!$K$3:$K$22*(Calc!$G$3:$G$22&gt;A857)*(Calc!$G$3:$G$22-A857)*Calc!$G$3:$G$22)</f>
        <v/>
      </c>
      <c r="M857">
        <f>SUMPRODUCT(Calc!$K$3:$K$22*(Calc!$G$3:$G$22&gt;B857)*(Calc!$G$3:$G$22-B857)*Calc!$G$3:$G$22)</f>
        <v/>
      </c>
      <c r="N857">
        <f>SUMPRODUCT(Calc!$K$3:$K$22*(Calc!$G$3:$G$22&gt;A857)*(Calc!$G$3:$G$22-A857)*Calc!$I$3:$I$22)</f>
        <v/>
      </c>
      <c r="O857">
        <f>SUMPRODUCT(Calc!$K$3:$K$22*(Calc!$G$3:$G$22&gt;B857)*(Calc!$G$3:$G$22-B857)*Calc!$I$3:$I$22)</f>
        <v/>
      </c>
      <c r="P857">
        <f>I857-G857^2/k_n</f>
        <v/>
      </c>
      <c r="Q857">
        <f>J857-H857^2/k_n</f>
        <v/>
      </c>
      <c r="R857">
        <f>K857-G857*H857/k_n</f>
        <v/>
      </c>
      <c r="S857">
        <f>L857-LTP3!$D$3*G857/k_n</f>
        <v/>
      </c>
      <c r="T857">
        <f>M857-LTP3!$D$3*H857/k_n</f>
        <v/>
      </c>
      <c r="U857">
        <f>N857-G857*LTP3!$D$4/k_n</f>
        <v/>
      </c>
      <c r="V857">
        <f>O857-H857*LTP3!$D$4/k_n</f>
        <v/>
      </c>
      <c r="W857">
        <f>((LTP3!$D$5)*((P857)*(Q857)-(R857)*(R857))-(S857)*((S857)*(Q857)-(R857)*(T857))+(T857)*((S857)*(R857)-(P857)*(T857)))</f>
        <v/>
      </c>
      <c r="X857">
        <f>IF(ABS(W857)&gt;1E-12,((LTP3!$D$6)*((P857)*(Q857)-(R857)*(R857))-(S857)*((U857)*(Q857)-(R857)*(V857))+(T857)*((U857)*(R857)-(P857)*(V857)))/W857,0)</f>
        <v/>
      </c>
      <c r="Y857">
        <f>IF(ABS(W857)&gt;1E-12,((LTP3!$D$5)*((U857)*(Q857)-(R857)*(V857))-(LTP3!$D$6)*((S857)*(Q857)-(R857)*(T857))+(T857)*((S857)*(V857)-(U857)*(T857)))/W857,0)</f>
        <v/>
      </c>
      <c r="Z857">
        <f>IF(ABS(W857)&gt;1E-12,((LTP3!$D$5)*((P857)*(V857)-(U857)*(R857))-(S857)*((S857)*(V857)-(U857)*(T857))+(LTP3!$D$6)*((S857)*(R857)-(P857)*(T857)))/W857,0)</f>
        <v/>
      </c>
      <c r="AA857">
        <f>LTP3!$D$7-X857*LTP3!$D$6-Y857*U857-Z857*V857</f>
        <v/>
      </c>
      <c r="AB857">
        <f>IF(AND(F857,ABS(W857)&gt;1E-12,Y857&gt;0,Z857&gt;0),AA857,1E+300)</f>
        <v/>
      </c>
    </row>
    <row r="858">
      <c r="A858">
        <f>$B$3+$B$5*13</f>
        <v/>
      </c>
      <c r="B858">
        <f>$B$3+$B$5*53</f>
        <v/>
      </c>
      <c r="C858">
        <f>SUMPRODUCT(Calc!$K$3:$K$22*(Calc!$G$3:$G$22&lt;=A858))</f>
        <v/>
      </c>
      <c r="D858">
        <f>SUMPRODUCT(Calc!$K$3:$K$22*(Calc!$G$3:$G$22&gt;A858)*(Calc!$G$3:$G$22&lt;B858))</f>
        <v/>
      </c>
      <c r="E858">
        <f>SUMPRODUCT(Calc!$K$3:$K$22*(Calc!$G$3:$G$22&gt;=B858))</f>
        <v/>
      </c>
      <c r="F858">
        <f>AND(k_n&gt;=5,B858&gt;A858+1E-9,C858&gt;=2,D858&gt;=1,E858&gt;=2)</f>
        <v/>
      </c>
      <c r="G858">
        <f>SUMPRODUCT(Calc!$K$3:$K$22*(Calc!$G$3:$G$22&gt;A858)*(Calc!$G$3:$G$22-A858))</f>
        <v/>
      </c>
      <c r="H858">
        <f>SUMPRODUCT(Calc!$K$3:$K$22*(Calc!$G$3:$G$22&gt;B858)*(Calc!$G$3:$G$22-B858))</f>
        <v/>
      </c>
      <c r="I858">
        <f>SUMPRODUCT(Calc!$K$3:$K$22*(Calc!$G$3:$G$22&gt;A858)*(Calc!$G$3:$G$22-A858)^2)</f>
        <v/>
      </c>
      <c r="J858">
        <f>SUMPRODUCT(Calc!$K$3:$K$22*(Calc!$G$3:$G$22&gt;B858)*(Calc!$G$3:$G$22-B858)^2)</f>
        <v/>
      </c>
      <c r="K858">
        <f>SUMPRODUCT(Calc!$K$3:$K$22*(Calc!$G$3:$G$22&gt;A858)*(Calc!$G$3:$G$22-A858)*(Calc!$G$3:$G$22&gt;B858)*(Calc!$G$3:$G$22-B858))</f>
        <v/>
      </c>
      <c r="L858">
        <f>SUMPRODUCT(Calc!$K$3:$K$22*(Calc!$G$3:$G$22&gt;A858)*(Calc!$G$3:$G$22-A858)*Calc!$G$3:$G$22)</f>
        <v/>
      </c>
      <c r="M858">
        <f>SUMPRODUCT(Calc!$K$3:$K$22*(Calc!$G$3:$G$22&gt;B858)*(Calc!$G$3:$G$22-B858)*Calc!$G$3:$G$22)</f>
        <v/>
      </c>
      <c r="N858">
        <f>SUMPRODUCT(Calc!$K$3:$K$22*(Calc!$G$3:$G$22&gt;A858)*(Calc!$G$3:$G$22-A858)*Calc!$I$3:$I$22)</f>
        <v/>
      </c>
      <c r="O858">
        <f>SUMPRODUCT(Calc!$K$3:$K$22*(Calc!$G$3:$G$22&gt;B858)*(Calc!$G$3:$G$22-B858)*Calc!$I$3:$I$22)</f>
        <v/>
      </c>
      <c r="P858">
        <f>I858-G858^2/k_n</f>
        <v/>
      </c>
      <c r="Q858">
        <f>J858-H858^2/k_n</f>
        <v/>
      </c>
      <c r="R858">
        <f>K858-G858*H858/k_n</f>
        <v/>
      </c>
      <c r="S858">
        <f>L858-LTP3!$D$3*G858/k_n</f>
        <v/>
      </c>
      <c r="T858">
        <f>M858-LTP3!$D$3*H858/k_n</f>
        <v/>
      </c>
      <c r="U858">
        <f>N858-G858*LTP3!$D$4/k_n</f>
        <v/>
      </c>
      <c r="V858">
        <f>O858-H858*LTP3!$D$4/k_n</f>
        <v/>
      </c>
      <c r="W858">
        <f>((LTP3!$D$5)*((P858)*(Q858)-(R858)*(R858))-(S858)*((S858)*(Q858)-(R858)*(T858))+(T858)*((S858)*(R858)-(P858)*(T858)))</f>
        <v/>
      </c>
      <c r="X858">
        <f>IF(ABS(W858)&gt;1E-12,((LTP3!$D$6)*((P858)*(Q858)-(R858)*(R858))-(S858)*((U858)*(Q858)-(R858)*(V858))+(T858)*((U858)*(R858)-(P858)*(V858)))/W858,0)</f>
        <v/>
      </c>
      <c r="Y858">
        <f>IF(ABS(W858)&gt;1E-12,((LTP3!$D$5)*((U858)*(Q858)-(R858)*(V858))-(LTP3!$D$6)*((S858)*(Q858)-(R858)*(T858))+(T858)*((S858)*(V858)-(U858)*(T858)))/W858,0)</f>
        <v/>
      </c>
      <c r="Z858">
        <f>IF(ABS(W858)&gt;1E-12,((LTP3!$D$5)*((P858)*(V858)-(U858)*(R858))-(S858)*((S858)*(V858)-(U858)*(T858))+(LTP3!$D$6)*((S858)*(R858)-(P858)*(T858)))/W858,0)</f>
        <v/>
      </c>
      <c r="AA858">
        <f>LTP3!$D$7-X858*LTP3!$D$6-Y858*U858-Z858*V858</f>
        <v/>
      </c>
      <c r="AB858">
        <f>IF(AND(F858,ABS(W858)&gt;1E-12,Y858&gt;0,Z858&gt;0),AA858,1E+300)</f>
        <v/>
      </c>
    </row>
    <row r="859">
      <c r="A859">
        <f>$B$3+$B$5*13</f>
        <v/>
      </c>
      <c r="B859">
        <f>$B$3+$B$5*54</f>
        <v/>
      </c>
      <c r="C859">
        <f>SUMPRODUCT(Calc!$K$3:$K$22*(Calc!$G$3:$G$22&lt;=A859))</f>
        <v/>
      </c>
      <c r="D859">
        <f>SUMPRODUCT(Calc!$K$3:$K$22*(Calc!$G$3:$G$22&gt;A859)*(Calc!$G$3:$G$22&lt;B859))</f>
        <v/>
      </c>
      <c r="E859">
        <f>SUMPRODUCT(Calc!$K$3:$K$22*(Calc!$G$3:$G$22&gt;=B859))</f>
        <v/>
      </c>
      <c r="F859">
        <f>AND(k_n&gt;=5,B859&gt;A859+1E-9,C859&gt;=2,D859&gt;=1,E859&gt;=2)</f>
        <v/>
      </c>
      <c r="G859">
        <f>SUMPRODUCT(Calc!$K$3:$K$22*(Calc!$G$3:$G$22&gt;A859)*(Calc!$G$3:$G$22-A859))</f>
        <v/>
      </c>
      <c r="H859">
        <f>SUMPRODUCT(Calc!$K$3:$K$22*(Calc!$G$3:$G$22&gt;B859)*(Calc!$G$3:$G$22-B859))</f>
        <v/>
      </c>
      <c r="I859">
        <f>SUMPRODUCT(Calc!$K$3:$K$22*(Calc!$G$3:$G$22&gt;A859)*(Calc!$G$3:$G$22-A859)^2)</f>
        <v/>
      </c>
      <c r="J859">
        <f>SUMPRODUCT(Calc!$K$3:$K$22*(Calc!$G$3:$G$22&gt;B859)*(Calc!$G$3:$G$22-B859)^2)</f>
        <v/>
      </c>
      <c r="K859">
        <f>SUMPRODUCT(Calc!$K$3:$K$22*(Calc!$G$3:$G$22&gt;A859)*(Calc!$G$3:$G$22-A859)*(Calc!$G$3:$G$22&gt;B859)*(Calc!$G$3:$G$22-B859))</f>
        <v/>
      </c>
      <c r="L859">
        <f>SUMPRODUCT(Calc!$K$3:$K$22*(Calc!$G$3:$G$22&gt;A859)*(Calc!$G$3:$G$22-A859)*Calc!$G$3:$G$22)</f>
        <v/>
      </c>
      <c r="M859">
        <f>SUMPRODUCT(Calc!$K$3:$K$22*(Calc!$G$3:$G$22&gt;B859)*(Calc!$G$3:$G$22-B859)*Calc!$G$3:$G$22)</f>
        <v/>
      </c>
      <c r="N859">
        <f>SUMPRODUCT(Calc!$K$3:$K$22*(Calc!$G$3:$G$22&gt;A859)*(Calc!$G$3:$G$22-A859)*Calc!$I$3:$I$22)</f>
        <v/>
      </c>
      <c r="O859">
        <f>SUMPRODUCT(Calc!$K$3:$K$22*(Calc!$G$3:$G$22&gt;B859)*(Calc!$G$3:$G$22-B859)*Calc!$I$3:$I$22)</f>
        <v/>
      </c>
      <c r="P859">
        <f>I859-G859^2/k_n</f>
        <v/>
      </c>
      <c r="Q859">
        <f>J859-H859^2/k_n</f>
        <v/>
      </c>
      <c r="R859">
        <f>K859-G859*H859/k_n</f>
        <v/>
      </c>
      <c r="S859">
        <f>L859-LTP3!$D$3*G859/k_n</f>
        <v/>
      </c>
      <c r="T859">
        <f>M859-LTP3!$D$3*H859/k_n</f>
        <v/>
      </c>
      <c r="U859">
        <f>N859-G859*LTP3!$D$4/k_n</f>
        <v/>
      </c>
      <c r="V859">
        <f>O859-H859*LTP3!$D$4/k_n</f>
        <v/>
      </c>
      <c r="W859">
        <f>((LTP3!$D$5)*((P859)*(Q859)-(R859)*(R859))-(S859)*((S859)*(Q859)-(R859)*(T859))+(T859)*((S859)*(R859)-(P859)*(T859)))</f>
        <v/>
      </c>
      <c r="X859">
        <f>IF(ABS(W859)&gt;1E-12,((LTP3!$D$6)*((P859)*(Q859)-(R859)*(R859))-(S859)*((U859)*(Q859)-(R859)*(V859))+(T859)*((U859)*(R859)-(P859)*(V859)))/W859,0)</f>
        <v/>
      </c>
      <c r="Y859">
        <f>IF(ABS(W859)&gt;1E-12,((LTP3!$D$5)*((U859)*(Q859)-(R859)*(V859))-(LTP3!$D$6)*((S859)*(Q859)-(R859)*(T859))+(T859)*((S859)*(V859)-(U859)*(T859)))/W859,0)</f>
        <v/>
      </c>
      <c r="Z859">
        <f>IF(ABS(W859)&gt;1E-12,((LTP3!$D$5)*((P859)*(V859)-(U859)*(R859))-(S859)*((S859)*(V859)-(U859)*(T859))+(LTP3!$D$6)*((S859)*(R859)-(P859)*(T859)))/W859,0)</f>
        <v/>
      </c>
      <c r="AA859">
        <f>LTP3!$D$7-X859*LTP3!$D$6-Y859*U859-Z859*V859</f>
        <v/>
      </c>
      <c r="AB859">
        <f>IF(AND(F859,ABS(W859)&gt;1E-12,Y859&gt;0,Z859&gt;0),AA859,1E+300)</f>
        <v/>
      </c>
    </row>
    <row r="860">
      <c r="A860">
        <f>$B$3+$B$5*13</f>
        <v/>
      </c>
      <c r="B860">
        <f>$B$3+$B$5*55</f>
        <v/>
      </c>
      <c r="C860">
        <f>SUMPRODUCT(Calc!$K$3:$K$22*(Calc!$G$3:$G$22&lt;=A860))</f>
        <v/>
      </c>
      <c r="D860">
        <f>SUMPRODUCT(Calc!$K$3:$K$22*(Calc!$G$3:$G$22&gt;A860)*(Calc!$G$3:$G$22&lt;B860))</f>
        <v/>
      </c>
      <c r="E860">
        <f>SUMPRODUCT(Calc!$K$3:$K$22*(Calc!$G$3:$G$22&gt;=B860))</f>
        <v/>
      </c>
      <c r="F860">
        <f>AND(k_n&gt;=5,B860&gt;A860+1E-9,C860&gt;=2,D860&gt;=1,E860&gt;=2)</f>
        <v/>
      </c>
      <c r="G860">
        <f>SUMPRODUCT(Calc!$K$3:$K$22*(Calc!$G$3:$G$22&gt;A860)*(Calc!$G$3:$G$22-A860))</f>
        <v/>
      </c>
      <c r="H860">
        <f>SUMPRODUCT(Calc!$K$3:$K$22*(Calc!$G$3:$G$22&gt;B860)*(Calc!$G$3:$G$22-B860))</f>
        <v/>
      </c>
      <c r="I860">
        <f>SUMPRODUCT(Calc!$K$3:$K$22*(Calc!$G$3:$G$22&gt;A860)*(Calc!$G$3:$G$22-A860)^2)</f>
        <v/>
      </c>
      <c r="J860">
        <f>SUMPRODUCT(Calc!$K$3:$K$22*(Calc!$G$3:$G$22&gt;B860)*(Calc!$G$3:$G$22-B860)^2)</f>
        <v/>
      </c>
      <c r="K860">
        <f>SUMPRODUCT(Calc!$K$3:$K$22*(Calc!$G$3:$G$22&gt;A860)*(Calc!$G$3:$G$22-A860)*(Calc!$G$3:$G$22&gt;B860)*(Calc!$G$3:$G$22-B860))</f>
        <v/>
      </c>
      <c r="L860">
        <f>SUMPRODUCT(Calc!$K$3:$K$22*(Calc!$G$3:$G$22&gt;A860)*(Calc!$G$3:$G$22-A860)*Calc!$G$3:$G$22)</f>
        <v/>
      </c>
      <c r="M860">
        <f>SUMPRODUCT(Calc!$K$3:$K$22*(Calc!$G$3:$G$22&gt;B860)*(Calc!$G$3:$G$22-B860)*Calc!$G$3:$G$22)</f>
        <v/>
      </c>
      <c r="N860">
        <f>SUMPRODUCT(Calc!$K$3:$K$22*(Calc!$G$3:$G$22&gt;A860)*(Calc!$G$3:$G$22-A860)*Calc!$I$3:$I$22)</f>
        <v/>
      </c>
      <c r="O860">
        <f>SUMPRODUCT(Calc!$K$3:$K$22*(Calc!$G$3:$G$22&gt;B860)*(Calc!$G$3:$G$22-B860)*Calc!$I$3:$I$22)</f>
        <v/>
      </c>
      <c r="P860">
        <f>I860-G860^2/k_n</f>
        <v/>
      </c>
      <c r="Q860">
        <f>J860-H860^2/k_n</f>
        <v/>
      </c>
      <c r="R860">
        <f>K860-G860*H860/k_n</f>
        <v/>
      </c>
      <c r="S860">
        <f>L860-LTP3!$D$3*G860/k_n</f>
        <v/>
      </c>
      <c r="T860">
        <f>M860-LTP3!$D$3*H860/k_n</f>
        <v/>
      </c>
      <c r="U860">
        <f>N860-G860*LTP3!$D$4/k_n</f>
        <v/>
      </c>
      <c r="V860">
        <f>O860-H860*LTP3!$D$4/k_n</f>
        <v/>
      </c>
      <c r="W860">
        <f>((LTP3!$D$5)*((P860)*(Q860)-(R860)*(R860))-(S860)*((S860)*(Q860)-(R860)*(T860))+(T860)*((S860)*(R860)-(P860)*(T860)))</f>
        <v/>
      </c>
      <c r="X860">
        <f>IF(ABS(W860)&gt;1E-12,((LTP3!$D$6)*((P860)*(Q860)-(R860)*(R860))-(S860)*((U860)*(Q860)-(R860)*(V860))+(T860)*((U860)*(R860)-(P860)*(V860)))/W860,0)</f>
        <v/>
      </c>
      <c r="Y860">
        <f>IF(ABS(W860)&gt;1E-12,((LTP3!$D$5)*((U860)*(Q860)-(R860)*(V860))-(LTP3!$D$6)*((S860)*(Q860)-(R860)*(T860))+(T860)*((S860)*(V860)-(U860)*(T860)))/W860,0)</f>
        <v/>
      </c>
      <c r="Z860">
        <f>IF(ABS(W860)&gt;1E-12,((LTP3!$D$5)*((P860)*(V860)-(U860)*(R860))-(S860)*((S860)*(V860)-(U860)*(T860))+(LTP3!$D$6)*((S860)*(R860)-(P860)*(T860)))/W860,0)</f>
        <v/>
      </c>
      <c r="AA860">
        <f>LTP3!$D$7-X860*LTP3!$D$6-Y860*U860-Z860*V860</f>
        <v/>
      </c>
      <c r="AB860">
        <f>IF(AND(F860,ABS(W860)&gt;1E-12,Y860&gt;0,Z860&gt;0),AA860,1E+300)</f>
        <v/>
      </c>
    </row>
    <row r="861">
      <c r="A861">
        <f>$B$3+$B$5*13</f>
        <v/>
      </c>
      <c r="B861">
        <f>$B$3+$B$5*56</f>
        <v/>
      </c>
      <c r="C861">
        <f>SUMPRODUCT(Calc!$K$3:$K$22*(Calc!$G$3:$G$22&lt;=A861))</f>
        <v/>
      </c>
      <c r="D861">
        <f>SUMPRODUCT(Calc!$K$3:$K$22*(Calc!$G$3:$G$22&gt;A861)*(Calc!$G$3:$G$22&lt;B861))</f>
        <v/>
      </c>
      <c r="E861">
        <f>SUMPRODUCT(Calc!$K$3:$K$22*(Calc!$G$3:$G$22&gt;=B861))</f>
        <v/>
      </c>
      <c r="F861">
        <f>AND(k_n&gt;=5,B861&gt;A861+1E-9,C861&gt;=2,D861&gt;=1,E861&gt;=2)</f>
        <v/>
      </c>
      <c r="G861">
        <f>SUMPRODUCT(Calc!$K$3:$K$22*(Calc!$G$3:$G$22&gt;A861)*(Calc!$G$3:$G$22-A861))</f>
        <v/>
      </c>
      <c r="H861">
        <f>SUMPRODUCT(Calc!$K$3:$K$22*(Calc!$G$3:$G$22&gt;B861)*(Calc!$G$3:$G$22-B861))</f>
        <v/>
      </c>
      <c r="I861">
        <f>SUMPRODUCT(Calc!$K$3:$K$22*(Calc!$G$3:$G$22&gt;A861)*(Calc!$G$3:$G$22-A861)^2)</f>
        <v/>
      </c>
      <c r="J861">
        <f>SUMPRODUCT(Calc!$K$3:$K$22*(Calc!$G$3:$G$22&gt;B861)*(Calc!$G$3:$G$22-B861)^2)</f>
        <v/>
      </c>
      <c r="K861">
        <f>SUMPRODUCT(Calc!$K$3:$K$22*(Calc!$G$3:$G$22&gt;A861)*(Calc!$G$3:$G$22-A861)*(Calc!$G$3:$G$22&gt;B861)*(Calc!$G$3:$G$22-B861))</f>
        <v/>
      </c>
      <c r="L861">
        <f>SUMPRODUCT(Calc!$K$3:$K$22*(Calc!$G$3:$G$22&gt;A861)*(Calc!$G$3:$G$22-A861)*Calc!$G$3:$G$22)</f>
        <v/>
      </c>
      <c r="M861">
        <f>SUMPRODUCT(Calc!$K$3:$K$22*(Calc!$G$3:$G$22&gt;B861)*(Calc!$G$3:$G$22-B861)*Calc!$G$3:$G$22)</f>
        <v/>
      </c>
      <c r="N861">
        <f>SUMPRODUCT(Calc!$K$3:$K$22*(Calc!$G$3:$G$22&gt;A861)*(Calc!$G$3:$G$22-A861)*Calc!$I$3:$I$22)</f>
        <v/>
      </c>
      <c r="O861">
        <f>SUMPRODUCT(Calc!$K$3:$K$22*(Calc!$G$3:$G$22&gt;B861)*(Calc!$G$3:$G$22-B861)*Calc!$I$3:$I$22)</f>
        <v/>
      </c>
      <c r="P861">
        <f>I861-G861^2/k_n</f>
        <v/>
      </c>
      <c r="Q861">
        <f>J861-H861^2/k_n</f>
        <v/>
      </c>
      <c r="R861">
        <f>K861-G861*H861/k_n</f>
        <v/>
      </c>
      <c r="S861">
        <f>L861-LTP3!$D$3*G861/k_n</f>
        <v/>
      </c>
      <c r="T861">
        <f>M861-LTP3!$D$3*H861/k_n</f>
        <v/>
      </c>
      <c r="U861">
        <f>N861-G861*LTP3!$D$4/k_n</f>
        <v/>
      </c>
      <c r="V861">
        <f>O861-H861*LTP3!$D$4/k_n</f>
        <v/>
      </c>
      <c r="W861">
        <f>((LTP3!$D$5)*((P861)*(Q861)-(R861)*(R861))-(S861)*((S861)*(Q861)-(R861)*(T861))+(T861)*((S861)*(R861)-(P861)*(T861)))</f>
        <v/>
      </c>
      <c r="X861">
        <f>IF(ABS(W861)&gt;1E-12,((LTP3!$D$6)*((P861)*(Q861)-(R861)*(R861))-(S861)*((U861)*(Q861)-(R861)*(V861))+(T861)*((U861)*(R861)-(P861)*(V861)))/W861,0)</f>
        <v/>
      </c>
      <c r="Y861">
        <f>IF(ABS(W861)&gt;1E-12,((LTP3!$D$5)*((U861)*(Q861)-(R861)*(V861))-(LTP3!$D$6)*((S861)*(Q861)-(R861)*(T861))+(T861)*((S861)*(V861)-(U861)*(T861)))/W861,0)</f>
        <v/>
      </c>
      <c r="Z861">
        <f>IF(ABS(W861)&gt;1E-12,((LTP3!$D$5)*((P861)*(V861)-(U861)*(R861))-(S861)*((S861)*(V861)-(U861)*(T861))+(LTP3!$D$6)*((S861)*(R861)-(P861)*(T861)))/W861,0)</f>
        <v/>
      </c>
      <c r="AA861">
        <f>LTP3!$D$7-X861*LTP3!$D$6-Y861*U861-Z861*V861</f>
        <v/>
      </c>
      <c r="AB861">
        <f>IF(AND(F861,ABS(W861)&gt;1E-12,Y861&gt;0,Z861&gt;0),AA861,1E+300)</f>
        <v/>
      </c>
    </row>
    <row r="862">
      <c r="A862">
        <f>$B$3+$B$5*13</f>
        <v/>
      </c>
      <c r="B862">
        <f>$B$3+$B$5*57</f>
        <v/>
      </c>
      <c r="C862">
        <f>SUMPRODUCT(Calc!$K$3:$K$22*(Calc!$G$3:$G$22&lt;=A862))</f>
        <v/>
      </c>
      <c r="D862">
        <f>SUMPRODUCT(Calc!$K$3:$K$22*(Calc!$G$3:$G$22&gt;A862)*(Calc!$G$3:$G$22&lt;B862))</f>
        <v/>
      </c>
      <c r="E862">
        <f>SUMPRODUCT(Calc!$K$3:$K$22*(Calc!$G$3:$G$22&gt;=B862))</f>
        <v/>
      </c>
      <c r="F862">
        <f>AND(k_n&gt;=5,B862&gt;A862+1E-9,C862&gt;=2,D862&gt;=1,E862&gt;=2)</f>
        <v/>
      </c>
      <c r="G862">
        <f>SUMPRODUCT(Calc!$K$3:$K$22*(Calc!$G$3:$G$22&gt;A862)*(Calc!$G$3:$G$22-A862))</f>
        <v/>
      </c>
      <c r="H862">
        <f>SUMPRODUCT(Calc!$K$3:$K$22*(Calc!$G$3:$G$22&gt;B862)*(Calc!$G$3:$G$22-B862))</f>
        <v/>
      </c>
      <c r="I862">
        <f>SUMPRODUCT(Calc!$K$3:$K$22*(Calc!$G$3:$G$22&gt;A862)*(Calc!$G$3:$G$22-A862)^2)</f>
        <v/>
      </c>
      <c r="J862">
        <f>SUMPRODUCT(Calc!$K$3:$K$22*(Calc!$G$3:$G$22&gt;B862)*(Calc!$G$3:$G$22-B862)^2)</f>
        <v/>
      </c>
      <c r="K862">
        <f>SUMPRODUCT(Calc!$K$3:$K$22*(Calc!$G$3:$G$22&gt;A862)*(Calc!$G$3:$G$22-A862)*(Calc!$G$3:$G$22&gt;B862)*(Calc!$G$3:$G$22-B862))</f>
        <v/>
      </c>
      <c r="L862">
        <f>SUMPRODUCT(Calc!$K$3:$K$22*(Calc!$G$3:$G$22&gt;A862)*(Calc!$G$3:$G$22-A862)*Calc!$G$3:$G$22)</f>
        <v/>
      </c>
      <c r="M862">
        <f>SUMPRODUCT(Calc!$K$3:$K$22*(Calc!$G$3:$G$22&gt;B862)*(Calc!$G$3:$G$22-B862)*Calc!$G$3:$G$22)</f>
        <v/>
      </c>
      <c r="N862">
        <f>SUMPRODUCT(Calc!$K$3:$K$22*(Calc!$G$3:$G$22&gt;A862)*(Calc!$G$3:$G$22-A862)*Calc!$I$3:$I$22)</f>
        <v/>
      </c>
      <c r="O862">
        <f>SUMPRODUCT(Calc!$K$3:$K$22*(Calc!$G$3:$G$22&gt;B862)*(Calc!$G$3:$G$22-B862)*Calc!$I$3:$I$22)</f>
        <v/>
      </c>
      <c r="P862">
        <f>I862-G862^2/k_n</f>
        <v/>
      </c>
      <c r="Q862">
        <f>J862-H862^2/k_n</f>
        <v/>
      </c>
      <c r="R862">
        <f>K862-G862*H862/k_n</f>
        <v/>
      </c>
      <c r="S862">
        <f>L862-LTP3!$D$3*G862/k_n</f>
        <v/>
      </c>
      <c r="T862">
        <f>M862-LTP3!$D$3*H862/k_n</f>
        <v/>
      </c>
      <c r="U862">
        <f>N862-G862*LTP3!$D$4/k_n</f>
        <v/>
      </c>
      <c r="V862">
        <f>O862-H862*LTP3!$D$4/k_n</f>
        <v/>
      </c>
      <c r="W862">
        <f>((LTP3!$D$5)*((P862)*(Q862)-(R862)*(R862))-(S862)*((S862)*(Q862)-(R862)*(T862))+(T862)*((S862)*(R862)-(P862)*(T862)))</f>
        <v/>
      </c>
      <c r="X862">
        <f>IF(ABS(W862)&gt;1E-12,((LTP3!$D$6)*((P862)*(Q862)-(R862)*(R862))-(S862)*((U862)*(Q862)-(R862)*(V862))+(T862)*((U862)*(R862)-(P862)*(V862)))/W862,0)</f>
        <v/>
      </c>
      <c r="Y862">
        <f>IF(ABS(W862)&gt;1E-12,((LTP3!$D$5)*((U862)*(Q862)-(R862)*(V862))-(LTP3!$D$6)*((S862)*(Q862)-(R862)*(T862))+(T862)*((S862)*(V862)-(U862)*(T862)))/W862,0)</f>
        <v/>
      </c>
      <c r="Z862">
        <f>IF(ABS(W862)&gt;1E-12,((LTP3!$D$5)*((P862)*(V862)-(U862)*(R862))-(S862)*((S862)*(V862)-(U862)*(T862))+(LTP3!$D$6)*((S862)*(R862)-(P862)*(T862)))/W862,0)</f>
        <v/>
      </c>
      <c r="AA862">
        <f>LTP3!$D$7-X862*LTP3!$D$6-Y862*U862-Z862*V862</f>
        <v/>
      </c>
      <c r="AB862">
        <f>IF(AND(F862,ABS(W862)&gt;1E-12,Y862&gt;0,Z862&gt;0),AA862,1E+300)</f>
        <v/>
      </c>
    </row>
    <row r="863">
      <c r="A863">
        <f>$B$3+$B$5*13</f>
        <v/>
      </c>
      <c r="B863">
        <f>$B$3+$B$5*58</f>
        <v/>
      </c>
      <c r="C863">
        <f>SUMPRODUCT(Calc!$K$3:$K$22*(Calc!$G$3:$G$22&lt;=A863))</f>
        <v/>
      </c>
      <c r="D863">
        <f>SUMPRODUCT(Calc!$K$3:$K$22*(Calc!$G$3:$G$22&gt;A863)*(Calc!$G$3:$G$22&lt;B863))</f>
        <v/>
      </c>
      <c r="E863">
        <f>SUMPRODUCT(Calc!$K$3:$K$22*(Calc!$G$3:$G$22&gt;=B863))</f>
        <v/>
      </c>
      <c r="F863">
        <f>AND(k_n&gt;=5,B863&gt;A863+1E-9,C863&gt;=2,D863&gt;=1,E863&gt;=2)</f>
        <v/>
      </c>
      <c r="G863">
        <f>SUMPRODUCT(Calc!$K$3:$K$22*(Calc!$G$3:$G$22&gt;A863)*(Calc!$G$3:$G$22-A863))</f>
        <v/>
      </c>
      <c r="H863">
        <f>SUMPRODUCT(Calc!$K$3:$K$22*(Calc!$G$3:$G$22&gt;B863)*(Calc!$G$3:$G$22-B863))</f>
        <v/>
      </c>
      <c r="I863">
        <f>SUMPRODUCT(Calc!$K$3:$K$22*(Calc!$G$3:$G$22&gt;A863)*(Calc!$G$3:$G$22-A863)^2)</f>
        <v/>
      </c>
      <c r="J863">
        <f>SUMPRODUCT(Calc!$K$3:$K$22*(Calc!$G$3:$G$22&gt;B863)*(Calc!$G$3:$G$22-B863)^2)</f>
        <v/>
      </c>
      <c r="K863">
        <f>SUMPRODUCT(Calc!$K$3:$K$22*(Calc!$G$3:$G$22&gt;A863)*(Calc!$G$3:$G$22-A863)*(Calc!$G$3:$G$22&gt;B863)*(Calc!$G$3:$G$22-B863))</f>
        <v/>
      </c>
      <c r="L863">
        <f>SUMPRODUCT(Calc!$K$3:$K$22*(Calc!$G$3:$G$22&gt;A863)*(Calc!$G$3:$G$22-A863)*Calc!$G$3:$G$22)</f>
        <v/>
      </c>
      <c r="M863">
        <f>SUMPRODUCT(Calc!$K$3:$K$22*(Calc!$G$3:$G$22&gt;B863)*(Calc!$G$3:$G$22-B863)*Calc!$G$3:$G$22)</f>
        <v/>
      </c>
      <c r="N863">
        <f>SUMPRODUCT(Calc!$K$3:$K$22*(Calc!$G$3:$G$22&gt;A863)*(Calc!$G$3:$G$22-A863)*Calc!$I$3:$I$22)</f>
        <v/>
      </c>
      <c r="O863">
        <f>SUMPRODUCT(Calc!$K$3:$K$22*(Calc!$G$3:$G$22&gt;B863)*(Calc!$G$3:$G$22-B863)*Calc!$I$3:$I$22)</f>
        <v/>
      </c>
      <c r="P863">
        <f>I863-G863^2/k_n</f>
        <v/>
      </c>
      <c r="Q863">
        <f>J863-H863^2/k_n</f>
        <v/>
      </c>
      <c r="R863">
        <f>K863-G863*H863/k_n</f>
        <v/>
      </c>
      <c r="S863">
        <f>L863-LTP3!$D$3*G863/k_n</f>
        <v/>
      </c>
      <c r="T863">
        <f>M863-LTP3!$D$3*H863/k_n</f>
        <v/>
      </c>
      <c r="U863">
        <f>N863-G863*LTP3!$D$4/k_n</f>
        <v/>
      </c>
      <c r="V863">
        <f>O863-H863*LTP3!$D$4/k_n</f>
        <v/>
      </c>
      <c r="W863">
        <f>((LTP3!$D$5)*((P863)*(Q863)-(R863)*(R863))-(S863)*((S863)*(Q863)-(R863)*(T863))+(T863)*((S863)*(R863)-(P863)*(T863)))</f>
        <v/>
      </c>
      <c r="X863">
        <f>IF(ABS(W863)&gt;1E-12,((LTP3!$D$6)*((P863)*(Q863)-(R863)*(R863))-(S863)*((U863)*(Q863)-(R863)*(V863))+(T863)*((U863)*(R863)-(P863)*(V863)))/W863,0)</f>
        <v/>
      </c>
      <c r="Y863">
        <f>IF(ABS(W863)&gt;1E-12,((LTP3!$D$5)*((U863)*(Q863)-(R863)*(V863))-(LTP3!$D$6)*((S863)*(Q863)-(R863)*(T863))+(T863)*((S863)*(V863)-(U863)*(T863)))/W863,0)</f>
        <v/>
      </c>
      <c r="Z863">
        <f>IF(ABS(W863)&gt;1E-12,((LTP3!$D$5)*((P863)*(V863)-(U863)*(R863))-(S863)*((S863)*(V863)-(U863)*(T863))+(LTP3!$D$6)*((S863)*(R863)-(P863)*(T863)))/W863,0)</f>
        <v/>
      </c>
      <c r="AA863">
        <f>LTP3!$D$7-X863*LTP3!$D$6-Y863*U863-Z863*V863</f>
        <v/>
      </c>
      <c r="AB863">
        <f>IF(AND(F863,ABS(W863)&gt;1E-12,Y863&gt;0,Z863&gt;0),AA863,1E+300)</f>
        <v/>
      </c>
    </row>
    <row r="864">
      <c r="A864">
        <f>$B$3+$B$5*13</f>
        <v/>
      </c>
      <c r="B864">
        <f>$B$3+$B$5*59</f>
        <v/>
      </c>
      <c r="C864">
        <f>SUMPRODUCT(Calc!$K$3:$K$22*(Calc!$G$3:$G$22&lt;=A864))</f>
        <v/>
      </c>
      <c r="D864">
        <f>SUMPRODUCT(Calc!$K$3:$K$22*(Calc!$G$3:$G$22&gt;A864)*(Calc!$G$3:$G$22&lt;B864))</f>
        <v/>
      </c>
      <c r="E864">
        <f>SUMPRODUCT(Calc!$K$3:$K$22*(Calc!$G$3:$G$22&gt;=B864))</f>
        <v/>
      </c>
      <c r="F864">
        <f>AND(k_n&gt;=5,B864&gt;A864+1E-9,C864&gt;=2,D864&gt;=1,E864&gt;=2)</f>
        <v/>
      </c>
      <c r="G864">
        <f>SUMPRODUCT(Calc!$K$3:$K$22*(Calc!$G$3:$G$22&gt;A864)*(Calc!$G$3:$G$22-A864))</f>
        <v/>
      </c>
      <c r="H864">
        <f>SUMPRODUCT(Calc!$K$3:$K$22*(Calc!$G$3:$G$22&gt;B864)*(Calc!$G$3:$G$22-B864))</f>
        <v/>
      </c>
      <c r="I864">
        <f>SUMPRODUCT(Calc!$K$3:$K$22*(Calc!$G$3:$G$22&gt;A864)*(Calc!$G$3:$G$22-A864)^2)</f>
        <v/>
      </c>
      <c r="J864">
        <f>SUMPRODUCT(Calc!$K$3:$K$22*(Calc!$G$3:$G$22&gt;B864)*(Calc!$G$3:$G$22-B864)^2)</f>
        <v/>
      </c>
      <c r="K864">
        <f>SUMPRODUCT(Calc!$K$3:$K$22*(Calc!$G$3:$G$22&gt;A864)*(Calc!$G$3:$G$22-A864)*(Calc!$G$3:$G$22&gt;B864)*(Calc!$G$3:$G$22-B864))</f>
        <v/>
      </c>
      <c r="L864">
        <f>SUMPRODUCT(Calc!$K$3:$K$22*(Calc!$G$3:$G$22&gt;A864)*(Calc!$G$3:$G$22-A864)*Calc!$G$3:$G$22)</f>
        <v/>
      </c>
      <c r="M864">
        <f>SUMPRODUCT(Calc!$K$3:$K$22*(Calc!$G$3:$G$22&gt;B864)*(Calc!$G$3:$G$22-B864)*Calc!$G$3:$G$22)</f>
        <v/>
      </c>
      <c r="N864">
        <f>SUMPRODUCT(Calc!$K$3:$K$22*(Calc!$G$3:$G$22&gt;A864)*(Calc!$G$3:$G$22-A864)*Calc!$I$3:$I$22)</f>
        <v/>
      </c>
      <c r="O864">
        <f>SUMPRODUCT(Calc!$K$3:$K$22*(Calc!$G$3:$G$22&gt;B864)*(Calc!$G$3:$G$22-B864)*Calc!$I$3:$I$22)</f>
        <v/>
      </c>
      <c r="P864">
        <f>I864-G864^2/k_n</f>
        <v/>
      </c>
      <c r="Q864">
        <f>J864-H864^2/k_n</f>
        <v/>
      </c>
      <c r="R864">
        <f>K864-G864*H864/k_n</f>
        <v/>
      </c>
      <c r="S864">
        <f>L864-LTP3!$D$3*G864/k_n</f>
        <v/>
      </c>
      <c r="T864">
        <f>M864-LTP3!$D$3*H864/k_n</f>
        <v/>
      </c>
      <c r="U864">
        <f>N864-G864*LTP3!$D$4/k_n</f>
        <v/>
      </c>
      <c r="V864">
        <f>O864-H864*LTP3!$D$4/k_n</f>
        <v/>
      </c>
      <c r="W864">
        <f>((LTP3!$D$5)*((P864)*(Q864)-(R864)*(R864))-(S864)*((S864)*(Q864)-(R864)*(T864))+(T864)*((S864)*(R864)-(P864)*(T864)))</f>
        <v/>
      </c>
      <c r="X864">
        <f>IF(ABS(W864)&gt;1E-12,((LTP3!$D$6)*((P864)*(Q864)-(R864)*(R864))-(S864)*((U864)*(Q864)-(R864)*(V864))+(T864)*((U864)*(R864)-(P864)*(V864)))/W864,0)</f>
        <v/>
      </c>
      <c r="Y864">
        <f>IF(ABS(W864)&gt;1E-12,((LTP3!$D$5)*((U864)*(Q864)-(R864)*(V864))-(LTP3!$D$6)*((S864)*(Q864)-(R864)*(T864))+(T864)*((S864)*(V864)-(U864)*(T864)))/W864,0)</f>
        <v/>
      </c>
      <c r="Z864">
        <f>IF(ABS(W864)&gt;1E-12,((LTP3!$D$5)*((P864)*(V864)-(U864)*(R864))-(S864)*((S864)*(V864)-(U864)*(T864))+(LTP3!$D$6)*((S864)*(R864)-(P864)*(T864)))/W864,0)</f>
        <v/>
      </c>
      <c r="AA864">
        <f>LTP3!$D$7-X864*LTP3!$D$6-Y864*U864-Z864*V864</f>
        <v/>
      </c>
      <c r="AB864">
        <f>IF(AND(F864,ABS(W864)&gt;1E-12,Y864&gt;0,Z864&gt;0),AA864,1E+300)</f>
        <v/>
      </c>
    </row>
    <row r="865">
      <c r="A865">
        <f>$B$3+$B$5*13</f>
        <v/>
      </c>
      <c r="B865">
        <f>$B$3+$B$5*60</f>
        <v/>
      </c>
      <c r="C865">
        <f>SUMPRODUCT(Calc!$K$3:$K$22*(Calc!$G$3:$G$22&lt;=A865))</f>
        <v/>
      </c>
      <c r="D865">
        <f>SUMPRODUCT(Calc!$K$3:$K$22*(Calc!$G$3:$G$22&gt;A865)*(Calc!$G$3:$G$22&lt;B865))</f>
        <v/>
      </c>
      <c r="E865">
        <f>SUMPRODUCT(Calc!$K$3:$K$22*(Calc!$G$3:$G$22&gt;=B865))</f>
        <v/>
      </c>
      <c r="F865">
        <f>AND(k_n&gt;=5,B865&gt;A865+1E-9,C865&gt;=2,D865&gt;=1,E865&gt;=2)</f>
        <v/>
      </c>
      <c r="G865">
        <f>SUMPRODUCT(Calc!$K$3:$K$22*(Calc!$G$3:$G$22&gt;A865)*(Calc!$G$3:$G$22-A865))</f>
        <v/>
      </c>
      <c r="H865">
        <f>SUMPRODUCT(Calc!$K$3:$K$22*(Calc!$G$3:$G$22&gt;B865)*(Calc!$G$3:$G$22-B865))</f>
        <v/>
      </c>
      <c r="I865">
        <f>SUMPRODUCT(Calc!$K$3:$K$22*(Calc!$G$3:$G$22&gt;A865)*(Calc!$G$3:$G$22-A865)^2)</f>
        <v/>
      </c>
      <c r="J865">
        <f>SUMPRODUCT(Calc!$K$3:$K$22*(Calc!$G$3:$G$22&gt;B865)*(Calc!$G$3:$G$22-B865)^2)</f>
        <v/>
      </c>
      <c r="K865">
        <f>SUMPRODUCT(Calc!$K$3:$K$22*(Calc!$G$3:$G$22&gt;A865)*(Calc!$G$3:$G$22-A865)*(Calc!$G$3:$G$22&gt;B865)*(Calc!$G$3:$G$22-B865))</f>
        <v/>
      </c>
      <c r="L865">
        <f>SUMPRODUCT(Calc!$K$3:$K$22*(Calc!$G$3:$G$22&gt;A865)*(Calc!$G$3:$G$22-A865)*Calc!$G$3:$G$22)</f>
        <v/>
      </c>
      <c r="M865">
        <f>SUMPRODUCT(Calc!$K$3:$K$22*(Calc!$G$3:$G$22&gt;B865)*(Calc!$G$3:$G$22-B865)*Calc!$G$3:$G$22)</f>
        <v/>
      </c>
      <c r="N865">
        <f>SUMPRODUCT(Calc!$K$3:$K$22*(Calc!$G$3:$G$22&gt;A865)*(Calc!$G$3:$G$22-A865)*Calc!$I$3:$I$22)</f>
        <v/>
      </c>
      <c r="O865">
        <f>SUMPRODUCT(Calc!$K$3:$K$22*(Calc!$G$3:$G$22&gt;B865)*(Calc!$G$3:$G$22-B865)*Calc!$I$3:$I$22)</f>
        <v/>
      </c>
      <c r="P865">
        <f>I865-G865^2/k_n</f>
        <v/>
      </c>
      <c r="Q865">
        <f>J865-H865^2/k_n</f>
        <v/>
      </c>
      <c r="R865">
        <f>K865-G865*H865/k_n</f>
        <v/>
      </c>
      <c r="S865">
        <f>L865-LTP3!$D$3*G865/k_n</f>
        <v/>
      </c>
      <c r="T865">
        <f>M865-LTP3!$D$3*H865/k_n</f>
        <v/>
      </c>
      <c r="U865">
        <f>N865-G865*LTP3!$D$4/k_n</f>
        <v/>
      </c>
      <c r="V865">
        <f>O865-H865*LTP3!$D$4/k_n</f>
        <v/>
      </c>
      <c r="W865">
        <f>((LTP3!$D$5)*((P865)*(Q865)-(R865)*(R865))-(S865)*((S865)*(Q865)-(R865)*(T865))+(T865)*((S865)*(R865)-(P865)*(T865)))</f>
        <v/>
      </c>
      <c r="X865">
        <f>IF(ABS(W865)&gt;1E-12,((LTP3!$D$6)*((P865)*(Q865)-(R865)*(R865))-(S865)*((U865)*(Q865)-(R865)*(V865))+(T865)*((U865)*(R865)-(P865)*(V865)))/W865,0)</f>
        <v/>
      </c>
      <c r="Y865">
        <f>IF(ABS(W865)&gt;1E-12,((LTP3!$D$5)*((U865)*(Q865)-(R865)*(V865))-(LTP3!$D$6)*((S865)*(Q865)-(R865)*(T865))+(T865)*((S865)*(V865)-(U865)*(T865)))/W865,0)</f>
        <v/>
      </c>
      <c r="Z865">
        <f>IF(ABS(W865)&gt;1E-12,((LTP3!$D$5)*((P865)*(V865)-(U865)*(R865))-(S865)*((S865)*(V865)-(U865)*(T865))+(LTP3!$D$6)*((S865)*(R865)-(P865)*(T865)))/W865,0)</f>
        <v/>
      </c>
      <c r="AA865">
        <f>LTP3!$D$7-X865*LTP3!$D$6-Y865*U865-Z865*V865</f>
        <v/>
      </c>
      <c r="AB865">
        <f>IF(AND(F865,ABS(W865)&gt;1E-12,Y865&gt;0,Z865&gt;0),AA865,1E+300)</f>
        <v/>
      </c>
    </row>
    <row r="866">
      <c r="A866">
        <f>$B$3+$B$5*14</f>
        <v/>
      </c>
      <c r="B866">
        <f>$B$3+$B$5*0</f>
        <v/>
      </c>
      <c r="C866">
        <f>SUMPRODUCT(Calc!$K$3:$K$22*(Calc!$G$3:$G$22&lt;=A866))</f>
        <v/>
      </c>
      <c r="D866">
        <f>SUMPRODUCT(Calc!$K$3:$K$22*(Calc!$G$3:$G$22&gt;A866)*(Calc!$G$3:$G$22&lt;B866))</f>
        <v/>
      </c>
      <c r="E866">
        <f>SUMPRODUCT(Calc!$K$3:$K$22*(Calc!$G$3:$G$22&gt;=B866))</f>
        <v/>
      </c>
      <c r="F866">
        <f>AND(k_n&gt;=5,B866&gt;A866+1E-9,C866&gt;=2,D866&gt;=1,E866&gt;=2)</f>
        <v/>
      </c>
      <c r="G866">
        <f>SUMPRODUCT(Calc!$K$3:$K$22*(Calc!$G$3:$G$22&gt;A866)*(Calc!$G$3:$G$22-A866))</f>
        <v/>
      </c>
      <c r="H866">
        <f>SUMPRODUCT(Calc!$K$3:$K$22*(Calc!$G$3:$G$22&gt;B866)*(Calc!$G$3:$G$22-B866))</f>
        <v/>
      </c>
      <c r="I866">
        <f>SUMPRODUCT(Calc!$K$3:$K$22*(Calc!$G$3:$G$22&gt;A866)*(Calc!$G$3:$G$22-A866)^2)</f>
        <v/>
      </c>
      <c r="J866">
        <f>SUMPRODUCT(Calc!$K$3:$K$22*(Calc!$G$3:$G$22&gt;B866)*(Calc!$G$3:$G$22-B866)^2)</f>
        <v/>
      </c>
      <c r="K866">
        <f>SUMPRODUCT(Calc!$K$3:$K$22*(Calc!$G$3:$G$22&gt;A866)*(Calc!$G$3:$G$22-A866)*(Calc!$G$3:$G$22&gt;B866)*(Calc!$G$3:$G$22-B866))</f>
        <v/>
      </c>
      <c r="L866">
        <f>SUMPRODUCT(Calc!$K$3:$K$22*(Calc!$G$3:$G$22&gt;A866)*(Calc!$G$3:$G$22-A866)*Calc!$G$3:$G$22)</f>
        <v/>
      </c>
      <c r="M866">
        <f>SUMPRODUCT(Calc!$K$3:$K$22*(Calc!$G$3:$G$22&gt;B866)*(Calc!$G$3:$G$22-B866)*Calc!$G$3:$G$22)</f>
        <v/>
      </c>
      <c r="N866">
        <f>SUMPRODUCT(Calc!$K$3:$K$22*(Calc!$G$3:$G$22&gt;A866)*(Calc!$G$3:$G$22-A866)*Calc!$I$3:$I$22)</f>
        <v/>
      </c>
      <c r="O866">
        <f>SUMPRODUCT(Calc!$K$3:$K$22*(Calc!$G$3:$G$22&gt;B866)*(Calc!$G$3:$G$22-B866)*Calc!$I$3:$I$22)</f>
        <v/>
      </c>
      <c r="P866">
        <f>I866-G866^2/k_n</f>
        <v/>
      </c>
      <c r="Q866">
        <f>J866-H866^2/k_n</f>
        <v/>
      </c>
      <c r="R866">
        <f>K866-G866*H866/k_n</f>
        <v/>
      </c>
      <c r="S866">
        <f>L866-LTP3!$D$3*G866/k_n</f>
        <v/>
      </c>
      <c r="T866">
        <f>M866-LTP3!$D$3*H866/k_n</f>
        <v/>
      </c>
      <c r="U866">
        <f>N866-G866*LTP3!$D$4/k_n</f>
        <v/>
      </c>
      <c r="V866">
        <f>O866-H866*LTP3!$D$4/k_n</f>
        <v/>
      </c>
      <c r="W866">
        <f>((LTP3!$D$5)*((P866)*(Q866)-(R866)*(R866))-(S866)*((S866)*(Q866)-(R866)*(T866))+(T866)*((S866)*(R866)-(P866)*(T866)))</f>
        <v/>
      </c>
      <c r="X866">
        <f>IF(ABS(W866)&gt;1E-12,((LTP3!$D$6)*((P866)*(Q866)-(R866)*(R866))-(S866)*((U866)*(Q866)-(R866)*(V866))+(T866)*((U866)*(R866)-(P866)*(V866)))/W866,0)</f>
        <v/>
      </c>
      <c r="Y866">
        <f>IF(ABS(W866)&gt;1E-12,((LTP3!$D$5)*((U866)*(Q866)-(R866)*(V866))-(LTP3!$D$6)*((S866)*(Q866)-(R866)*(T866))+(T866)*((S866)*(V866)-(U866)*(T866)))/W866,0)</f>
        <v/>
      </c>
      <c r="Z866">
        <f>IF(ABS(W866)&gt;1E-12,((LTP3!$D$5)*((P866)*(V866)-(U866)*(R866))-(S866)*((S866)*(V866)-(U866)*(T866))+(LTP3!$D$6)*((S866)*(R866)-(P866)*(T866)))/W866,0)</f>
        <v/>
      </c>
      <c r="AA866">
        <f>LTP3!$D$7-X866*LTP3!$D$6-Y866*U866-Z866*V866</f>
        <v/>
      </c>
      <c r="AB866">
        <f>IF(AND(F866,ABS(W866)&gt;1E-12,Y866&gt;0,Z866&gt;0),AA866,1E+300)</f>
        <v/>
      </c>
    </row>
    <row r="867">
      <c r="A867">
        <f>$B$3+$B$5*14</f>
        <v/>
      </c>
      <c r="B867">
        <f>$B$3+$B$5*1</f>
        <v/>
      </c>
      <c r="C867">
        <f>SUMPRODUCT(Calc!$K$3:$K$22*(Calc!$G$3:$G$22&lt;=A867))</f>
        <v/>
      </c>
      <c r="D867">
        <f>SUMPRODUCT(Calc!$K$3:$K$22*(Calc!$G$3:$G$22&gt;A867)*(Calc!$G$3:$G$22&lt;B867))</f>
        <v/>
      </c>
      <c r="E867">
        <f>SUMPRODUCT(Calc!$K$3:$K$22*(Calc!$G$3:$G$22&gt;=B867))</f>
        <v/>
      </c>
      <c r="F867">
        <f>AND(k_n&gt;=5,B867&gt;A867+1E-9,C867&gt;=2,D867&gt;=1,E867&gt;=2)</f>
        <v/>
      </c>
      <c r="G867">
        <f>SUMPRODUCT(Calc!$K$3:$K$22*(Calc!$G$3:$G$22&gt;A867)*(Calc!$G$3:$G$22-A867))</f>
        <v/>
      </c>
      <c r="H867">
        <f>SUMPRODUCT(Calc!$K$3:$K$22*(Calc!$G$3:$G$22&gt;B867)*(Calc!$G$3:$G$22-B867))</f>
        <v/>
      </c>
      <c r="I867">
        <f>SUMPRODUCT(Calc!$K$3:$K$22*(Calc!$G$3:$G$22&gt;A867)*(Calc!$G$3:$G$22-A867)^2)</f>
        <v/>
      </c>
      <c r="J867">
        <f>SUMPRODUCT(Calc!$K$3:$K$22*(Calc!$G$3:$G$22&gt;B867)*(Calc!$G$3:$G$22-B867)^2)</f>
        <v/>
      </c>
      <c r="K867">
        <f>SUMPRODUCT(Calc!$K$3:$K$22*(Calc!$G$3:$G$22&gt;A867)*(Calc!$G$3:$G$22-A867)*(Calc!$G$3:$G$22&gt;B867)*(Calc!$G$3:$G$22-B867))</f>
        <v/>
      </c>
      <c r="L867">
        <f>SUMPRODUCT(Calc!$K$3:$K$22*(Calc!$G$3:$G$22&gt;A867)*(Calc!$G$3:$G$22-A867)*Calc!$G$3:$G$22)</f>
        <v/>
      </c>
      <c r="M867">
        <f>SUMPRODUCT(Calc!$K$3:$K$22*(Calc!$G$3:$G$22&gt;B867)*(Calc!$G$3:$G$22-B867)*Calc!$G$3:$G$22)</f>
        <v/>
      </c>
      <c r="N867">
        <f>SUMPRODUCT(Calc!$K$3:$K$22*(Calc!$G$3:$G$22&gt;A867)*(Calc!$G$3:$G$22-A867)*Calc!$I$3:$I$22)</f>
        <v/>
      </c>
      <c r="O867">
        <f>SUMPRODUCT(Calc!$K$3:$K$22*(Calc!$G$3:$G$22&gt;B867)*(Calc!$G$3:$G$22-B867)*Calc!$I$3:$I$22)</f>
        <v/>
      </c>
      <c r="P867">
        <f>I867-G867^2/k_n</f>
        <v/>
      </c>
      <c r="Q867">
        <f>J867-H867^2/k_n</f>
        <v/>
      </c>
      <c r="R867">
        <f>K867-G867*H867/k_n</f>
        <v/>
      </c>
      <c r="S867">
        <f>L867-LTP3!$D$3*G867/k_n</f>
        <v/>
      </c>
      <c r="T867">
        <f>M867-LTP3!$D$3*H867/k_n</f>
        <v/>
      </c>
      <c r="U867">
        <f>N867-G867*LTP3!$D$4/k_n</f>
        <v/>
      </c>
      <c r="V867">
        <f>O867-H867*LTP3!$D$4/k_n</f>
        <v/>
      </c>
      <c r="W867">
        <f>((LTP3!$D$5)*((P867)*(Q867)-(R867)*(R867))-(S867)*((S867)*(Q867)-(R867)*(T867))+(T867)*((S867)*(R867)-(P867)*(T867)))</f>
        <v/>
      </c>
      <c r="X867">
        <f>IF(ABS(W867)&gt;1E-12,((LTP3!$D$6)*((P867)*(Q867)-(R867)*(R867))-(S867)*((U867)*(Q867)-(R867)*(V867))+(T867)*((U867)*(R867)-(P867)*(V867)))/W867,0)</f>
        <v/>
      </c>
      <c r="Y867">
        <f>IF(ABS(W867)&gt;1E-12,((LTP3!$D$5)*((U867)*(Q867)-(R867)*(V867))-(LTP3!$D$6)*((S867)*(Q867)-(R867)*(T867))+(T867)*((S867)*(V867)-(U867)*(T867)))/W867,0)</f>
        <v/>
      </c>
      <c r="Z867">
        <f>IF(ABS(W867)&gt;1E-12,((LTP3!$D$5)*((P867)*(V867)-(U867)*(R867))-(S867)*((S867)*(V867)-(U867)*(T867))+(LTP3!$D$6)*((S867)*(R867)-(P867)*(T867)))/W867,0)</f>
        <v/>
      </c>
      <c r="AA867">
        <f>LTP3!$D$7-X867*LTP3!$D$6-Y867*U867-Z867*V867</f>
        <v/>
      </c>
      <c r="AB867">
        <f>IF(AND(F867,ABS(W867)&gt;1E-12,Y867&gt;0,Z867&gt;0),AA867,1E+300)</f>
        <v/>
      </c>
    </row>
    <row r="868">
      <c r="A868">
        <f>$B$3+$B$5*14</f>
        <v/>
      </c>
      <c r="B868">
        <f>$B$3+$B$5*2</f>
        <v/>
      </c>
      <c r="C868">
        <f>SUMPRODUCT(Calc!$K$3:$K$22*(Calc!$G$3:$G$22&lt;=A868))</f>
        <v/>
      </c>
      <c r="D868">
        <f>SUMPRODUCT(Calc!$K$3:$K$22*(Calc!$G$3:$G$22&gt;A868)*(Calc!$G$3:$G$22&lt;B868))</f>
        <v/>
      </c>
      <c r="E868">
        <f>SUMPRODUCT(Calc!$K$3:$K$22*(Calc!$G$3:$G$22&gt;=B868))</f>
        <v/>
      </c>
      <c r="F868">
        <f>AND(k_n&gt;=5,B868&gt;A868+1E-9,C868&gt;=2,D868&gt;=1,E868&gt;=2)</f>
        <v/>
      </c>
      <c r="G868">
        <f>SUMPRODUCT(Calc!$K$3:$K$22*(Calc!$G$3:$G$22&gt;A868)*(Calc!$G$3:$G$22-A868))</f>
        <v/>
      </c>
      <c r="H868">
        <f>SUMPRODUCT(Calc!$K$3:$K$22*(Calc!$G$3:$G$22&gt;B868)*(Calc!$G$3:$G$22-B868))</f>
        <v/>
      </c>
      <c r="I868">
        <f>SUMPRODUCT(Calc!$K$3:$K$22*(Calc!$G$3:$G$22&gt;A868)*(Calc!$G$3:$G$22-A868)^2)</f>
        <v/>
      </c>
      <c r="J868">
        <f>SUMPRODUCT(Calc!$K$3:$K$22*(Calc!$G$3:$G$22&gt;B868)*(Calc!$G$3:$G$22-B868)^2)</f>
        <v/>
      </c>
      <c r="K868">
        <f>SUMPRODUCT(Calc!$K$3:$K$22*(Calc!$G$3:$G$22&gt;A868)*(Calc!$G$3:$G$22-A868)*(Calc!$G$3:$G$22&gt;B868)*(Calc!$G$3:$G$22-B868))</f>
        <v/>
      </c>
      <c r="L868">
        <f>SUMPRODUCT(Calc!$K$3:$K$22*(Calc!$G$3:$G$22&gt;A868)*(Calc!$G$3:$G$22-A868)*Calc!$G$3:$G$22)</f>
        <v/>
      </c>
      <c r="M868">
        <f>SUMPRODUCT(Calc!$K$3:$K$22*(Calc!$G$3:$G$22&gt;B868)*(Calc!$G$3:$G$22-B868)*Calc!$G$3:$G$22)</f>
        <v/>
      </c>
      <c r="N868">
        <f>SUMPRODUCT(Calc!$K$3:$K$22*(Calc!$G$3:$G$22&gt;A868)*(Calc!$G$3:$G$22-A868)*Calc!$I$3:$I$22)</f>
        <v/>
      </c>
      <c r="O868">
        <f>SUMPRODUCT(Calc!$K$3:$K$22*(Calc!$G$3:$G$22&gt;B868)*(Calc!$G$3:$G$22-B868)*Calc!$I$3:$I$22)</f>
        <v/>
      </c>
      <c r="P868">
        <f>I868-G868^2/k_n</f>
        <v/>
      </c>
      <c r="Q868">
        <f>J868-H868^2/k_n</f>
        <v/>
      </c>
      <c r="R868">
        <f>K868-G868*H868/k_n</f>
        <v/>
      </c>
      <c r="S868">
        <f>L868-LTP3!$D$3*G868/k_n</f>
        <v/>
      </c>
      <c r="T868">
        <f>M868-LTP3!$D$3*H868/k_n</f>
        <v/>
      </c>
      <c r="U868">
        <f>N868-G868*LTP3!$D$4/k_n</f>
        <v/>
      </c>
      <c r="V868">
        <f>O868-H868*LTP3!$D$4/k_n</f>
        <v/>
      </c>
      <c r="W868">
        <f>((LTP3!$D$5)*((P868)*(Q868)-(R868)*(R868))-(S868)*((S868)*(Q868)-(R868)*(T868))+(T868)*((S868)*(R868)-(P868)*(T868)))</f>
        <v/>
      </c>
      <c r="X868">
        <f>IF(ABS(W868)&gt;1E-12,((LTP3!$D$6)*((P868)*(Q868)-(R868)*(R868))-(S868)*((U868)*(Q868)-(R868)*(V868))+(T868)*((U868)*(R868)-(P868)*(V868)))/W868,0)</f>
        <v/>
      </c>
      <c r="Y868">
        <f>IF(ABS(W868)&gt;1E-12,((LTP3!$D$5)*((U868)*(Q868)-(R868)*(V868))-(LTP3!$D$6)*((S868)*(Q868)-(R868)*(T868))+(T868)*((S868)*(V868)-(U868)*(T868)))/W868,0)</f>
        <v/>
      </c>
      <c r="Z868">
        <f>IF(ABS(W868)&gt;1E-12,((LTP3!$D$5)*((P868)*(V868)-(U868)*(R868))-(S868)*((S868)*(V868)-(U868)*(T868))+(LTP3!$D$6)*((S868)*(R868)-(P868)*(T868)))/W868,0)</f>
        <v/>
      </c>
      <c r="AA868">
        <f>LTP3!$D$7-X868*LTP3!$D$6-Y868*U868-Z868*V868</f>
        <v/>
      </c>
      <c r="AB868">
        <f>IF(AND(F868,ABS(W868)&gt;1E-12,Y868&gt;0,Z868&gt;0),AA868,1E+300)</f>
        <v/>
      </c>
    </row>
    <row r="869">
      <c r="A869">
        <f>$B$3+$B$5*14</f>
        <v/>
      </c>
      <c r="B869">
        <f>$B$3+$B$5*3</f>
        <v/>
      </c>
      <c r="C869">
        <f>SUMPRODUCT(Calc!$K$3:$K$22*(Calc!$G$3:$G$22&lt;=A869))</f>
        <v/>
      </c>
      <c r="D869">
        <f>SUMPRODUCT(Calc!$K$3:$K$22*(Calc!$G$3:$G$22&gt;A869)*(Calc!$G$3:$G$22&lt;B869))</f>
        <v/>
      </c>
      <c r="E869">
        <f>SUMPRODUCT(Calc!$K$3:$K$22*(Calc!$G$3:$G$22&gt;=B869))</f>
        <v/>
      </c>
      <c r="F869">
        <f>AND(k_n&gt;=5,B869&gt;A869+1E-9,C869&gt;=2,D869&gt;=1,E869&gt;=2)</f>
        <v/>
      </c>
      <c r="G869">
        <f>SUMPRODUCT(Calc!$K$3:$K$22*(Calc!$G$3:$G$22&gt;A869)*(Calc!$G$3:$G$22-A869))</f>
        <v/>
      </c>
      <c r="H869">
        <f>SUMPRODUCT(Calc!$K$3:$K$22*(Calc!$G$3:$G$22&gt;B869)*(Calc!$G$3:$G$22-B869))</f>
        <v/>
      </c>
      <c r="I869">
        <f>SUMPRODUCT(Calc!$K$3:$K$22*(Calc!$G$3:$G$22&gt;A869)*(Calc!$G$3:$G$22-A869)^2)</f>
        <v/>
      </c>
      <c r="J869">
        <f>SUMPRODUCT(Calc!$K$3:$K$22*(Calc!$G$3:$G$22&gt;B869)*(Calc!$G$3:$G$22-B869)^2)</f>
        <v/>
      </c>
      <c r="K869">
        <f>SUMPRODUCT(Calc!$K$3:$K$22*(Calc!$G$3:$G$22&gt;A869)*(Calc!$G$3:$G$22-A869)*(Calc!$G$3:$G$22&gt;B869)*(Calc!$G$3:$G$22-B869))</f>
        <v/>
      </c>
      <c r="L869">
        <f>SUMPRODUCT(Calc!$K$3:$K$22*(Calc!$G$3:$G$22&gt;A869)*(Calc!$G$3:$G$22-A869)*Calc!$G$3:$G$22)</f>
        <v/>
      </c>
      <c r="M869">
        <f>SUMPRODUCT(Calc!$K$3:$K$22*(Calc!$G$3:$G$22&gt;B869)*(Calc!$G$3:$G$22-B869)*Calc!$G$3:$G$22)</f>
        <v/>
      </c>
      <c r="N869">
        <f>SUMPRODUCT(Calc!$K$3:$K$22*(Calc!$G$3:$G$22&gt;A869)*(Calc!$G$3:$G$22-A869)*Calc!$I$3:$I$22)</f>
        <v/>
      </c>
      <c r="O869">
        <f>SUMPRODUCT(Calc!$K$3:$K$22*(Calc!$G$3:$G$22&gt;B869)*(Calc!$G$3:$G$22-B869)*Calc!$I$3:$I$22)</f>
        <v/>
      </c>
      <c r="P869">
        <f>I869-G869^2/k_n</f>
        <v/>
      </c>
      <c r="Q869">
        <f>J869-H869^2/k_n</f>
        <v/>
      </c>
      <c r="R869">
        <f>K869-G869*H869/k_n</f>
        <v/>
      </c>
      <c r="S869">
        <f>L869-LTP3!$D$3*G869/k_n</f>
        <v/>
      </c>
      <c r="T869">
        <f>M869-LTP3!$D$3*H869/k_n</f>
        <v/>
      </c>
      <c r="U869">
        <f>N869-G869*LTP3!$D$4/k_n</f>
        <v/>
      </c>
      <c r="V869">
        <f>O869-H869*LTP3!$D$4/k_n</f>
        <v/>
      </c>
      <c r="W869">
        <f>((LTP3!$D$5)*((P869)*(Q869)-(R869)*(R869))-(S869)*((S869)*(Q869)-(R869)*(T869))+(T869)*((S869)*(R869)-(P869)*(T869)))</f>
        <v/>
      </c>
      <c r="X869">
        <f>IF(ABS(W869)&gt;1E-12,((LTP3!$D$6)*((P869)*(Q869)-(R869)*(R869))-(S869)*((U869)*(Q869)-(R869)*(V869))+(T869)*((U869)*(R869)-(P869)*(V869)))/W869,0)</f>
        <v/>
      </c>
      <c r="Y869">
        <f>IF(ABS(W869)&gt;1E-12,((LTP3!$D$5)*((U869)*(Q869)-(R869)*(V869))-(LTP3!$D$6)*((S869)*(Q869)-(R869)*(T869))+(T869)*((S869)*(V869)-(U869)*(T869)))/W869,0)</f>
        <v/>
      </c>
      <c r="Z869">
        <f>IF(ABS(W869)&gt;1E-12,((LTP3!$D$5)*((P869)*(V869)-(U869)*(R869))-(S869)*((S869)*(V869)-(U869)*(T869))+(LTP3!$D$6)*((S869)*(R869)-(P869)*(T869)))/W869,0)</f>
        <v/>
      </c>
      <c r="AA869">
        <f>LTP3!$D$7-X869*LTP3!$D$6-Y869*U869-Z869*V869</f>
        <v/>
      </c>
      <c r="AB869">
        <f>IF(AND(F869,ABS(W869)&gt;1E-12,Y869&gt;0,Z869&gt;0),AA869,1E+300)</f>
        <v/>
      </c>
    </row>
    <row r="870">
      <c r="A870">
        <f>$B$3+$B$5*14</f>
        <v/>
      </c>
      <c r="B870">
        <f>$B$3+$B$5*4</f>
        <v/>
      </c>
      <c r="C870">
        <f>SUMPRODUCT(Calc!$K$3:$K$22*(Calc!$G$3:$G$22&lt;=A870))</f>
        <v/>
      </c>
      <c r="D870">
        <f>SUMPRODUCT(Calc!$K$3:$K$22*(Calc!$G$3:$G$22&gt;A870)*(Calc!$G$3:$G$22&lt;B870))</f>
        <v/>
      </c>
      <c r="E870">
        <f>SUMPRODUCT(Calc!$K$3:$K$22*(Calc!$G$3:$G$22&gt;=B870))</f>
        <v/>
      </c>
      <c r="F870">
        <f>AND(k_n&gt;=5,B870&gt;A870+1E-9,C870&gt;=2,D870&gt;=1,E870&gt;=2)</f>
        <v/>
      </c>
      <c r="G870">
        <f>SUMPRODUCT(Calc!$K$3:$K$22*(Calc!$G$3:$G$22&gt;A870)*(Calc!$G$3:$G$22-A870))</f>
        <v/>
      </c>
      <c r="H870">
        <f>SUMPRODUCT(Calc!$K$3:$K$22*(Calc!$G$3:$G$22&gt;B870)*(Calc!$G$3:$G$22-B870))</f>
        <v/>
      </c>
      <c r="I870">
        <f>SUMPRODUCT(Calc!$K$3:$K$22*(Calc!$G$3:$G$22&gt;A870)*(Calc!$G$3:$G$22-A870)^2)</f>
        <v/>
      </c>
      <c r="J870">
        <f>SUMPRODUCT(Calc!$K$3:$K$22*(Calc!$G$3:$G$22&gt;B870)*(Calc!$G$3:$G$22-B870)^2)</f>
        <v/>
      </c>
      <c r="K870">
        <f>SUMPRODUCT(Calc!$K$3:$K$22*(Calc!$G$3:$G$22&gt;A870)*(Calc!$G$3:$G$22-A870)*(Calc!$G$3:$G$22&gt;B870)*(Calc!$G$3:$G$22-B870))</f>
        <v/>
      </c>
      <c r="L870">
        <f>SUMPRODUCT(Calc!$K$3:$K$22*(Calc!$G$3:$G$22&gt;A870)*(Calc!$G$3:$G$22-A870)*Calc!$G$3:$G$22)</f>
        <v/>
      </c>
      <c r="M870">
        <f>SUMPRODUCT(Calc!$K$3:$K$22*(Calc!$G$3:$G$22&gt;B870)*(Calc!$G$3:$G$22-B870)*Calc!$G$3:$G$22)</f>
        <v/>
      </c>
      <c r="N870">
        <f>SUMPRODUCT(Calc!$K$3:$K$22*(Calc!$G$3:$G$22&gt;A870)*(Calc!$G$3:$G$22-A870)*Calc!$I$3:$I$22)</f>
        <v/>
      </c>
      <c r="O870">
        <f>SUMPRODUCT(Calc!$K$3:$K$22*(Calc!$G$3:$G$22&gt;B870)*(Calc!$G$3:$G$22-B870)*Calc!$I$3:$I$22)</f>
        <v/>
      </c>
      <c r="P870">
        <f>I870-G870^2/k_n</f>
        <v/>
      </c>
      <c r="Q870">
        <f>J870-H870^2/k_n</f>
        <v/>
      </c>
      <c r="R870">
        <f>K870-G870*H870/k_n</f>
        <v/>
      </c>
      <c r="S870">
        <f>L870-LTP3!$D$3*G870/k_n</f>
        <v/>
      </c>
      <c r="T870">
        <f>M870-LTP3!$D$3*H870/k_n</f>
        <v/>
      </c>
      <c r="U870">
        <f>N870-G870*LTP3!$D$4/k_n</f>
        <v/>
      </c>
      <c r="V870">
        <f>O870-H870*LTP3!$D$4/k_n</f>
        <v/>
      </c>
      <c r="W870">
        <f>((LTP3!$D$5)*((P870)*(Q870)-(R870)*(R870))-(S870)*((S870)*(Q870)-(R870)*(T870))+(T870)*((S870)*(R870)-(P870)*(T870)))</f>
        <v/>
      </c>
      <c r="X870">
        <f>IF(ABS(W870)&gt;1E-12,((LTP3!$D$6)*((P870)*(Q870)-(R870)*(R870))-(S870)*((U870)*(Q870)-(R870)*(V870))+(T870)*((U870)*(R870)-(P870)*(V870)))/W870,0)</f>
        <v/>
      </c>
      <c r="Y870">
        <f>IF(ABS(W870)&gt;1E-12,((LTP3!$D$5)*((U870)*(Q870)-(R870)*(V870))-(LTP3!$D$6)*((S870)*(Q870)-(R870)*(T870))+(T870)*((S870)*(V870)-(U870)*(T870)))/W870,0)</f>
        <v/>
      </c>
      <c r="Z870">
        <f>IF(ABS(W870)&gt;1E-12,((LTP3!$D$5)*((P870)*(V870)-(U870)*(R870))-(S870)*((S870)*(V870)-(U870)*(T870))+(LTP3!$D$6)*((S870)*(R870)-(P870)*(T870)))/W870,0)</f>
        <v/>
      </c>
      <c r="AA870">
        <f>LTP3!$D$7-X870*LTP3!$D$6-Y870*U870-Z870*V870</f>
        <v/>
      </c>
      <c r="AB870">
        <f>IF(AND(F870,ABS(W870)&gt;1E-12,Y870&gt;0,Z870&gt;0),AA870,1E+300)</f>
        <v/>
      </c>
    </row>
    <row r="871">
      <c r="A871">
        <f>$B$3+$B$5*14</f>
        <v/>
      </c>
      <c r="B871">
        <f>$B$3+$B$5*5</f>
        <v/>
      </c>
      <c r="C871">
        <f>SUMPRODUCT(Calc!$K$3:$K$22*(Calc!$G$3:$G$22&lt;=A871))</f>
        <v/>
      </c>
      <c r="D871">
        <f>SUMPRODUCT(Calc!$K$3:$K$22*(Calc!$G$3:$G$22&gt;A871)*(Calc!$G$3:$G$22&lt;B871))</f>
        <v/>
      </c>
      <c r="E871">
        <f>SUMPRODUCT(Calc!$K$3:$K$22*(Calc!$G$3:$G$22&gt;=B871))</f>
        <v/>
      </c>
      <c r="F871">
        <f>AND(k_n&gt;=5,B871&gt;A871+1E-9,C871&gt;=2,D871&gt;=1,E871&gt;=2)</f>
        <v/>
      </c>
      <c r="G871">
        <f>SUMPRODUCT(Calc!$K$3:$K$22*(Calc!$G$3:$G$22&gt;A871)*(Calc!$G$3:$G$22-A871))</f>
        <v/>
      </c>
      <c r="H871">
        <f>SUMPRODUCT(Calc!$K$3:$K$22*(Calc!$G$3:$G$22&gt;B871)*(Calc!$G$3:$G$22-B871))</f>
        <v/>
      </c>
      <c r="I871">
        <f>SUMPRODUCT(Calc!$K$3:$K$22*(Calc!$G$3:$G$22&gt;A871)*(Calc!$G$3:$G$22-A871)^2)</f>
        <v/>
      </c>
      <c r="J871">
        <f>SUMPRODUCT(Calc!$K$3:$K$22*(Calc!$G$3:$G$22&gt;B871)*(Calc!$G$3:$G$22-B871)^2)</f>
        <v/>
      </c>
      <c r="K871">
        <f>SUMPRODUCT(Calc!$K$3:$K$22*(Calc!$G$3:$G$22&gt;A871)*(Calc!$G$3:$G$22-A871)*(Calc!$G$3:$G$22&gt;B871)*(Calc!$G$3:$G$22-B871))</f>
        <v/>
      </c>
      <c r="L871">
        <f>SUMPRODUCT(Calc!$K$3:$K$22*(Calc!$G$3:$G$22&gt;A871)*(Calc!$G$3:$G$22-A871)*Calc!$G$3:$G$22)</f>
        <v/>
      </c>
      <c r="M871">
        <f>SUMPRODUCT(Calc!$K$3:$K$22*(Calc!$G$3:$G$22&gt;B871)*(Calc!$G$3:$G$22-B871)*Calc!$G$3:$G$22)</f>
        <v/>
      </c>
      <c r="N871">
        <f>SUMPRODUCT(Calc!$K$3:$K$22*(Calc!$G$3:$G$22&gt;A871)*(Calc!$G$3:$G$22-A871)*Calc!$I$3:$I$22)</f>
        <v/>
      </c>
      <c r="O871">
        <f>SUMPRODUCT(Calc!$K$3:$K$22*(Calc!$G$3:$G$22&gt;B871)*(Calc!$G$3:$G$22-B871)*Calc!$I$3:$I$22)</f>
        <v/>
      </c>
      <c r="P871">
        <f>I871-G871^2/k_n</f>
        <v/>
      </c>
      <c r="Q871">
        <f>J871-H871^2/k_n</f>
        <v/>
      </c>
      <c r="R871">
        <f>K871-G871*H871/k_n</f>
        <v/>
      </c>
      <c r="S871">
        <f>L871-LTP3!$D$3*G871/k_n</f>
        <v/>
      </c>
      <c r="T871">
        <f>M871-LTP3!$D$3*H871/k_n</f>
        <v/>
      </c>
      <c r="U871">
        <f>N871-G871*LTP3!$D$4/k_n</f>
        <v/>
      </c>
      <c r="V871">
        <f>O871-H871*LTP3!$D$4/k_n</f>
        <v/>
      </c>
      <c r="W871">
        <f>((LTP3!$D$5)*((P871)*(Q871)-(R871)*(R871))-(S871)*((S871)*(Q871)-(R871)*(T871))+(T871)*((S871)*(R871)-(P871)*(T871)))</f>
        <v/>
      </c>
      <c r="X871">
        <f>IF(ABS(W871)&gt;1E-12,((LTP3!$D$6)*((P871)*(Q871)-(R871)*(R871))-(S871)*((U871)*(Q871)-(R871)*(V871))+(T871)*((U871)*(R871)-(P871)*(V871)))/W871,0)</f>
        <v/>
      </c>
      <c r="Y871">
        <f>IF(ABS(W871)&gt;1E-12,((LTP3!$D$5)*((U871)*(Q871)-(R871)*(V871))-(LTP3!$D$6)*((S871)*(Q871)-(R871)*(T871))+(T871)*((S871)*(V871)-(U871)*(T871)))/W871,0)</f>
        <v/>
      </c>
      <c r="Z871">
        <f>IF(ABS(W871)&gt;1E-12,((LTP3!$D$5)*((P871)*(V871)-(U871)*(R871))-(S871)*((S871)*(V871)-(U871)*(T871))+(LTP3!$D$6)*((S871)*(R871)-(P871)*(T871)))/W871,0)</f>
        <v/>
      </c>
      <c r="AA871">
        <f>LTP3!$D$7-X871*LTP3!$D$6-Y871*U871-Z871*V871</f>
        <v/>
      </c>
      <c r="AB871">
        <f>IF(AND(F871,ABS(W871)&gt;1E-12,Y871&gt;0,Z871&gt;0),AA871,1E+300)</f>
        <v/>
      </c>
    </row>
    <row r="872">
      <c r="A872">
        <f>$B$3+$B$5*14</f>
        <v/>
      </c>
      <c r="B872">
        <f>$B$3+$B$5*6</f>
        <v/>
      </c>
      <c r="C872">
        <f>SUMPRODUCT(Calc!$K$3:$K$22*(Calc!$G$3:$G$22&lt;=A872))</f>
        <v/>
      </c>
      <c r="D872">
        <f>SUMPRODUCT(Calc!$K$3:$K$22*(Calc!$G$3:$G$22&gt;A872)*(Calc!$G$3:$G$22&lt;B872))</f>
        <v/>
      </c>
      <c r="E872">
        <f>SUMPRODUCT(Calc!$K$3:$K$22*(Calc!$G$3:$G$22&gt;=B872))</f>
        <v/>
      </c>
      <c r="F872">
        <f>AND(k_n&gt;=5,B872&gt;A872+1E-9,C872&gt;=2,D872&gt;=1,E872&gt;=2)</f>
        <v/>
      </c>
      <c r="G872">
        <f>SUMPRODUCT(Calc!$K$3:$K$22*(Calc!$G$3:$G$22&gt;A872)*(Calc!$G$3:$G$22-A872))</f>
        <v/>
      </c>
      <c r="H872">
        <f>SUMPRODUCT(Calc!$K$3:$K$22*(Calc!$G$3:$G$22&gt;B872)*(Calc!$G$3:$G$22-B872))</f>
        <v/>
      </c>
      <c r="I872">
        <f>SUMPRODUCT(Calc!$K$3:$K$22*(Calc!$G$3:$G$22&gt;A872)*(Calc!$G$3:$G$22-A872)^2)</f>
        <v/>
      </c>
      <c r="J872">
        <f>SUMPRODUCT(Calc!$K$3:$K$22*(Calc!$G$3:$G$22&gt;B872)*(Calc!$G$3:$G$22-B872)^2)</f>
        <v/>
      </c>
      <c r="K872">
        <f>SUMPRODUCT(Calc!$K$3:$K$22*(Calc!$G$3:$G$22&gt;A872)*(Calc!$G$3:$G$22-A872)*(Calc!$G$3:$G$22&gt;B872)*(Calc!$G$3:$G$22-B872))</f>
        <v/>
      </c>
      <c r="L872">
        <f>SUMPRODUCT(Calc!$K$3:$K$22*(Calc!$G$3:$G$22&gt;A872)*(Calc!$G$3:$G$22-A872)*Calc!$G$3:$G$22)</f>
        <v/>
      </c>
      <c r="M872">
        <f>SUMPRODUCT(Calc!$K$3:$K$22*(Calc!$G$3:$G$22&gt;B872)*(Calc!$G$3:$G$22-B872)*Calc!$G$3:$G$22)</f>
        <v/>
      </c>
      <c r="N872">
        <f>SUMPRODUCT(Calc!$K$3:$K$22*(Calc!$G$3:$G$22&gt;A872)*(Calc!$G$3:$G$22-A872)*Calc!$I$3:$I$22)</f>
        <v/>
      </c>
      <c r="O872">
        <f>SUMPRODUCT(Calc!$K$3:$K$22*(Calc!$G$3:$G$22&gt;B872)*(Calc!$G$3:$G$22-B872)*Calc!$I$3:$I$22)</f>
        <v/>
      </c>
      <c r="P872">
        <f>I872-G872^2/k_n</f>
        <v/>
      </c>
      <c r="Q872">
        <f>J872-H872^2/k_n</f>
        <v/>
      </c>
      <c r="R872">
        <f>K872-G872*H872/k_n</f>
        <v/>
      </c>
      <c r="S872">
        <f>L872-LTP3!$D$3*G872/k_n</f>
        <v/>
      </c>
      <c r="T872">
        <f>M872-LTP3!$D$3*H872/k_n</f>
        <v/>
      </c>
      <c r="U872">
        <f>N872-G872*LTP3!$D$4/k_n</f>
        <v/>
      </c>
      <c r="V872">
        <f>O872-H872*LTP3!$D$4/k_n</f>
        <v/>
      </c>
      <c r="W872">
        <f>((LTP3!$D$5)*((P872)*(Q872)-(R872)*(R872))-(S872)*((S872)*(Q872)-(R872)*(T872))+(T872)*((S872)*(R872)-(P872)*(T872)))</f>
        <v/>
      </c>
      <c r="X872">
        <f>IF(ABS(W872)&gt;1E-12,((LTP3!$D$6)*((P872)*(Q872)-(R872)*(R872))-(S872)*((U872)*(Q872)-(R872)*(V872))+(T872)*((U872)*(R872)-(P872)*(V872)))/W872,0)</f>
        <v/>
      </c>
      <c r="Y872">
        <f>IF(ABS(W872)&gt;1E-12,((LTP3!$D$5)*((U872)*(Q872)-(R872)*(V872))-(LTP3!$D$6)*((S872)*(Q872)-(R872)*(T872))+(T872)*((S872)*(V872)-(U872)*(T872)))/W872,0)</f>
        <v/>
      </c>
      <c r="Z872">
        <f>IF(ABS(W872)&gt;1E-12,((LTP3!$D$5)*((P872)*(V872)-(U872)*(R872))-(S872)*((S872)*(V872)-(U872)*(T872))+(LTP3!$D$6)*((S872)*(R872)-(P872)*(T872)))/W872,0)</f>
        <v/>
      </c>
      <c r="AA872">
        <f>LTP3!$D$7-X872*LTP3!$D$6-Y872*U872-Z872*V872</f>
        <v/>
      </c>
      <c r="AB872">
        <f>IF(AND(F872,ABS(W872)&gt;1E-12,Y872&gt;0,Z872&gt;0),AA872,1E+300)</f>
        <v/>
      </c>
    </row>
    <row r="873">
      <c r="A873">
        <f>$B$3+$B$5*14</f>
        <v/>
      </c>
      <c r="B873">
        <f>$B$3+$B$5*7</f>
        <v/>
      </c>
      <c r="C873">
        <f>SUMPRODUCT(Calc!$K$3:$K$22*(Calc!$G$3:$G$22&lt;=A873))</f>
        <v/>
      </c>
      <c r="D873">
        <f>SUMPRODUCT(Calc!$K$3:$K$22*(Calc!$G$3:$G$22&gt;A873)*(Calc!$G$3:$G$22&lt;B873))</f>
        <v/>
      </c>
      <c r="E873">
        <f>SUMPRODUCT(Calc!$K$3:$K$22*(Calc!$G$3:$G$22&gt;=B873))</f>
        <v/>
      </c>
      <c r="F873">
        <f>AND(k_n&gt;=5,B873&gt;A873+1E-9,C873&gt;=2,D873&gt;=1,E873&gt;=2)</f>
        <v/>
      </c>
      <c r="G873">
        <f>SUMPRODUCT(Calc!$K$3:$K$22*(Calc!$G$3:$G$22&gt;A873)*(Calc!$G$3:$G$22-A873))</f>
        <v/>
      </c>
      <c r="H873">
        <f>SUMPRODUCT(Calc!$K$3:$K$22*(Calc!$G$3:$G$22&gt;B873)*(Calc!$G$3:$G$22-B873))</f>
        <v/>
      </c>
      <c r="I873">
        <f>SUMPRODUCT(Calc!$K$3:$K$22*(Calc!$G$3:$G$22&gt;A873)*(Calc!$G$3:$G$22-A873)^2)</f>
        <v/>
      </c>
      <c r="J873">
        <f>SUMPRODUCT(Calc!$K$3:$K$22*(Calc!$G$3:$G$22&gt;B873)*(Calc!$G$3:$G$22-B873)^2)</f>
        <v/>
      </c>
      <c r="K873">
        <f>SUMPRODUCT(Calc!$K$3:$K$22*(Calc!$G$3:$G$22&gt;A873)*(Calc!$G$3:$G$22-A873)*(Calc!$G$3:$G$22&gt;B873)*(Calc!$G$3:$G$22-B873))</f>
        <v/>
      </c>
      <c r="L873">
        <f>SUMPRODUCT(Calc!$K$3:$K$22*(Calc!$G$3:$G$22&gt;A873)*(Calc!$G$3:$G$22-A873)*Calc!$G$3:$G$22)</f>
        <v/>
      </c>
      <c r="M873">
        <f>SUMPRODUCT(Calc!$K$3:$K$22*(Calc!$G$3:$G$22&gt;B873)*(Calc!$G$3:$G$22-B873)*Calc!$G$3:$G$22)</f>
        <v/>
      </c>
      <c r="N873">
        <f>SUMPRODUCT(Calc!$K$3:$K$22*(Calc!$G$3:$G$22&gt;A873)*(Calc!$G$3:$G$22-A873)*Calc!$I$3:$I$22)</f>
        <v/>
      </c>
      <c r="O873">
        <f>SUMPRODUCT(Calc!$K$3:$K$22*(Calc!$G$3:$G$22&gt;B873)*(Calc!$G$3:$G$22-B873)*Calc!$I$3:$I$22)</f>
        <v/>
      </c>
      <c r="P873">
        <f>I873-G873^2/k_n</f>
        <v/>
      </c>
      <c r="Q873">
        <f>J873-H873^2/k_n</f>
        <v/>
      </c>
      <c r="R873">
        <f>K873-G873*H873/k_n</f>
        <v/>
      </c>
      <c r="S873">
        <f>L873-LTP3!$D$3*G873/k_n</f>
        <v/>
      </c>
      <c r="T873">
        <f>M873-LTP3!$D$3*H873/k_n</f>
        <v/>
      </c>
      <c r="U873">
        <f>N873-G873*LTP3!$D$4/k_n</f>
        <v/>
      </c>
      <c r="V873">
        <f>O873-H873*LTP3!$D$4/k_n</f>
        <v/>
      </c>
      <c r="W873">
        <f>((LTP3!$D$5)*((P873)*(Q873)-(R873)*(R873))-(S873)*((S873)*(Q873)-(R873)*(T873))+(T873)*((S873)*(R873)-(P873)*(T873)))</f>
        <v/>
      </c>
      <c r="X873">
        <f>IF(ABS(W873)&gt;1E-12,((LTP3!$D$6)*((P873)*(Q873)-(R873)*(R873))-(S873)*((U873)*(Q873)-(R873)*(V873))+(T873)*((U873)*(R873)-(P873)*(V873)))/W873,0)</f>
        <v/>
      </c>
      <c r="Y873">
        <f>IF(ABS(W873)&gt;1E-12,((LTP3!$D$5)*((U873)*(Q873)-(R873)*(V873))-(LTP3!$D$6)*((S873)*(Q873)-(R873)*(T873))+(T873)*((S873)*(V873)-(U873)*(T873)))/W873,0)</f>
        <v/>
      </c>
      <c r="Z873">
        <f>IF(ABS(W873)&gt;1E-12,((LTP3!$D$5)*((P873)*(V873)-(U873)*(R873))-(S873)*((S873)*(V873)-(U873)*(T873))+(LTP3!$D$6)*((S873)*(R873)-(P873)*(T873)))/W873,0)</f>
        <v/>
      </c>
      <c r="AA873">
        <f>LTP3!$D$7-X873*LTP3!$D$6-Y873*U873-Z873*V873</f>
        <v/>
      </c>
      <c r="AB873">
        <f>IF(AND(F873,ABS(W873)&gt;1E-12,Y873&gt;0,Z873&gt;0),AA873,1E+300)</f>
        <v/>
      </c>
    </row>
    <row r="874">
      <c r="A874">
        <f>$B$3+$B$5*14</f>
        <v/>
      </c>
      <c r="B874">
        <f>$B$3+$B$5*8</f>
        <v/>
      </c>
      <c r="C874">
        <f>SUMPRODUCT(Calc!$K$3:$K$22*(Calc!$G$3:$G$22&lt;=A874))</f>
        <v/>
      </c>
      <c r="D874">
        <f>SUMPRODUCT(Calc!$K$3:$K$22*(Calc!$G$3:$G$22&gt;A874)*(Calc!$G$3:$G$22&lt;B874))</f>
        <v/>
      </c>
      <c r="E874">
        <f>SUMPRODUCT(Calc!$K$3:$K$22*(Calc!$G$3:$G$22&gt;=B874))</f>
        <v/>
      </c>
      <c r="F874">
        <f>AND(k_n&gt;=5,B874&gt;A874+1E-9,C874&gt;=2,D874&gt;=1,E874&gt;=2)</f>
        <v/>
      </c>
      <c r="G874">
        <f>SUMPRODUCT(Calc!$K$3:$K$22*(Calc!$G$3:$G$22&gt;A874)*(Calc!$G$3:$G$22-A874))</f>
        <v/>
      </c>
      <c r="H874">
        <f>SUMPRODUCT(Calc!$K$3:$K$22*(Calc!$G$3:$G$22&gt;B874)*(Calc!$G$3:$G$22-B874))</f>
        <v/>
      </c>
      <c r="I874">
        <f>SUMPRODUCT(Calc!$K$3:$K$22*(Calc!$G$3:$G$22&gt;A874)*(Calc!$G$3:$G$22-A874)^2)</f>
        <v/>
      </c>
      <c r="J874">
        <f>SUMPRODUCT(Calc!$K$3:$K$22*(Calc!$G$3:$G$22&gt;B874)*(Calc!$G$3:$G$22-B874)^2)</f>
        <v/>
      </c>
      <c r="K874">
        <f>SUMPRODUCT(Calc!$K$3:$K$22*(Calc!$G$3:$G$22&gt;A874)*(Calc!$G$3:$G$22-A874)*(Calc!$G$3:$G$22&gt;B874)*(Calc!$G$3:$G$22-B874))</f>
        <v/>
      </c>
      <c r="L874">
        <f>SUMPRODUCT(Calc!$K$3:$K$22*(Calc!$G$3:$G$22&gt;A874)*(Calc!$G$3:$G$22-A874)*Calc!$G$3:$G$22)</f>
        <v/>
      </c>
      <c r="M874">
        <f>SUMPRODUCT(Calc!$K$3:$K$22*(Calc!$G$3:$G$22&gt;B874)*(Calc!$G$3:$G$22-B874)*Calc!$G$3:$G$22)</f>
        <v/>
      </c>
      <c r="N874">
        <f>SUMPRODUCT(Calc!$K$3:$K$22*(Calc!$G$3:$G$22&gt;A874)*(Calc!$G$3:$G$22-A874)*Calc!$I$3:$I$22)</f>
        <v/>
      </c>
      <c r="O874">
        <f>SUMPRODUCT(Calc!$K$3:$K$22*(Calc!$G$3:$G$22&gt;B874)*(Calc!$G$3:$G$22-B874)*Calc!$I$3:$I$22)</f>
        <v/>
      </c>
      <c r="P874">
        <f>I874-G874^2/k_n</f>
        <v/>
      </c>
      <c r="Q874">
        <f>J874-H874^2/k_n</f>
        <v/>
      </c>
      <c r="R874">
        <f>K874-G874*H874/k_n</f>
        <v/>
      </c>
      <c r="S874">
        <f>L874-LTP3!$D$3*G874/k_n</f>
        <v/>
      </c>
      <c r="T874">
        <f>M874-LTP3!$D$3*H874/k_n</f>
        <v/>
      </c>
      <c r="U874">
        <f>N874-G874*LTP3!$D$4/k_n</f>
        <v/>
      </c>
      <c r="V874">
        <f>O874-H874*LTP3!$D$4/k_n</f>
        <v/>
      </c>
      <c r="W874">
        <f>((LTP3!$D$5)*((P874)*(Q874)-(R874)*(R874))-(S874)*((S874)*(Q874)-(R874)*(T874))+(T874)*((S874)*(R874)-(P874)*(T874)))</f>
        <v/>
      </c>
      <c r="X874">
        <f>IF(ABS(W874)&gt;1E-12,((LTP3!$D$6)*((P874)*(Q874)-(R874)*(R874))-(S874)*((U874)*(Q874)-(R874)*(V874))+(T874)*((U874)*(R874)-(P874)*(V874)))/W874,0)</f>
        <v/>
      </c>
      <c r="Y874">
        <f>IF(ABS(W874)&gt;1E-12,((LTP3!$D$5)*((U874)*(Q874)-(R874)*(V874))-(LTP3!$D$6)*((S874)*(Q874)-(R874)*(T874))+(T874)*((S874)*(V874)-(U874)*(T874)))/W874,0)</f>
        <v/>
      </c>
      <c r="Z874">
        <f>IF(ABS(W874)&gt;1E-12,((LTP3!$D$5)*((P874)*(V874)-(U874)*(R874))-(S874)*((S874)*(V874)-(U874)*(T874))+(LTP3!$D$6)*((S874)*(R874)-(P874)*(T874)))/W874,0)</f>
        <v/>
      </c>
      <c r="AA874">
        <f>LTP3!$D$7-X874*LTP3!$D$6-Y874*U874-Z874*V874</f>
        <v/>
      </c>
      <c r="AB874">
        <f>IF(AND(F874,ABS(W874)&gt;1E-12,Y874&gt;0,Z874&gt;0),AA874,1E+300)</f>
        <v/>
      </c>
    </row>
    <row r="875">
      <c r="A875">
        <f>$B$3+$B$5*14</f>
        <v/>
      </c>
      <c r="B875">
        <f>$B$3+$B$5*9</f>
        <v/>
      </c>
      <c r="C875">
        <f>SUMPRODUCT(Calc!$K$3:$K$22*(Calc!$G$3:$G$22&lt;=A875))</f>
        <v/>
      </c>
      <c r="D875">
        <f>SUMPRODUCT(Calc!$K$3:$K$22*(Calc!$G$3:$G$22&gt;A875)*(Calc!$G$3:$G$22&lt;B875))</f>
        <v/>
      </c>
      <c r="E875">
        <f>SUMPRODUCT(Calc!$K$3:$K$22*(Calc!$G$3:$G$22&gt;=B875))</f>
        <v/>
      </c>
      <c r="F875">
        <f>AND(k_n&gt;=5,B875&gt;A875+1E-9,C875&gt;=2,D875&gt;=1,E875&gt;=2)</f>
        <v/>
      </c>
      <c r="G875">
        <f>SUMPRODUCT(Calc!$K$3:$K$22*(Calc!$G$3:$G$22&gt;A875)*(Calc!$G$3:$G$22-A875))</f>
        <v/>
      </c>
      <c r="H875">
        <f>SUMPRODUCT(Calc!$K$3:$K$22*(Calc!$G$3:$G$22&gt;B875)*(Calc!$G$3:$G$22-B875))</f>
        <v/>
      </c>
      <c r="I875">
        <f>SUMPRODUCT(Calc!$K$3:$K$22*(Calc!$G$3:$G$22&gt;A875)*(Calc!$G$3:$G$22-A875)^2)</f>
        <v/>
      </c>
      <c r="J875">
        <f>SUMPRODUCT(Calc!$K$3:$K$22*(Calc!$G$3:$G$22&gt;B875)*(Calc!$G$3:$G$22-B875)^2)</f>
        <v/>
      </c>
      <c r="K875">
        <f>SUMPRODUCT(Calc!$K$3:$K$22*(Calc!$G$3:$G$22&gt;A875)*(Calc!$G$3:$G$22-A875)*(Calc!$G$3:$G$22&gt;B875)*(Calc!$G$3:$G$22-B875))</f>
        <v/>
      </c>
      <c r="L875">
        <f>SUMPRODUCT(Calc!$K$3:$K$22*(Calc!$G$3:$G$22&gt;A875)*(Calc!$G$3:$G$22-A875)*Calc!$G$3:$G$22)</f>
        <v/>
      </c>
      <c r="M875">
        <f>SUMPRODUCT(Calc!$K$3:$K$22*(Calc!$G$3:$G$22&gt;B875)*(Calc!$G$3:$G$22-B875)*Calc!$G$3:$G$22)</f>
        <v/>
      </c>
      <c r="N875">
        <f>SUMPRODUCT(Calc!$K$3:$K$22*(Calc!$G$3:$G$22&gt;A875)*(Calc!$G$3:$G$22-A875)*Calc!$I$3:$I$22)</f>
        <v/>
      </c>
      <c r="O875">
        <f>SUMPRODUCT(Calc!$K$3:$K$22*(Calc!$G$3:$G$22&gt;B875)*(Calc!$G$3:$G$22-B875)*Calc!$I$3:$I$22)</f>
        <v/>
      </c>
      <c r="P875">
        <f>I875-G875^2/k_n</f>
        <v/>
      </c>
      <c r="Q875">
        <f>J875-H875^2/k_n</f>
        <v/>
      </c>
      <c r="R875">
        <f>K875-G875*H875/k_n</f>
        <v/>
      </c>
      <c r="S875">
        <f>L875-LTP3!$D$3*G875/k_n</f>
        <v/>
      </c>
      <c r="T875">
        <f>M875-LTP3!$D$3*H875/k_n</f>
        <v/>
      </c>
      <c r="U875">
        <f>N875-G875*LTP3!$D$4/k_n</f>
        <v/>
      </c>
      <c r="V875">
        <f>O875-H875*LTP3!$D$4/k_n</f>
        <v/>
      </c>
      <c r="W875">
        <f>((LTP3!$D$5)*((P875)*(Q875)-(R875)*(R875))-(S875)*((S875)*(Q875)-(R875)*(T875))+(T875)*((S875)*(R875)-(P875)*(T875)))</f>
        <v/>
      </c>
      <c r="X875">
        <f>IF(ABS(W875)&gt;1E-12,((LTP3!$D$6)*((P875)*(Q875)-(R875)*(R875))-(S875)*((U875)*(Q875)-(R875)*(V875))+(T875)*((U875)*(R875)-(P875)*(V875)))/W875,0)</f>
        <v/>
      </c>
      <c r="Y875">
        <f>IF(ABS(W875)&gt;1E-12,((LTP3!$D$5)*((U875)*(Q875)-(R875)*(V875))-(LTP3!$D$6)*((S875)*(Q875)-(R875)*(T875))+(T875)*((S875)*(V875)-(U875)*(T875)))/W875,0)</f>
        <v/>
      </c>
      <c r="Z875">
        <f>IF(ABS(W875)&gt;1E-12,((LTP3!$D$5)*((P875)*(V875)-(U875)*(R875))-(S875)*((S875)*(V875)-(U875)*(T875))+(LTP3!$D$6)*((S875)*(R875)-(P875)*(T875)))/W875,0)</f>
        <v/>
      </c>
      <c r="AA875">
        <f>LTP3!$D$7-X875*LTP3!$D$6-Y875*U875-Z875*V875</f>
        <v/>
      </c>
      <c r="AB875">
        <f>IF(AND(F875,ABS(W875)&gt;1E-12,Y875&gt;0,Z875&gt;0),AA875,1E+300)</f>
        <v/>
      </c>
    </row>
    <row r="876">
      <c r="A876">
        <f>$B$3+$B$5*14</f>
        <v/>
      </c>
      <c r="B876">
        <f>$B$3+$B$5*10</f>
        <v/>
      </c>
      <c r="C876">
        <f>SUMPRODUCT(Calc!$K$3:$K$22*(Calc!$G$3:$G$22&lt;=A876))</f>
        <v/>
      </c>
      <c r="D876">
        <f>SUMPRODUCT(Calc!$K$3:$K$22*(Calc!$G$3:$G$22&gt;A876)*(Calc!$G$3:$G$22&lt;B876))</f>
        <v/>
      </c>
      <c r="E876">
        <f>SUMPRODUCT(Calc!$K$3:$K$22*(Calc!$G$3:$G$22&gt;=B876))</f>
        <v/>
      </c>
      <c r="F876">
        <f>AND(k_n&gt;=5,B876&gt;A876+1E-9,C876&gt;=2,D876&gt;=1,E876&gt;=2)</f>
        <v/>
      </c>
      <c r="G876">
        <f>SUMPRODUCT(Calc!$K$3:$K$22*(Calc!$G$3:$G$22&gt;A876)*(Calc!$G$3:$G$22-A876))</f>
        <v/>
      </c>
      <c r="H876">
        <f>SUMPRODUCT(Calc!$K$3:$K$22*(Calc!$G$3:$G$22&gt;B876)*(Calc!$G$3:$G$22-B876))</f>
        <v/>
      </c>
      <c r="I876">
        <f>SUMPRODUCT(Calc!$K$3:$K$22*(Calc!$G$3:$G$22&gt;A876)*(Calc!$G$3:$G$22-A876)^2)</f>
        <v/>
      </c>
      <c r="J876">
        <f>SUMPRODUCT(Calc!$K$3:$K$22*(Calc!$G$3:$G$22&gt;B876)*(Calc!$G$3:$G$22-B876)^2)</f>
        <v/>
      </c>
      <c r="K876">
        <f>SUMPRODUCT(Calc!$K$3:$K$22*(Calc!$G$3:$G$22&gt;A876)*(Calc!$G$3:$G$22-A876)*(Calc!$G$3:$G$22&gt;B876)*(Calc!$G$3:$G$22-B876))</f>
        <v/>
      </c>
      <c r="L876">
        <f>SUMPRODUCT(Calc!$K$3:$K$22*(Calc!$G$3:$G$22&gt;A876)*(Calc!$G$3:$G$22-A876)*Calc!$G$3:$G$22)</f>
        <v/>
      </c>
      <c r="M876">
        <f>SUMPRODUCT(Calc!$K$3:$K$22*(Calc!$G$3:$G$22&gt;B876)*(Calc!$G$3:$G$22-B876)*Calc!$G$3:$G$22)</f>
        <v/>
      </c>
      <c r="N876">
        <f>SUMPRODUCT(Calc!$K$3:$K$22*(Calc!$G$3:$G$22&gt;A876)*(Calc!$G$3:$G$22-A876)*Calc!$I$3:$I$22)</f>
        <v/>
      </c>
      <c r="O876">
        <f>SUMPRODUCT(Calc!$K$3:$K$22*(Calc!$G$3:$G$22&gt;B876)*(Calc!$G$3:$G$22-B876)*Calc!$I$3:$I$22)</f>
        <v/>
      </c>
      <c r="P876">
        <f>I876-G876^2/k_n</f>
        <v/>
      </c>
      <c r="Q876">
        <f>J876-H876^2/k_n</f>
        <v/>
      </c>
      <c r="R876">
        <f>K876-G876*H876/k_n</f>
        <v/>
      </c>
      <c r="S876">
        <f>L876-LTP3!$D$3*G876/k_n</f>
        <v/>
      </c>
      <c r="T876">
        <f>M876-LTP3!$D$3*H876/k_n</f>
        <v/>
      </c>
      <c r="U876">
        <f>N876-G876*LTP3!$D$4/k_n</f>
        <v/>
      </c>
      <c r="V876">
        <f>O876-H876*LTP3!$D$4/k_n</f>
        <v/>
      </c>
      <c r="W876">
        <f>((LTP3!$D$5)*((P876)*(Q876)-(R876)*(R876))-(S876)*((S876)*(Q876)-(R876)*(T876))+(T876)*((S876)*(R876)-(P876)*(T876)))</f>
        <v/>
      </c>
      <c r="X876">
        <f>IF(ABS(W876)&gt;1E-12,((LTP3!$D$6)*((P876)*(Q876)-(R876)*(R876))-(S876)*((U876)*(Q876)-(R876)*(V876))+(T876)*((U876)*(R876)-(P876)*(V876)))/W876,0)</f>
        <v/>
      </c>
      <c r="Y876">
        <f>IF(ABS(W876)&gt;1E-12,((LTP3!$D$5)*((U876)*(Q876)-(R876)*(V876))-(LTP3!$D$6)*((S876)*(Q876)-(R876)*(T876))+(T876)*((S876)*(V876)-(U876)*(T876)))/W876,0)</f>
        <v/>
      </c>
      <c r="Z876">
        <f>IF(ABS(W876)&gt;1E-12,((LTP3!$D$5)*((P876)*(V876)-(U876)*(R876))-(S876)*((S876)*(V876)-(U876)*(T876))+(LTP3!$D$6)*((S876)*(R876)-(P876)*(T876)))/W876,0)</f>
        <v/>
      </c>
      <c r="AA876">
        <f>LTP3!$D$7-X876*LTP3!$D$6-Y876*U876-Z876*V876</f>
        <v/>
      </c>
      <c r="AB876">
        <f>IF(AND(F876,ABS(W876)&gt;1E-12,Y876&gt;0,Z876&gt;0),AA876,1E+300)</f>
        <v/>
      </c>
    </row>
    <row r="877">
      <c r="A877">
        <f>$B$3+$B$5*14</f>
        <v/>
      </c>
      <c r="B877">
        <f>$B$3+$B$5*11</f>
        <v/>
      </c>
      <c r="C877">
        <f>SUMPRODUCT(Calc!$K$3:$K$22*(Calc!$G$3:$G$22&lt;=A877))</f>
        <v/>
      </c>
      <c r="D877">
        <f>SUMPRODUCT(Calc!$K$3:$K$22*(Calc!$G$3:$G$22&gt;A877)*(Calc!$G$3:$G$22&lt;B877))</f>
        <v/>
      </c>
      <c r="E877">
        <f>SUMPRODUCT(Calc!$K$3:$K$22*(Calc!$G$3:$G$22&gt;=B877))</f>
        <v/>
      </c>
      <c r="F877">
        <f>AND(k_n&gt;=5,B877&gt;A877+1E-9,C877&gt;=2,D877&gt;=1,E877&gt;=2)</f>
        <v/>
      </c>
      <c r="G877">
        <f>SUMPRODUCT(Calc!$K$3:$K$22*(Calc!$G$3:$G$22&gt;A877)*(Calc!$G$3:$G$22-A877))</f>
        <v/>
      </c>
      <c r="H877">
        <f>SUMPRODUCT(Calc!$K$3:$K$22*(Calc!$G$3:$G$22&gt;B877)*(Calc!$G$3:$G$22-B877))</f>
        <v/>
      </c>
      <c r="I877">
        <f>SUMPRODUCT(Calc!$K$3:$K$22*(Calc!$G$3:$G$22&gt;A877)*(Calc!$G$3:$G$22-A877)^2)</f>
        <v/>
      </c>
      <c r="J877">
        <f>SUMPRODUCT(Calc!$K$3:$K$22*(Calc!$G$3:$G$22&gt;B877)*(Calc!$G$3:$G$22-B877)^2)</f>
        <v/>
      </c>
      <c r="K877">
        <f>SUMPRODUCT(Calc!$K$3:$K$22*(Calc!$G$3:$G$22&gt;A877)*(Calc!$G$3:$G$22-A877)*(Calc!$G$3:$G$22&gt;B877)*(Calc!$G$3:$G$22-B877))</f>
        <v/>
      </c>
      <c r="L877">
        <f>SUMPRODUCT(Calc!$K$3:$K$22*(Calc!$G$3:$G$22&gt;A877)*(Calc!$G$3:$G$22-A877)*Calc!$G$3:$G$22)</f>
        <v/>
      </c>
      <c r="M877">
        <f>SUMPRODUCT(Calc!$K$3:$K$22*(Calc!$G$3:$G$22&gt;B877)*(Calc!$G$3:$G$22-B877)*Calc!$G$3:$G$22)</f>
        <v/>
      </c>
      <c r="N877">
        <f>SUMPRODUCT(Calc!$K$3:$K$22*(Calc!$G$3:$G$22&gt;A877)*(Calc!$G$3:$G$22-A877)*Calc!$I$3:$I$22)</f>
        <v/>
      </c>
      <c r="O877">
        <f>SUMPRODUCT(Calc!$K$3:$K$22*(Calc!$G$3:$G$22&gt;B877)*(Calc!$G$3:$G$22-B877)*Calc!$I$3:$I$22)</f>
        <v/>
      </c>
      <c r="P877">
        <f>I877-G877^2/k_n</f>
        <v/>
      </c>
      <c r="Q877">
        <f>J877-H877^2/k_n</f>
        <v/>
      </c>
      <c r="R877">
        <f>K877-G877*H877/k_n</f>
        <v/>
      </c>
      <c r="S877">
        <f>L877-LTP3!$D$3*G877/k_n</f>
        <v/>
      </c>
      <c r="T877">
        <f>M877-LTP3!$D$3*H877/k_n</f>
        <v/>
      </c>
      <c r="U877">
        <f>N877-G877*LTP3!$D$4/k_n</f>
        <v/>
      </c>
      <c r="V877">
        <f>O877-H877*LTP3!$D$4/k_n</f>
        <v/>
      </c>
      <c r="W877">
        <f>((LTP3!$D$5)*((P877)*(Q877)-(R877)*(R877))-(S877)*((S877)*(Q877)-(R877)*(T877))+(T877)*((S877)*(R877)-(P877)*(T877)))</f>
        <v/>
      </c>
      <c r="X877">
        <f>IF(ABS(W877)&gt;1E-12,((LTP3!$D$6)*((P877)*(Q877)-(R877)*(R877))-(S877)*((U877)*(Q877)-(R877)*(V877))+(T877)*((U877)*(R877)-(P877)*(V877)))/W877,0)</f>
        <v/>
      </c>
      <c r="Y877">
        <f>IF(ABS(W877)&gt;1E-12,((LTP3!$D$5)*((U877)*(Q877)-(R877)*(V877))-(LTP3!$D$6)*((S877)*(Q877)-(R877)*(T877))+(T877)*((S877)*(V877)-(U877)*(T877)))/W877,0)</f>
        <v/>
      </c>
      <c r="Z877">
        <f>IF(ABS(W877)&gt;1E-12,((LTP3!$D$5)*((P877)*(V877)-(U877)*(R877))-(S877)*((S877)*(V877)-(U877)*(T877))+(LTP3!$D$6)*((S877)*(R877)-(P877)*(T877)))/W877,0)</f>
        <v/>
      </c>
      <c r="AA877">
        <f>LTP3!$D$7-X877*LTP3!$D$6-Y877*U877-Z877*V877</f>
        <v/>
      </c>
      <c r="AB877">
        <f>IF(AND(F877,ABS(W877)&gt;1E-12,Y877&gt;0,Z877&gt;0),AA877,1E+300)</f>
        <v/>
      </c>
    </row>
    <row r="878">
      <c r="A878">
        <f>$B$3+$B$5*14</f>
        <v/>
      </c>
      <c r="B878">
        <f>$B$3+$B$5*12</f>
        <v/>
      </c>
      <c r="C878">
        <f>SUMPRODUCT(Calc!$K$3:$K$22*(Calc!$G$3:$G$22&lt;=A878))</f>
        <v/>
      </c>
      <c r="D878">
        <f>SUMPRODUCT(Calc!$K$3:$K$22*(Calc!$G$3:$G$22&gt;A878)*(Calc!$G$3:$G$22&lt;B878))</f>
        <v/>
      </c>
      <c r="E878">
        <f>SUMPRODUCT(Calc!$K$3:$K$22*(Calc!$G$3:$G$22&gt;=B878))</f>
        <v/>
      </c>
      <c r="F878">
        <f>AND(k_n&gt;=5,B878&gt;A878+1E-9,C878&gt;=2,D878&gt;=1,E878&gt;=2)</f>
        <v/>
      </c>
      <c r="G878">
        <f>SUMPRODUCT(Calc!$K$3:$K$22*(Calc!$G$3:$G$22&gt;A878)*(Calc!$G$3:$G$22-A878))</f>
        <v/>
      </c>
      <c r="H878">
        <f>SUMPRODUCT(Calc!$K$3:$K$22*(Calc!$G$3:$G$22&gt;B878)*(Calc!$G$3:$G$22-B878))</f>
        <v/>
      </c>
      <c r="I878">
        <f>SUMPRODUCT(Calc!$K$3:$K$22*(Calc!$G$3:$G$22&gt;A878)*(Calc!$G$3:$G$22-A878)^2)</f>
        <v/>
      </c>
      <c r="J878">
        <f>SUMPRODUCT(Calc!$K$3:$K$22*(Calc!$G$3:$G$22&gt;B878)*(Calc!$G$3:$G$22-B878)^2)</f>
        <v/>
      </c>
      <c r="K878">
        <f>SUMPRODUCT(Calc!$K$3:$K$22*(Calc!$G$3:$G$22&gt;A878)*(Calc!$G$3:$G$22-A878)*(Calc!$G$3:$G$22&gt;B878)*(Calc!$G$3:$G$22-B878))</f>
        <v/>
      </c>
      <c r="L878">
        <f>SUMPRODUCT(Calc!$K$3:$K$22*(Calc!$G$3:$G$22&gt;A878)*(Calc!$G$3:$G$22-A878)*Calc!$G$3:$G$22)</f>
        <v/>
      </c>
      <c r="M878">
        <f>SUMPRODUCT(Calc!$K$3:$K$22*(Calc!$G$3:$G$22&gt;B878)*(Calc!$G$3:$G$22-B878)*Calc!$G$3:$G$22)</f>
        <v/>
      </c>
      <c r="N878">
        <f>SUMPRODUCT(Calc!$K$3:$K$22*(Calc!$G$3:$G$22&gt;A878)*(Calc!$G$3:$G$22-A878)*Calc!$I$3:$I$22)</f>
        <v/>
      </c>
      <c r="O878">
        <f>SUMPRODUCT(Calc!$K$3:$K$22*(Calc!$G$3:$G$22&gt;B878)*(Calc!$G$3:$G$22-B878)*Calc!$I$3:$I$22)</f>
        <v/>
      </c>
      <c r="P878">
        <f>I878-G878^2/k_n</f>
        <v/>
      </c>
      <c r="Q878">
        <f>J878-H878^2/k_n</f>
        <v/>
      </c>
      <c r="R878">
        <f>K878-G878*H878/k_n</f>
        <v/>
      </c>
      <c r="S878">
        <f>L878-LTP3!$D$3*G878/k_n</f>
        <v/>
      </c>
      <c r="T878">
        <f>M878-LTP3!$D$3*H878/k_n</f>
        <v/>
      </c>
      <c r="U878">
        <f>N878-G878*LTP3!$D$4/k_n</f>
        <v/>
      </c>
      <c r="V878">
        <f>O878-H878*LTP3!$D$4/k_n</f>
        <v/>
      </c>
      <c r="W878">
        <f>((LTP3!$D$5)*((P878)*(Q878)-(R878)*(R878))-(S878)*((S878)*(Q878)-(R878)*(T878))+(T878)*((S878)*(R878)-(P878)*(T878)))</f>
        <v/>
      </c>
      <c r="X878">
        <f>IF(ABS(W878)&gt;1E-12,((LTP3!$D$6)*((P878)*(Q878)-(R878)*(R878))-(S878)*((U878)*(Q878)-(R878)*(V878))+(T878)*((U878)*(R878)-(P878)*(V878)))/W878,0)</f>
        <v/>
      </c>
      <c r="Y878">
        <f>IF(ABS(W878)&gt;1E-12,((LTP3!$D$5)*((U878)*(Q878)-(R878)*(V878))-(LTP3!$D$6)*((S878)*(Q878)-(R878)*(T878))+(T878)*((S878)*(V878)-(U878)*(T878)))/W878,0)</f>
        <v/>
      </c>
      <c r="Z878">
        <f>IF(ABS(W878)&gt;1E-12,((LTP3!$D$5)*((P878)*(V878)-(U878)*(R878))-(S878)*((S878)*(V878)-(U878)*(T878))+(LTP3!$D$6)*((S878)*(R878)-(P878)*(T878)))/W878,0)</f>
        <v/>
      </c>
      <c r="AA878">
        <f>LTP3!$D$7-X878*LTP3!$D$6-Y878*U878-Z878*V878</f>
        <v/>
      </c>
      <c r="AB878">
        <f>IF(AND(F878,ABS(W878)&gt;1E-12,Y878&gt;0,Z878&gt;0),AA878,1E+300)</f>
        <v/>
      </c>
    </row>
    <row r="879">
      <c r="A879">
        <f>$B$3+$B$5*14</f>
        <v/>
      </c>
      <c r="B879">
        <f>$B$3+$B$5*13</f>
        <v/>
      </c>
      <c r="C879">
        <f>SUMPRODUCT(Calc!$K$3:$K$22*(Calc!$G$3:$G$22&lt;=A879))</f>
        <v/>
      </c>
      <c r="D879">
        <f>SUMPRODUCT(Calc!$K$3:$K$22*(Calc!$G$3:$G$22&gt;A879)*(Calc!$G$3:$G$22&lt;B879))</f>
        <v/>
      </c>
      <c r="E879">
        <f>SUMPRODUCT(Calc!$K$3:$K$22*(Calc!$G$3:$G$22&gt;=B879))</f>
        <v/>
      </c>
      <c r="F879">
        <f>AND(k_n&gt;=5,B879&gt;A879+1E-9,C879&gt;=2,D879&gt;=1,E879&gt;=2)</f>
        <v/>
      </c>
      <c r="G879">
        <f>SUMPRODUCT(Calc!$K$3:$K$22*(Calc!$G$3:$G$22&gt;A879)*(Calc!$G$3:$G$22-A879))</f>
        <v/>
      </c>
      <c r="H879">
        <f>SUMPRODUCT(Calc!$K$3:$K$22*(Calc!$G$3:$G$22&gt;B879)*(Calc!$G$3:$G$22-B879))</f>
        <v/>
      </c>
      <c r="I879">
        <f>SUMPRODUCT(Calc!$K$3:$K$22*(Calc!$G$3:$G$22&gt;A879)*(Calc!$G$3:$G$22-A879)^2)</f>
        <v/>
      </c>
      <c r="J879">
        <f>SUMPRODUCT(Calc!$K$3:$K$22*(Calc!$G$3:$G$22&gt;B879)*(Calc!$G$3:$G$22-B879)^2)</f>
        <v/>
      </c>
      <c r="K879">
        <f>SUMPRODUCT(Calc!$K$3:$K$22*(Calc!$G$3:$G$22&gt;A879)*(Calc!$G$3:$G$22-A879)*(Calc!$G$3:$G$22&gt;B879)*(Calc!$G$3:$G$22-B879))</f>
        <v/>
      </c>
      <c r="L879">
        <f>SUMPRODUCT(Calc!$K$3:$K$22*(Calc!$G$3:$G$22&gt;A879)*(Calc!$G$3:$G$22-A879)*Calc!$G$3:$G$22)</f>
        <v/>
      </c>
      <c r="M879">
        <f>SUMPRODUCT(Calc!$K$3:$K$22*(Calc!$G$3:$G$22&gt;B879)*(Calc!$G$3:$G$22-B879)*Calc!$G$3:$G$22)</f>
        <v/>
      </c>
      <c r="N879">
        <f>SUMPRODUCT(Calc!$K$3:$K$22*(Calc!$G$3:$G$22&gt;A879)*(Calc!$G$3:$G$22-A879)*Calc!$I$3:$I$22)</f>
        <v/>
      </c>
      <c r="O879">
        <f>SUMPRODUCT(Calc!$K$3:$K$22*(Calc!$G$3:$G$22&gt;B879)*(Calc!$G$3:$G$22-B879)*Calc!$I$3:$I$22)</f>
        <v/>
      </c>
      <c r="P879">
        <f>I879-G879^2/k_n</f>
        <v/>
      </c>
      <c r="Q879">
        <f>J879-H879^2/k_n</f>
        <v/>
      </c>
      <c r="R879">
        <f>K879-G879*H879/k_n</f>
        <v/>
      </c>
      <c r="S879">
        <f>L879-LTP3!$D$3*G879/k_n</f>
        <v/>
      </c>
      <c r="T879">
        <f>M879-LTP3!$D$3*H879/k_n</f>
        <v/>
      </c>
      <c r="U879">
        <f>N879-G879*LTP3!$D$4/k_n</f>
        <v/>
      </c>
      <c r="V879">
        <f>O879-H879*LTP3!$D$4/k_n</f>
        <v/>
      </c>
      <c r="W879">
        <f>((LTP3!$D$5)*((P879)*(Q879)-(R879)*(R879))-(S879)*((S879)*(Q879)-(R879)*(T879))+(T879)*((S879)*(R879)-(P879)*(T879)))</f>
        <v/>
      </c>
      <c r="X879">
        <f>IF(ABS(W879)&gt;1E-12,((LTP3!$D$6)*((P879)*(Q879)-(R879)*(R879))-(S879)*((U879)*(Q879)-(R879)*(V879))+(T879)*((U879)*(R879)-(P879)*(V879)))/W879,0)</f>
        <v/>
      </c>
      <c r="Y879">
        <f>IF(ABS(W879)&gt;1E-12,((LTP3!$D$5)*((U879)*(Q879)-(R879)*(V879))-(LTP3!$D$6)*((S879)*(Q879)-(R879)*(T879))+(T879)*((S879)*(V879)-(U879)*(T879)))/W879,0)</f>
        <v/>
      </c>
      <c r="Z879">
        <f>IF(ABS(W879)&gt;1E-12,((LTP3!$D$5)*((P879)*(V879)-(U879)*(R879))-(S879)*((S879)*(V879)-(U879)*(T879))+(LTP3!$D$6)*((S879)*(R879)-(P879)*(T879)))/W879,0)</f>
        <v/>
      </c>
      <c r="AA879">
        <f>LTP3!$D$7-X879*LTP3!$D$6-Y879*U879-Z879*V879</f>
        <v/>
      </c>
      <c r="AB879">
        <f>IF(AND(F879,ABS(W879)&gt;1E-12,Y879&gt;0,Z879&gt;0),AA879,1E+300)</f>
        <v/>
      </c>
    </row>
    <row r="880">
      <c r="A880">
        <f>$B$3+$B$5*14</f>
        <v/>
      </c>
      <c r="B880">
        <f>$B$3+$B$5*14</f>
        <v/>
      </c>
      <c r="C880">
        <f>SUMPRODUCT(Calc!$K$3:$K$22*(Calc!$G$3:$G$22&lt;=A880))</f>
        <v/>
      </c>
      <c r="D880">
        <f>SUMPRODUCT(Calc!$K$3:$K$22*(Calc!$G$3:$G$22&gt;A880)*(Calc!$G$3:$G$22&lt;B880))</f>
        <v/>
      </c>
      <c r="E880">
        <f>SUMPRODUCT(Calc!$K$3:$K$22*(Calc!$G$3:$G$22&gt;=B880))</f>
        <v/>
      </c>
      <c r="F880">
        <f>AND(k_n&gt;=5,B880&gt;A880+1E-9,C880&gt;=2,D880&gt;=1,E880&gt;=2)</f>
        <v/>
      </c>
      <c r="G880">
        <f>SUMPRODUCT(Calc!$K$3:$K$22*(Calc!$G$3:$G$22&gt;A880)*(Calc!$G$3:$G$22-A880))</f>
        <v/>
      </c>
      <c r="H880">
        <f>SUMPRODUCT(Calc!$K$3:$K$22*(Calc!$G$3:$G$22&gt;B880)*(Calc!$G$3:$G$22-B880))</f>
        <v/>
      </c>
      <c r="I880">
        <f>SUMPRODUCT(Calc!$K$3:$K$22*(Calc!$G$3:$G$22&gt;A880)*(Calc!$G$3:$G$22-A880)^2)</f>
        <v/>
      </c>
      <c r="J880">
        <f>SUMPRODUCT(Calc!$K$3:$K$22*(Calc!$G$3:$G$22&gt;B880)*(Calc!$G$3:$G$22-B880)^2)</f>
        <v/>
      </c>
      <c r="K880">
        <f>SUMPRODUCT(Calc!$K$3:$K$22*(Calc!$G$3:$G$22&gt;A880)*(Calc!$G$3:$G$22-A880)*(Calc!$G$3:$G$22&gt;B880)*(Calc!$G$3:$G$22-B880))</f>
        <v/>
      </c>
      <c r="L880">
        <f>SUMPRODUCT(Calc!$K$3:$K$22*(Calc!$G$3:$G$22&gt;A880)*(Calc!$G$3:$G$22-A880)*Calc!$G$3:$G$22)</f>
        <v/>
      </c>
      <c r="M880">
        <f>SUMPRODUCT(Calc!$K$3:$K$22*(Calc!$G$3:$G$22&gt;B880)*(Calc!$G$3:$G$22-B880)*Calc!$G$3:$G$22)</f>
        <v/>
      </c>
      <c r="N880">
        <f>SUMPRODUCT(Calc!$K$3:$K$22*(Calc!$G$3:$G$22&gt;A880)*(Calc!$G$3:$G$22-A880)*Calc!$I$3:$I$22)</f>
        <v/>
      </c>
      <c r="O880">
        <f>SUMPRODUCT(Calc!$K$3:$K$22*(Calc!$G$3:$G$22&gt;B880)*(Calc!$G$3:$G$22-B880)*Calc!$I$3:$I$22)</f>
        <v/>
      </c>
      <c r="P880">
        <f>I880-G880^2/k_n</f>
        <v/>
      </c>
      <c r="Q880">
        <f>J880-H880^2/k_n</f>
        <v/>
      </c>
      <c r="R880">
        <f>K880-G880*H880/k_n</f>
        <v/>
      </c>
      <c r="S880">
        <f>L880-LTP3!$D$3*G880/k_n</f>
        <v/>
      </c>
      <c r="T880">
        <f>M880-LTP3!$D$3*H880/k_n</f>
        <v/>
      </c>
      <c r="U880">
        <f>N880-G880*LTP3!$D$4/k_n</f>
        <v/>
      </c>
      <c r="V880">
        <f>O880-H880*LTP3!$D$4/k_n</f>
        <v/>
      </c>
      <c r="W880">
        <f>((LTP3!$D$5)*((P880)*(Q880)-(R880)*(R880))-(S880)*((S880)*(Q880)-(R880)*(T880))+(T880)*((S880)*(R880)-(P880)*(T880)))</f>
        <v/>
      </c>
      <c r="X880">
        <f>IF(ABS(W880)&gt;1E-12,((LTP3!$D$6)*((P880)*(Q880)-(R880)*(R880))-(S880)*((U880)*(Q880)-(R880)*(V880))+(T880)*((U880)*(R880)-(P880)*(V880)))/W880,0)</f>
        <v/>
      </c>
      <c r="Y880">
        <f>IF(ABS(W880)&gt;1E-12,((LTP3!$D$5)*((U880)*(Q880)-(R880)*(V880))-(LTP3!$D$6)*((S880)*(Q880)-(R880)*(T880))+(T880)*((S880)*(V880)-(U880)*(T880)))/W880,0)</f>
        <v/>
      </c>
      <c r="Z880">
        <f>IF(ABS(W880)&gt;1E-12,((LTP3!$D$5)*((P880)*(V880)-(U880)*(R880))-(S880)*((S880)*(V880)-(U880)*(T880))+(LTP3!$D$6)*((S880)*(R880)-(P880)*(T880)))/W880,0)</f>
        <v/>
      </c>
      <c r="AA880">
        <f>LTP3!$D$7-X880*LTP3!$D$6-Y880*U880-Z880*V880</f>
        <v/>
      </c>
      <c r="AB880">
        <f>IF(AND(F880,ABS(W880)&gt;1E-12,Y880&gt;0,Z880&gt;0),AA880,1E+300)</f>
        <v/>
      </c>
    </row>
    <row r="881">
      <c r="A881">
        <f>$B$3+$B$5*14</f>
        <v/>
      </c>
      <c r="B881">
        <f>$B$3+$B$5*15</f>
        <v/>
      </c>
      <c r="C881">
        <f>SUMPRODUCT(Calc!$K$3:$K$22*(Calc!$G$3:$G$22&lt;=A881))</f>
        <v/>
      </c>
      <c r="D881">
        <f>SUMPRODUCT(Calc!$K$3:$K$22*(Calc!$G$3:$G$22&gt;A881)*(Calc!$G$3:$G$22&lt;B881))</f>
        <v/>
      </c>
      <c r="E881">
        <f>SUMPRODUCT(Calc!$K$3:$K$22*(Calc!$G$3:$G$22&gt;=B881))</f>
        <v/>
      </c>
      <c r="F881">
        <f>AND(k_n&gt;=5,B881&gt;A881+1E-9,C881&gt;=2,D881&gt;=1,E881&gt;=2)</f>
        <v/>
      </c>
      <c r="G881">
        <f>SUMPRODUCT(Calc!$K$3:$K$22*(Calc!$G$3:$G$22&gt;A881)*(Calc!$G$3:$G$22-A881))</f>
        <v/>
      </c>
      <c r="H881">
        <f>SUMPRODUCT(Calc!$K$3:$K$22*(Calc!$G$3:$G$22&gt;B881)*(Calc!$G$3:$G$22-B881))</f>
        <v/>
      </c>
      <c r="I881">
        <f>SUMPRODUCT(Calc!$K$3:$K$22*(Calc!$G$3:$G$22&gt;A881)*(Calc!$G$3:$G$22-A881)^2)</f>
        <v/>
      </c>
      <c r="J881">
        <f>SUMPRODUCT(Calc!$K$3:$K$22*(Calc!$G$3:$G$22&gt;B881)*(Calc!$G$3:$G$22-B881)^2)</f>
        <v/>
      </c>
      <c r="K881">
        <f>SUMPRODUCT(Calc!$K$3:$K$22*(Calc!$G$3:$G$22&gt;A881)*(Calc!$G$3:$G$22-A881)*(Calc!$G$3:$G$22&gt;B881)*(Calc!$G$3:$G$22-B881))</f>
        <v/>
      </c>
      <c r="L881">
        <f>SUMPRODUCT(Calc!$K$3:$K$22*(Calc!$G$3:$G$22&gt;A881)*(Calc!$G$3:$G$22-A881)*Calc!$G$3:$G$22)</f>
        <v/>
      </c>
      <c r="M881">
        <f>SUMPRODUCT(Calc!$K$3:$K$22*(Calc!$G$3:$G$22&gt;B881)*(Calc!$G$3:$G$22-B881)*Calc!$G$3:$G$22)</f>
        <v/>
      </c>
      <c r="N881">
        <f>SUMPRODUCT(Calc!$K$3:$K$22*(Calc!$G$3:$G$22&gt;A881)*(Calc!$G$3:$G$22-A881)*Calc!$I$3:$I$22)</f>
        <v/>
      </c>
      <c r="O881">
        <f>SUMPRODUCT(Calc!$K$3:$K$22*(Calc!$G$3:$G$22&gt;B881)*(Calc!$G$3:$G$22-B881)*Calc!$I$3:$I$22)</f>
        <v/>
      </c>
      <c r="P881">
        <f>I881-G881^2/k_n</f>
        <v/>
      </c>
      <c r="Q881">
        <f>J881-H881^2/k_n</f>
        <v/>
      </c>
      <c r="R881">
        <f>K881-G881*H881/k_n</f>
        <v/>
      </c>
      <c r="S881">
        <f>L881-LTP3!$D$3*G881/k_n</f>
        <v/>
      </c>
      <c r="T881">
        <f>M881-LTP3!$D$3*H881/k_n</f>
        <v/>
      </c>
      <c r="U881">
        <f>N881-G881*LTP3!$D$4/k_n</f>
        <v/>
      </c>
      <c r="V881">
        <f>O881-H881*LTP3!$D$4/k_n</f>
        <v/>
      </c>
      <c r="W881">
        <f>((LTP3!$D$5)*((P881)*(Q881)-(R881)*(R881))-(S881)*((S881)*(Q881)-(R881)*(T881))+(T881)*((S881)*(R881)-(P881)*(T881)))</f>
        <v/>
      </c>
      <c r="X881">
        <f>IF(ABS(W881)&gt;1E-12,((LTP3!$D$6)*((P881)*(Q881)-(R881)*(R881))-(S881)*((U881)*(Q881)-(R881)*(V881))+(T881)*((U881)*(R881)-(P881)*(V881)))/W881,0)</f>
        <v/>
      </c>
      <c r="Y881">
        <f>IF(ABS(W881)&gt;1E-12,((LTP3!$D$5)*((U881)*(Q881)-(R881)*(V881))-(LTP3!$D$6)*((S881)*(Q881)-(R881)*(T881))+(T881)*((S881)*(V881)-(U881)*(T881)))/W881,0)</f>
        <v/>
      </c>
      <c r="Z881">
        <f>IF(ABS(W881)&gt;1E-12,((LTP3!$D$5)*((P881)*(V881)-(U881)*(R881))-(S881)*((S881)*(V881)-(U881)*(T881))+(LTP3!$D$6)*((S881)*(R881)-(P881)*(T881)))/W881,0)</f>
        <v/>
      </c>
      <c r="AA881">
        <f>LTP3!$D$7-X881*LTP3!$D$6-Y881*U881-Z881*V881</f>
        <v/>
      </c>
      <c r="AB881">
        <f>IF(AND(F881,ABS(W881)&gt;1E-12,Y881&gt;0,Z881&gt;0),AA881,1E+300)</f>
        <v/>
      </c>
    </row>
    <row r="882">
      <c r="A882">
        <f>$B$3+$B$5*14</f>
        <v/>
      </c>
      <c r="B882">
        <f>$B$3+$B$5*16</f>
        <v/>
      </c>
      <c r="C882">
        <f>SUMPRODUCT(Calc!$K$3:$K$22*(Calc!$G$3:$G$22&lt;=A882))</f>
        <v/>
      </c>
      <c r="D882">
        <f>SUMPRODUCT(Calc!$K$3:$K$22*(Calc!$G$3:$G$22&gt;A882)*(Calc!$G$3:$G$22&lt;B882))</f>
        <v/>
      </c>
      <c r="E882">
        <f>SUMPRODUCT(Calc!$K$3:$K$22*(Calc!$G$3:$G$22&gt;=B882))</f>
        <v/>
      </c>
      <c r="F882">
        <f>AND(k_n&gt;=5,B882&gt;A882+1E-9,C882&gt;=2,D882&gt;=1,E882&gt;=2)</f>
        <v/>
      </c>
      <c r="G882">
        <f>SUMPRODUCT(Calc!$K$3:$K$22*(Calc!$G$3:$G$22&gt;A882)*(Calc!$G$3:$G$22-A882))</f>
        <v/>
      </c>
      <c r="H882">
        <f>SUMPRODUCT(Calc!$K$3:$K$22*(Calc!$G$3:$G$22&gt;B882)*(Calc!$G$3:$G$22-B882))</f>
        <v/>
      </c>
      <c r="I882">
        <f>SUMPRODUCT(Calc!$K$3:$K$22*(Calc!$G$3:$G$22&gt;A882)*(Calc!$G$3:$G$22-A882)^2)</f>
        <v/>
      </c>
      <c r="J882">
        <f>SUMPRODUCT(Calc!$K$3:$K$22*(Calc!$G$3:$G$22&gt;B882)*(Calc!$G$3:$G$22-B882)^2)</f>
        <v/>
      </c>
      <c r="K882">
        <f>SUMPRODUCT(Calc!$K$3:$K$22*(Calc!$G$3:$G$22&gt;A882)*(Calc!$G$3:$G$22-A882)*(Calc!$G$3:$G$22&gt;B882)*(Calc!$G$3:$G$22-B882))</f>
        <v/>
      </c>
      <c r="L882">
        <f>SUMPRODUCT(Calc!$K$3:$K$22*(Calc!$G$3:$G$22&gt;A882)*(Calc!$G$3:$G$22-A882)*Calc!$G$3:$G$22)</f>
        <v/>
      </c>
      <c r="M882">
        <f>SUMPRODUCT(Calc!$K$3:$K$22*(Calc!$G$3:$G$22&gt;B882)*(Calc!$G$3:$G$22-B882)*Calc!$G$3:$G$22)</f>
        <v/>
      </c>
      <c r="N882">
        <f>SUMPRODUCT(Calc!$K$3:$K$22*(Calc!$G$3:$G$22&gt;A882)*(Calc!$G$3:$G$22-A882)*Calc!$I$3:$I$22)</f>
        <v/>
      </c>
      <c r="O882">
        <f>SUMPRODUCT(Calc!$K$3:$K$22*(Calc!$G$3:$G$22&gt;B882)*(Calc!$G$3:$G$22-B882)*Calc!$I$3:$I$22)</f>
        <v/>
      </c>
      <c r="P882">
        <f>I882-G882^2/k_n</f>
        <v/>
      </c>
      <c r="Q882">
        <f>J882-H882^2/k_n</f>
        <v/>
      </c>
      <c r="R882">
        <f>K882-G882*H882/k_n</f>
        <v/>
      </c>
      <c r="S882">
        <f>L882-LTP3!$D$3*G882/k_n</f>
        <v/>
      </c>
      <c r="T882">
        <f>M882-LTP3!$D$3*H882/k_n</f>
        <v/>
      </c>
      <c r="U882">
        <f>N882-G882*LTP3!$D$4/k_n</f>
        <v/>
      </c>
      <c r="V882">
        <f>O882-H882*LTP3!$D$4/k_n</f>
        <v/>
      </c>
      <c r="W882">
        <f>((LTP3!$D$5)*((P882)*(Q882)-(R882)*(R882))-(S882)*((S882)*(Q882)-(R882)*(T882))+(T882)*((S882)*(R882)-(P882)*(T882)))</f>
        <v/>
      </c>
      <c r="X882">
        <f>IF(ABS(W882)&gt;1E-12,((LTP3!$D$6)*((P882)*(Q882)-(R882)*(R882))-(S882)*((U882)*(Q882)-(R882)*(V882))+(T882)*((U882)*(R882)-(P882)*(V882)))/W882,0)</f>
        <v/>
      </c>
      <c r="Y882">
        <f>IF(ABS(W882)&gt;1E-12,((LTP3!$D$5)*((U882)*(Q882)-(R882)*(V882))-(LTP3!$D$6)*((S882)*(Q882)-(R882)*(T882))+(T882)*((S882)*(V882)-(U882)*(T882)))/W882,0)</f>
        <v/>
      </c>
      <c r="Z882">
        <f>IF(ABS(W882)&gt;1E-12,((LTP3!$D$5)*((P882)*(V882)-(U882)*(R882))-(S882)*((S882)*(V882)-(U882)*(T882))+(LTP3!$D$6)*((S882)*(R882)-(P882)*(T882)))/W882,0)</f>
        <v/>
      </c>
      <c r="AA882">
        <f>LTP3!$D$7-X882*LTP3!$D$6-Y882*U882-Z882*V882</f>
        <v/>
      </c>
      <c r="AB882">
        <f>IF(AND(F882,ABS(W882)&gt;1E-12,Y882&gt;0,Z882&gt;0),AA882,1E+300)</f>
        <v/>
      </c>
    </row>
    <row r="883">
      <c r="A883">
        <f>$B$3+$B$5*14</f>
        <v/>
      </c>
      <c r="B883">
        <f>$B$3+$B$5*17</f>
        <v/>
      </c>
      <c r="C883">
        <f>SUMPRODUCT(Calc!$K$3:$K$22*(Calc!$G$3:$G$22&lt;=A883))</f>
        <v/>
      </c>
      <c r="D883">
        <f>SUMPRODUCT(Calc!$K$3:$K$22*(Calc!$G$3:$G$22&gt;A883)*(Calc!$G$3:$G$22&lt;B883))</f>
        <v/>
      </c>
      <c r="E883">
        <f>SUMPRODUCT(Calc!$K$3:$K$22*(Calc!$G$3:$G$22&gt;=B883))</f>
        <v/>
      </c>
      <c r="F883">
        <f>AND(k_n&gt;=5,B883&gt;A883+1E-9,C883&gt;=2,D883&gt;=1,E883&gt;=2)</f>
        <v/>
      </c>
      <c r="G883">
        <f>SUMPRODUCT(Calc!$K$3:$K$22*(Calc!$G$3:$G$22&gt;A883)*(Calc!$G$3:$G$22-A883))</f>
        <v/>
      </c>
      <c r="H883">
        <f>SUMPRODUCT(Calc!$K$3:$K$22*(Calc!$G$3:$G$22&gt;B883)*(Calc!$G$3:$G$22-B883))</f>
        <v/>
      </c>
      <c r="I883">
        <f>SUMPRODUCT(Calc!$K$3:$K$22*(Calc!$G$3:$G$22&gt;A883)*(Calc!$G$3:$G$22-A883)^2)</f>
        <v/>
      </c>
      <c r="J883">
        <f>SUMPRODUCT(Calc!$K$3:$K$22*(Calc!$G$3:$G$22&gt;B883)*(Calc!$G$3:$G$22-B883)^2)</f>
        <v/>
      </c>
      <c r="K883">
        <f>SUMPRODUCT(Calc!$K$3:$K$22*(Calc!$G$3:$G$22&gt;A883)*(Calc!$G$3:$G$22-A883)*(Calc!$G$3:$G$22&gt;B883)*(Calc!$G$3:$G$22-B883))</f>
        <v/>
      </c>
      <c r="L883">
        <f>SUMPRODUCT(Calc!$K$3:$K$22*(Calc!$G$3:$G$22&gt;A883)*(Calc!$G$3:$G$22-A883)*Calc!$G$3:$G$22)</f>
        <v/>
      </c>
      <c r="M883">
        <f>SUMPRODUCT(Calc!$K$3:$K$22*(Calc!$G$3:$G$22&gt;B883)*(Calc!$G$3:$G$22-B883)*Calc!$G$3:$G$22)</f>
        <v/>
      </c>
      <c r="N883">
        <f>SUMPRODUCT(Calc!$K$3:$K$22*(Calc!$G$3:$G$22&gt;A883)*(Calc!$G$3:$G$22-A883)*Calc!$I$3:$I$22)</f>
        <v/>
      </c>
      <c r="O883">
        <f>SUMPRODUCT(Calc!$K$3:$K$22*(Calc!$G$3:$G$22&gt;B883)*(Calc!$G$3:$G$22-B883)*Calc!$I$3:$I$22)</f>
        <v/>
      </c>
      <c r="P883">
        <f>I883-G883^2/k_n</f>
        <v/>
      </c>
      <c r="Q883">
        <f>J883-H883^2/k_n</f>
        <v/>
      </c>
      <c r="R883">
        <f>K883-G883*H883/k_n</f>
        <v/>
      </c>
      <c r="S883">
        <f>L883-LTP3!$D$3*G883/k_n</f>
        <v/>
      </c>
      <c r="T883">
        <f>M883-LTP3!$D$3*H883/k_n</f>
        <v/>
      </c>
      <c r="U883">
        <f>N883-G883*LTP3!$D$4/k_n</f>
        <v/>
      </c>
      <c r="V883">
        <f>O883-H883*LTP3!$D$4/k_n</f>
        <v/>
      </c>
      <c r="W883">
        <f>((LTP3!$D$5)*((P883)*(Q883)-(R883)*(R883))-(S883)*((S883)*(Q883)-(R883)*(T883))+(T883)*((S883)*(R883)-(P883)*(T883)))</f>
        <v/>
      </c>
      <c r="X883">
        <f>IF(ABS(W883)&gt;1E-12,((LTP3!$D$6)*((P883)*(Q883)-(R883)*(R883))-(S883)*((U883)*(Q883)-(R883)*(V883))+(T883)*((U883)*(R883)-(P883)*(V883)))/W883,0)</f>
        <v/>
      </c>
      <c r="Y883">
        <f>IF(ABS(W883)&gt;1E-12,((LTP3!$D$5)*((U883)*(Q883)-(R883)*(V883))-(LTP3!$D$6)*((S883)*(Q883)-(R883)*(T883))+(T883)*((S883)*(V883)-(U883)*(T883)))/W883,0)</f>
        <v/>
      </c>
      <c r="Z883">
        <f>IF(ABS(W883)&gt;1E-12,((LTP3!$D$5)*((P883)*(V883)-(U883)*(R883))-(S883)*((S883)*(V883)-(U883)*(T883))+(LTP3!$D$6)*((S883)*(R883)-(P883)*(T883)))/W883,0)</f>
        <v/>
      </c>
      <c r="AA883">
        <f>LTP3!$D$7-X883*LTP3!$D$6-Y883*U883-Z883*V883</f>
        <v/>
      </c>
      <c r="AB883">
        <f>IF(AND(F883,ABS(W883)&gt;1E-12,Y883&gt;0,Z883&gt;0),AA883,1E+300)</f>
        <v/>
      </c>
    </row>
    <row r="884">
      <c r="A884">
        <f>$B$3+$B$5*14</f>
        <v/>
      </c>
      <c r="B884">
        <f>$B$3+$B$5*18</f>
        <v/>
      </c>
      <c r="C884">
        <f>SUMPRODUCT(Calc!$K$3:$K$22*(Calc!$G$3:$G$22&lt;=A884))</f>
        <v/>
      </c>
      <c r="D884">
        <f>SUMPRODUCT(Calc!$K$3:$K$22*(Calc!$G$3:$G$22&gt;A884)*(Calc!$G$3:$G$22&lt;B884))</f>
        <v/>
      </c>
      <c r="E884">
        <f>SUMPRODUCT(Calc!$K$3:$K$22*(Calc!$G$3:$G$22&gt;=B884))</f>
        <v/>
      </c>
      <c r="F884">
        <f>AND(k_n&gt;=5,B884&gt;A884+1E-9,C884&gt;=2,D884&gt;=1,E884&gt;=2)</f>
        <v/>
      </c>
      <c r="G884">
        <f>SUMPRODUCT(Calc!$K$3:$K$22*(Calc!$G$3:$G$22&gt;A884)*(Calc!$G$3:$G$22-A884))</f>
        <v/>
      </c>
      <c r="H884">
        <f>SUMPRODUCT(Calc!$K$3:$K$22*(Calc!$G$3:$G$22&gt;B884)*(Calc!$G$3:$G$22-B884))</f>
        <v/>
      </c>
      <c r="I884">
        <f>SUMPRODUCT(Calc!$K$3:$K$22*(Calc!$G$3:$G$22&gt;A884)*(Calc!$G$3:$G$22-A884)^2)</f>
        <v/>
      </c>
      <c r="J884">
        <f>SUMPRODUCT(Calc!$K$3:$K$22*(Calc!$G$3:$G$22&gt;B884)*(Calc!$G$3:$G$22-B884)^2)</f>
        <v/>
      </c>
      <c r="K884">
        <f>SUMPRODUCT(Calc!$K$3:$K$22*(Calc!$G$3:$G$22&gt;A884)*(Calc!$G$3:$G$22-A884)*(Calc!$G$3:$G$22&gt;B884)*(Calc!$G$3:$G$22-B884))</f>
        <v/>
      </c>
      <c r="L884">
        <f>SUMPRODUCT(Calc!$K$3:$K$22*(Calc!$G$3:$G$22&gt;A884)*(Calc!$G$3:$G$22-A884)*Calc!$G$3:$G$22)</f>
        <v/>
      </c>
      <c r="M884">
        <f>SUMPRODUCT(Calc!$K$3:$K$22*(Calc!$G$3:$G$22&gt;B884)*(Calc!$G$3:$G$22-B884)*Calc!$G$3:$G$22)</f>
        <v/>
      </c>
      <c r="N884">
        <f>SUMPRODUCT(Calc!$K$3:$K$22*(Calc!$G$3:$G$22&gt;A884)*(Calc!$G$3:$G$22-A884)*Calc!$I$3:$I$22)</f>
        <v/>
      </c>
      <c r="O884">
        <f>SUMPRODUCT(Calc!$K$3:$K$22*(Calc!$G$3:$G$22&gt;B884)*(Calc!$G$3:$G$22-B884)*Calc!$I$3:$I$22)</f>
        <v/>
      </c>
      <c r="P884">
        <f>I884-G884^2/k_n</f>
        <v/>
      </c>
      <c r="Q884">
        <f>J884-H884^2/k_n</f>
        <v/>
      </c>
      <c r="R884">
        <f>K884-G884*H884/k_n</f>
        <v/>
      </c>
      <c r="S884">
        <f>L884-LTP3!$D$3*G884/k_n</f>
        <v/>
      </c>
      <c r="T884">
        <f>M884-LTP3!$D$3*H884/k_n</f>
        <v/>
      </c>
      <c r="U884">
        <f>N884-G884*LTP3!$D$4/k_n</f>
        <v/>
      </c>
      <c r="V884">
        <f>O884-H884*LTP3!$D$4/k_n</f>
        <v/>
      </c>
      <c r="W884">
        <f>((LTP3!$D$5)*((P884)*(Q884)-(R884)*(R884))-(S884)*((S884)*(Q884)-(R884)*(T884))+(T884)*((S884)*(R884)-(P884)*(T884)))</f>
        <v/>
      </c>
      <c r="X884">
        <f>IF(ABS(W884)&gt;1E-12,((LTP3!$D$6)*((P884)*(Q884)-(R884)*(R884))-(S884)*((U884)*(Q884)-(R884)*(V884))+(T884)*((U884)*(R884)-(P884)*(V884)))/W884,0)</f>
        <v/>
      </c>
      <c r="Y884">
        <f>IF(ABS(W884)&gt;1E-12,((LTP3!$D$5)*((U884)*(Q884)-(R884)*(V884))-(LTP3!$D$6)*((S884)*(Q884)-(R884)*(T884))+(T884)*((S884)*(V884)-(U884)*(T884)))/W884,0)</f>
        <v/>
      </c>
      <c r="Z884">
        <f>IF(ABS(W884)&gt;1E-12,((LTP3!$D$5)*((P884)*(V884)-(U884)*(R884))-(S884)*((S884)*(V884)-(U884)*(T884))+(LTP3!$D$6)*((S884)*(R884)-(P884)*(T884)))/W884,0)</f>
        <v/>
      </c>
      <c r="AA884">
        <f>LTP3!$D$7-X884*LTP3!$D$6-Y884*U884-Z884*V884</f>
        <v/>
      </c>
      <c r="AB884">
        <f>IF(AND(F884,ABS(W884)&gt;1E-12,Y884&gt;0,Z884&gt;0),AA884,1E+300)</f>
        <v/>
      </c>
    </row>
    <row r="885">
      <c r="A885">
        <f>$B$3+$B$5*14</f>
        <v/>
      </c>
      <c r="B885">
        <f>$B$3+$B$5*19</f>
        <v/>
      </c>
      <c r="C885">
        <f>SUMPRODUCT(Calc!$K$3:$K$22*(Calc!$G$3:$G$22&lt;=A885))</f>
        <v/>
      </c>
      <c r="D885">
        <f>SUMPRODUCT(Calc!$K$3:$K$22*(Calc!$G$3:$G$22&gt;A885)*(Calc!$G$3:$G$22&lt;B885))</f>
        <v/>
      </c>
      <c r="E885">
        <f>SUMPRODUCT(Calc!$K$3:$K$22*(Calc!$G$3:$G$22&gt;=B885))</f>
        <v/>
      </c>
      <c r="F885">
        <f>AND(k_n&gt;=5,B885&gt;A885+1E-9,C885&gt;=2,D885&gt;=1,E885&gt;=2)</f>
        <v/>
      </c>
      <c r="G885">
        <f>SUMPRODUCT(Calc!$K$3:$K$22*(Calc!$G$3:$G$22&gt;A885)*(Calc!$G$3:$G$22-A885))</f>
        <v/>
      </c>
      <c r="H885">
        <f>SUMPRODUCT(Calc!$K$3:$K$22*(Calc!$G$3:$G$22&gt;B885)*(Calc!$G$3:$G$22-B885))</f>
        <v/>
      </c>
      <c r="I885">
        <f>SUMPRODUCT(Calc!$K$3:$K$22*(Calc!$G$3:$G$22&gt;A885)*(Calc!$G$3:$G$22-A885)^2)</f>
        <v/>
      </c>
      <c r="J885">
        <f>SUMPRODUCT(Calc!$K$3:$K$22*(Calc!$G$3:$G$22&gt;B885)*(Calc!$G$3:$G$22-B885)^2)</f>
        <v/>
      </c>
      <c r="K885">
        <f>SUMPRODUCT(Calc!$K$3:$K$22*(Calc!$G$3:$G$22&gt;A885)*(Calc!$G$3:$G$22-A885)*(Calc!$G$3:$G$22&gt;B885)*(Calc!$G$3:$G$22-B885))</f>
        <v/>
      </c>
      <c r="L885">
        <f>SUMPRODUCT(Calc!$K$3:$K$22*(Calc!$G$3:$G$22&gt;A885)*(Calc!$G$3:$G$22-A885)*Calc!$G$3:$G$22)</f>
        <v/>
      </c>
      <c r="M885">
        <f>SUMPRODUCT(Calc!$K$3:$K$22*(Calc!$G$3:$G$22&gt;B885)*(Calc!$G$3:$G$22-B885)*Calc!$G$3:$G$22)</f>
        <v/>
      </c>
      <c r="N885">
        <f>SUMPRODUCT(Calc!$K$3:$K$22*(Calc!$G$3:$G$22&gt;A885)*(Calc!$G$3:$G$22-A885)*Calc!$I$3:$I$22)</f>
        <v/>
      </c>
      <c r="O885">
        <f>SUMPRODUCT(Calc!$K$3:$K$22*(Calc!$G$3:$G$22&gt;B885)*(Calc!$G$3:$G$22-B885)*Calc!$I$3:$I$22)</f>
        <v/>
      </c>
      <c r="P885">
        <f>I885-G885^2/k_n</f>
        <v/>
      </c>
      <c r="Q885">
        <f>J885-H885^2/k_n</f>
        <v/>
      </c>
      <c r="R885">
        <f>K885-G885*H885/k_n</f>
        <v/>
      </c>
      <c r="S885">
        <f>L885-LTP3!$D$3*G885/k_n</f>
        <v/>
      </c>
      <c r="T885">
        <f>M885-LTP3!$D$3*H885/k_n</f>
        <v/>
      </c>
      <c r="U885">
        <f>N885-G885*LTP3!$D$4/k_n</f>
        <v/>
      </c>
      <c r="V885">
        <f>O885-H885*LTP3!$D$4/k_n</f>
        <v/>
      </c>
      <c r="W885">
        <f>((LTP3!$D$5)*((P885)*(Q885)-(R885)*(R885))-(S885)*((S885)*(Q885)-(R885)*(T885))+(T885)*((S885)*(R885)-(P885)*(T885)))</f>
        <v/>
      </c>
      <c r="X885">
        <f>IF(ABS(W885)&gt;1E-12,((LTP3!$D$6)*((P885)*(Q885)-(R885)*(R885))-(S885)*((U885)*(Q885)-(R885)*(V885))+(T885)*((U885)*(R885)-(P885)*(V885)))/W885,0)</f>
        <v/>
      </c>
      <c r="Y885">
        <f>IF(ABS(W885)&gt;1E-12,((LTP3!$D$5)*((U885)*(Q885)-(R885)*(V885))-(LTP3!$D$6)*((S885)*(Q885)-(R885)*(T885))+(T885)*((S885)*(V885)-(U885)*(T885)))/W885,0)</f>
        <v/>
      </c>
      <c r="Z885">
        <f>IF(ABS(W885)&gt;1E-12,((LTP3!$D$5)*((P885)*(V885)-(U885)*(R885))-(S885)*((S885)*(V885)-(U885)*(T885))+(LTP3!$D$6)*((S885)*(R885)-(P885)*(T885)))/W885,0)</f>
        <v/>
      </c>
      <c r="AA885">
        <f>LTP3!$D$7-X885*LTP3!$D$6-Y885*U885-Z885*V885</f>
        <v/>
      </c>
      <c r="AB885">
        <f>IF(AND(F885,ABS(W885)&gt;1E-12,Y885&gt;0,Z885&gt;0),AA885,1E+300)</f>
        <v/>
      </c>
    </row>
    <row r="886">
      <c r="A886">
        <f>$B$3+$B$5*14</f>
        <v/>
      </c>
      <c r="B886">
        <f>$B$3+$B$5*20</f>
        <v/>
      </c>
      <c r="C886">
        <f>SUMPRODUCT(Calc!$K$3:$K$22*(Calc!$G$3:$G$22&lt;=A886))</f>
        <v/>
      </c>
      <c r="D886">
        <f>SUMPRODUCT(Calc!$K$3:$K$22*(Calc!$G$3:$G$22&gt;A886)*(Calc!$G$3:$G$22&lt;B886))</f>
        <v/>
      </c>
      <c r="E886">
        <f>SUMPRODUCT(Calc!$K$3:$K$22*(Calc!$G$3:$G$22&gt;=B886))</f>
        <v/>
      </c>
      <c r="F886">
        <f>AND(k_n&gt;=5,B886&gt;A886+1E-9,C886&gt;=2,D886&gt;=1,E886&gt;=2)</f>
        <v/>
      </c>
      <c r="G886">
        <f>SUMPRODUCT(Calc!$K$3:$K$22*(Calc!$G$3:$G$22&gt;A886)*(Calc!$G$3:$G$22-A886))</f>
        <v/>
      </c>
      <c r="H886">
        <f>SUMPRODUCT(Calc!$K$3:$K$22*(Calc!$G$3:$G$22&gt;B886)*(Calc!$G$3:$G$22-B886))</f>
        <v/>
      </c>
      <c r="I886">
        <f>SUMPRODUCT(Calc!$K$3:$K$22*(Calc!$G$3:$G$22&gt;A886)*(Calc!$G$3:$G$22-A886)^2)</f>
        <v/>
      </c>
      <c r="J886">
        <f>SUMPRODUCT(Calc!$K$3:$K$22*(Calc!$G$3:$G$22&gt;B886)*(Calc!$G$3:$G$22-B886)^2)</f>
        <v/>
      </c>
      <c r="K886">
        <f>SUMPRODUCT(Calc!$K$3:$K$22*(Calc!$G$3:$G$22&gt;A886)*(Calc!$G$3:$G$22-A886)*(Calc!$G$3:$G$22&gt;B886)*(Calc!$G$3:$G$22-B886))</f>
        <v/>
      </c>
      <c r="L886">
        <f>SUMPRODUCT(Calc!$K$3:$K$22*(Calc!$G$3:$G$22&gt;A886)*(Calc!$G$3:$G$22-A886)*Calc!$G$3:$G$22)</f>
        <v/>
      </c>
      <c r="M886">
        <f>SUMPRODUCT(Calc!$K$3:$K$22*(Calc!$G$3:$G$22&gt;B886)*(Calc!$G$3:$G$22-B886)*Calc!$G$3:$G$22)</f>
        <v/>
      </c>
      <c r="N886">
        <f>SUMPRODUCT(Calc!$K$3:$K$22*(Calc!$G$3:$G$22&gt;A886)*(Calc!$G$3:$G$22-A886)*Calc!$I$3:$I$22)</f>
        <v/>
      </c>
      <c r="O886">
        <f>SUMPRODUCT(Calc!$K$3:$K$22*(Calc!$G$3:$G$22&gt;B886)*(Calc!$G$3:$G$22-B886)*Calc!$I$3:$I$22)</f>
        <v/>
      </c>
      <c r="P886">
        <f>I886-G886^2/k_n</f>
        <v/>
      </c>
      <c r="Q886">
        <f>J886-H886^2/k_n</f>
        <v/>
      </c>
      <c r="R886">
        <f>K886-G886*H886/k_n</f>
        <v/>
      </c>
      <c r="S886">
        <f>L886-LTP3!$D$3*G886/k_n</f>
        <v/>
      </c>
      <c r="T886">
        <f>M886-LTP3!$D$3*H886/k_n</f>
        <v/>
      </c>
      <c r="U886">
        <f>N886-G886*LTP3!$D$4/k_n</f>
        <v/>
      </c>
      <c r="V886">
        <f>O886-H886*LTP3!$D$4/k_n</f>
        <v/>
      </c>
      <c r="W886">
        <f>((LTP3!$D$5)*((P886)*(Q886)-(R886)*(R886))-(S886)*((S886)*(Q886)-(R886)*(T886))+(T886)*((S886)*(R886)-(P886)*(T886)))</f>
        <v/>
      </c>
      <c r="X886">
        <f>IF(ABS(W886)&gt;1E-12,((LTP3!$D$6)*((P886)*(Q886)-(R886)*(R886))-(S886)*((U886)*(Q886)-(R886)*(V886))+(T886)*((U886)*(R886)-(P886)*(V886)))/W886,0)</f>
        <v/>
      </c>
      <c r="Y886">
        <f>IF(ABS(W886)&gt;1E-12,((LTP3!$D$5)*((U886)*(Q886)-(R886)*(V886))-(LTP3!$D$6)*((S886)*(Q886)-(R886)*(T886))+(T886)*((S886)*(V886)-(U886)*(T886)))/W886,0)</f>
        <v/>
      </c>
      <c r="Z886">
        <f>IF(ABS(W886)&gt;1E-12,((LTP3!$D$5)*((P886)*(V886)-(U886)*(R886))-(S886)*((S886)*(V886)-(U886)*(T886))+(LTP3!$D$6)*((S886)*(R886)-(P886)*(T886)))/W886,0)</f>
        <v/>
      </c>
      <c r="AA886">
        <f>LTP3!$D$7-X886*LTP3!$D$6-Y886*U886-Z886*V886</f>
        <v/>
      </c>
      <c r="AB886">
        <f>IF(AND(F886,ABS(W886)&gt;1E-12,Y886&gt;0,Z886&gt;0),AA886,1E+300)</f>
        <v/>
      </c>
    </row>
    <row r="887">
      <c r="A887">
        <f>$B$3+$B$5*14</f>
        <v/>
      </c>
      <c r="B887">
        <f>$B$3+$B$5*21</f>
        <v/>
      </c>
      <c r="C887">
        <f>SUMPRODUCT(Calc!$K$3:$K$22*(Calc!$G$3:$G$22&lt;=A887))</f>
        <v/>
      </c>
      <c r="D887">
        <f>SUMPRODUCT(Calc!$K$3:$K$22*(Calc!$G$3:$G$22&gt;A887)*(Calc!$G$3:$G$22&lt;B887))</f>
        <v/>
      </c>
      <c r="E887">
        <f>SUMPRODUCT(Calc!$K$3:$K$22*(Calc!$G$3:$G$22&gt;=B887))</f>
        <v/>
      </c>
      <c r="F887">
        <f>AND(k_n&gt;=5,B887&gt;A887+1E-9,C887&gt;=2,D887&gt;=1,E887&gt;=2)</f>
        <v/>
      </c>
      <c r="G887">
        <f>SUMPRODUCT(Calc!$K$3:$K$22*(Calc!$G$3:$G$22&gt;A887)*(Calc!$G$3:$G$22-A887))</f>
        <v/>
      </c>
      <c r="H887">
        <f>SUMPRODUCT(Calc!$K$3:$K$22*(Calc!$G$3:$G$22&gt;B887)*(Calc!$G$3:$G$22-B887))</f>
        <v/>
      </c>
      <c r="I887">
        <f>SUMPRODUCT(Calc!$K$3:$K$22*(Calc!$G$3:$G$22&gt;A887)*(Calc!$G$3:$G$22-A887)^2)</f>
        <v/>
      </c>
      <c r="J887">
        <f>SUMPRODUCT(Calc!$K$3:$K$22*(Calc!$G$3:$G$22&gt;B887)*(Calc!$G$3:$G$22-B887)^2)</f>
        <v/>
      </c>
      <c r="K887">
        <f>SUMPRODUCT(Calc!$K$3:$K$22*(Calc!$G$3:$G$22&gt;A887)*(Calc!$G$3:$G$22-A887)*(Calc!$G$3:$G$22&gt;B887)*(Calc!$G$3:$G$22-B887))</f>
        <v/>
      </c>
      <c r="L887">
        <f>SUMPRODUCT(Calc!$K$3:$K$22*(Calc!$G$3:$G$22&gt;A887)*(Calc!$G$3:$G$22-A887)*Calc!$G$3:$G$22)</f>
        <v/>
      </c>
      <c r="M887">
        <f>SUMPRODUCT(Calc!$K$3:$K$22*(Calc!$G$3:$G$22&gt;B887)*(Calc!$G$3:$G$22-B887)*Calc!$G$3:$G$22)</f>
        <v/>
      </c>
      <c r="N887">
        <f>SUMPRODUCT(Calc!$K$3:$K$22*(Calc!$G$3:$G$22&gt;A887)*(Calc!$G$3:$G$22-A887)*Calc!$I$3:$I$22)</f>
        <v/>
      </c>
      <c r="O887">
        <f>SUMPRODUCT(Calc!$K$3:$K$22*(Calc!$G$3:$G$22&gt;B887)*(Calc!$G$3:$G$22-B887)*Calc!$I$3:$I$22)</f>
        <v/>
      </c>
      <c r="P887">
        <f>I887-G887^2/k_n</f>
        <v/>
      </c>
      <c r="Q887">
        <f>J887-H887^2/k_n</f>
        <v/>
      </c>
      <c r="R887">
        <f>K887-G887*H887/k_n</f>
        <v/>
      </c>
      <c r="S887">
        <f>L887-LTP3!$D$3*G887/k_n</f>
        <v/>
      </c>
      <c r="T887">
        <f>M887-LTP3!$D$3*H887/k_n</f>
        <v/>
      </c>
      <c r="U887">
        <f>N887-G887*LTP3!$D$4/k_n</f>
        <v/>
      </c>
      <c r="V887">
        <f>O887-H887*LTP3!$D$4/k_n</f>
        <v/>
      </c>
      <c r="W887">
        <f>((LTP3!$D$5)*((P887)*(Q887)-(R887)*(R887))-(S887)*((S887)*(Q887)-(R887)*(T887))+(T887)*((S887)*(R887)-(P887)*(T887)))</f>
        <v/>
      </c>
      <c r="X887">
        <f>IF(ABS(W887)&gt;1E-12,((LTP3!$D$6)*((P887)*(Q887)-(R887)*(R887))-(S887)*((U887)*(Q887)-(R887)*(V887))+(T887)*((U887)*(R887)-(P887)*(V887)))/W887,0)</f>
        <v/>
      </c>
      <c r="Y887">
        <f>IF(ABS(W887)&gt;1E-12,((LTP3!$D$5)*((U887)*(Q887)-(R887)*(V887))-(LTP3!$D$6)*((S887)*(Q887)-(R887)*(T887))+(T887)*((S887)*(V887)-(U887)*(T887)))/W887,0)</f>
        <v/>
      </c>
      <c r="Z887">
        <f>IF(ABS(W887)&gt;1E-12,((LTP3!$D$5)*((P887)*(V887)-(U887)*(R887))-(S887)*((S887)*(V887)-(U887)*(T887))+(LTP3!$D$6)*((S887)*(R887)-(P887)*(T887)))/W887,0)</f>
        <v/>
      </c>
      <c r="AA887">
        <f>LTP3!$D$7-X887*LTP3!$D$6-Y887*U887-Z887*V887</f>
        <v/>
      </c>
      <c r="AB887">
        <f>IF(AND(F887,ABS(W887)&gt;1E-12,Y887&gt;0,Z887&gt;0),AA887,1E+300)</f>
        <v/>
      </c>
    </row>
    <row r="888">
      <c r="A888">
        <f>$B$3+$B$5*14</f>
        <v/>
      </c>
      <c r="B888">
        <f>$B$3+$B$5*22</f>
        <v/>
      </c>
      <c r="C888">
        <f>SUMPRODUCT(Calc!$K$3:$K$22*(Calc!$G$3:$G$22&lt;=A888))</f>
        <v/>
      </c>
      <c r="D888">
        <f>SUMPRODUCT(Calc!$K$3:$K$22*(Calc!$G$3:$G$22&gt;A888)*(Calc!$G$3:$G$22&lt;B888))</f>
        <v/>
      </c>
      <c r="E888">
        <f>SUMPRODUCT(Calc!$K$3:$K$22*(Calc!$G$3:$G$22&gt;=B888))</f>
        <v/>
      </c>
      <c r="F888">
        <f>AND(k_n&gt;=5,B888&gt;A888+1E-9,C888&gt;=2,D888&gt;=1,E888&gt;=2)</f>
        <v/>
      </c>
      <c r="G888">
        <f>SUMPRODUCT(Calc!$K$3:$K$22*(Calc!$G$3:$G$22&gt;A888)*(Calc!$G$3:$G$22-A888))</f>
        <v/>
      </c>
      <c r="H888">
        <f>SUMPRODUCT(Calc!$K$3:$K$22*(Calc!$G$3:$G$22&gt;B888)*(Calc!$G$3:$G$22-B888))</f>
        <v/>
      </c>
      <c r="I888">
        <f>SUMPRODUCT(Calc!$K$3:$K$22*(Calc!$G$3:$G$22&gt;A888)*(Calc!$G$3:$G$22-A888)^2)</f>
        <v/>
      </c>
      <c r="J888">
        <f>SUMPRODUCT(Calc!$K$3:$K$22*(Calc!$G$3:$G$22&gt;B888)*(Calc!$G$3:$G$22-B888)^2)</f>
        <v/>
      </c>
      <c r="K888">
        <f>SUMPRODUCT(Calc!$K$3:$K$22*(Calc!$G$3:$G$22&gt;A888)*(Calc!$G$3:$G$22-A888)*(Calc!$G$3:$G$22&gt;B888)*(Calc!$G$3:$G$22-B888))</f>
        <v/>
      </c>
      <c r="L888">
        <f>SUMPRODUCT(Calc!$K$3:$K$22*(Calc!$G$3:$G$22&gt;A888)*(Calc!$G$3:$G$22-A888)*Calc!$G$3:$G$22)</f>
        <v/>
      </c>
      <c r="M888">
        <f>SUMPRODUCT(Calc!$K$3:$K$22*(Calc!$G$3:$G$22&gt;B888)*(Calc!$G$3:$G$22-B888)*Calc!$G$3:$G$22)</f>
        <v/>
      </c>
      <c r="N888">
        <f>SUMPRODUCT(Calc!$K$3:$K$22*(Calc!$G$3:$G$22&gt;A888)*(Calc!$G$3:$G$22-A888)*Calc!$I$3:$I$22)</f>
        <v/>
      </c>
      <c r="O888">
        <f>SUMPRODUCT(Calc!$K$3:$K$22*(Calc!$G$3:$G$22&gt;B888)*(Calc!$G$3:$G$22-B888)*Calc!$I$3:$I$22)</f>
        <v/>
      </c>
      <c r="P888">
        <f>I888-G888^2/k_n</f>
        <v/>
      </c>
      <c r="Q888">
        <f>J888-H888^2/k_n</f>
        <v/>
      </c>
      <c r="R888">
        <f>K888-G888*H888/k_n</f>
        <v/>
      </c>
      <c r="S888">
        <f>L888-LTP3!$D$3*G888/k_n</f>
        <v/>
      </c>
      <c r="T888">
        <f>M888-LTP3!$D$3*H888/k_n</f>
        <v/>
      </c>
      <c r="U888">
        <f>N888-G888*LTP3!$D$4/k_n</f>
        <v/>
      </c>
      <c r="V888">
        <f>O888-H888*LTP3!$D$4/k_n</f>
        <v/>
      </c>
      <c r="W888">
        <f>((LTP3!$D$5)*((P888)*(Q888)-(R888)*(R888))-(S888)*((S888)*(Q888)-(R888)*(T888))+(T888)*((S888)*(R888)-(P888)*(T888)))</f>
        <v/>
      </c>
      <c r="X888">
        <f>IF(ABS(W888)&gt;1E-12,((LTP3!$D$6)*((P888)*(Q888)-(R888)*(R888))-(S888)*((U888)*(Q888)-(R888)*(V888))+(T888)*((U888)*(R888)-(P888)*(V888)))/W888,0)</f>
        <v/>
      </c>
      <c r="Y888">
        <f>IF(ABS(W888)&gt;1E-12,((LTP3!$D$5)*((U888)*(Q888)-(R888)*(V888))-(LTP3!$D$6)*((S888)*(Q888)-(R888)*(T888))+(T888)*((S888)*(V888)-(U888)*(T888)))/W888,0)</f>
        <v/>
      </c>
      <c r="Z888">
        <f>IF(ABS(W888)&gt;1E-12,((LTP3!$D$5)*((P888)*(V888)-(U888)*(R888))-(S888)*((S888)*(V888)-(U888)*(T888))+(LTP3!$D$6)*((S888)*(R888)-(P888)*(T888)))/W888,0)</f>
        <v/>
      </c>
      <c r="AA888">
        <f>LTP3!$D$7-X888*LTP3!$D$6-Y888*U888-Z888*V888</f>
        <v/>
      </c>
      <c r="AB888">
        <f>IF(AND(F888,ABS(W888)&gt;1E-12,Y888&gt;0,Z888&gt;0),AA888,1E+300)</f>
        <v/>
      </c>
    </row>
    <row r="889">
      <c r="A889">
        <f>$B$3+$B$5*14</f>
        <v/>
      </c>
      <c r="B889">
        <f>$B$3+$B$5*23</f>
        <v/>
      </c>
      <c r="C889">
        <f>SUMPRODUCT(Calc!$K$3:$K$22*(Calc!$G$3:$G$22&lt;=A889))</f>
        <v/>
      </c>
      <c r="D889">
        <f>SUMPRODUCT(Calc!$K$3:$K$22*(Calc!$G$3:$G$22&gt;A889)*(Calc!$G$3:$G$22&lt;B889))</f>
        <v/>
      </c>
      <c r="E889">
        <f>SUMPRODUCT(Calc!$K$3:$K$22*(Calc!$G$3:$G$22&gt;=B889))</f>
        <v/>
      </c>
      <c r="F889">
        <f>AND(k_n&gt;=5,B889&gt;A889+1E-9,C889&gt;=2,D889&gt;=1,E889&gt;=2)</f>
        <v/>
      </c>
      <c r="G889">
        <f>SUMPRODUCT(Calc!$K$3:$K$22*(Calc!$G$3:$G$22&gt;A889)*(Calc!$G$3:$G$22-A889))</f>
        <v/>
      </c>
      <c r="H889">
        <f>SUMPRODUCT(Calc!$K$3:$K$22*(Calc!$G$3:$G$22&gt;B889)*(Calc!$G$3:$G$22-B889))</f>
        <v/>
      </c>
      <c r="I889">
        <f>SUMPRODUCT(Calc!$K$3:$K$22*(Calc!$G$3:$G$22&gt;A889)*(Calc!$G$3:$G$22-A889)^2)</f>
        <v/>
      </c>
      <c r="J889">
        <f>SUMPRODUCT(Calc!$K$3:$K$22*(Calc!$G$3:$G$22&gt;B889)*(Calc!$G$3:$G$22-B889)^2)</f>
        <v/>
      </c>
      <c r="K889">
        <f>SUMPRODUCT(Calc!$K$3:$K$22*(Calc!$G$3:$G$22&gt;A889)*(Calc!$G$3:$G$22-A889)*(Calc!$G$3:$G$22&gt;B889)*(Calc!$G$3:$G$22-B889))</f>
        <v/>
      </c>
      <c r="L889">
        <f>SUMPRODUCT(Calc!$K$3:$K$22*(Calc!$G$3:$G$22&gt;A889)*(Calc!$G$3:$G$22-A889)*Calc!$G$3:$G$22)</f>
        <v/>
      </c>
      <c r="M889">
        <f>SUMPRODUCT(Calc!$K$3:$K$22*(Calc!$G$3:$G$22&gt;B889)*(Calc!$G$3:$G$22-B889)*Calc!$G$3:$G$22)</f>
        <v/>
      </c>
      <c r="N889">
        <f>SUMPRODUCT(Calc!$K$3:$K$22*(Calc!$G$3:$G$22&gt;A889)*(Calc!$G$3:$G$22-A889)*Calc!$I$3:$I$22)</f>
        <v/>
      </c>
      <c r="O889">
        <f>SUMPRODUCT(Calc!$K$3:$K$22*(Calc!$G$3:$G$22&gt;B889)*(Calc!$G$3:$G$22-B889)*Calc!$I$3:$I$22)</f>
        <v/>
      </c>
      <c r="P889">
        <f>I889-G889^2/k_n</f>
        <v/>
      </c>
      <c r="Q889">
        <f>J889-H889^2/k_n</f>
        <v/>
      </c>
      <c r="R889">
        <f>K889-G889*H889/k_n</f>
        <v/>
      </c>
      <c r="S889">
        <f>L889-LTP3!$D$3*G889/k_n</f>
        <v/>
      </c>
      <c r="T889">
        <f>M889-LTP3!$D$3*H889/k_n</f>
        <v/>
      </c>
      <c r="U889">
        <f>N889-G889*LTP3!$D$4/k_n</f>
        <v/>
      </c>
      <c r="V889">
        <f>O889-H889*LTP3!$D$4/k_n</f>
        <v/>
      </c>
      <c r="W889">
        <f>((LTP3!$D$5)*((P889)*(Q889)-(R889)*(R889))-(S889)*((S889)*(Q889)-(R889)*(T889))+(T889)*((S889)*(R889)-(P889)*(T889)))</f>
        <v/>
      </c>
      <c r="X889">
        <f>IF(ABS(W889)&gt;1E-12,((LTP3!$D$6)*((P889)*(Q889)-(R889)*(R889))-(S889)*((U889)*(Q889)-(R889)*(V889))+(T889)*((U889)*(R889)-(P889)*(V889)))/W889,0)</f>
        <v/>
      </c>
      <c r="Y889">
        <f>IF(ABS(W889)&gt;1E-12,((LTP3!$D$5)*((U889)*(Q889)-(R889)*(V889))-(LTP3!$D$6)*((S889)*(Q889)-(R889)*(T889))+(T889)*((S889)*(V889)-(U889)*(T889)))/W889,0)</f>
        <v/>
      </c>
      <c r="Z889">
        <f>IF(ABS(W889)&gt;1E-12,((LTP3!$D$5)*((P889)*(V889)-(U889)*(R889))-(S889)*((S889)*(V889)-(U889)*(T889))+(LTP3!$D$6)*((S889)*(R889)-(P889)*(T889)))/W889,0)</f>
        <v/>
      </c>
      <c r="AA889">
        <f>LTP3!$D$7-X889*LTP3!$D$6-Y889*U889-Z889*V889</f>
        <v/>
      </c>
      <c r="AB889">
        <f>IF(AND(F889,ABS(W889)&gt;1E-12,Y889&gt;0,Z889&gt;0),AA889,1E+300)</f>
        <v/>
      </c>
    </row>
    <row r="890">
      <c r="A890">
        <f>$B$3+$B$5*14</f>
        <v/>
      </c>
      <c r="B890">
        <f>$B$3+$B$5*24</f>
        <v/>
      </c>
      <c r="C890">
        <f>SUMPRODUCT(Calc!$K$3:$K$22*(Calc!$G$3:$G$22&lt;=A890))</f>
        <v/>
      </c>
      <c r="D890">
        <f>SUMPRODUCT(Calc!$K$3:$K$22*(Calc!$G$3:$G$22&gt;A890)*(Calc!$G$3:$G$22&lt;B890))</f>
        <v/>
      </c>
      <c r="E890">
        <f>SUMPRODUCT(Calc!$K$3:$K$22*(Calc!$G$3:$G$22&gt;=B890))</f>
        <v/>
      </c>
      <c r="F890">
        <f>AND(k_n&gt;=5,B890&gt;A890+1E-9,C890&gt;=2,D890&gt;=1,E890&gt;=2)</f>
        <v/>
      </c>
      <c r="G890">
        <f>SUMPRODUCT(Calc!$K$3:$K$22*(Calc!$G$3:$G$22&gt;A890)*(Calc!$G$3:$G$22-A890))</f>
        <v/>
      </c>
      <c r="H890">
        <f>SUMPRODUCT(Calc!$K$3:$K$22*(Calc!$G$3:$G$22&gt;B890)*(Calc!$G$3:$G$22-B890))</f>
        <v/>
      </c>
      <c r="I890">
        <f>SUMPRODUCT(Calc!$K$3:$K$22*(Calc!$G$3:$G$22&gt;A890)*(Calc!$G$3:$G$22-A890)^2)</f>
        <v/>
      </c>
      <c r="J890">
        <f>SUMPRODUCT(Calc!$K$3:$K$22*(Calc!$G$3:$G$22&gt;B890)*(Calc!$G$3:$G$22-B890)^2)</f>
        <v/>
      </c>
      <c r="K890">
        <f>SUMPRODUCT(Calc!$K$3:$K$22*(Calc!$G$3:$G$22&gt;A890)*(Calc!$G$3:$G$22-A890)*(Calc!$G$3:$G$22&gt;B890)*(Calc!$G$3:$G$22-B890))</f>
        <v/>
      </c>
      <c r="L890">
        <f>SUMPRODUCT(Calc!$K$3:$K$22*(Calc!$G$3:$G$22&gt;A890)*(Calc!$G$3:$G$22-A890)*Calc!$G$3:$G$22)</f>
        <v/>
      </c>
      <c r="M890">
        <f>SUMPRODUCT(Calc!$K$3:$K$22*(Calc!$G$3:$G$22&gt;B890)*(Calc!$G$3:$G$22-B890)*Calc!$G$3:$G$22)</f>
        <v/>
      </c>
      <c r="N890">
        <f>SUMPRODUCT(Calc!$K$3:$K$22*(Calc!$G$3:$G$22&gt;A890)*(Calc!$G$3:$G$22-A890)*Calc!$I$3:$I$22)</f>
        <v/>
      </c>
      <c r="O890">
        <f>SUMPRODUCT(Calc!$K$3:$K$22*(Calc!$G$3:$G$22&gt;B890)*(Calc!$G$3:$G$22-B890)*Calc!$I$3:$I$22)</f>
        <v/>
      </c>
      <c r="P890">
        <f>I890-G890^2/k_n</f>
        <v/>
      </c>
      <c r="Q890">
        <f>J890-H890^2/k_n</f>
        <v/>
      </c>
      <c r="R890">
        <f>K890-G890*H890/k_n</f>
        <v/>
      </c>
      <c r="S890">
        <f>L890-LTP3!$D$3*G890/k_n</f>
        <v/>
      </c>
      <c r="T890">
        <f>M890-LTP3!$D$3*H890/k_n</f>
        <v/>
      </c>
      <c r="U890">
        <f>N890-G890*LTP3!$D$4/k_n</f>
        <v/>
      </c>
      <c r="V890">
        <f>O890-H890*LTP3!$D$4/k_n</f>
        <v/>
      </c>
      <c r="W890">
        <f>((LTP3!$D$5)*((P890)*(Q890)-(R890)*(R890))-(S890)*((S890)*(Q890)-(R890)*(T890))+(T890)*((S890)*(R890)-(P890)*(T890)))</f>
        <v/>
      </c>
      <c r="X890">
        <f>IF(ABS(W890)&gt;1E-12,((LTP3!$D$6)*((P890)*(Q890)-(R890)*(R890))-(S890)*((U890)*(Q890)-(R890)*(V890))+(T890)*((U890)*(R890)-(P890)*(V890)))/W890,0)</f>
        <v/>
      </c>
      <c r="Y890">
        <f>IF(ABS(W890)&gt;1E-12,((LTP3!$D$5)*((U890)*(Q890)-(R890)*(V890))-(LTP3!$D$6)*((S890)*(Q890)-(R890)*(T890))+(T890)*((S890)*(V890)-(U890)*(T890)))/W890,0)</f>
        <v/>
      </c>
      <c r="Z890">
        <f>IF(ABS(W890)&gt;1E-12,((LTP3!$D$5)*((P890)*(V890)-(U890)*(R890))-(S890)*((S890)*(V890)-(U890)*(T890))+(LTP3!$D$6)*((S890)*(R890)-(P890)*(T890)))/W890,0)</f>
        <v/>
      </c>
      <c r="AA890">
        <f>LTP3!$D$7-X890*LTP3!$D$6-Y890*U890-Z890*V890</f>
        <v/>
      </c>
      <c r="AB890">
        <f>IF(AND(F890,ABS(W890)&gt;1E-12,Y890&gt;0,Z890&gt;0),AA890,1E+300)</f>
        <v/>
      </c>
    </row>
    <row r="891">
      <c r="A891">
        <f>$B$3+$B$5*14</f>
        <v/>
      </c>
      <c r="B891">
        <f>$B$3+$B$5*25</f>
        <v/>
      </c>
      <c r="C891">
        <f>SUMPRODUCT(Calc!$K$3:$K$22*(Calc!$G$3:$G$22&lt;=A891))</f>
        <v/>
      </c>
      <c r="D891">
        <f>SUMPRODUCT(Calc!$K$3:$K$22*(Calc!$G$3:$G$22&gt;A891)*(Calc!$G$3:$G$22&lt;B891))</f>
        <v/>
      </c>
      <c r="E891">
        <f>SUMPRODUCT(Calc!$K$3:$K$22*(Calc!$G$3:$G$22&gt;=B891))</f>
        <v/>
      </c>
      <c r="F891">
        <f>AND(k_n&gt;=5,B891&gt;A891+1E-9,C891&gt;=2,D891&gt;=1,E891&gt;=2)</f>
        <v/>
      </c>
      <c r="G891">
        <f>SUMPRODUCT(Calc!$K$3:$K$22*(Calc!$G$3:$G$22&gt;A891)*(Calc!$G$3:$G$22-A891))</f>
        <v/>
      </c>
      <c r="H891">
        <f>SUMPRODUCT(Calc!$K$3:$K$22*(Calc!$G$3:$G$22&gt;B891)*(Calc!$G$3:$G$22-B891))</f>
        <v/>
      </c>
      <c r="I891">
        <f>SUMPRODUCT(Calc!$K$3:$K$22*(Calc!$G$3:$G$22&gt;A891)*(Calc!$G$3:$G$22-A891)^2)</f>
        <v/>
      </c>
      <c r="J891">
        <f>SUMPRODUCT(Calc!$K$3:$K$22*(Calc!$G$3:$G$22&gt;B891)*(Calc!$G$3:$G$22-B891)^2)</f>
        <v/>
      </c>
      <c r="K891">
        <f>SUMPRODUCT(Calc!$K$3:$K$22*(Calc!$G$3:$G$22&gt;A891)*(Calc!$G$3:$G$22-A891)*(Calc!$G$3:$G$22&gt;B891)*(Calc!$G$3:$G$22-B891))</f>
        <v/>
      </c>
      <c r="L891">
        <f>SUMPRODUCT(Calc!$K$3:$K$22*(Calc!$G$3:$G$22&gt;A891)*(Calc!$G$3:$G$22-A891)*Calc!$G$3:$G$22)</f>
        <v/>
      </c>
      <c r="M891">
        <f>SUMPRODUCT(Calc!$K$3:$K$22*(Calc!$G$3:$G$22&gt;B891)*(Calc!$G$3:$G$22-B891)*Calc!$G$3:$G$22)</f>
        <v/>
      </c>
      <c r="N891">
        <f>SUMPRODUCT(Calc!$K$3:$K$22*(Calc!$G$3:$G$22&gt;A891)*(Calc!$G$3:$G$22-A891)*Calc!$I$3:$I$22)</f>
        <v/>
      </c>
      <c r="O891">
        <f>SUMPRODUCT(Calc!$K$3:$K$22*(Calc!$G$3:$G$22&gt;B891)*(Calc!$G$3:$G$22-B891)*Calc!$I$3:$I$22)</f>
        <v/>
      </c>
      <c r="P891">
        <f>I891-G891^2/k_n</f>
        <v/>
      </c>
      <c r="Q891">
        <f>J891-H891^2/k_n</f>
        <v/>
      </c>
      <c r="R891">
        <f>K891-G891*H891/k_n</f>
        <v/>
      </c>
      <c r="S891">
        <f>L891-LTP3!$D$3*G891/k_n</f>
        <v/>
      </c>
      <c r="T891">
        <f>M891-LTP3!$D$3*H891/k_n</f>
        <v/>
      </c>
      <c r="U891">
        <f>N891-G891*LTP3!$D$4/k_n</f>
        <v/>
      </c>
      <c r="V891">
        <f>O891-H891*LTP3!$D$4/k_n</f>
        <v/>
      </c>
      <c r="W891">
        <f>((LTP3!$D$5)*((P891)*(Q891)-(R891)*(R891))-(S891)*((S891)*(Q891)-(R891)*(T891))+(T891)*((S891)*(R891)-(P891)*(T891)))</f>
        <v/>
      </c>
      <c r="X891">
        <f>IF(ABS(W891)&gt;1E-12,((LTP3!$D$6)*((P891)*(Q891)-(R891)*(R891))-(S891)*((U891)*(Q891)-(R891)*(V891))+(T891)*((U891)*(R891)-(P891)*(V891)))/W891,0)</f>
        <v/>
      </c>
      <c r="Y891">
        <f>IF(ABS(W891)&gt;1E-12,((LTP3!$D$5)*((U891)*(Q891)-(R891)*(V891))-(LTP3!$D$6)*((S891)*(Q891)-(R891)*(T891))+(T891)*((S891)*(V891)-(U891)*(T891)))/W891,0)</f>
        <v/>
      </c>
      <c r="Z891">
        <f>IF(ABS(W891)&gt;1E-12,((LTP3!$D$5)*((P891)*(V891)-(U891)*(R891))-(S891)*((S891)*(V891)-(U891)*(T891))+(LTP3!$D$6)*((S891)*(R891)-(P891)*(T891)))/W891,0)</f>
        <v/>
      </c>
      <c r="AA891">
        <f>LTP3!$D$7-X891*LTP3!$D$6-Y891*U891-Z891*V891</f>
        <v/>
      </c>
      <c r="AB891">
        <f>IF(AND(F891,ABS(W891)&gt;1E-12,Y891&gt;0,Z891&gt;0),AA891,1E+300)</f>
        <v/>
      </c>
    </row>
    <row r="892">
      <c r="A892">
        <f>$B$3+$B$5*14</f>
        <v/>
      </c>
      <c r="B892">
        <f>$B$3+$B$5*26</f>
        <v/>
      </c>
      <c r="C892">
        <f>SUMPRODUCT(Calc!$K$3:$K$22*(Calc!$G$3:$G$22&lt;=A892))</f>
        <v/>
      </c>
      <c r="D892">
        <f>SUMPRODUCT(Calc!$K$3:$K$22*(Calc!$G$3:$G$22&gt;A892)*(Calc!$G$3:$G$22&lt;B892))</f>
        <v/>
      </c>
      <c r="E892">
        <f>SUMPRODUCT(Calc!$K$3:$K$22*(Calc!$G$3:$G$22&gt;=B892))</f>
        <v/>
      </c>
      <c r="F892">
        <f>AND(k_n&gt;=5,B892&gt;A892+1E-9,C892&gt;=2,D892&gt;=1,E892&gt;=2)</f>
        <v/>
      </c>
      <c r="G892">
        <f>SUMPRODUCT(Calc!$K$3:$K$22*(Calc!$G$3:$G$22&gt;A892)*(Calc!$G$3:$G$22-A892))</f>
        <v/>
      </c>
      <c r="H892">
        <f>SUMPRODUCT(Calc!$K$3:$K$22*(Calc!$G$3:$G$22&gt;B892)*(Calc!$G$3:$G$22-B892))</f>
        <v/>
      </c>
      <c r="I892">
        <f>SUMPRODUCT(Calc!$K$3:$K$22*(Calc!$G$3:$G$22&gt;A892)*(Calc!$G$3:$G$22-A892)^2)</f>
        <v/>
      </c>
      <c r="J892">
        <f>SUMPRODUCT(Calc!$K$3:$K$22*(Calc!$G$3:$G$22&gt;B892)*(Calc!$G$3:$G$22-B892)^2)</f>
        <v/>
      </c>
      <c r="K892">
        <f>SUMPRODUCT(Calc!$K$3:$K$22*(Calc!$G$3:$G$22&gt;A892)*(Calc!$G$3:$G$22-A892)*(Calc!$G$3:$G$22&gt;B892)*(Calc!$G$3:$G$22-B892))</f>
        <v/>
      </c>
      <c r="L892">
        <f>SUMPRODUCT(Calc!$K$3:$K$22*(Calc!$G$3:$G$22&gt;A892)*(Calc!$G$3:$G$22-A892)*Calc!$G$3:$G$22)</f>
        <v/>
      </c>
      <c r="M892">
        <f>SUMPRODUCT(Calc!$K$3:$K$22*(Calc!$G$3:$G$22&gt;B892)*(Calc!$G$3:$G$22-B892)*Calc!$G$3:$G$22)</f>
        <v/>
      </c>
      <c r="N892">
        <f>SUMPRODUCT(Calc!$K$3:$K$22*(Calc!$G$3:$G$22&gt;A892)*(Calc!$G$3:$G$22-A892)*Calc!$I$3:$I$22)</f>
        <v/>
      </c>
      <c r="O892">
        <f>SUMPRODUCT(Calc!$K$3:$K$22*(Calc!$G$3:$G$22&gt;B892)*(Calc!$G$3:$G$22-B892)*Calc!$I$3:$I$22)</f>
        <v/>
      </c>
      <c r="P892">
        <f>I892-G892^2/k_n</f>
        <v/>
      </c>
      <c r="Q892">
        <f>J892-H892^2/k_n</f>
        <v/>
      </c>
      <c r="R892">
        <f>K892-G892*H892/k_n</f>
        <v/>
      </c>
      <c r="S892">
        <f>L892-LTP3!$D$3*G892/k_n</f>
        <v/>
      </c>
      <c r="T892">
        <f>M892-LTP3!$D$3*H892/k_n</f>
        <v/>
      </c>
      <c r="U892">
        <f>N892-G892*LTP3!$D$4/k_n</f>
        <v/>
      </c>
      <c r="V892">
        <f>O892-H892*LTP3!$D$4/k_n</f>
        <v/>
      </c>
      <c r="W892">
        <f>((LTP3!$D$5)*((P892)*(Q892)-(R892)*(R892))-(S892)*((S892)*(Q892)-(R892)*(T892))+(T892)*((S892)*(R892)-(P892)*(T892)))</f>
        <v/>
      </c>
      <c r="X892">
        <f>IF(ABS(W892)&gt;1E-12,((LTP3!$D$6)*((P892)*(Q892)-(R892)*(R892))-(S892)*((U892)*(Q892)-(R892)*(V892))+(T892)*((U892)*(R892)-(P892)*(V892)))/W892,0)</f>
        <v/>
      </c>
      <c r="Y892">
        <f>IF(ABS(W892)&gt;1E-12,((LTP3!$D$5)*((U892)*(Q892)-(R892)*(V892))-(LTP3!$D$6)*((S892)*(Q892)-(R892)*(T892))+(T892)*((S892)*(V892)-(U892)*(T892)))/W892,0)</f>
        <v/>
      </c>
      <c r="Z892">
        <f>IF(ABS(W892)&gt;1E-12,((LTP3!$D$5)*((P892)*(V892)-(U892)*(R892))-(S892)*((S892)*(V892)-(U892)*(T892))+(LTP3!$D$6)*((S892)*(R892)-(P892)*(T892)))/W892,0)</f>
        <v/>
      </c>
      <c r="AA892">
        <f>LTP3!$D$7-X892*LTP3!$D$6-Y892*U892-Z892*V892</f>
        <v/>
      </c>
      <c r="AB892">
        <f>IF(AND(F892,ABS(W892)&gt;1E-12,Y892&gt;0,Z892&gt;0),AA892,1E+300)</f>
        <v/>
      </c>
    </row>
    <row r="893">
      <c r="A893">
        <f>$B$3+$B$5*14</f>
        <v/>
      </c>
      <c r="B893">
        <f>$B$3+$B$5*27</f>
        <v/>
      </c>
      <c r="C893">
        <f>SUMPRODUCT(Calc!$K$3:$K$22*(Calc!$G$3:$G$22&lt;=A893))</f>
        <v/>
      </c>
      <c r="D893">
        <f>SUMPRODUCT(Calc!$K$3:$K$22*(Calc!$G$3:$G$22&gt;A893)*(Calc!$G$3:$G$22&lt;B893))</f>
        <v/>
      </c>
      <c r="E893">
        <f>SUMPRODUCT(Calc!$K$3:$K$22*(Calc!$G$3:$G$22&gt;=B893))</f>
        <v/>
      </c>
      <c r="F893">
        <f>AND(k_n&gt;=5,B893&gt;A893+1E-9,C893&gt;=2,D893&gt;=1,E893&gt;=2)</f>
        <v/>
      </c>
      <c r="G893">
        <f>SUMPRODUCT(Calc!$K$3:$K$22*(Calc!$G$3:$G$22&gt;A893)*(Calc!$G$3:$G$22-A893))</f>
        <v/>
      </c>
      <c r="H893">
        <f>SUMPRODUCT(Calc!$K$3:$K$22*(Calc!$G$3:$G$22&gt;B893)*(Calc!$G$3:$G$22-B893))</f>
        <v/>
      </c>
      <c r="I893">
        <f>SUMPRODUCT(Calc!$K$3:$K$22*(Calc!$G$3:$G$22&gt;A893)*(Calc!$G$3:$G$22-A893)^2)</f>
        <v/>
      </c>
      <c r="J893">
        <f>SUMPRODUCT(Calc!$K$3:$K$22*(Calc!$G$3:$G$22&gt;B893)*(Calc!$G$3:$G$22-B893)^2)</f>
        <v/>
      </c>
      <c r="K893">
        <f>SUMPRODUCT(Calc!$K$3:$K$22*(Calc!$G$3:$G$22&gt;A893)*(Calc!$G$3:$G$22-A893)*(Calc!$G$3:$G$22&gt;B893)*(Calc!$G$3:$G$22-B893))</f>
        <v/>
      </c>
      <c r="L893">
        <f>SUMPRODUCT(Calc!$K$3:$K$22*(Calc!$G$3:$G$22&gt;A893)*(Calc!$G$3:$G$22-A893)*Calc!$G$3:$G$22)</f>
        <v/>
      </c>
      <c r="M893">
        <f>SUMPRODUCT(Calc!$K$3:$K$22*(Calc!$G$3:$G$22&gt;B893)*(Calc!$G$3:$G$22-B893)*Calc!$G$3:$G$22)</f>
        <v/>
      </c>
      <c r="N893">
        <f>SUMPRODUCT(Calc!$K$3:$K$22*(Calc!$G$3:$G$22&gt;A893)*(Calc!$G$3:$G$22-A893)*Calc!$I$3:$I$22)</f>
        <v/>
      </c>
      <c r="O893">
        <f>SUMPRODUCT(Calc!$K$3:$K$22*(Calc!$G$3:$G$22&gt;B893)*(Calc!$G$3:$G$22-B893)*Calc!$I$3:$I$22)</f>
        <v/>
      </c>
      <c r="P893">
        <f>I893-G893^2/k_n</f>
        <v/>
      </c>
      <c r="Q893">
        <f>J893-H893^2/k_n</f>
        <v/>
      </c>
      <c r="R893">
        <f>K893-G893*H893/k_n</f>
        <v/>
      </c>
      <c r="S893">
        <f>L893-LTP3!$D$3*G893/k_n</f>
        <v/>
      </c>
      <c r="T893">
        <f>M893-LTP3!$D$3*H893/k_n</f>
        <v/>
      </c>
      <c r="U893">
        <f>N893-G893*LTP3!$D$4/k_n</f>
        <v/>
      </c>
      <c r="V893">
        <f>O893-H893*LTP3!$D$4/k_n</f>
        <v/>
      </c>
      <c r="W893">
        <f>((LTP3!$D$5)*((P893)*(Q893)-(R893)*(R893))-(S893)*((S893)*(Q893)-(R893)*(T893))+(T893)*((S893)*(R893)-(P893)*(T893)))</f>
        <v/>
      </c>
      <c r="X893">
        <f>IF(ABS(W893)&gt;1E-12,((LTP3!$D$6)*((P893)*(Q893)-(R893)*(R893))-(S893)*((U893)*(Q893)-(R893)*(V893))+(T893)*((U893)*(R893)-(P893)*(V893)))/W893,0)</f>
        <v/>
      </c>
      <c r="Y893">
        <f>IF(ABS(W893)&gt;1E-12,((LTP3!$D$5)*((U893)*(Q893)-(R893)*(V893))-(LTP3!$D$6)*((S893)*(Q893)-(R893)*(T893))+(T893)*((S893)*(V893)-(U893)*(T893)))/W893,0)</f>
        <v/>
      </c>
      <c r="Z893">
        <f>IF(ABS(W893)&gt;1E-12,((LTP3!$D$5)*((P893)*(V893)-(U893)*(R893))-(S893)*((S893)*(V893)-(U893)*(T893))+(LTP3!$D$6)*((S893)*(R893)-(P893)*(T893)))/W893,0)</f>
        <v/>
      </c>
      <c r="AA893">
        <f>LTP3!$D$7-X893*LTP3!$D$6-Y893*U893-Z893*V893</f>
        <v/>
      </c>
      <c r="AB893">
        <f>IF(AND(F893,ABS(W893)&gt;1E-12,Y893&gt;0,Z893&gt;0),AA893,1E+300)</f>
        <v/>
      </c>
    </row>
    <row r="894">
      <c r="A894">
        <f>$B$3+$B$5*14</f>
        <v/>
      </c>
      <c r="B894">
        <f>$B$3+$B$5*28</f>
        <v/>
      </c>
      <c r="C894">
        <f>SUMPRODUCT(Calc!$K$3:$K$22*(Calc!$G$3:$G$22&lt;=A894))</f>
        <v/>
      </c>
      <c r="D894">
        <f>SUMPRODUCT(Calc!$K$3:$K$22*(Calc!$G$3:$G$22&gt;A894)*(Calc!$G$3:$G$22&lt;B894))</f>
        <v/>
      </c>
      <c r="E894">
        <f>SUMPRODUCT(Calc!$K$3:$K$22*(Calc!$G$3:$G$22&gt;=B894))</f>
        <v/>
      </c>
      <c r="F894">
        <f>AND(k_n&gt;=5,B894&gt;A894+1E-9,C894&gt;=2,D894&gt;=1,E894&gt;=2)</f>
        <v/>
      </c>
      <c r="G894">
        <f>SUMPRODUCT(Calc!$K$3:$K$22*(Calc!$G$3:$G$22&gt;A894)*(Calc!$G$3:$G$22-A894))</f>
        <v/>
      </c>
      <c r="H894">
        <f>SUMPRODUCT(Calc!$K$3:$K$22*(Calc!$G$3:$G$22&gt;B894)*(Calc!$G$3:$G$22-B894))</f>
        <v/>
      </c>
      <c r="I894">
        <f>SUMPRODUCT(Calc!$K$3:$K$22*(Calc!$G$3:$G$22&gt;A894)*(Calc!$G$3:$G$22-A894)^2)</f>
        <v/>
      </c>
      <c r="J894">
        <f>SUMPRODUCT(Calc!$K$3:$K$22*(Calc!$G$3:$G$22&gt;B894)*(Calc!$G$3:$G$22-B894)^2)</f>
        <v/>
      </c>
      <c r="K894">
        <f>SUMPRODUCT(Calc!$K$3:$K$22*(Calc!$G$3:$G$22&gt;A894)*(Calc!$G$3:$G$22-A894)*(Calc!$G$3:$G$22&gt;B894)*(Calc!$G$3:$G$22-B894))</f>
        <v/>
      </c>
      <c r="L894">
        <f>SUMPRODUCT(Calc!$K$3:$K$22*(Calc!$G$3:$G$22&gt;A894)*(Calc!$G$3:$G$22-A894)*Calc!$G$3:$G$22)</f>
        <v/>
      </c>
      <c r="M894">
        <f>SUMPRODUCT(Calc!$K$3:$K$22*(Calc!$G$3:$G$22&gt;B894)*(Calc!$G$3:$G$22-B894)*Calc!$G$3:$G$22)</f>
        <v/>
      </c>
      <c r="N894">
        <f>SUMPRODUCT(Calc!$K$3:$K$22*(Calc!$G$3:$G$22&gt;A894)*(Calc!$G$3:$G$22-A894)*Calc!$I$3:$I$22)</f>
        <v/>
      </c>
      <c r="O894">
        <f>SUMPRODUCT(Calc!$K$3:$K$22*(Calc!$G$3:$G$22&gt;B894)*(Calc!$G$3:$G$22-B894)*Calc!$I$3:$I$22)</f>
        <v/>
      </c>
      <c r="P894">
        <f>I894-G894^2/k_n</f>
        <v/>
      </c>
      <c r="Q894">
        <f>J894-H894^2/k_n</f>
        <v/>
      </c>
      <c r="R894">
        <f>K894-G894*H894/k_n</f>
        <v/>
      </c>
      <c r="S894">
        <f>L894-LTP3!$D$3*G894/k_n</f>
        <v/>
      </c>
      <c r="T894">
        <f>M894-LTP3!$D$3*H894/k_n</f>
        <v/>
      </c>
      <c r="U894">
        <f>N894-G894*LTP3!$D$4/k_n</f>
        <v/>
      </c>
      <c r="V894">
        <f>O894-H894*LTP3!$D$4/k_n</f>
        <v/>
      </c>
      <c r="W894">
        <f>((LTP3!$D$5)*((P894)*(Q894)-(R894)*(R894))-(S894)*((S894)*(Q894)-(R894)*(T894))+(T894)*((S894)*(R894)-(P894)*(T894)))</f>
        <v/>
      </c>
      <c r="X894">
        <f>IF(ABS(W894)&gt;1E-12,((LTP3!$D$6)*((P894)*(Q894)-(R894)*(R894))-(S894)*((U894)*(Q894)-(R894)*(V894))+(T894)*((U894)*(R894)-(P894)*(V894)))/W894,0)</f>
        <v/>
      </c>
      <c r="Y894">
        <f>IF(ABS(W894)&gt;1E-12,((LTP3!$D$5)*((U894)*(Q894)-(R894)*(V894))-(LTP3!$D$6)*((S894)*(Q894)-(R894)*(T894))+(T894)*((S894)*(V894)-(U894)*(T894)))/W894,0)</f>
        <v/>
      </c>
      <c r="Z894">
        <f>IF(ABS(W894)&gt;1E-12,((LTP3!$D$5)*((P894)*(V894)-(U894)*(R894))-(S894)*((S894)*(V894)-(U894)*(T894))+(LTP3!$D$6)*((S894)*(R894)-(P894)*(T894)))/W894,0)</f>
        <v/>
      </c>
      <c r="AA894">
        <f>LTP3!$D$7-X894*LTP3!$D$6-Y894*U894-Z894*V894</f>
        <v/>
      </c>
      <c r="AB894">
        <f>IF(AND(F894,ABS(W894)&gt;1E-12,Y894&gt;0,Z894&gt;0),AA894,1E+300)</f>
        <v/>
      </c>
    </row>
    <row r="895">
      <c r="A895">
        <f>$B$3+$B$5*14</f>
        <v/>
      </c>
      <c r="B895">
        <f>$B$3+$B$5*29</f>
        <v/>
      </c>
      <c r="C895">
        <f>SUMPRODUCT(Calc!$K$3:$K$22*(Calc!$G$3:$G$22&lt;=A895))</f>
        <v/>
      </c>
      <c r="D895">
        <f>SUMPRODUCT(Calc!$K$3:$K$22*(Calc!$G$3:$G$22&gt;A895)*(Calc!$G$3:$G$22&lt;B895))</f>
        <v/>
      </c>
      <c r="E895">
        <f>SUMPRODUCT(Calc!$K$3:$K$22*(Calc!$G$3:$G$22&gt;=B895))</f>
        <v/>
      </c>
      <c r="F895">
        <f>AND(k_n&gt;=5,B895&gt;A895+1E-9,C895&gt;=2,D895&gt;=1,E895&gt;=2)</f>
        <v/>
      </c>
      <c r="G895">
        <f>SUMPRODUCT(Calc!$K$3:$K$22*(Calc!$G$3:$G$22&gt;A895)*(Calc!$G$3:$G$22-A895))</f>
        <v/>
      </c>
      <c r="H895">
        <f>SUMPRODUCT(Calc!$K$3:$K$22*(Calc!$G$3:$G$22&gt;B895)*(Calc!$G$3:$G$22-B895))</f>
        <v/>
      </c>
      <c r="I895">
        <f>SUMPRODUCT(Calc!$K$3:$K$22*(Calc!$G$3:$G$22&gt;A895)*(Calc!$G$3:$G$22-A895)^2)</f>
        <v/>
      </c>
      <c r="J895">
        <f>SUMPRODUCT(Calc!$K$3:$K$22*(Calc!$G$3:$G$22&gt;B895)*(Calc!$G$3:$G$22-B895)^2)</f>
        <v/>
      </c>
      <c r="K895">
        <f>SUMPRODUCT(Calc!$K$3:$K$22*(Calc!$G$3:$G$22&gt;A895)*(Calc!$G$3:$G$22-A895)*(Calc!$G$3:$G$22&gt;B895)*(Calc!$G$3:$G$22-B895))</f>
        <v/>
      </c>
      <c r="L895">
        <f>SUMPRODUCT(Calc!$K$3:$K$22*(Calc!$G$3:$G$22&gt;A895)*(Calc!$G$3:$G$22-A895)*Calc!$G$3:$G$22)</f>
        <v/>
      </c>
      <c r="M895">
        <f>SUMPRODUCT(Calc!$K$3:$K$22*(Calc!$G$3:$G$22&gt;B895)*(Calc!$G$3:$G$22-B895)*Calc!$G$3:$G$22)</f>
        <v/>
      </c>
      <c r="N895">
        <f>SUMPRODUCT(Calc!$K$3:$K$22*(Calc!$G$3:$G$22&gt;A895)*(Calc!$G$3:$G$22-A895)*Calc!$I$3:$I$22)</f>
        <v/>
      </c>
      <c r="O895">
        <f>SUMPRODUCT(Calc!$K$3:$K$22*(Calc!$G$3:$G$22&gt;B895)*(Calc!$G$3:$G$22-B895)*Calc!$I$3:$I$22)</f>
        <v/>
      </c>
      <c r="P895">
        <f>I895-G895^2/k_n</f>
        <v/>
      </c>
      <c r="Q895">
        <f>J895-H895^2/k_n</f>
        <v/>
      </c>
      <c r="R895">
        <f>K895-G895*H895/k_n</f>
        <v/>
      </c>
      <c r="S895">
        <f>L895-LTP3!$D$3*G895/k_n</f>
        <v/>
      </c>
      <c r="T895">
        <f>M895-LTP3!$D$3*H895/k_n</f>
        <v/>
      </c>
      <c r="U895">
        <f>N895-G895*LTP3!$D$4/k_n</f>
        <v/>
      </c>
      <c r="V895">
        <f>O895-H895*LTP3!$D$4/k_n</f>
        <v/>
      </c>
      <c r="W895">
        <f>((LTP3!$D$5)*((P895)*(Q895)-(R895)*(R895))-(S895)*((S895)*(Q895)-(R895)*(T895))+(T895)*((S895)*(R895)-(P895)*(T895)))</f>
        <v/>
      </c>
      <c r="X895">
        <f>IF(ABS(W895)&gt;1E-12,((LTP3!$D$6)*((P895)*(Q895)-(R895)*(R895))-(S895)*((U895)*(Q895)-(R895)*(V895))+(T895)*((U895)*(R895)-(P895)*(V895)))/W895,0)</f>
        <v/>
      </c>
      <c r="Y895">
        <f>IF(ABS(W895)&gt;1E-12,((LTP3!$D$5)*((U895)*(Q895)-(R895)*(V895))-(LTP3!$D$6)*((S895)*(Q895)-(R895)*(T895))+(T895)*((S895)*(V895)-(U895)*(T895)))/W895,0)</f>
        <v/>
      </c>
      <c r="Z895">
        <f>IF(ABS(W895)&gt;1E-12,((LTP3!$D$5)*((P895)*(V895)-(U895)*(R895))-(S895)*((S895)*(V895)-(U895)*(T895))+(LTP3!$D$6)*((S895)*(R895)-(P895)*(T895)))/W895,0)</f>
        <v/>
      </c>
      <c r="AA895">
        <f>LTP3!$D$7-X895*LTP3!$D$6-Y895*U895-Z895*V895</f>
        <v/>
      </c>
      <c r="AB895">
        <f>IF(AND(F895,ABS(W895)&gt;1E-12,Y895&gt;0,Z895&gt;0),AA895,1E+300)</f>
        <v/>
      </c>
    </row>
    <row r="896">
      <c r="A896">
        <f>$B$3+$B$5*14</f>
        <v/>
      </c>
      <c r="B896">
        <f>$B$3+$B$5*30</f>
        <v/>
      </c>
      <c r="C896">
        <f>SUMPRODUCT(Calc!$K$3:$K$22*(Calc!$G$3:$G$22&lt;=A896))</f>
        <v/>
      </c>
      <c r="D896">
        <f>SUMPRODUCT(Calc!$K$3:$K$22*(Calc!$G$3:$G$22&gt;A896)*(Calc!$G$3:$G$22&lt;B896))</f>
        <v/>
      </c>
      <c r="E896">
        <f>SUMPRODUCT(Calc!$K$3:$K$22*(Calc!$G$3:$G$22&gt;=B896))</f>
        <v/>
      </c>
      <c r="F896">
        <f>AND(k_n&gt;=5,B896&gt;A896+1E-9,C896&gt;=2,D896&gt;=1,E896&gt;=2)</f>
        <v/>
      </c>
      <c r="G896">
        <f>SUMPRODUCT(Calc!$K$3:$K$22*(Calc!$G$3:$G$22&gt;A896)*(Calc!$G$3:$G$22-A896))</f>
        <v/>
      </c>
      <c r="H896">
        <f>SUMPRODUCT(Calc!$K$3:$K$22*(Calc!$G$3:$G$22&gt;B896)*(Calc!$G$3:$G$22-B896))</f>
        <v/>
      </c>
      <c r="I896">
        <f>SUMPRODUCT(Calc!$K$3:$K$22*(Calc!$G$3:$G$22&gt;A896)*(Calc!$G$3:$G$22-A896)^2)</f>
        <v/>
      </c>
      <c r="J896">
        <f>SUMPRODUCT(Calc!$K$3:$K$22*(Calc!$G$3:$G$22&gt;B896)*(Calc!$G$3:$G$22-B896)^2)</f>
        <v/>
      </c>
      <c r="K896">
        <f>SUMPRODUCT(Calc!$K$3:$K$22*(Calc!$G$3:$G$22&gt;A896)*(Calc!$G$3:$G$22-A896)*(Calc!$G$3:$G$22&gt;B896)*(Calc!$G$3:$G$22-B896))</f>
        <v/>
      </c>
      <c r="L896">
        <f>SUMPRODUCT(Calc!$K$3:$K$22*(Calc!$G$3:$G$22&gt;A896)*(Calc!$G$3:$G$22-A896)*Calc!$G$3:$G$22)</f>
        <v/>
      </c>
      <c r="M896">
        <f>SUMPRODUCT(Calc!$K$3:$K$22*(Calc!$G$3:$G$22&gt;B896)*(Calc!$G$3:$G$22-B896)*Calc!$G$3:$G$22)</f>
        <v/>
      </c>
      <c r="N896">
        <f>SUMPRODUCT(Calc!$K$3:$K$22*(Calc!$G$3:$G$22&gt;A896)*(Calc!$G$3:$G$22-A896)*Calc!$I$3:$I$22)</f>
        <v/>
      </c>
      <c r="O896">
        <f>SUMPRODUCT(Calc!$K$3:$K$22*(Calc!$G$3:$G$22&gt;B896)*(Calc!$G$3:$G$22-B896)*Calc!$I$3:$I$22)</f>
        <v/>
      </c>
      <c r="P896">
        <f>I896-G896^2/k_n</f>
        <v/>
      </c>
      <c r="Q896">
        <f>J896-H896^2/k_n</f>
        <v/>
      </c>
      <c r="R896">
        <f>K896-G896*H896/k_n</f>
        <v/>
      </c>
      <c r="S896">
        <f>L896-LTP3!$D$3*G896/k_n</f>
        <v/>
      </c>
      <c r="T896">
        <f>M896-LTP3!$D$3*H896/k_n</f>
        <v/>
      </c>
      <c r="U896">
        <f>N896-G896*LTP3!$D$4/k_n</f>
        <v/>
      </c>
      <c r="V896">
        <f>O896-H896*LTP3!$D$4/k_n</f>
        <v/>
      </c>
      <c r="W896">
        <f>((LTP3!$D$5)*((P896)*(Q896)-(R896)*(R896))-(S896)*((S896)*(Q896)-(R896)*(T896))+(T896)*((S896)*(R896)-(P896)*(T896)))</f>
        <v/>
      </c>
      <c r="X896">
        <f>IF(ABS(W896)&gt;1E-12,((LTP3!$D$6)*((P896)*(Q896)-(R896)*(R896))-(S896)*((U896)*(Q896)-(R896)*(V896))+(T896)*((U896)*(R896)-(P896)*(V896)))/W896,0)</f>
        <v/>
      </c>
      <c r="Y896">
        <f>IF(ABS(W896)&gt;1E-12,((LTP3!$D$5)*((U896)*(Q896)-(R896)*(V896))-(LTP3!$D$6)*((S896)*(Q896)-(R896)*(T896))+(T896)*((S896)*(V896)-(U896)*(T896)))/W896,0)</f>
        <v/>
      </c>
      <c r="Z896">
        <f>IF(ABS(W896)&gt;1E-12,((LTP3!$D$5)*((P896)*(V896)-(U896)*(R896))-(S896)*((S896)*(V896)-(U896)*(T896))+(LTP3!$D$6)*((S896)*(R896)-(P896)*(T896)))/W896,0)</f>
        <v/>
      </c>
      <c r="AA896">
        <f>LTP3!$D$7-X896*LTP3!$D$6-Y896*U896-Z896*V896</f>
        <v/>
      </c>
      <c r="AB896">
        <f>IF(AND(F896,ABS(W896)&gt;1E-12,Y896&gt;0,Z896&gt;0),AA896,1E+300)</f>
        <v/>
      </c>
    </row>
    <row r="897">
      <c r="A897">
        <f>$B$3+$B$5*14</f>
        <v/>
      </c>
      <c r="B897">
        <f>$B$3+$B$5*31</f>
        <v/>
      </c>
      <c r="C897">
        <f>SUMPRODUCT(Calc!$K$3:$K$22*(Calc!$G$3:$G$22&lt;=A897))</f>
        <v/>
      </c>
      <c r="D897">
        <f>SUMPRODUCT(Calc!$K$3:$K$22*(Calc!$G$3:$G$22&gt;A897)*(Calc!$G$3:$G$22&lt;B897))</f>
        <v/>
      </c>
      <c r="E897">
        <f>SUMPRODUCT(Calc!$K$3:$K$22*(Calc!$G$3:$G$22&gt;=B897))</f>
        <v/>
      </c>
      <c r="F897">
        <f>AND(k_n&gt;=5,B897&gt;A897+1E-9,C897&gt;=2,D897&gt;=1,E897&gt;=2)</f>
        <v/>
      </c>
      <c r="G897">
        <f>SUMPRODUCT(Calc!$K$3:$K$22*(Calc!$G$3:$G$22&gt;A897)*(Calc!$G$3:$G$22-A897))</f>
        <v/>
      </c>
      <c r="H897">
        <f>SUMPRODUCT(Calc!$K$3:$K$22*(Calc!$G$3:$G$22&gt;B897)*(Calc!$G$3:$G$22-B897))</f>
        <v/>
      </c>
      <c r="I897">
        <f>SUMPRODUCT(Calc!$K$3:$K$22*(Calc!$G$3:$G$22&gt;A897)*(Calc!$G$3:$G$22-A897)^2)</f>
        <v/>
      </c>
      <c r="J897">
        <f>SUMPRODUCT(Calc!$K$3:$K$22*(Calc!$G$3:$G$22&gt;B897)*(Calc!$G$3:$G$22-B897)^2)</f>
        <v/>
      </c>
      <c r="K897">
        <f>SUMPRODUCT(Calc!$K$3:$K$22*(Calc!$G$3:$G$22&gt;A897)*(Calc!$G$3:$G$22-A897)*(Calc!$G$3:$G$22&gt;B897)*(Calc!$G$3:$G$22-B897))</f>
        <v/>
      </c>
      <c r="L897">
        <f>SUMPRODUCT(Calc!$K$3:$K$22*(Calc!$G$3:$G$22&gt;A897)*(Calc!$G$3:$G$22-A897)*Calc!$G$3:$G$22)</f>
        <v/>
      </c>
      <c r="M897">
        <f>SUMPRODUCT(Calc!$K$3:$K$22*(Calc!$G$3:$G$22&gt;B897)*(Calc!$G$3:$G$22-B897)*Calc!$G$3:$G$22)</f>
        <v/>
      </c>
      <c r="N897">
        <f>SUMPRODUCT(Calc!$K$3:$K$22*(Calc!$G$3:$G$22&gt;A897)*(Calc!$G$3:$G$22-A897)*Calc!$I$3:$I$22)</f>
        <v/>
      </c>
      <c r="O897">
        <f>SUMPRODUCT(Calc!$K$3:$K$22*(Calc!$G$3:$G$22&gt;B897)*(Calc!$G$3:$G$22-B897)*Calc!$I$3:$I$22)</f>
        <v/>
      </c>
      <c r="P897">
        <f>I897-G897^2/k_n</f>
        <v/>
      </c>
      <c r="Q897">
        <f>J897-H897^2/k_n</f>
        <v/>
      </c>
      <c r="R897">
        <f>K897-G897*H897/k_n</f>
        <v/>
      </c>
      <c r="S897">
        <f>L897-LTP3!$D$3*G897/k_n</f>
        <v/>
      </c>
      <c r="T897">
        <f>M897-LTP3!$D$3*H897/k_n</f>
        <v/>
      </c>
      <c r="U897">
        <f>N897-G897*LTP3!$D$4/k_n</f>
        <v/>
      </c>
      <c r="V897">
        <f>O897-H897*LTP3!$D$4/k_n</f>
        <v/>
      </c>
      <c r="W897">
        <f>((LTP3!$D$5)*((P897)*(Q897)-(R897)*(R897))-(S897)*((S897)*(Q897)-(R897)*(T897))+(T897)*((S897)*(R897)-(P897)*(T897)))</f>
        <v/>
      </c>
      <c r="X897">
        <f>IF(ABS(W897)&gt;1E-12,((LTP3!$D$6)*((P897)*(Q897)-(R897)*(R897))-(S897)*((U897)*(Q897)-(R897)*(V897))+(T897)*((U897)*(R897)-(P897)*(V897)))/W897,0)</f>
        <v/>
      </c>
      <c r="Y897">
        <f>IF(ABS(W897)&gt;1E-12,((LTP3!$D$5)*((U897)*(Q897)-(R897)*(V897))-(LTP3!$D$6)*((S897)*(Q897)-(R897)*(T897))+(T897)*((S897)*(V897)-(U897)*(T897)))/W897,0)</f>
        <v/>
      </c>
      <c r="Z897">
        <f>IF(ABS(W897)&gt;1E-12,((LTP3!$D$5)*((P897)*(V897)-(U897)*(R897))-(S897)*((S897)*(V897)-(U897)*(T897))+(LTP3!$D$6)*((S897)*(R897)-(P897)*(T897)))/W897,0)</f>
        <v/>
      </c>
      <c r="AA897">
        <f>LTP3!$D$7-X897*LTP3!$D$6-Y897*U897-Z897*V897</f>
        <v/>
      </c>
      <c r="AB897">
        <f>IF(AND(F897,ABS(W897)&gt;1E-12,Y897&gt;0,Z897&gt;0),AA897,1E+300)</f>
        <v/>
      </c>
    </row>
    <row r="898">
      <c r="A898">
        <f>$B$3+$B$5*14</f>
        <v/>
      </c>
      <c r="B898">
        <f>$B$3+$B$5*32</f>
        <v/>
      </c>
      <c r="C898">
        <f>SUMPRODUCT(Calc!$K$3:$K$22*(Calc!$G$3:$G$22&lt;=A898))</f>
        <v/>
      </c>
      <c r="D898">
        <f>SUMPRODUCT(Calc!$K$3:$K$22*(Calc!$G$3:$G$22&gt;A898)*(Calc!$G$3:$G$22&lt;B898))</f>
        <v/>
      </c>
      <c r="E898">
        <f>SUMPRODUCT(Calc!$K$3:$K$22*(Calc!$G$3:$G$22&gt;=B898))</f>
        <v/>
      </c>
      <c r="F898">
        <f>AND(k_n&gt;=5,B898&gt;A898+1E-9,C898&gt;=2,D898&gt;=1,E898&gt;=2)</f>
        <v/>
      </c>
      <c r="G898">
        <f>SUMPRODUCT(Calc!$K$3:$K$22*(Calc!$G$3:$G$22&gt;A898)*(Calc!$G$3:$G$22-A898))</f>
        <v/>
      </c>
      <c r="H898">
        <f>SUMPRODUCT(Calc!$K$3:$K$22*(Calc!$G$3:$G$22&gt;B898)*(Calc!$G$3:$G$22-B898))</f>
        <v/>
      </c>
      <c r="I898">
        <f>SUMPRODUCT(Calc!$K$3:$K$22*(Calc!$G$3:$G$22&gt;A898)*(Calc!$G$3:$G$22-A898)^2)</f>
        <v/>
      </c>
      <c r="J898">
        <f>SUMPRODUCT(Calc!$K$3:$K$22*(Calc!$G$3:$G$22&gt;B898)*(Calc!$G$3:$G$22-B898)^2)</f>
        <v/>
      </c>
      <c r="K898">
        <f>SUMPRODUCT(Calc!$K$3:$K$22*(Calc!$G$3:$G$22&gt;A898)*(Calc!$G$3:$G$22-A898)*(Calc!$G$3:$G$22&gt;B898)*(Calc!$G$3:$G$22-B898))</f>
        <v/>
      </c>
      <c r="L898">
        <f>SUMPRODUCT(Calc!$K$3:$K$22*(Calc!$G$3:$G$22&gt;A898)*(Calc!$G$3:$G$22-A898)*Calc!$G$3:$G$22)</f>
        <v/>
      </c>
      <c r="M898">
        <f>SUMPRODUCT(Calc!$K$3:$K$22*(Calc!$G$3:$G$22&gt;B898)*(Calc!$G$3:$G$22-B898)*Calc!$G$3:$G$22)</f>
        <v/>
      </c>
      <c r="N898">
        <f>SUMPRODUCT(Calc!$K$3:$K$22*(Calc!$G$3:$G$22&gt;A898)*(Calc!$G$3:$G$22-A898)*Calc!$I$3:$I$22)</f>
        <v/>
      </c>
      <c r="O898">
        <f>SUMPRODUCT(Calc!$K$3:$K$22*(Calc!$G$3:$G$22&gt;B898)*(Calc!$G$3:$G$22-B898)*Calc!$I$3:$I$22)</f>
        <v/>
      </c>
      <c r="P898">
        <f>I898-G898^2/k_n</f>
        <v/>
      </c>
      <c r="Q898">
        <f>J898-H898^2/k_n</f>
        <v/>
      </c>
      <c r="R898">
        <f>K898-G898*H898/k_n</f>
        <v/>
      </c>
      <c r="S898">
        <f>L898-LTP3!$D$3*G898/k_n</f>
        <v/>
      </c>
      <c r="T898">
        <f>M898-LTP3!$D$3*H898/k_n</f>
        <v/>
      </c>
      <c r="U898">
        <f>N898-G898*LTP3!$D$4/k_n</f>
        <v/>
      </c>
      <c r="V898">
        <f>O898-H898*LTP3!$D$4/k_n</f>
        <v/>
      </c>
      <c r="W898">
        <f>((LTP3!$D$5)*((P898)*(Q898)-(R898)*(R898))-(S898)*((S898)*(Q898)-(R898)*(T898))+(T898)*((S898)*(R898)-(P898)*(T898)))</f>
        <v/>
      </c>
      <c r="X898">
        <f>IF(ABS(W898)&gt;1E-12,((LTP3!$D$6)*((P898)*(Q898)-(R898)*(R898))-(S898)*((U898)*(Q898)-(R898)*(V898))+(T898)*((U898)*(R898)-(P898)*(V898)))/W898,0)</f>
        <v/>
      </c>
      <c r="Y898">
        <f>IF(ABS(W898)&gt;1E-12,((LTP3!$D$5)*((U898)*(Q898)-(R898)*(V898))-(LTP3!$D$6)*((S898)*(Q898)-(R898)*(T898))+(T898)*((S898)*(V898)-(U898)*(T898)))/W898,0)</f>
        <v/>
      </c>
      <c r="Z898">
        <f>IF(ABS(W898)&gt;1E-12,((LTP3!$D$5)*((P898)*(V898)-(U898)*(R898))-(S898)*((S898)*(V898)-(U898)*(T898))+(LTP3!$D$6)*((S898)*(R898)-(P898)*(T898)))/W898,0)</f>
        <v/>
      </c>
      <c r="AA898">
        <f>LTP3!$D$7-X898*LTP3!$D$6-Y898*U898-Z898*V898</f>
        <v/>
      </c>
      <c r="AB898">
        <f>IF(AND(F898,ABS(W898)&gt;1E-12,Y898&gt;0,Z898&gt;0),AA898,1E+300)</f>
        <v/>
      </c>
    </row>
    <row r="899">
      <c r="A899">
        <f>$B$3+$B$5*14</f>
        <v/>
      </c>
      <c r="B899">
        <f>$B$3+$B$5*33</f>
        <v/>
      </c>
      <c r="C899">
        <f>SUMPRODUCT(Calc!$K$3:$K$22*(Calc!$G$3:$G$22&lt;=A899))</f>
        <v/>
      </c>
      <c r="D899">
        <f>SUMPRODUCT(Calc!$K$3:$K$22*(Calc!$G$3:$G$22&gt;A899)*(Calc!$G$3:$G$22&lt;B899))</f>
        <v/>
      </c>
      <c r="E899">
        <f>SUMPRODUCT(Calc!$K$3:$K$22*(Calc!$G$3:$G$22&gt;=B899))</f>
        <v/>
      </c>
      <c r="F899">
        <f>AND(k_n&gt;=5,B899&gt;A899+1E-9,C899&gt;=2,D899&gt;=1,E899&gt;=2)</f>
        <v/>
      </c>
      <c r="G899">
        <f>SUMPRODUCT(Calc!$K$3:$K$22*(Calc!$G$3:$G$22&gt;A899)*(Calc!$G$3:$G$22-A899))</f>
        <v/>
      </c>
      <c r="H899">
        <f>SUMPRODUCT(Calc!$K$3:$K$22*(Calc!$G$3:$G$22&gt;B899)*(Calc!$G$3:$G$22-B899))</f>
        <v/>
      </c>
      <c r="I899">
        <f>SUMPRODUCT(Calc!$K$3:$K$22*(Calc!$G$3:$G$22&gt;A899)*(Calc!$G$3:$G$22-A899)^2)</f>
        <v/>
      </c>
      <c r="J899">
        <f>SUMPRODUCT(Calc!$K$3:$K$22*(Calc!$G$3:$G$22&gt;B899)*(Calc!$G$3:$G$22-B899)^2)</f>
        <v/>
      </c>
      <c r="K899">
        <f>SUMPRODUCT(Calc!$K$3:$K$22*(Calc!$G$3:$G$22&gt;A899)*(Calc!$G$3:$G$22-A899)*(Calc!$G$3:$G$22&gt;B899)*(Calc!$G$3:$G$22-B899))</f>
        <v/>
      </c>
      <c r="L899">
        <f>SUMPRODUCT(Calc!$K$3:$K$22*(Calc!$G$3:$G$22&gt;A899)*(Calc!$G$3:$G$22-A899)*Calc!$G$3:$G$22)</f>
        <v/>
      </c>
      <c r="M899">
        <f>SUMPRODUCT(Calc!$K$3:$K$22*(Calc!$G$3:$G$22&gt;B899)*(Calc!$G$3:$G$22-B899)*Calc!$G$3:$G$22)</f>
        <v/>
      </c>
      <c r="N899">
        <f>SUMPRODUCT(Calc!$K$3:$K$22*(Calc!$G$3:$G$22&gt;A899)*(Calc!$G$3:$G$22-A899)*Calc!$I$3:$I$22)</f>
        <v/>
      </c>
      <c r="O899">
        <f>SUMPRODUCT(Calc!$K$3:$K$22*(Calc!$G$3:$G$22&gt;B899)*(Calc!$G$3:$G$22-B899)*Calc!$I$3:$I$22)</f>
        <v/>
      </c>
      <c r="P899">
        <f>I899-G899^2/k_n</f>
        <v/>
      </c>
      <c r="Q899">
        <f>J899-H899^2/k_n</f>
        <v/>
      </c>
      <c r="R899">
        <f>K899-G899*H899/k_n</f>
        <v/>
      </c>
      <c r="S899">
        <f>L899-LTP3!$D$3*G899/k_n</f>
        <v/>
      </c>
      <c r="T899">
        <f>M899-LTP3!$D$3*H899/k_n</f>
        <v/>
      </c>
      <c r="U899">
        <f>N899-G899*LTP3!$D$4/k_n</f>
        <v/>
      </c>
      <c r="V899">
        <f>O899-H899*LTP3!$D$4/k_n</f>
        <v/>
      </c>
      <c r="W899">
        <f>((LTP3!$D$5)*((P899)*(Q899)-(R899)*(R899))-(S899)*((S899)*(Q899)-(R899)*(T899))+(T899)*((S899)*(R899)-(P899)*(T899)))</f>
        <v/>
      </c>
      <c r="X899">
        <f>IF(ABS(W899)&gt;1E-12,((LTP3!$D$6)*((P899)*(Q899)-(R899)*(R899))-(S899)*((U899)*(Q899)-(R899)*(V899))+(T899)*((U899)*(R899)-(P899)*(V899)))/W899,0)</f>
        <v/>
      </c>
      <c r="Y899">
        <f>IF(ABS(W899)&gt;1E-12,((LTP3!$D$5)*((U899)*(Q899)-(R899)*(V899))-(LTP3!$D$6)*((S899)*(Q899)-(R899)*(T899))+(T899)*((S899)*(V899)-(U899)*(T899)))/W899,0)</f>
        <v/>
      </c>
      <c r="Z899">
        <f>IF(ABS(W899)&gt;1E-12,((LTP3!$D$5)*((P899)*(V899)-(U899)*(R899))-(S899)*((S899)*(V899)-(U899)*(T899))+(LTP3!$D$6)*((S899)*(R899)-(P899)*(T899)))/W899,0)</f>
        <v/>
      </c>
      <c r="AA899">
        <f>LTP3!$D$7-X899*LTP3!$D$6-Y899*U899-Z899*V899</f>
        <v/>
      </c>
      <c r="AB899">
        <f>IF(AND(F899,ABS(W899)&gt;1E-12,Y899&gt;0,Z899&gt;0),AA899,1E+300)</f>
        <v/>
      </c>
    </row>
    <row r="900">
      <c r="A900">
        <f>$B$3+$B$5*14</f>
        <v/>
      </c>
      <c r="B900">
        <f>$B$3+$B$5*34</f>
        <v/>
      </c>
      <c r="C900">
        <f>SUMPRODUCT(Calc!$K$3:$K$22*(Calc!$G$3:$G$22&lt;=A900))</f>
        <v/>
      </c>
      <c r="D900">
        <f>SUMPRODUCT(Calc!$K$3:$K$22*(Calc!$G$3:$G$22&gt;A900)*(Calc!$G$3:$G$22&lt;B900))</f>
        <v/>
      </c>
      <c r="E900">
        <f>SUMPRODUCT(Calc!$K$3:$K$22*(Calc!$G$3:$G$22&gt;=B900))</f>
        <v/>
      </c>
      <c r="F900">
        <f>AND(k_n&gt;=5,B900&gt;A900+1E-9,C900&gt;=2,D900&gt;=1,E900&gt;=2)</f>
        <v/>
      </c>
      <c r="G900">
        <f>SUMPRODUCT(Calc!$K$3:$K$22*(Calc!$G$3:$G$22&gt;A900)*(Calc!$G$3:$G$22-A900))</f>
        <v/>
      </c>
      <c r="H900">
        <f>SUMPRODUCT(Calc!$K$3:$K$22*(Calc!$G$3:$G$22&gt;B900)*(Calc!$G$3:$G$22-B900))</f>
        <v/>
      </c>
      <c r="I900">
        <f>SUMPRODUCT(Calc!$K$3:$K$22*(Calc!$G$3:$G$22&gt;A900)*(Calc!$G$3:$G$22-A900)^2)</f>
        <v/>
      </c>
      <c r="J900">
        <f>SUMPRODUCT(Calc!$K$3:$K$22*(Calc!$G$3:$G$22&gt;B900)*(Calc!$G$3:$G$22-B900)^2)</f>
        <v/>
      </c>
      <c r="K900">
        <f>SUMPRODUCT(Calc!$K$3:$K$22*(Calc!$G$3:$G$22&gt;A900)*(Calc!$G$3:$G$22-A900)*(Calc!$G$3:$G$22&gt;B900)*(Calc!$G$3:$G$22-B900))</f>
        <v/>
      </c>
      <c r="L900">
        <f>SUMPRODUCT(Calc!$K$3:$K$22*(Calc!$G$3:$G$22&gt;A900)*(Calc!$G$3:$G$22-A900)*Calc!$G$3:$G$22)</f>
        <v/>
      </c>
      <c r="M900">
        <f>SUMPRODUCT(Calc!$K$3:$K$22*(Calc!$G$3:$G$22&gt;B900)*(Calc!$G$3:$G$22-B900)*Calc!$G$3:$G$22)</f>
        <v/>
      </c>
      <c r="N900">
        <f>SUMPRODUCT(Calc!$K$3:$K$22*(Calc!$G$3:$G$22&gt;A900)*(Calc!$G$3:$G$22-A900)*Calc!$I$3:$I$22)</f>
        <v/>
      </c>
      <c r="O900">
        <f>SUMPRODUCT(Calc!$K$3:$K$22*(Calc!$G$3:$G$22&gt;B900)*(Calc!$G$3:$G$22-B900)*Calc!$I$3:$I$22)</f>
        <v/>
      </c>
      <c r="P900">
        <f>I900-G900^2/k_n</f>
        <v/>
      </c>
      <c r="Q900">
        <f>J900-H900^2/k_n</f>
        <v/>
      </c>
      <c r="R900">
        <f>K900-G900*H900/k_n</f>
        <v/>
      </c>
      <c r="S900">
        <f>L900-LTP3!$D$3*G900/k_n</f>
        <v/>
      </c>
      <c r="T900">
        <f>M900-LTP3!$D$3*H900/k_n</f>
        <v/>
      </c>
      <c r="U900">
        <f>N900-G900*LTP3!$D$4/k_n</f>
        <v/>
      </c>
      <c r="V900">
        <f>O900-H900*LTP3!$D$4/k_n</f>
        <v/>
      </c>
      <c r="W900">
        <f>((LTP3!$D$5)*((P900)*(Q900)-(R900)*(R900))-(S900)*((S900)*(Q900)-(R900)*(T900))+(T900)*((S900)*(R900)-(P900)*(T900)))</f>
        <v/>
      </c>
      <c r="X900">
        <f>IF(ABS(W900)&gt;1E-12,((LTP3!$D$6)*((P900)*(Q900)-(R900)*(R900))-(S900)*((U900)*(Q900)-(R900)*(V900))+(T900)*((U900)*(R900)-(P900)*(V900)))/W900,0)</f>
        <v/>
      </c>
      <c r="Y900">
        <f>IF(ABS(W900)&gt;1E-12,((LTP3!$D$5)*((U900)*(Q900)-(R900)*(V900))-(LTP3!$D$6)*((S900)*(Q900)-(R900)*(T900))+(T900)*((S900)*(V900)-(U900)*(T900)))/W900,0)</f>
        <v/>
      </c>
      <c r="Z900">
        <f>IF(ABS(W900)&gt;1E-12,((LTP3!$D$5)*((P900)*(V900)-(U900)*(R900))-(S900)*((S900)*(V900)-(U900)*(T900))+(LTP3!$D$6)*((S900)*(R900)-(P900)*(T900)))/W900,0)</f>
        <v/>
      </c>
      <c r="AA900">
        <f>LTP3!$D$7-X900*LTP3!$D$6-Y900*U900-Z900*V900</f>
        <v/>
      </c>
      <c r="AB900">
        <f>IF(AND(F900,ABS(W900)&gt;1E-12,Y900&gt;0,Z900&gt;0),AA900,1E+300)</f>
        <v/>
      </c>
    </row>
    <row r="901">
      <c r="A901">
        <f>$B$3+$B$5*14</f>
        <v/>
      </c>
      <c r="B901">
        <f>$B$3+$B$5*35</f>
        <v/>
      </c>
      <c r="C901">
        <f>SUMPRODUCT(Calc!$K$3:$K$22*(Calc!$G$3:$G$22&lt;=A901))</f>
        <v/>
      </c>
      <c r="D901">
        <f>SUMPRODUCT(Calc!$K$3:$K$22*(Calc!$G$3:$G$22&gt;A901)*(Calc!$G$3:$G$22&lt;B901))</f>
        <v/>
      </c>
      <c r="E901">
        <f>SUMPRODUCT(Calc!$K$3:$K$22*(Calc!$G$3:$G$22&gt;=B901))</f>
        <v/>
      </c>
      <c r="F901">
        <f>AND(k_n&gt;=5,B901&gt;A901+1E-9,C901&gt;=2,D901&gt;=1,E901&gt;=2)</f>
        <v/>
      </c>
      <c r="G901">
        <f>SUMPRODUCT(Calc!$K$3:$K$22*(Calc!$G$3:$G$22&gt;A901)*(Calc!$G$3:$G$22-A901))</f>
        <v/>
      </c>
      <c r="H901">
        <f>SUMPRODUCT(Calc!$K$3:$K$22*(Calc!$G$3:$G$22&gt;B901)*(Calc!$G$3:$G$22-B901))</f>
        <v/>
      </c>
      <c r="I901">
        <f>SUMPRODUCT(Calc!$K$3:$K$22*(Calc!$G$3:$G$22&gt;A901)*(Calc!$G$3:$G$22-A901)^2)</f>
        <v/>
      </c>
      <c r="J901">
        <f>SUMPRODUCT(Calc!$K$3:$K$22*(Calc!$G$3:$G$22&gt;B901)*(Calc!$G$3:$G$22-B901)^2)</f>
        <v/>
      </c>
      <c r="K901">
        <f>SUMPRODUCT(Calc!$K$3:$K$22*(Calc!$G$3:$G$22&gt;A901)*(Calc!$G$3:$G$22-A901)*(Calc!$G$3:$G$22&gt;B901)*(Calc!$G$3:$G$22-B901))</f>
        <v/>
      </c>
      <c r="L901">
        <f>SUMPRODUCT(Calc!$K$3:$K$22*(Calc!$G$3:$G$22&gt;A901)*(Calc!$G$3:$G$22-A901)*Calc!$G$3:$G$22)</f>
        <v/>
      </c>
      <c r="M901">
        <f>SUMPRODUCT(Calc!$K$3:$K$22*(Calc!$G$3:$G$22&gt;B901)*(Calc!$G$3:$G$22-B901)*Calc!$G$3:$G$22)</f>
        <v/>
      </c>
      <c r="N901">
        <f>SUMPRODUCT(Calc!$K$3:$K$22*(Calc!$G$3:$G$22&gt;A901)*(Calc!$G$3:$G$22-A901)*Calc!$I$3:$I$22)</f>
        <v/>
      </c>
      <c r="O901">
        <f>SUMPRODUCT(Calc!$K$3:$K$22*(Calc!$G$3:$G$22&gt;B901)*(Calc!$G$3:$G$22-B901)*Calc!$I$3:$I$22)</f>
        <v/>
      </c>
      <c r="P901">
        <f>I901-G901^2/k_n</f>
        <v/>
      </c>
      <c r="Q901">
        <f>J901-H901^2/k_n</f>
        <v/>
      </c>
      <c r="R901">
        <f>K901-G901*H901/k_n</f>
        <v/>
      </c>
      <c r="S901">
        <f>L901-LTP3!$D$3*G901/k_n</f>
        <v/>
      </c>
      <c r="T901">
        <f>M901-LTP3!$D$3*H901/k_n</f>
        <v/>
      </c>
      <c r="U901">
        <f>N901-G901*LTP3!$D$4/k_n</f>
        <v/>
      </c>
      <c r="V901">
        <f>O901-H901*LTP3!$D$4/k_n</f>
        <v/>
      </c>
      <c r="W901">
        <f>((LTP3!$D$5)*((P901)*(Q901)-(R901)*(R901))-(S901)*((S901)*(Q901)-(R901)*(T901))+(T901)*((S901)*(R901)-(P901)*(T901)))</f>
        <v/>
      </c>
      <c r="X901">
        <f>IF(ABS(W901)&gt;1E-12,((LTP3!$D$6)*((P901)*(Q901)-(R901)*(R901))-(S901)*((U901)*(Q901)-(R901)*(V901))+(T901)*((U901)*(R901)-(P901)*(V901)))/W901,0)</f>
        <v/>
      </c>
      <c r="Y901">
        <f>IF(ABS(W901)&gt;1E-12,((LTP3!$D$5)*((U901)*(Q901)-(R901)*(V901))-(LTP3!$D$6)*((S901)*(Q901)-(R901)*(T901))+(T901)*((S901)*(V901)-(U901)*(T901)))/W901,0)</f>
        <v/>
      </c>
      <c r="Z901">
        <f>IF(ABS(W901)&gt;1E-12,((LTP3!$D$5)*((P901)*(V901)-(U901)*(R901))-(S901)*((S901)*(V901)-(U901)*(T901))+(LTP3!$D$6)*((S901)*(R901)-(P901)*(T901)))/W901,0)</f>
        <v/>
      </c>
      <c r="AA901">
        <f>LTP3!$D$7-X901*LTP3!$D$6-Y901*U901-Z901*V901</f>
        <v/>
      </c>
      <c r="AB901">
        <f>IF(AND(F901,ABS(W901)&gt;1E-12,Y901&gt;0,Z901&gt;0),AA901,1E+300)</f>
        <v/>
      </c>
    </row>
    <row r="902">
      <c r="A902">
        <f>$B$3+$B$5*14</f>
        <v/>
      </c>
      <c r="B902">
        <f>$B$3+$B$5*36</f>
        <v/>
      </c>
      <c r="C902">
        <f>SUMPRODUCT(Calc!$K$3:$K$22*(Calc!$G$3:$G$22&lt;=A902))</f>
        <v/>
      </c>
      <c r="D902">
        <f>SUMPRODUCT(Calc!$K$3:$K$22*(Calc!$G$3:$G$22&gt;A902)*(Calc!$G$3:$G$22&lt;B902))</f>
        <v/>
      </c>
      <c r="E902">
        <f>SUMPRODUCT(Calc!$K$3:$K$22*(Calc!$G$3:$G$22&gt;=B902))</f>
        <v/>
      </c>
      <c r="F902">
        <f>AND(k_n&gt;=5,B902&gt;A902+1E-9,C902&gt;=2,D902&gt;=1,E902&gt;=2)</f>
        <v/>
      </c>
      <c r="G902">
        <f>SUMPRODUCT(Calc!$K$3:$K$22*(Calc!$G$3:$G$22&gt;A902)*(Calc!$G$3:$G$22-A902))</f>
        <v/>
      </c>
      <c r="H902">
        <f>SUMPRODUCT(Calc!$K$3:$K$22*(Calc!$G$3:$G$22&gt;B902)*(Calc!$G$3:$G$22-B902))</f>
        <v/>
      </c>
      <c r="I902">
        <f>SUMPRODUCT(Calc!$K$3:$K$22*(Calc!$G$3:$G$22&gt;A902)*(Calc!$G$3:$G$22-A902)^2)</f>
        <v/>
      </c>
      <c r="J902">
        <f>SUMPRODUCT(Calc!$K$3:$K$22*(Calc!$G$3:$G$22&gt;B902)*(Calc!$G$3:$G$22-B902)^2)</f>
        <v/>
      </c>
      <c r="K902">
        <f>SUMPRODUCT(Calc!$K$3:$K$22*(Calc!$G$3:$G$22&gt;A902)*(Calc!$G$3:$G$22-A902)*(Calc!$G$3:$G$22&gt;B902)*(Calc!$G$3:$G$22-B902))</f>
        <v/>
      </c>
      <c r="L902">
        <f>SUMPRODUCT(Calc!$K$3:$K$22*(Calc!$G$3:$G$22&gt;A902)*(Calc!$G$3:$G$22-A902)*Calc!$G$3:$G$22)</f>
        <v/>
      </c>
      <c r="M902">
        <f>SUMPRODUCT(Calc!$K$3:$K$22*(Calc!$G$3:$G$22&gt;B902)*(Calc!$G$3:$G$22-B902)*Calc!$G$3:$G$22)</f>
        <v/>
      </c>
      <c r="N902">
        <f>SUMPRODUCT(Calc!$K$3:$K$22*(Calc!$G$3:$G$22&gt;A902)*(Calc!$G$3:$G$22-A902)*Calc!$I$3:$I$22)</f>
        <v/>
      </c>
      <c r="O902">
        <f>SUMPRODUCT(Calc!$K$3:$K$22*(Calc!$G$3:$G$22&gt;B902)*(Calc!$G$3:$G$22-B902)*Calc!$I$3:$I$22)</f>
        <v/>
      </c>
      <c r="P902">
        <f>I902-G902^2/k_n</f>
        <v/>
      </c>
      <c r="Q902">
        <f>J902-H902^2/k_n</f>
        <v/>
      </c>
      <c r="R902">
        <f>K902-G902*H902/k_n</f>
        <v/>
      </c>
      <c r="S902">
        <f>L902-LTP3!$D$3*G902/k_n</f>
        <v/>
      </c>
      <c r="T902">
        <f>M902-LTP3!$D$3*H902/k_n</f>
        <v/>
      </c>
      <c r="U902">
        <f>N902-G902*LTP3!$D$4/k_n</f>
        <v/>
      </c>
      <c r="V902">
        <f>O902-H902*LTP3!$D$4/k_n</f>
        <v/>
      </c>
      <c r="W902">
        <f>((LTP3!$D$5)*((P902)*(Q902)-(R902)*(R902))-(S902)*((S902)*(Q902)-(R902)*(T902))+(T902)*((S902)*(R902)-(P902)*(T902)))</f>
        <v/>
      </c>
      <c r="X902">
        <f>IF(ABS(W902)&gt;1E-12,((LTP3!$D$6)*((P902)*(Q902)-(R902)*(R902))-(S902)*((U902)*(Q902)-(R902)*(V902))+(T902)*((U902)*(R902)-(P902)*(V902)))/W902,0)</f>
        <v/>
      </c>
      <c r="Y902">
        <f>IF(ABS(W902)&gt;1E-12,((LTP3!$D$5)*((U902)*(Q902)-(R902)*(V902))-(LTP3!$D$6)*((S902)*(Q902)-(R902)*(T902))+(T902)*((S902)*(V902)-(U902)*(T902)))/W902,0)</f>
        <v/>
      </c>
      <c r="Z902">
        <f>IF(ABS(W902)&gt;1E-12,((LTP3!$D$5)*((P902)*(V902)-(U902)*(R902))-(S902)*((S902)*(V902)-(U902)*(T902))+(LTP3!$D$6)*((S902)*(R902)-(P902)*(T902)))/W902,0)</f>
        <v/>
      </c>
      <c r="AA902">
        <f>LTP3!$D$7-X902*LTP3!$D$6-Y902*U902-Z902*V902</f>
        <v/>
      </c>
      <c r="AB902">
        <f>IF(AND(F902,ABS(W902)&gt;1E-12,Y902&gt;0,Z902&gt;0),AA902,1E+300)</f>
        <v/>
      </c>
    </row>
    <row r="903">
      <c r="A903">
        <f>$B$3+$B$5*14</f>
        <v/>
      </c>
      <c r="B903">
        <f>$B$3+$B$5*37</f>
        <v/>
      </c>
      <c r="C903">
        <f>SUMPRODUCT(Calc!$K$3:$K$22*(Calc!$G$3:$G$22&lt;=A903))</f>
        <v/>
      </c>
      <c r="D903">
        <f>SUMPRODUCT(Calc!$K$3:$K$22*(Calc!$G$3:$G$22&gt;A903)*(Calc!$G$3:$G$22&lt;B903))</f>
        <v/>
      </c>
      <c r="E903">
        <f>SUMPRODUCT(Calc!$K$3:$K$22*(Calc!$G$3:$G$22&gt;=B903))</f>
        <v/>
      </c>
      <c r="F903">
        <f>AND(k_n&gt;=5,B903&gt;A903+1E-9,C903&gt;=2,D903&gt;=1,E903&gt;=2)</f>
        <v/>
      </c>
      <c r="G903">
        <f>SUMPRODUCT(Calc!$K$3:$K$22*(Calc!$G$3:$G$22&gt;A903)*(Calc!$G$3:$G$22-A903))</f>
        <v/>
      </c>
      <c r="H903">
        <f>SUMPRODUCT(Calc!$K$3:$K$22*(Calc!$G$3:$G$22&gt;B903)*(Calc!$G$3:$G$22-B903))</f>
        <v/>
      </c>
      <c r="I903">
        <f>SUMPRODUCT(Calc!$K$3:$K$22*(Calc!$G$3:$G$22&gt;A903)*(Calc!$G$3:$G$22-A903)^2)</f>
        <v/>
      </c>
      <c r="J903">
        <f>SUMPRODUCT(Calc!$K$3:$K$22*(Calc!$G$3:$G$22&gt;B903)*(Calc!$G$3:$G$22-B903)^2)</f>
        <v/>
      </c>
      <c r="K903">
        <f>SUMPRODUCT(Calc!$K$3:$K$22*(Calc!$G$3:$G$22&gt;A903)*(Calc!$G$3:$G$22-A903)*(Calc!$G$3:$G$22&gt;B903)*(Calc!$G$3:$G$22-B903))</f>
        <v/>
      </c>
      <c r="L903">
        <f>SUMPRODUCT(Calc!$K$3:$K$22*(Calc!$G$3:$G$22&gt;A903)*(Calc!$G$3:$G$22-A903)*Calc!$G$3:$G$22)</f>
        <v/>
      </c>
      <c r="M903">
        <f>SUMPRODUCT(Calc!$K$3:$K$22*(Calc!$G$3:$G$22&gt;B903)*(Calc!$G$3:$G$22-B903)*Calc!$G$3:$G$22)</f>
        <v/>
      </c>
      <c r="N903">
        <f>SUMPRODUCT(Calc!$K$3:$K$22*(Calc!$G$3:$G$22&gt;A903)*(Calc!$G$3:$G$22-A903)*Calc!$I$3:$I$22)</f>
        <v/>
      </c>
      <c r="O903">
        <f>SUMPRODUCT(Calc!$K$3:$K$22*(Calc!$G$3:$G$22&gt;B903)*(Calc!$G$3:$G$22-B903)*Calc!$I$3:$I$22)</f>
        <v/>
      </c>
      <c r="P903">
        <f>I903-G903^2/k_n</f>
        <v/>
      </c>
      <c r="Q903">
        <f>J903-H903^2/k_n</f>
        <v/>
      </c>
      <c r="R903">
        <f>K903-G903*H903/k_n</f>
        <v/>
      </c>
      <c r="S903">
        <f>L903-LTP3!$D$3*G903/k_n</f>
        <v/>
      </c>
      <c r="T903">
        <f>M903-LTP3!$D$3*H903/k_n</f>
        <v/>
      </c>
      <c r="U903">
        <f>N903-G903*LTP3!$D$4/k_n</f>
        <v/>
      </c>
      <c r="V903">
        <f>O903-H903*LTP3!$D$4/k_n</f>
        <v/>
      </c>
      <c r="W903">
        <f>((LTP3!$D$5)*((P903)*(Q903)-(R903)*(R903))-(S903)*((S903)*(Q903)-(R903)*(T903))+(T903)*((S903)*(R903)-(P903)*(T903)))</f>
        <v/>
      </c>
      <c r="X903">
        <f>IF(ABS(W903)&gt;1E-12,((LTP3!$D$6)*((P903)*(Q903)-(R903)*(R903))-(S903)*((U903)*(Q903)-(R903)*(V903))+(T903)*((U903)*(R903)-(P903)*(V903)))/W903,0)</f>
        <v/>
      </c>
      <c r="Y903">
        <f>IF(ABS(W903)&gt;1E-12,((LTP3!$D$5)*((U903)*(Q903)-(R903)*(V903))-(LTP3!$D$6)*((S903)*(Q903)-(R903)*(T903))+(T903)*((S903)*(V903)-(U903)*(T903)))/W903,0)</f>
        <v/>
      </c>
      <c r="Z903">
        <f>IF(ABS(W903)&gt;1E-12,((LTP3!$D$5)*((P903)*(V903)-(U903)*(R903))-(S903)*((S903)*(V903)-(U903)*(T903))+(LTP3!$D$6)*((S903)*(R903)-(P903)*(T903)))/W903,0)</f>
        <v/>
      </c>
      <c r="AA903">
        <f>LTP3!$D$7-X903*LTP3!$D$6-Y903*U903-Z903*V903</f>
        <v/>
      </c>
      <c r="AB903">
        <f>IF(AND(F903,ABS(W903)&gt;1E-12,Y903&gt;0,Z903&gt;0),AA903,1E+300)</f>
        <v/>
      </c>
    </row>
    <row r="904">
      <c r="A904">
        <f>$B$3+$B$5*14</f>
        <v/>
      </c>
      <c r="B904">
        <f>$B$3+$B$5*38</f>
        <v/>
      </c>
      <c r="C904">
        <f>SUMPRODUCT(Calc!$K$3:$K$22*(Calc!$G$3:$G$22&lt;=A904))</f>
        <v/>
      </c>
      <c r="D904">
        <f>SUMPRODUCT(Calc!$K$3:$K$22*(Calc!$G$3:$G$22&gt;A904)*(Calc!$G$3:$G$22&lt;B904))</f>
        <v/>
      </c>
      <c r="E904">
        <f>SUMPRODUCT(Calc!$K$3:$K$22*(Calc!$G$3:$G$22&gt;=B904))</f>
        <v/>
      </c>
      <c r="F904">
        <f>AND(k_n&gt;=5,B904&gt;A904+1E-9,C904&gt;=2,D904&gt;=1,E904&gt;=2)</f>
        <v/>
      </c>
      <c r="G904">
        <f>SUMPRODUCT(Calc!$K$3:$K$22*(Calc!$G$3:$G$22&gt;A904)*(Calc!$G$3:$G$22-A904))</f>
        <v/>
      </c>
      <c r="H904">
        <f>SUMPRODUCT(Calc!$K$3:$K$22*(Calc!$G$3:$G$22&gt;B904)*(Calc!$G$3:$G$22-B904))</f>
        <v/>
      </c>
      <c r="I904">
        <f>SUMPRODUCT(Calc!$K$3:$K$22*(Calc!$G$3:$G$22&gt;A904)*(Calc!$G$3:$G$22-A904)^2)</f>
        <v/>
      </c>
      <c r="J904">
        <f>SUMPRODUCT(Calc!$K$3:$K$22*(Calc!$G$3:$G$22&gt;B904)*(Calc!$G$3:$G$22-B904)^2)</f>
        <v/>
      </c>
      <c r="K904">
        <f>SUMPRODUCT(Calc!$K$3:$K$22*(Calc!$G$3:$G$22&gt;A904)*(Calc!$G$3:$G$22-A904)*(Calc!$G$3:$G$22&gt;B904)*(Calc!$G$3:$G$22-B904))</f>
        <v/>
      </c>
      <c r="L904">
        <f>SUMPRODUCT(Calc!$K$3:$K$22*(Calc!$G$3:$G$22&gt;A904)*(Calc!$G$3:$G$22-A904)*Calc!$G$3:$G$22)</f>
        <v/>
      </c>
      <c r="M904">
        <f>SUMPRODUCT(Calc!$K$3:$K$22*(Calc!$G$3:$G$22&gt;B904)*(Calc!$G$3:$G$22-B904)*Calc!$G$3:$G$22)</f>
        <v/>
      </c>
      <c r="N904">
        <f>SUMPRODUCT(Calc!$K$3:$K$22*(Calc!$G$3:$G$22&gt;A904)*(Calc!$G$3:$G$22-A904)*Calc!$I$3:$I$22)</f>
        <v/>
      </c>
      <c r="O904">
        <f>SUMPRODUCT(Calc!$K$3:$K$22*(Calc!$G$3:$G$22&gt;B904)*(Calc!$G$3:$G$22-B904)*Calc!$I$3:$I$22)</f>
        <v/>
      </c>
      <c r="P904">
        <f>I904-G904^2/k_n</f>
        <v/>
      </c>
      <c r="Q904">
        <f>J904-H904^2/k_n</f>
        <v/>
      </c>
      <c r="R904">
        <f>K904-G904*H904/k_n</f>
        <v/>
      </c>
      <c r="S904">
        <f>L904-LTP3!$D$3*G904/k_n</f>
        <v/>
      </c>
      <c r="T904">
        <f>M904-LTP3!$D$3*H904/k_n</f>
        <v/>
      </c>
      <c r="U904">
        <f>N904-G904*LTP3!$D$4/k_n</f>
        <v/>
      </c>
      <c r="V904">
        <f>O904-H904*LTP3!$D$4/k_n</f>
        <v/>
      </c>
      <c r="W904">
        <f>((LTP3!$D$5)*((P904)*(Q904)-(R904)*(R904))-(S904)*((S904)*(Q904)-(R904)*(T904))+(T904)*((S904)*(R904)-(P904)*(T904)))</f>
        <v/>
      </c>
      <c r="X904">
        <f>IF(ABS(W904)&gt;1E-12,((LTP3!$D$6)*((P904)*(Q904)-(R904)*(R904))-(S904)*((U904)*(Q904)-(R904)*(V904))+(T904)*((U904)*(R904)-(P904)*(V904)))/W904,0)</f>
        <v/>
      </c>
      <c r="Y904">
        <f>IF(ABS(W904)&gt;1E-12,((LTP3!$D$5)*((U904)*(Q904)-(R904)*(V904))-(LTP3!$D$6)*((S904)*(Q904)-(R904)*(T904))+(T904)*((S904)*(V904)-(U904)*(T904)))/W904,0)</f>
        <v/>
      </c>
      <c r="Z904">
        <f>IF(ABS(W904)&gt;1E-12,((LTP3!$D$5)*((P904)*(V904)-(U904)*(R904))-(S904)*((S904)*(V904)-(U904)*(T904))+(LTP3!$D$6)*((S904)*(R904)-(P904)*(T904)))/W904,0)</f>
        <v/>
      </c>
      <c r="AA904">
        <f>LTP3!$D$7-X904*LTP3!$D$6-Y904*U904-Z904*V904</f>
        <v/>
      </c>
      <c r="AB904">
        <f>IF(AND(F904,ABS(W904)&gt;1E-12,Y904&gt;0,Z904&gt;0),AA904,1E+300)</f>
        <v/>
      </c>
    </row>
    <row r="905">
      <c r="A905">
        <f>$B$3+$B$5*14</f>
        <v/>
      </c>
      <c r="B905">
        <f>$B$3+$B$5*39</f>
        <v/>
      </c>
      <c r="C905">
        <f>SUMPRODUCT(Calc!$K$3:$K$22*(Calc!$G$3:$G$22&lt;=A905))</f>
        <v/>
      </c>
      <c r="D905">
        <f>SUMPRODUCT(Calc!$K$3:$K$22*(Calc!$G$3:$G$22&gt;A905)*(Calc!$G$3:$G$22&lt;B905))</f>
        <v/>
      </c>
      <c r="E905">
        <f>SUMPRODUCT(Calc!$K$3:$K$22*(Calc!$G$3:$G$22&gt;=B905))</f>
        <v/>
      </c>
      <c r="F905">
        <f>AND(k_n&gt;=5,B905&gt;A905+1E-9,C905&gt;=2,D905&gt;=1,E905&gt;=2)</f>
        <v/>
      </c>
      <c r="G905">
        <f>SUMPRODUCT(Calc!$K$3:$K$22*(Calc!$G$3:$G$22&gt;A905)*(Calc!$G$3:$G$22-A905))</f>
        <v/>
      </c>
      <c r="H905">
        <f>SUMPRODUCT(Calc!$K$3:$K$22*(Calc!$G$3:$G$22&gt;B905)*(Calc!$G$3:$G$22-B905))</f>
        <v/>
      </c>
      <c r="I905">
        <f>SUMPRODUCT(Calc!$K$3:$K$22*(Calc!$G$3:$G$22&gt;A905)*(Calc!$G$3:$G$22-A905)^2)</f>
        <v/>
      </c>
      <c r="J905">
        <f>SUMPRODUCT(Calc!$K$3:$K$22*(Calc!$G$3:$G$22&gt;B905)*(Calc!$G$3:$G$22-B905)^2)</f>
        <v/>
      </c>
      <c r="K905">
        <f>SUMPRODUCT(Calc!$K$3:$K$22*(Calc!$G$3:$G$22&gt;A905)*(Calc!$G$3:$G$22-A905)*(Calc!$G$3:$G$22&gt;B905)*(Calc!$G$3:$G$22-B905))</f>
        <v/>
      </c>
      <c r="L905">
        <f>SUMPRODUCT(Calc!$K$3:$K$22*(Calc!$G$3:$G$22&gt;A905)*(Calc!$G$3:$G$22-A905)*Calc!$G$3:$G$22)</f>
        <v/>
      </c>
      <c r="M905">
        <f>SUMPRODUCT(Calc!$K$3:$K$22*(Calc!$G$3:$G$22&gt;B905)*(Calc!$G$3:$G$22-B905)*Calc!$G$3:$G$22)</f>
        <v/>
      </c>
      <c r="N905">
        <f>SUMPRODUCT(Calc!$K$3:$K$22*(Calc!$G$3:$G$22&gt;A905)*(Calc!$G$3:$G$22-A905)*Calc!$I$3:$I$22)</f>
        <v/>
      </c>
      <c r="O905">
        <f>SUMPRODUCT(Calc!$K$3:$K$22*(Calc!$G$3:$G$22&gt;B905)*(Calc!$G$3:$G$22-B905)*Calc!$I$3:$I$22)</f>
        <v/>
      </c>
      <c r="P905">
        <f>I905-G905^2/k_n</f>
        <v/>
      </c>
      <c r="Q905">
        <f>J905-H905^2/k_n</f>
        <v/>
      </c>
      <c r="R905">
        <f>K905-G905*H905/k_n</f>
        <v/>
      </c>
      <c r="S905">
        <f>L905-LTP3!$D$3*G905/k_n</f>
        <v/>
      </c>
      <c r="T905">
        <f>M905-LTP3!$D$3*H905/k_n</f>
        <v/>
      </c>
      <c r="U905">
        <f>N905-G905*LTP3!$D$4/k_n</f>
        <v/>
      </c>
      <c r="V905">
        <f>O905-H905*LTP3!$D$4/k_n</f>
        <v/>
      </c>
      <c r="W905">
        <f>((LTP3!$D$5)*((P905)*(Q905)-(R905)*(R905))-(S905)*((S905)*(Q905)-(R905)*(T905))+(T905)*((S905)*(R905)-(P905)*(T905)))</f>
        <v/>
      </c>
      <c r="X905">
        <f>IF(ABS(W905)&gt;1E-12,((LTP3!$D$6)*((P905)*(Q905)-(R905)*(R905))-(S905)*((U905)*(Q905)-(R905)*(V905))+(T905)*((U905)*(R905)-(P905)*(V905)))/W905,0)</f>
        <v/>
      </c>
      <c r="Y905">
        <f>IF(ABS(W905)&gt;1E-12,((LTP3!$D$5)*((U905)*(Q905)-(R905)*(V905))-(LTP3!$D$6)*((S905)*(Q905)-(R905)*(T905))+(T905)*((S905)*(V905)-(U905)*(T905)))/W905,0)</f>
        <v/>
      </c>
      <c r="Z905">
        <f>IF(ABS(W905)&gt;1E-12,((LTP3!$D$5)*((P905)*(V905)-(U905)*(R905))-(S905)*((S905)*(V905)-(U905)*(T905))+(LTP3!$D$6)*((S905)*(R905)-(P905)*(T905)))/W905,0)</f>
        <v/>
      </c>
      <c r="AA905">
        <f>LTP3!$D$7-X905*LTP3!$D$6-Y905*U905-Z905*V905</f>
        <v/>
      </c>
      <c r="AB905">
        <f>IF(AND(F905,ABS(W905)&gt;1E-12,Y905&gt;0,Z905&gt;0),AA905,1E+300)</f>
        <v/>
      </c>
    </row>
    <row r="906">
      <c r="A906">
        <f>$B$3+$B$5*14</f>
        <v/>
      </c>
      <c r="B906">
        <f>$B$3+$B$5*40</f>
        <v/>
      </c>
      <c r="C906">
        <f>SUMPRODUCT(Calc!$K$3:$K$22*(Calc!$G$3:$G$22&lt;=A906))</f>
        <v/>
      </c>
      <c r="D906">
        <f>SUMPRODUCT(Calc!$K$3:$K$22*(Calc!$G$3:$G$22&gt;A906)*(Calc!$G$3:$G$22&lt;B906))</f>
        <v/>
      </c>
      <c r="E906">
        <f>SUMPRODUCT(Calc!$K$3:$K$22*(Calc!$G$3:$G$22&gt;=B906))</f>
        <v/>
      </c>
      <c r="F906">
        <f>AND(k_n&gt;=5,B906&gt;A906+1E-9,C906&gt;=2,D906&gt;=1,E906&gt;=2)</f>
        <v/>
      </c>
      <c r="G906">
        <f>SUMPRODUCT(Calc!$K$3:$K$22*(Calc!$G$3:$G$22&gt;A906)*(Calc!$G$3:$G$22-A906))</f>
        <v/>
      </c>
      <c r="H906">
        <f>SUMPRODUCT(Calc!$K$3:$K$22*(Calc!$G$3:$G$22&gt;B906)*(Calc!$G$3:$G$22-B906))</f>
        <v/>
      </c>
      <c r="I906">
        <f>SUMPRODUCT(Calc!$K$3:$K$22*(Calc!$G$3:$G$22&gt;A906)*(Calc!$G$3:$G$22-A906)^2)</f>
        <v/>
      </c>
      <c r="J906">
        <f>SUMPRODUCT(Calc!$K$3:$K$22*(Calc!$G$3:$G$22&gt;B906)*(Calc!$G$3:$G$22-B906)^2)</f>
        <v/>
      </c>
      <c r="K906">
        <f>SUMPRODUCT(Calc!$K$3:$K$22*(Calc!$G$3:$G$22&gt;A906)*(Calc!$G$3:$G$22-A906)*(Calc!$G$3:$G$22&gt;B906)*(Calc!$G$3:$G$22-B906))</f>
        <v/>
      </c>
      <c r="L906">
        <f>SUMPRODUCT(Calc!$K$3:$K$22*(Calc!$G$3:$G$22&gt;A906)*(Calc!$G$3:$G$22-A906)*Calc!$G$3:$G$22)</f>
        <v/>
      </c>
      <c r="M906">
        <f>SUMPRODUCT(Calc!$K$3:$K$22*(Calc!$G$3:$G$22&gt;B906)*(Calc!$G$3:$G$22-B906)*Calc!$G$3:$G$22)</f>
        <v/>
      </c>
      <c r="N906">
        <f>SUMPRODUCT(Calc!$K$3:$K$22*(Calc!$G$3:$G$22&gt;A906)*(Calc!$G$3:$G$22-A906)*Calc!$I$3:$I$22)</f>
        <v/>
      </c>
      <c r="O906">
        <f>SUMPRODUCT(Calc!$K$3:$K$22*(Calc!$G$3:$G$22&gt;B906)*(Calc!$G$3:$G$22-B906)*Calc!$I$3:$I$22)</f>
        <v/>
      </c>
      <c r="P906">
        <f>I906-G906^2/k_n</f>
        <v/>
      </c>
      <c r="Q906">
        <f>J906-H906^2/k_n</f>
        <v/>
      </c>
      <c r="R906">
        <f>K906-G906*H906/k_n</f>
        <v/>
      </c>
      <c r="S906">
        <f>L906-LTP3!$D$3*G906/k_n</f>
        <v/>
      </c>
      <c r="T906">
        <f>M906-LTP3!$D$3*H906/k_n</f>
        <v/>
      </c>
      <c r="U906">
        <f>N906-G906*LTP3!$D$4/k_n</f>
        <v/>
      </c>
      <c r="V906">
        <f>O906-H906*LTP3!$D$4/k_n</f>
        <v/>
      </c>
      <c r="W906">
        <f>((LTP3!$D$5)*((P906)*(Q906)-(R906)*(R906))-(S906)*((S906)*(Q906)-(R906)*(T906))+(T906)*((S906)*(R906)-(P906)*(T906)))</f>
        <v/>
      </c>
      <c r="X906">
        <f>IF(ABS(W906)&gt;1E-12,((LTP3!$D$6)*((P906)*(Q906)-(R906)*(R906))-(S906)*((U906)*(Q906)-(R906)*(V906))+(T906)*((U906)*(R906)-(P906)*(V906)))/W906,0)</f>
        <v/>
      </c>
      <c r="Y906">
        <f>IF(ABS(W906)&gt;1E-12,((LTP3!$D$5)*((U906)*(Q906)-(R906)*(V906))-(LTP3!$D$6)*((S906)*(Q906)-(R906)*(T906))+(T906)*((S906)*(V906)-(U906)*(T906)))/W906,0)</f>
        <v/>
      </c>
      <c r="Z906">
        <f>IF(ABS(W906)&gt;1E-12,((LTP3!$D$5)*((P906)*(V906)-(U906)*(R906))-(S906)*((S906)*(V906)-(U906)*(T906))+(LTP3!$D$6)*((S906)*(R906)-(P906)*(T906)))/W906,0)</f>
        <v/>
      </c>
      <c r="AA906">
        <f>LTP3!$D$7-X906*LTP3!$D$6-Y906*U906-Z906*V906</f>
        <v/>
      </c>
      <c r="AB906">
        <f>IF(AND(F906,ABS(W906)&gt;1E-12,Y906&gt;0,Z906&gt;0),AA906,1E+300)</f>
        <v/>
      </c>
    </row>
    <row r="907">
      <c r="A907">
        <f>$B$3+$B$5*14</f>
        <v/>
      </c>
      <c r="B907">
        <f>$B$3+$B$5*41</f>
        <v/>
      </c>
      <c r="C907">
        <f>SUMPRODUCT(Calc!$K$3:$K$22*(Calc!$G$3:$G$22&lt;=A907))</f>
        <v/>
      </c>
      <c r="D907">
        <f>SUMPRODUCT(Calc!$K$3:$K$22*(Calc!$G$3:$G$22&gt;A907)*(Calc!$G$3:$G$22&lt;B907))</f>
        <v/>
      </c>
      <c r="E907">
        <f>SUMPRODUCT(Calc!$K$3:$K$22*(Calc!$G$3:$G$22&gt;=B907))</f>
        <v/>
      </c>
      <c r="F907">
        <f>AND(k_n&gt;=5,B907&gt;A907+1E-9,C907&gt;=2,D907&gt;=1,E907&gt;=2)</f>
        <v/>
      </c>
      <c r="G907">
        <f>SUMPRODUCT(Calc!$K$3:$K$22*(Calc!$G$3:$G$22&gt;A907)*(Calc!$G$3:$G$22-A907))</f>
        <v/>
      </c>
      <c r="H907">
        <f>SUMPRODUCT(Calc!$K$3:$K$22*(Calc!$G$3:$G$22&gt;B907)*(Calc!$G$3:$G$22-B907))</f>
        <v/>
      </c>
      <c r="I907">
        <f>SUMPRODUCT(Calc!$K$3:$K$22*(Calc!$G$3:$G$22&gt;A907)*(Calc!$G$3:$G$22-A907)^2)</f>
        <v/>
      </c>
      <c r="J907">
        <f>SUMPRODUCT(Calc!$K$3:$K$22*(Calc!$G$3:$G$22&gt;B907)*(Calc!$G$3:$G$22-B907)^2)</f>
        <v/>
      </c>
      <c r="K907">
        <f>SUMPRODUCT(Calc!$K$3:$K$22*(Calc!$G$3:$G$22&gt;A907)*(Calc!$G$3:$G$22-A907)*(Calc!$G$3:$G$22&gt;B907)*(Calc!$G$3:$G$22-B907))</f>
        <v/>
      </c>
      <c r="L907">
        <f>SUMPRODUCT(Calc!$K$3:$K$22*(Calc!$G$3:$G$22&gt;A907)*(Calc!$G$3:$G$22-A907)*Calc!$G$3:$G$22)</f>
        <v/>
      </c>
      <c r="M907">
        <f>SUMPRODUCT(Calc!$K$3:$K$22*(Calc!$G$3:$G$22&gt;B907)*(Calc!$G$3:$G$22-B907)*Calc!$G$3:$G$22)</f>
        <v/>
      </c>
      <c r="N907">
        <f>SUMPRODUCT(Calc!$K$3:$K$22*(Calc!$G$3:$G$22&gt;A907)*(Calc!$G$3:$G$22-A907)*Calc!$I$3:$I$22)</f>
        <v/>
      </c>
      <c r="O907">
        <f>SUMPRODUCT(Calc!$K$3:$K$22*(Calc!$G$3:$G$22&gt;B907)*(Calc!$G$3:$G$22-B907)*Calc!$I$3:$I$22)</f>
        <v/>
      </c>
      <c r="P907">
        <f>I907-G907^2/k_n</f>
        <v/>
      </c>
      <c r="Q907">
        <f>J907-H907^2/k_n</f>
        <v/>
      </c>
      <c r="R907">
        <f>K907-G907*H907/k_n</f>
        <v/>
      </c>
      <c r="S907">
        <f>L907-LTP3!$D$3*G907/k_n</f>
        <v/>
      </c>
      <c r="T907">
        <f>M907-LTP3!$D$3*H907/k_n</f>
        <v/>
      </c>
      <c r="U907">
        <f>N907-G907*LTP3!$D$4/k_n</f>
        <v/>
      </c>
      <c r="V907">
        <f>O907-H907*LTP3!$D$4/k_n</f>
        <v/>
      </c>
      <c r="W907">
        <f>((LTP3!$D$5)*((P907)*(Q907)-(R907)*(R907))-(S907)*((S907)*(Q907)-(R907)*(T907))+(T907)*((S907)*(R907)-(P907)*(T907)))</f>
        <v/>
      </c>
      <c r="X907">
        <f>IF(ABS(W907)&gt;1E-12,((LTP3!$D$6)*((P907)*(Q907)-(R907)*(R907))-(S907)*((U907)*(Q907)-(R907)*(V907))+(T907)*((U907)*(R907)-(P907)*(V907)))/W907,0)</f>
        <v/>
      </c>
      <c r="Y907">
        <f>IF(ABS(W907)&gt;1E-12,((LTP3!$D$5)*((U907)*(Q907)-(R907)*(V907))-(LTP3!$D$6)*((S907)*(Q907)-(R907)*(T907))+(T907)*((S907)*(V907)-(U907)*(T907)))/W907,0)</f>
        <v/>
      </c>
      <c r="Z907">
        <f>IF(ABS(W907)&gt;1E-12,((LTP3!$D$5)*((P907)*(V907)-(U907)*(R907))-(S907)*((S907)*(V907)-(U907)*(T907))+(LTP3!$D$6)*((S907)*(R907)-(P907)*(T907)))/W907,0)</f>
        <v/>
      </c>
      <c r="AA907">
        <f>LTP3!$D$7-X907*LTP3!$D$6-Y907*U907-Z907*V907</f>
        <v/>
      </c>
      <c r="AB907">
        <f>IF(AND(F907,ABS(W907)&gt;1E-12,Y907&gt;0,Z907&gt;0),AA907,1E+300)</f>
        <v/>
      </c>
    </row>
    <row r="908">
      <c r="A908">
        <f>$B$3+$B$5*14</f>
        <v/>
      </c>
      <c r="B908">
        <f>$B$3+$B$5*42</f>
        <v/>
      </c>
      <c r="C908">
        <f>SUMPRODUCT(Calc!$K$3:$K$22*(Calc!$G$3:$G$22&lt;=A908))</f>
        <v/>
      </c>
      <c r="D908">
        <f>SUMPRODUCT(Calc!$K$3:$K$22*(Calc!$G$3:$G$22&gt;A908)*(Calc!$G$3:$G$22&lt;B908))</f>
        <v/>
      </c>
      <c r="E908">
        <f>SUMPRODUCT(Calc!$K$3:$K$22*(Calc!$G$3:$G$22&gt;=B908))</f>
        <v/>
      </c>
      <c r="F908">
        <f>AND(k_n&gt;=5,B908&gt;A908+1E-9,C908&gt;=2,D908&gt;=1,E908&gt;=2)</f>
        <v/>
      </c>
      <c r="G908">
        <f>SUMPRODUCT(Calc!$K$3:$K$22*(Calc!$G$3:$G$22&gt;A908)*(Calc!$G$3:$G$22-A908))</f>
        <v/>
      </c>
      <c r="H908">
        <f>SUMPRODUCT(Calc!$K$3:$K$22*(Calc!$G$3:$G$22&gt;B908)*(Calc!$G$3:$G$22-B908))</f>
        <v/>
      </c>
      <c r="I908">
        <f>SUMPRODUCT(Calc!$K$3:$K$22*(Calc!$G$3:$G$22&gt;A908)*(Calc!$G$3:$G$22-A908)^2)</f>
        <v/>
      </c>
      <c r="J908">
        <f>SUMPRODUCT(Calc!$K$3:$K$22*(Calc!$G$3:$G$22&gt;B908)*(Calc!$G$3:$G$22-B908)^2)</f>
        <v/>
      </c>
      <c r="K908">
        <f>SUMPRODUCT(Calc!$K$3:$K$22*(Calc!$G$3:$G$22&gt;A908)*(Calc!$G$3:$G$22-A908)*(Calc!$G$3:$G$22&gt;B908)*(Calc!$G$3:$G$22-B908))</f>
        <v/>
      </c>
      <c r="L908">
        <f>SUMPRODUCT(Calc!$K$3:$K$22*(Calc!$G$3:$G$22&gt;A908)*(Calc!$G$3:$G$22-A908)*Calc!$G$3:$G$22)</f>
        <v/>
      </c>
      <c r="M908">
        <f>SUMPRODUCT(Calc!$K$3:$K$22*(Calc!$G$3:$G$22&gt;B908)*(Calc!$G$3:$G$22-B908)*Calc!$G$3:$G$22)</f>
        <v/>
      </c>
      <c r="N908">
        <f>SUMPRODUCT(Calc!$K$3:$K$22*(Calc!$G$3:$G$22&gt;A908)*(Calc!$G$3:$G$22-A908)*Calc!$I$3:$I$22)</f>
        <v/>
      </c>
      <c r="O908">
        <f>SUMPRODUCT(Calc!$K$3:$K$22*(Calc!$G$3:$G$22&gt;B908)*(Calc!$G$3:$G$22-B908)*Calc!$I$3:$I$22)</f>
        <v/>
      </c>
      <c r="P908">
        <f>I908-G908^2/k_n</f>
        <v/>
      </c>
      <c r="Q908">
        <f>J908-H908^2/k_n</f>
        <v/>
      </c>
      <c r="R908">
        <f>K908-G908*H908/k_n</f>
        <v/>
      </c>
      <c r="S908">
        <f>L908-LTP3!$D$3*G908/k_n</f>
        <v/>
      </c>
      <c r="T908">
        <f>M908-LTP3!$D$3*H908/k_n</f>
        <v/>
      </c>
      <c r="U908">
        <f>N908-G908*LTP3!$D$4/k_n</f>
        <v/>
      </c>
      <c r="V908">
        <f>O908-H908*LTP3!$D$4/k_n</f>
        <v/>
      </c>
      <c r="W908">
        <f>((LTP3!$D$5)*((P908)*(Q908)-(R908)*(R908))-(S908)*((S908)*(Q908)-(R908)*(T908))+(T908)*((S908)*(R908)-(P908)*(T908)))</f>
        <v/>
      </c>
      <c r="X908">
        <f>IF(ABS(W908)&gt;1E-12,((LTP3!$D$6)*((P908)*(Q908)-(R908)*(R908))-(S908)*((U908)*(Q908)-(R908)*(V908))+(T908)*((U908)*(R908)-(P908)*(V908)))/W908,0)</f>
        <v/>
      </c>
      <c r="Y908">
        <f>IF(ABS(W908)&gt;1E-12,((LTP3!$D$5)*((U908)*(Q908)-(R908)*(V908))-(LTP3!$D$6)*((S908)*(Q908)-(R908)*(T908))+(T908)*((S908)*(V908)-(U908)*(T908)))/W908,0)</f>
        <v/>
      </c>
      <c r="Z908">
        <f>IF(ABS(W908)&gt;1E-12,((LTP3!$D$5)*((P908)*(V908)-(U908)*(R908))-(S908)*((S908)*(V908)-(U908)*(T908))+(LTP3!$D$6)*((S908)*(R908)-(P908)*(T908)))/W908,0)</f>
        <v/>
      </c>
      <c r="AA908">
        <f>LTP3!$D$7-X908*LTP3!$D$6-Y908*U908-Z908*V908</f>
        <v/>
      </c>
      <c r="AB908">
        <f>IF(AND(F908,ABS(W908)&gt;1E-12,Y908&gt;0,Z908&gt;0),AA908,1E+300)</f>
        <v/>
      </c>
    </row>
    <row r="909">
      <c r="A909">
        <f>$B$3+$B$5*14</f>
        <v/>
      </c>
      <c r="B909">
        <f>$B$3+$B$5*43</f>
        <v/>
      </c>
      <c r="C909">
        <f>SUMPRODUCT(Calc!$K$3:$K$22*(Calc!$G$3:$G$22&lt;=A909))</f>
        <v/>
      </c>
      <c r="D909">
        <f>SUMPRODUCT(Calc!$K$3:$K$22*(Calc!$G$3:$G$22&gt;A909)*(Calc!$G$3:$G$22&lt;B909))</f>
        <v/>
      </c>
      <c r="E909">
        <f>SUMPRODUCT(Calc!$K$3:$K$22*(Calc!$G$3:$G$22&gt;=B909))</f>
        <v/>
      </c>
      <c r="F909">
        <f>AND(k_n&gt;=5,B909&gt;A909+1E-9,C909&gt;=2,D909&gt;=1,E909&gt;=2)</f>
        <v/>
      </c>
      <c r="G909">
        <f>SUMPRODUCT(Calc!$K$3:$K$22*(Calc!$G$3:$G$22&gt;A909)*(Calc!$G$3:$G$22-A909))</f>
        <v/>
      </c>
      <c r="H909">
        <f>SUMPRODUCT(Calc!$K$3:$K$22*(Calc!$G$3:$G$22&gt;B909)*(Calc!$G$3:$G$22-B909))</f>
        <v/>
      </c>
      <c r="I909">
        <f>SUMPRODUCT(Calc!$K$3:$K$22*(Calc!$G$3:$G$22&gt;A909)*(Calc!$G$3:$G$22-A909)^2)</f>
        <v/>
      </c>
      <c r="J909">
        <f>SUMPRODUCT(Calc!$K$3:$K$22*(Calc!$G$3:$G$22&gt;B909)*(Calc!$G$3:$G$22-B909)^2)</f>
        <v/>
      </c>
      <c r="K909">
        <f>SUMPRODUCT(Calc!$K$3:$K$22*(Calc!$G$3:$G$22&gt;A909)*(Calc!$G$3:$G$22-A909)*(Calc!$G$3:$G$22&gt;B909)*(Calc!$G$3:$G$22-B909))</f>
        <v/>
      </c>
      <c r="L909">
        <f>SUMPRODUCT(Calc!$K$3:$K$22*(Calc!$G$3:$G$22&gt;A909)*(Calc!$G$3:$G$22-A909)*Calc!$G$3:$G$22)</f>
        <v/>
      </c>
      <c r="M909">
        <f>SUMPRODUCT(Calc!$K$3:$K$22*(Calc!$G$3:$G$22&gt;B909)*(Calc!$G$3:$G$22-B909)*Calc!$G$3:$G$22)</f>
        <v/>
      </c>
      <c r="N909">
        <f>SUMPRODUCT(Calc!$K$3:$K$22*(Calc!$G$3:$G$22&gt;A909)*(Calc!$G$3:$G$22-A909)*Calc!$I$3:$I$22)</f>
        <v/>
      </c>
      <c r="O909">
        <f>SUMPRODUCT(Calc!$K$3:$K$22*(Calc!$G$3:$G$22&gt;B909)*(Calc!$G$3:$G$22-B909)*Calc!$I$3:$I$22)</f>
        <v/>
      </c>
      <c r="P909">
        <f>I909-G909^2/k_n</f>
        <v/>
      </c>
      <c r="Q909">
        <f>J909-H909^2/k_n</f>
        <v/>
      </c>
      <c r="R909">
        <f>K909-G909*H909/k_n</f>
        <v/>
      </c>
      <c r="S909">
        <f>L909-LTP3!$D$3*G909/k_n</f>
        <v/>
      </c>
      <c r="T909">
        <f>M909-LTP3!$D$3*H909/k_n</f>
        <v/>
      </c>
      <c r="U909">
        <f>N909-G909*LTP3!$D$4/k_n</f>
        <v/>
      </c>
      <c r="V909">
        <f>O909-H909*LTP3!$D$4/k_n</f>
        <v/>
      </c>
      <c r="W909">
        <f>((LTP3!$D$5)*((P909)*(Q909)-(R909)*(R909))-(S909)*((S909)*(Q909)-(R909)*(T909))+(T909)*((S909)*(R909)-(P909)*(T909)))</f>
        <v/>
      </c>
      <c r="X909">
        <f>IF(ABS(W909)&gt;1E-12,((LTP3!$D$6)*((P909)*(Q909)-(R909)*(R909))-(S909)*((U909)*(Q909)-(R909)*(V909))+(T909)*((U909)*(R909)-(P909)*(V909)))/W909,0)</f>
        <v/>
      </c>
      <c r="Y909">
        <f>IF(ABS(W909)&gt;1E-12,((LTP3!$D$5)*((U909)*(Q909)-(R909)*(V909))-(LTP3!$D$6)*((S909)*(Q909)-(R909)*(T909))+(T909)*((S909)*(V909)-(U909)*(T909)))/W909,0)</f>
        <v/>
      </c>
      <c r="Z909">
        <f>IF(ABS(W909)&gt;1E-12,((LTP3!$D$5)*((P909)*(V909)-(U909)*(R909))-(S909)*((S909)*(V909)-(U909)*(T909))+(LTP3!$D$6)*((S909)*(R909)-(P909)*(T909)))/W909,0)</f>
        <v/>
      </c>
      <c r="AA909">
        <f>LTP3!$D$7-X909*LTP3!$D$6-Y909*U909-Z909*V909</f>
        <v/>
      </c>
      <c r="AB909">
        <f>IF(AND(F909,ABS(W909)&gt;1E-12,Y909&gt;0,Z909&gt;0),AA909,1E+300)</f>
        <v/>
      </c>
    </row>
    <row r="910">
      <c r="A910">
        <f>$B$3+$B$5*14</f>
        <v/>
      </c>
      <c r="B910">
        <f>$B$3+$B$5*44</f>
        <v/>
      </c>
      <c r="C910">
        <f>SUMPRODUCT(Calc!$K$3:$K$22*(Calc!$G$3:$G$22&lt;=A910))</f>
        <v/>
      </c>
      <c r="D910">
        <f>SUMPRODUCT(Calc!$K$3:$K$22*(Calc!$G$3:$G$22&gt;A910)*(Calc!$G$3:$G$22&lt;B910))</f>
        <v/>
      </c>
      <c r="E910">
        <f>SUMPRODUCT(Calc!$K$3:$K$22*(Calc!$G$3:$G$22&gt;=B910))</f>
        <v/>
      </c>
      <c r="F910">
        <f>AND(k_n&gt;=5,B910&gt;A910+1E-9,C910&gt;=2,D910&gt;=1,E910&gt;=2)</f>
        <v/>
      </c>
      <c r="G910">
        <f>SUMPRODUCT(Calc!$K$3:$K$22*(Calc!$G$3:$G$22&gt;A910)*(Calc!$G$3:$G$22-A910))</f>
        <v/>
      </c>
      <c r="H910">
        <f>SUMPRODUCT(Calc!$K$3:$K$22*(Calc!$G$3:$G$22&gt;B910)*(Calc!$G$3:$G$22-B910))</f>
        <v/>
      </c>
      <c r="I910">
        <f>SUMPRODUCT(Calc!$K$3:$K$22*(Calc!$G$3:$G$22&gt;A910)*(Calc!$G$3:$G$22-A910)^2)</f>
        <v/>
      </c>
      <c r="J910">
        <f>SUMPRODUCT(Calc!$K$3:$K$22*(Calc!$G$3:$G$22&gt;B910)*(Calc!$G$3:$G$22-B910)^2)</f>
        <v/>
      </c>
      <c r="K910">
        <f>SUMPRODUCT(Calc!$K$3:$K$22*(Calc!$G$3:$G$22&gt;A910)*(Calc!$G$3:$G$22-A910)*(Calc!$G$3:$G$22&gt;B910)*(Calc!$G$3:$G$22-B910))</f>
        <v/>
      </c>
      <c r="L910">
        <f>SUMPRODUCT(Calc!$K$3:$K$22*(Calc!$G$3:$G$22&gt;A910)*(Calc!$G$3:$G$22-A910)*Calc!$G$3:$G$22)</f>
        <v/>
      </c>
      <c r="M910">
        <f>SUMPRODUCT(Calc!$K$3:$K$22*(Calc!$G$3:$G$22&gt;B910)*(Calc!$G$3:$G$22-B910)*Calc!$G$3:$G$22)</f>
        <v/>
      </c>
      <c r="N910">
        <f>SUMPRODUCT(Calc!$K$3:$K$22*(Calc!$G$3:$G$22&gt;A910)*(Calc!$G$3:$G$22-A910)*Calc!$I$3:$I$22)</f>
        <v/>
      </c>
      <c r="O910">
        <f>SUMPRODUCT(Calc!$K$3:$K$22*(Calc!$G$3:$G$22&gt;B910)*(Calc!$G$3:$G$22-B910)*Calc!$I$3:$I$22)</f>
        <v/>
      </c>
      <c r="P910">
        <f>I910-G910^2/k_n</f>
        <v/>
      </c>
      <c r="Q910">
        <f>J910-H910^2/k_n</f>
        <v/>
      </c>
      <c r="R910">
        <f>K910-G910*H910/k_n</f>
        <v/>
      </c>
      <c r="S910">
        <f>L910-LTP3!$D$3*G910/k_n</f>
        <v/>
      </c>
      <c r="T910">
        <f>M910-LTP3!$D$3*H910/k_n</f>
        <v/>
      </c>
      <c r="U910">
        <f>N910-G910*LTP3!$D$4/k_n</f>
        <v/>
      </c>
      <c r="V910">
        <f>O910-H910*LTP3!$D$4/k_n</f>
        <v/>
      </c>
      <c r="W910">
        <f>((LTP3!$D$5)*((P910)*(Q910)-(R910)*(R910))-(S910)*((S910)*(Q910)-(R910)*(T910))+(T910)*((S910)*(R910)-(P910)*(T910)))</f>
        <v/>
      </c>
      <c r="X910">
        <f>IF(ABS(W910)&gt;1E-12,((LTP3!$D$6)*((P910)*(Q910)-(R910)*(R910))-(S910)*((U910)*(Q910)-(R910)*(V910))+(T910)*((U910)*(R910)-(P910)*(V910)))/W910,0)</f>
        <v/>
      </c>
      <c r="Y910">
        <f>IF(ABS(W910)&gt;1E-12,((LTP3!$D$5)*((U910)*(Q910)-(R910)*(V910))-(LTP3!$D$6)*((S910)*(Q910)-(R910)*(T910))+(T910)*((S910)*(V910)-(U910)*(T910)))/W910,0)</f>
        <v/>
      </c>
      <c r="Z910">
        <f>IF(ABS(W910)&gt;1E-12,((LTP3!$D$5)*((P910)*(V910)-(U910)*(R910))-(S910)*((S910)*(V910)-(U910)*(T910))+(LTP3!$D$6)*((S910)*(R910)-(P910)*(T910)))/W910,0)</f>
        <v/>
      </c>
      <c r="AA910">
        <f>LTP3!$D$7-X910*LTP3!$D$6-Y910*U910-Z910*V910</f>
        <v/>
      </c>
      <c r="AB910">
        <f>IF(AND(F910,ABS(W910)&gt;1E-12,Y910&gt;0,Z910&gt;0),AA910,1E+300)</f>
        <v/>
      </c>
    </row>
    <row r="911">
      <c r="A911">
        <f>$B$3+$B$5*14</f>
        <v/>
      </c>
      <c r="B911">
        <f>$B$3+$B$5*45</f>
        <v/>
      </c>
      <c r="C911">
        <f>SUMPRODUCT(Calc!$K$3:$K$22*(Calc!$G$3:$G$22&lt;=A911))</f>
        <v/>
      </c>
      <c r="D911">
        <f>SUMPRODUCT(Calc!$K$3:$K$22*(Calc!$G$3:$G$22&gt;A911)*(Calc!$G$3:$G$22&lt;B911))</f>
        <v/>
      </c>
      <c r="E911">
        <f>SUMPRODUCT(Calc!$K$3:$K$22*(Calc!$G$3:$G$22&gt;=B911))</f>
        <v/>
      </c>
      <c r="F911">
        <f>AND(k_n&gt;=5,B911&gt;A911+1E-9,C911&gt;=2,D911&gt;=1,E911&gt;=2)</f>
        <v/>
      </c>
      <c r="G911">
        <f>SUMPRODUCT(Calc!$K$3:$K$22*(Calc!$G$3:$G$22&gt;A911)*(Calc!$G$3:$G$22-A911))</f>
        <v/>
      </c>
      <c r="H911">
        <f>SUMPRODUCT(Calc!$K$3:$K$22*(Calc!$G$3:$G$22&gt;B911)*(Calc!$G$3:$G$22-B911))</f>
        <v/>
      </c>
      <c r="I911">
        <f>SUMPRODUCT(Calc!$K$3:$K$22*(Calc!$G$3:$G$22&gt;A911)*(Calc!$G$3:$G$22-A911)^2)</f>
        <v/>
      </c>
      <c r="J911">
        <f>SUMPRODUCT(Calc!$K$3:$K$22*(Calc!$G$3:$G$22&gt;B911)*(Calc!$G$3:$G$22-B911)^2)</f>
        <v/>
      </c>
      <c r="K911">
        <f>SUMPRODUCT(Calc!$K$3:$K$22*(Calc!$G$3:$G$22&gt;A911)*(Calc!$G$3:$G$22-A911)*(Calc!$G$3:$G$22&gt;B911)*(Calc!$G$3:$G$22-B911))</f>
        <v/>
      </c>
      <c r="L911">
        <f>SUMPRODUCT(Calc!$K$3:$K$22*(Calc!$G$3:$G$22&gt;A911)*(Calc!$G$3:$G$22-A911)*Calc!$G$3:$G$22)</f>
        <v/>
      </c>
      <c r="M911">
        <f>SUMPRODUCT(Calc!$K$3:$K$22*(Calc!$G$3:$G$22&gt;B911)*(Calc!$G$3:$G$22-B911)*Calc!$G$3:$G$22)</f>
        <v/>
      </c>
      <c r="N911">
        <f>SUMPRODUCT(Calc!$K$3:$K$22*(Calc!$G$3:$G$22&gt;A911)*(Calc!$G$3:$G$22-A911)*Calc!$I$3:$I$22)</f>
        <v/>
      </c>
      <c r="O911">
        <f>SUMPRODUCT(Calc!$K$3:$K$22*(Calc!$G$3:$G$22&gt;B911)*(Calc!$G$3:$G$22-B911)*Calc!$I$3:$I$22)</f>
        <v/>
      </c>
      <c r="P911">
        <f>I911-G911^2/k_n</f>
        <v/>
      </c>
      <c r="Q911">
        <f>J911-H911^2/k_n</f>
        <v/>
      </c>
      <c r="R911">
        <f>K911-G911*H911/k_n</f>
        <v/>
      </c>
      <c r="S911">
        <f>L911-LTP3!$D$3*G911/k_n</f>
        <v/>
      </c>
      <c r="T911">
        <f>M911-LTP3!$D$3*H911/k_n</f>
        <v/>
      </c>
      <c r="U911">
        <f>N911-G911*LTP3!$D$4/k_n</f>
        <v/>
      </c>
      <c r="V911">
        <f>O911-H911*LTP3!$D$4/k_n</f>
        <v/>
      </c>
      <c r="W911">
        <f>((LTP3!$D$5)*((P911)*(Q911)-(R911)*(R911))-(S911)*((S911)*(Q911)-(R911)*(T911))+(T911)*((S911)*(R911)-(P911)*(T911)))</f>
        <v/>
      </c>
      <c r="X911">
        <f>IF(ABS(W911)&gt;1E-12,((LTP3!$D$6)*((P911)*(Q911)-(R911)*(R911))-(S911)*((U911)*(Q911)-(R911)*(V911))+(T911)*((U911)*(R911)-(P911)*(V911)))/W911,0)</f>
        <v/>
      </c>
      <c r="Y911">
        <f>IF(ABS(W911)&gt;1E-12,((LTP3!$D$5)*((U911)*(Q911)-(R911)*(V911))-(LTP3!$D$6)*((S911)*(Q911)-(R911)*(T911))+(T911)*((S911)*(V911)-(U911)*(T911)))/W911,0)</f>
        <v/>
      </c>
      <c r="Z911">
        <f>IF(ABS(W911)&gt;1E-12,((LTP3!$D$5)*((P911)*(V911)-(U911)*(R911))-(S911)*((S911)*(V911)-(U911)*(T911))+(LTP3!$D$6)*((S911)*(R911)-(P911)*(T911)))/W911,0)</f>
        <v/>
      </c>
      <c r="AA911">
        <f>LTP3!$D$7-X911*LTP3!$D$6-Y911*U911-Z911*V911</f>
        <v/>
      </c>
      <c r="AB911">
        <f>IF(AND(F911,ABS(W911)&gt;1E-12,Y911&gt;0,Z911&gt;0),AA911,1E+300)</f>
        <v/>
      </c>
    </row>
    <row r="912">
      <c r="A912">
        <f>$B$3+$B$5*14</f>
        <v/>
      </c>
      <c r="B912">
        <f>$B$3+$B$5*46</f>
        <v/>
      </c>
      <c r="C912">
        <f>SUMPRODUCT(Calc!$K$3:$K$22*(Calc!$G$3:$G$22&lt;=A912))</f>
        <v/>
      </c>
      <c r="D912">
        <f>SUMPRODUCT(Calc!$K$3:$K$22*(Calc!$G$3:$G$22&gt;A912)*(Calc!$G$3:$G$22&lt;B912))</f>
        <v/>
      </c>
      <c r="E912">
        <f>SUMPRODUCT(Calc!$K$3:$K$22*(Calc!$G$3:$G$22&gt;=B912))</f>
        <v/>
      </c>
      <c r="F912">
        <f>AND(k_n&gt;=5,B912&gt;A912+1E-9,C912&gt;=2,D912&gt;=1,E912&gt;=2)</f>
        <v/>
      </c>
      <c r="G912">
        <f>SUMPRODUCT(Calc!$K$3:$K$22*(Calc!$G$3:$G$22&gt;A912)*(Calc!$G$3:$G$22-A912))</f>
        <v/>
      </c>
      <c r="H912">
        <f>SUMPRODUCT(Calc!$K$3:$K$22*(Calc!$G$3:$G$22&gt;B912)*(Calc!$G$3:$G$22-B912))</f>
        <v/>
      </c>
      <c r="I912">
        <f>SUMPRODUCT(Calc!$K$3:$K$22*(Calc!$G$3:$G$22&gt;A912)*(Calc!$G$3:$G$22-A912)^2)</f>
        <v/>
      </c>
      <c r="J912">
        <f>SUMPRODUCT(Calc!$K$3:$K$22*(Calc!$G$3:$G$22&gt;B912)*(Calc!$G$3:$G$22-B912)^2)</f>
        <v/>
      </c>
      <c r="K912">
        <f>SUMPRODUCT(Calc!$K$3:$K$22*(Calc!$G$3:$G$22&gt;A912)*(Calc!$G$3:$G$22-A912)*(Calc!$G$3:$G$22&gt;B912)*(Calc!$G$3:$G$22-B912))</f>
        <v/>
      </c>
      <c r="L912">
        <f>SUMPRODUCT(Calc!$K$3:$K$22*(Calc!$G$3:$G$22&gt;A912)*(Calc!$G$3:$G$22-A912)*Calc!$G$3:$G$22)</f>
        <v/>
      </c>
      <c r="M912">
        <f>SUMPRODUCT(Calc!$K$3:$K$22*(Calc!$G$3:$G$22&gt;B912)*(Calc!$G$3:$G$22-B912)*Calc!$G$3:$G$22)</f>
        <v/>
      </c>
      <c r="N912">
        <f>SUMPRODUCT(Calc!$K$3:$K$22*(Calc!$G$3:$G$22&gt;A912)*(Calc!$G$3:$G$22-A912)*Calc!$I$3:$I$22)</f>
        <v/>
      </c>
      <c r="O912">
        <f>SUMPRODUCT(Calc!$K$3:$K$22*(Calc!$G$3:$G$22&gt;B912)*(Calc!$G$3:$G$22-B912)*Calc!$I$3:$I$22)</f>
        <v/>
      </c>
      <c r="P912">
        <f>I912-G912^2/k_n</f>
        <v/>
      </c>
      <c r="Q912">
        <f>J912-H912^2/k_n</f>
        <v/>
      </c>
      <c r="R912">
        <f>K912-G912*H912/k_n</f>
        <v/>
      </c>
      <c r="S912">
        <f>L912-LTP3!$D$3*G912/k_n</f>
        <v/>
      </c>
      <c r="T912">
        <f>M912-LTP3!$D$3*H912/k_n</f>
        <v/>
      </c>
      <c r="U912">
        <f>N912-G912*LTP3!$D$4/k_n</f>
        <v/>
      </c>
      <c r="V912">
        <f>O912-H912*LTP3!$D$4/k_n</f>
        <v/>
      </c>
      <c r="W912">
        <f>((LTP3!$D$5)*((P912)*(Q912)-(R912)*(R912))-(S912)*((S912)*(Q912)-(R912)*(T912))+(T912)*((S912)*(R912)-(P912)*(T912)))</f>
        <v/>
      </c>
      <c r="X912">
        <f>IF(ABS(W912)&gt;1E-12,((LTP3!$D$6)*((P912)*(Q912)-(R912)*(R912))-(S912)*((U912)*(Q912)-(R912)*(V912))+(T912)*((U912)*(R912)-(P912)*(V912)))/W912,0)</f>
        <v/>
      </c>
      <c r="Y912">
        <f>IF(ABS(W912)&gt;1E-12,((LTP3!$D$5)*((U912)*(Q912)-(R912)*(V912))-(LTP3!$D$6)*((S912)*(Q912)-(R912)*(T912))+(T912)*((S912)*(V912)-(U912)*(T912)))/W912,0)</f>
        <v/>
      </c>
      <c r="Z912">
        <f>IF(ABS(W912)&gt;1E-12,((LTP3!$D$5)*((P912)*(V912)-(U912)*(R912))-(S912)*((S912)*(V912)-(U912)*(T912))+(LTP3!$D$6)*((S912)*(R912)-(P912)*(T912)))/W912,0)</f>
        <v/>
      </c>
      <c r="AA912">
        <f>LTP3!$D$7-X912*LTP3!$D$6-Y912*U912-Z912*V912</f>
        <v/>
      </c>
      <c r="AB912">
        <f>IF(AND(F912,ABS(W912)&gt;1E-12,Y912&gt;0,Z912&gt;0),AA912,1E+300)</f>
        <v/>
      </c>
    </row>
    <row r="913">
      <c r="A913">
        <f>$B$3+$B$5*14</f>
        <v/>
      </c>
      <c r="B913">
        <f>$B$3+$B$5*47</f>
        <v/>
      </c>
      <c r="C913">
        <f>SUMPRODUCT(Calc!$K$3:$K$22*(Calc!$G$3:$G$22&lt;=A913))</f>
        <v/>
      </c>
      <c r="D913">
        <f>SUMPRODUCT(Calc!$K$3:$K$22*(Calc!$G$3:$G$22&gt;A913)*(Calc!$G$3:$G$22&lt;B913))</f>
        <v/>
      </c>
      <c r="E913">
        <f>SUMPRODUCT(Calc!$K$3:$K$22*(Calc!$G$3:$G$22&gt;=B913))</f>
        <v/>
      </c>
      <c r="F913">
        <f>AND(k_n&gt;=5,B913&gt;A913+1E-9,C913&gt;=2,D913&gt;=1,E913&gt;=2)</f>
        <v/>
      </c>
      <c r="G913">
        <f>SUMPRODUCT(Calc!$K$3:$K$22*(Calc!$G$3:$G$22&gt;A913)*(Calc!$G$3:$G$22-A913))</f>
        <v/>
      </c>
      <c r="H913">
        <f>SUMPRODUCT(Calc!$K$3:$K$22*(Calc!$G$3:$G$22&gt;B913)*(Calc!$G$3:$G$22-B913))</f>
        <v/>
      </c>
      <c r="I913">
        <f>SUMPRODUCT(Calc!$K$3:$K$22*(Calc!$G$3:$G$22&gt;A913)*(Calc!$G$3:$G$22-A913)^2)</f>
        <v/>
      </c>
      <c r="J913">
        <f>SUMPRODUCT(Calc!$K$3:$K$22*(Calc!$G$3:$G$22&gt;B913)*(Calc!$G$3:$G$22-B913)^2)</f>
        <v/>
      </c>
      <c r="K913">
        <f>SUMPRODUCT(Calc!$K$3:$K$22*(Calc!$G$3:$G$22&gt;A913)*(Calc!$G$3:$G$22-A913)*(Calc!$G$3:$G$22&gt;B913)*(Calc!$G$3:$G$22-B913))</f>
        <v/>
      </c>
      <c r="L913">
        <f>SUMPRODUCT(Calc!$K$3:$K$22*(Calc!$G$3:$G$22&gt;A913)*(Calc!$G$3:$G$22-A913)*Calc!$G$3:$G$22)</f>
        <v/>
      </c>
      <c r="M913">
        <f>SUMPRODUCT(Calc!$K$3:$K$22*(Calc!$G$3:$G$22&gt;B913)*(Calc!$G$3:$G$22-B913)*Calc!$G$3:$G$22)</f>
        <v/>
      </c>
      <c r="N913">
        <f>SUMPRODUCT(Calc!$K$3:$K$22*(Calc!$G$3:$G$22&gt;A913)*(Calc!$G$3:$G$22-A913)*Calc!$I$3:$I$22)</f>
        <v/>
      </c>
      <c r="O913">
        <f>SUMPRODUCT(Calc!$K$3:$K$22*(Calc!$G$3:$G$22&gt;B913)*(Calc!$G$3:$G$22-B913)*Calc!$I$3:$I$22)</f>
        <v/>
      </c>
      <c r="P913">
        <f>I913-G913^2/k_n</f>
        <v/>
      </c>
      <c r="Q913">
        <f>J913-H913^2/k_n</f>
        <v/>
      </c>
      <c r="R913">
        <f>K913-G913*H913/k_n</f>
        <v/>
      </c>
      <c r="S913">
        <f>L913-LTP3!$D$3*G913/k_n</f>
        <v/>
      </c>
      <c r="T913">
        <f>M913-LTP3!$D$3*H913/k_n</f>
        <v/>
      </c>
      <c r="U913">
        <f>N913-G913*LTP3!$D$4/k_n</f>
        <v/>
      </c>
      <c r="V913">
        <f>O913-H913*LTP3!$D$4/k_n</f>
        <v/>
      </c>
      <c r="W913">
        <f>((LTP3!$D$5)*((P913)*(Q913)-(R913)*(R913))-(S913)*((S913)*(Q913)-(R913)*(T913))+(T913)*((S913)*(R913)-(P913)*(T913)))</f>
        <v/>
      </c>
      <c r="X913">
        <f>IF(ABS(W913)&gt;1E-12,((LTP3!$D$6)*((P913)*(Q913)-(R913)*(R913))-(S913)*((U913)*(Q913)-(R913)*(V913))+(T913)*((U913)*(R913)-(P913)*(V913)))/W913,0)</f>
        <v/>
      </c>
      <c r="Y913">
        <f>IF(ABS(W913)&gt;1E-12,((LTP3!$D$5)*((U913)*(Q913)-(R913)*(V913))-(LTP3!$D$6)*((S913)*(Q913)-(R913)*(T913))+(T913)*((S913)*(V913)-(U913)*(T913)))/W913,0)</f>
        <v/>
      </c>
      <c r="Z913">
        <f>IF(ABS(W913)&gt;1E-12,((LTP3!$D$5)*((P913)*(V913)-(U913)*(R913))-(S913)*((S913)*(V913)-(U913)*(T913))+(LTP3!$D$6)*((S913)*(R913)-(P913)*(T913)))/W913,0)</f>
        <v/>
      </c>
      <c r="AA913">
        <f>LTP3!$D$7-X913*LTP3!$D$6-Y913*U913-Z913*V913</f>
        <v/>
      </c>
      <c r="AB913">
        <f>IF(AND(F913,ABS(W913)&gt;1E-12,Y913&gt;0,Z913&gt;0),AA913,1E+300)</f>
        <v/>
      </c>
    </row>
    <row r="914">
      <c r="A914">
        <f>$B$3+$B$5*14</f>
        <v/>
      </c>
      <c r="B914">
        <f>$B$3+$B$5*48</f>
        <v/>
      </c>
      <c r="C914">
        <f>SUMPRODUCT(Calc!$K$3:$K$22*(Calc!$G$3:$G$22&lt;=A914))</f>
        <v/>
      </c>
      <c r="D914">
        <f>SUMPRODUCT(Calc!$K$3:$K$22*(Calc!$G$3:$G$22&gt;A914)*(Calc!$G$3:$G$22&lt;B914))</f>
        <v/>
      </c>
      <c r="E914">
        <f>SUMPRODUCT(Calc!$K$3:$K$22*(Calc!$G$3:$G$22&gt;=B914))</f>
        <v/>
      </c>
      <c r="F914">
        <f>AND(k_n&gt;=5,B914&gt;A914+1E-9,C914&gt;=2,D914&gt;=1,E914&gt;=2)</f>
        <v/>
      </c>
      <c r="G914">
        <f>SUMPRODUCT(Calc!$K$3:$K$22*(Calc!$G$3:$G$22&gt;A914)*(Calc!$G$3:$G$22-A914))</f>
        <v/>
      </c>
      <c r="H914">
        <f>SUMPRODUCT(Calc!$K$3:$K$22*(Calc!$G$3:$G$22&gt;B914)*(Calc!$G$3:$G$22-B914))</f>
        <v/>
      </c>
      <c r="I914">
        <f>SUMPRODUCT(Calc!$K$3:$K$22*(Calc!$G$3:$G$22&gt;A914)*(Calc!$G$3:$G$22-A914)^2)</f>
        <v/>
      </c>
      <c r="J914">
        <f>SUMPRODUCT(Calc!$K$3:$K$22*(Calc!$G$3:$G$22&gt;B914)*(Calc!$G$3:$G$22-B914)^2)</f>
        <v/>
      </c>
      <c r="K914">
        <f>SUMPRODUCT(Calc!$K$3:$K$22*(Calc!$G$3:$G$22&gt;A914)*(Calc!$G$3:$G$22-A914)*(Calc!$G$3:$G$22&gt;B914)*(Calc!$G$3:$G$22-B914))</f>
        <v/>
      </c>
      <c r="L914">
        <f>SUMPRODUCT(Calc!$K$3:$K$22*(Calc!$G$3:$G$22&gt;A914)*(Calc!$G$3:$G$22-A914)*Calc!$G$3:$G$22)</f>
        <v/>
      </c>
      <c r="M914">
        <f>SUMPRODUCT(Calc!$K$3:$K$22*(Calc!$G$3:$G$22&gt;B914)*(Calc!$G$3:$G$22-B914)*Calc!$G$3:$G$22)</f>
        <v/>
      </c>
      <c r="N914">
        <f>SUMPRODUCT(Calc!$K$3:$K$22*(Calc!$G$3:$G$22&gt;A914)*(Calc!$G$3:$G$22-A914)*Calc!$I$3:$I$22)</f>
        <v/>
      </c>
      <c r="O914">
        <f>SUMPRODUCT(Calc!$K$3:$K$22*(Calc!$G$3:$G$22&gt;B914)*(Calc!$G$3:$G$22-B914)*Calc!$I$3:$I$22)</f>
        <v/>
      </c>
      <c r="P914">
        <f>I914-G914^2/k_n</f>
        <v/>
      </c>
      <c r="Q914">
        <f>J914-H914^2/k_n</f>
        <v/>
      </c>
      <c r="R914">
        <f>K914-G914*H914/k_n</f>
        <v/>
      </c>
      <c r="S914">
        <f>L914-LTP3!$D$3*G914/k_n</f>
        <v/>
      </c>
      <c r="T914">
        <f>M914-LTP3!$D$3*H914/k_n</f>
        <v/>
      </c>
      <c r="U914">
        <f>N914-G914*LTP3!$D$4/k_n</f>
        <v/>
      </c>
      <c r="V914">
        <f>O914-H914*LTP3!$D$4/k_n</f>
        <v/>
      </c>
      <c r="W914">
        <f>((LTP3!$D$5)*((P914)*(Q914)-(R914)*(R914))-(S914)*((S914)*(Q914)-(R914)*(T914))+(T914)*((S914)*(R914)-(P914)*(T914)))</f>
        <v/>
      </c>
      <c r="X914">
        <f>IF(ABS(W914)&gt;1E-12,((LTP3!$D$6)*((P914)*(Q914)-(R914)*(R914))-(S914)*((U914)*(Q914)-(R914)*(V914))+(T914)*((U914)*(R914)-(P914)*(V914)))/W914,0)</f>
        <v/>
      </c>
      <c r="Y914">
        <f>IF(ABS(W914)&gt;1E-12,((LTP3!$D$5)*((U914)*(Q914)-(R914)*(V914))-(LTP3!$D$6)*((S914)*(Q914)-(R914)*(T914))+(T914)*((S914)*(V914)-(U914)*(T914)))/W914,0)</f>
        <v/>
      </c>
      <c r="Z914">
        <f>IF(ABS(W914)&gt;1E-12,((LTP3!$D$5)*((P914)*(V914)-(U914)*(R914))-(S914)*((S914)*(V914)-(U914)*(T914))+(LTP3!$D$6)*((S914)*(R914)-(P914)*(T914)))/W914,0)</f>
        <v/>
      </c>
      <c r="AA914">
        <f>LTP3!$D$7-X914*LTP3!$D$6-Y914*U914-Z914*V914</f>
        <v/>
      </c>
      <c r="AB914">
        <f>IF(AND(F914,ABS(W914)&gt;1E-12,Y914&gt;0,Z914&gt;0),AA914,1E+300)</f>
        <v/>
      </c>
    </row>
    <row r="915">
      <c r="A915">
        <f>$B$3+$B$5*14</f>
        <v/>
      </c>
      <c r="B915">
        <f>$B$3+$B$5*49</f>
        <v/>
      </c>
      <c r="C915">
        <f>SUMPRODUCT(Calc!$K$3:$K$22*(Calc!$G$3:$G$22&lt;=A915))</f>
        <v/>
      </c>
      <c r="D915">
        <f>SUMPRODUCT(Calc!$K$3:$K$22*(Calc!$G$3:$G$22&gt;A915)*(Calc!$G$3:$G$22&lt;B915))</f>
        <v/>
      </c>
      <c r="E915">
        <f>SUMPRODUCT(Calc!$K$3:$K$22*(Calc!$G$3:$G$22&gt;=B915))</f>
        <v/>
      </c>
      <c r="F915">
        <f>AND(k_n&gt;=5,B915&gt;A915+1E-9,C915&gt;=2,D915&gt;=1,E915&gt;=2)</f>
        <v/>
      </c>
      <c r="G915">
        <f>SUMPRODUCT(Calc!$K$3:$K$22*(Calc!$G$3:$G$22&gt;A915)*(Calc!$G$3:$G$22-A915))</f>
        <v/>
      </c>
      <c r="H915">
        <f>SUMPRODUCT(Calc!$K$3:$K$22*(Calc!$G$3:$G$22&gt;B915)*(Calc!$G$3:$G$22-B915))</f>
        <v/>
      </c>
      <c r="I915">
        <f>SUMPRODUCT(Calc!$K$3:$K$22*(Calc!$G$3:$G$22&gt;A915)*(Calc!$G$3:$G$22-A915)^2)</f>
        <v/>
      </c>
      <c r="J915">
        <f>SUMPRODUCT(Calc!$K$3:$K$22*(Calc!$G$3:$G$22&gt;B915)*(Calc!$G$3:$G$22-B915)^2)</f>
        <v/>
      </c>
      <c r="K915">
        <f>SUMPRODUCT(Calc!$K$3:$K$22*(Calc!$G$3:$G$22&gt;A915)*(Calc!$G$3:$G$22-A915)*(Calc!$G$3:$G$22&gt;B915)*(Calc!$G$3:$G$22-B915))</f>
        <v/>
      </c>
      <c r="L915">
        <f>SUMPRODUCT(Calc!$K$3:$K$22*(Calc!$G$3:$G$22&gt;A915)*(Calc!$G$3:$G$22-A915)*Calc!$G$3:$G$22)</f>
        <v/>
      </c>
      <c r="M915">
        <f>SUMPRODUCT(Calc!$K$3:$K$22*(Calc!$G$3:$G$22&gt;B915)*(Calc!$G$3:$G$22-B915)*Calc!$G$3:$G$22)</f>
        <v/>
      </c>
      <c r="N915">
        <f>SUMPRODUCT(Calc!$K$3:$K$22*(Calc!$G$3:$G$22&gt;A915)*(Calc!$G$3:$G$22-A915)*Calc!$I$3:$I$22)</f>
        <v/>
      </c>
      <c r="O915">
        <f>SUMPRODUCT(Calc!$K$3:$K$22*(Calc!$G$3:$G$22&gt;B915)*(Calc!$G$3:$G$22-B915)*Calc!$I$3:$I$22)</f>
        <v/>
      </c>
      <c r="P915">
        <f>I915-G915^2/k_n</f>
        <v/>
      </c>
      <c r="Q915">
        <f>J915-H915^2/k_n</f>
        <v/>
      </c>
      <c r="R915">
        <f>K915-G915*H915/k_n</f>
        <v/>
      </c>
      <c r="S915">
        <f>L915-LTP3!$D$3*G915/k_n</f>
        <v/>
      </c>
      <c r="T915">
        <f>M915-LTP3!$D$3*H915/k_n</f>
        <v/>
      </c>
      <c r="U915">
        <f>N915-G915*LTP3!$D$4/k_n</f>
        <v/>
      </c>
      <c r="V915">
        <f>O915-H915*LTP3!$D$4/k_n</f>
        <v/>
      </c>
      <c r="W915">
        <f>((LTP3!$D$5)*((P915)*(Q915)-(R915)*(R915))-(S915)*((S915)*(Q915)-(R915)*(T915))+(T915)*((S915)*(R915)-(P915)*(T915)))</f>
        <v/>
      </c>
      <c r="X915">
        <f>IF(ABS(W915)&gt;1E-12,((LTP3!$D$6)*((P915)*(Q915)-(R915)*(R915))-(S915)*((U915)*(Q915)-(R915)*(V915))+(T915)*((U915)*(R915)-(P915)*(V915)))/W915,0)</f>
        <v/>
      </c>
      <c r="Y915">
        <f>IF(ABS(W915)&gt;1E-12,((LTP3!$D$5)*((U915)*(Q915)-(R915)*(V915))-(LTP3!$D$6)*((S915)*(Q915)-(R915)*(T915))+(T915)*((S915)*(V915)-(U915)*(T915)))/W915,0)</f>
        <v/>
      </c>
      <c r="Z915">
        <f>IF(ABS(W915)&gt;1E-12,((LTP3!$D$5)*((P915)*(V915)-(U915)*(R915))-(S915)*((S915)*(V915)-(U915)*(T915))+(LTP3!$D$6)*((S915)*(R915)-(P915)*(T915)))/W915,0)</f>
        <v/>
      </c>
      <c r="AA915">
        <f>LTP3!$D$7-X915*LTP3!$D$6-Y915*U915-Z915*V915</f>
        <v/>
      </c>
      <c r="AB915">
        <f>IF(AND(F915,ABS(W915)&gt;1E-12,Y915&gt;0,Z915&gt;0),AA915,1E+300)</f>
        <v/>
      </c>
    </row>
    <row r="916">
      <c r="A916">
        <f>$B$3+$B$5*14</f>
        <v/>
      </c>
      <c r="B916">
        <f>$B$3+$B$5*50</f>
        <v/>
      </c>
      <c r="C916">
        <f>SUMPRODUCT(Calc!$K$3:$K$22*(Calc!$G$3:$G$22&lt;=A916))</f>
        <v/>
      </c>
      <c r="D916">
        <f>SUMPRODUCT(Calc!$K$3:$K$22*(Calc!$G$3:$G$22&gt;A916)*(Calc!$G$3:$G$22&lt;B916))</f>
        <v/>
      </c>
      <c r="E916">
        <f>SUMPRODUCT(Calc!$K$3:$K$22*(Calc!$G$3:$G$22&gt;=B916))</f>
        <v/>
      </c>
      <c r="F916">
        <f>AND(k_n&gt;=5,B916&gt;A916+1E-9,C916&gt;=2,D916&gt;=1,E916&gt;=2)</f>
        <v/>
      </c>
      <c r="G916">
        <f>SUMPRODUCT(Calc!$K$3:$K$22*(Calc!$G$3:$G$22&gt;A916)*(Calc!$G$3:$G$22-A916))</f>
        <v/>
      </c>
      <c r="H916">
        <f>SUMPRODUCT(Calc!$K$3:$K$22*(Calc!$G$3:$G$22&gt;B916)*(Calc!$G$3:$G$22-B916))</f>
        <v/>
      </c>
      <c r="I916">
        <f>SUMPRODUCT(Calc!$K$3:$K$22*(Calc!$G$3:$G$22&gt;A916)*(Calc!$G$3:$G$22-A916)^2)</f>
        <v/>
      </c>
      <c r="J916">
        <f>SUMPRODUCT(Calc!$K$3:$K$22*(Calc!$G$3:$G$22&gt;B916)*(Calc!$G$3:$G$22-B916)^2)</f>
        <v/>
      </c>
      <c r="K916">
        <f>SUMPRODUCT(Calc!$K$3:$K$22*(Calc!$G$3:$G$22&gt;A916)*(Calc!$G$3:$G$22-A916)*(Calc!$G$3:$G$22&gt;B916)*(Calc!$G$3:$G$22-B916))</f>
        <v/>
      </c>
      <c r="L916">
        <f>SUMPRODUCT(Calc!$K$3:$K$22*(Calc!$G$3:$G$22&gt;A916)*(Calc!$G$3:$G$22-A916)*Calc!$G$3:$G$22)</f>
        <v/>
      </c>
      <c r="M916">
        <f>SUMPRODUCT(Calc!$K$3:$K$22*(Calc!$G$3:$G$22&gt;B916)*(Calc!$G$3:$G$22-B916)*Calc!$G$3:$G$22)</f>
        <v/>
      </c>
      <c r="N916">
        <f>SUMPRODUCT(Calc!$K$3:$K$22*(Calc!$G$3:$G$22&gt;A916)*(Calc!$G$3:$G$22-A916)*Calc!$I$3:$I$22)</f>
        <v/>
      </c>
      <c r="O916">
        <f>SUMPRODUCT(Calc!$K$3:$K$22*(Calc!$G$3:$G$22&gt;B916)*(Calc!$G$3:$G$22-B916)*Calc!$I$3:$I$22)</f>
        <v/>
      </c>
      <c r="P916">
        <f>I916-G916^2/k_n</f>
        <v/>
      </c>
      <c r="Q916">
        <f>J916-H916^2/k_n</f>
        <v/>
      </c>
      <c r="R916">
        <f>K916-G916*H916/k_n</f>
        <v/>
      </c>
      <c r="S916">
        <f>L916-LTP3!$D$3*G916/k_n</f>
        <v/>
      </c>
      <c r="T916">
        <f>M916-LTP3!$D$3*H916/k_n</f>
        <v/>
      </c>
      <c r="U916">
        <f>N916-G916*LTP3!$D$4/k_n</f>
        <v/>
      </c>
      <c r="V916">
        <f>O916-H916*LTP3!$D$4/k_n</f>
        <v/>
      </c>
      <c r="W916">
        <f>((LTP3!$D$5)*((P916)*(Q916)-(R916)*(R916))-(S916)*((S916)*(Q916)-(R916)*(T916))+(T916)*((S916)*(R916)-(P916)*(T916)))</f>
        <v/>
      </c>
      <c r="X916">
        <f>IF(ABS(W916)&gt;1E-12,((LTP3!$D$6)*((P916)*(Q916)-(R916)*(R916))-(S916)*((U916)*(Q916)-(R916)*(V916))+(T916)*((U916)*(R916)-(P916)*(V916)))/W916,0)</f>
        <v/>
      </c>
      <c r="Y916">
        <f>IF(ABS(W916)&gt;1E-12,((LTP3!$D$5)*((U916)*(Q916)-(R916)*(V916))-(LTP3!$D$6)*((S916)*(Q916)-(R916)*(T916))+(T916)*((S916)*(V916)-(U916)*(T916)))/W916,0)</f>
        <v/>
      </c>
      <c r="Z916">
        <f>IF(ABS(W916)&gt;1E-12,((LTP3!$D$5)*((P916)*(V916)-(U916)*(R916))-(S916)*((S916)*(V916)-(U916)*(T916))+(LTP3!$D$6)*((S916)*(R916)-(P916)*(T916)))/W916,0)</f>
        <v/>
      </c>
      <c r="AA916">
        <f>LTP3!$D$7-X916*LTP3!$D$6-Y916*U916-Z916*V916</f>
        <v/>
      </c>
      <c r="AB916">
        <f>IF(AND(F916,ABS(W916)&gt;1E-12,Y916&gt;0,Z916&gt;0),AA916,1E+300)</f>
        <v/>
      </c>
    </row>
    <row r="917">
      <c r="A917">
        <f>$B$3+$B$5*14</f>
        <v/>
      </c>
      <c r="B917">
        <f>$B$3+$B$5*51</f>
        <v/>
      </c>
      <c r="C917">
        <f>SUMPRODUCT(Calc!$K$3:$K$22*(Calc!$G$3:$G$22&lt;=A917))</f>
        <v/>
      </c>
      <c r="D917">
        <f>SUMPRODUCT(Calc!$K$3:$K$22*(Calc!$G$3:$G$22&gt;A917)*(Calc!$G$3:$G$22&lt;B917))</f>
        <v/>
      </c>
      <c r="E917">
        <f>SUMPRODUCT(Calc!$K$3:$K$22*(Calc!$G$3:$G$22&gt;=B917))</f>
        <v/>
      </c>
      <c r="F917">
        <f>AND(k_n&gt;=5,B917&gt;A917+1E-9,C917&gt;=2,D917&gt;=1,E917&gt;=2)</f>
        <v/>
      </c>
      <c r="G917">
        <f>SUMPRODUCT(Calc!$K$3:$K$22*(Calc!$G$3:$G$22&gt;A917)*(Calc!$G$3:$G$22-A917))</f>
        <v/>
      </c>
      <c r="H917">
        <f>SUMPRODUCT(Calc!$K$3:$K$22*(Calc!$G$3:$G$22&gt;B917)*(Calc!$G$3:$G$22-B917))</f>
        <v/>
      </c>
      <c r="I917">
        <f>SUMPRODUCT(Calc!$K$3:$K$22*(Calc!$G$3:$G$22&gt;A917)*(Calc!$G$3:$G$22-A917)^2)</f>
        <v/>
      </c>
      <c r="J917">
        <f>SUMPRODUCT(Calc!$K$3:$K$22*(Calc!$G$3:$G$22&gt;B917)*(Calc!$G$3:$G$22-B917)^2)</f>
        <v/>
      </c>
      <c r="K917">
        <f>SUMPRODUCT(Calc!$K$3:$K$22*(Calc!$G$3:$G$22&gt;A917)*(Calc!$G$3:$G$22-A917)*(Calc!$G$3:$G$22&gt;B917)*(Calc!$G$3:$G$22-B917))</f>
        <v/>
      </c>
      <c r="L917">
        <f>SUMPRODUCT(Calc!$K$3:$K$22*(Calc!$G$3:$G$22&gt;A917)*(Calc!$G$3:$G$22-A917)*Calc!$G$3:$G$22)</f>
        <v/>
      </c>
      <c r="M917">
        <f>SUMPRODUCT(Calc!$K$3:$K$22*(Calc!$G$3:$G$22&gt;B917)*(Calc!$G$3:$G$22-B917)*Calc!$G$3:$G$22)</f>
        <v/>
      </c>
      <c r="N917">
        <f>SUMPRODUCT(Calc!$K$3:$K$22*(Calc!$G$3:$G$22&gt;A917)*(Calc!$G$3:$G$22-A917)*Calc!$I$3:$I$22)</f>
        <v/>
      </c>
      <c r="O917">
        <f>SUMPRODUCT(Calc!$K$3:$K$22*(Calc!$G$3:$G$22&gt;B917)*(Calc!$G$3:$G$22-B917)*Calc!$I$3:$I$22)</f>
        <v/>
      </c>
      <c r="P917">
        <f>I917-G917^2/k_n</f>
        <v/>
      </c>
      <c r="Q917">
        <f>J917-H917^2/k_n</f>
        <v/>
      </c>
      <c r="R917">
        <f>K917-G917*H917/k_n</f>
        <v/>
      </c>
      <c r="S917">
        <f>L917-LTP3!$D$3*G917/k_n</f>
        <v/>
      </c>
      <c r="T917">
        <f>M917-LTP3!$D$3*H917/k_n</f>
        <v/>
      </c>
      <c r="U917">
        <f>N917-G917*LTP3!$D$4/k_n</f>
        <v/>
      </c>
      <c r="V917">
        <f>O917-H917*LTP3!$D$4/k_n</f>
        <v/>
      </c>
      <c r="W917">
        <f>((LTP3!$D$5)*((P917)*(Q917)-(R917)*(R917))-(S917)*((S917)*(Q917)-(R917)*(T917))+(T917)*((S917)*(R917)-(P917)*(T917)))</f>
        <v/>
      </c>
      <c r="X917">
        <f>IF(ABS(W917)&gt;1E-12,((LTP3!$D$6)*((P917)*(Q917)-(R917)*(R917))-(S917)*((U917)*(Q917)-(R917)*(V917))+(T917)*((U917)*(R917)-(P917)*(V917)))/W917,0)</f>
        <v/>
      </c>
      <c r="Y917">
        <f>IF(ABS(W917)&gt;1E-12,((LTP3!$D$5)*((U917)*(Q917)-(R917)*(V917))-(LTP3!$D$6)*((S917)*(Q917)-(R917)*(T917))+(T917)*((S917)*(V917)-(U917)*(T917)))/W917,0)</f>
        <v/>
      </c>
      <c r="Z917">
        <f>IF(ABS(W917)&gt;1E-12,((LTP3!$D$5)*((P917)*(V917)-(U917)*(R917))-(S917)*((S917)*(V917)-(U917)*(T917))+(LTP3!$D$6)*((S917)*(R917)-(P917)*(T917)))/W917,0)</f>
        <v/>
      </c>
      <c r="AA917">
        <f>LTP3!$D$7-X917*LTP3!$D$6-Y917*U917-Z917*V917</f>
        <v/>
      </c>
      <c r="AB917">
        <f>IF(AND(F917,ABS(W917)&gt;1E-12,Y917&gt;0,Z917&gt;0),AA917,1E+300)</f>
        <v/>
      </c>
    </row>
    <row r="918">
      <c r="A918">
        <f>$B$3+$B$5*14</f>
        <v/>
      </c>
      <c r="B918">
        <f>$B$3+$B$5*52</f>
        <v/>
      </c>
      <c r="C918">
        <f>SUMPRODUCT(Calc!$K$3:$K$22*(Calc!$G$3:$G$22&lt;=A918))</f>
        <v/>
      </c>
      <c r="D918">
        <f>SUMPRODUCT(Calc!$K$3:$K$22*(Calc!$G$3:$G$22&gt;A918)*(Calc!$G$3:$G$22&lt;B918))</f>
        <v/>
      </c>
      <c r="E918">
        <f>SUMPRODUCT(Calc!$K$3:$K$22*(Calc!$G$3:$G$22&gt;=B918))</f>
        <v/>
      </c>
      <c r="F918">
        <f>AND(k_n&gt;=5,B918&gt;A918+1E-9,C918&gt;=2,D918&gt;=1,E918&gt;=2)</f>
        <v/>
      </c>
      <c r="G918">
        <f>SUMPRODUCT(Calc!$K$3:$K$22*(Calc!$G$3:$G$22&gt;A918)*(Calc!$G$3:$G$22-A918))</f>
        <v/>
      </c>
      <c r="H918">
        <f>SUMPRODUCT(Calc!$K$3:$K$22*(Calc!$G$3:$G$22&gt;B918)*(Calc!$G$3:$G$22-B918))</f>
        <v/>
      </c>
      <c r="I918">
        <f>SUMPRODUCT(Calc!$K$3:$K$22*(Calc!$G$3:$G$22&gt;A918)*(Calc!$G$3:$G$22-A918)^2)</f>
        <v/>
      </c>
      <c r="J918">
        <f>SUMPRODUCT(Calc!$K$3:$K$22*(Calc!$G$3:$G$22&gt;B918)*(Calc!$G$3:$G$22-B918)^2)</f>
        <v/>
      </c>
      <c r="K918">
        <f>SUMPRODUCT(Calc!$K$3:$K$22*(Calc!$G$3:$G$22&gt;A918)*(Calc!$G$3:$G$22-A918)*(Calc!$G$3:$G$22&gt;B918)*(Calc!$G$3:$G$22-B918))</f>
        <v/>
      </c>
      <c r="L918">
        <f>SUMPRODUCT(Calc!$K$3:$K$22*(Calc!$G$3:$G$22&gt;A918)*(Calc!$G$3:$G$22-A918)*Calc!$G$3:$G$22)</f>
        <v/>
      </c>
      <c r="M918">
        <f>SUMPRODUCT(Calc!$K$3:$K$22*(Calc!$G$3:$G$22&gt;B918)*(Calc!$G$3:$G$22-B918)*Calc!$G$3:$G$22)</f>
        <v/>
      </c>
      <c r="N918">
        <f>SUMPRODUCT(Calc!$K$3:$K$22*(Calc!$G$3:$G$22&gt;A918)*(Calc!$G$3:$G$22-A918)*Calc!$I$3:$I$22)</f>
        <v/>
      </c>
      <c r="O918">
        <f>SUMPRODUCT(Calc!$K$3:$K$22*(Calc!$G$3:$G$22&gt;B918)*(Calc!$G$3:$G$22-B918)*Calc!$I$3:$I$22)</f>
        <v/>
      </c>
      <c r="P918">
        <f>I918-G918^2/k_n</f>
        <v/>
      </c>
      <c r="Q918">
        <f>J918-H918^2/k_n</f>
        <v/>
      </c>
      <c r="R918">
        <f>K918-G918*H918/k_n</f>
        <v/>
      </c>
      <c r="S918">
        <f>L918-LTP3!$D$3*G918/k_n</f>
        <v/>
      </c>
      <c r="T918">
        <f>M918-LTP3!$D$3*H918/k_n</f>
        <v/>
      </c>
      <c r="U918">
        <f>N918-G918*LTP3!$D$4/k_n</f>
        <v/>
      </c>
      <c r="V918">
        <f>O918-H918*LTP3!$D$4/k_n</f>
        <v/>
      </c>
      <c r="W918">
        <f>((LTP3!$D$5)*((P918)*(Q918)-(R918)*(R918))-(S918)*((S918)*(Q918)-(R918)*(T918))+(T918)*((S918)*(R918)-(P918)*(T918)))</f>
        <v/>
      </c>
      <c r="X918">
        <f>IF(ABS(W918)&gt;1E-12,((LTP3!$D$6)*((P918)*(Q918)-(R918)*(R918))-(S918)*((U918)*(Q918)-(R918)*(V918))+(T918)*((U918)*(R918)-(P918)*(V918)))/W918,0)</f>
        <v/>
      </c>
      <c r="Y918">
        <f>IF(ABS(W918)&gt;1E-12,((LTP3!$D$5)*((U918)*(Q918)-(R918)*(V918))-(LTP3!$D$6)*((S918)*(Q918)-(R918)*(T918))+(T918)*((S918)*(V918)-(U918)*(T918)))/W918,0)</f>
        <v/>
      </c>
      <c r="Z918">
        <f>IF(ABS(W918)&gt;1E-12,((LTP3!$D$5)*((P918)*(V918)-(U918)*(R918))-(S918)*((S918)*(V918)-(U918)*(T918))+(LTP3!$D$6)*((S918)*(R918)-(P918)*(T918)))/W918,0)</f>
        <v/>
      </c>
      <c r="AA918">
        <f>LTP3!$D$7-X918*LTP3!$D$6-Y918*U918-Z918*V918</f>
        <v/>
      </c>
      <c r="AB918">
        <f>IF(AND(F918,ABS(W918)&gt;1E-12,Y918&gt;0,Z918&gt;0),AA918,1E+300)</f>
        <v/>
      </c>
    </row>
    <row r="919">
      <c r="A919">
        <f>$B$3+$B$5*14</f>
        <v/>
      </c>
      <c r="B919">
        <f>$B$3+$B$5*53</f>
        <v/>
      </c>
      <c r="C919">
        <f>SUMPRODUCT(Calc!$K$3:$K$22*(Calc!$G$3:$G$22&lt;=A919))</f>
        <v/>
      </c>
      <c r="D919">
        <f>SUMPRODUCT(Calc!$K$3:$K$22*(Calc!$G$3:$G$22&gt;A919)*(Calc!$G$3:$G$22&lt;B919))</f>
        <v/>
      </c>
      <c r="E919">
        <f>SUMPRODUCT(Calc!$K$3:$K$22*(Calc!$G$3:$G$22&gt;=B919))</f>
        <v/>
      </c>
      <c r="F919">
        <f>AND(k_n&gt;=5,B919&gt;A919+1E-9,C919&gt;=2,D919&gt;=1,E919&gt;=2)</f>
        <v/>
      </c>
      <c r="G919">
        <f>SUMPRODUCT(Calc!$K$3:$K$22*(Calc!$G$3:$G$22&gt;A919)*(Calc!$G$3:$G$22-A919))</f>
        <v/>
      </c>
      <c r="H919">
        <f>SUMPRODUCT(Calc!$K$3:$K$22*(Calc!$G$3:$G$22&gt;B919)*(Calc!$G$3:$G$22-B919))</f>
        <v/>
      </c>
      <c r="I919">
        <f>SUMPRODUCT(Calc!$K$3:$K$22*(Calc!$G$3:$G$22&gt;A919)*(Calc!$G$3:$G$22-A919)^2)</f>
        <v/>
      </c>
      <c r="J919">
        <f>SUMPRODUCT(Calc!$K$3:$K$22*(Calc!$G$3:$G$22&gt;B919)*(Calc!$G$3:$G$22-B919)^2)</f>
        <v/>
      </c>
      <c r="K919">
        <f>SUMPRODUCT(Calc!$K$3:$K$22*(Calc!$G$3:$G$22&gt;A919)*(Calc!$G$3:$G$22-A919)*(Calc!$G$3:$G$22&gt;B919)*(Calc!$G$3:$G$22-B919))</f>
        <v/>
      </c>
      <c r="L919">
        <f>SUMPRODUCT(Calc!$K$3:$K$22*(Calc!$G$3:$G$22&gt;A919)*(Calc!$G$3:$G$22-A919)*Calc!$G$3:$G$22)</f>
        <v/>
      </c>
      <c r="M919">
        <f>SUMPRODUCT(Calc!$K$3:$K$22*(Calc!$G$3:$G$22&gt;B919)*(Calc!$G$3:$G$22-B919)*Calc!$G$3:$G$22)</f>
        <v/>
      </c>
      <c r="N919">
        <f>SUMPRODUCT(Calc!$K$3:$K$22*(Calc!$G$3:$G$22&gt;A919)*(Calc!$G$3:$G$22-A919)*Calc!$I$3:$I$22)</f>
        <v/>
      </c>
      <c r="O919">
        <f>SUMPRODUCT(Calc!$K$3:$K$22*(Calc!$G$3:$G$22&gt;B919)*(Calc!$G$3:$G$22-B919)*Calc!$I$3:$I$22)</f>
        <v/>
      </c>
      <c r="P919">
        <f>I919-G919^2/k_n</f>
        <v/>
      </c>
      <c r="Q919">
        <f>J919-H919^2/k_n</f>
        <v/>
      </c>
      <c r="R919">
        <f>K919-G919*H919/k_n</f>
        <v/>
      </c>
      <c r="S919">
        <f>L919-LTP3!$D$3*G919/k_n</f>
        <v/>
      </c>
      <c r="T919">
        <f>M919-LTP3!$D$3*H919/k_n</f>
        <v/>
      </c>
      <c r="U919">
        <f>N919-G919*LTP3!$D$4/k_n</f>
        <v/>
      </c>
      <c r="V919">
        <f>O919-H919*LTP3!$D$4/k_n</f>
        <v/>
      </c>
      <c r="W919">
        <f>((LTP3!$D$5)*((P919)*(Q919)-(R919)*(R919))-(S919)*((S919)*(Q919)-(R919)*(T919))+(T919)*((S919)*(R919)-(P919)*(T919)))</f>
        <v/>
      </c>
      <c r="X919">
        <f>IF(ABS(W919)&gt;1E-12,((LTP3!$D$6)*((P919)*(Q919)-(R919)*(R919))-(S919)*((U919)*(Q919)-(R919)*(V919))+(T919)*((U919)*(R919)-(P919)*(V919)))/W919,0)</f>
        <v/>
      </c>
      <c r="Y919">
        <f>IF(ABS(W919)&gt;1E-12,((LTP3!$D$5)*((U919)*(Q919)-(R919)*(V919))-(LTP3!$D$6)*((S919)*(Q919)-(R919)*(T919))+(T919)*((S919)*(V919)-(U919)*(T919)))/W919,0)</f>
        <v/>
      </c>
      <c r="Z919">
        <f>IF(ABS(W919)&gt;1E-12,((LTP3!$D$5)*((P919)*(V919)-(U919)*(R919))-(S919)*((S919)*(V919)-(U919)*(T919))+(LTP3!$D$6)*((S919)*(R919)-(P919)*(T919)))/W919,0)</f>
        <v/>
      </c>
      <c r="AA919">
        <f>LTP3!$D$7-X919*LTP3!$D$6-Y919*U919-Z919*V919</f>
        <v/>
      </c>
      <c r="AB919">
        <f>IF(AND(F919,ABS(W919)&gt;1E-12,Y919&gt;0,Z919&gt;0),AA919,1E+300)</f>
        <v/>
      </c>
    </row>
    <row r="920">
      <c r="A920">
        <f>$B$3+$B$5*14</f>
        <v/>
      </c>
      <c r="B920">
        <f>$B$3+$B$5*54</f>
        <v/>
      </c>
      <c r="C920">
        <f>SUMPRODUCT(Calc!$K$3:$K$22*(Calc!$G$3:$G$22&lt;=A920))</f>
        <v/>
      </c>
      <c r="D920">
        <f>SUMPRODUCT(Calc!$K$3:$K$22*(Calc!$G$3:$G$22&gt;A920)*(Calc!$G$3:$G$22&lt;B920))</f>
        <v/>
      </c>
      <c r="E920">
        <f>SUMPRODUCT(Calc!$K$3:$K$22*(Calc!$G$3:$G$22&gt;=B920))</f>
        <v/>
      </c>
      <c r="F920">
        <f>AND(k_n&gt;=5,B920&gt;A920+1E-9,C920&gt;=2,D920&gt;=1,E920&gt;=2)</f>
        <v/>
      </c>
      <c r="G920">
        <f>SUMPRODUCT(Calc!$K$3:$K$22*(Calc!$G$3:$G$22&gt;A920)*(Calc!$G$3:$G$22-A920))</f>
        <v/>
      </c>
      <c r="H920">
        <f>SUMPRODUCT(Calc!$K$3:$K$22*(Calc!$G$3:$G$22&gt;B920)*(Calc!$G$3:$G$22-B920))</f>
        <v/>
      </c>
      <c r="I920">
        <f>SUMPRODUCT(Calc!$K$3:$K$22*(Calc!$G$3:$G$22&gt;A920)*(Calc!$G$3:$G$22-A920)^2)</f>
        <v/>
      </c>
      <c r="J920">
        <f>SUMPRODUCT(Calc!$K$3:$K$22*(Calc!$G$3:$G$22&gt;B920)*(Calc!$G$3:$G$22-B920)^2)</f>
        <v/>
      </c>
      <c r="K920">
        <f>SUMPRODUCT(Calc!$K$3:$K$22*(Calc!$G$3:$G$22&gt;A920)*(Calc!$G$3:$G$22-A920)*(Calc!$G$3:$G$22&gt;B920)*(Calc!$G$3:$G$22-B920))</f>
        <v/>
      </c>
      <c r="L920">
        <f>SUMPRODUCT(Calc!$K$3:$K$22*(Calc!$G$3:$G$22&gt;A920)*(Calc!$G$3:$G$22-A920)*Calc!$G$3:$G$22)</f>
        <v/>
      </c>
      <c r="M920">
        <f>SUMPRODUCT(Calc!$K$3:$K$22*(Calc!$G$3:$G$22&gt;B920)*(Calc!$G$3:$G$22-B920)*Calc!$G$3:$G$22)</f>
        <v/>
      </c>
      <c r="N920">
        <f>SUMPRODUCT(Calc!$K$3:$K$22*(Calc!$G$3:$G$22&gt;A920)*(Calc!$G$3:$G$22-A920)*Calc!$I$3:$I$22)</f>
        <v/>
      </c>
      <c r="O920">
        <f>SUMPRODUCT(Calc!$K$3:$K$22*(Calc!$G$3:$G$22&gt;B920)*(Calc!$G$3:$G$22-B920)*Calc!$I$3:$I$22)</f>
        <v/>
      </c>
      <c r="P920">
        <f>I920-G920^2/k_n</f>
        <v/>
      </c>
      <c r="Q920">
        <f>J920-H920^2/k_n</f>
        <v/>
      </c>
      <c r="R920">
        <f>K920-G920*H920/k_n</f>
        <v/>
      </c>
      <c r="S920">
        <f>L920-LTP3!$D$3*G920/k_n</f>
        <v/>
      </c>
      <c r="T920">
        <f>M920-LTP3!$D$3*H920/k_n</f>
        <v/>
      </c>
      <c r="U920">
        <f>N920-G920*LTP3!$D$4/k_n</f>
        <v/>
      </c>
      <c r="V920">
        <f>O920-H920*LTP3!$D$4/k_n</f>
        <v/>
      </c>
      <c r="W920">
        <f>((LTP3!$D$5)*((P920)*(Q920)-(R920)*(R920))-(S920)*((S920)*(Q920)-(R920)*(T920))+(T920)*((S920)*(R920)-(P920)*(T920)))</f>
        <v/>
      </c>
      <c r="X920">
        <f>IF(ABS(W920)&gt;1E-12,((LTP3!$D$6)*((P920)*(Q920)-(R920)*(R920))-(S920)*((U920)*(Q920)-(R920)*(V920))+(T920)*((U920)*(R920)-(P920)*(V920)))/W920,0)</f>
        <v/>
      </c>
      <c r="Y920">
        <f>IF(ABS(W920)&gt;1E-12,((LTP3!$D$5)*((U920)*(Q920)-(R920)*(V920))-(LTP3!$D$6)*((S920)*(Q920)-(R920)*(T920))+(T920)*((S920)*(V920)-(U920)*(T920)))/W920,0)</f>
        <v/>
      </c>
      <c r="Z920">
        <f>IF(ABS(W920)&gt;1E-12,((LTP3!$D$5)*((P920)*(V920)-(U920)*(R920))-(S920)*((S920)*(V920)-(U920)*(T920))+(LTP3!$D$6)*((S920)*(R920)-(P920)*(T920)))/W920,0)</f>
        <v/>
      </c>
      <c r="AA920">
        <f>LTP3!$D$7-X920*LTP3!$D$6-Y920*U920-Z920*V920</f>
        <v/>
      </c>
      <c r="AB920">
        <f>IF(AND(F920,ABS(W920)&gt;1E-12,Y920&gt;0,Z920&gt;0),AA920,1E+300)</f>
        <v/>
      </c>
    </row>
    <row r="921">
      <c r="A921">
        <f>$B$3+$B$5*14</f>
        <v/>
      </c>
      <c r="B921">
        <f>$B$3+$B$5*55</f>
        <v/>
      </c>
      <c r="C921">
        <f>SUMPRODUCT(Calc!$K$3:$K$22*(Calc!$G$3:$G$22&lt;=A921))</f>
        <v/>
      </c>
      <c r="D921">
        <f>SUMPRODUCT(Calc!$K$3:$K$22*(Calc!$G$3:$G$22&gt;A921)*(Calc!$G$3:$G$22&lt;B921))</f>
        <v/>
      </c>
      <c r="E921">
        <f>SUMPRODUCT(Calc!$K$3:$K$22*(Calc!$G$3:$G$22&gt;=B921))</f>
        <v/>
      </c>
      <c r="F921">
        <f>AND(k_n&gt;=5,B921&gt;A921+1E-9,C921&gt;=2,D921&gt;=1,E921&gt;=2)</f>
        <v/>
      </c>
      <c r="G921">
        <f>SUMPRODUCT(Calc!$K$3:$K$22*(Calc!$G$3:$G$22&gt;A921)*(Calc!$G$3:$G$22-A921))</f>
        <v/>
      </c>
      <c r="H921">
        <f>SUMPRODUCT(Calc!$K$3:$K$22*(Calc!$G$3:$G$22&gt;B921)*(Calc!$G$3:$G$22-B921))</f>
        <v/>
      </c>
      <c r="I921">
        <f>SUMPRODUCT(Calc!$K$3:$K$22*(Calc!$G$3:$G$22&gt;A921)*(Calc!$G$3:$G$22-A921)^2)</f>
        <v/>
      </c>
      <c r="J921">
        <f>SUMPRODUCT(Calc!$K$3:$K$22*(Calc!$G$3:$G$22&gt;B921)*(Calc!$G$3:$G$22-B921)^2)</f>
        <v/>
      </c>
      <c r="K921">
        <f>SUMPRODUCT(Calc!$K$3:$K$22*(Calc!$G$3:$G$22&gt;A921)*(Calc!$G$3:$G$22-A921)*(Calc!$G$3:$G$22&gt;B921)*(Calc!$G$3:$G$22-B921))</f>
        <v/>
      </c>
      <c r="L921">
        <f>SUMPRODUCT(Calc!$K$3:$K$22*(Calc!$G$3:$G$22&gt;A921)*(Calc!$G$3:$G$22-A921)*Calc!$G$3:$G$22)</f>
        <v/>
      </c>
      <c r="M921">
        <f>SUMPRODUCT(Calc!$K$3:$K$22*(Calc!$G$3:$G$22&gt;B921)*(Calc!$G$3:$G$22-B921)*Calc!$G$3:$G$22)</f>
        <v/>
      </c>
      <c r="N921">
        <f>SUMPRODUCT(Calc!$K$3:$K$22*(Calc!$G$3:$G$22&gt;A921)*(Calc!$G$3:$G$22-A921)*Calc!$I$3:$I$22)</f>
        <v/>
      </c>
      <c r="O921">
        <f>SUMPRODUCT(Calc!$K$3:$K$22*(Calc!$G$3:$G$22&gt;B921)*(Calc!$G$3:$G$22-B921)*Calc!$I$3:$I$22)</f>
        <v/>
      </c>
      <c r="P921">
        <f>I921-G921^2/k_n</f>
        <v/>
      </c>
      <c r="Q921">
        <f>J921-H921^2/k_n</f>
        <v/>
      </c>
      <c r="R921">
        <f>K921-G921*H921/k_n</f>
        <v/>
      </c>
      <c r="S921">
        <f>L921-LTP3!$D$3*G921/k_n</f>
        <v/>
      </c>
      <c r="T921">
        <f>M921-LTP3!$D$3*H921/k_n</f>
        <v/>
      </c>
      <c r="U921">
        <f>N921-G921*LTP3!$D$4/k_n</f>
        <v/>
      </c>
      <c r="V921">
        <f>O921-H921*LTP3!$D$4/k_n</f>
        <v/>
      </c>
      <c r="W921">
        <f>((LTP3!$D$5)*((P921)*(Q921)-(R921)*(R921))-(S921)*((S921)*(Q921)-(R921)*(T921))+(T921)*((S921)*(R921)-(P921)*(T921)))</f>
        <v/>
      </c>
      <c r="X921">
        <f>IF(ABS(W921)&gt;1E-12,((LTP3!$D$6)*((P921)*(Q921)-(R921)*(R921))-(S921)*((U921)*(Q921)-(R921)*(V921))+(T921)*((U921)*(R921)-(P921)*(V921)))/W921,0)</f>
        <v/>
      </c>
      <c r="Y921">
        <f>IF(ABS(W921)&gt;1E-12,((LTP3!$D$5)*((U921)*(Q921)-(R921)*(V921))-(LTP3!$D$6)*((S921)*(Q921)-(R921)*(T921))+(T921)*((S921)*(V921)-(U921)*(T921)))/W921,0)</f>
        <v/>
      </c>
      <c r="Z921">
        <f>IF(ABS(W921)&gt;1E-12,((LTP3!$D$5)*((P921)*(V921)-(U921)*(R921))-(S921)*((S921)*(V921)-(U921)*(T921))+(LTP3!$D$6)*((S921)*(R921)-(P921)*(T921)))/W921,0)</f>
        <v/>
      </c>
      <c r="AA921">
        <f>LTP3!$D$7-X921*LTP3!$D$6-Y921*U921-Z921*V921</f>
        <v/>
      </c>
      <c r="AB921">
        <f>IF(AND(F921,ABS(W921)&gt;1E-12,Y921&gt;0,Z921&gt;0),AA921,1E+300)</f>
        <v/>
      </c>
    </row>
    <row r="922">
      <c r="A922">
        <f>$B$3+$B$5*14</f>
        <v/>
      </c>
      <c r="B922">
        <f>$B$3+$B$5*56</f>
        <v/>
      </c>
      <c r="C922">
        <f>SUMPRODUCT(Calc!$K$3:$K$22*(Calc!$G$3:$G$22&lt;=A922))</f>
        <v/>
      </c>
      <c r="D922">
        <f>SUMPRODUCT(Calc!$K$3:$K$22*(Calc!$G$3:$G$22&gt;A922)*(Calc!$G$3:$G$22&lt;B922))</f>
        <v/>
      </c>
      <c r="E922">
        <f>SUMPRODUCT(Calc!$K$3:$K$22*(Calc!$G$3:$G$22&gt;=B922))</f>
        <v/>
      </c>
      <c r="F922">
        <f>AND(k_n&gt;=5,B922&gt;A922+1E-9,C922&gt;=2,D922&gt;=1,E922&gt;=2)</f>
        <v/>
      </c>
      <c r="G922">
        <f>SUMPRODUCT(Calc!$K$3:$K$22*(Calc!$G$3:$G$22&gt;A922)*(Calc!$G$3:$G$22-A922))</f>
        <v/>
      </c>
      <c r="H922">
        <f>SUMPRODUCT(Calc!$K$3:$K$22*(Calc!$G$3:$G$22&gt;B922)*(Calc!$G$3:$G$22-B922))</f>
        <v/>
      </c>
      <c r="I922">
        <f>SUMPRODUCT(Calc!$K$3:$K$22*(Calc!$G$3:$G$22&gt;A922)*(Calc!$G$3:$G$22-A922)^2)</f>
        <v/>
      </c>
      <c r="J922">
        <f>SUMPRODUCT(Calc!$K$3:$K$22*(Calc!$G$3:$G$22&gt;B922)*(Calc!$G$3:$G$22-B922)^2)</f>
        <v/>
      </c>
      <c r="K922">
        <f>SUMPRODUCT(Calc!$K$3:$K$22*(Calc!$G$3:$G$22&gt;A922)*(Calc!$G$3:$G$22-A922)*(Calc!$G$3:$G$22&gt;B922)*(Calc!$G$3:$G$22-B922))</f>
        <v/>
      </c>
      <c r="L922">
        <f>SUMPRODUCT(Calc!$K$3:$K$22*(Calc!$G$3:$G$22&gt;A922)*(Calc!$G$3:$G$22-A922)*Calc!$G$3:$G$22)</f>
        <v/>
      </c>
      <c r="M922">
        <f>SUMPRODUCT(Calc!$K$3:$K$22*(Calc!$G$3:$G$22&gt;B922)*(Calc!$G$3:$G$22-B922)*Calc!$G$3:$G$22)</f>
        <v/>
      </c>
      <c r="N922">
        <f>SUMPRODUCT(Calc!$K$3:$K$22*(Calc!$G$3:$G$22&gt;A922)*(Calc!$G$3:$G$22-A922)*Calc!$I$3:$I$22)</f>
        <v/>
      </c>
      <c r="O922">
        <f>SUMPRODUCT(Calc!$K$3:$K$22*(Calc!$G$3:$G$22&gt;B922)*(Calc!$G$3:$G$22-B922)*Calc!$I$3:$I$22)</f>
        <v/>
      </c>
      <c r="P922">
        <f>I922-G922^2/k_n</f>
        <v/>
      </c>
      <c r="Q922">
        <f>J922-H922^2/k_n</f>
        <v/>
      </c>
      <c r="R922">
        <f>K922-G922*H922/k_n</f>
        <v/>
      </c>
      <c r="S922">
        <f>L922-LTP3!$D$3*G922/k_n</f>
        <v/>
      </c>
      <c r="T922">
        <f>M922-LTP3!$D$3*H922/k_n</f>
        <v/>
      </c>
      <c r="U922">
        <f>N922-G922*LTP3!$D$4/k_n</f>
        <v/>
      </c>
      <c r="V922">
        <f>O922-H922*LTP3!$D$4/k_n</f>
        <v/>
      </c>
      <c r="W922">
        <f>((LTP3!$D$5)*((P922)*(Q922)-(R922)*(R922))-(S922)*((S922)*(Q922)-(R922)*(T922))+(T922)*((S922)*(R922)-(P922)*(T922)))</f>
        <v/>
      </c>
      <c r="X922">
        <f>IF(ABS(W922)&gt;1E-12,((LTP3!$D$6)*((P922)*(Q922)-(R922)*(R922))-(S922)*((U922)*(Q922)-(R922)*(V922))+(T922)*((U922)*(R922)-(P922)*(V922)))/W922,0)</f>
        <v/>
      </c>
      <c r="Y922">
        <f>IF(ABS(W922)&gt;1E-12,((LTP3!$D$5)*((U922)*(Q922)-(R922)*(V922))-(LTP3!$D$6)*((S922)*(Q922)-(R922)*(T922))+(T922)*((S922)*(V922)-(U922)*(T922)))/W922,0)</f>
        <v/>
      </c>
      <c r="Z922">
        <f>IF(ABS(W922)&gt;1E-12,((LTP3!$D$5)*((P922)*(V922)-(U922)*(R922))-(S922)*((S922)*(V922)-(U922)*(T922))+(LTP3!$D$6)*((S922)*(R922)-(P922)*(T922)))/W922,0)</f>
        <v/>
      </c>
      <c r="AA922">
        <f>LTP3!$D$7-X922*LTP3!$D$6-Y922*U922-Z922*V922</f>
        <v/>
      </c>
      <c r="AB922">
        <f>IF(AND(F922,ABS(W922)&gt;1E-12,Y922&gt;0,Z922&gt;0),AA922,1E+300)</f>
        <v/>
      </c>
    </row>
    <row r="923">
      <c r="A923">
        <f>$B$3+$B$5*14</f>
        <v/>
      </c>
      <c r="B923">
        <f>$B$3+$B$5*57</f>
        <v/>
      </c>
      <c r="C923">
        <f>SUMPRODUCT(Calc!$K$3:$K$22*(Calc!$G$3:$G$22&lt;=A923))</f>
        <v/>
      </c>
      <c r="D923">
        <f>SUMPRODUCT(Calc!$K$3:$K$22*(Calc!$G$3:$G$22&gt;A923)*(Calc!$G$3:$G$22&lt;B923))</f>
        <v/>
      </c>
      <c r="E923">
        <f>SUMPRODUCT(Calc!$K$3:$K$22*(Calc!$G$3:$G$22&gt;=B923))</f>
        <v/>
      </c>
      <c r="F923">
        <f>AND(k_n&gt;=5,B923&gt;A923+1E-9,C923&gt;=2,D923&gt;=1,E923&gt;=2)</f>
        <v/>
      </c>
      <c r="G923">
        <f>SUMPRODUCT(Calc!$K$3:$K$22*(Calc!$G$3:$G$22&gt;A923)*(Calc!$G$3:$G$22-A923))</f>
        <v/>
      </c>
      <c r="H923">
        <f>SUMPRODUCT(Calc!$K$3:$K$22*(Calc!$G$3:$G$22&gt;B923)*(Calc!$G$3:$G$22-B923))</f>
        <v/>
      </c>
      <c r="I923">
        <f>SUMPRODUCT(Calc!$K$3:$K$22*(Calc!$G$3:$G$22&gt;A923)*(Calc!$G$3:$G$22-A923)^2)</f>
        <v/>
      </c>
      <c r="J923">
        <f>SUMPRODUCT(Calc!$K$3:$K$22*(Calc!$G$3:$G$22&gt;B923)*(Calc!$G$3:$G$22-B923)^2)</f>
        <v/>
      </c>
      <c r="K923">
        <f>SUMPRODUCT(Calc!$K$3:$K$22*(Calc!$G$3:$G$22&gt;A923)*(Calc!$G$3:$G$22-A923)*(Calc!$G$3:$G$22&gt;B923)*(Calc!$G$3:$G$22-B923))</f>
        <v/>
      </c>
      <c r="L923">
        <f>SUMPRODUCT(Calc!$K$3:$K$22*(Calc!$G$3:$G$22&gt;A923)*(Calc!$G$3:$G$22-A923)*Calc!$G$3:$G$22)</f>
        <v/>
      </c>
      <c r="M923">
        <f>SUMPRODUCT(Calc!$K$3:$K$22*(Calc!$G$3:$G$22&gt;B923)*(Calc!$G$3:$G$22-B923)*Calc!$G$3:$G$22)</f>
        <v/>
      </c>
      <c r="N923">
        <f>SUMPRODUCT(Calc!$K$3:$K$22*(Calc!$G$3:$G$22&gt;A923)*(Calc!$G$3:$G$22-A923)*Calc!$I$3:$I$22)</f>
        <v/>
      </c>
      <c r="O923">
        <f>SUMPRODUCT(Calc!$K$3:$K$22*(Calc!$G$3:$G$22&gt;B923)*(Calc!$G$3:$G$22-B923)*Calc!$I$3:$I$22)</f>
        <v/>
      </c>
      <c r="P923">
        <f>I923-G923^2/k_n</f>
        <v/>
      </c>
      <c r="Q923">
        <f>J923-H923^2/k_n</f>
        <v/>
      </c>
      <c r="R923">
        <f>K923-G923*H923/k_n</f>
        <v/>
      </c>
      <c r="S923">
        <f>L923-LTP3!$D$3*G923/k_n</f>
        <v/>
      </c>
      <c r="T923">
        <f>M923-LTP3!$D$3*H923/k_n</f>
        <v/>
      </c>
      <c r="U923">
        <f>N923-G923*LTP3!$D$4/k_n</f>
        <v/>
      </c>
      <c r="V923">
        <f>O923-H923*LTP3!$D$4/k_n</f>
        <v/>
      </c>
      <c r="W923">
        <f>((LTP3!$D$5)*((P923)*(Q923)-(R923)*(R923))-(S923)*((S923)*(Q923)-(R923)*(T923))+(T923)*((S923)*(R923)-(P923)*(T923)))</f>
        <v/>
      </c>
      <c r="X923">
        <f>IF(ABS(W923)&gt;1E-12,((LTP3!$D$6)*((P923)*(Q923)-(R923)*(R923))-(S923)*((U923)*(Q923)-(R923)*(V923))+(T923)*((U923)*(R923)-(P923)*(V923)))/W923,0)</f>
        <v/>
      </c>
      <c r="Y923">
        <f>IF(ABS(W923)&gt;1E-12,((LTP3!$D$5)*((U923)*(Q923)-(R923)*(V923))-(LTP3!$D$6)*((S923)*(Q923)-(R923)*(T923))+(T923)*((S923)*(V923)-(U923)*(T923)))/W923,0)</f>
        <v/>
      </c>
      <c r="Z923">
        <f>IF(ABS(W923)&gt;1E-12,((LTP3!$D$5)*((P923)*(V923)-(U923)*(R923))-(S923)*((S923)*(V923)-(U923)*(T923))+(LTP3!$D$6)*((S923)*(R923)-(P923)*(T923)))/W923,0)</f>
        <v/>
      </c>
      <c r="AA923">
        <f>LTP3!$D$7-X923*LTP3!$D$6-Y923*U923-Z923*V923</f>
        <v/>
      </c>
      <c r="AB923">
        <f>IF(AND(F923,ABS(W923)&gt;1E-12,Y923&gt;0,Z923&gt;0),AA923,1E+300)</f>
        <v/>
      </c>
    </row>
    <row r="924">
      <c r="A924">
        <f>$B$3+$B$5*14</f>
        <v/>
      </c>
      <c r="B924">
        <f>$B$3+$B$5*58</f>
        <v/>
      </c>
      <c r="C924">
        <f>SUMPRODUCT(Calc!$K$3:$K$22*(Calc!$G$3:$G$22&lt;=A924))</f>
        <v/>
      </c>
      <c r="D924">
        <f>SUMPRODUCT(Calc!$K$3:$K$22*(Calc!$G$3:$G$22&gt;A924)*(Calc!$G$3:$G$22&lt;B924))</f>
        <v/>
      </c>
      <c r="E924">
        <f>SUMPRODUCT(Calc!$K$3:$K$22*(Calc!$G$3:$G$22&gt;=B924))</f>
        <v/>
      </c>
      <c r="F924">
        <f>AND(k_n&gt;=5,B924&gt;A924+1E-9,C924&gt;=2,D924&gt;=1,E924&gt;=2)</f>
        <v/>
      </c>
      <c r="G924">
        <f>SUMPRODUCT(Calc!$K$3:$K$22*(Calc!$G$3:$G$22&gt;A924)*(Calc!$G$3:$G$22-A924))</f>
        <v/>
      </c>
      <c r="H924">
        <f>SUMPRODUCT(Calc!$K$3:$K$22*(Calc!$G$3:$G$22&gt;B924)*(Calc!$G$3:$G$22-B924))</f>
        <v/>
      </c>
      <c r="I924">
        <f>SUMPRODUCT(Calc!$K$3:$K$22*(Calc!$G$3:$G$22&gt;A924)*(Calc!$G$3:$G$22-A924)^2)</f>
        <v/>
      </c>
      <c r="J924">
        <f>SUMPRODUCT(Calc!$K$3:$K$22*(Calc!$G$3:$G$22&gt;B924)*(Calc!$G$3:$G$22-B924)^2)</f>
        <v/>
      </c>
      <c r="K924">
        <f>SUMPRODUCT(Calc!$K$3:$K$22*(Calc!$G$3:$G$22&gt;A924)*(Calc!$G$3:$G$22-A924)*(Calc!$G$3:$G$22&gt;B924)*(Calc!$G$3:$G$22-B924))</f>
        <v/>
      </c>
      <c r="L924">
        <f>SUMPRODUCT(Calc!$K$3:$K$22*(Calc!$G$3:$G$22&gt;A924)*(Calc!$G$3:$G$22-A924)*Calc!$G$3:$G$22)</f>
        <v/>
      </c>
      <c r="M924">
        <f>SUMPRODUCT(Calc!$K$3:$K$22*(Calc!$G$3:$G$22&gt;B924)*(Calc!$G$3:$G$22-B924)*Calc!$G$3:$G$22)</f>
        <v/>
      </c>
      <c r="N924">
        <f>SUMPRODUCT(Calc!$K$3:$K$22*(Calc!$G$3:$G$22&gt;A924)*(Calc!$G$3:$G$22-A924)*Calc!$I$3:$I$22)</f>
        <v/>
      </c>
      <c r="O924">
        <f>SUMPRODUCT(Calc!$K$3:$K$22*(Calc!$G$3:$G$22&gt;B924)*(Calc!$G$3:$G$22-B924)*Calc!$I$3:$I$22)</f>
        <v/>
      </c>
      <c r="P924">
        <f>I924-G924^2/k_n</f>
        <v/>
      </c>
      <c r="Q924">
        <f>J924-H924^2/k_n</f>
        <v/>
      </c>
      <c r="R924">
        <f>K924-G924*H924/k_n</f>
        <v/>
      </c>
      <c r="S924">
        <f>L924-LTP3!$D$3*G924/k_n</f>
        <v/>
      </c>
      <c r="T924">
        <f>M924-LTP3!$D$3*H924/k_n</f>
        <v/>
      </c>
      <c r="U924">
        <f>N924-G924*LTP3!$D$4/k_n</f>
        <v/>
      </c>
      <c r="V924">
        <f>O924-H924*LTP3!$D$4/k_n</f>
        <v/>
      </c>
      <c r="W924">
        <f>((LTP3!$D$5)*((P924)*(Q924)-(R924)*(R924))-(S924)*((S924)*(Q924)-(R924)*(T924))+(T924)*((S924)*(R924)-(P924)*(T924)))</f>
        <v/>
      </c>
      <c r="X924">
        <f>IF(ABS(W924)&gt;1E-12,((LTP3!$D$6)*((P924)*(Q924)-(R924)*(R924))-(S924)*((U924)*(Q924)-(R924)*(V924))+(T924)*((U924)*(R924)-(P924)*(V924)))/W924,0)</f>
        <v/>
      </c>
      <c r="Y924">
        <f>IF(ABS(W924)&gt;1E-12,((LTP3!$D$5)*((U924)*(Q924)-(R924)*(V924))-(LTP3!$D$6)*((S924)*(Q924)-(R924)*(T924))+(T924)*((S924)*(V924)-(U924)*(T924)))/W924,0)</f>
        <v/>
      </c>
      <c r="Z924">
        <f>IF(ABS(W924)&gt;1E-12,((LTP3!$D$5)*((P924)*(V924)-(U924)*(R924))-(S924)*((S924)*(V924)-(U924)*(T924))+(LTP3!$D$6)*((S924)*(R924)-(P924)*(T924)))/W924,0)</f>
        <v/>
      </c>
      <c r="AA924">
        <f>LTP3!$D$7-X924*LTP3!$D$6-Y924*U924-Z924*V924</f>
        <v/>
      </c>
      <c r="AB924">
        <f>IF(AND(F924,ABS(W924)&gt;1E-12,Y924&gt;0,Z924&gt;0),AA924,1E+300)</f>
        <v/>
      </c>
    </row>
    <row r="925">
      <c r="A925">
        <f>$B$3+$B$5*14</f>
        <v/>
      </c>
      <c r="B925">
        <f>$B$3+$B$5*59</f>
        <v/>
      </c>
      <c r="C925">
        <f>SUMPRODUCT(Calc!$K$3:$K$22*(Calc!$G$3:$G$22&lt;=A925))</f>
        <v/>
      </c>
      <c r="D925">
        <f>SUMPRODUCT(Calc!$K$3:$K$22*(Calc!$G$3:$G$22&gt;A925)*(Calc!$G$3:$G$22&lt;B925))</f>
        <v/>
      </c>
      <c r="E925">
        <f>SUMPRODUCT(Calc!$K$3:$K$22*(Calc!$G$3:$G$22&gt;=B925))</f>
        <v/>
      </c>
      <c r="F925">
        <f>AND(k_n&gt;=5,B925&gt;A925+1E-9,C925&gt;=2,D925&gt;=1,E925&gt;=2)</f>
        <v/>
      </c>
      <c r="G925">
        <f>SUMPRODUCT(Calc!$K$3:$K$22*(Calc!$G$3:$G$22&gt;A925)*(Calc!$G$3:$G$22-A925))</f>
        <v/>
      </c>
      <c r="H925">
        <f>SUMPRODUCT(Calc!$K$3:$K$22*(Calc!$G$3:$G$22&gt;B925)*(Calc!$G$3:$G$22-B925))</f>
        <v/>
      </c>
      <c r="I925">
        <f>SUMPRODUCT(Calc!$K$3:$K$22*(Calc!$G$3:$G$22&gt;A925)*(Calc!$G$3:$G$22-A925)^2)</f>
        <v/>
      </c>
      <c r="J925">
        <f>SUMPRODUCT(Calc!$K$3:$K$22*(Calc!$G$3:$G$22&gt;B925)*(Calc!$G$3:$G$22-B925)^2)</f>
        <v/>
      </c>
      <c r="K925">
        <f>SUMPRODUCT(Calc!$K$3:$K$22*(Calc!$G$3:$G$22&gt;A925)*(Calc!$G$3:$G$22-A925)*(Calc!$G$3:$G$22&gt;B925)*(Calc!$G$3:$G$22-B925))</f>
        <v/>
      </c>
      <c r="L925">
        <f>SUMPRODUCT(Calc!$K$3:$K$22*(Calc!$G$3:$G$22&gt;A925)*(Calc!$G$3:$G$22-A925)*Calc!$G$3:$G$22)</f>
        <v/>
      </c>
      <c r="M925">
        <f>SUMPRODUCT(Calc!$K$3:$K$22*(Calc!$G$3:$G$22&gt;B925)*(Calc!$G$3:$G$22-B925)*Calc!$G$3:$G$22)</f>
        <v/>
      </c>
      <c r="N925">
        <f>SUMPRODUCT(Calc!$K$3:$K$22*(Calc!$G$3:$G$22&gt;A925)*(Calc!$G$3:$G$22-A925)*Calc!$I$3:$I$22)</f>
        <v/>
      </c>
      <c r="O925">
        <f>SUMPRODUCT(Calc!$K$3:$K$22*(Calc!$G$3:$G$22&gt;B925)*(Calc!$G$3:$G$22-B925)*Calc!$I$3:$I$22)</f>
        <v/>
      </c>
      <c r="P925">
        <f>I925-G925^2/k_n</f>
        <v/>
      </c>
      <c r="Q925">
        <f>J925-H925^2/k_n</f>
        <v/>
      </c>
      <c r="R925">
        <f>K925-G925*H925/k_n</f>
        <v/>
      </c>
      <c r="S925">
        <f>L925-LTP3!$D$3*G925/k_n</f>
        <v/>
      </c>
      <c r="T925">
        <f>M925-LTP3!$D$3*H925/k_n</f>
        <v/>
      </c>
      <c r="U925">
        <f>N925-G925*LTP3!$D$4/k_n</f>
        <v/>
      </c>
      <c r="V925">
        <f>O925-H925*LTP3!$D$4/k_n</f>
        <v/>
      </c>
      <c r="W925">
        <f>((LTP3!$D$5)*((P925)*(Q925)-(R925)*(R925))-(S925)*((S925)*(Q925)-(R925)*(T925))+(T925)*((S925)*(R925)-(P925)*(T925)))</f>
        <v/>
      </c>
      <c r="X925">
        <f>IF(ABS(W925)&gt;1E-12,((LTP3!$D$6)*((P925)*(Q925)-(R925)*(R925))-(S925)*((U925)*(Q925)-(R925)*(V925))+(T925)*((U925)*(R925)-(P925)*(V925)))/W925,0)</f>
        <v/>
      </c>
      <c r="Y925">
        <f>IF(ABS(W925)&gt;1E-12,((LTP3!$D$5)*((U925)*(Q925)-(R925)*(V925))-(LTP3!$D$6)*((S925)*(Q925)-(R925)*(T925))+(T925)*((S925)*(V925)-(U925)*(T925)))/W925,0)</f>
        <v/>
      </c>
      <c r="Z925">
        <f>IF(ABS(W925)&gt;1E-12,((LTP3!$D$5)*((P925)*(V925)-(U925)*(R925))-(S925)*((S925)*(V925)-(U925)*(T925))+(LTP3!$D$6)*((S925)*(R925)-(P925)*(T925)))/W925,0)</f>
        <v/>
      </c>
      <c r="AA925">
        <f>LTP3!$D$7-X925*LTP3!$D$6-Y925*U925-Z925*V925</f>
        <v/>
      </c>
      <c r="AB925">
        <f>IF(AND(F925,ABS(W925)&gt;1E-12,Y925&gt;0,Z925&gt;0),AA925,1E+300)</f>
        <v/>
      </c>
    </row>
    <row r="926">
      <c r="A926">
        <f>$B$3+$B$5*14</f>
        <v/>
      </c>
      <c r="B926">
        <f>$B$3+$B$5*60</f>
        <v/>
      </c>
      <c r="C926">
        <f>SUMPRODUCT(Calc!$K$3:$K$22*(Calc!$G$3:$G$22&lt;=A926))</f>
        <v/>
      </c>
      <c r="D926">
        <f>SUMPRODUCT(Calc!$K$3:$K$22*(Calc!$G$3:$G$22&gt;A926)*(Calc!$G$3:$G$22&lt;B926))</f>
        <v/>
      </c>
      <c r="E926">
        <f>SUMPRODUCT(Calc!$K$3:$K$22*(Calc!$G$3:$G$22&gt;=B926))</f>
        <v/>
      </c>
      <c r="F926">
        <f>AND(k_n&gt;=5,B926&gt;A926+1E-9,C926&gt;=2,D926&gt;=1,E926&gt;=2)</f>
        <v/>
      </c>
      <c r="G926">
        <f>SUMPRODUCT(Calc!$K$3:$K$22*(Calc!$G$3:$G$22&gt;A926)*(Calc!$G$3:$G$22-A926))</f>
        <v/>
      </c>
      <c r="H926">
        <f>SUMPRODUCT(Calc!$K$3:$K$22*(Calc!$G$3:$G$22&gt;B926)*(Calc!$G$3:$G$22-B926))</f>
        <v/>
      </c>
      <c r="I926">
        <f>SUMPRODUCT(Calc!$K$3:$K$22*(Calc!$G$3:$G$22&gt;A926)*(Calc!$G$3:$G$22-A926)^2)</f>
        <v/>
      </c>
      <c r="J926">
        <f>SUMPRODUCT(Calc!$K$3:$K$22*(Calc!$G$3:$G$22&gt;B926)*(Calc!$G$3:$G$22-B926)^2)</f>
        <v/>
      </c>
      <c r="K926">
        <f>SUMPRODUCT(Calc!$K$3:$K$22*(Calc!$G$3:$G$22&gt;A926)*(Calc!$G$3:$G$22-A926)*(Calc!$G$3:$G$22&gt;B926)*(Calc!$G$3:$G$22-B926))</f>
        <v/>
      </c>
      <c r="L926">
        <f>SUMPRODUCT(Calc!$K$3:$K$22*(Calc!$G$3:$G$22&gt;A926)*(Calc!$G$3:$G$22-A926)*Calc!$G$3:$G$22)</f>
        <v/>
      </c>
      <c r="M926">
        <f>SUMPRODUCT(Calc!$K$3:$K$22*(Calc!$G$3:$G$22&gt;B926)*(Calc!$G$3:$G$22-B926)*Calc!$G$3:$G$22)</f>
        <v/>
      </c>
      <c r="N926">
        <f>SUMPRODUCT(Calc!$K$3:$K$22*(Calc!$G$3:$G$22&gt;A926)*(Calc!$G$3:$G$22-A926)*Calc!$I$3:$I$22)</f>
        <v/>
      </c>
      <c r="O926">
        <f>SUMPRODUCT(Calc!$K$3:$K$22*(Calc!$G$3:$G$22&gt;B926)*(Calc!$G$3:$G$22-B926)*Calc!$I$3:$I$22)</f>
        <v/>
      </c>
      <c r="P926">
        <f>I926-G926^2/k_n</f>
        <v/>
      </c>
      <c r="Q926">
        <f>J926-H926^2/k_n</f>
        <v/>
      </c>
      <c r="R926">
        <f>K926-G926*H926/k_n</f>
        <v/>
      </c>
      <c r="S926">
        <f>L926-LTP3!$D$3*G926/k_n</f>
        <v/>
      </c>
      <c r="T926">
        <f>M926-LTP3!$D$3*H926/k_n</f>
        <v/>
      </c>
      <c r="U926">
        <f>N926-G926*LTP3!$D$4/k_n</f>
        <v/>
      </c>
      <c r="V926">
        <f>O926-H926*LTP3!$D$4/k_n</f>
        <v/>
      </c>
      <c r="W926">
        <f>((LTP3!$D$5)*((P926)*(Q926)-(R926)*(R926))-(S926)*((S926)*(Q926)-(R926)*(T926))+(T926)*((S926)*(R926)-(P926)*(T926)))</f>
        <v/>
      </c>
      <c r="X926">
        <f>IF(ABS(W926)&gt;1E-12,((LTP3!$D$6)*((P926)*(Q926)-(R926)*(R926))-(S926)*((U926)*(Q926)-(R926)*(V926))+(T926)*((U926)*(R926)-(P926)*(V926)))/W926,0)</f>
        <v/>
      </c>
      <c r="Y926">
        <f>IF(ABS(W926)&gt;1E-12,((LTP3!$D$5)*((U926)*(Q926)-(R926)*(V926))-(LTP3!$D$6)*((S926)*(Q926)-(R926)*(T926))+(T926)*((S926)*(V926)-(U926)*(T926)))/W926,0)</f>
        <v/>
      </c>
      <c r="Z926">
        <f>IF(ABS(W926)&gt;1E-12,((LTP3!$D$5)*((P926)*(V926)-(U926)*(R926))-(S926)*((S926)*(V926)-(U926)*(T926))+(LTP3!$D$6)*((S926)*(R926)-(P926)*(T926)))/W926,0)</f>
        <v/>
      </c>
      <c r="AA926">
        <f>LTP3!$D$7-X926*LTP3!$D$6-Y926*U926-Z926*V926</f>
        <v/>
      </c>
      <c r="AB926">
        <f>IF(AND(F926,ABS(W926)&gt;1E-12,Y926&gt;0,Z926&gt;0),AA926,1E+300)</f>
        <v/>
      </c>
    </row>
    <row r="927">
      <c r="A927">
        <f>$B$3+$B$5*15</f>
        <v/>
      </c>
      <c r="B927">
        <f>$B$3+$B$5*0</f>
        <v/>
      </c>
      <c r="C927">
        <f>SUMPRODUCT(Calc!$K$3:$K$22*(Calc!$G$3:$G$22&lt;=A927))</f>
        <v/>
      </c>
      <c r="D927">
        <f>SUMPRODUCT(Calc!$K$3:$K$22*(Calc!$G$3:$G$22&gt;A927)*(Calc!$G$3:$G$22&lt;B927))</f>
        <v/>
      </c>
      <c r="E927">
        <f>SUMPRODUCT(Calc!$K$3:$K$22*(Calc!$G$3:$G$22&gt;=B927))</f>
        <v/>
      </c>
      <c r="F927">
        <f>AND(k_n&gt;=5,B927&gt;A927+1E-9,C927&gt;=2,D927&gt;=1,E927&gt;=2)</f>
        <v/>
      </c>
      <c r="G927">
        <f>SUMPRODUCT(Calc!$K$3:$K$22*(Calc!$G$3:$G$22&gt;A927)*(Calc!$G$3:$G$22-A927))</f>
        <v/>
      </c>
      <c r="H927">
        <f>SUMPRODUCT(Calc!$K$3:$K$22*(Calc!$G$3:$G$22&gt;B927)*(Calc!$G$3:$G$22-B927))</f>
        <v/>
      </c>
      <c r="I927">
        <f>SUMPRODUCT(Calc!$K$3:$K$22*(Calc!$G$3:$G$22&gt;A927)*(Calc!$G$3:$G$22-A927)^2)</f>
        <v/>
      </c>
      <c r="J927">
        <f>SUMPRODUCT(Calc!$K$3:$K$22*(Calc!$G$3:$G$22&gt;B927)*(Calc!$G$3:$G$22-B927)^2)</f>
        <v/>
      </c>
      <c r="K927">
        <f>SUMPRODUCT(Calc!$K$3:$K$22*(Calc!$G$3:$G$22&gt;A927)*(Calc!$G$3:$G$22-A927)*(Calc!$G$3:$G$22&gt;B927)*(Calc!$G$3:$G$22-B927))</f>
        <v/>
      </c>
      <c r="L927">
        <f>SUMPRODUCT(Calc!$K$3:$K$22*(Calc!$G$3:$G$22&gt;A927)*(Calc!$G$3:$G$22-A927)*Calc!$G$3:$G$22)</f>
        <v/>
      </c>
      <c r="M927">
        <f>SUMPRODUCT(Calc!$K$3:$K$22*(Calc!$G$3:$G$22&gt;B927)*(Calc!$G$3:$G$22-B927)*Calc!$G$3:$G$22)</f>
        <v/>
      </c>
      <c r="N927">
        <f>SUMPRODUCT(Calc!$K$3:$K$22*(Calc!$G$3:$G$22&gt;A927)*(Calc!$G$3:$G$22-A927)*Calc!$I$3:$I$22)</f>
        <v/>
      </c>
      <c r="O927">
        <f>SUMPRODUCT(Calc!$K$3:$K$22*(Calc!$G$3:$G$22&gt;B927)*(Calc!$G$3:$G$22-B927)*Calc!$I$3:$I$22)</f>
        <v/>
      </c>
      <c r="P927">
        <f>I927-G927^2/k_n</f>
        <v/>
      </c>
      <c r="Q927">
        <f>J927-H927^2/k_n</f>
        <v/>
      </c>
      <c r="R927">
        <f>K927-G927*H927/k_n</f>
        <v/>
      </c>
      <c r="S927">
        <f>L927-LTP3!$D$3*G927/k_n</f>
        <v/>
      </c>
      <c r="T927">
        <f>M927-LTP3!$D$3*H927/k_n</f>
        <v/>
      </c>
      <c r="U927">
        <f>N927-G927*LTP3!$D$4/k_n</f>
        <v/>
      </c>
      <c r="V927">
        <f>O927-H927*LTP3!$D$4/k_n</f>
        <v/>
      </c>
      <c r="W927">
        <f>((LTP3!$D$5)*((P927)*(Q927)-(R927)*(R927))-(S927)*((S927)*(Q927)-(R927)*(T927))+(T927)*((S927)*(R927)-(P927)*(T927)))</f>
        <v/>
      </c>
      <c r="X927">
        <f>IF(ABS(W927)&gt;1E-12,((LTP3!$D$6)*((P927)*(Q927)-(R927)*(R927))-(S927)*((U927)*(Q927)-(R927)*(V927))+(T927)*((U927)*(R927)-(P927)*(V927)))/W927,0)</f>
        <v/>
      </c>
      <c r="Y927">
        <f>IF(ABS(W927)&gt;1E-12,((LTP3!$D$5)*((U927)*(Q927)-(R927)*(V927))-(LTP3!$D$6)*((S927)*(Q927)-(R927)*(T927))+(T927)*((S927)*(V927)-(U927)*(T927)))/W927,0)</f>
        <v/>
      </c>
      <c r="Z927">
        <f>IF(ABS(W927)&gt;1E-12,((LTP3!$D$5)*((P927)*(V927)-(U927)*(R927))-(S927)*((S927)*(V927)-(U927)*(T927))+(LTP3!$D$6)*((S927)*(R927)-(P927)*(T927)))/W927,0)</f>
        <v/>
      </c>
      <c r="AA927">
        <f>LTP3!$D$7-X927*LTP3!$D$6-Y927*U927-Z927*V927</f>
        <v/>
      </c>
      <c r="AB927">
        <f>IF(AND(F927,ABS(W927)&gt;1E-12,Y927&gt;0,Z927&gt;0),AA927,1E+300)</f>
        <v/>
      </c>
    </row>
    <row r="928">
      <c r="A928">
        <f>$B$3+$B$5*15</f>
        <v/>
      </c>
      <c r="B928">
        <f>$B$3+$B$5*1</f>
        <v/>
      </c>
      <c r="C928">
        <f>SUMPRODUCT(Calc!$K$3:$K$22*(Calc!$G$3:$G$22&lt;=A928))</f>
        <v/>
      </c>
      <c r="D928">
        <f>SUMPRODUCT(Calc!$K$3:$K$22*(Calc!$G$3:$G$22&gt;A928)*(Calc!$G$3:$G$22&lt;B928))</f>
        <v/>
      </c>
      <c r="E928">
        <f>SUMPRODUCT(Calc!$K$3:$K$22*(Calc!$G$3:$G$22&gt;=B928))</f>
        <v/>
      </c>
      <c r="F928">
        <f>AND(k_n&gt;=5,B928&gt;A928+1E-9,C928&gt;=2,D928&gt;=1,E928&gt;=2)</f>
        <v/>
      </c>
      <c r="G928">
        <f>SUMPRODUCT(Calc!$K$3:$K$22*(Calc!$G$3:$G$22&gt;A928)*(Calc!$G$3:$G$22-A928))</f>
        <v/>
      </c>
      <c r="H928">
        <f>SUMPRODUCT(Calc!$K$3:$K$22*(Calc!$G$3:$G$22&gt;B928)*(Calc!$G$3:$G$22-B928))</f>
        <v/>
      </c>
      <c r="I928">
        <f>SUMPRODUCT(Calc!$K$3:$K$22*(Calc!$G$3:$G$22&gt;A928)*(Calc!$G$3:$G$22-A928)^2)</f>
        <v/>
      </c>
      <c r="J928">
        <f>SUMPRODUCT(Calc!$K$3:$K$22*(Calc!$G$3:$G$22&gt;B928)*(Calc!$G$3:$G$22-B928)^2)</f>
        <v/>
      </c>
      <c r="K928">
        <f>SUMPRODUCT(Calc!$K$3:$K$22*(Calc!$G$3:$G$22&gt;A928)*(Calc!$G$3:$G$22-A928)*(Calc!$G$3:$G$22&gt;B928)*(Calc!$G$3:$G$22-B928))</f>
        <v/>
      </c>
      <c r="L928">
        <f>SUMPRODUCT(Calc!$K$3:$K$22*(Calc!$G$3:$G$22&gt;A928)*(Calc!$G$3:$G$22-A928)*Calc!$G$3:$G$22)</f>
        <v/>
      </c>
      <c r="M928">
        <f>SUMPRODUCT(Calc!$K$3:$K$22*(Calc!$G$3:$G$22&gt;B928)*(Calc!$G$3:$G$22-B928)*Calc!$G$3:$G$22)</f>
        <v/>
      </c>
      <c r="N928">
        <f>SUMPRODUCT(Calc!$K$3:$K$22*(Calc!$G$3:$G$22&gt;A928)*(Calc!$G$3:$G$22-A928)*Calc!$I$3:$I$22)</f>
        <v/>
      </c>
      <c r="O928">
        <f>SUMPRODUCT(Calc!$K$3:$K$22*(Calc!$G$3:$G$22&gt;B928)*(Calc!$G$3:$G$22-B928)*Calc!$I$3:$I$22)</f>
        <v/>
      </c>
      <c r="P928">
        <f>I928-G928^2/k_n</f>
        <v/>
      </c>
      <c r="Q928">
        <f>J928-H928^2/k_n</f>
        <v/>
      </c>
      <c r="R928">
        <f>K928-G928*H928/k_n</f>
        <v/>
      </c>
      <c r="S928">
        <f>L928-LTP3!$D$3*G928/k_n</f>
        <v/>
      </c>
      <c r="T928">
        <f>M928-LTP3!$D$3*H928/k_n</f>
        <v/>
      </c>
      <c r="U928">
        <f>N928-G928*LTP3!$D$4/k_n</f>
        <v/>
      </c>
      <c r="V928">
        <f>O928-H928*LTP3!$D$4/k_n</f>
        <v/>
      </c>
      <c r="W928">
        <f>((LTP3!$D$5)*((P928)*(Q928)-(R928)*(R928))-(S928)*((S928)*(Q928)-(R928)*(T928))+(T928)*((S928)*(R928)-(P928)*(T928)))</f>
        <v/>
      </c>
      <c r="X928">
        <f>IF(ABS(W928)&gt;1E-12,((LTP3!$D$6)*((P928)*(Q928)-(R928)*(R928))-(S928)*((U928)*(Q928)-(R928)*(V928))+(T928)*((U928)*(R928)-(P928)*(V928)))/W928,0)</f>
        <v/>
      </c>
      <c r="Y928">
        <f>IF(ABS(W928)&gt;1E-12,((LTP3!$D$5)*((U928)*(Q928)-(R928)*(V928))-(LTP3!$D$6)*((S928)*(Q928)-(R928)*(T928))+(T928)*((S928)*(V928)-(U928)*(T928)))/W928,0)</f>
        <v/>
      </c>
      <c r="Z928">
        <f>IF(ABS(W928)&gt;1E-12,((LTP3!$D$5)*((P928)*(V928)-(U928)*(R928))-(S928)*((S928)*(V928)-(U928)*(T928))+(LTP3!$D$6)*((S928)*(R928)-(P928)*(T928)))/W928,0)</f>
        <v/>
      </c>
      <c r="AA928">
        <f>LTP3!$D$7-X928*LTP3!$D$6-Y928*U928-Z928*V928</f>
        <v/>
      </c>
      <c r="AB928">
        <f>IF(AND(F928,ABS(W928)&gt;1E-12,Y928&gt;0,Z928&gt;0),AA928,1E+300)</f>
        <v/>
      </c>
    </row>
    <row r="929">
      <c r="A929">
        <f>$B$3+$B$5*15</f>
        <v/>
      </c>
      <c r="B929">
        <f>$B$3+$B$5*2</f>
        <v/>
      </c>
      <c r="C929">
        <f>SUMPRODUCT(Calc!$K$3:$K$22*(Calc!$G$3:$G$22&lt;=A929))</f>
        <v/>
      </c>
      <c r="D929">
        <f>SUMPRODUCT(Calc!$K$3:$K$22*(Calc!$G$3:$G$22&gt;A929)*(Calc!$G$3:$G$22&lt;B929))</f>
        <v/>
      </c>
      <c r="E929">
        <f>SUMPRODUCT(Calc!$K$3:$K$22*(Calc!$G$3:$G$22&gt;=B929))</f>
        <v/>
      </c>
      <c r="F929">
        <f>AND(k_n&gt;=5,B929&gt;A929+1E-9,C929&gt;=2,D929&gt;=1,E929&gt;=2)</f>
        <v/>
      </c>
      <c r="G929">
        <f>SUMPRODUCT(Calc!$K$3:$K$22*(Calc!$G$3:$G$22&gt;A929)*(Calc!$G$3:$G$22-A929))</f>
        <v/>
      </c>
      <c r="H929">
        <f>SUMPRODUCT(Calc!$K$3:$K$22*(Calc!$G$3:$G$22&gt;B929)*(Calc!$G$3:$G$22-B929))</f>
        <v/>
      </c>
      <c r="I929">
        <f>SUMPRODUCT(Calc!$K$3:$K$22*(Calc!$G$3:$G$22&gt;A929)*(Calc!$G$3:$G$22-A929)^2)</f>
        <v/>
      </c>
      <c r="J929">
        <f>SUMPRODUCT(Calc!$K$3:$K$22*(Calc!$G$3:$G$22&gt;B929)*(Calc!$G$3:$G$22-B929)^2)</f>
        <v/>
      </c>
      <c r="K929">
        <f>SUMPRODUCT(Calc!$K$3:$K$22*(Calc!$G$3:$G$22&gt;A929)*(Calc!$G$3:$G$22-A929)*(Calc!$G$3:$G$22&gt;B929)*(Calc!$G$3:$G$22-B929))</f>
        <v/>
      </c>
      <c r="L929">
        <f>SUMPRODUCT(Calc!$K$3:$K$22*(Calc!$G$3:$G$22&gt;A929)*(Calc!$G$3:$G$22-A929)*Calc!$G$3:$G$22)</f>
        <v/>
      </c>
      <c r="M929">
        <f>SUMPRODUCT(Calc!$K$3:$K$22*(Calc!$G$3:$G$22&gt;B929)*(Calc!$G$3:$G$22-B929)*Calc!$G$3:$G$22)</f>
        <v/>
      </c>
      <c r="N929">
        <f>SUMPRODUCT(Calc!$K$3:$K$22*(Calc!$G$3:$G$22&gt;A929)*(Calc!$G$3:$G$22-A929)*Calc!$I$3:$I$22)</f>
        <v/>
      </c>
      <c r="O929">
        <f>SUMPRODUCT(Calc!$K$3:$K$22*(Calc!$G$3:$G$22&gt;B929)*(Calc!$G$3:$G$22-B929)*Calc!$I$3:$I$22)</f>
        <v/>
      </c>
      <c r="P929">
        <f>I929-G929^2/k_n</f>
        <v/>
      </c>
      <c r="Q929">
        <f>J929-H929^2/k_n</f>
        <v/>
      </c>
      <c r="R929">
        <f>K929-G929*H929/k_n</f>
        <v/>
      </c>
      <c r="S929">
        <f>L929-LTP3!$D$3*G929/k_n</f>
        <v/>
      </c>
      <c r="T929">
        <f>M929-LTP3!$D$3*H929/k_n</f>
        <v/>
      </c>
      <c r="U929">
        <f>N929-G929*LTP3!$D$4/k_n</f>
        <v/>
      </c>
      <c r="V929">
        <f>O929-H929*LTP3!$D$4/k_n</f>
        <v/>
      </c>
      <c r="W929">
        <f>((LTP3!$D$5)*((P929)*(Q929)-(R929)*(R929))-(S929)*((S929)*(Q929)-(R929)*(T929))+(T929)*((S929)*(R929)-(P929)*(T929)))</f>
        <v/>
      </c>
      <c r="X929">
        <f>IF(ABS(W929)&gt;1E-12,((LTP3!$D$6)*((P929)*(Q929)-(R929)*(R929))-(S929)*((U929)*(Q929)-(R929)*(V929))+(T929)*((U929)*(R929)-(P929)*(V929)))/W929,0)</f>
        <v/>
      </c>
      <c r="Y929">
        <f>IF(ABS(W929)&gt;1E-12,((LTP3!$D$5)*((U929)*(Q929)-(R929)*(V929))-(LTP3!$D$6)*((S929)*(Q929)-(R929)*(T929))+(T929)*((S929)*(V929)-(U929)*(T929)))/W929,0)</f>
        <v/>
      </c>
      <c r="Z929">
        <f>IF(ABS(W929)&gt;1E-12,((LTP3!$D$5)*((P929)*(V929)-(U929)*(R929))-(S929)*((S929)*(V929)-(U929)*(T929))+(LTP3!$D$6)*((S929)*(R929)-(P929)*(T929)))/W929,0)</f>
        <v/>
      </c>
      <c r="AA929">
        <f>LTP3!$D$7-X929*LTP3!$D$6-Y929*U929-Z929*V929</f>
        <v/>
      </c>
      <c r="AB929">
        <f>IF(AND(F929,ABS(W929)&gt;1E-12,Y929&gt;0,Z929&gt;0),AA929,1E+300)</f>
        <v/>
      </c>
    </row>
    <row r="930">
      <c r="A930">
        <f>$B$3+$B$5*15</f>
        <v/>
      </c>
      <c r="B930">
        <f>$B$3+$B$5*3</f>
        <v/>
      </c>
      <c r="C930">
        <f>SUMPRODUCT(Calc!$K$3:$K$22*(Calc!$G$3:$G$22&lt;=A930))</f>
        <v/>
      </c>
      <c r="D930">
        <f>SUMPRODUCT(Calc!$K$3:$K$22*(Calc!$G$3:$G$22&gt;A930)*(Calc!$G$3:$G$22&lt;B930))</f>
        <v/>
      </c>
      <c r="E930">
        <f>SUMPRODUCT(Calc!$K$3:$K$22*(Calc!$G$3:$G$22&gt;=B930))</f>
        <v/>
      </c>
      <c r="F930">
        <f>AND(k_n&gt;=5,B930&gt;A930+1E-9,C930&gt;=2,D930&gt;=1,E930&gt;=2)</f>
        <v/>
      </c>
      <c r="G930">
        <f>SUMPRODUCT(Calc!$K$3:$K$22*(Calc!$G$3:$G$22&gt;A930)*(Calc!$G$3:$G$22-A930))</f>
        <v/>
      </c>
      <c r="H930">
        <f>SUMPRODUCT(Calc!$K$3:$K$22*(Calc!$G$3:$G$22&gt;B930)*(Calc!$G$3:$G$22-B930))</f>
        <v/>
      </c>
      <c r="I930">
        <f>SUMPRODUCT(Calc!$K$3:$K$22*(Calc!$G$3:$G$22&gt;A930)*(Calc!$G$3:$G$22-A930)^2)</f>
        <v/>
      </c>
      <c r="J930">
        <f>SUMPRODUCT(Calc!$K$3:$K$22*(Calc!$G$3:$G$22&gt;B930)*(Calc!$G$3:$G$22-B930)^2)</f>
        <v/>
      </c>
      <c r="K930">
        <f>SUMPRODUCT(Calc!$K$3:$K$22*(Calc!$G$3:$G$22&gt;A930)*(Calc!$G$3:$G$22-A930)*(Calc!$G$3:$G$22&gt;B930)*(Calc!$G$3:$G$22-B930))</f>
        <v/>
      </c>
      <c r="L930">
        <f>SUMPRODUCT(Calc!$K$3:$K$22*(Calc!$G$3:$G$22&gt;A930)*(Calc!$G$3:$G$22-A930)*Calc!$G$3:$G$22)</f>
        <v/>
      </c>
      <c r="M930">
        <f>SUMPRODUCT(Calc!$K$3:$K$22*(Calc!$G$3:$G$22&gt;B930)*(Calc!$G$3:$G$22-B930)*Calc!$G$3:$G$22)</f>
        <v/>
      </c>
      <c r="N930">
        <f>SUMPRODUCT(Calc!$K$3:$K$22*(Calc!$G$3:$G$22&gt;A930)*(Calc!$G$3:$G$22-A930)*Calc!$I$3:$I$22)</f>
        <v/>
      </c>
      <c r="O930">
        <f>SUMPRODUCT(Calc!$K$3:$K$22*(Calc!$G$3:$G$22&gt;B930)*(Calc!$G$3:$G$22-B930)*Calc!$I$3:$I$22)</f>
        <v/>
      </c>
      <c r="P930">
        <f>I930-G930^2/k_n</f>
        <v/>
      </c>
      <c r="Q930">
        <f>J930-H930^2/k_n</f>
        <v/>
      </c>
      <c r="R930">
        <f>K930-G930*H930/k_n</f>
        <v/>
      </c>
      <c r="S930">
        <f>L930-LTP3!$D$3*G930/k_n</f>
        <v/>
      </c>
      <c r="T930">
        <f>M930-LTP3!$D$3*H930/k_n</f>
        <v/>
      </c>
      <c r="U930">
        <f>N930-G930*LTP3!$D$4/k_n</f>
        <v/>
      </c>
      <c r="V930">
        <f>O930-H930*LTP3!$D$4/k_n</f>
        <v/>
      </c>
      <c r="W930">
        <f>((LTP3!$D$5)*((P930)*(Q930)-(R930)*(R930))-(S930)*((S930)*(Q930)-(R930)*(T930))+(T930)*((S930)*(R930)-(P930)*(T930)))</f>
        <v/>
      </c>
      <c r="X930">
        <f>IF(ABS(W930)&gt;1E-12,((LTP3!$D$6)*((P930)*(Q930)-(R930)*(R930))-(S930)*((U930)*(Q930)-(R930)*(V930))+(T930)*((U930)*(R930)-(P930)*(V930)))/W930,0)</f>
        <v/>
      </c>
      <c r="Y930">
        <f>IF(ABS(W930)&gt;1E-12,((LTP3!$D$5)*((U930)*(Q930)-(R930)*(V930))-(LTP3!$D$6)*((S930)*(Q930)-(R930)*(T930))+(T930)*((S930)*(V930)-(U930)*(T930)))/W930,0)</f>
        <v/>
      </c>
      <c r="Z930">
        <f>IF(ABS(W930)&gt;1E-12,((LTP3!$D$5)*((P930)*(V930)-(U930)*(R930))-(S930)*((S930)*(V930)-(U930)*(T930))+(LTP3!$D$6)*((S930)*(R930)-(P930)*(T930)))/W930,0)</f>
        <v/>
      </c>
      <c r="AA930">
        <f>LTP3!$D$7-X930*LTP3!$D$6-Y930*U930-Z930*V930</f>
        <v/>
      </c>
      <c r="AB930">
        <f>IF(AND(F930,ABS(W930)&gt;1E-12,Y930&gt;0,Z930&gt;0),AA930,1E+300)</f>
        <v/>
      </c>
    </row>
    <row r="931">
      <c r="A931">
        <f>$B$3+$B$5*15</f>
        <v/>
      </c>
      <c r="B931">
        <f>$B$3+$B$5*4</f>
        <v/>
      </c>
      <c r="C931">
        <f>SUMPRODUCT(Calc!$K$3:$K$22*(Calc!$G$3:$G$22&lt;=A931))</f>
        <v/>
      </c>
      <c r="D931">
        <f>SUMPRODUCT(Calc!$K$3:$K$22*(Calc!$G$3:$G$22&gt;A931)*(Calc!$G$3:$G$22&lt;B931))</f>
        <v/>
      </c>
      <c r="E931">
        <f>SUMPRODUCT(Calc!$K$3:$K$22*(Calc!$G$3:$G$22&gt;=B931))</f>
        <v/>
      </c>
      <c r="F931">
        <f>AND(k_n&gt;=5,B931&gt;A931+1E-9,C931&gt;=2,D931&gt;=1,E931&gt;=2)</f>
        <v/>
      </c>
      <c r="G931">
        <f>SUMPRODUCT(Calc!$K$3:$K$22*(Calc!$G$3:$G$22&gt;A931)*(Calc!$G$3:$G$22-A931))</f>
        <v/>
      </c>
      <c r="H931">
        <f>SUMPRODUCT(Calc!$K$3:$K$22*(Calc!$G$3:$G$22&gt;B931)*(Calc!$G$3:$G$22-B931))</f>
        <v/>
      </c>
      <c r="I931">
        <f>SUMPRODUCT(Calc!$K$3:$K$22*(Calc!$G$3:$G$22&gt;A931)*(Calc!$G$3:$G$22-A931)^2)</f>
        <v/>
      </c>
      <c r="J931">
        <f>SUMPRODUCT(Calc!$K$3:$K$22*(Calc!$G$3:$G$22&gt;B931)*(Calc!$G$3:$G$22-B931)^2)</f>
        <v/>
      </c>
      <c r="K931">
        <f>SUMPRODUCT(Calc!$K$3:$K$22*(Calc!$G$3:$G$22&gt;A931)*(Calc!$G$3:$G$22-A931)*(Calc!$G$3:$G$22&gt;B931)*(Calc!$G$3:$G$22-B931))</f>
        <v/>
      </c>
      <c r="L931">
        <f>SUMPRODUCT(Calc!$K$3:$K$22*(Calc!$G$3:$G$22&gt;A931)*(Calc!$G$3:$G$22-A931)*Calc!$G$3:$G$22)</f>
        <v/>
      </c>
      <c r="M931">
        <f>SUMPRODUCT(Calc!$K$3:$K$22*(Calc!$G$3:$G$22&gt;B931)*(Calc!$G$3:$G$22-B931)*Calc!$G$3:$G$22)</f>
        <v/>
      </c>
      <c r="N931">
        <f>SUMPRODUCT(Calc!$K$3:$K$22*(Calc!$G$3:$G$22&gt;A931)*(Calc!$G$3:$G$22-A931)*Calc!$I$3:$I$22)</f>
        <v/>
      </c>
      <c r="O931">
        <f>SUMPRODUCT(Calc!$K$3:$K$22*(Calc!$G$3:$G$22&gt;B931)*(Calc!$G$3:$G$22-B931)*Calc!$I$3:$I$22)</f>
        <v/>
      </c>
      <c r="P931">
        <f>I931-G931^2/k_n</f>
        <v/>
      </c>
      <c r="Q931">
        <f>J931-H931^2/k_n</f>
        <v/>
      </c>
      <c r="R931">
        <f>K931-G931*H931/k_n</f>
        <v/>
      </c>
      <c r="S931">
        <f>L931-LTP3!$D$3*G931/k_n</f>
        <v/>
      </c>
      <c r="T931">
        <f>M931-LTP3!$D$3*H931/k_n</f>
        <v/>
      </c>
      <c r="U931">
        <f>N931-G931*LTP3!$D$4/k_n</f>
        <v/>
      </c>
      <c r="V931">
        <f>O931-H931*LTP3!$D$4/k_n</f>
        <v/>
      </c>
      <c r="W931">
        <f>((LTP3!$D$5)*((P931)*(Q931)-(R931)*(R931))-(S931)*((S931)*(Q931)-(R931)*(T931))+(T931)*((S931)*(R931)-(P931)*(T931)))</f>
        <v/>
      </c>
      <c r="X931">
        <f>IF(ABS(W931)&gt;1E-12,((LTP3!$D$6)*((P931)*(Q931)-(R931)*(R931))-(S931)*((U931)*(Q931)-(R931)*(V931))+(T931)*((U931)*(R931)-(P931)*(V931)))/W931,0)</f>
        <v/>
      </c>
      <c r="Y931">
        <f>IF(ABS(W931)&gt;1E-12,((LTP3!$D$5)*((U931)*(Q931)-(R931)*(V931))-(LTP3!$D$6)*((S931)*(Q931)-(R931)*(T931))+(T931)*((S931)*(V931)-(U931)*(T931)))/W931,0)</f>
        <v/>
      </c>
      <c r="Z931">
        <f>IF(ABS(W931)&gt;1E-12,((LTP3!$D$5)*((P931)*(V931)-(U931)*(R931))-(S931)*((S931)*(V931)-(U931)*(T931))+(LTP3!$D$6)*((S931)*(R931)-(P931)*(T931)))/W931,0)</f>
        <v/>
      </c>
      <c r="AA931">
        <f>LTP3!$D$7-X931*LTP3!$D$6-Y931*U931-Z931*V931</f>
        <v/>
      </c>
      <c r="AB931">
        <f>IF(AND(F931,ABS(W931)&gt;1E-12,Y931&gt;0,Z931&gt;0),AA931,1E+300)</f>
        <v/>
      </c>
    </row>
    <row r="932">
      <c r="A932">
        <f>$B$3+$B$5*15</f>
        <v/>
      </c>
      <c r="B932">
        <f>$B$3+$B$5*5</f>
        <v/>
      </c>
      <c r="C932">
        <f>SUMPRODUCT(Calc!$K$3:$K$22*(Calc!$G$3:$G$22&lt;=A932))</f>
        <v/>
      </c>
      <c r="D932">
        <f>SUMPRODUCT(Calc!$K$3:$K$22*(Calc!$G$3:$G$22&gt;A932)*(Calc!$G$3:$G$22&lt;B932))</f>
        <v/>
      </c>
      <c r="E932">
        <f>SUMPRODUCT(Calc!$K$3:$K$22*(Calc!$G$3:$G$22&gt;=B932))</f>
        <v/>
      </c>
      <c r="F932">
        <f>AND(k_n&gt;=5,B932&gt;A932+1E-9,C932&gt;=2,D932&gt;=1,E932&gt;=2)</f>
        <v/>
      </c>
      <c r="G932">
        <f>SUMPRODUCT(Calc!$K$3:$K$22*(Calc!$G$3:$G$22&gt;A932)*(Calc!$G$3:$G$22-A932))</f>
        <v/>
      </c>
      <c r="H932">
        <f>SUMPRODUCT(Calc!$K$3:$K$22*(Calc!$G$3:$G$22&gt;B932)*(Calc!$G$3:$G$22-B932))</f>
        <v/>
      </c>
      <c r="I932">
        <f>SUMPRODUCT(Calc!$K$3:$K$22*(Calc!$G$3:$G$22&gt;A932)*(Calc!$G$3:$G$22-A932)^2)</f>
        <v/>
      </c>
      <c r="J932">
        <f>SUMPRODUCT(Calc!$K$3:$K$22*(Calc!$G$3:$G$22&gt;B932)*(Calc!$G$3:$G$22-B932)^2)</f>
        <v/>
      </c>
      <c r="K932">
        <f>SUMPRODUCT(Calc!$K$3:$K$22*(Calc!$G$3:$G$22&gt;A932)*(Calc!$G$3:$G$22-A932)*(Calc!$G$3:$G$22&gt;B932)*(Calc!$G$3:$G$22-B932))</f>
        <v/>
      </c>
      <c r="L932">
        <f>SUMPRODUCT(Calc!$K$3:$K$22*(Calc!$G$3:$G$22&gt;A932)*(Calc!$G$3:$G$22-A932)*Calc!$G$3:$G$22)</f>
        <v/>
      </c>
      <c r="M932">
        <f>SUMPRODUCT(Calc!$K$3:$K$22*(Calc!$G$3:$G$22&gt;B932)*(Calc!$G$3:$G$22-B932)*Calc!$G$3:$G$22)</f>
        <v/>
      </c>
      <c r="N932">
        <f>SUMPRODUCT(Calc!$K$3:$K$22*(Calc!$G$3:$G$22&gt;A932)*(Calc!$G$3:$G$22-A932)*Calc!$I$3:$I$22)</f>
        <v/>
      </c>
      <c r="O932">
        <f>SUMPRODUCT(Calc!$K$3:$K$22*(Calc!$G$3:$G$22&gt;B932)*(Calc!$G$3:$G$22-B932)*Calc!$I$3:$I$22)</f>
        <v/>
      </c>
      <c r="P932">
        <f>I932-G932^2/k_n</f>
        <v/>
      </c>
      <c r="Q932">
        <f>J932-H932^2/k_n</f>
        <v/>
      </c>
      <c r="R932">
        <f>K932-G932*H932/k_n</f>
        <v/>
      </c>
      <c r="S932">
        <f>L932-LTP3!$D$3*G932/k_n</f>
        <v/>
      </c>
      <c r="T932">
        <f>M932-LTP3!$D$3*H932/k_n</f>
        <v/>
      </c>
      <c r="U932">
        <f>N932-G932*LTP3!$D$4/k_n</f>
        <v/>
      </c>
      <c r="V932">
        <f>O932-H932*LTP3!$D$4/k_n</f>
        <v/>
      </c>
      <c r="W932">
        <f>((LTP3!$D$5)*((P932)*(Q932)-(R932)*(R932))-(S932)*((S932)*(Q932)-(R932)*(T932))+(T932)*((S932)*(R932)-(P932)*(T932)))</f>
        <v/>
      </c>
      <c r="X932">
        <f>IF(ABS(W932)&gt;1E-12,((LTP3!$D$6)*((P932)*(Q932)-(R932)*(R932))-(S932)*((U932)*(Q932)-(R932)*(V932))+(T932)*((U932)*(R932)-(P932)*(V932)))/W932,0)</f>
        <v/>
      </c>
      <c r="Y932">
        <f>IF(ABS(W932)&gt;1E-12,((LTP3!$D$5)*((U932)*(Q932)-(R932)*(V932))-(LTP3!$D$6)*((S932)*(Q932)-(R932)*(T932))+(T932)*((S932)*(V932)-(U932)*(T932)))/W932,0)</f>
        <v/>
      </c>
      <c r="Z932">
        <f>IF(ABS(W932)&gt;1E-12,((LTP3!$D$5)*((P932)*(V932)-(U932)*(R932))-(S932)*((S932)*(V932)-(U932)*(T932))+(LTP3!$D$6)*((S932)*(R932)-(P932)*(T932)))/W932,0)</f>
        <v/>
      </c>
      <c r="AA932">
        <f>LTP3!$D$7-X932*LTP3!$D$6-Y932*U932-Z932*V932</f>
        <v/>
      </c>
      <c r="AB932">
        <f>IF(AND(F932,ABS(W932)&gt;1E-12,Y932&gt;0,Z932&gt;0),AA932,1E+300)</f>
        <v/>
      </c>
    </row>
    <row r="933">
      <c r="A933">
        <f>$B$3+$B$5*15</f>
        <v/>
      </c>
      <c r="B933">
        <f>$B$3+$B$5*6</f>
        <v/>
      </c>
      <c r="C933">
        <f>SUMPRODUCT(Calc!$K$3:$K$22*(Calc!$G$3:$G$22&lt;=A933))</f>
        <v/>
      </c>
      <c r="D933">
        <f>SUMPRODUCT(Calc!$K$3:$K$22*(Calc!$G$3:$G$22&gt;A933)*(Calc!$G$3:$G$22&lt;B933))</f>
        <v/>
      </c>
      <c r="E933">
        <f>SUMPRODUCT(Calc!$K$3:$K$22*(Calc!$G$3:$G$22&gt;=B933))</f>
        <v/>
      </c>
      <c r="F933">
        <f>AND(k_n&gt;=5,B933&gt;A933+1E-9,C933&gt;=2,D933&gt;=1,E933&gt;=2)</f>
        <v/>
      </c>
      <c r="G933">
        <f>SUMPRODUCT(Calc!$K$3:$K$22*(Calc!$G$3:$G$22&gt;A933)*(Calc!$G$3:$G$22-A933))</f>
        <v/>
      </c>
      <c r="H933">
        <f>SUMPRODUCT(Calc!$K$3:$K$22*(Calc!$G$3:$G$22&gt;B933)*(Calc!$G$3:$G$22-B933))</f>
        <v/>
      </c>
      <c r="I933">
        <f>SUMPRODUCT(Calc!$K$3:$K$22*(Calc!$G$3:$G$22&gt;A933)*(Calc!$G$3:$G$22-A933)^2)</f>
        <v/>
      </c>
      <c r="J933">
        <f>SUMPRODUCT(Calc!$K$3:$K$22*(Calc!$G$3:$G$22&gt;B933)*(Calc!$G$3:$G$22-B933)^2)</f>
        <v/>
      </c>
      <c r="K933">
        <f>SUMPRODUCT(Calc!$K$3:$K$22*(Calc!$G$3:$G$22&gt;A933)*(Calc!$G$3:$G$22-A933)*(Calc!$G$3:$G$22&gt;B933)*(Calc!$G$3:$G$22-B933))</f>
        <v/>
      </c>
      <c r="L933">
        <f>SUMPRODUCT(Calc!$K$3:$K$22*(Calc!$G$3:$G$22&gt;A933)*(Calc!$G$3:$G$22-A933)*Calc!$G$3:$G$22)</f>
        <v/>
      </c>
      <c r="M933">
        <f>SUMPRODUCT(Calc!$K$3:$K$22*(Calc!$G$3:$G$22&gt;B933)*(Calc!$G$3:$G$22-B933)*Calc!$G$3:$G$22)</f>
        <v/>
      </c>
      <c r="N933">
        <f>SUMPRODUCT(Calc!$K$3:$K$22*(Calc!$G$3:$G$22&gt;A933)*(Calc!$G$3:$G$22-A933)*Calc!$I$3:$I$22)</f>
        <v/>
      </c>
      <c r="O933">
        <f>SUMPRODUCT(Calc!$K$3:$K$22*(Calc!$G$3:$G$22&gt;B933)*(Calc!$G$3:$G$22-B933)*Calc!$I$3:$I$22)</f>
        <v/>
      </c>
      <c r="P933">
        <f>I933-G933^2/k_n</f>
        <v/>
      </c>
      <c r="Q933">
        <f>J933-H933^2/k_n</f>
        <v/>
      </c>
      <c r="R933">
        <f>K933-G933*H933/k_n</f>
        <v/>
      </c>
      <c r="S933">
        <f>L933-LTP3!$D$3*G933/k_n</f>
        <v/>
      </c>
      <c r="T933">
        <f>M933-LTP3!$D$3*H933/k_n</f>
        <v/>
      </c>
      <c r="U933">
        <f>N933-G933*LTP3!$D$4/k_n</f>
        <v/>
      </c>
      <c r="V933">
        <f>O933-H933*LTP3!$D$4/k_n</f>
        <v/>
      </c>
      <c r="W933">
        <f>((LTP3!$D$5)*((P933)*(Q933)-(R933)*(R933))-(S933)*((S933)*(Q933)-(R933)*(T933))+(T933)*((S933)*(R933)-(P933)*(T933)))</f>
        <v/>
      </c>
      <c r="X933">
        <f>IF(ABS(W933)&gt;1E-12,((LTP3!$D$6)*((P933)*(Q933)-(R933)*(R933))-(S933)*((U933)*(Q933)-(R933)*(V933))+(T933)*((U933)*(R933)-(P933)*(V933)))/W933,0)</f>
        <v/>
      </c>
      <c r="Y933">
        <f>IF(ABS(W933)&gt;1E-12,((LTP3!$D$5)*((U933)*(Q933)-(R933)*(V933))-(LTP3!$D$6)*((S933)*(Q933)-(R933)*(T933))+(T933)*((S933)*(V933)-(U933)*(T933)))/W933,0)</f>
        <v/>
      </c>
      <c r="Z933">
        <f>IF(ABS(W933)&gt;1E-12,((LTP3!$D$5)*((P933)*(V933)-(U933)*(R933))-(S933)*((S933)*(V933)-(U933)*(T933))+(LTP3!$D$6)*((S933)*(R933)-(P933)*(T933)))/W933,0)</f>
        <v/>
      </c>
      <c r="AA933">
        <f>LTP3!$D$7-X933*LTP3!$D$6-Y933*U933-Z933*V933</f>
        <v/>
      </c>
      <c r="AB933">
        <f>IF(AND(F933,ABS(W933)&gt;1E-12,Y933&gt;0,Z933&gt;0),AA933,1E+300)</f>
        <v/>
      </c>
    </row>
    <row r="934">
      <c r="A934">
        <f>$B$3+$B$5*15</f>
        <v/>
      </c>
      <c r="B934">
        <f>$B$3+$B$5*7</f>
        <v/>
      </c>
      <c r="C934">
        <f>SUMPRODUCT(Calc!$K$3:$K$22*(Calc!$G$3:$G$22&lt;=A934))</f>
        <v/>
      </c>
      <c r="D934">
        <f>SUMPRODUCT(Calc!$K$3:$K$22*(Calc!$G$3:$G$22&gt;A934)*(Calc!$G$3:$G$22&lt;B934))</f>
        <v/>
      </c>
      <c r="E934">
        <f>SUMPRODUCT(Calc!$K$3:$K$22*(Calc!$G$3:$G$22&gt;=B934))</f>
        <v/>
      </c>
      <c r="F934">
        <f>AND(k_n&gt;=5,B934&gt;A934+1E-9,C934&gt;=2,D934&gt;=1,E934&gt;=2)</f>
        <v/>
      </c>
      <c r="G934">
        <f>SUMPRODUCT(Calc!$K$3:$K$22*(Calc!$G$3:$G$22&gt;A934)*(Calc!$G$3:$G$22-A934))</f>
        <v/>
      </c>
      <c r="H934">
        <f>SUMPRODUCT(Calc!$K$3:$K$22*(Calc!$G$3:$G$22&gt;B934)*(Calc!$G$3:$G$22-B934))</f>
        <v/>
      </c>
      <c r="I934">
        <f>SUMPRODUCT(Calc!$K$3:$K$22*(Calc!$G$3:$G$22&gt;A934)*(Calc!$G$3:$G$22-A934)^2)</f>
        <v/>
      </c>
      <c r="J934">
        <f>SUMPRODUCT(Calc!$K$3:$K$22*(Calc!$G$3:$G$22&gt;B934)*(Calc!$G$3:$G$22-B934)^2)</f>
        <v/>
      </c>
      <c r="K934">
        <f>SUMPRODUCT(Calc!$K$3:$K$22*(Calc!$G$3:$G$22&gt;A934)*(Calc!$G$3:$G$22-A934)*(Calc!$G$3:$G$22&gt;B934)*(Calc!$G$3:$G$22-B934))</f>
        <v/>
      </c>
      <c r="L934">
        <f>SUMPRODUCT(Calc!$K$3:$K$22*(Calc!$G$3:$G$22&gt;A934)*(Calc!$G$3:$G$22-A934)*Calc!$G$3:$G$22)</f>
        <v/>
      </c>
      <c r="M934">
        <f>SUMPRODUCT(Calc!$K$3:$K$22*(Calc!$G$3:$G$22&gt;B934)*(Calc!$G$3:$G$22-B934)*Calc!$G$3:$G$22)</f>
        <v/>
      </c>
      <c r="N934">
        <f>SUMPRODUCT(Calc!$K$3:$K$22*(Calc!$G$3:$G$22&gt;A934)*(Calc!$G$3:$G$22-A934)*Calc!$I$3:$I$22)</f>
        <v/>
      </c>
      <c r="O934">
        <f>SUMPRODUCT(Calc!$K$3:$K$22*(Calc!$G$3:$G$22&gt;B934)*(Calc!$G$3:$G$22-B934)*Calc!$I$3:$I$22)</f>
        <v/>
      </c>
      <c r="P934">
        <f>I934-G934^2/k_n</f>
        <v/>
      </c>
      <c r="Q934">
        <f>J934-H934^2/k_n</f>
        <v/>
      </c>
      <c r="R934">
        <f>K934-G934*H934/k_n</f>
        <v/>
      </c>
      <c r="S934">
        <f>L934-LTP3!$D$3*G934/k_n</f>
        <v/>
      </c>
      <c r="T934">
        <f>M934-LTP3!$D$3*H934/k_n</f>
        <v/>
      </c>
      <c r="U934">
        <f>N934-G934*LTP3!$D$4/k_n</f>
        <v/>
      </c>
      <c r="V934">
        <f>O934-H934*LTP3!$D$4/k_n</f>
        <v/>
      </c>
      <c r="W934">
        <f>((LTP3!$D$5)*((P934)*(Q934)-(R934)*(R934))-(S934)*((S934)*(Q934)-(R934)*(T934))+(T934)*((S934)*(R934)-(P934)*(T934)))</f>
        <v/>
      </c>
      <c r="X934">
        <f>IF(ABS(W934)&gt;1E-12,((LTP3!$D$6)*((P934)*(Q934)-(R934)*(R934))-(S934)*((U934)*(Q934)-(R934)*(V934))+(T934)*((U934)*(R934)-(P934)*(V934)))/W934,0)</f>
        <v/>
      </c>
      <c r="Y934">
        <f>IF(ABS(W934)&gt;1E-12,((LTP3!$D$5)*((U934)*(Q934)-(R934)*(V934))-(LTP3!$D$6)*((S934)*(Q934)-(R934)*(T934))+(T934)*((S934)*(V934)-(U934)*(T934)))/W934,0)</f>
        <v/>
      </c>
      <c r="Z934">
        <f>IF(ABS(W934)&gt;1E-12,((LTP3!$D$5)*((P934)*(V934)-(U934)*(R934))-(S934)*((S934)*(V934)-(U934)*(T934))+(LTP3!$D$6)*((S934)*(R934)-(P934)*(T934)))/W934,0)</f>
        <v/>
      </c>
      <c r="AA934">
        <f>LTP3!$D$7-X934*LTP3!$D$6-Y934*U934-Z934*V934</f>
        <v/>
      </c>
      <c r="AB934">
        <f>IF(AND(F934,ABS(W934)&gt;1E-12,Y934&gt;0,Z934&gt;0),AA934,1E+300)</f>
        <v/>
      </c>
    </row>
    <row r="935">
      <c r="A935">
        <f>$B$3+$B$5*15</f>
        <v/>
      </c>
      <c r="B935">
        <f>$B$3+$B$5*8</f>
        <v/>
      </c>
      <c r="C935">
        <f>SUMPRODUCT(Calc!$K$3:$K$22*(Calc!$G$3:$G$22&lt;=A935))</f>
        <v/>
      </c>
      <c r="D935">
        <f>SUMPRODUCT(Calc!$K$3:$K$22*(Calc!$G$3:$G$22&gt;A935)*(Calc!$G$3:$G$22&lt;B935))</f>
        <v/>
      </c>
      <c r="E935">
        <f>SUMPRODUCT(Calc!$K$3:$K$22*(Calc!$G$3:$G$22&gt;=B935))</f>
        <v/>
      </c>
      <c r="F935">
        <f>AND(k_n&gt;=5,B935&gt;A935+1E-9,C935&gt;=2,D935&gt;=1,E935&gt;=2)</f>
        <v/>
      </c>
      <c r="G935">
        <f>SUMPRODUCT(Calc!$K$3:$K$22*(Calc!$G$3:$G$22&gt;A935)*(Calc!$G$3:$G$22-A935))</f>
        <v/>
      </c>
      <c r="H935">
        <f>SUMPRODUCT(Calc!$K$3:$K$22*(Calc!$G$3:$G$22&gt;B935)*(Calc!$G$3:$G$22-B935))</f>
        <v/>
      </c>
      <c r="I935">
        <f>SUMPRODUCT(Calc!$K$3:$K$22*(Calc!$G$3:$G$22&gt;A935)*(Calc!$G$3:$G$22-A935)^2)</f>
        <v/>
      </c>
      <c r="J935">
        <f>SUMPRODUCT(Calc!$K$3:$K$22*(Calc!$G$3:$G$22&gt;B935)*(Calc!$G$3:$G$22-B935)^2)</f>
        <v/>
      </c>
      <c r="K935">
        <f>SUMPRODUCT(Calc!$K$3:$K$22*(Calc!$G$3:$G$22&gt;A935)*(Calc!$G$3:$G$22-A935)*(Calc!$G$3:$G$22&gt;B935)*(Calc!$G$3:$G$22-B935))</f>
        <v/>
      </c>
      <c r="L935">
        <f>SUMPRODUCT(Calc!$K$3:$K$22*(Calc!$G$3:$G$22&gt;A935)*(Calc!$G$3:$G$22-A935)*Calc!$G$3:$G$22)</f>
        <v/>
      </c>
      <c r="M935">
        <f>SUMPRODUCT(Calc!$K$3:$K$22*(Calc!$G$3:$G$22&gt;B935)*(Calc!$G$3:$G$22-B935)*Calc!$G$3:$G$22)</f>
        <v/>
      </c>
      <c r="N935">
        <f>SUMPRODUCT(Calc!$K$3:$K$22*(Calc!$G$3:$G$22&gt;A935)*(Calc!$G$3:$G$22-A935)*Calc!$I$3:$I$22)</f>
        <v/>
      </c>
      <c r="O935">
        <f>SUMPRODUCT(Calc!$K$3:$K$22*(Calc!$G$3:$G$22&gt;B935)*(Calc!$G$3:$G$22-B935)*Calc!$I$3:$I$22)</f>
        <v/>
      </c>
      <c r="P935">
        <f>I935-G935^2/k_n</f>
        <v/>
      </c>
      <c r="Q935">
        <f>J935-H935^2/k_n</f>
        <v/>
      </c>
      <c r="R935">
        <f>K935-G935*H935/k_n</f>
        <v/>
      </c>
      <c r="S935">
        <f>L935-LTP3!$D$3*G935/k_n</f>
        <v/>
      </c>
      <c r="T935">
        <f>M935-LTP3!$D$3*H935/k_n</f>
        <v/>
      </c>
      <c r="U935">
        <f>N935-G935*LTP3!$D$4/k_n</f>
        <v/>
      </c>
      <c r="V935">
        <f>O935-H935*LTP3!$D$4/k_n</f>
        <v/>
      </c>
      <c r="W935">
        <f>((LTP3!$D$5)*((P935)*(Q935)-(R935)*(R935))-(S935)*((S935)*(Q935)-(R935)*(T935))+(T935)*((S935)*(R935)-(P935)*(T935)))</f>
        <v/>
      </c>
      <c r="X935">
        <f>IF(ABS(W935)&gt;1E-12,((LTP3!$D$6)*((P935)*(Q935)-(R935)*(R935))-(S935)*((U935)*(Q935)-(R935)*(V935))+(T935)*((U935)*(R935)-(P935)*(V935)))/W935,0)</f>
        <v/>
      </c>
      <c r="Y935">
        <f>IF(ABS(W935)&gt;1E-12,((LTP3!$D$5)*((U935)*(Q935)-(R935)*(V935))-(LTP3!$D$6)*((S935)*(Q935)-(R935)*(T935))+(T935)*((S935)*(V935)-(U935)*(T935)))/W935,0)</f>
        <v/>
      </c>
      <c r="Z935">
        <f>IF(ABS(W935)&gt;1E-12,((LTP3!$D$5)*((P935)*(V935)-(U935)*(R935))-(S935)*((S935)*(V935)-(U935)*(T935))+(LTP3!$D$6)*((S935)*(R935)-(P935)*(T935)))/W935,0)</f>
        <v/>
      </c>
      <c r="AA935">
        <f>LTP3!$D$7-X935*LTP3!$D$6-Y935*U935-Z935*V935</f>
        <v/>
      </c>
      <c r="AB935">
        <f>IF(AND(F935,ABS(W935)&gt;1E-12,Y935&gt;0,Z935&gt;0),AA935,1E+300)</f>
        <v/>
      </c>
    </row>
    <row r="936">
      <c r="A936">
        <f>$B$3+$B$5*15</f>
        <v/>
      </c>
      <c r="B936">
        <f>$B$3+$B$5*9</f>
        <v/>
      </c>
      <c r="C936">
        <f>SUMPRODUCT(Calc!$K$3:$K$22*(Calc!$G$3:$G$22&lt;=A936))</f>
        <v/>
      </c>
      <c r="D936">
        <f>SUMPRODUCT(Calc!$K$3:$K$22*(Calc!$G$3:$G$22&gt;A936)*(Calc!$G$3:$G$22&lt;B936))</f>
        <v/>
      </c>
      <c r="E936">
        <f>SUMPRODUCT(Calc!$K$3:$K$22*(Calc!$G$3:$G$22&gt;=B936))</f>
        <v/>
      </c>
      <c r="F936">
        <f>AND(k_n&gt;=5,B936&gt;A936+1E-9,C936&gt;=2,D936&gt;=1,E936&gt;=2)</f>
        <v/>
      </c>
      <c r="G936">
        <f>SUMPRODUCT(Calc!$K$3:$K$22*(Calc!$G$3:$G$22&gt;A936)*(Calc!$G$3:$G$22-A936))</f>
        <v/>
      </c>
      <c r="H936">
        <f>SUMPRODUCT(Calc!$K$3:$K$22*(Calc!$G$3:$G$22&gt;B936)*(Calc!$G$3:$G$22-B936))</f>
        <v/>
      </c>
      <c r="I936">
        <f>SUMPRODUCT(Calc!$K$3:$K$22*(Calc!$G$3:$G$22&gt;A936)*(Calc!$G$3:$G$22-A936)^2)</f>
        <v/>
      </c>
      <c r="J936">
        <f>SUMPRODUCT(Calc!$K$3:$K$22*(Calc!$G$3:$G$22&gt;B936)*(Calc!$G$3:$G$22-B936)^2)</f>
        <v/>
      </c>
      <c r="K936">
        <f>SUMPRODUCT(Calc!$K$3:$K$22*(Calc!$G$3:$G$22&gt;A936)*(Calc!$G$3:$G$22-A936)*(Calc!$G$3:$G$22&gt;B936)*(Calc!$G$3:$G$22-B936))</f>
        <v/>
      </c>
      <c r="L936">
        <f>SUMPRODUCT(Calc!$K$3:$K$22*(Calc!$G$3:$G$22&gt;A936)*(Calc!$G$3:$G$22-A936)*Calc!$G$3:$G$22)</f>
        <v/>
      </c>
      <c r="M936">
        <f>SUMPRODUCT(Calc!$K$3:$K$22*(Calc!$G$3:$G$22&gt;B936)*(Calc!$G$3:$G$22-B936)*Calc!$G$3:$G$22)</f>
        <v/>
      </c>
      <c r="N936">
        <f>SUMPRODUCT(Calc!$K$3:$K$22*(Calc!$G$3:$G$22&gt;A936)*(Calc!$G$3:$G$22-A936)*Calc!$I$3:$I$22)</f>
        <v/>
      </c>
      <c r="O936">
        <f>SUMPRODUCT(Calc!$K$3:$K$22*(Calc!$G$3:$G$22&gt;B936)*(Calc!$G$3:$G$22-B936)*Calc!$I$3:$I$22)</f>
        <v/>
      </c>
      <c r="P936">
        <f>I936-G936^2/k_n</f>
        <v/>
      </c>
      <c r="Q936">
        <f>J936-H936^2/k_n</f>
        <v/>
      </c>
      <c r="R936">
        <f>K936-G936*H936/k_n</f>
        <v/>
      </c>
      <c r="S936">
        <f>L936-LTP3!$D$3*G936/k_n</f>
        <v/>
      </c>
      <c r="T936">
        <f>M936-LTP3!$D$3*H936/k_n</f>
        <v/>
      </c>
      <c r="U936">
        <f>N936-G936*LTP3!$D$4/k_n</f>
        <v/>
      </c>
      <c r="V936">
        <f>O936-H936*LTP3!$D$4/k_n</f>
        <v/>
      </c>
      <c r="W936">
        <f>((LTP3!$D$5)*((P936)*(Q936)-(R936)*(R936))-(S936)*((S936)*(Q936)-(R936)*(T936))+(T936)*((S936)*(R936)-(P936)*(T936)))</f>
        <v/>
      </c>
      <c r="X936">
        <f>IF(ABS(W936)&gt;1E-12,((LTP3!$D$6)*((P936)*(Q936)-(R936)*(R936))-(S936)*((U936)*(Q936)-(R936)*(V936))+(T936)*((U936)*(R936)-(P936)*(V936)))/W936,0)</f>
        <v/>
      </c>
      <c r="Y936">
        <f>IF(ABS(W936)&gt;1E-12,((LTP3!$D$5)*((U936)*(Q936)-(R936)*(V936))-(LTP3!$D$6)*((S936)*(Q936)-(R936)*(T936))+(T936)*((S936)*(V936)-(U936)*(T936)))/W936,0)</f>
        <v/>
      </c>
      <c r="Z936">
        <f>IF(ABS(W936)&gt;1E-12,((LTP3!$D$5)*((P936)*(V936)-(U936)*(R936))-(S936)*((S936)*(V936)-(U936)*(T936))+(LTP3!$D$6)*((S936)*(R936)-(P936)*(T936)))/W936,0)</f>
        <v/>
      </c>
      <c r="AA936">
        <f>LTP3!$D$7-X936*LTP3!$D$6-Y936*U936-Z936*V936</f>
        <v/>
      </c>
      <c r="AB936">
        <f>IF(AND(F936,ABS(W936)&gt;1E-12,Y936&gt;0,Z936&gt;0),AA936,1E+300)</f>
        <v/>
      </c>
    </row>
    <row r="937">
      <c r="A937">
        <f>$B$3+$B$5*15</f>
        <v/>
      </c>
      <c r="B937">
        <f>$B$3+$B$5*10</f>
        <v/>
      </c>
      <c r="C937">
        <f>SUMPRODUCT(Calc!$K$3:$K$22*(Calc!$G$3:$G$22&lt;=A937))</f>
        <v/>
      </c>
      <c r="D937">
        <f>SUMPRODUCT(Calc!$K$3:$K$22*(Calc!$G$3:$G$22&gt;A937)*(Calc!$G$3:$G$22&lt;B937))</f>
        <v/>
      </c>
      <c r="E937">
        <f>SUMPRODUCT(Calc!$K$3:$K$22*(Calc!$G$3:$G$22&gt;=B937))</f>
        <v/>
      </c>
      <c r="F937">
        <f>AND(k_n&gt;=5,B937&gt;A937+1E-9,C937&gt;=2,D937&gt;=1,E937&gt;=2)</f>
        <v/>
      </c>
      <c r="G937">
        <f>SUMPRODUCT(Calc!$K$3:$K$22*(Calc!$G$3:$G$22&gt;A937)*(Calc!$G$3:$G$22-A937))</f>
        <v/>
      </c>
      <c r="H937">
        <f>SUMPRODUCT(Calc!$K$3:$K$22*(Calc!$G$3:$G$22&gt;B937)*(Calc!$G$3:$G$22-B937))</f>
        <v/>
      </c>
      <c r="I937">
        <f>SUMPRODUCT(Calc!$K$3:$K$22*(Calc!$G$3:$G$22&gt;A937)*(Calc!$G$3:$G$22-A937)^2)</f>
        <v/>
      </c>
      <c r="J937">
        <f>SUMPRODUCT(Calc!$K$3:$K$22*(Calc!$G$3:$G$22&gt;B937)*(Calc!$G$3:$G$22-B937)^2)</f>
        <v/>
      </c>
      <c r="K937">
        <f>SUMPRODUCT(Calc!$K$3:$K$22*(Calc!$G$3:$G$22&gt;A937)*(Calc!$G$3:$G$22-A937)*(Calc!$G$3:$G$22&gt;B937)*(Calc!$G$3:$G$22-B937))</f>
        <v/>
      </c>
      <c r="L937">
        <f>SUMPRODUCT(Calc!$K$3:$K$22*(Calc!$G$3:$G$22&gt;A937)*(Calc!$G$3:$G$22-A937)*Calc!$G$3:$G$22)</f>
        <v/>
      </c>
      <c r="M937">
        <f>SUMPRODUCT(Calc!$K$3:$K$22*(Calc!$G$3:$G$22&gt;B937)*(Calc!$G$3:$G$22-B937)*Calc!$G$3:$G$22)</f>
        <v/>
      </c>
      <c r="N937">
        <f>SUMPRODUCT(Calc!$K$3:$K$22*(Calc!$G$3:$G$22&gt;A937)*(Calc!$G$3:$G$22-A937)*Calc!$I$3:$I$22)</f>
        <v/>
      </c>
      <c r="O937">
        <f>SUMPRODUCT(Calc!$K$3:$K$22*(Calc!$G$3:$G$22&gt;B937)*(Calc!$G$3:$G$22-B937)*Calc!$I$3:$I$22)</f>
        <v/>
      </c>
      <c r="P937">
        <f>I937-G937^2/k_n</f>
        <v/>
      </c>
      <c r="Q937">
        <f>J937-H937^2/k_n</f>
        <v/>
      </c>
      <c r="R937">
        <f>K937-G937*H937/k_n</f>
        <v/>
      </c>
      <c r="S937">
        <f>L937-LTP3!$D$3*G937/k_n</f>
        <v/>
      </c>
      <c r="T937">
        <f>M937-LTP3!$D$3*H937/k_n</f>
        <v/>
      </c>
      <c r="U937">
        <f>N937-G937*LTP3!$D$4/k_n</f>
        <v/>
      </c>
      <c r="V937">
        <f>O937-H937*LTP3!$D$4/k_n</f>
        <v/>
      </c>
      <c r="W937">
        <f>((LTP3!$D$5)*((P937)*(Q937)-(R937)*(R937))-(S937)*((S937)*(Q937)-(R937)*(T937))+(T937)*((S937)*(R937)-(P937)*(T937)))</f>
        <v/>
      </c>
      <c r="X937">
        <f>IF(ABS(W937)&gt;1E-12,((LTP3!$D$6)*((P937)*(Q937)-(R937)*(R937))-(S937)*((U937)*(Q937)-(R937)*(V937))+(T937)*((U937)*(R937)-(P937)*(V937)))/W937,0)</f>
        <v/>
      </c>
      <c r="Y937">
        <f>IF(ABS(W937)&gt;1E-12,((LTP3!$D$5)*((U937)*(Q937)-(R937)*(V937))-(LTP3!$D$6)*((S937)*(Q937)-(R937)*(T937))+(T937)*((S937)*(V937)-(U937)*(T937)))/W937,0)</f>
        <v/>
      </c>
      <c r="Z937">
        <f>IF(ABS(W937)&gt;1E-12,((LTP3!$D$5)*((P937)*(V937)-(U937)*(R937))-(S937)*((S937)*(V937)-(U937)*(T937))+(LTP3!$D$6)*((S937)*(R937)-(P937)*(T937)))/W937,0)</f>
        <v/>
      </c>
      <c r="AA937">
        <f>LTP3!$D$7-X937*LTP3!$D$6-Y937*U937-Z937*V937</f>
        <v/>
      </c>
      <c r="AB937">
        <f>IF(AND(F937,ABS(W937)&gt;1E-12,Y937&gt;0,Z937&gt;0),AA937,1E+300)</f>
        <v/>
      </c>
    </row>
    <row r="938">
      <c r="A938">
        <f>$B$3+$B$5*15</f>
        <v/>
      </c>
      <c r="B938">
        <f>$B$3+$B$5*11</f>
        <v/>
      </c>
      <c r="C938">
        <f>SUMPRODUCT(Calc!$K$3:$K$22*(Calc!$G$3:$G$22&lt;=A938))</f>
        <v/>
      </c>
      <c r="D938">
        <f>SUMPRODUCT(Calc!$K$3:$K$22*(Calc!$G$3:$G$22&gt;A938)*(Calc!$G$3:$G$22&lt;B938))</f>
        <v/>
      </c>
      <c r="E938">
        <f>SUMPRODUCT(Calc!$K$3:$K$22*(Calc!$G$3:$G$22&gt;=B938))</f>
        <v/>
      </c>
      <c r="F938">
        <f>AND(k_n&gt;=5,B938&gt;A938+1E-9,C938&gt;=2,D938&gt;=1,E938&gt;=2)</f>
        <v/>
      </c>
      <c r="G938">
        <f>SUMPRODUCT(Calc!$K$3:$K$22*(Calc!$G$3:$G$22&gt;A938)*(Calc!$G$3:$G$22-A938))</f>
        <v/>
      </c>
      <c r="H938">
        <f>SUMPRODUCT(Calc!$K$3:$K$22*(Calc!$G$3:$G$22&gt;B938)*(Calc!$G$3:$G$22-B938))</f>
        <v/>
      </c>
      <c r="I938">
        <f>SUMPRODUCT(Calc!$K$3:$K$22*(Calc!$G$3:$G$22&gt;A938)*(Calc!$G$3:$G$22-A938)^2)</f>
        <v/>
      </c>
      <c r="J938">
        <f>SUMPRODUCT(Calc!$K$3:$K$22*(Calc!$G$3:$G$22&gt;B938)*(Calc!$G$3:$G$22-B938)^2)</f>
        <v/>
      </c>
      <c r="K938">
        <f>SUMPRODUCT(Calc!$K$3:$K$22*(Calc!$G$3:$G$22&gt;A938)*(Calc!$G$3:$G$22-A938)*(Calc!$G$3:$G$22&gt;B938)*(Calc!$G$3:$G$22-B938))</f>
        <v/>
      </c>
      <c r="L938">
        <f>SUMPRODUCT(Calc!$K$3:$K$22*(Calc!$G$3:$G$22&gt;A938)*(Calc!$G$3:$G$22-A938)*Calc!$G$3:$G$22)</f>
        <v/>
      </c>
      <c r="M938">
        <f>SUMPRODUCT(Calc!$K$3:$K$22*(Calc!$G$3:$G$22&gt;B938)*(Calc!$G$3:$G$22-B938)*Calc!$G$3:$G$22)</f>
        <v/>
      </c>
      <c r="N938">
        <f>SUMPRODUCT(Calc!$K$3:$K$22*(Calc!$G$3:$G$22&gt;A938)*(Calc!$G$3:$G$22-A938)*Calc!$I$3:$I$22)</f>
        <v/>
      </c>
      <c r="O938">
        <f>SUMPRODUCT(Calc!$K$3:$K$22*(Calc!$G$3:$G$22&gt;B938)*(Calc!$G$3:$G$22-B938)*Calc!$I$3:$I$22)</f>
        <v/>
      </c>
      <c r="P938">
        <f>I938-G938^2/k_n</f>
        <v/>
      </c>
      <c r="Q938">
        <f>J938-H938^2/k_n</f>
        <v/>
      </c>
      <c r="R938">
        <f>K938-G938*H938/k_n</f>
        <v/>
      </c>
      <c r="S938">
        <f>L938-LTP3!$D$3*G938/k_n</f>
        <v/>
      </c>
      <c r="T938">
        <f>M938-LTP3!$D$3*H938/k_n</f>
        <v/>
      </c>
      <c r="U938">
        <f>N938-G938*LTP3!$D$4/k_n</f>
        <v/>
      </c>
      <c r="V938">
        <f>O938-H938*LTP3!$D$4/k_n</f>
        <v/>
      </c>
      <c r="W938">
        <f>((LTP3!$D$5)*((P938)*(Q938)-(R938)*(R938))-(S938)*((S938)*(Q938)-(R938)*(T938))+(T938)*((S938)*(R938)-(P938)*(T938)))</f>
        <v/>
      </c>
      <c r="X938">
        <f>IF(ABS(W938)&gt;1E-12,((LTP3!$D$6)*((P938)*(Q938)-(R938)*(R938))-(S938)*((U938)*(Q938)-(R938)*(V938))+(T938)*((U938)*(R938)-(P938)*(V938)))/W938,0)</f>
        <v/>
      </c>
      <c r="Y938">
        <f>IF(ABS(W938)&gt;1E-12,((LTP3!$D$5)*((U938)*(Q938)-(R938)*(V938))-(LTP3!$D$6)*((S938)*(Q938)-(R938)*(T938))+(T938)*((S938)*(V938)-(U938)*(T938)))/W938,0)</f>
        <v/>
      </c>
      <c r="Z938">
        <f>IF(ABS(W938)&gt;1E-12,((LTP3!$D$5)*((P938)*(V938)-(U938)*(R938))-(S938)*((S938)*(V938)-(U938)*(T938))+(LTP3!$D$6)*((S938)*(R938)-(P938)*(T938)))/W938,0)</f>
        <v/>
      </c>
      <c r="AA938">
        <f>LTP3!$D$7-X938*LTP3!$D$6-Y938*U938-Z938*V938</f>
        <v/>
      </c>
      <c r="AB938">
        <f>IF(AND(F938,ABS(W938)&gt;1E-12,Y938&gt;0,Z938&gt;0),AA938,1E+300)</f>
        <v/>
      </c>
    </row>
    <row r="939">
      <c r="A939">
        <f>$B$3+$B$5*15</f>
        <v/>
      </c>
      <c r="B939">
        <f>$B$3+$B$5*12</f>
        <v/>
      </c>
      <c r="C939">
        <f>SUMPRODUCT(Calc!$K$3:$K$22*(Calc!$G$3:$G$22&lt;=A939))</f>
        <v/>
      </c>
      <c r="D939">
        <f>SUMPRODUCT(Calc!$K$3:$K$22*(Calc!$G$3:$G$22&gt;A939)*(Calc!$G$3:$G$22&lt;B939))</f>
        <v/>
      </c>
      <c r="E939">
        <f>SUMPRODUCT(Calc!$K$3:$K$22*(Calc!$G$3:$G$22&gt;=B939))</f>
        <v/>
      </c>
      <c r="F939">
        <f>AND(k_n&gt;=5,B939&gt;A939+1E-9,C939&gt;=2,D939&gt;=1,E939&gt;=2)</f>
        <v/>
      </c>
      <c r="G939">
        <f>SUMPRODUCT(Calc!$K$3:$K$22*(Calc!$G$3:$G$22&gt;A939)*(Calc!$G$3:$G$22-A939))</f>
        <v/>
      </c>
      <c r="H939">
        <f>SUMPRODUCT(Calc!$K$3:$K$22*(Calc!$G$3:$G$22&gt;B939)*(Calc!$G$3:$G$22-B939))</f>
        <v/>
      </c>
      <c r="I939">
        <f>SUMPRODUCT(Calc!$K$3:$K$22*(Calc!$G$3:$G$22&gt;A939)*(Calc!$G$3:$G$22-A939)^2)</f>
        <v/>
      </c>
      <c r="J939">
        <f>SUMPRODUCT(Calc!$K$3:$K$22*(Calc!$G$3:$G$22&gt;B939)*(Calc!$G$3:$G$22-B939)^2)</f>
        <v/>
      </c>
      <c r="K939">
        <f>SUMPRODUCT(Calc!$K$3:$K$22*(Calc!$G$3:$G$22&gt;A939)*(Calc!$G$3:$G$22-A939)*(Calc!$G$3:$G$22&gt;B939)*(Calc!$G$3:$G$22-B939))</f>
        <v/>
      </c>
      <c r="L939">
        <f>SUMPRODUCT(Calc!$K$3:$K$22*(Calc!$G$3:$G$22&gt;A939)*(Calc!$G$3:$G$22-A939)*Calc!$G$3:$G$22)</f>
        <v/>
      </c>
      <c r="M939">
        <f>SUMPRODUCT(Calc!$K$3:$K$22*(Calc!$G$3:$G$22&gt;B939)*(Calc!$G$3:$G$22-B939)*Calc!$G$3:$G$22)</f>
        <v/>
      </c>
      <c r="N939">
        <f>SUMPRODUCT(Calc!$K$3:$K$22*(Calc!$G$3:$G$22&gt;A939)*(Calc!$G$3:$G$22-A939)*Calc!$I$3:$I$22)</f>
        <v/>
      </c>
      <c r="O939">
        <f>SUMPRODUCT(Calc!$K$3:$K$22*(Calc!$G$3:$G$22&gt;B939)*(Calc!$G$3:$G$22-B939)*Calc!$I$3:$I$22)</f>
        <v/>
      </c>
      <c r="P939">
        <f>I939-G939^2/k_n</f>
        <v/>
      </c>
      <c r="Q939">
        <f>J939-H939^2/k_n</f>
        <v/>
      </c>
      <c r="R939">
        <f>K939-G939*H939/k_n</f>
        <v/>
      </c>
      <c r="S939">
        <f>L939-LTP3!$D$3*G939/k_n</f>
        <v/>
      </c>
      <c r="T939">
        <f>M939-LTP3!$D$3*H939/k_n</f>
        <v/>
      </c>
      <c r="U939">
        <f>N939-G939*LTP3!$D$4/k_n</f>
        <v/>
      </c>
      <c r="V939">
        <f>O939-H939*LTP3!$D$4/k_n</f>
        <v/>
      </c>
      <c r="W939">
        <f>((LTP3!$D$5)*((P939)*(Q939)-(R939)*(R939))-(S939)*((S939)*(Q939)-(R939)*(T939))+(T939)*((S939)*(R939)-(P939)*(T939)))</f>
        <v/>
      </c>
      <c r="X939">
        <f>IF(ABS(W939)&gt;1E-12,((LTP3!$D$6)*((P939)*(Q939)-(R939)*(R939))-(S939)*((U939)*(Q939)-(R939)*(V939))+(T939)*((U939)*(R939)-(P939)*(V939)))/W939,0)</f>
        <v/>
      </c>
      <c r="Y939">
        <f>IF(ABS(W939)&gt;1E-12,((LTP3!$D$5)*((U939)*(Q939)-(R939)*(V939))-(LTP3!$D$6)*((S939)*(Q939)-(R939)*(T939))+(T939)*((S939)*(V939)-(U939)*(T939)))/W939,0)</f>
        <v/>
      </c>
      <c r="Z939">
        <f>IF(ABS(W939)&gt;1E-12,((LTP3!$D$5)*((P939)*(V939)-(U939)*(R939))-(S939)*((S939)*(V939)-(U939)*(T939))+(LTP3!$D$6)*((S939)*(R939)-(P939)*(T939)))/W939,0)</f>
        <v/>
      </c>
      <c r="AA939">
        <f>LTP3!$D$7-X939*LTP3!$D$6-Y939*U939-Z939*V939</f>
        <v/>
      </c>
      <c r="AB939">
        <f>IF(AND(F939,ABS(W939)&gt;1E-12,Y939&gt;0,Z939&gt;0),AA939,1E+300)</f>
        <v/>
      </c>
    </row>
    <row r="940">
      <c r="A940">
        <f>$B$3+$B$5*15</f>
        <v/>
      </c>
      <c r="B940">
        <f>$B$3+$B$5*13</f>
        <v/>
      </c>
      <c r="C940">
        <f>SUMPRODUCT(Calc!$K$3:$K$22*(Calc!$G$3:$G$22&lt;=A940))</f>
        <v/>
      </c>
      <c r="D940">
        <f>SUMPRODUCT(Calc!$K$3:$K$22*(Calc!$G$3:$G$22&gt;A940)*(Calc!$G$3:$G$22&lt;B940))</f>
        <v/>
      </c>
      <c r="E940">
        <f>SUMPRODUCT(Calc!$K$3:$K$22*(Calc!$G$3:$G$22&gt;=B940))</f>
        <v/>
      </c>
      <c r="F940">
        <f>AND(k_n&gt;=5,B940&gt;A940+1E-9,C940&gt;=2,D940&gt;=1,E940&gt;=2)</f>
        <v/>
      </c>
      <c r="G940">
        <f>SUMPRODUCT(Calc!$K$3:$K$22*(Calc!$G$3:$G$22&gt;A940)*(Calc!$G$3:$G$22-A940))</f>
        <v/>
      </c>
      <c r="H940">
        <f>SUMPRODUCT(Calc!$K$3:$K$22*(Calc!$G$3:$G$22&gt;B940)*(Calc!$G$3:$G$22-B940))</f>
        <v/>
      </c>
      <c r="I940">
        <f>SUMPRODUCT(Calc!$K$3:$K$22*(Calc!$G$3:$G$22&gt;A940)*(Calc!$G$3:$G$22-A940)^2)</f>
        <v/>
      </c>
      <c r="J940">
        <f>SUMPRODUCT(Calc!$K$3:$K$22*(Calc!$G$3:$G$22&gt;B940)*(Calc!$G$3:$G$22-B940)^2)</f>
        <v/>
      </c>
      <c r="K940">
        <f>SUMPRODUCT(Calc!$K$3:$K$22*(Calc!$G$3:$G$22&gt;A940)*(Calc!$G$3:$G$22-A940)*(Calc!$G$3:$G$22&gt;B940)*(Calc!$G$3:$G$22-B940))</f>
        <v/>
      </c>
      <c r="L940">
        <f>SUMPRODUCT(Calc!$K$3:$K$22*(Calc!$G$3:$G$22&gt;A940)*(Calc!$G$3:$G$22-A940)*Calc!$G$3:$G$22)</f>
        <v/>
      </c>
      <c r="M940">
        <f>SUMPRODUCT(Calc!$K$3:$K$22*(Calc!$G$3:$G$22&gt;B940)*(Calc!$G$3:$G$22-B940)*Calc!$G$3:$G$22)</f>
        <v/>
      </c>
      <c r="N940">
        <f>SUMPRODUCT(Calc!$K$3:$K$22*(Calc!$G$3:$G$22&gt;A940)*(Calc!$G$3:$G$22-A940)*Calc!$I$3:$I$22)</f>
        <v/>
      </c>
      <c r="O940">
        <f>SUMPRODUCT(Calc!$K$3:$K$22*(Calc!$G$3:$G$22&gt;B940)*(Calc!$G$3:$G$22-B940)*Calc!$I$3:$I$22)</f>
        <v/>
      </c>
      <c r="P940">
        <f>I940-G940^2/k_n</f>
        <v/>
      </c>
      <c r="Q940">
        <f>J940-H940^2/k_n</f>
        <v/>
      </c>
      <c r="R940">
        <f>K940-G940*H940/k_n</f>
        <v/>
      </c>
      <c r="S940">
        <f>L940-LTP3!$D$3*G940/k_n</f>
        <v/>
      </c>
      <c r="T940">
        <f>M940-LTP3!$D$3*H940/k_n</f>
        <v/>
      </c>
      <c r="U940">
        <f>N940-G940*LTP3!$D$4/k_n</f>
        <v/>
      </c>
      <c r="V940">
        <f>O940-H940*LTP3!$D$4/k_n</f>
        <v/>
      </c>
      <c r="W940">
        <f>((LTP3!$D$5)*((P940)*(Q940)-(R940)*(R940))-(S940)*((S940)*(Q940)-(R940)*(T940))+(T940)*((S940)*(R940)-(P940)*(T940)))</f>
        <v/>
      </c>
      <c r="X940">
        <f>IF(ABS(W940)&gt;1E-12,((LTP3!$D$6)*((P940)*(Q940)-(R940)*(R940))-(S940)*((U940)*(Q940)-(R940)*(V940))+(T940)*((U940)*(R940)-(P940)*(V940)))/W940,0)</f>
        <v/>
      </c>
      <c r="Y940">
        <f>IF(ABS(W940)&gt;1E-12,((LTP3!$D$5)*((U940)*(Q940)-(R940)*(V940))-(LTP3!$D$6)*((S940)*(Q940)-(R940)*(T940))+(T940)*((S940)*(V940)-(U940)*(T940)))/W940,0)</f>
        <v/>
      </c>
      <c r="Z940">
        <f>IF(ABS(W940)&gt;1E-12,((LTP3!$D$5)*((P940)*(V940)-(U940)*(R940))-(S940)*((S940)*(V940)-(U940)*(T940))+(LTP3!$D$6)*((S940)*(R940)-(P940)*(T940)))/W940,0)</f>
        <v/>
      </c>
      <c r="AA940">
        <f>LTP3!$D$7-X940*LTP3!$D$6-Y940*U940-Z940*V940</f>
        <v/>
      </c>
      <c r="AB940">
        <f>IF(AND(F940,ABS(W940)&gt;1E-12,Y940&gt;0,Z940&gt;0),AA940,1E+300)</f>
        <v/>
      </c>
    </row>
    <row r="941">
      <c r="A941">
        <f>$B$3+$B$5*15</f>
        <v/>
      </c>
      <c r="B941">
        <f>$B$3+$B$5*14</f>
        <v/>
      </c>
      <c r="C941">
        <f>SUMPRODUCT(Calc!$K$3:$K$22*(Calc!$G$3:$G$22&lt;=A941))</f>
        <v/>
      </c>
      <c r="D941">
        <f>SUMPRODUCT(Calc!$K$3:$K$22*(Calc!$G$3:$G$22&gt;A941)*(Calc!$G$3:$G$22&lt;B941))</f>
        <v/>
      </c>
      <c r="E941">
        <f>SUMPRODUCT(Calc!$K$3:$K$22*(Calc!$G$3:$G$22&gt;=B941))</f>
        <v/>
      </c>
      <c r="F941">
        <f>AND(k_n&gt;=5,B941&gt;A941+1E-9,C941&gt;=2,D941&gt;=1,E941&gt;=2)</f>
        <v/>
      </c>
      <c r="G941">
        <f>SUMPRODUCT(Calc!$K$3:$K$22*(Calc!$G$3:$G$22&gt;A941)*(Calc!$G$3:$G$22-A941))</f>
        <v/>
      </c>
      <c r="H941">
        <f>SUMPRODUCT(Calc!$K$3:$K$22*(Calc!$G$3:$G$22&gt;B941)*(Calc!$G$3:$G$22-B941))</f>
        <v/>
      </c>
      <c r="I941">
        <f>SUMPRODUCT(Calc!$K$3:$K$22*(Calc!$G$3:$G$22&gt;A941)*(Calc!$G$3:$G$22-A941)^2)</f>
        <v/>
      </c>
      <c r="J941">
        <f>SUMPRODUCT(Calc!$K$3:$K$22*(Calc!$G$3:$G$22&gt;B941)*(Calc!$G$3:$G$22-B941)^2)</f>
        <v/>
      </c>
      <c r="K941">
        <f>SUMPRODUCT(Calc!$K$3:$K$22*(Calc!$G$3:$G$22&gt;A941)*(Calc!$G$3:$G$22-A941)*(Calc!$G$3:$G$22&gt;B941)*(Calc!$G$3:$G$22-B941))</f>
        <v/>
      </c>
      <c r="L941">
        <f>SUMPRODUCT(Calc!$K$3:$K$22*(Calc!$G$3:$G$22&gt;A941)*(Calc!$G$3:$G$22-A941)*Calc!$G$3:$G$22)</f>
        <v/>
      </c>
      <c r="M941">
        <f>SUMPRODUCT(Calc!$K$3:$K$22*(Calc!$G$3:$G$22&gt;B941)*(Calc!$G$3:$G$22-B941)*Calc!$G$3:$G$22)</f>
        <v/>
      </c>
      <c r="N941">
        <f>SUMPRODUCT(Calc!$K$3:$K$22*(Calc!$G$3:$G$22&gt;A941)*(Calc!$G$3:$G$22-A941)*Calc!$I$3:$I$22)</f>
        <v/>
      </c>
      <c r="O941">
        <f>SUMPRODUCT(Calc!$K$3:$K$22*(Calc!$G$3:$G$22&gt;B941)*(Calc!$G$3:$G$22-B941)*Calc!$I$3:$I$22)</f>
        <v/>
      </c>
      <c r="P941">
        <f>I941-G941^2/k_n</f>
        <v/>
      </c>
      <c r="Q941">
        <f>J941-H941^2/k_n</f>
        <v/>
      </c>
      <c r="R941">
        <f>K941-G941*H941/k_n</f>
        <v/>
      </c>
      <c r="S941">
        <f>L941-LTP3!$D$3*G941/k_n</f>
        <v/>
      </c>
      <c r="T941">
        <f>M941-LTP3!$D$3*H941/k_n</f>
        <v/>
      </c>
      <c r="U941">
        <f>N941-G941*LTP3!$D$4/k_n</f>
        <v/>
      </c>
      <c r="V941">
        <f>O941-H941*LTP3!$D$4/k_n</f>
        <v/>
      </c>
      <c r="W941">
        <f>((LTP3!$D$5)*((P941)*(Q941)-(R941)*(R941))-(S941)*((S941)*(Q941)-(R941)*(T941))+(T941)*((S941)*(R941)-(P941)*(T941)))</f>
        <v/>
      </c>
      <c r="X941">
        <f>IF(ABS(W941)&gt;1E-12,((LTP3!$D$6)*((P941)*(Q941)-(R941)*(R941))-(S941)*((U941)*(Q941)-(R941)*(V941))+(T941)*((U941)*(R941)-(P941)*(V941)))/W941,0)</f>
        <v/>
      </c>
      <c r="Y941">
        <f>IF(ABS(W941)&gt;1E-12,((LTP3!$D$5)*((U941)*(Q941)-(R941)*(V941))-(LTP3!$D$6)*((S941)*(Q941)-(R941)*(T941))+(T941)*((S941)*(V941)-(U941)*(T941)))/W941,0)</f>
        <v/>
      </c>
      <c r="Z941">
        <f>IF(ABS(W941)&gt;1E-12,((LTP3!$D$5)*((P941)*(V941)-(U941)*(R941))-(S941)*((S941)*(V941)-(U941)*(T941))+(LTP3!$D$6)*((S941)*(R941)-(P941)*(T941)))/W941,0)</f>
        <v/>
      </c>
      <c r="AA941">
        <f>LTP3!$D$7-X941*LTP3!$D$6-Y941*U941-Z941*V941</f>
        <v/>
      </c>
      <c r="AB941">
        <f>IF(AND(F941,ABS(W941)&gt;1E-12,Y941&gt;0,Z941&gt;0),AA941,1E+300)</f>
        <v/>
      </c>
    </row>
    <row r="942">
      <c r="A942">
        <f>$B$3+$B$5*15</f>
        <v/>
      </c>
      <c r="B942">
        <f>$B$3+$B$5*15</f>
        <v/>
      </c>
      <c r="C942">
        <f>SUMPRODUCT(Calc!$K$3:$K$22*(Calc!$G$3:$G$22&lt;=A942))</f>
        <v/>
      </c>
      <c r="D942">
        <f>SUMPRODUCT(Calc!$K$3:$K$22*(Calc!$G$3:$G$22&gt;A942)*(Calc!$G$3:$G$22&lt;B942))</f>
        <v/>
      </c>
      <c r="E942">
        <f>SUMPRODUCT(Calc!$K$3:$K$22*(Calc!$G$3:$G$22&gt;=B942))</f>
        <v/>
      </c>
      <c r="F942">
        <f>AND(k_n&gt;=5,B942&gt;A942+1E-9,C942&gt;=2,D942&gt;=1,E942&gt;=2)</f>
        <v/>
      </c>
      <c r="G942">
        <f>SUMPRODUCT(Calc!$K$3:$K$22*(Calc!$G$3:$G$22&gt;A942)*(Calc!$G$3:$G$22-A942))</f>
        <v/>
      </c>
      <c r="H942">
        <f>SUMPRODUCT(Calc!$K$3:$K$22*(Calc!$G$3:$G$22&gt;B942)*(Calc!$G$3:$G$22-B942))</f>
        <v/>
      </c>
      <c r="I942">
        <f>SUMPRODUCT(Calc!$K$3:$K$22*(Calc!$G$3:$G$22&gt;A942)*(Calc!$G$3:$G$22-A942)^2)</f>
        <v/>
      </c>
      <c r="J942">
        <f>SUMPRODUCT(Calc!$K$3:$K$22*(Calc!$G$3:$G$22&gt;B942)*(Calc!$G$3:$G$22-B942)^2)</f>
        <v/>
      </c>
      <c r="K942">
        <f>SUMPRODUCT(Calc!$K$3:$K$22*(Calc!$G$3:$G$22&gt;A942)*(Calc!$G$3:$G$22-A942)*(Calc!$G$3:$G$22&gt;B942)*(Calc!$G$3:$G$22-B942))</f>
        <v/>
      </c>
      <c r="L942">
        <f>SUMPRODUCT(Calc!$K$3:$K$22*(Calc!$G$3:$G$22&gt;A942)*(Calc!$G$3:$G$22-A942)*Calc!$G$3:$G$22)</f>
        <v/>
      </c>
      <c r="M942">
        <f>SUMPRODUCT(Calc!$K$3:$K$22*(Calc!$G$3:$G$22&gt;B942)*(Calc!$G$3:$G$22-B942)*Calc!$G$3:$G$22)</f>
        <v/>
      </c>
      <c r="N942">
        <f>SUMPRODUCT(Calc!$K$3:$K$22*(Calc!$G$3:$G$22&gt;A942)*(Calc!$G$3:$G$22-A942)*Calc!$I$3:$I$22)</f>
        <v/>
      </c>
      <c r="O942">
        <f>SUMPRODUCT(Calc!$K$3:$K$22*(Calc!$G$3:$G$22&gt;B942)*(Calc!$G$3:$G$22-B942)*Calc!$I$3:$I$22)</f>
        <v/>
      </c>
      <c r="P942">
        <f>I942-G942^2/k_n</f>
        <v/>
      </c>
      <c r="Q942">
        <f>J942-H942^2/k_n</f>
        <v/>
      </c>
      <c r="R942">
        <f>K942-G942*H942/k_n</f>
        <v/>
      </c>
      <c r="S942">
        <f>L942-LTP3!$D$3*G942/k_n</f>
        <v/>
      </c>
      <c r="T942">
        <f>M942-LTP3!$D$3*H942/k_n</f>
        <v/>
      </c>
      <c r="U942">
        <f>N942-G942*LTP3!$D$4/k_n</f>
        <v/>
      </c>
      <c r="V942">
        <f>O942-H942*LTP3!$D$4/k_n</f>
        <v/>
      </c>
      <c r="W942">
        <f>((LTP3!$D$5)*((P942)*(Q942)-(R942)*(R942))-(S942)*((S942)*(Q942)-(R942)*(T942))+(T942)*((S942)*(R942)-(P942)*(T942)))</f>
        <v/>
      </c>
      <c r="X942">
        <f>IF(ABS(W942)&gt;1E-12,((LTP3!$D$6)*((P942)*(Q942)-(R942)*(R942))-(S942)*((U942)*(Q942)-(R942)*(V942))+(T942)*((U942)*(R942)-(P942)*(V942)))/W942,0)</f>
        <v/>
      </c>
      <c r="Y942">
        <f>IF(ABS(W942)&gt;1E-12,((LTP3!$D$5)*((U942)*(Q942)-(R942)*(V942))-(LTP3!$D$6)*((S942)*(Q942)-(R942)*(T942))+(T942)*((S942)*(V942)-(U942)*(T942)))/W942,0)</f>
        <v/>
      </c>
      <c r="Z942">
        <f>IF(ABS(W942)&gt;1E-12,((LTP3!$D$5)*((P942)*(V942)-(U942)*(R942))-(S942)*((S942)*(V942)-(U942)*(T942))+(LTP3!$D$6)*((S942)*(R942)-(P942)*(T942)))/W942,0)</f>
        <v/>
      </c>
      <c r="AA942">
        <f>LTP3!$D$7-X942*LTP3!$D$6-Y942*U942-Z942*V942</f>
        <v/>
      </c>
      <c r="AB942">
        <f>IF(AND(F942,ABS(W942)&gt;1E-12,Y942&gt;0,Z942&gt;0),AA942,1E+300)</f>
        <v/>
      </c>
    </row>
    <row r="943">
      <c r="A943">
        <f>$B$3+$B$5*15</f>
        <v/>
      </c>
      <c r="B943">
        <f>$B$3+$B$5*16</f>
        <v/>
      </c>
      <c r="C943">
        <f>SUMPRODUCT(Calc!$K$3:$K$22*(Calc!$G$3:$G$22&lt;=A943))</f>
        <v/>
      </c>
      <c r="D943">
        <f>SUMPRODUCT(Calc!$K$3:$K$22*(Calc!$G$3:$G$22&gt;A943)*(Calc!$G$3:$G$22&lt;B943))</f>
        <v/>
      </c>
      <c r="E943">
        <f>SUMPRODUCT(Calc!$K$3:$K$22*(Calc!$G$3:$G$22&gt;=B943))</f>
        <v/>
      </c>
      <c r="F943">
        <f>AND(k_n&gt;=5,B943&gt;A943+1E-9,C943&gt;=2,D943&gt;=1,E943&gt;=2)</f>
        <v/>
      </c>
      <c r="G943">
        <f>SUMPRODUCT(Calc!$K$3:$K$22*(Calc!$G$3:$G$22&gt;A943)*(Calc!$G$3:$G$22-A943))</f>
        <v/>
      </c>
      <c r="H943">
        <f>SUMPRODUCT(Calc!$K$3:$K$22*(Calc!$G$3:$G$22&gt;B943)*(Calc!$G$3:$G$22-B943))</f>
        <v/>
      </c>
      <c r="I943">
        <f>SUMPRODUCT(Calc!$K$3:$K$22*(Calc!$G$3:$G$22&gt;A943)*(Calc!$G$3:$G$22-A943)^2)</f>
        <v/>
      </c>
      <c r="J943">
        <f>SUMPRODUCT(Calc!$K$3:$K$22*(Calc!$G$3:$G$22&gt;B943)*(Calc!$G$3:$G$22-B943)^2)</f>
        <v/>
      </c>
      <c r="K943">
        <f>SUMPRODUCT(Calc!$K$3:$K$22*(Calc!$G$3:$G$22&gt;A943)*(Calc!$G$3:$G$22-A943)*(Calc!$G$3:$G$22&gt;B943)*(Calc!$G$3:$G$22-B943))</f>
        <v/>
      </c>
      <c r="L943">
        <f>SUMPRODUCT(Calc!$K$3:$K$22*(Calc!$G$3:$G$22&gt;A943)*(Calc!$G$3:$G$22-A943)*Calc!$G$3:$G$22)</f>
        <v/>
      </c>
      <c r="M943">
        <f>SUMPRODUCT(Calc!$K$3:$K$22*(Calc!$G$3:$G$22&gt;B943)*(Calc!$G$3:$G$22-B943)*Calc!$G$3:$G$22)</f>
        <v/>
      </c>
      <c r="N943">
        <f>SUMPRODUCT(Calc!$K$3:$K$22*(Calc!$G$3:$G$22&gt;A943)*(Calc!$G$3:$G$22-A943)*Calc!$I$3:$I$22)</f>
        <v/>
      </c>
      <c r="O943">
        <f>SUMPRODUCT(Calc!$K$3:$K$22*(Calc!$G$3:$G$22&gt;B943)*(Calc!$G$3:$G$22-B943)*Calc!$I$3:$I$22)</f>
        <v/>
      </c>
      <c r="P943">
        <f>I943-G943^2/k_n</f>
        <v/>
      </c>
      <c r="Q943">
        <f>J943-H943^2/k_n</f>
        <v/>
      </c>
      <c r="R943">
        <f>K943-G943*H943/k_n</f>
        <v/>
      </c>
      <c r="S943">
        <f>L943-LTP3!$D$3*G943/k_n</f>
        <v/>
      </c>
      <c r="T943">
        <f>M943-LTP3!$D$3*H943/k_n</f>
        <v/>
      </c>
      <c r="U943">
        <f>N943-G943*LTP3!$D$4/k_n</f>
        <v/>
      </c>
      <c r="V943">
        <f>O943-H943*LTP3!$D$4/k_n</f>
        <v/>
      </c>
      <c r="W943">
        <f>((LTP3!$D$5)*((P943)*(Q943)-(R943)*(R943))-(S943)*((S943)*(Q943)-(R943)*(T943))+(T943)*((S943)*(R943)-(P943)*(T943)))</f>
        <v/>
      </c>
      <c r="X943">
        <f>IF(ABS(W943)&gt;1E-12,((LTP3!$D$6)*((P943)*(Q943)-(R943)*(R943))-(S943)*((U943)*(Q943)-(R943)*(V943))+(T943)*((U943)*(R943)-(P943)*(V943)))/W943,0)</f>
        <v/>
      </c>
      <c r="Y943">
        <f>IF(ABS(W943)&gt;1E-12,((LTP3!$D$5)*((U943)*(Q943)-(R943)*(V943))-(LTP3!$D$6)*((S943)*(Q943)-(R943)*(T943))+(T943)*((S943)*(V943)-(U943)*(T943)))/W943,0)</f>
        <v/>
      </c>
      <c r="Z943">
        <f>IF(ABS(W943)&gt;1E-12,((LTP3!$D$5)*((P943)*(V943)-(U943)*(R943))-(S943)*((S943)*(V943)-(U943)*(T943))+(LTP3!$D$6)*((S943)*(R943)-(P943)*(T943)))/W943,0)</f>
        <v/>
      </c>
      <c r="AA943">
        <f>LTP3!$D$7-X943*LTP3!$D$6-Y943*U943-Z943*V943</f>
        <v/>
      </c>
      <c r="AB943">
        <f>IF(AND(F943,ABS(W943)&gt;1E-12,Y943&gt;0,Z943&gt;0),AA943,1E+300)</f>
        <v/>
      </c>
    </row>
    <row r="944">
      <c r="A944">
        <f>$B$3+$B$5*15</f>
        <v/>
      </c>
      <c r="B944">
        <f>$B$3+$B$5*17</f>
        <v/>
      </c>
      <c r="C944">
        <f>SUMPRODUCT(Calc!$K$3:$K$22*(Calc!$G$3:$G$22&lt;=A944))</f>
        <v/>
      </c>
      <c r="D944">
        <f>SUMPRODUCT(Calc!$K$3:$K$22*(Calc!$G$3:$G$22&gt;A944)*(Calc!$G$3:$G$22&lt;B944))</f>
        <v/>
      </c>
      <c r="E944">
        <f>SUMPRODUCT(Calc!$K$3:$K$22*(Calc!$G$3:$G$22&gt;=B944))</f>
        <v/>
      </c>
      <c r="F944">
        <f>AND(k_n&gt;=5,B944&gt;A944+1E-9,C944&gt;=2,D944&gt;=1,E944&gt;=2)</f>
        <v/>
      </c>
      <c r="G944">
        <f>SUMPRODUCT(Calc!$K$3:$K$22*(Calc!$G$3:$G$22&gt;A944)*(Calc!$G$3:$G$22-A944))</f>
        <v/>
      </c>
      <c r="H944">
        <f>SUMPRODUCT(Calc!$K$3:$K$22*(Calc!$G$3:$G$22&gt;B944)*(Calc!$G$3:$G$22-B944))</f>
        <v/>
      </c>
      <c r="I944">
        <f>SUMPRODUCT(Calc!$K$3:$K$22*(Calc!$G$3:$G$22&gt;A944)*(Calc!$G$3:$G$22-A944)^2)</f>
        <v/>
      </c>
      <c r="J944">
        <f>SUMPRODUCT(Calc!$K$3:$K$22*(Calc!$G$3:$G$22&gt;B944)*(Calc!$G$3:$G$22-B944)^2)</f>
        <v/>
      </c>
      <c r="K944">
        <f>SUMPRODUCT(Calc!$K$3:$K$22*(Calc!$G$3:$G$22&gt;A944)*(Calc!$G$3:$G$22-A944)*(Calc!$G$3:$G$22&gt;B944)*(Calc!$G$3:$G$22-B944))</f>
        <v/>
      </c>
      <c r="L944">
        <f>SUMPRODUCT(Calc!$K$3:$K$22*(Calc!$G$3:$G$22&gt;A944)*(Calc!$G$3:$G$22-A944)*Calc!$G$3:$G$22)</f>
        <v/>
      </c>
      <c r="M944">
        <f>SUMPRODUCT(Calc!$K$3:$K$22*(Calc!$G$3:$G$22&gt;B944)*(Calc!$G$3:$G$22-B944)*Calc!$G$3:$G$22)</f>
        <v/>
      </c>
      <c r="N944">
        <f>SUMPRODUCT(Calc!$K$3:$K$22*(Calc!$G$3:$G$22&gt;A944)*(Calc!$G$3:$G$22-A944)*Calc!$I$3:$I$22)</f>
        <v/>
      </c>
      <c r="O944">
        <f>SUMPRODUCT(Calc!$K$3:$K$22*(Calc!$G$3:$G$22&gt;B944)*(Calc!$G$3:$G$22-B944)*Calc!$I$3:$I$22)</f>
        <v/>
      </c>
      <c r="P944">
        <f>I944-G944^2/k_n</f>
        <v/>
      </c>
      <c r="Q944">
        <f>J944-H944^2/k_n</f>
        <v/>
      </c>
      <c r="R944">
        <f>K944-G944*H944/k_n</f>
        <v/>
      </c>
      <c r="S944">
        <f>L944-LTP3!$D$3*G944/k_n</f>
        <v/>
      </c>
      <c r="T944">
        <f>M944-LTP3!$D$3*H944/k_n</f>
        <v/>
      </c>
      <c r="U944">
        <f>N944-G944*LTP3!$D$4/k_n</f>
        <v/>
      </c>
      <c r="V944">
        <f>O944-H944*LTP3!$D$4/k_n</f>
        <v/>
      </c>
      <c r="W944">
        <f>((LTP3!$D$5)*((P944)*(Q944)-(R944)*(R944))-(S944)*((S944)*(Q944)-(R944)*(T944))+(T944)*((S944)*(R944)-(P944)*(T944)))</f>
        <v/>
      </c>
      <c r="X944">
        <f>IF(ABS(W944)&gt;1E-12,((LTP3!$D$6)*((P944)*(Q944)-(R944)*(R944))-(S944)*((U944)*(Q944)-(R944)*(V944))+(T944)*((U944)*(R944)-(P944)*(V944)))/W944,0)</f>
        <v/>
      </c>
      <c r="Y944">
        <f>IF(ABS(W944)&gt;1E-12,((LTP3!$D$5)*((U944)*(Q944)-(R944)*(V944))-(LTP3!$D$6)*((S944)*(Q944)-(R944)*(T944))+(T944)*((S944)*(V944)-(U944)*(T944)))/W944,0)</f>
        <v/>
      </c>
      <c r="Z944">
        <f>IF(ABS(W944)&gt;1E-12,((LTP3!$D$5)*((P944)*(V944)-(U944)*(R944))-(S944)*((S944)*(V944)-(U944)*(T944))+(LTP3!$D$6)*((S944)*(R944)-(P944)*(T944)))/W944,0)</f>
        <v/>
      </c>
      <c r="AA944">
        <f>LTP3!$D$7-X944*LTP3!$D$6-Y944*U944-Z944*V944</f>
        <v/>
      </c>
      <c r="AB944">
        <f>IF(AND(F944,ABS(W944)&gt;1E-12,Y944&gt;0,Z944&gt;0),AA944,1E+300)</f>
        <v/>
      </c>
    </row>
    <row r="945">
      <c r="A945">
        <f>$B$3+$B$5*15</f>
        <v/>
      </c>
      <c r="B945">
        <f>$B$3+$B$5*18</f>
        <v/>
      </c>
      <c r="C945">
        <f>SUMPRODUCT(Calc!$K$3:$K$22*(Calc!$G$3:$G$22&lt;=A945))</f>
        <v/>
      </c>
      <c r="D945">
        <f>SUMPRODUCT(Calc!$K$3:$K$22*(Calc!$G$3:$G$22&gt;A945)*(Calc!$G$3:$G$22&lt;B945))</f>
        <v/>
      </c>
      <c r="E945">
        <f>SUMPRODUCT(Calc!$K$3:$K$22*(Calc!$G$3:$G$22&gt;=B945))</f>
        <v/>
      </c>
      <c r="F945">
        <f>AND(k_n&gt;=5,B945&gt;A945+1E-9,C945&gt;=2,D945&gt;=1,E945&gt;=2)</f>
        <v/>
      </c>
      <c r="G945">
        <f>SUMPRODUCT(Calc!$K$3:$K$22*(Calc!$G$3:$G$22&gt;A945)*(Calc!$G$3:$G$22-A945))</f>
        <v/>
      </c>
      <c r="H945">
        <f>SUMPRODUCT(Calc!$K$3:$K$22*(Calc!$G$3:$G$22&gt;B945)*(Calc!$G$3:$G$22-B945))</f>
        <v/>
      </c>
      <c r="I945">
        <f>SUMPRODUCT(Calc!$K$3:$K$22*(Calc!$G$3:$G$22&gt;A945)*(Calc!$G$3:$G$22-A945)^2)</f>
        <v/>
      </c>
      <c r="J945">
        <f>SUMPRODUCT(Calc!$K$3:$K$22*(Calc!$G$3:$G$22&gt;B945)*(Calc!$G$3:$G$22-B945)^2)</f>
        <v/>
      </c>
      <c r="K945">
        <f>SUMPRODUCT(Calc!$K$3:$K$22*(Calc!$G$3:$G$22&gt;A945)*(Calc!$G$3:$G$22-A945)*(Calc!$G$3:$G$22&gt;B945)*(Calc!$G$3:$G$22-B945))</f>
        <v/>
      </c>
      <c r="L945">
        <f>SUMPRODUCT(Calc!$K$3:$K$22*(Calc!$G$3:$G$22&gt;A945)*(Calc!$G$3:$G$22-A945)*Calc!$G$3:$G$22)</f>
        <v/>
      </c>
      <c r="M945">
        <f>SUMPRODUCT(Calc!$K$3:$K$22*(Calc!$G$3:$G$22&gt;B945)*(Calc!$G$3:$G$22-B945)*Calc!$G$3:$G$22)</f>
        <v/>
      </c>
      <c r="N945">
        <f>SUMPRODUCT(Calc!$K$3:$K$22*(Calc!$G$3:$G$22&gt;A945)*(Calc!$G$3:$G$22-A945)*Calc!$I$3:$I$22)</f>
        <v/>
      </c>
      <c r="O945">
        <f>SUMPRODUCT(Calc!$K$3:$K$22*(Calc!$G$3:$G$22&gt;B945)*(Calc!$G$3:$G$22-B945)*Calc!$I$3:$I$22)</f>
        <v/>
      </c>
      <c r="P945">
        <f>I945-G945^2/k_n</f>
        <v/>
      </c>
      <c r="Q945">
        <f>J945-H945^2/k_n</f>
        <v/>
      </c>
      <c r="R945">
        <f>K945-G945*H945/k_n</f>
        <v/>
      </c>
      <c r="S945">
        <f>L945-LTP3!$D$3*G945/k_n</f>
        <v/>
      </c>
      <c r="T945">
        <f>M945-LTP3!$D$3*H945/k_n</f>
        <v/>
      </c>
      <c r="U945">
        <f>N945-G945*LTP3!$D$4/k_n</f>
        <v/>
      </c>
      <c r="V945">
        <f>O945-H945*LTP3!$D$4/k_n</f>
        <v/>
      </c>
      <c r="W945">
        <f>((LTP3!$D$5)*((P945)*(Q945)-(R945)*(R945))-(S945)*((S945)*(Q945)-(R945)*(T945))+(T945)*((S945)*(R945)-(P945)*(T945)))</f>
        <v/>
      </c>
      <c r="X945">
        <f>IF(ABS(W945)&gt;1E-12,((LTP3!$D$6)*((P945)*(Q945)-(R945)*(R945))-(S945)*((U945)*(Q945)-(R945)*(V945))+(T945)*((U945)*(R945)-(P945)*(V945)))/W945,0)</f>
        <v/>
      </c>
      <c r="Y945">
        <f>IF(ABS(W945)&gt;1E-12,((LTP3!$D$5)*((U945)*(Q945)-(R945)*(V945))-(LTP3!$D$6)*((S945)*(Q945)-(R945)*(T945))+(T945)*((S945)*(V945)-(U945)*(T945)))/W945,0)</f>
        <v/>
      </c>
      <c r="Z945">
        <f>IF(ABS(W945)&gt;1E-12,((LTP3!$D$5)*((P945)*(V945)-(U945)*(R945))-(S945)*((S945)*(V945)-(U945)*(T945))+(LTP3!$D$6)*((S945)*(R945)-(P945)*(T945)))/W945,0)</f>
        <v/>
      </c>
      <c r="AA945">
        <f>LTP3!$D$7-X945*LTP3!$D$6-Y945*U945-Z945*V945</f>
        <v/>
      </c>
      <c r="AB945">
        <f>IF(AND(F945,ABS(W945)&gt;1E-12,Y945&gt;0,Z945&gt;0),AA945,1E+300)</f>
        <v/>
      </c>
    </row>
    <row r="946">
      <c r="A946">
        <f>$B$3+$B$5*15</f>
        <v/>
      </c>
      <c r="B946">
        <f>$B$3+$B$5*19</f>
        <v/>
      </c>
      <c r="C946">
        <f>SUMPRODUCT(Calc!$K$3:$K$22*(Calc!$G$3:$G$22&lt;=A946))</f>
        <v/>
      </c>
      <c r="D946">
        <f>SUMPRODUCT(Calc!$K$3:$K$22*(Calc!$G$3:$G$22&gt;A946)*(Calc!$G$3:$G$22&lt;B946))</f>
        <v/>
      </c>
      <c r="E946">
        <f>SUMPRODUCT(Calc!$K$3:$K$22*(Calc!$G$3:$G$22&gt;=B946))</f>
        <v/>
      </c>
      <c r="F946">
        <f>AND(k_n&gt;=5,B946&gt;A946+1E-9,C946&gt;=2,D946&gt;=1,E946&gt;=2)</f>
        <v/>
      </c>
      <c r="G946">
        <f>SUMPRODUCT(Calc!$K$3:$K$22*(Calc!$G$3:$G$22&gt;A946)*(Calc!$G$3:$G$22-A946))</f>
        <v/>
      </c>
      <c r="H946">
        <f>SUMPRODUCT(Calc!$K$3:$K$22*(Calc!$G$3:$G$22&gt;B946)*(Calc!$G$3:$G$22-B946))</f>
        <v/>
      </c>
      <c r="I946">
        <f>SUMPRODUCT(Calc!$K$3:$K$22*(Calc!$G$3:$G$22&gt;A946)*(Calc!$G$3:$G$22-A946)^2)</f>
        <v/>
      </c>
      <c r="J946">
        <f>SUMPRODUCT(Calc!$K$3:$K$22*(Calc!$G$3:$G$22&gt;B946)*(Calc!$G$3:$G$22-B946)^2)</f>
        <v/>
      </c>
      <c r="K946">
        <f>SUMPRODUCT(Calc!$K$3:$K$22*(Calc!$G$3:$G$22&gt;A946)*(Calc!$G$3:$G$22-A946)*(Calc!$G$3:$G$22&gt;B946)*(Calc!$G$3:$G$22-B946))</f>
        <v/>
      </c>
      <c r="L946">
        <f>SUMPRODUCT(Calc!$K$3:$K$22*(Calc!$G$3:$G$22&gt;A946)*(Calc!$G$3:$G$22-A946)*Calc!$G$3:$G$22)</f>
        <v/>
      </c>
      <c r="M946">
        <f>SUMPRODUCT(Calc!$K$3:$K$22*(Calc!$G$3:$G$22&gt;B946)*(Calc!$G$3:$G$22-B946)*Calc!$G$3:$G$22)</f>
        <v/>
      </c>
      <c r="N946">
        <f>SUMPRODUCT(Calc!$K$3:$K$22*(Calc!$G$3:$G$22&gt;A946)*(Calc!$G$3:$G$22-A946)*Calc!$I$3:$I$22)</f>
        <v/>
      </c>
      <c r="O946">
        <f>SUMPRODUCT(Calc!$K$3:$K$22*(Calc!$G$3:$G$22&gt;B946)*(Calc!$G$3:$G$22-B946)*Calc!$I$3:$I$22)</f>
        <v/>
      </c>
      <c r="P946">
        <f>I946-G946^2/k_n</f>
        <v/>
      </c>
      <c r="Q946">
        <f>J946-H946^2/k_n</f>
        <v/>
      </c>
      <c r="R946">
        <f>K946-G946*H946/k_n</f>
        <v/>
      </c>
      <c r="S946">
        <f>L946-LTP3!$D$3*G946/k_n</f>
        <v/>
      </c>
      <c r="T946">
        <f>M946-LTP3!$D$3*H946/k_n</f>
        <v/>
      </c>
      <c r="U946">
        <f>N946-G946*LTP3!$D$4/k_n</f>
        <v/>
      </c>
      <c r="V946">
        <f>O946-H946*LTP3!$D$4/k_n</f>
        <v/>
      </c>
      <c r="W946">
        <f>((LTP3!$D$5)*((P946)*(Q946)-(R946)*(R946))-(S946)*((S946)*(Q946)-(R946)*(T946))+(T946)*((S946)*(R946)-(P946)*(T946)))</f>
        <v/>
      </c>
      <c r="X946">
        <f>IF(ABS(W946)&gt;1E-12,((LTP3!$D$6)*((P946)*(Q946)-(R946)*(R946))-(S946)*((U946)*(Q946)-(R946)*(V946))+(T946)*((U946)*(R946)-(P946)*(V946)))/W946,0)</f>
        <v/>
      </c>
      <c r="Y946">
        <f>IF(ABS(W946)&gt;1E-12,((LTP3!$D$5)*((U946)*(Q946)-(R946)*(V946))-(LTP3!$D$6)*((S946)*(Q946)-(R946)*(T946))+(T946)*((S946)*(V946)-(U946)*(T946)))/W946,0)</f>
        <v/>
      </c>
      <c r="Z946">
        <f>IF(ABS(W946)&gt;1E-12,((LTP3!$D$5)*((P946)*(V946)-(U946)*(R946))-(S946)*((S946)*(V946)-(U946)*(T946))+(LTP3!$D$6)*((S946)*(R946)-(P946)*(T946)))/W946,0)</f>
        <v/>
      </c>
      <c r="AA946">
        <f>LTP3!$D$7-X946*LTP3!$D$6-Y946*U946-Z946*V946</f>
        <v/>
      </c>
      <c r="AB946">
        <f>IF(AND(F946,ABS(W946)&gt;1E-12,Y946&gt;0,Z946&gt;0),AA946,1E+300)</f>
        <v/>
      </c>
    </row>
    <row r="947">
      <c r="A947">
        <f>$B$3+$B$5*15</f>
        <v/>
      </c>
      <c r="B947">
        <f>$B$3+$B$5*20</f>
        <v/>
      </c>
      <c r="C947">
        <f>SUMPRODUCT(Calc!$K$3:$K$22*(Calc!$G$3:$G$22&lt;=A947))</f>
        <v/>
      </c>
      <c r="D947">
        <f>SUMPRODUCT(Calc!$K$3:$K$22*(Calc!$G$3:$G$22&gt;A947)*(Calc!$G$3:$G$22&lt;B947))</f>
        <v/>
      </c>
      <c r="E947">
        <f>SUMPRODUCT(Calc!$K$3:$K$22*(Calc!$G$3:$G$22&gt;=B947))</f>
        <v/>
      </c>
      <c r="F947">
        <f>AND(k_n&gt;=5,B947&gt;A947+1E-9,C947&gt;=2,D947&gt;=1,E947&gt;=2)</f>
        <v/>
      </c>
      <c r="G947">
        <f>SUMPRODUCT(Calc!$K$3:$K$22*(Calc!$G$3:$G$22&gt;A947)*(Calc!$G$3:$G$22-A947))</f>
        <v/>
      </c>
      <c r="H947">
        <f>SUMPRODUCT(Calc!$K$3:$K$22*(Calc!$G$3:$G$22&gt;B947)*(Calc!$G$3:$G$22-B947))</f>
        <v/>
      </c>
      <c r="I947">
        <f>SUMPRODUCT(Calc!$K$3:$K$22*(Calc!$G$3:$G$22&gt;A947)*(Calc!$G$3:$G$22-A947)^2)</f>
        <v/>
      </c>
      <c r="J947">
        <f>SUMPRODUCT(Calc!$K$3:$K$22*(Calc!$G$3:$G$22&gt;B947)*(Calc!$G$3:$G$22-B947)^2)</f>
        <v/>
      </c>
      <c r="K947">
        <f>SUMPRODUCT(Calc!$K$3:$K$22*(Calc!$G$3:$G$22&gt;A947)*(Calc!$G$3:$G$22-A947)*(Calc!$G$3:$G$22&gt;B947)*(Calc!$G$3:$G$22-B947))</f>
        <v/>
      </c>
      <c r="L947">
        <f>SUMPRODUCT(Calc!$K$3:$K$22*(Calc!$G$3:$G$22&gt;A947)*(Calc!$G$3:$G$22-A947)*Calc!$G$3:$G$22)</f>
        <v/>
      </c>
      <c r="M947">
        <f>SUMPRODUCT(Calc!$K$3:$K$22*(Calc!$G$3:$G$22&gt;B947)*(Calc!$G$3:$G$22-B947)*Calc!$G$3:$G$22)</f>
        <v/>
      </c>
      <c r="N947">
        <f>SUMPRODUCT(Calc!$K$3:$K$22*(Calc!$G$3:$G$22&gt;A947)*(Calc!$G$3:$G$22-A947)*Calc!$I$3:$I$22)</f>
        <v/>
      </c>
      <c r="O947">
        <f>SUMPRODUCT(Calc!$K$3:$K$22*(Calc!$G$3:$G$22&gt;B947)*(Calc!$G$3:$G$22-B947)*Calc!$I$3:$I$22)</f>
        <v/>
      </c>
      <c r="P947">
        <f>I947-G947^2/k_n</f>
        <v/>
      </c>
      <c r="Q947">
        <f>J947-H947^2/k_n</f>
        <v/>
      </c>
      <c r="R947">
        <f>K947-G947*H947/k_n</f>
        <v/>
      </c>
      <c r="S947">
        <f>L947-LTP3!$D$3*G947/k_n</f>
        <v/>
      </c>
      <c r="T947">
        <f>M947-LTP3!$D$3*H947/k_n</f>
        <v/>
      </c>
      <c r="U947">
        <f>N947-G947*LTP3!$D$4/k_n</f>
        <v/>
      </c>
      <c r="V947">
        <f>O947-H947*LTP3!$D$4/k_n</f>
        <v/>
      </c>
      <c r="W947">
        <f>((LTP3!$D$5)*((P947)*(Q947)-(R947)*(R947))-(S947)*((S947)*(Q947)-(R947)*(T947))+(T947)*((S947)*(R947)-(P947)*(T947)))</f>
        <v/>
      </c>
      <c r="X947">
        <f>IF(ABS(W947)&gt;1E-12,((LTP3!$D$6)*((P947)*(Q947)-(R947)*(R947))-(S947)*((U947)*(Q947)-(R947)*(V947))+(T947)*((U947)*(R947)-(P947)*(V947)))/W947,0)</f>
        <v/>
      </c>
      <c r="Y947">
        <f>IF(ABS(W947)&gt;1E-12,((LTP3!$D$5)*((U947)*(Q947)-(R947)*(V947))-(LTP3!$D$6)*((S947)*(Q947)-(R947)*(T947))+(T947)*((S947)*(V947)-(U947)*(T947)))/W947,0)</f>
        <v/>
      </c>
      <c r="Z947">
        <f>IF(ABS(W947)&gt;1E-12,((LTP3!$D$5)*((P947)*(V947)-(U947)*(R947))-(S947)*((S947)*(V947)-(U947)*(T947))+(LTP3!$D$6)*((S947)*(R947)-(P947)*(T947)))/W947,0)</f>
        <v/>
      </c>
      <c r="AA947">
        <f>LTP3!$D$7-X947*LTP3!$D$6-Y947*U947-Z947*V947</f>
        <v/>
      </c>
      <c r="AB947">
        <f>IF(AND(F947,ABS(W947)&gt;1E-12,Y947&gt;0,Z947&gt;0),AA947,1E+300)</f>
        <v/>
      </c>
    </row>
    <row r="948">
      <c r="A948">
        <f>$B$3+$B$5*15</f>
        <v/>
      </c>
      <c r="B948">
        <f>$B$3+$B$5*21</f>
        <v/>
      </c>
      <c r="C948">
        <f>SUMPRODUCT(Calc!$K$3:$K$22*(Calc!$G$3:$G$22&lt;=A948))</f>
        <v/>
      </c>
      <c r="D948">
        <f>SUMPRODUCT(Calc!$K$3:$K$22*(Calc!$G$3:$G$22&gt;A948)*(Calc!$G$3:$G$22&lt;B948))</f>
        <v/>
      </c>
      <c r="E948">
        <f>SUMPRODUCT(Calc!$K$3:$K$22*(Calc!$G$3:$G$22&gt;=B948))</f>
        <v/>
      </c>
      <c r="F948">
        <f>AND(k_n&gt;=5,B948&gt;A948+1E-9,C948&gt;=2,D948&gt;=1,E948&gt;=2)</f>
        <v/>
      </c>
      <c r="G948">
        <f>SUMPRODUCT(Calc!$K$3:$K$22*(Calc!$G$3:$G$22&gt;A948)*(Calc!$G$3:$G$22-A948))</f>
        <v/>
      </c>
      <c r="H948">
        <f>SUMPRODUCT(Calc!$K$3:$K$22*(Calc!$G$3:$G$22&gt;B948)*(Calc!$G$3:$G$22-B948))</f>
        <v/>
      </c>
      <c r="I948">
        <f>SUMPRODUCT(Calc!$K$3:$K$22*(Calc!$G$3:$G$22&gt;A948)*(Calc!$G$3:$G$22-A948)^2)</f>
        <v/>
      </c>
      <c r="J948">
        <f>SUMPRODUCT(Calc!$K$3:$K$22*(Calc!$G$3:$G$22&gt;B948)*(Calc!$G$3:$G$22-B948)^2)</f>
        <v/>
      </c>
      <c r="K948">
        <f>SUMPRODUCT(Calc!$K$3:$K$22*(Calc!$G$3:$G$22&gt;A948)*(Calc!$G$3:$G$22-A948)*(Calc!$G$3:$G$22&gt;B948)*(Calc!$G$3:$G$22-B948))</f>
        <v/>
      </c>
      <c r="L948">
        <f>SUMPRODUCT(Calc!$K$3:$K$22*(Calc!$G$3:$G$22&gt;A948)*(Calc!$G$3:$G$22-A948)*Calc!$G$3:$G$22)</f>
        <v/>
      </c>
      <c r="M948">
        <f>SUMPRODUCT(Calc!$K$3:$K$22*(Calc!$G$3:$G$22&gt;B948)*(Calc!$G$3:$G$22-B948)*Calc!$G$3:$G$22)</f>
        <v/>
      </c>
      <c r="N948">
        <f>SUMPRODUCT(Calc!$K$3:$K$22*(Calc!$G$3:$G$22&gt;A948)*(Calc!$G$3:$G$22-A948)*Calc!$I$3:$I$22)</f>
        <v/>
      </c>
      <c r="O948">
        <f>SUMPRODUCT(Calc!$K$3:$K$22*(Calc!$G$3:$G$22&gt;B948)*(Calc!$G$3:$G$22-B948)*Calc!$I$3:$I$22)</f>
        <v/>
      </c>
      <c r="P948">
        <f>I948-G948^2/k_n</f>
        <v/>
      </c>
      <c r="Q948">
        <f>J948-H948^2/k_n</f>
        <v/>
      </c>
      <c r="R948">
        <f>K948-G948*H948/k_n</f>
        <v/>
      </c>
      <c r="S948">
        <f>L948-LTP3!$D$3*G948/k_n</f>
        <v/>
      </c>
      <c r="T948">
        <f>M948-LTP3!$D$3*H948/k_n</f>
        <v/>
      </c>
      <c r="U948">
        <f>N948-G948*LTP3!$D$4/k_n</f>
        <v/>
      </c>
      <c r="V948">
        <f>O948-H948*LTP3!$D$4/k_n</f>
        <v/>
      </c>
      <c r="W948">
        <f>((LTP3!$D$5)*((P948)*(Q948)-(R948)*(R948))-(S948)*((S948)*(Q948)-(R948)*(T948))+(T948)*((S948)*(R948)-(P948)*(T948)))</f>
        <v/>
      </c>
      <c r="X948">
        <f>IF(ABS(W948)&gt;1E-12,((LTP3!$D$6)*((P948)*(Q948)-(R948)*(R948))-(S948)*((U948)*(Q948)-(R948)*(V948))+(T948)*((U948)*(R948)-(P948)*(V948)))/W948,0)</f>
        <v/>
      </c>
      <c r="Y948">
        <f>IF(ABS(W948)&gt;1E-12,((LTP3!$D$5)*((U948)*(Q948)-(R948)*(V948))-(LTP3!$D$6)*((S948)*(Q948)-(R948)*(T948))+(T948)*((S948)*(V948)-(U948)*(T948)))/W948,0)</f>
        <v/>
      </c>
      <c r="Z948">
        <f>IF(ABS(W948)&gt;1E-12,((LTP3!$D$5)*((P948)*(V948)-(U948)*(R948))-(S948)*((S948)*(V948)-(U948)*(T948))+(LTP3!$D$6)*((S948)*(R948)-(P948)*(T948)))/W948,0)</f>
        <v/>
      </c>
      <c r="AA948">
        <f>LTP3!$D$7-X948*LTP3!$D$6-Y948*U948-Z948*V948</f>
        <v/>
      </c>
      <c r="AB948">
        <f>IF(AND(F948,ABS(W948)&gt;1E-12,Y948&gt;0,Z948&gt;0),AA948,1E+300)</f>
        <v/>
      </c>
    </row>
    <row r="949">
      <c r="A949">
        <f>$B$3+$B$5*15</f>
        <v/>
      </c>
      <c r="B949">
        <f>$B$3+$B$5*22</f>
        <v/>
      </c>
      <c r="C949">
        <f>SUMPRODUCT(Calc!$K$3:$K$22*(Calc!$G$3:$G$22&lt;=A949))</f>
        <v/>
      </c>
      <c r="D949">
        <f>SUMPRODUCT(Calc!$K$3:$K$22*(Calc!$G$3:$G$22&gt;A949)*(Calc!$G$3:$G$22&lt;B949))</f>
        <v/>
      </c>
      <c r="E949">
        <f>SUMPRODUCT(Calc!$K$3:$K$22*(Calc!$G$3:$G$22&gt;=B949))</f>
        <v/>
      </c>
      <c r="F949">
        <f>AND(k_n&gt;=5,B949&gt;A949+1E-9,C949&gt;=2,D949&gt;=1,E949&gt;=2)</f>
        <v/>
      </c>
      <c r="G949">
        <f>SUMPRODUCT(Calc!$K$3:$K$22*(Calc!$G$3:$G$22&gt;A949)*(Calc!$G$3:$G$22-A949))</f>
        <v/>
      </c>
      <c r="H949">
        <f>SUMPRODUCT(Calc!$K$3:$K$22*(Calc!$G$3:$G$22&gt;B949)*(Calc!$G$3:$G$22-B949))</f>
        <v/>
      </c>
      <c r="I949">
        <f>SUMPRODUCT(Calc!$K$3:$K$22*(Calc!$G$3:$G$22&gt;A949)*(Calc!$G$3:$G$22-A949)^2)</f>
        <v/>
      </c>
      <c r="J949">
        <f>SUMPRODUCT(Calc!$K$3:$K$22*(Calc!$G$3:$G$22&gt;B949)*(Calc!$G$3:$G$22-B949)^2)</f>
        <v/>
      </c>
      <c r="K949">
        <f>SUMPRODUCT(Calc!$K$3:$K$22*(Calc!$G$3:$G$22&gt;A949)*(Calc!$G$3:$G$22-A949)*(Calc!$G$3:$G$22&gt;B949)*(Calc!$G$3:$G$22-B949))</f>
        <v/>
      </c>
      <c r="L949">
        <f>SUMPRODUCT(Calc!$K$3:$K$22*(Calc!$G$3:$G$22&gt;A949)*(Calc!$G$3:$G$22-A949)*Calc!$G$3:$G$22)</f>
        <v/>
      </c>
      <c r="M949">
        <f>SUMPRODUCT(Calc!$K$3:$K$22*(Calc!$G$3:$G$22&gt;B949)*(Calc!$G$3:$G$22-B949)*Calc!$G$3:$G$22)</f>
        <v/>
      </c>
      <c r="N949">
        <f>SUMPRODUCT(Calc!$K$3:$K$22*(Calc!$G$3:$G$22&gt;A949)*(Calc!$G$3:$G$22-A949)*Calc!$I$3:$I$22)</f>
        <v/>
      </c>
      <c r="O949">
        <f>SUMPRODUCT(Calc!$K$3:$K$22*(Calc!$G$3:$G$22&gt;B949)*(Calc!$G$3:$G$22-B949)*Calc!$I$3:$I$22)</f>
        <v/>
      </c>
      <c r="P949">
        <f>I949-G949^2/k_n</f>
        <v/>
      </c>
      <c r="Q949">
        <f>J949-H949^2/k_n</f>
        <v/>
      </c>
      <c r="R949">
        <f>K949-G949*H949/k_n</f>
        <v/>
      </c>
      <c r="S949">
        <f>L949-LTP3!$D$3*G949/k_n</f>
        <v/>
      </c>
      <c r="T949">
        <f>M949-LTP3!$D$3*H949/k_n</f>
        <v/>
      </c>
      <c r="U949">
        <f>N949-G949*LTP3!$D$4/k_n</f>
        <v/>
      </c>
      <c r="V949">
        <f>O949-H949*LTP3!$D$4/k_n</f>
        <v/>
      </c>
      <c r="W949">
        <f>((LTP3!$D$5)*((P949)*(Q949)-(R949)*(R949))-(S949)*((S949)*(Q949)-(R949)*(T949))+(T949)*((S949)*(R949)-(P949)*(T949)))</f>
        <v/>
      </c>
      <c r="X949">
        <f>IF(ABS(W949)&gt;1E-12,((LTP3!$D$6)*((P949)*(Q949)-(R949)*(R949))-(S949)*((U949)*(Q949)-(R949)*(V949))+(T949)*((U949)*(R949)-(P949)*(V949)))/W949,0)</f>
        <v/>
      </c>
      <c r="Y949">
        <f>IF(ABS(W949)&gt;1E-12,((LTP3!$D$5)*((U949)*(Q949)-(R949)*(V949))-(LTP3!$D$6)*((S949)*(Q949)-(R949)*(T949))+(T949)*((S949)*(V949)-(U949)*(T949)))/W949,0)</f>
        <v/>
      </c>
      <c r="Z949">
        <f>IF(ABS(W949)&gt;1E-12,((LTP3!$D$5)*((P949)*(V949)-(U949)*(R949))-(S949)*((S949)*(V949)-(U949)*(T949))+(LTP3!$D$6)*((S949)*(R949)-(P949)*(T949)))/W949,0)</f>
        <v/>
      </c>
      <c r="AA949">
        <f>LTP3!$D$7-X949*LTP3!$D$6-Y949*U949-Z949*V949</f>
        <v/>
      </c>
      <c r="AB949">
        <f>IF(AND(F949,ABS(W949)&gt;1E-12,Y949&gt;0,Z949&gt;0),AA949,1E+300)</f>
        <v/>
      </c>
    </row>
    <row r="950">
      <c r="A950">
        <f>$B$3+$B$5*15</f>
        <v/>
      </c>
      <c r="B950">
        <f>$B$3+$B$5*23</f>
        <v/>
      </c>
      <c r="C950">
        <f>SUMPRODUCT(Calc!$K$3:$K$22*(Calc!$G$3:$G$22&lt;=A950))</f>
        <v/>
      </c>
      <c r="D950">
        <f>SUMPRODUCT(Calc!$K$3:$K$22*(Calc!$G$3:$G$22&gt;A950)*(Calc!$G$3:$G$22&lt;B950))</f>
        <v/>
      </c>
      <c r="E950">
        <f>SUMPRODUCT(Calc!$K$3:$K$22*(Calc!$G$3:$G$22&gt;=B950))</f>
        <v/>
      </c>
      <c r="F950">
        <f>AND(k_n&gt;=5,B950&gt;A950+1E-9,C950&gt;=2,D950&gt;=1,E950&gt;=2)</f>
        <v/>
      </c>
      <c r="G950">
        <f>SUMPRODUCT(Calc!$K$3:$K$22*(Calc!$G$3:$G$22&gt;A950)*(Calc!$G$3:$G$22-A950))</f>
        <v/>
      </c>
      <c r="H950">
        <f>SUMPRODUCT(Calc!$K$3:$K$22*(Calc!$G$3:$G$22&gt;B950)*(Calc!$G$3:$G$22-B950))</f>
        <v/>
      </c>
      <c r="I950">
        <f>SUMPRODUCT(Calc!$K$3:$K$22*(Calc!$G$3:$G$22&gt;A950)*(Calc!$G$3:$G$22-A950)^2)</f>
        <v/>
      </c>
      <c r="J950">
        <f>SUMPRODUCT(Calc!$K$3:$K$22*(Calc!$G$3:$G$22&gt;B950)*(Calc!$G$3:$G$22-B950)^2)</f>
        <v/>
      </c>
      <c r="K950">
        <f>SUMPRODUCT(Calc!$K$3:$K$22*(Calc!$G$3:$G$22&gt;A950)*(Calc!$G$3:$G$22-A950)*(Calc!$G$3:$G$22&gt;B950)*(Calc!$G$3:$G$22-B950))</f>
        <v/>
      </c>
      <c r="L950">
        <f>SUMPRODUCT(Calc!$K$3:$K$22*(Calc!$G$3:$G$22&gt;A950)*(Calc!$G$3:$G$22-A950)*Calc!$G$3:$G$22)</f>
        <v/>
      </c>
      <c r="M950">
        <f>SUMPRODUCT(Calc!$K$3:$K$22*(Calc!$G$3:$G$22&gt;B950)*(Calc!$G$3:$G$22-B950)*Calc!$G$3:$G$22)</f>
        <v/>
      </c>
      <c r="N950">
        <f>SUMPRODUCT(Calc!$K$3:$K$22*(Calc!$G$3:$G$22&gt;A950)*(Calc!$G$3:$G$22-A950)*Calc!$I$3:$I$22)</f>
        <v/>
      </c>
      <c r="O950">
        <f>SUMPRODUCT(Calc!$K$3:$K$22*(Calc!$G$3:$G$22&gt;B950)*(Calc!$G$3:$G$22-B950)*Calc!$I$3:$I$22)</f>
        <v/>
      </c>
      <c r="P950">
        <f>I950-G950^2/k_n</f>
        <v/>
      </c>
      <c r="Q950">
        <f>J950-H950^2/k_n</f>
        <v/>
      </c>
      <c r="R950">
        <f>K950-G950*H950/k_n</f>
        <v/>
      </c>
      <c r="S950">
        <f>L950-LTP3!$D$3*G950/k_n</f>
        <v/>
      </c>
      <c r="T950">
        <f>M950-LTP3!$D$3*H950/k_n</f>
        <v/>
      </c>
      <c r="U950">
        <f>N950-G950*LTP3!$D$4/k_n</f>
        <v/>
      </c>
      <c r="V950">
        <f>O950-H950*LTP3!$D$4/k_n</f>
        <v/>
      </c>
      <c r="W950">
        <f>((LTP3!$D$5)*((P950)*(Q950)-(R950)*(R950))-(S950)*((S950)*(Q950)-(R950)*(T950))+(T950)*((S950)*(R950)-(P950)*(T950)))</f>
        <v/>
      </c>
      <c r="X950">
        <f>IF(ABS(W950)&gt;1E-12,((LTP3!$D$6)*((P950)*(Q950)-(R950)*(R950))-(S950)*((U950)*(Q950)-(R950)*(V950))+(T950)*((U950)*(R950)-(P950)*(V950)))/W950,0)</f>
        <v/>
      </c>
      <c r="Y950">
        <f>IF(ABS(W950)&gt;1E-12,((LTP3!$D$5)*((U950)*(Q950)-(R950)*(V950))-(LTP3!$D$6)*((S950)*(Q950)-(R950)*(T950))+(T950)*((S950)*(V950)-(U950)*(T950)))/W950,0)</f>
        <v/>
      </c>
      <c r="Z950">
        <f>IF(ABS(W950)&gt;1E-12,((LTP3!$D$5)*((P950)*(V950)-(U950)*(R950))-(S950)*((S950)*(V950)-(U950)*(T950))+(LTP3!$D$6)*((S950)*(R950)-(P950)*(T950)))/W950,0)</f>
        <v/>
      </c>
      <c r="AA950">
        <f>LTP3!$D$7-X950*LTP3!$D$6-Y950*U950-Z950*V950</f>
        <v/>
      </c>
      <c r="AB950">
        <f>IF(AND(F950,ABS(W950)&gt;1E-12,Y950&gt;0,Z950&gt;0),AA950,1E+300)</f>
        <v/>
      </c>
    </row>
    <row r="951">
      <c r="A951">
        <f>$B$3+$B$5*15</f>
        <v/>
      </c>
      <c r="B951">
        <f>$B$3+$B$5*24</f>
        <v/>
      </c>
      <c r="C951">
        <f>SUMPRODUCT(Calc!$K$3:$K$22*(Calc!$G$3:$G$22&lt;=A951))</f>
        <v/>
      </c>
      <c r="D951">
        <f>SUMPRODUCT(Calc!$K$3:$K$22*(Calc!$G$3:$G$22&gt;A951)*(Calc!$G$3:$G$22&lt;B951))</f>
        <v/>
      </c>
      <c r="E951">
        <f>SUMPRODUCT(Calc!$K$3:$K$22*(Calc!$G$3:$G$22&gt;=B951))</f>
        <v/>
      </c>
      <c r="F951">
        <f>AND(k_n&gt;=5,B951&gt;A951+1E-9,C951&gt;=2,D951&gt;=1,E951&gt;=2)</f>
        <v/>
      </c>
      <c r="G951">
        <f>SUMPRODUCT(Calc!$K$3:$K$22*(Calc!$G$3:$G$22&gt;A951)*(Calc!$G$3:$G$22-A951))</f>
        <v/>
      </c>
      <c r="H951">
        <f>SUMPRODUCT(Calc!$K$3:$K$22*(Calc!$G$3:$G$22&gt;B951)*(Calc!$G$3:$G$22-B951))</f>
        <v/>
      </c>
      <c r="I951">
        <f>SUMPRODUCT(Calc!$K$3:$K$22*(Calc!$G$3:$G$22&gt;A951)*(Calc!$G$3:$G$22-A951)^2)</f>
        <v/>
      </c>
      <c r="J951">
        <f>SUMPRODUCT(Calc!$K$3:$K$22*(Calc!$G$3:$G$22&gt;B951)*(Calc!$G$3:$G$22-B951)^2)</f>
        <v/>
      </c>
      <c r="K951">
        <f>SUMPRODUCT(Calc!$K$3:$K$22*(Calc!$G$3:$G$22&gt;A951)*(Calc!$G$3:$G$22-A951)*(Calc!$G$3:$G$22&gt;B951)*(Calc!$G$3:$G$22-B951))</f>
        <v/>
      </c>
      <c r="L951">
        <f>SUMPRODUCT(Calc!$K$3:$K$22*(Calc!$G$3:$G$22&gt;A951)*(Calc!$G$3:$G$22-A951)*Calc!$G$3:$G$22)</f>
        <v/>
      </c>
      <c r="M951">
        <f>SUMPRODUCT(Calc!$K$3:$K$22*(Calc!$G$3:$G$22&gt;B951)*(Calc!$G$3:$G$22-B951)*Calc!$G$3:$G$22)</f>
        <v/>
      </c>
      <c r="N951">
        <f>SUMPRODUCT(Calc!$K$3:$K$22*(Calc!$G$3:$G$22&gt;A951)*(Calc!$G$3:$G$22-A951)*Calc!$I$3:$I$22)</f>
        <v/>
      </c>
      <c r="O951">
        <f>SUMPRODUCT(Calc!$K$3:$K$22*(Calc!$G$3:$G$22&gt;B951)*(Calc!$G$3:$G$22-B951)*Calc!$I$3:$I$22)</f>
        <v/>
      </c>
      <c r="P951">
        <f>I951-G951^2/k_n</f>
        <v/>
      </c>
      <c r="Q951">
        <f>J951-H951^2/k_n</f>
        <v/>
      </c>
      <c r="R951">
        <f>K951-G951*H951/k_n</f>
        <v/>
      </c>
      <c r="S951">
        <f>L951-LTP3!$D$3*G951/k_n</f>
        <v/>
      </c>
      <c r="T951">
        <f>M951-LTP3!$D$3*H951/k_n</f>
        <v/>
      </c>
      <c r="U951">
        <f>N951-G951*LTP3!$D$4/k_n</f>
        <v/>
      </c>
      <c r="V951">
        <f>O951-H951*LTP3!$D$4/k_n</f>
        <v/>
      </c>
      <c r="W951">
        <f>((LTP3!$D$5)*((P951)*(Q951)-(R951)*(R951))-(S951)*((S951)*(Q951)-(R951)*(T951))+(T951)*((S951)*(R951)-(P951)*(T951)))</f>
        <v/>
      </c>
      <c r="X951">
        <f>IF(ABS(W951)&gt;1E-12,((LTP3!$D$6)*((P951)*(Q951)-(R951)*(R951))-(S951)*((U951)*(Q951)-(R951)*(V951))+(T951)*((U951)*(R951)-(P951)*(V951)))/W951,0)</f>
        <v/>
      </c>
      <c r="Y951">
        <f>IF(ABS(W951)&gt;1E-12,((LTP3!$D$5)*((U951)*(Q951)-(R951)*(V951))-(LTP3!$D$6)*((S951)*(Q951)-(R951)*(T951))+(T951)*((S951)*(V951)-(U951)*(T951)))/W951,0)</f>
        <v/>
      </c>
      <c r="Z951">
        <f>IF(ABS(W951)&gt;1E-12,((LTP3!$D$5)*((P951)*(V951)-(U951)*(R951))-(S951)*((S951)*(V951)-(U951)*(T951))+(LTP3!$D$6)*((S951)*(R951)-(P951)*(T951)))/W951,0)</f>
        <v/>
      </c>
      <c r="AA951">
        <f>LTP3!$D$7-X951*LTP3!$D$6-Y951*U951-Z951*V951</f>
        <v/>
      </c>
      <c r="AB951">
        <f>IF(AND(F951,ABS(W951)&gt;1E-12,Y951&gt;0,Z951&gt;0),AA951,1E+300)</f>
        <v/>
      </c>
    </row>
    <row r="952">
      <c r="A952">
        <f>$B$3+$B$5*15</f>
        <v/>
      </c>
      <c r="B952">
        <f>$B$3+$B$5*25</f>
        <v/>
      </c>
      <c r="C952">
        <f>SUMPRODUCT(Calc!$K$3:$K$22*(Calc!$G$3:$G$22&lt;=A952))</f>
        <v/>
      </c>
      <c r="D952">
        <f>SUMPRODUCT(Calc!$K$3:$K$22*(Calc!$G$3:$G$22&gt;A952)*(Calc!$G$3:$G$22&lt;B952))</f>
        <v/>
      </c>
      <c r="E952">
        <f>SUMPRODUCT(Calc!$K$3:$K$22*(Calc!$G$3:$G$22&gt;=B952))</f>
        <v/>
      </c>
      <c r="F952">
        <f>AND(k_n&gt;=5,B952&gt;A952+1E-9,C952&gt;=2,D952&gt;=1,E952&gt;=2)</f>
        <v/>
      </c>
      <c r="G952">
        <f>SUMPRODUCT(Calc!$K$3:$K$22*(Calc!$G$3:$G$22&gt;A952)*(Calc!$G$3:$G$22-A952))</f>
        <v/>
      </c>
      <c r="H952">
        <f>SUMPRODUCT(Calc!$K$3:$K$22*(Calc!$G$3:$G$22&gt;B952)*(Calc!$G$3:$G$22-B952))</f>
        <v/>
      </c>
      <c r="I952">
        <f>SUMPRODUCT(Calc!$K$3:$K$22*(Calc!$G$3:$G$22&gt;A952)*(Calc!$G$3:$G$22-A952)^2)</f>
        <v/>
      </c>
      <c r="J952">
        <f>SUMPRODUCT(Calc!$K$3:$K$22*(Calc!$G$3:$G$22&gt;B952)*(Calc!$G$3:$G$22-B952)^2)</f>
        <v/>
      </c>
      <c r="K952">
        <f>SUMPRODUCT(Calc!$K$3:$K$22*(Calc!$G$3:$G$22&gt;A952)*(Calc!$G$3:$G$22-A952)*(Calc!$G$3:$G$22&gt;B952)*(Calc!$G$3:$G$22-B952))</f>
        <v/>
      </c>
      <c r="L952">
        <f>SUMPRODUCT(Calc!$K$3:$K$22*(Calc!$G$3:$G$22&gt;A952)*(Calc!$G$3:$G$22-A952)*Calc!$G$3:$G$22)</f>
        <v/>
      </c>
      <c r="M952">
        <f>SUMPRODUCT(Calc!$K$3:$K$22*(Calc!$G$3:$G$22&gt;B952)*(Calc!$G$3:$G$22-B952)*Calc!$G$3:$G$22)</f>
        <v/>
      </c>
      <c r="N952">
        <f>SUMPRODUCT(Calc!$K$3:$K$22*(Calc!$G$3:$G$22&gt;A952)*(Calc!$G$3:$G$22-A952)*Calc!$I$3:$I$22)</f>
        <v/>
      </c>
      <c r="O952">
        <f>SUMPRODUCT(Calc!$K$3:$K$22*(Calc!$G$3:$G$22&gt;B952)*(Calc!$G$3:$G$22-B952)*Calc!$I$3:$I$22)</f>
        <v/>
      </c>
      <c r="P952">
        <f>I952-G952^2/k_n</f>
        <v/>
      </c>
      <c r="Q952">
        <f>J952-H952^2/k_n</f>
        <v/>
      </c>
      <c r="R952">
        <f>K952-G952*H952/k_n</f>
        <v/>
      </c>
      <c r="S952">
        <f>L952-LTP3!$D$3*G952/k_n</f>
        <v/>
      </c>
      <c r="T952">
        <f>M952-LTP3!$D$3*H952/k_n</f>
        <v/>
      </c>
      <c r="U952">
        <f>N952-G952*LTP3!$D$4/k_n</f>
        <v/>
      </c>
      <c r="V952">
        <f>O952-H952*LTP3!$D$4/k_n</f>
        <v/>
      </c>
      <c r="W952">
        <f>((LTP3!$D$5)*((P952)*(Q952)-(R952)*(R952))-(S952)*((S952)*(Q952)-(R952)*(T952))+(T952)*((S952)*(R952)-(P952)*(T952)))</f>
        <v/>
      </c>
      <c r="X952">
        <f>IF(ABS(W952)&gt;1E-12,((LTP3!$D$6)*((P952)*(Q952)-(R952)*(R952))-(S952)*((U952)*(Q952)-(R952)*(V952))+(T952)*((U952)*(R952)-(P952)*(V952)))/W952,0)</f>
        <v/>
      </c>
      <c r="Y952">
        <f>IF(ABS(W952)&gt;1E-12,((LTP3!$D$5)*((U952)*(Q952)-(R952)*(V952))-(LTP3!$D$6)*((S952)*(Q952)-(R952)*(T952))+(T952)*((S952)*(V952)-(U952)*(T952)))/W952,0)</f>
        <v/>
      </c>
      <c r="Z952">
        <f>IF(ABS(W952)&gt;1E-12,((LTP3!$D$5)*((P952)*(V952)-(U952)*(R952))-(S952)*((S952)*(V952)-(U952)*(T952))+(LTP3!$D$6)*((S952)*(R952)-(P952)*(T952)))/W952,0)</f>
        <v/>
      </c>
      <c r="AA952">
        <f>LTP3!$D$7-X952*LTP3!$D$6-Y952*U952-Z952*V952</f>
        <v/>
      </c>
      <c r="AB952">
        <f>IF(AND(F952,ABS(W952)&gt;1E-12,Y952&gt;0,Z952&gt;0),AA952,1E+300)</f>
        <v/>
      </c>
    </row>
    <row r="953">
      <c r="A953">
        <f>$B$3+$B$5*15</f>
        <v/>
      </c>
      <c r="B953">
        <f>$B$3+$B$5*26</f>
        <v/>
      </c>
      <c r="C953">
        <f>SUMPRODUCT(Calc!$K$3:$K$22*(Calc!$G$3:$G$22&lt;=A953))</f>
        <v/>
      </c>
      <c r="D953">
        <f>SUMPRODUCT(Calc!$K$3:$K$22*(Calc!$G$3:$G$22&gt;A953)*(Calc!$G$3:$G$22&lt;B953))</f>
        <v/>
      </c>
      <c r="E953">
        <f>SUMPRODUCT(Calc!$K$3:$K$22*(Calc!$G$3:$G$22&gt;=B953))</f>
        <v/>
      </c>
      <c r="F953">
        <f>AND(k_n&gt;=5,B953&gt;A953+1E-9,C953&gt;=2,D953&gt;=1,E953&gt;=2)</f>
        <v/>
      </c>
      <c r="G953">
        <f>SUMPRODUCT(Calc!$K$3:$K$22*(Calc!$G$3:$G$22&gt;A953)*(Calc!$G$3:$G$22-A953))</f>
        <v/>
      </c>
      <c r="H953">
        <f>SUMPRODUCT(Calc!$K$3:$K$22*(Calc!$G$3:$G$22&gt;B953)*(Calc!$G$3:$G$22-B953))</f>
        <v/>
      </c>
      <c r="I953">
        <f>SUMPRODUCT(Calc!$K$3:$K$22*(Calc!$G$3:$G$22&gt;A953)*(Calc!$G$3:$G$22-A953)^2)</f>
        <v/>
      </c>
      <c r="J953">
        <f>SUMPRODUCT(Calc!$K$3:$K$22*(Calc!$G$3:$G$22&gt;B953)*(Calc!$G$3:$G$22-B953)^2)</f>
        <v/>
      </c>
      <c r="K953">
        <f>SUMPRODUCT(Calc!$K$3:$K$22*(Calc!$G$3:$G$22&gt;A953)*(Calc!$G$3:$G$22-A953)*(Calc!$G$3:$G$22&gt;B953)*(Calc!$G$3:$G$22-B953))</f>
        <v/>
      </c>
      <c r="L953">
        <f>SUMPRODUCT(Calc!$K$3:$K$22*(Calc!$G$3:$G$22&gt;A953)*(Calc!$G$3:$G$22-A953)*Calc!$G$3:$G$22)</f>
        <v/>
      </c>
      <c r="M953">
        <f>SUMPRODUCT(Calc!$K$3:$K$22*(Calc!$G$3:$G$22&gt;B953)*(Calc!$G$3:$G$22-B953)*Calc!$G$3:$G$22)</f>
        <v/>
      </c>
      <c r="N953">
        <f>SUMPRODUCT(Calc!$K$3:$K$22*(Calc!$G$3:$G$22&gt;A953)*(Calc!$G$3:$G$22-A953)*Calc!$I$3:$I$22)</f>
        <v/>
      </c>
      <c r="O953">
        <f>SUMPRODUCT(Calc!$K$3:$K$22*(Calc!$G$3:$G$22&gt;B953)*(Calc!$G$3:$G$22-B953)*Calc!$I$3:$I$22)</f>
        <v/>
      </c>
      <c r="P953">
        <f>I953-G953^2/k_n</f>
        <v/>
      </c>
      <c r="Q953">
        <f>J953-H953^2/k_n</f>
        <v/>
      </c>
      <c r="R953">
        <f>K953-G953*H953/k_n</f>
        <v/>
      </c>
      <c r="S953">
        <f>L953-LTP3!$D$3*G953/k_n</f>
        <v/>
      </c>
      <c r="T953">
        <f>M953-LTP3!$D$3*H953/k_n</f>
        <v/>
      </c>
      <c r="U953">
        <f>N953-G953*LTP3!$D$4/k_n</f>
        <v/>
      </c>
      <c r="V953">
        <f>O953-H953*LTP3!$D$4/k_n</f>
        <v/>
      </c>
      <c r="W953">
        <f>((LTP3!$D$5)*((P953)*(Q953)-(R953)*(R953))-(S953)*((S953)*(Q953)-(R953)*(T953))+(T953)*((S953)*(R953)-(P953)*(T953)))</f>
        <v/>
      </c>
      <c r="X953">
        <f>IF(ABS(W953)&gt;1E-12,((LTP3!$D$6)*((P953)*(Q953)-(R953)*(R953))-(S953)*((U953)*(Q953)-(R953)*(V953))+(T953)*((U953)*(R953)-(P953)*(V953)))/W953,0)</f>
        <v/>
      </c>
      <c r="Y953">
        <f>IF(ABS(W953)&gt;1E-12,((LTP3!$D$5)*((U953)*(Q953)-(R953)*(V953))-(LTP3!$D$6)*((S953)*(Q953)-(R953)*(T953))+(T953)*((S953)*(V953)-(U953)*(T953)))/W953,0)</f>
        <v/>
      </c>
      <c r="Z953">
        <f>IF(ABS(W953)&gt;1E-12,((LTP3!$D$5)*((P953)*(V953)-(U953)*(R953))-(S953)*((S953)*(V953)-(U953)*(T953))+(LTP3!$D$6)*((S953)*(R953)-(P953)*(T953)))/W953,0)</f>
        <v/>
      </c>
      <c r="AA953">
        <f>LTP3!$D$7-X953*LTP3!$D$6-Y953*U953-Z953*V953</f>
        <v/>
      </c>
      <c r="AB953">
        <f>IF(AND(F953,ABS(W953)&gt;1E-12,Y953&gt;0,Z953&gt;0),AA953,1E+300)</f>
        <v/>
      </c>
    </row>
    <row r="954">
      <c r="A954">
        <f>$B$3+$B$5*15</f>
        <v/>
      </c>
      <c r="B954">
        <f>$B$3+$B$5*27</f>
        <v/>
      </c>
      <c r="C954">
        <f>SUMPRODUCT(Calc!$K$3:$K$22*(Calc!$G$3:$G$22&lt;=A954))</f>
        <v/>
      </c>
      <c r="D954">
        <f>SUMPRODUCT(Calc!$K$3:$K$22*(Calc!$G$3:$G$22&gt;A954)*(Calc!$G$3:$G$22&lt;B954))</f>
        <v/>
      </c>
      <c r="E954">
        <f>SUMPRODUCT(Calc!$K$3:$K$22*(Calc!$G$3:$G$22&gt;=B954))</f>
        <v/>
      </c>
      <c r="F954">
        <f>AND(k_n&gt;=5,B954&gt;A954+1E-9,C954&gt;=2,D954&gt;=1,E954&gt;=2)</f>
        <v/>
      </c>
      <c r="G954">
        <f>SUMPRODUCT(Calc!$K$3:$K$22*(Calc!$G$3:$G$22&gt;A954)*(Calc!$G$3:$G$22-A954))</f>
        <v/>
      </c>
      <c r="H954">
        <f>SUMPRODUCT(Calc!$K$3:$K$22*(Calc!$G$3:$G$22&gt;B954)*(Calc!$G$3:$G$22-B954))</f>
        <v/>
      </c>
      <c r="I954">
        <f>SUMPRODUCT(Calc!$K$3:$K$22*(Calc!$G$3:$G$22&gt;A954)*(Calc!$G$3:$G$22-A954)^2)</f>
        <v/>
      </c>
      <c r="J954">
        <f>SUMPRODUCT(Calc!$K$3:$K$22*(Calc!$G$3:$G$22&gt;B954)*(Calc!$G$3:$G$22-B954)^2)</f>
        <v/>
      </c>
      <c r="K954">
        <f>SUMPRODUCT(Calc!$K$3:$K$22*(Calc!$G$3:$G$22&gt;A954)*(Calc!$G$3:$G$22-A954)*(Calc!$G$3:$G$22&gt;B954)*(Calc!$G$3:$G$22-B954))</f>
        <v/>
      </c>
      <c r="L954">
        <f>SUMPRODUCT(Calc!$K$3:$K$22*(Calc!$G$3:$G$22&gt;A954)*(Calc!$G$3:$G$22-A954)*Calc!$G$3:$G$22)</f>
        <v/>
      </c>
      <c r="M954">
        <f>SUMPRODUCT(Calc!$K$3:$K$22*(Calc!$G$3:$G$22&gt;B954)*(Calc!$G$3:$G$22-B954)*Calc!$G$3:$G$22)</f>
        <v/>
      </c>
      <c r="N954">
        <f>SUMPRODUCT(Calc!$K$3:$K$22*(Calc!$G$3:$G$22&gt;A954)*(Calc!$G$3:$G$22-A954)*Calc!$I$3:$I$22)</f>
        <v/>
      </c>
      <c r="O954">
        <f>SUMPRODUCT(Calc!$K$3:$K$22*(Calc!$G$3:$G$22&gt;B954)*(Calc!$G$3:$G$22-B954)*Calc!$I$3:$I$22)</f>
        <v/>
      </c>
      <c r="P954">
        <f>I954-G954^2/k_n</f>
        <v/>
      </c>
      <c r="Q954">
        <f>J954-H954^2/k_n</f>
        <v/>
      </c>
      <c r="R954">
        <f>K954-G954*H954/k_n</f>
        <v/>
      </c>
      <c r="S954">
        <f>L954-LTP3!$D$3*G954/k_n</f>
        <v/>
      </c>
      <c r="T954">
        <f>M954-LTP3!$D$3*H954/k_n</f>
        <v/>
      </c>
      <c r="U954">
        <f>N954-G954*LTP3!$D$4/k_n</f>
        <v/>
      </c>
      <c r="V954">
        <f>O954-H954*LTP3!$D$4/k_n</f>
        <v/>
      </c>
      <c r="W954">
        <f>((LTP3!$D$5)*((P954)*(Q954)-(R954)*(R954))-(S954)*((S954)*(Q954)-(R954)*(T954))+(T954)*((S954)*(R954)-(P954)*(T954)))</f>
        <v/>
      </c>
      <c r="X954">
        <f>IF(ABS(W954)&gt;1E-12,((LTP3!$D$6)*((P954)*(Q954)-(R954)*(R954))-(S954)*((U954)*(Q954)-(R954)*(V954))+(T954)*((U954)*(R954)-(P954)*(V954)))/W954,0)</f>
        <v/>
      </c>
      <c r="Y954">
        <f>IF(ABS(W954)&gt;1E-12,((LTP3!$D$5)*((U954)*(Q954)-(R954)*(V954))-(LTP3!$D$6)*((S954)*(Q954)-(R954)*(T954))+(T954)*((S954)*(V954)-(U954)*(T954)))/W954,0)</f>
        <v/>
      </c>
      <c r="Z954">
        <f>IF(ABS(W954)&gt;1E-12,((LTP3!$D$5)*((P954)*(V954)-(U954)*(R954))-(S954)*((S954)*(V954)-(U954)*(T954))+(LTP3!$D$6)*((S954)*(R954)-(P954)*(T954)))/W954,0)</f>
        <v/>
      </c>
      <c r="AA954">
        <f>LTP3!$D$7-X954*LTP3!$D$6-Y954*U954-Z954*V954</f>
        <v/>
      </c>
      <c r="AB954">
        <f>IF(AND(F954,ABS(W954)&gt;1E-12,Y954&gt;0,Z954&gt;0),AA954,1E+300)</f>
        <v/>
      </c>
    </row>
    <row r="955">
      <c r="A955">
        <f>$B$3+$B$5*15</f>
        <v/>
      </c>
      <c r="B955">
        <f>$B$3+$B$5*28</f>
        <v/>
      </c>
      <c r="C955">
        <f>SUMPRODUCT(Calc!$K$3:$K$22*(Calc!$G$3:$G$22&lt;=A955))</f>
        <v/>
      </c>
      <c r="D955">
        <f>SUMPRODUCT(Calc!$K$3:$K$22*(Calc!$G$3:$G$22&gt;A955)*(Calc!$G$3:$G$22&lt;B955))</f>
        <v/>
      </c>
      <c r="E955">
        <f>SUMPRODUCT(Calc!$K$3:$K$22*(Calc!$G$3:$G$22&gt;=B955))</f>
        <v/>
      </c>
      <c r="F955">
        <f>AND(k_n&gt;=5,B955&gt;A955+1E-9,C955&gt;=2,D955&gt;=1,E955&gt;=2)</f>
        <v/>
      </c>
      <c r="G955">
        <f>SUMPRODUCT(Calc!$K$3:$K$22*(Calc!$G$3:$G$22&gt;A955)*(Calc!$G$3:$G$22-A955))</f>
        <v/>
      </c>
      <c r="H955">
        <f>SUMPRODUCT(Calc!$K$3:$K$22*(Calc!$G$3:$G$22&gt;B955)*(Calc!$G$3:$G$22-B955))</f>
        <v/>
      </c>
      <c r="I955">
        <f>SUMPRODUCT(Calc!$K$3:$K$22*(Calc!$G$3:$G$22&gt;A955)*(Calc!$G$3:$G$22-A955)^2)</f>
        <v/>
      </c>
      <c r="J955">
        <f>SUMPRODUCT(Calc!$K$3:$K$22*(Calc!$G$3:$G$22&gt;B955)*(Calc!$G$3:$G$22-B955)^2)</f>
        <v/>
      </c>
      <c r="K955">
        <f>SUMPRODUCT(Calc!$K$3:$K$22*(Calc!$G$3:$G$22&gt;A955)*(Calc!$G$3:$G$22-A955)*(Calc!$G$3:$G$22&gt;B955)*(Calc!$G$3:$G$22-B955))</f>
        <v/>
      </c>
      <c r="L955">
        <f>SUMPRODUCT(Calc!$K$3:$K$22*(Calc!$G$3:$G$22&gt;A955)*(Calc!$G$3:$G$22-A955)*Calc!$G$3:$G$22)</f>
        <v/>
      </c>
      <c r="M955">
        <f>SUMPRODUCT(Calc!$K$3:$K$22*(Calc!$G$3:$G$22&gt;B955)*(Calc!$G$3:$G$22-B955)*Calc!$G$3:$G$22)</f>
        <v/>
      </c>
      <c r="N955">
        <f>SUMPRODUCT(Calc!$K$3:$K$22*(Calc!$G$3:$G$22&gt;A955)*(Calc!$G$3:$G$22-A955)*Calc!$I$3:$I$22)</f>
        <v/>
      </c>
      <c r="O955">
        <f>SUMPRODUCT(Calc!$K$3:$K$22*(Calc!$G$3:$G$22&gt;B955)*(Calc!$G$3:$G$22-B955)*Calc!$I$3:$I$22)</f>
        <v/>
      </c>
      <c r="P955">
        <f>I955-G955^2/k_n</f>
        <v/>
      </c>
      <c r="Q955">
        <f>J955-H955^2/k_n</f>
        <v/>
      </c>
      <c r="R955">
        <f>K955-G955*H955/k_n</f>
        <v/>
      </c>
      <c r="S955">
        <f>L955-LTP3!$D$3*G955/k_n</f>
        <v/>
      </c>
      <c r="T955">
        <f>M955-LTP3!$D$3*H955/k_n</f>
        <v/>
      </c>
      <c r="U955">
        <f>N955-G955*LTP3!$D$4/k_n</f>
        <v/>
      </c>
      <c r="V955">
        <f>O955-H955*LTP3!$D$4/k_n</f>
        <v/>
      </c>
      <c r="W955">
        <f>((LTP3!$D$5)*((P955)*(Q955)-(R955)*(R955))-(S955)*((S955)*(Q955)-(R955)*(T955))+(T955)*((S955)*(R955)-(P955)*(T955)))</f>
        <v/>
      </c>
      <c r="X955">
        <f>IF(ABS(W955)&gt;1E-12,((LTP3!$D$6)*((P955)*(Q955)-(R955)*(R955))-(S955)*((U955)*(Q955)-(R955)*(V955))+(T955)*((U955)*(R955)-(P955)*(V955)))/W955,0)</f>
        <v/>
      </c>
      <c r="Y955">
        <f>IF(ABS(W955)&gt;1E-12,((LTP3!$D$5)*((U955)*(Q955)-(R955)*(V955))-(LTP3!$D$6)*((S955)*(Q955)-(R955)*(T955))+(T955)*((S955)*(V955)-(U955)*(T955)))/W955,0)</f>
        <v/>
      </c>
      <c r="Z955">
        <f>IF(ABS(W955)&gt;1E-12,((LTP3!$D$5)*((P955)*(V955)-(U955)*(R955))-(S955)*((S955)*(V955)-(U955)*(T955))+(LTP3!$D$6)*((S955)*(R955)-(P955)*(T955)))/W955,0)</f>
        <v/>
      </c>
      <c r="AA955">
        <f>LTP3!$D$7-X955*LTP3!$D$6-Y955*U955-Z955*V955</f>
        <v/>
      </c>
      <c r="AB955">
        <f>IF(AND(F955,ABS(W955)&gt;1E-12,Y955&gt;0,Z955&gt;0),AA955,1E+300)</f>
        <v/>
      </c>
    </row>
    <row r="956">
      <c r="A956">
        <f>$B$3+$B$5*15</f>
        <v/>
      </c>
      <c r="B956">
        <f>$B$3+$B$5*29</f>
        <v/>
      </c>
      <c r="C956">
        <f>SUMPRODUCT(Calc!$K$3:$K$22*(Calc!$G$3:$G$22&lt;=A956))</f>
        <v/>
      </c>
      <c r="D956">
        <f>SUMPRODUCT(Calc!$K$3:$K$22*(Calc!$G$3:$G$22&gt;A956)*(Calc!$G$3:$G$22&lt;B956))</f>
        <v/>
      </c>
      <c r="E956">
        <f>SUMPRODUCT(Calc!$K$3:$K$22*(Calc!$G$3:$G$22&gt;=B956))</f>
        <v/>
      </c>
      <c r="F956">
        <f>AND(k_n&gt;=5,B956&gt;A956+1E-9,C956&gt;=2,D956&gt;=1,E956&gt;=2)</f>
        <v/>
      </c>
      <c r="G956">
        <f>SUMPRODUCT(Calc!$K$3:$K$22*(Calc!$G$3:$G$22&gt;A956)*(Calc!$G$3:$G$22-A956))</f>
        <v/>
      </c>
      <c r="H956">
        <f>SUMPRODUCT(Calc!$K$3:$K$22*(Calc!$G$3:$G$22&gt;B956)*(Calc!$G$3:$G$22-B956))</f>
        <v/>
      </c>
      <c r="I956">
        <f>SUMPRODUCT(Calc!$K$3:$K$22*(Calc!$G$3:$G$22&gt;A956)*(Calc!$G$3:$G$22-A956)^2)</f>
        <v/>
      </c>
      <c r="J956">
        <f>SUMPRODUCT(Calc!$K$3:$K$22*(Calc!$G$3:$G$22&gt;B956)*(Calc!$G$3:$G$22-B956)^2)</f>
        <v/>
      </c>
      <c r="K956">
        <f>SUMPRODUCT(Calc!$K$3:$K$22*(Calc!$G$3:$G$22&gt;A956)*(Calc!$G$3:$G$22-A956)*(Calc!$G$3:$G$22&gt;B956)*(Calc!$G$3:$G$22-B956))</f>
        <v/>
      </c>
      <c r="L956">
        <f>SUMPRODUCT(Calc!$K$3:$K$22*(Calc!$G$3:$G$22&gt;A956)*(Calc!$G$3:$G$22-A956)*Calc!$G$3:$G$22)</f>
        <v/>
      </c>
      <c r="M956">
        <f>SUMPRODUCT(Calc!$K$3:$K$22*(Calc!$G$3:$G$22&gt;B956)*(Calc!$G$3:$G$22-B956)*Calc!$G$3:$G$22)</f>
        <v/>
      </c>
      <c r="N956">
        <f>SUMPRODUCT(Calc!$K$3:$K$22*(Calc!$G$3:$G$22&gt;A956)*(Calc!$G$3:$G$22-A956)*Calc!$I$3:$I$22)</f>
        <v/>
      </c>
      <c r="O956">
        <f>SUMPRODUCT(Calc!$K$3:$K$22*(Calc!$G$3:$G$22&gt;B956)*(Calc!$G$3:$G$22-B956)*Calc!$I$3:$I$22)</f>
        <v/>
      </c>
      <c r="P956">
        <f>I956-G956^2/k_n</f>
        <v/>
      </c>
      <c r="Q956">
        <f>J956-H956^2/k_n</f>
        <v/>
      </c>
      <c r="R956">
        <f>K956-G956*H956/k_n</f>
        <v/>
      </c>
      <c r="S956">
        <f>L956-LTP3!$D$3*G956/k_n</f>
        <v/>
      </c>
      <c r="T956">
        <f>M956-LTP3!$D$3*H956/k_n</f>
        <v/>
      </c>
      <c r="U956">
        <f>N956-G956*LTP3!$D$4/k_n</f>
        <v/>
      </c>
      <c r="V956">
        <f>O956-H956*LTP3!$D$4/k_n</f>
        <v/>
      </c>
      <c r="W956">
        <f>((LTP3!$D$5)*((P956)*(Q956)-(R956)*(R956))-(S956)*((S956)*(Q956)-(R956)*(T956))+(T956)*((S956)*(R956)-(P956)*(T956)))</f>
        <v/>
      </c>
      <c r="X956">
        <f>IF(ABS(W956)&gt;1E-12,((LTP3!$D$6)*((P956)*(Q956)-(R956)*(R956))-(S956)*((U956)*(Q956)-(R956)*(V956))+(T956)*((U956)*(R956)-(P956)*(V956)))/W956,0)</f>
        <v/>
      </c>
      <c r="Y956">
        <f>IF(ABS(W956)&gt;1E-12,((LTP3!$D$5)*((U956)*(Q956)-(R956)*(V956))-(LTP3!$D$6)*((S956)*(Q956)-(R956)*(T956))+(T956)*((S956)*(V956)-(U956)*(T956)))/W956,0)</f>
        <v/>
      </c>
      <c r="Z956">
        <f>IF(ABS(W956)&gt;1E-12,((LTP3!$D$5)*((P956)*(V956)-(U956)*(R956))-(S956)*((S956)*(V956)-(U956)*(T956))+(LTP3!$D$6)*((S956)*(R956)-(P956)*(T956)))/W956,0)</f>
        <v/>
      </c>
      <c r="AA956">
        <f>LTP3!$D$7-X956*LTP3!$D$6-Y956*U956-Z956*V956</f>
        <v/>
      </c>
      <c r="AB956">
        <f>IF(AND(F956,ABS(W956)&gt;1E-12,Y956&gt;0,Z956&gt;0),AA956,1E+300)</f>
        <v/>
      </c>
    </row>
    <row r="957">
      <c r="A957">
        <f>$B$3+$B$5*15</f>
        <v/>
      </c>
      <c r="B957">
        <f>$B$3+$B$5*30</f>
        <v/>
      </c>
      <c r="C957">
        <f>SUMPRODUCT(Calc!$K$3:$K$22*(Calc!$G$3:$G$22&lt;=A957))</f>
        <v/>
      </c>
      <c r="D957">
        <f>SUMPRODUCT(Calc!$K$3:$K$22*(Calc!$G$3:$G$22&gt;A957)*(Calc!$G$3:$G$22&lt;B957))</f>
        <v/>
      </c>
      <c r="E957">
        <f>SUMPRODUCT(Calc!$K$3:$K$22*(Calc!$G$3:$G$22&gt;=B957))</f>
        <v/>
      </c>
      <c r="F957">
        <f>AND(k_n&gt;=5,B957&gt;A957+1E-9,C957&gt;=2,D957&gt;=1,E957&gt;=2)</f>
        <v/>
      </c>
      <c r="G957">
        <f>SUMPRODUCT(Calc!$K$3:$K$22*(Calc!$G$3:$G$22&gt;A957)*(Calc!$G$3:$G$22-A957))</f>
        <v/>
      </c>
      <c r="H957">
        <f>SUMPRODUCT(Calc!$K$3:$K$22*(Calc!$G$3:$G$22&gt;B957)*(Calc!$G$3:$G$22-B957))</f>
        <v/>
      </c>
      <c r="I957">
        <f>SUMPRODUCT(Calc!$K$3:$K$22*(Calc!$G$3:$G$22&gt;A957)*(Calc!$G$3:$G$22-A957)^2)</f>
        <v/>
      </c>
      <c r="J957">
        <f>SUMPRODUCT(Calc!$K$3:$K$22*(Calc!$G$3:$G$22&gt;B957)*(Calc!$G$3:$G$22-B957)^2)</f>
        <v/>
      </c>
      <c r="K957">
        <f>SUMPRODUCT(Calc!$K$3:$K$22*(Calc!$G$3:$G$22&gt;A957)*(Calc!$G$3:$G$22-A957)*(Calc!$G$3:$G$22&gt;B957)*(Calc!$G$3:$G$22-B957))</f>
        <v/>
      </c>
      <c r="L957">
        <f>SUMPRODUCT(Calc!$K$3:$K$22*(Calc!$G$3:$G$22&gt;A957)*(Calc!$G$3:$G$22-A957)*Calc!$G$3:$G$22)</f>
        <v/>
      </c>
      <c r="M957">
        <f>SUMPRODUCT(Calc!$K$3:$K$22*(Calc!$G$3:$G$22&gt;B957)*(Calc!$G$3:$G$22-B957)*Calc!$G$3:$G$22)</f>
        <v/>
      </c>
      <c r="N957">
        <f>SUMPRODUCT(Calc!$K$3:$K$22*(Calc!$G$3:$G$22&gt;A957)*(Calc!$G$3:$G$22-A957)*Calc!$I$3:$I$22)</f>
        <v/>
      </c>
      <c r="O957">
        <f>SUMPRODUCT(Calc!$K$3:$K$22*(Calc!$G$3:$G$22&gt;B957)*(Calc!$G$3:$G$22-B957)*Calc!$I$3:$I$22)</f>
        <v/>
      </c>
      <c r="P957">
        <f>I957-G957^2/k_n</f>
        <v/>
      </c>
      <c r="Q957">
        <f>J957-H957^2/k_n</f>
        <v/>
      </c>
      <c r="R957">
        <f>K957-G957*H957/k_n</f>
        <v/>
      </c>
      <c r="S957">
        <f>L957-LTP3!$D$3*G957/k_n</f>
        <v/>
      </c>
      <c r="T957">
        <f>M957-LTP3!$D$3*H957/k_n</f>
        <v/>
      </c>
      <c r="U957">
        <f>N957-G957*LTP3!$D$4/k_n</f>
        <v/>
      </c>
      <c r="V957">
        <f>O957-H957*LTP3!$D$4/k_n</f>
        <v/>
      </c>
      <c r="W957">
        <f>((LTP3!$D$5)*((P957)*(Q957)-(R957)*(R957))-(S957)*((S957)*(Q957)-(R957)*(T957))+(T957)*((S957)*(R957)-(P957)*(T957)))</f>
        <v/>
      </c>
      <c r="X957">
        <f>IF(ABS(W957)&gt;1E-12,((LTP3!$D$6)*((P957)*(Q957)-(R957)*(R957))-(S957)*((U957)*(Q957)-(R957)*(V957))+(T957)*((U957)*(R957)-(P957)*(V957)))/W957,0)</f>
        <v/>
      </c>
      <c r="Y957">
        <f>IF(ABS(W957)&gt;1E-12,((LTP3!$D$5)*((U957)*(Q957)-(R957)*(V957))-(LTP3!$D$6)*((S957)*(Q957)-(R957)*(T957))+(T957)*((S957)*(V957)-(U957)*(T957)))/W957,0)</f>
        <v/>
      </c>
      <c r="Z957">
        <f>IF(ABS(W957)&gt;1E-12,((LTP3!$D$5)*((P957)*(V957)-(U957)*(R957))-(S957)*((S957)*(V957)-(U957)*(T957))+(LTP3!$D$6)*((S957)*(R957)-(P957)*(T957)))/W957,0)</f>
        <v/>
      </c>
      <c r="AA957">
        <f>LTP3!$D$7-X957*LTP3!$D$6-Y957*U957-Z957*V957</f>
        <v/>
      </c>
      <c r="AB957">
        <f>IF(AND(F957,ABS(W957)&gt;1E-12,Y957&gt;0,Z957&gt;0),AA957,1E+300)</f>
        <v/>
      </c>
    </row>
    <row r="958">
      <c r="A958">
        <f>$B$3+$B$5*15</f>
        <v/>
      </c>
      <c r="B958">
        <f>$B$3+$B$5*31</f>
        <v/>
      </c>
      <c r="C958">
        <f>SUMPRODUCT(Calc!$K$3:$K$22*(Calc!$G$3:$G$22&lt;=A958))</f>
        <v/>
      </c>
      <c r="D958">
        <f>SUMPRODUCT(Calc!$K$3:$K$22*(Calc!$G$3:$G$22&gt;A958)*(Calc!$G$3:$G$22&lt;B958))</f>
        <v/>
      </c>
      <c r="E958">
        <f>SUMPRODUCT(Calc!$K$3:$K$22*(Calc!$G$3:$G$22&gt;=B958))</f>
        <v/>
      </c>
      <c r="F958">
        <f>AND(k_n&gt;=5,B958&gt;A958+1E-9,C958&gt;=2,D958&gt;=1,E958&gt;=2)</f>
        <v/>
      </c>
      <c r="G958">
        <f>SUMPRODUCT(Calc!$K$3:$K$22*(Calc!$G$3:$G$22&gt;A958)*(Calc!$G$3:$G$22-A958))</f>
        <v/>
      </c>
      <c r="H958">
        <f>SUMPRODUCT(Calc!$K$3:$K$22*(Calc!$G$3:$G$22&gt;B958)*(Calc!$G$3:$G$22-B958))</f>
        <v/>
      </c>
      <c r="I958">
        <f>SUMPRODUCT(Calc!$K$3:$K$22*(Calc!$G$3:$G$22&gt;A958)*(Calc!$G$3:$G$22-A958)^2)</f>
        <v/>
      </c>
      <c r="J958">
        <f>SUMPRODUCT(Calc!$K$3:$K$22*(Calc!$G$3:$G$22&gt;B958)*(Calc!$G$3:$G$22-B958)^2)</f>
        <v/>
      </c>
      <c r="K958">
        <f>SUMPRODUCT(Calc!$K$3:$K$22*(Calc!$G$3:$G$22&gt;A958)*(Calc!$G$3:$G$22-A958)*(Calc!$G$3:$G$22&gt;B958)*(Calc!$G$3:$G$22-B958))</f>
        <v/>
      </c>
      <c r="L958">
        <f>SUMPRODUCT(Calc!$K$3:$K$22*(Calc!$G$3:$G$22&gt;A958)*(Calc!$G$3:$G$22-A958)*Calc!$G$3:$G$22)</f>
        <v/>
      </c>
      <c r="M958">
        <f>SUMPRODUCT(Calc!$K$3:$K$22*(Calc!$G$3:$G$22&gt;B958)*(Calc!$G$3:$G$22-B958)*Calc!$G$3:$G$22)</f>
        <v/>
      </c>
      <c r="N958">
        <f>SUMPRODUCT(Calc!$K$3:$K$22*(Calc!$G$3:$G$22&gt;A958)*(Calc!$G$3:$G$22-A958)*Calc!$I$3:$I$22)</f>
        <v/>
      </c>
      <c r="O958">
        <f>SUMPRODUCT(Calc!$K$3:$K$22*(Calc!$G$3:$G$22&gt;B958)*(Calc!$G$3:$G$22-B958)*Calc!$I$3:$I$22)</f>
        <v/>
      </c>
      <c r="P958">
        <f>I958-G958^2/k_n</f>
        <v/>
      </c>
      <c r="Q958">
        <f>J958-H958^2/k_n</f>
        <v/>
      </c>
      <c r="R958">
        <f>K958-G958*H958/k_n</f>
        <v/>
      </c>
      <c r="S958">
        <f>L958-LTP3!$D$3*G958/k_n</f>
        <v/>
      </c>
      <c r="T958">
        <f>M958-LTP3!$D$3*H958/k_n</f>
        <v/>
      </c>
      <c r="U958">
        <f>N958-G958*LTP3!$D$4/k_n</f>
        <v/>
      </c>
      <c r="V958">
        <f>O958-H958*LTP3!$D$4/k_n</f>
        <v/>
      </c>
      <c r="W958">
        <f>((LTP3!$D$5)*((P958)*(Q958)-(R958)*(R958))-(S958)*((S958)*(Q958)-(R958)*(T958))+(T958)*((S958)*(R958)-(P958)*(T958)))</f>
        <v/>
      </c>
      <c r="X958">
        <f>IF(ABS(W958)&gt;1E-12,((LTP3!$D$6)*((P958)*(Q958)-(R958)*(R958))-(S958)*((U958)*(Q958)-(R958)*(V958))+(T958)*((U958)*(R958)-(P958)*(V958)))/W958,0)</f>
        <v/>
      </c>
      <c r="Y958">
        <f>IF(ABS(W958)&gt;1E-12,((LTP3!$D$5)*((U958)*(Q958)-(R958)*(V958))-(LTP3!$D$6)*((S958)*(Q958)-(R958)*(T958))+(T958)*((S958)*(V958)-(U958)*(T958)))/W958,0)</f>
        <v/>
      </c>
      <c r="Z958">
        <f>IF(ABS(W958)&gt;1E-12,((LTP3!$D$5)*((P958)*(V958)-(U958)*(R958))-(S958)*((S958)*(V958)-(U958)*(T958))+(LTP3!$D$6)*((S958)*(R958)-(P958)*(T958)))/W958,0)</f>
        <v/>
      </c>
      <c r="AA958">
        <f>LTP3!$D$7-X958*LTP3!$D$6-Y958*U958-Z958*V958</f>
        <v/>
      </c>
      <c r="AB958">
        <f>IF(AND(F958,ABS(W958)&gt;1E-12,Y958&gt;0,Z958&gt;0),AA958,1E+300)</f>
        <v/>
      </c>
    </row>
    <row r="959">
      <c r="A959">
        <f>$B$3+$B$5*15</f>
        <v/>
      </c>
      <c r="B959">
        <f>$B$3+$B$5*32</f>
        <v/>
      </c>
      <c r="C959">
        <f>SUMPRODUCT(Calc!$K$3:$K$22*(Calc!$G$3:$G$22&lt;=A959))</f>
        <v/>
      </c>
      <c r="D959">
        <f>SUMPRODUCT(Calc!$K$3:$K$22*(Calc!$G$3:$G$22&gt;A959)*(Calc!$G$3:$G$22&lt;B959))</f>
        <v/>
      </c>
      <c r="E959">
        <f>SUMPRODUCT(Calc!$K$3:$K$22*(Calc!$G$3:$G$22&gt;=B959))</f>
        <v/>
      </c>
      <c r="F959">
        <f>AND(k_n&gt;=5,B959&gt;A959+1E-9,C959&gt;=2,D959&gt;=1,E959&gt;=2)</f>
        <v/>
      </c>
      <c r="G959">
        <f>SUMPRODUCT(Calc!$K$3:$K$22*(Calc!$G$3:$G$22&gt;A959)*(Calc!$G$3:$G$22-A959))</f>
        <v/>
      </c>
      <c r="H959">
        <f>SUMPRODUCT(Calc!$K$3:$K$22*(Calc!$G$3:$G$22&gt;B959)*(Calc!$G$3:$G$22-B959))</f>
        <v/>
      </c>
      <c r="I959">
        <f>SUMPRODUCT(Calc!$K$3:$K$22*(Calc!$G$3:$G$22&gt;A959)*(Calc!$G$3:$G$22-A959)^2)</f>
        <v/>
      </c>
      <c r="J959">
        <f>SUMPRODUCT(Calc!$K$3:$K$22*(Calc!$G$3:$G$22&gt;B959)*(Calc!$G$3:$G$22-B959)^2)</f>
        <v/>
      </c>
      <c r="K959">
        <f>SUMPRODUCT(Calc!$K$3:$K$22*(Calc!$G$3:$G$22&gt;A959)*(Calc!$G$3:$G$22-A959)*(Calc!$G$3:$G$22&gt;B959)*(Calc!$G$3:$G$22-B959))</f>
        <v/>
      </c>
      <c r="L959">
        <f>SUMPRODUCT(Calc!$K$3:$K$22*(Calc!$G$3:$G$22&gt;A959)*(Calc!$G$3:$G$22-A959)*Calc!$G$3:$G$22)</f>
        <v/>
      </c>
      <c r="M959">
        <f>SUMPRODUCT(Calc!$K$3:$K$22*(Calc!$G$3:$G$22&gt;B959)*(Calc!$G$3:$G$22-B959)*Calc!$G$3:$G$22)</f>
        <v/>
      </c>
      <c r="N959">
        <f>SUMPRODUCT(Calc!$K$3:$K$22*(Calc!$G$3:$G$22&gt;A959)*(Calc!$G$3:$G$22-A959)*Calc!$I$3:$I$22)</f>
        <v/>
      </c>
      <c r="O959">
        <f>SUMPRODUCT(Calc!$K$3:$K$22*(Calc!$G$3:$G$22&gt;B959)*(Calc!$G$3:$G$22-B959)*Calc!$I$3:$I$22)</f>
        <v/>
      </c>
      <c r="P959">
        <f>I959-G959^2/k_n</f>
        <v/>
      </c>
      <c r="Q959">
        <f>J959-H959^2/k_n</f>
        <v/>
      </c>
      <c r="R959">
        <f>K959-G959*H959/k_n</f>
        <v/>
      </c>
      <c r="S959">
        <f>L959-LTP3!$D$3*G959/k_n</f>
        <v/>
      </c>
      <c r="T959">
        <f>M959-LTP3!$D$3*H959/k_n</f>
        <v/>
      </c>
      <c r="U959">
        <f>N959-G959*LTP3!$D$4/k_n</f>
        <v/>
      </c>
      <c r="V959">
        <f>O959-H959*LTP3!$D$4/k_n</f>
        <v/>
      </c>
      <c r="W959">
        <f>((LTP3!$D$5)*((P959)*(Q959)-(R959)*(R959))-(S959)*((S959)*(Q959)-(R959)*(T959))+(T959)*((S959)*(R959)-(P959)*(T959)))</f>
        <v/>
      </c>
      <c r="X959">
        <f>IF(ABS(W959)&gt;1E-12,((LTP3!$D$6)*((P959)*(Q959)-(R959)*(R959))-(S959)*((U959)*(Q959)-(R959)*(V959))+(T959)*((U959)*(R959)-(P959)*(V959)))/W959,0)</f>
        <v/>
      </c>
      <c r="Y959">
        <f>IF(ABS(W959)&gt;1E-12,((LTP3!$D$5)*((U959)*(Q959)-(R959)*(V959))-(LTP3!$D$6)*((S959)*(Q959)-(R959)*(T959))+(T959)*((S959)*(V959)-(U959)*(T959)))/W959,0)</f>
        <v/>
      </c>
      <c r="Z959">
        <f>IF(ABS(W959)&gt;1E-12,((LTP3!$D$5)*((P959)*(V959)-(U959)*(R959))-(S959)*((S959)*(V959)-(U959)*(T959))+(LTP3!$D$6)*((S959)*(R959)-(P959)*(T959)))/W959,0)</f>
        <v/>
      </c>
      <c r="AA959">
        <f>LTP3!$D$7-X959*LTP3!$D$6-Y959*U959-Z959*V959</f>
        <v/>
      </c>
      <c r="AB959">
        <f>IF(AND(F959,ABS(W959)&gt;1E-12,Y959&gt;0,Z959&gt;0),AA959,1E+300)</f>
        <v/>
      </c>
    </row>
    <row r="960">
      <c r="A960">
        <f>$B$3+$B$5*15</f>
        <v/>
      </c>
      <c r="B960">
        <f>$B$3+$B$5*33</f>
        <v/>
      </c>
      <c r="C960">
        <f>SUMPRODUCT(Calc!$K$3:$K$22*(Calc!$G$3:$G$22&lt;=A960))</f>
        <v/>
      </c>
      <c r="D960">
        <f>SUMPRODUCT(Calc!$K$3:$K$22*(Calc!$G$3:$G$22&gt;A960)*(Calc!$G$3:$G$22&lt;B960))</f>
        <v/>
      </c>
      <c r="E960">
        <f>SUMPRODUCT(Calc!$K$3:$K$22*(Calc!$G$3:$G$22&gt;=B960))</f>
        <v/>
      </c>
      <c r="F960">
        <f>AND(k_n&gt;=5,B960&gt;A960+1E-9,C960&gt;=2,D960&gt;=1,E960&gt;=2)</f>
        <v/>
      </c>
      <c r="G960">
        <f>SUMPRODUCT(Calc!$K$3:$K$22*(Calc!$G$3:$G$22&gt;A960)*(Calc!$G$3:$G$22-A960))</f>
        <v/>
      </c>
      <c r="H960">
        <f>SUMPRODUCT(Calc!$K$3:$K$22*(Calc!$G$3:$G$22&gt;B960)*(Calc!$G$3:$G$22-B960))</f>
        <v/>
      </c>
      <c r="I960">
        <f>SUMPRODUCT(Calc!$K$3:$K$22*(Calc!$G$3:$G$22&gt;A960)*(Calc!$G$3:$G$22-A960)^2)</f>
        <v/>
      </c>
      <c r="J960">
        <f>SUMPRODUCT(Calc!$K$3:$K$22*(Calc!$G$3:$G$22&gt;B960)*(Calc!$G$3:$G$22-B960)^2)</f>
        <v/>
      </c>
      <c r="K960">
        <f>SUMPRODUCT(Calc!$K$3:$K$22*(Calc!$G$3:$G$22&gt;A960)*(Calc!$G$3:$G$22-A960)*(Calc!$G$3:$G$22&gt;B960)*(Calc!$G$3:$G$22-B960))</f>
        <v/>
      </c>
      <c r="L960">
        <f>SUMPRODUCT(Calc!$K$3:$K$22*(Calc!$G$3:$G$22&gt;A960)*(Calc!$G$3:$G$22-A960)*Calc!$G$3:$G$22)</f>
        <v/>
      </c>
      <c r="M960">
        <f>SUMPRODUCT(Calc!$K$3:$K$22*(Calc!$G$3:$G$22&gt;B960)*(Calc!$G$3:$G$22-B960)*Calc!$G$3:$G$22)</f>
        <v/>
      </c>
      <c r="N960">
        <f>SUMPRODUCT(Calc!$K$3:$K$22*(Calc!$G$3:$G$22&gt;A960)*(Calc!$G$3:$G$22-A960)*Calc!$I$3:$I$22)</f>
        <v/>
      </c>
      <c r="O960">
        <f>SUMPRODUCT(Calc!$K$3:$K$22*(Calc!$G$3:$G$22&gt;B960)*(Calc!$G$3:$G$22-B960)*Calc!$I$3:$I$22)</f>
        <v/>
      </c>
      <c r="P960">
        <f>I960-G960^2/k_n</f>
        <v/>
      </c>
      <c r="Q960">
        <f>J960-H960^2/k_n</f>
        <v/>
      </c>
      <c r="R960">
        <f>K960-G960*H960/k_n</f>
        <v/>
      </c>
      <c r="S960">
        <f>L960-LTP3!$D$3*G960/k_n</f>
        <v/>
      </c>
      <c r="T960">
        <f>M960-LTP3!$D$3*H960/k_n</f>
        <v/>
      </c>
      <c r="U960">
        <f>N960-G960*LTP3!$D$4/k_n</f>
        <v/>
      </c>
      <c r="V960">
        <f>O960-H960*LTP3!$D$4/k_n</f>
        <v/>
      </c>
      <c r="W960">
        <f>((LTP3!$D$5)*((P960)*(Q960)-(R960)*(R960))-(S960)*((S960)*(Q960)-(R960)*(T960))+(T960)*((S960)*(R960)-(P960)*(T960)))</f>
        <v/>
      </c>
      <c r="X960">
        <f>IF(ABS(W960)&gt;1E-12,((LTP3!$D$6)*((P960)*(Q960)-(R960)*(R960))-(S960)*((U960)*(Q960)-(R960)*(V960))+(T960)*((U960)*(R960)-(P960)*(V960)))/W960,0)</f>
        <v/>
      </c>
      <c r="Y960">
        <f>IF(ABS(W960)&gt;1E-12,((LTP3!$D$5)*((U960)*(Q960)-(R960)*(V960))-(LTP3!$D$6)*((S960)*(Q960)-(R960)*(T960))+(T960)*((S960)*(V960)-(U960)*(T960)))/W960,0)</f>
        <v/>
      </c>
      <c r="Z960">
        <f>IF(ABS(W960)&gt;1E-12,((LTP3!$D$5)*((P960)*(V960)-(U960)*(R960))-(S960)*((S960)*(V960)-(U960)*(T960))+(LTP3!$D$6)*((S960)*(R960)-(P960)*(T960)))/W960,0)</f>
        <v/>
      </c>
      <c r="AA960">
        <f>LTP3!$D$7-X960*LTP3!$D$6-Y960*U960-Z960*V960</f>
        <v/>
      </c>
      <c r="AB960">
        <f>IF(AND(F960,ABS(W960)&gt;1E-12,Y960&gt;0,Z960&gt;0),AA960,1E+300)</f>
        <v/>
      </c>
    </row>
    <row r="961">
      <c r="A961">
        <f>$B$3+$B$5*15</f>
        <v/>
      </c>
      <c r="B961">
        <f>$B$3+$B$5*34</f>
        <v/>
      </c>
      <c r="C961">
        <f>SUMPRODUCT(Calc!$K$3:$K$22*(Calc!$G$3:$G$22&lt;=A961))</f>
        <v/>
      </c>
      <c r="D961">
        <f>SUMPRODUCT(Calc!$K$3:$K$22*(Calc!$G$3:$G$22&gt;A961)*(Calc!$G$3:$G$22&lt;B961))</f>
        <v/>
      </c>
      <c r="E961">
        <f>SUMPRODUCT(Calc!$K$3:$K$22*(Calc!$G$3:$G$22&gt;=B961))</f>
        <v/>
      </c>
      <c r="F961">
        <f>AND(k_n&gt;=5,B961&gt;A961+1E-9,C961&gt;=2,D961&gt;=1,E961&gt;=2)</f>
        <v/>
      </c>
      <c r="G961">
        <f>SUMPRODUCT(Calc!$K$3:$K$22*(Calc!$G$3:$G$22&gt;A961)*(Calc!$G$3:$G$22-A961))</f>
        <v/>
      </c>
      <c r="H961">
        <f>SUMPRODUCT(Calc!$K$3:$K$22*(Calc!$G$3:$G$22&gt;B961)*(Calc!$G$3:$G$22-B961))</f>
        <v/>
      </c>
      <c r="I961">
        <f>SUMPRODUCT(Calc!$K$3:$K$22*(Calc!$G$3:$G$22&gt;A961)*(Calc!$G$3:$G$22-A961)^2)</f>
        <v/>
      </c>
      <c r="J961">
        <f>SUMPRODUCT(Calc!$K$3:$K$22*(Calc!$G$3:$G$22&gt;B961)*(Calc!$G$3:$G$22-B961)^2)</f>
        <v/>
      </c>
      <c r="K961">
        <f>SUMPRODUCT(Calc!$K$3:$K$22*(Calc!$G$3:$G$22&gt;A961)*(Calc!$G$3:$G$22-A961)*(Calc!$G$3:$G$22&gt;B961)*(Calc!$G$3:$G$22-B961))</f>
        <v/>
      </c>
      <c r="L961">
        <f>SUMPRODUCT(Calc!$K$3:$K$22*(Calc!$G$3:$G$22&gt;A961)*(Calc!$G$3:$G$22-A961)*Calc!$G$3:$G$22)</f>
        <v/>
      </c>
      <c r="M961">
        <f>SUMPRODUCT(Calc!$K$3:$K$22*(Calc!$G$3:$G$22&gt;B961)*(Calc!$G$3:$G$22-B961)*Calc!$G$3:$G$22)</f>
        <v/>
      </c>
      <c r="N961">
        <f>SUMPRODUCT(Calc!$K$3:$K$22*(Calc!$G$3:$G$22&gt;A961)*(Calc!$G$3:$G$22-A961)*Calc!$I$3:$I$22)</f>
        <v/>
      </c>
      <c r="O961">
        <f>SUMPRODUCT(Calc!$K$3:$K$22*(Calc!$G$3:$G$22&gt;B961)*(Calc!$G$3:$G$22-B961)*Calc!$I$3:$I$22)</f>
        <v/>
      </c>
      <c r="P961">
        <f>I961-G961^2/k_n</f>
        <v/>
      </c>
      <c r="Q961">
        <f>J961-H961^2/k_n</f>
        <v/>
      </c>
      <c r="R961">
        <f>K961-G961*H961/k_n</f>
        <v/>
      </c>
      <c r="S961">
        <f>L961-LTP3!$D$3*G961/k_n</f>
        <v/>
      </c>
      <c r="T961">
        <f>M961-LTP3!$D$3*H961/k_n</f>
        <v/>
      </c>
      <c r="U961">
        <f>N961-G961*LTP3!$D$4/k_n</f>
        <v/>
      </c>
      <c r="V961">
        <f>O961-H961*LTP3!$D$4/k_n</f>
        <v/>
      </c>
      <c r="W961">
        <f>((LTP3!$D$5)*((P961)*(Q961)-(R961)*(R961))-(S961)*((S961)*(Q961)-(R961)*(T961))+(T961)*((S961)*(R961)-(P961)*(T961)))</f>
        <v/>
      </c>
      <c r="X961">
        <f>IF(ABS(W961)&gt;1E-12,((LTP3!$D$6)*((P961)*(Q961)-(R961)*(R961))-(S961)*((U961)*(Q961)-(R961)*(V961))+(T961)*((U961)*(R961)-(P961)*(V961)))/W961,0)</f>
        <v/>
      </c>
      <c r="Y961">
        <f>IF(ABS(W961)&gt;1E-12,((LTP3!$D$5)*((U961)*(Q961)-(R961)*(V961))-(LTP3!$D$6)*((S961)*(Q961)-(R961)*(T961))+(T961)*((S961)*(V961)-(U961)*(T961)))/W961,0)</f>
        <v/>
      </c>
      <c r="Z961">
        <f>IF(ABS(W961)&gt;1E-12,((LTP3!$D$5)*((P961)*(V961)-(U961)*(R961))-(S961)*((S961)*(V961)-(U961)*(T961))+(LTP3!$D$6)*((S961)*(R961)-(P961)*(T961)))/W961,0)</f>
        <v/>
      </c>
      <c r="AA961">
        <f>LTP3!$D$7-X961*LTP3!$D$6-Y961*U961-Z961*V961</f>
        <v/>
      </c>
      <c r="AB961">
        <f>IF(AND(F961,ABS(W961)&gt;1E-12,Y961&gt;0,Z961&gt;0),AA961,1E+300)</f>
        <v/>
      </c>
    </row>
    <row r="962">
      <c r="A962">
        <f>$B$3+$B$5*15</f>
        <v/>
      </c>
      <c r="B962">
        <f>$B$3+$B$5*35</f>
        <v/>
      </c>
      <c r="C962">
        <f>SUMPRODUCT(Calc!$K$3:$K$22*(Calc!$G$3:$G$22&lt;=A962))</f>
        <v/>
      </c>
      <c r="D962">
        <f>SUMPRODUCT(Calc!$K$3:$K$22*(Calc!$G$3:$G$22&gt;A962)*(Calc!$G$3:$G$22&lt;B962))</f>
        <v/>
      </c>
      <c r="E962">
        <f>SUMPRODUCT(Calc!$K$3:$K$22*(Calc!$G$3:$G$22&gt;=B962))</f>
        <v/>
      </c>
      <c r="F962">
        <f>AND(k_n&gt;=5,B962&gt;A962+1E-9,C962&gt;=2,D962&gt;=1,E962&gt;=2)</f>
        <v/>
      </c>
      <c r="G962">
        <f>SUMPRODUCT(Calc!$K$3:$K$22*(Calc!$G$3:$G$22&gt;A962)*(Calc!$G$3:$G$22-A962))</f>
        <v/>
      </c>
      <c r="H962">
        <f>SUMPRODUCT(Calc!$K$3:$K$22*(Calc!$G$3:$G$22&gt;B962)*(Calc!$G$3:$G$22-B962))</f>
        <v/>
      </c>
      <c r="I962">
        <f>SUMPRODUCT(Calc!$K$3:$K$22*(Calc!$G$3:$G$22&gt;A962)*(Calc!$G$3:$G$22-A962)^2)</f>
        <v/>
      </c>
      <c r="J962">
        <f>SUMPRODUCT(Calc!$K$3:$K$22*(Calc!$G$3:$G$22&gt;B962)*(Calc!$G$3:$G$22-B962)^2)</f>
        <v/>
      </c>
      <c r="K962">
        <f>SUMPRODUCT(Calc!$K$3:$K$22*(Calc!$G$3:$G$22&gt;A962)*(Calc!$G$3:$G$22-A962)*(Calc!$G$3:$G$22&gt;B962)*(Calc!$G$3:$G$22-B962))</f>
        <v/>
      </c>
      <c r="L962">
        <f>SUMPRODUCT(Calc!$K$3:$K$22*(Calc!$G$3:$G$22&gt;A962)*(Calc!$G$3:$G$22-A962)*Calc!$G$3:$G$22)</f>
        <v/>
      </c>
      <c r="M962">
        <f>SUMPRODUCT(Calc!$K$3:$K$22*(Calc!$G$3:$G$22&gt;B962)*(Calc!$G$3:$G$22-B962)*Calc!$G$3:$G$22)</f>
        <v/>
      </c>
      <c r="N962">
        <f>SUMPRODUCT(Calc!$K$3:$K$22*(Calc!$G$3:$G$22&gt;A962)*(Calc!$G$3:$G$22-A962)*Calc!$I$3:$I$22)</f>
        <v/>
      </c>
      <c r="O962">
        <f>SUMPRODUCT(Calc!$K$3:$K$22*(Calc!$G$3:$G$22&gt;B962)*(Calc!$G$3:$G$22-B962)*Calc!$I$3:$I$22)</f>
        <v/>
      </c>
      <c r="P962">
        <f>I962-G962^2/k_n</f>
        <v/>
      </c>
      <c r="Q962">
        <f>J962-H962^2/k_n</f>
        <v/>
      </c>
      <c r="R962">
        <f>K962-G962*H962/k_n</f>
        <v/>
      </c>
      <c r="S962">
        <f>L962-LTP3!$D$3*G962/k_n</f>
        <v/>
      </c>
      <c r="T962">
        <f>M962-LTP3!$D$3*H962/k_n</f>
        <v/>
      </c>
      <c r="U962">
        <f>N962-G962*LTP3!$D$4/k_n</f>
        <v/>
      </c>
      <c r="V962">
        <f>O962-H962*LTP3!$D$4/k_n</f>
        <v/>
      </c>
      <c r="W962">
        <f>((LTP3!$D$5)*((P962)*(Q962)-(R962)*(R962))-(S962)*((S962)*(Q962)-(R962)*(T962))+(T962)*((S962)*(R962)-(P962)*(T962)))</f>
        <v/>
      </c>
      <c r="X962">
        <f>IF(ABS(W962)&gt;1E-12,((LTP3!$D$6)*((P962)*(Q962)-(R962)*(R962))-(S962)*((U962)*(Q962)-(R962)*(V962))+(T962)*((U962)*(R962)-(P962)*(V962)))/W962,0)</f>
        <v/>
      </c>
      <c r="Y962">
        <f>IF(ABS(W962)&gt;1E-12,((LTP3!$D$5)*((U962)*(Q962)-(R962)*(V962))-(LTP3!$D$6)*((S962)*(Q962)-(R962)*(T962))+(T962)*((S962)*(V962)-(U962)*(T962)))/W962,0)</f>
        <v/>
      </c>
      <c r="Z962">
        <f>IF(ABS(W962)&gt;1E-12,((LTP3!$D$5)*((P962)*(V962)-(U962)*(R962))-(S962)*((S962)*(V962)-(U962)*(T962))+(LTP3!$D$6)*((S962)*(R962)-(P962)*(T962)))/W962,0)</f>
        <v/>
      </c>
      <c r="AA962">
        <f>LTP3!$D$7-X962*LTP3!$D$6-Y962*U962-Z962*V962</f>
        <v/>
      </c>
      <c r="AB962">
        <f>IF(AND(F962,ABS(W962)&gt;1E-12,Y962&gt;0,Z962&gt;0),AA962,1E+300)</f>
        <v/>
      </c>
    </row>
    <row r="963">
      <c r="A963">
        <f>$B$3+$B$5*15</f>
        <v/>
      </c>
      <c r="B963">
        <f>$B$3+$B$5*36</f>
        <v/>
      </c>
      <c r="C963">
        <f>SUMPRODUCT(Calc!$K$3:$K$22*(Calc!$G$3:$G$22&lt;=A963))</f>
        <v/>
      </c>
      <c r="D963">
        <f>SUMPRODUCT(Calc!$K$3:$K$22*(Calc!$G$3:$G$22&gt;A963)*(Calc!$G$3:$G$22&lt;B963))</f>
        <v/>
      </c>
      <c r="E963">
        <f>SUMPRODUCT(Calc!$K$3:$K$22*(Calc!$G$3:$G$22&gt;=B963))</f>
        <v/>
      </c>
      <c r="F963">
        <f>AND(k_n&gt;=5,B963&gt;A963+1E-9,C963&gt;=2,D963&gt;=1,E963&gt;=2)</f>
        <v/>
      </c>
      <c r="G963">
        <f>SUMPRODUCT(Calc!$K$3:$K$22*(Calc!$G$3:$G$22&gt;A963)*(Calc!$G$3:$G$22-A963))</f>
        <v/>
      </c>
      <c r="H963">
        <f>SUMPRODUCT(Calc!$K$3:$K$22*(Calc!$G$3:$G$22&gt;B963)*(Calc!$G$3:$G$22-B963))</f>
        <v/>
      </c>
      <c r="I963">
        <f>SUMPRODUCT(Calc!$K$3:$K$22*(Calc!$G$3:$G$22&gt;A963)*(Calc!$G$3:$G$22-A963)^2)</f>
        <v/>
      </c>
      <c r="J963">
        <f>SUMPRODUCT(Calc!$K$3:$K$22*(Calc!$G$3:$G$22&gt;B963)*(Calc!$G$3:$G$22-B963)^2)</f>
        <v/>
      </c>
      <c r="K963">
        <f>SUMPRODUCT(Calc!$K$3:$K$22*(Calc!$G$3:$G$22&gt;A963)*(Calc!$G$3:$G$22-A963)*(Calc!$G$3:$G$22&gt;B963)*(Calc!$G$3:$G$22-B963))</f>
        <v/>
      </c>
      <c r="L963">
        <f>SUMPRODUCT(Calc!$K$3:$K$22*(Calc!$G$3:$G$22&gt;A963)*(Calc!$G$3:$G$22-A963)*Calc!$G$3:$G$22)</f>
        <v/>
      </c>
      <c r="M963">
        <f>SUMPRODUCT(Calc!$K$3:$K$22*(Calc!$G$3:$G$22&gt;B963)*(Calc!$G$3:$G$22-B963)*Calc!$G$3:$G$22)</f>
        <v/>
      </c>
      <c r="N963">
        <f>SUMPRODUCT(Calc!$K$3:$K$22*(Calc!$G$3:$G$22&gt;A963)*(Calc!$G$3:$G$22-A963)*Calc!$I$3:$I$22)</f>
        <v/>
      </c>
      <c r="O963">
        <f>SUMPRODUCT(Calc!$K$3:$K$22*(Calc!$G$3:$G$22&gt;B963)*(Calc!$G$3:$G$22-B963)*Calc!$I$3:$I$22)</f>
        <v/>
      </c>
      <c r="P963">
        <f>I963-G963^2/k_n</f>
        <v/>
      </c>
      <c r="Q963">
        <f>J963-H963^2/k_n</f>
        <v/>
      </c>
      <c r="R963">
        <f>K963-G963*H963/k_n</f>
        <v/>
      </c>
      <c r="S963">
        <f>L963-LTP3!$D$3*G963/k_n</f>
        <v/>
      </c>
      <c r="T963">
        <f>M963-LTP3!$D$3*H963/k_n</f>
        <v/>
      </c>
      <c r="U963">
        <f>N963-G963*LTP3!$D$4/k_n</f>
        <v/>
      </c>
      <c r="V963">
        <f>O963-H963*LTP3!$D$4/k_n</f>
        <v/>
      </c>
      <c r="W963">
        <f>((LTP3!$D$5)*((P963)*(Q963)-(R963)*(R963))-(S963)*((S963)*(Q963)-(R963)*(T963))+(T963)*((S963)*(R963)-(P963)*(T963)))</f>
        <v/>
      </c>
      <c r="X963">
        <f>IF(ABS(W963)&gt;1E-12,((LTP3!$D$6)*((P963)*(Q963)-(R963)*(R963))-(S963)*((U963)*(Q963)-(R963)*(V963))+(T963)*((U963)*(R963)-(P963)*(V963)))/W963,0)</f>
        <v/>
      </c>
      <c r="Y963">
        <f>IF(ABS(W963)&gt;1E-12,((LTP3!$D$5)*((U963)*(Q963)-(R963)*(V963))-(LTP3!$D$6)*((S963)*(Q963)-(R963)*(T963))+(T963)*((S963)*(V963)-(U963)*(T963)))/W963,0)</f>
        <v/>
      </c>
      <c r="Z963">
        <f>IF(ABS(W963)&gt;1E-12,((LTP3!$D$5)*((P963)*(V963)-(U963)*(R963))-(S963)*((S963)*(V963)-(U963)*(T963))+(LTP3!$D$6)*((S963)*(R963)-(P963)*(T963)))/W963,0)</f>
        <v/>
      </c>
      <c r="AA963">
        <f>LTP3!$D$7-X963*LTP3!$D$6-Y963*U963-Z963*V963</f>
        <v/>
      </c>
      <c r="AB963">
        <f>IF(AND(F963,ABS(W963)&gt;1E-12,Y963&gt;0,Z963&gt;0),AA963,1E+300)</f>
        <v/>
      </c>
    </row>
    <row r="964">
      <c r="A964">
        <f>$B$3+$B$5*15</f>
        <v/>
      </c>
      <c r="B964">
        <f>$B$3+$B$5*37</f>
        <v/>
      </c>
      <c r="C964">
        <f>SUMPRODUCT(Calc!$K$3:$K$22*(Calc!$G$3:$G$22&lt;=A964))</f>
        <v/>
      </c>
      <c r="D964">
        <f>SUMPRODUCT(Calc!$K$3:$K$22*(Calc!$G$3:$G$22&gt;A964)*(Calc!$G$3:$G$22&lt;B964))</f>
        <v/>
      </c>
      <c r="E964">
        <f>SUMPRODUCT(Calc!$K$3:$K$22*(Calc!$G$3:$G$22&gt;=B964))</f>
        <v/>
      </c>
      <c r="F964">
        <f>AND(k_n&gt;=5,B964&gt;A964+1E-9,C964&gt;=2,D964&gt;=1,E964&gt;=2)</f>
        <v/>
      </c>
      <c r="G964">
        <f>SUMPRODUCT(Calc!$K$3:$K$22*(Calc!$G$3:$G$22&gt;A964)*(Calc!$G$3:$G$22-A964))</f>
        <v/>
      </c>
      <c r="H964">
        <f>SUMPRODUCT(Calc!$K$3:$K$22*(Calc!$G$3:$G$22&gt;B964)*(Calc!$G$3:$G$22-B964))</f>
        <v/>
      </c>
      <c r="I964">
        <f>SUMPRODUCT(Calc!$K$3:$K$22*(Calc!$G$3:$G$22&gt;A964)*(Calc!$G$3:$G$22-A964)^2)</f>
        <v/>
      </c>
      <c r="J964">
        <f>SUMPRODUCT(Calc!$K$3:$K$22*(Calc!$G$3:$G$22&gt;B964)*(Calc!$G$3:$G$22-B964)^2)</f>
        <v/>
      </c>
      <c r="K964">
        <f>SUMPRODUCT(Calc!$K$3:$K$22*(Calc!$G$3:$G$22&gt;A964)*(Calc!$G$3:$G$22-A964)*(Calc!$G$3:$G$22&gt;B964)*(Calc!$G$3:$G$22-B964))</f>
        <v/>
      </c>
      <c r="L964">
        <f>SUMPRODUCT(Calc!$K$3:$K$22*(Calc!$G$3:$G$22&gt;A964)*(Calc!$G$3:$G$22-A964)*Calc!$G$3:$G$22)</f>
        <v/>
      </c>
      <c r="M964">
        <f>SUMPRODUCT(Calc!$K$3:$K$22*(Calc!$G$3:$G$22&gt;B964)*(Calc!$G$3:$G$22-B964)*Calc!$G$3:$G$22)</f>
        <v/>
      </c>
      <c r="N964">
        <f>SUMPRODUCT(Calc!$K$3:$K$22*(Calc!$G$3:$G$22&gt;A964)*(Calc!$G$3:$G$22-A964)*Calc!$I$3:$I$22)</f>
        <v/>
      </c>
      <c r="O964">
        <f>SUMPRODUCT(Calc!$K$3:$K$22*(Calc!$G$3:$G$22&gt;B964)*(Calc!$G$3:$G$22-B964)*Calc!$I$3:$I$22)</f>
        <v/>
      </c>
      <c r="P964">
        <f>I964-G964^2/k_n</f>
        <v/>
      </c>
      <c r="Q964">
        <f>J964-H964^2/k_n</f>
        <v/>
      </c>
      <c r="R964">
        <f>K964-G964*H964/k_n</f>
        <v/>
      </c>
      <c r="S964">
        <f>L964-LTP3!$D$3*G964/k_n</f>
        <v/>
      </c>
      <c r="T964">
        <f>M964-LTP3!$D$3*H964/k_n</f>
        <v/>
      </c>
      <c r="U964">
        <f>N964-G964*LTP3!$D$4/k_n</f>
        <v/>
      </c>
      <c r="V964">
        <f>O964-H964*LTP3!$D$4/k_n</f>
        <v/>
      </c>
      <c r="W964">
        <f>((LTP3!$D$5)*((P964)*(Q964)-(R964)*(R964))-(S964)*((S964)*(Q964)-(R964)*(T964))+(T964)*((S964)*(R964)-(P964)*(T964)))</f>
        <v/>
      </c>
      <c r="X964">
        <f>IF(ABS(W964)&gt;1E-12,((LTP3!$D$6)*((P964)*(Q964)-(R964)*(R964))-(S964)*((U964)*(Q964)-(R964)*(V964))+(T964)*((U964)*(R964)-(P964)*(V964)))/W964,0)</f>
        <v/>
      </c>
      <c r="Y964">
        <f>IF(ABS(W964)&gt;1E-12,((LTP3!$D$5)*((U964)*(Q964)-(R964)*(V964))-(LTP3!$D$6)*((S964)*(Q964)-(R964)*(T964))+(T964)*((S964)*(V964)-(U964)*(T964)))/W964,0)</f>
        <v/>
      </c>
      <c r="Z964">
        <f>IF(ABS(W964)&gt;1E-12,((LTP3!$D$5)*((P964)*(V964)-(U964)*(R964))-(S964)*((S964)*(V964)-(U964)*(T964))+(LTP3!$D$6)*((S964)*(R964)-(P964)*(T964)))/W964,0)</f>
        <v/>
      </c>
      <c r="AA964">
        <f>LTP3!$D$7-X964*LTP3!$D$6-Y964*U964-Z964*V964</f>
        <v/>
      </c>
      <c r="AB964">
        <f>IF(AND(F964,ABS(W964)&gt;1E-12,Y964&gt;0,Z964&gt;0),AA964,1E+300)</f>
        <v/>
      </c>
    </row>
    <row r="965">
      <c r="A965">
        <f>$B$3+$B$5*15</f>
        <v/>
      </c>
      <c r="B965">
        <f>$B$3+$B$5*38</f>
        <v/>
      </c>
      <c r="C965">
        <f>SUMPRODUCT(Calc!$K$3:$K$22*(Calc!$G$3:$G$22&lt;=A965))</f>
        <v/>
      </c>
      <c r="D965">
        <f>SUMPRODUCT(Calc!$K$3:$K$22*(Calc!$G$3:$G$22&gt;A965)*(Calc!$G$3:$G$22&lt;B965))</f>
        <v/>
      </c>
      <c r="E965">
        <f>SUMPRODUCT(Calc!$K$3:$K$22*(Calc!$G$3:$G$22&gt;=B965))</f>
        <v/>
      </c>
      <c r="F965">
        <f>AND(k_n&gt;=5,B965&gt;A965+1E-9,C965&gt;=2,D965&gt;=1,E965&gt;=2)</f>
        <v/>
      </c>
      <c r="G965">
        <f>SUMPRODUCT(Calc!$K$3:$K$22*(Calc!$G$3:$G$22&gt;A965)*(Calc!$G$3:$G$22-A965))</f>
        <v/>
      </c>
      <c r="H965">
        <f>SUMPRODUCT(Calc!$K$3:$K$22*(Calc!$G$3:$G$22&gt;B965)*(Calc!$G$3:$G$22-B965))</f>
        <v/>
      </c>
      <c r="I965">
        <f>SUMPRODUCT(Calc!$K$3:$K$22*(Calc!$G$3:$G$22&gt;A965)*(Calc!$G$3:$G$22-A965)^2)</f>
        <v/>
      </c>
      <c r="J965">
        <f>SUMPRODUCT(Calc!$K$3:$K$22*(Calc!$G$3:$G$22&gt;B965)*(Calc!$G$3:$G$22-B965)^2)</f>
        <v/>
      </c>
      <c r="K965">
        <f>SUMPRODUCT(Calc!$K$3:$K$22*(Calc!$G$3:$G$22&gt;A965)*(Calc!$G$3:$G$22-A965)*(Calc!$G$3:$G$22&gt;B965)*(Calc!$G$3:$G$22-B965))</f>
        <v/>
      </c>
      <c r="L965">
        <f>SUMPRODUCT(Calc!$K$3:$K$22*(Calc!$G$3:$G$22&gt;A965)*(Calc!$G$3:$G$22-A965)*Calc!$G$3:$G$22)</f>
        <v/>
      </c>
      <c r="M965">
        <f>SUMPRODUCT(Calc!$K$3:$K$22*(Calc!$G$3:$G$22&gt;B965)*(Calc!$G$3:$G$22-B965)*Calc!$G$3:$G$22)</f>
        <v/>
      </c>
      <c r="N965">
        <f>SUMPRODUCT(Calc!$K$3:$K$22*(Calc!$G$3:$G$22&gt;A965)*(Calc!$G$3:$G$22-A965)*Calc!$I$3:$I$22)</f>
        <v/>
      </c>
      <c r="O965">
        <f>SUMPRODUCT(Calc!$K$3:$K$22*(Calc!$G$3:$G$22&gt;B965)*(Calc!$G$3:$G$22-B965)*Calc!$I$3:$I$22)</f>
        <v/>
      </c>
      <c r="P965">
        <f>I965-G965^2/k_n</f>
        <v/>
      </c>
      <c r="Q965">
        <f>J965-H965^2/k_n</f>
        <v/>
      </c>
      <c r="R965">
        <f>K965-G965*H965/k_n</f>
        <v/>
      </c>
      <c r="S965">
        <f>L965-LTP3!$D$3*G965/k_n</f>
        <v/>
      </c>
      <c r="T965">
        <f>M965-LTP3!$D$3*H965/k_n</f>
        <v/>
      </c>
      <c r="U965">
        <f>N965-G965*LTP3!$D$4/k_n</f>
        <v/>
      </c>
      <c r="V965">
        <f>O965-H965*LTP3!$D$4/k_n</f>
        <v/>
      </c>
      <c r="W965">
        <f>((LTP3!$D$5)*((P965)*(Q965)-(R965)*(R965))-(S965)*((S965)*(Q965)-(R965)*(T965))+(T965)*((S965)*(R965)-(P965)*(T965)))</f>
        <v/>
      </c>
      <c r="X965">
        <f>IF(ABS(W965)&gt;1E-12,((LTP3!$D$6)*((P965)*(Q965)-(R965)*(R965))-(S965)*((U965)*(Q965)-(R965)*(V965))+(T965)*((U965)*(R965)-(P965)*(V965)))/W965,0)</f>
        <v/>
      </c>
      <c r="Y965">
        <f>IF(ABS(W965)&gt;1E-12,((LTP3!$D$5)*((U965)*(Q965)-(R965)*(V965))-(LTP3!$D$6)*((S965)*(Q965)-(R965)*(T965))+(T965)*((S965)*(V965)-(U965)*(T965)))/W965,0)</f>
        <v/>
      </c>
      <c r="Z965">
        <f>IF(ABS(W965)&gt;1E-12,((LTP3!$D$5)*((P965)*(V965)-(U965)*(R965))-(S965)*((S965)*(V965)-(U965)*(T965))+(LTP3!$D$6)*((S965)*(R965)-(P965)*(T965)))/W965,0)</f>
        <v/>
      </c>
      <c r="AA965">
        <f>LTP3!$D$7-X965*LTP3!$D$6-Y965*U965-Z965*V965</f>
        <v/>
      </c>
      <c r="AB965">
        <f>IF(AND(F965,ABS(W965)&gt;1E-12,Y965&gt;0,Z965&gt;0),AA965,1E+300)</f>
        <v/>
      </c>
    </row>
    <row r="966">
      <c r="A966">
        <f>$B$3+$B$5*15</f>
        <v/>
      </c>
      <c r="B966">
        <f>$B$3+$B$5*39</f>
        <v/>
      </c>
      <c r="C966">
        <f>SUMPRODUCT(Calc!$K$3:$K$22*(Calc!$G$3:$G$22&lt;=A966))</f>
        <v/>
      </c>
      <c r="D966">
        <f>SUMPRODUCT(Calc!$K$3:$K$22*(Calc!$G$3:$G$22&gt;A966)*(Calc!$G$3:$G$22&lt;B966))</f>
        <v/>
      </c>
      <c r="E966">
        <f>SUMPRODUCT(Calc!$K$3:$K$22*(Calc!$G$3:$G$22&gt;=B966))</f>
        <v/>
      </c>
      <c r="F966">
        <f>AND(k_n&gt;=5,B966&gt;A966+1E-9,C966&gt;=2,D966&gt;=1,E966&gt;=2)</f>
        <v/>
      </c>
      <c r="G966">
        <f>SUMPRODUCT(Calc!$K$3:$K$22*(Calc!$G$3:$G$22&gt;A966)*(Calc!$G$3:$G$22-A966))</f>
        <v/>
      </c>
      <c r="H966">
        <f>SUMPRODUCT(Calc!$K$3:$K$22*(Calc!$G$3:$G$22&gt;B966)*(Calc!$G$3:$G$22-B966))</f>
        <v/>
      </c>
      <c r="I966">
        <f>SUMPRODUCT(Calc!$K$3:$K$22*(Calc!$G$3:$G$22&gt;A966)*(Calc!$G$3:$G$22-A966)^2)</f>
        <v/>
      </c>
      <c r="J966">
        <f>SUMPRODUCT(Calc!$K$3:$K$22*(Calc!$G$3:$G$22&gt;B966)*(Calc!$G$3:$G$22-B966)^2)</f>
        <v/>
      </c>
      <c r="K966">
        <f>SUMPRODUCT(Calc!$K$3:$K$22*(Calc!$G$3:$G$22&gt;A966)*(Calc!$G$3:$G$22-A966)*(Calc!$G$3:$G$22&gt;B966)*(Calc!$G$3:$G$22-B966))</f>
        <v/>
      </c>
      <c r="L966">
        <f>SUMPRODUCT(Calc!$K$3:$K$22*(Calc!$G$3:$G$22&gt;A966)*(Calc!$G$3:$G$22-A966)*Calc!$G$3:$G$22)</f>
        <v/>
      </c>
      <c r="M966">
        <f>SUMPRODUCT(Calc!$K$3:$K$22*(Calc!$G$3:$G$22&gt;B966)*(Calc!$G$3:$G$22-B966)*Calc!$G$3:$G$22)</f>
        <v/>
      </c>
      <c r="N966">
        <f>SUMPRODUCT(Calc!$K$3:$K$22*(Calc!$G$3:$G$22&gt;A966)*(Calc!$G$3:$G$22-A966)*Calc!$I$3:$I$22)</f>
        <v/>
      </c>
      <c r="O966">
        <f>SUMPRODUCT(Calc!$K$3:$K$22*(Calc!$G$3:$G$22&gt;B966)*(Calc!$G$3:$G$22-B966)*Calc!$I$3:$I$22)</f>
        <v/>
      </c>
      <c r="P966">
        <f>I966-G966^2/k_n</f>
        <v/>
      </c>
      <c r="Q966">
        <f>J966-H966^2/k_n</f>
        <v/>
      </c>
      <c r="R966">
        <f>K966-G966*H966/k_n</f>
        <v/>
      </c>
      <c r="S966">
        <f>L966-LTP3!$D$3*G966/k_n</f>
        <v/>
      </c>
      <c r="T966">
        <f>M966-LTP3!$D$3*H966/k_n</f>
        <v/>
      </c>
      <c r="U966">
        <f>N966-G966*LTP3!$D$4/k_n</f>
        <v/>
      </c>
      <c r="V966">
        <f>O966-H966*LTP3!$D$4/k_n</f>
        <v/>
      </c>
      <c r="W966">
        <f>((LTP3!$D$5)*((P966)*(Q966)-(R966)*(R966))-(S966)*((S966)*(Q966)-(R966)*(T966))+(T966)*((S966)*(R966)-(P966)*(T966)))</f>
        <v/>
      </c>
      <c r="X966">
        <f>IF(ABS(W966)&gt;1E-12,((LTP3!$D$6)*((P966)*(Q966)-(R966)*(R966))-(S966)*((U966)*(Q966)-(R966)*(V966))+(T966)*((U966)*(R966)-(P966)*(V966)))/W966,0)</f>
        <v/>
      </c>
      <c r="Y966">
        <f>IF(ABS(W966)&gt;1E-12,((LTP3!$D$5)*((U966)*(Q966)-(R966)*(V966))-(LTP3!$D$6)*((S966)*(Q966)-(R966)*(T966))+(T966)*((S966)*(V966)-(U966)*(T966)))/W966,0)</f>
        <v/>
      </c>
      <c r="Z966">
        <f>IF(ABS(W966)&gt;1E-12,((LTP3!$D$5)*((P966)*(V966)-(U966)*(R966))-(S966)*((S966)*(V966)-(U966)*(T966))+(LTP3!$D$6)*((S966)*(R966)-(P966)*(T966)))/W966,0)</f>
        <v/>
      </c>
      <c r="AA966">
        <f>LTP3!$D$7-X966*LTP3!$D$6-Y966*U966-Z966*V966</f>
        <v/>
      </c>
      <c r="AB966">
        <f>IF(AND(F966,ABS(W966)&gt;1E-12,Y966&gt;0,Z966&gt;0),AA966,1E+300)</f>
        <v/>
      </c>
    </row>
    <row r="967">
      <c r="A967">
        <f>$B$3+$B$5*15</f>
        <v/>
      </c>
      <c r="B967">
        <f>$B$3+$B$5*40</f>
        <v/>
      </c>
      <c r="C967">
        <f>SUMPRODUCT(Calc!$K$3:$K$22*(Calc!$G$3:$G$22&lt;=A967))</f>
        <v/>
      </c>
      <c r="D967">
        <f>SUMPRODUCT(Calc!$K$3:$K$22*(Calc!$G$3:$G$22&gt;A967)*(Calc!$G$3:$G$22&lt;B967))</f>
        <v/>
      </c>
      <c r="E967">
        <f>SUMPRODUCT(Calc!$K$3:$K$22*(Calc!$G$3:$G$22&gt;=B967))</f>
        <v/>
      </c>
      <c r="F967">
        <f>AND(k_n&gt;=5,B967&gt;A967+1E-9,C967&gt;=2,D967&gt;=1,E967&gt;=2)</f>
        <v/>
      </c>
      <c r="G967">
        <f>SUMPRODUCT(Calc!$K$3:$K$22*(Calc!$G$3:$G$22&gt;A967)*(Calc!$G$3:$G$22-A967))</f>
        <v/>
      </c>
      <c r="H967">
        <f>SUMPRODUCT(Calc!$K$3:$K$22*(Calc!$G$3:$G$22&gt;B967)*(Calc!$G$3:$G$22-B967))</f>
        <v/>
      </c>
      <c r="I967">
        <f>SUMPRODUCT(Calc!$K$3:$K$22*(Calc!$G$3:$G$22&gt;A967)*(Calc!$G$3:$G$22-A967)^2)</f>
        <v/>
      </c>
      <c r="J967">
        <f>SUMPRODUCT(Calc!$K$3:$K$22*(Calc!$G$3:$G$22&gt;B967)*(Calc!$G$3:$G$22-B967)^2)</f>
        <v/>
      </c>
      <c r="K967">
        <f>SUMPRODUCT(Calc!$K$3:$K$22*(Calc!$G$3:$G$22&gt;A967)*(Calc!$G$3:$G$22-A967)*(Calc!$G$3:$G$22&gt;B967)*(Calc!$G$3:$G$22-B967))</f>
        <v/>
      </c>
      <c r="L967">
        <f>SUMPRODUCT(Calc!$K$3:$K$22*(Calc!$G$3:$G$22&gt;A967)*(Calc!$G$3:$G$22-A967)*Calc!$G$3:$G$22)</f>
        <v/>
      </c>
      <c r="M967">
        <f>SUMPRODUCT(Calc!$K$3:$K$22*(Calc!$G$3:$G$22&gt;B967)*(Calc!$G$3:$G$22-B967)*Calc!$G$3:$G$22)</f>
        <v/>
      </c>
      <c r="N967">
        <f>SUMPRODUCT(Calc!$K$3:$K$22*(Calc!$G$3:$G$22&gt;A967)*(Calc!$G$3:$G$22-A967)*Calc!$I$3:$I$22)</f>
        <v/>
      </c>
      <c r="O967">
        <f>SUMPRODUCT(Calc!$K$3:$K$22*(Calc!$G$3:$G$22&gt;B967)*(Calc!$G$3:$G$22-B967)*Calc!$I$3:$I$22)</f>
        <v/>
      </c>
      <c r="P967">
        <f>I967-G967^2/k_n</f>
        <v/>
      </c>
      <c r="Q967">
        <f>J967-H967^2/k_n</f>
        <v/>
      </c>
      <c r="R967">
        <f>K967-G967*H967/k_n</f>
        <v/>
      </c>
      <c r="S967">
        <f>L967-LTP3!$D$3*G967/k_n</f>
        <v/>
      </c>
      <c r="T967">
        <f>M967-LTP3!$D$3*H967/k_n</f>
        <v/>
      </c>
      <c r="U967">
        <f>N967-G967*LTP3!$D$4/k_n</f>
        <v/>
      </c>
      <c r="V967">
        <f>O967-H967*LTP3!$D$4/k_n</f>
        <v/>
      </c>
      <c r="W967">
        <f>((LTP3!$D$5)*((P967)*(Q967)-(R967)*(R967))-(S967)*((S967)*(Q967)-(R967)*(T967))+(T967)*((S967)*(R967)-(P967)*(T967)))</f>
        <v/>
      </c>
      <c r="X967">
        <f>IF(ABS(W967)&gt;1E-12,((LTP3!$D$6)*((P967)*(Q967)-(R967)*(R967))-(S967)*((U967)*(Q967)-(R967)*(V967))+(T967)*((U967)*(R967)-(P967)*(V967)))/W967,0)</f>
        <v/>
      </c>
      <c r="Y967">
        <f>IF(ABS(W967)&gt;1E-12,((LTP3!$D$5)*((U967)*(Q967)-(R967)*(V967))-(LTP3!$D$6)*((S967)*(Q967)-(R967)*(T967))+(T967)*((S967)*(V967)-(U967)*(T967)))/W967,0)</f>
        <v/>
      </c>
      <c r="Z967">
        <f>IF(ABS(W967)&gt;1E-12,((LTP3!$D$5)*((P967)*(V967)-(U967)*(R967))-(S967)*((S967)*(V967)-(U967)*(T967))+(LTP3!$D$6)*((S967)*(R967)-(P967)*(T967)))/W967,0)</f>
        <v/>
      </c>
      <c r="AA967">
        <f>LTP3!$D$7-X967*LTP3!$D$6-Y967*U967-Z967*V967</f>
        <v/>
      </c>
      <c r="AB967">
        <f>IF(AND(F967,ABS(W967)&gt;1E-12,Y967&gt;0,Z967&gt;0),AA967,1E+300)</f>
        <v/>
      </c>
    </row>
    <row r="968">
      <c r="A968">
        <f>$B$3+$B$5*15</f>
        <v/>
      </c>
      <c r="B968">
        <f>$B$3+$B$5*41</f>
        <v/>
      </c>
      <c r="C968">
        <f>SUMPRODUCT(Calc!$K$3:$K$22*(Calc!$G$3:$G$22&lt;=A968))</f>
        <v/>
      </c>
      <c r="D968">
        <f>SUMPRODUCT(Calc!$K$3:$K$22*(Calc!$G$3:$G$22&gt;A968)*(Calc!$G$3:$G$22&lt;B968))</f>
        <v/>
      </c>
      <c r="E968">
        <f>SUMPRODUCT(Calc!$K$3:$K$22*(Calc!$G$3:$G$22&gt;=B968))</f>
        <v/>
      </c>
      <c r="F968">
        <f>AND(k_n&gt;=5,B968&gt;A968+1E-9,C968&gt;=2,D968&gt;=1,E968&gt;=2)</f>
        <v/>
      </c>
      <c r="G968">
        <f>SUMPRODUCT(Calc!$K$3:$K$22*(Calc!$G$3:$G$22&gt;A968)*(Calc!$G$3:$G$22-A968))</f>
        <v/>
      </c>
      <c r="H968">
        <f>SUMPRODUCT(Calc!$K$3:$K$22*(Calc!$G$3:$G$22&gt;B968)*(Calc!$G$3:$G$22-B968))</f>
        <v/>
      </c>
      <c r="I968">
        <f>SUMPRODUCT(Calc!$K$3:$K$22*(Calc!$G$3:$G$22&gt;A968)*(Calc!$G$3:$G$22-A968)^2)</f>
        <v/>
      </c>
      <c r="J968">
        <f>SUMPRODUCT(Calc!$K$3:$K$22*(Calc!$G$3:$G$22&gt;B968)*(Calc!$G$3:$G$22-B968)^2)</f>
        <v/>
      </c>
      <c r="K968">
        <f>SUMPRODUCT(Calc!$K$3:$K$22*(Calc!$G$3:$G$22&gt;A968)*(Calc!$G$3:$G$22-A968)*(Calc!$G$3:$G$22&gt;B968)*(Calc!$G$3:$G$22-B968))</f>
        <v/>
      </c>
      <c r="L968">
        <f>SUMPRODUCT(Calc!$K$3:$K$22*(Calc!$G$3:$G$22&gt;A968)*(Calc!$G$3:$G$22-A968)*Calc!$G$3:$G$22)</f>
        <v/>
      </c>
      <c r="M968">
        <f>SUMPRODUCT(Calc!$K$3:$K$22*(Calc!$G$3:$G$22&gt;B968)*(Calc!$G$3:$G$22-B968)*Calc!$G$3:$G$22)</f>
        <v/>
      </c>
      <c r="N968">
        <f>SUMPRODUCT(Calc!$K$3:$K$22*(Calc!$G$3:$G$22&gt;A968)*(Calc!$G$3:$G$22-A968)*Calc!$I$3:$I$22)</f>
        <v/>
      </c>
      <c r="O968">
        <f>SUMPRODUCT(Calc!$K$3:$K$22*(Calc!$G$3:$G$22&gt;B968)*(Calc!$G$3:$G$22-B968)*Calc!$I$3:$I$22)</f>
        <v/>
      </c>
      <c r="P968">
        <f>I968-G968^2/k_n</f>
        <v/>
      </c>
      <c r="Q968">
        <f>J968-H968^2/k_n</f>
        <v/>
      </c>
      <c r="R968">
        <f>K968-G968*H968/k_n</f>
        <v/>
      </c>
      <c r="S968">
        <f>L968-LTP3!$D$3*G968/k_n</f>
        <v/>
      </c>
      <c r="T968">
        <f>M968-LTP3!$D$3*H968/k_n</f>
        <v/>
      </c>
      <c r="U968">
        <f>N968-G968*LTP3!$D$4/k_n</f>
        <v/>
      </c>
      <c r="V968">
        <f>O968-H968*LTP3!$D$4/k_n</f>
        <v/>
      </c>
      <c r="W968">
        <f>((LTP3!$D$5)*((P968)*(Q968)-(R968)*(R968))-(S968)*((S968)*(Q968)-(R968)*(T968))+(T968)*((S968)*(R968)-(P968)*(T968)))</f>
        <v/>
      </c>
      <c r="X968">
        <f>IF(ABS(W968)&gt;1E-12,((LTP3!$D$6)*((P968)*(Q968)-(R968)*(R968))-(S968)*((U968)*(Q968)-(R968)*(V968))+(T968)*((U968)*(R968)-(P968)*(V968)))/W968,0)</f>
        <v/>
      </c>
      <c r="Y968">
        <f>IF(ABS(W968)&gt;1E-12,((LTP3!$D$5)*((U968)*(Q968)-(R968)*(V968))-(LTP3!$D$6)*((S968)*(Q968)-(R968)*(T968))+(T968)*((S968)*(V968)-(U968)*(T968)))/W968,0)</f>
        <v/>
      </c>
      <c r="Z968">
        <f>IF(ABS(W968)&gt;1E-12,((LTP3!$D$5)*((P968)*(V968)-(U968)*(R968))-(S968)*((S968)*(V968)-(U968)*(T968))+(LTP3!$D$6)*((S968)*(R968)-(P968)*(T968)))/W968,0)</f>
        <v/>
      </c>
      <c r="AA968">
        <f>LTP3!$D$7-X968*LTP3!$D$6-Y968*U968-Z968*V968</f>
        <v/>
      </c>
      <c r="AB968">
        <f>IF(AND(F968,ABS(W968)&gt;1E-12,Y968&gt;0,Z968&gt;0),AA968,1E+300)</f>
        <v/>
      </c>
    </row>
    <row r="969">
      <c r="A969">
        <f>$B$3+$B$5*15</f>
        <v/>
      </c>
      <c r="B969">
        <f>$B$3+$B$5*42</f>
        <v/>
      </c>
      <c r="C969">
        <f>SUMPRODUCT(Calc!$K$3:$K$22*(Calc!$G$3:$G$22&lt;=A969))</f>
        <v/>
      </c>
      <c r="D969">
        <f>SUMPRODUCT(Calc!$K$3:$K$22*(Calc!$G$3:$G$22&gt;A969)*(Calc!$G$3:$G$22&lt;B969))</f>
        <v/>
      </c>
      <c r="E969">
        <f>SUMPRODUCT(Calc!$K$3:$K$22*(Calc!$G$3:$G$22&gt;=B969))</f>
        <v/>
      </c>
      <c r="F969">
        <f>AND(k_n&gt;=5,B969&gt;A969+1E-9,C969&gt;=2,D969&gt;=1,E969&gt;=2)</f>
        <v/>
      </c>
      <c r="G969">
        <f>SUMPRODUCT(Calc!$K$3:$K$22*(Calc!$G$3:$G$22&gt;A969)*(Calc!$G$3:$G$22-A969))</f>
        <v/>
      </c>
      <c r="H969">
        <f>SUMPRODUCT(Calc!$K$3:$K$22*(Calc!$G$3:$G$22&gt;B969)*(Calc!$G$3:$G$22-B969))</f>
        <v/>
      </c>
      <c r="I969">
        <f>SUMPRODUCT(Calc!$K$3:$K$22*(Calc!$G$3:$G$22&gt;A969)*(Calc!$G$3:$G$22-A969)^2)</f>
        <v/>
      </c>
      <c r="J969">
        <f>SUMPRODUCT(Calc!$K$3:$K$22*(Calc!$G$3:$G$22&gt;B969)*(Calc!$G$3:$G$22-B969)^2)</f>
        <v/>
      </c>
      <c r="K969">
        <f>SUMPRODUCT(Calc!$K$3:$K$22*(Calc!$G$3:$G$22&gt;A969)*(Calc!$G$3:$G$22-A969)*(Calc!$G$3:$G$22&gt;B969)*(Calc!$G$3:$G$22-B969))</f>
        <v/>
      </c>
      <c r="L969">
        <f>SUMPRODUCT(Calc!$K$3:$K$22*(Calc!$G$3:$G$22&gt;A969)*(Calc!$G$3:$G$22-A969)*Calc!$G$3:$G$22)</f>
        <v/>
      </c>
      <c r="M969">
        <f>SUMPRODUCT(Calc!$K$3:$K$22*(Calc!$G$3:$G$22&gt;B969)*(Calc!$G$3:$G$22-B969)*Calc!$G$3:$G$22)</f>
        <v/>
      </c>
      <c r="N969">
        <f>SUMPRODUCT(Calc!$K$3:$K$22*(Calc!$G$3:$G$22&gt;A969)*(Calc!$G$3:$G$22-A969)*Calc!$I$3:$I$22)</f>
        <v/>
      </c>
      <c r="O969">
        <f>SUMPRODUCT(Calc!$K$3:$K$22*(Calc!$G$3:$G$22&gt;B969)*(Calc!$G$3:$G$22-B969)*Calc!$I$3:$I$22)</f>
        <v/>
      </c>
      <c r="P969">
        <f>I969-G969^2/k_n</f>
        <v/>
      </c>
      <c r="Q969">
        <f>J969-H969^2/k_n</f>
        <v/>
      </c>
      <c r="R969">
        <f>K969-G969*H969/k_n</f>
        <v/>
      </c>
      <c r="S969">
        <f>L969-LTP3!$D$3*G969/k_n</f>
        <v/>
      </c>
      <c r="T969">
        <f>M969-LTP3!$D$3*H969/k_n</f>
        <v/>
      </c>
      <c r="U969">
        <f>N969-G969*LTP3!$D$4/k_n</f>
        <v/>
      </c>
      <c r="V969">
        <f>O969-H969*LTP3!$D$4/k_n</f>
        <v/>
      </c>
      <c r="W969">
        <f>((LTP3!$D$5)*((P969)*(Q969)-(R969)*(R969))-(S969)*((S969)*(Q969)-(R969)*(T969))+(T969)*((S969)*(R969)-(P969)*(T969)))</f>
        <v/>
      </c>
      <c r="X969">
        <f>IF(ABS(W969)&gt;1E-12,((LTP3!$D$6)*((P969)*(Q969)-(R969)*(R969))-(S969)*((U969)*(Q969)-(R969)*(V969))+(T969)*((U969)*(R969)-(P969)*(V969)))/W969,0)</f>
        <v/>
      </c>
      <c r="Y969">
        <f>IF(ABS(W969)&gt;1E-12,((LTP3!$D$5)*((U969)*(Q969)-(R969)*(V969))-(LTP3!$D$6)*((S969)*(Q969)-(R969)*(T969))+(T969)*((S969)*(V969)-(U969)*(T969)))/W969,0)</f>
        <v/>
      </c>
      <c r="Z969">
        <f>IF(ABS(W969)&gt;1E-12,((LTP3!$D$5)*((P969)*(V969)-(U969)*(R969))-(S969)*((S969)*(V969)-(U969)*(T969))+(LTP3!$D$6)*((S969)*(R969)-(P969)*(T969)))/W969,0)</f>
        <v/>
      </c>
      <c r="AA969">
        <f>LTP3!$D$7-X969*LTP3!$D$6-Y969*U969-Z969*V969</f>
        <v/>
      </c>
      <c r="AB969">
        <f>IF(AND(F969,ABS(W969)&gt;1E-12,Y969&gt;0,Z969&gt;0),AA969,1E+300)</f>
        <v/>
      </c>
    </row>
    <row r="970">
      <c r="A970">
        <f>$B$3+$B$5*15</f>
        <v/>
      </c>
      <c r="B970">
        <f>$B$3+$B$5*43</f>
        <v/>
      </c>
      <c r="C970">
        <f>SUMPRODUCT(Calc!$K$3:$K$22*(Calc!$G$3:$G$22&lt;=A970))</f>
        <v/>
      </c>
      <c r="D970">
        <f>SUMPRODUCT(Calc!$K$3:$K$22*(Calc!$G$3:$G$22&gt;A970)*(Calc!$G$3:$G$22&lt;B970))</f>
        <v/>
      </c>
      <c r="E970">
        <f>SUMPRODUCT(Calc!$K$3:$K$22*(Calc!$G$3:$G$22&gt;=B970))</f>
        <v/>
      </c>
      <c r="F970">
        <f>AND(k_n&gt;=5,B970&gt;A970+1E-9,C970&gt;=2,D970&gt;=1,E970&gt;=2)</f>
        <v/>
      </c>
      <c r="G970">
        <f>SUMPRODUCT(Calc!$K$3:$K$22*(Calc!$G$3:$G$22&gt;A970)*(Calc!$G$3:$G$22-A970))</f>
        <v/>
      </c>
      <c r="H970">
        <f>SUMPRODUCT(Calc!$K$3:$K$22*(Calc!$G$3:$G$22&gt;B970)*(Calc!$G$3:$G$22-B970))</f>
        <v/>
      </c>
      <c r="I970">
        <f>SUMPRODUCT(Calc!$K$3:$K$22*(Calc!$G$3:$G$22&gt;A970)*(Calc!$G$3:$G$22-A970)^2)</f>
        <v/>
      </c>
      <c r="J970">
        <f>SUMPRODUCT(Calc!$K$3:$K$22*(Calc!$G$3:$G$22&gt;B970)*(Calc!$G$3:$G$22-B970)^2)</f>
        <v/>
      </c>
      <c r="K970">
        <f>SUMPRODUCT(Calc!$K$3:$K$22*(Calc!$G$3:$G$22&gt;A970)*(Calc!$G$3:$G$22-A970)*(Calc!$G$3:$G$22&gt;B970)*(Calc!$G$3:$G$22-B970))</f>
        <v/>
      </c>
      <c r="L970">
        <f>SUMPRODUCT(Calc!$K$3:$K$22*(Calc!$G$3:$G$22&gt;A970)*(Calc!$G$3:$G$22-A970)*Calc!$G$3:$G$22)</f>
        <v/>
      </c>
      <c r="M970">
        <f>SUMPRODUCT(Calc!$K$3:$K$22*(Calc!$G$3:$G$22&gt;B970)*(Calc!$G$3:$G$22-B970)*Calc!$G$3:$G$22)</f>
        <v/>
      </c>
      <c r="N970">
        <f>SUMPRODUCT(Calc!$K$3:$K$22*(Calc!$G$3:$G$22&gt;A970)*(Calc!$G$3:$G$22-A970)*Calc!$I$3:$I$22)</f>
        <v/>
      </c>
      <c r="O970">
        <f>SUMPRODUCT(Calc!$K$3:$K$22*(Calc!$G$3:$G$22&gt;B970)*(Calc!$G$3:$G$22-B970)*Calc!$I$3:$I$22)</f>
        <v/>
      </c>
      <c r="P970">
        <f>I970-G970^2/k_n</f>
        <v/>
      </c>
      <c r="Q970">
        <f>J970-H970^2/k_n</f>
        <v/>
      </c>
      <c r="R970">
        <f>K970-G970*H970/k_n</f>
        <v/>
      </c>
      <c r="S970">
        <f>L970-LTP3!$D$3*G970/k_n</f>
        <v/>
      </c>
      <c r="T970">
        <f>M970-LTP3!$D$3*H970/k_n</f>
        <v/>
      </c>
      <c r="U970">
        <f>N970-G970*LTP3!$D$4/k_n</f>
        <v/>
      </c>
      <c r="V970">
        <f>O970-H970*LTP3!$D$4/k_n</f>
        <v/>
      </c>
      <c r="W970">
        <f>((LTP3!$D$5)*((P970)*(Q970)-(R970)*(R970))-(S970)*((S970)*(Q970)-(R970)*(T970))+(T970)*((S970)*(R970)-(P970)*(T970)))</f>
        <v/>
      </c>
      <c r="X970">
        <f>IF(ABS(W970)&gt;1E-12,((LTP3!$D$6)*((P970)*(Q970)-(R970)*(R970))-(S970)*((U970)*(Q970)-(R970)*(V970))+(T970)*((U970)*(R970)-(P970)*(V970)))/W970,0)</f>
        <v/>
      </c>
      <c r="Y970">
        <f>IF(ABS(W970)&gt;1E-12,((LTP3!$D$5)*((U970)*(Q970)-(R970)*(V970))-(LTP3!$D$6)*((S970)*(Q970)-(R970)*(T970))+(T970)*((S970)*(V970)-(U970)*(T970)))/W970,0)</f>
        <v/>
      </c>
      <c r="Z970">
        <f>IF(ABS(W970)&gt;1E-12,((LTP3!$D$5)*((P970)*(V970)-(U970)*(R970))-(S970)*((S970)*(V970)-(U970)*(T970))+(LTP3!$D$6)*((S970)*(R970)-(P970)*(T970)))/W970,0)</f>
        <v/>
      </c>
      <c r="AA970">
        <f>LTP3!$D$7-X970*LTP3!$D$6-Y970*U970-Z970*V970</f>
        <v/>
      </c>
      <c r="AB970">
        <f>IF(AND(F970,ABS(W970)&gt;1E-12,Y970&gt;0,Z970&gt;0),AA970,1E+300)</f>
        <v/>
      </c>
    </row>
    <row r="971">
      <c r="A971">
        <f>$B$3+$B$5*15</f>
        <v/>
      </c>
      <c r="B971">
        <f>$B$3+$B$5*44</f>
        <v/>
      </c>
      <c r="C971">
        <f>SUMPRODUCT(Calc!$K$3:$K$22*(Calc!$G$3:$G$22&lt;=A971))</f>
        <v/>
      </c>
      <c r="D971">
        <f>SUMPRODUCT(Calc!$K$3:$K$22*(Calc!$G$3:$G$22&gt;A971)*(Calc!$G$3:$G$22&lt;B971))</f>
        <v/>
      </c>
      <c r="E971">
        <f>SUMPRODUCT(Calc!$K$3:$K$22*(Calc!$G$3:$G$22&gt;=B971))</f>
        <v/>
      </c>
      <c r="F971">
        <f>AND(k_n&gt;=5,B971&gt;A971+1E-9,C971&gt;=2,D971&gt;=1,E971&gt;=2)</f>
        <v/>
      </c>
      <c r="G971">
        <f>SUMPRODUCT(Calc!$K$3:$K$22*(Calc!$G$3:$G$22&gt;A971)*(Calc!$G$3:$G$22-A971))</f>
        <v/>
      </c>
      <c r="H971">
        <f>SUMPRODUCT(Calc!$K$3:$K$22*(Calc!$G$3:$G$22&gt;B971)*(Calc!$G$3:$G$22-B971))</f>
        <v/>
      </c>
      <c r="I971">
        <f>SUMPRODUCT(Calc!$K$3:$K$22*(Calc!$G$3:$G$22&gt;A971)*(Calc!$G$3:$G$22-A971)^2)</f>
        <v/>
      </c>
      <c r="J971">
        <f>SUMPRODUCT(Calc!$K$3:$K$22*(Calc!$G$3:$G$22&gt;B971)*(Calc!$G$3:$G$22-B971)^2)</f>
        <v/>
      </c>
      <c r="K971">
        <f>SUMPRODUCT(Calc!$K$3:$K$22*(Calc!$G$3:$G$22&gt;A971)*(Calc!$G$3:$G$22-A971)*(Calc!$G$3:$G$22&gt;B971)*(Calc!$G$3:$G$22-B971))</f>
        <v/>
      </c>
      <c r="L971">
        <f>SUMPRODUCT(Calc!$K$3:$K$22*(Calc!$G$3:$G$22&gt;A971)*(Calc!$G$3:$G$22-A971)*Calc!$G$3:$G$22)</f>
        <v/>
      </c>
      <c r="M971">
        <f>SUMPRODUCT(Calc!$K$3:$K$22*(Calc!$G$3:$G$22&gt;B971)*(Calc!$G$3:$G$22-B971)*Calc!$G$3:$G$22)</f>
        <v/>
      </c>
      <c r="N971">
        <f>SUMPRODUCT(Calc!$K$3:$K$22*(Calc!$G$3:$G$22&gt;A971)*(Calc!$G$3:$G$22-A971)*Calc!$I$3:$I$22)</f>
        <v/>
      </c>
      <c r="O971">
        <f>SUMPRODUCT(Calc!$K$3:$K$22*(Calc!$G$3:$G$22&gt;B971)*(Calc!$G$3:$G$22-B971)*Calc!$I$3:$I$22)</f>
        <v/>
      </c>
      <c r="P971">
        <f>I971-G971^2/k_n</f>
        <v/>
      </c>
      <c r="Q971">
        <f>J971-H971^2/k_n</f>
        <v/>
      </c>
      <c r="R971">
        <f>K971-G971*H971/k_n</f>
        <v/>
      </c>
      <c r="S971">
        <f>L971-LTP3!$D$3*G971/k_n</f>
        <v/>
      </c>
      <c r="T971">
        <f>M971-LTP3!$D$3*H971/k_n</f>
        <v/>
      </c>
      <c r="U971">
        <f>N971-G971*LTP3!$D$4/k_n</f>
        <v/>
      </c>
      <c r="V971">
        <f>O971-H971*LTP3!$D$4/k_n</f>
        <v/>
      </c>
      <c r="W971">
        <f>((LTP3!$D$5)*((P971)*(Q971)-(R971)*(R971))-(S971)*((S971)*(Q971)-(R971)*(T971))+(T971)*((S971)*(R971)-(P971)*(T971)))</f>
        <v/>
      </c>
      <c r="X971">
        <f>IF(ABS(W971)&gt;1E-12,((LTP3!$D$6)*((P971)*(Q971)-(R971)*(R971))-(S971)*((U971)*(Q971)-(R971)*(V971))+(T971)*((U971)*(R971)-(P971)*(V971)))/W971,0)</f>
        <v/>
      </c>
      <c r="Y971">
        <f>IF(ABS(W971)&gt;1E-12,((LTP3!$D$5)*((U971)*(Q971)-(R971)*(V971))-(LTP3!$D$6)*((S971)*(Q971)-(R971)*(T971))+(T971)*((S971)*(V971)-(U971)*(T971)))/W971,0)</f>
        <v/>
      </c>
      <c r="Z971">
        <f>IF(ABS(W971)&gt;1E-12,((LTP3!$D$5)*((P971)*(V971)-(U971)*(R971))-(S971)*((S971)*(V971)-(U971)*(T971))+(LTP3!$D$6)*((S971)*(R971)-(P971)*(T971)))/W971,0)</f>
        <v/>
      </c>
      <c r="AA971">
        <f>LTP3!$D$7-X971*LTP3!$D$6-Y971*U971-Z971*V971</f>
        <v/>
      </c>
      <c r="AB971">
        <f>IF(AND(F971,ABS(W971)&gt;1E-12,Y971&gt;0,Z971&gt;0),AA971,1E+300)</f>
        <v/>
      </c>
    </row>
    <row r="972">
      <c r="A972">
        <f>$B$3+$B$5*15</f>
        <v/>
      </c>
      <c r="B972">
        <f>$B$3+$B$5*45</f>
        <v/>
      </c>
      <c r="C972">
        <f>SUMPRODUCT(Calc!$K$3:$K$22*(Calc!$G$3:$G$22&lt;=A972))</f>
        <v/>
      </c>
      <c r="D972">
        <f>SUMPRODUCT(Calc!$K$3:$K$22*(Calc!$G$3:$G$22&gt;A972)*(Calc!$G$3:$G$22&lt;B972))</f>
        <v/>
      </c>
      <c r="E972">
        <f>SUMPRODUCT(Calc!$K$3:$K$22*(Calc!$G$3:$G$22&gt;=B972))</f>
        <v/>
      </c>
      <c r="F972">
        <f>AND(k_n&gt;=5,B972&gt;A972+1E-9,C972&gt;=2,D972&gt;=1,E972&gt;=2)</f>
        <v/>
      </c>
      <c r="G972">
        <f>SUMPRODUCT(Calc!$K$3:$K$22*(Calc!$G$3:$G$22&gt;A972)*(Calc!$G$3:$G$22-A972))</f>
        <v/>
      </c>
      <c r="H972">
        <f>SUMPRODUCT(Calc!$K$3:$K$22*(Calc!$G$3:$G$22&gt;B972)*(Calc!$G$3:$G$22-B972))</f>
        <v/>
      </c>
      <c r="I972">
        <f>SUMPRODUCT(Calc!$K$3:$K$22*(Calc!$G$3:$G$22&gt;A972)*(Calc!$G$3:$G$22-A972)^2)</f>
        <v/>
      </c>
      <c r="J972">
        <f>SUMPRODUCT(Calc!$K$3:$K$22*(Calc!$G$3:$G$22&gt;B972)*(Calc!$G$3:$G$22-B972)^2)</f>
        <v/>
      </c>
      <c r="K972">
        <f>SUMPRODUCT(Calc!$K$3:$K$22*(Calc!$G$3:$G$22&gt;A972)*(Calc!$G$3:$G$22-A972)*(Calc!$G$3:$G$22&gt;B972)*(Calc!$G$3:$G$22-B972))</f>
        <v/>
      </c>
      <c r="L972">
        <f>SUMPRODUCT(Calc!$K$3:$K$22*(Calc!$G$3:$G$22&gt;A972)*(Calc!$G$3:$G$22-A972)*Calc!$G$3:$G$22)</f>
        <v/>
      </c>
      <c r="M972">
        <f>SUMPRODUCT(Calc!$K$3:$K$22*(Calc!$G$3:$G$22&gt;B972)*(Calc!$G$3:$G$22-B972)*Calc!$G$3:$G$22)</f>
        <v/>
      </c>
      <c r="N972">
        <f>SUMPRODUCT(Calc!$K$3:$K$22*(Calc!$G$3:$G$22&gt;A972)*(Calc!$G$3:$G$22-A972)*Calc!$I$3:$I$22)</f>
        <v/>
      </c>
      <c r="O972">
        <f>SUMPRODUCT(Calc!$K$3:$K$22*(Calc!$G$3:$G$22&gt;B972)*(Calc!$G$3:$G$22-B972)*Calc!$I$3:$I$22)</f>
        <v/>
      </c>
      <c r="P972">
        <f>I972-G972^2/k_n</f>
        <v/>
      </c>
      <c r="Q972">
        <f>J972-H972^2/k_n</f>
        <v/>
      </c>
      <c r="R972">
        <f>K972-G972*H972/k_n</f>
        <v/>
      </c>
      <c r="S972">
        <f>L972-LTP3!$D$3*G972/k_n</f>
        <v/>
      </c>
      <c r="T972">
        <f>M972-LTP3!$D$3*H972/k_n</f>
        <v/>
      </c>
      <c r="U972">
        <f>N972-G972*LTP3!$D$4/k_n</f>
        <v/>
      </c>
      <c r="V972">
        <f>O972-H972*LTP3!$D$4/k_n</f>
        <v/>
      </c>
      <c r="W972">
        <f>((LTP3!$D$5)*((P972)*(Q972)-(R972)*(R972))-(S972)*((S972)*(Q972)-(R972)*(T972))+(T972)*((S972)*(R972)-(P972)*(T972)))</f>
        <v/>
      </c>
      <c r="X972">
        <f>IF(ABS(W972)&gt;1E-12,((LTP3!$D$6)*((P972)*(Q972)-(R972)*(R972))-(S972)*((U972)*(Q972)-(R972)*(V972))+(T972)*((U972)*(R972)-(P972)*(V972)))/W972,0)</f>
        <v/>
      </c>
      <c r="Y972">
        <f>IF(ABS(W972)&gt;1E-12,((LTP3!$D$5)*((U972)*(Q972)-(R972)*(V972))-(LTP3!$D$6)*((S972)*(Q972)-(R972)*(T972))+(T972)*((S972)*(V972)-(U972)*(T972)))/W972,0)</f>
        <v/>
      </c>
      <c r="Z972">
        <f>IF(ABS(W972)&gt;1E-12,((LTP3!$D$5)*((P972)*(V972)-(U972)*(R972))-(S972)*((S972)*(V972)-(U972)*(T972))+(LTP3!$D$6)*((S972)*(R972)-(P972)*(T972)))/W972,0)</f>
        <v/>
      </c>
      <c r="AA972">
        <f>LTP3!$D$7-X972*LTP3!$D$6-Y972*U972-Z972*V972</f>
        <v/>
      </c>
      <c r="AB972">
        <f>IF(AND(F972,ABS(W972)&gt;1E-12,Y972&gt;0,Z972&gt;0),AA972,1E+300)</f>
        <v/>
      </c>
    </row>
    <row r="973">
      <c r="A973">
        <f>$B$3+$B$5*15</f>
        <v/>
      </c>
      <c r="B973">
        <f>$B$3+$B$5*46</f>
        <v/>
      </c>
      <c r="C973">
        <f>SUMPRODUCT(Calc!$K$3:$K$22*(Calc!$G$3:$G$22&lt;=A973))</f>
        <v/>
      </c>
      <c r="D973">
        <f>SUMPRODUCT(Calc!$K$3:$K$22*(Calc!$G$3:$G$22&gt;A973)*(Calc!$G$3:$G$22&lt;B973))</f>
        <v/>
      </c>
      <c r="E973">
        <f>SUMPRODUCT(Calc!$K$3:$K$22*(Calc!$G$3:$G$22&gt;=B973))</f>
        <v/>
      </c>
      <c r="F973">
        <f>AND(k_n&gt;=5,B973&gt;A973+1E-9,C973&gt;=2,D973&gt;=1,E973&gt;=2)</f>
        <v/>
      </c>
      <c r="G973">
        <f>SUMPRODUCT(Calc!$K$3:$K$22*(Calc!$G$3:$G$22&gt;A973)*(Calc!$G$3:$G$22-A973))</f>
        <v/>
      </c>
      <c r="H973">
        <f>SUMPRODUCT(Calc!$K$3:$K$22*(Calc!$G$3:$G$22&gt;B973)*(Calc!$G$3:$G$22-B973))</f>
        <v/>
      </c>
      <c r="I973">
        <f>SUMPRODUCT(Calc!$K$3:$K$22*(Calc!$G$3:$G$22&gt;A973)*(Calc!$G$3:$G$22-A973)^2)</f>
        <v/>
      </c>
      <c r="J973">
        <f>SUMPRODUCT(Calc!$K$3:$K$22*(Calc!$G$3:$G$22&gt;B973)*(Calc!$G$3:$G$22-B973)^2)</f>
        <v/>
      </c>
      <c r="K973">
        <f>SUMPRODUCT(Calc!$K$3:$K$22*(Calc!$G$3:$G$22&gt;A973)*(Calc!$G$3:$G$22-A973)*(Calc!$G$3:$G$22&gt;B973)*(Calc!$G$3:$G$22-B973))</f>
        <v/>
      </c>
      <c r="L973">
        <f>SUMPRODUCT(Calc!$K$3:$K$22*(Calc!$G$3:$G$22&gt;A973)*(Calc!$G$3:$G$22-A973)*Calc!$G$3:$G$22)</f>
        <v/>
      </c>
      <c r="M973">
        <f>SUMPRODUCT(Calc!$K$3:$K$22*(Calc!$G$3:$G$22&gt;B973)*(Calc!$G$3:$G$22-B973)*Calc!$G$3:$G$22)</f>
        <v/>
      </c>
      <c r="N973">
        <f>SUMPRODUCT(Calc!$K$3:$K$22*(Calc!$G$3:$G$22&gt;A973)*(Calc!$G$3:$G$22-A973)*Calc!$I$3:$I$22)</f>
        <v/>
      </c>
      <c r="O973">
        <f>SUMPRODUCT(Calc!$K$3:$K$22*(Calc!$G$3:$G$22&gt;B973)*(Calc!$G$3:$G$22-B973)*Calc!$I$3:$I$22)</f>
        <v/>
      </c>
      <c r="P973">
        <f>I973-G973^2/k_n</f>
        <v/>
      </c>
      <c r="Q973">
        <f>J973-H973^2/k_n</f>
        <v/>
      </c>
      <c r="R973">
        <f>K973-G973*H973/k_n</f>
        <v/>
      </c>
      <c r="S973">
        <f>L973-LTP3!$D$3*G973/k_n</f>
        <v/>
      </c>
      <c r="T973">
        <f>M973-LTP3!$D$3*H973/k_n</f>
        <v/>
      </c>
      <c r="U973">
        <f>N973-G973*LTP3!$D$4/k_n</f>
        <v/>
      </c>
      <c r="V973">
        <f>O973-H973*LTP3!$D$4/k_n</f>
        <v/>
      </c>
      <c r="W973">
        <f>((LTP3!$D$5)*((P973)*(Q973)-(R973)*(R973))-(S973)*((S973)*(Q973)-(R973)*(T973))+(T973)*((S973)*(R973)-(P973)*(T973)))</f>
        <v/>
      </c>
      <c r="X973">
        <f>IF(ABS(W973)&gt;1E-12,((LTP3!$D$6)*((P973)*(Q973)-(R973)*(R973))-(S973)*((U973)*(Q973)-(R973)*(V973))+(T973)*((U973)*(R973)-(P973)*(V973)))/W973,0)</f>
        <v/>
      </c>
      <c r="Y973">
        <f>IF(ABS(W973)&gt;1E-12,((LTP3!$D$5)*((U973)*(Q973)-(R973)*(V973))-(LTP3!$D$6)*((S973)*(Q973)-(R973)*(T973))+(T973)*((S973)*(V973)-(U973)*(T973)))/W973,0)</f>
        <v/>
      </c>
      <c r="Z973">
        <f>IF(ABS(W973)&gt;1E-12,((LTP3!$D$5)*((P973)*(V973)-(U973)*(R973))-(S973)*((S973)*(V973)-(U973)*(T973))+(LTP3!$D$6)*((S973)*(R973)-(P973)*(T973)))/W973,0)</f>
        <v/>
      </c>
      <c r="AA973">
        <f>LTP3!$D$7-X973*LTP3!$D$6-Y973*U973-Z973*V973</f>
        <v/>
      </c>
      <c r="AB973">
        <f>IF(AND(F973,ABS(W973)&gt;1E-12,Y973&gt;0,Z973&gt;0),AA973,1E+300)</f>
        <v/>
      </c>
    </row>
    <row r="974">
      <c r="A974">
        <f>$B$3+$B$5*15</f>
        <v/>
      </c>
      <c r="B974">
        <f>$B$3+$B$5*47</f>
        <v/>
      </c>
      <c r="C974">
        <f>SUMPRODUCT(Calc!$K$3:$K$22*(Calc!$G$3:$G$22&lt;=A974))</f>
        <v/>
      </c>
      <c r="D974">
        <f>SUMPRODUCT(Calc!$K$3:$K$22*(Calc!$G$3:$G$22&gt;A974)*(Calc!$G$3:$G$22&lt;B974))</f>
        <v/>
      </c>
      <c r="E974">
        <f>SUMPRODUCT(Calc!$K$3:$K$22*(Calc!$G$3:$G$22&gt;=B974))</f>
        <v/>
      </c>
      <c r="F974">
        <f>AND(k_n&gt;=5,B974&gt;A974+1E-9,C974&gt;=2,D974&gt;=1,E974&gt;=2)</f>
        <v/>
      </c>
      <c r="G974">
        <f>SUMPRODUCT(Calc!$K$3:$K$22*(Calc!$G$3:$G$22&gt;A974)*(Calc!$G$3:$G$22-A974))</f>
        <v/>
      </c>
      <c r="H974">
        <f>SUMPRODUCT(Calc!$K$3:$K$22*(Calc!$G$3:$G$22&gt;B974)*(Calc!$G$3:$G$22-B974))</f>
        <v/>
      </c>
      <c r="I974">
        <f>SUMPRODUCT(Calc!$K$3:$K$22*(Calc!$G$3:$G$22&gt;A974)*(Calc!$G$3:$G$22-A974)^2)</f>
        <v/>
      </c>
      <c r="J974">
        <f>SUMPRODUCT(Calc!$K$3:$K$22*(Calc!$G$3:$G$22&gt;B974)*(Calc!$G$3:$G$22-B974)^2)</f>
        <v/>
      </c>
      <c r="K974">
        <f>SUMPRODUCT(Calc!$K$3:$K$22*(Calc!$G$3:$G$22&gt;A974)*(Calc!$G$3:$G$22-A974)*(Calc!$G$3:$G$22&gt;B974)*(Calc!$G$3:$G$22-B974))</f>
        <v/>
      </c>
      <c r="L974">
        <f>SUMPRODUCT(Calc!$K$3:$K$22*(Calc!$G$3:$G$22&gt;A974)*(Calc!$G$3:$G$22-A974)*Calc!$G$3:$G$22)</f>
        <v/>
      </c>
      <c r="M974">
        <f>SUMPRODUCT(Calc!$K$3:$K$22*(Calc!$G$3:$G$22&gt;B974)*(Calc!$G$3:$G$22-B974)*Calc!$G$3:$G$22)</f>
        <v/>
      </c>
      <c r="N974">
        <f>SUMPRODUCT(Calc!$K$3:$K$22*(Calc!$G$3:$G$22&gt;A974)*(Calc!$G$3:$G$22-A974)*Calc!$I$3:$I$22)</f>
        <v/>
      </c>
      <c r="O974">
        <f>SUMPRODUCT(Calc!$K$3:$K$22*(Calc!$G$3:$G$22&gt;B974)*(Calc!$G$3:$G$22-B974)*Calc!$I$3:$I$22)</f>
        <v/>
      </c>
      <c r="P974">
        <f>I974-G974^2/k_n</f>
        <v/>
      </c>
      <c r="Q974">
        <f>J974-H974^2/k_n</f>
        <v/>
      </c>
      <c r="R974">
        <f>K974-G974*H974/k_n</f>
        <v/>
      </c>
      <c r="S974">
        <f>L974-LTP3!$D$3*G974/k_n</f>
        <v/>
      </c>
      <c r="T974">
        <f>M974-LTP3!$D$3*H974/k_n</f>
        <v/>
      </c>
      <c r="U974">
        <f>N974-G974*LTP3!$D$4/k_n</f>
        <v/>
      </c>
      <c r="V974">
        <f>O974-H974*LTP3!$D$4/k_n</f>
        <v/>
      </c>
      <c r="W974">
        <f>((LTP3!$D$5)*((P974)*(Q974)-(R974)*(R974))-(S974)*((S974)*(Q974)-(R974)*(T974))+(T974)*((S974)*(R974)-(P974)*(T974)))</f>
        <v/>
      </c>
      <c r="X974">
        <f>IF(ABS(W974)&gt;1E-12,((LTP3!$D$6)*((P974)*(Q974)-(R974)*(R974))-(S974)*((U974)*(Q974)-(R974)*(V974))+(T974)*((U974)*(R974)-(P974)*(V974)))/W974,0)</f>
        <v/>
      </c>
      <c r="Y974">
        <f>IF(ABS(W974)&gt;1E-12,((LTP3!$D$5)*((U974)*(Q974)-(R974)*(V974))-(LTP3!$D$6)*((S974)*(Q974)-(R974)*(T974))+(T974)*((S974)*(V974)-(U974)*(T974)))/W974,0)</f>
        <v/>
      </c>
      <c r="Z974">
        <f>IF(ABS(W974)&gt;1E-12,((LTP3!$D$5)*((P974)*(V974)-(U974)*(R974))-(S974)*((S974)*(V974)-(U974)*(T974))+(LTP3!$D$6)*((S974)*(R974)-(P974)*(T974)))/W974,0)</f>
        <v/>
      </c>
      <c r="AA974">
        <f>LTP3!$D$7-X974*LTP3!$D$6-Y974*U974-Z974*V974</f>
        <v/>
      </c>
      <c r="AB974">
        <f>IF(AND(F974,ABS(W974)&gt;1E-12,Y974&gt;0,Z974&gt;0),AA974,1E+300)</f>
        <v/>
      </c>
    </row>
    <row r="975">
      <c r="A975">
        <f>$B$3+$B$5*15</f>
        <v/>
      </c>
      <c r="B975">
        <f>$B$3+$B$5*48</f>
        <v/>
      </c>
      <c r="C975">
        <f>SUMPRODUCT(Calc!$K$3:$K$22*(Calc!$G$3:$G$22&lt;=A975))</f>
        <v/>
      </c>
      <c r="D975">
        <f>SUMPRODUCT(Calc!$K$3:$K$22*(Calc!$G$3:$G$22&gt;A975)*(Calc!$G$3:$G$22&lt;B975))</f>
        <v/>
      </c>
      <c r="E975">
        <f>SUMPRODUCT(Calc!$K$3:$K$22*(Calc!$G$3:$G$22&gt;=B975))</f>
        <v/>
      </c>
      <c r="F975">
        <f>AND(k_n&gt;=5,B975&gt;A975+1E-9,C975&gt;=2,D975&gt;=1,E975&gt;=2)</f>
        <v/>
      </c>
      <c r="G975">
        <f>SUMPRODUCT(Calc!$K$3:$K$22*(Calc!$G$3:$G$22&gt;A975)*(Calc!$G$3:$G$22-A975))</f>
        <v/>
      </c>
      <c r="H975">
        <f>SUMPRODUCT(Calc!$K$3:$K$22*(Calc!$G$3:$G$22&gt;B975)*(Calc!$G$3:$G$22-B975))</f>
        <v/>
      </c>
      <c r="I975">
        <f>SUMPRODUCT(Calc!$K$3:$K$22*(Calc!$G$3:$G$22&gt;A975)*(Calc!$G$3:$G$22-A975)^2)</f>
        <v/>
      </c>
      <c r="J975">
        <f>SUMPRODUCT(Calc!$K$3:$K$22*(Calc!$G$3:$G$22&gt;B975)*(Calc!$G$3:$G$22-B975)^2)</f>
        <v/>
      </c>
      <c r="K975">
        <f>SUMPRODUCT(Calc!$K$3:$K$22*(Calc!$G$3:$G$22&gt;A975)*(Calc!$G$3:$G$22-A975)*(Calc!$G$3:$G$22&gt;B975)*(Calc!$G$3:$G$22-B975))</f>
        <v/>
      </c>
      <c r="L975">
        <f>SUMPRODUCT(Calc!$K$3:$K$22*(Calc!$G$3:$G$22&gt;A975)*(Calc!$G$3:$G$22-A975)*Calc!$G$3:$G$22)</f>
        <v/>
      </c>
      <c r="M975">
        <f>SUMPRODUCT(Calc!$K$3:$K$22*(Calc!$G$3:$G$22&gt;B975)*(Calc!$G$3:$G$22-B975)*Calc!$G$3:$G$22)</f>
        <v/>
      </c>
      <c r="N975">
        <f>SUMPRODUCT(Calc!$K$3:$K$22*(Calc!$G$3:$G$22&gt;A975)*(Calc!$G$3:$G$22-A975)*Calc!$I$3:$I$22)</f>
        <v/>
      </c>
      <c r="O975">
        <f>SUMPRODUCT(Calc!$K$3:$K$22*(Calc!$G$3:$G$22&gt;B975)*(Calc!$G$3:$G$22-B975)*Calc!$I$3:$I$22)</f>
        <v/>
      </c>
      <c r="P975">
        <f>I975-G975^2/k_n</f>
        <v/>
      </c>
      <c r="Q975">
        <f>J975-H975^2/k_n</f>
        <v/>
      </c>
      <c r="R975">
        <f>K975-G975*H975/k_n</f>
        <v/>
      </c>
      <c r="S975">
        <f>L975-LTP3!$D$3*G975/k_n</f>
        <v/>
      </c>
      <c r="T975">
        <f>M975-LTP3!$D$3*H975/k_n</f>
        <v/>
      </c>
      <c r="U975">
        <f>N975-G975*LTP3!$D$4/k_n</f>
        <v/>
      </c>
      <c r="V975">
        <f>O975-H975*LTP3!$D$4/k_n</f>
        <v/>
      </c>
      <c r="W975">
        <f>((LTP3!$D$5)*((P975)*(Q975)-(R975)*(R975))-(S975)*((S975)*(Q975)-(R975)*(T975))+(T975)*((S975)*(R975)-(P975)*(T975)))</f>
        <v/>
      </c>
      <c r="X975">
        <f>IF(ABS(W975)&gt;1E-12,((LTP3!$D$6)*((P975)*(Q975)-(R975)*(R975))-(S975)*((U975)*(Q975)-(R975)*(V975))+(T975)*((U975)*(R975)-(P975)*(V975)))/W975,0)</f>
        <v/>
      </c>
      <c r="Y975">
        <f>IF(ABS(W975)&gt;1E-12,((LTP3!$D$5)*((U975)*(Q975)-(R975)*(V975))-(LTP3!$D$6)*((S975)*(Q975)-(R975)*(T975))+(T975)*((S975)*(V975)-(U975)*(T975)))/W975,0)</f>
        <v/>
      </c>
      <c r="Z975">
        <f>IF(ABS(W975)&gt;1E-12,((LTP3!$D$5)*((P975)*(V975)-(U975)*(R975))-(S975)*((S975)*(V975)-(U975)*(T975))+(LTP3!$D$6)*((S975)*(R975)-(P975)*(T975)))/W975,0)</f>
        <v/>
      </c>
      <c r="AA975">
        <f>LTP3!$D$7-X975*LTP3!$D$6-Y975*U975-Z975*V975</f>
        <v/>
      </c>
      <c r="AB975">
        <f>IF(AND(F975,ABS(W975)&gt;1E-12,Y975&gt;0,Z975&gt;0),AA975,1E+300)</f>
        <v/>
      </c>
    </row>
    <row r="976">
      <c r="A976">
        <f>$B$3+$B$5*15</f>
        <v/>
      </c>
      <c r="B976">
        <f>$B$3+$B$5*49</f>
        <v/>
      </c>
      <c r="C976">
        <f>SUMPRODUCT(Calc!$K$3:$K$22*(Calc!$G$3:$G$22&lt;=A976))</f>
        <v/>
      </c>
      <c r="D976">
        <f>SUMPRODUCT(Calc!$K$3:$K$22*(Calc!$G$3:$G$22&gt;A976)*(Calc!$G$3:$G$22&lt;B976))</f>
        <v/>
      </c>
      <c r="E976">
        <f>SUMPRODUCT(Calc!$K$3:$K$22*(Calc!$G$3:$G$22&gt;=B976))</f>
        <v/>
      </c>
      <c r="F976">
        <f>AND(k_n&gt;=5,B976&gt;A976+1E-9,C976&gt;=2,D976&gt;=1,E976&gt;=2)</f>
        <v/>
      </c>
      <c r="G976">
        <f>SUMPRODUCT(Calc!$K$3:$K$22*(Calc!$G$3:$G$22&gt;A976)*(Calc!$G$3:$G$22-A976))</f>
        <v/>
      </c>
      <c r="H976">
        <f>SUMPRODUCT(Calc!$K$3:$K$22*(Calc!$G$3:$G$22&gt;B976)*(Calc!$G$3:$G$22-B976))</f>
        <v/>
      </c>
      <c r="I976">
        <f>SUMPRODUCT(Calc!$K$3:$K$22*(Calc!$G$3:$G$22&gt;A976)*(Calc!$G$3:$G$22-A976)^2)</f>
        <v/>
      </c>
      <c r="J976">
        <f>SUMPRODUCT(Calc!$K$3:$K$22*(Calc!$G$3:$G$22&gt;B976)*(Calc!$G$3:$G$22-B976)^2)</f>
        <v/>
      </c>
      <c r="K976">
        <f>SUMPRODUCT(Calc!$K$3:$K$22*(Calc!$G$3:$G$22&gt;A976)*(Calc!$G$3:$G$22-A976)*(Calc!$G$3:$G$22&gt;B976)*(Calc!$G$3:$G$22-B976))</f>
        <v/>
      </c>
      <c r="L976">
        <f>SUMPRODUCT(Calc!$K$3:$K$22*(Calc!$G$3:$G$22&gt;A976)*(Calc!$G$3:$G$22-A976)*Calc!$G$3:$G$22)</f>
        <v/>
      </c>
      <c r="M976">
        <f>SUMPRODUCT(Calc!$K$3:$K$22*(Calc!$G$3:$G$22&gt;B976)*(Calc!$G$3:$G$22-B976)*Calc!$G$3:$G$22)</f>
        <v/>
      </c>
      <c r="N976">
        <f>SUMPRODUCT(Calc!$K$3:$K$22*(Calc!$G$3:$G$22&gt;A976)*(Calc!$G$3:$G$22-A976)*Calc!$I$3:$I$22)</f>
        <v/>
      </c>
      <c r="O976">
        <f>SUMPRODUCT(Calc!$K$3:$K$22*(Calc!$G$3:$G$22&gt;B976)*(Calc!$G$3:$G$22-B976)*Calc!$I$3:$I$22)</f>
        <v/>
      </c>
      <c r="P976">
        <f>I976-G976^2/k_n</f>
        <v/>
      </c>
      <c r="Q976">
        <f>J976-H976^2/k_n</f>
        <v/>
      </c>
      <c r="R976">
        <f>K976-G976*H976/k_n</f>
        <v/>
      </c>
      <c r="S976">
        <f>L976-LTP3!$D$3*G976/k_n</f>
        <v/>
      </c>
      <c r="T976">
        <f>M976-LTP3!$D$3*H976/k_n</f>
        <v/>
      </c>
      <c r="U976">
        <f>N976-G976*LTP3!$D$4/k_n</f>
        <v/>
      </c>
      <c r="V976">
        <f>O976-H976*LTP3!$D$4/k_n</f>
        <v/>
      </c>
      <c r="W976">
        <f>((LTP3!$D$5)*((P976)*(Q976)-(R976)*(R976))-(S976)*((S976)*(Q976)-(R976)*(T976))+(T976)*((S976)*(R976)-(P976)*(T976)))</f>
        <v/>
      </c>
      <c r="X976">
        <f>IF(ABS(W976)&gt;1E-12,((LTP3!$D$6)*((P976)*(Q976)-(R976)*(R976))-(S976)*((U976)*(Q976)-(R976)*(V976))+(T976)*((U976)*(R976)-(P976)*(V976)))/W976,0)</f>
        <v/>
      </c>
      <c r="Y976">
        <f>IF(ABS(W976)&gt;1E-12,((LTP3!$D$5)*((U976)*(Q976)-(R976)*(V976))-(LTP3!$D$6)*((S976)*(Q976)-(R976)*(T976))+(T976)*((S976)*(V976)-(U976)*(T976)))/W976,0)</f>
        <v/>
      </c>
      <c r="Z976">
        <f>IF(ABS(W976)&gt;1E-12,((LTP3!$D$5)*((P976)*(V976)-(U976)*(R976))-(S976)*((S976)*(V976)-(U976)*(T976))+(LTP3!$D$6)*((S976)*(R976)-(P976)*(T976)))/W976,0)</f>
        <v/>
      </c>
      <c r="AA976">
        <f>LTP3!$D$7-X976*LTP3!$D$6-Y976*U976-Z976*V976</f>
        <v/>
      </c>
      <c r="AB976">
        <f>IF(AND(F976,ABS(W976)&gt;1E-12,Y976&gt;0,Z976&gt;0),AA976,1E+300)</f>
        <v/>
      </c>
    </row>
    <row r="977">
      <c r="A977">
        <f>$B$3+$B$5*15</f>
        <v/>
      </c>
      <c r="B977">
        <f>$B$3+$B$5*50</f>
        <v/>
      </c>
      <c r="C977">
        <f>SUMPRODUCT(Calc!$K$3:$K$22*(Calc!$G$3:$G$22&lt;=A977))</f>
        <v/>
      </c>
      <c r="D977">
        <f>SUMPRODUCT(Calc!$K$3:$K$22*(Calc!$G$3:$G$22&gt;A977)*(Calc!$G$3:$G$22&lt;B977))</f>
        <v/>
      </c>
      <c r="E977">
        <f>SUMPRODUCT(Calc!$K$3:$K$22*(Calc!$G$3:$G$22&gt;=B977))</f>
        <v/>
      </c>
      <c r="F977">
        <f>AND(k_n&gt;=5,B977&gt;A977+1E-9,C977&gt;=2,D977&gt;=1,E977&gt;=2)</f>
        <v/>
      </c>
      <c r="G977">
        <f>SUMPRODUCT(Calc!$K$3:$K$22*(Calc!$G$3:$G$22&gt;A977)*(Calc!$G$3:$G$22-A977))</f>
        <v/>
      </c>
      <c r="H977">
        <f>SUMPRODUCT(Calc!$K$3:$K$22*(Calc!$G$3:$G$22&gt;B977)*(Calc!$G$3:$G$22-B977))</f>
        <v/>
      </c>
      <c r="I977">
        <f>SUMPRODUCT(Calc!$K$3:$K$22*(Calc!$G$3:$G$22&gt;A977)*(Calc!$G$3:$G$22-A977)^2)</f>
        <v/>
      </c>
      <c r="J977">
        <f>SUMPRODUCT(Calc!$K$3:$K$22*(Calc!$G$3:$G$22&gt;B977)*(Calc!$G$3:$G$22-B977)^2)</f>
        <v/>
      </c>
      <c r="K977">
        <f>SUMPRODUCT(Calc!$K$3:$K$22*(Calc!$G$3:$G$22&gt;A977)*(Calc!$G$3:$G$22-A977)*(Calc!$G$3:$G$22&gt;B977)*(Calc!$G$3:$G$22-B977))</f>
        <v/>
      </c>
      <c r="L977">
        <f>SUMPRODUCT(Calc!$K$3:$K$22*(Calc!$G$3:$G$22&gt;A977)*(Calc!$G$3:$G$22-A977)*Calc!$G$3:$G$22)</f>
        <v/>
      </c>
      <c r="M977">
        <f>SUMPRODUCT(Calc!$K$3:$K$22*(Calc!$G$3:$G$22&gt;B977)*(Calc!$G$3:$G$22-B977)*Calc!$G$3:$G$22)</f>
        <v/>
      </c>
      <c r="N977">
        <f>SUMPRODUCT(Calc!$K$3:$K$22*(Calc!$G$3:$G$22&gt;A977)*(Calc!$G$3:$G$22-A977)*Calc!$I$3:$I$22)</f>
        <v/>
      </c>
      <c r="O977">
        <f>SUMPRODUCT(Calc!$K$3:$K$22*(Calc!$G$3:$G$22&gt;B977)*(Calc!$G$3:$G$22-B977)*Calc!$I$3:$I$22)</f>
        <v/>
      </c>
      <c r="P977">
        <f>I977-G977^2/k_n</f>
        <v/>
      </c>
      <c r="Q977">
        <f>J977-H977^2/k_n</f>
        <v/>
      </c>
      <c r="R977">
        <f>K977-G977*H977/k_n</f>
        <v/>
      </c>
      <c r="S977">
        <f>L977-LTP3!$D$3*G977/k_n</f>
        <v/>
      </c>
      <c r="T977">
        <f>M977-LTP3!$D$3*H977/k_n</f>
        <v/>
      </c>
      <c r="U977">
        <f>N977-G977*LTP3!$D$4/k_n</f>
        <v/>
      </c>
      <c r="V977">
        <f>O977-H977*LTP3!$D$4/k_n</f>
        <v/>
      </c>
      <c r="W977">
        <f>((LTP3!$D$5)*((P977)*(Q977)-(R977)*(R977))-(S977)*((S977)*(Q977)-(R977)*(T977))+(T977)*((S977)*(R977)-(P977)*(T977)))</f>
        <v/>
      </c>
      <c r="X977">
        <f>IF(ABS(W977)&gt;1E-12,((LTP3!$D$6)*((P977)*(Q977)-(R977)*(R977))-(S977)*((U977)*(Q977)-(R977)*(V977))+(T977)*((U977)*(R977)-(P977)*(V977)))/W977,0)</f>
        <v/>
      </c>
      <c r="Y977">
        <f>IF(ABS(W977)&gt;1E-12,((LTP3!$D$5)*((U977)*(Q977)-(R977)*(V977))-(LTP3!$D$6)*((S977)*(Q977)-(R977)*(T977))+(T977)*((S977)*(V977)-(U977)*(T977)))/W977,0)</f>
        <v/>
      </c>
      <c r="Z977">
        <f>IF(ABS(W977)&gt;1E-12,((LTP3!$D$5)*((P977)*(V977)-(U977)*(R977))-(S977)*((S977)*(V977)-(U977)*(T977))+(LTP3!$D$6)*((S977)*(R977)-(P977)*(T977)))/W977,0)</f>
        <v/>
      </c>
      <c r="AA977">
        <f>LTP3!$D$7-X977*LTP3!$D$6-Y977*U977-Z977*V977</f>
        <v/>
      </c>
      <c r="AB977">
        <f>IF(AND(F977,ABS(W977)&gt;1E-12,Y977&gt;0,Z977&gt;0),AA977,1E+300)</f>
        <v/>
      </c>
    </row>
    <row r="978">
      <c r="A978">
        <f>$B$3+$B$5*15</f>
        <v/>
      </c>
      <c r="B978">
        <f>$B$3+$B$5*51</f>
        <v/>
      </c>
      <c r="C978">
        <f>SUMPRODUCT(Calc!$K$3:$K$22*(Calc!$G$3:$G$22&lt;=A978))</f>
        <v/>
      </c>
      <c r="D978">
        <f>SUMPRODUCT(Calc!$K$3:$K$22*(Calc!$G$3:$G$22&gt;A978)*(Calc!$G$3:$G$22&lt;B978))</f>
        <v/>
      </c>
      <c r="E978">
        <f>SUMPRODUCT(Calc!$K$3:$K$22*(Calc!$G$3:$G$22&gt;=B978))</f>
        <v/>
      </c>
      <c r="F978">
        <f>AND(k_n&gt;=5,B978&gt;A978+1E-9,C978&gt;=2,D978&gt;=1,E978&gt;=2)</f>
        <v/>
      </c>
      <c r="G978">
        <f>SUMPRODUCT(Calc!$K$3:$K$22*(Calc!$G$3:$G$22&gt;A978)*(Calc!$G$3:$G$22-A978))</f>
        <v/>
      </c>
      <c r="H978">
        <f>SUMPRODUCT(Calc!$K$3:$K$22*(Calc!$G$3:$G$22&gt;B978)*(Calc!$G$3:$G$22-B978))</f>
        <v/>
      </c>
      <c r="I978">
        <f>SUMPRODUCT(Calc!$K$3:$K$22*(Calc!$G$3:$G$22&gt;A978)*(Calc!$G$3:$G$22-A978)^2)</f>
        <v/>
      </c>
      <c r="J978">
        <f>SUMPRODUCT(Calc!$K$3:$K$22*(Calc!$G$3:$G$22&gt;B978)*(Calc!$G$3:$G$22-B978)^2)</f>
        <v/>
      </c>
      <c r="K978">
        <f>SUMPRODUCT(Calc!$K$3:$K$22*(Calc!$G$3:$G$22&gt;A978)*(Calc!$G$3:$G$22-A978)*(Calc!$G$3:$G$22&gt;B978)*(Calc!$G$3:$G$22-B978))</f>
        <v/>
      </c>
      <c r="L978">
        <f>SUMPRODUCT(Calc!$K$3:$K$22*(Calc!$G$3:$G$22&gt;A978)*(Calc!$G$3:$G$22-A978)*Calc!$G$3:$G$22)</f>
        <v/>
      </c>
      <c r="M978">
        <f>SUMPRODUCT(Calc!$K$3:$K$22*(Calc!$G$3:$G$22&gt;B978)*(Calc!$G$3:$G$22-B978)*Calc!$G$3:$G$22)</f>
        <v/>
      </c>
      <c r="N978">
        <f>SUMPRODUCT(Calc!$K$3:$K$22*(Calc!$G$3:$G$22&gt;A978)*(Calc!$G$3:$G$22-A978)*Calc!$I$3:$I$22)</f>
        <v/>
      </c>
      <c r="O978">
        <f>SUMPRODUCT(Calc!$K$3:$K$22*(Calc!$G$3:$G$22&gt;B978)*(Calc!$G$3:$G$22-B978)*Calc!$I$3:$I$22)</f>
        <v/>
      </c>
      <c r="P978">
        <f>I978-G978^2/k_n</f>
        <v/>
      </c>
      <c r="Q978">
        <f>J978-H978^2/k_n</f>
        <v/>
      </c>
      <c r="R978">
        <f>K978-G978*H978/k_n</f>
        <v/>
      </c>
      <c r="S978">
        <f>L978-LTP3!$D$3*G978/k_n</f>
        <v/>
      </c>
      <c r="T978">
        <f>M978-LTP3!$D$3*H978/k_n</f>
        <v/>
      </c>
      <c r="U978">
        <f>N978-G978*LTP3!$D$4/k_n</f>
        <v/>
      </c>
      <c r="V978">
        <f>O978-H978*LTP3!$D$4/k_n</f>
        <v/>
      </c>
      <c r="W978">
        <f>((LTP3!$D$5)*((P978)*(Q978)-(R978)*(R978))-(S978)*((S978)*(Q978)-(R978)*(T978))+(T978)*((S978)*(R978)-(P978)*(T978)))</f>
        <v/>
      </c>
      <c r="X978">
        <f>IF(ABS(W978)&gt;1E-12,((LTP3!$D$6)*((P978)*(Q978)-(R978)*(R978))-(S978)*((U978)*(Q978)-(R978)*(V978))+(T978)*((U978)*(R978)-(P978)*(V978)))/W978,0)</f>
        <v/>
      </c>
      <c r="Y978">
        <f>IF(ABS(W978)&gt;1E-12,((LTP3!$D$5)*((U978)*(Q978)-(R978)*(V978))-(LTP3!$D$6)*((S978)*(Q978)-(R978)*(T978))+(T978)*((S978)*(V978)-(U978)*(T978)))/W978,0)</f>
        <v/>
      </c>
      <c r="Z978">
        <f>IF(ABS(W978)&gt;1E-12,((LTP3!$D$5)*((P978)*(V978)-(U978)*(R978))-(S978)*((S978)*(V978)-(U978)*(T978))+(LTP3!$D$6)*((S978)*(R978)-(P978)*(T978)))/W978,0)</f>
        <v/>
      </c>
      <c r="AA978">
        <f>LTP3!$D$7-X978*LTP3!$D$6-Y978*U978-Z978*V978</f>
        <v/>
      </c>
      <c r="AB978">
        <f>IF(AND(F978,ABS(W978)&gt;1E-12,Y978&gt;0,Z978&gt;0),AA978,1E+300)</f>
        <v/>
      </c>
    </row>
    <row r="979">
      <c r="A979">
        <f>$B$3+$B$5*15</f>
        <v/>
      </c>
      <c r="B979">
        <f>$B$3+$B$5*52</f>
        <v/>
      </c>
      <c r="C979">
        <f>SUMPRODUCT(Calc!$K$3:$K$22*(Calc!$G$3:$G$22&lt;=A979))</f>
        <v/>
      </c>
      <c r="D979">
        <f>SUMPRODUCT(Calc!$K$3:$K$22*(Calc!$G$3:$G$22&gt;A979)*(Calc!$G$3:$G$22&lt;B979))</f>
        <v/>
      </c>
      <c r="E979">
        <f>SUMPRODUCT(Calc!$K$3:$K$22*(Calc!$G$3:$G$22&gt;=B979))</f>
        <v/>
      </c>
      <c r="F979">
        <f>AND(k_n&gt;=5,B979&gt;A979+1E-9,C979&gt;=2,D979&gt;=1,E979&gt;=2)</f>
        <v/>
      </c>
      <c r="G979">
        <f>SUMPRODUCT(Calc!$K$3:$K$22*(Calc!$G$3:$G$22&gt;A979)*(Calc!$G$3:$G$22-A979))</f>
        <v/>
      </c>
      <c r="H979">
        <f>SUMPRODUCT(Calc!$K$3:$K$22*(Calc!$G$3:$G$22&gt;B979)*(Calc!$G$3:$G$22-B979))</f>
        <v/>
      </c>
      <c r="I979">
        <f>SUMPRODUCT(Calc!$K$3:$K$22*(Calc!$G$3:$G$22&gt;A979)*(Calc!$G$3:$G$22-A979)^2)</f>
        <v/>
      </c>
      <c r="J979">
        <f>SUMPRODUCT(Calc!$K$3:$K$22*(Calc!$G$3:$G$22&gt;B979)*(Calc!$G$3:$G$22-B979)^2)</f>
        <v/>
      </c>
      <c r="K979">
        <f>SUMPRODUCT(Calc!$K$3:$K$22*(Calc!$G$3:$G$22&gt;A979)*(Calc!$G$3:$G$22-A979)*(Calc!$G$3:$G$22&gt;B979)*(Calc!$G$3:$G$22-B979))</f>
        <v/>
      </c>
      <c r="L979">
        <f>SUMPRODUCT(Calc!$K$3:$K$22*(Calc!$G$3:$G$22&gt;A979)*(Calc!$G$3:$G$22-A979)*Calc!$G$3:$G$22)</f>
        <v/>
      </c>
      <c r="M979">
        <f>SUMPRODUCT(Calc!$K$3:$K$22*(Calc!$G$3:$G$22&gt;B979)*(Calc!$G$3:$G$22-B979)*Calc!$G$3:$G$22)</f>
        <v/>
      </c>
      <c r="N979">
        <f>SUMPRODUCT(Calc!$K$3:$K$22*(Calc!$G$3:$G$22&gt;A979)*(Calc!$G$3:$G$22-A979)*Calc!$I$3:$I$22)</f>
        <v/>
      </c>
      <c r="O979">
        <f>SUMPRODUCT(Calc!$K$3:$K$22*(Calc!$G$3:$G$22&gt;B979)*(Calc!$G$3:$G$22-B979)*Calc!$I$3:$I$22)</f>
        <v/>
      </c>
      <c r="P979">
        <f>I979-G979^2/k_n</f>
        <v/>
      </c>
      <c r="Q979">
        <f>J979-H979^2/k_n</f>
        <v/>
      </c>
      <c r="R979">
        <f>K979-G979*H979/k_n</f>
        <v/>
      </c>
      <c r="S979">
        <f>L979-LTP3!$D$3*G979/k_n</f>
        <v/>
      </c>
      <c r="T979">
        <f>M979-LTP3!$D$3*H979/k_n</f>
        <v/>
      </c>
      <c r="U979">
        <f>N979-G979*LTP3!$D$4/k_n</f>
        <v/>
      </c>
      <c r="V979">
        <f>O979-H979*LTP3!$D$4/k_n</f>
        <v/>
      </c>
      <c r="W979">
        <f>((LTP3!$D$5)*((P979)*(Q979)-(R979)*(R979))-(S979)*((S979)*(Q979)-(R979)*(T979))+(T979)*((S979)*(R979)-(P979)*(T979)))</f>
        <v/>
      </c>
      <c r="X979">
        <f>IF(ABS(W979)&gt;1E-12,((LTP3!$D$6)*((P979)*(Q979)-(R979)*(R979))-(S979)*((U979)*(Q979)-(R979)*(V979))+(T979)*((U979)*(R979)-(P979)*(V979)))/W979,0)</f>
        <v/>
      </c>
      <c r="Y979">
        <f>IF(ABS(W979)&gt;1E-12,((LTP3!$D$5)*((U979)*(Q979)-(R979)*(V979))-(LTP3!$D$6)*((S979)*(Q979)-(R979)*(T979))+(T979)*((S979)*(V979)-(U979)*(T979)))/W979,0)</f>
        <v/>
      </c>
      <c r="Z979">
        <f>IF(ABS(W979)&gt;1E-12,((LTP3!$D$5)*((P979)*(V979)-(U979)*(R979))-(S979)*((S979)*(V979)-(U979)*(T979))+(LTP3!$D$6)*((S979)*(R979)-(P979)*(T979)))/W979,0)</f>
        <v/>
      </c>
      <c r="AA979">
        <f>LTP3!$D$7-X979*LTP3!$D$6-Y979*U979-Z979*V979</f>
        <v/>
      </c>
      <c r="AB979">
        <f>IF(AND(F979,ABS(W979)&gt;1E-12,Y979&gt;0,Z979&gt;0),AA979,1E+300)</f>
        <v/>
      </c>
    </row>
    <row r="980">
      <c r="A980">
        <f>$B$3+$B$5*15</f>
        <v/>
      </c>
      <c r="B980">
        <f>$B$3+$B$5*53</f>
        <v/>
      </c>
      <c r="C980">
        <f>SUMPRODUCT(Calc!$K$3:$K$22*(Calc!$G$3:$G$22&lt;=A980))</f>
        <v/>
      </c>
      <c r="D980">
        <f>SUMPRODUCT(Calc!$K$3:$K$22*(Calc!$G$3:$G$22&gt;A980)*(Calc!$G$3:$G$22&lt;B980))</f>
        <v/>
      </c>
      <c r="E980">
        <f>SUMPRODUCT(Calc!$K$3:$K$22*(Calc!$G$3:$G$22&gt;=B980))</f>
        <v/>
      </c>
      <c r="F980">
        <f>AND(k_n&gt;=5,B980&gt;A980+1E-9,C980&gt;=2,D980&gt;=1,E980&gt;=2)</f>
        <v/>
      </c>
      <c r="G980">
        <f>SUMPRODUCT(Calc!$K$3:$K$22*(Calc!$G$3:$G$22&gt;A980)*(Calc!$G$3:$G$22-A980))</f>
        <v/>
      </c>
      <c r="H980">
        <f>SUMPRODUCT(Calc!$K$3:$K$22*(Calc!$G$3:$G$22&gt;B980)*(Calc!$G$3:$G$22-B980))</f>
        <v/>
      </c>
      <c r="I980">
        <f>SUMPRODUCT(Calc!$K$3:$K$22*(Calc!$G$3:$G$22&gt;A980)*(Calc!$G$3:$G$22-A980)^2)</f>
        <v/>
      </c>
      <c r="J980">
        <f>SUMPRODUCT(Calc!$K$3:$K$22*(Calc!$G$3:$G$22&gt;B980)*(Calc!$G$3:$G$22-B980)^2)</f>
        <v/>
      </c>
      <c r="K980">
        <f>SUMPRODUCT(Calc!$K$3:$K$22*(Calc!$G$3:$G$22&gt;A980)*(Calc!$G$3:$G$22-A980)*(Calc!$G$3:$G$22&gt;B980)*(Calc!$G$3:$G$22-B980))</f>
        <v/>
      </c>
      <c r="L980">
        <f>SUMPRODUCT(Calc!$K$3:$K$22*(Calc!$G$3:$G$22&gt;A980)*(Calc!$G$3:$G$22-A980)*Calc!$G$3:$G$22)</f>
        <v/>
      </c>
      <c r="M980">
        <f>SUMPRODUCT(Calc!$K$3:$K$22*(Calc!$G$3:$G$22&gt;B980)*(Calc!$G$3:$G$22-B980)*Calc!$G$3:$G$22)</f>
        <v/>
      </c>
      <c r="N980">
        <f>SUMPRODUCT(Calc!$K$3:$K$22*(Calc!$G$3:$G$22&gt;A980)*(Calc!$G$3:$G$22-A980)*Calc!$I$3:$I$22)</f>
        <v/>
      </c>
      <c r="O980">
        <f>SUMPRODUCT(Calc!$K$3:$K$22*(Calc!$G$3:$G$22&gt;B980)*(Calc!$G$3:$G$22-B980)*Calc!$I$3:$I$22)</f>
        <v/>
      </c>
      <c r="P980">
        <f>I980-G980^2/k_n</f>
        <v/>
      </c>
      <c r="Q980">
        <f>J980-H980^2/k_n</f>
        <v/>
      </c>
      <c r="R980">
        <f>K980-G980*H980/k_n</f>
        <v/>
      </c>
      <c r="S980">
        <f>L980-LTP3!$D$3*G980/k_n</f>
        <v/>
      </c>
      <c r="T980">
        <f>M980-LTP3!$D$3*H980/k_n</f>
        <v/>
      </c>
      <c r="U980">
        <f>N980-G980*LTP3!$D$4/k_n</f>
        <v/>
      </c>
      <c r="V980">
        <f>O980-H980*LTP3!$D$4/k_n</f>
        <v/>
      </c>
      <c r="W980">
        <f>((LTP3!$D$5)*((P980)*(Q980)-(R980)*(R980))-(S980)*((S980)*(Q980)-(R980)*(T980))+(T980)*((S980)*(R980)-(P980)*(T980)))</f>
        <v/>
      </c>
      <c r="X980">
        <f>IF(ABS(W980)&gt;1E-12,((LTP3!$D$6)*((P980)*(Q980)-(R980)*(R980))-(S980)*((U980)*(Q980)-(R980)*(V980))+(T980)*((U980)*(R980)-(P980)*(V980)))/W980,0)</f>
        <v/>
      </c>
      <c r="Y980">
        <f>IF(ABS(W980)&gt;1E-12,((LTP3!$D$5)*((U980)*(Q980)-(R980)*(V980))-(LTP3!$D$6)*((S980)*(Q980)-(R980)*(T980))+(T980)*((S980)*(V980)-(U980)*(T980)))/W980,0)</f>
        <v/>
      </c>
      <c r="Z980">
        <f>IF(ABS(W980)&gt;1E-12,((LTP3!$D$5)*((P980)*(V980)-(U980)*(R980))-(S980)*((S980)*(V980)-(U980)*(T980))+(LTP3!$D$6)*((S980)*(R980)-(P980)*(T980)))/W980,0)</f>
        <v/>
      </c>
      <c r="AA980">
        <f>LTP3!$D$7-X980*LTP3!$D$6-Y980*U980-Z980*V980</f>
        <v/>
      </c>
      <c r="AB980">
        <f>IF(AND(F980,ABS(W980)&gt;1E-12,Y980&gt;0,Z980&gt;0),AA980,1E+300)</f>
        <v/>
      </c>
    </row>
    <row r="981">
      <c r="A981">
        <f>$B$3+$B$5*15</f>
        <v/>
      </c>
      <c r="B981">
        <f>$B$3+$B$5*54</f>
        <v/>
      </c>
      <c r="C981">
        <f>SUMPRODUCT(Calc!$K$3:$K$22*(Calc!$G$3:$G$22&lt;=A981))</f>
        <v/>
      </c>
      <c r="D981">
        <f>SUMPRODUCT(Calc!$K$3:$K$22*(Calc!$G$3:$G$22&gt;A981)*(Calc!$G$3:$G$22&lt;B981))</f>
        <v/>
      </c>
      <c r="E981">
        <f>SUMPRODUCT(Calc!$K$3:$K$22*(Calc!$G$3:$G$22&gt;=B981))</f>
        <v/>
      </c>
      <c r="F981">
        <f>AND(k_n&gt;=5,B981&gt;A981+1E-9,C981&gt;=2,D981&gt;=1,E981&gt;=2)</f>
        <v/>
      </c>
      <c r="G981">
        <f>SUMPRODUCT(Calc!$K$3:$K$22*(Calc!$G$3:$G$22&gt;A981)*(Calc!$G$3:$G$22-A981))</f>
        <v/>
      </c>
      <c r="H981">
        <f>SUMPRODUCT(Calc!$K$3:$K$22*(Calc!$G$3:$G$22&gt;B981)*(Calc!$G$3:$G$22-B981))</f>
        <v/>
      </c>
      <c r="I981">
        <f>SUMPRODUCT(Calc!$K$3:$K$22*(Calc!$G$3:$G$22&gt;A981)*(Calc!$G$3:$G$22-A981)^2)</f>
        <v/>
      </c>
      <c r="J981">
        <f>SUMPRODUCT(Calc!$K$3:$K$22*(Calc!$G$3:$G$22&gt;B981)*(Calc!$G$3:$G$22-B981)^2)</f>
        <v/>
      </c>
      <c r="K981">
        <f>SUMPRODUCT(Calc!$K$3:$K$22*(Calc!$G$3:$G$22&gt;A981)*(Calc!$G$3:$G$22-A981)*(Calc!$G$3:$G$22&gt;B981)*(Calc!$G$3:$G$22-B981))</f>
        <v/>
      </c>
      <c r="L981">
        <f>SUMPRODUCT(Calc!$K$3:$K$22*(Calc!$G$3:$G$22&gt;A981)*(Calc!$G$3:$G$22-A981)*Calc!$G$3:$G$22)</f>
        <v/>
      </c>
      <c r="M981">
        <f>SUMPRODUCT(Calc!$K$3:$K$22*(Calc!$G$3:$G$22&gt;B981)*(Calc!$G$3:$G$22-B981)*Calc!$G$3:$G$22)</f>
        <v/>
      </c>
      <c r="N981">
        <f>SUMPRODUCT(Calc!$K$3:$K$22*(Calc!$G$3:$G$22&gt;A981)*(Calc!$G$3:$G$22-A981)*Calc!$I$3:$I$22)</f>
        <v/>
      </c>
      <c r="O981">
        <f>SUMPRODUCT(Calc!$K$3:$K$22*(Calc!$G$3:$G$22&gt;B981)*(Calc!$G$3:$G$22-B981)*Calc!$I$3:$I$22)</f>
        <v/>
      </c>
      <c r="P981">
        <f>I981-G981^2/k_n</f>
        <v/>
      </c>
      <c r="Q981">
        <f>J981-H981^2/k_n</f>
        <v/>
      </c>
      <c r="R981">
        <f>K981-G981*H981/k_n</f>
        <v/>
      </c>
      <c r="S981">
        <f>L981-LTP3!$D$3*G981/k_n</f>
        <v/>
      </c>
      <c r="T981">
        <f>M981-LTP3!$D$3*H981/k_n</f>
        <v/>
      </c>
      <c r="U981">
        <f>N981-G981*LTP3!$D$4/k_n</f>
        <v/>
      </c>
      <c r="V981">
        <f>O981-H981*LTP3!$D$4/k_n</f>
        <v/>
      </c>
      <c r="W981">
        <f>((LTP3!$D$5)*((P981)*(Q981)-(R981)*(R981))-(S981)*((S981)*(Q981)-(R981)*(T981))+(T981)*((S981)*(R981)-(P981)*(T981)))</f>
        <v/>
      </c>
      <c r="X981">
        <f>IF(ABS(W981)&gt;1E-12,((LTP3!$D$6)*((P981)*(Q981)-(R981)*(R981))-(S981)*((U981)*(Q981)-(R981)*(V981))+(T981)*((U981)*(R981)-(P981)*(V981)))/W981,0)</f>
        <v/>
      </c>
      <c r="Y981">
        <f>IF(ABS(W981)&gt;1E-12,((LTP3!$D$5)*((U981)*(Q981)-(R981)*(V981))-(LTP3!$D$6)*((S981)*(Q981)-(R981)*(T981))+(T981)*((S981)*(V981)-(U981)*(T981)))/W981,0)</f>
        <v/>
      </c>
      <c r="Z981">
        <f>IF(ABS(W981)&gt;1E-12,((LTP3!$D$5)*((P981)*(V981)-(U981)*(R981))-(S981)*((S981)*(V981)-(U981)*(T981))+(LTP3!$D$6)*((S981)*(R981)-(P981)*(T981)))/W981,0)</f>
        <v/>
      </c>
      <c r="AA981">
        <f>LTP3!$D$7-X981*LTP3!$D$6-Y981*U981-Z981*V981</f>
        <v/>
      </c>
      <c r="AB981">
        <f>IF(AND(F981,ABS(W981)&gt;1E-12,Y981&gt;0,Z981&gt;0),AA981,1E+300)</f>
        <v/>
      </c>
    </row>
    <row r="982">
      <c r="A982">
        <f>$B$3+$B$5*15</f>
        <v/>
      </c>
      <c r="B982">
        <f>$B$3+$B$5*55</f>
        <v/>
      </c>
      <c r="C982">
        <f>SUMPRODUCT(Calc!$K$3:$K$22*(Calc!$G$3:$G$22&lt;=A982))</f>
        <v/>
      </c>
      <c r="D982">
        <f>SUMPRODUCT(Calc!$K$3:$K$22*(Calc!$G$3:$G$22&gt;A982)*(Calc!$G$3:$G$22&lt;B982))</f>
        <v/>
      </c>
      <c r="E982">
        <f>SUMPRODUCT(Calc!$K$3:$K$22*(Calc!$G$3:$G$22&gt;=B982))</f>
        <v/>
      </c>
      <c r="F982">
        <f>AND(k_n&gt;=5,B982&gt;A982+1E-9,C982&gt;=2,D982&gt;=1,E982&gt;=2)</f>
        <v/>
      </c>
      <c r="G982">
        <f>SUMPRODUCT(Calc!$K$3:$K$22*(Calc!$G$3:$G$22&gt;A982)*(Calc!$G$3:$G$22-A982))</f>
        <v/>
      </c>
      <c r="H982">
        <f>SUMPRODUCT(Calc!$K$3:$K$22*(Calc!$G$3:$G$22&gt;B982)*(Calc!$G$3:$G$22-B982))</f>
        <v/>
      </c>
      <c r="I982">
        <f>SUMPRODUCT(Calc!$K$3:$K$22*(Calc!$G$3:$G$22&gt;A982)*(Calc!$G$3:$G$22-A982)^2)</f>
        <v/>
      </c>
      <c r="J982">
        <f>SUMPRODUCT(Calc!$K$3:$K$22*(Calc!$G$3:$G$22&gt;B982)*(Calc!$G$3:$G$22-B982)^2)</f>
        <v/>
      </c>
      <c r="K982">
        <f>SUMPRODUCT(Calc!$K$3:$K$22*(Calc!$G$3:$G$22&gt;A982)*(Calc!$G$3:$G$22-A982)*(Calc!$G$3:$G$22&gt;B982)*(Calc!$G$3:$G$22-B982))</f>
        <v/>
      </c>
      <c r="L982">
        <f>SUMPRODUCT(Calc!$K$3:$K$22*(Calc!$G$3:$G$22&gt;A982)*(Calc!$G$3:$G$22-A982)*Calc!$G$3:$G$22)</f>
        <v/>
      </c>
      <c r="M982">
        <f>SUMPRODUCT(Calc!$K$3:$K$22*(Calc!$G$3:$G$22&gt;B982)*(Calc!$G$3:$G$22-B982)*Calc!$G$3:$G$22)</f>
        <v/>
      </c>
      <c r="N982">
        <f>SUMPRODUCT(Calc!$K$3:$K$22*(Calc!$G$3:$G$22&gt;A982)*(Calc!$G$3:$G$22-A982)*Calc!$I$3:$I$22)</f>
        <v/>
      </c>
      <c r="O982">
        <f>SUMPRODUCT(Calc!$K$3:$K$22*(Calc!$G$3:$G$22&gt;B982)*(Calc!$G$3:$G$22-B982)*Calc!$I$3:$I$22)</f>
        <v/>
      </c>
      <c r="P982">
        <f>I982-G982^2/k_n</f>
        <v/>
      </c>
      <c r="Q982">
        <f>J982-H982^2/k_n</f>
        <v/>
      </c>
      <c r="R982">
        <f>K982-G982*H982/k_n</f>
        <v/>
      </c>
      <c r="S982">
        <f>L982-LTP3!$D$3*G982/k_n</f>
        <v/>
      </c>
      <c r="T982">
        <f>M982-LTP3!$D$3*H982/k_n</f>
        <v/>
      </c>
      <c r="U982">
        <f>N982-G982*LTP3!$D$4/k_n</f>
        <v/>
      </c>
      <c r="V982">
        <f>O982-H982*LTP3!$D$4/k_n</f>
        <v/>
      </c>
      <c r="W982">
        <f>((LTP3!$D$5)*((P982)*(Q982)-(R982)*(R982))-(S982)*((S982)*(Q982)-(R982)*(T982))+(T982)*((S982)*(R982)-(P982)*(T982)))</f>
        <v/>
      </c>
      <c r="X982">
        <f>IF(ABS(W982)&gt;1E-12,((LTP3!$D$6)*((P982)*(Q982)-(R982)*(R982))-(S982)*((U982)*(Q982)-(R982)*(V982))+(T982)*((U982)*(R982)-(P982)*(V982)))/W982,0)</f>
        <v/>
      </c>
      <c r="Y982">
        <f>IF(ABS(W982)&gt;1E-12,((LTP3!$D$5)*((U982)*(Q982)-(R982)*(V982))-(LTP3!$D$6)*((S982)*(Q982)-(R982)*(T982))+(T982)*((S982)*(V982)-(U982)*(T982)))/W982,0)</f>
        <v/>
      </c>
      <c r="Z982">
        <f>IF(ABS(W982)&gt;1E-12,((LTP3!$D$5)*((P982)*(V982)-(U982)*(R982))-(S982)*((S982)*(V982)-(U982)*(T982))+(LTP3!$D$6)*((S982)*(R982)-(P982)*(T982)))/W982,0)</f>
        <v/>
      </c>
      <c r="AA982">
        <f>LTP3!$D$7-X982*LTP3!$D$6-Y982*U982-Z982*V982</f>
        <v/>
      </c>
      <c r="AB982">
        <f>IF(AND(F982,ABS(W982)&gt;1E-12,Y982&gt;0,Z982&gt;0),AA982,1E+300)</f>
        <v/>
      </c>
    </row>
    <row r="983">
      <c r="A983">
        <f>$B$3+$B$5*15</f>
        <v/>
      </c>
      <c r="B983">
        <f>$B$3+$B$5*56</f>
        <v/>
      </c>
      <c r="C983">
        <f>SUMPRODUCT(Calc!$K$3:$K$22*(Calc!$G$3:$G$22&lt;=A983))</f>
        <v/>
      </c>
      <c r="D983">
        <f>SUMPRODUCT(Calc!$K$3:$K$22*(Calc!$G$3:$G$22&gt;A983)*(Calc!$G$3:$G$22&lt;B983))</f>
        <v/>
      </c>
      <c r="E983">
        <f>SUMPRODUCT(Calc!$K$3:$K$22*(Calc!$G$3:$G$22&gt;=B983))</f>
        <v/>
      </c>
      <c r="F983">
        <f>AND(k_n&gt;=5,B983&gt;A983+1E-9,C983&gt;=2,D983&gt;=1,E983&gt;=2)</f>
        <v/>
      </c>
      <c r="G983">
        <f>SUMPRODUCT(Calc!$K$3:$K$22*(Calc!$G$3:$G$22&gt;A983)*(Calc!$G$3:$G$22-A983))</f>
        <v/>
      </c>
      <c r="H983">
        <f>SUMPRODUCT(Calc!$K$3:$K$22*(Calc!$G$3:$G$22&gt;B983)*(Calc!$G$3:$G$22-B983))</f>
        <v/>
      </c>
      <c r="I983">
        <f>SUMPRODUCT(Calc!$K$3:$K$22*(Calc!$G$3:$G$22&gt;A983)*(Calc!$G$3:$G$22-A983)^2)</f>
        <v/>
      </c>
      <c r="J983">
        <f>SUMPRODUCT(Calc!$K$3:$K$22*(Calc!$G$3:$G$22&gt;B983)*(Calc!$G$3:$G$22-B983)^2)</f>
        <v/>
      </c>
      <c r="K983">
        <f>SUMPRODUCT(Calc!$K$3:$K$22*(Calc!$G$3:$G$22&gt;A983)*(Calc!$G$3:$G$22-A983)*(Calc!$G$3:$G$22&gt;B983)*(Calc!$G$3:$G$22-B983))</f>
        <v/>
      </c>
      <c r="L983">
        <f>SUMPRODUCT(Calc!$K$3:$K$22*(Calc!$G$3:$G$22&gt;A983)*(Calc!$G$3:$G$22-A983)*Calc!$G$3:$G$22)</f>
        <v/>
      </c>
      <c r="M983">
        <f>SUMPRODUCT(Calc!$K$3:$K$22*(Calc!$G$3:$G$22&gt;B983)*(Calc!$G$3:$G$22-B983)*Calc!$G$3:$G$22)</f>
        <v/>
      </c>
      <c r="N983">
        <f>SUMPRODUCT(Calc!$K$3:$K$22*(Calc!$G$3:$G$22&gt;A983)*(Calc!$G$3:$G$22-A983)*Calc!$I$3:$I$22)</f>
        <v/>
      </c>
      <c r="O983">
        <f>SUMPRODUCT(Calc!$K$3:$K$22*(Calc!$G$3:$G$22&gt;B983)*(Calc!$G$3:$G$22-B983)*Calc!$I$3:$I$22)</f>
        <v/>
      </c>
      <c r="P983">
        <f>I983-G983^2/k_n</f>
        <v/>
      </c>
      <c r="Q983">
        <f>J983-H983^2/k_n</f>
        <v/>
      </c>
      <c r="R983">
        <f>K983-G983*H983/k_n</f>
        <v/>
      </c>
      <c r="S983">
        <f>L983-LTP3!$D$3*G983/k_n</f>
        <v/>
      </c>
      <c r="T983">
        <f>M983-LTP3!$D$3*H983/k_n</f>
        <v/>
      </c>
      <c r="U983">
        <f>N983-G983*LTP3!$D$4/k_n</f>
        <v/>
      </c>
      <c r="V983">
        <f>O983-H983*LTP3!$D$4/k_n</f>
        <v/>
      </c>
      <c r="W983">
        <f>((LTP3!$D$5)*((P983)*(Q983)-(R983)*(R983))-(S983)*((S983)*(Q983)-(R983)*(T983))+(T983)*((S983)*(R983)-(P983)*(T983)))</f>
        <v/>
      </c>
      <c r="X983">
        <f>IF(ABS(W983)&gt;1E-12,((LTP3!$D$6)*((P983)*(Q983)-(R983)*(R983))-(S983)*((U983)*(Q983)-(R983)*(V983))+(T983)*((U983)*(R983)-(P983)*(V983)))/W983,0)</f>
        <v/>
      </c>
      <c r="Y983">
        <f>IF(ABS(W983)&gt;1E-12,((LTP3!$D$5)*((U983)*(Q983)-(R983)*(V983))-(LTP3!$D$6)*((S983)*(Q983)-(R983)*(T983))+(T983)*((S983)*(V983)-(U983)*(T983)))/W983,0)</f>
        <v/>
      </c>
      <c r="Z983">
        <f>IF(ABS(W983)&gt;1E-12,((LTP3!$D$5)*((P983)*(V983)-(U983)*(R983))-(S983)*((S983)*(V983)-(U983)*(T983))+(LTP3!$D$6)*((S983)*(R983)-(P983)*(T983)))/W983,0)</f>
        <v/>
      </c>
      <c r="AA983">
        <f>LTP3!$D$7-X983*LTP3!$D$6-Y983*U983-Z983*V983</f>
        <v/>
      </c>
      <c r="AB983">
        <f>IF(AND(F983,ABS(W983)&gt;1E-12,Y983&gt;0,Z983&gt;0),AA983,1E+300)</f>
        <v/>
      </c>
    </row>
    <row r="984">
      <c r="A984">
        <f>$B$3+$B$5*15</f>
        <v/>
      </c>
      <c r="B984">
        <f>$B$3+$B$5*57</f>
        <v/>
      </c>
      <c r="C984">
        <f>SUMPRODUCT(Calc!$K$3:$K$22*(Calc!$G$3:$G$22&lt;=A984))</f>
        <v/>
      </c>
      <c r="D984">
        <f>SUMPRODUCT(Calc!$K$3:$K$22*(Calc!$G$3:$G$22&gt;A984)*(Calc!$G$3:$G$22&lt;B984))</f>
        <v/>
      </c>
      <c r="E984">
        <f>SUMPRODUCT(Calc!$K$3:$K$22*(Calc!$G$3:$G$22&gt;=B984))</f>
        <v/>
      </c>
      <c r="F984">
        <f>AND(k_n&gt;=5,B984&gt;A984+1E-9,C984&gt;=2,D984&gt;=1,E984&gt;=2)</f>
        <v/>
      </c>
      <c r="G984">
        <f>SUMPRODUCT(Calc!$K$3:$K$22*(Calc!$G$3:$G$22&gt;A984)*(Calc!$G$3:$G$22-A984))</f>
        <v/>
      </c>
      <c r="H984">
        <f>SUMPRODUCT(Calc!$K$3:$K$22*(Calc!$G$3:$G$22&gt;B984)*(Calc!$G$3:$G$22-B984))</f>
        <v/>
      </c>
      <c r="I984">
        <f>SUMPRODUCT(Calc!$K$3:$K$22*(Calc!$G$3:$G$22&gt;A984)*(Calc!$G$3:$G$22-A984)^2)</f>
        <v/>
      </c>
      <c r="J984">
        <f>SUMPRODUCT(Calc!$K$3:$K$22*(Calc!$G$3:$G$22&gt;B984)*(Calc!$G$3:$G$22-B984)^2)</f>
        <v/>
      </c>
      <c r="K984">
        <f>SUMPRODUCT(Calc!$K$3:$K$22*(Calc!$G$3:$G$22&gt;A984)*(Calc!$G$3:$G$22-A984)*(Calc!$G$3:$G$22&gt;B984)*(Calc!$G$3:$G$22-B984))</f>
        <v/>
      </c>
      <c r="L984">
        <f>SUMPRODUCT(Calc!$K$3:$K$22*(Calc!$G$3:$G$22&gt;A984)*(Calc!$G$3:$G$22-A984)*Calc!$G$3:$G$22)</f>
        <v/>
      </c>
      <c r="M984">
        <f>SUMPRODUCT(Calc!$K$3:$K$22*(Calc!$G$3:$G$22&gt;B984)*(Calc!$G$3:$G$22-B984)*Calc!$G$3:$G$22)</f>
        <v/>
      </c>
      <c r="N984">
        <f>SUMPRODUCT(Calc!$K$3:$K$22*(Calc!$G$3:$G$22&gt;A984)*(Calc!$G$3:$G$22-A984)*Calc!$I$3:$I$22)</f>
        <v/>
      </c>
      <c r="O984">
        <f>SUMPRODUCT(Calc!$K$3:$K$22*(Calc!$G$3:$G$22&gt;B984)*(Calc!$G$3:$G$22-B984)*Calc!$I$3:$I$22)</f>
        <v/>
      </c>
      <c r="P984">
        <f>I984-G984^2/k_n</f>
        <v/>
      </c>
      <c r="Q984">
        <f>J984-H984^2/k_n</f>
        <v/>
      </c>
      <c r="R984">
        <f>K984-G984*H984/k_n</f>
        <v/>
      </c>
      <c r="S984">
        <f>L984-LTP3!$D$3*G984/k_n</f>
        <v/>
      </c>
      <c r="T984">
        <f>M984-LTP3!$D$3*H984/k_n</f>
        <v/>
      </c>
      <c r="U984">
        <f>N984-G984*LTP3!$D$4/k_n</f>
        <v/>
      </c>
      <c r="V984">
        <f>O984-H984*LTP3!$D$4/k_n</f>
        <v/>
      </c>
      <c r="W984">
        <f>((LTP3!$D$5)*((P984)*(Q984)-(R984)*(R984))-(S984)*((S984)*(Q984)-(R984)*(T984))+(T984)*((S984)*(R984)-(P984)*(T984)))</f>
        <v/>
      </c>
      <c r="X984">
        <f>IF(ABS(W984)&gt;1E-12,((LTP3!$D$6)*((P984)*(Q984)-(R984)*(R984))-(S984)*((U984)*(Q984)-(R984)*(V984))+(T984)*((U984)*(R984)-(P984)*(V984)))/W984,0)</f>
        <v/>
      </c>
      <c r="Y984">
        <f>IF(ABS(W984)&gt;1E-12,((LTP3!$D$5)*((U984)*(Q984)-(R984)*(V984))-(LTP3!$D$6)*((S984)*(Q984)-(R984)*(T984))+(T984)*((S984)*(V984)-(U984)*(T984)))/W984,0)</f>
        <v/>
      </c>
      <c r="Z984">
        <f>IF(ABS(W984)&gt;1E-12,((LTP3!$D$5)*((P984)*(V984)-(U984)*(R984))-(S984)*((S984)*(V984)-(U984)*(T984))+(LTP3!$D$6)*((S984)*(R984)-(P984)*(T984)))/W984,0)</f>
        <v/>
      </c>
      <c r="AA984">
        <f>LTP3!$D$7-X984*LTP3!$D$6-Y984*U984-Z984*V984</f>
        <v/>
      </c>
      <c r="AB984">
        <f>IF(AND(F984,ABS(W984)&gt;1E-12,Y984&gt;0,Z984&gt;0),AA984,1E+300)</f>
        <v/>
      </c>
    </row>
    <row r="985">
      <c r="A985">
        <f>$B$3+$B$5*15</f>
        <v/>
      </c>
      <c r="B985">
        <f>$B$3+$B$5*58</f>
        <v/>
      </c>
      <c r="C985">
        <f>SUMPRODUCT(Calc!$K$3:$K$22*(Calc!$G$3:$G$22&lt;=A985))</f>
        <v/>
      </c>
      <c r="D985">
        <f>SUMPRODUCT(Calc!$K$3:$K$22*(Calc!$G$3:$G$22&gt;A985)*(Calc!$G$3:$G$22&lt;B985))</f>
        <v/>
      </c>
      <c r="E985">
        <f>SUMPRODUCT(Calc!$K$3:$K$22*(Calc!$G$3:$G$22&gt;=B985))</f>
        <v/>
      </c>
      <c r="F985">
        <f>AND(k_n&gt;=5,B985&gt;A985+1E-9,C985&gt;=2,D985&gt;=1,E985&gt;=2)</f>
        <v/>
      </c>
      <c r="G985">
        <f>SUMPRODUCT(Calc!$K$3:$K$22*(Calc!$G$3:$G$22&gt;A985)*(Calc!$G$3:$G$22-A985))</f>
        <v/>
      </c>
      <c r="H985">
        <f>SUMPRODUCT(Calc!$K$3:$K$22*(Calc!$G$3:$G$22&gt;B985)*(Calc!$G$3:$G$22-B985))</f>
        <v/>
      </c>
      <c r="I985">
        <f>SUMPRODUCT(Calc!$K$3:$K$22*(Calc!$G$3:$G$22&gt;A985)*(Calc!$G$3:$G$22-A985)^2)</f>
        <v/>
      </c>
      <c r="J985">
        <f>SUMPRODUCT(Calc!$K$3:$K$22*(Calc!$G$3:$G$22&gt;B985)*(Calc!$G$3:$G$22-B985)^2)</f>
        <v/>
      </c>
      <c r="K985">
        <f>SUMPRODUCT(Calc!$K$3:$K$22*(Calc!$G$3:$G$22&gt;A985)*(Calc!$G$3:$G$22-A985)*(Calc!$G$3:$G$22&gt;B985)*(Calc!$G$3:$G$22-B985))</f>
        <v/>
      </c>
      <c r="L985">
        <f>SUMPRODUCT(Calc!$K$3:$K$22*(Calc!$G$3:$G$22&gt;A985)*(Calc!$G$3:$G$22-A985)*Calc!$G$3:$G$22)</f>
        <v/>
      </c>
      <c r="M985">
        <f>SUMPRODUCT(Calc!$K$3:$K$22*(Calc!$G$3:$G$22&gt;B985)*(Calc!$G$3:$G$22-B985)*Calc!$G$3:$G$22)</f>
        <v/>
      </c>
      <c r="N985">
        <f>SUMPRODUCT(Calc!$K$3:$K$22*(Calc!$G$3:$G$22&gt;A985)*(Calc!$G$3:$G$22-A985)*Calc!$I$3:$I$22)</f>
        <v/>
      </c>
      <c r="O985">
        <f>SUMPRODUCT(Calc!$K$3:$K$22*(Calc!$G$3:$G$22&gt;B985)*(Calc!$G$3:$G$22-B985)*Calc!$I$3:$I$22)</f>
        <v/>
      </c>
      <c r="P985">
        <f>I985-G985^2/k_n</f>
        <v/>
      </c>
      <c r="Q985">
        <f>J985-H985^2/k_n</f>
        <v/>
      </c>
      <c r="R985">
        <f>K985-G985*H985/k_n</f>
        <v/>
      </c>
      <c r="S985">
        <f>L985-LTP3!$D$3*G985/k_n</f>
        <v/>
      </c>
      <c r="T985">
        <f>M985-LTP3!$D$3*H985/k_n</f>
        <v/>
      </c>
      <c r="U985">
        <f>N985-G985*LTP3!$D$4/k_n</f>
        <v/>
      </c>
      <c r="V985">
        <f>O985-H985*LTP3!$D$4/k_n</f>
        <v/>
      </c>
      <c r="W985">
        <f>((LTP3!$D$5)*((P985)*(Q985)-(R985)*(R985))-(S985)*((S985)*(Q985)-(R985)*(T985))+(T985)*((S985)*(R985)-(P985)*(T985)))</f>
        <v/>
      </c>
      <c r="X985">
        <f>IF(ABS(W985)&gt;1E-12,((LTP3!$D$6)*((P985)*(Q985)-(R985)*(R985))-(S985)*((U985)*(Q985)-(R985)*(V985))+(T985)*((U985)*(R985)-(P985)*(V985)))/W985,0)</f>
        <v/>
      </c>
      <c r="Y985">
        <f>IF(ABS(W985)&gt;1E-12,((LTP3!$D$5)*((U985)*(Q985)-(R985)*(V985))-(LTP3!$D$6)*((S985)*(Q985)-(R985)*(T985))+(T985)*((S985)*(V985)-(U985)*(T985)))/W985,0)</f>
        <v/>
      </c>
      <c r="Z985">
        <f>IF(ABS(W985)&gt;1E-12,((LTP3!$D$5)*((P985)*(V985)-(U985)*(R985))-(S985)*((S985)*(V985)-(U985)*(T985))+(LTP3!$D$6)*((S985)*(R985)-(P985)*(T985)))/W985,0)</f>
        <v/>
      </c>
      <c r="AA985">
        <f>LTP3!$D$7-X985*LTP3!$D$6-Y985*U985-Z985*V985</f>
        <v/>
      </c>
      <c r="AB985">
        <f>IF(AND(F985,ABS(W985)&gt;1E-12,Y985&gt;0,Z985&gt;0),AA985,1E+300)</f>
        <v/>
      </c>
    </row>
    <row r="986">
      <c r="A986">
        <f>$B$3+$B$5*15</f>
        <v/>
      </c>
      <c r="B986">
        <f>$B$3+$B$5*59</f>
        <v/>
      </c>
      <c r="C986">
        <f>SUMPRODUCT(Calc!$K$3:$K$22*(Calc!$G$3:$G$22&lt;=A986))</f>
        <v/>
      </c>
      <c r="D986">
        <f>SUMPRODUCT(Calc!$K$3:$K$22*(Calc!$G$3:$G$22&gt;A986)*(Calc!$G$3:$G$22&lt;B986))</f>
        <v/>
      </c>
      <c r="E986">
        <f>SUMPRODUCT(Calc!$K$3:$K$22*(Calc!$G$3:$G$22&gt;=B986))</f>
        <v/>
      </c>
      <c r="F986">
        <f>AND(k_n&gt;=5,B986&gt;A986+1E-9,C986&gt;=2,D986&gt;=1,E986&gt;=2)</f>
        <v/>
      </c>
      <c r="G986">
        <f>SUMPRODUCT(Calc!$K$3:$K$22*(Calc!$G$3:$G$22&gt;A986)*(Calc!$G$3:$G$22-A986))</f>
        <v/>
      </c>
      <c r="H986">
        <f>SUMPRODUCT(Calc!$K$3:$K$22*(Calc!$G$3:$G$22&gt;B986)*(Calc!$G$3:$G$22-B986))</f>
        <v/>
      </c>
      <c r="I986">
        <f>SUMPRODUCT(Calc!$K$3:$K$22*(Calc!$G$3:$G$22&gt;A986)*(Calc!$G$3:$G$22-A986)^2)</f>
        <v/>
      </c>
      <c r="J986">
        <f>SUMPRODUCT(Calc!$K$3:$K$22*(Calc!$G$3:$G$22&gt;B986)*(Calc!$G$3:$G$22-B986)^2)</f>
        <v/>
      </c>
      <c r="K986">
        <f>SUMPRODUCT(Calc!$K$3:$K$22*(Calc!$G$3:$G$22&gt;A986)*(Calc!$G$3:$G$22-A986)*(Calc!$G$3:$G$22&gt;B986)*(Calc!$G$3:$G$22-B986))</f>
        <v/>
      </c>
      <c r="L986">
        <f>SUMPRODUCT(Calc!$K$3:$K$22*(Calc!$G$3:$G$22&gt;A986)*(Calc!$G$3:$G$22-A986)*Calc!$G$3:$G$22)</f>
        <v/>
      </c>
      <c r="M986">
        <f>SUMPRODUCT(Calc!$K$3:$K$22*(Calc!$G$3:$G$22&gt;B986)*(Calc!$G$3:$G$22-B986)*Calc!$G$3:$G$22)</f>
        <v/>
      </c>
      <c r="N986">
        <f>SUMPRODUCT(Calc!$K$3:$K$22*(Calc!$G$3:$G$22&gt;A986)*(Calc!$G$3:$G$22-A986)*Calc!$I$3:$I$22)</f>
        <v/>
      </c>
      <c r="O986">
        <f>SUMPRODUCT(Calc!$K$3:$K$22*(Calc!$G$3:$G$22&gt;B986)*(Calc!$G$3:$G$22-B986)*Calc!$I$3:$I$22)</f>
        <v/>
      </c>
      <c r="P986">
        <f>I986-G986^2/k_n</f>
        <v/>
      </c>
      <c r="Q986">
        <f>J986-H986^2/k_n</f>
        <v/>
      </c>
      <c r="R986">
        <f>K986-G986*H986/k_n</f>
        <v/>
      </c>
      <c r="S986">
        <f>L986-LTP3!$D$3*G986/k_n</f>
        <v/>
      </c>
      <c r="T986">
        <f>M986-LTP3!$D$3*H986/k_n</f>
        <v/>
      </c>
      <c r="U986">
        <f>N986-G986*LTP3!$D$4/k_n</f>
        <v/>
      </c>
      <c r="V986">
        <f>O986-H986*LTP3!$D$4/k_n</f>
        <v/>
      </c>
      <c r="W986">
        <f>((LTP3!$D$5)*((P986)*(Q986)-(R986)*(R986))-(S986)*((S986)*(Q986)-(R986)*(T986))+(T986)*((S986)*(R986)-(P986)*(T986)))</f>
        <v/>
      </c>
      <c r="X986">
        <f>IF(ABS(W986)&gt;1E-12,((LTP3!$D$6)*((P986)*(Q986)-(R986)*(R986))-(S986)*((U986)*(Q986)-(R986)*(V986))+(T986)*((U986)*(R986)-(P986)*(V986)))/W986,0)</f>
        <v/>
      </c>
      <c r="Y986">
        <f>IF(ABS(W986)&gt;1E-12,((LTP3!$D$5)*((U986)*(Q986)-(R986)*(V986))-(LTP3!$D$6)*((S986)*(Q986)-(R986)*(T986))+(T986)*((S986)*(V986)-(U986)*(T986)))/W986,0)</f>
        <v/>
      </c>
      <c r="Z986">
        <f>IF(ABS(W986)&gt;1E-12,((LTP3!$D$5)*((P986)*(V986)-(U986)*(R986))-(S986)*((S986)*(V986)-(U986)*(T986))+(LTP3!$D$6)*((S986)*(R986)-(P986)*(T986)))/W986,0)</f>
        <v/>
      </c>
      <c r="AA986">
        <f>LTP3!$D$7-X986*LTP3!$D$6-Y986*U986-Z986*V986</f>
        <v/>
      </c>
      <c r="AB986">
        <f>IF(AND(F986,ABS(W986)&gt;1E-12,Y986&gt;0,Z986&gt;0),AA986,1E+300)</f>
        <v/>
      </c>
    </row>
    <row r="987">
      <c r="A987">
        <f>$B$3+$B$5*15</f>
        <v/>
      </c>
      <c r="B987">
        <f>$B$3+$B$5*60</f>
        <v/>
      </c>
      <c r="C987">
        <f>SUMPRODUCT(Calc!$K$3:$K$22*(Calc!$G$3:$G$22&lt;=A987))</f>
        <v/>
      </c>
      <c r="D987">
        <f>SUMPRODUCT(Calc!$K$3:$K$22*(Calc!$G$3:$G$22&gt;A987)*(Calc!$G$3:$G$22&lt;B987))</f>
        <v/>
      </c>
      <c r="E987">
        <f>SUMPRODUCT(Calc!$K$3:$K$22*(Calc!$G$3:$G$22&gt;=B987))</f>
        <v/>
      </c>
      <c r="F987">
        <f>AND(k_n&gt;=5,B987&gt;A987+1E-9,C987&gt;=2,D987&gt;=1,E987&gt;=2)</f>
        <v/>
      </c>
      <c r="G987">
        <f>SUMPRODUCT(Calc!$K$3:$K$22*(Calc!$G$3:$G$22&gt;A987)*(Calc!$G$3:$G$22-A987))</f>
        <v/>
      </c>
      <c r="H987">
        <f>SUMPRODUCT(Calc!$K$3:$K$22*(Calc!$G$3:$G$22&gt;B987)*(Calc!$G$3:$G$22-B987))</f>
        <v/>
      </c>
      <c r="I987">
        <f>SUMPRODUCT(Calc!$K$3:$K$22*(Calc!$G$3:$G$22&gt;A987)*(Calc!$G$3:$G$22-A987)^2)</f>
        <v/>
      </c>
      <c r="J987">
        <f>SUMPRODUCT(Calc!$K$3:$K$22*(Calc!$G$3:$G$22&gt;B987)*(Calc!$G$3:$G$22-B987)^2)</f>
        <v/>
      </c>
      <c r="K987">
        <f>SUMPRODUCT(Calc!$K$3:$K$22*(Calc!$G$3:$G$22&gt;A987)*(Calc!$G$3:$G$22-A987)*(Calc!$G$3:$G$22&gt;B987)*(Calc!$G$3:$G$22-B987))</f>
        <v/>
      </c>
      <c r="L987">
        <f>SUMPRODUCT(Calc!$K$3:$K$22*(Calc!$G$3:$G$22&gt;A987)*(Calc!$G$3:$G$22-A987)*Calc!$G$3:$G$22)</f>
        <v/>
      </c>
      <c r="M987">
        <f>SUMPRODUCT(Calc!$K$3:$K$22*(Calc!$G$3:$G$22&gt;B987)*(Calc!$G$3:$G$22-B987)*Calc!$G$3:$G$22)</f>
        <v/>
      </c>
      <c r="N987">
        <f>SUMPRODUCT(Calc!$K$3:$K$22*(Calc!$G$3:$G$22&gt;A987)*(Calc!$G$3:$G$22-A987)*Calc!$I$3:$I$22)</f>
        <v/>
      </c>
      <c r="O987">
        <f>SUMPRODUCT(Calc!$K$3:$K$22*(Calc!$G$3:$G$22&gt;B987)*(Calc!$G$3:$G$22-B987)*Calc!$I$3:$I$22)</f>
        <v/>
      </c>
      <c r="P987">
        <f>I987-G987^2/k_n</f>
        <v/>
      </c>
      <c r="Q987">
        <f>J987-H987^2/k_n</f>
        <v/>
      </c>
      <c r="R987">
        <f>K987-G987*H987/k_n</f>
        <v/>
      </c>
      <c r="S987">
        <f>L987-LTP3!$D$3*G987/k_n</f>
        <v/>
      </c>
      <c r="T987">
        <f>M987-LTP3!$D$3*H987/k_n</f>
        <v/>
      </c>
      <c r="U987">
        <f>N987-G987*LTP3!$D$4/k_n</f>
        <v/>
      </c>
      <c r="V987">
        <f>O987-H987*LTP3!$D$4/k_n</f>
        <v/>
      </c>
      <c r="W987">
        <f>((LTP3!$D$5)*((P987)*(Q987)-(R987)*(R987))-(S987)*((S987)*(Q987)-(R987)*(T987))+(T987)*((S987)*(R987)-(P987)*(T987)))</f>
        <v/>
      </c>
      <c r="X987">
        <f>IF(ABS(W987)&gt;1E-12,((LTP3!$D$6)*((P987)*(Q987)-(R987)*(R987))-(S987)*((U987)*(Q987)-(R987)*(V987))+(T987)*((U987)*(R987)-(P987)*(V987)))/W987,0)</f>
        <v/>
      </c>
      <c r="Y987">
        <f>IF(ABS(W987)&gt;1E-12,((LTP3!$D$5)*((U987)*(Q987)-(R987)*(V987))-(LTP3!$D$6)*((S987)*(Q987)-(R987)*(T987))+(T987)*((S987)*(V987)-(U987)*(T987)))/W987,0)</f>
        <v/>
      </c>
      <c r="Z987">
        <f>IF(ABS(W987)&gt;1E-12,((LTP3!$D$5)*((P987)*(V987)-(U987)*(R987))-(S987)*((S987)*(V987)-(U987)*(T987))+(LTP3!$D$6)*((S987)*(R987)-(P987)*(T987)))/W987,0)</f>
        <v/>
      </c>
      <c r="AA987">
        <f>LTP3!$D$7-X987*LTP3!$D$6-Y987*U987-Z987*V987</f>
        <v/>
      </c>
      <c r="AB987">
        <f>IF(AND(F987,ABS(W987)&gt;1E-12,Y987&gt;0,Z987&gt;0),AA987,1E+300)</f>
        <v/>
      </c>
    </row>
    <row r="988">
      <c r="A988">
        <f>$B$3+$B$5*16</f>
        <v/>
      </c>
      <c r="B988">
        <f>$B$3+$B$5*0</f>
        <v/>
      </c>
      <c r="C988">
        <f>SUMPRODUCT(Calc!$K$3:$K$22*(Calc!$G$3:$G$22&lt;=A988))</f>
        <v/>
      </c>
      <c r="D988">
        <f>SUMPRODUCT(Calc!$K$3:$K$22*(Calc!$G$3:$G$22&gt;A988)*(Calc!$G$3:$G$22&lt;B988))</f>
        <v/>
      </c>
      <c r="E988">
        <f>SUMPRODUCT(Calc!$K$3:$K$22*(Calc!$G$3:$G$22&gt;=B988))</f>
        <v/>
      </c>
      <c r="F988">
        <f>AND(k_n&gt;=5,B988&gt;A988+1E-9,C988&gt;=2,D988&gt;=1,E988&gt;=2)</f>
        <v/>
      </c>
      <c r="G988">
        <f>SUMPRODUCT(Calc!$K$3:$K$22*(Calc!$G$3:$G$22&gt;A988)*(Calc!$G$3:$G$22-A988))</f>
        <v/>
      </c>
      <c r="H988">
        <f>SUMPRODUCT(Calc!$K$3:$K$22*(Calc!$G$3:$G$22&gt;B988)*(Calc!$G$3:$G$22-B988))</f>
        <v/>
      </c>
      <c r="I988">
        <f>SUMPRODUCT(Calc!$K$3:$K$22*(Calc!$G$3:$G$22&gt;A988)*(Calc!$G$3:$G$22-A988)^2)</f>
        <v/>
      </c>
      <c r="J988">
        <f>SUMPRODUCT(Calc!$K$3:$K$22*(Calc!$G$3:$G$22&gt;B988)*(Calc!$G$3:$G$22-B988)^2)</f>
        <v/>
      </c>
      <c r="K988">
        <f>SUMPRODUCT(Calc!$K$3:$K$22*(Calc!$G$3:$G$22&gt;A988)*(Calc!$G$3:$G$22-A988)*(Calc!$G$3:$G$22&gt;B988)*(Calc!$G$3:$G$22-B988))</f>
        <v/>
      </c>
      <c r="L988">
        <f>SUMPRODUCT(Calc!$K$3:$K$22*(Calc!$G$3:$G$22&gt;A988)*(Calc!$G$3:$G$22-A988)*Calc!$G$3:$G$22)</f>
        <v/>
      </c>
      <c r="M988">
        <f>SUMPRODUCT(Calc!$K$3:$K$22*(Calc!$G$3:$G$22&gt;B988)*(Calc!$G$3:$G$22-B988)*Calc!$G$3:$G$22)</f>
        <v/>
      </c>
      <c r="N988">
        <f>SUMPRODUCT(Calc!$K$3:$K$22*(Calc!$G$3:$G$22&gt;A988)*(Calc!$G$3:$G$22-A988)*Calc!$I$3:$I$22)</f>
        <v/>
      </c>
      <c r="O988">
        <f>SUMPRODUCT(Calc!$K$3:$K$22*(Calc!$G$3:$G$22&gt;B988)*(Calc!$G$3:$G$22-B988)*Calc!$I$3:$I$22)</f>
        <v/>
      </c>
      <c r="P988">
        <f>I988-G988^2/k_n</f>
        <v/>
      </c>
      <c r="Q988">
        <f>J988-H988^2/k_n</f>
        <v/>
      </c>
      <c r="R988">
        <f>K988-G988*H988/k_n</f>
        <v/>
      </c>
      <c r="S988">
        <f>L988-LTP3!$D$3*G988/k_n</f>
        <v/>
      </c>
      <c r="T988">
        <f>M988-LTP3!$D$3*H988/k_n</f>
        <v/>
      </c>
      <c r="U988">
        <f>N988-G988*LTP3!$D$4/k_n</f>
        <v/>
      </c>
      <c r="V988">
        <f>O988-H988*LTP3!$D$4/k_n</f>
        <v/>
      </c>
      <c r="W988">
        <f>((LTP3!$D$5)*((P988)*(Q988)-(R988)*(R988))-(S988)*((S988)*(Q988)-(R988)*(T988))+(T988)*((S988)*(R988)-(P988)*(T988)))</f>
        <v/>
      </c>
      <c r="X988">
        <f>IF(ABS(W988)&gt;1E-12,((LTP3!$D$6)*((P988)*(Q988)-(R988)*(R988))-(S988)*((U988)*(Q988)-(R988)*(V988))+(T988)*((U988)*(R988)-(P988)*(V988)))/W988,0)</f>
        <v/>
      </c>
      <c r="Y988">
        <f>IF(ABS(W988)&gt;1E-12,((LTP3!$D$5)*((U988)*(Q988)-(R988)*(V988))-(LTP3!$D$6)*((S988)*(Q988)-(R988)*(T988))+(T988)*((S988)*(V988)-(U988)*(T988)))/W988,0)</f>
        <v/>
      </c>
      <c r="Z988">
        <f>IF(ABS(W988)&gt;1E-12,((LTP3!$D$5)*((P988)*(V988)-(U988)*(R988))-(S988)*((S988)*(V988)-(U988)*(T988))+(LTP3!$D$6)*((S988)*(R988)-(P988)*(T988)))/W988,0)</f>
        <v/>
      </c>
      <c r="AA988">
        <f>LTP3!$D$7-X988*LTP3!$D$6-Y988*U988-Z988*V988</f>
        <v/>
      </c>
      <c r="AB988">
        <f>IF(AND(F988,ABS(W988)&gt;1E-12,Y988&gt;0,Z988&gt;0),AA988,1E+300)</f>
        <v/>
      </c>
    </row>
    <row r="989">
      <c r="A989">
        <f>$B$3+$B$5*16</f>
        <v/>
      </c>
      <c r="B989">
        <f>$B$3+$B$5*1</f>
        <v/>
      </c>
      <c r="C989">
        <f>SUMPRODUCT(Calc!$K$3:$K$22*(Calc!$G$3:$G$22&lt;=A989))</f>
        <v/>
      </c>
      <c r="D989">
        <f>SUMPRODUCT(Calc!$K$3:$K$22*(Calc!$G$3:$G$22&gt;A989)*(Calc!$G$3:$G$22&lt;B989))</f>
        <v/>
      </c>
      <c r="E989">
        <f>SUMPRODUCT(Calc!$K$3:$K$22*(Calc!$G$3:$G$22&gt;=B989))</f>
        <v/>
      </c>
      <c r="F989">
        <f>AND(k_n&gt;=5,B989&gt;A989+1E-9,C989&gt;=2,D989&gt;=1,E989&gt;=2)</f>
        <v/>
      </c>
      <c r="G989">
        <f>SUMPRODUCT(Calc!$K$3:$K$22*(Calc!$G$3:$G$22&gt;A989)*(Calc!$G$3:$G$22-A989))</f>
        <v/>
      </c>
      <c r="H989">
        <f>SUMPRODUCT(Calc!$K$3:$K$22*(Calc!$G$3:$G$22&gt;B989)*(Calc!$G$3:$G$22-B989))</f>
        <v/>
      </c>
      <c r="I989">
        <f>SUMPRODUCT(Calc!$K$3:$K$22*(Calc!$G$3:$G$22&gt;A989)*(Calc!$G$3:$G$22-A989)^2)</f>
        <v/>
      </c>
      <c r="J989">
        <f>SUMPRODUCT(Calc!$K$3:$K$22*(Calc!$G$3:$G$22&gt;B989)*(Calc!$G$3:$G$22-B989)^2)</f>
        <v/>
      </c>
      <c r="K989">
        <f>SUMPRODUCT(Calc!$K$3:$K$22*(Calc!$G$3:$G$22&gt;A989)*(Calc!$G$3:$G$22-A989)*(Calc!$G$3:$G$22&gt;B989)*(Calc!$G$3:$G$22-B989))</f>
        <v/>
      </c>
      <c r="L989">
        <f>SUMPRODUCT(Calc!$K$3:$K$22*(Calc!$G$3:$G$22&gt;A989)*(Calc!$G$3:$G$22-A989)*Calc!$G$3:$G$22)</f>
        <v/>
      </c>
      <c r="M989">
        <f>SUMPRODUCT(Calc!$K$3:$K$22*(Calc!$G$3:$G$22&gt;B989)*(Calc!$G$3:$G$22-B989)*Calc!$G$3:$G$22)</f>
        <v/>
      </c>
      <c r="N989">
        <f>SUMPRODUCT(Calc!$K$3:$K$22*(Calc!$G$3:$G$22&gt;A989)*(Calc!$G$3:$G$22-A989)*Calc!$I$3:$I$22)</f>
        <v/>
      </c>
      <c r="O989">
        <f>SUMPRODUCT(Calc!$K$3:$K$22*(Calc!$G$3:$G$22&gt;B989)*(Calc!$G$3:$G$22-B989)*Calc!$I$3:$I$22)</f>
        <v/>
      </c>
      <c r="P989">
        <f>I989-G989^2/k_n</f>
        <v/>
      </c>
      <c r="Q989">
        <f>J989-H989^2/k_n</f>
        <v/>
      </c>
      <c r="R989">
        <f>K989-G989*H989/k_n</f>
        <v/>
      </c>
      <c r="S989">
        <f>L989-LTP3!$D$3*G989/k_n</f>
        <v/>
      </c>
      <c r="T989">
        <f>M989-LTP3!$D$3*H989/k_n</f>
        <v/>
      </c>
      <c r="U989">
        <f>N989-G989*LTP3!$D$4/k_n</f>
        <v/>
      </c>
      <c r="V989">
        <f>O989-H989*LTP3!$D$4/k_n</f>
        <v/>
      </c>
      <c r="W989">
        <f>((LTP3!$D$5)*((P989)*(Q989)-(R989)*(R989))-(S989)*((S989)*(Q989)-(R989)*(T989))+(T989)*((S989)*(R989)-(P989)*(T989)))</f>
        <v/>
      </c>
      <c r="X989">
        <f>IF(ABS(W989)&gt;1E-12,((LTP3!$D$6)*((P989)*(Q989)-(R989)*(R989))-(S989)*((U989)*(Q989)-(R989)*(V989))+(T989)*((U989)*(R989)-(P989)*(V989)))/W989,0)</f>
        <v/>
      </c>
      <c r="Y989">
        <f>IF(ABS(W989)&gt;1E-12,((LTP3!$D$5)*((U989)*(Q989)-(R989)*(V989))-(LTP3!$D$6)*((S989)*(Q989)-(R989)*(T989))+(T989)*((S989)*(V989)-(U989)*(T989)))/W989,0)</f>
        <v/>
      </c>
      <c r="Z989">
        <f>IF(ABS(W989)&gt;1E-12,((LTP3!$D$5)*((P989)*(V989)-(U989)*(R989))-(S989)*((S989)*(V989)-(U989)*(T989))+(LTP3!$D$6)*((S989)*(R989)-(P989)*(T989)))/W989,0)</f>
        <v/>
      </c>
      <c r="AA989">
        <f>LTP3!$D$7-X989*LTP3!$D$6-Y989*U989-Z989*V989</f>
        <v/>
      </c>
      <c r="AB989">
        <f>IF(AND(F989,ABS(W989)&gt;1E-12,Y989&gt;0,Z989&gt;0),AA989,1E+300)</f>
        <v/>
      </c>
    </row>
    <row r="990">
      <c r="A990">
        <f>$B$3+$B$5*16</f>
        <v/>
      </c>
      <c r="B990">
        <f>$B$3+$B$5*2</f>
        <v/>
      </c>
      <c r="C990">
        <f>SUMPRODUCT(Calc!$K$3:$K$22*(Calc!$G$3:$G$22&lt;=A990))</f>
        <v/>
      </c>
      <c r="D990">
        <f>SUMPRODUCT(Calc!$K$3:$K$22*(Calc!$G$3:$G$22&gt;A990)*(Calc!$G$3:$G$22&lt;B990))</f>
        <v/>
      </c>
      <c r="E990">
        <f>SUMPRODUCT(Calc!$K$3:$K$22*(Calc!$G$3:$G$22&gt;=B990))</f>
        <v/>
      </c>
      <c r="F990">
        <f>AND(k_n&gt;=5,B990&gt;A990+1E-9,C990&gt;=2,D990&gt;=1,E990&gt;=2)</f>
        <v/>
      </c>
      <c r="G990">
        <f>SUMPRODUCT(Calc!$K$3:$K$22*(Calc!$G$3:$G$22&gt;A990)*(Calc!$G$3:$G$22-A990))</f>
        <v/>
      </c>
      <c r="H990">
        <f>SUMPRODUCT(Calc!$K$3:$K$22*(Calc!$G$3:$G$22&gt;B990)*(Calc!$G$3:$G$22-B990))</f>
        <v/>
      </c>
      <c r="I990">
        <f>SUMPRODUCT(Calc!$K$3:$K$22*(Calc!$G$3:$G$22&gt;A990)*(Calc!$G$3:$G$22-A990)^2)</f>
        <v/>
      </c>
      <c r="J990">
        <f>SUMPRODUCT(Calc!$K$3:$K$22*(Calc!$G$3:$G$22&gt;B990)*(Calc!$G$3:$G$22-B990)^2)</f>
        <v/>
      </c>
      <c r="K990">
        <f>SUMPRODUCT(Calc!$K$3:$K$22*(Calc!$G$3:$G$22&gt;A990)*(Calc!$G$3:$G$22-A990)*(Calc!$G$3:$G$22&gt;B990)*(Calc!$G$3:$G$22-B990))</f>
        <v/>
      </c>
      <c r="L990">
        <f>SUMPRODUCT(Calc!$K$3:$K$22*(Calc!$G$3:$G$22&gt;A990)*(Calc!$G$3:$G$22-A990)*Calc!$G$3:$G$22)</f>
        <v/>
      </c>
      <c r="M990">
        <f>SUMPRODUCT(Calc!$K$3:$K$22*(Calc!$G$3:$G$22&gt;B990)*(Calc!$G$3:$G$22-B990)*Calc!$G$3:$G$22)</f>
        <v/>
      </c>
      <c r="N990">
        <f>SUMPRODUCT(Calc!$K$3:$K$22*(Calc!$G$3:$G$22&gt;A990)*(Calc!$G$3:$G$22-A990)*Calc!$I$3:$I$22)</f>
        <v/>
      </c>
      <c r="O990">
        <f>SUMPRODUCT(Calc!$K$3:$K$22*(Calc!$G$3:$G$22&gt;B990)*(Calc!$G$3:$G$22-B990)*Calc!$I$3:$I$22)</f>
        <v/>
      </c>
      <c r="P990">
        <f>I990-G990^2/k_n</f>
        <v/>
      </c>
      <c r="Q990">
        <f>J990-H990^2/k_n</f>
        <v/>
      </c>
      <c r="R990">
        <f>K990-G990*H990/k_n</f>
        <v/>
      </c>
      <c r="S990">
        <f>L990-LTP3!$D$3*G990/k_n</f>
        <v/>
      </c>
      <c r="T990">
        <f>M990-LTP3!$D$3*H990/k_n</f>
        <v/>
      </c>
      <c r="U990">
        <f>N990-G990*LTP3!$D$4/k_n</f>
        <v/>
      </c>
      <c r="V990">
        <f>O990-H990*LTP3!$D$4/k_n</f>
        <v/>
      </c>
      <c r="W990">
        <f>((LTP3!$D$5)*((P990)*(Q990)-(R990)*(R990))-(S990)*((S990)*(Q990)-(R990)*(T990))+(T990)*((S990)*(R990)-(P990)*(T990)))</f>
        <v/>
      </c>
      <c r="X990">
        <f>IF(ABS(W990)&gt;1E-12,((LTP3!$D$6)*((P990)*(Q990)-(R990)*(R990))-(S990)*((U990)*(Q990)-(R990)*(V990))+(T990)*((U990)*(R990)-(P990)*(V990)))/W990,0)</f>
        <v/>
      </c>
      <c r="Y990">
        <f>IF(ABS(W990)&gt;1E-12,((LTP3!$D$5)*((U990)*(Q990)-(R990)*(V990))-(LTP3!$D$6)*((S990)*(Q990)-(R990)*(T990))+(T990)*((S990)*(V990)-(U990)*(T990)))/W990,0)</f>
        <v/>
      </c>
      <c r="Z990">
        <f>IF(ABS(W990)&gt;1E-12,((LTP3!$D$5)*((P990)*(V990)-(U990)*(R990))-(S990)*((S990)*(V990)-(U990)*(T990))+(LTP3!$D$6)*((S990)*(R990)-(P990)*(T990)))/W990,0)</f>
        <v/>
      </c>
      <c r="AA990">
        <f>LTP3!$D$7-X990*LTP3!$D$6-Y990*U990-Z990*V990</f>
        <v/>
      </c>
      <c r="AB990">
        <f>IF(AND(F990,ABS(W990)&gt;1E-12,Y990&gt;0,Z990&gt;0),AA990,1E+300)</f>
        <v/>
      </c>
    </row>
    <row r="991">
      <c r="A991">
        <f>$B$3+$B$5*16</f>
        <v/>
      </c>
      <c r="B991">
        <f>$B$3+$B$5*3</f>
        <v/>
      </c>
      <c r="C991">
        <f>SUMPRODUCT(Calc!$K$3:$K$22*(Calc!$G$3:$G$22&lt;=A991))</f>
        <v/>
      </c>
      <c r="D991">
        <f>SUMPRODUCT(Calc!$K$3:$K$22*(Calc!$G$3:$G$22&gt;A991)*(Calc!$G$3:$G$22&lt;B991))</f>
        <v/>
      </c>
      <c r="E991">
        <f>SUMPRODUCT(Calc!$K$3:$K$22*(Calc!$G$3:$G$22&gt;=B991))</f>
        <v/>
      </c>
      <c r="F991">
        <f>AND(k_n&gt;=5,B991&gt;A991+1E-9,C991&gt;=2,D991&gt;=1,E991&gt;=2)</f>
        <v/>
      </c>
      <c r="G991">
        <f>SUMPRODUCT(Calc!$K$3:$K$22*(Calc!$G$3:$G$22&gt;A991)*(Calc!$G$3:$G$22-A991))</f>
        <v/>
      </c>
      <c r="H991">
        <f>SUMPRODUCT(Calc!$K$3:$K$22*(Calc!$G$3:$G$22&gt;B991)*(Calc!$G$3:$G$22-B991))</f>
        <v/>
      </c>
      <c r="I991">
        <f>SUMPRODUCT(Calc!$K$3:$K$22*(Calc!$G$3:$G$22&gt;A991)*(Calc!$G$3:$G$22-A991)^2)</f>
        <v/>
      </c>
      <c r="J991">
        <f>SUMPRODUCT(Calc!$K$3:$K$22*(Calc!$G$3:$G$22&gt;B991)*(Calc!$G$3:$G$22-B991)^2)</f>
        <v/>
      </c>
      <c r="K991">
        <f>SUMPRODUCT(Calc!$K$3:$K$22*(Calc!$G$3:$G$22&gt;A991)*(Calc!$G$3:$G$22-A991)*(Calc!$G$3:$G$22&gt;B991)*(Calc!$G$3:$G$22-B991))</f>
        <v/>
      </c>
      <c r="L991">
        <f>SUMPRODUCT(Calc!$K$3:$K$22*(Calc!$G$3:$G$22&gt;A991)*(Calc!$G$3:$G$22-A991)*Calc!$G$3:$G$22)</f>
        <v/>
      </c>
      <c r="M991">
        <f>SUMPRODUCT(Calc!$K$3:$K$22*(Calc!$G$3:$G$22&gt;B991)*(Calc!$G$3:$G$22-B991)*Calc!$G$3:$G$22)</f>
        <v/>
      </c>
      <c r="N991">
        <f>SUMPRODUCT(Calc!$K$3:$K$22*(Calc!$G$3:$G$22&gt;A991)*(Calc!$G$3:$G$22-A991)*Calc!$I$3:$I$22)</f>
        <v/>
      </c>
      <c r="O991">
        <f>SUMPRODUCT(Calc!$K$3:$K$22*(Calc!$G$3:$G$22&gt;B991)*(Calc!$G$3:$G$22-B991)*Calc!$I$3:$I$22)</f>
        <v/>
      </c>
      <c r="P991">
        <f>I991-G991^2/k_n</f>
        <v/>
      </c>
      <c r="Q991">
        <f>J991-H991^2/k_n</f>
        <v/>
      </c>
      <c r="R991">
        <f>K991-G991*H991/k_n</f>
        <v/>
      </c>
      <c r="S991">
        <f>L991-LTP3!$D$3*G991/k_n</f>
        <v/>
      </c>
      <c r="T991">
        <f>M991-LTP3!$D$3*H991/k_n</f>
        <v/>
      </c>
      <c r="U991">
        <f>N991-G991*LTP3!$D$4/k_n</f>
        <v/>
      </c>
      <c r="V991">
        <f>O991-H991*LTP3!$D$4/k_n</f>
        <v/>
      </c>
      <c r="W991">
        <f>((LTP3!$D$5)*((P991)*(Q991)-(R991)*(R991))-(S991)*((S991)*(Q991)-(R991)*(T991))+(T991)*((S991)*(R991)-(P991)*(T991)))</f>
        <v/>
      </c>
      <c r="X991">
        <f>IF(ABS(W991)&gt;1E-12,((LTP3!$D$6)*((P991)*(Q991)-(R991)*(R991))-(S991)*((U991)*(Q991)-(R991)*(V991))+(T991)*((U991)*(R991)-(P991)*(V991)))/W991,0)</f>
        <v/>
      </c>
      <c r="Y991">
        <f>IF(ABS(W991)&gt;1E-12,((LTP3!$D$5)*((U991)*(Q991)-(R991)*(V991))-(LTP3!$D$6)*((S991)*(Q991)-(R991)*(T991))+(T991)*((S991)*(V991)-(U991)*(T991)))/W991,0)</f>
        <v/>
      </c>
      <c r="Z991">
        <f>IF(ABS(W991)&gt;1E-12,((LTP3!$D$5)*((P991)*(V991)-(U991)*(R991))-(S991)*((S991)*(V991)-(U991)*(T991))+(LTP3!$D$6)*((S991)*(R991)-(P991)*(T991)))/W991,0)</f>
        <v/>
      </c>
      <c r="AA991">
        <f>LTP3!$D$7-X991*LTP3!$D$6-Y991*U991-Z991*V991</f>
        <v/>
      </c>
      <c r="AB991">
        <f>IF(AND(F991,ABS(W991)&gt;1E-12,Y991&gt;0,Z991&gt;0),AA991,1E+300)</f>
        <v/>
      </c>
    </row>
    <row r="992">
      <c r="A992">
        <f>$B$3+$B$5*16</f>
        <v/>
      </c>
      <c r="B992">
        <f>$B$3+$B$5*4</f>
        <v/>
      </c>
      <c r="C992">
        <f>SUMPRODUCT(Calc!$K$3:$K$22*(Calc!$G$3:$G$22&lt;=A992))</f>
        <v/>
      </c>
      <c r="D992">
        <f>SUMPRODUCT(Calc!$K$3:$K$22*(Calc!$G$3:$G$22&gt;A992)*(Calc!$G$3:$G$22&lt;B992))</f>
        <v/>
      </c>
      <c r="E992">
        <f>SUMPRODUCT(Calc!$K$3:$K$22*(Calc!$G$3:$G$22&gt;=B992))</f>
        <v/>
      </c>
      <c r="F992">
        <f>AND(k_n&gt;=5,B992&gt;A992+1E-9,C992&gt;=2,D992&gt;=1,E992&gt;=2)</f>
        <v/>
      </c>
      <c r="G992">
        <f>SUMPRODUCT(Calc!$K$3:$K$22*(Calc!$G$3:$G$22&gt;A992)*(Calc!$G$3:$G$22-A992))</f>
        <v/>
      </c>
      <c r="H992">
        <f>SUMPRODUCT(Calc!$K$3:$K$22*(Calc!$G$3:$G$22&gt;B992)*(Calc!$G$3:$G$22-B992))</f>
        <v/>
      </c>
      <c r="I992">
        <f>SUMPRODUCT(Calc!$K$3:$K$22*(Calc!$G$3:$G$22&gt;A992)*(Calc!$G$3:$G$22-A992)^2)</f>
        <v/>
      </c>
      <c r="J992">
        <f>SUMPRODUCT(Calc!$K$3:$K$22*(Calc!$G$3:$G$22&gt;B992)*(Calc!$G$3:$G$22-B992)^2)</f>
        <v/>
      </c>
      <c r="K992">
        <f>SUMPRODUCT(Calc!$K$3:$K$22*(Calc!$G$3:$G$22&gt;A992)*(Calc!$G$3:$G$22-A992)*(Calc!$G$3:$G$22&gt;B992)*(Calc!$G$3:$G$22-B992))</f>
        <v/>
      </c>
      <c r="L992">
        <f>SUMPRODUCT(Calc!$K$3:$K$22*(Calc!$G$3:$G$22&gt;A992)*(Calc!$G$3:$G$22-A992)*Calc!$G$3:$G$22)</f>
        <v/>
      </c>
      <c r="M992">
        <f>SUMPRODUCT(Calc!$K$3:$K$22*(Calc!$G$3:$G$22&gt;B992)*(Calc!$G$3:$G$22-B992)*Calc!$G$3:$G$22)</f>
        <v/>
      </c>
      <c r="N992">
        <f>SUMPRODUCT(Calc!$K$3:$K$22*(Calc!$G$3:$G$22&gt;A992)*(Calc!$G$3:$G$22-A992)*Calc!$I$3:$I$22)</f>
        <v/>
      </c>
      <c r="O992">
        <f>SUMPRODUCT(Calc!$K$3:$K$22*(Calc!$G$3:$G$22&gt;B992)*(Calc!$G$3:$G$22-B992)*Calc!$I$3:$I$22)</f>
        <v/>
      </c>
      <c r="P992">
        <f>I992-G992^2/k_n</f>
        <v/>
      </c>
      <c r="Q992">
        <f>J992-H992^2/k_n</f>
        <v/>
      </c>
      <c r="R992">
        <f>K992-G992*H992/k_n</f>
        <v/>
      </c>
      <c r="S992">
        <f>L992-LTP3!$D$3*G992/k_n</f>
        <v/>
      </c>
      <c r="T992">
        <f>M992-LTP3!$D$3*H992/k_n</f>
        <v/>
      </c>
      <c r="U992">
        <f>N992-G992*LTP3!$D$4/k_n</f>
        <v/>
      </c>
      <c r="V992">
        <f>O992-H992*LTP3!$D$4/k_n</f>
        <v/>
      </c>
      <c r="W992">
        <f>((LTP3!$D$5)*((P992)*(Q992)-(R992)*(R992))-(S992)*((S992)*(Q992)-(R992)*(T992))+(T992)*((S992)*(R992)-(P992)*(T992)))</f>
        <v/>
      </c>
      <c r="X992">
        <f>IF(ABS(W992)&gt;1E-12,((LTP3!$D$6)*((P992)*(Q992)-(R992)*(R992))-(S992)*((U992)*(Q992)-(R992)*(V992))+(T992)*((U992)*(R992)-(P992)*(V992)))/W992,0)</f>
        <v/>
      </c>
      <c r="Y992">
        <f>IF(ABS(W992)&gt;1E-12,((LTP3!$D$5)*((U992)*(Q992)-(R992)*(V992))-(LTP3!$D$6)*((S992)*(Q992)-(R992)*(T992))+(T992)*((S992)*(V992)-(U992)*(T992)))/W992,0)</f>
        <v/>
      </c>
      <c r="Z992">
        <f>IF(ABS(W992)&gt;1E-12,((LTP3!$D$5)*((P992)*(V992)-(U992)*(R992))-(S992)*((S992)*(V992)-(U992)*(T992))+(LTP3!$D$6)*((S992)*(R992)-(P992)*(T992)))/W992,0)</f>
        <v/>
      </c>
      <c r="AA992">
        <f>LTP3!$D$7-X992*LTP3!$D$6-Y992*U992-Z992*V992</f>
        <v/>
      </c>
      <c r="AB992">
        <f>IF(AND(F992,ABS(W992)&gt;1E-12,Y992&gt;0,Z992&gt;0),AA992,1E+300)</f>
        <v/>
      </c>
    </row>
    <row r="993">
      <c r="A993">
        <f>$B$3+$B$5*16</f>
        <v/>
      </c>
      <c r="B993">
        <f>$B$3+$B$5*5</f>
        <v/>
      </c>
      <c r="C993">
        <f>SUMPRODUCT(Calc!$K$3:$K$22*(Calc!$G$3:$G$22&lt;=A993))</f>
        <v/>
      </c>
      <c r="D993">
        <f>SUMPRODUCT(Calc!$K$3:$K$22*(Calc!$G$3:$G$22&gt;A993)*(Calc!$G$3:$G$22&lt;B993))</f>
        <v/>
      </c>
      <c r="E993">
        <f>SUMPRODUCT(Calc!$K$3:$K$22*(Calc!$G$3:$G$22&gt;=B993))</f>
        <v/>
      </c>
      <c r="F993">
        <f>AND(k_n&gt;=5,B993&gt;A993+1E-9,C993&gt;=2,D993&gt;=1,E993&gt;=2)</f>
        <v/>
      </c>
      <c r="G993">
        <f>SUMPRODUCT(Calc!$K$3:$K$22*(Calc!$G$3:$G$22&gt;A993)*(Calc!$G$3:$G$22-A993))</f>
        <v/>
      </c>
      <c r="H993">
        <f>SUMPRODUCT(Calc!$K$3:$K$22*(Calc!$G$3:$G$22&gt;B993)*(Calc!$G$3:$G$22-B993))</f>
        <v/>
      </c>
      <c r="I993">
        <f>SUMPRODUCT(Calc!$K$3:$K$22*(Calc!$G$3:$G$22&gt;A993)*(Calc!$G$3:$G$22-A993)^2)</f>
        <v/>
      </c>
      <c r="J993">
        <f>SUMPRODUCT(Calc!$K$3:$K$22*(Calc!$G$3:$G$22&gt;B993)*(Calc!$G$3:$G$22-B993)^2)</f>
        <v/>
      </c>
      <c r="K993">
        <f>SUMPRODUCT(Calc!$K$3:$K$22*(Calc!$G$3:$G$22&gt;A993)*(Calc!$G$3:$G$22-A993)*(Calc!$G$3:$G$22&gt;B993)*(Calc!$G$3:$G$22-B993))</f>
        <v/>
      </c>
      <c r="L993">
        <f>SUMPRODUCT(Calc!$K$3:$K$22*(Calc!$G$3:$G$22&gt;A993)*(Calc!$G$3:$G$22-A993)*Calc!$G$3:$G$22)</f>
        <v/>
      </c>
      <c r="M993">
        <f>SUMPRODUCT(Calc!$K$3:$K$22*(Calc!$G$3:$G$22&gt;B993)*(Calc!$G$3:$G$22-B993)*Calc!$G$3:$G$22)</f>
        <v/>
      </c>
      <c r="N993">
        <f>SUMPRODUCT(Calc!$K$3:$K$22*(Calc!$G$3:$G$22&gt;A993)*(Calc!$G$3:$G$22-A993)*Calc!$I$3:$I$22)</f>
        <v/>
      </c>
      <c r="O993">
        <f>SUMPRODUCT(Calc!$K$3:$K$22*(Calc!$G$3:$G$22&gt;B993)*(Calc!$G$3:$G$22-B993)*Calc!$I$3:$I$22)</f>
        <v/>
      </c>
      <c r="P993">
        <f>I993-G993^2/k_n</f>
        <v/>
      </c>
      <c r="Q993">
        <f>J993-H993^2/k_n</f>
        <v/>
      </c>
      <c r="R993">
        <f>K993-G993*H993/k_n</f>
        <v/>
      </c>
      <c r="S993">
        <f>L993-LTP3!$D$3*G993/k_n</f>
        <v/>
      </c>
      <c r="T993">
        <f>M993-LTP3!$D$3*H993/k_n</f>
        <v/>
      </c>
      <c r="U993">
        <f>N993-G993*LTP3!$D$4/k_n</f>
        <v/>
      </c>
      <c r="V993">
        <f>O993-H993*LTP3!$D$4/k_n</f>
        <v/>
      </c>
      <c r="W993">
        <f>((LTP3!$D$5)*((P993)*(Q993)-(R993)*(R993))-(S993)*((S993)*(Q993)-(R993)*(T993))+(T993)*((S993)*(R993)-(P993)*(T993)))</f>
        <v/>
      </c>
      <c r="X993">
        <f>IF(ABS(W993)&gt;1E-12,((LTP3!$D$6)*((P993)*(Q993)-(R993)*(R993))-(S993)*((U993)*(Q993)-(R993)*(V993))+(T993)*((U993)*(R993)-(P993)*(V993)))/W993,0)</f>
        <v/>
      </c>
      <c r="Y993">
        <f>IF(ABS(W993)&gt;1E-12,((LTP3!$D$5)*((U993)*(Q993)-(R993)*(V993))-(LTP3!$D$6)*((S993)*(Q993)-(R993)*(T993))+(T993)*((S993)*(V993)-(U993)*(T993)))/W993,0)</f>
        <v/>
      </c>
      <c r="Z993">
        <f>IF(ABS(W993)&gt;1E-12,((LTP3!$D$5)*((P993)*(V993)-(U993)*(R993))-(S993)*((S993)*(V993)-(U993)*(T993))+(LTP3!$D$6)*((S993)*(R993)-(P993)*(T993)))/W993,0)</f>
        <v/>
      </c>
      <c r="AA993">
        <f>LTP3!$D$7-X993*LTP3!$D$6-Y993*U993-Z993*V993</f>
        <v/>
      </c>
      <c r="AB993">
        <f>IF(AND(F993,ABS(W993)&gt;1E-12,Y993&gt;0,Z993&gt;0),AA993,1E+300)</f>
        <v/>
      </c>
    </row>
    <row r="994">
      <c r="A994">
        <f>$B$3+$B$5*16</f>
        <v/>
      </c>
      <c r="B994">
        <f>$B$3+$B$5*6</f>
        <v/>
      </c>
      <c r="C994">
        <f>SUMPRODUCT(Calc!$K$3:$K$22*(Calc!$G$3:$G$22&lt;=A994))</f>
        <v/>
      </c>
      <c r="D994">
        <f>SUMPRODUCT(Calc!$K$3:$K$22*(Calc!$G$3:$G$22&gt;A994)*(Calc!$G$3:$G$22&lt;B994))</f>
        <v/>
      </c>
      <c r="E994">
        <f>SUMPRODUCT(Calc!$K$3:$K$22*(Calc!$G$3:$G$22&gt;=B994))</f>
        <v/>
      </c>
      <c r="F994">
        <f>AND(k_n&gt;=5,B994&gt;A994+1E-9,C994&gt;=2,D994&gt;=1,E994&gt;=2)</f>
        <v/>
      </c>
      <c r="G994">
        <f>SUMPRODUCT(Calc!$K$3:$K$22*(Calc!$G$3:$G$22&gt;A994)*(Calc!$G$3:$G$22-A994))</f>
        <v/>
      </c>
      <c r="H994">
        <f>SUMPRODUCT(Calc!$K$3:$K$22*(Calc!$G$3:$G$22&gt;B994)*(Calc!$G$3:$G$22-B994))</f>
        <v/>
      </c>
      <c r="I994">
        <f>SUMPRODUCT(Calc!$K$3:$K$22*(Calc!$G$3:$G$22&gt;A994)*(Calc!$G$3:$G$22-A994)^2)</f>
        <v/>
      </c>
      <c r="J994">
        <f>SUMPRODUCT(Calc!$K$3:$K$22*(Calc!$G$3:$G$22&gt;B994)*(Calc!$G$3:$G$22-B994)^2)</f>
        <v/>
      </c>
      <c r="K994">
        <f>SUMPRODUCT(Calc!$K$3:$K$22*(Calc!$G$3:$G$22&gt;A994)*(Calc!$G$3:$G$22-A994)*(Calc!$G$3:$G$22&gt;B994)*(Calc!$G$3:$G$22-B994))</f>
        <v/>
      </c>
      <c r="L994">
        <f>SUMPRODUCT(Calc!$K$3:$K$22*(Calc!$G$3:$G$22&gt;A994)*(Calc!$G$3:$G$22-A994)*Calc!$G$3:$G$22)</f>
        <v/>
      </c>
      <c r="M994">
        <f>SUMPRODUCT(Calc!$K$3:$K$22*(Calc!$G$3:$G$22&gt;B994)*(Calc!$G$3:$G$22-B994)*Calc!$G$3:$G$22)</f>
        <v/>
      </c>
      <c r="N994">
        <f>SUMPRODUCT(Calc!$K$3:$K$22*(Calc!$G$3:$G$22&gt;A994)*(Calc!$G$3:$G$22-A994)*Calc!$I$3:$I$22)</f>
        <v/>
      </c>
      <c r="O994">
        <f>SUMPRODUCT(Calc!$K$3:$K$22*(Calc!$G$3:$G$22&gt;B994)*(Calc!$G$3:$G$22-B994)*Calc!$I$3:$I$22)</f>
        <v/>
      </c>
      <c r="P994">
        <f>I994-G994^2/k_n</f>
        <v/>
      </c>
      <c r="Q994">
        <f>J994-H994^2/k_n</f>
        <v/>
      </c>
      <c r="R994">
        <f>K994-G994*H994/k_n</f>
        <v/>
      </c>
      <c r="S994">
        <f>L994-LTP3!$D$3*G994/k_n</f>
        <v/>
      </c>
      <c r="T994">
        <f>M994-LTP3!$D$3*H994/k_n</f>
        <v/>
      </c>
      <c r="U994">
        <f>N994-G994*LTP3!$D$4/k_n</f>
        <v/>
      </c>
      <c r="V994">
        <f>O994-H994*LTP3!$D$4/k_n</f>
        <v/>
      </c>
      <c r="W994">
        <f>((LTP3!$D$5)*((P994)*(Q994)-(R994)*(R994))-(S994)*((S994)*(Q994)-(R994)*(T994))+(T994)*((S994)*(R994)-(P994)*(T994)))</f>
        <v/>
      </c>
      <c r="X994">
        <f>IF(ABS(W994)&gt;1E-12,((LTP3!$D$6)*((P994)*(Q994)-(R994)*(R994))-(S994)*((U994)*(Q994)-(R994)*(V994))+(T994)*((U994)*(R994)-(P994)*(V994)))/W994,0)</f>
        <v/>
      </c>
      <c r="Y994">
        <f>IF(ABS(W994)&gt;1E-12,((LTP3!$D$5)*((U994)*(Q994)-(R994)*(V994))-(LTP3!$D$6)*((S994)*(Q994)-(R994)*(T994))+(T994)*((S994)*(V994)-(U994)*(T994)))/W994,0)</f>
        <v/>
      </c>
      <c r="Z994">
        <f>IF(ABS(W994)&gt;1E-12,((LTP3!$D$5)*((P994)*(V994)-(U994)*(R994))-(S994)*((S994)*(V994)-(U994)*(T994))+(LTP3!$D$6)*((S994)*(R994)-(P994)*(T994)))/W994,0)</f>
        <v/>
      </c>
      <c r="AA994">
        <f>LTP3!$D$7-X994*LTP3!$D$6-Y994*U994-Z994*V994</f>
        <v/>
      </c>
      <c r="AB994">
        <f>IF(AND(F994,ABS(W994)&gt;1E-12,Y994&gt;0,Z994&gt;0),AA994,1E+300)</f>
        <v/>
      </c>
    </row>
    <row r="995">
      <c r="A995">
        <f>$B$3+$B$5*16</f>
        <v/>
      </c>
      <c r="B995">
        <f>$B$3+$B$5*7</f>
        <v/>
      </c>
      <c r="C995">
        <f>SUMPRODUCT(Calc!$K$3:$K$22*(Calc!$G$3:$G$22&lt;=A995))</f>
        <v/>
      </c>
      <c r="D995">
        <f>SUMPRODUCT(Calc!$K$3:$K$22*(Calc!$G$3:$G$22&gt;A995)*(Calc!$G$3:$G$22&lt;B995))</f>
        <v/>
      </c>
      <c r="E995">
        <f>SUMPRODUCT(Calc!$K$3:$K$22*(Calc!$G$3:$G$22&gt;=B995))</f>
        <v/>
      </c>
      <c r="F995">
        <f>AND(k_n&gt;=5,B995&gt;A995+1E-9,C995&gt;=2,D995&gt;=1,E995&gt;=2)</f>
        <v/>
      </c>
      <c r="G995">
        <f>SUMPRODUCT(Calc!$K$3:$K$22*(Calc!$G$3:$G$22&gt;A995)*(Calc!$G$3:$G$22-A995))</f>
        <v/>
      </c>
      <c r="H995">
        <f>SUMPRODUCT(Calc!$K$3:$K$22*(Calc!$G$3:$G$22&gt;B995)*(Calc!$G$3:$G$22-B995))</f>
        <v/>
      </c>
      <c r="I995">
        <f>SUMPRODUCT(Calc!$K$3:$K$22*(Calc!$G$3:$G$22&gt;A995)*(Calc!$G$3:$G$22-A995)^2)</f>
        <v/>
      </c>
      <c r="J995">
        <f>SUMPRODUCT(Calc!$K$3:$K$22*(Calc!$G$3:$G$22&gt;B995)*(Calc!$G$3:$G$22-B995)^2)</f>
        <v/>
      </c>
      <c r="K995">
        <f>SUMPRODUCT(Calc!$K$3:$K$22*(Calc!$G$3:$G$22&gt;A995)*(Calc!$G$3:$G$22-A995)*(Calc!$G$3:$G$22&gt;B995)*(Calc!$G$3:$G$22-B995))</f>
        <v/>
      </c>
      <c r="L995">
        <f>SUMPRODUCT(Calc!$K$3:$K$22*(Calc!$G$3:$G$22&gt;A995)*(Calc!$G$3:$G$22-A995)*Calc!$G$3:$G$22)</f>
        <v/>
      </c>
      <c r="M995">
        <f>SUMPRODUCT(Calc!$K$3:$K$22*(Calc!$G$3:$G$22&gt;B995)*(Calc!$G$3:$G$22-B995)*Calc!$G$3:$G$22)</f>
        <v/>
      </c>
      <c r="N995">
        <f>SUMPRODUCT(Calc!$K$3:$K$22*(Calc!$G$3:$G$22&gt;A995)*(Calc!$G$3:$G$22-A995)*Calc!$I$3:$I$22)</f>
        <v/>
      </c>
      <c r="O995">
        <f>SUMPRODUCT(Calc!$K$3:$K$22*(Calc!$G$3:$G$22&gt;B995)*(Calc!$G$3:$G$22-B995)*Calc!$I$3:$I$22)</f>
        <v/>
      </c>
      <c r="P995">
        <f>I995-G995^2/k_n</f>
        <v/>
      </c>
      <c r="Q995">
        <f>J995-H995^2/k_n</f>
        <v/>
      </c>
      <c r="R995">
        <f>K995-G995*H995/k_n</f>
        <v/>
      </c>
      <c r="S995">
        <f>L995-LTP3!$D$3*G995/k_n</f>
        <v/>
      </c>
      <c r="T995">
        <f>M995-LTP3!$D$3*H995/k_n</f>
        <v/>
      </c>
      <c r="U995">
        <f>N995-G995*LTP3!$D$4/k_n</f>
        <v/>
      </c>
      <c r="V995">
        <f>O995-H995*LTP3!$D$4/k_n</f>
        <v/>
      </c>
      <c r="W995">
        <f>((LTP3!$D$5)*((P995)*(Q995)-(R995)*(R995))-(S995)*((S995)*(Q995)-(R995)*(T995))+(T995)*((S995)*(R995)-(P995)*(T995)))</f>
        <v/>
      </c>
      <c r="X995">
        <f>IF(ABS(W995)&gt;1E-12,((LTP3!$D$6)*((P995)*(Q995)-(R995)*(R995))-(S995)*((U995)*(Q995)-(R995)*(V995))+(T995)*((U995)*(R995)-(P995)*(V995)))/W995,0)</f>
        <v/>
      </c>
      <c r="Y995">
        <f>IF(ABS(W995)&gt;1E-12,((LTP3!$D$5)*((U995)*(Q995)-(R995)*(V995))-(LTP3!$D$6)*((S995)*(Q995)-(R995)*(T995))+(T995)*((S995)*(V995)-(U995)*(T995)))/W995,0)</f>
        <v/>
      </c>
      <c r="Z995">
        <f>IF(ABS(W995)&gt;1E-12,((LTP3!$D$5)*((P995)*(V995)-(U995)*(R995))-(S995)*((S995)*(V995)-(U995)*(T995))+(LTP3!$D$6)*((S995)*(R995)-(P995)*(T995)))/W995,0)</f>
        <v/>
      </c>
      <c r="AA995">
        <f>LTP3!$D$7-X995*LTP3!$D$6-Y995*U995-Z995*V995</f>
        <v/>
      </c>
      <c r="AB995">
        <f>IF(AND(F995,ABS(W995)&gt;1E-12,Y995&gt;0,Z995&gt;0),AA995,1E+300)</f>
        <v/>
      </c>
    </row>
    <row r="996">
      <c r="A996">
        <f>$B$3+$B$5*16</f>
        <v/>
      </c>
      <c r="B996">
        <f>$B$3+$B$5*8</f>
        <v/>
      </c>
      <c r="C996">
        <f>SUMPRODUCT(Calc!$K$3:$K$22*(Calc!$G$3:$G$22&lt;=A996))</f>
        <v/>
      </c>
      <c r="D996">
        <f>SUMPRODUCT(Calc!$K$3:$K$22*(Calc!$G$3:$G$22&gt;A996)*(Calc!$G$3:$G$22&lt;B996))</f>
        <v/>
      </c>
      <c r="E996">
        <f>SUMPRODUCT(Calc!$K$3:$K$22*(Calc!$G$3:$G$22&gt;=B996))</f>
        <v/>
      </c>
      <c r="F996">
        <f>AND(k_n&gt;=5,B996&gt;A996+1E-9,C996&gt;=2,D996&gt;=1,E996&gt;=2)</f>
        <v/>
      </c>
      <c r="G996">
        <f>SUMPRODUCT(Calc!$K$3:$K$22*(Calc!$G$3:$G$22&gt;A996)*(Calc!$G$3:$G$22-A996))</f>
        <v/>
      </c>
      <c r="H996">
        <f>SUMPRODUCT(Calc!$K$3:$K$22*(Calc!$G$3:$G$22&gt;B996)*(Calc!$G$3:$G$22-B996))</f>
        <v/>
      </c>
      <c r="I996">
        <f>SUMPRODUCT(Calc!$K$3:$K$22*(Calc!$G$3:$G$22&gt;A996)*(Calc!$G$3:$G$22-A996)^2)</f>
        <v/>
      </c>
      <c r="J996">
        <f>SUMPRODUCT(Calc!$K$3:$K$22*(Calc!$G$3:$G$22&gt;B996)*(Calc!$G$3:$G$22-B996)^2)</f>
        <v/>
      </c>
      <c r="K996">
        <f>SUMPRODUCT(Calc!$K$3:$K$22*(Calc!$G$3:$G$22&gt;A996)*(Calc!$G$3:$G$22-A996)*(Calc!$G$3:$G$22&gt;B996)*(Calc!$G$3:$G$22-B996))</f>
        <v/>
      </c>
      <c r="L996">
        <f>SUMPRODUCT(Calc!$K$3:$K$22*(Calc!$G$3:$G$22&gt;A996)*(Calc!$G$3:$G$22-A996)*Calc!$G$3:$G$22)</f>
        <v/>
      </c>
      <c r="M996">
        <f>SUMPRODUCT(Calc!$K$3:$K$22*(Calc!$G$3:$G$22&gt;B996)*(Calc!$G$3:$G$22-B996)*Calc!$G$3:$G$22)</f>
        <v/>
      </c>
      <c r="N996">
        <f>SUMPRODUCT(Calc!$K$3:$K$22*(Calc!$G$3:$G$22&gt;A996)*(Calc!$G$3:$G$22-A996)*Calc!$I$3:$I$22)</f>
        <v/>
      </c>
      <c r="O996">
        <f>SUMPRODUCT(Calc!$K$3:$K$22*(Calc!$G$3:$G$22&gt;B996)*(Calc!$G$3:$G$22-B996)*Calc!$I$3:$I$22)</f>
        <v/>
      </c>
      <c r="P996">
        <f>I996-G996^2/k_n</f>
        <v/>
      </c>
      <c r="Q996">
        <f>J996-H996^2/k_n</f>
        <v/>
      </c>
      <c r="R996">
        <f>K996-G996*H996/k_n</f>
        <v/>
      </c>
      <c r="S996">
        <f>L996-LTP3!$D$3*G996/k_n</f>
        <v/>
      </c>
      <c r="T996">
        <f>M996-LTP3!$D$3*H996/k_n</f>
        <v/>
      </c>
      <c r="U996">
        <f>N996-G996*LTP3!$D$4/k_n</f>
        <v/>
      </c>
      <c r="V996">
        <f>O996-H996*LTP3!$D$4/k_n</f>
        <v/>
      </c>
      <c r="W996">
        <f>((LTP3!$D$5)*((P996)*(Q996)-(R996)*(R996))-(S996)*((S996)*(Q996)-(R996)*(T996))+(T996)*((S996)*(R996)-(P996)*(T996)))</f>
        <v/>
      </c>
      <c r="X996">
        <f>IF(ABS(W996)&gt;1E-12,((LTP3!$D$6)*((P996)*(Q996)-(R996)*(R996))-(S996)*((U996)*(Q996)-(R996)*(V996))+(T996)*((U996)*(R996)-(P996)*(V996)))/W996,0)</f>
        <v/>
      </c>
      <c r="Y996">
        <f>IF(ABS(W996)&gt;1E-12,((LTP3!$D$5)*((U996)*(Q996)-(R996)*(V996))-(LTP3!$D$6)*((S996)*(Q996)-(R996)*(T996))+(T996)*((S996)*(V996)-(U996)*(T996)))/W996,0)</f>
        <v/>
      </c>
      <c r="Z996">
        <f>IF(ABS(W996)&gt;1E-12,((LTP3!$D$5)*((P996)*(V996)-(U996)*(R996))-(S996)*((S996)*(V996)-(U996)*(T996))+(LTP3!$D$6)*((S996)*(R996)-(P996)*(T996)))/W996,0)</f>
        <v/>
      </c>
      <c r="AA996">
        <f>LTP3!$D$7-X996*LTP3!$D$6-Y996*U996-Z996*V996</f>
        <v/>
      </c>
      <c r="AB996">
        <f>IF(AND(F996,ABS(W996)&gt;1E-12,Y996&gt;0,Z996&gt;0),AA996,1E+300)</f>
        <v/>
      </c>
    </row>
    <row r="997">
      <c r="A997">
        <f>$B$3+$B$5*16</f>
        <v/>
      </c>
      <c r="B997">
        <f>$B$3+$B$5*9</f>
        <v/>
      </c>
      <c r="C997">
        <f>SUMPRODUCT(Calc!$K$3:$K$22*(Calc!$G$3:$G$22&lt;=A997))</f>
        <v/>
      </c>
      <c r="D997">
        <f>SUMPRODUCT(Calc!$K$3:$K$22*(Calc!$G$3:$G$22&gt;A997)*(Calc!$G$3:$G$22&lt;B997))</f>
        <v/>
      </c>
      <c r="E997">
        <f>SUMPRODUCT(Calc!$K$3:$K$22*(Calc!$G$3:$G$22&gt;=B997))</f>
        <v/>
      </c>
      <c r="F997">
        <f>AND(k_n&gt;=5,B997&gt;A997+1E-9,C997&gt;=2,D997&gt;=1,E997&gt;=2)</f>
        <v/>
      </c>
      <c r="G997">
        <f>SUMPRODUCT(Calc!$K$3:$K$22*(Calc!$G$3:$G$22&gt;A997)*(Calc!$G$3:$G$22-A997))</f>
        <v/>
      </c>
      <c r="H997">
        <f>SUMPRODUCT(Calc!$K$3:$K$22*(Calc!$G$3:$G$22&gt;B997)*(Calc!$G$3:$G$22-B997))</f>
        <v/>
      </c>
      <c r="I997">
        <f>SUMPRODUCT(Calc!$K$3:$K$22*(Calc!$G$3:$G$22&gt;A997)*(Calc!$G$3:$G$22-A997)^2)</f>
        <v/>
      </c>
      <c r="J997">
        <f>SUMPRODUCT(Calc!$K$3:$K$22*(Calc!$G$3:$G$22&gt;B997)*(Calc!$G$3:$G$22-B997)^2)</f>
        <v/>
      </c>
      <c r="K997">
        <f>SUMPRODUCT(Calc!$K$3:$K$22*(Calc!$G$3:$G$22&gt;A997)*(Calc!$G$3:$G$22-A997)*(Calc!$G$3:$G$22&gt;B997)*(Calc!$G$3:$G$22-B997))</f>
        <v/>
      </c>
      <c r="L997">
        <f>SUMPRODUCT(Calc!$K$3:$K$22*(Calc!$G$3:$G$22&gt;A997)*(Calc!$G$3:$G$22-A997)*Calc!$G$3:$G$22)</f>
        <v/>
      </c>
      <c r="M997">
        <f>SUMPRODUCT(Calc!$K$3:$K$22*(Calc!$G$3:$G$22&gt;B997)*(Calc!$G$3:$G$22-B997)*Calc!$G$3:$G$22)</f>
        <v/>
      </c>
      <c r="N997">
        <f>SUMPRODUCT(Calc!$K$3:$K$22*(Calc!$G$3:$G$22&gt;A997)*(Calc!$G$3:$G$22-A997)*Calc!$I$3:$I$22)</f>
        <v/>
      </c>
      <c r="O997">
        <f>SUMPRODUCT(Calc!$K$3:$K$22*(Calc!$G$3:$G$22&gt;B997)*(Calc!$G$3:$G$22-B997)*Calc!$I$3:$I$22)</f>
        <v/>
      </c>
      <c r="P997">
        <f>I997-G997^2/k_n</f>
        <v/>
      </c>
      <c r="Q997">
        <f>J997-H997^2/k_n</f>
        <v/>
      </c>
      <c r="R997">
        <f>K997-G997*H997/k_n</f>
        <v/>
      </c>
      <c r="S997">
        <f>L997-LTP3!$D$3*G997/k_n</f>
        <v/>
      </c>
      <c r="T997">
        <f>M997-LTP3!$D$3*H997/k_n</f>
        <v/>
      </c>
      <c r="U997">
        <f>N997-G997*LTP3!$D$4/k_n</f>
        <v/>
      </c>
      <c r="V997">
        <f>O997-H997*LTP3!$D$4/k_n</f>
        <v/>
      </c>
      <c r="W997">
        <f>((LTP3!$D$5)*((P997)*(Q997)-(R997)*(R997))-(S997)*((S997)*(Q997)-(R997)*(T997))+(T997)*((S997)*(R997)-(P997)*(T997)))</f>
        <v/>
      </c>
      <c r="X997">
        <f>IF(ABS(W997)&gt;1E-12,((LTP3!$D$6)*((P997)*(Q997)-(R997)*(R997))-(S997)*((U997)*(Q997)-(R997)*(V997))+(T997)*((U997)*(R997)-(P997)*(V997)))/W997,0)</f>
        <v/>
      </c>
      <c r="Y997">
        <f>IF(ABS(W997)&gt;1E-12,((LTP3!$D$5)*((U997)*(Q997)-(R997)*(V997))-(LTP3!$D$6)*((S997)*(Q997)-(R997)*(T997))+(T997)*((S997)*(V997)-(U997)*(T997)))/W997,0)</f>
        <v/>
      </c>
      <c r="Z997">
        <f>IF(ABS(W997)&gt;1E-12,((LTP3!$D$5)*((P997)*(V997)-(U997)*(R997))-(S997)*((S997)*(V997)-(U997)*(T997))+(LTP3!$D$6)*((S997)*(R997)-(P997)*(T997)))/W997,0)</f>
        <v/>
      </c>
      <c r="AA997">
        <f>LTP3!$D$7-X997*LTP3!$D$6-Y997*U997-Z997*V997</f>
        <v/>
      </c>
      <c r="AB997">
        <f>IF(AND(F997,ABS(W997)&gt;1E-12,Y997&gt;0,Z997&gt;0),AA997,1E+300)</f>
        <v/>
      </c>
    </row>
    <row r="998">
      <c r="A998">
        <f>$B$3+$B$5*16</f>
        <v/>
      </c>
      <c r="B998">
        <f>$B$3+$B$5*10</f>
        <v/>
      </c>
      <c r="C998">
        <f>SUMPRODUCT(Calc!$K$3:$K$22*(Calc!$G$3:$G$22&lt;=A998))</f>
        <v/>
      </c>
      <c r="D998">
        <f>SUMPRODUCT(Calc!$K$3:$K$22*(Calc!$G$3:$G$22&gt;A998)*(Calc!$G$3:$G$22&lt;B998))</f>
        <v/>
      </c>
      <c r="E998">
        <f>SUMPRODUCT(Calc!$K$3:$K$22*(Calc!$G$3:$G$22&gt;=B998))</f>
        <v/>
      </c>
      <c r="F998">
        <f>AND(k_n&gt;=5,B998&gt;A998+1E-9,C998&gt;=2,D998&gt;=1,E998&gt;=2)</f>
        <v/>
      </c>
      <c r="G998">
        <f>SUMPRODUCT(Calc!$K$3:$K$22*(Calc!$G$3:$G$22&gt;A998)*(Calc!$G$3:$G$22-A998))</f>
        <v/>
      </c>
      <c r="H998">
        <f>SUMPRODUCT(Calc!$K$3:$K$22*(Calc!$G$3:$G$22&gt;B998)*(Calc!$G$3:$G$22-B998))</f>
        <v/>
      </c>
      <c r="I998">
        <f>SUMPRODUCT(Calc!$K$3:$K$22*(Calc!$G$3:$G$22&gt;A998)*(Calc!$G$3:$G$22-A998)^2)</f>
        <v/>
      </c>
      <c r="J998">
        <f>SUMPRODUCT(Calc!$K$3:$K$22*(Calc!$G$3:$G$22&gt;B998)*(Calc!$G$3:$G$22-B998)^2)</f>
        <v/>
      </c>
      <c r="K998">
        <f>SUMPRODUCT(Calc!$K$3:$K$22*(Calc!$G$3:$G$22&gt;A998)*(Calc!$G$3:$G$22-A998)*(Calc!$G$3:$G$22&gt;B998)*(Calc!$G$3:$G$22-B998))</f>
        <v/>
      </c>
      <c r="L998">
        <f>SUMPRODUCT(Calc!$K$3:$K$22*(Calc!$G$3:$G$22&gt;A998)*(Calc!$G$3:$G$22-A998)*Calc!$G$3:$G$22)</f>
        <v/>
      </c>
      <c r="M998">
        <f>SUMPRODUCT(Calc!$K$3:$K$22*(Calc!$G$3:$G$22&gt;B998)*(Calc!$G$3:$G$22-B998)*Calc!$G$3:$G$22)</f>
        <v/>
      </c>
      <c r="N998">
        <f>SUMPRODUCT(Calc!$K$3:$K$22*(Calc!$G$3:$G$22&gt;A998)*(Calc!$G$3:$G$22-A998)*Calc!$I$3:$I$22)</f>
        <v/>
      </c>
      <c r="O998">
        <f>SUMPRODUCT(Calc!$K$3:$K$22*(Calc!$G$3:$G$22&gt;B998)*(Calc!$G$3:$G$22-B998)*Calc!$I$3:$I$22)</f>
        <v/>
      </c>
      <c r="P998">
        <f>I998-G998^2/k_n</f>
        <v/>
      </c>
      <c r="Q998">
        <f>J998-H998^2/k_n</f>
        <v/>
      </c>
      <c r="R998">
        <f>K998-G998*H998/k_n</f>
        <v/>
      </c>
      <c r="S998">
        <f>L998-LTP3!$D$3*G998/k_n</f>
        <v/>
      </c>
      <c r="T998">
        <f>M998-LTP3!$D$3*H998/k_n</f>
        <v/>
      </c>
      <c r="U998">
        <f>N998-G998*LTP3!$D$4/k_n</f>
        <v/>
      </c>
      <c r="V998">
        <f>O998-H998*LTP3!$D$4/k_n</f>
        <v/>
      </c>
      <c r="W998">
        <f>((LTP3!$D$5)*((P998)*(Q998)-(R998)*(R998))-(S998)*((S998)*(Q998)-(R998)*(T998))+(T998)*((S998)*(R998)-(P998)*(T998)))</f>
        <v/>
      </c>
      <c r="X998">
        <f>IF(ABS(W998)&gt;1E-12,((LTP3!$D$6)*((P998)*(Q998)-(R998)*(R998))-(S998)*((U998)*(Q998)-(R998)*(V998))+(T998)*((U998)*(R998)-(P998)*(V998)))/W998,0)</f>
        <v/>
      </c>
      <c r="Y998">
        <f>IF(ABS(W998)&gt;1E-12,((LTP3!$D$5)*((U998)*(Q998)-(R998)*(V998))-(LTP3!$D$6)*((S998)*(Q998)-(R998)*(T998))+(T998)*((S998)*(V998)-(U998)*(T998)))/W998,0)</f>
        <v/>
      </c>
      <c r="Z998">
        <f>IF(ABS(W998)&gt;1E-12,((LTP3!$D$5)*((P998)*(V998)-(U998)*(R998))-(S998)*((S998)*(V998)-(U998)*(T998))+(LTP3!$D$6)*((S998)*(R998)-(P998)*(T998)))/W998,0)</f>
        <v/>
      </c>
      <c r="AA998">
        <f>LTP3!$D$7-X998*LTP3!$D$6-Y998*U998-Z998*V998</f>
        <v/>
      </c>
      <c r="AB998">
        <f>IF(AND(F998,ABS(W998)&gt;1E-12,Y998&gt;0,Z998&gt;0),AA998,1E+300)</f>
        <v/>
      </c>
    </row>
    <row r="999">
      <c r="A999">
        <f>$B$3+$B$5*16</f>
        <v/>
      </c>
      <c r="B999">
        <f>$B$3+$B$5*11</f>
        <v/>
      </c>
      <c r="C999">
        <f>SUMPRODUCT(Calc!$K$3:$K$22*(Calc!$G$3:$G$22&lt;=A999))</f>
        <v/>
      </c>
      <c r="D999">
        <f>SUMPRODUCT(Calc!$K$3:$K$22*(Calc!$G$3:$G$22&gt;A999)*(Calc!$G$3:$G$22&lt;B999))</f>
        <v/>
      </c>
      <c r="E999">
        <f>SUMPRODUCT(Calc!$K$3:$K$22*(Calc!$G$3:$G$22&gt;=B999))</f>
        <v/>
      </c>
      <c r="F999">
        <f>AND(k_n&gt;=5,B999&gt;A999+1E-9,C999&gt;=2,D999&gt;=1,E999&gt;=2)</f>
        <v/>
      </c>
      <c r="G999">
        <f>SUMPRODUCT(Calc!$K$3:$K$22*(Calc!$G$3:$G$22&gt;A999)*(Calc!$G$3:$G$22-A999))</f>
        <v/>
      </c>
      <c r="H999">
        <f>SUMPRODUCT(Calc!$K$3:$K$22*(Calc!$G$3:$G$22&gt;B999)*(Calc!$G$3:$G$22-B999))</f>
        <v/>
      </c>
      <c r="I999">
        <f>SUMPRODUCT(Calc!$K$3:$K$22*(Calc!$G$3:$G$22&gt;A999)*(Calc!$G$3:$G$22-A999)^2)</f>
        <v/>
      </c>
      <c r="J999">
        <f>SUMPRODUCT(Calc!$K$3:$K$22*(Calc!$G$3:$G$22&gt;B999)*(Calc!$G$3:$G$22-B999)^2)</f>
        <v/>
      </c>
      <c r="K999">
        <f>SUMPRODUCT(Calc!$K$3:$K$22*(Calc!$G$3:$G$22&gt;A999)*(Calc!$G$3:$G$22-A999)*(Calc!$G$3:$G$22&gt;B999)*(Calc!$G$3:$G$22-B999))</f>
        <v/>
      </c>
      <c r="L999">
        <f>SUMPRODUCT(Calc!$K$3:$K$22*(Calc!$G$3:$G$22&gt;A999)*(Calc!$G$3:$G$22-A999)*Calc!$G$3:$G$22)</f>
        <v/>
      </c>
      <c r="M999">
        <f>SUMPRODUCT(Calc!$K$3:$K$22*(Calc!$G$3:$G$22&gt;B999)*(Calc!$G$3:$G$22-B999)*Calc!$G$3:$G$22)</f>
        <v/>
      </c>
      <c r="N999">
        <f>SUMPRODUCT(Calc!$K$3:$K$22*(Calc!$G$3:$G$22&gt;A999)*(Calc!$G$3:$G$22-A999)*Calc!$I$3:$I$22)</f>
        <v/>
      </c>
      <c r="O999">
        <f>SUMPRODUCT(Calc!$K$3:$K$22*(Calc!$G$3:$G$22&gt;B999)*(Calc!$G$3:$G$22-B999)*Calc!$I$3:$I$22)</f>
        <v/>
      </c>
      <c r="P999">
        <f>I999-G999^2/k_n</f>
        <v/>
      </c>
      <c r="Q999">
        <f>J999-H999^2/k_n</f>
        <v/>
      </c>
      <c r="R999">
        <f>K999-G999*H999/k_n</f>
        <v/>
      </c>
      <c r="S999">
        <f>L999-LTP3!$D$3*G999/k_n</f>
        <v/>
      </c>
      <c r="T999">
        <f>M999-LTP3!$D$3*H999/k_n</f>
        <v/>
      </c>
      <c r="U999">
        <f>N999-G999*LTP3!$D$4/k_n</f>
        <v/>
      </c>
      <c r="V999">
        <f>O999-H999*LTP3!$D$4/k_n</f>
        <v/>
      </c>
      <c r="W999">
        <f>((LTP3!$D$5)*((P999)*(Q999)-(R999)*(R999))-(S999)*((S999)*(Q999)-(R999)*(T999))+(T999)*((S999)*(R999)-(P999)*(T999)))</f>
        <v/>
      </c>
      <c r="X999">
        <f>IF(ABS(W999)&gt;1E-12,((LTP3!$D$6)*((P999)*(Q999)-(R999)*(R999))-(S999)*((U999)*(Q999)-(R999)*(V999))+(T999)*((U999)*(R999)-(P999)*(V999)))/W999,0)</f>
        <v/>
      </c>
      <c r="Y999">
        <f>IF(ABS(W999)&gt;1E-12,((LTP3!$D$5)*((U999)*(Q999)-(R999)*(V999))-(LTP3!$D$6)*((S999)*(Q999)-(R999)*(T999))+(T999)*((S999)*(V999)-(U999)*(T999)))/W999,0)</f>
        <v/>
      </c>
      <c r="Z999">
        <f>IF(ABS(W999)&gt;1E-12,((LTP3!$D$5)*((P999)*(V999)-(U999)*(R999))-(S999)*((S999)*(V999)-(U999)*(T999))+(LTP3!$D$6)*((S999)*(R999)-(P999)*(T999)))/W999,0)</f>
        <v/>
      </c>
      <c r="AA999">
        <f>LTP3!$D$7-X999*LTP3!$D$6-Y999*U999-Z999*V999</f>
        <v/>
      </c>
      <c r="AB999">
        <f>IF(AND(F999,ABS(W999)&gt;1E-12,Y999&gt;0,Z999&gt;0),AA999,1E+300)</f>
        <v/>
      </c>
    </row>
    <row r="1000">
      <c r="A1000">
        <f>$B$3+$B$5*16</f>
        <v/>
      </c>
      <c r="B1000">
        <f>$B$3+$B$5*12</f>
        <v/>
      </c>
      <c r="C1000">
        <f>SUMPRODUCT(Calc!$K$3:$K$22*(Calc!$G$3:$G$22&lt;=A1000))</f>
        <v/>
      </c>
      <c r="D1000">
        <f>SUMPRODUCT(Calc!$K$3:$K$22*(Calc!$G$3:$G$22&gt;A1000)*(Calc!$G$3:$G$22&lt;B1000))</f>
        <v/>
      </c>
      <c r="E1000">
        <f>SUMPRODUCT(Calc!$K$3:$K$22*(Calc!$G$3:$G$22&gt;=B1000))</f>
        <v/>
      </c>
      <c r="F1000">
        <f>AND(k_n&gt;=5,B1000&gt;A1000+1E-9,C1000&gt;=2,D1000&gt;=1,E1000&gt;=2)</f>
        <v/>
      </c>
      <c r="G1000">
        <f>SUMPRODUCT(Calc!$K$3:$K$22*(Calc!$G$3:$G$22&gt;A1000)*(Calc!$G$3:$G$22-A1000))</f>
        <v/>
      </c>
      <c r="H1000">
        <f>SUMPRODUCT(Calc!$K$3:$K$22*(Calc!$G$3:$G$22&gt;B1000)*(Calc!$G$3:$G$22-B1000))</f>
        <v/>
      </c>
      <c r="I1000">
        <f>SUMPRODUCT(Calc!$K$3:$K$22*(Calc!$G$3:$G$22&gt;A1000)*(Calc!$G$3:$G$22-A1000)^2)</f>
        <v/>
      </c>
      <c r="J1000">
        <f>SUMPRODUCT(Calc!$K$3:$K$22*(Calc!$G$3:$G$22&gt;B1000)*(Calc!$G$3:$G$22-B1000)^2)</f>
        <v/>
      </c>
      <c r="K1000">
        <f>SUMPRODUCT(Calc!$K$3:$K$22*(Calc!$G$3:$G$22&gt;A1000)*(Calc!$G$3:$G$22-A1000)*(Calc!$G$3:$G$22&gt;B1000)*(Calc!$G$3:$G$22-B1000))</f>
        <v/>
      </c>
      <c r="L1000">
        <f>SUMPRODUCT(Calc!$K$3:$K$22*(Calc!$G$3:$G$22&gt;A1000)*(Calc!$G$3:$G$22-A1000)*Calc!$G$3:$G$22)</f>
        <v/>
      </c>
      <c r="M1000">
        <f>SUMPRODUCT(Calc!$K$3:$K$22*(Calc!$G$3:$G$22&gt;B1000)*(Calc!$G$3:$G$22-B1000)*Calc!$G$3:$G$22)</f>
        <v/>
      </c>
      <c r="N1000">
        <f>SUMPRODUCT(Calc!$K$3:$K$22*(Calc!$G$3:$G$22&gt;A1000)*(Calc!$G$3:$G$22-A1000)*Calc!$I$3:$I$22)</f>
        <v/>
      </c>
      <c r="O1000">
        <f>SUMPRODUCT(Calc!$K$3:$K$22*(Calc!$G$3:$G$22&gt;B1000)*(Calc!$G$3:$G$22-B1000)*Calc!$I$3:$I$22)</f>
        <v/>
      </c>
      <c r="P1000">
        <f>I1000-G1000^2/k_n</f>
        <v/>
      </c>
      <c r="Q1000">
        <f>J1000-H1000^2/k_n</f>
        <v/>
      </c>
      <c r="R1000">
        <f>K1000-G1000*H1000/k_n</f>
        <v/>
      </c>
      <c r="S1000">
        <f>L1000-LTP3!$D$3*G1000/k_n</f>
        <v/>
      </c>
      <c r="T1000">
        <f>M1000-LTP3!$D$3*H1000/k_n</f>
        <v/>
      </c>
      <c r="U1000">
        <f>N1000-G1000*LTP3!$D$4/k_n</f>
        <v/>
      </c>
      <c r="V1000">
        <f>O1000-H1000*LTP3!$D$4/k_n</f>
        <v/>
      </c>
      <c r="W1000">
        <f>((LTP3!$D$5)*((P1000)*(Q1000)-(R1000)*(R1000))-(S1000)*((S1000)*(Q1000)-(R1000)*(T1000))+(T1000)*((S1000)*(R1000)-(P1000)*(T1000)))</f>
        <v/>
      </c>
      <c r="X1000">
        <f>IF(ABS(W1000)&gt;1E-12,((LTP3!$D$6)*((P1000)*(Q1000)-(R1000)*(R1000))-(S1000)*((U1000)*(Q1000)-(R1000)*(V1000))+(T1000)*((U1000)*(R1000)-(P1000)*(V1000)))/W1000,0)</f>
        <v/>
      </c>
      <c r="Y1000">
        <f>IF(ABS(W1000)&gt;1E-12,((LTP3!$D$5)*((U1000)*(Q1000)-(R1000)*(V1000))-(LTP3!$D$6)*((S1000)*(Q1000)-(R1000)*(T1000))+(T1000)*((S1000)*(V1000)-(U1000)*(T1000)))/W1000,0)</f>
        <v/>
      </c>
      <c r="Z1000">
        <f>IF(ABS(W1000)&gt;1E-12,((LTP3!$D$5)*((P1000)*(V1000)-(U1000)*(R1000))-(S1000)*((S1000)*(V1000)-(U1000)*(T1000))+(LTP3!$D$6)*((S1000)*(R1000)-(P1000)*(T1000)))/W1000,0)</f>
        <v/>
      </c>
      <c r="AA1000">
        <f>LTP3!$D$7-X1000*LTP3!$D$6-Y1000*U1000-Z1000*V1000</f>
        <v/>
      </c>
      <c r="AB1000">
        <f>IF(AND(F1000,ABS(W1000)&gt;1E-12,Y1000&gt;0,Z1000&gt;0),AA1000,1E+300)</f>
        <v/>
      </c>
    </row>
    <row r="1001">
      <c r="A1001">
        <f>$B$3+$B$5*16</f>
        <v/>
      </c>
      <c r="B1001">
        <f>$B$3+$B$5*13</f>
        <v/>
      </c>
      <c r="C1001">
        <f>SUMPRODUCT(Calc!$K$3:$K$22*(Calc!$G$3:$G$22&lt;=A1001))</f>
        <v/>
      </c>
      <c r="D1001">
        <f>SUMPRODUCT(Calc!$K$3:$K$22*(Calc!$G$3:$G$22&gt;A1001)*(Calc!$G$3:$G$22&lt;B1001))</f>
        <v/>
      </c>
      <c r="E1001">
        <f>SUMPRODUCT(Calc!$K$3:$K$22*(Calc!$G$3:$G$22&gt;=B1001))</f>
        <v/>
      </c>
      <c r="F1001">
        <f>AND(k_n&gt;=5,B1001&gt;A1001+1E-9,C1001&gt;=2,D1001&gt;=1,E1001&gt;=2)</f>
        <v/>
      </c>
      <c r="G1001">
        <f>SUMPRODUCT(Calc!$K$3:$K$22*(Calc!$G$3:$G$22&gt;A1001)*(Calc!$G$3:$G$22-A1001))</f>
        <v/>
      </c>
      <c r="H1001">
        <f>SUMPRODUCT(Calc!$K$3:$K$22*(Calc!$G$3:$G$22&gt;B1001)*(Calc!$G$3:$G$22-B1001))</f>
        <v/>
      </c>
      <c r="I1001">
        <f>SUMPRODUCT(Calc!$K$3:$K$22*(Calc!$G$3:$G$22&gt;A1001)*(Calc!$G$3:$G$22-A1001)^2)</f>
        <v/>
      </c>
      <c r="J1001">
        <f>SUMPRODUCT(Calc!$K$3:$K$22*(Calc!$G$3:$G$22&gt;B1001)*(Calc!$G$3:$G$22-B1001)^2)</f>
        <v/>
      </c>
      <c r="K1001">
        <f>SUMPRODUCT(Calc!$K$3:$K$22*(Calc!$G$3:$G$22&gt;A1001)*(Calc!$G$3:$G$22-A1001)*(Calc!$G$3:$G$22&gt;B1001)*(Calc!$G$3:$G$22-B1001))</f>
        <v/>
      </c>
      <c r="L1001">
        <f>SUMPRODUCT(Calc!$K$3:$K$22*(Calc!$G$3:$G$22&gt;A1001)*(Calc!$G$3:$G$22-A1001)*Calc!$G$3:$G$22)</f>
        <v/>
      </c>
      <c r="M1001">
        <f>SUMPRODUCT(Calc!$K$3:$K$22*(Calc!$G$3:$G$22&gt;B1001)*(Calc!$G$3:$G$22-B1001)*Calc!$G$3:$G$22)</f>
        <v/>
      </c>
      <c r="N1001">
        <f>SUMPRODUCT(Calc!$K$3:$K$22*(Calc!$G$3:$G$22&gt;A1001)*(Calc!$G$3:$G$22-A1001)*Calc!$I$3:$I$22)</f>
        <v/>
      </c>
      <c r="O1001">
        <f>SUMPRODUCT(Calc!$K$3:$K$22*(Calc!$G$3:$G$22&gt;B1001)*(Calc!$G$3:$G$22-B1001)*Calc!$I$3:$I$22)</f>
        <v/>
      </c>
      <c r="P1001">
        <f>I1001-G1001^2/k_n</f>
        <v/>
      </c>
      <c r="Q1001">
        <f>J1001-H1001^2/k_n</f>
        <v/>
      </c>
      <c r="R1001">
        <f>K1001-G1001*H1001/k_n</f>
        <v/>
      </c>
      <c r="S1001">
        <f>L1001-LTP3!$D$3*G1001/k_n</f>
        <v/>
      </c>
      <c r="T1001">
        <f>M1001-LTP3!$D$3*H1001/k_n</f>
        <v/>
      </c>
      <c r="U1001">
        <f>N1001-G1001*LTP3!$D$4/k_n</f>
        <v/>
      </c>
      <c r="V1001">
        <f>O1001-H1001*LTP3!$D$4/k_n</f>
        <v/>
      </c>
      <c r="W1001">
        <f>((LTP3!$D$5)*((P1001)*(Q1001)-(R1001)*(R1001))-(S1001)*((S1001)*(Q1001)-(R1001)*(T1001))+(T1001)*((S1001)*(R1001)-(P1001)*(T1001)))</f>
        <v/>
      </c>
      <c r="X1001">
        <f>IF(ABS(W1001)&gt;1E-12,((LTP3!$D$6)*((P1001)*(Q1001)-(R1001)*(R1001))-(S1001)*((U1001)*(Q1001)-(R1001)*(V1001))+(T1001)*((U1001)*(R1001)-(P1001)*(V1001)))/W1001,0)</f>
        <v/>
      </c>
      <c r="Y1001">
        <f>IF(ABS(W1001)&gt;1E-12,((LTP3!$D$5)*((U1001)*(Q1001)-(R1001)*(V1001))-(LTP3!$D$6)*((S1001)*(Q1001)-(R1001)*(T1001))+(T1001)*((S1001)*(V1001)-(U1001)*(T1001)))/W1001,0)</f>
        <v/>
      </c>
      <c r="Z1001">
        <f>IF(ABS(W1001)&gt;1E-12,((LTP3!$D$5)*((P1001)*(V1001)-(U1001)*(R1001))-(S1001)*((S1001)*(V1001)-(U1001)*(T1001))+(LTP3!$D$6)*((S1001)*(R1001)-(P1001)*(T1001)))/W1001,0)</f>
        <v/>
      </c>
      <c r="AA1001">
        <f>LTP3!$D$7-X1001*LTP3!$D$6-Y1001*U1001-Z1001*V1001</f>
        <v/>
      </c>
      <c r="AB1001">
        <f>IF(AND(F1001,ABS(W1001)&gt;1E-12,Y1001&gt;0,Z1001&gt;0),AA1001,1E+300)</f>
        <v/>
      </c>
    </row>
    <row r="1002">
      <c r="A1002">
        <f>$B$3+$B$5*16</f>
        <v/>
      </c>
      <c r="B1002">
        <f>$B$3+$B$5*14</f>
        <v/>
      </c>
      <c r="C1002">
        <f>SUMPRODUCT(Calc!$K$3:$K$22*(Calc!$G$3:$G$22&lt;=A1002))</f>
        <v/>
      </c>
      <c r="D1002">
        <f>SUMPRODUCT(Calc!$K$3:$K$22*(Calc!$G$3:$G$22&gt;A1002)*(Calc!$G$3:$G$22&lt;B1002))</f>
        <v/>
      </c>
      <c r="E1002">
        <f>SUMPRODUCT(Calc!$K$3:$K$22*(Calc!$G$3:$G$22&gt;=B1002))</f>
        <v/>
      </c>
      <c r="F1002">
        <f>AND(k_n&gt;=5,B1002&gt;A1002+1E-9,C1002&gt;=2,D1002&gt;=1,E1002&gt;=2)</f>
        <v/>
      </c>
      <c r="G1002">
        <f>SUMPRODUCT(Calc!$K$3:$K$22*(Calc!$G$3:$G$22&gt;A1002)*(Calc!$G$3:$G$22-A1002))</f>
        <v/>
      </c>
      <c r="H1002">
        <f>SUMPRODUCT(Calc!$K$3:$K$22*(Calc!$G$3:$G$22&gt;B1002)*(Calc!$G$3:$G$22-B1002))</f>
        <v/>
      </c>
      <c r="I1002">
        <f>SUMPRODUCT(Calc!$K$3:$K$22*(Calc!$G$3:$G$22&gt;A1002)*(Calc!$G$3:$G$22-A1002)^2)</f>
        <v/>
      </c>
      <c r="J1002">
        <f>SUMPRODUCT(Calc!$K$3:$K$22*(Calc!$G$3:$G$22&gt;B1002)*(Calc!$G$3:$G$22-B1002)^2)</f>
        <v/>
      </c>
      <c r="K1002">
        <f>SUMPRODUCT(Calc!$K$3:$K$22*(Calc!$G$3:$G$22&gt;A1002)*(Calc!$G$3:$G$22-A1002)*(Calc!$G$3:$G$22&gt;B1002)*(Calc!$G$3:$G$22-B1002))</f>
        <v/>
      </c>
      <c r="L1002">
        <f>SUMPRODUCT(Calc!$K$3:$K$22*(Calc!$G$3:$G$22&gt;A1002)*(Calc!$G$3:$G$22-A1002)*Calc!$G$3:$G$22)</f>
        <v/>
      </c>
      <c r="M1002">
        <f>SUMPRODUCT(Calc!$K$3:$K$22*(Calc!$G$3:$G$22&gt;B1002)*(Calc!$G$3:$G$22-B1002)*Calc!$G$3:$G$22)</f>
        <v/>
      </c>
      <c r="N1002">
        <f>SUMPRODUCT(Calc!$K$3:$K$22*(Calc!$G$3:$G$22&gt;A1002)*(Calc!$G$3:$G$22-A1002)*Calc!$I$3:$I$22)</f>
        <v/>
      </c>
      <c r="O1002">
        <f>SUMPRODUCT(Calc!$K$3:$K$22*(Calc!$G$3:$G$22&gt;B1002)*(Calc!$G$3:$G$22-B1002)*Calc!$I$3:$I$22)</f>
        <v/>
      </c>
      <c r="P1002">
        <f>I1002-G1002^2/k_n</f>
        <v/>
      </c>
      <c r="Q1002">
        <f>J1002-H1002^2/k_n</f>
        <v/>
      </c>
      <c r="R1002">
        <f>K1002-G1002*H1002/k_n</f>
        <v/>
      </c>
      <c r="S1002">
        <f>L1002-LTP3!$D$3*G1002/k_n</f>
        <v/>
      </c>
      <c r="T1002">
        <f>M1002-LTP3!$D$3*H1002/k_n</f>
        <v/>
      </c>
      <c r="U1002">
        <f>N1002-G1002*LTP3!$D$4/k_n</f>
        <v/>
      </c>
      <c r="V1002">
        <f>O1002-H1002*LTP3!$D$4/k_n</f>
        <v/>
      </c>
      <c r="W1002">
        <f>((LTP3!$D$5)*((P1002)*(Q1002)-(R1002)*(R1002))-(S1002)*((S1002)*(Q1002)-(R1002)*(T1002))+(T1002)*((S1002)*(R1002)-(P1002)*(T1002)))</f>
        <v/>
      </c>
      <c r="X1002">
        <f>IF(ABS(W1002)&gt;1E-12,((LTP3!$D$6)*((P1002)*(Q1002)-(R1002)*(R1002))-(S1002)*((U1002)*(Q1002)-(R1002)*(V1002))+(T1002)*((U1002)*(R1002)-(P1002)*(V1002)))/W1002,0)</f>
        <v/>
      </c>
      <c r="Y1002">
        <f>IF(ABS(W1002)&gt;1E-12,((LTP3!$D$5)*((U1002)*(Q1002)-(R1002)*(V1002))-(LTP3!$D$6)*((S1002)*(Q1002)-(R1002)*(T1002))+(T1002)*((S1002)*(V1002)-(U1002)*(T1002)))/W1002,0)</f>
        <v/>
      </c>
      <c r="Z1002">
        <f>IF(ABS(W1002)&gt;1E-12,((LTP3!$D$5)*((P1002)*(V1002)-(U1002)*(R1002))-(S1002)*((S1002)*(V1002)-(U1002)*(T1002))+(LTP3!$D$6)*((S1002)*(R1002)-(P1002)*(T1002)))/W1002,0)</f>
        <v/>
      </c>
      <c r="AA1002">
        <f>LTP3!$D$7-X1002*LTP3!$D$6-Y1002*U1002-Z1002*V1002</f>
        <v/>
      </c>
      <c r="AB1002">
        <f>IF(AND(F1002,ABS(W1002)&gt;1E-12,Y1002&gt;0,Z1002&gt;0),AA1002,1E+300)</f>
        <v/>
      </c>
    </row>
    <row r="1003">
      <c r="A1003">
        <f>$B$3+$B$5*16</f>
        <v/>
      </c>
      <c r="B1003">
        <f>$B$3+$B$5*15</f>
        <v/>
      </c>
      <c r="C1003">
        <f>SUMPRODUCT(Calc!$K$3:$K$22*(Calc!$G$3:$G$22&lt;=A1003))</f>
        <v/>
      </c>
      <c r="D1003">
        <f>SUMPRODUCT(Calc!$K$3:$K$22*(Calc!$G$3:$G$22&gt;A1003)*(Calc!$G$3:$G$22&lt;B1003))</f>
        <v/>
      </c>
      <c r="E1003">
        <f>SUMPRODUCT(Calc!$K$3:$K$22*(Calc!$G$3:$G$22&gt;=B1003))</f>
        <v/>
      </c>
      <c r="F1003">
        <f>AND(k_n&gt;=5,B1003&gt;A1003+1E-9,C1003&gt;=2,D1003&gt;=1,E1003&gt;=2)</f>
        <v/>
      </c>
      <c r="G1003">
        <f>SUMPRODUCT(Calc!$K$3:$K$22*(Calc!$G$3:$G$22&gt;A1003)*(Calc!$G$3:$G$22-A1003))</f>
        <v/>
      </c>
      <c r="H1003">
        <f>SUMPRODUCT(Calc!$K$3:$K$22*(Calc!$G$3:$G$22&gt;B1003)*(Calc!$G$3:$G$22-B1003))</f>
        <v/>
      </c>
      <c r="I1003">
        <f>SUMPRODUCT(Calc!$K$3:$K$22*(Calc!$G$3:$G$22&gt;A1003)*(Calc!$G$3:$G$22-A1003)^2)</f>
        <v/>
      </c>
      <c r="J1003">
        <f>SUMPRODUCT(Calc!$K$3:$K$22*(Calc!$G$3:$G$22&gt;B1003)*(Calc!$G$3:$G$22-B1003)^2)</f>
        <v/>
      </c>
      <c r="K1003">
        <f>SUMPRODUCT(Calc!$K$3:$K$22*(Calc!$G$3:$G$22&gt;A1003)*(Calc!$G$3:$G$22-A1003)*(Calc!$G$3:$G$22&gt;B1003)*(Calc!$G$3:$G$22-B1003))</f>
        <v/>
      </c>
      <c r="L1003">
        <f>SUMPRODUCT(Calc!$K$3:$K$22*(Calc!$G$3:$G$22&gt;A1003)*(Calc!$G$3:$G$22-A1003)*Calc!$G$3:$G$22)</f>
        <v/>
      </c>
      <c r="M1003">
        <f>SUMPRODUCT(Calc!$K$3:$K$22*(Calc!$G$3:$G$22&gt;B1003)*(Calc!$G$3:$G$22-B1003)*Calc!$G$3:$G$22)</f>
        <v/>
      </c>
      <c r="N1003">
        <f>SUMPRODUCT(Calc!$K$3:$K$22*(Calc!$G$3:$G$22&gt;A1003)*(Calc!$G$3:$G$22-A1003)*Calc!$I$3:$I$22)</f>
        <v/>
      </c>
      <c r="O1003">
        <f>SUMPRODUCT(Calc!$K$3:$K$22*(Calc!$G$3:$G$22&gt;B1003)*(Calc!$G$3:$G$22-B1003)*Calc!$I$3:$I$22)</f>
        <v/>
      </c>
      <c r="P1003">
        <f>I1003-G1003^2/k_n</f>
        <v/>
      </c>
      <c r="Q1003">
        <f>J1003-H1003^2/k_n</f>
        <v/>
      </c>
      <c r="R1003">
        <f>K1003-G1003*H1003/k_n</f>
        <v/>
      </c>
      <c r="S1003">
        <f>L1003-LTP3!$D$3*G1003/k_n</f>
        <v/>
      </c>
      <c r="T1003">
        <f>M1003-LTP3!$D$3*H1003/k_n</f>
        <v/>
      </c>
      <c r="U1003">
        <f>N1003-G1003*LTP3!$D$4/k_n</f>
        <v/>
      </c>
      <c r="V1003">
        <f>O1003-H1003*LTP3!$D$4/k_n</f>
        <v/>
      </c>
      <c r="W1003">
        <f>((LTP3!$D$5)*((P1003)*(Q1003)-(R1003)*(R1003))-(S1003)*((S1003)*(Q1003)-(R1003)*(T1003))+(T1003)*((S1003)*(R1003)-(P1003)*(T1003)))</f>
        <v/>
      </c>
      <c r="X1003">
        <f>IF(ABS(W1003)&gt;1E-12,((LTP3!$D$6)*((P1003)*(Q1003)-(R1003)*(R1003))-(S1003)*((U1003)*(Q1003)-(R1003)*(V1003))+(T1003)*((U1003)*(R1003)-(P1003)*(V1003)))/W1003,0)</f>
        <v/>
      </c>
      <c r="Y1003">
        <f>IF(ABS(W1003)&gt;1E-12,((LTP3!$D$5)*((U1003)*(Q1003)-(R1003)*(V1003))-(LTP3!$D$6)*((S1003)*(Q1003)-(R1003)*(T1003))+(T1003)*((S1003)*(V1003)-(U1003)*(T1003)))/W1003,0)</f>
        <v/>
      </c>
      <c r="Z1003">
        <f>IF(ABS(W1003)&gt;1E-12,((LTP3!$D$5)*((P1003)*(V1003)-(U1003)*(R1003))-(S1003)*((S1003)*(V1003)-(U1003)*(T1003))+(LTP3!$D$6)*((S1003)*(R1003)-(P1003)*(T1003)))/W1003,0)</f>
        <v/>
      </c>
      <c r="AA1003">
        <f>LTP3!$D$7-X1003*LTP3!$D$6-Y1003*U1003-Z1003*V1003</f>
        <v/>
      </c>
      <c r="AB1003">
        <f>IF(AND(F1003,ABS(W1003)&gt;1E-12,Y1003&gt;0,Z1003&gt;0),AA1003,1E+300)</f>
        <v/>
      </c>
    </row>
    <row r="1004">
      <c r="A1004">
        <f>$B$3+$B$5*16</f>
        <v/>
      </c>
      <c r="B1004">
        <f>$B$3+$B$5*16</f>
        <v/>
      </c>
      <c r="C1004">
        <f>SUMPRODUCT(Calc!$K$3:$K$22*(Calc!$G$3:$G$22&lt;=A1004))</f>
        <v/>
      </c>
      <c r="D1004">
        <f>SUMPRODUCT(Calc!$K$3:$K$22*(Calc!$G$3:$G$22&gt;A1004)*(Calc!$G$3:$G$22&lt;B1004))</f>
        <v/>
      </c>
      <c r="E1004">
        <f>SUMPRODUCT(Calc!$K$3:$K$22*(Calc!$G$3:$G$22&gt;=B1004))</f>
        <v/>
      </c>
      <c r="F1004">
        <f>AND(k_n&gt;=5,B1004&gt;A1004+1E-9,C1004&gt;=2,D1004&gt;=1,E1004&gt;=2)</f>
        <v/>
      </c>
      <c r="G1004">
        <f>SUMPRODUCT(Calc!$K$3:$K$22*(Calc!$G$3:$G$22&gt;A1004)*(Calc!$G$3:$G$22-A1004))</f>
        <v/>
      </c>
      <c r="H1004">
        <f>SUMPRODUCT(Calc!$K$3:$K$22*(Calc!$G$3:$G$22&gt;B1004)*(Calc!$G$3:$G$22-B1004))</f>
        <v/>
      </c>
      <c r="I1004">
        <f>SUMPRODUCT(Calc!$K$3:$K$22*(Calc!$G$3:$G$22&gt;A1004)*(Calc!$G$3:$G$22-A1004)^2)</f>
        <v/>
      </c>
      <c r="J1004">
        <f>SUMPRODUCT(Calc!$K$3:$K$22*(Calc!$G$3:$G$22&gt;B1004)*(Calc!$G$3:$G$22-B1004)^2)</f>
        <v/>
      </c>
      <c r="K1004">
        <f>SUMPRODUCT(Calc!$K$3:$K$22*(Calc!$G$3:$G$22&gt;A1004)*(Calc!$G$3:$G$22-A1004)*(Calc!$G$3:$G$22&gt;B1004)*(Calc!$G$3:$G$22-B1004))</f>
        <v/>
      </c>
      <c r="L1004">
        <f>SUMPRODUCT(Calc!$K$3:$K$22*(Calc!$G$3:$G$22&gt;A1004)*(Calc!$G$3:$G$22-A1004)*Calc!$G$3:$G$22)</f>
        <v/>
      </c>
      <c r="M1004">
        <f>SUMPRODUCT(Calc!$K$3:$K$22*(Calc!$G$3:$G$22&gt;B1004)*(Calc!$G$3:$G$22-B1004)*Calc!$G$3:$G$22)</f>
        <v/>
      </c>
      <c r="N1004">
        <f>SUMPRODUCT(Calc!$K$3:$K$22*(Calc!$G$3:$G$22&gt;A1004)*(Calc!$G$3:$G$22-A1004)*Calc!$I$3:$I$22)</f>
        <v/>
      </c>
      <c r="O1004">
        <f>SUMPRODUCT(Calc!$K$3:$K$22*(Calc!$G$3:$G$22&gt;B1004)*(Calc!$G$3:$G$22-B1004)*Calc!$I$3:$I$22)</f>
        <v/>
      </c>
      <c r="P1004">
        <f>I1004-G1004^2/k_n</f>
        <v/>
      </c>
      <c r="Q1004">
        <f>J1004-H1004^2/k_n</f>
        <v/>
      </c>
      <c r="R1004">
        <f>K1004-G1004*H1004/k_n</f>
        <v/>
      </c>
      <c r="S1004">
        <f>L1004-LTP3!$D$3*G1004/k_n</f>
        <v/>
      </c>
      <c r="T1004">
        <f>M1004-LTP3!$D$3*H1004/k_n</f>
        <v/>
      </c>
      <c r="U1004">
        <f>N1004-G1004*LTP3!$D$4/k_n</f>
        <v/>
      </c>
      <c r="V1004">
        <f>O1004-H1004*LTP3!$D$4/k_n</f>
        <v/>
      </c>
      <c r="W1004">
        <f>((LTP3!$D$5)*((P1004)*(Q1004)-(R1004)*(R1004))-(S1004)*((S1004)*(Q1004)-(R1004)*(T1004))+(T1004)*((S1004)*(R1004)-(P1004)*(T1004)))</f>
        <v/>
      </c>
      <c r="X1004">
        <f>IF(ABS(W1004)&gt;1E-12,((LTP3!$D$6)*((P1004)*(Q1004)-(R1004)*(R1004))-(S1004)*((U1004)*(Q1004)-(R1004)*(V1004))+(T1004)*((U1004)*(R1004)-(P1004)*(V1004)))/W1004,0)</f>
        <v/>
      </c>
      <c r="Y1004">
        <f>IF(ABS(W1004)&gt;1E-12,((LTP3!$D$5)*((U1004)*(Q1004)-(R1004)*(V1004))-(LTP3!$D$6)*((S1004)*(Q1004)-(R1004)*(T1004))+(T1004)*((S1004)*(V1004)-(U1004)*(T1004)))/W1004,0)</f>
        <v/>
      </c>
      <c r="Z1004">
        <f>IF(ABS(W1004)&gt;1E-12,((LTP3!$D$5)*((P1004)*(V1004)-(U1004)*(R1004))-(S1004)*((S1004)*(V1004)-(U1004)*(T1004))+(LTP3!$D$6)*((S1004)*(R1004)-(P1004)*(T1004)))/W1004,0)</f>
        <v/>
      </c>
      <c r="AA1004">
        <f>LTP3!$D$7-X1004*LTP3!$D$6-Y1004*U1004-Z1004*V1004</f>
        <v/>
      </c>
      <c r="AB1004">
        <f>IF(AND(F1004,ABS(W1004)&gt;1E-12,Y1004&gt;0,Z1004&gt;0),AA1004,1E+300)</f>
        <v/>
      </c>
    </row>
    <row r="1005">
      <c r="A1005">
        <f>$B$3+$B$5*16</f>
        <v/>
      </c>
      <c r="B1005">
        <f>$B$3+$B$5*17</f>
        <v/>
      </c>
      <c r="C1005">
        <f>SUMPRODUCT(Calc!$K$3:$K$22*(Calc!$G$3:$G$22&lt;=A1005))</f>
        <v/>
      </c>
      <c r="D1005">
        <f>SUMPRODUCT(Calc!$K$3:$K$22*(Calc!$G$3:$G$22&gt;A1005)*(Calc!$G$3:$G$22&lt;B1005))</f>
        <v/>
      </c>
      <c r="E1005">
        <f>SUMPRODUCT(Calc!$K$3:$K$22*(Calc!$G$3:$G$22&gt;=B1005))</f>
        <v/>
      </c>
      <c r="F1005">
        <f>AND(k_n&gt;=5,B1005&gt;A1005+1E-9,C1005&gt;=2,D1005&gt;=1,E1005&gt;=2)</f>
        <v/>
      </c>
      <c r="G1005">
        <f>SUMPRODUCT(Calc!$K$3:$K$22*(Calc!$G$3:$G$22&gt;A1005)*(Calc!$G$3:$G$22-A1005))</f>
        <v/>
      </c>
      <c r="H1005">
        <f>SUMPRODUCT(Calc!$K$3:$K$22*(Calc!$G$3:$G$22&gt;B1005)*(Calc!$G$3:$G$22-B1005))</f>
        <v/>
      </c>
      <c r="I1005">
        <f>SUMPRODUCT(Calc!$K$3:$K$22*(Calc!$G$3:$G$22&gt;A1005)*(Calc!$G$3:$G$22-A1005)^2)</f>
        <v/>
      </c>
      <c r="J1005">
        <f>SUMPRODUCT(Calc!$K$3:$K$22*(Calc!$G$3:$G$22&gt;B1005)*(Calc!$G$3:$G$22-B1005)^2)</f>
        <v/>
      </c>
      <c r="K1005">
        <f>SUMPRODUCT(Calc!$K$3:$K$22*(Calc!$G$3:$G$22&gt;A1005)*(Calc!$G$3:$G$22-A1005)*(Calc!$G$3:$G$22&gt;B1005)*(Calc!$G$3:$G$22-B1005))</f>
        <v/>
      </c>
      <c r="L1005">
        <f>SUMPRODUCT(Calc!$K$3:$K$22*(Calc!$G$3:$G$22&gt;A1005)*(Calc!$G$3:$G$22-A1005)*Calc!$G$3:$G$22)</f>
        <v/>
      </c>
      <c r="M1005">
        <f>SUMPRODUCT(Calc!$K$3:$K$22*(Calc!$G$3:$G$22&gt;B1005)*(Calc!$G$3:$G$22-B1005)*Calc!$G$3:$G$22)</f>
        <v/>
      </c>
      <c r="N1005">
        <f>SUMPRODUCT(Calc!$K$3:$K$22*(Calc!$G$3:$G$22&gt;A1005)*(Calc!$G$3:$G$22-A1005)*Calc!$I$3:$I$22)</f>
        <v/>
      </c>
      <c r="O1005">
        <f>SUMPRODUCT(Calc!$K$3:$K$22*(Calc!$G$3:$G$22&gt;B1005)*(Calc!$G$3:$G$22-B1005)*Calc!$I$3:$I$22)</f>
        <v/>
      </c>
      <c r="P1005">
        <f>I1005-G1005^2/k_n</f>
        <v/>
      </c>
      <c r="Q1005">
        <f>J1005-H1005^2/k_n</f>
        <v/>
      </c>
      <c r="R1005">
        <f>K1005-G1005*H1005/k_n</f>
        <v/>
      </c>
      <c r="S1005">
        <f>L1005-LTP3!$D$3*G1005/k_n</f>
        <v/>
      </c>
      <c r="T1005">
        <f>M1005-LTP3!$D$3*H1005/k_n</f>
        <v/>
      </c>
      <c r="U1005">
        <f>N1005-G1005*LTP3!$D$4/k_n</f>
        <v/>
      </c>
      <c r="V1005">
        <f>O1005-H1005*LTP3!$D$4/k_n</f>
        <v/>
      </c>
      <c r="W1005">
        <f>((LTP3!$D$5)*((P1005)*(Q1005)-(R1005)*(R1005))-(S1005)*((S1005)*(Q1005)-(R1005)*(T1005))+(T1005)*((S1005)*(R1005)-(P1005)*(T1005)))</f>
        <v/>
      </c>
      <c r="X1005">
        <f>IF(ABS(W1005)&gt;1E-12,((LTP3!$D$6)*((P1005)*(Q1005)-(R1005)*(R1005))-(S1005)*((U1005)*(Q1005)-(R1005)*(V1005))+(T1005)*((U1005)*(R1005)-(P1005)*(V1005)))/W1005,0)</f>
        <v/>
      </c>
      <c r="Y1005">
        <f>IF(ABS(W1005)&gt;1E-12,((LTP3!$D$5)*((U1005)*(Q1005)-(R1005)*(V1005))-(LTP3!$D$6)*((S1005)*(Q1005)-(R1005)*(T1005))+(T1005)*((S1005)*(V1005)-(U1005)*(T1005)))/W1005,0)</f>
        <v/>
      </c>
      <c r="Z1005">
        <f>IF(ABS(W1005)&gt;1E-12,((LTP3!$D$5)*((P1005)*(V1005)-(U1005)*(R1005))-(S1005)*((S1005)*(V1005)-(U1005)*(T1005))+(LTP3!$D$6)*((S1005)*(R1005)-(P1005)*(T1005)))/W1005,0)</f>
        <v/>
      </c>
      <c r="AA1005">
        <f>LTP3!$D$7-X1005*LTP3!$D$6-Y1005*U1005-Z1005*V1005</f>
        <v/>
      </c>
      <c r="AB1005">
        <f>IF(AND(F1005,ABS(W1005)&gt;1E-12,Y1005&gt;0,Z1005&gt;0),AA1005,1E+300)</f>
        <v/>
      </c>
    </row>
    <row r="1006">
      <c r="A1006">
        <f>$B$3+$B$5*16</f>
        <v/>
      </c>
      <c r="B1006">
        <f>$B$3+$B$5*18</f>
        <v/>
      </c>
      <c r="C1006">
        <f>SUMPRODUCT(Calc!$K$3:$K$22*(Calc!$G$3:$G$22&lt;=A1006))</f>
        <v/>
      </c>
      <c r="D1006">
        <f>SUMPRODUCT(Calc!$K$3:$K$22*(Calc!$G$3:$G$22&gt;A1006)*(Calc!$G$3:$G$22&lt;B1006))</f>
        <v/>
      </c>
      <c r="E1006">
        <f>SUMPRODUCT(Calc!$K$3:$K$22*(Calc!$G$3:$G$22&gt;=B1006))</f>
        <v/>
      </c>
      <c r="F1006">
        <f>AND(k_n&gt;=5,B1006&gt;A1006+1E-9,C1006&gt;=2,D1006&gt;=1,E1006&gt;=2)</f>
        <v/>
      </c>
      <c r="G1006">
        <f>SUMPRODUCT(Calc!$K$3:$K$22*(Calc!$G$3:$G$22&gt;A1006)*(Calc!$G$3:$G$22-A1006))</f>
        <v/>
      </c>
      <c r="H1006">
        <f>SUMPRODUCT(Calc!$K$3:$K$22*(Calc!$G$3:$G$22&gt;B1006)*(Calc!$G$3:$G$22-B1006))</f>
        <v/>
      </c>
      <c r="I1006">
        <f>SUMPRODUCT(Calc!$K$3:$K$22*(Calc!$G$3:$G$22&gt;A1006)*(Calc!$G$3:$G$22-A1006)^2)</f>
        <v/>
      </c>
      <c r="J1006">
        <f>SUMPRODUCT(Calc!$K$3:$K$22*(Calc!$G$3:$G$22&gt;B1006)*(Calc!$G$3:$G$22-B1006)^2)</f>
        <v/>
      </c>
      <c r="K1006">
        <f>SUMPRODUCT(Calc!$K$3:$K$22*(Calc!$G$3:$G$22&gt;A1006)*(Calc!$G$3:$G$22-A1006)*(Calc!$G$3:$G$22&gt;B1006)*(Calc!$G$3:$G$22-B1006))</f>
        <v/>
      </c>
      <c r="L1006">
        <f>SUMPRODUCT(Calc!$K$3:$K$22*(Calc!$G$3:$G$22&gt;A1006)*(Calc!$G$3:$G$22-A1006)*Calc!$G$3:$G$22)</f>
        <v/>
      </c>
      <c r="M1006">
        <f>SUMPRODUCT(Calc!$K$3:$K$22*(Calc!$G$3:$G$22&gt;B1006)*(Calc!$G$3:$G$22-B1006)*Calc!$G$3:$G$22)</f>
        <v/>
      </c>
      <c r="N1006">
        <f>SUMPRODUCT(Calc!$K$3:$K$22*(Calc!$G$3:$G$22&gt;A1006)*(Calc!$G$3:$G$22-A1006)*Calc!$I$3:$I$22)</f>
        <v/>
      </c>
      <c r="O1006">
        <f>SUMPRODUCT(Calc!$K$3:$K$22*(Calc!$G$3:$G$22&gt;B1006)*(Calc!$G$3:$G$22-B1006)*Calc!$I$3:$I$22)</f>
        <v/>
      </c>
      <c r="P1006">
        <f>I1006-G1006^2/k_n</f>
        <v/>
      </c>
      <c r="Q1006">
        <f>J1006-H1006^2/k_n</f>
        <v/>
      </c>
      <c r="R1006">
        <f>K1006-G1006*H1006/k_n</f>
        <v/>
      </c>
      <c r="S1006">
        <f>L1006-LTP3!$D$3*G1006/k_n</f>
        <v/>
      </c>
      <c r="T1006">
        <f>M1006-LTP3!$D$3*H1006/k_n</f>
        <v/>
      </c>
      <c r="U1006">
        <f>N1006-G1006*LTP3!$D$4/k_n</f>
        <v/>
      </c>
      <c r="V1006">
        <f>O1006-H1006*LTP3!$D$4/k_n</f>
        <v/>
      </c>
      <c r="W1006">
        <f>((LTP3!$D$5)*((P1006)*(Q1006)-(R1006)*(R1006))-(S1006)*((S1006)*(Q1006)-(R1006)*(T1006))+(T1006)*((S1006)*(R1006)-(P1006)*(T1006)))</f>
        <v/>
      </c>
      <c r="X1006">
        <f>IF(ABS(W1006)&gt;1E-12,((LTP3!$D$6)*((P1006)*(Q1006)-(R1006)*(R1006))-(S1006)*((U1006)*(Q1006)-(R1006)*(V1006))+(T1006)*((U1006)*(R1006)-(P1006)*(V1006)))/W1006,0)</f>
        <v/>
      </c>
      <c r="Y1006">
        <f>IF(ABS(W1006)&gt;1E-12,((LTP3!$D$5)*((U1006)*(Q1006)-(R1006)*(V1006))-(LTP3!$D$6)*((S1006)*(Q1006)-(R1006)*(T1006))+(T1006)*((S1006)*(V1006)-(U1006)*(T1006)))/W1006,0)</f>
        <v/>
      </c>
      <c r="Z1006">
        <f>IF(ABS(W1006)&gt;1E-12,((LTP3!$D$5)*((P1006)*(V1006)-(U1006)*(R1006))-(S1006)*((S1006)*(V1006)-(U1006)*(T1006))+(LTP3!$D$6)*((S1006)*(R1006)-(P1006)*(T1006)))/W1006,0)</f>
        <v/>
      </c>
      <c r="AA1006">
        <f>LTP3!$D$7-X1006*LTP3!$D$6-Y1006*U1006-Z1006*V1006</f>
        <v/>
      </c>
      <c r="AB1006">
        <f>IF(AND(F1006,ABS(W1006)&gt;1E-12,Y1006&gt;0,Z1006&gt;0),AA1006,1E+300)</f>
        <v/>
      </c>
    </row>
    <row r="1007">
      <c r="A1007">
        <f>$B$3+$B$5*16</f>
        <v/>
      </c>
      <c r="B1007">
        <f>$B$3+$B$5*19</f>
        <v/>
      </c>
      <c r="C1007">
        <f>SUMPRODUCT(Calc!$K$3:$K$22*(Calc!$G$3:$G$22&lt;=A1007))</f>
        <v/>
      </c>
      <c r="D1007">
        <f>SUMPRODUCT(Calc!$K$3:$K$22*(Calc!$G$3:$G$22&gt;A1007)*(Calc!$G$3:$G$22&lt;B1007))</f>
        <v/>
      </c>
      <c r="E1007">
        <f>SUMPRODUCT(Calc!$K$3:$K$22*(Calc!$G$3:$G$22&gt;=B1007))</f>
        <v/>
      </c>
      <c r="F1007">
        <f>AND(k_n&gt;=5,B1007&gt;A1007+1E-9,C1007&gt;=2,D1007&gt;=1,E1007&gt;=2)</f>
        <v/>
      </c>
      <c r="G1007">
        <f>SUMPRODUCT(Calc!$K$3:$K$22*(Calc!$G$3:$G$22&gt;A1007)*(Calc!$G$3:$G$22-A1007))</f>
        <v/>
      </c>
      <c r="H1007">
        <f>SUMPRODUCT(Calc!$K$3:$K$22*(Calc!$G$3:$G$22&gt;B1007)*(Calc!$G$3:$G$22-B1007))</f>
        <v/>
      </c>
      <c r="I1007">
        <f>SUMPRODUCT(Calc!$K$3:$K$22*(Calc!$G$3:$G$22&gt;A1007)*(Calc!$G$3:$G$22-A1007)^2)</f>
        <v/>
      </c>
      <c r="J1007">
        <f>SUMPRODUCT(Calc!$K$3:$K$22*(Calc!$G$3:$G$22&gt;B1007)*(Calc!$G$3:$G$22-B1007)^2)</f>
        <v/>
      </c>
      <c r="K1007">
        <f>SUMPRODUCT(Calc!$K$3:$K$22*(Calc!$G$3:$G$22&gt;A1007)*(Calc!$G$3:$G$22-A1007)*(Calc!$G$3:$G$22&gt;B1007)*(Calc!$G$3:$G$22-B1007))</f>
        <v/>
      </c>
      <c r="L1007">
        <f>SUMPRODUCT(Calc!$K$3:$K$22*(Calc!$G$3:$G$22&gt;A1007)*(Calc!$G$3:$G$22-A1007)*Calc!$G$3:$G$22)</f>
        <v/>
      </c>
      <c r="M1007">
        <f>SUMPRODUCT(Calc!$K$3:$K$22*(Calc!$G$3:$G$22&gt;B1007)*(Calc!$G$3:$G$22-B1007)*Calc!$G$3:$G$22)</f>
        <v/>
      </c>
      <c r="N1007">
        <f>SUMPRODUCT(Calc!$K$3:$K$22*(Calc!$G$3:$G$22&gt;A1007)*(Calc!$G$3:$G$22-A1007)*Calc!$I$3:$I$22)</f>
        <v/>
      </c>
      <c r="O1007">
        <f>SUMPRODUCT(Calc!$K$3:$K$22*(Calc!$G$3:$G$22&gt;B1007)*(Calc!$G$3:$G$22-B1007)*Calc!$I$3:$I$22)</f>
        <v/>
      </c>
      <c r="P1007">
        <f>I1007-G1007^2/k_n</f>
        <v/>
      </c>
      <c r="Q1007">
        <f>J1007-H1007^2/k_n</f>
        <v/>
      </c>
      <c r="R1007">
        <f>K1007-G1007*H1007/k_n</f>
        <v/>
      </c>
      <c r="S1007">
        <f>L1007-LTP3!$D$3*G1007/k_n</f>
        <v/>
      </c>
      <c r="T1007">
        <f>M1007-LTP3!$D$3*H1007/k_n</f>
        <v/>
      </c>
      <c r="U1007">
        <f>N1007-G1007*LTP3!$D$4/k_n</f>
        <v/>
      </c>
      <c r="V1007">
        <f>O1007-H1007*LTP3!$D$4/k_n</f>
        <v/>
      </c>
      <c r="W1007">
        <f>((LTP3!$D$5)*((P1007)*(Q1007)-(R1007)*(R1007))-(S1007)*((S1007)*(Q1007)-(R1007)*(T1007))+(T1007)*((S1007)*(R1007)-(P1007)*(T1007)))</f>
        <v/>
      </c>
      <c r="X1007">
        <f>IF(ABS(W1007)&gt;1E-12,((LTP3!$D$6)*((P1007)*(Q1007)-(R1007)*(R1007))-(S1007)*((U1007)*(Q1007)-(R1007)*(V1007))+(T1007)*((U1007)*(R1007)-(P1007)*(V1007)))/W1007,0)</f>
        <v/>
      </c>
      <c r="Y1007">
        <f>IF(ABS(W1007)&gt;1E-12,((LTP3!$D$5)*((U1007)*(Q1007)-(R1007)*(V1007))-(LTP3!$D$6)*((S1007)*(Q1007)-(R1007)*(T1007))+(T1007)*((S1007)*(V1007)-(U1007)*(T1007)))/W1007,0)</f>
        <v/>
      </c>
      <c r="Z1007">
        <f>IF(ABS(W1007)&gt;1E-12,((LTP3!$D$5)*((P1007)*(V1007)-(U1007)*(R1007))-(S1007)*((S1007)*(V1007)-(U1007)*(T1007))+(LTP3!$D$6)*((S1007)*(R1007)-(P1007)*(T1007)))/W1007,0)</f>
        <v/>
      </c>
      <c r="AA1007">
        <f>LTP3!$D$7-X1007*LTP3!$D$6-Y1007*U1007-Z1007*V1007</f>
        <v/>
      </c>
      <c r="AB1007">
        <f>IF(AND(F1007,ABS(W1007)&gt;1E-12,Y1007&gt;0,Z1007&gt;0),AA1007,1E+300)</f>
        <v/>
      </c>
    </row>
    <row r="1008">
      <c r="A1008">
        <f>$B$3+$B$5*16</f>
        <v/>
      </c>
      <c r="B1008">
        <f>$B$3+$B$5*20</f>
        <v/>
      </c>
      <c r="C1008">
        <f>SUMPRODUCT(Calc!$K$3:$K$22*(Calc!$G$3:$G$22&lt;=A1008))</f>
        <v/>
      </c>
      <c r="D1008">
        <f>SUMPRODUCT(Calc!$K$3:$K$22*(Calc!$G$3:$G$22&gt;A1008)*(Calc!$G$3:$G$22&lt;B1008))</f>
        <v/>
      </c>
      <c r="E1008">
        <f>SUMPRODUCT(Calc!$K$3:$K$22*(Calc!$G$3:$G$22&gt;=B1008))</f>
        <v/>
      </c>
      <c r="F1008">
        <f>AND(k_n&gt;=5,B1008&gt;A1008+1E-9,C1008&gt;=2,D1008&gt;=1,E1008&gt;=2)</f>
        <v/>
      </c>
      <c r="G1008">
        <f>SUMPRODUCT(Calc!$K$3:$K$22*(Calc!$G$3:$G$22&gt;A1008)*(Calc!$G$3:$G$22-A1008))</f>
        <v/>
      </c>
      <c r="H1008">
        <f>SUMPRODUCT(Calc!$K$3:$K$22*(Calc!$G$3:$G$22&gt;B1008)*(Calc!$G$3:$G$22-B1008))</f>
        <v/>
      </c>
      <c r="I1008">
        <f>SUMPRODUCT(Calc!$K$3:$K$22*(Calc!$G$3:$G$22&gt;A1008)*(Calc!$G$3:$G$22-A1008)^2)</f>
        <v/>
      </c>
      <c r="J1008">
        <f>SUMPRODUCT(Calc!$K$3:$K$22*(Calc!$G$3:$G$22&gt;B1008)*(Calc!$G$3:$G$22-B1008)^2)</f>
        <v/>
      </c>
      <c r="K1008">
        <f>SUMPRODUCT(Calc!$K$3:$K$22*(Calc!$G$3:$G$22&gt;A1008)*(Calc!$G$3:$G$22-A1008)*(Calc!$G$3:$G$22&gt;B1008)*(Calc!$G$3:$G$22-B1008))</f>
        <v/>
      </c>
      <c r="L1008">
        <f>SUMPRODUCT(Calc!$K$3:$K$22*(Calc!$G$3:$G$22&gt;A1008)*(Calc!$G$3:$G$22-A1008)*Calc!$G$3:$G$22)</f>
        <v/>
      </c>
      <c r="M1008">
        <f>SUMPRODUCT(Calc!$K$3:$K$22*(Calc!$G$3:$G$22&gt;B1008)*(Calc!$G$3:$G$22-B1008)*Calc!$G$3:$G$22)</f>
        <v/>
      </c>
      <c r="N1008">
        <f>SUMPRODUCT(Calc!$K$3:$K$22*(Calc!$G$3:$G$22&gt;A1008)*(Calc!$G$3:$G$22-A1008)*Calc!$I$3:$I$22)</f>
        <v/>
      </c>
      <c r="O1008">
        <f>SUMPRODUCT(Calc!$K$3:$K$22*(Calc!$G$3:$G$22&gt;B1008)*(Calc!$G$3:$G$22-B1008)*Calc!$I$3:$I$22)</f>
        <v/>
      </c>
      <c r="P1008">
        <f>I1008-G1008^2/k_n</f>
        <v/>
      </c>
      <c r="Q1008">
        <f>J1008-H1008^2/k_n</f>
        <v/>
      </c>
      <c r="R1008">
        <f>K1008-G1008*H1008/k_n</f>
        <v/>
      </c>
      <c r="S1008">
        <f>L1008-LTP3!$D$3*G1008/k_n</f>
        <v/>
      </c>
      <c r="T1008">
        <f>M1008-LTP3!$D$3*H1008/k_n</f>
        <v/>
      </c>
      <c r="U1008">
        <f>N1008-G1008*LTP3!$D$4/k_n</f>
        <v/>
      </c>
      <c r="V1008">
        <f>O1008-H1008*LTP3!$D$4/k_n</f>
        <v/>
      </c>
      <c r="W1008">
        <f>((LTP3!$D$5)*((P1008)*(Q1008)-(R1008)*(R1008))-(S1008)*((S1008)*(Q1008)-(R1008)*(T1008))+(T1008)*((S1008)*(R1008)-(P1008)*(T1008)))</f>
        <v/>
      </c>
      <c r="X1008">
        <f>IF(ABS(W1008)&gt;1E-12,((LTP3!$D$6)*((P1008)*(Q1008)-(R1008)*(R1008))-(S1008)*((U1008)*(Q1008)-(R1008)*(V1008))+(T1008)*((U1008)*(R1008)-(P1008)*(V1008)))/W1008,0)</f>
        <v/>
      </c>
      <c r="Y1008">
        <f>IF(ABS(W1008)&gt;1E-12,((LTP3!$D$5)*((U1008)*(Q1008)-(R1008)*(V1008))-(LTP3!$D$6)*((S1008)*(Q1008)-(R1008)*(T1008))+(T1008)*((S1008)*(V1008)-(U1008)*(T1008)))/W1008,0)</f>
        <v/>
      </c>
      <c r="Z1008">
        <f>IF(ABS(W1008)&gt;1E-12,((LTP3!$D$5)*((P1008)*(V1008)-(U1008)*(R1008))-(S1008)*((S1008)*(V1008)-(U1008)*(T1008))+(LTP3!$D$6)*((S1008)*(R1008)-(P1008)*(T1008)))/W1008,0)</f>
        <v/>
      </c>
      <c r="AA1008">
        <f>LTP3!$D$7-X1008*LTP3!$D$6-Y1008*U1008-Z1008*V1008</f>
        <v/>
      </c>
      <c r="AB1008">
        <f>IF(AND(F1008,ABS(W1008)&gt;1E-12,Y1008&gt;0,Z1008&gt;0),AA1008,1E+300)</f>
        <v/>
      </c>
    </row>
    <row r="1009">
      <c r="A1009">
        <f>$B$3+$B$5*16</f>
        <v/>
      </c>
      <c r="B1009">
        <f>$B$3+$B$5*21</f>
        <v/>
      </c>
      <c r="C1009">
        <f>SUMPRODUCT(Calc!$K$3:$K$22*(Calc!$G$3:$G$22&lt;=A1009))</f>
        <v/>
      </c>
      <c r="D1009">
        <f>SUMPRODUCT(Calc!$K$3:$K$22*(Calc!$G$3:$G$22&gt;A1009)*(Calc!$G$3:$G$22&lt;B1009))</f>
        <v/>
      </c>
      <c r="E1009">
        <f>SUMPRODUCT(Calc!$K$3:$K$22*(Calc!$G$3:$G$22&gt;=B1009))</f>
        <v/>
      </c>
      <c r="F1009">
        <f>AND(k_n&gt;=5,B1009&gt;A1009+1E-9,C1009&gt;=2,D1009&gt;=1,E1009&gt;=2)</f>
        <v/>
      </c>
      <c r="G1009">
        <f>SUMPRODUCT(Calc!$K$3:$K$22*(Calc!$G$3:$G$22&gt;A1009)*(Calc!$G$3:$G$22-A1009))</f>
        <v/>
      </c>
      <c r="H1009">
        <f>SUMPRODUCT(Calc!$K$3:$K$22*(Calc!$G$3:$G$22&gt;B1009)*(Calc!$G$3:$G$22-B1009))</f>
        <v/>
      </c>
      <c r="I1009">
        <f>SUMPRODUCT(Calc!$K$3:$K$22*(Calc!$G$3:$G$22&gt;A1009)*(Calc!$G$3:$G$22-A1009)^2)</f>
        <v/>
      </c>
      <c r="J1009">
        <f>SUMPRODUCT(Calc!$K$3:$K$22*(Calc!$G$3:$G$22&gt;B1009)*(Calc!$G$3:$G$22-B1009)^2)</f>
        <v/>
      </c>
      <c r="K1009">
        <f>SUMPRODUCT(Calc!$K$3:$K$22*(Calc!$G$3:$G$22&gt;A1009)*(Calc!$G$3:$G$22-A1009)*(Calc!$G$3:$G$22&gt;B1009)*(Calc!$G$3:$G$22-B1009))</f>
        <v/>
      </c>
      <c r="L1009">
        <f>SUMPRODUCT(Calc!$K$3:$K$22*(Calc!$G$3:$G$22&gt;A1009)*(Calc!$G$3:$G$22-A1009)*Calc!$G$3:$G$22)</f>
        <v/>
      </c>
      <c r="M1009">
        <f>SUMPRODUCT(Calc!$K$3:$K$22*(Calc!$G$3:$G$22&gt;B1009)*(Calc!$G$3:$G$22-B1009)*Calc!$G$3:$G$22)</f>
        <v/>
      </c>
      <c r="N1009">
        <f>SUMPRODUCT(Calc!$K$3:$K$22*(Calc!$G$3:$G$22&gt;A1009)*(Calc!$G$3:$G$22-A1009)*Calc!$I$3:$I$22)</f>
        <v/>
      </c>
      <c r="O1009">
        <f>SUMPRODUCT(Calc!$K$3:$K$22*(Calc!$G$3:$G$22&gt;B1009)*(Calc!$G$3:$G$22-B1009)*Calc!$I$3:$I$22)</f>
        <v/>
      </c>
      <c r="P1009">
        <f>I1009-G1009^2/k_n</f>
        <v/>
      </c>
      <c r="Q1009">
        <f>J1009-H1009^2/k_n</f>
        <v/>
      </c>
      <c r="R1009">
        <f>K1009-G1009*H1009/k_n</f>
        <v/>
      </c>
      <c r="S1009">
        <f>L1009-LTP3!$D$3*G1009/k_n</f>
        <v/>
      </c>
      <c r="T1009">
        <f>M1009-LTP3!$D$3*H1009/k_n</f>
        <v/>
      </c>
      <c r="U1009">
        <f>N1009-G1009*LTP3!$D$4/k_n</f>
        <v/>
      </c>
      <c r="V1009">
        <f>O1009-H1009*LTP3!$D$4/k_n</f>
        <v/>
      </c>
      <c r="W1009">
        <f>((LTP3!$D$5)*((P1009)*(Q1009)-(R1009)*(R1009))-(S1009)*((S1009)*(Q1009)-(R1009)*(T1009))+(T1009)*((S1009)*(R1009)-(P1009)*(T1009)))</f>
        <v/>
      </c>
      <c r="X1009">
        <f>IF(ABS(W1009)&gt;1E-12,((LTP3!$D$6)*((P1009)*(Q1009)-(R1009)*(R1009))-(S1009)*((U1009)*(Q1009)-(R1009)*(V1009))+(T1009)*((U1009)*(R1009)-(P1009)*(V1009)))/W1009,0)</f>
        <v/>
      </c>
      <c r="Y1009">
        <f>IF(ABS(W1009)&gt;1E-12,((LTP3!$D$5)*((U1009)*(Q1009)-(R1009)*(V1009))-(LTP3!$D$6)*((S1009)*(Q1009)-(R1009)*(T1009))+(T1009)*((S1009)*(V1009)-(U1009)*(T1009)))/W1009,0)</f>
        <v/>
      </c>
      <c r="Z1009">
        <f>IF(ABS(W1009)&gt;1E-12,((LTP3!$D$5)*((P1009)*(V1009)-(U1009)*(R1009))-(S1009)*((S1009)*(V1009)-(U1009)*(T1009))+(LTP3!$D$6)*((S1009)*(R1009)-(P1009)*(T1009)))/W1009,0)</f>
        <v/>
      </c>
      <c r="AA1009">
        <f>LTP3!$D$7-X1009*LTP3!$D$6-Y1009*U1009-Z1009*V1009</f>
        <v/>
      </c>
      <c r="AB1009">
        <f>IF(AND(F1009,ABS(W1009)&gt;1E-12,Y1009&gt;0,Z1009&gt;0),AA1009,1E+300)</f>
        <v/>
      </c>
    </row>
    <row r="1010">
      <c r="A1010">
        <f>$B$3+$B$5*16</f>
        <v/>
      </c>
      <c r="B1010">
        <f>$B$3+$B$5*22</f>
        <v/>
      </c>
      <c r="C1010">
        <f>SUMPRODUCT(Calc!$K$3:$K$22*(Calc!$G$3:$G$22&lt;=A1010))</f>
        <v/>
      </c>
      <c r="D1010">
        <f>SUMPRODUCT(Calc!$K$3:$K$22*(Calc!$G$3:$G$22&gt;A1010)*(Calc!$G$3:$G$22&lt;B1010))</f>
        <v/>
      </c>
      <c r="E1010">
        <f>SUMPRODUCT(Calc!$K$3:$K$22*(Calc!$G$3:$G$22&gt;=B1010))</f>
        <v/>
      </c>
      <c r="F1010">
        <f>AND(k_n&gt;=5,B1010&gt;A1010+1E-9,C1010&gt;=2,D1010&gt;=1,E1010&gt;=2)</f>
        <v/>
      </c>
      <c r="G1010">
        <f>SUMPRODUCT(Calc!$K$3:$K$22*(Calc!$G$3:$G$22&gt;A1010)*(Calc!$G$3:$G$22-A1010))</f>
        <v/>
      </c>
      <c r="H1010">
        <f>SUMPRODUCT(Calc!$K$3:$K$22*(Calc!$G$3:$G$22&gt;B1010)*(Calc!$G$3:$G$22-B1010))</f>
        <v/>
      </c>
      <c r="I1010">
        <f>SUMPRODUCT(Calc!$K$3:$K$22*(Calc!$G$3:$G$22&gt;A1010)*(Calc!$G$3:$G$22-A1010)^2)</f>
        <v/>
      </c>
      <c r="J1010">
        <f>SUMPRODUCT(Calc!$K$3:$K$22*(Calc!$G$3:$G$22&gt;B1010)*(Calc!$G$3:$G$22-B1010)^2)</f>
        <v/>
      </c>
      <c r="K1010">
        <f>SUMPRODUCT(Calc!$K$3:$K$22*(Calc!$G$3:$G$22&gt;A1010)*(Calc!$G$3:$G$22-A1010)*(Calc!$G$3:$G$22&gt;B1010)*(Calc!$G$3:$G$22-B1010))</f>
        <v/>
      </c>
      <c r="L1010">
        <f>SUMPRODUCT(Calc!$K$3:$K$22*(Calc!$G$3:$G$22&gt;A1010)*(Calc!$G$3:$G$22-A1010)*Calc!$G$3:$G$22)</f>
        <v/>
      </c>
      <c r="M1010">
        <f>SUMPRODUCT(Calc!$K$3:$K$22*(Calc!$G$3:$G$22&gt;B1010)*(Calc!$G$3:$G$22-B1010)*Calc!$G$3:$G$22)</f>
        <v/>
      </c>
      <c r="N1010">
        <f>SUMPRODUCT(Calc!$K$3:$K$22*(Calc!$G$3:$G$22&gt;A1010)*(Calc!$G$3:$G$22-A1010)*Calc!$I$3:$I$22)</f>
        <v/>
      </c>
      <c r="O1010">
        <f>SUMPRODUCT(Calc!$K$3:$K$22*(Calc!$G$3:$G$22&gt;B1010)*(Calc!$G$3:$G$22-B1010)*Calc!$I$3:$I$22)</f>
        <v/>
      </c>
      <c r="P1010">
        <f>I1010-G1010^2/k_n</f>
        <v/>
      </c>
      <c r="Q1010">
        <f>J1010-H1010^2/k_n</f>
        <v/>
      </c>
      <c r="R1010">
        <f>K1010-G1010*H1010/k_n</f>
        <v/>
      </c>
      <c r="S1010">
        <f>L1010-LTP3!$D$3*G1010/k_n</f>
        <v/>
      </c>
      <c r="T1010">
        <f>M1010-LTP3!$D$3*H1010/k_n</f>
        <v/>
      </c>
      <c r="U1010">
        <f>N1010-G1010*LTP3!$D$4/k_n</f>
        <v/>
      </c>
      <c r="V1010">
        <f>O1010-H1010*LTP3!$D$4/k_n</f>
        <v/>
      </c>
      <c r="W1010">
        <f>((LTP3!$D$5)*((P1010)*(Q1010)-(R1010)*(R1010))-(S1010)*((S1010)*(Q1010)-(R1010)*(T1010))+(T1010)*((S1010)*(R1010)-(P1010)*(T1010)))</f>
        <v/>
      </c>
      <c r="X1010">
        <f>IF(ABS(W1010)&gt;1E-12,((LTP3!$D$6)*((P1010)*(Q1010)-(R1010)*(R1010))-(S1010)*((U1010)*(Q1010)-(R1010)*(V1010))+(T1010)*((U1010)*(R1010)-(P1010)*(V1010)))/W1010,0)</f>
        <v/>
      </c>
      <c r="Y1010">
        <f>IF(ABS(W1010)&gt;1E-12,((LTP3!$D$5)*((U1010)*(Q1010)-(R1010)*(V1010))-(LTP3!$D$6)*((S1010)*(Q1010)-(R1010)*(T1010))+(T1010)*((S1010)*(V1010)-(U1010)*(T1010)))/W1010,0)</f>
        <v/>
      </c>
      <c r="Z1010">
        <f>IF(ABS(W1010)&gt;1E-12,((LTP3!$D$5)*((P1010)*(V1010)-(U1010)*(R1010))-(S1010)*((S1010)*(V1010)-(U1010)*(T1010))+(LTP3!$D$6)*((S1010)*(R1010)-(P1010)*(T1010)))/W1010,0)</f>
        <v/>
      </c>
      <c r="AA1010">
        <f>LTP3!$D$7-X1010*LTP3!$D$6-Y1010*U1010-Z1010*V1010</f>
        <v/>
      </c>
      <c r="AB1010">
        <f>IF(AND(F1010,ABS(W1010)&gt;1E-12,Y1010&gt;0,Z1010&gt;0),AA1010,1E+300)</f>
        <v/>
      </c>
    </row>
    <row r="1011">
      <c r="A1011">
        <f>$B$3+$B$5*16</f>
        <v/>
      </c>
      <c r="B1011">
        <f>$B$3+$B$5*23</f>
        <v/>
      </c>
      <c r="C1011">
        <f>SUMPRODUCT(Calc!$K$3:$K$22*(Calc!$G$3:$G$22&lt;=A1011))</f>
        <v/>
      </c>
      <c r="D1011">
        <f>SUMPRODUCT(Calc!$K$3:$K$22*(Calc!$G$3:$G$22&gt;A1011)*(Calc!$G$3:$G$22&lt;B1011))</f>
        <v/>
      </c>
      <c r="E1011">
        <f>SUMPRODUCT(Calc!$K$3:$K$22*(Calc!$G$3:$G$22&gt;=B1011))</f>
        <v/>
      </c>
      <c r="F1011">
        <f>AND(k_n&gt;=5,B1011&gt;A1011+1E-9,C1011&gt;=2,D1011&gt;=1,E1011&gt;=2)</f>
        <v/>
      </c>
      <c r="G1011">
        <f>SUMPRODUCT(Calc!$K$3:$K$22*(Calc!$G$3:$G$22&gt;A1011)*(Calc!$G$3:$G$22-A1011))</f>
        <v/>
      </c>
      <c r="H1011">
        <f>SUMPRODUCT(Calc!$K$3:$K$22*(Calc!$G$3:$G$22&gt;B1011)*(Calc!$G$3:$G$22-B1011))</f>
        <v/>
      </c>
      <c r="I1011">
        <f>SUMPRODUCT(Calc!$K$3:$K$22*(Calc!$G$3:$G$22&gt;A1011)*(Calc!$G$3:$G$22-A1011)^2)</f>
        <v/>
      </c>
      <c r="J1011">
        <f>SUMPRODUCT(Calc!$K$3:$K$22*(Calc!$G$3:$G$22&gt;B1011)*(Calc!$G$3:$G$22-B1011)^2)</f>
        <v/>
      </c>
      <c r="K1011">
        <f>SUMPRODUCT(Calc!$K$3:$K$22*(Calc!$G$3:$G$22&gt;A1011)*(Calc!$G$3:$G$22-A1011)*(Calc!$G$3:$G$22&gt;B1011)*(Calc!$G$3:$G$22-B1011))</f>
        <v/>
      </c>
      <c r="L1011">
        <f>SUMPRODUCT(Calc!$K$3:$K$22*(Calc!$G$3:$G$22&gt;A1011)*(Calc!$G$3:$G$22-A1011)*Calc!$G$3:$G$22)</f>
        <v/>
      </c>
      <c r="M1011">
        <f>SUMPRODUCT(Calc!$K$3:$K$22*(Calc!$G$3:$G$22&gt;B1011)*(Calc!$G$3:$G$22-B1011)*Calc!$G$3:$G$22)</f>
        <v/>
      </c>
      <c r="N1011">
        <f>SUMPRODUCT(Calc!$K$3:$K$22*(Calc!$G$3:$G$22&gt;A1011)*(Calc!$G$3:$G$22-A1011)*Calc!$I$3:$I$22)</f>
        <v/>
      </c>
      <c r="O1011">
        <f>SUMPRODUCT(Calc!$K$3:$K$22*(Calc!$G$3:$G$22&gt;B1011)*(Calc!$G$3:$G$22-B1011)*Calc!$I$3:$I$22)</f>
        <v/>
      </c>
      <c r="P1011">
        <f>I1011-G1011^2/k_n</f>
        <v/>
      </c>
      <c r="Q1011">
        <f>J1011-H1011^2/k_n</f>
        <v/>
      </c>
      <c r="R1011">
        <f>K1011-G1011*H1011/k_n</f>
        <v/>
      </c>
      <c r="S1011">
        <f>L1011-LTP3!$D$3*G1011/k_n</f>
        <v/>
      </c>
      <c r="T1011">
        <f>M1011-LTP3!$D$3*H1011/k_n</f>
        <v/>
      </c>
      <c r="U1011">
        <f>N1011-G1011*LTP3!$D$4/k_n</f>
        <v/>
      </c>
      <c r="V1011">
        <f>O1011-H1011*LTP3!$D$4/k_n</f>
        <v/>
      </c>
      <c r="W1011">
        <f>((LTP3!$D$5)*((P1011)*(Q1011)-(R1011)*(R1011))-(S1011)*((S1011)*(Q1011)-(R1011)*(T1011))+(T1011)*((S1011)*(R1011)-(P1011)*(T1011)))</f>
        <v/>
      </c>
      <c r="X1011">
        <f>IF(ABS(W1011)&gt;1E-12,((LTP3!$D$6)*((P1011)*(Q1011)-(R1011)*(R1011))-(S1011)*((U1011)*(Q1011)-(R1011)*(V1011))+(T1011)*((U1011)*(R1011)-(P1011)*(V1011)))/W1011,0)</f>
        <v/>
      </c>
      <c r="Y1011">
        <f>IF(ABS(W1011)&gt;1E-12,((LTP3!$D$5)*((U1011)*(Q1011)-(R1011)*(V1011))-(LTP3!$D$6)*((S1011)*(Q1011)-(R1011)*(T1011))+(T1011)*((S1011)*(V1011)-(U1011)*(T1011)))/W1011,0)</f>
        <v/>
      </c>
      <c r="Z1011">
        <f>IF(ABS(W1011)&gt;1E-12,((LTP3!$D$5)*((P1011)*(V1011)-(U1011)*(R1011))-(S1011)*((S1011)*(V1011)-(U1011)*(T1011))+(LTP3!$D$6)*((S1011)*(R1011)-(P1011)*(T1011)))/W1011,0)</f>
        <v/>
      </c>
      <c r="AA1011">
        <f>LTP3!$D$7-X1011*LTP3!$D$6-Y1011*U1011-Z1011*V1011</f>
        <v/>
      </c>
      <c r="AB1011">
        <f>IF(AND(F1011,ABS(W1011)&gt;1E-12,Y1011&gt;0,Z1011&gt;0),AA1011,1E+300)</f>
        <v/>
      </c>
    </row>
    <row r="1012">
      <c r="A1012">
        <f>$B$3+$B$5*16</f>
        <v/>
      </c>
      <c r="B1012">
        <f>$B$3+$B$5*24</f>
        <v/>
      </c>
      <c r="C1012">
        <f>SUMPRODUCT(Calc!$K$3:$K$22*(Calc!$G$3:$G$22&lt;=A1012))</f>
        <v/>
      </c>
      <c r="D1012">
        <f>SUMPRODUCT(Calc!$K$3:$K$22*(Calc!$G$3:$G$22&gt;A1012)*(Calc!$G$3:$G$22&lt;B1012))</f>
        <v/>
      </c>
      <c r="E1012">
        <f>SUMPRODUCT(Calc!$K$3:$K$22*(Calc!$G$3:$G$22&gt;=B1012))</f>
        <v/>
      </c>
      <c r="F1012">
        <f>AND(k_n&gt;=5,B1012&gt;A1012+1E-9,C1012&gt;=2,D1012&gt;=1,E1012&gt;=2)</f>
        <v/>
      </c>
      <c r="G1012">
        <f>SUMPRODUCT(Calc!$K$3:$K$22*(Calc!$G$3:$G$22&gt;A1012)*(Calc!$G$3:$G$22-A1012))</f>
        <v/>
      </c>
      <c r="H1012">
        <f>SUMPRODUCT(Calc!$K$3:$K$22*(Calc!$G$3:$G$22&gt;B1012)*(Calc!$G$3:$G$22-B1012))</f>
        <v/>
      </c>
      <c r="I1012">
        <f>SUMPRODUCT(Calc!$K$3:$K$22*(Calc!$G$3:$G$22&gt;A1012)*(Calc!$G$3:$G$22-A1012)^2)</f>
        <v/>
      </c>
      <c r="J1012">
        <f>SUMPRODUCT(Calc!$K$3:$K$22*(Calc!$G$3:$G$22&gt;B1012)*(Calc!$G$3:$G$22-B1012)^2)</f>
        <v/>
      </c>
      <c r="K1012">
        <f>SUMPRODUCT(Calc!$K$3:$K$22*(Calc!$G$3:$G$22&gt;A1012)*(Calc!$G$3:$G$22-A1012)*(Calc!$G$3:$G$22&gt;B1012)*(Calc!$G$3:$G$22-B1012))</f>
        <v/>
      </c>
      <c r="L1012">
        <f>SUMPRODUCT(Calc!$K$3:$K$22*(Calc!$G$3:$G$22&gt;A1012)*(Calc!$G$3:$G$22-A1012)*Calc!$G$3:$G$22)</f>
        <v/>
      </c>
      <c r="M1012">
        <f>SUMPRODUCT(Calc!$K$3:$K$22*(Calc!$G$3:$G$22&gt;B1012)*(Calc!$G$3:$G$22-B1012)*Calc!$G$3:$G$22)</f>
        <v/>
      </c>
      <c r="N1012">
        <f>SUMPRODUCT(Calc!$K$3:$K$22*(Calc!$G$3:$G$22&gt;A1012)*(Calc!$G$3:$G$22-A1012)*Calc!$I$3:$I$22)</f>
        <v/>
      </c>
      <c r="O1012">
        <f>SUMPRODUCT(Calc!$K$3:$K$22*(Calc!$G$3:$G$22&gt;B1012)*(Calc!$G$3:$G$22-B1012)*Calc!$I$3:$I$22)</f>
        <v/>
      </c>
      <c r="P1012">
        <f>I1012-G1012^2/k_n</f>
        <v/>
      </c>
      <c r="Q1012">
        <f>J1012-H1012^2/k_n</f>
        <v/>
      </c>
      <c r="R1012">
        <f>K1012-G1012*H1012/k_n</f>
        <v/>
      </c>
      <c r="S1012">
        <f>L1012-LTP3!$D$3*G1012/k_n</f>
        <v/>
      </c>
      <c r="T1012">
        <f>M1012-LTP3!$D$3*H1012/k_n</f>
        <v/>
      </c>
      <c r="U1012">
        <f>N1012-G1012*LTP3!$D$4/k_n</f>
        <v/>
      </c>
      <c r="V1012">
        <f>O1012-H1012*LTP3!$D$4/k_n</f>
        <v/>
      </c>
      <c r="W1012">
        <f>((LTP3!$D$5)*((P1012)*(Q1012)-(R1012)*(R1012))-(S1012)*((S1012)*(Q1012)-(R1012)*(T1012))+(T1012)*((S1012)*(R1012)-(P1012)*(T1012)))</f>
        <v/>
      </c>
      <c r="X1012">
        <f>IF(ABS(W1012)&gt;1E-12,((LTP3!$D$6)*((P1012)*(Q1012)-(R1012)*(R1012))-(S1012)*((U1012)*(Q1012)-(R1012)*(V1012))+(T1012)*((U1012)*(R1012)-(P1012)*(V1012)))/W1012,0)</f>
        <v/>
      </c>
      <c r="Y1012">
        <f>IF(ABS(W1012)&gt;1E-12,((LTP3!$D$5)*((U1012)*(Q1012)-(R1012)*(V1012))-(LTP3!$D$6)*((S1012)*(Q1012)-(R1012)*(T1012))+(T1012)*((S1012)*(V1012)-(U1012)*(T1012)))/W1012,0)</f>
        <v/>
      </c>
      <c r="Z1012">
        <f>IF(ABS(W1012)&gt;1E-12,((LTP3!$D$5)*((P1012)*(V1012)-(U1012)*(R1012))-(S1012)*((S1012)*(V1012)-(U1012)*(T1012))+(LTP3!$D$6)*((S1012)*(R1012)-(P1012)*(T1012)))/W1012,0)</f>
        <v/>
      </c>
      <c r="AA1012">
        <f>LTP3!$D$7-X1012*LTP3!$D$6-Y1012*U1012-Z1012*V1012</f>
        <v/>
      </c>
      <c r="AB1012">
        <f>IF(AND(F1012,ABS(W1012)&gt;1E-12,Y1012&gt;0,Z1012&gt;0),AA1012,1E+300)</f>
        <v/>
      </c>
    </row>
    <row r="1013">
      <c r="A1013">
        <f>$B$3+$B$5*16</f>
        <v/>
      </c>
      <c r="B1013">
        <f>$B$3+$B$5*25</f>
        <v/>
      </c>
      <c r="C1013">
        <f>SUMPRODUCT(Calc!$K$3:$K$22*(Calc!$G$3:$G$22&lt;=A1013))</f>
        <v/>
      </c>
      <c r="D1013">
        <f>SUMPRODUCT(Calc!$K$3:$K$22*(Calc!$G$3:$G$22&gt;A1013)*(Calc!$G$3:$G$22&lt;B1013))</f>
        <v/>
      </c>
      <c r="E1013">
        <f>SUMPRODUCT(Calc!$K$3:$K$22*(Calc!$G$3:$G$22&gt;=B1013))</f>
        <v/>
      </c>
      <c r="F1013">
        <f>AND(k_n&gt;=5,B1013&gt;A1013+1E-9,C1013&gt;=2,D1013&gt;=1,E1013&gt;=2)</f>
        <v/>
      </c>
      <c r="G1013">
        <f>SUMPRODUCT(Calc!$K$3:$K$22*(Calc!$G$3:$G$22&gt;A1013)*(Calc!$G$3:$G$22-A1013))</f>
        <v/>
      </c>
      <c r="H1013">
        <f>SUMPRODUCT(Calc!$K$3:$K$22*(Calc!$G$3:$G$22&gt;B1013)*(Calc!$G$3:$G$22-B1013))</f>
        <v/>
      </c>
      <c r="I1013">
        <f>SUMPRODUCT(Calc!$K$3:$K$22*(Calc!$G$3:$G$22&gt;A1013)*(Calc!$G$3:$G$22-A1013)^2)</f>
        <v/>
      </c>
      <c r="J1013">
        <f>SUMPRODUCT(Calc!$K$3:$K$22*(Calc!$G$3:$G$22&gt;B1013)*(Calc!$G$3:$G$22-B1013)^2)</f>
        <v/>
      </c>
      <c r="K1013">
        <f>SUMPRODUCT(Calc!$K$3:$K$22*(Calc!$G$3:$G$22&gt;A1013)*(Calc!$G$3:$G$22-A1013)*(Calc!$G$3:$G$22&gt;B1013)*(Calc!$G$3:$G$22-B1013))</f>
        <v/>
      </c>
      <c r="L1013">
        <f>SUMPRODUCT(Calc!$K$3:$K$22*(Calc!$G$3:$G$22&gt;A1013)*(Calc!$G$3:$G$22-A1013)*Calc!$G$3:$G$22)</f>
        <v/>
      </c>
      <c r="M1013">
        <f>SUMPRODUCT(Calc!$K$3:$K$22*(Calc!$G$3:$G$22&gt;B1013)*(Calc!$G$3:$G$22-B1013)*Calc!$G$3:$G$22)</f>
        <v/>
      </c>
      <c r="N1013">
        <f>SUMPRODUCT(Calc!$K$3:$K$22*(Calc!$G$3:$G$22&gt;A1013)*(Calc!$G$3:$G$22-A1013)*Calc!$I$3:$I$22)</f>
        <v/>
      </c>
      <c r="O1013">
        <f>SUMPRODUCT(Calc!$K$3:$K$22*(Calc!$G$3:$G$22&gt;B1013)*(Calc!$G$3:$G$22-B1013)*Calc!$I$3:$I$22)</f>
        <v/>
      </c>
      <c r="P1013">
        <f>I1013-G1013^2/k_n</f>
        <v/>
      </c>
      <c r="Q1013">
        <f>J1013-H1013^2/k_n</f>
        <v/>
      </c>
      <c r="R1013">
        <f>K1013-G1013*H1013/k_n</f>
        <v/>
      </c>
      <c r="S1013">
        <f>L1013-LTP3!$D$3*G1013/k_n</f>
        <v/>
      </c>
      <c r="T1013">
        <f>M1013-LTP3!$D$3*H1013/k_n</f>
        <v/>
      </c>
      <c r="U1013">
        <f>N1013-G1013*LTP3!$D$4/k_n</f>
        <v/>
      </c>
      <c r="V1013">
        <f>O1013-H1013*LTP3!$D$4/k_n</f>
        <v/>
      </c>
      <c r="W1013">
        <f>((LTP3!$D$5)*((P1013)*(Q1013)-(R1013)*(R1013))-(S1013)*((S1013)*(Q1013)-(R1013)*(T1013))+(T1013)*((S1013)*(R1013)-(P1013)*(T1013)))</f>
        <v/>
      </c>
      <c r="X1013">
        <f>IF(ABS(W1013)&gt;1E-12,((LTP3!$D$6)*((P1013)*(Q1013)-(R1013)*(R1013))-(S1013)*((U1013)*(Q1013)-(R1013)*(V1013))+(T1013)*((U1013)*(R1013)-(P1013)*(V1013)))/W1013,0)</f>
        <v/>
      </c>
      <c r="Y1013">
        <f>IF(ABS(W1013)&gt;1E-12,((LTP3!$D$5)*((U1013)*(Q1013)-(R1013)*(V1013))-(LTP3!$D$6)*((S1013)*(Q1013)-(R1013)*(T1013))+(T1013)*((S1013)*(V1013)-(U1013)*(T1013)))/W1013,0)</f>
        <v/>
      </c>
      <c r="Z1013">
        <f>IF(ABS(W1013)&gt;1E-12,((LTP3!$D$5)*((P1013)*(V1013)-(U1013)*(R1013))-(S1013)*((S1013)*(V1013)-(U1013)*(T1013))+(LTP3!$D$6)*((S1013)*(R1013)-(P1013)*(T1013)))/W1013,0)</f>
        <v/>
      </c>
      <c r="AA1013">
        <f>LTP3!$D$7-X1013*LTP3!$D$6-Y1013*U1013-Z1013*V1013</f>
        <v/>
      </c>
      <c r="AB1013">
        <f>IF(AND(F1013,ABS(W1013)&gt;1E-12,Y1013&gt;0,Z1013&gt;0),AA1013,1E+300)</f>
        <v/>
      </c>
    </row>
    <row r="1014">
      <c r="A1014">
        <f>$B$3+$B$5*16</f>
        <v/>
      </c>
      <c r="B1014">
        <f>$B$3+$B$5*26</f>
        <v/>
      </c>
      <c r="C1014">
        <f>SUMPRODUCT(Calc!$K$3:$K$22*(Calc!$G$3:$G$22&lt;=A1014))</f>
        <v/>
      </c>
      <c r="D1014">
        <f>SUMPRODUCT(Calc!$K$3:$K$22*(Calc!$G$3:$G$22&gt;A1014)*(Calc!$G$3:$G$22&lt;B1014))</f>
        <v/>
      </c>
      <c r="E1014">
        <f>SUMPRODUCT(Calc!$K$3:$K$22*(Calc!$G$3:$G$22&gt;=B1014))</f>
        <v/>
      </c>
      <c r="F1014">
        <f>AND(k_n&gt;=5,B1014&gt;A1014+1E-9,C1014&gt;=2,D1014&gt;=1,E1014&gt;=2)</f>
        <v/>
      </c>
      <c r="G1014">
        <f>SUMPRODUCT(Calc!$K$3:$K$22*(Calc!$G$3:$G$22&gt;A1014)*(Calc!$G$3:$G$22-A1014))</f>
        <v/>
      </c>
      <c r="H1014">
        <f>SUMPRODUCT(Calc!$K$3:$K$22*(Calc!$G$3:$G$22&gt;B1014)*(Calc!$G$3:$G$22-B1014))</f>
        <v/>
      </c>
      <c r="I1014">
        <f>SUMPRODUCT(Calc!$K$3:$K$22*(Calc!$G$3:$G$22&gt;A1014)*(Calc!$G$3:$G$22-A1014)^2)</f>
        <v/>
      </c>
      <c r="J1014">
        <f>SUMPRODUCT(Calc!$K$3:$K$22*(Calc!$G$3:$G$22&gt;B1014)*(Calc!$G$3:$G$22-B1014)^2)</f>
        <v/>
      </c>
      <c r="K1014">
        <f>SUMPRODUCT(Calc!$K$3:$K$22*(Calc!$G$3:$G$22&gt;A1014)*(Calc!$G$3:$G$22-A1014)*(Calc!$G$3:$G$22&gt;B1014)*(Calc!$G$3:$G$22-B1014))</f>
        <v/>
      </c>
      <c r="L1014">
        <f>SUMPRODUCT(Calc!$K$3:$K$22*(Calc!$G$3:$G$22&gt;A1014)*(Calc!$G$3:$G$22-A1014)*Calc!$G$3:$G$22)</f>
        <v/>
      </c>
      <c r="M1014">
        <f>SUMPRODUCT(Calc!$K$3:$K$22*(Calc!$G$3:$G$22&gt;B1014)*(Calc!$G$3:$G$22-B1014)*Calc!$G$3:$G$22)</f>
        <v/>
      </c>
      <c r="N1014">
        <f>SUMPRODUCT(Calc!$K$3:$K$22*(Calc!$G$3:$G$22&gt;A1014)*(Calc!$G$3:$G$22-A1014)*Calc!$I$3:$I$22)</f>
        <v/>
      </c>
      <c r="O1014">
        <f>SUMPRODUCT(Calc!$K$3:$K$22*(Calc!$G$3:$G$22&gt;B1014)*(Calc!$G$3:$G$22-B1014)*Calc!$I$3:$I$22)</f>
        <v/>
      </c>
      <c r="P1014">
        <f>I1014-G1014^2/k_n</f>
        <v/>
      </c>
      <c r="Q1014">
        <f>J1014-H1014^2/k_n</f>
        <v/>
      </c>
      <c r="R1014">
        <f>K1014-G1014*H1014/k_n</f>
        <v/>
      </c>
      <c r="S1014">
        <f>L1014-LTP3!$D$3*G1014/k_n</f>
        <v/>
      </c>
      <c r="T1014">
        <f>M1014-LTP3!$D$3*H1014/k_n</f>
        <v/>
      </c>
      <c r="U1014">
        <f>N1014-G1014*LTP3!$D$4/k_n</f>
        <v/>
      </c>
      <c r="V1014">
        <f>O1014-H1014*LTP3!$D$4/k_n</f>
        <v/>
      </c>
      <c r="W1014">
        <f>((LTP3!$D$5)*((P1014)*(Q1014)-(R1014)*(R1014))-(S1014)*((S1014)*(Q1014)-(R1014)*(T1014))+(T1014)*((S1014)*(R1014)-(P1014)*(T1014)))</f>
        <v/>
      </c>
      <c r="X1014">
        <f>IF(ABS(W1014)&gt;1E-12,((LTP3!$D$6)*((P1014)*(Q1014)-(R1014)*(R1014))-(S1014)*((U1014)*(Q1014)-(R1014)*(V1014))+(T1014)*((U1014)*(R1014)-(P1014)*(V1014)))/W1014,0)</f>
        <v/>
      </c>
      <c r="Y1014">
        <f>IF(ABS(W1014)&gt;1E-12,((LTP3!$D$5)*((U1014)*(Q1014)-(R1014)*(V1014))-(LTP3!$D$6)*((S1014)*(Q1014)-(R1014)*(T1014))+(T1014)*((S1014)*(V1014)-(U1014)*(T1014)))/W1014,0)</f>
        <v/>
      </c>
      <c r="Z1014">
        <f>IF(ABS(W1014)&gt;1E-12,((LTP3!$D$5)*((P1014)*(V1014)-(U1014)*(R1014))-(S1014)*((S1014)*(V1014)-(U1014)*(T1014))+(LTP3!$D$6)*((S1014)*(R1014)-(P1014)*(T1014)))/W1014,0)</f>
        <v/>
      </c>
      <c r="AA1014">
        <f>LTP3!$D$7-X1014*LTP3!$D$6-Y1014*U1014-Z1014*V1014</f>
        <v/>
      </c>
      <c r="AB1014">
        <f>IF(AND(F1014,ABS(W1014)&gt;1E-12,Y1014&gt;0,Z1014&gt;0),AA1014,1E+300)</f>
        <v/>
      </c>
    </row>
    <row r="1015">
      <c r="A1015">
        <f>$B$3+$B$5*16</f>
        <v/>
      </c>
      <c r="B1015">
        <f>$B$3+$B$5*27</f>
        <v/>
      </c>
      <c r="C1015">
        <f>SUMPRODUCT(Calc!$K$3:$K$22*(Calc!$G$3:$G$22&lt;=A1015))</f>
        <v/>
      </c>
      <c r="D1015">
        <f>SUMPRODUCT(Calc!$K$3:$K$22*(Calc!$G$3:$G$22&gt;A1015)*(Calc!$G$3:$G$22&lt;B1015))</f>
        <v/>
      </c>
      <c r="E1015">
        <f>SUMPRODUCT(Calc!$K$3:$K$22*(Calc!$G$3:$G$22&gt;=B1015))</f>
        <v/>
      </c>
      <c r="F1015">
        <f>AND(k_n&gt;=5,B1015&gt;A1015+1E-9,C1015&gt;=2,D1015&gt;=1,E1015&gt;=2)</f>
        <v/>
      </c>
      <c r="G1015">
        <f>SUMPRODUCT(Calc!$K$3:$K$22*(Calc!$G$3:$G$22&gt;A1015)*(Calc!$G$3:$G$22-A1015))</f>
        <v/>
      </c>
      <c r="H1015">
        <f>SUMPRODUCT(Calc!$K$3:$K$22*(Calc!$G$3:$G$22&gt;B1015)*(Calc!$G$3:$G$22-B1015))</f>
        <v/>
      </c>
      <c r="I1015">
        <f>SUMPRODUCT(Calc!$K$3:$K$22*(Calc!$G$3:$G$22&gt;A1015)*(Calc!$G$3:$G$22-A1015)^2)</f>
        <v/>
      </c>
      <c r="J1015">
        <f>SUMPRODUCT(Calc!$K$3:$K$22*(Calc!$G$3:$G$22&gt;B1015)*(Calc!$G$3:$G$22-B1015)^2)</f>
        <v/>
      </c>
      <c r="K1015">
        <f>SUMPRODUCT(Calc!$K$3:$K$22*(Calc!$G$3:$G$22&gt;A1015)*(Calc!$G$3:$G$22-A1015)*(Calc!$G$3:$G$22&gt;B1015)*(Calc!$G$3:$G$22-B1015))</f>
        <v/>
      </c>
      <c r="L1015">
        <f>SUMPRODUCT(Calc!$K$3:$K$22*(Calc!$G$3:$G$22&gt;A1015)*(Calc!$G$3:$G$22-A1015)*Calc!$G$3:$G$22)</f>
        <v/>
      </c>
      <c r="M1015">
        <f>SUMPRODUCT(Calc!$K$3:$K$22*(Calc!$G$3:$G$22&gt;B1015)*(Calc!$G$3:$G$22-B1015)*Calc!$G$3:$G$22)</f>
        <v/>
      </c>
      <c r="N1015">
        <f>SUMPRODUCT(Calc!$K$3:$K$22*(Calc!$G$3:$G$22&gt;A1015)*(Calc!$G$3:$G$22-A1015)*Calc!$I$3:$I$22)</f>
        <v/>
      </c>
      <c r="O1015">
        <f>SUMPRODUCT(Calc!$K$3:$K$22*(Calc!$G$3:$G$22&gt;B1015)*(Calc!$G$3:$G$22-B1015)*Calc!$I$3:$I$22)</f>
        <v/>
      </c>
      <c r="P1015">
        <f>I1015-G1015^2/k_n</f>
        <v/>
      </c>
      <c r="Q1015">
        <f>J1015-H1015^2/k_n</f>
        <v/>
      </c>
      <c r="R1015">
        <f>K1015-G1015*H1015/k_n</f>
        <v/>
      </c>
      <c r="S1015">
        <f>L1015-LTP3!$D$3*G1015/k_n</f>
        <v/>
      </c>
      <c r="T1015">
        <f>M1015-LTP3!$D$3*H1015/k_n</f>
        <v/>
      </c>
      <c r="U1015">
        <f>N1015-G1015*LTP3!$D$4/k_n</f>
        <v/>
      </c>
      <c r="V1015">
        <f>O1015-H1015*LTP3!$D$4/k_n</f>
        <v/>
      </c>
      <c r="W1015">
        <f>((LTP3!$D$5)*((P1015)*(Q1015)-(R1015)*(R1015))-(S1015)*((S1015)*(Q1015)-(R1015)*(T1015))+(T1015)*((S1015)*(R1015)-(P1015)*(T1015)))</f>
        <v/>
      </c>
      <c r="X1015">
        <f>IF(ABS(W1015)&gt;1E-12,((LTP3!$D$6)*((P1015)*(Q1015)-(R1015)*(R1015))-(S1015)*((U1015)*(Q1015)-(R1015)*(V1015))+(T1015)*((U1015)*(R1015)-(P1015)*(V1015)))/W1015,0)</f>
        <v/>
      </c>
      <c r="Y1015">
        <f>IF(ABS(W1015)&gt;1E-12,((LTP3!$D$5)*((U1015)*(Q1015)-(R1015)*(V1015))-(LTP3!$D$6)*((S1015)*(Q1015)-(R1015)*(T1015))+(T1015)*((S1015)*(V1015)-(U1015)*(T1015)))/W1015,0)</f>
        <v/>
      </c>
      <c r="Z1015">
        <f>IF(ABS(W1015)&gt;1E-12,((LTP3!$D$5)*((P1015)*(V1015)-(U1015)*(R1015))-(S1015)*((S1015)*(V1015)-(U1015)*(T1015))+(LTP3!$D$6)*((S1015)*(R1015)-(P1015)*(T1015)))/W1015,0)</f>
        <v/>
      </c>
      <c r="AA1015">
        <f>LTP3!$D$7-X1015*LTP3!$D$6-Y1015*U1015-Z1015*V1015</f>
        <v/>
      </c>
      <c r="AB1015">
        <f>IF(AND(F1015,ABS(W1015)&gt;1E-12,Y1015&gt;0,Z1015&gt;0),AA1015,1E+300)</f>
        <v/>
      </c>
    </row>
    <row r="1016">
      <c r="A1016">
        <f>$B$3+$B$5*16</f>
        <v/>
      </c>
      <c r="B1016">
        <f>$B$3+$B$5*28</f>
        <v/>
      </c>
      <c r="C1016">
        <f>SUMPRODUCT(Calc!$K$3:$K$22*(Calc!$G$3:$G$22&lt;=A1016))</f>
        <v/>
      </c>
      <c r="D1016">
        <f>SUMPRODUCT(Calc!$K$3:$K$22*(Calc!$G$3:$G$22&gt;A1016)*(Calc!$G$3:$G$22&lt;B1016))</f>
        <v/>
      </c>
      <c r="E1016">
        <f>SUMPRODUCT(Calc!$K$3:$K$22*(Calc!$G$3:$G$22&gt;=B1016))</f>
        <v/>
      </c>
      <c r="F1016">
        <f>AND(k_n&gt;=5,B1016&gt;A1016+1E-9,C1016&gt;=2,D1016&gt;=1,E1016&gt;=2)</f>
        <v/>
      </c>
      <c r="G1016">
        <f>SUMPRODUCT(Calc!$K$3:$K$22*(Calc!$G$3:$G$22&gt;A1016)*(Calc!$G$3:$G$22-A1016))</f>
        <v/>
      </c>
      <c r="H1016">
        <f>SUMPRODUCT(Calc!$K$3:$K$22*(Calc!$G$3:$G$22&gt;B1016)*(Calc!$G$3:$G$22-B1016))</f>
        <v/>
      </c>
      <c r="I1016">
        <f>SUMPRODUCT(Calc!$K$3:$K$22*(Calc!$G$3:$G$22&gt;A1016)*(Calc!$G$3:$G$22-A1016)^2)</f>
        <v/>
      </c>
      <c r="J1016">
        <f>SUMPRODUCT(Calc!$K$3:$K$22*(Calc!$G$3:$G$22&gt;B1016)*(Calc!$G$3:$G$22-B1016)^2)</f>
        <v/>
      </c>
      <c r="K1016">
        <f>SUMPRODUCT(Calc!$K$3:$K$22*(Calc!$G$3:$G$22&gt;A1016)*(Calc!$G$3:$G$22-A1016)*(Calc!$G$3:$G$22&gt;B1016)*(Calc!$G$3:$G$22-B1016))</f>
        <v/>
      </c>
      <c r="L1016">
        <f>SUMPRODUCT(Calc!$K$3:$K$22*(Calc!$G$3:$G$22&gt;A1016)*(Calc!$G$3:$G$22-A1016)*Calc!$G$3:$G$22)</f>
        <v/>
      </c>
      <c r="M1016">
        <f>SUMPRODUCT(Calc!$K$3:$K$22*(Calc!$G$3:$G$22&gt;B1016)*(Calc!$G$3:$G$22-B1016)*Calc!$G$3:$G$22)</f>
        <v/>
      </c>
      <c r="N1016">
        <f>SUMPRODUCT(Calc!$K$3:$K$22*(Calc!$G$3:$G$22&gt;A1016)*(Calc!$G$3:$G$22-A1016)*Calc!$I$3:$I$22)</f>
        <v/>
      </c>
      <c r="O1016">
        <f>SUMPRODUCT(Calc!$K$3:$K$22*(Calc!$G$3:$G$22&gt;B1016)*(Calc!$G$3:$G$22-B1016)*Calc!$I$3:$I$22)</f>
        <v/>
      </c>
      <c r="P1016">
        <f>I1016-G1016^2/k_n</f>
        <v/>
      </c>
      <c r="Q1016">
        <f>J1016-H1016^2/k_n</f>
        <v/>
      </c>
      <c r="R1016">
        <f>K1016-G1016*H1016/k_n</f>
        <v/>
      </c>
      <c r="S1016">
        <f>L1016-LTP3!$D$3*G1016/k_n</f>
        <v/>
      </c>
      <c r="T1016">
        <f>M1016-LTP3!$D$3*H1016/k_n</f>
        <v/>
      </c>
      <c r="U1016">
        <f>N1016-G1016*LTP3!$D$4/k_n</f>
        <v/>
      </c>
      <c r="V1016">
        <f>O1016-H1016*LTP3!$D$4/k_n</f>
        <v/>
      </c>
      <c r="W1016">
        <f>((LTP3!$D$5)*((P1016)*(Q1016)-(R1016)*(R1016))-(S1016)*((S1016)*(Q1016)-(R1016)*(T1016))+(T1016)*((S1016)*(R1016)-(P1016)*(T1016)))</f>
        <v/>
      </c>
      <c r="X1016">
        <f>IF(ABS(W1016)&gt;1E-12,((LTP3!$D$6)*((P1016)*(Q1016)-(R1016)*(R1016))-(S1016)*((U1016)*(Q1016)-(R1016)*(V1016))+(T1016)*((U1016)*(R1016)-(P1016)*(V1016)))/W1016,0)</f>
        <v/>
      </c>
      <c r="Y1016">
        <f>IF(ABS(W1016)&gt;1E-12,((LTP3!$D$5)*((U1016)*(Q1016)-(R1016)*(V1016))-(LTP3!$D$6)*((S1016)*(Q1016)-(R1016)*(T1016))+(T1016)*((S1016)*(V1016)-(U1016)*(T1016)))/W1016,0)</f>
        <v/>
      </c>
      <c r="Z1016">
        <f>IF(ABS(W1016)&gt;1E-12,((LTP3!$D$5)*((P1016)*(V1016)-(U1016)*(R1016))-(S1016)*((S1016)*(V1016)-(U1016)*(T1016))+(LTP3!$D$6)*((S1016)*(R1016)-(P1016)*(T1016)))/W1016,0)</f>
        <v/>
      </c>
      <c r="AA1016">
        <f>LTP3!$D$7-X1016*LTP3!$D$6-Y1016*U1016-Z1016*V1016</f>
        <v/>
      </c>
      <c r="AB1016">
        <f>IF(AND(F1016,ABS(W1016)&gt;1E-12,Y1016&gt;0,Z1016&gt;0),AA1016,1E+300)</f>
        <v/>
      </c>
    </row>
    <row r="1017">
      <c r="A1017">
        <f>$B$3+$B$5*16</f>
        <v/>
      </c>
      <c r="B1017">
        <f>$B$3+$B$5*29</f>
        <v/>
      </c>
      <c r="C1017">
        <f>SUMPRODUCT(Calc!$K$3:$K$22*(Calc!$G$3:$G$22&lt;=A1017))</f>
        <v/>
      </c>
      <c r="D1017">
        <f>SUMPRODUCT(Calc!$K$3:$K$22*(Calc!$G$3:$G$22&gt;A1017)*(Calc!$G$3:$G$22&lt;B1017))</f>
        <v/>
      </c>
      <c r="E1017">
        <f>SUMPRODUCT(Calc!$K$3:$K$22*(Calc!$G$3:$G$22&gt;=B1017))</f>
        <v/>
      </c>
      <c r="F1017">
        <f>AND(k_n&gt;=5,B1017&gt;A1017+1E-9,C1017&gt;=2,D1017&gt;=1,E1017&gt;=2)</f>
        <v/>
      </c>
      <c r="G1017">
        <f>SUMPRODUCT(Calc!$K$3:$K$22*(Calc!$G$3:$G$22&gt;A1017)*(Calc!$G$3:$G$22-A1017))</f>
        <v/>
      </c>
      <c r="H1017">
        <f>SUMPRODUCT(Calc!$K$3:$K$22*(Calc!$G$3:$G$22&gt;B1017)*(Calc!$G$3:$G$22-B1017))</f>
        <v/>
      </c>
      <c r="I1017">
        <f>SUMPRODUCT(Calc!$K$3:$K$22*(Calc!$G$3:$G$22&gt;A1017)*(Calc!$G$3:$G$22-A1017)^2)</f>
        <v/>
      </c>
      <c r="J1017">
        <f>SUMPRODUCT(Calc!$K$3:$K$22*(Calc!$G$3:$G$22&gt;B1017)*(Calc!$G$3:$G$22-B1017)^2)</f>
        <v/>
      </c>
      <c r="K1017">
        <f>SUMPRODUCT(Calc!$K$3:$K$22*(Calc!$G$3:$G$22&gt;A1017)*(Calc!$G$3:$G$22-A1017)*(Calc!$G$3:$G$22&gt;B1017)*(Calc!$G$3:$G$22-B1017))</f>
        <v/>
      </c>
      <c r="L1017">
        <f>SUMPRODUCT(Calc!$K$3:$K$22*(Calc!$G$3:$G$22&gt;A1017)*(Calc!$G$3:$G$22-A1017)*Calc!$G$3:$G$22)</f>
        <v/>
      </c>
      <c r="M1017">
        <f>SUMPRODUCT(Calc!$K$3:$K$22*(Calc!$G$3:$G$22&gt;B1017)*(Calc!$G$3:$G$22-B1017)*Calc!$G$3:$G$22)</f>
        <v/>
      </c>
      <c r="N1017">
        <f>SUMPRODUCT(Calc!$K$3:$K$22*(Calc!$G$3:$G$22&gt;A1017)*(Calc!$G$3:$G$22-A1017)*Calc!$I$3:$I$22)</f>
        <v/>
      </c>
      <c r="O1017">
        <f>SUMPRODUCT(Calc!$K$3:$K$22*(Calc!$G$3:$G$22&gt;B1017)*(Calc!$G$3:$G$22-B1017)*Calc!$I$3:$I$22)</f>
        <v/>
      </c>
      <c r="P1017">
        <f>I1017-G1017^2/k_n</f>
        <v/>
      </c>
      <c r="Q1017">
        <f>J1017-H1017^2/k_n</f>
        <v/>
      </c>
      <c r="R1017">
        <f>K1017-G1017*H1017/k_n</f>
        <v/>
      </c>
      <c r="S1017">
        <f>L1017-LTP3!$D$3*G1017/k_n</f>
        <v/>
      </c>
      <c r="T1017">
        <f>M1017-LTP3!$D$3*H1017/k_n</f>
        <v/>
      </c>
      <c r="U1017">
        <f>N1017-G1017*LTP3!$D$4/k_n</f>
        <v/>
      </c>
      <c r="V1017">
        <f>O1017-H1017*LTP3!$D$4/k_n</f>
        <v/>
      </c>
      <c r="W1017">
        <f>((LTP3!$D$5)*((P1017)*(Q1017)-(R1017)*(R1017))-(S1017)*((S1017)*(Q1017)-(R1017)*(T1017))+(T1017)*((S1017)*(R1017)-(P1017)*(T1017)))</f>
        <v/>
      </c>
      <c r="X1017">
        <f>IF(ABS(W1017)&gt;1E-12,((LTP3!$D$6)*((P1017)*(Q1017)-(R1017)*(R1017))-(S1017)*((U1017)*(Q1017)-(R1017)*(V1017))+(T1017)*((U1017)*(R1017)-(P1017)*(V1017)))/W1017,0)</f>
        <v/>
      </c>
      <c r="Y1017">
        <f>IF(ABS(W1017)&gt;1E-12,((LTP3!$D$5)*((U1017)*(Q1017)-(R1017)*(V1017))-(LTP3!$D$6)*((S1017)*(Q1017)-(R1017)*(T1017))+(T1017)*((S1017)*(V1017)-(U1017)*(T1017)))/W1017,0)</f>
        <v/>
      </c>
      <c r="Z1017">
        <f>IF(ABS(W1017)&gt;1E-12,((LTP3!$D$5)*((P1017)*(V1017)-(U1017)*(R1017))-(S1017)*((S1017)*(V1017)-(U1017)*(T1017))+(LTP3!$D$6)*((S1017)*(R1017)-(P1017)*(T1017)))/W1017,0)</f>
        <v/>
      </c>
      <c r="AA1017">
        <f>LTP3!$D$7-X1017*LTP3!$D$6-Y1017*U1017-Z1017*V1017</f>
        <v/>
      </c>
      <c r="AB1017">
        <f>IF(AND(F1017,ABS(W1017)&gt;1E-12,Y1017&gt;0,Z1017&gt;0),AA1017,1E+300)</f>
        <v/>
      </c>
    </row>
    <row r="1018">
      <c r="A1018">
        <f>$B$3+$B$5*16</f>
        <v/>
      </c>
      <c r="B1018">
        <f>$B$3+$B$5*30</f>
        <v/>
      </c>
      <c r="C1018">
        <f>SUMPRODUCT(Calc!$K$3:$K$22*(Calc!$G$3:$G$22&lt;=A1018))</f>
        <v/>
      </c>
      <c r="D1018">
        <f>SUMPRODUCT(Calc!$K$3:$K$22*(Calc!$G$3:$G$22&gt;A1018)*(Calc!$G$3:$G$22&lt;B1018))</f>
        <v/>
      </c>
      <c r="E1018">
        <f>SUMPRODUCT(Calc!$K$3:$K$22*(Calc!$G$3:$G$22&gt;=B1018))</f>
        <v/>
      </c>
      <c r="F1018">
        <f>AND(k_n&gt;=5,B1018&gt;A1018+1E-9,C1018&gt;=2,D1018&gt;=1,E1018&gt;=2)</f>
        <v/>
      </c>
      <c r="G1018">
        <f>SUMPRODUCT(Calc!$K$3:$K$22*(Calc!$G$3:$G$22&gt;A1018)*(Calc!$G$3:$G$22-A1018))</f>
        <v/>
      </c>
      <c r="H1018">
        <f>SUMPRODUCT(Calc!$K$3:$K$22*(Calc!$G$3:$G$22&gt;B1018)*(Calc!$G$3:$G$22-B1018))</f>
        <v/>
      </c>
      <c r="I1018">
        <f>SUMPRODUCT(Calc!$K$3:$K$22*(Calc!$G$3:$G$22&gt;A1018)*(Calc!$G$3:$G$22-A1018)^2)</f>
        <v/>
      </c>
      <c r="J1018">
        <f>SUMPRODUCT(Calc!$K$3:$K$22*(Calc!$G$3:$G$22&gt;B1018)*(Calc!$G$3:$G$22-B1018)^2)</f>
        <v/>
      </c>
      <c r="K1018">
        <f>SUMPRODUCT(Calc!$K$3:$K$22*(Calc!$G$3:$G$22&gt;A1018)*(Calc!$G$3:$G$22-A1018)*(Calc!$G$3:$G$22&gt;B1018)*(Calc!$G$3:$G$22-B1018))</f>
        <v/>
      </c>
      <c r="L1018">
        <f>SUMPRODUCT(Calc!$K$3:$K$22*(Calc!$G$3:$G$22&gt;A1018)*(Calc!$G$3:$G$22-A1018)*Calc!$G$3:$G$22)</f>
        <v/>
      </c>
      <c r="M1018">
        <f>SUMPRODUCT(Calc!$K$3:$K$22*(Calc!$G$3:$G$22&gt;B1018)*(Calc!$G$3:$G$22-B1018)*Calc!$G$3:$G$22)</f>
        <v/>
      </c>
      <c r="N1018">
        <f>SUMPRODUCT(Calc!$K$3:$K$22*(Calc!$G$3:$G$22&gt;A1018)*(Calc!$G$3:$G$22-A1018)*Calc!$I$3:$I$22)</f>
        <v/>
      </c>
      <c r="O1018">
        <f>SUMPRODUCT(Calc!$K$3:$K$22*(Calc!$G$3:$G$22&gt;B1018)*(Calc!$G$3:$G$22-B1018)*Calc!$I$3:$I$22)</f>
        <v/>
      </c>
      <c r="P1018">
        <f>I1018-G1018^2/k_n</f>
        <v/>
      </c>
      <c r="Q1018">
        <f>J1018-H1018^2/k_n</f>
        <v/>
      </c>
      <c r="R1018">
        <f>K1018-G1018*H1018/k_n</f>
        <v/>
      </c>
      <c r="S1018">
        <f>L1018-LTP3!$D$3*G1018/k_n</f>
        <v/>
      </c>
      <c r="T1018">
        <f>M1018-LTP3!$D$3*H1018/k_n</f>
        <v/>
      </c>
      <c r="U1018">
        <f>N1018-G1018*LTP3!$D$4/k_n</f>
        <v/>
      </c>
      <c r="V1018">
        <f>O1018-H1018*LTP3!$D$4/k_n</f>
        <v/>
      </c>
      <c r="W1018">
        <f>((LTP3!$D$5)*((P1018)*(Q1018)-(R1018)*(R1018))-(S1018)*((S1018)*(Q1018)-(R1018)*(T1018))+(T1018)*((S1018)*(R1018)-(P1018)*(T1018)))</f>
        <v/>
      </c>
      <c r="X1018">
        <f>IF(ABS(W1018)&gt;1E-12,((LTP3!$D$6)*((P1018)*(Q1018)-(R1018)*(R1018))-(S1018)*((U1018)*(Q1018)-(R1018)*(V1018))+(T1018)*((U1018)*(R1018)-(P1018)*(V1018)))/W1018,0)</f>
        <v/>
      </c>
      <c r="Y1018">
        <f>IF(ABS(W1018)&gt;1E-12,((LTP3!$D$5)*((U1018)*(Q1018)-(R1018)*(V1018))-(LTP3!$D$6)*((S1018)*(Q1018)-(R1018)*(T1018))+(T1018)*((S1018)*(V1018)-(U1018)*(T1018)))/W1018,0)</f>
        <v/>
      </c>
      <c r="Z1018">
        <f>IF(ABS(W1018)&gt;1E-12,((LTP3!$D$5)*((P1018)*(V1018)-(U1018)*(R1018))-(S1018)*((S1018)*(V1018)-(U1018)*(T1018))+(LTP3!$D$6)*((S1018)*(R1018)-(P1018)*(T1018)))/W1018,0)</f>
        <v/>
      </c>
      <c r="AA1018">
        <f>LTP3!$D$7-X1018*LTP3!$D$6-Y1018*U1018-Z1018*V1018</f>
        <v/>
      </c>
      <c r="AB1018">
        <f>IF(AND(F1018,ABS(W1018)&gt;1E-12,Y1018&gt;0,Z1018&gt;0),AA1018,1E+300)</f>
        <v/>
      </c>
    </row>
    <row r="1019">
      <c r="A1019">
        <f>$B$3+$B$5*16</f>
        <v/>
      </c>
      <c r="B1019">
        <f>$B$3+$B$5*31</f>
        <v/>
      </c>
      <c r="C1019">
        <f>SUMPRODUCT(Calc!$K$3:$K$22*(Calc!$G$3:$G$22&lt;=A1019))</f>
        <v/>
      </c>
      <c r="D1019">
        <f>SUMPRODUCT(Calc!$K$3:$K$22*(Calc!$G$3:$G$22&gt;A1019)*(Calc!$G$3:$G$22&lt;B1019))</f>
        <v/>
      </c>
      <c r="E1019">
        <f>SUMPRODUCT(Calc!$K$3:$K$22*(Calc!$G$3:$G$22&gt;=B1019))</f>
        <v/>
      </c>
      <c r="F1019">
        <f>AND(k_n&gt;=5,B1019&gt;A1019+1E-9,C1019&gt;=2,D1019&gt;=1,E1019&gt;=2)</f>
        <v/>
      </c>
      <c r="G1019">
        <f>SUMPRODUCT(Calc!$K$3:$K$22*(Calc!$G$3:$G$22&gt;A1019)*(Calc!$G$3:$G$22-A1019))</f>
        <v/>
      </c>
      <c r="H1019">
        <f>SUMPRODUCT(Calc!$K$3:$K$22*(Calc!$G$3:$G$22&gt;B1019)*(Calc!$G$3:$G$22-B1019))</f>
        <v/>
      </c>
      <c r="I1019">
        <f>SUMPRODUCT(Calc!$K$3:$K$22*(Calc!$G$3:$G$22&gt;A1019)*(Calc!$G$3:$G$22-A1019)^2)</f>
        <v/>
      </c>
      <c r="J1019">
        <f>SUMPRODUCT(Calc!$K$3:$K$22*(Calc!$G$3:$G$22&gt;B1019)*(Calc!$G$3:$G$22-B1019)^2)</f>
        <v/>
      </c>
      <c r="K1019">
        <f>SUMPRODUCT(Calc!$K$3:$K$22*(Calc!$G$3:$G$22&gt;A1019)*(Calc!$G$3:$G$22-A1019)*(Calc!$G$3:$G$22&gt;B1019)*(Calc!$G$3:$G$22-B1019))</f>
        <v/>
      </c>
      <c r="L1019">
        <f>SUMPRODUCT(Calc!$K$3:$K$22*(Calc!$G$3:$G$22&gt;A1019)*(Calc!$G$3:$G$22-A1019)*Calc!$G$3:$G$22)</f>
        <v/>
      </c>
      <c r="M1019">
        <f>SUMPRODUCT(Calc!$K$3:$K$22*(Calc!$G$3:$G$22&gt;B1019)*(Calc!$G$3:$G$22-B1019)*Calc!$G$3:$G$22)</f>
        <v/>
      </c>
      <c r="N1019">
        <f>SUMPRODUCT(Calc!$K$3:$K$22*(Calc!$G$3:$G$22&gt;A1019)*(Calc!$G$3:$G$22-A1019)*Calc!$I$3:$I$22)</f>
        <v/>
      </c>
      <c r="O1019">
        <f>SUMPRODUCT(Calc!$K$3:$K$22*(Calc!$G$3:$G$22&gt;B1019)*(Calc!$G$3:$G$22-B1019)*Calc!$I$3:$I$22)</f>
        <v/>
      </c>
      <c r="P1019">
        <f>I1019-G1019^2/k_n</f>
        <v/>
      </c>
      <c r="Q1019">
        <f>J1019-H1019^2/k_n</f>
        <v/>
      </c>
      <c r="R1019">
        <f>K1019-G1019*H1019/k_n</f>
        <v/>
      </c>
      <c r="S1019">
        <f>L1019-LTP3!$D$3*G1019/k_n</f>
        <v/>
      </c>
      <c r="T1019">
        <f>M1019-LTP3!$D$3*H1019/k_n</f>
        <v/>
      </c>
      <c r="U1019">
        <f>N1019-G1019*LTP3!$D$4/k_n</f>
        <v/>
      </c>
      <c r="V1019">
        <f>O1019-H1019*LTP3!$D$4/k_n</f>
        <v/>
      </c>
      <c r="W1019">
        <f>((LTP3!$D$5)*((P1019)*(Q1019)-(R1019)*(R1019))-(S1019)*((S1019)*(Q1019)-(R1019)*(T1019))+(T1019)*((S1019)*(R1019)-(P1019)*(T1019)))</f>
        <v/>
      </c>
      <c r="X1019">
        <f>IF(ABS(W1019)&gt;1E-12,((LTP3!$D$6)*((P1019)*(Q1019)-(R1019)*(R1019))-(S1019)*((U1019)*(Q1019)-(R1019)*(V1019))+(T1019)*((U1019)*(R1019)-(P1019)*(V1019)))/W1019,0)</f>
        <v/>
      </c>
      <c r="Y1019">
        <f>IF(ABS(W1019)&gt;1E-12,((LTP3!$D$5)*((U1019)*(Q1019)-(R1019)*(V1019))-(LTP3!$D$6)*((S1019)*(Q1019)-(R1019)*(T1019))+(T1019)*((S1019)*(V1019)-(U1019)*(T1019)))/W1019,0)</f>
        <v/>
      </c>
      <c r="Z1019">
        <f>IF(ABS(W1019)&gt;1E-12,((LTP3!$D$5)*((P1019)*(V1019)-(U1019)*(R1019))-(S1019)*((S1019)*(V1019)-(U1019)*(T1019))+(LTP3!$D$6)*((S1019)*(R1019)-(P1019)*(T1019)))/W1019,0)</f>
        <v/>
      </c>
      <c r="AA1019">
        <f>LTP3!$D$7-X1019*LTP3!$D$6-Y1019*U1019-Z1019*V1019</f>
        <v/>
      </c>
      <c r="AB1019">
        <f>IF(AND(F1019,ABS(W1019)&gt;1E-12,Y1019&gt;0,Z1019&gt;0),AA1019,1E+300)</f>
        <v/>
      </c>
    </row>
    <row r="1020">
      <c r="A1020">
        <f>$B$3+$B$5*16</f>
        <v/>
      </c>
      <c r="B1020">
        <f>$B$3+$B$5*32</f>
        <v/>
      </c>
      <c r="C1020">
        <f>SUMPRODUCT(Calc!$K$3:$K$22*(Calc!$G$3:$G$22&lt;=A1020))</f>
        <v/>
      </c>
      <c r="D1020">
        <f>SUMPRODUCT(Calc!$K$3:$K$22*(Calc!$G$3:$G$22&gt;A1020)*(Calc!$G$3:$G$22&lt;B1020))</f>
        <v/>
      </c>
      <c r="E1020">
        <f>SUMPRODUCT(Calc!$K$3:$K$22*(Calc!$G$3:$G$22&gt;=B1020))</f>
        <v/>
      </c>
      <c r="F1020">
        <f>AND(k_n&gt;=5,B1020&gt;A1020+1E-9,C1020&gt;=2,D1020&gt;=1,E1020&gt;=2)</f>
        <v/>
      </c>
      <c r="G1020">
        <f>SUMPRODUCT(Calc!$K$3:$K$22*(Calc!$G$3:$G$22&gt;A1020)*(Calc!$G$3:$G$22-A1020))</f>
        <v/>
      </c>
      <c r="H1020">
        <f>SUMPRODUCT(Calc!$K$3:$K$22*(Calc!$G$3:$G$22&gt;B1020)*(Calc!$G$3:$G$22-B1020))</f>
        <v/>
      </c>
      <c r="I1020">
        <f>SUMPRODUCT(Calc!$K$3:$K$22*(Calc!$G$3:$G$22&gt;A1020)*(Calc!$G$3:$G$22-A1020)^2)</f>
        <v/>
      </c>
      <c r="J1020">
        <f>SUMPRODUCT(Calc!$K$3:$K$22*(Calc!$G$3:$G$22&gt;B1020)*(Calc!$G$3:$G$22-B1020)^2)</f>
        <v/>
      </c>
      <c r="K1020">
        <f>SUMPRODUCT(Calc!$K$3:$K$22*(Calc!$G$3:$G$22&gt;A1020)*(Calc!$G$3:$G$22-A1020)*(Calc!$G$3:$G$22&gt;B1020)*(Calc!$G$3:$G$22-B1020))</f>
        <v/>
      </c>
      <c r="L1020">
        <f>SUMPRODUCT(Calc!$K$3:$K$22*(Calc!$G$3:$G$22&gt;A1020)*(Calc!$G$3:$G$22-A1020)*Calc!$G$3:$G$22)</f>
        <v/>
      </c>
      <c r="M1020">
        <f>SUMPRODUCT(Calc!$K$3:$K$22*(Calc!$G$3:$G$22&gt;B1020)*(Calc!$G$3:$G$22-B1020)*Calc!$G$3:$G$22)</f>
        <v/>
      </c>
      <c r="N1020">
        <f>SUMPRODUCT(Calc!$K$3:$K$22*(Calc!$G$3:$G$22&gt;A1020)*(Calc!$G$3:$G$22-A1020)*Calc!$I$3:$I$22)</f>
        <v/>
      </c>
      <c r="O1020">
        <f>SUMPRODUCT(Calc!$K$3:$K$22*(Calc!$G$3:$G$22&gt;B1020)*(Calc!$G$3:$G$22-B1020)*Calc!$I$3:$I$22)</f>
        <v/>
      </c>
      <c r="P1020">
        <f>I1020-G1020^2/k_n</f>
        <v/>
      </c>
      <c r="Q1020">
        <f>J1020-H1020^2/k_n</f>
        <v/>
      </c>
      <c r="R1020">
        <f>K1020-G1020*H1020/k_n</f>
        <v/>
      </c>
      <c r="S1020">
        <f>L1020-LTP3!$D$3*G1020/k_n</f>
        <v/>
      </c>
      <c r="T1020">
        <f>M1020-LTP3!$D$3*H1020/k_n</f>
        <v/>
      </c>
      <c r="U1020">
        <f>N1020-G1020*LTP3!$D$4/k_n</f>
        <v/>
      </c>
      <c r="V1020">
        <f>O1020-H1020*LTP3!$D$4/k_n</f>
        <v/>
      </c>
      <c r="W1020">
        <f>((LTP3!$D$5)*((P1020)*(Q1020)-(R1020)*(R1020))-(S1020)*((S1020)*(Q1020)-(R1020)*(T1020))+(T1020)*((S1020)*(R1020)-(P1020)*(T1020)))</f>
        <v/>
      </c>
      <c r="X1020">
        <f>IF(ABS(W1020)&gt;1E-12,((LTP3!$D$6)*((P1020)*(Q1020)-(R1020)*(R1020))-(S1020)*((U1020)*(Q1020)-(R1020)*(V1020))+(T1020)*((U1020)*(R1020)-(P1020)*(V1020)))/W1020,0)</f>
        <v/>
      </c>
      <c r="Y1020">
        <f>IF(ABS(W1020)&gt;1E-12,((LTP3!$D$5)*((U1020)*(Q1020)-(R1020)*(V1020))-(LTP3!$D$6)*((S1020)*(Q1020)-(R1020)*(T1020))+(T1020)*((S1020)*(V1020)-(U1020)*(T1020)))/W1020,0)</f>
        <v/>
      </c>
      <c r="Z1020">
        <f>IF(ABS(W1020)&gt;1E-12,((LTP3!$D$5)*((P1020)*(V1020)-(U1020)*(R1020))-(S1020)*((S1020)*(V1020)-(U1020)*(T1020))+(LTP3!$D$6)*((S1020)*(R1020)-(P1020)*(T1020)))/W1020,0)</f>
        <v/>
      </c>
      <c r="AA1020">
        <f>LTP3!$D$7-X1020*LTP3!$D$6-Y1020*U1020-Z1020*V1020</f>
        <v/>
      </c>
      <c r="AB1020">
        <f>IF(AND(F1020,ABS(W1020)&gt;1E-12,Y1020&gt;0,Z1020&gt;0),AA1020,1E+300)</f>
        <v/>
      </c>
    </row>
    <row r="1021">
      <c r="A1021">
        <f>$B$3+$B$5*16</f>
        <v/>
      </c>
      <c r="B1021">
        <f>$B$3+$B$5*33</f>
        <v/>
      </c>
      <c r="C1021">
        <f>SUMPRODUCT(Calc!$K$3:$K$22*(Calc!$G$3:$G$22&lt;=A1021))</f>
        <v/>
      </c>
      <c r="D1021">
        <f>SUMPRODUCT(Calc!$K$3:$K$22*(Calc!$G$3:$G$22&gt;A1021)*(Calc!$G$3:$G$22&lt;B1021))</f>
        <v/>
      </c>
      <c r="E1021">
        <f>SUMPRODUCT(Calc!$K$3:$K$22*(Calc!$G$3:$G$22&gt;=B1021))</f>
        <v/>
      </c>
      <c r="F1021">
        <f>AND(k_n&gt;=5,B1021&gt;A1021+1E-9,C1021&gt;=2,D1021&gt;=1,E1021&gt;=2)</f>
        <v/>
      </c>
      <c r="G1021">
        <f>SUMPRODUCT(Calc!$K$3:$K$22*(Calc!$G$3:$G$22&gt;A1021)*(Calc!$G$3:$G$22-A1021))</f>
        <v/>
      </c>
      <c r="H1021">
        <f>SUMPRODUCT(Calc!$K$3:$K$22*(Calc!$G$3:$G$22&gt;B1021)*(Calc!$G$3:$G$22-B1021))</f>
        <v/>
      </c>
      <c r="I1021">
        <f>SUMPRODUCT(Calc!$K$3:$K$22*(Calc!$G$3:$G$22&gt;A1021)*(Calc!$G$3:$G$22-A1021)^2)</f>
        <v/>
      </c>
      <c r="J1021">
        <f>SUMPRODUCT(Calc!$K$3:$K$22*(Calc!$G$3:$G$22&gt;B1021)*(Calc!$G$3:$G$22-B1021)^2)</f>
        <v/>
      </c>
      <c r="K1021">
        <f>SUMPRODUCT(Calc!$K$3:$K$22*(Calc!$G$3:$G$22&gt;A1021)*(Calc!$G$3:$G$22-A1021)*(Calc!$G$3:$G$22&gt;B1021)*(Calc!$G$3:$G$22-B1021))</f>
        <v/>
      </c>
      <c r="L1021">
        <f>SUMPRODUCT(Calc!$K$3:$K$22*(Calc!$G$3:$G$22&gt;A1021)*(Calc!$G$3:$G$22-A1021)*Calc!$G$3:$G$22)</f>
        <v/>
      </c>
      <c r="M1021">
        <f>SUMPRODUCT(Calc!$K$3:$K$22*(Calc!$G$3:$G$22&gt;B1021)*(Calc!$G$3:$G$22-B1021)*Calc!$G$3:$G$22)</f>
        <v/>
      </c>
      <c r="N1021">
        <f>SUMPRODUCT(Calc!$K$3:$K$22*(Calc!$G$3:$G$22&gt;A1021)*(Calc!$G$3:$G$22-A1021)*Calc!$I$3:$I$22)</f>
        <v/>
      </c>
      <c r="O1021">
        <f>SUMPRODUCT(Calc!$K$3:$K$22*(Calc!$G$3:$G$22&gt;B1021)*(Calc!$G$3:$G$22-B1021)*Calc!$I$3:$I$22)</f>
        <v/>
      </c>
      <c r="P1021">
        <f>I1021-G1021^2/k_n</f>
        <v/>
      </c>
      <c r="Q1021">
        <f>J1021-H1021^2/k_n</f>
        <v/>
      </c>
      <c r="R1021">
        <f>K1021-G1021*H1021/k_n</f>
        <v/>
      </c>
      <c r="S1021">
        <f>L1021-LTP3!$D$3*G1021/k_n</f>
        <v/>
      </c>
      <c r="T1021">
        <f>M1021-LTP3!$D$3*H1021/k_n</f>
        <v/>
      </c>
      <c r="U1021">
        <f>N1021-G1021*LTP3!$D$4/k_n</f>
        <v/>
      </c>
      <c r="V1021">
        <f>O1021-H1021*LTP3!$D$4/k_n</f>
        <v/>
      </c>
      <c r="W1021">
        <f>((LTP3!$D$5)*((P1021)*(Q1021)-(R1021)*(R1021))-(S1021)*((S1021)*(Q1021)-(R1021)*(T1021))+(T1021)*((S1021)*(R1021)-(P1021)*(T1021)))</f>
        <v/>
      </c>
      <c r="X1021">
        <f>IF(ABS(W1021)&gt;1E-12,((LTP3!$D$6)*((P1021)*(Q1021)-(R1021)*(R1021))-(S1021)*((U1021)*(Q1021)-(R1021)*(V1021))+(T1021)*((U1021)*(R1021)-(P1021)*(V1021)))/W1021,0)</f>
        <v/>
      </c>
      <c r="Y1021">
        <f>IF(ABS(W1021)&gt;1E-12,((LTP3!$D$5)*((U1021)*(Q1021)-(R1021)*(V1021))-(LTP3!$D$6)*((S1021)*(Q1021)-(R1021)*(T1021))+(T1021)*((S1021)*(V1021)-(U1021)*(T1021)))/W1021,0)</f>
        <v/>
      </c>
      <c r="Z1021">
        <f>IF(ABS(W1021)&gt;1E-12,((LTP3!$D$5)*((P1021)*(V1021)-(U1021)*(R1021))-(S1021)*((S1021)*(V1021)-(U1021)*(T1021))+(LTP3!$D$6)*((S1021)*(R1021)-(P1021)*(T1021)))/W1021,0)</f>
        <v/>
      </c>
      <c r="AA1021">
        <f>LTP3!$D$7-X1021*LTP3!$D$6-Y1021*U1021-Z1021*V1021</f>
        <v/>
      </c>
      <c r="AB1021">
        <f>IF(AND(F1021,ABS(W1021)&gt;1E-12,Y1021&gt;0,Z1021&gt;0),AA1021,1E+300)</f>
        <v/>
      </c>
    </row>
    <row r="1022">
      <c r="A1022">
        <f>$B$3+$B$5*16</f>
        <v/>
      </c>
      <c r="B1022">
        <f>$B$3+$B$5*34</f>
        <v/>
      </c>
      <c r="C1022">
        <f>SUMPRODUCT(Calc!$K$3:$K$22*(Calc!$G$3:$G$22&lt;=A1022))</f>
        <v/>
      </c>
      <c r="D1022">
        <f>SUMPRODUCT(Calc!$K$3:$K$22*(Calc!$G$3:$G$22&gt;A1022)*(Calc!$G$3:$G$22&lt;B1022))</f>
        <v/>
      </c>
      <c r="E1022">
        <f>SUMPRODUCT(Calc!$K$3:$K$22*(Calc!$G$3:$G$22&gt;=B1022))</f>
        <v/>
      </c>
      <c r="F1022">
        <f>AND(k_n&gt;=5,B1022&gt;A1022+1E-9,C1022&gt;=2,D1022&gt;=1,E1022&gt;=2)</f>
        <v/>
      </c>
      <c r="G1022">
        <f>SUMPRODUCT(Calc!$K$3:$K$22*(Calc!$G$3:$G$22&gt;A1022)*(Calc!$G$3:$G$22-A1022))</f>
        <v/>
      </c>
      <c r="H1022">
        <f>SUMPRODUCT(Calc!$K$3:$K$22*(Calc!$G$3:$G$22&gt;B1022)*(Calc!$G$3:$G$22-B1022))</f>
        <v/>
      </c>
      <c r="I1022">
        <f>SUMPRODUCT(Calc!$K$3:$K$22*(Calc!$G$3:$G$22&gt;A1022)*(Calc!$G$3:$G$22-A1022)^2)</f>
        <v/>
      </c>
      <c r="J1022">
        <f>SUMPRODUCT(Calc!$K$3:$K$22*(Calc!$G$3:$G$22&gt;B1022)*(Calc!$G$3:$G$22-B1022)^2)</f>
        <v/>
      </c>
      <c r="K1022">
        <f>SUMPRODUCT(Calc!$K$3:$K$22*(Calc!$G$3:$G$22&gt;A1022)*(Calc!$G$3:$G$22-A1022)*(Calc!$G$3:$G$22&gt;B1022)*(Calc!$G$3:$G$22-B1022))</f>
        <v/>
      </c>
      <c r="L1022">
        <f>SUMPRODUCT(Calc!$K$3:$K$22*(Calc!$G$3:$G$22&gt;A1022)*(Calc!$G$3:$G$22-A1022)*Calc!$G$3:$G$22)</f>
        <v/>
      </c>
      <c r="M1022">
        <f>SUMPRODUCT(Calc!$K$3:$K$22*(Calc!$G$3:$G$22&gt;B1022)*(Calc!$G$3:$G$22-B1022)*Calc!$G$3:$G$22)</f>
        <v/>
      </c>
      <c r="N1022">
        <f>SUMPRODUCT(Calc!$K$3:$K$22*(Calc!$G$3:$G$22&gt;A1022)*(Calc!$G$3:$G$22-A1022)*Calc!$I$3:$I$22)</f>
        <v/>
      </c>
      <c r="O1022">
        <f>SUMPRODUCT(Calc!$K$3:$K$22*(Calc!$G$3:$G$22&gt;B1022)*(Calc!$G$3:$G$22-B1022)*Calc!$I$3:$I$22)</f>
        <v/>
      </c>
      <c r="P1022">
        <f>I1022-G1022^2/k_n</f>
        <v/>
      </c>
      <c r="Q1022">
        <f>J1022-H1022^2/k_n</f>
        <v/>
      </c>
      <c r="R1022">
        <f>K1022-G1022*H1022/k_n</f>
        <v/>
      </c>
      <c r="S1022">
        <f>L1022-LTP3!$D$3*G1022/k_n</f>
        <v/>
      </c>
      <c r="T1022">
        <f>M1022-LTP3!$D$3*H1022/k_n</f>
        <v/>
      </c>
      <c r="U1022">
        <f>N1022-G1022*LTP3!$D$4/k_n</f>
        <v/>
      </c>
      <c r="V1022">
        <f>O1022-H1022*LTP3!$D$4/k_n</f>
        <v/>
      </c>
      <c r="W1022">
        <f>((LTP3!$D$5)*((P1022)*(Q1022)-(R1022)*(R1022))-(S1022)*((S1022)*(Q1022)-(R1022)*(T1022))+(T1022)*((S1022)*(R1022)-(P1022)*(T1022)))</f>
        <v/>
      </c>
      <c r="X1022">
        <f>IF(ABS(W1022)&gt;1E-12,((LTP3!$D$6)*((P1022)*(Q1022)-(R1022)*(R1022))-(S1022)*((U1022)*(Q1022)-(R1022)*(V1022))+(T1022)*((U1022)*(R1022)-(P1022)*(V1022)))/W1022,0)</f>
        <v/>
      </c>
      <c r="Y1022">
        <f>IF(ABS(W1022)&gt;1E-12,((LTP3!$D$5)*((U1022)*(Q1022)-(R1022)*(V1022))-(LTP3!$D$6)*((S1022)*(Q1022)-(R1022)*(T1022))+(T1022)*((S1022)*(V1022)-(U1022)*(T1022)))/W1022,0)</f>
        <v/>
      </c>
      <c r="Z1022">
        <f>IF(ABS(W1022)&gt;1E-12,((LTP3!$D$5)*((P1022)*(V1022)-(U1022)*(R1022))-(S1022)*((S1022)*(V1022)-(U1022)*(T1022))+(LTP3!$D$6)*((S1022)*(R1022)-(P1022)*(T1022)))/W1022,0)</f>
        <v/>
      </c>
      <c r="AA1022">
        <f>LTP3!$D$7-X1022*LTP3!$D$6-Y1022*U1022-Z1022*V1022</f>
        <v/>
      </c>
      <c r="AB1022">
        <f>IF(AND(F1022,ABS(W1022)&gt;1E-12,Y1022&gt;0,Z1022&gt;0),AA1022,1E+300)</f>
        <v/>
      </c>
    </row>
    <row r="1023">
      <c r="A1023">
        <f>$B$3+$B$5*16</f>
        <v/>
      </c>
      <c r="B1023">
        <f>$B$3+$B$5*35</f>
        <v/>
      </c>
      <c r="C1023">
        <f>SUMPRODUCT(Calc!$K$3:$K$22*(Calc!$G$3:$G$22&lt;=A1023))</f>
        <v/>
      </c>
      <c r="D1023">
        <f>SUMPRODUCT(Calc!$K$3:$K$22*(Calc!$G$3:$G$22&gt;A1023)*(Calc!$G$3:$G$22&lt;B1023))</f>
        <v/>
      </c>
      <c r="E1023">
        <f>SUMPRODUCT(Calc!$K$3:$K$22*(Calc!$G$3:$G$22&gt;=B1023))</f>
        <v/>
      </c>
      <c r="F1023">
        <f>AND(k_n&gt;=5,B1023&gt;A1023+1E-9,C1023&gt;=2,D1023&gt;=1,E1023&gt;=2)</f>
        <v/>
      </c>
      <c r="G1023">
        <f>SUMPRODUCT(Calc!$K$3:$K$22*(Calc!$G$3:$G$22&gt;A1023)*(Calc!$G$3:$G$22-A1023))</f>
        <v/>
      </c>
      <c r="H1023">
        <f>SUMPRODUCT(Calc!$K$3:$K$22*(Calc!$G$3:$G$22&gt;B1023)*(Calc!$G$3:$G$22-B1023))</f>
        <v/>
      </c>
      <c r="I1023">
        <f>SUMPRODUCT(Calc!$K$3:$K$22*(Calc!$G$3:$G$22&gt;A1023)*(Calc!$G$3:$G$22-A1023)^2)</f>
        <v/>
      </c>
      <c r="J1023">
        <f>SUMPRODUCT(Calc!$K$3:$K$22*(Calc!$G$3:$G$22&gt;B1023)*(Calc!$G$3:$G$22-B1023)^2)</f>
        <v/>
      </c>
      <c r="K1023">
        <f>SUMPRODUCT(Calc!$K$3:$K$22*(Calc!$G$3:$G$22&gt;A1023)*(Calc!$G$3:$G$22-A1023)*(Calc!$G$3:$G$22&gt;B1023)*(Calc!$G$3:$G$22-B1023))</f>
        <v/>
      </c>
      <c r="L1023">
        <f>SUMPRODUCT(Calc!$K$3:$K$22*(Calc!$G$3:$G$22&gt;A1023)*(Calc!$G$3:$G$22-A1023)*Calc!$G$3:$G$22)</f>
        <v/>
      </c>
      <c r="M1023">
        <f>SUMPRODUCT(Calc!$K$3:$K$22*(Calc!$G$3:$G$22&gt;B1023)*(Calc!$G$3:$G$22-B1023)*Calc!$G$3:$G$22)</f>
        <v/>
      </c>
      <c r="N1023">
        <f>SUMPRODUCT(Calc!$K$3:$K$22*(Calc!$G$3:$G$22&gt;A1023)*(Calc!$G$3:$G$22-A1023)*Calc!$I$3:$I$22)</f>
        <v/>
      </c>
      <c r="O1023">
        <f>SUMPRODUCT(Calc!$K$3:$K$22*(Calc!$G$3:$G$22&gt;B1023)*(Calc!$G$3:$G$22-B1023)*Calc!$I$3:$I$22)</f>
        <v/>
      </c>
      <c r="P1023">
        <f>I1023-G1023^2/k_n</f>
        <v/>
      </c>
      <c r="Q1023">
        <f>J1023-H1023^2/k_n</f>
        <v/>
      </c>
      <c r="R1023">
        <f>K1023-G1023*H1023/k_n</f>
        <v/>
      </c>
      <c r="S1023">
        <f>L1023-LTP3!$D$3*G1023/k_n</f>
        <v/>
      </c>
      <c r="T1023">
        <f>M1023-LTP3!$D$3*H1023/k_n</f>
        <v/>
      </c>
      <c r="U1023">
        <f>N1023-G1023*LTP3!$D$4/k_n</f>
        <v/>
      </c>
      <c r="V1023">
        <f>O1023-H1023*LTP3!$D$4/k_n</f>
        <v/>
      </c>
      <c r="W1023">
        <f>((LTP3!$D$5)*((P1023)*(Q1023)-(R1023)*(R1023))-(S1023)*((S1023)*(Q1023)-(R1023)*(T1023))+(T1023)*((S1023)*(R1023)-(P1023)*(T1023)))</f>
        <v/>
      </c>
      <c r="X1023">
        <f>IF(ABS(W1023)&gt;1E-12,((LTP3!$D$6)*((P1023)*(Q1023)-(R1023)*(R1023))-(S1023)*((U1023)*(Q1023)-(R1023)*(V1023))+(T1023)*((U1023)*(R1023)-(P1023)*(V1023)))/W1023,0)</f>
        <v/>
      </c>
      <c r="Y1023">
        <f>IF(ABS(W1023)&gt;1E-12,((LTP3!$D$5)*((U1023)*(Q1023)-(R1023)*(V1023))-(LTP3!$D$6)*((S1023)*(Q1023)-(R1023)*(T1023))+(T1023)*((S1023)*(V1023)-(U1023)*(T1023)))/W1023,0)</f>
        <v/>
      </c>
      <c r="Z1023">
        <f>IF(ABS(W1023)&gt;1E-12,((LTP3!$D$5)*((P1023)*(V1023)-(U1023)*(R1023))-(S1023)*((S1023)*(V1023)-(U1023)*(T1023))+(LTP3!$D$6)*((S1023)*(R1023)-(P1023)*(T1023)))/W1023,0)</f>
        <v/>
      </c>
      <c r="AA1023">
        <f>LTP3!$D$7-X1023*LTP3!$D$6-Y1023*U1023-Z1023*V1023</f>
        <v/>
      </c>
      <c r="AB1023">
        <f>IF(AND(F1023,ABS(W1023)&gt;1E-12,Y1023&gt;0,Z1023&gt;0),AA1023,1E+300)</f>
        <v/>
      </c>
    </row>
    <row r="1024">
      <c r="A1024">
        <f>$B$3+$B$5*16</f>
        <v/>
      </c>
      <c r="B1024">
        <f>$B$3+$B$5*36</f>
        <v/>
      </c>
      <c r="C1024">
        <f>SUMPRODUCT(Calc!$K$3:$K$22*(Calc!$G$3:$G$22&lt;=A1024))</f>
        <v/>
      </c>
      <c r="D1024">
        <f>SUMPRODUCT(Calc!$K$3:$K$22*(Calc!$G$3:$G$22&gt;A1024)*(Calc!$G$3:$G$22&lt;B1024))</f>
        <v/>
      </c>
      <c r="E1024">
        <f>SUMPRODUCT(Calc!$K$3:$K$22*(Calc!$G$3:$G$22&gt;=B1024))</f>
        <v/>
      </c>
      <c r="F1024">
        <f>AND(k_n&gt;=5,B1024&gt;A1024+1E-9,C1024&gt;=2,D1024&gt;=1,E1024&gt;=2)</f>
        <v/>
      </c>
      <c r="G1024">
        <f>SUMPRODUCT(Calc!$K$3:$K$22*(Calc!$G$3:$G$22&gt;A1024)*(Calc!$G$3:$G$22-A1024))</f>
        <v/>
      </c>
      <c r="H1024">
        <f>SUMPRODUCT(Calc!$K$3:$K$22*(Calc!$G$3:$G$22&gt;B1024)*(Calc!$G$3:$G$22-B1024))</f>
        <v/>
      </c>
      <c r="I1024">
        <f>SUMPRODUCT(Calc!$K$3:$K$22*(Calc!$G$3:$G$22&gt;A1024)*(Calc!$G$3:$G$22-A1024)^2)</f>
        <v/>
      </c>
      <c r="J1024">
        <f>SUMPRODUCT(Calc!$K$3:$K$22*(Calc!$G$3:$G$22&gt;B1024)*(Calc!$G$3:$G$22-B1024)^2)</f>
        <v/>
      </c>
      <c r="K1024">
        <f>SUMPRODUCT(Calc!$K$3:$K$22*(Calc!$G$3:$G$22&gt;A1024)*(Calc!$G$3:$G$22-A1024)*(Calc!$G$3:$G$22&gt;B1024)*(Calc!$G$3:$G$22-B1024))</f>
        <v/>
      </c>
      <c r="L1024">
        <f>SUMPRODUCT(Calc!$K$3:$K$22*(Calc!$G$3:$G$22&gt;A1024)*(Calc!$G$3:$G$22-A1024)*Calc!$G$3:$G$22)</f>
        <v/>
      </c>
      <c r="M1024">
        <f>SUMPRODUCT(Calc!$K$3:$K$22*(Calc!$G$3:$G$22&gt;B1024)*(Calc!$G$3:$G$22-B1024)*Calc!$G$3:$G$22)</f>
        <v/>
      </c>
      <c r="N1024">
        <f>SUMPRODUCT(Calc!$K$3:$K$22*(Calc!$G$3:$G$22&gt;A1024)*(Calc!$G$3:$G$22-A1024)*Calc!$I$3:$I$22)</f>
        <v/>
      </c>
      <c r="O1024">
        <f>SUMPRODUCT(Calc!$K$3:$K$22*(Calc!$G$3:$G$22&gt;B1024)*(Calc!$G$3:$G$22-B1024)*Calc!$I$3:$I$22)</f>
        <v/>
      </c>
      <c r="P1024">
        <f>I1024-G1024^2/k_n</f>
        <v/>
      </c>
      <c r="Q1024">
        <f>J1024-H1024^2/k_n</f>
        <v/>
      </c>
      <c r="R1024">
        <f>K1024-G1024*H1024/k_n</f>
        <v/>
      </c>
      <c r="S1024">
        <f>L1024-LTP3!$D$3*G1024/k_n</f>
        <v/>
      </c>
      <c r="T1024">
        <f>M1024-LTP3!$D$3*H1024/k_n</f>
        <v/>
      </c>
      <c r="U1024">
        <f>N1024-G1024*LTP3!$D$4/k_n</f>
        <v/>
      </c>
      <c r="V1024">
        <f>O1024-H1024*LTP3!$D$4/k_n</f>
        <v/>
      </c>
      <c r="W1024">
        <f>((LTP3!$D$5)*((P1024)*(Q1024)-(R1024)*(R1024))-(S1024)*((S1024)*(Q1024)-(R1024)*(T1024))+(T1024)*((S1024)*(R1024)-(P1024)*(T1024)))</f>
        <v/>
      </c>
      <c r="X1024">
        <f>IF(ABS(W1024)&gt;1E-12,((LTP3!$D$6)*((P1024)*(Q1024)-(R1024)*(R1024))-(S1024)*((U1024)*(Q1024)-(R1024)*(V1024))+(T1024)*((U1024)*(R1024)-(P1024)*(V1024)))/W1024,0)</f>
        <v/>
      </c>
      <c r="Y1024">
        <f>IF(ABS(W1024)&gt;1E-12,((LTP3!$D$5)*((U1024)*(Q1024)-(R1024)*(V1024))-(LTP3!$D$6)*((S1024)*(Q1024)-(R1024)*(T1024))+(T1024)*((S1024)*(V1024)-(U1024)*(T1024)))/W1024,0)</f>
        <v/>
      </c>
      <c r="Z1024">
        <f>IF(ABS(W1024)&gt;1E-12,((LTP3!$D$5)*((P1024)*(V1024)-(U1024)*(R1024))-(S1024)*((S1024)*(V1024)-(U1024)*(T1024))+(LTP3!$D$6)*((S1024)*(R1024)-(P1024)*(T1024)))/W1024,0)</f>
        <v/>
      </c>
      <c r="AA1024">
        <f>LTP3!$D$7-X1024*LTP3!$D$6-Y1024*U1024-Z1024*V1024</f>
        <v/>
      </c>
      <c r="AB1024">
        <f>IF(AND(F1024,ABS(W1024)&gt;1E-12,Y1024&gt;0,Z1024&gt;0),AA1024,1E+300)</f>
        <v/>
      </c>
    </row>
    <row r="1025">
      <c r="A1025">
        <f>$B$3+$B$5*16</f>
        <v/>
      </c>
      <c r="B1025">
        <f>$B$3+$B$5*37</f>
        <v/>
      </c>
      <c r="C1025">
        <f>SUMPRODUCT(Calc!$K$3:$K$22*(Calc!$G$3:$G$22&lt;=A1025))</f>
        <v/>
      </c>
      <c r="D1025">
        <f>SUMPRODUCT(Calc!$K$3:$K$22*(Calc!$G$3:$G$22&gt;A1025)*(Calc!$G$3:$G$22&lt;B1025))</f>
        <v/>
      </c>
      <c r="E1025">
        <f>SUMPRODUCT(Calc!$K$3:$K$22*(Calc!$G$3:$G$22&gt;=B1025))</f>
        <v/>
      </c>
      <c r="F1025">
        <f>AND(k_n&gt;=5,B1025&gt;A1025+1E-9,C1025&gt;=2,D1025&gt;=1,E1025&gt;=2)</f>
        <v/>
      </c>
      <c r="G1025">
        <f>SUMPRODUCT(Calc!$K$3:$K$22*(Calc!$G$3:$G$22&gt;A1025)*(Calc!$G$3:$G$22-A1025))</f>
        <v/>
      </c>
      <c r="H1025">
        <f>SUMPRODUCT(Calc!$K$3:$K$22*(Calc!$G$3:$G$22&gt;B1025)*(Calc!$G$3:$G$22-B1025))</f>
        <v/>
      </c>
      <c r="I1025">
        <f>SUMPRODUCT(Calc!$K$3:$K$22*(Calc!$G$3:$G$22&gt;A1025)*(Calc!$G$3:$G$22-A1025)^2)</f>
        <v/>
      </c>
      <c r="J1025">
        <f>SUMPRODUCT(Calc!$K$3:$K$22*(Calc!$G$3:$G$22&gt;B1025)*(Calc!$G$3:$G$22-B1025)^2)</f>
        <v/>
      </c>
      <c r="K1025">
        <f>SUMPRODUCT(Calc!$K$3:$K$22*(Calc!$G$3:$G$22&gt;A1025)*(Calc!$G$3:$G$22-A1025)*(Calc!$G$3:$G$22&gt;B1025)*(Calc!$G$3:$G$22-B1025))</f>
        <v/>
      </c>
      <c r="L1025">
        <f>SUMPRODUCT(Calc!$K$3:$K$22*(Calc!$G$3:$G$22&gt;A1025)*(Calc!$G$3:$G$22-A1025)*Calc!$G$3:$G$22)</f>
        <v/>
      </c>
      <c r="M1025">
        <f>SUMPRODUCT(Calc!$K$3:$K$22*(Calc!$G$3:$G$22&gt;B1025)*(Calc!$G$3:$G$22-B1025)*Calc!$G$3:$G$22)</f>
        <v/>
      </c>
      <c r="N1025">
        <f>SUMPRODUCT(Calc!$K$3:$K$22*(Calc!$G$3:$G$22&gt;A1025)*(Calc!$G$3:$G$22-A1025)*Calc!$I$3:$I$22)</f>
        <v/>
      </c>
      <c r="O1025">
        <f>SUMPRODUCT(Calc!$K$3:$K$22*(Calc!$G$3:$G$22&gt;B1025)*(Calc!$G$3:$G$22-B1025)*Calc!$I$3:$I$22)</f>
        <v/>
      </c>
      <c r="P1025">
        <f>I1025-G1025^2/k_n</f>
        <v/>
      </c>
      <c r="Q1025">
        <f>J1025-H1025^2/k_n</f>
        <v/>
      </c>
      <c r="R1025">
        <f>K1025-G1025*H1025/k_n</f>
        <v/>
      </c>
      <c r="S1025">
        <f>L1025-LTP3!$D$3*G1025/k_n</f>
        <v/>
      </c>
      <c r="T1025">
        <f>M1025-LTP3!$D$3*H1025/k_n</f>
        <v/>
      </c>
      <c r="U1025">
        <f>N1025-G1025*LTP3!$D$4/k_n</f>
        <v/>
      </c>
      <c r="V1025">
        <f>O1025-H1025*LTP3!$D$4/k_n</f>
        <v/>
      </c>
      <c r="W1025">
        <f>((LTP3!$D$5)*((P1025)*(Q1025)-(R1025)*(R1025))-(S1025)*((S1025)*(Q1025)-(R1025)*(T1025))+(T1025)*((S1025)*(R1025)-(P1025)*(T1025)))</f>
        <v/>
      </c>
      <c r="X1025">
        <f>IF(ABS(W1025)&gt;1E-12,((LTP3!$D$6)*((P1025)*(Q1025)-(R1025)*(R1025))-(S1025)*((U1025)*(Q1025)-(R1025)*(V1025))+(T1025)*((U1025)*(R1025)-(P1025)*(V1025)))/W1025,0)</f>
        <v/>
      </c>
      <c r="Y1025">
        <f>IF(ABS(W1025)&gt;1E-12,((LTP3!$D$5)*((U1025)*(Q1025)-(R1025)*(V1025))-(LTP3!$D$6)*((S1025)*(Q1025)-(R1025)*(T1025))+(T1025)*((S1025)*(V1025)-(U1025)*(T1025)))/W1025,0)</f>
        <v/>
      </c>
      <c r="Z1025">
        <f>IF(ABS(W1025)&gt;1E-12,((LTP3!$D$5)*((P1025)*(V1025)-(U1025)*(R1025))-(S1025)*((S1025)*(V1025)-(U1025)*(T1025))+(LTP3!$D$6)*((S1025)*(R1025)-(P1025)*(T1025)))/W1025,0)</f>
        <v/>
      </c>
      <c r="AA1025">
        <f>LTP3!$D$7-X1025*LTP3!$D$6-Y1025*U1025-Z1025*V1025</f>
        <v/>
      </c>
      <c r="AB1025">
        <f>IF(AND(F1025,ABS(W1025)&gt;1E-12,Y1025&gt;0,Z1025&gt;0),AA1025,1E+300)</f>
        <v/>
      </c>
    </row>
    <row r="1026">
      <c r="A1026">
        <f>$B$3+$B$5*16</f>
        <v/>
      </c>
      <c r="B1026">
        <f>$B$3+$B$5*38</f>
        <v/>
      </c>
      <c r="C1026">
        <f>SUMPRODUCT(Calc!$K$3:$K$22*(Calc!$G$3:$G$22&lt;=A1026))</f>
        <v/>
      </c>
      <c r="D1026">
        <f>SUMPRODUCT(Calc!$K$3:$K$22*(Calc!$G$3:$G$22&gt;A1026)*(Calc!$G$3:$G$22&lt;B1026))</f>
        <v/>
      </c>
      <c r="E1026">
        <f>SUMPRODUCT(Calc!$K$3:$K$22*(Calc!$G$3:$G$22&gt;=B1026))</f>
        <v/>
      </c>
      <c r="F1026">
        <f>AND(k_n&gt;=5,B1026&gt;A1026+1E-9,C1026&gt;=2,D1026&gt;=1,E1026&gt;=2)</f>
        <v/>
      </c>
      <c r="G1026">
        <f>SUMPRODUCT(Calc!$K$3:$K$22*(Calc!$G$3:$G$22&gt;A1026)*(Calc!$G$3:$G$22-A1026))</f>
        <v/>
      </c>
      <c r="H1026">
        <f>SUMPRODUCT(Calc!$K$3:$K$22*(Calc!$G$3:$G$22&gt;B1026)*(Calc!$G$3:$G$22-B1026))</f>
        <v/>
      </c>
      <c r="I1026">
        <f>SUMPRODUCT(Calc!$K$3:$K$22*(Calc!$G$3:$G$22&gt;A1026)*(Calc!$G$3:$G$22-A1026)^2)</f>
        <v/>
      </c>
      <c r="J1026">
        <f>SUMPRODUCT(Calc!$K$3:$K$22*(Calc!$G$3:$G$22&gt;B1026)*(Calc!$G$3:$G$22-B1026)^2)</f>
        <v/>
      </c>
      <c r="K1026">
        <f>SUMPRODUCT(Calc!$K$3:$K$22*(Calc!$G$3:$G$22&gt;A1026)*(Calc!$G$3:$G$22-A1026)*(Calc!$G$3:$G$22&gt;B1026)*(Calc!$G$3:$G$22-B1026))</f>
        <v/>
      </c>
      <c r="L1026">
        <f>SUMPRODUCT(Calc!$K$3:$K$22*(Calc!$G$3:$G$22&gt;A1026)*(Calc!$G$3:$G$22-A1026)*Calc!$G$3:$G$22)</f>
        <v/>
      </c>
      <c r="M1026">
        <f>SUMPRODUCT(Calc!$K$3:$K$22*(Calc!$G$3:$G$22&gt;B1026)*(Calc!$G$3:$G$22-B1026)*Calc!$G$3:$G$22)</f>
        <v/>
      </c>
      <c r="N1026">
        <f>SUMPRODUCT(Calc!$K$3:$K$22*(Calc!$G$3:$G$22&gt;A1026)*(Calc!$G$3:$G$22-A1026)*Calc!$I$3:$I$22)</f>
        <v/>
      </c>
      <c r="O1026">
        <f>SUMPRODUCT(Calc!$K$3:$K$22*(Calc!$G$3:$G$22&gt;B1026)*(Calc!$G$3:$G$22-B1026)*Calc!$I$3:$I$22)</f>
        <v/>
      </c>
      <c r="P1026">
        <f>I1026-G1026^2/k_n</f>
        <v/>
      </c>
      <c r="Q1026">
        <f>J1026-H1026^2/k_n</f>
        <v/>
      </c>
      <c r="R1026">
        <f>K1026-G1026*H1026/k_n</f>
        <v/>
      </c>
      <c r="S1026">
        <f>L1026-LTP3!$D$3*G1026/k_n</f>
        <v/>
      </c>
      <c r="T1026">
        <f>M1026-LTP3!$D$3*H1026/k_n</f>
        <v/>
      </c>
      <c r="U1026">
        <f>N1026-G1026*LTP3!$D$4/k_n</f>
        <v/>
      </c>
      <c r="V1026">
        <f>O1026-H1026*LTP3!$D$4/k_n</f>
        <v/>
      </c>
      <c r="W1026">
        <f>((LTP3!$D$5)*((P1026)*(Q1026)-(R1026)*(R1026))-(S1026)*((S1026)*(Q1026)-(R1026)*(T1026))+(T1026)*((S1026)*(R1026)-(P1026)*(T1026)))</f>
        <v/>
      </c>
      <c r="X1026">
        <f>IF(ABS(W1026)&gt;1E-12,((LTP3!$D$6)*((P1026)*(Q1026)-(R1026)*(R1026))-(S1026)*((U1026)*(Q1026)-(R1026)*(V1026))+(T1026)*((U1026)*(R1026)-(P1026)*(V1026)))/W1026,0)</f>
        <v/>
      </c>
      <c r="Y1026">
        <f>IF(ABS(W1026)&gt;1E-12,((LTP3!$D$5)*((U1026)*(Q1026)-(R1026)*(V1026))-(LTP3!$D$6)*((S1026)*(Q1026)-(R1026)*(T1026))+(T1026)*((S1026)*(V1026)-(U1026)*(T1026)))/W1026,0)</f>
        <v/>
      </c>
      <c r="Z1026">
        <f>IF(ABS(W1026)&gt;1E-12,((LTP3!$D$5)*((P1026)*(V1026)-(U1026)*(R1026))-(S1026)*((S1026)*(V1026)-(U1026)*(T1026))+(LTP3!$D$6)*((S1026)*(R1026)-(P1026)*(T1026)))/W1026,0)</f>
        <v/>
      </c>
      <c r="AA1026">
        <f>LTP3!$D$7-X1026*LTP3!$D$6-Y1026*U1026-Z1026*V1026</f>
        <v/>
      </c>
      <c r="AB1026">
        <f>IF(AND(F1026,ABS(W1026)&gt;1E-12,Y1026&gt;0,Z1026&gt;0),AA1026,1E+300)</f>
        <v/>
      </c>
    </row>
    <row r="1027">
      <c r="A1027">
        <f>$B$3+$B$5*16</f>
        <v/>
      </c>
      <c r="B1027">
        <f>$B$3+$B$5*39</f>
        <v/>
      </c>
      <c r="C1027">
        <f>SUMPRODUCT(Calc!$K$3:$K$22*(Calc!$G$3:$G$22&lt;=A1027))</f>
        <v/>
      </c>
      <c r="D1027">
        <f>SUMPRODUCT(Calc!$K$3:$K$22*(Calc!$G$3:$G$22&gt;A1027)*(Calc!$G$3:$G$22&lt;B1027))</f>
        <v/>
      </c>
      <c r="E1027">
        <f>SUMPRODUCT(Calc!$K$3:$K$22*(Calc!$G$3:$G$22&gt;=B1027))</f>
        <v/>
      </c>
      <c r="F1027">
        <f>AND(k_n&gt;=5,B1027&gt;A1027+1E-9,C1027&gt;=2,D1027&gt;=1,E1027&gt;=2)</f>
        <v/>
      </c>
      <c r="G1027">
        <f>SUMPRODUCT(Calc!$K$3:$K$22*(Calc!$G$3:$G$22&gt;A1027)*(Calc!$G$3:$G$22-A1027))</f>
        <v/>
      </c>
      <c r="H1027">
        <f>SUMPRODUCT(Calc!$K$3:$K$22*(Calc!$G$3:$G$22&gt;B1027)*(Calc!$G$3:$G$22-B1027))</f>
        <v/>
      </c>
      <c r="I1027">
        <f>SUMPRODUCT(Calc!$K$3:$K$22*(Calc!$G$3:$G$22&gt;A1027)*(Calc!$G$3:$G$22-A1027)^2)</f>
        <v/>
      </c>
      <c r="J1027">
        <f>SUMPRODUCT(Calc!$K$3:$K$22*(Calc!$G$3:$G$22&gt;B1027)*(Calc!$G$3:$G$22-B1027)^2)</f>
        <v/>
      </c>
      <c r="K1027">
        <f>SUMPRODUCT(Calc!$K$3:$K$22*(Calc!$G$3:$G$22&gt;A1027)*(Calc!$G$3:$G$22-A1027)*(Calc!$G$3:$G$22&gt;B1027)*(Calc!$G$3:$G$22-B1027))</f>
        <v/>
      </c>
      <c r="L1027">
        <f>SUMPRODUCT(Calc!$K$3:$K$22*(Calc!$G$3:$G$22&gt;A1027)*(Calc!$G$3:$G$22-A1027)*Calc!$G$3:$G$22)</f>
        <v/>
      </c>
      <c r="M1027">
        <f>SUMPRODUCT(Calc!$K$3:$K$22*(Calc!$G$3:$G$22&gt;B1027)*(Calc!$G$3:$G$22-B1027)*Calc!$G$3:$G$22)</f>
        <v/>
      </c>
      <c r="N1027">
        <f>SUMPRODUCT(Calc!$K$3:$K$22*(Calc!$G$3:$G$22&gt;A1027)*(Calc!$G$3:$G$22-A1027)*Calc!$I$3:$I$22)</f>
        <v/>
      </c>
      <c r="O1027">
        <f>SUMPRODUCT(Calc!$K$3:$K$22*(Calc!$G$3:$G$22&gt;B1027)*(Calc!$G$3:$G$22-B1027)*Calc!$I$3:$I$22)</f>
        <v/>
      </c>
      <c r="P1027">
        <f>I1027-G1027^2/k_n</f>
        <v/>
      </c>
      <c r="Q1027">
        <f>J1027-H1027^2/k_n</f>
        <v/>
      </c>
      <c r="R1027">
        <f>K1027-G1027*H1027/k_n</f>
        <v/>
      </c>
      <c r="S1027">
        <f>L1027-LTP3!$D$3*G1027/k_n</f>
        <v/>
      </c>
      <c r="T1027">
        <f>M1027-LTP3!$D$3*H1027/k_n</f>
        <v/>
      </c>
      <c r="U1027">
        <f>N1027-G1027*LTP3!$D$4/k_n</f>
        <v/>
      </c>
      <c r="V1027">
        <f>O1027-H1027*LTP3!$D$4/k_n</f>
        <v/>
      </c>
      <c r="W1027">
        <f>((LTP3!$D$5)*((P1027)*(Q1027)-(R1027)*(R1027))-(S1027)*((S1027)*(Q1027)-(R1027)*(T1027))+(T1027)*((S1027)*(R1027)-(P1027)*(T1027)))</f>
        <v/>
      </c>
      <c r="X1027">
        <f>IF(ABS(W1027)&gt;1E-12,((LTP3!$D$6)*((P1027)*(Q1027)-(R1027)*(R1027))-(S1027)*((U1027)*(Q1027)-(R1027)*(V1027))+(T1027)*((U1027)*(R1027)-(P1027)*(V1027)))/W1027,0)</f>
        <v/>
      </c>
      <c r="Y1027">
        <f>IF(ABS(W1027)&gt;1E-12,((LTP3!$D$5)*((U1027)*(Q1027)-(R1027)*(V1027))-(LTP3!$D$6)*((S1027)*(Q1027)-(R1027)*(T1027))+(T1027)*((S1027)*(V1027)-(U1027)*(T1027)))/W1027,0)</f>
        <v/>
      </c>
      <c r="Z1027">
        <f>IF(ABS(W1027)&gt;1E-12,((LTP3!$D$5)*((P1027)*(V1027)-(U1027)*(R1027))-(S1027)*((S1027)*(V1027)-(U1027)*(T1027))+(LTP3!$D$6)*((S1027)*(R1027)-(P1027)*(T1027)))/W1027,0)</f>
        <v/>
      </c>
      <c r="AA1027">
        <f>LTP3!$D$7-X1027*LTP3!$D$6-Y1027*U1027-Z1027*V1027</f>
        <v/>
      </c>
      <c r="AB1027">
        <f>IF(AND(F1027,ABS(W1027)&gt;1E-12,Y1027&gt;0,Z1027&gt;0),AA1027,1E+300)</f>
        <v/>
      </c>
    </row>
    <row r="1028">
      <c r="A1028">
        <f>$B$3+$B$5*16</f>
        <v/>
      </c>
      <c r="B1028">
        <f>$B$3+$B$5*40</f>
        <v/>
      </c>
      <c r="C1028">
        <f>SUMPRODUCT(Calc!$K$3:$K$22*(Calc!$G$3:$G$22&lt;=A1028))</f>
        <v/>
      </c>
      <c r="D1028">
        <f>SUMPRODUCT(Calc!$K$3:$K$22*(Calc!$G$3:$G$22&gt;A1028)*(Calc!$G$3:$G$22&lt;B1028))</f>
        <v/>
      </c>
      <c r="E1028">
        <f>SUMPRODUCT(Calc!$K$3:$K$22*(Calc!$G$3:$G$22&gt;=B1028))</f>
        <v/>
      </c>
      <c r="F1028">
        <f>AND(k_n&gt;=5,B1028&gt;A1028+1E-9,C1028&gt;=2,D1028&gt;=1,E1028&gt;=2)</f>
        <v/>
      </c>
      <c r="G1028">
        <f>SUMPRODUCT(Calc!$K$3:$K$22*(Calc!$G$3:$G$22&gt;A1028)*(Calc!$G$3:$G$22-A1028))</f>
        <v/>
      </c>
      <c r="H1028">
        <f>SUMPRODUCT(Calc!$K$3:$K$22*(Calc!$G$3:$G$22&gt;B1028)*(Calc!$G$3:$G$22-B1028))</f>
        <v/>
      </c>
      <c r="I1028">
        <f>SUMPRODUCT(Calc!$K$3:$K$22*(Calc!$G$3:$G$22&gt;A1028)*(Calc!$G$3:$G$22-A1028)^2)</f>
        <v/>
      </c>
      <c r="J1028">
        <f>SUMPRODUCT(Calc!$K$3:$K$22*(Calc!$G$3:$G$22&gt;B1028)*(Calc!$G$3:$G$22-B1028)^2)</f>
        <v/>
      </c>
      <c r="K1028">
        <f>SUMPRODUCT(Calc!$K$3:$K$22*(Calc!$G$3:$G$22&gt;A1028)*(Calc!$G$3:$G$22-A1028)*(Calc!$G$3:$G$22&gt;B1028)*(Calc!$G$3:$G$22-B1028))</f>
        <v/>
      </c>
      <c r="L1028">
        <f>SUMPRODUCT(Calc!$K$3:$K$22*(Calc!$G$3:$G$22&gt;A1028)*(Calc!$G$3:$G$22-A1028)*Calc!$G$3:$G$22)</f>
        <v/>
      </c>
      <c r="M1028">
        <f>SUMPRODUCT(Calc!$K$3:$K$22*(Calc!$G$3:$G$22&gt;B1028)*(Calc!$G$3:$G$22-B1028)*Calc!$G$3:$G$22)</f>
        <v/>
      </c>
      <c r="N1028">
        <f>SUMPRODUCT(Calc!$K$3:$K$22*(Calc!$G$3:$G$22&gt;A1028)*(Calc!$G$3:$G$22-A1028)*Calc!$I$3:$I$22)</f>
        <v/>
      </c>
      <c r="O1028">
        <f>SUMPRODUCT(Calc!$K$3:$K$22*(Calc!$G$3:$G$22&gt;B1028)*(Calc!$G$3:$G$22-B1028)*Calc!$I$3:$I$22)</f>
        <v/>
      </c>
      <c r="P1028">
        <f>I1028-G1028^2/k_n</f>
        <v/>
      </c>
      <c r="Q1028">
        <f>J1028-H1028^2/k_n</f>
        <v/>
      </c>
      <c r="R1028">
        <f>K1028-G1028*H1028/k_n</f>
        <v/>
      </c>
      <c r="S1028">
        <f>L1028-LTP3!$D$3*G1028/k_n</f>
        <v/>
      </c>
      <c r="T1028">
        <f>M1028-LTP3!$D$3*H1028/k_n</f>
        <v/>
      </c>
      <c r="U1028">
        <f>N1028-G1028*LTP3!$D$4/k_n</f>
        <v/>
      </c>
      <c r="V1028">
        <f>O1028-H1028*LTP3!$D$4/k_n</f>
        <v/>
      </c>
      <c r="W1028">
        <f>((LTP3!$D$5)*((P1028)*(Q1028)-(R1028)*(R1028))-(S1028)*((S1028)*(Q1028)-(R1028)*(T1028))+(T1028)*((S1028)*(R1028)-(P1028)*(T1028)))</f>
        <v/>
      </c>
      <c r="X1028">
        <f>IF(ABS(W1028)&gt;1E-12,((LTP3!$D$6)*((P1028)*(Q1028)-(R1028)*(R1028))-(S1028)*((U1028)*(Q1028)-(R1028)*(V1028))+(T1028)*((U1028)*(R1028)-(P1028)*(V1028)))/W1028,0)</f>
        <v/>
      </c>
      <c r="Y1028">
        <f>IF(ABS(W1028)&gt;1E-12,((LTP3!$D$5)*((U1028)*(Q1028)-(R1028)*(V1028))-(LTP3!$D$6)*((S1028)*(Q1028)-(R1028)*(T1028))+(T1028)*((S1028)*(V1028)-(U1028)*(T1028)))/W1028,0)</f>
        <v/>
      </c>
      <c r="Z1028">
        <f>IF(ABS(W1028)&gt;1E-12,((LTP3!$D$5)*((P1028)*(V1028)-(U1028)*(R1028))-(S1028)*((S1028)*(V1028)-(U1028)*(T1028))+(LTP3!$D$6)*((S1028)*(R1028)-(P1028)*(T1028)))/W1028,0)</f>
        <v/>
      </c>
      <c r="AA1028">
        <f>LTP3!$D$7-X1028*LTP3!$D$6-Y1028*U1028-Z1028*V1028</f>
        <v/>
      </c>
      <c r="AB1028">
        <f>IF(AND(F1028,ABS(W1028)&gt;1E-12,Y1028&gt;0,Z1028&gt;0),AA1028,1E+300)</f>
        <v/>
      </c>
    </row>
    <row r="1029">
      <c r="A1029">
        <f>$B$3+$B$5*16</f>
        <v/>
      </c>
      <c r="B1029">
        <f>$B$3+$B$5*41</f>
        <v/>
      </c>
      <c r="C1029">
        <f>SUMPRODUCT(Calc!$K$3:$K$22*(Calc!$G$3:$G$22&lt;=A1029))</f>
        <v/>
      </c>
      <c r="D1029">
        <f>SUMPRODUCT(Calc!$K$3:$K$22*(Calc!$G$3:$G$22&gt;A1029)*(Calc!$G$3:$G$22&lt;B1029))</f>
        <v/>
      </c>
      <c r="E1029">
        <f>SUMPRODUCT(Calc!$K$3:$K$22*(Calc!$G$3:$G$22&gt;=B1029))</f>
        <v/>
      </c>
      <c r="F1029">
        <f>AND(k_n&gt;=5,B1029&gt;A1029+1E-9,C1029&gt;=2,D1029&gt;=1,E1029&gt;=2)</f>
        <v/>
      </c>
      <c r="G1029">
        <f>SUMPRODUCT(Calc!$K$3:$K$22*(Calc!$G$3:$G$22&gt;A1029)*(Calc!$G$3:$G$22-A1029))</f>
        <v/>
      </c>
      <c r="H1029">
        <f>SUMPRODUCT(Calc!$K$3:$K$22*(Calc!$G$3:$G$22&gt;B1029)*(Calc!$G$3:$G$22-B1029))</f>
        <v/>
      </c>
      <c r="I1029">
        <f>SUMPRODUCT(Calc!$K$3:$K$22*(Calc!$G$3:$G$22&gt;A1029)*(Calc!$G$3:$G$22-A1029)^2)</f>
        <v/>
      </c>
      <c r="J1029">
        <f>SUMPRODUCT(Calc!$K$3:$K$22*(Calc!$G$3:$G$22&gt;B1029)*(Calc!$G$3:$G$22-B1029)^2)</f>
        <v/>
      </c>
      <c r="K1029">
        <f>SUMPRODUCT(Calc!$K$3:$K$22*(Calc!$G$3:$G$22&gt;A1029)*(Calc!$G$3:$G$22-A1029)*(Calc!$G$3:$G$22&gt;B1029)*(Calc!$G$3:$G$22-B1029))</f>
        <v/>
      </c>
      <c r="L1029">
        <f>SUMPRODUCT(Calc!$K$3:$K$22*(Calc!$G$3:$G$22&gt;A1029)*(Calc!$G$3:$G$22-A1029)*Calc!$G$3:$G$22)</f>
        <v/>
      </c>
      <c r="M1029">
        <f>SUMPRODUCT(Calc!$K$3:$K$22*(Calc!$G$3:$G$22&gt;B1029)*(Calc!$G$3:$G$22-B1029)*Calc!$G$3:$G$22)</f>
        <v/>
      </c>
      <c r="N1029">
        <f>SUMPRODUCT(Calc!$K$3:$K$22*(Calc!$G$3:$G$22&gt;A1029)*(Calc!$G$3:$G$22-A1029)*Calc!$I$3:$I$22)</f>
        <v/>
      </c>
      <c r="O1029">
        <f>SUMPRODUCT(Calc!$K$3:$K$22*(Calc!$G$3:$G$22&gt;B1029)*(Calc!$G$3:$G$22-B1029)*Calc!$I$3:$I$22)</f>
        <v/>
      </c>
      <c r="P1029">
        <f>I1029-G1029^2/k_n</f>
        <v/>
      </c>
      <c r="Q1029">
        <f>J1029-H1029^2/k_n</f>
        <v/>
      </c>
      <c r="R1029">
        <f>K1029-G1029*H1029/k_n</f>
        <v/>
      </c>
      <c r="S1029">
        <f>L1029-LTP3!$D$3*G1029/k_n</f>
        <v/>
      </c>
      <c r="T1029">
        <f>M1029-LTP3!$D$3*H1029/k_n</f>
        <v/>
      </c>
      <c r="U1029">
        <f>N1029-G1029*LTP3!$D$4/k_n</f>
        <v/>
      </c>
      <c r="V1029">
        <f>O1029-H1029*LTP3!$D$4/k_n</f>
        <v/>
      </c>
      <c r="W1029">
        <f>((LTP3!$D$5)*((P1029)*(Q1029)-(R1029)*(R1029))-(S1029)*((S1029)*(Q1029)-(R1029)*(T1029))+(T1029)*((S1029)*(R1029)-(P1029)*(T1029)))</f>
        <v/>
      </c>
      <c r="X1029">
        <f>IF(ABS(W1029)&gt;1E-12,((LTP3!$D$6)*((P1029)*(Q1029)-(R1029)*(R1029))-(S1029)*((U1029)*(Q1029)-(R1029)*(V1029))+(T1029)*((U1029)*(R1029)-(P1029)*(V1029)))/W1029,0)</f>
        <v/>
      </c>
      <c r="Y1029">
        <f>IF(ABS(W1029)&gt;1E-12,((LTP3!$D$5)*((U1029)*(Q1029)-(R1029)*(V1029))-(LTP3!$D$6)*((S1029)*(Q1029)-(R1029)*(T1029))+(T1029)*((S1029)*(V1029)-(U1029)*(T1029)))/W1029,0)</f>
        <v/>
      </c>
      <c r="Z1029">
        <f>IF(ABS(W1029)&gt;1E-12,((LTP3!$D$5)*((P1029)*(V1029)-(U1029)*(R1029))-(S1029)*((S1029)*(V1029)-(U1029)*(T1029))+(LTP3!$D$6)*((S1029)*(R1029)-(P1029)*(T1029)))/W1029,0)</f>
        <v/>
      </c>
      <c r="AA1029">
        <f>LTP3!$D$7-X1029*LTP3!$D$6-Y1029*U1029-Z1029*V1029</f>
        <v/>
      </c>
      <c r="AB1029">
        <f>IF(AND(F1029,ABS(W1029)&gt;1E-12,Y1029&gt;0,Z1029&gt;0),AA1029,1E+300)</f>
        <v/>
      </c>
    </row>
    <row r="1030">
      <c r="A1030">
        <f>$B$3+$B$5*16</f>
        <v/>
      </c>
      <c r="B1030">
        <f>$B$3+$B$5*42</f>
        <v/>
      </c>
      <c r="C1030">
        <f>SUMPRODUCT(Calc!$K$3:$K$22*(Calc!$G$3:$G$22&lt;=A1030))</f>
        <v/>
      </c>
      <c r="D1030">
        <f>SUMPRODUCT(Calc!$K$3:$K$22*(Calc!$G$3:$G$22&gt;A1030)*(Calc!$G$3:$G$22&lt;B1030))</f>
        <v/>
      </c>
      <c r="E1030">
        <f>SUMPRODUCT(Calc!$K$3:$K$22*(Calc!$G$3:$G$22&gt;=B1030))</f>
        <v/>
      </c>
      <c r="F1030">
        <f>AND(k_n&gt;=5,B1030&gt;A1030+1E-9,C1030&gt;=2,D1030&gt;=1,E1030&gt;=2)</f>
        <v/>
      </c>
      <c r="G1030">
        <f>SUMPRODUCT(Calc!$K$3:$K$22*(Calc!$G$3:$G$22&gt;A1030)*(Calc!$G$3:$G$22-A1030))</f>
        <v/>
      </c>
      <c r="H1030">
        <f>SUMPRODUCT(Calc!$K$3:$K$22*(Calc!$G$3:$G$22&gt;B1030)*(Calc!$G$3:$G$22-B1030))</f>
        <v/>
      </c>
      <c r="I1030">
        <f>SUMPRODUCT(Calc!$K$3:$K$22*(Calc!$G$3:$G$22&gt;A1030)*(Calc!$G$3:$G$22-A1030)^2)</f>
        <v/>
      </c>
      <c r="J1030">
        <f>SUMPRODUCT(Calc!$K$3:$K$22*(Calc!$G$3:$G$22&gt;B1030)*(Calc!$G$3:$G$22-B1030)^2)</f>
        <v/>
      </c>
      <c r="K1030">
        <f>SUMPRODUCT(Calc!$K$3:$K$22*(Calc!$G$3:$G$22&gt;A1030)*(Calc!$G$3:$G$22-A1030)*(Calc!$G$3:$G$22&gt;B1030)*(Calc!$G$3:$G$22-B1030))</f>
        <v/>
      </c>
      <c r="L1030">
        <f>SUMPRODUCT(Calc!$K$3:$K$22*(Calc!$G$3:$G$22&gt;A1030)*(Calc!$G$3:$G$22-A1030)*Calc!$G$3:$G$22)</f>
        <v/>
      </c>
      <c r="M1030">
        <f>SUMPRODUCT(Calc!$K$3:$K$22*(Calc!$G$3:$G$22&gt;B1030)*(Calc!$G$3:$G$22-B1030)*Calc!$G$3:$G$22)</f>
        <v/>
      </c>
      <c r="N1030">
        <f>SUMPRODUCT(Calc!$K$3:$K$22*(Calc!$G$3:$G$22&gt;A1030)*(Calc!$G$3:$G$22-A1030)*Calc!$I$3:$I$22)</f>
        <v/>
      </c>
      <c r="O1030">
        <f>SUMPRODUCT(Calc!$K$3:$K$22*(Calc!$G$3:$G$22&gt;B1030)*(Calc!$G$3:$G$22-B1030)*Calc!$I$3:$I$22)</f>
        <v/>
      </c>
      <c r="P1030">
        <f>I1030-G1030^2/k_n</f>
        <v/>
      </c>
      <c r="Q1030">
        <f>J1030-H1030^2/k_n</f>
        <v/>
      </c>
      <c r="R1030">
        <f>K1030-G1030*H1030/k_n</f>
        <v/>
      </c>
      <c r="S1030">
        <f>L1030-LTP3!$D$3*G1030/k_n</f>
        <v/>
      </c>
      <c r="T1030">
        <f>M1030-LTP3!$D$3*H1030/k_n</f>
        <v/>
      </c>
      <c r="U1030">
        <f>N1030-G1030*LTP3!$D$4/k_n</f>
        <v/>
      </c>
      <c r="V1030">
        <f>O1030-H1030*LTP3!$D$4/k_n</f>
        <v/>
      </c>
      <c r="W1030">
        <f>((LTP3!$D$5)*((P1030)*(Q1030)-(R1030)*(R1030))-(S1030)*((S1030)*(Q1030)-(R1030)*(T1030))+(T1030)*((S1030)*(R1030)-(P1030)*(T1030)))</f>
        <v/>
      </c>
      <c r="X1030">
        <f>IF(ABS(W1030)&gt;1E-12,((LTP3!$D$6)*((P1030)*(Q1030)-(R1030)*(R1030))-(S1030)*((U1030)*(Q1030)-(R1030)*(V1030))+(T1030)*((U1030)*(R1030)-(P1030)*(V1030)))/W1030,0)</f>
        <v/>
      </c>
      <c r="Y1030">
        <f>IF(ABS(W1030)&gt;1E-12,((LTP3!$D$5)*((U1030)*(Q1030)-(R1030)*(V1030))-(LTP3!$D$6)*((S1030)*(Q1030)-(R1030)*(T1030))+(T1030)*((S1030)*(V1030)-(U1030)*(T1030)))/W1030,0)</f>
        <v/>
      </c>
      <c r="Z1030">
        <f>IF(ABS(W1030)&gt;1E-12,((LTP3!$D$5)*((P1030)*(V1030)-(U1030)*(R1030))-(S1030)*((S1030)*(V1030)-(U1030)*(T1030))+(LTP3!$D$6)*((S1030)*(R1030)-(P1030)*(T1030)))/W1030,0)</f>
        <v/>
      </c>
      <c r="AA1030">
        <f>LTP3!$D$7-X1030*LTP3!$D$6-Y1030*U1030-Z1030*V1030</f>
        <v/>
      </c>
      <c r="AB1030">
        <f>IF(AND(F1030,ABS(W1030)&gt;1E-12,Y1030&gt;0,Z1030&gt;0),AA1030,1E+300)</f>
        <v/>
      </c>
    </row>
    <row r="1031">
      <c r="A1031">
        <f>$B$3+$B$5*16</f>
        <v/>
      </c>
      <c r="B1031">
        <f>$B$3+$B$5*43</f>
        <v/>
      </c>
      <c r="C1031">
        <f>SUMPRODUCT(Calc!$K$3:$K$22*(Calc!$G$3:$G$22&lt;=A1031))</f>
        <v/>
      </c>
      <c r="D1031">
        <f>SUMPRODUCT(Calc!$K$3:$K$22*(Calc!$G$3:$G$22&gt;A1031)*(Calc!$G$3:$G$22&lt;B1031))</f>
        <v/>
      </c>
      <c r="E1031">
        <f>SUMPRODUCT(Calc!$K$3:$K$22*(Calc!$G$3:$G$22&gt;=B1031))</f>
        <v/>
      </c>
      <c r="F1031">
        <f>AND(k_n&gt;=5,B1031&gt;A1031+1E-9,C1031&gt;=2,D1031&gt;=1,E1031&gt;=2)</f>
        <v/>
      </c>
      <c r="G1031">
        <f>SUMPRODUCT(Calc!$K$3:$K$22*(Calc!$G$3:$G$22&gt;A1031)*(Calc!$G$3:$G$22-A1031))</f>
        <v/>
      </c>
      <c r="H1031">
        <f>SUMPRODUCT(Calc!$K$3:$K$22*(Calc!$G$3:$G$22&gt;B1031)*(Calc!$G$3:$G$22-B1031))</f>
        <v/>
      </c>
      <c r="I1031">
        <f>SUMPRODUCT(Calc!$K$3:$K$22*(Calc!$G$3:$G$22&gt;A1031)*(Calc!$G$3:$G$22-A1031)^2)</f>
        <v/>
      </c>
      <c r="J1031">
        <f>SUMPRODUCT(Calc!$K$3:$K$22*(Calc!$G$3:$G$22&gt;B1031)*(Calc!$G$3:$G$22-B1031)^2)</f>
        <v/>
      </c>
      <c r="K1031">
        <f>SUMPRODUCT(Calc!$K$3:$K$22*(Calc!$G$3:$G$22&gt;A1031)*(Calc!$G$3:$G$22-A1031)*(Calc!$G$3:$G$22&gt;B1031)*(Calc!$G$3:$G$22-B1031))</f>
        <v/>
      </c>
      <c r="L1031">
        <f>SUMPRODUCT(Calc!$K$3:$K$22*(Calc!$G$3:$G$22&gt;A1031)*(Calc!$G$3:$G$22-A1031)*Calc!$G$3:$G$22)</f>
        <v/>
      </c>
      <c r="M1031">
        <f>SUMPRODUCT(Calc!$K$3:$K$22*(Calc!$G$3:$G$22&gt;B1031)*(Calc!$G$3:$G$22-B1031)*Calc!$G$3:$G$22)</f>
        <v/>
      </c>
      <c r="N1031">
        <f>SUMPRODUCT(Calc!$K$3:$K$22*(Calc!$G$3:$G$22&gt;A1031)*(Calc!$G$3:$G$22-A1031)*Calc!$I$3:$I$22)</f>
        <v/>
      </c>
      <c r="O1031">
        <f>SUMPRODUCT(Calc!$K$3:$K$22*(Calc!$G$3:$G$22&gt;B1031)*(Calc!$G$3:$G$22-B1031)*Calc!$I$3:$I$22)</f>
        <v/>
      </c>
      <c r="P1031">
        <f>I1031-G1031^2/k_n</f>
        <v/>
      </c>
      <c r="Q1031">
        <f>J1031-H1031^2/k_n</f>
        <v/>
      </c>
      <c r="R1031">
        <f>K1031-G1031*H1031/k_n</f>
        <v/>
      </c>
      <c r="S1031">
        <f>L1031-LTP3!$D$3*G1031/k_n</f>
        <v/>
      </c>
      <c r="T1031">
        <f>M1031-LTP3!$D$3*H1031/k_n</f>
        <v/>
      </c>
      <c r="U1031">
        <f>N1031-G1031*LTP3!$D$4/k_n</f>
        <v/>
      </c>
      <c r="V1031">
        <f>O1031-H1031*LTP3!$D$4/k_n</f>
        <v/>
      </c>
      <c r="W1031">
        <f>((LTP3!$D$5)*((P1031)*(Q1031)-(R1031)*(R1031))-(S1031)*((S1031)*(Q1031)-(R1031)*(T1031))+(T1031)*((S1031)*(R1031)-(P1031)*(T1031)))</f>
        <v/>
      </c>
      <c r="X1031">
        <f>IF(ABS(W1031)&gt;1E-12,((LTP3!$D$6)*((P1031)*(Q1031)-(R1031)*(R1031))-(S1031)*((U1031)*(Q1031)-(R1031)*(V1031))+(T1031)*((U1031)*(R1031)-(P1031)*(V1031)))/W1031,0)</f>
        <v/>
      </c>
      <c r="Y1031">
        <f>IF(ABS(W1031)&gt;1E-12,((LTP3!$D$5)*((U1031)*(Q1031)-(R1031)*(V1031))-(LTP3!$D$6)*((S1031)*(Q1031)-(R1031)*(T1031))+(T1031)*((S1031)*(V1031)-(U1031)*(T1031)))/W1031,0)</f>
        <v/>
      </c>
      <c r="Z1031">
        <f>IF(ABS(W1031)&gt;1E-12,((LTP3!$D$5)*((P1031)*(V1031)-(U1031)*(R1031))-(S1031)*((S1031)*(V1031)-(U1031)*(T1031))+(LTP3!$D$6)*((S1031)*(R1031)-(P1031)*(T1031)))/W1031,0)</f>
        <v/>
      </c>
      <c r="AA1031">
        <f>LTP3!$D$7-X1031*LTP3!$D$6-Y1031*U1031-Z1031*V1031</f>
        <v/>
      </c>
      <c r="AB1031">
        <f>IF(AND(F1031,ABS(W1031)&gt;1E-12,Y1031&gt;0,Z1031&gt;0),AA1031,1E+300)</f>
        <v/>
      </c>
    </row>
    <row r="1032">
      <c r="A1032">
        <f>$B$3+$B$5*16</f>
        <v/>
      </c>
      <c r="B1032">
        <f>$B$3+$B$5*44</f>
        <v/>
      </c>
      <c r="C1032">
        <f>SUMPRODUCT(Calc!$K$3:$K$22*(Calc!$G$3:$G$22&lt;=A1032))</f>
        <v/>
      </c>
      <c r="D1032">
        <f>SUMPRODUCT(Calc!$K$3:$K$22*(Calc!$G$3:$G$22&gt;A1032)*(Calc!$G$3:$G$22&lt;B1032))</f>
        <v/>
      </c>
      <c r="E1032">
        <f>SUMPRODUCT(Calc!$K$3:$K$22*(Calc!$G$3:$G$22&gt;=B1032))</f>
        <v/>
      </c>
      <c r="F1032">
        <f>AND(k_n&gt;=5,B1032&gt;A1032+1E-9,C1032&gt;=2,D1032&gt;=1,E1032&gt;=2)</f>
        <v/>
      </c>
      <c r="G1032">
        <f>SUMPRODUCT(Calc!$K$3:$K$22*(Calc!$G$3:$G$22&gt;A1032)*(Calc!$G$3:$G$22-A1032))</f>
        <v/>
      </c>
      <c r="H1032">
        <f>SUMPRODUCT(Calc!$K$3:$K$22*(Calc!$G$3:$G$22&gt;B1032)*(Calc!$G$3:$G$22-B1032))</f>
        <v/>
      </c>
      <c r="I1032">
        <f>SUMPRODUCT(Calc!$K$3:$K$22*(Calc!$G$3:$G$22&gt;A1032)*(Calc!$G$3:$G$22-A1032)^2)</f>
        <v/>
      </c>
      <c r="J1032">
        <f>SUMPRODUCT(Calc!$K$3:$K$22*(Calc!$G$3:$G$22&gt;B1032)*(Calc!$G$3:$G$22-B1032)^2)</f>
        <v/>
      </c>
      <c r="K1032">
        <f>SUMPRODUCT(Calc!$K$3:$K$22*(Calc!$G$3:$G$22&gt;A1032)*(Calc!$G$3:$G$22-A1032)*(Calc!$G$3:$G$22&gt;B1032)*(Calc!$G$3:$G$22-B1032))</f>
        <v/>
      </c>
      <c r="L1032">
        <f>SUMPRODUCT(Calc!$K$3:$K$22*(Calc!$G$3:$G$22&gt;A1032)*(Calc!$G$3:$G$22-A1032)*Calc!$G$3:$G$22)</f>
        <v/>
      </c>
      <c r="M1032">
        <f>SUMPRODUCT(Calc!$K$3:$K$22*(Calc!$G$3:$G$22&gt;B1032)*(Calc!$G$3:$G$22-B1032)*Calc!$G$3:$G$22)</f>
        <v/>
      </c>
      <c r="N1032">
        <f>SUMPRODUCT(Calc!$K$3:$K$22*(Calc!$G$3:$G$22&gt;A1032)*(Calc!$G$3:$G$22-A1032)*Calc!$I$3:$I$22)</f>
        <v/>
      </c>
      <c r="O1032">
        <f>SUMPRODUCT(Calc!$K$3:$K$22*(Calc!$G$3:$G$22&gt;B1032)*(Calc!$G$3:$G$22-B1032)*Calc!$I$3:$I$22)</f>
        <v/>
      </c>
      <c r="P1032">
        <f>I1032-G1032^2/k_n</f>
        <v/>
      </c>
      <c r="Q1032">
        <f>J1032-H1032^2/k_n</f>
        <v/>
      </c>
      <c r="R1032">
        <f>K1032-G1032*H1032/k_n</f>
        <v/>
      </c>
      <c r="S1032">
        <f>L1032-LTP3!$D$3*G1032/k_n</f>
        <v/>
      </c>
      <c r="T1032">
        <f>M1032-LTP3!$D$3*H1032/k_n</f>
        <v/>
      </c>
      <c r="U1032">
        <f>N1032-G1032*LTP3!$D$4/k_n</f>
        <v/>
      </c>
      <c r="V1032">
        <f>O1032-H1032*LTP3!$D$4/k_n</f>
        <v/>
      </c>
      <c r="W1032">
        <f>((LTP3!$D$5)*((P1032)*(Q1032)-(R1032)*(R1032))-(S1032)*((S1032)*(Q1032)-(R1032)*(T1032))+(T1032)*((S1032)*(R1032)-(P1032)*(T1032)))</f>
        <v/>
      </c>
      <c r="X1032">
        <f>IF(ABS(W1032)&gt;1E-12,((LTP3!$D$6)*((P1032)*(Q1032)-(R1032)*(R1032))-(S1032)*((U1032)*(Q1032)-(R1032)*(V1032))+(T1032)*((U1032)*(R1032)-(P1032)*(V1032)))/W1032,0)</f>
        <v/>
      </c>
      <c r="Y1032">
        <f>IF(ABS(W1032)&gt;1E-12,((LTP3!$D$5)*((U1032)*(Q1032)-(R1032)*(V1032))-(LTP3!$D$6)*((S1032)*(Q1032)-(R1032)*(T1032))+(T1032)*((S1032)*(V1032)-(U1032)*(T1032)))/W1032,0)</f>
        <v/>
      </c>
      <c r="Z1032">
        <f>IF(ABS(W1032)&gt;1E-12,((LTP3!$D$5)*((P1032)*(V1032)-(U1032)*(R1032))-(S1032)*((S1032)*(V1032)-(U1032)*(T1032))+(LTP3!$D$6)*((S1032)*(R1032)-(P1032)*(T1032)))/W1032,0)</f>
        <v/>
      </c>
      <c r="AA1032">
        <f>LTP3!$D$7-X1032*LTP3!$D$6-Y1032*U1032-Z1032*V1032</f>
        <v/>
      </c>
      <c r="AB1032">
        <f>IF(AND(F1032,ABS(W1032)&gt;1E-12,Y1032&gt;0,Z1032&gt;0),AA1032,1E+300)</f>
        <v/>
      </c>
    </row>
    <row r="1033">
      <c r="A1033">
        <f>$B$3+$B$5*16</f>
        <v/>
      </c>
      <c r="B1033">
        <f>$B$3+$B$5*45</f>
        <v/>
      </c>
      <c r="C1033">
        <f>SUMPRODUCT(Calc!$K$3:$K$22*(Calc!$G$3:$G$22&lt;=A1033))</f>
        <v/>
      </c>
      <c r="D1033">
        <f>SUMPRODUCT(Calc!$K$3:$K$22*(Calc!$G$3:$G$22&gt;A1033)*(Calc!$G$3:$G$22&lt;B1033))</f>
        <v/>
      </c>
      <c r="E1033">
        <f>SUMPRODUCT(Calc!$K$3:$K$22*(Calc!$G$3:$G$22&gt;=B1033))</f>
        <v/>
      </c>
      <c r="F1033">
        <f>AND(k_n&gt;=5,B1033&gt;A1033+1E-9,C1033&gt;=2,D1033&gt;=1,E1033&gt;=2)</f>
        <v/>
      </c>
      <c r="G1033">
        <f>SUMPRODUCT(Calc!$K$3:$K$22*(Calc!$G$3:$G$22&gt;A1033)*(Calc!$G$3:$G$22-A1033))</f>
        <v/>
      </c>
      <c r="H1033">
        <f>SUMPRODUCT(Calc!$K$3:$K$22*(Calc!$G$3:$G$22&gt;B1033)*(Calc!$G$3:$G$22-B1033))</f>
        <v/>
      </c>
      <c r="I1033">
        <f>SUMPRODUCT(Calc!$K$3:$K$22*(Calc!$G$3:$G$22&gt;A1033)*(Calc!$G$3:$G$22-A1033)^2)</f>
        <v/>
      </c>
      <c r="J1033">
        <f>SUMPRODUCT(Calc!$K$3:$K$22*(Calc!$G$3:$G$22&gt;B1033)*(Calc!$G$3:$G$22-B1033)^2)</f>
        <v/>
      </c>
      <c r="K1033">
        <f>SUMPRODUCT(Calc!$K$3:$K$22*(Calc!$G$3:$G$22&gt;A1033)*(Calc!$G$3:$G$22-A1033)*(Calc!$G$3:$G$22&gt;B1033)*(Calc!$G$3:$G$22-B1033))</f>
        <v/>
      </c>
      <c r="L1033">
        <f>SUMPRODUCT(Calc!$K$3:$K$22*(Calc!$G$3:$G$22&gt;A1033)*(Calc!$G$3:$G$22-A1033)*Calc!$G$3:$G$22)</f>
        <v/>
      </c>
      <c r="M1033">
        <f>SUMPRODUCT(Calc!$K$3:$K$22*(Calc!$G$3:$G$22&gt;B1033)*(Calc!$G$3:$G$22-B1033)*Calc!$G$3:$G$22)</f>
        <v/>
      </c>
      <c r="N1033">
        <f>SUMPRODUCT(Calc!$K$3:$K$22*(Calc!$G$3:$G$22&gt;A1033)*(Calc!$G$3:$G$22-A1033)*Calc!$I$3:$I$22)</f>
        <v/>
      </c>
      <c r="O1033">
        <f>SUMPRODUCT(Calc!$K$3:$K$22*(Calc!$G$3:$G$22&gt;B1033)*(Calc!$G$3:$G$22-B1033)*Calc!$I$3:$I$22)</f>
        <v/>
      </c>
      <c r="P1033">
        <f>I1033-G1033^2/k_n</f>
        <v/>
      </c>
      <c r="Q1033">
        <f>J1033-H1033^2/k_n</f>
        <v/>
      </c>
      <c r="R1033">
        <f>K1033-G1033*H1033/k_n</f>
        <v/>
      </c>
      <c r="S1033">
        <f>L1033-LTP3!$D$3*G1033/k_n</f>
        <v/>
      </c>
      <c r="T1033">
        <f>M1033-LTP3!$D$3*H1033/k_n</f>
        <v/>
      </c>
      <c r="U1033">
        <f>N1033-G1033*LTP3!$D$4/k_n</f>
        <v/>
      </c>
      <c r="V1033">
        <f>O1033-H1033*LTP3!$D$4/k_n</f>
        <v/>
      </c>
      <c r="W1033">
        <f>((LTP3!$D$5)*((P1033)*(Q1033)-(R1033)*(R1033))-(S1033)*((S1033)*(Q1033)-(R1033)*(T1033))+(T1033)*((S1033)*(R1033)-(P1033)*(T1033)))</f>
        <v/>
      </c>
      <c r="X1033">
        <f>IF(ABS(W1033)&gt;1E-12,((LTP3!$D$6)*((P1033)*(Q1033)-(R1033)*(R1033))-(S1033)*((U1033)*(Q1033)-(R1033)*(V1033))+(T1033)*((U1033)*(R1033)-(P1033)*(V1033)))/W1033,0)</f>
        <v/>
      </c>
      <c r="Y1033">
        <f>IF(ABS(W1033)&gt;1E-12,((LTP3!$D$5)*((U1033)*(Q1033)-(R1033)*(V1033))-(LTP3!$D$6)*((S1033)*(Q1033)-(R1033)*(T1033))+(T1033)*((S1033)*(V1033)-(U1033)*(T1033)))/W1033,0)</f>
        <v/>
      </c>
      <c r="Z1033">
        <f>IF(ABS(W1033)&gt;1E-12,((LTP3!$D$5)*((P1033)*(V1033)-(U1033)*(R1033))-(S1033)*((S1033)*(V1033)-(U1033)*(T1033))+(LTP3!$D$6)*((S1033)*(R1033)-(P1033)*(T1033)))/W1033,0)</f>
        <v/>
      </c>
      <c r="AA1033">
        <f>LTP3!$D$7-X1033*LTP3!$D$6-Y1033*U1033-Z1033*V1033</f>
        <v/>
      </c>
      <c r="AB1033">
        <f>IF(AND(F1033,ABS(W1033)&gt;1E-12,Y1033&gt;0,Z1033&gt;0),AA1033,1E+300)</f>
        <v/>
      </c>
    </row>
    <row r="1034">
      <c r="A1034">
        <f>$B$3+$B$5*16</f>
        <v/>
      </c>
      <c r="B1034">
        <f>$B$3+$B$5*46</f>
        <v/>
      </c>
      <c r="C1034">
        <f>SUMPRODUCT(Calc!$K$3:$K$22*(Calc!$G$3:$G$22&lt;=A1034))</f>
        <v/>
      </c>
      <c r="D1034">
        <f>SUMPRODUCT(Calc!$K$3:$K$22*(Calc!$G$3:$G$22&gt;A1034)*(Calc!$G$3:$G$22&lt;B1034))</f>
        <v/>
      </c>
      <c r="E1034">
        <f>SUMPRODUCT(Calc!$K$3:$K$22*(Calc!$G$3:$G$22&gt;=B1034))</f>
        <v/>
      </c>
      <c r="F1034">
        <f>AND(k_n&gt;=5,B1034&gt;A1034+1E-9,C1034&gt;=2,D1034&gt;=1,E1034&gt;=2)</f>
        <v/>
      </c>
      <c r="G1034">
        <f>SUMPRODUCT(Calc!$K$3:$K$22*(Calc!$G$3:$G$22&gt;A1034)*(Calc!$G$3:$G$22-A1034))</f>
        <v/>
      </c>
      <c r="H1034">
        <f>SUMPRODUCT(Calc!$K$3:$K$22*(Calc!$G$3:$G$22&gt;B1034)*(Calc!$G$3:$G$22-B1034))</f>
        <v/>
      </c>
      <c r="I1034">
        <f>SUMPRODUCT(Calc!$K$3:$K$22*(Calc!$G$3:$G$22&gt;A1034)*(Calc!$G$3:$G$22-A1034)^2)</f>
        <v/>
      </c>
      <c r="J1034">
        <f>SUMPRODUCT(Calc!$K$3:$K$22*(Calc!$G$3:$G$22&gt;B1034)*(Calc!$G$3:$G$22-B1034)^2)</f>
        <v/>
      </c>
      <c r="K1034">
        <f>SUMPRODUCT(Calc!$K$3:$K$22*(Calc!$G$3:$G$22&gt;A1034)*(Calc!$G$3:$G$22-A1034)*(Calc!$G$3:$G$22&gt;B1034)*(Calc!$G$3:$G$22-B1034))</f>
        <v/>
      </c>
      <c r="L1034">
        <f>SUMPRODUCT(Calc!$K$3:$K$22*(Calc!$G$3:$G$22&gt;A1034)*(Calc!$G$3:$G$22-A1034)*Calc!$G$3:$G$22)</f>
        <v/>
      </c>
      <c r="M1034">
        <f>SUMPRODUCT(Calc!$K$3:$K$22*(Calc!$G$3:$G$22&gt;B1034)*(Calc!$G$3:$G$22-B1034)*Calc!$G$3:$G$22)</f>
        <v/>
      </c>
      <c r="N1034">
        <f>SUMPRODUCT(Calc!$K$3:$K$22*(Calc!$G$3:$G$22&gt;A1034)*(Calc!$G$3:$G$22-A1034)*Calc!$I$3:$I$22)</f>
        <v/>
      </c>
      <c r="O1034">
        <f>SUMPRODUCT(Calc!$K$3:$K$22*(Calc!$G$3:$G$22&gt;B1034)*(Calc!$G$3:$G$22-B1034)*Calc!$I$3:$I$22)</f>
        <v/>
      </c>
      <c r="P1034">
        <f>I1034-G1034^2/k_n</f>
        <v/>
      </c>
      <c r="Q1034">
        <f>J1034-H1034^2/k_n</f>
        <v/>
      </c>
      <c r="R1034">
        <f>K1034-G1034*H1034/k_n</f>
        <v/>
      </c>
      <c r="S1034">
        <f>L1034-LTP3!$D$3*G1034/k_n</f>
        <v/>
      </c>
      <c r="T1034">
        <f>M1034-LTP3!$D$3*H1034/k_n</f>
        <v/>
      </c>
      <c r="U1034">
        <f>N1034-G1034*LTP3!$D$4/k_n</f>
        <v/>
      </c>
      <c r="V1034">
        <f>O1034-H1034*LTP3!$D$4/k_n</f>
        <v/>
      </c>
      <c r="W1034">
        <f>((LTP3!$D$5)*((P1034)*(Q1034)-(R1034)*(R1034))-(S1034)*((S1034)*(Q1034)-(R1034)*(T1034))+(T1034)*((S1034)*(R1034)-(P1034)*(T1034)))</f>
        <v/>
      </c>
      <c r="X1034">
        <f>IF(ABS(W1034)&gt;1E-12,((LTP3!$D$6)*((P1034)*(Q1034)-(R1034)*(R1034))-(S1034)*((U1034)*(Q1034)-(R1034)*(V1034))+(T1034)*((U1034)*(R1034)-(P1034)*(V1034)))/W1034,0)</f>
        <v/>
      </c>
      <c r="Y1034">
        <f>IF(ABS(W1034)&gt;1E-12,((LTP3!$D$5)*((U1034)*(Q1034)-(R1034)*(V1034))-(LTP3!$D$6)*((S1034)*(Q1034)-(R1034)*(T1034))+(T1034)*((S1034)*(V1034)-(U1034)*(T1034)))/W1034,0)</f>
        <v/>
      </c>
      <c r="Z1034">
        <f>IF(ABS(W1034)&gt;1E-12,((LTP3!$D$5)*((P1034)*(V1034)-(U1034)*(R1034))-(S1034)*((S1034)*(V1034)-(U1034)*(T1034))+(LTP3!$D$6)*((S1034)*(R1034)-(P1034)*(T1034)))/W1034,0)</f>
        <v/>
      </c>
      <c r="AA1034">
        <f>LTP3!$D$7-X1034*LTP3!$D$6-Y1034*U1034-Z1034*V1034</f>
        <v/>
      </c>
      <c r="AB1034">
        <f>IF(AND(F1034,ABS(W1034)&gt;1E-12,Y1034&gt;0,Z1034&gt;0),AA1034,1E+300)</f>
        <v/>
      </c>
    </row>
    <row r="1035">
      <c r="A1035">
        <f>$B$3+$B$5*16</f>
        <v/>
      </c>
      <c r="B1035">
        <f>$B$3+$B$5*47</f>
        <v/>
      </c>
      <c r="C1035">
        <f>SUMPRODUCT(Calc!$K$3:$K$22*(Calc!$G$3:$G$22&lt;=A1035))</f>
        <v/>
      </c>
      <c r="D1035">
        <f>SUMPRODUCT(Calc!$K$3:$K$22*(Calc!$G$3:$G$22&gt;A1035)*(Calc!$G$3:$G$22&lt;B1035))</f>
        <v/>
      </c>
      <c r="E1035">
        <f>SUMPRODUCT(Calc!$K$3:$K$22*(Calc!$G$3:$G$22&gt;=B1035))</f>
        <v/>
      </c>
      <c r="F1035">
        <f>AND(k_n&gt;=5,B1035&gt;A1035+1E-9,C1035&gt;=2,D1035&gt;=1,E1035&gt;=2)</f>
        <v/>
      </c>
      <c r="G1035">
        <f>SUMPRODUCT(Calc!$K$3:$K$22*(Calc!$G$3:$G$22&gt;A1035)*(Calc!$G$3:$G$22-A1035))</f>
        <v/>
      </c>
      <c r="H1035">
        <f>SUMPRODUCT(Calc!$K$3:$K$22*(Calc!$G$3:$G$22&gt;B1035)*(Calc!$G$3:$G$22-B1035))</f>
        <v/>
      </c>
      <c r="I1035">
        <f>SUMPRODUCT(Calc!$K$3:$K$22*(Calc!$G$3:$G$22&gt;A1035)*(Calc!$G$3:$G$22-A1035)^2)</f>
        <v/>
      </c>
      <c r="J1035">
        <f>SUMPRODUCT(Calc!$K$3:$K$22*(Calc!$G$3:$G$22&gt;B1035)*(Calc!$G$3:$G$22-B1035)^2)</f>
        <v/>
      </c>
      <c r="K1035">
        <f>SUMPRODUCT(Calc!$K$3:$K$22*(Calc!$G$3:$G$22&gt;A1035)*(Calc!$G$3:$G$22-A1035)*(Calc!$G$3:$G$22&gt;B1035)*(Calc!$G$3:$G$22-B1035))</f>
        <v/>
      </c>
      <c r="L1035">
        <f>SUMPRODUCT(Calc!$K$3:$K$22*(Calc!$G$3:$G$22&gt;A1035)*(Calc!$G$3:$G$22-A1035)*Calc!$G$3:$G$22)</f>
        <v/>
      </c>
      <c r="M1035">
        <f>SUMPRODUCT(Calc!$K$3:$K$22*(Calc!$G$3:$G$22&gt;B1035)*(Calc!$G$3:$G$22-B1035)*Calc!$G$3:$G$22)</f>
        <v/>
      </c>
      <c r="N1035">
        <f>SUMPRODUCT(Calc!$K$3:$K$22*(Calc!$G$3:$G$22&gt;A1035)*(Calc!$G$3:$G$22-A1035)*Calc!$I$3:$I$22)</f>
        <v/>
      </c>
      <c r="O1035">
        <f>SUMPRODUCT(Calc!$K$3:$K$22*(Calc!$G$3:$G$22&gt;B1035)*(Calc!$G$3:$G$22-B1035)*Calc!$I$3:$I$22)</f>
        <v/>
      </c>
      <c r="P1035">
        <f>I1035-G1035^2/k_n</f>
        <v/>
      </c>
      <c r="Q1035">
        <f>J1035-H1035^2/k_n</f>
        <v/>
      </c>
      <c r="R1035">
        <f>K1035-G1035*H1035/k_n</f>
        <v/>
      </c>
      <c r="S1035">
        <f>L1035-LTP3!$D$3*G1035/k_n</f>
        <v/>
      </c>
      <c r="T1035">
        <f>M1035-LTP3!$D$3*H1035/k_n</f>
        <v/>
      </c>
      <c r="U1035">
        <f>N1035-G1035*LTP3!$D$4/k_n</f>
        <v/>
      </c>
      <c r="V1035">
        <f>O1035-H1035*LTP3!$D$4/k_n</f>
        <v/>
      </c>
      <c r="W1035">
        <f>((LTP3!$D$5)*((P1035)*(Q1035)-(R1035)*(R1035))-(S1035)*((S1035)*(Q1035)-(R1035)*(T1035))+(T1035)*((S1035)*(R1035)-(P1035)*(T1035)))</f>
        <v/>
      </c>
      <c r="X1035">
        <f>IF(ABS(W1035)&gt;1E-12,((LTP3!$D$6)*((P1035)*(Q1035)-(R1035)*(R1035))-(S1035)*((U1035)*(Q1035)-(R1035)*(V1035))+(T1035)*((U1035)*(R1035)-(P1035)*(V1035)))/W1035,0)</f>
        <v/>
      </c>
      <c r="Y1035">
        <f>IF(ABS(W1035)&gt;1E-12,((LTP3!$D$5)*((U1035)*(Q1035)-(R1035)*(V1035))-(LTP3!$D$6)*((S1035)*(Q1035)-(R1035)*(T1035))+(T1035)*((S1035)*(V1035)-(U1035)*(T1035)))/W1035,0)</f>
        <v/>
      </c>
      <c r="Z1035">
        <f>IF(ABS(W1035)&gt;1E-12,((LTP3!$D$5)*((P1035)*(V1035)-(U1035)*(R1035))-(S1035)*((S1035)*(V1035)-(U1035)*(T1035))+(LTP3!$D$6)*((S1035)*(R1035)-(P1035)*(T1035)))/W1035,0)</f>
        <v/>
      </c>
      <c r="AA1035">
        <f>LTP3!$D$7-X1035*LTP3!$D$6-Y1035*U1035-Z1035*V1035</f>
        <v/>
      </c>
      <c r="AB1035">
        <f>IF(AND(F1035,ABS(W1035)&gt;1E-12,Y1035&gt;0,Z1035&gt;0),AA1035,1E+300)</f>
        <v/>
      </c>
    </row>
    <row r="1036">
      <c r="A1036">
        <f>$B$3+$B$5*16</f>
        <v/>
      </c>
      <c r="B1036">
        <f>$B$3+$B$5*48</f>
        <v/>
      </c>
      <c r="C1036">
        <f>SUMPRODUCT(Calc!$K$3:$K$22*(Calc!$G$3:$G$22&lt;=A1036))</f>
        <v/>
      </c>
      <c r="D1036">
        <f>SUMPRODUCT(Calc!$K$3:$K$22*(Calc!$G$3:$G$22&gt;A1036)*(Calc!$G$3:$G$22&lt;B1036))</f>
        <v/>
      </c>
      <c r="E1036">
        <f>SUMPRODUCT(Calc!$K$3:$K$22*(Calc!$G$3:$G$22&gt;=B1036))</f>
        <v/>
      </c>
      <c r="F1036">
        <f>AND(k_n&gt;=5,B1036&gt;A1036+1E-9,C1036&gt;=2,D1036&gt;=1,E1036&gt;=2)</f>
        <v/>
      </c>
      <c r="G1036">
        <f>SUMPRODUCT(Calc!$K$3:$K$22*(Calc!$G$3:$G$22&gt;A1036)*(Calc!$G$3:$G$22-A1036))</f>
        <v/>
      </c>
      <c r="H1036">
        <f>SUMPRODUCT(Calc!$K$3:$K$22*(Calc!$G$3:$G$22&gt;B1036)*(Calc!$G$3:$G$22-B1036))</f>
        <v/>
      </c>
      <c r="I1036">
        <f>SUMPRODUCT(Calc!$K$3:$K$22*(Calc!$G$3:$G$22&gt;A1036)*(Calc!$G$3:$G$22-A1036)^2)</f>
        <v/>
      </c>
      <c r="J1036">
        <f>SUMPRODUCT(Calc!$K$3:$K$22*(Calc!$G$3:$G$22&gt;B1036)*(Calc!$G$3:$G$22-B1036)^2)</f>
        <v/>
      </c>
      <c r="K1036">
        <f>SUMPRODUCT(Calc!$K$3:$K$22*(Calc!$G$3:$G$22&gt;A1036)*(Calc!$G$3:$G$22-A1036)*(Calc!$G$3:$G$22&gt;B1036)*(Calc!$G$3:$G$22-B1036))</f>
        <v/>
      </c>
      <c r="L1036">
        <f>SUMPRODUCT(Calc!$K$3:$K$22*(Calc!$G$3:$G$22&gt;A1036)*(Calc!$G$3:$G$22-A1036)*Calc!$G$3:$G$22)</f>
        <v/>
      </c>
      <c r="M1036">
        <f>SUMPRODUCT(Calc!$K$3:$K$22*(Calc!$G$3:$G$22&gt;B1036)*(Calc!$G$3:$G$22-B1036)*Calc!$G$3:$G$22)</f>
        <v/>
      </c>
      <c r="N1036">
        <f>SUMPRODUCT(Calc!$K$3:$K$22*(Calc!$G$3:$G$22&gt;A1036)*(Calc!$G$3:$G$22-A1036)*Calc!$I$3:$I$22)</f>
        <v/>
      </c>
      <c r="O1036">
        <f>SUMPRODUCT(Calc!$K$3:$K$22*(Calc!$G$3:$G$22&gt;B1036)*(Calc!$G$3:$G$22-B1036)*Calc!$I$3:$I$22)</f>
        <v/>
      </c>
      <c r="P1036">
        <f>I1036-G1036^2/k_n</f>
        <v/>
      </c>
      <c r="Q1036">
        <f>J1036-H1036^2/k_n</f>
        <v/>
      </c>
      <c r="R1036">
        <f>K1036-G1036*H1036/k_n</f>
        <v/>
      </c>
      <c r="S1036">
        <f>L1036-LTP3!$D$3*G1036/k_n</f>
        <v/>
      </c>
      <c r="T1036">
        <f>M1036-LTP3!$D$3*H1036/k_n</f>
        <v/>
      </c>
      <c r="U1036">
        <f>N1036-G1036*LTP3!$D$4/k_n</f>
        <v/>
      </c>
      <c r="V1036">
        <f>O1036-H1036*LTP3!$D$4/k_n</f>
        <v/>
      </c>
      <c r="W1036">
        <f>((LTP3!$D$5)*((P1036)*(Q1036)-(R1036)*(R1036))-(S1036)*((S1036)*(Q1036)-(R1036)*(T1036))+(T1036)*((S1036)*(R1036)-(P1036)*(T1036)))</f>
        <v/>
      </c>
      <c r="X1036">
        <f>IF(ABS(W1036)&gt;1E-12,((LTP3!$D$6)*((P1036)*(Q1036)-(R1036)*(R1036))-(S1036)*((U1036)*(Q1036)-(R1036)*(V1036))+(T1036)*((U1036)*(R1036)-(P1036)*(V1036)))/W1036,0)</f>
        <v/>
      </c>
      <c r="Y1036">
        <f>IF(ABS(W1036)&gt;1E-12,((LTP3!$D$5)*((U1036)*(Q1036)-(R1036)*(V1036))-(LTP3!$D$6)*((S1036)*(Q1036)-(R1036)*(T1036))+(T1036)*((S1036)*(V1036)-(U1036)*(T1036)))/W1036,0)</f>
        <v/>
      </c>
      <c r="Z1036">
        <f>IF(ABS(W1036)&gt;1E-12,((LTP3!$D$5)*((P1036)*(V1036)-(U1036)*(R1036))-(S1036)*((S1036)*(V1036)-(U1036)*(T1036))+(LTP3!$D$6)*((S1036)*(R1036)-(P1036)*(T1036)))/W1036,0)</f>
        <v/>
      </c>
      <c r="AA1036">
        <f>LTP3!$D$7-X1036*LTP3!$D$6-Y1036*U1036-Z1036*V1036</f>
        <v/>
      </c>
      <c r="AB1036">
        <f>IF(AND(F1036,ABS(W1036)&gt;1E-12,Y1036&gt;0,Z1036&gt;0),AA1036,1E+300)</f>
        <v/>
      </c>
    </row>
    <row r="1037">
      <c r="A1037">
        <f>$B$3+$B$5*16</f>
        <v/>
      </c>
      <c r="B1037">
        <f>$B$3+$B$5*49</f>
        <v/>
      </c>
      <c r="C1037">
        <f>SUMPRODUCT(Calc!$K$3:$K$22*(Calc!$G$3:$G$22&lt;=A1037))</f>
        <v/>
      </c>
      <c r="D1037">
        <f>SUMPRODUCT(Calc!$K$3:$K$22*(Calc!$G$3:$G$22&gt;A1037)*(Calc!$G$3:$G$22&lt;B1037))</f>
        <v/>
      </c>
      <c r="E1037">
        <f>SUMPRODUCT(Calc!$K$3:$K$22*(Calc!$G$3:$G$22&gt;=B1037))</f>
        <v/>
      </c>
      <c r="F1037">
        <f>AND(k_n&gt;=5,B1037&gt;A1037+1E-9,C1037&gt;=2,D1037&gt;=1,E1037&gt;=2)</f>
        <v/>
      </c>
      <c r="G1037">
        <f>SUMPRODUCT(Calc!$K$3:$K$22*(Calc!$G$3:$G$22&gt;A1037)*(Calc!$G$3:$G$22-A1037))</f>
        <v/>
      </c>
      <c r="H1037">
        <f>SUMPRODUCT(Calc!$K$3:$K$22*(Calc!$G$3:$G$22&gt;B1037)*(Calc!$G$3:$G$22-B1037))</f>
        <v/>
      </c>
      <c r="I1037">
        <f>SUMPRODUCT(Calc!$K$3:$K$22*(Calc!$G$3:$G$22&gt;A1037)*(Calc!$G$3:$G$22-A1037)^2)</f>
        <v/>
      </c>
      <c r="J1037">
        <f>SUMPRODUCT(Calc!$K$3:$K$22*(Calc!$G$3:$G$22&gt;B1037)*(Calc!$G$3:$G$22-B1037)^2)</f>
        <v/>
      </c>
      <c r="K1037">
        <f>SUMPRODUCT(Calc!$K$3:$K$22*(Calc!$G$3:$G$22&gt;A1037)*(Calc!$G$3:$G$22-A1037)*(Calc!$G$3:$G$22&gt;B1037)*(Calc!$G$3:$G$22-B1037))</f>
        <v/>
      </c>
      <c r="L1037">
        <f>SUMPRODUCT(Calc!$K$3:$K$22*(Calc!$G$3:$G$22&gt;A1037)*(Calc!$G$3:$G$22-A1037)*Calc!$G$3:$G$22)</f>
        <v/>
      </c>
      <c r="M1037">
        <f>SUMPRODUCT(Calc!$K$3:$K$22*(Calc!$G$3:$G$22&gt;B1037)*(Calc!$G$3:$G$22-B1037)*Calc!$G$3:$G$22)</f>
        <v/>
      </c>
      <c r="N1037">
        <f>SUMPRODUCT(Calc!$K$3:$K$22*(Calc!$G$3:$G$22&gt;A1037)*(Calc!$G$3:$G$22-A1037)*Calc!$I$3:$I$22)</f>
        <v/>
      </c>
      <c r="O1037">
        <f>SUMPRODUCT(Calc!$K$3:$K$22*(Calc!$G$3:$G$22&gt;B1037)*(Calc!$G$3:$G$22-B1037)*Calc!$I$3:$I$22)</f>
        <v/>
      </c>
      <c r="P1037">
        <f>I1037-G1037^2/k_n</f>
        <v/>
      </c>
      <c r="Q1037">
        <f>J1037-H1037^2/k_n</f>
        <v/>
      </c>
      <c r="R1037">
        <f>K1037-G1037*H1037/k_n</f>
        <v/>
      </c>
      <c r="S1037">
        <f>L1037-LTP3!$D$3*G1037/k_n</f>
        <v/>
      </c>
      <c r="T1037">
        <f>M1037-LTP3!$D$3*H1037/k_n</f>
        <v/>
      </c>
      <c r="U1037">
        <f>N1037-G1037*LTP3!$D$4/k_n</f>
        <v/>
      </c>
      <c r="V1037">
        <f>O1037-H1037*LTP3!$D$4/k_n</f>
        <v/>
      </c>
      <c r="W1037">
        <f>((LTP3!$D$5)*((P1037)*(Q1037)-(R1037)*(R1037))-(S1037)*((S1037)*(Q1037)-(R1037)*(T1037))+(T1037)*((S1037)*(R1037)-(P1037)*(T1037)))</f>
        <v/>
      </c>
      <c r="X1037">
        <f>IF(ABS(W1037)&gt;1E-12,((LTP3!$D$6)*((P1037)*(Q1037)-(R1037)*(R1037))-(S1037)*((U1037)*(Q1037)-(R1037)*(V1037))+(T1037)*((U1037)*(R1037)-(P1037)*(V1037)))/W1037,0)</f>
        <v/>
      </c>
      <c r="Y1037">
        <f>IF(ABS(W1037)&gt;1E-12,((LTP3!$D$5)*((U1037)*(Q1037)-(R1037)*(V1037))-(LTP3!$D$6)*((S1037)*(Q1037)-(R1037)*(T1037))+(T1037)*((S1037)*(V1037)-(U1037)*(T1037)))/W1037,0)</f>
        <v/>
      </c>
      <c r="Z1037">
        <f>IF(ABS(W1037)&gt;1E-12,((LTP3!$D$5)*((P1037)*(V1037)-(U1037)*(R1037))-(S1037)*((S1037)*(V1037)-(U1037)*(T1037))+(LTP3!$D$6)*((S1037)*(R1037)-(P1037)*(T1037)))/W1037,0)</f>
        <v/>
      </c>
      <c r="AA1037">
        <f>LTP3!$D$7-X1037*LTP3!$D$6-Y1037*U1037-Z1037*V1037</f>
        <v/>
      </c>
      <c r="AB1037">
        <f>IF(AND(F1037,ABS(W1037)&gt;1E-12,Y1037&gt;0,Z1037&gt;0),AA1037,1E+300)</f>
        <v/>
      </c>
    </row>
    <row r="1038">
      <c r="A1038">
        <f>$B$3+$B$5*16</f>
        <v/>
      </c>
      <c r="B1038">
        <f>$B$3+$B$5*50</f>
        <v/>
      </c>
      <c r="C1038">
        <f>SUMPRODUCT(Calc!$K$3:$K$22*(Calc!$G$3:$G$22&lt;=A1038))</f>
        <v/>
      </c>
      <c r="D1038">
        <f>SUMPRODUCT(Calc!$K$3:$K$22*(Calc!$G$3:$G$22&gt;A1038)*(Calc!$G$3:$G$22&lt;B1038))</f>
        <v/>
      </c>
      <c r="E1038">
        <f>SUMPRODUCT(Calc!$K$3:$K$22*(Calc!$G$3:$G$22&gt;=B1038))</f>
        <v/>
      </c>
      <c r="F1038">
        <f>AND(k_n&gt;=5,B1038&gt;A1038+1E-9,C1038&gt;=2,D1038&gt;=1,E1038&gt;=2)</f>
        <v/>
      </c>
      <c r="G1038">
        <f>SUMPRODUCT(Calc!$K$3:$K$22*(Calc!$G$3:$G$22&gt;A1038)*(Calc!$G$3:$G$22-A1038))</f>
        <v/>
      </c>
      <c r="H1038">
        <f>SUMPRODUCT(Calc!$K$3:$K$22*(Calc!$G$3:$G$22&gt;B1038)*(Calc!$G$3:$G$22-B1038))</f>
        <v/>
      </c>
      <c r="I1038">
        <f>SUMPRODUCT(Calc!$K$3:$K$22*(Calc!$G$3:$G$22&gt;A1038)*(Calc!$G$3:$G$22-A1038)^2)</f>
        <v/>
      </c>
      <c r="J1038">
        <f>SUMPRODUCT(Calc!$K$3:$K$22*(Calc!$G$3:$G$22&gt;B1038)*(Calc!$G$3:$G$22-B1038)^2)</f>
        <v/>
      </c>
      <c r="K1038">
        <f>SUMPRODUCT(Calc!$K$3:$K$22*(Calc!$G$3:$G$22&gt;A1038)*(Calc!$G$3:$G$22-A1038)*(Calc!$G$3:$G$22&gt;B1038)*(Calc!$G$3:$G$22-B1038))</f>
        <v/>
      </c>
      <c r="L1038">
        <f>SUMPRODUCT(Calc!$K$3:$K$22*(Calc!$G$3:$G$22&gt;A1038)*(Calc!$G$3:$G$22-A1038)*Calc!$G$3:$G$22)</f>
        <v/>
      </c>
      <c r="M1038">
        <f>SUMPRODUCT(Calc!$K$3:$K$22*(Calc!$G$3:$G$22&gt;B1038)*(Calc!$G$3:$G$22-B1038)*Calc!$G$3:$G$22)</f>
        <v/>
      </c>
      <c r="N1038">
        <f>SUMPRODUCT(Calc!$K$3:$K$22*(Calc!$G$3:$G$22&gt;A1038)*(Calc!$G$3:$G$22-A1038)*Calc!$I$3:$I$22)</f>
        <v/>
      </c>
      <c r="O1038">
        <f>SUMPRODUCT(Calc!$K$3:$K$22*(Calc!$G$3:$G$22&gt;B1038)*(Calc!$G$3:$G$22-B1038)*Calc!$I$3:$I$22)</f>
        <v/>
      </c>
      <c r="P1038">
        <f>I1038-G1038^2/k_n</f>
        <v/>
      </c>
      <c r="Q1038">
        <f>J1038-H1038^2/k_n</f>
        <v/>
      </c>
      <c r="R1038">
        <f>K1038-G1038*H1038/k_n</f>
        <v/>
      </c>
      <c r="S1038">
        <f>L1038-LTP3!$D$3*G1038/k_n</f>
        <v/>
      </c>
      <c r="T1038">
        <f>M1038-LTP3!$D$3*H1038/k_n</f>
        <v/>
      </c>
      <c r="U1038">
        <f>N1038-G1038*LTP3!$D$4/k_n</f>
        <v/>
      </c>
      <c r="V1038">
        <f>O1038-H1038*LTP3!$D$4/k_n</f>
        <v/>
      </c>
      <c r="W1038">
        <f>((LTP3!$D$5)*((P1038)*(Q1038)-(R1038)*(R1038))-(S1038)*((S1038)*(Q1038)-(R1038)*(T1038))+(T1038)*((S1038)*(R1038)-(P1038)*(T1038)))</f>
        <v/>
      </c>
      <c r="X1038">
        <f>IF(ABS(W1038)&gt;1E-12,((LTP3!$D$6)*((P1038)*(Q1038)-(R1038)*(R1038))-(S1038)*((U1038)*(Q1038)-(R1038)*(V1038))+(T1038)*((U1038)*(R1038)-(P1038)*(V1038)))/W1038,0)</f>
        <v/>
      </c>
      <c r="Y1038">
        <f>IF(ABS(W1038)&gt;1E-12,((LTP3!$D$5)*((U1038)*(Q1038)-(R1038)*(V1038))-(LTP3!$D$6)*((S1038)*(Q1038)-(R1038)*(T1038))+(T1038)*((S1038)*(V1038)-(U1038)*(T1038)))/W1038,0)</f>
        <v/>
      </c>
      <c r="Z1038">
        <f>IF(ABS(W1038)&gt;1E-12,((LTP3!$D$5)*((P1038)*(V1038)-(U1038)*(R1038))-(S1038)*((S1038)*(V1038)-(U1038)*(T1038))+(LTP3!$D$6)*((S1038)*(R1038)-(P1038)*(T1038)))/W1038,0)</f>
        <v/>
      </c>
      <c r="AA1038">
        <f>LTP3!$D$7-X1038*LTP3!$D$6-Y1038*U1038-Z1038*V1038</f>
        <v/>
      </c>
      <c r="AB1038">
        <f>IF(AND(F1038,ABS(W1038)&gt;1E-12,Y1038&gt;0,Z1038&gt;0),AA1038,1E+300)</f>
        <v/>
      </c>
    </row>
    <row r="1039">
      <c r="A1039">
        <f>$B$3+$B$5*16</f>
        <v/>
      </c>
      <c r="B1039">
        <f>$B$3+$B$5*51</f>
        <v/>
      </c>
      <c r="C1039">
        <f>SUMPRODUCT(Calc!$K$3:$K$22*(Calc!$G$3:$G$22&lt;=A1039))</f>
        <v/>
      </c>
      <c r="D1039">
        <f>SUMPRODUCT(Calc!$K$3:$K$22*(Calc!$G$3:$G$22&gt;A1039)*(Calc!$G$3:$G$22&lt;B1039))</f>
        <v/>
      </c>
      <c r="E1039">
        <f>SUMPRODUCT(Calc!$K$3:$K$22*(Calc!$G$3:$G$22&gt;=B1039))</f>
        <v/>
      </c>
      <c r="F1039">
        <f>AND(k_n&gt;=5,B1039&gt;A1039+1E-9,C1039&gt;=2,D1039&gt;=1,E1039&gt;=2)</f>
        <v/>
      </c>
      <c r="G1039">
        <f>SUMPRODUCT(Calc!$K$3:$K$22*(Calc!$G$3:$G$22&gt;A1039)*(Calc!$G$3:$G$22-A1039))</f>
        <v/>
      </c>
      <c r="H1039">
        <f>SUMPRODUCT(Calc!$K$3:$K$22*(Calc!$G$3:$G$22&gt;B1039)*(Calc!$G$3:$G$22-B1039))</f>
        <v/>
      </c>
      <c r="I1039">
        <f>SUMPRODUCT(Calc!$K$3:$K$22*(Calc!$G$3:$G$22&gt;A1039)*(Calc!$G$3:$G$22-A1039)^2)</f>
        <v/>
      </c>
      <c r="J1039">
        <f>SUMPRODUCT(Calc!$K$3:$K$22*(Calc!$G$3:$G$22&gt;B1039)*(Calc!$G$3:$G$22-B1039)^2)</f>
        <v/>
      </c>
      <c r="K1039">
        <f>SUMPRODUCT(Calc!$K$3:$K$22*(Calc!$G$3:$G$22&gt;A1039)*(Calc!$G$3:$G$22-A1039)*(Calc!$G$3:$G$22&gt;B1039)*(Calc!$G$3:$G$22-B1039))</f>
        <v/>
      </c>
      <c r="L1039">
        <f>SUMPRODUCT(Calc!$K$3:$K$22*(Calc!$G$3:$G$22&gt;A1039)*(Calc!$G$3:$G$22-A1039)*Calc!$G$3:$G$22)</f>
        <v/>
      </c>
      <c r="M1039">
        <f>SUMPRODUCT(Calc!$K$3:$K$22*(Calc!$G$3:$G$22&gt;B1039)*(Calc!$G$3:$G$22-B1039)*Calc!$G$3:$G$22)</f>
        <v/>
      </c>
      <c r="N1039">
        <f>SUMPRODUCT(Calc!$K$3:$K$22*(Calc!$G$3:$G$22&gt;A1039)*(Calc!$G$3:$G$22-A1039)*Calc!$I$3:$I$22)</f>
        <v/>
      </c>
      <c r="O1039">
        <f>SUMPRODUCT(Calc!$K$3:$K$22*(Calc!$G$3:$G$22&gt;B1039)*(Calc!$G$3:$G$22-B1039)*Calc!$I$3:$I$22)</f>
        <v/>
      </c>
      <c r="P1039">
        <f>I1039-G1039^2/k_n</f>
        <v/>
      </c>
      <c r="Q1039">
        <f>J1039-H1039^2/k_n</f>
        <v/>
      </c>
      <c r="R1039">
        <f>K1039-G1039*H1039/k_n</f>
        <v/>
      </c>
      <c r="S1039">
        <f>L1039-LTP3!$D$3*G1039/k_n</f>
        <v/>
      </c>
      <c r="T1039">
        <f>M1039-LTP3!$D$3*H1039/k_n</f>
        <v/>
      </c>
      <c r="U1039">
        <f>N1039-G1039*LTP3!$D$4/k_n</f>
        <v/>
      </c>
      <c r="V1039">
        <f>O1039-H1039*LTP3!$D$4/k_n</f>
        <v/>
      </c>
      <c r="W1039">
        <f>((LTP3!$D$5)*((P1039)*(Q1039)-(R1039)*(R1039))-(S1039)*((S1039)*(Q1039)-(R1039)*(T1039))+(T1039)*((S1039)*(R1039)-(P1039)*(T1039)))</f>
        <v/>
      </c>
      <c r="X1039">
        <f>IF(ABS(W1039)&gt;1E-12,((LTP3!$D$6)*((P1039)*(Q1039)-(R1039)*(R1039))-(S1039)*((U1039)*(Q1039)-(R1039)*(V1039))+(T1039)*((U1039)*(R1039)-(P1039)*(V1039)))/W1039,0)</f>
        <v/>
      </c>
      <c r="Y1039">
        <f>IF(ABS(W1039)&gt;1E-12,((LTP3!$D$5)*((U1039)*(Q1039)-(R1039)*(V1039))-(LTP3!$D$6)*((S1039)*(Q1039)-(R1039)*(T1039))+(T1039)*((S1039)*(V1039)-(U1039)*(T1039)))/W1039,0)</f>
        <v/>
      </c>
      <c r="Z1039">
        <f>IF(ABS(W1039)&gt;1E-12,((LTP3!$D$5)*((P1039)*(V1039)-(U1039)*(R1039))-(S1039)*((S1039)*(V1039)-(U1039)*(T1039))+(LTP3!$D$6)*((S1039)*(R1039)-(P1039)*(T1039)))/W1039,0)</f>
        <v/>
      </c>
      <c r="AA1039">
        <f>LTP3!$D$7-X1039*LTP3!$D$6-Y1039*U1039-Z1039*V1039</f>
        <v/>
      </c>
      <c r="AB1039">
        <f>IF(AND(F1039,ABS(W1039)&gt;1E-12,Y1039&gt;0,Z1039&gt;0),AA1039,1E+300)</f>
        <v/>
      </c>
    </row>
    <row r="1040">
      <c r="A1040">
        <f>$B$3+$B$5*16</f>
        <v/>
      </c>
      <c r="B1040">
        <f>$B$3+$B$5*52</f>
        <v/>
      </c>
      <c r="C1040">
        <f>SUMPRODUCT(Calc!$K$3:$K$22*(Calc!$G$3:$G$22&lt;=A1040))</f>
        <v/>
      </c>
      <c r="D1040">
        <f>SUMPRODUCT(Calc!$K$3:$K$22*(Calc!$G$3:$G$22&gt;A1040)*(Calc!$G$3:$G$22&lt;B1040))</f>
        <v/>
      </c>
      <c r="E1040">
        <f>SUMPRODUCT(Calc!$K$3:$K$22*(Calc!$G$3:$G$22&gt;=B1040))</f>
        <v/>
      </c>
      <c r="F1040">
        <f>AND(k_n&gt;=5,B1040&gt;A1040+1E-9,C1040&gt;=2,D1040&gt;=1,E1040&gt;=2)</f>
        <v/>
      </c>
      <c r="G1040">
        <f>SUMPRODUCT(Calc!$K$3:$K$22*(Calc!$G$3:$G$22&gt;A1040)*(Calc!$G$3:$G$22-A1040))</f>
        <v/>
      </c>
      <c r="H1040">
        <f>SUMPRODUCT(Calc!$K$3:$K$22*(Calc!$G$3:$G$22&gt;B1040)*(Calc!$G$3:$G$22-B1040))</f>
        <v/>
      </c>
      <c r="I1040">
        <f>SUMPRODUCT(Calc!$K$3:$K$22*(Calc!$G$3:$G$22&gt;A1040)*(Calc!$G$3:$G$22-A1040)^2)</f>
        <v/>
      </c>
      <c r="J1040">
        <f>SUMPRODUCT(Calc!$K$3:$K$22*(Calc!$G$3:$G$22&gt;B1040)*(Calc!$G$3:$G$22-B1040)^2)</f>
        <v/>
      </c>
      <c r="K1040">
        <f>SUMPRODUCT(Calc!$K$3:$K$22*(Calc!$G$3:$G$22&gt;A1040)*(Calc!$G$3:$G$22-A1040)*(Calc!$G$3:$G$22&gt;B1040)*(Calc!$G$3:$G$22-B1040))</f>
        <v/>
      </c>
      <c r="L1040">
        <f>SUMPRODUCT(Calc!$K$3:$K$22*(Calc!$G$3:$G$22&gt;A1040)*(Calc!$G$3:$G$22-A1040)*Calc!$G$3:$G$22)</f>
        <v/>
      </c>
      <c r="M1040">
        <f>SUMPRODUCT(Calc!$K$3:$K$22*(Calc!$G$3:$G$22&gt;B1040)*(Calc!$G$3:$G$22-B1040)*Calc!$G$3:$G$22)</f>
        <v/>
      </c>
      <c r="N1040">
        <f>SUMPRODUCT(Calc!$K$3:$K$22*(Calc!$G$3:$G$22&gt;A1040)*(Calc!$G$3:$G$22-A1040)*Calc!$I$3:$I$22)</f>
        <v/>
      </c>
      <c r="O1040">
        <f>SUMPRODUCT(Calc!$K$3:$K$22*(Calc!$G$3:$G$22&gt;B1040)*(Calc!$G$3:$G$22-B1040)*Calc!$I$3:$I$22)</f>
        <v/>
      </c>
      <c r="P1040">
        <f>I1040-G1040^2/k_n</f>
        <v/>
      </c>
      <c r="Q1040">
        <f>J1040-H1040^2/k_n</f>
        <v/>
      </c>
      <c r="R1040">
        <f>K1040-G1040*H1040/k_n</f>
        <v/>
      </c>
      <c r="S1040">
        <f>L1040-LTP3!$D$3*G1040/k_n</f>
        <v/>
      </c>
      <c r="T1040">
        <f>M1040-LTP3!$D$3*H1040/k_n</f>
        <v/>
      </c>
      <c r="U1040">
        <f>N1040-G1040*LTP3!$D$4/k_n</f>
        <v/>
      </c>
      <c r="V1040">
        <f>O1040-H1040*LTP3!$D$4/k_n</f>
        <v/>
      </c>
      <c r="W1040">
        <f>((LTP3!$D$5)*((P1040)*(Q1040)-(R1040)*(R1040))-(S1040)*((S1040)*(Q1040)-(R1040)*(T1040))+(T1040)*((S1040)*(R1040)-(P1040)*(T1040)))</f>
        <v/>
      </c>
      <c r="X1040">
        <f>IF(ABS(W1040)&gt;1E-12,((LTP3!$D$6)*((P1040)*(Q1040)-(R1040)*(R1040))-(S1040)*((U1040)*(Q1040)-(R1040)*(V1040))+(T1040)*((U1040)*(R1040)-(P1040)*(V1040)))/W1040,0)</f>
        <v/>
      </c>
      <c r="Y1040">
        <f>IF(ABS(W1040)&gt;1E-12,((LTP3!$D$5)*((U1040)*(Q1040)-(R1040)*(V1040))-(LTP3!$D$6)*((S1040)*(Q1040)-(R1040)*(T1040))+(T1040)*((S1040)*(V1040)-(U1040)*(T1040)))/W1040,0)</f>
        <v/>
      </c>
      <c r="Z1040">
        <f>IF(ABS(W1040)&gt;1E-12,((LTP3!$D$5)*((P1040)*(V1040)-(U1040)*(R1040))-(S1040)*((S1040)*(V1040)-(U1040)*(T1040))+(LTP3!$D$6)*((S1040)*(R1040)-(P1040)*(T1040)))/W1040,0)</f>
        <v/>
      </c>
      <c r="AA1040">
        <f>LTP3!$D$7-X1040*LTP3!$D$6-Y1040*U1040-Z1040*V1040</f>
        <v/>
      </c>
      <c r="AB1040">
        <f>IF(AND(F1040,ABS(W1040)&gt;1E-12,Y1040&gt;0,Z1040&gt;0),AA1040,1E+300)</f>
        <v/>
      </c>
    </row>
    <row r="1041">
      <c r="A1041">
        <f>$B$3+$B$5*16</f>
        <v/>
      </c>
      <c r="B1041">
        <f>$B$3+$B$5*53</f>
        <v/>
      </c>
      <c r="C1041">
        <f>SUMPRODUCT(Calc!$K$3:$K$22*(Calc!$G$3:$G$22&lt;=A1041))</f>
        <v/>
      </c>
      <c r="D1041">
        <f>SUMPRODUCT(Calc!$K$3:$K$22*(Calc!$G$3:$G$22&gt;A1041)*(Calc!$G$3:$G$22&lt;B1041))</f>
        <v/>
      </c>
      <c r="E1041">
        <f>SUMPRODUCT(Calc!$K$3:$K$22*(Calc!$G$3:$G$22&gt;=B1041))</f>
        <v/>
      </c>
      <c r="F1041">
        <f>AND(k_n&gt;=5,B1041&gt;A1041+1E-9,C1041&gt;=2,D1041&gt;=1,E1041&gt;=2)</f>
        <v/>
      </c>
      <c r="G1041">
        <f>SUMPRODUCT(Calc!$K$3:$K$22*(Calc!$G$3:$G$22&gt;A1041)*(Calc!$G$3:$G$22-A1041))</f>
        <v/>
      </c>
      <c r="H1041">
        <f>SUMPRODUCT(Calc!$K$3:$K$22*(Calc!$G$3:$G$22&gt;B1041)*(Calc!$G$3:$G$22-B1041))</f>
        <v/>
      </c>
      <c r="I1041">
        <f>SUMPRODUCT(Calc!$K$3:$K$22*(Calc!$G$3:$G$22&gt;A1041)*(Calc!$G$3:$G$22-A1041)^2)</f>
        <v/>
      </c>
      <c r="J1041">
        <f>SUMPRODUCT(Calc!$K$3:$K$22*(Calc!$G$3:$G$22&gt;B1041)*(Calc!$G$3:$G$22-B1041)^2)</f>
        <v/>
      </c>
      <c r="K1041">
        <f>SUMPRODUCT(Calc!$K$3:$K$22*(Calc!$G$3:$G$22&gt;A1041)*(Calc!$G$3:$G$22-A1041)*(Calc!$G$3:$G$22&gt;B1041)*(Calc!$G$3:$G$22-B1041))</f>
        <v/>
      </c>
      <c r="L1041">
        <f>SUMPRODUCT(Calc!$K$3:$K$22*(Calc!$G$3:$G$22&gt;A1041)*(Calc!$G$3:$G$22-A1041)*Calc!$G$3:$G$22)</f>
        <v/>
      </c>
      <c r="M1041">
        <f>SUMPRODUCT(Calc!$K$3:$K$22*(Calc!$G$3:$G$22&gt;B1041)*(Calc!$G$3:$G$22-B1041)*Calc!$G$3:$G$22)</f>
        <v/>
      </c>
      <c r="N1041">
        <f>SUMPRODUCT(Calc!$K$3:$K$22*(Calc!$G$3:$G$22&gt;A1041)*(Calc!$G$3:$G$22-A1041)*Calc!$I$3:$I$22)</f>
        <v/>
      </c>
      <c r="O1041">
        <f>SUMPRODUCT(Calc!$K$3:$K$22*(Calc!$G$3:$G$22&gt;B1041)*(Calc!$G$3:$G$22-B1041)*Calc!$I$3:$I$22)</f>
        <v/>
      </c>
      <c r="P1041">
        <f>I1041-G1041^2/k_n</f>
        <v/>
      </c>
      <c r="Q1041">
        <f>J1041-H1041^2/k_n</f>
        <v/>
      </c>
      <c r="R1041">
        <f>K1041-G1041*H1041/k_n</f>
        <v/>
      </c>
      <c r="S1041">
        <f>L1041-LTP3!$D$3*G1041/k_n</f>
        <v/>
      </c>
      <c r="T1041">
        <f>M1041-LTP3!$D$3*H1041/k_n</f>
        <v/>
      </c>
      <c r="U1041">
        <f>N1041-G1041*LTP3!$D$4/k_n</f>
        <v/>
      </c>
      <c r="V1041">
        <f>O1041-H1041*LTP3!$D$4/k_n</f>
        <v/>
      </c>
      <c r="W1041">
        <f>((LTP3!$D$5)*((P1041)*(Q1041)-(R1041)*(R1041))-(S1041)*((S1041)*(Q1041)-(R1041)*(T1041))+(T1041)*((S1041)*(R1041)-(P1041)*(T1041)))</f>
        <v/>
      </c>
      <c r="X1041">
        <f>IF(ABS(W1041)&gt;1E-12,((LTP3!$D$6)*((P1041)*(Q1041)-(R1041)*(R1041))-(S1041)*((U1041)*(Q1041)-(R1041)*(V1041))+(T1041)*((U1041)*(R1041)-(P1041)*(V1041)))/W1041,0)</f>
        <v/>
      </c>
      <c r="Y1041">
        <f>IF(ABS(W1041)&gt;1E-12,((LTP3!$D$5)*((U1041)*(Q1041)-(R1041)*(V1041))-(LTP3!$D$6)*((S1041)*(Q1041)-(R1041)*(T1041))+(T1041)*((S1041)*(V1041)-(U1041)*(T1041)))/W1041,0)</f>
        <v/>
      </c>
      <c r="Z1041">
        <f>IF(ABS(W1041)&gt;1E-12,((LTP3!$D$5)*((P1041)*(V1041)-(U1041)*(R1041))-(S1041)*((S1041)*(V1041)-(U1041)*(T1041))+(LTP3!$D$6)*((S1041)*(R1041)-(P1041)*(T1041)))/W1041,0)</f>
        <v/>
      </c>
      <c r="AA1041">
        <f>LTP3!$D$7-X1041*LTP3!$D$6-Y1041*U1041-Z1041*V1041</f>
        <v/>
      </c>
      <c r="AB1041">
        <f>IF(AND(F1041,ABS(W1041)&gt;1E-12,Y1041&gt;0,Z1041&gt;0),AA1041,1E+300)</f>
        <v/>
      </c>
    </row>
    <row r="1042">
      <c r="A1042">
        <f>$B$3+$B$5*16</f>
        <v/>
      </c>
      <c r="B1042">
        <f>$B$3+$B$5*54</f>
        <v/>
      </c>
      <c r="C1042">
        <f>SUMPRODUCT(Calc!$K$3:$K$22*(Calc!$G$3:$G$22&lt;=A1042))</f>
        <v/>
      </c>
      <c r="D1042">
        <f>SUMPRODUCT(Calc!$K$3:$K$22*(Calc!$G$3:$G$22&gt;A1042)*(Calc!$G$3:$G$22&lt;B1042))</f>
        <v/>
      </c>
      <c r="E1042">
        <f>SUMPRODUCT(Calc!$K$3:$K$22*(Calc!$G$3:$G$22&gt;=B1042))</f>
        <v/>
      </c>
      <c r="F1042">
        <f>AND(k_n&gt;=5,B1042&gt;A1042+1E-9,C1042&gt;=2,D1042&gt;=1,E1042&gt;=2)</f>
        <v/>
      </c>
      <c r="G1042">
        <f>SUMPRODUCT(Calc!$K$3:$K$22*(Calc!$G$3:$G$22&gt;A1042)*(Calc!$G$3:$G$22-A1042))</f>
        <v/>
      </c>
      <c r="H1042">
        <f>SUMPRODUCT(Calc!$K$3:$K$22*(Calc!$G$3:$G$22&gt;B1042)*(Calc!$G$3:$G$22-B1042))</f>
        <v/>
      </c>
      <c r="I1042">
        <f>SUMPRODUCT(Calc!$K$3:$K$22*(Calc!$G$3:$G$22&gt;A1042)*(Calc!$G$3:$G$22-A1042)^2)</f>
        <v/>
      </c>
      <c r="J1042">
        <f>SUMPRODUCT(Calc!$K$3:$K$22*(Calc!$G$3:$G$22&gt;B1042)*(Calc!$G$3:$G$22-B1042)^2)</f>
        <v/>
      </c>
      <c r="K1042">
        <f>SUMPRODUCT(Calc!$K$3:$K$22*(Calc!$G$3:$G$22&gt;A1042)*(Calc!$G$3:$G$22-A1042)*(Calc!$G$3:$G$22&gt;B1042)*(Calc!$G$3:$G$22-B1042))</f>
        <v/>
      </c>
      <c r="L1042">
        <f>SUMPRODUCT(Calc!$K$3:$K$22*(Calc!$G$3:$G$22&gt;A1042)*(Calc!$G$3:$G$22-A1042)*Calc!$G$3:$G$22)</f>
        <v/>
      </c>
      <c r="M1042">
        <f>SUMPRODUCT(Calc!$K$3:$K$22*(Calc!$G$3:$G$22&gt;B1042)*(Calc!$G$3:$G$22-B1042)*Calc!$G$3:$G$22)</f>
        <v/>
      </c>
      <c r="N1042">
        <f>SUMPRODUCT(Calc!$K$3:$K$22*(Calc!$G$3:$G$22&gt;A1042)*(Calc!$G$3:$G$22-A1042)*Calc!$I$3:$I$22)</f>
        <v/>
      </c>
      <c r="O1042">
        <f>SUMPRODUCT(Calc!$K$3:$K$22*(Calc!$G$3:$G$22&gt;B1042)*(Calc!$G$3:$G$22-B1042)*Calc!$I$3:$I$22)</f>
        <v/>
      </c>
      <c r="P1042">
        <f>I1042-G1042^2/k_n</f>
        <v/>
      </c>
      <c r="Q1042">
        <f>J1042-H1042^2/k_n</f>
        <v/>
      </c>
      <c r="R1042">
        <f>K1042-G1042*H1042/k_n</f>
        <v/>
      </c>
      <c r="S1042">
        <f>L1042-LTP3!$D$3*G1042/k_n</f>
        <v/>
      </c>
      <c r="T1042">
        <f>M1042-LTP3!$D$3*H1042/k_n</f>
        <v/>
      </c>
      <c r="U1042">
        <f>N1042-G1042*LTP3!$D$4/k_n</f>
        <v/>
      </c>
      <c r="V1042">
        <f>O1042-H1042*LTP3!$D$4/k_n</f>
        <v/>
      </c>
      <c r="W1042">
        <f>((LTP3!$D$5)*((P1042)*(Q1042)-(R1042)*(R1042))-(S1042)*((S1042)*(Q1042)-(R1042)*(T1042))+(T1042)*((S1042)*(R1042)-(P1042)*(T1042)))</f>
        <v/>
      </c>
      <c r="X1042">
        <f>IF(ABS(W1042)&gt;1E-12,((LTP3!$D$6)*((P1042)*(Q1042)-(R1042)*(R1042))-(S1042)*((U1042)*(Q1042)-(R1042)*(V1042))+(T1042)*((U1042)*(R1042)-(P1042)*(V1042)))/W1042,0)</f>
        <v/>
      </c>
      <c r="Y1042">
        <f>IF(ABS(W1042)&gt;1E-12,((LTP3!$D$5)*((U1042)*(Q1042)-(R1042)*(V1042))-(LTP3!$D$6)*((S1042)*(Q1042)-(R1042)*(T1042))+(T1042)*((S1042)*(V1042)-(U1042)*(T1042)))/W1042,0)</f>
        <v/>
      </c>
      <c r="Z1042">
        <f>IF(ABS(W1042)&gt;1E-12,((LTP3!$D$5)*((P1042)*(V1042)-(U1042)*(R1042))-(S1042)*((S1042)*(V1042)-(U1042)*(T1042))+(LTP3!$D$6)*((S1042)*(R1042)-(P1042)*(T1042)))/W1042,0)</f>
        <v/>
      </c>
      <c r="AA1042">
        <f>LTP3!$D$7-X1042*LTP3!$D$6-Y1042*U1042-Z1042*V1042</f>
        <v/>
      </c>
      <c r="AB1042">
        <f>IF(AND(F1042,ABS(W1042)&gt;1E-12,Y1042&gt;0,Z1042&gt;0),AA1042,1E+300)</f>
        <v/>
      </c>
    </row>
    <row r="1043">
      <c r="A1043">
        <f>$B$3+$B$5*16</f>
        <v/>
      </c>
      <c r="B1043">
        <f>$B$3+$B$5*55</f>
        <v/>
      </c>
      <c r="C1043">
        <f>SUMPRODUCT(Calc!$K$3:$K$22*(Calc!$G$3:$G$22&lt;=A1043))</f>
        <v/>
      </c>
      <c r="D1043">
        <f>SUMPRODUCT(Calc!$K$3:$K$22*(Calc!$G$3:$G$22&gt;A1043)*(Calc!$G$3:$G$22&lt;B1043))</f>
        <v/>
      </c>
      <c r="E1043">
        <f>SUMPRODUCT(Calc!$K$3:$K$22*(Calc!$G$3:$G$22&gt;=B1043))</f>
        <v/>
      </c>
      <c r="F1043">
        <f>AND(k_n&gt;=5,B1043&gt;A1043+1E-9,C1043&gt;=2,D1043&gt;=1,E1043&gt;=2)</f>
        <v/>
      </c>
      <c r="G1043">
        <f>SUMPRODUCT(Calc!$K$3:$K$22*(Calc!$G$3:$G$22&gt;A1043)*(Calc!$G$3:$G$22-A1043))</f>
        <v/>
      </c>
      <c r="H1043">
        <f>SUMPRODUCT(Calc!$K$3:$K$22*(Calc!$G$3:$G$22&gt;B1043)*(Calc!$G$3:$G$22-B1043))</f>
        <v/>
      </c>
      <c r="I1043">
        <f>SUMPRODUCT(Calc!$K$3:$K$22*(Calc!$G$3:$G$22&gt;A1043)*(Calc!$G$3:$G$22-A1043)^2)</f>
        <v/>
      </c>
      <c r="J1043">
        <f>SUMPRODUCT(Calc!$K$3:$K$22*(Calc!$G$3:$G$22&gt;B1043)*(Calc!$G$3:$G$22-B1043)^2)</f>
        <v/>
      </c>
      <c r="K1043">
        <f>SUMPRODUCT(Calc!$K$3:$K$22*(Calc!$G$3:$G$22&gt;A1043)*(Calc!$G$3:$G$22-A1043)*(Calc!$G$3:$G$22&gt;B1043)*(Calc!$G$3:$G$22-B1043))</f>
        <v/>
      </c>
      <c r="L1043">
        <f>SUMPRODUCT(Calc!$K$3:$K$22*(Calc!$G$3:$G$22&gt;A1043)*(Calc!$G$3:$G$22-A1043)*Calc!$G$3:$G$22)</f>
        <v/>
      </c>
      <c r="M1043">
        <f>SUMPRODUCT(Calc!$K$3:$K$22*(Calc!$G$3:$G$22&gt;B1043)*(Calc!$G$3:$G$22-B1043)*Calc!$G$3:$G$22)</f>
        <v/>
      </c>
      <c r="N1043">
        <f>SUMPRODUCT(Calc!$K$3:$K$22*(Calc!$G$3:$G$22&gt;A1043)*(Calc!$G$3:$G$22-A1043)*Calc!$I$3:$I$22)</f>
        <v/>
      </c>
      <c r="O1043">
        <f>SUMPRODUCT(Calc!$K$3:$K$22*(Calc!$G$3:$G$22&gt;B1043)*(Calc!$G$3:$G$22-B1043)*Calc!$I$3:$I$22)</f>
        <v/>
      </c>
      <c r="P1043">
        <f>I1043-G1043^2/k_n</f>
        <v/>
      </c>
      <c r="Q1043">
        <f>J1043-H1043^2/k_n</f>
        <v/>
      </c>
      <c r="R1043">
        <f>K1043-G1043*H1043/k_n</f>
        <v/>
      </c>
      <c r="S1043">
        <f>L1043-LTP3!$D$3*G1043/k_n</f>
        <v/>
      </c>
      <c r="T1043">
        <f>M1043-LTP3!$D$3*H1043/k_n</f>
        <v/>
      </c>
      <c r="U1043">
        <f>N1043-G1043*LTP3!$D$4/k_n</f>
        <v/>
      </c>
      <c r="V1043">
        <f>O1043-H1043*LTP3!$D$4/k_n</f>
        <v/>
      </c>
      <c r="W1043">
        <f>((LTP3!$D$5)*((P1043)*(Q1043)-(R1043)*(R1043))-(S1043)*((S1043)*(Q1043)-(R1043)*(T1043))+(T1043)*((S1043)*(R1043)-(P1043)*(T1043)))</f>
        <v/>
      </c>
      <c r="X1043">
        <f>IF(ABS(W1043)&gt;1E-12,((LTP3!$D$6)*((P1043)*(Q1043)-(R1043)*(R1043))-(S1043)*((U1043)*(Q1043)-(R1043)*(V1043))+(T1043)*((U1043)*(R1043)-(P1043)*(V1043)))/W1043,0)</f>
        <v/>
      </c>
      <c r="Y1043">
        <f>IF(ABS(W1043)&gt;1E-12,((LTP3!$D$5)*((U1043)*(Q1043)-(R1043)*(V1043))-(LTP3!$D$6)*((S1043)*(Q1043)-(R1043)*(T1043))+(T1043)*((S1043)*(V1043)-(U1043)*(T1043)))/W1043,0)</f>
        <v/>
      </c>
      <c r="Z1043">
        <f>IF(ABS(W1043)&gt;1E-12,((LTP3!$D$5)*((P1043)*(V1043)-(U1043)*(R1043))-(S1043)*((S1043)*(V1043)-(U1043)*(T1043))+(LTP3!$D$6)*((S1043)*(R1043)-(P1043)*(T1043)))/W1043,0)</f>
        <v/>
      </c>
      <c r="AA1043">
        <f>LTP3!$D$7-X1043*LTP3!$D$6-Y1043*U1043-Z1043*V1043</f>
        <v/>
      </c>
      <c r="AB1043">
        <f>IF(AND(F1043,ABS(W1043)&gt;1E-12,Y1043&gt;0,Z1043&gt;0),AA1043,1E+300)</f>
        <v/>
      </c>
    </row>
    <row r="1044">
      <c r="A1044">
        <f>$B$3+$B$5*16</f>
        <v/>
      </c>
      <c r="B1044">
        <f>$B$3+$B$5*56</f>
        <v/>
      </c>
      <c r="C1044">
        <f>SUMPRODUCT(Calc!$K$3:$K$22*(Calc!$G$3:$G$22&lt;=A1044))</f>
        <v/>
      </c>
      <c r="D1044">
        <f>SUMPRODUCT(Calc!$K$3:$K$22*(Calc!$G$3:$G$22&gt;A1044)*(Calc!$G$3:$G$22&lt;B1044))</f>
        <v/>
      </c>
      <c r="E1044">
        <f>SUMPRODUCT(Calc!$K$3:$K$22*(Calc!$G$3:$G$22&gt;=B1044))</f>
        <v/>
      </c>
      <c r="F1044">
        <f>AND(k_n&gt;=5,B1044&gt;A1044+1E-9,C1044&gt;=2,D1044&gt;=1,E1044&gt;=2)</f>
        <v/>
      </c>
      <c r="G1044">
        <f>SUMPRODUCT(Calc!$K$3:$K$22*(Calc!$G$3:$G$22&gt;A1044)*(Calc!$G$3:$G$22-A1044))</f>
        <v/>
      </c>
      <c r="H1044">
        <f>SUMPRODUCT(Calc!$K$3:$K$22*(Calc!$G$3:$G$22&gt;B1044)*(Calc!$G$3:$G$22-B1044))</f>
        <v/>
      </c>
      <c r="I1044">
        <f>SUMPRODUCT(Calc!$K$3:$K$22*(Calc!$G$3:$G$22&gt;A1044)*(Calc!$G$3:$G$22-A1044)^2)</f>
        <v/>
      </c>
      <c r="J1044">
        <f>SUMPRODUCT(Calc!$K$3:$K$22*(Calc!$G$3:$G$22&gt;B1044)*(Calc!$G$3:$G$22-B1044)^2)</f>
        <v/>
      </c>
      <c r="K1044">
        <f>SUMPRODUCT(Calc!$K$3:$K$22*(Calc!$G$3:$G$22&gt;A1044)*(Calc!$G$3:$G$22-A1044)*(Calc!$G$3:$G$22&gt;B1044)*(Calc!$G$3:$G$22-B1044))</f>
        <v/>
      </c>
      <c r="L1044">
        <f>SUMPRODUCT(Calc!$K$3:$K$22*(Calc!$G$3:$G$22&gt;A1044)*(Calc!$G$3:$G$22-A1044)*Calc!$G$3:$G$22)</f>
        <v/>
      </c>
      <c r="M1044">
        <f>SUMPRODUCT(Calc!$K$3:$K$22*(Calc!$G$3:$G$22&gt;B1044)*(Calc!$G$3:$G$22-B1044)*Calc!$G$3:$G$22)</f>
        <v/>
      </c>
      <c r="N1044">
        <f>SUMPRODUCT(Calc!$K$3:$K$22*(Calc!$G$3:$G$22&gt;A1044)*(Calc!$G$3:$G$22-A1044)*Calc!$I$3:$I$22)</f>
        <v/>
      </c>
      <c r="O1044">
        <f>SUMPRODUCT(Calc!$K$3:$K$22*(Calc!$G$3:$G$22&gt;B1044)*(Calc!$G$3:$G$22-B1044)*Calc!$I$3:$I$22)</f>
        <v/>
      </c>
      <c r="P1044">
        <f>I1044-G1044^2/k_n</f>
        <v/>
      </c>
      <c r="Q1044">
        <f>J1044-H1044^2/k_n</f>
        <v/>
      </c>
      <c r="R1044">
        <f>K1044-G1044*H1044/k_n</f>
        <v/>
      </c>
      <c r="S1044">
        <f>L1044-LTP3!$D$3*G1044/k_n</f>
        <v/>
      </c>
      <c r="T1044">
        <f>M1044-LTP3!$D$3*H1044/k_n</f>
        <v/>
      </c>
      <c r="U1044">
        <f>N1044-G1044*LTP3!$D$4/k_n</f>
        <v/>
      </c>
      <c r="V1044">
        <f>O1044-H1044*LTP3!$D$4/k_n</f>
        <v/>
      </c>
      <c r="W1044">
        <f>((LTP3!$D$5)*((P1044)*(Q1044)-(R1044)*(R1044))-(S1044)*((S1044)*(Q1044)-(R1044)*(T1044))+(T1044)*((S1044)*(R1044)-(P1044)*(T1044)))</f>
        <v/>
      </c>
      <c r="X1044">
        <f>IF(ABS(W1044)&gt;1E-12,((LTP3!$D$6)*((P1044)*(Q1044)-(R1044)*(R1044))-(S1044)*((U1044)*(Q1044)-(R1044)*(V1044))+(T1044)*((U1044)*(R1044)-(P1044)*(V1044)))/W1044,0)</f>
        <v/>
      </c>
      <c r="Y1044">
        <f>IF(ABS(W1044)&gt;1E-12,((LTP3!$D$5)*((U1044)*(Q1044)-(R1044)*(V1044))-(LTP3!$D$6)*((S1044)*(Q1044)-(R1044)*(T1044))+(T1044)*((S1044)*(V1044)-(U1044)*(T1044)))/W1044,0)</f>
        <v/>
      </c>
      <c r="Z1044">
        <f>IF(ABS(W1044)&gt;1E-12,((LTP3!$D$5)*((P1044)*(V1044)-(U1044)*(R1044))-(S1044)*((S1044)*(V1044)-(U1044)*(T1044))+(LTP3!$D$6)*((S1044)*(R1044)-(P1044)*(T1044)))/W1044,0)</f>
        <v/>
      </c>
      <c r="AA1044">
        <f>LTP3!$D$7-X1044*LTP3!$D$6-Y1044*U1044-Z1044*V1044</f>
        <v/>
      </c>
      <c r="AB1044">
        <f>IF(AND(F1044,ABS(W1044)&gt;1E-12,Y1044&gt;0,Z1044&gt;0),AA1044,1E+300)</f>
        <v/>
      </c>
    </row>
    <row r="1045">
      <c r="A1045">
        <f>$B$3+$B$5*16</f>
        <v/>
      </c>
      <c r="B1045">
        <f>$B$3+$B$5*57</f>
        <v/>
      </c>
      <c r="C1045">
        <f>SUMPRODUCT(Calc!$K$3:$K$22*(Calc!$G$3:$G$22&lt;=A1045))</f>
        <v/>
      </c>
      <c r="D1045">
        <f>SUMPRODUCT(Calc!$K$3:$K$22*(Calc!$G$3:$G$22&gt;A1045)*(Calc!$G$3:$G$22&lt;B1045))</f>
        <v/>
      </c>
      <c r="E1045">
        <f>SUMPRODUCT(Calc!$K$3:$K$22*(Calc!$G$3:$G$22&gt;=B1045))</f>
        <v/>
      </c>
      <c r="F1045">
        <f>AND(k_n&gt;=5,B1045&gt;A1045+1E-9,C1045&gt;=2,D1045&gt;=1,E1045&gt;=2)</f>
        <v/>
      </c>
      <c r="G1045">
        <f>SUMPRODUCT(Calc!$K$3:$K$22*(Calc!$G$3:$G$22&gt;A1045)*(Calc!$G$3:$G$22-A1045))</f>
        <v/>
      </c>
      <c r="H1045">
        <f>SUMPRODUCT(Calc!$K$3:$K$22*(Calc!$G$3:$G$22&gt;B1045)*(Calc!$G$3:$G$22-B1045))</f>
        <v/>
      </c>
      <c r="I1045">
        <f>SUMPRODUCT(Calc!$K$3:$K$22*(Calc!$G$3:$G$22&gt;A1045)*(Calc!$G$3:$G$22-A1045)^2)</f>
        <v/>
      </c>
      <c r="J1045">
        <f>SUMPRODUCT(Calc!$K$3:$K$22*(Calc!$G$3:$G$22&gt;B1045)*(Calc!$G$3:$G$22-B1045)^2)</f>
        <v/>
      </c>
      <c r="K1045">
        <f>SUMPRODUCT(Calc!$K$3:$K$22*(Calc!$G$3:$G$22&gt;A1045)*(Calc!$G$3:$G$22-A1045)*(Calc!$G$3:$G$22&gt;B1045)*(Calc!$G$3:$G$22-B1045))</f>
        <v/>
      </c>
      <c r="L1045">
        <f>SUMPRODUCT(Calc!$K$3:$K$22*(Calc!$G$3:$G$22&gt;A1045)*(Calc!$G$3:$G$22-A1045)*Calc!$G$3:$G$22)</f>
        <v/>
      </c>
      <c r="M1045">
        <f>SUMPRODUCT(Calc!$K$3:$K$22*(Calc!$G$3:$G$22&gt;B1045)*(Calc!$G$3:$G$22-B1045)*Calc!$G$3:$G$22)</f>
        <v/>
      </c>
      <c r="N1045">
        <f>SUMPRODUCT(Calc!$K$3:$K$22*(Calc!$G$3:$G$22&gt;A1045)*(Calc!$G$3:$G$22-A1045)*Calc!$I$3:$I$22)</f>
        <v/>
      </c>
      <c r="O1045">
        <f>SUMPRODUCT(Calc!$K$3:$K$22*(Calc!$G$3:$G$22&gt;B1045)*(Calc!$G$3:$G$22-B1045)*Calc!$I$3:$I$22)</f>
        <v/>
      </c>
      <c r="P1045">
        <f>I1045-G1045^2/k_n</f>
        <v/>
      </c>
      <c r="Q1045">
        <f>J1045-H1045^2/k_n</f>
        <v/>
      </c>
      <c r="R1045">
        <f>K1045-G1045*H1045/k_n</f>
        <v/>
      </c>
      <c r="S1045">
        <f>L1045-LTP3!$D$3*G1045/k_n</f>
        <v/>
      </c>
      <c r="T1045">
        <f>M1045-LTP3!$D$3*H1045/k_n</f>
        <v/>
      </c>
      <c r="U1045">
        <f>N1045-G1045*LTP3!$D$4/k_n</f>
        <v/>
      </c>
      <c r="V1045">
        <f>O1045-H1045*LTP3!$D$4/k_n</f>
        <v/>
      </c>
      <c r="W1045">
        <f>((LTP3!$D$5)*((P1045)*(Q1045)-(R1045)*(R1045))-(S1045)*((S1045)*(Q1045)-(R1045)*(T1045))+(T1045)*((S1045)*(R1045)-(P1045)*(T1045)))</f>
        <v/>
      </c>
      <c r="X1045">
        <f>IF(ABS(W1045)&gt;1E-12,((LTP3!$D$6)*((P1045)*(Q1045)-(R1045)*(R1045))-(S1045)*((U1045)*(Q1045)-(R1045)*(V1045))+(T1045)*((U1045)*(R1045)-(P1045)*(V1045)))/W1045,0)</f>
        <v/>
      </c>
      <c r="Y1045">
        <f>IF(ABS(W1045)&gt;1E-12,((LTP3!$D$5)*((U1045)*(Q1045)-(R1045)*(V1045))-(LTP3!$D$6)*((S1045)*(Q1045)-(R1045)*(T1045))+(T1045)*((S1045)*(V1045)-(U1045)*(T1045)))/W1045,0)</f>
        <v/>
      </c>
      <c r="Z1045">
        <f>IF(ABS(W1045)&gt;1E-12,((LTP3!$D$5)*((P1045)*(V1045)-(U1045)*(R1045))-(S1045)*((S1045)*(V1045)-(U1045)*(T1045))+(LTP3!$D$6)*((S1045)*(R1045)-(P1045)*(T1045)))/W1045,0)</f>
        <v/>
      </c>
      <c r="AA1045">
        <f>LTP3!$D$7-X1045*LTP3!$D$6-Y1045*U1045-Z1045*V1045</f>
        <v/>
      </c>
      <c r="AB1045">
        <f>IF(AND(F1045,ABS(W1045)&gt;1E-12,Y1045&gt;0,Z1045&gt;0),AA1045,1E+300)</f>
        <v/>
      </c>
    </row>
    <row r="1046">
      <c r="A1046">
        <f>$B$3+$B$5*16</f>
        <v/>
      </c>
      <c r="B1046">
        <f>$B$3+$B$5*58</f>
        <v/>
      </c>
      <c r="C1046">
        <f>SUMPRODUCT(Calc!$K$3:$K$22*(Calc!$G$3:$G$22&lt;=A1046))</f>
        <v/>
      </c>
      <c r="D1046">
        <f>SUMPRODUCT(Calc!$K$3:$K$22*(Calc!$G$3:$G$22&gt;A1046)*(Calc!$G$3:$G$22&lt;B1046))</f>
        <v/>
      </c>
      <c r="E1046">
        <f>SUMPRODUCT(Calc!$K$3:$K$22*(Calc!$G$3:$G$22&gt;=B1046))</f>
        <v/>
      </c>
      <c r="F1046">
        <f>AND(k_n&gt;=5,B1046&gt;A1046+1E-9,C1046&gt;=2,D1046&gt;=1,E1046&gt;=2)</f>
        <v/>
      </c>
      <c r="G1046">
        <f>SUMPRODUCT(Calc!$K$3:$K$22*(Calc!$G$3:$G$22&gt;A1046)*(Calc!$G$3:$G$22-A1046))</f>
        <v/>
      </c>
      <c r="H1046">
        <f>SUMPRODUCT(Calc!$K$3:$K$22*(Calc!$G$3:$G$22&gt;B1046)*(Calc!$G$3:$G$22-B1046))</f>
        <v/>
      </c>
      <c r="I1046">
        <f>SUMPRODUCT(Calc!$K$3:$K$22*(Calc!$G$3:$G$22&gt;A1046)*(Calc!$G$3:$G$22-A1046)^2)</f>
        <v/>
      </c>
      <c r="J1046">
        <f>SUMPRODUCT(Calc!$K$3:$K$22*(Calc!$G$3:$G$22&gt;B1046)*(Calc!$G$3:$G$22-B1046)^2)</f>
        <v/>
      </c>
      <c r="K1046">
        <f>SUMPRODUCT(Calc!$K$3:$K$22*(Calc!$G$3:$G$22&gt;A1046)*(Calc!$G$3:$G$22-A1046)*(Calc!$G$3:$G$22&gt;B1046)*(Calc!$G$3:$G$22-B1046))</f>
        <v/>
      </c>
      <c r="L1046">
        <f>SUMPRODUCT(Calc!$K$3:$K$22*(Calc!$G$3:$G$22&gt;A1046)*(Calc!$G$3:$G$22-A1046)*Calc!$G$3:$G$22)</f>
        <v/>
      </c>
      <c r="M1046">
        <f>SUMPRODUCT(Calc!$K$3:$K$22*(Calc!$G$3:$G$22&gt;B1046)*(Calc!$G$3:$G$22-B1046)*Calc!$G$3:$G$22)</f>
        <v/>
      </c>
      <c r="N1046">
        <f>SUMPRODUCT(Calc!$K$3:$K$22*(Calc!$G$3:$G$22&gt;A1046)*(Calc!$G$3:$G$22-A1046)*Calc!$I$3:$I$22)</f>
        <v/>
      </c>
      <c r="O1046">
        <f>SUMPRODUCT(Calc!$K$3:$K$22*(Calc!$G$3:$G$22&gt;B1046)*(Calc!$G$3:$G$22-B1046)*Calc!$I$3:$I$22)</f>
        <v/>
      </c>
      <c r="P1046">
        <f>I1046-G1046^2/k_n</f>
        <v/>
      </c>
      <c r="Q1046">
        <f>J1046-H1046^2/k_n</f>
        <v/>
      </c>
      <c r="R1046">
        <f>K1046-G1046*H1046/k_n</f>
        <v/>
      </c>
      <c r="S1046">
        <f>L1046-LTP3!$D$3*G1046/k_n</f>
        <v/>
      </c>
      <c r="T1046">
        <f>M1046-LTP3!$D$3*H1046/k_n</f>
        <v/>
      </c>
      <c r="U1046">
        <f>N1046-G1046*LTP3!$D$4/k_n</f>
        <v/>
      </c>
      <c r="V1046">
        <f>O1046-H1046*LTP3!$D$4/k_n</f>
        <v/>
      </c>
      <c r="W1046">
        <f>((LTP3!$D$5)*((P1046)*(Q1046)-(R1046)*(R1046))-(S1046)*((S1046)*(Q1046)-(R1046)*(T1046))+(T1046)*((S1046)*(R1046)-(P1046)*(T1046)))</f>
        <v/>
      </c>
      <c r="X1046">
        <f>IF(ABS(W1046)&gt;1E-12,((LTP3!$D$6)*((P1046)*(Q1046)-(R1046)*(R1046))-(S1046)*((U1046)*(Q1046)-(R1046)*(V1046))+(T1046)*((U1046)*(R1046)-(P1046)*(V1046)))/W1046,0)</f>
        <v/>
      </c>
      <c r="Y1046">
        <f>IF(ABS(W1046)&gt;1E-12,((LTP3!$D$5)*((U1046)*(Q1046)-(R1046)*(V1046))-(LTP3!$D$6)*((S1046)*(Q1046)-(R1046)*(T1046))+(T1046)*((S1046)*(V1046)-(U1046)*(T1046)))/W1046,0)</f>
        <v/>
      </c>
      <c r="Z1046">
        <f>IF(ABS(W1046)&gt;1E-12,((LTP3!$D$5)*((P1046)*(V1046)-(U1046)*(R1046))-(S1046)*((S1046)*(V1046)-(U1046)*(T1046))+(LTP3!$D$6)*((S1046)*(R1046)-(P1046)*(T1046)))/W1046,0)</f>
        <v/>
      </c>
      <c r="AA1046">
        <f>LTP3!$D$7-X1046*LTP3!$D$6-Y1046*U1046-Z1046*V1046</f>
        <v/>
      </c>
      <c r="AB1046">
        <f>IF(AND(F1046,ABS(W1046)&gt;1E-12,Y1046&gt;0,Z1046&gt;0),AA1046,1E+300)</f>
        <v/>
      </c>
    </row>
    <row r="1047">
      <c r="A1047">
        <f>$B$3+$B$5*16</f>
        <v/>
      </c>
      <c r="B1047">
        <f>$B$3+$B$5*59</f>
        <v/>
      </c>
      <c r="C1047">
        <f>SUMPRODUCT(Calc!$K$3:$K$22*(Calc!$G$3:$G$22&lt;=A1047))</f>
        <v/>
      </c>
      <c r="D1047">
        <f>SUMPRODUCT(Calc!$K$3:$K$22*(Calc!$G$3:$G$22&gt;A1047)*(Calc!$G$3:$G$22&lt;B1047))</f>
        <v/>
      </c>
      <c r="E1047">
        <f>SUMPRODUCT(Calc!$K$3:$K$22*(Calc!$G$3:$G$22&gt;=B1047))</f>
        <v/>
      </c>
      <c r="F1047">
        <f>AND(k_n&gt;=5,B1047&gt;A1047+1E-9,C1047&gt;=2,D1047&gt;=1,E1047&gt;=2)</f>
        <v/>
      </c>
      <c r="G1047">
        <f>SUMPRODUCT(Calc!$K$3:$K$22*(Calc!$G$3:$G$22&gt;A1047)*(Calc!$G$3:$G$22-A1047))</f>
        <v/>
      </c>
      <c r="H1047">
        <f>SUMPRODUCT(Calc!$K$3:$K$22*(Calc!$G$3:$G$22&gt;B1047)*(Calc!$G$3:$G$22-B1047))</f>
        <v/>
      </c>
      <c r="I1047">
        <f>SUMPRODUCT(Calc!$K$3:$K$22*(Calc!$G$3:$G$22&gt;A1047)*(Calc!$G$3:$G$22-A1047)^2)</f>
        <v/>
      </c>
      <c r="J1047">
        <f>SUMPRODUCT(Calc!$K$3:$K$22*(Calc!$G$3:$G$22&gt;B1047)*(Calc!$G$3:$G$22-B1047)^2)</f>
        <v/>
      </c>
      <c r="K1047">
        <f>SUMPRODUCT(Calc!$K$3:$K$22*(Calc!$G$3:$G$22&gt;A1047)*(Calc!$G$3:$G$22-A1047)*(Calc!$G$3:$G$22&gt;B1047)*(Calc!$G$3:$G$22-B1047))</f>
        <v/>
      </c>
      <c r="L1047">
        <f>SUMPRODUCT(Calc!$K$3:$K$22*(Calc!$G$3:$G$22&gt;A1047)*(Calc!$G$3:$G$22-A1047)*Calc!$G$3:$G$22)</f>
        <v/>
      </c>
      <c r="M1047">
        <f>SUMPRODUCT(Calc!$K$3:$K$22*(Calc!$G$3:$G$22&gt;B1047)*(Calc!$G$3:$G$22-B1047)*Calc!$G$3:$G$22)</f>
        <v/>
      </c>
      <c r="N1047">
        <f>SUMPRODUCT(Calc!$K$3:$K$22*(Calc!$G$3:$G$22&gt;A1047)*(Calc!$G$3:$G$22-A1047)*Calc!$I$3:$I$22)</f>
        <v/>
      </c>
      <c r="O1047">
        <f>SUMPRODUCT(Calc!$K$3:$K$22*(Calc!$G$3:$G$22&gt;B1047)*(Calc!$G$3:$G$22-B1047)*Calc!$I$3:$I$22)</f>
        <v/>
      </c>
      <c r="P1047">
        <f>I1047-G1047^2/k_n</f>
        <v/>
      </c>
      <c r="Q1047">
        <f>J1047-H1047^2/k_n</f>
        <v/>
      </c>
      <c r="R1047">
        <f>K1047-G1047*H1047/k_n</f>
        <v/>
      </c>
      <c r="S1047">
        <f>L1047-LTP3!$D$3*G1047/k_n</f>
        <v/>
      </c>
      <c r="T1047">
        <f>M1047-LTP3!$D$3*H1047/k_n</f>
        <v/>
      </c>
      <c r="U1047">
        <f>N1047-G1047*LTP3!$D$4/k_n</f>
        <v/>
      </c>
      <c r="V1047">
        <f>O1047-H1047*LTP3!$D$4/k_n</f>
        <v/>
      </c>
      <c r="W1047">
        <f>((LTP3!$D$5)*((P1047)*(Q1047)-(R1047)*(R1047))-(S1047)*((S1047)*(Q1047)-(R1047)*(T1047))+(T1047)*((S1047)*(R1047)-(P1047)*(T1047)))</f>
        <v/>
      </c>
      <c r="X1047">
        <f>IF(ABS(W1047)&gt;1E-12,((LTP3!$D$6)*((P1047)*(Q1047)-(R1047)*(R1047))-(S1047)*((U1047)*(Q1047)-(R1047)*(V1047))+(T1047)*((U1047)*(R1047)-(P1047)*(V1047)))/W1047,0)</f>
        <v/>
      </c>
      <c r="Y1047">
        <f>IF(ABS(W1047)&gt;1E-12,((LTP3!$D$5)*((U1047)*(Q1047)-(R1047)*(V1047))-(LTP3!$D$6)*((S1047)*(Q1047)-(R1047)*(T1047))+(T1047)*((S1047)*(V1047)-(U1047)*(T1047)))/W1047,0)</f>
        <v/>
      </c>
      <c r="Z1047">
        <f>IF(ABS(W1047)&gt;1E-12,((LTP3!$D$5)*((P1047)*(V1047)-(U1047)*(R1047))-(S1047)*((S1047)*(V1047)-(U1047)*(T1047))+(LTP3!$D$6)*((S1047)*(R1047)-(P1047)*(T1047)))/W1047,0)</f>
        <v/>
      </c>
      <c r="AA1047">
        <f>LTP3!$D$7-X1047*LTP3!$D$6-Y1047*U1047-Z1047*V1047</f>
        <v/>
      </c>
      <c r="AB1047">
        <f>IF(AND(F1047,ABS(W1047)&gt;1E-12,Y1047&gt;0,Z1047&gt;0),AA1047,1E+300)</f>
        <v/>
      </c>
    </row>
    <row r="1048">
      <c r="A1048">
        <f>$B$3+$B$5*16</f>
        <v/>
      </c>
      <c r="B1048">
        <f>$B$3+$B$5*60</f>
        <v/>
      </c>
      <c r="C1048">
        <f>SUMPRODUCT(Calc!$K$3:$K$22*(Calc!$G$3:$G$22&lt;=A1048))</f>
        <v/>
      </c>
      <c r="D1048">
        <f>SUMPRODUCT(Calc!$K$3:$K$22*(Calc!$G$3:$G$22&gt;A1048)*(Calc!$G$3:$G$22&lt;B1048))</f>
        <v/>
      </c>
      <c r="E1048">
        <f>SUMPRODUCT(Calc!$K$3:$K$22*(Calc!$G$3:$G$22&gt;=B1048))</f>
        <v/>
      </c>
      <c r="F1048">
        <f>AND(k_n&gt;=5,B1048&gt;A1048+1E-9,C1048&gt;=2,D1048&gt;=1,E1048&gt;=2)</f>
        <v/>
      </c>
      <c r="G1048">
        <f>SUMPRODUCT(Calc!$K$3:$K$22*(Calc!$G$3:$G$22&gt;A1048)*(Calc!$G$3:$G$22-A1048))</f>
        <v/>
      </c>
      <c r="H1048">
        <f>SUMPRODUCT(Calc!$K$3:$K$22*(Calc!$G$3:$G$22&gt;B1048)*(Calc!$G$3:$G$22-B1048))</f>
        <v/>
      </c>
      <c r="I1048">
        <f>SUMPRODUCT(Calc!$K$3:$K$22*(Calc!$G$3:$G$22&gt;A1048)*(Calc!$G$3:$G$22-A1048)^2)</f>
        <v/>
      </c>
      <c r="J1048">
        <f>SUMPRODUCT(Calc!$K$3:$K$22*(Calc!$G$3:$G$22&gt;B1048)*(Calc!$G$3:$G$22-B1048)^2)</f>
        <v/>
      </c>
      <c r="K1048">
        <f>SUMPRODUCT(Calc!$K$3:$K$22*(Calc!$G$3:$G$22&gt;A1048)*(Calc!$G$3:$G$22-A1048)*(Calc!$G$3:$G$22&gt;B1048)*(Calc!$G$3:$G$22-B1048))</f>
        <v/>
      </c>
      <c r="L1048">
        <f>SUMPRODUCT(Calc!$K$3:$K$22*(Calc!$G$3:$G$22&gt;A1048)*(Calc!$G$3:$G$22-A1048)*Calc!$G$3:$G$22)</f>
        <v/>
      </c>
      <c r="M1048">
        <f>SUMPRODUCT(Calc!$K$3:$K$22*(Calc!$G$3:$G$22&gt;B1048)*(Calc!$G$3:$G$22-B1048)*Calc!$G$3:$G$22)</f>
        <v/>
      </c>
      <c r="N1048">
        <f>SUMPRODUCT(Calc!$K$3:$K$22*(Calc!$G$3:$G$22&gt;A1048)*(Calc!$G$3:$G$22-A1048)*Calc!$I$3:$I$22)</f>
        <v/>
      </c>
      <c r="O1048">
        <f>SUMPRODUCT(Calc!$K$3:$K$22*(Calc!$G$3:$G$22&gt;B1048)*(Calc!$G$3:$G$22-B1048)*Calc!$I$3:$I$22)</f>
        <v/>
      </c>
      <c r="P1048">
        <f>I1048-G1048^2/k_n</f>
        <v/>
      </c>
      <c r="Q1048">
        <f>J1048-H1048^2/k_n</f>
        <v/>
      </c>
      <c r="R1048">
        <f>K1048-G1048*H1048/k_n</f>
        <v/>
      </c>
      <c r="S1048">
        <f>L1048-LTP3!$D$3*G1048/k_n</f>
        <v/>
      </c>
      <c r="T1048">
        <f>M1048-LTP3!$D$3*H1048/k_n</f>
        <v/>
      </c>
      <c r="U1048">
        <f>N1048-G1048*LTP3!$D$4/k_n</f>
        <v/>
      </c>
      <c r="V1048">
        <f>O1048-H1048*LTP3!$D$4/k_n</f>
        <v/>
      </c>
      <c r="W1048">
        <f>((LTP3!$D$5)*((P1048)*(Q1048)-(R1048)*(R1048))-(S1048)*((S1048)*(Q1048)-(R1048)*(T1048))+(T1048)*((S1048)*(R1048)-(P1048)*(T1048)))</f>
        <v/>
      </c>
      <c r="X1048">
        <f>IF(ABS(W1048)&gt;1E-12,((LTP3!$D$6)*((P1048)*(Q1048)-(R1048)*(R1048))-(S1048)*((U1048)*(Q1048)-(R1048)*(V1048))+(T1048)*((U1048)*(R1048)-(P1048)*(V1048)))/W1048,0)</f>
        <v/>
      </c>
      <c r="Y1048">
        <f>IF(ABS(W1048)&gt;1E-12,((LTP3!$D$5)*((U1048)*(Q1048)-(R1048)*(V1048))-(LTP3!$D$6)*((S1048)*(Q1048)-(R1048)*(T1048))+(T1048)*((S1048)*(V1048)-(U1048)*(T1048)))/W1048,0)</f>
        <v/>
      </c>
      <c r="Z1048">
        <f>IF(ABS(W1048)&gt;1E-12,((LTP3!$D$5)*((P1048)*(V1048)-(U1048)*(R1048))-(S1048)*((S1048)*(V1048)-(U1048)*(T1048))+(LTP3!$D$6)*((S1048)*(R1048)-(P1048)*(T1048)))/W1048,0)</f>
        <v/>
      </c>
      <c r="AA1048">
        <f>LTP3!$D$7-X1048*LTP3!$D$6-Y1048*U1048-Z1048*V1048</f>
        <v/>
      </c>
      <c r="AB1048">
        <f>IF(AND(F1048,ABS(W1048)&gt;1E-12,Y1048&gt;0,Z1048&gt;0),AA1048,1E+300)</f>
        <v/>
      </c>
    </row>
    <row r="1049">
      <c r="A1049">
        <f>$B$3+$B$5*17</f>
        <v/>
      </c>
      <c r="B1049">
        <f>$B$3+$B$5*0</f>
        <v/>
      </c>
      <c r="C1049">
        <f>SUMPRODUCT(Calc!$K$3:$K$22*(Calc!$G$3:$G$22&lt;=A1049))</f>
        <v/>
      </c>
      <c r="D1049">
        <f>SUMPRODUCT(Calc!$K$3:$K$22*(Calc!$G$3:$G$22&gt;A1049)*(Calc!$G$3:$G$22&lt;B1049))</f>
        <v/>
      </c>
      <c r="E1049">
        <f>SUMPRODUCT(Calc!$K$3:$K$22*(Calc!$G$3:$G$22&gt;=B1049))</f>
        <v/>
      </c>
      <c r="F1049">
        <f>AND(k_n&gt;=5,B1049&gt;A1049+1E-9,C1049&gt;=2,D1049&gt;=1,E1049&gt;=2)</f>
        <v/>
      </c>
      <c r="G1049">
        <f>SUMPRODUCT(Calc!$K$3:$K$22*(Calc!$G$3:$G$22&gt;A1049)*(Calc!$G$3:$G$22-A1049))</f>
        <v/>
      </c>
      <c r="H1049">
        <f>SUMPRODUCT(Calc!$K$3:$K$22*(Calc!$G$3:$G$22&gt;B1049)*(Calc!$G$3:$G$22-B1049))</f>
        <v/>
      </c>
      <c r="I1049">
        <f>SUMPRODUCT(Calc!$K$3:$K$22*(Calc!$G$3:$G$22&gt;A1049)*(Calc!$G$3:$G$22-A1049)^2)</f>
        <v/>
      </c>
      <c r="J1049">
        <f>SUMPRODUCT(Calc!$K$3:$K$22*(Calc!$G$3:$G$22&gt;B1049)*(Calc!$G$3:$G$22-B1049)^2)</f>
        <v/>
      </c>
      <c r="K1049">
        <f>SUMPRODUCT(Calc!$K$3:$K$22*(Calc!$G$3:$G$22&gt;A1049)*(Calc!$G$3:$G$22-A1049)*(Calc!$G$3:$G$22&gt;B1049)*(Calc!$G$3:$G$22-B1049))</f>
        <v/>
      </c>
      <c r="L1049">
        <f>SUMPRODUCT(Calc!$K$3:$K$22*(Calc!$G$3:$G$22&gt;A1049)*(Calc!$G$3:$G$22-A1049)*Calc!$G$3:$G$22)</f>
        <v/>
      </c>
      <c r="M1049">
        <f>SUMPRODUCT(Calc!$K$3:$K$22*(Calc!$G$3:$G$22&gt;B1049)*(Calc!$G$3:$G$22-B1049)*Calc!$G$3:$G$22)</f>
        <v/>
      </c>
      <c r="N1049">
        <f>SUMPRODUCT(Calc!$K$3:$K$22*(Calc!$G$3:$G$22&gt;A1049)*(Calc!$G$3:$G$22-A1049)*Calc!$I$3:$I$22)</f>
        <v/>
      </c>
      <c r="O1049">
        <f>SUMPRODUCT(Calc!$K$3:$K$22*(Calc!$G$3:$G$22&gt;B1049)*(Calc!$G$3:$G$22-B1049)*Calc!$I$3:$I$22)</f>
        <v/>
      </c>
      <c r="P1049">
        <f>I1049-G1049^2/k_n</f>
        <v/>
      </c>
      <c r="Q1049">
        <f>J1049-H1049^2/k_n</f>
        <v/>
      </c>
      <c r="R1049">
        <f>K1049-G1049*H1049/k_n</f>
        <v/>
      </c>
      <c r="S1049">
        <f>L1049-LTP3!$D$3*G1049/k_n</f>
        <v/>
      </c>
      <c r="T1049">
        <f>M1049-LTP3!$D$3*H1049/k_n</f>
        <v/>
      </c>
      <c r="U1049">
        <f>N1049-G1049*LTP3!$D$4/k_n</f>
        <v/>
      </c>
      <c r="V1049">
        <f>O1049-H1049*LTP3!$D$4/k_n</f>
        <v/>
      </c>
      <c r="W1049">
        <f>((LTP3!$D$5)*((P1049)*(Q1049)-(R1049)*(R1049))-(S1049)*((S1049)*(Q1049)-(R1049)*(T1049))+(T1049)*((S1049)*(R1049)-(P1049)*(T1049)))</f>
        <v/>
      </c>
      <c r="X1049">
        <f>IF(ABS(W1049)&gt;1E-12,((LTP3!$D$6)*((P1049)*(Q1049)-(R1049)*(R1049))-(S1049)*((U1049)*(Q1049)-(R1049)*(V1049))+(T1049)*((U1049)*(R1049)-(P1049)*(V1049)))/W1049,0)</f>
        <v/>
      </c>
      <c r="Y1049">
        <f>IF(ABS(W1049)&gt;1E-12,((LTP3!$D$5)*((U1049)*(Q1049)-(R1049)*(V1049))-(LTP3!$D$6)*((S1049)*(Q1049)-(R1049)*(T1049))+(T1049)*((S1049)*(V1049)-(U1049)*(T1049)))/W1049,0)</f>
        <v/>
      </c>
      <c r="Z1049">
        <f>IF(ABS(W1049)&gt;1E-12,((LTP3!$D$5)*((P1049)*(V1049)-(U1049)*(R1049))-(S1049)*((S1049)*(V1049)-(U1049)*(T1049))+(LTP3!$D$6)*((S1049)*(R1049)-(P1049)*(T1049)))/W1049,0)</f>
        <v/>
      </c>
      <c r="AA1049">
        <f>LTP3!$D$7-X1049*LTP3!$D$6-Y1049*U1049-Z1049*V1049</f>
        <v/>
      </c>
      <c r="AB1049">
        <f>IF(AND(F1049,ABS(W1049)&gt;1E-12,Y1049&gt;0,Z1049&gt;0),AA1049,1E+300)</f>
        <v/>
      </c>
    </row>
    <row r="1050">
      <c r="A1050">
        <f>$B$3+$B$5*17</f>
        <v/>
      </c>
      <c r="B1050">
        <f>$B$3+$B$5*1</f>
        <v/>
      </c>
      <c r="C1050">
        <f>SUMPRODUCT(Calc!$K$3:$K$22*(Calc!$G$3:$G$22&lt;=A1050))</f>
        <v/>
      </c>
      <c r="D1050">
        <f>SUMPRODUCT(Calc!$K$3:$K$22*(Calc!$G$3:$G$22&gt;A1050)*(Calc!$G$3:$G$22&lt;B1050))</f>
        <v/>
      </c>
      <c r="E1050">
        <f>SUMPRODUCT(Calc!$K$3:$K$22*(Calc!$G$3:$G$22&gt;=B1050))</f>
        <v/>
      </c>
      <c r="F1050">
        <f>AND(k_n&gt;=5,B1050&gt;A1050+1E-9,C1050&gt;=2,D1050&gt;=1,E1050&gt;=2)</f>
        <v/>
      </c>
      <c r="G1050">
        <f>SUMPRODUCT(Calc!$K$3:$K$22*(Calc!$G$3:$G$22&gt;A1050)*(Calc!$G$3:$G$22-A1050))</f>
        <v/>
      </c>
      <c r="H1050">
        <f>SUMPRODUCT(Calc!$K$3:$K$22*(Calc!$G$3:$G$22&gt;B1050)*(Calc!$G$3:$G$22-B1050))</f>
        <v/>
      </c>
      <c r="I1050">
        <f>SUMPRODUCT(Calc!$K$3:$K$22*(Calc!$G$3:$G$22&gt;A1050)*(Calc!$G$3:$G$22-A1050)^2)</f>
        <v/>
      </c>
      <c r="J1050">
        <f>SUMPRODUCT(Calc!$K$3:$K$22*(Calc!$G$3:$G$22&gt;B1050)*(Calc!$G$3:$G$22-B1050)^2)</f>
        <v/>
      </c>
      <c r="K1050">
        <f>SUMPRODUCT(Calc!$K$3:$K$22*(Calc!$G$3:$G$22&gt;A1050)*(Calc!$G$3:$G$22-A1050)*(Calc!$G$3:$G$22&gt;B1050)*(Calc!$G$3:$G$22-B1050))</f>
        <v/>
      </c>
      <c r="L1050">
        <f>SUMPRODUCT(Calc!$K$3:$K$22*(Calc!$G$3:$G$22&gt;A1050)*(Calc!$G$3:$G$22-A1050)*Calc!$G$3:$G$22)</f>
        <v/>
      </c>
      <c r="M1050">
        <f>SUMPRODUCT(Calc!$K$3:$K$22*(Calc!$G$3:$G$22&gt;B1050)*(Calc!$G$3:$G$22-B1050)*Calc!$G$3:$G$22)</f>
        <v/>
      </c>
      <c r="N1050">
        <f>SUMPRODUCT(Calc!$K$3:$K$22*(Calc!$G$3:$G$22&gt;A1050)*(Calc!$G$3:$G$22-A1050)*Calc!$I$3:$I$22)</f>
        <v/>
      </c>
      <c r="O1050">
        <f>SUMPRODUCT(Calc!$K$3:$K$22*(Calc!$G$3:$G$22&gt;B1050)*(Calc!$G$3:$G$22-B1050)*Calc!$I$3:$I$22)</f>
        <v/>
      </c>
      <c r="P1050">
        <f>I1050-G1050^2/k_n</f>
        <v/>
      </c>
      <c r="Q1050">
        <f>J1050-H1050^2/k_n</f>
        <v/>
      </c>
      <c r="R1050">
        <f>K1050-G1050*H1050/k_n</f>
        <v/>
      </c>
      <c r="S1050">
        <f>L1050-LTP3!$D$3*G1050/k_n</f>
        <v/>
      </c>
      <c r="T1050">
        <f>M1050-LTP3!$D$3*H1050/k_n</f>
        <v/>
      </c>
      <c r="U1050">
        <f>N1050-G1050*LTP3!$D$4/k_n</f>
        <v/>
      </c>
      <c r="V1050">
        <f>O1050-H1050*LTP3!$D$4/k_n</f>
        <v/>
      </c>
      <c r="W1050">
        <f>((LTP3!$D$5)*((P1050)*(Q1050)-(R1050)*(R1050))-(S1050)*((S1050)*(Q1050)-(R1050)*(T1050))+(T1050)*((S1050)*(R1050)-(P1050)*(T1050)))</f>
        <v/>
      </c>
      <c r="X1050">
        <f>IF(ABS(W1050)&gt;1E-12,((LTP3!$D$6)*((P1050)*(Q1050)-(R1050)*(R1050))-(S1050)*((U1050)*(Q1050)-(R1050)*(V1050))+(T1050)*((U1050)*(R1050)-(P1050)*(V1050)))/W1050,0)</f>
        <v/>
      </c>
      <c r="Y1050">
        <f>IF(ABS(W1050)&gt;1E-12,((LTP3!$D$5)*((U1050)*(Q1050)-(R1050)*(V1050))-(LTP3!$D$6)*((S1050)*(Q1050)-(R1050)*(T1050))+(T1050)*((S1050)*(V1050)-(U1050)*(T1050)))/W1050,0)</f>
        <v/>
      </c>
      <c r="Z1050">
        <f>IF(ABS(W1050)&gt;1E-12,((LTP3!$D$5)*((P1050)*(V1050)-(U1050)*(R1050))-(S1050)*((S1050)*(V1050)-(U1050)*(T1050))+(LTP3!$D$6)*((S1050)*(R1050)-(P1050)*(T1050)))/W1050,0)</f>
        <v/>
      </c>
      <c r="AA1050">
        <f>LTP3!$D$7-X1050*LTP3!$D$6-Y1050*U1050-Z1050*V1050</f>
        <v/>
      </c>
      <c r="AB1050">
        <f>IF(AND(F1050,ABS(W1050)&gt;1E-12,Y1050&gt;0,Z1050&gt;0),AA1050,1E+300)</f>
        <v/>
      </c>
    </row>
    <row r="1051">
      <c r="A1051">
        <f>$B$3+$B$5*17</f>
        <v/>
      </c>
      <c r="B1051">
        <f>$B$3+$B$5*2</f>
        <v/>
      </c>
      <c r="C1051">
        <f>SUMPRODUCT(Calc!$K$3:$K$22*(Calc!$G$3:$G$22&lt;=A1051))</f>
        <v/>
      </c>
      <c r="D1051">
        <f>SUMPRODUCT(Calc!$K$3:$K$22*(Calc!$G$3:$G$22&gt;A1051)*(Calc!$G$3:$G$22&lt;B1051))</f>
        <v/>
      </c>
      <c r="E1051">
        <f>SUMPRODUCT(Calc!$K$3:$K$22*(Calc!$G$3:$G$22&gt;=B1051))</f>
        <v/>
      </c>
      <c r="F1051">
        <f>AND(k_n&gt;=5,B1051&gt;A1051+1E-9,C1051&gt;=2,D1051&gt;=1,E1051&gt;=2)</f>
        <v/>
      </c>
      <c r="G1051">
        <f>SUMPRODUCT(Calc!$K$3:$K$22*(Calc!$G$3:$G$22&gt;A1051)*(Calc!$G$3:$G$22-A1051))</f>
        <v/>
      </c>
      <c r="H1051">
        <f>SUMPRODUCT(Calc!$K$3:$K$22*(Calc!$G$3:$G$22&gt;B1051)*(Calc!$G$3:$G$22-B1051))</f>
        <v/>
      </c>
      <c r="I1051">
        <f>SUMPRODUCT(Calc!$K$3:$K$22*(Calc!$G$3:$G$22&gt;A1051)*(Calc!$G$3:$G$22-A1051)^2)</f>
        <v/>
      </c>
      <c r="J1051">
        <f>SUMPRODUCT(Calc!$K$3:$K$22*(Calc!$G$3:$G$22&gt;B1051)*(Calc!$G$3:$G$22-B1051)^2)</f>
        <v/>
      </c>
      <c r="K1051">
        <f>SUMPRODUCT(Calc!$K$3:$K$22*(Calc!$G$3:$G$22&gt;A1051)*(Calc!$G$3:$G$22-A1051)*(Calc!$G$3:$G$22&gt;B1051)*(Calc!$G$3:$G$22-B1051))</f>
        <v/>
      </c>
      <c r="L1051">
        <f>SUMPRODUCT(Calc!$K$3:$K$22*(Calc!$G$3:$G$22&gt;A1051)*(Calc!$G$3:$G$22-A1051)*Calc!$G$3:$G$22)</f>
        <v/>
      </c>
      <c r="M1051">
        <f>SUMPRODUCT(Calc!$K$3:$K$22*(Calc!$G$3:$G$22&gt;B1051)*(Calc!$G$3:$G$22-B1051)*Calc!$G$3:$G$22)</f>
        <v/>
      </c>
      <c r="N1051">
        <f>SUMPRODUCT(Calc!$K$3:$K$22*(Calc!$G$3:$G$22&gt;A1051)*(Calc!$G$3:$G$22-A1051)*Calc!$I$3:$I$22)</f>
        <v/>
      </c>
      <c r="O1051">
        <f>SUMPRODUCT(Calc!$K$3:$K$22*(Calc!$G$3:$G$22&gt;B1051)*(Calc!$G$3:$G$22-B1051)*Calc!$I$3:$I$22)</f>
        <v/>
      </c>
      <c r="P1051">
        <f>I1051-G1051^2/k_n</f>
        <v/>
      </c>
      <c r="Q1051">
        <f>J1051-H1051^2/k_n</f>
        <v/>
      </c>
      <c r="R1051">
        <f>K1051-G1051*H1051/k_n</f>
        <v/>
      </c>
      <c r="S1051">
        <f>L1051-LTP3!$D$3*G1051/k_n</f>
        <v/>
      </c>
      <c r="T1051">
        <f>M1051-LTP3!$D$3*H1051/k_n</f>
        <v/>
      </c>
      <c r="U1051">
        <f>N1051-G1051*LTP3!$D$4/k_n</f>
        <v/>
      </c>
      <c r="V1051">
        <f>O1051-H1051*LTP3!$D$4/k_n</f>
        <v/>
      </c>
      <c r="W1051">
        <f>((LTP3!$D$5)*((P1051)*(Q1051)-(R1051)*(R1051))-(S1051)*((S1051)*(Q1051)-(R1051)*(T1051))+(T1051)*((S1051)*(R1051)-(P1051)*(T1051)))</f>
        <v/>
      </c>
      <c r="X1051">
        <f>IF(ABS(W1051)&gt;1E-12,((LTP3!$D$6)*((P1051)*(Q1051)-(R1051)*(R1051))-(S1051)*((U1051)*(Q1051)-(R1051)*(V1051))+(T1051)*((U1051)*(R1051)-(P1051)*(V1051)))/W1051,0)</f>
        <v/>
      </c>
      <c r="Y1051">
        <f>IF(ABS(W1051)&gt;1E-12,((LTP3!$D$5)*((U1051)*(Q1051)-(R1051)*(V1051))-(LTP3!$D$6)*((S1051)*(Q1051)-(R1051)*(T1051))+(T1051)*((S1051)*(V1051)-(U1051)*(T1051)))/W1051,0)</f>
        <v/>
      </c>
      <c r="Z1051">
        <f>IF(ABS(W1051)&gt;1E-12,((LTP3!$D$5)*((P1051)*(V1051)-(U1051)*(R1051))-(S1051)*((S1051)*(V1051)-(U1051)*(T1051))+(LTP3!$D$6)*((S1051)*(R1051)-(P1051)*(T1051)))/W1051,0)</f>
        <v/>
      </c>
      <c r="AA1051">
        <f>LTP3!$D$7-X1051*LTP3!$D$6-Y1051*U1051-Z1051*V1051</f>
        <v/>
      </c>
      <c r="AB1051">
        <f>IF(AND(F1051,ABS(W1051)&gt;1E-12,Y1051&gt;0,Z1051&gt;0),AA1051,1E+300)</f>
        <v/>
      </c>
    </row>
    <row r="1052">
      <c r="A1052">
        <f>$B$3+$B$5*17</f>
        <v/>
      </c>
      <c r="B1052">
        <f>$B$3+$B$5*3</f>
        <v/>
      </c>
      <c r="C1052">
        <f>SUMPRODUCT(Calc!$K$3:$K$22*(Calc!$G$3:$G$22&lt;=A1052))</f>
        <v/>
      </c>
      <c r="D1052">
        <f>SUMPRODUCT(Calc!$K$3:$K$22*(Calc!$G$3:$G$22&gt;A1052)*(Calc!$G$3:$G$22&lt;B1052))</f>
        <v/>
      </c>
      <c r="E1052">
        <f>SUMPRODUCT(Calc!$K$3:$K$22*(Calc!$G$3:$G$22&gt;=B1052))</f>
        <v/>
      </c>
      <c r="F1052">
        <f>AND(k_n&gt;=5,B1052&gt;A1052+1E-9,C1052&gt;=2,D1052&gt;=1,E1052&gt;=2)</f>
        <v/>
      </c>
      <c r="G1052">
        <f>SUMPRODUCT(Calc!$K$3:$K$22*(Calc!$G$3:$G$22&gt;A1052)*(Calc!$G$3:$G$22-A1052))</f>
        <v/>
      </c>
      <c r="H1052">
        <f>SUMPRODUCT(Calc!$K$3:$K$22*(Calc!$G$3:$G$22&gt;B1052)*(Calc!$G$3:$G$22-B1052))</f>
        <v/>
      </c>
      <c r="I1052">
        <f>SUMPRODUCT(Calc!$K$3:$K$22*(Calc!$G$3:$G$22&gt;A1052)*(Calc!$G$3:$G$22-A1052)^2)</f>
        <v/>
      </c>
      <c r="J1052">
        <f>SUMPRODUCT(Calc!$K$3:$K$22*(Calc!$G$3:$G$22&gt;B1052)*(Calc!$G$3:$G$22-B1052)^2)</f>
        <v/>
      </c>
      <c r="K1052">
        <f>SUMPRODUCT(Calc!$K$3:$K$22*(Calc!$G$3:$G$22&gt;A1052)*(Calc!$G$3:$G$22-A1052)*(Calc!$G$3:$G$22&gt;B1052)*(Calc!$G$3:$G$22-B1052))</f>
        <v/>
      </c>
      <c r="L1052">
        <f>SUMPRODUCT(Calc!$K$3:$K$22*(Calc!$G$3:$G$22&gt;A1052)*(Calc!$G$3:$G$22-A1052)*Calc!$G$3:$G$22)</f>
        <v/>
      </c>
      <c r="M1052">
        <f>SUMPRODUCT(Calc!$K$3:$K$22*(Calc!$G$3:$G$22&gt;B1052)*(Calc!$G$3:$G$22-B1052)*Calc!$G$3:$G$22)</f>
        <v/>
      </c>
      <c r="N1052">
        <f>SUMPRODUCT(Calc!$K$3:$K$22*(Calc!$G$3:$G$22&gt;A1052)*(Calc!$G$3:$G$22-A1052)*Calc!$I$3:$I$22)</f>
        <v/>
      </c>
      <c r="O1052">
        <f>SUMPRODUCT(Calc!$K$3:$K$22*(Calc!$G$3:$G$22&gt;B1052)*(Calc!$G$3:$G$22-B1052)*Calc!$I$3:$I$22)</f>
        <v/>
      </c>
      <c r="P1052">
        <f>I1052-G1052^2/k_n</f>
        <v/>
      </c>
      <c r="Q1052">
        <f>J1052-H1052^2/k_n</f>
        <v/>
      </c>
      <c r="R1052">
        <f>K1052-G1052*H1052/k_n</f>
        <v/>
      </c>
      <c r="S1052">
        <f>L1052-LTP3!$D$3*G1052/k_n</f>
        <v/>
      </c>
      <c r="T1052">
        <f>M1052-LTP3!$D$3*H1052/k_n</f>
        <v/>
      </c>
      <c r="U1052">
        <f>N1052-G1052*LTP3!$D$4/k_n</f>
        <v/>
      </c>
      <c r="V1052">
        <f>O1052-H1052*LTP3!$D$4/k_n</f>
        <v/>
      </c>
      <c r="W1052">
        <f>((LTP3!$D$5)*((P1052)*(Q1052)-(R1052)*(R1052))-(S1052)*((S1052)*(Q1052)-(R1052)*(T1052))+(T1052)*((S1052)*(R1052)-(P1052)*(T1052)))</f>
        <v/>
      </c>
      <c r="X1052">
        <f>IF(ABS(W1052)&gt;1E-12,((LTP3!$D$6)*((P1052)*(Q1052)-(R1052)*(R1052))-(S1052)*((U1052)*(Q1052)-(R1052)*(V1052))+(T1052)*((U1052)*(R1052)-(P1052)*(V1052)))/W1052,0)</f>
        <v/>
      </c>
      <c r="Y1052">
        <f>IF(ABS(W1052)&gt;1E-12,((LTP3!$D$5)*((U1052)*(Q1052)-(R1052)*(V1052))-(LTP3!$D$6)*((S1052)*(Q1052)-(R1052)*(T1052))+(T1052)*((S1052)*(V1052)-(U1052)*(T1052)))/W1052,0)</f>
        <v/>
      </c>
      <c r="Z1052">
        <f>IF(ABS(W1052)&gt;1E-12,((LTP3!$D$5)*((P1052)*(V1052)-(U1052)*(R1052))-(S1052)*((S1052)*(V1052)-(U1052)*(T1052))+(LTP3!$D$6)*((S1052)*(R1052)-(P1052)*(T1052)))/W1052,0)</f>
        <v/>
      </c>
      <c r="AA1052">
        <f>LTP3!$D$7-X1052*LTP3!$D$6-Y1052*U1052-Z1052*V1052</f>
        <v/>
      </c>
      <c r="AB1052">
        <f>IF(AND(F1052,ABS(W1052)&gt;1E-12,Y1052&gt;0,Z1052&gt;0),AA1052,1E+300)</f>
        <v/>
      </c>
    </row>
    <row r="1053">
      <c r="A1053">
        <f>$B$3+$B$5*17</f>
        <v/>
      </c>
      <c r="B1053">
        <f>$B$3+$B$5*4</f>
        <v/>
      </c>
      <c r="C1053">
        <f>SUMPRODUCT(Calc!$K$3:$K$22*(Calc!$G$3:$G$22&lt;=A1053))</f>
        <v/>
      </c>
      <c r="D1053">
        <f>SUMPRODUCT(Calc!$K$3:$K$22*(Calc!$G$3:$G$22&gt;A1053)*(Calc!$G$3:$G$22&lt;B1053))</f>
        <v/>
      </c>
      <c r="E1053">
        <f>SUMPRODUCT(Calc!$K$3:$K$22*(Calc!$G$3:$G$22&gt;=B1053))</f>
        <v/>
      </c>
      <c r="F1053">
        <f>AND(k_n&gt;=5,B1053&gt;A1053+1E-9,C1053&gt;=2,D1053&gt;=1,E1053&gt;=2)</f>
        <v/>
      </c>
      <c r="G1053">
        <f>SUMPRODUCT(Calc!$K$3:$K$22*(Calc!$G$3:$G$22&gt;A1053)*(Calc!$G$3:$G$22-A1053))</f>
        <v/>
      </c>
      <c r="H1053">
        <f>SUMPRODUCT(Calc!$K$3:$K$22*(Calc!$G$3:$G$22&gt;B1053)*(Calc!$G$3:$G$22-B1053))</f>
        <v/>
      </c>
      <c r="I1053">
        <f>SUMPRODUCT(Calc!$K$3:$K$22*(Calc!$G$3:$G$22&gt;A1053)*(Calc!$G$3:$G$22-A1053)^2)</f>
        <v/>
      </c>
      <c r="J1053">
        <f>SUMPRODUCT(Calc!$K$3:$K$22*(Calc!$G$3:$G$22&gt;B1053)*(Calc!$G$3:$G$22-B1053)^2)</f>
        <v/>
      </c>
      <c r="K1053">
        <f>SUMPRODUCT(Calc!$K$3:$K$22*(Calc!$G$3:$G$22&gt;A1053)*(Calc!$G$3:$G$22-A1053)*(Calc!$G$3:$G$22&gt;B1053)*(Calc!$G$3:$G$22-B1053))</f>
        <v/>
      </c>
      <c r="L1053">
        <f>SUMPRODUCT(Calc!$K$3:$K$22*(Calc!$G$3:$G$22&gt;A1053)*(Calc!$G$3:$G$22-A1053)*Calc!$G$3:$G$22)</f>
        <v/>
      </c>
      <c r="M1053">
        <f>SUMPRODUCT(Calc!$K$3:$K$22*(Calc!$G$3:$G$22&gt;B1053)*(Calc!$G$3:$G$22-B1053)*Calc!$G$3:$G$22)</f>
        <v/>
      </c>
      <c r="N1053">
        <f>SUMPRODUCT(Calc!$K$3:$K$22*(Calc!$G$3:$G$22&gt;A1053)*(Calc!$G$3:$G$22-A1053)*Calc!$I$3:$I$22)</f>
        <v/>
      </c>
      <c r="O1053">
        <f>SUMPRODUCT(Calc!$K$3:$K$22*(Calc!$G$3:$G$22&gt;B1053)*(Calc!$G$3:$G$22-B1053)*Calc!$I$3:$I$22)</f>
        <v/>
      </c>
      <c r="P1053">
        <f>I1053-G1053^2/k_n</f>
        <v/>
      </c>
      <c r="Q1053">
        <f>J1053-H1053^2/k_n</f>
        <v/>
      </c>
      <c r="R1053">
        <f>K1053-G1053*H1053/k_n</f>
        <v/>
      </c>
      <c r="S1053">
        <f>L1053-LTP3!$D$3*G1053/k_n</f>
        <v/>
      </c>
      <c r="T1053">
        <f>M1053-LTP3!$D$3*H1053/k_n</f>
        <v/>
      </c>
      <c r="U1053">
        <f>N1053-G1053*LTP3!$D$4/k_n</f>
        <v/>
      </c>
      <c r="V1053">
        <f>O1053-H1053*LTP3!$D$4/k_n</f>
        <v/>
      </c>
      <c r="W1053">
        <f>((LTP3!$D$5)*((P1053)*(Q1053)-(R1053)*(R1053))-(S1053)*((S1053)*(Q1053)-(R1053)*(T1053))+(T1053)*((S1053)*(R1053)-(P1053)*(T1053)))</f>
        <v/>
      </c>
      <c r="X1053">
        <f>IF(ABS(W1053)&gt;1E-12,((LTP3!$D$6)*((P1053)*(Q1053)-(R1053)*(R1053))-(S1053)*((U1053)*(Q1053)-(R1053)*(V1053))+(T1053)*((U1053)*(R1053)-(P1053)*(V1053)))/W1053,0)</f>
        <v/>
      </c>
      <c r="Y1053">
        <f>IF(ABS(W1053)&gt;1E-12,((LTP3!$D$5)*((U1053)*(Q1053)-(R1053)*(V1053))-(LTP3!$D$6)*((S1053)*(Q1053)-(R1053)*(T1053))+(T1053)*((S1053)*(V1053)-(U1053)*(T1053)))/W1053,0)</f>
        <v/>
      </c>
      <c r="Z1053">
        <f>IF(ABS(W1053)&gt;1E-12,((LTP3!$D$5)*((P1053)*(V1053)-(U1053)*(R1053))-(S1053)*((S1053)*(V1053)-(U1053)*(T1053))+(LTP3!$D$6)*((S1053)*(R1053)-(P1053)*(T1053)))/W1053,0)</f>
        <v/>
      </c>
      <c r="AA1053">
        <f>LTP3!$D$7-X1053*LTP3!$D$6-Y1053*U1053-Z1053*V1053</f>
        <v/>
      </c>
      <c r="AB1053">
        <f>IF(AND(F1053,ABS(W1053)&gt;1E-12,Y1053&gt;0,Z1053&gt;0),AA1053,1E+300)</f>
        <v/>
      </c>
    </row>
    <row r="1054">
      <c r="A1054">
        <f>$B$3+$B$5*17</f>
        <v/>
      </c>
      <c r="B1054">
        <f>$B$3+$B$5*5</f>
        <v/>
      </c>
      <c r="C1054">
        <f>SUMPRODUCT(Calc!$K$3:$K$22*(Calc!$G$3:$G$22&lt;=A1054))</f>
        <v/>
      </c>
      <c r="D1054">
        <f>SUMPRODUCT(Calc!$K$3:$K$22*(Calc!$G$3:$G$22&gt;A1054)*(Calc!$G$3:$G$22&lt;B1054))</f>
        <v/>
      </c>
      <c r="E1054">
        <f>SUMPRODUCT(Calc!$K$3:$K$22*(Calc!$G$3:$G$22&gt;=B1054))</f>
        <v/>
      </c>
      <c r="F1054">
        <f>AND(k_n&gt;=5,B1054&gt;A1054+1E-9,C1054&gt;=2,D1054&gt;=1,E1054&gt;=2)</f>
        <v/>
      </c>
      <c r="G1054">
        <f>SUMPRODUCT(Calc!$K$3:$K$22*(Calc!$G$3:$G$22&gt;A1054)*(Calc!$G$3:$G$22-A1054))</f>
        <v/>
      </c>
      <c r="H1054">
        <f>SUMPRODUCT(Calc!$K$3:$K$22*(Calc!$G$3:$G$22&gt;B1054)*(Calc!$G$3:$G$22-B1054))</f>
        <v/>
      </c>
      <c r="I1054">
        <f>SUMPRODUCT(Calc!$K$3:$K$22*(Calc!$G$3:$G$22&gt;A1054)*(Calc!$G$3:$G$22-A1054)^2)</f>
        <v/>
      </c>
      <c r="J1054">
        <f>SUMPRODUCT(Calc!$K$3:$K$22*(Calc!$G$3:$G$22&gt;B1054)*(Calc!$G$3:$G$22-B1054)^2)</f>
        <v/>
      </c>
      <c r="K1054">
        <f>SUMPRODUCT(Calc!$K$3:$K$22*(Calc!$G$3:$G$22&gt;A1054)*(Calc!$G$3:$G$22-A1054)*(Calc!$G$3:$G$22&gt;B1054)*(Calc!$G$3:$G$22-B1054))</f>
        <v/>
      </c>
      <c r="L1054">
        <f>SUMPRODUCT(Calc!$K$3:$K$22*(Calc!$G$3:$G$22&gt;A1054)*(Calc!$G$3:$G$22-A1054)*Calc!$G$3:$G$22)</f>
        <v/>
      </c>
      <c r="M1054">
        <f>SUMPRODUCT(Calc!$K$3:$K$22*(Calc!$G$3:$G$22&gt;B1054)*(Calc!$G$3:$G$22-B1054)*Calc!$G$3:$G$22)</f>
        <v/>
      </c>
      <c r="N1054">
        <f>SUMPRODUCT(Calc!$K$3:$K$22*(Calc!$G$3:$G$22&gt;A1054)*(Calc!$G$3:$G$22-A1054)*Calc!$I$3:$I$22)</f>
        <v/>
      </c>
      <c r="O1054">
        <f>SUMPRODUCT(Calc!$K$3:$K$22*(Calc!$G$3:$G$22&gt;B1054)*(Calc!$G$3:$G$22-B1054)*Calc!$I$3:$I$22)</f>
        <v/>
      </c>
      <c r="P1054">
        <f>I1054-G1054^2/k_n</f>
        <v/>
      </c>
      <c r="Q1054">
        <f>J1054-H1054^2/k_n</f>
        <v/>
      </c>
      <c r="R1054">
        <f>K1054-G1054*H1054/k_n</f>
        <v/>
      </c>
      <c r="S1054">
        <f>L1054-LTP3!$D$3*G1054/k_n</f>
        <v/>
      </c>
      <c r="T1054">
        <f>M1054-LTP3!$D$3*H1054/k_n</f>
        <v/>
      </c>
      <c r="U1054">
        <f>N1054-G1054*LTP3!$D$4/k_n</f>
        <v/>
      </c>
      <c r="V1054">
        <f>O1054-H1054*LTP3!$D$4/k_n</f>
        <v/>
      </c>
      <c r="W1054">
        <f>((LTP3!$D$5)*((P1054)*(Q1054)-(R1054)*(R1054))-(S1054)*((S1054)*(Q1054)-(R1054)*(T1054))+(T1054)*((S1054)*(R1054)-(P1054)*(T1054)))</f>
        <v/>
      </c>
      <c r="X1054">
        <f>IF(ABS(W1054)&gt;1E-12,((LTP3!$D$6)*((P1054)*(Q1054)-(R1054)*(R1054))-(S1054)*((U1054)*(Q1054)-(R1054)*(V1054))+(T1054)*((U1054)*(R1054)-(P1054)*(V1054)))/W1054,0)</f>
        <v/>
      </c>
      <c r="Y1054">
        <f>IF(ABS(W1054)&gt;1E-12,((LTP3!$D$5)*((U1054)*(Q1054)-(R1054)*(V1054))-(LTP3!$D$6)*((S1054)*(Q1054)-(R1054)*(T1054))+(T1054)*((S1054)*(V1054)-(U1054)*(T1054)))/W1054,0)</f>
        <v/>
      </c>
      <c r="Z1054">
        <f>IF(ABS(W1054)&gt;1E-12,((LTP3!$D$5)*((P1054)*(V1054)-(U1054)*(R1054))-(S1054)*((S1054)*(V1054)-(U1054)*(T1054))+(LTP3!$D$6)*((S1054)*(R1054)-(P1054)*(T1054)))/W1054,0)</f>
        <v/>
      </c>
      <c r="AA1054">
        <f>LTP3!$D$7-X1054*LTP3!$D$6-Y1054*U1054-Z1054*V1054</f>
        <v/>
      </c>
      <c r="AB1054">
        <f>IF(AND(F1054,ABS(W1054)&gt;1E-12,Y1054&gt;0,Z1054&gt;0),AA1054,1E+300)</f>
        <v/>
      </c>
    </row>
    <row r="1055">
      <c r="A1055">
        <f>$B$3+$B$5*17</f>
        <v/>
      </c>
      <c r="B1055">
        <f>$B$3+$B$5*6</f>
        <v/>
      </c>
      <c r="C1055">
        <f>SUMPRODUCT(Calc!$K$3:$K$22*(Calc!$G$3:$G$22&lt;=A1055))</f>
        <v/>
      </c>
      <c r="D1055">
        <f>SUMPRODUCT(Calc!$K$3:$K$22*(Calc!$G$3:$G$22&gt;A1055)*(Calc!$G$3:$G$22&lt;B1055))</f>
        <v/>
      </c>
      <c r="E1055">
        <f>SUMPRODUCT(Calc!$K$3:$K$22*(Calc!$G$3:$G$22&gt;=B1055))</f>
        <v/>
      </c>
      <c r="F1055">
        <f>AND(k_n&gt;=5,B1055&gt;A1055+1E-9,C1055&gt;=2,D1055&gt;=1,E1055&gt;=2)</f>
        <v/>
      </c>
      <c r="G1055">
        <f>SUMPRODUCT(Calc!$K$3:$K$22*(Calc!$G$3:$G$22&gt;A1055)*(Calc!$G$3:$G$22-A1055))</f>
        <v/>
      </c>
      <c r="H1055">
        <f>SUMPRODUCT(Calc!$K$3:$K$22*(Calc!$G$3:$G$22&gt;B1055)*(Calc!$G$3:$G$22-B1055))</f>
        <v/>
      </c>
      <c r="I1055">
        <f>SUMPRODUCT(Calc!$K$3:$K$22*(Calc!$G$3:$G$22&gt;A1055)*(Calc!$G$3:$G$22-A1055)^2)</f>
        <v/>
      </c>
      <c r="J1055">
        <f>SUMPRODUCT(Calc!$K$3:$K$22*(Calc!$G$3:$G$22&gt;B1055)*(Calc!$G$3:$G$22-B1055)^2)</f>
        <v/>
      </c>
      <c r="K1055">
        <f>SUMPRODUCT(Calc!$K$3:$K$22*(Calc!$G$3:$G$22&gt;A1055)*(Calc!$G$3:$G$22-A1055)*(Calc!$G$3:$G$22&gt;B1055)*(Calc!$G$3:$G$22-B1055))</f>
        <v/>
      </c>
      <c r="L1055">
        <f>SUMPRODUCT(Calc!$K$3:$K$22*(Calc!$G$3:$G$22&gt;A1055)*(Calc!$G$3:$G$22-A1055)*Calc!$G$3:$G$22)</f>
        <v/>
      </c>
      <c r="M1055">
        <f>SUMPRODUCT(Calc!$K$3:$K$22*(Calc!$G$3:$G$22&gt;B1055)*(Calc!$G$3:$G$22-B1055)*Calc!$G$3:$G$22)</f>
        <v/>
      </c>
      <c r="N1055">
        <f>SUMPRODUCT(Calc!$K$3:$K$22*(Calc!$G$3:$G$22&gt;A1055)*(Calc!$G$3:$G$22-A1055)*Calc!$I$3:$I$22)</f>
        <v/>
      </c>
      <c r="O1055">
        <f>SUMPRODUCT(Calc!$K$3:$K$22*(Calc!$G$3:$G$22&gt;B1055)*(Calc!$G$3:$G$22-B1055)*Calc!$I$3:$I$22)</f>
        <v/>
      </c>
      <c r="P1055">
        <f>I1055-G1055^2/k_n</f>
        <v/>
      </c>
      <c r="Q1055">
        <f>J1055-H1055^2/k_n</f>
        <v/>
      </c>
      <c r="R1055">
        <f>K1055-G1055*H1055/k_n</f>
        <v/>
      </c>
      <c r="S1055">
        <f>L1055-LTP3!$D$3*G1055/k_n</f>
        <v/>
      </c>
      <c r="T1055">
        <f>M1055-LTP3!$D$3*H1055/k_n</f>
        <v/>
      </c>
      <c r="U1055">
        <f>N1055-G1055*LTP3!$D$4/k_n</f>
        <v/>
      </c>
      <c r="V1055">
        <f>O1055-H1055*LTP3!$D$4/k_n</f>
        <v/>
      </c>
      <c r="W1055">
        <f>((LTP3!$D$5)*((P1055)*(Q1055)-(R1055)*(R1055))-(S1055)*((S1055)*(Q1055)-(R1055)*(T1055))+(T1055)*((S1055)*(R1055)-(P1055)*(T1055)))</f>
        <v/>
      </c>
      <c r="X1055">
        <f>IF(ABS(W1055)&gt;1E-12,((LTP3!$D$6)*((P1055)*(Q1055)-(R1055)*(R1055))-(S1055)*((U1055)*(Q1055)-(R1055)*(V1055))+(T1055)*((U1055)*(R1055)-(P1055)*(V1055)))/W1055,0)</f>
        <v/>
      </c>
      <c r="Y1055">
        <f>IF(ABS(W1055)&gt;1E-12,((LTP3!$D$5)*((U1055)*(Q1055)-(R1055)*(V1055))-(LTP3!$D$6)*((S1055)*(Q1055)-(R1055)*(T1055))+(T1055)*((S1055)*(V1055)-(U1055)*(T1055)))/W1055,0)</f>
        <v/>
      </c>
      <c r="Z1055">
        <f>IF(ABS(W1055)&gt;1E-12,((LTP3!$D$5)*((P1055)*(V1055)-(U1055)*(R1055))-(S1055)*((S1055)*(V1055)-(U1055)*(T1055))+(LTP3!$D$6)*((S1055)*(R1055)-(P1055)*(T1055)))/W1055,0)</f>
        <v/>
      </c>
      <c r="AA1055">
        <f>LTP3!$D$7-X1055*LTP3!$D$6-Y1055*U1055-Z1055*V1055</f>
        <v/>
      </c>
      <c r="AB1055">
        <f>IF(AND(F1055,ABS(W1055)&gt;1E-12,Y1055&gt;0,Z1055&gt;0),AA1055,1E+300)</f>
        <v/>
      </c>
    </row>
    <row r="1056">
      <c r="A1056">
        <f>$B$3+$B$5*17</f>
        <v/>
      </c>
      <c r="B1056">
        <f>$B$3+$B$5*7</f>
        <v/>
      </c>
      <c r="C1056">
        <f>SUMPRODUCT(Calc!$K$3:$K$22*(Calc!$G$3:$G$22&lt;=A1056))</f>
        <v/>
      </c>
      <c r="D1056">
        <f>SUMPRODUCT(Calc!$K$3:$K$22*(Calc!$G$3:$G$22&gt;A1056)*(Calc!$G$3:$G$22&lt;B1056))</f>
        <v/>
      </c>
      <c r="E1056">
        <f>SUMPRODUCT(Calc!$K$3:$K$22*(Calc!$G$3:$G$22&gt;=B1056))</f>
        <v/>
      </c>
      <c r="F1056">
        <f>AND(k_n&gt;=5,B1056&gt;A1056+1E-9,C1056&gt;=2,D1056&gt;=1,E1056&gt;=2)</f>
        <v/>
      </c>
      <c r="G1056">
        <f>SUMPRODUCT(Calc!$K$3:$K$22*(Calc!$G$3:$G$22&gt;A1056)*(Calc!$G$3:$G$22-A1056))</f>
        <v/>
      </c>
      <c r="H1056">
        <f>SUMPRODUCT(Calc!$K$3:$K$22*(Calc!$G$3:$G$22&gt;B1056)*(Calc!$G$3:$G$22-B1056))</f>
        <v/>
      </c>
      <c r="I1056">
        <f>SUMPRODUCT(Calc!$K$3:$K$22*(Calc!$G$3:$G$22&gt;A1056)*(Calc!$G$3:$G$22-A1056)^2)</f>
        <v/>
      </c>
      <c r="J1056">
        <f>SUMPRODUCT(Calc!$K$3:$K$22*(Calc!$G$3:$G$22&gt;B1056)*(Calc!$G$3:$G$22-B1056)^2)</f>
        <v/>
      </c>
      <c r="K1056">
        <f>SUMPRODUCT(Calc!$K$3:$K$22*(Calc!$G$3:$G$22&gt;A1056)*(Calc!$G$3:$G$22-A1056)*(Calc!$G$3:$G$22&gt;B1056)*(Calc!$G$3:$G$22-B1056))</f>
        <v/>
      </c>
      <c r="L1056">
        <f>SUMPRODUCT(Calc!$K$3:$K$22*(Calc!$G$3:$G$22&gt;A1056)*(Calc!$G$3:$G$22-A1056)*Calc!$G$3:$G$22)</f>
        <v/>
      </c>
      <c r="M1056">
        <f>SUMPRODUCT(Calc!$K$3:$K$22*(Calc!$G$3:$G$22&gt;B1056)*(Calc!$G$3:$G$22-B1056)*Calc!$G$3:$G$22)</f>
        <v/>
      </c>
      <c r="N1056">
        <f>SUMPRODUCT(Calc!$K$3:$K$22*(Calc!$G$3:$G$22&gt;A1056)*(Calc!$G$3:$G$22-A1056)*Calc!$I$3:$I$22)</f>
        <v/>
      </c>
      <c r="O1056">
        <f>SUMPRODUCT(Calc!$K$3:$K$22*(Calc!$G$3:$G$22&gt;B1056)*(Calc!$G$3:$G$22-B1056)*Calc!$I$3:$I$22)</f>
        <v/>
      </c>
      <c r="P1056">
        <f>I1056-G1056^2/k_n</f>
        <v/>
      </c>
      <c r="Q1056">
        <f>J1056-H1056^2/k_n</f>
        <v/>
      </c>
      <c r="R1056">
        <f>K1056-G1056*H1056/k_n</f>
        <v/>
      </c>
      <c r="S1056">
        <f>L1056-LTP3!$D$3*G1056/k_n</f>
        <v/>
      </c>
      <c r="T1056">
        <f>M1056-LTP3!$D$3*H1056/k_n</f>
        <v/>
      </c>
      <c r="U1056">
        <f>N1056-G1056*LTP3!$D$4/k_n</f>
        <v/>
      </c>
      <c r="V1056">
        <f>O1056-H1056*LTP3!$D$4/k_n</f>
        <v/>
      </c>
      <c r="W1056">
        <f>((LTP3!$D$5)*((P1056)*(Q1056)-(R1056)*(R1056))-(S1056)*((S1056)*(Q1056)-(R1056)*(T1056))+(T1056)*((S1056)*(R1056)-(P1056)*(T1056)))</f>
        <v/>
      </c>
      <c r="X1056">
        <f>IF(ABS(W1056)&gt;1E-12,((LTP3!$D$6)*((P1056)*(Q1056)-(R1056)*(R1056))-(S1056)*((U1056)*(Q1056)-(R1056)*(V1056))+(T1056)*((U1056)*(R1056)-(P1056)*(V1056)))/W1056,0)</f>
        <v/>
      </c>
      <c r="Y1056">
        <f>IF(ABS(W1056)&gt;1E-12,((LTP3!$D$5)*((U1056)*(Q1056)-(R1056)*(V1056))-(LTP3!$D$6)*((S1056)*(Q1056)-(R1056)*(T1056))+(T1056)*((S1056)*(V1056)-(U1056)*(T1056)))/W1056,0)</f>
        <v/>
      </c>
      <c r="Z1056">
        <f>IF(ABS(W1056)&gt;1E-12,((LTP3!$D$5)*((P1056)*(V1056)-(U1056)*(R1056))-(S1056)*((S1056)*(V1056)-(U1056)*(T1056))+(LTP3!$D$6)*((S1056)*(R1056)-(P1056)*(T1056)))/W1056,0)</f>
        <v/>
      </c>
      <c r="AA1056">
        <f>LTP3!$D$7-X1056*LTP3!$D$6-Y1056*U1056-Z1056*V1056</f>
        <v/>
      </c>
      <c r="AB1056">
        <f>IF(AND(F1056,ABS(W1056)&gt;1E-12,Y1056&gt;0,Z1056&gt;0),AA1056,1E+300)</f>
        <v/>
      </c>
    </row>
    <row r="1057">
      <c r="A1057">
        <f>$B$3+$B$5*17</f>
        <v/>
      </c>
      <c r="B1057">
        <f>$B$3+$B$5*8</f>
        <v/>
      </c>
      <c r="C1057">
        <f>SUMPRODUCT(Calc!$K$3:$K$22*(Calc!$G$3:$G$22&lt;=A1057))</f>
        <v/>
      </c>
      <c r="D1057">
        <f>SUMPRODUCT(Calc!$K$3:$K$22*(Calc!$G$3:$G$22&gt;A1057)*(Calc!$G$3:$G$22&lt;B1057))</f>
        <v/>
      </c>
      <c r="E1057">
        <f>SUMPRODUCT(Calc!$K$3:$K$22*(Calc!$G$3:$G$22&gt;=B1057))</f>
        <v/>
      </c>
      <c r="F1057">
        <f>AND(k_n&gt;=5,B1057&gt;A1057+1E-9,C1057&gt;=2,D1057&gt;=1,E1057&gt;=2)</f>
        <v/>
      </c>
      <c r="G1057">
        <f>SUMPRODUCT(Calc!$K$3:$K$22*(Calc!$G$3:$G$22&gt;A1057)*(Calc!$G$3:$G$22-A1057))</f>
        <v/>
      </c>
      <c r="H1057">
        <f>SUMPRODUCT(Calc!$K$3:$K$22*(Calc!$G$3:$G$22&gt;B1057)*(Calc!$G$3:$G$22-B1057))</f>
        <v/>
      </c>
      <c r="I1057">
        <f>SUMPRODUCT(Calc!$K$3:$K$22*(Calc!$G$3:$G$22&gt;A1057)*(Calc!$G$3:$G$22-A1057)^2)</f>
        <v/>
      </c>
      <c r="J1057">
        <f>SUMPRODUCT(Calc!$K$3:$K$22*(Calc!$G$3:$G$22&gt;B1057)*(Calc!$G$3:$G$22-B1057)^2)</f>
        <v/>
      </c>
      <c r="K1057">
        <f>SUMPRODUCT(Calc!$K$3:$K$22*(Calc!$G$3:$G$22&gt;A1057)*(Calc!$G$3:$G$22-A1057)*(Calc!$G$3:$G$22&gt;B1057)*(Calc!$G$3:$G$22-B1057))</f>
        <v/>
      </c>
      <c r="L1057">
        <f>SUMPRODUCT(Calc!$K$3:$K$22*(Calc!$G$3:$G$22&gt;A1057)*(Calc!$G$3:$G$22-A1057)*Calc!$G$3:$G$22)</f>
        <v/>
      </c>
      <c r="M1057">
        <f>SUMPRODUCT(Calc!$K$3:$K$22*(Calc!$G$3:$G$22&gt;B1057)*(Calc!$G$3:$G$22-B1057)*Calc!$G$3:$G$22)</f>
        <v/>
      </c>
      <c r="N1057">
        <f>SUMPRODUCT(Calc!$K$3:$K$22*(Calc!$G$3:$G$22&gt;A1057)*(Calc!$G$3:$G$22-A1057)*Calc!$I$3:$I$22)</f>
        <v/>
      </c>
      <c r="O1057">
        <f>SUMPRODUCT(Calc!$K$3:$K$22*(Calc!$G$3:$G$22&gt;B1057)*(Calc!$G$3:$G$22-B1057)*Calc!$I$3:$I$22)</f>
        <v/>
      </c>
      <c r="P1057">
        <f>I1057-G1057^2/k_n</f>
        <v/>
      </c>
      <c r="Q1057">
        <f>J1057-H1057^2/k_n</f>
        <v/>
      </c>
      <c r="R1057">
        <f>K1057-G1057*H1057/k_n</f>
        <v/>
      </c>
      <c r="S1057">
        <f>L1057-LTP3!$D$3*G1057/k_n</f>
        <v/>
      </c>
      <c r="T1057">
        <f>M1057-LTP3!$D$3*H1057/k_n</f>
        <v/>
      </c>
      <c r="U1057">
        <f>N1057-G1057*LTP3!$D$4/k_n</f>
        <v/>
      </c>
      <c r="V1057">
        <f>O1057-H1057*LTP3!$D$4/k_n</f>
        <v/>
      </c>
      <c r="W1057">
        <f>((LTP3!$D$5)*((P1057)*(Q1057)-(R1057)*(R1057))-(S1057)*((S1057)*(Q1057)-(R1057)*(T1057))+(T1057)*((S1057)*(R1057)-(P1057)*(T1057)))</f>
        <v/>
      </c>
      <c r="X1057">
        <f>IF(ABS(W1057)&gt;1E-12,((LTP3!$D$6)*((P1057)*(Q1057)-(R1057)*(R1057))-(S1057)*((U1057)*(Q1057)-(R1057)*(V1057))+(T1057)*((U1057)*(R1057)-(P1057)*(V1057)))/W1057,0)</f>
        <v/>
      </c>
      <c r="Y1057">
        <f>IF(ABS(W1057)&gt;1E-12,((LTP3!$D$5)*((U1057)*(Q1057)-(R1057)*(V1057))-(LTP3!$D$6)*((S1057)*(Q1057)-(R1057)*(T1057))+(T1057)*((S1057)*(V1057)-(U1057)*(T1057)))/W1057,0)</f>
        <v/>
      </c>
      <c r="Z1057">
        <f>IF(ABS(W1057)&gt;1E-12,((LTP3!$D$5)*((P1057)*(V1057)-(U1057)*(R1057))-(S1057)*((S1057)*(V1057)-(U1057)*(T1057))+(LTP3!$D$6)*((S1057)*(R1057)-(P1057)*(T1057)))/W1057,0)</f>
        <v/>
      </c>
      <c r="AA1057">
        <f>LTP3!$D$7-X1057*LTP3!$D$6-Y1057*U1057-Z1057*V1057</f>
        <v/>
      </c>
      <c r="AB1057">
        <f>IF(AND(F1057,ABS(W1057)&gt;1E-12,Y1057&gt;0,Z1057&gt;0),AA1057,1E+300)</f>
        <v/>
      </c>
    </row>
    <row r="1058">
      <c r="A1058">
        <f>$B$3+$B$5*17</f>
        <v/>
      </c>
      <c r="B1058">
        <f>$B$3+$B$5*9</f>
        <v/>
      </c>
      <c r="C1058">
        <f>SUMPRODUCT(Calc!$K$3:$K$22*(Calc!$G$3:$G$22&lt;=A1058))</f>
        <v/>
      </c>
      <c r="D1058">
        <f>SUMPRODUCT(Calc!$K$3:$K$22*(Calc!$G$3:$G$22&gt;A1058)*(Calc!$G$3:$G$22&lt;B1058))</f>
        <v/>
      </c>
      <c r="E1058">
        <f>SUMPRODUCT(Calc!$K$3:$K$22*(Calc!$G$3:$G$22&gt;=B1058))</f>
        <v/>
      </c>
      <c r="F1058">
        <f>AND(k_n&gt;=5,B1058&gt;A1058+1E-9,C1058&gt;=2,D1058&gt;=1,E1058&gt;=2)</f>
        <v/>
      </c>
      <c r="G1058">
        <f>SUMPRODUCT(Calc!$K$3:$K$22*(Calc!$G$3:$G$22&gt;A1058)*(Calc!$G$3:$G$22-A1058))</f>
        <v/>
      </c>
      <c r="H1058">
        <f>SUMPRODUCT(Calc!$K$3:$K$22*(Calc!$G$3:$G$22&gt;B1058)*(Calc!$G$3:$G$22-B1058))</f>
        <v/>
      </c>
      <c r="I1058">
        <f>SUMPRODUCT(Calc!$K$3:$K$22*(Calc!$G$3:$G$22&gt;A1058)*(Calc!$G$3:$G$22-A1058)^2)</f>
        <v/>
      </c>
      <c r="J1058">
        <f>SUMPRODUCT(Calc!$K$3:$K$22*(Calc!$G$3:$G$22&gt;B1058)*(Calc!$G$3:$G$22-B1058)^2)</f>
        <v/>
      </c>
      <c r="K1058">
        <f>SUMPRODUCT(Calc!$K$3:$K$22*(Calc!$G$3:$G$22&gt;A1058)*(Calc!$G$3:$G$22-A1058)*(Calc!$G$3:$G$22&gt;B1058)*(Calc!$G$3:$G$22-B1058))</f>
        <v/>
      </c>
      <c r="L1058">
        <f>SUMPRODUCT(Calc!$K$3:$K$22*(Calc!$G$3:$G$22&gt;A1058)*(Calc!$G$3:$G$22-A1058)*Calc!$G$3:$G$22)</f>
        <v/>
      </c>
      <c r="M1058">
        <f>SUMPRODUCT(Calc!$K$3:$K$22*(Calc!$G$3:$G$22&gt;B1058)*(Calc!$G$3:$G$22-B1058)*Calc!$G$3:$G$22)</f>
        <v/>
      </c>
      <c r="N1058">
        <f>SUMPRODUCT(Calc!$K$3:$K$22*(Calc!$G$3:$G$22&gt;A1058)*(Calc!$G$3:$G$22-A1058)*Calc!$I$3:$I$22)</f>
        <v/>
      </c>
      <c r="O1058">
        <f>SUMPRODUCT(Calc!$K$3:$K$22*(Calc!$G$3:$G$22&gt;B1058)*(Calc!$G$3:$G$22-B1058)*Calc!$I$3:$I$22)</f>
        <v/>
      </c>
      <c r="P1058">
        <f>I1058-G1058^2/k_n</f>
        <v/>
      </c>
      <c r="Q1058">
        <f>J1058-H1058^2/k_n</f>
        <v/>
      </c>
      <c r="R1058">
        <f>K1058-G1058*H1058/k_n</f>
        <v/>
      </c>
      <c r="S1058">
        <f>L1058-LTP3!$D$3*G1058/k_n</f>
        <v/>
      </c>
      <c r="T1058">
        <f>M1058-LTP3!$D$3*H1058/k_n</f>
        <v/>
      </c>
      <c r="U1058">
        <f>N1058-G1058*LTP3!$D$4/k_n</f>
        <v/>
      </c>
      <c r="V1058">
        <f>O1058-H1058*LTP3!$D$4/k_n</f>
        <v/>
      </c>
      <c r="W1058">
        <f>((LTP3!$D$5)*((P1058)*(Q1058)-(R1058)*(R1058))-(S1058)*((S1058)*(Q1058)-(R1058)*(T1058))+(T1058)*((S1058)*(R1058)-(P1058)*(T1058)))</f>
        <v/>
      </c>
      <c r="X1058">
        <f>IF(ABS(W1058)&gt;1E-12,((LTP3!$D$6)*((P1058)*(Q1058)-(R1058)*(R1058))-(S1058)*((U1058)*(Q1058)-(R1058)*(V1058))+(T1058)*((U1058)*(R1058)-(P1058)*(V1058)))/W1058,0)</f>
        <v/>
      </c>
      <c r="Y1058">
        <f>IF(ABS(W1058)&gt;1E-12,((LTP3!$D$5)*((U1058)*(Q1058)-(R1058)*(V1058))-(LTP3!$D$6)*((S1058)*(Q1058)-(R1058)*(T1058))+(T1058)*((S1058)*(V1058)-(U1058)*(T1058)))/W1058,0)</f>
        <v/>
      </c>
      <c r="Z1058">
        <f>IF(ABS(W1058)&gt;1E-12,((LTP3!$D$5)*((P1058)*(V1058)-(U1058)*(R1058))-(S1058)*((S1058)*(V1058)-(U1058)*(T1058))+(LTP3!$D$6)*((S1058)*(R1058)-(P1058)*(T1058)))/W1058,0)</f>
        <v/>
      </c>
      <c r="AA1058">
        <f>LTP3!$D$7-X1058*LTP3!$D$6-Y1058*U1058-Z1058*V1058</f>
        <v/>
      </c>
      <c r="AB1058">
        <f>IF(AND(F1058,ABS(W1058)&gt;1E-12,Y1058&gt;0,Z1058&gt;0),AA1058,1E+300)</f>
        <v/>
      </c>
    </row>
    <row r="1059">
      <c r="A1059">
        <f>$B$3+$B$5*17</f>
        <v/>
      </c>
      <c r="B1059">
        <f>$B$3+$B$5*10</f>
        <v/>
      </c>
      <c r="C1059">
        <f>SUMPRODUCT(Calc!$K$3:$K$22*(Calc!$G$3:$G$22&lt;=A1059))</f>
        <v/>
      </c>
      <c r="D1059">
        <f>SUMPRODUCT(Calc!$K$3:$K$22*(Calc!$G$3:$G$22&gt;A1059)*(Calc!$G$3:$G$22&lt;B1059))</f>
        <v/>
      </c>
      <c r="E1059">
        <f>SUMPRODUCT(Calc!$K$3:$K$22*(Calc!$G$3:$G$22&gt;=B1059))</f>
        <v/>
      </c>
      <c r="F1059">
        <f>AND(k_n&gt;=5,B1059&gt;A1059+1E-9,C1059&gt;=2,D1059&gt;=1,E1059&gt;=2)</f>
        <v/>
      </c>
      <c r="G1059">
        <f>SUMPRODUCT(Calc!$K$3:$K$22*(Calc!$G$3:$G$22&gt;A1059)*(Calc!$G$3:$G$22-A1059))</f>
        <v/>
      </c>
      <c r="H1059">
        <f>SUMPRODUCT(Calc!$K$3:$K$22*(Calc!$G$3:$G$22&gt;B1059)*(Calc!$G$3:$G$22-B1059))</f>
        <v/>
      </c>
      <c r="I1059">
        <f>SUMPRODUCT(Calc!$K$3:$K$22*(Calc!$G$3:$G$22&gt;A1059)*(Calc!$G$3:$G$22-A1059)^2)</f>
        <v/>
      </c>
      <c r="J1059">
        <f>SUMPRODUCT(Calc!$K$3:$K$22*(Calc!$G$3:$G$22&gt;B1059)*(Calc!$G$3:$G$22-B1059)^2)</f>
        <v/>
      </c>
      <c r="K1059">
        <f>SUMPRODUCT(Calc!$K$3:$K$22*(Calc!$G$3:$G$22&gt;A1059)*(Calc!$G$3:$G$22-A1059)*(Calc!$G$3:$G$22&gt;B1059)*(Calc!$G$3:$G$22-B1059))</f>
        <v/>
      </c>
      <c r="L1059">
        <f>SUMPRODUCT(Calc!$K$3:$K$22*(Calc!$G$3:$G$22&gt;A1059)*(Calc!$G$3:$G$22-A1059)*Calc!$G$3:$G$22)</f>
        <v/>
      </c>
      <c r="M1059">
        <f>SUMPRODUCT(Calc!$K$3:$K$22*(Calc!$G$3:$G$22&gt;B1059)*(Calc!$G$3:$G$22-B1059)*Calc!$G$3:$G$22)</f>
        <v/>
      </c>
      <c r="N1059">
        <f>SUMPRODUCT(Calc!$K$3:$K$22*(Calc!$G$3:$G$22&gt;A1059)*(Calc!$G$3:$G$22-A1059)*Calc!$I$3:$I$22)</f>
        <v/>
      </c>
      <c r="O1059">
        <f>SUMPRODUCT(Calc!$K$3:$K$22*(Calc!$G$3:$G$22&gt;B1059)*(Calc!$G$3:$G$22-B1059)*Calc!$I$3:$I$22)</f>
        <v/>
      </c>
      <c r="P1059">
        <f>I1059-G1059^2/k_n</f>
        <v/>
      </c>
      <c r="Q1059">
        <f>J1059-H1059^2/k_n</f>
        <v/>
      </c>
      <c r="R1059">
        <f>K1059-G1059*H1059/k_n</f>
        <v/>
      </c>
      <c r="S1059">
        <f>L1059-LTP3!$D$3*G1059/k_n</f>
        <v/>
      </c>
      <c r="T1059">
        <f>M1059-LTP3!$D$3*H1059/k_n</f>
        <v/>
      </c>
      <c r="U1059">
        <f>N1059-G1059*LTP3!$D$4/k_n</f>
        <v/>
      </c>
      <c r="V1059">
        <f>O1059-H1059*LTP3!$D$4/k_n</f>
        <v/>
      </c>
      <c r="W1059">
        <f>((LTP3!$D$5)*((P1059)*(Q1059)-(R1059)*(R1059))-(S1059)*((S1059)*(Q1059)-(R1059)*(T1059))+(T1059)*((S1059)*(R1059)-(P1059)*(T1059)))</f>
        <v/>
      </c>
      <c r="X1059">
        <f>IF(ABS(W1059)&gt;1E-12,((LTP3!$D$6)*((P1059)*(Q1059)-(R1059)*(R1059))-(S1059)*((U1059)*(Q1059)-(R1059)*(V1059))+(T1059)*((U1059)*(R1059)-(P1059)*(V1059)))/W1059,0)</f>
        <v/>
      </c>
      <c r="Y1059">
        <f>IF(ABS(W1059)&gt;1E-12,((LTP3!$D$5)*((U1059)*(Q1059)-(R1059)*(V1059))-(LTP3!$D$6)*((S1059)*(Q1059)-(R1059)*(T1059))+(T1059)*((S1059)*(V1059)-(U1059)*(T1059)))/W1059,0)</f>
        <v/>
      </c>
      <c r="Z1059">
        <f>IF(ABS(W1059)&gt;1E-12,((LTP3!$D$5)*((P1059)*(V1059)-(U1059)*(R1059))-(S1059)*((S1059)*(V1059)-(U1059)*(T1059))+(LTP3!$D$6)*((S1059)*(R1059)-(P1059)*(T1059)))/W1059,0)</f>
        <v/>
      </c>
      <c r="AA1059">
        <f>LTP3!$D$7-X1059*LTP3!$D$6-Y1059*U1059-Z1059*V1059</f>
        <v/>
      </c>
      <c r="AB1059">
        <f>IF(AND(F1059,ABS(W1059)&gt;1E-12,Y1059&gt;0,Z1059&gt;0),AA1059,1E+300)</f>
        <v/>
      </c>
    </row>
    <row r="1060">
      <c r="A1060">
        <f>$B$3+$B$5*17</f>
        <v/>
      </c>
      <c r="B1060">
        <f>$B$3+$B$5*11</f>
        <v/>
      </c>
      <c r="C1060">
        <f>SUMPRODUCT(Calc!$K$3:$K$22*(Calc!$G$3:$G$22&lt;=A1060))</f>
        <v/>
      </c>
      <c r="D1060">
        <f>SUMPRODUCT(Calc!$K$3:$K$22*(Calc!$G$3:$G$22&gt;A1060)*(Calc!$G$3:$G$22&lt;B1060))</f>
        <v/>
      </c>
      <c r="E1060">
        <f>SUMPRODUCT(Calc!$K$3:$K$22*(Calc!$G$3:$G$22&gt;=B1060))</f>
        <v/>
      </c>
      <c r="F1060">
        <f>AND(k_n&gt;=5,B1060&gt;A1060+1E-9,C1060&gt;=2,D1060&gt;=1,E1060&gt;=2)</f>
        <v/>
      </c>
      <c r="G1060">
        <f>SUMPRODUCT(Calc!$K$3:$K$22*(Calc!$G$3:$G$22&gt;A1060)*(Calc!$G$3:$G$22-A1060))</f>
        <v/>
      </c>
      <c r="H1060">
        <f>SUMPRODUCT(Calc!$K$3:$K$22*(Calc!$G$3:$G$22&gt;B1060)*(Calc!$G$3:$G$22-B1060))</f>
        <v/>
      </c>
      <c r="I1060">
        <f>SUMPRODUCT(Calc!$K$3:$K$22*(Calc!$G$3:$G$22&gt;A1060)*(Calc!$G$3:$G$22-A1060)^2)</f>
        <v/>
      </c>
      <c r="J1060">
        <f>SUMPRODUCT(Calc!$K$3:$K$22*(Calc!$G$3:$G$22&gt;B1060)*(Calc!$G$3:$G$22-B1060)^2)</f>
        <v/>
      </c>
      <c r="K1060">
        <f>SUMPRODUCT(Calc!$K$3:$K$22*(Calc!$G$3:$G$22&gt;A1060)*(Calc!$G$3:$G$22-A1060)*(Calc!$G$3:$G$22&gt;B1060)*(Calc!$G$3:$G$22-B1060))</f>
        <v/>
      </c>
      <c r="L1060">
        <f>SUMPRODUCT(Calc!$K$3:$K$22*(Calc!$G$3:$G$22&gt;A1060)*(Calc!$G$3:$G$22-A1060)*Calc!$G$3:$G$22)</f>
        <v/>
      </c>
      <c r="M1060">
        <f>SUMPRODUCT(Calc!$K$3:$K$22*(Calc!$G$3:$G$22&gt;B1060)*(Calc!$G$3:$G$22-B1060)*Calc!$G$3:$G$22)</f>
        <v/>
      </c>
      <c r="N1060">
        <f>SUMPRODUCT(Calc!$K$3:$K$22*(Calc!$G$3:$G$22&gt;A1060)*(Calc!$G$3:$G$22-A1060)*Calc!$I$3:$I$22)</f>
        <v/>
      </c>
      <c r="O1060">
        <f>SUMPRODUCT(Calc!$K$3:$K$22*(Calc!$G$3:$G$22&gt;B1060)*(Calc!$G$3:$G$22-B1060)*Calc!$I$3:$I$22)</f>
        <v/>
      </c>
      <c r="P1060">
        <f>I1060-G1060^2/k_n</f>
        <v/>
      </c>
      <c r="Q1060">
        <f>J1060-H1060^2/k_n</f>
        <v/>
      </c>
      <c r="R1060">
        <f>K1060-G1060*H1060/k_n</f>
        <v/>
      </c>
      <c r="S1060">
        <f>L1060-LTP3!$D$3*G1060/k_n</f>
        <v/>
      </c>
      <c r="T1060">
        <f>M1060-LTP3!$D$3*H1060/k_n</f>
        <v/>
      </c>
      <c r="U1060">
        <f>N1060-G1060*LTP3!$D$4/k_n</f>
        <v/>
      </c>
      <c r="V1060">
        <f>O1060-H1060*LTP3!$D$4/k_n</f>
        <v/>
      </c>
      <c r="W1060">
        <f>((LTP3!$D$5)*((P1060)*(Q1060)-(R1060)*(R1060))-(S1060)*((S1060)*(Q1060)-(R1060)*(T1060))+(T1060)*((S1060)*(R1060)-(P1060)*(T1060)))</f>
        <v/>
      </c>
      <c r="X1060">
        <f>IF(ABS(W1060)&gt;1E-12,((LTP3!$D$6)*((P1060)*(Q1060)-(R1060)*(R1060))-(S1060)*((U1060)*(Q1060)-(R1060)*(V1060))+(T1060)*((U1060)*(R1060)-(P1060)*(V1060)))/W1060,0)</f>
        <v/>
      </c>
      <c r="Y1060">
        <f>IF(ABS(W1060)&gt;1E-12,((LTP3!$D$5)*((U1060)*(Q1060)-(R1060)*(V1060))-(LTP3!$D$6)*((S1060)*(Q1060)-(R1060)*(T1060))+(T1060)*((S1060)*(V1060)-(U1060)*(T1060)))/W1060,0)</f>
        <v/>
      </c>
      <c r="Z1060">
        <f>IF(ABS(W1060)&gt;1E-12,((LTP3!$D$5)*((P1060)*(V1060)-(U1060)*(R1060))-(S1060)*((S1060)*(V1060)-(U1060)*(T1060))+(LTP3!$D$6)*((S1060)*(R1060)-(P1060)*(T1060)))/W1060,0)</f>
        <v/>
      </c>
      <c r="AA1060">
        <f>LTP3!$D$7-X1060*LTP3!$D$6-Y1060*U1060-Z1060*V1060</f>
        <v/>
      </c>
      <c r="AB1060">
        <f>IF(AND(F1060,ABS(W1060)&gt;1E-12,Y1060&gt;0,Z1060&gt;0),AA1060,1E+300)</f>
        <v/>
      </c>
    </row>
    <row r="1061">
      <c r="A1061">
        <f>$B$3+$B$5*17</f>
        <v/>
      </c>
      <c r="B1061">
        <f>$B$3+$B$5*12</f>
        <v/>
      </c>
      <c r="C1061">
        <f>SUMPRODUCT(Calc!$K$3:$K$22*(Calc!$G$3:$G$22&lt;=A1061))</f>
        <v/>
      </c>
      <c r="D1061">
        <f>SUMPRODUCT(Calc!$K$3:$K$22*(Calc!$G$3:$G$22&gt;A1061)*(Calc!$G$3:$G$22&lt;B1061))</f>
        <v/>
      </c>
      <c r="E1061">
        <f>SUMPRODUCT(Calc!$K$3:$K$22*(Calc!$G$3:$G$22&gt;=B1061))</f>
        <v/>
      </c>
      <c r="F1061">
        <f>AND(k_n&gt;=5,B1061&gt;A1061+1E-9,C1061&gt;=2,D1061&gt;=1,E1061&gt;=2)</f>
        <v/>
      </c>
      <c r="G1061">
        <f>SUMPRODUCT(Calc!$K$3:$K$22*(Calc!$G$3:$G$22&gt;A1061)*(Calc!$G$3:$G$22-A1061))</f>
        <v/>
      </c>
      <c r="H1061">
        <f>SUMPRODUCT(Calc!$K$3:$K$22*(Calc!$G$3:$G$22&gt;B1061)*(Calc!$G$3:$G$22-B1061))</f>
        <v/>
      </c>
      <c r="I1061">
        <f>SUMPRODUCT(Calc!$K$3:$K$22*(Calc!$G$3:$G$22&gt;A1061)*(Calc!$G$3:$G$22-A1061)^2)</f>
        <v/>
      </c>
      <c r="J1061">
        <f>SUMPRODUCT(Calc!$K$3:$K$22*(Calc!$G$3:$G$22&gt;B1061)*(Calc!$G$3:$G$22-B1061)^2)</f>
        <v/>
      </c>
      <c r="K1061">
        <f>SUMPRODUCT(Calc!$K$3:$K$22*(Calc!$G$3:$G$22&gt;A1061)*(Calc!$G$3:$G$22-A1061)*(Calc!$G$3:$G$22&gt;B1061)*(Calc!$G$3:$G$22-B1061))</f>
        <v/>
      </c>
      <c r="L1061">
        <f>SUMPRODUCT(Calc!$K$3:$K$22*(Calc!$G$3:$G$22&gt;A1061)*(Calc!$G$3:$G$22-A1061)*Calc!$G$3:$G$22)</f>
        <v/>
      </c>
      <c r="M1061">
        <f>SUMPRODUCT(Calc!$K$3:$K$22*(Calc!$G$3:$G$22&gt;B1061)*(Calc!$G$3:$G$22-B1061)*Calc!$G$3:$G$22)</f>
        <v/>
      </c>
      <c r="N1061">
        <f>SUMPRODUCT(Calc!$K$3:$K$22*(Calc!$G$3:$G$22&gt;A1061)*(Calc!$G$3:$G$22-A1061)*Calc!$I$3:$I$22)</f>
        <v/>
      </c>
      <c r="O1061">
        <f>SUMPRODUCT(Calc!$K$3:$K$22*(Calc!$G$3:$G$22&gt;B1061)*(Calc!$G$3:$G$22-B1061)*Calc!$I$3:$I$22)</f>
        <v/>
      </c>
      <c r="P1061">
        <f>I1061-G1061^2/k_n</f>
        <v/>
      </c>
      <c r="Q1061">
        <f>J1061-H1061^2/k_n</f>
        <v/>
      </c>
      <c r="R1061">
        <f>K1061-G1061*H1061/k_n</f>
        <v/>
      </c>
      <c r="S1061">
        <f>L1061-LTP3!$D$3*G1061/k_n</f>
        <v/>
      </c>
      <c r="T1061">
        <f>M1061-LTP3!$D$3*H1061/k_n</f>
        <v/>
      </c>
      <c r="U1061">
        <f>N1061-G1061*LTP3!$D$4/k_n</f>
        <v/>
      </c>
      <c r="V1061">
        <f>O1061-H1061*LTP3!$D$4/k_n</f>
        <v/>
      </c>
      <c r="W1061">
        <f>((LTP3!$D$5)*((P1061)*(Q1061)-(R1061)*(R1061))-(S1061)*((S1061)*(Q1061)-(R1061)*(T1061))+(T1061)*((S1061)*(R1061)-(P1061)*(T1061)))</f>
        <v/>
      </c>
      <c r="X1061">
        <f>IF(ABS(W1061)&gt;1E-12,((LTP3!$D$6)*((P1061)*(Q1061)-(R1061)*(R1061))-(S1061)*((U1061)*(Q1061)-(R1061)*(V1061))+(T1061)*((U1061)*(R1061)-(P1061)*(V1061)))/W1061,0)</f>
        <v/>
      </c>
      <c r="Y1061">
        <f>IF(ABS(W1061)&gt;1E-12,((LTP3!$D$5)*((U1061)*(Q1061)-(R1061)*(V1061))-(LTP3!$D$6)*((S1061)*(Q1061)-(R1061)*(T1061))+(T1061)*((S1061)*(V1061)-(U1061)*(T1061)))/W1061,0)</f>
        <v/>
      </c>
      <c r="Z1061">
        <f>IF(ABS(W1061)&gt;1E-12,((LTP3!$D$5)*((P1061)*(V1061)-(U1061)*(R1061))-(S1061)*((S1061)*(V1061)-(U1061)*(T1061))+(LTP3!$D$6)*((S1061)*(R1061)-(P1061)*(T1061)))/W1061,0)</f>
        <v/>
      </c>
      <c r="AA1061">
        <f>LTP3!$D$7-X1061*LTP3!$D$6-Y1061*U1061-Z1061*V1061</f>
        <v/>
      </c>
      <c r="AB1061">
        <f>IF(AND(F1061,ABS(W1061)&gt;1E-12,Y1061&gt;0,Z1061&gt;0),AA1061,1E+300)</f>
        <v/>
      </c>
    </row>
    <row r="1062">
      <c r="A1062">
        <f>$B$3+$B$5*17</f>
        <v/>
      </c>
      <c r="B1062">
        <f>$B$3+$B$5*13</f>
        <v/>
      </c>
      <c r="C1062">
        <f>SUMPRODUCT(Calc!$K$3:$K$22*(Calc!$G$3:$G$22&lt;=A1062))</f>
        <v/>
      </c>
      <c r="D1062">
        <f>SUMPRODUCT(Calc!$K$3:$K$22*(Calc!$G$3:$G$22&gt;A1062)*(Calc!$G$3:$G$22&lt;B1062))</f>
        <v/>
      </c>
      <c r="E1062">
        <f>SUMPRODUCT(Calc!$K$3:$K$22*(Calc!$G$3:$G$22&gt;=B1062))</f>
        <v/>
      </c>
      <c r="F1062">
        <f>AND(k_n&gt;=5,B1062&gt;A1062+1E-9,C1062&gt;=2,D1062&gt;=1,E1062&gt;=2)</f>
        <v/>
      </c>
      <c r="G1062">
        <f>SUMPRODUCT(Calc!$K$3:$K$22*(Calc!$G$3:$G$22&gt;A1062)*(Calc!$G$3:$G$22-A1062))</f>
        <v/>
      </c>
      <c r="H1062">
        <f>SUMPRODUCT(Calc!$K$3:$K$22*(Calc!$G$3:$G$22&gt;B1062)*(Calc!$G$3:$G$22-B1062))</f>
        <v/>
      </c>
      <c r="I1062">
        <f>SUMPRODUCT(Calc!$K$3:$K$22*(Calc!$G$3:$G$22&gt;A1062)*(Calc!$G$3:$G$22-A1062)^2)</f>
        <v/>
      </c>
      <c r="J1062">
        <f>SUMPRODUCT(Calc!$K$3:$K$22*(Calc!$G$3:$G$22&gt;B1062)*(Calc!$G$3:$G$22-B1062)^2)</f>
        <v/>
      </c>
      <c r="K1062">
        <f>SUMPRODUCT(Calc!$K$3:$K$22*(Calc!$G$3:$G$22&gt;A1062)*(Calc!$G$3:$G$22-A1062)*(Calc!$G$3:$G$22&gt;B1062)*(Calc!$G$3:$G$22-B1062))</f>
        <v/>
      </c>
      <c r="L1062">
        <f>SUMPRODUCT(Calc!$K$3:$K$22*(Calc!$G$3:$G$22&gt;A1062)*(Calc!$G$3:$G$22-A1062)*Calc!$G$3:$G$22)</f>
        <v/>
      </c>
      <c r="M1062">
        <f>SUMPRODUCT(Calc!$K$3:$K$22*(Calc!$G$3:$G$22&gt;B1062)*(Calc!$G$3:$G$22-B1062)*Calc!$G$3:$G$22)</f>
        <v/>
      </c>
      <c r="N1062">
        <f>SUMPRODUCT(Calc!$K$3:$K$22*(Calc!$G$3:$G$22&gt;A1062)*(Calc!$G$3:$G$22-A1062)*Calc!$I$3:$I$22)</f>
        <v/>
      </c>
      <c r="O1062">
        <f>SUMPRODUCT(Calc!$K$3:$K$22*(Calc!$G$3:$G$22&gt;B1062)*(Calc!$G$3:$G$22-B1062)*Calc!$I$3:$I$22)</f>
        <v/>
      </c>
      <c r="P1062">
        <f>I1062-G1062^2/k_n</f>
        <v/>
      </c>
      <c r="Q1062">
        <f>J1062-H1062^2/k_n</f>
        <v/>
      </c>
      <c r="R1062">
        <f>K1062-G1062*H1062/k_n</f>
        <v/>
      </c>
      <c r="S1062">
        <f>L1062-LTP3!$D$3*G1062/k_n</f>
        <v/>
      </c>
      <c r="T1062">
        <f>M1062-LTP3!$D$3*H1062/k_n</f>
        <v/>
      </c>
      <c r="U1062">
        <f>N1062-G1062*LTP3!$D$4/k_n</f>
        <v/>
      </c>
      <c r="V1062">
        <f>O1062-H1062*LTP3!$D$4/k_n</f>
        <v/>
      </c>
      <c r="W1062">
        <f>((LTP3!$D$5)*((P1062)*(Q1062)-(R1062)*(R1062))-(S1062)*((S1062)*(Q1062)-(R1062)*(T1062))+(T1062)*((S1062)*(R1062)-(P1062)*(T1062)))</f>
        <v/>
      </c>
      <c r="X1062">
        <f>IF(ABS(W1062)&gt;1E-12,((LTP3!$D$6)*((P1062)*(Q1062)-(R1062)*(R1062))-(S1062)*((U1062)*(Q1062)-(R1062)*(V1062))+(T1062)*((U1062)*(R1062)-(P1062)*(V1062)))/W1062,0)</f>
        <v/>
      </c>
      <c r="Y1062">
        <f>IF(ABS(W1062)&gt;1E-12,((LTP3!$D$5)*((U1062)*(Q1062)-(R1062)*(V1062))-(LTP3!$D$6)*((S1062)*(Q1062)-(R1062)*(T1062))+(T1062)*((S1062)*(V1062)-(U1062)*(T1062)))/W1062,0)</f>
        <v/>
      </c>
      <c r="Z1062">
        <f>IF(ABS(W1062)&gt;1E-12,((LTP3!$D$5)*((P1062)*(V1062)-(U1062)*(R1062))-(S1062)*((S1062)*(V1062)-(U1062)*(T1062))+(LTP3!$D$6)*((S1062)*(R1062)-(P1062)*(T1062)))/W1062,0)</f>
        <v/>
      </c>
      <c r="AA1062">
        <f>LTP3!$D$7-X1062*LTP3!$D$6-Y1062*U1062-Z1062*V1062</f>
        <v/>
      </c>
      <c r="AB1062">
        <f>IF(AND(F1062,ABS(W1062)&gt;1E-12,Y1062&gt;0,Z1062&gt;0),AA1062,1E+300)</f>
        <v/>
      </c>
    </row>
    <row r="1063">
      <c r="A1063">
        <f>$B$3+$B$5*17</f>
        <v/>
      </c>
      <c r="B1063">
        <f>$B$3+$B$5*14</f>
        <v/>
      </c>
      <c r="C1063">
        <f>SUMPRODUCT(Calc!$K$3:$K$22*(Calc!$G$3:$G$22&lt;=A1063))</f>
        <v/>
      </c>
      <c r="D1063">
        <f>SUMPRODUCT(Calc!$K$3:$K$22*(Calc!$G$3:$G$22&gt;A1063)*(Calc!$G$3:$G$22&lt;B1063))</f>
        <v/>
      </c>
      <c r="E1063">
        <f>SUMPRODUCT(Calc!$K$3:$K$22*(Calc!$G$3:$G$22&gt;=B1063))</f>
        <v/>
      </c>
      <c r="F1063">
        <f>AND(k_n&gt;=5,B1063&gt;A1063+1E-9,C1063&gt;=2,D1063&gt;=1,E1063&gt;=2)</f>
        <v/>
      </c>
      <c r="G1063">
        <f>SUMPRODUCT(Calc!$K$3:$K$22*(Calc!$G$3:$G$22&gt;A1063)*(Calc!$G$3:$G$22-A1063))</f>
        <v/>
      </c>
      <c r="H1063">
        <f>SUMPRODUCT(Calc!$K$3:$K$22*(Calc!$G$3:$G$22&gt;B1063)*(Calc!$G$3:$G$22-B1063))</f>
        <v/>
      </c>
      <c r="I1063">
        <f>SUMPRODUCT(Calc!$K$3:$K$22*(Calc!$G$3:$G$22&gt;A1063)*(Calc!$G$3:$G$22-A1063)^2)</f>
        <v/>
      </c>
      <c r="J1063">
        <f>SUMPRODUCT(Calc!$K$3:$K$22*(Calc!$G$3:$G$22&gt;B1063)*(Calc!$G$3:$G$22-B1063)^2)</f>
        <v/>
      </c>
      <c r="K1063">
        <f>SUMPRODUCT(Calc!$K$3:$K$22*(Calc!$G$3:$G$22&gt;A1063)*(Calc!$G$3:$G$22-A1063)*(Calc!$G$3:$G$22&gt;B1063)*(Calc!$G$3:$G$22-B1063))</f>
        <v/>
      </c>
      <c r="L1063">
        <f>SUMPRODUCT(Calc!$K$3:$K$22*(Calc!$G$3:$G$22&gt;A1063)*(Calc!$G$3:$G$22-A1063)*Calc!$G$3:$G$22)</f>
        <v/>
      </c>
      <c r="M1063">
        <f>SUMPRODUCT(Calc!$K$3:$K$22*(Calc!$G$3:$G$22&gt;B1063)*(Calc!$G$3:$G$22-B1063)*Calc!$G$3:$G$22)</f>
        <v/>
      </c>
      <c r="N1063">
        <f>SUMPRODUCT(Calc!$K$3:$K$22*(Calc!$G$3:$G$22&gt;A1063)*(Calc!$G$3:$G$22-A1063)*Calc!$I$3:$I$22)</f>
        <v/>
      </c>
      <c r="O1063">
        <f>SUMPRODUCT(Calc!$K$3:$K$22*(Calc!$G$3:$G$22&gt;B1063)*(Calc!$G$3:$G$22-B1063)*Calc!$I$3:$I$22)</f>
        <v/>
      </c>
      <c r="P1063">
        <f>I1063-G1063^2/k_n</f>
        <v/>
      </c>
      <c r="Q1063">
        <f>J1063-H1063^2/k_n</f>
        <v/>
      </c>
      <c r="R1063">
        <f>K1063-G1063*H1063/k_n</f>
        <v/>
      </c>
      <c r="S1063">
        <f>L1063-LTP3!$D$3*G1063/k_n</f>
        <v/>
      </c>
      <c r="T1063">
        <f>M1063-LTP3!$D$3*H1063/k_n</f>
        <v/>
      </c>
      <c r="U1063">
        <f>N1063-G1063*LTP3!$D$4/k_n</f>
        <v/>
      </c>
      <c r="V1063">
        <f>O1063-H1063*LTP3!$D$4/k_n</f>
        <v/>
      </c>
      <c r="W1063">
        <f>((LTP3!$D$5)*((P1063)*(Q1063)-(R1063)*(R1063))-(S1063)*((S1063)*(Q1063)-(R1063)*(T1063))+(T1063)*((S1063)*(R1063)-(P1063)*(T1063)))</f>
        <v/>
      </c>
      <c r="X1063">
        <f>IF(ABS(W1063)&gt;1E-12,((LTP3!$D$6)*((P1063)*(Q1063)-(R1063)*(R1063))-(S1063)*((U1063)*(Q1063)-(R1063)*(V1063))+(T1063)*((U1063)*(R1063)-(P1063)*(V1063)))/W1063,0)</f>
        <v/>
      </c>
      <c r="Y1063">
        <f>IF(ABS(W1063)&gt;1E-12,((LTP3!$D$5)*((U1063)*(Q1063)-(R1063)*(V1063))-(LTP3!$D$6)*((S1063)*(Q1063)-(R1063)*(T1063))+(T1063)*((S1063)*(V1063)-(U1063)*(T1063)))/W1063,0)</f>
        <v/>
      </c>
      <c r="Z1063">
        <f>IF(ABS(W1063)&gt;1E-12,((LTP3!$D$5)*((P1063)*(V1063)-(U1063)*(R1063))-(S1063)*((S1063)*(V1063)-(U1063)*(T1063))+(LTP3!$D$6)*((S1063)*(R1063)-(P1063)*(T1063)))/W1063,0)</f>
        <v/>
      </c>
      <c r="AA1063">
        <f>LTP3!$D$7-X1063*LTP3!$D$6-Y1063*U1063-Z1063*V1063</f>
        <v/>
      </c>
      <c r="AB1063">
        <f>IF(AND(F1063,ABS(W1063)&gt;1E-12,Y1063&gt;0,Z1063&gt;0),AA1063,1E+300)</f>
        <v/>
      </c>
    </row>
    <row r="1064">
      <c r="A1064">
        <f>$B$3+$B$5*17</f>
        <v/>
      </c>
      <c r="B1064">
        <f>$B$3+$B$5*15</f>
        <v/>
      </c>
      <c r="C1064">
        <f>SUMPRODUCT(Calc!$K$3:$K$22*(Calc!$G$3:$G$22&lt;=A1064))</f>
        <v/>
      </c>
      <c r="D1064">
        <f>SUMPRODUCT(Calc!$K$3:$K$22*(Calc!$G$3:$G$22&gt;A1064)*(Calc!$G$3:$G$22&lt;B1064))</f>
        <v/>
      </c>
      <c r="E1064">
        <f>SUMPRODUCT(Calc!$K$3:$K$22*(Calc!$G$3:$G$22&gt;=B1064))</f>
        <v/>
      </c>
      <c r="F1064">
        <f>AND(k_n&gt;=5,B1064&gt;A1064+1E-9,C1064&gt;=2,D1064&gt;=1,E1064&gt;=2)</f>
        <v/>
      </c>
      <c r="G1064">
        <f>SUMPRODUCT(Calc!$K$3:$K$22*(Calc!$G$3:$G$22&gt;A1064)*(Calc!$G$3:$G$22-A1064))</f>
        <v/>
      </c>
      <c r="H1064">
        <f>SUMPRODUCT(Calc!$K$3:$K$22*(Calc!$G$3:$G$22&gt;B1064)*(Calc!$G$3:$G$22-B1064))</f>
        <v/>
      </c>
      <c r="I1064">
        <f>SUMPRODUCT(Calc!$K$3:$K$22*(Calc!$G$3:$G$22&gt;A1064)*(Calc!$G$3:$G$22-A1064)^2)</f>
        <v/>
      </c>
      <c r="J1064">
        <f>SUMPRODUCT(Calc!$K$3:$K$22*(Calc!$G$3:$G$22&gt;B1064)*(Calc!$G$3:$G$22-B1064)^2)</f>
        <v/>
      </c>
      <c r="K1064">
        <f>SUMPRODUCT(Calc!$K$3:$K$22*(Calc!$G$3:$G$22&gt;A1064)*(Calc!$G$3:$G$22-A1064)*(Calc!$G$3:$G$22&gt;B1064)*(Calc!$G$3:$G$22-B1064))</f>
        <v/>
      </c>
      <c r="L1064">
        <f>SUMPRODUCT(Calc!$K$3:$K$22*(Calc!$G$3:$G$22&gt;A1064)*(Calc!$G$3:$G$22-A1064)*Calc!$G$3:$G$22)</f>
        <v/>
      </c>
      <c r="M1064">
        <f>SUMPRODUCT(Calc!$K$3:$K$22*(Calc!$G$3:$G$22&gt;B1064)*(Calc!$G$3:$G$22-B1064)*Calc!$G$3:$G$22)</f>
        <v/>
      </c>
      <c r="N1064">
        <f>SUMPRODUCT(Calc!$K$3:$K$22*(Calc!$G$3:$G$22&gt;A1064)*(Calc!$G$3:$G$22-A1064)*Calc!$I$3:$I$22)</f>
        <v/>
      </c>
      <c r="O1064">
        <f>SUMPRODUCT(Calc!$K$3:$K$22*(Calc!$G$3:$G$22&gt;B1064)*(Calc!$G$3:$G$22-B1064)*Calc!$I$3:$I$22)</f>
        <v/>
      </c>
      <c r="P1064">
        <f>I1064-G1064^2/k_n</f>
        <v/>
      </c>
      <c r="Q1064">
        <f>J1064-H1064^2/k_n</f>
        <v/>
      </c>
      <c r="R1064">
        <f>K1064-G1064*H1064/k_n</f>
        <v/>
      </c>
      <c r="S1064">
        <f>L1064-LTP3!$D$3*G1064/k_n</f>
        <v/>
      </c>
      <c r="T1064">
        <f>M1064-LTP3!$D$3*H1064/k_n</f>
        <v/>
      </c>
      <c r="U1064">
        <f>N1064-G1064*LTP3!$D$4/k_n</f>
        <v/>
      </c>
      <c r="V1064">
        <f>O1064-H1064*LTP3!$D$4/k_n</f>
        <v/>
      </c>
      <c r="W1064">
        <f>((LTP3!$D$5)*((P1064)*(Q1064)-(R1064)*(R1064))-(S1064)*((S1064)*(Q1064)-(R1064)*(T1064))+(T1064)*((S1064)*(R1064)-(P1064)*(T1064)))</f>
        <v/>
      </c>
      <c r="X1064">
        <f>IF(ABS(W1064)&gt;1E-12,((LTP3!$D$6)*((P1064)*(Q1064)-(R1064)*(R1064))-(S1064)*((U1064)*(Q1064)-(R1064)*(V1064))+(T1064)*((U1064)*(R1064)-(P1064)*(V1064)))/W1064,0)</f>
        <v/>
      </c>
      <c r="Y1064">
        <f>IF(ABS(W1064)&gt;1E-12,((LTP3!$D$5)*((U1064)*(Q1064)-(R1064)*(V1064))-(LTP3!$D$6)*((S1064)*(Q1064)-(R1064)*(T1064))+(T1064)*((S1064)*(V1064)-(U1064)*(T1064)))/W1064,0)</f>
        <v/>
      </c>
      <c r="Z1064">
        <f>IF(ABS(W1064)&gt;1E-12,((LTP3!$D$5)*((P1064)*(V1064)-(U1064)*(R1064))-(S1064)*((S1064)*(V1064)-(U1064)*(T1064))+(LTP3!$D$6)*((S1064)*(R1064)-(P1064)*(T1064)))/W1064,0)</f>
        <v/>
      </c>
      <c r="AA1064">
        <f>LTP3!$D$7-X1064*LTP3!$D$6-Y1064*U1064-Z1064*V1064</f>
        <v/>
      </c>
      <c r="AB1064">
        <f>IF(AND(F1064,ABS(W1064)&gt;1E-12,Y1064&gt;0,Z1064&gt;0),AA1064,1E+300)</f>
        <v/>
      </c>
    </row>
    <row r="1065">
      <c r="A1065">
        <f>$B$3+$B$5*17</f>
        <v/>
      </c>
      <c r="B1065">
        <f>$B$3+$B$5*16</f>
        <v/>
      </c>
      <c r="C1065">
        <f>SUMPRODUCT(Calc!$K$3:$K$22*(Calc!$G$3:$G$22&lt;=A1065))</f>
        <v/>
      </c>
      <c r="D1065">
        <f>SUMPRODUCT(Calc!$K$3:$K$22*(Calc!$G$3:$G$22&gt;A1065)*(Calc!$G$3:$G$22&lt;B1065))</f>
        <v/>
      </c>
      <c r="E1065">
        <f>SUMPRODUCT(Calc!$K$3:$K$22*(Calc!$G$3:$G$22&gt;=B1065))</f>
        <v/>
      </c>
      <c r="F1065">
        <f>AND(k_n&gt;=5,B1065&gt;A1065+1E-9,C1065&gt;=2,D1065&gt;=1,E1065&gt;=2)</f>
        <v/>
      </c>
      <c r="G1065">
        <f>SUMPRODUCT(Calc!$K$3:$K$22*(Calc!$G$3:$G$22&gt;A1065)*(Calc!$G$3:$G$22-A1065))</f>
        <v/>
      </c>
      <c r="H1065">
        <f>SUMPRODUCT(Calc!$K$3:$K$22*(Calc!$G$3:$G$22&gt;B1065)*(Calc!$G$3:$G$22-B1065))</f>
        <v/>
      </c>
      <c r="I1065">
        <f>SUMPRODUCT(Calc!$K$3:$K$22*(Calc!$G$3:$G$22&gt;A1065)*(Calc!$G$3:$G$22-A1065)^2)</f>
        <v/>
      </c>
      <c r="J1065">
        <f>SUMPRODUCT(Calc!$K$3:$K$22*(Calc!$G$3:$G$22&gt;B1065)*(Calc!$G$3:$G$22-B1065)^2)</f>
        <v/>
      </c>
      <c r="K1065">
        <f>SUMPRODUCT(Calc!$K$3:$K$22*(Calc!$G$3:$G$22&gt;A1065)*(Calc!$G$3:$G$22-A1065)*(Calc!$G$3:$G$22&gt;B1065)*(Calc!$G$3:$G$22-B1065))</f>
        <v/>
      </c>
      <c r="L1065">
        <f>SUMPRODUCT(Calc!$K$3:$K$22*(Calc!$G$3:$G$22&gt;A1065)*(Calc!$G$3:$G$22-A1065)*Calc!$G$3:$G$22)</f>
        <v/>
      </c>
      <c r="M1065">
        <f>SUMPRODUCT(Calc!$K$3:$K$22*(Calc!$G$3:$G$22&gt;B1065)*(Calc!$G$3:$G$22-B1065)*Calc!$G$3:$G$22)</f>
        <v/>
      </c>
      <c r="N1065">
        <f>SUMPRODUCT(Calc!$K$3:$K$22*(Calc!$G$3:$G$22&gt;A1065)*(Calc!$G$3:$G$22-A1065)*Calc!$I$3:$I$22)</f>
        <v/>
      </c>
      <c r="O1065">
        <f>SUMPRODUCT(Calc!$K$3:$K$22*(Calc!$G$3:$G$22&gt;B1065)*(Calc!$G$3:$G$22-B1065)*Calc!$I$3:$I$22)</f>
        <v/>
      </c>
      <c r="P1065">
        <f>I1065-G1065^2/k_n</f>
        <v/>
      </c>
      <c r="Q1065">
        <f>J1065-H1065^2/k_n</f>
        <v/>
      </c>
      <c r="R1065">
        <f>K1065-G1065*H1065/k_n</f>
        <v/>
      </c>
      <c r="S1065">
        <f>L1065-LTP3!$D$3*G1065/k_n</f>
        <v/>
      </c>
      <c r="T1065">
        <f>M1065-LTP3!$D$3*H1065/k_n</f>
        <v/>
      </c>
      <c r="U1065">
        <f>N1065-G1065*LTP3!$D$4/k_n</f>
        <v/>
      </c>
      <c r="V1065">
        <f>O1065-H1065*LTP3!$D$4/k_n</f>
        <v/>
      </c>
      <c r="W1065">
        <f>((LTP3!$D$5)*((P1065)*(Q1065)-(R1065)*(R1065))-(S1065)*((S1065)*(Q1065)-(R1065)*(T1065))+(T1065)*((S1065)*(R1065)-(P1065)*(T1065)))</f>
        <v/>
      </c>
      <c r="X1065">
        <f>IF(ABS(W1065)&gt;1E-12,((LTP3!$D$6)*((P1065)*(Q1065)-(R1065)*(R1065))-(S1065)*((U1065)*(Q1065)-(R1065)*(V1065))+(T1065)*((U1065)*(R1065)-(P1065)*(V1065)))/W1065,0)</f>
        <v/>
      </c>
      <c r="Y1065">
        <f>IF(ABS(W1065)&gt;1E-12,((LTP3!$D$5)*((U1065)*(Q1065)-(R1065)*(V1065))-(LTP3!$D$6)*((S1065)*(Q1065)-(R1065)*(T1065))+(T1065)*((S1065)*(V1065)-(U1065)*(T1065)))/W1065,0)</f>
        <v/>
      </c>
      <c r="Z1065">
        <f>IF(ABS(W1065)&gt;1E-12,((LTP3!$D$5)*((P1065)*(V1065)-(U1065)*(R1065))-(S1065)*((S1065)*(V1065)-(U1065)*(T1065))+(LTP3!$D$6)*((S1065)*(R1065)-(P1065)*(T1065)))/W1065,0)</f>
        <v/>
      </c>
      <c r="AA1065">
        <f>LTP3!$D$7-X1065*LTP3!$D$6-Y1065*U1065-Z1065*V1065</f>
        <v/>
      </c>
      <c r="AB1065">
        <f>IF(AND(F1065,ABS(W1065)&gt;1E-12,Y1065&gt;0,Z1065&gt;0),AA1065,1E+300)</f>
        <v/>
      </c>
    </row>
    <row r="1066">
      <c r="A1066">
        <f>$B$3+$B$5*17</f>
        <v/>
      </c>
      <c r="B1066">
        <f>$B$3+$B$5*17</f>
        <v/>
      </c>
      <c r="C1066">
        <f>SUMPRODUCT(Calc!$K$3:$K$22*(Calc!$G$3:$G$22&lt;=A1066))</f>
        <v/>
      </c>
      <c r="D1066">
        <f>SUMPRODUCT(Calc!$K$3:$K$22*(Calc!$G$3:$G$22&gt;A1066)*(Calc!$G$3:$G$22&lt;B1066))</f>
        <v/>
      </c>
      <c r="E1066">
        <f>SUMPRODUCT(Calc!$K$3:$K$22*(Calc!$G$3:$G$22&gt;=B1066))</f>
        <v/>
      </c>
      <c r="F1066">
        <f>AND(k_n&gt;=5,B1066&gt;A1066+1E-9,C1066&gt;=2,D1066&gt;=1,E1066&gt;=2)</f>
        <v/>
      </c>
      <c r="G1066">
        <f>SUMPRODUCT(Calc!$K$3:$K$22*(Calc!$G$3:$G$22&gt;A1066)*(Calc!$G$3:$G$22-A1066))</f>
        <v/>
      </c>
      <c r="H1066">
        <f>SUMPRODUCT(Calc!$K$3:$K$22*(Calc!$G$3:$G$22&gt;B1066)*(Calc!$G$3:$G$22-B1066))</f>
        <v/>
      </c>
      <c r="I1066">
        <f>SUMPRODUCT(Calc!$K$3:$K$22*(Calc!$G$3:$G$22&gt;A1066)*(Calc!$G$3:$G$22-A1066)^2)</f>
        <v/>
      </c>
      <c r="J1066">
        <f>SUMPRODUCT(Calc!$K$3:$K$22*(Calc!$G$3:$G$22&gt;B1066)*(Calc!$G$3:$G$22-B1066)^2)</f>
        <v/>
      </c>
      <c r="K1066">
        <f>SUMPRODUCT(Calc!$K$3:$K$22*(Calc!$G$3:$G$22&gt;A1066)*(Calc!$G$3:$G$22-A1066)*(Calc!$G$3:$G$22&gt;B1066)*(Calc!$G$3:$G$22-B1066))</f>
        <v/>
      </c>
      <c r="L1066">
        <f>SUMPRODUCT(Calc!$K$3:$K$22*(Calc!$G$3:$G$22&gt;A1066)*(Calc!$G$3:$G$22-A1066)*Calc!$G$3:$G$22)</f>
        <v/>
      </c>
      <c r="M1066">
        <f>SUMPRODUCT(Calc!$K$3:$K$22*(Calc!$G$3:$G$22&gt;B1066)*(Calc!$G$3:$G$22-B1066)*Calc!$G$3:$G$22)</f>
        <v/>
      </c>
      <c r="N1066">
        <f>SUMPRODUCT(Calc!$K$3:$K$22*(Calc!$G$3:$G$22&gt;A1066)*(Calc!$G$3:$G$22-A1066)*Calc!$I$3:$I$22)</f>
        <v/>
      </c>
      <c r="O1066">
        <f>SUMPRODUCT(Calc!$K$3:$K$22*(Calc!$G$3:$G$22&gt;B1066)*(Calc!$G$3:$G$22-B1066)*Calc!$I$3:$I$22)</f>
        <v/>
      </c>
      <c r="P1066">
        <f>I1066-G1066^2/k_n</f>
        <v/>
      </c>
      <c r="Q1066">
        <f>J1066-H1066^2/k_n</f>
        <v/>
      </c>
      <c r="R1066">
        <f>K1066-G1066*H1066/k_n</f>
        <v/>
      </c>
      <c r="S1066">
        <f>L1066-LTP3!$D$3*G1066/k_n</f>
        <v/>
      </c>
      <c r="T1066">
        <f>M1066-LTP3!$D$3*H1066/k_n</f>
        <v/>
      </c>
      <c r="U1066">
        <f>N1066-G1066*LTP3!$D$4/k_n</f>
        <v/>
      </c>
      <c r="V1066">
        <f>O1066-H1066*LTP3!$D$4/k_n</f>
        <v/>
      </c>
      <c r="W1066">
        <f>((LTP3!$D$5)*((P1066)*(Q1066)-(R1066)*(R1066))-(S1066)*((S1066)*(Q1066)-(R1066)*(T1066))+(T1066)*((S1066)*(R1066)-(P1066)*(T1066)))</f>
        <v/>
      </c>
      <c r="X1066">
        <f>IF(ABS(W1066)&gt;1E-12,((LTP3!$D$6)*((P1066)*(Q1066)-(R1066)*(R1066))-(S1066)*((U1066)*(Q1066)-(R1066)*(V1066))+(T1066)*((U1066)*(R1066)-(P1066)*(V1066)))/W1066,0)</f>
        <v/>
      </c>
      <c r="Y1066">
        <f>IF(ABS(W1066)&gt;1E-12,((LTP3!$D$5)*((U1066)*(Q1066)-(R1066)*(V1066))-(LTP3!$D$6)*((S1066)*(Q1066)-(R1066)*(T1066))+(T1066)*((S1066)*(V1066)-(U1066)*(T1066)))/W1066,0)</f>
        <v/>
      </c>
      <c r="Z1066">
        <f>IF(ABS(W1066)&gt;1E-12,((LTP3!$D$5)*((P1066)*(V1066)-(U1066)*(R1066))-(S1066)*((S1066)*(V1066)-(U1066)*(T1066))+(LTP3!$D$6)*((S1066)*(R1066)-(P1066)*(T1066)))/W1066,0)</f>
        <v/>
      </c>
      <c r="AA1066">
        <f>LTP3!$D$7-X1066*LTP3!$D$6-Y1066*U1066-Z1066*V1066</f>
        <v/>
      </c>
      <c r="AB1066">
        <f>IF(AND(F1066,ABS(W1066)&gt;1E-12,Y1066&gt;0,Z1066&gt;0),AA1066,1E+300)</f>
        <v/>
      </c>
    </row>
    <row r="1067">
      <c r="A1067">
        <f>$B$3+$B$5*17</f>
        <v/>
      </c>
      <c r="B1067">
        <f>$B$3+$B$5*18</f>
        <v/>
      </c>
      <c r="C1067">
        <f>SUMPRODUCT(Calc!$K$3:$K$22*(Calc!$G$3:$G$22&lt;=A1067))</f>
        <v/>
      </c>
      <c r="D1067">
        <f>SUMPRODUCT(Calc!$K$3:$K$22*(Calc!$G$3:$G$22&gt;A1067)*(Calc!$G$3:$G$22&lt;B1067))</f>
        <v/>
      </c>
      <c r="E1067">
        <f>SUMPRODUCT(Calc!$K$3:$K$22*(Calc!$G$3:$G$22&gt;=B1067))</f>
        <v/>
      </c>
      <c r="F1067">
        <f>AND(k_n&gt;=5,B1067&gt;A1067+1E-9,C1067&gt;=2,D1067&gt;=1,E1067&gt;=2)</f>
        <v/>
      </c>
      <c r="G1067">
        <f>SUMPRODUCT(Calc!$K$3:$K$22*(Calc!$G$3:$G$22&gt;A1067)*(Calc!$G$3:$G$22-A1067))</f>
        <v/>
      </c>
      <c r="H1067">
        <f>SUMPRODUCT(Calc!$K$3:$K$22*(Calc!$G$3:$G$22&gt;B1067)*(Calc!$G$3:$G$22-B1067))</f>
        <v/>
      </c>
      <c r="I1067">
        <f>SUMPRODUCT(Calc!$K$3:$K$22*(Calc!$G$3:$G$22&gt;A1067)*(Calc!$G$3:$G$22-A1067)^2)</f>
        <v/>
      </c>
      <c r="J1067">
        <f>SUMPRODUCT(Calc!$K$3:$K$22*(Calc!$G$3:$G$22&gt;B1067)*(Calc!$G$3:$G$22-B1067)^2)</f>
        <v/>
      </c>
      <c r="K1067">
        <f>SUMPRODUCT(Calc!$K$3:$K$22*(Calc!$G$3:$G$22&gt;A1067)*(Calc!$G$3:$G$22-A1067)*(Calc!$G$3:$G$22&gt;B1067)*(Calc!$G$3:$G$22-B1067))</f>
        <v/>
      </c>
      <c r="L1067">
        <f>SUMPRODUCT(Calc!$K$3:$K$22*(Calc!$G$3:$G$22&gt;A1067)*(Calc!$G$3:$G$22-A1067)*Calc!$G$3:$G$22)</f>
        <v/>
      </c>
      <c r="M1067">
        <f>SUMPRODUCT(Calc!$K$3:$K$22*(Calc!$G$3:$G$22&gt;B1067)*(Calc!$G$3:$G$22-B1067)*Calc!$G$3:$G$22)</f>
        <v/>
      </c>
      <c r="N1067">
        <f>SUMPRODUCT(Calc!$K$3:$K$22*(Calc!$G$3:$G$22&gt;A1067)*(Calc!$G$3:$G$22-A1067)*Calc!$I$3:$I$22)</f>
        <v/>
      </c>
      <c r="O1067">
        <f>SUMPRODUCT(Calc!$K$3:$K$22*(Calc!$G$3:$G$22&gt;B1067)*(Calc!$G$3:$G$22-B1067)*Calc!$I$3:$I$22)</f>
        <v/>
      </c>
      <c r="P1067">
        <f>I1067-G1067^2/k_n</f>
        <v/>
      </c>
      <c r="Q1067">
        <f>J1067-H1067^2/k_n</f>
        <v/>
      </c>
      <c r="R1067">
        <f>K1067-G1067*H1067/k_n</f>
        <v/>
      </c>
      <c r="S1067">
        <f>L1067-LTP3!$D$3*G1067/k_n</f>
        <v/>
      </c>
      <c r="T1067">
        <f>M1067-LTP3!$D$3*H1067/k_n</f>
        <v/>
      </c>
      <c r="U1067">
        <f>N1067-G1067*LTP3!$D$4/k_n</f>
        <v/>
      </c>
      <c r="V1067">
        <f>O1067-H1067*LTP3!$D$4/k_n</f>
        <v/>
      </c>
      <c r="W1067">
        <f>((LTP3!$D$5)*((P1067)*(Q1067)-(R1067)*(R1067))-(S1067)*((S1067)*(Q1067)-(R1067)*(T1067))+(T1067)*((S1067)*(R1067)-(P1067)*(T1067)))</f>
        <v/>
      </c>
      <c r="X1067">
        <f>IF(ABS(W1067)&gt;1E-12,((LTP3!$D$6)*((P1067)*(Q1067)-(R1067)*(R1067))-(S1067)*((U1067)*(Q1067)-(R1067)*(V1067))+(T1067)*((U1067)*(R1067)-(P1067)*(V1067)))/W1067,0)</f>
        <v/>
      </c>
      <c r="Y1067">
        <f>IF(ABS(W1067)&gt;1E-12,((LTP3!$D$5)*((U1067)*(Q1067)-(R1067)*(V1067))-(LTP3!$D$6)*((S1067)*(Q1067)-(R1067)*(T1067))+(T1067)*((S1067)*(V1067)-(U1067)*(T1067)))/W1067,0)</f>
        <v/>
      </c>
      <c r="Z1067">
        <f>IF(ABS(W1067)&gt;1E-12,((LTP3!$D$5)*((P1067)*(V1067)-(U1067)*(R1067))-(S1067)*((S1067)*(V1067)-(U1067)*(T1067))+(LTP3!$D$6)*((S1067)*(R1067)-(P1067)*(T1067)))/W1067,0)</f>
        <v/>
      </c>
      <c r="AA1067">
        <f>LTP3!$D$7-X1067*LTP3!$D$6-Y1067*U1067-Z1067*V1067</f>
        <v/>
      </c>
      <c r="AB1067">
        <f>IF(AND(F1067,ABS(W1067)&gt;1E-12,Y1067&gt;0,Z1067&gt;0),AA1067,1E+300)</f>
        <v/>
      </c>
    </row>
    <row r="1068">
      <c r="A1068">
        <f>$B$3+$B$5*17</f>
        <v/>
      </c>
      <c r="B1068">
        <f>$B$3+$B$5*19</f>
        <v/>
      </c>
      <c r="C1068">
        <f>SUMPRODUCT(Calc!$K$3:$K$22*(Calc!$G$3:$G$22&lt;=A1068))</f>
        <v/>
      </c>
      <c r="D1068">
        <f>SUMPRODUCT(Calc!$K$3:$K$22*(Calc!$G$3:$G$22&gt;A1068)*(Calc!$G$3:$G$22&lt;B1068))</f>
        <v/>
      </c>
      <c r="E1068">
        <f>SUMPRODUCT(Calc!$K$3:$K$22*(Calc!$G$3:$G$22&gt;=B1068))</f>
        <v/>
      </c>
      <c r="F1068">
        <f>AND(k_n&gt;=5,B1068&gt;A1068+1E-9,C1068&gt;=2,D1068&gt;=1,E1068&gt;=2)</f>
        <v/>
      </c>
      <c r="G1068">
        <f>SUMPRODUCT(Calc!$K$3:$K$22*(Calc!$G$3:$G$22&gt;A1068)*(Calc!$G$3:$G$22-A1068))</f>
        <v/>
      </c>
      <c r="H1068">
        <f>SUMPRODUCT(Calc!$K$3:$K$22*(Calc!$G$3:$G$22&gt;B1068)*(Calc!$G$3:$G$22-B1068))</f>
        <v/>
      </c>
      <c r="I1068">
        <f>SUMPRODUCT(Calc!$K$3:$K$22*(Calc!$G$3:$G$22&gt;A1068)*(Calc!$G$3:$G$22-A1068)^2)</f>
        <v/>
      </c>
      <c r="J1068">
        <f>SUMPRODUCT(Calc!$K$3:$K$22*(Calc!$G$3:$G$22&gt;B1068)*(Calc!$G$3:$G$22-B1068)^2)</f>
        <v/>
      </c>
      <c r="K1068">
        <f>SUMPRODUCT(Calc!$K$3:$K$22*(Calc!$G$3:$G$22&gt;A1068)*(Calc!$G$3:$G$22-A1068)*(Calc!$G$3:$G$22&gt;B1068)*(Calc!$G$3:$G$22-B1068))</f>
        <v/>
      </c>
      <c r="L1068">
        <f>SUMPRODUCT(Calc!$K$3:$K$22*(Calc!$G$3:$G$22&gt;A1068)*(Calc!$G$3:$G$22-A1068)*Calc!$G$3:$G$22)</f>
        <v/>
      </c>
      <c r="M1068">
        <f>SUMPRODUCT(Calc!$K$3:$K$22*(Calc!$G$3:$G$22&gt;B1068)*(Calc!$G$3:$G$22-B1068)*Calc!$G$3:$G$22)</f>
        <v/>
      </c>
      <c r="N1068">
        <f>SUMPRODUCT(Calc!$K$3:$K$22*(Calc!$G$3:$G$22&gt;A1068)*(Calc!$G$3:$G$22-A1068)*Calc!$I$3:$I$22)</f>
        <v/>
      </c>
      <c r="O1068">
        <f>SUMPRODUCT(Calc!$K$3:$K$22*(Calc!$G$3:$G$22&gt;B1068)*(Calc!$G$3:$G$22-B1068)*Calc!$I$3:$I$22)</f>
        <v/>
      </c>
      <c r="P1068">
        <f>I1068-G1068^2/k_n</f>
        <v/>
      </c>
      <c r="Q1068">
        <f>J1068-H1068^2/k_n</f>
        <v/>
      </c>
      <c r="R1068">
        <f>K1068-G1068*H1068/k_n</f>
        <v/>
      </c>
      <c r="S1068">
        <f>L1068-LTP3!$D$3*G1068/k_n</f>
        <v/>
      </c>
      <c r="T1068">
        <f>M1068-LTP3!$D$3*H1068/k_n</f>
        <v/>
      </c>
      <c r="U1068">
        <f>N1068-G1068*LTP3!$D$4/k_n</f>
        <v/>
      </c>
      <c r="V1068">
        <f>O1068-H1068*LTP3!$D$4/k_n</f>
        <v/>
      </c>
      <c r="W1068">
        <f>((LTP3!$D$5)*((P1068)*(Q1068)-(R1068)*(R1068))-(S1068)*((S1068)*(Q1068)-(R1068)*(T1068))+(T1068)*((S1068)*(R1068)-(P1068)*(T1068)))</f>
        <v/>
      </c>
      <c r="X1068">
        <f>IF(ABS(W1068)&gt;1E-12,((LTP3!$D$6)*((P1068)*(Q1068)-(R1068)*(R1068))-(S1068)*((U1068)*(Q1068)-(R1068)*(V1068))+(T1068)*((U1068)*(R1068)-(P1068)*(V1068)))/W1068,0)</f>
        <v/>
      </c>
      <c r="Y1068">
        <f>IF(ABS(W1068)&gt;1E-12,((LTP3!$D$5)*((U1068)*(Q1068)-(R1068)*(V1068))-(LTP3!$D$6)*((S1068)*(Q1068)-(R1068)*(T1068))+(T1068)*((S1068)*(V1068)-(U1068)*(T1068)))/W1068,0)</f>
        <v/>
      </c>
      <c r="Z1068">
        <f>IF(ABS(W1068)&gt;1E-12,((LTP3!$D$5)*((P1068)*(V1068)-(U1068)*(R1068))-(S1068)*((S1068)*(V1068)-(U1068)*(T1068))+(LTP3!$D$6)*((S1068)*(R1068)-(P1068)*(T1068)))/W1068,0)</f>
        <v/>
      </c>
      <c r="AA1068">
        <f>LTP3!$D$7-X1068*LTP3!$D$6-Y1068*U1068-Z1068*V1068</f>
        <v/>
      </c>
      <c r="AB1068">
        <f>IF(AND(F1068,ABS(W1068)&gt;1E-12,Y1068&gt;0,Z1068&gt;0),AA1068,1E+300)</f>
        <v/>
      </c>
    </row>
    <row r="1069">
      <c r="A1069">
        <f>$B$3+$B$5*17</f>
        <v/>
      </c>
      <c r="B1069">
        <f>$B$3+$B$5*20</f>
        <v/>
      </c>
      <c r="C1069">
        <f>SUMPRODUCT(Calc!$K$3:$K$22*(Calc!$G$3:$G$22&lt;=A1069))</f>
        <v/>
      </c>
      <c r="D1069">
        <f>SUMPRODUCT(Calc!$K$3:$K$22*(Calc!$G$3:$G$22&gt;A1069)*(Calc!$G$3:$G$22&lt;B1069))</f>
        <v/>
      </c>
      <c r="E1069">
        <f>SUMPRODUCT(Calc!$K$3:$K$22*(Calc!$G$3:$G$22&gt;=B1069))</f>
        <v/>
      </c>
      <c r="F1069">
        <f>AND(k_n&gt;=5,B1069&gt;A1069+1E-9,C1069&gt;=2,D1069&gt;=1,E1069&gt;=2)</f>
        <v/>
      </c>
      <c r="G1069">
        <f>SUMPRODUCT(Calc!$K$3:$K$22*(Calc!$G$3:$G$22&gt;A1069)*(Calc!$G$3:$G$22-A1069))</f>
        <v/>
      </c>
      <c r="H1069">
        <f>SUMPRODUCT(Calc!$K$3:$K$22*(Calc!$G$3:$G$22&gt;B1069)*(Calc!$G$3:$G$22-B1069))</f>
        <v/>
      </c>
      <c r="I1069">
        <f>SUMPRODUCT(Calc!$K$3:$K$22*(Calc!$G$3:$G$22&gt;A1069)*(Calc!$G$3:$G$22-A1069)^2)</f>
        <v/>
      </c>
      <c r="J1069">
        <f>SUMPRODUCT(Calc!$K$3:$K$22*(Calc!$G$3:$G$22&gt;B1069)*(Calc!$G$3:$G$22-B1069)^2)</f>
        <v/>
      </c>
      <c r="K1069">
        <f>SUMPRODUCT(Calc!$K$3:$K$22*(Calc!$G$3:$G$22&gt;A1069)*(Calc!$G$3:$G$22-A1069)*(Calc!$G$3:$G$22&gt;B1069)*(Calc!$G$3:$G$22-B1069))</f>
        <v/>
      </c>
      <c r="L1069">
        <f>SUMPRODUCT(Calc!$K$3:$K$22*(Calc!$G$3:$G$22&gt;A1069)*(Calc!$G$3:$G$22-A1069)*Calc!$G$3:$G$22)</f>
        <v/>
      </c>
      <c r="M1069">
        <f>SUMPRODUCT(Calc!$K$3:$K$22*(Calc!$G$3:$G$22&gt;B1069)*(Calc!$G$3:$G$22-B1069)*Calc!$G$3:$G$22)</f>
        <v/>
      </c>
      <c r="N1069">
        <f>SUMPRODUCT(Calc!$K$3:$K$22*(Calc!$G$3:$G$22&gt;A1069)*(Calc!$G$3:$G$22-A1069)*Calc!$I$3:$I$22)</f>
        <v/>
      </c>
      <c r="O1069">
        <f>SUMPRODUCT(Calc!$K$3:$K$22*(Calc!$G$3:$G$22&gt;B1069)*(Calc!$G$3:$G$22-B1069)*Calc!$I$3:$I$22)</f>
        <v/>
      </c>
      <c r="P1069">
        <f>I1069-G1069^2/k_n</f>
        <v/>
      </c>
      <c r="Q1069">
        <f>J1069-H1069^2/k_n</f>
        <v/>
      </c>
      <c r="R1069">
        <f>K1069-G1069*H1069/k_n</f>
        <v/>
      </c>
      <c r="S1069">
        <f>L1069-LTP3!$D$3*G1069/k_n</f>
        <v/>
      </c>
      <c r="T1069">
        <f>M1069-LTP3!$D$3*H1069/k_n</f>
        <v/>
      </c>
      <c r="U1069">
        <f>N1069-G1069*LTP3!$D$4/k_n</f>
        <v/>
      </c>
      <c r="V1069">
        <f>O1069-H1069*LTP3!$D$4/k_n</f>
        <v/>
      </c>
      <c r="W1069">
        <f>((LTP3!$D$5)*((P1069)*(Q1069)-(R1069)*(R1069))-(S1069)*((S1069)*(Q1069)-(R1069)*(T1069))+(T1069)*((S1069)*(R1069)-(P1069)*(T1069)))</f>
        <v/>
      </c>
      <c r="X1069">
        <f>IF(ABS(W1069)&gt;1E-12,((LTP3!$D$6)*((P1069)*(Q1069)-(R1069)*(R1069))-(S1069)*((U1069)*(Q1069)-(R1069)*(V1069))+(T1069)*((U1069)*(R1069)-(P1069)*(V1069)))/W1069,0)</f>
        <v/>
      </c>
      <c r="Y1069">
        <f>IF(ABS(W1069)&gt;1E-12,((LTP3!$D$5)*((U1069)*(Q1069)-(R1069)*(V1069))-(LTP3!$D$6)*((S1069)*(Q1069)-(R1069)*(T1069))+(T1069)*((S1069)*(V1069)-(U1069)*(T1069)))/W1069,0)</f>
        <v/>
      </c>
      <c r="Z1069">
        <f>IF(ABS(W1069)&gt;1E-12,((LTP3!$D$5)*((P1069)*(V1069)-(U1069)*(R1069))-(S1069)*((S1069)*(V1069)-(U1069)*(T1069))+(LTP3!$D$6)*((S1069)*(R1069)-(P1069)*(T1069)))/W1069,0)</f>
        <v/>
      </c>
      <c r="AA1069">
        <f>LTP3!$D$7-X1069*LTP3!$D$6-Y1069*U1069-Z1069*V1069</f>
        <v/>
      </c>
      <c r="AB1069">
        <f>IF(AND(F1069,ABS(W1069)&gt;1E-12,Y1069&gt;0,Z1069&gt;0),AA1069,1E+300)</f>
        <v/>
      </c>
    </row>
    <row r="1070">
      <c r="A1070">
        <f>$B$3+$B$5*17</f>
        <v/>
      </c>
      <c r="B1070">
        <f>$B$3+$B$5*21</f>
        <v/>
      </c>
      <c r="C1070">
        <f>SUMPRODUCT(Calc!$K$3:$K$22*(Calc!$G$3:$G$22&lt;=A1070))</f>
        <v/>
      </c>
      <c r="D1070">
        <f>SUMPRODUCT(Calc!$K$3:$K$22*(Calc!$G$3:$G$22&gt;A1070)*(Calc!$G$3:$G$22&lt;B1070))</f>
        <v/>
      </c>
      <c r="E1070">
        <f>SUMPRODUCT(Calc!$K$3:$K$22*(Calc!$G$3:$G$22&gt;=B1070))</f>
        <v/>
      </c>
      <c r="F1070">
        <f>AND(k_n&gt;=5,B1070&gt;A1070+1E-9,C1070&gt;=2,D1070&gt;=1,E1070&gt;=2)</f>
        <v/>
      </c>
      <c r="G1070">
        <f>SUMPRODUCT(Calc!$K$3:$K$22*(Calc!$G$3:$G$22&gt;A1070)*(Calc!$G$3:$G$22-A1070))</f>
        <v/>
      </c>
      <c r="H1070">
        <f>SUMPRODUCT(Calc!$K$3:$K$22*(Calc!$G$3:$G$22&gt;B1070)*(Calc!$G$3:$G$22-B1070))</f>
        <v/>
      </c>
      <c r="I1070">
        <f>SUMPRODUCT(Calc!$K$3:$K$22*(Calc!$G$3:$G$22&gt;A1070)*(Calc!$G$3:$G$22-A1070)^2)</f>
        <v/>
      </c>
      <c r="J1070">
        <f>SUMPRODUCT(Calc!$K$3:$K$22*(Calc!$G$3:$G$22&gt;B1070)*(Calc!$G$3:$G$22-B1070)^2)</f>
        <v/>
      </c>
      <c r="K1070">
        <f>SUMPRODUCT(Calc!$K$3:$K$22*(Calc!$G$3:$G$22&gt;A1070)*(Calc!$G$3:$G$22-A1070)*(Calc!$G$3:$G$22&gt;B1070)*(Calc!$G$3:$G$22-B1070))</f>
        <v/>
      </c>
      <c r="L1070">
        <f>SUMPRODUCT(Calc!$K$3:$K$22*(Calc!$G$3:$G$22&gt;A1070)*(Calc!$G$3:$G$22-A1070)*Calc!$G$3:$G$22)</f>
        <v/>
      </c>
      <c r="M1070">
        <f>SUMPRODUCT(Calc!$K$3:$K$22*(Calc!$G$3:$G$22&gt;B1070)*(Calc!$G$3:$G$22-B1070)*Calc!$G$3:$G$22)</f>
        <v/>
      </c>
      <c r="N1070">
        <f>SUMPRODUCT(Calc!$K$3:$K$22*(Calc!$G$3:$G$22&gt;A1070)*(Calc!$G$3:$G$22-A1070)*Calc!$I$3:$I$22)</f>
        <v/>
      </c>
      <c r="O1070">
        <f>SUMPRODUCT(Calc!$K$3:$K$22*(Calc!$G$3:$G$22&gt;B1070)*(Calc!$G$3:$G$22-B1070)*Calc!$I$3:$I$22)</f>
        <v/>
      </c>
      <c r="P1070">
        <f>I1070-G1070^2/k_n</f>
        <v/>
      </c>
      <c r="Q1070">
        <f>J1070-H1070^2/k_n</f>
        <v/>
      </c>
      <c r="R1070">
        <f>K1070-G1070*H1070/k_n</f>
        <v/>
      </c>
      <c r="S1070">
        <f>L1070-LTP3!$D$3*G1070/k_n</f>
        <v/>
      </c>
      <c r="T1070">
        <f>M1070-LTP3!$D$3*H1070/k_n</f>
        <v/>
      </c>
      <c r="U1070">
        <f>N1070-G1070*LTP3!$D$4/k_n</f>
        <v/>
      </c>
      <c r="V1070">
        <f>O1070-H1070*LTP3!$D$4/k_n</f>
        <v/>
      </c>
      <c r="W1070">
        <f>((LTP3!$D$5)*((P1070)*(Q1070)-(R1070)*(R1070))-(S1070)*((S1070)*(Q1070)-(R1070)*(T1070))+(T1070)*((S1070)*(R1070)-(P1070)*(T1070)))</f>
        <v/>
      </c>
      <c r="X1070">
        <f>IF(ABS(W1070)&gt;1E-12,((LTP3!$D$6)*((P1070)*(Q1070)-(R1070)*(R1070))-(S1070)*((U1070)*(Q1070)-(R1070)*(V1070))+(T1070)*((U1070)*(R1070)-(P1070)*(V1070)))/W1070,0)</f>
        <v/>
      </c>
      <c r="Y1070">
        <f>IF(ABS(W1070)&gt;1E-12,((LTP3!$D$5)*((U1070)*(Q1070)-(R1070)*(V1070))-(LTP3!$D$6)*((S1070)*(Q1070)-(R1070)*(T1070))+(T1070)*((S1070)*(V1070)-(U1070)*(T1070)))/W1070,0)</f>
        <v/>
      </c>
      <c r="Z1070">
        <f>IF(ABS(W1070)&gt;1E-12,((LTP3!$D$5)*((P1070)*(V1070)-(U1070)*(R1070))-(S1070)*((S1070)*(V1070)-(U1070)*(T1070))+(LTP3!$D$6)*((S1070)*(R1070)-(P1070)*(T1070)))/W1070,0)</f>
        <v/>
      </c>
      <c r="AA1070">
        <f>LTP3!$D$7-X1070*LTP3!$D$6-Y1070*U1070-Z1070*V1070</f>
        <v/>
      </c>
      <c r="AB1070">
        <f>IF(AND(F1070,ABS(W1070)&gt;1E-12,Y1070&gt;0,Z1070&gt;0),AA1070,1E+300)</f>
        <v/>
      </c>
    </row>
    <row r="1071">
      <c r="A1071">
        <f>$B$3+$B$5*17</f>
        <v/>
      </c>
      <c r="B1071">
        <f>$B$3+$B$5*22</f>
        <v/>
      </c>
      <c r="C1071">
        <f>SUMPRODUCT(Calc!$K$3:$K$22*(Calc!$G$3:$G$22&lt;=A1071))</f>
        <v/>
      </c>
      <c r="D1071">
        <f>SUMPRODUCT(Calc!$K$3:$K$22*(Calc!$G$3:$G$22&gt;A1071)*(Calc!$G$3:$G$22&lt;B1071))</f>
        <v/>
      </c>
      <c r="E1071">
        <f>SUMPRODUCT(Calc!$K$3:$K$22*(Calc!$G$3:$G$22&gt;=B1071))</f>
        <v/>
      </c>
      <c r="F1071">
        <f>AND(k_n&gt;=5,B1071&gt;A1071+1E-9,C1071&gt;=2,D1071&gt;=1,E1071&gt;=2)</f>
        <v/>
      </c>
      <c r="G1071">
        <f>SUMPRODUCT(Calc!$K$3:$K$22*(Calc!$G$3:$G$22&gt;A1071)*(Calc!$G$3:$G$22-A1071))</f>
        <v/>
      </c>
      <c r="H1071">
        <f>SUMPRODUCT(Calc!$K$3:$K$22*(Calc!$G$3:$G$22&gt;B1071)*(Calc!$G$3:$G$22-B1071))</f>
        <v/>
      </c>
      <c r="I1071">
        <f>SUMPRODUCT(Calc!$K$3:$K$22*(Calc!$G$3:$G$22&gt;A1071)*(Calc!$G$3:$G$22-A1071)^2)</f>
        <v/>
      </c>
      <c r="J1071">
        <f>SUMPRODUCT(Calc!$K$3:$K$22*(Calc!$G$3:$G$22&gt;B1071)*(Calc!$G$3:$G$22-B1071)^2)</f>
        <v/>
      </c>
      <c r="K1071">
        <f>SUMPRODUCT(Calc!$K$3:$K$22*(Calc!$G$3:$G$22&gt;A1071)*(Calc!$G$3:$G$22-A1071)*(Calc!$G$3:$G$22&gt;B1071)*(Calc!$G$3:$G$22-B1071))</f>
        <v/>
      </c>
      <c r="L1071">
        <f>SUMPRODUCT(Calc!$K$3:$K$22*(Calc!$G$3:$G$22&gt;A1071)*(Calc!$G$3:$G$22-A1071)*Calc!$G$3:$G$22)</f>
        <v/>
      </c>
      <c r="M1071">
        <f>SUMPRODUCT(Calc!$K$3:$K$22*(Calc!$G$3:$G$22&gt;B1071)*(Calc!$G$3:$G$22-B1071)*Calc!$G$3:$G$22)</f>
        <v/>
      </c>
      <c r="N1071">
        <f>SUMPRODUCT(Calc!$K$3:$K$22*(Calc!$G$3:$G$22&gt;A1071)*(Calc!$G$3:$G$22-A1071)*Calc!$I$3:$I$22)</f>
        <v/>
      </c>
      <c r="O1071">
        <f>SUMPRODUCT(Calc!$K$3:$K$22*(Calc!$G$3:$G$22&gt;B1071)*(Calc!$G$3:$G$22-B1071)*Calc!$I$3:$I$22)</f>
        <v/>
      </c>
      <c r="P1071">
        <f>I1071-G1071^2/k_n</f>
        <v/>
      </c>
      <c r="Q1071">
        <f>J1071-H1071^2/k_n</f>
        <v/>
      </c>
      <c r="R1071">
        <f>K1071-G1071*H1071/k_n</f>
        <v/>
      </c>
      <c r="S1071">
        <f>L1071-LTP3!$D$3*G1071/k_n</f>
        <v/>
      </c>
      <c r="T1071">
        <f>M1071-LTP3!$D$3*H1071/k_n</f>
        <v/>
      </c>
      <c r="U1071">
        <f>N1071-G1071*LTP3!$D$4/k_n</f>
        <v/>
      </c>
      <c r="V1071">
        <f>O1071-H1071*LTP3!$D$4/k_n</f>
        <v/>
      </c>
      <c r="W1071">
        <f>((LTP3!$D$5)*((P1071)*(Q1071)-(R1071)*(R1071))-(S1071)*((S1071)*(Q1071)-(R1071)*(T1071))+(T1071)*((S1071)*(R1071)-(P1071)*(T1071)))</f>
        <v/>
      </c>
      <c r="X1071">
        <f>IF(ABS(W1071)&gt;1E-12,((LTP3!$D$6)*((P1071)*(Q1071)-(R1071)*(R1071))-(S1071)*((U1071)*(Q1071)-(R1071)*(V1071))+(T1071)*((U1071)*(R1071)-(P1071)*(V1071)))/W1071,0)</f>
        <v/>
      </c>
      <c r="Y1071">
        <f>IF(ABS(W1071)&gt;1E-12,((LTP3!$D$5)*((U1071)*(Q1071)-(R1071)*(V1071))-(LTP3!$D$6)*((S1071)*(Q1071)-(R1071)*(T1071))+(T1071)*((S1071)*(V1071)-(U1071)*(T1071)))/W1071,0)</f>
        <v/>
      </c>
      <c r="Z1071">
        <f>IF(ABS(W1071)&gt;1E-12,((LTP3!$D$5)*((P1071)*(V1071)-(U1071)*(R1071))-(S1071)*((S1071)*(V1071)-(U1071)*(T1071))+(LTP3!$D$6)*((S1071)*(R1071)-(P1071)*(T1071)))/W1071,0)</f>
        <v/>
      </c>
      <c r="AA1071">
        <f>LTP3!$D$7-X1071*LTP3!$D$6-Y1071*U1071-Z1071*V1071</f>
        <v/>
      </c>
      <c r="AB1071">
        <f>IF(AND(F1071,ABS(W1071)&gt;1E-12,Y1071&gt;0,Z1071&gt;0),AA1071,1E+300)</f>
        <v/>
      </c>
    </row>
    <row r="1072">
      <c r="A1072">
        <f>$B$3+$B$5*17</f>
        <v/>
      </c>
      <c r="B1072">
        <f>$B$3+$B$5*23</f>
        <v/>
      </c>
      <c r="C1072">
        <f>SUMPRODUCT(Calc!$K$3:$K$22*(Calc!$G$3:$G$22&lt;=A1072))</f>
        <v/>
      </c>
      <c r="D1072">
        <f>SUMPRODUCT(Calc!$K$3:$K$22*(Calc!$G$3:$G$22&gt;A1072)*(Calc!$G$3:$G$22&lt;B1072))</f>
        <v/>
      </c>
      <c r="E1072">
        <f>SUMPRODUCT(Calc!$K$3:$K$22*(Calc!$G$3:$G$22&gt;=B1072))</f>
        <v/>
      </c>
      <c r="F1072">
        <f>AND(k_n&gt;=5,B1072&gt;A1072+1E-9,C1072&gt;=2,D1072&gt;=1,E1072&gt;=2)</f>
        <v/>
      </c>
      <c r="G1072">
        <f>SUMPRODUCT(Calc!$K$3:$K$22*(Calc!$G$3:$G$22&gt;A1072)*(Calc!$G$3:$G$22-A1072))</f>
        <v/>
      </c>
      <c r="H1072">
        <f>SUMPRODUCT(Calc!$K$3:$K$22*(Calc!$G$3:$G$22&gt;B1072)*(Calc!$G$3:$G$22-B1072))</f>
        <v/>
      </c>
      <c r="I1072">
        <f>SUMPRODUCT(Calc!$K$3:$K$22*(Calc!$G$3:$G$22&gt;A1072)*(Calc!$G$3:$G$22-A1072)^2)</f>
        <v/>
      </c>
      <c r="J1072">
        <f>SUMPRODUCT(Calc!$K$3:$K$22*(Calc!$G$3:$G$22&gt;B1072)*(Calc!$G$3:$G$22-B1072)^2)</f>
        <v/>
      </c>
      <c r="K1072">
        <f>SUMPRODUCT(Calc!$K$3:$K$22*(Calc!$G$3:$G$22&gt;A1072)*(Calc!$G$3:$G$22-A1072)*(Calc!$G$3:$G$22&gt;B1072)*(Calc!$G$3:$G$22-B1072))</f>
        <v/>
      </c>
      <c r="L1072">
        <f>SUMPRODUCT(Calc!$K$3:$K$22*(Calc!$G$3:$G$22&gt;A1072)*(Calc!$G$3:$G$22-A1072)*Calc!$G$3:$G$22)</f>
        <v/>
      </c>
      <c r="M1072">
        <f>SUMPRODUCT(Calc!$K$3:$K$22*(Calc!$G$3:$G$22&gt;B1072)*(Calc!$G$3:$G$22-B1072)*Calc!$G$3:$G$22)</f>
        <v/>
      </c>
      <c r="N1072">
        <f>SUMPRODUCT(Calc!$K$3:$K$22*(Calc!$G$3:$G$22&gt;A1072)*(Calc!$G$3:$G$22-A1072)*Calc!$I$3:$I$22)</f>
        <v/>
      </c>
      <c r="O1072">
        <f>SUMPRODUCT(Calc!$K$3:$K$22*(Calc!$G$3:$G$22&gt;B1072)*(Calc!$G$3:$G$22-B1072)*Calc!$I$3:$I$22)</f>
        <v/>
      </c>
      <c r="P1072">
        <f>I1072-G1072^2/k_n</f>
        <v/>
      </c>
      <c r="Q1072">
        <f>J1072-H1072^2/k_n</f>
        <v/>
      </c>
      <c r="R1072">
        <f>K1072-G1072*H1072/k_n</f>
        <v/>
      </c>
      <c r="S1072">
        <f>L1072-LTP3!$D$3*G1072/k_n</f>
        <v/>
      </c>
      <c r="T1072">
        <f>M1072-LTP3!$D$3*H1072/k_n</f>
        <v/>
      </c>
      <c r="U1072">
        <f>N1072-G1072*LTP3!$D$4/k_n</f>
        <v/>
      </c>
      <c r="V1072">
        <f>O1072-H1072*LTP3!$D$4/k_n</f>
        <v/>
      </c>
      <c r="W1072">
        <f>((LTP3!$D$5)*((P1072)*(Q1072)-(R1072)*(R1072))-(S1072)*((S1072)*(Q1072)-(R1072)*(T1072))+(T1072)*((S1072)*(R1072)-(P1072)*(T1072)))</f>
        <v/>
      </c>
      <c r="X1072">
        <f>IF(ABS(W1072)&gt;1E-12,((LTP3!$D$6)*((P1072)*(Q1072)-(R1072)*(R1072))-(S1072)*((U1072)*(Q1072)-(R1072)*(V1072))+(T1072)*((U1072)*(R1072)-(P1072)*(V1072)))/W1072,0)</f>
        <v/>
      </c>
      <c r="Y1072">
        <f>IF(ABS(W1072)&gt;1E-12,((LTP3!$D$5)*((U1072)*(Q1072)-(R1072)*(V1072))-(LTP3!$D$6)*((S1072)*(Q1072)-(R1072)*(T1072))+(T1072)*((S1072)*(V1072)-(U1072)*(T1072)))/W1072,0)</f>
        <v/>
      </c>
      <c r="Z1072">
        <f>IF(ABS(W1072)&gt;1E-12,((LTP3!$D$5)*((P1072)*(V1072)-(U1072)*(R1072))-(S1072)*((S1072)*(V1072)-(U1072)*(T1072))+(LTP3!$D$6)*((S1072)*(R1072)-(P1072)*(T1072)))/W1072,0)</f>
        <v/>
      </c>
      <c r="AA1072">
        <f>LTP3!$D$7-X1072*LTP3!$D$6-Y1072*U1072-Z1072*V1072</f>
        <v/>
      </c>
      <c r="AB1072">
        <f>IF(AND(F1072,ABS(W1072)&gt;1E-12,Y1072&gt;0,Z1072&gt;0),AA1072,1E+300)</f>
        <v/>
      </c>
    </row>
    <row r="1073">
      <c r="A1073">
        <f>$B$3+$B$5*17</f>
        <v/>
      </c>
      <c r="B1073">
        <f>$B$3+$B$5*24</f>
        <v/>
      </c>
      <c r="C1073">
        <f>SUMPRODUCT(Calc!$K$3:$K$22*(Calc!$G$3:$G$22&lt;=A1073))</f>
        <v/>
      </c>
      <c r="D1073">
        <f>SUMPRODUCT(Calc!$K$3:$K$22*(Calc!$G$3:$G$22&gt;A1073)*(Calc!$G$3:$G$22&lt;B1073))</f>
        <v/>
      </c>
      <c r="E1073">
        <f>SUMPRODUCT(Calc!$K$3:$K$22*(Calc!$G$3:$G$22&gt;=B1073))</f>
        <v/>
      </c>
      <c r="F1073">
        <f>AND(k_n&gt;=5,B1073&gt;A1073+1E-9,C1073&gt;=2,D1073&gt;=1,E1073&gt;=2)</f>
        <v/>
      </c>
      <c r="G1073">
        <f>SUMPRODUCT(Calc!$K$3:$K$22*(Calc!$G$3:$G$22&gt;A1073)*(Calc!$G$3:$G$22-A1073))</f>
        <v/>
      </c>
      <c r="H1073">
        <f>SUMPRODUCT(Calc!$K$3:$K$22*(Calc!$G$3:$G$22&gt;B1073)*(Calc!$G$3:$G$22-B1073))</f>
        <v/>
      </c>
      <c r="I1073">
        <f>SUMPRODUCT(Calc!$K$3:$K$22*(Calc!$G$3:$G$22&gt;A1073)*(Calc!$G$3:$G$22-A1073)^2)</f>
        <v/>
      </c>
      <c r="J1073">
        <f>SUMPRODUCT(Calc!$K$3:$K$22*(Calc!$G$3:$G$22&gt;B1073)*(Calc!$G$3:$G$22-B1073)^2)</f>
        <v/>
      </c>
      <c r="K1073">
        <f>SUMPRODUCT(Calc!$K$3:$K$22*(Calc!$G$3:$G$22&gt;A1073)*(Calc!$G$3:$G$22-A1073)*(Calc!$G$3:$G$22&gt;B1073)*(Calc!$G$3:$G$22-B1073))</f>
        <v/>
      </c>
      <c r="L1073">
        <f>SUMPRODUCT(Calc!$K$3:$K$22*(Calc!$G$3:$G$22&gt;A1073)*(Calc!$G$3:$G$22-A1073)*Calc!$G$3:$G$22)</f>
        <v/>
      </c>
      <c r="M1073">
        <f>SUMPRODUCT(Calc!$K$3:$K$22*(Calc!$G$3:$G$22&gt;B1073)*(Calc!$G$3:$G$22-B1073)*Calc!$G$3:$G$22)</f>
        <v/>
      </c>
      <c r="N1073">
        <f>SUMPRODUCT(Calc!$K$3:$K$22*(Calc!$G$3:$G$22&gt;A1073)*(Calc!$G$3:$G$22-A1073)*Calc!$I$3:$I$22)</f>
        <v/>
      </c>
      <c r="O1073">
        <f>SUMPRODUCT(Calc!$K$3:$K$22*(Calc!$G$3:$G$22&gt;B1073)*(Calc!$G$3:$G$22-B1073)*Calc!$I$3:$I$22)</f>
        <v/>
      </c>
      <c r="P1073">
        <f>I1073-G1073^2/k_n</f>
        <v/>
      </c>
      <c r="Q1073">
        <f>J1073-H1073^2/k_n</f>
        <v/>
      </c>
      <c r="R1073">
        <f>K1073-G1073*H1073/k_n</f>
        <v/>
      </c>
      <c r="S1073">
        <f>L1073-LTP3!$D$3*G1073/k_n</f>
        <v/>
      </c>
      <c r="T1073">
        <f>M1073-LTP3!$D$3*H1073/k_n</f>
        <v/>
      </c>
      <c r="U1073">
        <f>N1073-G1073*LTP3!$D$4/k_n</f>
        <v/>
      </c>
      <c r="V1073">
        <f>O1073-H1073*LTP3!$D$4/k_n</f>
        <v/>
      </c>
      <c r="W1073">
        <f>((LTP3!$D$5)*((P1073)*(Q1073)-(R1073)*(R1073))-(S1073)*((S1073)*(Q1073)-(R1073)*(T1073))+(T1073)*((S1073)*(R1073)-(P1073)*(T1073)))</f>
        <v/>
      </c>
      <c r="X1073">
        <f>IF(ABS(W1073)&gt;1E-12,((LTP3!$D$6)*((P1073)*(Q1073)-(R1073)*(R1073))-(S1073)*((U1073)*(Q1073)-(R1073)*(V1073))+(T1073)*((U1073)*(R1073)-(P1073)*(V1073)))/W1073,0)</f>
        <v/>
      </c>
      <c r="Y1073">
        <f>IF(ABS(W1073)&gt;1E-12,((LTP3!$D$5)*((U1073)*(Q1073)-(R1073)*(V1073))-(LTP3!$D$6)*((S1073)*(Q1073)-(R1073)*(T1073))+(T1073)*((S1073)*(V1073)-(U1073)*(T1073)))/W1073,0)</f>
        <v/>
      </c>
      <c r="Z1073">
        <f>IF(ABS(W1073)&gt;1E-12,((LTP3!$D$5)*((P1073)*(V1073)-(U1073)*(R1073))-(S1073)*((S1073)*(V1073)-(U1073)*(T1073))+(LTP3!$D$6)*((S1073)*(R1073)-(P1073)*(T1073)))/W1073,0)</f>
        <v/>
      </c>
      <c r="AA1073">
        <f>LTP3!$D$7-X1073*LTP3!$D$6-Y1073*U1073-Z1073*V1073</f>
        <v/>
      </c>
      <c r="AB1073">
        <f>IF(AND(F1073,ABS(W1073)&gt;1E-12,Y1073&gt;0,Z1073&gt;0),AA1073,1E+300)</f>
        <v/>
      </c>
    </row>
    <row r="1074">
      <c r="A1074">
        <f>$B$3+$B$5*17</f>
        <v/>
      </c>
      <c r="B1074">
        <f>$B$3+$B$5*25</f>
        <v/>
      </c>
      <c r="C1074">
        <f>SUMPRODUCT(Calc!$K$3:$K$22*(Calc!$G$3:$G$22&lt;=A1074))</f>
        <v/>
      </c>
      <c r="D1074">
        <f>SUMPRODUCT(Calc!$K$3:$K$22*(Calc!$G$3:$G$22&gt;A1074)*(Calc!$G$3:$G$22&lt;B1074))</f>
        <v/>
      </c>
      <c r="E1074">
        <f>SUMPRODUCT(Calc!$K$3:$K$22*(Calc!$G$3:$G$22&gt;=B1074))</f>
        <v/>
      </c>
      <c r="F1074">
        <f>AND(k_n&gt;=5,B1074&gt;A1074+1E-9,C1074&gt;=2,D1074&gt;=1,E1074&gt;=2)</f>
        <v/>
      </c>
      <c r="G1074">
        <f>SUMPRODUCT(Calc!$K$3:$K$22*(Calc!$G$3:$G$22&gt;A1074)*(Calc!$G$3:$G$22-A1074))</f>
        <v/>
      </c>
      <c r="H1074">
        <f>SUMPRODUCT(Calc!$K$3:$K$22*(Calc!$G$3:$G$22&gt;B1074)*(Calc!$G$3:$G$22-B1074))</f>
        <v/>
      </c>
      <c r="I1074">
        <f>SUMPRODUCT(Calc!$K$3:$K$22*(Calc!$G$3:$G$22&gt;A1074)*(Calc!$G$3:$G$22-A1074)^2)</f>
        <v/>
      </c>
      <c r="J1074">
        <f>SUMPRODUCT(Calc!$K$3:$K$22*(Calc!$G$3:$G$22&gt;B1074)*(Calc!$G$3:$G$22-B1074)^2)</f>
        <v/>
      </c>
      <c r="K1074">
        <f>SUMPRODUCT(Calc!$K$3:$K$22*(Calc!$G$3:$G$22&gt;A1074)*(Calc!$G$3:$G$22-A1074)*(Calc!$G$3:$G$22&gt;B1074)*(Calc!$G$3:$G$22-B1074))</f>
        <v/>
      </c>
      <c r="L1074">
        <f>SUMPRODUCT(Calc!$K$3:$K$22*(Calc!$G$3:$G$22&gt;A1074)*(Calc!$G$3:$G$22-A1074)*Calc!$G$3:$G$22)</f>
        <v/>
      </c>
      <c r="M1074">
        <f>SUMPRODUCT(Calc!$K$3:$K$22*(Calc!$G$3:$G$22&gt;B1074)*(Calc!$G$3:$G$22-B1074)*Calc!$G$3:$G$22)</f>
        <v/>
      </c>
      <c r="N1074">
        <f>SUMPRODUCT(Calc!$K$3:$K$22*(Calc!$G$3:$G$22&gt;A1074)*(Calc!$G$3:$G$22-A1074)*Calc!$I$3:$I$22)</f>
        <v/>
      </c>
      <c r="O1074">
        <f>SUMPRODUCT(Calc!$K$3:$K$22*(Calc!$G$3:$G$22&gt;B1074)*(Calc!$G$3:$G$22-B1074)*Calc!$I$3:$I$22)</f>
        <v/>
      </c>
      <c r="P1074">
        <f>I1074-G1074^2/k_n</f>
        <v/>
      </c>
      <c r="Q1074">
        <f>J1074-H1074^2/k_n</f>
        <v/>
      </c>
      <c r="R1074">
        <f>K1074-G1074*H1074/k_n</f>
        <v/>
      </c>
      <c r="S1074">
        <f>L1074-LTP3!$D$3*G1074/k_n</f>
        <v/>
      </c>
      <c r="T1074">
        <f>M1074-LTP3!$D$3*H1074/k_n</f>
        <v/>
      </c>
      <c r="U1074">
        <f>N1074-G1074*LTP3!$D$4/k_n</f>
        <v/>
      </c>
      <c r="V1074">
        <f>O1074-H1074*LTP3!$D$4/k_n</f>
        <v/>
      </c>
      <c r="W1074">
        <f>((LTP3!$D$5)*((P1074)*(Q1074)-(R1074)*(R1074))-(S1074)*((S1074)*(Q1074)-(R1074)*(T1074))+(T1074)*((S1074)*(R1074)-(P1074)*(T1074)))</f>
        <v/>
      </c>
      <c r="X1074">
        <f>IF(ABS(W1074)&gt;1E-12,((LTP3!$D$6)*((P1074)*(Q1074)-(R1074)*(R1074))-(S1074)*((U1074)*(Q1074)-(R1074)*(V1074))+(T1074)*((U1074)*(R1074)-(P1074)*(V1074)))/W1074,0)</f>
        <v/>
      </c>
      <c r="Y1074">
        <f>IF(ABS(W1074)&gt;1E-12,((LTP3!$D$5)*((U1074)*(Q1074)-(R1074)*(V1074))-(LTP3!$D$6)*((S1074)*(Q1074)-(R1074)*(T1074))+(T1074)*((S1074)*(V1074)-(U1074)*(T1074)))/W1074,0)</f>
        <v/>
      </c>
      <c r="Z1074">
        <f>IF(ABS(W1074)&gt;1E-12,((LTP3!$D$5)*((P1074)*(V1074)-(U1074)*(R1074))-(S1074)*((S1074)*(V1074)-(U1074)*(T1074))+(LTP3!$D$6)*((S1074)*(R1074)-(P1074)*(T1074)))/W1074,0)</f>
        <v/>
      </c>
      <c r="AA1074">
        <f>LTP3!$D$7-X1074*LTP3!$D$6-Y1074*U1074-Z1074*V1074</f>
        <v/>
      </c>
      <c r="AB1074">
        <f>IF(AND(F1074,ABS(W1074)&gt;1E-12,Y1074&gt;0,Z1074&gt;0),AA1074,1E+300)</f>
        <v/>
      </c>
    </row>
    <row r="1075">
      <c r="A1075">
        <f>$B$3+$B$5*17</f>
        <v/>
      </c>
      <c r="B1075">
        <f>$B$3+$B$5*26</f>
        <v/>
      </c>
      <c r="C1075">
        <f>SUMPRODUCT(Calc!$K$3:$K$22*(Calc!$G$3:$G$22&lt;=A1075))</f>
        <v/>
      </c>
      <c r="D1075">
        <f>SUMPRODUCT(Calc!$K$3:$K$22*(Calc!$G$3:$G$22&gt;A1075)*(Calc!$G$3:$G$22&lt;B1075))</f>
        <v/>
      </c>
      <c r="E1075">
        <f>SUMPRODUCT(Calc!$K$3:$K$22*(Calc!$G$3:$G$22&gt;=B1075))</f>
        <v/>
      </c>
      <c r="F1075">
        <f>AND(k_n&gt;=5,B1075&gt;A1075+1E-9,C1075&gt;=2,D1075&gt;=1,E1075&gt;=2)</f>
        <v/>
      </c>
      <c r="G1075">
        <f>SUMPRODUCT(Calc!$K$3:$K$22*(Calc!$G$3:$G$22&gt;A1075)*(Calc!$G$3:$G$22-A1075))</f>
        <v/>
      </c>
      <c r="H1075">
        <f>SUMPRODUCT(Calc!$K$3:$K$22*(Calc!$G$3:$G$22&gt;B1075)*(Calc!$G$3:$G$22-B1075))</f>
        <v/>
      </c>
      <c r="I1075">
        <f>SUMPRODUCT(Calc!$K$3:$K$22*(Calc!$G$3:$G$22&gt;A1075)*(Calc!$G$3:$G$22-A1075)^2)</f>
        <v/>
      </c>
      <c r="J1075">
        <f>SUMPRODUCT(Calc!$K$3:$K$22*(Calc!$G$3:$G$22&gt;B1075)*(Calc!$G$3:$G$22-B1075)^2)</f>
        <v/>
      </c>
      <c r="K1075">
        <f>SUMPRODUCT(Calc!$K$3:$K$22*(Calc!$G$3:$G$22&gt;A1075)*(Calc!$G$3:$G$22-A1075)*(Calc!$G$3:$G$22&gt;B1075)*(Calc!$G$3:$G$22-B1075))</f>
        <v/>
      </c>
      <c r="L1075">
        <f>SUMPRODUCT(Calc!$K$3:$K$22*(Calc!$G$3:$G$22&gt;A1075)*(Calc!$G$3:$G$22-A1075)*Calc!$G$3:$G$22)</f>
        <v/>
      </c>
      <c r="M1075">
        <f>SUMPRODUCT(Calc!$K$3:$K$22*(Calc!$G$3:$G$22&gt;B1075)*(Calc!$G$3:$G$22-B1075)*Calc!$G$3:$G$22)</f>
        <v/>
      </c>
      <c r="N1075">
        <f>SUMPRODUCT(Calc!$K$3:$K$22*(Calc!$G$3:$G$22&gt;A1075)*(Calc!$G$3:$G$22-A1075)*Calc!$I$3:$I$22)</f>
        <v/>
      </c>
      <c r="O1075">
        <f>SUMPRODUCT(Calc!$K$3:$K$22*(Calc!$G$3:$G$22&gt;B1075)*(Calc!$G$3:$G$22-B1075)*Calc!$I$3:$I$22)</f>
        <v/>
      </c>
      <c r="P1075">
        <f>I1075-G1075^2/k_n</f>
        <v/>
      </c>
      <c r="Q1075">
        <f>J1075-H1075^2/k_n</f>
        <v/>
      </c>
      <c r="R1075">
        <f>K1075-G1075*H1075/k_n</f>
        <v/>
      </c>
      <c r="S1075">
        <f>L1075-LTP3!$D$3*G1075/k_n</f>
        <v/>
      </c>
      <c r="T1075">
        <f>M1075-LTP3!$D$3*H1075/k_n</f>
        <v/>
      </c>
      <c r="U1075">
        <f>N1075-G1075*LTP3!$D$4/k_n</f>
        <v/>
      </c>
      <c r="V1075">
        <f>O1075-H1075*LTP3!$D$4/k_n</f>
        <v/>
      </c>
      <c r="W1075">
        <f>((LTP3!$D$5)*((P1075)*(Q1075)-(R1075)*(R1075))-(S1075)*((S1075)*(Q1075)-(R1075)*(T1075))+(T1075)*((S1075)*(R1075)-(P1075)*(T1075)))</f>
        <v/>
      </c>
      <c r="X1075">
        <f>IF(ABS(W1075)&gt;1E-12,((LTP3!$D$6)*((P1075)*(Q1075)-(R1075)*(R1075))-(S1075)*((U1075)*(Q1075)-(R1075)*(V1075))+(T1075)*((U1075)*(R1075)-(P1075)*(V1075)))/W1075,0)</f>
        <v/>
      </c>
      <c r="Y1075">
        <f>IF(ABS(W1075)&gt;1E-12,((LTP3!$D$5)*((U1075)*(Q1075)-(R1075)*(V1075))-(LTP3!$D$6)*((S1075)*(Q1075)-(R1075)*(T1075))+(T1075)*((S1075)*(V1075)-(U1075)*(T1075)))/W1075,0)</f>
        <v/>
      </c>
      <c r="Z1075">
        <f>IF(ABS(W1075)&gt;1E-12,((LTP3!$D$5)*((P1075)*(V1075)-(U1075)*(R1075))-(S1075)*((S1075)*(V1075)-(U1075)*(T1075))+(LTP3!$D$6)*((S1075)*(R1075)-(P1075)*(T1075)))/W1075,0)</f>
        <v/>
      </c>
      <c r="AA1075">
        <f>LTP3!$D$7-X1075*LTP3!$D$6-Y1075*U1075-Z1075*V1075</f>
        <v/>
      </c>
      <c r="AB1075">
        <f>IF(AND(F1075,ABS(W1075)&gt;1E-12,Y1075&gt;0,Z1075&gt;0),AA1075,1E+300)</f>
        <v/>
      </c>
    </row>
    <row r="1076">
      <c r="A1076">
        <f>$B$3+$B$5*17</f>
        <v/>
      </c>
      <c r="B1076">
        <f>$B$3+$B$5*27</f>
        <v/>
      </c>
      <c r="C1076">
        <f>SUMPRODUCT(Calc!$K$3:$K$22*(Calc!$G$3:$G$22&lt;=A1076))</f>
        <v/>
      </c>
      <c r="D1076">
        <f>SUMPRODUCT(Calc!$K$3:$K$22*(Calc!$G$3:$G$22&gt;A1076)*(Calc!$G$3:$G$22&lt;B1076))</f>
        <v/>
      </c>
      <c r="E1076">
        <f>SUMPRODUCT(Calc!$K$3:$K$22*(Calc!$G$3:$G$22&gt;=B1076))</f>
        <v/>
      </c>
      <c r="F1076">
        <f>AND(k_n&gt;=5,B1076&gt;A1076+1E-9,C1076&gt;=2,D1076&gt;=1,E1076&gt;=2)</f>
        <v/>
      </c>
      <c r="G1076">
        <f>SUMPRODUCT(Calc!$K$3:$K$22*(Calc!$G$3:$G$22&gt;A1076)*(Calc!$G$3:$G$22-A1076))</f>
        <v/>
      </c>
      <c r="H1076">
        <f>SUMPRODUCT(Calc!$K$3:$K$22*(Calc!$G$3:$G$22&gt;B1076)*(Calc!$G$3:$G$22-B1076))</f>
        <v/>
      </c>
      <c r="I1076">
        <f>SUMPRODUCT(Calc!$K$3:$K$22*(Calc!$G$3:$G$22&gt;A1076)*(Calc!$G$3:$G$22-A1076)^2)</f>
        <v/>
      </c>
      <c r="J1076">
        <f>SUMPRODUCT(Calc!$K$3:$K$22*(Calc!$G$3:$G$22&gt;B1076)*(Calc!$G$3:$G$22-B1076)^2)</f>
        <v/>
      </c>
      <c r="K1076">
        <f>SUMPRODUCT(Calc!$K$3:$K$22*(Calc!$G$3:$G$22&gt;A1076)*(Calc!$G$3:$G$22-A1076)*(Calc!$G$3:$G$22&gt;B1076)*(Calc!$G$3:$G$22-B1076))</f>
        <v/>
      </c>
      <c r="L1076">
        <f>SUMPRODUCT(Calc!$K$3:$K$22*(Calc!$G$3:$G$22&gt;A1076)*(Calc!$G$3:$G$22-A1076)*Calc!$G$3:$G$22)</f>
        <v/>
      </c>
      <c r="M1076">
        <f>SUMPRODUCT(Calc!$K$3:$K$22*(Calc!$G$3:$G$22&gt;B1076)*(Calc!$G$3:$G$22-B1076)*Calc!$G$3:$G$22)</f>
        <v/>
      </c>
      <c r="N1076">
        <f>SUMPRODUCT(Calc!$K$3:$K$22*(Calc!$G$3:$G$22&gt;A1076)*(Calc!$G$3:$G$22-A1076)*Calc!$I$3:$I$22)</f>
        <v/>
      </c>
      <c r="O1076">
        <f>SUMPRODUCT(Calc!$K$3:$K$22*(Calc!$G$3:$G$22&gt;B1076)*(Calc!$G$3:$G$22-B1076)*Calc!$I$3:$I$22)</f>
        <v/>
      </c>
      <c r="P1076">
        <f>I1076-G1076^2/k_n</f>
        <v/>
      </c>
      <c r="Q1076">
        <f>J1076-H1076^2/k_n</f>
        <v/>
      </c>
      <c r="R1076">
        <f>K1076-G1076*H1076/k_n</f>
        <v/>
      </c>
      <c r="S1076">
        <f>L1076-LTP3!$D$3*G1076/k_n</f>
        <v/>
      </c>
      <c r="T1076">
        <f>M1076-LTP3!$D$3*H1076/k_n</f>
        <v/>
      </c>
      <c r="U1076">
        <f>N1076-G1076*LTP3!$D$4/k_n</f>
        <v/>
      </c>
      <c r="V1076">
        <f>O1076-H1076*LTP3!$D$4/k_n</f>
        <v/>
      </c>
      <c r="W1076">
        <f>((LTP3!$D$5)*((P1076)*(Q1076)-(R1076)*(R1076))-(S1076)*((S1076)*(Q1076)-(R1076)*(T1076))+(T1076)*((S1076)*(R1076)-(P1076)*(T1076)))</f>
        <v/>
      </c>
      <c r="X1076">
        <f>IF(ABS(W1076)&gt;1E-12,((LTP3!$D$6)*((P1076)*(Q1076)-(R1076)*(R1076))-(S1076)*((U1076)*(Q1076)-(R1076)*(V1076))+(T1076)*((U1076)*(R1076)-(P1076)*(V1076)))/W1076,0)</f>
        <v/>
      </c>
      <c r="Y1076">
        <f>IF(ABS(W1076)&gt;1E-12,((LTP3!$D$5)*((U1076)*(Q1076)-(R1076)*(V1076))-(LTP3!$D$6)*((S1076)*(Q1076)-(R1076)*(T1076))+(T1076)*((S1076)*(V1076)-(U1076)*(T1076)))/W1076,0)</f>
        <v/>
      </c>
      <c r="Z1076">
        <f>IF(ABS(W1076)&gt;1E-12,((LTP3!$D$5)*((P1076)*(V1076)-(U1076)*(R1076))-(S1076)*((S1076)*(V1076)-(U1076)*(T1076))+(LTP3!$D$6)*((S1076)*(R1076)-(P1076)*(T1076)))/W1076,0)</f>
        <v/>
      </c>
      <c r="AA1076">
        <f>LTP3!$D$7-X1076*LTP3!$D$6-Y1076*U1076-Z1076*V1076</f>
        <v/>
      </c>
      <c r="AB1076">
        <f>IF(AND(F1076,ABS(W1076)&gt;1E-12,Y1076&gt;0,Z1076&gt;0),AA1076,1E+300)</f>
        <v/>
      </c>
    </row>
    <row r="1077">
      <c r="A1077">
        <f>$B$3+$B$5*17</f>
        <v/>
      </c>
      <c r="B1077">
        <f>$B$3+$B$5*28</f>
        <v/>
      </c>
      <c r="C1077">
        <f>SUMPRODUCT(Calc!$K$3:$K$22*(Calc!$G$3:$G$22&lt;=A1077))</f>
        <v/>
      </c>
      <c r="D1077">
        <f>SUMPRODUCT(Calc!$K$3:$K$22*(Calc!$G$3:$G$22&gt;A1077)*(Calc!$G$3:$G$22&lt;B1077))</f>
        <v/>
      </c>
      <c r="E1077">
        <f>SUMPRODUCT(Calc!$K$3:$K$22*(Calc!$G$3:$G$22&gt;=B1077))</f>
        <v/>
      </c>
      <c r="F1077">
        <f>AND(k_n&gt;=5,B1077&gt;A1077+1E-9,C1077&gt;=2,D1077&gt;=1,E1077&gt;=2)</f>
        <v/>
      </c>
      <c r="G1077">
        <f>SUMPRODUCT(Calc!$K$3:$K$22*(Calc!$G$3:$G$22&gt;A1077)*(Calc!$G$3:$G$22-A1077))</f>
        <v/>
      </c>
      <c r="H1077">
        <f>SUMPRODUCT(Calc!$K$3:$K$22*(Calc!$G$3:$G$22&gt;B1077)*(Calc!$G$3:$G$22-B1077))</f>
        <v/>
      </c>
      <c r="I1077">
        <f>SUMPRODUCT(Calc!$K$3:$K$22*(Calc!$G$3:$G$22&gt;A1077)*(Calc!$G$3:$G$22-A1077)^2)</f>
        <v/>
      </c>
      <c r="J1077">
        <f>SUMPRODUCT(Calc!$K$3:$K$22*(Calc!$G$3:$G$22&gt;B1077)*(Calc!$G$3:$G$22-B1077)^2)</f>
        <v/>
      </c>
      <c r="K1077">
        <f>SUMPRODUCT(Calc!$K$3:$K$22*(Calc!$G$3:$G$22&gt;A1077)*(Calc!$G$3:$G$22-A1077)*(Calc!$G$3:$G$22&gt;B1077)*(Calc!$G$3:$G$22-B1077))</f>
        <v/>
      </c>
      <c r="L1077">
        <f>SUMPRODUCT(Calc!$K$3:$K$22*(Calc!$G$3:$G$22&gt;A1077)*(Calc!$G$3:$G$22-A1077)*Calc!$G$3:$G$22)</f>
        <v/>
      </c>
      <c r="M1077">
        <f>SUMPRODUCT(Calc!$K$3:$K$22*(Calc!$G$3:$G$22&gt;B1077)*(Calc!$G$3:$G$22-B1077)*Calc!$G$3:$G$22)</f>
        <v/>
      </c>
      <c r="N1077">
        <f>SUMPRODUCT(Calc!$K$3:$K$22*(Calc!$G$3:$G$22&gt;A1077)*(Calc!$G$3:$G$22-A1077)*Calc!$I$3:$I$22)</f>
        <v/>
      </c>
      <c r="O1077">
        <f>SUMPRODUCT(Calc!$K$3:$K$22*(Calc!$G$3:$G$22&gt;B1077)*(Calc!$G$3:$G$22-B1077)*Calc!$I$3:$I$22)</f>
        <v/>
      </c>
      <c r="P1077">
        <f>I1077-G1077^2/k_n</f>
        <v/>
      </c>
      <c r="Q1077">
        <f>J1077-H1077^2/k_n</f>
        <v/>
      </c>
      <c r="R1077">
        <f>K1077-G1077*H1077/k_n</f>
        <v/>
      </c>
      <c r="S1077">
        <f>L1077-LTP3!$D$3*G1077/k_n</f>
        <v/>
      </c>
      <c r="T1077">
        <f>M1077-LTP3!$D$3*H1077/k_n</f>
        <v/>
      </c>
      <c r="U1077">
        <f>N1077-G1077*LTP3!$D$4/k_n</f>
        <v/>
      </c>
      <c r="V1077">
        <f>O1077-H1077*LTP3!$D$4/k_n</f>
        <v/>
      </c>
      <c r="W1077">
        <f>((LTP3!$D$5)*((P1077)*(Q1077)-(R1077)*(R1077))-(S1077)*((S1077)*(Q1077)-(R1077)*(T1077))+(T1077)*((S1077)*(R1077)-(P1077)*(T1077)))</f>
        <v/>
      </c>
      <c r="X1077">
        <f>IF(ABS(W1077)&gt;1E-12,((LTP3!$D$6)*((P1077)*(Q1077)-(R1077)*(R1077))-(S1077)*((U1077)*(Q1077)-(R1077)*(V1077))+(T1077)*((U1077)*(R1077)-(P1077)*(V1077)))/W1077,0)</f>
        <v/>
      </c>
      <c r="Y1077">
        <f>IF(ABS(W1077)&gt;1E-12,((LTP3!$D$5)*((U1077)*(Q1077)-(R1077)*(V1077))-(LTP3!$D$6)*((S1077)*(Q1077)-(R1077)*(T1077))+(T1077)*((S1077)*(V1077)-(U1077)*(T1077)))/W1077,0)</f>
        <v/>
      </c>
      <c r="Z1077">
        <f>IF(ABS(W1077)&gt;1E-12,((LTP3!$D$5)*((P1077)*(V1077)-(U1077)*(R1077))-(S1077)*((S1077)*(V1077)-(U1077)*(T1077))+(LTP3!$D$6)*((S1077)*(R1077)-(P1077)*(T1077)))/W1077,0)</f>
        <v/>
      </c>
      <c r="AA1077">
        <f>LTP3!$D$7-X1077*LTP3!$D$6-Y1077*U1077-Z1077*V1077</f>
        <v/>
      </c>
      <c r="AB1077">
        <f>IF(AND(F1077,ABS(W1077)&gt;1E-12,Y1077&gt;0,Z1077&gt;0),AA1077,1E+300)</f>
        <v/>
      </c>
    </row>
    <row r="1078">
      <c r="A1078">
        <f>$B$3+$B$5*17</f>
        <v/>
      </c>
      <c r="B1078">
        <f>$B$3+$B$5*29</f>
        <v/>
      </c>
      <c r="C1078">
        <f>SUMPRODUCT(Calc!$K$3:$K$22*(Calc!$G$3:$G$22&lt;=A1078))</f>
        <v/>
      </c>
      <c r="D1078">
        <f>SUMPRODUCT(Calc!$K$3:$K$22*(Calc!$G$3:$G$22&gt;A1078)*(Calc!$G$3:$G$22&lt;B1078))</f>
        <v/>
      </c>
      <c r="E1078">
        <f>SUMPRODUCT(Calc!$K$3:$K$22*(Calc!$G$3:$G$22&gt;=B1078))</f>
        <v/>
      </c>
      <c r="F1078">
        <f>AND(k_n&gt;=5,B1078&gt;A1078+1E-9,C1078&gt;=2,D1078&gt;=1,E1078&gt;=2)</f>
        <v/>
      </c>
      <c r="G1078">
        <f>SUMPRODUCT(Calc!$K$3:$K$22*(Calc!$G$3:$G$22&gt;A1078)*(Calc!$G$3:$G$22-A1078))</f>
        <v/>
      </c>
      <c r="H1078">
        <f>SUMPRODUCT(Calc!$K$3:$K$22*(Calc!$G$3:$G$22&gt;B1078)*(Calc!$G$3:$G$22-B1078))</f>
        <v/>
      </c>
      <c r="I1078">
        <f>SUMPRODUCT(Calc!$K$3:$K$22*(Calc!$G$3:$G$22&gt;A1078)*(Calc!$G$3:$G$22-A1078)^2)</f>
        <v/>
      </c>
      <c r="J1078">
        <f>SUMPRODUCT(Calc!$K$3:$K$22*(Calc!$G$3:$G$22&gt;B1078)*(Calc!$G$3:$G$22-B1078)^2)</f>
        <v/>
      </c>
      <c r="K1078">
        <f>SUMPRODUCT(Calc!$K$3:$K$22*(Calc!$G$3:$G$22&gt;A1078)*(Calc!$G$3:$G$22-A1078)*(Calc!$G$3:$G$22&gt;B1078)*(Calc!$G$3:$G$22-B1078))</f>
        <v/>
      </c>
      <c r="L1078">
        <f>SUMPRODUCT(Calc!$K$3:$K$22*(Calc!$G$3:$G$22&gt;A1078)*(Calc!$G$3:$G$22-A1078)*Calc!$G$3:$G$22)</f>
        <v/>
      </c>
      <c r="M1078">
        <f>SUMPRODUCT(Calc!$K$3:$K$22*(Calc!$G$3:$G$22&gt;B1078)*(Calc!$G$3:$G$22-B1078)*Calc!$G$3:$G$22)</f>
        <v/>
      </c>
      <c r="N1078">
        <f>SUMPRODUCT(Calc!$K$3:$K$22*(Calc!$G$3:$G$22&gt;A1078)*(Calc!$G$3:$G$22-A1078)*Calc!$I$3:$I$22)</f>
        <v/>
      </c>
      <c r="O1078">
        <f>SUMPRODUCT(Calc!$K$3:$K$22*(Calc!$G$3:$G$22&gt;B1078)*(Calc!$G$3:$G$22-B1078)*Calc!$I$3:$I$22)</f>
        <v/>
      </c>
      <c r="P1078">
        <f>I1078-G1078^2/k_n</f>
        <v/>
      </c>
      <c r="Q1078">
        <f>J1078-H1078^2/k_n</f>
        <v/>
      </c>
      <c r="R1078">
        <f>K1078-G1078*H1078/k_n</f>
        <v/>
      </c>
      <c r="S1078">
        <f>L1078-LTP3!$D$3*G1078/k_n</f>
        <v/>
      </c>
      <c r="T1078">
        <f>M1078-LTP3!$D$3*H1078/k_n</f>
        <v/>
      </c>
      <c r="U1078">
        <f>N1078-G1078*LTP3!$D$4/k_n</f>
        <v/>
      </c>
      <c r="V1078">
        <f>O1078-H1078*LTP3!$D$4/k_n</f>
        <v/>
      </c>
      <c r="W1078">
        <f>((LTP3!$D$5)*((P1078)*(Q1078)-(R1078)*(R1078))-(S1078)*((S1078)*(Q1078)-(R1078)*(T1078))+(T1078)*((S1078)*(R1078)-(P1078)*(T1078)))</f>
        <v/>
      </c>
      <c r="X1078">
        <f>IF(ABS(W1078)&gt;1E-12,((LTP3!$D$6)*((P1078)*(Q1078)-(R1078)*(R1078))-(S1078)*((U1078)*(Q1078)-(R1078)*(V1078))+(T1078)*((U1078)*(R1078)-(P1078)*(V1078)))/W1078,0)</f>
        <v/>
      </c>
      <c r="Y1078">
        <f>IF(ABS(W1078)&gt;1E-12,((LTP3!$D$5)*((U1078)*(Q1078)-(R1078)*(V1078))-(LTP3!$D$6)*((S1078)*(Q1078)-(R1078)*(T1078))+(T1078)*((S1078)*(V1078)-(U1078)*(T1078)))/W1078,0)</f>
        <v/>
      </c>
      <c r="Z1078">
        <f>IF(ABS(W1078)&gt;1E-12,((LTP3!$D$5)*((P1078)*(V1078)-(U1078)*(R1078))-(S1078)*((S1078)*(V1078)-(U1078)*(T1078))+(LTP3!$D$6)*((S1078)*(R1078)-(P1078)*(T1078)))/W1078,0)</f>
        <v/>
      </c>
      <c r="AA1078">
        <f>LTP3!$D$7-X1078*LTP3!$D$6-Y1078*U1078-Z1078*V1078</f>
        <v/>
      </c>
      <c r="AB1078">
        <f>IF(AND(F1078,ABS(W1078)&gt;1E-12,Y1078&gt;0,Z1078&gt;0),AA1078,1E+300)</f>
        <v/>
      </c>
    </row>
    <row r="1079">
      <c r="A1079">
        <f>$B$3+$B$5*17</f>
        <v/>
      </c>
      <c r="B1079">
        <f>$B$3+$B$5*30</f>
        <v/>
      </c>
      <c r="C1079">
        <f>SUMPRODUCT(Calc!$K$3:$K$22*(Calc!$G$3:$G$22&lt;=A1079))</f>
        <v/>
      </c>
      <c r="D1079">
        <f>SUMPRODUCT(Calc!$K$3:$K$22*(Calc!$G$3:$G$22&gt;A1079)*(Calc!$G$3:$G$22&lt;B1079))</f>
        <v/>
      </c>
      <c r="E1079">
        <f>SUMPRODUCT(Calc!$K$3:$K$22*(Calc!$G$3:$G$22&gt;=B1079))</f>
        <v/>
      </c>
      <c r="F1079">
        <f>AND(k_n&gt;=5,B1079&gt;A1079+1E-9,C1079&gt;=2,D1079&gt;=1,E1079&gt;=2)</f>
        <v/>
      </c>
      <c r="G1079">
        <f>SUMPRODUCT(Calc!$K$3:$K$22*(Calc!$G$3:$G$22&gt;A1079)*(Calc!$G$3:$G$22-A1079))</f>
        <v/>
      </c>
      <c r="H1079">
        <f>SUMPRODUCT(Calc!$K$3:$K$22*(Calc!$G$3:$G$22&gt;B1079)*(Calc!$G$3:$G$22-B1079))</f>
        <v/>
      </c>
      <c r="I1079">
        <f>SUMPRODUCT(Calc!$K$3:$K$22*(Calc!$G$3:$G$22&gt;A1079)*(Calc!$G$3:$G$22-A1079)^2)</f>
        <v/>
      </c>
      <c r="J1079">
        <f>SUMPRODUCT(Calc!$K$3:$K$22*(Calc!$G$3:$G$22&gt;B1079)*(Calc!$G$3:$G$22-B1079)^2)</f>
        <v/>
      </c>
      <c r="K1079">
        <f>SUMPRODUCT(Calc!$K$3:$K$22*(Calc!$G$3:$G$22&gt;A1079)*(Calc!$G$3:$G$22-A1079)*(Calc!$G$3:$G$22&gt;B1079)*(Calc!$G$3:$G$22-B1079))</f>
        <v/>
      </c>
      <c r="L1079">
        <f>SUMPRODUCT(Calc!$K$3:$K$22*(Calc!$G$3:$G$22&gt;A1079)*(Calc!$G$3:$G$22-A1079)*Calc!$G$3:$G$22)</f>
        <v/>
      </c>
      <c r="M1079">
        <f>SUMPRODUCT(Calc!$K$3:$K$22*(Calc!$G$3:$G$22&gt;B1079)*(Calc!$G$3:$G$22-B1079)*Calc!$G$3:$G$22)</f>
        <v/>
      </c>
      <c r="N1079">
        <f>SUMPRODUCT(Calc!$K$3:$K$22*(Calc!$G$3:$G$22&gt;A1079)*(Calc!$G$3:$G$22-A1079)*Calc!$I$3:$I$22)</f>
        <v/>
      </c>
      <c r="O1079">
        <f>SUMPRODUCT(Calc!$K$3:$K$22*(Calc!$G$3:$G$22&gt;B1079)*(Calc!$G$3:$G$22-B1079)*Calc!$I$3:$I$22)</f>
        <v/>
      </c>
      <c r="P1079">
        <f>I1079-G1079^2/k_n</f>
        <v/>
      </c>
      <c r="Q1079">
        <f>J1079-H1079^2/k_n</f>
        <v/>
      </c>
      <c r="R1079">
        <f>K1079-G1079*H1079/k_n</f>
        <v/>
      </c>
      <c r="S1079">
        <f>L1079-LTP3!$D$3*G1079/k_n</f>
        <v/>
      </c>
      <c r="T1079">
        <f>M1079-LTP3!$D$3*H1079/k_n</f>
        <v/>
      </c>
      <c r="U1079">
        <f>N1079-G1079*LTP3!$D$4/k_n</f>
        <v/>
      </c>
      <c r="V1079">
        <f>O1079-H1079*LTP3!$D$4/k_n</f>
        <v/>
      </c>
      <c r="W1079">
        <f>((LTP3!$D$5)*((P1079)*(Q1079)-(R1079)*(R1079))-(S1079)*((S1079)*(Q1079)-(R1079)*(T1079))+(T1079)*((S1079)*(R1079)-(P1079)*(T1079)))</f>
        <v/>
      </c>
      <c r="X1079">
        <f>IF(ABS(W1079)&gt;1E-12,((LTP3!$D$6)*((P1079)*(Q1079)-(R1079)*(R1079))-(S1079)*((U1079)*(Q1079)-(R1079)*(V1079))+(T1079)*((U1079)*(R1079)-(P1079)*(V1079)))/W1079,0)</f>
        <v/>
      </c>
      <c r="Y1079">
        <f>IF(ABS(W1079)&gt;1E-12,((LTP3!$D$5)*((U1079)*(Q1079)-(R1079)*(V1079))-(LTP3!$D$6)*((S1079)*(Q1079)-(R1079)*(T1079))+(T1079)*((S1079)*(V1079)-(U1079)*(T1079)))/W1079,0)</f>
        <v/>
      </c>
      <c r="Z1079">
        <f>IF(ABS(W1079)&gt;1E-12,((LTP3!$D$5)*((P1079)*(V1079)-(U1079)*(R1079))-(S1079)*((S1079)*(V1079)-(U1079)*(T1079))+(LTP3!$D$6)*((S1079)*(R1079)-(P1079)*(T1079)))/W1079,0)</f>
        <v/>
      </c>
      <c r="AA1079">
        <f>LTP3!$D$7-X1079*LTP3!$D$6-Y1079*U1079-Z1079*V1079</f>
        <v/>
      </c>
      <c r="AB1079">
        <f>IF(AND(F1079,ABS(W1079)&gt;1E-12,Y1079&gt;0,Z1079&gt;0),AA1079,1E+300)</f>
        <v/>
      </c>
    </row>
    <row r="1080">
      <c r="A1080">
        <f>$B$3+$B$5*17</f>
        <v/>
      </c>
      <c r="B1080">
        <f>$B$3+$B$5*31</f>
        <v/>
      </c>
      <c r="C1080">
        <f>SUMPRODUCT(Calc!$K$3:$K$22*(Calc!$G$3:$G$22&lt;=A1080))</f>
        <v/>
      </c>
      <c r="D1080">
        <f>SUMPRODUCT(Calc!$K$3:$K$22*(Calc!$G$3:$G$22&gt;A1080)*(Calc!$G$3:$G$22&lt;B1080))</f>
        <v/>
      </c>
      <c r="E1080">
        <f>SUMPRODUCT(Calc!$K$3:$K$22*(Calc!$G$3:$G$22&gt;=B1080))</f>
        <v/>
      </c>
      <c r="F1080">
        <f>AND(k_n&gt;=5,B1080&gt;A1080+1E-9,C1080&gt;=2,D1080&gt;=1,E1080&gt;=2)</f>
        <v/>
      </c>
      <c r="G1080">
        <f>SUMPRODUCT(Calc!$K$3:$K$22*(Calc!$G$3:$G$22&gt;A1080)*(Calc!$G$3:$G$22-A1080))</f>
        <v/>
      </c>
      <c r="H1080">
        <f>SUMPRODUCT(Calc!$K$3:$K$22*(Calc!$G$3:$G$22&gt;B1080)*(Calc!$G$3:$G$22-B1080))</f>
        <v/>
      </c>
      <c r="I1080">
        <f>SUMPRODUCT(Calc!$K$3:$K$22*(Calc!$G$3:$G$22&gt;A1080)*(Calc!$G$3:$G$22-A1080)^2)</f>
        <v/>
      </c>
      <c r="J1080">
        <f>SUMPRODUCT(Calc!$K$3:$K$22*(Calc!$G$3:$G$22&gt;B1080)*(Calc!$G$3:$G$22-B1080)^2)</f>
        <v/>
      </c>
      <c r="K1080">
        <f>SUMPRODUCT(Calc!$K$3:$K$22*(Calc!$G$3:$G$22&gt;A1080)*(Calc!$G$3:$G$22-A1080)*(Calc!$G$3:$G$22&gt;B1080)*(Calc!$G$3:$G$22-B1080))</f>
        <v/>
      </c>
      <c r="L1080">
        <f>SUMPRODUCT(Calc!$K$3:$K$22*(Calc!$G$3:$G$22&gt;A1080)*(Calc!$G$3:$G$22-A1080)*Calc!$G$3:$G$22)</f>
        <v/>
      </c>
      <c r="M1080">
        <f>SUMPRODUCT(Calc!$K$3:$K$22*(Calc!$G$3:$G$22&gt;B1080)*(Calc!$G$3:$G$22-B1080)*Calc!$G$3:$G$22)</f>
        <v/>
      </c>
      <c r="N1080">
        <f>SUMPRODUCT(Calc!$K$3:$K$22*(Calc!$G$3:$G$22&gt;A1080)*(Calc!$G$3:$G$22-A1080)*Calc!$I$3:$I$22)</f>
        <v/>
      </c>
      <c r="O1080">
        <f>SUMPRODUCT(Calc!$K$3:$K$22*(Calc!$G$3:$G$22&gt;B1080)*(Calc!$G$3:$G$22-B1080)*Calc!$I$3:$I$22)</f>
        <v/>
      </c>
      <c r="P1080">
        <f>I1080-G1080^2/k_n</f>
        <v/>
      </c>
      <c r="Q1080">
        <f>J1080-H1080^2/k_n</f>
        <v/>
      </c>
      <c r="R1080">
        <f>K1080-G1080*H1080/k_n</f>
        <v/>
      </c>
      <c r="S1080">
        <f>L1080-LTP3!$D$3*G1080/k_n</f>
        <v/>
      </c>
      <c r="T1080">
        <f>M1080-LTP3!$D$3*H1080/k_n</f>
        <v/>
      </c>
      <c r="U1080">
        <f>N1080-G1080*LTP3!$D$4/k_n</f>
        <v/>
      </c>
      <c r="V1080">
        <f>O1080-H1080*LTP3!$D$4/k_n</f>
        <v/>
      </c>
      <c r="W1080">
        <f>((LTP3!$D$5)*((P1080)*(Q1080)-(R1080)*(R1080))-(S1080)*((S1080)*(Q1080)-(R1080)*(T1080))+(T1080)*((S1080)*(R1080)-(P1080)*(T1080)))</f>
        <v/>
      </c>
      <c r="X1080">
        <f>IF(ABS(W1080)&gt;1E-12,((LTP3!$D$6)*((P1080)*(Q1080)-(R1080)*(R1080))-(S1080)*((U1080)*(Q1080)-(R1080)*(V1080))+(T1080)*((U1080)*(R1080)-(P1080)*(V1080)))/W1080,0)</f>
        <v/>
      </c>
      <c r="Y1080">
        <f>IF(ABS(W1080)&gt;1E-12,((LTP3!$D$5)*((U1080)*(Q1080)-(R1080)*(V1080))-(LTP3!$D$6)*((S1080)*(Q1080)-(R1080)*(T1080))+(T1080)*((S1080)*(V1080)-(U1080)*(T1080)))/W1080,0)</f>
        <v/>
      </c>
      <c r="Z1080">
        <f>IF(ABS(W1080)&gt;1E-12,((LTP3!$D$5)*((P1080)*(V1080)-(U1080)*(R1080))-(S1080)*((S1080)*(V1080)-(U1080)*(T1080))+(LTP3!$D$6)*((S1080)*(R1080)-(P1080)*(T1080)))/W1080,0)</f>
        <v/>
      </c>
      <c r="AA1080">
        <f>LTP3!$D$7-X1080*LTP3!$D$6-Y1080*U1080-Z1080*V1080</f>
        <v/>
      </c>
      <c r="AB1080">
        <f>IF(AND(F1080,ABS(W1080)&gt;1E-12,Y1080&gt;0,Z1080&gt;0),AA1080,1E+300)</f>
        <v/>
      </c>
    </row>
    <row r="1081">
      <c r="A1081">
        <f>$B$3+$B$5*17</f>
        <v/>
      </c>
      <c r="B1081">
        <f>$B$3+$B$5*32</f>
        <v/>
      </c>
      <c r="C1081">
        <f>SUMPRODUCT(Calc!$K$3:$K$22*(Calc!$G$3:$G$22&lt;=A1081))</f>
        <v/>
      </c>
      <c r="D1081">
        <f>SUMPRODUCT(Calc!$K$3:$K$22*(Calc!$G$3:$G$22&gt;A1081)*(Calc!$G$3:$G$22&lt;B1081))</f>
        <v/>
      </c>
      <c r="E1081">
        <f>SUMPRODUCT(Calc!$K$3:$K$22*(Calc!$G$3:$G$22&gt;=B1081))</f>
        <v/>
      </c>
      <c r="F1081">
        <f>AND(k_n&gt;=5,B1081&gt;A1081+1E-9,C1081&gt;=2,D1081&gt;=1,E1081&gt;=2)</f>
        <v/>
      </c>
      <c r="G1081">
        <f>SUMPRODUCT(Calc!$K$3:$K$22*(Calc!$G$3:$G$22&gt;A1081)*(Calc!$G$3:$G$22-A1081))</f>
        <v/>
      </c>
      <c r="H1081">
        <f>SUMPRODUCT(Calc!$K$3:$K$22*(Calc!$G$3:$G$22&gt;B1081)*(Calc!$G$3:$G$22-B1081))</f>
        <v/>
      </c>
      <c r="I1081">
        <f>SUMPRODUCT(Calc!$K$3:$K$22*(Calc!$G$3:$G$22&gt;A1081)*(Calc!$G$3:$G$22-A1081)^2)</f>
        <v/>
      </c>
      <c r="J1081">
        <f>SUMPRODUCT(Calc!$K$3:$K$22*(Calc!$G$3:$G$22&gt;B1081)*(Calc!$G$3:$G$22-B1081)^2)</f>
        <v/>
      </c>
      <c r="K1081">
        <f>SUMPRODUCT(Calc!$K$3:$K$22*(Calc!$G$3:$G$22&gt;A1081)*(Calc!$G$3:$G$22-A1081)*(Calc!$G$3:$G$22&gt;B1081)*(Calc!$G$3:$G$22-B1081))</f>
        <v/>
      </c>
      <c r="L1081">
        <f>SUMPRODUCT(Calc!$K$3:$K$22*(Calc!$G$3:$G$22&gt;A1081)*(Calc!$G$3:$G$22-A1081)*Calc!$G$3:$G$22)</f>
        <v/>
      </c>
      <c r="M1081">
        <f>SUMPRODUCT(Calc!$K$3:$K$22*(Calc!$G$3:$G$22&gt;B1081)*(Calc!$G$3:$G$22-B1081)*Calc!$G$3:$G$22)</f>
        <v/>
      </c>
      <c r="N1081">
        <f>SUMPRODUCT(Calc!$K$3:$K$22*(Calc!$G$3:$G$22&gt;A1081)*(Calc!$G$3:$G$22-A1081)*Calc!$I$3:$I$22)</f>
        <v/>
      </c>
      <c r="O1081">
        <f>SUMPRODUCT(Calc!$K$3:$K$22*(Calc!$G$3:$G$22&gt;B1081)*(Calc!$G$3:$G$22-B1081)*Calc!$I$3:$I$22)</f>
        <v/>
      </c>
      <c r="P1081">
        <f>I1081-G1081^2/k_n</f>
        <v/>
      </c>
      <c r="Q1081">
        <f>J1081-H1081^2/k_n</f>
        <v/>
      </c>
      <c r="R1081">
        <f>K1081-G1081*H1081/k_n</f>
        <v/>
      </c>
      <c r="S1081">
        <f>L1081-LTP3!$D$3*G1081/k_n</f>
        <v/>
      </c>
      <c r="T1081">
        <f>M1081-LTP3!$D$3*H1081/k_n</f>
        <v/>
      </c>
      <c r="U1081">
        <f>N1081-G1081*LTP3!$D$4/k_n</f>
        <v/>
      </c>
      <c r="V1081">
        <f>O1081-H1081*LTP3!$D$4/k_n</f>
        <v/>
      </c>
      <c r="W1081">
        <f>((LTP3!$D$5)*((P1081)*(Q1081)-(R1081)*(R1081))-(S1081)*((S1081)*(Q1081)-(R1081)*(T1081))+(T1081)*((S1081)*(R1081)-(P1081)*(T1081)))</f>
        <v/>
      </c>
      <c r="X1081">
        <f>IF(ABS(W1081)&gt;1E-12,((LTP3!$D$6)*((P1081)*(Q1081)-(R1081)*(R1081))-(S1081)*((U1081)*(Q1081)-(R1081)*(V1081))+(T1081)*((U1081)*(R1081)-(P1081)*(V1081)))/W1081,0)</f>
        <v/>
      </c>
      <c r="Y1081">
        <f>IF(ABS(W1081)&gt;1E-12,((LTP3!$D$5)*((U1081)*(Q1081)-(R1081)*(V1081))-(LTP3!$D$6)*((S1081)*(Q1081)-(R1081)*(T1081))+(T1081)*((S1081)*(V1081)-(U1081)*(T1081)))/W1081,0)</f>
        <v/>
      </c>
      <c r="Z1081">
        <f>IF(ABS(W1081)&gt;1E-12,((LTP3!$D$5)*((P1081)*(V1081)-(U1081)*(R1081))-(S1081)*((S1081)*(V1081)-(U1081)*(T1081))+(LTP3!$D$6)*((S1081)*(R1081)-(P1081)*(T1081)))/W1081,0)</f>
        <v/>
      </c>
      <c r="AA1081">
        <f>LTP3!$D$7-X1081*LTP3!$D$6-Y1081*U1081-Z1081*V1081</f>
        <v/>
      </c>
      <c r="AB1081">
        <f>IF(AND(F1081,ABS(W1081)&gt;1E-12,Y1081&gt;0,Z1081&gt;0),AA1081,1E+300)</f>
        <v/>
      </c>
    </row>
    <row r="1082">
      <c r="A1082">
        <f>$B$3+$B$5*17</f>
        <v/>
      </c>
      <c r="B1082">
        <f>$B$3+$B$5*33</f>
        <v/>
      </c>
      <c r="C1082">
        <f>SUMPRODUCT(Calc!$K$3:$K$22*(Calc!$G$3:$G$22&lt;=A1082))</f>
        <v/>
      </c>
      <c r="D1082">
        <f>SUMPRODUCT(Calc!$K$3:$K$22*(Calc!$G$3:$G$22&gt;A1082)*(Calc!$G$3:$G$22&lt;B1082))</f>
        <v/>
      </c>
      <c r="E1082">
        <f>SUMPRODUCT(Calc!$K$3:$K$22*(Calc!$G$3:$G$22&gt;=B1082))</f>
        <v/>
      </c>
      <c r="F1082">
        <f>AND(k_n&gt;=5,B1082&gt;A1082+1E-9,C1082&gt;=2,D1082&gt;=1,E1082&gt;=2)</f>
        <v/>
      </c>
      <c r="G1082">
        <f>SUMPRODUCT(Calc!$K$3:$K$22*(Calc!$G$3:$G$22&gt;A1082)*(Calc!$G$3:$G$22-A1082))</f>
        <v/>
      </c>
      <c r="H1082">
        <f>SUMPRODUCT(Calc!$K$3:$K$22*(Calc!$G$3:$G$22&gt;B1082)*(Calc!$G$3:$G$22-B1082))</f>
        <v/>
      </c>
      <c r="I1082">
        <f>SUMPRODUCT(Calc!$K$3:$K$22*(Calc!$G$3:$G$22&gt;A1082)*(Calc!$G$3:$G$22-A1082)^2)</f>
        <v/>
      </c>
      <c r="J1082">
        <f>SUMPRODUCT(Calc!$K$3:$K$22*(Calc!$G$3:$G$22&gt;B1082)*(Calc!$G$3:$G$22-B1082)^2)</f>
        <v/>
      </c>
      <c r="K1082">
        <f>SUMPRODUCT(Calc!$K$3:$K$22*(Calc!$G$3:$G$22&gt;A1082)*(Calc!$G$3:$G$22-A1082)*(Calc!$G$3:$G$22&gt;B1082)*(Calc!$G$3:$G$22-B1082))</f>
        <v/>
      </c>
      <c r="L1082">
        <f>SUMPRODUCT(Calc!$K$3:$K$22*(Calc!$G$3:$G$22&gt;A1082)*(Calc!$G$3:$G$22-A1082)*Calc!$G$3:$G$22)</f>
        <v/>
      </c>
      <c r="M1082">
        <f>SUMPRODUCT(Calc!$K$3:$K$22*(Calc!$G$3:$G$22&gt;B1082)*(Calc!$G$3:$G$22-B1082)*Calc!$G$3:$G$22)</f>
        <v/>
      </c>
      <c r="N1082">
        <f>SUMPRODUCT(Calc!$K$3:$K$22*(Calc!$G$3:$G$22&gt;A1082)*(Calc!$G$3:$G$22-A1082)*Calc!$I$3:$I$22)</f>
        <v/>
      </c>
      <c r="O1082">
        <f>SUMPRODUCT(Calc!$K$3:$K$22*(Calc!$G$3:$G$22&gt;B1082)*(Calc!$G$3:$G$22-B1082)*Calc!$I$3:$I$22)</f>
        <v/>
      </c>
      <c r="P1082">
        <f>I1082-G1082^2/k_n</f>
        <v/>
      </c>
      <c r="Q1082">
        <f>J1082-H1082^2/k_n</f>
        <v/>
      </c>
      <c r="R1082">
        <f>K1082-G1082*H1082/k_n</f>
        <v/>
      </c>
      <c r="S1082">
        <f>L1082-LTP3!$D$3*G1082/k_n</f>
        <v/>
      </c>
      <c r="T1082">
        <f>M1082-LTP3!$D$3*H1082/k_n</f>
        <v/>
      </c>
      <c r="U1082">
        <f>N1082-G1082*LTP3!$D$4/k_n</f>
        <v/>
      </c>
      <c r="V1082">
        <f>O1082-H1082*LTP3!$D$4/k_n</f>
        <v/>
      </c>
      <c r="W1082">
        <f>((LTP3!$D$5)*((P1082)*(Q1082)-(R1082)*(R1082))-(S1082)*((S1082)*(Q1082)-(R1082)*(T1082))+(T1082)*((S1082)*(R1082)-(P1082)*(T1082)))</f>
        <v/>
      </c>
      <c r="X1082">
        <f>IF(ABS(W1082)&gt;1E-12,((LTP3!$D$6)*((P1082)*(Q1082)-(R1082)*(R1082))-(S1082)*((U1082)*(Q1082)-(R1082)*(V1082))+(T1082)*((U1082)*(R1082)-(P1082)*(V1082)))/W1082,0)</f>
        <v/>
      </c>
      <c r="Y1082">
        <f>IF(ABS(W1082)&gt;1E-12,((LTP3!$D$5)*((U1082)*(Q1082)-(R1082)*(V1082))-(LTP3!$D$6)*((S1082)*(Q1082)-(R1082)*(T1082))+(T1082)*((S1082)*(V1082)-(U1082)*(T1082)))/W1082,0)</f>
        <v/>
      </c>
      <c r="Z1082">
        <f>IF(ABS(W1082)&gt;1E-12,((LTP3!$D$5)*((P1082)*(V1082)-(U1082)*(R1082))-(S1082)*((S1082)*(V1082)-(U1082)*(T1082))+(LTP3!$D$6)*((S1082)*(R1082)-(P1082)*(T1082)))/W1082,0)</f>
        <v/>
      </c>
      <c r="AA1082">
        <f>LTP3!$D$7-X1082*LTP3!$D$6-Y1082*U1082-Z1082*V1082</f>
        <v/>
      </c>
      <c r="AB1082">
        <f>IF(AND(F1082,ABS(W1082)&gt;1E-12,Y1082&gt;0,Z1082&gt;0),AA1082,1E+300)</f>
        <v/>
      </c>
    </row>
    <row r="1083">
      <c r="A1083">
        <f>$B$3+$B$5*17</f>
        <v/>
      </c>
      <c r="B1083">
        <f>$B$3+$B$5*34</f>
        <v/>
      </c>
      <c r="C1083">
        <f>SUMPRODUCT(Calc!$K$3:$K$22*(Calc!$G$3:$G$22&lt;=A1083))</f>
        <v/>
      </c>
      <c r="D1083">
        <f>SUMPRODUCT(Calc!$K$3:$K$22*(Calc!$G$3:$G$22&gt;A1083)*(Calc!$G$3:$G$22&lt;B1083))</f>
        <v/>
      </c>
      <c r="E1083">
        <f>SUMPRODUCT(Calc!$K$3:$K$22*(Calc!$G$3:$G$22&gt;=B1083))</f>
        <v/>
      </c>
      <c r="F1083">
        <f>AND(k_n&gt;=5,B1083&gt;A1083+1E-9,C1083&gt;=2,D1083&gt;=1,E1083&gt;=2)</f>
        <v/>
      </c>
      <c r="G1083">
        <f>SUMPRODUCT(Calc!$K$3:$K$22*(Calc!$G$3:$G$22&gt;A1083)*(Calc!$G$3:$G$22-A1083))</f>
        <v/>
      </c>
      <c r="H1083">
        <f>SUMPRODUCT(Calc!$K$3:$K$22*(Calc!$G$3:$G$22&gt;B1083)*(Calc!$G$3:$G$22-B1083))</f>
        <v/>
      </c>
      <c r="I1083">
        <f>SUMPRODUCT(Calc!$K$3:$K$22*(Calc!$G$3:$G$22&gt;A1083)*(Calc!$G$3:$G$22-A1083)^2)</f>
        <v/>
      </c>
      <c r="J1083">
        <f>SUMPRODUCT(Calc!$K$3:$K$22*(Calc!$G$3:$G$22&gt;B1083)*(Calc!$G$3:$G$22-B1083)^2)</f>
        <v/>
      </c>
      <c r="K1083">
        <f>SUMPRODUCT(Calc!$K$3:$K$22*(Calc!$G$3:$G$22&gt;A1083)*(Calc!$G$3:$G$22-A1083)*(Calc!$G$3:$G$22&gt;B1083)*(Calc!$G$3:$G$22-B1083))</f>
        <v/>
      </c>
      <c r="L1083">
        <f>SUMPRODUCT(Calc!$K$3:$K$22*(Calc!$G$3:$G$22&gt;A1083)*(Calc!$G$3:$G$22-A1083)*Calc!$G$3:$G$22)</f>
        <v/>
      </c>
      <c r="M1083">
        <f>SUMPRODUCT(Calc!$K$3:$K$22*(Calc!$G$3:$G$22&gt;B1083)*(Calc!$G$3:$G$22-B1083)*Calc!$G$3:$G$22)</f>
        <v/>
      </c>
      <c r="N1083">
        <f>SUMPRODUCT(Calc!$K$3:$K$22*(Calc!$G$3:$G$22&gt;A1083)*(Calc!$G$3:$G$22-A1083)*Calc!$I$3:$I$22)</f>
        <v/>
      </c>
      <c r="O1083">
        <f>SUMPRODUCT(Calc!$K$3:$K$22*(Calc!$G$3:$G$22&gt;B1083)*(Calc!$G$3:$G$22-B1083)*Calc!$I$3:$I$22)</f>
        <v/>
      </c>
      <c r="P1083">
        <f>I1083-G1083^2/k_n</f>
        <v/>
      </c>
      <c r="Q1083">
        <f>J1083-H1083^2/k_n</f>
        <v/>
      </c>
      <c r="R1083">
        <f>K1083-G1083*H1083/k_n</f>
        <v/>
      </c>
      <c r="S1083">
        <f>L1083-LTP3!$D$3*G1083/k_n</f>
        <v/>
      </c>
      <c r="T1083">
        <f>M1083-LTP3!$D$3*H1083/k_n</f>
        <v/>
      </c>
      <c r="U1083">
        <f>N1083-G1083*LTP3!$D$4/k_n</f>
        <v/>
      </c>
      <c r="V1083">
        <f>O1083-H1083*LTP3!$D$4/k_n</f>
        <v/>
      </c>
      <c r="W1083">
        <f>((LTP3!$D$5)*((P1083)*(Q1083)-(R1083)*(R1083))-(S1083)*((S1083)*(Q1083)-(R1083)*(T1083))+(T1083)*((S1083)*(R1083)-(P1083)*(T1083)))</f>
        <v/>
      </c>
      <c r="X1083">
        <f>IF(ABS(W1083)&gt;1E-12,((LTP3!$D$6)*((P1083)*(Q1083)-(R1083)*(R1083))-(S1083)*((U1083)*(Q1083)-(R1083)*(V1083))+(T1083)*((U1083)*(R1083)-(P1083)*(V1083)))/W1083,0)</f>
        <v/>
      </c>
      <c r="Y1083">
        <f>IF(ABS(W1083)&gt;1E-12,((LTP3!$D$5)*((U1083)*(Q1083)-(R1083)*(V1083))-(LTP3!$D$6)*((S1083)*(Q1083)-(R1083)*(T1083))+(T1083)*((S1083)*(V1083)-(U1083)*(T1083)))/W1083,0)</f>
        <v/>
      </c>
      <c r="Z1083">
        <f>IF(ABS(W1083)&gt;1E-12,((LTP3!$D$5)*((P1083)*(V1083)-(U1083)*(R1083))-(S1083)*((S1083)*(V1083)-(U1083)*(T1083))+(LTP3!$D$6)*((S1083)*(R1083)-(P1083)*(T1083)))/W1083,0)</f>
        <v/>
      </c>
      <c r="AA1083">
        <f>LTP3!$D$7-X1083*LTP3!$D$6-Y1083*U1083-Z1083*V1083</f>
        <v/>
      </c>
      <c r="AB1083">
        <f>IF(AND(F1083,ABS(W1083)&gt;1E-12,Y1083&gt;0,Z1083&gt;0),AA1083,1E+300)</f>
        <v/>
      </c>
    </row>
    <row r="1084">
      <c r="A1084">
        <f>$B$3+$B$5*17</f>
        <v/>
      </c>
      <c r="B1084">
        <f>$B$3+$B$5*35</f>
        <v/>
      </c>
      <c r="C1084">
        <f>SUMPRODUCT(Calc!$K$3:$K$22*(Calc!$G$3:$G$22&lt;=A1084))</f>
        <v/>
      </c>
      <c r="D1084">
        <f>SUMPRODUCT(Calc!$K$3:$K$22*(Calc!$G$3:$G$22&gt;A1084)*(Calc!$G$3:$G$22&lt;B1084))</f>
        <v/>
      </c>
      <c r="E1084">
        <f>SUMPRODUCT(Calc!$K$3:$K$22*(Calc!$G$3:$G$22&gt;=B1084))</f>
        <v/>
      </c>
      <c r="F1084">
        <f>AND(k_n&gt;=5,B1084&gt;A1084+1E-9,C1084&gt;=2,D1084&gt;=1,E1084&gt;=2)</f>
        <v/>
      </c>
      <c r="G1084">
        <f>SUMPRODUCT(Calc!$K$3:$K$22*(Calc!$G$3:$G$22&gt;A1084)*(Calc!$G$3:$G$22-A1084))</f>
        <v/>
      </c>
      <c r="H1084">
        <f>SUMPRODUCT(Calc!$K$3:$K$22*(Calc!$G$3:$G$22&gt;B1084)*(Calc!$G$3:$G$22-B1084))</f>
        <v/>
      </c>
      <c r="I1084">
        <f>SUMPRODUCT(Calc!$K$3:$K$22*(Calc!$G$3:$G$22&gt;A1084)*(Calc!$G$3:$G$22-A1084)^2)</f>
        <v/>
      </c>
      <c r="J1084">
        <f>SUMPRODUCT(Calc!$K$3:$K$22*(Calc!$G$3:$G$22&gt;B1084)*(Calc!$G$3:$G$22-B1084)^2)</f>
        <v/>
      </c>
      <c r="K1084">
        <f>SUMPRODUCT(Calc!$K$3:$K$22*(Calc!$G$3:$G$22&gt;A1084)*(Calc!$G$3:$G$22-A1084)*(Calc!$G$3:$G$22&gt;B1084)*(Calc!$G$3:$G$22-B1084))</f>
        <v/>
      </c>
      <c r="L1084">
        <f>SUMPRODUCT(Calc!$K$3:$K$22*(Calc!$G$3:$G$22&gt;A1084)*(Calc!$G$3:$G$22-A1084)*Calc!$G$3:$G$22)</f>
        <v/>
      </c>
      <c r="M1084">
        <f>SUMPRODUCT(Calc!$K$3:$K$22*(Calc!$G$3:$G$22&gt;B1084)*(Calc!$G$3:$G$22-B1084)*Calc!$G$3:$G$22)</f>
        <v/>
      </c>
      <c r="N1084">
        <f>SUMPRODUCT(Calc!$K$3:$K$22*(Calc!$G$3:$G$22&gt;A1084)*(Calc!$G$3:$G$22-A1084)*Calc!$I$3:$I$22)</f>
        <v/>
      </c>
      <c r="O1084">
        <f>SUMPRODUCT(Calc!$K$3:$K$22*(Calc!$G$3:$G$22&gt;B1084)*(Calc!$G$3:$G$22-B1084)*Calc!$I$3:$I$22)</f>
        <v/>
      </c>
      <c r="P1084">
        <f>I1084-G1084^2/k_n</f>
        <v/>
      </c>
      <c r="Q1084">
        <f>J1084-H1084^2/k_n</f>
        <v/>
      </c>
      <c r="R1084">
        <f>K1084-G1084*H1084/k_n</f>
        <v/>
      </c>
      <c r="S1084">
        <f>L1084-LTP3!$D$3*G1084/k_n</f>
        <v/>
      </c>
      <c r="T1084">
        <f>M1084-LTP3!$D$3*H1084/k_n</f>
        <v/>
      </c>
      <c r="U1084">
        <f>N1084-G1084*LTP3!$D$4/k_n</f>
        <v/>
      </c>
      <c r="V1084">
        <f>O1084-H1084*LTP3!$D$4/k_n</f>
        <v/>
      </c>
      <c r="W1084">
        <f>((LTP3!$D$5)*((P1084)*(Q1084)-(R1084)*(R1084))-(S1084)*((S1084)*(Q1084)-(R1084)*(T1084))+(T1084)*((S1084)*(R1084)-(P1084)*(T1084)))</f>
        <v/>
      </c>
      <c r="X1084">
        <f>IF(ABS(W1084)&gt;1E-12,((LTP3!$D$6)*((P1084)*(Q1084)-(R1084)*(R1084))-(S1084)*((U1084)*(Q1084)-(R1084)*(V1084))+(T1084)*((U1084)*(R1084)-(P1084)*(V1084)))/W1084,0)</f>
        <v/>
      </c>
      <c r="Y1084">
        <f>IF(ABS(W1084)&gt;1E-12,((LTP3!$D$5)*((U1084)*(Q1084)-(R1084)*(V1084))-(LTP3!$D$6)*((S1084)*(Q1084)-(R1084)*(T1084))+(T1084)*((S1084)*(V1084)-(U1084)*(T1084)))/W1084,0)</f>
        <v/>
      </c>
      <c r="Z1084">
        <f>IF(ABS(W1084)&gt;1E-12,((LTP3!$D$5)*((P1084)*(V1084)-(U1084)*(R1084))-(S1084)*((S1084)*(V1084)-(U1084)*(T1084))+(LTP3!$D$6)*((S1084)*(R1084)-(P1084)*(T1084)))/W1084,0)</f>
        <v/>
      </c>
      <c r="AA1084">
        <f>LTP3!$D$7-X1084*LTP3!$D$6-Y1084*U1084-Z1084*V1084</f>
        <v/>
      </c>
      <c r="AB1084">
        <f>IF(AND(F1084,ABS(W1084)&gt;1E-12,Y1084&gt;0,Z1084&gt;0),AA1084,1E+300)</f>
        <v/>
      </c>
    </row>
    <row r="1085">
      <c r="A1085">
        <f>$B$3+$B$5*17</f>
        <v/>
      </c>
      <c r="B1085">
        <f>$B$3+$B$5*36</f>
        <v/>
      </c>
      <c r="C1085">
        <f>SUMPRODUCT(Calc!$K$3:$K$22*(Calc!$G$3:$G$22&lt;=A1085))</f>
        <v/>
      </c>
      <c r="D1085">
        <f>SUMPRODUCT(Calc!$K$3:$K$22*(Calc!$G$3:$G$22&gt;A1085)*(Calc!$G$3:$G$22&lt;B1085))</f>
        <v/>
      </c>
      <c r="E1085">
        <f>SUMPRODUCT(Calc!$K$3:$K$22*(Calc!$G$3:$G$22&gt;=B1085))</f>
        <v/>
      </c>
      <c r="F1085">
        <f>AND(k_n&gt;=5,B1085&gt;A1085+1E-9,C1085&gt;=2,D1085&gt;=1,E1085&gt;=2)</f>
        <v/>
      </c>
      <c r="G1085">
        <f>SUMPRODUCT(Calc!$K$3:$K$22*(Calc!$G$3:$G$22&gt;A1085)*(Calc!$G$3:$G$22-A1085))</f>
        <v/>
      </c>
      <c r="H1085">
        <f>SUMPRODUCT(Calc!$K$3:$K$22*(Calc!$G$3:$G$22&gt;B1085)*(Calc!$G$3:$G$22-B1085))</f>
        <v/>
      </c>
      <c r="I1085">
        <f>SUMPRODUCT(Calc!$K$3:$K$22*(Calc!$G$3:$G$22&gt;A1085)*(Calc!$G$3:$G$22-A1085)^2)</f>
        <v/>
      </c>
      <c r="J1085">
        <f>SUMPRODUCT(Calc!$K$3:$K$22*(Calc!$G$3:$G$22&gt;B1085)*(Calc!$G$3:$G$22-B1085)^2)</f>
        <v/>
      </c>
      <c r="K1085">
        <f>SUMPRODUCT(Calc!$K$3:$K$22*(Calc!$G$3:$G$22&gt;A1085)*(Calc!$G$3:$G$22-A1085)*(Calc!$G$3:$G$22&gt;B1085)*(Calc!$G$3:$G$22-B1085))</f>
        <v/>
      </c>
      <c r="L1085">
        <f>SUMPRODUCT(Calc!$K$3:$K$22*(Calc!$G$3:$G$22&gt;A1085)*(Calc!$G$3:$G$22-A1085)*Calc!$G$3:$G$22)</f>
        <v/>
      </c>
      <c r="M1085">
        <f>SUMPRODUCT(Calc!$K$3:$K$22*(Calc!$G$3:$G$22&gt;B1085)*(Calc!$G$3:$G$22-B1085)*Calc!$G$3:$G$22)</f>
        <v/>
      </c>
      <c r="N1085">
        <f>SUMPRODUCT(Calc!$K$3:$K$22*(Calc!$G$3:$G$22&gt;A1085)*(Calc!$G$3:$G$22-A1085)*Calc!$I$3:$I$22)</f>
        <v/>
      </c>
      <c r="O1085">
        <f>SUMPRODUCT(Calc!$K$3:$K$22*(Calc!$G$3:$G$22&gt;B1085)*(Calc!$G$3:$G$22-B1085)*Calc!$I$3:$I$22)</f>
        <v/>
      </c>
      <c r="P1085">
        <f>I1085-G1085^2/k_n</f>
        <v/>
      </c>
      <c r="Q1085">
        <f>J1085-H1085^2/k_n</f>
        <v/>
      </c>
      <c r="R1085">
        <f>K1085-G1085*H1085/k_n</f>
        <v/>
      </c>
      <c r="S1085">
        <f>L1085-LTP3!$D$3*G1085/k_n</f>
        <v/>
      </c>
      <c r="T1085">
        <f>M1085-LTP3!$D$3*H1085/k_n</f>
        <v/>
      </c>
      <c r="U1085">
        <f>N1085-G1085*LTP3!$D$4/k_n</f>
        <v/>
      </c>
      <c r="V1085">
        <f>O1085-H1085*LTP3!$D$4/k_n</f>
        <v/>
      </c>
      <c r="W1085">
        <f>((LTP3!$D$5)*((P1085)*(Q1085)-(R1085)*(R1085))-(S1085)*((S1085)*(Q1085)-(R1085)*(T1085))+(T1085)*((S1085)*(R1085)-(P1085)*(T1085)))</f>
        <v/>
      </c>
      <c r="X1085">
        <f>IF(ABS(W1085)&gt;1E-12,((LTP3!$D$6)*((P1085)*(Q1085)-(R1085)*(R1085))-(S1085)*((U1085)*(Q1085)-(R1085)*(V1085))+(T1085)*((U1085)*(R1085)-(P1085)*(V1085)))/W1085,0)</f>
        <v/>
      </c>
      <c r="Y1085">
        <f>IF(ABS(W1085)&gt;1E-12,((LTP3!$D$5)*((U1085)*(Q1085)-(R1085)*(V1085))-(LTP3!$D$6)*((S1085)*(Q1085)-(R1085)*(T1085))+(T1085)*((S1085)*(V1085)-(U1085)*(T1085)))/W1085,0)</f>
        <v/>
      </c>
      <c r="Z1085">
        <f>IF(ABS(W1085)&gt;1E-12,((LTP3!$D$5)*((P1085)*(V1085)-(U1085)*(R1085))-(S1085)*((S1085)*(V1085)-(U1085)*(T1085))+(LTP3!$D$6)*((S1085)*(R1085)-(P1085)*(T1085)))/W1085,0)</f>
        <v/>
      </c>
      <c r="AA1085">
        <f>LTP3!$D$7-X1085*LTP3!$D$6-Y1085*U1085-Z1085*V1085</f>
        <v/>
      </c>
      <c r="AB1085">
        <f>IF(AND(F1085,ABS(W1085)&gt;1E-12,Y1085&gt;0,Z1085&gt;0),AA1085,1E+300)</f>
        <v/>
      </c>
    </row>
    <row r="1086">
      <c r="A1086">
        <f>$B$3+$B$5*17</f>
        <v/>
      </c>
      <c r="B1086">
        <f>$B$3+$B$5*37</f>
        <v/>
      </c>
      <c r="C1086">
        <f>SUMPRODUCT(Calc!$K$3:$K$22*(Calc!$G$3:$G$22&lt;=A1086))</f>
        <v/>
      </c>
      <c r="D1086">
        <f>SUMPRODUCT(Calc!$K$3:$K$22*(Calc!$G$3:$G$22&gt;A1086)*(Calc!$G$3:$G$22&lt;B1086))</f>
        <v/>
      </c>
      <c r="E1086">
        <f>SUMPRODUCT(Calc!$K$3:$K$22*(Calc!$G$3:$G$22&gt;=B1086))</f>
        <v/>
      </c>
      <c r="F1086">
        <f>AND(k_n&gt;=5,B1086&gt;A1086+1E-9,C1086&gt;=2,D1086&gt;=1,E1086&gt;=2)</f>
        <v/>
      </c>
      <c r="G1086">
        <f>SUMPRODUCT(Calc!$K$3:$K$22*(Calc!$G$3:$G$22&gt;A1086)*(Calc!$G$3:$G$22-A1086))</f>
        <v/>
      </c>
      <c r="H1086">
        <f>SUMPRODUCT(Calc!$K$3:$K$22*(Calc!$G$3:$G$22&gt;B1086)*(Calc!$G$3:$G$22-B1086))</f>
        <v/>
      </c>
      <c r="I1086">
        <f>SUMPRODUCT(Calc!$K$3:$K$22*(Calc!$G$3:$G$22&gt;A1086)*(Calc!$G$3:$G$22-A1086)^2)</f>
        <v/>
      </c>
      <c r="J1086">
        <f>SUMPRODUCT(Calc!$K$3:$K$22*(Calc!$G$3:$G$22&gt;B1086)*(Calc!$G$3:$G$22-B1086)^2)</f>
        <v/>
      </c>
      <c r="K1086">
        <f>SUMPRODUCT(Calc!$K$3:$K$22*(Calc!$G$3:$G$22&gt;A1086)*(Calc!$G$3:$G$22-A1086)*(Calc!$G$3:$G$22&gt;B1086)*(Calc!$G$3:$G$22-B1086))</f>
        <v/>
      </c>
      <c r="L1086">
        <f>SUMPRODUCT(Calc!$K$3:$K$22*(Calc!$G$3:$G$22&gt;A1086)*(Calc!$G$3:$G$22-A1086)*Calc!$G$3:$G$22)</f>
        <v/>
      </c>
      <c r="M1086">
        <f>SUMPRODUCT(Calc!$K$3:$K$22*(Calc!$G$3:$G$22&gt;B1086)*(Calc!$G$3:$G$22-B1086)*Calc!$G$3:$G$22)</f>
        <v/>
      </c>
      <c r="N1086">
        <f>SUMPRODUCT(Calc!$K$3:$K$22*(Calc!$G$3:$G$22&gt;A1086)*(Calc!$G$3:$G$22-A1086)*Calc!$I$3:$I$22)</f>
        <v/>
      </c>
      <c r="O1086">
        <f>SUMPRODUCT(Calc!$K$3:$K$22*(Calc!$G$3:$G$22&gt;B1086)*(Calc!$G$3:$G$22-B1086)*Calc!$I$3:$I$22)</f>
        <v/>
      </c>
      <c r="P1086">
        <f>I1086-G1086^2/k_n</f>
        <v/>
      </c>
      <c r="Q1086">
        <f>J1086-H1086^2/k_n</f>
        <v/>
      </c>
      <c r="R1086">
        <f>K1086-G1086*H1086/k_n</f>
        <v/>
      </c>
      <c r="S1086">
        <f>L1086-LTP3!$D$3*G1086/k_n</f>
        <v/>
      </c>
      <c r="T1086">
        <f>M1086-LTP3!$D$3*H1086/k_n</f>
        <v/>
      </c>
      <c r="U1086">
        <f>N1086-G1086*LTP3!$D$4/k_n</f>
        <v/>
      </c>
      <c r="V1086">
        <f>O1086-H1086*LTP3!$D$4/k_n</f>
        <v/>
      </c>
      <c r="W1086">
        <f>((LTP3!$D$5)*((P1086)*(Q1086)-(R1086)*(R1086))-(S1086)*((S1086)*(Q1086)-(R1086)*(T1086))+(T1086)*((S1086)*(R1086)-(P1086)*(T1086)))</f>
        <v/>
      </c>
      <c r="X1086">
        <f>IF(ABS(W1086)&gt;1E-12,((LTP3!$D$6)*((P1086)*(Q1086)-(R1086)*(R1086))-(S1086)*((U1086)*(Q1086)-(R1086)*(V1086))+(T1086)*((U1086)*(R1086)-(P1086)*(V1086)))/W1086,0)</f>
        <v/>
      </c>
      <c r="Y1086">
        <f>IF(ABS(W1086)&gt;1E-12,((LTP3!$D$5)*((U1086)*(Q1086)-(R1086)*(V1086))-(LTP3!$D$6)*((S1086)*(Q1086)-(R1086)*(T1086))+(T1086)*((S1086)*(V1086)-(U1086)*(T1086)))/W1086,0)</f>
        <v/>
      </c>
      <c r="Z1086">
        <f>IF(ABS(W1086)&gt;1E-12,((LTP3!$D$5)*((P1086)*(V1086)-(U1086)*(R1086))-(S1086)*((S1086)*(V1086)-(U1086)*(T1086))+(LTP3!$D$6)*((S1086)*(R1086)-(P1086)*(T1086)))/W1086,0)</f>
        <v/>
      </c>
      <c r="AA1086">
        <f>LTP3!$D$7-X1086*LTP3!$D$6-Y1086*U1086-Z1086*V1086</f>
        <v/>
      </c>
      <c r="AB1086">
        <f>IF(AND(F1086,ABS(W1086)&gt;1E-12,Y1086&gt;0,Z1086&gt;0),AA1086,1E+300)</f>
        <v/>
      </c>
    </row>
    <row r="1087">
      <c r="A1087">
        <f>$B$3+$B$5*17</f>
        <v/>
      </c>
      <c r="B1087">
        <f>$B$3+$B$5*38</f>
        <v/>
      </c>
      <c r="C1087">
        <f>SUMPRODUCT(Calc!$K$3:$K$22*(Calc!$G$3:$G$22&lt;=A1087))</f>
        <v/>
      </c>
      <c r="D1087">
        <f>SUMPRODUCT(Calc!$K$3:$K$22*(Calc!$G$3:$G$22&gt;A1087)*(Calc!$G$3:$G$22&lt;B1087))</f>
        <v/>
      </c>
      <c r="E1087">
        <f>SUMPRODUCT(Calc!$K$3:$K$22*(Calc!$G$3:$G$22&gt;=B1087))</f>
        <v/>
      </c>
      <c r="F1087">
        <f>AND(k_n&gt;=5,B1087&gt;A1087+1E-9,C1087&gt;=2,D1087&gt;=1,E1087&gt;=2)</f>
        <v/>
      </c>
      <c r="G1087">
        <f>SUMPRODUCT(Calc!$K$3:$K$22*(Calc!$G$3:$G$22&gt;A1087)*(Calc!$G$3:$G$22-A1087))</f>
        <v/>
      </c>
      <c r="H1087">
        <f>SUMPRODUCT(Calc!$K$3:$K$22*(Calc!$G$3:$G$22&gt;B1087)*(Calc!$G$3:$G$22-B1087))</f>
        <v/>
      </c>
      <c r="I1087">
        <f>SUMPRODUCT(Calc!$K$3:$K$22*(Calc!$G$3:$G$22&gt;A1087)*(Calc!$G$3:$G$22-A1087)^2)</f>
        <v/>
      </c>
      <c r="J1087">
        <f>SUMPRODUCT(Calc!$K$3:$K$22*(Calc!$G$3:$G$22&gt;B1087)*(Calc!$G$3:$G$22-B1087)^2)</f>
        <v/>
      </c>
      <c r="K1087">
        <f>SUMPRODUCT(Calc!$K$3:$K$22*(Calc!$G$3:$G$22&gt;A1087)*(Calc!$G$3:$G$22-A1087)*(Calc!$G$3:$G$22&gt;B1087)*(Calc!$G$3:$G$22-B1087))</f>
        <v/>
      </c>
      <c r="L1087">
        <f>SUMPRODUCT(Calc!$K$3:$K$22*(Calc!$G$3:$G$22&gt;A1087)*(Calc!$G$3:$G$22-A1087)*Calc!$G$3:$G$22)</f>
        <v/>
      </c>
      <c r="M1087">
        <f>SUMPRODUCT(Calc!$K$3:$K$22*(Calc!$G$3:$G$22&gt;B1087)*(Calc!$G$3:$G$22-B1087)*Calc!$G$3:$G$22)</f>
        <v/>
      </c>
      <c r="N1087">
        <f>SUMPRODUCT(Calc!$K$3:$K$22*(Calc!$G$3:$G$22&gt;A1087)*(Calc!$G$3:$G$22-A1087)*Calc!$I$3:$I$22)</f>
        <v/>
      </c>
      <c r="O1087">
        <f>SUMPRODUCT(Calc!$K$3:$K$22*(Calc!$G$3:$G$22&gt;B1087)*(Calc!$G$3:$G$22-B1087)*Calc!$I$3:$I$22)</f>
        <v/>
      </c>
      <c r="P1087">
        <f>I1087-G1087^2/k_n</f>
        <v/>
      </c>
      <c r="Q1087">
        <f>J1087-H1087^2/k_n</f>
        <v/>
      </c>
      <c r="R1087">
        <f>K1087-G1087*H1087/k_n</f>
        <v/>
      </c>
      <c r="S1087">
        <f>L1087-LTP3!$D$3*G1087/k_n</f>
        <v/>
      </c>
      <c r="T1087">
        <f>M1087-LTP3!$D$3*H1087/k_n</f>
        <v/>
      </c>
      <c r="U1087">
        <f>N1087-G1087*LTP3!$D$4/k_n</f>
        <v/>
      </c>
      <c r="V1087">
        <f>O1087-H1087*LTP3!$D$4/k_n</f>
        <v/>
      </c>
      <c r="W1087">
        <f>((LTP3!$D$5)*((P1087)*(Q1087)-(R1087)*(R1087))-(S1087)*((S1087)*(Q1087)-(R1087)*(T1087))+(T1087)*((S1087)*(R1087)-(P1087)*(T1087)))</f>
        <v/>
      </c>
      <c r="X1087">
        <f>IF(ABS(W1087)&gt;1E-12,((LTP3!$D$6)*((P1087)*(Q1087)-(R1087)*(R1087))-(S1087)*((U1087)*(Q1087)-(R1087)*(V1087))+(T1087)*((U1087)*(R1087)-(P1087)*(V1087)))/W1087,0)</f>
        <v/>
      </c>
      <c r="Y1087">
        <f>IF(ABS(W1087)&gt;1E-12,((LTP3!$D$5)*((U1087)*(Q1087)-(R1087)*(V1087))-(LTP3!$D$6)*((S1087)*(Q1087)-(R1087)*(T1087))+(T1087)*((S1087)*(V1087)-(U1087)*(T1087)))/W1087,0)</f>
        <v/>
      </c>
      <c r="Z1087">
        <f>IF(ABS(W1087)&gt;1E-12,((LTP3!$D$5)*((P1087)*(V1087)-(U1087)*(R1087))-(S1087)*((S1087)*(V1087)-(U1087)*(T1087))+(LTP3!$D$6)*((S1087)*(R1087)-(P1087)*(T1087)))/W1087,0)</f>
        <v/>
      </c>
      <c r="AA1087">
        <f>LTP3!$D$7-X1087*LTP3!$D$6-Y1087*U1087-Z1087*V1087</f>
        <v/>
      </c>
      <c r="AB1087">
        <f>IF(AND(F1087,ABS(W1087)&gt;1E-12,Y1087&gt;0,Z1087&gt;0),AA1087,1E+300)</f>
        <v/>
      </c>
    </row>
    <row r="1088">
      <c r="A1088">
        <f>$B$3+$B$5*17</f>
        <v/>
      </c>
      <c r="B1088">
        <f>$B$3+$B$5*39</f>
        <v/>
      </c>
      <c r="C1088">
        <f>SUMPRODUCT(Calc!$K$3:$K$22*(Calc!$G$3:$G$22&lt;=A1088))</f>
        <v/>
      </c>
      <c r="D1088">
        <f>SUMPRODUCT(Calc!$K$3:$K$22*(Calc!$G$3:$G$22&gt;A1088)*(Calc!$G$3:$G$22&lt;B1088))</f>
        <v/>
      </c>
      <c r="E1088">
        <f>SUMPRODUCT(Calc!$K$3:$K$22*(Calc!$G$3:$G$22&gt;=B1088))</f>
        <v/>
      </c>
      <c r="F1088">
        <f>AND(k_n&gt;=5,B1088&gt;A1088+1E-9,C1088&gt;=2,D1088&gt;=1,E1088&gt;=2)</f>
        <v/>
      </c>
      <c r="G1088">
        <f>SUMPRODUCT(Calc!$K$3:$K$22*(Calc!$G$3:$G$22&gt;A1088)*(Calc!$G$3:$G$22-A1088))</f>
        <v/>
      </c>
      <c r="H1088">
        <f>SUMPRODUCT(Calc!$K$3:$K$22*(Calc!$G$3:$G$22&gt;B1088)*(Calc!$G$3:$G$22-B1088))</f>
        <v/>
      </c>
      <c r="I1088">
        <f>SUMPRODUCT(Calc!$K$3:$K$22*(Calc!$G$3:$G$22&gt;A1088)*(Calc!$G$3:$G$22-A1088)^2)</f>
        <v/>
      </c>
      <c r="J1088">
        <f>SUMPRODUCT(Calc!$K$3:$K$22*(Calc!$G$3:$G$22&gt;B1088)*(Calc!$G$3:$G$22-B1088)^2)</f>
        <v/>
      </c>
      <c r="K1088">
        <f>SUMPRODUCT(Calc!$K$3:$K$22*(Calc!$G$3:$G$22&gt;A1088)*(Calc!$G$3:$G$22-A1088)*(Calc!$G$3:$G$22&gt;B1088)*(Calc!$G$3:$G$22-B1088))</f>
        <v/>
      </c>
      <c r="L1088">
        <f>SUMPRODUCT(Calc!$K$3:$K$22*(Calc!$G$3:$G$22&gt;A1088)*(Calc!$G$3:$G$22-A1088)*Calc!$G$3:$G$22)</f>
        <v/>
      </c>
      <c r="M1088">
        <f>SUMPRODUCT(Calc!$K$3:$K$22*(Calc!$G$3:$G$22&gt;B1088)*(Calc!$G$3:$G$22-B1088)*Calc!$G$3:$G$22)</f>
        <v/>
      </c>
      <c r="N1088">
        <f>SUMPRODUCT(Calc!$K$3:$K$22*(Calc!$G$3:$G$22&gt;A1088)*(Calc!$G$3:$G$22-A1088)*Calc!$I$3:$I$22)</f>
        <v/>
      </c>
      <c r="O1088">
        <f>SUMPRODUCT(Calc!$K$3:$K$22*(Calc!$G$3:$G$22&gt;B1088)*(Calc!$G$3:$G$22-B1088)*Calc!$I$3:$I$22)</f>
        <v/>
      </c>
      <c r="P1088">
        <f>I1088-G1088^2/k_n</f>
        <v/>
      </c>
      <c r="Q1088">
        <f>J1088-H1088^2/k_n</f>
        <v/>
      </c>
      <c r="R1088">
        <f>K1088-G1088*H1088/k_n</f>
        <v/>
      </c>
      <c r="S1088">
        <f>L1088-LTP3!$D$3*G1088/k_n</f>
        <v/>
      </c>
      <c r="T1088">
        <f>M1088-LTP3!$D$3*H1088/k_n</f>
        <v/>
      </c>
      <c r="U1088">
        <f>N1088-G1088*LTP3!$D$4/k_n</f>
        <v/>
      </c>
      <c r="V1088">
        <f>O1088-H1088*LTP3!$D$4/k_n</f>
        <v/>
      </c>
      <c r="W1088">
        <f>((LTP3!$D$5)*((P1088)*(Q1088)-(R1088)*(R1088))-(S1088)*((S1088)*(Q1088)-(R1088)*(T1088))+(T1088)*((S1088)*(R1088)-(P1088)*(T1088)))</f>
        <v/>
      </c>
      <c r="X1088">
        <f>IF(ABS(W1088)&gt;1E-12,((LTP3!$D$6)*((P1088)*(Q1088)-(R1088)*(R1088))-(S1088)*((U1088)*(Q1088)-(R1088)*(V1088))+(T1088)*((U1088)*(R1088)-(P1088)*(V1088)))/W1088,0)</f>
        <v/>
      </c>
      <c r="Y1088">
        <f>IF(ABS(W1088)&gt;1E-12,((LTP3!$D$5)*((U1088)*(Q1088)-(R1088)*(V1088))-(LTP3!$D$6)*((S1088)*(Q1088)-(R1088)*(T1088))+(T1088)*((S1088)*(V1088)-(U1088)*(T1088)))/W1088,0)</f>
        <v/>
      </c>
      <c r="Z1088">
        <f>IF(ABS(W1088)&gt;1E-12,((LTP3!$D$5)*((P1088)*(V1088)-(U1088)*(R1088))-(S1088)*((S1088)*(V1088)-(U1088)*(T1088))+(LTP3!$D$6)*((S1088)*(R1088)-(P1088)*(T1088)))/W1088,0)</f>
        <v/>
      </c>
      <c r="AA1088">
        <f>LTP3!$D$7-X1088*LTP3!$D$6-Y1088*U1088-Z1088*V1088</f>
        <v/>
      </c>
      <c r="AB1088">
        <f>IF(AND(F1088,ABS(W1088)&gt;1E-12,Y1088&gt;0,Z1088&gt;0),AA1088,1E+300)</f>
        <v/>
      </c>
    </row>
    <row r="1089">
      <c r="A1089">
        <f>$B$3+$B$5*17</f>
        <v/>
      </c>
      <c r="B1089">
        <f>$B$3+$B$5*40</f>
        <v/>
      </c>
      <c r="C1089">
        <f>SUMPRODUCT(Calc!$K$3:$K$22*(Calc!$G$3:$G$22&lt;=A1089))</f>
        <v/>
      </c>
      <c r="D1089">
        <f>SUMPRODUCT(Calc!$K$3:$K$22*(Calc!$G$3:$G$22&gt;A1089)*(Calc!$G$3:$G$22&lt;B1089))</f>
        <v/>
      </c>
      <c r="E1089">
        <f>SUMPRODUCT(Calc!$K$3:$K$22*(Calc!$G$3:$G$22&gt;=B1089))</f>
        <v/>
      </c>
      <c r="F1089">
        <f>AND(k_n&gt;=5,B1089&gt;A1089+1E-9,C1089&gt;=2,D1089&gt;=1,E1089&gt;=2)</f>
        <v/>
      </c>
      <c r="G1089">
        <f>SUMPRODUCT(Calc!$K$3:$K$22*(Calc!$G$3:$G$22&gt;A1089)*(Calc!$G$3:$G$22-A1089))</f>
        <v/>
      </c>
      <c r="H1089">
        <f>SUMPRODUCT(Calc!$K$3:$K$22*(Calc!$G$3:$G$22&gt;B1089)*(Calc!$G$3:$G$22-B1089))</f>
        <v/>
      </c>
      <c r="I1089">
        <f>SUMPRODUCT(Calc!$K$3:$K$22*(Calc!$G$3:$G$22&gt;A1089)*(Calc!$G$3:$G$22-A1089)^2)</f>
        <v/>
      </c>
      <c r="J1089">
        <f>SUMPRODUCT(Calc!$K$3:$K$22*(Calc!$G$3:$G$22&gt;B1089)*(Calc!$G$3:$G$22-B1089)^2)</f>
        <v/>
      </c>
      <c r="K1089">
        <f>SUMPRODUCT(Calc!$K$3:$K$22*(Calc!$G$3:$G$22&gt;A1089)*(Calc!$G$3:$G$22-A1089)*(Calc!$G$3:$G$22&gt;B1089)*(Calc!$G$3:$G$22-B1089))</f>
        <v/>
      </c>
      <c r="L1089">
        <f>SUMPRODUCT(Calc!$K$3:$K$22*(Calc!$G$3:$G$22&gt;A1089)*(Calc!$G$3:$G$22-A1089)*Calc!$G$3:$G$22)</f>
        <v/>
      </c>
      <c r="M1089">
        <f>SUMPRODUCT(Calc!$K$3:$K$22*(Calc!$G$3:$G$22&gt;B1089)*(Calc!$G$3:$G$22-B1089)*Calc!$G$3:$G$22)</f>
        <v/>
      </c>
      <c r="N1089">
        <f>SUMPRODUCT(Calc!$K$3:$K$22*(Calc!$G$3:$G$22&gt;A1089)*(Calc!$G$3:$G$22-A1089)*Calc!$I$3:$I$22)</f>
        <v/>
      </c>
      <c r="O1089">
        <f>SUMPRODUCT(Calc!$K$3:$K$22*(Calc!$G$3:$G$22&gt;B1089)*(Calc!$G$3:$G$22-B1089)*Calc!$I$3:$I$22)</f>
        <v/>
      </c>
      <c r="P1089">
        <f>I1089-G1089^2/k_n</f>
        <v/>
      </c>
      <c r="Q1089">
        <f>J1089-H1089^2/k_n</f>
        <v/>
      </c>
      <c r="R1089">
        <f>K1089-G1089*H1089/k_n</f>
        <v/>
      </c>
      <c r="S1089">
        <f>L1089-LTP3!$D$3*G1089/k_n</f>
        <v/>
      </c>
      <c r="T1089">
        <f>M1089-LTP3!$D$3*H1089/k_n</f>
        <v/>
      </c>
      <c r="U1089">
        <f>N1089-G1089*LTP3!$D$4/k_n</f>
        <v/>
      </c>
      <c r="V1089">
        <f>O1089-H1089*LTP3!$D$4/k_n</f>
        <v/>
      </c>
      <c r="W1089">
        <f>((LTP3!$D$5)*((P1089)*(Q1089)-(R1089)*(R1089))-(S1089)*((S1089)*(Q1089)-(R1089)*(T1089))+(T1089)*((S1089)*(R1089)-(P1089)*(T1089)))</f>
        <v/>
      </c>
      <c r="X1089">
        <f>IF(ABS(W1089)&gt;1E-12,((LTP3!$D$6)*((P1089)*(Q1089)-(R1089)*(R1089))-(S1089)*((U1089)*(Q1089)-(R1089)*(V1089))+(T1089)*((U1089)*(R1089)-(P1089)*(V1089)))/W1089,0)</f>
        <v/>
      </c>
      <c r="Y1089">
        <f>IF(ABS(W1089)&gt;1E-12,((LTP3!$D$5)*((U1089)*(Q1089)-(R1089)*(V1089))-(LTP3!$D$6)*((S1089)*(Q1089)-(R1089)*(T1089))+(T1089)*((S1089)*(V1089)-(U1089)*(T1089)))/W1089,0)</f>
        <v/>
      </c>
      <c r="Z1089">
        <f>IF(ABS(W1089)&gt;1E-12,((LTP3!$D$5)*((P1089)*(V1089)-(U1089)*(R1089))-(S1089)*((S1089)*(V1089)-(U1089)*(T1089))+(LTP3!$D$6)*((S1089)*(R1089)-(P1089)*(T1089)))/W1089,0)</f>
        <v/>
      </c>
      <c r="AA1089">
        <f>LTP3!$D$7-X1089*LTP3!$D$6-Y1089*U1089-Z1089*V1089</f>
        <v/>
      </c>
      <c r="AB1089">
        <f>IF(AND(F1089,ABS(W1089)&gt;1E-12,Y1089&gt;0,Z1089&gt;0),AA1089,1E+300)</f>
        <v/>
      </c>
    </row>
    <row r="1090">
      <c r="A1090">
        <f>$B$3+$B$5*17</f>
        <v/>
      </c>
      <c r="B1090">
        <f>$B$3+$B$5*41</f>
        <v/>
      </c>
      <c r="C1090">
        <f>SUMPRODUCT(Calc!$K$3:$K$22*(Calc!$G$3:$G$22&lt;=A1090))</f>
        <v/>
      </c>
      <c r="D1090">
        <f>SUMPRODUCT(Calc!$K$3:$K$22*(Calc!$G$3:$G$22&gt;A1090)*(Calc!$G$3:$G$22&lt;B1090))</f>
        <v/>
      </c>
      <c r="E1090">
        <f>SUMPRODUCT(Calc!$K$3:$K$22*(Calc!$G$3:$G$22&gt;=B1090))</f>
        <v/>
      </c>
      <c r="F1090">
        <f>AND(k_n&gt;=5,B1090&gt;A1090+1E-9,C1090&gt;=2,D1090&gt;=1,E1090&gt;=2)</f>
        <v/>
      </c>
      <c r="G1090">
        <f>SUMPRODUCT(Calc!$K$3:$K$22*(Calc!$G$3:$G$22&gt;A1090)*(Calc!$G$3:$G$22-A1090))</f>
        <v/>
      </c>
      <c r="H1090">
        <f>SUMPRODUCT(Calc!$K$3:$K$22*(Calc!$G$3:$G$22&gt;B1090)*(Calc!$G$3:$G$22-B1090))</f>
        <v/>
      </c>
      <c r="I1090">
        <f>SUMPRODUCT(Calc!$K$3:$K$22*(Calc!$G$3:$G$22&gt;A1090)*(Calc!$G$3:$G$22-A1090)^2)</f>
        <v/>
      </c>
      <c r="J1090">
        <f>SUMPRODUCT(Calc!$K$3:$K$22*(Calc!$G$3:$G$22&gt;B1090)*(Calc!$G$3:$G$22-B1090)^2)</f>
        <v/>
      </c>
      <c r="K1090">
        <f>SUMPRODUCT(Calc!$K$3:$K$22*(Calc!$G$3:$G$22&gt;A1090)*(Calc!$G$3:$G$22-A1090)*(Calc!$G$3:$G$22&gt;B1090)*(Calc!$G$3:$G$22-B1090))</f>
        <v/>
      </c>
      <c r="L1090">
        <f>SUMPRODUCT(Calc!$K$3:$K$22*(Calc!$G$3:$G$22&gt;A1090)*(Calc!$G$3:$G$22-A1090)*Calc!$G$3:$G$22)</f>
        <v/>
      </c>
      <c r="M1090">
        <f>SUMPRODUCT(Calc!$K$3:$K$22*(Calc!$G$3:$G$22&gt;B1090)*(Calc!$G$3:$G$22-B1090)*Calc!$G$3:$G$22)</f>
        <v/>
      </c>
      <c r="N1090">
        <f>SUMPRODUCT(Calc!$K$3:$K$22*(Calc!$G$3:$G$22&gt;A1090)*(Calc!$G$3:$G$22-A1090)*Calc!$I$3:$I$22)</f>
        <v/>
      </c>
      <c r="O1090">
        <f>SUMPRODUCT(Calc!$K$3:$K$22*(Calc!$G$3:$G$22&gt;B1090)*(Calc!$G$3:$G$22-B1090)*Calc!$I$3:$I$22)</f>
        <v/>
      </c>
      <c r="P1090">
        <f>I1090-G1090^2/k_n</f>
        <v/>
      </c>
      <c r="Q1090">
        <f>J1090-H1090^2/k_n</f>
        <v/>
      </c>
      <c r="R1090">
        <f>K1090-G1090*H1090/k_n</f>
        <v/>
      </c>
      <c r="S1090">
        <f>L1090-LTP3!$D$3*G1090/k_n</f>
        <v/>
      </c>
      <c r="T1090">
        <f>M1090-LTP3!$D$3*H1090/k_n</f>
        <v/>
      </c>
      <c r="U1090">
        <f>N1090-G1090*LTP3!$D$4/k_n</f>
        <v/>
      </c>
      <c r="V1090">
        <f>O1090-H1090*LTP3!$D$4/k_n</f>
        <v/>
      </c>
      <c r="W1090">
        <f>((LTP3!$D$5)*((P1090)*(Q1090)-(R1090)*(R1090))-(S1090)*((S1090)*(Q1090)-(R1090)*(T1090))+(T1090)*((S1090)*(R1090)-(P1090)*(T1090)))</f>
        <v/>
      </c>
      <c r="X1090">
        <f>IF(ABS(W1090)&gt;1E-12,((LTP3!$D$6)*((P1090)*(Q1090)-(R1090)*(R1090))-(S1090)*((U1090)*(Q1090)-(R1090)*(V1090))+(T1090)*((U1090)*(R1090)-(P1090)*(V1090)))/W1090,0)</f>
        <v/>
      </c>
      <c r="Y1090">
        <f>IF(ABS(W1090)&gt;1E-12,((LTP3!$D$5)*((U1090)*(Q1090)-(R1090)*(V1090))-(LTP3!$D$6)*((S1090)*(Q1090)-(R1090)*(T1090))+(T1090)*((S1090)*(V1090)-(U1090)*(T1090)))/W1090,0)</f>
        <v/>
      </c>
      <c r="Z1090">
        <f>IF(ABS(W1090)&gt;1E-12,((LTP3!$D$5)*((P1090)*(V1090)-(U1090)*(R1090))-(S1090)*((S1090)*(V1090)-(U1090)*(T1090))+(LTP3!$D$6)*((S1090)*(R1090)-(P1090)*(T1090)))/W1090,0)</f>
        <v/>
      </c>
      <c r="AA1090">
        <f>LTP3!$D$7-X1090*LTP3!$D$6-Y1090*U1090-Z1090*V1090</f>
        <v/>
      </c>
      <c r="AB1090">
        <f>IF(AND(F1090,ABS(W1090)&gt;1E-12,Y1090&gt;0,Z1090&gt;0),AA1090,1E+300)</f>
        <v/>
      </c>
    </row>
    <row r="1091">
      <c r="A1091">
        <f>$B$3+$B$5*17</f>
        <v/>
      </c>
      <c r="B1091">
        <f>$B$3+$B$5*42</f>
        <v/>
      </c>
      <c r="C1091">
        <f>SUMPRODUCT(Calc!$K$3:$K$22*(Calc!$G$3:$G$22&lt;=A1091))</f>
        <v/>
      </c>
      <c r="D1091">
        <f>SUMPRODUCT(Calc!$K$3:$K$22*(Calc!$G$3:$G$22&gt;A1091)*(Calc!$G$3:$G$22&lt;B1091))</f>
        <v/>
      </c>
      <c r="E1091">
        <f>SUMPRODUCT(Calc!$K$3:$K$22*(Calc!$G$3:$G$22&gt;=B1091))</f>
        <v/>
      </c>
      <c r="F1091">
        <f>AND(k_n&gt;=5,B1091&gt;A1091+1E-9,C1091&gt;=2,D1091&gt;=1,E1091&gt;=2)</f>
        <v/>
      </c>
      <c r="G1091">
        <f>SUMPRODUCT(Calc!$K$3:$K$22*(Calc!$G$3:$G$22&gt;A1091)*(Calc!$G$3:$G$22-A1091))</f>
        <v/>
      </c>
      <c r="H1091">
        <f>SUMPRODUCT(Calc!$K$3:$K$22*(Calc!$G$3:$G$22&gt;B1091)*(Calc!$G$3:$G$22-B1091))</f>
        <v/>
      </c>
      <c r="I1091">
        <f>SUMPRODUCT(Calc!$K$3:$K$22*(Calc!$G$3:$G$22&gt;A1091)*(Calc!$G$3:$G$22-A1091)^2)</f>
        <v/>
      </c>
      <c r="J1091">
        <f>SUMPRODUCT(Calc!$K$3:$K$22*(Calc!$G$3:$G$22&gt;B1091)*(Calc!$G$3:$G$22-B1091)^2)</f>
        <v/>
      </c>
      <c r="K1091">
        <f>SUMPRODUCT(Calc!$K$3:$K$22*(Calc!$G$3:$G$22&gt;A1091)*(Calc!$G$3:$G$22-A1091)*(Calc!$G$3:$G$22&gt;B1091)*(Calc!$G$3:$G$22-B1091))</f>
        <v/>
      </c>
      <c r="L1091">
        <f>SUMPRODUCT(Calc!$K$3:$K$22*(Calc!$G$3:$G$22&gt;A1091)*(Calc!$G$3:$G$22-A1091)*Calc!$G$3:$G$22)</f>
        <v/>
      </c>
      <c r="M1091">
        <f>SUMPRODUCT(Calc!$K$3:$K$22*(Calc!$G$3:$G$22&gt;B1091)*(Calc!$G$3:$G$22-B1091)*Calc!$G$3:$G$22)</f>
        <v/>
      </c>
      <c r="N1091">
        <f>SUMPRODUCT(Calc!$K$3:$K$22*(Calc!$G$3:$G$22&gt;A1091)*(Calc!$G$3:$G$22-A1091)*Calc!$I$3:$I$22)</f>
        <v/>
      </c>
      <c r="O1091">
        <f>SUMPRODUCT(Calc!$K$3:$K$22*(Calc!$G$3:$G$22&gt;B1091)*(Calc!$G$3:$G$22-B1091)*Calc!$I$3:$I$22)</f>
        <v/>
      </c>
      <c r="P1091">
        <f>I1091-G1091^2/k_n</f>
        <v/>
      </c>
      <c r="Q1091">
        <f>J1091-H1091^2/k_n</f>
        <v/>
      </c>
      <c r="R1091">
        <f>K1091-G1091*H1091/k_n</f>
        <v/>
      </c>
      <c r="S1091">
        <f>L1091-LTP3!$D$3*G1091/k_n</f>
        <v/>
      </c>
      <c r="T1091">
        <f>M1091-LTP3!$D$3*H1091/k_n</f>
        <v/>
      </c>
      <c r="U1091">
        <f>N1091-G1091*LTP3!$D$4/k_n</f>
        <v/>
      </c>
      <c r="V1091">
        <f>O1091-H1091*LTP3!$D$4/k_n</f>
        <v/>
      </c>
      <c r="W1091">
        <f>((LTP3!$D$5)*((P1091)*(Q1091)-(R1091)*(R1091))-(S1091)*((S1091)*(Q1091)-(R1091)*(T1091))+(T1091)*((S1091)*(R1091)-(P1091)*(T1091)))</f>
        <v/>
      </c>
      <c r="X1091">
        <f>IF(ABS(W1091)&gt;1E-12,((LTP3!$D$6)*((P1091)*(Q1091)-(R1091)*(R1091))-(S1091)*((U1091)*(Q1091)-(R1091)*(V1091))+(T1091)*((U1091)*(R1091)-(P1091)*(V1091)))/W1091,0)</f>
        <v/>
      </c>
      <c r="Y1091">
        <f>IF(ABS(W1091)&gt;1E-12,((LTP3!$D$5)*((U1091)*(Q1091)-(R1091)*(V1091))-(LTP3!$D$6)*((S1091)*(Q1091)-(R1091)*(T1091))+(T1091)*((S1091)*(V1091)-(U1091)*(T1091)))/W1091,0)</f>
        <v/>
      </c>
      <c r="Z1091">
        <f>IF(ABS(W1091)&gt;1E-12,((LTP3!$D$5)*((P1091)*(V1091)-(U1091)*(R1091))-(S1091)*((S1091)*(V1091)-(U1091)*(T1091))+(LTP3!$D$6)*((S1091)*(R1091)-(P1091)*(T1091)))/W1091,0)</f>
        <v/>
      </c>
      <c r="AA1091">
        <f>LTP3!$D$7-X1091*LTP3!$D$6-Y1091*U1091-Z1091*V1091</f>
        <v/>
      </c>
      <c r="AB1091">
        <f>IF(AND(F1091,ABS(W1091)&gt;1E-12,Y1091&gt;0,Z1091&gt;0),AA1091,1E+300)</f>
        <v/>
      </c>
    </row>
    <row r="1092">
      <c r="A1092">
        <f>$B$3+$B$5*17</f>
        <v/>
      </c>
      <c r="B1092">
        <f>$B$3+$B$5*43</f>
        <v/>
      </c>
      <c r="C1092">
        <f>SUMPRODUCT(Calc!$K$3:$K$22*(Calc!$G$3:$G$22&lt;=A1092))</f>
        <v/>
      </c>
      <c r="D1092">
        <f>SUMPRODUCT(Calc!$K$3:$K$22*(Calc!$G$3:$G$22&gt;A1092)*(Calc!$G$3:$G$22&lt;B1092))</f>
        <v/>
      </c>
      <c r="E1092">
        <f>SUMPRODUCT(Calc!$K$3:$K$22*(Calc!$G$3:$G$22&gt;=B1092))</f>
        <v/>
      </c>
      <c r="F1092">
        <f>AND(k_n&gt;=5,B1092&gt;A1092+1E-9,C1092&gt;=2,D1092&gt;=1,E1092&gt;=2)</f>
        <v/>
      </c>
      <c r="G1092">
        <f>SUMPRODUCT(Calc!$K$3:$K$22*(Calc!$G$3:$G$22&gt;A1092)*(Calc!$G$3:$G$22-A1092))</f>
        <v/>
      </c>
      <c r="H1092">
        <f>SUMPRODUCT(Calc!$K$3:$K$22*(Calc!$G$3:$G$22&gt;B1092)*(Calc!$G$3:$G$22-B1092))</f>
        <v/>
      </c>
      <c r="I1092">
        <f>SUMPRODUCT(Calc!$K$3:$K$22*(Calc!$G$3:$G$22&gt;A1092)*(Calc!$G$3:$G$22-A1092)^2)</f>
        <v/>
      </c>
      <c r="J1092">
        <f>SUMPRODUCT(Calc!$K$3:$K$22*(Calc!$G$3:$G$22&gt;B1092)*(Calc!$G$3:$G$22-B1092)^2)</f>
        <v/>
      </c>
      <c r="K1092">
        <f>SUMPRODUCT(Calc!$K$3:$K$22*(Calc!$G$3:$G$22&gt;A1092)*(Calc!$G$3:$G$22-A1092)*(Calc!$G$3:$G$22&gt;B1092)*(Calc!$G$3:$G$22-B1092))</f>
        <v/>
      </c>
      <c r="L1092">
        <f>SUMPRODUCT(Calc!$K$3:$K$22*(Calc!$G$3:$G$22&gt;A1092)*(Calc!$G$3:$G$22-A1092)*Calc!$G$3:$G$22)</f>
        <v/>
      </c>
      <c r="M1092">
        <f>SUMPRODUCT(Calc!$K$3:$K$22*(Calc!$G$3:$G$22&gt;B1092)*(Calc!$G$3:$G$22-B1092)*Calc!$G$3:$G$22)</f>
        <v/>
      </c>
      <c r="N1092">
        <f>SUMPRODUCT(Calc!$K$3:$K$22*(Calc!$G$3:$G$22&gt;A1092)*(Calc!$G$3:$G$22-A1092)*Calc!$I$3:$I$22)</f>
        <v/>
      </c>
      <c r="O1092">
        <f>SUMPRODUCT(Calc!$K$3:$K$22*(Calc!$G$3:$G$22&gt;B1092)*(Calc!$G$3:$G$22-B1092)*Calc!$I$3:$I$22)</f>
        <v/>
      </c>
      <c r="P1092">
        <f>I1092-G1092^2/k_n</f>
        <v/>
      </c>
      <c r="Q1092">
        <f>J1092-H1092^2/k_n</f>
        <v/>
      </c>
      <c r="R1092">
        <f>K1092-G1092*H1092/k_n</f>
        <v/>
      </c>
      <c r="S1092">
        <f>L1092-LTP3!$D$3*G1092/k_n</f>
        <v/>
      </c>
      <c r="T1092">
        <f>M1092-LTP3!$D$3*H1092/k_n</f>
        <v/>
      </c>
      <c r="U1092">
        <f>N1092-G1092*LTP3!$D$4/k_n</f>
        <v/>
      </c>
      <c r="V1092">
        <f>O1092-H1092*LTP3!$D$4/k_n</f>
        <v/>
      </c>
      <c r="W1092">
        <f>((LTP3!$D$5)*((P1092)*(Q1092)-(R1092)*(R1092))-(S1092)*((S1092)*(Q1092)-(R1092)*(T1092))+(T1092)*((S1092)*(R1092)-(P1092)*(T1092)))</f>
        <v/>
      </c>
      <c r="X1092">
        <f>IF(ABS(W1092)&gt;1E-12,((LTP3!$D$6)*((P1092)*(Q1092)-(R1092)*(R1092))-(S1092)*((U1092)*(Q1092)-(R1092)*(V1092))+(T1092)*((U1092)*(R1092)-(P1092)*(V1092)))/W1092,0)</f>
        <v/>
      </c>
      <c r="Y1092">
        <f>IF(ABS(W1092)&gt;1E-12,((LTP3!$D$5)*((U1092)*(Q1092)-(R1092)*(V1092))-(LTP3!$D$6)*((S1092)*(Q1092)-(R1092)*(T1092))+(T1092)*((S1092)*(V1092)-(U1092)*(T1092)))/W1092,0)</f>
        <v/>
      </c>
      <c r="Z1092">
        <f>IF(ABS(W1092)&gt;1E-12,((LTP3!$D$5)*((P1092)*(V1092)-(U1092)*(R1092))-(S1092)*((S1092)*(V1092)-(U1092)*(T1092))+(LTP3!$D$6)*((S1092)*(R1092)-(P1092)*(T1092)))/W1092,0)</f>
        <v/>
      </c>
      <c r="AA1092">
        <f>LTP3!$D$7-X1092*LTP3!$D$6-Y1092*U1092-Z1092*V1092</f>
        <v/>
      </c>
      <c r="AB1092">
        <f>IF(AND(F1092,ABS(W1092)&gt;1E-12,Y1092&gt;0,Z1092&gt;0),AA1092,1E+300)</f>
        <v/>
      </c>
    </row>
    <row r="1093">
      <c r="A1093">
        <f>$B$3+$B$5*17</f>
        <v/>
      </c>
      <c r="B1093">
        <f>$B$3+$B$5*44</f>
        <v/>
      </c>
      <c r="C1093">
        <f>SUMPRODUCT(Calc!$K$3:$K$22*(Calc!$G$3:$G$22&lt;=A1093))</f>
        <v/>
      </c>
      <c r="D1093">
        <f>SUMPRODUCT(Calc!$K$3:$K$22*(Calc!$G$3:$G$22&gt;A1093)*(Calc!$G$3:$G$22&lt;B1093))</f>
        <v/>
      </c>
      <c r="E1093">
        <f>SUMPRODUCT(Calc!$K$3:$K$22*(Calc!$G$3:$G$22&gt;=B1093))</f>
        <v/>
      </c>
      <c r="F1093">
        <f>AND(k_n&gt;=5,B1093&gt;A1093+1E-9,C1093&gt;=2,D1093&gt;=1,E1093&gt;=2)</f>
        <v/>
      </c>
      <c r="G1093">
        <f>SUMPRODUCT(Calc!$K$3:$K$22*(Calc!$G$3:$G$22&gt;A1093)*(Calc!$G$3:$G$22-A1093))</f>
        <v/>
      </c>
      <c r="H1093">
        <f>SUMPRODUCT(Calc!$K$3:$K$22*(Calc!$G$3:$G$22&gt;B1093)*(Calc!$G$3:$G$22-B1093))</f>
        <v/>
      </c>
      <c r="I1093">
        <f>SUMPRODUCT(Calc!$K$3:$K$22*(Calc!$G$3:$G$22&gt;A1093)*(Calc!$G$3:$G$22-A1093)^2)</f>
        <v/>
      </c>
      <c r="J1093">
        <f>SUMPRODUCT(Calc!$K$3:$K$22*(Calc!$G$3:$G$22&gt;B1093)*(Calc!$G$3:$G$22-B1093)^2)</f>
        <v/>
      </c>
      <c r="K1093">
        <f>SUMPRODUCT(Calc!$K$3:$K$22*(Calc!$G$3:$G$22&gt;A1093)*(Calc!$G$3:$G$22-A1093)*(Calc!$G$3:$G$22&gt;B1093)*(Calc!$G$3:$G$22-B1093))</f>
        <v/>
      </c>
      <c r="L1093">
        <f>SUMPRODUCT(Calc!$K$3:$K$22*(Calc!$G$3:$G$22&gt;A1093)*(Calc!$G$3:$G$22-A1093)*Calc!$G$3:$G$22)</f>
        <v/>
      </c>
      <c r="M1093">
        <f>SUMPRODUCT(Calc!$K$3:$K$22*(Calc!$G$3:$G$22&gt;B1093)*(Calc!$G$3:$G$22-B1093)*Calc!$G$3:$G$22)</f>
        <v/>
      </c>
      <c r="N1093">
        <f>SUMPRODUCT(Calc!$K$3:$K$22*(Calc!$G$3:$G$22&gt;A1093)*(Calc!$G$3:$G$22-A1093)*Calc!$I$3:$I$22)</f>
        <v/>
      </c>
      <c r="O1093">
        <f>SUMPRODUCT(Calc!$K$3:$K$22*(Calc!$G$3:$G$22&gt;B1093)*(Calc!$G$3:$G$22-B1093)*Calc!$I$3:$I$22)</f>
        <v/>
      </c>
      <c r="P1093">
        <f>I1093-G1093^2/k_n</f>
        <v/>
      </c>
      <c r="Q1093">
        <f>J1093-H1093^2/k_n</f>
        <v/>
      </c>
      <c r="R1093">
        <f>K1093-G1093*H1093/k_n</f>
        <v/>
      </c>
      <c r="S1093">
        <f>L1093-LTP3!$D$3*G1093/k_n</f>
        <v/>
      </c>
      <c r="T1093">
        <f>M1093-LTP3!$D$3*H1093/k_n</f>
        <v/>
      </c>
      <c r="U1093">
        <f>N1093-G1093*LTP3!$D$4/k_n</f>
        <v/>
      </c>
      <c r="V1093">
        <f>O1093-H1093*LTP3!$D$4/k_n</f>
        <v/>
      </c>
      <c r="W1093">
        <f>((LTP3!$D$5)*((P1093)*(Q1093)-(R1093)*(R1093))-(S1093)*((S1093)*(Q1093)-(R1093)*(T1093))+(T1093)*((S1093)*(R1093)-(P1093)*(T1093)))</f>
        <v/>
      </c>
      <c r="X1093">
        <f>IF(ABS(W1093)&gt;1E-12,((LTP3!$D$6)*((P1093)*(Q1093)-(R1093)*(R1093))-(S1093)*((U1093)*(Q1093)-(R1093)*(V1093))+(T1093)*((U1093)*(R1093)-(P1093)*(V1093)))/W1093,0)</f>
        <v/>
      </c>
      <c r="Y1093">
        <f>IF(ABS(W1093)&gt;1E-12,((LTP3!$D$5)*((U1093)*(Q1093)-(R1093)*(V1093))-(LTP3!$D$6)*((S1093)*(Q1093)-(R1093)*(T1093))+(T1093)*((S1093)*(V1093)-(U1093)*(T1093)))/W1093,0)</f>
        <v/>
      </c>
      <c r="Z1093">
        <f>IF(ABS(W1093)&gt;1E-12,((LTP3!$D$5)*((P1093)*(V1093)-(U1093)*(R1093))-(S1093)*((S1093)*(V1093)-(U1093)*(T1093))+(LTP3!$D$6)*((S1093)*(R1093)-(P1093)*(T1093)))/W1093,0)</f>
        <v/>
      </c>
      <c r="AA1093">
        <f>LTP3!$D$7-X1093*LTP3!$D$6-Y1093*U1093-Z1093*V1093</f>
        <v/>
      </c>
      <c r="AB1093">
        <f>IF(AND(F1093,ABS(W1093)&gt;1E-12,Y1093&gt;0,Z1093&gt;0),AA1093,1E+300)</f>
        <v/>
      </c>
    </row>
    <row r="1094">
      <c r="A1094">
        <f>$B$3+$B$5*17</f>
        <v/>
      </c>
      <c r="B1094">
        <f>$B$3+$B$5*45</f>
        <v/>
      </c>
      <c r="C1094">
        <f>SUMPRODUCT(Calc!$K$3:$K$22*(Calc!$G$3:$G$22&lt;=A1094))</f>
        <v/>
      </c>
      <c r="D1094">
        <f>SUMPRODUCT(Calc!$K$3:$K$22*(Calc!$G$3:$G$22&gt;A1094)*(Calc!$G$3:$G$22&lt;B1094))</f>
        <v/>
      </c>
      <c r="E1094">
        <f>SUMPRODUCT(Calc!$K$3:$K$22*(Calc!$G$3:$G$22&gt;=B1094))</f>
        <v/>
      </c>
      <c r="F1094">
        <f>AND(k_n&gt;=5,B1094&gt;A1094+1E-9,C1094&gt;=2,D1094&gt;=1,E1094&gt;=2)</f>
        <v/>
      </c>
      <c r="G1094">
        <f>SUMPRODUCT(Calc!$K$3:$K$22*(Calc!$G$3:$G$22&gt;A1094)*(Calc!$G$3:$G$22-A1094))</f>
        <v/>
      </c>
      <c r="H1094">
        <f>SUMPRODUCT(Calc!$K$3:$K$22*(Calc!$G$3:$G$22&gt;B1094)*(Calc!$G$3:$G$22-B1094))</f>
        <v/>
      </c>
      <c r="I1094">
        <f>SUMPRODUCT(Calc!$K$3:$K$22*(Calc!$G$3:$G$22&gt;A1094)*(Calc!$G$3:$G$22-A1094)^2)</f>
        <v/>
      </c>
      <c r="J1094">
        <f>SUMPRODUCT(Calc!$K$3:$K$22*(Calc!$G$3:$G$22&gt;B1094)*(Calc!$G$3:$G$22-B1094)^2)</f>
        <v/>
      </c>
      <c r="K1094">
        <f>SUMPRODUCT(Calc!$K$3:$K$22*(Calc!$G$3:$G$22&gt;A1094)*(Calc!$G$3:$G$22-A1094)*(Calc!$G$3:$G$22&gt;B1094)*(Calc!$G$3:$G$22-B1094))</f>
        <v/>
      </c>
      <c r="L1094">
        <f>SUMPRODUCT(Calc!$K$3:$K$22*(Calc!$G$3:$G$22&gt;A1094)*(Calc!$G$3:$G$22-A1094)*Calc!$G$3:$G$22)</f>
        <v/>
      </c>
      <c r="M1094">
        <f>SUMPRODUCT(Calc!$K$3:$K$22*(Calc!$G$3:$G$22&gt;B1094)*(Calc!$G$3:$G$22-B1094)*Calc!$G$3:$G$22)</f>
        <v/>
      </c>
      <c r="N1094">
        <f>SUMPRODUCT(Calc!$K$3:$K$22*(Calc!$G$3:$G$22&gt;A1094)*(Calc!$G$3:$G$22-A1094)*Calc!$I$3:$I$22)</f>
        <v/>
      </c>
      <c r="O1094">
        <f>SUMPRODUCT(Calc!$K$3:$K$22*(Calc!$G$3:$G$22&gt;B1094)*(Calc!$G$3:$G$22-B1094)*Calc!$I$3:$I$22)</f>
        <v/>
      </c>
      <c r="P1094">
        <f>I1094-G1094^2/k_n</f>
        <v/>
      </c>
      <c r="Q1094">
        <f>J1094-H1094^2/k_n</f>
        <v/>
      </c>
      <c r="R1094">
        <f>K1094-G1094*H1094/k_n</f>
        <v/>
      </c>
      <c r="S1094">
        <f>L1094-LTP3!$D$3*G1094/k_n</f>
        <v/>
      </c>
      <c r="T1094">
        <f>M1094-LTP3!$D$3*H1094/k_n</f>
        <v/>
      </c>
      <c r="U1094">
        <f>N1094-G1094*LTP3!$D$4/k_n</f>
        <v/>
      </c>
      <c r="V1094">
        <f>O1094-H1094*LTP3!$D$4/k_n</f>
        <v/>
      </c>
      <c r="W1094">
        <f>((LTP3!$D$5)*((P1094)*(Q1094)-(R1094)*(R1094))-(S1094)*((S1094)*(Q1094)-(R1094)*(T1094))+(T1094)*((S1094)*(R1094)-(P1094)*(T1094)))</f>
        <v/>
      </c>
      <c r="X1094">
        <f>IF(ABS(W1094)&gt;1E-12,((LTP3!$D$6)*((P1094)*(Q1094)-(R1094)*(R1094))-(S1094)*((U1094)*(Q1094)-(R1094)*(V1094))+(T1094)*((U1094)*(R1094)-(P1094)*(V1094)))/W1094,0)</f>
        <v/>
      </c>
      <c r="Y1094">
        <f>IF(ABS(W1094)&gt;1E-12,((LTP3!$D$5)*((U1094)*(Q1094)-(R1094)*(V1094))-(LTP3!$D$6)*((S1094)*(Q1094)-(R1094)*(T1094))+(T1094)*((S1094)*(V1094)-(U1094)*(T1094)))/W1094,0)</f>
        <v/>
      </c>
      <c r="Z1094">
        <f>IF(ABS(W1094)&gt;1E-12,((LTP3!$D$5)*((P1094)*(V1094)-(U1094)*(R1094))-(S1094)*((S1094)*(V1094)-(U1094)*(T1094))+(LTP3!$D$6)*((S1094)*(R1094)-(P1094)*(T1094)))/W1094,0)</f>
        <v/>
      </c>
      <c r="AA1094">
        <f>LTP3!$D$7-X1094*LTP3!$D$6-Y1094*U1094-Z1094*V1094</f>
        <v/>
      </c>
      <c r="AB1094">
        <f>IF(AND(F1094,ABS(W1094)&gt;1E-12,Y1094&gt;0,Z1094&gt;0),AA1094,1E+300)</f>
        <v/>
      </c>
    </row>
    <row r="1095">
      <c r="A1095">
        <f>$B$3+$B$5*17</f>
        <v/>
      </c>
      <c r="B1095">
        <f>$B$3+$B$5*46</f>
        <v/>
      </c>
      <c r="C1095">
        <f>SUMPRODUCT(Calc!$K$3:$K$22*(Calc!$G$3:$G$22&lt;=A1095))</f>
        <v/>
      </c>
      <c r="D1095">
        <f>SUMPRODUCT(Calc!$K$3:$K$22*(Calc!$G$3:$G$22&gt;A1095)*(Calc!$G$3:$G$22&lt;B1095))</f>
        <v/>
      </c>
      <c r="E1095">
        <f>SUMPRODUCT(Calc!$K$3:$K$22*(Calc!$G$3:$G$22&gt;=B1095))</f>
        <v/>
      </c>
      <c r="F1095">
        <f>AND(k_n&gt;=5,B1095&gt;A1095+1E-9,C1095&gt;=2,D1095&gt;=1,E1095&gt;=2)</f>
        <v/>
      </c>
      <c r="G1095">
        <f>SUMPRODUCT(Calc!$K$3:$K$22*(Calc!$G$3:$G$22&gt;A1095)*(Calc!$G$3:$G$22-A1095))</f>
        <v/>
      </c>
      <c r="H1095">
        <f>SUMPRODUCT(Calc!$K$3:$K$22*(Calc!$G$3:$G$22&gt;B1095)*(Calc!$G$3:$G$22-B1095))</f>
        <v/>
      </c>
      <c r="I1095">
        <f>SUMPRODUCT(Calc!$K$3:$K$22*(Calc!$G$3:$G$22&gt;A1095)*(Calc!$G$3:$G$22-A1095)^2)</f>
        <v/>
      </c>
      <c r="J1095">
        <f>SUMPRODUCT(Calc!$K$3:$K$22*(Calc!$G$3:$G$22&gt;B1095)*(Calc!$G$3:$G$22-B1095)^2)</f>
        <v/>
      </c>
      <c r="K1095">
        <f>SUMPRODUCT(Calc!$K$3:$K$22*(Calc!$G$3:$G$22&gt;A1095)*(Calc!$G$3:$G$22-A1095)*(Calc!$G$3:$G$22&gt;B1095)*(Calc!$G$3:$G$22-B1095))</f>
        <v/>
      </c>
      <c r="L1095">
        <f>SUMPRODUCT(Calc!$K$3:$K$22*(Calc!$G$3:$G$22&gt;A1095)*(Calc!$G$3:$G$22-A1095)*Calc!$G$3:$G$22)</f>
        <v/>
      </c>
      <c r="M1095">
        <f>SUMPRODUCT(Calc!$K$3:$K$22*(Calc!$G$3:$G$22&gt;B1095)*(Calc!$G$3:$G$22-B1095)*Calc!$G$3:$G$22)</f>
        <v/>
      </c>
      <c r="N1095">
        <f>SUMPRODUCT(Calc!$K$3:$K$22*(Calc!$G$3:$G$22&gt;A1095)*(Calc!$G$3:$G$22-A1095)*Calc!$I$3:$I$22)</f>
        <v/>
      </c>
      <c r="O1095">
        <f>SUMPRODUCT(Calc!$K$3:$K$22*(Calc!$G$3:$G$22&gt;B1095)*(Calc!$G$3:$G$22-B1095)*Calc!$I$3:$I$22)</f>
        <v/>
      </c>
      <c r="P1095">
        <f>I1095-G1095^2/k_n</f>
        <v/>
      </c>
      <c r="Q1095">
        <f>J1095-H1095^2/k_n</f>
        <v/>
      </c>
      <c r="R1095">
        <f>K1095-G1095*H1095/k_n</f>
        <v/>
      </c>
      <c r="S1095">
        <f>L1095-LTP3!$D$3*G1095/k_n</f>
        <v/>
      </c>
      <c r="T1095">
        <f>M1095-LTP3!$D$3*H1095/k_n</f>
        <v/>
      </c>
      <c r="U1095">
        <f>N1095-G1095*LTP3!$D$4/k_n</f>
        <v/>
      </c>
      <c r="V1095">
        <f>O1095-H1095*LTP3!$D$4/k_n</f>
        <v/>
      </c>
      <c r="W1095">
        <f>((LTP3!$D$5)*((P1095)*(Q1095)-(R1095)*(R1095))-(S1095)*((S1095)*(Q1095)-(R1095)*(T1095))+(T1095)*((S1095)*(R1095)-(P1095)*(T1095)))</f>
        <v/>
      </c>
      <c r="X1095">
        <f>IF(ABS(W1095)&gt;1E-12,((LTP3!$D$6)*((P1095)*(Q1095)-(R1095)*(R1095))-(S1095)*((U1095)*(Q1095)-(R1095)*(V1095))+(T1095)*((U1095)*(R1095)-(P1095)*(V1095)))/W1095,0)</f>
        <v/>
      </c>
      <c r="Y1095">
        <f>IF(ABS(W1095)&gt;1E-12,((LTP3!$D$5)*((U1095)*(Q1095)-(R1095)*(V1095))-(LTP3!$D$6)*((S1095)*(Q1095)-(R1095)*(T1095))+(T1095)*((S1095)*(V1095)-(U1095)*(T1095)))/W1095,0)</f>
        <v/>
      </c>
      <c r="Z1095">
        <f>IF(ABS(W1095)&gt;1E-12,((LTP3!$D$5)*((P1095)*(V1095)-(U1095)*(R1095))-(S1095)*((S1095)*(V1095)-(U1095)*(T1095))+(LTP3!$D$6)*((S1095)*(R1095)-(P1095)*(T1095)))/W1095,0)</f>
        <v/>
      </c>
      <c r="AA1095">
        <f>LTP3!$D$7-X1095*LTP3!$D$6-Y1095*U1095-Z1095*V1095</f>
        <v/>
      </c>
      <c r="AB1095">
        <f>IF(AND(F1095,ABS(W1095)&gt;1E-12,Y1095&gt;0,Z1095&gt;0),AA1095,1E+300)</f>
        <v/>
      </c>
    </row>
    <row r="1096">
      <c r="A1096">
        <f>$B$3+$B$5*17</f>
        <v/>
      </c>
      <c r="B1096">
        <f>$B$3+$B$5*47</f>
        <v/>
      </c>
      <c r="C1096">
        <f>SUMPRODUCT(Calc!$K$3:$K$22*(Calc!$G$3:$G$22&lt;=A1096))</f>
        <v/>
      </c>
      <c r="D1096">
        <f>SUMPRODUCT(Calc!$K$3:$K$22*(Calc!$G$3:$G$22&gt;A1096)*(Calc!$G$3:$G$22&lt;B1096))</f>
        <v/>
      </c>
      <c r="E1096">
        <f>SUMPRODUCT(Calc!$K$3:$K$22*(Calc!$G$3:$G$22&gt;=B1096))</f>
        <v/>
      </c>
      <c r="F1096">
        <f>AND(k_n&gt;=5,B1096&gt;A1096+1E-9,C1096&gt;=2,D1096&gt;=1,E1096&gt;=2)</f>
        <v/>
      </c>
      <c r="G1096">
        <f>SUMPRODUCT(Calc!$K$3:$K$22*(Calc!$G$3:$G$22&gt;A1096)*(Calc!$G$3:$G$22-A1096))</f>
        <v/>
      </c>
      <c r="H1096">
        <f>SUMPRODUCT(Calc!$K$3:$K$22*(Calc!$G$3:$G$22&gt;B1096)*(Calc!$G$3:$G$22-B1096))</f>
        <v/>
      </c>
      <c r="I1096">
        <f>SUMPRODUCT(Calc!$K$3:$K$22*(Calc!$G$3:$G$22&gt;A1096)*(Calc!$G$3:$G$22-A1096)^2)</f>
        <v/>
      </c>
      <c r="J1096">
        <f>SUMPRODUCT(Calc!$K$3:$K$22*(Calc!$G$3:$G$22&gt;B1096)*(Calc!$G$3:$G$22-B1096)^2)</f>
        <v/>
      </c>
      <c r="K1096">
        <f>SUMPRODUCT(Calc!$K$3:$K$22*(Calc!$G$3:$G$22&gt;A1096)*(Calc!$G$3:$G$22-A1096)*(Calc!$G$3:$G$22&gt;B1096)*(Calc!$G$3:$G$22-B1096))</f>
        <v/>
      </c>
      <c r="L1096">
        <f>SUMPRODUCT(Calc!$K$3:$K$22*(Calc!$G$3:$G$22&gt;A1096)*(Calc!$G$3:$G$22-A1096)*Calc!$G$3:$G$22)</f>
        <v/>
      </c>
      <c r="M1096">
        <f>SUMPRODUCT(Calc!$K$3:$K$22*(Calc!$G$3:$G$22&gt;B1096)*(Calc!$G$3:$G$22-B1096)*Calc!$G$3:$G$22)</f>
        <v/>
      </c>
      <c r="N1096">
        <f>SUMPRODUCT(Calc!$K$3:$K$22*(Calc!$G$3:$G$22&gt;A1096)*(Calc!$G$3:$G$22-A1096)*Calc!$I$3:$I$22)</f>
        <v/>
      </c>
      <c r="O1096">
        <f>SUMPRODUCT(Calc!$K$3:$K$22*(Calc!$G$3:$G$22&gt;B1096)*(Calc!$G$3:$G$22-B1096)*Calc!$I$3:$I$22)</f>
        <v/>
      </c>
      <c r="P1096">
        <f>I1096-G1096^2/k_n</f>
        <v/>
      </c>
      <c r="Q1096">
        <f>J1096-H1096^2/k_n</f>
        <v/>
      </c>
      <c r="R1096">
        <f>K1096-G1096*H1096/k_n</f>
        <v/>
      </c>
      <c r="S1096">
        <f>L1096-LTP3!$D$3*G1096/k_n</f>
        <v/>
      </c>
      <c r="T1096">
        <f>M1096-LTP3!$D$3*H1096/k_n</f>
        <v/>
      </c>
      <c r="U1096">
        <f>N1096-G1096*LTP3!$D$4/k_n</f>
        <v/>
      </c>
      <c r="V1096">
        <f>O1096-H1096*LTP3!$D$4/k_n</f>
        <v/>
      </c>
      <c r="W1096">
        <f>((LTP3!$D$5)*((P1096)*(Q1096)-(R1096)*(R1096))-(S1096)*((S1096)*(Q1096)-(R1096)*(T1096))+(T1096)*((S1096)*(R1096)-(P1096)*(T1096)))</f>
        <v/>
      </c>
      <c r="X1096">
        <f>IF(ABS(W1096)&gt;1E-12,((LTP3!$D$6)*((P1096)*(Q1096)-(R1096)*(R1096))-(S1096)*((U1096)*(Q1096)-(R1096)*(V1096))+(T1096)*((U1096)*(R1096)-(P1096)*(V1096)))/W1096,0)</f>
        <v/>
      </c>
      <c r="Y1096">
        <f>IF(ABS(W1096)&gt;1E-12,((LTP3!$D$5)*((U1096)*(Q1096)-(R1096)*(V1096))-(LTP3!$D$6)*((S1096)*(Q1096)-(R1096)*(T1096))+(T1096)*((S1096)*(V1096)-(U1096)*(T1096)))/W1096,0)</f>
        <v/>
      </c>
      <c r="Z1096">
        <f>IF(ABS(W1096)&gt;1E-12,((LTP3!$D$5)*((P1096)*(V1096)-(U1096)*(R1096))-(S1096)*((S1096)*(V1096)-(U1096)*(T1096))+(LTP3!$D$6)*((S1096)*(R1096)-(P1096)*(T1096)))/W1096,0)</f>
        <v/>
      </c>
      <c r="AA1096">
        <f>LTP3!$D$7-X1096*LTP3!$D$6-Y1096*U1096-Z1096*V1096</f>
        <v/>
      </c>
      <c r="AB1096">
        <f>IF(AND(F1096,ABS(W1096)&gt;1E-12,Y1096&gt;0,Z1096&gt;0),AA1096,1E+300)</f>
        <v/>
      </c>
    </row>
    <row r="1097">
      <c r="A1097">
        <f>$B$3+$B$5*17</f>
        <v/>
      </c>
      <c r="B1097">
        <f>$B$3+$B$5*48</f>
        <v/>
      </c>
      <c r="C1097">
        <f>SUMPRODUCT(Calc!$K$3:$K$22*(Calc!$G$3:$G$22&lt;=A1097))</f>
        <v/>
      </c>
      <c r="D1097">
        <f>SUMPRODUCT(Calc!$K$3:$K$22*(Calc!$G$3:$G$22&gt;A1097)*(Calc!$G$3:$G$22&lt;B1097))</f>
        <v/>
      </c>
      <c r="E1097">
        <f>SUMPRODUCT(Calc!$K$3:$K$22*(Calc!$G$3:$G$22&gt;=B1097))</f>
        <v/>
      </c>
      <c r="F1097">
        <f>AND(k_n&gt;=5,B1097&gt;A1097+1E-9,C1097&gt;=2,D1097&gt;=1,E1097&gt;=2)</f>
        <v/>
      </c>
      <c r="G1097">
        <f>SUMPRODUCT(Calc!$K$3:$K$22*(Calc!$G$3:$G$22&gt;A1097)*(Calc!$G$3:$G$22-A1097))</f>
        <v/>
      </c>
      <c r="H1097">
        <f>SUMPRODUCT(Calc!$K$3:$K$22*(Calc!$G$3:$G$22&gt;B1097)*(Calc!$G$3:$G$22-B1097))</f>
        <v/>
      </c>
      <c r="I1097">
        <f>SUMPRODUCT(Calc!$K$3:$K$22*(Calc!$G$3:$G$22&gt;A1097)*(Calc!$G$3:$G$22-A1097)^2)</f>
        <v/>
      </c>
      <c r="J1097">
        <f>SUMPRODUCT(Calc!$K$3:$K$22*(Calc!$G$3:$G$22&gt;B1097)*(Calc!$G$3:$G$22-B1097)^2)</f>
        <v/>
      </c>
      <c r="K1097">
        <f>SUMPRODUCT(Calc!$K$3:$K$22*(Calc!$G$3:$G$22&gt;A1097)*(Calc!$G$3:$G$22-A1097)*(Calc!$G$3:$G$22&gt;B1097)*(Calc!$G$3:$G$22-B1097))</f>
        <v/>
      </c>
      <c r="L1097">
        <f>SUMPRODUCT(Calc!$K$3:$K$22*(Calc!$G$3:$G$22&gt;A1097)*(Calc!$G$3:$G$22-A1097)*Calc!$G$3:$G$22)</f>
        <v/>
      </c>
      <c r="M1097">
        <f>SUMPRODUCT(Calc!$K$3:$K$22*(Calc!$G$3:$G$22&gt;B1097)*(Calc!$G$3:$G$22-B1097)*Calc!$G$3:$G$22)</f>
        <v/>
      </c>
      <c r="N1097">
        <f>SUMPRODUCT(Calc!$K$3:$K$22*(Calc!$G$3:$G$22&gt;A1097)*(Calc!$G$3:$G$22-A1097)*Calc!$I$3:$I$22)</f>
        <v/>
      </c>
      <c r="O1097">
        <f>SUMPRODUCT(Calc!$K$3:$K$22*(Calc!$G$3:$G$22&gt;B1097)*(Calc!$G$3:$G$22-B1097)*Calc!$I$3:$I$22)</f>
        <v/>
      </c>
      <c r="P1097">
        <f>I1097-G1097^2/k_n</f>
        <v/>
      </c>
      <c r="Q1097">
        <f>J1097-H1097^2/k_n</f>
        <v/>
      </c>
      <c r="R1097">
        <f>K1097-G1097*H1097/k_n</f>
        <v/>
      </c>
      <c r="S1097">
        <f>L1097-LTP3!$D$3*G1097/k_n</f>
        <v/>
      </c>
      <c r="T1097">
        <f>M1097-LTP3!$D$3*H1097/k_n</f>
        <v/>
      </c>
      <c r="U1097">
        <f>N1097-G1097*LTP3!$D$4/k_n</f>
        <v/>
      </c>
      <c r="V1097">
        <f>O1097-H1097*LTP3!$D$4/k_n</f>
        <v/>
      </c>
      <c r="W1097">
        <f>((LTP3!$D$5)*((P1097)*(Q1097)-(R1097)*(R1097))-(S1097)*((S1097)*(Q1097)-(R1097)*(T1097))+(T1097)*((S1097)*(R1097)-(P1097)*(T1097)))</f>
        <v/>
      </c>
      <c r="X1097">
        <f>IF(ABS(W1097)&gt;1E-12,((LTP3!$D$6)*((P1097)*(Q1097)-(R1097)*(R1097))-(S1097)*((U1097)*(Q1097)-(R1097)*(V1097))+(T1097)*((U1097)*(R1097)-(P1097)*(V1097)))/W1097,0)</f>
        <v/>
      </c>
      <c r="Y1097">
        <f>IF(ABS(W1097)&gt;1E-12,((LTP3!$D$5)*((U1097)*(Q1097)-(R1097)*(V1097))-(LTP3!$D$6)*((S1097)*(Q1097)-(R1097)*(T1097))+(T1097)*((S1097)*(V1097)-(U1097)*(T1097)))/W1097,0)</f>
        <v/>
      </c>
      <c r="Z1097">
        <f>IF(ABS(W1097)&gt;1E-12,((LTP3!$D$5)*((P1097)*(V1097)-(U1097)*(R1097))-(S1097)*((S1097)*(V1097)-(U1097)*(T1097))+(LTP3!$D$6)*((S1097)*(R1097)-(P1097)*(T1097)))/W1097,0)</f>
        <v/>
      </c>
      <c r="AA1097">
        <f>LTP3!$D$7-X1097*LTP3!$D$6-Y1097*U1097-Z1097*V1097</f>
        <v/>
      </c>
      <c r="AB1097">
        <f>IF(AND(F1097,ABS(W1097)&gt;1E-12,Y1097&gt;0,Z1097&gt;0),AA1097,1E+300)</f>
        <v/>
      </c>
    </row>
    <row r="1098">
      <c r="A1098">
        <f>$B$3+$B$5*17</f>
        <v/>
      </c>
      <c r="B1098">
        <f>$B$3+$B$5*49</f>
        <v/>
      </c>
      <c r="C1098">
        <f>SUMPRODUCT(Calc!$K$3:$K$22*(Calc!$G$3:$G$22&lt;=A1098))</f>
        <v/>
      </c>
      <c r="D1098">
        <f>SUMPRODUCT(Calc!$K$3:$K$22*(Calc!$G$3:$G$22&gt;A1098)*(Calc!$G$3:$G$22&lt;B1098))</f>
        <v/>
      </c>
      <c r="E1098">
        <f>SUMPRODUCT(Calc!$K$3:$K$22*(Calc!$G$3:$G$22&gt;=B1098))</f>
        <v/>
      </c>
      <c r="F1098">
        <f>AND(k_n&gt;=5,B1098&gt;A1098+1E-9,C1098&gt;=2,D1098&gt;=1,E1098&gt;=2)</f>
        <v/>
      </c>
      <c r="G1098">
        <f>SUMPRODUCT(Calc!$K$3:$K$22*(Calc!$G$3:$G$22&gt;A1098)*(Calc!$G$3:$G$22-A1098))</f>
        <v/>
      </c>
      <c r="H1098">
        <f>SUMPRODUCT(Calc!$K$3:$K$22*(Calc!$G$3:$G$22&gt;B1098)*(Calc!$G$3:$G$22-B1098))</f>
        <v/>
      </c>
      <c r="I1098">
        <f>SUMPRODUCT(Calc!$K$3:$K$22*(Calc!$G$3:$G$22&gt;A1098)*(Calc!$G$3:$G$22-A1098)^2)</f>
        <v/>
      </c>
      <c r="J1098">
        <f>SUMPRODUCT(Calc!$K$3:$K$22*(Calc!$G$3:$G$22&gt;B1098)*(Calc!$G$3:$G$22-B1098)^2)</f>
        <v/>
      </c>
      <c r="K1098">
        <f>SUMPRODUCT(Calc!$K$3:$K$22*(Calc!$G$3:$G$22&gt;A1098)*(Calc!$G$3:$G$22-A1098)*(Calc!$G$3:$G$22&gt;B1098)*(Calc!$G$3:$G$22-B1098))</f>
        <v/>
      </c>
      <c r="L1098">
        <f>SUMPRODUCT(Calc!$K$3:$K$22*(Calc!$G$3:$G$22&gt;A1098)*(Calc!$G$3:$G$22-A1098)*Calc!$G$3:$G$22)</f>
        <v/>
      </c>
      <c r="M1098">
        <f>SUMPRODUCT(Calc!$K$3:$K$22*(Calc!$G$3:$G$22&gt;B1098)*(Calc!$G$3:$G$22-B1098)*Calc!$G$3:$G$22)</f>
        <v/>
      </c>
      <c r="N1098">
        <f>SUMPRODUCT(Calc!$K$3:$K$22*(Calc!$G$3:$G$22&gt;A1098)*(Calc!$G$3:$G$22-A1098)*Calc!$I$3:$I$22)</f>
        <v/>
      </c>
      <c r="O1098">
        <f>SUMPRODUCT(Calc!$K$3:$K$22*(Calc!$G$3:$G$22&gt;B1098)*(Calc!$G$3:$G$22-B1098)*Calc!$I$3:$I$22)</f>
        <v/>
      </c>
      <c r="P1098">
        <f>I1098-G1098^2/k_n</f>
        <v/>
      </c>
      <c r="Q1098">
        <f>J1098-H1098^2/k_n</f>
        <v/>
      </c>
      <c r="R1098">
        <f>K1098-G1098*H1098/k_n</f>
        <v/>
      </c>
      <c r="S1098">
        <f>L1098-LTP3!$D$3*G1098/k_n</f>
        <v/>
      </c>
      <c r="T1098">
        <f>M1098-LTP3!$D$3*H1098/k_n</f>
        <v/>
      </c>
      <c r="U1098">
        <f>N1098-G1098*LTP3!$D$4/k_n</f>
        <v/>
      </c>
      <c r="V1098">
        <f>O1098-H1098*LTP3!$D$4/k_n</f>
        <v/>
      </c>
      <c r="W1098">
        <f>((LTP3!$D$5)*((P1098)*(Q1098)-(R1098)*(R1098))-(S1098)*((S1098)*(Q1098)-(R1098)*(T1098))+(T1098)*((S1098)*(R1098)-(P1098)*(T1098)))</f>
        <v/>
      </c>
      <c r="X1098">
        <f>IF(ABS(W1098)&gt;1E-12,((LTP3!$D$6)*((P1098)*(Q1098)-(R1098)*(R1098))-(S1098)*((U1098)*(Q1098)-(R1098)*(V1098))+(T1098)*((U1098)*(R1098)-(P1098)*(V1098)))/W1098,0)</f>
        <v/>
      </c>
      <c r="Y1098">
        <f>IF(ABS(W1098)&gt;1E-12,((LTP3!$D$5)*((U1098)*(Q1098)-(R1098)*(V1098))-(LTP3!$D$6)*((S1098)*(Q1098)-(R1098)*(T1098))+(T1098)*((S1098)*(V1098)-(U1098)*(T1098)))/W1098,0)</f>
        <v/>
      </c>
      <c r="Z1098">
        <f>IF(ABS(W1098)&gt;1E-12,((LTP3!$D$5)*((P1098)*(V1098)-(U1098)*(R1098))-(S1098)*((S1098)*(V1098)-(U1098)*(T1098))+(LTP3!$D$6)*((S1098)*(R1098)-(P1098)*(T1098)))/W1098,0)</f>
        <v/>
      </c>
      <c r="AA1098">
        <f>LTP3!$D$7-X1098*LTP3!$D$6-Y1098*U1098-Z1098*V1098</f>
        <v/>
      </c>
      <c r="AB1098">
        <f>IF(AND(F1098,ABS(W1098)&gt;1E-12,Y1098&gt;0,Z1098&gt;0),AA1098,1E+300)</f>
        <v/>
      </c>
    </row>
    <row r="1099">
      <c r="A1099">
        <f>$B$3+$B$5*17</f>
        <v/>
      </c>
      <c r="B1099">
        <f>$B$3+$B$5*50</f>
        <v/>
      </c>
      <c r="C1099">
        <f>SUMPRODUCT(Calc!$K$3:$K$22*(Calc!$G$3:$G$22&lt;=A1099))</f>
        <v/>
      </c>
      <c r="D1099">
        <f>SUMPRODUCT(Calc!$K$3:$K$22*(Calc!$G$3:$G$22&gt;A1099)*(Calc!$G$3:$G$22&lt;B1099))</f>
        <v/>
      </c>
      <c r="E1099">
        <f>SUMPRODUCT(Calc!$K$3:$K$22*(Calc!$G$3:$G$22&gt;=B1099))</f>
        <v/>
      </c>
      <c r="F1099">
        <f>AND(k_n&gt;=5,B1099&gt;A1099+1E-9,C1099&gt;=2,D1099&gt;=1,E1099&gt;=2)</f>
        <v/>
      </c>
      <c r="G1099">
        <f>SUMPRODUCT(Calc!$K$3:$K$22*(Calc!$G$3:$G$22&gt;A1099)*(Calc!$G$3:$G$22-A1099))</f>
        <v/>
      </c>
      <c r="H1099">
        <f>SUMPRODUCT(Calc!$K$3:$K$22*(Calc!$G$3:$G$22&gt;B1099)*(Calc!$G$3:$G$22-B1099))</f>
        <v/>
      </c>
      <c r="I1099">
        <f>SUMPRODUCT(Calc!$K$3:$K$22*(Calc!$G$3:$G$22&gt;A1099)*(Calc!$G$3:$G$22-A1099)^2)</f>
        <v/>
      </c>
      <c r="J1099">
        <f>SUMPRODUCT(Calc!$K$3:$K$22*(Calc!$G$3:$G$22&gt;B1099)*(Calc!$G$3:$G$22-B1099)^2)</f>
        <v/>
      </c>
      <c r="K1099">
        <f>SUMPRODUCT(Calc!$K$3:$K$22*(Calc!$G$3:$G$22&gt;A1099)*(Calc!$G$3:$G$22-A1099)*(Calc!$G$3:$G$22&gt;B1099)*(Calc!$G$3:$G$22-B1099))</f>
        <v/>
      </c>
      <c r="L1099">
        <f>SUMPRODUCT(Calc!$K$3:$K$22*(Calc!$G$3:$G$22&gt;A1099)*(Calc!$G$3:$G$22-A1099)*Calc!$G$3:$G$22)</f>
        <v/>
      </c>
      <c r="M1099">
        <f>SUMPRODUCT(Calc!$K$3:$K$22*(Calc!$G$3:$G$22&gt;B1099)*(Calc!$G$3:$G$22-B1099)*Calc!$G$3:$G$22)</f>
        <v/>
      </c>
      <c r="N1099">
        <f>SUMPRODUCT(Calc!$K$3:$K$22*(Calc!$G$3:$G$22&gt;A1099)*(Calc!$G$3:$G$22-A1099)*Calc!$I$3:$I$22)</f>
        <v/>
      </c>
      <c r="O1099">
        <f>SUMPRODUCT(Calc!$K$3:$K$22*(Calc!$G$3:$G$22&gt;B1099)*(Calc!$G$3:$G$22-B1099)*Calc!$I$3:$I$22)</f>
        <v/>
      </c>
      <c r="P1099">
        <f>I1099-G1099^2/k_n</f>
        <v/>
      </c>
      <c r="Q1099">
        <f>J1099-H1099^2/k_n</f>
        <v/>
      </c>
      <c r="R1099">
        <f>K1099-G1099*H1099/k_n</f>
        <v/>
      </c>
      <c r="S1099">
        <f>L1099-LTP3!$D$3*G1099/k_n</f>
        <v/>
      </c>
      <c r="T1099">
        <f>M1099-LTP3!$D$3*H1099/k_n</f>
        <v/>
      </c>
      <c r="U1099">
        <f>N1099-G1099*LTP3!$D$4/k_n</f>
        <v/>
      </c>
      <c r="V1099">
        <f>O1099-H1099*LTP3!$D$4/k_n</f>
        <v/>
      </c>
      <c r="W1099">
        <f>((LTP3!$D$5)*((P1099)*(Q1099)-(R1099)*(R1099))-(S1099)*((S1099)*(Q1099)-(R1099)*(T1099))+(T1099)*((S1099)*(R1099)-(P1099)*(T1099)))</f>
        <v/>
      </c>
      <c r="X1099">
        <f>IF(ABS(W1099)&gt;1E-12,((LTP3!$D$6)*((P1099)*(Q1099)-(R1099)*(R1099))-(S1099)*((U1099)*(Q1099)-(R1099)*(V1099))+(T1099)*((U1099)*(R1099)-(P1099)*(V1099)))/W1099,0)</f>
        <v/>
      </c>
      <c r="Y1099">
        <f>IF(ABS(W1099)&gt;1E-12,((LTP3!$D$5)*((U1099)*(Q1099)-(R1099)*(V1099))-(LTP3!$D$6)*((S1099)*(Q1099)-(R1099)*(T1099))+(T1099)*((S1099)*(V1099)-(U1099)*(T1099)))/W1099,0)</f>
        <v/>
      </c>
      <c r="Z1099">
        <f>IF(ABS(W1099)&gt;1E-12,((LTP3!$D$5)*((P1099)*(V1099)-(U1099)*(R1099))-(S1099)*((S1099)*(V1099)-(U1099)*(T1099))+(LTP3!$D$6)*((S1099)*(R1099)-(P1099)*(T1099)))/W1099,0)</f>
        <v/>
      </c>
      <c r="AA1099">
        <f>LTP3!$D$7-X1099*LTP3!$D$6-Y1099*U1099-Z1099*V1099</f>
        <v/>
      </c>
      <c r="AB1099">
        <f>IF(AND(F1099,ABS(W1099)&gt;1E-12,Y1099&gt;0,Z1099&gt;0),AA1099,1E+300)</f>
        <v/>
      </c>
    </row>
    <row r="1100">
      <c r="A1100">
        <f>$B$3+$B$5*17</f>
        <v/>
      </c>
      <c r="B1100">
        <f>$B$3+$B$5*51</f>
        <v/>
      </c>
      <c r="C1100">
        <f>SUMPRODUCT(Calc!$K$3:$K$22*(Calc!$G$3:$G$22&lt;=A1100))</f>
        <v/>
      </c>
      <c r="D1100">
        <f>SUMPRODUCT(Calc!$K$3:$K$22*(Calc!$G$3:$G$22&gt;A1100)*(Calc!$G$3:$G$22&lt;B1100))</f>
        <v/>
      </c>
      <c r="E1100">
        <f>SUMPRODUCT(Calc!$K$3:$K$22*(Calc!$G$3:$G$22&gt;=B1100))</f>
        <v/>
      </c>
      <c r="F1100">
        <f>AND(k_n&gt;=5,B1100&gt;A1100+1E-9,C1100&gt;=2,D1100&gt;=1,E1100&gt;=2)</f>
        <v/>
      </c>
      <c r="G1100">
        <f>SUMPRODUCT(Calc!$K$3:$K$22*(Calc!$G$3:$G$22&gt;A1100)*(Calc!$G$3:$G$22-A1100))</f>
        <v/>
      </c>
      <c r="H1100">
        <f>SUMPRODUCT(Calc!$K$3:$K$22*(Calc!$G$3:$G$22&gt;B1100)*(Calc!$G$3:$G$22-B1100))</f>
        <v/>
      </c>
      <c r="I1100">
        <f>SUMPRODUCT(Calc!$K$3:$K$22*(Calc!$G$3:$G$22&gt;A1100)*(Calc!$G$3:$G$22-A1100)^2)</f>
        <v/>
      </c>
      <c r="J1100">
        <f>SUMPRODUCT(Calc!$K$3:$K$22*(Calc!$G$3:$G$22&gt;B1100)*(Calc!$G$3:$G$22-B1100)^2)</f>
        <v/>
      </c>
      <c r="K1100">
        <f>SUMPRODUCT(Calc!$K$3:$K$22*(Calc!$G$3:$G$22&gt;A1100)*(Calc!$G$3:$G$22-A1100)*(Calc!$G$3:$G$22&gt;B1100)*(Calc!$G$3:$G$22-B1100))</f>
        <v/>
      </c>
      <c r="L1100">
        <f>SUMPRODUCT(Calc!$K$3:$K$22*(Calc!$G$3:$G$22&gt;A1100)*(Calc!$G$3:$G$22-A1100)*Calc!$G$3:$G$22)</f>
        <v/>
      </c>
      <c r="M1100">
        <f>SUMPRODUCT(Calc!$K$3:$K$22*(Calc!$G$3:$G$22&gt;B1100)*(Calc!$G$3:$G$22-B1100)*Calc!$G$3:$G$22)</f>
        <v/>
      </c>
      <c r="N1100">
        <f>SUMPRODUCT(Calc!$K$3:$K$22*(Calc!$G$3:$G$22&gt;A1100)*(Calc!$G$3:$G$22-A1100)*Calc!$I$3:$I$22)</f>
        <v/>
      </c>
      <c r="O1100">
        <f>SUMPRODUCT(Calc!$K$3:$K$22*(Calc!$G$3:$G$22&gt;B1100)*(Calc!$G$3:$G$22-B1100)*Calc!$I$3:$I$22)</f>
        <v/>
      </c>
      <c r="P1100">
        <f>I1100-G1100^2/k_n</f>
        <v/>
      </c>
      <c r="Q1100">
        <f>J1100-H1100^2/k_n</f>
        <v/>
      </c>
      <c r="R1100">
        <f>K1100-G1100*H1100/k_n</f>
        <v/>
      </c>
      <c r="S1100">
        <f>L1100-LTP3!$D$3*G1100/k_n</f>
        <v/>
      </c>
      <c r="T1100">
        <f>M1100-LTP3!$D$3*H1100/k_n</f>
        <v/>
      </c>
      <c r="U1100">
        <f>N1100-G1100*LTP3!$D$4/k_n</f>
        <v/>
      </c>
      <c r="V1100">
        <f>O1100-H1100*LTP3!$D$4/k_n</f>
        <v/>
      </c>
      <c r="W1100">
        <f>((LTP3!$D$5)*((P1100)*(Q1100)-(R1100)*(R1100))-(S1100)*((S1100)*(Q1100)-(R1100)*(T1100))+(T1100)*((S1100)*(R1100)-(P1100)*(T1100)))</f>
        <v/>
      </c>
      <c r="X1100">
        <f>IF(ABS(W1100)&gt;1E-12,((LTP3!$D$6)*((P1100)*(Q1100)-(R1100)*(R1100))-(S1100)*((U1100)*(Q1100)-(R1100)*(V1100))+(T1100)*((U1100)*(R1100)-(P1100)*(V1100)))/W1100,0)</f>
        <v/>
      </c>
      <c r="Y1100">
        <f>IF(ABS(W1100)&gt;1E-12,((LTP3!$D$5)*((U1100)*(Q1100)-(R1100)*(V1100))-(LTP3!$D$6)*((S1100)*(Q1100)-(R1100)*(T1100))+(T1100)*((S1100)*(V1100)-(U1100)*(T1100)))/W1100,0)</f>
        <v/>
      </c>
      <c r="Z1100">
        <f>IF(ABS(W1100)&gt;1E-12,((LTP3!$D$5)*((P1100)*(V1100)-(U1100)*(R1100))-(S1100)*((S1100)*(V1100)-(U1100)*(T1100))+(LTP3!$D$6)*((S1100)*(R1100)-(P1100)*(T1100)))/W1100,0)</f>
        <v/>
      </c>
      <c r="AA1100">
        <f>LTP3!$D$7-X1100*LTP3!$D$6-Y1100*U1100-Z1100*V1100</f>
        <v/>
      </c>
      <c r="AB1100">
        <f>IF(AND(F1100,ABS(W1100)&gt;1E-12,Y1100&gt;0,Z1100&gt;0),AA1100,1E+300)</f>
        <v/>
      </c>
    </row>
    <row r="1101">
      <c r="A1101">
        <f>$B$3+$B$5*17</f>
        <v/>
      </c>
      <c r="B1101">
        <f>$B$3+$B$5*52</f>
        <v/>
      </c>
      <c r="C1101">
        <f>SUMPRODUCT(Calc!$K$3:$K$22*(Calc!$G$3:$G$22&lt;=A1101))</f>
        <v/>
      </c>
      <c r="D1101">
        <f>SUMPRODUCT(Calc!$K$3:$K$22*(Calc!$G$3:$G$22&gt;A1101)*(Calc!$G$3:$G$22&lt;B1101))</f>
        <v/>
      </c>
      <c r="E1101">
        <f>SUMPRODUCT(Calc!$K$3:$K$22*(Calc!$G$3:$G$22&gt;=B1101))</f>
        <v/>
      </c>
      <c r="F1101">
        <f>AND(k_n&gt;=5,B1101&gt;A1101+1E-9,C1101&gt;=2,D1101&gt;=1,E1101&gt;=2)</f>
        <v/>
      </c>
      <c r="G1101">
        <f>SUMPRODUCT(Calc!$K$3:$K$22*(Calc!$G$3:$G$22&gt;A1101)*(Calc!$G$3:$G$22-A1101))</f>
        <v/>
      </c>
      <c r="H1101">
        <f>SUMPRODUCT(Calc!$K$3:$K$22*(Calc!$G$3:$G$22&gt;B1101)*(Calc!$G$3:$G$22-B1101))</f>
        <v/>
      </c>
      <c r="I1101">
        <f>SUMPRODUCT(Calc!$K$3:$K$22*(Calc!$G$3:$G$22&gt;A1101)*(Calc!$G$3:$G$22-A1101)^2)</f>
        <v/>
      </c>
      <c r="J1101">
        <f>SUMPRODUCT(Calc!$K$3:$K$22*(Calc!$G$3:$G$22&gt;B1101)*(Calc!$G$3:$G$22-B1101)^2)</f>
        <v/>
      </c>
      <c r="K1101">
        <f>SUMPRODUCT(Calc!$K$3:$K$22*(Calc!$G$3:$G$22&gt;A1101)*(Calc!$G$3:$G$22-A1101)*(Calc!$G$3:$G$22&gt;B1101)*(Calc!$G$3:$G$22-B1101))</f>
        <v/>
      </c>
      <c r="L1101">
        <f>SUMPRODUCT(Calc!$K$3:$K$22*(Calc!$G$3:$G$22&gt;A1101)*(Calc!$G$3:$G$22-A1101)*Calc!$G$3:$G$22)</f>
        <v/>
      </c>
      <c r="M1101">
        <f>SUMPRODUCT(Calc!$K$3:$K$22*(Calc!$G$3:$G$22&gt;B1101)*(Calc!$G$3:$G$22-B1101)*Calc!$G$3:$G$22)</f>
        <v/>
      </c>
      <c r="N1101">
        <f>SUMPRODUCT(Calc!$K$3:$K$22*(Calc!$G$3:$G$22&gt;A1101)*(Calc!$G$3:$G$22-A1101)*Calc!$I$3:$I$22)</f>
        <v/>
      </c>
      <c r="O1101">
        <f>SUMPRODUCT(Calc!$K$3:$K$22*(Calc!$G$3:$G$22&gt;B1101)*(Calc!$G$3:$G$22-B1101)*Calc!$I$3:$I$22)</f>
        <v/>
      </c>
      <c r="P1101">
        <f>I1101-G1101^2/k_n</f>
        <v/>
      </c>
      <c r="Q1101">
        <f>J1101-H1101^2/k_n</f>
        <v/>
      </c>
      <c r="R1101">
        <f>K1101-G1101*H1101/k_n</f>
        <v/>
      </c>
      <c r="S1101">
        <f>L1101-LTP3!$D$3*G1101/k_n</f>
        <v/>
      </c>
      <c r="T1101">
        <f>M1101-LTP3!$D$3*H1101/k_n</f>
        <v/>
      </c>
      <c r="U1101">
        <f>N1101-G1101*LTP3!$D$4/k_n</f>
        <v/>
      </c>
      <c r="V1101">
        <f>O1101-H1101*LTP3!$D$4/k_n</f>
        <v/>
      </c>
      <c r="W1101">
        <f>((LTP3!$D$5)*((P1101)*(Q1101)-(R1101)*(R1101))-(S1101)*((S1101)*(Q1101)-(R1101)*(T1101))+(T1101)*((S1101)*(R1101)-(P1101)*(T1101)))</f>
        <v/>
      </c>
      <c r="X1101">
        <f>IF(ABS(W1101)&gt;1E-12,((LTP3!$D$6)*((P1101)*(Q1101)-(R1101)*(R1101))-(S1101)*((U1101)*(Q1101)-(R1101)*(V1101))+(T1101)*((U1101)*(R1101)-(P1101)*(V1101)))/W1101,0)</f>
        <v/>
      </c>
      <c r="Y1101">
        <f>IF(ABS(W1101)&gt;1E-12,((LTP3!$D$5)*((U1101)*(Q1101)-(R1101)*(V1101))-(LTP3!$D$6)*((S1101)*(Q1101)-(R1101)*(T1101))+(T1101)*((S1101)*(V1101)-(U1101)*(T1101)))/W1101,0)</f>
        <v/>
      </c>
      <c r="Z1101">
        <f>IF(ABS(W1101)&gt;1E-12,((LTP3!$D$5)*((P1101)*(V1101)-(U1101)*(R1101))-(S1101)*((S1101)*(V1101)-(U1101)*(T1101))+(LTP3!$D$6)*((S1101)*(R1101)-(P1101)*(T1101)))/W1101,0)</f>
        <v/>
      </c>
      <c r="AA1101">
        <f>LTP3!$D$7-X1101*LTP3!$D$6-Y1101*U1101-Z1101*V1101</f>
        <v/>
      </c>
      <c r="AB1101">
        <f>IF(AND(F1101,ABS(W1101)&gt;1E-12,Y1101&gt;0,Z1101&gt;0),AA1101,1E+300)</f>
        <v/>
      </c>
    </row>
    <row r="1102">
      <c r="A1102">
        <f>$B$3+$B$5*17</f>
        <v/>
      </c>
      <c r="B1102">
        <f>$B$3+$B$5*53</f>
        <v/>
      </c>
      <c r="C1102">
        <f>SUMPRODUCT(Calc!$K$3:$K$22*(Calc!$G$3:$G$22&lt;=A1102))</f>
        <v/>
      </c>
      <c r="D1102">
        <f>SUMPRODUCT(Calc!$K$3:$K$22*(Calc!$G$3:$G$22&gt;A1102)*(Calc!$G$3:$G$22&lt;B1102))</f>
        <v/>
      </c>
      <c r="E1102">
        <f>SUMPRODUCT(Calc!$K$3:$K$22*(Calc!$G$3:$G$22&gt;=B1102))</f>
        <v/>
      </c>
      <c r="F1102">
        <f>AND(k_n&gt;=5,B1102&gt;A1102+1E-9,C1102&gt;=2,D1102&gt;=1,E1102&gt;=2)</f>
        <v/>
      </c>
      <c r="G1102">
        <f>SUMPRODUCT(Calc!$K$3:$K$22*(Calc!$G$3:$G$22&gt;A1102)*(Calc!$G$3:$G$22-A1102))</f>
        <v/>
      </c>
      <c r="H1102">
        <f>SUMPRODUCT(Calc!$K$3:$K$22*(Calc!$G$3:$G$22&gt;B1102)*(Calc!$G$3:$G$22-B1102))</f>
        <v/>
      </c>
      <c r="I1102">
        <f>SUMPRODUCT(Calc!$K$3:$K$22*(Calc!$G$3:$G$22&gt;A1102)*(Calc!$G$3:$G$22-A1102)^2)</f>
        <v/>
      </c>
      <c r="J1102">
        <f>SUMPRODUCT(Calc!$K$3:$K$22*(Calc!$G$3:$G$22&gt;B1102)*(Calc!$G$3:$G$22-B1102)^2)</f>
        <v/>
      </c>
      <c r="K1102">
        <f>SUMPRODUCT(Calc!$K$3:$K$22*(Calc!$G$3:$G$22&gt;A1102)*(Calc!$G$3:$G$22-A1102)*(Calc!$G$3:$G$22&gt;B1102)*(Calc!$G$3:$G$22-B1102))</f>
        <v/>
      </c>
      <c r="L1102">
        <f>SUMPRODUCT(Calc!$K$3:$K$22*(Calc!$G$3:$G$22&gt;A1102)*(Calc!$G$3:$G$22-A1102)*Calc!$G$3:$G$22)</f>
        <v/>
      </c>
      <c r="M1102">
        <f>SUMPRODUCT(Calc!$K$3:$K$22*(Calc!$G$3:$G$22&gt;B1102)*(Calc!$G$3:$G$22-B1102)*Calc!$G$3:$G$22)</f>
        <v/>
      </c>
      <c r="N1102">
        <f>SUMPRODUCT(Calc!$K$3:$K$22*(Calc!$G$3:$G$22&gt;A1102)*(Calc!$G$3:$G$22-A1102)*Calc!$I$3:$I$22)</f>
        <v/>
      </c>
      <c r="O1102">
        <f>SUMPRODUCT(Calc!$K$3:$K$22*(Calc!$G$3:$G$22&gt;B1102)*(Calc!$G$3:$G$22-B1102)*Calc!$I$3:$I$22)</f>
        <v/>
      </c>
      <c r="P1102">
        <f>I1102-G1102^2/k_n</f>
        <v/>
      </c>
      <c r="Q1102">
        <f>J1102-H1102^2/k_n</f>
        <v/>
      </c>
      <c r="R1102">
        <f>K1102-G1102*H1102/k_n</f>
        <v/>
      </c>
      <c r="S1102">
        <f>L1102-LTP3!$D$3*G1102/k_n</f>
        <v/>
      </c>
      <c r="T1102">
        <f>M1102-LTP3!$D$3*H1102/k_n</f>
        <v/>
      </c>
      <c r="U1102">
        <f>N1102-G1102*LTP3!$D$4/k_n</f>
        <v/>
      </c>
      <c r="V1102">
        <f>O1102-H1102*LTP3!$D$4/k_n</f>
        <v/>
      </c>
      <c r="W1102">
        <f>((LTP3!$D$5)*((P1102)*(Q1102)-(R1102)*(R1102))-(S1102)*((S1102)*(Q1102)-(R1102)*(T1102))+(T1102)*((S1102)*(R1102)-(P1102)*(T1102)))</f>
        <v/>
      </c>
      <c r="X1102">
        <f>IF(ABS(W1102)&gt;1E-12,((LTP3!$D$6)*((P1102)*(Q1102)-(R1102)*(R1102))-(S1102)*((U1102)*(Q1102)-(R1102)*(V1102))+(T1102)*((U1102)*(R1102)-(P1102)*(V1102)))/W1102,0)</f>
        <v/>
      </c>
      <c r="Y1102">
        <f>IF(ABS(W1102)&gt;1E-12,((LTP3!$D$5)*((U1102)*(Q1102)-(R1102)*(V1102))-(LTP3!$D$6)*((S1102)*(Q1102)-(R1102)*(T1102))+(T1102)*((S1102)*(V1102)-(U1102)*(T1102)))/W1102,0)</f>
        <v/>
      </c>
      <c r="Z1102">
        <f>IF(ABS(W1102)&gt;1E-12,((LTP3!$D$5)*((P1102)*(V1102)-(U1102)*(R1102))-(S1102)*((S1102)*(V1102)-(U1102)*(T1102))+(LTP3!$D$6)*((S1102)*(R1102)-(P1102)*(T1102)))/W1102,0)</f>
        <v/>
      </c>
      <c r="AA1102">
        <f>LTP3!$D$7-X1102*LTP3!$D$6-Y1102*U1102-Z1102*V1102</f>
        <v/>
      </c>
      <c r="AB1102">
        <f>IF(AND(F1102,ABS(W1102)&gt;1E-12,Y1102&gt;0,Z1102&gt;0),AA1102,1E+300)</f>
        <v/>
      </c>
    </row>
    <row r="1103">
      <c r="A1103">
        <f>$B$3+$B$5*17</f>
        <v/>
      </c>
      <c r="B1103">
        <f>$B$3+$B$5*54</f>
        <v/>
      </c>
      <c r="C1103">
        <f>SUMPRODUCT(Calc!$K$3:$K$22*(Calc!$G$3:$G$22&lt;=A1103))</f>
        <v/>
      </c>
      <c r="D1103">
        <f>SUMPRODUCT(Calc!$K$3:$K$22*(Calc!$G$3:$G$22&gt;A1103)*(Calc!$G$3:$G$22&lt;B1103))</f>
        <v/>
      </c>
      <c r="E1103">
        <f>SUMPRODUCT(Calc!$K$3:$K$22*(Calc!$G$3:$G$22&gt;=B1103))</f>
        <v/>
      </c>
      <c r="F1103">
        <f>AND(k_n&gt;=5,B1103&gt;A1103+1E-9,C1103&gt;=2,D1103&gt;=1,E1103&gt;=2)</f>
        <v/>
      </c>
      <c r="G1103">
        <f>SUMPRODUCT(Calc!$K$3:$K$22*(Calc!$G$3:$G$22&gt;A1103)*(Calc!$G$3:$G$22-A1103))</f>
        <v/>
      </c>
      <c r="H1103">
        <f>SUMPRODUCT(Calc!$K$3:$K$22*(Calc!$G$3:$G$22&gt;B1103)*(Calc!$G$3:$G$22-B1103))</f>
        <v/>
      </c>
      <c r="I1103">
        <f>SUMPRODUCT(Calc!$K$3:$K$22*(Calc!$G$3:$G$22&gt;A1103)*(Calc!$G$3:$G$22-A1103)^2)</f>
        <v/>
      </c>
      <c r="J1103">
        <f>SUMPRODUCT(Calc!$K$3:$K$22*(Calc!$G$3:$G$22&gt;B1103)*(Calc!$G$3:$G$22-B1103)^2)</f>
        <v/>
      </c>
      <c r="K1103">
        <f>SUMPRODUCT(Calc!$K$3:$K$22*(Calc!$G$3:$G$22&gt;A1103)*(Calc!$G$3:$G$22-A1103)*(Calc!$G$3:$G$22&gt;B1103)*(Calc!$G$3:$G$22-B1103))</f>
        <v/>
      </c>
      <c r="L1103">
        <f>SUMPRODUCT(Calc!$K$3:$K$22*(Calc!$G$3:$G$22&gt;A1103)*(Calc!$G$3:$G$22-A1103)*Calc!$G$3:$G$22)</f>
        <v/>
      </c>
      <c r="M1103">
        <f>SUMPRODUCT(Calc!$K$3:$K$22*(Calc!$G$3:$G$22&gt;B1103)*(Calc!$G$3:$G$22-B1103)*Calc!$G$3:$G$22)</f>
        <v/>
      </c>
      <c r="N1103">
        <f>SUMPRODUCT(Calc!$K$3:$K$22*(Calc!$G$3:$G$22&gt;A1103)*(Calc!$G$3:$G$22-A1103)*Calc!$I$3:$I$22)</f>
        <v/>
      </c>
      <c r="O1103">
        <f>SUMPRODUCT(Calc!$K$3:$K$22*(Calc!$G$3:$G$22&gt;B1103)*(Calc!$G$3:$G$22-B1103)*Calc!$I$3:$I$22)</f>
        <v/>
      </c>
      <c r="P1103">
        <f>I1103-G1103^2/k_n</f>
        <v/>
      </c>
      <c r="Q1103">
        <f>J1103-H1103^2/k_n</f>
        <v/>
      </c>
      <c r="R1103">
        <f>K1103-G1103*H1103/k_n</f>
        <v/>
      </c>
      <c r="S1103">
        <f>L1103-LTP3!$D$3*G1103/k_n</f>
        <v/>
      </c>
      <c r="T1103">
        <f>M1103-LTP3!$D$3*H1103/k_n</f>
        <v/>
      </c>
      <c r="U1103">
        <f>N1103-G1103*LTP3!$D$4/k_n</f>
        <v/>
      </c>
      <c r="V1103">
        <f>O1103-H1103*LTP3!$D$4/k_n</f>
        <v/>
      </c>
      <c r="W1103">
        <f>((LTP3!$D$5)*((P1103)*(Q1103)-(R1103)*(R1103))-(S1103)*((S1103)*(Q1103)-(R1103)*(T1103))+(T1103)*((S1103)*(R1103)-(P1103)*(T1103)))</f>
        <v/>
      </c>
      <c r="X1103">
        <f>IF(ABS(W1103)&gt;1E-12,((LTP3!$D$6)*((P1103)*(Q1103)-(R1103)*(R1103))-(S1103)*((U1103)*(Q1103)-(R1103)*(V1103))+(T1103)*((U1103)*(R1103)-(P1103)*(V1103)))/W1103,0)</f>
        <v/>
      </c>
      <c r="Y1103">
        <f>IF(ABS(W1103)&gt;1E-12,((LTP3!$D$5)*((U1103)*(Q1103)-(R1103)*(V1103))-(LTP3!$D$6)*((S1103)*(Q1103)-(R1103)*(T1103))+(T1103)*((S1103)*(V1103)-(U1103)*(T1103)))/W1103,0)</f>
        <v/>
      </c>
      <c r="Z1103">
        <f>IF(ABS(W1103)&gt;1E-12,((LTP3!$D$5)*((P1103)*(V1103)-(U1103)*(R1103))-(S1103)*((S1103)*(V1103)-(U1103)*(T1103))+(LTP3!$D$6)*((S1103)*(R1103)-(P1103)*(T1103)))/W1103,0)</f>
        <v/>
      </c>
      <c r="AA1103">
        <f>LTP3!$D$7-X1103*LTP3!$D$6-Y1103*U1103-Z1103*V1103</f>
        <v/>
      </c>
      <c r="AB1103">
        <f>IF(AND(F1103,ABS(W1103)&gt;1E-12,Y1103&gt;0,Z1103&gt;0),AA1103,1E+300)</f>
        <v/>
      </c>
    </row>
    <row r="1104">
      <c r="A1104">
        <f>$B$3+$B$5*17</f>
        <v/>
      </c>
      <c r="B1104">
        <f>$B$3+$B$5*55</f>
        <v/>
      </c>
      <c r="C1104">
        <f>SUMPRODUCT(Calc!$K$3:$K$22*(Calc!$G$3:$G$22&lt;=A1104))</f>
        <v/>
      </c>
      <c r="D1104">
        <f>SUMPRODUCT(Calc!$K$3:$K$22*(Calc!$G$3:$G$22&gt;A1104)*(Calc!$G$3:$G$22&lt;B1104))</f>
        <v/>
      </c>
      <c r="E1104">
        <f>SUMPRODUCT(Calc!$K$3:$K$22*(Calc!$G$3:$G$22&gt;=B1104))</f>
        <v/>
      </c>
      <c r="F1104">
        <f>AND(k_n&gt;=5,B1104&gt;A1104+1E-9,C1104&gt;=2,D1104&gt;=1,E1104&gt;=2)</f>
        <v/>
      </c>
      <c r="G1104">
        <f>SUMPRODUCT(Calc!$K$3:$K$22*(Calc!$G$3:$G$22&gt;A1104)*(Calc!$G$3:$G$22-A1104))</f>
        <v/>
      </c>
      <c r="H1104">
        <f>SUMPRODUCT(Calc!$K$3:$K$22*(Calc!$G$3:$G$22&gt;B1104)*(Calc!$G$3:$G$22-B1104))</f>
        <v/>
      </c>
      <c r="I1104">
        <f>SUMPRODUCT(Calc!$K$3:$K$22*(Calc!$G$3:$G$22&gt;A1104)*(Calc!$G$3:$G$22-A1104)^2)</f>
        <v/>
      </c>
      <c r="J1104">
        <f>SUMPRODUCT(Calc!$K$3:$K$22*(Calc!$G$3:$G$22&gt;B1104)*(Calc!$G$3:$G$22-B1104)^2)</f>
        <v/>
      </c>
      <c r="K1104">
        <f>SUMPRODUCT(Calc!$K$3:$K$22*(Calc!$G$3:$G$22&gt;A1104)*(Calc!$G$3:$G$22-A1104)*(Calc!$G$3:$G$22&gt;B1104)*(Calc!$G$3:$G$22-B1104))</f>
        <v/>
      </c>
      <c r="L1104">
        <f>SUMPRODUCT(Calc!$K$3:$K$22*(Calc!$G$3:$G$22&gt;A1104)*(Calc!$G$3:$G$22-A1104)*Calc!$G$3:$G$22)</f>
        <v/>
      </c>
      <c r="M1104">
        <f>SUMPRODUCT(Calc!$K$3:$K$22*(Calc!$G$3:$G$22&gt;B1104)*(Calc!$G$3:$G$22-B1104)*Calc!$G$3:$G$22)</f>
        <v/>
      </c>
      <c r="N1104">
        <f>SUMPRODUCT(Calc!$K$3:$K$22*(Calc!$G$3:$G$22&gt;A1104)*(Calc!$G$3:$G$22-A1104)*Calc!$I$3:$I$22)</f>
        <v/>
      </c>
      <c r="O1104">
        <f>SUMPRODUCT(Calc!$K$3:$K$22*(Calc!$G$3:$G$22&gt;B1104)*(Calc!$G$3:$G$22-B1104)*Calc!$I$3:$I$22)</f>
        <v/>
      </c>
      <c r="P1104">
        <f>I1104-G1104^2/k_n</f>
        <v/>
      </c>
      <c r="Q1104">
        <f>J1104-H1104^2/k_n</f>
        <v/>
      </c>
      <c r="R1104">
        <f>K1104-G1104*H1104/k_n</f>
        <v/>
      </c>
      <c r="S1104">
        <f>L1104-LTP3!$D$3*G1104/k_n</f>
        <v/>
      </c>
      <c r="T1104">
        <f>M1104-LTP3!$D$3*H1104/k_n</f>
        <v/>
      </c>
      <c r="U1104">
        <f>N1104-G1104*LTP3!$D$4/k_n</f>
        <v/>
      </c>
      <c r="V1104">
        <f>O1104-H1104*LTP3!$D$4/k_n</f>
        <v/>
      </c>
      <c r="W1104">
        <f>((LTP3!$D$5)*((P1104)*(Q1104)-(R1104)*(R1104))-(S1104)*((S1104)*(Q1104)-(R1104)*(T1104))+(T1104)*((S1104)*(R1104)-(P1104)*(T1104)))</f>
        <v/>
      </c>
      <c r="X1104">
        <f>IF(ABS(W1104)&gt;1E-12,((LTP3!$D$6)*((P1104)*(Q1104)-(R1104)*(R1104))-(S1104)*((U1104)*(Q1104)-(R1104)*(V1104))+(T1104)*((U1104)*(R1104)-(P1104)*(V1104)))/W1104,0)</f>
        <v/>
      </c>
      <c r="Y1104">
        <f>IF(ABS(W1104)&gt;1E-12,((LTP3!$D$5)*((U1104)*(Q1104)-(R1104)*(V1104))-(LTP3!$D$6)*((S1104)*(Q1104)-(R1104)*(T1104))+(T1104)*((S1104)*(V1104)-(U1104)*(T1104)))/W1104,0)</f>
        <v/>
      </c>
      <c r="Z1104">
        <f>IF(ABS(W1104)&gt;1E-12,((LTP3!$D$5)*((P1104)*(V1104)-(U1104)*(R1104))-(S1104)*((S1104)*(V1104)-(U1104)*(T1104))+(LTP3!$D$6)*((S1104)*(R1104)-(P1104)*(T1104)))/W1104,0)</f>
        <v/>
      </c>
      <c r="AA1104">
        <f>LTP3!$D$7-X1104*LTP3!$D$6-Y1104*U1104-Z1104*V1104</f>
        <v/>
      </c>
      <c r="AB1104">
        <f>IF(AND(F1104,ABS(W1104)&gt;1E-12,Y1104&gt;0,Z1104&gt;0),AA1104,1E+300)</f>
        <v/>
      </c>
    </row>
    <row r="1105">
      <c r="A1105">
        <f>$B$3+$B$5*17</f>
        <v/>
      </c>
      <c r="B1105">
        <f>$B$3+$B$5*56</f>
        <v/>
      </c>
      <c r="C1105">
        <f>SUMPRODUCT(Calc!$K$3:$K$22*(Calc!$G$3:$G$22&lt;=A1105))</f>
        <v/>
      </c>
      <c r="D1105">
        <f>SUMPRODUCT(Calc!$K$3:$K$22*(Calc!$G$3:$G$22&gt;A1105)*(Calc!$G$3:$G$22&lt;B1105))</f>
        <v/>
      </c>
      <c r="E1105">
        <f>SUMPRODUCT(Calc!$K$3:$K$22*(Calc!$G$3:$G$22&gt;=B1105))</f>
        <v/>
      </c>
      <c r="F1105">
        <f>AND(k_n&gt;=5,B1105&gt;A1105+1E-9,C1105&gt;=2,D1105&gt;=1,E1105&gt;=2)</f>
        <v/>
      </c>
      <c r="G1105">
        <f>SUMPRODUCT(Calc!$K$3:$K$22*(Calc!$G$3:$G$22&gt;A1105)*(Calc!$G$3:$G$22-A1105))</f>
        <v/>
      </c>
      <c r="H1105">
        <f>SUMPRODUCT(Calc!$K$3:$K$22*(Calc!$G$3:$G$22&gt;B1105)*(Calc!$G$3:$G$22-B1105))</f>
        <v/>
      </c>
      <c r="I1105">
        <f>SUMPRODUCT(Calc!$K$3:$K$22*(Calc!$G$3:$G$22&gt;A1105)*(Calc!$G$3:$G$22-A1105)^2)</f>
        <v/>
      </c>
      <c r="J1105">
        <f>SUMPRODUCT(Calc!$K$3:$K$22*(Calc!$G$3:$G$22&gt;B1105)*(Calc!$G$3:$G$22-B1105)^2)</f>
        <v/>
      </c>
      <c r="K1105">
        <f>SUMPRODUCT(Calc!$K$3:$K$22*(Calc!$G$3:$G$22&gt;A1105)*(Calc!$G$3:$G$22-A1105)*(Calc!$G$3:$G$22&gt;B1105)*(Calc!$G$3:$G$22-B1105))</f>
        <v/>
      </c>
      <c r="L1105">
        <f>SUMPRODUCT(Calc!$K$3:$K$22*(Calc!$G$3:$G$22&gt;A1105)*(Calc!$G$3:$G$22-A1105)*Calc!$G$3:$G$22)</f>
        <v/>
      </c>
      <c r="M1105">
        <f>SUMPRODUCT(Calc!$K$3:$K$22*(Calc!$G$3:$G$22&gt;B1105)*(Calc!$G$3:$G$22-B1105)*Calc!$G$3:$G$22)</f>
        <v/>
      </c>
      <c r="N1105">
        <f>SUMPRODUCT(Calc!$K$3:$K$22*(Calc!$G$3:$G$22&gt;A1105)*(Calc!$G$3:$G$22-A1105)*Calc!$I$3:$I$22)</f>
        <v/>
      </c>
      <c r="O1105">
        <f>SUMPRODUCT(Calc!$K$3:$K$22*(Calc!$G$3:$G$22&gt;B1105)*(Calc!$G$3:$G$22-B1105)*Calc!$I$3:$I$22)</f>
        <v/>
      </c>
      <c r="P1105">
        <f>I1105-G1105^2/k_n</f>
        <v/>
      </c>
      <c r="Q1105">
        <f>J1105-H1105^2/k_n</f>
        <v/>
      </c>
      <c r="R1105">
        <f>K1105-G1105*H1105/k_n</f>
        <v/>
      </c>
      <c r="S1105">
        <f>L1105-LTP3!$D$3*G1105/k_n</f>
        <v/>
      </c>
      <c r="T1105">
        <f>M1105-LTP3!$D$3*H1105/k_n</f>
        <v/>
      </c>
      <c r="U1105">
        <f>N1105-G1105*LTP3!$D$4/k_n</f>
        <v/>
      </c>
      <c r="V1105">
        <f>O1105-H1105*LTP3!$D$4/k_n</f>
        <v/>
      </c>
      <c r="W1105">
        <f>((LTP3!$D$5)*((P1105)*(Q1105)-(R1105)*(R1105))-(S1105)*((S1105)*(Q1105)-(R1105)*(T1105))+(T1105)*((S1105)*(R1105)-(P1105)*(T1105)))</f>
        <v/>
      </c>
      <c r="X1105">
        <f>IF(ABS(W1105)&gt;1E-12,((LTP3!$D$6)*((P1105)*(Q1105)-(R1105)*(R1105))-(S1105)*((U1105)*(Q1105)-(R1105)*(V1105))+(T1105)*((U1105)*(R1105)-(P1105)*(V1105)))/W1105,0)</f>
        <v/>
      </c>
      <c r="Y1105">
        <f>IF(ABS(W1105)&gt;1E-12,((LTP3!$D$5)*((U1105)*(Q1105)-(R1105)*(V1105))-(LTP3!$D$6)*((S1105)*(Q1105)-(R1105)*(T1105))+(T1105)*((S1105)*(V1105)-(U1105)*(T1105)))/W1105,0)</f>
        <v/>
      </c>
      <c r="Z1105">
        <f>IF(ABS(W1105)&gt;1E-12,((LTP3!$D$5)*((P1105)*(V1105)-(U1105)*(R1105))-(S1105)*((S1105)*(V1105)-(U1105)*(T1105))+(LTP3!$D$6)*((S1105)*(R1105)-(P1105)*(T1105)))/W1105,0)</f>
        <v/>
      </c>
      <c r="AA1105">
        <f>LTP3!$D$7-X1105*LTP3!$D$6-Y1105*U1105-Z1105*V1105</f>
        <v/>
      </c>
      <c r="AB1105">
        <f>IF(AND(F1105,ABS(W1105)&gt;1E-12,Y1105&gt;0,Z1105&gt;0),AA1105,1E+300)</f>
        <v/>
      </c>
    </row>
    <row r="1106">
      <c r="A1106">
        <f>$B$3+$B$5*17</f>
        <v/>
      </c>
      <c r="B1106">
        <f>$B$3+$B$5*57</f>
        <v/>
      </c>
      <c r="C1106">
        <f>SUMPRODUCT(Calc!$K$3:$K$22*(Calc!$G$3:$G$22&lt;=A1106))</f>
        <v/>
      </c>
      <c r="D1106">
        <f>SUMPRODUCT(Calc!$K$3:$K$22*(Calc!$G$3:$G$22&gt;A1106)*(Calc!$G$3:$G$22&lt;B1106))</f>
        <v/>
      </c>
      <c r="E1106">
        <f>SUMPRODUCT(Calc!$K$3:$K$22*(Calc!$G$3:$G$22&gt;=B1106))</f>
        <v/>
      </c>
      <c r="F1106">
        <f>AND(k_n&gt;=5,B1106&gt;A1106+1E-9,C1106&gt;=2,D1106&gt;=1,E1106&gt;=2)</f>
        <v/>
      </c>
      <c r="G1106">
        <f>SUMPRODUCT(Calc!$K$3:$K$22*(Calc!$G$3:$G$22&gt;A1106)*(Calc!$G$3:$G$22-A1106))</f>
        <v/>
      </c>
      <c r="H1106">
        <f>SUMPRODUCT(Calc!$K$3:$K$22*(Calc!$G$3:$G$22&gt;B1106)*(Calc!$G$3:$G$22-B1106))</f>
        <v/>
      </c>
      <c r="I1106">
        <f>SUMPRODUCT(Calc!$K$3:$K$22*(Calc!$G$3:$G$22&gt;A1106)*(Calc!$G$3:$G$22-A1106)^2)</f>
        <v/>
      </c>
      <c r="J1106">
        <f>SUMPRODUCT(Calc!$K$3:$K$22*(Calc!$G$3:$G$22&gt;B1106)*(Calc!$G$3:$G$22-B1106)^2)</f>
        <v/>
      </c>
      <c r="K1106">
        <f>SUMPRODUCT(Calc!$K$3:$K$22*(Calc!$G$3:$G$22&gt;A1106)*(Calc!$G$3:$G$22-A1106)*(Calc!$G$3:$G$22&gt;B1106)*(Calc!$G$3:$G$22-B1106))</f>
        <v/>
      </c>
      <c r="L1106">
        <f>SUMPRODUCT(Calc!$K$3:$K$22*(Calc!$G$3:$G$22&gt;A1106)*(Calc!$G$3:$G$22-A1106)*Calc!$G$3:$G$22)</f>
        <v/>
      </c>
      <c r="M1106">
        <f>SUMPRODUCT(Calc!$K$3:$K$22*(Calc!$G$3:$G$22&gt;B1106)*(Calc!$G$3:$G$22-B1106)*Calc!$G$3:$G$22)</f>
        <v/>
      </c>
      <c r="N1106">
        <f>SUMPRODUCT(Calc!$K$3:$K$22*(Calc!$G$3:$G$22&gt;A1106)*(Calc!$G$3:$G$22-A1106)*Calc!$I$3:$I$22)</f>
        <v/>
      </c>
      <c r="O1106">
        <f>SUMPRODUCT(Calc!$K$3:$K$22*(Calc!$G$3:$G$22&gt;B1106)*(Calc!$G$3:$G$22-B1106)*Calc!$I$3:$I$22)</f>
        <v/>
      </c>
      <c r="P1106">
        <f>I1106-G1106^2/k_n</f>
        <v/>
      </c>
      <c r="Q1106">
        <f>J1106-H1106^2/k_n</f>
        <v/>
      </c>
      <c r="R1106">
        <f>K1106-G1106*H1106/k_n</f>
        <v/>
      </c>
      <c r="S1106">
        <f>L1106-LTP3!$D$3*G1106/k_n</f>
        <v/>
      </c>
      <c r="T1106">
        <f>M1106-LTP3!$D$3*H1106/k_n</f>
        <v/>
      </c>
      <c r="U1106">
        <f>N1106-G1106*LTP3!$D$4/k_n</f>
        <v/>
      </c>
      <c r="V1106">
        <f>O1106-H1106*LTP3!$D$4/k_n</f>
        <v/>
      </c>
      <c r="W1106">
        <f>((LTP3!$D$5)*((P1106)*(Q1106)-(R1106)*(R1106))-(S1106)*((S1106)*(Q1106)-(R1106)*(T1106))+(T1106)*((S1106)*(R1106)-(P1106)*(T1106)))</f>
        <v/>
      </c>
      <c r="X1106">
        <f>IF(ABS(W1106)&gt;1E-12,((LTP3!$D$6)*((P1106)*(Q1106)-(R1106)*(R1106))-(S1106)*((U1106)*(Q1106)-(R1106)*(V1106))+(T1106)*((U1106)*(R1106)-(P1106)*(V1106)))/W1106,0)</f>
        <v/>
      </c>
      <c r="Y1106">
        <f>IF(ABS(W1106)&gt;1E-12,((LTP3!$D$5)*((U1106)*(Q1106)-(R1106)*(V1106))-(LTP3!$D$6)*((S1106)*(Q1106)-(R1106)*(T1106))+(T1106)*((S1106)*(V1106)-(U1106)*(T1106)))/W1106,0)</f>
        <v/>
      </c>
      <c r="Z1106">
        <f>IF(ABS(W1106)&gt;1E-12,((LTP3!$D$5)*((P1106)*(V1106)-(U1106)*(R1106))-(S1106)*((S1106)*(V1106)-(U1106)*(T1106))+(LTP3!$D$6)*((S1106)*(R1106)-(P1106)*(T1106)))/W1106,0)</f>
        <v/>
      </c>
      <c r="AA1106">
        <f>LTP3!$D$7-X1106*LTP3!$D$6-Y1106*U1106-Z1106*V1106</f>
        <v/>
      </c>
      <c r="AB1106">
        <f>IF(AND(F1106,ABS(W1106)&gt;1E-12,Y1106&gt;0,Z1106&gt;0),AA1106,1E+300)</f>
        <v/>
      </c>
    </row>
    <row r="1107">
      <c r="A1107">
        <f>$B$3+$B$5*17</f>
        <v/>
      </c>
      <c r="B1107">
        <f>$B$3+$B$5*58</f>
        <v/>
      </c>
      <c r="C1107">
        <f>SUMPRODUCT(Calc!$K$3:$K$22*(Calc!$G$3:$G$22&lt;=A1107))</f>
        <v/>
      </c>
      <c r="D1107">
        <f>SUMPRODUCT(Calc!$K$3:$K$22*(Calc!$G$3:$G$22&gt;A1107)*(Calc!$G$3:$G$22&lt;B1107))</f>
        <v/>
      </c>
      <c r="E1107">
        <f>SUMPRODUCT(Calc!$K$3:$K$22*(Calc!$G$3:$G$22&gt;=B1107))</f>
        <v/>
      </c>
      <c r="F1107">
        <f>AND(k_n&gt;=5,B1107&gt;A1107+1E-9,C1107&gt;=2,D1107&gt;=1,E1107&gt;=2)</f>
        <v/>
      </c>
      <c r="G1107">
        <f>SUMPRODUCT(Calc!$K$3:$K$22*(Calc!$G$3:$G$22&gt;A1107)*(Calc!$G$3:$G$22-A1107))</f>
        <v/>
      </c>
      <c r="H1107">
        <f>SUMPRODUCT(Calc!$K$3:$K$22*(Calc!$G$3:$G$22&gt;B1107)*(Calc!$G$3:$G$22-B1107))</f>
        <v/>
      </c>
      <c r="I1107">
        <f>SUMPRODUCT(Calc!$K$3:$K$22*(Calc!$G$3:$G$22&gt;A1107)*(Calc!$G$3:$G$22-A1107)^2)</f>
        <v/>
      </c>
      <c r="J1107">
        <f>SUMPRODUCT(Calc!$K$3:$K$22*(Calc!$G$3:$G$22&gt;B1107)*(Calc!$G$3:$G$22-B1107)^2)</f>
        <v/>
      </c>
      <c r="K1107">
        <f>SUMPRODUCT(Calc!$K$3:$K$22*(Calc!$G$3:$G$22&gt;A1107)*(Calc!$G$3:$G$22-A1107)*(Calc!$G$3:$G$22&gt;B1107)*(Calc!$G$3:$G$22-B1107))</f>
        <v/>
      </c>
      <c r="L1107">
        <f>SUMPRODUCT(Calc!$K$3:$K$22*(Calc!$G$3:$G$22&gt;A1107)*(Calc!$G$3:$G$22-A1107)*Calc!$G$3:$G$22)</f>
        <v/>
      </c>
      <c r="M1107">
        <f>SUMPRODUCT(Calc!$K$3:$K$22*(Calc!$G$3:$G$22&gt;B1107)*(Calc!$G$3:$G$22-B1107)*Calc!$G$3:$G$22)</f>
        <v/>
      </c>
      <c r="N1107">
        <f>SUMPRODUCT(Calc!$K$3:$K$22*(Calc!$G$3:$G$22&gt;A1107)*(Calc!$G$3:$G$22-A1107)*Calc!$I$3:$I$22)</f>
        <v/>
      </c>
      <c r="O1107">
        <f>SUMPRODUCT(Calc!$K$3:$K$22*(Calc!$G$3:$G$22&gt;B1107)*(Calc!$G$3:$G$22-B1107)*Calc!$I$3:$I$22)</f>
        <v/>
      </c>
      <c r="P1107">
        <f>I1107-G1107^2/k_n</f>
        <v/>
      </c>
      <c r="Q1107">
        <f>J1107-H1107^2/k_n</f>
        <v/>
      </c>
      <c r="R1107">
        <f>K1107-G1107*H1107/k_n</f>
        <v/>
      </c>
      <c r="S1107">
        <f>L1107-LTP3!$D$3*G1107/k_n</f>
        <v/>
      </c>
      <c r="T1107">
        <f>M1107-LTP3!$D$3*H1107/k_n</f>
        <v/>
      </c>
      <c r="U1107">
        <f>N1107-G1107*LTP3!$D$4/k_n</f>
        <v/>
      </c>
      <c r="V1107">
        <f>O1107-H1107*LTP3!$D$4/k_n</f>
        <v/>
      </c>
      <c r="W1107">
        <f>((LTP3!$D$5)*((P1107)*(Q1107)-(R1107)*(R1107))-(S1107)*((S1107)*(Q1107)-(R1107)*(T1107))+(T1107)*((S1107)*(R1107)-(P1107)*(T1107)))</f>
        <v/>
      </c>
      <c r="X1107">
        <f>IF(ABS(W1107)&gt;1E-12,((LTP3!$D$6)*((P1107)*(Q1107)-(R1107)*(R1107))-(S1107)*((U1107)*(Q1107)-(R1107)*(V1107))+(T1107)*((U1107)*(R1107)-(P1107)*(V1107)))/W1107,0)</f>
        <v/>
      </c>
      <c r="Y1107">
        <f>IF(ABS(W1107)&gt;1E-12,((LTP3!$D$5)*((U1107)*(Q1107)-(R1107)*(V1107))-(LTP3!$D$6)*((S1107)*(Q1107)-(R1107)*(T1107))+(T1107)*((S1107)*(V1107)-(U1107)*(T1107)))/W1107,0)</f>
        <v/>
      </c>
      <c r="Z1107">
        <f>IF(ABS(W1107)&gt;1E-12,((LTP3!$D$5)*((P1107)*(V1107)-(U1107)*(R1107))-(S1107)*((S1107)*(V1107)-(U1107)*(T1107))+(LTP3!$D$6)*((S1107)*(R1107)-(P1107)*(T1107)))/W1107,0)</f>
        <v/>
      </c>
      <c r="AA1107">
        <f>LTP3!$D$7-X1107*LTP3!$D$6-Y1107*U1107-Z1107*V1107</f>
        <v/>
      </c>
      <c r="AB1107">
        <f>IF(AND(F1107,ABS(W1107)&gt;1E-12,Y1107&gt;0,Z1107&gt;0),AA1107,1E+300)</f>
        <v/>
      </c>
    </row>
    <row r="1108">
      <c r="A1108">
        <f>$B$3+$B$5*17</f>
        <v/>
      </c>
      <c r="B1108">
        <f>$B$3+$B$5*59</f>
        <v/>
      </c>
      <c r="C1108">
        <f>SUMPRODUCT(Calc!$K$3:$K$22*(Calc!$G$3:$G$22&lt;=A1108))</f>
        <v/>
      </c>
      <c r="D1108">
        <f>SUMPRODUCT(Calc!$K$3:$K$22*(Calc!$G$3:$G$22&gt;A1108)*(Calc!$G$3:$G$22&lt;B1108))</f>
        <v/>
      </c>
      <c r="E1108">
        <f>SUMPRODUCT(Calc!$K$3:$K$22*(Calc!$G$3:$G$22&gt;=B1108))</f>
        <v/>
      </c>
      <c r="F1108">
        <f>AND(k_n&gt;=5,B1108&gt;A1108+1E-9,C1108&gt;=2,D1108&gt;=1,E1108&gt;=2)</f>
        <v/>
      </c>
      <c r="G1108">
        <f>SUMPRODUCT(Calc!$K$3:$K$22*(Calc!$G$3:$G$22&gt;A1108)*(Calc!$G$3:$G$22-A1108))</f>
        <v/>
      </c>
      <c r="H1108">
        <f>SUMPRODUCT(Calc!$K$3:$K$22*(Calc!$G$3:$G$22&gt;B1108)*(Calc!$G$3:$G$22-B1108))</f>
        <v/>
      </c>
      <c r="I1108">
        <f>SUMPRODUCT(Calc!$K$3:$K$22*(Calc!$G$3:$G$22&gt;A1108)*(Calc!$G$3:$G$22-A1108)^2)</f>
        <v/>
      </c>
      <c r="J1108">
        <f>SUMPRODUCT(Calc!$K$3:$K$22*(Calc!$G$3:$G$22&gt;B1108)*(Calc!$G$3:$G$22-B1108)^2)</f>
        <v/>
      </c>
      <c r="K1108">
        <f>SUMPRODUCT(Calc!$K$3:$K$22*(Calc!$G$3:$G$22&gt;A1108)*(Calc!$G$3:$G$22-A1108)*(Calc!$G$3:$G$22&gt;B1108)*(Calc!$G$3:$G$22-B1108))</f>
        <v/>
      </c>
      <c r="L1108">
        <f>SUMPRODUCT(Calc!$K$3:$K$22*(Calc!$G$3:$G$22&gt;A1108)*(Calc!$G$3:$G$22-A1108)*Calc!$G$3:$G$22)</f>
        <v/>
      </c>
      <c r="M1108">
        <f>SUMPRODUCT(Calc!$K$3:$K$22*(Calc!$G$3:$G$22&gt;B1108)*(Calc!$G$3:$G$22-B1108)*Calc!$G$3:$G$22)</f>
        <v/>
      </c>
      <c r="N1108">
        <f>SUMPRODUCT(Calc!$K$3:$K$22*(Calc!$G$3:$G$22&gt;A1108)*(Calc!$G$3:$G$22-A1108)*Calc!$I$3:$I$22)</f>
        <v/>
      </c>
      <c r="O1108">
        <f>SUMPRODUCT(Calc!$K$3:$K$22*(Calc!$G$3:$G$22&gt;B1108)*(Calc!$G$3:$G$22-B1108)*Calc!$I$3:$I$22)</f>
        <v/>
      </c>
      <c r="P1108">
        <f>I1108-G1108^2/k_n</f>
        <v/>
      </c>
      <c r="Q1108">
        <f>J1108-H1108^2/k_n</f>
        <v/>
      </c>
      <c r="R1108">
        <f>K1108-G1108*H1108/k_n</f>
        <v/>
      </c>
      <c r="S1108">
        <f>L1108-LTP3!$D$3*G1108/k_n</f>
        <v/>
      </c>
      <c r="T1108">
        <f>M1108-LTP3!$D$3*H1108/k_n</f>
        <v/>
      </c>
      <c r="U1108">
        <f>N1108-G1108*LTP3!$D$4/k_n</f>
        <v/>
      </c>
      <c r="V1108">
        <f>O1108-H1108*LTP3!$D$4/k_n</f>
        <v/>
      </c>
      <c r="W1108">
        <f>((LTP3!$D$5)*((P1108)*(Q1108)-(R1108)*(R1108))-(S1108)*((S1108)*(Q1108)-(R1108)*(T1108))+(T1108)*((S1108)*(R1108)-(P1108)*(T1108)))</f>
        <v/>
      </c>
      <c r="X1108">
        <f>IF(ABS(W1108)&gt;1E-12,((LTP3!$D$6)*((P1108)*(Q1108)-(R1108)*(R1108))-(S1108)*((U1108)*(Q1108)-(R1108)*(V1108))+(T1108)*((U1108)*(R1108)-(P1108)*(V1108)))/W1108,0)</f>
        <v/>
      </c>
      <c r="Y1108">
        <f>IF(ABS(W1108)&gt;1E-12,((LTP3!$D$5)*((U1108)*(Q1108)-(R1108)*(V1108))-(LTP3!$D$6)*((S1108)*(Q1108)-(R1108)*(T1108))+(T1108)*((S1108)*(V1108)-(U1108)*(T1108)))/W1108,0)</f>
        <v/>
      </c>
      <c r="Z1108">
        <f>IF(ABS(W1108)&gt;1E-12,((LTP3!$D$5)*((P1108)*(V1108)-(U1108)*(R1108))-(S1108)*((S1108)*(V1108)-(U1108)*(T1108))+(LTP3!$D$6)*((S1108)*(R1108)-(P1108)*(T1108)))/W1108,0)</f>
        <v/>
      </c>
      <c r="AA1108">
        <f>LTP3!$D$7-X1108*LTP3!$D$6-Y1108*U1108-Z1108*V1108</f>
        <v/>
      </c>
      <c r="AB1108">
        <f>IF(AND(F1108,ABS(W1108)&gt;1E-12,Y1108&gt;0,Z1108&gt;0),AA1108,1E+300)</f>
        <v/>
      </c>
    </row>
    <row r="1109">
      <c r="A1109">
        <f>$B$3+$B$5*17</f>
        <v/>
      </c>
      <c r="B1109">
        <f>$B$3+$B$5*60</f>
        <v/>
      </c>
      <c r="C1109">
        <f>SUMPRODUCT(Calc!$K$3:$K$22*(Calc!$G$3:$G$22&lt;=A1109))</f>
        <v/>
      </c>
      <c r="D1109">
        <f>SUMPRODUCT(Calc!$K$3:$K$22*(Calc!$G$3:$G$22&gt;A1109)*(Calc!$G$3:$G$22&lt;B1109))</f>
        <v/>
      </c>
      <c r="E1109">
        <f>SUMPRODUCT(Calc!$K$3:$K$22*(Calc!$G$3:$G$22&gt;=B1109))</f>
        <v/>
      </c>
      <c r="F1109">
        <f>AND(k_n&gt;=5,B1109&gt;A1109+1E-9,C1109&gt;=2,D1109&gt;=1,E1109&gt;=2)</f>
        <v/>
      </c>
      <c r="G1109">
        <f>SUMPRODUCT(Calc!$K$3:$K$22*(Calc!$G$3:$G$22&gt;A1109)*(Calc!$G$3:$G$22-A1109))</f>
        <v/>
      </c>
      <c r="H1109">
        <f>SUMPRODUCT(Calc!$K$3:$K$22*(Calc!$G$3:$G$22&gt;B1109)*(Calc!$G$3:$G$22-B1109))</f>
        <v/>
      </c>
      <c r="I1109">
        <f>SUMPRODUCT(Calc!$K$3:$K$22*(Calc!$G$3:$G$22&gt;A1109)*(Calc!$G$3:$G$22-A1109)^2)</f>
        <v/>
      </c>
      <c r="J1109">
        <f>SUMPRODUCT(Calc!$K$3:$K$22*(Calc!$G$3:$G$22&gt;B1109)*(Calc!$G$3:$G$22-B1109)^2)</f>
        <v/>
      </c>
      <c r="K1109">
        <f>SUMPRODUCT(Calc!$K$3:$K$22*(Calc!$G$3:$G$22&gt;A1109)*(Calc!$G$3:$G$22-A1109)*(Calc!$G$3:$G$22&gt;B1109)*(Calc!$G$3:$G$22-B1109))</f>
        <v/>
      </c>
      <c r="L1109">
        <f>SUMPRODUCT(Calc!$K$3:$K$22*(Calc!$G$3:$G$22&gt;A1109)*(Calc!$G$3:$G$22-A1109)*Calc!$G$3:$G$22)</f>
        <v/>
      </c>
      <c r="M1109">
        <f>SUMPRODUCT(Calc!$K$3:$K$22*(Calc!$G$3:$G$22&gt;B1109)*(Calc!$G$3:$G$22-B1109)*Calc!$G$3:$G$22)</f>
        <v/>
      </c>
      <c r="N1109">
        <f>SUMPRODUCT(Calc!$K$3:$K$22*(Calc!$G$3:$G$22&gt;A1109)*(Calc!$G$3:$G$22-A1109)*Calc!$I$3:$I$22)</f>
        <v/>
      </c>
      <c r="O1109">
        <f>SUMPRODUCT(Calc!$K$3:$K$22*(Calc!$G$3:$G$22&gt;B1109)*(Calc!$G$3:$G$22-B1109)*Calc!$I$3:$I$22)</f>
        <v/>
      </c>
      <c r="P1109">
        <f>I1109-G1109^2/k_n</f>
        <v/>
      </c>
      <c r="Q1109">
        <f>J1109-H1109^2/k_n</f>
        <v/>
      </c>
      <c r="R1109">
        <f>K1109-G1109*H1109/k_n</f>
        <v/>
      </c>
      <c r="S1109">
        <f>L1109-LTP3!$D$3*G1109/k_n</f>
        <v/>
      </c>
      <c r="T1109">
        <f>M1109-LTP3!$D$3*H1109/k_n</f>
        <v/>
      </c>
      <c r="U1109">
        <f>N1109-G1109*LTP3!$D$4/k_n</f>
        <v/>
      </c>
      <c r="V1109">
        <f>O1109-H1109*LTP3!$D$4/k_n</f>
        <v/>
      </c>
      <c r="W1109">
        <f>((LTP3!$D$5)*((P1109)*(Q1109)-(R1109)*(R1109))-(S1109)*((S1109)*(Q1109)-(R1109)*(T1109))+(T1109)*((S1109)*(R1109)-(P1109)*(T1109)))</f>
        <v/>
      </c>
      <c r="X1109">
        <f>IF(ABS(W1109)&gt;1E-12,((LTP3!$D$6)*((P1109)*(Q1109)-(R1109)*(R1109))-(S1109)*((U1109)*(Q1109)-(R1109)*(V1109))+(T1109)*((U1109)*(R1109)-(P1109)*(V1109)))/W1109,0)</f>
        <v/>
      </c>
      <c r="Y1109">
        <f>IF(ABS(W1109)&gt;1E-12,((LTP3!$D$5)*((U1109)*(Q1109)-(R1109)*(V1109))-(LTP3!$D$6)*((S1109)*(Q1109)-(R1109)*(T1109))+(T1109)*((S1109)*(V1109)-(U1109)*(T1109)))/W1109,0)</f>
        <v/>
      </c>
      <c r="Z1109">
        <f>IF(ABS(W1109)&gt;1E-12,((LTP3!$D$5)*((P1109)*(V1109)-(U1109)*(R1109))-(S1109)*((S1109)*(V1109)-(U1109)*(T1109))+(LTP3!$D$6)*((S1109)*(R1109)-(P1109)*(T1109)))/W1109,0)</f>
        <v/>
      </c>
      <c r="AA1109">
        <f>LTP3!$D$7-X1109*LTP3!$D$6-Y1109*U1109-Z1109*V1109</f>
        <v/>
      </c>
      <c r="AB1109">
        <f>IF(AND(F1109,ABS(W1109)&gt;1E-12,Y1109&gt;0,Z1109&gt;0),AA1109,1E+300)</f>
        <v/>
      </c>
    </row>
    <row r="1110">
      <c r="A1110">
        <f>$B$3+$B$5*18</f>
        <v/>
      </c>
      <c r="B1110">
        <f>$B$3+$B$5*0</f>
        <v/>
      </c>
      <c r="C1110">
        <f>SUMPRODUCT(Calc!$K$3:$K$22*(Calc!$G$3:$G$22&lt;=A1110))</f>
        <v/>
      </c>
      <c r="D1110">
        <f>SUMPRODUCT(Calc!$K$3:$K$22*(Calc!$G$3:$G$22&gt;A1110)*(Calc!$G$3:$G$22&lt;B1110))</f>
        <v/>
      </c>
      <c r="E1110">
        <f>SUMPRODUCT(Calc!$K$3:$K$22*(Calc!$G$3:$G$22&gt;=B1110))</f>
        <v/>
      </c>
      <c r="F1110">
        <f>AND(k_n&gt;=5,B1110&gt;A1110+1E-9,C1110&gt;=2,D1110&gt;=1,E1110&gt;=2)</f>
        <v/>
      </c>
      <c r="G1110">
        <f>SUMPRODUCT(Calc!$K$3:$K$22*(Calc!$G$3:$G$22&gt;A1110)*(Calc!$G$3:$G$22-A1110))</f>
        <v/>
      </c>
      <c r="H1110">
        <f>SUMPRODUCT(Calc!$K$3:$K$22*(Calc!$G$3:$G$22&gt;B1110)*(Calc!$G$3:$G$22-B1110))</f>
        <v/>
      </c>
      <c r="I1110">
        <f>SUMPRODUCT(Calc!$K$3:$K$22*(Calc!$G$3:$G$22&gt;A1110)*(Calc!$G$3:$G$22-A1110)^2)</f>
        <v/>
      </c>
      <c r="J1110">
        <f>SUMPRODUCT(Calc!$K$3:$K$22*(Calc!$G$3:$G$22&gt;B1110)*(Calc!$G$3:$G$22-B1110)^2)</f>
        <v/>
      </c>
      <c r="K1110">
        <f>SUMPRODUCT(Calc!$K$3:$K$22*(Calc!$G$3:$G$22&gt;A1110)*(Calc!$G$3:$G$22-A1110)*(Calc!$G$3:$G$22&gt;B1110)*(Calc!$G$3:$G$22-B1110))</f>
        <v/>
      </c>
      <c r="L1110">
        <f>SUMPRODUCT(Calc!$K$3:$K$22*(Calc!$G$3:$G$22&gt;A1110)*(Calc!$G$3:$G$22-A1110)*Calc!$G$3:$G$22)</f>
        <v/>
      </c>
      <c r="M1110">
        <f>SUMPRODUCT(Calc!$K$3:$K$22*(Calc!$G$3:$G$22&gt;B1110)*(Calc!$G$3:$G$22-B1110)*Calc!$G$3:$G$22)</f>
        <v/>
      </c>
      <c r="N1110">
        <f>SUMPRODUCT(Calc!$K$3:$K$22*(Calc!$G$3:$G$22&gt;A1110)*(Calc!$G$3:$G$22-A1110)*Calc!$I$3:$I$22)</f>
        <v/>
      </c>
      <c r="O1110">
        <f>SUMPRODUCT(Calc!$K$3:$K$22*(Calc!$G$3:$G$22&gt;B1110)*(Calc!$G$3:$G$22-B1110)*Calc!$I$3:$I$22)</f>
        <v/>
      </c>
      <c r="P1110">
        <f>I1110-G1110^2/k_n</f>
        <v/>
      </c>
      <c r="Q1110">
        <f>J1110-H1110^2/k_n</f>
        <v/>
      </c>
      <c r="R1110">
        <f>K1110-G1110*H1110/k_n</f>
        <v/>
      </c>
      <c r="S1110">
        <f>L1110-LTP3!$D$3*G1110/k_n</f>
        <v/>
      </c>
      <c r="T1110">
        <f>M1110-LTP3!$D$3*H1110/k_n</f>
        <v/>
      </c>
      <c r="U1110">
        <f>N1110-G1110*LTP3!$D$4/k_n</f>
        <v/>
      </c>
      <c r="V1110">
        <f>O1110-H1110*LTP3!$D$4/k_n</f>
        <v/>
      </c>
      <c r="W1110">
        <f>((LTP3!$D$5)*((P1110)*(Q1110)-(R1110)*(R1110))-(S1110)*((S1110)*(Q1110)-(R1110)*(T1110))+(T1110)*((S1110)*(R1110)-(P1110)*(T1110)))</f>
        <v/>
      </c>
      <c r="X1110">
        <f>IF(ABS(W1110)&gt;1E-12,((LTP3!$D$6)*((P1110)*(Q1110)-(R1110)*(R1110))-(S1110)*((U1110)*(Q1110)-(R1110)*(V1110))+(T1110)*((U1110)*(R1110)-(P1110)*(V1110)))/W1110,0)</f>
        <v/>
      </c>
      <c r="Y1110">
        <f>IF(ABS(W1110)&gt;1E-12,((LTP3!$D$5)*((U1110)*(Q1110)-(R1110)*(V1110))-(LTP3!$D$6)*((S1110)*(Q1110)-(R1110)*(T1110))+(T1110)*((S1110)*(V1110)-(U1110)*(T1110)))/W1110,0)</f>
        <v/>
      </c>
      <c r="Z1110">
        <f>IF(ABS(W1110)&gt;1E-12,((LTP3!$D$5)*((P1110)*(V1110)-(U1110)*(R1110))-(S1110)*((S1110)*(V1110)-(U1110)*(T1110))+(LTP3!$D$6)*((S1110)*(R1110)-(P1110)*(T1110)))/W1110,0)</f>
        <v/>
      </c>
      <c r="AA1110">
        <f>LTP3!$D$7-X1110*LTP3!$D$6-Y1110*U1110-Z1110*V1110</f>
        <v/>
      </c>
      <c r="AB1110">
        <f>IF(AND(F1110,ABS(W1110)&gt;1E-12,Y1110&gt;0,Z1110&gt;0),AA1110,1E+300)</f>
        <v/>
      </c>
    </row>
    <row r="1111">
      <c r="A1111">
        <f>$B$3+$B$5*18</f>
        <v/>
      </c>
      <c r="B1111">
        <f>$B$3+$B$5*1</f>
        <v/>
      </c>
      <c r="C1111">
        <f>SUMPRODUCT(Calc!$K$3:$K$22*(Calc!$G$3:$G$22&lt;=A1111))</f>
        <v/>
      </c>
      <c r="D1111">
        <f>SUMPRODUCT(Calc!$K$3:$K$22*(Calc!$G$3:$G$22&gt;A1111)*(Calc!$G$3:$G$22&lt;B1111))</f>
        <v/>
      </c>
      <c r="E1111">
        <f>SUMPRODUCT(Calc!$K$3:$K$22*(Calc!$G$3:$G$22&gt;=B1111))</f>
        <v/>
      </c>
      <c r="F1111">
        <f>AND(k_n&gt;=5,B1111&gt;A1111+1E-9,C1111&gt;=2,D1111&gt;=1,E1111&gt;=2)</f>
        <v/>
      </c>
      <c r="G1111">
        <f>SUMPRODUCT(Calc!$K$3:$K$22*(Calc!$G$3:$G$22&gt;A1111)*(Calc!$G$3:$G$22-A1111))</f>
        <v/>
      </c>
      <c r="H1111">
        <f>SUMPRODUCT(Calc!$K$3:$K$22*(Calc!$G$3:$G$22&gt;B1111)*(Calc!$G$3:$G$22-B1111))</f>
        <v/>
      </c>
      <c r="I1111">
        <f>SUMPRODUCT(Calc!$K$3:$K$22*(Calc!$G$3:$G$22&gt;A1111)*(Calc!$G$3:$G$22-A1111)^2)</f>
        <v/>
      </c>
      <c r="J1111">
        <f>SUMPRODUCT(Calc!$K$3:$K$22*(Calc!$G$3:$G$22&gt;B1111)*(Calc!$G$3:$G$22-B1111)^2)</f>
        <v/>
      </c>
      <c r="K1111">
        <f>SUMPRODUCT(Calc!$K$3:$K$22*(Calc!$G$3:$G$22&gt;A1111)*(Calc!$G$3:$G$22-A1111)*(Calc!$G$3:$G$22&gt;B1111)*(Calc!$G$3:$G$22-B1111))</f>
        <v/>
      </c>
      <c r="L1111">
        <f>SUMPRODUCT(Calc!$K$3:$K$22*(Calc!$G$3:$G$22&gt;A1111)*(Calc!$G$3:$G$22-A1111)*Calc!$G$3:$G$22)</f>
        <v/>
      </c>
      <c r="M1111">
        <f>SUMPRODUCT(Calc!$K$3:$K$22*(Calc!$G$3:$G$22&gt;B1111)*(Calc!$G$3:$G$22-B1111)*Calc!$G$3:$G$22)</f>
        <v/>
      </c>
      <c r="N1111">
        <f>SUMPRODUCT(Calc!$K$3:$K$22*(Calc!$G$3:$G$22&gt;A1111)*(Calc!$G$3:$G$22-A1111)*Calc!$I$3:$I$22)</f>
        <v/>
      </c>
      <c r="O1111">
        <f>SUMPRODUCT(Calc!$K$3:$K$22*(Calc!$G$3:$G$22&gt;B1111)*(Calc!$G$3:$G$22-B1111)*Calc!$I$3:$I$22)</f>
        <v/>
      </c>
      <c r="P1111">
        <f>I1111-G1111^2/k_n</f>
        <v/>
      </c>
      <c r="Q1111">
        <f>J1111-H1111^2/k_n</f>
        <v/>
      </c>
      <c r="R1111">
        <f>K1111-G1111*H1111/k_n</f>
        <v/>
      </c>
      <c r="S1111">
        <f>L1111-LTP3!$D$3*G1111/k_n</f>
        <v/>
      </c>
      <c r="T1111">
        <f>M1111-LTP3!$D$3*H1111/k_n</f>
        <v/>
      </c>
      <c r="U1111">
        <f>N1111-G1111*LTP3!$D$4/k_n</f>
        <v/>
      </c>
      <c r="V1111">
        <f>O1111-H1111*LTP3!$D$4/k_n</f>
        <v/>
      </c>
      <c r="W1111">
        <f>((LTP3!$D$5)*((P1111)*(Q1111)-(R1111)*(R1111))-(S1111)*((S1111)*(Q1111)-(R1111)*(T1111))+(T1111)*((S1111)*(R1111)-(P1111)*(T1111)))</f>
        <v/>
      </c>
      <c r="X1111">
        <f>IF(ABS(W1111)&gt;1E-12,((LTP3!$D$6)*((P1111)*(Q1111)-(R1111)*(R1111))-(S1111)*((U1111)*(Q1111)-(R1111)*(V1111))+(T1111)*((U1111)*(R1111)-(P1111)*(V1111)))/W1111,0)</f>
        <v/>
      </c>
      <c r="Y1111">
        <f>IF(ABS(W1111)&gt;1E-12,((LTP3!$D$5)*((U1111)*(Q1111)-(R1111)*(V1111))-(LTP3!$D$6)*((S1111)*(Q1111)-(R1111)*(T1111))+(T1111)*((S1111)*(V1111)-(U1111)*(T1111)))/W1111,0)</f>
        <v/>
      </c>
      <c r="Z1111">
        <f>IF(ABS(W1111)&gt;1E-12,((LTP3!$D$5)*((P1111)*(V1111)-(U1111)*(R1111))-(S1111)*((S1111)*(V1111)-(U1111)*(T1111))+(LTP3!$D$6)*((S1111)*(R1111)-(P1111)*(T1111)))/W1111,0)</f>
        <v/>
      </c>
      <c r="AA1111">
        <f>LTP3!$D$7-X1111*LTP3!$D$6-Y1111*U1111-Z1111*V1111</f>
        <v/>
      </c>
      <c r="AB1111">
        <f>IF(AND(F1111,ABS(W1111)&gt;1E-12,Y1111&gt;0,Z1111&gt;0),AA1111,1E+300)</f>
        <v/>
      </c>
    </row>
    <row r="1112">
      <c r="A1112">
        <f>$B$3+$B$5*18</f>
        <v/>
      </c>
      <c r="B1112">
        <f>$B$3+$B$5*2</f>
        <v/>
      </c>
      <c r="C1112">
        <f>SUMPRODUCT(Calc!$K$3:$K$22*(Calc!$G$3:$G$22&lt;=A1112))</f>
        <v/>
      </c>
      <c r="D1112">
        <f>SUMPRODUCT(Calc!$K$3:$K$22*(Calc!$G$3:$G$22&gt;A1112)*(Calc!$G$3:$G$22&lt;B1112))</f>
        <v/>
      </c>
      <c r="E1112">
        <f>SUMPRODUCT(Calc!$K$3:$K$22*(Calc!$G$3:$G$22&gt;=B1112))</f>
        <v/>
      </c>
      <c r="F1112">
        <f>AND(k_n&gt;=5,B1112&gt;A1112+1E-9,C1112&gt;=2,D1112&gt;=1,E1112&gt;=2)</f>
        <v/>
      </c>
      <c r="G1112">
        <f>SUMPRODUCT(Calc!$K$3:$K$22*(Calc!$G$3:$G$22&gt;A1112)*(Calc!$G$3:$G$22-A1112))</f>
        <v/>
      </c>
      <c r="H1112">
        <f>SUMPRODUCT(Calc!$K$3:$K$22*(Calc!$G$3:$G$22&gt;B1112)*(Calc!$G$3:$G$22-B1112))</f>
        <v/>
      </c>
      <c r="I1112">
        <f>SUMPRODUCT(Calc!$K$3:$K$22*(Calc!$G$3:$G$22&gt;A1112)*(Calc!$G$3:$G$22-A1112)^2)</f>
        <v/>
      </c>
      <c r="J1112">
        <f>SUMPRODUCT(Calc!$K$3:$K$22*(Calc!$G$3:$G$22&gt;B1112)*(Calc!$G$3:$G$22-B1112)^2)</f>
        <v/>
      </c>
      <c r="K1112">
        <f>SUMPRODUCT(Calc!$K$3:$K$22*(Calc!$G$3:$G$22&gt;A1112)*(Calc!$G$3:$G$22-A1112)*(Calc!$G$3:$G$22&gt;B1112)*(Calc!$G$3:$G$22-B1112))</f>
        <v/>
      </c>
      <c r="L1112">
        <f>SUMPRODUCT(Calc!$K$3:$K$22*(Calc!$G$3:$G$22&gt;A1112)*(Calc!$G$3:$G$22-A1112)*Calc!$G$3:$G$22)</f>
        <v/>
      </c>
      <c r="M1112">
        <f>SUMPRODUCT(Calc!$K$3:$K$22*(Calc!$G$3:$G$22&gt;B1112)*(Calc!$G$3:$G$22-B1112)*Calc!$G$3:$G$22)</f>
        <v/>
      </c>
      <c r="N1112">
        <f>SUMPRODUCT(Calc!$K$3:$K$22*(Calc!$G$3:$G$22&gt;A1112)*(Calc!$G$3:$G$22-A1112)*Calc!$I$3:$I$22)</f>
        <v/>
      </c>
      <c r="O1112">
        <f>SUMPRODUCT(Calc!$K$3:$K$22*(Calc!$G$3:$G$22&gt;B1112)*(Calc!$G$3:$G$22-B1112)*Calc!$I$3:$I$22)</f>
        <v/>
      </c>
      <c r="P1112">
        <f>I1112-G1112^2/k_n</f>
        <v/>
      </c>
      <c r="Q1112">
        <f>J1112-H1112^2/k_n</f>
        <v/>
      </c>
      <c r="R1112">
        <f>K1112-G1112*H1112/k_n</f>
        <v/>
      </c>
      <c r="S1112">
        <f>L1112-LTP3!$D$3*G1112/k_n</f>
        <v/>
      </c>
      <c r="T1112">
        <f>M1112-LTP3!$D$3*H1112/k_n</f>
        <v/>
      </c>
      <c r="U1112">
        <f>N1112-G1112*LTP3!$D$4/k_n</f>
        <v/>
      </c>
      <c r="V1112">
        <f>O1112-H1112*LTP3!$D$4/k_n</f>
        <v/>
      </c>
      <c r="W1112">
        <f>((LTP3!$D$5)*((P1112)*(Q1112)-(R1112)*(R1112))-(S1112)*((S1112)*(Q1112)-(R1112)*(T1112))+(T1112)*((S1112)*(R1112)-(P1112)*(T1112)))</f>
        <v/>
      </c>
      <c r="X1112">
        <f>IF(ABS(W1112)&gt;1E-12,((LTP3!$D$6)*((P1112)*(Q1112)-(R1112)*(R1112))-(S1112)*((U1112)*(Q1112)-(R1112)*(V1112))+(T1112)*((U1112)*(R1112)-(P1112)*(V1112)))/W1112,0)</f>
        <v/>
      </c>
      <c r="Y1112">
        <f>IF(ABS(W1112)&gt;1E-12,((LTP3!$D$5)*((U1112)*(Q1112)-(R1112)*(V1112))-(LTP3!$D$6)*((S1112)*(Q1112)-(R1112)*(T1112))+(T1112)*((S1112)*(V1112)-(U1112)*(T1112)))/W1112,0)</f>
        <v/>
      </c>
      <c r="Z1112">
        <f>IF(ABS(W1112)&gt;1E-12,((LTP3!$D$5)*((P1112)*(V1112)-(U1112)*(R1112))-(S1112)*((S1112)*(V1112)-(U1112)*(T1112))+(LTP3!$D$6)*((S1112)*(R1112)-(P1112)*(T1112)))/W1112,0)</f>
        <v/>
      </c>
      <c r="AA1112">
        <f>LTP3!$D$7-X1112*LTP3!$D$6-Y1112*U1112-Z1112*V1112</f>
        <v/>
      </c>
      <c r="AB1112">
        <f>IF(AND(F1112,ABS(W1112)&gt;1E-12,Y1112&gt;0,Z1112&gt;0),AA1112,1E+300)</f>
        <v/>
      </c>
    </row>
    <row r="1113">
      <c r="A1113">
        <f>$B$3+$B$5*18</f>
        <v/>
      </c>
      <c r="B1113">
        <f>$B$3+$B$5*3</f>
        <v/>
      </c>
      <c r="C1113">
        <f>SUMPRODUCT(Calc!$K$3:$K$22*(Calc!$G$3:$G$22&lt;=A1113))</f>
        <v/>
      </c>
      <c r="D1113">
        <f>SUMPRODUCT(Calc!$K$3:$K$22*(Calc!$G$3:$G$22&gt;A1113)*(Calc!$G$3:$G$22&lt;B1113))</f>
        <v/>
      </c>
      <c r="E1113">
        <f>SUMPRODUCT(Calc!$K$3:$K$22*(Calc!$G$3:$G$22&gt;=B1113))</f>
        <v/>
      </c>
      <c r="F1113">
        <f>AND(k_n&gt;=5,B1113&gt;A1113+1E-9,C1113&gt;=2,D1113&gt;=1,E1113&gt;=2)</f>
        <v/>
      </c>
      <c r="G1113">
        <f>SUMPRODUCT(Calc!$K$3:$K$22*(Calc!$G$3:$G$22&gt;A1113)*(Calc!$G$3:$G$22-A1113))</f>
        <v/>
      </c>
      <c r="H1113">
        <f>SUMPRODUCT(Calc!$K$3:$K$22*(Calc!$G$3:$G$22&gt;B1113)*(Calc!$G$3:$G$22-B1113))</f>
        <v/>
      </c>
      <c r="I1113">
        <f>SUMPRODUCT(Calc!$K$3:$K$22*(Calc!$G$3:$G$22&gt;A1113)*(Calc!$G$3:$G$22-A1113)^2)</f>
        <v/>
      </c>
      <c r="J1113">
        <f>SUMPRODUCT(Calc!$K$3:$K$22*(Calc!$G$3:$G$22&gt;B1113)*(Calc!$G$3:$G$22-B1113)^2)</f>
        <v/>
      </c>
      <c r="K1113">
        <f>SUMPRODUCT(Calc!$K$3:$K$22*(Calc!$G$3:$G$22&gt;A1113)*(Calc!$G$3:$G$22-A1113)*(Calc!$G$3:$G$22&gt;B1113)*(Calc!$G$3:$G$22-B1113))</f>
        <v/>
      </c>
      <c r="L1113">
        <f>SUMPRODUCT(Calc!$K$3:$K$22*(Calc!$G$3:$G$22&gt;A1113)*(Calc!$G$3:$G$22-A1113)*Calc!$G$3:$G$22)</f>
        <v/>
      </c>
      <c r="M1113">
        <f>SUMPRODUCT(Calc!$K$3:$K$22*(Calc!$G$3:$G$22&gt;B1113)*(Calc!$G$3:$G$22-B1113)*Calc!$G$3:$G$22)</f>
        <v/>
      </c>
      <c r="N1113">
        <f>SUMPRODUCT(Calc!$K$3:$K$22*(Calc!$G$3:$G$22&gt;A1113)*(Calc!$G$3:$G$22-A1113)*Calc!$I$3:$I$22)</f>
        <v/>
      </c>
      <c r="O1113">
        <f>SUMPRODUCT(Calc!$K$3:$K$22*(Calc!$G$3:$G$22&gt;B1113)*(Calc!$G$3:$G$22-B1113)*Calc!$I$3:$I$22)</f>
        <v/>
      </c>
      <c r="P1113">
        <f>I1113-G1113^2/k_n</f>
        <v/>
      </c>
      <c r="Q1113">
        <f>J1113-H1113^2/k_n</f>
        <v/>
      </c>
      <c r="R1113">
        <f>K1113-G1113*H1113/k_n</f>
        <v/>
      </c>
      <c r="S1113">
        <f>L1113-LTP3!$D$3*G1113/k_n</f>
        <v/>
      </c>
      <c r="T1113">
        <f>M1113-LTP3!$D$3*H1113/k_n</f>
        <v/>
      </c>
      <c r="U1113">
        <f>N1113-G1113*LTP3!$D$4/k_n</f>
        <v/>
      </c>
      <c r="V1113">
        <f>O1113-H1113*LTP3!$D$4/k_n</f>
        <v/>
      </c>
      <c r="W1113">
        <f>((LTP3!$D$5)*((P1113)*(Q1113)-(R1113)*(R1113))-(S1113)*((S1113)*(Q1113)-(R1113)*(T1113))+(T1113)*((S1113)*(R1113)-(P1113)*(T1113)))</f>
        <v/>
      </c>
      <c r="X1113">
        <f>IF(ABS(W1113)&gt;1E-12,((LTP3!$D$6)*((P1113)*(Q1113)-(R1113)*(R1113))-(S1113)*((U1113)*(Q1113)-(R1113)*(V1113))+(T1113)*((U1113)*(R1113)-(P1113)*(V1113)))/W1113,0)</f>
        <v/>
      </c>
      <c r="Y1113">
        <f>IF(ABS(W1113)&gt;1E-12,((LTP3!$D$5)*((U1113)*(Q1113)-(R1113)*(V1113))-(LTP3!$D$6)*((S1113)*(Q1113)-(R1113)*(T1113))+(T1113)*((S1113)*(V1113)-(U1113)*(T1113)))/W1113,0)</f>
        <v/>
      </c>
      <c r="Z1113">
        <f>IF(ABS(W1113)&gt;1E-12,((LTP3!$D$5)*((P1113)*(V1113)-(U1113)*(R1113))-(S1113)*((S1113)*(V1113)-(U1113)*(T1113))+(LTP3!$D$6)*((S1113)*(R1113)-(P1113)*(T1113)))/W1113,0)</f>
        <v/>
      </c>
      <c r="AA1113">
        <f>LTP3!$D$7-X1113*LTP3!$D$6-Y1113*U1113-Z1113*V1113</f>
        <v/>
      </c>
      <c r="AB1113">
        <f>IF(AND(F1113,ABS(W1113)&gt;1E-12,Y1113&gt;0,Z1113&gt;0),AA1113,1E+300)</f>
        <v/>
      </c>
    </row>
    <row r="1114">
      <c r="A1114">
        <f>$B$3+$B$5*18</f>
        <v/>
      </c>
      <c r="B1114">
        <f>$B$3+$B$5*4</f>
        <v/>
      </c>
      <c r="C1114">
        <f>SUMPRODUCT(Calc!$K$3:$K$22*(Calc!$G$3:$G$22&lt;=A1114))</f>
        <v/>
      </c>
      <c r="D1114">
        <f>SUMPRODUCT(Calc!$K$3:$K$22*(Calc!$G$3:$G$22&gt;A1114)*(Calc!$G$3:$G$22&lt;B1114))</f>
        <v/>
      </c>
      <c r="E1114">
        <f>SUMPRODUCT(Calc!$K$3:$K$22*(Calc!$G$3:$G$22&gt;=B1114))</f>
        <v/>
      </c>
      <c r="F1114">
        <f>AND(k_n&gt;=5,B1114&gt;A1114+1E-9,C1114&gt;=2,D1114&gt;=1,E1114&gt;=2)</f>
        <v/>
      </c>
      <c r="G1114">
        <f>SUMPRODUCT(Calc!$K$3:$K$22*(Calc!$G$3:$G$22&gt;A1114)*(Calc!$G$3:$G$22-A1114))</f>
        <v/>
      </c>
      <c r="H1114">
        <f>SUMPRODUCT(Calc!$K$3:$K$22*(Calc!$G$3:$G$22&gt;B1114)*(Calc!$G$3:$G$22-B1114))</f>
        <v/>
      </c>
      <c r="I1114">
        <f>SUMPRODUCT(Calc!$K$3:$K$22*(Calc!$G$3:$G$22&gt;A1114)*(Calc!$G$3:$G$22-A1114)^2)</f>
        <v/>
      </c>
      <c r="J1114">
        <f>SUMPRODUCT(Calc!$K$3:$K$22*(Calc!$G$3:$G$22&gt;B1114)*(Calc!$G$3:$G$22-B1114)^2)</f>
        <v/>
      </c>
      <c r="K1114">
        <f>SUMPRODUCT(Calc!$K$3:$K$22*(Calc!$G$3:$G$22&gt;A1114)*(Calc!$G$3:$G$22-A1114)*(Calc!$G$3:$G$22&gt;B1114)*(Calc!$G$3:$G$22-B1114))</f>
        <v/>
      </c>
      <c r="L1114">
        <f>SUMPRODUCT(Calc!$K$3:$K$22*(Calc!$G$3:$G$22&gt;A1114)*(Calc!$G$3:$G$22-A1114)*Calc!$G$3:$G$22)</f>
        <v/>
      </c>
      <c r="M1114">
        <f>SUMPRODUCT(Calc!$K$3:$K$22*(Calc!$G$3:$G$22&gt;B1114)*(Calc!$G$3:$G$22-B1114)*Calc!$G$3:$G$22)</f>
        <v/>
      </c>
      <c r="N1114">
        <f>SUMPRODUCT(Calc!$K$3:$K$22*(Calc!$G$3:$G$22&gt;A1114)*(Calc!$G$3:$G$22-A1114)*Calc!$I$3:$I$22)</f>
        <v/>
      </c>
      <c r="O1114">
        <f>SUMPRODUCT(Calc!$K$3:$K$22*(Calc!$G$3:$G$22&gt;B1114)*(Calc!$G$3:$G$22-B1114)*Calc!$I$3:$I$22)</f>
        <v/>
      </c>
      <c r="P1114">
        <f>I1114-G1114^2/k_n</f>
        <v/>
      </c>
      <c r="Q1114">
        <f>J1114-H1114^2/k_n</f>
        <v/>
      </c>
      <c r="R1114">
        <f>K1114-G1114*H1114/k_n</f>
        <v/>
      </c>
      <c r="S1114">
        <f>L1114-LTP3!$D$3*G1114/k_n</f>
        <v/>
      </c>
      <c r="T1114">
        <f>M1114-LTP3!$D$3*H1114/k_n</f>
        <v/>
      </c>
      <c r="U1114">
        <f>N1114-G1114*LTP3!$D$4/k_n</f>
        <v/>
      </c>
      <c r="V1114">
        <f>O1114-H1114*LTP3!$D$4/k_n</f>
        <v/>
      </c>
      <c r="W1114">
        <f>((LTP3!$D$5)*((P1114)*(Q1114)-(R1114)*(R1114))-(S1114)*((S1114)*(Q1114)-(R1114)*(T1114))+(T1114)*((S1114)*(R1114)-(P1114)*(T1114)))</f>
        <v/>
      </c>
      <c r="X1114">
        <f>IF(ABS(W1114)&gt;1E-12,((LTP3!$D$6)*((P1114)*(Q1114)-(R1114)*(R1114))-(S1114)*((U1114)*(Q1114)-(R1114)*(V1114))+(T1114)*((U1114)*(R1114)-(P1114)*(V1114)))/W1114,0)</f>
        <v/>
      </c>
      <c r="Y1114">
        <f>IF(ABS(W1114)&gt;1E-12,((LTP3!$D$5)*((U1114)*(Q1114)-(R1114)*(V1114))-(LTP3!$D$6)*((S1114)*(Q1114)-(R1114)*(T1114))+(T1114)*((S1114)*(V1114)-(U1114)*(T1114)))/W1114,0)</f>
        <v/>
      </c>
      <c r="Z1114">
        <f>IF(ABS(W1114)&gt;1E-12,((LTP3!$D$5)*((P1114)*(V1114)-(U1114)*(R1114))-(S1114)*((S1114)*(V1114)-(U1114)*(T1114))+(LTP3!$D$6)*((S1114)*(R1114)-(P1114)*(T1114)))/W1114,0)</f>
        <v/>
      </c>
      <c r="AA1114">
        <f>LTP3!$D$7-X1114*LTP3!$D$6-Y1114*U1114-Z1114*V1114</f>
        <v/>
      </c>
      <c r="AB1114">
        <f>IF(AND(F1114,ABS(W1114)&gt;1E-12,Y1114&gt;0,Z1114&gt;0),AA1114,1E+300)</f>
        <v/>
      </c>
    </row>
    <row r="1115">
      <c r="A1115">
        <f>$B$3+$B$5*18</f>
        <v/>
      </c>
      <c r="B1115">
        <f>$B$3+$B$5*5</f>
        <v/>
      </c>
      <c r="C1115">
        <f>SUMPRODUCT(Calc!$K$3:$K$22*(Calc!$G$3:$G$22&lt;=A1115))</f>
        <v/>
      </c>
      <c r="D1115">
        <f>SUMPRODUCT(Calc!$K$3:$K$22*(Calc!$G$3:$G$22&gt;A1115)*(Calc!$G$3:$G$22&lt;B1115))</f>
        <v/>
      </c>
      <c r="E1115">
        <f>SUMPRODUCT(Calc!$K$3:$K$22*(Calc!$G$3:$G$22&gt;=B1115))</f>
        <v/>
      </c>
      <c r="F1115">
        <f>AND(k_n&gt;=5,B1115&gt;A1115+1E-9,C1115&gt;=2,D1115&gt;=1,E1115&gt;=2)</f>
        <v/>
      </c>
      <c r="G1115">
        <f>SUMPRODUCT(Calc!$K$3:$K$22*(Calc!$G$3:$G$22&gt;A1115)*(Calc!$G$3:$G$22-A1115))</f>
        <v/>
      </c>
      <c r="H1115">
        <f>SUMPRODUCT(Calc!$K$3:$K$22*(Calc!$G$3:$G$22&gt;B1115)*(Calc!$G$3:$G$22-B1115))</f>
        <v/>
      </c>
      <c r="I1115">
        <f>SUMPRODUCT(Calc!$K$3:$K$22*(Calc!$G$3:$G$22&gt;A1115)*(Calc!$G$3:$G$22-A1115)^2)</f>
        <v/>
      </c>
      <c r="J1115">
        <f>SUMPRODUCT(Calc!$K$3:$K$22*(Calc!$G$3:$G$22&gt;B1115)*(Calc!$G$3:$G$22-B1115)^2)</f>
        <v/>
      </c>
      <c r="K1115">
        <f>SUMPRODUCT(Calc!$K$3:$K$22*(Calc!$G$3:$G$22&gt;A1115)*(Calc!$G$3:$G$22-A1115)*(Calc!$G$3:$G$22&gt;B1115)*(Calc!$G$3:$G$22-B1115))</f>
        <v/>
      </c>
      <c r="L1115">
        <f>SUMPRODUCT(Calc!$K$3:$K$22*(Calc!$G$3:$G$22&gt;A1115)*(Calc!$G$3:$G$22-A1115)*Calc!$G$3:$G$22)</f>
        <v/>
      </c>
      <c r="M1115">
        <f>SUMPRODUCT(Calc!$K$3:$K$22*(Calc!$G$3:$G$22&gt;B1115)*(Calc!$G$3:$G$22-B1115)*Calc!$G$3:$G$22)</f>
        <v/>
      </c>
      <c r="N1115">
        <f>SUMPRODUCT(Calc!$K$3:$K$22*(Calc!$G$3:$G$22&gt;A1115)*(Calc!$G$3:$G$22-A1115)*Calc!$I$3:$I$22)</f>
        <v/>
      </c>
      <c r="O1115">
        <f>SUMPRODUCT(Calc!$K$3:$K$22*(Calc!$G$3:$G$22&gt;B1115)*(Calc!$G$3:$G$22-B1115)*Calc!$I$3:$I$22)</f>
        <v/>
      </c>
      <c r="P1115">
        <f>I1115-G1115^2/k_n</f>
        <v/>
      </c>
      <c r="Q1115">
        <f>J1115-H1115^2/k_n</f>
        <v/>
      </c>
      <c r="R1115">
        <f>K1115-G1115*H1115/k_n</f>
        <v/>
      </c>
      <c r="S1115">
        <f>L1115-LTP3!$D$3*G1115/k_n</f>
        <v/>
      </c>
      <c r="T1115">
        <f>M1115-LTP3!$D$3*H1115/k_n</f>
        <v/>
      </c>
      <c r="U1115">
        <f>N1115-G1115*LTP3!$D$4/k_n</f>
        <v/>
      </c>
      <c r="V1115">
        <f>O1115-H1115*LTP3!$D$4/k_n</f>
        <v/>
      </c>
      <c r="W1115">
        <f>((LTP3!$D$5)*((P1115)*(Q1115)-(R1115)*(R1115))-(S1115)*((S1115)*(Q1115)-(R1115)*(T1115))+(T1115)*((S1115)*(R1115)-(P1115)*(T1115)))</f>
        <v/>
      </c>
      <c r="X1115">
        <f>IF(ABS(W1115)&gt;1E-12,((LTP3!$D$6)*((P1115)*(Q1115)-(R1115)*(R1115))-(S1115)*((U1115)*(Q1115)-(R1115)*(V1115))+(T1115)*((U1115)*(R1115)-(P1115)*(V1115)))/W1115,0)</f>
        <v/>
      </c>
      <c r="Y1115">
        <f>IF(ABS(W1115)&gt;1E-12,((LTP3!$D$5)*((U1115)*(Q1115)-(R1115)*(V1115))-(LTP3!$D$6)*((S1115)*(Q1115)-(R1115)*(T1115))+(T1115)*((S1115)*(V1115)-(U1115)*(T1115)))/W1115,0)</f>
        <v/>
      </c>
      <c r="Z1115">
        <f>IF(ABS(W1115)&gt;1E-12,((LTP3!$D$5)*((P1115)*(V1115)-(U1115)*(R1115))-(S1115)*((S1115)*(V1115)-(U1115)*(T1115))+(LTP3!$D$6)*((S1115)*(R1115)-(P1115)*(T1115)))/W1115,0)</f>
        <v/>
      </c>
      <c r="AA1115">
        <f>LTP3!$D$7-X1115*LTP3!$D$6-Y1115*U1115-Z1115*V1115</f>
        <v/>
      </c>
      <c r="AB1115">
        <f>IF(AND(F1115,ABS(W1115)&gt;1E-12,Y1115&gt;0,Z1115&gt;0),AA1115,1E+300)</f>
        <v/>
      </c>
    </row>
    <row r="1116">
      <c r="A1116">
        <f>$B$3+$B$5*18</f>
        <v/>
      </c>
      <c r="B1116">
        <f>$B$3+$B$5*6</f>
        <v/>
      </c>
      <c r="C1116">
        <f>SUMPRODUCT(Calc!$K$3:$K$22*(Calc!$G$3:$G$22&lt;=A1116))</f>
        <v/>
      </c>
      <c r="D1116">
        <f>SUMPRODUCT(Calc!$K$3:$K$22*(Calc!$G$3:$G$22&gt;A1116)*(Calc!$G$3:$G$22&lt;B1116))</f>
        <v/>
      </c>
      <c r="E1116">
        <f>SUMPRODUCT(Calc!$K$3:$K$22*(Calc!$G$3:$G$22&gt;=B1116))</f>
        <v/>
      </c>
      <c r="F1116">
        <f>AND(k_n&gt;=5,B1116&gt;A1116+1E-9,C1116&gt;=2,D1116&gt;=1,E1116&gt;=2)</f>
        <v/>
      </c>
      <c r="G1116">
        <f>SUMPRODUCT(Calc!$K$3:$K$22*(Calc!$G$3:$G$22&gt;A1116)*(Calc!$G$3:$G$22-A1116))</f>
        <v/>
      </c>
      <c r="H1116">
        <f>SUMPRODUCT(Calc!$K$3:$K$22*(Calc!$G$3:$G$22&gt;B1116)*(Calc!$G$3:$G$22-B1116))</f>
        <v/>
      </c>
      <c r="I1116">
        <f>SUMPRODUCT(Calc!$K$3:$K$22*(Calc!$G$3:$G$22&gt;A1116)*(Calc!$G$3:$G$22-A1116)^2)</f>
        <v/>
      </c>
      <c r="J1116">
        <f>SUMPRODUCT(Calc!$K$3:$K$22*(Calc!$G$3:$G$22&gt;B1116)*(Calc!$G$3:$G$22-B1116)^2)</f>
        <v/>
      </c>
      <c r="K1116">
        <f>SUMPRODUCT(Calc!$K$3:$K$22*(Calc!$G$3:$G$22&gt;A1116)*(Calc!$G$3:$G$22-A1116)*(Calc!$G$3:$G$22&gt;B1116)*(Calc!$G$3:$G$22-B1116))</f>
        <v/>
      </c>
      <c r="L1116">
        <f>SUMPRODUCT(Calc!$K$3:$K$22*(Calc!$G$3:$G$22&gt;A1116)*(Calc!$G$3:$G$22-A1116)*Calc!$G$3:$G$22)</f>
        <v/>
      </c>
      <c r="M1116">
        <f>SUMPRODUCT(Calc!$K$3:$K$22*(Calc!$G$3:$G$22&gt;B1116)*(Calc!$G$3:$G$22-B1116)*Calc!$G$3:$G$22)</f>
        <v/>
      </c>
      <c r="N1116">
        <f>SUMPRODUCT(Calc!$K$3:$K$22*(Calc!$G$3:$G$22&gt;A1116)*(Calc!$G$3:$G$22-A1116)*Calc!$I$3:$I$22)</f>
        <v/>
      </c>
      <c r="O1116">
        <f>SUMPRODUCT(Calc!$K$3:$K$22*(Calc!$G$3:$G$22&gt;B1116)*(Calc!$G$3:$G$22-B1116)*Calc!$I$3:$I$22)</f>
        <v/>
      </c>
      <c r="P1116">
        <f>I1116-G1116^2/k_n</f>
        <v/>
      </c>
      <c r="Q1116">
        <f>J1116-H1116^2/k_n</f>
        <v/>
      </c>
      <c r="R1116">
        <f>K1116-G1116*H1116/k_n</f>
        <v/>
      </c>
      <c r="S1116">
        <f>L1116-LTP3!$D$3*G1116/k_n</f>
        <v/>
      </c>
      <c r="T1116">
        <f>M1116-LTP3!$D$3*H1116/k_n</f>
        <v/>
      </c>
      <c r="U1116">
        <f>N1116-G1116*LTP3!$D$4/k_n</f>
        <v/>
      </c>
      <c r="V1116">
        <f>O1116-H1116*LTP3!$D$4/k_n</f>
        <v/>
      </c>
      <c r="W1116">
        <f>((LTP3!$D$5)*((P1116)*(Q1116)-(R1116)*(R1116))-(S1116)*((S1116)*(Q1116)-(R1116)*(T1116))+(T1116)*((S1116)*(R1116)-(P1116)*(T1116)))</f>
        <v/>
      </c>
      <c r="X1116">
        <f>IF(ABS(W1116)&gt;1E-12,((LTP3!$D$6)*((P1116)*(Q1116)-(R1116)*(R1116))-(S1116)*((U1116)*(Q1116)-(R1116)*(V1116))+(T1116)*((U1116)*(R1116)-(P1116)*(V1116)))/W1116,0)</f>
        <v/>
      </c>
      <c r="Y1116">
        <f>IF(ABS(W1116)&gt;1E-12,((LTP3!$D$5)*((U1116)*(Q1116)-(R1116)*(V1116))-(LTP3!$D$6)*((S1116)*(Q1116)-(R1116)*(T1116))+(T1116)*((S1116)*(V1116)-(U1116)*(T1116)))/W1116,0)</f>
        <v/>
      </c>
      <c r="Z1116">
        <f>IF(ABS(W1116)&gt;1E-12,((LTP3!$D$5)*((P1116)*(V1116)-(U1116)*(R1116))-(S1116)*((S1116)*(V1116)-(U1116)*(T1116))+(LTP3!$D$6)*((S1116)*(R1116)-(P1116)*(T1116)))/W1116,0)</f>
        <v/>
      </c>
      <c r="AA1116">
        <f>LTP3!$D$7-X1116*LTP3!$D$6-Y1116*U1116-Z1116*V1116</f>
        <v/>
      </c>
      <c r="AB1116">
        <f>IF(AND(F1116,ABS(W1116)&gt;1E-12,Y1116&gt;0,Z1116&gt;0),AA1116,1E+300)</f>
        <v/>
      </c>
    </row>
    <row r="1117">
      <c r="A1117">
        <f>$B$3+$B$5*18</f>
        <v/>
      </c>
      <c r="B1117">
        <f>$B$3+$B$5*7</f>
        <v/>
      </c>
      <c r="C1117">
        <f>SUMPRODUCT(Calc!$K$3:$K$22*(Calc!$G$3:$G$22&lt;=A1117))</f>
        <v/>
      </c>
      <c r="D1117">
        <f>SUMPRODUCT(Calc!$K$3:$K$22*(Calc!$G$3:$G$22&gt;A1117)*(Calc!$G$3:$G$22&lt;B1117))</f>
        <v/>
      </c>
      <c r="E1117">
        <f>SUMPRODUCT(Calc!$K$3:$K$22*(Calc!$G$3:$G$22&gt;=B1117))</f>
        <v/>
      </c>
      <c r="F1117">
        <f>AND(k_n&gt;=5,B1117&gt;A1117+1E-9,C1117&gt;=2,D1117&gt;=1,E1117&gt;=2)</f>
        <v/>
      </c>
      <c r="G1117">
        <f>SUMPRODUCT(Calc!$K$3:$K$22*(Calc!$G$3:$G$22&gt;A1117)*(Calc!$G$3:$G$22-A1117))</f>
        <v/>
      </c>
      <c r="H1117">
        <f>SUMPRODUCT(Calc!$K$3:$K$22*(Calc!$G$3:$G$22&gt;B1117)*(Calc!$G$3:$G$22-B1117))</f>
        <v/>
      </c>
      <c r="I1117">
        <f>SUMPRODUCT(Calc!$K$3:$K$22*(Calc!$G$3:$G$22&gt;A1117)*(Calc!$G$3:$G$22-A1117)^2)</f>
        <v/>
      </c>
      <c r="J1117">
        <f>SUMPRODUCT(Calc!$K$3:$K$22*(Calc!$G$3:$G$22&gt;B1117)*(Calc!$G$3:$G$22-B1117)^2)</f>
        <v/>
      </c>
      <c r="K1117">
        <f>SUMPRODUCT(Calc!$K$3:$K$22*(Calc!$G$3:$G$22&gt;A1117)*(Calc!$G$3:$G$22-A1117)*(Calc!$G$3:$G$22&gt;B1117)*(Calc!$G$3:$G$22-B1117))</f>
        <v/>
      </c>
      <c r="L1117">
        <f>SUMPRODUCT(Calc!$K$3:$K$22*(Calc!$G$3:$G$22&gt;A1117)*(Calc!$G$3:$G$22-A1117)*Calc!$G$3:$G$22)</f>
        <v/>
      </c>
      <c r="M1117">
        <f>SUMPRODUCT(Calc!$K$3:$K$22*(Calc!$G$3:$G$22&gt;B1117)*(Calc!$G$3:$G$22-B1117)*Calc!$G$3:$G$22)</f>
        <v/>
      </c>
      <c r="N1117">
        <f>SUMPRODUCT(Calc!$K$3:$K$22*(Calc!$G$3:$G$22&gt;A1117)*(Calc!$G$3:$G$22-A1117)*Calc!$I$3:$I$22)</f>
        <v/>
      </c>
      <c r="O1117">
        <f>SUMPRODUCT(Calc!$K$3:$K$22*(Calc!$G$3:$G$22&gt;B1117)*(Calc!$G$3:$G$22-B1117)*Calc!$I$3:$I$22)</f>
        <v/>
      </c>
      <c r="P1117">
        <f>I1117-G1117^2/k_n</f>
        <v/>
      </c>
      <c r="Q1117">
        <f>J1117-H1117^2/k_n</f>
        <v/>
      </c>
      <c r="R1117">
        <f>K1117-G1117*H1117/k_n</f>
        <v/>
      </c>
      <c r="S1117">
        <f>L1117-LTP3!$D$3*G1117/k_n</f>
        <v/>
      </c>
      <c r="T1117">
        <f>M1117-LTP3!$D$3*H1117/k_n</f>
        <v/>
      </c>
      <c r="U1117">
        <f>N1117-G1117*LTP3!$D$4/k_n</f>
        <v/>
      </c>
      <c r="V1117">
        <f>O1117-H1117*LTP3!$D$4/k_n</f>
        <v/>
      </c>
      <c r="W1117">
        <f>((LTP3!$D$5)*((P1117)*(Q1117)-(R1117)*(R1117))-(S1117)*((S1117)*(Q1117)-(R1117)*(T1117))+(T1117)*((S1117)*(R1117)-(P1117)*(T1117)))</f>
        <v/>
      </c>
      <c r="X1117">
        <f>IF(ABS(W1117)&gt;1E-12,((LTP3!$D$6)*((P1117)*(Q1117)-(R1117)*(R1117))-(S1117)*((U1117)*(Q1117)-(R1117)*(V1117))+(T1117)*((U1117)*(R1117)-(P1117)*(V1117)))/W1117,0)</f>
        <v/>
      </c>
      <c r="Y1117">
        <f>IF(ABS(W1117)&gt;1E-12,((LTP3!$D$5)*((U1117)*(Q1117)-(R1117)*(V1117))-(LTP3!$D$6)*((S1117)*(Q1117)-(R1117)*(T1117))+(T1117)*((S1117)*(V1117)-(U1117)*(T1117)))/W1117,0)</f>
        <v/>
      </c>
      <c r="Z1117">
        <f>IF(ABS(W1117)&gt;1E-12,((LTP3!$D$5)*((P1117)*(V1117)-(U1117)*(R1117))-(S1117)*((S1117)*(V1117)-(U1117)*(T1117))+(LTP3!$D$6)*((S1117)*(R1117)-(P1117)*(T1117)))/W1117,0)</f>
        <v/>
      </c>
      <c r="AA1117">
        <f>LTP3!$D$7-X1117*LTP3!$D$6-Y1117*U1117-Z1117*V1117</f>
        <v/>
      </c>
      <c r="AB1117">
        <f>IF(AND(F1117,ABS(W1117)&gt;1E-12,Y1117&gt;0,Z1117&gt;0),AA1117,1E+300)</f>
        <v/>
      </c>
    </row>
    <row r="1118">
      <c r="A1118">
        <f>$B$3+$B$5*18</f>
        <v/>
      </c>
      <c r="B1118">
        <f>$B$3+$B$5*8</f>
        <v/>
      </c>
      <c r="C1118">
        <f>SUMPRODUCT(Calc!$K$3:$K$22*(Calc!$G$3:$G$22&lt;=A1118))</f>
        <v/>
      </c>
      <c r="D1118">
        <f>SUMPRODUCT(Calc!$K$3:$K$22*(Calc!$G$3:$G$22&gt;A1118)*(Calc!$G$3:$G$22&lt;B1118))</f>
        <v/>
      </c>
      <c r="E1118">
        <f>SUMPRODUCT(Calc!$K$3:$K$22*(Calc!$G$3:$G$22&gt;=B1118))</f>
        <v/>
      </c>
      <c r="F1118">
        <f>AND(k_n&gt;=5,B1118&gt;A1118+1E-9,C1118&gt;=2,D1118&gt;=1,E1118&gt;=2)</f>
        <v/>
      </c>
      <c r="G1118">
        <f>SUMPRODUCT(Calc!$K$3:$K$22*(Calc!$G$3:$G$22&gt;A1118)*(Calc!$G$3:$G$22-A1118))</f>
        <v/>
      </c>
      <c r="H1118">
        <f>SUMPRODUCT(Calc!$K$3:$K$22*(Calc!$G$3:$G$22&gt;B1118)*(Calc!$G$3:$G$22-B1118))</f>
        <v/>
      </c>
      <c r="I1118">
        <f>SUMPRODUCT(Calc!$K$3:$K$22*(Calc!$G$3:$G$22&gt;A1118)*(Calc!$G$3:$G$22-A1118)^2)</f>
        <v/>
      </c>
      <c r="J1118">
        <f>SUMPRODUCT(Calc!$K$3:$K$22*(Calc!$G$3:$G$22&gt;B1118)*(Calc!$G$3:$G$22-B1118)^2)</f>
        <v/>
      </c>
      <c r="K1118">
        <f>SUMPRODUCT(Calc!$K$3:$K$22*(Calc!$G$3:$G$22&gt;A1118)*(Calc!$G$3:$G$22-A1118)*(Calc!$G$3:$G$22&gt;B1118)*(Calc!$G$3:$G$22-B1118))</f>
        <v/>
      </c>
      <c r="L1118">
        <f>SUMPRODUCT(Calc!$K$3:$K$22*(Calc!$G$3:$G$22&gt;A1118)*(Calc!$G$3:$G$22-A1118)*Calc!$G$3:$G$22)</f>
        <v/>
      </c>
      <c r="M1118">
        <f>SUMPRODUCT(Calc!$K$3:$K$22*(Calc!$G$3:$G$22&gt;B1118)*(Calc!$G$3:$G$22-B1118)*Calc!$G$3:$G$22)</f>
        <v/>
      </c>
      <c r="N1118">
        <f>SUMPRODUCT(Calc!$K$3:$K$22*(Calc!$G$3:$G$22&gt;A1118)*(Calc!$G$3:$G$22-A1118)*Calc!$I$3:$I$22)</f>
        <v/>
      </c>
      <c r="O1118">
        <f>SUMPRODUCT(Calc!$K$3:$K$22*(Calc!$G$3:$G$22&gt;B1118)*(Calc!$G$3:$G$22-B1118)*Calc!$I$3:$I$22)</f>
        <v/>
      </c>
      <c r="P1118">
        <f>I1118-G1118^2/k_n</f>
        <v/>
      </c>
      <c r="Q1118">
        <f>J1118-H1118^2/k_n</f>
        <v/>
      </c>
      <c r="R1118">
        <f>K1118-G1118*H1118/k_n</f>
        <v/>
      </c>
      <c r="S1118">
        <f>L1118-LTP3!$D$3*G1118/k_n</f>
        <v/>
      </c>
      <c r="T1118">
        <f>M1118-LTP3!$D$3*H1118/k_n</f>
        <v/>
      </c>
      <c r="U1118">
        <f>N1118-G1118*LTP3!$D$4/k_n</f>
        <v/>
      </c>
      <c r="V1118">
        <f>O1118-H1118*LTP3!$D$4/k_n</f>
        <v/>
      </c>
      <c r="W1118">
        <f>((LTP3!$D$5)*((P1118)*(Q1118)-(R1118)*(R1118))-(S1118)*((S1118)*(Q1118)-(R1118)*(T1118))+(T1118)*((S1118)*(R1118)-(P1118)*(T1118)))</f>
        <v/>
      </c>
      <c r="X1118">
        <f>IF(ABS(W1118)&gt;1E-12,((LTP3!$D$6)*((P1118)*(Q1118)-(R1118)*(R1118))-(S1118)*((U1118)*(Q1118)-(R1118)*(V1118))+(T1118)*((U1118)*(R1118)-(P1118)*(V1118)))/W1118,0)</f>
        <v/>
      </c>
      <c r="Y1118">
        <f>IF(ABS(W1118)&gt;1E-12,((LTP3!$D$5)*((U1118)*(Q1118)-(R1118)*(V1118))-(LTP3!$D$6)*((S1118)*(Q1118)-(R1118)*(T1118))+(T1118)*((S1118)*(V1118)-(U1118)*(T1118)))/W1118,0)</f>
        <v/>
      </c>
      <c r="Z1118">
        <f>IF(ABS(W1118)&gt;1E-12,((LTP3!$D$5)*((P1118)*(V1118)-(U1118)*(R1118))-(S1118)*((S1118)*(V1118)-(U1118)*(T1118))+(LTP3!$D$6)*((S1118)*(R1118)-(P1118)*(T1118)))/W1118,0)</f>
        <v/>
      </c>
      <c r="AA1118">
        <f>LTP3!$D$7-X1118*LTP3!$D$6-Y1118*U1118-Z1118*V1118</f>
        <v/>
      </c>
      <c r="AB1118">
        <f>IF(AND(F1118,ABS(W1118)&gt;1E-12,Y1118&gt;0,Z1118&gt;0),AA1118,1E+300)</f>
        <v/>
      </c>
    </row>
    <row r="1119">
      <c r="A1119">
        <f>$B$3+$B$5*18</f>
        <v/>
      </c>
      <c r="B1119">
        <f>$B$3+$B$5*9</f>
        <v/>
      </c>
      <c r="C1119">
        <f>SUMPRODUCT(Calc!$K$3:$K$22*(Calc!$G$3:$G$22&lt;=A1119))</f>
        <v/>
      </c>
      <c r="D1119">
        <f>SUMPRODUCT(Calc!$K$3:$K$22*(Calc!$G$3:$G$22&gt;A1119)*(Calc!$G$3:$G$22&lt;B1119))</f>
        <v/>
      </c>
      <c r="E1119">
        <f>SUMPRODUCT(Calc!$K$3:$K$22*(Calc!$G$3:$G$22&gt;=B1119))</f>
        <v/>
      </c>
      <c r="F1119">
        <f>AND(k_n&gt;=5,B1119&gt;A1119+1E-9,C1119&gt;=2,D1119&gt;=1,E1119&gt;=2)</f>
        <v/>
      </c>
      <c r="G1119">
        <f>SUMPRODUCT(Calc!$K$3:$K$22*(Calc!$G$3:$G$22&gt;A1119)*(Calc!$G$3:$G$22-A1119))</f>
        <v/>
      </c>
      <c r="H1119">
        <f>SUMPRODUCT(Calc!$K$3:$K$22*(Calc!$G$3:$G$22&gt;B1119)*(Calc!$G$3:$G$22-B1119))</f>
        <v/>
      </c>
      <c r="I1119">
        <f>SUMPRODUCT(Calc!$K$3:$K$22*(Calc!$G$3:$G$22&gt;A1119)*(Calc!$G$3:$G$22-A1119)^2)</f>
        <v/>
      </c>
      <c r="J1119">
        <f>SUMPRODUCT(Calc!$K$3:$K$22*(Calc!$G$3:$G$22&gt;B1119)*(Calc!$G$3:$G$22-B1119)^2)</f>
        <v/>
      </c>
      <c r="K1119">
        <f>SUMPRODUCT(Calc!$K$3:$K$22*(Calc!$G$3:$G$22&gt;A1119)*(Calc!$G$3:$G$22-A1119)*(Calc!$G$3:$G$22&gt;B1119)*(Calc!$G$3:$G$22-B1119))</f>
        <v/>
      </c>
      <c r="L1119">
        <f>SUMPRODUCT(Calc!$K$3:$K$22*(Calc!$G$3:$G$22&gt;A1119)*(Calc!$G$3:$G$22-A1119)*Calc!$G$3:$G$22)</f>
        <v/>
      </c>
      <c r="M1119">
        <f>SUMPRODUCT(Calc!$K$3:$K$22*(Calc!$G$3:$G$22&gt;B1119)*(Calc!$G$3:$G$22-B1119)*Calc!$G$3:$G$22)</f>
        <v/>
      </c>
      <c r="N1119">
        <f>SUMPRODUCT(Calc!$K$3:$K$22*(Calc!$G$3:$G$22&gt;A1119)*(Calc!$G$3:$G$22-A1119)*Calc!$I$3:$I$22)</f>
        <v/>
      </c>
      <c r="O1119">
        <f>SUMPRODUCT(Calc!$K$3:$K$22*(Calc!$G$3:$G$22&gt;B1119)*(Calc!$G$3:$G$22-B1119)*Calc!$I$3:$I$22)</f>
        <v/>
      </c>
      <c r="P1119">
        <f>I1119-G1119^2/k_n</f>
        <v/>
      </c>
      <c r="Q1119">
        <f>J1119-H1119^2/k_n</f>
        <v/>
      </c>
      <c r="R1119">
        <f>K1119-G1119*H1119/k_n</f>
        <v/>
      </c>
      <c r="S1119">
        <f>L1119-LTP3!$D$3*G1119/k_n</f>
        <v/>
      </c>
      <c r="T1119">
        <f>M1119-LTP3!$D$3*H1119/k_n</f>
        <v/>
      </c>
      <c r="U1119">
        <f>N1119-G1119*LTP3!$D$4/k_n</f>
        <v/>
      </c>
      <c r="V1119">
        <f>O1119-H1119*LTP3!$D$4/k_n</f>
        <v/>
      </c>
      <c r="W1119">
        <f>((LTP3!$D$5)*((P1119)*(Q1119)-(R1119)*(R1119))-(S1119)*((S1119)*(Q1119)-(R1119)*(T1119))+(T1119)*((S1119)*(R1119)-(P1119)*(T1119)))</f>
        <v/>
      </c>
      <c r="X1119">
        <f>IF(ABS(W1119)&gt;1E-12,((LTP3!$D$6)*((P1119)*(Q1119)-(R1119)*(R1119))-(S1119)*((U1119)*(Q1119)-(R1119)*(V1119))+(T1119)*((U1119)*(R1119)-(P1119)*(V1119)))/W1119,0)</f>
        <v/>
      </c>
      <c r="Y1119">
        <f>IF(ABS(W1119)&gt;1E-12,((LTP3!$D$5)*((U1119)*(Q1119)-(R1119)*(V1119))-(LTP3!$D$6)*((S1119)*(Q1119)-(R1119)*(T1119))+(T1119)*((S1119)*(V1119)-(U1119)*(T1119)))/W1119,0)</f>
        <v/>
      </c>
      <c r="Z1119">
        <f>IF(ABS(W1119)&gt;1E-12,((LTP3!$D$5)*((P1119)*(V1119)-(U1119)*(R1119))-(S1119)*((S1119)*(V1119)-(U1119)*(T1119))+(LTP3!$D$6)*((S1119)*(R1119)-(P1119)*(T1119)))/W1119,0)</f>
        <v/>
      </c>
      <c r="AA1119">
        <f>LTP3!$D$7-X1119*LTP3!$D$6-Y1119*U1119-Z1119*V1119</f>
        <v/>
      </c>
      <c r="AB1119">
        <f>IF(AND(F1119,ABS(W1119)&gt;1E-12,Y1119&gt;0,Z1119&gt;0),AA1119,1E+300)</f>
        <v/>
      </c>
    </row>
    <row r="1120">
      <c r="A1120">
        <f>$B$3+$B$5*18</f>
        <v/>
      </c>
      <c r="B1120">
        <f>$B$3+$B$5*10</f>
        <v/>
      </c>
      <c r="C1120">
        <f>SUMPRODUCT(Calc!$K$3:$K$22*(Calc!$G$3:$G$22&lt;=A1120))</f>
        <v/>
      </c>
      <c r="D1120">
        <f>SUMPRODUCT(Calc!$K$3:$K$22*(Calc!$G$3:$G$22&gt;A1120)*(Calc!$G$3:$G$22&lt;B1120))</f>
        <v/>
      </c>
      <c r="E1120">
        <f>SUMPRODUCT(Calc!$K$3:$K$22*(Calc!$G$3:$G$22&gt;=B1120))</f>
        <v/>
      </c>
      <c r="F1120">
        <f>AND(k_n&gt;=5,B1120&gt;A1120+1E-9,C1120&gt;=2,D1120&gt;=1,E1120&gt;=2)</f>
        <v/>
      </c>
      <c r="G1120">
        <f>SUMPRODUCT(Calc!$K$3:$K$22*(Calc!$G$3:$G$22&gt;A1120)*(Calc!$G$3:$G$22-A1120))</f>
        <v/>
      </c>
      <c r="H1120">
        <f>SUMPRODUCT(Calc!$K$3:$K$22*(Calc!$G$3:$G$22&gt;B1120)*(Calc!$G$3:$G$22-B1120))</f>
        <v/>
      </c>
      <c r="I1120">
        <f>SUMPRODUCT(Calc!$K$3:$K$22*(Calc!$G$3:$G$22&gt;A1120)*(Calc!$G$3:$G$22-A1120)^2)</f>
        <v/>
      </c>
      <c r="J1120">
        <f>SUMPRODUCT(Calc!$K$3:$K$22*(Calc!$G$3:$G$22&gt;B1120)*(Calc!$G$3:$G$22-B1120)^2)</f>
        <v/>
      </c>
      <c r="K1120">
        <f>SUMPRODUCT(Calc!$K$3:$K$22*(Calc!$G$3:$G$22&gt;A1120)*(Calc!$G$3:$G$22-A1120)*(Calc!$G$3:$G$22&gt;B1120)*(Calc!$G$3:$G$22-B1120))</f>
        <v/>
      </c>
      <c r="L1120">
        <f>SUMPRODUCT(Calc!$K$3:$K$22*(Calc!$G$3:$G$22&gt;A1120)*(Calc!$G$3:$G$22-A1120)*Calc!$G$3:$G$22)</f>
        <v/>
      </c>
      <c r="M1120">
        <f>SUMPRODUCT(Calc!$K$3:$K$22*(Calc!$G$3:$G$22&gt;B1120)*(Calc!$G$3:$G$22-B1120)*Calc!$G$3:$G$22)</f>
        <v/>
      </c>
      <c r="N1120">
        <f>SUMPRODUCT(Calc!$K$3:$K$22*(Calc!$G$3:$G$22&gt;A1120)*(Calc!$G$3:$G$22-A1120)*Calc!$I$3:$I$22)</f>
        <v/>
      </c>
      <c r="O1120">
        <f>SUMPRODUCT(Calc!$K$3:$K$22*(Calc!$G$3:$G$22&gt;B1120)*(Calc!$G$3:$G$22-B1120)*Calc!$I$3:$I$22)</f>
        <v/>
      </c>
      <c r="P1120">
        <f>I1120-G1120^2/k_n</f>
        <v/>
      </c>
      <c r="Q1120">
        <f>J1120-H1120^2/k_n</f>
        <v/>
      </c>
      <c r="R1120">
        <f>K1120-G1120*H1120/k_n</f>
        <v/>
      </c>
      <c r="S1120">
        <f>L1120-LTP3!$D$3*G1120/k_n</f>
        <v/>
      </c>
      <c r="T1120">
        <f>M1120-LTP3!$D$3*H1120/k_n</f>
        <v/>
      </c>
      <c r="U1120">
        <f>N1120-G1120*LTP3!$D$4/k_n</f>
        <v/>
      </c>
      <c r="V1120">
        <f>O1120-H1120*LTP3!$D$4/k_n</f>
        <v/>
      </c>
      <c r="W1120">
        <f>((LTP3!$D$5)*((P1120)*(Q1120)-(R1120)*(R1120))-(S1120)*((S1120)*(Q1120)-(R1120)*(T1120))+(T1120)*((S1120)*(R1120)-(P1120)*(T1120)))</f>
        <v/>
      </c>
      <c r="X1120">
        <f>IF(ABS(W1120)&gt;1E-12,((LTP3!$D$6)*((P1120)*(Q1120)-(R1120)*(R1120))-(S1120)*((U1120)*(Q1120)-(R1120)*(V1120))+(T1120)*((U1120)*(R1120)-(P1120)*(V1120)))/W1120,0)</f>
        <v/>
      </c>
      <c r="Y1120">
        <f>IF(ABS(W1120)&gt;1E-12,((LTP3!$D$5)*((U1120)*(Q1120)-(R1120)*(V1120))-(LTP3!$D$6)*((S1120)*(Q1120)-(R1120)*(T1120))+(T1120)*((S1120)*(V1120)-(U1120)*(T1120)))/W1120,0)</f>
        <v/>
      </c>
      <c r="Z1120">
        <f>IF(ABS(W1120)&gt;1E-12,((LTP3!$D$5)*((P1120)*(V1120)-(U1120)*(R1120))-(S1120)*((S1120)*(V1120)-(U1120)*(T1120))+(LTP3!$D$6)*((S1120)*(R1120)-(P1120)*(T1120)))/W1120,0)</f>
        <v/>
      </c>
      <c r="AA1120">
        <f>LTP3!$D$7-X1120*LTP3!$D$6-Y1120*U1120-Z1120*V1120</f>
        <v/>
      </c>
      <c r="AB1120">
        <f>IF(AND(F1120,ABS(W1120)&gt;1E-12,Y1120&gt;0,Z1120&gt;0),AA1120,1E+300)</f>
        <v/>
      </c>
    </row>
    <row r="1121">
      <c r="A1121">
        <f>$B$3+$B$5*18</f>
        <v/>
      </c>
      <c r="B1121">
        <f>$B$3+$B$5*11</f>
        <v/>
      </c>
      <c r="C1121">
        <f>SUMPRODUCT(Calc!$K$3:$K$22*(Calc!$G$3:$G$22&lt;=A1121))</f>
        <v/>
      </c>
      <c r="D1121">
        <f>SUMPRODUCT(Calc!$K$3:$K$22*(Calc!$G$3:$G$22&gt;A1121)*(Calc!$G$3:$G$22&lt;B1121))</f>
        <v/>
      </c>
      <c r="E1121">
        <f>SUMPRODUCT(Calc!$K$3:$K$22*(Calc!$G$3:$G$22&gt;=B1121))</f>
        <v/>
      </c>
      <c r="F1121">
        <f>AND(k_n&gt;=5,B1121&gt;A1121+1E-9,C1121&gt;=2,D1121&gt;=1,E1121&gt;=2)</f>
        <v/>
      </c>
      <c r="G1121">
        <f>SUMPRODUCT(Calc!$K$3:$K$22*(Calc!$G$3:$G$22&gt;A1121)*(Calc!$G$3:$G$22-A1121))</f>
        <v/>
      </c>
      <c r="H1121">
        <f>SUMPRODUCT(Calc!$K$3:$K$22*(Calc!$G$3:$G$22&gt;B1121)*(Calc!$G$3:$G$22-B1121))</f>
        <v/>
      </c>
      <c r="I1121">
        <f>SUMPRODUCT(Calc!$K$3:$K$22*(Calc!$G$3:$G$22&gt;A1121)*(Calc!$G$3:$G$22-A1121)^2)</f>
        <v/>
      </c>
      <c r="J1121">
        <f>SUMPRODUCT(Calc!$K$3:$K$22*(Calc!$G$3:$G$22&gt;B1121)*(Calc!$G$3:$G$22-B1121)^2)</f>
        <v/>
      </c>
      <c r="K1121">
        <f>SUMPRODUCT(Calc!$K$3:$K$22*(Calc!$G$3:$G$22&gt;A1121)*(Calc!$G$3:$G$22-A1121)*(Calc!$G$3:$G$22&gt;B1121)*(Calc!$G$3:$G$22-B1121))</f>
        <v/>
      </c>
      <c r="L1121">
        <f>SUMPRODUCT(Calc!$K$3:$K$22*(Calc!$G$3:$G$22&gt;A1121)*(Calc!$G$3:$G$22-A1121)*Calc!$G$3:$G$22)</f>
        <v/>
      </c>
      <c r="M1121">
        <f>SUMPRODUCT(Calc!$K$3:$K$22*(Calc!$G$3:$G$22&gt;B1121)*(Calc!$G$3:$G$22-B1121)*Calc!$G$3:$G$22)</f>
        <v/>
      </c>
      <c r="N1121">
        <f>SUMPRODUCT(Calc!$K$3:$K$22*(Calc!$G$3:$G$22&gt;A1121)*(Calc!$G$3:$G$22-A1121)*Calc!$I$3:$I$22)</f>
        <v/>
      </c>
      <c r="O1121">
        <f>SUMPRODUCT(Calc!$K$3:$K$22*(Calc!$G$3:$G$22&gt;B1121)*(Calc!$G$3:$G$22-B1121)*Calc!$I$3:$I$22)</f>
        <v/>
      </c>
      <c r="P1121">
        <f>I1121-G1121^2/k_n</f>
        <v/>
      </c>
      <c r="Q1121">
        <f>J1121-H1121^2/k_n</f>
        <v/>
      </c>
      <c r="R1121">
        <f>K1121-G1121*H1121/k_n</f>
        <v/>
      </c>
      <c r="S1121">
        <f>L1121-LTP3!$D$3*G1121/k_n</f>
        <v/>
      </c>
      <c r="T1121">
        <f>M1121-LTP3!$D$3*H1121/k_n</f>
        <v/>
      </c>
      <c r="U1121">
        <f>N1121-G1121*LTP3!$D$4/k_n</f>
        <v/>
      </c>
      <c r="V1121">
        <f>O1121-H1121*LTP3!$D$4/k_n</f>
        <v/>
      </c>
      <c r="W1121">
        <f>((LTP3!$D$5)*((P1121)*(Q1121)-(R1121)*(R1121))-(S1121)*((S1121)*(Q1121)-(R1121)*(T1121))+(T1121)*((S1121)*(R1121)-(P1121)*(T1121)))</f>
        <v/>
      </c>
      <c r="X1121">
        <f>IF(ABS(W1121)&gt;1E-12,((LTP3!$D$6)*((P1121)*(Q1121)-(R1121)*(R1121))-(S1121)*((U1121)*(Q1121)-(R1121)*(V1121))+(T1121)*((U1121)*(R1121)-(P1121)*(V1121)))/W1121,0)</f>
        <v/>
      </c>
      <c r="Y1121">
        <f>IF(ABS(W1121)&gt;1E-12,((LTP3!$D$5)*((U1121)*(Q1121)-(R1121)*(V1121))-(LTP3!$D$6)*((S1121)*(Q1121)-(R1121)*(T1121))+(T1121)*((S1121)*(V1121)-(U1121)*(T1121)))/W1121,0)</f>
        <v/>
      </c>
      <c r="Z1121">
        <f>IF(ABS(W1121)&gt;1E-12,((LTP3!$D$5)*((P1121)*(V1121)-(U1121)*(R1121))-(S1121)*((S1121)*(V1121)-(U1121)*(T1121))+(LTP3!$D$6)*((S1121)*(R1121)-(P1121)*(T1121)))/W1121,0)</f>
        <v/>
      </c>
      <c r="AA1121">
        <f>LTP3!$D$7-X1121*LTP3!$D$6-Y1121*U1121-Z1121*V1121</f>
        <v/>
      </c>
      <c r="AB1121">
        <f>IF(AND(F1121,ABS(W1121)&gt;1E-12,Y1121&gt;0,Z1121&gt;0),AA1121,1E+300)</f>
        <v/>
      </c>
    </row>
    <row r="1122">
      <c r="A1122">
        <f>$B$3+$B$5*18</f>
        <v/>
      </c>
      <c r="B1122">
        <f>$B$3+$B$5*12</f>
        <v/>
      </c>
      <c r="C1122">
        <f>SUMPRODUCT(Calc!$K$3:$K$22*(Calc!$G$3:$G$22&lt;=A1122))</f>
        <v/>
      </c>
      <c r="D1122">
        <f>SUMPRODUCT(Calc!$K$3:$K$22*(Calc!$G$3:$G$22&gt;A1122)*(Calc!$G$3:$G$22&lt;B1122))</f>
        <v/>
      </c>
      <c r="E1122">
        <f>SUMPRODUCT(Calc!$K$3:$K$22*(Calc!$G$3:$G$22&gt;=B1122))</f>
        <v/>
      </c>
      <c r="F1122">
        <f>AND(k_n&gt;=5,B1122&gt;A1122+1E-9,C1122&gt;=2,D1122&gt;=1,E1122&gt;=2)</f>
        <v/>
      </c>
      <c r="G1122">
        <f>SUMPRODUCT(Calc!$K$3:$K$22*(Calc!$G$3:$G$22&gt;A1122)*(Calc!$G$3:$G$22-A1122))</f>
        <v/>
      </c>
      <c r="H1122">
        <f>SUMPRODUCT(Calc!$K$3:$K$22*(Calc!$G$3:$G$22&gt;B1122)*(Calc!$G$3:$G$22-B1122))</f>
        <v/>
      </c>
      <c r="I1122">
        <f>SUMPRODUCT(Calc!$K$3:$K$22*(Calc!$G$3:$G$22&gt;A1122)*(Calc!$G$3:$G$22-A1122)^2)</f>
        <v/>
      </c>
      <c r="J1122">
        <f>SUMPRODUCT(Calc!$K$3:$K$22*(Calc!$G$3:$G$22&gt;B1122)*(Calc!$G$3:$G$22-B1122)^2)</f>
        <v/>
      </c>
      <c r="K1122">
        <f>SUMPRODUCT(Calc!$K$3:$K$22*(Calc!$G$3:$G$22&gt;A1122)*(Calc!$G$3:$G$22-A1122)*(Calc!$G$3:$G$22&gt;B1122)*(Calc!$G$3:$G$22-B1122))</f>
        <v/>
      </c>
      <c r="L1122">
        <f>SUMPRODUCT(Calc!$K$3:$K$22*(Calc!$G$3:$G$22&gt;A1122)*(Calc!$G$3:$G$22-A1122)*Calc!$G$3:$G$22)</f>
        <v/>
      </c>
      <c r="M1122">
        <f>SUMPRODUCT(Calc!$K$3:$K$22*(Calc!$G$3:$G$22&gt;B1122)*(Calc!$G$3:$G$22-B1122)*Calc!$G$3:$G$22)</f>
        <v/>
      </c>
      <c r="N1122">
        <f>SUMPRODUCT(Calc!$K$3:$K$22*(Calc!$G$3:$G$22&gt;A1122)*(Calc!$G$3:$G$22-A1122)*Calc!$I$3:$I$22)</f>
        <v/>
      </c>
      <c r="O1122">
        <f>SUMPRODUCT(Calc!$K$3:$K$22*(Calc!$G$3:$G$22&gt;B1122)*(Calc!$G$3:$G$22-B1122)*Calc!$I$3:$I$22)</f>
        <v/>
      </c>
      <c r="P1122">
        <f>I1122-G1122^2/k_n</f>
        <v/>
      </c>
      <c r="Q1122">
        <f>J1122-H1122^2/k_n</f>
        <v/>
      </c>
      <c r="R1122">
        <f>K1122-G1122*H1122/k_n</f>
        <v/>
      </c>
      <c r="S1122">
        <f>L1122-LTP3!$D$3*G1122/k_n</f>
        <v/>
      </c>
      <c r="T1122">
        <f>M1122-LTP3!$D$3*H1122/k_n</f>
        <v/>
      </c>
      <c r="U1122">
        <f>N1122-G1122*LTP3!$D$4/k_n</f>
        <v/>
      </c>
      <c r="V1122">
        <f>O1122-H1122*LTP3!$D$4/k_n</f>
        <v/>
      </c>
      <c r="W1122">
        <f>((LTP3!$D$5)*((P1122)*(Q1122)-(R1122)*(R1122))-(S1122)*((S1122)*(Q1122)-(R1122)*(T1122))+(T1122)*((S1122)*(R1122)-(P1122)*(T1122)))</f>
        <v/>
      </c>
      <c r="X1122">
        <f>IF(ABS(W1122)&gt;1E-12,((LTP3!$D$6)*((P1122)*(Q1122)-(R1122)*(R1122))-(S1122)*((U1122)*(Q1122)-(R1122)*(V1122))+(T1122)*((U1122)*(R1122)-(P1122)*(V1122)))/W1122,0)</f>
        <v/>
      </c>
      <c r="Y1122">
        <f>IF(ABS(W1122)&gt;1E-12,((LTP3!$D$5)*((U1122)*(Q1122)-(R1122)*(V1122))-(LTP3!$D$6)*((S1122)*(Q1122)-(R1122)*(T1122))+(T1122)*((S1122)*(V1122)-(U1122)*(T1122)))/W1122,0)</f>
        <v/>
      </c>
      <c r="Z1122">
        <f>IF(ABS(W1122)&gt;1E-12,((LTP3!$D$5)*((P1122)*(V1122)-(U1122)*(R1122))-(S1122)*((S1122)*(V1122)-(U1122)*(T1122))+(LTP3!$D$6)*((S1122)*(R1122)-(P1122)*(T1122)))/W1122,0)</f>
        <v/>
      </c>
      <c r="AA1122">
        <f>LTP3!$D$7-X1122*LTP3!$D$6-Y1122*U1122-Z1122*V1122</f>
        <v/>
      </c>
      <c r="AB1122">
        <f>IF(AND(F1122,ABS(W1122)&gt;1E-12,Y1122&gt;0,Z1122&gt;0),AA1122,1E+300)</f>
        <v/>
      </c>
    </row>
    <row r="1123">
      <c r="A1123">
        <f>$B$3+$B$5*18</f>
        <v/>
      </c>
      <c r="B1123">
        <f>$B$3+$B$5*13</f>
        <v/>
      </c>
      <c r="C1123">
        <f>SUMPRODUCT(Calc!$K$3:$K$22*(Calc!$G$3:$G$22&lt;=A1123))</f>
        <v/>
      </c>
      <c r="D1123">
        <f>SUMPRODUCT(Calc!$K$3:$K$22*(Calc!$G$3:$G$22&gt;A1123)*(Calc!$G$3:$G$22&lt;B1123))</f>
        <v/>
      </c>
      <c r="E1123">
        <f>SUMPRODUCT(Calc!$K$3:$K$22*(Calc!$G$3:$G$22&gt;=B1123))</f>
        <v/>
      </c>
      <c r="F1123">
        <f>AND(k_n&gt;=5,B1123&gt;A1123+1E-9,C1123&gt;=2,D1123&gt;=1,E1123&gt;=2)</f>
        <v/>
      </c>
      <c r="G1123">
        <f>SUMPRODUCT(Calc!$K$3:$K$22*(Calc!$G$3:$G$22&gt;A1123)*(Calc!$G$3:$G$22-A1123))</f>
        <v/>
      </c>
      <c r="H1123">
        <f>SUMPRODUCT(Calc!$K$3:$K$22*(Calc!$G$3:$G$22&gt;B1123)*(Calc!$G$3:$G$22-B1123))</f>
        <v/>
      </c>
      <c r="I1123">
        <f>SUMPRODUCT(Calc!$K$3:$K$22*(Calc!$G$3:$G$22&gt;A1123)*(Calc!$G$3:$G$22-A1123)^2)</f>
        <v/>
      </c>
      <c r="J1123">
        <f>SUMPRODUCT(Calc!$K$3:$K$22*(Calc!$G$3:$G$22&gt;B1123)*(Calc!$G$3:$G$22-B1123)^2)</f>
        <v/>
      </c>
      <c r="K1123">
        <f>SUMPRODUCT(Calc!$K$3:$K$22*(Calc!$G$3:$G$22&gt;A1123)*(Calc!$G$3:$G$22-A1123)*(Calc!$G$3:$G$22&gt;B1123)*(Calc!$G$3:$G$22-B1123))</f>
        <v/>
      </c>
      <c r="L1123">
        <f>SUMPRODUCT(Calc!$K$3:$K$22*(Calc!$G$3:$G$22&gt;A1123)*(Calc!$G$3:$G$22-A1123)*Calc!$G$3:$G$22)</f>
        <v/>
      </c>
      <c r="M1123">
        <f>SUMPRODUCT(Calc!$K$3:$K$22*(Calc!$G$3:$G$22&gt;B1123)*(Calc!$G$3:$G$22-B1123)*Calc!$G$3:$G$22)</f>
        <v/>
      </c>
      <c r="N1123">
        <f>SUMPRODUCT(Calc!$K$3:$K$22*(Calc!$G$3:$G$22&gt;A1123)*(Calc!$G$3:$G$22-A1123)*Calc!$I$3:$I$22)</f>
        <v/>
      </c>
      <c r="O1123">
        <f>SUMPRODUCT(Calc!$K$3:$K$22*(Calc!$G$3:$G$22&gt;B1123)*(Calc!$G$3:$G$22-B1123)*Calc!$I$3:$I$22)</f>
        <v/>
      </c>
      <c r="P1123">
        <f>I1123-G1123^2/k_n</f>
        <v/>
      </c>
      <c r="Q1123">
        <f>J1123-H1123^2/k_n</f>
        <v/>
      </c>
      <c r="R1123">
        <f>K1123-G1123*H1123/k_n</f>
        <v/>
      </c>
      <c r="S1123">
        <f>L1123-LTP3!$D$3*G1123/k_n</f>
        <v/>
      </c>
      <c r="T1123">
        <f>M1123-LTP3!$D$3*H1123/k_n</f>
        <v/>
      </c>
      <c r="U1123">
        <f>N1123-G1123*LTP3!$D$4/k_n</f>
        <v/>
      </c>
      <c r="V1123">
        <f>O1123-H1123*LTP3!$D$4/k_n</f>
        <v/>
      </c>
      <c r="W1123">
        <f>((LTP3!$D$5)*((P1123)*(Q1123)-(R1123)*(R1123))-(S1123)*((S1123)*(Q1123)-(R1123)*(T1123))+(T1123)*((S1123)*(R1123)-(P1123)*(T1123)))</f>
        <v/>
      </c>
      <c r="X1123">
        <f>IF(ABS(W1123)&gt;1E-12,((LTP3!$D$6)*((P1123)*(Q1123)-(R1123)*(R1123))-(S1123)*((U1123)*(Q1123)-(R1123)*(V1123))+(T1123)*((U1123)*(R1123)-(P1123)*(V1123)))/W1123,0)</f>
        <v/>
      </c>
      <c r="Y1123">
        <f>IF(ABS(W1123)&gt;1E-12,((LTP3!$D$5)*((U1123)*(Q1123)-(R1123)*(V1123))-(LTP3!$D$6)*((S1123)*(Q1123)-(R1123)*(T1123))+(T1123)*((S1123)*(V1123)-(U1123)*(T1123)))/W1123,0)</f>
        <v/>
      </c>
      <c r="Z1123">
        <f>IF(ABS(W1123)&gt;1E-12,((LTP3!$D$5)*((P1123)*(V1123)-(U1123)*(R1123))-(S1123)*((S1123)*(V1123)-(U1123)*(T1123))+(LTP3!$D$6)*((S1123)*(R1123)-(P1123)*(T1123)))/W1123,0)</f>
        <v/>
      </c>
      <c r="AA1123">
        <f>LTP3!$D$7-X1123*LTP3!$D$6-Y1123*U1123-Z1123*V1123</f>
        <v/>
      </c>
      <c r="AB1123">
        <f>IF(AND(F1123,ABS(W1123)&gt;1E-12,Y1123&gt;0,Z1123&gt;0),AA1123,1E+300)</f>
        <v/>
      </c>
    </row>
    <row r="1124">
      <c r="A1124">
        <f>$B$3+$B$5*18</f>
        <v/>
      </c>
      <c r="B1124">
        <f>$B$3+$B$5*14</f>
        <v/>
      </c>
      <c r="C1124">
        <f>SUMPRODUCT(Calc!$K$3:$K$22*(Calc!$G$3:$G$22&lt;=A1124))</f>
        <v/>
      </c>
      <c r="D1124">
        <f>SUMPRODUCT(Calc!$K$3:$K$22*(Calc!$G$3:$G$22&gt;A1124)*(Calc!$G$3:$G$22&lt;B1124))</f>
        <v/>
      </c>
      <c r="E1124">
        <f>SUMPRODUCT(Calc!$K$3:$K$22*(Calc!$G$3:$G$22&gt;=B1124))</f>
        <v/>
      </c>
      <c r="F1124">
        <f>AND(k_n&gt;=5,B1124&gt;A1124+1E-9,C1124&gt;=2,D1124&gt;=1,E1124&gt;=2)</f>
        <v/>
      </c>
      <c r="G1124">
        <f>SUMPRODUCT(Calc!$K$3:$K$22*(Calc!$G$3:$G$22&gt;A1124)*(Calc!$G$3:$G$22-A1124))</f>
        <v/>
      </c>
      <c r="H1124">
        <f>SUMPRODUCT(Calc!$K$3:$K$22*(Calc!$G$3:$G$22&gt;B1124)*(Calc!$G$3:$G$22-B1124))</f>
        <v/>
      </c>
      <c r="I1124">
        <f>SUMPRODUCT(Calc!$K$3:$K$22*(Calc!$G$3:$G$22&gt;A1124)*(Calc!$G$3:$G$22-A1124)^2)</f>
        <v/>
      </c>
      <c r="J1124">
        <f>SUMPRODUCT(Calc!$K$3:$K$22*(Calc!$G$3:$G$22&gt;B1124)*(Calc!$G$3:$G$22-B1124)^2)</f>
        <v/>
      </c>
      <c r="K1124">
        <f>SUMPRODUCT(Calc!$K$3:$K$22*(Calc!$G$3:$G$22&gt;A1124)*(Calc!$G$3:$G$22-A1124)*(Calc!$G$3:$G$22&gt;B1124)*(Calc!$G$3:$G$22-B1124))</f>
        <v/>
      </c>
      <c r="L1124">
        <f>SUMPRODUCT(Calc!$K$3:$K$22*(Calc!$G$3:$G$22&gt;A1124)*(Calc!$G$3:$G$22-A1124)*Calc!$G$3:$G$22)</f>
        <v/>
      </c>
      <c r="M1124">
        <f>SUMPRODUCT(Calc!$K$3:$K$22*(Calc!$G$3:$G$22&gt;B1124)*(Calc!$G$3:$G$22-B1124)*Calc!$G$3:$G$22)</f>
        <v/>
      </c>
      <c r="N1124">
        <f>SUMPRODUCT(Calc!$K$3:$K$22*(Calc!$G$3:$G$22&gt;A1124)*(Calc!$G$3:$G$22-A1124)*Calc!$I$3:$I$22)</f>
        <v/>
      </c>
      <c r="O1124">
        <f>SUMPRODUCT(Calc!$K$3:$K$22*(Calc!$G$3:$G$22&gt;B1124)*(Calc!$G$3:$G$22-B1124)*Calc!$I$3:$I$22)</f>
        <v/>
      </c>
      <c r="P1124">
        <f>I1124-G1124^2/k_n</f>
        <v/>
      </c>
      <c r="Q1124">
        <f>J1124-H1124^2/k_n</f>
        <v/>
      </c>
      <c r="R1124">
        <f>K1124-G1124*H1124/k_n</f>
        <v/>
      </c>
      <c r="S1124">
        <f>L1124-LTP3!$D$3*G1124/k_n</f>
        <v/>
      </c>
      <c r="T1124">
        <f>M1124-LTP3!$D$3*H1124/k_n</f>
        <v/>
      </c>
      <c r="U1124">
        <f>N1124-G1124*LTP3!$D$4/k_n</f>
        <v/>
      </c>
      <c r="V1124">
        <f>O1124-H1124*LTP3!$D$4/k_n</f>
        <v/>
      </c>
      <c r="W1124">
        <f>((LTP3!$D$5)*((P1124)*(Q1124)-(R1124)*(R1124))-(S1124)*((S1124)*(Q1124)-(R1124)*(T1124))+(T1124)*((S1124)*(R1124)-(P1124)*(T1124)))</f>
        <v/>
      </c>
      <c r="X1124">
        <f>IF(ABS(W1124)&gt;1E-12,((LTP3!$D$6)*((P1124)*(Q1124)-(R1124)*(R1124))-(S1124)*((U1124)*(Q1124)-(R1124)*(V1124))+(T1124)*((U1124)*(R1124)-(P1124)*(V1124)))/W1124,0)</f>
        <v/>
      </c>
      <c r="Y1124">
        <f>IF(ABS(W1124)&gt;1E-12,((LTP3!$D$5)*((U1124)*(Q1124)-(R1124)*(V1124))-(LTP3!$D$6)*((S1124)*(Q1124)-(R1124)*(T1124))+(T1124)*((S1124)*(V1124)-(U1124)*(T1124)))/W1124,0)</f>
        <v/>
      </c>
      <c r="Z1124">
        <f>IF(ABS(W1124)&gt;1E-12,((LTP3!$D$5)*((P1124)*(V1124)-(U1124)*(R1124))-(S1124)*((S1124)*(V1124)-(U1124)*(T1124))+(LTP3!$D$6)*((S1124)*(R1124)-(P1124)*(T1124)))/W1124,0)</f>
        <v/>
      </c>
      <c r="AA1124">
        <f>LTP3!$D$7-X1124*LTP3!$D$6-Y1124*U1124-Z1124*V1124</f>
        <v/>
      </c>
      <c r="AB1124">
        <f>IF(AND(F1124,ABS(W1124)&gt;1E-12,Y1124&gt;0,Z1124&gt;0),AA1124,1E+300)</f>
        <v/>
      </c>
    </row>
    <row r="1125">
      <c r="A1125">
        <f>$B$3+$B$5*18</f>
        <v/>
      </c>
      <c r="B1125">
        <f>$B$3+$B$5*15</f>
        <v/>
      </c>
      <c r="C1125">
        <f>SUMPRODUCT(Calc!$K$3:$K$22*(Calc!$G$3:$G$22&lt;=A1125))</f>
        <v/>
      </c>
      <c r="D1125">
        <f>SUMPRODUCT(Calc!$K$3:$K$22*(Calc!$G$3:$G$22&gt;A1125)*(Calc!$G$3:$G$22&lt;B1125))</f>
        <v/>
      </c>
      <c r="E1125">
        <f>SUMPRODUCT(Calc!$K$3:$K$22*(Calc!$G$3:$G$22&gt;=B1125))</f>
        <v/>
      </c>
      <c r="F1125">
        <f>AND(k_n&gt;=5,B1125&gt;A1125+1E-9,C1125&gt;=2,D1125&gt;=1,E1125&gt;=2)</f>
        <v/>
      </c>
      <c r="G1125">
        <f>SUMPRODUCT(Calc!$K$3:$K$22*(Calc!$G$3:$G$22&gt;A1125)*(Calc!$G$3:$G$22-A1125))</f>
        <v/>
      </c>
      <c r="H1125">
        <f>SUMPRODUCT(Calc!$K$3:$K$22*(Calc!$G$3:$G$22&gt;B1125)*(Calc!$G$3:$G$22-B1125))</f>
        <v/>
      </c>
      <c r="I1125">
        <f>SUMPRODUCT(Calc!$K$3:$K$22*(Calc!$G$3:$G$22&gt;A1125)*(Calc!$G$3:$G$22-A1125)^2)</f>
        <v/>
      </c>
      <c r="J1125">
        <f>SUMPRODUCT(Calc!$K$3:$K$22*(Calc!$G$3:$G$22&gt;B1125)*(Calc!$G$3:$G$22-B1125)^2)</f>
        <v/>
      </c>
      <c r="K1125">
        <f>SUMPRODUCT(Calc!$K$3:$K$22*(Calc!$G$3:$G$22&gt;A1125)*(Calc!$G$3:$G$22-A1125)*(Calc!$G$3:$G$22&gt;B1125)*(Calc!$G$3:$G$22-B1125))</f>
        <v/>
      </c>
      <c r="L1125">
        <f>SUMPRODUCT(Calc!$K$3:$K$22*(Calc!$G$3:$G$22&gt;A1125)*(Calc!$G$3:$G$22-A1125)*Calc!$G$3:$G$22)</f>
        <v/>
      </c>
      <c r="M1125">
        <f>SUMPRODUCT(Calc!$K$3:$K$22*(Calc!$G$3:$G$22&gt;B1125)*(Calc!$G$3:$G$22-B1125)*Calc!$G$3:$G$22)</f>
        <v/>
      </c>
      <c r="N1125">
        <f>SUMPRODUCT(Calc!$K$3:$K$22*(Calc!$G$3:$G$22&gt;A1125)*(Calc!$G$3:$G$22-A1125)*Calc!$I$3:$I$22)</f>
        <v/>
      </c>
      <c r="O1125">
        <f>SUMPRODUCT(Calc!$K$3:$K$22*(Calc!$G$3:$G$22&gt;B1125)*(Calc!$G$3:$G$22-B1125)*Calc!$I$3:$I$22)</f>
        <v/>
      </c>
      <c r="P1125">
        <f>I1125-G1125^2/k_n</f>
        <v/>
      </c>
      <c r="Q1125">
        <f>J1125-H1125^2/k_n</f>
        <v/>
      </c>
      <c r="R1125">
        <f>K1125-G1125*H1125/k_n</f>
        <v/>
      </c>
      <c r="S1125">
        <f>L1125-LTP3!$D$3*G1125/k_n</f>
        <v/>
      </c>
      <c r="T1125">
        <f>M1125-LTP3!$D$3*H1125/k_n</f>
        <v/>
      </c>
      <c r="U1125">
        <f>N1125-G1125*LTP3!$D$4/k_n</f>
        <v/>
      </c>
      <c r="V1125">
        <f>O1125-H1125*LTP3!$D$4/k_n</f>
        <v/>
      </c>
      <c r="W1125">
        <f>((LTP3!$D$5)*((P1125)*(Q1125)-(R1125)*(R1125))-(S1125)*((S1125)*(Q1125)-(R1125)*(T1125))+(T1125)*((S1125)*(R1125)-(P1125)*(T1125)))</f>
        <v/>
      </c>
      <c r="X1125">
        <f>IF(ABS(W1125)&gt;1E-12,((LTP3!$D$6)*((P1125)*(Q1125)-(R1125)*(R1125))-(S1125)*((U1125)*(Q1125)-(R1125)*(V1125))+(T1125)*((U1125)*(R1125)-(P1125)*(V1125)))/W1125,0)</f>
        <v/>
      </c>
      <c r="Y1125">
        <f>IF(ABS(W1125)&gt;1E-12,((LTP3!$D$5)*((U1125)*(Q1125)-(R1125)*(V1125))-(LTP3!$D$6)*((S1125)*(Q1125)-(R1125)*(T1125))+(T1125)*((S1125)*(V1125)-(U1125)*(T1125)))/W1125,0)</f>
        <v/>
      </c>
      <c r="Z1125">
        <f>IF(ABS(W1125)&gt;1E-12,((LTP3!$D$5)*((P1125)*(V1125)-(U1125)*(R1125))-(S1125)*((S1125)*(V1125)-(U1125)*(T1125))+(LTP3!$D$6)*((S1125)*(R1125)-(P1125)*(T1125)))/W1125,0)</f>
        <v/>
      </c>
      <c r="AA1125">
        <f>LTP3!$D$7-X1125*LTP3!$D$6-Y1125*U1125-Z1125*V1125</f>
        <v/>
      </c>
      <c r="AB1125">
        <f>IF(AND(F1125,ABS(W1125)&gt;1E-12,Y1125&gt;0,Z1125&gt;0),AA1125,1E+300)</f>
        <v/>
      </c>
    </row>
    <row r="1126">
      <c r="A1126">
        <f>$B$3+$B$5*18</f>
        <v/>
      </c>
      <c r="B1126">
        <f>$B$3+$B$5*16</f>
        <v/>
      </c>
      <c r="C1126">
        <f>SUMPRODUCT(Calc!$K$3:$K$22*(Calc!$G$3:$G$22&lt;=A1126))</f>
        <v/>
      </c>
      <c r="D1126">
        <f>SUMPRODUCT(Calc!$K$3:$K$22*(Calc!$G$3:$G$22&gt;A1126)*(Calc!$G$3:$G$22&lt;B1126))</f>
        <v/>
      </c>
      <c r="E1126">
        <f>SUMPRODUCT(Calc!$K$3:$K$22*(Calc!$G$3:$G$22&gt;=B1126))</f>
        <v/>
      </c>
      <c r="F1126">
        <f>AND(k_n&gt;=5,B1126&gt;A1126+1E-9,C1126&gt;=2,D1126&gt;=1,E1126&gt;=2)</f>
        <v/>
      </c>
      <c r="G1126">
        <f>SUMPRODUCT(Calc!$K$3:$K$22*(Calc!$G$3:$G$22&gt;A1126)*(Calc!$G$3:$G$22-A1126))</f>
        <v/>
      </c>
      <c r="H1126">
        <f>SUMPRODUCT(Calc!$K$3:$K$22*(Calc!$G$3:$G$22&gt;B1126)*(Calc!$G$3:$G$22-B1126))</f>
        <v/>
      </c>
      <c r="I1126">
        <f>SUMPRODUCT(Calc!$K$3:$K$22*(Calc!$G$3:$G$22&gt;A1126)*(Calc!$G$3:$G$22-A1126)^2)</f>
        <v/>
      </c>
      <c r="J1126">
        <f>SUMPRODUCT(Calc!$K$3:$K$22*(Calc!$G$3:$G$22&gt;B1126)*(Calc!$G$3:$G$22-B1126)^2)</f>
        <v/>
      </c>
      <c r="K1126">
        <f>SUMPRODUCT(Calc!$K$3:$K$22*(Calc!$G$3:$G$22&gt;A1126)*(Calc!$G$3:$G$22-A1126)*(Calc!$G$3:$G$22&gt;B1126)*(Calc!$G$3:$G$22-B1126))</f>
        <v/>
      </c>
      <c r="L1126">
        <f>SUMPRODUCT(Calc!$K$3:$K$22*(Calc!$G$3:$G$22&gt;A1126)*(Calc!$G$3:$G$22-A1126)*Calc!$G$3:$G$22)</f>
        <v/>
      </c>
      <c r="M1126">
        <f>SUMPRODUCT(Calc!$K$3:$K$22*(Calc!$G$3:$G$22&gt;B1126)*(Calc!$G$3:$G$22-B1126)*Calc!$G$3:$G$22)</f>
        <v/>
      </c>
      <c r="N1126">
        <f>SUMPRODUCT(Calc!$K$3:$K$22*(Calc!$G$3:$G$22&gt;A1126)*(Calc!$G$3:$G$22-A1126)*Calc!$I$3:$I$22)</f>
        <v/>
      </c>
      <c r="O1126">
        <f>SUMPRODUCT(Calc!$K$3:$K$22*(Calc!$G$3:$G$22&gt;B1126)*(Calc!$G$3:$G$22-B1126)*Calc!$I$3:$I$22)</f>
        <v/>
      </c>
      <c r="P1126">
        <f>I1126-G1126^2/k_n</f>
        <v/>
      </c>
      <c r="Q1126">
        <f>J1126-H1126^2/k_n</f>
        <v/>
      </c>
      <c r="R1126">
        <f>K1126-G1126*H1126/k_n</f>
        <v/>
      </c>
      <c r="S1126">
        <f>L1126-LTP3!$D$3*G1126/k_n</f>
        <v/>
      </c>
      <c r="T1126">
        <f>M1126-LTP3!$D$3*H1126/k_n</f>
        <v/>
      </c>
      <c r="U1126">
        <f>N1126-G1126*LTP3!$D$4/k_n</f>
        <v/>
      </c>
      <c r="V1126">
        <f>O1126-H1126*LTP3!$D$4/k_n</f>
        <v/>
      </c>
      <c r="W1126">
        <f>((LTP3!$D$5)*((P1126)*(Q1126)-(R1126)*(R1126))-(S1126)*((S1126)*(Q1126)-(R1126)*(T1126))+(T1126)*((S1126)*(R1126)-(P1126)*(T1126)))</f>
        <v/>
      </c>
      <c r="X1126">
        <f>IF(ABS(W1126)&gt;1E-12,((LTP3!$D$6)*((P1126)*(Q1126)-(R1126)*(R1126))-(S1126)*((U1126)*(Q1126)-(R1126)*(V1126))+(T1126)*((U1126)*(R1126)-(P1126)*(V1126)))/W1126,0)</f>
        <v/>
      </c>
      <c r="Y1126">
        <f>IF(ABS(W1126)&gt;1E-12,((LTP3!$D$5)*((U1126)*(Q1126)-(R1126)*(V1126))-(LTP3!$D$6)*((S1126)*(Q1126)-(R1126)*(T1126))+(T1126)*((S1126)*(V1126)-(U1126)*(T1126)))/W1126,0)</f>
        <v/>
      </c>
      <c r="Z1126">
        <f>IF(ABS(W1126)&gt;1E-12,((LTP3!$D$5)*((P1126)*(V1126)-(U1126)*(R1126))-(S1126)*((S1126)*(V1126)-(U1126)*(T1126))+(LTP3!$D$6)*((S1126)*(R1126)-(P1126)*(T1126)))/W1126,0)</f>
        <v/>
      </c>
      <c r="AA1126">
        <f>LTP3!$D$7-X1126*LTP3!$D$6-Y1126*U1126-Z1126*V1126</f>
        <v/>
      </c>
      <c r="AB1126">
        <f>IF(AND(F1126,ABS(W1126)&gt;1E-12,Y1126&gt;0,Z1126&gt;0),AA1126,1E+300)</f>
        <v/>
      </c>
    </row>
    <row r="1127">
      <c r="A1127">
        <f>$B$3+$B$5*18</f>
        <v/>
      </c>
      <c r="B1127">
        <f>$B$3+$B$5*17</f>
        <v/>
      </c>
      <c r="C1127">
        <f>SUMPRODUCT(Calc!$K$3:$K$22*(Calc!$G$3:$G$22&lt;=A1127))</f>
        <v/>
      </c>
      <c r="D1127">
        <f>SUMPRODUCT(Calc!$K$3:$K$22*(Calc!$G$3:$G$22&gt;A1127)*(Calc!$G$3:$G$22&lt;B1127))</f>
        <v/>
      </c>
      <c r="E1127">
        <f>SUMPRODUCT(Calc!$K$3:$K$22*(Calc!$G$3:$G$22&gt;=B1127))</f>
        <v/>
      </c>
      <c r="F1127">
        <f>AND(k_n&gt;=5,B1127&gt;A1127+1E-9,C1127&gt;=2,D1127&gt;=1,E1127&gt;=2)</f>
        <v/>
      </c>
      <c r="G1127">
        <f>SUMPRODUCT(Calc!$K$3:$K$22*(Calc!$G$3:$G$22&gt;A1127)*(Calc!$G$3:$G$22-A1127))</f>
        <v/>
      </c>
      <c r="H1127">
        <f>SUMPRODUCT(Calc!$K$3:$K$22*(Calc!$G$3:$G$22&gt;B1127)*(Calc!$G$3:$G$22-B1127))</f>
        <v/>
      </c>
      <c r="I1127">
        <f>SUMPRODUCT(Calc!$K$3:$K$22*(Calc!$G$3:$G$22&gt;A1127)*(Calc!$G$3:$G$22-A1127)^2)</f>
        <v/>
      </c>
      <c r="J1127">
        <f>SUMPRODUCT(Calc!$K$3:$K$22*(Calc!$G$3:$G$22&gt;B1127)*(Calc!$G$3:$G$22-B1127)^2)</f>
        <v/>
      </c>
      <c r="K1127">
        <f>SUMPRODUCT(Calc!$K$3:$K$22*(Calc!$G$3:$G$22&gt;A1127)*(Calc!$G$3:$G$22-A1127)*(Calc!$G$3:$G$22&gt;B1127)*(Calc!$G$3:$G$22-B1127))</f>
        <v/>
      </c>
      <c r="L1127">
        <f>SUMPRODUCT(Calc!$K$3:$K$22*(Calc!$G$3:$G$22&gt;A1127)*(Calc!$G$3:$G$22-A1127)*Calc!$G$3:$G$22)</f>
        <v/>
      </c>
      <c r="M1127">
        <f>SUMPRODUCT(Calc!$K$3:$K$22*(Calc!$G$3:$G$22&gt;B1127)*(Calc!$G$3:$G$22-B1127)*Calc!$G$3:$G$22)</f>
        <v/>
      </c>
      <c r="N1127">
        <f>SUMPRODUCT(Calc!$K$3:$K$22*(Calc!$G$3:$G$22&gt;A1127)*(Calc!$G$3:$G$22-A1127)*Calc!$I$3:$I$22)</f>
        <v/>
      </c>
      <c r="O1127">
        <f>SUMPRODUCT(Calc!$K$3:$K$22*(Calc!$G$3:$G$22&gt;B1127)*(Calc!$G$3:$G$22-B1127)*Calc!$I$3:$I$22)</f>
        <v/>
      </c>
      <c r="P1127">
        <f>I1127-G1127^2/k_n</f>
        <v/>
      </c>
      <c r="Q1127">
        <f>J1127-H1127^2/k_n</f>
        <v/>
      </c>
      <c r="R1127">
        <f>K1127-G1127*H1127/k_n</f>
        <v/>
      </c>
      <c r="S1127">
        <f>L1127-LTP3!$D$3*G1127/k_n</f>
        <v/>
      </c>
      <c r="T1127">
        <f>M1127-LTP3!$D$3*H1127/k_n</f>
        <v/>
      </c>
      <c r="U1127">
        <f>N1127-G1127*LTP3!$D$4/k_n</f>
        <v/>
      </c>
      <c r="V1127">
        <f>O1127-H1127*LTP3!$D$4/k_n</f>
        <v/>
      </c>
      <c r="W1127">
        <f>((LTP3!$D$5)*((P1127)*(Q1127)-(R1127)*(R1127))-(S1127)*((S1127)*(Q1127)-(R1127)*(T1127))+(T1127)*((S1127)*(R1127)-(P1127)*(T1127)))</f>
        <v/>
      </c>
      <c r="X1127">
        <f>IF(ABS(W1127)&gt;1E-12,((LTP3!$D$6)*((P1127)*(Q1127)-(R1127)*(R1127))-(S1127)*((U1127)*(Q1127)-(R1127)*(V1127))+(T1127)*((U1127)*(R1127)-(P1127)*(V1127)))/W1127,0)</f>
        <v/>
      </c>
      <c r="Y1127">
        <f>IF(ABS(W1127)&gt;1E-12,((LTP3!$D$5)*((U1127)*(Q1127)-(R1127)*(V1127))-(LTP3!$D$6)*((S1127)*(Q1127)-(R1127)*(T1127))+(T1127)*((S1127)*(V1127)-(U1127)*(T1127)))/W1127,0)</f>
        <v/>
      </c>
      <c r="Z1127">
        <f>IF(ABS(W1127)&gt;1E-12,((LTP3!$D$5)*((P1127)*(V1127)-(U1127)*(R1127))-(S1127)*((S1127)*(V1127)-(U1127)*(T1127))+(LTP3!$D$6)*((S1127)*(R1127)-(P1127)*(T1127)))/W1127,0)</f>
        <v/>
      </c>
      <c r="AA1127">
        <f>LTP3!$D$7-X1127*LTP3!$D$6-Y1127*U1127-Z1127*V1127</f>
        <v/>
      </c>
      <c r="AB1127">
        <f>IF(AND(F1127,ABS(W1127)&gt;1E-12,Y1127&gt;0,Z1127&gt;0),AA1127,1E+300)</f>
        <v/>
      </c>
    </row>
    <row r="1128">
      <c r="A1128">
        <f>$B$3+$B$5*18</f>
        <v/>
      </c>
      <c r="B1128">
        <f>$B$3+$B$5*18</f>
        <v/>
      </c>
      <c r="C1128">
        <f>SUMPRODUCT(Calc!$K$3:$K$22*(Calc!$G$3:$G$22&lt;=A1128))</f>
        <v/>
      </c>
      <c r="D1128">
        <f>SUMPRODUCT(Calc!$K$3:$K$22*(Calc!$G$3:$G$22&gt;A1128)*(Calc!$G$3:$G$22&lt;B1128))</f>
        <v/>
      </c>
      <c r="E1128">
        <f>SUMPRODUCT(Calc!$K$3:$K$22*(Calc!$G$3:$G$22&gt;=B1128))</f>
        <v/>
      </c>
      <c r="F1128">
        <f>AND(k_n&gt;=5,B1128&gt;A1128+1E-9,C1128&gt;=2,D1128&gt;=1,E1128&gt;=2)</f>
        <v/>
      </c>
      <c r="G1128">
        <f>SUMPRODUCT(Calc!$K$3:$K$22*(Calc!$G$3:$G$22&gt;A1128)*(Calc!$G$3:$G$22-A1128))</f>
        <v/>
      </c>
      <c r="H1128">
        <f>SUMPRODUCT(Calc!$K$3:$K$22*(Calc!$G$3:$G$22&gt;B1128)*(Calc!$G$3:$G$22-B1128))</f>
        <v/>
      </c>
      <c r="I1128">
        <f>SUMPRODUCT(Calc!$K$3:$K$22*(Calc!$G$3:$G$22&gt;A1128)*(Calc!$G$3:$G$22-A1128)^2)</f>
        <v/>
      </c>
      <c r="J1128">
        <f>SUMPRODUCT(Calc!$K$3:$K$22*(Calc!$G$3:$G$22&gt;B1128)*(Calc!$G$3:$G$22-B1128)^2)</f>
        <v/>
      </c>
      <c r="K1128">
        <f>SUMPRODUCT(Calc!$K$3:$K$22*(Calc!$G$3:$G$22&gt;A1128)*(Calc!$G$3:$G$22-A1128)*(Calc!$G$3:$G$22&gt;B1128)*(Calc!$G$3:$G$22-B1128))</f>
        <v/>
      </c>
      <c r="L1128">
        <f>SUMPRODUCT(Calc!$K$3:$K$22*(Calc!$G$3:$G$22&gt;A1128)*(Calc!$G$3:$G$22-A1128)*Calc!$G$3:$G$22)</f>
        <v/>
      </c>
      <c r="M1128">
        <f>SUMPRODUCT(Calc!$K$3:$K$22*(Calc!$G$3:$G$22&gt;B1128)*(Calc!$G$3:$G$22-B1128)*Calc!$G$3:$G$22)</f>
        <v/>
      </c>
      <c r="N1128">
        <f>SUMPRODUCT(Calc!$K$3:$K$22*(Calc!$G$3:$G$22&gt;A1128)*(Calc!$G$3:$G$22-A1128)*Calc!$I$3:$I$22)</f>
        <v/>
      </c>
      <c r="O1128">
        <f>SUMPRODUCT(Calc!$K$3:$K$22*(Calc!$G$3:$G$22&gt;B1128)*(Calc!$G$3:$G$22-B1128)*Calc!$I$3:$I$22)</f>
        <v/>
      </c>
      <c r="P1128">
        <f>I1128-G1128^2/k_n</f>
        <v/>
      </c>
      <c r="Q1128">
        <f>J1128-H1128^2/k_n</f>
        <v/>
      </c>
      <c r="R1128">
        <f>K1128-G1128*H1128/k_n</f>
        <v/>
      </c>
      <c r="S1128">
        <f>L1128-LTP3!$D$3*G1128/k_n</f>
        <v/>
      </c>
      <c r="T1128">
        <f>M1128-LTP3!$D$3*H1128/k_n</f>
        <v/>
      </c>
      <c r="U1128">
        <f>N1128-G1128*LTP3!$D$4/k_n</f>
        <v/>
      </c>
      <c r="V1128">
        <f>O1128-H1128*LTP3!$D$4/k_n</f>
        <v/>
      </c>
      <c r="W1128">
        <f>((LTP3!$D$5)*((P1128)*(Q1128)-(R1128)*(R1128))-(S1128)*((S1128)*(Q1128)-(R1128)*(T1128))+(T1128)*((S1128)*(R1128)-(P1128)*(T1128)))</f>
        <v/>
      </c>
      <c r="X1128">
        <f>IF(ABS(W1128)&gt;1E-12,((LTP3!$D$6)*((P1128)*(Q1128)-(R1128)*(R1128))-(S1128)*((U1128)*(Q1128)-(R1128)*(V1128))+(T1128)*((U1128)*(R1128)-(P1128)*(V1128)))/W1128,0)</f>
        <v/>
      </c>
      <c r="Y1128">
        <f>IF(ABS(W1128)&gt;1E-12,((LTP3!$D$5)*((U1128)*(Q1128)-(R1128)*(V1128))-(LTP3!$D$6)*((S1128)*(Q1128)-(R1128)*(T1128))+(T1128)*((S1128)*(V1128)-(U1128)*(T1128)))/W1128,0)</f>
        <v/>
      </c>
      <c r="Z1128">
        <f>IF(ABS(W1128)&gt;1E-12,((LTP3!$D$5)*((P1128)*(V1128)-(U1128)*(R1128))-(S1128)*((S1128)*(V1128)-(U1128)*(T1128))+(LTP3!$D$6)*((S1128)*(R1128)-(P1128)*(T1128)))/W1128,0)</f>
        <v/>
      </c>
      <c r="AA1128">
        <f>LTP3!$D$7-X1128*LTP3!$D$6-Y1128*U1128-Z1128*V1128</f>
        <v/>
      </c>
      <c r="AB1128">
        <f>IF(AND(F1128,ABS(W1128)&gt;1E-12,Y1128&gt;0,Z1128&gt;0),AA1128,1E+300)</f>
        <v/>
      </c>
    </row>
    <row r="1129">
      <c r="A1129">
        <f>$B$3+$B$5*18</f>
        <v/>
      </c>
      <c r="B1129">
        <f>$B$3+$B$5*19</f>
        <v/>
      </c>
      <c r="C1129">
        <f>SUMPRODUCT(Calc!$K$3:$K$22*(Calc!$G$3:$G$22&lt;=A1129))</f>
        <v/>
      </c>
      <c r="D1129">
        <f>SUMPRODUCT(Calc!$K$3:$K$22*(Calc!$G$3:$G$22&gt;A1129)*(Calc!$G$3:$G$22&lt;B1129))</f>
        <v/>
      </c>
      <c r="E1129">
        <f>SUMPRODUCT(Calc!$K$3:$K$22*(Calc!$G$3:$G$22&gt;=B1129))</f>
        <v/>
      </c>
      <c r="F1129">
        <f>AND(k_n&gt;=5,B1129&gt;A1129+1E-9,C1129&gt;=2,D1129&gt;=1,E1129&gt;=2)</f>
        <v/>
      </c>
      <c r="G1129">
        <f>SUMPRODUCT(Calc!$K$3:$K$22*(Calc!$G$3:$G$22&gt;A1129)*(Calc!$G$3:$G$22-A1129))</f>
        <v/>
      </c>
      <c r="H1129">
        <f>SUMPRODUCT(Calc!$K$3:$K$22*(Calc!$G$3:$G$22&gt;B1129)*(Calc!$G$3:$G$22-B1129))</f>
        <v/>
      </c>
      <c r="I1129">
        <f>SUMPRODUCT(Calc!$K$3:$K$22*(Calc!$G$3:$G$22&gt;A1129)*(Calc!$G$3:$G$22-A1129)^2)</f>
        <v/>
      </c>
      <c r="J1129">
        <f>SUMPRODUCT(Calc!$K$3:$K$22*(Calc!$G$3:$G$22&gt;B1129)*(Calc!$G$3:$G$22-B1129)^2)</f>
        <v/>
      </c>
      <c r="K1129">
        <f>SUMPRODUCT(Calc!$K$3:$K$22*(Calc!$G$3:$G$22&gt;A1129)*(Calc!$G$3:$G$22-A1129)*(Calc!$G$3:$G$22&gt;B1129)*(Calc!$G$3:$G$22-B1129))</f>
        <v/>
      </c>
      <c r="L1129">
        <f>SUMPRODUCT(Calc!$K$3:$K$22*(Calc!$G$3:$G$22&gt;A1129)*(Calc!$G$3:$G$22-A1129)*Calc!$G$3:$G$22)</f>
        <v/>
      </c>
      <c r="M1129">
        <f>SUMPRODUCT(Calc!$K$3:$K$22*(Calc!$G$3:$G$22&gt;B1129)*(Calc!$G$3:$G$22-B1129)*Calc!$G$3:$G$22)</f>
        <v/>
      </c>
      <c r="N1129">
        <f>SUMPRODUCT(Calc!$K$3:$K$22*(Calc!$G$3:$G$22&gt;A1129)*(Calc!$G$3:$G$22-A1129)*Calc!$I$3:$I$22)</f>
        <v/>
      </c>
      <c r="O1129">
        <f>SUMPRODUCT(Calc!$K$3:$K$22*(Calc!$G$3:$G$22&gt;B1129)*(Calc!$G$3:$G$22-B1129)*Calc!$I$3:$I$22)</f>
        <v/>
      </c>
      <c r="P1129">
        <f>I1129-G1129^2/k_n</f>
        <v/>
      </c>
      <c r="Q1129">
        <f>J1129-H1129^2/k_n</f>
        <v/>
      </c>
      <c r="R1129">
        <f>K1129-G1129*H1129/k_n</f>
        <v/>
      </c>
      <c r="S1129">
        <f>L1129-LTP3!$D$3*G1129/k_n</f>
        <v/>
      </c>
      <c r="T1129">
        <f>M1129-LTP3!$D$3*H1129/k_n</f>
        <v/>
      </c>
      <c r="U1129">
        <f>N1129-G1129*LTP3!$D$4/k_n</f>
        <v/>
      </c>
      <c r="V1129">
        <f>O1129-H1129*LTP3!$D$4/k_n</f>
        <v/>
      </c>
      <c r="W1129">
        <f>((LTP3!$D$5)*((P1129)*(Q1129)-(R1129)*(R1129))-(S1129)*((S1129)*(Q1129)-(R1129)*(T1129))+(T1129)*((S1129)*(R1129)-(P1129)*(T1129)))</f>
        <v/>
      </c>
      <c r="X1129">
        <f>IF(ABS(W1129)&gt;1E-12,((LTP3!$D$6)*((P1129)*(Q1129)-(R1129)*(R1129))-(S1129)*((U1129)*(Q1129)-(R1129)*(V1129))+(T1129)*((U1129)*(R1129)-(P1129)*(V1129)))/W1129,0)</f>
        <v/>
      </c>
      <c r="Y1129">
        <f>IF(ABS(W1129)&gt;1E-12,((LTP3!$D$5)*((U1129)*(Q1129)-(R1129)*(V1129))-(LTP3!$D$6)*((S1129)*(Q1129)-(R1129)*(T1129))+(T1129)*((S1129)*(V1129)-(U1129)*(T1129)))/W1129,0)</f>
        <v/>
      </c>
      <c r="Z1129">
        <f>IF(ABS(W1129)&gt;1E-12,((LTP3!$D$5)*((P1129)*(V1129)-(U1129)*(R1129))-(S1129)*((S1129)*(V1129)-(U1129)*(T1129))+(LTP3!$D$6)*((S1129)*(R1129)-(P1129)*(T1129)))/W1129,0)</f>
        <v/>
      </c>
      <c r="AA1129">
        <f>LTP3!$D$7-X1129*LTP3!$D$6-Y1129*U1129-Z1129*V1129</f>
        <v/>
      </c>
      <c r="AB1129">
        <f>IF(AND(F1129,ABS(W1129)&gt;1E-12,Y1129&gt;0,Z1129&gt;0),AA1129,1E+300)</f>
        <v/>
      </c>
    </row>
    <row r="1130">
      <c r="A1130">
        <f>$B$3+$B$5*18</f>
        <v/>
      </c>
      <c r="B1130">
        <f>$B$3+$B$5*20</f>
        <v/>
      </c>
      <c r="C1130">
        <f>SUMPRODUCT(Calc!$K$3:$K$22*(Calc!$G$3:$G$22&lt;=A1130))</f>
        <v/>
      </c>
      <c r="D1130">
        <f>SUMPRODUCT(Calc!$K$3:$K$22*(Calc!$G$3:$G$22&gt;A1130)*(Calc!$G$3:$G$22&lt;B1130))</f>
        <v/>
      </c>
      <c r="E1130">
        <f>SUMPRODUCT(Calc!$K$3:$K$22*(Calc!$G$3:$G$22&gt;=B1130))</f>
        <v/>
      </c>
      <c r="F1130">
        <f>AND(k_n&gt;=5,B1130&gt;A1130+1E-9,C1130&gt;=2,D1130&gt;=1,E1130&gt;=2)</f>
        <v/>
      </c>
      <c r="G1130">
        <f>SUMPRODUCT(Calc!$K$3:$K$22*(Calc!$G$3:$G$22&gt;A1130)*(Calc!$G$3:$G$22-A1130))</f>
        <v/>
      </c>
      <c r="H1130">
        <f>SUMPRODUCT(Calc!$K$3:$K$22*(Calc!$G$3:$G$22&gt;B1130)*(Calc!$G$3:$G$22-B1130))</f>
        <v/>
      </c>
      <c r="I1130">
        <f>SUMPRODUCT(Calc!$K$3:$K$22*(Calc!$G$3:$G$22&gt;A1130)*(Calc!$G$3:$G$22-A1130)^2)</f>
        <v/>
      </c>
      <c r="J1130">
        <f>SUMPRODUCT(Calc!$K$3:$K$22*(Calc!$G$3:$G$22&gt;B1130)*(Calc!$G$3:$G$22-B1130)^2)</f>
        <v/>
      </c>
      <c r="K1130">
        <f>SUMPRODUCT(Calc!$K$3:$K$22*(Calc!$G$3:$G$22&gt;A1130)*(Calc!$G$3:$G$22-A1130)*(Calc!$G$3:$G$22&gt;B1130)*(Calc!$G$3:$G$22-B1130))</f>
        <v/>
      </c>
      <c r="L1130">
        <f>SUMPRODUCT(Calc!$K$3:$K$22*(Calc!$G$3:$G$22&gt;A1130)*(Calc!$G$3:$G$22-A1130)*Calc!$G$3:$G$22)</f>
        <v/>
      </c>
      <c r="M1130">
        <f>SUMPRODUCT(Calc!$K$3:$K$22*(Calc!$G$3:$G$22&gt;B1130)*(Calc!$G$3:$G$22-B1130)*Calc!$G$3:$G$22)</f>
        <v/>
      </c>
      <c r="N1130">
        <f>SUMPRODUCT(Calc!$K$3:$K$22*(Calc!$G$3:$G$22&gt;A1130)*(Calc!$G$3:$G$22-A1130)*Calc!$I$3:$I$22)</f>
        <v/>
      </c>
      <c r="O1130">
        <f>SUMPRODUCT(Calc!$K$3:$K$22*(Calc!$G$3:$G$22&gt;B1130)*(Calc!$G$3:$G$22-B1130)*Calc!$I$3:$I$22)</f>
        <v/>
      </c>
      <c r="P1130">
        <f>I1130-G1130^2/k_n</f>
        <v/>
      </c>
      <c r="Q1130">
        <f>J1130-H1130^2/k_n</f>
        <v/>
      </c>
      <c r="R1130">
        <f>K1130-G1130*H1130/k_n</f>
        <v/>
      </c>
      <c r="S1130">
        <f>L1130-LTP3!$D$3*G1130/k_n</f>
        <v/>
      </c>
      <c r="T1130">
        <f>M1130-LTP3!$D$3*H1130/k_n</f>
        <v/>
      </c>
      <c r="U1130">
        <f>N1130-G1130*LTP3!$D$4/k_n</f>
        <v/>
      </c>
      <c r="V1130">
        <f>O1130-H1130*LTP3!$D$4/k_n</f>
        <v/>
      </c>
      <c r="W1130">
        <f>((LTP3!$D$5)*((P1130)*(Q1130)-(R1130)*(R1130))-(S1130)*((S1130)*(Q1130)-(R1130)*(T1130))+(T1130)*((S1130)*(R1130)-(P1130)*(T1130)))</f>
        <v/>
      </c>
      <c r="X1130">
        <f>IF(ABS(W1130)&gt;1E-12,((LTP3!$D$6)*((P1130)*(Q1130)-(R1130)*(R1130))-(S1130)*((U1130)*(Q1130)-(R1130)*(V1130))+(T1130)*((U1130)*(R1130)-(P1130)*(V1130)))/W1130,0)</f>
        <v/>
      </c>
      <c r="Y1130">
        <f>IF(ABS(W1130)&gt;1E-12,((LTP3!$D$5)*((U1130)*(Q1130)-(R1130)*(V1130))-(LTP3!$D$6)*((S1130)*(Q1130)-(R1130)*(T1130))+(T1130)*((S1130)*(V1130)-(U1130)*(T1130)))/W1130,0)</f>
        <v/>
      </c>
      <c r="Z1130">
        <f>IF(ABS(W1130)&gt;1E-12,((LTP3!$D$5)*((P1130)*(V1130)-(U1130)*(R1130))-(S1130)*((S1130)*(V1130)-(U1130)*(T1130))+(LTP3!$D$6)*((S1130)*(R1130)-(P1130)*(T1130)))/W1130,0)</f>
        <v/>
      </c>
      <c r="AA1130">
        <f>LTP3!$D$7-X1130*LTP3!$D$6-Y1130*U1130-Z1130*V1130</f>
        <v/>
      </c>
      <c r="AB1130">
        <f>IF(AND(F1130,ABS(W1130)&gt;1E-12,Y1130&gt;0,Z1130&gt;0),AA1130,1E+300)</f>
        <v/>
      </c>
    </row>
    <row r="1131">
      <c r="A1131">
        <f>$B$3+$B$5*18</f>
        <v/>
      </c>
      <c r="B1131">
        <f>$B$3+$B$5*21</f>
        <v/>
      </c>
      <c r="C1131">
        <f>SUMPRODUCT(Calc!$K$3:$K$22*(Calc!$G$3:$G$22&lt;=A1131))</f>
        <v/>
      </c>
      <c r="D1131">
        <f>SUMPRODUCT(Calc!$K$3:$K$22*(Calc!$G$3:$G$22&gt;A1131)*(Calc!$G$3:$G$22&lt;B1131))</f>
        <v/>
      </c>
      <c r="E1131">
        <f>SUMPRODUCT(Calc!$K$3:$K$22*(Calc!$G$3:$G$22&gt;=B1131))</f>
        <v/>
      </c>
      <c r="F1131">
        <f>AND(k_n&gt;=5,B1131&gt;A1131+1E-9,C1131&gt;=2,D1131&gt;=1,E1131&gt;=2)</f>
        <v/>
      </c>
      <c r="G1131">
        <f>SUMPRODUCT(Calc!$K$3:$K$22*(Calc!$G$3:$G$22&gt;A1131)*(Calc!$G$3:$G$22-A1131))</f>
        <v/>
      </c>
      <c r="H1131">
        <f>SUMPRODUCT(Calc!$K$3:$K$22*(Calc!$G$3:$G$22&gt;B1131)*(Calc!$G$3:$G$22-B1131))</f>
        <v/>
      </c>
      <c r="I1131">
        <f>SUMPRODUCT(Calc!$K$3:$K$22*(Calc!$G$3:$G$22&gt;A1131)*(Calc!$G$3:$G$22-A1131)^2)</f>
        <v/>
      </c>
      <c r="J1131">
        <f>SUMPRODUCT(Calc!$K$3:$K$22*(Calc!$G$3:$G$22&gt;B1131)*(Calc!$G$3:$G$22-B1131)^2)</f>
        <v/>
      </c>
      <c r="K1131">
        <f>SUMPRODUCT(Calc!$K$3:$K$22*(Calc!$G$3:$G$22&gt;A1131)*(Calc!$G$3:$G$22-A1131)*(Calc!$G$3:$G$22&gt;B1131)*(Calc!$G$3:$G$22-B1131))</f>
        <v/>
      </c>
      <c r="L1131">
        <f>SUMPRODUCT(Calc!$K$3:$K$22*(Calc!$G$3:$G$22&gt;A1131)*(Calc!$G$3:$G$22-A1131)*Calc!$G$3:$G$22)</f>
        <v/>
      </c>
      <c r="M1131">
        <f>SUMPRODUCT(Calc!$K$3:$K$22*(Calc!$G$3:$G$22&gt;B1131)*(Calc!$G$3:$G$22-B1131)*Calc!$G$3:$G$22)</f>
        <v/>
      </c>
      <c r="N1131">
        <f>SUMPRODUCT(Calc!$K$3:$K$22*(Calc!$G$3:$G$22&gt;A1131)*(Calc!$G$3:$G$22-A1131)*Calc!$I$3:$I$22)</f>
        <v/>
      </c>
      <c r="O1131">
        <f>SUMPRODUCT(Calc!$K$3:$K$22*(Calc!$G$3:$G$22&gt;B1131)*(Calc!$G$3:$G$22-B1131)*Calc!$I$3:$I$22)</f>
        <v/>
      </c>
      <c r="P1131">
        <f>I1131-G1131^2/k_n</f>
        <v/>
      </c>
      <c r="Q1131">
        <f>J1131-H1131^2/k_n</f>
        <v/>
      </c>
      <c r="R1131">
        <f>K1131-G1131*H1131/k_n</f>
        <v/>
      </c>
      <c r="S1131">
        <f>L1131-LTP3!$D$3*G1131/k_n</f>
        <v/>
      </c>
      <c r="T1131">
        <f>M1131-LTP3!$D$3*H1131/k_n</f>
        <v/>
      </c>
      <c r="U1131">
        <f>N1131-G1131*LTP3!$D$4/k_n</f>
        <v/>
      </c>
      <c r="V1131">
        <f>O1131-H1131*LTP3!$D$4/k_n</f>
        <v/>
      </c>
      <c r="W1131">
        <f>((LTP3!$D$5)*((P1131)*(Q1131)-(R1131)*(R1131))-(S1131)*((S1131)*(Q1131)-(R1131)*(T1131))+(T1131)*((S1131)*(R1131)-(P1131)*(T1131)))</f>
        <v/>
      </c>
      <c r="X1131">
        <f>IF(ABS(W1131)&gt;1E-12,((LTP3!$D$6)*((P1131)*(Q1131)-(R1131)*(R1131))-(S1131)*((U1131)*(Q1131)-(R1131)*(V1131))+(T1131)*((U1131)*(R1131)-(P1131)*(V1131)))/W1131,0)</f>
        <v/>
      </c>
      <c r="Y1131">
        <f>IF(ABS(W1131)&gt;1E-12,((LTP3!$D$5)*((U1131)*(Q1131)-(R1131)*(V1131))-(LTP3!$D$6)*((S1131)*(Q1131)-(R1131)*(T1131))+(T1131)*((S1131)*(V1131)-(U1131)*(T1131)))/W1131,0)</f>
        <v/>
      </c>
      <c r="Z1131">
        <f>IF(ABS(W1131)&gt;1E-12,((LTP3!$D$5)*((P1131)*(V1131)-(U1131)*(R1131))-(S1131)*((S1131)*(V1131)-(U1131)*(T1131))+(LTP3!$D$6)*((S1131)*(R1131)-(P1131)*(T1131)))/W1131,0)</f>
        <v/>
      </c>
      <c r="AA1131">
        <f>LTP3!$D$7-X1131*LTP3!$D$6-Y1131*U1131-Z1131*V1131</f>
        <v/>
      </c>
      <c r="AB1131">
        <f>IF(AND(F1131,ABS(W1131)&gt;1E-12,Y1131&gt;0,Z1131&gt;0),AA1131,1E+300)</f>
        <v/>
      </c>
    </row>
    <row r="1132">
      <c r="A1132">
        <f>$B$3+$B$5*18</f>
        <v/>
      </c>
      <c r="B1132">
        <f>$B$3+$B$5*22</f>
        <v/>
      </c>
      <c r="C1132">
        <f>SUMPRODUCT(Calc!$K$3:$K$22*(Calc!$G$3:$G$22&lt;=A1132))</f>
        <v/>
      </c>
      <c r="D1132">
        <f>SUMPRODUCT(Calc!$K$3:$K$22*(Calc!$G$3:$G$22&gt;A1132)*(Calc!$G$3:$G$22&lt;B1132))</f>
        <v/>
      </c>
      <c r="E1132">
        <f>SUMPRODUCT(Calc!$K$3:$K$22*(Calc!$G$3:$G$22&gt;=B1132))</f>
        <v/>
      </c>
      <c r="F1132">
        <f>AND(k_n&gt;=5,B1132&gt;A1132+1E-9,C1132&gt;=2,D1132&gt;=1,E1132&gt;=2)</f>
        <v/>
      </c>
      <c r="G1132">
        <f>SUMPRODUCT(Calc!$K$3:$K$22*(Calc!$G$3:$G$22&gt;A1132)*(Calc!$G$3:$G$22-A1132))</f>
        <v/>
      </c>
      <c r="H1132">
        <f>SUMPRODUCT(Calc!$K$3:$K$22*(Calc!$G$3:$G$22&gt;B1132)*(Calc!$G$3:$G$22-B1132))</f>
        <v/>
      </c>
      <c r="I1132">
        <f>SUMPRODUCT(Calc!$K$3:$K$22*(Calc!$G$3:$G$22&gt;A1132)*(Calc!$G$3:$G$22-A1132)^2)</f>
        <v/>
      </c>
      <c r="J1132">
        <f>SUMPRODUCT(Calc!$K$3:$K$22*(Calc!$G$3:$G$22&gt;B1132)*(Calc!$G$3:$G$22-B1132)^2)</f>
        <v/>
      </c>
      <c r="K1132">
        <f>SUMPRODUCT(Calc!$K$3:$K$22*(Calc!$G$3:$G$22&gt;A1132)*(Calc!$G$3:$G$22-A1132)*(Calc!$G$3:$G$22&gt;B1132)*(Calc!$G$3:$G$22-B1132))</f>
        <v/>
      </c>
      <c r="L1132">
        <f>SUMPRODUCT(Calc!$K$3:$K$22*(Calc!$G$3:$G$22&gt;A1132)*(Calc!$G$3:$G$22-A1132)*Calc!$G$3:$G$22)</f>
        <v/>
      </c>
      <c r="M1132">
        <f>SUMPRODUCT(Calc!$K$3:$K$22*(Calc!$G$3:$G$22&gt;B1132)*(Calc!$G$3:$G$22-B1132)*Calc!$G$3:$G$22)</f>
        <v/>
      </c>
      <c r="N1132">
        <f>SUMPRODUCT(Calc!$K$3:$K$22*(Calc!$G$3:$G$22&gt;A1132)*(Calc!$G$3:$G$22-A1132)*Calc!$I$3:$I$22)</f>
        <v/>
      </c>
      <c r="O1132">
        <f>SUMPRODUCT(Calc!$K$3:$K$22*(Calc!$G$3:$G$22&gt;B1132)*(Calc!$G$3:$G$22-B1132)*Calc!$I$3:$I$22)</f>
        <v/>
      </c>
      <c r="P1132">
        <f>I1132-G1132^2/k_n</f>
        <v/>
      </c>
      <c r="Q1132">
        <f>J1132-H1132^2/k_n</f>
        <v/>
      </c>
      <c r="R1132">
        <f>K1132-G1132*H1132/k_n</f>
        <v/>
      </c>
      <c r="S1132">
        <f>L1132-LTP3!$D$3*G1132/k_n</f>
        <v/>
      </c>
      <c r="T1132">
        <f>M1132-LTP3!$D$3*H1132/k_n</f>
        <v/>
      </c>
      <c r="U1132">
        <f>N1132-G1132*LTP3!$D$4/k_n</f>
        <v/>
      </c>
      <c r="V1132">
        <f>O1132-H1132*LTP3!$D$4/k_n</f>
        <v/>
      </c>
      <c r="W1132">
        <f>((LTP3!$D$5)*((P1132)*(Q1132)-(R1132)*(R1132))-(S1132)*((S1132)*(Q1132)-(R1132)*(T1132))+(T1132)*((S1132)*(R1132)-(P1132)*(T1132)))</f>
        <v/>
      </c>
      <c r="X1132">
        <f>IF(ABS(W1132)&gt;1E-12,((LTP3!$D$6)*((P1132)*(Q1132)-(R1132)*(R1132))-(S1132)*((U1132)*(Q1132)-(R1132)*(V1132))+(T1132)*((U1132)*(R1132)-(P1132)*(V1132)))/W1132,0)</f>
        <v/>
      </c>
      <c r="Y1132">
        <f>IF(ABS(W1132)&gt;1E-12,((LTP3!$D$5)*((U1132)*(Q1132)-(R1132)*(V1132))-(LTP3!$D$6)*((S1132)*(Q1132)-(R1132)*(T1132))+(T1132)*((S1132)*(V1132)-(U1132)*(T1132)))/W1132,0)</f>
        <v/>
      </c>
      <c r="Z1132">
        <f>IF(ABS(W1132)&gt;1E-12,((LTP3!$D$5)*((P1132)*(V1132)-(U1132)*(R1132))-(S1132)*((S1132)*(V1132)-(U1132)*(T1132))+(LTP3!$D$6)*((S1132)*(R1132)-(P1132)*(T1132)))/W1132,0)</f>
        <v/>
      </c>
      <c r="AA1132">
        <f>LTP3!$D$7-X1132*LTP3!$D$6-Y1132*U1132-Z1132*V1132</f>
        <v/>
      </c>
      <c r="AB1132">
        <f>IF(AND(F1132,ABS(W1132)&gt;1E-12,Y1132&gt;0,Z1132&gt;0),AA1132,1E+300)</f>
        <v/>
      </c>
    </row>
    <row r="1133">
      <c r="A1133">
        <f>$B$3+$B$5*18</f>
        <v/>
      </c>
      <c r="B1133">
        <f>$B$3+$B$5*23</f>
        <v/>
      </c>
      <c r="C1133">
        <f>SUMPRODUCT(Calc!$K$3:$K$22*(Calc!$G$3:$G$22&lt;=A1133))</f>
        <v/>
      </c>
      <c r="D1133">
        <f>SUMPRODUCT(Calc!$K$3:$K$22*(Calc!$G$3:$G$22&gt;A1133)*(Calc!$G$3:$G$22&lt;B1133))</f>
        <v/>
      </c>
      <c r="E1133">
        <f>SUMPRODUCT(Calc!$K$3:$K$22*(Calc!$G$3:$G$22&gt;=B1133))</f>
        <v/>
      </c>
      <c r="F1133">
        <f>AND(k_n&gt;=5,B1133&gt;A1133+1E-9,C1133&gt;=2,D1133&gt;=1,E1133&gt;=2)</f>
        <v/>
      </c>
      <c r="G1133">
        <f>SUMPRODUCT(Calc!$K$3:$K$22*(Calc!$G$3:$G$22&gt;A1133)*(Calc!$G$3:$G$22-A1133))</f>
        <v/>
      </c>
      <c r="H1133">
        <f>SUMPRODUCT(Calc!$K$3:$K$22*(Calc!$G$3:$G$22&gt;B1133)*(Calc!$G$3:$G$22-B1133))</f>
        <v/>
      </c>
      <c r="I1133">
        <f>SUMPRODUCT(Calc!$K$3:$K$22*(Calc!$G$3:$G$22&gt;A1133)*(Calc!$G$3:$G$22-A1133)^2)</f>
        <v/>
      </c>
      <c r="J1133">
        <f>SUMPRODUCT(Calc!$K$3:$K$22*(Calc!$G$3:$G$22&gt;B1133)*(Calc!$G$3:$G$22-B1133)^2)</f>
        <v/>
      </c>
      <c r="K1133">
        <f>SUMPRODUCT(Calc!$K$3:$K$22*(Calc!$G$3:$G$22&gt;A1133)*(Calc!$G$3:$G$22-A1133)*(Calc!$G$3:$G$22&gt;B1133)*(Calc!$G$3:$G$22-B1133))</f>
        <v/>
      </c>
      <c r="L1133">
        <f>SUMPRODUCT(Calc!$K$3:$K$22*(Calc!$G$3:$G$22&gt;A1133)*(Calc!$G$3:$G$22-A1133)*Calc!$G$3:$G$22)</f>
        <v/>
      </c>
      <c r="M1133">
        <f>SUMPRODUCT(Calc!$K$3:$K$22*(Calc!$G$3:$G$22&gt;B1133)*(Calc!$G$3:$G$22-B1133)*Calc!$G$3:$G$22)</f>
        <v/>
      </c>
      <c r="N1133">
        <f>SUMPRODUCT(Calc!$K$3:$K$22*(Calc!$G$3:$G$22&gt;A1133)*(Calc!$G$3:$G$22-A1133)*Calc!$I$3:$I$22)</f>
        <v/>
      </c>
      <c r="O1133">
        <f>SUMPRODUCT(Calc!$K$3:$K$22*(Calc!$G$3:$G$22&gt;B1133)*(Calc!$G$3:$G$22-B1133)*Calc!$I$3:$I$22)</f>
        <v/>
      </c>
      <c r="P1133">
        <f>I1133-G1133^2/k_n</f>
        <v/>
      </c>
      <c r="Q1133">
        <f>J1133-H1133^2/k_n</f>
        <v/>
      </c>
      <c r="R1133">
        <f>K1133-G1133*H1133/k_n</f>
        <v/>
      </c>
      <c r="S1133">
        <f>L1133-LTP3!$D$3*G1133/k_n</f>
        <v/>
      </c>
      <c r="T1133">
        <f>M1133-LTP3!$D$3*H1133/k_n</f>
        <v/>
      </c>
      <c r="U1133">
        <f>N1133-G1133*LTP3!$D$4/k_n</f>
        <v/>
      </c>
      <c r="V1133">
        <f>O1133-H1133*LTP3!$D$4/k_n</f>
        <v/>
      </c>
      <c r="W1133">
        <f>((LTP3!$D$5)*((P1133)*(Q1133)-(R1133)*(R1133))-(S1133)*((S1133)*(Q1133)-(R1133)*(T1133))+(T1133)*((S1133)*(R1133)-(P1133)*(T1133)))</f>
        <v/>
      </c>
      <c r="X1133">
        <f>IF(ABS(W1133)&gt;1E-12,((LTP3!$D$6)*((P1133)*(Q1133)-(R1133)*(R1133))-(S1133)*((U1133)*(Q1133)-(R1133)*(V1133))+(T1133)*((U1133)*(R1133)-(P1133)*(V1133)))/W1133,0)</f>
        <v/>
      </c>
      <c r="Y1133">
        <f>IF(ABS(W1133)&gt;1E-12,((LTP3!$D$5)*((U1133)*(Q1133)-(R1133)*(V1133))-(LTP3!$D$6)*((S1133)*(Q1133)-(R1133)*(T1133))+(T1133)*((S1133)*(V1133)-(U1133)*(T1133)))/W1133,0)</f>
        <v/>
      </c>
      <c r="Z1133">
        <f>IF(ABS(W1133)&gt;1E-12,((LTP3!$D$5)*((P1133)*(V1133)-(U1133)*(R1133))-(S1133)*((S1133)*(V1133)-(U1133)*(T1133))+(LTP3!$D$6)*((S1133)*(R1133)-(P1133)*(T1133)))/W1133,0)</f>
        <v/>
      </c>
      <c r="AA1133">
        <f>LTP3!$D$7-X1133*LTP3!$D$6-Y1133*U1133-Z1133*V1133</f>
        <v/>
      </c>
      <c r="AB1133">
        <f>IF(AND(F1133,ABS(W1133)&gt;1E-12,Y1133&gt;0,Z1133&gt;0),AA1133,1E+300)</f>
        <v/>
      </c>
    </row>
    <row r="1134">
      <c r="A1134">
        <f>$B$3+$B$5*18</f>
        <v/>
      </c>
      <c r="B1134">
        <f>$B$3+$B$5*24</f>
        <v/>
      </c>
      <c r="C1134">
        <f>SUMPRODUCT(Calc!$K$3:$K$22*(Calc!$G$3:$G$22&lt;=A1134))</f>
        <v/>
      </c>
      <c r="D1134">
        <f>SUMPRODUCT(Calc!$K$3:$K$22*(Calc!$G$3:$G$22&gt;A1134)*(Calc!$G$3:$G$22&lt;B1134))</f>
        <v/>
      </c>
      <c r="E1134">
        <f>SUMPRODUCT(Calc!$K$3:$K$22*(Calc!$G$3:$G$22&gt;=B1134))</f>
        <v/>
      </c>
      <c r="F1134">
        <f>AND(k_n&gt;=5,B1134&gt;A1134+1E-9,C1134&gt;=2,D1134&gt;=1,E1134&gt;=2)</f>
        <v/>
      </c>
      <c r="G1134">
        <f>SUMPRODUCT(Calc!$K$3:$K$22*(Calc!$G$3:$G$22&gt;A1134)*(Calc!$G$3:$G$22-A1134))</f>
        <v/>
      </c>
      <c r="H1134">
        <f>SUMPRODUCT(Calc!$K$3:$K$22*(Calc!$G$3:$G$22&gt;B1134)*(Calc!$G$3:$G$22-B1134))</f>
        <v/>
      </c>
      <c r="I1134">
        <f>SUMPRODUCT(Calc!$K$3:$K$22*(Calc!$G$3:$G$22&gt;A1134)*(Calc!$G$3:$G$22-A1134)^2)</f>
        <v/>
      </c>
      <c r="J1134">
        <f>SUMPRODUCT(Calc!$K$3:$K$22*(Calc!$G$3:$G$22&gt;B1134)*(Calc!$G$3:$G$22-B1134)^2)</f>
        <v/>
      </c>
      <c r="K1134">
        <f>SUMPRODUCT(Calc!$K$3:$K$22*(Calc!$G$3:$G$22&gt;A1134)*(Calc!$G$3:$G$22-A1134)*(Calc!$G$3:$G$22&gt;B1134)*(Calc!$G$3:$G$22-B1134))</f>
        <v/>
      </c>
      <c r="L1134">
        <f>SUMPRODUCT(Calc!$K$3:$K$22*(Calc!$G$3:$G$22&gt;A1134)*(Calc!$G$3:$G$22-A1134)*Calc!$G$3:$G$22)</f>
        <v/>
      </c>
      <c r="M1134">
        <f>SUMPRODUCT(Calc!$K$3:$K$22*(Calc!$G$3:$G$22&gt;B1134)*(Calc!$G$3:$G$22-B1134)*Calc!$G$3:$G$22)</f>
        <v/>
      </c>
      <c r="N1134">
        <f>SUMPRODUCT(Calc!$K$3:$K$22*(Calc!$G$3:$G$22&gt;A1134)*(Calc!$G$3:$G$22-A1134)*Calc!$I$3:$I$22)</f>
        <v/>
      </c>
      <c r="O1134">
        <f>SUMPRODUCT(Calc!$K$3:$K$22*(Calc!$G$3:$G$22&gt;B1134)*(Calc!$G$3:$G$22-B1134)*Calc!$I$3:$I$22)</f>
        <v/>
      </c>
      <c r="P1134">
        <f>I1134-G1134^2/k_n</f>
        <v/>
      </c>
      <c r="Q1134">
        <f>J1134-H1134^2/k_n</f>
        <v/>
      </c>
      <c r="R1134">
        <f>K1134-G1134*H1134/k_n</f>
        <v/>
      </c>
      <c r="S1134">
        <f>L1134-LTP3!$D$3*G1134/k_n</f>
        <v/>
      </c>
      <c r="T1134">
        <f>M1134-LTP3!$D$3*H1134/k_n</f>
        <v/>
      </c>
      <c r="U1134">
        <f>N1134-G1134*LTP3!$D$4/k_n</f>
        <v/>
      </c>
      <c r="V1134">
        <f>O1134-H1134*LTP3!$D$4/k_n</f>
        <v/>
      </c>
      <c r="W1134">
        <f>((LTP3!$D$5)*((P1134)*(Q1134)-(R1134)*(R1134))-(S1134)*((S1134)*(Q1134)-(R1134)*(T1134))+(T1134)*((S1134)*(R1134)-(P1134)*(T1134)))</f>
        <v/>
      </c>
      <c r="X1134">
        <f>IF(ABS(W1134)&gt;1E-12,((LTP3!$D$6)*((P1134)*(Q1134)-(R1134)*(R1134))-(S1134)*((U1134)*(Q1134)-(R1134)*(V1134))+(T1134)*((U1134)*(R1134)-(P1134)*(V1134)))/W1134,0)</f>
        <v/>
      </c>
      <c r="Y1134">
        <f>IF(ABS(W1134)&gt;1E-12,((LTP3!$D$5)*((U1134)*(Q1134)-(R1134)*(V1134))-(LTP3!$D$6)*((S1134)*(Q1134)-(R1134)*(T1134))+(T1134)*((S1134)*(V1134)-(U1134)*(T1134)))/W1134,0)</f>
        <v/>
      </c>
      <c r="Z1134">
        <f>IF(ABS(W1134)&gt;1E-12,((LTP3!$D$5)*((P1134)*(V1134)-(U1134)*(R1134))-(S1134)*((S1134)*(V1134)-(U1134)*(T1134))+(LTP3!$D$6)*((S1134)*(R1134)-(P1134)*(T1134)))/W1134,0)</f>
        <v/>
      </c>
      <c r="AA1134">
        <f>LTP3!$D$7-X1134*LTP3!$D$6-Y1134*U1134-Z1134*V1134</f>
        <v/>
      </c>
      <c r="AB1134">
        <f>IF(AND(F1134,ABS(W1134)&gt;1E-12,Y1134&gt;0,Z1134&gt;0),AA1134,1E+300)</f>
        <v/>
      </c>
    </row>
    <row r="1135">
      <c r="A1135">
        <f>$B$3+$B$5*18</f>
        <v/>
      </c>
      <c r="B1135">
        <f>$B$3+$B$5*25</f>
        <v/>
      </c>
      <c r="C1135">
        <f>SUMPRODUCT(Calc!$K$3:$K$22*(Calc!$G$3:$G$22&lt;=A1135))</f>
        <v/>
      </c>
      <c r="D1135">
        <f>SUMPRODUCT(Calc!$K$3:$K$22*(Calc!$G$3:$G$22&gt;A1135)*(Calc!$G$3:$G$22&lt;B1135))</f>
        <v/>
      </c>
      <c r="E1135">
        <f>SUMPRODUCT(Calc!$K$3:$K$22*(Calc!$G$3:$G$22&gt;=B1135))</f>
        <v/>
      </c>
      <c r="F1135">
        <f>AND(k_n&gt;=5,B1135&gt;A1135+1E-9,C1135&gt;=2,D1135&gt;=1,E1135&gt;=2)</f>
        <v/>
      </c>
      <c r="G1135">
        <f>SUMPRODUCT(Calc!$K$3:$K$22*(Calc!$G$3:$G$22&gt;A1135)*(Calc!$G$3:$G$22-A1135))</f>
        <v/>
      </c>
      <c r="H1135">
        <f>SUMPRODUCT(Calc!$K$3:$K$22*(Calc!$G$3:$G$22&gt;B1135)*(Calc!$G$3:$G$22-B1135))</f>
        <v/>
      </c>
      <c r="I1135">
        <f>SUMPRODUCT(Calc!$K$3:$K$22*(Calc!$G$3:$G$22&gt;A1135)*(Calc!$G$3:$G$22-A1135)^2)</f>
        <v/>
      </c>
      <c r="J1135">
        <f>SUMPRODUCT(Calc!$K$3:$K$22*(Calc!$G$3:$G$22&gt;B1135)*(Calc!$G$3:$G$22-B1135)^2)</f>
        <v/>
      </c>
      <c r="K1135">
        <f>SUMPRODUCT(Calc!$K$3:$K$22*(Calc!$G$3:$G$22&gt;A1135)*(Calc!$G$3:$G$22-A1135)*(Calc!$G$3:$G$22&gt;B1135)*(Calc!$G$3:$G$22-B1135))</f>
        <v/>
      </c>
      <c r="L1135">
        <f>SUMPRODUCT(Calc!$K$3:$K$22*(Calc!$G$3:$G$22&gt;A1135)*(Calc!$G$3:$G$22-A1135)*Calc!$G$3:$G$22)</f>
        <v/>
      </c>
      <c r="M1135">
        <f>SUMPRODUCT(Calc!$K$3:$K$22*(Calc!$G$3:$G$22&gt;B1135)*(Calc!$G$3:$G$22-B1135)*Calc!$G$3:$G$22)</f>
        <v/>
      </c>
      <c r="N1135">
        <f>SUMPRODUCT(Calc!$K$3:$K$22*(Calc!$G$3:$G$22&gt;A1135)*(Calc!$G$3:$G$22-A1135)*Calc!$I$3:$I$22)</f>
        <v/>
      </c>
      <c r="O1135">
        <f>SUMPRODUCT(Calc!$K$3:$K$22*(Calc!$G$3:$G$22&gt;B1135)*(Calc!$G$3:$G$22-B1135)*Calc!$I$3:$I$22)</f>
        <v/>
      </c>
      <c r="P1135">
        <f>I1135-G1135^2/k_n</f>
        <v/>
      </c>
      <c r="Q1135">
        <f>J1135-H1135^2/k_n</f>
        <v/>
      </c>
      <c r="R1135">
        <f>K1135-G1135*H1135/k_n</f>
        <v/>
      </c>
      <c r="S1135">
        <f>L1135-LTP3!$D$3*G1135/k_n</f>
        <v/>
      </c>
      <c r="T1135">
        <f>M1135-LTP3!$D$3*H1135/k_n</f>
        <v/>
      </c>
      <c r="U1135">
        <f>N1135-G1135*LTP3!$D$4/k_n</f>
        <v/>
      </c>
      <c r="V1135">
        <f>O1135-H1135*LTP3!$D$4/k_n</f>
        <v/>
      </c>
      <c r="W1135">
        <f>((LTP3!$D$5)*((P1135)*(Q1135)-(R1135)*(R1135))-(S1135)*((S1135)*(Q1135)-(R1135)*(T1135))+(T1135)*((S1135)*(R1135)-(P1135)*(T1135)))</f>
        <v/>
      </c>
      <c r="X1135">
        <f>IF(ABS(W1135)&gt;1E-12,((LTP3!$D$6)*((P1135)*(Q1135)-(R1135)*(R1135))-(S1135)*((U1135)*(Q1135)-(R1135)*(V1135))+(T1135)*((U1135)*(R1135)-(P1135)*(V1135)))/W1135,0)</f>
        <v/>
      </c>
      <c r="Y1135">
        <f>IF(ABS(W1135)&gt;1E-12,((LTP3!$D$5)*((U1135)*(Q1135)-(R1135)*(V1135))-(LTP3!$D$6)*((S1135)*(Q1135)-(R1135)*(T1135))+(T1135)*((S1135)*(V1135)-(U1135)*(T1135)))/W1135,0)</f>
        <v/>
      </c>
      <c r="Z1135">
        <f>IF(ABS(W1135)&gt;1E-12,((LTP3!$D$5)*((P1135)*(V1135)-(U1135)*(R1135))-(S1135)*((S1135)*(V1135)-(U1135)*(T1135))+(LTP3!$D$6)*((S1135)*(R1135)-(P1135)*(T1135)))/W1135,0)</f>
        <v/>
      </c>
      <c r="AA1135">
        <f>LTP3!$D$7-X1135*LTP3!$D$6-Y1135*U1135-Z1135*V1135</f>
        <v/>
      </c>
      <c r="AB1135">
        <f>IF(AND(F1135,ABS(W1135)&gt;1E-12,Y1135&gt;0,Z1135&gt;0),AA1135,1E+300)</f>
        <v/>
      </c>
    </row>
    <row r="1136">
      <c r="A1136">
        <f>$B$3+$B$5*18</f>
        <v/>
      </c>
      <c r="B1136">
        <f>$B$3+$B$5*26</f>
        <v/>
      </c>
      <c r="C1136">
        <f>SUMPRODUCT(Calc!$K$3:$K$22*(Calc!$G$3:$G$22&lt;=A1136))</f>
        <v/>
      </c>
      <c r="D1136">
        <f>SUMPRODUCT(Calc!$K$3:$K$22*(Calc!$G$3:$G$22&gt;A1136)*(Calc!$G$3:$G$22&lt;B1136))</f>
        <v/>
      </c>
      <c r="E1136">
        <f>SUMPRODUCT(Calc!$K$3:$K$22*(Calc!$G$3:$G$22&gt;=B1136))</f>
        <v/>
      </c>
      <c r="F1136">
        <f>AND(k_n&gt;=5,B1136&gt;A1136+1E-9,C1136&gt;=2,D1136&gt;=1,E1136&gt;=2)</f>
        <v/>
      </c>
      <c r="G1136">
        <f>SUMPRODUCT(Calc!$K$3:$K$22*(Calc!$G$3:$G$22&gt;A1136)*(Calc!$G$3:$G$22-A1136))</f>
        <v/>
      </c>
      <c r="H1136">
        <f>SUMPRODUCT(Calc!$K$3:$K$22*(Calc!$G$3:$G$22&gt;B1136)*(Calc!$G$3:$G$22-B1136))</f>
        <v/>
      </c>
      <c r="I1136">
        <f>SUMPRODUCT(Calc!$K$3:$K$22*(Calc!$G$3:$G$22&gt;A1136)*(Calc!$G$3:$G$22-A1136)^2)</f>
        <v/>
      </c>
      <c r="J1136">
        <f>SUMPRODUCT(Calc!$K$3:$K$22*(Calc!$G$3:$G$22&gt;B1136)*(Calc!$G$3:$G$22-B1136)^2)</f>
        <v/>
      </c>
      <c r="K1136">
        <f>SUMPRODUCT(Calc!$K$3:$K$22*(Calc!$G$3:$G$22&gt;A1136)*(Calc!$G$3:$G$22-A1136)*(Calc!$G$3:$G$22&gt;B1136)*(Calc!$G$3:$G$22-B1136))</f>
        <v/>
      </c>
      <c r="L1136">
        <f>SUMPRODUCT(Calc!$K$3:$K$22*(Calc!$G$3:$G$22&gt;A1136)*(Calc!$G$3:$G$22-A1136)*Calc!$G$3:$G$22)</f>
        <v/>
      </c>
      <c r="M1136">
        <f>SUMPRODUCT(Calc!$K$3:$K$22*(Calc!$G$3:$G$22&gt;B1136)*(Calc!$G$3:$G$22-B1136)*Calc!$G$3:$G$22)</f>
        <v/>
      </c>
      <c r="N1136">
        <f>SUMPRODUCT(Calc!$K$3:$K$22*(Calc!$G$3:$G$22&gt;A1136)*(Calc!$G$3:$G$22-A1136)*Calc!$I$3:$I$22)</f>
        <v/>
      </c>
      <c r="O1136">
        <f>SUMPRODUCT(Calc!$K$3:$K$22*(Calc!$G$3:$G$22&gt;B1136)*(Calc!$G$3:$G$22-B1136)*Calc!$I$3:$I$22)</f>
        <v/>
      </c>
      <c r="P1136">
        <f>I1136-G1136^2/k_n</f>
        <v/>
      </c>
      <c r="Q1136">
        <f>J1136-H1136^2/k_n</f>
        <v/>
      </c>
      <c r="R1136">
        <f>K1136-G1136*H1136/k_n</f>
        <v/>
      </c>
      <c r="S1136">
        <f>L1136-LTP3!$D$3*G1136/k_n</f>
        <v/>
      </c>
      <c r="T1136">
        <f>M1136-LTP3!$D$3*H1136/k_n</f>
        <v/>
      </c>
      <c r="U1136">
        <f>N1136-G1136*LTP3!$D$4/k_n</f>
        <v/>
      </c>
      <c r="V1136">
        <f>O1136-H1136*LTP3!$D$4/k_n</f>
        <v/>
      </c>
      <c r="W1136">
        <f>((LTP3!$D$5)*((P1136)*(Q1136)-(R1136)*(R1136))-(S1136)*((S1136)*(Q1136)-(R1136)*(T1136))+(T1136)*((S1136)*(R1136)-(P1136)*(T1136)))</f>
        <v/>
      </c>
      <c r="X1136">
        <f>IF(ABS(W1136)&gt;1E-12,((LTP3!$D$6)*((P1136)*(Q1136)-(R1136)*(R1136))-(S1136)*((U1136)*(Q1136)-(R1136)*(V1136))+(T1136)*((U1136)*(R1136)-(P1136)*(V1136)))/W1136,0)</f>
        <v/>
      </c>
      <c r="Y1136">
        <f>IF(ABS(W1136)&gt;1E-12,((LTP3!$D$5)*((U1136)*(Q1136)-(R1136)*(V1136))-(LTP3!$D$6)*((S1136)*(Q1136)-(R1136)*(T1136))+(T1136)*((S1136)*(V1136)-(U1136)*(T1136)))/W1136,0)</f>
        <v/>
      </c>
      <c r="Z1136">
        <f>IF(ABS(W1136)&gt;1E-12,((LTP3!$D$5)*((P1136)*(V1136)-(U1136)*(R1136))-(S1136)*((S1136)*(V1136)-(U1136)*(T1136))+(LTP3!$D$6)*((S1136)*(R1136)-(P1136)*(T1136)))/W1136,0)</f>
        <v/>
      </c>
      <c r="AA1136">
        <f>LTP3!$D$7-X1136*LTP3!$D$6-Y1136*U1136-Z1136*V1136</f>
        <v/>
      </c>
      <c r="AB1136">
        <f>IF(AND(F1136,ABS(W1136)&gt;1E-12,Y1136&gt;0,Z1136&gt;0),AA1136,1E+300)</f>
        <v/>
      </c>
    </row>
    <row r="1137">
      <c r="A1137">
        <f>$B$3+$B$5*18</f>
        <v/>
      </c>
      <c r="B1137">
        <f>$B$3+$B$5*27</f>
        <v/>
      </c>
      <c r="C1137">
        <f>SUMPRODUCT(Calc!$K$3:$K$22*(Calc!$G$3:$G$22&lt;=A1137))</f>
        <v/>
      </c>
      <c r="D1137">
        <f>SUMPRODUCT(Calc!$K$3:$K$22*(Calc!$G$3:$G$22&gt;A1137)*(Calc!$G$3:$G$22&lt;B1137))</f>
        <v/>
      </c>
      <c r="E1137">
        <f>SUMPRODUCT(Calc!$K$3:$K$22*(Calc!$G$3:$G$22&gt;=B1137))</f>
        <v/>
      </c>
      <c r="F1137">
        <f>AND(k_n&gt;=5,B1137&gt;A1137+1E-9,C1137&gt;=2,D1137&gt;=1,E1137&gt;=2)</f>
        <v/>
      </c>
      <c r="G1137">
        <f>SUMPRODUCT(Calc!$K$3:$K$22*(Calc!$G$3:$G$22&gt;A1137)*(Calc!$G$3:$G$22-A1137))</f>
        <v/>
      </c>
      <c r="H1137">
        <f>SUMPRODUCT(Calc!$K$3:$K$22*(Calc!$G$3:$G$22&gt;B1137)*(Calc!$G$3:$G$22-B1137))</f>
        <v/>
      </c>
      <c r="I1137">
        <f>SUMPRODUCT(Calc!$K$3:$K$22*(Calc!$G$3:$G$22&gt;A1137)*(Calc!$G$3:$G$22-A1137)^2)</f>
        <v/>
      </c>
      <c r="J1137">
        <f>SUMPRODUCT(Calc!$K$3:$K$22*(Calc!$G$3:$G$22&gt;B1137)*(Calc!$G$3:$G$22-B1137)^2)</f>
        <v/>
      </c>
      <c r="K1137">
        <f>SUMPRODUCT(Calc!$K$3:$K$22*(Calc!$G$3:$G$22&gt;A1137)*(Calc!$G$3:$G$22-A1137)*(Calc!$G$3:$G$22&gt;B1137)*(Calc!$G$3:$G$22-B1137))</f>
        <v/>
      </c>
      <c r="L1137">
        <f>SUMPRODUCT(Calc!$K$3:$K$22*(Calc!$G$3:$G$22&gt;A1137)*(Calc!$G$3:$G$22-A1137)*Calc!$G$3:$G$22)</f>
        <v/>
      </c>
      <c r="M1137">
        <f>SUMPRODUCT(Calc!$K$3:$K$22*(Calc!$G$3:$G$22&gt;B1137)*(Calc!$G$3:$G$22-B1137)*Calc!$G$3:$G$22)</f>
        <v/>
      </c>
      <c r="N1137">
        <f>SUMPRODUCT(Calc!$K$3:$K$22*(Calc!$G$3:$G$22&gt;A1137)*(Calc!$G$3:$G$22-A1137)*Calc!$I$3:$I$22)</f>
        <v/>
      </c>
      <c r="O1137">
        <f>SUMPRODUCT(Calc!$K$3:$K$22*(Calc!$G$3:$G$22&gt;B1137)*(Calc!$G$3:$G$22-B1137)*Calc!$I$3:$I$22)</f>
        <v/>
      </c>
      <c r="P1137">
        <f>I1137-G1137^2/k_n</f>
        <v/>
      </c>
      <c r="Q1137">
        <f>J1137-H1137^2/k_n</f>
        <v/>
      </c>
      <c r="R1137">
        <f>K1137-G1137*H1137/k_n</f>
        <v/>
      </c>
      <c r="S1137">
        <f>L1137-LTP3!$D$3*G1137/k_n</f>
        <v/>
      </c>
      <c r="T1137">
        <f>M1137-LTP3!$D$3*H1137/k_n</f>
        <v/>
      </c>
      <c r="U1137">
        <f>N1137-G1137*LTP3!$D$4/k_n</f>
        <v/>
      </c>
      <c r="V1137">
        <f>O1137-H1137*LTP3!$D$4/k_n</f>
        <v/>
      </c>
      <c r="W1137">
        <f>((LTP3!$D$5)*((P1137)*(Q1137)-(R1137)*(R1137))-(S1137)*((S1137)*(Q1137)-(R1137)*(T1137))+(T1137)*((S1137)*(R1137)-(P1137)*(T1137)))</f>
        <v/>
      </c>
      <c r="X1137">
        <f>IF(ABS(W1137)&gt;1E-12,((LTP3!$D$6)*((P1137)*(Q1137)-(R1137)*(R1137))-(S1137)*((U1137)*(Q1137)-(R1137)*(V1137))+(T1137)*((U1137)*(R1137)-(P1137)*(V1137)))/W1137,0)</f>
        <v/>
      </c>
      <c r="Y1137">
        <f>IF(ABS(W1137)&gt;1E-12,((LTP3!$D$5)*((U1137)*(Q1137)-(R1137)*(V1137))-(LTP3!$D$6)*((S1137)*(Q1137)-(R1137)*(T1137))+(T1137)*((S1137)*(V1137)-(U1137)*(T1137)))/W1137,0)</f>
        <v/>
      </c>
      <c r="Z1137">
        <f>IF(ABS(W1137)&gt;1E-12,((LTP3!$D$5)*((P1137)*(V1137)-(U1137)*(R1137))-(S1137)*((S1137)*(V1137)-(U1137)*(T1137))+(LTP3!$D$6)*((S1137)*(R1137)-(P1137)*(T1137)))/W1137,0)</f>
        <v/>
      </c>
      <c r="AA1137">
        <f>LTP3!$D$7-X1137*LTP3!$D$6-Y1137*U1137-Z1137*V1137</f>
        <v/>
      </c>
      <c r="AB1137">
        <f>IF(AND(F1137,ABS(W1137)&gt;1E-12,Y1137&gt;0,Z1137&gt;0),AA1137,1E+300)</f>
        <v/>
      </c>
    </row>
    <row r="1138">
      <c r="A1138">
        <f>$B$3+$B$5*18</f>
        <v/>
      </c>
      <c r="B1138">
        <f>$B$3+$B$5*28</f>
        <v/>
      </c>
      <c r="C1138">
        <f>SUMPRODUCT(Calc!$K$3:$K$22*(Calc!$G$3:$G$22&lt;=A1138))</f>
        <v/>
      </c>
      <c r="D1138">
        <f>SUMPRODUCT(Calc!$K$3:$K$22*(Calc!$G$3:$G$22&gt;A1138)*(Calc!$G$3:$G$22&lt;B1138))</f>
        <v/>
      </c>
      <c r="E1138">
        <f>SUMPRODUCT(Calc!$K$3:$K$22*(Calc!$G$3:$G$22&gt;=B1138))</f>
        <v/>
      </c>
      <c r="F1138">
        <f>AND(k_n&gt;=5,B1138&gt;A1138+1E-9,C1138&gt;=2,D1138&gt;=1,E1138&gt;=2)</f>
        <v/>
      </c>
      <c r="G1138">
        <f>SUMPRODUCT(Calc!$K$3:$K$22*(Calc!$G$3:$G$22&gt;A1138)*(Calc!$G$3:$G$22-A1138))</f>
        <v/>
      </c>
      <c r="H1138">
        <f>SUMPRODUCT(Calc!$K$3:$K$22*(Calc!$G$3:$G$22&gt;B1138)*(Calc!$G$3:$G$22-B1138))</f>
        <v/>
      </c>
      <c r="I1138">
        <f>SUMPRODUCT(Calc!$K$3:$K$22*(Calc!$G$3:$G$22&gt;A1138)*(Calc!$G$3:$G$22-A1138)^2)</f>
        <v/>
      </c>
      <c r="J1138">
        <f>SUMPRODUCT(Calc!$K$3:$K$22*(Calc!$G$3:$G$22&gt;B1138)*(Calc!$G$3:$G$22-B1138)^2)</f>
        <v/>
      </c>
      <c r="K1138">
        <f>SUMPRODUCT(Calc!$K$3:$K$22*(Calc!$G$3:$G$22&gt;A1138)*(Calc!$G$3:$G$22-A1138)*(Calc!$G$3:$G$22&gt;B1138)*(Calc!$G$3:$G$22-B1138))</f>
        <v/>
      </c>
      <c r="L1138">
        <f>SUMPRODUCT(Calc!$K$3:$K$22*(Calc!$G$3:$G$22&gt;A1138)*(Calc!$G$3:$G$22-A1138)*Calc!$G$3:$G$22)</f>
        <v/>
      </c>
      <c r="M1138">
        <f>SUMPRODUCT(Calc!$K$3:$K$22*(Calc!$G$3:$G$22&gt;B1138)*(Calc!$G$3:$G$22-B1138)*Calc!$G$3:$G$22)</f>
        <v/>
      </c>
      <c r="N1138">
        <f>SUMPRODUCT(Calc!$K$3:$K$22*(Calc!$G$3:$G$22&gt;A1138)*(Calc!$G$3:$G$22-A1138)*Calc!$I$3:$I$22)</f>
        <v/>
      </c>
      <c r="O1138">
        <f>SUMPRODUCT(Calc!$K$3:$K$22*(Calc!$G$3:$G$22&gt;B1138)*(Calc!$G$3:$G$22-B1138)*Calc!$I$3:$I$22)</f>
        <v/>
      </c>
      <c r="P1138">
        <f>I1138-G1138^2/k_n</f>
        <v/>
      </c>
      <c r="Q1138">
        <f>J1138-H1138^2/k_n</f>
        <v/>
      </c>
      <c r="R1138">
        <f>K1138-G1138*H1138/k_n</f>
        <v/>
      </c>
      <c r="S1138">
        <f>L1138-LTP3!$D$3*G1138/k_n</f>
        <v/>
      </c>
      <c r="T1138">
        <f>M1138-LTP3!$D$3*H1138/k_n</f>
        <v/>
      </c>
      <c r="U1138">
        <f>N1138-G1138*LTP3!$D$4/k_n</f>
        <v/>
      </c>
      <c r="V1138">
        <f>O1138-H1138*LTP3!$D$4/k_n</f>
        <v/>
      </c>
      <c r="W1138">
        <f>((LTP3!$D$5)*((P1138)*(Q1138)-(R1138)*(R1138))-(S1138)*((S1138)*(Q1138)-(R1138)*(T1138))+(T1138)*((S1138)*(R1138)-(P1138)*(T1138)))</f>
        <v/>
      </c>
      <c r="X1138">
        <f>IF(ABS(W1138)&gt;1E-12,((LTP3!$D$6)*((P1138)*(Q1138)-(R1138)*(R1138))-(S1138)*((U1138)*(Q1138)-(R1138)*(V1138))+(T1138)*((U1138)*(R1138)-(P1138)*(V1138)))/W1138,0)</f>
        <v/>
      </c>
      <c r="Y1138">
        <f>IF(ABS(W1138)&gt;1E-12,((LTP3!$D$5)*((U1138)*(Q1138)-(R1138)*(V1138))-(LTP3!$D$6)*((S1138)*(Q1138)-(R1138)*(T1138))+(T1138)*((S1138)*(V1138)-(U1138)*(T1138)))/W1138,0)</f>
        <v/>
      </c>
      <c r="Z1138">
        <f>IF(ABS(W1138)&gt;1E-12,((LTP3!$D$5)*((P1138)*(V1138)-(U1138)*(R1138))-(S1138)*((S1138)*(V1138)-(U1138)*(T1138))+(LTP3!$D$6)*((S1138)*(R1138)-(P1138)*(T1138)))/W1138,0)</f>
        <v/>
      </c>
      <c r="AA1138">
        <f>LTP3!$D$7-X1138*LTP3!$D$6-Y1138*U1138-Z1138*V1138</f>
        <v/>
      </c>
      <c r="AB1138">
        <f>IF(AND(F1138,ABS(W1138)&gt;1E-12,Y1138&gt;0,Z1138&gt;0),AA1138,1E+300)</f>
        <v/>
      </c>
    </row>
    <row r="1139">
      <c r="A1139">
        <f>$B$3+$B$5*18</f>
        <v/>
      </c>
      <c r="B1139">
        <f>$B$3+$B$5*29</f>
        <v/>
      </c>
      <c r="C1139">
        <f>SUMPRODUCT(Calc!$K$3:$K$22*(Calc!$G$3:$G$22&lt;=A1139))</f>
        <v/>
      </c>
      <c r="D1139">
        <f>SUMPRODUCT(Calc!$K$3:$K$22*(Calc!$G$3:$G$22&gt;A1139)*(Calc!$G$3:$G$22&lt;B1139))</f>
        <v/>
      </c>
      <c r="E1139">
        <f>SUMPRODUCT(Calc!$K$3:$K$22*(Calc!$G$3:$G$22&gt;=B1139))</f>
        <v/>
      </c>
      <c r="F1139">
        <f>AND(k_n&gt;=5,B1139&gt;A1139+1E-9,C1139&gt;=2,D1139&gt;=1,E1139&gt;=2)</f>
        <v/>
      </c>
      <c r="G1139">
        <f>SUMPRODUCT(Calc!$K$3:$K$22*(Calc!$G$3:$G$22&gt;A1139)*(Calc!$G$3:$G$22-A1139))</f>
        <v/>
      </c>
      <c r="H1139">
        <f>SUMPRODUCT(Calc!$K$3:$K$22*(Calc!$G$3:$G$22&gt;B1139)*(Calc!$G$3:$G$22-B1139))</f>
        <v/>
      </c>
      <c r="I1139">
        <f>SUMPRODUCT(Calc!$K$3:$K$22*(Calc!$G$3:$G$22&gt;A1139)*(Calc!$G$3:$G$22-A1139)^2)</f>
        <v/>
      </c>
      <c r="J1139">
        <f>SUMPRODUCT(Calc!$K$3:$K$22*(Calc!$G$3:$G$22&gt;B1139)*(Calc!$G$3:$G$22-B1139)^2)</f>
        <v/>
      </c>
      <c r="K1139">
        <f>SUMPRODUCT(Calc!$K$3:$K$22*(Calc!$G$3:$G$22&gt;A1139)*(Calc!$G$3:$G$22-A1139)*(Calc!$G$3:$G$22&gt;B1139)*(Calc!$G$3:$G$22-B1139))</f>
        <v/>
      </c>
      <c r="L1139">
        <f>SUMPRODUCT(Calc!$K$3:$K$22*(Calc!$G$3:$G$22&gt;A1139)*(Calc!$G$3:$G$22-A1139)*Calc!$G$3:$G$22)</f>
        <v/>
      </c>
      <c r="M1139">
        <f>SUMPRODUCT(Calc!$K$3:$K$22*(Calc!$G$3:$G$22&gt;B1139)*(Calc!$G$3:$G$22-B1139)*Calc!$G$3:$G$22)</f>
        <v/>
      </c>
      <c r="N1139">
        <f>SUMPRODUCT(Calc!$K$3:$K$22*(Calc!$G$3:$G$22&gt;A1139)*(Calc!$G$3:$G$22-A1139)*Calc!$I$3:$I$22)</f>
        <v/>
      </c>
      <c r="O1139">
        <f>SUMPRODUCT(Calc!$K$3:$K$22*(Calc!$G$3:$G$22&gt;B1139)*(Calc!$G$3:$G$22-B1139)*Calc!$I$3:$I$22)</f>
        <v/>
      </c>
      <c r="P1139">
        <f>I1139-G1139^2/k_n</f>
        <v/>
      </c>
      <c r="Q1139">
        <f>J1139-H1139^2/k_n</f>
        <v/>
      </c>
      <c r="R1139">
        <f>K1139-G1139*H1139/k_n</f>
        <v/>
      </c>
      <c r="S1139">
        <f>L1139-LTP3!$D$3*G1139/k_n</f>
        <v/>
      </c>
      <c r="T1139">
        <f>M1139-LTP3!$D$3*H1139/k_n</f>
        <v/>
      </c>
      <c r="U1139">
        <f>N1139-G1139*LTP3!$D$4/k_n</f>
        <v/>
      </c>
      <c r="V1139">
        <f>O1139-H1139*LTP3!$D$4/k_n</f>
        <v/>
      </c>
      <c r="W1139">
        <f>((LTP3!$D$5)*((P1139)*(Q1139)-(R1139)*(R1139))-(S1139)*((S1139)*(Q1139)-(R1139)*(T1139))+(T1139)*((S1139)*(R1139)-(P1139)*(T1139)))</f>
        <v/>
      </c>
      <c r="X1139">
        <f>IF(ABS(W1139)&gt;1E-12,((LTP3!$D$6)*((P1139)*(Q1139)-(R1139)*(R1139))-(S1139)*((U1139)*(Q1139)-(R1139)*(V1139))+(T1139)*((U1139)*(R1139)-(P1139)*(V1139)))/W1139,0)</f>
        <v/>
      </c>
      <c r="Y1139">
        <f>IF(ABS(W1139)&gt;1E-12,((LTP3!$D$5)*((U1139)*(Q1139)-(R1139)*(V1139))-(LTP3!$D$6)*((S1139)*(Q1139)-(R1139)*(T1139))+(T1139)*((S1139)*(V1139)-(U1139)*(T1139)))/W1139,0)</f>
        <v/>
      </c>
      <c r="Z1139">
        <f>IF(ABS(W1139)&gt;1E-12,((LTP3!$D$5)*((P1139)*(V1139)-(U1139)*(R1139))-(S1139)*((S1139)*(V1139)-(U1139)*(T1139))+(LTP3!$D$6)*((S1139)*(R1139)-(P1139)*(T1139)))/W1139,0)</f>
        <v/>
      </c>
      <c r="AA1139">
        <f>LTP3!$D$7-X1139*LTP3!$D$6-Y1139*U1139-Z1139*V1139</f>
        <v/>
      </c>
      <c r="AB1139">
        <f>IF(AND(F1139,ABS(W1139)&gt;1E-12,Y1139&gt;0,Z1139&gt;0),AA1139,1E+300)</f>
        <v/>
      </c>
    </row>
    <row r="1140">
      <c r="A1140">
        <f>$B$3+$B$5*18</f>
        <v/>
      </c>
      <c r="B1140">
        <f>$B$3+$B$5*30</f>
        <v/>
      </c>
      <c r="C1140">
        <f>SUMPRODUCT(Calc!$K$3:$K$22*(Calc!$G$3:$G$22&lt;=A1140))</f>
        <v/>
      </c>
      <c r="D1140">
        <f>SUMPRODUCT(Calc!$K$3:$K$22*(Calc!$G$3:$G$22&gt;A1140)*(Calc!$G$3:$G$22&lt;B1140))</f>
        <v/>
      </c>
      <c r="E1140">
        <f>SUMPRODUCT(Calc!$K$3:$K$22*(Calc!$G$3:$G$22&gt;=B1140))</f>
        <v/>
      </c>
      <c r="F1140">
        <f>AND(k_n&gt;=5,B1140&gt;A1140+1E-9,C1140&gt;=2,D1140&gt;=1,E1140&gt;=2)</f>
        <v/>
      </c>
      <c r="G1140">
        <f>SUMPRODUCT(Calc!$K$3:$K$22*(Calc!$G$3:$G$22&gt;A1140)*(Calc!$G$3:$G$22-A1140))</f>
        <v/>
      </c>
      <c r="H1140">
        <f>SUMPRODUCT(Calc!$K$3:$K$22*(Calc!$G$3:$G$22&gt;B1140)*(Calc!$G$3:$G$22-B1140))</f>
        <v/>
      </c>
      <c r="I1140">
        <f>SUMPRODUCT(Calc!$K$3:$K$22*(Calc!$G$3:$G$22&gt;A1140)*(Calc!$G$3:$G$22-A1140)^2)</f>
        <v/>
      </c>
      <c r="J1140">
        <f>SUMPRODUCT(Calc!$K$3:$K$22*(Calc!$G$3:$G$22&gt;B1140)*(Calc!$G$3:$G$22-B1140)^2)</f>
        <v/>
      </c>
      <c r="K1140">
        <f>SUMPRODUCT(Calc!$K$3:$K$22*(Calc!$G$3:$G$22&gt;A1140)*(Calc!$G$3:$G$22-A1140)*(Calc!$G$3:$G$22&gt;B1140)*(Calc!$G$3:$G$22-B1140))</f>
        <v/>
      </c>
      <c r="L1140">
        <f>SUMPRODUCT(Calc!$K$3:$K$22*(Calc!$G$3:$G$22&gt;A1140)*(Calc!$G$3:$G$22-A1140)*Calc!$G$3:$G$22)</f>
        <v/>
      </c>
      <c r="M1140">
        <f>SUMPRODUCT(Calc!$K$3:$K$22*(Calc!$G$3:$G$22&gt;B1140)*(Calc!$G$3:$G$22-B1140)*Calc!$G$3:$G$22)</f>
        <v/>
      </c>
      <c r="N1140">
        <f>SUMPRODUCT(Calc!$K$3:$K$22*(Calc!$G$3:$G$22&gt;A1140)*(Calc!$G$3:$G$22-A1140)*Calc!$I$3:$I$22)</f>
        <v/>
      </c>
      <c r="O1140">
        <f>SUMPRODUCT(Calc!$K$3:$K$22*(Calc!$G$3:$G$22&gt;B1140)*(Calc!$G$3:$G$22-B1140)*Calc!$I$3:$I$22)</f>
        <v/>
      </c>
      <c r="P1140">
        <f>I1140-G1140^2/k_n</f>
        <v/>
      </c>
      <c r="Q1140">
        <f>J1140-H1140^2/k_n</f>
        <v/>
      </c>
      <c r="R1140">
        <f>K1140-G1140*H1140/k_n</f>
        <v/>
      </c>
      <c r="S1140">
        <f>L1140-LTP3!$D$3*G1140/k_n</f>
        <v/>
      </c>
      <c r="T1140">
        <f>M1140-LTP3!$D$3*H1140/k_n</f>
        <v/>
      </c>
      <c r="U1140">
        <f>N1140-G1140*LTP3!$D$4/k_n</f>
        <v/>
      </c>
      <c r="V1140">
        <f>O1140-H1140*LTP3!$D$4/k_n</f>
        <v/>
      </c>
      <c r="W1140">
        <f>((LTP3!$D$5)*((P1140)*(Q1140)-(R1140)*(R1140))-(S1140)*((S1140)*(Q1140)-(R1140)*(T1140))+(T1140)*((S1140)*(R1140)-(P1140)*(T1140)))</f>
        <v/>
      </c>
      <c r="X1140">
        <f>IF(ABS(W1140)&gt;1E-12,((LTP3!$D$6)*((P1140)*(Q1140)-(R1140)*(R1140))-(S1140)*((U1140)*(Q1140)-(R1140)*(V1140))+(T1140)*((U1140)*(R1140)-(P1140)*(V1140)))/W1140,0)</f>
        <v/>
      </c>
      <c r="Y1140">
        <f>IF(ABS(W1140)&gt;1E-12,((LTP3!$D$5)*((U1140)*(Q1140)-(R1140)*(V1140))-(LTP3!$D$6)*((S1140)*(Q1140)-(R1140)*(T1140))+(T1140)*((S1140)*(V1140)-(U1140)*(T1140)))/W1140,0)</f>
        <v/>
      </c>
      <c r="Z1140">
        <f>IF(ABS(W1140)&gt;1E-12,((LTP3!$D$5)*((P1140)*(V1140)-(U1140)*(R1140))-(S1140)*((S1140)*(V1140)-(U1140)*(T1140))+(LTP3!$D$6)*((S1140)*(R1140)-(P1140)*(T1140)))/W1140,0)</f>
        <v/>
      </c>
      <c r="AA1140">
        <f>LTP3!$D$7-X1140*LTP3!$D$6-Y1140*U1140-Z1140*V1140</f>
        <v/>
      </c>
      <c r="AB1140">
        <f>IF(AND(F1140,ABS(W1140)&gt;1E-12,Y1140&gt;0,Z1140&gt;0),AA1140,1E+300)</f>
        <v/>
      </c>
    </row>
    <row r="1141">
      <c r="A1141">
        <f>$B$3+$B$5*18</f>
        <v/>
      </c>
      <c r="B1141">
        <f>$B$3+$B$5*31</f>
        <v/>
      </c>
      <c r="C1141">
        <f>SUMPRODUCT(Calc!$K$3:$K$22*(Calc!$G$3:$G$22&lt;=A1141))</f>
        <v/>
      </c>
      <c r="D1141">
        <f>SUMPRODUCT(Calc!$K$3:$K$22*(Calc!$G$3:$G$22&gt;A1141)*(Calc!$G$3:$G$22&lt;B1141))</f>
        <v/>
      </c>
      <c r="E1141">
        <f>SUMPRODUCT(Calc!$K$3:$K$22*(Calc!$G$3:$G$22&gt;=B1141))</f>
        <v/>
      </c>
      <c r="F1141">
        <f>AND(k_n&gt;=5,B1141&gt;A1141+1E-9,C1141&gt;=2,D1141&gt;=1,E1141&gt;=2)</f>
        <v/>
      </c>
      <c r="G1141">
        <f>SUMPRODUCT(Calc!$K$3:$K$22*(Calc!$G$3:$G$22&gt;A1141)*(Calc!$G$3:$G$22-A1141))</f>
        <v/>
      </c>
      <c r="H1141">
        <f>SUMPRODUCT(Calc!$K$3:$K$22*(Calc!$G$3:$G$22&gt;B1141)*(Calc!$G$3:$G$22-B1141))</f>
        <v/>
      </c>
      <c r="I1141">
        <f>SUMPRODUCT(Calc!$K$3:$K$22*(Calc!$G$3:$G$22&gt;A1141)*(Calc!$G$3:$G$22-A1141)^2)</f>
        <v/>
      </c>
      <c r="J1141">
        <f>SUMPRODUCT(Calc!$K$3:$K$22*(Calc!$G$3:$G$22&gt;B1141)*(Calc!$G$3:$G$22-B1141)^2)</f>
        <v/>
      </c>
      <c r="K1141">
        <f>SUMPRODUCT(Calc!$K$3:$K$22*(Calc!$G$3:$G$22&gt;A1141)*(Calc!$G$3:$G$22-A1141)*(Calc!$G$3:$G$22&gt;B1141)*(Calc!$G$3:$G$22-B1141))</f>
        <v/>
      </c>
      <c r="L1141">
        <f>SUMPRODUCT(Calc!$K$3:$K$22*(Calc!$G$3:$G$22&gt;A1141)*(Calc!$G$3:$G$22-A1141)*Calc!$G$3:$G$22)</f>
        <v/>
      </c>
      <c r="M1141">
        <f>SUMPRODUCT(Calc!$K$3:$K$22*(Calc!$G$3:$G$22&gt;B1141)*(Calc!$G$3:$G$22-B1141)*Calc!$G$3:$G$22)</f>
        <v/>
      </c>
      <c r="N1141">
        <f>SUMPRODUCT(Calc!$K$3:$K$22*(Calc!$G$3:$G$22&gt;A1141)*(Calc!$G$3:$G$22-A1141)*Calc!$I$3:$I$22)</f>
        <v/>
      </c>
      <c r="O1141">
        <f>SUMPRODUCT(Calc!$K$3:$K$22*(Calc!$G$3:$G$22&gt;B1141)*(Calc!$G$3:$G$22-B1141)*Calc!$I$3:$I$22)</f>
        <v/>
      </c>
      <c r="P1141">
        <f>I1141-G1141^2/k_n</f>
        <v/>
      </c>
      <c r="Q1141">
        <f>J1141-H1141^2/k_n</f>
        <v/>
      </c>
      <c r="R1141">
        <f>K1141-G1141*H1141/k_n</f>
        <v/>
      </c>
      <c r="S1141">
        <f>L1141-LTP3!$D$3*G1141/k_n</f>
        <v/>
      </c>
      <c r="T1141">
        <f>M1141-LTP3!$D$3*H1141/k_n</f>
        <v/>
      </c>
      <c r="U1141">
        <f>N1141-G1141*LTP3!$D$4/k_n</f>
        <v/>
      </c>
      <c r="V1141">
        <f>O1141-H1141*LTP3!$D$4/k_n</f>
        <v/>
      </c>
      <c r="W1141">
        <f>((LTP3!$D$5)*((P1141)*(Q1141)-(R1141)*(R1141))-(S1141)*((S1141)*(Q1141)-(R1141)*(T1141))+(T1141)*((S1141)*(R1141)-(P1141)*(T1141)))</f>
        <v/>
      </c>
      <c r="X1141">
        <f>IF(ABS(W1141)&gt;1E-12,((LTP3!$D$6)*((P1141)*(Q1141)-(R1141)*(R1141))-(S1141)*((U1141)*(Q1141)-(R1141)*(V1141))+(T1141)*((U1141)*(R1141)-(P1141)*(V1141)))/W1141,0)</f>
        <v/>
      </c>
      <c r="Y1141">
        <f>IF(ABS(W1141)&gt;1E-12,((LTP3!$D$5)*((U1141)*(Q1141)-(R1141)*(V1141))-(LTP3!$D$6)*((S1141)*(Q1141)-(R1141)*(T1141))+(T1141)*((S1141)*(V1141)-(U1141)*(T1141)))/W1141,0)</f>
        <v/>
      </c>
      <c r="Z1141">
        <f>IF(ABS(W1141)&gt;1E-12,((LTP3!$D$5)*((P1141)*(V1141)-(U1141)*(R1141))-(S1141)*((S1141)*(V1141)-(U1141)*(T1141))+(LTP3!$D$6)*((S1141)*(R1141)-(P1141)*(T1141)))/W1141,0)</f>
        <v/>
      </c>
      <c r="AA1141">
        <f>LTP3!$D$7-X1141*LTP3!$D$6-Y1141*U1141-Z1141*V1141</f>
        <v/>
      </c>
      <c r="AB1141">
        <f>IF(AND(F1141,ABS(W1141)&gt;1E-12,Y1141&gt;0,Z1141&gt;0),AA1141,1E+300)</f>
        <v/>
      </c>
    </row>
    <row r="1142">
      <c r="A1142">
        <f>$B$3+$B$5*18</f>
        <v/>
      </c>
      <c r="B1142">
        <f>$B$3+$B$5*32</f>
        <v/>
      </c>
      <c r="C1142">
        <f>SUMPRODUCT(Calc!$K$3:$K$22*(Calc!$G$3:$G$22&lt;=A1142))</f>
        <v/>
      </c>
      <c r="D1142">
        <f>SUMPRODUCT(Calc!$K$3:$K$22*(Calc!$G$3:$G$22&gt;A1142)*(Calc!$G$3:$G$22&lt;B1142))</f>
        <v/>
      </c>
      <c r="E1142">
        <f>SUMPRODUCT(Calc!$K$3:$K$22*(Calc!$G$3:$G$22&gt;=B1142))</f>
        <v/>
      </c>
      <c r="F1142">
        <f>AND(k_n&gt;=5,B1142&gt;A1142+1E-9,C1142&gt;=2,D1142&gt;=1,E1142&gt;=2)</f>
        <v/>
      </c>
      <c r="G1142">
        <f>SUMPRODUCT(Calc!$K$3:$K$22*(Calc!$G$3:$G$22&gt;A1142)*(Calc!$G$3:$G$22-A1142))</f>
        <v/>
      </c>
      <c r="H1142">
        <f>SUMPRODUCT(Calc!$K$3:$K$22*(Calc!$G$3:$G$22&gt;B1142)*(Calc!$G$3:$G$22-B1142))</f>
        <v/>
      </c>
      <c r="I1142">
        <f>SUMPRODUCT(Calc!$K$3:$K$22*(Calc!$G$3:$G$22&gt;A1142)*(Calc!$G$3:$G$22-A1142)^2)</f>
        <v/>
      </c>
      <c r="J1142">
        <f>SUMPRODUCT(Calc!$K$3:$K$22*(Calc!$G$3:$G$22&gt;B1142)*(Calc!$G$3:$G$22-B1142)^2)</f>
        <v/>
      </c>
      <c r="K1142">
        <f>SUMPRODUCT(Calc!$K$3:$K$22*(Calc!$G$3:$G$22&gt;A1142)*(Calc!$G$3:$G$22-A1142)*(Calc!$G$3:$G$22&gt;B1142)*(Calc!$G$3:$G$22-B1142))</f>
        <v/>
      </c>
      <c r="L1142">
        <f>SUMPRODUCT(Calc!$K$3:$K$22*(Calc!$G$3:$G$22&gt;A1142)*(Calc!$G$3:$G$22-A1142)*Calc!$G$3:$G$22)</f>
        <v/>
      </c>
      <c r="M1142">
        <f>SUMPRODUCT(Calc!$K$3:$K$22*(Calc!$G$3:$G$22&gt;B1142)*(Calc!$G$3:$G$22-B1142)*Calc!$G$3:$G$22)</f>
        <v/>
      </c>
      <c r="N1142">
        <f>SUMPRODUCT(Calc!$K$3:$K$22*(Calc!$G$3:$G$22&gt;A1142)*(Calc!$G$3:$G$22-A1142)*Calc!$I$3:$I$22)</f>
        <v/>
      </c>
      <c r="O1142">
        <f>SUMPRODUCT(Calc!$K$3:$K$22*(Calc!$G$3:$G$22&gt;B1142)*(Calc!$G$3:$G$22-B1142)*Calc!$I$3:$I$22)</f>
        <v/>
      </c>
      <c r="P1142">
        <f>I1142-G1142^2/k_n</f>
        <v/>
      </c>
      <c r="Q1142">
        <f>J1142-H1142^2/k_n</f>
        <v/>
      </c>
      <c r="R1142">
        <f>K1142-G1142*H1142/k_n</f>
        <v/>
      </c>
      <c r="S1142">
        <f>L1142-LTP3!$D$3*G1142/k_n</f>
        <v/>
      </c>
      <c r="T1142">
        <f>M1142-LTP3!$D$3*H1142/k_n</f>
        <v/>
      </c>
      <c r="U1142">
        <f>N1142-G1142*LTP3!$D$4/k_n</f>
        <v/>
      </c>
      <c r="V1142">
        <f>O1142-H1142*LTP3!$D$4/k_n</f>
        <v/>
      </c>
      <c r="W1142">
        <f>((LTP3!$D$5)*((P1142)*(Q1142)-(R1142)*(R1142))-(S1142)*((S1142)*(Q1142)-(R1142)*(T1142))+(T1142)*((S1142)*(R1142)-(P1142)*(T1142)))</f>
        <v/>
      </c>
      <c r="X1142">
        <f>IF(ABS(W1142)&gt;1E-12,((LTP3!$D$6)*((P1142)*(Q1142)-(R1142)*(R1142))-(S1142)*((U1142)*(Q1142)-(R1142)*(V1142))+(T1142)*((U1142)*(R1142)-(P1142)*(V1142)))/W1142,0)</f>
        <v/>
      </c>
      <c r="Y1142">
        <f>IF(ABS(W1142)&gt;1E-12,((LTP3!$D$5)*((U1142)*(Q1142)-(R1142)*(V1142))-(LTP3!$D$6)*((S1142)*(Q1142)-(R1142)*(T1142))+(T1142)*((S1142)*(V1142)-(U1142)*(T1142)))/W1142,0)</f>
        <v/>
      </c>
      <c r="Z1142">
        <f>IF(ABS(W1142)&gt;1E-12,((LTP3!$D$5)*((P1142)*(V1142)-(U1142)*(R1142))-(S1142)*((S1142)*(V1142)-(U1142)*(T1142))+(LTP3!$D$6)*((S1142)*(R1142)-(P1142)*(T1142)))/W1142,0)</f>
        <v/>
      </c>
      <c r="AA1142">
        <f>LTP3!$D$7-X1142*LTP3!$D$6-Y1142*U1142-Z1142*V1142</f>
        <v/>
      </c>
      <c r="AB1142">
        <f>IF(AND(F1142,ABS(W1142)&gt;1E-12,Y1142&gt;0,Z1142&gt;0),AA1142,1E+300)</f>
        <v/>
      </c>
    </row>
    <row r="1143">
      <c r="A1143">
        <f>$B$3+$B$5*18</f>
        <v/>
      </c>
      <c r="B1143">
        <f>$B$3+$B$5*33</f>
        <v/>
      </c>
      <c r="C1143">
        <f>SUMPRODUCT(Calc!$K$3:$K$22*(Calc!$G$3:$G$22&lt;=A1143))</f>
        <v/>
      </c>
      <c r="D1143">
        <f>SUMPRODUCT(Calc!$K$3:$K$22*(Calc!$G$3:$G$22&gt;A1143)*(Calc!$G$3:$G$22&lt;B1143))</f>
        <v/>
      </c>
      <c r="E1143">
        <f>SUMPRODUCT(Calc!$K$3:$K$22*(Calc!$G$3:$G$22&gt;=B1143))</f>
        <v/>
      </c>
      <c r="F1143">
        <f>AND(k_n&gt;=5,B1143&gt;A1143+1E-9,C1143&gt;=2,D1143&gt;=1,E1143&gt;=2)</f>
        <v/>
      </c>
      <c r="G1143">
        <f>SUMPRODUCT(Calc!$K$3:$K$22*(Calc!$G$3:$G$22&gt;A1143)*(Calc!$G$3:$G$22-A1143))</f>
        <v/>
      </c>
      <c r="H1143">
        <f>SUMPRODUCT(Calc!$K$3:$K$22*(Calc!$G$3:$G$22&gt;B1143)*(Calc!$G$3:$G$22-B1143))</f>
        <v/>
      </c>
      <c r="I1143">
        <f>SUMPRODUCT(Calc!$K$3:$K$22*(Calc!$G$3:$G$22&gt;A1143)*(Calc!$G$3:$G$22-A1143)^2)</f>
        <v/>
      </c>
      <c r="J1143">
        <f>SUMPRODUCT(Calc!$K$3:$K$22*(Calc!$G$3:$G$22&gt;B1143)*(Calc!$G$3:$G$22-B1143)^2)</f>
        <v/>
      </c>
      <c r="K1143">
        <f>SUMPRODUCT(Calc!$K$3:$K$22*(Calc!$G$3:$G$22&gt;A1143)*(Calc!$G$3:$G$22-A1143)*(Calc!$G$3:$G$22&gt;B1143)*(Calc!$G$3:$G$22-B1143))</f>
        <v/>
      </c>
      <c r="L1143">
        <f>SUMPRODUCT(Calc!$K$3:$K$22*(Calc!$G$3:$G$22&gt;A1143)*(Calc!$G$3:$G$22-A1143)*Calc!$G$3:$G$22)</f>
        <v/>
      </c>
      <c r="M1143">
        <f>SUMPRODUCT(Calc!$K$3:$K$22*(Calc!$G$3:$G$22&gt;B1143)*(Calc!$G$3:$G$22-B1143)*Calc!$G$3:$G$22)</f>
        <v/>
      </c>
      <c r="N1143">
        <f>SUMPRODUCT(Calc!$K$3:$K$22*(Calc!$G$3:$G$22&gt;A1143)*(Calc!$G$3:$G$22-A1143)*Calc!$I$3:$I$22)</f>
        <v/>
      </c>
      <c r="O1143">
        <f>SUMPRODUCT(Calc!$K$3:$K$22*(Calc!$G$3:$G$22&gt;B1143)*(Calc!$G$3:$G$22-B1143)*Calc!$I$3:$I$22)</f>
        <v/>
      </c>
      <c r="P1143">
        <f>I1143-G1143^2/k_n</f>
        <v/>
      </c>
      <c r="Q1143">
        <f>J1143-H1143^2/k_n</f>
        <v/>
      </c>
      <c r="R1143">
        <f>K1143-G1143*H1143/k_n</f>
        <v/>
      </c>
      <c r="S1143">
        <f>L1143-LTP3!$D$3*G1143/k_n</f>
        <v/>
      </c>
      <c r="T1143">
        <f>M1143-LTP3!$D$3*H1143/k_n</f>
        <v/>
      </c>
      <c r="U1143">
        <f>N1143-G1143*LTP3!$D$4/k_n</f>
        <v/>
      </c>
      <c r="V1143">
        <f>O1143-H1143*LTP3!$D$4/k_n</f>
        <v/>
      </c>
      <c r="W1143">
        <f>((LTP3!$D$5)*((P1143)*(Q1143)-(R1143)*(R1143))-(S1143)*((S1143)*(Q1143)-(R1143)*(T1143))+(T1143)*((S1143)*(R1143)-(P1143)*(T1143)))</f>
        <v/>
      </c>
      <c r="X1143">
        <f>IF(ABS(W1143)&gt;1E-12,((LTP3!$D$6)*((P1143)*(Q1143)-(R1143)*(R1143))-(S1143)*((U1143)*(Q1143)-(R1143)*(V1143))+(T1143)*((U1143)*(R1143)-(P1143)*(V1143)))/W1143,0)</f>
        <v/>
      </c>
      <c r="Y1143">
        <f>IF(ABS(W1143)&gt;1E-12,((LTP3!$D$5)*((U1143)*(Q1143)-(R1143)*(V1143))-(LTP3!$D$6)*((S1143)*(Q1143)-(R1143)*(T1143))+(T1143)*((S1143)*(V1143)-(U1143)*(T1143)))/W1143,0)</f>
        <v/>
      </c>
      <c r="Z1143">
        <f>IF(ABS(W1143)&gt;1E-12,((LTP3!$D$5)*((P1143)*(V1143)-(U1143)*(R1143))-(S1143)*((S1143)*(V1143)-(U1143)*(T1143))+(LTP3!$D$6)*((S1143)*(R1143)-(P1143)*(T1143)))/W1143,0)</f>
        <v/>
      </c>
      <c r="AA1143">
        <f>LTP3!$D$7-X1143*LTP3!$D$6-Y1143*U1143-Z1143*V1143</f>
        <v/>
      </c>
      <c r="AB1143">
        <f>IF(AND(F1143,ABS(W1143)&gt;1E-12,Y1143&gt;0,Z1143&gt;0),AA1143,1E+300)</f>
        <v/>
      </c>
    </row>
    <row r="1144">
      <c r="A1144">
        <f>$B$3+$B$5*18</f>
        <v/>
      </c>
      <c r="B1144">
        <f>$B$3+$B$5*34</f>
        <v/>
      </c>
      <c r="C1144">
        <f>SUMPRODUCT(Calc!$K$3:$K$22*(Calc!$G$3:$G$22&lt;=A1144))</f>
        <v/>
      </c>
      <c r="D1144">
        <f>SUMPRODUCT(Calc!$K$3:$K$22*(Calc!$G$3:$G$22&gt;A1144)*(Calc!$G$3:$G$22&lt;B1144))</f>
        <v/>
      </c>
      <c r="E1144">
        <f>SUMPRODUCT(Calc!$K$3:$K$22*(Calc!$G$3:$G$22&gt;=B1144))</f>
        <v/>
      </c>
      <c r="F1144">
        <f>AND(k_n&gt;=5,B1144&gt;A1144+1E-9,C1144&gt;=2,D1144&gt;=1,E1144&gt;=2)</f>
        <v/>
      </c>
      <c r="G1144">
        <f>SUMPRODUCT(Calc!$K$3:$K$22*(Calc!$G$3:$G$22&gt;A1144)*(Calc!$G$3:$G$22-A1144))</f>
        <v/>
      </c>
      <c r="H1144">
        <f>SUMPRODUCT(Calc!$K$3:$K$22*(Calc!$G$3:$G$22&gt;B1144)*(Calc!$G$3:$G$22-B1144))</f>
        <v/>
      </c>
      <c r="I1144">
        <f>SUMPRODUCT(Calc!$K$3:$K$22*(Calc!$G$3:$G$22&gt;A1144)*(Calc!$G$3:$G$22-A1144)^2)</f>
        <v/>
      </c>
      <c r="J1144">
        <f>SUMPRODUCT(Calc!$K$3:$K$22*(Calc!$G$3:$G$22&gt;B1144)*(Calc!$G$3:$G$22-B1144)^2)</f>
        <v/>
      </c>
      <c r="K1144">
        <f>SUMPRODUCT(Calc!$K$3:$K$22*(Calc!$G$3:$G$22&gt;A1144)*(Calc!$G$3:$G$22-A1144)*(Calc!$G$3:$G$22&gt;B1144)*(Calc!$G$3:$G$22-B1144))</f>
        <v/>
      </c>
      <c r="L1144">
        <f>SUMPRODUCT(Calc!$K$3:$K$22*(Calc!$G$3:$G$22&gt;A1144)*(Calc!$G$3:$G$22-A1144)*Calc!$G$3:$G$22)</f>
        <v/>
      </c>
      <c r="M1144">
        <f>SUMPRODUCT(Calc!$K$3:$K$22*(Calc!$G$3:$G$22&gt;B1144)*(Calc!$G$3:$G$22-B1144)*Calc!$G$3:$G$22)</f>
        <v/>
      </c>
      <c r="N1144">
        <f>SUMPRODUCT(Calc!$K$3:$K$22*(Calc!$G$3:$G$22&gt;A1144)*(Calc!$G$3:$G$22-A1144)*Calc!$I$3:$I$22)</f>
        <v/>
      </c>
      <c r="O1144">
        <f>SUMPRODUCT(Calc!$K$3:$K$22*(Calc!$G$3:$G$22&gt;B1144)*(Calc!$G$3:$G$22-B1144)*Calc!$I$3:$I$22)</f>
        <v/>
      </c>
      <c r="P1144">
        <f>I1144-G1144^2/k_n</f>
        <v/>
      </c>
      <c r="Q1144">
        <f>J1144-H1144^2/k_n</f>
        <v/>
      </c>
      <c r="R1144">
        <f>K1144-G1144*H1144/k_n</f>
        <v/>
      </c>
      <c r="S1144">
        <f>L1144-LTP3!$D$3*G1144/k_n</f>
        <v/>
      </c>
      <c r="T1144">
        <f>M1144-LTP3!$D$3*H1144/k_n</f>
        <v/>
      </c>
      <c r="U1144">
        <f>N1144-G1144*LTP3!$D$4/k_n</f>
        <v/>
      </c>
      <c r="V1144">
        <f>O1144-H1144*LTP3!$D$4/k_n</f>
        <v/>
      </c>
      <c r="W1144">
        <f>((LTP3!$D$5)*((P1144)*(Q1144)-(R1144)*(R1144))-(S1144)*((S1144)*(Q1144)-(R1144)*(T1144))+(T1144)*((S1144)*(R1144)-(P1144)*(T1144)))</f>
        <v/>
      </c>
      <c r="X1144">
        <f>IF(ABS(W1144)&gt;1E-12,((LTP3!$D$6)*((P1144)*(Q1144)-(R1144)*(R1144))-(S1144)*((U1144)*(Q1144)-(R1144)*(V1144))+(T1144)*((U1144)*(R1144)-(P1144)*(V1144)))/W1144,0)</f>
        <v/>
      </c>
      <c r="Y1144">
        <f>IF(ABS(W1144)&gt;1E-12,((LTP3!$D$5)*((U1144)*(Q1144)-(R1144)*(V1144))-(LTP3!$D$6)*((S1144)*(Q1144)-(R1144)*(T1144))+(T1144)*((S1144)*(V1144)-(U1144)*(T1144)))/W1144,0)</f>
        <v/>
      </c>
      <c r="Z1144">
        <f>IF(ABS(W1144)&gt;1E-12,((LTP3!$D$5)*((P1144)*(V1144)-(U1144)*(R1144))-(S1144)*((S1144)*(V1144)-(U1144)*(T1144))+(LTP3!$D$6)*((S1144)*(R1144)-(P1144)*(T1144)))/W1144,0)</f>
        <v/>
      </c>
      <c r="AA1144">
        <f>LTP3!$D$7-X1144*LTP3!$D$6-Y1144*U1144-Z1144*V1144</f>
        <v/>
      </c>
      <c r="AB1144">
        <f>IF(AND(F1144,ABS(W1144)&gt;1E-12,Y1144&gt;0,Z1144&gt;0),AA1144,1E+300)</f>
        <v/>
      </c>
    </row>
    <row r="1145">
      <c r="A1145">
        <f>$B$3+$B$5*18</f>
        <v/>
      </c>
      <c r="B1145">
        <f>$B$3+$B$5*35</f>
        <v/>
      </c>
      <c r="C1145">
        <f>SUMPRODUCT(Calc!$K$3:$K$22*(Calc!$G$3:$G$22&lt;=A1145))</f>
        <v/>
      </c>
      <c r="D1145">
        <f>SUMPRODUCT(Calc!$K$3:$K$22*(Calc!$G$3:$G$22&gt;A1145)*(Calc!$G$3:$G$22&lt;B1145))</f>
        <v/>
      </c>
      <c r="E1145">
        <f>SUMPRODUCT(Calc!$K$3:$K$22*(Calc!$G$3:$G$22&gt;=B1145))</f>
        <v/>
      </c>
      <c r="F1145">
        <f>AND(k_n&gt;=5,B1145&gt;A1145+1E-9,C1145&gt;=2,D1145&gt;=1,E1145&gt;=2)</f>
        <v/>
      </c>
      <c r="G1145">
        <f>SUMPRODUCT(Calc!$K$3:$K$22*(Calc!$G$3:$G$22&gt;A1145)*(Calc!$G$3:$G$22-A1145))</f>
        <v/>
      </c>
      <c r="H1145">
        <f>SUMPRODUCT(Calc!$K$3:$K$22*(Calc!$G$3:$G$22&gt;B1145)*(Calc!$G$3:$G$22-B1145))</f>
        <v/>
      </c>
      <c r="I1145">
        <f>SUMPRODUCT(Calc!$K$3:$K$22*(Calc!$G$3:$G$22&gt;A1145)*(Calc!$G$3:$G$22-A1145)^2)</f>
        <v/>
      </c>
      <c r="J1145">
        <f>SUMPRODUCT(Calc!$K$3:$K$22*(Calc!$G$3:$G$22&gt;B1145)*(Calc!$G$3:$G$22-B1145)^2)</f>
        <v/>
      </c>
      <c r="K1145">
        <f>SUMPRODUCT(Calc!$K$3:$K$22*(Calc!$G$3:$G$22&gt;A1145)*(Calc!$G$3:$G$22-A1145)*(Calc!$G$3:$G$22&gt;B1145)*(Calc!$G$3:$G$22-B1145))</f>
        <v/>
      </c>
      <c r="L1145">
        <f>SUMPRODUCT(Calc!$K$3:$K$22*(Calc!$G$3:$G$22&gt;A1145)*(Calc!$G$3:$G$22-A1145)*Calc!$G$3:$G$22)</f>
        <v/>
      </c>
      <c r="M1145">
        <f>SUMPRODUCT(Calc!$K$3:$K$22*(Calc!$G$3:$G$22&gt;B1145)*(Calc!$G$3:$G$22-B1145)*Calc!$G$3:$G$22)</f>
        <v/>
      </c>
      <c r="N1145">
        <f>SUMPRODUCT(Calc!$K$3:$K$22*(Calc!$G$3:$G$22&gt;A1145)*(Calc!$G$3:$G$22-A1145)*Calc!$I$3:$I$22)</f>
        <v/>
      </c>
      <c r="O1145">
        <f>SUMPRODUCT(Calc!$K$3:$K$22*(Calc!$G$3:$G$22&gt;B1145)*(Calc!$G$3:$G$22-B1145)*Calc!$I$3:$I$22)</f>
        <v/>
      </c>
      <c r="P1145">
        <f>I1145-G1145^2/k_n</f>
        <v/>
      </c>
      <c r="Q1145">
        <f>J1145-H1145^2/k_n</f>
        <v/>
      </c>
      <c r="R1145">
        <f>K1145-G1145*H1145/k_n</f>
        <v/>
      </c>
      <c r="S1145">
        <f>L1145-LTP3!$D$3*G1145/k_n</f>
        <v/>
      </c>
      <c r="T1145">
        <f>M1145-LTP3!$D$3*H1145/k_n</f>
        <v/>
      </c>
      <c r="U1145">
        <f>N1145-G1145*LTP3!$D$4/k_n</f>
        <v/>
      </c>
      <c r="V1145">
        <f>O1145-H1145*LTP3!$D$4/k_n</f>
        <v/>
      </c>
      <c r="W1145">
        <f>((LTP3!$D$5)*((P1145)*(Q1145)-(R1145)*(R1145))-(S1145)*((S1145)*(Q1145)-(R1145)*(T1145))+(T1145)*((S1145)*(R1145)-(P1145)*(T1145)))</f>
        <v/>
      </c>
      <c r="X1145">
        <f>IF(ABS(W1145)&gt;1E-12,((LTP3!$D$6)*((P1145)*(Q1145)-(R1145)*(R1145))-(S1145)*((U1145)*(Q1145)-(R1145)*(V1145))+(T1145)*((U1145)*(R1145)-(P1145)*(V1145)))/W1145,0)</f>
        <v/>
      </c>
      <c r="Y1145">
        <f>IF(ABS(W1145)&gt;1E-12,((LTP3!$D$5)*((U1145)*(Q1145)-(R1145)*(V1145))-(LTP3!$D$6)*((S1145)*(Q1145)-(R1145)*(T1145))+(T1145)*((S1145)*(V1145)-(U1145)*(T1145)))/W1145,0)</f>
        <v/>
      </c>
      <c r="Z1145">
        <f>IF(ABS(W1145)&gt;1E-12,((LTP3!$D$5)*((P1145)*(V1145)-(U1145)*(R1145))-(S1145)*((S1145)*(V1145)-(U1145)*(T1145))+(LTP3!$D$6)*((S1145)*(R1145)-(P1145)*(T1145)))/W1145,0)</f>
        <v/>
      </c>
      <c r="AA1145">
        <f>LTP3!$D$7-X1145*LTP3!$D$6-Y1145*U1145-Z1145*V1145</f>
        <v/>
      </c>
      <c r="AB1145">
        <f>IF(AND(F1145,ABS(W1145)&gt;1E-12,Y1145&gt;0,Z1145&gt;0),AA1145,1E+300)</f>
        <v/>
      </c>
    </row>
    <row r="1146">
      <c r="A1146">
        <f>$B$3+$B$5*18</f>
        <v/>
      </c>
      <c r="B1146">
        <f>$B$3+$B$5*36</f>
        <v/>
      </c>
      <c r="C1146">
        <f>SUMPRODUCT(Calc!$K$3:$K$22*(Calc!$G$3:$G$22&lt;=A1146))</f>
        <v/>
      </c>
      <c r="D1146">
        <f>SUMPRODUCT(Calc!$K$3:$K$22*(Calc!$G$3:$G$22&gt;A1146)*(Calc!$G$3:$G$22&lt;B1146))</f>
        <v/>
      </c>
      <c r="E1146">
        <f>SUMPRODUCT(Calc!$K$3:$K$22*(Calc!$G$3:$G$22&gt;=B1146))</f>
        <v/>
      </c>
      <c r="F1146">
        <f>AND(k_n&gt;=5,B1146&gt;A1146+1E-9,C1146&gt;=2,D1146&gt;=1,E1146&gt;=2)</f>
        <v/>
      </c>
      <c r="G1146">
        <f>SUMPRODUCT(Calc!$K$3:$K$22*(Calc!$G$3:$G$22&gt;A1146)*(Calc!$G$3:$G$22-A1146))</f>
        <v/>
      </c>
      <c r="H1146">
        <f>SUMPRODUCT(Calc!$K$3:$K$22*(Calc!$G$3:$G$22&gt;B1146)*(Calc!$G$3:$G$22-B1146))</f>
        <v/>
      </c>
      <c r="I1146">
        <f>SUMPRODUCT(Calc!$K$3:$K$22*(Calc!$G$3:$G$22&gt;A1146)*(Calc!$G$3:$G$22-A1146)^2)</f>
        <v/>
      </c>
      <c r="J1146">
        <f>SUMPRODUCT(Calc!$K$3:$K$22*(Calc!$G$3:$G$22&gt;B1146)*(Calc!$G$3:$G$22-B1146)^2)</f>
        <v/>
      </c>
      <c r="K1146">
        <f>SUMPRODUCT(Calc!$K$3:$K$22*(Calc!$G$3:$G$22&gt;A1146)*(Calc!$G$3:$G$22-A1146)*(Calc!$G$3:$G$22&gt;B1146)*(Calc!$G$3:$G$22-B1146))</f>
        <v/>
      </c>
      <c r="L1146">
        <f>SUMPRODUCT(Calc!$K$3:$K$22*(Calc!$G$3:$G$22&gt;A1146)*(Calc!$G$3:$G$22-A1146)*Calc!$G$3:$G$22)</f>
        <v/>
      </c>
      <c r="M1146">
        <f>SUMPRODUCT(Calc!$K$3:$K$22*(Calc!$G$3:$G$22&gt;B1146)*(Calc!$G$3:$G$22-B1146)*Calc!$G$3:$G$22)</f>
        <v/>
      </c>
      <c r="N1146">
        <f>SUMPRODUCT(Calc!$K$3:$K$22*(Calc!$G$3:$G$22&gt;A1146)*(Calc!$G$3:$G$22-A1146)*Calc!$I$3:$I$22)</f>
        <v/>
      </c>
      <c r="O1146">
        <f>SUMPRODUCT(Calc!$K$3:$K$22*(Calc!$G$3:$G$22&gt;B1146)*(Calc!$G$3:$G$22-B1146)*Calc!$I$3:$I$22)</f>
        <v/>
      </c>
      <c r="P1146">
        <f>I1146-G1146^2/k_n</f>
        <v/>
      </c>
      <c r="Q1146">
        <f>J1146-H1146^2/k_n</f>
        <v/>
      </c>
      <c r="R1146">
        <f>K1146-G1146*H1146/k_n</f>
        <v/>
      </c>
      <c r="S1146">
        <f>L1146-LTP3!$D$3*G1146/k_n</f>
        <v/>
      </c>
      <c r="T1146">
        <f>M1146-LTP3!$D$3*H1146/k_n</f>
        <v/>
      </c>
      <c r="U1146">
        <f>N1146-G1146*LTP3!$D$4/k_n</f>
        <v/>
      </c>
      <c r="V1146">
        <f>O1146-H1146*LTP3!$D$4/k_n</f>
        <v/>
      </c>
      <c r="W1146">
        <f>((LTP3!$D$5)*((P1146)*(Q1146)-(R1146)*(R1146))-(S1146)*((S1146)*(Q1146)-(R1146)*(T1146))+(T1146)*((S1146)*(R1146)-(P1146)*(T1146)))</f>
        <v/>
      </c>
      <c r="X1146">
        <f>IF(ABS(W1146)&gt;1E-12,((LTP3!$D$6)*((P1146)*(Q1146)-(R1146)*(R1146))-(S1146)*((U1146)*(Q1146)-(R1146)*(V1146))+(T1146)*((U1146)*(R1146)-(P1146)*(V1146)))/W1146,0)</f>
        <v/>
      </c>
      <c r="Y1146">
        <f>IF(ABS(W1146)&gt;1E-12,((LTP3!$D$5)*((U1146)*(Q1146)-(R1146)*(V1146))-(LTP3!$D$6)*((S1146)*(Q1146)-(R1146)*(T1146))+(T1146)*((S1146)*(V1146)-(U1146)*(T1146)))/W1146,0)</f>
        <v/>
      </c>
      <c r="Z1146">
        <f>IF(ABS(W1146)&gt;1E-12,((LTP3!$D$5)*((P1146)*(V1146)-(U1146)*(R1146))-(S1146)*((S1146)*(V1146)-(U1146)*(T1146))+(LTP3!$D$6)*((S1146)*(R1146)-(P1146)*(T1146)))/W1146,0)</f>
        <v/>
      </c>
      <c r="AA1146">
        <f>LTP3!$D$7-X1146*LTP3!$D$6-Y1146*U1146-Z1146*V1146</f>
        <v/>
      </c>
      <c r="AB1146">
        <f>IF(AND(F1146,ABS(W1146)&gt;1E-12,Y1146&gt;0,Z1146&gt;0),AA1146,1E+300)</f>
        <v/>
      </c>
    </row>
    <row r="1147">
      <c r="A1147">
        <f>$B$3+$B$5*18</f>
        <v/>
      </c>
      <c r="B1147">
        <f>$B$3+$B$5*37</f>
        <v/>
      </c>
      <c r="C1147">
        <f>SUMPRODUCT(Calc!$K$3:$K$22*(Calc!$G$3:$G$22&lt;=A1147))</f>
        <v/>
      </c>
      <c r="D1147">
        <f>SUMPRODUCT(Calc!$K$3:$K$22*(Calc!$G$3:$G$22&gt;A1147)*(Calc!$G$3:$G$22&lt;B1147))</f>
        <v/>
      </c>
      <c r="E1147">
        <f>SUMPRODUCT(Calc!$K$3:$K$22*(Calc!$G$3:$G$22&gt;=B1147))</f>
        <v/>
      </c>
      <c r="F1147">
        <f>AND(k_n&gt;=5,B1147&gt;A1147+1E-9,C1147&gt;=2,D1147&gt;=1,E1147&gt;=2)</f>
        <v/>
      </c>
      <c r="G1147">
        <f>SUMPRODUCT(Calc!$K$3:$K$22*(Calc!$G$3:$G$22&gt;A1147)*(Calc!$G$3:$G$22-A1147))</f>
        <v/>
      </c>
      <c r="H1147">
        <f>SUMPRODUCT(Calc!$K$3:$K$22*(Calc!$G$3:$G$22&gt;B1147)*(Calc!$G$3:$G$22-B1147))</f>
        <v/>
      </c>
      <c r="I1147">
        <f>SUMPRODUCT(Calc!$K$3:$K$22*(Calc!$G$3:$G$22&gt;A1147)*(Calc!$G$3:$G$22-A1147)^2)</f>
        <v/>
      </c>
      <c r="J1147">
        <f>SUMPRODUCT(Calc!$K$3:$K$22*(Calc!$G$3:$G$22&gt;B1147)*(Calc!$G$3:$G$22-B1147)^2)</f>
        <v/>
      </c>
      <c r="K1147">
        <f>SUMPRODUCT(Calc!$K$3:$K$22*(Calc!$G$3:$G$22&gt;A1147)*(Calc!$G$3:$G$22-A1147)*(Calc!$G$3:$G$22&gt;B1147)*(Calc!$G$3:$G$22-B1147))</f>
        <v/>
      </c>
      <c r="L1147">
        <f>SUMPRODUCT(Calc!$K$3:$K$22*(Calc!$G$3:$G$22&gt;A1147)*(Calc!$G$3:$G$22-A1147)*Calc!$G$3:$G$22)</f>
        <v/>
      </c>
      <c r="M1147">
        <f>SUMPRODUCT(Calc!$K$3:$K$22*(Calc!$G$3:$G$22&gt;B1147)*(Calc!$G$3:$G$22-B1147)*Calc!$G$3:$G$22)</f>
        <v/>
      </c>
      <c r="N1147">
        <f>SUMPRODUCT(Calc!$K$3:$K$22*(Calc!$G$3:$G$22&gt;A1147)*(Calc!$G$3:$G$22-A1147)*Calc!$I$3:$I$22)</f>
        <v/>
      </c>
      <c r="O1147">
        <f>SUMPRODUCT(Calc!$K$3:$K$22*(Calc!$G$3:$G$22&gt;B1147)*(Calc!$G$3:$G$22-B1147)*Calc!$I$3:$I$22)</f>
        <v/>
      </c>
      <c r="P1147">
        <f>I1147-G1147^2/k_n</f>
        <v/>
      </c>
      <c r="Q1147">
        <f>J1147-H1147^2/k_n</f>
        <v/>
      </c>
      <c r="R1147">
        <f>K1147-G1147*H1147/k_n</f>
        <v/>
      </c>
      <c r="S1147">
        <f>L1147-LTP3!$D$3*G1147/k_n</f>
        <v/>
      </c>
      <c r="T1147">
        <f>M1147-LTP3!$D$3*H1147/k_n</f>
        <v/>
      </c>
      <c r="U1147">
        <f>N1147-G1147*LTP3!$D$4/k_n</f>
        <v/>
      </c>
      <c r="V1147">
        <f>O1147-H1147*LTP3!$D$4/k_n</f>
        <v/>
      </c>
      <c r="W1147">
        <f>((LTP3!$D$5)*((P1147)*(Q1147)-(R1147)*(R1147))-(S1147)*((S1147)*(Q1147)-(R1147)*(T1147))+(T1147)*((S1147)*(R1147)-(P1147)*(T1147)))</f>
        <v/>
      </c>
      <c r="X1147">
        <f>IF(ABS(W1147)&gt;1E-12,((LTP3!$D$6)*((P1147)*(Q1147)-(R1147)*(R1147))-(S1147)*((U1147)*(Q1147)-(R1147)*(V1147))+(T1147)*((U1147)*(R1147)-(P1147)*(V1147)))/W1147,0)</f>
        <v/>
      </c>
      <c r="Y1147">
        <f>IF(ABS(W1147)&gt;1E-12,((LTP3!$D$5)*((U1147)*(Q1147)-(R1147)*(V1147))-(LTP3!$D$6)*((S1147)*(Q1147)-(R1147)*(T1147))+(T1147)*((S1147)*(V1147)-(U1147)*(T1147)))/W1147,0)</f>
        <v/>
      </c>
      <c r="Z1147">
        <f>IF(ABS(W1147)&gt;1E-12,((LTP3!$D$5)*((P1147)*(V1147)-(U1147)*(R1147))-(S1147)*((S1147)*(V1147)-(U1147)*(T1147))+(LTP3!$D$6)*((S1147)*(R1147)-(P1147)*(T1147)))/W1147,0)</f>
        <v/>
      </c>
      <c r="AA1147">
        <f>LTP3!$D$7-X1147*LTP3!$D$6-Y1147*U1147-Z1147*V1147</f>
        <v/>
      </c>
      <c r="AB1147">
        <f>IF(AND(F1147,ABS(W1147)&gt;1E-12,Y1147&gt;0,Z1147&gt;0),AA1147,1E+300)</f>
        <v/>
      </c>
    </row>
    <row r="1148">
      <c r="A1148">
        <f>$B$3+$B$5*18</f>
        <v/>
      </c>
      <c r="B1148">
        <f>$B$3+$B$5*38</f>
        <v/>
      </c>
      <c r="C1148">
        <f>SUMPRODUCT(Calc!$K$3:$K$22*(Calc!$G$3:$G$22&lt;=A1148))</f>
        <v/>
      </c>
      <c r="D1148">
        <f>SUMPRODUCT(Calc!$K$3:$K$22*(Calc!$G$3:$G$22&gt;A1148)*(Calc!$G$3:$G$22&lt;B1148))</f>
        <v/>
      </c>
      <c r="E1148">
        <f>SUMPRODUCT(Calc!$K$3:$K$22*(Calc!$G$3:$G$22&gt;=B1148))</f>
        <v/>
      </c>
      <c r="F1148">
        <f>AND(k_n&gt;=5,B1148&gt;A1148+1E-9,C1148&gt;=2,D1148&gt;=1,E1148&gt;=2)</f>
        <v/>
      </c>
      <c r="G1148">
        <f>SUMPRODUCT(Calc!$K$3:$K$22*(Calc!$G$3:$G$22&gt;A1148)*(Calc!$G$3:$G$22-A1148))</f>
        <v/>
      </c>
      <c r="H1148">
        <f>SUMPRODUCT(Calc!$K$3:$K$22*(Calc!$G$3:$G$22&gt;B1148)*(Calc!$G$3:$G$22-B1148))</f>
        <v/>
      </c>
      <c r="I1148">
        <f>SUMPRODUCT(Calc!$K$3:$K$22*(Calc!$G$3:$G$22&gt;A1148)*(Calc!$G$3:$G$22-A1148)^2)</f>
        <v/>
      </c>
      <c r="J1148">
        <f>SUMPRODUCT(Calc!$K$3:$K$22*(Calc!$G$3:$G$22&gt;B1148)*(Calc!$G$3:$G$22-B1148)^2)</f>
        <v/>
      </c>
      <c r="K1148">
        <f>SUMPRODUCT(Calc!$K$3:$K$22*(Calc!$G$3:$G$22&gt;A1148)*(Calc!$G$3:$G$22-A1148)*(Calc!$G$3:$G$22&gt;B1148)*(Calc!$G$3:$G$22-B1148))</f>
        <v/>
      </c>
      <c r="L1148">
        <f>SUMPRODUCT(Calc!$K$3:$K$22*(Calc!$G$3:$G$22&gt;A1148)*(Calc!$G$3:$G$22-A1148)*Calc!$G$3:$G$22)</f>
        <v/>
      </c>
      <c r="M1148">
        <f>SUMPRODUCT(Calc!$K$3:$K$22*(Calc!$G$3:$G$22&gt;B1148)*(Calc!$G$3:$G$22-B1148)*Calc!$G$3:$G$22)</f>
        <v/>
      </c>
      <c r="N1148">
        <f>SUMPRODUCT(Calc!$K$3:$K$22*(Calc!$G$3:$G$22&gt;A1148)*(Calc!$G$3:$G$22-A1148)*Calc!$I$3:$I$22)</f>
        <v/>
      </c>
      <c r="O1148">
        <f>SUMPRODUCT(Calc!$K$3:$K$22*(Calc!$G$3:$G$22&gt;B1148)*(Calc!$G$3:$G$22-B1148)*Calc!$I$3:$I$22)</f>
        <v/>
      </c>
      <c r="P1148">
        <f>I1148-G1148^2/k_n</f>
        <v/>
      </c>
      <c r="Q1148">
        <f>J1148-H1148^2/k_n</f>
        <v/>
      </c>
      <c r="R1148">
        <f>K1148-G1148*H1148/k_n</f>
        <v/>
      </c>
      <c r="S1148">
        <f>L1148-LTP3!$D$3*G1148/k_n</f>
        <v/>
      </c>
      <c r="T1148">
        <f>M1148-LTP3!$D$3*H1148/k_n</f>
        <v/>
      </c>
      <c r="U1148">
        <f>N1148-G1148*LTP3!$D$4/k_n</f>
        <v/>
      </c>
      <c r="V1148">
        <f>O1148-H1148*LTP3!$D$4/k_n</f>
        <v/>
      </c>
      <c r="W1148">
        <f>((LTP3!$D$5)*((P1148)*(Q1148)-(R1148)*(R1148))-(S1148)*((S1148)*(Q1148)-(R1148)*(T1148))+(T1148)*((S1148)*(R1148)-(P1148)*(T1148)))</f>
        <v/>
      </c>
      <c r="X1148">
        <f>IF(ABS(W1148)&gt;1E-12,((LTP3!$D$6)*((P1148)*(Q1148)-(R1148)*(R1148))-(S1148)*((U1148)*(Q1148)-(R1148)*(V1148))+(T1148)*((U1148)*(R1148)-(P1148)*(V1148)))/W1148,0)</f>
        <v/>
      </c>
      <c r="Y1148">
        <f>IF(ABS(W1148)&gt;1E-12,((LTP3!$D$5)*((U1148)*(Q1148)-(R1148)*(V1148))-(LTP3!$D$6)*((S1148)*(Q1148)-(R1148)*(T1148))+(T1148)*((S1148)*(V1148)-(U1148)*(T1148)))/W1148,0)</f>
        <v/>
      </c>
      <c r="Z1148">
        <f>IF(ABS(W1148)&gt;1E-12,((LTP3!$D$5)*((P1148)*(V1148)-(U1148)*(R1148))-(S1148)*((S1148)*(V1148)-(U1148)*(T1148))+(LTP3!$D$6)*((S1148)*(R1148)-(P1148)*(T1148)))/W1148,0)</f>
        <v/>
      </c>
      <c r="AA1148">
        <f>LTP3!$D$7-X1148*LTP3!$D$6-Y1148*U1148-Z1148*V1148</f>
        <v/>
      </c>
      <c r="AB1148">
        <f>IF(AND(F1148,ABS(W1148)&gt;1E-12,Y1148&gt;0,Z1148&gt;0),AA1148,1E+300)</f>
        <v/>
      </c>
    </row>
    <row r="1149">
      <c r="A1149">
        <f>$B$3+$B$5*18</f>
        <v/>
      </c>
      <c r="B1149">
        <f>$B$3+$B$5*39</f>
        <v/>
      </c>
      <c r="C1149">
        <f>SUMPRODUCT(Calc!$K$3:$K$22*(Calc!$G$3:$G$22&lt;=A1149))</f>
        <v/>
      </c>
      <c r="D1149">
        <f>SUMPRODUCT(Calc!$K$3:$K$22*(Calc!$G$3:$G$22&gt;A1149)*(Calc!$G$3:$G$22&lt;B1149))</f>
        <v/>
      </c>
      <c r="E1149">
        <f>SUMPRODUCT(Calc!$K$3:$K$22*(Calc!$G$3:$G$22&gt;=B1149))</f>
        <v/>
      </c>
      <c r="F1149">
        <f>AND(k_n&gt;=5,B1149&gt;A1149+1E-9,C1149&gt;=2,D1149&gt;=1,E1149&gt;=2)</f>
        <v/>
      </c>
      <c r="G1149">
        <f>SUMPRODUCT(Calc!$K$3:$K$22*(Calc!$G$3:$G$22&gt;A1149)*(Calc!$G$3:$G$22-A1149))</f>
        <v/>
      </c>
      <c r="H1149">
        <f>SUMPRODUCT(Calc!$K$3:$K$22*(Calc!$G$3:$G$22&gt;B1149)*(Calc!$G$3:$G$22-B1149))</f>
        <v/>
      </c>
      <c r="I1149">
        <f>SUMPRODUCT(Calc!$K$3:$K$22*(Calc!$G$3:$G$22&gt;A1149)*(Calc!$G$3:$G$22-A1149)^2)</f>
        <v/>
      </c>
      <c r="J1149">
        <f>SUMPRODUCT(Calc!$K$3:$K$22*(Calc!$G$3:$G$22&gt;B1149)*(Calc!$G$3:$G$22-B1149)^2)</f>
        <v/>
      </c>
      <c r="K1149">
        <f>SUMPRODUCT(Calc!$K$3:$K$22*(Calc!$G$3:$G$22&gt;A1149)*(Calc!$G$3:$G$22-A1149)*(Calc!$G$3:$G$22&gt;B1149)*(Calc!$G$3:$G$22-B1149))</f>
        <v/>
      </c>
      <c r="L1149">
        <f>SUMPRODUCT(Calc!$K$3:$K$22*(Calc!$G$3:$G$22&gt;A1149)*(Calc!$G$3:$G$22-A1149)*Calc!$G$3:$G$22)</f>
        <v/>
      </c>
      <c r="M1149">
        <f>SUMPRODUCT(Calc!$K$3:$K$22*(Calc!$G$3:$G$22&gt;B1149)*(Calc!$G$3:$G$22-B1149)*Calc!$G$3:$G$22)</f>
        <v/>
      </c>
      <c r="N1149">
        <f>SUMPRODUCT(Calc!$K$3:$K$22*(Calc!$G$3:$G$22&gt;A1149)*(Calc!$G$3:$G$22-A1149)*Calc!$I$3:$I$22)</f>
        <v/>
      </c>
      <c r="O1149">
        <f>SUMPRODUCT(Calc!$K$3:$K$22*(Calc!$G$3:$G$22&gt;B1149)*(Calc!$G$3:$G$22-B1149)*Calc!$I$3:$I$22)</f>
        <v/>
      </c>
      <c r="P1149">
        <f>I1149-G1149^2/k_n</f>
        <v/>
      </c>
      <c r="Q1149">
        <f>J1149-H1149^2/k_n</f>
        <v/>
      </c>
      <c r="R1149">
        <f>K1149-G1149*H1149/k_n</f>
        <v/>
      </c>
      <c r="S1149">
        <f>L1149-LTP3!$D$3*G1149/k_n</f>
        <v/>
      </c>
      <c r="T1149">
        <f>M1149-LTP3!$D$3*H1149/k_n</f>
        <v/>
      </c>
      <c r="U1149">
        <f>N1149-G1149*LTP3!$D$4/k_n</f>
        <v/>
      </c>
      <c r="V1149">
        <f>O1149-H1149*LTP3!$D$4/k_n</f>
        <v/>
      </c>
      <c r="W1149">
        <f>((LTP3!$D$5)*((P1149)*(Q1149)-(R1149)*(R1149))-(S1149)*((S1149)*(Q1149)-(R1149)*(T1149))+(T1149)*((S1149)*(R1149)-(P1149)*(T1149)))</f>
        <v/>
      </c>
      <c r="X1149">
        <f>IF(ABS(W1149)&gt;1E-12,((LTP3!$D$6)*((P1149)*(Q1149)-(R1149)*(R1149))-(S1149)*((U1149)*(Q1149)-(R1149)*(V1149))+(T1149)*((U1149)*(R1149)-(P1149)*(V1149)))/W1149,0)</f>
        <v/>
      </c>
      <c r="Y1149">
        <f>IF(ABS(W1149)&gt;1E-12,((LTP3!$D$5)*((U1149)*(Q1149)-(R1149)*(V1149))-(LTP3!$D$6)*((S1149)*(Q1149)-(R1149)*(T1149))+(T1149)*((S1149)*(V1149)-(U1149)*(T1149)))/W1149,0)</f>
        <v/>
      </c>
      <c r="Z1149">
        <f>IF(ABS(W1149)&gt;1E-12,((LTP3!$D$5)*((P1149)*(V1149)-(U1149)*(R1149))-(S1149)*((S1149)*(V1149)-(U1149)*(T1149))+(LTP3!$D$6)*((S1149)*(R1149)-(P1149)*(T1149)))/W1149,0)</f>
        <v/>
      </c>
      <c r="AA1149">
        <f>LTP3!$D$7-X1149*LTP3!$D$6-Y1149*U1149-Z1149*V1149</f>
        <v/>
      </c>
      <c r="AB1149">
        <f>IF(AND(F1149,ABS(W1149)&gt;1E-12,Y1149&gt;0,Z1149&gt;0),AA1149,1E+300)</f>
        <v/>
      </c>
    </row>
    <row r="1150">
      <c r="A1150">
        <f>$B$3+$B$5*18</f>
        <v/>
      </c>
      <c r="B1150">
        <f>$B$3+$B$5*40</f>
        <v/>
      </c>
      <c r="C1150">
        <f>SUMPRODUCT(Calc!$K$3:$K$22*(Calc!$G$3:$G$22&lt;=A1150))</f>
        <v/>
      </c>
      <c r="D1150">
        <f>SUMPRODUCT(Calc!$K$3:$K$22*(Calc!$G$3:$G$22&gt;A1150)*(Calc!$G$3:$G$22&lt;B1150))</f>
        <v/>
      </c>
      <c r="E1150">
        <f>SUMPRODUCT(Calc!$K$3:$K$22*(Calc!$G$3:$G$22&gt;=B1150))</f>
        <v/>
      </c>
      <c r="F1150">
        <f>AND(k_n&gt;=5,B1150&gt;A1150+1E-9,C1150&gt;=2,D1150&gt;=1,E1150&gt;=2)</f>
        <v/>
      </c>
      <c r="G1150">
        <f>SUMPRODUCT(Calc!$K$3:$K$22*(Calc!$G$3:$G$22&gt;A1150)*(Calc!$G$3:$G$22-A1150))</f>
        <v/>
      </c>
      <c r="H1150">
        <f>SUMPRODUCT(Calc!$K$3:$K$22*(Calc!$G$3:$G$22&gt;B1150)*(Calc!$G$3:$G$22-B1150))</f>
        <v/>
      </c>
      <c r="I1150">
        <f>SUMPRODUCT(Calc!$K$3:$K$22*(Calc!$G$3:$G$22&gt;A1150)*(Calc!$G$3:$G$22-A1150)^2)</f>
        <v/>
      </c>
      <c r="J1150">
        <f>SUMPRODUCT(Calc!$K$3:$K$22*(Calc!$G$3:$G$22&gt;B1150)*(Calc!$G$3:$G$22-B1150)^2)</f>
        <v/>
      </c>
      <c r="K1150">
        <f>SUMPRODUCT(Calc!$K$3:$K$22*(Calc!$G$3:$G$22&gt;A1150)*(Calc!$G$3:$G$22-A1150)*(Calc!$G$3:$G$22&gt;B1150)*(Calc!$G$3:$G$22-B1150))</f>
        <v/>
      </c>
      <c r="L1150">
        <f>SUMPRODUCT(Calc!$K$3:$K$22*(Calc!$G$3:$G$22&gt;A1150)*(Calc!$G$3:$G$22-A1150)*Calc!$G$3:$G$22)</f>
        <v/>
      </c>
      <c r="M1150">
        <f>SUMPRODUCT(Calc!$K$3:$K$22*(Calc!$G$3:$G$22&gt;B1150)*(Calc!$G$3:$G$22-B1150)*Calc!$G$3:$G$22)</f>
        <v/>
      </c>
      <c r="N1150">
        <f>SUMPRODUCT(Calc!$K$3:$K$22*(Calc!$G$3:$G$22&gt;A1150)*(Calc!$G$3:$G$22-A1150)*Calc!$I$3:$I$22)</f>
        <v/>
      </c>
      <c r="O1150">
        <f>SUMPRODUCT(Calc!$K$3:$K$22*(Calc!$G$3:$G$22&gt;B1150)*(Calc!$G$3:$G$22-B1150)*Calc!$I$3:$I$22)</f>
        <v/>
      </c>
      <c r="P1150">
        <f>I1150-G1150^2/k_n</f>
        <v/>
      </c>
      <c r="Q1150">
        <f>J1150-H1150^2/k_n</f>
        <v/>
      </c>
      <c r="R1150">
        <f>K1150-G1150*H1150/k_n</f>
        <v/>
      </c>
      <c r="S1150">
        <f>L1150-LTP3!$D$3*G1150/k_n</f>
        <v/>
      </c>
      <c r="T1150">
        <f>M1150-LTP3!$D$3*H1150/k_n</f>
        <v/>
      </c>
      <c r="U1150">
        <f>N1150-G1150*LTP3!$D$4/k_n</f>
        <v/>
      </c>
      <c r="V1150">
        <f>O1150-H1150*LTP3!$D$4/k_n</f>
        <v/>
      </c>
      <c r="W1150">
        <f>((LTP3!$D$5)*((P1150)*(Q1150)-(R1150)*(R1150))-(S1150)*((S1150)*(Q1150)-(R1150)*(T1150))+(T1150)*((S1150)*(R1150)-(P1150)*(T1150)))</f>
        <v/>
      </c>
      <c r="X1150">
        <f>IF(ABS(W1150)&gt;1E-12,((LTP3!$D$6)*((P1150)*(Q1150)-(R1150)*(R1150))-(S1150)*((U1150)*(Q1150)-(R1150)*(V1150))+(T1150)*((U1150)*(R1150)-(P1150)*(V1150)))/W1150,0)</f>
        <v/>
      </c>
      <c r="Y1150">
        <f>IF(ABS(W1150)&gt;1E-12,((LTP3!$D$5)*((U1150)*(Q1150)-(R1150)*(V1150))-(LTP3!$D$6)*((S1150)*(Q1150)-(R1150)*(T1150))+(T1150)*((S1150)*(V1150)-(U1150)*(T1150)))/W1150,0)</f>
        <v/>
      </c>
      <c r="Z1150">
        <f>IF(ABS(W1150)&gt;1E-12,((LTP3!$D$5)*((P1150)*(V1150)-(U1150)*(R1150))-(S1150)*((S1150)*(V1150)-(U1150)*(T1150))+(LTP3!$D$6)*((S1150)*(R1150)-(P1150)*(T1150)))/W1150,0)</f>
        <v/>
      </c>
      <c r="AA1150">
        <f>LTP3!$D$7-X1150*LTP3!$D$6-Y1150*U1150-Z1150*V1150</f>
        <v/>
      </c>
      <c r="AB1150">
        <f>IF(AND(F1150,ABS(W1150)&gt;1E-12,Y1150&gt;0,Z1150&gt;0),AA1150,1E+300)</f>
        <v/>
      </c>
    </row>
    <row r="1151">
      <c r="A1151">
        <f>$B$3+$B$5*18</f>
        <v/>
      </c>
      <c r="B1151">
        <f>$B$3+$B$5*41</f>
        <v/>
      </c>
      <c r="C1151">
        <f>SUMPRODUCT(Calc!$K$3:$K$22*(Calc!$G$3:$G$22&lt;=A1151))</f>
        <v/>
      </c>
      <c r="D1151">
        <f>SUMPRODUCT(Calc!$K$3:$K$22*(Calc!$G$3:$G$22&gt;A1151)*(Calc!$G$3:$G$22&lt;B1151))</f>
        <v/>
      </c>
      <c r="E1151">
        <f>SUMPRODUCT(Calc!$K$3:$K$22*(Calc!$G$3:$G$22&gt;=B1151))</f>
        <v/>
      </c>
      <c r="F1151">
        <f>AND(k_n&gt;=5,B1151&gt;A1151+1E-9,C1151&gt;=2,D1151&gt;=1,E1151&gt;=2)</f>
        <v/>
      </c>
      <c r="G1151">
        <f>SUMPRODUCT(Calc!$K$3:$K$22*(Calc!$G$3:$G$22&gt;A1151)*(Calc!$G$3:$G$22-A1151))</f>
        <v/>
      </c>
      <c r="H1151">
        <f>SUMPRODUCT(Calc!$K$3:$K$22*(Calc!$G$3:$G$22&gt;B1151)*(Calc!$G$3:$G$22-B1151))</f>
        <v/>
      </c>
      <c r="I1151">
        <f>SUMPRODUCT(Calc!$K$3:$K$22*(Calc!$G$3:$G$22&gt;A1151)*(Calc!$G$3:$G$22-A1151)^2)</f>
        <v/>
      </c>
      <c r="J1151">
        <f>SUMPRODUCT(Calc!$K$3:$K$22*(Calc!$G$3:$G$22&gt;B1151)*(Calc!$G$3:$G$22-B1151)^2)</f>
        <v/>
      </c>
      <c r="K1151">
        <f>SUMPRODUCT(Calc!$K$3:$K$22*(Calc!$G$3:$G$22&gt;A1151)*(Calc!$G$3:$G$22-A1151)*(Calc!$G$3:$G$22&gt;B1151)*(Calc!$G$3:$G$22-B1151))</f>
        <v/>
      </c>
      <c r="L1151">
        <f>SUMPRODUCT(Calc!$K$3:$K$22*(Calc!$G$3:$G$22&gt;A1151)*(Calc!$G$3:$G$22-A1151)*Calc!$G$3:$G$22)</f>
        <v/>
      </c>
      <c r="M1151">
        <f>SUMPRODUCT(Calc!$K$3:$K$22*(Calc!$G$3:$G$22&gt;B1151)*(Calc!$G$3:$G$22-B1151)*Calc!$G$3:$G$22)</f>
        <v/>
      </c>
      <c r="N1151">
        <f>SUMPRODUCT(Calc!$K$3:$K$22*(Calc!$G$3:$G$22&gt;A1151)*(Calc!$G$3:$G$22-A1151)*Calc!$I$3:$I$22)</f>
        <v/>
      </c>
      <c r="O1151">
        <f>SUMPRODUCT(Calc!$K$3:$K$22*(Calc!$G$3:$G$22&gt;B1151)*(Calc!$G$3:$G$22-B1151)*Calc!$I$3:$I$22)</f>
        <v/>
      </c>
      <c r="P1151">
        <f>I1151-G1151^2/k_n</f>
        <v/>
      </c>
      <c r="Q1151">
        <f>J1151-H1151^2/k_n</f>
        <v/>
      </c>
      <c r="R1151">
        <f>K1151-G1151*H1151/k_n</f>
        <v/>
      </c>
      <c r="S1151">
        <f>L1151-LTP3!$D$3*G1151/k_n</f>
        <v/>
      </c>
      <c r="T1151">
        <f>M1151-LTP3!$D$3*H1151/k_n</f>
        <v/>
      </c>
      <c r="U1151">
        <f>N1151-G1151*LTP3!$D$4/k_n</f>
        <v/>
      </c>
      <c r="V1151">
        <f>O1151-H1151*LTP3!$D$4/k_n</f>
        <v/>
      </c>
      <c r="W1151">
        <f>((LTP3!$D$5)*((P1151)*(Q1151)-(R1151)*(R1151))-(S1151)*((S1151)*(Q1151)-(R1151)*(T1151))+(T1151)*((S1151)*(R1151)-(P1151)*(T1151)))</f>
        <v/>
      </c>
      <c r="X1151">
        <f>IF(ABS(W1151)&gt;1E-12,((LTP3!$D$6)*((P1151)*(Q1151)-(R1151)*(R1151))-(S1151)*((U1151)*(Q1151)-(R1151)*(V1151))+(T1151)*((U1151)*(R1151)-(P1151)*(V1151)))/W1151,0)</f>
        <v/>
      </c>
      <c r="Y1151">
        <f>IF(ABS(W1151)&gt;1E-12,((LTP3!$D$5)*((U1151)*(Q1151)-(R1151)*(V1151))-(LTP3!$D$6)*((S1151)*(Q1151)-(R1151)*(T1151))+(T1151)*((S1151)*(V1151)-(U1151)*(T1151)))/W1151,0)</f>
        <v/>
      </c>
      <c r="Z1151">
        <f>IF(ABS(W1151)&gt;1E-12,((LTP3!$D$5)*((P1151)*(V1151)-(U1151)*(R1151))-(S1151)*((S1151)*(V1151)-(U1151)*(T1151))+(LTP3!$D$6)*((S1151)*(R1151)-(P1151)*(T1151)))/W1151,0)</f>
        <v/>
      </c>
      <c r="AA1151">
        <f>LTP3!$D$7-X1151*LTP3!$D$6-Y1151*U1151-Z1151*V1151</f>
        <v/>
      </c>
      <c r="AB1151">
        <f>IF(AND(F1151,ABS(W1151)&gt;1E-12,Y1151&gt;0,Z1151&gt;0),AA1151,1E+300)</f>
        <v/>
      </c>
    </row>
    <row r="1152">
      <c r="A1152">
        <f>$B$3+$B$5*18</f>
        <v/>
      </c>
      <c r="B1152">
        <f>$B$3+$B$5*42</f>
        <v/>
      </c>
      <c r="C1152">
        <f>SUMPRODUCT(Calc!$K$3:$K$22*(Calc!$G$3:$G$22&lt;=A1152))</f>
        <v/>
      </c>
      <c r="D1152">
        <f>SUMPRODUCT(Calc!$K$3:$K$22*(Calc!$G$3:$G$22&gt;A1152)*(Calc!$G$3:$G$22&lt;B1152))</f>
        <v/>
      </c>
      <c r="E1152">
        <f>SUMPRODUCT(Calc!$K$3:$K$22*(Calc!$G$3:$G$22&gt;=B1152))</f>
        <v/>
      </c>
      <c r="F1152">
        <f>AND(k_n&gt;=5,B1152&gt;A1152+1E-9,C1152&gt;=2,D1152&gt;=1,E1152&gt;=2)</f>
        <v/>
      </c>
      <c r="G1152">
        <f>SUMPRODUCT(Calc!$K$3:$K$22*(Calc!$G$3:$G$22&gt;A1152)*(Calc!$G$3:$G$22-A1152))</f>
        <v/>
      </c>
      <c r="H1152">
        <f>SUMPRODUCT(Calc!$K$3:$K$22*(Calc!$G$3:$G$22&gt;B1152)*(Calc!$G$3:$G$22-B1152))</f>
        <v/>
      </c>
      <c r="I1152">
        <f>SUMPRODUCT(Calc!$K$3:$K$22*(Calc!$G$3:$G$22&gt;A1152)*(Calc!$G$3:$G$22-A1152)^2)</f>
        <v/>
      </c>
      <c r="J1152">
        <f>SUMPRODUCT(Calc!$K$3:$K$22*(Calc!$G$3:$G$22&gt;B1152)*(Calc!$G$3:$G$22-B1152)^2)</f>
        <v/>
      </c>
      <c r="K1152">
        <f>SUMPRODUCT(Calc!$K$3:$K$22*(Calc!$G$3:$G$22&gt;A1152)*(Calc!$G$3:$G$22-A1152)*(Calc!$G$3:$G$22&gt;B1152)*(Calc!$G$3:$G$22-B1152))</f>
        <v/>
      </c>
      <c r="L1152">
        <f>SUMPRODUCT(Calc!$K$3:$K$22*(Calc!$G$3:$G$22&gt;A1152)*(Calc!$G$3:$G$22-A1152)*Calc!$G$3:$G$22)</f>
        <v/>
      </c>
      <c r="M1152">
        <f>SUMPRODUCT(Calc!$K$3:$K$22*(Calc!$G$3:$G$22&gt;B1152)*(Calc!$G$3:$G$22-B1152)*Calc!$G$3:$G$22)</f>
        <v/>
      </c>
      <c r="N1152">
        <f>SUMPRODUCT(Calc!$K$3:$K$22*(Calc!$G$3:$G$22&gt;A1152)*(Calc!$G$3:$G$22-A1152)*Calc!$I$3:$I$22)</f>
        <v/>
      </c>
      <c r="O1152">
        <f>SUMPRODUCT(Calc!$K$3:$K$22*(Calc!$G$3:$G$22&gt;B1152)*(Calc!$G$3:$G$22-B1152)*Calc!$I$3:$I$22)</f>
        <v/>
      </c>
      <c r="P1152">
        <f>I1152-G1152^2/k_n</f>
        <v/>
      </c>
      <c r="Q1152">
        <f>J1152-H1152^2/k_n</f>
        <v/>
      </c>
      <c r="R1152">
        <f>K1152-G1152*H1152/k_n</f>
        <v/>
      </c>
      <c r="S1152">
        <f>L1152-LTP3!$D$3*G1152/k_n</f>
        <v/>
      </c>
      <c r="T1152">
        <f>M1152-LTP3!$D$3*H1152/k_n</f>
        <v/>
      </c>
      <c r="U1152">
        <f>N1152-G1152*LTP3!$D$4/k_n</f>
        <v/>
      </c>
      <c r="V1152">
        <f>O1152-H1152*LTP3!$D$4/k_n</f>
        <v/>
      </c>
      <c r="W1152">
        <f>((LTP3!$D$5)*((P1152)*(Q1152)-(R1152)*(R1152))-(S1152)*((S1152)*(Q1152)-(R1152)*(T1152))+(T1152)*((S1152)*(R1152)-(P1152)*(T1152)))</f>
        <v/>
      </c>
      <c r="X1152">
        <f>IF(ABS(W1152)&gt;1E-12,((LTP3!$D$6)*((P1152)*(Q1152)-(R1152)*(R1152))-(S1152)*((U1152)*(Q1152)-(R1152)*(V1152))+(T1152)*((U1152)*(R1152)-(P1152)*(V1152)))/W1152,0)</f>
        <v/>
      </c>
      <c r="Y1152">
        <f>IF(ABS(W1152)&gt;1E-12,((LTP3!$D$5)*((U1152)*(Q1152)-(R1152)*(V1152))-(LTP3!$D$6)*((S1152)*(Q1152)-(R1152)*(T1152))+(T1152)*((S1152)*(V1152)-(U1152)*(T1152)))/W1152,0)</f>
        <v/>
      </c>
      <c r="Z1152">
        <f>IF(ABS(W1152)&gt;1E-12,((LTP3!$D$5)*((P1152)*(V1152)-(U1152)*(R1152))-(S1152)*((S1152)*(V1152)-(U1152)*(T1152))+(LTP3!$D$6)*((S1152)*(R1152)-(P1152)*(T1152)))/W1152,0)</f>
        <v/>
      </c>
      <c r="AA1152">
        <f>LTP3!$D$7-X1152*LTP3!$D$6-Y1152*U1152-Z1152*V1152</f>
        <v/>
      </c>
      <c r="AB1152">
        <f>IF(AND(F1152,ABS(W1152)&gt;1E-12,Y1152&gt;0,Z1152&gt;0),AA1152,1E+300)</f>
        <v/>
      </c>
    </row>
    <row r="1153">
      <c r="A1153">
        <f>$B$3+$B$5*18</f>
        <v/>
      </c>
      <c r="B1153">
        <f>$B$3+$B$5*43</f>
        <v/>
      </c>
      <c r="C1153">
        <f>SUMPRODUCT(Calc!$K$3:$K$22*(Calc!$G$3:$G$22&lt;=A1153))</f>
        <v/>
      </c>
      <c r="D1153">
        <f>SUMPRODUCT(Calc!$K$3:$K$22*(Calc!$G$3:$G$22&gt;A1153)*(Calc!$G$3:$G$22&lt;B1153))</f>
        <v/>
      </c>
      <c r="E1153">
        <f>SUMPRODUCT(Calc!$K$3:$K$22*(Calc!$G$3:$G$22&gt;=B1153))</f>
        <v/>
      </c>
      <c r="F1153">
        <f>AND(k_n&gt;=5,B1153&gt;A1153+1E-9,C1153&gt;=2,D1153&gt;=1,E1153&gt;=2)</f>
        <v/>
      </c>
      <c r="G1153">
        <f>SUMPRODUCT(Calc!$K$3:$K$22*(Calc!$G$3:$G$22&gt;A1153)*(Calc!$G$3:$G$22-A1153))</f>
        <v/>
      </c>
      <c r="H1153">
        <f>SUMPRODUCT(Calc!$K$3:$K$22*(Calc!$G$3:$G$22&gt;B1153)*(Calc!$G$3:$G$22-B1153))</f>
        <v/>
      </c>
      <c r="I1153">
        <f>SUMPRODUCT(Calc!$K$3:$K$22*(Calc!$G$3:$G$22&gt;A1153)*(Calc!$G$3:$G$22-A1153)^2)</f>
        <v/>
      </c>
      <c r="J1153">
        <f>SUMPRODUCT(Calc!$K$3:$K$22*(Calc!$G$3:$G$22&gt;B1153)*(Calc!$G$3:$G$22-B1153)^2)</f>
        <v/>
      </c>
      <c r="K1153">
        <f>SUMPRODUCT(Calc!$K$3:$K$22*(Calc!$G$3:$G$22&gt;A1153)*(Calc!$G$3:$G$22-A1153)*(Calc!$G$3:$G$22&gt;B1153)*(Calc!$G$3:$G$22-B1153))</f>
        <v/>
      </c>
      <c r="L1153">
        <f>SUMPRODUCT(Calc!$K$3:$K$22*(Calc!$G$3:$G$22&gt;A1153)*(Calc!$G$3:$G$22-A1153)*Calc!$G$3:$G$22)</f>
        <v/>
      </c>
      <c r="M1153">
        <f>SUMPRODUCT(Calc!$K$3:$K$22*(Calc!$G$3:$G$22&gt;B1153)*(Calc!$G$3:$G$22-B1153)*Calc!$G$3:$G$22)</f>
        <v/>
      </c>
      <c r="N1153">
        <f>SUMPRODUCT(Calc!$K$3:$K$22*(Calc!$G$3:$G$22&gt;A1153)*(Calc!$G$3:$G$22-A1153)*Calc!$I$3:$I$22)</f>
        <v/>
      </c>
      <c r="O1153">
        <f>SUMPRODUCT(Calc!$K$3:$K$22*(Calc!$G$3:$G$22&gt;B1153)*(Calc!$G$3:$G$22-B1153)*Calc!$I$3:$I$22)</f>
        <v/>
      </c>
      <c r="P1153">
        <f>I1153-G1153^2/k_n</f>
        <v/>
      </c>
      <c r="Q1153">
        <f>J1153-H1153^2/k_n</f>
        <v/>
      </c>
      <c r="R1153">
        <f>K1153-G1153*H1153/k_n</f>
        <v/>
      </c>
      <c r="S1153">
        <f>L1153-LTP3!$D$3*G1153/k_n</f>
        <v/>
      </c>
      <c r="T1153">
        <f>M1153-LTP3!$D$3*H1153/k_n</f>
        <v/>
      </c>
      <c r="U1153">
        <f>N1153-G1153*LTP3!$D$4/k_n</f>
        <v/>
      </c>
      <c r="V1153">
        <f>O1153-H1153*LTP3!$D$4/k_n</f>
        <v/>
      </c>
      <c r="W1153">
        <f>((LTP3!$D$5)*((P1153)*(Q1153)-(R1153)*(R1153))-(S1153)*((S1153)*(Q1153)-(R1153)*(T1153))+(T1153)*((S1153)*(R1153)-(P1153)*(T1153)))</f>
        <v/>
      </c>
      <c r="X1153">
        <f>IF(ABS(W1153)&gt;1E-12,((LTP3!$D$6)*((P1153)*(Q1153)-(R1153)*(R1153))-(S1153)*((U1153)*(Q1153)-(R1153)*(V1153))+(T1153)*((U1153)*(R1153)-(P1153)*(V1153)))/W1153,0)</f>
        <v/>
      </c>
      <c r="Y1153">
        <f>IF(ABS(W1153)&gt;1E-12,((LTP3!$D$5)*((U1153)*(Q1153)-(R1153)*(V1153))-(LTP3!$D$6)*((S1153)*(Q1153)-(R1153)*(T1153))+(T1153)*((S1153)*(V1153)-(U1153)*(T1153)))/W1153,0)</f>
        <v/>
      </c>
      <c r="Z1153">
        <f>IF(ABS(W1153)&gt;1E-12,((LTP3!$D$5)*((P1153)*(V1153)-(U1153)*(R1153))-(S1153)*((S1153)*(V1153)-(U1153)*(T1153))+(LTP3!$D$6)*((S1153)*(R1153)-(P1153)*(T1153)))/W1153,0)</f>
        <v/>
      </c>
      <c r="AA1153">
        <f>LTP3!$D$7-X1153*LTP3!$D$6-Y1153*U1153-Z1153*V1153</f>
        <v/>
      </c>
      <c r="AB1153">
        <f>IF(AND(F1153,ABS(W1153)&gt;1E-12,Y1153&gt;0,Z1153&gt;0),AA1153,1E+300)</f>
        <v/>
      </c>
    </row>
    <row r="1154">
      <c r="A1154">
        <f>$B$3+$B$5*18</f>
        <v/>
      </c>
      <c r="B1154">
        <f>$B$3+$B$5*44</f>
        <v/>
      </c>
      <c r="C1154">
        <f>SUMPRODUCT(Calc!$K$3:$K$22*(Calc!$G$3:$G$22&lt;=A1154))</f>
        <v/>
      </c>
      <c r="D1154">
        <f>SUMPRODUCT(Calc!$K$3:$K$22*(Calc!$G$3:$G$22&gt;A1154)*(Calc!$G$3:$G$22&lt;B1154))</f>
        <v/>
      </c>
      <c r="E1154">
        <f>SUMPRODUCT(Calc!$K$3:$K$22*(Calc!$G$3:$G$22&gt;=B1154))</f>
        <v/>
      </c>
      <c r="F1154">
        <f>AND(k_n&gt;=5,B1154&gt;A1154+1E-9,C1154&gt;=2,D1154&gt;=1,E1154&gt;=2)</f>
        <v/>
      </c>
      <c r="G1154">
        <f>SUMPRODUCT(Calc!$K$3:$K$22*(Calc!$G$3:$G$22&gt;A1154)*(Calc!$G$3:$G$22-A1154))</f>
        <v/>
      </c>
      <c r="H1154">
        <f>SUMPRODUCT(Calc!$K$3:$K$22*(Calc!$G$3:$G$22&gt;B1154)*(Calc!$G$3:$G$22-B1154))</f>
        <v/>
      </c>
      <c r="I1154">
        <f>SUMPRODUCT(Calc!$K$3:$K$22*(Calc!$G$3:$G$22&gt;A1154)*(Calc!$G$3:$G$22-A1154)^2)</f>
        <v/>
      </c>
      <c r="J1154">
        <f>SUMPRODUCT(Calc!$K$3:$K$22*(Calc!$G$3:$G$22&gt;B1154)*(Calc!$G$3:$G$22-B1154)^2)</f>
        <v/>
      </c>
      <c r="K1154">
        <f>SUMPRODUCT(Calc!$K$3:$K$22*(Calc!$G$3:$G$22&gt;A1154)*(Calc!$G$3:$G$22-A1154)*(Calc!$G$3:$G$22&gt;B1154)*(Calc!$G$3:$G$22-B1154))</f>
        <v/>
      </c>
      <c r="L1154">
        <f>SUMPRODUCT(Calc!$K$3:$K$22*(Calc!$G$3:$G$22&gt;A1154)*(Calc!$G$3:$G$22-A1154)*Calc!$G$3:$G$22)</f>
        <v/>
      </c>
      <c r="M1154">
        <f>SUMPRODUCT(Calc!$K$3:$K$22*(Calc!$G$3:$G$22&gt;B1154)*(Calc!$G$3:$G$22-B1154)*Calc!$G$3:$G$22)</f>
        <v/>
      </c>
      <c r="N1154">
        <f>SUMPRODUCT(Calc!$K$3:$K$22*(Calc!$G$3:$G$22&gt;A1154)*(Calc!$G$3:$G$22-A1154)*Calc!$I$3:$I$22)</f>
        <v/>
      </c>
      <c r="O1154">
        <f>SUMPRODUCT(Calc!$K$3:$K$22*(Calc!$G$3:$G$22&gt;B1154)*(Calc!$G$3:$G$22-B1154)*Calc!$I$3:$I$22)</f>
        <v/>
      </c>
      <c r="P1154">
        <f>I1154-G1154^2/k_n</f>
        <v/>
      </c>
      <c r="Q1154">
        <f>J1154-H1154^2/k_n</f>
        <v/>
      </c>
      <c r="R1154">
        <f>K1154-G1154*H1154/k_n</f>
        <v/>
      </c>
      <c r="S1154">
        <f>L1154-LTP3!$D$3*G1154/k_n</f>
        <v/>
      </c>
      <c r="T1154">
        <f>M1154-LTP3!$D$3*H1154/k_n</f>
        <v/>
      </c>
      <c r="U1154">
        <f>N1154-G1154*LTP3!$D$4/k_n</f>
        <v/>
      </c>
      <c r="V1154">
        <f>O1154-H1154*LTP3!$D$4/k_n</f>
        <v/>
      </c>
      <c r="W1154">
        <f>((LTP3!$D$5)*((P1154)*(Q1154)-(R1154)*(R1154))-(S1154)*((S1154)*(Q1154)-(R1154)*(T1154))+(T1154)*((S1154)*(R1154)-(P1154)*(T1154)))</f>
        <v/>
      </c>
      <c r="X1154">
        <f>IF(ABS(W1154)&gt;1E-12,((LTP3!$D$6)*((P1154)*(Q1154)-(R1154)*(R1154))-(S1154)*((U1154)*(Q1154)-(R1154)*(V1154))+(T1154)*((U1154)*(R1154)-(P1154)*(V1154)))/W1154,0)</f>
        <v/>
      </c>
      <c r="Y1154">
        <f>IF(ABS(W1154)&gt;1E-12,((LTP3!$D$5)*((U1154)*(Q1154)-(R1154)*(V1154))-(LTP3!$D$6)*((S1154)*(Q1154)-(R1154)*(T1154))+(T1154)*((S1154)*(V1154)-(U1154)*(T1154)))/W1154,0)</f>
        <v/>
      </c>
      <c r="Z1154">
        <f>IF(ABS(W1154)&gt;1E-12,((LTP3!$D$5)*((P1154)*(V1154)-(U1154)*(R1154))-(S1154)*((S1154)*(V1154)-(U1154)*(T1154))+(LTP3!$D$6)*((S1154)*(R1154)-(P1154)*(T1154)))/W1154,0)</f>
        <v/>
      </c>
      <c r="AA1154">
        <f>LTP3!$D$7-X1154*LTP3!$D$6-Y1154*U1154-Z1154*V1154</f>
        <v/>
      </c>
      <c r="AB1154">
        <f>IF(AND(F1154,ABS(W1154)&gt;1E-12,Y1154&gt;0,Z1154&gt;0),AA1154,1E+300)</f>
        <v/>
      </c>
    </row>
    <row r="1155">
      <c r="A1155">
        <f>$B$3+$B$5*18</f>
        <v/>
      </c>
      <c r="B1155">
        <f>$B$3+$B$5*45</f>
        <v/>
      </c>
      <c r="C1155">
        <f>SUMPRODUCT(Calc!$K$3:$K$22*(Calc!$G$3:$G$22&lt;=A1155))</f>
        <v/>
      </c>
      <c r="D1155">
        <f>SUMPRODUCT(Calc!$K$3:$K$22*(Calc!$G$3:$G$22&gt;A1155)*(Calc!$G$3:$G$22&lt;B1155))</f>
        <v/>
      </c>
      <c r="E1155">
        <f>SUMPRODUCT(Calc!$K$3:$K$22*(Calc!$G$3:$G$22&gt;=B1155))</f>
        <v/>
      </c>
      <c r="F1155">
        <f>AND(k_n&gt;=5,B1155&gt;A1155+1E-9,C1155&gt;=2,D1155&gt;=1,E1155&gt;=2)</f>
        <v/>
      </c>
      <c r="G1155">
        <f>SUMPRODUCT(Calc!$K$3:$K$22*(Calc!$G$3:$G$22&gt;A1155)*(Calc!$G$3:$G$22-A1155))</f>
        <v/>
      </c>
      <c r="H1155">
        <f>SUMPRODUCT(Calc!$K$3:$K$22*(Calc!$G$3:$G$22&gt;B1155)*(Calc!$G$3:$G$22-B1155))</f>
        <v/>
      </c>
      <c r="I1155">
        <f>SUMPRODUCT(Calc!$K$3:$K$22*(Calc!$G$3:$G$22&gt;A1155)*(Calc!$G$3:$G$22-A1155)^2)</f>
        <v/>
      </c>
      <c r="J1155">
        <f>SUMPRODUCT(Calc!$K$3:$K$22*(Calc!$G$3:$G$22&gt;B1155)*(Calc!$G$3:$G$22-B1155)^2)</f>
        <v/>
      </c>
      <c r="K1155">
        <f>SUMPRODUCT(Calc!$K$3:$K$22*(Calc!$G$3:$G$22&gt;A1155)*(Calc!$G$3:$G$22-A1155)*(Calc!$G$3:$G$22&gt;B1155)*(Calc!$G$3:$G$22-B1155))</f>
        <v/>
      </c>
      <c r="L1155">
        <f>SUMPRODUCT(Calc!$K$3:$K$22*(Calc!$G$3:$G$22&gt;A1155)*(Calc!$G$3:$G$22-A1155)*Calc!$G$3:$G$22)</f>
        <v/>
      </c>
      <c r="M1155">
        <f>SUMPRODUCT(Calc!$K$3:$K$22*(Calc!$G$3:$G$22&gt;B1155)*(Calc!$G$3:$G$22-B1155)*Calc!$G$3:$G$22)</f>
        <v/>
      </c>
      <c r="N1155">
        <f>SUMPRODUCT(Calc!$K$3:$K$22*(Calc!$G$3:$G$22&gt;A1155)*(Calc!$G$3:$G$22-A1155)*Calc!$I$3:$I$22)</f>
        <v/>
      </c>
      <c r="O1155">
        <f>SUMPRODUCT(Calc!$K$3:$K$22*(Calc!$G$3:$G$22&gt;B1155)*(Calc!$G$3:$G$22-B1155)*Calc!$I$3:$I$22)</f>
        <v/>
      </c>
      <c r="P1155">
        <f>I1155-G1155^2/k_n</f>
        <v/>
      </c>
      <c r="Q1155">
        <f>J1155-H1155^2/k_n</f>
        <v/>
      </c>
      <c r="R1155">
        <f>K1155-G1155*H1155/k_n</f>
        <v/>
      </c>
      <c r="S1155">
        <f>L1155-LTP3!$D$3*G1155/k_n</f>
        <v/>
      </c>
      <c r="T1155">
        <f>M1155-LTP3!$D$3*H1155/k_n</f>
        <v/>
      </c>
      <c r="U1155">
        <f>N1155-G1155*LTP3!$D$4/k_n</f>
        <v/>
      </c>
      <c r="V1155">
        <f>O1155-H1155*LTP3!$D$4/k_n</f>
        <v/>
      </c>
      <c r="W1155">
        <f>((LTP3!$D$5)*((P1155)*(Q1155)-(R1155)*(R1155))-(S1155)*((S1155)*(Q1155)-(R1155)*(T1155))+(T1155)*((S1155)*(R1155)-(P1155)*(T1155)))</f>
        <v/>
      </c>
      <c r="X1155">
        <f>IF(ABS(W1155)&gt;1E-12,((LTP3!$D$6)*((P1155)*(Q1155)-(R1155)*(R1155))-(S1155)*((U1155)*(Q1155)-(R1155)*(V1155))+(T1155)*((U1155)*(R1155)-(P1155)*(V1155)))/W1155,0)</f>
        <v/>
      </c>
      <c r="Y1155">
        <f>IF(ABS(W1155)&gt;1E-12,((LTP3!$D$5)*((U1155)*(Q1155)-(R1155)*(V1155))-(LTP3!$D$6)*((S1155)*(Q1155)-(R1155)*(T1155))+(T1155)*((S1155)*(V1155)-(U1155)*(T1155)))/W1155,0)</f>
        <v/>
      </c>
      <c r="Z1155">
        <f>IF(ABS(W1155)&gt;1E-12,((LTP3!$D$5)*((P1155)*(V1155)-(U1155)*(R1155))-(S1155)*((S1155)*(V1155)-(U1155)*(T1155))+(LTP3!$D$6)*((S1155)*(R1155)-(P1155)*(T1155)))/W1155,0)</f>
        <v/>
      </c>
      <c r="AA1155">
        <f>LTP3!$D$7-X1155*LTP3!$D$6-Y1155*U1155-Z1155*V1155</f>
        <v/>
      </c>
      <c r="AB1155">
        <f>IF(AND(F1155,ABS(W1155)&gt;1E-12,Y1155&gt;0,Z1155&gt;0),AA1155,1E+300)</f>
        <v/>
      </c>
    </row>
    <row r="1156">
      <c r="A1156">
        <f>$B$3+$B$5*18</f>
        <v/>
      </c>
      <c r="B1156">
        <f>$B$3+$B$5*46</f>
        <v/>
      </c>
      <c r="C1156">
        <f>SUMPRODUCT(Calc!$K$3:$K$22*(Calc!$G$3:$G$22&lt;=A1156))</f>
        <v/>
      </c>
      <c r="D1156">
        <f>SUMPRODUCT(Calc!$K$3:$K$22*(Calc!$G$3:$G$22&gt;A1156)*(Calc!$G$3:$G$22&lt;B1156))</f>
        <v/>
      </c>
      <c r="E1156">
        <f>SUMPRODUCT(Calc!$K$3:$K$22*(Calc!$G$3:$G$22&gt;=B1156))</f>
        <v/>
      </c>
      <c r="F1156">
        <f>AND(k_n&gt;=5,B1156&gt;A1156+1E-9,C1156&gt;=2,D1156&gt;=1,E1156&gt;=2)</f>
        <v/>
      </c>
      <c r="G1156">
        <f>SUMPRODUCT(Calc!$K$3:$K$22*(Calc!$G$3:$G$22&gt;A1156)*(Calc!$G$3:$G$22-A1156))</f>
        <v/>
      </c>
      <c r="H1156">
        <f>SUMPRODUCT(Calc!$K$3:$K$22*(Calc!$G$3:$G$22&gt;B1156)*(Calc!$G$3:$G$22-B1156))</f>
        <v/>
      </c>
      <c r="I1156">
        <f>SUMPRODUCT(Calc!$K$3:$K$22*(Calc!$G$3:$G$22&gt;A1156)*(Calc!$G$3:$G$22-A1156)^2)</f>
        <v/>
      </c>
      <c r="J1156">
        <f>SUMPRODUCT(Calc!$K$3:$K$22*(Calc!$G$3:$G$22&gt;B1156)*(Calc!$G$3:$G$22-B1156)^2)</f>
        <v/>
      </c>
      <c r="K1156">
        <f>SUMPRODUCT(Calc!$K$3:$K$22*(Calc!$G$3:$G$22&gt;A1156)*(Calc!$G$3:$G$22-A1156)*(Calc!$G$3:$G$22&gt;B1156)*(Calc!$G$3:$G$22-B1156))</f>
        <v/>
      </c>
      <c r="L1156">
        <f>SUMPRODUCT(Calc!$K$3:$K$22*(Calc!$G$3:$G$22&gt;A1156)*(Calc!$G$3:$G$22-A1156)*Calc!$G$3:$G$22)</f>
        <v/>
      </c>
      <c r="M1156">
        <f>SUMPRODUCT(Calc!$K$3:$K$22*(Calc!$G$3:$G$22&gt;B1156)*(Calc!$G$3:$G$22-B1156)*Calc!$G$3:$G$22)</f>
        <v/>
      </c>
      <c r="N1156">
        <f>SUMPRODUCT(Calc!$K$3:$K$22*(Calc!$G$3:$G$22&gt;A1156)*(Calc!$G$3:$G$22-A1156)*Calc!$I$3:$I$22)</f>
        <v/>
      </c>
      <c r="O1156">
        <f>SUMPRODUCT(Calc!$K$3:$K$22*(Calc!$G$3:$G$22&gt;B1156)*(Calc!$G$3:$G$22-B1156)*Calc!$I$3:$I$22)</f>
        <v/>
      </c>
      <c r="P1156">
        <f>I1156-G1156^2/k_n</f>
        <v/>
      </c>
      <c r="Q1156">
        <f>J1156-H1156^2/k_n</f>
        <v/>
      </c>
      <c r="R1156">
        <f>K1156-G1156*H1156/k_n</f>
        <v/>
      </c>
      <c r="S1156">
        <f>L1156-LTP3!$D$3*G1156/k_n</f>
        <v/>
      </c>
      <c r="T1156">
        <f>M1156-LTP3!$D$3*H1156/k_n</f>
        <v/>
      </c>
      <c r="U1156">
        <f>N1156-G1156*LTP3!$D$4/k_n</f>
        <v/>
      </c>
      <c r="V1156">
        <f>O1156-H1156*LTP3!$D$4/k_n</f>
        <v/>
      </c>
      <c r="W1156">
        <f>((LTP3!$D$5)*((P1156)*(Q1156)-(R1156)*(R1156))-(S1156)*((S1156)*(Q1156)-(R1156)*(T1156))+(T1156)*((S1156)*(R1156)-(P1156)*(T1156)))</f>
        <v/>
      </c>
      <c r="X1156">
        <f>IF(ABS(W1156)&gt;1E-12,((LTP3!$D$6)*((P1156)*(Q1156)-(R1156)*(R1156))-(S1156)*((U1156)*(Q1156)-(R1156)*(V1156))+(T1156)*((U1156)*(R1156)-(P1156)*(V1156)))/W1156,0)</f>
        <v/>
      </c>
      <c r="Y1156">
        <f>IF(ABS(W1156)&gt;1E-12,((LTP3!$D$5)*((U1156)*(Q1156)-(R1156)*(V1156))-(LTP3!$D$6)*((S1156)*(Q1156)-(R1156)*(T1156))+(T1156)*((S1156)*(V1156)-(U1156)*(T1156)))/W1156,0)</f>
        <v/>
      </c>
      <c r="Z1156">
        <f>IF(ABS(W1156)&gt;1E-12,((LTP3!$D$5)*((P1156)*(V1156)-(U1156)*(R1156))-(S1156)*((S1156)*(V1156)-(U1156)*(T1156))+(LTP3!$D$6)*((S1156)*(R1156)-(P1156)*(T1156)))/W1156,0)</f>
        <v/>
      </c>
      <c r="AA1156">
        <f>LTP3!$D$7-X1156*LTP3!$D$6-Y1156*U1156-Z1156*V1156</f>
        <v/>
      </c>
      <c r="AB1156">
        <f>IF(AND(F1156,ABS(W1156)&gt;1E-12,Y1156&gt;0,Z1156&gt;0),AA1156,1E+300)</f>
        <v/>
      </c>
    </row>
    <row r="1157">
      <c r="A1157">
        <f>$B$3+$B$5*18</f>
        <v/>
      </c>
      <c r="B1157">
        <f>$B$3+$B$5*47</f>
        <v/>
      </c>
      <c r="C1157">
        <f>SUMPRODUCT(Calc!$K$3:$K$22*(Calc!$G$3:$G$22&lt;=A1157))</f>
        <v/>
      </c>
      <c r="D1157">
        <f>SUMPRODUCT(Calc!$K$3:$K$22*(Calc!$G$3:$G$22&gt;A1157)*(Calc!$G$3:$G$22&lt;B1157))</f>
        <v/>
      </c>
      <c r="E1157">
        <f>SUMPRODUCT(Calc!$K$3:$K$22*(Calc!$G$3:$G$22&gt;=B1157))</f>
        <v/>
      </c>
      <c r="F1157">
        <f>AND(k_n&gt;=5,B1157&gt;A1157+1E-9,C1157&gt;=2,D1157&gt;=1,E1157&gt;=2)</f>
        <v/>
      </c>
      <c r="G1157">
        <f>SUMPRODUCT(Calc!$K$3:$K$22*(Calc!$G$3:$G$22&gt;A1157)*(Calc!$G$3:$G$22-A1157))</f>
        <v/>
      </c>
      <c r="H1157">
        <f>SUMPRODUCT(Calc!$K$3:$K$22*(Calc!$G$3:$G$22&gt;B1157)*(Calc!$G$3:$G$22-B1157))</f>
        <v/>
      </c>
      <c r="I1157">
        <f>SUMPRODUCT(Calc!$K$3:$K$22*(Calc!$G$3:$G$22&gt;A1157)*(Calc!$G$3:$G$22-A1157)^2)</f>
        <v/>
      </c>
      <c r="J1157">
        <f>SUMPRODUCT(Calc!$K$3:$K$22*(Calc!$G$3:$G$22&gt;B1157)*(Calc!$G$3:$G$22-B1157)^2)</f>
        <v/>
      </c>
      <c r="K1157">
        <f>SUMPRODUCT(Calc!$K$3:$K$22*(Calc!$G$3:$G$22&gt;A1157)*(Calc!$G$3:$G$22-A1157)*(Calc!$G$3:$G$22&gt;B1157)*(Calc!$G$3:$G$22-B1157))</f>
        <v/>
      </c>
      <c r="L1157">
        <f>SUMPRODUCT(Calc!$K$3:$K$22*(Calc!$G$3:$G$22&gt;A1157)*(Calc!$G$3:$G$22-A1157)*Calc!$G$3:$G$22)</f>
        <v/>
      </c>
      <c r="M1157">
        <f>SUMPRODUCT(Calc!$K$3:$K$22*(Calc!$G$3:$G$22&gt;B1157)*(Calc!$G$3:$G$22-B1157)*Calc!$G$3:$G$22)</f>
        <v/>
      </c>
      <c r="N1157">
        <f>SUMPRODUCT(Calc!$K$3:$K$22*(Calc!$G$3:$G$22&gt;A1157)*(Calc!$G$3:$G$22-A1157)*Calc!$I$3:$I$22)</f>
        <v/>
      </c>
      <c r="O1157">
        <f>SUMPRODUCT(Calc!$K$3:$K$22*(Calc!$G$3:$G$22&gt;B1157)*(Calc!$G$3:$G$22-B1157)*Calc!$I$3:$I$22)</f>
        <v/>
      </c>
      <c r="P1157">
        <f>I1157-G1157^2/k_n</f>
        <v/>
      </c>
      <c r="Q1157">
        <f>J1157-H1157^2/k_n</f>
        <v/>
      </c>
      <c r="R1157">
        <f>K1157-G1157*H1157/k_n</f>
        <v/>
      </c>
      <c r="S1157">
        <f>L1157-LTP3!$D$3*G1157/k_n</f>
        <v/>
      </c>
      <c r="T1157">
        <f>M1157-LTP3!$D$3*H1157/k_n</f>
        <v/>
      </c>
      <c r="U1157">
        <f>N1157-G1157*LTP3!$D$4/k_n</f>
        <v/>
      </c>
      <c r="V1157">
        <f>O1157-H1157*LTP3!$D$4/k_n</f>
        <v/>
      </c>
      <c r="W1157">
        <f>((LTP3!$D$5)*((P1157)*(Q1157)-(R1157)*(R1157))-(S1157)*((S1157)*(Q1157)-(R1157)*(T1157))+(T1157)*((S1157)*(R1157)-(P1157)*(T1157)))</f>
        <v/>
      </c>
      <c r="X1157">
        <f>IF(ABS(W1157)&gt;1E-12,((LTP3!$D$6)*((P1157)*(Q1157)-(R1157)*(R1157))-(S1157)*((U1157)*(Q1157)-(R1157)*(V1157))+(T1157)*((U1157)*(R1157)-(P1157)*(V1157)))/W1157,0)</f>
        <v/>
      </c>
      <c r="Y1157">
        <f>IF(ABS(W1157)&gt;1E-12,((LTP3!$D$5)*((U1157)*(Q1157)-(R1157)*(V1157))-(LTP3!$D$6)*((S1157)*(Q1157)-(R1157)*(T1157))+(T1157)*((S1157)*(V1157)-(U1157)*(T1157)))/W1157,0)</f>
        <v/>
      </c>
      <c r="Z1157">
        <f>IF(ABS(W1157)&gt;1E-12,((LTP3!$D$5)*((P1157)*(V1157)-(U1157)*(R1157))-(S1157)*((S1157)*(V1157)-(U1157)*(T1157))+(LTP3!$D$6)*((S1157)*(R1157)-(P1157)*(T1157)))/W1157,0)</f>
        <v/>
      </c>
      <c r="AA1157">
        <f>LTP3!$D$7-X1157*LTP3!$D$6-Y1157*U1157-Z1157*V1157</f>
        <v/>
      </c>
      <c r="AB1157">
        <f>IF(AND(F1157,ABS(W1157)&gt;1E-12,Y1157&gt;0,Z1157&gt;0),AA1157,1E+300)</f>
        <v/>
      </c>
    </row>
    <row r="1158">
      <c r="A1158">
        <f>$B$3+$B$5*18</f>
        <v/>
      </c>
      <c r="B1158">
        <f>$B$3+$B$5*48</f>
        <v/>
      </c>
      <c r="C1158">
        <f>SUMPRODUCT(Calc!$K$3:$K$22*(Calc!$G$3:$G$22&lt;=A1158))</f>
        <v/>
      </c>
      <c r="D1158">
        <f>SUMPRODUCT(Calc!$K$3:$K$22*(Calc!$G$3:$G$22&gt;A1158)*(Calc!$G$3:$G$22&lt;B1158))</f>
        <v/>
      </c>
      <c r="E1158">
        <f>SUMPRODUCT(Calc!$K$3:$K$22*(Calc!$G$3:$G$22&gt;=B1158))</f>
        <v/>
      </c>
      <c r="F1158">
        <f>AND(k_n&gt;=5,B1158&gt;A1158+1E-9,C1158&gt;=2,D1158&gt;=1,E1158&gt;=2)</f>
        <v/>
      </c>
      <c r="G1158">
        <f>SUMPRODUCT(Calc!$K$3:$K$22*(Calc!$G$3:$G$22&gt;A1158)*(Calc!$G$3:$G$22-A1158))</f>
        <v/>
      </c>
      <c r="H1158">
        <f>SUMPRODUCT(Calc!$K$3:$K$22*(Calc!$G$3:$G$22&gt;B1158)*(Calc!$G$3:$G$22-B1158))</f>
        <v/>
      </c>
      <c r="I1158">
        <f>SUMPRODUCT(Calc!$K$3:$K$22*(Calc!$G$3:$G$22&gt;A1158)*(Calc!$G$3:$G$22-A1158)^2)</f>
        <v/>
      </c>
      <c r="J1158">
        <f>SUMPRODUCT(Calc!$K$3:$K$22*(Calc!$G$3:$G$22&gt;B1158)*(Calc!$G$3:$G$22-B1158)^2)</f>
        <v/>
      </c>
      <c r="K1158">
        <f>SUMPRODUCT(Calc!$K$3:$K$22*(Calc!$G$3:$G$22&gt;A1158)*(Calc!$G$3:$G$22-A1158)*(Calc!$G$3:$G$22&gt;B1158)*(Calc!$G$3:$G$22-B1158))</f>
        <v/>
      </c>
      <c r="L1158">
        <f>SUMPRODUCT(Calc!$K$3:$K$22*(Calc!$G$3:$G$22&gt;A1158)*(Calc!$G$3:$G$22-A1158)*Calc!$G$3:$G$22)</f>
        <v/>
      </c>
      <c r="M1158">
        <f>SUMPRODUCT(Calc!$K$3:$K$22*(Calc!$G$3:$G$22&gt;B1158)*(Calc!$G$3:$G$22-B1158)*Calc!$G$3:$G$22)</f>
        <v/>
      </c>
      <c r="N1158">
        <f>SUMPRODUCT(Calc!$K$3:$K$22*(Calc!$G$3:$G$22&gt;A1158)*(Calc!$G$3:$G$22-A1158)*Calc!$I$3:$I$22)</f>
        <v/>
      </c>
      <c r="O1158">
        <f>SUMPRODUCT(Calc!$K$3:$K$22*(Calc!$G$3:$G$22&gt;B1158)*(Calc!$G$3:$G$22-B1158)*Calc!$I$3:$I$22)</f>
        <v/>
      </c>
      <c r="P1158">
        <f>I1158-G1158^2/k_n</f>
        <v/>
      </c>
      <c r="Q1158">
        <f>J1158-H1158^2/k_n</f>
        <v/>
      </c>
      <c r="R1158">
        <f>K1158-G1158*H1158/k_n</f>
        <v/>
      </c>
      <c r="S1158">
        <f>L1158-LTP3!$D$3*G1158/k_n</f>
        <v/>
      </c>
      <c r="T1158">
        <f>M1158-LTP3!$D$3*H1158/k_n</f>
        <v/>
      </c>
      <c r="U1158">
        <f>N1158-G1158*LTP3!$D$4/k_n</f>
        <v/>
      </c>
      <c r="V1158">
        <f>O1158-H1158*LTP3!$D$4/k_n</f>
        <v/>
      </c>
      <c r="W1158">
        <f>((LTP3!$D$5)*((P1158)*(Q1158)-(R1158)*(R1158))-(S1158)*((S1158)*(Q1158)-(R1158)*(T1158))+(T1158)*((S1158)*(R1158)-(P1158)*(T1158)))</f>
        <v/>
      </c>
      <c r="X1158">
        <f>IF(ABS(W1158)&gt;1E-12,((LTP3!$D$6)*((P1158)*(Q1158)-(R1158)*(R1158))-(S1158)*((U1158)*(Q1158)-(R1158)*(V1158))+(T1158)*((U1158)*(R1158)-(P1158)*(V1158)))/W1158,0)</f>
        <v/>
      </c>
      <c r="Y1158">
        <f>IF(ABS(W1158)&gt;1E-12,((LTP3!$D$5)*((U1158)*(Q1158)-(R1158)*(V1158))-(LTP3!$D$6)*((S1158)*(Q1158)-(R1158)*(T1158))+(T1158)*((S1158)*(V1158)-(U1158)*(T1158)))/W1158,0)</f>
        <v/>
      </c>
      <c r="Z1158">
        <f>IF(ABS(W1158)&gt;1E-12,((LTP3!$D$5)*((P1158)*(V1158)-(U1158)*(R1158))-(S1158)*((S1158)*(V1158)-(U1158)*(T1158))+(LTP3!$D$6)*((S1158)*(R1158)-(P1158)*(T1158)))/W1158,0)</f>
        <v/>
      </c>
      <c r="AA1158">
        <f>LTP3!$D$7-X1158*LTP3!$D$6-Y1158*U1158-Z1158*V1158</f>
        <v/>
      </c>
      <c r="AB1158">
        <f>IF(AND(F1158,ABS(W1158)&gt;1E-12,Y1158&gt;0,Z1158&gt;0),AA1158,1E+300)</f>
        <v/>
      </c>
    </row>
    <row r="1159">
      <c r="A1159">
        <f>$B$3+$B$5*18</f>
        <v/>
      </c>
      <c r="B1159">
        <f>$B$3+$B$5*49</f>
        <v/>
      </c>
      <c r="C1159">
        <f>SUMPRODUCT(Calc!$K$3:$K$22*(Calc!$G$3:$G$22&lt;=A1159))</f>
        <v/>
      </c>
      <c r="D1159">
        <f>SUMPRODUCT(Calc!$K$3:$K$22*(Calc!$G$3:$G$22&gt;A1159)*(Calc!$G$3:$G$22&lt;B1159))</f>
        <v/>
      </c>
      <c r="E1159">
        <f>SUMPRODUCT(Calc!$K$3:$K$22*(Calc!$G$3:$G$22&gt;=B1159))</f>
        <v/>
      </c>
      <c r="F1159">
        <f>AND(k_n&gt;=5,B1159&gt;A1159+1E-9,C1159&gt;=2,D1159&gt;=1,E1159&gt;=2)</f>
        <v/>
      </c>
      <c r="G1159">
        <f>SUMPRODUCT(Calc!$K$3:$K$22*(Calc!$G$3:$G$22&gt;A1159)*(Calc!$G$3:$G$22-A1159))</f>
        <v/>
      </c>
      <c r="H1159">
        <f>SUMPRODUCT(Calc!$K$3:$K$22*(Calc!$G$3:$G$22&gt;B1159)*(Calc!$G$3:$G$22-B1159))</f>
        <v/>
      </c>
      <c r="I1159">
        <f>SUMPRODUCT(Calc!$K$3:$K$22*(Calc!$G$3:$G$22&gt;A1159)*(Calc!$G$3:$G$22-A1159)^2)</f>
        <v/>
      </c>
      <c r="J1159">
        <f>SUMPRODUCT(Calc!$K$3:$K$22*(Calc!$G$3:$G$22&gt;B1159)*(Calc!$G$3:$G$22-B1159)^2)</f>
        <v/>
      </c>
      <c r="K1159">
        <f>SUMPRODUCT(Calc!$K$3:$K$22*(Calc!$G$3:$G$22&gt;A1159)*(Calc!$G$3:$G$22-A1159)*(Calc!$G$3:$G$22&gt;B1159)*(Calc!$G$3:$G$22-B1159))</f>
        <v/>
      </c>
      <c r="L1159">
        <f>SUMPRODUCT(Calc!$K$3:$K$22*(Calc!$G$3:$G$22&gt;A1159)*(Calc!$G$3:$G$22-A1159)*Calc!$G$3:$G$22)</f>
        <v/>
      </c>
      <c r="M1159">
        <f>SUMPRODUCT(Calc!$K$3:$K$22*(Calc!$G$3:$G$22&gt;B1159)*(Calc!$G$3:$G$22-B1159)*Calc!$G$3:$G$22)</f>
        <v/>
      </c>
      <c r="N1159">
        <f>SUMPRODUCT(Calc!$K$3:$K$22*(Calc!$G$3:$G$22&gt;A1159)*(Calc!$G$3:$G$22-A1159)*Calc!$I$3:$I$22)</f>
        <v/>
      </c>
      <c r="O1159">
        <f>SUMPRODUCT(Calc!$K$3:$K$22*(Calc!$G$3:$G$22&gt;B1159)*(Calc!$G$3:$G$22-B1159)*Calc!$I$3:$I$22)</f>
        <v/>
      </c>
      <c r="P1159">
        <f>I1159-G1159^2/k_n</f>
        <v/>
      </c>
      <c r="Q1159">
        <f>J1159-H1159^2/k_n</f>
        <v/>
      </c>
      <c r="R1159">
        <f>K1159-G1159*H1159/k_n</f>
        <v/>
      </c>
      <c r="S1159">
        <f>L1159-LTP3!$D$3*G1159/k_n</f>
        <v/>
      </c>
      <c r="T1159">
        <f>M1159-LTP3!$D$3*H1159/k_n</f>
        <v/>
      </c>
      <c r="U1159">
        <f>N1159-G1159*LTP3!$D$4/k_n</f>
        <v/>
      </c>
      <c r="V1159">
        <f>O1159-H1159*LTP3!$D$4/k_n</f>
        <v/>
      </c>
      <c r="W1159">
        <f>((LTP3!$D$5)*((P1159)*(Q1159)-(R1159)*(R1159))-(S1159)*((S1159)*(Q1159)-(R1159)*(T1159))+(T1159)*((S1159)*(R1159)-(P1159)*(T1159)))</f>
        <v/>
      </c>
      <c r="X1159">
        <f>IF(ABS(W1159)&gt;1E-12,((LTP3!$D$6)*((P1159)*(Q1159)-(R1159)*(R1159))-(S1159)*((U1159)*(Q1159)-(R1159)*(V1159))+(T1159)*((U1159)*(R1159)-(P1159)*(V1159)))/W1159,0)</f>
        <v/>
      </c>
      <c r="Y1159">
        <f>IF(ABS(W1159)&gt;1E-12,((LTP3!$D$5)*((U1159)*(Q1159)-(R1159)*(V1159))-(LTP3!$D$6)*((S1159)*(Q1159)-(R1159)*(T1159))+(T1159)*((S1159)*(V1159)-(U1159)*(T1159)))/W1159,0)</f>
        <v/>
      </c>
      <c r="Z1159">
        <f>IF(ABS(W1159)&gt;1E-12,((LTP3!$D$5)*((P1159)*(V1159)-(U1159)*(R1159))-(S1159)*((S1159)*(V1159)-(U1159)*(T1159))+(LTP3!$D$6)*((S1159)*(R1159)-(P1159)*(T1159)))/W1159,0)</f>
        <v/>
      </c>
      <c r="AA1159">
        <f>LTP3!$D$7-X1159*LTP3!$D$6-Y1159*U1159-Z1159*V1159</f>
        <v/>
      </c>
      <c r="AB1159">
        <f>IF(AND(F1159,ABS(W1159)&gt;1E-12,Y1159&gt;0,Z1159&gt;0),AA1159,1E+300)</f>
        <v/>
      </c>
    </row>
    <row r="1160">
      <c r="A1160">
        <f>$B$3+$B$5*18</f>
        <v/>
      </c>
      <c r="B1160">
        <f>$B$3+$B$5*50</f>
        <v/>
      </c>
      <c r="C1160">
        <f>SUMPRODUCT(Calc!$K$3:$K$22*(Calc!$G$3:$G$22&lt;=A1160))</f>
        <v/>
      </c>
      <c r="D1160">
        <f>SUMPRODUCT(Calc!$K$3:$K$22*(Calc!$G$3:$G$22&gt;A1160)*(Calc!$G$3:$G$22&lt;B1160))</f>
        <v/>
      </c>
      <c r="E1160">
        <f>SUMPRODUCT(Calc!$K$3:$K$22*(Calc!$G$3:$G$22&gt;=B1160))</f>
        <v/>
      </c>
      <c r="F1160">
        <f>AND(k_n&gt;=5,B1160&gt;A1160+1E-9,C1160&gt;=2,D1160&gt;=1,E1160&gt;=2)</f>
        <v/>
      </c>
      <c r="G1160">
        <f>SUMPRODUCT(Calc!$K$3:$K$22*(Calc!$G$3:$G$22&gt;A1160)*(Calc!$G$3:$G$22-A1160))</f>
        <v/>
      </c>
      <c r="H1160">
        <f>SUMPRODUCT(Calc!$K$3:$K$22*(Calc!$G$3:$G$22&gt;B1160)*(Calc!$G$3:$G$22-B1160))</f>
        <v/>
      </c>
      <c r="I1160">
        <f>SUMPRODUCT(Calc!$K$3:$K$22*(Calc!$G$3:$G$22&gt;A1160)*(Calc!$G$3:$G$22-A1160)^2)</f>
        <v/>
      </c>
      <c r="J1160">
        <f>SUMPRODUCT(Calc!$K$3:$K$22*(Calc!$G$3:$G$22&gt;B1160)*(Calc!$G$3:$G$22-B1160)^2)</f>
        <v/>
      </c>
      <c r="K1160">
        <f>SUMPRODUCT(Calc!$K$3:$K$22*(Calc!$G$3:$G$22&gt;A1160)*(Calc!$G$3:$G$22-A1160)*(Calc!$G$3:$G$22&gt;B1160)*(Calc!$G$3:$G$22-B1160))</f>
        <v/>
      </c>
      <c r="L1160">
        <f>SUMPRODUCT(Calc!$K$3:$K$22*(Calc!$G$3:$G$22&gt;A1160)*(Calc!$G$3:$G$22-A1160)*Calc!$G$3:$G$22)</f>
        <v/>
      </c>
      <c r="M1160">
        <f>SUMPRODUCT(Calc!$K$3:$K$22*(Calc!$G$3:$G$22&gt;B1160)*(Calc!$G$3:$G$22-B1160)*Calc!$G$3:$G$22)</f>
        <v/>
      </c>
      <c r="N1160">
        <f>SUMPRODUCT(Calc!$K$3:$K$22*(Calc!$G$3:$G$22&gt;A1160)*(Calc!$G$3:$G$22-A1160)*Calc!$I$3:$I$22)</f>
        <v/>
      </c>
      <c r="O1160">
        <f>SUMPRODUCT(Calc!$K$3:$K$22*(Calc!$G$3:$G$22&gt;B1160)*(Calc!$G$3:$G$22-B1160)*Calc!$I$3:$I$22)</f>
        <v/>
      </c>
      <c r="P1160">
        <f>I1160-G1160^2/k_n</f>
        <v/>
      </c>
      <c r="Q1160">
        <f>J1160-H1160^2/k_n</f>
        <v/>
      </c>
      <c r="R1160">
        <f>K1160-G1160*H1160/k_n</f>
        <v/>
      </c>
      <c r="S1160">
        <f>L1160-LTP3!$D$3*G1160/k_n</f>
        <v/>
      </c>
      <c r="T1160">
        <f>M1160-LTP3!$D$3*H1160/k_n</f>
        <v/>
      </c>
      <c r="U1160">
        <f>N1160-G1160*LTP3!$D$4/k_n</f>
        <v/>
      </c>
      <c r="V1160">
        <f>O1160-H1160*LTP3!$D$4/k_n</f>
        <v/>
      </c>
      <c r="W1160">
        <f>((LTP3!$D$5)*((P1160)*(Q1160)-(R1160)*(R1160))-(S1160)*((S1160)*(Q1160)-(R1160)*(T1160))+(T1160)*((S1160)*(R1160)-(P1160)*(T1160)))</f>
        <v/>
      </c>
      <c r="X1160">
        <f>IF(ABS(W1160)&gt;1E-12,((LTP3!$D$6)*((P1160)*(Q1160)-(R1160)*(R1160))-(S1160)*((U1160)*(Q1160)-(R1160)*(V1160))+(T1160)*((U1160)*(R1160)-(P1160)*(V1160)))/W1160,0)</f>
        <v/>
      </c>
      <c r="Y1160">
        <f>IF(ABS(W1160)&gt;1E-12,((LTP3!$D$5)*((U1160)*(Q1160)-(R1160)*(V1160))-(LTP3!$D$6)*((S1160)*(Q1160)-(R1160)*(T1160))+(T1160)*((S1160)*(V1160)-(U1160)*(T1160)))/W1160,0)</f>
        <v/>
      </c>
      <c r="Z1160">
        <f>IF(ABS(W1160)&gt;1E-12,((LTP3!$D$5)*((P1160)*(V1160)-(U1160)*(R1160))-(S1160)*((S1160)*(V1160)-(U1160)*(T1160))+(LTP3!$D$6)*((S1160)*(R1160)-(P1160)*(T1160)))/W1160,0)</f>
        <v/>
      </c>
      <c r="AA1160">
        <f>LTP3!$D$7-X1160*LTP3!$D$6-Y1160*U1160-Z1160*V1160</f>
        <v/>
      </c>
      <c r="AB1160">
        <f>IF(AND(F1160,ABS(W1160)&gt;1E-12,Y1160&gt;0,Z1160&gt;0),AA1160,1E+300)</f>
        <v/>
      </c>
    </row>
    <row r="1161">
      <c r="A1161">
        <f>$B$3+$B$5*18</f>
        <v/>
      </c>
      <c r="B1161">
        <f>$B$3+$B$5*51</f>
        <v/>
      </c>
      <c r="C1161">
        <f>SUMPRODUCT(Calc!$K$3:$K$22*(Calc!$G$3:$G$22&lt;=A1161))</f>
        <v/>
      </c>
      <c r="D1161">
        <f>SUMPRODUCT(Calc!$K$3:$K$22*(Calc!$G$3:$G$22&gt;A1161)*(Calc!$G$3:$G$22&lt;B1161))</f>
        <v/>
      </c>
      <c r="E1161">
        <f>SUMPRODUCT(Calc!$K$3:$K$22*(Calc!$G$3:$G$22&gt;=B1161))</f>
        <v/>
      </c>
      <c r="F1161">
        <f>AND(k_n&gt;=5,B1161&gt;A1161+1E-9,C1161&gt;=2,D1161&gt;=1,E1161&gt;=2)</f>
        <v/>
      </c>
      <c r="G1161">
        <f>SUMPRODUCT(Calc!$K$3:$K$22*(Calc!$G$3:$G$22&gt;A1161)*(Calc!$G$3:$G$22-A1161))</f>
        <v/>
      </c>
      <c r="H1161">
        <f>SUMPRODUCT(Calc!$K$3:$K$22*(Calc!$G$3:$G$22&gt;B1161)*(Calc!$G$3:$G$22-B1161))</f>
        <v/>
      </c>
      <c r="I1161">
        <f>SUMPRODUCT(Calc!$K$3:$K$22*(Calc!$G$3:$G$22&gt;A1161)*(Calc!$G$3:$G$22-A1161)^2)</f>
        <v/>
      </c>
      <c r="J1161">
        <f>SUMPRODUCT(Calc!$K$3:$K$22*(Calc!$G$3:$G$22&gt;B1161)*(Calc!$G$3:$G$22-B1161)^2)</f>
        <v/>
      </c>
      <c r="K1161">
        <f>SUMPRODUCT(Calc!$K$3:$K$22*(Calc!$G$3:$G$22&gt;A1161)*(Calc!$G$3:$G$22-A1161)*(Calc!$G$3:$G$22&gt;B1161)*(Calc!$G$3:$G$22-B1161))</f>
        <v/>
      </c>
      <c r="L1161">
        <f>SUMPRODUCT(Calc!$K$3:$K$22*(Calc!$G$3:$G$22&gt;A1161)*(Calc!$G$3:$G$22-A1161)*Calc!$G$3:$G$22)</f>
        <v/>
      </c>
      <c r="M1161">
        <f>SUMPRODUCT(Calc!$K$3:$K$22*(Calc!$G$3:$G$22&gt;B1161)*(Calc!$G$3:$G$22-B1161)*Calc!$G$3:$G$22)</f>
        <v/>
      </c>
      <c r="N1161">
        <f>SUMPRODUCT(Calc!$K$3:$K$22*(Calc!$G$3:$G$22&gt;A1161)*(Calc!$G$3:$G$22-A1161)*Calc!$I$3:$I$22)</f>
        <v/>
      </c>
      <c r="O1161">
        <f>SUMPRODUCT(Calc!$K$3:$K$22*(Calc!$G$3:$G$22&gt;B1161)*(Calc!$G$3:$G$22-B1161)*Calc!$I$3:$I$22)</f>
        <v/>
      </c>
      <c r="P1161">
        <f>I1161-G1161^2/k_n</f>
        <v/>
      </c>
      <c r="Q1161">
        <f>J1161-H1161^2/k_n</f>
        <v/>
      </c>
      <c r="R1161">
        <f>K1161-G1161*H1161/k_n</f>
        <v/>
      </c>
      <c r="S1161">
        <f>L1161-LTP3!$D$3*G1161/k_n</f>
        <v/>
      </c>
      <c r="T1161">
        <f>M1161-LTP3!$D$3*H1161/k_n</f>
        <v/>
      </c>
      <c r="U1161">
        <f>N1161-G1161*LTP3!$D$4/k_n</f>
        <v/>
      </c>
      <c r="V1161">
        <f>O1161-H1161*LTP3!$D$4/k_n</f>
        <v/>
      </c>
      <c r="W1161">
        <f>((LTP3!$D$5)*((P1161)*(Q1161)-(R1161)*(R1161))-(S1161)*((S1161)*(Q1161)-(R1161)*(T1161))+(T1161)*((S1161)*(R1161)-(P1161)*(T1161)))</f>
        <v/>
      </c>
      <c r="X1161">
        <f>IF(ABS(W1161)&gt;1E-12,((LTP3!$D$6)*((P1161)*(Q1161)-(R1161)*(R1161))-(S1161)*((U1161)*(Q1161)-(R1161)*(V1161))+(T1161)*((U1161)*(R1161)-(P1161)*(V1161)))/W1161,0)</f>
        <v/>
      </c>
      <c r="Y1161">
        <f>IF(ABS(W1161)&gt;1E-12,((LTP3!$D$5)*((U1161)*(Q1161)-(R1161)*(V1161))-(LTP3!$D$6)*((S1161)*(Q1161)-(R1161)*(T1161))+(T1161)*((S1161)*(V1161)-(U1161)*(T1161)))/W1161,0)</f>
        <v/>
      </c>
      <c r="Z1161">
        <f>IF(ABS(W1161)&gt;1E-12,((LTP3!$D$5)*((P1161)*(V1161)-(U1161)*(R1161))-(S1161)*((S1161)*(V1161)-(U1161)*(T1161))+(LTP3!$D$6)*((S1161)*(R1161)-(P1161)*(T1161)))/W1161,0)</f>
        <v/>
      </c>
      <c r="AA1161">
        <f>LTP3!$D$7-X1161*LTP3!$D$6-Y1161*U1161-Z1161*V1161</f>
        <v/>
      </c>
      <c r="AB1161">
        <f>IF(AND(F1161,ABS(W1161)&gt;1E-12,Y1161&gt;0,Z1161&gt;0),AA1161,1E+300)</f>
        <v/>
      </c>
    </row>
    <row r="1162">
      <c r="A1162">
        <f>$B$3+$B$5*18</f>
        <v/>
      </c>
      <c r="B1162">
        <f>$B$3+$B$5*52</f>
        <v/>
      </c>
      <c r="C1162">
        <f>SUMPRODUCT(Calc!$K$3:$K$22*(Calc!$G$3:$G$22&lt;=A1162))</f>
        <v/>
      </c>
      <c r="D1162">
        <f>SUMPRODUCT(Calc!$K$3:$K$22*(Calc!$G$3:$G$22&gt;A1162)*(Calc!$G$3:$G$22&lt;B1162))</f>
        <v/>
      </c>
      <c r="E1162">
        <f>SUMPRODUCT(Calc!$K$3:$K$22*(Calc!$G$3:$G$22&gt;=B1162))</f>
        <v/>
      </c>
      <c r="F1162">
        <f>AND(k_n&gt;=5,B1162&gt;A1162+1E-9,C1162&gt;=2,D1162&gt;=1,E1162&gt;=2)</f>
        <v/>
      </c>
      <c r="G1162">
        <f>SUMPRODUCT(Calc!$K$3:$K$22*(Calc!$G$3:$G$22&gt;A1162)*(Calc!$G$3:$G$22-A1162))</f>
        <v/>
      </c>
      <c r="H1162">
        <f>SUMPRODUCT(Calc!$K$3:$K$22*(Calc!$G$3:$G$22&gt;B1162)*(Calc!$G$3:$G$22-B1162))</f>
        <v/>
      </c>
      <c r="I1162">
        <f>SUMPRODUCT(Calc!$K$3:$K$22*(Calc!$G$3:$G$22&gt;A1162)*(Calc!$G$3:$G$22-A1162)^2)</f>
        <v/>
      </c>
      <c r="J1162">
        <f>SUMPRODUCT(Calc!$K$3:$K$22*(Calc!$G$3:$G$22&gt;B1162)*(Calc!$G$3:$G$22-B1162)^2)</f>
        <v/>
      </c>
      <c r="K1162">
        <f>SUMPRODUCT(Calc!$K$3:$K$22*(Calc!$G$3:$G$22&gt;A1162)*(Calc!$G$3:$G$22-A1162)*(Calc!$G$3:$G$22&gt;B1162)*(Calc!$G$3:$G$22-B1162))</f>
        <v/>
      </c>
      <c r="L1162">
        <f>SUMPRODUCT(Calc!$K$3:$K$22*(Calc!$G$3:$G$22&gt;A1162)*(Calc!$G$3:$G$22-A1162)*Calc!$G$3:$G$22)</f>
        <v/>
      </c>
      <c r="M1162">
        <f>SUMPRODUCT(Calc!$K$3:$K$22*(Calc!$G$3:$G$22&gt;B1162)*(Calc!$G$3:$G$22-B1162)*Calc!$G$3:$G$22)</f>
        <v/>
      </c>
      <c r="N1162">
        <f>SUMPRODUCT(Calc!$K$3:$K$22*(Calc!$G$3:$G$22&gt;A1162)*(Calc!$G$3:$G$22-A1162)*Calc!$I$3:$I$22)</f>
        <v/>
      </c>
      <c r="O1162">
        <f>SUMPRODUCT(Calc!$K$3:$K$22*(Calc!$G$3:$G$22&gt;B1162)*(Calc!$G$3:$G$22-B1162)*Calc!$I$3:$I$22)</f>
        <v/>
      </c>
      <c r="P1162">
        <f>I1162-G1162^2/k_n</f>
        <v/>
      </c>
      <c r="Q1162">
        <f>J1162-H1162^2/k_n</f>
        <v/>
      </c>
      <c r="R1162">
        <f>K1162-G1162*H1162/k_n</f>
        <v/>
      </c>
      <c r="S1162">
        <f>L1162-LTP3!$D$3*G1162/k_n</f>
        <v/>
      </c>
      <c r="T1162">
        <f>M1162-LTP3!$D$3*H1162/k_n</f>
        <v/>
      </c>
      <c r="U1162">
        <f>N1162-G1162*LTP3!$D$4/k_n</f>
        <v/>
      </c>
      <c r="V1162">
        <f>O1162-H1162*LTP3!$D$4/k_n</f>
        <v/>
      </c>
      <c r="W1162">
        <f>((LTP3!$D$5)*((P1162)*(Q1162)-(R1162)*(R1162))-(S1162)*((S1162)*(Q1162)-(R1162)*(T1162))+(T1162)*((S1162)*(R1162)-(P1162)*(T1162)))</f>
        <v/>
      </c>
      <c r="X1162">
        <f>IF(ABS(W1162)&gt;1E-12,((LTP3!$D$6)*((P1162)*(Q1162)-(R1162)*(R1162))-(S1162)*((U1162)*(Q1162)-(R1162)*(V1162))+(T1162)*((U1162)*(R1162)-(P1162)*(V1162)))/W1162,0)</f>
        <v/>
      </c>
      <c r="Y1162">
        <f>IF(ABS(W1162)&gt;1E-12,((LTP3!$D$5)*((U1162)*(Q1162)-(R1162)*(V1162))-(LTP3!$D$6)*((S1162)*(Q1162)-(R1162)*(T1162))+(T1162)*((S1162)*(V1162)-(U1162)*(T1162)))/W1162,0)</f>
        <v/>
      </c>
      <c r="Z1162">
        <f>IF(ABS(W1162)&gt;1E-12,((LTP3!$D$5)*((P1162)*(V1162)-(U1162)*(R1162))-(S1162)*((S1162)*(V1162)-(U1162)*(T1162))+(LTP3!$D$6)*((S1162)*(R1162)-(P1162)*(T1162)))/W1162,0)</f>
        <v/>
      </c>
      <c r="AA1162">
        <f>LTP3!$D$7-X1162*LTP3!$D$6-Y1162*U1162-Z1162*V1162</f>
        <v/>
      </c>
      <c r="AB1162">
        <f>IF(AND(F1162,ABS(W1162)&gt;1E-12,Y1162&gt;0,Z1162&gt;0),AA1162,1E+300)</f>
        <v/>
      </c>
    </row>
    <row r="1163">
      <c r="A1163">
        <f>$B$3+$B$5*18</f>
        <v/>
      </c>
      <c r="B1163">
        <f>$B$3+$B$5*53</f>
        <v/>
      </c>
      <c r="C1163">
        <f>SUMPRODUCT(Calc!$K$3:$K$22*(Calc!$G$3:$G$22&lt;=A1163))</f>
        <v/>
      </c>
      <c r="D1163">
        <f>SUMPRODUCT(Calc!$K$3:$K$22*(Calc!$G$3:$G$22&gt;A1163)*(Calc!$G$3:$G$22&lt;B1163))</f>
        <v/>
      </c>
      <c r="E1163">
        <f>SUMPRODUCT(Calc!$K$3:$K$22*(Calc!$G$3:$G$22&gt;=B1163))</f>
        <v/>
      </c>
      <c r="F1163">
        <f>AND(k_n&gt;=5,B1163&gt;A1163+1E-9,C1163&gt;=2,D1163&gt;=1,E1163&gt;=2)</f>
        <v/>
      </c>
      <c r="G1163">
        <f>SUMPRODUCT(Calc!$K$3:$K$22*(Calc!$G$3:$G$22&gt;A1163)*(Calc!$G$3:$G$22-A1163))</f>
        <v/>
      </c>
      <c r="H1163">
        <f>SUMPRODUCT(Calc!$K$3:$K$22*(Calc!$G$3:$G$22&gt;B1163)*(Calc!$G$3:$G$22-B1163))</f>
        <v/>
      </c>
      <c r="I1163">
        <f>SUMPRODUCT(Calc!$K$3:$K$22*(Calc!$G$3:$G$22&gt;A1163)*(Calc!$G$3:$G$22-A1163)^2)</f>
        <v/>
      </c>
      <c r="J1163">
        <f>SUMPRODUCT(Calc!$K$3:$K$22*(Calc!$G$3:$G$22&gt;B1163)*(Calc!$G$3:$G$22-B1163)^2)</f>
        <v/>
      </c>
      <c r="K1163">
        <f>SUMPRODUCT(Calc!$K$3:$K$22*(Calc!$G$3:$G$22&gt;A1163)*(Calc!$G$3:$G$22-A1163)*(Calc!$G$3:$G$22&gt;B1163)*(Calc!$G$3:$G$22-B1163))</f>
        <v/>
      </c>
      <c r="L1163">
        <f>SUMPRODUCT(Calc!$K$3:$K$22*(Calc!$G$3:$G$22&gt;A1163)*(Calc!$G$3:$G$22-A1163)*Calc!$G$3:$G$22)</f>
        <v/>
      </c>
      <c r="M1163">
        <f>SUMPRODUCT(Calc!$K$3:$K$22*(Calc!$G$3:$G$22&gt;B1163)*(Calc!$G$3:$G$22-B1163)*Calc!$G$3:$G$22)</f>
        <v/>
      </c>
      <c r="N1163">
        <f>SUMPRODUCT(Calc!$K$3:$K$22*(Calc!$G$3:$G$22&gt;A1163)*(Calc!$G$3:$G$22-A1163)*Calc!$I$3:$I$22)</f>
        <v/>
      </c>
      <c r="O1163">
        <f>SUMPRODUCT(Calc!$K$3:$K$22*(Calc!$G$3:$G$22&gt;B1163)*(Calc!$G$3:$G$22-B1163)*Calc!$I$3:$I$22)</f>
        <v/>
      </c>
      <c r="P1163">
        <f>I1163-G1163^2/k_n</f>
        <v/>
      </c>
      <c r="Q1163">
        <f>J1163-H1163^2/k_n</f>
        <v/>
      </c>
      <c r="R1163">
        <f>K1163-G1163*H1163/k_n</f>
        <v/>
      </c>
      <c r="S1163">
        <f>L1163-LTP3!$D$3*G1163/k_n</f>
        <v/>
      </c>
      <c r="T1163">
        <f>M1163-LTP3!$D$3*H1163/k_n</f>
        <v/>
      </c>
      <c r="U1163">
        <f>N1163-G1163*LTP3!$D$4/k_n</f>
        <v/>
      </c>
      <c r="V1163">
        <f>O1163-H1163*LTP3!$D$4/k_n</f>
        <v/>
      </c>
      <c r="W1163">
        <f>((LTP3!$D$5)*((P1163)*(Q1163)-(R1163)*(R1163))-(S1163)*((S1163)*(Q1163)-(R1163)*(T1163))+(T1163)*((S1163)*(R1163)-(P1163)*(T1163)))</f>
        <v/>
      </c>
      <c r="X1163">
        <f>IF(ABS(W1163)&gt;1E-12,((LTP3!$D$6)*((P1163)*(Q1163)-(R1163)*(R1163))-(S1163)*((U1163)*(Q1163)-(R1163)*(V1163))+(T1163)*((U1163)*(R1163)-(P1163)*(V1163)))/W1163,0)</f>
        <v/>
      </c>
      <c r="Y1163">
        <f>IF(ABS(W1163)&gt;1E-12,((LTP3!$D$5)*((U1163)*(Q1163)-(R1163)*(V1163))-(LTP3!$D$6)*((S1163)*(Q1163)-(R1163)*(T1163))+(T1163)*((S1163)*(V1163)-(U1163)*(T1163)))/W1163,0)</f>
        <v/>
      </c>
      <c r="Z1163">
        <f>IF(ABS(W1163)&gt;1E-12,((LTP3!$D$5)*((P1163)*(V1163)-(U1163)*(R1163))-(S1163)*((S1163)*(V1163)-(U1163)*(T1163))+(LTP3!$D$6)*((S1163)*(R1163)-(P1163)*(T1163)))/W1163,0)</f>
        <v/>
      </c>
      <c r="AA1163">
        <f>LTP3!$D$7-X1163*LTP3!$D$6-Y1163*U1163-Z1163*V1163</f>
        <v/>
      </c>
      <c r="AB1163">
        <f>IF(AND(F1163,ABS(W1163)&gt;1E-12,Y1163&gt;0,Z1163&gt;0),AA1163,1E+300)</f>
        <v/>
      </c>
    </row>
    <row r="1164">
      <c r="A1164">
        <f>$B$3+$B$5*18</f>
        <v/>
      </c>
      <c r="B1164">
        <f>$B$3+$B$5*54</f>
        <v/>
      </c>
      <c r="C1164">
        <f>SUMPRODUCT(Calc!$K$3:$K$22*(Calc!$G$3:$G$22&lt;=A1164))</f>
        <v/>
      </c>
      <c r="D1164">
        <f>SUMPRODUCT(Calc!$K$3:$K$22*(Calc!$G$3:$G$22&gt;A1164)*(Calc!$G$3:$G$22&lt;B1164))</f>
        <v/>
      </c>
      <c r="E1164">
        <f>SUMPRODUCT(Calc!$K$3:$K$22*(Calc!$G$3:$G$22&gt;=B1164))</f>
        <v/>
      </c>
      <c r="F1164">
        <f>AND(k_n&gt;=5,B1164&gt;A1164+1E-9,C1164&gt;=2,D1164&gt;=1,E1164&gt;=2)</f>
        <v/>
      </c>
      <c r="G1164">
        <f>SUMPRODUCT(Calc!$K$3:$K$22*(Calc!$G$3:$G$22&gt;A1164)*(Calc!$G$3:$G$22-A1164))</f>
        <v/>
      </c>
      <c r="H1164">
        <f>SUMPRODUCT(Calc!$K$3:$K$22*(Calc!$G$3:$G$22&gt;B1164)*(Calc!$G$3:$G$22-B1164))</f>
        <v/>
      </c>
      <c r="I1164">
        <f>SUMPRODUCT(Calc!$K$3:$K$22*(Calc!$G$3:$G$22&gt;A1164)*(Calc!$G$3:$G$22-A1164)^2)</f>
        <v/>
      </c>
      <c r="J1164">
        <f>SUMPRODUCT(Calc!$K$3:$K$22*(Calc!$G$3:$G$22&gt;B1164)*(Calc!$G$3:$G$22-B1164)^2)</f>
        <v/>
      </c>
      <c r="K1164">
        <f>SUMPRODUCT(Calc!$K$3:$K$22*(Calc!$G$3:$G$22&gt;A1164)*(Calc!$G$3:$G$22-A1164)*(Calc!$G$3:$G$22&gt;B1164)*(Calc!$G$3:$G$22-B1164))</f>
        <v/>
      </c>
      <c r="L1164">
        <f>SUMPRODUCT(Calc!$K$3:$K$22*(Calc!$G$3:$G$22&gt;A1164)*(Calc!$G$3:$G$22-A1164)*Calc!$G$3:$G$22)</f>
        <v/>
      </c>
      <c r="M1164">
        <f>SUMPRODUCT(Calc!$K$3:$K$22*(Calc!$G$3:$G$22&gt;B1164)*(Calc!$G$3:$G$22-B1164)*Calc!$G$3:$G$22)</f>
        <v/>
      </c>
      <c r="N1164">
        <f>SUMPRODUCT(Calc!$K$3:$K$22*(Calc!$G$3:$G$22&gt;A1164)*(Calc!$G$3:$G$22-A1164)*Calc!$I$3:$I$22)</f>
        <v/>
      </c>
      <c r="O1164">
        <f>SUMPRODUCT(Calc!$K$3:$K$22*(Calc!$G$3:$G$22&gt;B1164)*(Calc!$G$3:$G$22-B1164)*Calc!$I$3:$I$22)</f>
        <v/>
      </c>
      <c r="P1164">
        <f>I1164-G1164^2/k_n</f>
        <v/>
      </c>
      <c r="Q1164">
        <f>J1164-H1164^2/k_n</f>
        <v/>
      </c>
      <c r="R1164">
        <f>K1164-G1164*H1164/k_n</f>
        <v/>
      </c>
      <c r="S1164">
        <f>L1164-LTP3!$D$3*G1164/k_n</f>
        <v/>
      </c>
      <c r="T1164">
        <f>M1164-LTP3!$D$3*H1164/k_n</f>
        <v/>
      </c>
      <c r="U1164">
        <f>N1164-G1164*LTP3!$D$4/k_n</f>
        <v/>
      </c>
      <c r="V1164">
        <f>O1164-H1164*LTP3!$D$4/k_n</f>
        <v/>
      </c>
      <c r="W1164">
        <f>((LTP3!$D$5)*((P1164)*(Q1164)-(R1164)*(R1164))-(S1164)*((S1164)*(Q1164)-(R1164)*(T1164))+(T1164)*((S1164)*(R1164)-(P1164)*(T1164)))</f>
        <v/>
      </c>
      <c r="X1164">
        <f>IF(ABS(W1164)&gt;1E-12,((LTP3!$D$6)*((P1164)*(Q1164)-(R1164)*(R1164))-(S1164)*((U1164)*(Q1164)-(R1164)*(V1164))+(T1164)*((U1164)*(R1164)-(P1164)*(V1164)))/W1164,0)</f>
        <v/>
      </c>
      <c r="Y1164">
        <f>IF(ABS(W1164)&gt;1E-12,((LTP3!$D$5)*((U1164)*(Q1164)-(R1164)*(V1164))-(LTP3!$D$6)*((S1164)*(Q1164)-(R1164)*(T1164))+(T1164)*((S1164)*(V1164)-(U1164)*(T1164)))/W1164,0)</f>
        <v/>
      </c>
      <c r="Z1164">
        <f>IF(ABS(W1164)&gt;1E-12,((LTP3!$D$5)*((P1164)*(V1164)-(U1164)*(R1164))-(S1164)*((S1164)*(V1164)-(U1164)*(T1164))+(LTP3!$D$6)*((S1164)*(R1164)-(P1164)*(T1164)))/W1164,0)</f>
        <v/>
      </c>
      <c r="AA1164">
        <f>LTP3!$D$7-X1164*LTP3!$D$6-Y1164*U1164-Z1164*V1164</f>
        <v/>
      </c>
      <c r="AB1164">
        <f>IF(AND(F1164,ABS(W1164)&gt;1E-12,Y1164&gt;0,Z1164&gt;0),AA1164,1E+300)</f>
        <v/>
      </c>
    </row>
    <row r="1165">
      <c r="A1165">
        <f>$B$3+$B$5*18</f>
        <v/>
      </c>
      <c r="B1165">
        <f>$B$3+$B$5*55</f>
        <v/>
      </c>
      <c r="C1165">
        <f>SUMPRODUCT(Calc!$K$3:$K$22*(Calc!$G$3:$G$22&lt;=A1165))</f>
        <v/>
      </c>
      <c r="D1165">
        <f>SUMPRODUCT(Calc!$K$3:$K$22*(Calc!$G$3:$G$22&gt;A1165)*(Calc!$G$3:$G$22&lt;B1165))</f>
        <v/>
      </c>
      <c r="E1165">
        <f>SUMPRODUCT(Calc!$K$3:$K$22*(Calc!$G$3:$G$22&gt;=B1165))</f>
        <v/>
      </c>
      <c r="F1165">
        <f>AND(k_n&gt;=5,B1165&gt;A1165+1E-9,C1165&gt;=2,D1165&gt;=1,E1165&gt;=2)</f>
        <v/>
      </c>
      <c r="G1165">
        <f>SUMPRODUCT(Calc!$K$3:$K$22*(Calc!$G$3:$G$22&gt;A1165)*(Calc!$G$3:$G$22-A1165))</f>
        <v/>
      </c>
      <c r="H1165">
        <f>SUMPRODUCT(Calc!$K$3:$K$22*(Calc!$G$3:$G$22&gt;B1165)*(Calc!$G$3:$G$22-B1165))</f>
        <v/>
      </c>
      <c r="I1165">
        <f>SUMPRODUCT(Calc!$K$3:$K$22*(Calc!$G$3:$G$22&gt;A1165)*(Calc!$G$3:$G$22-A1165)^2)</f>
        <v/>
      </c>
      <c r="J1165">
        <f>SUMPRODUCT(Calc!$K$3:$K$22*(Calc!$G$3:$G$22&gt;B1165)*(Calc!$G$3:$G$22-B1165)^2)</f>
        <v/>
      </c>
      <c r="K1165">
        <f>SUMPRODUCT(Calc!$K$3:$K$22*(Calc!$G$3:$G$22&gt;A1165)*(Calc!$G$3:$G$22-A1165)*(Calc!$G$3:$G$22&gt;B1165)*(Calc!$G$3:$G$22-B1165))</f>
        <v/>
      </c>
      <c r="L1165">
        <f>SUMPRODUCT(Calc!$K$3:$K$22*(Calc!$G$3:$G$22&gt;A1165)*(Calc!$G$3:$G$22-A1165)*Calc!$G$3:$G$22)</f>
        <v/>
      </c>
      <c r="M1165">
        <f>SUMPRODUCT(Calc!$K$3:$K$22*(Calc!$G$3:$G$22&gt;B1165)*(Calc!$G$3:$G$22-B1165)*Calc!$G$3:$G$22)</f>
        <v/>
      </c>
      <c r="N1165">
        <f>SUMPRODUCT(Calc!$K$3:$K$22*(Calc!$G$3:$G$22&gt;A1165)*(Calc!$G$3:$G$22-A1165)*Calc!$I$3:$I$22)</f>
        <v/>
      </c>
      <c r="O1165">
        <f>SUMPRODUCT(Calc!$K$3:$K$22*(Calc!$G$3:$G$22&gt;B1165)*(Calc!$G$3:$G$22-B1165)*Calc!$I$3:$I$22)</f>
        <v/>
      </c>
      <c r="P1165">
        <f>I1165-G1165^2/k_n</f>
        <v/>
      </c>
      <c r="Q1165">
        <f>J1165-H1165^2/k_n</f>
        <v/>
      </c>
      <c r="R1165">
        <f>K1165-G1165*H1165/k_n</f>
        <v/>
      </c>
      <c r="S1165">
        <f>L1165-LTP3!$D$3*G1165/k_n</f>
        <v/>
      </c>
      <c r="T1165">
        <f>M1165-LTP3!$D$3*H1165/k_n</f>
        <v/>
      </c>
      <c r="U1165">
        <f>N1165-G1165*LTP3!$D$4/k_n</f>
        <v/>
      </c>
      <c r="V1165">
        <f>O1165-H1165*LTP3!$D$4/k_n</f>
        <v/>
      </c>
      <c r="W1165">
        <f>((LTP3!$D$5)*((P1165)*(Q1165)-(R1165)*(R1165))-(S1165)*((S1165)*(Q1165)-(R1165)*(T1165))+(T1165)*((S1165)*(R1165)-(P1165)*(T1165)))</f>
        <v/>
      </c>
      <c r="X1165">
        <f>IF(ABS(W1165)&gt;1E-12,((LTP3!$D$6)*((P1165)*(Q1165)-(R1165)*(R1165))-(S1165)*((U1165)*(Q1165)-(R1165)*(V1165))+(T1165)*((U1165)*(R1165)-(P1165)*(V1165)))/W1165,0)</f>
        <v/>
      </c>
      <c r="Y1165">
        <f>IF(ABS(W1165)&gt;1E-12,((LTP3!$D$5)*((U1165)*(Q1165)-(R1165)*(V1165))-(LTP3!$D$6)*((S1165)*(Q1165)-(R1165)*(T1165))+(T1165)*((S1165)*(V1165)-(U1165)*(T1165)))/W1165,0)</f>
        <v/>
      </c>
      <c r="Z1165">
        <f>IF(ABS(W1165)&gt;1E-12,((LTP3!$D$5)*((P1165)*(V1165)-(U1165)*(R1165))-(S1165)*((S1165)*(V1165)-(U1165)*(T1165))+(LTP3!$D$6)*((S1165)*(R1165)-(P1165)*(T1165)))/W1165,0)</f>
        <v/>
      </c>
      <c r="AA1165">
        <f>LTP3!$D$7-X1165*LTP3!$D$6-Y1165*U1165-Z1165*V1165</f>
        <v/>
      </c>
      <c r="AB1165">
        <f>IF(AND(F1165,ABS(W1165)&gt;1E-12,Y1165&gt;0,Z1165&gt;0),AA1165,1E+300)</f>
        <v/>
      </c>
    </row>
    <row r="1166">
      <c r="A1166">
        <f>$B$3+$B$5*18</f>
        <v/>
      </c>
      <c r="B1166">
        <f>$B$3+$B$5*56</f>
        <v/>
      </c>
      <c r="C1166">
        <f>SUMPRODUCT(Calc!$K$3:$K$22*(Calc!$G$3:$G$22&lt;=A1166))</f>
        <v/>
      </c>
      <c r="D1166">
        <f>SUMPRODUCT(Calc!$K$3:$K$22*(Calc!$G$3:$G$22&gt;A1166)*(Calc!$G$3:$G$22&lt;B1166))</f>
        <v/>
      </c>
      <c r="E1166">
        <f>SUMPRODUCT(Calc!$K$3:$K$22*(Calc!$G$3:$G$22&gt;=B1166))</f>
        <v/>
      </c>
      <c r="F1166">
        <f>AND(k_n&gt;=5,B1166&gt;A1166+1E-9,C1166&gt;=2,D1166&gt;=1,E1166&gt;=2)</f>
        <v/>
      </c>
      <c r="G1166">
        <f>SUMPRODUCT(Calc!$K$3:$K$22*(Calc!$G$3:$G$22&gt;A1166)*(Calc!$G$3:$G$22-A1166))</f>
        <v/>
      </c>
      <c r="H1166">
        <f>SUMPRODUCT(Calc!$K$3:$K$22*(Calc!$G$3:$G$22&gt;B1166)*(Calc!$G$3:$G$22-B1166))</f>
        <v/>
      </c>
      <c r="I1166">
        <f>SUMPRODUCT(Calc!$K$3:$K$22*(Calc!$G$3:$G$22&gt;A1166)*(Calc!$G$3:$G$22-A1166)^2)</f>
        <v/>
      </c>
      <c r="J1166">
        <f>SUMPRODUCT(Calc!$K$3:$K$22*(Calc!$G$3:$G$22&gt;B1166)*(Calc!$G$3:$G$22-B1166)^2)</f>
        <v/>
      </c>
      <c r="K1166">
        <f>SUMPRODUCT(Calc!$K$3:$K$22*(Calc!$G$3:$G$22&gt;A1166)*(Calc!$G$3:$G$22-A1166)*(Calc!$G$3:$G$22&gt;B1166)*(Calc!$G$3:$G$22-B1166))</f>
        <v/>
      </c>
      <c r="L1166">
        <f>SUMPRODUCT(Calc!$K$3:$K$22*(Calc!$G$3:$G$22&gt;A1166)*(Calc!$G$3:$G$22-A1166)*Calc!$G$3:$G$22)</f>
        <v/>
      </c>
      <c r="M1166">
        <f>SUMPRODUCT(Calc!$K$3:$K$22*(Calc!$G$3:$G$22&gt;B1166)*(Calc!$G$3:$G$22-B1166)*Calc!$G$3:$G$22)</f>
        <v/>
      </c>
      <c r="N1166">
        <f>SUMPRODUCT(Calc!$K$3:$K$22*(Calc!$G$3:$G$22&gt;A1166)*(Calc!$G$3:$G$22-A1166)*Calc!$I$3:$I$22)</f>
        <v/>
      </c>
      <c r="O1166">
        <f>SUMPRODUCT(Calc!$K$3:$K$22*(Calc!$G$3:$G$22&gt;B1166)*(Calc!$G$3:$G$22-B1166)*Calc!$I$3:$I$22)</f>
        <v/>
      </c>
      <c r="P1166">
        <f>I1166-G1166^2/k_n</f>
        <v/>
      </c>
      <c r="Q1166">
        <f>J1166-H1166^2/k_n</f>
        <v/>
      </c>
      <c r="R1166">
        <f>K1166-G1166*H1166/k_n</f>
        <v/>
      </c>
      <c r="S1166">
        <f>L1166-LTP3!$D$3*G1166/k_n</f>
        <v/>
      </c>
      <c r="T1166">
        <f>M1166-LTP3!$D$3*H1166/k_n</f>
        <v/>
      </c>
      <c r="U1166">
        <f>N1166-G1166*LTP3!$D$4/k_n</f>
        <v/>
      </c>
      <c r="V1166">
        <f>O1166-H1166*LTP3!$D$4/k_n</f>
        <v/>
      </c>
      <c r="W1166">
        <f>((LTP3!$D$5)*((P1166)*(Q1166)-(R1166)*(R1166))-(S1166)*((S1166)*(Q1166)-(R1166)*(T1166))+(T1166)*((S1166)*(R1166)-(P1166)*(T1166)))</f>
        <v/>
      </c>
      <c r="X1166">
        <f>IF(ABS(W1166)&gt;1E-12,((LTP3!$D$6)*((P1166)*(Q1166)-(R1166)*(R1166))-(S1166)*((U1166)*(Q1166)-(R1166)*(V1166))+(T1166)*((U1166)*(R1166)-(P1166)*(V1166)))/W1166,0)</f>
        <v/>
      </c>
      <c r="Y1166">
        <f>IF(ABS(W1166)&gt;1E-12,((LTP3!$D$5)*((U1166)*(Q1166)-(R1166)*(V1166))-(LTP3!$D$6)*((S1166)*(Q1166)-(R1166)*(T1166))+(T1166)*((S1166)*(V1166)-(U1166)*(T1166)))/W1166,0)</f>
        <v/>
      </c>
      <c r="Z1166">
        <f>IF(ABS(W1166)&gt;1E-12,((LTP3!$D$5)*((P1166)*(V1166)-(U1166)*(R1166))-(S1166)*((S1166)*(V1166)-(U1166)*(T1166))+(LTP3!$D$6)*((S1166)*(R1166)-(P1166)*(T1166)))/W1166,0)</f>
        <v/>
      </c>
      <c r="AA1166">
        <f>LTP3!$D$7-X1166*LTP3!$D$6-Y1166*U1166-Z1166*V1166</f>
        <v/>
      </c>
      <c r="AB1166">
        <f>IF(AND(F1166,ABS(W1166)&gt;1E-12,Y1166&gt;0,Z1166&gt;0),AA1166,1E+300)</f>
        <v/>
      </c>
    </row>
    <row r="1167">
      <c r="A1167">
        <f>$B$3+$B$5*18</f>
        <v/>
      </c>
      <c r="B1167">
        <f>$B$3+$B$5*57</f>
        <v/>
      </c>
      <c r="C1167">
        <f>SUMPRODUCT(Calc!$K$3:$K$22*(Calc!$G$3:$G$22&lt;=A1167))</f>
        <v/>
      </c>
      <c r="D1167">
        <f>SUMPRODUCT(Calc!$K$3:$K$22*(Calc!$G$3:$G$22&gt;A1167)*(Calc!$G$3:$G$22&lt;B1167))</f>
        <v/>
      </c>
      <c r="E1167">
        <f>SUMPRODUCT(Calc!$K$3:$K$22*(Calc!$G$3:$G$22&gt;=B1167))</f>
        <v/>
      </c>
      <c r="F1167">
        <f>AND(k_n&gt;=5,B1167&gt;A1167+1E-9,C1167&gt;=2,D1167&gt;=1,E1167&gt;=2)</f>
        <v/>
      </c>
      <c r="G1167">
        <f>SUMPRODUCT(Calc!$K$3:$K$22*(Calc!$G$3:$G$22&gt;A1167)*(Calc!$G$3:$G$22-A1167))</f>
        <v/>
      </c>
      <c r="H1167">
        <f>SUMPRODUCT(Calc!$K$3:$K$22*(Calc!$G$3:$G$22&gt;B1167)*(Calc!$G$3:$G$22-B1167))</f>
        <v/>
      </c>
      <c r="I1167">
        <f>SUMPRODUCT(Calc!$K$3:$K$22*(Calc!$G$3:$G$22&gt;A1167)*(Calc!$G$3:$G$22-A1167)^2)</f>
        <v/>
      </c>
      <c r="J1167">
        <f>SUMPRODUCT(Calc!$K$3:$K$22*(Calc!$G$3:$G$22&gt;B1167)*(Calc!$G$3:$G$22-B1167)^2)</f>
        <v/>
      </c>
      <c r="K1167">
        <f>SUMPRODUCT(Calc!$K$3:$K$22*(Calc!$G$3:$G$22&gt;A1167)*(Calc!$G$3:$G$22-A1167)*(Calc!$G$3:$G$22&gt;B1167)*(Calc!$G$3:$G$22-B1167))</f>
        <v/>
      </c>
      <c r="L1167">
        <f>SUMPRODUCT(Calc!$K$3:$K$22*(Calc!$G$3:$G$22&gt;A1167)*(Calc!$G$3:$G$22-A1167)*Calc!$G$3:$G$22)</f>
        <v/>
      </c>
      <c r="M1167">
        <f>SUMPRODUCT(Calc!$K$3:$K$22*(Calc!$G$3:$G$22&gt;B1167)*(Calc!$G$3:$G$22-B1167)*Calc!$G$3:$G$22)</f>
        <v/>
      </c>
      <c r="N1167">
        <f>SUMPRODUCT(Calc!$K$3:$K$22*(Calc!$G$3:$G$22&gt;A1167)*(Calc!$G$3:$G$22-A1167)*Calc!$I$3:$I$22)</f>
        <v/>
      </c>
      <c r="O1167">
        <f>SUMPRODUCT(Calc!$K$3:$K$22*(Calc!$G$3:$G$22&gt;B1167)*(Calc!$G$3:$G$22-B1167)*Calc!$I$3:$I$22)</f>
        <v/>
      </c>
      <c r="P1167">
        <f>I1167-G1167^2/k_n</f>
        <v/>
      </c>
      <c r="Q1167">
        <f>J1167-H1167^2/k_n</f>
        <v/>
      </c>
      <c r="R1167">
        <f>K1167-G1167*H1167/k_n</f>
        <v/>
      </c>
      <c r="S1167">
        <f>L1167-LTP3!$D$3*G1167/k_n</f>
        <v/>
      </c>
      <c r="T1167">
        <f>M1167-LTP3!$D$3*H1167/k_n</f>
        <v/>
      </c>
      <c r="U1167">
        <f>N1167-G1167*LTP3!$D$4/k_n</f>
        <v/>
      </c>
      <c r="V1167">
        <f>O1167-H1167*LTP3!$D$4/k_n</f>
        <v/>
      </c>
      <c r="W1167">
        <f>((LTP3!$D$5)*((P1167)*(Q1167)-(R1167)*(R1167))-(S1167)*((S1167)*(Q1167)-(R1167)*(T1167))+(T1167)*((S1167)*(R1167)-(P1167)*(T1167)))</f>
        <v/>
      </c>
      <c r="X1167">
        <f>IF(ABS(W1167)&gt;1E-12,((LTP3!$D$6)*((P1167)*(Q1167)-(R1167)*(R1167))-(S1167)*((U1167)*(Q1167)-(R1167)*(V1167))+(T1167)*((U1167)*(R1167)-(P1167)*(V1167)))/W1167,0)</f>
        <v/>
      </c>
      <c r="Y1167">
        <f>IF(ABS(W1167)&gt;1E-12,((LTP3!$D$5)*((U1167)*(Q1167)-(R1167)*(V1167))-(LTP3!$D$6)*((S1167)*(Q1167)-(R1167)*(T1167))+(T1167)*((S1167)*(V1167)-(U1167)*(T1167)))/W1167,0)</f>
        <v/>
      </c>
      <c r="Z1167">
        <f>IF(ABS(W1167)&gt;1E-12,((LTP3!$D$5)*((P1167)*(V1167)-(U1167)*(R1167))-(S1167)*((S1167)*(V1167)-(U1167)*(T1167))+(LTP3!$D$6)*((S1167)*(R1167)-(P1167)*(T1167)))/W1167,0)</f>
        <v/>
      </c>
      <c r="AA1167">
        <f>LTP3!$D$7-X1167*LTP3!$D$6-Y1167*U1167-Z1167*V1167</f>
        <v/>
      </c>
      <c r="AB1167">
        <f>IF(AND(F1167,ABS(W1167)&gt;1E-12,Y1167&gt;0,Z1167&gt;0),AA1167,1E+300)</f>
        <v/>
      </c>
    </row>
    <row r="1168">
      <c r="A1168">
        <f>$B$3+$B$5*18</f>
        <v/>
      </c>
      <c r="B1168">
        <f>$B$3+$B$5*58</f>
        <v/>
      </c>
      <c r="C1168">
        <f>SUMPRODUCT(Calc!$K$3:$K$22*(Calc!$G$3:$G$22&lt;=A1168))</f>
        <v/>
      </c>
      <c r="D1168">
        <f>SUMPRODUCT(Calc!$K$3:$K$22*(Calc!$G$3:$G$22&gt;A1168)*(Calc!$G$3:$G$22&lt;B1168))</f>
        <v/>
      </c>
      <c r="E1168">
        <f>SUMPRODUCT(Calc!$K$3:$K$22*(Calc!$G$3:$G$22&gt;=B1168))</f>
        <v/>
      </c>
      <c r="F1168">
        <f>AND(k_n&gt;=5,B1168&gt;A1168+1E-9,C1168&gt;=2,D1168&gt;=1,E1168&gt;=2)</f>
        <v/>
      </c>
      <c r="G1168">
        <f>SUMPRODUCT(Calc!$K$3:$K$22*(Calc!$G$3:$G$22&gt;A1168)*(Calc!$G$3:$G$22-A1168))</f>
        <v/>
      </c>
      <c r="H1168">
        <f>SUMPRODUCT(Calc!$K$3:$K$22*(Calc!$G$3:$G$22&gt;B1168)*(Calc!$G$3:$G$22-B1168))</f>
        <v/>
      </c>
      <c r="I1168">
        <f>SUMPRODUCT(Calc!$K$3:$K$22*(Calc!$G$3:$G$22&gt;A1168)*(Calc!$G$3:$G$22-A1168)^2)</f>
        <v/>
      </c>
      <c r="J1168">
        <f>SUMPRODUCT(Calc!$K$3:$K$22*(Calc!$G$3:$G$22&gt;B1168)*(Calc!$G$3:$G$22-B1168)^2)</f>
        <v/>
      </c>
      <c r="K1168">
        <f>SUMPRODUCT(Calc!$K$3:$K$22*(Calc!$G$3:$G$22&gt;A1168)*(Calc!$G$3:$G$22-A1168)*(Calc!$G$3:$G$22&gt;B1168)*(Calc!$G$3:$G$22-B1168))</f>
        <v/>
      </c>
      <c r="L1168">
        <f>SUMPRODUCT(Calc!$K$3:$K$22*(Calc!$G$3:$G$22&gt;A1168)*(Calc!$G$3:$G$22-A1168)*Calc!$G$3:$G$22)</f>
        <v/>
      </c>
      <c r="M1168">
        <f>SUMPRODUCT(Calc!$K$3:$K$22*(Calc!$G$3:$G$22&gt;B1168)*(Calc!$G$3:$G$22-B1168)*Calc!$G$3:$G$22)</f>
        <v/>
      </c>
      <c r="N1168">
        <f>SUMPRODUCT(Calc!$K$3:$K$22*(Calc!$G$3:$G$22&gt;A1168)*(Calc!$G$3:$G$22-A1168)*Calc!$I$3:$I$22)</f>
        <v/>
      </c>
      <c r="O1168">
        <f>SUMPRODUCT(Calc!$K$3:$K$22*(Calc!$G$3:$G$22&gt;B1168)*(Calc!$G$3:$G$22-B1168)*Calc!$I$3:$I$22)</f>
        <v/>
      </c>
      <c r="P1168">
        <f>I1168-G1168^2/k_n</f>
        <v/>
      </c>
      <c r="Q1168">
        <f>J1168-H1168^2/k_n</f>
        <v/>
      </c>
      <c r="R1168">
        <f>K1168-G1168*H1168/k_n</f>
        <v/>
      </c>
      <c r="S1168">
        <f>L1168-LTP3!$D$3*G1168/k_n</f>
        <v/>
      </c>
      <c r="T1168">
        <f>M1168-LTP3!$D$3*H1168/k_n</f>
        <v/>
      </c>
      <c r="U1168">
        <f>N1168-G1168*LTP3!$D$4/k_n</f>
        <v/>
      </c>
      <c r="V1168">
        <f>O1168-H1168*LTP3!$D$4/k_n</f>
        <v/>
      </c>
      <c r="W1168">
        <f>((LTP3!$D$5)*((P1168)*(Q1168)-(R1168)*(R1168))-(S1168)*((S1168)*(Q1168)-(R1168)*(T1168))+(T1168)*((S1168)*(R1168)-(P1168)*(T1168)))</f>
        <v/>
      </c>
      <c r="X1168">
        <f>IF(ABS(W1168)&gt;1E-12,((LTP3!$D$6)*((P1168)*(Q1168)-(R1168)*(R1168))-(S1168)*((U1168)*(Q1168)-(R1168)*(V1168))+(T1168)*((U1168)*(R1168)-(P1168)*(V1168)))/W1168,0)</f>
        <v/>
      </c>
      <c r="Y1168">
        <f>IF(ABS(W1168)&gt;1E-12,((LTP3!$D$5)*((U1168)*(Q1168)-(R1168)*(V1168))-(LTP3!$D$6)*((S1168)*(Q1168)-(R1168)*(T1168))+(T1168)*((S1168)*(V1168)-(U1168)*(T1168)))/W1168,0)</f>
        <v/>
      </c>
      <c r="Z1168">
        <f>IF(ABS(W1168)&gt;1E-12,((LTP3!$D$5)*((P1168)*(V1168)-(U1168)*(R1168))-(S1168)*((S1168)*(V1168)-(U1168)*(T1168))+(LTP3!$D$6)*((S1168)*(R1168)-(P1168)*(T1168)))/W1168,0)</f>
        <v/>
      </c>
      <c r="AA1168">
        <f>LTP3!$D$7-X1168*LTP3!$D$6-Y1168*U1168-Z1168*V1168</f>
        <v/>
      </c>
      <c r="AB1168">
        <f>IF(AND(F1168,ABS(W1168)&gt;1E-12,Y1168&gt;0,Z1168&gt;0),AA1168,1E+300)</f>
        <v/>
      </c>
    </row>
    <row r="1169">
      <c r="A1169">
        <f>$B$3+$B$5*18</f>
        <v/>
      </c>
      <c r="B1169">
        <f>$B$3+$B$5*59</f>
        <v/>
      </c>
      <c r="C1169">
        <f>SUMPRODUCT(Calc!$K$3:$K$22*(Calc!$G$3:$G$22&lt;=A1169))</f>
        <v/>
      </c>
      <c r="D1169">
        <f>SUMPRODUCT(Calc!$K$3:$K$22*(Calc!$G$3:$G$22&gt;A1169)*(Calc!$G$3:$G$22&lt;B1169))</f>
        <v/>
      </c>
      <c r="E1169">
        <f>SUMPRODUCT(Calc!$K$3:$K$22*(Calc!$G$3:$G$22&gt;=B1169))</f>
        <v/>
      </c>
      <c r="F1169">
        <f>AND(k_n&gt;=5,B1169&gt;A1169+1E-9,C1169&gt;=2,D1169&gt;=1,E1169&gt;=2)</f>
        <v/>
      </c>
      <c r="G1169">
        <f>SUMPRODUCT(Calc!$K$3:$K$22*(Calc!$G$3:$G$22&gt;A1169)*(Calc!$G$3:$G$22-A1169))</f>
        <v/>
      </c>
      <c r="H1169">
        <f>SUMPRODUCT(Calc!$K$3:$K$22*(Calc!$G$3:$G$22&gt;B1169)*(Calc!$G$3:$G$22-B1169))</f>
        <v/>
      </c>
      <c r="I1169">
        <f>SUMPRODUCT(Calc!$K$3:$K$22*(Calc!$G$3:$G$22&gt;A1169)*(Calc!$G$3:$G$22-A1169)^2)</f>
        <v/>
      </c>
      <c r="J1169">
        <f>SUMPRODUCT(Calc!$K$3:$K$22*(Calc!$G$3:$G$22&gt;B1169)*(Calc!$G$3:$G$22-B1169)^2)</f>
        <v/>
      </c>
      <c r="K1169">
        <f>SUMPRODUCT(Calc!$K$3:$K$22*(Calc!$G$3:$G$22&gt;A1169)*(Calc!$G$3:$G$22-A1169)*(Calc!$G$3:$G$22&gt;B1169)*(Calc!$G$3:$G$22-B1169))</f>
        <v/>
      </c>
      <c r="L1169">
        <f>SUMPRODUCT(Calc!$K$3:$K$22*(Calc!$G$3:$G$22&gt;A1169)*(Calc!$G$3:$G$22-A1169)*Calc!$G$3:$G$22)</f>
        <v/>
      </c>
      <c r="M1169">
        <f>SUMPRODUCT(Calc!$K$3:$K$22*(Calc!$G$3:$G$22&gt;B1169)*(Calc!$G$3:$G$22-B1169)*Calc!$G$3:$G$22)</f>
        <v/>
      </c>
      <c r="N1169">
        <f>SUMPRODUCT(Calc!$K$3:$K$22*(Calc!$G$3:$G$22&gt;A1169)*(Calc!$G$3:$G$22-A1169)*Calc!$I$3:$I$22)</f>
        <v/>
      </c>
      <c r="O1169">
        <f>SUMPRODUCT(Calc!$K$3:$K$22*(Calc!$G$3:$G$22&gt;B1169)*(Calc!$G$3:$G$22-B1169)*Calc!$I$3:$I$22)</f>
        <v/>
      </c>
      <c r="P1169">
        <f>I1169-G1169^2/k_n</f>
        <v/>
      </c>
      <c r="Q1169">
        <f>J1169-H1169^2/k_n</f>
        <v/>
      </c>
      <c r="R1169">
        <f>K1169-G1169*H1169/k_n</f>
        <v/>
      </c>
      <c r="S1169">
        <f>L1169-LTP3!$D$3*G1169/k_n</f>
        <v/>
      </c>
      <c r="T1169">
        <f>M1169-LTP3!$D$3*H1169/k_n</f>
        <v/>
      </c>
      <c r="U1169">
        <f>N1169-G1169*LTP3!$D$4/k_n</f>
        <v/>
      </c>
      <c r="V1169">
        <f>O1169-H1169*LTP3!$D$4/k_n</f>
        <v/>
      </c>
      <c r="W1169">
        <f>((LTP3!$D$5)*((P1169)*(Q1169)-(R1169)*(R1169))-(S1169)*((S1169)*(Q1169)-(R1169)*(T1169))+(T1169)*((S1169)*(R1169)-(P1169)*(T1169)))</f>
        <v/>
      </c>
      <c r="X1169">
        <f>IF(ABS(W1169)&gt;1E-12,((LTP3!$D$6)*((P1169)*(Q1169)-(R1169)*(R1169))-(S1169)*((U1169)*(Q1169)-(R1169)*(V1169))+(T1169)*((U1169)*(R1169)-(P1169)*(V1169)))/W1169,0)</f>
        <v/>
      </c>
      <c r="Y1169">
        <f>IF(ABS(W1169)&gt;1E-12,((LTP3!$D$5)*((U1169)*(Q1169)-(R1169)*(V1169))-(LTP3!$D$6)*((S1169)*(Q1169)-(R1169)*(T1169))+(T1169)*((S1169)*(V1169)-(U1169)*(T1169)))/W1169,0)</f>
        <v/>
      </c>
      <c r="Z1169">
        <f>IF(ABS(W1169)&gt;1E-12,((LTP3!$D$5)*((P1169)*(V1169)-(U1169)*(R1169))-(S1169)*((S1169)*(V1169)-(U1169)*(T1169))+(LTP3!$D$6)*((S1169)*(R1169)-(P1169)*(T1169)))/W1169,0)</f>
        <v/>
      </c>
      <c r="AA1169">
        <f>LTP3!$D$7-X1169*LTP3!$D$6-Y1169*U1169-Z1169*V1169</f>
        <v/>
      </c>
      <c r="AB1169">
        <f>IF(AND(F1169,ABS(W1169)&gt;1E-12,Y1169&gt;0,Z1169&gt;0),AA1169,1E+300)</f>
        <v/>
      </c>
    </row>
    <row r="1170">
      <c r="A1170">
        <f>$B$3+$B$5*18</f>
        <v/>
      </c>
      <c r="B1170">
        <f>$B$3+$B$5*60</f>
        <v/>
      </c>
      <c r="C1170">
        <f>SUMPRODUCT(Calc!$K$3:$K$22*(Calc!$G$3:$G$22&lt;=A1170))</f>
        <v/>
      </c>
      <c r="D1170">
        <f>SUMPRODUCT(Calc!$K$3:$K$22*(Calc!$G$3:$G$22&gt;A1170)*(Calc!$G$3:$G$22&lt;B1170))</f>
        <v/>
      </c>
      <c r="E1170">
        <f>SUMPRODUCT(Calc!$K$3:$K$22*(Calc!$G$3:$G$22&gt;=B1170))</f>
        <v/>
      </c>
      <c r="F1170">
        <f>AND(k_n&gt;=5,B1170&gt;A1170+1E-9,C1170&gt;=2,D1170&gt;=1,E1170&gt;=2)</f>
        <v/>
      </c>
      <c r="G1170">
        <f>SUMPRODUCT(Calc!$K$3:$K$22*(Calc!$G$3:$G$22&gt;A1170)*(Calc!$G$3:$G$22-A1170))</f>
        <v/>
      </c>
      <c r="H1170">
        <f>SUMPRODUCT(Calc!$K$3:$K$22*(Calc!$G$3:$G$22&gt;B1170)*(Calc!$G$3:$G$22-B1170))</f>
        <v/>
      </c>
      <c r="I1170">
        <f>SUMPRODUCT(Calc!$K$3:$K$22*(Calc!$G$3:$G$22&gt;A1170)*(Calc!$G$3:$G$22-A1170)^2)</f>
        <v/>
      </c>
      <c r="J1170">
        <f>SUMPRODUCT(Calc!$K$3:$K$22*(Calc!$G$3:$G$22&gt;B1170)*(Calc!$G$3:$G$22-B1170)^2)</f>
        <v/>
      </c>
      <c r="K1170">
        <f>SUMPRODUCT(Calc!$K$3:$K$22*(Calc!$G$3:$G$22&gt;A1170)*(Calc!$G$3:$G$22-A1170)*(Calc!$G$3:$G$22&gt;B1170)*(Calc!$G$3:$G$22-B1170))</f>
        <v/>
      </c>
      <c r="L1170">
        <f>SUMPRODUCT(Calc!$K$3:$K$22*(Calc!$G$3:$G$22&gt;A1170)*(Calc!$G$3:$G$22-A1170)*Calc!$G$3:$G$22)</f>
        <v/>
      </c>
      <c r="M1170">
        <f>SUMPRODUCT(Calc!$K$3:$K$22*(Calc!$G$3:$G$22&gt;B1170)*(Calc!$G$3:$G$22-B1170)*Calc!$G$3:$G$22)</f>
        <v/>
      </c>
      <c r="N1170">
        <f>SUMPRODUCT(Calc!$K$3:$K$22*(Calc!$G$3:$G$22&gt;A1170)*(Calc!$G$3:$G$22-A1170)*Calc!$I$3:$I$22)</f>
        <v/>
      </c>
      <c r="O1170">
        <f>SUMPRODUCT(Calc!$K$3:$K$22*(Calc!$G$3:$G$22&gt;B1170)*(Calc!$G$3:$G$22-B1170)*Calc!$I$3:$I$22)</f>
        <v/>
      </c>
      <c r="P1170">
        <f>I1170-G1170^2/k_n</f>
        <v/>
      </c>
      <c r="Q1170">
        <f>J1170-H1170^2/k_n</f>
        <v/>
      </c>
      <c r="R1170">
        <f>K1170-G1170*H1170/k_n</f>
        <v/>
      </c>
      <c r="S1170">
        <f>L1170-LTP3!$D$3*G1170/k_n</f>
        <v/>
      </c>
      <c r="T1170">
        <f>M1170-LTP3!$D$3*H1170/k_n</f>
        <v/>
      </c>
      <c r="U1170">
        <f>N1170-G1170*LTP3!$D$4/k_n</f>
        <v/>
      </c>
      <c r="V1170">
        <f>O1170-H1170*LTP3!$D$4/k_n</f>
        <v/>
      </c>
      <c r="W1170">
        <f>((LTP3!$D$5)*((P1170)*(Q1170)-(R1170)*(R1170))-(S1170)*((S1170)*(Q1170)-(R1170)*(T1170))+(T1170)*((S1170)*(R1170)-(P1170)*(T1170)))</f>
        <v/>
      </c>
      <c r="X1170">
        <f>IF(ABS(W1170)&gt;1E-12,((LTP3!$D$6)*((P1170)*(Q1170)-(R1170)*(R1170))-(S1170)*((U1170)*(Q1170)-(R1170)*(V1170))+(T1170)*((U1170)*(R1170)-(P1170)*(V1170)))/W1170,0)</f>
        <v/>
      </c>
      <c r="Y1170">
        <f>IF(ABS(W1170)&gt;1E-12,((LTP3!$D$5)*((U1170)*(Q1170)-(R1170)*(V1170))-(LTP3!$D$6)*((S1170)*(Q1170)-(R1170)*(T1170))+(T1170)*((S1170)*(V1170)-(U1170)*(T1170)))/W1170,0)</f>
        <v/>
      </c>
      <c r="Z1170">
        <f>IF(ABS(W1170)&gt;1E-12,((LTP3!$D$5)*((P1170)*(V1170)-(U1170)*(R1170))-(S1170)*((S1170)*(V1170)-(U1170)*(T1170))+(LTP3!$D$6)*((S1170)*(R1170)-(P1170)*(T1170)))/W1170,0)</f>
        <v/>
      </c>
      <c r="AA1170">
        <f>LTP3!$D$7-X1170*LTP3!$D$6-Y1170*U1170-Z1170*V1170</f>
        <v/>
      </c>
      <c r="AB1170">
        <f>IF(AND(F1170,ABS(W1170)&gt;1E-12,Y1170&gt;0,Z1170&gt;0),AA1170,1E+300)</f>
        <v/>
      </c>
    </row>
    <row r="1171">
      <c r="A1171">
        <f>$B$3+$B$5*19</f>
        <v/>
      </c>
      <c r="B1171">
        <f>$B$3+$B$5*0</f>
        <v/>
      </c>
      <c r="C1171">
        <f>SUMPRODUCT(Calc!$K$3:$K$22*(Calc!$G$3:$G$22&lt;=A1171))</f>
        <v/>
      </c>
      <c r="D1171">
        <f>SUMPRODUCT(Calc!$K$3:$K$22*(Calc!$G$3:$G$22&gt;A1171)*(Calc!$G$3:$G$22&lt;B1171))</f>
        <v/>
      </c>
      <c r="E1171">
        <f>SUMPRODUCT(Calc!$K$3:$K$22*(Calc!$G$3:$G$22&gt;=B1171))</f>
        <v/>
      </c>
      <c r="F1171">
        <f>AND(k_n&gt;=5,B1171&gt;A1171+1E-9,C1171&gt;=2,D1171&gt;=1,E1171&gt;=2)</f>
        <v/>
      </c>
      <c r="G1171">
        <f>SUMPRODUCT(Calc!$K$3:$K$22*(Calc!$G$3:$G$22&gt;A1171)*(Calc!$G$3:$G$22-A1171))</f>
        <v/>
      </c>
      <c r="H1171">
        <f>SUMPRODUCT(Calc!$K$3:$K$22*(Calc!$G$3:$G$22&gt;B1171)*(Calc!$G$3:$G$22-B1171))</f>
        <v/>
      </c>
      <c r="I1171">
        <f>SUMPRODUCT(Calc!$K$3:$K$22*(Calc!$G$3:$G$22&gt;A1171)*(Calc!$G$3:$G$22-A1171)^2)</f>
        <v/>
      </c>
      <c r="J1171">
        <f>SUMPRODUCT(Calc!$K$3:$K$22*(Calc!$G$3:$G$22&gt;B1171)*(Calc!$G$3:$G$22-B1171)^2)</f>
        <v/>
      </c>
      <c r="K1171">
        <f>SUMPRODUCT(Calc!$K$3:$K$22*(Calc!$G$3:$G$22&gt;A1171)*(Calc!$G$3:$G$22-A1171)*(Calc!$G$3:$G$22&gt;B1171)*(Calc!$G$3:$G$22-B1171))</f>
        <v/>
      </c>
      <c r="L1171">
        <f>SUMPRODUCT(Calc!$K$3:$K$22*(Calc!$G$3:$G$22&gt;A1171)*(Calc!$G$3:$G$22-A1171)*Calc!$G$3:$G$22)</f>
        <v/>
      </c>
      <c r="M1171">
        <f>SUMPRODUCT(Calc!$K$3:$K$22*(Calc!$G$3:$G$22&gt;B1171)*(Calc!$G$3:$G$22-B1171)*Calc!$G$3:$G$22)</f>
        <v/>
      </c>
      <c r="N1171">
        <f>SUMPRODUCT(Calc!$K$3:$K$22*(Calc!$G$3:$G$22&gt;A1171)*(Calc!$G$3:$G$22-A1171)*Calc!$I$3:$I$22)</f>
        <v/>
      </c>
      <c r="O1171">
        <f>SUMPRODUCT(Calc!$K$3:$K$22*(Calc!$G$3:$G$22&gt;B1171)*(Calc!$G$3:$G$22-B1171)*Calc!$I$3:$I$22)</f>
        <v/>
      </c>
      <c r="P1171">
        <f>I1171-G1171^2/k_n</f>
        <v/>
      </c>
      <c r="Q1171">
        <f>J1171-H1171^2/k_n</f>
        <v/>
      </c>
      <c r="R1171">
        <f>K1171-G1171*H1171/k_n</f>
        <v/>
      </c>
      <c r="S1171">
        <f>L1171-LTP3!$D$3*G1171/k_n</f>
        <v/>
      </c>
      <c r="T1171">
        <f>M1171-LTP3!$D$3*H1171/k_n</f>
        <v/>
      </c>
      <c r="U1171">
        <f>N1171-G1171*LTP3!$D$4/k_n</f>
        <v/>
      </c>
      <c r="V1171">
        <f>O1171-H1171*LTP3!$D$4/k_n</f>
        <v/>
      </c>
      <c r="W1171">
        <f>((LTP3!$D$5)*((P1171)*(Q1171)-(R1171)*(R1171))-(S1171)*((S1171)*(Q1171)-(R1171)*(T1171))+(T1171)*((S1171)*(R1171)-(P1171)*(T1171)))</f>
        <v/>
      </c>
      <c r="X1171">
        <f>IF(ABS(W1171)&gt;1E-12,((LTP3!$D$6)*((P1171)*(Q1171)-(R1171)*(R1171))-(S1171)*((U1171)*(Q1171)-(R1171)*(V1171))+(T1171)*((U1171)*(R1171)-(P1171)*(V1171)))/W1171,0)</f>
        <v/>
      </c>
      <c r="Y1171">
        <f>IF(ABS(W1171)&gt;1E-12,((LTP3!$D$5)*((U1171)*(Q1171)-(R1171)*(V1171))-(LTP3!$D$6)*((S1171)*(Q1171)-(R1171)*(T1171))+(T1171)*((S1171)*(V1171)-(U1171)*(T1171)))/W1171,0)</f>
        <v/>
      </c>
      <c r="Z1171">
        <f>IF(ABS(W1171)&gt;1E-12,((LTP3!$D$5)*((P1171)*(V1171)-(U1171)*(R1171))-(S1171)*((S1171)*(V1171)-(U1171)*(T1171))+(LTP3!$D$6)*((S1171)*(R1171)-(P1171)*(T1171)))/W1171,0)</f>
        <v/>
      </c>
      <c r="AA1171">
        <f>LTP3!$D$7-X1171*LTP3!$D$6-Y1171*U1171-Z1171*V1171</f>
        <v/>
      </c>
      <c r="AB1171">
        <f>IF(AND(F1171,ABS(W1171)&gt;1E-12,Y1171&gt;0,Z1171&gt;0),AA1171,1E+300)</f>
        <v/>
      </c>
    </row>
    <row r="1172">
      <c r="A1172">
        <f>$B$3+$B$5*19</f>
        <v/>
      </c>
      <c r="B1172">
        <f>$B$3+$B$5*1</f>
        <v/>
      </c>
      <c r="C1172">
        <f>SUMPRODUCT(Calc!$K$3:$K$22*(Calc!$G$3:$G$22&lt;=A1172))</f>
        <v/>
      </c>
      <c r="D1172">
        <f>SUMPRODUCT(Calc!$K$3:$K$22*(Calc!$G$3:$G$22&gt;A1172)*(Calc!$G$3:$G$22&lt;B1172))</f>
        <v/>
      </c>
      <c r="E1172">
        <f>SUMPRODUCT(Calc!$K$3:$K$22*(Calc!$G$3:$G$22&gt;=B1172))</f>
        <v/>
      </c>
      <c r="F1172">
        <f>AND(k_n&gt;=5,B1172&gt;A1172+1E-9,C1172&gt;=2,D1172&gt;=1,E1172&gt;=2)</f>
        <v/>
      </c>
      <c r="G1172">
        <f>SUMPRODUCT(Calc!$K$3:$K$22*(Calc!$G$3:$G$22&gt;A1172)*(Calc!$G$3:$G$22-A1172))</f>
        <v/>
      </c>
      <c r="H1172">
        <f>SUMPRODUCT(Calc!$K$3:$K$22*(Calc!$G$3:$G$22&gt;B1172)*(Calc!$G$3:$G$22-B1172))</f>
        <v/>
      </c>
      <c r="I1172">
        <f>SUMPRODUCT(Calc!$K$3:$K$22*(Calc!$G$3:$G$22&gt;A1172)*(Calc!$G$3:$G$22-A1172)^2)</f>
        <v/>
      </c>
      <c r="J1172">
        <f>SUMPRODUCT(Calc!$K$3:$K$22*(Calc!$G$3:$G$22&gt;B1172)*(Calc!$G$3:$G$22-B1172)^2)</f>
        <v/>
      </c>
      <c r="K1172">
        <f>SUMPRODUCT(Calc!$K$3:$K$22*(Calc!$G$3:$G$22&gt;A1172)*(Calc!$G$3:$G$22-A1172)*(Calc!$G$3:$G$22&gt;B1172)*(Calc!$G$3:$G$22-B1172))</f>
        <v/>
      </c>
      <c r="L1172">
        <f>SUMPRODUCT(Calc!$K$3:$K$22*(Calc!$G$3:$G$22&gt;A1172)*(Calc!$G$3:$G$22-A1172)*Calc!$G$3:$G$22)</f>
        <v/>
      </c>
      <c r="M1172">
        <f>SUMPRODUCT(Calc!$K$3:$K$22*(Calc!$G$3:$G$22&gt;B1172)*(Calc!$G$3:$G$22-B1172)*Calc!$G$3:$G$22)</f>
        <v/>
      </c>
      <c r="N1172">
        <f>SUMPRODUCT(Calc!$K$3:$K$22*(Calc!$G$3:$G$22&gt;A1172)*(Calc!$G$3:$G$22-A1172)*Calc!$I$3:$I$22)</f>
        <v/>
      </c>
      <c r="O1172">
        <f>SUMPRODUCT(Calc!$K$3:$K$22*(Calc!$G$3:$G$22&gt;B1172)*(Calc!$G$3:$G$22-B1172)*Calc!$I$3:$I$22)</f>
        <v/>
      </c>
      <c r="P1172">
        <f>I1172-G1172^2/k_n</f>
        <v/>
      </c>
      <c r="Q1172">
        <f>J1172-H1172^2/k_n</f>
        <v/>
      </c>
      <c r="R1172">
        <f>K1172-G1172*H1172/k_n</f>
        <v/>
      </c>
      <c r="S1172">
        <f>L1172-LTP3!$D$3*G1172/k_n</f>
        <v/>
      </c>
      <c r="T1172">
        <f>M1172-LTP3!$D$3*H1172/k_n</f>
        <v/>
      </c>
      <c r="U1172">
        <f>N1172-G1172*LTP3!$D$4/k_n</f>
        <v/>
      </c>
      <c r="V1172">
        <f>O1172-H1172*LTP3!$D$4/k_n</f>
        <v/>
      </c>
      <c r="W1172">
        <f>((LTP3!$D$5)*((P1172)*(Q1172)-(R1172)*(R1172))-(S1172)*((S1172)*(Q1172)-(R1172)*(T1172))+(T1172)*((S1172)*(R1172)-(P1172)*(T1172)))</f>
        <v/>
      </c>
      <c r="X1172">
        <f>IF(ABS(W1172)&gt;1E-12,((LTP3!$D$6)*((P1172)*(Q1172)-(R1172)*(R1172))-(S1172)*((U1172)*(Q1172)-(R1172)*(V1172))+(T1172)*((U1172)*(R1172)-(P1172)*(V1172)))/W1172,0)</f>
        <v/>
      </c>
      <c r="Y1172">
        <f>IF(ABS(W1172)&gt;1E-12,((LTP3!$D$5)*((U1172)*(Q1172)-(R1172)*(V1172))-(LTP3!$D$6)*((S1172)*(Q1172)-(R1172)*(T1172))+(T1172)*((S1172)*(V1172)-(U1172)*(T1172)))/W1172,0)</f>
        <v/>
      </c>
      <c r="Z1172">
        <f>IF(ABS(W1172)&gt;1E-12,((LTP3!$D$5)*((P1172)*(V1172)-(U1172)*(R1172))-(S1172)*((S1172)*(V1172)-(U1172)*(T1172))+(LTP3!$D$6)*((S1172)*(R1172)-(P1172)*(T1172)))/W1172,0)</f>
        <v/>
      </c>
      <c r="AA1172">
        <f>LTP3!$D$7-X1172*LTP3!$D$6-Y1172*U1172-Z1172*V1172</f>
        <v/>
      </c>
      <c r="AB1172">
        <f>IF(AND(F1172,ABS(W1172)&gt;1E-12,Y1172&gt;0,Z1172&gt;0),AA1172,1E+300)</f>
        <v/>
      </c>
    </row>
    <row r="1173">
      <c r="A1173">
        <f>$B$3+$B$5*19</f>
        <v/>
      </c>
      <c r="B1173">
        <f>$B$3+$B$5*2</f>
        <v/>
      </c>
      <c r="C1173">
        <f>SUMPRODUCT(Calc!$K$3:$K$22*(Calc!$G$3:$G$22&lt;=A1173))</f>
        <v/>
      </c>
      <c r="D1173">
        <f>SUMPRODUCT(Calc!$K$3:$K$22*(Calc!$G$3:$G$22&gt;A1173)*(Calc!$G$3:$G$22&lt;B1173))</f>
        <v/>
      </c>
      <c r="E1173">
        <f>SUMPRODUCT(Calc!$K$3:$K$22*(Calc!$G$3:$G$22&gt;=B1173))</f>
        <v/>
      </c>
      <c r="F1173">
        <f>AND(k_n&gt;=5,B1173&gt;A1173+1E-9,C1173&gt;=2,D1173&gt;=1,E1173&gt;=2)</f>
        <v/>
      </c>
      <c r="G1173">
        <f>SUMPRODUCT(Calc!$K$3:$K$22*(Calc!$G$3:$G$22&gt;A1173)*(Calc!$G$3:$G$22-A1173))</f>
        <v/>
      </c>
      <c r="H1173">
        <f>SUMPRODUCT(Calc!$K$3:$K$22*(Calc!$G$3:$G$22&gt;B1173)*(Calc!$G$3:$G$22-B1173))</f>
        <v/>
      </c>
      <c r="I1173">
        <f>SUMPRODUCT(Calc!$K$3:$K$22*(Calc!$G$3:$G$22&gt;A1173)*(Calc!$G$3:$G$22-A1173)^2)</f>
        <v/>
      </c>
      <c r="J1173">
        <f>SUMPRODUCT(Calc!$K$3:$K$22*(Calc!$G$3:$G$22&gt;B1173)*(Calc!$G$3:$G$22-B1173)^2)</f>
        <v/>
      </c>
      <c r="K1173">
        <f>SUMPRODUCT(Calc!$K$3:$K$22*(Calc!$G$3:$G$22&gt;A1173)*(Calc!$G$3:$G$22-A1173)*(Calc!$G$3:$G$22&gt;B1173)*(Calc!$G$3:$G$22-B1173))</f>
        <v/>
      </c>
      <c r="L1173">
        <f>SUMPRODUCT(Calc!$K$3:$K$22*(Calc!$G$3:$G$22&gt;A1173)*(Calc!$G$3:$G$22-A1173)*Calc!$G$3:$G$22)</f>
        <v/>
      </c>
      <c r="M1173">
        <f>SUMPRODUCT(Calc!$K$3:$K$22*(Calc!$G$3:$G$22&gt;B1173)*(Calc!$G$3:$G$22-B1173)*Calc!$G$3:$G$22)</f>
        <v/>
      </c>
      <c r="N1173">
        <f>SUMPRODUCT(Calc!$K$3:$K$22*(Calc!$G$3:$G$22&gt;A1173)*(Calc!$G$3:$G$22-A1173)*Calc!$I$3:$I$22)</f>
        <v/>
      </c>
      <c r="O1173">
        <f>SUMPRODUCT(Calc!$K$3:$K$22*(Calc!$G$3:$G$22&gt;B1173)*(Calc!$G$3:$G$22-B1173)*Calc!$I$3:$I$22)</f>
        <v/>
      </c>
      <c r="P1173">
        <f>I1173-G1173^2/k_n</f>
        <v/>
      </c>
      <c r="Q1173">
        <f>J1173-H1173^2/k_n</f>
        <v/>
      </c>
      <c r="R1173">
        <f>K1173-G1173*H1173/k_n</f>
        <v/>
      </c>
      <c r="S1173">
        <f>L1173-LTP3!$D$3*G1173/k_n</f>
        <v/>
      </c>
      <c r="T1173">
        <f>M1173-LTP3!$D$3*H1173/k_n</f>
        <v/>
      </c>
      <c r="U1173">
        <f>N1173-G1173*LTP3!$D$4/k_n</f>
        <v/>
      </c>
      <c r="V1173">
        <f>O1173-H1173*LTP3!$D$4/k_n</f>
        <v/>
      </c>
      <c r="W1173">
        <f>((LTP3!$D$5)*((P1173)*(Q1173)-(R1173)*(R1173))-(S1173)*((S1173)*(Q1173)-(R1173)*(T1173))+(T1173)*((S1173)*(R1173)-(P1173)*(T1173)))</f>
        <v/>
      </c>
      <c r="X1173">
        <f>IF(ABS(W1173)&gt;1E-12,((LTP3!$D$6)*((P1173)*(Q1173)-(R1173)*(R1173))-(S1173)*((U1173)*(Q1173)-(R1173)*(V1173))+(T1173)*((U1173)*(R1173)-(P1173)*(V1173)))/W1173,0)</f>
        <v/>
      </c>
      <c r="Y1173">
        <f>IF(ABS(W1173)&gt;1E-12,((LTP3!$D$5)*((U1173)*(Q1173)-(R1173)*(V1173))-(LTP3!$D$6)*((S1173)*(Q1173)-(R1173)*(T1173))+(T1173)*((S1173)*(V1173)-(U1173)*(T1173)))/W1173,0)</f>
        <v/>
      </c>
      <c r="Z1173">
        <f>IF(ABS(W1173)&gt;1E-12,((LTP3!$D$5)*((P1173)*(V1173)-(U1173)*(R1173))-(S1173)*((S1173)*(V1173)-(U1173)*(T1173))+(LTP3!$D$6)*((S1173)*(R1173)-(P1173)*(T1173)))/W1173,0)</f>
        <v/>
      </c>
      <c r="AA1173">
        <f>LTP3!$D$7-X1173*LTP3!$D$6-Y1173*U1173-Z1173*V1173</f>
        <v/>
      </c>
      <c r="AB1173">
        <f>IF(AND(F1173,ABS(W1173)&gt;1E-12,Y1173&gt;0,Z1173&gt;0),AA1173,1E+300)</f>
        <v/>
      </c>
    </row>
    <row r="1174">
      <c r="A1174">
        <f>$B$3+$B$5*19</f>
        <v/>
      </c>
      <c r="B1174">
        <f>$B$3+$B$5*3</f>
        <v/>
      </c>
      <c r="C1174">
        <f>SUMPRODUCT(Calc!$K$3:$K$22*(Calc!$G$3:$G$22&lt;=A1174))</f>
        <v/>
      </c>
      <c r="D1174">
        <f>SUMPRODUCT(Calc!$K$3:$K$22*(Calc!$G$3:$G$22&gt;A1174)*(Calc!$G$3:$G$22&lt;B1174))</f>
        <v/>
      </c>
      <c r="E1174">
        <f>SUMPRODUCT(Calc!$K$3:$K$22*(Calc!$G$3:$G$22&gt;=B1174))</f>
        <v/>
      </c>
      <c r="F1174">
        <f>AND(k_n&gt;=5,B1174&gt;A1174+1E-9,C1174&gt;=2,D1174&gt;=1,E1174&gt;=2)</f>
        <v/>
      </c>
      <c r="G1174">
        <f>SUMPRODUCT(Calc!$K$3:$K$22*(Calc!$G$3:$G$22&gt;A1174)*(Calc!$G$3:$G$22-A1174))</f>
        <v/>
      </c>
      <c r="H1174">
        <f>SUMPRODUCT(Calc!$K$3:$K$22*(Calc!$G$3:$G$22&gt;B1174)*(Calc!$G$3:$G$22-B1174))</f>
        <v/>
      </c>
      <c r="I1174">
        <f>SUMPRODUCT(Calc!$K$3:$K$22*(Calc!$G$3:$G$22&gt;A1174)*(Calc!$G$3:$G$22-A1174)^2)</f>
        <v/>
      </c>
      <c r="J1174">
        <f>SUMPRODUCT(Calc!$K$3:$K$22*(Calc!$G$3:$G$22&gt;B1174)*(Calc!$G$3:$G$22-B1174)^2)</f>
        <v/>
      </c>
      <c r="K1174">
        <f>SUMPRODUCT(Calc!$K$3:$K$22*(Calc!$G$3:$G$22&gt;A1174)*(Calc!$G$3:$G$22-A1174)*(Calc!$G$3:$G$22&gt;B1174)*(Calc!$G$3:$G$22-B1174))</f>
        <v/>
      </c>
      <c r="L1174">
        <f>SUMPRODUCT(Calc!$K$3:$K$22*(Calc!$G$3:$G$22&gt;A1174)*(Calc!$G$3:$G$22-A1174)*Calc!$G$3:$G$22)</f>
        <v/>
      </c>
      <c r="M1174">
        <f>SUMPRODUCT(Calc!$K$3:$K$22*(Calc!$G$3:$G$22&gt;B1174)*(Calc!$G$3:$G$22-B1174)*Calc!$G$3:$G$22)</f>
        <v/>
      </c>
      <c r="N1174">
        <f>SUMPRODUCT(Calc!$K$3:$K$22*(Calc!$G$3:$G$22&gt;A1174)*(Calc!$G$3:$G$22-A1174)*Calc!$I$3:$I$22)</f>
        <v/>
      </c>
      <c r="O1174">
        <f>SUMPRODUCT(Calc!$K$3:$K$22*(Calc!$G$3:$G$22&gt;B1174)*(Calc!$G$3:$G$22-B1174)*Calc!$I$3:$I$22)</f>
        <v/>
      </c>
      <c r="P1174">
        <f>I1174-G1174^2/k_n</f>
        <v/>
      </c>
      <c r="Q1174">
        <f>J1174-H1174^2/k_n</f>
        <v/>
      </c>
      <c r="R1174">
        <f>K1174-G1174*H1174/k_n</f>
        <v/>
      </c>
      <c r="S1174">
        <f>L1174-LTP3!$D$3*G1174/k_n</f>
        <v/>
      </c>
      <c r="T1174">
        <f>M1174-LTP3!$D$3*H1174/k_n</f>
        <v/>
      </c>
      <c r="U1174">
        <f>N1174-G1174*LTP3!$D$4/k_n</f>
        <v/>
      </c>
      <c r="V1174">
        <f>O1174-H1174*LTP3!$D$4/k_n</f>
        <v/>
      </c>
      <c r="W1174">
        <f>((LTP3!$D$5)*((P1174)*(Q1174)-(R1174)*(R1174))-(S1174)*((S1174)*(Q1174)-(R1174)*(T1174))+(T1174)*((S1174)*(R1174)-(P1174)*(T1174)))</f>
        <v/>
      </c>
      <c r="X1174">
        <f>IF(ABS(W1174)&gt;1E-12,((LTP3!$D$6)*((P1174)*(Q1174)-(R1174)*(R1174))-(S1174)*((U1174)*(Q1174)-(R1174)*(V1174))+(T1174)*((U1174)*(R1174)-(P1174)*(V1174)))/W1174,0)</f>
        <v/>
      </c>
      <c r="Y1174">
        <f>IF(ABS(W1174)&gt;1E-12,((LTP3!$D$5)*((U1174)*(Q1174)-(R1174)*(V1174))-(LTP3!$D$6)*((S1174)*(Q1174)-(R1174)*(T1174))+(T1174)*((S1174)*(V1174)-(U1174)*(T1174)))/W1174,0)</f>
        <v/>
      </c>
      <c r="Z1174">
        <f>IF(ABS(W1174)&gt;1E-12,((LTP3!$D$5)*((P1174)*(V1174)-(U1174)*(R1174))-(S1174)*((S1174)*(V1174)-(U1174)*(T1174))+(LTP3!$D$6)*((S1174)*(R1174)-(P1174)*(T1174)))/W1174,0)</f>
        <v/>
      </c>
      <c r="AA1174">
        <f>LTP3!$D$7-X1174*LTP3!$D$6-Y1174*U1174-Z1174*V1174</f>
        <v/>
      </c>
      <c r="AB1174">
        <f>IF(AND(F1174,ABS(W1174)&gt;1E-12,Y1174&gt;0,Z1174&gt;0),AA1174,1E+300)</f>
        <v/>
      </c>
    </row>
    <row r="1175">
      <c r="A1175">
        <f>$B$3+$B$5*19</f>
        <v/>
      </c>
      <c r="B1175">
        <f>$B$3+$B$5*4</f>
        <v/>
      </c>
      <c r="C1175">
        <f>SUMPRODUCT(Calc!$K$3:$K$22*(Calc!$G$3:$G$22&lt;=A1175))</f>
        <v/>
      </c>
      <c r="D1175">
        <f>SUMPRODUCT(Calc!$K$3:$K$22*(Calc!$G$3:$G$22&gt;A1175)*(Calc!$G$3:$G$22&lt;B1175))</f>
        <v/>
      </c>
      <c r="E1175">
        <f>SUMPRODUCT(Calc!$K$3:$K$22*(Calc!$G$3:$G$22&gt;=B1175))</f>
        <v/>
      </c>
      <c r="F1175">
        <f>AND(k_n&gt;=5,B1175&gt;A1175+1E-9,C1175&gt;=2,D1175&gt;=1,E1175&gt;=2)</f>
        <v/>
      </c>
      <c r="G1175">
        <f>SUMPRODUCT(Calc!$K$3:$K$22*(Calc!$G$3:$G$22&gt;A1175)*(Calc!$G$3:$G$22-A1175))</f>
        <v/>
      </c>
      <c r="H1175">
        <f>SUMPRODUCT(Calc!$K$3:$K$22*(Calc!$G$3:$G$22&gt;B1175)*(Calc!$G$3:$G$22-B1175))</f>
        <v/>
      </c>
      <c r="I1175">
        <f>SUMPRODUCT(Calc!$K$3:$K$22*(Calc!$G$3:$G$22&gt;A1175)*(Calc!$G$3:$G$22-A1175)^2)</f>
        <v/>
      </c>
      <c r="J1175">
        <f>SUMPRODUCT(Calc!$K$3:$K$22*(Calc!$G$3:$G$22&gt;B1175)*(Calc!$G$3:$G$22-B1175)^2)</f>
        <v/>
      </c>
      <c r="K1175">
        <f>SUMPRODUCT(Calc!$K$3:$K$22*(Calc!$G$3:$G$22&gt;A1175)*(Calc!$G$3:$G$22-A1175)*(Calc!$G$3:$G$22&gt;B1175)*(Calc!$G$3:$G$22-B1175))</f>
        <v/>
      </c>
      <c r="L1175">
        <f>SUMPRODUCT(Calc!$K$3:$K$22*(Calc!$G$3:$G$22&gt;A1175)*(Calc!$G$3:$G$22-A1175)*Calc!$G$3:$G$22)</f>
        <v/>
      </c>
      <c r="M1175">
        <f>SUMPRODUCT(Calc!$K$3:$K$22*(Calc!$G$3:$G$22&gt;B1175)*(Calc!$G$3:$G$22-B1175)*Calc!$G$3:$G$22)</f>
        <v/>
      </c>
      <c r="N1175">
        <f>SUMPRODUCT(Calc!$K$3:$K$22*(Calc!$G$3:$G$22&gt;A1175)*(Calc!$G$3:$G$22-A1175)*Calc!$I$3:$I$22)</f>
        <v/>
      </c>
      <c r="O1175">
        <f>SUMPRODUCT(Calc!$K$3:$K$22*(Calc!$G$3:$G$22&gt;B1175)*(Calc!$G$3:$G$22-B1175)*Calc!$I$3:$I$22)</f>
        <v/>
      </c>
      <c r="P1175">
        <f>I1175-G1175^2/k_n</f>
        <v/>
      </c>
      <c r="Q1175">
        <f>J1175-H1175^2/k_n</f>
        <v/>
      </c>
      <c r="R1175">
        <f>K1175-G1175*H1175/k_n</f>
        <v/>
      </c>
      <c r="S1175">
        <f>L1175-LTP3!$D$3*G1175/k_n</f>
        <v/>
      </c>
      <c r="T1175">
        <f>M1175-LTP3!$D$3*H1175/k_n</f>
        <v/>
      </c>
      <c r="U1175">
        <f>N1175-G1175*LTP3!$D$4/k_n</f>
        <v/>
      </c>
      <c r="V1175">
        <f>O1175-H1175*LTP3!$D$4/k_n</f>
        <v/>
      </c>
      <c r="W1175">
        <f>((LTP3!$D$5)*((P1175)*(Q1175)-(R1175)*(R1175))-(S1175)*((S1175)*(Q1175)-(R1175)*(T1175))+(T1175)*((S1175)*(R1175)-(P1175)*(T1175)))</f>
        <v/>
      </c>
      <c r="X1175">
        <f>IF(ABS(W1175)&gt;1E-12,((LTP3!$D$6)*((P1175)*(Q1175)-(R1175)*(R1175))-(S1175)*((U1175)*(Q1175)-(R1175)*(V1175))+(T1175)*((U1175)*(R1175)-(P1175)*(V1175)))/W1175,0)</f>
        <v/>
      </c>
      <c r="Y1175">
        <f>IF(ABS(W1175)&gt;1E-12,((LTP3!$D$5)*((U1175)*(Q1175)-(R1175)*(V1175))-(LTP3!$D$6)*((S1175)*(Q1175)-(R1175)*(T1175))+(T1175)*((S1175)*(V1175)-(U1175)*(T1175)))/W1175,0)</f>
        <v/>
      </c>
      <c r="Z1175">
        <f>IF(ABS(W1175)&gt;1E-12,((LTP3!$D$5)*((P1175)*(V1175)-(U1175)*(R1175))-(S1175)*((S1175)*(V1175)-(U1175)*(T1175))+(LTP3!$D$6)*((S1175)*(R1175)-(P1175)*(T1175)))/W1175,0)</f>
        <v/>
      </c>
      <c r="AA1175">
        <f>LTP3!$D$7-X1175*LTP3!$D$6-Y1175*U1175-Z1175*V1175</f>
        <v/>
      </c>
      <c r="AB1175">
        <f>IF(AND(F1175,ABS(W1175)&gt;1E-12,Y1175&gt;0,Z1175&gt;0),AA1175,1E+300)</f>
        <v/>
      </c>
    </row>
    <row r="1176">
      <c r="A1176">
        <f>$B$3+$B$5*19</f>
        <v/>
      </c>
      <c r="B1176">
        <f>$B$3+$B$5*5</f>
        <v/>
      </c>
      <c r="C1176">
        <f>SUMPRODUCT(Calc!$K$3:$K$22*(Calc!$G$3:$G$22&lt;=A1176))</f>
        <v/>
      </c>
      <c r="D1176">
        <f>SUMPRODUCT(Calc!$K$3:$K$22*(Calc!$G$3:$G$22&gt;A1176)*(Calc!$G$3:$G$22&lt;B1176))</f>
        <v/>
      </c>
      <c r="E1176">
        <f>SUMPRODUCT(Calc!$K$3:$K$22*(Calc!$G$3:$G$22&gt;=B1176))</f>
        <v/>
      </c>
      <c r="F1176">
        <f>AND(k_n&gt;=5,B1176&gt;A1176+1E-9,C1176&gt;=2,D1176&gt;=1,E1176&gt;=2)</f>
        <v/>
      </c>
      <c r="G1176">
        <f>SUMPRODUCT(Calc!$K$3:$K$22*(Calc!$G$3:$G$22&gt;A1176)*(Calc!$G$3:$G$22-A1176))</f>
        <v/>
      </c>
      <c r="H1176">
        <f>SUMPRODUCT(Calc!$K$3:$K$22*(Calc!$G$3:$G$22&gt;B1176)*(Calc!$G$3:$G$22-B1176))</f>
        <v/>
      </c>
      <c r="I1176">
        <f>SUMPRODUCT(Calc!$K$3:$K$22*(Calc!$G$3:$G$22&gt;A1176)*(Calc!$G$3:$G$22-A1176)^2)</f>
        <v/>
      </c>
      <c r="J1176">
        <f>SUMPRODUCT(Calc!$K$3:$K$22*(Calc!$G$3:$G$22&gt;B1176)*(Calc!$G$3:$G$22-B1176)^2)</f>
        <v/>
      </c>
      <c r="K1176">
        <f>SUMPRODUCT(Calc!$K$3:$K$22*(Calc!$G$3:$G$22&gt;A1176)*(Calc!$G$3:$G$22-A1176)*(Calc!$G$3:$G$22&gt;B1176)*(Calc!$G$3:$G$22-B1176))</f>
        <v/>
      </c>
      <c r="L1176">
        <f>SUMPRODUCT(Calc!$K$3:$K$22*(Calc!$G$3:$G$22&gt;A1176)*(Calc!$G$3:$G$22-A1176)*Calc!$G$3:$G$22)</f>
        <v/>
      </c>
      <c r="M1176">
        <f>SUMPRODUCT(Calc!$K$3:$K$22*(Calc!$G$3:$G$22&gt;B1176)*(Calc!$G$3:$G$22-B1176)*Calc!$G$3:$G$22)</f>
        <v/>
      </c>
      <c r="N1176">
        <f>SUMPRODUCT(Calc!$K$3:$K$22*(Calc!$G$3:$G$22&gt;A1176)*(Calc!$G$3:$G$22-A1176)*Calc!$I$3:$I$22)</f>
        <v/>
      </c>
      <c r="O1176">
        <f>SUMPRODUCT(Calc!$K$3:$K$22*(Calc!$G$3:$G$22&gt;B1176)*(Calc!$G$3:$G$22-B1176)*Calc!$I$3:$I$22)</f>
        <v/>
      </c>
      <c r="P1176">
        <f>I1176-G1176^2/k_n</f>
        <v/>
      </c>
      <c r="Q1176">
        <f>J1176-H1176^2/k_n</f>
        <v/>
      </c>
      <c r="R1176">
        <f>K1176-G1176*H1176/k_n</f>
        <v/>
      </c>
      <c r="S1176">
        <f>L1176-LTP3!$D$3*G1176/k_n</f>
        <v/>
      </c>
      <c r="T1176">
        <f>M1176-LTP3!$D$3*H1176/k_n</f>
        <v/>
      </c>
      <c r="U1176">
        <f>N1176-G1176*LTP3!$D$4/k_n</f>
        <v/>
      </c>
      <c r="V1176">
        <f>O1176-H1176*LTP3!$D$4/k_n</f>
        <v/>
      </c>
      <c r="W1176">
        <f>((LTP3!$D$5)*((P1176)*(Q1176)-(R1176)*(R1176))-(S1176)*((S1176)*(Q1176)-(R1176)*(T1176))+(T1176)*((S1176)*(R1176)-(P1176)*(T1176)))</f>
        <v/>
      </c>
      <c r="X1176">
        <f>IF(ABS(W1176)&gt;1E-12,((LTP3!$D$6)*((P1176)*(Q1176)-(R1176)*(R1176))-(S1176)*((U1176)*(Q1176)-(R1176)*(V1176))+(T1176)*((U1176)*(R1176)-(P1176)*(V1176)))/W1176,0)</f>
        <v/>
      </c>
      <c r="Y1176">
        <f>IF(ABS(W1176)&gt;1E-12,((LTP3!$D$5)*((U1176)*(Q1176)-(R1176)*(V1176))-(LTP3!$D$6)*((S1176)*(Q1176)-(R1176)*(T1176))+(T1176)*((S1176)*(V1176)-(U1176)*(T1176)))/W1176,0)</f>
        <v/>
      </c>
      <c r="Z1176">
        <f>IF(ABS(W1176)&gt;1E-12,((LTP3!$D$5)*((P1176)*(V1176)-(U1176)*(R1176))-(S1176)*((S1176)*(V1176)-(U1176)*(T1176))+(LTP3!$D$6)*((S1176)*(R1176)-(P1176)*(T1176)))/W1176,0)</f>
        <v/>
      </c>
      <c r="AA1176">
        <f>LTP3!$D$7-X1176*LTP3!$D$6-Y1176*U1176-Z1176*V1176</f>
        <v/>
      </c>
      <c r="AB1176">
        <f>IF(AND(F1176,ABS(W1176)&gt;1E-12,Y1176&gt;0,Z1176&gt;0),AA1176,1E+300)</f>
        <v/>
      </c>
    </row>
    <row r="1177">
      <c r="A1177">
        <f>$B$3+$B$5*19</f>
        <v/>
      </c>
      <c r="B1177">
        <f>$B$3+$B$5*6</f>
        <v/>
      </c>
      <c r="C1177">
        <f>SUMPRODUCT(Calc!$K$3:$K$22*(Calc!$G$3:$G$22&lt;=A1177))</f>
        <v/>
      </c>
      <c r="D1177">
        <f>SUMPRODUCT(Calc!$K$3:$K$22*(Calc!$G$3:$G$22&gt;A1177)*(Calc!$G$3:$G$22&lt;B1177))</f>
        <v/>
      </c>
      <c r="E1177">
        <f>SUMPRODUCT(Calc!$K$3:$K$22*(Calc!$G$3:$G$22&gt;=B1177))</f>
        <v/>
      </c>
      <c r="F1177">
        <f>AND(k_n&gt;=5,B1177&gt;A1177+1E-9,C1177&gt;=2,D1177&gt;=1,E1177&gt;=2)</f>
        <v/>
      </c>
      <c r="G1177">
        <f>SUMPRODUCT(Calc!$K$3:$K$22*(Calc!$G$3:$G$22&gt;A1177)*(Calc!$G$3:$G$22-A1177))</f>
        <v/>
      </c>
      <c r="H1177">
        <f>SUMPRODUCT(Calc!$K$3:$K$22*(Calc!$G$3:$G$22&gt;B1177)*(Calc!$G$3:$G$22-B1177))</f>
        <v/>
      </c>
      <c r="I1177">
        <f>SUMPRODUCT(Calc!$K$3:$K$22*(Calc!$G$3:$G$22&gt;A1177)*(Calc!$G$3:$G$22-A1177)^2)</f>
        <v/>
      </c>
      <c r="J1177">
        <f>SUMPRODUCT(Calc!$K$3:$K$22*(Calc!$G$3:$G$22&gt;B1177)*(Calc!$G$3:$G$22-B1177)^2)</f>
        <v/>
      </c>
      <c r="K1177">
        <f>SUMPRODUCT(Calc!$K$3:$K$22*(Calc!$G$3:$G$22&gt;A1177)*(Calc!$G$3:$G$22-A1177)*(Calc!$G$3:$G$22&gt;B1177)*(Calc!$G$3:$G$22-B1177))</f>
        <v/>
      </c>
      <c r="L1177">
        <f>SUMPRODUCT(Calc!$K$3:$K$22*(Calc!$G$3:$G$22&gt;A1177)*(Calc!$G$3:$G$22-A1177)*Calc!$G$3:$G$22)</f>
        <v/>
      </c>
      <c r="M1177">
        <f>SUMPRODUCT(Calc!$K$3:$K$22*(Calc!$G$3:$G$22&gt;B1177)*(Calc!$G$3:$G$22-B1177)*Calc!$G$3:$G$22)</f>
        <v/>
      </c>
      <c r="N1177">
        <f>SUMPRODUCT(Calc!$K$3:$K$22*(Calc!$G$3:$G$22&gt;A1177)*(Calc!$G$3:$G$22-A1177)*Calc!$I$3:$I$22)</f>
        <v/>
      </c>
      <c r="O1177">
        <f>SUMPRODUCT(Calc!$K$3:$K$22*(Calc!$G$3:$G$22&gt;B1177)*(Calc!$G$3:$G$22-B1177)*Calc!$I$3:$I$22)</f>
        <v/>
      </c>
      <c r="P1177">
        <f>I1177-G1177^2/k_n</f>
        <v/>
      </c>
      <c r="Q1177">
        <f>J1177-H1177^2/k_n</f>
        <v/>
      </c>
      <c r="R1177">
        <f>K1177-G1177*H1177/k_n</f>
        <v/>
      </c>
      <c r="S1177">
        <f>L1177-LTP3!$D$3*G1177/k_n</f>
        <v/>
      </c>
      <c r="T1177">
        <f>M1177-LTP3!$D$3*H1177/k_n</f>
        <v/>
      </c>
      <c r="U1177">
        <f>N1177-G1177*LTP3!$D$4/k_n</f>
        <v/>
      </c>
      <c r="V1177">
        <f>O1177-H1177*LTP3!$D$4/k_n</f>
        <v/>
      </c>
      <c r="W1177">
        <f>((LTP3!$D$5)*((P1177)*(Q1177)-(R1177)*(R1177))-(S1177)*((S1177)*(Q1177)-(R1177)*(T1177))+(T1177)*((S1177)*(R1177)-(P1177)*(T1177)))</f>
        <v/>
      </c>
      <c r="X1177">
        <f>IF(ABS(W1177)&gt;1E-12,((LTP3!$D$6)*((P1177)*(Q1177)-(R1177)*(R1177))-(S1177)*((U1177)*(Q1177)-(R1177)*(V1177))+(T1177)*((U1177)*(R1177)-(P1177)*(V1177)))/W1177,0)</f>
        <v/>
      </c>
      <c r="Y1177">
        <f>IF(ABS(W1177)&gt;1E-12,((LTP3!$D$5)*((U1177)*(Q1177)-(R1177)*(V1177))-(LTP3!$D$6)*((S1177)*(Q1177)-(R1177)*(T1177))+(T1177)*((S1177)*(V1177)-(U1177)*(T1177)))/W1177,0)</f>
        <v/>
      </c>
      <c r="Z1177">
        <f>IF(ABS(W1177)&gt;1E-12,((LTP3!$D$5)*((P1177)*(V1177)-(U1177)*(R1177))-(S1177)*((S1177)*(V1177)-(U1177)*(T1177))+(LTP3!$D$6)*((S1177)*(R1177)-(P1177)*(T1177)))/W1177,0)</f>
        <v/>
      </c>
      <c r="AA1177">
        <f>LTP3!$D$7-X1177*LTP3!$D$6-Y1177*U1177-Z1177*V1177</f>
        <v/>
      </c>
      <c r="AB1177">
        <f>IF(AND(F1177,ABS(W1177)&gt;1E-12,Y1177&gt;0,Z1177&gt;0),AA1177,1E+300)</f>
        <v/>
      </c>
    </row>
    <row r="1178">
      <c r="A1178">
        <f>$B$3+$B$5*19</f>
        <v/>
      </c>
      <c r="B1178">
        <f>$B$3+$B$5*7</f>
        <v/>
      </c>
      <c r="C1178">
        <f>SUMPRODUCT(Calc!$K$3:$K$22*(Calc!$G$3:$G$22&lt;=A1178))</f>
        <v/>
      </c>
      <c r="D1178">
        <f>SUMPRODUCT(Calc!$K$3:$K$22*(Calc!$G$3:$G$22&gt;A1178)*(Calc!$G$3:$G$22&lt;B1178))</f>
        <v/>
      </c>
      <c r="E1178">
        <f>SUMPRODUCT(Calc!$K$3:$K$22*(Calc!$G$3:$G$22&gt;=B1178))</f>
        <v/>
      </c>
      <c r="F1178">
        <f>AND(k_n&gt;=5,B1178&gt;A1178+1E-9,C1178&gt;=2,D1178&gt;=1,E1178&gt;=2)</f>
        <v/>
      </c>
      <c r="G1178">
        <f>SUMPRODUCT(Calc!$K$3:$K$22*(Calc!$G$3:$G$22&gt;A1178)*(Calc!$G$3:$G$22-A1178))</f>
        <v/>
      </c>
      <c r="H1178">
        <f>SUMPRODUCT(Calc!$K$3:$K$22*(Calc!$G$3:$G$22&gt;B1178)*(Calc!$G$3:$G$22-B1178))</f>
        <v/>
      </c>
      <c r="I1178">
        <f>SUMPRODUCT(Calc!$K$3:$K$22*(Calc!$G$3:$G$22&gt;A1178)*(Calc!$G$3:$G$22-A1178)^2)</f>
        <v/>
      </c>
      <c r="J1178">
        <f>SUMPRODUCT(Calc!$K$3:$K$22*(Calc!$G$3:$G$22&gt;B1178)*(Calc!$G$3:$G$22-B1178)^2)</f>
        <v/>
      </c>
      <c r="K1178">
        <f>SUMPRODUCT(Calc!$K$3:$K$22*(Calc!$G$3:$G$22&gt;A1178)*(Calc!$G$3:$G$22-A1178)*(Calc!$G$3:$G$22&gt;B1178)*(Calc!$G$3:$G$22-B1178))</f>
        <v/>
      </c>
      <c r="L1178">
        <f>SUMPRODUCT(Calc!$K$3:$K$22*(Calc!$G$3:$G$22&gt;A1178)*(Calc!$G$3:$G$22-A1178)*Calc!$G$3:$G$22)</f>
        <v/>
      </c>
      <c r="M1178">
        <f>SUMPRODUCT(Calc!$K$3:$K$22*(Calc!$G$3:$G$22&gt;B1178)*(Calc!$G$3:$G$22-B1178)*Calc!$G$3:$G$22)</f>
        <v/>
      </c>
      <c r="N1178">
        <f>SUMPRODUCT(Calc!$K$3:$K$22*(Calc!$G$3:$G$22&gt;A1178)*(Calc!$G$3:$G$22-A1178)*Calc!$I$3:$I$22)</f>
        <v/>
      </c>
      <c r="O1178">
        <f>SUMPRODUCT(Calc!$K$3:$K$22*(Calc!$G$3:$G$22&gt;B1178)*(Calc!$G$3:$G$22-B1178)*Calc!$I$3:$I$22)</f>
        <v/>
      </c>
      <c r="P1178">
        <f>I1178-G1178^2/k_n</f>
        <v/>
      </c>
      <c r="Q1178">
        <f>J1178-H1178^2/k_n</f>
        <v/>
      </c>
      <c r="R1178">
        <f>K1178-G1178*H1178/k_n</f>
        <v/>
      </c>
      <c r="S1178">
        <f>L1178-LTP3!$D$3*G1178/k_n</f>
        <v/>
      </c>
      <c r="T1178">
        <f>M1178-LTP3!$D$3*H1178/k_n</f>
        <v/>
      </c>
      <c r="U1178">
        <f>N1178-G1178*LTP3!$D$4/k_n</f>
        <v/>
      </c>
      <c r="V1178">
        <f>O1178-H1178*LTP3!$D$4/k_n</f>
        <v/>
      </c>
      <c r="W1178">
        <f>((LTP3!$D$5)*((P1178)*(Q1178)-(R1178)*(R1178))-(S1178)*((S1178)*(Q1178)-(R1178)*(T1178))+(T1178)*((S1178)*(R1178)-(P1178)*(T1178)))</f>
        <v/>
      </c>
      <c r="X1178">
        <f>IF(ABS(W1178)&gt;1E-12,((LTP3!$D$6)*((P1178)*(Q1178)-(R1178)*(R1178))-(S1178)*((U1178)*(Q1178)-(R1178)*(V1178))+(T1178)*((U1178)*(R1178)-(P1178)*(V1178)))/W1178,0)</f>
        <v/>
      </c>
      <c r="Y1178">
        <f>IF(ABS(W1178)&gt;1E-12,((LTP3!$D$5)*((U1178)*(Q1178)-(R1178)*(V1178))-(LTP3!$D$6)*((S1178)*(Q1178)-(R1178)*(T1178))+(T1178)*((S1178)*(V1178)-(U1178)*(T1178)))/W1178,0)</f>
        <v/>
      </c>
      <c r="Z1178">
        <f>IF(ABS(W1178)&gt;1E-12,((LTP3!$D$5)*((P1178)*(V1178)-(U1178)*(R1178))-(S1178)*((S1178)*(V1178)-(U1178)*(T1178))+(LTP3!$D$6)*((S1178)*(R1178)-(P1178)*(T1178)))/W1178,0)</f>
        <v/>
      </c>
      <c r="AA1178">
        <f>LTP3!$D$7-X1178*LTP3!$D$6-Y1178*U1178-Z1178*V1178</f>
        <v/>
      </c>
      <c r="AB1178">
        <f>IF(AND(F1178,ABS(W1178)&gt;1E-12,Y1178&gt;0,Z1178&gt;0),AA1178,1E+300)</f>
        <v/>
      </c>
    </row>
    <row r="1179">
      <c r="A1179">
        <f>$B$3+$B$5*19</f>
        <v/>
      </c>
      <c r="B1179">
        <f>$B$3+$B$5*8</f>
        <v/>
      </c>
      <c r="C1179">
        <f>SUMPRODUCT(Calc!$K$3:$K$22*(Calc!$G$3:$G$22&lt;=A1179))</f>
        <v/>
      </c>
      <c r="D1179">
        <f>SUMPRODUCT(Calc!$K$3:$K$22*(Calc!$G$3:$G$22&gt;A1179)*(Calc!$G$3:$G$22&lt;B1179))</f>
        <v/>
      </c>
      <c r="E1179">
        <f>SUMPRODUCT(Calc!$K$3:$K$22*(Calc!$G$3:$G$22&gt;=B1179))</f>
        <v/>
      </c>
      <c r="F1179">
        <f>AND(k_n&gt;=5,B1179&gt;A1179+1E-9,C1179&gt;=2,D1179&gt;=1,E1179&gt;=2)</f>
        <v/>
      </c>
      <c r="G1179">
        <f>SUMPRODUCT(Calc!$K$3:$K$22*(Calc!$G$3:$G$22&gt;A1179)*(Calc!$G$3:$G$22-A1179))</f>
        <v/>
      </c>
      <c r="H1179">
        <f>SUMPRODUCT(Calc!$K$3:$K$22*(Calc!$G$3:$G$22&gt;B1179)*(Calc!$G$3:$G$22-B1179))</f>
        <v/>
      </c>
      <c r="I1179">
        <f>SUMPRODUCT(Calc!$K$3:$K$22*(Calc!$G$3:$G$22&gt;A1179)*(Calc!$G$3:$G$22-A1179)^2)</f>
        <v/>
      </c>
      <c r="J1179">
        <f>SUMPRODUCT(Calc!$K$3:$K$22*(Calc!$G$3:$G$22&gt;B1179)*(Calc!$G$3:$G$22-B1179)^2)</f>
        <v/>
      </c>
      <c r="K1179">
        <f>SUMPRODUCT(Calc!$K$3:$K$22*(Calc!$G$3:$G$22&gt;A1179)*(Calc!$G$3:$G$22-A1179)*(Calc!$G$3:$G$22&gt;B1179)*(Calc!$G$3:$G$22-B1179))</f>
        <v/>
      </c>
      <c r="L1179">
        <f>SUMPRODUCT(Calc!$K$3:$K$22*(Calc!$G$3:$G$22&gt;A1179)*(Calc!$G$3:$G$22-A1179)*Calc!$G$3:$G$22)</f>
        <v/>
      </c>
      <c r="M1179">
        <f>SUMPRODUCT(Calc!$K$3:$K$22*(Calc!$G$3:$G$22&gt;B1179)*(Calc!$G$3:$G$22-B1179)*Calc!$G$3:$G$22)</f>
        <v/>
      </c>
      <c r="N1179">
        <f>SUMPRODUCT(Calc!$K$3:$K$22*(Calc!$G$3:$G$22&gt;A1179)*(Calc!$G$3:$G$22-A1179)*Calc!$I$3:$I$22)</f>
        <v/>
      </c>
      <c r="O1179">
        <f>SUMPRODUCT(Calc!$K$3:$K$22*(Calc!$G$3:$G$22&gt;B1179)*(Calc!$G$3:$G$22-B1179)*Calc!$I$3:$I$22)</f>
        <v/>
      </c>
      <c r="P1179">
        <f>I1179-G1179^2/k_n</f>
        <v/>
      </c>
      <c r="Q1179">
        <f>J1179-H1179^2/k_n</f>
        <v/>
      </c>
      <c r="R1179">
        <f>K1179-G1179*H1179/k_n</f>
        <v/>
      </c>
      <c r="S1179">
        <f>L1179-LTP3!$D$3*G1179/k_n</f>
        <v/>
      </c>
      <c r="T1179">
        <f>M1179-LTP3!$D$3*H1179/k_n</f>
        <v/>
      </c>
      <c r="U1179">
        <f>N1179-G1179*LTP3!$D$4/k_n</f>
        <v/>
      </c>
      <c r="V1179">
        <f>O1179-H1179*LTP3!$D$4/k_n</f>
        <v/>
      </c>
      <c r="W1179">
        <f>((LTP3!$D$5)*((P1179)*(Q1179)-(R1179)*(R1179))-(S1179)*((S1179)*(Q1179)-(R1179)*(T1179))+(T1179)*((S1179)*(R1179)-(P1179)*(T1179)))</f>
        <v/>
      </c>
      <c r="X1179">
        <f>IF(ABS(W1179)&gt;1E-12,((LTP3!$D$6)*((P1179)*(Q1179)-(R1179)*(R1179))-(S1179)*((U1179)*(Q1179)-(R1179)*(V1179))+(T1179)*((U1179)*(R1179)-(P1179)*(V1179)))/W1179,0)</f>
        <v/>
      </c>
      <c r="Y1179">
        <f>IF(ABS(W1179)&gt;1E-12,((LTP3!$D$5)*((U1179)*(Q1179)-(R1179)*(V1179))-(LTP3!$D$6)*((S1179)*(Q1179)-(R1179)*(T1179))+(T1179)*((S1179)*(V1179)-(U1179)*(T1179)))/W1179,0)</f>
        <v/>
      </c>
      <c r="Z1179">
        <f>IF(ABS(W1179)&gt;1E-12,((LTP3!$D$5)*((P1179)*(V1179)-(U1179)*(R1179))-(S1179)*((S1179)*(V1179)-(U1179)*(T1179))+(LTP3!$D$6)*((S1179)*(R1179)-(P1179)*(T1179)))/W1179,0)</f>
        <v/>
      </c>
      <c r="AA1179">
        <f>LTP3!$D$7-X1179*LTP3!$D$6-Y1179*U1179-Z1179*V1179</f>
        <v/>
      </c>
      <c r="AB1179">
        <f>IF(AND(F1179,ABS(W1179)&gt;1E-12,Y1179&gt;0,Z1179&gt;0),AA1179,1E+300)</f>
        <v/>
      </c>
    </row>
    <row r="1180">
      <c r="A1180">
        <f>$B$3+$B$5*19</f>
        <v/>
      </c>
      <c r="B1180">
        <f>$B$3+$B$5*9</f>
        <v/>
      </c>
      <c r="C1180">
        <f>SUMPRODUCT(Calc!$K$3:$K$22*(Calc!$G$3:$G$22&lt;=A1180))</f>
        <v/>
      </c>
      <c r="D1180">
        <f>SUMPRODUCT(Calc!$K$3:$K$22*(Calc!$G$3:$G$22&gt;A1180)*(Calc!$G$3:$G$22&lt;B1180))</f>
        <v/>
      </c>
      <c r="E1180">
        <f>SUMPRODUCT(Calc!$K$3:$K$22*(Calc!$G$3:$G$22&gt;=B1180))</f>
        <v/>
      </c>
      <c r="F1180">
        <f>AND(k_n&gt;=5,B1180&gt;A1180+1E-9,C1180&gt;=2,D1180&gt;=1,E1180&gt;=2)</f>
        <v/>
      </c>
      <c r="G1180">
        <f>SUMPRODUCT(Calc!$K$3:$K$22*(Calc!$G$3:$G$22&gt;A1180)*(Calc!$G$3:$G$22-A1180))</f>
        <v/>
      </c>
      <c r="H1180">
        <f>SUMPRODUCT(Calc!$K$3:$K$22*(Calc!$G$3:$G$22&gt;B1180)*(Calc!$G$3:$G$22-B1180))</f>
        <v/>
      </c>
      <c r="I1180">
        <f>SUMPRODUCT(Calc!$K$3:$K$22*(Calc!$G$3:$G$22&gt;A1180)*(Calc!$G$3:$G$22-A1180)^2)</f>
        <v/>
      </c>
      <c r="J1180">
        <f>SUMPRODUCT(Calc!$K$3:$K$22*(Calc!$G$3:$G$22&gt;B1180)*(Calc!$G$3:$G$22-B1180)^2)</f>
        <v/>
      </c>
      <c r="K1180">
        <f>SUMPRODUCT(Calc!$K$3:$K$22*(Calc!$G$3:$G$22&gt;A1180)*(Calc!$G$3:$G$22-A1180)*(Calc!$G$3:$G$22&gt;B1180)*(Calc!$G$3:$G$22-B1180))</f>
        <v/>
      </c>
      <c r="L1180">
        <f>SUMPRODUCT(Calc!$K$3:$K$22*(Calc!$G$3:$G$22&gt;A1180)*(Calc!$G$3:$G$22-A1180)*Calc!$G$3:$G$22)</f>
        <v/>
      </c>
      <c r="M1180">
        <f>SUMPRODUCT(Calc!$K$3:$K$22*(Calc!$G$3:$G$22&gt;B1180)*(Calc!$G$3:$G$22-B1180)*Calc!$G$3:$G$22)</f>
        <v/>
      </c>
      <c r="N1180">
        <f>SUMPRODUCT(Calc!$K$3:$K$22*(Calc!$G$3:$G$22&gt;A1180)*(Calc!$G$3:$G$22-A1180)*Calc!$I$3:$I$22)</f>
        <v/>
      </c>
      <c r="O1180">
        <f>SUMPRODUCT(Calc!$K$3:$K$22*(Calc!$G$3:$G$22&gt;B1180)*(Calc!$G$3:$G$22-B1180)*Calc!$I$3:$I$22)</f>
        <v/>
      </c>
      <c r="P1180">
        <f>I1180-G1180^2/k_n</f>
        <v/>
      </c>
      <c r="Q1180">
        <f>J1180-H1180^2/k_n</f>
        <v/>
      </c>
      <c r="R1180">
        <f>K1180-G1180*H1180/k_n</f>
        <v/>
      </c>
      <c r="S1180">
        <f>L1180-LTP3!$D$3*G1180/k_n</f>
        <v/>
      </c>
      <c r="T1180">
        <f>M1180-LTP3!$D$3*H1180/k_n</f>
        <v/>
      </c>
      <c r="U1180">
        <f>N1180-G1180*LTP3!$D$4/k_n</f>
        <v/>
      </c>
      <c r="V1180">
        <f>O1180-H1180*LTP3!$D$4/k_n</f>
        <v/>
      </c>
      <c r="W1180">
        <f>((LTP3!$D$5)*((P1180)*(Q1180)-(R1180)*(R1180))-(S1180)*((S1180)*(Q1180)-(R1180)*(T1180))+(T1180)*((S1180)*(R1180)-(P1180)*(T1180)))</f>
        <v/>
      </c>
      <c r="X1180">
        <f>IF(ABS(W1180)&gt;1E-12,((LTP3!$D$6)*((P1180)*(Q1180)-(R1180)*(R1180))-(S1180)*((U1180)*(Q1180)-(R1180)*(V1180))+(T1180)*((U1180)*(R1180)-(P1180)*(V1180)))/W1180,0)</f>
        <v/>
      </c>
      <c r="Y1180">
        <f>IF(ABS(W1180)&gt;1E-12,((LTP3!$D$5)*((U1180)*(Q1180)-(R1180)*(V1180))-(LTP3!$D$6)*((S1180)*(Q1180)-(R1180)*(T1180))+(T1180)*((S1180)*(V1180)-(U1180)*(T1180)))/W1180,0)</f>
        <v/>
      </c>
      <c r="Z1180">
        <f>IF(ABS(W1180)&gt;1E-12,((LTP3!$D$5)*((P1180)*(V1180)-(U1180)*(R1180))-(S1180)*((S1180)*(V1180)-(U1180)*(T1180))+(LTP3!$D$6)*((S1180)*(R1180)-(P1180)*(T1180)))/W1180,0)</f>
        <v/>
      </c>
      <c r="AA1180">
        <f>LTP3!$D$7-X1180*LTP3!$D$6-Y1180*U1180-Z1180*V1180</f>
        <v/>
      </c>
      <c r="AB1180">
        <f>IF(AND(F1180,ABS(W1180)&gt;1E-12,Y1180&gt;0,Z1180&gt;0),AA1180,1E+300)</f>
        <v/>
      </c>
    </row>
    <row r="1181">
      <c r="A1181">
        <f>$B$3+$B$5*19</f>
        <v/>
      </c>
      <c r="B1181">
        <f>$B$3+$B$5*10</f>
        <v/>
      </c>
      <c r="C1181">
        <f>SUMPRODUCT(Calc!$K$3:$K$22*(Calc!$G$3:$G$22&lt;=A1181))</f>
        <v/>
      </c>
      <c r="D1181">
        <f>SUMPRODUCT(Calc!$K$3:$K$22*(Calc!$G$3:$G$22&gt;A1181)*(Calc!$G$3:$G$22&lt;B1181))</f>
        <v/>
      </c>
      <c r="E1181">
        <f>SUMPRODUCT(Calc!$K$3:$K$22*(Calc!$G$3:$G$22&gt;=B1181))</f>
        <v/>
      </c>
      <c r="F1181">
        <f>AND(k_n&gt;=5,B1181&gt;A1181+1E-9,C1181&gt;=2,D1181&gt;=1,E1181&gt;=2)</f>
        <v/>
      </c>
      <c r="G1181">
        <f>SUMPRODUCT(Calc!$K$3:$K$22*(Calc!$G$3:$G$22&gt;A1181)*(Calc!$G$3:$G$22-A1181))</f>
        <v/>
      </c>
      <c r="H1181">
        <f>SUMPRODUCT(Calc!$K$3:$K$22*(Calc!$G$3:$G$22&gt;B1181)*(Calc!$G$3:$G$22-B1181))</f>
        <v/>
      </c>
      <c r="I1181">
        <f>SUMPRODUCT(Calc!$K$3:$K$22*(Calc!$G$3:$G$22&gt;A1181)*(Calc!$G$3:$G$22-A1181)^2)</f>
        <v/>
      </c>
      <c r="J1181">
        <f>SUMPRODUCT(Calc!$K$3:$K$22*(Calc!$G$3:$G$22&gt;B1181)*(Calc!$G$3:$G$22-B1181)^2)</f>
        <v/>
      </c>
      <c r="K1181">
        <f>SUMPRODUCT(Calc!$K$3:$K$22*(Calc!$G$3:$G$22&gt;A1181)*(Calc!$G$3:$G$22-A1181)*(Calc!$G$3:$G$22&gt;B1181)*(Calc!$G$3:$G$22-B1181))</f>
        <v/>
      </c>
      <c r="L1181">
        <f>SUMPRODUCT(Calc!$K$3:$K$22*(Calc!$G$3:$G$22&gt;A1181)*(Calc!$G$3:$G$22-A1181)*Calc!$G$3:$G$22)</f>
        <v/>
      </c>
      <c r="M1181">
        <f>SUMPRODUCT(Calc!$K$3:$K$22*(Calc!$G$3:$G$22&gt;B1181)*(Calc!$G$3:$G$22-B1181)*Calc!$G$3:$G$22)</f>
        <v/>
      </c>
      <c r="N1181">
        <f>SUMPRODUCT(Calc!$K$3:$K$22*(Calc!$G$3:$G$22&gt;A1181)*(Calc!$G$3:$G$22-A1181)*Calc!$I$3:$I$22)</f>
        <v/>
      </c>
      <c r="O1181">
        <f>SUMPRODUCT(Calc!$K$3:$K$22*(Calc!$G$3:$G$22&gt;B1181)*(Calc!$G$3:$G$22-B1181)*Calc!$I$3:$I$22)</f>
        <v/>
      </c>
      <c r="P1181">
        <f>I1181-G1181^2/k_n</f>
        <v/>
      </c>
      <c r="Q1181">
        <f>J1181-H1181^2/k_n</f>
        <v/>
      </c>
      <c r="R1181">
        <f>K1181-G1181*H1181/k_n</f>
        <v/>
      </c>
      <c r="S1181">
        <f>L1181-LTP3!$D$3*G1181/k_n</f>
        <v/>
      </c>
      <c r="T1181">
        <f>M1181-LTP3!$D$3*H1181/k_n</f>
        <v/>
      </c>
      <c r="U1181">
        <f>N1181-G1181*LTP3!$D$4/k_n</f>
        <v/>
      </c>
      <c r="V1181">
        <f>O1181-H1181*LTP3!$D$4/k_n</f>
        <v/>
      </c>
      <c r="W1181">
        <f>((LTP3!$D$5)*((P1181)*(Q1181)-(R1181)*(R1181))-(S1181)*((S1181)*(Q1181)-(R1181)*(T1181))+(T1181)*((S1181)*(R1181)-(P1181)*(T1181)))</f>
        <v/>
      </c>
      <c r="X1181">
        <f>IF(ABS(W1181)&gt;1E-12,((LTP3!$D$6)*((P1181)*(Q1181)-(R1181)*(R1181))-(S1181)*((U1181)*(Q1181)-(R1181)*(V1181))+(T1181)*((U1181)*(R1181)-(P1181)*(V1181)))/W1181,0)</f>
        <v/>
      </c>
      <c r="Y1181">
        <f>IF(ABS(W1181)&gt;1E-12,((LTP3!$D$5)*((U1181)*(Q1181)-(R1181)*(V1181))-(LTP3!$D$6)*((S1181)*(Q1181)-(R1181)*(T1181))+(T1181)*((S1181)*(V1181)-(U1181)*(T1181)))/W1181,0)</f>
        <v/>
      </c>
      <c r="Z1181">
        <f>IF(ABS(W1181)&gt;1E-12,((LTP3!$D$5)*((P1181)*(V1181)-(U1181)*(R1181))-(S1181)*((S1181)*(V1181)-(U1181)*(T1181))+(LTP3!$D$6)*((S1181)*(R1181)-(P1181)*(T1181)))/W1181,0)</f>
        <v/>
      </c>
      <c r="AA1181">
        <f>LTP3!$D$7-X1181*LTP3!$D$6-Y1181*U1181-Z1181*V1181</f>
        <v/>
      </c>
      <c r="AB1181">
        <f>IF(AND(F1181,ABS(W1181)&gt;1E-12,Y1181&gt;0,Z1181&gt;0),AA1181,1E+300)</f>
        <v/>
      </c>
    </row>
    <row r="1182">
      <c r="A1182">
        <f>$B$3+$B$5*19</f>
        <v/>
      </c>
      <c r="B1182">
        <f>$B$3+$B$5*11</f>
        <v/>
      </c>
      <c r="C1182">
        <f>SUMPRODUCT(Calc!$K$3:$K$22*(Calc!$G$3:$G$22&lt;=A1182))</f>
        <v/>
      </c>
      <c r="D1182">
        <f>SUMPRODUCT(Calc!$K$3:$K$22*(Calc!$G$3:$G$22&gt;A1182)*(Calc!$G$3:$G$22&lt;B1182))</f>
        <v/>
      </c>
      <c r="E1182">
        <f>SUMPRODUCT(Calc!$K$3:$K$22*(Calc!$G$3:$G$22&gt;=B1182))</f>
        <v/>
      </c>
      <c r="F1182">
        <f>AND(k_n&gt;=5,B1182&gt;A1182+1E-9,C1182&gt;=2,D1182&gt;=1,E1182&gt;=2)</f>
        <v/>
      </c>
      <c r="G1182">
        <f>SUMPRODUCT(Calc!$K$3:$K$22*(Calc!$G$3:$G$22&gt;A1182)*(Calc!$G$3:$G$22-A1182))</f>
        <v/>
      </c>
      <c r="H1182">
        <f>SUMPRODUCT(Calc!$K$3:$K$22*(Calc!$G$3:$G$22&gt;B1182)*(Calc!$G$3:$G$22-B1182))</f>
        <v/>
      </c>
      <c r="I1182">
        <f>SUMPRODUCT(Calc!$K$3:$K$22*(Calc!$G$3:$G$22&gt;A1182)*(Calc!$G$3:$G$22-A1182)^2)</f>
        <v/>
      </c>
      <c r="J1182">
        <f>SUMPRODUCT(Calc!$K$3:$K$22*(Calc!$G$3:$G$22&gt;B1182)*(Calc!$G$3:$G$22-B1182)^2)</f>
        <v/>
      </c>
      <c r="K1182">
        <f>SUMPRODUCT(Calc!$K$3:$K$22*(Calc!$G$3:$G$22&gt;A1182)*(Calc!$G$3:$G$22-A1182)*(Calc!$G$3:$G$22&gt;B1182)*(Calc!$G$3:$G$22-B1182))</f>
        <v/>
      </c>
      <c r="L1182">
        <f>SUMPRODUCT(Calc!$K$3:$K$22*(Calc!$G$3:$G$22&gt;A1182)*(Calc!$G$3:$G$22-A1182)*Calc!$G$3:$G$22)</f>
        <v/>
      </c>
      <c r="M1182">
        <f>SUMPRODUCT(Calc!$K$3:$K$22*(Calc!$G$3:$G$22&gt;B1182)*(Calc!$G$3:$G$22-B1182)*Calc!$G$3:$G$22)</f>
        <v/>
      </c>
      <c r="N1182">
        <f>SUMPRODUCT(Calc!$K$3:$K$22*(Calc!$G$3:$G$22&gt;A1182)*(Calc!$G$3:$G$22-A1182)*Calc!$I$3:$I$22)</f>
        <v/>
      </c>
      <c r="O1182">
        <f>SUMPRODUCT(Calc!$K$3:$K$22*(Calc!$G$3:$G$22&gt;B1182)*(Calc!$G$3:$G$22-B1182)*Calc!$I$3:$I$22)</f>
        <v/>
      </c>
      <c r="P1182">
        <f>I1182-G1182^2/k_n</f>
        <v/>
      </c>
      <c r="Q1182">
        <f>J1182-H1182^2/k_n</f>
        <v/>
      </c>
      <c r="R1182">
        <f>K1182-G1182*H1182/k_n</f>
        <v/>
      </c>
      <c r="S1182">
        <f>L1182-LTP3!$D$3*G1182/k_n</f>
        <v/>
      </c>
      <c r="T1182">
        <f>M1182-LTP3!$D$3*H1182/k_n</f>
        <v/>
      </c>
      <c r="U1182">
        <f>N1182-G1182*LTP3!$D$4/k_n</f>
        <v/>
      </c>
      <c r="V1182">
        <f>O1182-H1182*LTP3!$D$4/k_n</f>
        <v/>
      </c>
      <c r="W1182">
        <f>((LTP3!$D$5)*((P1182)*(Q1182)-(R1182)*(R1182))-(S1182)*((S1182)*(Q1182)-(R1182)*(T1182))+(T1182)*((S1182)*(R1182)-(P1182)*(T1182)))</f>
        <v/>
      </c>
      <c r="X1182">
        <f>IF(ABS(W1182)&gt;1E-12,((LTP3!$D$6)*((P1182)*(Q1182)-(R1182)*(R1182))-(S1182)*((U1182)*(Q1182)-(R1182)*(V1182))+(T1182)*((U1182)*(R1182)-(P1182)*(V1182)))/W1182,0)</f>
        <v/>
      </c>
      <c r="Y1182">
        <f>IF(ABS(W1182)&gt;1E-12,((LTP3!$D$5)*((U1182)*(Q1182)-(R1182)*(V1182))-(LTP3!$D$6)*((S1182)*(Q1182)-(R1182)*(T1182))+(T1182)*((S1182)*(V1182)-(U1182)*(T1182)))/W1182,0)</f>
        <v/>
      </c>
      <c r="Z1182">
        <f>IF(ABS(W1182)&gt;1E-12,((LTP3!$D$5)*((P1182)*(V1182)-(U1182)*(R1182))-(S1182)*((S1182)*(V1182)-(U1182)*(T1182))+(LTP3!$D$6)*((S1182)*(R1182)-(P1182)*(T1182)))/W1182,0)</f>
        <v/>
      </c>
      <c r="AA1182">
        <f>LTP3!$D$7-X1182*LTP3!$D$6-Y1182*U1182-Z1182*V1182</f>
        <v/>
      </c>
      <c r="AB1182">
        <f>IF(AND(F1182,ABS(W1182)&gt;1E-12,Y1182&gt;0,Z1182&gt;0),AA1182,1E+300)</f>
        <v/>
      </c>
    </row>
    <row r="1183">
      <c r="A1183">
        <f>$B$3+$B$5*19</f>
        <v/>
      </c>
      <c r="B1183">
        <f>$B$3+$B$5*12</f>
        <v/>
      </c>
      <c r="C1183">
        <f>SUMPRODUCT(Calc!$K$3:$K$22*(Calc!$G$3:$G$22&lt;=A1183))</f>
        <v/>
      </c>
      <c r="D1183">
        <f>SUMPRODUCT(Calc!$K$3:$K$22*(Calc!$G$3:$G$22&gt;A1183)*(Calc!$G$3:$G$22&lt;B1183))</f>
        <v/>
      </c>
      <c r="E1183">
        <f>SUMPRODUCT(Calc!$K$3:$K$22*(Calc!$G$3:$G$22&gt;=B1183))</f>
        <v/>
      </c>
      <c r="F1183">
        <f>AND(k_n&gt;=5,B1183&gt;A1183+1E-9,C1183&gt;=2,D1183&gt;=1,E1183&gt;=2)</f>
        <v/>
      </c>
      <c r="G1183">
        <f>SUMPRODUCT(Calc!$K$3:$K$22*(Calc!$G$3:$G$22&gt;A1183)*(Calc!$G$3:$G$22-A1183))</f>
        <v/>
      </c>
      <c r="H1183">
        <f>SUMPRODUCT(Calc!$K$3:$K$22*(Calc!$G$3:$G$22&gt;B1183)*(Calc!$G$3:$G$22-B1183))</f>
        <v/>
      </c>
      <c r="I1183">
        <f>SUMPRODUCT(Calc!$K$3:$K$22*(Calc!$G$3:$G$22&gt;A1183)*(Calc!$G$3:$G$22-A1183)^2)</f>
        <v/>
      </c>
      <c r="J1183">
        <f>SUMPRODUCT(Calc!$K$3:$K$22*(Calc!$G$3:$G$22&gt;B1183)*(Calc!$G$3:$G$22-B1183)^2)</f>
        <v/>
      </c>
      <c r="K1183">
        <f>SUMPRODUCT(Calc!$K$3:$K$22*(Calc!$G$3:$G$22&gt;A1183)*(Calc!$G$3:$G$22-A1183)*(Calc!$G$3:$G$22&gt;B1183)*(Calc!$G$3:$G$22-B1183))</f>
        <v/>
      </c>
      <c r="L1183">
        <f>SUMPRODUCT(Calc!$K$3:$K$22*(Calc!$G$3:$G$22&gt;A1183)*(Calc!$G$3:$G$22-A1183)*Calc!$G$3:$G$22)</f>
        <v/>
      </c>
      <c r="M1183">
        <f>SUMPRODUCT(Calc!$K$3:$K$22*(Calc!$G$3:$G$22&gt;B1183)*(Calc!$G$3:$G$22-B1183)*Calc!$G$3:$G$22)</f>
        <v/>
      </c>
      <c r="N1183">
        <f>SUMPRODUCT(Calc!$K$3:$K$22*(Calc!$G$3:$G$22&gt;A1183)*(Calc!$G$3:$G$22-A1183)*Calc!$I$3:$I$22)</f>
        <v/>
      </c>
      <c r="O1183">
        <f>SUMPRODUCT(Calc!$K$3:$K$22*(Calc!$G$3:$G$22&gt;B1183)*(Calc!$G$3:$G$22-B1183)*Calc!$I$3:$I$22)</f>
        <v/>
      </c>
      <c r="P1183">
        <f>I1183-G1183^2/k_n</f>
        <v/>
      </c>
      <c r="Q1183">
        <f>J1183-H1183^2/k_n</f>
        <v/>
      </c>
      <c r="R1183">
        <f>K1183-G1183*H1183/k_n</f>
        <v/>
      </c>
      <c r="S1183">
        <f>L1183-LTP3!$D$3*G1183/k_n</f>
        <v/>
      </c>
      <c r="T1183">
        <f>M1183-LTP3!$D$3*H1183/k_n</f>
        <v/>
      </c>
      <c r="U1183">
        <f>N1183-G1183*LTP3!$D$4/k_n</f>
        <v/>
      </c>
      <c r="V1183">
        <f>O1183-H1183*LTP3!$D$4/k_n</f>
        <v/>
      </c>
      <c r="W1183">
        <f>((LTP3!$D$5)*((P1183)*(Q1183)-(R1183)*(R1183))-(S1183)*((S1183)*(Q1183)-(R1183)*(T1183))+(T1183)*((S1183)*(R1183)-(P1183)*(T1183)))</f>
        <v/>
      </c>
      <c r="X1183">
        <f>IF(ABS(W1183)&gt;1E-12,((LTP3!$D$6)*((P1183)*(Q1183)-(R1183)*(R1183))-(S1183)*((U1183)*(Q1183)-(R1183)*(V1183))+(T1183)*((U1183)*(R1183)-(P1183)*(V1183)))/W1183,0)</f>
        <v/>
      </c>
      <c r="Y1183">
        <f>IF(ABS(W1183)&gt;1E-12,((LTP3!$D$5)*((U1183)*(Q1183)-(R1183)*(V1183))-(LTP3!$D$6)*((S1183)*(Q1183)-(R1183)*(T1183))+(T1183)*((S1183)*(V1183)-(U1183)*(T1183)))/W1183,0)</f>
        <v/>
      </c>
      <c r="Z1183">
        <f>IF(ABS(W1183)&gt;1E-12,((LTP3!$D$5)*((P1183)*(V1183)-(U1183)*(R1183))-(S1183)*((S1183)*(V1183)-(U1183)*(T1183))+(LTP3!$D$6)*((S1183)*(R1183)-(P1183)*(T1183)))/W1183,0)</f>
        <v/>
      </c>
      <c r="AA1183">
        <f>LTP3!$D$7-X1183*LTP3!$D$6-Y1183*U1183-Z1183*V1183</f>
        <v/>
      </c>
      <c r="AB1183">
        <f>IF(AND(F1183,ABS(W1183)&gt;1E-12,Y1183&gt;0,Z1183&gt;0),AA1183,1E+300)</f>
        <v/>
      </c>
    </row>
    <row r="1184">
      <c r="A1184">
        <f>$B$3+$B$5*19</f>
        <v/>
      </c>
      <c r="B1184">
        <f>$B$3+$B$5*13</f>
        <v/>
      </c>
      <c r="C1184">
        <f>SUMPRODUCT(Calc!$K$3:$K$22*(Calc!$G$3:$G$22&lt;=A1184))</f>
        <v/>
      </c>
      <c r="D1184">
        <f>SUMPRODUCT(Calc!$K$3:$K$22*(Calc!$G$3:$G$22&gt;A1184)*(Calc!$G$3:$G$22&lt;B1184))</f>
        <v/>
      </c>
      <c r="E1184">
        <f>SUMPRODUCT(Calc!$K$3:$K$22*(Calc!$G$3:$G$22&gt;=B1184))</f>
        <v/>
      </c>
      <c r="F1184">
        <f>AND(k_n&gt;=5,B1184&gt;A1184+1E-9,C1184&gt;=2,D1184&gt;=1,E1184&gt;=2)</f>
        <v/>
      </c>
      <c r="G1184">
        <f>SUMPRODUCT(Calc!$K$3:$K$22*(Calc!$G$3:$G$22&gt;A1184)*(Calc!$G$3:$G$22-A1184))</f>
        <v/>
      </c>
      <c r="H1184">
        <f>SUMPRODUCT(Calc!$K$3:$K$22*(Calc!$G$3:$G$22&gt;B1184)*(Calc!$G$3:$G$22-B1184))</f>
        <v/>
      </c>
      <c r="I1184">
        <f>SUMPRODUCT(Calc!$K$3:$K$22*(Calc!$G$3:$G$22&gt;A1184)*(Calc!$G$3:$G$22-A1184)^2)</f>
        <v/>
      </c>
      <c r="J1184">
        <f>SUMPRODUCT(Calc!$K$3:$K$22*(Calc!$G$3:$G$22&gt;B1184)*(Calc!$G$3:$G$22-B1184)^2)</f>
        <v/>
      </c>
      <c r="K1184">
        <f>SUMPRODUCT(Calc!$K$3:$K$22*(Calc!$G$3:$G$22&gt;A1184)*(Calc!$G$3:$G$22-A1184)*(Calc!$G$3:$G$22&gt;B1184)*(Calc!$G$3:$G$22-B1184))</f>
        <v/>
      </c>
      <c r="L1184">
        <f>SUMPRODUCT(Calc!$K$3:$K$22*(Calc!$G$3:$G$22&gt;A1184)*(Calc!$G$3:$G$22-A1184)*Calc!$G$3:$G$22)</f>
        <v/>
      </c>
      <c r="M1184">
        <f>SUMPRODUCT(Calc!$K$3:$K$22*(Calc!$G$3:$G$22&gt;B1184)*(Calc!$G$3:$G$22-B1184)*Calc!$G$3:$G$22)</f>
        <v/>
      </c>
      <c r="N1184">
        <f>SUMPRODUCT(Calc!$K$3:$K$22*(Calc!$G$3:$G$22&gt;A1184)*(Calc!$G$3:$G$22-A1184)*Calc!$I$3:$I$22)</f>
        <v/>
      </c>
      <c r="O1184">
        <f>SUMPRODUCT(Calc!$K$3:$K$22*(Calc!$G$3:$G$22&gt;B1184)*(Calc!$G$3:$G$22-B1184)*Calc!$I$3:$I$22)</f>
        <v/>
      </c>
      <c r="P1184">
        <f>I1184-G1184^2/k_n</f>
        <v/>
      </c>
      <c r="Q1184">
        <f>J1184-H1184^2/k_n</f>
        <v/>
      </c>
      <c r="R1184">
        <f>K1184-G1184*H1184/k_n</f>
        <v/>
      </c>
      <c r="S1184">
        <f>L1184-LTP3!$D$3*G1184/k_n</f>
        <v/>
      </c>
      <c r="T1184">
        <f>M1184-LTP3!$D$3*H1184/k_n</f>
        <v/>
      </c>
      <c r="U1184">
        <f>N1184-G1184*LTP3!$D$4/k_n</f>
        <v/>
      </c>
      <c r="V1184">
        <f>O1184-H1184*LTP3!$D$4/k_n</f>
        <v/>
      </c>
      <c r="W1184">
        <f>((LTP3!$D$5)*((P1184)*(Q1184)-(R1184)*(R1184))-(S1184)*((S1184)*(Q1184)-(R1184)*(T1184))+(T1184)*((S1184)*(R1184)-(P1184)*(T1184)))</f>
        <v/>
      </c>
      <c r="X1184">
        <f>IF(ABS(W1184)&gt;1E-12,((LTP3!$D$6)*((P1184)*(Q1184)-(R1184)*(R1184))-(S1184)*((U1184)*(Q1184)-(R1184)*(V1184))+(T1184)*((U1184)*(R1184)-(P1184)*(V1184)))/W1184,0)</f>
        <v/>
      </c>
      <c r="Y1184">
        <f>IF(ABS(W1184)&gt;1E-12,((LTP3!$D$5)*((U1184)*(Q1184)-(R1184)*(V1184))-(LTP3!$D$6)*((S1184)*(Q1184)-(R1184)*(T1184))+(T1184)*((S1184)*(V1184)-(U1184)*(T1184)))/W1184,0)</f>
        <v/>
      </c>
      <c r="Z1184">
        <f>IF(ABS(W1184)&gt;1E-12,((LTP3!$D$5)*((P1184)*(V1184)-(U1184)*(R1184))-(S1184)*((S1184)*(V1184)-(U1184)*(T1184))+(LTP3!$D$6)*((S1184)*(R1184)-(P1184)*(T1184)))/W1184,0)</f>
        <v/>
      </c>
      <c r="AA1184">
        <f>LTP3!$D$7-X1184*LTP3!$D$6-Y1184*U1184-Z1184*V1184</f>
        <v/>
      </c>
      <c r="AB1184">
        <f>IF(AND(F1184,ABS(W1184)&gt;1E-12,Y1184&gt;0,Z1184&gt;0),AA1184,1E+300)</f>
        <v/>
      </c>
    </row>
    <row r="1185">
      <c r="A1185">
        <f>$B$3+$B$5*19</f>
        <v/>
      </c>
      <c r="B1185">
        <f>$B$3+$B$5*14</f>
        <v/>
      </c>
      <c r="C1185">
        <f>SUMPRODUCT(Calc!$K$3:$K$22*(Calc!$G$3:$G$22&lt;=A1185))</f>
        <v/>
      </c>
      <c r="D1185">
        <f>SUMPRODUCT(Calc!$K$3:$K$22*(Calc!$G$3:$G$22&gt;A1185)*(Calc!$G$3:$G$22&lt;B1185))</f>
        <v/>
      </c>
      <c r="E1185">
        <f>SUMPRODUCT(Calc!$K$3:$K$22*(Calc!$G$3:$G$22&gt;=B1185))</f>
        <v/>
      </c>
      <c r="F1185">
        <f>AND(k_n&gt;=5,B1185&gt;A1185+1E-9,C1185&gt;=2,D1185&gt;=1,E1185&gt;=2)</f>
        <v/>
      </c>
      <c r="G1185">
        <f>SUMPRODUCT(Calc!$K$3:$K$22*(Calc!$G$3:$G$22&gt;A1185)*(Calc!$G$3:$G$22-A1185))</f>
        <v/>
      </c>
      <c r="H1185">
        <f>SUMPRODUCT(Calc!$K$3:$K$22*(Calc!$G$3:$G$22&gt;B1185)*(Calc!$G$3:$G$22-B1185))</f>
        <v/>
      </c>
      <c r="I1185">
        <f>SUMPRODUCT(Calc!$K$3:$K$22*(Calc!$G$3:$G$22&gt;A1185)*(Calc!$G$3:$G$22-A1185)^2)</f>
        <v/>
      </c>
      <c r="J1185">
        <f>SUMPRODUCT(Calc!$K$3:$K$22*(Calc!$G$3:$G$22&gt;B1185)*(Calc!$G$3:$G$22-B1185)^2)</f>
        <v/>
      </c>
      <c r="K1185">
        <f>SUMPRODUCT(Calc!$K$3:$K$22*(Calc!$G$3:$G$22&gt;A1185)*(Calc!$G$3:$G$22-A1185)*(Calc!$G$3:$G$22&gt;B1185)*(Calc!$G$3:$G$22-B1185))</f>
        <v/>
      </c>
      <c r="L1185">
        <f>SUMPRODUCT(Calc!$K$3:$K$22*(Calc!$G$3:$G$22&gt;A1185)*(Calc!$G$3:$G$22-A1185)*Calc!$G$3:$G$22)</f>
        <v/>
      </c>
      <c r="M1185">
        <f>SUMPRODUCT(Calc!$K$3:$K$22*(Calc!$G$3:$G$22&gt;B1185)*(Calc!$G$3:$G$22-B1185)*Calc!$G$3:$G$22)</f>
        <v/>
      </c>
      <c r="N1185">
        <f>SUMPRODUCT(Calc!$K$3:$K$22*(Calc!$G$3:$G$22&gt;A1185)*(Calc!$G$3:$G$22-A1185)*Calc!$I$3:$I$22)</f>
        <v/>
      </c>
      <c r="O1185">
        <f>SUMPRODUCT(Calc!$K$3:$K$22*(Calc!$G$3:$G$22&gt;B1185)*(Calc!$G$3:$G$22-B1185)*Calc!$I$3:$I$22)</f>
        <v/>
      </c>
      <c r="P1185">
        <f>I1185-G1185^2/k_n</f>
        <v/>
      </c>
      <c r="Q1185">
        <f>J1185-H1185^2/k_n</f>
        <v/>
      </c>
      <c r="R1185">
        <f>K1185-G1185*H1185/k_n</f>
        <v/>
      </c>
      <c r="S1185">
        <f>L1185-LTP3!$D$3*G1185/k_n</f>
        <v/>
      </c>
      <c r="T1185">
        <f>M1185-LTP3!$D$3*H1185/k_n</f>
        <v/>
      </c>
      <c r="U1185">
        <f>N1185-G1185*LTP3!$D$4/k_n</f>
        <v/>
      </c>
      <c r="V1185">
        <f>O1185-H1185*LTP3!$D$4/k_n</f>
        <v/>
      </c>
      <c r="W1185">
        <f>((LTP3!$D$5)*((P1185)*(Q1185)-(R1185)*(R1185))-(S1185)*((S1185)*(Q1185)-(R1185)*(T1185))+(T1185)*((S1185)*(R1185)-(P1185)*(T1185)))</f>
        <v/>
      </c>
      <c r="X1185">
        <f>IF(ABS(W1185)&gt;1E-12,((LTP3!$D$6)*((P1185)*(Q1185)-(R1185)*(R1185))-(S1185)*((U1185)*(Q1185)-(R1185)*(V1185))+(T1185)*((U1185)*(R1185)-(P1185)*(V1185)))/W1185,0)</f>
        <v/>
      </c>
      <c r="Y1185">
        <f>IF(ABS(W1185)&gt;1E-12,((LTP3!$D$5)*((U1185)*(Q1185)-(R1185)*(V1185))-(LTP3!$D$6)*((S1185)*(Q1185)-(R1185)*(T1185))+(T1185)*((S1185)*(V1185)-(U1185)*(T1185)))/W1185,0)</f>
        <v/>
      </c>
      <c r="Z1185">
        <f>IF(ABS(W1185)&gt;1E-12,((LTP3!$D$5)*((P1185)*(V1185)-(U1185)*(R1185))-(S1185)*((S1185)*(V1185)-(U1185)*(T1185))+(LTP3!$D$6)*((S1185)*(R1185)-(P1185)*(T1185)))/W1185,0)</f>
        <v/>
      </c>
      <c r="AA1185">
        <f>LTP3!$D$7-X1185*LTP3!$D$6-Y1185*U1185-Z1185*V1185</f>
        <v/>
      </c>
      <c r="AB1185">
        <f>IF(AND(F1185,ABS(W1185)&gt;1E-12,Y1185&gt;0,Z1185&gt;0),AA1185,1E+300)</f>
        <v/>
      </c>
    </row>
    <row r="1186">
      <c r="A1186">
        <f>$B$3+$B$5*19</f>
        <v/>
      </c>
      <c r="B1186">
        <f>$B$3+$B$5*15</f>
        <v/>
      </c>
      <c r="C1186">
        <f>SUMPRODUCT(Calc!$K$3:$K$22*(Calc!$G$3:$G$22&lt;=A1186))</f>
        <v/>
      </c>
      <c r="D1186">
        <f>SUMPRODUCT(Calc!$K$3:$K$22*(Calc!$G$3:$G$22&gt;A1186)*(Calc!$G$3:$G$22&lt;B1186))</f>
        <v/>
      </c>
      <c r="E1186">
        <f>SUMPRODUCT(Calc!$K$3:$K$22*(Calc!$G$3:$G$22&gt;=B1186))</f>
        <v/>
      </c>
      <c r="F1186">
        <f>AND(k_n&gt;=5,B1186&gt;A1186+1E-9,C1186&gt;=2,D1186&gt;=1,E1186&gt;=2)</f>
        <v/>
      </c>
      <c r="G1186">
        <f>SUMPRODUCT(Calc!$K$3:$K$22*(Calc!$G$3:$G$22&gt;A1186)*(Calc!$G$3:$G$22-A1186))</f>
        <v/>
      </c>
      <c r="H1186">
        <f>SUMPRODUCT(Calc!$K$3:$K$22*(Calc!$G$3:$G$22&gt;B1186)*(Calc!$G$3:$G$22-B1186))</f>
        <v/>
      </c>
      <c r="I1186">
        <f>SUMPRODUCT(Calc!$K$3:$K$22*(Calc!$G$3:$G$22&gt;A1186)*(Calc!$G$3:$G$22-A1186)^2)</f>
        <v/>
      </c>
      <c r="J1186">
        <f>SUMPRODUCT(Calc!$K$3:$K$22*(Calc!$G$3:$G$22&gt;B1186)*(Calc!$G$3:$G$22-B1186)^2)</f>
        <v/>
      </c>
      <c r="K1186">
        <f>SUMPRODUCT(Calc!$K$3:$K$22*(Calc!$G$3:$G$22&gt;A1186)*(Calc!$G$3:$G$22-A1186)*(Calc!$G$3:$G$22&gt;B1186)*(Calc!$G$3:$G$22-B1186))</f>
        <v/>
      </c>
      <c r="L1186">
        <f>SUMPRODUCT(Calc!$K$3:$K$22*(Calc!$G$3:$G$22&gt;A1186)*(Calc!$G$3:$G$22-A1186)*Calc!$G$3:$G$22)</f>
        <v/>
      </c>
      <c r="M1186">
        <f>SUMPRODUCT(Calc!$K$3:$K$22*(Calc!$G$3:$G$22&gt;B1186)*(Calc!$G$3:$G$22-B1186)*Calc!$G$3:$G$22)</f>
        <v/>
      </c>
      <c r="N1186">
        <f>SUMPRODUCT(Calc!$K$3:$K$22*(Calc!$G$3:$G$22&gt;A1186)*(Calc!$G$3:$G$22-A1186)*Calc!$I$3:$I$22)</f>
        <v/>
      </c>
      <c r="O1186">
        <f>SUMPRODUCT(Calc!$K$3:$K$22*(Calc!$G$3:$G$22&gt;B1186)*(Calc!$G$3:$G$22-B1186)*Calc!$I$3:$I$22)</f>
        <v/>
      </c>
      <c r="P1186">
        <f>I1186-G1186^2/k_n</f>
        <v/>
      </c>
      <c r="Q1186">
        <f>J1186-H1186^2/k_n</f>
        <v/>
      </c>
      <c r="R1186">
        <f>K1186-G1186*H1186/k_n</f>
        <v/>
      </c>
      <c r="S1186">
        <f>L1186-LTP3!$D$3*G1186/k_n</f>
        <v/>
      </c>
      <c r="T1186">
        <f>M1186-LTP3!$D$3*H1186/k_n</f>
        <v/>
      </c>
      <c r="U1186">
        <f>N1186-G1186*LTP3!$D$4/k_n</f>
        <v/>
      </c>
      <c r="V1186">
        <f>O1186-H1186*LTP3!$D$4/k_n</f>
        <v/>
      </c>
      <c r="W1186">
        <f>((LTP3!$D$5)*((P1186)*(Q1186)-(R1186)*(R1186))-(S1186)*((S1186)*(Q1186)-(R1186)*(T1186))+(T1186)*((S1186)*(R1186)-(P1186)*(T1186)))</f>
        <v/>
      </c>
      <c r="X1186">
        <f>IF(ABS(W1186)&gt;1E-12,((LTP3!$D$6)*((P1186)*(Q1186)-(R1186)*(R1186))-(S1186)*((U1186)*(Q1186)-(R1186)*(V1186))+(T1186)*((U1186)*(R1186)-(P1186)*(V1186)))/W1186,0)</f>
        <v/>
      </c>
      <c r="Y1186">
        <f>IF(ABS(W1186)&gt;1E-12,((LTP3!$D$5)*((U1186)*(Q1186)-(R1186)*(V1186))-(LTP3!$D$6)*((S1186)*(Q1186)-(R1186)*(T1186))+(T1186)*((S1186)*(V1186)-(U1186)*(T1186)))/W1186,0)</f>
        <v/>
      </c>
      <c r="Z1186">
        <f>IF(ABS(W1186)&gt;1E-12,((LTP3!$D$5)*((P1186)*(V1186)-(U1186)*(R1186))-(S1186)*((S1186)*(V1186)-(U1186)*(T1186))+(LTP3!$D$6)*((S1186)*(R1186)-(P1186)*(T1186)))/W1186,0)</f>
        <v/>
      </c>
      <c r="AA1186">
        <f>LTP3!$D$7-X1186*LTP3!$D$6-Y1186*U1186-Z1186*V1186</f>
        <v/>
      </c>
      <c r="AB1186">
        <f>IF(AND(F1186,ABS(W1186)&gt;1E-12,Y1186&gt;0,Z1186&gt;0),AA1186,1E+300)</f>
        <v/>
      </c>
    </row>
    <row r="1187">
      <c r="A1187">
        <f>$B$3+$B$5*19</f>
        <v/>
      </c>
      <c r="B1187">
        <f>$B$3+$B$5*16</f>
        <v/>
      </c>
      <c r="C1187">
        <f>SUMPRODUCT(Calc!$K$3:$K$22*(Calc!$G$3:$G$22&lt;=A1187))</f>
        <v/>
      </c>
      <c r="D1187">
        <f>SUMPRODUCT(Calc!$K$3:$K$22*(Calc!$G$3:$G$22&gt;A1187)*(Calc!$G$3:$G$22&lt;B1187))</f>
        <v/>
      </c>
      <c r="E1187">
        <f>SUMPRODUCT(Calc!$K$3:$K$22*(Calc!$G$3:$G$22&gt;=B1187))</f>
        <v/>
      </c>
      <c r="F1187">
        <f>AND(k_n&gt;=5,B1187&gt;A1187+1E-9,C1187&gt;=2,D1187&gt;=1,E1187&gt;=2)</f>
        <v/>
      </c>
      <c r="G1187">
        <f>SUMPRODUCT(Calc!$K$3:$K$22*(Calc!$G$3:$G$22&gt;A1187)*(Calc!$G$3:$G$22-A1187))</f>
        <v/>
      </c>
      <c r="H1187">
        <f>SUMPRODUCT(Calc!$K$3:$K$22*(Calc!$G$3:$G$22&gt;B1187)*(Calc!$G$3:$G$22-B1187))</f>
        <v/>
      </c>
      <c r="I1187">
        <f>SUMPRODUCT(Calc!$K$3:$K$22*(Calc!$G$3:$G$22&gt;A1187)*(Calc!$G$3:$G$22-A1187)^2)</f>
        <v/>
      </c>
      <c r="J1187">
        <f>SUMPRODUCT(Calc!$K$3:$K$22*(Calc!$G$3:$G$22&gt;B1187)*(Calc!$G$3:$G$22-B1187)^2)</f>
        <v/>
      </c>
      <c r="K1187">
        <f>SUMPRODUCT(Calc!$K$3:$K$22*(Calc!$G$3:$G$22&gt;A1187)*(Calc!$G$3:$G$22-A1187)*(Calc!$G$3:$G$22&gt;B1187)*(Calc!$G$3:$G$22-B1187))</f>
        <v/>
      </c>
      <c r="L1187">
        <f>SUMPRODUCT(Calc!$K$3:$K$22*(Calc!$G$3:$G$22&gt;A1187)*(Calc!$G$3:$G$22-A1187)*Calc!$G$3:$G$22)</f>
        <v/>
      </c>
      <c r="M1187">
        <f>SUMPRODUCT(Calc!$K$3:$K$22*(Calc!$G$3:$G$22&gt;B1187)*(Calc!$G$3:$G$22-B1187)*Calc!$G$3:$G$22)</f>
        <v/>
      </c>
      <c r="N1187">
        <f>SUMPRODUCT(Calc!$K$3:$K$22*(Calc!$G$3:$G$22&gt;A1187)*(Calc!$G$3:$G$22-A1187)*Calc!$I$3:$I$22)</f>
        <v/>
      </c>
      <c r="O1187">
        <f>SUMPRODUCT(Calc!$K$3:$K$22*(Calc!$G$3:$G$22&gt;B1187)*(Calc!$G$3:$G$22-B1187)*Calc!$I$3:$I$22)</f>
        <v/>
      </c>
      <c r="P1187">
        <f>I1187-G1187^2/k_n</f>
        <v/>
      </c>
      <c r="Q1187">
        <f>J1187-H1187^2/k_n</f>
        <v/>
      </c>
      <c r="R1187">
        <f>K1187-G1187*H1187/k_n</f>
        <v/>
      </c>
      <c r="S1187">
        <f>L1187-LTP3!$D$3*G1187/k_n</f>
        <v/>
      </c>
      <c r="T1187">
        <f>M1187-LTP3!$D$3*H1187/k_n</f>
        <v/>
      </c>
      <c r="U1187">
        <f>N1187-G1187*LTP3!$D$4/k_n</f>
        <v/>
      </c>
      <c r="V1187">
        <f>O1187-H1187*LTP3!$D$4/k_n</f>
        <v/>
      </c>
      <c r="W1187">
        <f>((LTP3!$D$5)*((P1187)*(Q1187)-(R1187)*(R1187))-(S1187)*((S1187)*(Q1187)-(R1187)*(T1187))+(T1187)*((S1187)*(R1187)-(P1187)*(T1187)))</f>
        <v/>
      </c>
      <c r="X1187">
        <f>IF(ABS(W1187)&gt;1E-12,((LTP3!$D$6)*((P1187)*(Q1187)-(R1187)*(R1187))-(S1187)*((U1187)*(Q1187)-(R1187)*(V1187))+(T1187)*((U1187)*(R1187)-(P1187)*(V1187)))/W1187,0)</f>
        <v/>
      </c>
      <c r="Y1187">
        <f>IF(ABS(W1187)&gt;1E-12,((LTP3!$D$5)*((U1187)*(Q1187)-(R1187)*(V1187))-(LTP3!$D$6)*((S1187)*(Q1187)-(R1187)*(T1187))+(T1187)*((S1187)*(V1187)-(U1187)*(T1187)))/W1187,0)</f>
        <v/>
      </c>
      <c r="Z1187">
        <f>IF(ABS(W1187)&gt;1E-12,((LTP3!$D$5)*((P1187)*(V1187)-(U1187)*(R1187))-(S1187)*((S1187)*(V1187)-(U1187)*(T1187))+(LTP3!$D$6)*((S1187)*(R1187)-(P1187)*(T1187)))/W1187,0)</f>
        <v/>
      </c>
      <c r="AA1187">
        <f>LTP3!$D$7-X1187*LTP3!$D$6-Y1187*U1187-Z1187*V1187</f>
        <v/>
      </c>
      <c r="AB1187">
        <f>IF(AND(F1187,ABS(W1187)&gt;1E-12,Y1187&gt;0,Z1187&gt;0),AA1187,1E+300)</f>
        <v/>
      </c>
    </row>
    <row r="1188">
      <c r="A1188">
        <f>$B$3+$B$5*19</f>
        <v/>
      </c>
      <c r="B1188">
        <f>$B$3+$B$5*17</f>
        <v/>
      </c>
      <c r="C1188">
        <f>SUMPRODUCT(Calc!$K$3:$K$22*(Calc!$G$3:$G$22&lt;=A1188))</f>
        <v/>
      </c>
      <c r="D1188">
        <f>SUMPRODUCT(Calc!$K$3:$K$22*(Calc!$G$3:$G$22&gt;A1188)*(Calc!$G$3:$G$22&lt;B1188))</f>
        <v/>
      </c>
      <c r="E1188">
        <f>SUMPRODUCT(Calc!$K$3:$K$22*(Calc!$G$3:$G$22&gt;=B1188))</f>
        <v/>
      </c>
      <c r="F1188">
        <f>AND(k_n&gt;=5,B1188&gt;A1188+1E-9,C1188&gt;=2,D1188&gt;=1,E1188&gt;=2)</f>
        <v/>
      </c>
      <c r="G1188">
        <f>SUMPRODUCT(Calc!$K$3:$K$22*(Calc!$G$3:$G$22&gt;A1188)*(Calc!$G$3:$G$22-A1188))</f>
        <v/>
      </c>
      <c r="H1188">
        <f>SUMPRODUCT(Calc!$K$3:$K$22*(Calc!$G$3:$G$22&gt;B1188)*(Calc!$G$3:$G$22-B1188))</f>
        <v/>
      </c>
      <c r="I1188">
        <f>SUMPRODUCT(Calc!$K$3:$K$22*(Calc!$G$3:$G$22&gt;A1188)*(Calc!$G$3:$G$22-A1188)^2)</f>
        <v/>
      </c>
      <c r="J1188">
        <f>SUMPRODUCT(Calc!$K$3:$K$22*(Calc!$G$3:$G$22&gt;B1188)*(Calc!$G$3:$G$22-B1188)^2)</f>
        <v/>
      </c>
      <c r="K1188">
        <f>SUMPRODUCT(Calc!$K$3:$K$22*(Calc!$G$3:$G$22&gt;A1188)*(Calc!$G$3:$G$22-A1188)*(Calc!$G$3:$G$22&gt;B1188)*(Calc!$G$3:$G$22-B1188))</f>
        <v/>
      </c>
      <c r="L1188">
        <f>SUMPRODUCT(Calc!$K$3:$K$22*(Calc!$G$3:$G$22&gt;A1188)*(Calc!$G$3:$G$22-A1188)*Calc!$G$3:$G$22)</f>
        <v/>
      </c>
      <c r="M1188">
        <f>SUMPRODUCT(Calc!$K$3:$K$22*(Calc!$G$3:$G$22&gt;B1188)*(Calc!$G$3:$G$22-B1188)*Calc!$G$3:$G$22)</f>
        <v/>
      </c>
      <c r="N1188">
        <f>SUMPRODUCT(Calc!$K$3:$K$22*(Calc!$G$3:$G$22&gt;A1188)*(Calc!$G$3:$G$22-A1188)*Calc!$I$3:$I$22)</f>
        <v/>
      </c>
      <c r="O1188">
        <f>SUMPRODUCT(Calc!$K$3:$K$22*(Calc!$G$3:$G$22&gt;B1188)*(Calc!$G$3:$G$22-B1188)*Calc!$I$3:$I$22)</f>
        <v/>
      </c>
      <c r="P1188">
        <f>I1188-G1188^2/k_n</f>
        <v/>
      </c>
      <c r="Q1188">
        <f>J1188-H1188^2/k_n</f>
        <v/>
      </c>
      <c r="R1188">
        <f>K1188-G1188*H1188/k_n</f>
        <v/>
      </c>
      <c r="S1188">
        <f>L1188-LTP3!$D$3*G1188/k_n</f>
        <v/>
      </c>
      <c r="T1188">
        <f>M1188-LTP3!$D$3*H1188/k_n</f>
        <v/>
      </c>
      <c r="U1188">
        <f>N1188-G1188*LTP3!$D$4/k_n</f>
        <v/>
      </c>
      <c r="V1188">
        <f>O1188-H1188*LTP3!$D$4/k_n</f>
        <v/>
      </c>
      <c r="W1188">
        <f>((LTP3!$D$5)*((P1188)*(Q1188)-(R1188)*(R1188))-(S1188)*((S1188)*(Q1188)-(R1188)*(T1188))+(T1188)*((S1188)*(R1188)-(P1188)*(T1188)))</f>
        <v/>
      </c>
      <c r="X1188">
        <f>IF(ABS(W1188)&gt;1E-12,((LTP3!$D$6)*((P1188)*(Q1188)-(R1188)*(R1188))-(S1188)*((U1188)*(Q1188)-(R1188)*(V1188))+(T1188)*((U1188)*(R1188)-(P1188)*(V1188)))/W1188,0)</f>
        <v/>
      </c>
      <c r="Y1188">
        <f>IF(ABS(W1188)&gt;1E-12,((LTP3!$D$5)*((U1188)*(Q1188)-(R1188)*(V1188))-(LTP3!$D$6)*((S1188)*(Q1188)-(R1188)*(T1188))+(T1188)*((S1188)*(V1188)-(U1188)*(T1188)))/W1188,0)</f>
        <v/>
      </c>
      <c r="Z1188">
        <f>IF(ABS(W1188)&gt;1E-12,((LTP3!$D$5)*((P1188)*(V1188)-(U1188)*(R1188))-(S1188)*((S1188)*(V1188)-(U1188)*(T1188))+(LTP3!$D$6)*((S1188)*(R1188)-(P1188)*(T1188)))/W1188,0)</f>
        <v/>
      </c>
      <c r="AA1188">
        <f>LTP3!$D$7-X1188*LTP3!$D$6-Y1188*U1188-Z1188*V1188</f>
        <v/>
      </c>
      <c r="AB1188">
        <f>IF(AND(F1188,ABS(W1188)&gt;1E-12,Y1188&gt;0,Z1188&gt;0),AA1188,1E+300)</f>
        <v/>
      </c>
    </row>
    <row r="1189">
      <c r="A1189">
        <f>$B$3+$B$5*19</f>
        <v/>
      </c>
      <c r="B1189">
        <f>$B$3+$B$5*18</f>
        <v/>
      </c>
      <c r="C1189">
        <f>SUMPRODUCT(Calc!$K$3:$K$22*(Calc!$G$3:$G$22&lt;=A1189))</f>
        <v/>
      </c>
      <c r="D1189">
        <f>SUMPRODUCT(Calc!$K$3:$K$22*(Calc!$G$3:$G$22&gt;A1189)*(Calc!$G$3:$G$22&lt;B1189))</f>
        <v/>
      </c>
      <c r="E1189">
        <f>SUMPRODUCT(Calc!$K$3:$K$22*(Calc!$G$3:$G$22&gt;=B1189))</f>
        <v/>
      </c>
      <c r="F1189">
        <f>AND(k_n&gt;=5,B1189&gt;A1189+1E-9,C1189&gt;=2,D1189&gt;=1,E1189&gt;=2)</f>
        <v/>
      </c>
      <c r="G1189">
        <f>SUMPRODUCT(Calc!$K$3:$K$22*(Calc!$G$3:$G$22&gt;A1189)*(Calc!$G$3:$G$22-A1189))</f>
        <v/>
      </c>
      <c r="H1189">
        <f>SUMPRODUCT(Calc!$K$3:$K$22*(Calc!$G$3:$G$22&gt;B1189)*(Calc!$G$3:$G$22-B1189))</f>
        <v/>
      </c>
      <c r="I1189">
        <f>SUMPRODUCT(Calc!$K$3:$K$22*(Calc!$G$3:$G$22&gt;A1189)*(Calc!$G$3:$G$22-A1189)^2)</f>
        <v/>
      </c>
      <c r="J1189">
        <f>SUMPRODUCT(Calc!$K$3:$K$22*(Calc!$G$3:$G$22&gt;B1189)*(Calc!$G$3:$G$22-B1189)^2)</f>
        <v/>
      </c>
      <c r="K1189">
        <f>SUMPRODUCT(Calc!$K$3:$K$22*(Calc!$G$3:$G$22&gt;A1189)*(Calc!$G$3:$G$22-A1189)*(Calc!$G$3:$G$22&gt;B1189)*(Calc!$G$3:$G$22-B1189))</f>
        <v/>
      </c>
      <c r="L1189">
        <f>SUMPRODUCT(Calc!$K$3:$K$22*(Calc!$G$3:$G$22&gt;A1189)*(Calc!$G$3:$G$22-A1189)*Calc!$G$3:$G$22)</f>
        <v/>
      </c>
      <c r="M1189">
        <f>SUMPRODUCT(Calc!$K$3:$K$22*(Calc!$G$3:$G$22&gt;B1189)*(Calc!$G$3:$G$22-B1189)*Calc!$G$3:$G$22)</f>
        <v/>
      </c>
      <c r="N1189">
        <f>SUMPRODUCT(Calc!$K$3:$K$22*(Calc!$G$3:$G$22&gt;A1189)*(Calc!$G$3:$G$22-A1189)*Calc!$I$3:$I$22)</f>
        <v/>
      </c>
      <c r="O1189">
        <f>SUMPRODUCT(Calc!$K$3:$K$22*(Calc!$G$3:$G$22&gt;B1189)*(Calc!$G$3:$G$22-B1189)*Calc!$I$3:$I$22)</f>
        <v/>
      </c>
      <c r="P1189">
        <f>I1189-G1189^2/k_n</f>
        <v/>
      </c>
      <c r="Q1189">
        <f>J1189-H1189^2/k_n</f>
        <v/>
      </c>
      <c r="R1189">
        <f>K1189-G1189*H1189/k_n</f>
        <v/>
      </c>
      <c r="S1189">
        <f>L1189-LTP3!$D$3*G1189/k_n</f>
        <v/>
      </c>
      <c r="T1189">
        <f>M1189-LTP3!$D$3*H1189/k_n</f>
        <v/>
      </c>
      <c r="U1189">
        <f>N1189-G1189*LTP3!$D$4/k_n</f>
        <v/>
      </c>
      <c r="V1189">
        <f>O1189-H1189*LTP3!$D$4/k_n</f>
        <v/>
      </c>
      <c r="W1189">
        <f>((LTP3!$D$5)*((P1189)*(Q1189)-(R1189)*(R1189))-(S1189)*((S1189)*(Q1189)-(R1189)*(T1189))+(T1189)*((S1189)*(R1189)-(P1189)*(T1189)))</f>
        <v/>
      </c>
      <c r="X1189">
        <f>IF(ABS(W1189)&gt;1E-12,((LTP3!$D$6)*((P1189)*(Q1189)-(R1189)*(R1189))-(S1189)*((U1189)*(Q1189)-(R1189)*(V1189))+(T1189)*((U1189)*(R1189)-(P1189)*(V1189)))/W1189,0)</f>
        <v/>
      </c>
      <c r="Y1189">
        <f>IF(ABS(W1189)&gt;1E-12,((LTP3!$D$5)*((U1189)*(Q1189)-(R1189)*(V1189))-(LTP3!$D$6)*((S1189)*(Q1189)-(R1189)*(T1189))+(T1189)*((S1189)*(V1189)-(U1189)*(T1189)))/W1189,0)</f>
        <v/>
      </c>
      <c r="Z1189">
        <f>IF(ABS(W1189)&gt;1E-12,((LTP3!$D$5)*((P1189)*(V1189)-(U1189)*(R1189))-(S1189)*((S1189)*(V1189)-(U1189)*(T1189))+(LTP3!$D$6)*((S1189)*(R1189)-(P1189)*(T1189)))/W1189,0)</f>
        <v/>
      </c>
      <c r="AA1189">
        <f>LTP3!$D$7-X1189*LTP3!$D$6-Y1189*U1189-Z1189*V1189</f>
        <v/>
      </c>
      <c r="AB1189">
        <f>IF(AND(F1189,ABS(W1189)&gt;1E-12,Y1189&gt;0,Z1189&gt;0),AA1189,1E+300)</f>
        <v/>
      </c>
    </row>
    <row r="1190">
      <c r="A1190">
        <f>$B$3+$B$5*19</f>
        <v/>
      </c>
      <c r="B1190">
        <f>$B$3+$B$5*19</f>
        <v/>
      </c>
      <c r="C1190">
        <f>SUMPRODUCT(Calc!$K$3:$K$22*(Calc!$G$3:$G$22&lt;=A1190))</f>
        <v/>
      </c>
      <c r="D1190">
        <f>SUMPRODUCT(Calc!$K$3:$K$22*(Calc!$G$3:$G$22&gt;A1190)*(Calc!$G$3:$G$22&lt;B1190))</f>
        <v/>
      </c>
      <c r="E1190">
        <f>SUMPRODUCT(Calc!$K$3:$K$22*(Calc!$G$3:$G$22&gt;=B1190))</f>
        <v/>
      </c>
      <c r="F1190">
        <f>AND(k_n&gt;=5,B1190&gt;A1190+1E-9,C1190&gt;=2,D1190&gt;=1,E1190&gt;=2)</f>
        <v/>
      </c>
      <c r="G1190">
        <f>SUMPRODUCT(Calc!$K$3:$K$22*(Calc!$G$3:$G$22&gt;A1190)*(Calc!$G$3:$G$22-A1190))</f>
        <v/>
      </c>
      <c r="H1190">
        <f>SUMPRODUCT(Calc!$K$3:$K$22*(Calc!$G$3:$G$22&gt;B1190)*(Calc!$G$3:$G$22-B1190))</f>
        <v/>
      </c>
      <c r="I1190">
        <f>SUMPRODUCT(Calc!$K$3:$K$22*(Calc!$G$3:$G$22&gt;A1190)*(Calc!$G$3:$G$22-A1190)^2)</f>
        <v/>
      </c>
      <c r="J1190">
        <f>SUMPRODUCT(Calc!$K$3:$K$22*(Calc!$G$3:$G$22&gt;B1190)*(Calc!$G$3:$G$22-B1190)^2)</f>
        <v/>
      </c>
      <c r="K1190">
        <f>SUMPRODUCT(Calc!$K$3:$K$22*(Calc!$G$3:$G$22&gt;A1190)*(Calc!$G$3:$G$22-A1190)*(Calc!$G$3:$G$22&gt;B1190)*(Calc!$G$3:$G$22-B1190))</f>
        <v/>
      </c>
      <c r="L1190">
        <f>SUMPRODUCT(Calc!$K$3:$K$22*(Calc!$G$3:$G$22&gt;A1190)*(Calc!$G$3:$G$22-A1190)*Calc!$G$3:$G$22)</f>
        <v/>
      </c>
      <c r="M1190">
        <f>SUMPRODUCT(Calc!$K$3:$K$22*(Calc!$G$3:$G$22&gt;B1190)*(Calc!$G$3:$G$22-B1190)*Calc!$G$3:$G$22)</f>
        <v/>
      </c>
      <c r="N1190">
        <f>SUMPRODUCT(Calc!$K$3:$K$22*(Calc!$G$3:$G$22&gt;A1190)*(Calc!$G$3:$G$22-A1190)*Calc!$I$3:$I$22)</f>
        <v/>
      </c>
      <c r="O1190">
        <f>SUMPRODUCT(Calc!$K$3:$K$22*(Calc!$G$3:$G$22&gt;B1190)*(Calc!$G$3:$G$22-B1190)*Calc!$I$3:$I$22)</f>
        <v/>
      </c>
      <c r="P1190">
        <f>I1190-G1190^2/k_n</f>
        <v/>
      </c>
      <c r="Q1190">
        <f>J1190-H1190^2/k_n</f>
        <v/>
      </c>
      <c r="R1190">
        <f>K1190-G1190*H1190/k_n</f>
        <v/>
      </c>
      <c r="S1190">
        <f>L1190-LTP3!$D$3*G1190/k_n</f>
        <v/>
      </c>
      <c r="T1190">
        <f>M1190-LTP3!$D$3*H1190/k_n</f>
        <v/>
      </c>
      <c r="U1190">
        <f>N1190-G1190*LTP3!$D$4/k_n</f>
        <v/>
      </c>
      <c r="V1190">
        <f>O1190-H1190*LTP3!$D$4/k_n</f>
        <v/>
      </c>
      <c r="W1190">
        <f>((LTP3!$D$5)*((P1190)*(Q1190)-(R1190)*(R1190))-(S1190)*((S1190)*(Q1190)-(R1190)*(T1190))+(T1190)*((S1190)*(R1190)-(P1190)*(T1190)))</f>
        <v/>
      </c>
      <c r="X1190">
        <f>IF(ABS(W1190)&gt;1E-12,((LTP3!$D$6)*((P1190)*(Q1190)-(R1190)*(R1190))-(S1190)*((U1190)*(Q1190)-(R1190)*(V1190))+(T1190)*((U1190)*(R1190)-(P1190)*(V1190)))/W1190,0)</f>
        <v/>
      </c>
      <c r="Y1190">
        <f>IF(ABS(W1190)&gt;1E-12,((LTP3!$D$5)*((U1190)*(Q1190)-(R1190)*(V1190))-(LTP3!$D$6)*((S1190)*(Q1190)-(R1190)*(T1190))+(T1190)*((S1190)*(V1190)-(U1190)*(T1190)))/W1190,0)</f>
        <v/>
      </c>
      <c r="Z1190">
        <f>IF(ABS(W1190)&gt;1E-12,((LTP3!$D$5)*((P1190)*(V1190)-(U1190)*(R1190))-(S1190)*((S1190)*(V1190)-(U1190)*(T1190))+(LTP3!$D$6)*((S1190)*(R1190)-(P1190)*(T1190)))/W1190,0)</f>
        <v/>
      </c>
      <c r="AA1190">
        <f>LTP3!$D$7-X1190*LTP3!$D$6-Y1190*U1190-Z1190*V1190</f>
        <v/>
      </c>
      <c r="AB1190">
        <f>IF(AND(F1190,ABS(W1190)&gt;1E-12,Y1190&gt;0,Z1190&gt;0),AA1190,1E+300)</f>
        <v/>
      </c>
    </row>
    <row r="1191">
      <c r="A1191">
        <f>$B$3+$B$5*19</f>
        <v/>
      </c>
      <c r="B1191">
        <f>$B$3+$B$5*20</f>
        <v/>
      </c>
      <c r="C1191">
        <f>SUMPRODUCT(Calc!$K$3:$K$22*(Calc!$G$3:$G$22&lt;=A1191))</f>
        <v/>
      </c>
      <c r="D1191">
        <f>SUMPRODUCT(Calc!$K$3:$K$22*(Calc!$G$3:$G$22&gt;A1191)*(Calc!$G$3:$G$22&lt;B1191))</f>
        <v/>
      </c>
      <c r="E1191">
        <f>SUMPRODUCT(Calc!$K$3:$K$22*(Calc!$G$3:$G$22&gt;=B1191))</f>
        <v/>
      </c>
      <c r="F1191">
        <f>AND(k_n&gt;=5,B1191&gt;A1191+1E-9,C1191&gt;=2,D1191&gt;=1,E1191&gt;=2)</f>
        <v/>
      </c>
      <c r="G1191">
        <f>SUMPRODUCT(Calc!$K$3:$K$22*(Calc!$G$3:$G$22&gt;A1191)*(Calc!$G$3:$G$22-A1191))</f>
        <v/>
      </c>
      <c r="H1191">
        <f>SUMPRODUCT(Calc!$K$3:$K$22*(Calc!$G$3:$G$22&gt;B1191)*(Calc!$G$3:$G$22-B1191))</f>
        <v/>
      </c>
      <c r="I1191">
        <f>SUMPRODUCT(Calc!$K$3:$K$22*(Calc!$G$3:$G$22&gt;A1191)*(Calc!$G$3:$G$22-A1191)^2)</f>
        <v/>
      </c>
      <c r="J1191">
        <f>SUMPRODUCT(Calc!$K$3:$K$22*(Calc!$G$3:$G$22&gt;B1191)*(Calc!$G$3:$G$22-B1191)^2)</f>
        <v/>
      </c>
      <c r="K1191">
        <f>SUMPRODUCT(Calc!$K$3:$K$22*(Calc!$G$3:$G$22&gt;A1191)*(Calc!$G$3:$G$22-A1191)*(Calc!$G$3:$G$22&gt;B1191)*(Calc!$G$3:$G$22-B1191))</f>
        <v/>
      </c>
      <c r="L1191">
        <f>SUMPRODUCT(Calc!$K$3:$K$22*(Calc!$G$3:$G$22&gt;A1191)*(Calc!$G$3:$G$22-A1191)*Calc!$G$3:$G$22)</f>
        <v/>
      </c>
      <c r="M1191">
        <f>SUMPRODUCT(Calc!$K$3:$K$22*(Calc!$G$3:$G$22&gt;B1191)*(Calc!$G$3:$G$22-B1191)*Calc!$G$3:$G$22)</f>
        <v/>
      </c>
      <c r="N1191">
        <f>SUMPRODUCT(Calc!$K$3:$K$22*(Calc!$G$3:$G$22&gt;A1191)*(Calc!$G$3:$G$22-A1191)*Calc!$I$3:$I$22)</f>
        <v/>
      </c>
      <c r="O1191">
        <f>SUMPRODUCT(Calc!$K$3:$K$22*(Calc!$G$3:$G$22&gt;B1191)*(Calc!$G$3:$G$22-B1191)*Calc!$I$3:$I$22)</f>
        <v/>
      </c>
      <c r="P1191">
        <f>I1191-G1191^2/k_n</f>
        <v/>
      </c>
      <c r="Q1191">
        <f>J1191-H1191^2/k_n</f>
        <v/>
      </c>
      <c r="R1191">
        <f>K1191-G1191*H1191/k_n</f>
        <v/>
      </c>
      <c r="S1191">
        <f>L1191-LTP3!$D$3*G1191/k_n</f>
        <v/>
      </c>
      <c r="T1191">
        <f>M1191-LTP3!$D$3*H1191/k_n</f>
        <v/>
      </c>
      <c r="U1191">
        <f>N1191-G1191*LTP3!$D$4/k_n</f>
        <v/>
      </c>
      <c r="V1191">
        <f>O1191-H1191*LTP3!$D$4/k_n</f>
        <v/>
      </c>
      <c r="W1191">
        <f>((LTP3!$D$5)*((P1191)*(Q1191)-(R1191)*(R1191))-(S1191)*((S1191)*(Q1191)-(R1191)*(T1191))+(T1191)*((S1191)*(R1191)-(P1191)*(T1191)))</f>
        <v/>
      </c>
      <c r="X1191">
        <f>IF(ABS(W1191)&gt;1E-12,((LTP3!$D$6)*((P1191)*(Q1191)-(R1191)*(R1191))-(S1191)*((U1191)*(Q1191)-(R1191)*(V1191))+(T1191)*((U1191)*(R1191)-(P1191)*(V1191)))/W1191,0)</f>
        <v/>
      </c>
      <c r="Y1191">
        <f>IF(ABS(W1191)&gt;1E-12,((LTP3!$D$5)*((U1191)*(Q1191)-(R1191)*(V1191))-(LTP3!$D$6)*((S1191)*(Q1191)-(R1191)*(T1191))+(T1191)*((S1191)*(V1191)-(U1191)*(T1191)))/W1191,0)</f>
        <v/>
      </c>
      <c r="Z1191">
        <f>IF(ABS(W1191)&gt;1E-12,((LTP3!$D$5)*((P1191)*(V1191)-(U1191)*(R1191))-(S1191)*((S1191)*(V1191)-(U1191)*(T1191))+(LTP3!$D$6)*((S1191)*(R1191)-(P1191)*(T1191)))/W1191,0)</f>
        <v/>
      </c>
      <c r="AA1191">
        <f>LTP3!$D$7-X1191*LTP3!$D$6-Y1191*U1191-Z1191*V1191</f>
        <v/>
      </c>
      <c r="AB1191">
        <f>IF(AND(F1191,ABS(W1191)&gt;1E-12,Y1191&gt;0,Z1191&gt;0),AA1191,1E+300)</f>
        <v/>
      </c>
    </row>
    <row r="1192">
      <c r="A1192">
        <f>$B$3+$B$5*19</f>
        <v/>
      </c>
      <c r="B1192">
        <f>$B$3+$B$5*21</f>
        <v/>
      </c>
      <c r="C1192">
        <f>SUMPRODUCT(Calc!$K$3:$K$22*(Calc!$G$3:$G$22&lt;=A1192))</f>
        <v/>
      </c>
      <c r="D1192">
        <f>SUMPRODUCT(Calc!$K$3:$K$22*(Calc!$G$3:$G$22&gt;A1192)*(Calc!$G$3:$G$22&lt;B1192))</f>
        <v/>
      </c>
      <c r="E1192">
        <f>SUMPRODUCT(Calc!$K$3:$K$22*(Calc!$G$3:$G$22&gt;=B1192))</f>
        <v/>
      </c>
      <c r="F1192">
        <f>AND(k_n&gt;=5,B1192&gt;A1192+1E-9,C1192&gt;=2,D1192&gt;=1,E1192&gt;=2)</f>
        <v/>
      </c>
      <c r="G1192">
        <f>SUMPRODUCT(Calc!$K$3:$K$22*(Calc!$G$3:$G$22&gt;A1192)*(Calc!$G$3:$G$22-A1192))</f>
        <v/>
      </c>
      <c r="H1192">
        <f>SUMPRODUCT(Calc!$K$3:$K$22*(Calc!$G$3:$G$22&gt;B1192)*(Calc!$G$3:$G$22-B1192))</f>
        <v/>
      </c>
      <c r="I1192">
        <f>SUMPRODUCT(Calc!$K$3:$K$22*(Calc!$G$3:$G$22&gt;A1192)*(Calc!$G$3:$G$22-A1192)^2)</f>
        <v/>
      </c>
      <c r="J1192">
        <f>SUMPRODUCT(Calc!$K$3:$K$22*(Calc!$G$3:$G$22&gt;B1192)*(Calc!$G$3:$G$22-B1192)^2)</f>
        <v/>
      </c>
      <c r="K1192">
        <f>SUMPRODUCT(Calc!$K$3:$K$22*(Calc!$G$3:$G$22&gt;A1192)*(Calc!$G$3:$G$22-A1192)*(Calc!$G$3:$G$22&gt;B1192)*(Calc!$G$3:$G$22-B1192))</f>
        <v/>
      </c>
      <c r="L1192">
        <f>SUMPRODUCT(Calc!$K$3:$K$22*(Calc!$G$3:$G$22&gt;A1192)*(Calc!$G$3:$G$22-A1192)*Calc!$G$3:$G$22)</f>
        <v/>
      </c>
      <c r="M1192">
        <f>SUMPRODUCT(Calc!$K$3:$K$22*(Calc!$G$3:$G$22&gt;B1192)*(Calc!$G$3:$G$22-B1192)*Calc!$G$3:$G$22)</f>
        <v/>
      </c>
      <c r="N1192">
        <f>SUMPRODUCT(Calc!$K$3:$K$22*(Calc!$G$3:$G$22&gt;A1192)*(Calc!$G$3:$G$22-A1192)*Calc!$I$3:$I$22)</f>
        <v/>
      </c>
      <c r="O1192">
        <f>SUMPRODUCT(Calc!$K$3:$K$22*(Calc!$G$3:$G$22&gt;B1192)*(Calc!$G$3:$G$22-B1192)*Calc!$I$3:$I$22)</f>
        <v/>
      </c>
      <c r="P1192">
        <f>I1192-G1192^2/k_n</f>
        <v/>
      </c>
      <c r="Q1192">
        <f>J1192-H1192^2/k_n</f>
        <v/>
      </c>
      <c r="R1192">
        <f>K1192-G1192*H1192/k_n</f>
        <v/>
      </c>
      <c r="S1192">
        <f>L1192-LTP3!$D$3*G1192/k_n</f>
        <v/>
      </c>
      <c r="T1192">
        <f>M1192-LTP3!$D$3*H1192/k_n</f>
        <v/>
      </c>
      <c r="U1192">
        <f>N1192-G1192*LTP3!$D$4/k_n</f>
        <v/>
      </c>
      <c r="V1192">
        <f>O1192-H1192*LTP3!$D$4/k_n</f>
        <v/>
      </c>
      <c r="W1192">
        <f>((LTP3!$D$5)*((P1192)*(Q1192)-(R1192)*(R1192))-(S1192)*((S1192)*(Q1192)-(R1192)*(T1192))+(T1192)*((S1192)*(R1192)-(P1192)*(T1192)))</f>
        <v/>
      </c>
      <c r="X1192">
        <f>IF(ABS(W1192)&gt;1E-12,((LTP3!$D$6)*((P1192)*(Q1192)-(R1192)*(R1192))-(S1192)*((U1192)*(Q1192)-(R1192)*(V1192))+(T1192)*((U1192)*(R1192)-(P1192)*(V1192)))/W1192,0)</f>
        <v/>
      </c>
      <c r="Y1192">
        <f>IF(ABS(W1192)&gt;1E-12,((LTP3!$D$5)*((U1192)*(Q1192)-(R1192)*(V1192))-(LTP3!$D$6)*((S1192)*(Q1192)-(R1192)*(T1192))+(T1192)*((S1192)*(V1192)-(U1192)*(T1192)))/W1192,0)</f>
        <v/>
      </c>
      <c r="Z1192">
        <f>IF(ABS(W1192)&gt;1E-12,((LTP3!$D$5)*((P1192)*(V1192)-(U1192)*(R1192))-(S1192)*((S1192)*(V1192)-(U1192)*(T1192))+(LTP3!$D$6)*((S1192)*(R1192)-(P1192)*(T1192)))/W1192,0)</f>
        <v/>
      </c>
      <c r="AA1192">
        <f>LTP3!$D$7-X1192*LTP3!$D$6-Y1192*U1192-Z1192*V1192</f>
        <v/>
      </c>
      <c r="AB1192">
        <f>IF(AND(F1192,ABS(W1192)&gt;1E-12,Y1192&gt;0,Z1192&gt;0),AA1192,1E+300)</f>
        <v/>
      </c>
    </row>
    <row r="1193">
      <c r="A1193">
        <f>$B$3+$B$5*19</f>
        <v/>
      </c>
      <c r="B1193">
        <f>$B$3+$B$5*22</f>
        <v/>
      </c>
      <c r="C1193">
        <f>SUMPRODUCT(Calc!$K$3:$K$22*(Calc!$G$3:$G$22&lt;=A1193))</f>
        <v/>
      </c>
      <c r="D1193">
        <f>SUMPRODUCT(Calc!$K$3:$K$22*(Calc!$G$3:$G$22&gt;A1193)*(Calc!$G$3:$G$22&lt;B1193))</f>
        <v/>
      </c>
      <c r="E1193">
        <f>SUMPRODUCT(Calc!$K$3:$K$22*(Calc!$G$3:$G$22&gt;=B1193))</f>
        <v/>
      </c>
      <c r="F1193">
        <f>AND(k_n&gt;=5,B1193&gt;A1193+1E-9,C1193&gt;=2,D1193&gt;=1,E1193&gt;=2)</f>
        <v/>
      </c>
      <c r="G1193">
        <f>SUMPRODUCT(Calc!$K$3:$K$22*(Calc!$G$3:$G$22&gt;A1193)*(Calc!$G$3:$G$22-A1193))</f>
        <v/>
      </c>
      <c r="H1193">
        <f>SUMPRODUCT(Calc!$K$3:$K$22*(Calc!$G$3:$G$22&gt;B1193)*(Calc!$G$3:$G$22-B1193))</f>
        <v/>
      </c>
      <c r="I1193">
        <f>SUMPRODUCT(Calc!$K$3:$K$22*(Calc!$G$3:$G$22&gt;A1193)*(Calc!$G$3:$G$22-A1193)^2)</f>
        <v/>
      </c>
      <c r="J1193">
        <f>SUMPRODUCT(Calc!$K$3:$K$22*(Calc!$G$3:$G$22&gt;B1193)*(Calc!$G$3:$G$22-B1193)^2)</f>
        <v/>
      </c>
      <c r="K1193">
        <f>SUMPRODUCT(Calc!$K$3:$K$22*(Calc!$G$3:$G$22&gt;A1193)*(Calc!$G$3:$G$22-A1193)*(Calc!$G$3:$G$22&gt;B1193)*(Calc!$G$3:$G$22-B1193))</f>
        <v/>
      </c>
      <c r="L1193">
        <f>SUMPRODUCT(Calc!$K$3:$K$22*(Calc!$G$3:$G$22&gt;A1193)*(Calc!$G$3:$G$22-A1193)*Calc!$G$3:$G$22)</f>
        <v/>
      </c>
      <c r="M1193">
        <f>SUMPRODUCT(Calc!$K$3:$K$22*(Calc!$G$3:$G$22&gt;B1193)*(Calc!$G$3:$G$22-B1193)*Calc!$G$3:$G$22)</f>
        <v/>
      </c>
      <c r="N1193">
        <f>SUMPRODUCT(Calc!$K$3:$K$22*(Calc!$G$3:$G$22&gt;A1193)*(Calc!$G$3:$G$22-A1193)*Calc!$I$3:$I$22)</f>
        <v/>
      </c>
      <c r="O1193">
        <f>SUMPRODUCT(Calc!$K$3:$K$22*(Calc!$G$3:$G$22&gt;B1193)*(Calc!$G$3:$G$22-B1193)*Calc!$I$3:$I$22)</f>
        <v/>
      </c>
      <c r="P1193">
        <f>I1193-G1193^2/k_n</f>
        <v/>
      </c>
      <c r="Q1193">
        <f>J1193-H1193^2/k_n</f>
        <v/>
      </c>
      <c r="R1193">
        <f>K1193-G1193*H1193/k_n</f>
        <v/>
      </c>
      <c r="S1193">
        <f>L1193-LTP3!$D$3*G1193/k_n</f>
        <v/>
      </c>
      <c r="T1193">
        <f>M1193-LTP3!$D$3*H1193/k_n</f>
        <v/>
      </c>
      <c r="U1193">
        <f>N1193-G1193*LTP3!$D$4/k_n</f>
        <v/>
      </c>
      <c r="V1193">
        <f>O1193-H1193*LTP3!$D$4/k_n</f>
        <v/>
      </c>
      <c r="W1193">
        <f>((LTP3!$D$5)*((P1193)*(Q1193)-(R1193)*(R1193))-(S1193)*((S1193)*(Q1193)-(R1193)*(T1193))+(T1193)*((S1193)*(R1193)-(P1193)*(T1193)))</f>
        <v/>
      </c>
      <c r="X1193">
        <f>IF(ABS(W1193)&gt;1E-12,((LTP3!$D$6)*((P1193)*(Q1193)-(R1193)*(R1193))-(S1193)*((U1193)*(Q1193)-(R1193)*(V1193))+(T1193)*((U1193)*(R1193)-(P1193)*(V1193)))/W1193,0)</f>
        <v/>
      </c>
      <c r="Y1193">
        <f>IF(ABS(W1193)&gt;1E-12,((LTP3!$D$5)*((U1193)*(Q1193)-(R1193)*(V1193))-(LTP3!$D$6)*((S1193)*(Q1193)-(R1193)*(T1193))+(T1193)*((S1193)*(V1193)-(U1193)*(T1193)))/W1193,0)</f>
        <v/>
      </c>
      <c r="Z1193">
        <f>IF(ABS(W1193)&gt;1E-12,((LTP3!$D$5)*((P1193)*(V1193)-(U1193)*(R1193))-(S1193)*((S1193)*(V1193)-(U1193)*(T1193))+(LTP3!$D$6)*((S1193)*(R1193)-(P1193)*(T1193)))/W1193,0)</f>
        <v/>
      </c>
      <c r="AA1193">
        <f>LTP3!$D$7-X1193*LTP3!$D$6-Y1193*U1193-Z1193*V1193</f>
        <v/>
      </c>
      <c r="AB1193">
        <f>IF(AND(F1193,ABS(W1193)&gt;1E-12,Y1193&gt;0,Z1193&gt;0),AA1193,1E+300)</f>
        <v/>
      </c>
    </row>
    <row r="1194">
      <c r="A1194">
        <f>$B$3+$B$5*19</f>
        <v/>
      </c>
      <c r="B1194">
        <f>$B$3+$B$5*23</f>
        <v/>
      </c>
      <c r="C1194">
        <f>SUMPRODUCT(Calc!$K$3:$K$22*(Calc!$G$3:$G$22&lt;=A1194))</f>
        <v/>
      </c>
      <c r="D1194">
        <f>SUMPRODUCT(Calc!$K$3:$K$22*(Calc!$G$3:$G$22&gt;A1194)*(Calc!$G$3:$G$22&lt;B1194))</f>
        <v/>
      </c>
      <c r="E1194">
        <f>SUMPRODUCT(Calc!$K$3:$K$22*(Calc!$G$3:$G$22&gt;=B1194))</f>
        <v/>
      </c>
      <c r="F1194">
        <f>AND(k_n&gt;=5,B1194&gt;A1194+1E-9,C1194&gt;=2,D1194&gt;=1,E1194&gt;=2)</f>
        <v/>
      </c>
      <c r="G1194">
        <f>SUMPRODUCT(Calc!$K$3:$K$22*(Calc!$G$3:$G$22&gt;A1194)*(Calc!$G$3:$G$22-A1194))</f>
        <v/>
      </c>
      <c r="H1194">
        <f>SUMPRODUCT(Calc!$K$3:$K$22*(Calc!$G$3:$G$22&gt;B1194)*(Calc!$G$3:$G$22-B1194))</f>
        <v/>
      </c>
      <c r="I1194">
        <f>SUMPRODUCT(Calc!$K$3:$K$22*(Calc!$G$3:$G$22&gt;A1194)*(Calc!$G$3:$G$22-A1194)^2)</f>
        <v/>
      </c>
      <c r="J1194">
        <f>SUMPRODUCT(Calc!$K$3:$K$22*(Calc!$G$3:$G$22&gt;B1194)*(Calc!$G$3:$G$22-B1194)^2)</f>
        <v/>
      </c>
      <c r="K1194">
        <f>SUMPRODUCT(Calc!$K$3:$K$22*(Calc!$G$3:$G$22&gt;A1194)*(Calc!$G$3:$G$22-A1194)*(Calc!$G$3:$G$22&gt;B1194)*(Calc!$G$3:$G$22-B1194))</f>
        <v/>
      </c>
      <c r="L1194">
        <f>SUMPRODUCT(Calc!$K$3:$K$22*(Calc!$G$3:$G$22&gt;A1194)*(Calc!$G$3:$G$22-A1194)*Calc!$G$3:$G$22)</f>
        <v/>
      </c>
      <c r="M1194">
        <f>SUMPRODUCT(Calc!$K$3:$K$22*(Calc!$G$3:$G$22&gt;B1194)*(Calc!$G$3:$G$22-B1194)*Calc!$G$3:$G$22)</f>
        <v/>
      </c>
      <c r="N1194">
        <f>SUMPRODUCT(Calc!$K$3:$K$22*(Calc!$G$3:$G$22&gt;A1194)*(Calc!$G$3:$G$22-A1194)*Calc!$I$3:$I$22)</f>
        <v/>
      </c>
      <c r="O1194">
        <f>SUMPRODUCT(Calc!$K$3:$K$22*(Calc!$G$3:$G$22&gt;B1194)*(Calc!$G$3:$G$22-B1194)*Calc!$I$3:$I$22)</f>
        <v/>
      </c>
      <c r="P1194">
        <f>I1194-G1194^2/k_n</f>
        <v/>
      </c>
      <c r="Q1194">
        <f>J1194-H1194^2/k_n</f>
        <v/>
      </c>
      <c r="R1194">
        <f>K1194-G1194*H1194/k_n</f>
        <v/>
      </c>
      <c r="S1194">
        <f>L1194-LTP3!$D$3*G1194/k_n</f>
        <v/>
      </c>
      <c r="T1194">
        <f>M1194-LTP3!$D$3*H1194/k_n</f>
        <v/>
      </c>
      <c r="U1194">
        <f>N1194-G1194*LTP3!$D$4/k_n</f>
        <v/>
      </c>
      <c r="V1194">
        <f>O1194-H1194*LTP3!$D$4/k_n</f>
        <v/>
      </c>
      <c r="W1194">
        <f>((LTP3!$D$5)*((P1194)*(Q1194)-(R1194)*(R1194))-(S1194)*((S1194)*(Q1194)-(R1194)*(T1194))+(T1194)*((S1194)*(R1194)-(P1194)*(T1194)))</f>
        <v/>
      </c>
      <c r="X1194">
        <f>IF(ABS(W1194)&gt;1E-12,((LTP3!$D$6)*((P1194)*(Q1194)-(R1194)*(R1194))-(S1194)*((U1194)*(Q1194)-(R1194)*(V1194))+(T1194)*((U1194)*(R1194)-(P1194)*(V1194)))/W1194,0)</f>
        <v/>
      </c>
      <c r="Y1194">
        <f>IF(ABS(W1194)&gt;1E-12,((LTP3!$D$5)*((U1194)*(Q1194)-(R1194)*(V1194))-(LTP3!$D$6)*((S1194)*(Q1194)-(R1194)*(T1194))+(T1194)*((S1194)*(V1194)-(U1194)*(T1194)))/W1194,0)</f>
        <v/>
      </c>
      <c r="Z1194">
        <f>IF(ABS(W1194)&gt;1E-12,((LTP3!$D$5)*((P1194)*(V1194)-(U1194)*(R1194))-(S1194)*((S1194)*(V1194)-(U1194)*(T1194))+(LTP3!$D$6)*((S1194)*(R1194)-(P1194)*(T1194)))/W1194,0)</f>
        <v/>
      </c>
      <c r="AA1194">
        <f>LTP3!$D$7-X1194*LTP3!$D$6-Y1194*U1194-Z1194*V1194</f>
        <v/>
      </c>
      <c r="AB1194">
        <f>IF(AND(F1194,ABS(W1194)&gt;1E-12,Y1194&gt;0,Z1194&gt;0),AA1194,1E+300)</f>
        <v/>
      </c>
    </row>
    <row r="1195">
      <c r="A1195">
        <f>$B$3+$B$5*19</f>
        <v/>
      </c>
      <c r="B1195">
        <f>$B$3+$B$5*24</f>
        <v/>
      </c>
      <c r="C1195">
        <f>SUMPRODUCT(Calc!$K$3:$K$22*(Calc!$G$3:$G$22&lt;=A1195))</f>
        <v/>
      </c>
      <c r="D1195">
        <f>SUMPRODUCT(Calc!$K$3:$K$22*(Calc!$G$3:$G$22&gt;A1195)*(Calc!$G$3:$G$22&lt;B1195))</f>
        <v/>
      </c>
      <c r="E1195">
        <f>SUMPRODUCT(Calc!$K$3:$K$22*(Calc!$G$3:$G$22&gt;=B1195))</f>
        <v/>
      </c>
      <c r="F1195">
        <f>AND(k_n&gt;=5,B1195&gt;A1195+1E-9,C1195&gt;=2,D1195&gt;=1,E1195&gt;=2)</f>
        <v/>
      </c>
      <c r="G1195">
        <f>SUMPRODUCT(Calc!$K$3:$K$22*(Calc!$G$3:$G$22&gt;A1195)*(Calc!$G$3:$G$22-A1195))</f>
        <v/>
      </c>
      <c r="H1195">
        <f>SUMPRODUCT(Calc!$K$3:$K$22*(Calc!$G$3:$G$22&gt;B1195)*(Calc!$G$3:$G$22-B1195))</f>
        <v/>
      </c>
      <c r="I1195">
        <f>SUMPRODUCT(Calc!$K$3:$K$22*(Calc!$G$3:$G$22&gt;A1195)*(Calc!$G$3:$G$22-A1195)^2)</f>
        <v/>
      </c>
      <c r="J1195">
        <f>SUMPRODUCT(Calc!$K$3:$K$22*(Calc!$G$3:$G$22&gt;B1195)*(Calc!$G$3:$G$22-B1195)^2)</f>
        <v/>
      </c>
      <c r="K1195">
        <f>SUMPRODUCT(Calc!$K$3:$K$22*(Calc!$G$3:$G$22&gt;A1195)*(Calc!$G$3:$G$22-A1195)*(Calc!$G$3:$G$22&gt;B1195)*(Calc!$G$3:$G$22-B1195))</f>
        <v/>
      </c>
      <c r="L1195">
        <f>SUMPRODUCT(Calc!$K$3:$K$22*(Calc!$G$3:$G$22&gt;A1195)*(Calc!$G$3:$G$22-A1195)*Calc!$G$3:$G$22)</f>
        <v/>
      </c>
      <c r="M1195">
        <f>SUMPRODUCT(Calc!$K$3:$K$22*(Calc!$G$3:$G$22&gt;B1195)*(Calc!$G$3:$G$22-B1195)*Calc!$G$3:$G$22)</f>
        <v/>
      </c>
      <c r="N1195">
        <f>SUMPRODUCT(Calc!$K$3:$K$22*(Calc!$G$3:$G$22&gt;A1195)*(Calc!$G$3:$G$22-A1195)*Calc!$I$3:$I$22)</f>
        <v/>
      </c>
      <c r="O1195">
        <f>SUMPRODUCT(Calc!$K$3:$K$22*(Calc!$G$3:$G$22&gt;B1195)*(Calc!$G$3:$G$22-B1195)*Calc!$I$3:$I$22)</f>
        <v/>
      </c>
      <c r="P1195">
        <f>I1195-G1195^2/k_n</f>
        <v/>
      </c>
      <c r="Q1195">
        <f>J1195-H1195^2/k_n</f>
        <v/>
      </c>
      <c r="R1195">
        <f>K1195-G1195*H1195/k_n</f>
        <v/>
      </c>
      <c r="S1195">
        <f>L1195-LTP3!$D$3*G1195/k_n</f>
        <v/>
      </c>
      <c r="T1195">
        <f>M1195-LTP3!$D$3*H1195/k_n</f>
        <v/>
      </c>
      <c r="U1195">
        <f>N1195-G1195*LTP3!$D$4/k_n</f>
        <v/>
      </c>
      <c r="V1195">
        <f>O1195-H1195*LTP3!$D$4/k_n</f>
        <v/>
      </c>
      <c r="W1195">
        <f>((LTP3!$D$5)*((P1195)*(Q1195)-(R1195)*(R1195))-(S1195)*((S1195)*(Q1195)-(R1195)*(T1195))+(T1195)*((S1195)*(R1195)-(P1195)*(T1195)))</f>
        <v/>
      </c>
      <c r="X1195">
        <f>IF(ABS(W1195)&gt;1E-12,((LTP3!$D$6)*((P1195)*(Q1195)-(R1195)*(R1195))-(S1195)*((U1195)*(Q1195)-(R1195)*(V1195))+(T1195)*((U1195)*(R1195)-(P1195)*(V1195)))/W1195,0)</f>
        <v/>
      </c>
      <c r="Y1195">
        <f>IF(ABS(W1195)&gt;1E-12,((LTP3!$D$5)*((U1195)*(Q1195)-(R1195)*(V1195))-(LTP3!$D$6)*((S1195)*(Q1195)-(R1195)*(T1195))+(T1195)*((S1195)*(V1195)-(U1195)*(T1195)))/W1195,0)</f>
        <v/>
      </c>
      <c r="Z1195">
        <f>IF(ABS(W1195)&gt;1E-12,((LTP3!$D$5)*((P1195)*(V1195)-(U1195)*(R1195))-(S1195)*((S1195)*(V1195)-(U1195)*(T1195))+(LTP3!$D$6)*((S1195)*(R1195)-(P1195)*(T1195)))/W1195,0)</f>
        <v/>
      </c>
      <c r="AA1195">
        <f>LTP3!$D$7-X1195*LTP3!$D$6-Y1195*U1195-Z1195*V1195</f>
        <v/>
      </c>
      <c r="AB1195">
        <f>IF(AND(F1195,ABS(W1195)&gt;1E-12,Y1195&gt;0,Z1195&gt;0),AA1195,1E+300)</f>
        <v/>
      </c>
    </row>
    <row r="1196">
      <c r="A1196">
        <f>$B$3+$B$5*19</f>
        <v/>
      </c>
      <c r="B1196">
        <f>$B$3+$B$5*25</f>
        <v/>
      </c>
      <c r="C1196">
        <f>SUMPRODUCT(Calc!$K$3:$K$22*(Calc!$G$3:$G$22&lt;=A1196))</f>
        <v/>
      </c>
      <c r="D1196">
        <f>SUMPRODUCT(Calc!$K$3:$K$22*(Calc!$G$3:$G$22&gt;A1196)*(Calc!$G$3:$G$22&lt;B1196))</f>
        <v/>
      </c>
      <c r="E1196">
        <f>SUMPRODUCT(Calc!$K$3:$K$22*(Calc!$G$3:$G$22&gt;=B1196))</f>
        <v/>
      </c>
      <c r="F1196">
        <f>AND(k_n&gt;=5,B1196&gt;A1196+1E-9,C1196&gt;=2,D1196&gt;=1,E1196&gt;=2)</f>
        <v/>
      </c>
      <c r="G1196">
        <f>SUMPRODUCT(Calc!$K$3:$K$22*(Calc!$G$3:$G$22&gt;A1196)*(Calc!$G$3:$G$22-A1196))</f>
        <v/>
      </c>
      <c r="H1196">
        <f>SUMPRODUCT(Calc!$K$3:$K$22*(Calc!$G$3:$G$22&gt;B1196)*(Calc!$G$3:$G$22-B1196))</f>
        <v/>
      </c>
      <c r="I1196">
        <f>SUMPRODUCT(Calc!$K$3:$K$22*(Calc!$G$3:$G$22&gt;A1196)*(Calc!$G$3:$G$22-A1196)^2)</f>
        <v/>
      </c>
      <c r="J1196">
        <f>SUMPRODUCT(Calc!$K$3:$K$22*(Calc!$G$3:$G$22&gt;B1196)*(Calc!$G$3:$G$22-B1196)^2)</f>
        <v/>
      </c>
      <c r="K1196">
        <f>SUMPRODUCT(Calc!$K$3:$K$22*(Calc!$G$3:$G$22&gt;A1196)*(Calc!$G$3:$G$22-A1196)*(Calc!$G$3:$G$22&gt;B1196)*(Calc!$G$3:$G$22-B1196))</f>
        <v/>
      </c>
      <c r="L1196">
        <f>SUMPRODUCT(Calc!$K$3:$K$22*(Calc!$G$3:$G$22&gt;A1196)*(Calc!$G$3:$G$22-A1196)*Calc!$G$3:$G$22)</f>
        <v/>
      </c>
      <c r="M1196">
        <f>SUMPRODUCT(Calc!$K$3:$K$22*(Calc!$G$3:$G$22&gt;B1196)*(Calc!$G$3:$G$22-B1196)*Calc!$G$3:$G$22)</f>
        <v/>
      </c>
      <c r="N1196">
        <f>SUMPRODUCT(Calc!$K$3:$K$22*(Calc!$G$3:$G$22&gt;A1196)*(Calc!$G$3:$G$22-A1196)*Calc!$I$3:$I$22)</f>
        <v/>
      </c>
      <c r="O1196">
        <f>SUMPRODUCT(Calc!$K$3:$K$22*(Calc!$G$3:$G$22&gt;B1196)*(Calc!$G$3:$G$22-B1196)*Calc!$I$3:$I$22)</f>
        <v/>
      </c>
      <c r="P1196">
        <f>I1196-G1196^2/k_n</f>
        <v/>
      </c>
      <c r="Q1196">
        <f>J1196-H1196^2/k_n</f>
        <v/>
      </c>
      <c r="R1196">
        <f>K1196-G1196*H1196/k_n</f>
        <v/>
      </c>
      <c r="S1196">
        <f>L1196-LTP3!$D$3*G1196/k_n</f>
        <v/>
      </c>
      <c r="T1196">
        <f>M1196-LTP3!$D$3*H1196/k_n</f>
        <v/>
      </c>
      <c r="U1196">
        <f>N1196-G1196*LTP3!$D$4/k_n</f>
        <v/>
      </c>
      <c r="V1196">
        <f>O1196-H1196*LTP3!$D$4/k_n</f>
        <v/>
      </c>
      <c r="W1196">
        <f>((LTP3!$D$5)*((P1196)*(Q1196)-(R1196)*(R1196))-(S1196)*((S1196)*(Q1196)-(R1196)*(T1196))+(T1196)*((S1196)*(R1196)-(P1196)*(T1196)))</f>
        <v/>
      </c>
      <c r="X1196">
        <f>IF(ABS(W1196)&gt;1E-12,((LTP3!$D$6)*((P1196)*(Q1196)-(R1196)*(R1196))-(S1196)*((U1196)*(Q1196)-(R1196)*(V1196))+(T1196)*((U1196)*(R1196)-(P1196)*(V1196)))/W1196,0)</f>
        <v/>
      </c>
      <c r="Y1196">
        <f>IF(ABS(W1196)&gt;1E-12,((LTP3!$D$5)*((U1196)*(Q1196)-(R1196)*(V1196))-(LTP3!$D$6)*((S1196)*(Q1196)-(R1196)*(T1196))+(T1196)*((S1196)*(V1196)-(U1196)*(T1196)))/W1196,0)</f>
        <v/>
      </c>
      <c r="Z1196">
        <f>IF(ABS(W1196)&gt;1E-12,((LTP3!$D$5)*((P1196)*(V1196)-(U1196)*(R1196))-(S1196)*((S1196)*(V1196)-(U1196)*(T1196))+(LTP3!$D$6)*((S1196)*(R1196)-(P1196)*(T1196)))/W1196,0)</f>
        <v/>
      </c>
      <c r="AA1196">
        <f>LTP3!$D$7-X1196*LTP3!$D$6-Y1196*U1196-Z1196*V1196</f>
        <v/>
      </c>
      <c r="AB1196">
        <f>IF(AND(F1196,ABS(W1196)&gt;1E-12,Y1196&gt;0,Z1196&gt;0),AA1196,1E+300)</f>
        <v/>
      </c>
    </row>
    <row r="1197">
      <c r="A1197">
        <f>$B$3+$B$5*19</f>
        <v/>
      </c>
      <c r="B1197">
        <f>$B$3+$B$5*26</f>
        <v/>
      </c>
      <c r="C1197">
        <f>SUMPRODUCT(Calc!$K$3:$K$22*(Calc!$G$3:$G$22&lt;=A1197))</f>
        <v/>
      </c>
      <c r="D1197">
        <f>SUMPRODUCT(Calc!$K$3:$K$22*(Calc!$G$3:$G$22&gt;A1197)*(Calc!$G$3:$G$22&lt;B1197))</f>
        <v/>
      </c>
      <c r="E1197">
        <f>SUMPRODUCT(Calc!$K$3:$K$22*(Calc!$G$3:$G$22&gt;=B1197))</f>
        <v/>
      </c>
      <c r="F1197">
        <f>AND(k_n&gt;=5,B1197&gt;A1197+1E-9,C1197&gt;=2,D1197&gt;=1,E1197&gt;=2)</f>
        <v/>
      </c>
      <c r="G1197">
        <f>SUMPRODUCT(Calc!$K$3:$K$22*(Calc!$G$3:$G$22&gt;A1197)*(Calc!$G$3:$G$22-A1197))</f>
        <v/>
      </c>
      <c r="H1197">
        <f>SUMPRODUCT(Calc!$K$3:$K$22*(Calc!$G$3:$G$22&gt;B1197)*(Calc!$G$3:$G$22-B1197))</f>
        <v/>
      </c>
      <c r="I1197">
        <f>SUMPRODUCT(Calc!$K$3:$K$22*(Calc!$G$3:$G$22&gt;A1197)*(Calc!$G$3:$G$22-A1197)^2)</f>
        <v/>
      </c>
      <c r="J1197">
        <f>SUMPRODUCT(Calc!$K$3:$K$22*(Calc!$G$3:$G$22&gt;B1197)*(Calc!$G$3:$G$22-B1197)^2)</f>
        <v/>
      </c>
      <c r="K1197">
        <f>SUMPRODUCT(Calc!$K$3:$K$22*(Calc!$G$3:$G$22&gt;A1197)*(Calc!$G$3:$G$22-A1197)*(Calc!$G$3:$G$22&gt;B1197)*(Calc!$G$3:$G$22-B1197))</f>
        <v/>
      </c>
      <c r="L1197">
        <f>SUMPRODUCT(Calc!$K$3:$K$22*(Calc!$G$3:$G$22&gt;A1197)*(Calc!$G$3:$G$22-A1197)*Calc!$G$3:$G$22)</f>
        <v/>
      </c>
      <c r="M1197">
        <f>SUMPRODUCT(Calc!$K$3:$K$22*(Calc!$G$3:$G$22&gt;B1197)*(Calc!$G$3:$G$22-B1197)*Calc!$G$3:$G$22)</f>
        <v/>
      </c>
      <c r="N1197">
        <f>SUMPRODUCT(Calc!$K$3:$K$22*(Calc!$G$3:$G$22&gt;A1197)*(Calc!$G$3:$G$22-A1197)*Calc!$I$3:$I$22)</f>
        <v/>
      </c>
      <c r="O1197">
        <f>SUMPRODUCT(Calc!$K$3:$K$22*(Calc!$G$3:$G$22&gt;B1197)*(Calc!$G$3:$G$22-B1197)*Calc!$I$3:$I$22)</f>
        <v/>
      </c>
      <c r="P1197">
        <f>I1197-G1197^2/k_n</f>
        <v/>
      </c>
      <c r="Q1197">
        <f>J1197-H1197^2/k_n</f>
        <v/>
      </c>
      <c r="R1197">
        <f>K1197-G1197*H1197/k_n</f>
        <v/>
      </c>
      <c r="S1197">
        <f>L1197-LTP3!$D$3*G1197/k_n</f>
        <v/>
      </c>
      <c r="T1197">
        <f>M1197-LTP3!$D$3*H1197/k_n</f>
        <v/>
      </c>
      <c r="U1197">
        <f>N1197-G1197*LTP3!$D$4/k_n</f>
        <v/>
      </c>
      <c r="V1197">
        <f>O1197-H1197*LTP3!$D$4/k_n</f>
        <v/>
      </c>
      <c r="W1197">
        <f>((LTP3!$D$5)*((P1197)*(Q1197)-(R1197)*(R1197))-(S1197)*((S1197)*(Q1197)-(R1197)*(T1197))+(T1197)*((S1197)*(R1197)-(P1197)*(T1197)))</f>
        <v/>
      </c>
      <c r="X1197">
        <f>IF(ABS(W1197)&gt;1E-12,((LTP3!$D$6)*((P1197)*(Q1197)-(R1197)*(R1197))-(S1197)*((U1197)*(Q1197)-(R1197)*(V1197))+(T1197)*((U1197)*(R1197)-(P1197)*(V1197)))/W1197,0)</f>
        <v/>
      </c>
      <c r="Y1197">
        <f>IF(ABS(W1197)&gt;1E-12,((LTP3!$D$5)*((U1197)*(Q1197)-(R1197)*(V1197))-(LTP3!$D$6)*((S1197)*(Q1197)-(R1197)*(T1197))+(T1197)*((S1197)*(V1197)-(U1197)*(T1197)))/W1197,0)</f>
        <v/>
      </c>
      <c r="Z1197">
        <f>IF(ABS(W1197)&gt;1E-12,((LTP3!$D$5)*((P1197)*(V1197)-(U1197)*(R1197))-(S1197)*((S1197)*(V1197)-(U1197)*(T1197))+(LTP3!$D$6)*((S1197)*(R1197)-(P1197)*(T1197)))/W1197,0)</f>
        <v/>
      </c>
      <c r="AA1197">
        <f>LTP3!$D$7-X1197*LTP3!$D$6-Y1197*U1197-Z1197*V1197</f>
        <v/>
      </c>
      <c r="AB1197">
        <f>IF(AND(F1197,ABS(W1197)&gt;1E-12,Y1197&gt;0,Z1197&gt;0),AA1197,1E+300)</f>
        <v/>
      </c>
    </row>
    <row r="1198">
      <c r="A1198">
        <f>$B$3+$B$5*19</f>
        <v/>
      </c>
      <c r="B1198">
        <f>$B$3+$B$5*27</f>
        <v/>
      </c>
      <c r="C1198">
        <f>SUMPRODUCT(Calc!$K$3:$K$22*(Calc!$G$3:$G$22&lt;=A1198))</f>
        <v/>
      </c>
      <c r="D1198">
        <f>SUMPRODUCT(Calc!$K$3:$K$22*(Calc!$G$3:$G$22&gt;A1198)*(Calc!$G$3:$G$22&lt;B1198))</f>
        <v/>
      </c>
      <c r="E1198">
        <f>SUMPRODUCT(Calc!$K$3:$K$22*(Calc!$G$3:$G$22&gt;=B1198))</f>
        <v/>
      </c>
      <c r="F1198">
        <f>AND(k_n&gt;=5,B1198&gt;A1198+1E-9,C1198&gt;=2,D1198&gt;=1,E1198&gt;=2)</f>
        <v/>
      </c>
      <c r="G1198">
        <f>SUMPRODUCT(Calc!$K$3:$K$22*(Calc!$G$3:$G$22&gt;A1198)*(Calc!$G$3:$G$22-A1198))</f>
        <v/>
      </c>
      <c r="H1198">
        <f>SUMPRODUCT(Calc!$K$3:$K$22*(Calc!$G$3:$G$22&gt;B1198)*(Calc!$G$3:$G$22-B1198))</f>
        <v/>
      </c>
      <c r="I1198">
        <f>SUMPRODUCT(Calc!$K$3:$K$22*(Calc!$G$3:$G$22&gt;A1198)*(Calc!$G$3:$G$22-A1198)^2)</f>
        <v/>
      </c>
      <c r="J1198">
        <f>SUMPRODUCT(Calc!$K$3:$K$22*(Calc!$G$3:$G$22&gt;B1198)*(Calc!$G$3:$G$22-B1198)^2)</f>
        <v/>
      </c>
      <c r="K1198">
        <f>SUMPRODUCT(Calc!$K$3:$K$22*(Calc!$G$3:$G$22&gt;A1198)*(Calc!$G$3:$G$22-A1198)*(Calc!$G$3:$G$22&gt;B1198)*(Calc!$G$3:$G$22-B1198))</f>
        <v/>
      </c>
      <c r="L1198">
        <f>SUMPRODUCT(Calc!$K$3:$K$22*(Calc!$G$3:$G$22&gt;A1198)*(Calc!$G$3:$G$22-A1198)*Calc!$G$3:$G$22)</f>
        <v/>
      </c>
      <c r="M1198">
        <f>SUMPRODUCT(Calc!$K$3:$K$22*(Calc!$G$3:$G$22&gt;B1198)*(Calc!$G$3:$G$22-B1198)*Calc!$G$3:$G$22)</f>
        <v/>
      </c>
      <c r="N1198">
        <f>SUMPRODUCT(Calc!$K$3:$K$22*(Calc!$G$3:$G$22&gt;A1198)*(Calc!$G$3:$G$22-A1198)*Calc!$I$3:$I$22)</f>
        <v/>
      </c>
      <c r="O1198">
        <f>SUMPRODUCT(Calc!$K$3:$K$22*(Calc!$G$3:$G$22&gt;B1198)*(Calc!$G$3:$G$22-B1198)*Calc!$I$3:$I$22)</f>
        <v/>
      </c>
      <c r="P1198">
        <f>I1198-G1198^2/k_n</f>
        <v/>
      </c>
      <c r="Q1198">
        <f>J1198-H1198^2/k_n</f>
        <v/>
      </c>
      <c r="R1198">
        <f>K1198-G1198*H1198/k_n</f>
        <v/>
      </c>
      <c r="S1198">
        <f>L1198-LTP3!$D$3*G1198/k_n</f>
        <v/>
      </c>
      <c r="T1198">
        <f>M1198-LTP3!$D$3*H1198/k_n</f>
        <v/>
      </c>
      <c r="U1198">
        <f>N1198-G1198*LTP3!$D$4/k_n</f>
        <v/>
      </c>
      <c r="V1198">
        <f>O1198-H1198*LTP3!$D$4/k_n</f>
        <v/>
      </c>
      <c r="W1198">
        <f>((LTP3!$D$5)*((P1198)*(Q1198)-(R1198)*(R1198))-(S1198)*((S1198)*(Q1198)-(R1198)*(T1198))+(T1198)*((S1198)*(R1198)-(P1198)*(T1198)))</f>
        <v/>
      </c>
      <c r="X1198">
        <f>IF(ABS(W1198)&gt;1E-12,((LTP3!$D$6)*((P1198)*(Q1198)-(R1198)*(R1198))-(S1198)*((U1198)*(Q1198)-(R1198)*(V1198))+(T1198)*((U1198)*(R1198)-(P1198)*(V1198)))/W1198,0)</f>
        <v/>
      </c>
      <c r="Y1198">
        <f>IF(ABS(W1198)&gt;1E-12,((LTP3!$D$5)*((U1198)*(Q1198)-(R1198)*(V1198))-(LTP3!$D$6)*((S1198)*(Q1198)-(R1198)*(T1198))+(T1198)*((S1198)*(V1198)-(U1198)*(T1198)))/W1198,0)</f>
        <v/>
      </c>
      <c r="Z1198">
        <f>IF(ABS(W1198)&gt;1E-12,((LTP3!$D$5)*((P1198)*(V1198)-(U1198)*(R1198))-(S1198)*((S1198)*(V1198)-(U1198)*(T1198))+(LTP3!$D$6)*((S1198)*(R1198)-(P1198)*(T1198)))/W1198,0)</f>
        <v/>
      </c>
      <c r="AA1198">
        <f>LTP3!$D$7-X1198*LTP3!$D$6-Y1198*U1198-Z1198*V1198</f>
        <v/>
      </c>
      <c r="AB1198">
        <f>IF(AND(F1198,ABS(W1198)&gt;1E-12,Y1198&gt;0,Z1198&gt;0),AA1198,1E+300)</f>
        <v/>
      </c>
    </row>
    <row r="1199">
      <c r="A1199">
        <f>$B$3+$B$5*19</f>
        <v/>
      </c>
      <c r="B1199">
        <f>$B$3+$B$5*28</f>
        <v/>
      </c>
      <c r="C1199">
        <f>SUMPRODUCT(Calc!$K$3:$K$22*(Calc!$G$3:$G$22&lt;=A1199))</f>
        <v/>
      </c>
      <c r="D1199">
        <f>SUMPRODUCT(Calc!$K$3:$K$22*(Calc!$G$3:$G$22&gt;A1199)*(Calc!$G$3:$G$22&lt;B1199))</f>
        <v/>
      </c>
      <c r="E1199">
        <f>SUMPRODUCT(Calc!$K$3:$K$22*(Calc!$G$3:$G$22&gt;=B1199))</f>
        <v/>
      </c>
      <c r="F1199">
        <f>AND(k_n&gt;=5,B1199&gt;A1199+1E-9,C1199&gt;=2,D1199&gt;=1,E1199&gt;=2)</f>
        <v/>
      </c>
      <c r="G1199">
        <f>SUMPRODUCT(Calc!$K$3:$K$22*(Calc!$G$3:$G$22&gt;A1199)*(Calc!$G$3:$G$22-A1199))</f>
        <v/>
      </c>
      <c r="H1199">
        <f>SUMPRODUCT(Calc!$K$3:$K$22*(Calc!$G$3:$G$22&gt;B1199)*(Calc!$G$3:$G$22-B1199))</f>
        <v/>
      </c>
      <c r="I1199">
        <f>SUMPRODUCT(Calc!$K$3:$K$22*(Calc!$G$3:$G$22&gt;A1199)*(Calc!$G$3:$G$22-A1199)^2)</f>
        <v/>
      </c>
      <c r="J1199">
        <f>SUMPRODUCT(Calc!$K$3:$K$22*(Calc!$G$3:$G$22&gt;B1199)*(Calc!$G$3:$G$22-B1199)^2)</f>
        <v/>
      </c>
      <c r="K1199">
        <f>SUMPRODUCT(Calc!$K$3:$K$22*(Calc!$G$3:$G$22&gt;A1199)*(Calc!$G$3:$G$22-A1199)*(Calc!$G$3:$G$22&gt;B1199)*(Calc!$G$3:$G$22-B1199))</f>
        <v/>
      </c>
      <c r="L1199">
        <f>SUMPRODUCT(Calc!$K$3:$K$22*(Calc!$G$3:$G$22&gt;A1199)*(Calc!$G$3:$G$22-A1199)*Calc!$G$3:$G$22)</f>
        <v/>
      </c>
      <c r="M1199">
        <f>SUMPRODUCT(Calc!$K$3:$K$22*(Calc!$G$3:$G$22&gt;B1199)*(Calc!$G$3:$G$22-B1199)*Calc!$G$3:$G$22)</f>
        <v/>
      </c>
      <c r="N1199">
        <f>SUMPRODUCT(Calc!$K$3:$K$22*(Calc!$G$3:$G$22&gt;A1199)*(Calc!$G$3:$G$22-A1199)*Calc!$I$3:$I$22)</f>
        <v/>
      </c>
      <c r="O1199">
        <f>SUMPRODUCT(Calc!$K$3:$K$22*(Calc!$G$3:$G$22&gt;B1199)*(Calc!$G$3:$G$22-B1199)*Calc!$I$3:$I$22)</f>
        <v/>
      </c>
      <c r="P1199">
        <f>I1199-G1199^2/k_n</f>
        <v/>
      </c>
      <c r="Q1199">
        <f>J1199-H1199^2/k_n</f>
        <v/>
      </c>
      <c r="R1199">
        <f>K1199-G1199*H1199/k_n</f>
        <v/>
      </c>
      <c r="S1199">
        <f>L1199-LTP3!$D$3*G1199/k_n</f>
        <v/>
      </c>
      <c r="T1199">
        <f>M1199-LTP3!$D$3*H1199/k_n</f>
        <v/>
      </c>
      <c r="U1199">
        <f>N1199-G1199*LTP3!$D$4/k_n</f>
        <v/>
      </c>
      <c r="V1199">
        <f>O1199-H1199*LTP3!$D$4/k_n</f>
        <v/>
      </c>
      <c r="W1199">
        <f>((LTP3!$D$5)*((P1199)*(Q1199)-(R1199)*(R1199))-(S1199)*((S1199)*(Q1199)-(R1199)*(T1199))+(T1199)*((S1199)*(R1199)-(P1199)*(T1199)))</f>
        <v/>
      </c>
      <c r="X1199">
        <f>IF(ABS(W1199)&gt;1E-12,((LTP3!$D$6)*((P1199)*(Q1199)-(R1199)*(R1199))-(S1199)*((U1199)*(Q1199)-(R1199)*(V1199))+(T1199)*((U1199)*(R1199)-(P1199)*(V1199)))/W1199,0)</f>
        <v/>
      </c>
      <c r="Y1199">
        <f>IF(ABS(W1199)&gt;1E-12,((LTP3!$D$5)*((U1199)*(Q1199)-(R1199)*(V1199))-(LTP3!$D$6)*((S1199)*(Q1199)-(R1199)*(T1199))+(T1199)*((S1199)*(V1199)-(U1199)*(T1199)))/W1199,0)</f>
        <v/>
      </c>
      <c r="Z1199">
        <f>IF(ABS(W1199)&gt;1E-12,((LTP3!$D$5)*((P1199)*(V1199)-(U1199)*(R1199))-(S1199)*((S1199)*(V1199)-(U1199)*(T1199))+(LTP3!$D$6)*((S1199)*(R1199)-(P1199)*(T1199)))/W1199,0)</f>
        <v/>
      </c>
      <c r="AA1199">
        <f>LTP3!$D$7-X1199*LTP3!$D$6-Y1199*U1199-Z1199*V1199</f>
        <v/>
      </c>
      <c r="AB1199">
        <f>IF(AND(F1199,ABS(W1199)&gt;1E-12,Y1199&gt;0,Z1199&gt;0),AA1199,1E+300)</f>
        <v/>
      </c>
    </row>
    <row r="1200">
      <c r="A1200">
        <f>$B$3+$B$5*19</f>
        <v/>
      </c>
      <c r="B1200">
        <f>$B$3+$B$5*29</f>
        <v/>
      </c>
      <c r="C1200">
        <f>SUMPRODUCT(Calc!$K$3:$K$22*(Calc!$G$3:$G$22&lt;=A1200))</f>
        <v/>
      </c>
      <c r="D1200">
        <f>SUMPRODUCT(Calc!$K$3:$K$22*(Calc!$G$3:$G$22&gt;A1200)*(Calc!$G$3:$G$22&lt;B1200))</f>
        <v/>
      </c>
      <c r="E1200">
        <f>SUMPRODUCT(Calc!$K$3:$K$22*(Calc!$G$3:$G$22&gt;=B1200))</f>
        <v/>
      </c>
      <c r="F1200">
        <f>AND(k_n&gt;=5,B1200&gt;A1200+1E-9,C1200&gt;=2,D1200&gt;=1,E1200&gt;=2)</f>
        <v/>
      </c>
      <c r="G1200">
        <f>SUMPRODUCT(Calc!$K$3:$K$22*(Calc!$G$3:$G$22&gt;A1200)*(Calc!$G$3:$G$22-A1200))</f>
        <v/>
      </c>
      <c r="H1200">
        <f>SUMPRODUCT(Calc!$K$3:$K$22*(Calc!$G$3:$G$22&gt;B1200)*(Calc!$G$3:$G$22-B1200))</f>
        <v/>
      </c>
      <c r="I1200">
        <f>SUMPRODUCT(Calc!$K$3:$K$22*(Calc!$G$3:$G$22&gt;A1200)*(Calc!$G$3:$G$22-A1200)^2)</f>
        <v/>
      </c>
      <c r="J1200">
        <f>SUMPRODUCT(Calc!$K$3:$K$22*(Calc!$G$3:$G$22&gt;B1200)*(Calc!$G$3:$G$22-B1200)^2)</f>
        <v/>
      </c>
      <c r="K1200">
        <f>SUMPRODUCT(Calc!$K$3:$K$22*(Calc!$G$3:$G$22&gt;A1200)*(Calc!$G$3:$G$22-A1200)*(Calc!$G$3:$G$22&gt;B1200)*(Calc!$G$3:$G$22-B1200))</f>
        <v/>
      </c>
      <c r="L1200">
        <f>SUMPRODUCT(Calc!$K$3:$K$22*(Calc!$G$3:$G$22&gt;A1200)*(Calc!$G$3:$G$22-A1200)*Calc!$G$3:$G$22)</f>
        <v/>
      </c>
      <c r="M1200">
        <f>SUMPRODUCT(Calc!$K$3:$K$22*(Calc!$G$3:$G$22&gt;B1200)*(Calc!$G$3:$G$22-B1200)*Calc!$G$3:$G$22)</f>
        <v/>
      </c>
      <c r="N1200">
        <f>SUMPRODUCT(Calc!$K$3:$K$22*(Calc!$G$3:$G$22&gt;A1200)*(Calc!$G$3:$G$22-A1200)*Calc!$I$3:$I$22)</f>
        <v/>
      </c>
      <c r="O1200">
        <f>SUMPRODUCT(Calc!$K$3:$K$22*(Calc!$G$3:$G$22&gt;B1200)*(Calc!$G$3:$G$22-B1200)*Calc!$I$3:$I$22)</f>
        <v/>
      </c>
      <c r="P1200">
        <f>I1200-G1200^2/k_n</f>
        <v/>
      </c>
      <c r="Q1200">
        <f>J1200-H1200^2/k_n</f>
        <v/>
      </c>
      <c r="R1200">
        <f>K1200-G1200*H1200/k_n</f>
        <v/>
      </c>
      <c r="S1200">
        <f>L1200-LTP3!$D$3*G1200/k_n</f>
        <v/>
      </c>
      <c r="T1200">
        <f>M1200-LTP3!$D$3*H1200/k_n</f>
        <v/>
      </c>
      <c r="U1200">
        <f>N1200-G1200*LTP3!$D$4/k_n</f>
        <v/>
      </c>
      <c r="V1200">
        <f>O1200-H1200*LTP3!$D$4/k_n</f>
        <v/>
      </c>
      <c r="W1200">
        <f>((LTP3!$D$5)*((P1200)*(Q1200)-(R1200)*(R1200))-(S1200)*((S1200)*(Q1200)-(R1200)*(T1200))+(T1200)*((S1200)*(R1200)-(P1200)*(T1200)))</f>
        <v/>
      </c>
      <c r="X1200">
        <f>IF(ABS(W1200)&gt;1E-12,((LTP3!$D$6)*((P1200)*(Q1200)-(R1200)*(R1200))-(S1200)*((U1200)*(Q1200)-(R1200)*(V1200))+(T1200)*((U1200)*(R1200)-(P1200)*(V1200)))/W1200,0)</f>
        <v/>
      </c>
      <c r="Y1200">
        <f>IF(ABS(W1200)&gt;1E-12,((LTP3!$D$5)*((U1200)*(Q1200)-(R1200)*(V1200))-(LTP3!$D$6)*((S1200)*(Q1200)-(R1200)*(T1200))+(T1200)*((S1200)*(V1200)-(U1200)*(T1200)))/W1200,0)</f>
        <v/>
      </c>
      <c r="Z1200">
        <f>IF(ABS(W1200)&gt;1E-12,((LTP3!$D$5)*((P1200)*(V1200)-(U1200)*(R1200))-(S1200)*((S1200)*(V1200)-(U1200)*(T1200))+(LTP3!$D$6)*((S1200)*(R1200)-(P1200)*(T1200)))/W1200,0)</f>
        <v/>
      </c>
      <c r="AA1200">
        <f>LTP3!$D$7-X1200*LTP3!$D$6-Y1200*U1200-Z1200*V1200</f>
        <v/>
      </c>
      <c r="AB1200">
        <f>IF(AND(F1200,ABS(W1200)&gt;1E-12,Y1200&gt;0,Z1200&gt;0),AA1200,1E+300)</f>
        <v/>
      </c>
    </row>
    <row r="1201">
      <c r="A1201">
        <f>$B$3+$B$5*19</f>
        <v/>
      </c>
      <c r="B1201">
        <f>$B$3+$B$5*30</f>
        <v/>
      </c>
      <c r="C1201">
        <f>SUMPRODUCT(Calc!$K$3:$K$22*(Calc!$G$3:$G$22&lt;=A1201))</f>
        <v/>
      </c>
      <c r="D1201">
        <f>SUMPRODUCT(Calc!$K$3:$K$22*(Calc!$G$3:$G$22&gt;A1201)*(Calc!$G$3:$G$22&lt;B1201))</f>
        <v/>
      </c>
      <c r="E1201">
        <f>SUMPRODUCT(Calc!$K$3:$K$22*(Calc!$G$3:$G$22&gt;=B1201))</f>
        <v/>
      </c>
      <c r="F1201">
        <f>AND(k_n&gt;=5,B1201&gt;A1201+1E-9,C1201&gt;=2,D1201&gt;=1,E1201&gt;=2)</f>
        <v/>
      </c>
      <c r="G1201">
        <f>SUMPRODUCT(Calc!$K$3:$K$22*(Calc!$G$3:$G$22&gt;A1201)*(Calc!$G$3:$G$22-A1201))</f>
        <v/>
      </c>
      <c r="H1201">
        <f>SUMPRODUCT(Calc!$K$3:$K$22*(Calc!$G$3:$G$22&gt;B1201)*(Calc!$G$3:$G$22-B1201))</f>
        <v/>
      </c>
      <c r="I1201">
        <f>SUMPRODUCT(Calc!$K$3:$K$22*(Calc!$G$3:$G$22&gt;A1201)*(Calc!$G$3:$G$22-A1201)^2)</f>
        <v/>
      </c>
      <c r="J1201">
        <f>SUMPRODUCT(Calc!$K$3:$K$22*(Calc!$G$3:$G$22&gt;B1201)*(Calc!$G$3:$G$22-B1201)^2)</f>
        <v/>
      </c>
      <c r="K1201">
        <f>SUMPRODUCT(Calc!$K$3:$K$22*(Calc!$G$3:$G$22&gt;A1201)*(Calc!$G$3:$G$22-A1201)*(Calc!$G$3:$G$22&gt;B1201)*(Calc!$G$3:$G$22-B1201))</f>
        <v/>
      </c>
      <c r="L1201">
        <f>SUMPRODUCT(Calc!$K$3:$K$22*(Calc!$G$3:$G$22&gt;A1201)*(Calc!$G$3:$G$22-A1201)*Calc!$G$3:$G$22)</f>
        <v/>
      </c>
      <c r="M1201">
        <f>SUMPRODUCT(Calc!$K$3:$K$22*(Calc!$G$3:$G$22&gt;B1201)*(Calc!$G$3:$G$22-B1201)*Calc!$G$3:$G$22)</f>
        <v/>
      </c>
      <c r="N1201">
        <f>SUMPRODUCT(Calc!$K$3:$K$22*(Calc!$G$3:$G$22&gt;A1201)*(Calc!$G$3:$G$22-A1201)*Calc!$I$3:$I$22)</f>
        <v/>
      </c>
      <c r="O1201">
        <f>SUMPRODUCT(Calc!$K$3:$K$22*(Calc!$G$3:$G$22&gt;B1201)*(Calc!$G$3:$G$22-B1201)*Calc!$I$3:$I$22)</f>
        <v/>
      </c>
      <c r="P1201">
        <f>I1201-G1201^2/k_n</f>
        <v/>
      </c>
      <c r="Q1201">
        <f>J1201-H1201^2/k_n</f>
        <v/>
      </c>
      <c r="R1201">
        <f>K1201-G1201*H1201/k_n</f>
        <v/>
      </c>
      <c r="S1201">
        <f>L1201-LTP3!$D$3*G1201/k_n</f>
        <v/>
      </c>
      <c r="T1201">
        <f>M1201-LTP3!$D$3*H1201/k_n</f>
        <v/>
      </c>
      <c r="U1201">
        <f>N1201-G1201*LTP3!$D$4/k_n</f>
        <v/>
      </c>
      <c r="V1201">
        <f>O1201-H1201*LTP3!$D$4/k_n</f>
        <v/>
      </c>
      <c r="W1201">
        <f>((LTP3!$D$5)*((P1201)*(Q1201)-(R1201)*(R1201))-(S1201)*((S1201)*(Q1201)-(R1201)*(T1201))+(T1201)*((S1201)*(R1201)-(P1201)*(T1201)))</f>
        <v/>
      </c>
      <c r="X1201">
        <f>IF(ABS(W1201)&gt;1E-12,((LTP3!$D$6)*((P1201)*(Q1201)-(R1201)*(R1201))-(S1201)*((U1201)*(Q1201)-(R1201)*(V1201))+(T1201)*((U1201)*(R1201)-(P1201)*(V1201)))/W1201,0)</f>
        <v/>
      </c>
      <c r="Y1201">
        <f>IF(ABS(W1201)&gt;1E-12,((LTP3!$D$5)*((U1201)*(Q1201)-(R1201)*(V1201))-(LTP3!$D$6)*((S1201)*(Q1201)-(R1201)*(T1201))+(T1201)*((S1201)*(V1201)-(U1201)*(T1201)))/W1201,0)</f>
        <v/>
      </c>
      <c r="Z1201">
        <f>IF(ABS(W1201)&gt;1E-12,((LTP3!$D$5)*((P1201)*(V1201)-(U1201)*(R1201))-(S1201)*((S1201)*(V1201)-(U1201)*(T1201))+(LTP3!$D$6)*((S1201)*(R1201)-(P1201)*(T1201)))/W1201,0)</f>
        <v/>
      </c>
      <c r="AA1201">
        <f>LTP3!$D$7-X1201*LTP3!$D$6-Y1201*U1201-Z1201*V1201</f>
        <v/>
      </c>
      <c r="AB1201">
        <f>IF(AND(F1201,ABS(W1201)&gt;1E-12,Y1201&gt;0,Z1201&gt;0),AA1201,1E+300)</f>
        <v/>
      </c>
    </row>
    <row r="1202">
      <c r="A1202">
        <f>$B$3+$B$5*19</f>
        <v/>
      </c>
      <c r="B1202">
        <f>$B$3+$B$5*31</f>
        <v/>
      </c>
      <c r="C1202">
        <f>SUMPRODUCT(Calc!$K$3:$K$22*(Calc!$G$3:$G$22&lt;=A1202))</f>
        <v/>
      </c>
      <c r="D1202">
        <f>SUMPRODUCT(Calc!$K$3:$K$22*(Calc!$G$3:$G$22&gt;A1202)*(Calc!$G$3:$G$22&lt;B1202))</f>
        <v/>
      </c>
      <c r="E1202">
        <f>SUMPRODUCT(Calc!$K$3:$K$22*(Calc!$G$3:$G$22&gt;=B1202))</f>
        <v/>
      </c>
      <c r="F1202">
        <f>AND(k_n&gt;=5,B1202&gt;A1202+1E-9,C1202&gt;=2,D1202&gt;=1,E1202&gt;=2)</f>
        <v/>
      </c>
      <c r="G1202">
        <f>SUMPRODUCT(Calc!$K$3:$K$22*(Calc!$G$3:$G$22&gt;A1202)*(Calc!$G$3:$G$22-A1202))</f>
        <v/>
      </c>
      <c r="H1202">
        <f>SUMPRODUCT(Calc!$K$3:$K$22*(Calc!$G$3:$G$22&gt;B1202)*(Calc!$G$3:$G$22-B1202))</f>
        <v/>
      </c>
      <c r="I1202">
        <f>SUMPRODUCT(Calc!$K$3:$K$22*(Calc!$G$3:$G$22&gt;A1202)*(Calc!$G$3:$G$22-A1202)^2)</f>
        <v/>
      </c>
      <c r="J1202">
        <f>SUMPRODUCT(Calc!$K$3:$K$22*(Calc!$G$3:$G$22&gt;B1202)*(Calc!$G$3:$G$22-B1202)^2)</f>
        <v/>
      </c>
      <c r="K1202">
        <f>SUMPRODUCT(Calc!$K$3:$K$22*(Calc!$G$3:$G$22&gt;A1202)*(Calc!$G$3:$G$22-A1202)*(Calc!$G$3:$G$22&gt;B1202)*(Calc!$G$3:$G$22-B1202))</f>
        <v/>
      </c>
      <c r="L1202">
        <f>SUMPRODUCT(Calc!$K$3:$K$22*(Calc!$G$3:$G$22&gt;A1202)*(Calc!$G$3:$G$22-A1202)*Calc!$G$3:$G$22)</f>
        <v/>
      </c>
      <c r="M1202">
        <f>SUMPRODUCT(Calc!$K$3:$K$22*(Calc!$G$3:$G$22&gt;B1202)*(Calc!$G$3:$G$22-B1202)*Calc!$G$3:$G$22)</f>
        <v/>
      </c>
      <c r="N1202">
        <f>SUMPRODUCT(Calc!$K$3:$K$22*(Calc!$G$3:$G$22&gt;A1202)*(Calc!$G$3:$G$22-A1202)*Calc!$I$3:$I$22)</f>
        <v/>
      </c>
      <c r="O1202">
        <f>SUMPRODUCT(Calc!$K$3:$K$22*(Calc!$G$3:$G$22&gt;B1202)*(Calc!$G$3:$G$22-B1202)*Calc!$I$3:$I$22)</f>
        <v/>
      </c>
      <c r="P1202">
        <f>I1202-G1202^2/k_n</f>
        <v/>
      </c>
      <c r="Q1202">
        <f>J1202-H1202^2/k_n</f>
        <v/>
      </c>
      <c r="R1202">
        <f>K1202-G1202*H1202/k_n</f>
        <v/>
      </c>
      <c r="S1202">
        <f>L1202-LTP3!$D$3*G1202/k_n</f>
        <v/>
      </c>
      <c r="T1202">
        <f>M1202-LTP3!$D$3*H1202/k_n</f>
        <v/>
      </c>
      <c r="U1202">
        <f>N1202-G1202*LTP3!$D$4/k_n</f>
        <v/>
      </c>
      <c r="V1202">
        <f>O1202-H1202*LTP3!$D$4/k_n</f>
        <v/>
      </c>
      <c r="W1202">
        <f>((LTP3!$D$5)*((P1202)*(Q1202)-(R1202)*(R1202))-(S1202)*((S1202)*(Q1202)-(R1202)*(T1202))+(T1202)*((S1202)*(R1202)-(P1202)*(T1202)))</f>
        <v/>
      </c>
      <c r="X1202">
        <f>IF(ABS(W1202)&gt;1E-12,((LTP3!$D$6)*((P1202)*(Q1202)-(R1202)*(R1202))-(S1202)*((U1202)*(Q1202)-(R1202)*(V1202))+(T1202)*((U1202)*(R1202)-(P1202)*(V1202)))/W1202,0)</f>
        <v/>
      </c>
      <c r="Y1202">
        <f>IF(ABS(W1202)&gt;1E-12,((LTP3!$D$5)*((U1202)*(Q1202)-(R1202)*(V1202))-(LTP3!$D$6)*((S1202)*(Q1202)-(R1202)*(T1202))+(T1202)*((S1202)*(V1202)-(U1202)*(T1202)))/W1202,0)</f>
        <v/>
      </c>
      <c r="Z1202">
        <f>IF(ABS(W1202)&gt;1E-12,((LTP3!$D$5)*((P1202)*(V1202)-(U1202)*(R1202))-(S1202)*((S1202)*(V1202)-(U1202)*(T1202))+(LTP3!$D$6)*((S1202)*(R1202)-(P1202)*(T1202)))/W1202,0)</f>
        <v/>
      </c>
      <c r="AA1202">
        <f>LTP3!$D$7-X1202*LTP3!$D$6-Y1202*U1202-Z1202*V1202</f>
        <v/>
      </c>
      <c r="AB1202">
        <f>IF(AND(F1202,ABS(W1202)&gt;1E-12,Y1202&gt;0,Z1202&gt;0),AA1202,1E+300)</f>
        <v/>
      </c>
    </row>
    <row r="1203">
      <c r="A1203">
        <f>$B$3+$B$5*19</f>
        <v/>
      </c>
      <c r="B1203">
        <f>$B$3+$B$5*32</f>
        <v/>
      </c>
      <c r="C1203">
        <f>SUMPRODUCT(Calc!$K$3:$K$22*(Calc!$G$3:$G$22&lt;=A1203))</f>
        <v/>
      </c>
      <c r="D1203">
        <f>SUMPRODUCT(Calc!$K$3:$K$22*(Calc!$G$3:$G$22&gt;A1203)*(Calc!$G$3:$G$22&lt;B1203))</f>
        <v/>
      </c>
      <c r="E1203">
        <f>SUMPRODUCT(Calc!$K$3:$K$22*(Calc!$G$3:$G$22&gt;=B1203))</f>
        <v/>
      </c>
      <c r="F1203">
        <f>AND(k_n&gt;=5,B1203&gt;A1203+1E-9,C1203&gt;=2,D1203&gt;=1,E1203&gt;=2)</f>
        <v/>
      </c>
      <c r="G1203">
        <f>SUMPRODUCT(Calc!$K$3:$K$22*(Calc!$G$3:$G$22&gt;A1203)*(Calc!$G$3:$G$22-A1203))</f>
        <v/>
      </c>
      <c r="H1203">
        <f>SUMPRODUCT(Calc!$K$3:$K$22*(Calc!$G$3:$G$22&gt;B1203)*(Calc!$G$3:$G$22-B1203))</f>
        <v/>
      </c>
      <c r="I1203">
        <f>SUMPRODUCT(Calc!$K$3:$K$22*(Calc!$G$3:$G$22&gt;A1203)*(Calc!$G$3:$G$22-A1203)^2)</f>
        <v/>
      </c>
      <c r="J1203">
        <f>SUMPRODUCT(Calc!$K$3:$K$22*(Calc!$G$3:$G$22&gt;B1203)*(Calc!$G$3:$G$22-B1203)^2)</f>
        <v/>
      </c>
      <c r="K1203">
        <f>SUMPRODUCT(Calc!$K$3:$K$22*(Calc!$G$3:$G$22&gt;A1203)*(Calc!$G$3:$G$22-A1203)*(Calc!$G$3:$G$22&gt;B1203)*(Calc!$G$3:$G$22-B1203))</f>
        <v/>
      </c>
      <c r="L1203">
        <f>SUMPRODUCT(Calc!$K$3:$K$22*(Calc!$G$3:$G$22&gt;A1203)*(Calc!$G$3:$G$22-A1203)*Calc!$G$3:$G$22)</f>
        <v/>
      </c>
      <c r="M1203">
        <f>SUMPRODUCT(Calc!$K$3:$K$22*(Calc!$G$3:$G$22&gt;B1203)*(Calc!$G$3:$G$22-B1203)*Calc!$G$3:$G$22)</f>
        <v/>
      </c>
      <c r="N1203">
        <f>SUMPRODUCT(Calc!$K$3:$K$22*(Calc!$G$3:$G$22&gt;A1203)*(Calc!$G$3:$G$22-A1203)*Calc!$I$3:$I$22)</f>
        <v/>
      </c>
      <c r="O1203">
        <f>SUMPRODUCT(Calc!$K$3:$K$22*(Calc!$G$3:$G$22&gt;B1203)*(Calc!$G$3:$G$22-B1203)*Calc!$I$3:$I$22)</f>
        <v/>
      </c>
      <c r="P1203">
        <f>I1203-G1203^2/k_n</f>
        <v/>
      </c>
      <c r="Q1203">
        <f>J1203-H1203^2/k_n</f>
        <v/>
      </c>
      <c r="R1203">
        <f>K1203-G1203*H1203/k_n</f>
        <v/>
      </c>
      <c r="S1203">
        <f>L1203-LTP3!$D$3*G1203/k_n</f>
        <v/>
      </c>
      <c r="T1203">
        <f>M1203-LTP3!$D$3*H1203/k_n</f>
        <v/>
      </c>
      <c r="U1203">
        <f>N1203-G1203*LTP3!$D$4/k_n</f>
        <v/>
      </c>
      <c r="V1203">
        <f>O1203-H1203*LTP3!$D$4/k_n</f>
        <v/>
      </c>
      <c r="W1203">
        <f>((LTP3!$D$5)*((P1203)*(Q1203)-(R1203)*(R1203))-(S1203)*((S1203)*(Q1203)-(R1203)*(T1203))+(T1203)*((S1203)*(R1203)-(P1203)*(T1203)))</f>
        <v/>
      </c>
      <c r="X1203">
        <f>IF(ABS(W1203)&gt;1E-12,((LTP3!$D$6)*((P1203)*(Q1203)-(R1203)*(R1203))-(S1203)*((U1203)*(Q1203)-(R1203)*(V1203))+(T1203)*((U1203)*(R1203)-(P1203)*(V1203)))/W1203,0)</f>
        <v/>
      </c>
      <c r="Y1203">
        <f>IF(ABS(W1203)&gt;1E-12,((LTP3!$D$5)*((U1203)*(Q1203)-(R1203)*(V1203))-(LTP3!$D$6)*((S1203)*(Q1203)-(R1203)*(T1203))+(T1203)*((S1203)*(V1203)-(U1203)*(T1203)))/W1203,0)</f>
        <v/>
      </c>
      <c r="Z1203">
        <f>IF(ABS(W1203)&gt;1E-12,((LTP3!$D$5)*((P1203)*(V1203)-(U1203)*(R1203))-(S1203)*((S1203)*(V1203)-(U1203)*(T1203))+(LTP3!$D$6)*((S1203)*(R1203)-(P1203)*(T1203)))/W1203,0)</f>
        <v/>
      </c>
      <c r="AA1203">
        <f>LTP3!$D$7-X1203*LTP3!$D$6-Y1203*U1203-Z1203*V1203</f>
        <v/>
      </c>
      <c r="AB1203">
        <f>IF(AND(F1203,ABS(W1203)&gt;1E-12,Y1203&gt;0,Z1203&gt;0),AA1203,1E+300)</f>
        <v/>
      </c>
    </row>
    <row r="1204">
      <c r="A1204">
        <f>$B$3+$B$5*19</f>
        <v/>
      </c>
      <c r="B1204">
        <f>$B$3+$B$5*33</f>
        <v/>
      </c>
      <c r="C1204">
        <f>SUMPRODUCT(Calc!$K$3:$K$22*(Calc!$G$3:$G$22&lt;=A1204))</f>
        <v/>
      </c>
      <c r="D1204">
        <f>SUMPRODUCT(Calc!$K$3:$K$22*(Calc!$G$3:$G$22&gt;A1204)*(Calc!$G$3:$G$22&lt;B1204))</f>
        <v/>
      </c>
      <c r="E1204">
        <f>SUMPRODUCT(Calc!$K$3:$K$22*(Calc!$G$3:$G$22&gt;=B1204))</f>
        <v/>
      </c>
      <c r="F1204">
        <f>AND(k_n&gt;=5,B1204&gt;A1204+1E-9,C1204&gt;=2,D1204&gt;=1,E1204&gt;=2)</f>
        <v/>
      </c>
      <c r="G1204">
        <f>SUMPRODUCT(Calc!$K$3:$K$22*(Calc!$G$3:$G$22&gt;A1204)*(Calc!$G$3:$G$22-A1204))</f>
        <v/>
      </c>
      <c r="H1204">
        <f>SUMPRODUCT(Calc!$K$3:$K$22*(Calc!$G$3:$G$22&gt;B1204)*(Calc!$G$3:$G$22-B1204))</f>
        <v/>
      </c>
      <c r="I1204">
        <f>SUMPRODUCT(Calc!$K$3:$K$22*(Calc!$G$3:$G$22&gt;A1204)*(Calc!$G$3:$G$22-A1204)^2)</f>
        <v/>
      </c>
      <c r="J1204">
        <f>SUMPRODUCT(Calc!$K$3:$K$22*(Calc!$G$3:$G$22&gt;B1204)*(Calc!$G$3:$G$22-B1204)^2)</f>
        <v/>
      </c>
      <c r="K1204">
        <f>SUMPRODUCT(Calc!$K$3:$K$22*(Calc!$G$3:$G$22&gt;A1204)*(Calc!$G$3:$G$22-A1204)*(Calc!$G$3:$G$22&gt;B1204)*(Calc!$G$3:$G$22-B1204))</f>
        <v/>
      </c>
      <c r="L1204">
        <f>SUMPRODUCT(Calc!$K$3:$K$22*(Calc!$G$3:$G$22&gt;A1204)*(Calc!$G$3:$G$22-A1204)*Calc!$G$3:$G$22)</f>
        <v/>
      </c>
      <c r="M1204">
        <f>SUMPRODUCT(Calc!$K$3:$K$22*(Calc!$G$3:$G$22&gt;B1204)*(Calc!$G$3:$G$22-B1204)*Calc!$G$3:$G$22)</f>
        <v/>
      </c>
      <c r="N1204">
        <f>SUMPRODUCT(Calc!$K$3:$K$22*(Calc!$G$3:$G$22&gt;A1204)*(Calc!$G$3:$G$22-A1204)*Calc!$I$3:$I$22)</f>
        <v/>
      </c>
      <c r="O1204">
        <f>SUMPRODUCT(Calc!$K$3:$K$22*(Calc!$G$3:$G$22&gt;B1204)*(Calc!$G$3:$G$22-B1204)*Calc!$I$3:$I$22)</f>
        <v/>
      </c>
      <c r="P1204">
        <f>I1204-G1204^2/k_n</f>
        <v/>
      </c>
      <c r="Q1204">
        <f>J1204-H1204^2/k_n</f>
        <v/>
      </c>
      <c r="R1204">
        <f>K1204-G1204*H1204/k_n</f>
        <v/>
      </c>
      <c r="S1204">
        <f>L1204-LTP3!$D$3*G1204/k_n</f>
        <v/>
      </c>
      <c r="T1204">
        <f>M1204-LTP3!$D$3*H1204/k_n</f>
        <v/>
      </c>
      <c r="U1204">
        <f>N1204-G1204*LTP3!$D$4/k_n</f>
        <v/>
      </c>
      <c r="V1204">
        <f>O1204-H1204*LTP3!$D$4/k_n</f>
        <v/>
      </c>
      <c r="W1204">
        <f>((LTP3!$D$5)*((P1204)*(Q1204)-(R1204)*(R1204))-(S1204)*((S1204)*(Q1204)-(R1204)*(T1204))+(T1204)*((S1204)*(R1204)-(P1204)*(T1204)))</f>
        <v/>
      </c>
      <c r="X1204">
        <f>IF(ABS(W1204)&gt;1E-12,((LTP3!$D$6)*((P1204)*(Q1204)-(R1204)*(R1204))-(S1204)*((U1204)*(Q1204)-(R1204)*(V1204))+(T1204)*((U1204)*(R1204)-(P1204)*(V1204)))/W1204,0)</f>
        <v/>
      </c>
      <c r="Y1204">
        <f>IF(ABS(W1204)&gt;1E-12,((LTP3!$D$5)*((U1204)*(Q1204)-(R1204)*(V1204))-(LTP3!$D$6)*((S1204)*(Q1204)-(R1204)*(T1204))+(T1204)*((S1204)*(V1204)-(U1204)*(T1204)))/W1204,0)</f>
        <v/>
      </c>
      <c r="Z1204">
        <f>IF(ABS(W1204)&gt;1E-12,((LTP3!$D$5)*((P1204)*(V1204)-(U1204)*(R1204))-(S1204)*((S1204)*(V1204)-(U1204)*(T1204))+(LTP3!$D$6)*((S1204)*(R1204)-(P1204)*(T1204)))/W1204,0)</f>
        <v/>
      </c>
      <c r="AA1204">
        <f>LTP3!$D$7-X1204*LTP3!$D$6-Y1204*U1204-Z1204*V1204</f>
        <v/>
      </c>
      <c r="AB1204">
        <f>IF(AND(F1204,ABS(W1204)&gt;1E-12,Y1204&gt;0,Z1204&gt;0),AA1204,1E+300)</f>
        <v/>
      </c>
    </row>
    <row r="1205">
      <c r="A1205">
        <f>$B$3+$B$5*19</f>
        <v/>
      </c>
      <c r="B1205">
        <f>$B$3+$B$5*34</f>
        <v/>
      </c>
      <c r="C1205">
        <f>SUMPRODUCT(Calc!$K$3:$K$22*(Calc!$G$3:$G$22&lt;=A1205))</f>
        <v/>
      </c>
      <c r="D1205">
        <f>SUMPRODUCT(Calc!$K$3:$K$22*(Calc!$G$3:$G$22&gt;A1205)*(Calc!$G$3:$G$22&lt;B1205))</f>
        <v/>
      </c>
      <c r="E1205">
        <f>SUMPRODUCT(Calc!$K$3:$K$22*(Calc!$G$3:$G$22&gt;=B1205))</f>
        <v/>
      </c>
      <c r="F1205">
        <f>AND(k_n&gt;=5,B1205&gt;A1205+1E-9,C1205&gt;=2,D1205&gt;=1,E1205&gt;=2)</f>
        <v/>
      </c>
      <c r="G1205">
        <f>SUMPRODUCT(Calc!$K$3:$K$22*(Calc!$G$3:$G$22&gt;A1205)*(Calc!$G$3:$G$22-A1205))</f>
        <v/>
      </c>
      <c r="H1205">
        <f>SUMPRODUCT(Calc!$K$3:$K$22*(Calc!$G$3:$G$22&gt;B1205)*(Calc!$G$3:$G$22-B1205))</f>
        <v/>
      </c>
      <c r="I1205">
        <f>SUMPRODUCT(Calc!$K$3:$K$22*(Calc!$G$3:$G$22&gt;A1205)*(Calc!$G$3:$G$22-A1205)^2)</f>
        <v/>
      </c>
      <c r="J1205">
        <f>SUMPRODUCT(Calc!$K$3:$K$22*(Calc!$G$3:$G$22&gt;B1205)*(Calc!$G$3:$G$22-B1205)^2)</f>
        <v/>
      </c>
      <c r="K1205">
        <f>SUMPRODUCT(Calc!$K$3:$K$22*(Calc!$G$3:$G$22&gt;A1205)*(Calc!$G$3:$G$22-A1205)*(Calc!$G$3:$G$22&gt;B1205)*(Calc!$G$3:$G$22-B1205))</f>
        <v/>
      </c>
      <c r="L1205">
        <f>SUMPRODUCT(Calc!$K$3:$K$22*(Calc!$G$3:$G$22&gt;A1205)*(Calc!$G$3:$G$22-A1205)*Calc!$G$3:$G$22)</f>
        <v/>
      </c>
      <c r="M1205">
        <f>SUMPRODUCT(Calc!$K$3:$K$22*(Calc!$G$3:$G$22&gt;B1205)*(Calc!$G$3:$G$22-B1205)*Calc!$G$3:$G$22)</f>
        <v/>
      </c>
      <c r="N1205">
        <f>SUMPRODUCT(Calc!$K$3:$K$22*(Calc!$G$3:$G$22&gt;A1205)*(Calc!$G$3:$G$22-A1205)*Calc!$I$3:$I$22)</f>
        <v/>
      </c>
      <c r="O1205">
        <f>SUMPRODUCT(Calc!$K$3:$K$22*(Calc!$G$3:$G$22&gt;B1205)*(Calc!$G$3:$G$22-B1205)*Calc!$I$3:$I$22)</f>
        <v/>
      </c>
      <c r="P1205">
        <f>I1205-G1205^2/k_n</f>
        <v/>
      </c>
      <c r="Q1205">
        <f>J1205-H1205^2/k_n</f>
        <v/>
      </c>
      <c r="R1205">
        <f>K1205-G1205*H1205/k_n</f>
        <v/>
      </c>
      <c r="S1205">
        <f>L1205-LTP3!$D$3*G1205/k_n</f>
        <v/>
      </c>
      <c r="T1205">
        <f>M1205-LTP3!$D$3*H1205/k_n</f>
        <v/>
      </c>
      <c r="U1205">
        <f>N1205-G1205*LTP3!$D$4/k_n</f>
        <v/>
      </c>
      <c r="V1205">
        <f>O1205-H1205*LTP3!$D$4/k_n</f>
        <v/>
      </c>
      <c r="W1205">
        <f>((LTP3!$D$5)*((P1205)*(Q1205)-(R1205)*(R1205))-(S1205)*((S1205)*(Q1205)-(R1205)*(T1205))+(T1205)*((S1205)*(R1205)-(P1205)*(T1205)))</f>
        <v/>
      </c>
      <c r="X1205">
        <f>IF(ABS(W1205)&gt;1E-12,((LTP3!$D$6)*((P1205)*(Q1205)-(R1205)*(R1205))-(S1205)*((U1205)*(Q1205)-(R1205)*(V1205))+(T1205)*((U1205)*(R1205)-(P1205)*(V1205)))/W1205,0)</f>
        <v/>
      </c>
      <c r="Y1205">
        <f>IF(ABS(W1205)&gt;1E-12,((LTP3!$D$5)*((U1205)*(Q1205)-(R1205)*(V1205))-(LTP3!$D$6)*((S1205)*(Q1205)-(R1205)*(T1205))+(T1205)*((S1205)*(V1205)-(U1205)*(T1205)))/W1205,0)</f>
        <v/>
      </c>
      <c r="Z1205">
        <f>IF(ABS(W1205)&gt;1E-12,((LTP3!$D$5)*((P1205)*(V1205)-(U1205)*(R1205))-(S1205)*((S1205)*(V1205)-(U1205)*(T1205))+(LTP3!$D$6)*((S1205)*(R1205)-(P1205)*(T1205)))/W1205,0)</f>
        <v/>
      </c>
      <c r="AA1205">
        <f>LTP3!$D$7-X1205*LTP3!$D$6-Y1205*U1205-Z1205*V1205</f>
        <v/>
      </c>
      <c r="AB1205">
        <f>IF(AND(F1205,ABS(W1205)&gt;1E-12,Y1205&gt;0,Z1205&gt;0),AA1205,1E+300)</f>
        <v/>
      </c>
    </row>
    <row r="1206">
      <c r="A1206">
        <f>$B$3+$B$5*19</f>
        <v/>
      </c>
      <c r="B1206">
        <f>$B$3+$B$5*35</f>
        <v/>
      </c>
      <c r="C1206">
        <f>SUMPRODUCT(Calc!$K$3:$K$22*(Calc!$G$3:$G$22&lt;=A1206))</f>
        <v/>
      </c>
      <c r="D1206">
        <f>SUMPRODUCT(Calc!$K$3:$K$22*(Calc!$G$3:$G$22&gt;A1206)*(Calc!$G$3:$G$22&lt;B1206))</f>
        <v/>
      </c>
      <c r="E1206">
        <f>SUMPRODUCT(Calc!$K$3:$K$22*(Calc!$G$3:$G$22&gt;=B1206))</f>
        <v/>
      </c>
      <c r="F1206">
        <f>AND(k_n&gt;=5,B1206&gt;A1206+1E-9,C1206&gt;=2,D1206&gt;=1,E1206&gt;=2)</f>
        <v/>
      </c>
      <c r="G1206">
        <f>SUMPRODUCT(Calc!$K$3:$K$22*(Calc!$G$3:$G$22&gt;A1206)*(Calc!$G$3:$G$22-A1206))</f>
        <v/>
      </c>
      <c r="H1206">
        <f>SUMPRODUCT(Calc!$K$3:$K$22*(Calc!$G$3:$G$22&gt;B1206)*(Calc!$G$3:$G$22-B1206))</f>
        <v/>
      </c>
      <c r="I1206">
        <f>SUMPRODUCT(Calc!$K$3:$K$22*(Calc!$G$3:$G$22&gt;A1206)*(Calc!$G$3:$G$22-A1206)^2)</f>
        <v/>
      </c>
      <c r="J1206">
        <f>SUMPRODUCT(Calc!$K$3:$K$22*(Calc!$G$3:$G$22&gt;B1206)*(Calc!$G$3:$G$22-B1206)^2)</f>
        <v/>
      </c>
      <c r="K1206">
        <f>SUMPRODUCT(Calc!$K$3:$K$22*(Calc!$G$3:$G$22&gt;A1206)*(Calc!$G$3:$G$22-A1206)*(Calc!$G$3:$G$22&gt;B1206)*(Calc!$G$3:$G$22-B1206))</f>
        <v/>
      </c>
      <c r="L1206">
        <f>SUMPRODUCT(Calc!$K$3:$K$22*(Calc!$G$3:$G$22&gt;A1206)*(Calc!$G$3:$G$22-A1206)*Calc!$G$3:$G$22)</f>
        <v/>
      </c>
      <c r="M1206">
        <f>SUMPRODUCT(Calc!$K$3:$K$22*(Calc!$G$3:$G$22&gt;B1206)*(Calc!$G$3:$G$22-B1206)*Calc!$G$3:$G$22)</f>
        <v/>
      </c>
      <c r="N1206">
        <f>SUMPRODUCT(Calc!$K$3:$K$22*(Calc!$G$3:$G$22&gt;A1206)*(Calc!$G$3:$G$22-A1206)*Calc!$I$3:$I$22)</f>
        <v/>
      </c>
      <c r="O1206">
        <f>SUMPRODUCT(Calc!$K$3:$K$22*(Calc!$G$3:$G$22&gt;B1206)*(Calc!$G$3:$G$22-B1206)*Calc!$I$3:$I$22)</f>
        <v/>
      </c>
      <c r="P1206">
        <f>I1206-G1206^2/k_n</f>
        <v/>
      </c>
      <c r="Q1206">
        <f>J1206-H1206^2/k_n</f>
        <v/>
      </c>
      <c r="R1206">
        <f>K1206-G1206*H1206/k_n</f>
        <v/>
      </c>
      <c r="S1206">
        <f>L1206-LTP3!$D$3*G1206/k_n</f>
        <v/>
      </c>
      <c r="T1206">
        <f>M1206-LTP3!$D$3*H1206/k_n</f>
        <v/>
      </c>
      <c r="U1206">
        <f>N1206-G1206*LTP3!$D$4/k_n</f>
        <v/>
      </c>
      <c r="V1206">
        <f>O1206-H1206*LTP3!$D$4/k_n</f>
        <v/>
      </c>
      <c r="W1206">
        <f>((LTP3!$D$5)*((P1206)*(Q1206)-(R1206)*(R1206))-(S1206)*((S1206)*(Q1206)-(R1206)*(T1206))+(T1206)*((S1206)*(R1206)-(P1206)*(T1206)))</f>
        <v/>
      </c>
      <c r="X1206">
        <f>IF(ABS(W1206)&gt;1E-12,((LTP3!$D$6)*((P1206)*(Q1206)-(R1206)*(R1206))-(S1206)*((U1206)*(Q1206)-(R1206)*(V1206))+(T1206)*((U1206)*(R1206)-(P1206)*(V1206)))/W1206,0)</f>
        <v/>
      </c>
      <c r="Y1206">
        <f>IF(ABS(W1206)&gt;1E-12,((LTP3!$D$5)*((U1206)*(Q1206)-(R1206)*(V1206))-(LTP3!$D$6)*((S1206)*(Q1206)-(R1206)*(T1206))+(T1206)*((S1206)*(V1206)-(U1206)*(T1206)))/W1206,0)</f>
        <v/>
      </c>
      <c r="Z1206">
        <f>IF(ABS(W1206)&gt;1E-12,((LTP3!$D$5)*((P1206)*(V1206)-(U1206)*(R1206))-(S1206)*((S1206)*(V1206)-(U1206)*(T1206))+(LTP3!$D$6)*((S1206)*(R1206)-(P1206)*(T1206)))/W1206,0)</f>
        <v/>
      </c>
      <c r="AA1206">
        <f>LTP3!$D$7-X1206*LTP3!$D$6-Y1206*U1206-Z1206*V1206</f>
        <v/>
      </c>
      <c r="AB1206">
        <f>IF(AND(F1206,ABS(W1206)&gt;1E-12,Y1206&gt;0,Z1206&gt;0),AA1206,1E+300)</f>
        <v/>
      </c>
    </row>
    <row r="1207">
      <c r="A1207">
        <f>$B$3+$B$5*19</f>
        <v/>
      </c>
      <c r="B1207">
        <f>$B$3+$B$5*36</f>
        <v/>
      </c>
      <c r="C1207">
        <f>SUMPRODUCT(Calc!$K$3:$K$22*(Calc!$G$3:$G$22&lt;=A1207))</f>
        <v/>
      </c>
      <c r="D1207">
        <f>SUMPRODUCT(Calc!$K$3:$K$22*(Calc!$G$3:$G$22&gt;A1207)*(Calc!$G$3:$G$22&lt;B1207))</f>
        <v/>
      </c>
      <c r="E1207">
        <f>SUMPRODUCT(Calc!$K$3:$K$22*(Calc!$G$3:$G$22&gt;=B1207))</f>
        <v/>
      </c>
      <c r="F1207">
        <f>AND(k_n&gt;=5,B1207&gt;A1207+1E-9,C1207&gt;=2,D1207&gt;=1,E1207&gt;=2)</f>
        <v/>
      </c>
      <c r="G1207">
        <f>SUMPRODUCT(Calc!$K$3:$K$22*(Calc!$G$3:$G$22&gt;A1207)*(Calc!$G$3:$G$22-A1207))</f>
        <v/>
      </c>
      <c r="H1207">
        <f>SUMPRODUCT(Calc!$K$3:$K$22*(Calc!$G$3:$G$22&gt;B1207)*(Calc!$G$3:$G$22-B1207))</f>
        <v/>
      </c>
      <c r="I1207">
        <f>SUMPRODUCT(Calc!$K$3:$K$22*(Calc!$G$3:$G$22&gt;A1207)*(Calc!$G$3:$G$22-A1207)^2)</f>
        <v/>
      </c>
      <c r="J1207">
        <f>SUMPRODUCT(Calc!$K$3:$K$22*(Calc!$G$3:$G$22&gt;B1207)*(Calc!$G$3:$G$22-B1207)^2)</f>
        <v/>
      </c>
      <c r="K1207">
        <f>SUMPRODUCT(Calc!$K$3:$K$22*(Calc!$G$3:$G$22&gt;A1207)*(Calc!$G$3:$G$22-A1207)*(Calc!$G$3:$G$22&gt;B1207)*(Calc!$G$3:$G$22-B1207))</f>
        <v/>
      </c>
      <c r="L1207">
        <f>SUMPRODUCT(Calc!$K$3:$K$22*(Calc!$G$3:$G$22&gt;A1207)*(Calc!$G$3:$G$22-A1207)*Calc!$G$3:$G$22)</f>
        <v/>
      </c>
      <c r="M1207">
        <f>SUMPRODUCT(Calc!$K$3:$K$22*(Calc!$G$3:$G$22&gt;B1207)*(Calc!$G$3:$G$22-B1207)*Calc!$G$3:$G$22)</f>
        <v/>
      </c>
      <c r="N1207">
        <f>SUMPRODUCT(Calc!$K$3:$K$22*(Calc!$G$3:$G$22&gt;A1207)*(Calc!$G$3:$G$22-A1207)*Calc!$I$3:$I$22)</f>
        <v/>
      </c>
      <c r="O1207">
        <f>SUMPRODUCT(Calc!$K$3:$K$22*(Calc!$G$3:$G$22&gt;B1207)*(Calc!$G$3:$G$22-B1207)*Calc!$I$3:$I$22)</f>
        <v/>
      </c>
      <c r="P1207">
        <f>I1207-G1207^2/k_n</f>
        <v/>
      </c>
      <c r="Q1207">
        <f>J1207-H1207^2/k_n</f>
        <v/>
      </c>
      <c r="R1207">
        <f>K1207-G1207*H1207/k_n</f>
        <v/>
      </c>
      <c r="S1207">
        <f>L1207-LTP3!$D$3*G1207/k_n</f>
        <v/>
      </c>
      <c r="T1207">
        <f>M1207-LTP3!$D$3*H1207/k_n</f>
        <v/>
      </c>
      <c r="U1207">
        <f>N1207-G1207*LTP3!$D$4/k_n</f>
        <v/>
      </c>
      <c r="V1207">
        <f>O1207-H1207*LTP3!$D$4/k_n</f>
        <v/>
      </c>
      <c r="W1207">
        <f>((LTP3!$D$5)*((P1207)*(Q1207)-(R1207)*(R1207))-(S1207)*((S1207)*(Q1207)-(R1207)*(T1207))+(T1207)*((S1207)*(R1207)-(P1207)*(T1207)))</f>
        <v/>
      </c>
      <c r="X1207">
        <f>IF(ABS(W1207)&gt;1E-12,((LTP3!$D$6)*((P1207)*(Q1207)-(R1207)*(R1207))-(S1207)*((U1207)*(Q1207)-(R1207)*(V1207))+(T1207)*((U1207)*(R1207)-(P1207)*(V1207)))/W1207,0)</f>
        <v/>
      </c>
      <c r="Y1207">
        <f>IF(ABS(W1207)&gt;1E-12,((LTP3!$D$5)*((U1207)*(Q1207)-(R1207)*(V1207))-(LTP3!$D$6)*((S1207)*(Q1207)-(R1207)*(T1207))+(T1207)*((S1207)*(V1207)-(U1207)*(T1207)))/W1207,0)</f>
        <v/>
      </c>
      <c r="Z1207">
        <f>IF(ABS(W1207)&gt;1E-12,((LTP3!$D$5)*((P1207)*(V1207)-(U1207)*(R1207))-(S1207)*((S1207)*(V1207)-(U1207)*(T1207))+(LTP3!$D$6)*((S1207)*(R1207)-(P1207)*(T1207)))/W1207,0)</f>
        <v/>
      </c>
      <c r="AA1207">
        <f>LTP3!$D$7-X1207*LTP3!$D$6-Y1207*U1207-Z1207*V1207</f>
        <v/>
      </c>
      <c r="AB1207">
        <f>IF(AND(F1207,ABS(W1207)&gt;1E-12,Y1207&gt;0,Z1207&gt;0),AA1207,1E+300)</f>
        <v/>
      </c>
    </row>
    <row r="1208">
      <c r="A1208">
        <f>$B$3+$B$5*19</f>
        <v/>
      </c>
      <c r="B1208">
        <f>$B$3+$B$5*37</f>
        <v/>
      </c>
      <c r="C1208">
        <f>SUMPRODUCT(Calc!$K$3:$K$22*(Calc!$G$3:$G$22&lt;=A1208))</f>
        <v/>
      </c>
      <c r="D1208">
        <f>SUMPRODUCT(Calc!$K$3:$K$22*(Calc!$G$3:$G$22&gt;A1208)*(Calc!$G$3:$G$22&lt;B1208))</f>
        <v/>
      </c>
      <c r="E1208">
        <f>SUMPRODUCT(Calc!$K$3:$K$22*(Calc!$G$3:$G$22&gt;=B1208))</f>
        <v/>
      </c>
      <c r="F1208">
        <f>AND(k_n&gt;=5,B1208&gt;A1208+1E-9,C1208&gt;=2,D1208&gt;=1,E1208&gt;=2)</f>
        <v/>
      </c>
      <c r="G1208">
        <f>SUMPRODUCT(Calc!$K$3:$K$22*(Calc!$G$3:$G$22&gt;A1208)*(Calc!$G$3:$G$22-A1208))</f>
        <v/>
      </c>
      <c r="H1208">
        <f>SUMPRODUCT(Calc!$K$3:$K$22*(Calc!$G$3:$G$22&gt;B1208)*(Calc!$G$3:$G$22-B1208))</f>
        <v/>
      </c>
      <c r="I1208">
        <f>SUMPRODUCT(Calc!$K$3:$K$22*(Calc!$G$3:$G$22&gt;A1208)*(Calc!$G$3:$G$22-A1208)^2)</f>
        <v/>
      </c>
      <c r="J1208">
        <f>SUMPRODUCT(Calc!$K$3:$K$22*(Calc!$G$3:$G$22&gt;B1208)*(Calc!$G$3:$G$22-B1208)^2)</f>
        <v/>
      </c>
      <c r="K1208">
        <f>SUMPRODUCT(Calc!$K$3:$K$22*(Calc!$G$3:$G$22&gt;A1208)*(Calc!$G$3:$G$22-A1208)*(Calc!$G$3:$G$22&gt;B1208)*(Calc!$G$3:$G$22-B1208))</f>
        <v/>
      </c>
      <c r="L1208">
        <f>SUMPRODUCT(Calc!$K$3:$K$22*(Calc!$G$3:$G$22&gt;A1208)*(Calc!$G$3:$G$22-A1208)*Calc!$G$3:$G$22)</f>
        <v/>
      </c>
      <c r="M1208">
        <f>SUMPRODUCT(Calc!$K$3:$K$22*(Calc!$G$3:$G$22&gt;B1208)*(Calc!$G$3:$G$22-B1208)*Calc!$G$3:$G$22)</f>
        <v/>
      </c>
      <c r="N1208">
        <f>SUMPRODUCT(Calc!$K$3:$K$22*(Calc!$G$3:$G$22&gt;A1208)*(Calc!$G$3:$G$22-A1208)*Calc!$I$3:$I$22)</f>
        <v/>
      </c>
      <c r="O1208">
        <f>SUMPRODUCT(Calc!$K$3:$K$22*(Calc!$G$3:$G$22&gt;B1208)*(Calc!$G$3:$G$22-B1208)*Calc!$I$3:$I$22)</f>
        <v/>
      </c>
      <c r="P1208">
        <f>I1208-G1208^2/k_n</f>
        <v/>
      </c>
      <c r="Q1208">
        <f>J1208-H1208^2/k_n</f>
        <v/>
      </c>
      <c r="R1208">
        <f>K1208-G1208*H1208/k_n</f>
        <v/>
      </c>
      <c r="S1208">
        <f>L1208-LTP3!$D$3*G1208/k_n</f>
        <v/>
      </c>
      <c r="T1208">
        <f>M1208-LTP3!$D$3*H1208/k_n</f>
        <v/>
      </c>
      <c r="U1208">
        <f>N1208-G1208*LTP3!$D$4/k_n</f>
        <v/>
      </c>
      <c r="V1208">
        <f>O1208-H1208*LTP3!$D$4/k_n</f>
        <v/>
      </c>
      <c r="W1208">
        <f>((LTP3!$D$5)*((P1208)*(Q1208)-(R1208)*(R1208))-(S1208)*((S1208)*(Q1208)-(R1208)*(T1208))+(T1208)*((S1208)*(R1208)-(P1208)*(T1208)))</f>
        <v/>
      </c>
      <c r="X1208">
        <f>IF(ABS(W1208)&gt;1E-12,((LTP3!$D$6)*((P1208)*(Q1208)-(R1208)*(R1208))-(S1208)*((U1208)*(Q1208)-(R1208)*(V1208))+(T1208)*((U1208)*(R1208)-(P1208)*(V1208)))/W1208,0)</f>
        <v/>
      </c>
      <c r="Y1208">
        <f>IF(ABS(W1208)&gt;1E-12,((LTP3!$D$5)*((U1208)*(Q1208)-(R1208)*(V1208))-(LTP3!$D$6)*((S1208)*(Q1208)-(R1208)*(T1208))+(T1208)*((S1208)*(V1208)-(U1208)*(T1208)))/W1208,0)</f>
        <v/>
      </c>
      <c r="Z1208">
        <f>IF(ABS(W1208)&gt;1E-12,((LTP3!$D$5)*((P1208)*(V1208)-(U1208)*(R1208))-(S1208)*((S1208)*(V1208)-(U1208)*(T1208))+(LTP3!$D$6)*((S1208)*(R1208)-(P1208)*(T1208)))/W1208,0)</f>
        <v/>
      </c>
      <c r="AA1208">
        <f>LTP3!$D$7-X1208*LTP3!$D$6-Y1208*U1208-Z1208*V1208</f>
        <v/>
      </c>
      <c r="AB1208">
        <f>IF(AND(F1208,ABS(W1208)&gt;1E-12,Y1208&gt;0,Z1208&gt;0),AA1208,1E+300)</f>
        <v/>
      </c>
    </row>
    <row r="1209">
      <c r="A1209">
        <f>$B$3+$B$5*19</f>
        <v/>
      </c>
      <c r="B1209">
        <f>$B$3+$B$5*38</f>
        <v/>
      </c>
      <c r="C1209">
        <f>SUMPRODUCT(Calc!$K$3:$K$22*(Calc!$G$3:$G$22&lt;=A1209))</f>
        <v/>
      </c>
      <c r="D1209">
        <f>SUMPRODUCT(Calc!$K$3:$K$22*(Calc!$G$3:$G$22&gt;A1209)*(Calc!$G$3:$G$22&lt;B1209))</f>
        <v/>
      </c>
      <c r="E1209">
        <f>SUMPRODUCT(Calc!$K$3:$K$22*(Calc!$G$3:$G$22&gt;=B1209))</f>
        <v/>
      </c>
      <c r="F1209">
        <f>AND(k_n&gt;=5,B1209&gt;A1209+1E-9,C1209&gt;=2,D1209&gt;=1,E1209&gt;=2)</f>
        <v/>
      </c>
      <c r="G1209">
        <f>SUMPRODUCT(Calc!$K$3:$K$22*(Calc!$G$3:$G$22&gt;A1209)*(Calc!$G$3:$G$22-A1209))</f>
        <v/>
      </c>
      <c r="H1209">
        <f>SUMPRODUCT(Calc!$K$3:$K$22*(Calc!$G$3:$G$22&gt;B1209)*(Calc!$G$3:$G$22-B1209))</f>
        <v/>
      </c>
      <c r="I1209">
        <f>SUMPRODUCT(Calc!$K$3:$K$22*(Calc!$G$3:$G$22&gt;A1209)*(Calc!$G$3:$G$22-A1209)^2)</f>
        <v/>
      </c>
      <c r="J1209">
        <f>SUMPRODUCT(Calc!$K$3:$K$22*(Calc!$G$3:$G$22&gt;B1209)*(Calc!$G$3:$G$22-B1209)^2)</f>
        <v/>
      </c>
      <c r="K1209">
        <f>SUMPRODUCT(Calc!$K$3:$K$22*(Calc!$G$3:$G$22&gt;A1209)*(Calc!$G$3:$G$22-A1209)*(Calc!$G$3:$G$22&gt;B1209)*(Calc!$G$3:$G$22-B1209))</f>
        <v/>
      </c>
      <c r="L1209">
        <f>SUMPRODUCT(Calc!$K$3:$K$22*(Calc!$G$3:$G$22&gt;A1209)*(Calc!$G$3:$G$22-A1209)*Calc!$G$3:$G$22)</f>
        <v/>
      </c>
      <c r="M1209">
        <f>SUMPRODUCT(Calc!$K$3:$K$22*(Calc!$G$3:$G$22&gt;B1209)*(Calc!$G$3:$G$22-B1209)*Calc!$G$3:$G$22)</f>
        <v/>
      </c>
      <c r="N1209">
        <f>SUMPRODUCT(Calc!$K$3:$K$22*(Calc!$G$3:$G$22&gt;A1209)*(Calc!$G$3:$G$22-A1209)*Calc!$I$3:$I$22)</f>
        <v/>
      </c>
      <c r="O1209">
        <f>SUMPRODUCT(Calc!$K$3:$K$22*(Calc!$G$3:$G$22&gt;B1209)*(Calc!$G$3:$G$22-B1209)*Calc!$I$3:$I$22)</f>
        <v/>
      </c>
      <c r="P1209">
        <f>I1209-G1209^2/k_n</f>
        <v/>
      </c>
      <c r="Q1209">
        <f>J1209-H1209^2/k_n</f>
        <v/>
      </c>
      <c r="R1209">
        <f>K1209-G1209*H1209/k_n</f>
        <v/>
      </c>
      <c r="S1209">
        <f>L1209-LTP3!$D$3*G1209/k_n</f>
        <v/>
      </c>
      <c r="T1209">
        <f>M1209-LTP3!$D$3*H1209/k_n</f>
        <v/>
      </c>
      <c r="U1209">
        <f>N1209-G1209*LTP3!$D$4/k_n</f>
        <v/>
      </c>
      <c r="V1209">
        <f>O1209-H1209*LTP3!$D$4/k_n</f>
        <v/>
      </c>
      <c r="W1209">
        <f>((LTP3!$D$5)*((P1209)*(Q1209)-(R1209)*(R1209))-(S1209)*((S1209)*(Q1209)-(R1209)*(T1209))+(T1209)*((S1209)*(R1209)-(P1209)*(T1209)))</f>
        <v/>
      </c>
      <c r="X1209">
        <f>IF(ABS(W1209)&gt;1E-12,((LTP3!$D$6)*((P1209)*(Q1209)-(R1209)*(R1209))-(S1209)*((U1209)*(Q1209)-(R1209)*(V1209))+(T1209)*((U1209)*(R1209)-(P1209)*(V1209)))/W1209,0)</f>
        <v/>
      </c>
      <c r="Y1209">
        <f>IF(ABS(W1209)&gt;1E-12,((LTP3!$D$5)*((U1209)*(Q1209)-(R1209)*(V1209))-(LTP3!$D$6)*((S1209)*(Q1209)-(R1209)*(T1209))+(T1209)*((S1209)*(V1209)-(U1209)*(T1209)))/W1209,0)</f>
        <v/>
      </c>
      <c r="Z1209">
        <f>IF(ABS(W1209)&gt;1E-12,((LTP3!$D$5)*((P1209)*(V1209)-(U1209)*(R1209))-(S1209)*((S1209)*(V1209)-(U1209)*(T1209))+(LTP3!$D$6)*((S1209)*(R1209)-(P1209)*(T1209)))/W1209,0)</f>
        <v/>
      </c>
      <c r="AA1209">
        <f>LTP3!$D$7-X1209*LTP3!$D$6-Y1209*U1209-Z1209*V1209</f>
        <v/>
      </c>
      <c r="AB1209">
        <f>IF(AND(F1209,ABS(W1209)&gt;1E-12,Y1209&gt;0,Z1209&gt;0),AA1209,1E+300)</f>
        <v/>
      </c>
    </row>
    <row r="1210">
      <c r="A1210">
        <f>$B$3+$B$5*19</f>
        <v/>
      </c>
      <c r="B1210">
        <f>$B$3+$B$5*39</f>
        <v/>
      </c>
      <c r="C1210">
        <f>SUMPRODUCT(Calc!$K$3:$K$22*(Calc!$G$3:$G$22&lt;=A1210))</f>
        <v/>
      </c>
      <c r="D1210">
        <f>SUMPRODUCT(Calc!$K$3:$K$22*(Calc!$G$3:$G$22&gt;A1210)*(Calc!$G$3:$G$22&lt;B1210))</f>
        <v/>
      </c>
      <c r="E1210">
        <f>SUMPRODUCT(Calc!$K$3:$K$22*(Calc!$G$3:$G$22&gt;=B1210))</f>
        <v/>
      </c>
      <c r="F1210">
        <f>AND(k_n&gt;=5,B1210&gt;A1210+1E-9,C1210&gt;=2,D1210&gt;=1,E1210&gt;=2)</f>
        <v/>
      </c>
      <c r="G1210">
        <f>SUMPRODUCT(Calc!$K$3:$K$22*(Calc!$G$3:$G$22&gt;A1210)*(Calc!$G$3:$G$22-A1210))</f>
        <v/>
      </c>
      <c r="H1210">
        <f>SUMPRODUCT(Calc!$K$3:$K$22*(Calc!$G$3:$G$22&gt;B1210)*(Calc!$G$3:$G$22-B1210))</f>
        <v/>
      </c>
      <c r="I1210">
        <f>SUMPRODUCT(Calc!$K$3:$K$22*(Calc!$G$3:$G$22&gt;A1210)*(Calc!$G$3:$G$22-A1210)^2)</f>
        <v/>
      </c>
      <c r="J1210">
        <f>SUMPRODUCT(Calc!$K$3:$K$22*(Calc!$G$3:$G$22&gt;B1210)*(Calc!$G$3:$G$22-B1210)^2)</f>
        <v/>
      </c>
      <c r="K1210">
        <f>SUMPRODUCT(Calc!$K$3:$K$22*(Calc!$G$3:$G$22&gt;A1210)*(Calc!$G$3:$G$22-A1210)*(Calc!$G$3:$G$22&gt;B1210)*(Calc!$G$3:$G$22-B1210))</f>
        <v/>
      </c>
      <c r="L1210">
        <f>SUMPRODUCT(Calc!$K$3:$K$22*(Calc!$G$3:$G$22&gt;A1210)*(Calc!$G$3:$G$22-A1210)*Calc!$G$3:$G$22)</f>
        <v/>
      </c>
      <c r="M1210">
        <f>SUMPRODUCT(Calc!$K$3:$K$22*(Calc!$G$3:$G$22&gt;B1210)*(Calc!$G$3:$G$22-B1210)*Calc!$G$3:$G$22)</f>
        <v/>
      </c>
      <c r="N1210">
        <f>SUMPRODUCT(Calc!$K$3:$K$22*(Calc!$G$3:$G$22&gt;A1210)*(Calc!$G$3:$G$22-A1210)*Calc!$I$3:$I$22)</f>
        <v/>
      </c>
      <c r="O1210">
        <f>SUMPRODUCT(Calc!$K$3:$K$22*(Calc!$G$3:$G$22&gt;B1210)*(Calc!$G$3:$G$22-B1210)*Calc!$I$3:$I$22)</f>
        <v/>
      </c>
      <c r="P1210">
        <f>I1210-G1210^2/k_n</f>
        <v/>
      </c>
      <c r="Q1210">
        <f>J1210-H1210^2/k_n</f>
        <v/>
      </c>
      <c r="R1210">
        <f>K1210-G1210*H1210/k_n</f>
        <v/>
      </c>
      <c r="S1210">
        <f>L1210-LTP3!$D$3*G1210/k_n</f>
        <v/>
      </c>
      <c r="T1210">
        <f>M1210-LTP3!$D$3*H1210/k_n</f>
        <v/>
      </c>
      <c r="U1210">
        <f>N1210-G1210*LTP3!$D$4/k_n</f>
        <v/>
      </c>
      <c r="V1210">
        <f>O1210-H1210*LTP3!$D$4/k_n</f>
        <v/>
      </c>
      <c r="W1210">
        <f>((LTP3!$D$5)*((P1210)*(Q1210)-(R1210)*(R1210))-(S1210)*((S1210)*(Q1210)-(R1210)*(T1210))+(T1210)*((S1210)*(R1210)-(P1210)*(T1210)))</f>
        <v/>
      </c>
      <c r="X1210">
        <f>IF(ABS(W1210)&gt;1E-12,((LTP3!$D$6)*((P1210)*(Q1210)-(R1210)*(R1210))-(S1210)*((U1210)*(Q1210)-(R1210)*(V1210))+(T1210)*((U1210)*(R1210)-(P1210)*(V1210)))/W1210,0)</f>
        <v/>
      </c>
      <c r="Y1210">
        <f>IF(ABS(W1210)&gt;1E-12,((LTP3!$D$5)*((U1210)*(Q1210)-(R1210)*(V1210))-(LTP3!$D$6)*((S1210)*(Q1210)-(R1210)*(T1210))+(T1210)*((S1210)*(V1210)-(U1210)*(T1210)))/W1210,0)</f>
        <v/>
      </c>
      <c r="Z1210">
        <f>IF(ABS(W1210)&gt;1E-12,((LTP3!$D$5)*((P1210)*(V1210)-(U1210)*(R1210))-(S1210)*((S1210)*(V1210)-(U1210)*(T1210))+(LTP3!$D$6)*((S1210)*(R1210)-(P1210)*(T1210)))/W1210,0)</f>
        <v/>
      </c>
      <c r="AA1210">
        <f>LTP3!$D$7-X1210*LTP3!$D$6-Y1210*U1210-Z1210*V1210</f>
        <v/>
      </c>
      <c r="AB1210">
        <f>IF(AND(F1210,ABS(W1210)&gt;1E-12,Y1210&gt;0,Z1210&gt;0),AA1210,1E+300)</f>
        <v/>
      </c>
    </row>
    <row r="1211">
      <c r="A1211">
        <f>$B$3+$B$5*19</f>
        <v/>
      </c>
      <c r="B1211">
        <f>$B$3+$B$5*40</f>
        <v/>
      </c>
      <c r="C1211">
        <f>SUMPRODUCT(Calc!$K$3:$K$22*(Calc!$G$3:$G$22&lt;=A1211))</f>
        <v/>
      </c>
      <c r="D1211">
        <f>SUMPRODUCT(Calc!$K$3:$K$22*(Calc!$G$3:$G$22&gt;A1211)*(Calc!$G$3:$G$22&lt;B1211))</f>
        <v/>
      </c>
      <c r="E1211">
        <f>SUMPRODUCT(Calc!$K$3:$K$22*(Calc!$G$3:$G$22&gt;=B1211))</f>
        <v/>
      </c>
      <c r="F1211">
        <f>AND(k_n&gt;=5,B1211&gt;A1211+1E-9,C1211&gt;=2,D1211&gt;=1,E1211&gt;=2)</f>
        <v/>
      </c>
      <c r="G1211">
        <f>SUMPRODUCT(Calc!$K$3:$K$22*(Calc!$G$3:$G$22&gt;A1211)*(Calc!$G$3:$G$22-A1211))</f>
        <v/>
      </c>
      <c r="H1211">
        <f>SUMPRODUCT(Calc!$K$3:$K$22*(Calc!$G$3:$G$22&gt;B1211)*(Calc!$G$3:$G$22-B1211))</f>
        <v/>
      </c>
      <c r="I1211">
        <f>SUMPRODUCT(Calc!$K$3:$K$22*(Calc!$G$3:$G$22&gt;A1211)*(Calc!$G$3:$G$22-A1211)^2)</f>
        <v/>
      </c>
      <c r="J1211">
        <f>SUMPRODUCT(Calc!$K$3:$K$22*(Calc!$G$3:$G$22&gt;B1211)*(Calc!$G$3:$G$22-B1211)^2)</f>
        <v/>
      </c>
      <c r="K1211">
        <f>SUMPRODUCT(Calc!$K$3:$K$22*(Calc!$G$3:$G$22&gt;A1211)*(Calc!$G$3:$G$22-A1211)*(Calc!$G$3:$G$22&gt;B1211)*(Calc!$G$3:$G$22-B1211))</f>
        <v/>
      </c>
      <c r="L1211">
        <f>SUMPRODUCT(Calc!$K$3:$K$22*(Calc!$G$3:$G$22&gt;A1211)*(Calc!$G$3:$G$22-A1211)*Calc!$G$3:$G$22)</f>
        <v/>
      </c>
      <c r="M1211">
        <f>SUMPRODUCT(Calc!$K$3:$K$22*(Calc!$G$3:$G$22&gt;B1211)*(Calc!$G$3:$G$22-B1211)*Calc!$G$3:$G$22)</f>
        <v/>
      </c>
      <c r="N1211">
        <f>SUMPRODUCT(Calc!$K$3:$K$22*(Calc!$G$3:$G$22&gt;A1211)*(Calc!$G$3:$G$22-A1211)*Calc!$I$3:$I$22)</f>
        <v/>
      </c>
      <c r="O1211">
        <f>SUMPRODUCT(Calc!$K$3:$K$22*(Calc!$G$3:$G$22&gt;B1211)*(Calc!$G$3:$G$22-B1211)*Calc!$I$3:$I$22)</f>
        <v/>
      </c>
      <c r="P1211">
        <f>I1211-G1211^2/k_n</f>
        <v/>
      </c>
      <c r="Q1211">
        <f>J1211-H1211^2/k_n</f>
        <v/>
      </c>
      <c r="R1211">
        <f>K1211-G1211*H1211/k_n</f>
        <v/>
      </c>
      <c r="S1211">
        <f>L1211-LTP3!$D$3*G1211/k_n</f>
        <v/>
      </c>
      <c r="T1211">
        <f>M1211-LTP3!$D$3*H1211/k_n</f>
        <v/>
      </c>
      <c r="U1211">
        <f>N1211-G1211*LTP3!$D$4/k_n</f>
        <v/>
      </c>
      <c r="V1211">
        <f>O1211-H1211*LTP3!$D$4/k_n</f>
        <v/>
      </c>
      <c r="W1211">
        <f>((LTP3!$D$5)*((P1211)*(Q1211)-(R1211)*(R1211))-(S1211)*((S1211)*(Q1211)-(R1211)*(T1211))+(T1211)*((S1211)*(R1211)-(P1211)*(T1211)))</f>
        <v/>
      </c>
      <c r="X1211">
        <f>IF(ABS(W1211)&gt;1E-12,((LTP3!$D$6)*((P1211)*(Q1211)-(R1211)*(R1211))-(S1211)*((U1211)*(Q1211)-(R1211)*(V1211))+(T1211)*((U1211)*(R1211)-(P1211)*(V1211)))/W1211,0)</f>
        <v/>
      </c>
      <c r="Y1211">
        <f>IF(ABS(W1211)&gt;1E-12,((LTP3!$D$5)*((U1211)*(Q1211)-(R1211)*(V1211))-(LTP3!$D$6)*((S1211)*(Q1211)-(R1211)*(T1211))+(T1211)*((S1211)*(V1211)-(U1211)*(T1211)))/W1211,0)</f>
        <v/>
      </c>
      <c r="Z1211">
        <f>IF(ABS(W1211)&gt;1E-12,((LTP3!$D$5)*((P1211)*(V1211)-(U1211)*(R1211))-(S1211)*((S1211)*(V1211)-(U1211)*(T1211))+(LTP3!$D$6)*((S1211)*(R1211)-(P1211)*(T1211)))/W1211,0)</f>
        <v/>
      </c>
      <c r="AA1211">
        <f>LTP3!$D$7-X1211*LTP3!$D$6-Y1211*U1211-Z1211*V1211</f>
        <v/>
      </c>
      <c r="AB1211">
        <f>IF(AND(F1211,ABS(W1211)&gt;1E-12,Y1211&gt;0,Z1211&gt;0),AA1211,1E+300)</f>
        <v/>
      </c>
    </row>
    <row r="1212">
      <c r="A1212">
        <f>$B$3+$B$5*19</f>
        <v/>
      </c>
      <c r="B1212">
        <f>$B$3+$B$5*41</f>
        <v/>
      </c>
      <c r="C1212">
        <f>SUMPRODUCT(Calc!$K$3:$K$22*(Calc!$G$3:$G$22&lt;=A1212))</f>
        <v/>
      </c>
      <c r="D1212">
        <f>SUMPRODUCT(Calc!$K$3:$K$22*(Calc!$G$3:$G$22&gt;A1212)*(Calc!$G$3:$G$22&lt;B1212))</f>
        <v/>
      </c>
      <c r="E1212">
        <f>SUMPRODUCT(Calc!$K$3:$K$22*(Calc!$G$3:$G$22&gt;=B1212))</f>
        <v/>
      </c>
      <c r="F1212">
        <f>AND(k_n&gt;=5,B1212&gt;A1212+1E-9,C1212&gt;=2,D1212&gt;=1,E1212&gt;=2)</f>
        <v/>
      </c>
      <c r="G1212">
        <f>SUMPRODUCT(Calc!$K$3:$K$22*(Calc!$G$3:$G$22&gt;A1212)*(Calc!$G$3:$G$22-A1212))</f>
        <v/>
      </c>
      <c r="H1212">
        <f>SUMPRODUCT(Calc!$K$3:$K$22*(Calc!$G$3:$G$22&gt;B1212)*(Calc!$G$3:$G$22-B1212))</f>
        <v/>
      </c>
      <c r="I1212">
        <f>SUMPRODUCT(Calc!$K$3:$K$22*(Calc!$G$3:$G$22&gt;A1212)*(Calc!$G$3:$G$22-A1212)^2)</f>
        <v/>
      </c>
      <c r="J1212">
        <f>SUMPRODUCT(Calc!$K$3:$K$22*(Calc!$G$3:$G$22&gt;B1212)*(Calc!$G$3:$G$22-B1212)^2)</f>
        <v/>
      </c>
      <c r="K1212">
        <f>SUMPRODUCT(Calc!$K$3:$K$22*(Calc!$G$3:$G$22&gt;A1212)*(Calc!$G$3:$G$22-A1212)*(Calc!$G$3:$G$22&gt;B1212)*(Calc!$G$3:$G$22-B1212))</f>
        <v/>
      </c>
      <c r="L1212">
        <f>SUMPRODUCT(Calc!$K$3:$K$22*(Calc!$G$3:$G$22&gt;A1212)*(Calc!$G$3:$G$22-A1212)*Calc!$G$3:$G$22)</f>
        <v/>
      </c>
      <c r="M1212">
        <f>SUMPRODUCT(Calc!$K$3:$K$22*(Calc!$G$3:$G$22&gt;B1212)*(Calc!$G$3:$G$22-B1212)*Calc!$G$3:$G$22)</f>
        <v/>
      </c>
      <c r="N1212">
        <f>SUMPRODUCT(Calc!$K$3:$K$22*(Calc!$G$3:$G$22&gt;A1212)*(Calc!$G$3:$G$22-A1212)*Calc!$I$3:$I$22)</f>
        <v/>
      </c>
      <c r="O1212">
        <f>SUMPRODUCT(Calc!$K$3:$K$22*(Calc!$G$3:$G$22&gt;B1212)*(Calc!$G$3:$G$22-B1212)*Calc!$I$3:$I$22)</f>
        <v/>
      </c>
      <c r="P1212">
        <f>I1212-G1212^2/k_n</f>
        <v/>
      </c>
      <c r="Q1212">
        <f>J1212-H1212^2/k_n</f>
        <v/>
      </c>
      <c r="R1212">
        <f>K1212-G1212*H1212/k_n</f>
        <v/>
      </c>
      <c r="S1212">
        <f>L1212-LTP3!$D$3*G1212/k_n</f>
        <v/>
      </c>
      <c r="T1212">
        <f>M1212-LTP3!$D$3*H1212/k_n</f>
        <v/>
      </c>
      <c r="U1212">
        <f>N1212-G1212*LTP3!$D$4/k_n</f>
        <v/>
      </c>
      <c r="V1212">
        <f>O1212-H1212*LTP3!$D$4/k_n</f>
        <v/>
      </c>
      <c r="W1212">
        <f>((LTP3!$D$5)*((P1212)*(Q1212)-(R1212)*(R1212))-(S1212)*((S1212)*(Q1212)-(R1212)*(T1212))+(T1212)*((S1212)*(R1212)-(P1212)*(T1212)))</f>
        <v/>
      </c>
      <c r="X1212">
        <f>IF(ABS(W1212)&gt;1E-12,((LTP3!$D$6)*((P1212)*(Q1212)-(R1212)*(R1212))-(S1212)*((U1212)*(Q1212)-(R1212)*(V1212))+(T1212)*((U1212)*(R1212)-(P1212)*(V1212)))/W1212,0)</f>
        <v/>
      </c>
      <c r="Y1212">
        <f>IF(ABS(W1212)&gt;1E-12,((LTP3!$D$5)*((U1212)*(Q1212)-(R1212)*(V1212))-(LTP3!$D$6)*((S1212)*(Q1212)-(R1212)*(T1212))+(T1212)*((S1212)*(V1212)-(U1212)*(T1212)))/W1212,0)</f>
        <v/>
      </c>
      <c r="Z1212">
        <f>IF(ABS(W1212)&gt;1E-12,((LTP3!$D$5)*((P1212)*(V1212)-(U1212)*(R1212))-(S1212)*((S1212)*(V1212)-(U1212)*(T1212))+(LTP3!$D$6)*((S1212)*(R1212)-(P1212)*(T1212)))/W1212,0)</f>
        <v/>
      </c>
      <c r="AA1212">
        <f>LTP3!$D$7-X1212*LTP3!$D$6-Y1212*U1212-Z1212*V1212</f>
        <v/>
      </c>
      <c r="AB1212">
        <f>IF(AND(F1212,ABS(W1212)&gt;1E-12,Y1212&gt;0,Z1212&gt;0),AA1212,1E+300)</f>
        <v/>
      </c>
    </row>
    <row r="1213">
      <c r="A1213">
        <f>$B$3+$B$5*19</f>
        <v/>
      </c>
      <c r="B1213">
        <f>$B$3+$B$5*42</f>
        <v/>
      </c>
      <c r="C1213">
        <f>SUMPRODUCT(Calc!$K$3:$K$22*(Calc!$G$3:$G$22&lt;=A1213))</f>
        <v/>
      </c>
      <c r="D1213">
        <f>SUMPRODUCT(Calc!$K$3:$K$22*(Calc!$G$3:$G$22&gt;A1213)*(Calc!$G$3:$G$22&lt;B1213))</f>
        <v/>
      </c>
      <c r="E1213">
        <f>SUMPRODUCT(Calc!$K$3:$K$22*(Calc!$G$3:$G$22&gt;=B1213))</f>
        <v/>
      </c>
      <c r="F1213">
        <f>AND(k_n&gt;=5,B1213&gt;A1213+1E-9,C1213&gt;=2,D1213&gt;=1,E1213&gt;=2)</f>
        <v/>
      </c>
      <c r="G1213">
        <f>SUMPRODUCT(Calc!$K$3:$K$22*(Calc!$G$3:$G$22&gt;A1213)*(Calc!$G$3:$G$22-A1213))</f>
        <v/>
      </c>
      <c r="H1213">
        <f>SUMPRODUCT(Calc!$K$3:$K$22*(Calc!$G$3:$G$22&gt;B1213)*(Calc!$G$3:$G$22-B1213))</f>
        <v/>
      </c>
      <c r="I1213">
        <f>SUMPRODUCT(Calc!$K$3:$K$22*(Calc!$G$3:$G$22&gt;A1213)*(Calc!$G$3:$G$22-A1213)^2)</f>
        <v/>
      </c>
      <c r="J1213">
        <f>SUMPRODUCT(Calc!$K$3:$K$22*(Calc!$G$3:$G$22&gt;B1213)*(Calc!$G$3:$G$22-B1213)^2)</f>
        <v/>
      </c>
      <c r="K1213">
        <f>SUMPRODUCT(Calc!$K$3:$K$22*(Calc!$G$3:$G$22&gt;A1213)*(Calc!$G$3:$G$22-A1213)*(Calc!$G$3:$G$22&gt;B1213)*(Calc!$G$3:$G$22-B1213))</f>
        <v/>
      </c>
      <c r="L1213">
        <f>SUMPRODUCT(Calc!$K$3:$K$22*(Calc!$G$3:$G$22&gt;A1213)*(Calc!$G$3:$G$22-A1213)*Calc!$G$3:$G$22)</f>
        <v/>
      </c>
      <c r="M1213">
        <f>SUMPRODUCT(Calc!$K$3:$K$22*(Calc!$G$3:$G$22&gt;B1213)*(Calc!$G$3:$G$22-B1213)*Calc!$G$3:$G$22)</f>
        <v/>
      </c>
      <c r="N1213">
        <f>SUMPRODUCT(Calc!$K$3:$K$22*(Calc!$G$3:$G$22&gt;A1213)*(Calc!$G$3:$G$22-A1213)*Calc!$I$3:$I$22)</f>
        <v/>
      </c>
      <c r="O1213">
        <f>SUMPRODUCT(Calc!$K$3:$K$22*(Calc!$G$3:$G$22&gt;B1213)*(Calc!$G$3:$G$22-B1213)*Calc!$I$3:$I$22)</f>
        <v/>
      </c>
      <c r="P1213">
        <f>I1213-G1213^2/k_n</f>
        <v/>
      </c>
      <c r="Q1213">
        <f>J1213-H1213^2/k_n</f>
        <v/>
      </c>
      <c r="R1213">
        <f>K1213-G1213*H1213/k_n</f>
        <v/>
      </c>
      <c r="S1213">
        <f>L1213-LTP3!$D$3*G1213/k_n</f>
        <v/>
      </c>
      <c r="T1213">
        <f>M1213-LTP3!$D$3*H1213/k_n</f>
        <v/>
      </c>
      <c r="U1213">
        <f>N1213-G1213*LTP3!$D$4/k_n</f>
        <v/>
      </c>
      <c r="V1213">
        <f>O1213-H1213*LTP3!$D$4/k_n</f>
        <v/>
      </c>
      <c r="W1213">
        <f>((LTP3!$D$5)*((P1213)*(Q1213)-(R1213)*(R1213))-(S1213)*((S1213)*(Q1213)-(R1213)*(T1213))+(T1213)*((S1213)*(R1213)-(P1213)*(T1213)))</f>
        <v/>
      </c>
      <c r="X1213">
        <f>IF(ABS(W1213)&gt;1E-12,((LTP3!$D$6)*((P1213)*(Q1213)-(R1213)*(R1213))-(S1213)*((U1213)*(Q1213)-(R1213)*(V1213))+(T1213)*((U1213)*(R1213)-(P1213)*(V1213)))/W1213,0)</f>
        <v/>
      </c>
      <c r="Y1213">
        <f>IF(ABS(W1213)&gt;1E-12,((LTP3!$D$5)*((U1213)*(Q1213)-(R1213)*(V1213))-(LTP3!$D$6)*((S1213)*(Q1213)-(R1213)*(T1213))+(T1213)*((S1213)*(V1213)-(U1213)*(T1213)))/W1213,0)</f>
        <v/>
      </c>
      <c r="Z1213">
        <f>IF(ABS(W1213)&gt;1E-12,((LTP3!$D$5)*((P1213)*(V1213)-(U1213)*(R1213))-(S1213)*((S1213)*(V1213)-(U1213)*(T1213))+(LTP3!$D$6)*((S1213)*(R1213)-(P1213)*(T1213)))/W1213,0)</f>
        <v/>
      </c>
      <c r="AA1213">
        <f>LTP3!$D$7-X1213*LTP3!$D$6-Y1213*U1213-Z1213*V1213</f>
        <v/>
      </c>
      <c r="AB1213">
        <f>IF(AND(F1213,ABS(W1213)&gt;1E-12,Y1213&gt;0,Z1213&gt;0),AA1213,1E+300)</f>
        <v/>
      </c>
    </row>
    <row r="1214">
      <c r="A1214">
        <f>$B$3+$B$5*19</f>
        <v/>
      </c>
      <c r="B1214">
        <f>$B$3+$B$5*43</f>
        <v/>
      </c>
      <c r="C1214">
        <f>SUMPRODUCT(Calc!$K$3:$K$22*(Calc!$G$3:$G$22&lt;=A1214))</f>
        <v/>
      </c>
      <c r="D1214">
        <f>SUMPRODUCT(Calc!$K$3:$K$22*(Calc!$G$3:$G$22&gt;A1214)*(Calc!$G$3:$G$22&lt;B1214))</f>
        <v/>
      </c>
      <c r="E1214">
        <f>SUMPRODUCT(Calc!$K$3:$K$22*(Calc!$G$3:$G$22&gt;=B1214))</f>
        <v/>
      </c>
      <c r="F1214">
        <f>AND(k_n&gt;=5,B1214&gt;A1214+1E-9,C1214&gt;=2,D1214&gt;=1,E1214&gt;=2)</f>
        <v/>
      </c>
      <c r="G1214">
        <f>SUMPRODUCT(Calc!$K$3:$K$22*(Calc!$G$3:$G$22&gt;A1214)*(Calc!$G$3:$G$22-A1214))</f>
        <v/>
      </c>
      <c r="H1214">
        <f>SUMPRODUCT(Calc!$K$3:$K$22*(Calc!$G$3:$G$22&gt;B1214)*(Calc!$G$3:$G$22-B1214))</f>
        <v/>
      </c>
      <c r="I1214">
        <f>SUMPRODUCT(Calc!$K$3:$K$22*(Calc!$G$3:$G$22&gt;A1214)*(Calc!$G$3:$G$22-A1214)^2)</f>
        <v/>
      </c>
      <c r="J1214">
        <f>SUMPRODUCT(Calc!$K$3:$K$22*(Calc!$G$3:$G$22&gt;B1214)*(Calc!$G$3:$G$22-B1214)^2)</f>
        <v/>
      </c>
      <c r="K1214">
        <f>SUMPRODUCT(Calc!$K$3:$K$22*(Calc!$G$3:$G$22&gt;A1214)*(Calc!$G$3:$G$22-A1214)*(Calc!$G$3:$G$22&gt;B1214)*(Calc!$G$3:$G$22-B1214))</f>
        <v/>
      </c>
      <c r="L1214">
        <f>SUMPRODUCT(Calc!$K$3:$K$22*(Calc!$G$3:$G$22&gt;A1214)*(Calc!$G$3:$G$22-A1214)*Calc!$G$3:$G$22)</f>
        <v/>
      </c>
      <c r="M1214">
        <f>SUMPRODUCT(Calc!$K$3:$K$22*(Calc!$G$3:$G$22&gt;B1214)*(Calc!$G$3:$G$22-B1214)*Calc!$G$3:$G$22)</f>
        <v/>
      </c>
      <c r="N1214">
        <f>SUMPRODUCT(Calc!$K$3:$K$22*(Calc!$G$3:$G$22&gt;A1214)*(Calc!$G$3:$G$22-A1214)*Calc!$I$3:$I$22)</f>
        <v/>
      </c>
      <c r="O1214">
        <f>SUMPRODUCT(Calc!$K$3:$K$22*(Calc!$G$3:$G$22&gt;B1214)*(Calc!$G$3:$G$22-B1214)*Calc!$I$3:$I$22)</f>
        <v/>
      </c>
      <c r="P1214">
        <f>I1214-G1214^2/k_n</f>
        <v/>
      </c>
      <c r="Q1214">
        <f>J1214-H1214^2/k_n</f>
        <v/>
      </c>
      <c r="R1214">
        <f>K1214-G1214*H1214/k_n</f>
        <v/>
      </c>
      <c r="S1214">
        <f>L1214-LTP3!$D$3*G1214/k_n</f>
        <v/>
      </c>
      <c r="T1214">
        <f>M1214-LTP3!$D$3*H1214/k_n</f>
        <v/>
      </c>
      <c r="U1214">
        <f>N1214-G1214*LTP3!$D$4/k_n</f>
        <v/>
      </c>
      <c r="V1214">
        <f>O1214-H1214*LTP3!$D$4/k_n</f>
        <v/>
      </c>
      <c r="W1214">
        <f>((LTP3!$D$5)*((P1214)*(Q1214)-(R1214)*(R1214))-(S1214)*((S1214)*(Q1214)-(R1214)*(T1214))+(T1214)*((S1214)*(R1214)-(P1214)*(T1214)))</f>
        <v/>
      </c>
      <c r="X1214">
        <f>IF(ABS(W1214)&gt;1E-12,((LTP3!$D$6)*((P1214)*(Q1214)-(R1214)*(R1214))-(S1214)*((U1214)*(Q1214)-(R1214)*(V1214))+(T1214)*((U1214)*(R1214)-(P1214)*(V1214)))/W1214,0)</f>
        <v/>
      </c>
      <c r="Y1214">
        <f>IF(ABS(W1214)&gt;1E-12,((LTP3!$D$5)*((U1214)*(Q1214)-(R1214)*(V1214))-(LTP3!$D$6)*((S1214)*(Q1214)-(R1214)*(T1214))+(T1214)*((S1214)*(V1214)-(U1214)*(T1214)))/W1214,0)</f>
        <v/>
      </c>
      <c r="Z1214">
        <f>IF(ABS(W1214)&gt;1E-12,((LTP3!$D$5)*((P1214)*(V1214)-(U1214)*(R1214))-(S1214)*((S1214)*(V1214)-(U1214)*(T1214))+(LTP3!$D$6)*((S1214)*(R1214)-(P1214)*(T1214)))/W1214,0)</f>
        <v/>
      </c>
      <c r="AA1214">
        <f>LTP3!$D$7-X1214*LTP3!$D$6-Y1214*U1214-Z1214*V1214</f>
        <v/>
      </c>
      <c r="AB1214">
        <f>IF(AND(F1214,ABS(W1214)&gt;1E-12,Y1214&gt;0,Z1214&gt;0),AA1214,1E+300)</f>
        <v/>
      </c>
    </row>
    <row r="1215">
      <c r="A1215">
        <f>$B$3+$B$5*19</f>
        <v/>
      </c>
      <c r="B1215">
        <f>$B$3+$B$5*44</f>
        <v/>
      </c>
      <c r="C1215">
        <f>SUMPRODUCT(Calc!$K$3:$K$22*(Calc!$G$3:$G$22&lt;=A1215))</f>
        <v/>
      </c>
      <c r="D1215">
        <f>SUMPRODUCT(Calc!$K$3:$K$22*(Calc!$G$3:$G$22&gt;A1215)*(Calc!$G$3:$G$22&lt;B1215))</f>
        <v/>
      </c>
      <c r="E1215">
        <f>SUMPRODUCT(Calc!$K$3:$K$22*(Calc!$G$3:$G$22&gt;=B1215))</f>
        <v/>
      </c>
      <c r="F1215">
        <f>AND(k_n&gt;=5,B1215&gt;A1215+1E-9,C1215&gt;=2,D1215&gt;=1,E1215&gt;=2)</f>
        <v/>
      </c>
      <c r="G1215">
        <f>SUMPRODUCT(Calc!$K$3:$K$22*(Calc!$G$3:$G$22&gt;A1215)*(Calc!$G$3:$G$22-A1215))</f>
        <v/>
      </c>
      <c r="H1215">
        <f>SUMPRODUCT(Calc!$K$3:$K$22*(Calc!$G$3:$G$22&gt;B1215)*(Calc!$G$3:$G$22-B1215))</f>
        <v/>
      </c>
      <c r="I1215">
        <f>SUMPRODUCT(Calc!$K$3:$K$22*(Calc!$G$3:$G$22&gt;A1215)*(Calc!$G$3:$G$22-A1215)^2)</f>
        <v/>
      </c>
      <c r="J1215">
        <f>SUMPRODUCT(Calc!$K$3:$K$22*(Calc!$G$3:$G$22&gt;B1215)*(Calc!$G$3:$G$22-B1215)^2)</f>
        <v/>
      </c>
      <c r="K1215">
        <f>SUMPRODUCT(Calc!$K$3:$K$22*(Calc!$G$3:$G$22&gt;A1215)*(Calc!$G$3:$G$22-A1215)*(Calc!$G$3:$G$22&gt;B1215)*(Calc!$G$3:$G$22-B1215))</f>
        <v/>
      </c>
      <c r="L1215">
        <f>SUMPRODUCT(Calc!$K$3:$K$22*(Calc!$G$3:$G$22&gt;A1215)*(Calc!$G$3:$G$22-A1215)*Calc!$G$3:$G$22)</f>
        <v/>
      </c>
      <c r="M1215">
        <f>SUMPRODUCT(Calc!$K$3:$K$22*(Calc!$G$3:$G$22&gt;B1215)*(Calc!$G$3:$G$22-B1215)*Calc!$G$3:$G$22)</f>
        <v/>
      </c>
      <c r="N1215">
        <f>SUMPRODUCT(Calc!$K$3:$K$22*(Calc!$G$3:$G$22&gt;A1215)*(Calc!$G$3:$G$22-A1215)*Calc!$I$3:$I$22)</f>
        <v/>
      </c>
      <c r="O1215">
        <f>SUMPRODUCT(Calc!$K$3:$K$22*(Calc!$G$3:$G$22&gt;B1215)*(Calc!$G$3:$G$22-B1215)*Calc!$I$3:$I$22)</f>
        <v/>
      </c>
      <c r="P1215">
        <f>I1215-G1215^2/k_n</f>
        <v/>
      </c>
      <c r="Q1215">
        <f>J1215-H1215^2/k_n</f>
        <v/>
      </c>
      <c r="R1215">
        <f>K1215-G1215*H1215/k_n</f>
        <v/>
      </c>
      <c r="S1215">
        <f>L1215-LTP3!$D$3*G1215/k_n</f>
        <v/>
      </c>
      <c r="T1215">
        <f>M1215-LTP3!$D$3*H1215/k_n</f>
        <v/>
      </c>
      <c r="U1215">
        <f>N1215-G1215*LTP3!$D$4/k_n</f>
        <v/>
      </c>
      <c r="V1215">
        <f>O1215-H1215*LTP3!$D$4/k_n</f>
        <v/>
      </c>
      <c r="W1215">
        <f>((LTP3!$D$5)*((P1215)*(Q1215)-(R1215)*(R1215))-(S1215)*((S1215)*(Q1215)-(R1215)*(T1215))+(T1215)*((S1215)*(R1215)-(P1215)*(T1215)))</f>
        <v/>
      </c>
      <c r="X1215">
        <f>IF(ABS(W1215)&gt;1E-12,((LTP3!$D$6)*((P1215)*(Q1215)-(R1215)*(R1215))-(S1215)*((U1215)*(Q1215)-(R1215)*(V1215))+(T1215)*((U1215)*(R1215)-(P1215)*(V1215)))/W1215,0)</f>
        <v/>
      </c>
      <c r="Y1215">
        <f>IF(ABS(W1215)&gt;1E-12,((LTP3!$D$5)*((U1215)*(Q1215)-(R1215)*(V1215))-(LTP3!$D$6)*((S1215)*(Q1215)-(R1215)*(T1215))+(T1215)*((S1215)*(V1215)-(U1215)*(T1215)))/W1215,0)</f>
        <v/>
      </c>
      <c r="Z1215">
        <f>IF(ABS(W1215)&gt;1E-12,((LTP3!$D$5)*((P1215)*(V1215)-(U1215)*(R1215))-(S1215)*((S1215)*(V1215)-(U1215)*(T1215))+(LTP3!$D$6)*((S1215)*(R1215)-(P1215)*(T1215)))/W1215,0)</f>
        <v/>
      </c>
      <c r="AA1215">
        <f>LTP3!$D$7-X1215*LTP3!$D$6-Y1215*U1215-Z1215*V1215</f>
        <v/>
      </c>
      <c r="AB1215">
        <f>IF(AND(F1215,ABS(W1215)&gt;1E-12,Y1215&gt;0,Z1215&gt;0),AA1215,1E+300)</f>
        <v/>
      </c>
    </row>
    <row r="1216">
      <c r="A1216">
        <f>$B$3+$B$5*19</f>
        <v/>
      </c>
      <c r="B1216">
        <f>$B$3+$B$5*45</f>
        <v/>
      </c>
      <c r="C1216">
        <f>SUMPRODUCT(Calc!$K$3:$K$22*(Calc!$G$3:$G$22&lt;=A1216))</f>
        <v/>
      </c>
      <c r="D1216">
        <f>SUMPRODUCT(Calc!$K$3:$K$22*(Calc!$G$3:$G$22&gt;A1216)*(Calc!$G$3:$G$22&lt;B1216))</f>
        <v/>
      </c>
      <c r="E1216">
        <f>SUMPRODUCT(Calc!$K$3:$K$22*(Calc!$G$3:$G$22&gt;=B1216))</f>
        <v/>
      </c>
      <c r="F1216">
        <f>AND(k_n&gt;=5,B1216&gt;A1216+1E-9,C1216&gt;=2,D1216&gt;=1,E1216&gt;=2)</f>
        <v/>
      </c>
      <c r="G1216">
        <f>SUMPRODUCT(Calc!$K$3:$K$22*(Calc!$G$3:$G$22&gt;A1216)*(Calc!$G$3:$G$22-A1216))</f>
        <v/>
      </c>
      <c r="H1216">
        <f>SUMPRODUCT(Calc!$K$3:$K$22*(Calc!$G$3:$G$22&gt;B1216)*(Calc!$G$3:$G$22-B1216))</f>
        <v/>
      </c>
      <c r="I1216">
        <f>SUMPRODUCT(Calc!$K$3:$K$22*(Calc!$G$3:$G$22&gt;A1216)*(Calc!$G$3:$G$22-A1216)^2)</f>
        <v/>
      </c>
      <c r="J1216">
        <f>SUMPRODUCT(Calc!$K$3:$K$22*(Calc!$G$3:$G$22&gt;B1216)*(Calc!$G$3:$G$22-B1216)^2)</f>
        <v/>
      </c>
      <c r="K1216">
        <f>SUMPRODUCT(Calc!$K$3:$K$22*(Calc!$G$3:$G$22&gt;A1216)*(Calc!$G$3:$G$22-A1216)*(Calc!$G$3:$G$22&gt;B1216)*(Calc!$G$3:$G$22-B1216))</f>
        <v/>
      </c>
      <c r="L1216">
        <f>SUMPRODUCT(Calc!$K$3:$K$22*(Calc!$G$3:$G$22&gt;A1216)*(Calc!$G$3:$G$22-A1216)*Calc!$G$3:$G$22)</f>
        <v/>
      </c>
      <c r="M1216">
        <f>SUMPRODUCT(Calc!$K$3:$K$22*(Calc!$G$3:$G$22&gt;B1216)*(Calc!$G$3:$G$22-B1216)*Calc!$G$3:$G$22)</f>
        <v/>
      </c>
      <c r="N1216">
        <f>SUMPRODUCT(Calc!$K$3:$K$22*(Calc!$G$3:$G$22&gt;A1216)*(Calc!$G$3:$G$22-A1216)*Calc!$I$3:$I$22)</f>
        <v/>
      </c>
      <c r="O1216">
        <f>SUMPRODUCT(Calc!$K$3:$K$22*(Calc!$G$3:$G$22&gt;B1216)*(Calc!$G$3:$G$22-B1216)*Calc!$I$3:$I$22)</f>
        <v/>
      </c>
      <c r="P1216">
        <f>I1216-G1216^2/k_n</f>
        <v/>
      </c>
      <c r="Q1216">
        <f>J1216-H1216^2/k_n</f>
        <v/>
      </c>
      <c r="R1216">
        <f>K1216-G1216*H1216/k_n</f>
        <v/>
      </c>
      <c r="S1216">
        <f>L1216-LTP3!$D$3*G1216/k_n</f>
        <v/>
      </c>
      <c r="T1216">
        <f>M1216-LTP3!$D$3*H1216/k_n</f>
        <v/>
      </c>
      <c r="U1216">
        <f>N1216-G1216*LTP3!$D$4/k_n</f>
        <v/>
      </c>
      <c r="V1216">
        <f>O1216-H1216*LTP3!$D$4/k_n</f>
        <v/>
      </c>
      <c r="W1216">
        <f>((LTP3!$D$5)*((P1216)*(Q1216)-(R1216)*(R1216))-(S1216)*((S1216)*(Q1216)-(R1216)*(T1216))+(T1216)*((S1216)*(R1216)-(P1216)*(T1216)))</f>
        <v/>
      </c>
      <c r="X1216">
        <f>IF(ABS(W1216)&gt;1E-12,((LTP3!$D$6)*((P1216)*(Q1216)-(R1216)*(R1216))-(S1216)*((U1216)*(Q1216)-(R1216)*(V1216))+(T1216)*((U1216)*(R1216)-(P1216)*(V1216)))/W1216,0)</f>
        <v/>
      </c>
      <c r="Y1216">
        <f>IF(ABS(W1216)&gt;1E-12,((LTP3!$D$5)*((U1216)*(Q1216)-(R1216)*(V1216))-(LTP3!$D$6)*((S1216)*(Q1216)-(R1216)*(T1216))+(T1216)*((S1216)*(V1216)-(U1216)*(T1216)))/W1216,0)</f>
        <v/>
      </c>
      <c r="Z1216">
        <f>IF(ABS(W1216)&gt;1E-12,((LTP3!$D$5)*((P1216)*(V1216)-(U1216)*(R1216))-(S1216)*((S1216)*(V1216)-(U1216)*(T1216))+(LTP3!$D$6)*((S1216)*(R1216)-(P1216)*(T1216)))/W1216,0)</f>
        <v/>
      </c>
      <c r="AA1216">
        <f>LTP3!$D$7-X1216*LTP3!$D$6-Y1216*U1216-Z1216*V1216</f>
        <v/>
      </c>
      <c r="AB1216">
        <f>IF(AND(F1216,ABS(W1216)&gt;1E-12,Y1216&gt;0,Z1216&gt;0),AA1216,1E+300)</f>
        <v/>
      </c>
    </row>
    <row r="1217">
      <c r="A1217">
        <f>$B$3+$B$5*19</f>
        <v/>
      </c>
      <c r="B1217">
        <f>$B$3+$B$5*46</f>
        <v/>
      </c>
      <c r="C1217">
        <f>SUMPRODUCT(Calc!$K$3:$K$22*(Calc!$G$3:$G$22&lt;=A1217))</f>
        <v/>
      </c>
      <c r="D1217">
        <f>SUMPRODUCT(Calc!$K$3:$K$22*(Calc!$G$3:$G$22&gt;A1217)*(Calc!$G$3:$G$22&lt;B1217))</f>
        <v/>
      </c>
      <c r="E1217">
        <f>SUMPRODUCT(Calc!$K$3:$K$22*(Calc!$G$3:$G$22&gt;=B1217))</f>
        <v/>
      </c>
      <c r="F1217">
        <f>AND(k_n&gt;=5,B1217&gt;A1217+1E-9,C1217&gt;=2,D1217&gt;=1,E1217&gt;=2)</f>
        <v/>
      </c>
      <c r="G1217">
        <f>SUMPRODUCT(Calc!$K$3:$K$22*(Calc!$G$3:$G$22&gt;A1217)*(Calc!$G$3:$G$22-A1217))</f>
        <v/>
      </c>
      <c r="H1217">
        <f>SUMPRODUCT(Calc!$K$3:$K$22*(Calc!$G$3:$G$22&gt;B1217)*(Calc!$G$3:$G$22-B1217))</f>
        <v/>
      </c>
      <c r="I1217">
        <f>SUMPRODUCT(Calc!$K$3:$K$22*(Calc!$G$3:$G$22&gt;A1217)*(Calc!$G$3:$G$22-A1217)^2)</f>
        <v/>
      </c>
      <c r="J1217">
        <f>SUMPRODUCT(Calc!$K$3:$K$22*(Calc!$G$3:$G$22&gt;B1217)*(Calc!$G$3:$G$22-B1217)^2)</f>
        <v/>
      </c>
      <c r="K1217">
        <f>SUMPRODUCT(Calc!$K$3:$K$22*(Calc!$G$3:$G$22&gt;A1217)*(Calc!$G$3:$G$22-A1217)*(Calc!$G$3:$G$22&gt;B1217)*(Calc!$G$3:$G$22-B1217))</f>
        <v/>
      </c>
      <c r="L1217">
        <f>SUMPRODUCT(Calc!$K$3:$K$22*(Calc!$G$3:$G$22&gt;A1217)*(Calc!$G$3:$G$22-A1217)*Calc!$G$3:$G$22)</f>
        <v/>
      </c>
      <c r="M1217">
        <f>SUMPRODUCT(Calc!$K$3:$K$22*(Calc!$G$3:$G$22&gt;B1217)*(Calc!$G$3:$G$22-B1217)*Calc!$G$3:$G$22)</f>
        <v/>
      </c>
      <c r="N1217">
        <f>SUMPRODUCT(Calc!$K$3:$K$22*(Calc!$G$3:$G$22&gt;A1217)*(Calc!$G$3:$G$22-A1217)*Calc!$I$3:$I$22)</f>
        <v/>
      </c>
      <c r="O1217">
        <f>SUMPRODUCT(Calc!$K$3:$K$22*(Calc!$G$3:$G$22&gt;B1217)*(Calc!$G$3:$G$22-B1217)*Calc!$I$3:$I$22)</f>
        <v/>
      </c>
      <c r="P1217">
        <f>I1217-G1217^2/k_n</f>
        <v/>
      </c>
      <c r="Q1217">
        <f>J1217-H1217^2/k_n</f>
        <v/>
      </c>
      <c r="R1217">
        <f>K1217-G1217*H1217/k_n</f>
        <v/>
      </c>
      <c r="S1217">
        <f>L1217-LTP3!$D$3*G1217/k_n</f>
        <v/>
      </c>
      <c r="T1217">
        <f>M1217-LTP3!$D$3*H1217/k_n</f>
        <v/>
      </c>
      <c r="U1217">
        <f>N1217-G1217*LTP3!$D$4/k_n</f>
        <v/>
      </c>
      <c r="V1217">
        <f>O1217-H1217*LTP3!$D$4/k_n</f>
        <v/>
      </c>
      <c r="W1217">
        <f>((LTP3!$D$5)*((P1217)*(Q1217)-(R1217)*(R1217))-(S1217)*((S1217)*(Q1217)-(R1217)*(T1217))+(T1217)*((S1217)*(R1217)-(P1217)*(T1217)))</f>
        <v/>
      </c>
      <c r="X1217">
        <f>IF(ABS(W1217)&gt;1E-12,((LTP3!$D$6)*((P1217)*(Q1217)-(R1217)*(R1217))-(S1217)*((U1217)*(Q1217)-(R1217)*(V1217))+(T1217)*((U1217)*(R1217)-(P1217)*(V1217)))/W1217,0)</f>
        <v/>
      </c>
      <c r="Y1217">
        <f>IF(ABS(W1217)&gt;1E-12,((LTP3!$D$5)*((U1217)*(Q1217)-(R1217)*(V1217))-(LTP3!$D$6)*((S1217)*(Q1217)-(R1217)*(T1217))+(T1217)*((S1217)*(V1217)-(U1217)*(T1217)))/W1217,0)</f>
        <v/>
      </c>
      <c r="Z1217">
        <f>IF(ABS(W1217)&gt;1E-12,((LTP3!$D$5)*((P1217)*(V1217)-(U1217)*(R1217))-(S1217)*((S1217)*(V1217)-(U1217)*(T1217))+(LTP3!$D$6)*((S1217)*(R1217)-(P1217)*(T1217)))/W1217,0)</f>
        <v/>
      </c>
      <c r="AA1217">
        <f>LTP3!$D$7-X1217*LTP3!$D$6-Y1217*U1217-Z1217*V1217</f>
        <v/>
      </c>
      <c r="AB1217">
        <f>IF(AND(F1217,ABS(W1217)&gt;1E-12,Y1217&gt;0,Z1217&gt;0),AA1217,1E+300)</f>
        <v/>
      </c>
    </row>
    <row r="1218">
      <c r="A1218">
        <f>$B$3+$B$5*19</f>
        <v/>
      </c>
      <c r="B1218">
        <f>$B$3+$B$5*47</f>
        <v/>
      </c>
      <c r="C1218">
        <f>SUMPRODUCT(Calc!$K$3:$K$22*(Calc!$G$3:$G$22&lt;=A1218))</f>
        <v/>
      </c>
      <c r="D1218">
        <f>SUMPRODUCT(Calc!$K$3:$K$22*(Calc!$G$3:$G$22&gt;A1218)*(Calc!$G$3:$G$22&lt;B1218))</f>
        <v/>
      </c>
      <c r="E1218">
        <f>SUMPRODUCT(Calc!$K$3:$K$22*(Calc!$G$3:$G$22&gt;=B1218))</f>
        <v/>
      </c>
      <c r="F1218">
        <f>AND(k_n&gt;=5,B1218&gt;A1218+1E-9,C1218&gt;=2,D1218&gt;=1,E1218&gt;=2)</f>
        <v/>
      </c>
      <c r="G1218">
        <f>SUMPRODUCT(Calc!$K$3:$K$22*(Calc!$G$3:$G$22&gt;A1218)*(Calc!$G$3:$G$22-A1218))</f>
        <v/>
      </c>
      <c r="H1218">
        <f>SUMPRODUCT(Calc!$K$3:$K$22*(Calc!$G$3:$G$22&gt;B1218)*(Calc!$G$3:$G$22-B1218))</f>
        <v/>
      </c>
      <c r="I1218">
        <f>SUMPRODUCT(Calc!$K$3:$K$22*(Calc!$G$3:$G$22&gt;A1218)*(Calc!$G$3:$G$22-A1218)^2)</f>
        <v/>
      </c>
      <c r="J1218">
        <f>SUMPRODUCT(Calc!$K$3:$K$22*(Calc!$G$3:$G$22&gt;B1218)*(Calc!$G$3:$G$22-B1218)^2)</f>
        <v/>
      </c>
      <c r="K1218">
        <f>SUMPRODUCT(Calc!$K$3:$K$22*(Calc!$G$3:$G$22&gt;A1218)*(Calc!$G$3:$G$22-A1218)*(Calc!$G$3:$G$22&gt;B1218)*(Calc!$G$3:$G$22-B1218))</f>
        <v/>
      </c>
      <c r="L1218">
        <f>SUMPRODUCT(Calc!$K$3:$K$22*(Calc!$G$3:$G$22&gt;A1218)*(Calc!$G$3:$G$22-A1218)*Calc!$G$3:$G$22)</f>
        <v/>
      </c>
      <c r="M1218">
        <f>SUMPRODUCT(Calc!$K$3:$K$22*(Calc!$G$3:$G$22&gt;B1218)*(Calc!$G$3:$G$22-B1218)*Calc!$G$3:$G$22)</f>
        <v/>
      </c>
      <c r="N1218">
        <f>SUMPRODUCT(Calc!$K$3:$K$22*(Calc!$G$3:$G$22&gt;A1218)*(Calc!$G$3:$G$22-A1218)*Calc!$I$3:$I$22)</f>
        <v/>
      </c>
      <c r="O1218">
        <f>SUMPRODUCT(Calc!$K$3:$K$22*(Calc!$G$3:$G$22&gt;B1218)*(Calc!$G$3:$G$22-B1218)*Calc!$I$3:$I$22)</f>
        <v/>
      </c>
      <c r="P1218">
        <f>I1218-G1218^2/k_n</f>
        <v/>
      </c>
      <c r="Q1218">
        <f>J1218-H1218^2/k_n</f>
        <v/>
      </c>
      <c r="R1218">
        <f>K1218-G1218*H1218/k_n</f>
        <v/>
      </c>
      <c r="S1218">
        <f>L1218-LTP3!$D$3*G1218/k_n</f>
        <v/>
      </c>
      <c r="T1218">
        <f>M1218-LTP3!$D$3*H1218/k_n</f>
        <v/>
      </c>
      <c r="U1218">
        <f>N1218-G1218*LTP3!$D$4/k_n</f>
        <v/>
      </c>
      <c r="V1218">
        <f>O1218-H1218*LTP3!$D$4/k_n</f>
        <v/>
      </c>
      <c r="W1218">
        <f>((LTP3!$D$5)*((P1218)*(Q1218)-(R1218)*(R1218))-(S1218)*((S1218)*(Q1218)-(R1218)*(T1218))+(T1218)*((S1218)*(R1218)-(P1218)*(T1218)))</f>
        <v/>
      </c>
      <c r="X1218">
        <f>IF(ABS(W1218)&gt;1E-12,((LTP3!$D$6)*((P1218)*(Q1218)-(R1218)*(R1218))-(S1218)*((U1218)*(Q1218)-(R1218)*(V1218))+(T1218)*((U1218)*(R1218)-(P1218)*(V1218)))/W1218,0)</f>
        <v/>
      </c>
      <c r="Y1218">
        <f>IF(ABS(W1218)&gt;1E-12,((LTP3!$D$5)*((U1218)*(Q1218)-(R1218)*(V1218))-(LTP3!$D$6)*((S1218)*(Q1218)-(R1218)*(T1218))+(T1218)*((S1218)*(V1218)-(U1218)*(T1218)))/W1218,0)</f>
        <v/>
      </c>
      <c r="Z1218">
        <f>IF(ABS(W1218)&gt;1E-12,((LTP3!$D$5)*((P1218)*(V1218)-(U1218)*(R1218))-(S1218)*((S1218)*(V1218)-(U1218)*(T1218))+(LTP3!$D$6)*((S1218)*(R1218)-(P1218)*(T1218)))/W1218,0)</f>
        <v/>
      </c>
      <c r="AA1218">
        <f>LTP3!$D$7-X1218*LTP3!$D$6-Y1218*U1218-Z1218*V1218</f>
        <v/>
      </c>
      <c r="AB1218">
        <f>IF(AND(F1218,ABS(W1218)&gt;1E-12,Y1218&gt;0,Z1218&gt;0),AA1218,1E+300)</f>
        <v/>
      </c>
    </row>
    <row r="1219">
      <c r="A1219">
        <f>$B$3+$B$5*19</f>
        <v/>
      </c>
      <c r="B1219">
        <f>$B$3+$B$5*48</f>
        <v/>
      </c>
      <c r="C1219">
        <f>SUMPRODUCT(Calc!$K$3:$K$22*(Calc!$G$3:$G$22&lt;=A1219))</f>
        <v/>
      </c>
      <c r="D1219">
        <f>SUMPRODUCT(Calc!$K$3:$K$22*(Calc!$G$3:$G$22&gt;A1219)*(Calc!$G$3:$G$22&lt;B1219))</f>
        <v/>
      </c>
      <c r="E1219">
        <f>SUMPRODUCT(Calc!$K$3:$K$22*(Calc!$G$3:$G$22&gt;=B1219))</f>
        <v/>
      </c>
      <c r="F1219">
        <f>AND(k_n&gt;=5,B1219&gt;A1219+1E-9,C1219&gt;=2,D1219&gt;=1,E1219&gt;=2)</f>
        <v/>
      </c>
      <c r="G1219">
        <f>SUMPRODUCT(Calc!$K$3:$K$22*(Calc!$G$3:$G$22&gt;A1219)*(Calc!$G$3:$G$22-A1219))</f>
        <v/>
      </c>
      <c r="H1219">
        <f>SUMPRODUCT(Calc!$K$3:$K$22*(Calc!$G$3:$G$22&gt;B1219)*(Calc!$G$3:$G$22-B1219))</f>
        <v/>
      </c>
      <c r="I1219">
        <f>SUMPRODUCT(Calc!$K$3:$K$22*(Calc!$G$3:$G$22&gt;A1219)*(Calc!$G$3:$G$22-A1219)^2)</f>
        <v/>
      </c>
      <c r="J1219">
        <f>SUMPRODUCT(Calc!$K$3:$K$22*(Calc!$G$3:$G$22&gt;B1219)*(Calc!$G$3:$G$22-B1219)^2)</f>
        <v/>
      </c>
      <c r="K1219">
        <f>SUMPRODUCT(Calc!$K$3:$K$22*(Calc!$G$3:$G$22&gt;A1219)*(Calc!$G$3:$G$22-A1219)*(Calc!$G$3:$G$22&gt;B1219)*(Calc!$G$3:$G$22-B1219))</f>
        <v/>
      </c>
      <c r="L1219">
        <f>SUMPRODUCT(Calc!$K$3:$K$22*(Calc!$G$3:$G$22&gt;A1219)*(Calc!$G$3:$G$22-A1219)*Calc!$G$3:$G$22)</f>
        <v/>
      </c>
      <c r="M1219">
        <f>SUMPRODUCT(Calc!$K$3:$K$22*(Calc!$G$3:$G$22&gt;B1219)*(Calc!$G$3:$G$22-B1219)*Calc!$G$3:$G$22)</f>
        <v/>
      </c>
      <c r="N1219">
        <f>SUMPRODUCT(Calc!$K$3:$K$22*(Calc!$G$3:$G$22&gt;A1219)*(Calc!$G$3:$G$22-A1219)*Calc!$I$3:$I$22)</f>
        <v/>
      </c>
      <c r="O1219">
        <f>SUMPRODUCT(Calc!$K$3:$K$22*(Calc!$G$3:$G$22&gt;B1219)*(Calc!$G$3:$G$22-B1219)*Calc!$I$3:$I$22)</f>
        <v/>
      </c>
      <c r="P1219">
        <f>I1219-G1219^2/k_n</f>
        <v/>
      </c>
      <c r="Q1219">
        <f>J1219-H1219^2/k_n</f>
        <v/>
      </c>
      <c r="R1219">
        <f>K1219-G1219*H1219/k_n</f>
        <v/>
      </c>
      <c r="S1219">
        <f>L1219-LTP3!$D$3*G1219/k_n</f>
        <v/>
      </c>
      <c r="T1219">
        <f>M1219-LTP3!$D$3*H1219/k_n</f>
        <v/>
      </c>
      <c r="U1219">
        <f>N1219-G1219*LTP3!$D$4/k_n</f>
        <v/>
      </c>
      <c r="V1219">
        <f>O1219-H1219*LTP3!$D$4/k_n</f>
        <v/>
      </c>
      <c r="W1219">
        <f>((LTP3!$D$5)*((P1219)*(Q1219)-(R1219)*(R1219))-(S1219)*((S1219)*(Q1219)-(R1219)*(T1219))+(T1219)*((S1219)*(R1219)-(P1219)*(T1219)))</f>
        <v/>
      </c>
      <c r="X1219">
        <f>IF(ABS(W1219)&gt;1E-12,((LTP3!$D$6)*((P1219)*(Q1219)-(R1219)*(R1219))-(S1219)*((U1219)*(Q1219)-(R1219)*(V1219))+(T1219)*((U1219)*(R1219)-(P1219)*(V1219)))/W1219,0)</f>
        <v/>
      </c>
      <c r="Y1219">
        <f>IF(ABS(W1219)&gt;1E-12,((LTP3!$D$5)*((U1219)*(Q1219)-(R1219)*(V1219))-(LTP3!$D$6)*((S1219)*(Q1219)-(R1219)*(T1219))+(T1219)*((S1219)*(V1219)-(U1219)*(T1219)))/W1219,0)</f>
        <v/>
      </c>
      <c r="Z1219">
        <f>IF(ABS(W1219)&gt;1E-12,((LTP3!$D$5)*((P1219)*(V1219)-(U1219)*(R1219))-(S1219)*((S1219)*(V1219)-(U1219)*(T1219))+(LTP3!$D$6)*((S1219)*(R1219)-(P1219)*(T1219)))/W1219,0)</f>
        <v/>
      </c>
      <c r="AA1219">
        <f>LTP3!$D$7-X1219*LTP3!$D$6-Y1219*U1219-Z1219*V1219</f>
        <v/>
      </c>
      <c r="AB1219">
        <f>IF(AND(F1219,ABS(W1219)&gt;1E-12,Y1219&gt;0,Z1219&gt;0),AA1219,1E+300)</f>
        <v/>
      </c>
    </row>
    <row r="1220">
      <c r="A1220">
        <f>$B$3+$B$5*19</f>
        <v/>
      </c>
      <c r="B1220">
        <f>$B$3+$B$5*49</f>
        <v/>
      </c>
      <c r="C1220">
        <f>SUMPRODUCT(Calc!$K$3:$K$22*(Calc!$G$3:$G$22&lt;=A1220))</f>
        <v/>
      </c>
      <c r="D1220">
        <f>SUMPRODUCT(Calc!$K$3:$K$22*(Calc!$G$3:$G$22&gt;A1220)*(Calc!$G$3:$G$22&lt;B1220))</f>
        <v/>
      </c>
      <c r="E1220">
        <f>SUMPRODUCT(Calc!$K$3:$K$22*(Calc!$G$3:$G$22&gt;=B1220))</f>
        <v/>
      </c>
      <c r="F1220">
        <f>AND(k_n&gt;=5,B1220&gt;A1220+1E-9,C1220&gt;=2,D1220&gt;=1,E1220&gt;=2)</f>
        <v/>
      </c>
      <c r="G1220">
        <f>SUMPRODUCT(Calc!$K$3:$K$22*(Calc!$G$3:$G$22&gt;A1220)*(Calc!$G$3:$G$22-A1220))</f>
        <v/>
      </c>
      <c r="H1220">
        <f>SUMPRODUCT(Calc!$K$3:$K$22*(Calc!$G$3:$G$22&gt;B1220)*(Calc!$G$3:$G$22-B1220))</f>
        <v/>
      </c>
      <c r="I1220">
        <f>SUMPRODUCT(Calc!$K$3:$K$22*(Calc!$G$3:$G$22&gt;A1220)*(Calc!$G$3:$G$22-A1220)^2)</f>
        <v/>
      </c>
      <c r="J1220">
        <f>SUMPRODUCT(Calc!$K$3:$K$22*(Calc!$G$3:$G$22&gt;B1220)*(Calc!$G$3:$G$22-B1220)^2)</f>
        <v/>
      </c>
      <c r="K1220">
        <f>SUMPRODUCT(Calc!$K$3:$K$22*(Calc!$G$3:$G$22&gt;A1220)*(Calc!$G$3:$G$22-A1220)*(Calc!$G$3:$G$22&gt;B1220)*(Calc!$G$3:$G$22-B1220))</f>
        <v/>
      </c>
      <c r="L1220">
        <f>SUMPRODUCT(Calc!$K$3:$K$22*(Calc!$G$3:$G$22&gt;A1220)*(Calc!$G$3:$G$22-A1220)*Calc!$G$3:$G$22)</f>
        <v/>
      </c>
      <c r="M1220">
        <f>SUMPRODUCT(Calc!$K$3:$K$22*(Calc!$G$3:$G$22&gt;B1220)*(Calc!$G$3:$G$22-B1220)*Calc!$G$3:$G$22)</f>
        <v/>
      </c>
      <c r="N1220">
        <f>SUMPRODUCT(Calc!$K$3:$K$22*(Calc!$G$3:$G$22&gt;A1220)*(Calc!$G$3:$G$22-A1220)*Calc!$I$3:$I$22)</f>
        <v/>
      </c>
      <c r="O1220">
        <f>SUMPRODUCT(Calc!$K$3:$K$22*(Calc!$G$3:$G$22&gt;B1220)*(Calc!$G$3:$G$22-B1220)*Calc!$I$3:$I$22)</f>
        <v/>
      </c>
      <c r="P1220">
        <f>I1220-G1220^2/k_n</f>
        <v/>
      </c>
      <c r="Q1220">
        <f>J1220-H1220^2/k_n</f>
        <v/>
      </c>
      <c r="R1220">
        <f>K1220-G1220*H1220/k_n</f>
        <v/>
      </c>
      <c r="S1220">
        <f>L1220-LTP3!$D$3*G1220/k_n</f>
        <v/>
      </c>
      <c r="T1220">
        <f>M1220-LTP3!$D$3*H1220/k_n</f>
        <v/>
      </c>
      <c r="U1220">
        <f>N1220-G1220*LTP3!$D$4/k_n</f>
        <v/>
      </c>
      <c r="V1220">
        <f>O1220-H1220*LTP3!$D$4/k_n</f>
        <v/>
      </c>
      <c r="W1220">
        <f>((LTP3!$D$5)*((P1220)*(Q1220)-(R1220)*(R1220))-(S1220)*((S1220)*(Q1220)-(R1220)*(T1220))+(T1220)*((S1220)*(R1220)-(P1220)*(T1220)))</f>
        <v/>
      </c>
      <c r="X1220">
        <f>IF(ABS(W1220)&gt;1E-12,((LTP3!$D$6)*((P1220)*(Q1220)-(R1220)*(R1220))-(S1220)*((U1220)*(Q1220)-(R1220)*(V1220))+(T1220)*((U1220)*(R1220)-(P1220)*(V1220)))/W1220,0)</f>
        <v/>
      </c>
      <c r="Y1220">
        <f>IF(ABS(W1220)&gt;1E-12,((LTP3!$D$5)*((U1220)*(Q1220)-(R1220)*(V1220))-(LTP3!$D$6)*((S1220)*(Q1220)-(R1220)*(T1220))+(T1220)*((S1220)*(V1220)-(U1220)*(T1220)))/W1220,0)</f>
        <v/>
      </c>
      <c r="Z1220">
        <f>IF(ABS(W1220)&gt;1E-12,((LTP3!$D$5)*((P1220)*(V1220)-(U1220)*(R1220))-(S1220)*((S1220)*(V1220)-(U1220)*(T1220))+(LTP3!$D$6)*((S1220)*(R1220)-(P1220)*(T1220)))/W1220,0)</f>
        <v/>
      </c>
      <c r="AA1220">
        <f>LTP3!$D$7-X1220*LTP3!$D$6-Y1220*U1220-Z1220*V1220</f>
        <v/>
      </c>
      <c r="AB1220">
        <f>IF(AND(F1220,ABS(W1220)&gt;1E-12,Y1220&gt;0,Z1220&gt;0),AA1220,1E+300)</f>
        <v/>
      </c>
    </row>
    <row r="1221">
      <c r="A1221">
        <f>$B$3+$B$5*19</f>
        <v/>
      </c>
      <c r="B1221">
        <f>$B$3+$B$5*50</f>
        <v/>
      </c>
      <c r="C1221">
        <f>SUMPRODUCT(Calc!$K$3:$K$22*(Calc!$G$3:$G$22&lt;=A1221))</f>
        <v/>
      </c>
      <c r="D1221">
        <f>SUMPRODUCT(Calc!$K$3:$K$22*(Calc!$G$3:$G$22&gt;A1221)*(Calc!$G$3:$G$22&lt;B1221))</f>
        <v/>
      </c>
      <c r="E1221">
        <f>SUMPRODUCT(Calc!$K$3:$K$22*(Calc!$G$3:$G$22&gt;=B1221))</f>
        <v/>
      </c>
      <c r="F1221">
        <f>AND(k_n&gt;=5,B1221&gt;A1221+1E-9,C1221&gt;=2,D1221&gt;=1,E1221&gt;=2)</f>
        <v/>
      </c>
      <c r="G1221">
        <f>SUMPRODUCT(Calc!$K$3:$K$22*(Calc!$G$3:$G$22&gt;A1221)*(Calc!$G$3:$G$22-A1221))</f>
        <v/>
      </c>
      <c r="H1221">
        <f>SUMPRODUCT(Calc!$K$3:$K$22*(Calc!$G$3:$G$22&gt;B1221)*(Calc!$G$3:$G$22-B1221))</f>
        <v/>
      </c>
      <c r="I1221">
        <f>SUMPRODUCT(Calc!$K$3:$K$22*(Calc!$G$3:$G$22&gt;A1221)*(Calc!$G$3:$G$22-A1221)^2)</f>
        <v/>
      </c>
      <c r="J1221">
        <f>SUMPRODUCT(Calc!$K$3:$K$22*(Calc!$G$3:$G$22&gt;B1221)*(Calc!$G$3:$G$22-B1221)^2)</f>
        <v/>
      </c>
      <c r="K1221">
        <f>SUMPRODUCT(Calc!$K$3:$K$22*(Calc!$G$3:$G$22&gt;A1221)*(Calc!$G$3:$G$22-A1221)*(Calc!$G$3:$G$22&gt;B1221)*(Calc!$G$3:$G$22-B1221))</f>
        <v/>
      </c>
      <c r="L1221">
        <f>SUMPRODUCT(Calc!$K$3:$K$22*(Calc!$G$3:$G$22&gt;A1221)*(Calc!$G$3:$G$22-A1221)*Calc!$G$3:$G$22)</f>
        <v/>
      </c>
      <c r="M1221">
        <f>SUMPRODUCT(Calc!$K$3:$K$22*(Calc!$G$3:$G$22&gt;B1221)*(Calc!$G$3:$G$22-B1221)*Calc!$G$3:$G$22)</f>
        <v/>
      </c>
      <c r="N1221">
        <f>SUMPRODUCT(Calc!$K$3:$K$22*(Calc!$G$3:$G$22&gt;A1221)*(Calc!$G$3:$G$22-A1221)*Calc!$I$3:$I$22)</f>
        <v/>
      </c>
      <c r="O1221">
        <f>SUMPRODUCT(Calc!$K$3:$K$22*(Calc!$G$3:$G$22&gt;B1221)*(Calc!$G$3:$G$22-B1221)*Calc!$I$3:$I$22)</f>
        <v/>
      </c>
      <c r="P1221">
        <f>I1221-G1221^2/k_n</f>
        <v/>
      </c>
      <c r="Q1221">
        <f>J1221-H1221^2/k_n</f>
        <v/>
      </c>
      <c r="R1221">
        <f>K1221-G1221*H1221/k_n</f>
        <v/>
      </c>
      <c r="S1221">
        <f>L1221-LTP3!$D$3*G1221/k_n</f>
        <v/>
      </c>
      <c r="T1221">
        <f>M1221-LTP3!$D$3*H1221/k_n</f>
        <v/>
      </c>
      <c r="U1221">
        <f>N1221-G1221*LTP3!$D$4/k_n</f>
        <v/>
      </c>
      <c r="V1221">
        <f>O1221-H1221*LTP3!$D$4/k_n</f>
        <v/>
      </c>
      <c r="W1221">
        <f>((LTP3!$D$5)*((P1221)*(Q1221)-(R1221)*(R1221))-(S1221)*((S1221)*(Q1221)-(R1221)*(T1221))+(T1221)*((S1221)*(R1221)-(P1221)*(T1221)))</f>
        <v/>
      </c>
      <c r="X1221">
        <f>IF(ABS(W1221)&gt;1E-12,((LTP3!$D$6)*((P1221)*(Q1221)-(R1221)*(R1221))-(S1221)*((U1221)*(Q1221)-(R1221)*(V1221))+(T1221)*((U1221)*(R1221)-(P1221)*(V1221)))/W1221,0)</f>
        <v/>
      </c>
      <c r="Y1221">
        <f>IF(ABS(W1221)&gt;1E-12,((LTP3!$D$5)*((U1221)*(Q1221)-(R1221)*(V1221))-(LTP3!$D$6)*((S1221)*(Q1221)-(R1221)*(T1221))+(T1221)*((S1221)*(V1221)-(U1221)*(T1221)))/W1221,0)</f>
        <v/>
      </c>
      <c r="Z1221">
        <f>IF(ABS(W1221)&gt;1E-12,((LTP3!$D$5)*((P1221)*(V1221)-(U1221)*(R1221))-(S1221)*((S1221)*(V1221)-(U1221)*(T1221))+(LTP3!$D$6)*((S1221)*(R1221)-(P1221)*(T1221)))/W1221,0)</f>
        <v/>
      </c>
      <c r="AA1221">
        <f>LTP3!$D$7-X1221*LTP3!$D$6-Y1221*U1221-Z1221*V1221</f>
        <v/>
      </c>
      <c r="AB1221">
        <f>IF(AND(F1221,ABS(W1221)&gt;1E-12,Y1221&gt;0,Z1221&gt;0),AA1221,1E+300)</f>
        <v/>
      </c>
    </row>
    <row r="1222">
      <c r="A1222">
        <f>$B$3+$B$5*19</f>
        <v/>
      </c>
      <c r="B1222">
        <f>$B$3+$B$5*51</f>
        <v/>
      </c>
      <c r="C1222">
        <f>SUMPRODUCT(Calc!$K$3:$K$22*(Calc!$G$3:$G$22&lt;=A1222))</f>
        <v/>
      </c>
      <c r="D1222">
        <f>SUMPRODUCT(Calc!$K$3:$K$22*(Calc!$G$3:$G$22&gt;A1222)*(Calc!$G$3:$G$22&lt;B1222))</f>
        <v/>
      </c>
      <c r="E1222">
        <f>SUMPRODUCT(Calc!$K$3:$K$22*(Calc!$G$3:$G$22&gt;=B1222))</f>
        <v/>
      </c>
      <c r="F1222">
        <f>AND(k_n&gt;=5,B1222&gt;A1222+1E-9,C1222&gt;=2,D1222&gt;=1,E1222&gt;=2)</f>
        <v/>
      </c>
      <c r="G1222">
        <f>SUMPRODUCT(Calc!$K$3:$K$22*(Calc!$G$3:$G$22&gt;A1222)*(Calc!$G$3:$G$22-A1222))</f>
        <v/>
      </c>
      <c r="H1222">
        <f>SUMPRODUCT(Calc!$K$3:$K$22*(Calc!$G$3:$G$22&gt;B1222)*(Calc!$G$3:$G$22-B1222))</f>
        <v/>
      </c>
      <c r="I1222">
        <f>SUMPRODUCT(Calc!$K$3:$K$22*(Calc!$G$3:$G$22&gt;A1222)*(Calc!$G$3:$G$22-A1222)^2)</f>
        <v/>
      </c>
      <c r="J1222">
        <f>SUMPRODUCT(Calc!$K$3:$K$22*(Calc!$G$3:$G$22&gt;B1222)*(Calc!$G$3:$G$22-B1222)^2)</f>
        <v/>
      </c>
      <c r="K1222">
        <f>SUMPRODUCT(Calc!$K$3:$K$22*(Calc!$G$3:$G$22&gt;A1222)*(Calc!$G$3:$G$22-A1222)*(Calc!$G$3:$G$22&gt;B1222)*(Calc!$G$3:$G$22-B1222))</f>
        <v/>
      </c>
      <c r="L1222">
        <f>SUMPRODUCT(Calc!$K$3:$K$22*(Calc!$G$3:$G$22&gt;A1222)*(Calc!$G$3:$G$22-A1222)*Calc!$G$3:$G$22)</f>
        <v/>
      </c>
      <c r="M1222">
        <f>SUMPRODUCT(Calc!$K$3:$K$22*(Calc!$G$3:$G$22&gt;B1222)*(Calc!$G$3:$G$22-B1222)*Calc!$G$3:$G$22)</f>
        <v/>
      </c>
      <c r="N1222">
        <f>SUMPRODUCT(Calc!$K$3:$K$22*(Calc!$G$3:$G$22&gt;A1222)*(Calc!$G$3:$G$22-A1222)*Calc!$I$3:$I$22)</f>
        <v/>
      </c>
      <c r="O1222">
        <f>SUMPRODUCT(Calc!$K$3:$K$22*(Calc!$G$3:$G$22&gt;B1222)*(Calc!$G$3:$G$22-B1222)*Calc!$I$3:$I$22)</f>
        <v/>
      </c>
      <c r="P1222">
        <f>I1222-G1222^2/k_n</f>
        <v/>
      </c>
      <c r="Q1222">
        <f>J1222-H1222^2/k_n</f>
        <v/>
      </c>
      <c r="R1222">
        <f>K1222-G1222*H1222/k_n</f>
        <v/>
      </c>
      <c r="S1222">
        <f>L1222-LTP3!$D$3*G1222/k_n</f>
        <v/>
      </c>
      <c r="T1222">
        <f>M1222-LTP3!$D$3*H1222/k_n</f>
        <v/>
      </c>
      <c r="U1222">
        <f>N1222-G1222*LTP3!$D$4/k_n</f>
        <v/>
      </c>
      <c r="V1222">
        <f>O1222-H1222*LTP3!$D$4/k_n</f>
        <v/>
      </c>
      <c r="W1222">
        <f>((LTP3!$D$5)*((P1222)*(Q1222)-(R1222)*(R1222))-(S1222)*((S1222)*(Q1222)-(R1222)*(T1222))+(T1222)*((S1222)*(R1222)-(P1222)*(T1222)))</f>
        <v/>
      </c>
      <c r="X1222">
        <f>IF(ABS(W1222)&gt;1E-12,((LTP3!$D$6)*((P1222)*(Q1222)-(R1222)*(R1222))-(S1222)*((U1222)*(Q1222)-(R1222)*(V1222))+(T1222)*((U1222)*(R1222)-(P1222)*(V1222)))/W1222,0)</f>
        <v/>
      </c>
      <c r="Y1222">
        <f>IF(ABS(W1222)&gt;1E-12,((LTP3!$D$5)*((U1222)*(Q1222)-(R1222)*(V1222))-(LTP3!$D$6)*((S1222)*(Q1222)-(R1222)*(T1222))+(T1222)*((S1222)*(V1222)-(U1222)*(T1222)))/W1222,0)</f>
        <v/>
      </c>
      <c r="Z1222">
        <f>IF(ABS(W1222)&gt;1E-12,((LTP3!$D$5)*((P1222)*(V1222)-(U1222)*(R1222))-(S1222)*((S1222)*(V1222)-(U1222)*(T1222))+(LTP3!$D$6)*((S1222)*(R1222)-(P1222)*(T1222)))/W1222,0)</f>
        <v/>
      </c>
      <c r="AA1222">
        <f>LTP3!$D$7-X1222*LTP3!$D$6-Y1222*U1222-Z1222*V1222</f>
        <v/>
      </c>
      <c r="AB1222">
        <f>IF(AND(F1222,ABS(W1222)&gt;1E-12,Y1222&gt;0,Z1222&gt;0),AA1222,1E+300)</f>
        <v/>
      </c>
    </row>
    <row r="1223">
      <c r="A1223">
        <f>$B$3+$B$5*19</f>
        <v/>
      </c>
      <c r="B1223">
        <f>$B$3+$B$5*52</f>
        <v/>
      </c>
      <c r="C1223">
        <f>SUMPRODUCT(Calc!$K$3:$K$22*(Calc!$G$3:$G$22&lt;=A1223))</f>
        <v/>
      </c>
      <c r="D1223">
        <f>SUMPRODUCT(Calc!$K$3:$K$22*(Calc!$G$3:$G$22&gt;A1223)*(Calc!$G$3:$G$22&lt;B1223))</f>
        <v/>
      </c>
      <c r="E1223">
        <f>SUMPRODUCT(Calc!$K$3:$K$22*(Calc!$G$3:$G$22&gt;=B1223))</f>
        <v/>
      </c>
      <c r="F1223">
        <f>AND(k_n&gt;=5,B1223&gt;A1223+1E-9,C1223&gt;=2,D1223&gt;=1,E1223&gt;=2)</f>
        <v/>
      </c>
      <c r="G1223">
        <f>SUMPRODUCT(Calc!$K$3:$K$22*(Calc!$G$3:$G$22&gt;A1223)*(Calc!$G$3:$G$22-A1223))</f>
        <v/>
      </c>
      <c r="H1223">
        <f>SUMPRODUCT(Calc!$K$3:$K$22*(Calc!$G$3:$G$22&gt;B1223)*(Calc!$G$3:$G$22-B1223))</f>
        <v/>
      </c>
      <c r="I1223">
        <f>SUMPRODUCT(Calc!$K$3:$K$22*(Calc!$G$3:$G$22&gt;A1223)*(Calc!$G$3:$G$22-A1223)^2)</f>
        <v/>
      </c>
      <c r="J1223">
        <f>SUMPRODUCT(Calc!$K$3:$K$22*(Calc!$G$3:$G$22&gt;B1223)*(Calc!$G$3:$G$22-B1223)^2)</f>
        <v/>
      </c>
      <c r="K1223">
        <f>SUMPRODUCT(Calc!$K$3:$K$22*(Calc!$G$3:$G$22&gt;A1223)*(Calc!$G$3:$G$22-A1223)*(Calc!$G$3:$G$22&gt;B1223)*(Calc!$G$3:$G$22-B1223))</f>
        <v/>
      </c>
      <c r="L1223">
        <f>SUMPRODUCT(Calc!$K$3:$K$22*(Calc!$G$3:$G$22&gt;A1223)*(Calc!$G$3:$G$22-A1223)*Calc!$G$3:$G$22)</f>
        <v/>
      </c>
      <c r="M1223">
        <f>SUMPRODUCT(Calc!$K$3:$K$22*(Calc!$G$3:$G$22&gt;B1223)*(Calc!$G$3:$G$22-B1223)*Calc!$G$3:$G$22)</f>
        <v/>
      </c>
      <c r="N1223">
        <f>SUMPRODUCT(Calc!$K$3:$K$22*(Calc!$G$3:$G$22&gt;A1223)*(Calc!$G$3:$G$22-A1223)*Calc!$I$3:$I$22)</f>
        <v/>
      </c>
      <c r="O1223">
        <f>SUMPRODUCT(Calc!$K$3:$K$22*(Calc!$G$3:$G$22&gt;B1223)*(Calc!$G$3:$G$22-B1223)*Calc!$I$3:$I$22)</f>
        <v/>
      </c>
      <c r="P1223">
        <f>I1223-G1223^2/k_n</f>
        <v/>
      </c>
      <c r="Q1223">
        <f>J1223-H1223^2/k_n</f>
        <v/>
      </c>
      <c r="R1223">
        <f>K1223-G1223*H1223/k_n</f>
        <v/>
      </c>
      <c r="S1223">
        <f>L1223-LTP3!$D$3*G1223/k_n</f>
        <v/>
      </c>
      <c r="T1223">
        <f>M1223-LTP3!$D$3*H1223/k_n</f>
        <v/>
      </c>
      <c r="U1223">
        <f>N1223-G1223*LTP3!$D$4/k_n</f>
        <v/>
      </c>
      <c r="V1223">
        <f>O1223-H1223*LTP3!$D$4/k_n</f>
        <v/>
      </c>
      <c r="W1223">
        <f>((LTP3!$D$5)*((P1223)*(Q1223)-(R1223)*(R1223))-(S1223)*((S1223)*(Q1223)-(R1223)*(T1223))+(T1223)*((S1223)*(R1223)-(P1223)*(T1223)))</f>
        <v/>
      </c>
      <c r="X1223">
        <f>IF(ABS(W1223)&gt;1E-12,((LTP3!$D$6)*((P1223)*(Q1223)-(R1223)*(R1223))-(S1223)*((U1223)*(Q1223)-(R1223)*(V1223))+(T1223)*((U1223)*(R1223)-(P1223)*(V1223)))/W1223,0)</f>
        <v/>
      </c>
      <c r="Y1223">
        <f>IF(ABS(W1223)&gt;1E-12,((LTP3!$D$5)*((U1223)*(Q1223)-(R1223)*(V1223))-(LTP3!$D$6)*((S1223)*(Q1223)-(R1223)*(T1223))+(T1223)*((S1223)*(V1223)-(U1223)*(T1223)))/W1223,0)</f>
        <v/>
      </c>
      <c r="Z1223">
        <f>IF(ABS(W1223)&gt;1E-12,((LTP3!$D$5)*((P1223)*(V1223)-(U1223)*(R1223))-(S1223)*((S1223)*(V1223)-(U1223)*(T1223))+(LTP3!$D$6)*((S1223)*(R1223)-(P1223)*(T1223)))/W1223,0)</f>
        <v/>
      </c>
      <c r="AA1223">
        <f>LTP3!$D$7-X1223*LTP3!$D$6-Y1223*U1223-Z1223*V1223</f>
        <v/>
      </c>
      <c r="AB1223">
        <f>IF(AND(F1223,ABS(W1223)&gt;1E-12,Y1223&gt;0,Z1223&gt;0),AA1223,1E+300)</f>
        <v/>
      </c>
    </row>
    <row r="1224">
      <c r="A1224">
        <f>$B$3+$B$5*19</f>
        <v/>
      </c>
      <c r="B1224">
        <f>$B$3+$B$5*53</f>
        <v/>
      </c>
      <c r="C1224">
        <f>SUMPRODUCT(Calc!$K$3:$K$22*(Calc!$G$3:$G$22&lt;=A1224))</f>
        <v/>
      </c>
      <c r="D1224">
        <f>SUMPRODUCT(Calc!$K$3:$K$22*(Calc!$G$3:$G$22&gt;A1224)*(Calc!$G$3:$G$22&lt;B1224))</f>
        <v/>
      </c>
      <c r="E1224">
        <f>SUMPRODUCT(Calc!$K$3:$K$22*(Calc!$G$3:$G$22&gt;=B1224))</f>
        <v/>
      </c>
      <c r="F1224">
        <f>AND(k_n&gt;=5,B1224&gt;A1224+1E-9,C1224&gt;=2,D1224&gt;=1,E1224&gt;=2)</f>
        <v/>
      </c>
      <c r="G1224">
        <f>SUMPRODUCT(Calc!$K$3:$K$22*(Calc!$G$3:$G$22&gt;A1224)*(Calc!$G$3:$G$22-A1224))</f>
        <v/>
      </c>
      <c r="H1224">
        <f>SUMPRODUCT(Calc!$K$3:$K$22*(Calc!$G$3:$G$22&gt;B1224)*(Calc!$G$3:$G$22-B1224))</f>
        <v/>
      </c>
      <c r="I1224">
        <f>SUMPRODUCT(Calc!$K$3:$K$22*(Calc!$G$3:$G$22&gt;A1224)*(Calc!$G$3:$G$22-A1224)^2)</f>
        <v/>
      </c>
      <c r="J1224">
        <f>SUMPRODUCT(Calc!$K$3:$K$22*(Calc!$G$3:$G$22&gt;B1224)*(Calc!$G$3:$G$22-B1224)^2)</f>
        <v/>
      </c>
      <c r="K1224">
        <f>SUMPRODUCT(Calc!$K$3:$K$22*(Calc!$G$3:$G$22&gt;A1224)*(Calc!$G$3:$G$22-A1224)*(Calc!$G$3:$G$22&gt;B1224)*(Calc!$G$3:$G$22-B1224))</f>
        <v/>
      </c>
      <c r="L1224">
        <f>SUMPRODUCT(Calc!$K$3:$K$22*(Calc!$G$3:$G$22&gt;A1224)*(Calc!$G$3:$G$22-A1224)*Calc!$G$3:$G$22)</f>
        <v/>
      </c>
      <c r="M1224">
        <f>SUMPRODUCT(Calc!$K$3:$K$22*(Calc!$G$3:$G$22&gt;B1224)*(Calc!$G$3:$G$22-B1224)*Calc!$G$3:$G$22)</f>
        <v/>
      </c>
      <c r="N1224">
        <f>SUMPRODUCT(Calc!$K$3:$K$22*(Calc!$G$3:$G$22&gt;A1224)*(Calc!$G$3:$G$22-A1224)*Calc!$I$3:$I$22)</f>
        <v/>
      </c>
      <c r="O1224">
        <f>SUMPRODUCT(Calc!$K$3:$K$22*(Calc!$G$3:$G$22&gt;B1224)*(Calc!$G$3:$G$22-B1224)*Calc!$I$3:$I$22)</f>
        <v/>
      </c>
      <c r="P1224">
        <f>I1224-G1224^2/k_n</f>
        <v/>
      </c>
      <c r="Q1224">
        <f>J1224-H1224^2/k_n</f>
        <v/>
      </c>
      <c r="R1224">
        <f>K1224-G1224*H1224/k_n</f>
        <v/>
      </c>
      <c r="S1224">
        <f>L1224-LTP3!$D$3*G1224/k_n</f>
        <v/>
      </c>
      <c r="T1224">
        <f>M1224-LTP3!$D$3*H1224/k_n</f>
        <v/>
      </c>
      <c r="U1224">
        <f>N1224-G1224*LTP3!$D$4/k_n</f>
        <v/>
      </c>
      <c r="V1224">
        <f>O1224-H1224*LTP3!$D$4/k_n</f>
        <v/>
      </c>
      <c r="W1224">
        <f>((LTP3!$D$5)*((P1224)*(Q1224)-(R1224)*(R1224))-(S1224)*((S1224)*(Q1224)-(R1224)*(T1224))+(T1224)*((S1224)*(R1224)-(P1224)*(T1224)))</f>
        <v/>
      </c>
      <c r="X1224">
        <f>IF(ABS(W1224)&gt;1E-12,((LTP3!$D$6)*((P1224)*(Q1224)-(R1224)*(R1224))-(S1224)*((U1224)*(Q1224)-(R1224)*(V1224))+(T1224)*((U1224)*(R1224)-(P1224)*(V1224)))/W1224,0)</f>
        <v/>
      </c>
      <c r="Y1224">
        <f>IF(ABS(W1224)&gt;1E-12,((LTP3!$D$5)*((U1224)*(Q1224)-(R1224)*(V1224))-(LTP3!$D$6)*((S1224)*(Q1224)-(R1224)*(T1224))+(T1224)*((S1224)*(V1224)-(U1224)*(T1224)))/W1224,0)</f>
        <v/>
      </c>
      <c r="Z1224">
        <f>IF(ABS(W1224)&gt;1E-12,((LTP3!$D$5)*((P1224)*(V1224)-(U1224)*(R1224))-(S1224)*((S1224)*(V1224)-(U1224)*(T1224))+(LTP3!$D$6)*((S1224)*(R1224)-(P1224)*(T1224)))/W1224,0)</f>
        <v/>
      </c>
      <c r="AA1224">
        <f>LTP3!$D$7-X1224*LTP3!$D$6-Y1224*U1224-Z1224*V1224</f>
        <v/>
      </c>
      <c r="AB1224">
        <f>IF(AND(F1224,ABS(W1224)&gt;1E-12,Y1224&gt;0,Z1224&gt;0),AA1224,1E+300)</f>
        <v/>
      </c>
    </row>
    <row r="1225">
      <c r="A1225">
        <f>$B$3+$B$5*19</f>
        <v/>
      </c>
      <c r="B1225">
        <f>$B$3+$B$5*54</f>
        <v/>
      </c>
      <c r="C1225">
        <f>SUMPRODUCT(Calc!$K$3:$K$22*(Calc!$G$3:$G$22&lt;=A1225))</f>
        <v/>
      </c>
      <c r="D1225">
        <f>SUMPRODUCT(Calc!$K$3:$K$22*(Calc!$G$3:$G$22&gt;A1225)*(Calc!$G$3:$G$22&lt;B1225))</f>
        <v/>
      </c>
      <c r="E1225">
        <f>SUMPRODUCT(Calc!$K$3:$K$22*(Calc!$G$3:$G$22&gt;=B1225))</f>
        <v/>
      </c>
      <c r="F1225">
        <f>AND(k_n&gt;=5,B1225&gt;A1225+1E-9,C1225&gt;=2,D1225&gt;=1,E1225&gt;=2)</f>
        <v/>
      </c>
      <c r="G1225">
        <f>SUMPRODUCT(Calc!$K$3:$K$22*(Calc!$G$3:$G$22&gt;A1225)*(Calc!$G$3:$G$22-A1225))</f>
        <v/>
      </c>
      <c r="H1225">
        <f>SUMPRODUCT(Calc!$K$3:$K$22*(Calc!$G$3:$G$22&gt;B1225)*(Calc!$G$3:$G$22-B1225))</f>
        <v/>
      </c>
      <c r="I1225">
        <f>SUMPRODUCT(Calc!$K$3:$K$22*(Calc!$G$3:$G$22&gt;A1225)*(Calc!$G$3:$G$22-A1225)^2)</f>
        <v/>
      </c>
      <c r="J1225">
        <f>SUMPRODUCT(Calc!$K$3:$K$22*(Calc!$G$3:$G$22&gt;B1225)*(Calc!$G$3:$G$22-B1225)^2)</f>
        <v/>
      </c>
      <c r="K1225">
        <f>SUMPRODUCT(Calc!$K$3:$K$22*(Calc!$G$3:$G$22&gt;A1225)*(Calc!$G$3:$G$22-A1225)*(Calc!$G$3:$G$22&gt;B1225)*(Calc!$G$3:$G$22-B1225))</f>
        <v/>
      </c>
      <c r="L1225">
        <f>SUMPRODUCT(Calc!$K$3:$K$22*(Calc!$G$3:$G$22&gt;A1225)*(Calc!$G$3:$G$22-A1225)*Calc!$G$3:$G$22)</f>
        <v/>
      </c>
      <c r="M1225">
        <f>SUMPRODUCT(Calc!$K$3:$K$22*(Calc!$G$3:$G$22&gt;B1225)*(Calc!$G$3:$G$22-B1225)*Calc!$G$3:$G$22)</f>
        <v/>
      </c>
      <c r="N1225">
        <f>SUMPRODUCT(Calc!$K$3:$K$22*(Calc!$G$3:$G$22&gt;A1225)*(Calc!$G$3:$G$22-A1225)*Calc!$I$3:$I$22)</f>
        <v/>
      </c>
      <c r="O1225">
        <f>SUMPRODUCT(Calc!$K$3:$K$22*(Calc!$G$3:$G$22&gt;B1225)*(Calc!$G$3:$G$22-B1225)*Calc!$I$3:$I$22)</f>
        <v/>
      </c>
      <c r="P1225">
        <f>I1225-G1225^2/k_n</f>
        <v/>
      </c>
      <c r="Q1225">
        <f>J1225-H1225^2/k_n</f>
        <v/>
      </c>
      <c r="R1225">
        <f>K1225-G1225*H1225/k_n</f>
        <v/>
      </c>
      <c r="S1225">
        <f>L1225-LTP3!$D$3*G1225/k_n</f>
        <v/>
      </c>
      <c r="T1225">
        <f>M1225-LTP3!$D$3*H1225/k_n</f>
        <v/>
      </c>
      <c r="U1225">
        <f>N1225-G1225*LTP3!$D$4/k_n</f>
        <v/>
      </c>
      <c r="V1225">
        <f>O1225-H1225*LTP3!$D$4/k_n</f>
        <v/>
      </c>
      <c r="W1225">
        <f>((LTP3!$D$5)*((P1225)*(Q1225)-(R1225)*(R1225))-(S1225)*((S1225)*(Q1225)-(R1225)*(T1225))+(T1225)*((S1225)*(R1225)-(P1225)*(T1225)))</f>
        <v/>
      </c>
      <c r="X1225">
        <f>IF(ABS(W1225)&gt;1E-12,((LTP3!$D$6)*((P1225)*(Q1225)-(R1225)*(R1225))-(S1225)*((U1225)*(Q1225)-(R1225)*(V1225))+(T1225)*((U1225)*(R1225)-(P1225)*(V1225)))/W1225,0)</f>
        <v/>
      </c>
      <c r="Y1225">
        <f>IF(ABS(W1225)&gt;1E-12,((LTP3!$D$5)*((U1225)*(Q1225)-(R1225)*(V1225))-(LTP3!$D$6)*((S1225)*(Q1225)-(R1225)*(T1225))+(T1225)*((S1225)*(V1225)-(U1225)*(T1225)))/W1225,0)</f>
        <v/>
      </c>
      <c r="Z1225">
        <f>IF(ABS(W1225)&gt;1E-12,((LTP3!$D$5)*((P1225)*(V1225)-(U1225)*(R1225))-(S1225)*((S1225)*(V1225)-(U1225)*(T1225))+(LTP3!$D$6)*((S1225)*(R1225)-(P1225)*(T1225)))/W1225,0)</f>
        <v/>
      </c>
      <c r="AA1225">
        <f>LTP3!$D$7-X1225*LTP3!$D$6-Y1225*U1225-Z1225*V1225</f>
        <v/>
      </c>
      <c r="AB1225">
        <f>IF(AND(F1225,ABS(W1225)&gt;1E-12,Y1225&gt;0,Z1225&gt;0),AA1225,1E+300)</f>
        <v/>
      </c>
    </row>
    <row r="1226">
      <c r="A1226">
        <f>$B$3+$B$5*19</f>
        <v/>
      </c>
      <c r="B1226">
        <f>$B$3+$B$5*55</f>
        <v/>
      </c>
      <c r="C1226">
        <f>SUMPRODUCT(Calc!$K$3:$K$22*(Calc!$G$3:$G$22&lt;=A1226))</f>
        <v/>
      </c>
      <c r="D1226">
        <f>SUMPRODUCT(Calc!$K$3:$K$22*(Calc!$G$3:$G$22&gt;A1226)*(Calc!$G$3:$G$22&lt;B1226))</f>
        <v/>
      </c>
      <c r="E1226">
        <f>SUMPRODUCT(Calc!$K$3:$K$22*(Calc!$G$3:$G$22&gt;=B1226))</f>
        <v/>
      </c>
      <c r="F1226">
        <f>AND(k_n&gt;=5,B1226&gt;A1226+1E-9,C1226&gt;=2,D1226&gt;=1,E1226&gt;=2)</f>
        <v/>
      </c>
      <c r="G1226">
        <f>SUMPRODUCT(Calc!$K$3:$K$22*(Calc!$G$3:$G$22&gt;A1226)*(Calc!$G$3:$G$22-A1226))</f>
        <v/>
      </c>
      <c r="H1226">
        <f>SUMPRODUCT(Calc!$K$3:$K$22*(Calc!$G$3:$G$22&gt;B1226)*(Calc!$G$3:$G$22-B1226))</f>
        <v/>
      </c>
      <c r="I1226">
        <f>SUMPRODUCT(Calc!$K$3:$K$22*(Calc!$G$3:$G$22&gt;A1226)*(Calc!$G$3:$G$22-A1226)^2)</f>
        <v/>
      </c>
      <c r="J1226">
        <f>SUMPRODUCT(Calc!$K$3:$K$22*(Calc!$G$3:$G$22&gt;B1226)*(Calc!$G$3:$G$22-B1226)^2)</f>
        <v/>
      </c>
      <c r="K1226">
        <f>SUMPRODUCT(Calc!$K$3:$K$22*(Calc!$G$3:$G$22&gt;A1226)*(Calc!$G$3:$G$22-A1226)*(Calc!$G$3:$G$22&gt;B1226)*(Calc!$G$3:$G$22-B1226))</f>
        <v/>
      </c>
      <c r="L1226">
        <f>SUMPRODUCT(Calc!$K$3:$K$22*(Calc!$G$3:$G$22&gt;A1226)*(Calc!$G$3:$G$22-A1226)*Calc!$G$3:$G$22)</f>
        <v/>
      </c>
      <c r="M1226">
        <f>SUMPRODUCT(Calc!$K$3:$K$22*(Calc!$G$3:$G$22&gt;B1226)*(Calc!$G$3:$G$22-B1226)*Calc!$G$3:$G$22)</f>
        <v/>
      </c>
      <c r="N1226">
        <f>SUMPRODUCT(Calc!$K$3:$K$22*(Calc!$G$3:$G$22&gt;A1226)*(Calc!$G$3:$G$22-A1226)*Calc!$I$3:$I$22)</f>
        <v/>
      </c>
      <c r="O1226">
        <f>SUMPRODUCT(Calc!$K$3:$K$22*(Calc!$G$3:$G$22&gt;B1226)*(Calc!$G$3:$G$22-B1226)*Calc!$I$3:$I$22)</f>
        <v/>
      </c>
      <c r="P1226">
        <f>I1226-G1226^2/k_n</f>
        <v/>
      </c>
      <c r="Q1226">
        <f>J1226-H1226^2/k_n</f>
        <v/>
      </c>
      <c r="R1226">
        <f>K1226-G1226*H1226/k_n</f>
        <v/>
      </c>
      <c r="S1226">
        <f>L1226-LTP3!$D$3*G1226/k_n</f>
        <v/>
      </c>
      <c r="T1226">
        <f>M1226-LTP3!$D$3*H1226/k_n</f>
        <v/>
      </c>
      <c r="U1226">
        <f>N1226-G1226*LTP3!$D$4/k_n</f>
        <v/>
      </c>
      <c r="V1226">
        <f>O1226-H1226*LTP3!$D$4/k_n</f>
        <v/>
      </c>
      <c r="W1226">
        <f>((LTP3!$D$5)*((P1226)*(Q1226)-(R1226)*(R1226))-(S1226)*((S1226)*(Q1226)-(R1226)*(T1226))+(T1226)*((S1226)*(R1226)-(P1226)*(T1226)))</f>
        <v/>
      </c>
      <c r="X1226">
        <f>IF(ABS(W1226)&gt;1E-12,((LTP3!$D$6)*((P1226)*(Q1226)-(R1226)*(R1226))-(S1226)*((U1226)*(Q1226)-(R1226)*(V1226))+(T1226)*((U1226)*(R1226)-(P1226)*(V1226)))/W1226,0)</f>
        <v/>
      </c>
      <c r="Y1226">
        <f>IF(ABS(W1226)&gt;1E-12,((LTP3!$D$5)*((U1226)*(Q1226)-(R1226)*(V1226))-(LTP3!$D$6)*((S1226)*(Q1226)-(R1226)*(T1226))+(T1226)*((S1226)*(V1226)-(U1226)*(T1226)))/W1226,0)</f>
        <v/>
      </c>
      <c r="Z1226">
        <f>IF(ABS(W1226)&gt;1E-12,((LTP3!$D$5)*((P1226)*(V1226)-(U1226)*(R1226))-(S1226)*((S1226)*(V1226)-(U1226)*(T1226))+(LTP3!$D$6)*((S1226)*(R1226)-(P1226)*(T1226)))/W1226,0)</f>
        <v/>
      </c>
      <c r="AA1226">
        <f>LTP3!$D$7-X1226*LTP3!$D$6-Y1226*U1226-Z1226*V1226</f>
        <v/>
      </c>
      <c r="AB1226">
        <f>IF(AND(F1226,ABS(W1226)&gt;1E-12,Y1226&gt;0,Z1226&gt;0),AA1226,1E+300)</f>
        <v/>
      </c>
    </row>
    <row r="1227">
      <c r="A1227">
        <f>$B$3+$B$5*19</f>
        <v/>
      </c>
      <c r="B1227">
        <f>$B$3+$B$5*56</f>
        <v/>
      </c>
      <c r="C1227">
        <f>SUMPRODUCT(Calc!$K$3:$K$22*(Calc!$G$3:$G$22&lt;=A1227))</f>
        <v/>
      </c>
      <c r="D1227">
        <f>SUMPRODUCT(Calc!$K$3:$K$22*(Calc!$G$3:$G$22&gt;A1227)*(Calc!$G$3:$G$22&lt;B1227))</f>
        <v/>
      </c>
      <c r="E1227">
        <f>SUMPRODUCT(Calc!$K$3:$K$22*(Calc!$G$3:$G$22&gt;=B1227))</f>
        <v/>
      </c>
      <c r="F1227">
        <f>AND(k_n&gt;=5,B1227&gt;A1227+1E-9,C1227&gt;=2,D1227&gt;=1,E1227&gt;=2)</f>
        <v/>
      </c>
      <c r="G1227">
        <f>SUMPRODUCT(Calc!$K$3:$K$22*(Calc!$G$3:$G$22&gt;A1227)*(Calc!$G$3:$G$22-A1227))</f>
        <v/>
      </c>
      <c r="H1227">
        <f>SUMPRODUCT(Calc!$K$3:$K$22*(Calc!$G$3:$G$22&gt;B1227)*(Calc!$G$3:$G$22-B1227))</f>
        <v/>
      </c>
      <c r="I1227">
        <f>SUMPRODUCT(Calc!$K$3:$K$22*(Calc!$G$3:$G$22&gt;A1227)*(Calc!$G$3:$G$22-A1227)^2)</f>
        <v/>
      </c>
      <c r="J1227">
        <f>SUMPRODUCT(Calc!$K$3:$K$22*(Calc!$G$3:$G$22&gt;B1227)*(Calc!$G$3:$G$22-B1227)^2)</f>
        <v/>
      </c>
      <c r="K1227">
        <f>SUMPRODUCT(Calc!$K$3:$K$22*(Calc!$G$3:$G$22&gt;A1227)*(Calc!$G$3:$G$22-A1227)*(Calc!$G$3:$G$22&gt;B1227)*(Calc!$G$3:$G$22-B1227))</f>
        <v/>
      </c>
      <c r="L1227">
        <f>SUMPRODUCT(Calc!$K$3:$K$22*(Calc!$G$3:$G$22&gt;A1227)*(Calc!$G$3:$G$22-A1227)*Calc!$G$3:$G$22)</f>
        <v/>
      </c>
      <c r="M1227">
        <f>SUMPRODUCT(Calc!$K$3:$K$22*(Calc!$G$3:$G$22&gt;B1227)*(Calc!$G$3:$G$22-B1227)*Calc!$G$3:$G$22)</f>
        <v/>
      </c>
      <c r="N1227">
        <f>SUMPRODUCT(Calc!$K$3:$K$22*(Calc!$G$3:$G$22&gt;A1227)*(Calc!$G$3:$G$22-A1227)*Calc!$I$3:$I$22)</f>
        <v/>
      </c>
      <c r="O1227">
        <f>SUMPRODUCT(Calc!$K$3:$K$22*(Calc!$G$3:$G$22&gt;B1227)*(Calc!$G$3:$G$22-B1227)*Calc!$I$3:$I$22)</f>
        <v/>
      </c>
      <c r="P1227">
        <f>I1227-G1227^2/k_n</f>
        <v/>
      </c>
      <c r="Q1227">
        <f>J1227-H1227^2/k_n</f>
        <v/>
      </c>
      <c r="R1227">
        <f>K1227-G1227*H1227/k_n</f>
        <v/>
      </c>
      <c r="S1227">
        <f>L1227-LTP3!$D$3*G1227/k_n</f>
        <v/>
      </c>
      <c r="T1227">
        <f>M1227-LTP3!$D$3*H1227/k_n</f>
        <v/>
      </c>
      <c r="U1227">
        <f>N1227-G1227*LTP3!$D$4/k_n</f>
        <v/>
      </c>
      <c r="V1227">
        <f>O1227-H1227*LTP3!$D$4/k_n</f>
        <v/>
      </c>
      <c r="W1227">
        <f>((LTP3!$D$5)*((P1227)*(Q1227)-(R1227)*(R1227))-(S1227)*((S1227)*(Q1227)-(R1227)*(T1227))+(T1227)*((S1227)*(R1227)-(P1227)*(T1227)))</f>
        <v/>
      </c>
      <c r="X1227">
        <f>IF(ABS(W1227)&gt;1E-12,((LTP3!$D$6)*((P1227)*(Q1227)-(R1227)*(R1227))-(S1227)*((U1227)*(Q1227)-(R1227)*(V1227))+(T1227)*((U1227)*(R1227)-(P1227)*(V1227)))/W1227,0)</f>
        <v/>
      </c>
      <c r="Y1227">
        <f>IF(ABS(W1227)&gt;1E-12,((LTP3!$D$5)*((U1227)*(Q1227)-(R1227)*(V1227))-(LTP3!$D$6)*((S1227)*(Q1227)-(R1227)*(T1227))+(T1227)*((S1227)*(V1227)-(U1227)*(T1227)))/W1227,0)</f>
        <v/>
      </c>
      <c r="Z1227">
        <f>IF(ABS(W1227)&gt;1E-12,((LTP3!$D$5)*((P1227)*(V1227)-(U1227)*(R1227))-(S1227)*((S1227)*(V1227)-(U1227)*(T1227))+(LTP3!$D$6)*((S1227)*(R1227)-(P1227)*(T1227)))/W1227,0)</f>
        <v/>
      </c>
      <c r="AA1227">
        <f>LTP3!$D$7-X1227*LTP3!$D$6-Y1227*U1227-Z1227*V1227</f>
        <v/>
      </c>
      <c r="AB1227">
        <f>IF(AND(F1227,ABS(W1227)&gt;1E-12,Y1227&gt;0,Z1227&gt;0),AA1227,1E+300)</f>
        <v/>
      </c>
    </row>
    <row r="1228">
      <c r="A1228">
        <f>$B$3+$B$5*19</f>
        <v/>
      </c>
      <c r="B1228">
        <f>$B$3+$B$5*57</f>
        <v/>
      </c>
      <c r="C1228">
        <f>SUMPRODUCT(Calc!$K$3:$K$22*(Calc!$G$3:$G$22&lt;=A1228))</f>
        <v/>
      </c>
      <c r="D1228">
        <f>SUMPRODUCT(Calc!$K$3:$K$22*(Calc!$G$3:$G$22&gt;A1228)*(Calc!$G$3:$G$22&lt;B1228))</f>
        <v/>
      </c>
      <c r="E1228">
        <f>SUMPRODUCT(Calc!$K$3:$K$22*(Calc!$G$3:$G$22&gt;=B1228))</f>
        <v/>
      </c>
      <c r="F1228">
        <f>AND(k_n&gt;=5,B1228&gt;A1228+1E-9,C1228&gt;=2,D1228&gt;=1,E1228&gt;=2)</f>
        <v/>
      </c>
      <c r="G1228">
        <f>SUMPRODUCT(Calc!$K$3:$K$22*(Calc!$G$3:$G$22&gt;A1228)*(Calc!$G$3:$G$22-A1228))</f>
        <v/>
      </c>
      <c r="H1228">
        <f>SUMPRODUCT(Calc!$K$3:$K$22*(Calc!$G$3:$G$22&gt;B1228)*(Calc!$G$3:$G$22-B1228))</f>
        <v/>
      </c>
      <c r="I1228">
        <f>SUMPRODUCT(Calc!$K$3:$K$22*(Calc!$G$3:$G$22&gt;A1228)*(Calc!$G$3:$G$22-A1228)^2)</f>
        <v/>
      </c>
      <c r="J1228">
        <f>SUMPRODUCT(Calc!$K$3:$K$22*(Calc!$G$3:$G$22&gt;B1228)*(Calc!$G$3:$G$22-B1228)^2)</f>
        <v/>
      </c>
      <c r="K1228">
        <f>SUMPRODUCT(Calc!$K$3:$K$22*(Calc!$G$3:$G$22&gt;A1228)*(Calc!$G$3:$G$22-A1228)*(Calc!$G$3:$G$22&gt;B1228)*(Calc!$G$3:$G$22-B1228))</f>
        <v/>
      </c>
      <c r="L1228">
        <f>SUMPRODUCT(Calc!$K$3:$K$22*(Calc!$G$3:$G$22&gt;A1228)*(Calc!$G$3:$G$22-A1228)*Calc!$G$3:$G$22)</f>
        <v/>
      </c>
      <c r="M1228">
        <f>SUMPRODUCT(Calc!$K$3:$K$22*(Calc!$G$3:$G$22&gt;B1228)*(Calc!$G$3:$G$22-B1228)*Calc!$G$3:$G$22)</f>
        <v/>
      </c>
      <c r="N1228">
        <f>SUMPRODUCT(Calc!$K$3:$K$22*(Calc!$G$3:$G$22&gt;A1228)*(Calc!$G$3:$G$22-A1228)*Calc!$I$3:$I$22)</f>
        <v/>
      </c>
      <c r="O1228">
        <f>SUMPRODUCT(Calc!$K$3:$K$22*(Calc!$G$3:$G$22&gt;B1228)*(Calc!$G$3:$G$22-B1228)*Calc!$I$3:$I$22)</f>
        <v/>
      </c>
      <c r="P1228">
        <f>I1228-G1228^2/k_n</f>
        <v/>
      </c>
      <c r="Q1228">
        <f>J1228-H1228^2/k_n</f>
        <v/>
      </c>
      <c r="R1228">
        <f>K1228-G1228*H1228/k_n</f>
        <v/>
      </c>
      <c r="S1228">
        <f>L1228-LTP3!$D$3*G1228/k_n</f>
        <v/>
      </c>
      <c r="T1228">
        <f>M1228-LTP3!$D$3*H1228/k_n</f>
        <v/>
      </c>
      <c r="U1228">
        <f>N1228-G1228*LTP3!$D$4/k_n</f>
        <v/>
      </c>
      <c r="V1228">
        <f>O1228-H1228*LTP3!$D$4/k_n</f>
        <v/>
      </c>
      <c r="W1228">
        <f>((LTP3!$D$5)*((P1228)*(Q1228)-(R1228)*(R1228))-(S1228)*((S1228)*(Q1228)-(R1228)*(T1228))+(T1228)*((S1228)*(R1228)-(P1228)*(T1228)))</f>
        <v/>
      </c>
      <c r="X1228">
        <f>IF(ABS(W1228)&gt;1E-12,((LTP3!$D$6)*((P1228)*(Q1228)-(R1228)*(R1228))-(S1228)*((U1228)*(Q1228)-(R1228)*(V1228))+(T1228)*((U1228)*(R1228)-(P1228)*(V1228)))/W1228,0)</f>
        <v/>
      </c>
      <c r="Y1228">
        <f>IF(ABS(W1228)&gt;1E-12,((LTP3!$D$5)*((U1228)*(Q1228)-(R1228)*(V1228))-(LTP3!$D$6)*((S1228)*(Q1228)-(R1228)*(T1228))+(T1228)*((S1228)*(V1228)-(U1228)*(T1228)))/W1228,0)</f>
        <v/>
      </c>
      <c r="Z1228">
        <f>IF(ABS(W1228)&gt;1E-12,((LTP3!$D$5)*((P1228)*(V1228)-(U1228)*(R1228))-(S1228)*((S1228)*(V1228)-(U1228)*(T1228))+(LTP3!$D$6)*((S1228)*(R1228)-(P1228)*(T1228)))/W1228,0)</f>
        <v/>
      </c>
      <c r="AA1228">
        <f>LTP3!$D$7-X1228*LTP3!$D$6-Y1228*U1228-Z1228*V1228</f>
        <v/>
      </c>
      <c r="AB1228">
        <f>IF(AND(F1228,ABS(W1228)&gt;1E-12,Y1228&gt;0,Z1228&gt;0),AA1228,1E+300)</f>
        <v/>
      </c>
    </row>
    <row r="1229">
      <c r="A1229">
        <f>$B$3+$B$5*19</f>
        <v/>
      </c>
      <c r="B1229">
        <f>$B$3+$B$5*58</f>
        <v/>
      </c>
      <c r="C1229">
        <f>SUMPRODUCT(Calc!$K$3:$K$22*(Calc!$G$3:$G$22&lt;=A1229))</f>
        <v/>
      </c>
      <c r="D1229">
        <f>SUMPRODUCT(Calc!$K$3:$K$22*(Calc!$G$3:$G$22&gt;A1229)*(Calc!$G$3:$G$22&lt;B1229))</f>
        <v/>
      </c>
      <c r="E1229">
        <f>SUMPRODUCT(Calc!$K$3:$K$22*(Calc!$G$3:$G$22&gt;=B1229))</f>
        <v/>
      </c>
      <c r="F1229">
        <f>AND(k_n&gt;=5,B1229&gt;A1229+1E-9,C1229&gt;=2,D1229&gt;=1,E1229&gt;=2)</f>
        <v/>
      </c>
      <c r="G1229">
        <f>SUMPRODUCT(Calc!$K$3:$K$22*(Calc!$G$3:$G$22&gt;A1229)*(Calc!$G$3:$G$22-A1229))</f>
        <v/>
      </c>
      <c r="H1229">
        <f>SUMPRODUCT(Calc!$K$3:$K$22*(Calc!$G$3:$G$22&gt;B1229)*(Calc!$G$3:$G$22-B1229))</f>
        <v/>
      </c>
      <c r="I1229">
        <f>SUMPRODUCT(Calc!$K$3:$K$22*(Calc!$G$3:$G$22&gt;A1229)*(Calc!$G$3:$G$22-A1229)^2)</f>
        <v/>
      </c>
      <c r="J1229">
        <f>SUMPRODUCT(Calc!$K$3:$K$22*(Calc!$G$3:$G$22&gt;B1229)*(Calc!$G$3:$G$22-B1229)^2)</f>
        <v/>
      </c>
      <c r="K1229">
        <f>SUMPRODUCT(Calc!$K$3:$K$22*(Calc!$G$3:$G$22&gt;A1229)*(Calc!$G$3:$G$22-A1229)*(Calc!$G$3:$G$22&gt;B1229)*(Calc!$G$3:$G$22-B1229))</f>
        <v/>
      </c>
      <c r="L1229">
        <f>SUMPRODUCT(Calc!$K$3:$K$22*(Calc!$G$3:$G$22&gt;A1229)*(Calc!$G$3:$G$22-A1229)*Calc!$G$3:$G$22)</f>
        <v/>
      </c>
      <c r="M1229">
        <f>SUMPRODUCT(Calc!$K$3:$K$22*(Calc!$G$3:$G$22&gt;B1229)*(Calc!$G$3:$G$22-B1229)*Calc!$G$3:$G$22)</f>
        <v/>
      </c>
      <c r="N1229">
        <f>SUMPRODUCT(Calc!$K$3:$K$22*(Calc!$G$3:$G$22&gt;A1229)*(Calc!$G$3:$G$22-A1229)*Calc!$I$3:$I$22)</f>
        <v/>
      </c>
      <c r="O1229">
        <f>SUMPRODUCT(Calc!$K$3:$K$22*(Calc!$G$3:$G$22&gt;B1229)*(Calc!$G$3:$G$22-B1229)*Calc!$I$3:$I$22)</f>
        <v/>
      </c>
      <c r="P1229">
        <f>I1229-G1229^2/k_n</f>
        <v/>
      </c>
      <c r="Q1229">
        <f>J1229-H1229^2/k_n</f>
        <v/>
      </c>
      <c r="R1229">
        <f>K1229-G1229*H1229/k_n</f>
        <v/>
      </c>
      <c r="S1229">
        <f>L1229-LTP3!$D$3*G1229/k_n</f>
        <v/>
      </c>
      <c r="T1229">
        <f>M1229-LTP3!$D$3*H1229/k_n</f>
        <v/>
      </c>
      <c r="U1229">
        <f>N1229-G1229*LTP3!$D$4/k_n</f>
        <v/>
      </c>
      <c r="V1229">
        <f>O1229-H1229*LTP3!$D$4/k_n</f>
        <v/>
      </c>
      <c r="W1229">
        <f>((LTP3!$D$5)*((P1229)*(Q1229)-(R1229)*(R1229))-(S1229)*((S1229)*(Q1229)-(R1229)*(T1229))+(T1229)*((S1229)*(R1229)-(P1229)*(T1229)))</f>
        <v/>
      </c>
      <c r="X1229">
        <f>IF(ABS(W1229)&gt;1E-12,((LTP3!$D$6)*((P1229)*(Q1229)-(R1229)*(R1229))-(S1229)*((U1229)*(Q1229)-(R1229)*(V1229))+(T1229)*((U1229)*(R1229)-(P1229)*(V1229)))/W1229,0)</f>
        <v/>
      </c>
      <c r="Y1229">
        <f>IF(ABS(W1229)&gt;1E-12,((LTP3!$D$5)*((U1229)*(Q1229)-(R1229)*(V1229))-(LTP3!$D$6)*((S1229)*(Q1229)-(R1229)*(T1229))+(T1229)*((S1229)*(V1229)-(U1229)*(T1229)))/W1229,0)</f>
        <v/>
      </c>
      <c r="Z1229">
        <f>IF(ABS(W1229)&gt;1E-12,((LTP3!$D$5)*((P1229)*(V1229)-(U1229)*(R1229))-(S1229)*((S1229)*(V1229)-(U1229)*(T1229))+(LTP3!$D$6)*((S1229)*(R1229)-(P1229)*(T1229)))/W1229,0)</f>
        <v/>
      </c>
      <c r="AA1229">
        <f>LTP3!$D$7-X1229*LTP3!$D$6-Y1229*U1229-Z1229*V1229</f>
        <v/>
      </c>
      <c r="AB1229">
        <f>IF(AND(F1229,ABS(W1229)&gt;1E-12,Y1229&gt;0,Z1229&gt;0),AA1229,1E+300)</f>
        <v/>
      </c>
    </row>
    <row r="1230">
      <c r="A1230">
        <f>$B$3+$B$5*19</f>
        <v/>
      </c>
      <c r="B1230">
        <f>$B$3+$B$5*59</f>
        <v/>
      </c>
      <c r="C1230">
        <f>SUMPRODUCT(Calc!$K$3:$K$22*(Calc!$G$3:$G$22&lt;=A1230))</f>
        <v/>
      </c>
      <c r="D1230">
        <f>SUMPRODUCT(Calc!$K$3:$K$22*(Calc!$G$3:$G$22&gt;A1230)*(Calc!$G$3:$G$22&lt;B1230))</f>
        <v/>
      </c>
      <c r="E1230">
        <f>SUMPRODUCT(Calc!$K$3:$K$22*(Calc!$G$3:$G$22&gt;=B1230))</f>
        <v/>
      </c>
      <c r="F1230">
        <f>AND(k_n&gt;=5,B1230&gt;A1230+1E-9,C1230&gt;=2,D1230&gt;=1,E1230&gt;=2)</f>
        <v/>
      </c>
      <c r="G1230">
        <f>SUMPRODUCT(Calc!$K$3:$K$22*(Calc!$G$3:$G$22&gt;A1230)*(Calc!$G$3:$G$22-A1230))</f>
        <v/>
      </c>
      <c r="H1230">
        <f>SUMPRODUCT(Calc!$K$3:$K$22*(Calc!$G$3:$G$22&gt;B1230)*(Calc!$G$3:$G$22-B1230))</f>
        <v/>
      </c>
      <c r="I1230">
        <f>SUMPRODUCT(Calc!$K$3:$K$22*(Calc!$G$3:$G$22&gt;A1230)*(Calc!$G$3:$G$22-A1230)^2)</f>
        <v/>
      </c>
      <c r="J1230">
        <f>SUMPRODUCT(Calc!$K$3:$K$22*(Calc!$G$3:$G$22&gt;B1230)*(Calc!$G$3:$G$22-B1230)^2)</f>
        <v/>
      </c>
      <c r="K1230">
        <f>SUMPRODUCT(Calc!$K$3:$K$22*(Calc!$G$3:$G$22&gt;A1230)*(Calc!$G$3:$G$22-A1230)*(Calc!$G$3:$G$22&gt;B1230)*(Calc!$G$3:$G$22-B1230))</f>
        <v/>
      </c>
      <c r="L1230">
        <f>SUMPRODUCT(Calc!$K$3:$K$22*(Calc!$G$3:$G$22&gt;A1230)*(Calc!$G$3:$G$22-A1230)*Calc!$G$3:$G$22)</f>
        <v/>
      </c>
      <c r="M1230">
        <f>SUMPRODUCT(Calc!$K$3:$K$22*(Calc!$G$3:$G$22&gt;B1230)*(Calc!$G$3:$G$22-B1230)*Calc!$G$3:$G$22)</f>
        <v/>
      </c>
      <c r="N1230">
        <f>SUMPRODUCT(Calc!$K$3:$K$22*(Calc!$G$3:$G$22&gt;A1230)*(Calc!$G$3:$G$22-A1230)*Calc!$I$3:$I$22)</f>
        <v/>
      </c>
      <c r="O1230">
        <f>SUMPRODUCT(Calc!$K$3:$K$22*(Calc!$G$3:$G$22&gt;B1230)*(Calc!$G$3:$G$22-B1230)*Calc!$I$3:$I$22)</f>
        <v/>
      </c>
      <c r="P1230">
        <f>I1230-G1230^2/k_n</f>
        <v/>
      </c>
      <c r="Q1230">
        <f>J1230-H1230^2/k_n</f>
        <v/>
      </c>
      <c r="R1230">
        <f>K1230-G1230*H1230/k_n</f>
        <v/>
      </c>
      <c r="S1230">
        <f>L1230-LTP3!$D$3*G1230/k_n</f>
        <v/>
      </c>
      <c r="T1230">
        <f>M1230-LTP3!$D$3*H1230/k_n</f>
        <v/>
      </c>
      <c r="U1230">
        <f>N1230-G1230*LTP3!$D$4/k_n</f>
        <v/>
      </c>
      <c r="V1230">
        <f>O1230-H1230*LTP3!$D$4/k_n</f>
        <v/>
      </c>
      <c r="W1230">
        <f>((LTP3!$D$5)*((P1230)*(Q1230)-(R1230)*(R1230))-(S1230)*((S1230)*(Q1230)-(R1230)*(T1230))+(T1230)*((S1230)*(R1230)-(P1230)*(T1230)))</f>
        <v/>
      </c>
      <c r="X1230">
        <f>IF(ABS(W1230)&gt;1E-12,((LTP3!$D$6)*((P1230)*(Q1230)-(R1230)*(R1230))-(S1230)*((U1230)*(Q1230)-(R1230)*(V1230))+(T1230)*((U1230)*(R1230)-(P1230)*(V1230)))/W1230,0)</f>
        <v/>
      </c>
      <c r="Y1230">
        <f>IF(ABS(W1230)&gt;1E-12,((LTP3!$D$5)*((U1230)*(Q1230)-(R1230)*(V1230))-(LTP3!$D$6)*((S1230)*(Q1230)-(R1230)*(T1230))+(T1230)*((S1230)*(V1230)-(U1230)*(T1230)))/W1230,0)</f>
        <v/>
      </c>
      <c r="Z1230">
        <f>IF(ABS(W1230)&gt;1E-12,((LTP3!$D$5)*((P1230)*(V1230)-(U1230)*(R1230))-(S1230)*((S1230)*(V1230)-(U1230)*(T1230))+(LTP3!$D$6)*((S1230)*(R1230)-(P1230)*(T1230)))/W1230,0)</f>
        <v/>
      </c>
      <c r="AA1230">
        <f>LTP3!$D$7-X1230*LTP3!$D$6-Y1230*U1230-Z1230*V1230</f>
        <v/>
      </c>
      <c r="AB1230">
        <f>IF(AND(F1230,ABS(W1230)&gt;1E-12,Y1230&gt;0,Z1230&gt;0),AA1230,1E+300)</f>
        <v/>
      </c>
    </row>
    <row r="1231">
      <c r="A1231">
        <f>$B$3+$B$5*19</f>
        <v/>
      </c>
      <c r="B1231">
        <f>$B$3+$B$5*60</f>
        <v/>
      </c>
      <c r="C1231">
        <f>SUMPRODUCT(Calc!$K$3:$K$22*(Calc!$G$3:$G$22&lt;=A1231))</f>
        <v/>
      </c>
      <c r="D1231">
        <f>SUMPRODUCT(Calc!$K$3:$K$22*(Calc!$G$3:$G$22&gt;A1231)*(Calc!$G$3:$G$22&lt;B1231))</f>
        <v/>
      </c>
      <c r="E1231">
        <f>SUMPRODUCT(Calc!$K$3:$K$22*(Calc!$G$3:$G$22&gt;=B1231))</f>
        <v/>
      </c>
      <c r="F1231">
        <f>AND(k_n&gt;=5,B1231&gt;A1231+1E-9,C1231&gt;=2,D1231&gt;=1,E1231&gt;=2)</f>
        <v/>
      </c>
      <c r="G1231">
        <f>SUMPRODUCT(Calc!$K$3:$K$22*(Calc!$G$3:$G$22&gt;A1231)*(Calc!$G$3:$G$22-A1231))</f>
        <v/>
      </c>
      <c r="H1231">
        <f>SUMPRODUCT(Calc!$K$3:$K$22*(Calc!$G$3:$G$22&gt;B1231)*(Calc!$G$3:$G$22-B1231))</f>
        <v/>
      </c>
      <c r="I1231">
        <f>SUMPRODUCT(Calc!$K$3:$K$22*(Calc!$G$3:$G$22&gt;A1231)*(Calc!$G$3:$G$22-A1231)^2)</f>
        <v/>
      </c>
      <c r="J1231">
        <f>SUMPRODUCT(Calc!$K$3:$K$22*(Calc!$G$3:$G$22&gt;B1231)*(Calc!$G$3:$G$22-B1231)^2)</f>
        <v/>
      </c>
      <c r="K1231">
        <f>SUMPRODUCT(Calc!$K$3:$K$22*(Calc!$G$3:$G$22&gt;A1231)*(Calc!$G$3:$G$22-A1231)*(Calc!$G$3:$G$22&gt;B1231)*(Calc!$G$3:$G$22-B1231))</f>
        <v/>
      </c>
      <c r="L1231">
        <f>SUMPRODUCT(Calc!$K$3:$K$22*(Calc!$G$3:$G$22&gt;A1231)*(Calc!$G$3:$G$22-A1231)*Calc!$G$3:$G$22)</f>
        <v/>
      </c>
      <c r="M1231">
        <f>SUMPRODUCT(Calc!$K$3:$K$22*(Calc!$G$3:$G$22&gt;B1231)*(Calc!$G$3:$G$22-B1231)*Calc!$G$3:$G$22)</f>
        <v/>
      </c>
      <c r="N1231">
        <f>SUMPRODUCT(Calc!$K$3:$K$22*(Calc!$G$3:$G$22&gt;A1231)*(Calc!$G$3:$G$22-A1231)*Calc!$I$3:$I$22)</f>
        <v/>
      </c>
      <c r="O1231">
        <f>SUMPRODUCT(Calc!$K$3:$K$22*(Calc!$G$3:$G$22&gt;B1231)*(Calc!$G$3:$G$22-B1231)*Calc!$I$3:$I$22)</f>
        <v/>
      </c>
      <c r="P1231">
        <f>I1231-G1231^2/k_n</f>
        <v/>
      </c>
      <c r="Q1231">
        <f>J1231-H1231^2/k_n</f>
        <v/>
      </c>
      <c r="R1231">
        <f>K1231-G1231*H1231/k_n</f>
        <v/>
      </c>
      <c r="S1231">
        <f>L1231-LTP3!$D$3*G1231/k_n</f>
        <v/>
      </c>
      <c r="T1231">
        <f>M1231-LTP3!$D$3*H1231/k_n</f>
        <v/>
      </c>
      <c r="U1231">
        <f>N1231-G1231*LTP3!$D$4/k_n</f>
        <v/>
      </c>
      <c r="V1231">
        <f>O1231-H1231*LTP3!$D$4/k_n</f>
        <v/>
      </c>
      <c r="W1231">
        <f>((LTP3!$D$5)*((P1231)*(Q1231)-(R1231)*(R1231))-(S1231)*((S1231)*(Q1231)-(R1231)*(T1231))+(T1231)*((S1231)*(R1231)-(P1231)*(T1231)))</f>
        <v/>
      </c>
      <c r="X1231">
        <f>IF(ABS(W1231)&gt;1E-12,((LTP3!$D$6)*((P1231)*(Q1231)-(R1231)*(R1231))-(S1231)*((U1231)*(Q1231)-(R1231)*(V1231))+(T1231)*((U1231)*(R1231)-(P1231)*(V1231)))/W1231,0)</f>
        <v/>
      </c>
      <c r="Y1231">
        <f>IF(ABS(W1231)&gt;1E-12,((LTP3!$D$5)*((U1231)*(Q1231)-(R1231)*(V1231))-(LTP3!$D$6)*((S1231)*(Q1231)-(R1231)*(T1231))+(T1231)*((S1231)*(V1231)-(U1231)*(T1231)))/W1231,0)</f>
        <v/>
      </c>
      <c r="Z1231">
        <f>IF(ABS(W1231)&gt;1E-12,((LTP3!$D$5)*((P1231)*(V1231)-(U1231)*(R1231))-(S1231)*((S1231)*(V1231)-(U1231)*(T1231))+(LTP3!$D$6)*((S1231)*(R1231)-(P1231)*(T1231)))/W1231,0)</f>
        <v/>
      </c>
      <c r="AA1231">
        <f>LTP3!$D$7-X1231*LTP3!$D$6-Y1231*U1231-Z1231*V1231</f>
        <v/>
      </c>
      <c r="AB1231">
        <f>IF(AND(F1231,ABS(W1231)&gt;1E-12,Y1231&gt;0,Z1231&gt;0),AA1231,1E+300)</f>
        <v/>
      </c>
    </row>
    <row r="1232">
      <c r="A1232">
        <f>$B$3+$B$5*20</f>
        <v/>
      </c>
      <c r="B1232">
        <f>$B$3+$B$5*0</f>
        <v/>
      </c>
      <c r="C1232">
        <f>SUMPRODUCT(Calc!$K$3:$K$22*(Calc!$G$3:$G$22&lt;=A1232))</f>
        <v/>
      </c>
      <c r="D1232">
        <f>SUMPRODUCT(Calc!$K$3:$K$22*(Calc!$G$3:$G$22&gt;A1232)*(Calc!$G$3:$G$22&lt;B1232))</f>
        <v/>
      </c>
      <c r="E1232">
        <f>SUMPRODUCT(Calc!$K$3:$K$22*(Calc!$G$3:$G$22&gt;=B1232))</f>
        <v/>
      </c>
      <c r="F1232">
        <f>AND(k_n&gt;=5,B1232&gt;A1232+1E-9,C1232&gt;=2,D1232&gt;=1,E1232&gt;=2)</f>
        <v/>
      </c>
      <c r="G1232">
        <f>SUMPRODUCT(Calc!$K$3:$K$22*(Calc!$G$3:$G$22&gt;A1232)*(Calc!$G$3:$G$22-A1232))</f>
        <v/>
      </c>
      <c r="H1232">
        <f>SUMPRODUCT(Calc!$K$3:$K$22*(Calc!$G$3:$G$22&gt;B1232)*(Calc!$G$3:$G$22-B1232))</f>
        <v/>
      </c>
      <c r="I1232">
        <f>SUMPRODUCT(Calc!$K$3:$K$22*(Calc!$G$3:$G$22&gt;A1232)*(Calc!$G$3:$G$22-A1232)^2)</f>
        <v/>
      </c>
      <c r="J1232">
        <f>SUMPRODUCT(Calc!$K$3:$K$22*(Calc!$G$3:$G$22&gt;B1232)*(Calc!$G$3:$G$22-B1232)^2)</f>
        <v/>
      </c>
      <c r="K1232">
        <f>SUMPRODUCT(Calc!$K$3:$K$22*(Calc!$G$3:$G$22&gt;A1232)*(Calc!$G$3:$G$22-A1232)*(Calc!$G$3:$G$22&gt;B1232)*(Calc!$G$3:$G$22-B1232))</f>
        <v/>
      </c>
      <c r="L1232">
        <f>SUMPRODUCT(Calc!$K$3:$K$22*(Calc!$G$3:$G$22&gt;A1232)*(Calc!$G$3:$G$22-A1232)*Calc!$G$3:$G$22)</f>
        <v/>
      </c>
      <c r="M1232">
        <f>SUMPRODUCT(Calc!$K$3:$K$22*(Calc!$G$3:$G$22&gt;B1232)*(Calc!$G$3:$G$22-B1232)*Calc!$G$3:$G$22)</f>
        <v/>
      </c>
      <c r="N1232">
        <f>SUMPRODUCT(Calc!$K$3:$K$22*(Calc!$G$3:$G$22&gt;A1232)*(Calc!$G$3:$G$22-A1232)*Calc!$I$3:$I$22)</f>
        <v/>
      </c>
      <c r="O1232">
        <f>SUMPRODUCT(Calc!$K$3:$K$22*(Calc!$G$3:$G$22&gt;B1232)*(Calc!$G$3:$G$22-B1232)*Calc!$I$3:$I$22)</f>
        <v/>
      </c>
      <c r="P1232">
        <f>I1232-G1232^2/k_n</f>
        <v/>
      </c>
      <c r="Q1232">
        <f>J1232-H1232^2/k_n</f>
        <v/>
      </c>
      <c r="R1232">
        <f>K1232-G1232*H1232/k_n</f>
        <v/>
      </c>
      <c r="S1232">
        <f>L1232-LTP3!$D$3*G1232/k_n</f>
        <v/>
      </c>
      <c r="T1232">
        <f>M1232-LTP3!$D$3*H1232/k_n</f>
        <v/>
      </c>
      <c r="U1232">
        <f>N1232-G1232*LTP3!$D$4/k_n</f>
        <v/>
      </c>
      <c r="V1232">
        <f>O1232-H1232*LTP3!$D$4/k_n</f>
        <v/>
      </c>
      <c r="W1232">
        <f>((LTP3!$D$5)*((P1232)*(Q1232)-(R1232)*(R1232))-(S1232)*((S1232)*(Q1232)-(R1232)*(T1232))+(T1232)*((S1232)*(R1232)-(P1232)*(T1232)))</f>
        <v/>
      </c>
      <c r="X1232">
        <f>IF(ABS(W1232)&gt;1E-12,((LTP3!$D$6)*((P1232)*(Q1232)-(R1232)*(R1232))-(S1232)*((U1232)*(Q1232)-(R1232)*(V1232))+(T1232)*((U1232)*(R1232)-(P1232)*(V1232)))/W1232,0)</f>
        <v/>
      </c>
      <c r="Y1232">
        <f>IF(ABS(W1232)&gt;1E-12,((LTP3!$D$5)*((U1232)*(Q1232)-(R1232)*(V1232))-(LTP3!$D$6)*((S1232)*(Q1232)-(R1232)*(T1232))+(T1232)*((S1232)*(V1232)-(U1232)*(T1232)))/W1232,0)</f>
        <v/>
      </c>
      <c r="Z1232">
        <f>IF(ABS(W1232)&gt;1E-12,((LTP3!$D$5)*((P1232)*(V1232)-(U1232)*(R1232))-(S1232)*((S1232)*(V1232)-(U1232)*(T1232))+(LTP3!$D$6)*((S1232)*(R1232)-(P1232)*(T1232)))/W1232,0)</f>
        <v/>
      </c>
      <c r="AA1232">
        <f>LTP3!$D$7-X1232*LTP3!$D$6-Y1232*U1232-Z1232*V1232</f>
        <v/>
      </c>
      <c r="AB1232">
        <f>IF(AND(F1232,ABS(W1232)&gt;1E-12,Y1232&gt;0,Z1232&gt;0),AA1232,1E+300)</f>
        <v/>
      </c>
    </row>
    <row r="1233">
      <c r="A1233">
        <f>$B$3+$B$5*20</f>
        <v/>
      </c>
      <c r="B1233">
        <f>$B$3+$B$5*1</f>
        <v/>
      </c>
      <c r="C1233">
        <f>SUMPRODUCT(Calc!$K$3:$K$22*(Calc!$G$3:$G$22&lt;=A1233))</f>
        <v/>
      </c>
      <c r="D1233">
        <f>SUMPRODUCT(Calc!$K$3:$K$22*(Calc!$G$3:$G$22&gt;A1233)*(Calc!$G$3:$G$22&lt;B1233))</f>
        <v/>
      </c>
      <c r="E1233">
        <f>SUMPRODUCT(Calc!$K$3:$K$22*(Calc!$G$3:$G$22&gt;=B1233))</f>
        <v/>
      </c>
      <c r="F1233">
        <f>AND(k_n&gt;=5,B1233&gt;A1233+1E-9,C1233&gt;=2,D1233&gt;=1,E1233&gt;=2)</f>
        <v/>
      </c>
      <c r="G1233">
        <f>SUMPRODUCT(Calc!$K$3:$K$22*(Calc!$G$3:$G$22&gt;A1233)*(Calc!$G$3:$G$22-A1233))</f>
        <v/>
      </c>
      <c r="H1233">
        <f>SUMPRODUCT(Calc!$K$3:$K$22*(Calc!$G$3:$G$22&gt;B1233)*(Calc!$G$3:$G$22-B1233))</f>
        <v/>
      </c>
      <c r="I1233">
        <f>SUMPRODUCT(Calc!$K$3:$K$22*(Calc!$G$3:$G$22&gt;A1233)*(Calc!$G$3:$G$22-A1233)^2)</f>
        <v/>
      </c>
      <c r="J1233">
        <f>SUMPRODUCT(Calc!$K$3:$K$22*(Calc!$G$3:$G$22&gt;B1233)*(Calc!$G$3:$G$22-B1233)^2)</f>
        <v/>
      </c>
      <c r="K1233">
        <f>SUMPRODUCT(Calc!$K$3:$K$22*(Calc!$G$3:$G$22&gt;A1233)*(Calc!$G$3:$G$22-A1233)*(Calc!$G$3:$G$22&gt;B1233)*(Calc!$G$3:$G$22-B1233))</f>
        <v/>
      </c>
      <c r="L1233">
        <f>SUMPRODUCT(Calc!$K$3:$K$22*(Calc!$G$3:$G$22&gt;A1233)*(Calc!$G$3:$G$22-A1233)*Calc!$G$3:$G$22)</f>
        <v/>
      </c>
      <c r="M1233">
        <f>SUMPRODUCT(Calc!$K$3:$K$22*(Calc!$G$3:$G$22&gt;B1233)*(Calc!$G$3:$G$22-B1233)*Calc!$G$3:$G$22)</f>
        <v/>
      </c>
      <c r="N1233">
        <f>SUMPRODUCT(Calc!$K$3:$K$22*(Calc!$G$3:$G$22&gt;A1233)*(Calc!$G$3:$G$22-A1233)*Calc!$I$3:$I$22)</f>
        <v/>
      </c>
      <c r="O1233">
        <f>SUMPRODUCT(Calc!$K$3:$K$22*(Calc!$G$3:$G$22&gt;B1233)*(Calc!$G$3:$G$22-B1233)*Calc!$I$3:$I$22)</f>
        <v/>
      </c>
      <c r="P1233">
        <f>I1233-G1233^2/k_n</f>
        <v/>
      </c>
      <c r="Q1233">
        <f>J1233-H1233^2/k_n</f>
        <v/>
      </c>
      <c r="R1233">
        <f>K1233-G1233*H1233/k_n</f>
        <v/>
      </c>
      <c r="S1233">
        <f>L1233-LTP3!$D$3*G1233/k_n</f>
        <v/>
      </c>
      <c r="T1233">
        <f>M1233-LTP3!$D$3*H1233/k_n</f>
        <v/>
      </c>
      <c r="U1233">
        <f>N1233-G1233*LTP3!$D$4/k_n</f>
        <v/>
      </c>
      <c r="V1233">
        <f>O1233-H1233*LTP3!$D$4/k_n</f>
        <v/>
      </c>
      <c r="W1233">
        <f>((LTP3!$D$5)*((P1233)*(Q1233)-(R1233)*(R1233))-(S1233)*((S1233)*(Q1233)-(R1233)*(T1233))+(T1233)*((S1233)*(R1233)-(P1233)*(T1233)))</f>
        <v/>
      </c>
      <c r="X1233">
        <f>IF(ABS(W1233)&gt;1E-12,((LTP3!$D$6)*((P1233)*(Q1233)-(R1233)*(R1233))-(S1233)*((U1233)*(Q1233)-(R1233)*(V1233))+(T1233)*((U1233)*(R1233)-(P1233)*(V1233)))/W1233,0)</f>
        <v/>
      </c>
      <c r="Y1233">
        <f>IF(ABS(W1233)&gt;1E-12,((LTP3!$D$5)*((U1233)*(Q1233)-(R1233)*(V1233))-(LTP3!$D$6)*((S1233)*(Q1233)-(R1233)*(T1233))+(T1233)*((S1233)*(V1233)-(U1233)*(T1233)))/W1233,0)</f>
        <v/>
      </c>
      <c r="Z1233">
        <f>IF(ABS(W1233)&gt;1E-12,((LTP3!$D$5)*((P1233)*(V1233)-(U1233)*(R1233))-(S1233)*((S1233)*(V1233)-(U1233)*(T1233))+(LTP3!$D$6)*((S1233)*(R1233)-(P1233)*(T1233)))/W1233,0)</f>
        <v/>
      </c>
      <c r="AA1233">
        <f>LTP3!$D$7-X1233*LTP3!$D$6-Y1233*U1233-Z1233*V1233</f>
        <v/>
      </c>
      <c r="AB1233">
        <f>IF(AND(F1233,ABS(W1233)&gt;1E-12,Y1233&gt;0,Z1233&gt;0),AA1233,1E+300)</f>
        <v/>
      </c>
    </row>
    <row r="1234">
      <c r="A1234">
        <f>$B$3+$B$5*20</f>
        <v/>
      </c>
      <c r="B1234">
        <f>$B$3+$B$5*2</f>
        <v/>
      </c>
      <c r="C1234">
        <f>SUMPRODUCT(Calc!$K$3:$K$22*(Calc!$G$3:$G$22&lt;=A1234))</f>
        <v/>
      </c>
      <c r="D1234">
        <f>SUMPRODUCT(Calc!$K$3:$K$22*(Calc!$G$3:$G$22&gt;A1234)*(Calc!$G$3:$G$22&lt;B1234))</f>
        <v/>
      </c>
      <c r="E1234">
        <f>SUMPRODUCT(Calc!$K$3:$K$22*(Calc!$G$3:$G$22&gt;=B1234))</f>
        <v/>
      </c>
      <c r="F1234">
        <f>AND(k_n&gt;=5,B1234&gt;A1234+1E-9,C1234&gt;=2,D1234&gt;=1,E1234&gt;=2)</f>
        <v/>
      </c>
      <c r="G1234">
        <f>SUMPRODUCT(Calc!$K$3:$K$22*(Calc!$G$3:$G$22&gt;A1234)*(Calc!$G$3:$G$22-A1234))</f>
        <v/>
      </c>
      <c r="H1234">
        <f>SUMPRODUCT(Calc!$K$3:$K$22*(Calc!$G$3:$G$22&gt;B1234)*(Calc!$G$3:$G$22-B1234))</f>
        <v/>
      </c>
      <c r="I1234">
        <f>SUMPRODUCT(Calc!$K$3:$K$22*(Calc!$G$3:$G$22&gt;A1234)*(Calc!$G$3:$G$22-A1234)^2)</f>
        <v/>
      </c>
      <c r="J1234">
        <f>SUMPRODUCT(Calc!$K$3:$K$22*(Calc!$G$3:$G$22&gt;B1234)*(Calc!$G$3:$G$22-B1234)^2)</f>
        <v/>
      </c>
      <c r="K1234">
        <f>SUMPRODUCT(Calc!$K$3:$K$22*(Calc!$G$3:$G$22&gt;A1234)*(Calc!$G$3:$G$22-A1234)*(Calc!$G$3:$G$22&gt;B1234)*(Calc!$G$3:$G$22-B1234))</f>
        <v/>
      </c>
      <c r="L1234">
        <f>SUMPRODUCT(Calc!$K$3:$K$22*(Calc!$G$3:$G$22&gt;A1234)*(Calc!$G$3:$G$22-A1234)*Calc!$G$3:$G$22)</f>
        <v/>
      </c>
      <c r="M1234">
        <f>SUMPRODUCT(Calc!$K$3:$K$22*(Calc!$G$3:$G$22&gt;B1234)*(Calc!$G$3:$G$22-B1234)*Calc!$G$3:$G$22)</f>
        <v/>
      </c>
      <c r="N1234">
        <f>SUMPRODUCT(Calc!$K$3:$K$22*(Calc!$G$3:$G$22&gt;A1234)*(Calc!$G$3:$G$22-A1234)*Calc!$I$3:$I$22)</f>
        <v/>
      </c>
      <c r="O1234">
        <f>SUMPRODUCT(Calc!$K$3:$K$22*(Calc!$G$3:$G$22&gt;B1234)*(Calc!$G$3:$G$22-B1234)*Calc!$I$3:$I$22)</f>
        <v/>
      </c>
      <c r="P1234">
        <f>I1234-G1234^2/k_n</f>
        <v/>
      </c>
      <c r="Q1234">
        <f>J1234-H1234^2/k_n</f>
        <v/>
      </c>
      <c r="R1234">
        <f>K1234-G1234*H1234/k_n</f>
        <v/>
      </c>
      <c r="S1234">
        <f>L1234-LTP3!$D$3*G1234/k_n</f>
        <v/>
      </c>
      <c r="T1234">
        <f>M1234-LTP3!$D$3*H1234/k_n</f>
        <v/>
      </c>
      <c r="U1234">
        <f>N1234-G1234*LTP3!$D$4/k_n</f>
        <v/>
      </c>
      <c r="V1234">
        <f>O1234-H1234*LTP3!$D$4/k_n</f>
        <v/>
      </c>
      <c r="W1234">
        <f>((LTP3!$D$5)*((P1234)*(Q1234)-(R1234)*(R1234))-(S1234)*((S1234)*(Q1234)-(R1234)*(T1234))+(T1234)*((S1234)*(R1234)-(P1234)*(T1234)))</f>
        <v/>
      </c>
      <c r="X1234">
        <f>IF(ABS(W1234)&gt;1E-12,((LTP3!$D$6)*((P1234)*(Q1234)-(R1234)*(R1234))-(S1234)*((U1234)*(Q1234)-(R1234)*(V1234))+(T1234)*((U1234)*(R1234)-(P1234)*(V1234)))/W1234,0)</f>
        <v/>
      </c>
      <c r="Y1234">
        <f>IF(ABS(W1234)&gt;1E-12,((LTP3!$D$5)*((U1234)*(Q1234)-(R1234)*(V1234))-(LTP3!$D$6)*((S1234)*(Q1234)-(R1234)*(T1234))+(T1234)*((S1234)*(V1234)-(U1234)*(T1234)))/W1234,0)</f>
        <v/>
      </c>
      <c r="Z1234">
        <f>IF(ABS(W1234)&gt;1E-12,((LTP3!$D$5)*((P1234)*(V1234)-(U1234)*(R1234))-(S1234)*((S1234)*(V1234)-(U1234)*(T1234))+(LTP3!$D$6)*((S1234)*(R1234)-(P1234)*(T1234)))/W1234,0)</f>
        <v/>
      </c>
      <c r="AA1234">
        <f>LTP3!$D$7-X1234*LTP3!$D$6-Y1234*U1234-Z1234*V1234</f>
        <v/>
      </c>
      <c r="AB1234">
        <f>IF(AND(F1234,ABS(W1234)&gt;1E-12,Y1234&gt;0,Z1234&gt;0),AA1234,1E+300)</f>
        <v/>
      </c>
    </row>
    <row r="1235">
      <c r="A1235">
        <f>$B$3+$B$5*20</f>
        <v/>
      </c>
      <c r="B1235">
        <f>$B$3+$B$5*3</f>
        <v/>
      </c>
      <c r="C1235">
        <f>SUMPRODUCT(Calc!$K$3:$K$22*(Calc!$G$3:$G$22&lt;=A1235))</f>
        <v/>
      </c>
      <c r="D1235">
        <f>SUMPRODUCT(Calc!$K$3:$K$22*(Calc!$G$3:$G$22&gt;A1235)*(Calc!$G$3:$G$22&lt;B1235))</f>
        <v/>
      </c>
      <c r="E1235">
        <f>SUMPRODUCT(Calc!$K$3:$K$22*(Calc!$G$3:$G$22&gt;=B1235))</f>
        <v/>
      </c>
      <c r="F1235">
        <f>AND(k_n&gt;=5,B1235&gt;A1235+1E-9,C1235&gt;=2,D1235&gt;=1,E1235&gt;=2)</f>
        <v/>
      </c>
      <c r="G1235">
        <f>SUMPRODUCT(Calc!$K$3:$K$22*(Calc!$G$3:$G$22&gt;A1235)*(Calc!$G$3:$G$22-A1235))</f>
        <v/>
      </c>
      <c r="H1235">
        <f>SUMPRODUCT(Calc!$K$3:$K$22*(Calc!$G$3:$G$22&gt;B1235)*(Calc!$G$3:$G$22-B1235))</f>
        <v/>
      </c>
      <c r="I1235">
        <f>SUMPRODUCT(Calc!$K$3:$K$22*(Calc!$G$3:$G$22&gt;A1235)*(Calc!$G$3:$G$22-A1235)^2)</f>
        <v/>
      </c>
      <c r="J1235">
        <f>SUMPRODUCT(Calc!$K$3:$K$22*(Calc!$G$3:$G$22&gt;B1235)*(Calc!$G$3:$G$22-B1235)^2)</f>
        <v/>
      </c>
      <c r="K1235">
        <f>SUMPRODUCT(Calc!$K$3:$K$22*(Calc!$G$3:$G$22&gt;A1235)*(Calc!$G$3:$G$22-A1235)*(Calc!$G$3:$G$22&gt;B1235)*(Calc!$G$3:$G$22-B1235))</f>
        <v/>
      </c>
      <c r="L1235">
        <f>SUMPRODUCT(Calc!$K$3:$K$22*(Calc!$G$3:$G$22&gt;A1235)*(Calc!$G$3:$G$22-A1235)*Calc!$G$3:$G$22)</f>
        <v/>
      </c>
      <c r="M1235">
        <f>SUMPRODUCT(Calc!$K$3:$K$22*(Calc!$G$3:$G$22&gt;B1235)*(Calc!$G$3:$G$22-B1235)*Calc!$G$3:$G$22)</f>
        <v/>
      </c>
      <c r="N1235">
        <f>SUMPRODUCT(Calc!$K$3:$K$22*(Calc!$G$3:$G$22&gt;A1235)*(Calc!$G$3:$G$22-A1235)*Calc!$I$3:$I$22)</f>
        <v/>
      </c>
      <c r="O1235">
        <f>SUMPRODUCT(Calc!$K$3:$K$22*(Calc!$G$3:$G$22&gt;B1235)*(Calc!$G$3:$G$22-B1235)*Calc!$I$3:$I$22)</f>
        <v/>
      </c>
      <c r="P1235">
        <f>I1235-G1235^2/k_n</f>
        <v/>
      </c>
      <c r="Q1235">
        <f>J1235-H1235^2/k_n</f>
        <v/>
      </c>
      <c r="R1235">
        <f>K1235-G1235*H1235/k_n</f>
        <v/>
      </c>
      <c r="S1235">
        <f>L1235-LTP3!$D$3*G1235/k_n</f>
        <v/>
      </c>
      <c r="T1235">
        <f>M1235-LTP3!$D$3*H1235/k_n</f>
        <v/>
      </c>
      <c r="U1235">
        <f>N1235-G1235*LTP3!$D$4/k_n</f>
        <v/>
      </c>
      <c r="V1235">
        <f>O1235-H1235*LTP3!$D$4/k_n</f>
        <v/>
      </c>
      <c r="W1235">
        <f>((LTP3!$D$5)*((P1235)*(Q1235)-(R1235)*(R1235))-(S1235)*((S1235)*(Q1235)-(R1235)*(T1235))+(T1235)*((S1235)*(R1235)-(P1235)*(T1235)))</f>
        <v/>
      </c>
      <c r="X1235">
        <f>IF(ABS(W1235)&gt;1E-12,((LTP3!$D$6)*((P1235)*(Q1235)-(R1235)*(R1235))-(S1235)*((U1235)*(Q1235)-(R1235)*(V1235))+(T1235)*((U1235)*(R1235)-(P1235)*(V1235)))/W1235,0)</f>
        <v/>
      </c>
      <c r="Y1235">
        <f>IF(ABS(W1235)&gt;1E-12,((LTP3!$D$5)*((U1235)*(Q1235)-(R1235)*(V1235))-(LTP3!$D$6)*((S1235)*(Q1235)-(R1235)*(T1235))+(T1235)*((S1235)*(V1235)-(U1235)*(T1235)))/W1235,0)</f>
        <v/>
      </c>
      <c r="Z1235">
        <f>IF(ABS(W1235)&gt;1E-12,((LTP3!$D$5)*((P1235)*(V1235)-(U1235)*(R1235))-(S1235)*((S1235)*(V1235)-(U1235)*(T1235))+(LTP3!$D$6)*((S1235)*(R1235)-(P1235)*(T1235)))/W1235,0)</f>
        <v/>
      </c>
      <c r="AA1235">
        <f>LTP3!$D$7-X1235*LTP3!$D$6-Y1235*U1235-Z1235*V1235</f>
        <v/>
      </c>
      <c r="AB1235">
        <f>IF(AND(F1235,ABS(W1235)&gt;1E-12,Y1235&gt;0,Z1235&gt;0),AA1235,1E+300)</f>
        <v/>
      </c>
    </row>
    <row r="1236">
      <c r="A1236">
        <f>$B$3+$B$5*20</f>
        <v/>
      </c>
      <c r="B1236">
        <f>$B$3+$B$5*4</f>
        <v/>
      </c>
      <c r="C1236">
        <f>SUMPRODUCT(Calc!$K$3:$K$22*(Calc!$G$3:$G$22&lt;=A1236))</f>
        <v/>
      </c>
      <c r="D1236">
        <f>SUMPRODUCT(Calc!$K$3:$K$22*(Calc!$G$3:$G$22&gt;A1236)*(Calc!$G$3:$G$22&lt;B1236))</f>
        <v/>
      </c>
      <c r="E1236">
        <f>SUMPRODUCT(Calc!$K$3:$K$22*(Calc!$G$3:$G$22&gt;=B1236))</f>
        <v/>
      </c>
      <c r="F1236">
        <f>AND(k_n&gt;=5,B1236&gt;A1236+1E-9,C1236&gt;=2,D1236&gt;=1,E1236&gt;=2)</f>
        <v/>
      </c>
      <c r="G1236">
        <f>SUMPRODUCT(Calc!$K$3:$K$22*(Calc!$G$3:$G$22&gt;A1236)*(Calc!$G$3:$G$22-A1236))</f>
        <v/>
      </c>
      <c r="H1236">
        <f>SUMPRODUCT(Calc!$K$3:$K$22*(Calc!$G$3:$G$22&gt;B1236)*(Calc!$G$3:$G$22-B1236))</f>
        <v/>
      </c>
      <c r="I1236">
        <f>SUMPRODUCT(Calc!$K$3:$K$22*(Calc!$G$3:$G$22&gt;A1236)*(Calc!$G$3:$G$22-A1236)^2)</f>
        <v/>
      </c>
      <c r="J1236">
        <f>SUMPRODUCT(Calc!$K$3:$K$22*(Calc!$G$3:$G$22&gt;B1236)*(Calc!$G$3:$G$22-B1236)^2)</f>
        <v/>
      </c>
      <c r="K1236">
        <f>SUMPRODUCT(Calc!$K$3:$K$22*(Calc!$G$3:$G$22&gt;A1236)*(Calc!$G$3:$G$22-A1236)*(Calc!$G$3:$G$22&gt;B1236)*(Calc!$G$3:$G$22-B1236))</f>
        <v/>
      </c>
      <c r="L1236">
        <f>SUMPRODUCT(Calc!$K$3:$K$22*(Calc!$G$3:$G$22&gt;A1236)*(Calc!$G$3:$G$22-A1236)*Calc!$G$3:$G$22)</f>
        <v/>
      </c>
      <c r="M1236">
        <f>SUMPRODUCT(Calc!$K$3:$K$22*(Calc!$G$3:$G$22&gt;B1236)*(Calc!$G$3:$G$22-B1236)*Calc!$G$3:$G$22)</f>
        <v/>
      </c>
      <c r="N1236">
        <f>SUMPRODUCT(Calc!$K$3:$K$22*(Calc!$G$3:$G$22&gt;A1236)*(Calc!$G$3:$G$22-A1236)*Calc!$I$3:$I$22)</f>
        <v/>
      </c>
      <c r="O1236">
        <f>SUMPRODUCT(Calc!$K$3:$K$22*(Calc!$G$3:$G$22&gt;B1236)*(Calc!$G$3:$G$22-B1236)*Calc!$I$3:$I$22)</f>
        <v/>
      </c>
      <c r="P1236">
        <f>I1236-G1236^2/k_n</f>
        <v/>
      </c>
      <c r="Q1236">
        <f>J1236-H1236^2/k_n</f>
        <v/>
      </c>
      <c r="R1236">
        <f>K1236-G1236*H1236/k_n</f>
        <v/>
      </c>
      <c r="S1236">
        <f>L1236-LTP3!$D$3*G1236/k_n</f>
        <v/>
      </c>
      <c r="T1236">
        <f>M1236-LTP3!$D$3*H1236/k_n</f>
        <v/>
      </c>
      <c r="U1236">
        <f>N1236-G1236*LTP3!$D$4/k_n</f>
        <v/>
      </c>
      <c r="V1236">
        <f>O1236-H1236*LTP3!$D$4/k_n</f>
        <v/>
      </c>
      <c r="W1236">
        <f>((LTP3!$D$5)*((P1236)*(Q1236)-(R1236)*(R1236))-(S1236)*((S1236)*(Q1236)-(R1236)*(T1236))+(T1236)*((S1236)*(R1236)-(P1236)*(T1236)))</f>
        <v/>
      </c>
      <c r="X1236">
        <f>IF(ABS(W1236)&gt;1E-12,((LTP3!$D$6)*((P1236)*(Q1236)-(R1236)*(R1236))-(S1236)*((U1236)*(Q1236)-(R1236)*(V1236))+(T1236)*((U1236)*(R1236)-(P1236)*(V1236)))/W1236,0)</f>
        <v/>
      </c>
      <c r="Y1236">
        <f>IF(ABS(W1236)&gt;1E-12,((LTP3!$D$5)*((U1236)*(Q1236)-(R1236)*(V1236))-(LTP3!$D$6)*((S1236)*(Q1236)-(R1236)*(T1236))+(T1236)*((S1236)*(V1236)-(U1236)*(T1236)))/W1236,0)</f>
        <v/>
      </c>
      <c r="Z1236">
        <f>IF(ABS(W1236)&gt;1E-12,((LTP3!$D$5)*((P1236)*(V1236)-(U1236)*(R1236))-(S1236)*((S1236)*(V1236)-(U1236)*(T1236))+(LTP3!$D$6)*((S1236)*(R1236)-(P1236)*(T1236)))/W1236,0)</f>
        <v/>
      </c>
      <c r="AA1236">
        <f>LTP3!$D$7-X1236*LTP3!$D$6-Y1236*U1236-Z1236*V1236</f>
        <v/>
      </c>
      <c r="AB1236">
        <f>IF(AND(F1236,ABS(W1236)&gt;1E-12,Y1236&gt;0,Z1236&gt;0),AA1236,1E+300)</f>
        <v/>
      </c>
    </row>
    <row r="1237">
      <c r="A1237">
        <f>$B$3+$B$5*20</f>
        <v/>
      </c>
      <c r="B1237">
        <f>$B$3+$B$5*5</f>
        <v/>
      </c>
      <c r="C1237">
        <f>SUMPRODUCT(Calc!$K$3:$K$22*(Calc!$G$3:$G$22&lt;=A1237))</f>
        <v/>
      </c>
      <c r="D1237">
        <f>SUMPRODUCT(Calc!$K$3:$K$22*(Calc!$G$3:$G$22&gt;A1237)*(Calc!$G$3:$G$22&lt;B1237))</f>
        <v/>
      </c>
      <c r="E1237">
        <f>SUMPRODUCT(Calc!$K$3:$K$22*(Calc!$G$3:$G$22&gt;=B1237))</f>
        <v/>
      </c>
      <c r="F1237">
        <f>AND(k_n&gt;=5,B1237&gt;A1237+1E-9,C1237&gt;=2,D1237&gt;=1,E1237&gt;=2)</f>
        <v/>
      </c>
      <c r="G1237">
        <f>SUMPRODUCT(Calc!$K$3:$K$22*(Calc!$G$3:$G$22&gt;A1237)*(Calc!$G$3:$G$22-A1237))</f>
        <v/>
      </c>
      <c r="H1237">
        <f>SUMPRODUCT(Calc!$K$3:$K$22*(Calc!$G$3:$G$22&gt;B1237)*(Calc!$G$3:$G$22-B1237))</f>
        <v/>
      </c>
      <c r="I1237">
        <f>SUMPRODUCT(Calc!$K$3:$K$22*(Calc!$G$3:$G$22&gt;A1237)*(Calc!$G$3:$G$22-A1237)^2)</f>
        <v/>
      </c>
      <c r="J1237">
        <f>SUMPRODUCT(Calc!$K$3:$K$22*(Calc!$G$3:$G$22&gt;B1237)*(Calc!$G$3:$G$22-B1237)^2)</f>
        <v/>
      </c>
      <c r="K1237">
        <f>SUMPRODUCT(Calc!$K$3:$K$22*(Calc!$G$3:$G$22&gt;A1237)*(Calc!$G$3:$G$22-A1237)*(Calc!$G$3:$G$22&gt;B1237)*(Calc!$G$3:$G$22-B1237))</f>
        <v/>
      </c>
      <c r="L1237">
        <f>SUMPRODUCT(Calc!$K$3:$K$22*(Calc!$G$3:$G$22&gt;A1237)*(Calc!$G$3:$G$22-A1237)*Calc!$G$3:$G$22)</f>
        <v/>
      </c>
      <c r="M1237">
        <f>SUMPRODUCT(Calc!$K$3:$K$22*(Calc!$G$3:$G$22&gt;B1237)*(Calc!$G$3:$G$22-B1237)*Calc!$G$3:$G$22)</f>
        <v/>
      </c>
      <c r="N1237">
        <f>SUMPRODUCT(Calc!$K$3:$K$22*(Calc!$G$3:$G$22&gt;A1237)*(Calc!$G$3:$G$22-A1237)*Calc!$I$3:$I$22)</f>
        <v/>
      </c>
      <c r="O1237">
        <f>SUMPRODUCT(Calc!$K$3:$K$22*(Calc!$G$3:$G$22&gt;B1237)*(Calc!$G$3:$G$22-B1237)*Calc!$I$3:$I$22)</f>
        <v/>
      </c>
      <c r="P1237">
        <f>I1237-G1237^2/k_n</f>
        <v/>
      </c>
      <c r="Q1237">
        <f>J1237-H1237^2/k_n</f>
        <v/>
      </c>
      <c r="R1237">
        <f>K1237-G1237*H1237/k_n</f>
        <v/>
      </c>
      <c r="S1237">
        <f>L1237-LTP3!$D$3*G1237/k_n</f>
        <v/>
      </c>
      <c r="T1237">
        <f>M1237-LTP3!$D$3*H1237/k_n</f>
        <v/>
      </c>
      <c r="U1237">
        <f>N1237-G1237*LTP3!$D$4/k_n</f>
        <v/>
      </c>
      <c r="V1237">
        <f>O1237-H1237*LTP3!$D$4/k_n</f>
        <v/>
      </c>
      <c r="W1237">
        <f>((LTP3!$D$5)*((P1237)*(Q1237)-(R1237)*(R1237))-(S1237)*((S1237)*(Q1237)-(R1237)*(T1237))+(T1237)*((S1237)*(R1237)-(P1237)*(T1237)))</f>
        <v/>
      </c>
      <c r="X1237">
        <f>IF(ABS(W1237)&gt;1E-12,((LTP3!$D$6)*((P1237)*(Q1237)-(R1237)*(R1237))-(S1237)*((U1237)*(Q1237)-(R1237)*(V1237))+(T1237)*((U1237)*(R1237)-(P1237)*(V1237)))/W1237,0)</f>
        <v/>
      </c>
      <c r="Y1237">
        <f>IF(ABS(W1237)&gt;1E-12,((LTP3!$D$5)*((U1237)*(Q1237)-(R1237)*(V1237))-(LTP3!$D$6)*((S1237)*(Q1237)-(R1237)*(T1237))+(T1237)*((S1237)*(V1237)-(U1237)*(T1237)))/W1237,0)</f>
        <v/>
      </c>
      <c r="Z1237">
        <f>IF(ABS(W1237)&gt;1E-12,((LTP3!$D$5)*((P1237)*(V1237)-(U1237)*(R1237))-(S1237)*((S1237)*(V1237)-(U1237)*(T1237))+(LTP3!$D$6)*((S1237)*(R1237)-(P1237)*(T1237)))/W1237,0)</f>
        <v/>
      </c>
      <c r="AA1237">
        <f>LTP3!$D$7-X1237*LTP3!$D$6-Y1237*U1237-Z1237*V1237</f>
        <v/>
      </c>
      <c r="AB1237">
        <f>IF(AND(F1237,ABS(W1237)&gt;1E-12,Y1237&gt;0,Z1237&gt;0),AA1237,1E+300)</f>
        <v/>
      </c>
    </row>
    <row r="1238">
      <c r="A1238">
        <f>$B$3+$B$5*20</f>
        <v/>
      </c>
      <c r="B1238">
        <f>$B$3+$B$5*6</f>
        <v/>
      </c>
      <c r="C1238">
        <f>SUMPRODUCT(Calc!$K$3:$K$22*(Calc!$G$3:$G$22&lt;=A1238))</f>
        <v/>
      </c>
      <c r="D1238">
        <f>SUMPRODUCT(Calc!$K$3:$K$22*(Calc!$G$3:$G$22&gt;A1238)*(Calc!$G$3:$G$22&lt;B1238))</f>
        <v/>
      </c>
      <c r="E1238">
        <f>SUMPRODUCT(Calc!$K$3:$K$22*(Calc!$G$3:$G$22&gt;=B1238))</f>
        <v/>
      </c>
      <c r="F1238">
        <f>AND(k_n&gt;=5,B1238&gt;A1238+1E-9,C1238&gt;=2,D1238&gt;=1,E1238&gt;=2)</f>
        <v/>
      </c>
      <c r="G1238">
        <f>SUMPRODUCT(Calc!$K$3:$K$22*(Calc!$G$3:$G$22&gt;A1238)*(Calc!$G$3:$G$22-A1238))</f>
        <v/>
      </c>
      <c r="H1238">
        <f>SUMPRODUCT(Calc!$K$3:$K$22*(Calc!$G$3:$G$22&gt;B1238)*(Calc!$G$3:$G$22-B1238))</f>
        <v/>
      </c>
      <c r="I1238">
        <f>SUMPRODUCT(Calc!$K$3:$K$22*(Calc!$G$3:$G$22&gt;A1238)*(Calc!$G$3:$G$22-A1238)^2)</f>
        <v/>
      </c>
      <c r="J1238">
        <f>SUMPRODUCT(Calc!$K$3:$K$22*(Calc!$G$3:$G$22&gt;B1238)*(Calc!$G$3:$G$22-B1238)^2)</f>
        <v/>
      </c>
      <c r="K1238">
        <f>SUMPRODUCT(Calc!$K$3:$K$22*(Calc!$G$3:$G$22&gt;A1238)*(Calc!$G$3:$G$22-A1238)*(Calc!$G$3:$G$22&gt;B1238)*(Calc!$G$3:$G$22-B1238))</f>
        <v/>
      </c>
      <c r="L1238">
        <f>SUMPRODUCT(Calc!$K$3:$K$22*(Calc!$G$3:$G$22&gt;A1238)*(Calc!$G$3:$G$22-A1238)*Calc!$G$3:$G$22)</f>
        <v/>
      </c>
      <c r="M1238">
        <f>SUMPRODUCT(Calc!$K$3:$K$22*(Calc!$G$3:$G$22&gt;B1238)*(Calc!$G$3:$G$22-B1238)*Calc!$G$3:$G$22)</f>
        <v/>
      </c>
      <c r="N1238">
        <f>SUMPRODUCT(Calc!$K$3:$K$22*(Calc!$G$3:$G$22&gt;A1238)*(Calc!$G$3:$G$22-A1238)*Calc!$I$3:$I$22)</f>
        <v/>
      </c>
      <c r="O1238">
        <f>SUMPRODUCT(Calc!$K$3:$K$22*(Calc!$G$3:$G$22&gt;B1238)*(Calc!$G$3:$G$22-B1238)*Calc!$I$3:$I$22)</f>
        <v/>
      </c>
      <c r="P1238">
        <f>I1238-G1238^2/k_n</f>
        <v/>
      </c>
      <c r="Q1238">
        <f>J1238-H1238^2/k_n</f>
        <v/>
      </c>
      <c r="R1238">
        <f>K1238-G1238*H1238/k_n</f>
        <v/>
      </c>
      <c r="S1238">
        <f>L1238-LTP3!$D$3*G1238/k_n</f>
        <v/>
      </c>
      <c r="T1238">
        <f>M1238-LTP3!$D$3*H1238/k_n</f>
        <v/>
      </c>
      <c r="U1238">
        <f>N1238-G1238*LTP3!$D$4/k_n</f>
        <v/>
      </c>
      <c r="V1238">
        <f>O1238-H1238*LTP3!$D$4/k_n</f>
        <v/>
      </c>
      <c r="W1238">
        <f>((LTP3!$D$5)*((P1238)*(Q1238)-(R1238)*(R1238))-(S1238)*((S1238)*(Q1238)-(R1238)*(T1238))+(T1238)*((S1238)*(R1238)-(P1238)*(T1238)))</f>
        <v/>
      </c>
      <c r="X1238">
        <f>IF(ABS(W1238)&gt;1E-12,((LTP3!$D$6)*((P1238)*(Q1238)-(R1238)*(R1238))-(S1238)*((U1238)*(Q1238)-(R1238)*(V1238))+(T1238)*((U1238)*(R1238)-(P1238)*(V1238)))/W1238,0)</f>
        <v/>
      </c>
      <c r="Y1238">
        <f>IF(ABS(W1238)&gt;1E-12,((LTP3!$D$5)*((U1238)*(Q1238)-(R1238)*(V1238))-(LTP3!$D$6)*((S1238)*(Q1238)-(R1238)*(T1238))+(T1238)*((S1238)*(V1238)-(U1238)*(T1238)))/W1238,0)</f>
        <v/>
      </c>
      <c r="Z1238">
        <f>IF(ABS(W1238)&gt;1E-12,((LTP3!$D$5)*((P1238)*(V1238)-(U1238)*(R1238))-(S1238)*((S1238)*(V1238)-(U1238)*(T1238))+(LTP3!$D$6)*((S1238)*(R1238)-(P1238)*(T1238)))/W1238,0)</f>
        <v/>
      </c>
      <c r="AA1238">
        <f>LTP3!$D$7-X1238*LTP3!$D$6-Y1238*U1238-Z1238*V1238</f>
        <v/>
      </c>
      <c r="AB1238">
        <f>IF(AND(F1238,ABS(W1238)&gt;1E-12,Y1238&gt;0,Z1238&gt;0),AA1238,1E+300)</f>
        <v/>
      </c>
    </row>
    <row r="1239">
      <c r="A1239">
        <f>$B$3+$B$5*20</f>
        <v/>
      </c>
      <c r="B1239">
        <f>$B$3+$B$5*7</f>
        <v/>
      </c>
      <c r="C1239">
        <f>SUMPRODUCT(Calc!$K$3:$K$22*(Calc!$G$3:$G$22&lt;=A1239))</f>
        <v/>
      </c>
      <c r="D1239">
        <f>SUMPRODUCT(Calc!$K$3:$K$22*(Calc!$G$3:$G$22&gt;A1239)*(Calc!$G$3:$G$22&lt;B1239))</f>
        <v/>
      </c>
      <c r="E1239">
        <f>SUMPRODUCT(Calc!$K$3:$K$22*(Calc!$G$3:$G$22&gt;=B1239))</f>
        <v/>
      </c>
      <c r="F1239">
        <f>AND(k_n&gt;=5,B1239&gt;A1239+1E-9,C1239&gt;=2,D1239&gt;=1,E1239&gt;=2)</f>
        <v/>
      </c>
      <c r="G1239">
        <f>SUMPRODUCT(Calc!$K$3:$K$22*(Calc!$G$3:$G$22&gt;A1239)*(Calc!$G$3:$G$22-A1239))</f>
        <v/>
      </c>
      <c r="H1239">
        <f>SUMPRODUCT(Calc!$K$3:$K$22*(Calc!$G$3:$G$22&gt;B1239)*(Calc!$G$3:$G$22-B1239))</f>
        <v/>
      </c>
      <c r="I1239">
        <f>SUMPRODUCT(Calc!$K$3:$K$22*(Calc!$G$3:$G$22&gt;A1239)*(Calc!$G$3:$G$22-A1239)^2)</f>
        <v/>
      </c>
      <c r="J1239">
        <f>SUMPRODUCT(Calc!$K$3:$K$22*(Calc!$G$3:$G$22&gt;B1239)*(Calc!$G$3:$G$22-B1239)^2)</f>
        <v/>
      </c>
      <c r="K1239">
        <f>SUMPRODUCT(Calc!$K$3:$K$22*(Calc!$G$3:$G$22&gt;A1239)*(Calc!$G$3:$G$22-A1239)*(Calc!$G$3:$G$22&gt;B1239)*(Calc!$G$3:$G$22-B1239))</f>
        <v/>
      </c>
      <c r="L1239">
        <f>SUMPRODUCT(Calc!$K$3:$K$22*(Calc!$G$3:$G$22&gt;A1239)*(Calc!$G$3:$G$22-A1239)*Calc!$G$3:$G$22)</f>
        <v/>
      </c>
      <c r="M1239">
        <f>SUMPRODUCT(Calc!$K$3:$K$22*(Calc!$G$3:$G$22&gt;B1239)*(Calc!$G$3:$G$22-B1239)*Calc!$G$3:$G$22)</f>
        <v/>
      </c>
      <c r="N1239">
        <f>SUMPRODUCT(Calc!$K$3:$K$22*(Calc!$G$3:$G$22&gt;A1239)*(Calc!$G$3:$G$22-A1239)*Calc!$I$3:$I$22)</f>
        <v/>
      </c>
      <c r="O1239">
        <f>SUMPRODUCT(Calc!$K$3:$K$22*(Calc!$G$3:$G$22&gt;B1239)*(Calc!$G$3:$G$22-B1239)*Calc!$I$3:$I$22)</f>
        <v/>
      </c>
      <c r="P1239">
        <f>I1239-G1239^2/k_n</f>
        <v/>
      </c>
      <c r="Q1239">
        <f>J1239-H1239^2/k_n</f>
        <v/>
      </c>
      <c r="R1239">
        <f>K1239-G1239*H1239/k_n</f>
        <v/>
      </c>
      <c r="S1239">
        <f>L1239-LTP3!$D$3*G1239/k_n</f>
        <v/>
      </c>
      <c r="T1239">
        <f>M1239-LTP3!$D$3*H1239/k_n</f>
        <v/>
      </c>
      <c r="U1239">
        <f>N1239-G1239*LTP3!$D$4/k_n</f>
        <v/>
      </c>
      <c r="V1239">
        <f>O1239-H1239*LTP3!$D$4/k_n</f>
        <v/>
      </c>
      <c r="W1239">
        <f>((LTP3!$D$5)*((P1239)*(Q1239)-(R1239)*(R1239))-(S1239)*((S1239)*(Q1239)-(R1239)*(T1239))+(T1239)*((S1239)*(R1239)-(P1239)*(T1239)))</f>
        <v/>
      </c>
      <c r="X1239">
        <f>IF(ABS(W1239)&gt;1E-12,((LTP3!$D$6)*((P1239)*(Q1239)-(R1239)*(R1239))-(S1239)*((U1239)*(Q1239)-(R1239)*(V1239))+(T1239)*((U1239)*(R1239)-(P1239)*(V1239)))/W1239,0)</f>
        <v/>
      </c>
      <c r="Y1239">
        <f>IF(ABS(W1239)&gt;1E-12,((LTP3!$D$5)*((U1239)*(Q1239)-(R1239)*(V1239))-(LTP3!$D$6)*((S1239)*(Q1239)-(R1239)*(T1239))+(T1239)*((S1239)*(V1239)-(U1239)*(T1239)))/W1239,0)</f>
        <v/>
      </c>
      <c r="Z1239">
        <f>IF(ABS(W1239)&gt;1E-12,((LTP3!$D$5)*((P1239)*(V1239)-(U1239)*(R1239))-(S1239)*((S1239)*(V1239)-(U1239)*(T1239))+(LTP3!$D$6)*((S1239)*(R1239)-(P1239)*(T1239)))/W1239,0)</f>
        <v/>
      </c>
      <c r="AA1239">
        <f>LTP3!$D$7-X1239*LTP3!$D$6-Y1239*U1239-Z1239*V1239</f>
        <v/>
      </c>
      <c r="AB1239">
        <f>IF(AND(F1239,ABS(W1239)&gt;1E-12,Y1239&gt;0,Z1239&gt;0),AA1239,1E+300)</f>
        <v/>
      </c>
    </row>
    <row r="1240">
      <c r="A1240">
        <f>$B$3+$B$5*20</f>
        <v/>
      </c>
      <c r="B1240">
        <f>$B$3+$B$5*8</f>
        <v/>
      </c>
      <c r="C1240">
        <f>SUMPRODUCT(Calc!$K$3:$K$22*(Calc!$G$3:$G$22&lt;=A1240))</f>
        <v/>
      </c>
      <c r="D1240">
        <f>SUMPRODUCT(Calc!$K$3:$K$22*(Calc!$G$3:$G$22&gt;A1240)*(Calc!$G$3:$G$22&lt;B1240))</f>
        <v/>
      </c>
      <c r="E1240">
        <f>SUMPRODUCT(Calc!$K$3:$K$22*(Calc!$G$3:$G$22&gt;=B1240))</f>
        <v/>
      </c>
      <c r="F1240">
        <f>AND(k_n&gt;=5,B1240&gt;A1240+1E-9,C1240&gt;=2,D1240&gt;=1,E1240&gt;=2)</f>
        <v/>
      </c>
      <c r="G1240">
        <f>SUMPRODUCT(Calc!$K$3:$K$22*(Calc!$G$3:$G$22&gt;A1240)*(Calc!$G$3:$G$22-A1240))</f>
        <v/>
      </c>
      <c r="H1240">
        <f>SUMPRODUCT(Calc!$K$3:$K$22*(Calc!$G$3:$G$22&gt;B1240)*(Calc!$G$3:$G$22-B1240))</f>
        <v/>
      </c>
      <c r="I1240">
        <f>SUMPRODUCT(Calc!$K$3:$K$22*(Calc!$G$3:$G$22&gt;A1240)*(Calc!$G$3:$G$22-A1240)^2)</f>
        <v/>
      </c>
      <c r="J1240">
        <f>SUMPRODUCT(Calc!$K$3:$K$22*(Calc!$G$3:$G$22&gt;B1240)*(Calc!$G$3:$G$22-B1240)^2)</f>
        <v/>
      </c>
      <c r="K1240">
        <f>SUMPRODUCT(Calc!$K$3:$K$22*(Calc!$G$3:$G$22&gt;A1240)*(Calc!$G$3:$G$22-A1240)*(Calc!$G$3:$G$22&gt;B1240)*(Calc!$G$3:$G$22-B1240))</f>
        <v/>
      </c>
      <c r="L1240">
        <f>SUMPRODUCT(Calc!$K$3:$K$22*(Calc!$G$3:$G$22&gt;A1240)*(Calc!$G$3:$G$22-A1240)*Calc!$G$3:$G$22)</f>
        <v/>
      </c>
      <c r="M1240">
        <f>SUMPRODUCT(Calc!$K$3:$K$22*(Calc!$G$3:$G$22&gt;B1240)*(Calc!$G$3:$G$22-B1240)*Calc!$G$3:$G$22)</f>
        <v/>
      </c>
      <c r="N1240">
        <f>SUMPRODUCT(Calc!$K$3:$K$22*(Calc!$G$3:$G$22&gt;A1240)*(Calc!$G$3:$G$22-A1240)*Calc!$I$3:$I$22)</f>
        <v/>
      </c>
      <c r="O1240">
        <f>SUMPRODUCT(Calc!$K$3:$K$22*(Calc!$G$3:$G$22&gt;B1240)*(Calc!$G$3:$G$22-B1240)*Calc!$I$3:$I$22)</f>
        <v/>
      </c>
      <c r="P1240">
        <f>I1240-G1240^2/k_n</f>
        <v/>
      </c>
      <c r="Q1240">
        <f>J1240-H1240^2/k_n</f>
        <v/>
      </c>
      <c r="R1240">
        <f>K1240-G1240*H1240/k_n</f>
        <v/>
      </c>
      <c r="S1240">
        <f>L1240-LTP3!$D$3*G1240/k_n</f>
        <v/>
      </c>
      <c r="T1240">
        <f>M1240-LTP3!$D$3*H1240/k_n</f>
        <v/>
      </c>
      <c r="U1240">
        <f>N1240-G1240*LTP3!$D$4/k_n</f>
        <v/>
      </c>
      <c r="V1240">
        <f>O1240-H1240*LTP3!$D$4/k_n</f>
        <v/>
      </c>
      <c r="W1240">
        <f>((LTP3!$D$5)*((P1240)*(Q1240)-(R1240)*(R1240))-(S1240)*((S1240)*(Q1240)-(R1240)*(T1240))+(T1240)*((S1240)*(R1240)-(P1240)*(T1240)))</f>
        <v/>
      </c>
      <c r="X1240">
        <f>IF(ABS(W1240)&gt;1E-12,((LTP3!$D$6)*((P1240)*(Q1240)-(R1240)*(R1240))-(S1240)*((U1240)*(Q1240)-(R1240)*(V1240))+(T1240)*((U1240)*(R1240)-(P1240)*(V1240)))/W1240,0)</f>
        <v/>
      </c>
      <c r="Y1240">
        <f>IF(ABS(W1240)&gt;1E-12,((LTP3!$D$5)*((U1240)*(Q1240)-(R1240)*(V1240))-(LTP3!$D$6)*((S1240)*(Q1240)-(R1240)*(T1240))+(T1240)*((S1240)*(V1240)-(U1240)*(T1240)))/W1240,0)</f>
        <v/>
      </c>
      <c r="Z1240">
        <f>IF(ABS(W1240)&gt;1E-12,((LTP3!$D$5)*((P1240)*(V1240)-(U1240)*(R1240))-(S1240)*((S1240)*(V1240)-(U1240)*(T1240))+(LTP3!$D$6)*((S1240)*(R1240)-(P1240)*(T1240)))/W1240,0)</f>
        <v/>
      </c>
      <c r="AA1240">
        <f>LTP3!$D$7-X1240*LTP3!$D$6-Y1240*U1240-Z1240*V1240</f>
        <v/>
      </c>
      <c r="AB1240">
        <f>IF(AND(F1240,ABS(W1240)&gt;1E-12,Y1240&gt;0,Z1240&gt;0),AA1240,1E+300)</f>
        <v/>
      </c>
    </row>
    <row r="1241">
      <c r="A1241">
        <f>$B$3+$B$5*20</f>
        <v/>
      </c>
      <c r="B1241">
        <f>$B$3+$B$5*9</f>
        <v/>
      </c>
      <c r="C1241">
        <f>SUMPRODUCT(Calc!$K$3:$K$22*(Calc!$G$3:$G$22&lt;=A1241))</f>
        <v/>
      </c>
      <c r="D1241">
        <f>SUMPRODUCT(Calc!$K$3:$K$22*(Calc!$G$3:$G$22&gt;A1241)*(Calc!$G$3:$G$22&lt;B1241))</f>
        <v/>
      </c>
      <c r="E1241">
        <f>SUMPRODUCT(Calc!$K$3:$K$22*(Calc!$G$3:$G$22&gt;=B1241))</f>
        <v/>
      </c>
      <c r="F1241">
        <f>AND(k_n&gt;=5,B1241&gt;A1241+1E-9,C1241&gt;=2,D1241&gt;=1,E1241&gt;=2)</f>
        <v/>
      </c>
      <c r="G1241">
        <f>SUMPRODUCT(Calc!$K$3:$K$22*(Calc!$G$3:$G$22&gt;A1241)*(Calc!$G$3:$G$22-A1241))</f>
        <v/>
      </c>
      <c r="H1241">
        <f>SUMPRODUCT(Calc!$K$3:$K$22*(Calc!$G$3:$G$22&gt;B1241)*(Calc!$G$3:$G$22-B1241))</f>
        <v/>
      </c>
      <c r="I1241">
        <f>SUMPRODUCT(Calc!$K$3:$K$22*(Calc!$G$3:$G$22&gt;A1241)*(Calc!$G$3:$G$22-A1241)^2)</f>
        <v/>
      </c>
      <c r="J1241">
        <f>SUMPRODUCT(Calc!$K$3:$K$22*(Calc!$G$3:$G$22&gt;B1241)*(Calc!$G$3:$G$22-B1241)^2)</f>
        <v/>
      </c>
      <c r="K1241">
        <f>SUMPRODUCT(Calc!$K$3:$K$22*(Calc!$G$3:$G$22&gt;A1241)*(Calc!$G$3:$G$22-A1241)*(Calc!$G$3:$G$22&gt;B1241)*(Calc!$G$3:$G$22-B1241))</f>
        <v/>
      </c>
      <c r="L1241">
        <f>SUMPRODUCT(Calc!$K$3:$K$22*(Calc!$G$3:$G$22&gt;A1241)*(Calc!$G$3:$G$22-A1241)*Calc!$G$3:$G$22)</f>
        <v/>
      </c>
      <c r="M1241">
        <f>SUMPRODUCT(Calc!$K$3:$K$22*(Calc!$G$3:$G$22&gt;B1241)*(Calc!$G$3:$G$22-B1241)*Calc!$G$3:$G$22)</f>
        <v/>
      </c>
      <c r="N1241">
        <f>SUMPRODUCT(Calc!$K$3:$K$22*(Calc!$G$3:$G$22&gt;A1241)*(Calc!$G$3:$G$22-A1241)*Calc!$I$3:$I$22)</f>
        <v/>
      </c>
      <c r="O1241">
        <f>SUMPRODUCT(Calc!$K$3:$K$22*(Calc!$G$3:$G$22&gt;B1241)*(Calc!$G$3:$G$22-B1241)*Calc!$I$3:$I$22)</f>
        <v/>
      </c>
      <c r="P1241">
        <f>I1241-G1241^2/k_n</f>
        <v/>
      </c>
      <c r="Q1241">
        <f>J1241-H1241^2/k_n</f>
        <v/>
      </c>
      <c r="R1241">
        <f>K1241-G1241*H1241/k_n</f>
        <v/>
      </c>
      <c r="S1241">
        <f>L1241-LTP3!$D$3*G1241/k_n</f>
        <v/>
      </c>
      <c r="T1241">
        <f>M1241-LTP3!$D$3*H1241/k_n</f>
        <v/>
      </c>
      <c r="U1241">
        <f>N1241-G1241*LTP3!$D$4/k_n</f>
        <v/>
      </c>
      <c r="V1241">
        <f>O1241-H1241*LTP3!$D$4/k_n</f>
        <v/>
      </c>
      <c r="W1241">
        <f>((LTP3!$D$5)*((P1241)*(Q1241)-(R1241)*(R1241))-(S1241)*((S1241)*(Q1241)-(R1241)*(T1241))+(T1241)*((S1241)*(R1241)-(P1241)*(T1241)))</f>
        <v/>
      </c>
      <c r="X1241">
        <f>IF(ABS(W1241)&gt;1E-12,((LTP3!$D$6)*((P1241)*(Q1241)-(R1241)*(R1241))-(S1241)*((U1241)*(Q1241)-(R1241)*(V1241))+(T1241)*((U1241)*(R1241)-(P1241)*(V1241)))/W1241,0)</f>
        <v/>
      </c>
      <c r="Y1241">
        <f>IF(ABS(W1241)&gt;1E-12,((LTP3!$D$5)*((U1241)*(Q1241)-(R1241)*(V1241))-(LTP3!$D$6)*((S1241)*(Q1241)-(R1241)*(T1241))+(T1241)*((S1241)*(V1241)-(U1241)*(T1241)))/W1241,0)</f>
        <v/>
      </c>
      <c r="Z1241">
        <f>IF(ABS(W1241)&gt;1E-12,((LTP3!$D$5)*((P1241)*(V1241)-(U1241)*(R1241))-(S1241)*((S1241)*(V1241)-(U1241)*(T1241))+(LTP3!$D$6)*((S1241)*(R1241)-(P1241)*(T1241)))/W1241,0)</f>
        <v/>
      </c>
      <c r="AA1241">
        <f>LTP3!$D$7-X1241*LTP3!$D$6-Y1241*U1241-Z1241*V1241</f>
        <v/>
      </c>
      <c r="AB1241">
        <f>IF(AND(F1241,ABS(W1241)&gt;1E-12,Y1241&gt;0,Z1241&gt;0),AA1241,1E+300)</f>
        <v/>
      </c>
    </row>
    <row r="1242">
      <c r="A1242">
        <f>$B$3+$B$5*20</f>
        <v/>
      </c>
      <c r="B1242">
        <f>$B$3+$B$5*10</f>
        <v/>
      </c>
      <c r="C1242">
        <f>SUMPRODUCT(Calc!$K$3:$K$22*(Calc!$G$3:$G$22&lt;=A1242))</f>
        <v/>
      </c>
      <c r="D1242">
        <f>SUMPRODUCT(Calc!$K$3:$K$22*(Calc!$G$3:$G$22&gt;A1242)*(Calc!$G$3:$G$22&lt;B1242))</f>
        <v/>
      </c>
      <c r="E1242">
        <f>SUMPRODUCT(Calc!$K$3:$K$22*(Calc!$G$3:$G$22&gt;=B1242))</f>
        <v/>
      </c>
      <c r="F1242">
        <f>AND(k_n&gt;=5,B1242&gt;A1242+1E-9,C1242&gt;=2,D1242&gt;=1,E1242&gt;=2)</f>
        <v/>
      </c>
      <c r="G1242">
        <f>SUMPRODUCT(Calc!$K$3:$K$22*(Calc!$G$3:$G$22&gt;A1242)*(Calc!$G$3:$G$22-A1242))</f>
        <v/>
      </c>
      <c r="H1242">
        <f>SUMPRODUCT(Calc!$K$3:$K$22*(Calc!$G$3:$G$22&gt;B1242)*(Calc!$G$3:$G$22-B1242))</f>
        <v/>
      </c>
      <c r="I1242">
        <f>SUMPRODUCT(Calc!$K$3:$K$22*(Calc!$G$3:$G$22&gt;A1242)*(Calc!$G$3:$G$22-A1242)^2)</f>
        <v/>
      </c>
      <c r="J1242">
        <f>SUMPRODUCT(Calc!$K$3:$K$22*(Calc!$G$3:$G$22&gt;B1242)*(Calc!$G$3:$G$22-B1242)^2)</f>
        <v/>
      </c>
      <c r="K1242">
        <f>SUMPRODUCT(Calc!$K$3:$K$22*(Calc!$G$3:$G$22&gt;A1242)*(Calc!$G$3:$G$22-A1242)*(Calc!$G$3:$G$22&gt;B1242)*(Calc!$G$3:$G$22-B1242))</f>
        <v/>
      </c>
      <c r="L1242">
        <f>SUMPRODUCT(Calc!$K$3:$K$22*(Calc!$G$3:$G$22&gt;A1242)*(Calc!$G$3:$G$22-A1242)*Calc!$G$3:$G$22)</f>
        <v/>
      </c>
      <c r="M1242">
        <f>SUMPRODUCT(Calc!$K$3:$K$22*(Calc!$G$3:$G$22&gt;B1242)*(Calc!$G$3:$G$22-B1242)*Calc!$G$3:$G$22)</f>
        <v/>
      </c>
      <c r="N1242">
        <f>SUMPRODUCT(Calc!$K$3:$K$22*(Calc!$G$3:$G$22&gt;A1242)*(Calc!$G$3:$G$22-A1242)*Calc!$I$3:$I$22)</f>
        <v/>
      </c>
      <c r="O1242">
        <f>SUMPRODUCT(Calc!$K$3:$K$22*(Calc!$G$3:$G$22&gt;B1242)*(Calc!$G$3:$G$22-B1242)*Calc!$I$3:$I$22)</f>
        <v/>
      </c>
      <c r="P1242">
        <f>I1242-G1242^2/k_n</f>
        <v/>
      </c>
      <c r="Q1242">
        <f>J1242-H1242^2/k_n</f>
        <v/>
      </c>
      <c r="R1242">
        <f>K1242-G1242*H1242/k_n</f>
        <v/>
      </c>
      <c r="S1242">
        <f>L1242-LTP3!$D$3*G1242/k_n</f>
        <v/>
      </c>
      <c r="T1242">
        <f>M1242-LTP3!$D$3*H1242/k_n</f>
        <v/>
      </c>
      <c r="U1242">
        <f>N1242-G1242*LTP3!$D$4/k_n</f>
        <v/>
      </c>
      <c r="V1242">
        <f>O1242-H1242*LTP3!$D$4/k_n</f>
        <v/>
      </c>
      <c r="W1242">
        <f>((LTP3!$D$5)*((P1242)*(Q1242)-(R1242)*(R1242))-(S1242)*((S1242)*(Q1242)-(R1242)*(T1242))+(T1242)*((S1242)*(R1242)-(P1242)*(T1242)))</f>
        <v/>
      </c>
      <c r="X1242">
        <f>IF(ABS(W1242)&gt;1E-12,((LTP3!$D$6)*((P1242)*(Q1242)-(R1242)*(R1242))-(S1242)*((U1242)*(Q1242)-(R1242)*(V1242))+(T1242)*((U1242)*(R1242)-(P1242)*(V1242)))/W1242,0)</f>
        <v/>
      </c>
      <c r="Y1242">
        <f>IF(ABS(W1242)&gt;1E-12,((LTP3!$D$5)*((U1242)*(Q1242)-(R1242)*(V1242))-(LTP3!$D$6)*((S1242)*(Q1242)-(R1242)*(T1242))+(T1242)*((S1242)*(V1242)-(U1242)*(T1242)))/W1242,0)</f>
        <v/>
      </c>
      <c r="Z1242">
        <f>IF(ABS(W1242)&gt;1E-12,((LTP3!$D$5)*((P1242)*(V1242)-(U1242)*(R1242))-(S1242)*((S1242)*(V1242)-(U1242)*(T1242))+(LTP3!$D$6)*((S1242)*(R1242)-(P1242)*(T1242)))/W1242,0)</f>
        <v/>
      </c>
      <c r="AA1242">
        <f>LTP3!$D$7-X1242*LTP3!$D$6-Y1242*U1242-Z1242*V1242</f>
        <v/>
      </c>
      <c r="AB1242">
        <f>IF(AND(F1242,ABS(W1242)&gt;1E-12,Y1242&gt;0,Z1242&gt;0),AA1242,1E+300)</f>
        <v/>
      </c>
    </row>
    <row r="1243">
      <c r="A1243">
        <f>$B$3+$B$5*20</f>
        <v/>
      </c>
      <c r="B1243">
        <f>$B$3+$B$5*11</f>
        <v/>
      </c>
      <c r="C1243">
        <f>SUMPRODUCT(Calc!$K$3:$K$22*(Calc!$G$3:$G$22&lt;=A1243))</f>
        <v/>
      </c>
      <c r="D1243">
        <f>SUMPRODUCT(Calc!$K$3:$K$22*(Calc!$G$3:$G$22&gt;A1243)*(Calc!$G$3:$G$22&lt;B1243))</f>
        <v/>
      </c>
      <c r="E1243">
        <f>SUMPRODUCT(Calc!$K$3:$K$22*(Calc!$G$3:$G$22&gt;=B1243))</f>
        <v/>
      </c>
      <c r="F1243">
        <f>AND(k_n&gt;=5,B1243&gt;A1243+1E-9,C1243&gt;=2,D1243&gt;=1,E1243&gt;=2)</f>
        <v/>
      </c>
      <c r="G1243">
        <f>SUMPRODUCT(Calc!$K$3:$K$22*(Calc!$G$3:$G$22&gt;A1243)*(Calc!$G$3:$G$22-A1243))</f>
        <v/>
      </c>
      <c r="H1243">
        <f>SUMPRODUCT(Calc!$K$3:$K$22*(Calc!$G$3:$G$22&gt;B1243)*(Calc!$G$3:$G$22-B1243))</f>
        <v/>
      </c>
      <c r="I1243">
        <f>SUMPRODUCT(Calc!$K$3:$K$22*(Calc!$G$3:$G$22&gt;A1243)*(Calc!$G$3:$G$22-A1243)^2)</f>
        <v/>
      </c>
      <c r="J1243">
        <f>SUMPRODUCT(Calc!$K$3:$K$22*(Calc!$G$3:$G$22&gt;B1243)*(Calc!$G$3:$G$22-B1243)^2)</f>
        <v/>
      </c>
      <c r="K1243">
        <f>SUMPRODUCT(Calc!$K$3:$K$22*(Calc!$G$3:$G$22&gt;A1243)*(Calc!$G$3:$G$22-A1243)*(Calc!$G$3:$G$22&gt;B1243)*(Calc!$G$3:$G$22-B1243))</f>
        <v/>
      </c>
      <c r="L1243">
        <f>SUMPRODUCT(Calc!$K$3:$K$22*(Calc!$G$3:$G$22&gt;A1243)*(Calc!$G$3:$G$22-A1243)*Calc!$G$3:$G$22)</f>
        <v/>
      </c>
      <c r="M1243">
        <f>SUMPRODUCT(Calc!$K$3:$K$22*(Calc!$G$3:$G$22&gt;B1243)*(Calc!$G$3:$G$22-B1243)*Calc!$G$3:$G$22)</f>
        <v/>
      </c>
      <c r="N1243">
        <f>SUMPRODUCT(Calc!$K$3:$K$22*(Calc!$G$3:$G$22&gt;A1243)*(Calc!$G$3:$G$22-A1243)*Calc!$I$3:$I$22)</f>
        <v/>
      </c>
      <c r="O1243">
        <f>SUMPRODUCT(Calc!$K$3:$K$22*(Calc!$G$3:$G$22&gt;B1243)*(Calc!$G$3:$G$22-B1243)*Calc!$I$3:$I$22)</f>
        <v/>
      </c>
      <c r="P1243">
        <f>I1243-G1243^2/k_n</f>
        <v/>
      </c>
      <c r="Q1243">
        <f>J1243-H1243^2/k_n</f>
        <v/>
      </c>
      <c r="R1243">
        <f>K1243-G1243*H1243/k_n</f>
        <v/>
      </c>
      <c r="S1243">
        <f>L1243-LTP3!$D$3*G1243/k_n</f>
        <v/>
      </c>
      <c r="T1243">
        <f>M1243-LTP3!$D$3*H1243/k_n</f>
        <v/>
      </c>
      <c r="U1243">
        <f>N1243-G1243*LTP3!$D$4/k_n</f>
        <v/>
      </c>
      <c r="V1243">
        <f>O1243-H1243*LTP3!$D$4/k_n</f>
        <v/>
      </c>
      <c r="W1243">
        <f>((LTP3!$D$5)*((P1243)*(Q1243)-(R1243)*(R1243))-(S1243)*((S1243)*(Q1243)-(R1243)*(T1243))+(T1243)*((S1243)*(R1243)-(P1243)*(T1243)))</f>
        <v/>
      </c>
      <c r="X1243">
        <f>IF(ABS(W1243)&gt;1E-12,((LTP3!$D$6)*((P1243)*(Q1243)-(R1243)*(R1243))-(S1243)*((U1243)*(Q1243)-(R1243)*(V1243))+(T1243)*((U1243)*(R1243)-(P1243)*(V1243)))/W1243,0)</f>
        <v/>
      </c>
      <c r="Y1243">
        <f>IF(ABS(W1243)&gt;1E-12,((LTP3!$D$5)*((U1243)*(Q1243)-(R1243)*(V1243))-(LTP3!$D$6)*((S1243)*(Q1243)-(R1243)*(T1243))+(T1243)*((S1243)*(V1243)-(U1243)*(T1243)))/W1243,0)</f>
        <v/>
      </c>
      <c r="Z1243">
        <f>IF(ABS(W1243)&gt;1E-12,((LTP3!$D$5)*((P1243)*(V1243)-(U1243)*(R1243))-(S1243)*((S1243)*(V1243)-(U1243)*(T1243))+(LTP3!$D$6)*((S1243)*(R1243)-(P1243)*(T1243)))/W1243,0)</f>
        <v/>
      </c>
      <c r="AA1243">
        <f>LTP3!$D$7-X1243*LTP3!$D$6-Y1243*U1243-Z1243*V1243</f>
        <v/>
      </c>
      <c r="AB1243">
        <f>IF(AND(F1243,ABS(W1243)&gt;1E-12,Y1243&gt;0,Z1243&gt;0),AA1243,1E+300)</f>
        <v/>
      </c>
    </row>
    <row r="1244">
      <c r="A1244">
        <f>$B$3+$B$5*20</f>
        <v/>
      </c>
      <c r="B1244">
        <f>$B$3+$B$5*12</f>
        <v/>
      </c>
      <c r="C1244">
        <f>SUMPRODUCT(Calc!$K$3:$K$22*(Calc!$G$3:$G$22&lt;=A1244))</f>
        <v/>
      </c>
      <c r="D1244">
        <f>SUMPRODUCT(Calc!$K$3:$K$22*(Calc!$G$3:$G$22&gt;A1244)*(Calc!$G$3:$G$22&lt;B1244))</f>
        <v/>
      </c>
      <c r="E1244">
        <f>SUMPRODUCT(Calc!$K$3:$K$22*(Calc!$G$3:$G$22&gt;=B1244))</f>
        <v/>
      </c>
      <c r="F1244">
        <f>AND(k_n&gt;=5,B1244&gt;A1244+1E-9,C1244&gt;=2,D1244&gt;=1,E1244&gt;=2)</f>
        <v/>
      </c>
      <c r="G1244">
        <f>SUMPRODUCT(Calc!$K$3:$K$22*(Calc!$G$3:$G$22&gt;A1244)*(Calc!$G$3:$G$22-A1244))</f>
        <v/>
      </c>
      <c r="H1244">
        <f>SUMPRODUCT(Calc!$K$3:$K$22*(Calc!$G$3:$G$22&gt;B1244)*(Calc!$G$3:$G$22-B1244))</f>
        <v/>
      </c>
      <c r="I1244">
        <f>SUMPRODUCT(Calc!$K$3:$K$22*(Calc!$G$3:$G$22&gt;A1244)*(Calc!$G$3:$G$22-A1244)^2)</f>
        <v/>
      </c>
      <c r="J1244">
        <f>SUMPRODUCT(Calc!$K$3:$K$22*(Calc!$G$3:$G$22&gt;B1244)*(Calc!$G$3:$G$22-B1244)^2)</f>
        <v/>
      </c>
      <c r="K1244">
        <f>SUMPRODUCT(Calc!$K$3:$K$22*(Calc!$G$3:$G$22&gt;A1244)*(Calc!$G$3:$G$22-A1244)*(Calc!$G$3:$G$22&gt;B1244)*(Calc!$G$3:$G$22-B1244))</f>
        <v/>
      </c>
      <c r="L1244">
        <f>SUMPRODUCT(Calc!$K$3:$K$22*(Calc!$G$3:$G$22&gt;A1244)*(Calc!$G$3:$G$22-A1244)*Calc!$G$3:$G$22)</f>
        <v/>
      </c>
      <c r="M1244">
        <f>SUMPRODUCT(Calc!$K$3:$K$22*(Calc!$G$3:$G$22&gt;B1244)*(Calc!$G$3:$G$22-B1244)*Calc!$G$3:$G$22)</f>
        <v/>
      </c>
      <c r="N1244">
        <f>SUMPRODUCT(Calc!$K$3:$K$22*(Calc!$G$3:$G$22&gt;A1244)*(Calc!$G$3:$G$22-A1244)*Calc!$I$3:$I$22)</f>
        <v/>
      </c>
      <c r="O1244">
        <f>SUMPRODUCT(Calc!$K$3:$K$22*(Calc!$G$3:$G$22&gt;B1244)*(Calc!$G$3:$G$22-B1244)*Calc!$I$3:$I$22)</f>
        <v/>
      </c>
      <c r="P1244">
        <f>I1244-G1244^2/k_n</f>
        <v/>
      </c>
      <c r="Q1244">
        <f>J1244-H1244^2/k_n</f>
        <v/>
      </c>
      <c r="R1244">
        <f>K1244-G1244*H1244/k_n</f>
        <v/>
      </c>
      <c r="S1244">
        <f>L1244-LTP3!$D$3*G1244/k_n</f>
        <v/>
      </c>
      <c r="T1244">
        <f>M1244-LTP3!$D$3*H1244/k_n</f>
        <v/>
      </c>
      <c r="U1244">
        <f>N1244-G1244*LTP3!$D$4/k_n</f>
        <v/>
      </c>
      <c r="V1244">
        <f>O1244-H1244*LTP3!$D$4/k_n</f>
        <v/>
      </c>
      <c r="W1244">
        <f>((LTP3!$D$5)*((P1244)*(Q1244)-(R1244)*(R1244))-(S1244)*((S1244)*(Q1244)-(R1244)*(T1244))+(T1244)*((S1244)*(R1244)-(P1244)*(T1244)))</f>
        <v/>
      </c>
      <c r="X1244">
        <f>IF(ABS(W1244)&gt;1E-12,((LTP3!$D$6)*((P1244)*(Q1244)-(R1244)*(R1244))-(S1244)*((U1244)*(Q1244)-(R1244)*(V1244))+(T1244)*((U1244)*(R1244)-(P1244)*(V1244)))/W1244,0)</f>
        <v/>
      </c>
      <c r="Y1244">
        <f>IF(ABS(W1244)&gt;1E-12,((LTP3!$D$5)*((U1244)*(Q1244)-(R1244)*(V1244))-(LTP3!$D$6)*((S1244)*(Q1244)-(R1244)*(T1244))+(T1244)*((S1244)*(V1244)-(U1244)*(T1244)))/W1244,0)</f>
        <v/>
      </c>
      <c r="Z1244">
        <f>IF(ABS(W1244)&gt;1E-12,((LTP3!$D$5)*((P1244)*(V1244)-(U1244)*(R1244))-(S1244)*((S1244)*(V1244)-(U1244)*(T1244))+(LTP3!$D$6)*((S1244)*(R1244)-(P1244)*(T1244)))/W1244,0)</f>
        <v/>
      </c>
      <c r="AA1244">
        <f>LTP3!$D$7-X1244*LTP3!$D$6-Y1244*U1244-Z1244*V1244</f>
        <v/>
      </c>
      <c r="AB1244">
        <f>IF(AND(F1244,ABS(W1244)&gt;1E-12,Y1244&gt;0,Z1244&gt;0),AA1244,1E+300)</f>
        <v/>
      </c>
    </row>
    <row r="1245">
      <c r="A1245">
        <f>$B$3+$B$5*20</f>
        <v/>
      </c>
      <c r="B1245">
        <f>$B$3+$B$5*13</f>
        <v/>
      </c>
      <c r="C1245">
        <f>SUMPRODUCT(Calc!$K$3:$K$22*(Calc!$G$3:$G$22&lt;=A1245))</f>
        <v/>
      </c>
      <c r="D1245">
        <f>SUMPRODUCT(Calc!$K$3:$K$22*(Calc!$G$3:$G$22&gt;A1245)*(Calc!$G$3:$G$22&lt;B1245))</f>
        <v/>
      </c>
      <c r="E1245">
        <f>SUMPRODUCT(Calc!$K$3:$K$22*(Calc!$G$3:$G$22&gt;=B1245))</f>
        <v/>
      </c>
      <c r="F1245">
        <f>AND(k_n&gt;=5,B1245&gt;A1245+1E-9,C1245&gt;=2,D1245&gt;=1,E1245&gt;=2)</f>
        <v/>
      </c>
      <c r="G1245">
        <f>SUMPRODUCT(Calc!$K$3:$K$22*(Calc!$G$3:$G$22&gt;A1245)*(Calc!$G$3:$G$22-A1245))</f>
        <v/>
      </c>
      <c r="H1245">
        <f>SUMPRODUCT(Calc!$K$3:$K$22*(Calc!$G$3:$G$22&gt;B1245)*(Calc!$G$3:$G$22-B1245))</f>
        <v/>
      </c>
      <c r="I1245">
        <f>SUMPRODUCT(Calc!$K$3:$K$22*(Calc!$G$3:$G$22&gt;A1245)*(Calc!$G$3:$G$22-A1245)^2)</f>
        <v/>
      </c>
      <c r="J1245">
        <f>SUMPRODUCT(Calc!$K$3:$K$22*(Calc!$G$3:$G$22&gt;B1245)*(Calc!$G$3:$G$22-B1245)^2)</f>
        <v/>
      </c>
      <c r="K1245">
        <f>SUMPRODUCT(Calc!$K$3:$K$22*(Calc!$G$3:$G$22&gt;A1245)*(Calc!$G$3:$G$22-A1245)*(Calc!$G$3:$G$22&gt;B1245)*(Calc!$G$3:$G$22-B1245))</f>
        <v/>
      </c>
      <c r="L1245">
        <f>SUMPRODUCT(Calc!$K$3:$K$22*(Calc!$G$3:$G$22&gt;A1245)*(Calc!$G$3:$G$22-A1245)*Calc!$G$3:$G$22)</f>
        <v/>
      </c>
      <c r="M1245">
        <f>SUMPRODUCT(Calc!$K$3:$K$22*(Calc!$G$3:$G$22&gt;B1245)*(Calc!$G$3:$G$22-B1245)*Calc!$G$3:$G$22)</f>
        <v/>
      </c>
      <c r="N1245">
        <f>SUMPRODUCT(Calc!$K$3:$K$22*(Calc!$G$3:$G$22&gt;A1245)*(Calc!$G$3:$G$22-A1245)*Calc!$I$3:$I$22)</f>
        <v/>
      </c>
      <c r="O1245">
        <f>SUMPRODUCT(Calc!$K$3:$K$22*(Calc!$G$3:$G$22&gt;B1245)*(Calc!$G$3:$G$22-B1245)*Calc!$I$3:$I$22)</f>
        <v/>
      </c>
      <c r="P1245">
        <f>I1245-G1245^2/k_n</f>
        <v/>
      </c>
      <c r="Q1245">
        <f>J1245-H1245^2/k_n</f>
        <v/>
      </c>
      <c r="R1245">
        <f>K1245-G1245*H1245/k_n</f>
        <v/>
      </c>
      <c r="S1245">
        <f>L1245-LTP3!$D$3*G1245/k_n</f>
        <v/>
      </c>
      <c r="T1245">
        <f>M1245-LTP3!$D$3*H1245/k_n</f>
        <v/>
      </c>
      <c r="U1245">
        <f>N1245-G1245*LTP3!$D$4/k_n</f>
        <v/>
      </c>
      <c r="V1245">
        <f>O1245-H1245*LTP3!$D$4/k_n</f>
        <v/>
      </c>
      <c r="W1245">
        <f>((LTP3!$D$5)*((P1245)*(Q1245)-(R1245)*(R1245))-(S1245)*((S1245)*(Q1245)-(R1245)*(T1245))+(T1245)*((S1245)*(R1245)-(P1245)*(T1245)))</f>
        <v/>
      </c>
      <c r="X1245">
        <f>IF(ABS(W1245)&gt;1E-12,((LTP3!$D$6)*((P1245)*(Q1245)-(R1245)*(R1245))-(S1245)*((U1245)*(Q1245)-(R1245)*(V1245))+(T1245)*((U1245)*(R1245)-(P1245)*(V1245)))/W1245,0)</f>
        <v/>
      </c>
      <c r="Y1245">
        <f>IF(ABS(W1245)&gt;1E-12,((LTP3!$D$5)*((U1245)*(Q1245)-(R1245)*(V1245))-(LTP3!$D$6)*((S1245)*(Q1245)-(R1245)*(T1245))+(T1245)*((S1245)*(V1245)-(U1245)*(T1245)))/W1245,0)</f>
        <v/>
      </c>
      <c r="Z1245">
        <f>IF(ABS(W1245)&gt;1E-12,((LTP3!$D$5)*((P1245)*(V1245)-(U1245)*(R1245))-(S1245)*((S1245)*(V1245)-(U1245)*(T1245))+(LTP3!$D$6)*((S1245)*(R1245)-(P1245)*(T1245)))/W1245,0)</f>
        <v/>
      </c>
      <c r="AA1245">
        <f>LTP3!$D$7-X1245*LTP3!$D$6-Y1245*U1245-Z1245*V1245</f>
        <v/>
      </c>
      <c r="AB1245">
        <f>IF(AND(F1245,ABS(W1245)&gt;1E-12,Y1245&gt;0,Z1245&gt;0),AA1245,1E+300)</f>
        <v/>
      </c>
    </row>
    <row r="1246">
      <c r="A1246">
        <f>$B$3+$B$5*20</f>
        <v/>
      </c>
      <c r="B1246">
        <f>$B$3+$B$5*14</f>
        <v/>
      </c>
      <c r="C1246">
        <f>SUMPRODUCT(Calc!$K$3:$K$22*(Calc!$G$3:$G$22&lt;=A1246))</f>
        <v/>
      </c>
      <c r="D1246">
        <f>SUMPRODUCT(Calc!$K$3:$K$22*(Calc!$G$3:$G$22&gt;A1246)*(Calc!$G$3:$G$22&lt;B1246))</f>
        <v/>
      </c>
      <c r="E1246">
        <f>SUMPRODUCT(Calc!$K$3:$K$22*(Calc!$G$3:$G$22&gt;=B1246))</f>
        <v/>
      </c>
      <c r="F1246">
        <f>AND(k_n&gt;=5,B1246&gt;A1246+1E-9,C1246&gt;=2,D1246&gt;=1,E1246&gt;=2)</f>
        <v/>
      </c>
      <c r="G1246">
        <f>SUMPRODUCT(Calc!$K$3:$K$22*(Calc!$G$3:$G$22&gt;A1246)*(Calc!$G$3:$G$22-A1246))</f>
        <v/>
      </c>
      <c r="H1246">
        <f>SUMPRODUCT(Calc!$K$3:$K$22*(Calc!$G$3:$G$22&gt;B1246)*(Calc!$G$3:$G$22-B1246))</f>
        <v/>
      </c>
      <c r="I1246">
        <f>SUMPRODUCT(Calc!$K$3:$K$22*(Calc!$G$3:$G$22&gt;A1246)*(Calc!$G$3:$G$22-A1246)^2)</f>
        <v/>
      </c>
      <c r="J1246">
        <f>SUMPRODUCT(Calc!$K$3:$K$22*(Calc!$G$3:$G$22&gt;B1246)*(Calc!$G$3:$G$22-B1246)^2)</f>
        <v/>
      </c>
      <c r="K1246">
        <f>SUMPRODUCT(Calc!$K$3:$K$22*(Calc!$G$3:$G$22&gt;A1246)*(Calc!$G$3:$G$22-A1246)*(Calc!$G$3:$G$22&gt;B1246)*(Calc!$G$3:$G$22-B1246))</f>
        <v/>
      </c>
      <c r="L1246">
        <f>SUMPRODUCT(Calc!$K$3:$K$22*(Calc!$G$3:$G$22&gt;A1246)*(Calc!$G$3:$G$22-A1246)*Calc!$G$3:$G$22)</f>
        <v/>
      </c>
      <c r="M1246">
        <f>SUMPRODUCT(Calc!$K$3:$K$22*(Calc!$G$3:$G$22&gt;B1246)*(Calc!$G$3:$G$22-B1246)*Calc!$G$3:$G$22)</f>
        <v/>
      </c>
      <c r="N1246">
        <f>SUMPRODUCT(Calc!$K$3:$K$22*(Calc!$G$3:$G$22&gt;A1246)*(Calc!$G$3:$G$22-A1246)*Calc!$I$3:$I$22)</f>
        <v/>
      </c>
      <c r="O1246">
        <f>SUMPRODUCT(Calc!$K$3:$K$22*(Calc!$G$3:$G$22&gt;B1246)*(Calc!$G$3:$G$22-B1246)*Calc!$I$3:$I$22)</f>
        <v/>
      </c>
      <c r="P1246">
        <f>I1246-G1246^2/k_n</f>
        <v/>
      </c>
      <c r="Q1246">
        <f>J1246-H1246^2/k_n</f>
        <v/>
      </c>
      <c r="R1246">
        <f>K1246-G1246*H1246/k_n</f>
        <v/>
      </c>
      <c r="S1246">
        <f>L1246-LTP3!$D$3*G1246/k_n</f>
        <v/>
      </c>
      <c r="T1246">
        <f>M1246-LTP3!$D$3*H1246/k_n</f>
        <v/>
      </c>
      <c r="U1246">
        <f>N1246-G1246*LTP3!$D$4/k_n</f>
        <v/>
      </c>
      <c r="V1246">
        <f>O1246-H1246*LTP3!$D$4/k_n</f>
        <v/>
      </c>
      <c r="W1246">
        <f>((LTP3!$D$5)*((P1246)*(Q1246)-(R1246)*(R1246))-(S1246)*((S1246)*(Q1246)-(R1246)*(T1246))+(T1246)*((S1246)*(R1246)-(P1246)*(T1246)))</f>
        <v/>
      </c>
      <c r="X1246">
        <f>IF(ABS(W1246)&gt;1E-12,((LTP3!$D$6)*((P1246)*(Q1246)-(R1246)*(R1246))-(S1246)*((U1246)*(Q1246)-(R1246)*(V1246))+(T1246)*((U1246)*(R1246)-(P1246)*(V1246)))/W1246,0)</f>
        <v/>
      </c>
      <c r="Y1246">
        <f>IF(ABS(W1246)&gt;1E-12,((LTP3!$D$5)*((U1246)*(Q1246)-(R1246)*(V1246))-(LTP3!$D$6)*((S1246)*(Q1246)-(R1246)*(T1246))+(T1246)*((S1246)*(V1246)-(U1246)*(T1246)))/W1246,0)</f>
        <v/>
      </c>
      <c r="Z1246">
        <f>IF(ABS(W1246)&gt;1E-12,((LTP3!$D$5)*((P1246)*(V1246)-(U1246)*(R1246))-(S1246)*((S1246)*(V1246)-(U1246)*(T1246))+(LTP3!$D$6)*((S1246)*(R1246)-(P1246)*(T1246)))/W1246,0)</f>
        <v/>
      </c>
      <c r="AA1246">
        <f>LTP3!$D$7-X1246*LTP3!$D$6-Y1246*U1246-Z1246*V1246</f>
        <v/>
      </c>
      <c r="AB1246">
        <f>IF(AND(F1246,ABS(W1246)&gt;1E-12,Y1246&gt;0,Z1246&gt;0),AA1246,1E+300)</f>
        <v/>
      </c>
    </row>
    <row r="1247">
      <c r="A1247">
        <f>$B$3+$B$5*20</f>
        <v/>
      </c>
      <c r="B1247">
        <f>$B$3+$B$5*15</f>
        <v/>
      </c>
      <c r="C1247">
        <f>SUMPRODUCT(Calc!$K$3:$K$22*(Calc!$G$3:$G$22&lt;=A1247))</f>
        <v/>
      </c>
      <c r="D1247">
        <f>SUMPRODUCT(Calc!$K$3:$K$22*(Calc!$G$3:$G$22&gt;A1247)*(Calc!$G$3:$G$22&lt;B1247))</f>
        <v/>
      </c>
      <c r="E1247">
        <f>SUMPRODUCT(Calc!$K$3:$K$22*(Calc!$G$3:$G$22&gt;=B1247))</f>
        <v/>
      </c>
      <c r="F1247">
        <f>AND(k_n&gt;=5,B1247&gt;A1247+1E-9,C1247&gt;=2,D1247&gt;=1,E1247&gt;=2)</f>
        <v/>
      </c>
      <c r="G1247">
        <f>SUMPRODUCT(Calc!$K$3:$K$22*(Calc!$G$3:$G$22&gt;A1247)*(Calc!$G$3:$G$22-A1247))</f>
        <v/>
      </c>
      <c r="H1247">
        <f>SUMPRODUCT(Calc!$K$3:$K$22*(Calc!$G$3:$G$22&gt;B1247)*(Calc!$G$3:$G$22-B1247))</f>
        <v/>
      </c>
      <c r="I1247">
        <f>SUMPRODUCT(Calc!$K$3:$K$22*(Calc!$G$3:$G$22&gt;A1247)*(Calc!$G$3:$G$22-A1247)^2)</f>
        <v/>
      </c>
      <c r="J1247">
        <f>SUMPRODUCT(Calc!$K$3:$K$22*(Calc!$G$3:$G$22&gt;B1247)*(Calc!$G$3:$G$22-B1247)^2)</f>
        <v/>
      </c>
      <c r="K1247">
        <f>SUMPRODUCT(Calc!$K$3:$K$22*(Calc!$G$3:$G$22&gt;A1247)*(Calc!$G$3:$G$22-A1247)*(Calc!$G$3:$G$22&gt;B1247)*(Calc!$G$3:$G$22-B1247))</f>
        <v/>
      </c>
      <c r="L1247">
        <f>SUMPRODUCT(Calc!$K$3:$K$22*(Calc!$G$3:$G$22&gt;A1247)*(Calc!$G$3:$G$22-A1247)*Calc!$G$3:$G$22)</f>
        <v/>
      </c>
      <c r="M1247">
        <f>SUMPRODUCT(Calc!$K$3:$K$22*(Calc!$G$3:$G$22&gt;B1247)*(Calc!$G$3:$G$22-B1247)*Calc!$G$3:$G$22)</f>
        <v/>
      </c>
      <c r="N1247">
        <f>SUMPRODUCT(Calc!$K$3:$K$22*(Calc!$G$3:$G$22&gt;A1247)*(Calc!$G$3:$G$22-A1247)*Calc!$I$3:$I$22)</f>
        <v/>
      </c>
      <c r="O1247">
        <f>SUMPRODUCT(Calc!$K$3:$K$22*(Calc!$G$3:$G$22&gt;B1247)*(Calc!$G$3:$G$22-B1247)*Calc!$I$3:$I$22)</f>
        <v/>
      </c>
      <c r="P1247">
        <f>I1247-G1247^2/k_n</f>
        <v/>
      </c>
      <c r="Q1247">
        <f>J1247-H1247^2/k_n</f>
        <v/>
      </c>
      <c r="R1247">
        <f>K1247-G1247*H1247/k_n</f>
        <v/>
      </c>
      <c r="S1247">
        <f>L1247-LTP3!$D$3*G1247/k_n</f>
        <v/>
      </c>
      <c r="T1247">
        <f>M1247-LTP3!$D$3*H1247/k_n</f>
        <v/>
      </c>
      <c r="U1247">
        <f>N1247-G1247*LTP3!$D$4/k_n</f>
        <v/>
      </c>
      <c r="V1247">
        <f>O1247-H1247*LTP3!$D$4/k_n</f>
        <v/>
      </c>
      <c r="W1247">
        <f>((LTP3!$D$5)*((P1247)*(Q1247)-(R1247)*(R1247))-(S1247)*((S1247)*(Q1247)-(R1247)*(T1247))+(T1247)*((S1247)*(R1247)-(P1247)*(T1247)))</f>
        <v/>
      </c>
      <c r="X1247">
        <f>IF(ABS(W1247)&gt;1E-12,((LTP3!$D$6)*((P1247)*(Q1247)-(R1247)*(R1247))-(S1247)*((U1247)*(Q1247)-(R1247)*(V1247))+(T1247)*((U1247)*(R1247)-(P1247)*(V1247)))/W1247,0)</f>
        <v/>
      </c>
      <c r="Y1247">
        <f>IF(ABS(W1247)&gt;1E-12,((LTP3!$D$5)*((U1247)*(Q1247)-(R1247)*(V1247))-(LTP3!$D$6)*((S1247)*(Q1247)-(R1247)*(T1247))+(T1247)*((S1247)*(V1247)-(U1247)*(T1247)))/W1247,0)</f>
        <v/>
      </c>
      <c r="Z1247">
        <f>IF(ABS(W1247)&gt;1E-12,((LTP3!$D$5)*((P1247)*(V1247)-(U1247)*(R1247))-(S1247)*((S1247)*(V1247)-(U1247)*(T1247))+(LTP3!$D$6)*((S1247)*(R1247)-(P1247)*(T1247)))/W1247,0)</f>
        <v/>
      </c>
      <c r="AA1247">
        <f>LTP3!$D$7-X1247*LTP3!$D$6-Y1247*U1247-Z1247*V1247</f>
        <v/>
      </c>
      <c r="AB1247">
        <f>IF(AND(F1247,ABS(W1247)&gt;1E-12,Y1247&gt;0,Z1247&gt;0),AA1247,1E+300)</f>
        <v/>
      </c>
    </row>
    <row r="1248">
      <c r="A1248">
        <f>$B$3+$B$5*20</f>
        <v/>
      </c>
      <c r="B1248">
        <f>$B$3+$B$5*16</f>
        <v/>
      </c>
      <c r="C1248">
        <f>SUMPRODUCT(Calc!$K$3:$K$22*(Calc!$G$3:$G$22&lt;=A1248))</f>
        <v/>
      </c>
      <c r="D1248">
        <f>SUMPRODUCT(Calc!$K$3:$K$22*(Calc!$G$3:$G$22&gt;A1248)*(Calc!$G$3:$G$22&lt;B1248))</f>
        <v/>
      </c>
      <c r="E1248">
        <f>SUMPRODUCT(Calc!$K$3:$K$22*(Calc!$G$3:$G$22&gt;=B1248))</f>
        <v/>
      </c>
      <c r="F1248">
        <f>AND(k_n&gt;=5,B1248&gt;A1248+1E-9,C1248&gt;=2,D1248&gt;=1,E1248&gt;=2)</f>
        <v/>
      </c>
      <c r="G1248">
        <f>SUMPRODUCT(Calc!$K$3:$K$22*(Calc!$G$3:$G$22&gt;A1248)*(Calc!$G$3:$G$22-A1248))</f>
        <v/>
      </c>
      <c r="H1248">
        <f>SUMPRODUCT(Calc!$K$3:$K$22*(Calc!$G$3:$G$22&gt;B1248)*(Calc!$G$3:$G$22-B1248))</f>
        <v/>
      </c>
      <c r="I1248">
        <f>SUMPRODUCT(Calc!$K$3:$K$22*(Calc!$G$3:$G$22&gt;A1248)*(Calc!$G$3:$G$22-A1248)^2)</f>
        <v/>
      </c>
      <c r="J1248">
        <f>SUMPRODUCT(Calc!$K$3:$K$22*(Calc!$G$3:$G$22&gt;B1248)*(Calc!$G$3:$G$22-B1248)^2)</f>
        <v/>
      </c>
      <c r="K1248">
        <f>SUMPRODUCT(Calc!$K$3:$K$22*(Calc!$G$3:$G$22&gt;A1248)*(Calc!$G$3:$G$22-A1248)*(Calc!$G$3:$G$22&gt;B1248)*(Calc!$G$3:$G$22-B1248))</f>
        <v/>
      </c>
      <c r="L1248">
        <f>SUMPRODUCT(Calc!$K$3:$K$22*(Calc!$G$3:$G$22&gt;A1248)*(Calc!$G$3:$G$22-A1248)*Calc!$G$3:$G$22)</f>
        <v/>
      </c>
      <c r="M1248">
        <f>SUMPRODUCT(Calc!$K$3:$K$22*(Calc!$G$3:$G$22&gt;B1248)*(Calc!$G$3:$G$22-B1248)*Calc!$G$3:$G$22)</f>
        <v/>
      </c>
      <c r="N1248">
        <f>SUMPRODUCT(Calc!$K$3:$K$22*(Calc!$G$3:$G$22&gt;A1248)*(Calc!$G$3:$G$22-A1248)*Calc!$I$3:$I$22)</f>
        <v/>
      </c>
      <c r="O1248">
        <f>SUMPRODUCT(Calc!$K$3:$K$22*(Calc!$G$3:$G$22&gt;B1248)*(Calc!$G$3:$G$22-B1248)*Calc!$I$3:$I$22)</f>
        <v/>
      </c>
      <c r="P1248">
        <f>I1248-G1248^2/k_n</f>
        <v/>
      </c>
      <c r="Q1248">
        <f>J1248-H1248^2/k_n</f>
        <v/>
      </c>
      <c r="R1248">
        <f>K1248-G1248*H1248/k_n</f>
        <v/>
      </c>
      <c r="S1248">
        <f>L1248-LTP3!$D$3*G1248/k_n</f>
        <v/>
      </c>
      <c r="T1248">
        <f>M1248-LTP3!$D$3*H1248/k_n</f>
        <v/>
      </c>
      <c r="U1248">
        <f>N1248-G1248*LTP3!$D$4/k_n</f>
        <v/>
      </c>
      <c r="V1248">
        <f>O1248-H1248*LTP3!$D$4/k_n</f>
        <v/>
      </c>
      <c r="W1248">
        <f>((LTP3!$D$5)*((P1248)*(Q1248)-(R1248)*(R1248))-(S1248)*((S1248)*(Q1248)-(R1248)*(T1248))+(T1248)*((S1248)*(R1248)-(P1248)*(T1248)))</f>
        <v/>
      </c>
      <c r="X1248">
        <f>IF(ABS(W1248)&gt;1E-12,((LTP3!$D$6)*((P1248)*(Q1248)-(R1248)*(R1248))-(S1248)*((U1248)*(Q1248)-(R1248)*(V1248))+(T1248)*((U1248)*(R1248)-(P1248)*(V1248)))/W1248,0)</f>
        <v/>
      </c>
      <c r="Y1248">
        <f>IF(ABS(W1248)&gt;1E-12,((LTP3!$D$5)*((U1248)*(Q1248)-(R1248)*(V1248))-(LTP3!$D$6)*((S1248)*(Q1248)-(R1248)*(T1248))+(T1248)*((S1248)*(V1248)-(U1248)*(T1248)))/W1248,0)</f>
        <v/>
      </c>
      <c r="Z1248">
        <f>IF(ABS(W1248)&gt;1E-12,((LTP3!$D$5)*((P1248)*(V1248)-(U1248)*(R1248))-(S1248)*((S1248)*(V1248)-(U1248)*(T1248))+(LTP3!$D$6)*((S1248)*(R1248)-(P1248)*(T1248)))/W1248,0)</f>
        <v/>
      </c>
      <c r="AA1248">
        <f>LTP3!$D$7-X1248*LTP3!$D$6-Y1248*U1248-Z1248*V1248</f>
        <v/>
      </c>
      <c r="AB1248">
        <f>IF(AND(F1248,ABS(W1248)&gt;1E-12,Y1248&gt;0,Z1248&gt;0),AA1248,1E+300)</f>
        <v/>
      </c>
    </row>
    <row r="1249">
      <c r="A1249">
        <f>$B$3+$B$5*20</f>
        <v/>
      </c>
      <c r="B1249">
        <f>$B$3+$B$5*17</f>
        <v/>
      </c>
      <c r="C1249">
        <f>SUMPRODUCT(Calc!$K$3:$K$22*(Calc!$G$3:$G$22&lt;=A1249))</f>
        <v/>
      </c>
      <c r="D1249">
        <f>SUMPRODUCT(Calc!$K$3:$K$22*(Calc!$G$3:$G$22&gt;A1249)*(Calc!$G$3:$G$22&lt;B1249))</f>
        <v/>
      </c>
      <c r="E1249">
        <f>SUMPRODUCT(Calc!$K$3:$K$22*(Calc!$G$3:$G$22&gt;=B1249))</f>
        <v/>
      </c>
      <c r="F1249">
        <f>AND(k_n&gt;=5,B1249&gt;A1249+1E-9,C1249&gt;=2,D1249&gt;=1,E1249&gt;=2)</f>
        <v/>
      </c>
      <c r="G1249">
        <f>SUMPRODUCT(Calc!$K$3:$K$22*(Calc!$G$3:$G$22&gt;A1249)*(Calc!$G$3:$G$22-A1249))</f>
        <v/>
      </c>
      <c r="H1249">
        <f>SUMPRODUCT(Calc!$K$3:$K$22*(Calc!$G$3:$G$22&gt;B1249)*(Calc!$G$3:$G$22-B1249))</f>
        <v/>
      </c>
      <c r="I1249">
        <f>SUMPRODUCT(Calc!$K$3:$K$22*(Calc!$G$3:$G$22&gt;A1249)*(Calc!$G$3:$G$22-A1249)^2)</f>
        <v/>
      </c>
      <c r="J1249">
        <f>SUMPRODUCT(Calc!$K$3:$K$22*(Calc!$G$3:$G$22&gt;B1249)*(Calc!$G$3:$G$22-B1249)^2)</f>
        <v/>
      </c>
      <c r="K1249">
        <f>SUMPRODUCT(Calc!$K$3:$K$22*(Calc!$G$3:$G$22&gt;A1249)*(Calc!$G$3:$G$22-A1249)*(Calc!$G$3:$G$22&gt;B1249)*(Calc!$G$3:$G$22-B1249))</f>
        <v/>
      </c>
      <c r="L1249">
        <f>SUMPRODUCT(Calc!$K$3:$K$22*(Calc!$G$3:$G$22&gt;A1249)*(Calc!$G$3:$G$22-A1249)*Calc!$G$3:$G$22)</f>
        <v/>
      </c>
      <c r="M1249">
        <f>SUMPRODUCT(Calc!$K$3:$K$22*(Calc!$G$3:$G$22&gt;B1249)*(Calc!$G$3:$G$22-B1249)*Calc!$G$3:$G$22)</f>
        <v/>
      </c>
      <c r="N1249">
        <f>SUMPRODUCT(Calc!$K$3:$K$22*(Calc!$G$3:$G$22&gt;A1249)*(Calc!$G$3:$G$22-A1249)*Calc!$I$3:$I$22)</f>
        <v/>
      </c>
      <c r="O1249">
        <f>SUMPRODUCT(Calc!$K$3:$K$22*(Calc!$G$3:$G$22&gt;B1249)*(Calc!$G$3:$G$22-B1249)*Calc!$I$3:$I$22)</f>
        <v/>
      </c>
      <c r="P1249">
        <f>I1249-G1249^2/k_n</f>
        <v/>
      </c>
      <c r="Q1249">
        <f>J1249-H1249^2/k_n</f>
        <v/>
      </c>
      <c r="R1249">
        <f>K1249-G1249*H1249/k_n</f>
        <v/>
      </c>
      <c r="S1249">
        <f>L1249-LTP3!$D$3*G1249/k_n</f>
        <v/>
      </c>
      <c r="T1249">
        <f>M1249-LTP3!$D$3*H1249/k_n</f>
        <v/>
      </c>
      <c r="U1249">
        <f>N1249-G1249*LTP3!$D$4/k_n</f>
        <v/>
      </c>
      <c r="V1249">
        <f>O1249-H1249*LTP3!$D$4/k_n</f>
        <v/>
      </c>
      <c r="W1249">
        <f>((LTP3!$D$5)*((P1249)*(Q1249)-(R1249)*(R1249))-(S1249)*((S1249)*(Q1249)-(R1249)*(T1249))+(T1249)*((S1249)*(R1249)-(P1249)*(T1249)))</f>
        <v/>
      </c>
      <c r="X1249">
        <f>IF(ABS(W1249)&gt;1E-12,((LTP3!$D$6)*((P1249)*(Q1249)-(R1249)*(R1249))-(S1249)*((U1249)*(Q1249)-(R1249)*(V1249))+(T1249)*((U1249)*(R1249)-(P1249)*(V1249)))/W1249,0)</f>
        <v/>
      </c>
      <c r="Y1249">
        <f>IF(ABS(W1249)&gt;1E-12,((LTP3!$D$5)*((U1249)*(Q1249)-(R1249)*(V1249))-(LTP3!$D$6)*((S1249)*(Q1249)-(R1249)*(T1249))+(T1249)*((S1249)*(V1249)-(U1249)*(T1249)))/W1249,0)</f>
        <v/>
      </c>
      <c r="Z1249">
        <f>IF(ABS(W1249)&gt;1E-12,((LTP3!$D$5)*((P1249)*(V1249)-(U1249)*(R1249))-(S1249)*((S1249)*(V1249)-(U1249)*(T1249))+(LTP3!$D$6)*((S1249)*(R1249)-(P1249)*(T1249)))/W1249,0)</f>
        <v/>
      </c>
      <c r="AA1249">
        <f>LTP3!$D$7-X1249*LTP3!$D$6-Y1249*U1249-Z1249*V1249</f>
        <v/>
      </c>
      <c r="AB1249">
        <f>IF(AND(F1249,ABS(W1249)&gt;1E-12,Y1249&gt;0,Z1249&gt;0),AA1249,1E+300)</f>
        <v/>
      </c>
    </row>
    <row r="1250">
      <c r="A1250">
        <f>$B$3+$B$5*20</f>
        <v/>
      </c>
      <c r="B1250">
        <f>$B$3+$B$5*18</f>
        <v/>
      </c>
      <c r="C1250">
        <f>SUMPRODUCT(Calc!$K$3:$K$22*(Calc!$G$3:$G$22&lt;=A1250))</f>
        <v/>
      </c>
      <c r="D1250">
        <f>SUMPRODUCT(Calc!$K$3:$K$22*(Calc!$G$3:$G$22&gt;A1250)*(Calc!$G$3:$G$22&lt;B1250))</f>
        <v/>
      </c>
      <c r="E1250">
        <f>SUMPRODUCT(Calc!$K$3:$K$22*(Calc!$G$3:$G$22&gt;=B1250))</f>
        <v/>
      </c>
      <c r="F1250">
        <f>AND(k_n&gt;=5,B1250&gt;A1250+1E-9,C1250&gt;=2,D1250&gt;=1,E1250&gt;=2)</f>
        <v/>
      </c>
      <c r="G1250">
        <f>SUMPRODUCT(Calc!$K$3:$K$22*(Calc!$G$3:$G$22&gt;A1250)*(Calc!$G$3:$G$22-A1250))</f>
        <v/>
      </c>
      <c r="H1250">
        <f>SUMPRODUCT(Calc!$K$3:$K$22*(Calc!$G$3:$G$22&gt;B1250)*(Calc!$G$3:$G$22-B1250))</f>
        <v/>
      </c>
      <c r="I1250">
        <f>SUMPRODUCT(Calc!$K$3:$K$22*(Calc!$G$3:$G$22&gt;A1250)*(Calc!$G$3:$G$22-A1250)^2)</f>
        <v/>
      </c>
      <c r="J1250">
        <f>SUMPRODUCT(Calc!$K$3:$K$22*(Calc!$G$3:$G$22&gt;B1250)*(Calc!$G$3:$G$22-B1250)^2)</f>
        <v/>
      </c>
      <c r="K1250">
        <f>SUMPRODUCT(Calc!$K$3:$K$22*(Calc!$G$3:$G$22&gt;A1250)*(Calc!$G$3:$G$22-A1250)*(Calc!$G$3:$G$22&gt;B1250)*(Calc!$G$3:$G$22-B1250))</f>
        <v/>
      </c>
      <c r="L1250">
        <f>SUMPRODUCT(Calc!$K$3:$K$22*(Calc!$G$3:$G$22&gt;A1250)*(Calc!$G$3:$G$22-A1250)*Calc!$G$3:$G$22)</f>
        <v/>
      </c>
      <c r="M1250">
        <f>SUMPRODUCT(Calc!$K$3:$K$22*(Calc!$G$3:$G$22&gt;B1250)*(Calc!$G$3:$G$22-B1250)*Calc!$G$3:$G$22)</f>
        <v/>
      </c>
      <c r="N1250">
        <f>SUMPRODUCT(Calc!$K$3:$K$22*(Calc!$G$3:$G$22&gt;A1250)*(Calc!$G$3:$G$22-A1250)*Calc!$I$3:$I$22)</f>
        <v/>
      </c>
      <c r="O1250">
        <f>SUMPRODUCT(Calc!$K$3:$K$22*(Calc!$G$3:$G$22&gt;B1250)*(Calc!$G$3:$G$22-B1250)*Calc!$I$3:$I$22)</f>
        <v/>
      </c>
      <c r="P1250">
        <f>I1250-G1250^2/k_n</f>
        <v/>
      </c>
      <c r="Q1250">
        <f>J1250-H1250^2/k_n</f>
        <v/>
      </c>
      <c r="R1250">
        <f>K1250-G1250*H1250/k_n</f>
        <v/>
      </c>
      <c r="S1250">
        <f>L1250-LTP3!$D$3*G1250/k_n</f>
        <v/>
      </c>
      <c r="T1250">
        <f>M1250-LTP3!$D$3*H1250/k_n</f>
        <v/>
      </c>
      <c r="U1250">
        <f>N1250-G1250*LTP3!$D$4/k_n</f>
        <v/>
      </c>
      <c r="V1250">
        <f>O1250-H1250*LTP3!$D$4/k_n</f>
        <v/>
      </c>
      <c r="W1250">
        <f>((LTP3!$D$5)*((P1250)*(Q1250)-(R1250)*(R1250))-(S1250)*((S1250)*(Q1250)-(R1250)*(T1250))+(T1250)*((S1250)*(R1250)-(P1250)*(T1250)))</f>
        <v/>
      </c>
      <c r="X1250">
        <f>IF(ABS(W1250)&gt;1E-12,((LTP3!$D$6)*((P1250)*(Q1250)-(R1250)*(R1250))-(S1250)*((U1250)*(Q1250)-(R1250)*(V1250))+(T1250)*((U1250)*(R1250)-(P1250)*(V1250)))/W1250,0)</f>
        <v/>
      </c>
      <c r="Y1250">
        <f>IF(ABS(W1250)&gt;1E-12,((LTP3!$D$5)*((U1250)*(Q1250)-(R1250)*(V1250))-(LTP3!$D$6)*((S1250)*(Q1250)-(R1250)*(T1250))+(T1250)*((S1250)*(V1250)-(U1250)*(T1250)))/W1250,0)</f>
        <v/>
      </c>
      <c r="Z1250">
        <f>IF(ABS(W1250)&gt;1E-12,((LTP3!$D$5)*((P1250)*(V1250)-(U1250)*(R1250))-(S1250)*((S1250)*(V1250)-(U1250)*(T1250))+(LTP3!$D$6)*((S1250)*(R1250)-(P1250)*(T1250)))/W1250,0)</f>
        <v/>
      </c>
      <c r="AA1250">
        <f>LTP3!$D$7-X1250*LTP3!$D$6-Y1250*U1250-Z1250*V1250</f>
        <v/>
      </c>
      <c r="AB1250">
        <f>IF(AND(F1250,ABS(W1250)&gt;1E-12,Y1250&gt;0,Z1250&gt;0),AA1250,1E+300)</f>
        <v/>
      </c>
    </row>
    <row r="1251">
      <c r="A1251">
        <f>$B$3+$B$5*20</f>
        <v/>
      </c>
      <c r="B1251">
        <f>$B$3+$B$5*19</f>
        <v/>
      </c>
      <c r="C1251">
        <f>SUMPRODUCT(Calc!$K$3:$K$22*(Calc!$G$3:$G$22&lt;=A1251))</f>
        <v/>
      </c>
      <c r="D1251">
        <f>SUMPRODUCT(Calc!$K$3:$K$22*(Calc!$G$3:$G$22&gt;A1251)*(Calc!$G$3:$G$22&lt;B1251))</f>
        <v/>
      </c>
      <c r="E1251">
        <f>SUMPRODUCT(Calc!$K$3:$K$22*(Calc!$G$3:$G$22&gt;=B1251))</f>
        <v/>
      </c>
      <c r="F1251">
        <f>AND(k_n&gt;=5,B1251&gt;A1251+1E-9,C1251&gt;=2,D1251&gt;=1,E1251&gt;=2)</f>
        <v/>
      </c>
      <c r="G1251">
        <f>SUMPRODUCT(Calc!$K$3:$K$22*(Calc!$G$3:$G$22&gt;A1251)*(Calc!$G$3:$G$22-A1251))</f>
        <v/>
      </c>
      <c r="H1251">
        <f>SUMPRODUCT(Calc!$K$3:$K$22*(Calc!$G$3:$G$22&gt;B1251)*(Calc!$G$3:$G$22-B1251))</f>
        <v/>
      </c>
      <c r="I1251">
        <f>SUMPRODUCT(Calc!$K$3:$K$22*(Calc!$G$3:$G$22&gt;A1251)*(Calc!$G$3:$G$22-A1251)^2)</f>
        <v/>
      </c>
      <c r="J1251">
        <f>SUMPRODUCT(Calc!$K$3:$K$22*(Calc!$G$3:$G$22&gt;B1251)*(Calc!$G$3:$G$22-B1251)^2)</f>
        <v/>
      </c>
      <c r="K1251">
        <f>SUMPRODUCT(Calc!$K$3:$K$22*(Calc!$G$3:$G$22&gt;A1251)*(Calc!$G$3:$G$22-A1251)*(Calc!$G$3:$G$22&gt;B1251)*(Calc!$G$3:$G$22-B1251))</f>
        <v/>
      </c>
      <c r="L1251">
        <f>SUMPRODUCT(Calc!$K$3:$K$22*(Calc!$G$3:$G$22&gt;A1251)*(Calc!$G$3:$G$22-A1251)*Calc!$G$3:$G$22)</f>
        <v/>
      </c>
      <c r="M1251">
        <f>SUMPRODUCT(Calc!$K$3:$K$22*(Calc!$G$3:$G$22&gt;B1251)*(Calc!$G$3:$G$22-B1251)*Calc!$G$3:$G$22)</f>
        <v/>
      </c>
      <c r="N1251">
        <f>SUMPRODUCT(Calc!$K$3:$K$22*(Calc!$G$3:$G$22&gt;A1251)*(Calc!$G$3:$G$22-A1251)*Calc!$I$3:$I$22)</f>
        <v/>
      </c>
      <c r="O1251">
        <f>SUMPRODUCT(Calc!$K$3:$K$22*(Calc!$G$3:$G$22&gt;B1251)*(Calc!$G$3:$G$22-B1251)*Calc!$I$3:$I$22)</f>
        <v/>
      </c>
      <c r="P1251">
        <f>I1251-G1251^2/k_n</f>
        <v/>
      </c>
      <c r="Q1251">
        <f>J1251-H1251^2/k_n</f>
        <v/>
      </c>
      <c r="R1251">
        <f>K1251-G1251*H1251/k_n</f>
        <v/>
      </c>
      <c r="S1251">
        <f>L1251-LTP3!$D$3*G1251/k_n</f>
        <v/>
      </c>
      <c r="T1251">
        <f>M1251-LTP3!$D$3*H1251/k_n</f>
        <v/>
      </c>
      <c r="U1251">
        <f>N1251-G1251*LTP3!$D$4/k_n</f>
        <v/>
      </c>
      <c r="V1251">
        <f>O1251-H1251*LTP3!$D$4/k_n</f>
        <v/>
      </c>
      <c r="W1251">
        <f>((LTP3!$D$5)*((P1251)*(Q1251)-(R1251)*(R1251))-(S1251)*((S1251)*(Q1251)-(R1251)*(T1251))+(T1251)*((S1251)*(R1251)-(P1251)*(T1251)))</f>
        <v/>
      </c>
      <c r="X1251">
        <f>IF(ABS(W1251)&gt;1E-12,((LTP3!$D$6)*((P1251)*(Q1251)-(R1251)*(R1251))-(S1251)*((U1251)*(Q1251)-(R1251)*(V1251))+(T1251)*((U1251)*(R1251)-(P1251)*(V1251)))/W1251,0)</f>
        <v/>
      </c>
      <c r="Y1251">
        <f>IF(ABS(W1251)&gt;1E-12,((LTP3!$D$5)*((U1251)*(Q1251)-(R1251)*(V1251))-(LTP3!$D$6)*((S1251)*(Q1251)-(R1251)*(T1251))+(T1251)*((S1251)*(V1251)-(U1251)*(T1251)))/W1251,0)</f>
        <v/>
      </c>
      <c r="Z1251">
        <f>IF(ABS(W1251)&gt;1E-12,((LTP3!$D$5)*((P1251)*(V1251)-(U1251)*(R1251))-(S1251)*((S1251)*(V1251)-(U1251)*(T1251))+(LTP3!$D$6)*((S1251)*(R1251)-(P1251)*(T1251)))/W1251,0)</f>
        <v/>
      </c>
      <c r="AA1251">
        <f>LTP3!$D$7-X1251*LTP3!$D$6-Y1251*U1251-Z1251*V1251</f>
        <v/>
      </c>
      <c r="AB1251">
        <f>IF(AND(F1251,ABS(W1251)&gt;1E-12,Y1251&gt;0,Z1251&gt;0),AA1251,1E+300)</f>
        <v/>
      </c>
    </row>
    <row r="1252">
      <c r="A1252">
        <f>$B$3+$B$5*20</f>
        <v/>
      </c>
      <c r="B1252">
        <f>$B$3+$B$5*20</f>
        <v/>
      </c>
      <c r="C1252">
        <f>SUMPRODUCT(Calc!$K$3:$K$22*(Calc!$G$3:$G$22&lt;=A1252))</f>
        <v/>
      </c>
      <c r="D1252">
        <f>SUMPRODUCT(Calc!$K$3:$K$22*(Calc!$G$3:$G$22&gt;A1252)*(Calc!$G$3:$G$22&lt;B1252))</f>
        <v/>
      </c>
      <c r="E1252">
        <f>SUMPRODUCT(Calc!$K$3:$K$22*(Calc!$G$3:$G$22&gt;=B1252))</f>
        <v/>
      </c>
      <c r="F1252">
        <f>AND(k_n&gt;=5,B1252&gt;A1252+1E-9,C1252&gt;=2,D1252&gt;=1,E1252&gt;=2)</f>
        <v/>
      </c>
      <c r="G1252">
        <f>SUMPRODUCT(Calc!$K$3:$K$22*(Calc!$G$3:$G$22&gt;A1252)*(Calc!$G$3:$G$22-A1252))</f>
        <v/>
      </c>
      <c r="H1252">
        <f>SUMPRODUCT(Calc!$K$3:$K$22*(Calc!$G$3:$G$22&gt;B1252)*(Calc!$G$3:$G$22-B1252))</f>
        <v/>
      </c>
      <c r="I1252">
        <f>SUMPRODUCT(Calc!$K$3:$K$22*(Calc!$G$3:$G$22&gt;A1252)*(Calc!$G$3:$G$22-A1252)^2)</f>
        <v/>
      </c>
      <c r="J1252">
        <f>SUMPRODUCT(Calc!$K$3:$K$22*(Calc!$G$3:$G$22&gt;B1252)*(Calc!$G$3:$G$22-B1252)^2)</f>
        <v/>
      </c>
      <c r="K1252">
        <f>SUMPRODUCT(Calc!$K$3:$K$22*(Calc!$G$3:$G$22&gt;A1252)*(Calc!$G$3:$G$22-A1252)*(Calc!$G$3:$G$22&gt;B1252)*(Calc!$G$3:$G$22-B1252))</f>
        <v/>
      </c>
      <c r="L1252">
        <f>SUMPRODUCT(Calc!$K$3:$K$22*(Calc!$G$3:$G$22&gt;A1252)*(Calc!$G$3:$G$22-A1252)*Calc!$G$3:$G$22)</f>
        <v/>
      </c>
      <c r="M1252">
        <f>SUMPRODUCT(Calc!$K$3:$K$22*(Calc!$G$3:$G$22&gt;B1252)*(Calc!$G$3:$G$22-B1252)*Calc!$G$3:$G$22)</f>
        <v/>
      </c>
      <c r="N1252">
        <f>SUMPRODUCT(Calc!$K$3:$K$22*(Calc!$G$3:$G$22&gt;A1252)*(Calc!$G$3:$G$22-A1252)*Calc!$I$3:$I$22)</f>
        <v/>
      </c>
      <c r="O1252">
        <f>SUMPRODUCT(Calc!$K$3:$K$22*(Calc!$G$3:$G$22&gt;B1252)*(Calc!$G$3:$G$22-B1252)*Calc!$I$3:$I$22)</f>
        <v/>
      </c>
      <c r="P1252">
        <f>I1252-G1252^2/k_n</f>
        <v/>
      </c>
      <c r="Q1252">
        <f>J1252-H1252^2/k_n</f>
        <v/>
      </c>
      <c r="R1252">
        <f>K1252-G1252*H1252/k_n</f>
        <v/>
      </c>
      <c r="S1252">
        <f>L1252-LTP3!$D$3*G1252/k_n</f>
        <v/>
      </c>
      <c r="T1252">
        <f>M1252-LTP3!$D$3*H1252/k_n</f>
        <v/>
      </c>
      <c r="U1252">
        <f>N1252-G1252*LTP3!$D$4/k_n</f>
        <v/>
      </c>
      <c r="V1252">
        <f>O1252-H1252*LTP3!$D$4/k_n</f>
        <v/>
      </c>
      <c r="W1252">
        <f>((LTP3!$D$5)*((P1252)*(Q1252)-(R1252)*(R1252))-(S1252)*((S1252)*(Q1252)-(R1252)*(T1252))+(T1252)*((S1252)*(R1252)-(P1252)*(T1252)))</f>
        <v/>
      </c>
      <c r="X1252">
        <f>IF(ABS(W1252)&gt;1E-12,((LTP3!$D$6)*((P1252)*(Q1252)-(R1252)*(R1252))-(S1252)*((U1252)*(Q1252)-(R1252)*(V1252))+(T1252)*((U1252)*(R1252)-(P1252)*(V1252)))/W1252,0)</f>
        <v/>
      </c>
      <c r="Y1252">
        <f>IF(ABS(W1252)&gt;1E-12,((LTP3!$D$5)*((U1252)*(Q1252)-(R1252)*(V1252))-(LTP3!$D$6)*((S1252)*(Q1252)-(R1252)*(T1252))+(T1252)*((S1252)*(V1252)-(U1252)*(T1252)))/W1252,0)</f>
        <v/>
      </c>
      <c r="Z1252">
        <f>IF(ABS(W1252)&gt;1E-12,((LTP3!$D$5)*((P1252)*(V1252)-(U1252)*(R1252))-(S1252)*((S1252)*(V1252)-(U1252)*(T1252))+(LTP3!$D$6)*((S1252)*(R1252)-(P1252)*(T1252)))/W1252,0)</f>
        <v/>
      </c>
      <c r="AA1252">
        <f>LTP3!$D$7-X1252*LTP3!$D$6-Y1252*U1252-Z1252*V1252</f>
        <v/>
      </c>
      <c r="AB1252">
        <f>IF(AND(F1252,ABS(W1252)&gt;1E-12,Y1252&gt;0,Z1252&gt;0),AA1252,1E+300)</f>
        <v/>
      </c>
    </row>
    <row r="1253">
      <c r="A1253">
        <f>$B$3+$B$5*20</f>
        <v/>
      </c>
      <c r="B1253">
        <f>$B$3+$B$5*21</f>
        <v/>
      </c>
      <c r="C1253">
        <f>SUMPRODUCT(Calc!$K$3:$K$22*(Calc!$G$3:$G$22&lt;=A1253))</f>
        <v/>
      </c>
      <c r="D1253">
        <f>SUMPRODUCT(Calc!$K$3:$K$22*(Calc!$G$3:$G$22&gt;A1253)*(Calc!$G$3:$G$22&lt;B1253))</f>
        <v/>
      </c>
      <c r="E1253">
        <f>SUMPRODUCT(Calc!$K$3:$K$22*(Calc!$G$3:$G$22&gt;=B1253))</f>
        <v/>
      </c>
      <c r="F1253">
        <f>AND(k_n&gt;=5,B1253&gt;A1253+1E-9,C1253&gt;=2,D1253&gt;=1,E1253&gt;=2)</f>
        <v/>
      </c>
      <c r="G1253">
        <f>SUMPRODUCT(Calc!$K$3:$K$22*(Calc!$G$3:$G$22&gt;A1253)*(Calc!$G$3:$G$22-A1253))</f>
        <v/>
      </c>
      <c r="H1253">
        <f>SUMPRODUCT(Calc!$K$3:$K$22*(Calc!$G$3:$G$22&gt;B1253)*(Calc!$G$3:$G$22-B1253))</f>
        <v/>
      </c>
      <c r="I1253">
        <f>SUMPRODUCT(Calc!$K$3:$K$22*(Calc!$G$3:$G$22&gt;A1253)*(Calc!$G$3:$G$22-A1253)^2)</f>
        <v/>
      </c>
      <c r="J1253">
        <f>SUMPRODUCT(Calc!$K$3:$K$22*(Calc!$G$3:$G$22&gt;B1253)*(Calc!$G$3:$G$22-B1253)^2)</f>
        <v/>
      </c>
      <c r="K1253">
        <f>SUMPRODUCT(Calc!$K$3:$K$22*(Calc!$G$3:$G$22&gt;A1253)*(Calc!$G$3:$G$22-A1253)*(Calc!$G$3:$G$22&gt;B1253)*(Calc!$G$3:$G$22-B1253))</f>
        <v/>
      </c>
      <c r="L1253">
        <f>SUMPRODUCT(Calc!$K$3:$K$22*(Calc!$G$3:$G$22&gt;A1253)*(Calc!$G$3:$G$22-A1253)*Calc!$G$3:$G$22)</f>
        <v/>
      </c>
      <c r="M1253">
        <f>SUMPRODUCT(Calc!$K$3:$K$22*(Calc!$G$3:$G$22&gt;B1253)*(Calc!$G$3:$G$22-B1253)*Calc!$G$3:$G$22)</f>
        <v/>
      </c>
      <c r="N1253">
        <f>SUMPRODUCT(Calc!$K$3:$K$22*(Calc!$G$3:$G$22&gt;A1253)*(Calc!$G$3:$G$22-A1253)*Calc!$I$3:$I$22)</f>
        <v/>
      </c>
      <c r="O1253">
        <f>SUMPRODUCT(Calc!$K$3:$K$22*(Calc!$G$3:$G$22&gt;B1253)*(Calc!$G$3:$G$22-B1253)*Calc!$I$3:$I$22)</f>
        <v/>
      </c>
      <c r="P1253">
        <f>I1253-G1253^2/k_n</f>
        <v/>
      </c>
      <c r="Q1253">
        <f>J1253-H1253^2/k_n</f>
        <v/>
      </c>
      <c r="R1253">
        <f>K1253-G1253*H1253/k_n</f>
        <v/>
      </c>
      <c r="S1253">
        <f>L1253-LTP3!$D$3*G1253/k_n</f>
        <v/>
      </c>
      <c r="T1253">
        <f>M1253-LTP3!$D$3*H1253/k_n</f>
        <v/>
      </c>
      <c r="U1253">
        <f>N1253-G1253*LTP3!$D$4/k_n</f>
        <v/>
      </c>
      <c r="V1253">
        <f>O1253-H1253*LTP3!$D$4/k_n</f>
        <v/>
      </c>
      <c r="W1253">
        <f>((LTP3!$D$5)*((P1253)*(Q1253)-(R1253)*(R1253))-(S1253)*((S1253)*(Q1253)-(R1253)*(T1253))+(T1253)*((S1253)*(R1253)-(P1253)*(T1253)))</f>
        <v/>
      </c>
      <c r="X1253">
        <f>IF(ABS(W1253)&gt;1E-12,((LTP3!$D$6)*((P1253)*(Q1253)-(R1253)*(R1253))-(S1253)*((U1253)*(Q1253)-(R1253)*(V1253))+(T1253)*((U1253)*(R1253)-(P1253)*(V1253)))/W1253,0)</f>
        <v/>
      </c>
      <c r="Y1253">
        <f>IF(ABS(W1253)&gt;1E-12,((LTP3!$D$5)*((U1253)*(Q1253)-(R1253)*(V1253))-(LTP3!$D$6)*((S1253)*(Q1253)-(R1253)*(T1253))+(T1253)*((S1253)*(V1253)-(U1253)*(T1253)))/W1253,0)</f>
        <v/>
      </c>
      <c r="Z1253">
        <f>IF(ABS(W1253)&gt;1E-12,((LTP3!$D$5)*((P1253)*(V1253)-(U1253)*(R1253))-(S1253)*((S1253)*(V1253)-(U1253)*(T1253))+(LTP3!$D$6)*((S1253)*(R1253)-(P1253)*(T1253)))/W1253,0)</f>
        <v/>
      </c>
      <c r="AA1253">
        <f>LTP3!$D$7-X1253*LTP3!$D$6-Y1253*U1253-Z1253*V1253</f>
        <v/>
      </c>
      <c r="AB1253">
        <f>IF(AND(F1253,ABS(W1253)&gt;1E-12,Y1253&gt;0,Z1253&gt;0),AA1253,1E+300)</f>
        <v/>
      </c>
    </row>
    <row r="1254">
      <c r="A1254">
        <f>$B$3+$B$5*20</f>
        <v/>
      </c>
      <c r="B1254">
        <f>$B$3+$B$5*22</f>
        <v/>
      </c>
      <c r="C1254">
        <f>SUMPRODUCT(Calc!$K$3:$K$22*(Calc!$G$3:$G$22&lt;=A1254))</f>
        <v/>
      </c>
      <c r="D1254">
        <f>SUMPRODUCT(Calc!$K$3:$K$22*(Calc!$G$3:$G$22&gt;A1254)*(Calc!$G$3:$G$22&lt;B1254))</f>
        <v/>
      </c>
      <c r="E1254">
        <f>SUMPRODUCT(Calc!$K$3:$K$22*(Calc!$G$3:$G$22&gt;=B1254))</f>
        <v/>
      </c>
      <c r="F1254">
        <f>AND(k_n&gt;=5,B1254&gt;A1254+1E-9,C1254&gt;=2,D1254&gt;=1,E1254&gt;=2)</f>
        <v/>
      </c>
      <c r="G1254">
        <f>SUMPRODUCT(Calc!$K$3:$K$22*(Calc!$G$3:$G$22&gt;A1254)*(Calc!$G$3:$G$22-A1254))</f>
        <v/>
      </c>
      <c r="H1254">
        <f>SUMPRODUCT(Calc!$K$3:$K$22*(Calc!$G$3:$G$22&gt;B1254)*(Calc!$G$3:$G$22-B1254))</f>
        <v/>
      </c>
      <c r="I1254">
        <f>SUMPRODUCT(Calc!$K$3:$K$22*(Calc!$G$3:$G$22&gt;A1254)*(Calc!$G$3:$G$22-A1254)^2)</f>
        <v/>
      </c>
      <c r="J1254">
        <f>SUMPRODUCT(Calc!$K$3:$K$22*(Calc!$G$3:$G$22&gt;B1254)*(Calc!$G$3:$G$22-B1254)^2)</f>
        <v/>
      </c>
      <c r="K1254">
        <f>SUMPRODUCT(Calc!$K$3:$K$22*(Calc!$G$3:$G$22&gt;A1254)*(Calc!$G$3:$G$22-A1254)*(Calc!$G$3:$G$22&gt;B1254)*(Calc!$G$3:$G$22-B1254))</f>
        <v/>
      </c>
      <c r="L1254">
        <f>SUMPRODUCT(Calc!$K$3:$K$22*(Calc!$G$3:$G$22&gt;A1254)*(Calc!$G$3:$G$22-A1254)*Calc!$G$3:$G$22)</f>
        <v/>
      </c>
      <c r="M1254">
        <f>SUMPRODUCT(Calc!$K$3:$K$22*(Calc!$G$3:$G$22&gt;B1254)*(Calc!$G$3:$G$22-B1254)*Calc!$G$3:$G$22)</f>
        <v/>
      </c>
      <c r="N1254">
        <f>SUMPRODUCT(Calc!$K$3:$K$22*(Calc!$G$3:$G$22&gt;A1254)*(Calc!$G$3:$G$22-A1254)*Calc!$I$3:$I$22)</f>
        <v/>
      </c>
      <c r="O1254">
        <f>SUMPRODUCT(Calc!$K$3:$K$22*(Calc!$G$3:$G$22&gt;B1254)*(Calc!$G$3:$G$22-B1254)*Calc!$I$3:$I$22)</f>
        <v/>
      </c>
      <c r="P1254">
        <f>I1254-G1254^2/k_n</f>
        <v/>
      </c>
      <c r="Q1254">
        <f>J1254-H1254^2/k_n</f>
        <v/>
      </c>
      <c r="R1254">
        <f>K1254-G1254*H1254/k_n</f>
        <v/>
      </c>
      <c r="S1254">
        <f>L1254-LTP3!$D$3*G1254/k_n</f>
        <v/>
      </c>
      <c r="T1254">
        <f>M1254-LTP3!$D$3*H1254/k_n</f>
        <v/>
      </c>
      <c r="U1254">
        <f>N1254-G1254*LTP3!$D$4/k_n</f>
        <v/>
      </c>
      <c r="V1254">
        <f>O1254-H1254*LTP3!$D$4/k_n</f>
        <v/>
      </c>
      <c r="W1254">
        <f>((LTP3!$D$5)*((P1254)*(Q1254)-(R1254)*(R1254))-(S1254)*((S1254)*(Q1254)-(R1254)*(T1254))+(T1254)*((S1254)*(R1254)-(P1254)*(T1254)))</f>
        <v/>
      </c>
      <c r="X1254">
        <f>IF(ABS(W1254)&gt;1E-12,((LTP3!$D$6)*((P1254)*(Q1254)-(R1254)*(R1254))-(S1254)*((U1254)*(Q1254)-(R1254)*(V1254))+(T1254)*((U1254)*(R1254)-(P1254)*(V1254)))/W1254,0)</f>
        <v/>
      </c>
      <c r="Y1254">
        <f>IF(ABS(W1254)&gt;1E-12,((LTP3!$D$5)*((U1254)*(Q1254)-(R1254)*(V1254))-(LTP3!$D$6)*((S1254)*(Q1254)-(R1254)*(T1254))+(T1254)*((S1254)*(V1254)-(U1254)*(T1254)))/W1254,0)</f>
        <v/>
      </c>
      <c r="Z1254">
        <f>IF(ABS(W1254)&gt;1E-12,((LTP3!$D$5)*((P1254)*(V1254)-(U1254)*(R1254))-(S1254)*((S1254)*(V1254)-(U1254)*(T1254))+(LTP3!$D$6)*((S1254)*(R1254)-(P1254)*(T1254)))/W1254,0)</f>
        <v/>
      </c>
      <c r="AA1254">
        <f>LTP3!$D$7-X1254*LTP3!$D$6-Y1254*U1254-Z1254*V1254</f>
        <v/>
      </c>
      <c r="AB1254">
        <f>IF(AND(F1254,ABS(W1254)&gt;1E-12,Y1254&gt;0,Z1254&gt;0),AA1254,1E+300)</f>
        <v/>
      </c>
    </row>
    <row r="1255">
      <c r="A1255">
        <f>$B$3+$B$5*20</f>
        <v/>
      </c>
      <c r="B1255">
        <f>$B$3+$B$5*23</f>
        <v/>
      </c>
      <c r="C1255">
        <f>SUMPRODUCT(Calc!$K$3:$K$22*(Calc!$G$3:$G$22&lt;=A1255))</f>
        <v/>
      </c>
      <c r="D1255">
        <f>SUMPRODUCT(Calc!$K$3:$K$22*(Calc!$G$3:$G$22&gt;A1255)*(Calc!$G$3:$G$22&lt;B1255))</f>
        <v/>
      </c>
      <c r="E1255">
        <f>SUMPRODUCT(Calc!$K$3:$K$22*(Calc!$G$3:$G$22&gt;=B1255))</f>
        <v/>
      </c>
      <c r="F1255">
        <f>AND(k_n&gt;=5,B1255&gt;A1255+1E-9,C1255&gt;=2,D1255&gt;=1,E1255&gt;=2)</f>
        <v/>
      </c>
      <c r="G1255">
        <f>SUMPRODUCT(Calc!$K$3:$K$22*(Calc!$G$3:$G$22&gt;A1255)*(Calc!$G$3:$G$22-A1255))</f>
        <v/>
      </c>
      <c r="H1255">
        <f>SUMPRODUCT(Calc!$K$3:$K$22*(Calc!$G$3:$G$22&gt;B1255)*(Calc!$G$3:$G$22-B1255))</f>
        <v/>
      </c>
      <c r="I1255">
        <f>SUMPRODUCT(Calc!$K$3:$K$22*(Calc!$G$3:$G$22&gt;A1255)*(Calc!$G$3:$G$22-A1255)^2)</f>
        <v/>
      </c>
      <c r="J1255">
        <f>SUMPRODUCT(Calc!$K$3:$K$22*(Calc!$G$3:$G$22&gt;B1255)*(Calc!$G$3:$G$22-B1255)^2)</f>
        <v/>
      </c>
      <c r="K1255">
        <f>SUMPRODUCT(Calc!$K$3:$K$22*(Calc!$G$3:$G$22&gt;A1255)*(Calc!$G$3:$G$22-A1255)*(Calc!$G$3:$G$22&gt;B1255)*(Calc!$G$3:$G$22-B1255))</f>
        <v/>
      </c>
      <c r="L1255">
        <f>SUMPRODUCT(Calc!$K$3:$K$22*(Calc!$G$3:$G$22&gt;A1255)*(Calc!$G$3:$G$22-A1255)*Calc!$G$3:$G$22)</f>
        <v/>
      </c>
      <c r="M1255">
        <f>SUMPRODUCT(Calc!$K$3:$K$22*(Calc!$G$3:$G$22&gt;B1255)*(Calc!$G$3:$G$22-B1255)*Calc!$G$3:$G$22)</f>
        <v/>
      </c>
      <c r="N1255">
        <f>SUMPRODUCT(Calc!$K$3:$K$22*(Calc!$G$3:$G$22&gt;A1255)*(Calc!$G$3:$G$22-A1255)*Calc!$I$3:$I$22)</f>
        <v/>
      </c>
      <c r="O1255">
        <f>SUMPRODUCT(Calc!$K$3:$K$22*(Calc!$G$3:$G$22&gt;B1255)*(Calc!$G$3:$G$22-B1255)*Calc!$I$3:$I$22)</f>
        <v/>
      </c>
      <c r="P1255">
        <f>I1255-G1255^2/k_n</f>
        <v/>
      </c>
      <c r="Q1255">
        <f>J1255-H1255^2/k_n</f>
        <v/>
      </c>
      <c r="R1255">
        <f>K1255-G1255*H1255/k_n</f>
        <v/>
      </c>
      <c r="S1255">
        <f>L1255-LTP3!$D$3*G1255/k_n</f>
        <v/>
      </c>
      <c r="T1255">
        <f>M1255-LTP3!$D$3*H1255/k_n</f>
        <v/>
      </c>
      <c r="U1255">
        <f>N1255-G1255*LTP3!$D$4/k_n</f>
        <v/>
      </c>
      <c r="V1255">
        <f>O1255-H1255*LTP3!$D$4/k_n</f>
        <v/>
      </c>
      <c r="W1255">
        <f>((LTP3!$D$5)*((P1255)*(Q1255)-(R1255)*(R1255))-(S1255)*((S1255)*(Q1255)-(R1255)*(T1255))+(T1255)*((S1255)*(R1255)-(P1255)*(T1255)))</f>
        <v/>
      </c>
      <c r="X1255">
        <f>IF(ABS(W1255)&gt;1E-12,((LTP3!$D$6)*((P1255)*(Q1255)-(R1255)*(R1255))-(S1255)*((U1255)*(Q1255)-(R1255)*(V1255))+(T1255)*((U1255)*(R1255)-(P1255)*(V1255)))/W1255,0)</f>
        <v/>
      </c>
      <c r="Y1255">
        <f>IF(ABS(W1255)&gt;1E-12,((LTP3!$D$5)*((U1255)*(Q1255)-(R1255)*(V1255))-(LTP3!$D$6)*((S1255)*(Q1255)-(R1255)*(T1255))+(T1255)*((S1255)*(V1255)-(U1255)*(T1255)))/W1255,0)</f>
        <v/>
      </c>
      <c r="Z1255">
        <f>IF(ABS(W1255)&gt;1E-12,((LTP3!$D$5)*((P1255)*(V1255)-(U1255)*(R1255))-(S1255)*((S1255)*(V1255)-(U1255)*(T1255))+(LTP3!$D$6)*((S1255)*(R1255)-(P1255)*(T1255)))/W1255,0)</f>
        <v/>
      </c>
      <c r="AA1255">
        <f>LTP3!$D$7-X1255*LTP3!$D$6-Y1255*U1255-Z1255*V1255</f>
        <v/>
      </c>
      <c r="AB1255">
        <f>IF(AND(F1255,ABS(W1255)&gt;1E-12,Y1255&gt;0,Z1255&gt;0),AA1255,1E+300)</f>
        <v/>
      </c>
    </row>
    <row r="1256">
      <c r="A1256">
        <f>$B$3+$B$5*20</f>
        <v/>
      </c>
      <c r="B1256">
        <f>$B$3+$B$5*24</f>
        <v/>
      </c>
      <c r="C1256">
        <f>SUMPRODUCT(Calc!$K$3:$K$22*(Calc!$G$3:$G$22&lt;=A1256))</f>
        <v/>
      </c>
      <c r="D1256">
        <f>SUMPRODUCT(Calc!$K$3:$K$22*(Calc!$G$3:$G$22&gt;A1256)*(Calc!$G$3:$G$22&lt;B1256))</f>
        <v/>
      </c>
      <c r="E1256">
        <f>SUMPRODUCT(Calc!$K$3:$K$22*(Calc!$G$3:$G$22&gt;=B1256))</f>
        <v/>
      </c>
      <c r="F1256">
        <f>AND(k_n&gt;=5,B1256&gt;A1256+1E-9,C1256&gt;=2,D1256&gt;=1,E1256&gt;=2)</f>
        <v/>
      </c>
      <c r="G1256">
        <f>SUMPRODUCT(Calc!$K$3:$K$22*(Calc!$G$3:$G$22&gt;A1256)*(Calc!$G$3:$G$22-A1256))</f>
        <v/>
      </c>
      <c r="H1256">
        <f>SUMPRODUCT(Calc!$K$3:$K$22*(Calc!$G$3:$G$22&gt;B1256)*(Calc!$G$3:$G$22-B1256))</f>
        <v/>
      </c>
      <c r="I1256">
        <f>SUMPRODUCT(Calc!$K$3:$K$22*(Calc!$G$3:$G$22&gt;A1256)*(Calc!$G$3:$G$22-A1256)^2)</f>
        <v/>
      </c>
      <c r="J1256">
        <f>SUMPRODUCT(Calc!$K$3:$K$22*(Calc!$G$3:$G$22&gt;B1256)*(Calc!$G$3:$G$22-B1256)^2)</f>
        <v/>
      </c>
      <c r="K1256">
        <f>SUMPRODUCT(Calc!$K$3:$K$22*(Calc!$G$3:$G$22&gt;A1256)*(Calc!$G$3:$G$22-A1256)*(Calc!$G$3:$G$22&gt;B1256)*(Calc!$G$3:$G$22-B1256))</f>
        <v/>
      </c>
      <c r="L1256">
        <f>SUMPRODUCT(Calc!$K$3:$K$22*(Calc!$G$3:$G$22&gt;A1256)*(Calc!$G$3:$G$22-A1256)*Calc!$G$3:$G$22)</f>
        <v/>
      </c>
      <c r="M1256">
        <f>SUMPRODUCT(Calc!$K$3:$K$22*(Calc!$G$3:$G$22&gt;B1256)*(Calc!$G$3:$G$22-B1256)*Calc!$G$3:$G$22)</f>
        <v/>
      </c>
      <c r="N1256">
        <f>SUMPRODUCT(Calc!$K$3:$K$22*(Calc!$G$3:$G$22&gt;A1256)*(Calc!$G$3:$G$22-A1256)*Calc!$I$3:$I$22)</f>
        <v/>
      </c>
      <c r="O1256">
        <f>SUMPRODUCT(Calc!$K$3:$K$22*(Calc!$G$3:$G$22&gt;B1256)*(Calc!$G$3:$G$22-B1256)*Calc!$I$3:$I$22)</f>
        <v/>
      </c>
      <c r="P1256">
        <f>I1256-G1256^2/k_n</f>
        <v/>
      </c>
      <c r="Q1256">
        <f>J1256-H1256^2/k_n</f>
        <v/>
      </c>
      <c r="R1256">
        <f>K1256-G1256*H1256/k_n</f>
        <v/>
      </c>
      <c r="S1256">
        <f>L1256-LTP3!$D$3*G1256/k_n</f>
        <v/>
      </c>
      <c r="T1256">
        <f>M1256-LTP3!$D$3*H1256/k_n</f>
        <v/>
      </c>
      <c r="U1256">
        <f>N1256-G1256*LTP3!$D$4/k_n</f>
        <v/>
      </c>
      <c r="V1256">
        <f>O1256-H1256*LTP3!$D$4/k_n</f>
        <v/>
      </c>
      <c r="W1256">
        <f>((LTP3!$D$5)*((P1256)*(Q1256)-(R1256)*(R1256))-(S1256)*((S1256)*(Q1256)-(R1256)*(T1256))+(T1256)*((S1256)*(R1256)-(P1256)*(T1256)))</f>
        <v/>
      </c>
      <c r="X1256">
        <f>IF(ABS(W1256)&gt;1E-12,((LTP3!$D$6)*((P1256)*(Q1256)-(R1256)*(R1256))-(S1256)*((U1256)*(Q1256)-(R1256)*(V1256))+(T1256)*((U1256)*(R1256)-(P1256)*(V1256)))/W1256,0)</f>
        <v/>
      </c>
      <c r="Y1256">
        <f>IF(ABS(W1256)&gt;1E-12,((LTP3!$D$5)*((U1256)*(Q1256)-(R1256)*(V1256))-(LTP3!$D$6)*((S1256)*(Q1256)-(R1256)*(T1256))+(T1256)*((S1256)*(V1256)-(U1256)*(T1256)))/W1256,0)</f>
        <v/>
      </c>
      <c r="Z1256">
        <f>IF(ABS(W1256)&gt;1E-12,((LTP3!$D$5)*((P1256)*(V1256)-(U1256)*(R1256))-(S1256)*((S1256)*(V1256)-(U1256)*(T1256))+(LTP3!$D$6)*((S1256)*(R1256)-(P1256)*(T1256)))/W1256,0)</f>
        <v/>
      </c>
      <c r="AA1256">
        <f>LTP3!$D$7-X1256*LTP3!$D$6-Y1256*U1256-Z1256*V1256</f>
        <v/>
      </c>
      <c r="AB1256">
        <f>IF(AND(F1256,ABS(W1256)&gt;1E-12,Y1256&gt;0,Z1256&gt;0),AA1256,1E+300)</f>
        <v/>
      </c>
    </row>
    <row r="1257">
      <c r="A1257">
        <f>$B$3+$B$5*20</f>
        <v/>
      </c>
      <c r="B1257">
        <f>$B$3+$B$5*25</f>
        <v/>
      </c>
      <c r="C1257">
        <f>SUMPRODUCT(Calc!$K$3:$K$22*(Calc!$G$3:$G$22&lt;=A1257))</f>
        <v/>
      </c>
      <c r="D1257">
        <f>SUMPRODUCT(Calc!$K$3:$K$22*(Calc!$G$3:$G$22&gt;A1257)*(Calc!$G$3:$G$22&lt;B1257))</f>
        <v/>
      </c>
      <c r="E1257">
        <f>SUMPRODUCT(Calc!$K$3:$K$22*(Calc!$G$3:$G$22&gt;=B1257))</f>
        <v/>
      </c>
      <c r="F1257">
        <f>AND(k_n&gt;=5,B1257&gt;A1257+1E-9,C1257&gt;=2,D1257&gt;=1,E1257&gt;=2)</f>
        <v/>
      </c>
      <c r="G1257">
        <f>SUMPRODUCT(Calc!$K$3:$K$22*(Calc!$G$3:$G$22&gt;A1257)*(Calc!$G$3:$G$22-A1257))</f>
        <v/>
      </c>
      <c r="H1257">
        <f>SUMPRODUCT(Calc!$K$3:$K$22*(Calc!$G$3:$G$22&gt;B1257)*(Calc!$G$3:$G$22-B1257))</f>
        <v/>
      </c>
      <c r="I1257">
        <f>SUMPRODUCT(Calc!$K$3:$K$22*(Calc!$G$3:$G$22&gt;A1257)*(Calc!$G$3:$G$22-A1257)^2)</f>
        <v/>
      </c>
      <c r="J1257">
        <f>SUMPRODUCT(Calc!$K$3:$K$22*(Calc!$G$3:$G$22&gt;B1257)*(Calc!$G$3:$G$22-B1257)^2)</f>
        <v/>
      </c>
      <c r="K1257">
        <f>SUMPRODUCT(Calc!$K$3:$K$22*(Calc!$G$3:$G$22&gt;A1257)*(Calc!$G$3:$G$22-A1257)*(Calc!$G$3:$G$22&gt;B1257)*(Calc!$G$3:$G$22-B1257))</f>
        <v/>
      </c>
      <c r="L1257">
        <f>SUMPRODUCT(Calc!$K$3:$K$22*(Calc!$G$3:$G$22&gt;A1257)*(Calc!$G$3:$G$22-A1257)*Calc!$G$3:$G$22)</f>
        <v/>
      </c>
      <c r="M1257">
        <f>SUMPRODUCT(Calc!$K$3:$K$22*(Calc!$G$3:$G$22&gt;B1257)*(Calc!$G$3:$G$22-B1257)*Calc!$G$3:$G$22)</f>
        <v/>
      </c>
      <c r="N1257">
        <f>SUMPRODUCT(Calc!$K$3:$K$22*(Calc!$G$3:$G$22&gt;A1257)*(Calc!$G$3:$G$22-A1257)*Calc!$I$3:$I$22)</f>
        <v/>
      </c>
      <c r="O1257">
        <f>SUMPRODUCT(Calc!$K$3:$K$22*(Calc!$G$3:$G$22&gt;B1257)*(Calc!$G$3:$G$22-B1257)*Calc!$I$3:$I$22)</f>
        <v/>
      </c>
      <c r="P1257">
        <f>I1257-G1257^2/k_n</f>
        <v/>
      </c>
      <c r="Q1257">
        <f>J1257-H1257^2/k_n</f>
        <v/>
      </c>
      <c r="R1257">
        <f>K1257-G1257*H1257/k_n</f>
        <v/>
      </c>
      <c r="S1257">
        <f>L1257-LTP3!$D$3*G1257/k_n</f>
        <v/>
      </c>
      <c r="T1257">
        <f>M1257-LTP3!$D$3*H1257/k_n</f>
        <v/>
      </c>
      <c r="U1257">
        <f>N1257-G1257*LTP3!$D$4/k_n</f>
        <v/>
      </c>
      <c r="V1257">
        <f>O1257-H1257*LTP3!$D$4/k_n</f>
        <v/>
      </c>
      <c r="W1257">
        <f>((LTP3!$D$5)*((P1257)*(Q1257)-(R1257)*(R1257))-(S1257)*((S1257)*(Q1257)-(R1257)*(T1257))+(T1257)*((S1257)*(R1257)-(P1257)*(T1257)))</f>
        <v/>
      </c>
      <c r="X1257">
        <f>IF(ABS(W1257)&gt;1E-12,((LTP3!$D$6)*((P1257)*(Q1257)-(R1257)*(R1257))-(S1257)*((U1257)*(Q1257)-(R1257)*(V1257))+(T1257)*((U1257)*(R1257)-(P1257)*(V1257)))/W1257,0)</f>
        <v/>
      </c>
      <c r="Y1257">
        <f>IF(ABS(W1257)&gt;1E-12,((LTP3!$D$5)*((U1257)*(Q1257)-(R1257)*(V1257))-(LTP3!$D$6)*((S1257)*(Q1257)-(R1257)*(T1257))+(T1257)*((S1257)*(V1257)-(U1257)*(T1257)))/W1257,0)</f>
        <v/>
      </c>
      <c r="Z1257">
        <f>IF(ABS(W1257)&gt;1E-12,((LTP3!$D$5)*((P1257)*(V1257)-(U1257)*(R1257))-(S1257)*((S1257)*(V1257)-(U1257)*(T1257))+(LTP3!$D$6)*((S1257)*(R1257)-(P1257)*(T1257)))/W1257,0)</f>
        <v/>
      </c>
      <c r="AA1257">
        <f>LTP3!$D$7-X1257*LTP3!$D$6-Y1257*U1257-Z1257*V1257</f>
        <v/>
      </c>
      <c r="AB1257">
        <f>IF(AND(F1257,ABS(W1257)&gt;1E-12,Y1257&gt;0,Z1257&gt;0),AA1257,1E+300)</f>
        <v/>
      </c>
    </row>
    <row r="1258">
      <c r="A1258">
        <f>$B$3+$B$5*20</f>
        <v/>
      </c>
      <c r="B1258">
        <f>$B$3+$B$5*26</f>
        <v/>
      </c>
      <c r="C1258">
        <f>SUMPRODUCT(Calc!$K$3:$K$22*(Calc!$G$3:$G$22&lt;=A1258))</f>
        <v/>
      </c>
      <c r="D1258">
        <f>SUMPRODUCT(Calc!$K$3:$K$22*(Calc!$G$3:$G$22&gt;A1258)*(Calc!$G$3:$G$22&lt;B1258))</f>
        <v/>
      </c>
      <c r="E1258">
        <f>SUMPRODUCT(Calc!$K$3:$K$22*(Calc!$G$3:$G$22&gt;=B1258))</f>
        <v/>
      </c>
      <c r="F1258">
        <f>AND(k_n&gt;=5,B1258&gt;A1258+1E-9,C1258&gt;=2,D1258&gt;=1,E1258&gt;=2)</f>
        <v/>
      </c>
      <c r="G1258">
        <f>SUMPRODUCT(Calc!$K$3:$K$22*(Calc!$G$3:$G$22&gt;A1258)*(Calc!$G$3:$G$22-A1258))</f>
        <v/>
      </c>
      <c r="H1258">
        <f>SUMPRODUCT(Calc!$K$3:$K$22*(Calc!$G$3:$G$22&gt;B1258)*(Calc!$G$3:$G$22-B1258))</f>
        <v/>
      </c>
      <c r="I1258">
        <f>SUMPRODUCT(Calc!$K$3:$K$22*(Calc!$G$3:$G$22&gt;A1258)*(Calc!$G$3:$G$22-A1258)^2)</f>
        <v/>
      </c>
      <c r="J1258">
        <f>SUMPRODUCT(Calc!$K$3:$K$22*(Calc!$G$3:$G$22&gt;B1258)*(Calc!$G$3:$G$22-B1258)^2)</f>
        <v/>
      </c>
      <c r="K1258">
        <f>SUMPRODUCT(Calc!$K$3:$K$22*(Calc!$G$3:$G$22&gt;A1258)*(Calc!$G$3:$G$22-A1258)*(Calc!$G$3:$G$22&gt;B1258)*(Calc!$G$3:$G$22-B1258))</f>
        <v/>
      </c>
      <c r="L1258">
        <f>SUMPRODUCT(Calc!$K$3:$K$22*(Calc!$G$3:$G$22&gt;A1258)*(Calc!$G$3:$G$22-A1258)*Calc!$G$3:$G$22)</f>
        <v/>
      </c>
      <c r="M1258">
        <f>SUMPRODUCT(Calc!$K$3:$K$22*(Calc!$G$3:$G$22&gt;B1258)*(Calc!$G$3:$G$22-B1258)*Calc!$G$3:$G$22)</f>
        <v/>
      </c>
      <c r="N1258">
        <f>SUMPRODUCT(Calc!$K$3:$K$22*(Calc!$G$3:$G$22&gt;A1258)*(Calc!$G$3:$G$22-A1258)*Calc!$I$3:$I$22)</f>
        <v/>
      </c>
      <c r="O1258">
        <f>SUMPRODUCT(Calc!$K$3:$K$22*(Calc!$G$3:$G$22&gt;B1258)*(Calc!$G$3:$G$22-B1258)*Calc!$I$3:$I$22)</f>
        <v/>
      </c>
      <c r="P1258">
        <f>I1258-G1258^2/k_n</f>
        <v/>
      </c>
      <c r="Q1258">
        <f>J1258-H1258^2/k_n</f>
        <v/>
      </c>
      <c r="R1258">
        <f>K1258-G1258*H1258/k_n</f>
        <v/>
      </c>
      <c r="S1258">
        <f>L1258-LTP3!$D$3*G1258/k_n</f>
        <v/>
      </c>
      <c r="T1258">
        <f>M1258-LTP3!$D$3*H1258/k_n</f>
        <v/>
      </c>
      <c r="U1258">
        <f>N1258-G1258*LTP3!$D$4/k_n</f>
        <v/>
      </c>
      <c r="V1258">
        <f>O1258-H1258*LTP3!$D$4/k_n</f>
        <v/>
      </c>
      <c r="W1258">
        <f>((LTP3!$D$5)*((P1258)*(Q1258)-(R1258)*(R1258))-(S1258)*((S1258)*(Q1258)-(R1258)*(T1258))+(T1258)*((S1258)*(R1258)-(P1258)*(T1258)))</f>
        <v/>
      </c>
      <c r="X1258">
        <f>IF(ABS(W1258)&gt;1E-12,((LTP3!$D$6)*((P1258)*(Q1258)-(R1258)*(R1258))-(S1258)*((U1258)*(Q1258)-(R1258)*(V1258))+(T1258)*((U1258)*(R1258)-(P1258)*(V1258)))/W1258,0)</f>
        <v/>
      </c>
      <c r="Y1258">
        <f>IF(ABS(W1258)&gt;1E-12,((LTP3!$D$5)*((U1258)*(Q1258)-(R1258)*(V1258))-(LTP3!$D$6)*((S1258)*(Q1258)-(R1258)*(T1258))+(T1258)*((S1258)*(V1258)-(U1258)*(T1258)))/W1258,0)</f>
        <v/>
      </c>
      <c r="Z1258">
        <f>IF(ABS(W1258)&gt;1E-12,((LTP3!$D$5)*((P1258)*(V1258)-(U1258)*(R1258))-(S1258)*((S1258)*(V1258)-(U1258)*(T1258))+(LTP3!$D$6)*((S1258)*(R1258)-(P1258)*(T1258)))/W1258,0)</f>
        <v/>
      </c>
      <c r="AA1258">
        <f>LTP3!$D$7-X1258*LTP3!$D$6-Y1258*U1258-Z1258*V1258</f>
        <v/>
      </c>
      <c r="AB1258">
        <f>IF(AND(F1258,ABS(W1258)&gt;1E-12,Y1258&gt;0,Z1258&gt;0),AA1258,1E+300)</f>
        <v/>
      </c>
    </row>
    <row r="1259">
      <c r="A1259">
        <f>$B$3+$B$5*20</f>
        <v/>
      </c>
      <c r="B1259">
        <f>$B$3+$B$5*27</f>
        <v/>
      </c>
      <c r="C1259">
        <f>SUMPRODUCT(Calc!$K$3:$K$22*(Calc!$G$3:$G$22&lt;=A1259))</f>
        <v/>
      </c>
      <c r="D1259">
        <f>SUMPRODUCT(Calc!$K$3:$K$22*(Calc!$G$3:$G$22&gt;A1259)*(Calc!$G$3:$G$22&lt;B1259))</f>
        <v/>
      </c>
      <c r="E1259">
        <f>SUMPRODUCT(Calc!$K$3:$K$22*(Calc!$G$3:$G$22&gt;=B1259))</f>
        <v/>
      </c>
      <c r="F1259">
        <f>AND(k_n&gt;=5,B1259&gt;A1259+1E-9,C1259&gt;=2,D1259&gt;=1,E1259&gt;=2)</f>
        <v/>
      </c>
      <c r="G1259">
        <f>SUMPRODUCT(Calc!$K$3:$K$22*(Calc!$G$3:$G$22&gt;A1259)*(Calc!$G$3:$G$22-A1259))</f>
        <v/>
      </c>
      <c r="H1259">
        <f>SUMPRODUCT(Calc!$K$3:$K$22*(Calc!$G$3:$G$22&gt;B1259)*(Calc!$G$3:$G$22-B1259))</f>
        <v/>
      </c>
      <c r="I1259">
        <f>SUMPRODUCT(Calc!$K$3:$K$22*(Calc!$G$3:$G$22&gt;A1259)*(Calc!$G$3:$G$22-A1259)^2)</f>
        <v/>
      </c>
      <c r="J1259">
        <f>SUMPRODUCT(Calc!$K$3:$K$22*(Calc!$G$3:$G$22&gt;B1259)*(Calc!$G$3:$G$22-B1259)^2)</f>
        <v/>
      </c>
      <c r="K1259">
        <f>SUMPRODUCT(Calc!$K$3:$K$22*(Calc!$G$3:$G$22&gt;A1259)*(Calc!$G$3:$G$22-A1259)*(Calc!$G$3:$G$22&gt;B1259)*(Calc!$G$3:$G$22-B1259))</f>
        <v/>
      </c>
      <c r="L1259">
        <f>SUMPRODUCT(Calc!$K$3:$K$22*(Calc!$G$3:$G$22&gt;A1259)*(Calc!$G$3:$G$22-A1259)*Calc!$G$3:$G$22)</f>
        <v/>
      </c>
      <c r="M1259">
        <f>SUMPRODUCT(Calc!$K$3:$K$22*(Calc!$G$3:$G$22&gt;B1259)*(Calc!$G$3:$G$22-B1259)*Calc!$G$3:$G$22)</f>
        <v/>
      </c>
      <c r="N1259">
        <f>SUMPRODUCT(Calc!$K$3:$K$22*(Calc!$G$3:$G$22&gt;A1259)*(Calc!$G$3:$G$22-A1259)*Calc!$I$3:$I$22)</f>
        <v/>
      </c>
      <c r="O1259">
        <f>SUMPRODUCT(Calc!$K$3:$K$22*(Calc!$G$3:$G$22&gt;B1259)*(Calc!$G$3:$G$22-B1259)*Calc!$I$3:$I$22)</f>
        <v/>
      </c>
      <c r="P1259">
        <f>I1259-G1259^2/k_n</f>
        <v/>
      </c>
      <c r="Q1259">
        <f>J1259-H1259^2/k_n</f>
        <v/>
      </c>
      <c r="R1259">
        <f>K1259-G1259*H1259/k_n</f>
        <v/>
      </c>
      <c r="S1259">
        <f>L1259-LTP3!$D$3*G1259/k_n</f>
        <v/>
      </c>
      <c r="T1259">
        <f>M1259-LTP3!$D$3*H1259/k_n</f>
        <v/>
      </c>
      <c r="U1259">
        <f>N1259-G1259*LTP3!$D$4/k_n</f>
        <v/>
      </c>
      <c r="V1259">
        <f>O1259-H1259*LTP3!$D$4/k_n</f>
        <v/>
      </c>
      <c r="W1259">
        <f>((LTP3!$D$5)*((P1259)*(Q1259)-(R1259)*(R1259))-(S1259)*((S1259)*(Q1259)-(R1259)*(T1259))+(T1259)*((S1259)*(R1259)-(P1259)*(T1259)))</f>
        <v/>
      </c>
      <c r="X1259">
        <f>IF(ABS(W1259)&gt;1E-12,((LTP3!$D$6)*((P1259)*(Q1259)-(R1259)*(R1259))-(S1259)*((U1259)*(Q1259)-(R1259)*(V1259))+(T1259)*((U1259)*(R1259)-(P1259)*(V1259)))/W1259,0)</f>
        <v/>
      </c>
      <c r="Y1259">
        <f>IF(ABS(W1259)&gt;1E-12,((LTP3!$D$5)*((U1259)*(Q1259)-(R1259)*(V1259))-(LTP3!$D$6)*((S1259)*(Q1259)-(R1259)*(T1259))+(T1259)*((S1259)*(V1259)-(U1259)*(T1259)))/W1259,0)</f>
        <v/>
      </c>
      <c r="Z1259">
        <f>IF(ABS(W1259)&gt;1E-12,((LTP3!$D$5)*((P1259)*(V1259)-(U1259)*(R1259))-(S1259)*((S1259)*(V1259)-(U1259)*(T1259))+(LTP3!$D$6)*((S1259)*(R1259)-(P1259)*(T1259)))/W1259,0)</f>
        <v/>
      </c>
      <c r="AA1259">
        <f>LTP3!$D$7-X1259*LTP3!$D$6-Y1259*U1259-Z1259*V1259</f>
        <v/>
      </c>
      <c r="AB1259">
        <f>IF(AND(F1259,ABS(W1259)&gt;1E-12,Y1259&gt;0,Z1259&gt;0),AA1259,1E+300)</f>
        <v/>
      </c>
    </row>
    <row r="1260">
      <c r="A1260">
        <f>$B$3+$B$5*20</f>
        <v/>
      </c>
      <c r="B1260">
        <f>$B$3+$B$5*28</f>
        <v/>
      </c>
      <c r="C1260">
        <f>SUMPRODUCT(Calc!$K$3:$K$22*(Calc!$G$3:$G$22&lt;=A1260))</f>
        <v/>
      </c>
      <c r="D1260">
        <f>SUMPRODUCT(Calc!$K$3:$K$22*(Calc!$G$3:$G$22&gt;A1260)*(Calc!$G$3:$G$22&lt;B1260))</f>
        <v/>
      </c>
      <c r="E1260">
        <f>SUMPRODUCT(Calc!$K$3:$K$22*(Calc!$G$3:$G$22&gt;=B1260))</f>
        <v/>
      </c>
      <c r="F1260">
        <f>AND(k_n&gt;=5,B1260&gt;A1260+1E-9,C1260&gt;=2,D1260&gt;=1,E1260&gt;=2)</f>
        <v/>
      </c>
      <c r="G1260">
        <f>SUMPRODUCT(Calc!$K$3:$K$22*(Calc!$G$3:$G$22&gt;A1260)*(Calc!$G$3:$G$22-A1260))</f>
        <v/>
      </c>
      <c r="H1260">
        <f>SUMPRODUCT(Calc!$K$3:$K$22*(Calc!$G$3:$G$22&gt;B1260)*(Calc!$G$3:$G$22-B1260))</f>
        <v/>
      </c>
      <c r="I1260">
        <f>SUMPRODUCT(Calc!$K$3:$K$22*(Calc!$G$3:$G$22&gt;A1260)*(Calc!$G$3:$G$22-A1260)^2)</f>
        <v/>
      </c>
      <c r="J1260">
        <f>SUMPRODUCT(Calc!$K$3:$K$22*(Calc!$G$3:$G$22&gt;B1260)*(Calc!$G$3:$G$22-B1260)^2)</f>
        <v/>
      </c>
      <c r="K1260">
        <f>SUMPRODUCT(Calc!$K$3:$K$22*(Calc!$G$3:$G$22&gt;A1260)*(Calc!$G$3:$G$22-A1260)*(Calc!$G$3:$G$22&gt;B1260)*(Calc!$G$3:$G$22-B1260))</f>
        <v/>
      </c>
      <c r="L1260">
        <f>SUMPRODUCT(Calc!$K$3:$K$22*(Calc!$G$3:$G$22&gt;A1260)*(Calc!$G$3:$G$22-A1260)*Calc!$G$3:$G$22)</f>
        <v/>
      </c>
      <c r="M1260">
        <f>SUMPRODUCT(Calc!$K$3:$K$22*(Calc!$G$3:$G$22&gt;B1260)*(Calc!$G$3:$G$22-B1260)*Calc!$G$3:$G$22)</f>
        <v/>
      </c>
      <c r="N1260">
        <f>SUMPRODUCT(Calc!$K$3:$K$22*(Calc!$G$3:$G$22&gt;A1260)*(Calc!$G$3:$G$22-A1260)*Calc!$I$3:$I$22)</f>
        <v/>
      </c>
      <c r="O1260">
        <f>SUMPRODUCT(Calc!$K$3:$K$22*(Calc!$G$3:$G$22&gt;B1260)*(Calc!$G$3:$G$22-B1260)*Calc!$I$3:$I$22)</f>
        <v/>
      </c>
      <c r="P1260">
        <f>I1260-G1260^2/k_n</f>
        <v/>
      </c>
      <c r="Q1260">
        <f>J1260-H1260^2/k_n</f>
        <v/>
      </c>
      <c r="R1260">
        <f>K1260-G1260*H1260/k_n</f>
        <v/>
      </c>
      <c r="S1260">
        <f>L1260-LTP3!$D$3*G1260/k_n</f>
        <v/>
      </c>
      <c r="T1260">
        <f>M1260-LTP3!$D$3*H1260/k_n</f>
        <v/>
      </c>
      <c r="U1260">
        <f>N1260-G1260*LTP3!$D$4/k_n</f>
        <v/>
      </c>
      <c r="V1260">
        <f>O1260-H1260*LTP3!$D$4/k_n</f>
        <v/>
      </c>
      <c r="W1260">
        <f>((LTP3!$D$5)*((P1260)*(Q1260)-(R1260)*(R1260))-(S1260)*((S1260)*(Q1260)-(R1260)*(T1260))+(T1260)*((S1260)*(R1260)-(P1260)*(T1260)))</f>
        <v/>
      </c>
      <c r="X1260">
        <f>IF(ABS(W1260)&gt;1E-12,((LTP3!$D$6)*((P1260)*(Q1260)-(R1260)*(R1260))-(S1260)*((U1260)*(Q1260)-(R1260)*(V1260))+(T1260)*((U1260)*(R1260)-(P1260)*(V1260)))/W1260,0)</f>
        <v/>
      </c>
      <c r="Y1260">
        <f>IF(ABS(W1260)&gt;1E-12,((LTP3!$D$5)*((U1260)*(Q1260)-(R1260)*(V1260))-(LTP3!$D$6)*((S1260)*(Q1260)-(R1260)*(T1260))+(T1260)*((S1260)*(V1260)-(U1260)*(T1260)))/W1260,0)</f>
        <v/>
      </c>
      <c r="Z1260">
        <f>IF(ABS(W1260)&gt;1E-12,((LTP3!$D$5)*((P1260)*(V1260)-(U1260)*(R1260))-(S1260)*((S1260)*(V1260)-(U1260)*(T1260))+(LTP3!$D$6)*((S1260)*(R1260)-(P1260)*(T1260)))/W1260,0)</f>
        <v/>
      </c>
      <c r="AA1260">
        <f>LTP3!$D$7-X1260*LTP3!$D$6-Y1260*U1260-Z1260*V1260</f>
        <v/>
      </c>
      <c r="AB1260">
        <f>IF(AND(F1260,ABS(W1260)&gt;1E-12,Y1260&gt;0,Z1260&gt;0),AA1260,1E+300)</f>
        <v/>
      </c>
    </row>
    <row r="1261">
      <c r="A1261">
        <f>$B$3+$B$5*20</f>
        <v/>
      </c>
      <c r="B1261">
        <f>$B$3+$B$5*29</f>
        <v/>
      </c>
      <c r="C1261">
        <f>SUMPRODUCT(Calc!$K$3:$K$22*(Calc!$G$3:$G$22&lt;=A1261))</f>
        <v/>
      </c>
      <c r="D1261">
        <f>SUMPRODUCT(Calc!$K$3:$K$22*(Calc!$G$3:$G$22&gt;A1261)*(Calc!$G$3:$G$22&lt;B1261))</f>
        <v/>
      </c>
      <c r="E1261">
        <f>SUMPRODUCT(Calc!$K$3:$K$22*(Calc!$G$3:$G$22&gt;=B1261))</f>
        <v/>
      </c>
      <c r="F1261">
        <f>AND(k_n&gt;=5,B1261&gt;A1261+1E-9,C1261&gt;=2,D1261&gt;=1,E1261&gt;=2)</f>
        <v/>
      </c>
      <c r="G1261">
        <f>SUMPRODUCT(Calc!$K$3:$K$22*(Calc!$G$3:$G$22&gt;A1261)*(Calc!$G$3:$G$22-A1261))</f>
        <v/>
      </c>
      <c r="H1261">
        <f>SUMPRODUCT(Calc!$K$3:$K$22*(Calc!$G$3:$G$22&gt;B1261)*(Calc!$G$3:$G$22-B1261))</f>
        <v/>
      </c>
      <c r="I1261">
        <f>SUMPRODUCT(Calc!$K$3:$K$22*(Calc!$G$3:$G$22&gt;A1261)*(Calc!$G$3:$G$22-A1261)^2)</f>
        <v/>
      </c>
      <c r="J1261">
        <f>SUMPRODUCT(Calc!$K$3:$K$22*(Calc!$G$3:$G$22&gt;B1261)*(Calc!$G$3:$G$22-B1261)^2)</f>
        <v/>
      </c>
      <c r="K1261">
        <f>SUMPRODUCT(Calc!$K$3:$K$22*(Calc!$G$3:$G$22&gt;A1261)*(Calc!$G$3:$G$22-A1261)*(Calc!$G$3:$G$22&gt;B1261)*(Calc!$G$3:$G$22-B1261))</f>
        <v/>
      </c>
      <c r="L1261">
        <f>SUMPRODUCT(Calc!$K$3:$K$22*(Calc!$G$3:$G$22&gt;A1261)*(Calc!$G$3:$G$22-A1261)*Calc!$G$3:$G$22)</f>
        <v/>
      </c>
      <c r="M1261">
        <f>SUMPRODUCT(Calc!$K$3:$K$22*(Calc!$G$3:$G$22&gt;B1261)*(Calc!$G$3:$G$22-B1261)*Calc!$G$3:$G$22)</f>
        <v/>
      </c>
      <c r="N1261">
        <f>SUMPRODUCT(Calc!$K$3:$K$22*(Calc!$G$3:$G$22&gt;A1261)*(Calc!$G$3:$G$22-A1261)*Calc!$I$3:$I$22)</f>
        <v/>
      </c>
      <c r="O1261">
        <f>SUMPRODUCT(Calc!$K$3:$K$22*(Calc!$G$3:$G$22&gt;B1261)*(Calc!$G$3:$G$22-B1261)*Calc!$I$3:$I$22)</f>
        <v/>
      </c>
      <c r="P1261">
        <f>I1261-G1261^2/k_n</f>
        <v/>
      </c>
      <c r="Q1261">
        <f>J1261-H1261^2/k_n</f>
        <v/>
      </c>
      <c r="R1261">
        <f>K1261-G1261*H1261/k_n</f>
        <v/>
      </c>
      <c r="S1261">
        <f>L1261-LTP3!$D$3*G1261/k_n</f>
        <v/>
      </c>
      <c r="T1261">
        <f>M1261-LTP3!$D$3*H1261/k_n</f>
        <v/>
      </c>
      <c r="U1261">
        <f>N1261-G1261*LTP3!$D$4/k_n</f>
        <v/>
      </c>
      <c r="V1261">
        <f>O1261-H1261*LTP3!$D$4/k_n</f>
        <v/>
      </c>
      <c r="W1261">
        <f>((LTP3!$D$5)*((P1261)*(Q1261)-(R1261)*(R1261))-(S1261)*((S1261)*(Q1261)-(R1261)*(T1261))+(T1261)*((S1261)*(R1261)-(P1261)*(T1261)))</f>
        <v/>
      </c>
      <c r="X1261">
        <f>IF(ABS(W1261)&gt;1E-12,((LTP3!$D$6)*((P1261)*(Q1261)-(R1261)*(R1261))-(S1261)*((U1261)*(Q1261)-(R1261)*(V1261))+(T1261)*((U1261)*(R1261)-(P1261)*(V1261)))/W1261,0)</f>
        <v/>
      </c>
      <c r="Y1261">
        <f>IF(ABS(W1261)&gt;1E-12,((LTP3!$D$5)*((U1261)*(Q1261)-(R1261)*(V1261))-(LTP3!$D$6)*((S1261)*(Q1261)-(R1261)*(T1261))+(T1261)*((S1261)*(V1261)-(U1261)*(T1261)))/W1261,0)</f>
        <v/>
      </c>
      <c r="Z1261">
        <f>IF(ABS(W1261)&gt;1E-12,((LTP3!$D$5)*((P1261)*(V1261)-(U1261)*(R1261))-(S1261)*((S1261)*(V1261)-(U1261)*(T1261))+(LTP3!$D$6)*((S1261)*(R1261)-(P1261)*(T1261)))/W1261,0)</f>
        <v/>
      </c>
      <c r="AA1261">
        <f>LTP3!$D$7-X1261*LTP3!$D$6-Y1261*U1261-Z1261*V1261</f>
        <v/>
      </c>
      <c r="AB1261">
        <f>IF(AND(F1261,ABS(W1261)&gt;1E-12,Y1261&gt;0,Z1261&gt;0),AA1261,1E+300)</f>
        <v/>
      </c>
    </row>
    <row r="1262">
      <c r="A1262">
        <f>$B$3+$B$5*20</f>
        <v/>
      </c>
      <c r="B1262">
        <f>$B$3+$B$5*30</f>
        <v/>
      </c>
      <c r="C1262">
        <f>SUMPRODUCT(Calc!$K$3:$K$22*(Calc!$G$3:$G$22&lt;=A1262))</f>
        <v/>
      </c>
      <c r="D1262">
        <f>SUMPRODUCT(Calc!$K$3:$K$22*(Calc!$G$3:$G$22&gt;A1262)*(Calc!$G$3:$G$22&lt;B1262))</f>
        <v/>
      </c>
      <c r="E1262">
        <f>SUMPRODUCT(Calc!$K$3:$K$22*(Calc!$G$3:$G$22&gt;=B1262))</f>
        <v/>
      </c>
      <c r="F1262">
        <f>AND(k_n&gt;=5,B1262&gt;A1262+1E-9,C1262&gt;=2,D1262&gt;=1,E1262&gt;=2)</f>
        <v/>
      </c>
      <c r="G1262">
        <f>SUMPRODUCT(Calc!$K$3:$K$22*(Calc!$G$3:$G$22&gt;A1262)*(Calc!$G$3:$G$22-A1262))</f>
        <v/>
      </c>
      <c r="H1262">
        <f>SUMPRODUCT(Calc!$K$3:$K$22*(Calc!$G$3:$G$22&gt;B1262)*(Calc!$G$3:$G$22-B1262))</f>
        <v/>
      </c>
      <c r="I1262">
        <f>SUMPRODUCT(Calc!$K$3:$K$22*(Calc!$G$3:$G$22&gt;A1262)*(Calc!$G$3:$G$22-A1262)^2)</f>
        <v/>
      </c>
      <c r="J1262">
        <f>SUMPRODUCT(Calc!$K$3:$K$22*(Calc!$G$3:$G$22&gt;B1262)*(Calc!$G$3:$G$22-B1262)^2)</f>
        <v/>
      </c>
      <c r="K1262">
        <f>SUMPRODUCT(Calc!$K$3:$K$22*(Calc!$G$3:$G$22&gt;A1262)*(Calc!$G$3:$G$22-A1262)*(Calc!$G$3:$G$22&gt;B1262)*(Calc!$G$3:$G$22-B1262))</f>
        <v/>
      </c>
      <c r="L1262">
        <f>SUMPRODUCT(Calc!$K$3:$K$22*(Calc!$G$3:$G$22&gt;A1262)*(Calc!$G$3:$G$22-A1262)*Calc!$G$3:$G$22)</f>
        <v/>
      </c>
      <c r="M1262">
        <f>SUMPRODUCT(Calc!$K$3:$K$22*(Calc!$G$3:$G$22&gt;B1262)*(Calc!$G$3:$G$22-B1262)*Calc!$G$3:$G$22)</f>
        <v/>
      </c>
      <c r="N1262">
        <f>SUMPRODUCT(Calc!$K$3:$K$22*(Calc!$G$3:$G$22&gt;A1262)*(Calc!$G$3:$G$22-A1262)*Calc!$I$3:$I$22)</f>
        <v/>
      </c>
      <c r="O1262">
        <f>SUMPRODUCT(Calc!$K$3:$K$22*(Calc!$G$3:$G$22&gt;B1262)*(Calc!$G$3:$G$22-B1262)*Calc!$I$3:$I$22)</f>
        <v/>
      </c>
      <c r="P1262">
        <f>I1262-G1262^2/k_n</f>
        <v/>
      </c>
      <c r="Q1262">
        <f>J1262-H1262^2/k_n</f>
        <v/>
      </c>
      <c r="R1262">
        <f>K1262-G1262*H1262/k_n</f>
        <v/>
      </c>
      <c r="S1262">
        <f>L1262-LTP3!$D$3*G1262/k_n</f>
        <v/>
      </c>
      <c r="T1262">
        <f>M1262-LTP3!$D$3*H1262/k_n</f>
        <v/>
      </c>
      <c r="U1262">
        <f>N1262-G1262*LTP3!$D$4/k_n</f>
        <v/>
      </c>
      <c r="V1262">
        <f>O1262-H1262*LTP3!$D$4/k_n</f>
        <v/>
      </c>
      <c r="W1262">
        <f>((LTP3!$D$5)*((P1262)*(Q1262)-(R1262)*(R1262))-(S1262)*((S1262)*(Q1262)-(R1262)*(T1262))+(T1262)*((S1262)*(R1262)-(P1262)*(T1262)))</f>
        <v/>
      </c>
      <c r="X1262">
        <f>IF(ABS(W1262)&gt;1E-12,((LTP3!$D$6)*((P1262)*(Q1262)-(R1262)*(R1262))-(S1262)*((U1262)*(Q1262)-(R1262)*(V1262))+(T1262)*((U1262)*(R1262)-(P1262)*(V1262)))/W1262,0)</f>
        <v/>
      </c>
      <c r="Y1262">
        <f>IF(ABS(W1262)&gt;1E-12,((LTP3!$D$5)*((U1262)*(Q1262)-(R1262)*(V1262))-(LTP3!$D$6)*((S1262)*(Q1262)-(R1262)*(T1262))+(T1262)*((S1262)*(V1262)-(U1262)*(T1262)))/W1262,0)</f>
        <v/>
      </c>
      <c r="Z1262">
        <f>IF(ABS(W1262)&gt;1E-12,((LTP3!$D$5)*((P1262)*(V1262)-(U1262)*(R1262))-(S1262)*((S1262)*(V1262)-(U1262)*(T1262))+(LTP3!$D$6)*((S1262)*(R1262)-(P1262)*(T1262)))/W1262,0)</f>
        <v/>
      </c>
      <c r="AA1262">
        <f>LTP3!$D$7-X1262*LTP3!$D$6-Y1262*U1262-Z1262*V1262</f>
        <v/>
      </c>
      <c r="AB1262">
        <f>IF(AND(F1262,ABS(W1262)&gt;1E-12,Y1262&gt;0,Z1262&gt;0),AA1262,1E+300)</f>
        <v/>
      </c>
    </row>
    <row r="1263">
      <c r="A1263">
        <f>$B$3+$B$5*20</f>
        <v/>
      </c>
      <c r="B1263">
        <f>$B$3+$B$5*31</f>
        <v/>
      </c>
      <c r="C1263">
        <f>SUMPRODUCT(Calc!$K$3:$K$22*(Calc!$G$3:$G$22&lt;=A1263))</f>
        <v/>
      </c>
      <c r="D1263">
        <f>SUMPRODUCT(Calc!$K$3:$K$22*(Calc!$G$3:$G$22&gt;A1263)*(Calc!$G$3:$G$22&lt;B1263))</f>
        <v/>
      </c>
      <c r="E1263">
        <f>SUMPRODUCT(Calc!$K$3:$K$22*(Calc!$G$3:$G$22&gt;=B1263))</f>
        <v/>
      </c>
      <c r="F1263">
        <f>AND(k_n&gt;=5,B1263&gt;A1263+1E-9,C1263&gt;=2,D1263&gt;=1,E1263&gt;=2)</f>
        <v/>
      </c>
      <c r="G1263">
        <f>SUMPRODUCT(Calc!$K$3:$K$22*(Calc!$G$3:$G$22&gt;A1263)*(Calc!$G$3:$G$22-A1263))</f>
        <v/>
      </c>
      <c r="H1263">
        <f>SUMPRODUCT(Calc!$K$3:$K$22*(Calc!$G$3:$G$22&gt;B1263)*(Calc!$G$3:$G$22-B1263))</f>
        <v/>
      </c>
      <c r="I1263">
        <f>SUMPRODUCT(Calc!$K$3:$K$22*(Calc!$G$3:$G$22&gt;A1263)*(Calc!$G$3:$G$22-A1263)^2)</f>
        <v/>
      </c>
      <c r="J1263">
        <f>SUMPRODUCT(Calc!$K$3:$K$22*(Calc!$G$3:$G$22&gt;B1263)*(Calc!$G$3:$G$22-B1263)^2)</f>
        <v/>
      </c>
      <c r="K1263">
        <f>SUMPRODUCT(Calc!$K$3:$K$22*(Calc!$G$3:$G$22&gt;A1263)*(Calc!$G$3:$G$22-A1263)*(Calc!$G$3:$G$22&gt;B1263)*(Calc!$G$3:$G$22-B1263))</f>
        <v/>
      </c>
      <c r="L1263">
        <f>SUMPRODUCT(Calc!$K$3:$K$22*(Calc!$G$3:$G$22&gt;A1263)*(Calc!$G$3:$G$22-A1263)*Calc!$G$3:$G$22)</f>
        <v/>
      </c>
      <c r="M1263">
        <f>SUMPRODUCT(Calc!$K$3:$K$22*(Calc!$G$3:$G$22&gt;B1263)*(Calc!$G$3:$G$22-B1263)*Calc!$G$3:$G$22)</f>
        <v/>
      </c>
      <c r="N1263">
        <f>SUMPRODUCT(Calc!$K$3:$K$22*(Calc!$G$3:$G$22&gt;A1263)*(Calc!$G$3:$G$22-A1263)*Calc!$I$3:$I$22)</f>
        <v/>
      </c>
      <c r="O1263">
        <f>SUMPRODUCT(Calc!$K$3:$K$22*(Calc!$G$3:$G$22&gt;B1263)*(Calc!$G$3:$G$22-B1263)*Calc!$I$3:$I$22)</f>
        <v/>
      </c>
      <c r="P1263">
        <f>I1263-G1263^2/k_n</f>
        <v/>
      </c>
      <c r="Q1263">
        <f>J1263-H1263^2/k_n</f>
        <v/>
      </c>
      <c r="R1263">
        <f>K1263-G1263*H1263/k_n</f>
        <v/>
      </c>
      <c r="S1263">
        <f>L1263-LTP3!$D$3*G1263/k_n</f>
        <v/>
      </c>
      <c r="T1263">
        <f>M1263-LTP3!$D$3*H1263/k_n</f>
        <v/>
      </c>
      <c r="U1263">
        <f>N1263-G1263*LTP3!$D$4/k_n</f>
        <v/>
      </c>
      <c r="V1263">
        <f>O1263-H1263*LTP3!$D$4/k_n</f>
        <v/>
      </c>
      <c r="W1263">
        <f>((LTP3!$D$5)*((P1263)*(Q1263)-(R1263)*(R1263))-(S1263)*((S1263)*(Q1263)-(R1263)*(T1263))+(T1263)*((S1263)*(R1263)-(P1263)*(T1263)))</f>
        <v/>
      </c>
      <c r="X1263">
        <f>IF(ABS(W1263)&gt;1E-12,((LTP3!$D$6)*((P1263)*(Q1263)-(R1263)*(R1263))-(S1263)*((U1263)*(Q1263)-(R1263)*(V1263))+(T1263)*((U1263)*(R1263)-(P1263)*(V1263)))/W1263,0)</f>
        <v/>
      </c>
      <c r="Y1263">
        <f>IF(ABS(W1263)&gt;1E-12,((LTP3!$D$5)*((U1263)*(Q1263)-(R1263)*(V1263))-(LTP3!$D$6)*((S1263)*(Q1263)-(R1263)*(T1263))+(T1263)*((S1263)*(V1263)-(U1263)*(T1263)))/W1263,0)</f>
        <v/>
      </c>
      <c r="Z1263">
        <f>IF(ABS(W1263)&gt;1E-12,((LTP3!$D$5)*((P1263)*(V1263)-(U1263)*(R1263))-(S1263)*((S1263)*(V1263)-(U1263)*(T1263))+(LTP3!$D$6)*((S1263)*(R1263)-(P1263)*(T1263)))/W1263,0)</f>
        <v/>
      </c>
      <c r="AA1263">
        <f>LTP3!$D$7-X1263*LTP3!$D$6-Y1263*U1263-Z1263*V1263</f>
        <v/>
      </c>
      <c r="AB1263">
        <f>IF(AND(F1263,ABS(W1263)&gt;1E-12,Y1263&gt;0,Z1263&gt;0),AA1263,1E+300)</f>
        <v/>
      </c>
    </row>
    <row r="1264">
      <c r="A1264">
        <f>$B$3+$B$5*20</f>
        <v/>
      </c>
      <c r="B1264">
        <f>$B$3+$B$5*32</f>
        <v/>
      </c>
      <c r="C1264">
        <f>SUMPRODUCT(Calc!$K$3:$K$22*(Calc!$G$3:$G$22&lt;=A1264))</f>
        <v/>
      </c>
      <c r="D1264">
        <f>SUMPRODUCT(Calc!$K$3:$K$22*(Calc!$G$3:$G$22&gt;A1264)*(Calc!$G$3:$G$22&lt;B1264))</f>
        <v/>
      </c>
      <c r="E1264">
        <f>SUMPRODUCT(Calc!$K$3:$K$22*(Calc!$G$3:$G$22&gt;=B1264))</f>
        <v/>
      </c>
      <c r="F1264">
        <f>AND(k_n&gt;=5,B1264&gt;A1264+1E-9,C1264&gt;=2,D1264&gt;=1,E1264&gt;=2)</f>
        <v/>
      </c>
      <c r="G1264">
        <f>SUMPRODUCT(Calc!$K$3:$K$22*(Calc!$G$3:$G$22&gt;A1264)*(Calc!$G$3:$G$22-A1264))</f>
        <v/>
      </c>
      <c r="H1264">
        <f>SUMPRODUCT(Calc!$K$3:$K$22*(Calc!$G$3:$G$22&gt;B1264)*(Calc!$G$3:$G$22-B1264))</f>
        <v/>
      </c>
      <c r="I1264">
        <f>SUMPRODUCT(Calc!$K$3:$K$22*(Calc!$G$3:$G$22&gt;A1264)*(Calc!$G$3:$G$22-A1264)^2)</f>
        <v/>
      </c>
      <c r="J1264">
        <f>SUMPRODUCT(Calc!$K$3:$K$22*(Calc!$G$3:$G$22&gt;B1264)*(Calc!$G$3:$G$22-B1264)^2)</f>
        <v/>
      </c>
      <c r="K1264">
        <f>SUMPRODUCT(Calc!$K$3:$K$22*(Calc!$G$3:$G$22&gt;A1264)*(Calc!$G$3:$G$22-A1264)*(Calc!$G$3:$G$22&gt;B1264)*(Calc!$G$3:$G$22-B1264))</f>
        <v/>
      </c>
      <c r="L1264">
        <f>SUMPRODUCT(Calc!$K$3:$K$22*(Calc!$G$3:$G$22&gt;A1264)*(Calc!$G$3:$G$22-A1264)*Calc!$G$3:$G$22)</f>
        <v/>
      </c>
      <c r="M1264">
        <f>SUMPRODUCT(Calc!$K$3:$K$22*(Calc!$G$3:$G$22&gt;B1264)*(Calc!$G$3:$G$22-B1264)*Calc!$G$3:$G$22)</f>
        <v/>
      </c>
      <c r="N1264">
        <f>SUMPRODUCT(Calc!$K$3:$K$22*(Calc!$G$3:$G$22&gt;A1264)*(Calc!$G$3:$G$22-A1264)*Calc!$I$3:$I$22)</f>
        <v/>
      </c>
      <c r="O1264">
        <f>SUMPRODUCT(Calc!$K$3:$K$22*(Calc!$G$3:$G$22&gt;B1264)*(Calc!$G$3:$G$22-B1264)*Calc!$I$3:$I$22)</f>
        <v/>
      </c>
      <c r="P1264">
        <f>I1264-G1264^2/k_n</f>
        <v/>
      </c>
      <c r="Q1264">
        <f>J1264-H1264^2/k_n</f>
        <v/>
      </c>
      <c r="R1264">
        <f>K1264-G1264*H1264/k_n</f>
        <v/>
      </c>
      <c r="S1264">
        <f>L1264-LTP3!$D$3*G1264/k_n</f>
        <v/>
      </c>
      <c r="T1264">
        <f>M1264-LTP3!$D$3*H1264/k_n</f>
        <v/>
      </c>
      <c r="U1264">
        <f>N1264-G1264*LTP3!$D$4/k_n</f>
        <v/>
      </c>
      <c r="V1264">
        <f>O1264-H1264*LTP3!$D$4/k_n</f>
        <v/>
      </c>
      <c r="W1264">
        <f>((LTP3!$D$5)*((P1264)*(Q1264)-(R1264)*(R1264))-(S1264)*((S1264)*(Q1264)-(R1264)*(T1264))+(T1264)*((S1264)*(R1264)-(P1264)*(T1264)))</f>
        <v/>
      </c>
      <c r="X1264">
        <f>IF(ABS(W1264)&gt;1E-12,((LTP3!$D$6)*((P1264)*(Q1264)-(R1264)*(R1264))-(S1264)*((U1264)*(Q1264)-(R1264)*(V1264))+(T1264)*((U1264)*(R1264)-(P1264)*(V1264)))/W1264,0)</f>
        <v/>
      </c>
      <c r="Y1264">
        <f>IF(ABS(W1264)&gt;1E-12,((LTP3!$D$5)*((U1264)*(Q1264)-(R1264)*(V1264))-(LTP3!$D$6)*((S1264)*(Q1264)-(R1264)*(T1264))+(T1264)*((S1264)*(V1264)-(U1264)*(T1264)))/W1264,0)</f>
        <v/>
      </c>
      <c r="Z1264">
        <f>IF(ABS(W1264)&gt;1E-12,((LTP3!$D$5)*((P1264)*(V1264)-(U1264)*(R1264))-(S1264)*((S1264)*(V1264)-(U1264)*(T1264))+(LTP3!$D$6)*((S1264)*(R1264)-(P1264)*(T1264)))/W1264,0)</f>
        <v/>
      </c>
      <c r="AA1264">
        <f>LTP3!$D$7-X1264*LTP3!$D$6-Y1264*U1264-Z1264*V1264</f>
        <v/>
      </c>
      <c r="AB1264">
        <f>IF(AND(F1264,ABS(W1264)&gt;1E-12,Y1264&gt;0,Z1264&gt;0),AA1264,1E+300)</f>
        <v/>
      </c>
    </row>
    <row r="1265">
      <c r="A1265">
        <f>$B$3+$B$5*20</f>
        <v/>
      </c>
      <c r="B1265">
        <f>$B$3+$B$5*33</f>
        <v/>
      </c>
      <c r="C1265">
        <f>SUMPRODUCT(Calc!$K$3:$K$22*(Calc!$G$3:$G$22&lt;=A1265))</f>
        <v/>
      </c>
      <c r="D1265">
        <f>SUMPRODUCT(Calc!$K$3:$K$22*(Calc!$G$3:$G$22&gt;A1265)*(Calc!$G$3:$G$22&lt;B1265))</f>
        <v/>
      </c>
      <c r="E1265">
        <f>SUMPRODUCT(Calc!$K$3:$K$22*(Calc!$G$3:$G$22&gt;=B1265))</f>
        <v/>
      </c>
      <c r="F1265">
        <f>AND(k_n&gt;=5,B1265&gt;A1265+1E-9,C1265&gt;=2,D1265&gt;=1,E1265&gt;=2)</f>
        <v/>
      </c>
      <c r="G1265">
        <f>SUMPRODUCT(Calc!$K$3:$K$22*(Calc!$G$3:$G$22&gt;A1265)*(Calc!$G$3:$G$22-A1265))</f>
        <v/>
      </c>
      <c r="H1265">
        <f>SUMPRODUCT(Calc!$K$3:$K$22*(Calc!$G$3:$G$22&gt;B1265)*(Calc!$G$3:$G$22-B1265))</f>
        <v/>
      </c>
      <c r="I1265">
        <f>SUMPRODUCT(Calc!$K$3:$K$22*(Calc!$G$3:$G$22&gt;A1265)*(Calc!$G$3:$G$22-A1265)^2)</f>
        <v/>
      </c>
      <c r="J1265">
        <f>SUMPRODUCT(Calc!$K$3:$K$22*(Calc!$G$3:$G$22&gt;B1265)*(Calc!$G$3:$G$22-B1265)^2)</f>
        <v/>
      </c>
      <c r="K1265">
        <f>SUMPRODUCT(Calc!$K$3:$K$22*(Calc!$G$3:$G$22&gt;A1265)*(Calc!$G$3:$G$22-A1265)*(Calc!$G$3:$G$22&gt;B1265)*(Calc!$G$3:$G$22-B1265))</f>
        <v/>
      </c>
      <c r="L1265">
        <f>SUMPRODUCT(Calc!$K$3:$K$22*(Calc!$G$3:$G$22&gt;A1265)*(Calc!$G$3:$G$22-A1265)*Calc!$G$3:$G$22)</f>
        <v/>
      </c>
      <c r="M1265">
        <f>SUMPRODUCT(Calc!$K$3:$K$22*(Calc!$G$3:$G$22&gt;B1265)*(Calc!$G$3:$G$22-B1265)*Calc!$G$3:$G$22)</f>
        <v/>
      </c>
      <c r="N1265">
        <f>SUMPRODUCT(Calc!$K$3:$K$22*(Calc!$G$3:$G$22&gt;A1265)*(Calc!$G$3:$G$22-A1265)*Calc!$I$3:$I$22)</f>
        <v/>
      </c>
      <c r="O1265">
        <f>SUMPRODUCT(Calc!$K$3:$K$22*(Calc!$G$3:$G$22&gt;B1265)*(Calc!$G$3:$G$22-B1265)*Calc!$I$3:$I$22)</f>
        <v/>
      </c>
      <c r="P1265">
        <f>I1265-G1265^2/k_n</f>
        <v/>
      </c>
      <c r="Q1265">
        <f>J1265-H1265^2/k_n</f>
        <v/>
      </c>
      <c r="R1265">
        <f>K1265-G1265*H1265/k_n</f>
        <v/>
      </c>
      <c r="S1265">
        <f>L1265-LTP3!$D$3*G1265/k_n</f>
        <v/>
      </c>
      <c r="T1265">
        <f>M1265-LTP3!$D$3*H1265/k_n</f>
        <v/>
      </c>
      <c r="U1265">
        <f>N1265-G1265*LTP3!$D$4/k_n</f>
        <v/>
      </c>
      <c r="V1265">
        <f>O1265-H1265*LTP3!$D$4/k_n</f>
        <v/>
      </c>
      <c r="W1265">
        <f>((LTP3!$D$5)*((P1265)*(Q1265)-(R1265)*(R1265))-(S1265)*((S1265)*(Q1265)-(R1265)*(T1265))+(T1265)*((S1265)*(R1265)-(P1265)*(T1265)))</f>
        <v/>
      </c>
      <c r="X1265">
        <f>IF(ABS(W1265)&gt;1E-12,((LTP3!$D$6)*((P1265)*(Q1265)-(R1265)*(R1265))-(S1265)*((U1265)*(Q1265)-(R1265)*(V1265))+(T1265)*((U1265)*(R1265)-(P1265)*(V1265)))/W1265,0)</f>
        <v/>
      </c>
      <c r="Y1265">
        <f>IF(ABS(W1265)&gt;1E-12,((LTP3!$D$5)*((U1265)*(Q1265)-(R1265)*(V1265))-(LTP3!$D$6)*((S1265)*(Q1265)-(R1265)*(T1265))+(T1265)*((S1265)*(V1265)-(U1265)*(T1265)))/W1265,0)</f>
        <v/>
      </c>
      <c r="Z1265">
        <f>IF(ABS(W1265)&gt;1E-12,((LTP3!$D$5)*((P1265)*(V1265)-(U1265)*(R1265))-(S1265)*((S1265)*(V1265)-(U1265)*(T1265))+(LTP3!$D$6)*((S1265)*(R1265)-(P1265)*(T1265)))/W1265,0)</f>
        <v/>
      </c>
      <c r="AA1265">
        <f>LTP3!$D$7-X1265*LTP3!$D$6-Y1265*U1265-Z1265*V1265</f>
        <v/>
      </c>
      <c r="AB1265">
        <f>IF(AND(F1265,ABS(W1265)&gt;1E-12,Y1265&gt;0,Z1265&gt;0),AA1265,1E+300)</f>
        <v/>
      </c>
    </row>
    <row r="1266">
      <c r="A1266">
        <f>$B$3+$B$5*20</f>
        <v/>
      </c>
      <c r="B1266">
        <f>$B$3+$B$5*34</f>
        <v/>
      </c>
      <c r="C1266">
        <f>SUMPRODUCT(Calc!$K$3:$K$22*(Calc!$G$3:$G$22&lt;=A1266))</f>
        <v/>
      </c>
      <c r="D1266">
        <f>SUMPRODUCT(Calc!$K$3:$K$22*(Calc!$G$3:$G$22&gt;A1266)*(Calc!$G$3:$G$22&lt;B1266))</f>
        <v/>
      </c>
      <c r="E1266">
        <f>SUMPRODUCT(Calc!$K$3:$K$22*(Calc!$G$3:$G$22&gt;=B1266))</f>
        <v/>
      </c>
      <c r="F1266">
        <f>AND(k_n&gt;=5,B1266&gt;A1266+1E-9,C1266&gt;=2,D1266&gt;=1,E1266&gt;=2)</f>
        <v/>
      </c>
      <c r="G1266">
        <f>SUMPRODUCT(Calc!$K$3:$K$22*(Calc!$G$3:$G$22&gt;A1266)*(Calc!$G$3:$G$22-A1266))</f>
        <v/>
      </c>
      <c r="H1266">
        <f>SUMPRODUCT(Calc!$K$3:$K$22*(Calc!$G$3:$G$22&gt;B1266)*(Calc!$G$3:$G$22-B1266))</f>
        <v/>
      </c>
      <c r="I1266">
        <f>SUMPRODUCT(Calc!$K$3:$K$22*(Calc!$G$3:$G$22&gt;A1266)*(Calc!$G$3:$G$22-A1266)^2)</f>
        <v/>
      </c>
      <c r="J1266">
        <f>SUMPRODUCT(Calc!$K$3:$K$22*(Calc!$G$3:$G$22&gt;B1266)*(Calc!$G$3:$G$22-B1266)^2)</f>
        <v/>
      </c>
      <c r="K1266">
        <f>SUMPRODUCT(Calc!$K$3:$K$22*(Calc!$G$3:$G$22&gt;A1266)*(Calc!$G$3:$G$22-A1266)*(Calc!$G$3:$G$22&gt;B1266)*(Calc!$G$3:$G$22-B1266))</f>
        <v/>
      </c>
      <c r="L1266">
        <f>SUMPRODUCT(Calc!$K$3:$K$22*(Calc!$G$3:$G$22&gt;A1266)*(Calc!$G$3:$G$22-A1266)*Calc!$G$3:$G$22)</f>
        <v/>
      </c>
      <c r="M1266">
        <f>SUMPRODUCT(Calc!$K$3:$K$22*(Calc!$G$3:$G$22&gt;B1266)*(Calc!$G$3:$G$22-B1266)*Calc!$G$3:$G$22)</f>
        <v/>
      </c>
      <c r="N1266">
        <f>SUMPRODUCT(Calc!$K$3:$K$22*(Calc!$G$3:$G$22&gt;A1266)*(Calc!$G$3:$G$22-A1266)*Calc!$I$3:$I$22)</f>
        <v/>
      </c>
      <c r="O1266">
        <f>SUMPRODUCT(Calc!$K$3:$K$22*(Calc!$G$3:$G$22&gt;B1266)*(Calc!$G$3:$G$22-B1266)*Calc!$I$3:$I$22)</f>
        <v/>
      </c>
      <c r="P1266">
        <f>I1266-G1266^2/k_n</f>
        <v/>
      </c>
      <c r="Q1266">
        <f>J1266-H1266^2/k_n</f>
        <v/>
      </c>
      <c r="R1266">
        <f>K1266-G1266*H1266/k_n</f>
        <v/>
      </c>
      <c r="S1266">
        <f>L1266-LTP3!$D$3*G1266/k_n</f>
        <v/>
      </c>
      <c r="T1266">
        <f>M1266-LTP3!$D$3*H1266/k_n</f>
        <v/>
      </c>
      <c r="U1266">
        <f>N1266-G1266*LTP3!$D$4/k_n</f>
        <v/>
      </c>
      <c r="V1266">
        <f>O1266-H1266*LTP3!$D$4/k_n</f>
        <v/>
      </c>
      <c r="W1266">
        <f>((LTP3!$D$5)*((P1266)*(Q1266)-(R1266)*(R1266))-(S1266)*((S1266)*(Q1266)-(R1266)*(T1266))+(T1266)*((S1266)*(R1266)-(P1266)*(T1266)))</f>
        <v/>
      </c>
      <c r="X1266">
        <f>IF(ABS(W1266)&gt;1E-12,((LTP3!$D$6)*((P1266)*(Q1266)-(R1266)*(R1266))-(S1266)*((U1266)*(Q1266)-(R1266)*(V1266))+(T1266)*((U1266)*(R1266)-(P1266)*(V1266)))/W1266,0)</f>
        <v/>
      </c>
      <c r="Y1266">
        <f>IF(ABS(W1266)&gt;1E-12,((LTP3!$D$5)*((U1266)*(Q1266)-(R1266)*(V1266))-(LTP3!$D$6)*((S1266)*(Q1266)-(R1266)*(T1266))+(T1266)*((S1266)*(V1266)-(U1266)*(T1266)))/W1266,0)</f>
        <v/>
      </c>
      <c r="Z1266">
        <f>IF(ABS(W1266)&gt;1E-12,((LTP3!$D$5)*((P1266)*(V1266)-(U1266)*(R1266))-(S1266)*((S1266)*(V1266)-(U1266)*(T1266))+(LTP3!$D$6)*((S1266)*(R1266)-(P1266)*(T1266)))/W1266,0)</f>
        <v/>
      </c>
      <c r="AA1266">
        <f>LTP3!$D$7-X1266*LTP3!$D$6-Y1266*U1266-Z1266*V1266</f>
        <v/>
      </c>
      <c r="AB1266">
        <f>IF(AND(F1266,ABS(W1266)&gt;1E-12,Y1266&gt;0,Z1266&gt;0),AA1266,1E+300)</f>
        <v/>
      </c>
    </row>
    <row r="1267">
      <c r="A1267">
        <f>$B$3+$B$5*20</f>
        <v/>
      </c>
      <c r="B1267">
        <f>$B$3+$B$5*35</f>
        <v/>
      </c>
      <c r="C1267">
        <f>SUMPRODUCT(Calc!$K$3:$K$22*(Calc!$G$3:$G$22&lt;=A1267))</f>
        <v/>
      </c>
      <c r="D1267">
        <f>SUMPRODUCT(Calc!$K$3:$K$22*(Calc!$G$3:$G$22&gt;A1267)*(Calc!$G$3:$G$22&lt;B1267))</f>
        <v/>
      </c>
      <c r="E1267">
        <f>SUMPRODUCT(Calc!$K$3:$K$22*(Calc!$G$3:$G$22&gt;=B1267))</f>
        <v/>
      </c>
      <c r="F1267">
        <f>AND(k_n&gt;=5,B1267&gt;A1267+1E-9,C1267&gt;=2,D1267&gt;=1,E1267&gt;=2)</f>
        <v/>
      </c>
      <c r="G1267">
        <f>SUMPRODUCT(Calc!$K$3:$K$22*(Calc!$G$3:$G$22&gt;A1267)*(Calc!$G$3:$G$22-A1267))</f>
        <v/>
      </c>
      <c r="H1267">
        <f>SUMPRODUCT(Calc!$K$3:$K$22*(Calc!$G$3:$G$22&gt;B1267)*(Calc!$G$3:$G$22-B1267))</f>
        <v/>
      </c>
      <c r="I1267">
        <f>SUMPRODUCT(Calc!$K$3:$K$22*(Calc!$G$3:$G$22&gt;A1267)*(Calc!$G$3:$G$22-A1267)^2)</f>
        <v/>
      </c>
      <c r="J1267">
        <f>SUMPRODUCT(Calc!$K$3:$K$22*(Calc!$G$3:$G$22&gt;B1267)*(Calc!$G$3:$G$22-B1267)^2)</f>
        <v/>
      </c>
      <c r="K1267">
        <f>SUMPRODUCT(Calc!$K$3:$K$22*(Calc!$G$3:$G$22&gt;A1267)*(Calc!$G$3:$G$22-A1267)*(Calc!$G$3:$G$22&gt;B1267)*(Calc!$G$3:$G$22-B1267))</f>
        <v/>
      </c>
      <c r="L1267">
        <f>SUMPRODUCT(Calc!$K$3:$K$22*(Calc!$G$3:$G$22&gt;A1267)*(Calc!$G$3:$G$22-A1267)*Calc!$G$3:$G$22)</f>
        <v/>
      </c>
      <c r="M1267">
        <f>SUMPRODUCT(Calc!$K$3:$K$22*(Calc!$G$3:$G$22&gt;B1267)*(Calc!$G$3:$G$22-B1267)*Calc!$G$3:$G$22)</f>
        <v/>
      </c>
      <c r="N1267">
        <f>SUMPRODUCT(Calc!$K$3:$K$22*(Calc!$G$3:$G$22&gt;A1267)*(Calc!$G$3:$G$22-A1267)*Calc!$I$3:$I$22)</f>
        <v/>
      </c>
      <c r="O1267">
        <f>SUMPRODUCT(Calc!$K$3:$K$22*(Calc!$G$3:$G$22&gt;B1267)*(Calc!$G$3:$G$22-B1267)*Calc!$I$3:$I$22)</f>
        <v/>
      </c>
      <c r="P1267">
        <f>I1267-G1267^2/k_n</f>
        <v/>
      </c>
      <c r="Q1267">
        <f>J1267-H1267^2/k_n</f>
        <v/>
      </c>
      <c r="R1267">
        <f>K1267-G1267*H1267/k_n</f>
        <v/>
      </c>
      <c r="S1267">
        <f>L1267-LTP3!$D$3*G1267/k_n</f>
        <v/>
      </c>
      <c r="T1267">
        <f>M1267-LTP3!$D$3*H1267/k_n</f>
        <v/>
      </c>
      <c r="U1267">
        <f>N1267-G1267*LTP3!$D$4/k_n</f>
        <v/>
      </c>
      <c r="V1267">
        <f>O1267-H1267*LTP3!$D$4/k_n</f>
        <v/>
      </c>
      <c r="W1267">
        <f>((LTP3!$D$5)*((P1267)*(Q1267)-(R1267)*(R1267))-(S1267)*((S1267)*(Q1267)-(R1267)*(T1267))+(T1267)*((S1267)*(R1267)-(P1267)*(T1267)))</f>
        <v/>
      </c>
      <c r="X1267">
        <f>IF(ABS(W1267)&gt;1E-12,((LTP3!$D$6)*((P1267)*(Q1267)-(R1267)*(R1267))-(S1267)*((U1267)*(Q1267)-(R1267)*(V1267))+(T1267)*((U1267)*(R1267)-(P1267)*(V1267)))/W1267,0)</f>
        <v/>
      </c>
      <c r="Y1267">
        <f>IF(ABS(W1267)&gt;1E-12,((LTP3!$D$5)*((U1267)*(Q1267)-(R1267)*(V1267))-(LTP3!$D$6)*((S1267)*(Q1267)-(R1267)*(T1267))+(T1267)*((S1267)*(V1267)-(U1267)*(T1267)))/W1267,0)</f>
        <v/>
      </c>
      <c r="Z1267">
        <f>IF(ABS(W1267)&gt;1E-12,((LTP3!$D$5)*((P1267)*(V1267)-(U1267)*(R1267))-(S1267)*((S1267)*(V1267)-(U1267)*(T1267))+(LTP3!$D$6)*((S1267)*(R1267)-(P1267)*(T1267)))/W1267,0)</f>
        <v/>
      </c>
      <c r="AA1267">
        <f>LTP3!$D$7-X1267*LTP3!$D$6-Y1267*U1267-Z1267*V1267</f>
        <v/>
      </c>
      <c r="AB1267">
        <f>IF(AND(F1267,ABS(W1267)&gt;1E-12,Y1267&gt;0,Z1267&gt;0),AA1267,1E+300)</f>
        <v/>
      </c>
    </row>
    <row r="1268">
      <c r="A1268">
        <f>$B$3+$B$5*20</f>
        <v/>
      </c>
      <c r="B1268">
        <f>$B$3+$B$5*36</f>
        <v/>
      </c>
      <c r="C1268">
        <f>SUMPRODUCT(Calc!$K$3:$K$22*(Calc!$G$3:$G$22&lt;=A1268))</f>
        <v/>
      </c>
      <c r="D1268">
        <f>SUMPRODUCT(Calc!$K$3:$K$22*(Calc!$G$3:$G$22&gt;A1268)*(Calc!$G$3:$G$22&lt;B1268))</f>
        <v/>
      </c>
      <c r="E1268">
        <f>SUMPRODUCT(Calc!$K$3:$K$22*(Calc!$G$3:$G$22&gt;=B1268))</f>
        <v/>
      </c>
      <c r="F1268">
        <f>AND(k_n&gt;=5,B1268&gt;A1268+1E-9,C1268&gt;=2,D1268&gt;=1,E1268&gt;=2)</f>
        <v/>
      </c>
      <c r="G1268">
        <f>SUMPRODUCT(Calc!$K$3:$K$22*(Calc!$G$3:$G$22&gt;A1268)*(Calc!$G$3:$G$22-A1268))</f>
        <v/>
      </c>
      <c r="H1268">
        <f>SUMPRODUCT(Calc!$K$3:$K$22*(Calc!$G$3:$G$22&gt;B1268)*(Calc!$G$3:$G$22-B1268))</f>
        <v/>
      </c>
      <c r="I1268">
        <f>SUMPRODUCT(Calc!$K$3:$K$22*(Calc!$G$3:$G$22&gt;A1268)*(Calc!$G$3:$G$22-A1268)^2)</f>
        <v/>
      </c>
      <c r="J1268">
        <f>SUMPRODUCT(Calc!$K$3:$K$22*(Calc!$G$3:$G$22&gt;B1268)*(Calc!$G$3:$G$22-B1268)^2)</f>
        <v/>
      </c>
      <c r="K1268">
        <f>SUMPRODUCT(Calc!$K$3:$K$22*(Calc!$G$3:$G$22&gt;A1268)*(Calc!$G$3:$G$22-A1268)*(Calc!$G$3:$G$22&gt;B1268)*(Calc!$G$3:$G$22-B1268))</f>
        <v/>
      </c>
      <c r="L1268">
        <f>SUMPRODUCT(Calc!$K$3:$K$22*(Calc!$G$3:$G$22&gt;A1268)*(Calc!$G$3:$G$22-A1268)*Calc!$G$3:$G$22)</f>
        <v/>
      </c>
      <c r="M1268">
        <f>SUMPRODUCT(Calc!$K$3:$K$22*(Calc!$G$3:$G$22&gt;B1268)*(Calc!$G$3:$G$22-B1268)*Calc!$G$3:$G$22)</f>
        <v/>
      </c>
      <c r="N1268">
        <f>SUMPRODUCT(Calc!$K$3:$K$22*(Calc!$G$3:$G$22&gt;A1268)*(Calc!$G$3:$G$22-A1268)*Calc!$I$3:$I$22)</f>
        <v/>
      </c>
      <c r="O1268">
        <f>SUMPRODUCT(Calc!$K$3:$K$22*(Calc!$G$3:$G$22&gt;B1268)*(Calc!$G$3:$G$22-B1268)*Calc!$I$3:$I$22)</f>
        <v/>
      </c>
      <c r="P1268">
        <f>I1268-G1268^2/k_n</f>
        <v/>
      </c>
      <c r="Q1268">
        <f>J1268-H1268^2/k_n</f>
        <v/>
      </c>
      <c r="R1268">
        <f>K1268-G1268*H1268/k_n</f>
        <v/>
      </c>
      <c r="S1268">
        <f>L1268-LTP3!$D$3*G1268/k_n</f>
        <v/>
      </c>
      <c r="T1268">
        <f>M1268-LTP3!$D$3*H1268/k_n</f>
        <v/>
      </c>
      <c r="U1268">
        <f>N1268-G1268*LTP3!$D$4/k_n</f>
        <v/>
      </c>
      <c r="V1268">
        <f>O1268-H1268*LTP3!$D$4/k_n</f>
        <v/>
      </c>
      <c r="W1268">
        <f>((LTP3!$D$5)*((P1268)*(Q1268)-(R1268)*(R1268))-(S1268)*((S1268)*(Q1268)-(R1268)*(T1268))+(T1268)*((S1268)*(R1268)-(P1268)*(T1268)))</f>
        <v/>
      </c>
      <c r="X1268">
        <f>IF(ABS(W1268)&gt;1E-12,((LTP3!$D$6)*((P1268)*(Q1268)-(R1268)*(R1268))-(S1268)*((U1268)*(Q1268)-(R1268)*(V1268))+(T1268)*((U1268)*(R1268)-(P1268)*(V1268)))/W1268,0)</f>
        <v/>
      </c>
      <c r="Y1268">
        <f>IF(ABS(W1268)&gt;1E-12,((LTP3!$D$5)*((U1268)*(Q1268)-(R1268)*(V1268))-(LTP3!$D$6)*((S1268)*(Q1268)-(R1268)*(T1268))+(T1268)*((S1268)*(V1268)-(U1268)*(T1268)))/W1268,0)</f>
        <v/>
      </c>
      <c r="Z1268">
        <f>IF(ABS(W1268)&gt;1E-12,((LTP3!$D$5)*((P1268)*(V1268)-(U1268)*(R1268))-(S1268)*((S1268)*(V1268)-(U1268)*(T1268))+(LTP3!$D$6)*((S1268)*(R1268)-(P1268)*(T1268)))/W1268,0)</f>
        <v/>
      </c>
      <c r="AA1268">
        <f>LTP3!$D$7-X1268*LTP3!$D$6-Y1268*U1268-Z1268*V1268</f>
        <v/>
      </c>
      <c r="AB1268">
        <f>IF(AND(F1268,ABS(W1268)&gt;1E-12,Y1268&gt;0,Z1268&gt;0),AA1268,1E+300)</f>
        <v/>
      </c>
    </row>
    <row r="1269">
      <c r="A1269">
        <f>$B$3+$B$5*20</f>
        <v/>
      </c>
      <c r="B1269">
        <f>$B$3+$B$5*37</f>
        <v/>
      </c>
      <c r="C1269">
        <f>SUMPRODUCT(Calc!$K$3:$K$22*(Calc!$G$3:$G$22&lt;=A1269))</f>
        <v/>
      </c>
      <c r="D1269">
        <f>SUMPRODUCT(Calc!$K$3:$K$22*(Calc!$G$3:$G$22&gt;A1269)*(Calc!$G$3:$G$22&lt;B1269))</f>
        <v/>
      </c>
      <c r="E1269">
        <f>SUMPRODUCT(Calc!$K$3:$K$22*(Calc!$G$3:$G$22&gt;=B1269))</f>
        <v/>
      </c>
      <c r="F1269">
        <f>AND(k_n&gt;=5,B1269&gt;A1269+1E-9,C1269&gt;=2,D1269&gt;=1,E1269&gt;=2)</f>
        <v/>
      </c>
      <c r="G1269">
        <f>SUMPRODUCT(Calc!$K$3:$K$22*(Calc!$G$3:$G$22&gt;A1269)*(Calc!$G$3:$G$22-A1269))</f>
        <v/>
      </c>
      <c r="H1269">
        <f>SUMPRODUCT(Calc!$K$3:$K$22*(Calc!$G$3:$G$22&gt;B1269)*(Calc!$G$3:$G$22-B1269))</f>
        <v/>
      </c>
      <c r="I1269">
        <f>SUMPRODUCT(Calc!$K$3:$K$22*(Calc!$G$3:$G$22&gt;A1269)*(Calc!$G$3:$G$22-A1269)^2)</f>
        <v/>
      </c>
      <c r="J1269">
        <f>SUMPRODUCT(Calc!$K$3:$K$22*(Calc!$G$3:$G$22&gt;B1269)*(Calc!$G$3:$G$22-B1269)^2)</f>
        <v/>
      </c>
      <c r="K1269">
        <f>SUMPRODUCT(Calc!$K$3:$K$22*(Calc!$G$3:$G$22&gt;A1269)*(Calc!$G$3:$G$22-A1269)*(Calc!$G$3:$G$22&gt;B1269)*(Calc!$G$3:$G$22-B1269))</f>
        <v/>
      </c>
      <c r="L1269">
        <f>SUMPRODUCT(Calc!$K$3:$K$22*(Calc!$G$3:$G$22&gt;A1269)*(Calc!$G$3:$G$22-A1269)*Calc!$G$3:$G$22)</f>
        <v/>
      </c>
      <c r="M1269">
        <f>SUMPRODUCT(Calc!$K$3:$K$22*(Calc!$G$3:$G$22&gt;B1269)*(Calc!$G$3:$G$22-B1269)*Calc!$G$3:$G$22)</f>
        <v/>
      </c>
      <c r="N1269">
        <f>SUMPRODUCT(Calc!$K$3:$K$22*(Calc!$G$3:$G$22&gt;A1269)*(Calc!$G$3:$G$22-A1269)*Calc!$I$3:$I$22)</f>
        <v/>
      </c>
      <c r="O1269">
        <f>SUMPRODUCT(Calc!$K$3:$K$22*(Calc!$G$3:$G$22&gt;B1269)*(Calc!$G$3:$G$22-B1269)*Calc!$I$3:$I$22)</f>
        <v/>
      </c>
      <c r="P1269">
        <f>I1269-G1269^2/k_n</f>
        <v/>
      </c>
      <c r="Q1269">
        <f>J1269-H1269^2/k_n</f>
        <v/>
      </c>
      <c r="R1269">
        <f>K1269-G1269*H1269/k_n</f>
        <v/>
      </c>
      <c r="S1269">
        <f>L1269-LTP3!$D$3*G1269/k_n</f>
        <v/>
      </c>
      <c r="T1269">
        <f>M1269-LTP3!$D$3*H1269/k_n</f>
        <v/>
      </c>
      <c r="U1269">
        <f>N1269-G1269*LTP3!$D$4/k_n</f>
        <v/>
      </c>
      <c r="V1269">
        <f>O1269-H1269*LTP3!$D$4/k_n</f>
        <v/>
      </c>
      <c r="W1269">
        <f>((LTP3!$D$5)*((P1269)*(Q1269)-(R1269)*(R1269))-(S1269)*((S1269)*(Q1269)-(R1269)*(T1269))+(T1269)*((S1269)*(R1269)-(P1269)*(T1269)))</f>
        <v/>
      </c>
      <c r="X1269">
        <f>IF(ABS(W1269)&gt;1E-12,((LTP3!$D$6)*((P1269)*(Q1269)-(R1269)*(R1269))-(S1269)*((U1269)*(Q1269)-(R1269)*(V1269))+(T1269)*((U1269)*(R1269)-(P1269)*(V1269)))/W1269,0)</f>
        <v/>
      </c>
      <c r="Y1269">
        <f>IF(ABS(W1269)&gt;1E-12,((LTP3!$D$5)*((U1269)*(Q1269)-(R1269)*(V1269))-(LTP3!$D$6)*((S1269)*(Q1269)-(R1269)*(T1269))+(T1269)*((S1269)*(V1269)-(U1269)*(T1269)))/W1269,0)</f>
        <v/>
      </c>
      <c r="Z1269">
        <f>IF(ABS(W1269)&gt;1E-12,((LTP3!$D$5)*((P1269)*(V1269)-(U1269)*(R1269))-(S1269)*((S1269)*(V1269)-(U1269)*(T1269))+(LTP3!$D$6)*((S1269)*(R1269)-(P1269)*(T1269)))/W1269,0)</f>
        <v/>
      </c>
      <c r="AA1269">
        <f>LTP3!$D$7-X1269*LTP3!$D$6-Y1269*U1269-Z1269*V1269</f>
        <v/>
      </c>
      <c r="AB1269">
        <f>IF(AND(F1269,ABS(W1269)&gt;1E-12,Y1269&gt;0,Z1269&gt;0),AA1269,1E+300)</f>
        <v/>
      </c>
    </row>
    <row r="1270">
      <c r="A1270">
        <f>$B$3+$B$5*20</f>
        <v/>
      </c>
      <c r="B1270">
        <f>$B$3+$B$5*38</f>
        <v/>
      </c>
      <c r="C1270">
        <f>SUMPRODUCT(Calc!$K$3:$K$22*(Calc!$G$3:$G$22&lt;=A1270))</f>
        <v/>
      </c>
      <c r="D1270">
        <f>SUMPRODUCT(Calc!$K$3:$K$22*(Calc!$G$3:$G$22&gt;A1270)*(Calc!$G$3:$G$22&lt;B1270))</f>
        <v/>
      </c>
      <c r="E1270">
        <f>SUMPRODUCT(Calc!$K$3:$K$22*(Calc!$G$3:$G$22&gt;=B1270))</f>
        <v/>
      </c>
      <c r="F1270">
        <f>AND(k_n&gt;=5,B1270&gt;A1270+1E-9,C1270&gt;=2,D1270&gt;=1,E1270&gt;=2)</f>
        <v/>
      </c>
      <c r="G1270">
        <f>SUMPRODUCT(Calc!$K$3:$K$22*(Calc!$G$3:$G$22&gt;A1270)*(Calc!$G$3:$G$22-A1270))</f>
        <v/>
      </c>
      <c r="H1270">
        <f>SUMPRODUCT(Calc!$K$3:$K$22*(Calc!$G$3:$G$22&gt;B1270)*(Calc!$G$3:$G$22-B1270))</f>
        <v/>
      </c>
      <c r="I1270">
        <f>SUMPRODUCT(Calc!$K$3:$K$22*(Calc!$G$3:$G$22&gt;A1270)*(Calc!$G$3:$G$22-A1270)^2)</f>
        <v/>
      </c>
      <c r="J1270">
        <f>SUMPRODUCT(Calc!$K$3:$K$22*(Calc!$G$3:$G$22&gt;B1270)*(Calc!$G$3:$G$22-B1270)^2)</f>
        <v/>
      </c>
      <c r="K1270">
        <f>SUMPRODUCT(Calc!$K$3:$K$22*(Calc!$G$3:$G$22&gt;A1270)*(Calc!$G$3:$G$22-A1270)*(Calc!$G$3:$G$22&gt;B1270)*(Calc!$G$3:$G$22-B1270))</f>
        <v/>
      </c>
      <c r="L1270">
        <f>SUMPRODUCT(Calc!$K$3:$K$22*(Calc!$G$3:$G$22&gt;A1270)*(Calc!$G$3:$G$22-A1270)*Calc!$G$3:$G$22)</f>
        <v/>
      </c>
      <c r="M1270">
        <f>SUMPRODUCT(Calc!$K$3:$K$22*(Calc!$G$3:$G$22&gt;B1270)*(Calc!$G$3:$G$22-B1270)*Calc!$G$3:$G$22)</f>
        <v/>
      </c>
      <c r="N1270">
        <f>SUMPRODUCT(Calc!$K$3:$K$22*(Calc!$G$3:$G$22&gt;A1270)*(Calc!$G$3:$G$22-A1270)*Calc!$I$3:$I$22)</f>
        <v/>
      </c>
      <c r="O1270">
        <f>SUMPRODUCT(Calc!$K$3:$K$22*(Calc!$G$3:$G$22&gt;B1270)*(Calc!$G$3:$G$22-B1270)*Calc!$I$3:$I$22)</f>
        <v/>
      </c>
      <c r="P1270">
        <f>I1270-G1270^2/k_n</f>
        <v/>
      </c>
      <c r="Q1270">
        <f>J1270-H1270^2/k_n</f>
        <v/>
      </c>
      <c r="R1270">
        <f>K1270-G1270*H1270/k_n</f>
        <v/>
      </c>
      <c r="S1270">
        <f>L1270-LTP3!$D$3*G1270/k_n</f>
        <v/>
      </c>
      <c r="T1270">
        <f>M1270-LTP3!$D$3*H1270/k_n</f>
        <v/>
      </c>
      <c r="U1270">
        <f>N1270-G1270*LTP3!$D$4/k_n</f>
        <v/>
      </c>
      <c r="V1270">
        <f>O1270-H1270*LTP3!$D$4/k_n</f>
        <v/>
      </c>
      <c r="W1270">
        <f>((LTP3!$D$5)*((P1270)*(Q1270)-(R1270)*(R1270))-(S1270)*((S1270)*(Q1270)-(R1270)*(T1270))+(T1270)*((S1270)*(R1270)-(P1270)*(T1270)))</f>
        <v/>
      </c>
      <c r="X1270">
        <f>IF(ABS(W1270)&gt;1E-12,((LTP3!$D$6)*((P1270)*(Q1270)-(R1270)*(R1270))-(S1270)*((U1270)*(Q1270)-(R1270)*(V1270))+(T1270)*((U1270)*(R1270)-(P1270)*(V1270)))/W1270,0)</f>
        <v/>
      </c>
      <c r="Y1270">
        <f>IF(ABS(W1270)&gt;1E-12,((LTP3!$D$5)*((U1270)*(Q1270)-(R1270)*(V1270))-(LTP3!$D$6)*((S1270)*(Q1270)-(R1270)*(T1270))+(T1270)*((S1270)*(V1270)-(U1270)*(T1270)))/W1270,0)</f>
        <v/>
      </c>
      <c r="Z1270">
        <f>IF(ABS(W1270)&gt;1E-12,((LTP3!$D$5)*((P1270)*(V1270)-(U1270)*(R1270))-(S1270)*((S1270)*(V1270)-(U1270)*(T1270))+(LTP3!$D$6)*((S1270)*(R1270)-(P1270)*(T1270)))/W1270,0)</f>
        <v/>
      </c>
      <c r="AA1270">
        <f>LTP3!$D$7-X1270*LTP3!$D$6-Y1270*U1270-Z1270*V1270</f>
        <v/>
      </c>
      <c r="AB1270">
        <f>IF(AND(F1270,ABS(W1270)&gt;1E-12,Y1270&gt;0,Z1270&gt;0),AA1270,1E+300)</f>
        <v/>
      </c>
    </row>
    <row r="1271">
      <c r="A1271">
        <f>$B$3+$B$5*20</f>
        <v/>
      </c>
      <c r="B1271">
        <f>$B$3+$B$5*39</f>
        <v/>
      </c>
      <c r="C1271">
        <f>SUMPRODUCT(Calc!$K$3:$K$22*(Calc!$G$3:$G$22&lt;=A1271))</f>
        <v/>
      </c>
      <c r="D1271">
        <f>SUMPRODUCT(Calc!$K$3:$K$22*(Calc!$G$3:$G$22&gt;A1271)*(Calc!$G$3:$G$22&lt;B1271))</f>
        <v/>
      </c>
      <c r="E1271">
        <f>SUMPRODUCT(Calc!$K$3:$K$22*(Calc!$G$3:$G$22&gt;=B1271))</f>
        <v/>
      </c>
      <c r="F1271">
        <f>AND(k_n&gt;=5,B1271&gt;A1271+1E-9,C1271&gt;=2,D1271&gt;=1,E1271&gt;=2)</f>
        <v/>
      </c>
      <c r="G1271">
        <f>SUMPRODUCT(Calc!$K$3:$K$22*(Calc!$G$3:$G$22&gt;A1271)*(Calc!$G$3:$G$22-A1271))</f>
        <v/>
      </c>
      <c r="H1271">
        <f>SUMPRODUCT(Calc!$K$3:$K$22*(Calc!$G$3:$G$22&gt;B1271)*(Calc!$G$3:$G$22-B1271))</f>
        <v/>
      </c>
      <c r="I1271">
        <f>SUMPRODUCT(Calc!$K$3:$K$22*(Calc!$G$3:$G$22&gt;A1271)*(Calc!$G$3:$G$22-A1271)^2)</f>
        <v/>
      </c>
      <c r="J1271">
        <f>SUMPRODUCT(Calc!$K$3:$K$22*(Calc!$G$3:$G$22&gt;B1271)*(Calc!$G$3:$G$22-B1271)^2)</f>
        <v/>
      </c>
      <c r="K1271">
        <f>SUMPRODUCT(Calc!$K$3:$K$22*(Calc!$G$3:$G$22&gt;A1271)*(Calc!$G$3:$G$22-A1271)*(Calc!$G$3:$G$22&gt;B1271)*(Calc!$G$3:$G$22-B1271))</f>
        <v/>
      </c>
      <c r="L1271">
        <f>SUMPRODUCT(Calc!$K$3:$K$22*(Calc!$G$3:$G$22&gt;A1271)*(Calc!$G$3:$G$22-A1271)*Calc!$G$3:$G$22)</f>
        <v/>
      </c>
      <c r="M1271">
        <f>SUMPRODUCT(Calc!$K$3:$K$22*(Calc!$G$3:$G$22&gt;B1271)*(Calc!$G$3:$G$22-B1271)*Calc!$G$3:$G$22)</f>
        <v/>
      </c>
      <c r="N1271">
        <f>SUMPRODUCT(Calc!$K$3:$K$22*(Calc!$G$3:$G$22&gt;A1271)*(Calc!$G$3:$G$22-A1271)*Calc!$I$3:$I$22)</f>
        <v/>
      </c>
      <c r="O1271">
        <f>SUMPRODUCT(Calc!$K$3:$K$22*(Calc!$G$3:$G$22&gt;B1271)*(Calc!$G$3:$G$22-B1271)*Calc!$I$3:$I$22)</f>
        <v/>
      </c>
      <c r="P1271">
        <f>I1271-G1271^2/k_n</f>
        <v/>
      </c>
      <c r="Q1271">
        <f>J1271-H1271^2/k_n</f>
        <v/>
      </c>
      <c r="R1271">
        <f>K1271-G1271*H1271/k_n</f>
        <v/>
      </c>
      <c r="S1271">
        <f>L1271-LTP3!$D$3*G1271/k_n</f>
        <v/>
      </c>
      <c r="T1271">
        <f>M1271-LTP3!$D$3*H1271/k_n</f>
        <v/>
      </c>
      <c r="U1271">
        <f>N1271-G1271*LTP3!$D$4/k_n</f>
        <v/>
      </c>
      <c r="V1271">
        <f>O1271-H1271*LTP3!$D$4/k_n</f>
        <v/>
      </c>
      <c r="W1271">
        <f>((LTP3!$D$5)*((P1271)*(Q1271)-(R1271)*(R1271))-(S1271)*((S1271)*(Q1271)-(R1271)*(T1271))+(T1271)*((S1271)*(R1271)-(P1271)*(T1271)))</f>
        <v/>
      </c>
      <c r="X1271">
        <f>IF(ABS(W1271)&gt;1E-12,((LTP3!$D$6)*((P1271)*(Q1271)-(R1271)*(R1271))-(S1271)*((U1271)*(Q1271)-(R1271)*(V1271))+(T1271)*((U1271)*(R1271)-(P1271)*(V1271)))/W1271,0)</f>
        <v/>
      </c>
      <c r="Y1271">
        <f>IF(ABS(W1271)&gt;1E-12,((LTP3!$D$5)*((U1271)*(Q1271)-(R1271)*(V1271))-(LTP3!$D$6)*((S1271)*(Q1271)-(R1271)*(T1271))+(T1271)*((S1271)*(V1271)-(U1271)*(T1271)))/W1271,0)</f>
        <v/>
      </c>
      <c r="Z1271">
        <f>IF(ABS(W1271)&gt;1E-12,((LTP3!$D$5)*((P1271)*(V1271)-(U1271)*(R1271))-(S1271)*((S1271)*(V1271)-(U1271)*(T1271))+(LTP3!$D$6)*((S1271)*(R1271)-(P1271)*(T1271)))/W1271,0)</f>
        <v/>
      </c>
      <c r="AA1271">
        <f>LTP3!$D$7-X1271*LTP3!$D$6-Y1271*U1271-Z1271*V1271</f>
        <v/>
      </c>
      <c r="AB1271">
        <f>IF(AND(F1271,ABS(W1271)&gt;1E-12,Y1271&gt;0,Z1271&gt;0),AA1271,1E+300)</f>
        <v/>
      </c>
    </row>
    <row r="1272">
      <c r="A1272">
        <f>$B$3+$B$5*20</f>
        <v/>
      </c>
      <c r="B1272">
        <f>$B$3+$B$5*40</f>
        <v/>
      </c>
      <c r="C1272">
        <f>SUMPRODUCT(Calc!$K$3:$K$22*(Calc!$G$3:$G$22&lt;=A1272))</f>
        <v/>
      </c>
      <c r="D1272">
        <f>SUMPRODUCT(Calc!$K$3:$K$22*(Calc!$G$3:$G$22&gt;A1272)*(Calc!$G$3:$G$22&lt;B1272))</f>
        <v/>
      </c>
      <c r="E1272">
        <f>SUMPRODUCT(Calc!$K$3:$K$22*(Calc!$G$3:$G$22&gt;=B1272))</f>
        <v/>
      </c>
      <c r="F1272">
        <f>AND(k_n&gt;=5,B1272&gt;A1272+1E-9,C1272&gt;=2,D1272&gt;=1,E1272&gt;=2)</f>
        <v/>
      </c>
      <c r="G1272">
        <f>SUMPRODUCT(Calc!$K$3:$K$22*(Calc!$G$3:$G$22&gt;A1272)*(Calc!$G$3:$G$22-A1272))</f>
        <v/>
      </c>
      <c r="H1272">
        <f>SUMPRODUCT(Calc!$K$3:$K$22*(Calc!$G$3:$G$22&gt;B1272)*(Calc!$G$3:$G$22-B1272))</f>
        <v/>
      </c>
      <c r="I1272">
        <f>SUMPRODUCT(Calc!$K$3:$K$22*(Calc!$G$3:$G$22&gt;A1272)*(Calc!$G$3:$G$22-A1272)^2)</f>
        <v/>
      </c>
      <c r="J1272">
        <f>SUMPRODUCT(Calc!$K$3:$K$22*(Calc!$G$3:$G$22&gt;B1272)*(Calc!$G$3:$G$22-B1272)^2)</f>
        <v/>
      </c>
      <c r="K1272">
        <f>SUMPRODUCT(Calc!$K$3:$K$22*(Calc!$G$3:$G$22&gt;A1272)*(Calc!$G$3:$G$22-A1272)*(Calc!$G$3:$G$22&gt;B1272)*(Calc!$G$3:$G$22-B1272))</f>
        <v/>
      </c>
      <c r="L1272">
        <f>SUMPRODUCT(Calc!$K$3:$K$22*(Calc!$G$3:$G$22&gt;A1272)*(Calc!$G$3:$G$22-A1272)*Calc!$G$3:$G$22)</f>
        <v/>
      </c>
      <c r="M1272">
        <f>SUMPRODUCT(Calc!$K$3:$K$22*(Calc!$G$3:$G$22&gt;B1272)*(Calc!$G$3:$G$22-B1272)*Calc!$G$3:$G$22)</f>
        <v/>
      </c>
      <c r="N1272">
        <f>SUMPRODUCT(Calc!$K$3:$K$22*(Calc!$G$3:$G$22&gt;A1272)*(Calc!$G$3:$G$22-A1272)*Calc!$I$3:$I$22)</f>
        <v/>
      </c>
      <c r="O1272">
        <f>SUMPRODUCT(Calc!$K$3:$K$22*(Calc!$G$3:$G$22&gt;B1272)*(Calc!$G$3:$G$22-B1272)*Calc!$I$3:$I$22)</f>
        <v/>
      </c>
      <c r="P1272">
        <f>I1272-G1272^2/k_n</f>
        <v/>
      </c>
      <c r="Q1272">
        <f>J1272-H1272^2/k_n</f>
        <v/>
      </c>
      <c r="R1272">
        <f>K1272-G1272*H1272/k_n</f>
        <v/>
      </c>
      <c r="S1272">
        <f>L1272-LTP3!$D$3*G1272/k_n</f>
        <v/>
      </c>
      <c r="T1272">
        <f>M1272-LTP3!$D$3*H1272/k_n</f>
        <v/>
      </c>
      <c r="U1272">
        <f>N1272-G1272*LTP3!$D$4/k_n</f>
        <v/>
      </c>
      <c r="V1272">
        <f>O1272-H1272*LTP3!$D$4/k_n</f>
        <v/>
      </c>
      <c r="W1272">
        <f>((LTP3!$D$5)*((P1272)*(Q1272)-(R1272)*(R1272))-(S1272)*((S1272)*(Q1272)-(R1272)*(T1272))+(T1272)*((S1272)*(R1272)-(P1272)*(T1272)))</f>
        <v/>
      </c>
      <c r="X1272">
        <f>IF(ABS(W1272)&gt;1E-12,((LTP3!$D$6)*((P1272)*(Q1272)-(R1272)*(R1272))-(S1272)*((U1272)*(Q1272)-(R1272)*(V1272))+(T1272)*((U1272)*(R1272)-(P1272)*(V1272)))/W1272,0)</f>
        <v/>
      </c>
      <c r="Y1272">
        <f>IF(ABS(W1272)&gt;1E-12,((LTP3!$D$5)*((U1272)*(Q1272)-(R1272)*(V1272))-(LTP3!$D$6)*((S1272)*(Q1272)-(R1272)*(T1272))+(T1272)*((S1272)*(V1272)-(U1272)*(T1272)))/W1272,0)</f>
        <v/>
      </c>
      <c r="Z1272">
        <f>IF(ABS(W1272)&gt;1E-12,((LTP3!$D$5)*((P1272)*(V1272)-(U1272)*(R1272))-(S1272)*((S1272)*(V1272)-(U1272)*(T1272))+(LTP3!$D$6)*((S1272)*(R1272)-(P1272)*(T1272)))/W1272,0)</f>
        <v/>
      </c>
      <c r="AA1272">
        <f>LTP3!$D$7-X1272*LTP3!$D$6-Y1272*U1272-Z1272*V1272</f>
        <v/>
      </c>
      <c r="AB1272">
        <f>IF(AND(F1272,ABS(W1272)&gt;1E-12,Y1272&gt;0,Z1272&gt;0),AA1272,1E+300)</f>
        <v/>
      </c>
    </row>
    <row r="1273">
      <c r="A1273">
        <f>$B$3+$B$5*20</f>
        <v/>
      </c>
      <c r="B1273">
        <f>$B$3+$B$5*41</f>
        <v/>
      </c>
      <c r="C1273">
        <f>SUMPRODUCT(Calc!$K$3:$K$22*(Calc!$G$3:$G$22&lt;=A1273))</f>
        <v/>
      </c>
      <c r="D1273">
        <f>SUMPRODUCT(Calc!$K$3:$K$22*(Calc!$G$3:$G$22&gt;A1273)*(Calc!$G$3:$G$22&lt;B1273))</f>
        <v/>
      </c>
      <c r="E1273">
        <f>SUMPRODUCT(Calc!$K$3:$K$22*(Calc!$G$3:$G$22&gt;=B1273))</f>
        <v/>
      </c>
      <c r="F1273">
        <f>AND(k_n&gt;=5,B1273&gt;A1273+1E-9,C1273&gt;=2,D1273&gt;=1,E1273&gt;=2)</f>
        <v/>
      </c>
      <c r="G1273">
        <f>SUMPRODUCT(Calc!$K$3:$K$22*(Calc!$G$3:$G$22&gt;A1273)*(Calc!$G$3:$G$22-A1273))</f>
        <v/>
      </c>
      <c r="H1273">
        <f>SUMPRODUCT(Calc!$K$3:$K$22*(Calc!$G$3:$G$22&gt;B1273)*(Calc!$G$3:$G$22-B1273))</f>
        <v/>
      </c>
      <c r="I1273">
        <f>SUMPRODUCT(Calc!$K$3:$K$22*(Calc!$G$3:$G$22&gt;A1273)*(Calc!$G$3:$G$22-A1273)^2)</f>
        <v/>
      </c>
      <c r="J1273">
        <f>SUMPRODUCT(Calc!$K$3:$K$22*(Calc!$G$3:$G$22&gt;B1273)*(Calc!$G$3:$G$22-B1273)^2)</f>
        <v/>
      </c>
      <c r="K1273">
        <f>SUMPRODUCT(Calc!$K$3:$K$22*(Calc!$G$3:$G$22&gt;A1273)*(Calc!$G$3:$G$22-A1273)*(Calc!$G$3:$G$22&gt;B1273)*(Calc!$G$3:$G$22-B1273))</f>
        <v/>
      </c>
      <c r="L1273">
        <f>SUMPRODUCT(Calc!$K$3:$K$22*(Calc!$G$3:$G$22&gt;A1273)*(Calc!$G$3:$G$22-A1273)*Calc!$G$3:$G$22)</f>
        <v/>
      </c>
      <c r="M1273">
        <f>SUMPRODUCT(Calc!$K$3:$K$22*(Calc!$G$3:$G$22&gt;B1273)*(Calc!$G$3:$G$22-B1273)*Calc!$G$3:$G$22)</f>
        <v/>
      </c>
      <c r="N1273">
        <f>SUMPRODUCT(Calc!$K$3:$K$22*(Calc!$G$3:$G$22&gt;A1273)*(Calc!$G$3:$G$22-A1273)*Calc!$I$3:$I$22)</f>
        <v/>
      </c>
      <c r="O1273">
        <f>SUMPRODUCT(Calc!$K$3:$K$22*(Calc!$G$3:$G$22&gt;B1273)*(Calc!$G$3:$G$22-B1273)*Calc!$I$3:$I$22)</f>
        <v/>
      </c>
      <c r="P1273">
        <f>I1273-G1273^2/k_n</f>
        <v/>
      </c>
      <c r="Q1273">
        <f>J1273-H1273^2/k_n</f>
        <v/>
      </c>
      <c r="R1273">
        <f>K1273-G1273*H1273/k_n</f>
        <v/>
      </c>
      <c r="S1273">
        <f>L1273-LTP3!$D$3*G1273/k_n</f>
        <v/>
      </c>
      <c r="T1273">
        <f>M1273-LTP3!$D$3*H1273/k_n</f>
        <v/>
      </c>
      <c r="U1273">
        <f>N1273-G1273*LTP3!$D$4/k_n</f>
        <v/>
      </c>
      <c r="V1273">
        <f>O1273-H1273*LTP3!$D$4/k_n</f>
        <v/>
      </c>
      <c r="W1273">
        <f>((LTP3!$D$5)*((P1273)*(Q1273)-(R1273)*(R1273))-(S1273)*((S1273)*(Q1273)-(R1273)*(T1273))+(T1273)*((S1273)*(R1273)-(P1273)*(T1273)))</f>
        <v/>
      </c>
      <c r="X1273">
        <f>IF(ABS(W1273)&gt;1E-12,((LTP3!$D$6)*((P1273)*(Q1273)-(R1273)*(R1273))-(S1273)*((U1273)*(Q1273)-(R1273)*(V1273))+(T1273)*((U1273)*(R1273)-(P1273)*(V1273)))/W1273,0)</f>
        <v/>
      </c>
      <c r="Y1273">
        <f>IF(ABS(W1273)&gt;1E-12,((LTP3!$D$5)*((U1273)*(Q1273)-(R1273)*(V1273))-(LTP3!$D$6)*((S1273)*(Q1273)-(R1273)*(T1273))+(T1273)*((S1273)*(V1273)-(U1273)*(T1273)))/W1273,0)</f>
        <v/>
      </c>
      <c r="Z1273">
        <f>IF(ABS(W1273)&gt;1E-12,((LTP3!$D$5)*((P1273)*(V1273)-(U1273)*(R1273))-(S1273)*((S1273)*(V1273)-(U1273)*(T1273))+(LTP3!$D$6)*((S1273)*(R1273)-(P1273)*(T1273)))/W1273,0)</f>
        <v/>
      </c>
      <c r="AA1273">
        <f>LTP3!$D$7-X1273*LTP3!$D$6-Y1273*U1273-Z1273*V1273</f>
        <v/>
      </c>
      <c r="AB1273">
        <f>IF(AND(F1273,ABS(W1273)&gt;1E-12,Y1273&gt;0,Z1273&gt;0),AA1273,1E+300)</f>
        <v/>
      </c>
    </row>
    <row r="1274">
      <c r="A1274">
        <f>$B$3+$B$5*20</f>
        <v/>
      </c>
      <c r="B1274">
        <f>$B$3+$B$5*42</f>
        <v/>
      </c>
      <c r="C1274">
        <f>SUMPRODUCT(Calc!$K$3:$K$22*(Calc!$G$3:$G$22&lt;=A1274))</f>
        <v/>
      </c>
      <c r="D1274">
        <f>SUMPRODUCT(Calc!$K$3:$K$22*(Calc!$G$3:$G$22&gt;A1274)*(Calc!$G$3:$G$22&lt;B1274))</f>
        <v/>
      </c>
      <c r="E1274">
        <f>SUMPRODUCT(Calc!$K$3:$K$22*(Calc!$G$3:$G$22&gt;=B1274))</f>
        <v/>
      </c>
      <c r="F1274">
        <f>AND(k_n&gt;=5,B1274&gt;A1274+1E-9,C1274&gt;=2,D1274&gt;=1,E1274&gt;=2)</f>
        <v/>
      </c>
      <c r="G1274">
        <f>SUMPRODUCT(Calc!$K$3:$K$22*(Calc!$G$3:$G$22&gt;A1274)*(Calc!$G$3:$G$22-A1274))</f>
        <v/>
      </c>
      <c r="H1274">
        <f>SUMPRODUCT(Calc!$K$3:$K$22*(Calc!$G$3:$G$22&gt;B1274)*(Calc!$G$3:$G$22-B1274))</f>
        <v/>
      </c>
      <c r="I1274">
        <f>SUMPRODUCT(Calc!$K$3:$K$22*(Calc!$G$3:$G$22&gt;A1274)*(Calc!$G$3:$G$22-A1274)^2)</f>
        <v/>
      </c>
      <c r="J1274">
        <f>SUMPRODUCT(Calc!$K$3:$K$22*(Calc!$G$3:$G$22&gt;B1274)*(Calc!$G$3:$G$22-B1274)^2)</f>
        <v/>
      </c>
      <c r="K1274">
        <f>SUMPRODUCT(Calc!$K$3:$K$22*(Calc!$G$3:$G$22&gt;A1274)*(Calc!$G$3:$G$22-A1274)*(Calc!$G$3:$G$22&gt;B1274)*(Calc!$G$3:$G$22-B1274))</f>
        <v/>
      </c>
      <c r="L1274">
        <f>SUMPRODUCT(Calc!$K$3:$K$22*(Calc!$G$3:$G$22&gt;A1274)*(Calc!$G$3:$G$22-A1274)*Calc!$G$3:$G$22)</f>
        <v/>
      </c>
      <c r="M1274">
        <f>SUMPRODUCT(Calc!$K$3:$K$22*(Calc!$G$3:$G$22&gt;B1274)*(Calc!$G$3:$G$22-B1274)*Calc!$G$3:$G$22)</f>
        <v/>
      </c>
      <c r="N1274">
        <f>SUMPRODUCT(Calc!$K$3:$K$22*(Calc!$G$3:$G$22&gt;A1274)*(Calc!$G$3:$G$22-A1274)*Calc!$I$3:$I$22)</f>
        <v/>
      </c>
      <c r="O1274">
        <f>SUMPRODUCT(Calc!$K$3:$K$22*(Calc!$G$3:$G$22&gt;B1274)*(Calc!$G$3:$G$22-B1274)*Calc!$I$3:$I$22)</f>
        <v/>
      </c>
      <c r="P1274">
        <f>I1274-G1274^2/k_n</f>
        <v/>
      </c>
      <c r="Q1274">
        <f>J1274-H1274^2/k_n</f>
        <v/>
      </c>
      <c r="R1274">
        <f>K1274-G1274*H1274/k_n</f>
        <v/>
      </c>
      <c r="S1274">
        <f>L1274-LTP3!$D$3*G1274/k_n</f>
        <v/>
      </c>
      <c r="T1274">
        <f>M1274-LTP3!$D$3*H1274/k_n</f>
        <v/>
      </c>
      <c r="U1274">
        <f>N1274-G1274*LTP3!$D$4/k_n</f>
        <v/>
      </c>
      <c r="V1274">
        <f>O1274-H1274*LTP3!$D$4/k_n</f>
        <v/>
      </c>
      <c r="W1274">
        <f>((LTP3!$D$5)*((P1274)*(Q1274)-(R1274)*(R1274))-(S1274)*((S1274)*(Q1274)-(R1274)*(T1274))+(T1274)*((S1274)*(R1274)-(P1274)*(T1274)))</f>
        <v/>
      </c>
      <c r="X1274">
        <f>IF(ABS(W1274)&gt;1E-12,((LTP3!$D$6)*((P1274)*(Q1274)-(R1274)*(R1274))-(S1274)*((U1274)*(Q1274)-(R1274)*(V1274))+(T1274)*((U1274)*(R1274)-(P1274)*(V1274)))/W1274,0)</f>
        <v/>
      </c>
      <c r="Y1274">
        <f>IF(ABS(W1274)&gt;1E-12,((LTP3!$D$5)*((U1274)*(Q1274)-(R1274)*(V1274))-(LTP3!$D$6)*((S1274)*(Q1274)-(R1274)*(T1274))+(T1274)*((S1274)*(V1274)-(U1274)*(T1274)))/W1274,0)</f>
        <v/>
      </c>
      <c r="Z1274">
        <f>IF(ABS(W1274)&gt;1E-12,((LTP3!$D$5)*((P1274)*(V1274)-(U1274)*(R1274))-(S1274)*((S1274)*(V1274)-(U1274)*(T1274))+(LTP3!$D$6)*((S1274)*(R1274)-(P1274)*(T1274)))/W1274,0)</f>
        <v/>
      </c>
      <c r="AA1274">
        <f>LTP3!$D$7-X1274*LTP3!$D$6-Y1274*U1274-Z1274*V1274</f>
        <v/>
      </c>
      <c r="AB1274">
        <f>IF(AND(F1274,ABS(W1274)&gt;1E-12,Y1274&gt;0,Z1274&gt;0),AA1274,1E+300)</f>
        <v/>
      </c>
    </row>
    <row r="1275">
      <c r="A1275">
        <f>$B$3+$B$5*20</f>
        <v/>
      </c>
      <c r="B1275">
        <f>$B$3+$B$5*43</f>
        <v/>
      </c>
      <c r="C1275">
        <f>SUMPRODUCT(Calc!$K$3:$K$22*(Calc!$G$3:$G$22&lt;=A1275))</f>
        <v/>
      </c>
      <c r="D1275">
        <f>SUMPRODUCT(Calc!$K$3:$K$22*(Calc!$G$3:$G$22&gt;A1275)*(Calc!$G$3:$G$22&lt;B1275))</f>
        <v/>
      </c>
      <c r="E1275">
        <f>SUMPRODUCT(Calc!$K$3:$K$22*(Calc!$G$3:$G$22&gt;=B1275))</f>
        <v/>
      </c>
      <c r="F1275">
        <f>AND(k_n&gt;=5,B1275&gt;A1275+1E-9,C1275&gt;=2,D1275&gt;=1,E1275&gt;=2)</f>
        <v/>
      </c>
      <c r="G1275">
        <f>SUMPRODUCT(Calc!$K$3:$K$22*(Calc!$G$3:$G$22&gt;A1275)*(Calc!$G$3:$G$22-A1275))</f>
        <v/>
      </c>
      <c r="H1275">
        <f>SUMPRODUCT(Calc!$K$3:$K$22*(Calc!$G$3:$G$22&gt;B1275)*(Calc!$G$3:$G$22-B1275))</f>
        <v/>
      </c>
      <c r="I1275">
        <f>SUMPRODUCT(Calc!$K$3:$K$22*(Calc!$G$3:$G$22&gt;A1275)*(Calc!$G$3:$G$22-A1275)^2)</f>
        <v/>
      </c>
      <c r="J1275">
        <f>SUMPRODUCT(Calc!$K$3:$K$22*(Calc!$G$3:$G$22&gt;B1275)*(Calc!$G$3:$G$22-B1275)^2)</f>
        <v/>
      </c>
      <c r="K1275">
        <f>SUMPRODUCT(Calc!$K$3:$K$22*(Calc!$G$3:$G$22&gt;A1275)*(Calc!$G$3:$G$22-A1275)*(Calc!$G$3:$G$22&gt;B1275)*(Calc!$G$3:$G$22-B1275))</f>
        <v/>
      </c>
      <c r="L1275">
        <f>SUMPRODUCT(Calc!$K$3:$K$22*(Calc!$G$3:$G$22&gt;A1275)*(Calc!$G$3:$G$22-A1275)*Calc!$G$3:$G$22)</f>
        <v/>
      </c>
      <c r="M1275">
        <f>SUMPRODUCT(Calc!$K$3:$K$22*(Calc!$G$3:$G$22&gt;B1275)*(Calc!$G$3:$G$22-B1275)*Calc!$G$3:$G$22)</f>
        <v/>
      </c>
      <c r="N1275">
        <f>SUMPRODUCT(Calc!$K$3:$K$22*(Calc!$G$3:$G$22&gt;A1275)*(Calc!$G$3:$G$22-A1275)*Calc!$I$3:$I$22)</f>
        <v/>
      </c>
      <c r="O1275">
        <f>SUMPRODUCT(Calc!$K$3:$K$22*(Calc!$G$3:$G$22&gt;B1275)*(Calc!$G$3:$G$22-B1275)*Calc!$I$3:$I$22)</f>
        <v/>
      </c>
      <c r="P1275">
        <f>I1275-G1275^2/k_n</f>
        <v/>
      </c>
      <c r="Q1275">
        <f>J1275-H1275^2/k_n</f>
        <v/>
      </c>
      <c r="R1275">
        <f>K1275-G1275*H1275/k_n</f>
        <v/>
      </c>
      <c r="S1275">
        <f>L1275-LTP3!$D$3*G1275/k_n</f>
        <v/>
      </c>
      <c r="T1275">
        <f>M1275-LTP3!$D$3*H1275/k_n</f>
        <v/>
      </c>
      <c r="U1275">
        <f>N1275-G1275*LTP3!$D$4/k_n</f>
        <v/>
      </c>
      <c r="V1275">
        <f>O1275-H1275*LTP3!$D$4/k_n</f>
        <v/>
      </c>
      <c r="W1275">
        <f>((LTP3!$D$5)*((P1275)*(Q1275)-(R1275)*(R1275))-(S1275)*((S1275)*(Q1275)-(R1275)*(T1275))+(T1275)*((S1275)*(R1275)-(P1275)*(T1275)))</f>
        <v/>
      </c>
      <c r="X1275">
        <f>IF(ABS(W1275)&gt;1E-12,((LTP3!$D$6)*((P1275)*(Q1275)-(R1275)*(R1275))-(S1275)*((U1275)*(Q1275)-(R1275)*(V1275))+(T1275)*((U1275)*(R1275)-(P1275)*(V1275)))/W1275,0)</f>
        <v/>
      </c>
      <c r="Y1275">
        <f>IF(ABS(W1275)&gt;1E-12,((LTP3!$D$5)*((U1275)*(Q1275)-(R1275)*(V1275))-(LTP3!$D$6)*((S1275)*(Q1275)-(R1275)*(T1275))+(T1275)*((S1275)*(V1275)-(U1275)*(T1275)))/W1275,0)</f>
        <v/>
      </c>
      <c r="Z1275">
        <f>IF(ABS(W1275)&gt;1E-12,((LTP3!$D$5)*((P1275)*(V1275)-(U1275)*(R1275))-(S1275)*((S1275)*(V1275)-(U1275)*(T1275))+(LTP3!$D$6)*((S1275)*(R1275)-(P1275)*(T1275)))/W1275,0)</f>
        <v/>
      </c>
      <c r="AA1275">
        <f>LTP3!$D$7-X1275*LTP3!$D$6-Y1275*U1275-Z1275*V1275</f>
        <v/>
      </c>
      <c r="AB1275">
        <f>IF(AND(F1275,ABS(W1275)&gt;1E-12,Y1275&gt;0,Z1275&gt;0),AA1275,1E+300)</f>
        <v/>
      </c>
    </row>
    <row r="1276">
      <c r="A1276">
        <f>$B$3+$B$5*20</f>
        <v/>
      </c>
      <c r="B1276">
        <f>$B$3+$B$5*44</f>
        <v/>
      </c>
      <c r="C1276">
        <f>SUMPRODUCT(Calc!$K$3:$K$22*(Calc!$G$3:$G$22&lt;=A1276))</f>
        <v/>
      </c>
      <c r="D1276">
        <f>SUMPRODUCT(Calc!$K$3:$K$22*(Calc!$G$3:$G$22&gt;A1276)*(Calc!$G$3:$G$22&lt;B1276))</f>
        <v/>
      </c>
      <c r="E1276">
        <f>SUMPRODUCT(Calc!$K$3:$K$22*(Calc!$G$3:$G$22&gt;=B1276))</f>
        <v/>
      </c>
      <c r="F1276">
        <f>AND(k_n&gt;=5,B1276&gt;A1276+1E-9,C1276&gt;=2,D1276&gt;=1,E1276&gt;=2)</f>
        <v/>
      </c>
      <c r="G1276">
        <f>SUMPRODUCT(Calc!$K$3:$K$22*(Calc!$G$3:$G$22&gt;A1276)*(Calc!$G$3:$G$22-A1276))</f>
        <v/>
      </c>
      <c r="H1276">
        <f>SUMPRODUCT(Calc!$K$3:$K$22*(Calc!$G$3:$G$22&gt;B1276)*(Calc!$G$3:$G$22-B1276))</f>
        <v/>
      </c>
      <c r="I1276">
        <f>SUMPRODUCT(Calc!$K$3:$K$22*(Calc!$G$3:$G$22&gt;A1276)*(Calc!$G$3:$G$22-A1276)^2)</f>
        <v/>
      </c>
      <c r="J1276">
        <f>SUMPRODUCT(Calc!$K$3:$K$22*(Calc!$G$3:$G$22&gt;B1276)*(Calc!$G$3:$G$22-B1276)^2)</f>
        <v/>
      </c>
      <c r="K1276">
        <f>SUMPRODUCT(Calc!$K$3:$K$22*(Calc!$G$3:$G$22&gt;A1276)*(Calc!$G$3:$G$22-A1276)*(Calc!$G$3:$G$22&gt;B1276)*(Calc!$G$3:$G$22-B1276))</f>
        <v/>
      </c>
      <c r="L1276">
        <f>SUMPRODUCT(Calc!$K$3:$K$22*(Calc!$G$3:$G$22&gt;A1276)*(Calc!$G$3:$G$22-A1276)*Calc!$G$3:$G$22)</f>
        <v/>
      </c>
      <c r="M1276">
        <f>SUMPRODUCT(Calc!$K$3:$K$22*(Calc!$G$3:$G$22&gt;B1276)*(Calc!$G$3:$G$22-B1276)*Calc!$G$3:$G$22)</f>
        <v/>
      </c>
      <c r="N1276">
        <f>SUMPRODUCT(Calc!$K$3:$K$22*(Calc!$G$3:$G$22&gt;A1276)*(Calc!$G$3:$G$22-A1276)*Calc!$I$3:$I$22)</f>
        <v/>
      </c>
      <c r="O1276">
        <f>SUMPRODUCT(Calc!$K$3:$K$22*(Calc!$G$3:$G$22&gt;B1276)*(Calc!$G$3:$G$22-B1276)*Calc!$I$3:$I$22)</f>
        <v/>
      </c>
      <c r="P1276">
        <f>I1276-G1276^2/k_n</f>
        <v/>
      </c>
      <c r="Q1276">
        <f>J1276-H1276^2/k_n</f>
        <v/>
      </c>
      <c r="R1276">
        <f>K1276-G1276*H1276/k_n</f>
        <v/>
      </c>
      <c r="S1276">
        <f>L1276-LTP3!$D$3*G1276/k_n</f>
        <v/>
      </c>
      <c r="T1276">
        <f>M1276-LTP3!$D$3*H1276/k_n</f>
        <v/>
      </c>
      <c r="U1276">
        <f>N1276-G1276*LTP3!$D$4/k_n</f>
        <v/>
      </c>
      <c r="V1276">
        <f>O1276-H1276*LTP3!$D$4/k_n</f>
        <v/>
      </c>
      <c r="W1276">
        <f>((LTP3!$D$5)*((P1276)*(Q1276)-(R1276)*(R1276))-(S1276)*((S1276)*(Q1276)-(R1276)*(T1276))+(T1276)*((S1276)*(R1276)-(P1276)*(T1276)))</f>
        <v/>
      </c>
      <c r="X1276">
        <f>IF(ABS(W1276)&gt;1E-12,((LTP3!$D$6)*((P1276)*(Q1276)-(R1276)*(R1276))-(S1276)*((U1276)*(Q1276)-(R1276)*(V1276))+(T1276)*((U1276)*(R1276)-(P1276)*(V1276)))/W1276,0)</f>
        <v/>
      </c>
      <c r="Y1276">
        <f>IF(ABS(W1276)&gt;1E-12,((LTP3!$D$5)*((U1276)*(Q1276)-(R1276)*(V1276))-(LTP3!$D$6)*((S1276)*(Q1276)-(R1276)*(T1276))+(T1276)*((S1276)*(V1276)-(U1276)*(T1276)))/W1276,0)</f>
        <v/>
      </c>
      <c r="Z1276">
        <f>IF(ABS(W1276)&gt;1E-12,((LTP3!$D$5)*((P1276)*(V1276)-(U1276)*(R1276))-(S1276)*((S1276)*(V1276)-(U1276)*(T1276))+(LTP3!$D$6)*((S1276)*(R1276)-(P1276)*(T1276)))/W1276,0)</f>
        <v/>
      </c>
      <c r="AA1276">
        <f>LTP3!$D$7-X1276*LTP3!$D$6-Y1276*U1276-Z1276*V1276</f>
        <v/>
      </c>
      <c r="AB1276">
        <f>IF(AND(F1276,ABS(W1276)&gt;1E-12,Y1276&gt;0,Z1276&gt;0),AA1276,1E+300)</f>
        <v/>
      </c>
    </row>
    <row r="1277">
      <c r="A1277">
        <f>$B$3+$B$5*20</f>
        <v/>
      </c>
      <c r="B1277">
        <f>$B$3+$B$5*45</f>
        <v/>
      </c>
      <c r="C1277">
        <f>SUMPRODUCT(Calc!$K$3:$K$22*(Calc!$G$3:$G$22&lt;=A1277))</f>
        <v/>
      </c>
      <c r="D1277">
        <f>SUMPRODUCT(Calc!$K$3:$K$22*(Calc!$G$3:$G$22&gt;A1277)*(Calc!$G$3:$G$22&lt;B1277))</f>
        <v/>
      </c>
      <c r="E1277">
        <f>SUMPRODUCT(Calc!$K$3:$K$22*(Calc!$G$3:$G$22&gt;=B1277))</f>
        <v/>
      </c>
      <c r="F1277">
        <f>AND(k_n&gt;=5,B1277&gt;A1277+1E-9,C1277&gt;=2,D1277&gt;=1,E1277&gt;=2)</f>
        <v/>
      </c>
      <c r="G1277">
        <f>SUMPRODUCT(Calc!$K$3:$K$22*(Calc!$G$3:$G$22&gt;A1277)*(Calc!$G$3:$G$22-A1277))</f>
        <v/>
      </c>
      <c r="H1277">
        <f>SUMPRODUCT(Calc!$K$3:$K$22*(Calc!$G$3:$G$22&gt;B1277)*(Calc!$G$3:$G$22-B1277))</f>
        <v/>
      </c>
      <c r="I1277">
        <f>SUMPRODUCT(Calc!$K$3:$K$22*(Calc!$G$3:$G$22&gt;A1277)*(Calc!$G$3:$G$22-A1277)^2)</f>
        <v/>
      </c>
      <c r="J1277">
        <f>SUMPRODUCT(Calc!$K$3:$K$22*(Calc!$G$3:$G$22&gt;B1277)*(Calc!$G$3:$G$22-B1277)^2)</f>
        <v/>
      </c>
      <c r="K1277">
        <f>SUMPRODUCT(Calc!$K$3:$K$22*(Calc!$G$3:$G$22&gt;A1277)*(Calc!$G$3:$G$22-A1277)*(Calc!$G$3:$G$22&gt;B1277)*(Calc!$G$3:$G$22-B1277))</f>
        <v/>
      </c>
      <c r="L1277">
        <f>SUMPRODUCT(Calc!$K$3:$K$22*(Calc!$G$3:$G$22&gt;A1277)*(Calc!$G$3:$G$22-A1277)*Calc!$G$3:$G$22)</f>
        <v/>
      </c>
      <c r="M1277">
        <f>SUMPRODUCT(Calc!$K$3:$K$22*(Calc!$G$3:$G$22&gt;B1277)*(Calc!$G$3:$G$22-B1277)*Calc!$G$3:$G$22)</f>
        <v/>
      </c>
      <c r="N1277">
        <f>SUMPRODUCT(Calc!$K$3:$K$22*(Calc!$G$3:$G$22&gt;A1277)*(Calc!$G$3:$G$22-A1277)*Calc!$I$3:$I$22)</f>
        <v/>
      </c>
      <c r="O1277">
        <f>SUMPRODUCT(Calc!$K$3:$K$22*(Calc!$G$3:$G$22&gt;B1277)*(Calc!$G$3:$G$22-B1277)*Calc!$I$3:$I$22)</f>
        <v/>
      </c>
      <c r="P1277">
        <f>I1277-G1277^2/k_n</f>
        <v/>
      </c>
      <c r="Q1277">
        <f>J1277-H1277^2/k_n</f>
        <v/>
      </c>
      <c r="R1277">
        <f>K1277-G1277*H1277/k_n</f>
        <v/>
      </c>
      <c r="S1277">
        <f>L1277-LTP3!$D$3*G1277/k_n</f>
        <v/>
      </c>
      <c r="T1277">
        <f>M1277-LTP3!$D$3*H1277/k_n</f>
        <v/>
      </c>
      <c r="U1277">
        <f>N1277-G1277*LTP3!$D$4/k_n</f>
        <v/>
      </c>
      <c r="V1277">
        <f>O1277-H1277*LTP3!$D$4/k_n</f>
        <v/>
      </c>
      <c r="W1277">
        <f>((LTP3!$D$5)*((P1277)*(Q1277)-(R1277)*(R1277))-(S1277)*((S1277)*(Q1277)-(R1277)*(T1277))+(T1277)*((S1277)*(R1277)-(P1277)*(T1277)))</f>
        <v/>
      </c>
      <c r="X1277">
        <f>IF(ABS(W1277)&gt;1E-12,((LTP3!$D$6)*((P1277)*(Q1277)-(R1277)*(R1277))-(S1277)*((U1277)*(Q1277)-(R1277)*(V1277))+(T1277)*((U1277)*(R1277)-(P1277)*(V1277)))/W1277,0)</f>
        <v/>
      </c>
      <c r="Y1277">
        <f>IF(ABS(W1277)&gt;1E-12,((LTP3!$D$5)*((U1277)*(Q1277)-(R1277)*(V1277))-(LTP3!$D$6)*((S1277)*(Q1277)-(R1277)*(T1277))+(T1277)*((S1277)*(V1277)-(U1277)*(T1277)))/W1277,0)</f>
        <v/>
      </c>
      <c r="Z1277">
        <f>IF(ABS(W1277)&gt;1E-12,((LTP3!$D$5)*((P1277)*(V1277)-(U1277)*(R1277))-(S1277)*((S1277)*(V1277)-(U1277)*(T1277))+(LTP3!$D$6)*((S1277)*(R1277)-(P1277)*(T1277)))/W1277,0)</f>
        <v/>
      </c>
      <c r="AA1277">
        <f>LTP3!$D$7-X1277*LTP3!$D$6-Y1277*U1277-Z1277*V1277</f>
        <v/>
      </c>
      <c r="AB1277">
        <f>IF(AND(F1277,ABS(W1277)&gt;1E-12,Y1277&gt;0,Z1277&gt;0),AA1277,1E+300)</f>
        <v/>
      </c>
    </row>
    <row r="1278">
      <c r="A1278">
        <f>$B$3+$B$5*20</f>
        <v/>
      </c>
      <c r="B1278">
        <f>$B$3+$B$5*46</f>
        <v/>
      </c>
      <c r="C1278">
        <f>SUMPRODUCT(Calc!$K$3:$K$22*(Calc!$G$3:$G$22&lt;=A1278))</f>
        <v/>
      </c>
      <c r="D1278">
        <f>SUMPRODUCT(Calc!$K$3:$K$22*(Calc!$G$3:$G$22&gt;A1278)*(Calc!$G$3:$G$22&lt;B1278))</f>
        <v/>
      </c>
      <c r="E1278">
        <f>SUMPRODUCT(Calc!$K$3:$K$22*(Calc!$G$3:$G$22&gt;=B1278))</f>
        <v/>
      </c>
      <c r="F1278">
        <f>AND(k_n&gt;=5,B1278&gt;A1278+1E-9,C1278&gt;=2,D1278&gt;=1,E1278&gt;=2)</f>
        <v/>
      </c>
      <c r="G1278">
        <f>SUMPRODUCT(Calc!$K$3:$K$22*(Calc!$G$3:$G$22&gt;A1278)*(Calc!$G$3:$G$22-A1278))</f>
        <v/>
      </c>
      <c r="H1278">
        <f>SUMPRODUCT(Calc!$K$3:$K$22*(Calc!$G$3:$G$22&gt;B1278)*(Calc!$G$3:$G$22-B1278))</f>
        <v/>
      </c>
      <c r="I1278">
        <f>SUMPRODUCT(Calc!$K$3:$K$22*(Calc!$G$3:$G$22&gt;A1278)*(Calc!$G$3:$G$22-A1278)^2)</f>
        <v/>
      </c>
      <c r="J1278">
        <f>SUMPRODUCT(Calc!$K$3:$K$22*(Calc!$G$3:$G$22&gt;B1278)*(Calc!$G$3:$G$22-B1278)^2)</f>
        <v/>
      </c>
      <c r="K1278">
        <f>SUMPRODUCT(Calc!$K$3:$K$22*(Calc!$G$3:$G$22&gt;A1278)*(Calc!$G$3:$G$22-A1278)*(Calc!$G$3:$G$22&gt;B1278)*(Calc!$G$3:$G$22-B1278))</f>
        <v/>
      </c>
      <c r="L1278">
        <f>SUMPRODUCT(Calc!$K$3:$K$22*(Calc!$G$3:$G$22&gt;A1278)*(Calc!$G$3:$G$22-A1278)*Calc!$G$3:$G$22)</f>
        <v/>
      </c>
      <c r="M1278">
        <f>SUMPRODUCT(Calc!$K$3:$K$22*(Calc!$G$3:$G$22&gt;B1278)*(Calc!$G$3:$G$22-B1278)*Calc!$G$3:$G$22)</f>
        <v/>
      </c>
      <c r="N1278">
        <f>SUMPRODUCT(Calc!$K$3:$K$22*(Calc!$G$3:$G$22&gt;A1278)*(Calc!$G$3:$G$22-A1278)*Calc!$I$3:$I$22)</f>
        <v/>
      </c>
      <c r="O1278">
        <f>SUMPRODUCT(Calc!$K$3:$K$22*(Calc!$G$3:$G$22&gt;B1278)*(Calc!$G$3:$G$22-B1278)*Calc!$I$3:$I$22)</f>
        <v/>
      </c>
      <c r="P1278">
        <f>I1278-G1278^2/k_n</f>
        <v/>
      </c>
      <c r="Q1278">
        <f>J1278-H1278^2/k_n</f>
        <v/>
      </c>
      <c r="R1278">
        <f>K1278-G1278*H1278/k_n</f>
        <v/>
      </c>
      <c r="S1278">
        <f>L1278-LTP3!$D$3*G1278/k_n</f>
        <v/>
      </c>
      <c r="T1278">
        <f>M1278-LTP3!$D$3*H1278/k_n</f>
        <v/>
      </c>
      <c r="U1278">
        <f>N1278-G1278*LTP3!$D$4/k_n</f>
        <v/>
      </c>
      <c r="V1278">
        <f>O1278-H1278*LTP3!$D$4/k_n</f>
        <v/>
      </c>
      <c r="W1278">
        <f>((LTP3!$D$5)*((P1278)*(Q1278)-(R1278)*(R1278))-(S1278)*((S1278)*(Q1278)-(R1278)*(T1278))+(T1278)*((S1278)*(R1278)-(P1278)*(T1278)))</f>
        <v/>
      </c>
      <c r="X1278">
        <f>IF(ABS(W1278)&gt;1E-12,((LTP3!$D$6)*((P1278)*(Q1278)-(R1278)*(R1278))-(S1278)*((U1278)*(Q1278)-(R1278)*(V1278))+(T1278)*((U1278)*(R1278)-(P1278)*(V1278)))/W1278,0)</f>
        <v/>
      </c>
      <c r="Y1278">
        <f>IF(ABS(W1278)&gt;1E-12,((LTP3!$D$5)*((U1278)*(Q1278)-(R1278)*(V1278))-(LTP3!$D$6)*((S1278)*(Q1278)-(R1278)*(T1278))+(T1278)*((S1278)*(V1278)-(U1278)*(T1278)))/W1278,0)</f>
        <v/>
      </c>
      <c r="Z1278">
        <f>IF(ABS(W1278)&gt;1E-12,((LTP3!$D$5)*((P1278)*(V1278)-(U1278)*(R1278))-(S1278)*((S1278)*(V1278)-(U1278)*(T1278))+(LTP3!$D$6)*((S1278)*(R1278)-(P1278)*(T1278)))/W1278,0)</f>
        <v/>
      </c>
      <c r="AA1278">
        <f>LTP3!$D$7-X1278*LTP3!$D$6-Y1278*U1278-Z1278*V1278</f>
        <v/>
      </c>
      <c r="AB1278">
        <f>IF(AND(F1278,ABS(W1278)&gt;1E-12,Y1278&gt;0,Z1278&gt;0),AA1278,1E+300)</f>
        <v/>
      </c>
    </row>
    <row r="1279">
      <c r="A1279">
        <f>$B$3+$B$5*20</f>
        <v/>
      </c>
      <c r="B1279">
        <f>$B$3+$B$5*47</f>
        <v/>
      </c>
      <c r="C1279">
        <f>SUMPRODUCT(Calc!$K$3:$K$22*(Calc!$G$3:$G$22&lt;=A1279))</f>
        <v/>
      </c>
      <c r="D1279">
        <f>SUMPRODUCT(Calc!$K$3:$K$22*(Calc!$G$3:$G$22&gt;A1279)*(Calc!$G$3:$G$22&lt;B1279))</f>
        <v/>
      </c>
      <c r="E1279">
        <f>SUMPRODUCT(Calc!$K$3:$K$22*(Calc!$G$3:$G$22&gt;=B1279))</f>
        <v/>
      </c>
      <c r="F1279">
        <f>AND(k_n&gt;=5,B1279&gt;A1279+1E-9,C1279&gt;=2,D1279&gt;=1,E1279&gt;=2)</f>
        <v/>
      </c>
      <c r="G1279">
        <f>SUMPRODUCT(Calc!$K$3:$K$22*(Calc!$G$3:$G$22&gt;A1279)*(Calc!$G$3:$G$22-A1279))</f>
        <v/>
      </c>
      <c r="H1279">
        <f>SUMPRODUCT(Calc!$K$3:$K$22*(Calc!$G$3:$G$22&gt;B1279)*(Calc!$G$3:$G$22-B1279))</f>
        <v/>
      </c>
      <c r="I1279">
        <f>SUMPRODUCT(Calc!$K$3:$K$22*(Calc!$G$3:$G$22&gt;A1279)*(Calc!$G$3:$G$22-A1279)^2)</f>
        <v/>
      </c>
      <c r="J1279">
        <f>SUMPRODUCT(Calc!$K$3:$K$22*(Calc!$G$3:$G$22&gt;B1279)*(Calc!$G$3:$G$22-B1279)^2)</f>
        <v/>
      </c>
      <c r="K1279">
        <f>SUMPRODUCT(Calc!$K$3:$K$22*(Calc!$G$3:$G$22&gt;A1279)*(Calc!$G$3:$G$22-A1279)*(Calc!$G$3:$G$22&gt;B1279)*(Calc!$G$3:$G$22-B1279))</f>
        <v/>
      </c>
      <c r="L1279">
        <f>SUMPRODUCT(Calc!$K$3:$K$22*(Calc!$G$3:$G$22&gt;A1279)*(Calc!$G$3:$G$22-A1279)*Calc!$G$3:$G$22)</f>
        <v/>
      </c>
      <c r="M1279">
        <f>SUMPRODUCT(Calc!$K$3:$K$22*(Calc!$G$3:$G$22&gt;B1279)*(Calc!$G$3:$G$22-B1279)*Calc!$G$3:$G$22)</f>
        <v/>
      </c>
      <c r="N1279">
        <f>SUMPRODUCT(Calc!$K$3:$K$22*(Calc!$G$3:$G$22&gt;A1279)*(Calc!$G$3:$G$22-A1279)*Calc!$I$3:$I$22)</f>
        <v/>
      </c>
      <c r="O1279">
        <f>SUMPRODUCT(Calc!$K$3:$K$22*(Calc!$G$3:$G$22&gt;B1279)*(Calc!$G$3:$G$22-B1279)*Calc!$I$3:$I$22)</f>
        <v/>
      </c>
      <c r="P1279">
        <f>I1279-G1279^2/k_n</f>
        <v/>
      </c>
      <c r="Q1279">
        <f>J1279-H1279^2/k_n</f>
        <v/>
      </c>
      <c r="R1279">
        <f>K1279-G1279*H1279/k_n</f>
        <v/>
      </c>
      <c r="S1279">
        <f>L1279-LTP3!$D$3*G1279/k_n</f>
        <v/>
      </c>
      <c r="T1279">
        <f>M1279-LTP3!$D$3*H1279/k_n</f>
        <v/>
      </c>
      <c r="U1279">
        <f>N1279-G1279*LTP3!$D$4/k_n</f>
        <v/>
      </c>
      <c r="V1279">
        <f>O1279-H1279*LTP3!$D$4/k_n</f>
        <v/>
      </c>
      <c r="W1279">
        <f>((LTP3!$D$5)*((P1279)*(Q1279)-(R1279)*(R1279))-(S1279)*((S1279)*(Q1279)-(R1279)*(T1279))+(T1279)*((S1279)*(R1279)-(P1279)*(T1279)))</f>
        <v/>
      </c>
      <c r="X1279">
        <f>IF(ABS(W1279)&gt;1E-12,((LTP3!$D$6)*((P1279)*(Q1279)-(R1279)*(R1279))-(S1279)*((U1279)*(Q1279)-(R1279)*(V1279))+(T1279)*((U1279)*(R1279)-(P1279)*(V1279)))/W1279,0)</f>
        <v/>
      </c>
      <c r="Y1279">
        <f>IF(ABS(W1279)&gt;1E-12,((LTP3!$D$5)*((U1279)*(Q1279)-(R1279)*(V1279))-(LTP3!$D$6)*((S1279)*(Q1279)-(R1279)*(T1279))+(T1279)*((S1279)*(V1279)-(U1279)*(T1279)))/W1279,0)</f>
        <v/>
      </c>
      <c r="Z1279">
        <f>IF(ABS(W1279)&gt;1E-12,((LTP3!$D$5)*((P1279)*(V1279)-(U1279)*(R1279))-(S1279)*((S1279)*(V1279)-(U1279)*(T1279))+(LTP3!$D$6)*((S1279)*(R1279)-(P1279)*(T1279)))/W1279,0)</f>
        <v/>
      </c>
      <c r="AA1279">
        <f>LTP3!$D$7-X1279*LTP3!$D$6-Y1279*U1279-Z1279*V1279</f>
        <v/>
      </c>
      <c r="AB1279">
        <f>IF(AND(F1279,ABS(W1279)&gt;1E-12,Y1279&gt;0,Z1279&gt;0),AA1279,1E+300)</f>
        <v/>
      </c>
    </row>
    <row r="1280">
      <c r="A1280">
        <f>$B$3+$B$5*20</f>
        <v/>
      </c>
      <c r="B1280">
        <f>$B$3+$B$5*48</f>
        <v/>
      </c>
      <c r="C1280">
        <f>SUMPRODUCT(Calc!$K$3:$K$22*(Calc!$G$3:$G$22&lt;=A1280))</f>
        <v/>
      </c>
      <c r="D1280">
        <f>SUMPRODUCT(Calc!$K$3:$K$22*(Calc!$G$3:$G$22&gt;A1280)*(Calc!$G$3:$G$22&lt;B1280))</f>
        <v/>
      </c>
      <c r="E1280">
        <f>SUMPRODUCT(Calc!$K$3:$K$22*(Calc!$G$3:$G$22&gt;=B1280))</f>
        <v/>
      </c>
      <c r="F1280">
        <f>AND(k_n&gt;=5,B1280&gt;A1280+1E-9,C1280&gt;=2,D1280&gt;=1,E1280&gt;=2)</f>
        <v/>
      </c>
      <c r="G1280">
        <f>SUMPRODUCT(Calc!$K$3:$K$22*(Calc!$G$3:$G$22&gt;A1280)*(Calc!$G$3:$G$22-A1280))</f>
        <v/>
      </c>
      <c r="H1280">
        <f>SUMPRODUCT(Calc!$K$3:$K$22*(Calc!$G$3:$G$22&gt;B1280)*(Calc!$G$3:$G$22-B1280))</f>
        <v/>
      </c>
      <c r="I1280">
        <f>SUMPRODUCT(Calc!$K$3:$K$22*(Calc!$G$3:$G$22&gt;A1280)*(Calc!$G$3:$G$22-A1280)^2)</f>
        <v/>
      </c>
      <c r="J1280">
        <f>SUMPRODUCT(Calc!$K$3:$K$22*(Calc!$G$3:$G$22&gt;B1280)*(Calc!$G$3:$G$22-B1280)^2)</f>
        <v/>
      </c>
      <c r="K1280">
        <f>SUMPRODUCT(Calc!$K$3:$K$22*(Calc!$G$3:$G$22&gt;A1280)*(Calc!$G$3:$G$22-A1280)*(Calc!$G$3:$G$22&gt;B1280)*(Calc!$G$3:$G$22-B1280))</f>
        <v/>
      </c>
      <c r="L1280">
        <f>SUMPRODUCT(Calc!$K$3:$K$22*(Calc!$G$3:$G$22&gt;A1280)*(Calc!$G$3:$G$22-A1280)*Calc!$G$3:$G$22)</f>
        <v/>
      </c>
      <c r="M1280">
        <f>SUMPRODUCT(Calc!$K$3:$K$22*(Calc!$G$3:$G$22&gt;B1280)*(Calc!$G$3:$G$22-B1280)*Calc!$G$3:$G$22)</f>
        <v/>
      </c>
      <c r="N1280">
        <f>SUMPRODUCT(Calc!$K$3:$K$22*(Calc!$G$3:$G$22&gt;A1280)*(Calc!$G$3:$G$22-A1280)*Calc!$I$3:$I$22)</f>
        <v/>
      </c>
      <c r="O1280">
        <f>SUMPRODUCT(Calc!$K$3:$K$22*(Calc!$G$3:$G$22&gt;B1280)*(Calc!$G$3:$G$22-B1280)*Calc!$I$3:$I$22)</f>
        <v/>
      </c>
      <c r="P1280">
        <f>I1280-G1280^2/k_n</f>
        <v/>
      </c>
      <c r="Q1280">
        <f>J1280-H1280^2/k_n</f>
        <v/>
      </c>
      <c r="R1280">
        <f>K1280-G1280*H1280/k_n</f>
        <v/>
      </c>
      <c r="S1280">
        <f>L1280-LTP3!$D$3*G1280/k_n</f>
        <v/>
      </c>
      <c r="T1280">
        <f>M1280-LTP3!$D$3*H1280/k_n</f>
        <v/>
      </c>
      <c r="U1280">
        <f>N1280-G1280*LTP3!$D$4/k_n</f>
        <v/>
      </c>
      <c r="V1280">
        <f>O1280-H1280*LTP3!$D$4/k_n</f>
        <v/>
      </c>
      <c r="W1280">
        <f>((LTP3!$D$5)*((P1280)*(Q1280)-(R1280)*(R1280))-(S1280)*((S1280)*(Q1280)-(R1280)*(T1280))+(T1280)*((S1280)*(R1280)-(P1280)*(T1280)))</f>
        <v/>
      </c>
      <c r="X1280">
        <f>IF(ABS(W1280)&gt;1E-12,((LTP3!$D$6)*((P1280)*(Q1280)-(R1280)*(R1280))-(S1280)*((U1280)*(Q1280)-(R1280)*(V1280))+(T1280)*((U1280)*(R1280)-(P1280)*(V1280)))/W1280,0)</f>
        <v/>
      </c>
      <c r="Y1280">
        <f>IF(ABS(W1280)&gt;1E-12,((LTP3!$D$5)*((U1280)*(Q1280)-(R1280)*(V1280))-(LTP3!$D$6)*((S1280)*(Q1280)-(R1280)*(T1280))+(T1280)*((S1280)*(V1280)-(U1280)*(T1280)))/W1280,0)</f>
        <v/>
      </c>
      <c r="Z1280">
        <f>IF(ABS(W1280)&gt;1E-12,((LTP3!$D$5)*((P1280)*(V1280)-(U1280)*(R1280))-(S1280)*((S1280)*(V1280)-(U1280)*(T1280))+(LTP3!$D$6)*((S1280)*(R1280)-(P1280)*(T1280)))/W1280,0)</f>
        <v/>
      </c>
      <c r="AA1280">
        <f>LTP3!$D$7-X1280*LTP3!$D$6-Y1280*U1280-Z1280*V1280</f>
        <v/>
      </c>
      <c r="AB1280">
        <f>IF(AND(F1280,ABS(W1280)&gt;1E-12,Y1280&gt;0,Z1280&gt;0),AA1280,1E+300)</f>
        <v/>
      </c>
    </row>
    <row r="1281">
      <c r="A1281">
        <f>$B$3+$B$5*20</f>
        <v/>
      </c>
      <c r="B1281">
        <f>$B$3+$B$5*49</f>
        <v/>
      </c>
      <c r="C1281">
        <f>SUMPRODUCT(Calc!$K$3:$K$22*(Calc!$G$3:$G$22&lt;=A1281))</f>
        <v/>
      </c>
      <c r="D1281">
        <f>SUMPRODUCT(Calc!$K$3:$K$22*(Calc!$G$3:$G$22&gt;A1281)*(Calc!$G$3:$G$22&lt;B1281))</f>
        <v/>
      </c>
      <c r="E1281">
        <f>SUMPRODUCT(Calc!$K$3:$K$22*(Calc!$G$3:$G$22&gt;=B1281))</f>
        <v/>
      </c>
      <c r="F1281">
        <f>AND(k_n&gt;=5,B1281&gt;A1281+1E-9,C1281&gt;=2,D1281&gt;=1,E1281&gt;=2)</f>
        <v/>
      </c>
      <c r="G1281">
        <f>SUMPRODUCT(Calc!$K$3:$K$22*(Calc!$G$3:$G$22&gt;A1281)*(Calc!$G$3:$G$22-A1281))</f>
        <v/>
      </c>
      <c r="H1281">
        <f>SUMPRODUCT(Calc!$K$3:$K$22*(Calc!$G$3:$G$22&gt;B1281)*(Calc!$G$3:$G$22-B1281))</f>
        <v/>
      </c>
      <c r="I1281">
        <f>SUMPRODUCT(Calc!$K$3:$K$22*(Calc!$G$3:$G$22&gt;A1281)*(Calc!$G$3:$G$22-A1281)^2)</f>
        <v/>
      </c>
      <c r="J1281">
        <f>SUMPRODUCT(Calc!$K$3:$K$22*(Calc!$G$3:$G$22&gt;B1281)*(Calc!$G$3:$G$22-B1281)^2)</f>
        <v/>
      </c>
      <c r="K1281">
        <f>SUMPRODUCT(Calc!$K$3:$K$22*(Calc!$G$3:$G$22&gt;A1281)*(Calc!$G$3:$G$22-A1281)*(Calc!$G$3:$G$22&gt;B1281)*(Calc!$G$3:$G$22-B1281))</f>
        <v/>
      </c>
      <c r="L1281">
        <f>SUMPRODUCT(Calc!$K$3:$K$22*(Calc!$G$3:$G$22&gt;A1281)*(Calc!$G$3:$G$22-A1281)*Calc!$G$3:$G$22)</f>
        <v/>
      </c>
      <c r="M1281">
        <f>SUMPRODUCT(Calc!$K$3:$K$22*(Calc!$G$3:$G$22&gt;B1281)*(Calc!$G$3:$G$22-B1281)*Calc!$G$3:$G$22)</f>
        <v/>
      </c>
      <c r="N1281">
        <f>SUMPRODUCT(Calc!$K$3:$K$22*(Calc!$G$3:$G$22&gt;A1281)*(Calc!$G$3:$G$22-A1281)*Calc!$I$3:$I$22)</f>
        <v/>
      </c>
      <c r="O1281">
        <f>SUMPRODUCT(Calc!$K$3:$K$22*(Calc!$G$3:$G$22&gt;B1281)*(Calc!$G$3:$G$22-B1281)*Calc!$I$3:$I$22)</f>
        <v/>
      </c>
      <c r="P1281">
        <f>I1281-G1281^2/k_n</f>
        <v/>
      </c>
      <c r="Q1281">
        <f>J1281-H1281^2/k_n</f>
        <v/>
      </c>
      <c r="R1281">
        <f>K1281-G1281*H1281/k_n</f>
        <v/>
      </c>
      <c r="S1281">
        <f>L1281-LTP3!$D$3*G1281/k_n</f>
        <v/>
      </c>
      <c r="T1281">
        <f>M1281-LTP3!$D$3*H1281/k_n</f>
        <v/>
      </c>
      <c r="U1281">
        <f>N1281-G1281*LTP3!$D$4/k_n</f>
        <v/>
      </c>
      <c r="V1281">
        <f>O1281-H1281*LTP3!$D$4/k_n</f>
        <v/>
      </c>
      <c r="W1281">
        <f>((LTP3!$D$5)*((P1281)*(Q1281)-(R1281)*(R1281))-(S1281)*((S1281)*(Q1281)-(R1281)*(T1281))+(T1281)*((S1281)*(R1281)-(P1281)*(T1281)))</f>
        <v/>
      </c>
      <c r="X1281">
        <f>IF(ABS(W1281)&gt;1E-12,((LTP3!$D$6)*((P1281)*(Q1281)-(R1281)*(R1281))-(S1281)*((U1281)*(Q1281)-(R1281)*(V1281))+(T1281)*((U1281)*(R1281)-(P1281)*(V1281)))/W1281,0)</f>
        <v/>
      </c>
      <c r="Y1281">
        <f>IF(ABS(W1281)&gt;1E-12,((LTP3!$D$5)*((U1281)*(Q1281)-(R1281)*(V1281))-(LTP3!$D$6)*((S1281)*(Q1281)-(R1281)*(T1281))+(T1281)*((S1281)*(V1281)-(U1281)*(T1281)))/W1281,0)</f>
        <v/>
      </c>
      <c r="Z1281">
        <f>IF(ABS(W1281)&gt;1E-12,((LTP3!$D$5)*((P1281)*(V1281)-(U1281)*(R1281))-(S1281)*((S1281)*(V1281)-(U1281)*(T1281))+(LTP3!$D$6)*((S1281)*(R1281)-(P1281)*(T1281)))/W1281,0)</f>
        <v/>
      </c>
      <c r="AA1281">
        <f>LTP3!$D$7-X1281*LTP3!$D$6-Y1281*U1281-Z1281*V1281</f>
        <v/>
      </c>
      <c r="AB1281">
        <f>IF(AND(F1281,ABS(W1281)&gt;1E-12,Y1281&gt;0,Z1281&gt;0),AA1281,1E+300)</f>
        <v/>
      </c>
    </row>
    <row r="1282">
      <c r="A1282">
        <f>$B$3+$B$5*20</f>
        <v/>
      </c>
      <c r="B1282">
        <f>$B$3+$B$5*50</f>
        <v/>
      </c>
      <c r="C1282">
        <f>SUMPRODUCT(Calc!$K$3:$K$22*(Calc!$G$3:$G$22&lt;=A1282))</f>
        <v/>
      </c>
      <c r="D1282">
        <f>SUMPRODUCT(Calc!$K$3:$K$22*(Calc!$G$3:$G$22&gt;A1282)*(Calc!$G$3:$G$22&lt;B1282))</f>
        <v/>
      </c>
      <c r="E1282">
        <f>SUMPRODUCT(Calc!$K$3:$K$22*(Calc!$G$3:$G$22&gt;=B1282))</f>
        <v/>
      </c>
      <c r="F1282">
        <f>AND(k_n&gt;=5,B1282&gt;A1282+1E-9,C1282&gt;=2,D1282&gt;=1,E1282&gt;=2)</f>
        <v/>
      </c>
      <c r="G1282">
        <f>SUMPRODUCT(Calc!$K$3:$K$22*(Calc!$G$3:$G$22&gt;A1282)*(Calc!$G$3:$G$22-A1282))</f>
        <v/>
      </c>
      <c r="H1282">
        <f>SUMPRODUCT(Calc!$K$3:$K$22*(Calc!$G$3:$G$22&gt;B1282)*(Calc!$G$3:$G$22-B1282))</f>
        <v/>
      </c>
      <c r="I1282">
        <f>SUMPRODUCT(Calc!$K$3:$K$22*(Calc!$G$3:$G$22&gt;A1282)*(Calc!$G$3:$G$22-A1282)^2)</f>
        <v/>
      </c>
      <c r="J1282">
        <f>SUMPRODUCT(Calc!$K$3:$K$22*(Calc!$G$3:$G$22&gt;B1282)*(Calc!$G$3:$G$22-B1282)^2)</f>
        <v/>
      </c>
      <c r="K1282">
        <f>SUMPRODUCT(Calc!$K$3:$K$22*(Calc!$G$3:$G$22&gt;A1282)*(Calc!$G$3:$G$22-A1282)*(Calc!$G$3:$G$22&gt;B1282)*(Calc!$G$3:$G$22-B1282))</f>
        <v/>
      </c>
      <c r="L1282">
        <f>SUMPRODUCT(Calc!$K$3:$K$22*(Calc!$G$3:$G$22&gt;A1282)*(Calc!$G$3:$G$22-A1282)*Calc!$G$3:$G$22)</f>
        <v/>
      </c>
      <c r="M1282">
        <f>SUMPRODUCT(Calc!$K$3:$K$22*(Calc!$G$3:$G$22&gt;B1282)*(Calc!$G$3:$G$22-B1282)*Calc!$G$3:$G$22)</f>
        <v/>
      </c>
      <c r="N1282">
        <f>SUMPRODUCT(Calc!$K$3:$K$22*(Calc!$G$3:$G$22&gt;A1282)*(Calc!$G$3:$G$22-A1282)*Calc!$I$3:$I$22)</f>
        <v/>
      </c>
      <c r="O1282">
        <f>SUMPRODUCT(Calc!$K$3:$K$22*(Calc!$G$3:$G$22&gt;B1282)*(Calc!$G$3:$G$22-B1282)*Calc!$I$3:$I$22)</f>
        <v/>
      </c>
      <c r="P1282">
        <f>I1282-G1282^2/k_n</f>
        <v/>
      </c>
      <c r="Q1282">
        <f>J1282-H1282^2/k_n</f>
        <v/>
      </c>
      <c r="R1282">
        <f>K1282-G1282*H1282/k_n</f>
        <v/>
      </c>
      <c r="S1282">
        <f>L1282-LTP3!$D$3*G1282/k_n</f>
        <v/>
      </c>
      <c r="T1282">
        <f>M1282-LTP3!$D$3*H1282/k_n</f>
        <v/>
      </c>
      <c r="U1282">
        <f>N1282-G1282*LTP3!$D$4/k_n</f>
        <v/>
      </c>
      <c r="V1282">
        <f>O1282-H1282*LTP3!$D$4/k_n</f>
        <v/>
      </c>
      <c r="W1282">
        <f>((LTP3!$D$5)*((P1282)*(Q1282)-(R1282)*(R1282))-(S1282)*((S1282)*(Q1282)-(R1282)*(T1282))+(T1282)*((S1282)*(R1282)-(P1282)*(T1282)))</f>
        <v/>
      </c>
      <c r="X1282">
        <f>IF(ABS(W1282)&gt;1E-12,((LTP3!$D$6)*((P1282)*(Q1282)-(R1282)*(R1282))-(S1282)*((U1282)*(Q1282)-(R1282)*(V1282))+(T1282)*((U1282)*(R1282)-(P1282)*(V1282)))/W1282,0)</f>
        <v/>
      </c>
      <c r="Y1282">
        <f>IF(ABS(W1282)&gt;1E-12,((LTP3!$D$5)*((U1282)*(Q1282)-(R1282)*(V1282))-(LTP3!$D$6)*((S1282)*(Q1282)-(R1282)*(T1282))+(T1282)*((S1282)*(V1282)-(U1282)*(T1282)))/W1282,0)</f>
        <v/>
      </c>
      <c r="Z1282">
        <f>IF(ABS(W1282)&gt;1E-12,((LTP3!$D$5)*((P1282)*(V1282)-(U1282)*(R1282))-(S1282)*((S1282)*(V1282)-(U1282)*(T1282))+(LTP3!$D$6)*((S1282)*(R1282)-(P1282)*(T1282)))/W1282,0)</f>
        <v/>
      </c>
      <c r="AA1282">
        <f>LTP3!$D$7-X1282*LTP3!$D$6-Y1282*U1282-Z1282*V1282</f>
        <v/>
      </c>
      <c r="AB1282">
        <f>IF(AND(F1282,ABS(W1282)&gt;1E-12,Y1282&gt;0,Z1282&gt;0),AA1282,1E+300)</f>
        <v/>
      </c>
    </row>
    <row r="1283">
      <c r="A1283">
        <f>$B$3+$B$5*20</f>
        <v/>
      </c>
      <c r="B1283">
        <f>$B$3+$B$5*51</f>
        <v/>
      </c>
      <c r="C1283">
        <f>SUMPRODUCT(Calc!$K$3:$K$22*(Calc!$G$3:$G$22&lt;=A1283))</f>
        <v/>
      </c>
      <c r="D1283">
        <f>SUMPRODUCT(Calc!$K$3:$K$22*(Calc!$G$3:$G$22&gt;A1283)*(Calc!$G$3:$G$22&lt;B1283))</f>
        <v/>
      </c>
      <c r="E1283">
        <f>SUMPRODUCT(Calc!$K$3:$K$22*(Calc!$G$3:$G$22&gt;=B1283))</f>
        <v/>
      </c>
      <c r="F1283">
        <f>AND(k_n&gt;=5,B1283&gt;A1283+1E-9,C1283&gt;=2,D1283&gt;=1,E1283&gt;=2)</f>
        <v/>
      </c>
      <c r="G1283">
        <f>SUMPRODUCT(Calc!$K$3:$K$22*(Calc!$G$3:$G$22&gt;A1283)*(Calc!$G$3:$G$22-A1283))</f>
        <v/>
      </c>
      <c r="H1283">
        <f>SUMPRODUCT(Calc!$K$3:$K$22*(Calc!$G$3:$G$22&gt;B1283)*(Calc!$G$3:$G$22-B1283))</f>
        <v/>
      </c>
      <c r="I1283">
        <f>SUMPRODUCT(Calc!$K$3:$K$22*(Calc!$G$3:$G$22&gt;A1283)*(Calc!$G$3:$G$22-A1283)^2)</f>
        <v/>
      </c>
      <c r="J1283">
        <f>SUMPRODUCT(Calc!$K$3:$K$22*(Calc!$G$3:$G$22&gt;B1283)*(Calc!$G$3:$G$22-B1283)^2)</f>
        <v/>
      </c>
      <c r="K1283">
        <f>SUMPRODUCT(Calc!$K$3:$K$22*(Calc!$G$3:$G$22&gt;A1283)*(Calc!$G$3:$G$22-A1283)*(Calc!$G$3:$G$22&gt;B1283)*(Calc!$G$3:$G$22-B1283))</f>
        <v/>
      </c>
      <c r="L1283">
        <f>SUMPRODUCT(Calc!$K$3:$K$22*(Calc!$G$3:$G$22&gt;A1283)*(Calc!$G$3:$G$22-A1283)*Calc!$G$3:$G$22)</f>
        <v/>
      </c>
      <c r="M1283">
        <f>SUMPRODUCT(Calc!$K$3:$K$22*(Calc!$G$3:$G$22&gt;B1283)*(Calc!$G$3:$G$22-B1283)*Calc!$G$3:$G$22)</f>
        <v/>
      </c>
      <c r="N1283">
        <f>SUMPRODUCT(Calc!$K$3:$K$22*(Calc!$G$3:$G$22&gt;A1283)*(Calc!$G$3:$G$22-A1283)*Calc!$I$3:$I$22)</f>
        <v/>
      </c>
      <c r="O1283">
        <f>SUMPRODUCT(Calc!$K$3:$K$22*(Calc!$G$3:$G$22&gt;B1283)*(Calc!$G$3:$G$22-B1283)*Calc!$I$3:$I$22)</f>
        <v/>
      </c>
      <c r="P1283">
        <f>I1283-G1283^2/k_n</f>
        <v/>
      </c>
      <c r="Q1283">
        <f>J1283-H1283^2/k_n</f>
        <v/>
      </c>
      <c r="R1283">
        <f>K1283-G1283*H1283/k_n</f>
        <v/>
      </c>
      <c r="S1283">
        <f>L1283-LTP3!$D$3*G1283/k_n</f>
        <v/>
      </c>
      <c r="T1283">
        <f>M1283-LTP3!$D$3*H1283/k_n</f>
        <v/>
      </c>
      <c r="U1283">
        <f>N1283-G1283*LTP3!$D$4/k_n</f>
        <v/>
      </c>
      <c r="V1283">
        <f>O1283-H1283*LTP3!$D$4/k_n</f>
        <v/>
      </c>
      <c r="W1283">
        <f>((LTP3!$D$5)*((P1283)*(Q1283)-(R1283)*(R1283))-(S1283)*((S1283)*(Q1283)-(R1283)*(T1283))+(T1283)*((S1283)*(R1283)-(P1283)*(T1283)))</f>
        <v/>
      </c>
      <c r="X1283">
        <f>IF(ABS(W1283)&gt;1E-12,((LTP3!$D$6)*((P1283)*(Q1283)-(R1283)*(R1283))-(S1283)*((U1283)*(Q1283)-(R1283)*(V1283))+(T1283)*((U1283)*(R1283)-(P1283)*(V1283)))/W1283,0)</f>
        <v/>
      </c>
      <c r="Y1283">
        <f>IF(ABS(W1283)&gt;1E-12,((LTP3!$D$5)*((U1283)*(Q1283)-(R1283)*(V1283))-(LTP3!$D$6)*((S1283)*(Q1283)-(R1283)*(T1283))+(T1283)*((S1283)*(V1283)-(U1283)*(T1283)))/W1283,0)</f>
        <v/>
      </c>
      <c r="Z1283">
        <f>IF(ABS(W1283)&gt;1E-12,((LTP3!$D$5)*((P1283)*(V1283)-(U1283)*(R1283))-(S1283)*((S1283)*(V1283)-(U1283)*(T1283))+(LTP3!$D$6)*((S1283)*(R1283)-(P1283)*(T1283)))/W1283,0)</f>
        <v/>
      </c>
      <c r="AA1283">
        <f>LTP3!$D$7-X1283*LTP3!$D$6-Y1283*U1283-Z1283*V1283</f>
        <v/>
      </c>
      <c r="AB1283">
        <f>IF(AND(F1283,ABS(W1283)&gt;1E-12,Y1283&gt;0,Z1283&gt;0),AA1283,1E+300)</f>
        <v/>
      </c>
    </row>
    <row r="1284">
      <c r="A1284">
        <f>$B$3+$B$5*20</f>
        <v/>
      </c>
      <c r="B1284">
        <f>$B$3+$B$5*52</f>
        <v/>
      </c>
      <c r="C1284">
        <f>SUMPRODUCT(Calc!$K$3:$K$22*(Calc!$G$3:$G$22&lt;=A1284))</f>
        <v/>
      </c>
      <c r="D1284">
        <f>SUMPRODUCT(Calc!$K$3:$K$22*(Calc!$G$3:$G$22&gt;A1284)*(Calc!$G$3:$G$22&lt;B1284))</f>
        <v/>
      </c>
      <c r="E1284">
        <f>SUMPRODUCT(Calc!$K$3:$K$22*(Calc!$G$3:$G$22&gt;=B1284))</f>
        <v/>
      </c>
      <c r="F1284">
        <f>AND(k_n&gt;=5,B1284&gt;A1284+1E-9,C1284&gt;=2,D1284&gt;=1,E1284&gt;=2)</f>
        <v/>
      </c>
      <c r="G1284">
        <f>SUMPRODUCT(Calc!$K$3:$K$22*(Calc!$G$3:$G$22&gt;A1284)*(Calc!$G$3:$G$22-A1284))</f>
        <v/>
      </c>
      <c r="H1284">
        <f>SUMPRODUCT(Calc!$K$3:$K$22*(Calc!$G$3:$G$22&gt;B1284)*(Calc!$G$3:$G$22-B1284))</f>
        <v/>
      </c>
      <c r="I1284">
        <f>SUMPRODUCT(Calc!$K$3:$K$22*(Calc!$G$3:$G$22&gt;A1284)*(Calc!$G$3:$G$22-A1284)^2)</f>
        <v/>
      </c>
      <c r="J1284">
        <f>SUMPRODUCT(Calc!$K$3:$K$22*(Calc!$G$3:$G$22&gt;B1284)*(Calc!$G$3:$G$22-B1284)^2)</f>
        <v/>
      </c>
      <c r="K1284">
        <f>SUMPRODUCT(Calc!$K$3:$K$22*(Calc!$G$3:$G$22&gt;A1284)*(Calc!$G$3:$G$22-A1284)*(Calc!$G$3:$G$22&gt;B1284)*(Calc!$G$3:$G$22-B1284))</f>
        <v/>
      </c>
      <c r="L1284">
        <f>SUMPRODUCT(Calc!$K$3:$K$22*(Calc!$G$3:$G$22&gt;A1284)*(Calc!$G$3:$G$22-A1284)*Calc!$G$3:$G$22)</f>
        <v/>
      </c>
      <c r="M1284">
        <f>SUMPRODUCT(Calc!$K$3:$K$22*(Calc!$G$3:$G$22&gt;B1284)*(Calc!$G$3:$G$22-B1284)*Calc!$G$3:$G$22)</f>
        <v/>
      </c>
      <c r="N1284">
        <f>SUMPRODUCT(Calc!$K$3:$K$22*(Calc!$G$3:$G$22&gt;A1284)*(Calc!$G$3:$G$22-A1284)*Calc!$I$3:$I$22)</f>
        <v/>
      </c>
      <c r="O1284">
        <f>SUMPRODUCT(Calc!$K$3:$K$22*(Calc!$G$3:$G$22&gt;B1284)*(Calc!$G$3:$G$22-B1284)*Calc!$I$3:$I$22)</f>
        <v/>
      </c>
      <c r="P1284">
        <f>I1284-G1284^2/k_n</f>
        <v/>
      </c>
      <c r="Q1284">
        <f>J1284-H1284^2/k_n</f>
        <v/>
      </c>
      <c r="R1284">
        <f>K1284-G1284*H1284/k_n</f>
        <v/>
      </c>
      <c r="S1284">
        <f>L1284-LTP3!$D$3*G1284/k_n</f>
        <v/>
      </c>
      <c r="T1284">
        <f>M1284-LTP3!$D$3*H1284/k_n</f>
        <v/>
      </c>
      <c r="U1284">
        <f>N1284-G1284*LTP3!$D$4/k_n</f>
        <v/>
      </c>
      <c r="V1284">
        <f>O1284-H1284*LTP3!$D$4/k_n</f>
        <v/>
      </c>
      <c r="W1284">
        <f>((LTP3!$D$5)*((P1284)*(Q1284)-(R1284)*(R1284))-(S1284)*((S1284)*(Q1284)-(R1284)*(T1284))+(T1284)*((S1284)*(R1284)-(P1284)*(T1284)))</f>
        <v/>
      </c>
      <c r="X1284">
        <f>IF(ABS(W1284)&gt;1E-12,((LTP3!$D$6)*((P1284)*(Q1284)-(R1284)*(R1284))-(S1284)*((U1284)*(Q1284)-(R1284)*(V1284))+(T1284)*((U1284)*(R1284)-(P1284)*(V1284)))/W1284,0)</f>
        <v/>
      </c>
      <c r="Y1284">
        <f>IF(ABS(W1284)&gt;1E-12,((LTP3!$D$5)*((U1284)*(Q1284)-(R1284)*(V1284))-(LTP3!$D$6)*((S1284)*(Q1284)-(R1284)*(T1284))+(T1284)*((S1284)*(V1284)-(U1284)*(T1284)))/W1284,0)</f>
        <v/>
      </c>
      <c r="Z1284">
        <f>IF(ABS(W1284)&gt;1E-12,((LTP3!$D$5)*((P1284)*(V1284)-(U1284)*(R1284))-(S1284)*((S1284)*(V1284)-(U1284)*(T1284))+(LTP3!$D$6)*((S1284)*(R1284)-(P1284)*(T1284)))/W1284,0)</f>
        <v/>
      </c>
      <c r="AA1284">
        <f>LTP3!$D$7-X1284*LTP3!$D$6-Y1284*U1284-Z1284*V1284</f>
        <v/>
      </c>
      <c r="AB1284">
        <f>IF(AND(F1284,ABS(W1284)&gt;1E-12,Y1284&gt;0,Z1284&gt;0),AA1284,1E+300)</f>
        <v/>
      </c>
    </row>
    <row r="1285">
      <c r="A1285">
        <f>$B$3+$B$5*20</f>
        <v/>
      </c>
      <c r="B1285">
        <f>$B$3+$B$5*53</f>
        <v/>
      </c>
      <c r="C1285">
        <f>SUMPRODUCT(Calc!$K$3:$K$22*(Calc!$G$3:$G$22&lt;=A1285))</f>
        <v/>
      </c>
      <c r="D1285">
        <f>SUMPRODUCT(Calc!$K$3:$K$22*(Calc!$G$3:$G$22&gt;A1285)*(Calc!$G$3:$G$22&lt;B1285))</f>
        <v/>
      </c>
      <c r="E1285">
        <f>SUMPRODUCT(Calc!$K$3:$K$22*(Calc!$G$3:$G$22&gt;=B1285))</f>
        <v/>
      </c>
      <c r="F1285">
        <f>AND(k_n&gt;=5,B1285&gt;A1285+1E-9,C1285&gt;=2,D1285&gt;=1,E1285&gt;=2)</f>
        <v/>
      </c>
      <c r="G1285">
        <f>SUMPRODUCT(Calc!$K$3:$K$22*(Calc!$G$3:$G$22&gt;A1285)*(Calc!$G$3:$G$22-A1285))</f>
        <v/>
      </c>
      <c r="H1285">
        <f>SUMPRODUCT(Calc!$K$3:$K$22*(Calc!$G$3:$G$22&gt;B1285)*(Calc!$G$3:$G$22-B1285))</f>
        <v/>
      </c>
      <c r="I1285">
        <f>SUMPRODUCT(Calc!$K$3:$K$22*(Calc!$G$3:$G$22&gt;A1285)*(Calc!$G$3:$G$22-A1285)^2)</f>
        <v/>
      </c>
      <c r="J1285">
        <f>SUMPRODUCT(Calc!$K$3:$K$22*(Calc!$G$3:$G$22&gt;B1285)*(Calc!$G$3:$G$22-B1285)^2)</f>
        <v/>
      </c>
      <c r="K1285">
        <f>SUMPRODUCT(Calc!$K$3:$K$22*(Calc!$G$3:$G$22&gt;A1285)*(Calc!$G$3:$G$22-A1285)*(Calc!$G$3:$G$22&gt;B1285)*(Calc!$G$3:$G$22-B1285))</f>
        <v/>
      </c>
      <c r="L1285">
        <f>SUMPRODUCT(Calc!$K$3:$K$22*(Calc!$G$3:$G$22&gt;A1285)*(Calc!$G$3:$G$22-A1285)*Calc!$G$3:$G$22)</f>
        <v/>
      </c>
      <c r="M1285">
        <f>SUMPRODUCT(Calc!$K$3:$K$22*(Calc!$G$3:$G$22&gt;B1285)*(Calc!$G$3:$G$22-B1285)*Calc!$G$3:$G$22)</f>
        <v/>
      </c>
      <c r="N1285">
        <f>SUMPRODUCT(Calc!$K$3:$K$22*(Calc!$G$3:$G$22&gt;A1285)*(Calc!$G$3:$G$22-A1285)*Calc!$I$3:$I$22)</f>
        <v/>
      </c>
      <c r="O1285">
        <f>SUMPRODUCT(Calc!$K$3:$K$22*(Calc!$G$3:$G$22&gt;B1285)*(Calc!$G$3:$G$22-B1285)*Calc!$I$3:$I$22)</f>
        <v/>
      </c>
      <c r="P1285">
        <f>I1285-G1285^2/k_n</f>
        <v/>
      </c>
      <c r="Q1285">
        <f>J1285-H1285^2/k_n</f>
        <v/>
      </c>
      <c r="R1285">
        <f>K1285-G1285*H1285/k_n</f>
        <v/>
      </c>
      <c r="S1285">
        <f>L1285-LTP3!$D$3*G1285/k_n</f>
        <v/>
      </c>
      <c r="T1285">
        <f>M1285-LTP3!$D$3*H1285/k_n</f>
        <v/>
      </c>
      <c r="U1285">
        <f>N1285-G1285*LTP3!$D$4/k_n</f>
        <v/>
      </c>
      <c r="V1285">
        <f>O1285-H1285*LTP3!$D$4/k_n</f>
        <v/>
      </c>
      <c r="W1285">
        <f>((LTP3!$D$5)*((P1285)*(Q1285)-(R1285)*(R1285))-(S1285)*((S1285)*(Q1285)-(R1285)*(T1285))+(T1285)*((S1285)*(R1285)-(P1285)*(T1285)))</f>
        <v/>
      </c>
      <c r="X1285">
        <f>IF(ABS(W1285)&gt;1E-12,((LTP3!$D$6)*((P1285)*(Q1285)-(R1285)*(R1285))-(S1285)*((U1285)*(Q1285)-(R1285)*(V1285))+(T1285)*((U1285)*(R1285)-(P1285)*(V1285)))/W1285,0)</f>
        <v/>
      </c>
      <c r="Y1285">
        <f>IF(ABS(W1285)&gt;1E-12,((LTP3!$D$5)*((U1285)*(Q1285)-(R1285)*(V1285))-(LTP3!$D$6)*((S1285)*(Q1285)-(R1285)*(T1285))+(T1285)*((S1285)*(V1285)-(U1285)*(T1285)))/W1285,0)</f>
        <v/>
      </c>
      <c r="Z1285">
        <f>IF(ABS(W1285)&gt;1E-12,((LTP3!$D$5)*((P1285)*(V1285)-(U1285)*(R1285))-(S1285)*((S1285)*(V1285)-(U1285)*(T1285))+(LTP3!$D$6)*((S1285)*(R1285)-(P1285)*(T1285)))/W1285,0)</f>
        <v/>
      </c>
      <c r="AA1285">
        <f>LTP3!$D$7-X1285*LTP3!$D$6-Y1285*U1285-Z1285*V1285</f>
        <v/>
      </c>
      <c r="AB1285">
        <f>IF(AND(F1285,ABS(W1285)&gt;1E-12,Y1285&gt;0,Z1285&gt;0),AA1285,1E+300)</f>
        <v/>
      </c>
    </row>
    <row r="1286">
      <c r="A1286">
        <f>$B$3+$B$5*20</f>
        <v/>
      </c>
      <c r="B1286">
        <f>$B$3+$B$5*54</f>
        <v/>
      </c>
      <c r="C1286">
        <f>SUMPRODUCT(Calc!$K$3:$K$22*(Calc!$G$3:$G$22&lt;=A1286))</f>
        <v/>
      </c>
      <c r="D1286">
        <f>SUMPRODUCT(Calc!$K$3:$K$22*(Calc!$G$3:$G$22&gt;A1286)*(Calc!$G$3:$G$22&lt;B1286))</f>
        <v/>
      </c>
      <c r="E1286">
        <f>SUMPRODUCT(Calc!$K$3:$K$22*(Calc!$G$3:$G$22&gt;=B1286))</f>
        <v/>
      </c>
      <c r="F1286">
        <f>AND(k_n&gt;=5,B1286&gt;A1286+1E-9,C1286&gt;=2,D1286&gt;=1,E1286&gt;=2)</f>
        <v/>
      </c>
      <c r="G1286">
        <f>SUMPRODUCT(Calc!$K$3:$K$22*(Calc!$G$3:$G$22&gt;A1286)*(Calc!$G$3:$G$22-A1286))</f>
        <v/>
      </c>
      <c r="H1286">
        <f>SUMPRODUCT(Calc!$K$3:$K$22*(Calc!$G$3:$G$22&gt;B1286)*(Calc!$G$3:$G$22-B1286))</f>
        <v/>
      </c>
      <c r="I1286">
        <f>SUMPRODUCT(Calc!$K$3:$K$22*(Calc!$G$3:$G$22&gt;A1286)*(Calc!$G$3:$G$22-A1286)^2)</f>
        <v/>
      </c>
      <c r="J1286">
        <f>SUMPRODUCT(Calc!$K$3:$K$22*(Calc!$G$3:$G$22&gt;B1286)*(Calc!$G$3:$G$22-B1286)^2)</f>
        <v/>
      </c>
      <c r="K1286">
        <f>SUMPRODUCT(Calc!$K$3:$K$22*(Calc!$G$3:$G$22&gt;A1286)*(Calc!$G$3:$G$22-A1286)*(Calc!$G$3:$G$22&gt;B1286)*(Calc!$G$3:$G$22-B1286))</f>
        <v/>
      </c>
      <c r="L1286">
        <f>SUMPRODUCT(Calc!$K$3:$K$22*(Calc!$G$3:$G$22&gt;A1286)*(Calc!$G$3:$G$22-A1286)*Calc!$G$3:$G$22)</f>
        <v/>
      </c>
      <c r="M1286">
        <f>SUMPRODUCT(Calc!$K$3:$K$22*(Calc!$G$3:$G$22&gt;B1286)*(Calc!$G$3:$G$22-B1286)*Calc!$G$3:$G$22)</f>
        <v/>
      </c>
      <c r="N1286">
        <f>SUMPRODUCT(Calc!$K$3:$K$22*(Calc!$G$3:$G$22&gt;A1286)*(Calc!$G$3:$G$22-A1286)*Calc!$I$3:$I$22)</f>
        <v/>
      </c>
      <c r="O1286">
        <f>SUMPRODUCT(Calc!$K$3:$K$22*(Calc!$G$3:$G$22&gt;B1286)*(Calc!$G$3:$G$22-B1286)*Calc!$I$3:$I$22)</f>
        <v/>
      </c>
      <c r="P1286">
        <f>I1286-G1286^2/k_n</f>
        <v/>
      </c>
      <c r="Q1286">
        <f>J1286-H1286^2/k_n</f>
        <v/>
      </c>
      <c r="R1286">
        <f>K1286-G1286*H1286/k_n</f>
        <v/>
      </c>
      <c r="S1286">
        <f>L1286-LTP3!$D$3*G1286/k_n</f>
        <v/>
      </c>
      <c r="T1286">
        <f>M1286-LTP3!$D$3*H1286/k_n</f>
        <v/>
      </c>
      <c r="U1286">
        <f>N1286-G1286*LTP3!$D$4/k_n</f>
        <v/>
      </c>
      <c r="V1286">
        <f>O1286-H1286*LTP3!$D$4/k_n</f>
        <v/>
      </c>
      <c r="W1286">
        <f>((LTP3!$D$5)*((P1286)*(Q1286)-(R1286)*(R1286))-(S1286)*((S1286)*(Q1286)-(R1286)*(T1286))+(T1286)*((S1286)*(R1286)-(P1286)*(T1286)))</f>
        <v/>
      </c>
      <c r="X1286">
        <f>IF(ABS(W1286)&gt;1E-12,((LTP3!$D$6)*((P1286)*(Q1286)-(R1286)*(R1286))-(S1286)*((U1286)*(Q1286)-(R1286)*(V1286))+(T1286)*((U1286)*(R1286)-(P1286)*(V1286)))/W1286,0)</f>
        <v/>
      </c>
      <c r="Y1286">
        <f>IF(ABS(W1286)&gt;1E-12,((LTP3!$D$5)*((U1286)*(Q1286)-(R1286)*(V1286))-(LTP3!$D$6)*((S1286)*(Q1286)-(R1286)*(T1286))+(T1286)*((S1286)*(V1286)-(U1286)*(T1286)))/W1286,0)</f>
        <v/>
      </c>
      <c r="Z1286">
        <f>IF(ABS(W1286)&gt;1E-12,((LTP3!$D$5)*((P1286)*(V1286)-(U1286)*(R1286))-(S1286)*((S1286)*(V1286)-(U1286)*(T1286))+(LTP3!$D$6)*((S1286)*(R1286)-(P1286)*(T1286)))/W1286,0)</f>
        <v/>
      </c>
      <c r="AA1286">
        <f>LTP3!$D$7-X1286*LTP3!$D$6-Y1286*U1286-Z1286*V1286</f>
        <v/>
      </c>
      <c r="AB1286">
        <f>IF(AND(F1286,ABS(W1286)&gt;1E-12,Y1286&gt;0,Z1286&gt;0),AA1286,1E+300)</f>
        <v/>
      </c>
    </row>
    <row r="1287">
      <c r="A1287">
        <f>$B$3+$B$5*20</f>
        <v/>
      </c>
      <c r="B1287">
        <f>$B$3+$B$5*55</f>
        <v/>
      </c>
      <c r="C1287">
        <f>SUMPRODUCT(Calc!$K$3:$K$22*(Calc!$G$3:$G$22&lt;=A1287))</f>
        <v/>
      </c>
      <c r="D1287">
        <f>SUMPRODUCT(Calc!$K$3:$K$22*(Calc!$G$3:$G$22&gt;A1287)*(Calc!$G$3:$G$22&lt;B1287))</f>
        <v/>
      </c>
      <c r="E1287">
        <f>SUMPRODUCT(Calc!$K$3:$K$22*(Calc!$G$3:$G$22&gt;=B1287))</f>
        <v/>
      </c>
      <c r="F1287">
        <f>AND(k_n&gt;=5,B1287&gt;A1287+1E-9,C1287&gt;=2,D1287&gt;=1,E1287&gt;=2)</f>
        <v/>
      </c>
      <c r="G1287">
        <f>SUMPRODUCT(Calc!$K$3:$K$22*(Calc!$G$3:$G$22&gt;A1287)*(Calc!$G$3:$G$22-A1287))</f>
        <v/>
      </c>
      <c r="H1287">
        <f>SUMPRODUCT(Calc!$K$3:$K$22*(Calc!$G$3:$G$22&gt;B1287)*(Calc!$G$3:$G$22-B1287))</f>
        <v/>
      </c>
      <c r="I1287">
        <f>SUMPRODUCT(Calc!$K$3:$K$22*(Calc!$G$3:$G$22&gt;A1287)*(Calc!$G$3:$G$22-A1287)^2)</f>
        <v/>
      </c>
      <c r="J1287">
        <f>SUMPRODUCT(Calc!$K$3:$K$22*(Calc!$G$3:$G$22&gt;B1287)*(Calc!$G$3:$G$22-B1287)^2)</f>
        <v/>
      </c>
      <c r="K1287">
        <f>SUMPRODUCT(Calc!$K$3:$K$22*(Calc!$G$3:$G$22&gt;A1287)*(Calc!$G$3:$G$22-A1287)*(Calc!$G$3:$G$22&gt;B1287)*(Calc!$G$3:$G$22-B1287))</f>
        <v/>
      </c>
      <c r="L1287">
        <f>SUMPRODUCT(Calc!$K$3:$K$22*(Calc!$G$3:$G$22&gt;A1287)*(Calc!$G$3:$G$22-A1287)*Calc!$G$3:$G$22)</f>
        <v/>
      </c>
      <c r="M1287">
        <f>SUMPRODUCT(Calc!$K$3:$K$22*(Calc!$G$3:$G$22&gt;B1287)*(Calc!$G$3:$G$22-B1287)*Calc!$G$3:$G$22)</f>
        <v/>
      </c>
      <c r="N1287">
        <f>SUMPRODUCT(Calc!$K$3:$K$22*(Calc!$G$3:$G$22&gt;A1287)*(Calc!$G$3:$G$22-A1287)*Calc!$I$3:$I$22)</f>
        <v/>
      </c>
      <c r="O1287">
        <f>SUMPRODUCT(Calc!$K$3:$K$22*(Calc!$G$3:$G$22&gt;B1287)*(Calc!$G$3:$G$22-B1287)*Calc!$I$3:$I$22)</f>
        <v/>
      </c>
      <c r="P1287">
        <f>I1287-G1287^2/k_n</f>
        <v/>
      </c>
      <c r="Q1287">
        <f>J1287-H1287^2/k_n</f>
        <v/>
      </c>
      <c r="R1287">
        <f>K1287-G1287*H1287/k_n</f>
        <v/>
      </c>
      <c r="S1287">
        <f>L1287-LTP3!$D$3*G1287/k_n</f>
        <v/>
      </c>
      <c r="T1287">
        <f>M1287-LTP3!$D$3*H1287/k_n</f>
        <v/>
      </c>
      <c r="U1287">
        <f>N1287-G1287*LTP3!$D$4/k_n</f>
        <v/>
      </c>
      <c r="V1287">
        <f>O1287-H1287*LTP3!$D$4/k_n</f>
        <v/>
      </c>
      <c r="W1287">
        <f>((LTP3!$D$5)*((P1287)*(Q1287)-(R1287)*(R1287))-(S1287)*((S1287)*(Q1287)-(R1287)*(T1287))+(T1287)*((S1287)*(R1287)-(P1287)*(T1287)))</f>
        <v/>
      </c>
      <c r="X1287">
        <f>IF(ABS(W1287)&gt;1E-12,((LTP3!$D$6)*((P1287)*(Q1287)-(R1287)*(R1287))-(S1287)*((U1287)*(Q1287)-(R1287)*(V1287))+(T1287)*((U1287)*(R1287)-(P1287)*(V1287)))/W1287,0)</f>
        <v/>
      </c>
      <c r="Y1287">
        <f>IF(ABS(W1287)&gt;1E-12,((LTP3!$D$5)*((U1287)*(Q1287)-(R1287)*(V1287))-(LTP3!$D$6)*((S1287)*(Q1287)-(R1287)*(T1287))+(T1287)*((S1287)*(V1287)-(U1287)*(T1287)))/W1287,0)</f>
        <v/>
      </c>
      <c r="Z1287">
        <f>IF(ABS(W1287)&gt;1E-12,((LTP3!$D$5)*((P1287)*(V1287)-(U1287)*(R1287))-(S1287)*((S1287)*(V1287)-(U1287)*(T1287))+(LTP3!$D$6)*((S1287)*(R1287)-(P1287)*(T1287)))/W1287,0)</f>
        <v/>
      </c>
      <c r="AA1287">
        <f>LTP3!$D$7-X1287*LTP3!$D$6-Y1287*U1287-Z1287*V1287</f>
        <v/>
      </c>
      <c r="AB1287">
        <f>IF(AND(F1287,ABS(W1287)&gt;1E-12,Y1287&gt;0,Z1287&gt;0),AA1287,1E+300)</f>
        <v/>
      </c>
    </row>
    <row r="1288">
      <c r="A1288">
        <f>$B$3+$B$5*20</f>
        <v/>
      </c>
      <c r="B1288">
        <f>$B$3+$B$5*56</f>
        <v/>
      </c>
      <c r="C1288">
        <f>SUMPRODUCT(Calc!$K$3:$K$22*(Calc!$G$3:$G$22&lt;=A1288))</f>
        <v/>
      </c>
      <c r="D1288">
        <f>SUMPRODUCT(Calc!$K$3:$K$22*(Calc!$G$3:$G$22&gt;A1288)*(Calc!$G$3:$G$22&lt;B1288))</f>
        <v/>
      </c>
      <c r="E1288">
        <f>SUMPRODUCT(Calc!$K$3:$K$22*(Calc!$G$3:$G$22&gt;=B1288))</f>
        <v/>
      </c>
      <c r="F1288">
        <f>AND(k_n&gt;=5,B1288&gt;A1288+1E-9,C1288&gt;=2,D1288&gt;=1,E1288&gt;=2)</f>
        <v/>
      </c>
      <c r="G1288">
        <f>SUMPRODUCT(Calc!$K$3:$K$22*(Calc!$G$3:$G$22&gt;A1288)*(Calc!$G$3:$G$22-A1288))</f>
        <v/>
      </c>
      <c r="H1288">
        <f>SUMPRODUCT(Calc!$K$3:$K$22*(Calc!$G$3:$G$22&gt;B1288)*(Calc!$G$3:$G$22-B1288))</f>
        <v/>
      </c>
      <c r="I1288">
        <f>SUMPRODUCT(Calc!$K$3:$K$22*(Calc!$G$3:$G$22&gt;A1288)*(Calc!$G$3:$G$22-A1288)^2)</f>
        <v/>
      </c>
      <c r="J1288">
        <f>SUMPRODUCT(Calc!$K$3:$K$22*(Calc!$G$3:$G$22&gt;B1288)*(Calc!$G$3:$G$22-B1288)^2)</f>
        <v/>
      </c>
      <c r="K1288">
        <f>SUMPRODUCT(Calc!$K$3:$K$22*(Calc!$G$3:$G$22&gt;A1288)*(Calc!$G$3:$G$22-A1288)*(Calc!$G$3:$G$22&gt;B1288)*(Calc!$G$3:$G$22-B1288))</f>
        <v/>
      </c>
      <c r="L1288">
        <f>SUMPRODUCT(Calc!$K$3:$K$22*(Calc!$G$3:$G$22&gt;A1288)*(Calc!$G$3:$G$22-A1288)*Calc!$G$3:$G$22)</f>
        <v/>
      </c>
      <c r="M1288">
        <f>SUMPRODUCT(Calc!$K$3:$K$22*(Calc!$G$3:$G$22&gt;B1288)*(Calc!$G$3:$G$22-B1288)*Calc!$G$3:$G$22)</f>
        <v/>
      </c>
      <c r="N1288">
        <f>SUMPRODUCT(Calc!$K$3:$K$22*(Calc!$G$3:$G$22&gt;A1288)*(Calc!$G$3:$G$22-A1288)*Calc!$I$3:$I$22)</f>
        <v/>
      </c>
      <c r="O1288">
        <f>SUMPRODUCT(Calc!$K$3:$K$22*(Calc!$G$3:$G$22&gt;B1288)*(Calc!$G$3:$G$22-B1288)*Calc!$I$3:$I$22)</f>
        <v/>
      </c>
      <c r="P1288">
        <f>I1288-G1288^2/k_n</f>
        <v/>
      </c>
      <c r="Q1288">
        <f>J1288-H1288^2/k_n</f>
        <v/>
      </c>
      <c r="R1288">
        <f>K1288-G1288*H1288/k_n</f>
        <v/>
      </c>
      <c r="S1288">
        <f>L1288-LTP3!$D$3*G1288/k_n</f>
        <v/>
      </c>
      <c r="T1288">
        <f>M1288-LTP3!$D$3*H1288/k_n</f>
        <v/>
      </c>
      <c r="U1288">
        <f>N1288-G1288*LTP3!$D$4/k_n</f>
        <v/>
      </c>
      <c r="V1288">
        <f>O1288-H1288*LTP3!$D$4/k_n</f>
        <v/>
      </c>
      <c r="W1288">
        <f>((LTP3!$D$5)*((P1288)*(Q1288)-(R1288)*(R1288))-(S1288)*((S1288)*(Q1288)-(R1288)*(T1288))+(T1288)*((S1288)*(R1288)-(P1288)*(T1288)))</f>
        <v/>
      </c>
      <c r="X1288">
        <f>IF(ABS(W1288)&gt;1E-12,((LTP3!$D$6)*((P1288)*(Q1288)-(R1288)*(R1288))-(S1288)*((U1288)*(Q1288)-(R1288)*(V1288))+(T1288)*((U1288)*(R1288)-(P1288)*(V1288)))/W1288,0)</f>
        <v/>
      </c>
      <c r="Y1288">
        <f>IF(ABS(W1288)&gt;1E-12,((LTP3!$D$5)*((U1288)*(Q1288)-(R1288)*(V1288))-(LTP3!$D$6)*((S1288)*(Q1288)-(R1288)*(T1288))+(T1288)*((S1288)*(V1288)-(U1288)*(T1288)))/W1288,0)</f>
        <v/>
      </c>
      <c r="Z1288">
        <f>IF(ABS(W1288)&gt;1E-12,((LTP3!$D$5)*((P1288)*(V1288)-(U1288)*(R1288))-(S1288)*((S1288)*(V1288)-(U1288)*(T1288))+(LTP3!$D$6)*((S1288)*(R1288)-(P1288)*(T1288)))/W1288,0)</f>
        <v/>
      </c>
      <c r="AA1288">
        <f>LTP3!$D$7-X1288*LTP3!$D$6-Y1288*U1288-Z1288*V1288</f>
        <v/>
      </c>
      <c r="AB1288">
        <f>IF(AND(F1288,ABS(W1288)&gt;1E-12,Y1288&gt;0,Z1288&gt;0),AA1288,1E+300)</f>
        <v/>
      </c>
    </row>
    <row r="1289">
      <c r="A1289">
        <f>$B$3+$B$5*20</f>
        <v/>
      </c>
      <c r="B1289">
        <f>$B$3+$B$5*57</f>
        <v/>
      </c>
      <c r="C1289">
        <f>SUMPRODUCT(Calc!$K$3:$K$22*(Calc!$G$3:$G$22&lt;=A1289))</f>
        <v/>
      </c>
      <c r="D1289">
        <f>SUMPRODUCT(Calc!$K$3:$K$22*(Calc!$G$3:$G$22&gt;A1289)*(Calc!$G$3:$G$22&lt;B1289))</f>
        <v/>
      </c>
      <c r="E1289">
        <f>SUMPRODUCT(Calc!$K$3:$K$22*(Calc!$G$3:$G$22&gt;=B1289))</f>
        <v/>
      </c>
      <c r="F1289">
        <f>AND(k_n&gt;=5,B1289&gt;A1289+1E-9,C1289&gt;=2,D1289&gt;=1,E1289&gt;=2)</f>
        <v/>
      </c>
      <c r="G1289">
        <f>SUMPRODUCT(Calc!$K$3:$K$22*(Calc!$G$3:$G$22&gt;A1289)*(Calc!$G$3:$G$22-A1289))</f>
        <v/>
      </c>
      <c r="H1289">
        <f>SUMPRODUCT(Calc!$K$3:$K$22*(Calc!$G$3:$G$22&gt;B1289)*(Calc!$G$3:$G$22-B1289))</f>
        <v/>
      </c>
      <c r="I1289">
        <f>SUMPRODUCT(Calc!$K$3:$K$22*(Calc!$G$3:$G$22&gt;A1289)*(Calc!$G$3:$G$22-A1289)^2)</f>
        <v/>
      </c>
      <c r="J1289">
        <f>SUMPRODUCT(Calc!$K$3:$K$22*(Calc!$G$3:$G$22&gt;B1289)*(Calc!$G$3:$G$22-B1289)^2)</f>
        <v/>
      </c>
      <c r="K1289">
        <f>SUMPRODUCT(Calc!$K$3:$K$22*(Calc!$G$3:$G$22&gt;A1289)*(Calc!$G$3:$G$22-A1289)*(Calc!$G$3:$G$22&gt;B1289)*(Calc!$G$3:$G$22-B1289))</f>
        <v/>
      </c>
      <c r="L1289">
        <f>SUMPRODUCT(Calc!$K$3:$K$22*(Calc!$G$3:$G$22&gt;A1289)*(Calc!$G$3:$G$22-A1289)*Calc!$G$3:$G$22)</f>
        <v/>
      </c>
      <c r="M1289">
        <f>SUMPRODUCT(Calc!$K$3:$K$22*(Calc!$G$3:$G$22&gt;B1289)*(Calc!$G$3:$G$22-B1289)*Calc!$G$3:$G$22)</f>
        <v/>
      </c>
      <c r="N1289">
        <f>SUMPRODUCT(Calc!$K$3:$K$22*(Calc!$G$3:$G$22&gt;A1289)*(Calc!$G$3:$G$22-A1289)*Calc!$I$3:$I$22)</f>
        <v/>
      </c>
      <c r="O1289">
        <f>SUMPRODUCT(Calc!$K$3:$K$22*(Calc!$G$3:$G$22&gt;B1289)*(Calc!$G$3:$G$22-B1289)*Calc!$I$3:$I$22)</f>
        <v/>
      </c>
      <c r="P1289">
        <f>I1289-G1289^2/k_n</f>
        <v/>
      </c>
      <c r="Q1289">
        <f>J1289-H1289^2/k_n</f>
        <v/>
      </c>
      <c r="R1289">
        <f>K1289-G1289*H1289/k_n</f>
        <v/>
      </c>
      <c r="S1289">
        <f>L1289-LTP3!$D$3*G1289/k_n</f>
        <v/>
      </c>
      <c r="T1289">
        <f>M1289-LTP3!$D$3*H1289/k_n</f>
        <v/>
      </c>
      <c r="U1289">
        <f>N1289-G1289*LTP3!$D$4/k_n</f>
        <v/>
      </c>
      <c r="V1289">
        <f>O1289-H1289*LTP3!$D$4/k_n</f>
        <v/>
      </c>
      <c r="W1289">
        <f>((LTP3!$D$5)*((P1289)*(Q1289)-(R1289)*(R1289))-(S1289)*((S1289)*(Q1289)-(R1289)*(T1289))+(T1289)*((S1289)*(R1289)-(P1289)*(T1289)))</f>
        <v/>
      </c>
      <c r="X1289">
        <f>IF(ABS(W1289)&gt;1E-12,((LTP3!$D$6)*((P1289)*(Q1289)-(R1289)*(R1289))-(S1289)*((U1289)*(Q1289)-(R1289)*(V1289))+(T1289)*((U1289)*(R1289)-(P1289)*(V1289)))/W1289,0)</f>
        <v/>
      </c>
      <c r="Y1289">
        <f>IF(ABS(W1289)&gt;1E-12,((LTP3!$D$5)*((U1289)*(Q1289)-(R1289)*(V1289))-(LTP3!$D$6)*((S1289)*(Q1289)-(R1289)*(T1289))+(T1289)*((S1289)*(V1289)-(U1289)*(T1289)))/W1289,0)</f>
        <v/>
      </c>
      <c r="Z1289">
        <f>IF(ABS(W1289)&gt;1E-12,((LTP3!$D$5)*((P1289)*(V1289)-(U1289)*(R1289))-(S1289)*((S1289)*(V1289)-(U1289)*(T1289))+(LTP3!$D$6)*((S1289)*(R1289)-(P1289)*(T1289)))/W1289,0)</f>
        <v/>
      </c>
      <c r="AA1289">
        <f>LTP3!$D$7-X1289*LTP3!$D$6-Y1289*U1289-Z1289*V1289</f>
        <v/>
      </c>
      <c r="AB1289">
        <f>IF(AND(F1289,ABS(W1289)&gt;1E-12,Y1289&gt;0,Z1289&gt;0),AA1289,1E+300)</f>
        <v/>
      </c>
    </row>
    <row r="1290">
      <c r="A1290">
        <f>$B$3+$B$5*20</f>
        <v/>
      </c>
      <c r="B1290">
        <f>$B$3+$B$5*58</f>
        <v/>
      </c>
      <c r="C1290">
        <f>SUMPRODUCT(Calc!$K$3:$K$22*(Calc!$G$3:$G$22&lt;=A1290))</f>
        <v/>
      </c>
      <c r="D1290">
        <f>SUMPRODUCT(Calc!$K$3:$K$22*(Calc!$G$3:$G$22&gt;A1290)*(Calc!$G$3:$G$22&lt;B1290))</f>
        <v/>
      </c>
      <c r="E1290">
        <f>SUMPRODUCT(Calc!$K$3:$K$22*(Calc!$G$3:$G$22&gt;=B1290))</f>
        <v/>
      </c>
      <c r="F1290">
        <f>AND(k_n&gt;=5,B1290&gt;A1290+1E-9,C1290&gt;=2,D1290&gt;=1,E1290&gt;=2)</f>
        <v/>
      </c>
      <c r="G1290">
        <f>SUMPRODUCT(Calc!$K$3:$K$22*(Calc!$G$3:$G$22&gt;A1290)*(Calc!$G$3:$G$22-A1290))</f>
        <v/>
      </c>
      <c r="H1290">
        <f>SUMPRODUCT(Calc!$K$3:$K$22*(Calc!$G$3:$G$22&gt;B1290)*(Calc!$G$3:$G$22-B1290))</f>
        <v/>
      </c>
      <c r="I1290">
        <f>SUMPRODUCT(Calc!$K$3:$K$22*(Calc!$G$3:$G$22&gt;A1290)*(Calc!$G$3:$G$22-A1290)^2)</f>
        <v/>
      </c>
      <c r="J1290">
        <f>SUMPRODUCT(Calc!$K$3:$K$22*(Calc!$G$3:$G$22&gt;B1290)*(Calc!$G$3:$G$22-B1290)^2)</f>
        <v/>
      </c>
      <c r="K1290">
        <f>SUMPRODUCT(Calc!$K$3:$K$22*(Calc!$G$3:$G$22&gt;A1290)*(Calc!$G$3:$G$22-A1290)*(Calc!$G$3:$G$22&gt;B1290)*(Calc!$G$3:$G$22-B1290))</f>
        <v/>
      </c>
      <c r="L1290">
        <f>SUMPRODUCT(Calc!$K$3:$K$22*(Calc!$G$3:$G$22&gt;A1290)*(Calc!$G$3:$G$22-A1290)*Calc!$G$3:$G$22)</f>
        <v/>
      </c>
      <c r="M1290">
        <f>SUMPRODUCT(Calc!$K$3:$K$22*(Calc!$G$3:$G$22&gt;B1290)*(Calc!$G$3:$G$22-B1290)*Calc!$G$3:$G$22)</f>
        <v/>
      </c>
      <c r="N1290">
        <f>SUMPRODUCT(Calc!$K$3:$K$22*(Calc!$G$3:$G$22&gt;A1290)*(Calc!$G$3:$G$22-A1290)*Calc!$I$3:$I$22)</f>
        <v/>
      </c>
      <c r="O1290">
        <f>SUMPRODUCT(Calc!$K$3:$K$22*(Calc!$G$3:$G$22&gt;B1290)*(Calc!$G$3:$G$22-B1290)*Calc!$I$3:$I$22)</f>
        <v/>
      </c>
      <c r="P1290">
        <f>I1290-G1290^2/k_n</f>
        <v/>
      </c>
      <c r="Q1290">
        <f>J1290-H1290^2/k_n</f>
        <v/>
      </c>
      <c r="R1290">
        <f>K1290-G1290*H1290/k_n</f>
        <v/>
      </c>
      <c r="S1290">
        <f>L1290-LTP3!$D$3*G1290/k_n</f>
        <v/>
      </c>
      <c r="T1290">
        <f>M1290-LTP3!$D$3*H1290/k_n</f>
        <v/>
      </c>
      <c r="U1290">
        <f>N1290-G1290*LTP3!$D$4/k_n</f>
        <v/>
      </c>
      <c r="V1290">
        <f>O1290-H1290*LTP3!$D$4/k_n</f>
        <v/>
      </c>
      <c r="W1290">
        <f>((LTP3!$D$5)*((P1290)*(Q1290)-(R1290)*(R1290))-(S1290)*((S1290)*(Q1290)-(R1290)*(T1290))+(T1290)*((S1290)*(R1290)-(P1290)*(T1290)))</f>
        <v/>
      </c>
      <c r="X1290">
        <f>IF(ABS(W1290)&gt;1E-12,((LTP3!$D$6)*((P1290)*(Q1290)-(R1290)*(R1290))-(S1290)*((U1290)*(Q1290)-(R1290)*(V1290))+(T1290)*((U1290)*(R1290)-(P1290)*(V1290)))/W1290,0)</f>
        <v/>
      </c>
      <c r="Y1290">
        <f>IF(ABS(W1290)&gt;1E-12,((LTP3!$D$5)*((U1290)*(Q1290)-(R1290)*(V1290))-(LTP3!$D$6)*((S1290)*(Q1290)-(R1290)*(T1290))+(T1290)*((S1290)*(V1290)-(U1290)*(T1290)))/W1290,0)</f>
        <v/>
      </c>
      <c r="Z1290">
        <f>IF(ABS(W1290)&gt;1E-12,((LTP3!$D$5)*((P1290)*(V1290)-(U1290)*(R1290))-(S1290)*((S1290)*(V1290)-(U1290)*(T1290))+(LTP3!$D$6)*((S1290)*(R1290)-(P1290)*(T1290)))/W1290,0)</f>
        <v/>
      </c>
      <c r="AA1290">
        <f>LTP3!$D$7-X1290*LTP3!$D$6-Y1290*U1290-Z1290*V1290</f>
        <v/>
      </c>
      <c r="AB1290">
        <f>IF(AND(F1290,ABS(W1290)&gt;1E-12,Y1290&gt;0,Z1290&gt;0),AA1290,1E+300)</f>
        <v/>
      </c>
    </row>
    <row r="1291">
      <c r="A1291">
        <f>$B$3+$B$5*20</f>
        <v/>
      </c>
      <c r="B1291">
        <f>$B$3+$B$5*59</f>
        <v/>
      </c>
      <c r="C1291">
        <f>SUMPRODUCT(Calc!$K$3:$K$22*(Calc!$G$3:$G$22&lt;=A1291))</f>
        <v/>
      </c>
      <c r="D1291">
        <f>SUMPRODUCT(Calc!$K$3:$K$22*(Calc!$G$3:$G$22&gt;A1291)*(Calc!$G$3:$G$22&lt;B1291))</f>
        <v/>
      </c>
      <c r="E1291">
        <f>SUMPRODUCT(Calc!$K$3:$K$22*(Calc!$G$3:$G$22&gt;=B1291))</f>
        <v/>
      </c>
      <c r="F1291">
        <f>AND(k_n&gt;=5,B1291&gt;A1291+1E-9,C1291&gt;=2,D1291&gt;=1,E1291&gt;=2)</f>
        <v/>
      </c>
      <c r="G1291">
        <f>SUMPRODUCT(Calc!$K$3:$K$22*(Calc!$G$3:$G$22&gt;A1291)*(Calc!$G$3:$G$22-A1291))</f>
        <v/>
      </c>
      <c r="H1291">
        <f>SUMPRODUCT(Calc!$K$3:$K$22*(Calc!$G$3:$G$22&gt;B1291)*(Calc!$G$3:$G$22-B1291))</f>
        <v/>
      </c>
      <c r="I1291">
        <f>SUMPRODUCT(Calc!$K$3:$K$22*(Calc!$G$3:$G$22&gt;A1291)*(Calc!$G$3:$G$22-A1291)^2)</f>
        <v/>
      </c>
      <c r="J1291">
        <f>SUMPRODUCT(Calc!$K$3:$K$22*(Calc!$G$3:$G$22&gt;B1291)*(Calc!$G$3:$G$22-B1291)^2)</f>
        <v/>
      </c>
      <c r="K1291">
        <f>SUMPRODUCT(Calc!$K$3:$K$22*(Calc!$G$3:$G$22&gt;A1291)*(Calc!$G$3:$G$22-A1291)*(Calc!$G$3:$G$22&gt;B1291)*(Calc!$G$3:$G$22-B1291))</f>
        <v/>
      </c>
      <c r="L1291">
        <f>SUMPRODUCT(Calc!$K$3:$K$22*(Calc!$G$3:$G$22&gt;A1291)*(Calc!$G$3:$G$22-A1291)*Calc!$G$3:$G$22)</f>
        <v/>
      </c>
      <c r="M1291">
        <f>SUMPRODUCT(Calc!$K$3:$K$22*(Calc!$G$3:$G$22&gt;B1291)*(Calc!$G$3:$G$22-B1291)*Calc!$G$3:$G$22)</f>
        <v/>
      </c>
      <c r="N1291">
        <f>SUMPRODUCT(Calc!$K$3:$K$22*(Calc!$G$3:$G$22&gt;A1291)*(Calc!$G$3:$G$22-A1291)*Calc!$I$3:$I$22)</f>
        <v/>
      </c>
      <c r="O1291">
        <f>SUMPRODUCT(Calc!$K$3:$K$22*(Calc!$G$3:$G$22&gt;B1291)*(Calc!$G$3:$G$22-B1291)*Calc!$I$3:$I$22)</f>
        <v/>
      </c>
      <c r="P1291">
        <f>I1291-G1291^2/k_n</f>
        <v/>
      </c>
      <c r="Q1291">
        <f>J1291-H1291^2/k_n</f>
        <v/>
      </c>
      <c r="R1291">
        <f>K1291-G1291*H1291/k_n</f>
        <v/>
      </c>
      <c r="S1291">
        <f>L1291-LTP3!$D$3*G1291/k_n</f>
        <v/>
      </c>
      <c r="T1291">
        <f>M1291-LTP3!$D$3*H1291/k_n</f>
        <v/>
      </c>
      <c r="U1291">
        <f>N1291-G1291*LTP3!$D$4/k_n</f>
        <v/>
      </c>
      <c r="V1291">
        <f>O1291-H1291*LTP3!$D$4/k_n</f>
        <v/>
      </c>
      <c r="W1291">
        <f>((LTP3!$D$5)*((P1291)*(Q1291)-(R1291)*(R1291))-(S1291)*((S1291)*(Q1291)-(R1291)*(T1291))+(T1291)*((S1291)*(R1291)-(P1291)*(T1291)))</f>
        <v/>
      </c>
      <c r="X1291">
        <f>IF(ABS(W1291)&gt;1E-12,((LTP3!$D$6)*((P1291)*(Q1291)-(R1291)*(R1291))-(S1291)*((U1291)*(Q1291)-(R1291)*(V1291))+(T1291)*((U1291)*(R1291)-(P1291)*(V1291)))/W1291,0)</f>
        <v/>
      </c>
      <c r="Y1291">
        <f>IF(ABS(W1291)&gt;1E-12,((LTP3!$D$5)*((U1291)*(Q1291)-(R1291)*(V1291))-(LTP3!$D$6)*((S1291)*(Q1291)-(R1291)*(T1291))+(T1291)*((S1291)*(V1291)-(U1291)*(T1291)))/W1291,0)</f>
        <v/>
      </c>
      <c r="Z1291">
        <f>IF(ABS(W1291)&gt;1E-12,((LTP3!$D$5)*((P1291)*(V1291)-(U1291)*(R1291))-(S1291)*((S1291)*(V1291)-(U1291)*(T1291))+(LTP3!$D$6)*((S1291)*(R1291)-(P1291)*(T1291)))/W1291,0)</f>
        <v/>
      </c>
      <c r="AA1291">
        <f>LTP3!$D$7-X1291*LTP3!$D$6-Y1291*U1291-Z1291*V1291</f>
        <v/>
      </c>
      <c r="AB1291">
        <f>IF(AND(F1291,ABS(W1291)&gt;1E-12,Y1291&gt;0,Z1291&gt;0),AA1291,1E+300)</f>
        <v/>
      </c>
    </row>
    <row r="1292">
      <c r="A1292">
        <f>$B$3+$B$5*20</f>
        <v/>
      </c>
      <c r="B1292">
        <f>$B$3+$B$5*60</f>
        <v/>
      </c>
      <c r="C1292">
        <f>SUMPRODUCT(Calc!$K$3:$K$22*(Calc!$G$3:$G$22&lt;=A1292))</f>
        <v/>
      </c>
      <c r="D1292">
        <f>SUMPRODUCT(Calc!$K$3:$K$22*(Calc!$G$3:$G$22&gt;A1292)*(Calc!$G$3:$G$22&lt;B1292))</f>
        <v/>
      </c>
      <c r="E1292">
        <f>SUMPRODUCT(Calc!$K$3:$K$22*(Calc!$G$3:$G$22&gt;=B1292))</f>
        <v/>
      </c>
      <c r="F1292">
        <f>AND(k_n&gt;=5,B1292&gt;A1292+1E-9,C1292&gt;=2,D1292&gt;=1,E1292&gt;=2)</f>
        <v/>
      </c>
      <c r="G1292">
        <f>SUMPRODUCT(Calc!$K$3:$K$22*(Calc!$G$3:$G$22&gt;A1292)*(Calc!$G$3:$G$22-A1292))</f>
        <v/>
      </c>
      <c r="H1292">
        <f>SUMPRODUCT(Calc!$K$3:$K$22*(Calc!$G$3:$G$22&gt;B1292)*(Calc!$G$3:$G$22-B1292))</f>
        <v/>
      </c>
      <c r="I1292">
        <f>SUMPRODUCT(Calc!$K$3:$K$22*(Calc!$G$3:$G$22&gt;A1292)*(Calc!$G$3:$G$22-A1292)^2)</f>
        <v/>
      </c>
      <c r="J1292">
        <f>SUMPRODUCT(Calc!$K$3:$K$22*(Calc!$G$3:$G$22&gt;B1292)*(Calc!$G$3:$G$22-B1292)^2)</f>
        <v/>
      </c>
      <c r="K1292">
        <f>SUMPRODUCT(Calc!$K$3:$K$22*(Calc!$G$3:$G$22&gt;A1292)*(Calc!$G$3:$G$22-A1292)*(Calc!$G$3:$G$22&gt;B1292)*(Calc!$G$3:$G$22-B1292))</f>
        <v/>
      </c>
      <c r="L1292">
        <f>SUMPRODUCT(Calc!$K$3:$K$22*(Calc!$G$3:$G$22&gt;A1292)*(Calc!$G$3:$G$22-A1292)*Calc!$G$3:$G$22)</f>
        <v/>
      </c>
      <c r="M1292">
        <f>SUMPRODUCT(Calc!$K$3:$K$22*(Calc!$G$3:$G$22&gt;B1292)*(Calc!$G$3:$G$22-B1292)*Calc!$G$3:$G$22)</f>
        <v/>
      </c>
      <c r="N1292">
        <f>SUMPRODUCT(Calc!$K$3:$K$22*(Calc!$G$3:$G$22&gt;A1292)*(Calc!$G$3:$G$22-A1292)*Calc!$I$3:$I$22)</f>
        <v/>
      </c>
      <c r="O1292">
        <f>SUMPRODUCT(Calc!$K$3:$K$22*(Calc!$G$3:$G$22&gt;B1292)*(Calc!$G$3:$G$22-B1292)*Calc!$I$3:$I$22)</f>
        <v/>
      </c>
      <c r="P1292">
        <f>I1292-G1292^2/k_n</f>
        <v/>
      </c>
      <c r="Q1292">
        <f>J1292-H1292^2/k_n</f>
        <v/>
      </c>
      <c r="R1292">
        <f>K1292-G1292*H1292/k_n</f>
        <v/>
      </c>
      <c r="S1292">
        <f>L1292-LTP3!$D$3*G1292/k_n</f>
        <v/>
      </c>
      <c r="T1292">
        <f>M1292-LTP3!$D$3*H1292/k_n</f>
        <v/>
      </c>
      <c r="U1292">
        <f>N1292-G1292*LTP3!$D$4/k_n</f>
        <v/>
      </c>
      <c r="V1292">
        <f>O1292-H1292*LTP3!$D$4/k_n</f>
        <v/>
      </c>
      <c r="W1292">
        <f>((LTP3!$D$5)*((P1292)*(Q1292)-(R1292)*(R1292))-(S1292)*((S1292)*(Q1292)-(R1292)*(T1292))+(T1292)*((S1292)*(R1292)-(P1292)*(T1292)))</f>
        <v/>
      </c>
      <c r="X1292">
        <f>IF(ABS(W1292)&gt;1E-12,((LTP3!$D$6)*((P1292)*(Q1292)-(R1292)*(R1292))-(S1292)*((U1292)*(Q1292)-(R1292)*(V1292))+(T1292)*((U1292)*(R1292)-(P1292)*(V1292)))/W1292,0)</f>
        <v/>
      </c>
      <c r="Y1292">
        <f>IF(ABS(W1292)&gt;1E-12,((LTP3!$D$5)*((U1292)*(Q1292)-(R1292)*(V1292))-(LTP3!$D$6)*((S1292)*(Q1292)-(R1292)*(T1292))+(T1292)*((S1292)*(V1292)-(U1292)*(T1292)))/W1292,0)</f>
        <v/>
      </c>
      <c r="Z1292">
        <f>IF(ABS(W1292)&gt;1E-12,((LTP3!$D$5)*((P1292)*(V1292)-(U1292)*(R1292))-(S1292)*((S1292)*(V1292)-(U1292)*(T1292))+(LTP3!$D$6)*((S1292)*(R1292)-(P1292)*(T1292)))/W1292,0)</f>
        <v/>
      </c>
      <c r="AA1292">
        <f>LTP3!$D$7-X1292*LTP3!$D$6-Y1292*U1292-Z1292*V1292</f>
        <v/>
      </c>
      <c r="AB1292">
        <f>IF(AND(F1292,ABS(W1292)&gt;1E-12,Y1292&gt;0,Z1292&gt;0),AA1292,1E+300)</f>
        <v/>
      </c>
    </row>
    <row r="1293">
      <c r="A1293">
        <f>$B$3+$B$5*21</f>
        <v/>
      </c>
      <c r="B1293">
        <f>$B$3+$B$5*0</f>
        <v/>
      </c>
      <c r="C1293">
        <f>SUMPRODUCT(Calc!$K$3:$K$22*(Calc!$G$3:$G$22&lt;=A1293))</f>
        <v/>
      </c>
      <c r="D1293">
        <f>SUMPRODUCT(Calc!$K$3:$K$22*(Calc!$G$3:$G$22&gt;A1293)*(Calc!$G$3:$G$22&lt;B1293))</f>
        <v/>
      </c>
      <c r="E1293">
        <f>SUMPRODUCT(Calc!$K$3:$K$22*(Calc!$G$3:$G$22&gt;=B1293))</f>
        <v/>
      </c>
      <c r="F1293">
        <f>AND(k_n&gt;=5,B1293&gt;A1293+1E-9,C1293&gt;=2,D1293&gt;=1,E1293&gt;=2)</f>
        <v/>
      </c>
      <c r="G1293">
        <f>SUMPRODUCT(Calc!$K$3:$K$22*(Calc!$G$3:$G$22&gt;A1293)*(Calc!$G$3:$G$22-A1293))</f>
        <v/>
      </c>
      <c r="H1293">
        <f>SUMPRODUCT(Calc!$K$3:$K$22*(Calc!$G$3:$G$22&gt;B1293)*(Calc!$G$3:$G$22-B1293))</f>
        <v/>
      </c>
      <c r="I1293">
        <f>SUMPRODUCT(Calc!$K$3:$K$22*(Calc!$G$3:$G$22&gt;A1293)*(Calc!$G$3:$G$22-A1293)^2)</f>
        <v/>
      </c>
      <c r="J1293">
        <f>SUMPRODUCT(Calc!$K$3:$K$22*(Calc!$G$3:$G$22&gt;B1293)*(Calc!$G$3:$G$22-B1293)^2)</f>
        <v/>
      </c>
      <c r="K1293">
        <f>SUMPRODUCT(Calc!$K$3:$K$22*(Calc!$G$3:$G$22&gt;A1293)*(Calc!$G$3:$G$22-A1293)*(Calc!$G$3:$G$22&gt;B1293)*(Calc!$G$3:$G$22-B1293))</f>
        <v/>
      </c>
      <c r="L1293">
        <f>SUMPRODUCT(Calc!$K$3:$K$22*(Calc!$G$3:$G$22&gt;A1293)*(Calc!$G$3:$G$22-A1293)*Calc!$G$3:$G$22)</f>
        <v/>
      </c>
      <c r="M1293">
        <f>SUMPRODUCT(Calc!$K$3:$K$22*(Calc!$G$3:$G$22&gt;B1293)*(Calc!$G$3:$G$22-B1293)*Calc!$G$3:$G$22)</f>
        <v/>
      </c>
      <c r="N1293">
        <f>SUMPRODUCT(Calc!$K$3:$K$22*(Calc!$G$3:$G$22&gt;A1293)*(Calc!$G$3:$G$22-A1293)*Calc!$I$3:$I$22)</f>
        <v/>
      </c>
      <c r="O1293">
        <f>SUMPRODUCT(Calc!$K$3:$K$22*(Calc!$G$3:$G$22&gt;B1293)*(Calc!$G$3:$G$22-B1293)*Calc!$I$3:$I$22)</f>
        <v/>
      </c>
      <c r="P1293">
        <f>I1293-G1293^2/k_n</f>
        <v/>
      </c>
      <c r="Q1293">
        <f>J1293-H1293^2/k_n</f>
        <v/>
      </c>
      <c r="R1293">
        <f>K1293-G1293*H1293/k_n</f>
        <v/>
      </c>
      <c r="S1293">
        <f>L1293-LTP3!$D$3*G1293/k_n</f>
        <v/>
      </c>
      <c r="T1293">
        <f>M1293-LTP3!$D$3*H1293/k_n</f>
        <v/>
      </c>
      <c r="U1293">
        <f>N1293-G1293*LTP3!$D$4/k_n</f>
        <v/>
      </c>
      <c r="V1293">
        <f>O1293-H1293*LTP3!$D$4/k_n</f>
        <v/>
      </c>
      <c r="W1293">
        <f>((LTP3!$D$5)*((P1293)*(Q1293)-(R1293)*(R1293))-(S1293)*((S1293)*(Q1293)-(R1293)*(T1293))+(T1293)*((S1293)*(R1293)-(P1293)*(T1293)))</f>
        <v/>
      </c>
      <c r="X1293">
        <f>IF(ABS(W1293)&gt;1E-12,((LTP3!$D$6)*((P1293)*(Q1293)-(R1293)*(R1293))-(S1293)*((U1293)*(Q1293)-(R1293)*(V1293))+(T1293)*((U1293)*(R1293)-(P1293)*(V1293)))/W1293,0)</f>
        <v/>
      </c>
      <c r="Y1293">
        <f>IF(ABS(W1293)&gt;1E-12,((LTP3!$D$5)*((U1293)*(Q1293)-(R1293)*(V1293))-(LTP3!$D$6)*((S1293)*(Q1293)-(R1293)*(T1293))+(T1293)*((S1293)*(V1293)-(U1293)*(T1293)))/W1293,0)</f>
        <v/>
      </c>
      <c r="Z1293">
        <f>IF(ABS(W1293)&gt;1E-12,((LTP3!$D$5)*((P1293)*(V1293)-(U1293)*(R1293))-(S1293)*((S1293)*(V1293)-(U1293)*(T1293))+(LTP3!$D$6)*((S1293)*(R1293)-(P1293)*(T1293)))/W1293,0)</f>
        <v/>
      </c>
      <c r="AA1293">
        <f>LTP3!$D$7-X1293*LTP3!$D$6-Y1293*U1293-Z1293*V1293</f>
        <v/>
      </c>
      <c r="AB1293">
        <f>IF(AND(F1293,ABS(W1293)&gt;1E-12,Y1293&gt;0,Z1293&gt;0),AA1293,1E+300)</f>
        <v/>
      </c>
    </row>
    <row r="1294">
      <c r="A1294">
        <f>$B$3+$B$5*21</f>
        <v/>
      </c>
      <c r="B1294">
        <f>$B$3+$B$5*1</f>
        <v/>
      </c>
      <c r="C1294">
        <f>SUMPRODUCT(Calc!$K$3:$K$22*(Calc!$G$3:$G$22&lt;=A1294))</f>
        <v/>
      </c>
      <c r="D1294">
        <f>SUMPRODUCT(Calc!$K$3:$K$22*(Calc!$G$3:$G$22&gt;A1294)*(Calc!$G$3:$G$22&lt;B1294))</f>
        <v/>
      </c>
      <c r="E1294">
        <f>SUMPRODUCT(Calc!$K$3:$K$22*(Calc!$G$3:$G$22&gt;=B1294))</f>
        <v/>
      </c>
      <c r="F1294">
        <f>AND(k_n&gt;=5,B1294&gt;A1294+1E-9,C1294&gt;=2,D1294&gt;=1,E1294&gt;=2)</f>
        <v/>
      </c>
      <c r="G1294">
        <f>SUMPRODUCT(Calc!$K$3:$K$22*(Calc!$G$3:$G$22&gt;A1294)*(Calc!$G$3:$G$22-A1294))</f>
        <v/>
      </c>
      <c r="H1294">
        <f>SUMPRODUCT(Calc!$K$3:$K$22*(Calc!$G$3:$G$22&gt;B1294)*(Calc!$G$3:$G$22-B1294))</f>
        <v/>
      </c>
      <c r="I1294">
        <f>SUMPRODUCT(Calc!$K$3:$K$22*(Calc!$G$3:$G$22&gt;A1294)*(Calc!$G$3:$G$22-A1294)^2)</f>
        <v/>
      </c>
      <c r="J1294">
        <f>SUMPRODUCT(Calc!$K$3:$K$22*(Calc!$G$3:$G$22&gt;B1294)*(Calc!$G$3:$G$22-B1294)^2)</f>
        <v/>
      </c>
      <c r="K1294">
        <f>SUMPRODUCT(Calc!$K$3:$K$22*(Calc!$G$3:$G$22&gt;A1294)*(Calc!$G$3:$G$22-A1294)*(Calc!$G$3:$G$22&gt;B1294)*(Calc!$G$3:$G$22-B1294))</f>
        <v/>
      </c>
      <c r="L1294">
        <f>SUMPRODUCT(Calc!$K$3:$K$22*(Calc!$G$3:$G$22&gt;A1294)*(Calc!$G$3:$G$22-A1294)*Calc!$G$3:$G$22)</f>
        <v/>
      </c>
      <c r="M1294">
        <f>SUMPRODUCT(Calc!$K$3:$K$22*(Calc!$G$3:$G$22&gt;B1294)*(Calc!$G$3:$G$22-B1294)*Calc!$G$3:$G$22)</f>
        <v/>
      </c>
      <c r="N1294">
        <f>SUMPRODUCT(Calc!$K$3:$K$22*(Calc!$G$3:$G$22&gt;A1294)*(Calc!$G$3:$G$22-A1294)*Calc!$I$3:$I$22)</f>
        <v/>
      </c>
      <c r="O1294">
        <f>SUMPRODUCT(Calc!$K$3:$K$22*(Calc!$G$3:$G$22&gt;B1294)*(Calc!$G$3:$G$22-B1294)*Calc!$I$3:$I$22)</f>
        <v/>
      </c>
      <c r="P1294">
        <f>I1294-G1294^2/k_n</f>
        <v/>
      </c>
      <c r="Q1294">
        <f>J1294-H1294^2/k_n</f>
        <v/>
      </c>
      <c r="R1294">
        <f>K1294-G1294*H1294/k_n</f>
        <v/>
      </c>
      <c r="S1294">
        <f>L1294-LTP3!$D$3*G1294/k_n</f>
        <v/>
      </c>
      <c r="T1294">
        <f>M1294-LTP3!$D$3*H1294/k_n</f>
        <v/>
      </c>
      <c r="U1294">
        <f>N1294-G1294*LTP3!$D$4/k_n</f>
        <v/>
      </c>
      <c r="V1294">
        <f>O1294-H1294*LTP3!$D$4/k_n</f>
        <v/>
      </c>
      <c r="W1294">
        <f>((LTP3!$D$5)*((P1294)*(Q1294)-(R1294)*(R1294))-(S1294)*((S1294)*(Q1294)-(R1294)*(T1294))+(T1294)*((S1294)*(R1294)-(P1294)*(T1294)))</f>
        <v/>
      </c>
      <c r="X1294">
        <f>IF(ABS(W1294)&gt;1E-12,((LTP3!$D$6)*((P1294)*(Q1294)-(R1294)*(R1294))-(S1294)*((U1294)*(Q1294)-(R1294)*(V1294))+(T1294)*((U1294)*(R1294)-(P1294)*(V1294)))/W1294,0)</f>
        <v/>
      </c>
      <c r="Y1294">
        <f>IF(ABS(W1294)&gt;1E-12,((LTP3!$D$5)*((U1294)*(Q1294)-(R1294)*(V1294))-(LTP3!$D$6)*((S1294)*(Q1294)-(R1294)*(T1294))+(T1294)*((S1294)*(V1294)-(U1294)*(T1294)))/W1294,0)</f>
        <v/>
      </c>
      <c r="Z1294">
        <f>IF(ABS(W1294)&gt;1E-12,((LTP3!$D$5)*((P1294)*(V1294)-(U1294)*(R1294))-(S1294)*((S1294)*(V1294)-(U1294)*(T1294))+(LTP3!$D$6)*((S1294)*(R1294)-(P1294)*(T1294)))/W1294,0)</f>
        <v/>
      </c>
      <c r="AA1294">
        <f>LTP3!$D$7-X1294*LTP3!$D$6-Y1294*U1294-Z1294*V1294</f>
        <v/>
      </c>
      <c r="AB1294">
        <f>IF(AND(F1294,ABS(W1294)&gt;1E-12,Y1294&gt;0,Z1294&gt;0),AA1294,1E+300)</f>
        <v/>
      </c>
    </row>
    <row r="1295">
      <c r="A1295">
        <f>$B$3+$B$5*21</f>
        <v/>
      </c>
      <c r="B1295">
        <f>$B$3+$B$5*2</f>
        <v/>
      </c>
      <c r="C1295">
        <f>SUMPRODUCT(Calc!$K$3:$K$22*(Calc!$G$3:$G$22&lt;=A1295))</f>
        <v/>
      </c>
      <c r="D1295">
        <f>SUMPRODUCT(Calc!$K$3:$K$22*(Calc!$G$3:$G$22&gt;A1295)*(Calc!$G$3:$G$22&lt;B1295))</f>
        <v/>
      </c>
      <c r="E1295">
        <f>SUMPRODUCT(Calc!$K$3:$K$22*(Calc!$G$3:$G$22&gt;=B1295))</f>
        <v/>
      </c>
      <c r="F1295">
        <f>AND(k_n&gt;=5,B1295&gt;A1295+1E-9,C1295&gt;=2,D1295&gt;=1,E1295&gt;=2)</f>
        <v/>
      </c>
      <c r="G1295">
        <f>SUMPRODUCT(Calc!$K$3:$K$22*(Calc!$G$3:$G$22&gt;A1295)*(Calc!$G$3:$G$22-A1295))</f>
        <v/>
      </c>
      <c r="H1295">
        <f>SUMPRODUCT(Calc!$K$3:$K$22*(Calc!$G$3:$G$22&gt;B1295)*(Calc!$G$3:$G$22-B1295))</f>
        <v/>
      </c>
      <c r="I1295">
        <f>SUMPRODUCT(Calc!$K$3:$K$22*(Calc!$G$3:$G$22&gt;A1295)*(Calc!$G$3:$G$22-A1295)^2)</f>
        <v/>
      </c>
      <c r="J1295">
        <f>SUMPRODUCT(Calc!$K$3:$K$22*(Calc!$G$3:$G$22&gt;B1295)*(Calc!$G$3:$G$22-B1295)^2)</f>
        <v/>
      </c>
      <c r="K1295">
        <f>SUMPRODUCT(Calc!$K$3:$K$22*(Calc!$G$3:$G$22&gt;A1295)*(Calc!$G$3:$G$22-A1295)*(Calc!$G$3:$G$22&gt;B1295)*(Calc!$G$3:$G$22-B1295))</f>
        <v/>
      </c>
      <c r="L1295">
        <f>SUMPRODUCT(Calc!$K$3:$K$22*(Calc!$G$3:$G$22&gt;A1295)*(Calc!$G$3:$G$22-A1295)*Calc!$G$3:$G$22)</f>
        <v/>
      </c>
      <c r="M1295">
        <f>SUMPRODUCT(Calc!$K$3:$K$22*(Calc!$G$3:$G$22&gt;B1295)*(Calc!$G$3:$G$22-B1295)*Calc!$G$3:$G$22)</f>
        <v/>
      </c>
      <c r="N1295">
        <f>SUMPRODUCT(Calc!$K$3:$K$22*(Calc!$G$3:$G$22&gt;A1295)*(Calc!$G$3:$G$22-A1295)*Calc!$I$3:$I$22)</f>
        <v/>
      </c>
      <c r="O1295">
        <f>SUMPRODUCT(Calc!$K$3:$K$22*(Calc!$G$3:$G$22&gt;B1295)*(Calc!$G$3:$G$22-B1295)*Calc!$I$3:$I$22)</f>
        <v/>
      </c>
      <c r="P1295">
        <f>I1295-G1295^2/k_n</f>
        <v/>
      </c>
      <c r="Q1295">
        <f>J1295-H1295^2/k_n</f>
        <v/>
      </c>
      <c r="R1295">
        <f>K1295-G1295*H1295/k_n</f>
        <v/>
      </c>
      <c r="S1295">
        <f>L1295-LTP3!$D$3*G1295/k_n</f>
        <v/>
      </c>
      <c r="T1295">
        <f>M1295-LTP3!$D$3*H1295/k_n</f>
        <v/>
      </c>
      <c r="U1295">
        <f>N1295-G1295*LTP3!$D$4/k_n</f>
        <v/>
      </c>
      <c r="V1295">
        <f>O1295-H1295*LTP3!$D$4/k_n</f>
        <v/>
      </c>
      <c r="W1295">
        <f>((LTP3!$D$5)*((P1295)*(Q1295)-(R1295)*(R1295))-(S1295)*((S1295)*(Q1295)-(R1295)*(T1295))+(T1295)*((S1295)*(R1295)-(P1295)*(T1295)))</f>
        <v/>
      </c>
      <c r="X1295">
        <f>IF(ABS(W1295)&gt;1E-12,((LTP3!$D$6)*((P1295)*(Q1295)-(R1295)*(R1295))-(S1295)*((U1295)*(Q1295)-(R1295)*(V1295))+(T1295)*((U1295)*(R1295)-(P1295)*(V1295)))/W1295,0)</f>
        <v/>
      </c>
      <c r="Y1295">
        <f>IF(ABS(W1295)&gt;1E-12,((LTP3!$D$5)*((U1295)*(Q1295)-(R1295)*(V1295))-(LTP3!$D$6)*((S1295)*(Q1295)-(R1295)*(T1295))+(T1295)*((S1295)*(V1295)-(U1295)*(T1295)))/W1295,0)</f>
        <v/>
      </c>
      <c r="Z1295">
        <f>IF(ABS(W1295)&gt;1E-12,((LTP3!$D$5)*((P1295)*(V1295)-(U1295)*(R1295))-(S1295)*((S1295)*(V1295)-(U1295)*(T1295))+(LTP3!$D$6)*((S1295)*(R1295)-(P1295)*(T1295)))/W1295,0)</f>
        <v/>
      </c>
      <c r="AA1295">
        <f>LTP3!$D$7-X1295*LTP3!$D$6-Y1295*U1295-Z1295*V1295</f>
        <v/>
      </c>
      <c r="AB1295">
        <f>IF(AND(F1295,ABS(W1295)&gt;1E-12,Y1295&gt;0,Z1295&gt;0),AA1295,1E+300)</f>
        <v/>
      </c>
    </row>
    <row r="1296">
      <c r="A1296">
        <f>$B$3+$B$5*21</f>
        <v/>
      </c>
      <c r="B1296">
        <f>$B$3+$B$5*3</f>
        <v/>
      </c>
      <c r="C1296">
        <f>SUMPRODUCT(Calc!$K$3:$K$22*(Calc!$G$3:$G$22&lt;=A1296))</f>
        <v/>
      </c>
      <c r="D1296">
        <f>SUMPRODUCT(Calc!$K$3:$K$22*(Calc!$G$3:$G$22&gt;A1296)*(Calc!$G$3:$G$22&lt;B1296))</f>
        <v/>
      </c>
      <c r="E1296">
        <f>SUMPRODUCT(Calc!$K$3:$K$22*(Calc!$G$3:$G$22&gt;=B1296))</f>
        <v/>
      </c>
      <c r="F1296">
        <f>AND(k_n&gt;=5,B1296&gt;A1296+1E-9,C1296&gt;=2,D1296&gt;=1,E1296&gt;=2)</f>
        <v/>
      </c>
      <c r="G1296">
        <f>SUMPRODUCT(Calc!$K$3:$K$22*(Calc!$G$3:$G$22&gt;A1296)*(Calc!$G$3:$G$22-A1296))</f>
        <v/>
      </c>
      <c r="H1296">
        <f>SUMPRODUCT(Calc!$K$3:$K$22*(Calc!$G$3:$G$22&gt;B1296)*(Calc!$G$3:$G$22-B1296))</f>
        <v/>
      </c>
      <c r="I1296">
        <f>SUMPRODUCT(Calc!$K$3:$K$22*(Calc!$G$3:$G$22&gt;A1296)*(Calc!$G$3:$G$22-A1296)^2)</f>
        <v/>
      </c>
      <c r="J1296">
        <f>SUMPRODUCT(Calc!$K$3:$K$22*(Calc!$G$3:$G$22&gt;B1296)*(Calc!$G$3:$G$22-B1296)^2)</f>
        <v/>
      </c>
      <c r="K1296">
        <f>SUMPRODUCT(Calc!$K$3:$K$22*(Calc!$G$3:$G$22&gt;A1296)*(Calc!$G$3:$G$22-A1296)*(Calc!$G$3:$G$22&gt;B1296)*(Calc!$G$3:$G$22-B1296))</f>
        <v/>
      </c>
      <c r="L1296">
        <f>SUMPRODUCT(Calc!$K$3:$K$22*(Calc!$G$3:$G$22&gt;A1296)*(Calc!$G$3:$G$22-A1296)*Calc!$G$3:$G$22)</f>
        <v/>
      </c>
      <c r="M1296">
        <f>SUMPRODUCT(Calc!$K$3:$K$22*(Calc!$G$3:$G$22&gt;B1296)*(Calc!$G$3:$G$22-B1296)*Calc!$G$3:$G$22)</f>
        <v/>
      </c>
      <c r="N1296">
        <f>SUMPRODUCT(Calc!$K$3:$K$22*(Calc!$G$3:$G$22&gt;A1296)*(Calc!$G$3:$G$22-A1296)*Calc!$I$3:$I$22)</f>
        <v/>
      </c>
      <c r="O1296">
        <f>SUMPRODUCT(Calc!$K$3:$K$22*(Calc!$G$3:$G$22&gt;B1296)*(Calc!$G$3:$G$22-B1296)*Calc!$I$3:$I$22)</f>
        <v/>
      </c>
      <c r="P1296">
        <f>I1296-G1296^2/k_n</f>
        <v/>
      </c>
      <c r="Q1296">
        <f>J1296-H1296^2/k_n</f>
        <v/>
      </c>
      <c r="R1296">
        <f>K1296-G1296*H1296/k_n</f>
        <v/>
      </c>
      <c r="S1296">
        <f>L1296-LTP3!$D$3*G1296/k_n</f>
        <v/>
      </c>
      <c r="T1296">
        <f>M1296-LTP3!$D$3*H1296/k_n</f>
        <v/>
      </c>
      <c r="U1296">
        <f>N1296-G1296*LTP3!$D$4/k_n</f>
        <v/>
      </c>
      <c r="V1296">
        <f>O1296-H1296*LTP3!$D$4/k_n</f>
        <v/>
      </c>
      <c r="W1296">
        <f>((LTP3!$D$5)*((P1296)*(Q1296)-(R1296)*(R1296))-(S1296)*((S1296)*(Q1296)-(R1296)*(T1296))+(T1296)*((S1296)*(R1296)-(P1296)*(T1296)))</f>
        <v/>
      </c>
      <c r="X1296">
        <f>IF(ABS(W1296)&gt;1E-12,((LTP3!$D$6)*((P1296)*(Q1296)-(R1296)*(R1296))-(S1296)*((U1296)*(Q1296)-(R1296)*(V1296))+(T1296)*((U1296)*(R1296)-(P1296)*(V1296)))/W1296,0)</f>
        <v/>
      </c>
      <c r="Y1296">
        <f>IF(ABS(W1296)&gt;1E-12,((LTP3!$D$5)*((U1296)*(Q1296)-(R1296)*(V1296))-(LTP3!$D$6)*((S1296)*(Q1296)-(R1296)*(T1296))+(T1296)*((S1296)*(V1296)-(U1296)*(T1296)))/W1296,0)</f>
        <v/>
      </c>
      <c r="Z1296">
        <f>IF(ABS(W1296)&gt;1E-12,((LTP3!$D$5)*((P1296)*(V1296)-(U1296)*(R1296))-(S1296)*((S1296)*(V1296)-(U1296)*(T1296))+(LTP3!$D$6)*((S1296)*(R1296)-(P1296)*(T1296)))/W1296,0)</f>
        <v/>
      </c>
      <c r="AA1296">
        <f>LTP3!$D$7-X1296*LTP3!$D$6-Y1296*U1296-Z1296*V1296</f>
        <v/>
      </c>
      <c r="AB1296">
        <f>IF(AND(F1296,ABS(W1296)&gt;1E-12,Y1296&gt;0,Z1296&gt;0),AA1296,1E+300)</f>
        <v/>
      </c>
    </row>
    <row r="1297">
      <c r="A1297">
        <f>$B$3+$B$5*21</f>
        <v/>
      </c>
      <c r="B1297">
        <f>$B$3+$B$5*4</f>
        <v/>
      </c>
      <c r="C1297">
        <f>SUMPRODUCT(Calc!$K$3:$K$22*(Calc!$G$3:$G$22&lt;=A1297))</f>
        <v/>
      </c>
      <c r="D1297">
        <f>SUMPRODUCT(Calc!$K$3:$K$22*(Calc!$G$3:$G$22&gt;A1297)*(Calc!$G$3:$G$22&lt;B1297))</f>
        <v/>
      </c>
      <c r="E1297">
        <f>SUMPRODUCT(Calc!$K$3:$K$22*(Calc!$G$3:$G$22&gt;=B1297))</f>
        <v/>
      </c>
      <c r="F1297">
        <f>AND(k_n&gt;=5,B1297&gt;A1297+1E-9,C1297&gt;=2,D1297&gt;=1,E1297&gt;=2)</f>
        <v/>
      </c>
      <c r="G1297">
        <f>SUMPRODUCT(Calc!$K$3:$K$22*(Calc!$G$3:$G$22&gt;A1297)*(Calc!$G$3:$G$22-A1297))</f>
        <v/>
      </c>
      <c r="H1297">
        <f>SUMPRODUCT(Calc!$K$3:$K$22*(Calc!$G$3:$G$22&gt;B1297)*(Calc!$G$3:$G$22-B1297))</f>
        <v/>
      </c>
      <c r="I1297">
        <f>SUMPRODUCT(Calc!$K$3:$K$22*(Calc!$G$3:$G$22&gt;A1297)*(Calc!$G$3:$G$22-A1297)^2)</f>
        <v/>
      </c>
      <c r="J1297">
        <f>SUMPRODUCT(Calc!$K$3:$K$22*(Calc!$G$3:$G$22&gt;B1297)*(Calc!$G$3:$G$22-B1297)^2)</f>
        <v/>
      </c>
      <c r="K1297">
        <f>SUMPRODUCT(Calc!$K$3:$K$22*(Calc!$G$3:$G$22&gt;A1297)*(Calc!$G$3:$G$22-A1297)*(Calc!$G$3:$G$22&gt;B1297)*(Calc!$G$3:$G$22-B1297))</f>
        <v/>
      </c>
      <c r="L1297">
        <f>SUMPRODUCT(Calc!$K$3:$K$22*(Calc!$G$3:$G$22&gt;A1297)*(Calc!$G$3:$G$22-A1297)*Calc!$G$3:$G$22)</f>
        <v/>
      </c>
      <c r="M1297">
        <f>SUMPRODUCT(Calc!$K$3:$K$22*(Calc!$G$3:$G$22&gt;B1297)*(Calc!$G$3:$G$22-B1297)*Calc!$G$3:$G$22)</f>
        <v/>
      </c>
      <c r="N1297">
        <f>SUMPRODUCT(Calc!$K$3:$K$22*(Calc!$G$3:$G$22&gt;A1297)*(Calc!$G$3:$G$22-A1297)*Calc!$I$3:$I$22)</f>
        <v/>
      </c>
      <c r="O1297">
        <f>SUMPRODUCT(Calc!$K$3:$K$22*(Calc!$G$3:$G$22&gt;B1297)*(Calc!$G$3:$G$22-B1297)*Calc!$I$3:$I$22)</f>
        <v/>
      </c>
      <c r="P1297">
        <f>I1297-G1297^2/k_n</f>
        <v/>
      </c>
      <c r="Q1297">
        <f>J1297-H1297^2/k_n</f>
        <v/>
      </c>
      <c r="R1297">
        <f>K1297-G1297*H1297/k_n</f>
        <v/>
      </c>
      <c r="S1297">
        <f>L1297-LTP3!$D$3*G1297/k_n</f>
        <v/>
      </c>
      <c r="T1297">
        <f>M1297-LTP3!$D$3*H1297/k_n</f>
        <v/>
      </c>
      <c r="U1297">
        <f>N1297-G1297*LTP3!$D$4/k_n</f>
        <v/>
      </c>
      <c r="V1297">
        <f>O1297-H1297*LTP3!$D$4/k_n</f>
        <v/>
      </c>
      <c r="W1297">
        <f>((LTP3!$D$5)*((P1297)*(Q1297)-(R1297)*(R1297))-(S1297)*((S1297)*(Q1297)-(R1297)*(T1297))+(T1297)*((S1297)*(R1297)-(P1297)*(T1297)))</f>
        <v/>
      </c>
      <c r="X1297">
        <f>IF(ABS(W1297)&gt;1E-12,((LTP3!$D$6)*((P1297)*(Q1297)-(R1297)*(R1297))-(S1297)*((U1297)*(Q1297)-(R1297)*(V1297))+(T1297)*((U1297)*(R1297)-(P1297)*(V1297)))/W1297,0)</f>
        <v/>
      </c>
      <c r="Y1297">
        <f>IF(ABS(W1297)&gt;1E-12,((LTP3!$D$5)*((U1297)*(Q1297)-(R1297)*(V1297))-(LTP3!$D$6)*((S1297)*(Q1297)-(R1297)*(T1297))+(T1297)*((S1297)*(V1297)-(U1297)*(T1297)))/W1297,0)</f>
        <v/>
      </c>
      <c r="Z1297">
        <f>IF(ABS(W1297)&gt;1E-12,((LTP3!$D$5)*((P1297)*(V1297)-(U1297)*(R1297))-(S1297)*((S1297)*(V1297)-(U1297)*(T1297))+(LTP3!$D$6)*((S1297)*(R1297)-(P1297)*(T1297)))/W1297,0)</f>
        <v/>
      </c>
      <c r="AA1297">
        <f>LTP3!$D$7-X1297*LTP3!$D$6-Y1297*U1297-Z1297*V1297</f>
        <v/>
      </c>
      <c r="AB1297">
        <f>IF(AND(F1297,ABS(W1297)&gt;1E-12,Y1297&gt;0,Z1297&gt;0),AA1297,1E+300)</f>
        <v/>
      </c>
    </row>
    <row r="1298">
      <c r="A1298">
        <f>$B$3+$B$5*21</f>
        <v/>
      </c>
      <c r="B1298">
        <f>$B$3+$B$5*5</f>
        <v/>
      </c>
      <c r="C1298">
        <f>SUMPRODUCT(Calc!$K$3:$K$22*(Calc!$G$3:$G$22&lt;=A1298))</f>
        <v/>
      </c>
      <c r="D1298">
        <f>SUMPRODUCT(Calc!$K$3:$K$22*(Calc!$G$3:$G$22&gt;A1298)*(Calc!$G$3:$G$22&lt;B1298))</f>
        <v/>
      </c>
      <c r="E1298">
        <f>SUMPRODUCT(Calc!$K$3:$K$22*(Calc!$G$3:$G$22&gt;=B1298))</f>
        <v/>
      </c>
      <c r="F1298">
        <f>AND(k_n&gt;=5,B1298&gt;A1298+1E-9,C1298&gt;=2,D1298&gt;=1,E1298&gt;=2)</f>
        <v/>
      </c>
      <c r="G1298">
        <f>SUMPRODUCT(Calc!$K$3:$K$22*(Calc!$G$3:$G$22&gt;A1298)*(Calc!$G$3:$G$22-A1298))</f>
        <v/>
      </c>
      <c r="H1298">
        <f>SUMPRODUCT(Calc!$K$3:$K$22*(Calc!$G$3:$G$22&gt;B1298)*(Calc!$G$3:$G$22-B1298))</f>
        <v/>
      </c>
      <c r="I1298">
        <f>SUMPRODUCT(Calc!$K$3:$K$22*(Calc!$G$3:$G$22&gt;A1298)*(Calc!$G$3:$G$22-A1298)^2)</f>
        <v/>
      </c>
      <c r="J1298">
        <f>SUMPRODUCT(Calc!$K$3:$K$22*(Calc!$G$3:$G$22&gt;B1298)*(Calc!$G$3:$G$22-B1298)^2)</f>
        <v/>
      </c>
      <c r="K1298">
        <f>SUMPRODUCT(Calc!$K$3:$K$22*(Calc!$G$3:$G$22&gt;A1298)*(Calc!$G$3:$G$22-A1298)*(Calc!$G$3:$G$22&gt;B1298)*(Calc!$G$3:$G$22-B1298))</f>
        <v/>
      </c>
      <c r="L1298">
        <f>SUMPRODUCT(Calc!$K$3:$K$22*(Calc!$G$3:$G$22&gt;A1298)*(Calc!$G$3:$G$22-A1298)*Calc!$G$3:$G$22)</f>
        <v/>
      </c>
      <c r="M1298">
        <f>SUMPRODUCT(Calc!$K$3:$K$22*(Calc!$G$3:$G$22&gt;B1298)*(Calc!$G$3:$G$22-B1298)*Calc!$G$3:$G$22)</f>
        <v/>
      </c>
      <c r="N1298">
        <f>SUMPRODUCT(Calc!$K$3:$K$22*(Calc!$G$3:$G$22&gt;A1298)*(Calc!$G$3:$G$22-A1298)*Calc!$I$3:$I$22)</f>
        <v/>
      </c>
      <c r="O1298">
        <f>SUMPRODUCT(Calc!$K$3:$K$22*(Calc!$G$3:$G$22&gt;B1298)*(Calc!$G$3:$G$22-B1298)*Calc!$I$3:$I$22)</f>
        <v/>
      </c>
      <c r="P1298">
        <f>I1298-G1298^2/k_n</f>
        <v/>
      </c>
      <c r="Q1298">
        <f>J1298-H1298^2/k_n</f>
        <v/>
      </c>
      <c r="R1298">
        <f>K1298-G1298*H1298/k_n</f>
        <v/>
      </c>
      <c r="S1298">
        <f>L1298-LTP3!$D$3*G1298/k_n</f>
        <v/>
      </c>
      <c r="T1298">
        <f>M1298-LTP3!$D$3*H1298/k_n</f>
        <v/>
      </c>
      <c r="U1298">
        <f>N1298-G1298*LTP3!$D$4/k_n</f>
        <v/>
      </c>
      <c r="V1298">
        <f>O1298-H1298*LTP3!$D$4/k_n</f>
        <v/>
      </c>
      <c r="W1298">
        <f>((LTP3!$D$5)*((P1298)*(Q1298)-(R1298)*(R1298))-(S1298)*((S1298)*(Q1298)-(R1298)*(T1298))+(T1298)*((S1298)*(R1298)-(P1298)*(T1298)))</f>
        <v/>
      </c>
      <c r="X1298">
        <f>IF(ABS(W1298)&gt;1E-12,((LTP3!$D$6)*((P1298)*(Q1298)-(R1298)*(R1298))-(S1298)*((U1298)*(Q1298)-(R1298)*(V1298))+(T1298)*((U1298)*(R1298)-(P1298)*(V1298)))/W1298,0)</f>
        <v/>
      </c>
      <c r="Y1298">
        <f>IF(ABS(W1298)&gt;1E-12,((LTP3!$D$5)*((U1298)*(Q1298)-(R1298)*(V1298))-(LTP3!$D$6)*((S1298)*(Q1298)-(R1298)*(T1298))+(T1298)*((S1298)*(V1298)-(U1298)*(T1298)))/W1298,0)</f>
        <v/>
      </c>
      <c r="Z1298">
        <f>IF(ABS(W1298)&gt;1E-12,((LTP3!$D$5)*((P1298)*(V1298)-(U1298)*(R1298))-(S1298)*((S1298)*(V1298)-(U1298)*(T1298))+(LTP3!$D$6)*((S1298)*(R1298)-(P1298)*(T1298)))/W1298,0)</f>
        <v/>
      </c>
      <c r="AA1298">
        <f>LTP3!$D$7-X1298*LTP3!$D$6-Y1298*U1298-Z1298*V1298</f>
        <v/>
      </c>
      <c r="AB1298">
        <f>IF(AND(F1298,ABS(W1298)&gt;1E-12,Y1298&gt;0,Z1298&gt;0),AA1298,1E+300)</f>
        <v/>
      </c>
    </row>
    <row r="1299">
      <c r="A1299">
        <f>$B$3+$B$5*21</f>
        <v/>
      </c>
      <c r="B1299">
        <f>$B$3+$B$5*6</f>
        <v/>
      </c>
      <c r="C1299">
        <f>SUMPRODUCT(Calc!$K$3:$K$22*(Calc!$G$3:$G$22&lt;=A1299))</f>
        <v/>
      </c>
      <c r="D1299">
        <f>SUMPRODUCT(Calc!$K$3:$K$22*(Calc!$G$3:$G$22&gt;A1299)*(Calc!$G$3:$G$22&lt;B1299))</f>
        <v/>
      </c>
      <c r="E1299">
        <f>SUMPRODUCT(Calc!$K$3:$K$22*(Calc!$G$3:$G$22&gt;=B1299))</f>
        <v/>
      </c>
      <c r="F1299">
        <f>AND(k_n&gt;=5,B1299&gt;A1299+1E-9,C1299&gt;=2,D1299&gt;=1,E1299&gt;=2)</f>
        <v/>
      </c>
      <c r="G1299">
        <f>SUMPRODUCT(Calc!$K$3:$K$22*(Calc!$G$3:$G$22&gt;A1299)*(Calc!$G$3:$G$22-A1299))</f>
        <v/>
      </c>
      <c r="H1299">
        <f>SUMPRODUCT(Calc!$K$3:$K$22*(Calc!$G$3:$G$22&gt;B1299)*(Calc!$G$3:$G$22-B1299))</f>
        <v/>
      </c>
      <c r="I1299">
        <f>SUMPRODUCT(Calc!$K$3:$K$22*(Calc!$G$3:$G$22&gt;A1299)*(Calc!$G$3:$G$22-A1299)^2)</f>
        <v/>
      </c>
      <c r="J1299">
        <f>SUMPRODUCT(Calc!$K$3:$K$22*(Calc!$G$3:$G$22&gt;B1299)*(Calc!$G$3:$G$22-B1299)^2)</f>
        <v/>
      </c>
      <c r="K1299">
        <f>SUMPRODUCT(Calc!$K$3:$K$22*(Calc!$G$3:$G$22&gt;A1299)*(Calc!$G$3:$G$22-A1299)*(Calc!$G$3:$G$22&gt;B1299)*(Calc!$G$3:$G$22-B1299))</f>
        <v/>
      </c>
      <c r="L1299">
        <f>SUMPRODUCT(Calc!$K$3:$K$22*(Calc!$G$3:$G$22&gt;A1299)*(Calc!$G$3:$G$22-A1299)*Calc!$G$3:$G$22)</f>
        <v/>
      </c>
      <c r="M1299">
        <f>SUMPRODUCT(Calc!$K$3:$K$22*(Calc!$G$3:$G$22&gt;B1299)*(Calc!$G$3:$G$22-B1299)*Calc!$G$3:$G$22)</f>
        <v/>
      </c>
      <c r="N1299">
        <f>SUMPRODUCT(Calc!$K$3:$K$22*(Calc!$G$3:$G$22&gt;A1299)*(Calc!$G$3:$G$22-A1299)*Calc!$I$3:$I$22)</f>
        <v/>
      </c>
      <c r="O1299">
        <f>SUMPRODUCT(Calc!$K$3:$K$22*(Calc!$G$3:$G$22&gt;B1299)*(Calc!$G$3:$G$22-B1299)*Calc!$I$3:$I$22)</f>
        <v/>
      </c>
      <c r="P1299">
        <f>I1299-G1299^2/k_n</f>
        <v/>
      </c>
      <c r="Q1299">
        <f>J1299-H1299^2/k_n</f>
        <v/>
      </c>
      <c r="R1299">
        <f>K1299-G1299*H1299/k_n</f>
        <v/>
      </c>
      <c r="S1299">
        <f>L1299-LTP3!$D$3*G1299/k_n</f>
        <v/>
      </c>
      <c r="T1299">
        <f>M1299-LTP3!$D$3*H1299/k_n</f>
        <v/>
      </c>
      <c r="U1299">
        <f>N1299-G1299*LTP3!$D$4/k_n</f>
        <v/>
      </c>
      <c r="V1299">
        <f>O1299-H1299*LTP3!$D$4/k_n</f>
        <v/>
      </c>
      <c r="W1299">
        <f>((LTP3!$D$5)*((P1299)*(Q1299)-(R1299)*(R1299))-(S1299)*((S1299)*(Q1299)-(R1299)*(T1299))+(T1299)*((S1299)*(R1299)-(P1299)*(T1299)))</f>
        <v/>
      </c>
      <c r="X1299">
        <f>IF(ABS(W1299)&gt;1E-12,((LTP3!$D$6)*((P1299)*(Q1299)-(R1299)*(R1299))-(S1299)*((U1299)*(Q1299)-(R1299)*(V1299))+(T1299)*((U1299)*(R1299)-(P1299)*(V1299)))/W1299,0)</f>
        <v/>
      </c>
      <c r="Y1299">
        <f>IF(ABS(W1299)&gt;1E-12,((LTP3!$D$5)*((U1299)*(Q1299)-(R1299)*(V1299))-(LTP3!$D$6)*((S1299)*(Q1299)-(R1299)*(T1299))+(T1299)*((S1299)*(V1299)-(U1299)*(T1299)))/W1299,0)</f>
        <v/>
      </c>
      <c r="Z1299">
        <f>IF(ABS(W1299)&gt;1E-12,((LTP3!$D$5)*((P1299)*(V1299)-(U1299)*(R1299))-(S1299)*((S1299)*(V1299)-(U1299)*(T1299))+(LTP3!$D$6)*((S1299)*(R1299)-(P1299)*(T1299)))/W1299,0)</f>
        <v/>
      </c>
      <c r="AA1299">
        <f>LTP3!$D$7-X1299*LTP3!$D$6-Y1299*U1299-Z1299*V1299</f>
        <v/>
      </c>
      <c r="AB1299">
        <f>IF(AND(F1299,ABS(W1299)&gt;1E-12,Y1299&gt;0,Z1299&gt;0),AA1299,1E+300)</f>
        <v/>
      </c>
    </row>
    <row r="1300">
      <c r="A1300">
        <f>$B$3+$B$5*21</f>
        <v/>
      </c>
      <c r="B1300">
        <f>$B$3+$B$5*7</f>
        <v/>
      </c>
      <c r="C1300">
        <f>SUMPRODUCT(Calc!$K$3:$K$22*(Calc!$G$3:$G$22&lt;=A1300))</f>
        <v/>
      </c>
      <c r="D1300">
        <f>SUMPRODUCT(Calc!$K$3:$K$22*(Calc!$G$3:$G$22&gt;A1300)*(Calc!$G$3:$G$22&lt;B1300))</f>
        <v/>
      </c>
      <c r="E1300">
        <f>SUMPRODUCT(Calc!$K$3:$K$22*(Calc!$G$3:$G$22&gt;=B1300))</f>
        <v/>
      </c>
      <c r="F1300">
        <f>AND(k_n&gt;=5,B1300&gt;A1300+1E-9,C1300&gt;=2,D1300&gt;=1,E1300&gt;=2)</f>
        <v/>
      </c>
      <c r="G1300">
        <f>SUMPRODUCT(Calc!$K$3:$K$22*(Calc!$G$3:$G$22&gt;A1300)*(Calc!$G$3:$G$22-A1300))</f>
        <v/>
      </c>
      <c r="H1300">
        <f>SUMPRODUCT(Calc!$K$3:$K$22*(Calc!$G$3:$G$22&gt;B1300)*(Calc!$G$3:$G$22-B1300))</f>
        <v/>
      </c>
      <c r="I1300">
        <f>SUMPRODUCT(Calc!$K$3:$K$22*(Calc!$G$3:$G$22&gt;A1300)*(Calc!$G$3:$G$22-A1300)^2)</f>
        <v/>
      </c>
      <c r="J1300">
        <f>SUMPRODUCT(Calc!$K$3:$K$22*(Calc!$G$3:$G$22&gt;B1300)*(Calc!$G$3:$G$22-B1300)^2)</f>
        <v/>
      </c>
      <c r="K1300">
        <f>SUMPRODUCT(Calc!$K$3:$K$22*(Calc!$G$3:$G$22&gt;A1300)*(Calc!$G$3:$G$22-A1300)*(Calc!$G$3:$G$22&gt;B1300)*(Calc!$G$3:$G$22-B1300))</f>
        <v/>
      </c>
      <c r="L1300">
        <f>SUMPRODUCT(Calc!$K$3:$K$22*(Calc!$G$3:$G$22&gt;A1300)*(Calc!$G$3:$G$22-A1300)*Calc!$G$3:$G$22)</f>
        <v/>
      </c>
      <c r="M1300">
        <f>SUMPRODUCT(Calc!$K$3:$K$22*(Calc!$G$3:$G$22&gt;B1300)*(Calc!$G$3:$G$22-B1300)*Calc!$G$3:$G$22)</f>
        <v/>
      </c>
      <c r="N1300">
        <f>SUMPRODUCT(Calc!$K$3:$K$22*(Calc!$G$3:$G$22&gt;A1300)*(Calc!$G$3:$G$22-A1300)*Calc!$I$3:$I$22)</f>
        <v/>
      </c>
      <c r="O1300">
        <f>SUMPRODUCT(Calc!$K$3:$K$22*(Calc!$G$3:$G$22&gt;B1300)*(Calc!$G$3:$G$22-B1300)*Calc!$I$3:$I$22)</f>
        <v/>
      </c>
      <c r="P1300">
        <f>I1300-G1300^2/k_n</f>
        <v/>
      </c>
      <c r="Q1300">
        <f>J1300-H1300^2/k_n</f>
        <v/>
      </c>
      <c r="R1300">
        <f>K1300-G1300*H1300/k_n</f>
        <v/>
      </c>
      <c r="S1300">
        <f>L1300-LTP3!$D$3*G1300/k_n</f>
        <v/>
      </c>
      <c r="T1300">
        <f>M1300-LTP3!$D$3*H1300/k_n</f>
        <v/>
      </c>
      <c r="U1300">
        <f>N1300-G1300*LTP3!$D$4/k_n</f>
        <v/>
      </c>
      <c r="V1300">
        <f>O1300-H1300*LTP3!$D$4/k_n</f>
        <v/>
      </c>
      <c r="W1300">
        <f>((LTP3!$D$5)*((P1300)*(Q1300)-(R1300)*(R1300))-(S1300)*((S1300)*(Q1300)-(R1300)*(T1300))+(T1300)*((S1300)*(R1300)-(P1300)*(T1300)))</f>
        <v/>
      </c>
      <c r="X1300">
        <f>IF(ABS(W1300)&gt;1E-12,((LTP3!$D$6)*((P1300)*(Q1300)-(R1300)*(R1300))-(S1300)*((U1300)*(Q1300)-(R1300)*(V1300))+(T1300)*((U1300)*(R1300)-(P1300)*(V1300)))/W1300,0)</f>
        <v/>
      </c>
      <c r="Y1300">
        <f>IF(ABS(W1300)&gt;1E-12,((LTP3!$D$5)*((U1300)*(Q1300)-(R1300)*(V1300))-(LTP3!$D$6)*((S1300)*(Q1300)-(R1300)*(T1300))+(T1300)*((S1300)*(V1300)-(U1300)*(T1300)))/W1300,0)</f>
        <v/>
      </c>
      <c r="Z1300">
        <f>IF(ABS(W1300)&gt;1E-12,((LTP3!$D$5)*((P1300)*(V1300)-(U1300)*(R1300))-(S1300)*((S1300)*(V1300)-(U1300)*(T1300))+(LTP3!$D$6)*((S1300)*(R1300)-(P1300)*(T1300)))/W1300,0)</f>
        <v/>
      </c>
      <c r="AA1300">
        <f>LTP3!$D$7-X1300*LTP3!$D$6-Y1300*U1300-Z1300*V1300</f>
        <v/>
      </c>
      <c r="AB1300">
        <f>IF(AND(F1300,ABS(W1300)&gt;1E-12,Y1300&gt;0,Z1300&gt;0),AA1300,1E+300)</f>
        <v/>
      </c>
    </row>
    <row r="1301">
      <c r="A1301">
        <f>$B$3+$B$5*21</f>
        <v/>
      </c>
      <c r="B1301">
        <f>$B$3+$B$5*8</f>
        <v/>
      </c>
      <c r="C1301">
        <f>SUMPRODUCT(Calc!$K$3:$K$22*(Calc!$G$3:$G$22&lt;=A1301))</f>
        <v/>
      </c>
      <c r="D1301">
        <f>SUMPRODUCT(Calc!$K$3:$K$22*(Calc!$G$3:$G$22&gt;A1301)*(Calc!$G$3:$G$22&lt;B1301))</f>
        <v/>
      </c>
      <c r="E1301">
        <f>SUMPRODUCT(Calc!$K$3:$K$22*(Calc!$G$3:$G$22&gt;=B1301))</f>
        <v/>
      </c>
      <c r="F1301">
        <f>AND(k_n&gt;=5,B1301&gt;A1301+1E-9,C1301&gt;=2,D1301&gt;=1,E1301&gt;=2)</f>
        <v/>
      </c>
      <c r="G1301">
        <f>SUMPRODUCT(Calc!$K$3:$K$22*(Calc!$G$3:$G$22&gt;A1301)*(Calc!$G$3:$G$22-A1301))</f>
        <v/>
      </c>
      <c r="H1301">
        <f>SUMPRODUCT(Calc!$K$3:$K$22*(Calc!$G$3:$G$22&gt;B1301)*(Calc!$G$3:$G$22-B1301))</f>
        <v/>
      </c>
      <c r="I1301">
        <f>SUMPRODUCT(Calc!$K$3:$K$22*(Calc!$G$3:$G$22&gt;A1301)*(Calc!$G$3:$G$22-A1301)^2)</f>
        <v/>
      </c>
      <c r="J1301">
        <f>SUMPRODUCT(Calc!$K$3:$K$22*(Calc!$G$3:$G$22&gt;B1301)*(Calc!$G$3:$G$22-B1301)^2)</f>
        <v/>
      </c>
      <c r="K1301">
        <f>SUMPRODUCT(Calc!$K$3:$K$22*(Calc!$G$3:$G$22&gt;A1301)*(Calc!$G$3:$G$22-A1301)*(Calc!$G$3:$G$22&gt;B1301)*(Calc!$G$3:$G$22-B1301))</f>
        <v/>
      </c>
      <c r="L1301">
        <f>SUMPRODUCT(Calc!$K$3:$K$22*(Calc!$G$3:$G$22&gt;A1301)*(Calc!$G$3:$G$22-A1301)*Calc!$G$3:$G$22)</f>
        <v/>
      </c>
      <c r="M1301">
        <f>SUMPRODUCT(Calc!$K$3:$K$22*(Calc!$G$3:$G$22&gt;B1301)*(Calc!$G$3:$G$22-B1301)*Calc!$G$3:$G$22)</f>
        <v/>
      </c>
      <c r="N1301">
        <f>SUMPRODUCT(Calc!$K$3:$K$22*(Calc!$G$3:$G$22&gt;A1301)*(Calc!$G$3:$G$22-A1301)*Calc!$I$3:$I$22)</f>
        <v/>
      </c>
      <c r="O1301">
        <f>SUMPRODUCT(Calc!$K$3:$K$22*(Calc!$G$3:$G$22&gt;B1301)*(Calc!$G$3:$G$22-B1301)*Calc!$I$3:$I$22)</f>
        <v/>
      </c>
      <c r="P1301">
        <f>I1301-G1301^2/k_n</f>
        <v/>
      </c>
      <c r="Q1301">
        <f>J1301-H1301^2/k_n</f>
        <v/>
      </c>
      <c r="R1301">
        <f>K1301-G1301*H1301/k_n</f>
        <v/>
      </c>
      <c r="S1301">
        <f>L1301-LTP3!$D$3*G1301/k_n</f>
        <v/>
      </c>
      <c r="T1301">
        <f>M1301-LTP3!$D$3*H1301/k_n</f>
        <v/>
      </c>
      <c r="U1301">
        <f>N1301-G1301*LTP3!$D$4/k_n</f>
        <v/>
      </c>
      <c r="V1301">
        <f>O1301-H1301*LTP3!$D$4/k_n</f>
        <v/>
      </c>
      <c r="W1301">
        <f>((LTP3!$D$5)*((P1301)*(Q1301)-(R1301)*(R1301))-(S1301)*((S1301)*(Q1301)-(R1301)*(T1301))+(T1301)*((S1301)*(R1301)-(P1301)*(T1301)))</f>
        <v/>
      </c>
      <c r="X1301">
        <f>IF(ABS(W1301)&gt;1E-12,((LTP3!$D$6)*((P1301)*(Q1301)-(R1301)*(R1301))-(S1301)*((U1301)*(Q1301)-(R1301)*(V1301))+(T1301)*((U1301)*(R1301)-(P1301)*(V1301)))/W1301,0)</f>
        <v/>
      </c>
      <c r="Y1301">
        <f>IF(ABS(W1301)&gt;1E-12,((LTP3!$D$5)*((U1301)*(Q1301)-(R1301)*(V1301))-(LTP3!$D$6)*((S1301)*(Q1301)-(R1301)*(T1301))+(T1301)*((S1301)*(V1301)-(U1301)*(T1301)))/W1301,0)</f>
        <v/>
      </c>
      <c r="Z1301">
        <f>IF(ABS(W1301)&gt;1E-12,((LTP3!$D$5)*((P1301)*(V1301)-(U1301)*(R1301))-(S1301)*((S1301)*(V1301)-(U1301)*(T1301))+(LTP3!$D$6)*((S1301)*(R1301)-(P1301)*(T1301)))/W1301,0)</f>
        <v/>
      </c>
      <c r="AA1301">
        <f>LTP3!$D$7-X1301*LTP3!$D$6-Y1301*U1301-Z1301*V1301</f>
        <v/>
      </c>
      <c r="AB1301">
        <f>IF(AND(F1301,ABS(W1301)&gt;1E-12,Y1301&gt;0,Z1301&gt;0),AA1301,1E+300)</f>
        <v/>
      </c>
    </row>
    <row r="1302">
      <c r="A1302">
        <f>$B$3+$B$5*21</f>
        <v/>
      </c>
      <c r="B1302">
        <f>$B$3+$B$5*9</f>
        <v/>
      </c>
      <c r="C1302">
        <f>SUMPRODUCT(Calc!$K$3:$K$22*(Calc!$G$3:$G$22&lt;=A1302))</f>
        <v/>
      </c>
      <c r="D1302">
        <f>SUMPRODUCT(Calc!$K$3:$K$22*(Calc!$G$3:$G$22&gt;A1302)*(Calc!$G$3:$G$22&lt;B1302))</f>
        <v/>
      </c>
      <c r="E1302">
        <f>SUMPRODUCT(Calc!$K$3:$K$22*(Calc!$G$3:$G$22&gt;=B1302))</f>
        <v/>
      </c>
      <c r="F1302">
        <f>AND(k_n&gt;=5,B1302&gt;A1302+1E-9,C1302&gt;=2,D1302&gt;=1,E1302&gt;=2)</f>
        <v/>
      </c>
      <c r="G1302">
        <f>SUMPRODUCT(Calc!$K$3:$K$22*(Calc!$G$3:$G$22&gt;A1302)*(Calc!$G$3:$G$22-A1302))</f>
        <v/>
      </c>
      <c r="H1302">
        <f>SUMPRODUCT(Calc!$K$3:$K$22*(Calc!$G$3:$G$22&gt;B1302)*(Calc!$G$3:$G$22-B1302))</f>
        <v/>
      </c>
      <c r="I1302">
        <f>SUMPRODUCT(Calc!$K$3:$K$22*(Calc!$G$3:$G$22&gt;A1302)*(Calc!$G$3:$G$22-A1302)^2)</f>
        <v/>
      </c>
      <c r="J1302">
        <f>SUMPRODUCT(Calc!$K$3:$K$22*(Calc!$G$3:$G$22&gt;B1302)*(Calc!$G$3:$G$22-B1302)^2)</f>
        <v/>
      </c>
      <c r="K1302">
        <f>SUMPRODUCT(Calc!$K$3:$K$22*(Calc!$G$3:$G$22&gt;A1302)*(Calc!$G$3:$G$22-A1302)*(Calc!$G$3:$G$22&gt;B1302)*(Calc!$G$3:$G$22-B1302))</f>
        <v/>
      </c>
      <c r="L1302">
        <f>SUMPRODUCT(Calc!$K$3:$K$22*(Calc!$G$3:$G$22&gt;A1302)*(Calc!$G$3:$G$22-A1302)*Calc!$G$3:$G$22)</f>
        <v/>
      </c>
      <c r="M1302">
        <f>SUMPRODUCT(Calc!$K$3:$K$22*(Calc!$G$3:$G$22&gt;B1302)*(Calc!$G$3:$G$22-B1302)*Calc!$G$3:$G$22)</f>
        <v/>
      </c>
      <c r="N1302">
        <f>SUMPRODUCT(Calc!$K$3:$K$22*(Calc!$G$3:$G$22&gt;A1302)*(Calc!$G$3:$G$22-A1302)*Calc!$I$3:$I$22)</f>
        <v/>
      </c>
      <c r="O1302">
        <f>SUMPRODUCT(Calc!$K$3:$K$22*(Calc!$G$3:$G$22&gt;B1302)*(Calc!$G$3:$G$22-B1302)*Calc!$I$3:$I$22)</f>
        <v/>
      </c>
      <c r="P1302">
        <f>I1302-G1302^2/k_n</f>
        <v/>
      </c>
      <c r="Q1302">
        <f>J1302-H1302^2/k_n</f>
        <v/>
      </c>
      <c r="R1302">
        <f>K1302-G1302*H1302/k_n</f>
        <v/>
      </c>
      <c r="S1302">
        <f>L1302-LTP3!$D$3*G1302/k_n</f>
        <v/>
      </c>
      <c r="T1302">
        <f>M1302-LTP3!$D$3*H1302/k_n</f>
        <v/>
      </c>
      <c r="U1302">
        <f>N1302-G1302*LTP3!$D$4/k_n</f>
        <v/>
      </c>
      <c r="V1302">
        <f>O1302-H1302*LTP3!$D$4/k_n</f>
        <v/>
      </c>
      <c r="W1302">
        <f>((LTP3!$D$5)*((P1302)*(Q1302)-(R1302)*(R1302))-(S1302)*((S1302)*(Q1302)-(R1302)*(T1302))+(T1302)*((S1302)*(R1302)-(P1302)*(T1302)))</f>
        <v/>
      </c>
      <c r="X1302">
        <f>IF(ABS(W1302)&gt;1E-12,((LTP3!$D$6)*((P1302)*(Q1302)-(R1302)*(R1302))-(S1302)*((U1302)*(Q1302)-(R1302)*(V1302))+(T1302)*((U1302)*(R1302)-(P1302)*(V1302)))/W1302,0)</f>
        <v/>
      </c>
      <c r="Y1302">
        <f>IF(ABS(W1302)&gt;1E-12,((LTP3!$D$5)*((U1302)*(Q1302)-(R1302)*(V1302))-(LTP3!$D$6)*((S1302)*(Q1302)-(R1302)*(T1302))+(T1302)*((S1302)*(V1302)-(U1302)*(T1302)))/W1302,0)</f>
        <v/>
      </c>
      <c r="Z1302">
        <f>IF(ABS(W1302)&gt;1E-12,((LTP3!$D$5)*((P1302)*(V1302)-(U1302)*(R1302))-(S1302)*((S1302)*(V1302)-(U1302)*(T1302))+(LTP3!$D$6)*((S1302)*(R1302)-(P1302)*(T1302)))/W1302,0)</f>
        <v/>
      </c>
      <c r="AA1302">
        <f>LTP3!$D$7-X1302*LTP3!$D$6-Y1302*U1302-Z1302*V1302</f>
        <v/>
      </c>
      <c r="AB1302">
        <f>IF(AND(F1302,ABS(W1302)&gt;1E-12,Y1302&gt;0,Z1302&gt;0),AA1302,1E+300)</f>
        <v/>
      </c>
    </row>
    <row r="1303">
      <c r="A1303">
        <f>$B$3+$B$5*21</f>
        <v/>
      </c>
      <c r="B1303">
        <f>$B$3+$B$5*10</f>
        <v/>
      </c>
      <c r="C1303">
        <f>SUMPRODUCT(Calc!$K$3:$K$22*(Calc!$G$3:$G$22&lt;=A1303))</f>
        <v/>
      </c>
      <c r="D1303">
        <f>SUMPRODUCT(Calc!$K$3:$K$22*(Calc!$G$3:$G$22&gt;A1303)*(Calc!$G$3:$G$22&lt;B1303))</f>
        <v/>
      </c>
      <c r="E1303">
        <f>SUMPRODUCT(Calc!$K$3:$K$22*(Calc!$G$3:$G$22&gt;=B1303))</f>
        <v/>
      </c>
      <c r="F1303">
        <f>AND(k_n&gt;=5,B1303&gt;A1303+1E-9,C1303&gt;=2,D1303&gt;=1,E1303&gt;=2)</f>
        <v/>
      </c>
      <c r="G1303">
        <f>SUMPRODUCT(Calc!$K$3:$K$22*(Calc!$G$3:$G$22&gt;A1303)*(Calc!$G$3:$G$22-A1303))</f>
        <v/>
      </c>
      <c r="H1303">
        <f>SUMPRODUCT(Calc!$K$3:$K$22*(Calc!$G$3:$G$22&gt;B1303)*(Calc!$G$3:$G$22-B1303))</f>
        <v/>
      </c>
      <c r="I1303">
        <f>SUMPRODUCT(Calc!$K$3:$K$22*(Calc!$G$3:$G$22&gt;A1303)*(Calc!$G$3:$G$22-A1303)^2)</f>
        <v/>
      </c>
      <c r="J1303">
        <f>SUMPRODUCT(Calc!$K$3:$K$22*(Calc!$G$3:$G$22&gt;B1303)*(Calc!$G$3:$G$22-B1303)^2)</f>
        <v/>
      </c>
      <c r="K1303">
        <f>SUMPRODUCT(Calc!$K$3:$K$22*(Calc!$G$3:$G$22&gt;A1303)*(Calc!$G$3:$G$22-A1303)*(Calc!$G$3:$G$22&gt;B1303)*(Calc!$G$3:$G$22-B1303))</f>
        <v/>
      </c>
      <c r="L1303">
        <f>SUMPRODUCT(Calc!$K$3:$K$22*(Calc!$G$3:$G$22&gt;A1303)*(Calc!$G$3:$G$22-A1303)*Calc!$G$3:$G$22)</f>
        <v/>
      </c>
      <c r="M1303">
        <f>SUMPRODUCT(Calc!$K$3:$K$22*(Calc!$G$3:$G$22&gt;B1303)*(Calc!$G$3:$G$22-B1303)*Calc!$G$3:$G$22)</f>
        <v/>
      </c>
      <c r="N1303">
        <f>SUMPRODUCT(Calc!$K$3:$K$22*(Calc!$G$3:$G$22&gt;A1303)*(Calc!$G$3:$G$22-A1303)*Calc!$I$3:$I$22)</f>
        <v/>
      </c>
      <c r="O1303">
        <f>SUMPRODUCT(Calc!$K$3:$K$22*(Calc!$G$3:$G$22&gt;B1303)*(Calc!$G$3:$G$22-B1303)*Calc!$I$3:$I$22)</f>
        <v/>
      </c>
      <c r="P1303">
        <f>I1303-G1303^2/k_n</f>
        <v/>
      </c>
      <c r="Q1303">
        <f>J1303-H1303^2/k_n</f>
        <v/>
      </c>
      <c r="R1303">
        <f>K1303-G1303*H1303/k_n</f>
        <v/>
      </c>
      <c r="S1303">
        <f>L1303-LTP3!$D$3*G1303/k_n</f>
        <v/>
      </c>
      <c r="T1303">
        <f>M1303-LTP3!$D$3*H1303/k_n</f>
        <v/>
      </c>
      <c r="U1303">
        <f>N1303-G1303*LTP3!$D$4/k_n</f>
        <v/>
      </c>
      <c r="V1303">
        <f>O1303-H1303*LTP3!$D$4/k_n</f>
        <v/>
      </c>
      <c r="W1303">
        <f>((LTP3!$D$5)*((P1303)*(Q1303)-(R1303)*(R1303))-(S1303)*((S1303)*(Q1303)-(R1303)*(T1303))+(T1303)*((S1303)*(R1303)-(P1303)*(T1303)))</f>
        <v/>
      </c>
      <c r="X1303">
        <f>IF(ABS(W1303)&gt;1E-12,((LTP3!$D$6)*((P1303)*(Q1303)-(R1303)*(R1303))-(S1303)*((U1303)*(Q1303)-(R1303)*(V1303))+(T1303)*((U1303)*(R1303)-(P1303)*(V1303)))/W1303,0)</f>
        <v/>
      </c>
      <c r="Y1303">
        <f>IF(ABS(W1303)&gt;1E-12,((LTP3!$D$5)*((U1303)*(Q1303)-(R1303)*(V1303))-(LTP3!$D$6)*((S1303)*(Q1303)-(R1303)*(T1303))+(T1303)*((S1303)*(V1303)-(U1303)*(T1303)))/W1303,0)</f>
        <v/>
      </c>
      <c r="Z1303">
        <f>IF(ABS(W1303)&gt;1E-12,((LTP3!$D$5)*((P1303)*(V1303)-(U1303)*(R1303))-(S1303)*((S1303)*(V1303)-(U1303)*(T1303))+(LTP3!$D$6)*((S1303)*(R1303)-(P1303)*(T1303)))/W1303,0)</f>
        <v/>
      </c>
      <c r="AA1303">
        <f>LTP3!$D$7-X1303*LTP3!$D$6-Y1303*U1303-Z1303*V1303</f>
        <v/>
      </c>
      <c r="AB1303">
        <f>IF(AND(F1303,ABS(W1303)&gt;1E-12,Y1303&gt;0,Z1303&gt;0),AA1303,1E+300)</f>
        <v/>
      </c>
    </row>
    <row r="1304">
      <c r="A1304">
        <f>$B$3+$B$5*21</f>
        <v/>
      </c>
      <c r="B1304">
        <f>$B$3+$B$5*11</f>
        <v/>
      </c>
      <c r="C1304">
        <f>SUMPRODUCT(Calc!$K$3:$K$22*(Calc!$G$3:$G$22&lt;=A1304))</f>
        <v/>
      </c>
      <c r="D1304">
        <f>SUMPRODUCT(Calc!$K$3:$K$22*(Calc!$G$3:$G$22&gt;A1304)*(Calc!$G$3:$G$22&lt;B1304))</f>
        <v/>
      </c>
      <c r="E1304">
        <f>SUMPRODUCT(Calc!$K$3:$K$22*(Calc!$G$3:$G$22&gt;=B1304))</f>
        <v/>
      </c>
      <c r="F1304">
        <f>AND(k_n&gt;=5,B1304&gt;A1304+1E-9,C1304&gt;=2,D1304&gt;=1,E1304&gt;=2)</f>
        <v/>
      </c>
      <c r="G1304">
        <f>SUMPRODUCT(Calc!$K$3:$K$22*(Calc!$G$3:$G$22&gt;A1304)*(Calc!$G$3:$G$22-A1304))</f>
        <v/>
      </c>
      <c r="H1304">
        <f>SUMPRODUCT(Calc!$K$3:$K$22*(Calc!$G$3:$G$22&gt;B1304)*(Calc!$G$3:$G$22-B1304))</f>
        <v/>
      </c>
      <c r="I1304">
        <f>SUMPRODUCT(Calc!$K$3:$K$22*(Calc!$G$3:$G$22&gt;A1304)*(Calc!$G$3:$G$22-A1304)^2)</f>
        <v/>
      </c>
      <c r="J1304">
        <f>SUMPRODUCT(Calc!$K$3:$K$22*(Calc!$G$3:$G$22&gt;B1304)*(Calc!$G$3:$G$22-B1304)^2)</f>
        <v/>
      </c>
      <c r="K1304">
        <f>SUMPRODUCT(Calc!$K$3:$K$22*(Calc!$G$3:$G$22&gt;A1304)*(Calc!$G$3:$G$22-A1304)*(Calc!$G$3:$G$22&gt;B1304)*(Calc!$G$3:$G$22-B1304))</f>
        <v/>
      </c>
      <c r="L1304">
        <f>SUMPRODUCT(Calc!$K$3:$K$22*(Calc!$G$3:$G$22&gt;A1304)*(Calc!$G$3:$G$22-A1304)*Calc!$G$3:$G$22)</f>
        <v/>
      </c>
      <c r="M1304">
        <f>SUMPRODUCT(Calc!$K$3:$K$22*(Calc!$G$3:$G$22&gt;B1304)*(Calc!$G$3:$G$22-B1304)*Calc!$G$3:$G$22)</f>
        <v/>
      </c>
      <c r="N1304">
        <f>SUMPRODUCT(Calc!$K$3:$K$22*(Calc!$G$3:$G$22&gt;A1304)*(Calc!$G$3:$G$22-A1304)*Calc!$I$3:$I$22)</f>
        <v/>
      </c>
      <c r="O1304">
        <f>SUMPRODUCT(Calc!$K$3:$K$22*(Calc!$G$3:$G$22&gt;B1304)*(Calc!$G$3:$G$22-B1304)*Calc!$I$3:$I$22)</f>
        <v/>
      </c>
      <c r="P1304">
        <f>I1304-G1304^2/k_n</f>
        <v/>
      </c>
      <c r="Q1304">
        <f>J1304-H1304^2/k_n</f>
        <v/>
      </c>
      <c r="R1304">
        <f>K1304-G1304*H1304/k_n</f>
        <v/>
      </c>
      <c r="S1304">
        <f>L1304-LTP3!$D$3*G1304/k_n</f>
        <v/>
      </c>
      <c r="T1304">
        <f>M1304-LTP3!$D$3*H1304/k_n</f>
        <v/>
      </c>
      <c r="U1304">
        <f>N1304-G1304*LTP3!$D$4/k_n</f>
        <v/>
      </c>
      <c r="V1304">
        <f>O1304-H1304*LTP3!$D$4/k_n</f>
        <v/>
      </c>
      <c r="W1304">
        <f>((LTP3!$D$5)*((P1304)*(Q1304)-(R1304)*(R1304))-(S1304)*((S1304)*(Q1304)-(R1304)*(T1304))+(T1304)*((S1304)*(R1304)-(P1304)*(T1304)))</f>
        <v/>
      </c>
      <c r="X1304">
        <f>IF(ABS(W1304)&gt;1E-12,((LTP3!$D$6)*((P1304)*(Q1304)-(R1304)*(R1304))-(S1304)*((U1304)*(Q1304)-(R1304)*(V1304))+(T1304)*((U1304)*(R1304)-(P1304)*(V1304)))/W1304,0)</f>
        <v/>
      </c>
      <c r="Y1304">
        <f>IF(ABS(W1304)&gt;1E-12,((LTP3!$D$5)*((U1304)*(Q1304)-(R1304)*(V1304))-(LTP3!$D$6)*((S1304)*(Q1304)-(R1304)*(T1304))+(T1304)*((S1304)*(V1304)-(U1304)*(T1304)))/W1304,0)</f>
        <v/>
      </c>
      <c r="Z1304">
        <f>IF(ABS(W1304)&gt;1E-12,((LTP3!$D$5)*((P1304)*(V1304)-(U1304)*(R1304))-(S1304)*((S1304)*(V1304)-(U1304)*(T1304))+(LTP3!$D$6)*((S1304)*(R1304)-(P1304)*(T1304)))/W1304,0)</f>
        <v/>
      </c>
      <c r="AA1304">
        <f>LTP3!$D$7-X1304*LTP3!$D$6-Y1304*U1304-Z1304*V1304</f>
        <v/>
      </c>
      <c r="AB1304">
        <f>IF(AND(F1304,ABS(W1304)&gt;1E-12,Y1304&gt;0,Z1304&gt;0),AA1304,1E+300)</f>
        <v/>
      </c>
    </row>
    <row r="1305">
      <c r="A1305">
        <f>$B$3+$B$5*21</f>
        <v/>
      </c>
      <c r="B1305">
        <f>$B$3+$B$5*12</f>
        <v/>
      </c>
      <c r="C1305">
        <f>SUMPRODUCT(Calc!$K$3:$K$22*(Calc!$G$3:$G$22&lt;=A1305))</f>
        <v/>
      </c>
      <c r="D1305">
        <f>SUMPRODUCT(Calc!$K$3:$K$22*(Calc!$G$3:$G$22&gt;A1305)*(Calc!$G$3:$G$22&lt;B1305))</f>
        <v/>
      </c>
      <c r="E1305">
        <f>SUMPRODUCT(Calc!$K$3:$K$22*(Calc!$G$3:$G$22&gt;=B1305))</f>
        <v/>
      </c>
      <c r="F1305">
        <f>AND(k_n&gt;=5,B1305&gt;A1305+1E-9,C1305&gt;=2,D1305&gt;=1,E1305&gt;=2)</f>
        <v/>
      </c>
      <c r="G1305">
        <f>SUMPRODUCT(Calc!$K$3:$K$22*(Calc!$G$3:$G$22&gt;A1305)*(Calc!$G$3:$G$22-A1305))</f>
        <v/>
      </c>
      <c r="H1305">
        <f>SUMPRODUCT(Calc!$K$3:$K$22*(Calc!$G$3:$G$22&gt;B1305)*(Calc!$G$3:$G$22-B1305))</f>
        <v/>
      </c>
      <c r="I1305">
        <f>SUMPRODUCT(Calc!$K$3:$K$22*(Calc!$G$3:$G$22&gt;A1305)*(Calc!$G$3:$G$22-A1305)^2)</f>
        <v/>
      </c>
      <c r="J1305">
        <f>SUMPRODUCT(Calc!$K$3:$K$22*(Calc!$G$3:$G$22&gt;B1305)*(Calc!$G$3:$G$22-B1305)^2)</f>
        <v/>
      </c>
      <c r="K1305">
        <f>SUMPRODUCT(Calc!$K$3:$K$22*(Calc!$G$3:$G$22&gt;A1305)*(Calc!$G$3:$G$22-A1305)*(Calc!$G$3:$G$22&gt;B1305)*(Calc!$G$3:$G$22-B1305))</f>
        <v/>
      </c>
      <c r="L1305">
        <f>SUMPRODUCT(Calc!$K$3:$K$22*(Calc!$G$3:$G$22&gt;A1305)*(Calc!$G$3:$G$22-A1305)*Calc!$G$3:$G$22)</f>
        <v/>
      </c>
      <c r="M1305">
        <f>SUMPRODUCT(Calc!$K$3:$K$22*(Calc!$G$3:$G$22&gt;B1305)*(Calc!$G$3:$G$22-B1305)*Calc!$G$3:$G$22)</f>
        <v/>
      </c>
      <c r="N1305">
        <f>SUMPRODUCT(Calc!$K$3:$K$22*(Calc!$G$3:$G$22&gt;A1305)*(Calc!$G$3:$G$22-A1305)*Calc!$I$3:$I$22)</f>
        <v/>
      </c>
      <c r="O1305">
        <f>SUMPRODUCT(Calc!$K$3:$K$22*(Calc!$G$3:$G$22&gt;B1305)*(Calc!$G$3:$G$22-B1305)*Calc!$I$3:$I$22)</f>
        <v/>
      </c>
      <c r="P1305">
        <f>I1305-G1305^2/k_n</f>
        <v/>
      </c>
      <c r="Q1305">
        <f>J1305-H1305^2/k_n</f>
        <v/>
      </c>
      <c r="R1305">
        <f>K1305-G1305*H1305/k_n</f>
        <v/>
      </c>
      <c r="S1305">
        <f>L1305-LTP3!$D$3*G1305/k_n</f>
        <v/>
      </c>
      <c r="T1305">
        <f>M1305-LTP3!$D$3*H1305/k_n</f>
        <v/>
      </c>
      <c r="U1305">
        <f>N1305-G1305*LTP3!$D$4/k_n</f>
        <v/>
      </c>
      <c r="V1305">
        <f>O1305-H1305*LTP3!$D$4/k_n</f>
        <v/>
      </c>
      <c r="W1305">
        <f>((LTP3!$D$5)*((P1305)*(Q1305)-(R1305)*(R1305))-(S1305)*((S1305)*(Q1305)-(R1305)*(T1305))+(T1305)*((S1305)*(R1305)-(P1305)*(T1305)))</f>
        <v/>
      </c>
      <c r="X1305">
        <f>IF(ABS(W1305)&gt;1E-12,((LTP3!$D$6)*((P1305)*(Q1305)-(R1305)*(R1305))-(S1305)*((U1305)*(Q1305)-(R1305)*(V1305))+(T1305)*((U1305)*(R1305)-(P1305)*(V1305)))/W1305,0)</f>
        <v/>
      </c>
      <c r="Y1305">
        <f>IF(ABS(W1305)&gt;1E-12,((LTP3!$D$5)*((U1305)*(Q1305)-(R1305)*(V1305))-(LTP3!$D$6)*((S1305)*(Q1305)-(R1305)*(T1305))+(T1305)*((S1305)*(V1305)-(U1305)*(T1305)))/W1305,0)</f>
        <v/>
      </c>
      <c r="Z1305">
        <f>IF(ABS(W1305)&gt;1E-12,((LTP3!$D$5)*((P1305)*(V1305)-(U1305)*(R1305))-(S1305)*((S1305)*(V1305)-(U1305)*(T1305))+(LTP3!$D$6)*((S1305)*(R1305)-(P1305)*(T1305)))/W1305,0)</f>
        <v/>
      </c>
      <c r="AA1305">
        <f>LTP3!$D$7-X1305*LTP3!$D$6-Y1305*U1305-Z1305*V1305</f>
        <v/>
      </c>
      <c r="AB1305">
        <f>IF(AND(F1305,ABS(W1305)&gt;1E-12,Y1305&gt;0,Z1305&gt;0),AA1305,1E+300)</f>
        <v/>
      </c>
    </row>
    <row r="1306">
      <c r="A1306">
        <f>$B$3+$B$5*21</f>
        <v/>
      </c>
      <c r="B1306">
        <f>$B$3+$B$5*13</f>
        <v/>
      </c>
      <c r="C1306">
        <f>SUMPRODUCT(Calc!$K$3:$K$22*(Calc!$G$3:$G$22&lt;=A1306))</f>
        <v/>
      </c>
      <c r="D1306">
        <f>SUMPRODUCT(Calc!$K$3:$K$22*(Calc!$G$3:$G$22&gt;A1306)*(Calc!$G$3:$G$22&lt;B1306))</f>
        <v/>
      </c>
      <c r="E1306">
        <f>SUMPRODUCT(Calc!$K$3:$K$22*(Calc!$G$3:$G$22&gt;=B1306))</f>
        <v/>
      </c>
      <c r="F1306">
        <f>AND(k_n&gt;=5,B1306&gt;A1306+1E-9,C1306&gt;=2,D1306&gt;=1,E1306&gt;=2)</f>
        <v/>
      </c>
      <c r="G1306">
        <f>SUMPRODUCT(Calc!$K$3:$K$22*(Calc!$G$3:$G$22&gt;A1306)*(Calc!$G$3:$G$22-A1306))</f>
        <v/>
      </c>
      <c r="H1306">
        <f>SUMPRODUCT(Calc!$K$3:$K$22*(Calc!$G$3:$G$22&gt;B1306)*(Calc!$G$3:$G$22-B1306))</f>
        <v/>
      </c>
      <c r="I1306">
        <f>SUMPRODUCT(Calc!$K$3:$K$22*(Calc!$G$3:$G$22&gt;A1306)*(Calc!$G$3:$G$22-A1306)^2)</f>
        <v/>
      </c>
      <c r="J1306">
        <f>SUMPRODUCT(Calc!$K$3:$K$22*(Calc!$G$3:$G$22&gt;B1306)*(Calc!$G$3:$G$22-B1306)^2)</f>
        <v/>
      </c>
      <c r="K1306">
        <f>SUMPRODUCT(Calc!$K$3:$K$22*(Calc!$G$3:$G$22&gt;A1306)*(Calc!$G$3:$G$22-A1306)*(Calc!$G$3:$G$22&gt;B1306)*(Calc!$G$3:$G$22-B1306))</f>
        <v/>
      </c>
      <c r="L1306">
        <f>SUMPRODUCT(Calc!$K$3:$K$22*(Calc!$G$3:$G$22&gt;A1306)*(Calc!$G$3:$G$22-A1306)*Calc!$G$3:$G$22)</f>
        <v/>
      </c>
      <c r="M1306">
        <f>SUMPRODUCT(Calc!$K$3:$K$22*(Calc!$G$3:$G$22&gt;B1306)*(Calc!$G$3:$G$22-B1306)*Calc!$G$3:$G$22)</f>
        <v/>
      </c>
      <c r="N1306">
        <f>SUMPRODUCT(Calc!$K$3:$K$22*(Calc!$G$3:$G$22&gt;A1306)*(Calc!$G$3:$G$22-A1306)*Calc!$I$3:$I$22)</f>
        <v/>
      </c>
      <c r="O1306">
        <f>SUMPRODUCT(Calc!$K$3:$K$22*(Calc!$G$3:$G$22&gt;B1306)*(Calc!$G$3:$G$22-B1306)*Calc!$I$3:$I$22)</f>
        <v/>
      </c>
      <c r="P1306">
        <f>I1306-G1306^2/k_n</f>
        <v/>
      </c>
      <c r="Q1306">
        <f>J1306-H1306^2/k_n</f>
        <v/>
      </c>
      <c r="R1306">
        <f>K1306-G1306*H1306/k_n</f>
        <v/>
      </c>
      <c r="S1306">
        <f>L1306-LTP3!$D$3*G1306/k_n</f>
        <v/>
      </c>
      <c r="T1306">
        <f>M1306-LTP3!$D$3*H1306/k_n</f>
        <v/>
      </c>
      <c r="U1306">
        <f>N1306-G1306*LTP3!$D$4/k_n</f>
        <v/>
      </c>
      <c r="V1306">
        <f>O1306-H1306*LTP3!$D$4/k_n</f>
        <v/>
      </c>
      <c r="W1306">
        <f>((LTP3!$D$5)*((P1306)*(Q1306)-(R1306)*(R1306))-(S1306)*((S1306)*(Q1306)-(R1306)*(T1306))+(T1306)*((S1306)*(R1306)-(P1306)*(T1306)))</f>
        <v/>
      </c>
      <c r="X1306">
        <f>IF(ABS(W1306)&gt;1E-12,((LTP3!$D$6)*((P1306)*(Q1306)-(R1306)*(R1306))-(S1306)*((U1306)*(Q1306)-(R1306)*(V1306))+(T1306)*((U1306)*(R1306)-(P1306)*(V1306)))/W1306,0)</f>
        <v/>
      </c>
      <c r="Y1306">
        <f>IF(ABS(W1306)&gt;1E-12,((LTP3!$D$5)*((U1306)*(Q1306)-(R1306)*(V1306))-(LTP3!$D$6)*((S1306)*(Q1306)-(R1306)*(T1306))+(T1306)*((S1306)*(V1306)-(U1306)*(T1306)))/W1306,0)</f>
        <v/>
      </c>
      <c r="Z1306">
        <f>IF(ABS(W1306)&gt;1E-12,((LTP3!$D$5)*((P1306)*(V1306)-(U1306)*(R1306))-(S1306)*((S1306)*(V1306)-(U1306)*(T1306))+(LTP3!$D$6)*((S1306)*(R1306)-(P1306)*(T1306)))/W1306,0)</f>
        <v/>
      </c>
      <c r="AA1306">
        <f>LTP3!$D$7-X1306*LTP3!$D$6-Y1306*U1306-Z1306*V1306</f>
        <v/>
      </c>
      <c r="AB1306">
        <f>IF(AND(F1306,ABS(W1306)&gt;1E-12,Y1306&gt;0,Z1306&gt;0),AA1306,1E+300)</f>
        <v/>
      </c>
    </row>
    <row r="1307">
      <c r="A1307">
        <f>$B$3+$B$5*21</f>
        <v/>
      </c>
      <c r="B1307">
        <f>$B$3+$B$5*14</f>
        <v/>
      </c>
      <c r="C1307">
        <f>SUMPRODUCT(Calc!$K$3:$K$22*(Calc!$G$3:$G$22&lt;=A1307))</f>
        <v/>
      </c>
      <c r="D1307">
        <f>SUMPRODUCT(Calc!$K$3:$K$22*(Calc!$G$3:$G$22&gt;A1307)*(Calc!$G$3:$G$22&lt;B1307))</f>
        <v/>
      </c>
      <c r="E1307">
        <f>SUMPRODUCT(Calc!$K$3:$K$22*(Calc!$G$3:$G$22&gt;=B1307))</f>
        <v/>
      </c>
      <c r="F1307">
        <f>AND(k_n&gt;=5,B1307&gt;A1307+1E-9,C1307&gt;=2,D1307&gt;=1,E1307&gt;=2)</f>
        <v/>
      </c>
      <c r="G1307">
        <f>SUMPRODUCT(Calc!$K$3:$K$22*(Calc!$G$3:$G$22&gt;A1307)*(Calc!$G$3:$G$22-A1307))</f>
        <v/>
      </c>
      <c r="H1307">
        <f>SUMPRODUCT(Calc!$K$3:$K$22*(Calc!$G$3:$G$22&gt;B1307)*(Calc!$G$3:$G$22-B1307))</f>
        <v/>
      </c>
      <c r="I1307">
        <f>SUMPRODUCT(Calc!$K$3:$K$22*(Calc!$G$3:$G$22&gt;A1307)*(Calc!$G$3:$G$22-A1307)^2)</f>
        <v/>
      </c>
      <c r="J1307">
        <f>SUMPRODUCT(Calc!$K$3:$K$22*(Calc!$G$3:$G$22&gt;B1307)*(Calc!$G$3:$G$22-B1307)^2)</f>
        <v/>
      </c>
      <c r="K1307">
        <f>SUMPRODUCT(Calc!$K$3:$K$22*(Calc!$G$3:$G$22&gt;A1307)*(Calc!$G$3:$G$22-A1307)*(Calc!$G$3:$G$22&gt;B1307)*(Calc!$G$3:$G$22-B1307))</f>
        <v/>
      </c>
      <c r="L1307">
        <f>SUMPRODUCT(Calc!$K$3:$K$22*(Calc!$G$3:$G$22&gt;A1307)*(Calc!$G$3:$G$22-A1307)*Calc!$G$3:$G$22)</f>
        <v/>
      </c>
      <c r="M1307">
        <f>SUMPRODUCT(Calc!$K$3:$K$22*(Calc!$G$3:$G$22&gt;B1307)*(Calc!$G$3:$G$22-B1307)*Calc!$G$3:$G$22)</f>
        <v/>
      </c>
      <c r="N1307">
        <f>SUMPRODUCT(Calc!$K$3:$K$22*(Calc!$G$3:$G$22&gt;A1307)*(Calc!$G$3:$G$22-A1307)*Calc!$I$3:$I$22)</f>
        <v/>
      </c>
      <c r="O1307">
        <f>SUMPRODUCT(Calc!$K$3:$K$22*(Calc!$G$3:$G$22&gt;B1307)*(Calc!$G$3:$G$22-B1307)*Calc!$I$3:$I$22)</f>
        <v/>
      </c>
      <c r="P1307">
        <f>I1307-G1307^2/k_n</f>
        <v/>
      </c>
      <c r="Q1307">
        <f>J1307-H1307^2/k_n</f>
        <v/>
      </c>
      <c r="R1307">
        <f>K1307-G1307*H1307/k_n</f>
        <v/>
      </c>
      <c r="S1307">
        <f>L1307-LTP3!$D$3*G1307/k_n</f>
        <v/>
      </c>
      <c r="T1307">
        <f>M1307-LTP3!$D$3*H1307/k_n</f>
        <v/>
      </c>
      <c r="U1307">
        <f>N1307-G1307*LTP3!$D$4/k_n</f>
        <v/>
      </c>
      <c r="V1307">
        <f>O1307-H1307*LTP3!$D$4/k_n</f>
        <v/>
      </c>
      <c r="W1307">
        <f>((LTP3!$D$5)*((P1307)*(Q1307)-(R1307)*(R1307))-(S1307)*((S1307)*(Q1307)-(R1307)*(T1307))+(T1307)*((S1307)*(R1307)-(P1307)*(T1307)))</f>
        <v/>
      </c>
      <c r="X1307">
        <f>IF(ABS(W1307)&gt;1E-12,((LTP3!$D$6)*((P1307)*(Q1307)-(R1307)*(R1307))-(S1307)*((U1307)*(Q1307)-(R1307)*(V1307))+(T1307)*((U1307)*(R1307)-(P1307)*(V1307)))/W1307,0)</f>
        <v/>
      </c>
      <c r="Y1307">
        <f>IF(ABS(W1307)&gt;1E-12,((LTP3!$D$5)*((U1307)*(Q1307)-(R1307)*(V1307))-(LTP3!$D$6)*((S1307)*(Q1307)-(R1307)*(T1307))+(T1307)*((S1307)*(V1307)-(U1307)*(T1307)))/W1307,0)</f>
        <v/>
      </c>
      <c r="Z1307">
        <f>IF(ABS(W1307)&gt;1E-12,((LTP3!$D$5)*((P1307)*(V1307)-(U1307)*(R1307))-(S1307)*((S1307)*(V1307)-(U1307)*(T1307))+(LTP3!$D$6)*((S1307)*(R1307)-(P1307)*(T1307)))/W1307,0)</f>
        <v/>
      </c>
      <c r="AA1307">
        <f>LTP3!$D$7-X1307*LTP3!$D$6-Y1307*U1307-Z1307*V1307</f>
        <v/>
      </c>
      <c r="AB1307">
        <f>IF(AND(F1307,ABS(W1307)&gt;1E-12,Y1307&gt;0,Z1307&gt;0),AA1307,1E+300)</f>
        <v/>
      </c>
    </row>
    <row r="1308">
      <c r="A1308">
        <f>$B$3+$B$5*21</f>
        <v/>
      </c>
      <c r="B1308">
        <f>$B$3+$B$5*15</f>
        <v/>
      </c>
      <c r="C1308">
        <f>SUMPRODUCT(Calc!$K$3:$K$22*(Calc!$G$3:$G$22&lt;=A1308))</f>
        <v/>
      </c>
      <c r="D1308">
        <f>SUMPRODUCT(Calc!$K$3:$K$22*(Calc!$G$3:$G$22&gt;A1308)*(Calc!$G$3:$G$22&lt;B1308))</f>
        <v/>
      </c>
      <c r="E1308">
        <f>SUMPRODUCT(Calc!$K$3:$K$22*(Calc!$G$3:$G$22&gt;=B1308))</f>
        <v/>
      </c>
      <c r="F1308">
        <f>AND(k_n&gt;=5,B1308&gt;A1308+1E-9,C1308&gt;=2,D1308&gt;=1,E1308&gt;=2)</f>
        <v/>
      </c>
      <c r="G1308">
        <f>SUMPRODUCT(Calc!$K$3:$K$22*(Calc!$G$3:$G$22&gt;A1308)*(Calc!$G$3:$G$22-A1308))</f>
        <v/>
      </c>
      <c r="H1308">
        <f>SUMPRODUCT(Calc!$K$3:$K$22*(Calc!$G$3:$G$22&gt;B1308)*(Calc!$G$3:$G$22-B1308))</f>
        <v/>
      </c>
      <c r="I1308">
        <f>SUMPRODUCT(Calc!$K$3:$K$22*(Calc!$G$3:$G$22&gt;A1308)*(Calc!$G$3:$G$22-A1308)^2)</f>
        <v/>
      </c>
      <c r="J1308">
        <f>SUMPRODUCT(Calc!$K$3:$K$22*(Calc!$G$3:$G$22&gt;B1308)*(Calc!$G$3:$G$22-B1308)^2)</f>
        <v/>
      </c>
      <c r="K1308">
        <f>SUMPRODUCT(Calc!$K$3:$K$22*(Calc!$G$3:$G$22&gt;A1308)*(Calc!$G$3:$G$22-A1308)*(Calc!$G$3:$G$22&gt;B1308)*(Calc!$G$3:$G$22-B1308))</f>
        <v/>
      </c>
      <c r="L1308">
        <f>SUMPRODUCT(Calc!$K$3:$K$22*(Calc!$G$3:$G$22&gt;A1308)*(Calc!$G$3:$G$22-A1308)*Calc!$G$3:$G$22)</f>
        <v/>
      </c>
      <c r="M1308">
        <f>SUMPRODUCT(Calc!$K$3:$K$22*(Calc!$G$3:$G$22&gt;B1308)*(Calc!$G$3:$G$22-B1308)*Calc!$G$3:$G$22)</f>
        <v/>
      </c>
      <c r="N1308">
        <f>SUMPRODUCT(Calc!$K$3:$K$22*(Calc!$G$3:$G$22&gt;A1308)*(Calc!$G$3:$G$22-A1308)*Calc!$I$3:$I$22)</f>
        <v/>
      </c>
      <c r="O1308">
        <f>SUMPRODUCT(Calc!$K$3:$K$22*(Calc!$G$3:$G$22&gt;B1308)*(Calc!$G$3:$G$22-B1308)*Calc!$I$3:$I$22)</f>
        <v/>
      </c>
      <c r="P1308">
        <f>I1308-G1308^2/k_n</f>
        <v/>
      </c>
      <c r="Q1308">
        <f>J1308-H1308^2/k_n</f>
        <v/>
      </c>
      <c r="R1308">
        <f>K1308-G1308*H1308/k_n</f>
        <v/>
      </c>
      <c r="S1308">
        <f>L1308-LTP3!$D$3*G1308/k_n</f>
        <v/>
      </c>
      <c r="T1308">
        <f>M1308-LTP3!$D$3*H1308/k_n</f>
        <v/>
      </c>
      <c r="U1308">
        <f>N1308-G1308*LTP3!$D$4/k_n</f>
        <v/>
      </c>
      <c r="V1308">
        <f>O1308-H1308*LTP3!$D$4/k_n</f>
        <v/>
      </c>
      <c r="W1308">
        <f>((LTP3!$D$5)*((P1308)*(Q1308)-(R1308)*(R1308))-(S1308)*((S1308)*(Q1308)-(R1308)*(T1308))+(T1308)*((S1308)*(R1308)-(P1308)*(T1308)))</f>
        <v/>
      </c>
      <c r="X1308">
        <f>IF(ABS(W1308)&gt;1E-12,((LTP3!$D$6)*((P1308)*(Q1308)-(R1308)*(R1308))-(S1308)*((U1308)*(Q1308)-(R1308)*(V1308))+(T1308)*((U1308)*(R1308)-(P1308)*(V1308)))/W1308,0)</f>
        <v/>
      </c>
      <c r="Y1308">
        <f>IF(ABS(W1308)&gt;1E-12,((LTP3!$D$5)*((U1308)*(Q1308)-(R1308)*(V1308))-(LTP3!$D$6)*((S1308)*(Q1308)-(R1308)*(T1308))+(T1308)*((S1308)*(V1308)-(U1308)*(T1308)))/W1308,0)</f>
        <v/>
      </c>
      <c r="Z1308">
        <f>IF(ABS(W1308)&gt;1E-12,((LTP3!$D$5)*((P1308)*(V1308)-(U1308)*(R1308))-(S1308)*((S1308)*(V1308)-(U1308)*(T1308))+(LTP3!$D$6)*((S1308)*(R1308)-(P1308)*(T1308)))/W1308,0)</f>
        <v/>
      </c>
      <c r="AA1308">
        <f>LTP3!$D$7-X1308*LTP3!$D$6-Y1308*U1308-Z1308*V1308</f>
        <v/>
      </c>
      <c r="AB1308">
        <f>IF(AND(F1308,ABS(W1308)&gt;1E-12,Y1308&gt;0,Z1308&gt;0),AA1308,1E+300)</f>
        <v/>
      </c>
    </row>
    <row r="1309">
      <c r="A1309">
        <f>$B$3+$B$5*21</f>
        <v/>
      </c>
      <c r="B1309">
        <f>$B$3+$B$5*16</f>
        <v/>
      </c>
      <c r="C1309">
        <f>SUMPRODUCT(Calc!$K$3:$K$22*(Calc!$G$3:$G$22&lt;=A1309))</f>
        <v/>
      </c>
      <c r="D1309">
        <f>SUMPRODUCT(Calc!$K$3:$K$22*(Calc!$G$3:$G$22&gt;A1309)*(Calc!$G$3:$G$22&lt;B1309))</f>
        <v/>
      </c>
      <c r="E1309">
        <f>SUMPRODUCT(Calc!$K$3:$K$22*(Calc!$G$3:$G$22&gt;=B1309))</f>
        <v/>
      </c>
      <c r="F1309">
        <f>AND(k_n&gt;=5,B1309&gt;A1309+1E-9,C1309&gt;=2,D1309&gt;=1,E1309&gt;=2)</f>
        <v/>
      </c>
      <c r="G1309">
        <f>SUMPRODUCT(Calc!$K$3:$K$22*(Calc!$G$3:$G$22&gt;A1309)*(Calc!$G$3:$G$22-A1309))</f>
        <v/>
      </c>
      <c r="H1309">
        <f>SUMPRODUCT(Calc!$K$3:$K$22*(Calc!$G$3:$G$22&gt;B1309)*(Calc!$G$3:$G$22-B1309))</f>
        <v/>
      </c>
      <c r="I1309">
        <f>SUMPRODUCT(Calc!$K$3:$K$22*(Calc!$G$3:$G$22&gt;A1309)*(Calc!$G$3:$G$22-A1309)^2)</f>
        <v/>
      </c>
      <c r="J1309">
        <f>SUMPRODUCT(Calc!$K$3:$K$22*(Calc!$G$3:$G$22&gt;B1309)*(Calc!$G$3:$G$22-B1309)^2)</f>
        <v/>
      </c>
      <c r="K1309">
        <f>SUMPRODUCT(Calc!$K$3:$K$22*(Calc!$G$3:$G$22&gt;A1309)*(Calc!$G$3:$G$22-A1309)*(Calc!$G$3:$G$22&gt;B1309)*(Calc!$G$3:$G$22-B1309))</f>
        <v/>
      </c>
      <c r="L1309">
        <f>SUMPRODUCT(Calc!$K$3:$K$22*(Calc!$G$3:$G$22&gt;A1309)*(Calc!$G$3:$G$22-A1309)*Calc!$G$3:$G$22)</f>
        <v/>
      </c>
      <c r="M1309">
        <f>SUMPRODUCT(Calc!$K$3:$K$22*(Calc!$G$3:$G$22&gt;B1309)*(Calc!$G$3:$G$22-B1309)*Calc!$G$3:$G$22)</f>
        <v/>
      </c>
      <c r="N1309">
        <f>SUMPRODUCT(Calc!$K$3:$K$22*(Calc!$G$3:$G$22&gt;A1309)*(Calc!$G$3:$G$22-A1309)*Calc!$I$3:$I$22)</f>
        <v/>
      </c>
      <c r="O1309">
        <f>SUMPRODUCT(Calc!$K$3:$K$22*(Calc!$G$3:$G$22&gt;B1309)*(Calc!$G$3:$G$22-B1309)*Calc!$I$3:$I$22)</f>
        <v/>
      </c>
      <c r="P1309">
        <f>I1309-G1309^2/k_n</f>
        <v/>
      </c>
      <c r="Q1309">
        <f>J1309-H1309^2/k_n</f>
        <v/>
      </c>
      <c r="R1309">
        <f>K1309-G1309*H1309/k_n</f>
        <v/>
      </c>
      <c r="S1309">
        <f>L1309-LTP3!$D$3*G1309/k_n</f>
        <v/>
      </c>
      <c r="T1309">
        <f>M1309-LTP3!$D$3*H1309/k_n</f>
        <v/>
      </c>
      <c r="U1309">
        <f>N1309-G1309*LTP3!$D$4/k_n</f>
        <v/>
      </c>
      <c r="V1309">
        <f>O1309-H1309*LTP3!$D$4/k_n</f>
        <v/>
      </c>
      <c r="W1309">
        <f>((LTP3!$D$5)*((P1309)*(Q1309)-(R1309)*(R1309))-(S1309)*((S1309)*(Q1309)-(R1309)*(T1309))+(T1309)*((S1309)*(R1309)-(P1309)*(T1309)))</f>
        <v/>
      </c>
      <c r="X1309">
        <f>IF(ABS(W1309)&gt;1E-12,((LTP3!$D$6)*((P1309)*(Q1309)-(R1309)*(R1309))-(S1309)*((U1309)*(Q1309)-(R1309)*(V1309))+(T1309)*((U1309)*(R1309)-(P1309)*(V1309)))/W1309,0)</f>
        <v/>
      </c>
      <c r="Y1309">
        <f>IF(ABS(W1309)&gt;1E-12,((LTP3!$D$5)*((U1309)*(Q1309)-(R1309)*(V1309))-(LTP3!$D$6)*((S1309)*(Q1309)-(R1309)*(T1309))+(T1309)*((S1309)*(V1309)-(U1309)*(T1309)))/W1309,0)</f>
        <v/>
      </c>
      <c r="Z1309">
        <f>IF(ABS(W1309)&gt;1E-12,((LTP3!$D$5)*((P1309)*(V1309)-(U1309)*(R1309))-(S1309)*((S1309)*(V1309)-(U1309)*(T1309))+(LTP3!$D$6)*((S1309)*(R1309)-(P1309)*(T1309)))/W1309,0)</f>
        <v/>
      </c>
      <c r="AA1309">
        <f>LTP3!$D$7-X1309*LTP3!$D$6-Y1309*U1309-Z1309*V1309</f>
        <v/>
      </c>
      <c r="AB1309">
        <f>IF(AND(F1309,ABS(W1309)&gt;1E-12,Y1309&gt;0,Z1309&gt;0),AA1309,1E+300)</f>
        <v/>
      </c>
    </row>
    <row r="1310">
      <c r="A1310">
        <f>$B$3+$B$5*21</f>
        <v/>
      </c>
      <c r="B1310">
        <f>$B$3+$B$5*17</f>
        <v/>
      </c>
      <c r="C1310">
        <f>SUMPRODUCT(Calc!$K$3:$K$22*(Calc!$G$3:$G$22&lt;=A1310))</f>
        <v/>
      </c>
      <c r="D1310">
        <f>SUMPRODUCT(Calc!$K$3:$K$22*(Calc!$G$3:$G$22&gt;A1310)*(Calc!$G$3:$G$22&lt;B1310))</f>
        <v/>
      </c>
      <c r="E1310">
        <f>SUMPRODUCT(Calc!$K$3:$K$22*(Calc!$G$3:$G$22&gt;=B1310))</f>
        <v/>
      </c>
      <c r="F1310">
        <f>AND(k_n&gt;=5,B1310&gt;A1310+1E-9,C1310&gt;=2,D1310&gt;=1,E1310&gt;=2)</f>
        <v/>
      </c>
      <c r="G1310">
        <f>SUMPRODUCT(Calc!$K$3:$K$22*(Calc!$G$3:$G$22&gt;A1310)*(Calc!$G$3:$G$22-A1310))</f>
        <v/>
      </c>
      <c r="H1310">
        <f>SUMPRODUCT(Calc!$K$3:$K$22*(Calc!$G$3:$G$22&gt;B1310)*(Calc!$G$3:$G$22-B1310))</f>
        <v/>
      </c>
      <c r="I1310">
        <f>SUMPRODUCT(Calc!$K$3:$K$22*(Calc!$G$3:$G$22&gt;A1310)*(Calc!$G$3:$G$22-A1310)^2)</f>
        <v/>
      </c>
      <c r="J1310">
        <f>SUMPRODUCT(Calc!$K$3:$K$22*(Calc!$G$3:$G$22&gt;B1310)*(Calc!$G$3:$G$22-B1310)^2)</f>
        <v/>
      </c>
      <c r="K1310">
        <f>SUMPRODUCT(Calc!$K$3:$K$22*(Calc!$G$3:$G$22&gt;A1310)*(Calc!$G$3:$G$22-A1310)*(Calc!$G$3:$G$22&gt;B1310)*(Calc!$G$3:$G$22-B1310))</f>
        <v/>
      </c>
      <c r="L1310">
        <f>SUMPRODUCT(Calc!$K$3:$K$22*(Calc!$G$3:$G$22&gt;A1310)*(Calc!$G$3:$G$22-A1310)*Calc!$G$3:$G$22)</f>
        <v/>
      </c>
      <c r="M1310">
        <f>SUMPRODUCT(Calc!$K$3:$K$22*(Calc!$G$3:$G$22&gt;B1310)*(Calc!$G$3:$G$22-B1310)*Calc!$G$3:$G$22)</f>
        <v/>
      </c>
      <c r="N1310">
        <f>SUMPRODUCT(Calc!$K$3:$K$22*(Calc!$G$3:$G$22&gt;A1310)*(Calc!$G$3:$G$22-A1310)*Calc!$I$3:$I$22)</f>
        <v/>
      </c>
      <c r="O1310">
        <f>SUMPRODUCT(Calc!$K$3:$K$22*(Calc!$G$3:$G$22&gt;B1310)*(Calc!$G$3:$G$22-B1310)*Calc!$I$3:$I$22)</f>
        <v/>
      </c>
      <c r="P1310">
        <f>I1310-G1310^2/k_n</f>
        <v/>
      </c>
      <c r="Q1310">
        <f>J1310-H1310^2/k_n</f>
        <v/>
      </c>
      <c r="R1310">
        <f>K1310-G1310*H1310/k_n</f>
        <v/>
      </c>
      <c r="S1310">
        <f>L1310-LTP3!$D$3*G1310/k_n</f>
        <v/>
      </c>
      <c r="T1310">
        <f>M1310-LTP3!$D$3*H1310/k_n</f>
        <v/>
      </c>
      <c r="U1310">
        <f>N1310-G1310*LTP3!$D$4/k_n</f>
        <v/>
      </c>
      <c r="V1310">
        <f>O1310-H1310*LTP3!$D$4/k_n</f>
        <v/>
      </c>
      <c r="W1310">
        <f>((LTP3!$D$5)*((P1310)*(Q1310)-(R1310)*(R1310))-(S1310)*((S1310)*(Q1310)-(R1310)*(T1310))+(T1310)*((S1310)*(R1310)-(P1310)*(T1310)))</f>
        <v/>
      </c>
      <c r="X1310">
        <f>IF(ABS(W1310)&gt;1E-12,((LTP3!$D$6)*((P1310)*(Q1310)-(R1310)*(R1310))-(S1310)*((U1310)*(Q1310)-(R1310)*(V1310))+(T1310)*((U1310)*(R1310)-(P1310)*(V1310)))/W1310,0)</f>
        <v/>
      </c>
      <c r="Y1310">
        <f>IF(ABS(W1310)&gt;1E-12,((LTP3!$D$5)*((U1310)*(Q1310)-(R1310)*(V1310))-(LTP3!$D$6)*((S1310)*(Q1310)-(R1310)*(T1310))+(T1310)*((S1310)*(V1310)-(U1310)*(T1310)))/W1310,0)</f>
        <v/>
      </c>
      <c r="Z1310">
        <f>IF(ABS(W1310)&gt;1E-12,((LTP3!$D$5)*((P1310)*(V1310)-(U1310)*(R1310))-(S1310)*((S1310)*(V1310)-(U1310)*(T1310))+(LTP3!$D$6)*((S1310)*(R1310)-(P1310)*(T1310)))/W1310,0)</f>
        <v/>
      </c>
      <c r="AA1310">
        <f>LTP3!$D$7-X1310*LTP3!$D$6-Y1310*U1310-Z1310*V1310</f>
        <v/>
      </c>
      <c r="AB1310">
        <f>IF(AND(F1310,ABS(W1310)&gt;1E-12,Y1310&gt;0,Z1310&gt;0),AA1310,1E+300)</f>
        <v/>
      </c>
    </row>
    <row r="1311">
      <c r="A1311">
        <f>$B$3+$B$5*21</f>
        <v/>
      </c>
      <c r="B1311">
        <f>$B$3+$B$5*18</f>
        <v/>
      </c>
      <c r="C1311">
        <f>SUMPRODUCT(Calc!$K$3:$K$22*(Calc!$G$3:$G$22&lt;=A1311))</f>
        <v/>
      </c>
      <c r="D1311">
        <f>SUMPRODUCT(Calc!$K$3:$K$22*(Calc!$G$3:$G$22&gt;A1311)*(Calc!$G$3:$G$22&lt;B1311))</f>
        <v/>
      </c>
      <c r="E1311">
        <f>SUMPRODUCT(Calc!$K$3:$K$22*(Calc!$G$3:$G$22&gt;=B1311))</f>
        <v/>
      </c>
      <c r="F1311">
        <f>AND(k_n&gt;=5,B1311&gt;A1311+1E-9,C1311&gt;=2,D1311&gt;=1,E1311&gt;=2)</f>
        <v/>
      </c>
      <c r="G1311">
        <f>SUMPRODUCT(Calc!$K$3:$K$22*(Calc!$G$3:$G$22&gt;A1311)*(Calc!$G$3:$G$22-A1311))</f>
        <v/>
      </c>
      <c r="H1311">
        <f>SUMPRODUCT(Calc!$K$3:$K$22*(Calc!$G$3:$G$22&gt;B1311)*(Calc!$G$3:$G$22-B1311))</f>
        <v/>
      </c>
      <c r="I1311">
        <f>SUMPRODUCT(Calc!$K$3:$K$22*(Calc!$G$3:$G$22&gt;A1311)*(Calc!$G$3:$G$22-A1311)^2)</f>
        <v/>
      </c>
      <c r="J1311">
        <f>SUMPRODUCT(Calc!$K$3:$K$22*(Calc!$G$3:$G$22&gt;B1311)*(Calc!$G$3:$G$22-B1311)^2)</f>
        <v/>
      </c>
      <c r="K1311">
        <f>SUMPRODUCT(Calc!$K$3:$K$22*(Calc!$G$3:$G$22&gt;A1311)*(Calc!$G$3:$G$22-A1311)*(Calc!$G$3:$G$22&gt;B1311)*(Calc!$G$3:$G$22-B1311))</f>
        <v/>
      </c>
      <c r="L1311">
        <f>SUMPRODUCT(Calc!$K$3:$K$22*(Calc!$G$3:$G$22&gt;A1311)*(Calc!$G$3:$G$22-A1311)*Calc!$G$3:$G$22)</f>
        <v/>
      </c>
      <c r="M1311">
        <f>SUMPRODUCT(Calc!$K$3:$K$22*(Calc!$G$3:$G$22&gt;B1311)*(Calc!$G$3:$G$22-B1311)*Calc!$G$3:$G$22)</f>
        <v/>
      </c>
      <c r="N1311">
        <f>SUMPRODUCT(Calc!$K$3:$K$22*(Calc!$G$3:$G$22&gt;A1311)*(Calc!$G$3:$G$22-A1311)*Calc!$I$3:$I$22)</f>
        <v/>
      </c>
      <c r="O1311">
        <f>SUMPRODUCT(Calc!$K$3:$K$22*(Calc!$G$3:$G$22&gt;B1311)*(Calc!$G$3:$G$22-B1311)*Calc!$I$3:$I$22)</f>
        <v/>
      </c>
      <c r="P1311">
        <f>I1311-G1311^2/k_n</f>
        <v/>
      </c>
      <c r="Q1311">
        <f>J1311-H1311^2/k_n</f>
        <v/>
      </c>
      <c r="R1311">
        <f>K1311-G1311*H1311/k_n</f>
        <v/>
      </c>
      <c r="S1311">
        <f>L1311-LTP3!$D$3*G1311/k_n</f>
        <v/>
      </c>
      <c r="T1311">
        <f>M1311-LTP3!$D$3*H1311/k_n</f>
        <v/>
      </c>
      <c r="U1311">
        <f>N1311-G1311*LTP3!$D$4/k_n</f>
        <v/>
      </c>
      <c r="V1311">
        <f>O1311-H1311*LTP3!$D$4/k_n</f>
        <v/>
      </c>
      <c r="W1311">
        <f>((LTP3!$D$5)*((P1311)*(Q1311)-(R1311)*(R1311))-(S1311)*((S1311)*(Q1311)-(R1311)*(T1311))+(T1311)*((S1311)*(R1311)-(P1311)*(T1311)))</f>
        <v/>
      </c>
      <c r="X1311">
        <f>IF(ABS(W1311)&gt;1E-12,((LTP3!$D$6)*((P1311)*(Q1311)-(R1311)*(R1311))-(S1311)*((U1311)*(Q1311)-(R1311)*(V1311))+(T1311)*((U1311)*(R1311)-(P1311)*(V1311)))/W1311,0)</f>
        <v/>
      </c>
      <c r="Y1311">
        <f>IF(ABS(W1311)&gt;1E-12,((LTP3!$D$5)*((U1311)*(Q1311)-(R1311)*(V1311))-(LTP3!$D$6)*((S1311)*(Q1311)-(R1311)*(T1311))+(T1311)*((S1311)*(V1311)-(U1311)*(T1311)))/W1311,0)</f>
        <v/>
      </c>
      <c r="Z1311">
        <f>IF(ABS(W1311)&gt;1E-12,((LTP3!$D$5)*((P1311)*(V1311)-(U1311)*(R1311))-(S1311)*((S1311)*(V1311)-(U1311)*(T1311))+(LTP3!$D$6)*((S1311)*(R1311)-(P1311)*(T1311)))/W1311,0)</f>
        <v/>
      </c>
      <c r="AA1311">
        <f>LTP3!$D$7-X1311*LTP3!$D$6-Y1311*U1311-Z1311*V1311</f>
        <v/>
      </c>
      <c r="AB1311">
        <f>IF(AND(F1311,ABS(W1311)&gt;1E-12,Y1311&gt;0,Z1311&gt;0),AA1311,1E+300)</f>
        <v/>
      </c>
    </row>
    <row r="1312">
      <c r="A1312">
        <f>$B$3+$B$5*21</f>
        <v/>
      </c>
      <c r="B1312">
        <f>$B$3+$B$5*19</f>
        <v/>
      </c>
      <c r="C1312">
        <f>SUMPRODUCT(Calc!$K$3:$K$22*(Calc!$G$3:$G$22&lt;=A1312))</f>
        <v/>
      </c>
      <c r="D1312">
        <f>SUMPRODUCT(Calc!$K$3:$K$22*(Calc!$G$3:$G$22&gt;A1312)*(Calc!$G$3:$G$22&lt;B1312))</f>
        <v/>
      </c>
      <c r="E1312">
        <f>SUMPRODUCT(Calc!$K$3:$K$22*(Calc!$G$3:$G$22&gt;=B1312))</f>
        <v/>
      </c>
      <c r="F1312">
        <f>AND(k_n&gt;=5,B1312&gt;A1312+1E-9,C1312&gt;=2,D1312&gt;=1,E1312&gt;=2)</f>
        <v/>
      </c>
      <c r="G1312">
        <f>SUMPRODUCT(Calc!$K$3:$K$22*(Calc!$G$3:$G$22&gt;A1312)*(Calc!$G$3:$G$22-A1312))</f>
        <v/>
      </c>
      <c r="H1312">
        <f>SUMPRODUCT(Calc!$K$3:$K$22*(Calc!$G$3:$G$22&gt;B1312)*(Calc!$G$3:$G$22-B1312))</f>
        <v/>
      </c>
      <c r="I1312">
        <f>SUMPRODUCT(Calc!$K$3:$K$22*(Calc!$G$3:$G$22&gt;A1312)*(Calc!$G$3:$G$22-A1312)^2)</f>
        <v/>
      </c>
      <c r="J1312">
        <f>SUMPRODUCT(Calc!$K$3:$K$22*(Calc!$G$3:$G$22&gt;B1312)*(Calc!$G$3:$G$22-B1312)^2)</f>
        <v/>
      </c>
      <c r="K1312">
        <f>SUMPRODUCT(Calc!$K$3:$K$22*(Calc!$G$3:$G$22&gt;A1312)*(Calc!$G$3:$G$22-A1312)*(Calc!$G$3:$G$22&gt;B1312)*(Calc!$G$3:$G$22-B1312))</f>
        <v/>
      </c>
      <c r="L1312">
        <f>SUMPRODUCT(Calc!$K$3:$K$22*(Calc!$G$3:$G$22&gt;A1312)*(Calc!$G$3:$G$22-A1312)*Calc!$G$3:$G$22)</f>
        <v/>
      </c>
      <c r="M1312">
        <f>SUMPRODUCT(Calc!$K$3:$K$22*(Calc!$G$3:$G$22&gt;B1312)*(Calc!$G$3:$G$22-B1312)*Calc!$G$3:$G$22)</f>
        <v/>
      </c>
      <c r="N1312">
        <f>SUMPRODUCT(Calc!$K$3:$K$22*(Calc!$G$3:$G$22&gt;A1312)*(Calc!$G$3:$G$22-A1312)*Calc!$I$3:$I$22)</f>
        <v/>
      </c>
      <c r="O1312">
        <f>SUMPRODUCT(Calc!$K$3:$K$22*(Calc!$G$3:$G$22&gt;B1312)*(Calc!$G$3:$G$22-B1312)*Calc!$I$3:$I$22)</f>
        <v/>
      </c>
      <c r="P1312">
        <f>I1312-G1312^2/k_n</f>
        <v/>
      </c>
      <c r="Q1312">
        <f>J1312-H1312^2/k_n</f>
        <v/>
      </c>
      <c r="R1312">
        <f>K1312-G1312*H1312/k_n</f>
        <v/>
      </c>
      <c r="S1312">
        <f>L1312-LTP3!$D$3*G1312/k_n</f>
        <v/>
      </c>
      <c r="T1312">
        <f>M1312-LTP3!$D$3*H1312/k_n</f>
        <v/>
      </c>
      <c r="U1312">
        <f>N1312-G1312*LTP3!$D$4/k_n</f>
        <v/>
      </c>
      <c r="V1312">
        <f>O1312-H1312*LTP3!$D$4/k_n</f>
        <v/>
      </c>
      <c r="W1312">
        <f>((LTP3!$D$5)*((P1312)*(Q1312)-(R1312)*(R1312))-(S1312)*((S1312)*(Q1312)-(R1312)*(T1312))+(T1312)*((S1312)*(R1312)-(P1312)*(T1312)))</f>
        <v/>
      </c>
      <c r="X1312">
        <f>IF(ABS(W1312)&gt;1E-12,((LTP3!$D$6)*((P1312)*(Q1312)-(R1312)*(R1312))-(S1312)*((U1312)*(Q1312)-(R1312)*(V1312))+(T1312)*((U1312)*(R1312)-(P1312)*(V1312)))/W1312,0)</f>
        <v/>
      </c>
      <c r="Y1312">
        <f>IF(ABS(W1312)&gt;1E-12,((LTP3!$D$5)*((U1312)*(Q1312)-(R1312)*(V1312))-(LTP3!$D$6)*((S1312)*(Q1312)-(R1312)*(T1312))+(T1312)*((S1312)*(V1312)-(U1312)*(T1312)))/W1312,0)</f>
        <v/>
      </c>
      <c r="Z1312">
        <f>IF(ABS(W1312)&gt;1E-12,((LTP3!$D$5)*((P1312)*(V1312)-(U1312)*(R1312))-(S1312)*((S1312)*(V1312)-(U1312)*(T1312))+(LTP3!$D$6)*((S1312)*(R1312)-(P1312)*(T1312)))/W1312,0)</f>
        <v/>
      </c>
      <c r="AA1312">
        <f>LTP3!$D$7-X1312*LTP3!$D$6-Y1312*U1312-Z1312*V1312</f>
        <v/>
      </c>
      <c r="AB1312">
        <f>IF(AND(F1312,ABS(W1312)&gt;1E-12,Y1312&gt;0,Z1312&gt;0),AA1312,1E+300)</f>
        <v/>
      </c>
    </row>
    <row r="1313">
      <c r="A1313">
        <f>$B$3+$B$5*21</f>
        <v/>
      </c>
      <c r="B1313">
        <f>$B$3+$B$5*20</f>
        <v/>
      </c>
      <c r="C1313">
        <f>SUMPRODUCT(Calc!$K$3:$K$22*(Calc!$G$3:$G$22&lt;=A1313))</f>
        <v/>
      </c>
      <c r="D1313">
        <f>SUMPRODUCT(Calc!$K$3:$K$22*(Calc!$G$3:$G$22&gt;A1313)*(Calc!$G$3:$G$22&lt;B1313))</f>
        <v/>
      </c>
      <c r="E1313">
        <f>SUMPRODUCT(Calc!$K$3:$K$22*(Calc!$G$3:$G$22&gt;=B1313))</f>
        <v/>
      </c>
      <c r="F1313">
        <f>AND(k_n&gt;=5,B1313&gt;A1313+1E-9,C1313&gt;=2,D1313&gt;=1,E1313&gt;=2)</f>
        <v/>
      </c>
      <c r="G1313">
        <f>SUMPRODUCT(Calc!$K$3:$K$22*(Calc!$G$3:$G$22&gt;A1313)*(Calc!$G$3:$G$22-A1313))</f>
        <v/>
      </c>
      <c r="H1313">
        <f>SUMPRODUCT(Calc!$K$3:$K$22*(Calc!$G$3:$G$22&gt;B1313)*(Calc!$G$3:$G$22-B1313))</f>
        <v/>
      </c>
      <c r="I1313">
        <f>SUMPRODUCT(Calc!$K$3:$K$22*(Calc!$G$3:$G$22&gt;A1313)*(Calc!$G$3:$G$22-A1313)^2)</f>
        <v/>
      </c>
      <c r="J1313">
        <f>SUMPRODUCT(Calc!$K$3:$K$22*(Calc!$G$3:$G$22&gt;B1313)*(Calc!$G$3:$G$22-B1313)^2)</f>
        <v/>
      </c>
      <c r="K1313">
        <f>SUMPRODUCT(Calc!$K$3:$K$22*(Calc!$G$3:$G$22&gt;A1313)*(Calc!$G$3:$G$22-A1313)*(Calc!$G$3:$G$22&gt;B1313)*(Calc!$G$3:$G$22-B1313))</f>
        <v/>
      </c>
      <c r="L1313">
        <f>SUMPRODUCT(Calc!$K$3:$K$22*(Calc!$G$3:$G$22&gt;A1313)*(Calc!$G$3:$G$22-A1313)*Calc!$G$3:$G$22)</f>
        <v/>
      </c>
      <c r="M1313">
        <f>SUMPRODUCT(Calc!$K$3:$K$22*(Calc!$G$3:$G$22&gt;B1313)*(Calc!$G$3:$G$22-B1313)*Calc!$G$3:$G$22)</f>
        <v/>
      </c>
      <c r="N1313">
        <f>SUMPRODUCT(Calc!$K$3:$K$22*(Calc!$G$3:$G$22&gt;A1313)*(Calc!$G$3:$G$22-A1313)*Calc!$I$3:$I$22)</f>
        <v/>
      </c>
      <c r="O1313">
        <f>SUMPRODUCT(Calc!$K$3:$K$22*(Calc!$G$3:$G$22&gt;B1313)*(Calc!$G$3:$G$22-B1313)*Calc!$I$3:$I$22)</f>
        <v/>
      </c>
      <c r="P1313">
        <f>I1313-G1313^2/k_n</f>
        <v/>
      </c>
      <c r="Q1313">
        <f>J1313-H1313^2/k_n</f>
        <v/>
      </c>
      <c r="R1313">
        <f>K1313-G1313*H1313/k_n</f>
        <v/>
      </c>
      <c r="S1313">
        <f>L1313-LTP3!$D$3*G1313/k_n</f>
        <v/>
      </c>
      <c r="T1313">
        <f>M1313-LTP3!$D$3*H1313/k_n</f>
        <v/>
      </c>
      <c r="U1313">
        <f>N1313-G1313*LTP3!$D$4/k_n</f>
        <v/>
      </c>
      <c r="V1313">
        <f>O1313-H1313*LTP3!$D$4/k_n</f>
        <v/>
      </c>
      <c r="W1313">
        <f>((LTP3!$D$5)*((P1313)*(Q1313)-(R1313)*(R1313))-(S1313)*((S1313)*(Q1313)-(R1313)*(T1313))+(T1313)*((S1313)*(R1313)-(P1313)*(T1313)))</f>
        <v/>
      </c>
      <c r="X1313">
        <f>IF(ABS(W1313)&gt;1E-12,((LTP3!$D$6)*((P1313)*(Q1313)-(R1313)*(R1313))-(S1313)*((U1313)*(Q1313)-(R1313)*(V1313))+(T1313)*((U1313)*(R1313)-(P1313)*(V1313)))/W1313,0)</f>
        <v/>
      </c>
      <c r="Y1313">
        <f>IF(ABS(W1313)&gt;1E-12,((LTP3!$D$5)*((U1313)*(Q1313)-(R1313)*(V1313))-(LTP3!$D$6)*((S1313)*(Q1313)-(R1313)*(T1313))+(T1313)*((S1313)*(V1313)-(U1313)*(T1313)))/W1313,0)</f>
        <v/>
      </c>
      <c r="Z1313">
        <f>IF(ABS(W1313)&gt;1E-12,((LTP3!$D$5)*((P1313)*(V1313)-(U1313)*(R1313))-(S1313)*((S1313)*(V1313)-(U1313)*(T1313))+(LTP3!$D$6)*((S1313)*(R1313)-(P1313)*(T1313)))/W1313,0)</f>
        <v/>
      </c>
      <c r="AA1313">
        <f>LTP3!$D$7-X1313*LTP3!$D$6-Y1313*U1313-Z1313*V1313</f>
        <v/>
      </c>
      <c r="AB1313">
        <f>IF(AND(F1313,ABS(W1313)&gt;1E-12,Y1313&gt;0,Z1313&gt;0),AA1313,1E+300)</f>
        <v/>
      </c>
    </row>
    <row r="1314">
      <c r="A1314">
        <f>$B$3+$B$5*21</f>
        <v/>
      </c>
      <c r="B1314">
        <f>$B$3+$B$5*21</f>
        <v/>
      </c>
      <c r="C1314">
        <f>SUMPRODUCT(Calc!$K$3:$K$22*(Calc!$G$3:$G$22&lt;=A1314))</f>
        <v/>
      </c>
      <c r="D1314">
        <f>SUMPRODUCT(Calc!$K$3:$K$22*(Calc!$G$3:$G$22&gt;A1314)*(Calc!$G$3:$G$22&lt;B1314))</f>
        <v/>
      </c>
      <c r="E1314">
        <f>SUMPRODUCT(Calc!$K$3:$K$22*(Calc!$G$3:$G$22&gt;=B1314))</f>
        <v/>
      </c>
      <c r="F1314">
        <f>AND(k_n&gt;=5,B1314&gt;A1314+1E-9,C1314&gt;=2,D1314&gt;=1,E1314&gt;=2)</f>
        <v/>
      </c>
      <c r="G1314">
        <f>SUMPRODUCT(Calc!$K$3:$K$22*(Calc!$G$3:$G$22&gt;A1314)*(Calc!$G$3:$G$22-A1314))</f>
        <v/>
      </c>
      <c r="H1314">
        <f>SUMPRODUCT(Calc!$K$3:$K$22*(Calc!$G$3:$G$22&gt;B1314)*(Calc!$G$3:$G$22-B1314))</f>
        <v/>
      </c>
      <c r="I1314">
        <f>SUMPRODUCT(Calc!$K$3:$K$22*(Calc!$G$3:$G$22&gt;A1314)*(Calc!$G$3:$G$22-A1314)^2)</f>
        <v/>
      </c>
      <c r="J1314">
        <f>SUMPRODUCT(Calc!$K$3:$K$22*(Calc!$G$3:$G$22&gt;B1314)*(Calc!$G$3:$G$22-B1314)^2)</f>
        <v/>
      </c>
      <c r="K1314">
        <f>SUMPRODUCT(Calc!$K$3:$K$22*(Calc!$G$3:$G$22&gt;A1314)*(Calc!$G$3:$G$22-A1314)*(Calc!$G$3:$G$22&gt;B1314)*(Calc!$G$3:$G$22-B1314))</f>
        <v/>
      </c>
      <c r="L1314">
        <f>SUMPRODUCT(Calc!$K$3:$K$22*(Calc!$G$3:$G$22&gt;A1314)*(Calc!$G$3:$G$22-A1314)*Calc!$G$3:$G$22)</f>
        <v/>
      </c>
      <c r="M1314">
        <f>SUMPRODUCT(Calc!$K$3:$K$22*(Calc!$G$3:$G$22&gt;B1314)*(Calc!$G$3:$G$22-B1314)*Calc!$G$3:$G$22)</f>
        <v/>
      </c>
      <c r="N1314">
        <f>SUMPRODUCT(Calc!$K$3:$K$22*(Calc!$G$3:$G$22&gt;A1314)*(Calc!$G$3:$G$22-A1314)*Calc!$I$3:$I$22)</f>
        <v/>
      </c>
      <c r="O1314">
        <f>SUMPRODUCT(Calc!$K$3:$K$22*(Calc!$G$3:$G$22&gt;B1314)*(Calc!$G$3:$G$22-B1314)*Calc!$I$3:$I$22)</f>
        <v/>
      </c>
      <c r="P1314">
        <f>I1314-G1314^2/k_n</f>
        <v/>
      </c>
      <c r="Q1314">
        <f>J1314-H1314^2/k_n</f>
        <v/>
      </c>
      <c r="R1314">
        <f>K1314-G1314*H1314/k_n</f>
        <v/>
      </c>
      <c r="S1314">
        <f>L1314-LTP3!$D$3*G1314/k_n</f>
        <v/>
      </c>
      <c r="T1314">
        <f>M1314-LTP3!$D$3*H1314/k_n</f>
        <v/>
      </c>
      <c r="U1314">
        <f>N1314-G1314*LTP3!$D$4/k_n</f>
        <v/>
      </c>
      <c r="V1314">
        <f>O1314-H1314*LTP3!$D$4/k_n</f>
        <v/>
      </c>
      <c r="W1314">
        <f>((LTP3!$D$5)*((P1314)*(Q1314)-(R1314)*(R1314))-(S1314)*((S1314)*(Q1314)-(R1314)*(T1314))+(T1314)*((S1314)*(R1314)-(P1314)*(T1314)))</f>
        <v/>
      </c>
      <c r="X1314">
        <f>IF(ABS(W1314)&gt;1E-12,((LTP3!$D$6)*((P1314)*(Q1314)-(R1314)*(R1314))-(S1314)*((U1314)*(Q1314)-(R1314)*(V1314))+(T1314)*((U1314)*(R1314)-(P1314)*(V1314)))/W1314,0)</f>
        <v/>
      </c>
      <c r="Y1314">
        <f>IF(ABS(W1314)&gt;1E-12,((LTP3!$D$5)*((U1314)*(Q1314)-(R1314)*(V1314))-(LTP3!$D$6)*((S1314)*(Q1314)-(R1314)*(T1314))+(T1314)*((S1314)*(V1314)-(U1314)*(T1314)))/W1314,0)</f>
        <v/>
      </c>
      <c r="Z1314">
        <f>IF(ABS(W1314)&gt;1E-12,((LTP3!$D$5)*((P1314)*(V1314)-(U1314)*(R1314))-(S1314)*((S1314)*(V1314)-(U1314)*(T1314))+(LTP3!$D$6)*((S1314)*(R1314)-(P1314)*(T1314)))/W1314,0)</f>
        <v/>
      </c>
      <c r="AA1314">
        <f>LTP3!$D$7-X1314*LTP3!$D$6-Y1314*U1314-Z1314*V1314</f>
        <v/>
      </c>
      <c r="AB1314">
        <f>IF(AND(F1314,ABS(W1314)&gt;1E-12,Y1314&gt;0,Z1314&gt;0),AA1314,1E+300)</f>
        <v/>
      </c>
    </row>
    <row r="1315">
      <c r="A1315">
        <f>$B$3+$B$5*21</f>
        <v/>
      </c>
      <c r="B1315">
        <f>$B$3+$B$5*22</f>
        <v/>
      </c>
      <c r="C1315">
        <f>SUMPRODUCT(Calc!$K$3:$K$22*(Calc!$G$3:$G$22&lt;=A1315))</f>
        <v/>
      </c>
      <c r="D1315">
        <f>SUMPRODUCT(Calc!$K$3:$K$22*(Calc!$G$3:$G$22&gt;A1315)*(Calc!$G$3:$G$22&lt;B1315))</f>
        <v/>
      </c>
      <c r="E1315">
        <f>SUMPRODUCT(Calc!$K$3:$K$22*(Calc!$G$3:$G$22&gt;=B1315))</f>
        <v/>
      </c>
      <c r="F1315">
        <f>AND(k_n&gt;=5,B1315&gt;A1315+1E-9,C1315&gt;=2,D1315&gt;=1,E1315&gt;=2)</f>
        <v/>
      </c>
      <c r="G1315">
        <f>SUMPRODUCT(Calc!$K$3:$K$22*(Calc!$G$3:$G$22&gt;A1315)*(Calc!$G$3:$G$22-A1315))</f>
        <v/>
      </c>
      <c r="H1315">
        <f>SUMPRODUCT(Calc!$K$3:$K$22*(Calc!$G$3:$G$22&gt;B1315)*(Calc!$G$3:$G$22-B1315))</f>
        <v/>
      </c>
      <c r="I1315">
        <f>SUMPRODUCT(Calc!$K$3:$K$22*(Calc!$G$3:$G$22&gt;A1315)*(Calc!$G$3:$G$22-A1315)^2)</f>
        <v/>
      </c>
      <c r="J1315">
        <f>SUMPRODUCT(Calc!$K$3:$K$22*(Calc!$G$3:$G$22&gt;B1315)*(Calc!$G$3:$G$22-B1315)^2)</f>
        <v/>
      </c>
      <c r="K1315">
        <f>SUMPRODUCT(Calc!$K$3:$K$22*(Calc!$G$3:$G$22&gt;A1315)*(Calc!$G$3:$G$22-A1315)*(Calc!$G$3:$G$22&gt;B1315)*(Calc!$G$3:$G$22-B1315))</f>
        <v/>
      </c>
      <c r="L1315">
        <f>SUMPRODUCT(Calc!$K$3:$K$22*(Calc!$G$3:$G$22&gt;A1315)*(Calc!$G$3:$G$22-A1315)*Calc!$G$3:$G$22)</f>
        <v/>
      </c>
      <c r="M1315">
        <f>SUMPRODUCT(Calc!$K$3:$K$22*(Calc!$G$3:$G$22&gt;B1315)*(Calc!$G$3:$G$22-B1315)*Calc!$G$3:$G$22)</f>
        <v/>
      </c>
      <c r="N1315">
        <f>SUMPRODUCT(Calc!$K$3:$K$22*(Calc!$G$3:$G$22&gt;A1315)*(Calc!$G$3:$G$22-A1315)*Calc!$I$3:$I$22)</f>
        <v/>
      </c>
      <c r="O1315">
        <f>SUMPRODUCT(Calc!$K$3:$K$22*(Calc!$G$3:$G$22&gt;B1315)*(Calc!$G$3:$G$22-B1315)*Calc!$I$3:$I$22)</f>
        <v/>
      </c>
      <c r="P1315">
        <f>I1315-G1315^2/k_n</f>
        <v/>
      </c>
      <c r="Q1315">
        <f>J1315-H1315^2/k_n</f>
        <v/>
      </c>
      <c r="R1315">
        <f>K1315-G1315*H1315/k_n</f>
        <v/>
      </c>
      <c r="S1315">
        <f>L1315-LTP3!$D$3*G1315/k_n</f>
        <v/>
      </c>
      <c r="T1315">
        <f>M1315-LTP3!$D$3*H1315/k_n</f>
        <v/>
      </c>
      <c r="U1315">
        <f>N1315-G1315*LTP3!$D$4/k_n</f>
        <v/>
      </c>
      <c r="V1315">
        <f>O1315-H1315*LTP3!$D$4/k_n</f>
        <v/>
      </c>
      <c r="W1315">
        <f>((LTP3!$D$5)*((P1315)*(Q1315)-(R1315)*(R1315))-(S1315)*((S1315)*(Q1315)-(R1315)*(T1315))+(T1315)*((S1315)*(R1315)-(P1315)*(T1315)))</f>
        <v/>
      </c>
      <c r="X1315">
        <f>IF(ABS(W1315)&gt;1E-12,((LTP3!$D$6)*((P1315)*(Q1315)-(R1315)*(R1315))-(S1315)*((U1315)*(Q1315)-(R1315)*(V1315))+(T1315)*((U1315)*(R1315)-(P1315)*(V1315)))/W1315,0)</f>
        <v/>
      </c>
      <c r="Y1315">
        <f>IF(ABS(W1315)&gt;1E-12,((LTP3!$D$5)*((U1315)*(Q1315)-(R1315)*(V1315))-(LTP3!$D$6)*((S1315)*(Q1315)-(R1315)*(T1315))+(T1315)*((S1315)*(V1315)-(U1315)*(T1315)))/W1315,0)</f>
        <v/>
      </c>
      <c r="Z1315">
        <f>IF(ABS(W1315)&gt;1E-12,((LTP3!$D$5)*((P1315)*(V1315)-(U1315)*(R1315))-(S1315)*((S1315)*(V1315)-(U1315)*(T1315))+(LTP3!$D$6)*((S1315)*(R1315)-(P1315)*(T1315)))/W1315,0)</f>
        <v/>
      </c>
      <c r="AA1315">
        <f>LTP3!$D$7-X1315*LTP3!$D$6-Y1315*U1315-Z1315*V1315</f>
        <v/>
      </c>
      <c r="AB1315">
        <f>IF(AND(F1315,ABS(W1315)&gt;1E-12,Y1315&gt;0,Z1315&gt;0),AA1315,1E+300)</f>
        <v/>
      </c>
    </row>
    <row r="1316">
      <c r="A1316">
        <f>$B$3+$B$5*21</f>
        <v/>
      </c>
      <c r="B1316">
        <f>$B$3+$B$5*23</f>
        <v/>
      </c>
      <c r="C1316">
        <f>SUMPRODUCT(Calc!$K$3:$K$22*(Calc!$G$3:$G$22&lt;=A1316))</f>
        <v/>
      </c>
      <c r="D1316">
        <f>SUMPRODUCT(Calc!$K$3:$K$22*(Calc!$G$3:$G$22&gt;A1316)*(Calc!$G$3:$G$22&lt;B1316))</f>
        <v/>
      </c>
      <c r="E1316">
        <f>SUMPRODUCT(Calc!$K$3:$K$22*(Calc!$G$3:$G$22&gt;=B1316))</f>
        <v/>
      </c>
      <c r="F1316">
        <f>AND(k_n&gt;=5,B1316&gt;A1316+1E-9,C1316&gt;=2,D1316&gt;=1,E1316&gt;=2)</f>
        <v/>
      </c>
      <c r="G1316">
        <f>SUMPRODUCT(Calc!$K$3:$K$22*(Calc!$G$3:$G$22&gt;A1316)*(Calc!$G$3:$G$22-A1316))</f>
        <v/>
      </c>
      <c r="H1316">
        <f>SUMPRODUCT(Calc!$K$3:$K$22*(Calc!$G$3:$G$22&gt;B1316)*(Calc!$G$3:$G$22-B1316))</f>
        <v/>
      </c>
      <c r="I1316">
        <f>SUMPRODUCT(Calc!$K$3:$K$22*(Calc!$G$3:$G$22&gt;A1316)*(Calc!$G$3:$G$22-A1316)^2)</f>
        <v/>
      </c>
      <c r="J1316">
        <f>SUMPRODUCT(Calc!$K$3:$K$22*(Calc!$G$3:$G$22&gt;B1316)*(Calc!$G$3:$G$22-B1316)^2)</f>
        <v/>
      </c>
      <c r="K1316">
        <f>SUMPRODUCT(Calc!$K$3:$K$22*(Calc!$G$3:$G$22&gt;A1316)*(Calc!$G$3:$G$22-A1316)*(Calc!$G$3:$G$22&gt;B1316)*(Calc!$G$3:$G$22-B1316))</f>
        <v/>
      </c>
      <c r="L1316">
        <f>SUMPRODUCT(Calc!$K$3:$K$22*(Calc!$G$3:$G$22&gt;A1316)*(Calc!$G$3:$G$22-A1316)*Calc!$G$3:$G$22)</f>
        <v/>
      </c>
      <c r="M1316">
        <f>SUMPRODUCT(Calc!$K$3:$K$22*(Calc!$G$3:$G$22&gt;B1316)*(Calc!$G$3:$G$22-B1316)*Calc!$G$3:$G$22)</f>
        <v/>
      </c>
      <c r="N1316">
        <f>SUMPRODUCT(Calc!$K$3:$K$22*(Calc!$G$3:$G$22&gt;A1316)*(Calc!$G$3:$G$22-A1316)*Calc!$I$3:$I$22)</f>
        <v/>
      </c>
      <c r="O1316">
        <f>SUMPRODUCT(Calc!$K$3:$K$22*(Calc!$G$3:$G$22&gt;B1316)*(Calc!$G$3:$G$22-B1316)*Calc!$I$3:$I$22)</f>
        <v/>
      </c>
      <c r="P1316">
        <f>I1316-G1316^2/k_n</f>
        <v/>
      </c>
      <c r="Q1316">
        <f>J1316-H1316^2/k_n</f>
        <v/>
      </c>
      <c r="R1316">
        <f>K1316-G1316*H1316/k_n</f>
        <v/>
      </c>
      <c r="S1316">
        <f>L1316-LTP3!$D$3*G1316/k_n</f>
        <v/>
      </c>
      <c r="T1316">
        <f>M1316-LTP3!$D$3*H1316/k_n</f>
        <v/>
      </c>
      <c r="U1316">
        <f>N1316-G1316*LTP3!$D$4/k_n</f>
        <v/>
      </c>
      <c r="V1316">
        <f>O1316-H1316*LTP3!$D$4/k_n</f>
        <v/>
      </c>
      <c r="W1316">
        <f>((LTP3!$D$5)*((P1316)*(Q1316)-(R1316)*(R1316))-(S1316)*((S1316)*(Q1316)-(R1316)*(T1316))+(T1316)*((S1316)*(R1316)-(P1316)*(T1316)))</f>
        <v/>
      </c>
      <c r="X1316">
        <f>IF(ABS(W1316)&gt;1E-12,((LTP3!$D$6)*((P1316)*(Q1316)-(R1316)*(R1316))-(S1316)*((U1316)*(Q1316)-(R1316)*(V1316))+(T1316)*((U1316)*(R1316)-(P1316)*(V1316)))/W1316,0)</f>
        <v/>
      </c>
      <c r="Y1316">
        <f>IF(ABS(W1316)&gt;1E-12,((LTP3!$D$5)*((U1316)*(Q1316)-(R1316)*(V1316))-(LTP3!$D$6)*((S1316)*(Q1316)-(R1316)*(T1316))+(T1316)*((S1316)*(V1316)-(U1316)*(T1316)))/W1316,0)</f>
        <v/>
      </c>
      <c r="Z1316">
        <f>IF(ABS(W1316)&gt;1E-12,((LTP3!$D$5)*((P1316)*(V1316)-(U1316)*(R1316))-(S1316)*((S1316)*(V1316)-(U1316)*(T1316))+(LTP3!$D$6)*((S1316)*(R1316)-(P1316)*(T1316)))/W1316,0)</f>
        <v/>
      </c>
      <c r="AA1316">
        <f>LTP3!$D$7-X1316*LTP3!$D$6-Y1316*U1316-Z1316*V1316</f>
        <v/>
      </c>
      <c r="AB1316">
        <f>IF(AND(F1316,ABS(W1316)&gt;1E-12,Y1316&gt;0,Z1316&gt;0),AA1316,1E+300)</f>
        <v/>
      </c>
    </row>
    <row r="1317">
      <c r="A1317">
        <f>$B$3+$B$5*21</f>
        <v/>
      </c>
      <c r="B1317">
        <f>$B$3+$B$5*24</f>
        <v/>
      </c>
      <c r="C1317">
        <f>SUMPRODUCT(Calc!$K$3:$K$22*(Calc!$G$3:$G$22&lt;=A1317))</f>
        <v/>
      </c>
      <c r="D1317">
        <f>SUMPRODUCT(Calc!$K$3:$K$22*(Calc!$G$3:$G$22&gt;A1317)*(Calc!$G$3:$G$22&lt;B1317))</f>
        <v/>
      </c>
      <c r="E1317">
        <f>SUMPRODUCT(Calc!$K$3:$K$22*(Calc!$G$3:$G$22&gt;=B1317))</f>
        <v/>
      </c>
      <c r="F1317">
        <f>AND(k_n&gt;=5,B1317&gt;A1317+1E-9,C1317&gt;=2,D1317&gt;=1,E1317&gt;=2)</f>
        <v/>
      </c>
      <c r="G1317">
        <f>SUMPRODUCT(Calc!$K$3:$K$22*(Calc!$G$3:$G$22&gt;A1317)*(Calc!$G$3:$G$22-A1317))</f>
        <v/>
      </c>
      <c r="H1317">
        <f>SUMPRODUCT(Calc!$K$3:$K$22*(Calc!$G$3:$G$22&gt;B1317)*(Calc!$G$3:$G$22-B1317))</f>
        <v/>
      </c>
      <c r="I1317">
        <f>SUMPRODUCT(Calc!$K$3:$K$22*(Calc!$G$3:$G$22&gt;A1317)*(Calc!$G$3:$G$22-A1317)^2)</f>
        <v/>
      </c>
      <c r="J1317">
        <f>SUMPRODUCT(Calc!$K$3:$K$22*(Calc!$G$3:$G$22&gt;B1317)*(Calc!$G$3:$G$22-B1317)^2)</f>
        <v/>
      </c>
      <c r="K1317">
        <f>SUMPRODUCT(Calc!$K$3:$K$22*(Calc!$G$3:$G$22&gt;A1317)*(Calc!$G$3:$G$22-A1317)*(Calc!$G$3:$G$22&gt;B1317)*(Calc!$G$3:$G$22-B1317))</f>
        <v/>
      </c>
      <c r="L1317">
        <f>SUMPRODUCT(Calc!$K$3:$K$22*(Calc!$G$3:$G$22&gt;A1317)*(Calc!$G$3:$G$22-A1317)*Calc!$G$3:$G$22)</f>
        <v/>
      </c>
      <c r="M1317">
        <f>SUMPRODUCT(Calc!$K$3:$K$22*(Calc!$G$3:$G$22&gt;B1317)*(Calc!$G$3:$G$22-B1317)*Calc!$G$3:$G$22)</f>
        <v/>
      </c>
      <c r="N1317">
        <f>SUMPRODUCT(Calc!$K$3:$K$22*(Calc!$G$3:$G$22&gt;A1317)*(Calc!$G$3:$G$22-A1317)*Calc!$I$3:$I$22)</f>
        <v/>
      </c>
      <c r="O1317">
        <f>SUMPRODUCT(Calc!$K$3:$K$22*(Calc!$G$3:$G$22&gt;B1317)*(Calc!$G$3:$G$22-B1317)*Calc!$I$3:$I$22)</f>
        <v/>
      </c>
      <c r="P1317">
        <f>I1317-G1317^2/k_n</f>
        <v/>
      </c>
      <c r="Q1317">
        <f>J1317-H1317^2/k_n</f>
        <v/>
      </c>
      <c r="R1317">
        <f>K1317-G1317*H1317/k_n</f>
        <v/>
      </c>
      <c r="S1317">
        <f>L1317-LTP3!$D$3*G1317/k_n</f>
        <v/>
      </c>
      <c r="T1317">
        <f>M1317-LTP3!$D$3*H1317/k_n</f>
        <v/>
      </c>
      <c r="U1317">
        <f>N1317-G1317*LTP3!$D$4/k_n</f>
        <v/>
      </c>
      <c r="V1317">
        <f>O1317-H1317*LTP3!$D$4/k_n</f>
        <v/>
      </c>
      <c r="W1317">
        <f>((LTP3!$D$5)*((P1317)*(Q1317)-(R1317)*(R1317))-(S1317)*((S1317)*(Q1317)-(R1317)*(T1317))+(T1317)*((S1317)*(R1317)-(P1317)*(T1317)))</f>
        <v/>
      </c>
      <c r="X1317">
        <f>IF(ABS(W1317)&gt;1E-12,((LTP3!$D$6)*((P1317)*(Q1317)-(R1317)*(R1317))-(S1317)*((U1317)*(Q1317)-(R1317)*(V1317))+(T1317)*((U1317)*(R1317)-(P1317)*(V1317)))/W1317,0)</f>
        <v/>
      </c>
      <c r="Y1317">
        <f>IF(ABS(W1317)&gt;1E-12,((LTP3!$D$5)*((U1317)*(Q1317)-(R1317)*(V1317))-(LTP3!$D$6)*((S1317)*(Q1317)-(R1317)*(T1317))+(T1317)*((S1317)*(V1317)-(U1317)*(T1317)))/W1317,0)</f>
        <v/>
      </c>
      <c r="Z1317">
        <f>IF(ABS(W1317)&gt;1E-12,((LTP3!$D$5)*((P1317)*(V1317)-(U1317)*(R1317))-(S1317)*((S1317)*(V1317)-(U1317)*(T1317))+(LTP3!$D$6)*((S1317)*(R1317)-(P1317)*(T1317)))/W1317,0)</f>
        <v/>
      </c>
      <c r="AA1317">
        <f>LTP3!$D$7-X1317*LTP3!$D$6-Y1317*U1317-Z1317*V1317</f>
        <v/>
      </c>
      <c r="AB1317">
        <f>IF(AND(F1317,ABS(W1317)&gt;1E-12,Y1317&gt;0,Z1317&gt;0),AA1317,1E+300)</f>
        <v/>
      </c>
    </row>
    <row r="1318">
      <c r="A1318">
        <f>$B$3+$B$5*21</f>
        <v/>
      </c>
      <c r="B1318">
        <f>$B$3+$B$5*25</f>
        <v/>
      </c>
      <c r="C1318">
        <f>SUMPRODUCT(Calc!$K$3:$K$22*(Calc!$G$3:$G$22&lt;=A1318))</f>
        <v/>
      </c>
      <c r="D1318">
        <f>SUMPRODUCT(Calc!$K$3:$K$22*(Calc!$G$3:$G$22&gt;A1318)*(Calc!$G$3:$G$22&lt;B1318))</f>
        <v/>
      </c>
      <c r="E1318">
        <f>SUMPRODUCT(Calc!$K$3:$K$22*(Calc!$G$3:$G$22&gt;=B1318))</f>
        <v/>
      </c>
      <c r="F1318">
        <f>AND(k_n&gt;=5,B1318&gt;A1318+1E-9,C1318&gt;=2,D1318&gt;=1,E1318&gt;=2)</f>
        <v/>
      </c>
      <c r="G1318">
        <f>SUMPRODUCT(Calc!$K$3:$K$22*(Calc!$G$3:$G$22&gt;A1318)*(Calc!$G$3:$G$22-A1318))</f>
        <v/>
      </c>
      <c r="H1318">
        <f>SUMPRODUCT(Calc!$K$3:$K$22*(Calc!$G$3:$G$22&gt;B1318)*(Calc!$G$3:$G$22-B1318))</f>
        <v/>
      </c>
      <c r="I1318">
        <f>SUMPRODUCT(Calc!$K$3:$K$22*(Calc!$G$3:$G$22&gt;A1318)*(Calc!$G$3:$G$22-A1318)^2)</f>
        <v/>
      </c>
      <c r="J1318">
        <f>SUMPRODUCT(Calc!$K$3:$K$22*(Calc!$G$3:$G$22&gt;B1318)*(Calc!$G$3:$G$22-B1318)^2)</f>
        <v/>
      </c>
      <c r="K1318">
        <f>SUMPRODUCT(Calc!$K$3:$K$22*(Calc!$G$3:$G$22&gt;A1318)*(Calc!$G$3:$G$22-A1318)*(Calc!$G$3:$G$22&gt;B1318)*(Calc!$G$3:$G$22-B1318))</f>
        <v/>
      </c>
      <c r="L1318">
        <f>SUMPRODUCT(Calc!$K$3:$K$22*(Calc!$G$3:$G$22&gt;A1318)*(Calc!$G$3:$G$22-A1318)*Calc!$G$3:$G$22)</f>
        <v/>
      </c>
      <c r="M1318">
        <f>SUMPRODUCT(Calc!$K$3:$K$22*(Calc!$G$3:$G$22&gt;B1318)*(Calc!$G$3:$G$22-B1318)*Calc!$G$3:$G$22)</f>
        <v/>
      </c>
      <c r="N1318">
        <f>SUMPRODUCT(Calc!$K$3:$K$22*(Calc!$G$3:$G$22&gt;A1318)*(Calc!$G$3:$G$22-A1318)*Calc!$I$3:$I$22)</f>
        <v/>
      </c>
      <c r="O1318">
        <f>SUMPRODUCT(Calc!$K$3:$K$22*(Calc!$G$3:$G$22&gt;B1318)*(Calc!$G$3:$G$22-B1318)*Calc!$I$3:$I$22)</f>
        <v/>
      </c>
      <c r="P1318">
        <f>I1318-G1318^2/k_n</f>
        <v/>
      </c>
      <c r="Q1318">
        <f>J1318-H1318^2/k_n</f>
        <v/>
      </c>
      <c r="R1318">
        <f>K1318-G1318*H1318/k_n</f>
        <v/>
      </c>
      <c r="S1318">
        <f>L1318-LTP3!$D$3*G1318/k_n</f>
        <v/>
      </c>
      <c r="T1318">
        <f>M1318-LTP3!$D$3*H1318/k_n</f>
        <v/>
      </c>
      <c r="U1318">
        <f>N1318-G1318*LTP3!$D$4/k_n</f>
        <v/>
      </c>
      <c r="V1318">
        <f>O1318-H1318*LTP3!$D$4/k_n</f>
        <v/>
      </c>
      <c r="W1318">
        <f>((LTP3!$D$5)*((P1318)*(Q1318)-(R1318)*(R1318))-(S1318)*((S1318)*(Q1318)-(R1318)*(T1318))+(T1318)*((S1318)*(R1318)-(P1318)*(T1318)))</f>
        <v/>
      </c>
      <c r="X1318">
        <f>IF(ABS(W1318)&gt;1E-12,((LTP3!$D$6)*((P1318)*(Q1318)-(R1318)*(R1318))-(S1318)*((U1318)*(Q1318)-(R1318)*(V1318))+(T1318)*((U1318)*(R1318)-(P1318)*(V1318)))/W1318,0)</f>
        <v/>
      </c>
      <c r="Y1318">
        <f>IF(ABS(W1318)&gt;1E-12,((LTP3!$D$5)*((U1318)*(Q1318)-(R1318)*(V1318))-(LTP3!$D$6)*((S1318)*(Q1318)-(R1318)*(T1318))+(T1318)*((S1318)*(V1318)-(U1318)*(T1318)))/W1318,0)</f>
        <v/>
      </c>
      <c r="Z1318">
        <f>IF(ABS(W1318)&gt;1E-12,((LTP3!$D$5)*((P1318)*(V1318)-(U1318)*(R1318))-(S1318)*((S1318)*(V1318)-(U1318)*(T1318))+(LTP3!$D$6)*((S1318)*(R1318)-(P1318)*(T1318)))/W1318,0)</f>
        <v/>
      </c>
      <c r="AA1318">
        <f>LTP3!$D$7-X1318*LTP3!$D$6-Y1318*U1318-Z1318*V1318</f>
        <v/>
      </c>
      <c r="AB1318">
        <f>IF(AND(F1318,ABS(W1318)&gt;1E-12,Y1318&gt;0,Z1318&gt;0),AA1318,1E+300)</f>
        <v/>
      </c>
    </row>
    <row r="1319">
      <c r="A1319">
        <f>$B$3+$B$5*21</f>
        <v/>
      </c>
      <c r="B1319">
        <f>$B$3+$B$5*26</f>
        <v/>
      </c>
      <c r="C1319">
        <f>SUMPRODUCT(Calc!$K$3:$K$22*(Calc!$G$3:$G$22&lt;=A1319))</f>
        <v/>
      </c>
      <c r="D1319">
        <f>SUMPRODUCT(Calc!$K$3:$K$22*(Calc!$G$3:$G$22&gt;A1319)*(Calc!$G$3:$G$22&lt;B1319))</f>
        <v/>
      </c>
      <c r="E1319">
        <f>SUMPRODUCT(Calc!$K$3:$K$22*(Calc!$G$3:$G$22&gt;=B1319))</f>
        <v/>
      </c>
      <c r="F1319">
        <f>AND(k_n&gt;=5,B1319&gt;A1319+1E-9,C1319&gt;=2,D1319&gt;=1,E1319&gt;=2)</f>
        <v/>
      </c>
      <c r="G1319">
        <f>SUMPRODUCT(Calc!$K$3:$K$22*(Calc!$G$3:$G$22&gt;A1319)*(Calc!$G$3:$G$22-A1319))</f>
        <v/>
      </c>
      <c r="H1319">
        <f>SUMPRODUCT(Calc!$K$3:$K$22*(Calc!$G$3:$G$22&gt;B1319)*(Calc!$G$3:$G$22-B1319))</f>
        <v/>
      </c>
      <c r="I1319">
        <f>SUMPRODUCT(Calc!$K$3:$K$22*(Calc!$G$3:$G$22&gt;A1319)*(Calc!$G$3:$G$22-A1319)^2)</f>
        <v/>
      </c>
      <c r="J1319">
        <f>SUMPRODUCT(Calc!$K$3:$K$22*(Calc!$G$3:$G$22&gt;B1319)*(Calc!$G$3:$G$22-B1319)^2)</f>
        <v/>
      </c>
      <c r="K1319">
        <f>SUMPRODUCT(Calc!$K$3:$K$22*(Calc!$G$3:$G$22&gt;A1319)*(Calc!$G$3:$G$22-A1319)*(Calc!$G$3:$G$22&gt;B1319)*(Calc!$G$3:$G$22-B1319))</f>
        <v/>
      </c>
      <c r="L1319">
        <f>SUMPRODUCT(Calc!$K$3:$K$22*(Calc!$G$3:$G$22&gt;A1319)*(Calc!$G$3:$G$22-A1319)*Calc!$G$3:$G$22)</f>
        <v/>
      </c>
      <c r="M1319">
        <f>SUMPRODUCT(Calc!$K$3:$K$22*(Calc!$G$3:$G$22&gt;B1319)*(Calc!$G$3:$G$22-B1319)*Calc!$G$3:$G$22)</f>
        <v/>
      </c>
      <c r="N1319">
        <f>SUMPRODUCT(Calc!$K$3:$K$22*(Calc!$G$3:$G$22&gt;A1319)*(Calc!$G$3:$G$22-A1319)*Calc!$I$3:$I$22)</f>
        <v/>
      </c>
      <c r="O1319">
        <f>SUMPRODUCT(Calc!$K$3:$K$22*(Calc!$G$3:$G$22&gt;B1319)*(Calc!$G$3:$G$22-B1319)*Calc!$I$3:$I$22)</f>
        <v/>
      </c>
      <c r="P1319">
        <f>I1319-G1319^2/k_n</f>
        <v/>
      </c>
      <c r="Q1319">
        <f>J1319-H1319^2/k_n</f>
        <v/>
      </c>
      <c r="R1319">
        <f>K1319-G1319*H1319/k_n</f>
        <v/>
      </c>
      <c r="S1319">
        <f>L1319-LTP3!$D$3*G1319/k_n</f>
        <v/>
      </c>
      <c r="T1319">
        <f>M1319-LTP3!$D$3*H1319/k_n</f>
        <v/>
      </c>
      <c r="U1319">
        <f>N1319-G1319*LTP3!$D$4/k_n</f>
        <v/>
      </c>
      <c r="V1319">
        <f>O1319-H1319*LTP3!$D$4/k_n</f>
        <v/>
      </c>
      <c r="W1319">
        <f>((LTP3!$D$5)*((P1319)*(Q1319)-(R1319)*(R1319))-(S1319)*((S1319)*(Q1319)-(R1319)*(T1319))+(T1319)*((S1319)*(R1319)-(P1319)*(T1319)))</f>
        <v/>
      </c>
      <c r="X1319">
        <f>IF(ABS(W1319)&gt;1E-12,((LTP3!$D$6)*((P1319)*(Q1319)-(R1319)*(R1319))-(S1319)*((U1319)*(Q1319)-(R1319)*(V1319))+(T1319)*((U1319)*(R1319)-(P1319)*(V1319)))/W1319,0)</f>
        <v/>
      </c>
      <c r="Y1319">
        <f>IF(ABS(W1319)&gt;1E-12,((LTP3!$D$5)*((U1319)*(Q1319)-(R1319)*(V1319))-(LTP3!$D$6)*((S1319)*(Q1319)-(R1319)*(T1319))+(T1319)*((S1319)*(V1319)-(U1319)*(T1319)))/W1319,0)</f>
        <v/>
      </c>
      <c r="Z1319">
        <f>IF(ABS(W1319)&gt;1E-12,((LTP3!$D$5)*((P1319)*(V1319)-(U1319)*(R1319))-(S1319)*((S1319)*(V1319)-(U1319)*(T1319))+(LTP3!$D$6)*((S1319)*(R1319)-(P1319)*(T1319)))/W1319,0)</f>
        <v/>
      </c>
      <c r="AA1319">
        <f>LTP3!$D$7-X1319*LTP3!$D$6-Y1319*U1319-Z1319*V1319</f>
        <v/>
      </c>
      <c r="AB1319">
        <f>IF(AND(F1319,ABS(W1319)&gt;1E-12,Y1319&gt;0,Z1319&gt;0),AA1319,1E+300)</f>
        <v/>
      </c>
    </row>
    <row r="1320">
      <c r="A1320">
        <f>$B$3+$B$5*21</f>
        <v/>
      </c>
      <c r="B1320">
        <f>$B$3+$B$5*27</f>
        <v/>
      </c>
      <c r="C1320">
        <f>SUMPRODUCT(Calc!$K$3:$K$22*(Calc!$G$3:$G$22&lt;=A1320))</f>
        <v/>
      </c>
      <c r="D1320">
        <f>SUMPRODUCT(Calc!$K$3:$K$22*(Calc!$G$3:$G$22&gt;A1320)*(Calc!$G$3:$G$22&lt;B1320))</f>
        <v/>
      </c>
      <c r="E1320">
        <f>SUMPRODUCT(Calc!$K$3:$K$22*(Calc!$G$3:$G$22&gt;=B1320))</f>
        <v/>
      </c>
      <c r="F1320">
        <f>AND(k_n&gt;=5,B1320&gt;A1320+1E-9,C1320&gt;=2,D1320&gt;=1,E1320&gt;=2)</f>
        <v/>
      </c>
      <c r="G1320">
        <f>SUMPRODUCT(Calc!$K$3:$K$22*(Calc!$G$3:$G$22&gt;A1320)*(Calc!$G$3:$G$22-A1320))</f>
        <v/>
      </c>
      <c r="H1320">
        <f>SUMPRODUCT(Calc!$K$3:$K$22*(Calc!$G$3:$G$22&gt;B1320)*(Calc!$G$3:$G$22-B1320))</f>
        <v/>
      </c>
      <c r="I1320">
        <f>SUMPRODUCT(Calc!$K$3:$K$22*(Calc!$G$3:$G$22&gt;A1320)*(Calc!$G$3:$G$22-A1320)^2)</f>
        <v/>
      </c>
      <c r="J1320">
        <f>SUMPRODUCT(Calc!$K$3:$K$22*(Calc!$G$3:$G$22&gt;B1320)*(Calc!$G$3:$G$22-B1320)^2)</f>
        <v/>
      </c>
      <c r="K1320">
        <f>SUMPRODUCT(Calc!$K$3:$K$22*(Calc!$G$3:$G$22&gt;A1320)*(Calc!$G$3:$G$22-A1320)*(Calc!$G$3:$G$22&gt;B1320)*(Calc!$G$3:$G$22-B1320))</f>
        <v/>
      </c>
      <c r="L1320">
        <f>SUMPRODUCT(Calc!$K$3:$K$22*(Calc!$G$3:$G$22&gt;A1320)*(Calc!$G$3:$G$22-A1320)*Calc!$G$3:$G$22)</f>
        <v/>
      </c>
      <c r="M1320">
        <f>SUMPRODUCT(Calc!$K$3:$K$22*(Calc!$G$3:$G$22&gt;B1320)*(Calc!$G$3:$G$22-B1320)*Calc!$G$3:$G$22)</f>
        <v/>
      </c>
      <c r="N1320">
        <f>SUMPRODUCT(Calc!$K$3:$K$22*(Calc!$G$3:$G$22&gt;A1320)*(Calc!$G$3:$G$22-A1320)*Calc!$I$3:$I$22)</f>
        <v/>
      </c>
      <c r="O1320">
        <f>SUMPRODUCT(Calc!$K$3:$K$22*(Calc!$G$3:$G$22&gt;B1320)*(Calc!$G$3:$G$22-B1320)*Calc!$I$3:$I$22)</f>
        <v/>
      </c>
      <c r="P1320">
        <f>I1320-G1320^2/k_n</f>
        <v/>
      </c>
      <c r="Q1320">
        <f>J1320-H1320^2/k_n</f>
        <v/>
      </c>
      <c r="R1320">
        <f>K1320-G1320*H1320/k_n</f>
        <v/>
      </c>
      <c r="S1320">
        <f>L1320-LTP3!$D$3*G1320/k_n</f>
        <v/>
      </c>
      <c r="T1320">
        <f>M1320-LTP3!$D$3*H1320/k_n</f>
        <v/>
      </c>
      <c r="U1320">
        <f>N1320-G1320*LTP3!$D$4/k_n</f>
        <v/>
      </c>
      <c r="V1320">
        <f>O1320-H1320*LTP3!$D$4/k_n</f>
        <v/>
      </c>
      <c r="W1320">
        <f>((LTP3!$D$5)*((P1320)*(Q1320)-(R1320)*(R1320))-(S1320)*((S1320)*(Q1320)-(R1320)*(T1320))+(T1320)*((S1320)*(R1320)-(P1320)*(T1320)))</f>
        <v/>
      </c>
      <c r="X1320">
        <f>IF(ABS(W1320)&gt;1E-12,((LTP3!$D$6)*((P1320)*(Q1320)-(R1320)*(R1320))-(S1320)*((U1320)*(Q1320)-(R1320)*(V1320))+(T1320)*((U1320)*(R1320)-(P1320)*(V1320)))/W1320,0)</f>
        <v/>
      </c>
      <c r="Y1320">
        <f>IF(ABS(W1320)&gt;1E-12,((LTP3!$D$5)*((U1320)*(Q1320)-(R1320)*(V1320))-(LTP3!$D$6)*((S1320)*(Q1320)-(R1320)*(T1320))+(T1320)*((S1320)*(V1320)-(U1320)*(T1320)))/W1320,0)</f>
        <v/>
      </c>
      <c r="Z1320">
        <f>IF(ABS(W1320)&gt;1E-12,((LTP3!$D$5)*((P1320)*(V1320)-(U1320)*(R1320))-(S1320)*((S1320)*(V1320)-(U1320)*(T1320))+(LTP3!$D$6)*((S1320)*(R1320)-(P1320)*(T1320)))/W1320,0)</f>
        <v/>
      </c>
      <c r="AA1320">
        <f>LTP3!$D$7-X1320*LTP3!$D$6-Y1320*U1320-Z1320*V1320</f>
        <v/>
      </c>
      <c r="AB1320">
        <f>IF(AND(F1320,ABS(W1320)&gt;1E-12,Y1320&gt;0,Z1320&gt;0),AA1320,1E+300)</f>
        <v/>
      </c>
    </row>
    <row r="1321">
      <c r="A1321">
        <f>$B$3+$B$5*21</f>
        <v/>
      </c>
      <c r="B1321">
        <f>$B$3+$B$5*28</f>
        <v/>
      </c>
      <c r="C1321">
        <f>SUMPRODUCT(Calc!$K$3:$K$22*(Calc!$G$3:$G$22&lt;=A1321))</f>
        <v/>
      </c>
      <c r="D1321">
        <f>SUMPRODUCT(Calc!$K$3:$K$22*(Calc!$G$3:$G$22&gt;A1321)*(Calc!$G$3:$G$22&lt;B1321))</f>
        <v/>
      </c>
      <c r="E1321">
        <f>SUMPRODUCT(Calc!$K$3:$K$22*(Calc!$G$3:$G$22&gt;=B1321))</f>
        <v/>
      </c>
      <c r="F1321">
        <f>AND(k_n&gt;=5,B1321&gt;A1321+1E-9,C1321&gt;=2,D1321&gt;=1,E1321&gt;=2)</f>
        <v/>
      </c>
      <c r="G1321">
        <f>SUMPRODUCT(Calc!$K$3:$K$22*(Calc!$G$3:$G$22&gt;A1321)*(Calc!$G$3:$G$22-A1321))</f>
        <v/>
      </c>
      <c r="H1321">
        <f>SUMPRODUCT(Calc!$K$3:$K$22*(Calc!$G$3:$G$22&gt;B1321)*(Calc!$G$3:$G$22-B1321))</f>
        <v/>
      </c>
      <c r="I1321">
        <f>SUMPRODUCT(Calc!$K$3:$K$22*(Calc!$G$3:$G$22&gt;A1321)*(Calc!$G$3:$G$22-A1321)^2)</f>
        <v/>
      </c>
      <c r="J1321">
        <f>SUMPRODUCT(Calc!$K$3:$K$22*(Calc!$G$3:$G$22&gt;B1321)*(Calc!$G$3:$G$22-B1321)^2)</f>
        <v/>
      </c>
      <c r="K1321">
        <f>SUMPRODUCT(Calc!$K$3:$K$22*(Calc!$G$3:$G$22&gt;A1321)*(Calc!$G$3:$G$22-A1321)*(Calc!$G$3:$G$22&gt;B1321)*(Calc!$G$3:$G$22-B1321))</f>
        <v/>
      </c>
      <c r="L1321">
        <f>SUMPRODUCT(Calc!$K$3:$K$22*(Calc!$G$3:$G$22&gt;A1321)*(Calc!$G$3:$G$22-A1321)*Calc!$G$3:$G$22)</f>
        <v/>
      </c>
      <c r="M1321">
        <f>SUMPRODUCT(Calc!$K$3:$K$22*(Calc!$G$3:$G$22&gt;B1321)*(Calc!$G$3:$G$22-B1321)*Calc!$G$3:$G$22)</f>
        <v/>
      </c>
      <c r="N1321">
        <f>SUMPRODUCT(Calc!$K$3:$K$22*(Calc!$G$3:$G$22&gt;A1321)*(Calc!$G$3:$G$22-A1321)*Calc!$I$3:$I$22)</f>
        <v/>
      </c>
      <c r="O1321">
        <f>SUMPRODUCT(Calc!$K$3:$K$22*(Calc!$G$3:$G$22&gt;B1321)*(Calc!$G$3:$G$22-B1321)*Calc!$I$3:$I$22)</f>
        <v/>
      </c>
      <c r="P1321">
        <f>I1321-G1321^2/k_n</f>
        <v/>
      </c>
      <c r="Q1321">
        <f>J1321-H1321^2/k_n</f>
        <v/>
      </c>
      <c r="R1321">
        <f>K1321-G1321*H1321/k_n</f>
        <v/>
      </c>
      <c r="S1321">
        <f>L1321-LTP3!$D$3*G1321/k_n</f>
        <v/>
      </c>
      <c r="T1321">
        <f>M1321-LTP3!$D$3*H1321/k_n</f>
        <v/>
      </c>
      <c r="U1321">
        <f>N1321-G1321*LTP3!$D$4/k_n</f>
        <v/>
      </c>
      <c r="V1321">
        <f>O1321-H1321*LTP3!$D$4/k_n</f>
        <v/>
      </c>
      <c r="W1321">
        <f>((LTP3!$D$5)*((P1321)*(Q1321)-(R1321)*(R1321))-(S1321)*((S1321)*(Q1321)-(R1321)*(T1321))+(T1321)*((S1321)*(R1321)-(P1321)*(T1321)))</f>
        <v/>
      </c>
      <c r="X1321">
        <f>IF(ABS(W1321)&gt;1E-12,((LTP3!$D$6)*((P1321)*(Q1321)-(R1321)*(R1321))-(S1321)*((U1321)*(Q1321)-(R1321)*(V1321))+(T1321)*((U1321)*(R1321)-(P1321)*(V1321)))/W1321,0)</f>
        <v/>
      </c>
      <c r="Y1321">
        <f>IF(ABS(W1321)&gt;1E-12,((LTP3!$D$5)*((U1321)*(Q1321)-(R1321)*(V1321))-(LTP3!$D$6)*((S1321)*(Q1321)-(R1321)*(T1321))+(T1321)*((S1321)*(V1321)-(U1321)*(T1321)))/W1321,0)</f>
        <v/>
      </c>
      <c r="Z1321">
        <f>IF(ABS(W1321)&gt;1E-12,((LTP3!$D$5)*((P1321)*(V1321)-(U1321)*(R1321))-(S1321)*((S1321)*(V1321)-(U1321)*(T1321))+(LTP3!$D$6)*((S1321)*(R1321)-(P1321)*(T1321)))/W1321,0)</f>
        <v/>
      </c>
      <c r="AA1321">
        <f>LTP3!$D$7-X1321*LTP3!$D$6-Y1321*U1321-Z1321*V1321</f>
        <v/>
      </c>
      <c r="AB1321">
        <f>IF(AND(F1321,ABS(W1321)&gt;1E-12,Y1321&gt;0,Z1321&gt;0),AA1321,1E+300)</f>
        <v/>
      </c>
    </row>
    <row r="1322">
      <c r="A1322">
        <f>$B$3+$B$5*21</f>
        <v/>
      </c>
      <c r="B1322">
        <f>$B$3+$B$5*29</f>
        <v/>
      </c>
      <c r="C1322">
        <f>SUMPRODUCT(Calc!$K$3:$K$22*(Calc!$G$3:$G$22&lt;=A1322))</f>
        <v/>
      </c>
      <c r="D1322">
        <f>SUMPRODUCT(Calc!$K$3:$K$22*(Calc!$G$3:$G$22&gt;A1322)*(Calc!$G$3:$G$22&lt;B1322))</f>
        <v/>
      </c>
      <c r="E1322">
        <f>SUMPRODUCT(Calc!$K$3:$K$22*(Calc!$G$3:$G$22&gt;=B1322))</f>
        <v/>
      </c>
      <c r="F1322">
        <f>AND(k_n&gt;=5,B1322&gt;A1322+1E-9,C1322&gt;=2,D1322&gt;=1,E1322&gt;=2)</f>
        <v/>
      </c>
      <c r="G1322">
        <f>SUMPRODUCT(Calc!$K$3:$K$22*(Calc!$G$3:$G$22&gt;A1322)*(Calc!$G$3:$G$22-A1322))</f>
        <v/>
      </c>
      <c r="H1322">
        <f>SUMPRODUCT(Calc!$K$3:$K$22*(Calc!$G$3:$G$22&gt;B1322)*(Calc!$G$3:$G$22-B1322))</f>
        <v/>
      </c>
      <c r="I1322">
        <f>SUMPRODUCT(Calc!$K$3:$K$22*(Calc!$G$3:$G$22&gt;A1322)*(Calc!$G$3:$G$22-A1322)^2)</f>
        <v/>
      </c>
      <c r="J1322">
        <f>SUMPRODUCT(Calc!$K$3:$K$22*(Calc!$G$3:$G$22&gt;B1322)*(Calc!$G$3:$G$22-B1322)^2)</f>
        <v/>
      </c>
      <c r="K1322">
        <f>SUMPRODUCT(Calc!$K$3:$K$22*(Calc!$G$3:$G$22&gt;A1322)*(Calc!$G$3:$G$22-A1322)*(Calc!$G$3:$G$22&gt;B1322)*(Calc!$G$3:$G$22-B1322))</f>
        <v/>
      </c>
      <c r="L1322">
        <f>SUMPRODUCT(Calc!$K$3:$K$22*(Calc!$G$3:$G$22&gt;A1322)*(Calc!$G$3:$G$22-A1322)*Calc!$G$3:$G$22)</f>
        <v/>
      </c>
      <c r="M1322">
        <f>SUMPRODUCT(Calc!$K$3:$K$22*(Calc!$G$3:$G$22&gt;B1322)*(Calc!$G$3:$G$22-B1322)*Calc!$G$3:$G$22)</f>
        <v/>
      </c>
      <c r="N1322">
        <f>SUMPRODUCT(Calc!$K$3:$K$22*(Calc!$G$3:$G$22&gt;A1322)*(Calc!$G$3:$G$22-A1322)*Calc!$I$3:$I$22)</f>
        <v/>
      </c>
      <c r="O1322">
        <f>SUMPRODUCT(Calc!$K$3:$K$22*(Calc!$G$3:$G$22&gt;B1322)*(Calc!$G$3:$G$22-B1322)*Calc!$I$3:$I$22)</f>
        <v/>
      </c>
      <c r="P1322">
        <f>I1322-G1322^2/k_n</f>
        <v/>
      </c>
      <c r="Q1322">
        <f>J1322-H1322^2/k_n</f>
        <v/>
      </c>
      <c r="R1322">
        <f>K1322-G1322*H1322/k_n</f>
        <v/>
      </c>
      <c r="S1322">
        <f>L1322-LTP3!$D$3*G1322/k_n</f>
        <v/>
      </c>
      <c r="T1322">
        <f>M1322-LTP3!$D$3*H1322/k_n</f>
        <v/>
      </c>
      <c r="U1322">
        <f>N1322-G1322*LTP3!$D$4/k_n</f>
        <v/>
      </c>
      <c r="V1322">
        <f>O1322-H1322*LTP3!$D$4/k_n</f>
        <v/>
      </c>
      <c r="W1322">
        <f>((LTP3!$D$5)*((P1322)*(Q1322)-(R1322)*(R1322))-(S1322)*((S1322)*(Q1322)-(R1322)*(T1322))+(T1322)*((S1322)*(R1322)-(P1322)*(T1322)))</f>
        <v/>
      </c>
      <c r="X1322">
        <f>IF(ABS(W1322)&gt;1E-12,((LTP3!$D$6)*((P1322)*(Q1322)-(R1322)*(R1322))-(S1322)*((U1322)*(Q1322)-(R1322)*(V1322))+(T1322)*((U1322)*(R1322)-(P1322)*(V1322)))/W1322,0)</f>
        <v/>
      </c>
      <c r="Y1322">
        <f>IF(ABS(W1322)&gt;1E-12,((LTP3!$D$5)*((U1322)*(Q1322)-(R1322)*(V1322))-(LTP3!$D$6)*((S1322)*(Q1322)-(R1322)*(T1322))+(T1322)*((S1322)*(V1322)-(U1322)*(T1322)))/W1322,0)</f>
        <v/>
      </c>
      <c r="Z1322">
        <f>IF(ABS(W1322)&gt;1E-12,((LTP3!$D$5)*((P1322)*(V1322)-(U1322)*(R1322))-(S1322)*((S1322)*(V1322)-(U1322)*(T1322))+(LTP3!$D$6)*((S1322)*(R1322)-(P1322)*(T1322)))/W1322,0)</f>
        <v/>
      </c>
      <c r="AA1322">
        <f>LTP3!$D$7-X1322*LTP3!$D$6-Y1322*U1322-Z1322*V1322</f>
        <v/>
      </c>
      <c r="AB1322">
        <f>IF(AND(F1322,ABS(W1322)&gt;1E-12,Y1322&gt;0,Z1322&gt;0),AA1322,1E+300)</f>
        <v/>
      </c>
    </row>
    <row r="1323">
      <c r="A1323">
        <f>$B$3+$B$5*21</f>
        <v/>
      </c>
      <c r="B1323">
        <f>$B$3+$B$5*30</f>
        <v/>
      </c>
      <c r="C1323">
        <f>SUMPRODUCT(Calc!$K$3:$K$22*(Calc!$G$3:$G$22&lt;=A1323))</f>
        <v/>
      </c>
      <c r="D1323">
        <f>SUMPRODUCT(Calc!$K$3:$K$22*(Calc!$G$3:$G$22&gt;A1323)*(Calc!$G$3:$G$22&lt;B1323))</f>
        <v/>
      </c>
      <c r="E1323">
        <f>SUMPRODUCT(Calc!$K$3:$K$22*(Calc!$G$3:$G$22&gt;=B1323))</f>
        <v/>
      </c>
      <c r="F1323">
        <f>AND(k_n&gt;=5,B1323&gt;A1323+1E-9,C1323&gt;=2,D1323&gt;=1,E1323&gt;=2)</f>
        <v/>
      </c>
      <c r="G1323">
        <f>SUMPRODUCT(Calc!$K$3:$K$22*(Calc!$G$3:$G$22&gt;A1323)*(Calc!$G$3:$G$22-A1323))</f>
        <v/>
      </c>
      <c r="H1323">
        <f>SUMPRODUCT(Calc!$K$3:$K$22*(Calc!$G$3:$G$22&gt;B1323)*(Calc!$G$3:$G$22-B1323))</f>
        <v/>
      </c>
      <c r="I1323">
        <f>SUMPRODUCT(Calc!$K$3:$K$22*(Calc!$G$3:$G$22&gt;A1323)*(Calc!$G$3:$G$22-A1323)^2)</f>
        <v/>
      </c>
      <c r="J1323">
        <f>SUMPRODUCT(Calc!$K$3:$K$22*(Calc!$G$3:$G$22&gt;B1323)*(Calc!$G$3:$G$22-B1323)^2)</f>
        <v/>
      </c>
      <c r="K1323">
        <f>SUMPRODUCT(Calc!$K$3:$K$22*(Calc!$G$3:$G$22&gt;A1323)*(Calc!$G$3:$G$22-A1323)*(Calc!$G$3:$G$22&gt;B1323)*(Calc!$G$3:$G$22-B1323))</f>
        <v/>
      </c>
      <c r="L1323">
        <f>SUMPRODUCT(Calc!$K$3:$K$22*(Calc!$G$3:$G$22&gt;A1323)*(Calc!$G$3:$G$22-A1323)*Calc!$G$3:$G$22)</f>
        <v/>
      </c>
      <c r="M1323">
        <f>SUMPRODUCT(Calc!$K$3:$K$22*(Calc!$G$3:$G$22&gt;B1323)*(Calc!$G$3:$G$22-B1323)*Calc!$G$3:$G$22)</f>
        <v/>
      </c>
      <c r="N1323">
        <f>SUMPRODUCT(Calc!$K$3:$K$22*(Calc!$G$3:$G$22&gt;A1323)*(Calc!$G$3:$G$22-A1323)*Calc!$I$3:$I$22)</f>
        <v/>
      </c>
      <c r="O1323">
        <f>SUMPRODUCT(Calc!$K$3:$K$22*(Calc!$G$3:$G$22&gt;B1323)*(Calc!$G$3:$G$22-B1323)*Calc!$I$3:$I$22)</f>
        <v/>
      </c>
      <c r="P1323">
        <f>I1323-G1323^2/k_n</f>
        <v/>
      </c>
      <c r="Q1323">
        <f>J1323-H1323^2/k_n</f>
        <v/>
      </c>
      <c r="R1323">
        <f>K1323-G1323*H1323/k_n</f>
        <v/>
      </c>
      <c r="S1323">
        <f>L1323-LTP3!$D$3*G1323/k_n</f>
        <v/>
      </c>
      <c r="T1323">
        <f>M1323-LTP3!$D$3*H1323/k_n</f>
        <v/>
      </c>
      <c r="U1323">
        <f>N1323-G1323*LTP3!$D$4/k_n</f>
        <v/>
      </c>
      <c r="V1323">
        <f>O1323-H1323*LTP3!$D$4/k_n</f>
        <v/>
      </c>
      <c r="W1323">
        <f>((LTP3!$D$5)*((P1323)*(Q1323)-(R1323)*(R1323))-(S1323)*((S1323)*(Q1323)-(R1323)*(T1323))+(T1323)*((S1323)*(R1323)-(P1323)*(T1323)))</f>
        <v/>
      </c>
      <c r="X1323">
        <f>IF(ABS(W1323)&gt;1E-12,((LTP3!$D$6)*((P1323)*(Q1323)-(R1323)*(R1323))-(S1323)*((U1323)*(Q1323)-(R1323)*(V1323))+(T1323)*((U1323)*(R1323)-(P1323)*(V1323)))/W1323,0)</f>
        <v/>
      </c>
      <c r="Y1323">
        <f>IF(ABS(W1323)&gt;1E-12,((LTP3!$D$5)*((U1323)*(Q1323)-(R1323)*(V1323))-(LTP3!$D$6)*((S1323)*(Q1323)-(R1323)*(T1323))+(T1323)*((S1323)*(V1323)-(U1323)*(T1323)))/W1323,0)</f>
        <v/>
      </c>
      <c r="Z1323">
        <f>IF(ABS(W1323)&gt;1E-12,((LTP3!$D$5)*((P1323)*(V1323)-(U1323)*(R1323))-(S1323)*((S1323)*(V1323)-(U1323)*(T1323))+(LTP3!$D$6)*((S1323)*(R1323)-(P1323)*(T1323)))/W1323,0)</f>
        <v/>
      </c>
      <c r="AA1323">
        <f>LTP3!$D$7-X1323*LTP3!$D$6-Y1323*U1323-Z1323*V1323</f>
        <v/>
      </c>
      <c r="AB1323">
        <f>IF(AND(F1323,ABS(W1323)&gt;1E-12,Y1323&gt;0,Z1323&gt;0),AA1323,1E+300)</f>
        <v/>
      </c>
    </row>
    <row r="1324">
      <c r="A1324">
        <f>$B$3+$B$5*21</f>
        <v/>
      </c>
      <c r="B1324">
        <f>$B$3+$B$5*31</f>
        <v/>
      </c>
      <c r="C1324">
        <f>SUMPRODUCT(Calc!$K$3:$K$22*(Calc!$G$3:$G$22&lt;=A1324))</f>
        <v/>
      </c>
      <c r="D1324">
        <f>SUMPRODUCT(Calc!$K$3:$K$22*(Calc!$G$3:$G$22&gt;A1324)*(Calc!$G$3:$G$22&lt;B1324))</f>
        <v/>
      </c>
      <c r="E1324">
        <f>SUMPRODUCT(Calc!$K$3:$K$22*(Calc!$G$3:$G$22&gt;=B1324))</f>
        <v/>
      </c>
      <c r="F1324">
        <f>AND(k_n&gt;=5,B1324&gt;A1324+1E-9,C1324&gt;=2,D1324&gt;=1,E1324&gt;=2)</f>
        <v/>
      </c>
      <c r="G1324">
        <f>SUMPRODUCT(Calc!$K$3:$K$22*(Calc!$G$3:$G$22&gt;A1324)*(Calc!$G$3:$G$22-A1324))</f>
        <v/>
      </c>
      <c r="H1324">
        <f>SUMPRODUCT(Calc!$K$3:$K$22*(Calc!$G$3:$G$22&gt;B1324)*(Calc!$G$3:$G$22-B1324))</f>
        <v/>
      </c>
      <c r="I1324">
        <f>SUMPRODUCT(Calc!$K$3:$K$22*(Calc!$G$3:$G$22&gt;A1324)*(Calc!$G$3:$G$22-A1324)^2)</f>
        <v/>
      </c>
      <c r="J1324">
        <f>SUMPRODUCT(Calc!$K$3:$K$22*(Calc!$G$3:$G$22&gt;B1324)*(Calc!$G$3:$G$22-B1324)^2)</f>
        <v/>
      </c>
      <c r="K1324">
        <f>SUMPRODUCT(Calc!$K$3:$K$22*(Calc!$G$3:$G$22&gt;A1324)*(Calc!$G$3:$G$22-A1324)*(Calc!$G$3:$G$22&gt;B1324)*(Calc!$G$3:$G$22-B1324))</f>
        <v/>
      </c>
      <c r="L1324">
        <f>SUMPRODUCT(Calc!$K$3:$K$22*(Calc!$G$3:$G$22&gt;A1324)*(Calc!$G$3:$G$22-A1324)*Calc!$G$3:$G$22)</f>
        <v/>
      </c>
      <c r="M1324">
        <f>SUMPRODUCT(Calc!$K$3:$K$22*(Calc!$G$3:$G$22&gt;B1324)*(Calc!$G$3:$G$22-B1324)*Calc!$G$3:$G$22)</f>
        <v/>
      </c>
      <c r="N1324">
        <f>SUMPRODUCT(Calc!$K$3:$K$22*(Calc!$G$3:$G$22&gt;A1324)*(Calc!$G$3:$G$22-A1324)*Calc!$I$3:$I$22)</f>
        <v/>
      </c>
      <c r="O1324">
        <f>SUMPRODUCT(Calc!$K$3:$K$22*(Calc!$G$3:$G$22&gt;B1324)*(Calc!$G$3:$G$22-B1324)*Calc!$I$3:$I$22)</f>
        <v/>
      </c>
      <c r="P1324">
        <f>I1324-G1324^2/k_n</f>
        <v/>
      </c>
      <c r="Q1324">
        <f>J1324-H1324^2/k_n</f>
        <v/>
      </c>
      <c r="R1324">
        <f>K1324-G1324*H1324/k_n</f>
        <v/>
      </c>
      <c r="S1324">
        <f>L1324-LTP3!$D$3*G1324/k_n</f>
        <v/>
      </c>
      <c r="T1324">
        <f>M1324-LTP3!$D$3*H1324/k_n</f>
        <v/>
      </c>
      <c r="U1324">
        <f>N1324-G1324*LTP3!$D$4/k_n</f>
        <v/>
      </c>
      <c r="V1324">
        <f>O1324-H1324*LTP3!$D$4/k_n</f>
        <v/>
      </c>
      <c r="W1324">
        <f>((LTP3!$D$5)*((P1324)*(Q1324)-(R1324)*(R1324))-(S1324)*((S1324)*(Q1324)-(R1324)*(T1324))+(T1324)*((S1324)*(R1324)-(P1324)*(T1324)))</f>
        <v/>
      </c>
      <c r="X1324">
        <f>IF(ABS(W1324)&gt;1E-12,((LTP3!$D$6)*((P1324)*(Q1324)-(R1324)*(R1324))-(S1324)*((U1324)*(Q1324)-(R1324)*(V1324))+(T1324)*((U1324)*(R1324)-(P1324)*(V1324)))/W1324,0)</f>
        <v/>
      </c>
      <c r="Y1324">
        <f>IF(ABS(W1324)&gt;1E-12,((LTP3!$D$5)*((U1324)*(Q1324)-(R1324)*(V1324))-(LTP3!$D$6)*((S1324)*(Q1324)-(R1324)*(T1324))+(T1324)*((S1324)*(V1324)-(U1324)*(T1324)))/W1324,0)</f>
        <v/>
      </c>
      <c r="Z1324">
        <f>IF(ABS(W1324)&gt;1E-12,((LTP3!$D$5)*((P1324)*(V1324)-(U1324)*(R1324))-(S1324)*((S1324)*(V1324)-(U1324)*(T1324))+(LTP3!$D$6)*((S1324)*(R1324)-(P1324)*(T1324)))/W1324,0)</f>
        <v/>
      </c>
      <c r="AA1324">
        <f>LTP3!$D$7-X1324*LTP3!$D$6-Y1324*U1324-Z1324*V1324</f>
        <v/>
      </c>
      <c r="AB1324">
        <f>IF(AND(F1324,ABS(W1324)&gt;1E-12,Y1324&gt;0,Z1324&gt;0),AA1324,1E+300)</f>
        <v/>
      </c>
    </row>
    <row r="1325">
      <c r="A1325">
        <f>$B$3+$B$5*21</f>
        <v/>
      </c>
      <c r="B1325">
        <f>$B$3+$B$5*32</f>
        <v/>
      </c>
      <c r="C1325">
        <f>SUMPRODUCT(Calc!$K$3:$K$22*(Calc!$G$3:$G$22&lt;=A1325))</f>
        <v/>
      </c>
      <c r="D1325">
        <f>SUMPRODUCT(Calc!$K$3:$K$22*(Calc!$G$3:$G$22&gt;A1325)*(Calc!$G$3:$G$22&lt;B1325))</f>
        <v/>
      </c>
      <c r="E1325">
        <f>SUMPRODUCT(Calc!$K$3:$K$22*(Calc!$G$3:$G$22&gt;=B1325))</f>
        <v/>
      </c>
      <c r="F1325">
        <f>AND(k_n&gt;=5,B1325&gt;A1325+1E-9,C1325&gt;=2,D1325&gt;=1,E1325&gt;=2)</f>
        <v/>
      </c>
      <c r="G1325">
        <f>SUMPRODUCT(Calc!$K$3:$K$22*(Calc!$G$3:$G$22&gt;A1325)*(Calc!$G$3:$G$22-A1325))</f>
        <v/>
      </c>
      <c r="H1325">
        <f>SUMPRODUCT(Calc!$K$3:$K$22*(Calc!$G$3:$G$22&gt;B1325)*(Calc!$G$3:$G$22-B1325))</f>
        <v/>
      </c>
      <c r="I1325">
        <f>SUMPRODUCT(Calc!$K$3:$K$22*(Calc!$G$3:$G$22&gt;A1325)*(Calc!$G$3:$G$22-A1325)^2)</f>
        <v/>
      </c>
      <c r="J1325">
        <f>SUMPRODUCT(Calc!$K$3:$K$22*(Calc!$G$3:$G$22&gt;B1325)*(Calc!$G$3:$G$22-B1325)^2)</f>
        <v/>
      </c>
      <c r="K1325">
        <f>SUMPRODUCT(Calc!$K$3:$K$22*(Calc!$G$3:$G$22&gt;A1325)*(Calc!$G$3:$G$22-A1325)*(Calc!$G$3:$G$22&gt;B1325)*(Calc!$G$3:$G$22-B1325))</f>
        <v/>
      </c>
      <c r="L1325">
        <f>SUMPRODUCT(Calc!$K$3:$K$22*(Calc!$G$3:$G$22&gt;A1325)*(Calc!$G$3:$G$22-A1325)*Calc!$G$3:$G$22)</f>
        <v/>
      </c>
      <c r="M1325">
        <f>SUMPRODUCT(Calc!$K$3:$K$22*(Calc!$G$3:$G$22&gt;B1325)*(Calc!$G$3:$G$22-B1325)*Calc!$G$3:$G$22)</f>
        <v/>
      </c>
      <c r="N1325">
        <f>SUMPRODUCT(Calc!$K$3:$K$22*(Calc!$G$3:$G$22&gt;A1325)*(Calc!$G$3:$G$22-A1325)*Calc!$I$3:$I$22)</f>
        <v/>
      </c>
      <c r="O1325">
        <f>SUMPRODUCT(Calc!$K$3:$K$22*(Calc!$G$3:$G$22&gt;B1325)*(Calc!$G$3:$G$22-B1325)*Calc!$I$3:$I$22)</f>
        <v/>
      </c>
      <c r="P1325">
        <f>I1325-G1325^2/k_n</f>
        <v/>
      </c>
      <c r="Q1325">
        <f>J1325-H1325^2/k_n</f>
        <v/>
      </c>
      <c r="R1325">
        <f>K1325-G1325*H1325/k_n</f>
        <v/>
      </c>
      <c r="S1325">
        <f>L1325-LTP3!$D$3*G1325/k_n</f>
        <v/>
      </c>
      <c r="T1325">
        <f>M1325-LTP3!$D$3*H1325/k_n</f>
        <v/>
      </c>
      <c r="U1325">
        <f>N1325-G1325*LTP3!$D$4/k_n</f>
        <v/>
      </c>
      <c r="V1325">
        <f>O1325-H1325*LTP3!$D$4/k_n</f>
        <v/>
      </c>
      <c r="W1325">
        <f>((LTP3!$D$5)*((P1325)*(Q1325)-(R1325)*(R1325))-(S1325)*((S1325)*(Q1325)-(R1325)*(T1325))+(T1325)*((S1325)*(R1325)-(P1325)*(T1325)))</f>
        <v/>
      </c>
      <c r="X1325">
        <f>IF(ABS(W1325)&gt;1E-12,((LTP3!$D$6)*((P1325)*(Q1325)-(R1325)*(R1325))-(S1325)*((U1325)*(Q1325)-(R1325)*(V1325))+(T1325)*((U1325)*(R1325)-(P1325)*(V1325)))/W1325,0)</f>
        <v/>
      </c>
      <c r="Y1325">
        <f>IF(ABS(W1325)&gt;1E-12,((LTP3!$D$5)*((U1325)*(Q1325)-(R1325)*(V1325))-(LTP3!$D$6)*((S1325)*(Q1325)-(R1325)*(T1325))+(T1325)*((S1325)*(V1325)-(U1325)*(T1325)))/W1325,0)</f>
        <v/>
      </c>
      <c r="Z1325">
        <f>IF(ABS(W1325)&gt;1E-12,((LTP3!$D$5)*((P1325)*(V1325)-(U1325)*(R1325))-(S1325)*((S1325)*(V1325)-(U1325)*(T1325))+(LTP3!$D$6)*((S1325)*(R1325)-(P1325)*(T1325)))/W1325,0)</f>
        <v/>
      </c>
      <c r="AA1325">
        <f>LTP3!$D$7-X1325*LTP3!$D$6-Y1325*U1325-Z1325*V1325</f>
        <v/>
      </c>
      <c r="AB1325">
        <f>IF(AND(F1325,ABS(W1325)&gt;1E-12,Y1325&gt;0,Z1325&gt;0),AA1325,1E+300)</f>
        <v/>
      </c>
    </row>
    <row r="1326">
      <c r="A1326">
        <f>$B$3+$B$5*21</f>
        <v/>
      </c>
      <c r="B1326">
        <f>$B$3+$B$5*33</f>
        <v/>
      </c>
      <c r="C1326">
        <f>SUMPRODUCT(Calc!$K$3:$K$22*(Calc!$G$3:$G$22&lt;=A1326))</f>
        <v/>
      </c>
      <c r="D1326">
        <f>SUMPRODUCT(Calc!$K$3:$K$22*(Calc!$G$3:$G$22&gt;A1326)*(Calc!$G$3:$G$22&lt;B1326))</f>
        <v/>
      </c>
      <c r="E1326">
        <f>SUMPRODUCT(Calc!$K$3:$K$22*(Calc!$G$3:$G$22&gt;=B1326))</f>
        <v/>
      </c>
      <c r="F1326">
        <f>AND(k_n&gt;=5,B1326&gt;A1326+1E-9,C1326&gt;=2,D1326&gt;=1,E1326&gt;=2)</f>
        <v/>
      </c>
      <c r="G1326">
        <f>SUMPRODUCT(Calc!$K$3:$K$22*(Calc!$G$3:$G$22&gt;A1326)*(Calc!$G$3:$G$22-A1326))</f>
        <v/>
      </c>
      <c r="H1326">
        <f>SUMPRODUCT(Calc!$K$3:$K$22*(Calc!$G$3:$G$22&gt;B1326)*(Calc!$G$3:$G$22-B1326))</f>
        <v/>
      </c>
      <c r="I1326">
        <f>SUMPRODUCT(Calc!$K$3:$K$22*(Calc!$G$3:$G$22&gt;A1326)*(Calc!$G$3:$G$22-A1326)^2)</f>
        <v/>
      </c>
      <c r="J1326">
        <f>SUMPRODUCT(Calc!$K$3:$K$22*(Calc!$G$3:$G$22&gt;B1326)*(Calc!$G$3:$G$22-B1326)^2)</f>
        <v/>
      </c>
      <c r="K1326">
        <f>SUMPRODUCT(Calc!$K$3:$K$22*(Calc!$G$3:$G$22&gt;A1326)*(Calc!$G$3:$G$22-A1326)*(Calc!$G$3:$G$22&gt;B1326)*(Calc!$G$3:$G$22-B1326))</f>
        <v/>
      </c>
      <c r="L1326">
        <f>SUMPRODUCT(Calc!$K$3:$K$22*(Calc!$G$3:$G$22&gt;A1326)*(Calc!$G$3:$G$22-A1326)*Calc!$G$3:$G$22)</f>
        <v/>
      </c>
      <c r="M1326">
        <f>SUMPRODUCT(Calc!$K$3:$K$22*(Calc!$G$3:$G$22&gt;B1326)*(Calc!$G$3:$G$22-B1326)*Calc!$G$3:$G$22)</f>
        <v/>
      </c>
      <c r="N1326">
        <f>SUMPRODUCT(Calc!$K$3:$K$22*(Calc!$G$3:$G$22&gt;A1326)*(Calc!$G$3:$G$22-A1326)*Calc!$I$3:$I$22)</f>
        <v/>
      </c>
      <c r="O1326">
        <f>SUMPRODUCT(Calc!$K$3:$K$22*(Calc!$G$3:$G$22&gt;B1326)*(Calc!$G$3:$G$22-B1326)*Calc!$I$3:$I$22)</f>
        <v/>
      </c>
      <c r="P1326">
        <f>I1326-G1326^2/k_n</f>
        <v/>
      </c>
      <c r="Q1326">
        <f>J1326-H1326^2/k_n</f>
        <v/>
      </c>
      <c r="R1326">
        <f>K1326-G1326*H1326/k_n</f>
        <v/>
      </c>
      <c r="S1326">
        <f>L1326-LTP3!$D$3*G1326/k_n</f>
        <v/>
      </c>
      <c r="T1326">
        <f>M1326-LTP3!$D$3*H1326/k_n</f>
        <v/>
      </c>
      <c r="U1326">
        <f>N1326-G1326*LTP3!$D$4/k_n</f>
        <v/>
      </c>
      <c r="V1326">
        <f>O1326-H1326*LTP3!$D$4/k_n</f>
        <v/>
      </c>
      <c r="W1326">
        <f>((LTP3!$D$5)*((P1326)*(Q1326)-(R1326)*(R1326))-(S1326)*((S1326)*(Q1326)-(R1326)*(T1326))+(T1326)*((S1326)*(R1326)-(P1326)*(T1326)))</f>
        <v/>
      </c>
      <c r="X1326">
        <f>IF(ABS(W1326)&gt;1E-12,((LTP3!$D$6)*((P1326)*(Q1326)-(R1326)*(R1326))-(S1326)*((U1326)*(Q1326)-(R1326)*(V1326))+(T1326)*((U1326)*(R1326)-(P1326)*(V1326)))/W1326,0)</f>
        <v/>
      </c>
      <c r="Y1326">
        <f>IF(ABS(W1326)&gt;1E-12,((LTP3!$D$5)*((U1326)*(Q1326)-(R1326)*(V1326))-(LTP3!$D$6)*((S1326)*(Q1326)-(R1326)*(T1326))+(T1326)*((S1326)*(V1326)-(U1326)*(T1326)))/W1326,0)</f>
        <v/>
      </c>
      <c r="Z1326">
        <f>IF(ABS(W1326)&gt;1E-12,((LTP3!$D$5)*((P1326)*(V1326)-(U1326)*(R1326))-(S1326)*((S1326)*(V1326)-(U1326)*(T1326))+(LTP3!$D$6)*((S1326)*(R1326)-(P1326)*(T1326)))/W1326,0)</f>
        <v/>
      </c>
      <c r="AA1326">
        <f>LTP3!$D$7-X1326*LTP3!$D$6-Y1326*U1326-Z1326*V1326</f>
        <v/>
      </c>
      <c r="AB1326">
        <f>IF(AND(F1326,ABS(W1326)&gt;1E-12,Y1326&gt;0,Z1326&gt;0),AA1326,1E+300)</f>
        <v/>
      </c>
    </row>
    <row r="1327">
      <c r="A1327">
        <f>$B$3+$B$5*21</f>
        <v/>
      </c>
      <c r="B1327">
        <f>$B$3+$B$5*34</f>
        <v/>
      </c>
      <c r="C1327">
        <f>SUMPRODUCT(Calc!$K$3:$K$22*(Calc!$G$3:$G$22&lt;=A1327))</f>
        <v/>
      </c>
      <c r="D1327">
        <f>SUMPRODUCT(Calc!$K$3:$K$22*(Calc!$G$3:$G$22&gt;A1327)*(Calc!$G$3:$G$22&lt;B1327))</f>
        <v/>
      </c>
      <c r="E1327">
        <f>SUMPRODUCT(Calc!$K$3:$K$22*(Calc!$G$3:$G$22&gt;=B1327))</f>
        <v/>
      </c>
      <c r="F1327">
        <f>AND(k_n&gt;=5,B1327&gt;A1327+1E-9,C1327&gt;=2,D1327&gt;=1,E1327&gt;=2)</f>
        <v/>
      </c>
      <c r="G1327">
        <f>SUMPRODUCT(Calc!$K$3:$K$22*(Calc!$G$3:$G$22&gt;A1327)*(Calc!$G$3:$G$22-A1327))</f>
        <v/>
      </c>
      <c r="H1327">
        <f>SUMPRODUCT(Calc!$K$3:$K$22*(Calc!$G$3:$G$22&gt;B1327)*(Calc!$G$3:$G$22-B1327))</f>
        <v/>
      </c>
      <c r="I1327">
        <f>SUMPRODUCT(Calc!$K$3:$K$22*(Calc!$G$3:$G$22&gt;A1327)*(Calc!$G$3:$G$22-A1327)^2)</f>
        <v/>
      </c>
      <c r="J1327">
        <f>SUMPRODUCT(Calc!$K$3:$K$22*(Calc!$G$3:$G$22&gt;B1327)*(Calc!$G$3:$G$22-B1327)^2)</f>
        <v/>
      </c>
      <c r="K1327">
        <f>SUMPRODUCT(Calc!$K$3:$K$22*(Calc!$G$3:$G$22&gt;A1327)*(Calc!$G$3:$G$22-A1327)*(Calc!$G$3:$G$22&gt;B1327)*(Calc!$G$3:$G$22-B1327))</f>
        <v/>
      </c>
      <c r="L1327">
        <f>SUMPRODUCT(Calc!$K$3:$K$22*(Calc!$G$3:$G$22&gt;A1327)*(Calc!$G$3:$G$22-A1327)*Calc!$G$3:$G$22)</f>
        <v/>
      </c>
      <c r="M1327">
        <f>SUMPRODUCT(Calc!$K$3:$K$22*(Calc!$G$3:$G$22&gt;B1327)*(Calc!$G$3:$G$22-B1327)*Calc!$G$3:$G$22)</f>
        <v/>
      </c>
      <c r="N1327">
        <f>SUMPRODUCT(Calc!$K$3:$K$22*(Calc!$G$3:$G$22&gt;A1327)*(Calc!$G$3:$G$22-A1327)*Calc!$I$3:$I$22)</f>
        <v/>
      </c>
      <c r="O1327">
        <f>SUMPRODUCT(Calc!$K$3:$K$22*(Calc!$G$3:$G$22&gt;B1327)*(Calc!$G$3:$G$22-B1327)*Calc!$I$3:$I$22)</f>
        <v/>
      </c>
      <c r="P1327">
        <f>I1327-G1327^2/k_n</f>
        <v/>
      </c>
      <c r="Q1327">
        <f>J1327-H1327^2/k_n</f>
        <v/>
      </c>
      <c r="R1327">
        <f>K1327-G1327*H1327/k_n</f>
        <v/>
      </c>
      <c r="S1327">
        <f>L1327-LTP3!$D$3*G1327/k_n</f>
        <v/>
      </c>
      <c r="T1327">
        <f>M1327-LTP3!$D$3*H1327/k_n</f>
        <v/>
      </c>
      <c r="U1327">
        <f>N1327-G1327*LTP3!$D$4/k_n</f>
        <v/>
      </c>
      <c r="V1327">
        <f>O1327-H1327*LTP3!$D$4/k_n</f>
        <v/>
      </c>
      <c r="W1327">
        <f>((LTP3!$D$5)*((P1327)*(Q1327)-(R1327)*(R1327))-(S1327)*((S1327)*(Q1327)-(R1327)*(T1327))+(T1327)*((S1327)*(R1327)-(P1327)*(T1327)))</f>
        <v/>
      </c>
      <c r="X1327">
        <f>IF(ABS(W1327)&gt;1E-12,((LTP3!$D$6)*((P1327)*(Q1327)-(R1327)*(R1327))-(S1327)*((U1327)*(Q1327)-(R1327)*(V1327))+(T1327)*((U1327)*(R1327)-(P1327)*(V1327)))/W1327,0)</f>
        <v/>
      </c>
      <c r="Y1327">
        <f>IF(ABS(W1327)&gt;1E-12,((LTP3!$D$5)*((U1327)*(Q1327)-(R1327)*(V1327))-(LTP3!$D$6)*((S1327)*(Q1327)-(R1327)*(T1327))+(T1327)*((S1327)*(V1327)-(U1327)*(T1327)))/W1327,0)</f>
        <v/>
      </c>
      <c r="Z1327">
        <f>IF(ABS(W1327)&gt;1E-12,((LTP3!$D$5)*((P1327)*(V1327)-(U1327)*(R1327))-(S1327)*((S1327)*(V1327)-(U1327)*(T1327))+(LTP3!$D$6)*((S1327)*(R1327)-(P1327)*(T1327)))/W1327,0)</f>
        <v/>
      </c>
      <c r="AA1327">
        <f>LTP3!$D$7-X1327*LTP3!$D$6-Y1327*U1327-Z1327*V1327</f>
        <v/>
      </c>
      <c r="AB1327">
        <f>IF(AND(F1327,ABS(W1327)&gt;1E-12,Y1327&gt;0,Z1327&gt;0),AA1327,1E+300)</f>
        <v/>
      </c>
    </row>
    <row r="1328">
      <c r="A1328">
        <f>$B$3+$B$5*21</f>
        <v/>
      </c>
      <c r="B1328">
        <f>$B$3+$B$5*35</f>
        <v/>
      </c>
      <c r="C1328">
        <f>SUMPRODUCT(Calc!$K$3:$K$22*(Calc!$G$3:$G$22&lt;=A1328))</f>
        <v/>
      </c>
      <c r="D1328">
        <f>SUMPRODUCT(Calc!$K$3:$K$22*(Calc!$G$3:$G$22&gt;A1328)*(Calc!$G$3:$G$22&lt;B1328))</f>
        <v/>
      </c>
      <c r="E1328">
        <f>SUMPRODUCT(Calc!$K$3:$K$22*(Calc!$G$3:$G$22&gt;=B1328))</f>
        <v/>
      </c>
      <c r="F1328">
        <f>AND(k_n&gt;=5,B1328&gt;A1328+1E-9,C1328&gt;=2,D1328&gt;=1,E1328&gt;=2)</f>
        <v/>
      </c>
      <c r="G1328">
        <f>SUMPRODUCT(Calc!$K$3:$K$22*(Calc!$G$3:$G$22&gt;A1328)*(Calc!$G$3:$G$22-A1328))</f>
        <v/>
      </c>
      <c r="H1328">
        <f>SUMPRODUCT(Calc!$K$3:$K$22*(Calc!$G$3:$G$22&gt;B1328)*(Calc!$G$3:$G$22-B1328))</f>
        <v/>
      </c>
      <c r="I1328">
        <f>SUMPRODUCT(Calc!$K$3:$K$22*(Calc!$G$3:$G$22&gt;A1328)*(Calc!$G$3:$G$22-A1328)^2)</f>
        <v/>
      </c>
      <c r="J1328">
        <f>SUMPRODUCT(Calc!$K$3:$K$22*(Calc!$G$3:$G$22&gt;B1328)*(Calc!$G$3:$G$22-B1328)^2)</f>
        <v/>
      </c>
      <c r="K1328">
        <f>SUMPRODUCT(Calc!$K$3:$K$22*(Calc!$G$3:$G$22&gt;A1328)*(Calc!$G$3:$G$22-A1328)*(Calc!$G$3:$G$22&gt;B1328)*(Calc!$G$3:$G$22-B1328))</f>
        <v/>
      </c>
      <c r="L1328">
        <f>SUMPRODUCT(Calc!$K$3:$K$22*(Calc!$G$3:$G$22&gt;A1328)*(Calc!$G$3:$G$22-A1328)*Calc!$G$3:$G$22)</f>
        <v/>
      </c>
      <c r="M1328">
        <f>SUMPRODUCT(Calc!$K$3:$K$22*(Calc!$G$3:$G$22&gt;B1328)*(Calc!$G$3:$G$22-B1328)*Calc!$G$3:$G$22)</f>
        <v/>
      </c>
      <c r="N1328">
        <f>SUMPRODUCT(Calc!$K$3:$K$22*(Calc!$G$3:$G$22&gt;A1328)*(Calc!$G$3:$G$22-A1328)*Calc!$I$3:$I$22)</f>
        <v/>
      </c>
      <c r="O1328">
        <f>SUMPRODUCT(Calc!$K$3:$K$22*(Calc!$G$3:$G$22&gt;B1328)*(Calc!$G$3:$G$22-B1328)*Calc!$I$3:$I$22)</f>
        <v/>
      </c>
      <c r="P1328">
        <f>I1328-G1328^2/k_n</f>
        <v/>
      </c>
      <c r="Q1328">
        <f>J1328-H1328^2/k_n</f>
        <v/>
      </c>
      <c r="R1328">
        <f>K1328-G1328*H1328/k_n</f>
        <v/>
      </c>
      <c r="S1328">
        <f>L1328-LTP3!$D$3*G1328/k_n</f>
        <v/>
      </c>
      <c r="T1328">
        <f>M1328-LTP3!$D$3*H1328/k_n</f>
        <v/>
      </c>
      <c r="U1328">
        <f>N1328-G1328*LTP3!$D$4/k_n</f>
        <v/>
      </c>
      <c r="V1328">
        <f>O1328-H1328*LTP3!$D$4/k_n</f>
        <v/>
      </c>
      <c r="W1328">
        <f>((LTP3!$D$5)*((P1328)*(Q1328)-(R1328)*(R1328))-(S1328)*((S1328)*(Q1328)-(R1328)*(T1328))+(T1328)*((S1328)*(R1328)-(P1328)*(T1328)))</f>
        <v/>
      </c>
      <c r="X1328">
        <f>IF(ABS(W1328)&gt;1E-12,((LTP3!$D$6)*((P1328)*(Q1328)-(R1328)*(R1328))-(S1328)*((U1328)*(Q1328)-(R1328)*(V1328))+(T1328)*((U1328)*(R1328)-(P1328)*(V1328)))/W1328,0)</f>
        <v/>
      </c>
      <c r="Y1328">
        <f>IF(ABS(W1328)&gt;1E-12,((LTP3!$D$5)*((U1328)*(Q1328)-(R1328)*(V1328))-(LTP3!$D$6)*((S1328)*(Q1328)-(R1328)*(T1328))+(T1328)*((S1328)*(V1328)-(U1328)*(T1328)))/W1328,0)</f>
        <v/>
      </c>
      <c r="Z1328">
        <f>IF(ABS(W1328)&gt;1E-12,((LTP3!$D$5)*((P1328)*(V1328)-(U1328)*(R1328))-(S1328)*((S1328)*(V1328)-(U1328)*(T1328))+(LTP3!$D$6)*((S1328)*(R1328)-(P1328)*(T1328)))/W1328,0)</f>
        <v/>
      </c>
      <c r="AA1328">
        <f>LTP3!$D$7-X1328*LTP3!$D$6-Y1328*U1328-Z1328*V1328</f>
        <v/>
      </c>
      <c r="AB1328">
        <f>IF(AND(F1328,ABS(W1328)&gt;1E-12,Y1328&gt;0,Z1328&gt;0),AA1328,1E+300)</f>
        <v/>
      </c>
    </row>
    <row r="1329">
      <c r="A1329">
        <f>$B$3+$B$5*21</f>
        <v/>
      </c>
      <c r="B1329">
        <f>$B$3+$B$5*36</f>
        <v/>
      </c>
      <c r="C1329">
        <f>SUMPRODUCT(Calc!$K$3:$K$22*(Calc!$G$3:$G$22&lt;=A1329))</f>
        <v/>
      </c>
      <c r="D1329">
        <f>SUMPRODUCT(Calc!$K$3:$K$22*(Calc!$G$3:$G$22&gt;A1329)*(Calc!$G$3:$G$22&lt;B1329))</f>
        <v/>
      </c>
      <c r="E1329">
        <f>SUMPRODUCT(Calc!$K$3:$K$22*(Calc!$G$3:$G$22&gt;=B1329))</f>
        <v/>
      </c>
      <c r="F1329">
        <f>AND(k_n&gt;=5,B1329&gt;A1329+1E-9,C1329&gt;=2,D1329&gt;=1,E1329&gt;=2)</f>
        <v/>
      </c>
      <c r="G1329">
        <f>SUMPRODUCT(Calc!$K$3:$K$22*(Calc!$G$3:$G$22&gt;A1329)*(Calc!$G$3:$G$22-A1329))</f>
        <v/>
      </c>
      <c r="H1329">
        <f>SUMPRODUCT(Calc!$K$3:$K$22*(Calc!$G$3:$G$22&gt;B1329)*(Calc!$G$3:$G$22-B1329))</f>
        <v/>
      </c>
      <c r="I1329">
        <f>SUMPRODUCT(Calc!$K$3:$K$22*(Calc!$G$3:$G$22&gt;A1329)*(Calc!$G$3:$G$22-A1329)^2)</f>
        <v/>
      </c>
      <c r="J1329">
        <f>SUMPRODUCT(Calc!$K$3:$K$22*(Calc!$G$3:$G$22&gt;B1329)*(Calc!$G$3:$G$22-B1329)^2)</f>
        <v/>
      </c>
      <c r="K1329">
        <f>SUMPRODUCT(Calc!$K$3:$K$22*(Calc!$G$3:$G$22&gt;A1329)*(Calc!$G$3:$G$22-A1329)*(Calc!$G$3:$G$22&gt;B1329)*(Calc!$G$3:$G$22-B1329))</f>
        <v/>
      </c>
      <c r="L1329">
        <f>SUMPRODUCT(Calc!$K$3:$K$22*(Calc!$G$3:$G$22&gt;A1329)*(Calc!$G$3:$G$22-A1329)*Calc!$G$3:$G$22)</f>
        <v/>
      </c>
      <c r="M1329">
        <f>SUMPRODUCT(Calc!$K$3:$K$22*(Calc!$G$3:$G$22&gt;B1329)*(Calc!$G$3:$G$22-B1329)*Calc!$G$3:$G$22)</f>
        <v/>
      </c>
      <c r="N1329">
        <f>SUMPRODUCT(Calc!$K$3:$K$22*(Calc!$G$3:$G$22&gt;A1329)*(Calc!$G$3:$G$22-A1329)*Calc!$I$3:$I$22)</f>
        <v/>
      </c>
      <c r="O1329">
        <f>SUMPRODUCT(Calc!$K$3:$K$22*(Calc!$G$3:$G$22&gt;B1329)*(Calc!$G$3:$G$22-B1329)*Calc!$I$3:$I$22)</f>
        <v/>
      </c>
      <c r="P1329">
        <f>I1329-G1329^2/k_n</f>
        <v/>
      </c>
      <c r="Q1329">
        <f>J1329-H1329^2/k_n</f>
        <v/>
      </c>
      <c r="R1329">
        <f>K1329-G1329*H1329/k_n</f>
        <v/>
      </c>
      <c r="S1329">
        <f>L1329-LTP3!$D$3*G1329/k_n</f>
        <v/>
      </c>
      <c r="T1329">
        <f>M1329-LTP3!$D$3*H1329/k_n</f>
        <v/>
      </c>
      <c r="U1329">
        <f>N1329-G1329*LTP3!$D$4/k_n</f>
        <v/>
      </c>
      <c r="V1329">
        <f>O1329-H1329*LTP3!$D$4/k_n</f>
        <v/>
      </c>
      <c r="W1329">
        <f>((LTP3!$D$5)*((P1329)*(Q1329)-(R1329)*(R1329))-(S1329)*((S1329)*(Q1329)-(R1329)*(T1329))+(T1329)*((S1329)*(R1329)-(P1329)*(T1329)))</f>
        <v/>
      </c>
      <c r="X1329">
        <f>IF(ABS(W1329)&gt;1E-12,((LTP3!$D$6)*((P1329)*(Q1329)-(R1329)*(R1329))-(S1329)*((U1329)*(Q1329)-(R1329)*(V1329))+(T1329)*((U1329)*(R1329)-(P1329)*(V1329)))/W1329,0)</f>
        <v/>
      </c>
      <c r="Y1329">
        <f>IF(ABS(W1329)&gt;1E-12,((LTP3!$D$5)*((U1329)*(Q1329)-(R1329)*(V1329))-(LTP3!$D$6)*((S1329)*(Q1329)-(R1329)*(T1329))+(T1329)*((S1329)*(V1329)-(U1329)*(T1329)))/W1329,0)</f>
        <v/>
      </c>
      <c r="Z1329">
        <f>IF(ABS(W1329)&gt;1E-12,((LTP3!$D$5)*((P1329)*(V1329)-(U1329)*(R1329))-(S1329)*((S1329)*(V1329)-(U1329)*(T1329))+(LTP3!$D$6)*((S1329)*(R1329)-(P1329)*(T1329)))/W1329,0)</f>
        <v/>
      </c>
      <c r="AA1329">
        <f>LTP3!$D$7-X1329*LTP3!$D$6-Y1329*U1329-Z1329*V1329</f>
        <v/>
      </c>
      <c r="AB1329">
        <f>IF(AND(F1329,ABS(W1329)&gt;1E-12,Y1329&gt;0,Z1329&gt;0),AA1329,1E+300)</f>
        <v/>
      </c>
    </row>
    <row r="1330">
      <c r="A1330">
        <f>$B$3+$B$5*21</f>
        <v/>
      </c>
      <c r="B1330">
        <f>$B$3+$B$5*37</f>
        <v/>
      </c>
      <c r="C1330">
        <f>SUMPRODUCT(Calc!$K$3:$K$22*(Calc!$G$3:$G$22&lt;=A1330))</f>
        <v/>
      </c>
      <c r="D1330">
        <f>SUMPRODUCT(Calc!$K$3:$K$22*(Calc!$G$3:$G$22&gt;A1330)*(Calc!$G$3:$G$22&lt;B1330))</f>
        <v/>
      </c>
      <c r="E1330">
        <f>SUMPRODUCT(Calc!$K$3:$K$22*(Calc!$G$3:$G$22&gt;=B1330))</f>
        <v/>
      </c>
      <c r="F1330">
        <f>AND(k_n&gt;=5,B1330&gt;A1330+1E-9,C1330&gt;=2,D1330&gt;=1,E1330&gt;=2)</f>
        <v/>
      </c>
      <c r="G1330">
        <f>SUMPRODUCT(Calc!$K$3:$K$22*(Calc!$G$3:$G$22&gt;A1330)*(Calc!$G$3:$G$22-A1330))</f>
        <v/>
      </c>
      <c r="H1330">
        <f>SUMPRODUCT(Calc!$K$3:$K$22*(Calc!$G$3:$G$22&gt;B1330)*(Calc!$G$3:$G$22-B1330))</f>
        <v/>
      </c>
      <c r="I1330">
        <f>SUMPRODUCT(Calc!$K$3:$K$22*(Calc!$G$3:$G$22&gt;A1330)*(Calc!$G$3:$G$22-A1330)^2)</f>
        <v/>
      </c>
      <c r="J1330">
        <f>SUMPRODUCT(Calc!$K$3:$K$22*(Calc!$G$3:$G$22&gt;B1330)*(Calc!$G$3:$G$22-B1330)^2)</f>
        <v/>
      </c>
      <c r="K1330">
        <f>SUMPRODUCT(Calc!$K$3:$K$22*(Calc!$G$3:$G$22&gt;A1330)*(Calc!$G$3:$G$22-A1330)*(Calc!$G$3:$G$22&gt;B1330)*(Calc!$G$3:$G$22-B1330))</f>
        <v/>
      </c>
      <c r="L1330">
        <f>SUMPRODUCT(Calc!$K$3:$K$22*(Calc!$G$3:$G$22&gt;A1330)*(Calc!$G$3:$G$22-A1330)*Calc!$G$3:$G$22)</f>
        <v/>
      </c>
      <c r="M1330">
        <f>SUMPRODUCT(Calc!$K$3:$K$22*(Calc!$G$3:$G$22&gt;B1330)*(Calc!$G$3:$G$22-B1330)*Calc!$G$3:$G$22)</f>
        <v/>
      </c>
      <c r="N1330">
        <f>SUMPRODUCT(Calc!$K$3:$K$22*(Calc!$G$3:$G$22&gt;A1330)*(Calc!$G$3:$G$22-A1330)*Calc!$I$3:$I$22)</f>
        <v/>
      </c>
      <c r="O1330">
        <f>SUMPRODUCT(Calc!$K$3:$K$22*(Calc!$G$3:$G$22&gt;B1330)*(Calc!$G$3:$G$22-B1330)*Calc!$I$3:$I$22)</f>
        <v/>
      </c>
      <c r="P1330">
        <f>I1330-G1330^2/k_n</f>
        <v/>
      </c>
      <c r="Q1330">
        <f>J1330-H1330^2/k_n</f>
        <v/>
      </c>
      <c r="R1330">
        <f>K1330-G1330*H1330/k_n</f>
        <v/>
      </c>
      <c r="S1330">
        <f>L1330-LTP3!$D$3*G1330/k_n</f>
        <v/>
      </c>
      <c r="T1330">
        <f>M1330-LTP3!$D$3*H1330/k_n</f>
        <v/>
      </c>
      <c r="U1330">
        <f>N1330-G1330*LTP3!$D$4/k_n</f>
        <v/>
      </c>
      <c r="V1330">
        <f>O1330-H1330*LTP3!$D$4/k_n</f>
        <v/>
      </c>
      <c r="W1330">
        <f>((LTP3!$D$5)*((P1330)*(Q1330)-(R1330)*(R1330))-(S1330)*((S1330)*(Q1330)-(R1330)*(T1330))+(T1330)*((S1330)*(R1330)-(P1330)*(T1330)))</f>
        <v/>
      </c>
      <c r="X1330">
        <f>IF(ABS(W1330)&gt;1E-12,((LTP3!$D$6)*((P1330)*(Q1330)-(R1330)*(R1330))-(S1330)*((U1330)*(Q1330)-(R1330)*(V1330))+(T1330)*((U1330)*(R1330)-(P1330)*(V1330)))/W1330,0)</f>
        <v/>
      </c>
      <c r="Y1330">
        <f>IF(ABS(W1330)&gt;1E-12,((LTP3!$D$5)*((U1330)*(Q1330)-(R1330)*(V1330))-(LTP3!$D$6)*((S1330)*(Q1330)-(R1330)*(T1330))+(T1330)*((S1330)*(V1330)-(U1330)*(T1330)))/W1330,0)</f>
        <v/>
      </c>
      <c r="Z1330">
        <f>IF(ABS(W1330)&gt;1E-12,((LTP3!$D$5)*((P1330)*(V1330)-(U1330)*(R1330))-(S1330)*((S1330)*(V1330)-(U1330)*(T1330))+(LTP3!$D$6)*((S1330)*(R1330)-(P1330)*(T1330)))/W1330,0)</f>
        <v/>
      </c>
      <c r="AA1330">
        <f>LTP3!$D$7-X1330*LTP3!$D$6-Y1330*U1330-Z1330*V1330</f>
        <v/>
      </c>
      <c r="AB1330">
        <f>IF(AND(F1330,ABS(W1330)&gt;1E-12,Y1330&gt;0,Z1330&gt;0),AA1330,1E+300)</f>
        <v/>
      </c>
    </row>
    <row r="1331">
      <c r="A1331">
        <f>$B$3+$B$5*21</f>
        <v/>
      </c>
      <c r="B1331">
        <f>$B$3+$B$5*38</f>
        <v/>
      </c>
      <c r="C1331">
        <f>SUMPRODUCT(Calc!$K$3:$K$22*(Calc!$G$3:$G$22&lt;=A1331))</f>
        <v/>
      </c>
      <c r="D1331">
        <f>SUMPRODUCT(Calc!$K$3:$K$22*(Calc!$G$3:$G$22&gt;A1331)*(Calc!$G$3:$G$22&lt;B1331))</f>
        <v/>
      </c>
      <c r="E1331">
        <f>SUMPRODUCT(Calc!$K$3:$K$22*(Calc!$G$3:$G$22&gt;=B1331))</f>
        <v/>
      </c>
      <c r="F1331">
        <f>AND(k_n&gt;=5,B1331&gt;A1331+1E-9,C1331&gt;=2,D1331&gt;=1,E1331&gt;=2)</f>
        <v/>
      </c>
      <c r="G1331">
        <f>SUMPRODUCT(Calc!$K$3:$K$22*(Calc!$G$3:$G$22&gt;A1331)*(Calc!$G$3:$G$22-A1331))</f>
        <v/>
      </c>
      <c r="H1331">
        <f>SUMPRODUCT(Calc!$K$3:$K$22*(Calc!$G$3:$G$22&gt;B1331)*(Calc!$G$3:$G$22-B1331))</f>
        <v/>
      </c>
      <c r="I1331">
        <f>SUMPRODUCT(Calc!$K$3:$K$22*(Calc!$G$3:$G$22&gt;A1331)*(Calc!$G$3:$G$22-A1331)^2)</f>
        <v/>
      </c>
      <c r="J1331">
        <f>SUMPRODUCT(Calc!$K$3:$K$22*(Calc!$G$3:$G$22&gt;B1331)*(Calc!$G$3:$G$22-B1331)^2)</f>
        <v/>
      </c>
      <c r="K1331">
        <f>SUMPRODUCT(Calc!$K$3:$K$22*(Calc!$G$3:$G$22&gt;A1331)*(Calc!$G$3:$G$22-A1331)*(Calc!$G$3:$G$22&gt;B1331)*(Calc!$G$3:$G$22-B1331))</f>
        <v/>
      </c>
      <c r="L1331">
        <f>SUMPRODUCT(Calc!$K$3:$K$22*(Calc!$G$3:$G$22&gt;A1331)*(Calc!$G$3:$G$22-A1331)*Calc!$G$3:$G$22)</f>
        <v/>
      </c>
      <c r="M1331">
        <f>SUMPRODUCT(Calc!$K$3:$K$22*(Calc!$G$3:$G$22&gt;B1331)*(Calc!$G$3:$G$22-B1331)*Calc!$G$3:$G$22)</f>
        <v/>
      </c>
      <c r="N1331">
        <f>SUMPRODUCT(Calc!$K$3:$K$22*(Calc!$G$3:$G$22&gt;A1331)*(Calc!$G$3:$G$22-A1331)*Calc!$I$3:$I$22)</f>
        <v/>
      </c>
      <c r="O1331">
        <f>SUMPRODUCT(Calc!$K$3:$K$22*(Calc!$G$3:$G$22&gt;B1331)*(Calc!$G$3:$G$22-B1331)*Calc!$I$3:$I$22)</f>
        <v/>
      </c>
      <c r="P1331">
        <f>I1331-G1331^2/k_n</f>
        <v/>
      </c>
      <c r="Q1331">
        <f>J1331-H1331^2/k_n</f>
        <v/>
      </c>
      <c r="R1331">
        <f>K1331-G1331*H1331/k_n</f>
        <v/>
      </c>
      <c r="S1331">
        <f>L1331-LTP3!$D$3*G1331/k_n</f>
        <v/>
      </c>
      <c r="T1331">
        <f>M1331-LTP3!$D$3*H1331/k_n</f>
        <v/>
      </c>
      <c r="U1331">
        <f>N1331-G1331*LTP3!$D$4/k_n</f>
        <v/>
      </c>
      <c r="V1331">
        <f>O1331-H1331*LTP3!$D$4/k_n</f>
        <v/>
      </c>
      <c r="W1331">
        <f>((LTP3!$D$5)*((P1331)*(Q1331)-(R1331)*(R1331))-(S1331)*((S1331)*(Q1331)-(R1331)*(T1331))+(T1331)*((S1331)*(R1331)-(P1331)*(T1331)))</f>
        <v/>
      </c>
      <c r="X1331">
        <f>IF(ABS(W1331)&gt;1E-12,((LTP3!$D$6)*((P1331)*(Q1331)-(R1331)*(R1331))-(S1331)*((U1331)*(Q1331)-(R1331)*(V1331))+(T1331)*((U1331)*(R1331)-(P1331)*(V1331)))/W1331,0)</f>
        <v/>
      </c>
      <c r="Y1331">
        <f>IF(ABS(W1331)&gt;1E-12,((LTP3!$D$5)*((U1331)*(Q1331)-(R1331)*(V1331))-(LTP3!$D$6)*((S1331)*(Q1331)-(R1331)*(T1331))+(T1331)*((S1331)*(V1331)-(U1331)*(T1331)))/W1331,0)</f>
        <v/>
      </c>
      <c r="Z1331">
        <f>IF(ABS(W1331)&gt;1E-12,((LTP3!$D$5)*((P1331)*(V1331)-(U1331)*(R1331))-(S1331)*((S1331)*(V1331)-(U1331)*(T1331))+(LTP3!$D$6)*((S1331)*(R1331)-(P1331)*(T1331)))/W1331,0)</f>
        <v/>
      </c>
      <c r="AA1331">
        <f>LTP3!$D$7-X1331*LTP3!$D$6-Y1331*U1331-Z1331*V1331</f>
        <v/>
      </c>
      <c r="AB1331">
        <f>IF(AND(F1331,ABS(W1331)&gt;1E-12,Y1331&gt;0,Z1331&gt;0),AA1331,1E+300)</f>
        <v/>
      </c>
    </row>
    <row r="1332">
      <c r="A1332">
        <f>$B$3+$B$5*21</f>
        <v/>
      </c>
      <c r="B1332">
        <f>$B$3+$B$5*39</f>
        <v/>
      </c>
      <c r="C1332">
        <f>SUMPRODUCT(Calc!$K$3:$K$22*(Calc!$G$3:$G$22&lt;=A1332))</f>
        <v/>
      </c>
      <c r="D1332">
        <f>SUMPRODUCT(Calc!$K$3:$K$22*(Calc!$G$3:$G$22&gt;A1332)*(Calc!$G$3:$G$22&lt;B1332))</f>
        <v/>
      </c>
      <c r="E1332">
        <f>SUMPRODUCT(Calc!$K$3:$K$22*(Calc!$G$3:$G$22&gt;=B1332))</f>
        <v/>
      </c>
      <c r="F1332">
        <f>AND(k_n&gt;=5,B1332&gt;A1332+1E-9,C1332&gt;=2,D1332&gt;=1,E1332&gt;=2)</f>
        <v/>
      </c>
      <c r="G1332">
        <f>SUMPRODUCT(Calc!$K$3:$K$22*(Calc!$G$3:$G$22&gt;A1332)*(Calc!$G$3:$G$22-A1332))</f>
        <v/>
      </c>
      <c r="H1332">
        <f>SUMPRODUCT(Calc!$K$3:$K$22*(Calc!$G$3:$G$22&gt;B1332)*(Calc!$G$3:$G$22-B1332))</f>
        <v/>
      </c>
      <c r="I1332">
        <f>SUMPRODUCT(Calc!$K$3:$K$22*(Calc!$G$3:$G$22&gt;A1332)*(Calc!$G$3:$G$22-A1332)^2)</f>
        <v/>
      </c>
      <c r="J1332">
        <f>SUMPRODUCT(Calc!$K$3:$K$22*(Calc!$G$3:$G$22&gt;B1332)*(Calc!$G$3:$G$22-B1332)^2)</f>
        <v/>
      </c>
      <c r="K1332">
        <f>SUMPRODUCT(Calc!$K$3:$K$22*(Calc!$G$3:$G$22&gt;A1332)*(Calc!$G$3:$G$22-A1332)*(Calc!$G$3:$G$22&gt;B1332)*(Calc!$G$3:$G$22-B1332))</f>
        <v/>
      </c>
      <c r="L1332">
        <f>SUMPRODUCT(Calc!$K$3:$K$22*(Calc!$G$3:$G$22&gt;A1332)*(Calc!$G$3:$G$22-A1332)*Calc!$G$3:$G$22)</f>
        <v/>
      </c>
      <c r="M1332">
        <f>SUMPRODUCT(Calc!$K$3:$K$22*(Calc!$G$3:$G$22&gt;B1332)*(Calc!$G$3:$G$22-B1332)*Calc!$G$3:$G$22)</f>
        <v/>
      </c>
      <c r="N1332">
        <f>SUMPRODUCT(Calc!$K$3:$K$22*(Calc!$G$3:$G$22&gt;A1332)*(Calc!$G$3:$G$22-A1332)*Calc!$I$3:$I$22)</f>
        <v/>
      </c>
      <c r="O1332">
        <f>SUMPRODUCT(Calc!$K$3:$K$22*(Calc!$G$3:$G$22&gt;B1332)*(Calc!$G$3:$G$22-B1332)*Calc!$I$3:$I$22)</f>
        <v/>
      </c>
      <c r="P1332">
        <f>I1332-G1332^2/k_n</f>
        <v/>
      </c>
      <c r="Q1332">
        <f>J1332-H1332^2/k_n</f>
        <v/>
      </c>
      <c r="R1332">
        <f>K1332-G1332*H1332/k_n</f>
        <v/>
      </c>
      <c r="S1332">
        <f>L1332-LTP3!$D$3*G1332/k_n</f>
        <v/>
      </c>
      <c r="T1332">
        <f>M1332-LTP3!$D$3*H1332/k_n</f>
        <v/>
      </c>
      <c r="U1332">
        <f>N1332-G1332*LTP3!$D$4/k_n</f>
        <v/>
      </c>
      <c r="V1332">
        <f>O1332-H1332*LTP3!$D$4/k_n</f>
        <v/>
      </c>
      <c r="W1332">
        <f>((LTP3!$D$5)*((P1332)*(Q1332)-(R1332)*(R1332))-(S1332)*((S1332)*(Q1332)-(R1332)*(T1332))+(T1332)*((S1332)*(R1332)-(P1332)*(T1332)))</f>
        <v/>
      </c>
      <c r="X1332">
        <f>IF(ABS(W1332)&gt;1E-12,((LTP3!$D$6)*((P1332)*(Q1332)-(R1332)*(R1332))-(S1332)*((U1332)*(Q1332)-(R1332)*(V1332))+(T1332)*((U1332)*(R1332)-(P1332)*(V1332)))/W1332,0)</f>
        <v/>
      </c>
      <c r="Y1332">
        <f>IF(ABS(W1332)&gt;1E-12,((LTP3!$D$5)*((U1332)*(Q1332)-(R1332)*(V1332))-(LTP3!$D$6)*((S1332)*(Q1332)-(R1332)*(T1332))+(T1332)*((S1332)*(V1332)-(U1332)*(T1332)))/W1332,0)</f>
        <v/>
      </c>
      <c r="Z1332">
        <f>IF(ABS(W1332)&gt;1E-12,((LTP3!$D$5)*((P1332)*(V1332)-(U1332)*(R1332))-(S1332)*((S1332)*(V1332)-(U1332)*(T1332))+(LTP3!$D$6)*((S1332)*(R1332)-(P1332)*(T1332)))/W1332,0)</f>
        <v/>
      </c>
      <c r="AA1332">
        <f>LTP3!$D$7-X1332*LTP3!$D$6-Y1332*U1332-Z1332*V1332</f>
        <v/>
      </c>
      <c r="AB1332">
        <f>IF(AND(F1332,ABS(W1332)&gt;1E-12,Y1332&gt;0,Z1332&gt;0),AA1332,1E+300)</f>
        <v/>
      </c>
    </row>
    <row r="1333">
      <c r="A1333">
        <f>$B$3+$B$5*21</f>
        <v/>
      </c>
      <c r="B1333">
        <f>$B$3+$B$5*40</f>
        <v/>
      </c>
      <c r="C1333">
        <f>SUMPRODUCT(Calc!$K$3:$K$22*(Calc!$G$3:$G$22&lt;=A1333))</f>
        <v/>
      </c>
      <c r="D1333">
        <f>SUMPRODUCT(Calc!$K$3:$K$22*(Calc!$G$3:$G$22&gt;A1333)*(Calc!$G$3:$G$22&lt;B1333))</f>
        <v/>
      </c>
      <c r="E1333">
        <f>SUMPRODUCT(Calc!$K$3:$K$22*(Calc!$G$3:$G$22&gt;=B1333))</f>
        <v/>
      </c>
      <c r="F1333">
        <f>AND(k_n&gt;=5,B1333&gt;A1333+1E-9,C1333&gt;=2,D1333&gt;=1,E1333&gt;=2)</f>
        <v/>
      </c>
      <c r="G1333">
        <f>SUMPRODUCT(Calc!$K$3:$K$22*(Calc!$G$3:$G$22&gt;A1333)*(Calc!$G$3:$G$22-A1333))</f>
        <v/>
      </c>
      <c r="H1333">
        <f>SUMPRODUCT(Calc!$K$3:$K$22*(Calc!$G$3:$G$22&gt;B1333)*(Calc!$G$3:$G$22-B1333))</f>
        <v/>
      </c>
      <c r="I1333">
        <f>SUMPRODUCT(Calc!$K$3:$K$22*(Calc!$G$3:$G$22&gt;A1333)*(Calc!$G$3:$G$22-A1333)^2)</f>
        <v/>
      </c>
      <c r="J1333">
        <f>SUMPRODUCT(Calc!$K$3:$K$22*(Calc!$G$3:$G$22&gt;B1333)*(Calc!$G$3:$G$22-B1333)^2)</f>
        <v/>
      </c>
      <c r="K1333">
        <f>SUMPRODUCT(Calc!$K$3:$K$22*(Calc!$G$3:$G$22&gt;A1333)*(Calc!$G$3:$G$22-A1333)*(Calc!$G$3:$G$22&gt;B1333)*(Calc!$G$3:$G$22-B1333))</f>
        <v/>
      </c>
      <c r="L1333">
        <f>SUMPRODUCT(Calc!$K$3:$K$22*(Calc!$G$3:$G$22&gt;A1333)*(Calc!$G$3:$G$22-A1333)*Calc!$G$3:$G$22)</f>
        <v/>
      </c>
      <c r="M1333">
        <f>SUMPRODUCT(Calc!$K$3:$K$22*(Calc!$G$3:$G$22&gt;B1333)*(Calc!$G$3:$G$22-B1333)*Calc!$G$3:$G$22)</f>
        <v/>
      </c>
      <c r="N1333">
        <f>SUMPRODUCT(Calc!$K$3:$K$22*(Calc!$G$3:$G$22&gt;A1333)*(Calc!$G$3:$G$22-A1333)*Calc!$I$3:$I$22)</f>
        <v/>
      </c>
      <c r="O1333">
        <f>SUMPRODUCT(Calc!$K$3:$K$22*(Calc!$G$3:$G$22&gt;B1333)*(Calc!$G$3:$G$22-B1333)*Calc!$I$3:$I$22)</f>
        <v/>
      </c>
      <c r="P1333">
        <f>I1333-G1333^2/k_n</f>
        <v/>
      </c>
      <c r="Q1333">
        <f>J1333-H1333^2/k_n</f>
        <v/>
      </c>
      <c r="R1333">
        <f>K1333-G1333*H1333/k_n</f>
        <v/>
      </c>
      <c r="S1333">
        <f>L1333-LTP3!$D$3*G1333/k_n</f>
        <v/>
      </c>
      <c r="T1333">
        <f>M1333-LTP3!$D$3*H1333/k_n</f>
        <v/>
      </c>
      <c r="U1333">
        <f>N1333-G1333*LTP3!$D$4/k_n</f>
        <v/>
      </c>
      <c r="V1333">
        <f>O1333-H1333*LTP3!$D$4/k_n</f>
        <v/>
      </c>
      <c r="W1333">
        <f>((LTP3!$D$5)*((P1333)*(Q1333)-(R1333)*(R1333))-(S1333)*((S1333)*(Q1333)-(R1333)*(T1333))+(T1333)*((S1333)*(R1333)-(P1333)*(T1333)))</f>
        <v/>
      </c>
      <c r="X1333">
        <f>IF(ABS(W1333)&gt;1E-12,((LTP3!$D$6)*((P1333)*(Q1333)-(R1333)*(R1333))-(S1333)*((U1333)*(Q1333)-(R1333)*(V1333))+(T1333)*((U1333)*(R1333)-(P1333)*(V1333)))/W1333,0)</f>
        <v/>
      </c>
      <c r="Y1333">
        <f>IF(ABS(W1333)&gt;1E-12,((LTP3!$D$5)*((U1333)*(Q1333)-(R1333)*(V1333))-(LTP3!$D$6)*((S1333)*(Q1333)-(R1333)*(T1333))+(T1333)*((S1333)*(V1333)-(U1333)*(T1333)))/W1333,0)</f>
        <v/>
      </c>
      <c r="Z1333">
        <f>IF(ABS(W1333)&gt;1E-12,((LTP3!$D$5)*((P1333)*(V1333)-(U1333)*(R1333))-(S1333)*((S1333)*(V1333)-(U1333)*(T1333))+(LTP3!$D$6)*((S1333)*(R1333)-(P1333)*(T1333)))/W1333,0)</f>
        <v/>
      </c>
      <c r="AA1333">
        <f>LTP3!$D$7-X1333*LTP3!$D$6-Y1333*U1333-Z1333*V1333</f>
        <v/>
      </c>
      <c r="AB1333">
        <f>IF(AND(F1333,ABS(W1333)&gt;1E-12,Y1333&gt;0,Z1333&gt;0),AA1333,1E+300)</f>
        <v/>
      </c>
    </row>
    <row r="1334">
      <c r="A1334">
        <f>$B$3+$B$5*21</f>
        <v/>
      </c>
      <c r="B1334">
        <f>$B$3+$B$5*41</f>
        <v/>
      </c>
      <c r="C1334">
        <f>SUMPRODUCT(Calc!$K$3:$K$22*(Calc!$G$3:$G$22&lt;=A1334))</f>
        <v/>
      </c>
      <c r="D1334">
        <f>SUMPRODUCT(Calc!$K$3:$K$22*(Calc!$G$3:$G$22&gt;A1334)*(Calc!$G$3:$G$22&lt;B1334))</f>
        <v/>
      </c>
      <c r="E1334">
        <f>SUMPRODUCT(Calc!$K$3:$K$22*(Calc!$G$3:$G$22&gt;=B1334))</f>
        <v/>
      </c>
      <c r="F1334">
        <f>AND(k_n&gt;=5,B1334&gt;A1334+1E-9,C1334&gt;=2,D1334&gt;=1,E1334&gt;=2)</f>
        <v/>
      </c>
      <c r="G1334">
        <f>SUMPRODUCT(Calc!$K$3:$K$22*(Calc!$G$3:$G$22&gt;A1334)*(Calc!$G$3:$G$22-A1334))</f>
        <v/>
      </c>
      <c r="H1334">
        <f>SUMPRODUCT(Calc!$K$3:$K$22*(Calc!$G$3:$G$22&gt;B1334)*(Calc!$G$3:$G$22-B1334))</f>
        <v/>
      </c>
      <c r="I1334">
        <f>SUMPRODUCT(Calc!$K$3:$K$22*(Calc!$G$3:$G$22&gt;A1334)*(Calc!$G$3:$G$22-A1334)^2)</f>
        <v/>
      </c>
      <c r="J1334">
        <f>SUMPRODUCT(Calc!$K$3:$K$22*(Calc!$G$3:$G$22&gt;B1334)*(Calc!$G$3:$G$22-B1334)^2)</f>
        <v/>
      </c>
      <c r="K1334">
        <f>SUMPRODUCT(Calc!$K$3:$K$22*(Calc!$G$3:$G$22&gt;A1334)*(Calc!$G$3:$G$22-A1334)*(Calc!$G$3:$G$22&gt;B1334)*(Calc!$G$3:$G$22-B1334))</f>
        <v/>
      </c>
      <c r="L1334">
        <f>SUMPRODUCT(Calc!$K$3:$K$22*(Calc!$G$3:$G$22&gt;A1334)*(Calc!$G$3:$G$22-A1334)*Calc!$G$3:$G$22)</f>
        <v/>
      </c>
      <c r="M1334">
        <f>SUMPRODUCT(Calc!$K$3:$K$22*(Calc!$G$3:$G$22&gt;B1334)*(Calc!$G$3:$G$22-B1334)*Calc!$G$3:$G$22)</f>
        <v/>
      </c>
      <c r="N1334">
        <f>SUMPRODUCT(Calc!$K$3:$K$22*(Calc!$G$3:$G$22&gt;A1334)*(Calc!$G$3:$G$22-A1334)*Calc!$I$3:$I$22)</f>
        <v/>
      </c>
      <c r="O1334">
        <f>SUMPRODUCT(Calc!$K$3:$K$22*(Calc!$G$3:$G$22&gt;B1334)*(Calc!$G$3:$G$22-B1334)*Calc!$I$3:$I$22)</f>
        <v/>
      </c>
      <c r="P1334">
        <f>I1334-G1334^2/k_n</f>
        <v/>
      </c>
      <c r="Q1334">
        <f>J1334-H1334^2/k_n</f>
        <v/>
      </c>
      <c r="R1334">
        <f>K1334-G1334*H1334/k_n</f>
        <v/>
      </c>
      <c r="S1334">
        <f>L1334-LTP3!$D$3*G1334/k_n</f>
        <v/>
      </c>
      <c r="T1334">
        <f>M1334-LTP3!$D$3*H1334/k_n</f>
        <v/>
      </c>
      <c r="U1334">
        <f>N1334-G1334*LTP3!$D$4/k_n</f>
        <v/>
      </c>
      <c r="V1334">
        <f>O1334-H1334*LTP3!$D$4/k_n</f>
        <v/>
      </c>
      <c r="W1334">
        <f>((LTP3!$D$5)*((P1334)*(Q1334)-(R1334)*(R1334))-(S1334)*((S1334)*(Q1334)-(R1334)*(T1334))+(T1334)*((S1334)*(R1334)-(P1334)*(T1334)))</f>
        <v/>
      </c>
      <c r="X1334">
        <f>IF(ABS(W1334)&gt;1E-12,((LTP3!$D$6)*((P1334)*(Q1334)-(R1334)*(R1334))-(S1334)*((U1334)*(Q1334)-(R1334)*(V1334))+(T1334)*((U1334)*(R1334)-(P1334)*(V1334)))/W1334,0)</f>
        <v/>
      </c>
      <c r="Y1334">
        <f>IF(ABS(W1334)&gt;1E-12,((LTP3!$D$5)*((U1334)*(Q1334)-(R1334)*(V1334))-(LTP3!$D$6)*((S1334)*(Q1334)-(R1334)*(T1334))+(T1334)*((S1334)*(V1334)-(U1334)*(T1334)))/W1334,0)</f>
        <v/>
      </c>
      <c r="Z1334">
        <f>IF(ABS(W1334)&gt;1E-12,((LTP3!$D$5)*((P1334)*(V1334)-(U1334)*(R1334))-(S1334)*((S1334)*(V1334)-(U1334)*(T1334))+(LTP3!$D$6)*((S1334)*(R1334)-(P1334)*(T1334)))/W1334,0)</f>
        <v/>
      </c>
      <c r="AA1334">
        <f>LTP3!$D$7-X1334*LTP3!$D$6-Y1334*U1334-Z1334*V1334</f>
        <v/>
      </c>
      <c r="AB1334">
        <f>IF(AND(F1334,ABS(W1334)&gt;1E-12,Y1334&gt;0,Z1334&gt;0),AA1334,1E+300)</f>
        <v/>
      </c>
    </row>
    <row r="1335">
      <c r="A1335">
        <f>$B$3+$B$5*21</f>
        <v/>
      </c>
      <c r="B1335">
        <f>$B$3+$B$5*42</f>
        <v/>
      </c>
      <c r="C1335">
        <f>SUMPRODUCT(Calc!$K$3:$K$22*(Calc!$G$3:$G$22&lt;=A1335))</f>
        <v/>
      </c>
      <c r="D1335">
        <f>SUMPRODUCT(Calc!$K$3:$K$22*(Calc!$G$3:$G$22&gt;A1335)*(Calc!$G$3:$G$22&lt;B1335))</f>
        <v/>
      </c>
      <c r="E1335">
        <f>SUMPRODUCT(Calc!$K$3:$K$22*(Calc!$G$3:$G$22&gt;=B1335))</f>
        <v/>
      </c>
      <c r="F1335">
        <f>AND(k_n&gt;=5,B1335&gt;A1335+1E-9,C1335&gt;=2,D1335&gt;=1,E1335&gt;=2)</f>
        <v/>
      </c>
      <c r="G1335">
        <f>SUMPRODUCT(Calc!$K$3:$K$22*(Calc!$G$3:$G$22&gt;A1335)*(Calc!$G$3:$G$22-A1335))</f>
        <v/>
      </c>
      <c r="H1335">
        <f>SUMPRODUCT(Calc!$K$3:$K$22*(Calc!$G$3:$G$22&gt;B1335)*(Calc!$G$3:$G$22-B1335))</f>
        <v/>
      </c>
      <c r="I1335">
        <f>SUMPRODUCT(Calc!$K$3:$K$22*(Calc!$G$3:$G$22&gt;A1335)*(Calc!$G$3:$G$22-A1335)^2)</f>
        <v/>
      </c>
      <c r="J1335">
        <f>SUMPRODUCT(Calc!$K$3:$K$22*(Calc!$G$3:$G$22&gt;B1335)*(Calc!$G$3:$G$22-B1335)^2)</f>
        <v/>
      </c>
      <c r="K1335">
        <f>SUMPRODUCT(Calc!$K$3:$K$22*(Calc!$G$3:$G$22&gt;A1335)*(Calc!$G$3:$G$22-A1335)*(Calc!$G$3:$G$22&gt;B1335)*(Calc!$G$3:$G$22-B1335))</f>
        <v/>
      </c>
      <c r="L1335">
        <f>SUMPRODUCT(Calc!$K$3:$K$22*(Calc!$G$3:$G$22&gt;A1335)*(Calc!$G$3:$G$22-A1335)*Calc!$G$3:$G$22)</f>
        <v/>
      </c>
      <c r="M1335">
        <f>SUMPRODUCT(Calc!$K$3:$K$22*(Calc!$G$3:$G$22&gt;B1335)*(Calc!$G$3:$G$22-B1335)*Calc!$G$3:$G$22)</f>
        <v/>
      </c>
      <c r="N1335">
        <f>SUMPRODUCT(Calc!$K$3:$K$22*(Calc!$G$3:$G$22&gt;A1335)*(Calc!$G$3:$G$22-A1335)*Calc!$I$3:$I$22)</f>
        <v/>
      </c>
      <c r="O1335">
        <f>SUMPRODUCT(Calc!$K$3:$K$22*(Calc!$G$3:$G$22&gt;B1335)*(Calc!$G$3:$G$22-B1335)*Calc!$I$3:$I$22)</f>
        <v/>
      </c>
      <c r="P1335">
        <f>I1335-G1335^2/k_n</f>
        <v/>
      </c>
      <c r="Q1335">
        <f>J1335-H1335^2/k_n</f>
        <v/>
      </c>
      <c r="R1335">
        <f>K1335-G1335*H1335/k_n</f>
        <v/>
      </c>
      <c r="S1335">
        <f>L1335-LTP3!$D$3*G1335/k_n</f>
        <v/>
      </c>
      <c r="T1335">
        <f>M1335-LTP3!$D$3*H1335/k_n</f>
        <v/>
      </c>
      <c r="U1335">
        <f>N1335-G1335*LTP3!$D$4/k_n</f>
        <v/>
      </c>
      <c r="V1335">
        <f>O1335-H1335*LTP3!$D$4/k_n</f>
        <v/>
      </c>
      <c r="W1335">
        <f>((LTP3!$D$5)*((P1335)*(Q1335)-(R1335)*(R1335))-(S1335)*((S1335)*(Q1335)-(R1335)*(T1335))+(T1335)*((S1335)*(R1335)-(P1335)*(T1335)))</f>
        <v/>
      </c>
      <c r="X1335">
        <f>IF(ABS(W1335)&gt;1E-12,((LTP3!$D$6)*((P1335)*(Q1335)-(R1335)*(R1335))-(S1335)*((U1335)*(Q1335)-(R1335)*(V1335))+(T1335)*((U1335)*(R1335)-(P1335)*(V1335)))/W1335,0)</f>
        <v/>
      </c>
      <c r="Y1335">
        <f>IF(ABS(W1335)&gt;1E-12,((LTP3!$D$5)*((U1335)*(Q1335)-(R1335)*(V1335))-(LTP3!$D$6)*((S1335)*(Q1335)-(R1335)*(T1335))+(T1335)*((S1335)*(V1335)-(U1335)*(T1335)))/W1335,0)</f>
        <v/>
      </c>
      <c r="Z1335">
        <f>IF(ABS(W1335)&gt;1E-12,((LTP3!$D$5)*((P1335)*(V1335)-(U1335)*(R1335))-(S1335)*((S1335)*(V1335)-(U1335)*(T1335))+(LTP3!$D$6)*((S1335)*(R1335)-(P1335)*(T1335)))/W1335,0)</f>
        <v/>
      </c>
      <c r="AA1335">
        <f>LTP3!$D$7-X1335*LTP3!$D$6-Y1335*U1335-Z1335*V1335</f>
        <v/>
      </c>
      <c r="AB1335">
        <f>IF(AND(F1335,ABS(W1335)&gt;1E-12,Y1335&gt;0,Z1335&gt;0),AA1335,1E+300)</f>
        <v/>
      </c>
    </row>
    <row r="1336">
      <c r="A1336">
        <f>$B$3+$B$5*21</f>
        <v/>
      </c>
      <c r="B1336">
        <f>$B$3+$B$5*43</f>
        <v/>
      </c>
      <c r="C1336">
        <f>SUMPRODUCT(Calc!$K$3:$K$22*(Calc!$G$3:$G$22&lt;=A1336))</f>
        <v/>
      </c>
      <c r="D1336">
        <f>SUMPRODUCT(Calc!$K$3:$K$22*(Calc!$G$3:$G$22&gt;A1336)*(Calc!$G$3:$G$22&lt;B1336))</f>
        <v/>
      </c>
      <c r="E1336">
        <f>SUMPRODUCT(Calc!$K$3:$K$22*(Calc!$G$3:$G$22&gt;=B1336))</f>
        <v/>
      </c>
      <c r="F1336">
        <f>AND(k_n&gt;=5,B1336&gt;A1336+1E-9,C1336&gt;=2,D1336&gt;=1,E1336&gt;=2)</f>
        <v/>
      </c>
      <c r="G1336">
        <f>SUMPRODUCT(Calc!$K$3:$K$22*(Calc!$G$3:$G$22&gt;A1336)*(Calc!$G$3:$G$22-A1336))</f>
        <v/>
      </c>
      <c r="H1336">
        <f>SUMPRODUCT(Calc!$K$3:$K$22*(Calc!$G$3:$G$22&gt;B1336)*(Calc!$G$3:$G$22-B1336))</f>
        <v/>
      </c>
      <c r="I1336">
        <f>SUMPRODUCT(Calc!$K$3:$K$22*(Calc!$G$3:$G$22&gt;A1336)*(Calc!$G$3:$G$22-A1336)^2)</f>
        <v/>
      </c>
      <c r="J1336">
        <f>SUMPRODUCT(Calc!$K$3:$K$22*(Calc!$G$3:$G$22&gt;B1336)*(Calc!$G$3:$G$22-B1336)^2)</f>
        <v/>
      </c>
      <c r="K1336">
        <f>SUMPRODUCT(Calc!$K$3:$K$22*(Calc!$G$3:$G$22&gt;A1336)*(Calc!$G$3:$G$22-A1336)*(Calc!$G$3:$G$22&gt;B1336)*(Calc!$G$3:$G$22-B1336))</f>
        <v/>
      </c>
      <c r="L1336">
        <f>SUMPRODUCT(Calc!$K$3:$K$22*(Calc!$G$3:$G$22&gt;A1336)*(Calc!$G$3:$G$22-A1336)*Calc!$G$3:$G$22)</f>
        <v/>
      </c>
      <c r="M1336">
        <f>SUMPRODUCT(Calc!$K$3:$K$22*(Calc!$G$3:$G$22&gt;B1336)*(Calc!$G$3:$G$22-B1336)*Calc!$G$3:$G$22)</f>
        <v/>
      </c>
      <c r="N1336">
        <f>SUMPRODUCT(Calc!$K$3:$K$22*(Calc!$G$3:$G$22&gt;A1336)*(Calc!$G$3:$G$22-A1336)*Calc!$I$3:$I$22)</f>
        <v/>
      </c>
      <c r="O1336">
        <f>SUMPRODUCT(Calc!$K$3:$K$22*(Calc!$G$3:$G$22&gt;B1336)*(Calc!$G$3:$G$22-B1336)*Calc!$I$3:$I$22)</f>
        <v/>
      </c>
      <c r="P1336">
        <f>I1336-G1336^2/k_n</f>
        <v/>
      </c>
      <c r="Q1336">
        <f>J1336-H1336^2/k_n</f>
        <v/>
      </c>
      <c r="R1336">
        <f>K1336-G1336*H1336/k_n</f>
        <v/>
      </c>
      <c r="S1336">
        <f>L1336-LTP3!$D$3*G1336/k_n</f>
        <v/>
      </c>
      <c r="T1336">
        <f>M1336-LTP3!$D$3*H1336/k_n</f>
        <v/>
      </c>
      <c r="U1336">
        <f>N1336-G1336*LTP3!$D$4/k_n</f>
        <v/>
      </c>
      <c r="V1336">
        <f>O1336-H1336*LTP3!$D$4/k_n</f>
        <v/>
      </c>
      <c r="W1336">
        <f>((LTP3!$D$5)*((P1336)*(Q1336)-(R1336)*(R1336))-(S1336)*((S1336)*(Q1336)-(R1336)*(T1336))+(T1336)*((S1336)*(R1336)-(P1336)*(T1336)))</f>
        <v/>
      </c>
      <c r="X1336">
        <f>IF(ABS(W1336)&gt;1E-12,((LTP3!$D$6)*((P1336)*(Q1336)-(R1336)*(R1336))-(S1336)*((U1336)*(Q1336)-(R1336)*(V1336))+(T1336)*((U1336)*(R1336)-(P1336)*(V1336)))/W1336,0)</f>
        <v/>
      </c>
      <c r="Y1336">
        <f>IF(ABS(W1336)&gt;1E-12,((LTP3!$D$5)*((U1336)*(Q1336)-(R1336)*(V1336))-(LTP3!$D$6)*((S1336)*(Q1336)-(R1336)*(T1336))+(T1336)*((S1336)*(V1336)-(U1336)*(T1336)))/W1336,0)</f>
        <v/>
      </c>
      <c r="Z1336">
        <f>IF(ABS(W1336)&gt;1E-12,((LTP3!$D$5)*((P1336)*(V1336)-(U1336)*(R1336))-(S1336)*((S1336)*(V1336)-(U1336)*(T1336))+(LTP3!$D$6)*((S1336)*(R1336)-(P1336)*(T1336)))/W1336,0)</f>
        <v/>
      </c>
      <c r="AA1336">
        <f>LTP3!$D$7-X1336*LTP3!$D$6-Y1336*U1336-Z1336*V1336</f>
        <v/>
      </c>
      <c r="AB1336">
        <f>IF(AND(F1336,ABS(W1336)&gt;1E-12,Y1336&gt;0,Z1336&gt;0),AA1336,1E+300)</f>
        <v/>
      </c>
    </row>
    <row r="1337">
      <c r="A1337">
        <f>$B$3+$B$5*21</f>
        <v/>
      </c>
      <c r="B1337">
        <f>$B$3+$B$5*44</f>
        <v/>
      </c>
      <c r="C1337">
        <f>SUMPRODUCT(Calc!$K$3:$K$22*(Calc!$G$3:$G$22&lt;=A1337))</f>
        <v/>
      </c>
      <c r="D1337">
        <f>SUMPRODUCT(Calc!$K$3:$K$22*(Calc!$G$3:$G$22&gt;A1337)*(Calc!$G$3:$G$22&lt;B1337))</f>
        <v/>
      </c>
      <c r="E1337">
        <f>SUMPRODUCT(Calc!$K$3:$K$22*(Calc!$G$3:$G$22&gt;=B1337))</f>
        <v/>
      </c>
      <c r="F1337">
        <f>AND(k_n&gt;=5,B1337&gt;A1337+1E-9,C1337&gt;=2,D1337&gt;=1,E1337&gt;=2)</f>
        <v/>
      </c>
      <c r="G1337">
        <f>SUMPRODUCT(Calc!$K$3:$K$22*(Calc!$G$3:$G$22&gt;A1337)*(Calc!$G$3:$G$22-A1337))</f>
        <v/>
      </c>
      <c r="H1337">
        <f>SUMPRODUCT(Calc!$K$3:$K$22*(Calc!$G$3:$G$22&gt;B1337)*(Calc!$G$3:$G$22-B1337))</f>
        <v/>
      </c>
      <c r="I1337">
        <f>SUMPRODUCT(Calc!$K$3:$K$22*(Calc!$G$3:$G$22&gt;A1337)*(Calc!$G$3:$G$22-A1337)^2)</f>
        <v/>
      </c>
      <c r="J1337">
        <f>SUMPRODUCT(Calc!$K$3:$K$22*(Calc!$G$3:$G$22&gt;B1337)*(Calc!$G$3:$G$22-B1337)^2)</f>
        <v/>
      </c>
      <c r="K1337">
        <f>SUMPRODUCT(Calc!$K$3:$K$22*(Calc!$G$3:$G$22&gt;A1337)*(Calc!$G$3:$G$22-A1337)*(Calc!$G$3:$G$22&gt;B1337)*(Calc!$G$3:$G$22-B1337))</f>
        <v/>
      </c>
      <c r="L1337">
        <f>SUMPRODUCT(Calc!$K$3:$K$22*(Calc!$G$3:$G$22&gt;A1337)*(Calc!$G$3:$G$22-A1337)*Calc!$G$3:$G$22)</f>
        <v/>
      </c>
      <c r="M1337">
        <f>SUMPRODUCT(Calc!$K$3:$K$22*(Calc!$G$3:$G$22&gt;B1337)*(Calc!$G$3:$G$22-B1337)*Calc!$G$3:$G$22)</f>
        <v/>
      </c>
      <c r="N1337">
        <f>SUMPRODUCT(Calc!$K$3:$K$22*(Calc!$G$3:$G$22&gt;A1337)*(Calc!$G$3:$G$22-A1337)*Calc!$I$3:$I$22)</f>
        <v/>
      </c>
      <c r="O1337">
        <f>SUMPRODUCT(Calc!$K$3:$K$22*(Calc!$G$3:$G$22&gt;B1337)*(Calc!$G$3:$G$22-B1337)*Calc!$I$3:$I$22)</f>
        <v/>
      </c>
      <c r="P1337">
        <f>I1337-G1337^2/k_n</f>
        <v/>
      </c>
      <c r="Q1337">
        <f>J1337-H1337^2/k_n</f>
        <v/>
      </c>
      <c r="R1337">
        <f>K1337-G1337*H1337/k_n</f>
        <v/>
      </c>
      <c r="S1337">
        <f>L1337-LTP3!$D$3*G1337/k_n</f>
        <v/>
      </c>
      <c r="T1337">
        <f>M1337-LTP3!$D$3*H1337/k_n</f>
        <v/>
      </c>
      <c r="U1337">
        <f>N1337-G1337*LTP3!$D$4/k_n</f>
        <v/>
      </c>
      <c r="V1337">
        <f>O1337-H1337*LTP3!$D$4/k_n</f>
        <v/>
      </c>
      <c r="W1337">
        <f>((LTP3!$D$5)*((P1337)*(Q1337)-(R1337)*(R1337))-(S1337)*((S1337)*(Q1337)-(R1337)*(T1337))+(T1337)*((S1337)*(R1337)-(P1337)*(T1337)))</f>
        <v/>
      </c>
      <c r="X1337">
        <f>IF(ABS(W1337)&gt;1E-12,((LTP3!$D$6)*((P1337)*(Q1337)-(R1337)*(R1337))-(S1337)*((U1337)*(Q1337)-(R1337)*(V1337))+(T1337)*((U1337)*(R1337)-(P1337)*(V1337)))/W1337,0)</f>
        <v/>
      </c>
      <c r="Y1337">
        <f>IF(ABS(W1337)&gt;1E-12,((LTP3!$D$5)*((U1337)*(Q1337)-(R1337)*(V1337))-(LTP3!$D$6)*((S1337)*(Q1337)-(R1337)*(T1337))+(T1337)*((S1337)*(V1337)-(U1337)*(T1337)))/W1337,0)</f>
        <v/>
      </c>
      <c r="Z1337">
        <f>IF(ABS(W1337)&gt;1E-12,((LTP3!$D$5)*((P1337)*(V1337)-(U1337)*(R1337))-(S1337)*((S1337)*(V1337)-(U1337)*(T1337))+(LTP3!$D$6)*((S1337)*(R1337)-(P1337)*(T1337)))/W1337,0)</f>
        <v/>
      </c>
      <c r="AA1337">
        <f>LTP3!$D$7-X1337*LTP3!$D$6-Y1337*U1337-Z1337*V1337</f>
        <v/>
      </c>
      <c r="AB1337">
        <f>IF(AND(F1337,ABS(W1337)&gt;1E-12,Y1337&gt;0,Z1337&gt;0),AA1337,1E+300)</f>
        <v/>
      </c>
    </row>
    <row r="1338">
      <c r="A1338">
        <f>$B$3+$B$5*21</f>
        <v/>
      </c>
      <c r="B1338">
        <f>$B$3+$B$5*45</f>
        <v/>
      </c>
      <c r="C1338">
        <f>SUMPRODUCT(Calc!$K$3:$K$22*(Calc!$G$3:$G$22&lt;=A1338))</f>
        <v/>
      </c>
      <c r="D1338">
        <f>SUMPRODUCT(Calc!$K$3:$K$22*(Calc!$G$3:$G$22&gt;A1338)*(Calc!$G$3:$G$22&lt;B1338))</f>
        <v/>
      </c>
      <c r="E1338">
        <f>SUMPRODUCT(Calc!$K$3:$K$22*(Calc!$G$3:$G$22&gt;=B1338))</f>
        <v/>
      </c>
      <c r="F1338">
        <f>AND(k_n&gt;=5,B1338&gt;A1338+1E-9,C1338&gt;=2,D1338&gt;=1,E1338&gt;=2)</f>
        <v/>
      </c>
      <c r="G1338">
        <f>SUMPRODUCT(Calc!$K$3:$K$22*(Calc!$G$3:$G$22&gt;A1338)*(Calc!$G$3:$G$22-A1338))</f>
        <v/>
      </c>
      <c r="H1338">
        <f>SUMPRODUCT(Calc!$K$3:$K$22*(Calc!$G$3:$G$22&gt;B1338)*(Calc!$G$3:$G$22-B1338))</f>
        <v/>
      </c>
      <c r="I1338">
        <f>SUMPRODUCT(Calc!$K$3:$K$22*(Calc!$G$3:$G$22&gt;A1338)*(Calc!$G$3:$G$22-A1338)^2)</f>
        <v/>
      </c>
      <c r="J1338">
        <f>SUMPRODUCT(Calc!$K$3:$K$22*(Calc!$G$3:$G$22&gt;B1338)*(Calc!$G$3:$G$22-B1338)^2)</f>
        <v/>
      </c>
      <c r="K1338">
        <f>SUMPRODUCT(Calc!$K$3:$K$22*(Calc!$G$3:$G$22&gt;A1338)*(Calc!$G$3:$G$22-A1338)*(Calc!$G$3:$G$22&gt;B1338)*(Calc!$G$3:$G$22-B1338))</f>
        <v/>
      </c>
      <c r="L1338">
        <f>SUMPRODUCT(Calc!$K$3:$K$22*(Calc!$G$3:$G$22&gt;A1338)*(Calc!$G$3:$G$22-A1338)*Calc!$G$3:$G$22)</f>
        <v/>
      </c>
      <c r="M1338">
        <f>SUMPRODUCT(Calc!$K$3:$K$22*(Calc!$G$3:$G$22&gt;B1338)*(Calc!$G$3:$G$22-B1338)*Calc!$G$3:$G$22)</f>
        <v/>
      </c>
      <c r="N1338">
        <f>SUMPRODUCT(Calc!$K$3:$K$22*(Calc!$G$3:$G$22&gt;A1338)*(Calc!$G$3:$G$22-A1338)*Calc!$I$3:$I$22)</f>
        <v/>
      </c>
      <c r="O1338">
        <f>SUMPRODUCT(Calc!$K$3:$K$22*(Calc!$G$3:$G$22&gt;B1338)*(Calc!$G$3:$G$22-B1338)*Calc!$I$3:$I$22)</f>
        <v/>
      </c>
      <c r="P1338">
        <f>I1338-G1338^2/k_n</f>
        <v/>
      </c>
      <c r="Q1338">
        <f>J1338-H1338^2/k_n</f>
        <v/>
      </c>
      <c r="R1338">
        <f>K1338-G1338*H1338/k_n</f>
        <v/>
      </c>
      <c r="S1338">
        <f>L1338-LTP3!$D$3*G1338/k_n</f>
        <v/>
      </c>
      <c r="T1338">
        <f>M1338-LTP3!$D$3*H1338/k_n</f>
        <v/>
      </c>
      <c r="U1338">
        <f>N1338-G1338*LTP3!$D$4/k_n</f>
        <v/>
      </c>
      <c r="V1338">
        <f>O1338-H1338*LTP3!$D$4/k_n</f>
        <v/>
      </c>
      <c r="W1338">
        <f>((LTP3!$D$5)*((P1338)*(Q1338)-(R1338)*(R1338))-(S1338)*((S1338)*(Q1338)-(R1338)*(T1338))+(T1338)*((S1338)*(R1338)-(P1338)*(T1338)))</f>
        <v/>
      </c>
      <c r="X1338">
        <f>IF(ABS(W1338)&gt;1E-12,((LTP3!$D$6)*((P1338)*(Q1338)-(R1338)*(R1338))-(S1338)*((U1338)*(Q1338)-(R1338)*(V1338))+(T1338)*((U1338)*(R1338)-(P1338)*(V1338)))/W1338,0)</f>
        <v/>
      </c>
      <c r="Y1338">
        <f>IF(ABS(W1338)&gt;1E-12,((LTP3!$D$5)*((U1338)*(Q1338)-(R1338)*(V1338))-(LTP3!$D$6)*((S1338)*(Q1338)-(R1338)*(T1338))+(T1338)*((S1338)*(V1338)-(U1338)*(T1338)))/W1338,0)</f>
        <v/>
      </c>
      <c r="Z1338">
        <f>IF(ABS(W1338)&gt;1E-12,((LTP3!$D$5)*((P1338)*(V1338)-(U1338)*(R1338))-(S1338)*((S1338)*(V1338)-(U1338)*(T1338))+(LTP3!$D$6)*((S1338)*(R1338)-(P1338)*(T1338)))/W1338,0)</f>
        <v/>
      </c>
      <c r="AA1338">
        <f>LTP3!$D$7-X1338*LTP3!$D$6-Y1338*U1338-Z1338*V1338</f>
        <v/>
      </c>
      <c r="AB1338">
        <f>IF(AND(F1338,ABS(W1338)&gt;1E-12,Y1338&gt;0,Z1338&gt;0),AA1338,1E+300)</f>
        <v/>
      </c>
    </row>
    <row r="1339">
      <c r="A1339">
        <f>$B$3+$B$5*21</f>
        <v/>
      </c>
      <c r="B1339">
        <f>$B$3+$B$5*46</f>
        <v/>
      </c>
      <c r="C1339">
        <f>SUMPRODUCT(Calc!$K$3:$K$22*(Calc!$G$3:$G$22&lt;=A1339))</f>
        <v/>
      </c>
      <c r="D1339">
        <f>SUMPRODUCT(Calc!$K$3:$K$22*(Calc!$G$3:$G$22&gt;A1339)*(Calc!$G$3:$G$22&lt;B1339))</f>
        <v/>
      </c>
      <c r="E1339">
        <f>SUMPRODUCT(Calc!$K$3:$K$22*(Calc!$G$3:$G$22&gt;=B1339))</f>
        <v/>
      </c>
      <c r="F1339">
        <f>AND(k_n&gt;=5,B1339&gt;A1339+1E-9,C1339&gt;=2,D1339&gt;=1,E1339&gt;=2)</f>
        <v/>
      </c>
      <c r="G1339">
        <f>SUMPRODUCT(Calc!$K$3:$K$22*(Calc!$G$3:$G$22&gt;A1339)*(Calc!$G$3:$G$22-A1339))</f>
        <v/>
      </c>
      <c r="H1339">
        <f>SUMPRODUCT(Calc!$K$3:$K$22*(Calc!$G$3:$G$22&gt;B1339)*(Calc!$G$3:$G$22-B1339))</f>
        <v/>
      </c>
      <c r="I1339">
        <f>SUMPRODUCT(Calc!$K$3:$K$22*(Calc!$G$3:$G$22&gt;A1339)*(Calc!$G$3:$G$22-A1339)^2)</f>
        <v/>
      </c>
      <c r="J1339">
        <f>SUMPRODUCT(Calc!$K$3:$K$22*(Calc!$G$3:$G$22&gt;B1339)*(Calc!$G$3:$G$22-B1339)^2)</f>
        <v/>
      </c>
      <c r="K1339">
        <f>SUMPRODUCT(Calc!$K$3:$K$22*(Calc!$G$3:$G$22&gt;A1339)*(Calc!$G$3:$G$22-A1339)*(Calc!$G$3:$G$22&gt;B1339)*(Calc!$G$3:$G$22-B1339))</f>
        <v/>
      </c>
      <c r="L1339">
        <f>SUMPRODUCT(Calc!$K$3:$K$22*(Calc!$G$3:$G$22&gt;A1339)*(Calc!$G$3:$G$22-A1339)*Calc!$G$3:$G$22)</f>
        <v/>
      </c>
      <c r="M1339">
        <f>SUMPRODUCT(Calc!$K$3:$K$22*(Calc!$G$3:$G$22&gt;B1339)*(Calc!$G$3:$G$22-B1339)*Calc!$G$3:$G$22)</f>
        <v/>
      </c>
      <c r="N1339">
        <f>SUMPRODUCT(Calc!$K$3:$K$22*(Calc!$G$3:$G$22&gt;A1339)*(Calc!$G$3:$G$22-A1339)*Calc!$I$3:$I$22)</f>
        <v/>
      </c>
      <c r="O1339">
        <f>SUMPRODUCT(Calc!$K$3:$K$22*(Calc!$G$3:$G$22&gt;B1339)*(Calc!$G$3:$G$22-B1339)*Calc!$I$3:$I$22)</f>
        <v/>
      </c>
      <c r="P1339">
        <f>I1339-G1339^2/k_n</f>
        <v/>
      </c>
      <c r="Q1339">
        <f>J1339-H1339^2/k_n</f>
        <v/>
      </c>
      <c r="R1339">
        <f>K1339-G1339*H1339/k_n</f>
        <v/>
      </c>
      <c r="S1339">
        <f>L1339-LTP3!$D$3*G1339/k_n</f>
        <v/>
      </c>
      <c r="T1339">
        <f>M1339-LTP3!$D$3*H1339/k_n</f>
        <v/>
      </c>
      <c r="U1339">
        <f>N1339-G1339*LTP3!$D$4/k_n</f>
        <v/>
      </c>
      <c r="V1339">
        <f>O1339-H1339*LTP3!$D$4/k_n</f>
        <v/>
      </c>
      <c r="W1339">
        <f>((LTP3!$D$5)*((P1339)*(Q1339)-(R1339)*(R1339))-(S1339)*((S1339)*(Q1339)-(R1339)*(T1339))+(T1339)*((S1339)*(R1339)-(P1339)*(T1339)))</f>
        <v/>
      </c>
      <c r="X1339">
        <f>IF(ABS(W1339)&gt;1E-12,((LTP3!$D$6)*((P1339)*(Q1339)-(R1339)*(R1339))-(S1339)*((U1339)*(Q1339)-(R1339)*(V1339))+(T1339)*((U1339)*(R1339)-(P1339)*(V1339)))/W1339,0)</f>
        <v/>
      </c>
      <c r="Y1339">
        <f>IF(ABS(W1339)&gt;1E-12,((LTP3!$D$5)*((U1339)*(Q1339)-(R1339)*(V1339))-(LTP3!$D$6)*((S1339)*(Q1339)-(R1339)*(T1339))+(T1339)*((S1339)*(V1339)-(U1339)*(T1339)))/W1339,0)</f>
        <v/>
      </c>
      <c r="Z1339">
        <f>IF(ABS(W1339)&gt;1E-12,((LTP3!$D$5)*((P1339)*(V1339)-(U1339)*(R1339))-(S1339)*((S1339)*(V1339)-(U1339)*(T1339))+(LTP3!$D$6)*((S1339)*(R1339)-(P1339)*(T1339)))/W1339,0)</f>
        <v/>
      </c>
      <c r="AA1339">
        <f>LTP3!$D$7-X1339*LTP3!$D$6-Y1339*U1339-Z1339*V1339</f>
        <v/>
      </c>
      <c r="AB1339">
        <f>IF(AND(F1339,ABS(W1339)&gt;1E-12,Y1339&gt;0,Z1339&gt;0),AA1339,1E+300)</f>
        <v/>
      </c>
    </row>
    <row r="1340">
      <c r="A1340">
        <f>$B$3+$B$5*21</f>
        <v/>
      </c>
      <c r="B1340">
        <f>$B$3+$B$5*47</f>
        <v/>
      </c>
      <c r="C1340">
        <f>SUMPRODUCT(Calc!$K$3:$K$22*(Calc!$G$3:$G$22&lt;=A1340))</f>
        <v/>
      </c>
      <c r="D1340">
        <f>SUMPRODUCT(Calc!$K$3:$K$22*(Calc!$G$3:$G$22&gt;A1340)*(Calc!$G$3:$G$22&lt;B1340))</f>
        <v/>
      </c>
      <c r="E1340">
        <f>SUMPRODUCT(Calc!$K$3:$K$22*(Calc!$G$3:$G$22&gt;=B1340))</f>
        <v/>
      </c>
      <c r="F1340">
        <f>AND(k_n&gt;=5,B1340&gt;A1340+1E-9,C1340&gt;=2,D1340&gt;=1,E1340&gt;=2)</f>
        <v/>
      </c>
      <c r="G1340">
        <f>SUMPRODUCT(Calc!$K$3:$K$22*(Calc!$G$3:$G$22&gt;A1340)*(Calc!$G$3:$G$22-A1340))</f>
        <v/>
      </c>
      <c r="H1340">
        <f>SUMPRODUCT(Calc!$K$3:$K$22*(Calc!$G$3:$G$22&gt;B1340)*(Calc!$G$3:$G$22-B1340))</f>
        <v/>
      </c>
      <c r="I1340">
        <f>SUMPRODUCT(Calc!$K$3:$K$22*(Calc!$G$3:$G$22&gt;A1340)*(Calc!$G$3:$G$22-A1340)^2)</f>
        <v/>
      </c>
      <c r="J1340">
        <f>SUMPRODUCT(Calc!$K$3:$K$22*(Calc!$G$3:$G$22&gt;B1340)*(Calc!$G$3:$G$22-B1340)^2)</f>
        <v/>
      </c>
      <c r="K1340">
        <f>SUMPRODUCT(Calc!$K$3:$K$22*(Calc!$G$3:$G$22&gt;A1340)*(Calc!$G$3:$G$22-A1340)*(Calc!$G$3:$G$22&gt;B1340)*(Calc!$G$3:$G$22-B1340))</f>
        <v/>
      </c>
      <c r="L1340">
        <f>SUMPRODUCT(Calc!$K$3:$K$22*(Calc!$G$3:$G$22&gt;A1340)*(Calc!$G$3:$G$22-A1340)*Calc!$G$3:$G$22)</f>
        <v/>
      </c>
      <c r="M1340">
        <f>SUMPRODUCT(Calc!$K$3:$K$22*(Calc!$G$3:$G$22&gt;B1340)*(Calc!$G$3:$G$22-B1340)*Calc!$G$3:$G$22)</f>
        <v/>
      </c>
      <c r="N1340">
        <f>SUMPRODUCT(Calc!$K$3:$K$22*(Calc!$G$3:$G$22&gt;A1340)*(Calc!$G$3:$G$22-A1340)*Calc!$I$3:$I$22)</f>
        <v/>
      </c>
      <c r="O1340">
        <f>SUMPRODUCT(Calc!$K$3:$K$22*(Calc!$G$3:$G$22&gt;B1340)*(Calc!$G$3:$G$22-B1340)*Calc!$I$3:$I$22)</f>
        <v/>
      </c>
      <c r="P1340">
        <f>I1340-G1340^2/k_n</f>
        <v/>
      </c>
      <c r="Q1340">
        <f>J1340-H1340^2/k_n</f>
        <v/>
      </c>
      <c r="R1340">
        <f>K1340-G1340*H1340/k_n</f>
        <v/>
      </c>
      <c r="S1340">
        <f>L1340-LTP3!$D$3*G1340/k_n</f>
        <v/>
      </c>
      <c r="T1340">
        <f>M1340-LTP3!$D$3*H1340/k_n</f>
        <v/>
      </c>
      <c r="U1340">
        <f>N1340-G1340*LTP3!$D$4/k_n</f>
        <v/>
      </c>
      <c r="V1340">
        <f>O1340-H1340*LTP3!$D$4/k_n</f>
        <v/>
      </c>
      <c r="W1340">
        <f>((LTP3!$D$5)*((P1340)*(Q1340)-(R1340)*(R1340))-(S1340)*((S1340)*(Q1340)-(R1340)*(T1340))+(T1340)*((S1340)*(R1340)-(P1340)*(T1340)))</f>
        <v/>
      </c>
      <c r="X1340">
        <f>IF(ABS(W1340)&gt;1E-12,((LTP3!$D$6)*((P1340)*(Q1340)-(R1340)*(R1340))-(S1340)*((U1340)*(Q1340)-(R1340)*(V1340))+(T1340)*((U1340)*(R1340)-(P1340)*(V1340)))/W1340,0)</f>
        <v/>
      </c>
      <c r="Y1340">
        <f>IF(ABS(W1340)&gt;1E-12,((LTP3!$D$5)*((U1340)*(Q1340)-(R1340)*(V1340))-(LTP3!$D$6)*((S1340)*(Q1340)-(R1340)*(T1340))+(T1340)*((S1340)*(V1340)-(U1340)*(T1340)))/W1340,0)</f>
        <v/>
      </c>
      <c r="Z1340">
        <f>IF(ABS(W1340)&gt;1E-12,((LTP3!$D$5)*((P1340)*(V1340)-(U1340)*(R1340))-(S1340)*((S1340)*(V1340)-(U1340)*(T1340))+(LTP3!$D$6)*((S1340)*(R1340)-(P1340)*(T1340)))/W1340,0)</f>
        <v/>
      </c>
      <c r="AA1340">
        <f>LTP3!$D$7-X1340*LTP3!$D$6-Y1340*U1340-Z1340*V1340</f>
        <v/>
      </c>
      <c r="AB1340">
        <f>IF(AND(F1340,ABS(W1340)&gt;1E-12,Y1340&gt;0,Z1340&gt;0),AA1340,1E+300)</f>
        <v/>
      </c>
    </row>
    <row r="1341">
      <c r="A1341">
        <f>$B$3+$B$5*21</f>
        <v/>
      </c>
      <c r="B1341">
        <f>$B$3+$B$5*48</f>
        <v/>
      </c>
      <c r="C1341">
        <f>SUMPRODUCT(Calc!$K$3:$K$22*(Calc!$G$3:$G$22&lt;=A1341))</f>
        <v/>
      </c>
      <c r="D1341">
        <f>SUMPRODUCT(Calc!$K$3:$K$22*(Calc!$G$3:$G$22&gt;A1341)*(Calc!$G$3:$G$22&lt;B1341))</f>
        <v/>
      </c>
      <c r="E1341">
        <f>SUMPRODUCT(Calc!$K$3:$K$22*(Calc!$G$3:$G$22&gt;=B1341))</f>
        <v/>
      </c>
      <c r="F1341">
        <f>AND(k_n&gt;=5,B1341&gt;A1341+1E-9,C1341&gt;=2,D1341&gt;=1,E1341&gt;=2)</f>
        <v/>
      </c>
      <c r="G1341">
        <f>SUMPRODUCT(Calc!$K$3:$K$22*(Calc!$G$3:$G$22&gt;A1341)*(Calc!$G$3:$G$22-A1341))</f>
        <v/>
      </c>
      <c r="H1341">
        <f>SUMPRODUCT(Calc!$K$3:$K$22*(Calc!$G$3:$G$22&gt;B1341)*(Calc!$G$3:$G$22-B1341))</f>
        <v/>
      </c>
      <c r="I1341">
        <f>SUMPRODUCT(Calc!$K$3:$K$22*(Calc!$G$3:$G$22&gt;A1341)*(Calc!$G$3:$G$22-A1341)^2)</f>
        <v/>
      </c>
      <c r="J1341">
        <f>SUMPRODUCT(Calc!$K$3:$K$22*(Calc!$G$3:$G$22&gt;B1341)*(Calc!$G$3:$G$22-B1341)^2)</f>
        <v/>
      </c>
      <c r="K1341">
        <f>SUMPRODUCT(Calc!$K$3:$K$22*(Calc!$G$3:$G$22&gt;A1341)*(Calc!$G$3:$G$22-A1341)*(Calc!$G$3:$G$22&gt;B1341)*(Calc!$G$3:$G$22-B1341))</f>
        <v/>
      </c>
      <c r="L1341">
        <f>SUMPRODUCT(Calc!$K$3:$K$22*(Calc!$G$3:$G$22&gt;A1341)*(Calc!$G$3:$G$22-A1341)*Calc!$G$3:$G$22)</f>
        <v/>
      </c>
      <c r="M1341">
        <f>SUMPRODUCT(Calc!$K$3:$K$22*(Calc!$G$3:$G$22&gt;B1341)*(Calc!$G$3:$G$22-B1341)*Calc!$G$3:$G$22)</f>
        <v/>
      </c>
      <c r="N1341">
        <f>SUMPRODUCT(Calc!$K$3:$K$22*(Calc!$G$3:$G$22&gt;A1341)*(Calc!$G$3:$G$22-A1341)*Calc!$I$3:$I$22)</f>
        <v/>
      </c>
      <c r="O1341">
        <f>SUMPRODUCT(Calc!$K$3:$K$22*(Calc!$G$3:$G$22&gt;B1341)*(Calc!$G$3:$G$22-B1341)*Calc!$I$3:$I$22)</f>
        <v/>
      </c>
      <c r="P1341">
        <f>I1341-G1341^2/k_n</f>
        <v/>
      </c>
      <c r="Q1341">
        <f>J1341-H1341^2/k_n</f>
        <v/>
      </c>
      <c r="R1341">
        <f>K1341-G1341*H1341/k_n</f>
        <v/>
      </c>
      <c r="S1341">
        <f>L1341-LTP3!$D$3*G1341/k_n</f>
        <v/>
      </c>
      <c r="T1341">
        <f>M1341-LTP3!$D$3*H1341/k_n</f>
        <v/>
      </c>
      <c r="U1341">
        <f>N1341-G1341*LTP3!$D$4/k_n</f>
        <v/>
      </c>
      <c r="V1341">
        <f>O1341-H1341*LTP3!$D$4/k_n</f>
        <v/>
      </c>
      <c r="W1341">
        <f>((LTP3!$D$5)*((P1341)*(Q1341)-(R1341)*(R1341))-(S1341)*((S1341)*(Q1341)-(R1341)*(T1341))+(T1341)*((S1341)*(R1341)-(P1341)*(T1341)))</f>
        <v/>
      </c>
      <c r="X1341">
        <f>IF(ABS(W1341)&gt;1E-12,((LTP3!$D$6)*((P1341)*(Q1341)-(R1341)*(R1341))-(S1341)*((U1341)*(Q1341)-(R1341)*(V1341))+(T1341)*((U1341)*(R1341)-(P1341)*(V1341)))/W1341,0)</f>
        <v/>
      </c>
      <c r="Y1341">
        <f>IF(ABS(W1341)&gt;1E-12,((LTP3!$D$5)*((U1341)*(Q1341)-(R1341)*(V1341))-(LTP3!$D$6)*((S1341)*(Q1341)-(R1341)*(T1341))+(T1341)*((S1341)*(V1341)-(U1341)*(T1341)))/W1341,0)</f>
        <v/>
      </c>
      <c r="Z1341">
        <f>IF(ABS(W1341)&gt;1E-12,((LTP3!$D$5)*((P1341)*(V1341)-(U1341)*(R1341))-(S1341)*((S1341)*(V1341)-(U1341)*(T1341))+(LTP3!$D$6)*((S1341)*(R1341)-(P1341)*(T1341)))/W1341,0)</f>
        <v/>
      </c>
      <c r="AA1341">
        <f>LTP3!$D$7-X1341*LTP3!$D$6-Y1341*U1341-Z1341*V1341</f>
        <v/>
      </c>
      <c r="AB1341">
        <f>IF(AND(F1341,ABS(W1341)&gt;1E-12,Y1341&gt;0,Z1341&gt;0),AA1341,1E+300)</f>
        <v/>
      </c>
    </row>
    <row r="1342">
      <c r="A1342">
        <f>$B$3+$B$5*21</f>
        <v/>
      </c>
      <c r="B1342">
        <f>$B$3+$B$5*49</f>
        <v/>
      </c>
      <c r="C1342">
        <f>SUMPRODUCT(Calc!$K$3:$K$22*(Calc!$G$3:$G$22&lt;=A1342))</f>
        <v/>
      </c>
      <c r="D1342">
        <f>SUMPRODUCT(Calc!$K$3:$K$22*(Calc!$G$3:$G$22&gt;A1342)*(Calc!$G$3:$G$22&lt;B1342))</f>
        <v/>
      </c>
      <c r="E1342">
        <f>SUMPRODUCT(Calc!$K$3:$K$22*(Calc!$G$3:$G$22&gt;=B1342))</f>
        <v/>
      </c>
      <c r="F1342">
        <f>AND(k_n&gt;=5,B1342&gt;A1342+1E-9,C1342&gt;=2,D1342&gt;=1,E1342&gt;=2)</f>
        <v/>
      </c>
      <c r="G1342">
        <f>SUMPRODUCT(Calc!$K$3:$K$22*(Calc!$G$3:$G$22&gt;A1342)*(Calc!$G$3:$G$22-A1342))</f>
        <v/>
      </c>
      <c r="H1342">
        <f>SUMPRODUCT(Calc!$K$3:$K$22*(Calc!$G$3:$G$22&gt;B1342)*(Calc!$G$3:$G$22-B1342))</f>
        <v/>
      </c>
      <c r="I1342">
        <f>SUMPRODUCT(Calc!$K$3:$K$22*(Calc!$G$3:$G$22&gt;A1342)*(Calc!$G$3:$G$22-A1342)^2)</f>
        <v/>
      </c>
      <c r="J1342">
        <f>SUMPRODUCT(Calc!$K$3:$K$22*(Calc!$G$3:$G$22&gt;B1342)*(Calc!$G$3:$G$22-B1342)^2)</f>
        <v/>
      </c>
      <c r="K1342">
        <f>SUMPRODUCT(Calc!$K$3:$K$22*(Calc!$G$3:$G$22&gt;A1342)*(Calc!$G$3:$G$22-A1342)*(Calc!$G$3:$G$22&gt;B1342)*(Calc!$G$3:$G$22-B1342))</f>
        <v/>
      </c>
      <c r="L1342">
        <f>SUMPRODUCT(Calc!$K$3:$K$22*(Calc!$G$3:$G$22&gt;A1342)*(Calc!$G$3:$G$22-A1342)*Calc!$G$3:$G$22)</f>
        <v/>
      </c>
      <c r="M1342">
        <f>SUMPRODUCT(Calc!$K$3:$K$22*(Calc!$G$3:$G$22&gt;B1342)*(Calc!$G$3:$G$22-B1342)*Calc!$G$3:$G$22)</f>
        <v/>
      </c>
      <c r="N1342">
        <f>SUMPRODUCT(Calc!$K$3:$K$22*(Calc!$G$3:$G$22&gt;A1342)*(Calc!$G$3:$G$22-A1342)*Calc!$I$3:$I$22)</f>
        <v/>
      </c>
      <c r="O1342">
        <f>SUMPRODUCT(Calc!$K$3:$K$22*(Calc!$G$3:$G$22&gt;B1342)*(Calc!$G$3:$G$22-B1342)*Calc!$I$3:$I$22)</f>
        <v/>
      </c>
      <c r="P1342">
        <f>I1342-G1342^2/k_n</f>
        <v/>
      </c>
      <c r="Q1342">
        <f>J1342-H1342^2/k_n</f>
        <v/>
      </c>
      <c r="R1342">
        <f>K1342-G1342*H1342/k_n</f>
        <v/>
      </c>
      <c r="S1342">
        <f>L1342-LTP3!$D$3*G1342/k_n</f>
        <v/>
      </c>
      <c r="T1342">
        <f>M1342-LTP3!$D$3*H1342/k_n</f>
        <v/>
      </c>
      <c r="U1342">
        <f>N1342-G1342*LTP3!$D$4/k_n</f>
        <v/>
      </c>
      <c r="V1342">
        <f>O1342-H1342*LTP3!$D$4/k_n</f>
        <v/>
      </c>
      <c r="W1342">
        <f>((LTP3!$D$5)*((P1342)*(Q1342)-(R1342)*(R1342))-(S1342)*((S1342)*(Q1342)-(R1342)*(T1342))+(T1342)*((S1342)*(R1342)-(P1342)*(T1342)))</f>
        <v/>
      </c>
      <c r="X1342">
        <f>IF(ABS(W1342)&gt;1E-12,((LTP3!$D$6)*((P1342)*(Q1342)-(R1342)*(R1342))-(S1342)*((U1342)*(Q1342)-(R1342)*(V1342))+(T1342)*((U1342)*(R1342)-(P1342)*(V1342)))/W1342,0)</f>
        <v/>
      </c>
      <c r="Y1342">
        <f>IF(ABS(W1342)&gt;1E-12,((LTP3!$D$5)*((U1342)*(Q1342)-(R1342)*(V1342))-(LTP3!$D$6)*((S1342)*(Q1342)-(R1342)*(T1342))+(T1342)*((S1342)*(V1342)-(U1342)*(T1342)))/W1342,0)</f>
        <v/>
      </c>
      <c r="Z1342">
        <f>IF(ABS(W1342)&gt;1E-12,((LTP3!$D$5)*((P1342)*(V1342)-(U1342)*(R1342))-(S1342)*((S1342)*(V1342)-(U1342)*(T1342))+(LTP3!$D$6)*((S1342)*(R1342)-(P1342)*(T1342)))/W1342,0)</f>
        <v/>
      </c>
      <c r="AA1342">
        <f>LTP3!$D$7-X1342*LTP3!$D$6-Y1342*U1342-Z1342*V1342</f>
        <v/>
      </c>
      <c r="AB1342">
        <f>IF(AND(F1342,ABS(W1342)&gt;1E-12,Y1342&gt;0,Z1342&gt;0),AA1342,1E+300)</f>
        <v/>
      </c>
    </row>
    <row r="1343">
      <c r="A1343">
        <f>$B$3+$B$5*21</f>
        <v/>
      </c>
      <c r="B1343">
        <f>$B$3+$B$5*50</f>
        <v/>
      </c>
      <c r="C1343">
        <f>SUMPRODUCT(Calc!$K$3:$K$22*(Calc!$G$3:$G$22&lt;=A1343))</f>
        <v/>
      </c>
      <c r="D1343">
        <f>SUMPRODUCT(Calc!$K$3:$K$22*(Calc!$G$3:$G$22&gt;A1343)*(Calc!$G$3:$G$22&lt;B1343))</f>
        <v/>
      </c>
      <c r="E1343">
        <f>SUMPRODUCT(Calc!$K$3:$K$22*(Calc!$G$3:$G$22&gt;=B1343))</f>
        <v/>
      </c>
      <c r="F1343">
        <f>AND(k_n&gt;=5,B1343&gt;A1343+1E-9,C1343&gt;=2,D1343&gt;=1,E1343&gt;=2)</f>
        <v/>
      </c>
      <c r="G1343">
        <f>SUMPRODUCT(Calc!$K$3:$K$22*(Calc!$G$3:$G$22&gt;A1343)*(Calc!$G$3:$G$22-A1343))</f>
        <v/>
      </c>
      <c r="H1343">
        <f>SUMPRODUCT(Calc!$K$3:$K$22*(Calc!$G$3:$G$22&gt;B1343)*(Calc!$G$3:$G$22-B1343))</f>
        <v/>
      </c>
      <c r="I1343">
        <f>SUMPRODUCT(Calc!$K$3:$K$22*(Calc!$G$3:$G$22&gt;A1343)*(Calc!$G$3:$G$22-A1343)^2)</f>
        <v/>
      </c>
      <c r="J1343">
        <f>SUMPRODUCT(Calc!$K$3:$K$22*(Calc!$G$3:$G$22&gt;B1343)*(Calc!$G$3:$G$22-B1343)^2)</f>
        <v/>
      </c>
      <c r="K1343">
        <f>SUMPRODUCT(Calc!$K$3:$K$22*(Calc!$G$3:$G$22&gt;A1343)*(Calc!$G$3:$G$22-A1343)*(Calc!$G$3:$G$22&gt;B1343)*(Calc!$G$3:$G$22-B1343))</f>
        <v/>
      </c>
      <c r="L1343">
        <f>SUMPRODUCT(Calc!$K$3:$K$22*(Calc!$G$3:$G$22&gt;A1343)*(Calc!$G$3:$G$22-A1343)*Calc!$G$3:$G$22)</f>
        <v/>
      </c>
      <c r="M1343">
        <f>SUMPRODUCT(Calc!$K$3:$K$22*(Calc!$G$3:$G$22&gt;B1343)*(Calc!$G$3:$G$22-B1343)*Calc!$G$3:$G$22)</f>
        <v/>
      </c>
      <c r="N1343">
        <f>SUMPRODUCT(Calc!$K$3:$K$22*(Calc!$G$3:$G$22&gt;A1343)*(Calc!$G$3:$G$22-A1343)*Calc!$I$3:$I$22)</f>
        <v/>
      </c>
      <c r="O1343">
        <f>SUMPRODUCT(Calc!$K$3:$K$22*(Calc!$G$3:$G$22&gt;B1343)*(Calc!$G$3:$G$22-B1343)*Calc!$I$3:$I$22)</f>
        <v/>
      </c>
      <c r="P1343">
        <f>I1343-G1343^2/k_n</f>
        <v/>
      </c>
      <c r="Q1343">
        <f>J1343-H1343^2/k_n</f>
        <v/>
      </c>
      <c r="R1343">
        <f>K1343-G1343*H1343/k_n</f>
        <v/>
      </c>
      <c r="S1343">
        <f>L1343-LTP3!$D$3*G1343/k_n</f>
        <v/>
      </c>
      <c r="T1343">
        <f>M1343-LTP3!$D$3*H1343/k_n</f>
        <v/>
      </c>
      <c r="U1343">
        <f>N1343-G1343*LTP3!$D$4/k_n</f>
        <v/>
      </c>
      <c r="V1343">
        <f>O1343-H1343*LTP3!$D$4/k_n</f>
        <v/>
      </c>
      <c r="W1343">
        <f>((LTP3!$D$5)*((P1343)*(Q1343)-(R1343)*(R1343))-(S1343)*((S1343)*(Q1343)-(R1343)*(T1343))+(T1343)*((S1343)*(R1343)-(P1343)*(T1343)))</f>
        <v/>
      </c>
      <c r="X1343">
        <f>IF(ABS(W1343)&gt;1E-12,((LTP3!$D$6)*((P1343)*(Q1343)-(R1343)*(R1343))-(S1343)*((U1343)*(Q1343)-(R1343)*(V1343))+(T1343)*((U1343)*(R1343)-(P1343)*(V1343)))/W1343,0)</f>
        <v/>
      </c>
      <c r="Y1343">
        <f>IF(ABS(W1343)&gt;1E-12,((LTP3!$D$5)*((U1343)*(Q1343)-(R1343)*(V1343))-(LTP3!$D$6)*((S1343)*(Q1343)-(R1343)*(T1343))+(T1343)*((S1343)*(V1343)-(U1343)*(T1343)))/W1343,0)</f>
        <v/>
      </c>
      <c r="Z1343">
        <f>IF(ABS(W1343)&gt;1E-12,((LTP3!$D$5)*((P1343)*(V1343)-(U1343)*(R1343))-(S1343)*((S1343)*(V1343)-(U1343)*(T1343))+(LTP3!$D$6)*((S1343)*(R1343)-(P1343)*(T1343)))/W1343,0)</f>
        <v/>
      </c>
      <c r="AA1343">
        <f>LTP3!$D$7-X1343*LTP3!$D$6-Y1343*U1343-Z1343*V1343</f>
        <v/>
      </c>
      <c r="AB1343">
        <f>IF(AND(F1343,ABS(W1343)&gt;1E-12,Y1343&gt;0,Z1343&gt;0),AA1343,1E+300)</f>
        <v/>
      </c>
    </row>
    <row r="1344">
      <c r="A1344">
        <f>$B$3+$B$5*21</f>
        <v/>
      </c>
      <c r="B1344">
        <f>$B$3+$B$5*51</f>
        <v/>
      </c>
      <c r="C1344">
        <f>SUMPRODUCT(Calc!$K$3:$K$22*(Calc!$G$3:$G$22&lt;=A1344))</f>
        <v/>
      </c>
      <c r="D1344">
        <f>SUMPRODUCT(Calc!$K$3:$K$22*(Calc!$G$3:$G$22&gt;A1344)*(Calc!$G$3:$G$22&lt;B1344))</f>
        <v/>
      </c>
      <c r="E1344">
        <f>SUMPRODUCT(Calc!$K$3:$K$22*(Calc!$G$3:$G$22&gt;=B1344))</f>
        <v/>
      </c>
      <c r="F1344">
        <f>AND(k_n&gt;=5,B1344&gt;A1344+1E-9,C1344&gt;=2,D1344&gt;=1,E1344&gt;=2)</f>
        <v/>
      </c>
      <c r="G1344">
        <f>SUMPRODUCT(Calc!$K$3:$K$22*(Calc!$G$3:$G$22&gt;A1344)*(Calc!$G$3:$G$22-A1344))</f>
        <v/>
      </c>
      <c r="H1344">
        <f>SUMPRODUCT(Calc!$K$3:$K$22*(Calc!$G$3:$G$22&gt;B1344)*(Calc!$G$3:$G$22-B1344))</f>
        <v/>
      </c>
      <c r="I1344">
        <f>SUMPRODUCT(Calc!$K$3:$K$22*(Calc!$G$3:$G$22&gt;A1344)*(Calc!$G$3:$G$22-A1344)^2)</f>
        <v/>
      </c>
      <c r="J1344">
        <f>SUMPRODUCT(Calc!$K$3:$K$22*(Calc!$G$3:$G$22&gt;B1344)*(Calc!$G$3:$G$22-B1344)^2)</f>
        <v/>
      </c>
      <c r="K1344">
        <f>SUMPRODUCT(Calc!$K$3:$K$22*(Calc!$G$3:$G$22&gt;A1344)*(Calc!$G$3:$G$22-A1344)*(Calc!$G$3:$G$22&gt;B1344)*(Calc!$G$3:$G$22-B1344))</f>
        <v/>
      </c>
      <c r="L1344">
        <f>SUMPRODUCT(Calc!$K$3:$K$22*(Calc!$G$3:$G$22&gt;A1344)*(Calc!$G$3:$G$22-A1344)*Calc!$G$3:$G$22)</f>
        <v/>
      </c>
      <c r="M1344">
        <f>SUMPRODUCT(Calc!$K$3:$K$22*(Calc!$G$3:$G$22&gt;B1344)*(Calc!$G$3:$G$22-B1344)*Calc!$G$3:$G$22)</f>
        <v/>
      </c>
      <c r="N1344">
        <f>SUMPRODUCT(Calc!$K$3:$K$22*(Calc!$G$3:$G$22&gt;A1344)*(Calc!$G$3:$G$22-A1344)*Calc!$I$3:$I$22)</f>
        <v/>
      </c>
      <c r="O1344">
        <f>SUMPRODUCT(Calc!$K$3:$K$22*(Calc!$G$3:$G$22&gt;B1344)*(Calc!$G$3:$G$22-B1344)*Calc!$I$3:$I$22)</f>
        <v/>
      </c>
      <c r="P1344">
        <f>I1344-G1344^2/k_n</f>
        <v/>
      </c>
      <c r="Q1344">
        <f>J1344-H1344^2/k_n</f>
        <v/>
      </c>
      <c r="R1344">
        <f>K1344-G1344*H1344/k_n</f>
        <v/>
      </c>
      <c r="S1344">
        <f>L1344-LTP3!$D$3*G1344/k_n</f>
        <v/>
      </c>
      <c r="T1344">
        <f>M1344-LTP3!$D$3*H1344/k_n</f>
        <v/>
      </c>
      <c r="U1344">
        <f>N1344-G1344*LTP3!$D$4/k_n</f>
        <v/>
      </c>
      <c r="V1344">
        <f>O1344-H1344*LTP3!$D$4/k_n</f>
        <v/>
      </c>
      <c r="W1344">
        <f>((LTP3!$D$5)*((P1344)*(Q1344)-(R1344)*(R1344))-(S1344)*((S1344)*(Q1344)-(R1344)*(T1344))+(T1344)*((S1344)*(R1344)-(P1344)*(T1344)))</f>
        <v/>
      </c>
      <c r="X1344">
        <f>IF(ABS(W1344)&gt;1E-12,((LTP3!$D$6)*((P1344)*(Q1344)-(R1344)*(R1344))-(S1344)*((U1344)*(Q1344)-(R1344)*(V1344))+(T1344)*((U1344)*(R1344)-(P1344)*(V1344)))/W1344,0)</f>
        <v/>
      </c>
      <c r="Y1344">
        <f>IF(ABS(W1344)&gt;1E-12,((LTP3!$D$5)*((U1344)*(Q1344)-(R1344)*(V1344))-(LTP3!$D$6)*((S1344)*(Q1344)-(R1344)*(T1344))+(T1344)*((S1344)*(V1344)-(U1344)*(T1344)))/W1344,0)</f>
        <v/>
      </c>
      <c r="Z1344">
        <f>IF(ABS(W1344)&gt;1E-12,((LTP3!$D$5)*((P1344)*(V1344)-(U1344)*(R1344))-(S1344)*((S1344)*(V1344)-(U1344)*(T1344))+(LTP3!$D$6)*((S1344)*(R1344)-(P1344)*(T1344)))/W1344,0)</f>
        <v/>
      </c>
      <c r="AA1344">
        <f>LTP3!$D$7-X1344*LTP3!$D$6-Y1344*U1344-Z1344*V1344</f>
        <v/>
      </c>
      <c r="AB1344">
        <f>IF(AND(F1344,ABS(W1344)&gt;1E-12,Y1344&gt;0,Z1344&gt;0),AA1344,1E+300)</f>
        <v/>
      </c>
    </row>
    <row r="1345">
      <c r="A1345">
        <f>$B$3+$B$5*21</f>
        <v/>
      </c>
      <c r="B1345">
        <f>$B$3+$B$5*52</f>
        <v/>
      </c>
      <c r="C1345">
        <f>SUMPRODUCT(Calc!$K$3:$K$22*(Calc!$G$3:$G$22&lt;=A1345))</f>
        <v/>
      </c>
      <c r="D1345">
        <f>SUMPRODUCT(Calc!$K$3:$K$22*(Calc!$G$3:$G$22&gt;A1345)*(Calc!$G$3:$G$22&lt;B1345))</f>
        <v/>
      </c>
      <c r="E1345">
        <f>SUMPRODUCT(Calc!$K$3:$K$22*(Calc!$G$3:$G$22&gt;=B1345))</f>
        <v/>
      </c>
      <c r="F1345">
        <f>AND(k_n&gt;=5,B1345&gt;A1345+1E-9,C1345&gt;=2,D1345&gt;=1,E1345&gt;=2)</f>
        <v/>
      </c>
      <c r="G1345">
        <f>SUMPRODUCT(Calc!$K$3:$K$22*(Calc!$G$3:$G$22&gt;A1345)*(Calc!$G$3:$G$22-A1345))</f>
        <v/>
      </c>
      <c r="H1345">
        <f>SUMPRODUCT(Calc!$K$3:$K$22*(Calc!$G$3:$G$22&gt;B1345)*(Calc!$G$3:$G$22-B1345))</f>
        <v/>
      </c>
      <c r="I1345">
        <f>SUMPRODUCT(Calc!$K$3:$K$22*(Calc!$G$3:$G$22&gt;A1345)*(Calc!$G$3:$G$22-A1345)^2)</f>
        <v/>
      </c>
      <c r="J1345">
        <f>SUMPRODUCT(Calc!$K$3:$K$22*(Calc!$G$3:$G$22&gt;B1345)*(Calc!$G$3:$G$22-B1345)^2)</f>
        <v/>
      </c>
      <c r="K1345">
        <f>SUMPRODUCT(Calc!$K$3:$K$22*(Calc!$G$3:$G$22&gt;A1345)*(Calc!$G$3:$G$22-A1345)*(Calc!$G$3:$G$22&gt;B1345)*(Calc!$G$3:$G$22-B1345))</f>
        <v/>
      </c>
      <c r="L1345">
        <f>SUMPRODUCT(Calc!$K$3:$K$22*(Calc!$G$3:$G$22&gt;A1345)*(Calc!$G$3:$G$22-A1345)*Calc!$G$3:$G$22)</f>
        <v/>
      </c>
      <c r="M1345">
        <f>SUMPRODUCT(Calc!$K$3:$K$22*(Calc!$G$3:$G$22&gt;B1345)*(Calc!$G$3:$G$22-B1345)*Calc!$G$3:$G$22)</f>
        <v/>
      </c>
      <c r="N1345">
        <f>SUMPRODUCT(Calc!$K$3:$K$22*(Calc!$G$3:$G$22&gt;A1345)*(Calc!$G$3:$G$22-A1345)*Calc!$I$3:$I$22)</f>
        <v/>
      </c>
      <c r="O1345">
        <f>SUMPRODUCT(Calc!$K$3:$K$22*(Calc!$G$3:$G$22&gt;B1345)*(Calc!$G$3:$G$22-B1345)*Calc!$I$3:$I$22)</f>
        <v/>
      </c>
      <c r="P1345">
        <f>I1345-G1345^2/k_n</f>
        <v/>
      </c>
      <c r="Q1345">
        <f>J1345-H1345^2/k_n</f>
        <v/>
      </c>
      <c r="R1345">
        <f>K1345-G1345*H1345/k_n</f>
        <v/>
      </c>
      <c r="S1345">
        <f>L1345-LTP3!$D$3*G1345/k_n</f>
        <v/>
      </c>
      <c r="T1345">
        <f>M1345-LTP3!$D$3*H1345/k_n</f>
        <v/>
      </c>
      <c r="U1345">
        <f>N1345-G1345*LTP3!$D$4/k_n</f>
        <v/>
      </c>
      <c r="V1345">
        <f>O1345-H1345*LTP3!$D$4/k_n</f>
        <v/>
      </c>
      <c r="W1345">
        <f>((LTP3!$D$5)*((P1345)*(Q1345)-(R1345)*(R1345))-(S1345)*((S1345)*(Q1345)-(R1345)*(T1345))+(T1345)*((S1345)*(R1345)-(P1345)*(T1345)))</f>
        <v/>
      </c>
      <c r="X1345">
        <f>IF(ABS(W1345)&gt;1E-12,((LTP3!$D$6)*((P1345)*(Q1345)-(R1345)*(R1345))-(S1345)*((U1345)*(Q1345)-(R1345)*(V1345))+(T1345)*((U1345)*(R1345)-(P1345)*(V1345)))/W1345,0)</f>
        <v/>
      </c>
      <c r="Y1345">
        <f>IF(ABS(W1345)&gt;1E-12,((LTP3!$D$5)*((U1345)*(Q1345)-(R1345)*(V1345))-(LTP3!$D$6)*((S1345)*(Q1345)-(R1345)*(T1345))+(T1345)*((S1345)*(V1345)-(U1345)*(T1345)))/W1345,0)</f>
        <v/>
      </c>
      <c r="Z1345">
        <f>IF(ABS(W1345)&gt;1E-12,((LTP3!$D$5)*((P1345)*(V1345)-(U1345)*(R1345))-(S1345)*((S1345)*(V1345)-(U1345)*(T1345))+(LTP3!$D$6)*((S1345)*(R1345)-(P1345)*(T1345)))/W1345,0)</f>
        <v/>
      </c>
      <c r="AA1345">
        <f>LTP3!$D$7-X1345*LTP3!$D$6-Y1345*U1345-Z1345*V1345</f>
        <v/>
      </c>
      <c r="AB1345">
        <f>IF(AND(F1345,ABS(W1345)&gt;1E-12,Y1345&gt;0,Z1345&gt;0),AA1345,1E+300)</f>
        <v/>
      </c>
    </row>
    <row r="1346">
      <c r="A1346">
        <f>$B$3+$B$5*21</f>
        <v/>
      </c>
      <c r="B1346">
        <f>$B$3+$B$5*53</f>
        <v/>
      </c>
      <c r="C1346">
        <f>SUMPRODUCT(Calc!$K$3:$K$22*(Calc!$G$3:$G$22&lt;=A1346))</f>
        <v/>
      </c>
      <c r="D1346">
        <f>SUMPRODUCT(Calc!$K$3:$K$22*(Calc!$G$3:$G$22&gt;A1346)*(Calc!$G$3:$G$22&lt;B1346))</f>
        <v/>
      </c>
      <c r="E1346">
        <f>SUMPRODUCT(Calc!$K$3:$K$22*(Calc!$G$3:$G$22&gt;=B1346))</f>
        <v/>
      </c>
      <c r="F1346">
        <f>AND(k_n&gt;=5,B1346&gt;A1346+1E-9,C1346&gt;=2,D1346&gt;=1,E1346&gt;=2)</f>
        <v/>
      </c>
      <c r="G1346">
        <f>SUMPRODUCT(Calc!$K$3:$K$22*(Calc!$G$3:$G$22&gt;A1346)*(Calc!$G$3:$G$22-A1346))</f>
        <v/>
      </c>
      <c r="H1346">
        <f>SUMPRODUCT(Calc!$K$3:$K$22*(Calc!$G$3:$G$22&gt;B1346)*(Calc!$G$3:$G$22-B1346))</f>
        <v/>
      </c>
      <c r="I1346">
        <f>SUMPRODUCT(Calc!$K$3:$K$22*(Calc!$G$3:$G$22&gt;A1346)*(Calc!$G$3:$G$22-A1346)^2)</f>
        <v/>
      </c>
      <c r="J1346">
        <f>SUMPRODUCT(Calc!$K$3:$K$22*(Calc!$G$3:$G$22&gt;B1346)*(Calc!$G$3:$G$22-B1346)^2)</f>
        <v/>
      </c>
      <c r="K1346">
        <f>SUMPRODUCT(Calc!$K$3:$K$22*(Calc!$G$3:$G$22&gt;A1346)*(Calc!$G$3:$G$22-A1346)*(Calc!$G$3:$G$22&gt;B1346)*(Calc!$G$3:$G$22-B1346))</f>
        <v/>
      </c>
      <c r="L1346">
        <f>SUMPRODUCT(Calc!$K$3:$K$22*(Calc!$G$3:$G$22&gt;A1346)*(Calc!$G$3:$G$22-A1346)*Calc!$G$3:$G$22)</f>
        <v/>
      </c>
      <c r="M1346">
        <f>SUMPRODUCT(Calc!$K$3:$K$22*(Calc!$G$3:$G$22&gt;B1346)*(Calc!$G$3:$G$22-B1346)*Calc!$G$3:$G$22)</f>
        <v/>
      </c>
      <c r="N1346">
        <f>SUMPRODUCT(Calc!$K$3:$K$22*(Calc!$G$3:$G$22&gt;A1346)*(Calc!$G$3:$G$22-A1346)*Calc!$I$3:$I$22)</f>
        <v/>
      </c>
      <c r="O1346">
        <f>SUMPRODUCT(Calc!$K$3:$K$22*(Calc!$G$3:$G$22&gt;B1346)*(Calc!$G$3:$G$22-B1346)*Calc!$I$3:$I$22)</f>
        <v/>
      </c>
      <c r="P1346">
        <f>I1346-G1346^2/k_n</f>
        <v/>
      </c>
      <c r="Q1346">
        <f>J1346-H1346^2/k_n</f>
        <v/>
      </c>
      <c r="R1346">
        <f>K1346-G1346*H1346/k_n</f>
        <v/>
      </c>
      <c r="S1346">
        <f>L1346-LTP3!$D$3*G1346/k_n</f>
        <v/>
      </c>
      <c r="T1346">
        <f>M1346-LTP3!$D$3*H1346/k_n</f>
        <v/>
      </c>
      <c r="U1346">
        <f>N1346-G1346*LTP3!$D$4/k_n</f>
        <v/>
      </c>
      <c r="V1346">
        <f>O1346-H1346*LTP3!$D$4/k_n</f>
        <v/>
      </c>
      <c r="W1346">
        <f>((LTP3!$D$5)*((P1346)*(Q1346)-(R1346)*(R1346))-(S1346)*((S1346)*(Q1346)-(R1346)*(T1346))+(T1346)*((S1346)*(R1346)-(P1346)*(T1346)))</f>
        <v/>
      </c>
      <c r="X1346">
        <f>IF(ABS(W1346)&gt;1E-12,((LTP3!$D$6)*((P1346)*(Q1346)-(R1346)*(R1346))-(S1346)*((U1346)*(Q1346)-(R1346)*(V1346))+(T1346)*((U1346)*(R1346)-(P1346)*(V1346)))/W1346,0)</f>
        <v/>
      </c>
      <c r="Y1346">
        <f>IF(ABS(W1346)&gt;1E-12,((LTP3!$D$5)*((U1346)*(Q1346)-(R1346)*(V1346))-(LTP3!$D$6)*((S1346)*(Q1346)-(R1346)*(T1346))+(T1346)*((S1346)*(V1346)-(U1346)*(T1346)))/W1346,0)</f>
        <v/>
      </c>
      <c r="Z1346">
        <f>IF(ABS(W1346)&gt;1E-12,((LTP3!$D$5)*((P1346)*(V1346)-(U1346)*(R1346))-(S1346)*((S1346)*(V1346)-(U1346)*(T1346))+(LTP3!$D$6)*((S1346)*(R1346)-(P1346)*(T1346)))/W1346,0)</f>
        <v/>
      </c>
      <c r="AA1346">
        <f>LTP3!$D$7-X1346*LTP3!$D$6-Y1346*U1346-Z1346*V1346</f>
        <v/>
      </c>
      <c r="AB1346">
        <f>IF(AND(F1346,ABS(W1346)&gt;1E-12,Y1346&gt;0,Z1346&gt;0),AA1346,1E+300)</f>
        <v/>
      </c>
    </row>
    <row r="1347">
      <c r="A1347">
        <f>$B$3+$B$5*21</f>
        <v/>
      </c>
      <c r="B1347">
        <f>$B$3+$B$5*54</f>
        <v/>
      </c>
      <c r="C1347">
        <f>SUMPRODUCT(Calc!$K$3:$K$22*(Calc!$G$3:$G$22&lt;=A1347))</f>
        <v/>
      </c>
      <c r="D1347">
        <f>SUMPRODUCT(Calc!$K$3:$K$22*(Calc!$G$3:$G$22&gt;A1347)*(Calc!$G$3:$G$22&lt;B1347))</f>
        <v/>
      </c>
      <c r="E1347">
        <f>SUMPRODUCT(Calc!$K$3:$K$22*(Calc!$G$3:$G$22&gt;=B1347))</f>
        <v/>
      </c>
      <c r="F1347">
        <f>AND(k_n&gt;=5,B1347&gt;A1347+1E-9,C1347&gt;=2,D1347&gt;=1,E1347&gt;=2)</f>
        <v/>
      </c>
      <c r="G1347">
        <f>SUMPRODUCT(Calc!$K$3:$K$22*(Calc!$G$3:$G$22&gt;A1347)*(Calc!$G$3:$G$22-A1347))</f>
        <v/>
      </c>
      <c r="H1347">
        <f>SUMPRODUCT(Calc!$K$3:$K$22*(Calc!$G$3:$G$22&gt;B1347)*(Calc!$G$3:$G$22-B1347))</f>
        <v/>
      </c>
      <c r="I1347">
        <f>SUMPRODUCT(Calc!$K$3:$K$22*(Calc!$G$3:$G$22&gt;A1347)*(Calc!$G$3:$G$22-A1347)^2)</f>
        <v/>
      </c>
      <c r="J1347">
        <f>SUMPRODUCT(Calc!$K$3:$K$22*(Calc!$G$3:$G$22&gt;B1347)*(Calc!$G$3:$G$22-B1347)^2)</f>
        <v/>
      </c>
      <c r="K1347">
        <f>SUMPRODUCT(Calc!$K$3:$K$22*(Calc!$G$3:$G$22&gt;A1347)*(Calc!$G$3:$G$22-A1347)*(Calc!$G$3:$G$22&gt;B1347)*(Calc!$G$3:$G$22-B1347))</f>
        <v/>
      </c>
      <c r="L1347">
        <f>SUMPRODUCT(Calc!$K$3:$K$22*(Calc!$G$3:$G$22&gt;A1347)*(Calc!$G$3:$G$22-A1347)*Calc!$G$3:$G$22)</f>
        <v/>
      </c>
      <c r="M1347">
        <f>SUMPRODUCT(Calc!$K$3:$K$22*(Calc!$G$3:$G$22&gt;B1347)*(Calc!$G$3:$G$22-B1347)*Calc!$G$3:$G$22)</f>
        <v/>
      </c>
      <c r="N1347">
        <f>SUMPRODUCT(Calc!$K$3:$K$22*(Calc!$G$3:$G$22&gt;A1347)*(Calc!$G$3:$G$22-A1347)*Calc!$I$3:$I$22)</f>
        <v/>
      </c>
      <c r="O1347">
        <f>SUMPRODUCT(Calc!$K$3:$K$22*(Calc!$G$3:$G$22&gt;B1347)*(Calc!$G$3:$G$22-B1347)*Calc!$I$3:$I$22)</f>
        <v/>
      </c>
      <c r="P1347">
        <f>I1347-G1347^2/k_n</f>
        <v/>
      </c>
      <c r="Q1347">
        <f>J1347-H1347^2/k_n</f>
        <v/>
      </c>
      <c r="R1347">
        <f>K1347-G1347*H1347/k_n</f>
        <v/>
      </c>
      <c r="S1347">
        <f>L1347-LTP3!$D$3*G1347/k_n</f>
        <v/>
      </c>
      <c r="T1347">
        <f>M1347-LTP3!$D$3*H1347/k_n</f>
        <v/>
      </c>
      <c r="U1347">
        <f>N1347-G1347*LTP3!$D$4/k_n</f>
        <v/>
      </c>
      <c r="V1347">
        <f>O1347-H1347*LTP3!$D$4/k_n</f>
        <v/>
      </c>
      <c r="W1347">
        <f>((LTP3!$D$5)*((P1347)*(Q1347)-(R1347)*(R1347))-(S1347)*((S1347)*(Q1347)-(R1347)*(T1347))+(T1347)*((S1347)*(R1347)-(P1347)*(T1347)))</f>
        <v/>
      </c>
      <c r="X1347">
        <f>IF(ABS(W1347)&gt;1E-12,((LTP3!$D$6)*((P1347)*(Q1347)-(R1347)*(R1347))-(S1347)*((U1347)*(Q1347)-(R1347)*(V1347))+(T1347)*((U1347)*(R1347)-(P1347)*(V1347)))/W1347,0)</f>
        <v/>
      </c>
      <c r="Y1347">
        <f>IF(ABS(W1347)&gt;1E-12,((LTP3!$D$5)*((U1347)*(Q1347)-(R1347)*(V1347))-(LTP3!$D$6)*((S1347)*(Q1347)-(R1347)*(T1347))+(T1347)*((S1347)*(V1347)-(U1347)*(T1347)))/W1347,0)</f>
        <v/>
      </c>
      <c r="Z1347">
        <f>IF(ABS(W1347)&gt;1E-12,((LTP3!$D$5)*((P1347)*(V1347)-(U1347)*(R1347))-(S1347)*((S1347)*(V1347)-(U1347)*(T1347))+(LTP3!$D$6)*((S1347)*(R1347)-(P1347)*(T1347)))/W1347,0)</f>
        <v/>
      </c>
      <c r="AA1347">
        <f>LTP3!$D$7-X1347*LTP3!$D$6-Y1347*U1347-Z1347*V1347</f>
        <v/>
      </c>
      <c r="AB1347">
        <f>IF(AND(F1347,ABS(W1347)&gt;1E-12,Y1347&gt;0,Z1347&gt;0),AA1347,1E+300)</f>
        <v/>
      </c>
    </row>
    <row r="1348">
      <c r="A1348">
        <f>$B$3+$B$5*21</f>
        <v/>
      </c>
      <c r="B1348">
        <f>$B$3+$B$5*55</f>
        <v/>
      </c>
      <c r="C1348">
        <f>SUMPRODUCT(Calc!$K$3:$K$22*(Calc!$G$3:$G$22&lt;=A1348))</f>
        <v/>
      </c>
      <c r="D1348">
        <f>SUMPRODUCT(Calc!$K$3:$K$22*(Calc!$G$3:$G$22&gt;A1348)*(Calc!$G$3:$G$22&lt;B1348))</f>
        <v/>
      </c>
      <c r="E1348">
        <f>SUMPRODUCT(Calc!$K$3:$K$22*(Calc!$G$3:$G$22&gt;=B1348))</f>
        <v/>
      </c>
      <c r="F1348">
        <f>AND(k_n&gt;=5,B1348&gt;A1348+1E-9,C1348&gt;=2,D1348&gt;=1,E1348&gt;=2)</f>
        <v/>
      </c>
      <c r="G1348">
        <f>SUMPRODUCT(Calc!$K$3:$K$22*(Calc!$G$3:$G$22&gt;A1348)*(Calc!$G$3:$G$22-A1348))</f>
        <v/>
      </c>
      <c r="H1348">
        <f>SUMPRODUCT(Calc!$K$3:$K$22*(Calc!$G$3:$G$22&gt;B1348)*(Calc!$G$3:$G$22-B1348))</f>
        <v/>
      </c>
      <c r="I1348">
        <f>SUMPRODUCT(Calc!$K$3:$K$22*(Calc!$G$3:$G$22&gt;A1348)*(Calc!$G$3:$G$22-A1348)^2)</f>
        <v/>
      </c>
      <c r="J1348">
        <f>SUMPRODUCT(Calc!$K$3:$K$22*(Calc!$G$3:$G$22&gt;B1348)*(Calc!$G$3:$G$22-B1348)^2)</f>
        <v/>
      </c>
      <c r="K1348">
        <f>SUMPRODUCT(Calc!$K$3:$K$22*(Calc!$G$3:$G$22&gt;A1348)*(Calc!$G$3:$G$22-A1348)*(Calc!$G$3:$G$22&gt;B1348)*(Calc!$G$3:$G$22-B1348))</f>
        <v/>
      </c>
      <c r="L1348">
        <f>SUMPRODUCT(Calc!$K$3:$K$22*(Calc!$G$3:$G$22&gt;A1348)*(Calc!$G$3:$G$22-A1348)*Calc!$G$3:$G$22)</f>
        <v/>
      </c>
      <c r="M1348">
        <f>SUMPRODUCT(Calc!$K$3:$K$22*(Calc!$G$3:$G$22&gt;B1348)*(Calc!$G$3:$G$22-B1348)*Calc!$G$3:$G$22)</f>
        <v/>
      </c>
      <c r="N1348">
        <f>SUMPRODUCT(Calc!$K$3:$K$22*(Calc!$G$3:$G$22&gt;A1348)*(Calc!$G$3:$G$22-A1348)*Calc!$I$3:$I$22)</f>
        <v/>
      </c>
      <c r="O1348">
        <f>SUMPRODUCT(Calc!$K$3:$K$22*(Calc!$G$3:$G$22&gt;B1348)*(Calc!$G$3:$G$22-B1348)*Calc!$I$3:$I$22)</f>
        <v/>
      </c>
      <c r="P1348">
        <f>I1348-G1348^2/k_n</f>
        <v/>
      </c>
      <c r="Q1348">
        <f>J1348-H1348^2/k_n</f>
        <v/>
      </c>
      <c r="R1348">
        <f>K1348-G1348*H1348/k_n</f>
        <v/>
      </c>
      <c r="S1348">
        <f>L1348-LTP3!$D$3*G1348/k_n</f>
        <v/>
      </c>
      <c r="T1348">
        <f>M1348-LTP3!$D$3*H1348/k_n</f>
        <v/>
      </c>
      <c r="U1348">
        <f>N1348-G1348*LTP3!$D$4/k_n</f>
        <v/>
      </c>
      <c r="V1348">
        <f>O1348-H1348*LTP3!$D$4/k_n</f>
        <v/>
      </c>
      <c r="W1348">
        <f>((LTP3!$D$5)*((P1348)*(Q1348)-(R1348)*(R1348))-(S1348)*((S1348)*(Q1348)-(R1348)*(T1348))+(T1348)*((S1348)*(R1348)-(P1348)*(T1348)))</f>
        <v/>
      </c>
      <c r="X1348">
        <f>IF(ABS(W1348)&gt;1E-12,((LTP3!$D$6)*((P1348)*(Q1348)-(R1348)*(R1348))-(S1348)*((U1348)*(Q1348)-(R1348)*(V1348))+(T1348)*((U1348)*(R1348)-(P1348)*(V1348)))/W1348,0)</f>
        <v/>
      </c>
      <c r="Y1348">
        <f>IF(ABS(W1348)&gt;1E-12,((LTP3!$D$5)*((U1348)*(Q1348)-(R1348)*(V1348))-(LTP3!$D$6)*((S1348)*(Q1348)-(R1348)*(T1348))+(T1348)*((S1348)*(V1348)-(U1348)*(T1348)))/W1348,0)</f>
        <v/>
      </c>
      <c r="Z1348">
        <f>IF(ABS(W1348)&gt;1E-12,((LTP3!$D$5)*((P1348)*(V1348)-(U1348)*(R1348))-(S1348)*((S1348)*(V1348)-(U1348)*(T1348))+(LTP3!$D$6)*((S1348)*(R1348)-(P1348)*(T1348)))/W1348,0)</f>
        <v/>
      </c>
      <c r="AA1348">
        <f>LTP3!$D$7-X1348*LTP3!$D$6-Y1348*U1348-Z1348*V1348</f>
        <v/>
      </c>
      <c r="AB1348">
        <f>IF(AND(F1348,ABS(W1348)&gt;1E-12,Y1348&gt;0,Z1348&gt;0),AA1348,1E+300)</f>
        <v/>
      </c>
    </row>
    <row r="1349">
      <c r="A1349">
        <f>$B$3+$B$5*21</f>
        <v/>
      </c>
      <c r="B1349">
        <f>$B$3+$B$5*56</f>
        <v/>
      </c>
      <c r="C1349">
        <f>SUMPRODUCT(Calc!$K$3:$K$22*(Calc!$G$3:$G$22&lt;=A1349))</f>
        <v/>
      </c>
      <c r="D1349">
        <f>SUMPRODUCT(Calc!$K$3:$K$22*(Calc!$G$3:$G$22&gt;A1349)*(Calc!$G$3:$G$22&lt;B1349))</f>
        <v/>
      </c>
      <c r="E1349">
        <f>SUMPRODUCT(Calc!$K$3:$K$22*(Calc!$G$3:$G$22&gt;=B1349))</f>
        <v/>
      </c>
      <c r="F1349">
        <f>AND(k_n&gt;=5,B1349&gt;A1349+1E-9,C1349&gt;=2,D1349&gt;=1,E1349&gt;=2)</f>
        <v/>
      </c>
      <c r="G1349">
        <f>SUMPRODUCT(Calc!$K$3:$K$22*(Calc!$G$3:$G$22&gt;A1349)*(Calc!$G$3:$G$22-A1349))</f>
        <v/>
      </c>
      <c r="H1349">
        <f>SUMPRODUCT(Calc!$K$3:$K$22*(Calc!$G$3:$G$22&gt;B1349)*(Calc!$G$3:$G$22-B1349))</f>
        <v/>
      </c>
      <c r="I1349">
        <f>SUMPRODUCT(Calc!$K$3:$K$22*(Calc!$G$3:$G$22&gt;A1349)*(Calc!$G$3:$G$22-A1349)^2)</f>
        <v/>
      </c>
      <c r="J1349">
        <f>SUMPRODUCT(Calc!$K$3:$K$22*(Calc!$G$3:$G$22&gt;B1349)*(Calc!$G$3:$G$22-B1349)^2)</f>
        <v/>
      </c>
      <c r="K1349">
        <f>SUMPRODUCT(Calc!$K$3:$K$22*(Calc!$G$3:$G$22&gt;A1349)*(Calc!$G$3:$G$22-A1349)*(Calc!$G$3:$G$22&gt;B1349)*(Calc!$G$3:$G$22-B1349))</f>
        <v/>
      </c>
      <c r="L1349">
        <f>SUMPRODUCT(Calc!$K$3:$K$22*(Calc!$G$3:$G$22&gt;A1349)*(Calc!$G$3:$G$22-A1349)*Calc!$G$3:$G$22)</f>
        <v/>
      </c>
      <c r="M1349">
        <f>SUMPRODUCT(Calc!$K$3:$K$22*(Calc!$G$3:$G$22&gt;B1349)*(Calc!$G$3:$G$22-B1349)*Calc!$G$3:$G$22)</f>
        <v/>
      </c>
      <c r="N1349">
        <f>SUMPRODUCT(Calc!$K$3:$K$22*(Calc!$G$3:$G$22&gt;A1349)*(Calc!$G$3:$G$22-A1349)*Calc!$I$3:$I$22)</f>
        <v/>
      </c>
      <c r="O1349">
        <f>SUMPRODUCT(Calc!$K$3:$K$22*(Calc!$G$3:$G$22&gt;B1349)*(Calc!$G$3:$G$22-B1349)*Calc!$I$3:$I$22)</f>
        <v/>
      </c>
      <c r="P1349">
        <f>I1349-G1349^2/k_n</f>
        <v/>
      </c>
      <c r="Q1349">
        <f>J1349-H1349^2/k_n</f>
        <v/>
      </c>
      <c r="R1349">
        <f>K1349-G1349*H1349/k_n</f>
        <v/>
      </c>
      <c r="S1349">
        <f>L1349-LTP3!$D$3*G1349/k_n</f>
        <v/>
      </c>
      <c r="T1349">
        <f>M1349-LTP3!$D$3*H1349/k_n</f>
        <v/>
      </c>
      <c r="U1349">
        <f>N1349-G1349*LTP3!$D$4/k_n</f>
        <v/>
      </c>
      <c r="V1349">
        <f>O1349-H1349*LTP3!$D$4/k_n</f>
        <v/>
      </c>
      <c r="W1349">
        <f>((LTP3!$D$5)*((P1349)*(Q1349)-(R1349)*(R1349))-(S1349)*((S1349)*(Q1349)-(R1349)*(T1349))+(T1349)*((S1349)*(R1349)-(P1349)*(T1349)))</f>
        <v/>
      </c>
      <c r="X1349">
        <f>IF(ABS(W1349)&gt;1E-12,((LTP3!$D$6)*((P1349)*(Q1349)-(R1349)*(R1349))-(S1349)*((U1349)*(Q1349)-(R1349)*(V1349))+(T1349)*((U1349)*(R1349)-(P1349)*(V1349)))/W1349,0)</f>
        <v/>
      </c>
      <c r="Y1349">
        <f>IF(ABS(W1349)&gt;1E-12,((LTP3!$D$5)*((U1349)*(Q1349)-(R1349)*(V1349))-(LTP3!$D$6)*((S1349)*(Q1349)-(R1349)*(T1349))+(T1349)*((S1349)*(V1349)-(U1349)*(T1349)))/W1349,0)</f>
        <v/>
      </c>
      <c r="Z1349">
        <f>IF(ABS(W1349)&gt;1E-12,((LTP3!$D$5)*((P1349)*(V1349)-(U1349)*(R1349))-(S1349)*((S1349)*(V1349)-(U1349)*(T1349))+(LTP3!$D$6)*((S1349)*(R1349)-(P1349)*(T1349)))/W1349,0)</f>
        <v/>
      </c>
      <c r="AA1349">
        <f>LTP3!$D$7-X1349*LTP3!$D$6-Y1349*U1349-Z1349*V1349</f>
        <v/>
      </c>
      <c r="AB1349">
        <f>IF(AND(F1349,ABS(W1349)&gt;1E-12,Y1349&gt;0,Z1349&gt;0),AA1349,1E+300)</f>
        <v/>
      </c>
    </row>
    <row r="1350">
      <c r="A1350">
        <f>$B$3+$B$5*21</f>
        <v/>
      </c>
      <c r="B1350">
        <f>$B$3+$B$5*57</f>
        <v/>
      </c>
      <c r="C1350">
        <f>SUMPRODUCT(Calc!$K$3:$K$22*(Calc!$G$3:$G$22&lt;=A1350))</f>
        <v/>
      </c>
      <c r="D1350">
        <f>SUMPRODUCT(Calc!$K$3:$K$22*(Calc!$G$3:$G$22&gt;A1350)*(Calc!$G$3:$G$22&lt;B1350))</f>
        <v/>
      </c>
      <c r="E1350">
        <f>SUMPRODUCT(Calc!$K$3:$K$22*(Calc!$G$3:$G$22&gt;=B1350))</f>
        <v/>
      </c>
      <c r="F1350">
        <f>AND(k_n&gt;=5,B1350&gt;A1350+1E-9,C1350&gt;=2,D1350&gt;=1,E1350&gt;=2)</f>
        <v/>
      </c>
      <c r="G1350">
        <f>SUMPRODUCT(Calc!$K$3:$K$22*(Calc!$G$3:$G$22&gt;A1350)*(Calc!$G$3:$G$22-A1350))</f>
        <v/>
      </c>
      <c r="H1350">
        <f>SUMPRODUCT(Calc!$K$3:$K$22*(Calc!$G$3:$G$22&gt;B1350)*(Calc!$G$3:$G$22-B1350))</f>
        <v/>
      </c>
      <c r="I1350">
        <f>SUMPRODUCT(Calc!$K$3:$K$22*(Calc!$G$3:$G$22&gt;A1350)*(Calc!$G$3:$G$22-A1350)^2)</f>
        <v/>
      </c>
      <c r="J1350">
        <f>SUMPRODUCT(Calc!$K$3:$K$22*(Calc!$G$3:$G$22&gt;B1350)*(Calc!$G$3:$G$22-B1350)^2)</f>
        <v/>
      </c>
      <c r="K1350">
        <f>SUMPRODUCT(Calc!$K$3:$K$22*(Calc!$G$3:$G$22&gt;A1350)*(Calc!$G$3:$G$22-A1350)*(Calc!$G$3:$G$22&gt;B1350)*(Calc!$G$3:$G$22-B1350))</f>
        <v/>
      </c>
      <c r="L1350">
        <f>SUMPRODUCT(Calc!$K$3:$K$22*(Calc!$G$3:$G$22&gt;A1350)*(Calc!$G$3:$G$22-A1350)*Calc!$G$3:$G$22)</f>
        <v/>
      </c>
      <c r="M1350">
        <f>SUMPRODUCT(Calc!$K$3:$K$22*(Calc!$G$3:$G$22&gt;B1350)*(Calc!$G$3:$G$22-B1350)*Calc!$G$3:$G$22)</f>
        <v/>
      </c>
      <c r="N1350">
        <f>SUMPRODUCT(Calc!$K$3:$K$22*(Calc!$G$3:$G$22&gt;A1350)*(Calc!$G$3:$G$22-A1350)*Calc!$I$3:$I$22)</f>
        <v/>
      </c>
      <c r="O1350">
        <f>SUMPRODUCT(Calc!$K$3:$K$22*(Calc!$G$3:$G$22&gt;B1350)*(Calc!$G$3:$G$22-B1350)*Calc!$I$3:$I$22)</f>
        <v/>
      </c>
      <c r="P1350">
        <f>I1350-G1350^2/k_n</f>
        <v/>
      </c>
      <c r="Q1350">
        <f>J1350-H1350^2/k_n</f>
        <v/>
      </c>
      <c r="R1350">
        <f>K1350-G1350*H1350/k_n</f>
        <v/>
      </c>
      <c r="S1350">
        <f>L1350-LTP3!$D$3*G1350/k_n</f>
        <v/>
      </c>
      <c r="T1350">
        <f>M1350-LTP3!$D$3*H1350/k_n</f>
        <v/>
      </c>
      <c r="U1350">
        <f>N1350-G1350*LTP3!$D$4/k_n</f>
        <v/>
      </c>
      <c r="V1350">
        <f>O1350-H1350*LTP3!$D$4/k_n</f>
        <v/>
      </c>
      <c r="W1350">
        <f>((LTP3!$D$5)*((P1350)*(Q1350)-(R1350)*(R1350))-(S1350)*((S1350)*(Q1350)-(R1350)*(T1350))+(T1350)*((S1350)*(R1350)-(P1350)*(T1350)))</f>
        <v/>
      </c>
      <c r="X1350">
        <f>IF(ABS(W1350)&gt;1E-12,((LTP3!$D$6)*((P1350)*(Q1350)-(R1350)*(R1350))-(S1350)*((U1350)*(Q1350)-(R1350)*(V1350))+(T1350)*((U1350)*(R1350)-(P1350)*(V1350)))/W1350,0)</f>
        <v/>
      </c>
      <c r="Y1350">
        <f>IF(ABS(W1350)&gt;1E-12,((LTP3!$D$5)*((U1350)*(Q1350)-(R1350)*(V1350))-(LTP3!$D$6)*((S1350)*(Q1350)-(R1350)*(T1350))+(T1350)*((S1350)*(V1350)-(U1350)*(T1350)))/W1350,0)</f>
        <v/>
      </c>
      <c r="Z1350">
        <f>IF(ABS(W1350)&gt;1E-12,((LTP3!$D$5)*((P1350)*(V1350)-(U1350)*(R1350))-(S1350)*((S1350)*(V1350)-(U1350)*(T1350))+(LTP3!$D$6)*((S1350)*(R1350)-(P1350)*(T1350)))/W1350,0)</f>
        <v/>
      </c>
      <c r="AA1350">
        <f>LTP3!$D$7-X1350*LTP3!$D$6-Y1350*U1350-Z1350*V1350</f>
        <v/>
      </c>
      <c r="AB1350">
        <f>IF(AND(F1350,ABS(W1350)&gt;1E-12,Y1350&gt;0,Z1350&gt;0),AA1350,1E+300)</f>
        <v/>
      </c>
    </row>
    <row r="1351">
      <c r="A1351">
        <f>$B$3+$B$5*21</f>
        <v/>
      </c>
      <c r="B1351">
        <f>$B$3+$B$5*58</f>
        <v/>
      </c>
      <c r="C1351">
        <f>SUMPRODUCT(Calc!$K$3:$K$22*(Calc!$G$3:$G$22&lt;=A1351))</f>
        <v/>
      </c>
      <c r="D1351">
        <f>SUMPRODUCT(Calc!$K$3:$K$22*(Calc!$G$3:$G$22&gt;A1351)*(Calc!$G$3:$G$22&lt;B1351))</f>
        <v/>
      </c>
      <c r="E1351">
        <f>SUMPRODUCT(Calc!$K$3:$K$22*(Calc!$G$3:$G$22&gt;=B1351))</f>
        <v/>
      </c>
      <c r="F1351">
        <f>AND(k_n&gt;=5,B1351&gt;A1351+1E-9,C1351&gt;=2,D1351&gt;=1,E1351&gt;=2)</f>
        <v/>
      </c>
      <c r="G1351">
        <f>SUMPRODUCT(Calc!$K$3:$K$22*(Calc!$G$3:$G$22&gt;A1351)*(Calc!$G$3:$G$22-A1351))</f>
        <v/>
      </c>
      <c r="H1351">
        <f>SUMPRODUCT(Calc!$K$3:$K$22*(Calc!$G$3:$G$22&gt;B1351)*(Calc!$G$3:$G$22-B1351))</f>
        <v/>
      </c>
      <c r="I1351">
        <f>SUMPRODUCT(Calc!$K$3:$K$22*(Calc!$G$3:$G$22&gt;A1351)*(Calc!$G$3:$G$22-A1351)^2)</f>
        <v/>
      </c>
      <c r="J1351">
        <f>SUMPRODUCT(Calc!$K$3:$K$22*(Calc!$G$3:$G$22&gt;B1351)*(Calc!$G$3:$G$22-B1351)^2)</f>
        <v/>
      </c>
      <c r="K1351">
        <f>SUMPRODUCT(Calc!$K$3:$K$22*(Calc!$G$3:$G$22&gt;A1351)*(Calc!$G$3:$G$22-A1351)*(Calc!$G$3:$G$22&gt;B1351)*(Calc!$G$3:$G$22-B1351))</f>
        <v/>
      </c>
      <c r="L1351">
        <f>SUMPRODUCT(Calc!$K$3:$K$22*(Calc!$G$3:$G$22&gt;A1351)*(Calc!$G$3:$G$22-A1351)*Calc!$G$3:$G$22)</f>
        <v/>
      </c>
      <c r="M1351">
        <f>SUMPRODUCT(Calc!$K$3:$K$22*(Calc!$G$3:$G$22&gt;B1351)*(Calc!$G$3:$G$22-B1351)*Calc!$G$3:$G$22)</f>
        <v/>
      </c>
      <c r="N1351">
        <f>SUMPRODUCT(Calc!$K$3:$K$22*(Calc!$G$3:$G$22&gt;A1351)*(Calc!$G$3:$G$22-A1351)*Calc!$I$3:$I$22)</f>
        <v/>
      </c>
      <c r="O1351">
        <f>SUMPRODUCT(Calc!$K$3:$K$22*(Calc!$G$3:$G$22&gt;B1351)*(Calc!$G$3:$G$22-B1351)*Calc!$I$3:$I$22)</f>
        <v/>
      </c>
      <c r="P1351">
        <f>I1351-G1351^2/k_n</f>
        <v/>
      </c>
      <c r="Q1351">
        <f>J1351-H1351^2/k_n</f>
        <v/>
      </c>
      <c r="R1351">
        <f>K1351-G1351*H1351/k_n</f>
        <v/>
      </c>
      <c r="S1351">
        <f>L1351-LTP3!$D$3*G1351/k_n</f>
        <v/>
      </c>
      <c r="T1351">
        <f>M1351-LTP3!$D$3*H1351/k_n</f>
        <v/>
      </c>
      <c r="U1351">
        <f>N1351-G1351*LTP3!$D$4/k_n</f>
        <v/>
      </c>
      <c r="V1351">
        <f>O1351-H1351*LTP3!$D$4/k_n</f>
        <v/>
      </c>
      <c r="W1351">
        <f>((LTP3!$D$5)*((P1351)*(Q1351)-(R1351)*(R1351))-(S1351)*((S1351)*(Q1351)-(R1351)*(T1351))+(T1351)*((S1351)*(R1351)-(P1351)*(T1351)))</f>
        <v/>
      </c>
      <c r="X1351">
        <f>IF(ABS(W1351)&gt;1E-12,((LTP3!$D$6)*((P1351)*(Q1351)-(R1351)*(R1351))-(S1351)*((U1351)*(Q1351)-(R1351)*(V1351))+(T1351)*((U1351)*(R1351)-(P1351)*(V1351)))/W1351,0)</f>
        <v/>
      </c>
      <c r="Y1351">
        <f>IF(ABS(W1351)&gt;1E-12,((LTP3!$D$5)*((U1351)*(Q1351)-(R1351)*(V1351))-(LTP3!$D$6)*((S1351)*(Q1351)-(R1351)*(T1351))+(T1351)*((S1351)*(V1351)-(U1351)*(T1351)))/W1351,0)</f>
        <v/>
      </c>
      <c r="Z1351">
        <f>IF(ABS(W1351)&gt;1E-12,((LTP3!$D$5)*((P1351)*(V1351)-(U1351)*(R1351))-(S1351)*((S1351)*(V1351)-(U1351)*(T1351))+(LTP3!$D$6)*((S1351)*(R1351)-(P1351)*(T1351)))/W1351,0)</f>
        <v/>
      </c>
      <c r="AA1351">
        <f>LTP3!$D$7-X1351*LTP3!$D$6-Y1351*U1351-Z1351*V1351</f>
        <v/>
      </c>
      <c r="AB1351">
        <f>IF(AND(F1351,ABS(W1351)&gt;1E-12,Y1351&gt;0,Z1351&gt;0),AA1351,1E+300)</f>
        <v/>
      </c>
    </row>
    <row r="1352">
      <c r="A1352">
        <f>$B$3+$B$5*21</f>
        <v/>
      </c>
      <c r="B1352">
        <f>$B$3+$B$5*59</f>
        <v/>
      </c>
      <c r="C1352">
        <f>SUMPRODUCT(Calc!$K$3:$K$22*(Calc!$G$3:$G$22&lt;=A1352))</f>
        <v/>
      </c>
      <c r="D1352">
        <f>SUMPRODUCT(Calc!$K$3:$K$22*(Calc!$G$3:$G$22&gt;A1352)*(Calc!$G$3:$G$22&lt;B1352))</f>
        <v/>
      </c>
      <c r="E1352">
        <f>SUMPRODUCT(Calc!$K$3:$K$22*(Calc!$G$3:$G$22&gt;=B1352))</f>
        <v/>
      </c>
      <c r="F1352">
        <f>AND(k_n&gt;=5,B1352&gt;A1352+1E-9,C1352&gt;=2,D1352&gt;=1,E1352&gt;=2)</f>
        <v/>
      </c>
      <c r="G1352">
        <f>SUMPRODUCT(Calc!$K$3:$K$22*(Calc!$G$3:$G$22&gt;A1352)*(Calc!$G$3:$G$22-A1352))</f>
        <v/>
      </c>
      <c r="H1352">
        <f>SUMPRODUCT(Calc!$K$3:$K$22*(Calc!$G$3:$G$22&gt;B1352)*(Calc!$G$3:$G$22-B1352))</f>
        <v/>
      </c>
      <c r="I1352">
        <f>SUMPRODUCT(Calc!$K$3:$K$22*(Calc!$G$3:$G$22&gt;A1352)*(Calc!$G$3:$G$22-A1352)^2)</f>
        <v/>
      </c>
      <c r="J1352">
        <f>SUMPRODUCT(Calc!$K$3:$K$22*(Calc!$G$3:$G$22&gt;B1352)*(Calc!$G$3:$G$22-B1352)^2)</f>
        <v/>
      </c>
      <c r="K1352">
        <f>SUMPRODUCT(Calc!$K$3:$K$22*(Calc!$G$3:$G$22&gt;A1352)*(Calc!$G$3:$G$22-A1352)*(Calc!$G$3:$G$22&gt;B1352)*(Calc!$G$3:$G$22-B1352))</f>
        <v/>
      </c>
      <c r="L1352">
        <f>SUMPRODUCT(Calc!$K$3:$K$22*(Calc!$G$3:$G$22&gt;A1352)*(Calc!$G$3:$G$22-A1352)*Calc!$G$3:$G$22)</f>
        <v/>
      </c>
      <c r="M1352">
        <f>SUMPRODUCT(Calc!$K$3:$K$22*(Calc!$G$3:$G$22&gt;B1352)*(Calc!$G$3:$G$22-B1352)*Calc!$G$3:$G$22)</f>
        <v/>
      </c>
      <c r="N1352">
        <f>SUMPRODUCT(Calc!$K$3:$K$22*(Calc!$G$3:$G$22&gt;A1352)*(Calc!$G$3:$G$22-A1352)*Calc!$I$3:$I$22)</f>
        <v/>
      </c>
      <c r="O1352">
        <f>SUMPRODUCT(Calc!$K$3:$K$22*(Calc!$G$3:$G$22&gt;B1352)*(Calc!$G$3:$G$22-B1352)*Calc!$I$3:$I$22)</f>
        <v/>
      </c>
      <c r="P1352">
        <f>I1352-G1352^2/k_n</f>
        <v/>
      </c>
      <c r="Q1352">
        <f>J1352-H1352^2/k_n</f>
        <v/>
      </c>
      <c r="R1352">
        <f>K1352-G1352*H1352/k_n</f>
        <v/>
      </c>
      <c r="S1352">
        <f>L1352-LTP3!$D$3*G1352/k_n</f>
        <v/>
      </c>
      <c r="T1352">
        <f>M1352-LTP3!$D$3*H1352/k_n</f>
        <v/>
      </c>
      <c r="U1352">
        <f>N1352-G1352*LTP3!$D$4/k_n</f>
        <v/>
      </c>
      <c r="V1352">
        <f>O1352-H1352*LTP3!$D$4/k_n</f>
        <v/>
      </c>
      <c r="W1352">
        <f>((LTP3!$D$5)*((P1352)*(Q1352)-(R1352)*(R1352))-(S1352)*((S1352)*(Q1352)-(R1352)*(T1352))+(T1352)*((S1352)*(R1352)-(P1352)*(T1352)))</f>
        <v/>
      </c>
      <c r="X1352">
        <f>IF(ABS(W1352)&gt;1E-12,((LTP3!$D$6)*((P1352)*(Q1352)-(R1352)*(R1352))-(S1352)*((U1352)*(Q1352)-(R1352)*(V1352))+(T1352)*((U1352)*(R1352)-(P1352)*(V1352)))/W1352,0)</f>
        <v/>
      </c>
      <c r="Y1352">
        <f>IF(ABS(W1352)&gt;1E-12,((LTP3!$D$5)*((U1352)*(Q1352)-(R1352)*(V1352))-(LTP3!$D$6)*((S1352)*(Q1352)-(R1352)*(T1352))+(T1352)*((S1352)*(V1352)-(U1352)*(T1352)))/W1352,0)</f>
        <v/>
      </c>
      <c r="Z1352">
        <f>IF(ABS(W1352)&gt;1E-12,((LTP3!$D$5)*((P1352)*(V1352)-(U1352)*(R1352))-(S1352)*((S1352)*(V1352)-(U1352)*(T1352))+(LTP3!$D$6)*((S1352)*(R1352)-(P1352)*(T1352)))/W1352,0)</f>
        <v/>
      </c>
      <c r="AA1352">
        <f>LTP3!$D$7-X1352*LTP3!$D$6-Y1352*U1352-Z1352*V1352</f>
        <v/>
      </c>
      <c r="AB1352">
        <f>IF(AND(F1352,ABS(W1352)&gt;1E-12,Y1352&gt;0,Z1352&gt;0),AA1352,1E+300)</f>
        <v/>
      </c>
    </row>
    <row r="1353">
      <c r="A1353">
        <f>$B$3+$B$5*21</f>
        <v/>
      </c>
      <c r="B1353">
        <f>$B$3+$B$5*60</f>
        <v/>
      </c>
      <c r="C1353">
        <f>SUMPRODUCT(Calc!$K$3:$K$22*(Calc!$G$3:$G$22&lt;=A1353))</f>
        <v/>
      </c>
      <c r="D1353">
        <f>SUMPRODUCT(Calc!$K$3:$K$22*(Calc!$G$3:$G$22&gt;A1353)*(Calc!$G$3:$G$22&lt;B1353))</f>
        <v/>
      </c>
      <c r="E1353">
        <f>SUMPRODUCT(Calc!$K$3:$K$22*(Calc!$G$3:$G$22&gt;=B1353))</f>
        <v/>
      </c>
      <c r="F1353">
        <f>AND(k_n&gt;=5,B1353&gt;A1353+1E-9,C1353&gt;=2,D1353&gt;=1,E1353&gt;=2)</f>
        <v/>
      </c>
      <c r="G1353">
        <f>SUMPRODUCT(Calc!$K$3:$K$22*(Calc!$G$3:$G$22&gt;A1353)*(Calc!$G$3:$G$22-A1353))</f>
        <v/>
      </c>
      <c r="H1353">
        <f>SUMPRODUCT(Calc!$K$3:$K$22*(Calc!$G$3:$G$22&gt;B1353)*(Calc!$G$3:$G$22-B1353))</f>
        <v/>
      </c>
      <c r="I1353">
        <f>SUMPRODUCT(Calc!$K$3:$K$22*(Calc!$G$3:$G$22&gt;A1353)*(Calc!$G$3:$G$22-A1353)^2)</f>
        <v/>
      </c>
      <c r="J1353">
        <f>SUMPRODUCT(Calc!$K$3:$K$22*(Calc!$G$3:$G$22&gt;B1353)*(Calc!$G$3:$G$22-B1353)^2)</f>
        <v/>
      </c>
      <c r="K1353">
        <f>SUMPRODUCT(Calc!$K$3:$K$22*(Calc!$G$3:$G$22&gt;A1353)*(Calc!$G$3:$G$22-A1353)*(Calc!$G$3:$G$22&gt;B1353)*(Calc!$G$3:$G$22-B1353))</f>
        <v/>
      </c>
      <c r="L1353">
        <f>SUMPRODUCT(Calc!$K$3:$K$22*(Calc!$G$3:$G$22&gt;A1353)*(Calc!$G$3:$G$22-A1353)*Calc!$G$3:$G$22)</f>
        <v/>
      </c>
      <c r="M1353">
        <f>SUMPRODUCT(Calc!$K$3:$K$22*(Calc!$G$3:$G$22&gt;B1353)*(Calc!$G$3:$G$22-B1353)*Calc!$G$3:$G$22)</f>
        <v/>
      </c>
      <c r="N1353">
        <f>SUMPRODUCT(Calc!$K$3:$K$22*(Calc!$G$3:$G$22&gt;A1353)*(Calc!$G$3:$G$22-A1353)*Calc!$I$3:$I$22)</f>
        <v/>
      </c>
      <c r="O1353">
        <f>SUMPRODUCT(Calc!$K$3:$K$22*(Calc!$G$3:$G$22&gt;B1353)*(Calc!$G$3:$G$22-B1353)*Calc!$I$3:$I$22)</f>
        <v/>
      </c>
      <c r="P1353">
        <f>I1353-G1353^2/k_n</f>
        <v/>
      </c>
      <c r="Q1353">
        <f>J1353-H1353^2/k_n</f>
        <v/>
      </c>
      <c r="R1353">
        <f>K1353-G1353*H1353/k_n</f>
        <v/>
      </c>
      <c r="S1353">
        <f>L1353-LTP3!$D$3*G1353/k_n</f>
        <v/>
      </c>
      <c r="T1353">
        <f>M1353-LTP3!$D$3*H1353/k_n</f>
        <v/>
      </c>
      <c r="U1353">
        <f>N1353-G1353*LTP3!$D$4/k_n</f>
        <v/>
      </c>
      <c r="V1353">
        <f>O1353-H1353*LTP3!$D$4/k_n</f>
        <v/>
      </c>
      <c r="W1353">
        <f>((LTP3!$D$5)*((P1353)*(Q1353)-(R1353)*(R1353))-(S1353)*((S1353)*(Q1353)-(R1353)*(T1353))+(T1353)*((S1353)*(R1353)-(P1353)*(T1353)))</f>
        <v/>
      </c>
      <c r="X1353">
        <f>IF(ABS(W1353)&gt;1E-12,((LTP3!$D$6)*((P1353)*(Q1353)-(R1353)*(R1353))-(S1353)*((U1353)*(Q1353)-(R1353)*(V1353))+(T1353)*((U1353)*(R1353)-(P1353)*(V1353)))/W1353,0)</f>
        <v/>
      </c>
      <c r="Y1353">
        <f>IF(ABS(W1353)&gt;1E-12,((LTP3!$D$5)*((U1353)*(Q1353)-(R1353)*(V1353))-(LTP3!$D$6)*((S1353)*(Q1353)-(R1353)*(T1353))+(T1353)*((S1353)*(V1353)-(U1353)*(T1353)))/W1353,0)</f>
        <v/>
      </c>
      <c r="Z1353">
        <f>IF(ABS(W1353)&gt;1E-12,((LTP3!$D$5)*((P1353)*(V1353)-(U1353)*(R1353))-(S1353)*((S1353)*(V1353)-(U1353)*(T1353))+(LTP3!$D$6)*((S1353)*(R1353)-(P1353)*(T1353)))/W1353,0)</f>
        <v/>
      </c>
      <c r="AA1353">
        <f>LTP3!$D$7-X1353*LTP3!$D$6-Y1353*U1353-Z1353*V1353</f>
        <v/>
      </c>
      <c r="AB1353">
        <f>IF(AND(F1353,ABS(W1353)&gt;1E-12,Y1353&gt;0,Z1353&gt;0),AA1353,1E+300)</f>
        <v/>
      </c>
    </row>
    <row r="1354">
      <c r="A1354">
        <f>$B$3+$B$5*22</f>
        <v/>
      </c>
      <c r="B1354">
        <f>$B$3+$B$5*0</f>
        <v/>
      </c>
      <c r="C1354">
        <f>SUMPRODUCT(Calc!$K$3:$K$22*(Calc!$G$3:$G$22&lt;=A1354))</f>
        <v/>
      </c>
      <c r="D1354">
        <f>SUMPRODUCT(Calc!$K$3:$K$22*(Calc!$G$3:$G$22&gt;A1354)*(Calc!$G$3:$G$22&lt;B1354))</f>
        <v/>
      </c>
      <c r="E1354">
        <f>SUMPRODUCT(Calc!$K$3:$K$22*(Calc!$G$3:$G$22&gt;=B1354))</f>
        <v/>
      </c>
      <c r="F1354">
        <f>AND(k_n&gt;=5,B1354&gt;A1354+1E-9,C1354&gt;=2,D1354&gt;=1,E1354&gt;=2)</f>
        <v/>
      </c>
      <c r="G1354">
        <f>SUMPRODUCT(Calc!$K$3:$K$22*(Calc!$G$3:$G$22&gt;A1354)*(Calc!$G$3:$G$22-A1354))</f>
        <v/>
      </c>
      <c r="H1354">
        <f>SUMPRODUCT(Calc!$K$3:$K$22*(Calc!$G$3:$G$22&gt;B1354)*(Calc!$G$3:$G$22-B1354))</f>
        <v/>
      </c>
      <c r="I1354">
        <f>SUMPRODUCT(Calc!$K$3:$K$22*(Calc!$G$3:$G$22&gt;A1354)*(Calc!$G$3:$G$22-A1354)^2)</f>
        <v/>
      </c>
      <c r="J1354">
        <f>SUMPRODUCT(Calc!$K$3:$K$22*(Calc!$G$3:$G$22&gt;B1354)*(Calc!$G$3:$G$22-B1354)^2)</f>
        <v/>
      </c>
      <c r="K1354">
        <f>SUMPRODUCT(Calc!$K$3:$K$22*(Calc!$G$3:$G$22&gt;A1354)*(Calc!$G$3:$G$22-A1354)*(Calc!$G$3:$G$22&gt;B1354)*(Calc!$G$3:$G$22-B1354))</f>
        <v/>
      </c>
      <c r="L1354">
        <f>SUMPRODUCT(Calc!$K$3:$K$22*(Calc!$G$3:$G$22&gt;A1354)*(Calc!$G$3:$G$22-A1354)*Calc!$G$3:$G$22)</f>
        <v/>
      </c>
      <c r="M1354">
        <f>SUMPRODUCT(Calc!$K$3:$K$22*(Calc!$G$3:$G$22&gt;B1354)*(Calc!$G$3:$G$22-B1354)*Calc!$G$3:$G$22)</f>
        <v/>
      </c>
      <c r="N1354">
        <f>SUMPRODUCT(Calc!$K$3:$K$22*(Calc!$G$3:$G$22&gt;A1354)*(Calc!$G$3:$G$22-A1354)*Calc!$I$3:$I$22)</f>
        <v/>
      </c>
      <c r="O1354">
        <f>SUMPRODUCT(Calc!$K$3:$K$22*(Calc!$G$3:$G$22&gt;B1354)*(Calc!$G$3:$G$22-B1354)*Calc!$I$3:$I$22)</f>
        <v/>
      </c>
      <c r="P1354">
        <f>I1354-G1354^2/k_n</f>
        <v/>
      </c>
      <c r="Q1354">
        <f>J1354-H1354^2/k_n</f>
        <v/>
      </c>
      <c r="R1354">
        <f>K1354-G1354*H1354/k_n</f>
        <v/>
      </c>
      <c r="S1354">
        <f>L1354-LTP3!$D$3*G1354/k_n</f>
        <v/>
      </c>
      <c r="T1354">
        <f>M1354-LTP3!$D$3*H1354/k_n</f>
        <v/>
      </c>
      <c r="U1354">
        <f>N1354-G1354*LTP3!$D$4/k_n</f>
        <v/>
      </c>
      <c r="V1354">
        <f>O1354-H1354*LTP3!$D$4/k_n</f>
        <v/>
      </c>
      <c r="W1354">
        <f>((LTP3!$D$5)*((P1354)*(Q1354)-(R1354)*(R1354))-(S1354)*((S1354)*(Q1354)-(R1354)*(T1354))+(T1354)*((S1354)*(R1354)-(P1354)*(T1354)))</f>
        <v/>
      </c>
      <c r="X1354">
        <f>IF(ABS(W1354)&gt;1E-12,((LTP3!$D$6)*((P1354)*(Q1354)-(R1354)*(R1354))-(S1354)*((U1354)*(Q1354)-(R1354)*(V1354))+(T1354)*((U1354)*(R1354)-(P1354)*(V1354)))/W1354,0)</f>
        <v/>
      </c>
      <c r="Y1354">
        <f>IF(ABS(W1354)&gt;1E-12,((LTP3!$D$5)*((U1354)*(Q1354)-(R1354)*(V1354))-(LTP3!$D$6)*((S1354)*(Q1354)-(R1354)*(T1354))+(T1354)*((S1354)*(V1354)-(U1354)*(T1354)))/W1354,0)</f>
        <v/>
      </c>
      <c r="Z1354">
        <f>IF(ABS(W1354)&gt;1E-12,((LTP3!$D$5)*((P1354)*(V1354)-(U1354)*(R1354))-(S1354)*((S1354)*(V1354)-(U1354)*(T1354))+(LTP3!$D$6)*((S1354)*(R1354)-(P1354)*(T1354)))/W1354,0)</f>
        <v/>
      </c>
      <c r="AA1354">
        <f>LTP3!$D$7-X1354*LTP3!$D$6-Y1354*U1354-Z1354*V1354</f>
        <v/>
      </c>
      <c r="AB1354">
        <f>IF(AND(F1354,ABS(W1354)&gt;1E-12,Y1354&gt;0,Z1354&gt;0),AA1354,1E+300)</f>
        <v/>
      </c>
    </row>
    <row r="1355">
      <c r="A1355">
        <f>$B$3+$B$5*22</f>
        <v/>
      </c>
      <c r="B1355">
        <f>$B$3+$B$5*1</f>
        <v/>
      </c>
      <c r="C1355">
        <f>SUMPRODUCT(Calc!$K$3:$K$22*(Calc!$G$3:$G$22&lt;=A1355))</f>
        <v/>
      </c>
      <c r="D1355">
        <f>SUMPRODUCT(Calc!$K$3:$K$22*(Calc!$G$3:$G$22&gt;A1355)*(Calc!$G$3:$G$22&lt;B1355))</f>
        <v/>
      </c>
      <c r="E1355">
        <f>SUMPRODUCT(Calc!$K$3:$K$22*(Calc!$G$3:$G$22&gt;=B1355))</f>
        <v/>
      </c>
      <c r="F1355">
        <f>AND(k_n&gt;=5,B1355&gt;A1355+1E-9,C1355&gt;=2,D1355&gt;=1,E1355&gt;=2)</f>
        <v/>
      </c>
      <c r="G1355">
        <f>SUMPRODUCT(Calc!$K$3:$K$22*(Calc!$G$3:$G$22&gt;A1355)*(Calc!$G$3:$G$22-A1355))</f>
        <v/>
      </c>
      <c r="H1355">
        <f>SUMPRODUCT(Calc!$K$3:$K$22*(Calc!$G$3:$G$22&gt;B1355)*(Calc!$G$3:$G$22-B1355))</f>
        <v/>
      </c>
      <c r="I1355">
        <f>SUMPRODUCT(Calc!$K$3:$K$22*(Calc!$G$3:$G$22&gt;A1355)*(Calc!$G$3:$G$22-A1355)^2)</f>
        <v/>
      </c>
      <c r="J1355">
        <f>SUMPRODUCT(Calc!$K$3:$K$22*(Calc!$G$3:$G$22&gt;B1355)*(Calc!$G$3:$G$22-B1355)^2)</f>
        <v/>
      </c>
      <c r="K1355">
        <f>SUMPRODUCT(Calc!$K$3:$K$22*(Calc!$G$3:$G$22&gt;A1355)*(Calc!$G$3:$G$22-A1355)*(Calc!$G$3:$G$22&gt;B1355)*(Calc!$G$3:$G$22-B1355))</f>
        <v/>
      </c>
      <c r="L1355">
        <f>SUMPRODUCT(Calc!$K$3:$K$22*(Calc!$G$3:$G$22&gt;A1355)*(Calc!$G$3:$G$22-A1355)*Calc!$G$3:$G$22)</f>
        <v/>
      </c>
      <c r="M1355">
        <f>SUMPRODUCT(Calc!$K$3:$K$22*(Calc!$G$3:$G$22&gt;B1355)*(Calc!$G$3:$G$22-B1355)*Calc!$G$3:$G$22)</f>
        <v/>
      </c>
      <c r="N1355">
        <f>SUMPRODUCT(Calc!$K$3:$K$22*(Calc!$G$3:$G$22&gt;A1355)*(Calc!$G$3:$G$22-A1355)*Calc!$I$3:$I$22)</f>
        <v/>
      </c>
      <c r="O1355">
        <f>SUMPRODUCT(Calc!$K$3:$K$22*(Calc!$G$3:$G$22&gt;B1355)*(Calc!$G$3:$G$22-B1355)*Calc!$I$3:$I$22)</f>
        <v/>
      </c>
      <c r="P1355">
        <f>I1355-G1355^2/k_n</f>
        <v/>
      </c>
      <c r="Q1355">
        <f>J1355-H1355^2/k_n</f>
        <v/>
      </c>
      <c r="R1355">
        <f>K1355-G1355*H1355/k_n</f>
        <v/>
      </c>
      <c r="S1355">
        <f>L1355-LTP3!$D$3*G1355/k_n</f>
        <v/>
      </c>
      <c r="T1355">
        <f>M1355-LTP3!$D$3*H1355/k_n</f>
        <v/>
      </c>
      <c r="U1355">
        <f>N1355-G1355*LTP3!$D$4/k_n</f>
        <v/>
      </c>
      <c r="V1355">
        <f>O1355-H1355*LTP3!$D$4/k_n</f>
        <v/>
      </c>
      <c r="W1355">
        <f>((LTP3!$D$5)*((P1355)*(Q1355)-(R1355)*(R1355))-(S1355)*((S1355)*(Q1355)-(R1355)*(T1355))+(T1355)*((S1355)*(R1355)-(P1355)*(T1355)))</f>
        <v/>
      </c>
      <c r="X1355">
        <f>IF(ABS(W1355)&gt;1E-12,((LTP3!$D$6)*((P1355)*(Q1355)-(R1355)*(R1355))-(S1355)*((U1355)*(Q1355)-(R1355)*(V1355))+(T1355)*((U1355)*(R1355)-(P1355)*(V1355)))/W1355,0)</f>
        <v/>
      </c>
      <c r="Y1355">
        <f>IF(ABS(W1355)&gt;1E-12,((LTP3!$D$5)*((U1355)*(Q1355)-(R1355)*(V1355))-(LTP3!$D$6)*((S1355)*(Q1355)-(R1355)*(T1355))+(T1355)*((S1355)*(V1355)-(U1355)*(T1355)))/W1355,0)</f>
        <v/>
      </c>
      <c r="Z1355">
        <f>IF(ABS(W1355)&gt;1E-12,((LTP3!$D$5)*((P1355)*(V1355)-(U1355)*(R1355))-(S1355)*((S1355)*(V1355)-(U1355)*(T1355))+(LTP3!$D$6)*((S1355)*(R1355)-(P1355)*(T1355)))/W1355,0)</f>
        <v/>
      </c>
      <c r="AA1355">
        <f>LTP3!$D$7-X1355*LTP3!$D$6-Y1355*U1355-Z1355*V1355</f>
        <v/>
      </c>
      <c r="AB1355">
        <f>IF(AND(F1355,ABS(W1355)&gt;1E-12,Y1355&gt;0,Z1355&gt;0),AA1355,1E+300)</f>
        <v/>
      </c>
    </row>
    <row r="1356">
      <c r="A1356">
        <f>$B$3+$B$5*22</f>
        <v/>
      </c>
      <c r="B1356">
        <f>$B$3+$B$5*2</f>
        <v/>
      </c>
      <c r="C1356">
        <f>SUMPRODUCT(Calc!$K$3:$K$22*(Calc!$G$3:$G$22&lt;=A1356))</f>
        <v/>
      </c>
      <c r="D1356">
        <f>SUMPRODUCT(Calc!$K$3:$K$22*(Calc!$G$3:$G$22&gt;A1356)*(Calc!$G$3:$G$22&lt;B1356))</f>
        <v/>
      </c>
      <c r="E1356">
        <f>SUMPRODUCT(Calc!$K$3:$K$22*(Calc!$G$3:$G$22&gt;=B1356))</f>
        <v/>
      </c>
      <c r="F1356">
        <f>AND(k_n&gt;=5,B1356&gt;A1356+1E-9,C1356&gt;=2,D1356&gt;=1,E1356&gt;=2)</f>
        <v/>
      </c>
      <c r="G1356">
        <f>SUMPRODUCT(Calc!$K$3:$K$22*(Calc!$G$3:$G$22&gt;A1356)*(Calc!$G$3:$G$22-A1356))</f>
        <v/>
      </c>
      <c r="H1356">
        <f>SUMPRODUCT(Calc!$K$3:$K$22*(Calc!$G$3:$G$22&gt;B1356)*(Calc!$G$3:$G$22-B1356))</f>
        <v/>
      </c>
      <c r="I1356">
        <f>SUMPRODUCT(Calc!$K$3:$K$22*(Calc!$G$3:$G$22&gt;A1356)*(Calc!$G$3:$G$22-A1356)^2)</f>
        <v/>
      </c>
      <c r="J1356">
        <f>SUMPRODUCT(Calc!$K$3:$K$22*(Calc!$G$3:$G$22&gt;B1356)*(Calc!$G$3:$G$22-B1356)^2)</f>
        <v/>
      </c>
      <c r="K1356">
        <f>SUMPRODUCT(Calc!$K$3:$K$22*(Calc!$G$3:$G$22&gt;A1356)*(Calc!$G$3:$G$22-A1356)*(Calc!$G$3:$G$22&gt;B1356)*(Calc!$G$3:$G$22-B1356))</f>
        <v/>
      </c>
      <c r="L1356">
        <f>SUMPRODUCT(Calc!$K$3:$K$22*(Calc!$G$3:$G$22&gt;A1356)*(Calc!$G$3:$G$22-A1356)*Calc!$G$3:$G$22)</f>
        <v/>
      </c>
      <c r="M1356">
        <f>SUMPRODUCT(Calc!$K$3:$K$22*(Calc!$G$3:$G$22&gt;B1356)*(Calc!$G$3:$G$22-B1356)*Calc!$G$3:$G$22)</f>
        <v/>
      </c>
      <c r="N1356">
        <f>SUMPRODUCT(Calc!$K$3:$K$22*(Calc!$G$3:$G$22&gt;A1356)*(Calc!$G$3:$G$22-A1356)*Calc!$I$3:$I$22)</f>
        <v/>
      </c>
      <c r="O1356">
        <f>SUMPRODUCT(Calc!$K$3:$K$22*(Calc!$G$3:$G$22&gt;B1356)*(Calc!$G$3:$G$22-B1356)*Calc!$I$3:$I$22)</f>
        <v/>
      </c>
      <c r="P1356">
        <f>I1356-G1356^2/k_n</f>
        <v/>
      </c>
      <c r="Q1356">
        <f>J1356-H1356^2/k_n</f>
        <v/>
      </c>
      <c r="R1356">
        <f>K1356-G1356*H1356/k_n</f>
        <v/>
      </c>
      <c r="S1356">
        <f>L1356-LTP3!$D$3*G1356/k_n</f>
        <v/>
      </c>
      <c r="T1356">
        <f>M1356-LTP3!$D$3*H1356/k_n</f>
        <v/>
      </c>
      <c r="U1356">
        <f>N1356-G1356*LTP3!$D$4/k_n</f>
        <v/>
      </c>
      <c r="V1356">
        <f>O1356-H1356*LTP3!$D$4/k_n</f>
        <v/>
      </c>
      <c r="W1356">
        <f>((LTP3!$D$5)*((P1356)*(Q1356)-(R1356)*(R1356))-(S1356)*((S1356)*(Q1356)-(R1356)*(T1356))+(T1356)*((S1356)*(R1356)-(P1356)*(T1356)))</f>
        <v/>
      </c>
      <c r="X1356">
        <f>IF(ABS(W1356)&gt;1E-12,((LTP3!$D$6)*((P1356)*(Q1356)-(R1356)*(R1356))-(S1356)*((U1356)*(Q1356)-(R1356)*(V1356))+(T1356)*((U1356)*(R1356)-(P1356)*(V1356)))/W1356,0)</f>
        <v/>
      </c>
      <c r="Y1356">
        <f>IF(ABS(W1356)&gt;1E-12,((LTP3!$D$5)*((U1356)*(Q1356)-(R1356)*(V1356))-(LTP3!$D$6)*((S1356)*(Q1356)-(R1356)*(T1356))+(T1356)*((S1356)*(V1356)-(U1356)*(T1356)))/W1356,0)</f>
        <v/>
      </c>
      <c r="Z1356">
        <f>IF(ABS(W1356)&gt;1E-12,((LTP3!$D$5)*((P1356)*(V1356)-(U1356)*(R1356))-(S1356)*((S1356)*(V1356)-(U1356)*(T1356))+(LTP3!$D$6)*((S1356)*(R1356)-(P1356)*(T1356)))/W1356,0)</f>
        <v/>
      </c>
      <c r="AA1356">
        <f>LTP3!$D$7-X1356*LTP3!$D$6-Y1356*U1356-Z1356*V1356</f>
        <v/>
      </c>
      <c r="AB1356">
        <f>IF(AND(F1356,ABS(W1356)&gt;1E-12,Y1356&gt;0,Z1356&gt;0),AA1356,1E+300)</f>
        <v/>
      </c>
    </row>
    <row r="1357">
      <c r="A1357">
        <f>$B$3+$B$5*22</f>
        <v/>
      </c>
      <c r="B1357">
        <f>$B$3+$B$5*3</f>
        <v/>
      </c>
      <c r="C1357">
        <f>SUMPRODUCT(Calc!$K$3:$K$22*(Calc!$G$3:$G$22&lt;=A1357))</f>
        <v/>
      </c>
      <c r="D1357">
        <f>SUMPRODUCT(Calc!$K$3:$K$22*(Calc!$G$3:$G$22&gt;A1357)*(Calc!$G$3:$G$22&lt;B1357))</f>
        <v/>
      </c>
      <c r="E1357">
        <f>SUMPRODUCT(Calc!$K$3:$K$22*(Calc!$G$3:$G$22&gt;=B1357))</f>
        <v/>
      </c>
      <c r="F1357">
        <f>AND(k_n&gt;=5,B1357&gt;A1357+1E-9,C1357&gt;=2,D1357&gt;=1,E1357&gt;=2)</f>
        <v/>
      </c>
      <c r="G1357">
        <f>SUMPRODUCT(Calc!$K$3:$K$22*(Calc!$G$3:$G$22&gt;A1357)*(Calc!$G$3:$G$22-A1357))</f>
        <v/>
      </c>
      <c r="H1357">
        <f>SUMPRODUCT(Calc!$K$3:$K$22*(Calc!$G$3:$G$22&gt;B1357)*(Calc!$G$3:$G$22-B1357))</f>
        <v/>
      </c>
      <c r="I1357">
        <f>SUMPRODUCT(Calc!$K$3:$K$22*(Calc!$G$3:$G$22&gt;A1357)*(Calc!$G$3:$G$22-A1357)^2)</f>
        <v/>
      </c>
      <c r="J1357">
        <f>SUMPRODUCT(Calc!$K$3:$K$22*(Calc!$G$3:$G$22&gt;B1357)*(Calc!$G$3:$G$22-B1357)^2)</f>
        <v/>
      </c>
      <c r="K1357">
        <f>SUMPRODUCT(Calc!$K$3:$K$22*(Calc!$G$3:$G$22&gt;A1357)*(Calc!$G$3:$G$22-A1357)*(Calc!$G$3:$G$22&gt;B1357)*(Calc!$G$3:$G$22-B1357))</f>
        <v/>
      </c>
      <c r="L1357">
        <f>SUMPRODUCT(Calc!$K$3:$K$22*(Calc!$G$3:$G$22&gt;A1357)*(Calc!$G$3:$G$22-A1357)*Calc!$G$3:$G$22)</f>
        <v/>
      </c>
      <c r="M1357">
        <f>SUMPRODUCT(Calc!$K$3:$K$22*(Calc!$G$3:$G$22&gt;B1357)*(Calc!$G$3:$G$22-B1357)*Calc!$G$3:$G$22)</f>
        <v/>
      </c>
      <c r="N1357">
        <f>SUMPRODUCT(Calc!$K$3:$K$22*(Calc!$G$3:$G$22&gt;A1357)*(Calc!$G$3:$G$22-A1357)*Calc!$I$3:$I$22)</f>
        <v/>
      </c>
      <c r="O1357">
        <f>SUMPRODUCT(Calc!$K$3:$K$22*(Calc!$G$3:$G$22&gt;B1357)*(Calc!$G$3:$G$22-B1357)*Calc!$I$3:$I$22)</f>
        <v/>
      </c>
      <c r="P1357">
        <f>I1357-G1357^2/k_n</f>
        <v/>
      </c>
      <c r="Q1357">
        <f>J1357-H1357^2/k_n</f>
        <v/>
      </c>
      <c r="R1357">
        <f>K1357-G1357*H1357/k_n</f>
        <v/>
      </c>
      <c r="S1357">
        <f>L1357-LTP3!$D$3*G1357/k_n</f>
        <v/>
      </c>
      <c r="T1357">
        <f>M1357-LTP3!$D$3*H1357/k_n</f>
        <v/>
      </c>
      <c r="U1357">
        <f>N1357-G1357*LTP3!$D$4/k_n</f>
        <v/>
      </c>
      <c r="V1357">
        <f>O1357-H1357*LTP3!$D$4/k_n</f>
        <v/>
      </c>
      <c r="W1357">
        <f>((LTP3!$D$5)*((P1357)*(Q1357)-(R1357)*(R1357))-(S1357)*((S1357)*(Q1357)-(R1357)*(T1357))+(T1357)*((S1357)*(R1357)-(P1357)*(T1357)))</f>
        <v/>
      </c>
      <c r="X1357">
        <f>IF(ABS(W1357)&gt;1E-12,((LTP3!$D$6)*((P1357)*(Q1357)-(R1357)*(R1357))-(S1357)*((U1357)*(Q1357)-(R1357)*(V1357))+(T1357)*((U1357)*(R1357)-(P1357)*(V1357)))/W1357,0)</f>
        <v/>
      </c>
      <c r="Y1357">
        <f>IF(ABS(W1357)&gt;1E-12,((LTP3!$D$5)*((U1357)*(Q1357)-(R1357)*(V1357))-(LTP3!$D$6)*((S1357)*(Q1357)-(R1357)*(T1357))+(T1357)*((S1357)*(V1357)-(U1357)*(T1357)))/W1357,0)</f>
        <v/>
      </c>
      <c r="Z1357">
        <f>IF(ABS(W1357)&gt;1E-12,((LTP3!$D$5)*((P1357)*(V1357)-(U1357)*(R1357))-(S1357)*((S1357)*(V1357)-(U1357)*(T1357))+(LTP3!$D$6)*((S1357)*(R1357)-(P1357)*(T1357)))/W1357,0)</f>
        <v/>
      </c>
      <c r="AA1357">
        <f>LTP3!$D$7-X1357*LTP3!$D$6-Y1357*U1357-Z1357*V1357</f>
        <v/>
      </c>
      <c r="AB1357">
        <f>IF(AND(F1357,ABS(W1357)&gt;1E-12,Y1357&gt;0,Z1357&gt;0),AA1357,1E+300)</f>
        <v/>
      </c>
    </row>
    <row r="1358">
      <c r="A1358">
        <f>$B$3+$B$5*22</f>
        <v/>
      </c>
      <c r="B1358">
        <f>$B$3+$B$5*4</f>
        <v/>
      </c>
      <c r="C1358">
        <f>SUMPRODUCT(Calc!$K$3:$K$22*(Calc!$G$3:$G$22&lt;=A1358))</f>
        <v/>
      </c>
      <c r="D1358">
        <f>SUMPRODUCT(Calc!$K$3:$K$22*(Calc!$G$3:$G$22&gt;A1358)*(Calc!$G$3:$G$22&lt;B1358))</f>
        <v/>
      </c>
      <c r="E1358">
        <f>SUMPRODUCT(Calc!$K$3:$K$22*(Calc!$G$3:$G$22&gt;=B1358))</f>
        <v/>
      </c>
      <c r="F1358">
        <f>AND(k_n&gt;=5,B1358&gt;A1358+1E-9,C1358&gt;=2,D1358&gt;=1,E1358&gt;=2)</f>
        <v/>
      </c>
      <c r="G1358">
        <f>SUMPRODUCT(Calc!$K$3:$K$22*(Calc!$G$3:$G$22&gt;A1358)*(Calc!$G$3:$G$22-A1358))</f>
        <v/>
      </c>
      <c r="H1358">
        <f>SUMPRODUCT(Calc!$K$3:$K$22*(Calc!$G$3:$G$22&gt;B1358)*(Calc!$G$3:$G$22-B1358))</f>
        <v/>
      </c>
      <c r="I1358">
        <f>SUMPRODUCT(Calc!$K$3:$K$22*(Calc!$G$3:$G$22&gt;A1358)*(Calc!$G$3:$G$22-A1358)^2)</f>
        <v/>
      </c>
      <c r="J1358">
        <f>SUMPRODUCT(Calc!$K$3:$K$22*(Calc!$G$3:$G$22&gt;B1358)*(Calc!$G$3:$G$22-B1358)^2)</f>
        <v/>
      </c>
      <c r="K1358">
        <f>SUMPRODUCT(Calc!$K$3:$K$22*(Calc!$G$3:$G$22&gt;A1358)*(Calc!$G$3:$G$22-A1358)*(Calc!$G$3:$G$22&gt;B1358)*(Calc!$G$3:$G$22-B1358))</f>
        <v/>
      </c>
      <c r="L1358">
        <f>SUMPRODUCT(Calc!$K$3:$K$22*(Calc!$G$3:$G$22&gt;A1358)*(Calc!$G$3:$G$22-A1358)*Calc!$G$3:$G$22)</f>
        <v/>
      </c>
      <c r="M1358">
        <f>SUMPRODUCT(Calc!$K$3:$K$22*(Calc!$G$3:$G$22&gt;B1358)*(Calc!$G$3:$G$22-B1358)*Calc!$G$3:$G$22)</f>
        <v/>
      </c>
      <c r="N1358">
        <f>SUMPRODUCT(Calc!$K$3:$K$22*(Calc!$G$3:$G$22&gt;A1358)*(Calc!$G$3:$G$22-A1358)*Calc!$I$3:$I$22)</f>
        <v/>
      </c>
      <c r="O1358">
        <f>SUMPRODUCT(Calc!$K$3:$K$22*(Calc!$G$3:$G$22&gt;B1358)*(Calc!$G$3:$G$22-B1358)*Calc!$I$3:$I$22)</f>
        <v/>
      </c>
      <c r="P1358">
        <f>I1358-G1358^2/k_n</f>
        <v/>
      </c>
      <c r="Q1358">
        <f>J1358-H1358^2/k_n</f>
        <v/>
      </c>
      <c r="R1358">
        <f>K1358-G1358*H1358/k_n</f>
        <v/>
      </c>
      <c r="S1358">
        <f>L1358-LTP3!$D$3*G1358/k_n</f>
        <v/>
      </c>
      <c r="T1358">
        <f>M1358-LTP3!$D$3*H1358/k_n</f>
        <v/>
      </c>
      <c r="U1358">
        <f>N1358-G1358*LTP3!$D$4/k_n</f>
        <v/>
      </c>
      <c r="V1358">
        <f>O1358-H1358*LTP3!$D$4/k_n</f>
        <v/>
      </c>
      <c r="W1358">
        <f>((LTP3!$D$5)*((P1358)*(Q1358)-(R1358)*(R1358))-(S1358)*((S1358)*(Q1358)-(R1358)*(T1358))+(T1358)*((S1358)*(R1358)-(P1358)*(T1358)))</f>
        <v/>
      </c>
      <c r="X1358">
        <f>IF(ABS(W1358)&gt;1E-12,((LTP3!$D$6)*((P1358)*(Q1358)-(R1358)*(R1358))-(S1358)*((U1358)*(Q1358)-(R1358)*(V1358))+(T1358)*((U1358)*(R1358)-(P1358)*(V1358)))/W1358,0)</f>
        <v/>
      </c>
      <c r="Y1358">
        <f>IF(ABS(W1358)&gt;1E-12,((LTP3!$D$5)*((U1358)*(Q1358)-(R1358)*(V1358))-(LTP3!$D$6)*((S1358)*(Q1358)-(R1358)*(T1358))+(T1358)*((S1358)*(V1358)-(U1358)*(T1358)))/W1358,0)</f>
        <v/>
      </c>
      <c r="Z1358">
        <f>IF(ABS(W1358)&gt;1E-12,((LTP3!$D$5)*((P1358)*(V1358)-(U1358)*(R1358))-(S1358)*((S1358)*(V1358)-(U1358)*(T1358))+(LTP3!$D$6)*((S1358)*(R1358)-(P1358)*(T1358)))/W1358,0)</f>
        <v/>
      </c>
      <c r="AA1358">
        <f>LTP3!$D$7-X1358*LTP3!$D$6-Y1358*U1358-Z1358*V1358</f>
        <v/>
      </c>
      <c r="AB1358">
        <f>IF(AND(F1358,ABS(W1358)&gt;1E-12,Y1358&gt;0,Z1358&gt;0),AA1358,1E+300)</f>
        <v/>
      </c>
    </row>
    <row r="1359">
      <c r="A1359">
        <f>$B$3+$B$5*22</f>
        <v/>
      </c>
      <c r="B1359">
        <f>$B$3+$B$5*5</f>
        <v/>
      </c>
      <c r="C1359">
        <f>SUMPRODUCT(Calc!$K$3:$K$22*(Calc!$G$3:$G$22&lt;=A1359))</f>
        <v/>
      </c>
      <c r="D1359">
        <f>SUMPRODUCT(Calc!$K$3:$K$22*(Calc!$G$3:$G$22&gt;A1359)*(Calc!$G$3:$G$22&lt;B1359))</f>
        <v/>
      </c>
      <c r="E1359">
        <f>SUMPRODUCT(Calc!$K$3:$K$22*(Calc!$G$3:$G$22&gt;=B1359))</f>
        <v/>
      </c>
      <c r="F1359">
        <f>AND(k_n&gt;=5,B1359&gt;A1359+1E-9,C1359&gt;=2,D1359&gt;=1,E1359&gt;=2)</f>
        <v/>
      </c>
      <c r="G1359">
        <f>SUMPRODUCT(Calc!$K$3:$K$22*(Calc!$G$3:$G$22&gt;A1359)*(Calc!$G$3:$G$22-A1359))</f>
        <v/>
      </c>
      <c r="H1359">
        <f>SUMPRODUCT(Calc!$K$3:$K$22*(Calc!$G$3:$G$22&gt;B1359)*(Calc!$G$3:$G$22-B1359))</f>
        <v/>
      </c>
      <c r="I1359">
        <f>SUMPRODUCT(Calc!$K$3:$K$22*(Calc!$G$3:$G$22&gt;A1359)*(Calc!$G$3:$G$22-A1359)^2)</f>
        <v/>
      </c>
      <c r="J1359">
        <f>SUMPRODUCT(Calc!$K$3:$K$22*(Calc!$G$3:$G$22&gt;B1359)*(Calc!$G$3:$G$22-B1359)^2)</f>
        <v/>
      </c>
      <c r="K1359">
        <f>SUMPRODUCT(Calc!$K$3:$K$22*(Calc!$G$3:$G$22&gt;A1359)*(Calc!$G$3:$G$22-A1359)*(Calc!$G$3:$G$22&gt;B1359)*(Calc!$G$3:$G$22-B1359))</f>
        <v/>
      </c>
      <c r="L1359">
        <f>SUMPRODUCT(Calc!$K$3:$K$22*(Calc!$G$3:$G$22&gt;A1359)*(Calc!$G$3:$G$22-A1359)*Calc!$G$3:$G$22)</f>
        <v/>
      </c>
      <c r="M1359">
        <f>SUMPRODUCT(Calc!$K$3:$K$22*(Calc!$G$3:$G$22&gt;B1359)*(Calc!$G$3:$G$22-B1359)*Calc!$G$3:$G$22)</f>
        <v/>
      </c>
      <c r="N1359">
        <f>SUMPRODUCT(Calc!$K$3:$K$22*(Calc!$G$3:$G$22&gt;A1359)*(Calc!$G$3:$G$22-A1359)*Calc!$I$3:$I$22)</f>
        <v/>
      </c>
      <c r="O1359">
        <f>SUMPRODUCT(Calc!$K$3:$K$22*(Calc!$G$3:$G$22&gt;B1359)*(Calc!$G$3:$G$22-B1359)*Calc!$I$3:$I$22)</f>
        <v/>
      </c>
      <c r="P1359">
        <f>I1359-G1359^2/k_n</f>
        <v/>
      </c>
      <c r="Q1359">
        <f>J1359-H1359^2/k_n</f>
        <v/>
      </c>
      <c r="R1359">
        <f>K1359-G1359*H1359/k_n</f>
        <v/>
      </c>
      <c r="S1359">
        <f>L1359-LTP3!$D$3*G1359/k_n</f>
        <v/>
      </c>
      <c r="T1359">
        <f>M1359-LTP3!$D$3*H1359/k_n</f>
        <v/>
      </c>
      <c r="U1359">
        <f>N1359-G1359*LTP3!$D$4/k_n</f>
        <v/>
      </c>
      <c r="V1359">
        <f>O1359-H1359*LTP3!$D$4/k_n</f>
        <v/>
      </c>
      <c r="W1359">
        <f>((LTP3!$D$5)*((P1359)*(Q1359)-(R1359)*(R1359))-(S1359)*((S1359)*(Q1359)-(R1359)*(T1359))+(T1359)*((S1359)*(R1359)-(P1359)*(T1359)))</f>
        <v/>
      </c>
      <c r="X1359">
        <f>IF(ABS(W1359)&gt;1E-12,((LTP3!$D$6)*((P1359)*(Q1359)-(R1359)*(R1359))-(S1359)*((U1359)*(Q1359)-(R1359)*(V1359))+(T1359)*((U1359)*(R1359)-(P1359)*(V1359)))/W1359,0)</f>
        <v/>
      </c>
      <c r="Y1359">
        <f>IF(ABS(W1359)&gt;1E-12,((LTP3!$D$5)*((U1359)*(Q1359)-(R1359)*(V1359))-(LTP3!$D$6)*((S1359)*(Q1359)-(R1359)*(T1359))+(T1359)*((S1359)*(V1359)-(U1359)*(T1359)))/W1359,0)</f>
        <v/>
      </c>
      <c r="Z1359">
        <f>IF(ABS(W1359)&gt;1E-12,((LTP3!$D$5)*((P1359)*(V1359)-(U1359)*(R1359))-(S1359)*((S1359)*(V1359)-(U1359)*(T1359))+(LTP3!$D$6)*((S1359)*(R1359)-(P1359)*(T1359)))/W1359,0)</f>
        <v/>
      </c>
      <c r="AA1359">
        <f>LTP3!$D$7-X1359*LTP3!$D$6-Y1359*U1359-Z1359*V1359</f>
        <v/>
      </c>
      <c r="AB1359">
        <f>IF(AND(F1359,ABS(W1359)&gt;1E-12,Y1359&gt;0,Z1359&gt;0),AA1359,1E+300)</f>
        <v/>
      </c>
    </row>
    <row r="1360">
      <c r="A1360">
        <f>$B$3+$B$5*22</f>
        <v/>
      </c>
      <c r="B1360">
        <f>$B$3+$B$5*6</f>
        <v/>
      </c>
      <c r="C1360">
        <f>SUMPRODUCT(Calc!$K$3:$K$22*(Calc!$G$3:$G$22&lt;=A1360))</f>
        <v/>
      </c>
      <c r="D1360">
        <f>SUMPRODUCT(Calc!$K$3:$K$22*(Calc!$G$3:$G$22&gt;A1360)*(Calc!$G$3:$G$22&lt;B1360))</f>
        <v/>
      </c>
      <c r="E1360">
        <f>SUMPRODUCT(Calc!$K$3:$K$22*(Calc!$G$3:$G$22&gt;=B1360))</f>
        <v/>
      </c>
      <c r="F1360">
        <f>AND(k_n&gt;=5,B1360&gt;A1360+1E-9,C1360&gt;=2,D1360&gt;=1,E1360&gt;=2)</f>
        <v/>
      </c>
      <c r="G1360">
        <f>SUMPRODUCT(Calc!$K$3:$K$22*(Calc!$G$3:$G$22&gt;A1360)*(Calc!$G$3:$G$22-A1360))</f>
        <v/>
      </c>
      <c r="H1360">
        <f>SUMPRODUCT(Calc!$K$3:$K$22*(Calc!$G$3:$G$22&gt;B1360)*(Calc!$G$3:$G$22-B1360))</f>
        <v/>
      </c>
      <c r="I1360">
        <f>SUMPRODUCT(Calc!$K$3:$K$22*(Calc!$G$3:$G$22&gt;A1360)*(Calc!$G$3:$G$22-A1360)^2)</f>
        <v/>
      </c>
      <c r="J1360">
        <f>SUMPRODUCT(Calc!$K$3:$K$22*(Calc!$G$3:$G$22&gt;B1360)*(Calc!$G$3:$G$22-B1360)^2)</f>
        <v/>
      </c>
      <c r="K1360">
        <f>SUMPRODUCT(Calc!$K$3:$K$22*(Calc!$G$3:$G$22&gt;A1360)*(Calc!$G$3:$G$22-A1360)*(Calc!$G$3:$G$22&gt;B1360)*(Calc!$G$3:$G$22-B1360))</f>
        <v/>
      </c>
      <c r="L1360">
        <f>SUMPRODUCT(Calc!$K$3:$K$22*(Calc!$G$3:$G$22&gt;A1360)*(Calc!$G$3:$G$22-A1360)*Calc!$G$3:$G$22)</f>
        <v/>
      </c>
      <c r="M1360">
        <f>SUMPRODUCT(Calc!$K$3:$K$22*(Calc!$G$3:$G$22&gt;B1360)*(Calc!$G$3:$G$22-B1360)*Calc!$G$3:$G$22)</f>
        <v/>
      </c>
      <c r="N1360">
        <f>SUMPRODUCT(Calc!$K$3:$K$22*(Calc!$G$3:$G$22&gt;A1360)*(Calc!$G$3:$G$22-A1360)*Calc!$I$3:$I$22)</f>
        <v/>
      </c>
      <c r="O1360">
        <f>SUMPRODUCT(Calc!$K$3:$K$22*(Calc!$G$3:$G$22&gt;B1360)*(Calc!$G$3:$G$22-B1360)*Calc!$I$3:$I$22)</f>
        <v/>
      </c>
      <c r="P1360">
        <f>I1360-G1360^2/k_n</f>
        <v/>
      </c>
      <c r="Q1360">
        <f>J1360-H1360^2/k_n</f>
        <v/>
      </c>
      <c r="R1360">
        <f>K1360-G1360*H1360/k_n</f>
        <v/>
      </c>
      <c r="S1360">
        <f>L1360-LTP3!$D$3*G1360/k_n</f>
        <v/>
      </c>
      <c r="T1360">
        <f>M1360-LTP3!$D$3*H1360/k_n</f>
        <v/>
      </c>
      <c r="U1360">
        <f>N1360-G1360*LTP3!$D$4/k_n</f>
        <v/>
      </c>
      <c r="V1360">
        <f>O1360-H1360*LTP3!$D$4/k_n</f>
        <v/>
      </c>
      <c r="W1360">
        <f>((LTP3!$D$5)*((P1360)*(Q1360)-(R1360)*(R1360))-(S1360)*((S1360)*(Q1360)-(R1360)*(T1360))+(T1360)*((S1360)*(R1360)-(P1360)*(T1360)))</f>
        <v/>
      </c>
      <c r="X1360">
        <f>IF(ABS(W1360)&gt;1E-12,((LTP3!$D$6)*((P1360)*(Q1360)-(R1360)*(R1360))-(S1360)*((U1360)*(Q1360)-(R1360)*(V1360))+(T1360)*((U1360)*(R1360)-(P1360)*(V1360)))/W1360,0)</f>
        <v/>
      </c>
      <c r="Y1360">
        <f>IF(ABS(W1360)&gt;1E-12,((LTP3!$D$5)*((U1360)*(Q1360)-(R1360)*(V1360))-(LTP3!$D$6)*((S1360)*(Q1360)-(R1360)*(T1360))+(T1360)*((S1360)*(V1360)-(U1360)*(T1360)))/W1360,0)</f>
        <v/>
      </c>
      <c r="Z1360">
        <f>IF(ABS(W1360)&gt;1E-12,((LTP3!$D$5)*((P1360)*(V1360)-(U1360)*(R1360))-(S1360)*((S1360)*(V1360)-(U1360)*(T1360))+(LTP3!$D$6)*((S1360)*(R1360)-(P1360)*(T1360)))/W1360,0)</f>
        <v/>
      </c>
      <c r="AA1360">
        <f>LTP3!$D$7-X1360*LTP3!$D$6-Y1360*U1360-Z1360*V1360</f>
        <v/>
      </c>
      <c r="AB1360">
        <f>IF(AND(F1360,ABS(W1360)&gt;1E-12,Y1360&gt;0,Z1360&gt;0),AA1360,1E+300)</f>
        <v/>
      </c>
    </row>
    <row r="1361">
      <c r="A1361">
        <f>$B$3+$B$5*22</f>
        <v/>
      </c>
      <c r="B1361">
        <f>$B$3+$B$5*7</f>
        <v/>
      </c>
      <c r="C1361">
        <f>SUMPRODUCT(Calc!$K$3:$K$22*(Calc!$G$3:$G$22&lt;=A1361))</f>
        <v/>
      </c>
      <c r="D1361">
        <f>SUMPRODUCT(Calc!$K$3:$K$22*(Calc!$G$3:$G$22&gt;A1361)*(Calc!$G$3:$G$22&lt;B1361))</f>
        <v/>
      </c>
      <c r="E1361">
        <f>SUMPRODUCT(Calc!$K$3:$K$22*(Calc!$G$3:$G$22&gt;=B1361))</f>
        <v/>
      </c>
      <c r="F1361">
        <f>AND(k_n&gt;=5,B1361&gt;A1361+1E-9,C1361&gt;=2,D1361&gt;=1,E1361&gt;=2)</f>
        <v/>
      </c>
      <c r="G1361">
        <f>SUMPRODUCT(Calc!$K$3:$K$22*(Calc!$G$3:$G$22&gt;A1361)*(Calc!$G$3:$G$22-A1361))</f>
        <v/>
      </c>
      <c r="H1361">
        <f>SUMPRODUCT(Calc!$K$3:$K$22*(Calc!$G$3:$G$22&gt;B1361)*(Calc!$G$3:$G$22-B1361))</f>
        <v/>
      </c>
      <c r="I1361">
        <f>SUMPRODUCT(Calc!$K$3:$K$22*(Calc!$G$3:$G$22&gt;A1361)*(Calc!$G$3:$G$22-A1361)^2)</f>
        <v/>
      </c>
      <c r="J1361">
        <f>SUMPRODUCT(Calc!$K$3:$K$22*(Calc!$G$3:$G$22&gt;B1361)*(Calc!$G$3:$G$22-B1361)^2)</f>
        <v/>
      </c>
      <c r="K1361">
        <f>SUMPRODUCT(Calc!$K$3:$K$22*(Calc!$G$3:$G$22&gt;A1361)*(Calc!$G$3:$G$22-A1361)*(Calc!$G$3:$G$22&gt;B1361)*(Calc!$G$3:$G$22-B1361))</f>
        <v/>
      </c>
      <c r="L1361">
        <f>SUMPRODUCT(Calc!$K$3:$K$22*(Calc!$G$3:$G$22&gt;A1361)*(Calc!$G$3:$G$22-A1361)*Calc!$G$3:$G$22)</f>
        <v/>
      </c>
      <c r="M1361">
        <f>SUMPRODUCT(Calc!$K$3:$K$22*(Calc!$G$3:$G$22&gt;B1361)*(Calc!$G$3:$G$22-B1361)*Calc!$G$3:$G$22)</f>
        <v/>
      </c>
      <c r="N1361">
        <f>SUMPRODUCT(Calc!$K$3:$K$22*(Calc!$G$3:$G$22&gt;A1361)*(Calc!$G$3:$G$22-A1361)*Calc!$I$3:$I$22)</f>
        <v/>
      </c>
      <c r="O1361">
        <f>SUMPRODUCT(Calc!$K$3:$K$22*(Calc!$G$3:$G$22&gt;B1361)*(Calc!$G$3:$G$22-B1361)*Calc!$I$3:$I$22)</f>
        <v/>
      </c>
      <c r="P1361">
        <f>I1361-G1361^2/k_n</f>
        <v/>
      </c>
      <c r="Q1361">
        <f>J1361-H1361^2/k_n</f>
        <v/>
      </c>
      <c r="R1361">
        <f>K1361-G1361*H1361/k_n</f>
        <v/>
      </c>
      <c r="S1361">
        <f>L1361-LTP3!$D$3*G1361/k_n</f>
        <v/>
      </c>
      <c r="T1361">
        <f>M1361-LTP3!$D$3*H1361/k_n</f>
        <v/>
      </c>
      <c r="U1361">
        <f>N1361-G1361*LTP3!$D$4/k_n</f>
        <v/>
      </c>
      <c r="V1361">
        <f>O1361-H1361*LTP3!$D$4/k_n</f>
        <v/>
      </c>
      <c r="W1361">
        <f>((LTP3!$D$5)*((P1361)*(Q1361)-(R1361)*(R1361))-(S1361)*((S1361)*(Q1361)-(R1361)*(T1361))+(T1361)*((S1361)*(R1361)-(P1361)*(T1361)))</f>
        <v/>
      </c>
      <c r="X1361">
        <f>IF(ABS(W1361)&gt;1E-12,((LTP3!$D$6)*((P1361)*(Q1361)-(R1361)*(R1361))-(S1361)*((U1361)*(Q1361)-(R1361)*(V1361))+(T1361)*((U1361)*(R1361)-(P1361)*(V1361)))/W1361,0)</f>
        <v/>
      </c>
      <c r="Y1361">
        <f>IF(ABS(W1361)&gt;1E-12,((LTP3!$D$5)*((U1361)*(Q1361)-(R1361)*(V1361))-(LTP3!$D$6)*((S1361)*(Q1361)-(R1361)*(T1361))+(T1361)*((S1361)*(V1361)-(U1361)*(T1361)))/W1361,0)</f>
        <v/>
      </c>
      <c r="Z1361">
        <f>IF(ABS(W1361)&gt;1E-12,((LTP3!$D$5)*((P1361)*(V1361)-(U1361)*(R1361))-(S1361)*((S1361)*(V1361)-(U1361)*(T1361))+(LTP3!$D$6)*((S1361)*(R1361)-(P1361)*(T1361)))/W1361,0)</f>
        <v/>
      </c>
      <c r="AA1361">
        <f>LTP3!$D$7-X1361*LTP3!$D$6-Y1361*U1361-Z1361*V1361</f>
        <v/>
      </c>
      <c r="AB1361">
        <f>IF(AND(F1361,ABS(W1361)&gt;1E-12,Y1361&gt;0,Z1361&gt;0),AA1361,1E+300)</f>
        <v/>
      </c>
    </row>
    <row r="1362">
      <c r="A1362">
        <f>$B$3+$B$5*22</f>
        <v/>
      </c>
      <c r="B1362">
        <f>$B$3+$B$5*8</f>
        <v/>
      </c>
      <c r="C1362">
        <f>SUMPRODUCT(Calc!$K$3:$K$22*(Calc!$G$3:$G$22&lt;=A1362))</f>
        <v/>
      </c>
      <c r="D1362">
        <f>SUMPRODUCT(Calc!$K$3:$K$22*(Calc!$G$3:$G$22&gt;A1362)*(Calc!$G$3:$G$22&lt;B1362))</f>
        <v/>
      </c>
      <c r="E1362">
        <f>SUMPRODUCT(Calc!$K$3:$K$22*(Calc!$G$3:$G$22&gt;=B1362))</f>
        <v/>
      </c>
      <c r="F1362">
        <f>AND(k_n&gt;=5,B1362&gt;A1362+1E-9,C1362&gt;=2,D1362&gt;=1,E1362&gt;=2)</f>
        <v/>
      </c>
      <c r="G1362">
        <f>SUMPRODUCT(Calc!$K$3:$K$22*(Calc!$G$3:$G$22&gt;A1362)*(Calc!$G$3:$G$22-A1362))</f>
        <v/>
      </c>
      <c r="H1362">
        <f>SUMPRODUCT(Calc!$K$3:$K$22*(Calc!$G$3:$G$22&gt;B1362)*(Calc!$G$3:$G$22-B1362))</f>
        <v/>
      </c>
      <c r="I1362">
        <f>SUMPRODUCT(Calc!$K$3:$K$22*(Calc!$G$3:$G$22&gt;A1362)*(Calc!$G$3:$G$22-A1362)^2)</f>
        <v/>
      </c>
      <c r="J1362">
        <f>SUMPRODUCT(Calc!$K$3:$K$22*(Calc!$G$3:$G$22&gt;B1362)*(Calc!$G$3:$G$22-B1362)^2)</f>
        <v/>
      </c>
      <c r="K1362">
        <f>SUMPRODUCT(Calc!$K$3:$K$22*(Calc!$G$3:$G$22&gt;A1362)*(Calc!$G$3:$G$22-A1362)*(Calc!$G$3:$G$22&gt;B1362)*(Calc!$G$3:$G$22-B1362))</f>
        <v/>
      </c>
      <c r="L1362">
        <f>SUMPRODUCT(Calc!$K$3:$K$22*(Calc!$G$3:$G$22&gt;A1362)*(Calc!$G$3:$G$22-A1362)*Calc!$G$3:$G$22)</f>
        <v/>
      </c>
      <c r="M1362">
        <f>SUMPRODUCT(Calc!$K$3:$K$22*(Calc!$G$3:$G$22&gt;B1362)*(Calc!$G$3:$G$22-B1362)*Calc!$G$3:$G$22)</f>
        <v/>
      </c>
      <c r="N1362">
        <f>SUMPRODUCT(Calc!$K$3:$K$22*(Calc!$G$3:$G$22&gt;A1362)*(Calc!$G$3:$G$22-A1362)*Calc!$I$3:$I$22)</f>
        <v/>
      </c>
      <c r="O1362">
        <f>SUMPRODUCT(Calc!$K$3:$K$22*(Calc!$G$3:$G$22&gt;B1362)*(Calc!$G$3:$G$22-B1362)*Calc!$I$3:$I$22)</f>
        <v/>
      </c>
      <c r="P1362">
        <f>I1362-G1362^2/k_n</f>
        <v/>
      </c>
      <c r="Q1362">
        <f>J1362-H1362^2/k_n</f>
        <v/>
      </c>
      <c r="R1362">
        <f>K1362-G1362*H1362/k_n</f>
        <v/>
      </c>
      <c r="S1362">
        <f>L1362-LTP3!$D$3*G1362/k_n</f>
        <v/>
      </c>
      <c r="T1362">
        <f>M1362-LTP3!$D$3*H1362/k_n</f>
        <v/>
      </c>
      <c r="U1362">
        <f>N1362-G1362*LTP3!$D$4/k_n</f>
        <v/>
      </c>
      <c r="V1362">
        <f>O1362-H1362*LTP3!$D$4/k_n</f>
        <v/>
      </c>
      <c r="W1362">
        <f>((LTP3!$D$5)*((P1362)*(Q1362)-(R1362)*(R1362))-(S1362)*((S1362)*(Q1362)-(R1362)*(T1362))+(T1362)*((S1362)*(R1362)-(P1362)*(T1362)))</f>
        <v/>
      </c>
      <c r="X1362">
        <f>IF(ABS(W1362)&gt;1E-12,((LTP3!$D$6)*((P1362)*(Q1362)-(R1362)*(R1362))-(S1362)*((U1362)*(Q1362)-(R1362)*(V1362))+(T1362)*((U1362)*(R1362)-(P1362)*(V1362)))/W1362,0)</f>
        <v/>
      </c>
      <c r="Y1362">
        <f>IF(ABS(W1362)&gt;1E-12,((LTP3!$D$5)*((U1362)*(Q1362)-(R1362)*(V1362))-(LTP3!$D$6)*((S1362)*(Q1362)-(R1362)*(T1362))+(T1362)*((S1362)*(V1362)-(U1362)*(T1362)))/W1362,0)</f>
        <v/>
      </c>
      <c r="Z1362">
        <f>IF(ABS(W1362)&gt;1E-12,((LTP3!$D$5)*((P1362)*(V1362)-(U1362)*(R1362))-(S1362)*((S1362)*(V1362)-(U1362)*(T1362))+(LTP3!$D$6)*((S1362)*(R1362)-(P1362)*(T1362)))/W1362,0)</f>
        <v/>
      </c>
      <c r="AA1362">
        <f>LTP3!$D$7-X1362*LTP3!$D$6-Y1362*U1362-Z1362*V1362</f>
        <v/>
      </c>
      <c r="AB1362">
        <f>IF(AND(F1362,ABS(W1362)&gt;1E-12,Y1362&gt;0,Z1362&gt;0),AA1362,1E+300)</f>
        <v/>
      </c>
    </row>
    <row r="1363">
      <c r="A1363">
        <f>$B$3+$B$5*22</f>
        <v/>
      </c>
      <c r="B1363">
        <f>$B$3+$B$5*9</f>
        <v/>
      </c>
      <c r="C1363">
        <f>SUMPRODUCT(Calc!$K$3:$K$22*(Calc!$G$3:$G$22&lt;=A1363))</f>
        <v/>
      </c>
      <c r="D1363">
        <f>SUMPRODUCT(Calc!$K$3:$K$22*(Calc!$G$3:$G$22&gt;A1363)*(Calc!$G$3:$G$22&lt;B1363))</f>
        <v/>
      </c>
      <c r="E1363">
        <f>SUMPRODUCT(Calc!$K$3:$K$22*(Calc!$G$3:$G$22&gt;=B1363))</f>
        <v/>
      </c>
      <c r="F1363">
        <f>AND(k_n&gt;=5,B1363&gt;A1363+1E-9,C1363&gt;=2,D1363&gt;=1,E1363&gt;=2)</f>
        <v/>
      </c>
      <c r="G1363">
        <f>SUMPRODUCT(Calc!$K$3:$K$22*(Calc!$G$3:$G$22&gt;A1363)*(Calc!$G$3:$G$22-A1363))</f>
        <v/>
      </c>
      <c r="H1363">
        <f>SUMPRODUCT(Calc!$K$3:$K$22*(Calc!$G$3:$G$22&gt;B1363)*(Calc!$G$3:$G$22-B1363))</f>
        <v/>
      </c>
      <c r="I1363">
        <f>SUMPRODUCT(Calc!$K$3:$K$22*(Calc!$G$3:$G$22&gt;A1363)*(Calc!$G$3:$G$22-A1363)^2)</f>
        <v/>
      </c>
      <c r="J1363">
        <f>SUMPRODUCT(Calc!$K$3:$K$22*(Calc!$G$3:$G$22&gt;B1363)*(Calc!$G$3:$G$22-B1363)^2)</f>
        <v/>
      </c>
      <c r="K1363">
        <f>SUMPRODUCT(Calc!$K$3:$K$22*(Calc!$G$3:$G$22&gt;A1363)*(Calc!$G$3:$G$22-A1363)*(Calc!$G$3:$G$22&gt;B1363)*(Calc!$G$3:$G$22-B1363))</f>
        <v/>
      </c>
      <c r="L1363">
        <f>SUMPRODUCT(Calc!$K$3:$K$22*(Calc!$G$3:$G$22&gt;A1363)*(Calc!$G$3:$G$22-A1363)*Calc!$G$3:$G$22)</f>
        <v/>
      </c>
      <c r="M1363">
        <f>SUMPRODUCT(Calc!$K$3:$K$22*(Calc!$G$3:$G$22&gt;B1363)*(Calc!$G$3:$G$22-B1363)*Calc!$G$3:$G$22)</f>
        <v/>
      </c>
      <c r="N1363">
        <f>SUMPRODUCT(Calc!$K$3:$K$22*(Calc!$G$3:$G$22&gt;A1363)*(Calc!$G$3:$G$22-A1363)*Calc!$I$3:$I$22)</f>
        <v/>
      </c>
      <c r="O1363">
        <f>SUMPRODUCT(Calc!$K$3:$K$22*(Calc!$G$3:$G$22&gt;B1363)*(Calc!$G$3:$G$22-B1363)*Calc!$I$3:$I$22)</f>
        <v/>
      </c>
      <c r="P1363">
        <f>I1363-G1363^2/k_n</f>
        <v/>
      </c>
      <c r="Q1363">
        <f>J1363-H1363^2/k_n</f>
        <v/>
      </c>
      <c r="R1363">
        <f>K1363-G1363*H1363/k_n</f>
        <v/>
      </c>
      <c r="S1363">
        <f>L1363-LTP3!$D$3*G1363/k_n</f>
        <v/>
      </c>
      <c r="T1363">
        <f>M1363-LTP3!$D$3*H1363/k_n</f>
        <v/>
      </c>
      <c r="U1363">
        <f>N1363-G1363*LTP3!$D$4/k_n</f>
        <v/>
      </c>
      <c r="V1363">
        <f>O1363-H1363*LTP3!$D$4/k_n</f>
        <v/>
      </c>
      <c r="W1363">
        <f>((LTP3!$D$5)*((P1363)*(Q1363)-(R1363)*(R1363))-(S1363)*((S1363)*(Q1363)-(R1363)*(T1363))+(T1363)*((S1363)*(R1363)-(P1363)*(T1363)))</f>
        <v/>
      </c>
      <c r="X1363">
        <f>IF(ABS(W1363)&gt;1E-12,((LTP3!$D$6)*((P1363)*(Q1363)-(R1363)*(R1363))-(S1363)*((U1363)*(Q1363)-(R1363)*(V1363))+(T1363)*((U1363)*(R1363)-(P1363)*(V1363)))/W1363,0)</f>
        <v/>
      </c>
      <c r="Y1363">
        <f>IF(ABS(W1363)&gt;1E-12,((LTP3!$D$5)*((U1363)*(Q1363)-(R1363)*(V1363))-(LTP3!$D$6)*((S1363)*(Q1363)-(R1363)*(T1363))+(T1363)*((S1363)*(V1363)-(U1363)*(T1363)))/W1363,0)</f>
        <v/>
      </c>
      <c r="Z1363">
        <f>IF(ABS(W1363)&gt;1E-12,((LTP3!$D$5)*((P1363)*(V1363)-(U1363)*(R1363))-(S1363)*((S1363)*(V1363)-(U1363)*(T1363))+(LTP3!$D$6)*((S1363)*(R1363)-(P1363)*(T1363)))/W1363,0)</f>
        <v/>
      </c>
      <c r="AA1363">
        <f>LTP3!$D$7-X1363*LTP3!$D$6-Y1363*U1363-Z1363*V1363</f>
        <v/>
      </c>
      <c r="AB1363">
        <f>IF(AND(F1363,ABS(W1363)&gt;1E-12,Y1363&gt;0,Z1363&gt;0),AA1363,1E+300)</f>
        <v/>
      </c>
    </row>
    <row r="1364">
      <c r="A1364">
        <f>$B$3+$B$5*22</f>
        <v/>
      </c>
      <c r="B1364">
        <f>$B$3+$B$5*10</f>
        <v/>
      </c>
      <c r="C1364">
        <f>SUMPRODUCT(Calc!$K$3:$K$22*(Calc!$G$3:$G$22&lt;=A1364))</f>
        <v/>
      </c>
      <c r="D1364">
        <f>SUMPRODUCT(Calc!$K$3:$K$22*(Calc!$G$3:$G$22&gt;A1364)*(Calc!$G$3:$G$22&lt;B1364))</f>
        <v/>
      </c>
      <c r="E1364">
        <f>SUMPRODUCT(Calc!$K$3:$K$22*(Calc!$G$3:$G$22&gt;=B1364))</f>
        <v/>
      </c>
      <c r="F1364">
        <f>AND(k_n&gt;=5,B1364&gt;A1364+1E-9,C1364&gt;=2,D1364&gt;=1,E1364&gt;=2)</f>
        <v/>
      </c>
      <c r="G1364">
        <f>SUMPRODUCT(Calc!$K$3:$K$22*(Calc!$G$3:$G$22&gt;A1364)*(Calc!$G$3:$G$22-A1364))</f>
        <v/>
      </c>
      <c r="H1364">
        <f>SUMPRODUCT(Calc!$K$3:$K$22*(Calc!$G$3:$G$22&gt;B1364)*(Calc!$G$3:$G$22-B1364))</f>
        <v/>
      </c>
      <c r="I1364">
        <f>SUMPRODUCT(Calc!$K$3:$K$22*(Calc!$G$3:$G$22&gt;A1364)*(Calc!$G$3:$G$22-A1364)^2)</f>
        <v/>
      </c>
      <c r="J1364">
        <f>SUMPRODUCT(Calc!$K$3:$K$22*(Calc!$G$3:$G$22&gt;B1364)*(Calc!$G$3:$G$22-B1364)^2)</f>
        <v/>
      </c>
      <c r="K1364">
        <f>SUMPRODUCT(Calc!$K$3:$K$22*(Calc!$G$3:$G$22&gt;A1364)*(Calc!$G$3:$G$22-A1364)*(Calc!$G$3:$G$22&gt;B1364)*(Calc!$G$3:$G$22-B1364))</f>
        <v/>
      </c>
      <c r="L1364">
        <f>SUMPRODUCT(Calc!$K$3:$K$22*(Calc!$G$3:$G$22&gt;A1364)*(Calc!$G$3:$G$22-A1364)*Calc!$G$3:$G$22)</f>
        <v/>
      </c>
      <c r="M1364">
        <f>SUMPRODUCT(Calc!$K$3:$K$22*(Calc!$G$3:$G$22&gt;B1364)*(Calc!$G$3:$G$22-B1364)*Calc!$G$3:$G$22)</f>
        <v/>
      </c>
      <c r="N1364">
        <f>SUMPRODUCT(Calc!$K$3:$K$22*(Calc!$G$3:$G$22&gt;A1364)*(Calc!$G$3:$G$22-A1364)*Calc!$I$3:$I$22)</f>
        <v/>
      </c>
      <c r="O1364">
        <f>SUMPRODUCT(Calc!$K$3:$K$22*(Calc!$G$3:$G$22&gt;B1364)*(Calc!$G$3:$G$22-B1364)*Calc!$I$3:$I$22)</f>
        <v/>
      </c>
      <c r="P1364">
        <f>I1364-G1364^2/k_n</f>
        <v/>
      </c>
      <c r="Q1364">
        <f>J1364-H1364^2/k_n</f>
        <v/>
      </c>
      <c r="R1364">
        <f>K1364-G1364*H1364/k_n</f>
        <v/>
      </c>
      <c r="S1364">
        <f>L1364-LTP3!$D$3*G1364/k_n</f>
        <v/>
      </c>
      <c r="T1364">
        <f>M1364-LTP3!$D$3*H1364/k_n</f>
        <v/>
      </c>
      <c r="U1364">
        <f>N1364-G1364*LTP3!$D$4/k_n</f>
        <v/>
      </c>
      <c r="V1364">
        <f>O1364-H1364*LTP3!$D$4/k_n</f>
        <v/>
      </c>
      <c r="W1364">
        <f>((LTP3!$D$5)*((P1364)*(Q1364)-(R1364)*(R1364))-(S1364)*((S1364)*(Q1364)-(R1364)*(T1364))+(T1364)*((S1364)*(R1364)-(P1364)*(T1364)))</f>
        <v/>
      </c>
      <c r="X1364">
        <f>IF(ABS(W1364)&gt;1E-12,((LTP3!$D$6)*((P1364)*(Q1364)-(R1364)*(R1364))-(S1364)*((U1364)*(Q1364)-(R1364)*(V1364))+(T1364)*((U1364)*(R1364)-(P1364)*(V1364)))/W1364,0)</f>
        <v/>
      </c>
      <c r="Y1364">
        <f>IF(ABS(W1364)&gt;1E-12,((LTP3!$D$5)*((U1364)*(Q1364)-(R1364)*(V1364))-(LTP3!$D$6)*((S1364)*(Q1364)-(R1364)*(T1364))+(T1364)*((S1364)*(V1364)-(U1364)*(T1364)))/W1364,0)</f>
        <v/>
      </c>
      <c r="Z1364">
        <f>IF(ABS(W1364)&gt;1E-12,((LTP3!$D$5)*((P1364)*(V1364)-(U1364)*(R1364))-(S1364)*((S1364)*(V1364)-(U1364)*(T1364))+(LTP3!$D$6)*((S1364)*(R1364)-(P1364)*(T1364)))/W1364,0)</f>
        <v/>
      </c>
      <c r="AA1364">
        <f>LTP3!$D$7-X1364*LTP3!$D$6-Y1364*U1364-Z1364*V1364</f>
        <v/>
      </c>
      <c r="AB1364">
        <f>IF(AND(F1364,ABS(W1364)&gt;1E-12,Y1364&gt;0,Z1364&gt;0),AA1364,1E+300)</f>
        <v/>
      </c>
    </row>
    <row r="1365">
      <c r="A1365">
        <f>$B$3+$B$5*22</f>
        <v/>
      </c>
      <c r="B1365">
        <f>$B$3+$B$5*11</f>
        <v/>
      </c>
      <c r="C1365">
        <f>SUMPRODUCT(Calc!$K$3:$K$22*(Calc!$G$3:$G$22&lt;=A1365))</f>
        <v/>
      </c>
      <c r="D1365">
        <f>SUMPRODUCT(Calc!$K$3:$K$22*(Calc!$G$3:$G$22&gt;A1365)*(Calc!$G$3:$G$22&lt;B1365))</f>
        <v/>
      </c>
      <c r="E1365">
        <f>SUMPRODUCT(Calc!$K$3:$K$22*(Calc!$G$3:$G$22&gt;=B1365))</f>
        <v/>
      </c>
      <c r="F1365">
        <f>AND(k_n&gt;=5,B1365&gt;A1365+1E-9,C1365&gt;=2,D1365&gt;=1,E1365&gt;=2)</f>
        <v/>
      </c>
      <c r="G1365">
        <f>SUMPRODUCT(Calc!$K$3:$K$22*(Calc!$G$3:$G$22&gt;A1365)*(Calc!$G$3:$G$22-A1365))</f>
        <v/>
      </c>
      <c r="H1365">
        <f>SUMPRODUCT(Calc!$K$3:$K$22*(Calc!$G$3:$G$22&gt;B1365)*(Calc!$G$3:$G$22-B1365))</f>
        <v/>
      </c>
      <c r="I1365">
        <f>SUMPRODUCT(Calc!$K$3:$K$22*(Calc!$G$3:$G$22&gt;A1365)*(Calc!$G$3:$G$22-A1365)^2)</f>
        <v/>
      </c>
      <c r="J1365">
        <f>SUMPRODUCT(Calc!$K$3:$K$22*(Calc!$G$3:$G$22&gt;B1365)*(Calc!$G$3:$G$22-B1365)^2)</f>
        <v/>
      </c>
      <c r="K1365">
        <f>SUMPRODUCT(Calc!$K$3:$K$22*(Calc!$G$3:$G$22&gt;A1365)*(Calc!$G$3:$G$22-A1365)*(Calc!$G$3:$G$22&gt;B1365)*(Calc!$G$3:$G$22-B1365))</f>
        <v/>
      </c>
      <c r="L1365">
        <f>SUMPRODUCT(Calc!$K$3:$K$22*(Calc!$G$3:$G$22&gt;A1365)*(Calc!$G$3:$G$22-A1365)*Calc!$G$3:$G$22)</f>
        <v/>
      </c>
      <c r="M1365">
        <f>SUMPRODUCT(Calc!$K$3:$K$22*(Calc!$G$3:$G$22&gt;B1365)*(Calc!$G$3:$G$22-B1365)*Calc!$G$3:$G$22)</f>
        <v/>
      </c>
      <c r="N1365">
        <f>SUMPRODUCT(Calc!$K$3:$K$22*(Calc!$G$3:$G$22&gt;A1365)*(Calc!$G$3:$G$22-A1365)*Calc!$I$3:$I$22)</f>
        <v/>
      </c>
      <c r="O1365">
        <f>SUMPRODUCT(Calc!$K$3:$K$22*(Calc!$G$3:$G$22&gt;B1365)*(Calc!$G$3:$G$22-B1365)*Calc!$I$3:$I$22)</f>
        <v/>
      </c>
      <c r="P1365">
        <f>I1365-G1365^2/k_n</f>
        <v/>
      </c>
      <c r="Q1365">
        <f>J1365-H1365^2/k_n</f>
        <v/>
      </c>
      <c r="R1365">
        <f>K1365-G1365*H1365/k_n</f>
        <v/>
      </c>
      <c r="S1365">
        <f>L1365-LTP3!$D$3*G1365/k_n</f>
        <v/>
      </c>
      <c r="T1365">
        <f>M1365-LTP3!$D$3*H1365/k_n</f>
        <v/>
      </c>
      <c r="U1365">
        <f>N1365-G1365*LTP3!$D$4/k_n</f>
        <v/>
      </c>
      <c r="V1365">
        <f>O1365-H1365*LTP3!$D$4/k_n</f>
        <v/>
      </c>
      <c r="W1365">
        <f>((LTP3!$D$5)*((P1365)*(Q1365)-(R1365)*(R1365))-(S1365)*((S1365)*(Q1365)-(R1365)*(T1365))+(T1365)*((S1365)*(R1365)-(P1365)*(T1365)))</f>
        <v/>
      </c>
      <c r="X1365">
        <f>IF(ABS(W1365)&gt;1E-12,((LTP3!$D$6)*((P1365)*(Q1365)-(R1365)*(R1365))-(S1365)*((U1365)*(Q1365)-(R1365)*(V1365))+(T1365)*((U1365)*(R1365)-(P1365)*(V1365)))/W1365,0)</f>
        <v/>
      </c>
      <c r="Y1365">
        <f>IF(ABS(W1365)&gt;1E-12,((LTP3!$D$5)*((U1365)*(Q1365)-(R1365)*(V1365))-(LTP3!$D$6)*((S1365)*(Q1365)-(R1365)*(T1365))+(T1365)*((S1365)*(V1365)-(U1365)*(T1365)))/W1365,0)</f>
        <v/>
      </c>
      <c r="Z1365">
        <f>IF(ABS(W1365)&gt;1E-12,((LTP3!$D$5)*((P1365)*(V1365)-(U1365)*(R1365))-(S1365)*((S1365)*(V1365)-(U1365)*(T1365))+(LTP3!$D$6)*((S1365)*(R1365)-(P1365)*(T1365)))/W1365,0)</f>
        <v/>
      </c>
      <c r="AA1365">
        <f>LTP3!$D$7-X1365*LTP3!$D$6-Y1365*U1365-Z1365*V1365</f>
        <v/>
      </c>
      <c r="AB1365">
        <f>IF(AND(F1365,ABS(W1365)&gt;1E-12,Y1365&gt;0,Z1365&gt;0),AA1365,1E+300)</f>
        <v/>
      </c>
    </row>
    <row r="1366">
      <c r="A1366">
        <f>$B$3+$B$5*22</f>
        <v/>
      </c>
      <c r="B1366">
        <f>$B$3+$B$5*12</f>
        <v/>
      </c>
      <c r="C1366">
        <f>SUMPRODUCT(Calc!$K$3:$K$22*(Calc!$G$3:$G$22&lt;=A1366))</f>
        <v/>
      </c>
      <c r="D1366">
        <f>SUMPRODUCT(Calc!$K$3:$K$22*(Calc!$G$3:$G$22&gt;A1366)*(Calc!$G$3:$G$22&lt;B1366))</f>
        <v/>
      </c>
      <c r="E1366">
        <f>SUMPRODUCT(Calc!$K$3:$K$22*(Calc!$G$3:$G$22&gt;=B1366))</f>
        <v/>
      </c>
      <c r="F1366">
        <f>AND(k_n&gt;=5,B1366&gt;A1366+1E-9,C1366&gt;=2,D1366&gt;=1,E1366&gt;=2)</f>
        <v/>
      </c>
      <c r="G1366">
        <f>SUMPRODUCT(Calc!$K$3:$K$22*(Calc!$G$3:$G$22&gt;A1366)*(Calc!$G$3:$G$22-A1366))</f>
        <v/>
      </c>
      <c r="H1366">
        <f>SUMPRODUCT(Calc!$K$3:$K$22*(Calc!$G$3:$G$22&gt;B1366)*(Calc!$G$3:$G$22-B1366))</f>
        <v/>
      </c>
      <c r="I1366">
        <f>SUMPRODUCT(Calc!$K$3:$K$22*(Calc!$G$3:$G$22&gt;A1366)*(Calc!$G$3:$G$22-A1366)^2)</f>
        <v/>
      </c>
      <c r="J1366">
        <f>SUMPRODUCT(Calc!$K$3:$K$22*(Calc!$G$3:$G$22&gt;B1366)*(Calc!$G$3:$G$22-B1366)^2)</f>
        <v/>
      </c>
      <c r="K1366">
        <f>SUMPRODUCT(Calc!$K$3:$K$22*(Calc!$G$3:$G$22&gt;A1366)*(Calc!$G$3:$G$22-A1366)*(Calc!$G$3:$G$22&gt;B1366)*(Calc!$G$3:$G$22-B1366))</f>
        <v/>
      </c>
      <c r="L1366">
        <f>SUMPRODUCT(Calc!$K$3:$K$22*(Calc!$G$3:$G$22&gt;A1366)*(Calc!$G$3:$G$22-A1366)*Calc!$G$3:$G$22)</f>
        <v/>
      </c>
      <c r="M1366">
        <f>SUMPRODUCT(Calc!$K$3:$K$22*(Calc!$G$3:$G$22&gt;B1366)*(Calc!$G$3:$G$22-B1366)*Calc!$G$3:$G$22)</f>
        <v/>
      </c>
      <c r="N1366">
        <f>SUMPRODUCT(Calc!$K$3:$K$22*(Calc!$G$3:$G$22&gt;A1366)*(Calc!$G$3:$G$22-A1366)*Calc!$I$3:$I$22)</f>
        <v/>
      </c>
      <c r="O1366">
        <f>SUMPRODUCT(Calc!$K$3:$K$22*(Calc!$G$3:$G$22&gt;B1366)*(Calc!$G$3:$G$22-B1366)*Calc!$I$3:$I$22)</f>
        <v/>
      </c>
      <c r="P1366">
        <f>I1366-G1366^2/k_n</f>
        <v/>
      </c>
      <c r="Q1366">
        <f>J1366-H1366^2/k_n</f>
        <v/>
      </c>
      <c r="R1366">
        <f>K1366-G1366*H1366/k_n</f>
        <v/>
      </c>
      <c r="S1366">
        <f>L1366-LTP3!$D$3*G1366/k_n</f>
        <v/>
      </c>
      <c r="T1366">
        <f>M1366-LTP3!$D$3*H1366/k_n</f>
        <v/>
      </c>
      <c r="U1366">
        <f>N1366-G1366*LTP3!$D$4/k_n</f>
        <v/>
      </c>
      <c r="V1366">
        <f>O1366-H1366*LTP3!$D$4/k_n</f>
        <v/>
      </c>
      <c r="W1366">
        <f>((LTP3!$D$5)*((P1366)*(Q1366)-(R1366)*(R1366))-(S1366)*((S1366)*(Q1366)-(R1366)*(T1366))+(T1366)*((S1366)*(R1366)-(P1366)*(T1366)))</f>
        <v/>
      </c>
      <c r="X1366">
        <f>IF(ABS(W1366)&gt;1E-12,((LTP3!$D$6)*((P1366)*(Q1366)-(R1366)*(R1366))-(S1366)*((U1366)*(Q1366)-(R1366)*(V1366))+(T1366)*((U1366)*(R1366)-(P1366)*(V1366)))/W1366,0)</f>
        <v/>
      </c>
      <c r="Y1366">
        <f>IF(ABS(W1366)&gt;1E-12,((LTP3!$D$5)*((U1366)*(Q1366)-(R1366)*(V1366))-(LTP3!$D$6)*((S1366)*(Q1366)-(R1366)*(T1366))+(T1366)*((S1366)*(V1366)-(U1366)*(T1366)))/W1366,0)</f>
        <v/>
      </c>
      <c r="Z1366">
        <f>IF(ABS(W1366)&gt;1E-12,((LTP3!$D$5)*((P1366)*(V1366)-(U1366)*(R1366))-(S1366)*((S1366)*(V1366)-(U1366)*(T1366))+(LTP3!$D$6)*((S1366)*(R1366)-(P1366)*(T1366)))/W1366,0)</f>
        <v/>
      </c>
      <c r="AA1366">
        <f>LTP3!$D$7-X1366*LTP3!$D$6-Y1366*U1366-Z1366*V1366</f>
        <v/>
      </c>
      <c r="AB1366">
        <f>IF(AND(F1366,ABS(W1366)&gt;1E-12,Y1366&gt;0,Z1366&gt;0),AA1366,1E+300)</f>
        <v/>
      </c>
    </row>
    <row r="1367">
      <c r="A1367">
        <f>$B$3+$B$5*22</f>
        <v/>
      </c>
      <c r="B1367">
        <f>$B$3+$B$5*13</f>
        <v/>
      </c>
      <c r="C1367">
        <f>SUMPRODUCT(Calc!$K$3:$K$22*(Calc!$G$3:$G$22&lt;=A1367))</f>
        <v/>
      </c>
      <c r="D1367">
        <f>SUMPRODUCT(Calc!$K$3:$K$22*(Calc!$G$3:$G$22&gt;A1367)*(Calc!$G$3:$G$22&lt;B1367))</f>
        <v/>
      </c>
      <c r="E1367">
        <f>SUMPRODUCT(Calc!$K$3:$K$22*(Calc!$G$3:$G$22&gt;=B1367))</f>
        <v/>
      </c>
      <c r="F1367">
        <f>AND(k_n&gt;=5,B1367&gt;A1367+1E-9,C1367&gt;=2,D1367&gt;=1,E1367&gt;=2)</f>
        <v/>
      </c>
      <c r="G1367">
        <f>SUMPRODUCT(Calc!$K$3:$K$22*(Calc!$G$3:$G$22&gt;A1367)*(Calc!$G$3:$G$22-A1367))</f>
        <v/>
      </c>
      <c r="H1367">
        <f>SUMPRODUCT(Calc!$K$3:$K$22*(Calc!$G$3:$G$22&gt;B1367)*(Calc!$G$3:$G$22-B1367))</f>
        <v/>
      </c>
      <c r="I1367">
        <f>SUMPRODUCT(Calc!$K$3:$K$22*(Calc!$G$3:$G$22&gt;A1367)*(Calc!$G$3:$G$22-A1367)^2)</f>
        <v/>
      </c>
      <c r="J1367">
        <f>SUMPRODUCT(Calc!$K$3:$K$22*(Calc!$G$3:$G$22&gt;B1367)*(Calc!$G$3:$G$22-B1367)^2)</f>
        <v/>
      </c>
      <c r="K1367">
        <f>SUMPRODUCT(Calc!$K$3:$K$22*(Calc!$G$3:$G$22&gt;A1367)*(Calc!$G$3:$G$22-A1367)*(Calc!$G$3:$G$22&gt;B1367)*(Calc!$G$3:$G$22-B1367))</f>
        <v/>
      </c>
      <c r="L1367">
        <f>SUMPRODUCT(Calc!$K$3:$K$22*(Calc!$G$3:$G$22&gt;A1367)*(Calc!$G$3:$G$22-A1367)*Calc!$G$3:$G$22)</f>
        <v/>
      </c>
      <c r="M1367">
        <f>SUMPRODUCT(Calc!$K$3:$K$22*(Calc!$G$3:$G$22&gt;B1367)*(Calc!$G$3:$G$22-B1367)*Calc!$G$3:$G$22)</f>
        <v/>
      </c>
      <c r="N1367">
        <f>SUMPRODUCT(Calc!$K$3:$K$22*(Calc!$G$3:$G$22&gt;A1367)*(Calc!$G$3:$G$22-A1367)*Calc!$I$3:$I$22)</f>
        <v/>
      </c>
      <c r="O1367">
        <f>SUMPRODUCT(Calc!$K$3:$K$22*(Calc!$G$3:$G$22&gt;B1367)*(Calc!$G$3:$G$22-B1367)*Calc!$I$3:$I$22)</f>
        <v/>
      </c>
      <c r="P1367">
        <f>I1367-G1367^2/k_n</f>
        <v/>
      </c>
      <c r="Q1367">
        <f>J1367-H1367^2/k_n</f>
        <v/>
      </c>
      <c r="R1367">
        <f>K1367-G1367*H1367/k_n</f>
        <v/>
      </c>
      <c r="S1367">
        <f>L1367-LTP3!$D$3*G1367/k_n</f>
        <v/>
      </c>
      <c r="T1367">
        <f>M1367-LTP3!$D$3*H1367/k_n</f>
        <v/>
      </c>
      <c r="U1367">
        <f>N1367-G1367*LTP3!$D$4/k_n</f>
        <v/>
      </c>
      <c r="V1367">
        <f>O1367-H1367*LTP3!$D$4/k_n</f>
        <v/>
      </c>
      <c r="W1367">
        <f>((LTP3!$D$5)*((P1367)*(Q1367)-(R1367)*(R1367))-(S1367)*((S1367)*(Q1367)-(R1367)*(T1367))+(T1367)*((S1367)*(R1367)-(P1367)*(T1367)))</f>
        <v/>
      </c>
      <c r="X1367">
        <f>IF(ABS(W1367)&gt;1E-12,((LTP3!$D$6)*((P1367)*(Q1367)-(R1367)*(R1367))-(S1367)*((U1367)*(Q1367)-(R1367)*(V1367))+(T1367)*((U1367)*(R1367)-(P1367)*(V1367)))/W1367,0)</f>
        <v/>
      </c>
      <c r="Y1367">
        <f>IF(ABS(W1367)&gt;1E-12,((LTP3!$D$5)*((U1367)*(Q1367)-(R1367)*(V1367))-(LTP3!$D$6)*((S1367)*(Q1367)-(R1367)*(T1367))+(T1367)*((S1367)*(V1367)-(U1367)*(T1367)))/W1367,0)</f>
        <v/>
      </c>
      <c r="Z1367">
        <f>IF(ABS(W1367)&gt;1E-12,((LTP3!$D$5)*((P1367)*(V1367)-(U1367)*(R1367))-(S1367)*((S1367)*(V1367)-(U1367)*(T1367))+(LTP3!$D$6)*((S1367)*(R1367)-(P1367)*(T1367)))/W1367,0)</f>
        <v/>
      </c>
      <c r="AA1367">
        <f>LTP3!$D$7-X1367*LTP3!$D$6-Y1367*U1367-Z1367*V1367</f>
        <v/>
      </c>
      <c r="AB1367">
        <f>IF(AND(F1367,ABS(W1367)&gt;1E-12,Y1367&gt;0,Z1367&gt;0),AA1367,1E+300)</f>
        <v/>
      </c>
    </row>
    <row r="1368">
      <c r="A1368">
        <f>$B$3+$B$5*22</f>
        <v/>
      </c>
      <c r="B1368">
        <f>$B$3+$B$5*14</f>
        <v/>
      </c>
      <c r="C1368">
        <f>SUMPRODUCT(Calc!$K$3:$K$22*(Calc!$G$3:$G$22&lt;=A1368))</f>
        <v/>
      </c>
      <c r="D1368">
        <f>SUMPRODUCT(Calc!$K$3:$K$22*(Calc!$G$3:$G$22&gt;A1368)*(Calc!$G$3:$G$22&lt;B1368))</f>
        <v/>
      </c>
      <c r="E1368">
        <f>SUMPRODUCT(Calc!$K$3:$K$22*(Calc!$G$3:$G$22&gt;=B1368))</f>
        <v/>
      </c>
      <c r="F1368">
        <f>AND(k_n&gt;=5,B1368&gt;A1368+1E-9,C1368&gt;=2,D1368&gt;=1,E1368&gt;=2)</f>
        <v/>
      </c>
      <c r="G1368">
        <f>SUMPRODUCT(Calc!$K$3:$K$22*(Calc!$G$3:$G$22&gt;A1368)*(Calc!$G$3:$G$22-A1368))</f>
        <v/>
      </c>
      <c r="H1368">
        <f>SUMPRODUCT(Calc!$K$3:$K$22*(Calc!$G$3:$G$22&gt;B1368)*(Calc!$G$3:$G$22-B1368))</f>
        <v/>
      </c>
      <c r="I1368">
        <f>SUMPRODUCT(Calc!$K$3:$K$22*(Calc!$G$3:$G$22&gt;A1368)*(Calc!$G$3:$G$22-A1368)^2)</f>
        <v/>
      </c>
      <c r="J1368">
        <f>SUMPRODUCT(Calc!$K$3:$K$22*(Calc!$G$3:$G$22&gt;B1368)*(Calc!$G$3:$G$22-B1368)^2)</f>
        <v/>
      </c>
      <c r="K1368">
        <f>SUMPRODUCT(Calc!$K$3:$K$22*(Calc!$G$3:$G$22&gt;A1368)*(Calc!$G$3:$G$22-A1368)*(Calc!$G$3:$G$22&gt;B1368)*(Calc!$G$3:$G$22-B1368))</f>
        <v/>
      </c>
      <c r="L1368">
        <f>SUMPRODUCT(Calc!$K$3:$K$22*(Calc!$G$3:$G$22&gt;A1368)*(Calc!$G$3:$G$22-A1368)*Calc!$G$3:$G$22)</f>
        <v/>
      </c>
      <c r="M1368">
        <f>SUMPRODUCT(Calc!$K$3:$K$22*(Calc!$G$3:$G$22&gt;B1368)*(Calc!$G$3:$G$22-B1368)*Calc!$G$3:$G$22)</f>
        <v/>
      </c>
      <c r="N1368">
        <f>SUMPRODUCT(Calc!$K$3:$K$22*(Calc!$G$3:$G$22&gt;A1368)*(Calc!$G$3:$G$22-A1368)*Calc!$I$3:$I$22)</f>
        <v/>
      </c>
      <c r="O1368">
        <f>SUMPRODUCT(Calc!$K$3:$K$22*(Calc!$G$3:$G$22&gt;B1368)*(Calc!$G$3:$G$22-B1368)*Calc!$I$3:$I$22)</f>
        <v/>
      </c>
      <c r="P1368">
        <f>I1368-G1368^2/k_n</f>
        <v/>
      </c>
      <c r="Q1368">
        <f>J1368-H1368^2/k_n</f>
        <v/>
      </c>
      <c r="R1368">
        <f>K1368-G1368*H1368/k_n</f>
        <v/>
      </c>
      <c r="S1368">
        <f>L1368-LTP3!$D$3*G1368/k_n</f>
        <v/>
      </c>
      <c r="T1368">
        <f>M1368-LTP3!$D$3*H1368/k_n</f>
        <v/>
      </c>
      <c r="U1368">
        <f>N1368-G1368*LTP3!$D$4/k_n</f>
        <v/>
      </c>
      <c r="V1368">
        <f>O1368-H1368*LTP3!$D$4/k_n</f>
        <v/>
      </c>
      <c r="W1368">
        <f>((LTP3!$D$5)*((P1368)*(Q1368)-(R1368)*(R1368))-(S1368)*((S1368)*(Q1368)-(R1368)*(T1368))+(T1368)*((S1368)*(R1368)-(P1368)*(T1368)))</f>
        <v/>
      </c>
      <c r="X1368">
        <f>IF(ABS(W1368)&gt;1E-12,((LTP3!$D$6)*((P1368)*(Q1368)-(R1368)*(R1368))-(S1368)*((U1368)*(Q1368)-(R1368)*(V1368))+(T1368)*((U1368)*(R1368)-(P1368)*(V1368)))/W1368,0)</f>
        <v/>
      </c>
      <c r="Y1368">
        <f>IF(ABS(W1368)&gt;1E-12,((LTP3!$D$5)*((U1368)*(Q1368)-(R1368)*(V1368))-(LTP3!$D$6)*((S1368)*(Q1368)-(R1368)*(T1368))+(T1368)*((S1368)*(V1368)-(U1368)*(T1368)))/W1368,0)</f>
        <v/>
      </c>
      <c r="Z1368">
        <f>IF(ABS(W1368)&gt;1E-12,((LTP3!$D$5)*((P1368)*(V1368)-(U1368)*(R1368))-(S1368)*((S1368)*(V1368)-(U1368)*(T1368))+(LTP3!$D$6)*((S1368)*(R1368)-(P1368)*(T1368)))/W1368,0)</f>
        <v/>
      </c>
      <c r="AA1368">
        <f>LTP3!$D$7-X1368*LTP3!$D$6-Y1368*U1368-Z1368*V1368</f>
        <v/>
      </c>
      <c r="AB1368">
        <f>IF(AND(F1368,ABS(W1368)&gt;1E-12,Y1368&gt;0,Z1368&gt;0),AA1368,1E+300)</f>
        <v/>
      </c>
    </row>
    <row r="1369">
      <c r="A1369">
        <f>$B$3+$B$5*22</f>
        <v/>
      </c>
      <c r="B1369">
        <f>$B$3+$B$5*15</f>
        <v/>
      </c>
      <c r="C1369">
        <f>SUMPRODUCT(Calc!$K$3:$K$22*(Calc!$G$3:$G$22&lt;=A1369))</f>
        <v/>
      </c>
      <c r="D1369">
        <f>SUMPRODUCT(Calc!$K$3:$K$22*(Calc!$G$3:$G$22&gt;A1369)*(Calc!$G$3:$G$22&lt;B1369))</f>
        <v/>
      </c>
      <c r="E1369">
        <f>SUMPRODUCT(Calc!$K$3:$K$22*(Calc!$G$3:$G$22&gt;=B1369))</f>
        <v/>
      </c>
      <c r="F1369">
        <f>AND(k_n&gt;=5,B1369&gt;A1369+1E-9,C1369&gt;=2,D1369&gt;=1,E1369&gt;=2)</f>
        <v/>
      </c>
      <c r="G1369">
        <f>SUMPRODUCT(Calc!$K$3:$K$22*(Calc!$G$3:$G$22&gt;A1369)*(Calc!$G$3:$G$22-A1369))</f>
        <v/>
      </c>
      <c r="H1369">
        <f>SUMPRODUCT(Calc!$K$3:$K$22*(Calc!$G$3:$G$22&gt;B1369)*(Calc!$G$3:$G$22-B1369))</f>
        <v/>
      </c>
      <c r="I1369">
        <f>SUMPRODUCT(Calc!$K$3:$K$22*(Calc!$G$3:$G$22&gt;A1369)*(Calc!$G$3:$G$22-A1369)^2)</f>
        <v/>
      </c>
      <c r="J1369">
        <f>SUMPRODUCT(Calc!$K$3:$K$22*(Calc!$G$3:$G$22&gt;B1369)*(Calc!$G$3:$G$22-B1369)^2)</f>
        <v/>
      </c>
      <c r="K1369">
        <f>SUMPRODUCT(Calc!$K$3:$K$22*(Calc!$G$3:$G$22&gt;A1369)*(Calc!$G$3:$G$22-A1369)*(Calc!$G$3:$G$22&gt;B1369)*(Calc!$G$3:$G$22-B1369))</f>
        <v/>
      </c>
      <c r="L1369">
        <f>SUMPRODUCT(Calc!$K$3:$K$22*(Calc!$G$3:$G$22&gt;A1369)*(Calc!$G$3:$G$22-A1369)*Calc!$G$3:$G$22)</f>
        <v/>
      </c>
      <c r="M1369">
        <f>SUMPRODUCT(Calc!$K$3:$K$22*(Calc!$G$3:$G$22&gt;B1369)*(Calc!$G$3:$G$22-B1369)*Calc!$G$3:$G$22)</f>
        <v/>
      </c>
      <c r="N1369">
        <f>SUMPRODUCT(Calc!$K$3:$K$22*(Calc!$G$3:$G$22&gt;A1369)*(Calc!$G$3:$G$22-A1369)*Calc!$I$3:$I$22)</f>
        <v/>
      </c>
      <c r="O1369">
        <f>SUMPRODUCT(Calc!$K$3:$K$22*(Calc!$G$3:$G$22&gt;B1369)*(Calc!$G$3:$G$22-B1369)*Calc!$I$3:$I$22)</f>
        <v/>
      </c>
      <c r="P1369">
        <f>I1369-G1369^2/k_n</f>
        <v/>
      </c>
      <c r="Q1369">
        <f>J1369-H1369^2/k_n</f>
        <v/>
      </c>
      <c r="R1369">
        <f>K1369-G1369*H1369/k_n</f>
        <v/>
      </c>
      <c r="S1369">
        <f>L1369-LTP3!$D$3*G1369/k_n</f>
        <v/>
      </c>
      <c r="T1369">
        <f>M1369-LTP3!$D$3*H1369/k_n</f>
        <v/>
      </c>
      <c r="U1369">
        <f>N1369-G1369*LTP3!$D$4/k_n</f>
        <v/>
      </c>
      <c r="V1369">
        <f>O1369-H1369*LTP3!$D$4/k_n</f>
        <v/>
      </c>
      <c r="W1369">
        <f>((LTP3!$D$5)*((P1369)*(Q1369)-(R1369)*(R1369))-(S1369)*((S1369)*(Q1369)-(R1369)*(T1369))+(T1369)*((S1369)*(R1369)-(P1369)*(T1369)))</f>
        <v/>
      </c>
      <c r="X1369">
        <f>IF(ABS(W1369)&gt;1E-12,((LTP3!$D$6)*((P1369)*(Q1369)-(R1369)*(R1369))-(S1369)*((U1369)*(Q1369)-(R1369)*(V1369))+(T1369)*((U1369)*(R1369)-(P1369)*(V1369)))/W1369,0)</f>
        <v/>
      </c>
      <c r="Y1369">
        <f>IF(ABS(W1369)&gt;1E-12,((LTP3!$D$5)*((U1369)*(Q1369)-(R1369)*(V1369))-(LTP3!$D$6)*((S1369)*(Q1369)-(R1369)*(T1369))+(T1369)*((S1369)*(V1369)-(U1369)*(T1369)))/W1369,0)</f>
        <v/>
      </c>
      <c r="Z1369">
        <f>IF(ABS(W1369)&gt;1E-12,((LTP3!$D$5)*((P1369)*(V1369)-(U1369)*(R1369))-(S1369)*((S1369)*(V1369)-(U1369)*(T1369))+(LTP3!$D$6)*((S1369)*(R1369)-(P1369)*(T1369)))/W1369,0)</f>
        <v/>
      </c>
      <c r="AA1369">
        <f>LTP3!$D$7-X1369*LTP3!$D$6-Y1369*U1369-Z1369*V1369</f>
        <v/>
      </c>
      <c r="AB1369">
        <f>IF(AND(F1369,ABS(W1369)&gt;1E-12,Y1369&gt;0,Z1369&gt;0),AA1369,1E+300)</f>
        <v/>
      </c>
    </row>
    <row r="1370">
      <c r="A1370">
        <f>$B$3+$B$5*22</f>
        <v/>
      </c>
      <c r="B1370">
        <f>$B$3+$B$5*16</f>
        <v/>
      </c>
      <c r="C1370">
        <f>SUMPRODUCT(Calc!$K$3:$K$22*(Calc!$G$3:$G$22&lt;=A1370))</f>
        <v/>
      </c>
      <c r="D1370">
        <f>SUMPRODUCT(Calc!$K$3:$K$22*(Calc!$G$3:$G$22&gt;A1370)*(Calc!$G$3:$G$22&lt;B1370))</f>
        <v/>
      </c>
      <c r="E1370">
        <f>SUMPRODUCT(Calc!$K$3:$K$22*(Calc!$G$3:$G$22&gt;=B1370))</f>
        <v/>
      </c>
      <c r="F1370">
        <f>AND(k_n&gt;=5,B1370&gt;A1370+1E-9,C1370&gt;=2,D1370&gt;=1,E1370&gt;=2)</f>
        <v/>
      </c>
      <c r="G1370">
        <f>SUMPRODUCT(Calc!$K$3:$K$22*(Calc!$G$3:$G$22&gt;A1370)*(Calc!$G$3:$G$22-A1370))</f>
        <v/>
      </c>
      <c r="H1370">
        <f>SUMPRODUCT(Calc!$K$3:$K$22*(Calc!$G$3:$G$22&gt;B1370)*(Calc!$G$3:$G$22-B1370))</f>
        <v/>
      </c>
      <c r="I1370">
        <f>SUMPRODUCT(Calc!$K$3:$K$22*(Calc!$G$3:$G$22&gt;A1370)*(Calc!$G$3:$G$22-A1370)^2)</f>
        <v/>
      </c>
      <c r="J1370">
        <f>SUMPRODUCT(Calc!$K$3:$K$22*(Calc!$G$3:$G$22&gt;B1370)*(Calc!$G$3:$G$22-B1370)^2)</f>
        <v/>
      </c>
      <c r="K1370">
        <f>SUMPRODUCT(Calc!$K$3:$K$22*(Calc!$G$3:$G$22&gt;A1370)*(Calc!$G$3:$G$22-A1370)*(Calc!$G$3:$G$22&gt;B1370)*(Calc!$G$3:$G$22-B1370))</f>
        <v/>
      </c>
      <c r="L1370">
        <f>SUMPRODUCT(Calc!$K$3:$K$22*(Calc!$G$3:$G$22&gt;A1370)*(Calc!$G$3:$G$22-A1370)*Calc!$G$3:$G$22)</f>
        <v/>
      </c>
      <c r="M1370">
        <f>SUMPRODUCT(Calc!$K$3:$K$22*(Calc!$G$3:$G$22&gt;B1370)*(Calc!$G$3:$G$22-B1370)*Calc!$G$3:$G$22)</f>
        <v/>
      </c>
      <c r="N1370">
        <f>SUMPRODUCT(Calc!$K$3:$K$22*(Calc!$G$3:$G$22&gt;A1370)*(Calc!$G$3:$G$22-A1370)*Calc!$I$3:$I$22)</f>
        <v/>
      </c>
      <c r="O1370">
        <f>SUMPRODUCT(Calc!$K$3:$K$22*(Calc!$G$3:$G$22&gt;B1370)*(Calc!$G$3:$G$22-B1370)*Calc!$I$3:$I$22)</f>
        <v/>
      </c>
      <c r="P1370">
        <f>I1370-G1370^2/k_n</f>
        <v/>
      </c>
      <c r="Q1370">
        <f>J1370-H1370^2/k_n</f>
        <v/>
      </c>
      <c r="R1370">
        <f>K1370-G1370*H1370/k_n</f>
        <v/>
      </c>
      <c r="S1370">
        <f>L1370-LTP3!$D$3*G1370/k_n</f>
        <v/>
      </c>
      <c r="T1370">
        <f>M1370-LTP3!$D$3*H1370/k_n</f>
        <v/>
      </c>
      <c r="U1370">
        <f>N1370-G1370*LTP3!$D$4/k_n</f>
        <v/>
      </c>
      <c r="V1370">
        <f>O1370-H1370*LTP3!$D$4/k_n</f>
        <v/>
      </c>
      <c r="W1370">
        <f>((LTP3!$D$5)*((P1370)*(Q1370)-(R1370)*(R1370))-(S1370)*((S1370)*(Q1370)-(R1370)*(T1370))+(T1370)*((S1370)*(R1370)-(P1370)*(T1370)))</f>
        <v/>
      </c>
      <c r="X1370">
        <f>IF(ABS(W1370)&gt;1E-12,((LTP3!$D$6)*((P1370)*(Q1370)-(R1370)*(R1370))-(S1370)*((U1370)*(Q1370)-(R1370)*(V1370))+(T1370)*((U1370)*(R1370)-(P1370)*(V1370)))/W1370,0)</f>
        <v/>
      </c>
      <c r="Y1370">
        <f>IF(ABS(W1370)&gt;1E-12,((LTP3!$D$5)*((U1370)*(Q1370)-(R1370)*(V1370))-(LTP3!$D$6)*((S1370)*(Q1370)-(R1370)*(T1370))+(T1370)*((S1370)*(V1370)-(U1370)*(T1370)))/W1370,0)</f>
        <v/>
      </c>
      <c r="Z1370">
        <f>IF(ABS(W1370)&gt;1E-12,((LTP3!$D$5)*((P1370)*(V1370)-(U1370)*(R1370))-(S1370)*((S1370)*(V1370)-(U1370)*(T1370))+(LTP3!$D$6)*((S1370)*(R1370)-(P1370)*(T1370)))/W1370,0)</f>
        <v/>
      </c>
      <c r="AA1370">
        <f>LTP3!$D$7-X1370*LTP3!$D$6-Y1370*U1370-Z1370*V1370</f>
        <v/>
      </c>
      <c r="AB1370">
        <f>IF(AND(F1370,ABS(W1370)&gt;1E-12,Y1370&gt;0,Z1370&gt;0),AA1370,1E+300)</f>
        <v/>
      </c>
    </row>
    <row r="1371">
      <c r="A1371">
        <f>$B$3+$B$5*22</f>
        <v/>
      </c>
      <c r="B1371">
        <f>$B$3+$B$5*17</f>
        <v/>
      </c>
      <c r="C1371">
        <f>SUMPRODUCT(Calc!$K$3:$K$22*(Calc!$G$3:$G$22&lt;=A1371))</f>
        <v/>
      </c>
      <c r="D1371">
        <f>SUMPRODUCT(Calc!$K$3:$K$22*(Calc!$G$3:$G$22&gt;A1371)*(Calc!$G$3:$G$22&lt;B1371))</f>
        <v/>
      </c>
      <c r="E1371">
        <f>SUMPRODUCT(Calc!$K$3:$K$22*(Calc!$G$3:$G$22&gt;=B1371))</f>
        <v/>
      </c>
      <c r="F1371">
        <f>AND(k_n&gt;=5,B1371&gt;A1371+1E-9,C1371&gt;=2,D1371&gt;=1,E1371&gt;=2)</f>
        <v/>
      </c>
      <c r="G1371">
        <f>SUMPRODUCT(Calc!$K$3:$K$22*(Calc!$G$3:$G$22&gt;A1371)*(Calc!$G$3:$G$22-A1371))</f>
        <v/>
      </c>
      <c r="H1371">
        <f>SUMPRODUCT(Calc!$K$3:$K$22*(Calc!$G$3:$G$22&gt;B1371)*(Calc!$G$3:$G$22-B1371))</f>
        <v/>
      </c>
      <c r="I1371">
        <f>SUMPRODUCT(Calc!$K$3:$K$22*(Calc!$G$3:$G$22&gt;A1371)*(Calc!$G$3:$G$22-A1371)^2)</f>
        <v/>
      </c>
      <c r="J1371">
        <f>SUMPRODUCT(Calc!$K$3:$K$22*(Calc!$G$3:$G$22&gt;B1371)*(Calc!$G$3:$G$22-B1371)^2)</f>
        <v/>
      </c>
      <c r="K1371">
        <f>SUMPRODUCT(Calc!$K$3:$K$22*(Calc!$G$3:$G$22&gt;A1371)*(Calc!$G$3:$G$22-A1371)*(Calc!$G$3:$G$22&gt;B1371)*(Calc!$G$3:$G$22-B1371))</f>
        <v/>
      </c>
      <c r="L1371">
        <f>SUMPRODUCT(Calc!$K$3:$K$22*(Calc!$G$3:$G$22&gt;A1371)*(Calc!$G$3:$G$22-A1371)*Calc!$G$3:$G$22)</f>
        <v/>
      </c>
      <c r="M1371">
        <f>SUMPRODUCT(Calc!$K$3:$K$22*(Calc!$G$3:$G$22&gt;B1371)*(Calc!$G$3:$G$22-B1371)*Calc!$G$3:$G$22)</f>
        <v/>
      </c>
      <c r="N1371">
        <f>SUMPRODUCT(Calc!$K$3:$K$22*(Calc!$G$3:$G$22&gt;A1371)*(Calc!$G$3:$G$22-A1371)*Calc!$I$3:$I$22)</f>
        <v/>
      </c>
      <c r="O1371">
        <f>SUMPRODUCT(Calc!$K$3:$K$22*(Calc!$G$3:$G$22&gt;B1371)*(Calc!$G$3:$G$22-B1371)*Calc!$I$3:$I$22)</f>
        <v/>
      </c>
      <c r="P1371">
        <f>I1371-G1371^2/k_n</f>
        <v/>
      </c>
      <c r="Q1371">
        <f>J1371-H1371^2/k_n</f>
        <v/>
      </c>
      <c r="R1371">
        <f>K1371-G1371*H1371/k_n</f>
        <v/>
      </c>
      <c r="S1371">
        <f>L1371-LTP3!$D$3*G1371/k_n</f>
        <v/>
      </c>
      <c r="T1371">
        <f>M1371-LTP3!$D$3*H1371/k_n</f>
        <v/>
      </c>
      <c r="U1371">
        <f>N1371-G1371*LTP3!$D$4/k_n</f>
        <v/>
      </c>
      <c r="V1371">
        <f>O1371-H1371*LTP3!$D$4/k_n</f>
        <v/>
      </c>
      <c r="W1371">
        <f>((LTP3!$D$5)*((P1371)*(Q1371)-(R1371)*(R1371))-(S1371)*((S1371)*(Q1371)-(R1371)*(T1371))+(T1371)*((S1371)*(R1371)-(P1371)*(T1371)))</f>
        <v/>
      </c>
      <c r="X1371">
        <f>IF(ABS(W1371)&gt;1E-12,((LTP3!$D$6)*((P1371)*(Q1371)-(R1371)*(R1371))-(S1371)*((U1371)*(Q1371)-(R1371)*(V1371))+(T1371)*((U1371)*(R1371)-(P1371)*(V1371)))/W1371,0)</f>
        <v/>
      </c>
      <c r="Y1371">
        <f>IF(ABS(W1371)&gt;1E-12,((LTP3!$D$5)*((U1371)*(Q1371)-(R1371)*(V1371))-(LTP3!$D$6)*((S1371)*(Q1371)-(R1371)*(T1371))+(T1371)*((S1371)*(V1371)-(U1371)*(T1371)))/W1371,0)</f>
        <v/>
      </c>
      <c r="Z1371">
        <f>IF(ABS(W1371)&gt;1E-12,((LTP3!$D$5)*((P1371)*(V1371)-(U1371)*(R1371))-(S1371)*((S1371)*(V1371)-(U1371)*(T1371))+(LTP3!$D$6)*((S1371)*(R1371)-(P1371)*(T1371)))/W1371,0)</f>
        <v/>
      </c>
      <c r="AA1371">
        <f>LTP3!$D$7-X1371*LTP3!$D$6-Y1371*U1371-Z1371*V1371</f>
        <v/>
      </c>
      <c r="AB1371">
        <f>IF(AND(F1371,ABS(W1371)&gt;1E-12,Y1371&gt;0,Z1371&gt;0),AA1371,1E+300)</f>
        <v/>
      </c>
    </row>
    <row r="1372">
      <c r="A1372">
        <f>$B$3+$B$5*22</f>
        <v/>
      </c>
      <c r="B1372">
        <f>$B$3+$B$5*18</f>
        <v/>
      </c>
      <c r="C1372">
        <f>SUMPRODUCT(Calc!$K$3:$K$22*(Calc!$G$3:$G$22&lt;=A1372))</f>
        <v/>
      </c>
      <c r="D1372">
        <f>SUMPRODUCT(Calc!$K$3:$K$22*(Calc!$G$3:$G$22&gt;A1372)*(Calc!$G$3:$G$22&lt;B1372))</f>
        <v/>
      </c>
      <c r="E1372">
        <f>SUMPRODUCT(Calc!$K$3:$K$22*(Calc!$G$3:$G$22&gt;=B1372))</f>
        <v/>
      </c>
      <c r="F1372">
        <f>AND(k_n&gt;=5,B1372&gt;A1372+1E-9,C1372&gt;=2,D1372&gt;=1,E1372&gt;=2)</f>
        <v/>
      </c>
      <c r="G1372">
        <f>SUMPRODUCT(Calc!$K$3:$K$22*(Calc!$G$3:$G$22&gt;A1372)*(Calc!$G$3:$G$22-A1372))</f>
        <v/>
      </c>
      <c r="H1372">
        <f>SUMPRODUCT(Calc!$K$3:$K$22*(Calc!$G$3:$G$22&gt;B1372)*(Calc!$G$3:$G$22-B1372))</f>
        <v/>
      </c>
      <c r="I1372">
        <f>SUMPRODUCT(Calc!$K$3:$K$22*(Calc!$G$3:$G$22&gt;A1372)*(Calc!$G$3:$G$22-A1372)^2)</f>
        <v/>
      </c>
      <c r="J1372">
        <f>SUMPRODUCT(Calc!$K$3:$K$22*(Calc!$G$3:$G$22&gt;B1372)*(Calc!$G$3:$G$22-B1372)^2)</f>
        <v/>
      </c>
      <c r="K1372">
        <f>SUMPRODUCT(Calc!$K$3:$K$22*(Calc!$G$3:$G$22&gt;A1372)*(Calc!$G$3:$G$22-A1372)*(Calc!$G$3:$G$22&gt;B1372)*(Calc!$G$3:$G$22-B1372))</f>
        <v/>
      </c>
      <c r="L1372">
        <f>SUMPRODUCT(Calc!$K$3:$K$22*(Calc!$G$3:$G$22&gt;A1372)*(Calc!$G$3:$G$22-A1372)*Calc!$G$3:$G$22)</f>
        <v/>
      </c>
      <c r="M1372">
        <f>SUMPRODUCT(Calc!$K$3:$K$22*(Calc!$G$3:$G$22&gt;B1372)*(Calc!$G$3:$G$22-B1372)*Calc!$G$3:$G$22)</f>
        <v/>
      </c>
      <c r="N1372">
        <f>SUMPRODUCT(Calc!$K$3:$K$22*(Calc!$G$3:$G$22&gt;A1372)*(Calc!$G$3:$G$22-A1372)*Calc!$I$3:$I$22)</f>
        <v/>
      </c>
      <c r="O1372">
        <f>SUMPRODUCT(Calc!$K$3:$K$22*(Calc!$G$3:$G$22&gt;B1372)*(Calc!$G$3:$G$22-B1372)*Calc!$I$3:$I$22)</f>
        <v/>
      </c>
      <c r="P1372">
        <f>I1372-G1372^2/k_n</f>
        <v/>
      </c>
      <c r="Q1372">
        <f>J1372-H1372^2/k_n</f>
        <v/>
      </c>
      <c r="R1372">
        <f>K1372-G1372*H1372/k_n</f>
        <v/>
      </c>
      <c r="S1372">
        <f>L1372-LTP3!$D$3*G1372/k_n</f>
        <v/>
      </c>
      <c r="T1372">
        <f>M1372-LTP3!$D$3*H1372/k_n</f>
        <v/>
      </c>
      <c r="U1372">
        <f>N1372-G1372*LTP3!$D$4/k_n</f>
        <v/>
      </c>
      <c r="V1372">
        <f>O1372-H1372*LTP3!$D$4/k_n</f>
        <v/>
      </c>
      <c r="W1372">
        <f>((LTP3!$D$5)*((P1372)*(Q1372)-(R1372)*(R1372))-(S1372)*((S1372)*(Q1372)-(R1372)*(T1372))+(T1372)*((S1372)*(R1372)-(P1372)*(T1372)))</f>
        <v/>
      </c>
      <c r="X1372">
        <f>IF(ABS(W1372)&gt;1E-12,((LTP3!$D$6)*((P1372)*(Q1372)-(R1372)*(R1372))-(S1372)*((U1372)*(Q1372)-(R1372)*(V1372))+(T1372)*((U1372)*(R1372)-(P1372)*(V1372)))/W1372,0)</f>
        <v/>
      </c>
      <c r="Y1372">
        <f>IF(ABS(W1372)&gt;1E-12,((LTP3!$D$5)*((U1372)*(Q1372)-(R1372)*(V1372))-(LTP3!$D$6)*((S1372)*(Q1372)-(R1372)*(T1372))+(T1372)*((S1372)*(V1372)-(U1372)*(T1372)))/W1372,0)</f>
        <v/>
      </c>
      <c r="Z1372">
        <f>IF(ABS(W1372)&gt;1E-12,((LTP3!$D$5)*((P1372)*(V1372)-(U1372)*(R1372))-(S1372)*((S1372)*(V1372)-(U1372)*(T1372))+(LTP3!$D$6)*((S1372)*(R1372)-(P1372)*(T1372)))/W1372,0)</f>
        <v/>
      </c>
      <c r="AA1372">
        <f>LTP3!$D$7-X1372*LTP3!$D$6-Y1372*U1372-Z1372*V1372</f>
        <v/>
      </c>
      <c r="AB1372">
        <f>IF(AND(F1372,ABS(W1372)&gt;1E-12,Y1372&gt;0,Z1372&gt;0),AA1372,1E+300)</f>
        <v/>
      </c>
    </row>
    <row r="1373">
      <c r="A1373">
        <f>$B$3+$B$5*22</f>
        <v/>
      </c>
      <c r="B1373">
        <f>$B$3+$B$5*19</f>
        <v/>
      </c>
      <c r="C1373">
        <f>SUMPRODUCT(Calc!$K$3:$K$22*(Calc!$G$3:$G$22&lt;=A1373))</f>
        <v/>
      </c>
      <c r="D1373">
        <f>SUMPRODUCT(Calc!$K$3:$K$22*(Calc!$G$3:$G$22&gt;A1373)*(Calc!$G$3:$G$22&lt;B1373))</f>
        <v/>
      </c>
      <c r="E1373">
        <f>SUMPRODUCT(Calc!$K$3:$K$22*(Calc!$G$3:$G$22&gt;=B1373))</f>
        <v/>
      </c>
      <c r="F1373">
        <f>AND(k_n&gt;=5,B1373&gt;A1373+1E-9,C1373&gt;=2,D1373&gt;=1,E1373&gt;=2)</f>
        <v/>
      </c>
      <c r="G1373">
        <f>SUMPRODUCT(Calc!$K$3:$K$22*(Calc!$G$3:$G$22&gt;A1373)*(Calc!$G$3:$G$22-A1373))</f>
        <v/>
      </c>
      <c r="H1373">
        <f>SUMPRODUCT(Calc!$K$3:$K$22*(Calc!$G$3:$G$22&gt;B1373)*(Calc!$G$3:$G$22-B1373))</f>
        <v/>
      </c>
      <c r="I1373">
        <f>SUMPRODUCT(Calc!$K$3:$K$22*(Calc!$G$3:$G$22&gt;A1373)*(Calc!$G$3:$G$22-A1373)^2)</f>
        <v/>
      </c>
      <c r="J1373">
        <f>SUMPRODUCT(Calc!$K$3:$K$22*(Calc!$G$3:$G$22&gt;B1373)*(Calc!$G$3:$G$22-B1373)^2)</f>
        <v/>
      </c>
      <c r="K1373">
        <f>SUMPRODUCT(Calc!$K$3:$K$22*(Calc!$G$3:$G$22&gt;A1373)*(Calc!$G$3:$G$22-A1373)*(Calc!$G$3:$G$22&gt;B1373)*(Calc!$G$3:$G$22-B1373))</f>
        <v/>
      </c>
      <c r="L1373">
        <f>SUMPRODUCT(Calc!$K$3:$K$22*(Calc!$G$3:$G$22&gt;A1373)*(Calc!$G$3:$G$22-A1373)*Calc!$G$3:$G$22)</f>
        <v/>
      </c>
      <c r="M1373">
        <f>SUMPRODUCT(Calc!$K$3:$K$22*(Calc!$G$3:$G$22&gt;B1373)*(Calc!$G$3:$G$22-B1373)*Calc!$G$3:$G$22)</f>
        <v/>
      </c>
      <c r="N1373">
        <f>SUMPRODUCT(Calc!$K$3:$K$22*(Calc!$G$3:$G$22&gt;A1373)*(Calc!$G$3:$G$22-A1373)*Calc!$I$3:$I$22)</f>
        <v/>
      </c>
      <c r="O1373">
        <f>SUMPRODUCT(Calc!$K$3:$K$22*(Calc!$G$3:$G$22&gt;B1373)*(Calc!$G$3:$G$22-B1373)*Calc!$I$3:$I$22)</f>
        <v/>
      </c>
      <c r="P1373">
        <f>I1373-G1373^2/k_n</f>
        <v/>
      </c>
      <c r="Q1373">
        <f>J1373-H1373^2/k_n</f>
        <v/>
      </c>
      <c r="R1373">
        <f>K1373-G1373*H1373/k_n</f>
        <v/>
      </c>
      <c r="S1373">
        <f>L1373-LTP3!$D$3*G1373/k_n</f>
        <v/>
      </c>
      <c r="T1373">
        <f>M1373-LTP3!$D$3*H1373/k_n</f>
        <v/>
      </c>
      <c r="U1373">
        <f>N1373-G1373*LTP3!$D$4/k_n</f>
        <v/>
      </c>
      <c r="V1373">
        <f>O1373-H1373*LTP3!$D$4/k_n</f>
        <v/>
      </c>
      <c r="W1373">
        <f>((LTP3!$D$5)*((P1373)*(Q1373)-(R1373)*(R1373))-(S1373)*((S1373)*(Q1373)-(R1373)*(T1373))+(T1373)*((S1373)*(R1373)-(P1373)*(T1373)))</f>
        <v/>
      </c>
      <c r="X1373">
        <f>IF(ABS(W1373)&gt;1E-12,((LTP3!$D$6)*((P1373)*(Q1373)-(R1373)*(R1373))-(S1373)*((U1373)*(Q1373)-(R1373)*(V1373))+(T1373)*((U1373)*(R1373)-(P1373)*(V1373)))/W1373,0)</f>
        <v/>
      </c>
      <c r="Y1373">
        <f>IF(ABS(W1373)&gt;1E-12,((LTP3!$D$5)*((U1373)*(Q1373)-(R1373)*(V1373))-(LTP3!$D$6)*((S1373)*(Q1373)-(R1373)*(T1373))+(T1373)*((S1373)*(V1373)-(U1373)*(T1373)))/W1373,0)</f>
        <v/>
      </c>
      <c r="Z1373">
        <f>IF(ABS(W1373)&gt;1E-12,((LTP3!$D$5)*((P1373)*(V1373)-(U1373)*(R1373))-(S1373)*((S1373)*(V1373)-(U1373)*(T1373))+(LTP3!$D$6)*((S1373)*(R1373)-(P1373)*(T1373)))/W1373,0)</f>
        <v/>
      </c>
      <c r="AA1373">
        <f>LTP3!$D$7-X1373*LTP3!$D$6-Y1373*U1373-Z1373*V1373</f>
        <v/>
      </c>
      <c r="AB1373">
        <f>IF(AND(F1373,ABS(W1373)&gt;1E-12,Y1373&gt;0,Z1373&gt;0),AA1373,1E+300)</f>
        <v/>
      </c>
    </row>
    <row r="1374">
      <c r="A1374">
        <f>$B$3+$B$5*22</f>
        <v/>
      </c>
      <c r="B1374">
        <f>$B$3+$B$5*20</f>
        <v/>
      </c>
      <c r="C1374">
        <f>SUMPRODUCT(Calc!$K$3:$K$22*(Calc!$G$3:$G$22&lt;=A1374))</f>
        <v/>
      </c>
      <c r="D1374">
        <f>SUMPRODUCT(Calc!$K$3:$K$22*(Calc!$G$3:$G$22&gt;A1374)*(Calc!$G$3:$G$22&lt;B1374))</f>
        <v/>
      </c>
      <c r="E1374">
        <f>SUMPRODUCT(Calc!$K$3:$K$22*(Calc!$G$3:$G$22&gt;=B1374))</f>
        <v/>
      </c>
      <c r="F1374">
        <f>AND(k_n&gt;=5,B1374&gt;A1374+1E-9,C1374&gt;=2,D1374&gt;=1,E1374&gt;=2)</f>
        <v/>
      </c>
      <c r="G1374">
        <f>SUMPRODUCT(Calc!$K$3:$K$22*(Calc!$G$3:$G$22&gt;A1374)*(Calc!$G$3:$G$22-A1374))</f>
        <v/>
      </c>
      <c r="H1374">
        <f>SUMPRODUCT(Calc!$K$3:$K$22*(Calc!$G$3:$G$22&gt;B1374)*(Calc!$G$3:$G$22-B1374))</f>
        <v/>
      </c>
      <c r="I1374">
        <f>SUMPRODUCT(Calc!$K$3:$K$22*(Calc!$G$3:$G$22&gt;A1374)*(Calc!$G$3:$G$22-A1374)^2)</f>
        <v/>
      </c>
      <c r="J1374">
        <f>SUMPRODUCT(Calc!$K$3:$K$22*(Calc!$G$3:$G$22&gt;B1374)*(Calc!$G$3:$G$22-B1374)^2)</f>
        <v/>
      </c>
      <c r="K1374">
        <f>SUMPRODUCT(Calc!$K$3:$K$22*(Calc!$G$3:$G$22&gt;A1374)*(Calc!$G$3:$G$22-A1374)*(Calc!$G$3:$G$22&gt;B1374)*(Calc!$G$3:$G$22-B1374))</f>
        <v/>
      </c>
      <c r="L1374">
        <f>SUMPRODUCT(Calc!$K$3:$K$22*(Calc!$G$3:$G$22&gt;A1374)*(Calc!$G$3:$G$22-A1374)*Calc!$G$3:$G$22)</f>
        <v/>
      </c>
      <c r="M1374">
        <f>SUMPRODUCT(Calc!$K$3:$K$22*(Calc!$G$3:$G$22&gt;B1374)*(Calc!$G$3:$G$22-B1374)*Calc!$G$3:$G$22)</f>
        <v/>
      </c>
      <c r="N1374">
        <f>SUMPRODUCT(Calc!$K$3:$K$22*(Calc!$G$3:$G$22&gt;A1374)*(Calc!$G$3:$G$22-A1374)*Calc!$I$3:$I$22)</f>
        <v/>
      </c>
      <c r="O1374">
        <f>SUMPRODUCT(Calc!$K$3:$K$22*(Calc!$G$3:$G$22&gt;B1374)*(Calc!$G$3:$G$22-B1374)*Calc!$I$3:$I$22)</f>
        <v/>
      </c>
      <c r="P1374">
        <f>I1374-G1374^2/k_n</f>
        <v/>
      </c>
      <c r="Q1374">
        <f>J1374-H1374^2/k_n</f>
        <v/>
      </c>
      <c r="R1374">
        <f>K1374-G1374*H1374/k_n</f>
        <v/>
      </c>
      <c r="S1374">
        <f>L1374-LTP3!$D$3*G1374/k_n</f>
        <v/>
      </c>
      <c r="T1374">
        <f>M1374-LTP3!$D$3*H1374/k_n</f>
        <v/>
      </c>
      <c r="U1374">
        <f>N1374-G1374*LTP3!$D$4/k_n</f>
        <v/>
      </c>
      <c r="V1374">
        <f>O1374-H1374*LTP3!$D$4/k_n</f>
        <v/>
      </c>
      <c r="W1374">
        <f>((LTP3!$D$5)*((P1374)*(Q1374)-(R1374)*(R1374))-(S1374)*((S1374)*(Q1374)-(R1374)*(T1374))+(T1374)*((S1374)*(R1374)-(P1374)*(T1374)))</f>
        <v/>
      </c>
      <c r="X1374">
        <f>IF(ABS(W1374)&gt;1E-12,((LTP3!$D$6)*((P1374)*(Q1374)-(R1374)*(R1374))-(S1374)*((U1374)*(Q1374)-(R1374)*(V1374))+(T1374)*((U1374)*(R1374)-(P1374)*(V1374)))/W1374,0)</f>
        <v/>
      </c>
      <c r="Y1374">
        <f>IF(ABS(W1374)&gt;1E-12,((LTP3!$D$5)*((U1374)*(Q1374)-(R1374)*(V1374))-(LTP3!$D$6)*((S1374)*(Q1374)-(R1374)*(T1374))+(T1374)*((S1374)*(V1374)-(U1374)*(T1374)))/W1374,0)</f>
        <v/>
      </c>
      <c r="Z1374">
        <f>IF(ABS(W1374)&gt;1E-12,((LTP3!$D$5)*((P1374)*(V1374)-(U1374)*(R1374))-(S1374)*((S1374)*(V1374)-(U1374)*(T1374))+(LTP3!$D$6)*((S1374)*(R1374)-(P1374)*(T1374)))/W1374,0)</f>
        <v/>
      </c>
      <c r="AA1374">
        <f>LTP3!$D$7-X1374*LTP3!$D$6-Y1374*U1374-Z1374*V1374</f>
        <v/>
      </c>
      <c r="AB1374">
        <f>IF(AND(F1374,ABS(W1374)&gt;1E-12,Y1374&gt;0,Z1374&gt;0),AA1374,1E+300)</f>
        <v/>
      </c>
    </row>
    <row r="1375">
      <c r="A1375">
        <f>$B$3+$B$5*22</f>
        <v/>
      </c>
      <c r="B1375">
        <f>$B$3+$B$5*21</f>
        <v/>
      </c>
      <c r="C1375">
        <f>SUMPRODUCT(Calc!$K$3:$K$22*(Calc!$G$3:$G$22&lt;=A1375))</f>
        <v/>
      </c>
      <c r="D1375">
        <f>SUMPRODUCT(Calc!$K$3:$K$22*(Calc!$G$3:$G$22&gt;A1375)*(Calc!$G$3:$G$22&lt;B1375))</f>
        <v/>
      </c>
      <c r="E1375">
        <f>SUMPRODUCT(Calc!$K$3:$K$22*(Calc!$G$3:$G$22&gt;=B1375))</f>
        <v/>
      </c>
      <c r="F1375">
        <f>AND(k_n&gt;=5,B1375&gt;A1375+1E-9,C1375&gt;=2,D1375&gt;=1,E1375&gt;=2)</f>
        <v/>
      </c>
      <c r="G1375">
        <f>SUMPRODUCT(Calc!$K$3:$K$22*(Calc!$G$3:$G$22&gt;A1375)*(Calc!$G$3:$G$22-A1375))</f>
        <v/>
      </c>
      <c r="H1375">
        <f>SUMPRODUCT(Calc!$K$3:$K$22*(Calc!$G$3:$G$22&gt;B1375)*(Calc!$G$3:$G$22-B1375))</f>
        <v/>
      </c>
      <c r="I1375">
        <f>SUMPRODUCT(Calc!$K$3:$K$22*(Calc!$G$3:$G$22&gt;A1375)*(Calc!$G$3:$G$22-A1375)^2)</f>
        <v/>
      </c>
      <c r="J1375">
        <f>SUMPRODUCT(Calc!$K$3:$K$22*(Calc!$G$3:$G$22&gt;B1375)*(Calc!$G$3:$G$22-B1375)^2)</f>
        <v/>
      </c>
      <c r="K1375">
        <f>SUMPRODUCT(Calc!$K$3:$K$22*(Calc!$G$3:$G$22&gt;A1375)*(Calc!$G$3:$G$22-A1375)*(Calc!$G$3:$G$22&gt;B1375)*(Calc!$G$3:$G$22-B1375))</f>
        <v/>
      </c>
      <c r="L1375">
        <f>SUMPRODUCT(Calc!$K$3:$K$22*(Calc!$G$3:$G$22&gt;A1375)*(Calc!$G$3:$G$22-A1375)*Calc!$G$3:$G$22)</f>
        <v/>
      </c>
      <c r="M1375">
        <f>SUMPRODUCT(Calc!$K$3:$K$22*(Calc!$G$3:$G$22&gt;B1375)*(Calc!$G$3:$G$22-B1375)*Calc!$G$3:$G$22)</f>
        <v/>
      </c>
      <c r="N1375">
        <f>SUMPRODUCT(Calc!$K$3:$K$22*(Calc!$G$3:$G$22&gt;A1375)*(Calc!$G$3:$G$22-A1375)*Calc!$I$3:$I$22)</f>
        <v/>
      </c>
      <c r="O1375">
        <f>SUMPRODUCT(Calc!$K$3:$K$22*(Calc!$G$3:$G$22&gt;B1375)*(Calc!$G$3:$G$22-B1375)*Calc!$I$3:$I$22)</f>
        <v/>
      </c>
      <c r="P1375">
        <f>I1375-G1375^2/k_n</f>
        <v/>
      </c>
      <c r="Q1375">
        <f>J1375-H1375^2/k_n</f>
        <v/>
      </c>
      <c r="R1375">
        <f>K1375-G1375*H1375/k_n</f>
        <v/>
      </c>
      <c r="S1375">
        <f>L1375-LTP3!$D$3*G1375/k_n</f>
        <v/>
      </c>
      <c r="T1375">
        <f>M1375-LTP3!$D$3*H1375/k_n</f>
        <v/>
      </c>
      <c r="U1375">
        <f>N1375-G1375*LTP3!$D$4/k_n</f>
        <v/>
      </c>
      <c r="V1375">
        <f>O1375-H1375*LTP3!$D$4/k_n</f>
        <v/>
      </c>
      <c r="W1375">
        <f>((LTP3!$D$5)*((P1375)*(Q1375)-(R1375)*(R1375))-(S1375)*((S1375)*(Q1375)-(R1375)*(T1375))+(T1375)*((S1375)*(R1375)-(P1375)*(T1375)))</f>
        <v/>
      </c>
      <c r="X1375">
        <f>IF(ABS(W1375)&gt;1E-12,((LTP3!$D$6)*((P1375)*(Q1375)-(R1375)*(R1375))-(S1375)*((U1375)*(Q1375)-(R1375)*(V1375))+(T1375)*((U1375)*(R1375)-(P1375)*(V1375)))/W1375,0)</f>
        <v/>
      </c>
      <c r="Y1375">
        <f>IF(ABS(W1375)&gt;1E-12,((LTP3!$D$5)*((U1375)*(Q1375)-(R1375)*(V1375))-(LTP3!$D$6)*((S1375)*(Q1375)-(R1375)*(T1375))+(T1375)*((S1375)*(V1375)-(U1375)*(T1375)))/W1375,0)</f>
        <v/>
      </c>
      <c r="Z1375">
        <f>IF(ABS(W1375)&gt;1E-12,((LTP3!$D$5)*((P1375)*(V1375)-(U1375)*(R1375))-(S1375)*((S1375)*(V1375)-(U1375)*(T1375))+(LTP3!$D$6)*((S1375)*(R1375)-(P1375)*(T1375)))/W1375,0)</f>
        <v/>
      </c>
      <c r="AA1375">
        <f>LTP3!$D$7-X1375*LTP3!$D$6-Y1375*U1375-Z1375*V1375</f>
        <v/>
      </c>
      <c r="AB1375">
        <f>IF(AND(F1375,ABS(W1375)&gt;1E-12,Y1375&gt;0,Z1375&gt;0),AA1375,1E+300)</f>
        <v/>
      </c>
    </row>
    <row r="1376">
      <c r="A1376">
        <f>$B$3+$B$5*22</f>
        <v/>
      </c>
      <c r="B1376">
        <f>$B$3+$B$5*22</f>
        <v/>
      </c>
      <c r="C1376">
        <f>SUMPRODUCT(Calc!$K$3:$K$22*(Calc!$G$3:$G$22&lt;=A1376))</f>
        <v/>
      </c>
      <c r="D1376">
        <f>SUMPRODUCT(Calc!$K$3:$K$22*(Calc!$G$3:$G$22&gt;A1376)*(Calc!$G$3:$G$22&lt;B1376))</f>
        <v/>
      </c>
      <c r="E1376">
        <f>SUMPRODUCT(Calc!$K$3:$K$22*(Calc!$G$3:$G$22&gt;=B1376))</f>
        <v/>
      </c>
      <c r="F1376">
        <f>AND(k_n&gt;=5,B1376&gt;A1376+1E-9,C1376&gt;=2,D1376&gt;=1,E1376&gt;=2)</f>
        <v/>
      </c>
      <c r="G1376">
        <f>SUMPRODUCT(Calc!$K$3:$K$22*(Calc!$G$3:$G$22&gt;A1376)*(Calc!$G$3:$G$22-A1376))</f>
        <v/>
      </c>
      <c r="H1376">
        <f>SUMPRODUCT(Calc!$K$3:$K$22*(Calc!$G$3:$G$22&gt;B1376)*(Calc!$G$3:$G$22-B1376))</f>
        <v/>
      </c>
      <c r="I1376">
        <f>SUMPRODUCT(Calc!$K$3:$K$22*(Calc!$G$3:$G$22&gt;A1376)*(Calc!$G$3:$G$22-A1376)^2)</f>
        <v/>
      </c>
      <c r="J1376">
        <f>SUMPRODUCT(Calc!$K$3:$K$22*(Calc!$G$3:$G$22&gt;B1376)*(Calc!$G$3:$G$22-B1376)^2)</f>
        <v/>
      </c>
      <c r="K1376">
        <f>SUMPRODUCT(Calc!$K$3:$K$22*(Calc!$G$3:$G$22&gt;A1376)*(Calc!$G$3:$G$22-A1376)*(Calc!$G$3:$G$22&gt;B1376)*(Calc!$G$3:$G$22-B1376))</f>
        <v/>
      </c>
      <c r="L1376">
        <f>SUMPRODUCT(Calc!$K$3:$K$22*(Calc!$G$3:$G$22&gt;A1376)*(Calc!$G$3:$G$22-A1376)*Calc!$G$3:$G$22)</f>
        <v/>
      </c>
      <c r="M1376">
        <f>SUMPRODUCT(Calc!$K$3:$K$22*(Calc!$G$3:$G$22&gt;B1376)*(Calc!$G$3:$G$22-B1376)*Calc!$G$3:$G$22)</f>
        <v/>
      </c>
      <c r="N1376">
        <f>SUMPRODUCT(Calc!$K$3:$K$22*(Calc!$G$3:$G$22&gt;A1376)*(Calc!$G$3:$G$22-A1376)*Calc!$I$3:$I$22)</f>
        <v/>
      </c>
      <c r="O1376">
        <f>SUMPRODUCT(Calc!$K$3:$K$22*(Calc!$G$3:$G$22&gt;B1376)*(Calc!$G$3:$G$22-B1376)*Calc!$I$3:$I$22)</f>
        <v/>
      </c>
      <c r="P1376">
        <f>I1376-G1376^2/k_n</f>
        <v/>
      </c>
      <c r="Q1376">
        <f>J1376-H1376^2/k_n</f>
        <v/>
      </c>
      <c r="R1376">
        <f>K1376-G1376*H1376/k_n</f>
        <v/>
      </c>
      <c r="S1376">
        <f>L1376-LTP3!$D$3*G1376/k_n</f>
        <v/>
      </c>
      <c r="T1376">
        <f>M1376-LTP3!$D$3*H1376/k_n</f>
        <v/>
      </c>
      <c r="U1376">
        <f>N1376-G1376*LTP3!$D$4/k_n</f>
        <v/>
      </c>
      <c r="V1376">
        <f>O1376-H1376*LTP3!$D$4/k_n</f>
        <v/>
      </c>
      <c r="W1376">
        <f>((LTP3!$D$5)*((P1376)*(Q1376)-(R1376)*(R1376))-(S1376)*((S1376)*(Q1376)-(R1376)*(T1376))+(T1376)*((S1376)*(R1376)-(P1376)*(T1376)))</f>
        <v/>
      </c>
      <c r="X1376">
        <f>IF(ABS(W1376)&gt;1E-12,((LTP3!$D$6)*((P1376)*(Q1376)-(R1376)*(R1376))-(S1376)*((U1376)*(Q1376)-(R1376)*(V1376))+(T1376)*((U1376)*(R1376)-(P1376)*(V1376)))/W1376,0)</f>
        <v/>
      </c>
      <c r="Y1376">
        <f>IF(ABS(W1376)&gt;1E-12,((LTP3!$D$5)*((U1376)*(Q1376)-(R1376)*(V1376))-(LTP3!$D$6)*((S1376)*(Q1376)-(R1376)*(T1376))+(T1376)*((S1376)*(V1376)-(U1376)*(T1376)))/W1376,0)</f>
        <v/>
      </c>
      <c r="Z1376">
        <f>IF(ABS(W1376)&gt;1E-12,((LTP3!$D$5)*((P1376)*(V1376)-(U1376)*(R1376))-(S1376)*((S1376)*(V1376)-(U1376)*(T1376))+(LTP3!$D$6)*((S1376)*(R1376)-(P1376)*(T1376)))/W1376,0)</f>
        <v/>
      </c>
      <c r="AA1376">
        <f>LTP3!$D$7-X1376*LTP3!$D$6-Y1376*U1376-Z1376*V1376</f>
        <v/>
      </c>
      <c r="AB1376">
        <f>IF(AND(F1376,ABS(W1376)&gt;1E-12,Y1376&gt;0,Z1376&gt;0),AA1376,1E+300)</f>
        <v/>
      </c>
    </row>
    <row r="1377">
      <c r="A1377">
        <f>$B$3+$B$5*22</f>
        <v/>
      </c>
      <c r="B1377">
        <f>$B$3+$B$5*23</f>
        <v/>
      </c>
      <c r="C1377">
        <f>SUMPRODUCT(Calc!$K$3:$K$22*(Calc!$G$3:$G$22&lt;=A1377))</f>
        <v/>
      </c>
      <c r="D1377">
        <f>SUMPRODUCT(Calc!$K$3:$K$22*(Calc!$G$3:$G$22&gt;A1377)*(Calc!$G$3:$G$22&lt;B1377))</f>
        <v/>
      </c>
      <c r="E1377">
        <f>SUMPRODUCT(Calc!$K$3:$K$22*(Calc!$G$3:$G$22&gt;=B1377))</f>
        <v/>
      </c>
      <c r="F1377">
        <f>AND(k_n&gt;=5,B1377&gt;A1377+1E-9,C1377&gt;=2,D1377&gt;=1,E1377&gt;=2)</f>
        <v/>
      </c>
      <c r="G1377">
        <f>SUMPRODUCT(Calc!$K$3:$K$22*(Calc!$G$3:$G$22&gt;A1377)*(Calc!$G$3:$G$22-A1377))</f>
        <v/>
      </c>
      <c r="H1377">
        <f>SUMPRODUCT(Calc!$K$3:$K$22*(Calc!$G$3:$G$22&gt;B1377)*(Calc!$G$3:$G$22-B1377))</f>
        <v/>
      </c>
      <c r="I1377">
        <f>SUMPRODUCT(Calc!$K$3:$K$22*(Calc!$G$3:$G$22&gt;A1377)*(Calc!$G$3:$G$22-A1377)^2)</f>
        <v/>
      </c>
      <c r="J1377">
        <f>SUMPRODUCT(Calc!$K$3:$K$22*(Calc!$G$3:$G$22&gt;B1377)*(Calc!$G$3:$G$22-B1377)^2)</f>
        <v/>
      </c>
      <c r="K1377">
        <f>SUMPRODUCT(Calc!$K$3:$K$22*(Calc!$G$3:$G$22&gt;A1377)*(Calc!$G$3:$G$22-A1377)*(Calc!$G$3:$G$22&gt;B1377)*(Calc!$G$3:$G$22-B1377))</f>
        <v/>
      </c>
      <c r="L1377">
        <f>SUMPRODUCT(Calc!$K$3:$K$22*(Calc!$G$3:$G$22&gt;A1377)*(Calc!$G$3:$G$22-A1377)*Calc!$G$3:$G$22)</f>
        <v/>
      </c>
      <c r="M1377">
        <f>SUMPRODUCT(Calc!$K$3:$K$22*(Calc!$G$3:$G$22&gt;B1377)*(Calc!$G$3:$G$22-B1377)*Calc!$G$3:$G$22)</f>
        <v/>
      </c>
      <c r="N1377">
        <f>SUMPRODUCT(Calc!$K$3:$K$22*(Calc!$G$3:$G$22&gt;A1377)*(Calc!$G$3:$G$22-A1377)*Calc!$I$3:$I$22)</f>
        <v/>
      </c>
      <c r="O1377">
        <f>SUMPRODUCT(Calc!$K$3:$K$22*(Calc!$G$3:$G$22&gt;B1377)*(Calc!$G$3:$G$22-B1377)*Calc!$I$3:$I$22)</f>
        <v/>
      </c>
      <c r="P1377">
        <f>I1377-G1377^2/k_n</f>
        <v/>
      </c>
      <c r="Q1377">
        <f>J1377-H1377^2/k_n</f>
        <v/>
      </c>
      <c r="R1377">
        <f>K1377-G1377*H1377/k_n</f>
        <v/>
      </c>
      <c r="S1377">
        <f>L1377-LTP3!$D$3*G1377/k_n</f>
        <v/>
      </c>
      <c r="T1377">
        <f>M1377-LTP3!$D$3*H1377/k_n</f>
        <v/>
      </c>
      <c r="U1377">
        <f>N1377-G1377*LTP3!$D$4/k_n</f>
        <v/>
      </c>
      <c r="V1377">
        <f>O1377-H1377*LTP3!$D$4/k_n</f>
        <v/>
      </c>
      <c r="W1377">
        <f>((LTP3!$D$5)*((P1377)*(Q1377)-(R1377)*(R1377))-(S1377)*((S1377)*(Q1377)-(R1377)*(T1377))+(T1377)*((S1377)*(R1377)-(P1377)*(T1377)))</f>
        <v/>
      </c>
      <c r="X1377">
        <f>IF(ABS(W1377)&gt;1E-12,((LTP3!$D$6)*((P1377)*(Q1377)-(R1377)*(R1377))-(S1377)*((U1377)*(Q1377)-(R1377)*(V1377))+(T1377)*((U1377)*(R1377)-(P1377)*(V1377)))/W1377,0)</f>
        <v/>
      </c>
      <c r="Y1377">
        <f>IF(ABS(W1377)&gt;1E-12,((LTP3!$D$5)*((U1377)*(Q1377)-(R1377)*(V1377))-(LTP3!$D$6)*((S1377)*(Q1377)-(R1377)*(T1377))+(T1377)*((S1377)*(V1377)-(U1377)*(T1377)))/W1377,0)</f>
        <v/>
      </c>
      <c r="Z1377">
        <f>IF(ABS(W1377)&gt;1E-12,((LTP3!$D$5)*((P1377)*(V1377)-(U1377)*(R1377))-(S1377)*((S1377)*(V1377)-(U1377)*(T1377))+(LTP3!$D$6)*((S1377)*(R1377)-(P1377)*(T1377)))/W1377,0)</f>
        <v/>
      </c>
      <c r="AA1377">
        <f>LTP3!$D$7-X1377*LTP3!$D$6-Y1377*U1377-Z1377*V1377</f>
        <v/>
      </c>
      <c r="AB1377">
        <f>IF(AND(F1377,ABS(W1377)&gt;1E-12,Y1377&gt;0,Z1377&gt;0),AA1377,1E+300)</f>
        <v/>
      </c>
    </row>
    <row r="1378">
      <c r="A1378">
        <f>$B$3+$B$5*22</f>
        <v/>
      </c>
      <c r="B1378">
        <f>$B$3+$B$5*24</f>
        <v/>
      </c>
      <c r="C1378">
        <f>SUMPRODUCT(Calc!$K$3:$K$22*(Calc!$G$3:$G$22&lt;=A1378))</f>
        <v/>
      </c>
      <c r="D1378">
        <f>SUMPRODUCT(Calc!$K$3:$K$22*(Calc!$G$3:$G$22&gt;A1378)*(Calc!$G$3:$G$22&lt;B1378))</f>
        <v/>
      </c>
      <c r="E1378">
        <f>SUMPRODUCT(Calc!$K$3:$K$22*(Calc!$G$3:$G$22&gt;=B1378))</f>
        <v/>
      </c>
      <c r="F1378">
        <f>AND(k_n&gt;=5,B1378&gt;A1378+1E-9,C1378&gt;=2,D1378&gt;=1,E1378&gt;=2)</f>
        <v/>
      </c>
      <c r="G1378">
        <f>SUMPRODUCT(Calc!$K$3:$K$22*(Calc!$G$3:$G$22&gt;A1378)*(Calc!$G$3:$G$22-A1378))</f>
        <v/>
      </c>
      <c r="H1378">
        <f>SUMPRODUCT(Calc!$K$3:$K$22*(Calc!$G$3:$G$22&gt;B1378)*(Calc!$G$3:$G$22-B1378))</f>
        <v/>
      </c>
      <c r="I1378">
        <f>SUMPRODUCT(Calc!$K$3:$K$22*(Calc!$G$3:$G$22&gt;A1378)*(Calc!$G$3:$G$22-A1378)^2)</f>
        <v/>
      </c>
      <c r="J1378">
        <f>SUMPRODUCT(Calc!$K$3:$K$22*(Calc!$G$3:$G$22&gt;B1378)*(Calc!$G$3:$G$22-B1378)^2)</f>
        <v/>
      </c>
      <c r="K1378">
        <f>SUMPRODUCT(Calc!$K$3:$K$22*(Calc!$G$3:$G$22&gt;A1378)*(Calc!$G$3:$G$22-A1378)*(Calc!$G$3:$G$22&gt;B1378)*(Calc!$G$3:$G$22-B1378))</f>
        <v/>
      </c>
      <c r="L1378">
        <f>SUMPRODUCT(Calc!$K$3:$K$22*(Calc!$G$3:$G$22&gt;A1378)*(Calc!$G$3:$G$22-A1378)*Calc!$G$3:$G$22)</f>
        <v/>
      </c>
      <c r="M1378">
        <f>SUMPRODUCT(Calc!$K$3:$K$22*(Calc!$G$3:$G$22&gt;B1378)*(Calc!$G$3:$G$22-B1378)*Calc!$G$3:$G$22)</f>
        <v/>
      </c>
      <c r="N1378">
        <f>SUMPRODUCT(Calc!$K$3:$K$22*(Calc!$G$3:$G$22&gt;A1378)*(Calc!$G$3:$G$22-A1378)*Calc!$I$3:$I$22)</f>
        <v/>
      </c>
      <c r="O1378">
        <f>SUMPRODUCT(Calc!$K$3:$K$22*(Calc!$G$3:$G$22&gt;B1378)*(Calc!$G$3:$G$22-B1378)*Calc!$I$3:$I$22)</f>
        <v/>
      </c>
      <c r="P1378">
        <f>I1378-G1378^2/k_n</f>
        <v/>
      </c>
      <c r="Q1378">
        <f>J1378-H1378^2/k_n</f>
        <v/>
      </c>
      <c r="R1378">
        <f>K1378-G1378*H1378/k_n</f>
        <v/>
      </c>
      <c r="S1378">
        <f>L1378-LTP3!$D$3*G1378/k_n</f>
        <v/>
      </c>
      <c r="T1378">
        <f>M1378-LTP3!$D$3*H1378/k_n</f>
        <v/>
      </c>
      <c r="U1378">
        <f>N1378-G1378*LTP3!$D$4/k_n</f>
        <v/>
      </c>
      <c r="V1378">
        <f>O1378-H1378*LTP3!$D$4/k_n</f>
        <v/>
      </c>
      <c r="W1378">
        <f>((LTP3!$D$5)*((P1378)*(Q1378)-(R1378)*(R1378))-(S1378)*((S1378)*(Q1378)-(R1378)*(T1378))+(T1378)*((S1378)*(R1378)-(P1378)*(T1378)))</f>
        <v/>
      </c>
      <c r="X1378">
        <f>IF(ABS(W1378)&gt;1E-12,((LTP3!$D$6)*((P1378)*(Q1378)-(R1378)*(R1378))-(S1378)*((U1378)*(Q1378)-(R1378)*(V1378))+(T1378)*((U1378)*(R1378)-(P1378)*(V1378)))/W1378,0)</f>
        <v/>
      </c>
      <c r="Y1378">
        <f>IF(ABS(W1378)&gt;1E-12,((LTP3!$D$5)*((U1378)*(Q1378)-(R1378)*(V1378))-(LTP3!$D$6)*((S1378)*(Q1378)-(R1378)*(T1378))+(T1378)*((S1378)*(V1378)-(U1378)*(T1378)))/W1378,0)</f>
        <v/>
      </c>
      <c r="Z1378">
        <f>IF(ABS(W1378)&gt;1E-12,((LTP3!$D$5)*((P1378)*(V1378)-(U1378)*(R1378))-(S1378)*((S1378)*(V1378)-(U1378)*(T1378))+(LTP3!$D$6)*((S1378)*(R1378)-(P1378)*(T1378)))/W1378,0)</f>
        <v/>
      </c>
      <c r="AA1378">
        <f>LTP3!$D$7-X1378*LTP3!$D$6-Y1378*U1378-Z1378*V1378</f>
        <v/>
      </c>
      <c r="AB1378">
        <f>IF(AND(F1378,ABS(W1378)&gt;1E-12,Y1378&gt;0,Z1378&gt;0),AA1378,1E+300)</f>
        <v/>
      </c>
    </row>
    <row r="1379">
      <c r="A1379">
        <f>$B$3+$B$5*22</f>
        <v/>
      </c>
      <c r="B1379">
        <f>$B$3+$B$5*25</f>
        <v/>
      </c>
      <c r="C1379">
        <f>SUMPRODUCT(Calc!$K$3:$K$22*(Calc!$G$3:$G$22&lt;=A1379))</f>
        <v/>
      </c>
      <c r="D1379">
        <f>SUMPRODUCT(Calc!$K$3:$K$22*(Calc!$G$3:$G$22&gt;A1379)*(Calc!$G$3:$G$22&lt;B1379))</f>
        <v/>
      </c>
      <c r="E1379">
        <f>SUMPRODUCT(Calc!$K$3:$K$22*(Calc!$G$3:$G$22&gt;=B1379))</f>
        <v/>
      </c>
      <c r="F1379">
        <f>AND(k_n&gt;=5,B1379&gt;A1379+1E-9,C1379&gt;=2,D1379&gt;=1,E1379&gt;=2)</f>
        <v/>
      </c>
      <c r="G1379">
        <f>SUMPRODUCT(Calc!$K$3:$K$22*(Calc!$G$3:$G$22&gt;A1379)*(Calc!$G$3:$G$22-A1379))</f>
        <v/>
      </c>
      <c r="H1379">
        <f>SUMPRODUCT(Calc!$K$3:$K$22*(Calc!$G$3:$G$22&gt;B1379)*(Calc!$G$3:$G$22-B1379))</f>
        <v/>
      </c>
      <c r="I1379">
        <f>SUMPRODUCT(Calc!$K$3:$K$22*(Calc!$G$3:$G$22&gt;A1379)*(Calc!$G$3:$G$22-A1379)^2)</f>
        <v/>
      </c>
      <c r="J1379">
        <f>SUMPRODUCT(Calc!$K$3:$K$22*(Calc!$G$3:$G$22&gt;B1379)*(Calc!$G$3:$G$22-B1379)^2)</f>
        <v/>
      </c>
      <c r="K1379">
        <f>SUMPRODUCT(Calc!$K$3:$K$22*(Calc!$G$3:$G$22&gt;A1379)*(Calc!$G$3:$G$22-A1379)*(Calc!$G$3:$G$22&gt;B1379)*(Calc!$G$3:$G$22-B1379))</f>
        <v/>
      </c>
      <c r="L1379">
        <f>SUMPRODUCT(Calc!$K$3:$K$22*(Calc!$G$3:$G$22&gt;A1379)*(Calc!$G$3:$G$22-A1379)*Calc!$G$3:$G$22)</f>
        <v/>
      </c>
      <c r="M1379">
        <f>SUMPRODUCT(Calc!$K$3:$K$22*(Calc!$G$3:$G$22&gt;B1379)*(Calc!$G$3:$G$22-B1379)*Calc!$G$3:$G$22)</f>
        <v/>
      </c>
      <c r="N1379">
        <f>SUMPRODUCT(Calc!$K$3:$K$22*(Calc!$G$3:$G$22&gt;A1379)*(Calc!$G$3:$G$22-A1379)*Calc!$I$3:$I$22)</f>
        <v/>
      </c>
      <c r="O1379">
        <f>SUMPRODUCT(Calc!$K$3:$K$22*(Calc!$G$3:$G$22&gt;B1379)*(Calc!$G$3:$G$22-B1379)*Calc!$I$3:$I$22)</f>
        <v/>
      </c>
      <c r="P1379">
        <f>I1379-G1379^2/k_n</f>
        <v/>
      </c>
      <c r="Q1379">
        <f>J1379-H1379^2/k_n</f>
        <v/>
      </c>
      <c r="R1379">
        <f>K1379-G1379*H1379/k_n</f>
        <v/>
      </c>
      <c r="S1379">
        <f>L1379-LTP3!$D$3*G1379/k_n</f>
        <v/>
      </c>
      <c r="T1379">
        <f>M1379-LTP3!$D$3*H1379/k_n</f>
        <v/>
      </c>
      <c r="U1379">
        <f>N1379-G1379*LTP3!$D$4/k_n</f>
        <v/>
      </c>
      <c r="V1379">
        <f>O1379-H1379*LTP3!$D$4/k_n</f>
        <v/>
      </c>
      <c r="W1379">
        <f>((LTP3!$D$5)*((P1379)*(Q1379)-(R1379)*(R1379))-(S1379)*((S1379)*(Q1379)-(R1379)*(T1379))+(T1379)*((S1379)*(R1379)-(P1379)*(T1379)))</f>
        <v/>
      </c>
      <c r="X1379">
        <f>IF(ABS(W1379)&gt;1E-12,((LTP3!$D$6)*((P1379)*(Q1379)-(R1379)*(R1379))-(S1379)*((U1379)*(Q1379)-(R1379)*(V1379))+(T1379)*((U1379)*(R1379)-(P1379)*(V1379)))/W1379,0)</f>
        <v/>
      </c>
      <c r="Y1379">
        <f>IF(ABS(W1379)&gt;1E-12,((LTP3!$D$5)*((U1379)*(Q1379)-(R1379)*(V1379))-(LTP3!$D$6)*((S1379)*(Q1379)-(R1379)*(T1379))+(T1379)*((S1379)*(V1379)-(U1379)*(T1379)))/W1379,0)</f>
        <v/>
      </c>
      <c r="Z1379">
        <f>IF(ABS(W1379)&gt;1E-12,((LTP3!$D$5)*((P1379)*(V1379)-(U1379)*(R1379))-(S1379)*((S1379)*(V1379)-(U1379)*(T1379))+(LTP3!$D$6)*((S1379)*(R1379)-(P1379)*(T1379)))/W1379,0)</f>
        <v/>
      </c>
      <c r="AA1379">
        <f>LTP3!$D$7-X1379*LTP3!$D$6-Y1379*U1379-Z1379*V1379</f>
        <v/>
      </c>
      <c r="AB1379">
        <f>IF(AND(F1379,ABS(W1379)&gt;1E-12,Y1379&gt;0,Z1379&gt;0),AA1379,1E+300)</f>
        <v/>
      </c>
    </row>
    <row r="1380">
      <c r="A1380">
        <f>$B$3+$B$5*22</f>
        <v/>
      </c>
      <c r="B1380">
        <f>$B$3+$B$5*26</f>
        <v/>
      </c>
      <c r="C1380">
        <f>SUMPRODUCT(Calc!$K$3:$K$22*(Calc!$G$3:$G$22&lt;=A1380))</f>
        <v/>
      </c>
      <c r="D1380">
        <f>SUMPRODUCT(Calc!$K$3:$K$22*(Calc!$G$3:$G$22&gt;A1380)*(Calc!$G$3:$G$22&lt;B1380))</f>
        <v/>
      </c>
      <c r="E1380">
        <f>SUMPRODUCT(Calc!$K$3:$K$22*(Calc!$G$3:$G$22&gt;=B1380))</f>
        <v/>
      </c>
      <c r="F1380">
        <f>AND(k_n&gt;=5,B1380&gt;A1380+1E-9,C1380&gt;=2,D1380&gt;=1,E1380&gt;=2)</f>
        <v/>
      </c>
      <c r="G1380">
        <f>SUMPRODUCT(Calc!$K$3:$K$22*(Calc!$G$3:$G$22&gt;A1380)*(Calc!$G$3:$G$22-A1380))</f>
        <v/>
      </c>
      <c r="H1380">
        <f>SUMPRODUCT(Calc!$K$3:$K$22*(Calc!$G$3:$G$22&gt;B1380)*(Calc!$G$3:$G$22-B1380))</f>
        <v/>
      </c>
      <c r="I1380">
        <f>SUMPRODUCT(Calc!$K$3:$K$22*(Calc!$G$3:$G$22&gt;A1380)*(Calc!$G$3:$G$22-A1380)^2)</f>
        <v/>
      </c>
      <c r="J1380">
        <f>SUMPRODUCT(Calc!$K$3:$K$22*(Calc!$G$3:$G$22&gt;B1380)*(Calc!$G$3:$G$22-B1380)^2)</f>
        <v/>
      </c>
      <c r="K1380">
        <f>SUMPRODUCT(Calc!$K$3:$K$22*(Calc!$G$3:$G$22&gt;A1380)*(Calc!$G$3:$G$22-A1380)*(Calc!$G$3:$G$22&gt;B1380)*(Calc!$G$3:$G$22-B1380))</f>
        <v/>
      </c>
      <c r="L1380">
        <f>SUMPRODUCT(Calc!$K$3:$K$22*(Calc!$G$3:$G$22&gt;A1380)*(Calc!$G$3:$G$22-A1380)*Calc!$G$3:$G$22)</f>
        <v/>
      </c>
      <c r="M1380">
        <f>SUMPRODUCT(Calc!$K$3:$K$22*(Calc!$G$3:$G$22&gt;B1380)*(Calc!$G$3:$G$22-B1380)*Calc!$G$3:$G$22)</f>
        <v/>
      </c>
      <c r="N1380">
        <f>SUMPRODUCT(Calc!$K$3:$K$22*(Calc!$G$3:$G$22&gt;A1380)*(Calc!$G$3:$G$22-A1380)*Calc!$I$3:$I$22)</f>
        <v/>
      </c>
      <c r="O1380">
        <f>SUMPRODUCT(Calc!$K$3:$K$22*(Calc!$G$3:$G$22&gt;B1380)*(Calc!$G$3:$G$22-B1380)*Calc!$I$3:$I$22)</f>
        <v/>
      </c>
      <c r="P1380">
        <f>I1380-G1380^2/k_n</f>
        <v/>
      </c>
      <c r="Q1380">
        <f>J1380-H1380^2/k_n</f>
        <v/>
      </c>
      <c r="R1380">
        <f>K1380-G1380*H1380/k_n</f>
        <v/>
      </c>
      <c r="S1380">
        <f>L1380-LTP3!$D$3*G1380/k_n</f>
        <v/>
      </c>
      <c r="T1380">
        <f>M1380-LTP3!$D$3*H1380/k_n</f>
        <v/>
      </c>
      <c r="U1380">
        <f>N1380-G1380*LTP3!$D$4/k_n</f>
        <v/>
      </c>
      <c r="V1380">
        <f>O1380-H1380*LTP3!$D$4/k_n</f>
        <v/>
      </c>
      <c r="W1380">
        <f>((LTP3!$D$5)*((P1380)*(Q1380)-(R1380)*(R1380))-(S1380)*((S1380)*(Q1380)-(R1380)*(T1380))+(T1380)*((S1380)*(R1380)-(P1380)*(T1380)))</f>
        <v/>
      </c>
      <c r="X1380">
        <f>IF(ABS(W1380)&gt;1E-12,((LTP3!$D$6)*((P1380)*(Q1380)-(R1380)*(R1380))-(S1380)*((U1380)*(Q1380)-(R1380)*(V1380))+(T1380)*((U1380)*(R1380)-(P1380)*(V1380)))/W1380,0)</f>
        <v/>
      </c>
      <c r="Y1380">
        <f>IF(ABS(W1380)&gt;1E-12,((LTP3!$D$5)*((U1380)*(Q1380)-(R1380)*(V1380))-(LTP3!$D$6)*((S1380)*(Q1380)-(R1380)*(T1380))+(T1380)*((S1380)*(V1380)-(U1380)*(T1380)))/W1380,0)</f>
        <v/>
      </c>
      <c r="Z1380">
        <f>IF(ABS(W1380)&gt;1E-12,((LTP3!$D$5)*((P1380)*(V1380)-(U1380)*(R1380))-(S1380)*((S1380)*(V1380)-(U1380)*(T1380))+(LTP3!$D$6)*((S1380)*(R1380)-(P1380)*(T1380)))/W1380,0)</f>
        <v/>
      </c>
      <c r="AA1380">
        <f>LTP3!$D$7-X1380*LTP3!$D$6-Y1380*U1380-Z1380*V1380</f>
        <v/>
      </c>
      <c r="AB1380">
        <f>IF(AND(F1380,ABS(W1380)&gt;1E-12,Y1380&gt;0,Z1380&gt;0),AA1380,1E+300)</f>
        <v/>
      </c>
    </row>
    <row r="1381">
      <c r="A1381">
        <f>$B$3+$B$5*22</f>
        <v/>
      </c>
      <c r="B1381">
        <f>$B$3+$B$5*27</f>
        <v/>
      </c>
      <c r="C1381">
        <f>SUMPRODUCT(Calc!$K$3:$K$22*(Calc!$G$3:$G$22&lt;=A1381))</f>
        <v/>
      </c>
      <c r="D1381">
        <f>SUMPRODUCT(Calc!$K$3:$K$22*(Calc!$G$3:$G$22&gt;A1381)*(Calc!$G$3:$G$22&lt;B1381))</f>
        <v/>
      </c>
      <c r="E1381">
        <f>SUMPRODUCT(Calc!$K$3:$K$22*(Calc!$G$3:$G$22&gt;=B1381))</f>
        <v/>
      </c>
      <c r="F1381">
        <f>AND(k_n&gt;=5,B1381&gt;A1381+1E-9,C1381&gt;=2,D1381&gt;=1,E1381&gt;=2)</f>
        <v/>
      </c>
      <c r="G1381">
        <f>SUMPRODUCT(Calc!$K$3:$K$22*(Calc!$G$3:$G$22&gt;A1381)*(Calc!$G$3:$G$22-A1381))</f>
        <v/>
      </c>
      <c r="H1381">
        <f>SUMPRODUCT(Calc!$K$3:$K$22*(Calc!$G$3:$G$22&gt;B1381)*(Calc!$G$3:$G$22-B1381))</f>
        <v/>
      </c>
      <c r="I1381">
        <f>SUMPRODUCT(Calc!$K$3:$K$22*(Calc!$G$3:$G$22&gt;A1381)*(Calc!$G$3:$G$22-A1381)^2)</f>
        <v/>
      </c>
      <c r="J1381">
        <f>SUMPRODUCT(Calc!$K$3:$K$22*(Calc!$G$3:$G$22&gt;B1381)*(Calc!$G$3:$G$22-B1381)^2)</f>
        <v/>
      </c>
      <c r="K1381">
        <f>SUMPRODUCT(Calc!$K$3:$K$22*(Calc!$G$3:$G$22&gt;A1381)*(Calc!$G$3:$G$22-A1381)*(Calc!$G$3:$G$22&gt;B1381)*(Calc!$G$3:$G$22-B1381))</f>
        <v/>
      </c>
      <c r="L1381">
        <f>SUMPRODUCT(Calc!$K$3:$K$22*(Calc!$G$3:$G$22&gt;A1381)*(Calc!$G$3:$G$22-A1381)*Calc!$G$3:$G$22)</f>
        <v/>
      </c>
      <c r="M1381">
        <f>SUMPRODUCT(Calc!$K$3:$K$22*(Calc!$G$3:$G$22&gt;B1381)*(Calc!$G$3:$G$22-B1381)*Calc!$G$3:$G$22)</f>
        <v/>
      </c>
      <c r="N1381">
        <f>SUMPRODUCT(Calc!$K$3:$K$22*(Calc!$G$3:$G$22&gt;A1381)*(Calc!$G$3:$G$22-A1381)*Calc!$I$3:$I$22)</f>
        <v/>
      </c>
      <c r="O1381">
        <f>SUMPRODUCT(Calc!$K$3:$K$22*(Calc!$G$3:$G$22&gt;B1381)*(Calc!$G$3:$G$22-B1381)*Calc!$I$3:$I$22)</f>
        <v/>
      </c>
      <c r="P1381">
        <f>I1381-G1381^2/k_n</f>
        <v/>
      </c>
      <c r="Q1381">
        <f>J1381-H1381^2/k_n</f>
        <v/>
      </c>
      <c r="R1381">
        <f>K1381-G1381*H1381/k_n</f>
        <v/>
      </c>
      <c r="S1381">
        <f>L1381-LTP3!$D$3*G1381/k_n</f>
        <v/>
      </c>
      <c r="T1381">
        <f>M1381-LTP3!$D$3*H1381/k_n</f>
        <v/>
      </c>
      <c r="U1381">
        <f>N1381-G1381*LTP3!$D$4/k_n</f>
        <v/>
      </c>
      <c r="V1381">
        <f>O1381-H1381*LTP3!$D$4/k_n</f>
        <v/>
      </c>
      <c r="W1381">
        <f>((LTP3!$D$5)*((P1381)*(Q1381)-(R1381)*(R1381))-(S1381)*((S1381)*(Q1381)-(R1381)*(T1381))+(T1381)*((S1381)*(R1381)-(P1381)*(T1381)))</f>
        <v/>
      </c>
      <c r="X1381">
        <f>IF(ABS(W1381)&gt;1E-12,((LTP3!$D$6)*((P1381)*(Q1381)-(R1381)*(R1381))-(S1381)*((U1381)*(Q1381)-(R1381)*(V1381))+(T1381)*((U1381)*(R1381)-(P1381)*(V1381)))/W1381,0)</f>
        <v/>
      </c>
      <c r="Y1381">
        <f>IF(ABS(W1381)&gt;1E-12,((LTP3!$D$5)*((U1381)*(Q1381)-(R1381)*(V1381))-(LTP3!$D$6)*((S1381)*(Q1381)-(R1381)*(T1381))+(T1381)*((S1381)*(V1381)-(U1381)*(T1381)))/W1381,0)</f>
        <v/>
      </c>
      <c r="Z1381">
        <f>IF(ABS(W1381)&gt;1E-12,((LTP3!$D$5)*((P1381)*(V1381)-(U1381)*(R1381))-(S1381)*((S1381)*(V1381)-(U1381)*(T1381))+(LTP3!$D$6)*((S1381)*(R1381)-(P1381)*(T1381)))/W1381,0)</f>
        <v/>
      </c>
      <c r="AA1381">
        <f>LTP3!$D$7-X1381*LTP3!$D$6-Y1381*U1381-Z1381*V1381</f>
        <v/>
      </c>
      <c r="AB1381">
        <f>IF(AND(F1381,ABS(W1381)&gt;1E-12,Y1381&gt;0,Z1381&gt;0),AA1381,1E+300)</f>
        <v/>
      </c>
    </row>
    <row r="1382">
      <c r="A1382">
        <f>$B$3+$B$5*22</f>
        <v/>
      </c>
      <c r="B1382">
        <f>$B$3+$B$5*28</f>
        <v/>
      </c>
      <c r="C1382">
        <f>SUMPRODUCT(Calc!$K$3:$K$22*(Calc!$G$3:$G$22&lt;=A1382))</f>
        <v/>
      </c>
      <c r="D1382">
        <f>SUMPRODUCT(Calc!$K$3:$K$22*(Calc!$G$3:$G$22&gt;A1382)*(Calc!$G$3:$G$22&lt;B1382))</f>
        <v/>
      </c>
      <c r="E1382">
        <f>SUMPRODUCT(Calc!$K$3:$K$22*(Calc!$G$3:$G$22&gt;=B1382))</f>
        <v/>
      </c>
      <c r="F1382">
        <f>AND(k_n&gt;=5,B1382&gt;A1382+1E-9,C1382&gt;=2,D1382&gt;=1,E1382&gt;=2)</f>
        <v/>
      </c>
      <c r="G1382">
        <f>SUMPRODUCT(Calc!$K$3:$K$22*(Calc!$G$3:$G$22&gt;A1382)*(Calc!$G$3:$G$22-A1382))</f>
        <v/>
      </c>
      <c r="H1382">
        <f>SUMPRODUCT(Calc!$K$3:$K$22*(Calc!$G$3:$G$22&gt;B1382)*(Calc!$G$3:$G$22-B1382))</f>
        <v/>
      </c>
      <c r="I1382">
        <f>SUMPRODUCT(Calc!$K$3:$K$22*(Calc!$G$3:$G$22&gt;A1382)*(Calc!$G$3:$G$22-A1382)^2)</f>
        <v/>
      </c>
      <c r="J1382">
        <f>SUMPRODUCT(Calc!$K$3:$K$22*(Calc!$G$3:$G$22&gt;B1382)*(Calc!$G$3:$G$22-B1382)^2)</f>
        <v/>
      </c>
      <c r="K1382">
        <f>SUMPRODUCT(Calc!$K$3:$K$22*(Calc!$G$3:$G$22&gt;A1382)*(Calc!$G$3:$G$22-A1382)*(Calc!$G$3:$G$22&gt;B1382)*(Calc!$G$3:$G$22-B1382))</f>
        <v/>
      </c>
      <c r="L1382">
        <f>SUMPRODUCT(Calc!$K$3:$K$22*(Calc!$G$3:$G$22&gt;A1382)*(Calc!$G$3:$G$22-A1382)*Calc!$G$3:$G$22)</f>
        <v/>
      </c>
      <c r="M1382">
        <f>SUMPRODUCT(Calc!$K$3:$K$22*(Calc!$G$3:$G$22&gt;B1382)*(Calc!$G$3:$G$22-B1382)*Calc!$G$3:$G$22)</f>
        <v/>
      </c>
      <c r="N1382">
        <f>SUMPRODUCT(Calc!$K$3:$K$22*(Calc!$G$3:$G$22&gt;A1382)*(Calc!$G$3:$G$22-A1382)*Calc!$I$3:$I$22)</f>
        <v/>
      </c>
      <c r="O1382">
        <f>SUMPRODUCT(Calc!$K$3:$K$22*(Calc!$G$3:$G$22&gt;B1382)*(Calc!$G$3:$G$22-B1382)*Calc!$I$3:$I$22)</f>
        <v/>
      </c>
      <c r="P1382">
        <f>I1382-G1382^2/k_n</f>
        <v/>
      </c>
      <c r="Q1382">
        <f>J1382-H1382^2/k_n</f>
        <v/>
      </c>
      <c r="R1382">
        <f>K1382-G1382*H1382/k_n</f>
        <v/>
      </c>
      <c r="S1382">
        <f>L1382-LTP3!$D$3*G1382/k_n</f>
        <v/>
      </c>
      <c r="T1382">
        <f>M1382-LTP3!$D$3*H1382/k_n</f>
        <v/>
      </c>
      <c r="U1382">
        <f>N1382-G1382*LTP3!$D$4/k_n</f>
        <v/>
      </c>
      <c r="V1382">
        <f>O1382-H1382*LTP3!$D$4/k_n</f>
        <v/>
      </c>
      <c r="W1382">
        <f>((LTP3!$D$5)*((P1382)*(Q1382)-(R1382)*(R1382))-(S1382)*((S1382)*(Q1382)-(R1382)*(T1382))+(T1382)*((S1382)*(R1382)-(P1382)*(T1382)))</f>
        <v/>
      </c>
      <c r="X1382">
        <f>IF(ABS(W1382)&gt;1E-12,((LTP3!$D$6)*((P1382)*(Q1382)-(R1382)*(R1382))-(S1382)*((U1382)*(Q1382)-(R1382)*(V1382))+(T1382)*((U1382)*(R1382)-(P1382)*(V1382)))/W1382,0)</f>
        <v/>
      </c>
      <c r="Y1382">
        <f>IF(ABS(W1382)&gt;1E-12,((LTP3!$D$5)*((U1382)*(Q1382)-(R1382)*(V1382))-(LTP3!$D$6)*((S1382)*(Q1382)-(R1382)*(T1382))+(T1382)*((S1382)*(V1382)-(U1382)*(T1382)))/W1382,0)</f>
        <v/>
      </c>
      <c r="Z1382">
        <f>IF(ABS(W1382)&gt;1E-12,((LTP3!$D$5)*((P1382)*(V1382)-(U1382)*(R1382))-(S1382)*((S1382)*(V1382)-(U1382)*(T1382))+(LTP3!$D$6)*((S1382)*(R1382)-(P1382)*(T1382)))/W1382,0)</f>
        <v/>
      </c>
      <c r="AA1382">
        <f>LTP3!$D$7-X1382*LTP3!$D$6-Y1382*U1382-Z1382*V1382</f>
        <v/>
      </c>
      <c r="AB1382">
        <f>IF(AND(F1382,ABS(W1382)&gt;1E-12,Y1382&gt;0,Z1382&gt;0),AA1382,1E+300)</f>
        <v/>
      </c>
    </row>
    <row r="1383">
      <c r="A1383">
        <f>$B$3+$B$5*22</f>
        <v/>
      </c>
      <c r="B1383">
        <f>$B$3+$B$5*29</f>
        <v/>
      </c>
      <c r="C1383">
        <f>SUMPRODUCT(Calc!$K$3:$K$22*(Calc!$G$3:$G$22&lt;=A1383))</f>
        <v/>
      </c>
      <c r="D1383">
        <f>SUMPRODUCT(Calc!$K$3:$K$22*(Calc!$G$3:$G$22&gt;A1383)*(Calc!$G$3:$G$22&lt;B1383))</f>
        <v/>
      </c>
      <c r="E1383">
        <f>SUMPRODUCT(Calc!$K$3:$K$22*(Calc!$G$3:$G$22&gt;=B1383))</f>
        <v/>
      </c>
      <c r="F1383">
        <f>AND(k_n&gt;=5,B1383&gt;A1383+1E-9,C1383&gt;=2,D1383&gt;=1,E1383&gt;=2)</f>
        <v/>
      </c>
      <c r="G1383">
        <f>SUMPRODUCT(Calc!$K$3:$K$22*(Calc!$G$3:$G$22&gt;A1383)*(Calc!$G$3:$G$22-A1383))</f>
        <v/>
      </c>
      <c r="H1383">
        <f>SUMPRODUCT(Calc!$K$3:$K$22*(Calc!$G$3:$G$22&gt;B1383)*(Calc!$G$3:$G$22-B1383))</f>
        <v/>
      </c>
      <c r="I1383">
        <f>SUMPRODUCT(Calc!$K$3:$K$22*(Calc!$G$3:$G$22&gt;A1383)*(Calc!$G$3:$G$22-A1383)^2)</f>
        <v/>
      </c>
      <c r="J1383">
        <f>SUMPRODUCT(Calc!$K$3:$K$22*(Calc!$G$3:$G$22&gt;B1383)*(Calc!$G$3:$G$22-B1383)^2)</f>
        <v/>
      </c>
      <c r="K1383">
        <f>SUMPRODUCT(Calc!$K$3:$K$22*(Calc!$G$3:$G$22&gt;A1383)*(Calc!$G$3:$G$22-A1383)*(Calc!$G$3:$G$22&gt;B1383)*(Calc!$G$3:$G$22-B1383))</f>
        <v/>
      </c>
      <c r="L1383">
        <f>SUMPRODUCT(Calc!$K$3:$K$22*(Calc!$G$3:$G$22&gt;A1383)*(Calc!$G$3:$G$22-A1383)*Calc!$G$3:$G$22)</f>
        <v/>
      </c>
      <c r="M1383">
        <f>SUMPRODUCT(Calc!$K$3:$K$22*(Calc!$G$3:$G$22&gt;B1383)*(Calc!$G$3:$G$22-B1383)*Calc!$G$3:$G$22)</f>
        <v/>
      </c>
      <c r="N1383">
        <f>SUMPRODUCT(Calc!$K$3:$K$22*(Calc!$G$3:$G$22&gt;A1383)*(Calc!$G$3:$G$22-A1383)*Calc!$I$3:$I$22)</f>
        <v/>
      </c>
      <c r="O1383">
        <f>SUMPRODUCT(Calc!$K$3:$K$22*(Calc!$G$3:$G$22&gt;B1383)*(Calc!$G$3:$G$22-B1383)*Calc!$I$3:$I$22)</f>
        <v/>
      </c>
      <c r="P1383">
        <f>I1383-G1383^2/k_n</f>
        <v/>
      </c>
      <c r="Q1383">
        <f>J1383-H1383^2/k_n</f>
        <v/>
      </c>
      <c r="R1383">
        <f>K1383-G1383*H1383/k_n</f>
        <v/>
      </c>
      <c r="S1383">
        <f>L1383-LTP3!$D$3*G1383/k_n</f>
        <v/>
      </c>
      <c r="T1383">
        <f>M1383-LTP3!$D$3*H1383/k_n</f>
        <v/>
      </c>
      <c r="U1383">
        <f>N1383-G1383*LTP3!$D$4/k_n</f>
        <v/>
      </c>
      <c r="V1383">
        <f>O1383-H1383*LTP3!$D$4/k_n</f>
        <v/>
      </c>
      <c r="W1383">
        <f>((LTP3!$D$5)*((P1383)*(Q1383)-(R1383)*(R1383))-(S1383)*((S1383)*(Q1383)-(R1383)*(T1383))+(T1383)*((S1383)*(R1383)-(P1383)*(T1383)))</f>
        <v/>
      </c>
      <c r="X1383">
        <f>IF(ABS(W1383)&gt;1E-12,((LTP3!$D$6)*((P1383)*(Q1383)-(R1383)*(R1383))-(S1383)*((U1383)*(Q1383)-(R1383)*(V1383))+(T1383)*((U1383)*(R1383)-(P1383)*(V1383)))/W1383,0)</f>
        <v/>
      </c>
      <c r="Y1383">
        <f>IF(ABS(W1383)&gt;1E-12,((LTP3!$D$5)*((U1383)*(Q1383)-(R1383)*(V1383))-(LTP3!$D$6)*((S1383)*(Q1383)-(R1383)*(T1383))+(T1383)*((S1383)*(V1383)-(U1383)*(T1383)))/W1383,0)</f>
        <v/>
      </c>
      <c r="Z1383">
        <f>IF(ABS(W1383)&gt;1E-12,((LTP3!$D$5)*((P1383)*(V1383)-(U1383)*(R1383))-(S1383)*((S1383)*(V1383)-(U1383)*(T1383))+(LTP3!$D$6)*((S1383)*(R1383)-(P1383)*(T1383)))/W1383,0)</f>
        <v/>
      </c>
      <c r="AA1383">
        <f>LTP3!$D$7-X1383*LTP3!$D$6-Y1383*U1383-Z1383*V1383</f>
        <v/>
      </c>
      <c r="AB1383">
        <f>IF(AND(F1383,ABS(W1383)&gt;1E-12,Y1383&gt;0,Z1383&gt;0),AA1383,1E+300)</f>
        <v/>
      </c>
    </row>
    <row r="1384">
      <c r="A1384">
        <f>$B$3+$B$5*22</f>
        <v/>
      </c>
      <c r="B1384">
        <f>$B$3+$B$5*30</f>
        <v/>
      </c>
      <c r="C1384">
        <f>SUMPRODUCT(Calc!$K$3:$K$22*(Calc!$G$3:$G$22&lt;=A1384))</f>
        <v/>
      </c>
      <c r="D1384">
        <f>SUMPRODUCT(Calc!$K$3:$K$22*(Calc!$G$3:$G$22&gt;A1384)*(Calc!$G$3:$G$22&lt;B1384))</f>
        <v/>
      </c>
      <c r="E1384">
        <f>SUMPRODUCT(Calc!$K$3:$K$22*(Calc!$G$3:$G$22&gt;=B1384))</f>
        <v/>
      </c>
      <c r="F1384">
        <f>AND(k_n&gt;=5,B1384&gt;A1384+1E-9,C1384&gt;=2,D1384&gt;=1,E1384&gt;=2)</f>
        <v/>
      </c>
      <c r="G1384">
        <f>SUMPRODUCT(Calc!$K$3:$K$22*(Calc!$G$3:$G$22&gt;A1384)*(Calc!$G$3:$G$22-A1384))</f>
        <v/>
      </c>
      <c r="H1384">
        <f>SUMPRODUCT(Calc!$K$3:$K$22*(Calc!$G$3:$G$22&gt;B1384)*(Calc!$G$3:$G$22-B1384))</f>
        <v/>
      </c>
      <c r="I1384">
        <f>SUMPRODUCT(Calc!$K$3:$K$22*(Calc!$G$3:$G$22&gt;A1384)*(Calc!$G$3:$G$22-A1384)^2)</f>
        <v/>
      </c>
      <c r="J1384">
        <f>SUMPRODUCT(Calc!$K$3:$K$22*(Calc!$G$3:$G$22&gt;B1384)*(Calc!$G$3:$G$22-B1384)^2)</f>
        <v/>
      </c>
      <c r="K1384">
        <f>SUMPRODUCT(Calc!$K$3:$K$22*(Calc!$G$3:$G$22&gt;A1384)*(Calc!$G$3:$G$22-A1384)*(Calc!$G$3:$G$22&gt;B1384)*(Calc!$G$3:$G$22-B1384))</f>
        <v/>
      </c>
      <c r="L1384">
        <f>SUMPRODUCT(Calc!$K$3:$K$22*(Calc!$G$3:$G$22&gt;A1384)*(Calc!$G$3:$G$22-A1384)*Calc!$G$3:$G$22)</f>
        <v/>
      </c>
      <c r="M1384">
        <f>SUMPRODUCT(Calc!$K$3:$K$22*(Calc!$G$3:$G$22&gt;B1384)*(Calc!$G$3:$G$22-B1384)*Calc!$G$3:$G$22)</f>
        <v/>
      </c>
      <c r="N1384">
        <f>SUMPRODUCT(Calc!$K$3:$K$22*(Calc!$G$3:$G$22&gt;A1384)*(Calc!$G$3:$G$22-A1384)*Calc!$I$3:$I$22)</f>
        <v/>
      </c>
      <c r="O1384">
        <f>SUMPRODUCT(Calc!$K$3:$K$22*(Calc!$G$3:$G$22&gt;B1384)*(Calc!$G$3:$G$22-B1384)*Calc!$I$3:$I$22)</f>
        <v/>
      </c>
      <c r="P1384">
        <f>I1384-G1384^2/k_n</f>
        <v/>
      </c>
      <c r="Q1384">
        <f>J1384-H1384^2/k_n</f>
        <v/>
      </c>
      <c r="R1384">
        <f>K1384-G1384*H1384/k_n</f>
        <v/>
      </c>
      <c r="S1384">
        <f>L1384-LTP3!$D$3*G1384/k_n</f>
        <v/>
      </c>
      <c r="T1384">
        <f>M1384-LTP3!$D$3*H1384/k_n</f>
        <v/>
      </c>
      <c r="U1384">
        <f>N1384-G1384*LTP3!$D$4/k_n</f>
        <v/>
      </c>
      <c r="V1384">
        <f>O1384-H1384*LTP3!$D$4/k_n</f>
        <v/>
      </c>
      <c r="W1384">
        <f>((LTP3!$D$5)*((P1384)*(Q1384)-(R1384)*(R1384))-(S1384)*((S1384)*(Q1384)-(R1384)*(T1384))+(T1384)*((S1384)*(R1384)-(P1384)*(T1384)))</f>
        <v/>
      </c>
      <c r="X1384">
        <f>IF(ABS(W1384)&gt;1E-12,((LTP3!$D$6)*((P1384)*(Q1384)-(R1384)*(R1384))-(S1384)*((U1384)*(Q1384)-(R1384)*(V1384))+(T1384)*((U1384)*(R1384)-(P1384)*(V1384)))/W1384,0)</f>
        <v/>
      </c>
      <c r="Y1384">
        <f>IF(ABS(W1384)&gt;1E-12,((LTP3!$D$5)*((U1384)*(Q1384)-(R1384)*(V1384))-(LTP3!$D$6)*((S1384)*(Q1384)-(R1384)*(T1384))+(T1384)*((S1384)*(V1384)-(U1384)*(T1384)))/W1384,0)</f>
        <v/>
      </c>
      <c r="Z1384">
        <f>IF(ABS(W1384)&gt;1E-12,((LTP3!$D$5)*((P1384)*(V1384)-(U1384)*(R1384))-(S1384)*((S1384)*(V1384)-(U1384)*(T1384))+(LTP3!$D$6)*((S1384)*(R1384)-(P1384)*(T1384)))/W1384,0)</f>
        <v/>
      </c>
      <c r="AA1384">
        <f>LTP3!$D$7-X1384*LTP3!$D$6-Y1384*U1384-Z1384*V1384</f>
        <v/>
      </c>
      <c r="AB1384">
        <f>IF(AND(F1384,ABS(W1384)&gt;1E-12,Y1384&gt;0,Z1384&gt;0),AA1384,1E+300)</f>
        <v/>
      </c>
    </row>
    <row r="1385">
      <c r="A1385">
        <f>$B$3+$B$5*22</f>
        <v/>
      </c>
      <c r="B1385">
        <f>$B$3+$B$5*31</f>
        <v/>
      </c>
      <c r="C1385">
        <f>SUMPRODUCT(Calc!$K$3:$K$22*(Calc!$G$3:$G$22&lt;=A1385))</f>
        <v/>
      </c>
      <c r="D1385">
        <f>SUMPRODUCT(Calc!$K$3:$K$22*(Calc!$G$3:$G$22&gt;A1385)*(Calc!$G$3:$G$22&lt;B1385))</f>
        <v/>
      </c>
      <c r="E1385">
        <f>SUMPRODUCT(Calc!$K$3:$K$22*(Calc!$G$3:$G$22&gt;=B1385))</f>
        <v/>
      </c>
      <c r="F1385">
        <f>AND(k_n&gt;=5,B1385&gt;A1385+1E-9,C1385&gt;=2,D1385&gt;=1,E1385&gt;=2)</f>
        <v/>
      </c>
      <c r="G1385">
        <f>SUMPRODUCT(Calc!$K$3:$K$22*(Calc!$G$3:$G$22&gt;A1385)*(Calc!$G$3:$G$22-A1385))</f>
        <v/>
      </c>
      <c r="H1385">
        <f>SUMPRODUCT(Calc!$K$3:$K$22*(Calc!$G$3:$G$22&gt;B1385)*(Calc!$G$3:$G$22-B1385))</f>
        <v/>
      </c>
      <c r="I1385">
        <f>SUMPRODUCT(Calc!$K$3:$K$22*(Calc!$G$3:$G$22&gt;A1385)*(Calc!$G$3:$G$22-A1385)^2)</f>
        <v/>
      </c>
      <c r="J1385">
        <f>SUMPRODUCT(Calc!$K$3:$K$22*(Calc!$G$3:$G$22&gt;B1385)*(Calc!$G$3:$G$22-B1385)^2)</f>
        <v/>
      </c>
      <c r="K1385">
        <f>SUMPRODUCT(Calc!$K$3:$K$22*(Calc!$G$3:$G$22&gt;A1385)*(Calc!$G$3:$G$22-A1385)*(Calc!$G$3:$G$22&gt;B1385)*(Calc!$G$3:$G$22-B1385))</f>
        <v/>
      </c>
      <c r="L1385">
        <f>SUMPRODUCT(Calc!$K$3:$K$22*(Calc!$G$3:$G$22&gt;A1385)*(Calc!$G$3:$G$22-A1385)*Calc!$G$3:$G$22)</f>
        <v/>
      </c>
      <c r="M1385">
        <f>SUMPRODUCT(Calc!$K$3:$K$22*(Calc!$G$3:$G$22&gt;B1385)*(Calc!$G$3:$G$22-B1385)*Calc!$G$3:$G$22)</f>
        <v/>
      </c>
      <c r="N1385">
        <f>SUMPRODUCT(Calc!$K$3:$K$22*(Calc!$G$3:$G$22&gt;A1385)*(Calc!$G$3:$G$22-A1385)*Calc!$I$3:$I$22)</f>
        <v/>
      </c>
      <c r="O1385">
        <f>SUMPRODUCT(Calc!$K$3:$K$22*(Calc!$G$3:$G$22&gt;B1385)*(Calc!$G$3:$G$22-B1385)*Calc!$I$3:$I$22)</f>
        <v/>
      </c>
      <c r="P1385">
        <f>I1385-G1385^2/k_n</f>
        <v/>
      </c>
      <c r="Q1385">
        <f>J1385-H1385^2/k_n</f>
        <v/>
      </c>
      <c r="R1385">
        <f>K1385-G1385*H1385/k_n</f>
        <v/>
      </c>
      <c r="S1385">
        <f>L1385-LTP3!$D$3*G1385/k_n</f>
        <v/>
      </c>
      <c r="T1385">
        <f>M1385-LTP3!$D$3*H1385/k_n</f>
        <v/>
      </c>
      <c r="U1385">
        <f>N1385-G1385*LTP3!$D$4/k_n</f>
        <v/>
      </c>
      <c r="V1385">
        <f>O1385-H1385*LTP3!$D$4/k_n</f>
        <v/>
      </c>
      <c r="W1385">
        <f>((LTP3!$D$5)*((P1385)*(Q1385)-(R1385)*(R1385))-(S1385)*((S1385)*(Q1385)-(R1385)*(T1385))+(T1385)*((S1385)*(R1385)-(P1385)*(T1385)))</f>
        <v/>
      </c>
      <c r="X1385">
        <f>IF(ABS(W1385)&gt;1E-12,((LTP3!$D$6)*((P1385)*(Q1385)-(R1385)*(R1385))-(S1385)*((U1385)*(Q1385)-(R1385)*(V1385))+(T1385)*((U1385)*(R1385)-(P1385)*(V1385)))/W1385,0)</f>
        <v/>
      </c>
      <c r="Y1385">
        <f>IF(ABS(W1385)&gt;1E-12,((LTP3!$D$5)*((U1385)*(Q1385)-(R1385)*(V1385))-(LTP3!$D$6)*((S1385)*(Q1385)-(R1385)*(T1385))+(T1385)*((S1385)*(V1385)-(U1385)*(T1385)))/W1385,0)</f>
        <v/>
      </c>
      <c r="Z1385">
        <f>IF(ABS(W1385)&gt;1E-12,((LTP3!$D$5)*((P1385)*(V1385)-(U1385)*(R1385))-(S1385)*((S1385)*(V1385)-(U1385)*(T1385))+(LTP3!$D$6)*((S1385)*(R1385)-(P1385)*(T1385)))/W1385,0)</f>
        <v/>
      </c>
      <c r="AA1385">
        <f>LTP3!$D$7-X1385*LTP3!$D$6-Y1385*U1385-Z1385*V1385</f>
        <v/>
      </c>
      <c r="AB1385">
        <f>IF(AND(F1385,ABS(W1385)&gt;1E-12,Y1385&gt;0,Z1385&gt;0),AA1385,1E+300)</f>
        <v/>
      </c>
    </row>
    <row r="1386">
      <c r="A1386">
        <f>$B$3+$B$5*22</f>
        <v/>
      </c>
      <c r="B1386">
        <f>$B$3+$B$5*32</f>
        <v/>
      </c>
      <c r="C1386">
        <f>SUMPRODUCT(Calc!$K$3:$K$22*(Calc!$G$3:$G$22&lt;=A1386))</f>
        <v/>
      </c>
      <c r="D1386">
        <f>SUMPRODUCT(Calc!$K$3:$K$22*(Calc!$G$3:$G$22&gt;A1386)*(Calc!$G$3:$G$22&lt;B1386))</f>
        <v/>
      </c>
      <c r="E1386">
        <f>SUMPRODUCT(Calc!$K$3:$K$22*(Calc!$G$3:$G$22&gt;=B1386))</f>
        <v/>
      </c>
      <c r="F1386">
        <f>AND(k_n&gt;=5,B1386&gt;A1386+1E-9,C1386&gt;=2,D1386&gt;=1,E1386&gt;=2)</f>
        <v/>
      </c>
      <c r="G1386">
        <f>SUMPRODUCT(Calc!$K$3:$K$22*(Calc!$G$3:$G$22&gt;A1386)*(Calc!$G$3:$G$22-A1386))</f>
        <v/>
      </c>
      <c r="H1386">
        <f>SUMPRODUCT(Calc!$K$3:$K$22*(Calc!$G$3:$G$22&gt;B1386)*(Calc!$G$3:$G$22-B1386))</f>
        <v/>
      </c>
      <c r="I1386">
        <f>SUMPRODUCT(Calc!$K$3:$K$22*(Calc!$G$3:$G$22&gt;A1386)*(Calc!$G$3:$G$22-A1386)^2)</f>
        <v/>
      </c>
      <c r="J1386">
        <f>SUMPRODUCT(Calc!$K$3:$K$22*(Calc!$G$3:$G$22&gt;B1386)*(Calc!$G$3:$G$22-B1386)^2)</f>
        <v/>
      </c>
      <c r="K1386">
        <f>SUMPRODUCT(Calc!$K$3:$K$22*(Calc!$G$3:$G$22&gt;A1386)*(Calc!$G$3:$G$22-A1386)*(Calc!$G$3:$G$22&gt;B1386)*(Calc!$G$3:$G$22-B1386))</f>
        <v/>
      </c>
      <c r="L1386">
        <f>SUMPRODUCT(Calc!$K$3:$K$22*(Calc!$G$3:$G$22&gt;A1386)*(Calc!$G$3:$G$22-A1386)*Calc!$G$3:$G$22)</f>
        <v/>
      </c>
      <c r="M1386">
        <f>SUMPRODUCT(Calc!$K$3:$K$22*(Calc!$G$3:$G$22&gt;B1386)*(Calc!$G$3:$G$22-B1386)*Calc!$G$3:$G$22)</f>
        <v/>
      </c>
      <c r="N1386">
        <f>SUMPRODUCT(Calc!$K$3:$K$22*(Calc!$G$3:$G$22&gt;A1386)*(Calc!$G$3:$G$22-A1386)*Calc!$I$3:$I$22)</f>
        <v/>
      </c>
      <c r="O1386">
        <f>SUMPRODUCT(Calc!$K$3:$K$22*(Calc!$G$3:$G$22&gt;B1386)*(Calc!$G$3:$G$22-B1386)*Calc!$I$3:$I$22)</f>
        <v/>
      </c>
      <c r="P1386">
        <f>I1386-G1386^2/k_n</f>
        <v/>
      </c>
      <c r="Q1386">
        <f>J1386-H1386^2/k_n</f>
        <v/>
      </c>
      <c r="R1386">
        <f>K1386-G1386*H1386/k_n</f>
        <v/>
      </c>
      <c r="S1386">
        <f>L1386-LTP3!$D$3*G1386/k_n</f>
        <v/>
      </c>
      <c r="T1386">
        <f>M1386-LTP3!$D$3*H1386/k_n</f>
        <v/>
      </c>
      <c r="U1386">
        <f>N1386-G1386*LTP3!$D$4/k_n</f>
        <v/>
      </c>
      <c r="V1386">
        <f>O1386-H1386*LTP3!$D$4/k_n</f>
        <v/>
      </c>
      <c r="W1386">
        <f>((LTP3!$D$5)*((P1386)*(Q1386)-(R1386)*(R1386))-(S1386)*((S1386)*(Q1386)-(R1386)*(T1386))+(T1386)*((S1386)*(R1386)-(P1386)*(T1386)))</f>
        <v/>
      </c>
      <c r="X1386">
        <f>IF(ABS(W1386)&gt;1E-12,((LTP3!$D$6)*((P1386)*(Q1386)-(R1386)*(R1386))-(S1386)*((U1386)*(Q1386)-(R1386)*(V1386))+(T1386)*((U1386)*(R1386)-(P1386)*(V1386)))/W1386,0)</f>
        <v/>
      </c>
      <c r="Y1386">
        <f>IF(ABS(W1386)&gt;1E-12,((LTP3!$D$5)*((U1386)*(Q1386)-(R1386)*(V1386))-(LTP3!$D$6)*((S1386)*(Q1386)-(R1386)*(T1386))+(T1386)*((S1386)*(V1386)-(U1386)*(T1386)))/W1386,0)</f>
        <v/>
      </c>
      <c r="Z1386">
        <f>IF(ABS(W1386)&gt;1E-12,((LTP3!$D$5)*((P1386)*(V1386)-(U1386)*(R1386))-(S1386)*((S1386)*(V1386)-(U1386)*(T1386))+(LTP3!$D$6)*((S1386)*(R1386)-(P1386)*(T1386)))/W1386,0)</f>
        <v/>
      </c>
      <c r="AA1386">
        <f>LTP3!$D$7-X1386*LTP3!$D$6-Y1386*U1386-Z1386*V1386</f>
        <v/>
      </c>
      <c r="AB1386">
        <f>IF(AND(F1386,ABS(W1386)&gt;1E-12,Y1386&gt;0,Z1386&gt;0),AA1386,1E+300)</f>
        <v/>
      </c>
    </row>
    <row r="1387">
      <c r="A1387">
        <f>$B$3+$B$5*22</f>
        <v/>
      </c>
      <c r="B1387">
        <f>$B$3+$B$5*33</f>
        <v/>
      </c>
      <c r="C1387">
        <f>SUMPRODUCT(Calc!$K$3:$K$22*(Calc!$G$3:$G$22&lt;=A1387))</f>
        <v/>
      </c>
      <c r="D1387">
        <f>SUMPRODUCT(Calc!$K$3:$K$22*(Calc!$G$3:$G$22&gt;A1387)*(Calc!$G$3:$G$22&lt;B1387))</f>
        <v/>
      </c>
      <c r="E1387">
        <f>SUMPRODUCT(Calc!$K$3:$K$22*(Calc!$G$3:$G$22&gt;=B1387))</f>
        <v/>
      </c>
      <c r="F1387">
        <f>AND(k_n&gt;=5,B1387&gt;A1387+1E-9,C1387&gt;=2,D1387&gt;=1,E1387&gt;=2)</f>
        <v/>
      </c>
      <c r="G1387">
        <f>SUMPRODUCT(Calc!$K$3:$K$22*(Calc!$G$3:$G$22&gt;A1387)*(Calc!$G$3:$G$22-A1387))</f>
        <v/>
      </c>
      <c r="H1387">
        <f>SUMPRODUCT(Calc!$K$3:$K$22*(Calc!$G$3:$G$22&gt;B1387)*(Calc!$G$3:$G$22-B1387))</f>
        <v/>
      </c>
      <c r="I1387">
        <f>SUMPRODUCT(Calc!$K$3:$K$22*(Calc!$G$3:$G$22&gt;A1387)*(Calc!$G$3:$G$22-A1387)^2)</f>
        <v/>
      </c>
      <c r="J1387">
        <f>SUMPRODUCT(Calc!$K$3:$K$22*(Calc!$G$3:$G$22&gt;B1387)*(Calc!$G$3:$G$22-B1387)^2)</f>
        <v/>
      </c>
      <c r="K1387">
        <f>SUMPRODUCT(Calc!$K$3:$K$22*(Calc!$G$3:$G$22&gt;A1387)*(Calc!$G$3:$G$22-A1387)*(Calc!$G$3:$G$22&gt;B1387)*(Calc!$G$3:$G$22-B1387))</f>
        <v/>
      </c>
      <c r="L1387">
        <f>SUMPRODUCT(Calc!$K$3:$K$22*(Calc!$G$3:$G$22&gt;A1387)*(Calc!$G$3:$G$22-A1387)*Calc!$G$3:$G$22)</f>
        <v/>
      </c>
      <c r="M1387">
        <f>SUMPRODUCT(Calc!$K$3:$K$22*(Calc!$G$3:$G$22&gt;B1387)*(Calc!$G$3:$G$22-B1387)*Calc!$G$3:$G$22)</f>
        <v/>
      </c>
      <c r="N1387">
        <f>SUMPRODUCT(Calc!$K$3:$K$22*(Calc!$G$3:$G$22&gt;A1387)*(Calc!$G$3:$G$22-A1387)*Calc!$I$3:$I$22)</f>
        <v/>
      </c>
      <c r="O1387">
        <f>SUMPRODUCT(Calc!$K$3:$K$22*(Calc!$G$3:$G$22&gt;B1387)*(Calc!$G$3:$G$22-B1387)*Calc!$I$3:$I$22)</f>
        <v/>
      </c>
      <c r="P1387">
        <f>I1387-G1387^2/k_n</f>
        <v/>
      </c>
      <c r="Q1387">
        <f>J1387-H1387^2/k_n</f>
        <v/>
      </c>
      <c r="R1387">
        <f>K1387-G1387*H1387/k_n</f>
        <v/>
      </c>
      <c r="S1387">
        <f>L1387-LTP3!$D$3*G1387/k_n</f>
        <v/>
      </c>
      <c r="T1387">
        <f>M1387-LTP3!$D$3*H1387/k_n</f>
        <v/>
      </c>
      <c r="U1387">
        <f>N1387-G1387*LTP3!$D$4/k_n</f>
        <v/>
      </c>
      <c r="V1387">
        <f>O1387-H1387*LTP3!$D$4/k_n</f>
        <v/>
      </c>
      <c r="W1387">
        <f>((LTP3!$D$5)*((P1387)*(Q1387)-(R1387)*(R1387))-(S1387)*((S1387)*(Q1387)-(R1387)*(T1387))+(T1387)*((S1387)*(R1387)-(P1387)*(T1387)))</f>
        <v/>
      </c>
      <c r="X1387">
        <f>IF(ABS(W1387)&gt;1E-12,((LTP3!$D$6)*((P1387)*(Q1387)-(R1387)*(R1387))-(S1387)*((U1387)*(Q1387)-(R1387)*(V1387))+(T1387)*((U1387)*(R1387)-(P1387)*(V1387)))/W1387,0)</f>
        <v/>
      </c>
      <c r="Y1387">
        <f>IF(ABS(W1387)&gt;1E-12,((LTP3!$D$5)*((U1387)*(Q1387)-(R1387)*(V1387))-(LTP3!$D$6)*((S1387)*(Q1387)-(R1387)*(T1387))+(T1387)*((S1387)*(V1387)-(U1387)*(T1387)))/W1387,0)</f>
        <v/>
      </c>
      <c r="Z1387">
        <f>IF(ABS(W1387)&gt;1E-12,((LTP3!$D$5)*((P1387)*(V1387)-(U1387)*(R1387))-(S1387)*((S1387)*(V1387)-(U1387)*(T1387))+(LTP3!$D$6)*((S1387)*(R1387)-(P1387)*(T1387)))/W1387,0)</f>
        <v/>
      </c>
      <c r="AA1387">
        <f>LTP3!$D$7-X1387*LTP3!$D$6-Y1387*U1387-Z1387*V1387</f>
        <v/>
      </c>
      <c r="AB1387">
        <f>IF(AND(F1387,ABS(W1387)&gt;1E-12,Y1387&gt;0,Z1387&gt;0),AA1387,1E+300)</f>
        <v/>
      </c>
    </row>
    <row r="1388">
      <c r="A1388">
        <f>$B$3+$B$5*22</f>
        <v/>
      </c>
      <c r="B1388">
        <f>$B$3+$B$5*34</f>
        <v/>
      </c>
      <c r="C1388">
        <f>SUMPRODUCT(Calc!$K$3:$K$22*(Calc!$G$3:$G$22&lt;=A1388))</f>
        <v/>
      </c>
      <c r="D1388">
        <f>SUMPRODUCT(Calc!$K$3:$K$22*(Calc!$G$3:$G$22&gt;A1388)*(Calc!$G$3:$G$22&lt;B1388))</f>
        <v/>
      </c>
      <c r="E1388">
        <f>SUMPRODUCT(Calc!$K$3:$K$22*(Calc!$G$3:$G$22&gt;=B1388))</f>
        <v/>
      </c>
      <c r="F1388">
        <f>AND(k_n&gt;=5,B1388&gt;A1388+1E-9,C1388&gt;=2,D1388&gt;=1,E1388&gt;=2)</f>
        <v/>
      </c>
      <c r="G1388">
        <f>SUMPRODUCT(Calc!$K$3:$K$22*(Calc!$G$3:$G$22&gt;A1388)*(Calc!$G$3:$G$22-A1388))</f>
        <v/>
      </c>
      <c r="H1388">
        <f>SUMPRODUCT(Calc!$K$3:$K$22*(Calc!$G$3:$G$22&gt;B1388)*(Calc!$G$3:$G$22-B1388))</f>
        <v/>
      </c>
      <c r="I1388">
        <f>SUMPRODUCT(Calc!$K$3:$K$22*(Calc!$G$3:$G$22&gt;A1388)*(Calc!$G$3:$G$22-A1388)^2)</f>
        <v/>
      </c>
      <c r="J1388">
        <f>SUMPRODUCT(Calc!$K$3:$K$22*(Calc!$G$3:$G$22&gt;B1388)*(Calc!$G$3:$G$22-B1388)^2)</f>
        <v/>
      </c>
      <c r="K1388">
        <f>SUMPRODUCT(Calc!$K$3:$K$22*(Calc!$G$3:$G$22&gt;A1388)*(Calc!$G$3:$G$22-A1388)*(Calc!$G$3:$G$22&gt;B1388)*(Calc!$G$3:$G$22-B1388))</f>
        <v/>
      </c>
      <c r="L1388">
        <f>SUMPRODUCT(Calc!$K$3:$K$22*(Calc!$G$3:$G$22&gt;A1388)*(Calc!$G$3:$G$22-A1388)*Calc!$G$3:$G$22)</f>
        <v/>
      </c>
      <c r="M1388">
        <f>SUMPRODUCT(Calc!$K$3:$K$22*(Calc!$G$3:$G$22&gt;B1388)*(Calc!$G$3:$G$22-B1388)*Calc!$G$3:$G$22)</f>
        <v/>
      </c>
      <c r="N1388">
        <f>SUMPRODUCT(Calc!$K$3:$K$22*(Calc!$G$3:$G$22&gt;A1388)*(Calc!$G$3:$G$22-A1388)*Calc!$I$3:$I$22)</f>
        <v/>
      </c>
      <c r="O1388">
        <f>SUMPRODUCT(Calc!$K$3:$K$22*(Calc!$G$3:$G$22&gt;B1388)*(Calc!$G$3:$G$22-B1388)*Calc!$I$3:$I$22)</f>
        <v/>
      </c>
      <c r="P1388">
        <f>I1388-G1388^2/k_n</f>
        <v/>
      </c>
      <c r="Q1388">
        <f>J1388-H1388^2/k_n</f>
        <v/>
      </c>
      <c r="R1388">
        <f>K1388-G1388*H1388/k_n</f>
        <v/>
      </c>
      <c r="S1388">
        <f>L1388-LTP3!$D$3*G1388/k_n</f>
        <v/>
      </c>
      <c r="T1388">
        <f>M1388-LTP3!$D$3*H1388/k_n</f>
        <v/>
      </c>
      <c r="U1388">
        <f>N1388-G1388*LTP3!$D$4/k_n</f>
        <v/>
      </c>
      <c r="V1388">
        <f>O1388-H1388*LTP3!$D$4/k_n</f>
        <v/>
      </c>
      <c r="W1388">
        <f>((LTP3!$D$5)*((P1388)*(Q1388)-(R1388)*(R1388))-(S1388)*((S1388)*(Q1388)-(R1388)*(T1388))+(T1388)*((S1388)*(R1388)-(P1388)*(T1388)))</f>
        <v/>
      </c>
      <c r="X1388">
        <f>IF(ABS(W1388)&gt;1E-12,((LTP3!$D$6)*((P1388)*(Q1388)-(R1388)*(R1388))-(S1388)*((U1388)*(Q1388)-(R1388)*(V1388))+(T1388)*((U1388)*(R1388)-(P1388)*(V1388)))/W1388,0)</f>
        <v/>
      </c>
      <c r="Y1388">
        <f>IF(ABS(W1388)&gt;1E-12,((LTP3!$D$5)*((U1388)*(Q1388)-(R1388)*(V1388))-(LTP3!$D$6)*((S1388)*(Q1388)-(R1388)*(T1388))+(T1388)*((S1388)*(V1388)-(U1388)*(T1388)))/W1388,0)</f>
        <v/>
      </c>
      <c r="Z1388">
        <f>IF(ABS(W1388)&gt;1E-12,((LTP3!$D$5)*((P1388)*(V1388)-(U1388)*(R1388))-(S1388)*((S1388)*(V1388)-(U1388)*(T1388))+(LTP3!$D$6)*((S1388)*(R1388)-(P1388)*(T1388)))/W1388,0)</f>
        <v/>
      </c>
      <c r="AA1388">
        <f>LTP3!$D$7-X1388*LTP3!$D$6-Y1388*U1388-Z1388*V1388</f>
        <v/>
      </c>
      <c r="AB1388">
        <f>IF(AND(F1388,ABS(W1388)&gt;1E-12,Y1388&gt;0,Z1388&gt;0),AA1388,1E+300)</f>
        <v/>
      </c>
    </row>
    <row r="1389">
      <c r="A1389">
        <f>$B$3+$B$5*22</f>
        <v/>
      </c>
      <c r="B1389">
        <f>$B$3+$B$5*35</f>
        <v/>
      </c>
      <c r="C1389">
        <f>SUMPRODUCT(Calc!$K$3:$K$22*(Calc!$G$3:$G$22&lt;=A1389))</f>
        <v/>
      </c>
      <c r="D1389">
        <f>SUMPRODUCT(Calc!$K$3:$K$22*(Calc!$G$3:$G$22&gt;A1389)*(Calc!$G$3:$G$22&lt;B1389))</f>
        <v/>
      </c>
      <c r="E1389">
        <f>SUMPRODUCT(Calc!$K$3:$K$22*(Calc!$G$3:$G$22&gt;=B1389))</f>
        <v/>
      </c>
      <c r="F1389">
        <f>AND(k_n&gt;=5,B1389&gt;A1389+1E-9,C1389&gt;=2,D1389&gt;=1,E1389&gt;=2)</f>
        <v/>
      </c>
      <c r="G1389">
        <f>SUMPRODUCT(Calc!$K$3:$K$22*(Calc!$G$3:$G$22&gt;A1389)*(Calc!$G$3:$G$22-A1389))</f>
        <v/>
      </c>
      <c r="H1389">
        <f>SUMPRODUCT(Calc!$K$3:$K$22*(Calc!$G$3:$G$22&gt;B1389)*(Calc!$G$3:$G$22-B1389))</f>
        <v/>
      </c>
      <c r="I1389">
        <f>SUMPRODUCT(Calc!$K$3:$K$22*(Calc!$G$3:$G$22&gt;A1389)*(Calc!$G$3:$G$22-A1389)^2)</f>
        <v/>
      </c>
      <c r="J1389">
        <f>SUMPRODUCT(Calc!$K$3:$K$22*(Calc!$G$3:$G$22&gt;B1389)*(Calc!$G$3:$G$22-B1389)^2)</f>
        <v/>
      </c>
      <c r="K1389">
        <f>SUMPRODUCT(Calc!$K$3:$K$22*(Calc!$G$3:$G$22&gt;A1389)*(Calc!$G$3:$G$22-A1389)*(Calc!$G$3:$G$22&gt;B1389)*(Calc!$G$3:$G$22-B1389))</f>
        <v/>
      </c>
      <c r="L1389">
        <f>SUMPRODUCT(Calc!$K$3:$K$22*(Calc!$G$3:$G$22&gt;A1389)*(Calc!$G$3:$G$22-A1389)*Calc!$G$3:$G$22)</f>
        <v/>
      </c>
      <c r="M1389">
        <f>SUMPRODUCT(Calc!$K$3:$K$22*(Calc!$G$3:$G$22&gt;B1389)*(Calc!$G$3:$G$22-B1389)*Calc!$G$3:$G$22)</f>
        <v/>
      </c>
      <c r="N1389">
        <f>SUMPRODUCT(Calc!$K$3:$K$22*(Calc!$G$3:$G$22&gt;A1389)*(Calc!$G$3:$G$22-A1389)*Calc!$I$3:$I$22)</f>
        <v/>
      </c>
      <c r="O1389">
        <f>SUMPRODUCT(Calc!$K$3:$K$22*(Calc!$G$3:$G$22&gt;B1389)*(Calc!$G$3:$G$22-B1389)*Calc!$I$3:$I$22)</f>
        <v/>
      </c>
      <c r="P1389">
        <f>I1389-G1389^2/k_n</f>
        <v/>
      </c>
      <c r="Q1389">
        <f>J1389-H1389^2/k_n</f>
        <v/>
      </c>
      <c r="R1389">
        <f>K1389-G1389*H1389/k_n</f>
        <v/>
      </c>
      <c r="S1389">
        <f>L1389-LTP3!$D$3*G1389/k_n</f>
        <v/>
      </c>
      <c r="T1389">
        <f>M1389-LTP3!$D$3*H1389/k_n</f>
        <v/>
      </c>
      <c r="U1389">
        <f>N1389-G1389*LTP3!$D$4/k_n</f>
        <v/>
      </c>
      <c r="V1389">
        <f>O1389-H1389*LTP3!$D$4/k_n</f>
        <v/>
      </c>
      <c r="W1389">
        <f>((LTP3!$D$5)*((P1389)*(Q1389)-(R1389)*(R1389))-(S1389)*((S1389)*(Q1389)-(R1389)*(T1389))+(T1389)*((S1389)*(R1389)-(P1389)*(T1389)))</f>
        <v/>
      </c>
      <c r="X1389">
        <f>IF(ABS(W1389)&gt;1E-12,((LTP3!$D$6)*((P1389)*(Q1389)-(R1389)*(R1389))-(S1389)*((U1389)*(Q1389)-(R1389)*(V1389))+(T1389)*((U1389)*(R1389)-(P1389)*(V1389)))/W1389,0)</f>
        <v/>
      </c>
      <c r="Y1389">
        <f>IF(ABS(W1389)&gt;1E-12,((LTP3!$D$5)*((U1389)*(Q1389)-(R1389)*(V1389))-(LTP3!$D$6)*((S1389)*(Q1389)-(R1389)*(T1389))+(T1389)*((S1389)*(V1389)-(U1389)*(T1389)))/W1389,0)</f>
        <v/>
      </c>
      <c r="Z1389">
        <f>IF(ABS(W1389)&gt;1E-12,((LTP3!$D$5)*((P1389)*(V1389)-(U1389)*(R1389))-(S1389)*((S1389)*(V1389)-(U1389)*(T1389))+(LTP3!$D$6)*((S1389)*(R1389)-(P1389)*(T1389)))/W1389,0)</f>
        <v/>
      </c>
      <c r="AA1389">
        <f>LTP3!$D$7-X1389*LTP3!$D$6-Y1389*U1389-Z1389*V1389</f>
        <v/>
      </c>
      <c r="AB1389">
        <f>IF(AND(F1389,ABS(W1389)&gt;1E-12,Y1389&gt;0,Z1389&gt;0),AA1389,1E+300)</f>
        <v/>
      </c>
    </row>
    <row r="1390">
      <c r="A1390">
        <f>$B$3+$B$5*22</f>
        <v/>
      </c>
      <c r="B1390">
        <f>$B$3+$B$5*36</f>
        <v/>
      </c>
      <c r="C1390">
        <f>SUMPRODUCT(Calc!$K$3:$K$22*(Calc!$G$3:$G$22&lt;=A1390))</f>
        <v/>
      </c>
      <c r="D1390">
        <f>SUMPRODUCT(Calc!$K$3:$K$22*(Calc!$G$3:$G$22&gt;A1390)*(Calc!$G$3:$G$22&lt;B1390))</f>
        <v/>
      </c>
      <c r="E1390">
        <f>SUMPRODUCT(Calc!$K$3:$K$22*(Calc!$G$3:$G$22&gt;=B1390))</f>
        <v/>
      </c>
      <c r="F1390">
        <f>AND(k_n&gt;=5,B1390&gt;A1390+1E-9,C1390&gt;=2,D1390&gt;=1,E1390&gt;=2)</f>
        <v/>
      </c>
      <c r="G1390">
        <f>SUMPRODUCT(Calc!$K$3:$K$22*(Calc!$G$3:$G$22&gt;A1390)*(Calc!$G$3:$G$22-A1390))</f>
        <v/>
      </c>
      <c r="H1390">
        <f>SUMPRODUCT(Calc!$K$3:$K$22*(Calc!$G$3:$G$22&gt;B1390)*(Calc!$G$3:$G$22-B1390))</f>
        <v/>
      </c>
      <c r="I1390">
        <f>SUMPRODUCT(Calc!$K$3:$K$22*(Calc!$G$3:$G$22&gt;A1390)*(Calc!$G$3:$G$22-A1390)^2)</f>
        <v/>
      </c>
      <c r="J1390">
        <f>SUMPRODUCT(Calc!$K$3:$K$22*(Calc!$G$3:$G$22&gt;B1390)*(Calc!$G$3:$G$22-B1390)^2)</f>
        <v/>
      </c>
      <c r="K1390">
        <f>SUMPRODUCT(Calc!$K$3:$K$22*(Calc!$G$3:$G$22&gt;A1390)*(Calc!$G$3:$G$22-A1390)*(Calc!$G$3:$G$22&gt;B1390)*(Calc!$G$3:$G$22-B1390))</f>
        <v/>
      </c>
      <c r="L1390">
        <f>SUMPRODUCT(Calc!$K$3:$K$22*(Calc!$G$3:$G$22&gt;A1390)*(Calc!$G$3:$G$22-A1390)*Calc!$G$3:$G$22)</f>
        <v/>
      </c>
      <c r="M1390">
        <f>SUMPRODUCT(Calc!$K$3:$K$22*(Calc!$G$3:$G$22&gt;B1390)*(Calc!$G$3:$G$22-B1390)*Calc!$G$3:$G$22)</f>
        <v/>
      </c>
      <c r="N1390">
        <f>SUMPRODUCT(Calc!$K$3:$K$22*(Calc!$G$3:$G$22&gt;A1390)*(Calc!$G$3:$G$22-A1390)*Calc!$I$3:$I$22)</f>
        <v/>
      </c>
      <c r="O1390">
        <f>SUMPRODUCT(Calc!$K$3:$K$22*(Calc!$G$3:$G$22&gt;B1390)*(Calc!$G$3:$G$22-B1390)*Calc!$I$3:$I$22)</f>
        <v/>
      </c>
      <c r="P1390">
        <f>I1390-G1390^2/k_n</f>
        <v/>
      </c>
      <c r="Q1390">
        <f>J1390-H1390^2/k_n</f>
        <v/>
      </c>
      <c r="R1390">
        <f>K1390-G1390*H1390/k_n</f>
        <v/>
      </c>
      <c r="S1390">
        <f>L1390-LTP3!$D$3*G1390/k_n</f>
        <v/>
      </c>
      <c r="T1390">
        <f>M1390-LTP3!$D$3*H1390/k_n</f>
        <v/>
      </c>
      <c r="U1390">
        <f>N1390-G1390*LTP3!$D$4/k_n</f>
        <v/>
      </c>
      <c r="V1390">
        <f>O1390-H1390*LTP3!$D$4/k_n</f>
        <v/>
      </c>
      <c r="W1390">
        <f>((LTP3!$D$5)*((P1390)*(Q1390)-(R1390)*(R1390))-(S1390)*((S1390)*(Q1390)-(R1390)*(T1390))+(T1390)*((S1390)*(R1390)-(P1390)*(T1390)))</f>
        <v/>
      </c>
      <c r="X1390">
        <f>IF(ABS(W1390)&gt;1E-12,((LTP3!$D$6)*((P1390)*(Q1390)-(R1390)*(R1390))-(S1390)*((U1390)*(Q1390)-(R1390)*(V1390))+(T1390)*((U1390)*(R1390)-(P1390)*(V1390)))/W1390,0)</f>
        <v/>
      </c>
      <c r="Y1390">
        <f>IF(ABS(W1390)&gt;1E-12,((LTP3!$D$5)*((U1390)*(Q1390)-(R1390)*(V1390))-(LTP3!$D$6)*((S1390)*(Q1390)-(R1390)*(T1390))+(T1390)*((S1390)*(V1390)-(U1390)*(T1390)))/W1390,0)</f>
        <v/>
      </c>
      <c r="Z1390">
        <f>IF(ABS(W1390)&gt;1E-12,((LTP3!$D$5)*((P1390)*(V1390)-(U1390)*(R1390))-(S1390)*((S1390)*(V1390)-(U1390)*(T1390))+(LTP3!$D$6)*((S1390)*(R1390)-(P1390)*(T1390)))/W1390,0)</f>
        <v/>
      </c>
      <c r="AA1390">
        <f>LTP3!$D$7-X1390*LTP3!$D$6-Y1390*U1390-Z1390*V1390</f>
        <v/>
      </c>
      <c r="AB1390">
        <f>IF(AND(F1390,ABS(W1390)&gt;1E-12,Y1390&gt;0,Z1390&gt;0),AA1390,1E+300)</f>
        <v/>
      </c>
    </row>
    <row r="1391">
      <c r="A1391">
        <f>$B$3+$B$5*22</f>
        <v/>
      </c>
      <c r="B1391">
        <f>$B$3+$B$5*37</f>
        <v/>
      </c>
      <c r="C1391">
        <f>SUMPRODUCT(Calc!$K$3:$K$22*(Calc!$G$3:$G$22&lt;=A1391))</f>
        <v/>
      </c>
      <c r="D1391">
        <f>SUMPRODUCT(Calc!$K$3:$K$22*(Calc!$G$3:$G$22&gt;A1391)*(Calc!$G$3:$G$22&lt;B1391))</f>
        <v/>
      </c>
      <c r="E1391">
        <f>SUMPRODUCT(Calc!$K$3:$K$22*(Calc!$G$3:$G$22&gt;=B1391))</f>
        <v/>
      </c>
      <c r="F1391">
        <f>AND(k_n&gt;=5,B1391&gt;A1391+1E-9,C1391&gt;=2,D1391&gt;=1,E1391&gt;=2)</f>
        <v/>
      </c>
      <c r="G1391">
        <f>SUMPRODUCT(Calc!$K$3:$K$22*(Calc!$G$3:$G$22&gt;A1391)*(Calc!$G$3:$G$22-A1391))</f>
        <v/>
      </c>
      <c r="H1391">
        <f>SUMPRODUCT(Calc!$K$3:$K$22*(Calc!$G$3:$G$22&gt;B1391)*(Calc!$G$3:$G$22-B1391))</f>
        <v/>
      </c>
      <c r="I1391">
        <f>SUMPRODUCT(Calc!$K$3:$K$22*(Calc!$G$3:$G$22&gt;A1391)*(Calc!$G$3:$G$22-A1391)^2)</f>
        <v/>
      </c>
      <c r="J1391">
        <f>SUMPRODUCT(Calc!$K$3:$K$22*(Calc!$G$3:$G$22&gt;B1391)*(Calc!$G$3:$G$22-B1391)^2)</f>
        <v/>
      </c>
      <c r="K1391">
        <f>SUMPRODUCT(Calc!$K$3:$K$22*(Calc!$G$3:$G$22&gt;A1391)*(Calc!$G$3:$G$22-A1391)*(Calc!$G$3:$G$22&gt;B1391)*(Calc!$G$3:$G$22-B1391))</f>
        <v/>
      </c>
      <c r="L1391">
        <f>SUMPRODUCT(Calc!$K$3:$K$22*(Calc!$G$3:$G$22&gt;A1391)*(Calc!$G$3:$G$22-A1391)*Calc!$G$3:$G$22)</f>
        <v/>
      </c>
      <c r="M1391">
        <f>SUMPRODUCT(Calc!$K$3:$K$22*(Calc!$G$3:$G$22&gt;B1391)*(Calc!$G$3:$G$22-B1391)*Calc!$G$3:$G$22)</f>
        <v/>
      </c>
      <c r="N1391">
        <f>SUMPRODUCT(Calc!$K$3:$K$22*(Calc!$G$3:$G$22&gt;A1391)*(Calc!$G$3:$G$22-A1391)*Calc!$I$3:$I$22)</f>
        <v/>
      </c>
      <c r="O1391">
        <f>SUMPRODUCT(Calc!$K$3:$K$22*(Calc!$G$3:$G$22&gt;B1391)*(Calc!$G$3:$G$22-B1391)*Calc!$I$3:$I$22)</f>
        <v/>
      </c>
      <c r="P1391">
        <f>I1391-G1391^2/k_n</f>
        <v/>
      </c>
      <c r="Q1391">
        <f>J1391-H1391^2/k_n</f>
        <v/>
      </c>
      <c r="R1391">
        <f>K1391-G1391*H1391/k_n</f>
        <v/>
      </c>
      <c r="S1391">
        <f>L1391-LTP3!$D$3*G1391/k_n</f>
        <v/>
      </c>
      <c r="T1391">
        <f>M1391-LTP3!$D$3*H1391/k_n</f>
        <v/>
      </c>
      <c r="U1391">
        <f>N1391-G1391*LTP3!$D$4/k_n</f>
        <v/>
      </c>
      <c r="V1391">
        <f>O1391-H1391*LTP3!$D$4/k_n</f>
        <v/>
      </c>
      <c r="W1391">
        <f>((LTP3!$D$5)*((P1391)*(Q1391)-(R1391)*(R1391))-(S1391)*((S1391)*(Q1391)-(R1391)*(T1391))+(T1391)*((S1391)*(R1391)-(P1391)*(T1391)))</f>
        <v/>
      </c>
      <c r="X1391">
        <f>IF(ABS(W1391)&gt;1E-12,((LTP3!$D$6)*((P1391)*(Q1391)-(R1391)*(R1391))-(S1391)*((U1391)*(Q1391)-(R1391)*(V1391))+(T1391)*((U1391)*(R1391)-(P1391)*(V1391)))/W1391,0)</f>
        <v/>
      </c>
      <c r="Y1391">
        <f>IF(ABS(W1391)&gt;1E-12,((LTP3!$D$5)*((U1391)*(Q1391)-(R1391)*(V1391))-(LTP3!$D$6)*((S1391)*(Q1391)-(R1391)*(T1391))+(T1391)*((S1391)*(V1391)-(U1391)*(T1391)))/W1391,0)</f>
        <v/>
      </c>
      <c r="Z1391">
        <f>IF(ABS(W1391)&gt;1E-12,((LTP3!$D$5)*((P1391)*(V1391)-(U1391)*(R1391))-(S1391)*((S1391)*(V1391)-(U1391)*(T1391))+(LTP3!$D$6)*((S1391)*(R1391)-(P1391)*(T1391)))/W1391,0)</f>
        <v/>
      </c>
      <c r="AA1391">
        <f>LTP3!$D$7-X1391*LTP3!$D$6-Y1391*U1391-Z1391*V1391</f>
        <v/>
      </c>
      <c r="AB1391">
        <f>IF(AND(F1391,ABS(W1391)&gt;1E-12,Y1391&gt;0,Z1391&gt;0),AA1391,1E+300)</f>
        <v/>
      </c>
    </row>
    <row r="1392">
      <c r="A1392">
        <f>$B$3+$B$5*22</f>
        <v/>
      </c>
      <c r="B1392">
        <f>$B$3+$B$5*38</f>
        <v/>
      </c>
      <c r="C1392">
        <f>SUMPRODUCT(Calc!$K$3:$K$22*(Calc!$G$3:$G$22&lt;=A1392))</f>
        <v/>
      </c>
      <c r="D1392">
        <f>SUMPRODUCT(Calc!$K$3:$K$22*(Calc!$G$3:$G$22&gt;A1392)*(Calc!$G$3:$G$22&lt;B1392))</f>
        <v/>
      </c>
      <c r="E1392">
        <f>SUMPRODUCT(Calc!$K$3:$K$22*(Calc!$G$3:$G$22&gt;=B1392))</f>
        <v/>
      </c>
      <c r="F1392">
        <f>AND(k_n&gt;=5,B1392&gt;A1392+1E-9,C1392&gt;=2,D1392&gt;=1,E1392&gt;=2)</f>
        <v/>
      </c>
      <c r="G1392">
        <f>SUMPRODUCT(Calc!$K$3:$K$22*(Calc!$G$3:$G$22&gt;A1392)*(Calc!$G$3:$G$22-A1392))</f>
        <v/>
      </c>
      <c r="H1392">
        <f>SUMPRODUCT(Calc!$K$3:$K$22*(Calc!$G$3:$G$22&gt;B1392)*(Calc!$G$3:$G$22-B1392))</f>
        <v/>
      </c>
      <c r="I1392">
        <f>SUMPRODUCT(Calc!$K$3:$K$22*(Calc!$G$3:$G$22&gt;A1392)*(Calc!$G$3:$G$22-A1392)^2)</f>
        <v/>
      </c>
      <c r="J1392">
        <f>SUMPRODUCT(Calc!$K$3:$K$22*(Calc!$G$3:$G$22&gt;B1392)*(Calc!$G$3:$G$22-B1392)^2)</f>
        <v/>
      </c>
      <c r="K1392">
        <f>SUMPRODUCT(Calc!$K$3:$K$22*(Calc!$G$3:$G$22&gt;A1392)*(Calc!$G$3:$G$22-A1392)*(Calc!$G$3:$G$22&gt;B1392)*(Calc!$G$3:$G$22-B1392))</f>
        <v/>
      </c>
      <c r="L1392">
        <f>SUMPRODUCT(Calc!$K$3:$K$22*(Calc!$G$3:$G$22&gt;A1392)*(Calc!$G$3:$G$22-A1392)*Calc!$G$3:$G$22)</f>
        <v/>
      </c>
      <c r="M1392">
        <f>SUMPRODUCT(Calc!$K$3:$K$22*(Calc!$G$3:$G$22&gt;B1392)*(Calc!$G$3:$G$22-B1392)*Calc!$G$3:$G$22)</f>
        <v/>
      </c>
      <c r="N1392">
        <f>SUMPRODUCT(Calc!$K$3:$K$22*(Calc!$G$3:$G$22&gt;A1392)*(Calc!$G$3:$G$22-A1392)*Calc!$I$3:$I$22)</f>
        <v/>
      </c>
      <c r="O1392">
        <f>SUMPRODUCT(Calc!$K$3:$K$22*(Calc!$G$3:$G$22&gt;B1392)*(Calc!$G$3:$G$22-B1392)*Calc!$I$3:$I$22)</f>
        <v/>
      </c>
      <c r="P1392">
        <f>I1392-G1392^2/k_n</f>
        <v/>
      </c>
      <c r="Q1392">
        <f>J1392-H1392^2/k_n</f>
        <v/>
      </c>
      <c r="R1392">
        <f>K1392-G1392*H1392/k_n</f>
        <v/>
      </c>
      <c r="S1392">
        <f>L1392-LTP3!$D$3*G1392/k_n</f>
        <v/>
      </c>
      <c r="T1392">
        <f>M1392-LTP3!$D$3*H1392/k_n</f>
        <v/>
      </c>
      <c r="U1392">
        <f>N1392-G1392*LTP3!$D$4/k_n</f>
        <v/>
      </c>
      <c r="V1392">
        <f>O1392-H1392*LTP3!$D$4/k_n</f>
        <v/>
      </c>
      <c r="W1392">
        <f>((LTP3!$D$5)*((P1392)*(Q1392)-(R1392)*(R1392))-(S1392)*((S1392)*(Q1392)-(R1392)*(T1392))+(T1392)*((S1392)*(R1392)-(P1392)*(T1392)))</f>
        <v/>
      </c>
      <c r="X1392">
        <f>IF(ABS(W1392)&gt;1E-12,((LTP3!$D$6)*((P1392)*(Q1392)-(R1392)*(R1392))-(S1392)*((U1392)*(Q1392)-(R1392)*(V1392))+(T1392)*((U1392)*(R1392)-(P1392)*(V1392)))/W1392,0)</f>
        <v/>
      </c>
      <c r="Y1392">
        <f>IF(ABS(W1392)&gt;1E-12,((LTP3!$D$5)*((U1392)*(Q1392)-(R1392)*(V1392))-(LTP3!$D$6)*((S1392)*(Q1392)-(R1392)*(T1392))+(T1392)*((S1392)*(V1392)-(U1392)*(T1392)))/W1392,0)</f>
        <v/>
      </c>
      <c r="Z1392">
        <f>IF(ABS(W1392)&gt;1E-12,((LTP3!$D$5)*((P1392)*(V1392)-(U1392)*(R1392))-(S1392)*((S1392)*(V1392)-(U1392)*(T1392))+(LTP3!$D$6)*((S1392)*(R1392)-(P1392)*(T1392)))/W1392,0)</f>
        <v/>
      </c>
      <c r="AA1392">
        <f>LTP3!$D$7-X1392*LTP3!$D$6-Y1392*U1392-Z1392*V1392</f>
        <v/>
      </c>
      <c r="AB1392">
        <f>IF(AND(F1392,ABS(W1392)&gt;1E-12,Y1392&gt;0,Z1392&gt;0),AA1392,1E+300)</f>
        <v/>
      </c>
    </row>
    <row r="1393">
      <c r="A1393">
        <f>$B$3+$B$5*22</f>
        <v/>
      </c>
      <c r="B1393">
        <f>$B$3+$B$5*39</f>
        <v/>
      </c>
      <c r="C1393">
        <f>SUMPRODUCT(Calc!$K$3:$K$22*(Calc!$G$3:$G$22&lt;=A1393))</f>
        <v/>
      </c>
      <c r="D1393">
        <f>SUMPRODUCT(Calc!$K$3:$K$22*(Calc!$G$3:$G$22&gt;A1393)*(Calc!$G$3:$G$22&lt;B1393))</f>
        <v/>
      </c>
      <c r="E1393">
        <f>SUMPRODUCT(Calc!$K$3:$K$22*(Calc!$G$3:$G$22&gt;=B1393))</f>
        <v/>
      </c>
      <c r="F1393">
        <f>AND(k_n&gt;=5,B1393&gt;A1393+1E-9,C1393&gt;=2,D1393&gt;=1,E1393&gt;=2)</f>
        <v/>
      </c>
      <c r="G1393">
        <f>SUMPRODUCT(Calc!$K$3:$K$22*(Calc!$G$3:$G$22&gt;A1393)*(Calc!$G$3:$G$22-A1393))</f>
        <v/>
      </c>
      <c r="H1393">
        <f>SUMPRODUCT(Calc!$K$3:$K$22*(Calc!$G$3:$G$22&gt;B1393)*(Calc!$G$3:$G$22-B1393))</f>
        <v/>
      </c>
      <c r="I1393">
        <f>SUMPRODUCT(Calc!$K$3:$K$22*(Calc!$G$3:$G$22&gt;A1393)*(Calc!$G$3:$G$22-A1393)^2)</f>
        <v/>
      </c>
      <c r="J1393">
        <f>SUMPRODUCT(Calc!$K$3:$K$22*(Calc!$G$3:$G$22&gt;B1393)*(Calc!$G$3:$G$22-B1393)^2)</f>
        <v/>
      </c>
      <c r="K1393">
        <f>SUMPRODUCT(Calc!$K$3:$K$22*(Calc!$G$3:$G$22&gt;A1393)*(Calc!$G$3:$G$22-A1393)*(Calc!$G$3:$G$22&gt;B1393)*(Calc!$G$3:$G$22-B1393))</f>
        <v/>
      </c>
      <c r="L1393">
        <f>SUMPRODUCT(Calc!$K$3:$K$22*(Calc!$G$3:$G$22&gt;A1393)*(Calc!$G$3:$G$22-A1393)*Calc!$G$3:$G$22)</f>
        <v/>
      </c>
      <c r="M1393">
        <f>SUMPRODUCT(Calc!$K$3:$K$22*(Calc!$G$3:$G$22&gt;B1393)*(Calc!$G$3:$G$22-B1393)*Calc!$G$3:$G$22)</f>
        <v/>
      </c>
      <c r="N1393">
        <f>SUMPRODUCT(Calc!$K$3:$K$22*(Calc!$G$3:$G$22&gt;A1393)*(Calc!$G$3:$G$22-A1393)*Calc!$I$3:$I$22)</f>
        <v/>
      </c>
      <c r="O1393">
        <f>SUMPRODUCT(Calc!$K$3:$K$22*(Calc!$G$3:$G$22&gt;B1393)*(Calc!$G$3:$G$22-B1393)*Calc!$I$3:$I$22)</f>
        <v/>
      </c>
      <c r="P1393">
        <f>I1393-G1393^2/k_n</f>
        <v/>
      </c>
      <c r="Q1393">
        <f>J1393-H1393^2/k_n</f>
        <v/>
      </c>
      <c r="R1393">
        <f>K1393-G1393*H1393/k_n</f>
        <v/>
      </c>
      <c r="S1393">
        <f>L1393-LTP3!$D$3*G1393/k_n</f>
        <v/>
      </c>
      <c r="T1393">
        <f>M1393-LTP3!$D$3*H1393/k_n</f>
        <v/>
      </c>
      <c r="U1393">
        <f>N1393-G1393*LTP3!$D$4/k_n</f>
        <v/>
      </c>
      <c r="V1393">
        <f>O1393-H1393*LTP3!$D$4/k_n</f>
        <v/>
      </c>
      <c r="W1393">
        <f>((LTP3!$D$5)*((P1393)*(Q1393)-(R1393)*(R1393))-(S1393)*((S1393)*(Q1393)-(R1393)*(T1393))+(T1393)*((S1393)*(R1393)-(P1393)*(T1393)))</f>
        <v/>
      </c>
      <c r="X1393">
        <f>IF(ABS(W1393)&gt;1E-12,((LTP3!$D$6)*((P1393)*(Q1393)-(R1393)*(R1393))-(S1393)*((U1393)*(Q1393)-(R1393)*(V1393))+(T1393)*((U1393)*(R1393)-(P1393)*(V1393)))/W1393,0)</f>
        <v/>
      </c>
      <c r="Y1393">
        <f>IF(ABS(W1393)&gt;1E-12,((LTP3!$D$5)*((U1393)*(Q1393)-(R1393)*(V1393))-(LTP3!$D$6)*((S1393)*(Q1393)-(R1393)*(T1393))+(T1393)*((S1393)*(V1393)-(U1393)*(T1393)))/W1393,0)</f>
        <v/>
      </c>
      <c r="Z1393">
        <f>IF(ABS(W1393)&gt;1E-12,((LTP3!$D$5)*((P1393)*(V1393)-(U1393)*(R1393))-(S1393)*((S1393)*(V1393)-(U1393)*(T1393))+(LTP3!$D$6)*((S1393)*(R1393)-(P1393)*(T1393)))/W1393,0)</f>
        <v/>
      </c>
      <c r="AA1393">
        <f>LTP3!$D$7-X1393*LTP3!$D$6-Y1393*U1393-Z1393*V1393</f>
        <v/>
      </c>
      <c r="AB1393">
        <f>IF(AND(F1393,ABS(W1393)&gt;1E-12,Y1393&gt;0,Z1393&gt;0),AA1393,1E+300)</f>
        <v/>
      </c>
    </row>
    <row r="1394">
      <c r="A1394">
        <f>$B$3+$B$5*22</f>
        <v/>
      </c>
      <c r="B1394">
        <f>$B$3+$B$5*40</f>
        <v/>
      </c>
      <c r="C1394">
        <f>SUMPRODUCT(Calc!$K$3:$K$22*(Calc!$G$3:$G$22&lt;=A1394))</f>
        <v/>
      </c>
      <c r="D1394">
        <f>SUMPRODUCT(Calc!$K$3:$K$22*(Calc!$G$3:$G$22&gt;A1394)*(Calc!$G$3:$G$22&lt;B1394))</f>
        <v/>
      </c>
      <c r="E1394">
        <f>SUMPRODUCT(Calc!$K$3:$K$22*(Calc!$G$3:$G$22&gt;=B1394))</f>
        <v/>
      </c>
      <c r="F1394">
        <f>AND(k_n&gt;=5,B1394&gt;A1394+1E-9,C1394&gt;=2,D1394&gt;=1,E1394&gt;=2)</f>
        <v/>
      </c>
      <c r="G1394">
        <f>SUMPRODUCT(Calc!$K$3:$K$22*(Calc!$G$3:$G$22&gt;A1394)*(Calc!$G$3:$G$22-A1394))</f>
        <v/>
      </c>
      <c r="H1394">
        <f>SUMPRODUCT(Calc!$K$3:$K$22*(Calc!$G$3:$G$22&gt;B1394)*(Calc!$G$3:$G$22-B1394))</f>
        <v/>
      </c>
      <c r="I1394">
        <f>SUMPRODUCT(Calc!$K$3:$K$22*(Calc!$G$3:$G$22&gt;A1394)*(Calc!$G$3:$G$22-A1394)^2)</f>
        <v/>
      </c>
      <c r="J1394">
        <f>SUMPRODUCT(Calc!$K$3:$K$22*(Calc!$G$3:$G$22&gt;B1394)*(Calc!$G$3:$G$22-B1394)^2)</f>
        <v/>
      </c>
      <c r="K1394">
        <f>SUMPRODUCT(Calc!$K$3:$K$22*(Calc!$G$3:$G$22&gt;A1394)*(Calc!$G$3:$G$22-A1394)*(Calc!$G$3:$G$22&gt;B1394)*(Calc!$G$3:$G$22-B1394))</f>
        <v/>
      </c>
      <c r="L1394">
        <f>SUMPRODUCT(Calc!$K$3:$K$22*(Calc!$G$3:$G$22&gt;A1394)*(Calc!$G$3:$G$22-A1394)*Calc!$G$3:$G$22)</f>
        <v/>
      </c>
      <c r="M1394">
        <f>SUMPRODUCT(Calc!$K$3:$K$22*(Calc!$G$3:$G$22&gt;B1394)*(Calc!$G$3:$G$22-B1394)*Calc!$G$3:$G$22)</f>
        <v/>
      </c>
      <c r="N1394">
        <f>SUMPRODUCT(Calc!$K$3:$K$22*(Calc!$G$3:$G$22&gt;A1394)*(Calc!$G$3:$G$22-A1394)*Calc!$I$3:$I$22)</f>
        <v/>
      </c>
      <c r="O1394">
        <f>SUMPRODUCT(Calc!$K$3:$K$22*(Calc!$G$3:$G$22&gt;B1394)*(Calc!$G$3:$G$22-B1394)*Calc!$I$3:$I$22)</f>
        <v/>
      </c>
      <c r="P1394">
        <f>I1394-G1394^2/k_n</f>
        <v/>
      </c>
      <c r="Q1394">
        <f>J1394-H1394^2/k_n</f>
        <v/>
      </c>
      <c r="R1394">
        <f>K1394-G1394*H1394/k_n</f>
        <v/>
      </c>
      <c r="S1394">
        <f>L1394-LTP3!$D$3*G1394/k_n</f>
        <v/>
      </c>
      <c r="T1394">
        <f>M1394-LTP3!$D$3*H1394/k_n</f>
        <v/>
      </c>
      <c r="U1394">
        <f>N1394-G1394*LTP3!$D$4/k_n</f>
        <v/>
      </c>
      <c r="V1394">
        <f>O1394-H1394*LTP3!$D$4/k_n</f>
        <v/>
      </c>
      <c r="W1394">
        <f>((LTP3!$D$5)*((P1394)*(Q1394)-(R1394)*(R1394))-(S1394)*((S1394)*(Q1394)-(R1394)*(T1394))+(T1394)*((S1394)*(R1394)-(P1394)*(T1394)))</f>
        <v/>
      </c>
      <c r="X1394">
        <f>IF(ABS(W1394)&gt;1E-12,((LTP3!$D$6)*((P1394)*(Q1394)-(R1394)*(R1394))-(S1394)*((U1394)*(Q1394)-(R1394)*(V1394))+(T1394)*((U1394)*(R1394)-(P1394)*(V1394)))/W1394,0)</f>
        <v/>
      </c>
      <c r="Y1394">
        <f>IF(ABS(W1394)&gt;1E-12,((LTP3!$D$5)*((U1394)*(Q1394)-(R1394)*(V1394))-(LTP3!$D$6)*((S1394)*(Q1394)-(R1394)*(T1394))+(T1394)*((S1394)*(V1394)-(U1394)*(T1394)))/W1394,0)</f>
        <v/>
      </c>
      <c r="Z1394">
        <f>IF(ABS(W1394)&gt;1E-12,((LTP3!$D$5)*((P1394)*(V1394)-(U1394)*(R1394))-(S1394)*((S1394)*(V1394)-(U1394)*(T1394))+(LTP3!$D$6)*((S1394)*(R1394)-(P1394)*(T1394)))/W1394,0)</f>
        <v/>
      </c>
      <c r="AA1394">
        <f>LTP3!$D$7-X1394*LTP3!$D$6-Y1394*U1394-Z1394*V1394</f>
        <v/>
      </c>
      <c r="AB1394">
        <f>IF(AND(F1394,ABS(W1394)&gt;1E-12,Y1394&gt;0,Z1394&gt;0),AA1394,1E+300)</f>
        <v/>
      </c>
    </row>
    <row r="1395">
      <c r="A1395">
        <f>$B$3+$B$5*22</f>
        <v/>
      </c>
      <c r="B1395">
        <f>$B$3+$B$5*41</f>
        <v/>
      </c>
      <c r="C1395">
        <f>SUMPRODUCT(Calc!$K$3:$K$22*(Calc!$G$3:$G$22&lt;=A1395))</f>
        <v/>
      </c>
      <c r="D1395">
        <f>SUMPRODUCT(Calc!$K$3:$K$22*(Calc!$G$3:$G$22&gt;A1395)*(Calc!$G$3:$G$22&lt;B1395))</f>
        <v/>
      </c>
      <c r="E1395">
        <f>SUMPRODUCT(Calc!$K$3:$K$22*(Calc!$G$3:$G$22&gt;=B1395))</f>
        <v/>
      </c>
      <c r="F1395">
        <f>AND(k_n&gt;=5,B1395&gt;A1395+1E-9,C1395&gt;=2,D1395&gt;=1,E1395&gt;=2)</f>
        <v/>
      </c>
      <c r="G1395">
        <f>SUMPRODUCT(Calc!$K$3:$K$22*(Calc!$G$3:$G$22&gt;A1395)*(Calc!$G$3:$G$22-A1395))</f>
        <v/>
      </c>
      <c r="H1395">
        <f>SUMPRODUCT(Calc!$K$3:$K$22*(Calc!$G$3:$G$22&gt;B1395)*(Calc!$G$3:$G$22-B1395))</f>
        <v/>
      </c>
      <c r="I1395">
        <f>SUMPRODUCT(Calc!$K$3:$K$22*(Calc!$G$3:$G$22&gt;A1395)*(Calc!$G$3:$G$22-A1395)^2)</f>
        <v/>
      </c>
      <c r="J1395">
        <f>SUMPRODUCT(Calc!$K$3:$K$22*(Calc!$G$3:$G$22&gt;B1395)*(Calc!$G$3:$G$22-B1395)^2)</f>
        <v/>
      </c>
      <c r="K1395">
        <f>SUMPRODUCT(Calc!$K$3:$K$22*(Calc!$G$3:$G$22&gt;A1395)*(Calc!$G$3:$G$22-A1395)*(Calc!$G$3:$G$22&gt;B1395)*(Calc!$G$3:$G$22-B1395))</f>
        <v/>
      </c>
      <c r="L1395">
        <f>SUMPRODUCT(Calc!$K$3:$K$22*(Calc!$G$3:$G$22&gt;A1395)*(Calc!$G$3:$G$22-A1395)*Calc!$G$3:$G$22)</f>
        <v/>
      </c>
      <c r="M1395">
        <f>SUMPRODUCT(Calc!$K$3:$K$22*(Calc!$G$3:$G$22&gt;B1395)*(Calc!$G$3:$G$22-B1395)*Calc!$G$3:$G$22)</f>
        <v/>
      </c>
      <c r="N1395">
        <f>SUMPRODUCT(Calc!$K$3:$K$22*(Calc!$G$3:$G$22&gt;A1395)*(Calc!$G$3:$G$22-A1395)*Calc!$I$3:$I$22)</f>
        <v/>
      </c>
      <c r="O1395">
        <f>SUMPRODUCT(Calc!$K$3:$K$22*(Calc!$G$3:$G$22&gt;B1395)*(Calc!$G$3:$G$22-B1395)*Calc!$I$3:$I$22)</f>
        <v/>
      </c>
      <c r="P1395">
        <f>I1395-G1395^2/k_n</f>
        <v/>
      </c>
      <c r="Q1395">
        <f>J1395-H1395^2/k_n</f>
        <v/>
      </c>
      <c r="R1395">
        <f>K1395-G1395*H1395/k_n</f>
        <v/>
      </c>
      <c r="S1395">
        <f>L1395-LTP3!$D$3*G1395/k_n</f>
        <v/>
      </c>
      <c r="T1395">
        <f>M1395-LTP3!$D$3*H1395/k_n</f>
        <v/>
      </c>
      <c r="U1395">
        <f>N1395-G1395*LTP3!$D$4/k_n</f>
        <v/>
      </c>
      <c r="V1395">
        <f>O1395-H1395*LTP3!$D$4/k_n</f>
        <v/>
      </c>
      <c r="W1395">
        <f>((LTP3!$D$5)*((P1395)*(Q1395)-(R1395)*(R1395))-(S1395)*((S1395)*(Q1395)-(R1395)*(T1395))+(T1395)*((S1395)*(R1395)-(P1395)*(T1395)))</f>
        <v/>
      </c>
      <c r="X1395">
        <f>IF(ABS(W1395)&gt;1E-12,((LTP3!$D$6)*((P1395)*(Q1395)-(R1395)*(R1395))-(S1395)*((U1395)*(Q1395)-(R1395)*(V1395))+(T1395)*((U1395)*(R1395)-(P1395)*(V1395)))/W1395,0)</f>
        <v/>
      </c>
      <c r="Y1395">
        <f>IF(ABS(W1395)&gt;1E-12,((LTP3!$D$5)*((U1395)*(Q1395)-(R1395)*(V1395))-(LTP3!$D$6)*((S1395)*(Q1395)-(R1395)*(T1395))+(T1395)*((S1395)*(V1395)-(U1395)*(T1395)))/W1395,0)</f>
        <v/>
      </c>
      <c r="Z1395">
        <f>IF(ABS(W1395)&gt;1E-12,((LTP3!$D$5)*((P1395)*(V1395)-(U1395)*(R1395))-(S1395)*((S1395)*(V1395)-(U1395)*(T1395))+(LTP3!$D$6)*((S1395)*(R1395)-(P1395)*(T1395)))/W1395,0)</f>
        <v/>
      </c>
      <c r="AA1395">
        <f>LTP3!$D$7-X1395*LTP3!$D$6-Y1395*U1395-Z1395*V1395</f>
        <v/>
      </c>
      <c r="AB1395">
        <f>IF(AND(F1395,ABS(W1395)&gt;1E-12,Y1395&gt;0,Z1395&gt;0),AA1395,1E+300)</f>
        <v/>
      </c>
    </row>
    <row r="1396">
      <c r="A1396">
        <f>$B$3+$B$5*22</f>
        <v/>
      </c>
      <c r="B1396">
        <f>$B$3+$B$5*42</f>
        <v/>
      </c>
      <c r="C1396">
        <f>SUMPRODUCT(Calc!$K$3:$K$22*(Calc!$G$3:$G$22&lt;=A1396))</f>
        <v/>
      </c>
      <c r="D1396">
        <f>SUMPRODUCT(Calc!$K$3:$K$22*(Calc!$G$3:$G$22&gt;A1396)*(Calc!$G$3:$G$22&lt;B1396))</f>
        <v/>
      </c>
      <c r="E1396">
        <f>SUMPRODUCT(Calc!$K$3:$K$22*(Calc!$G$3:$G$22&gt;=B1396))</f>
        <v/>
      </c>
      <c r="F1396">
        <f>AND(k_n&gt;=5,B1396&gt;A1396+1E-9,C1396&gt;=2,D1396&gt;=1,E1396&gt;=2)</f>
        <v/>
      </c>
      <c r="G1396">
        <f>SUMPRODUCT(Calc!$K$3:$K$22*(Calc!$G$3:$G$22&gt;A1396)*(Calc!$G$3:$G$22-A1396))</f>
        <v/>
      </c>
      <c r="H1396">
        <f>SUMPRODUCT(Calc!$K$3:$K$22*(Calc!$G$3:$G$22&gt;B1396)*(Calc!$G$3:$G$22-B1396))</f>
        <v/>
      </c>
      <c r="I1396">
        <f>SUMPRODUCT(Calc!$K$3:$K$22*(Calc!$G$3:$G$22&gt;A1396)*(Calc!$G$3:$G$22-A1396)^2)</f>
        <v/>
      </c>
      <c r="J1396">
        <f>SUMPRODUCT(Calc!$K$3:$K$22*(Calc!$G$3:$G$22&gt;B1396)*(Calc!$G$3:$G$22-B1396)^2)</f>
        <v/>
      </c>
      <c r="K1396">
        <f>SUMPRODUCT(Calc!$K$3:$K$22*(Calc!$G$3:$G$22&gt;A1396)*(Calc!$G$3:$G$22-A1396)*(Calc!$G$3:$G$22&gt;B1396)*(Calc!$G$3:$G$22-B1396))</f>
        <v/>
      </c>
      <c r="L1396">
        <f>SUMPRODUCT(Calc!$K$3:$K$22*(Calc!$G$3:$G$22&gt;A1396)*(Calc!$G$3:$G$22-A1396)*Calc!$G$3:$G$22)</f>
        <v/>
      </c>
      <c r="M1396">
        <f>SUMPRODUCT(Calc!$K$3:$K$22*(Calc!$G$3:$G$22&gt;B1396)*(Calc!$G$3:$G$22-B1396)*Calc!$G$3:$G$22)</f>
        <v/>
      </c>
      <c r="N1396">
        <f>SUMPRODUCT(Calc!$K$3:$K$22*(Calc!$G$3:$G$22&gt;A1396)*(Calc!$G$3:$G$22-A1396)*Calc!$I$3:$I$22)</f>
        <v/>
      </c>
      <c r="O1396">
        <f>SUMPRODUCT(Calc!$K$3:$K$22*(Calc!$G$3:$G$22&gt;B1396)*(Calc!$G$3:$G$22-B1396)*Calc!$I$3:$I$22)</f>
        <v/>
      </c>
      <c r="P1396">
        <f>I1396-G1396^2/k_n</f>
        <v/>
      </c>
      <c r="Q1396">
        <f>J1396-H1396^2/k_n</f>
        <v/>
      </c>
      <c r="R1396">
        <f>K1396-G1396*H1396/k_n</f>
        <v/>
      </c>
      <c r="S1396">
        <f>L1396-LTP3!$D$3*G1396/k_n</f>
        <v/>
      </c>
      <c r="T1396">
        <f>M1396-LTP3!$D$3*H1396/k_n</f>
        <v/>
      </c>
      <c r="U1396">
        <f>N1396-G1396*LTP3!$D$4/k_n</f>
        <v/>
      </c>
      <c r="V1396">
        <f>O1396-H1396*LTP3!$D$4/k_n</f>
        <v/>
      </c>
      <c r="W1396">
        <f>((LTP3!$D$5)*((P1396)*(Q1396)-(R1396)*(R1396))-(S1396)*((S1396)*(Q1396)-(R1396)*(T1396))+(T1396)*((S1396)*(R1396)-(P1396)*(T1396)))</f>
        <v/>
      </c>
      <c r="X1396">
        <f>IF(ABS(W1396)&gt;1E-12,((LTP3!$D$6)*((P1396)*(Q1396)-(R1396)*(R1396))-(S1396)*((U1396)*(Q1396)-(R1396)*(V1396))+(T1396)*((U1396)*(R1396)-(P1396)*(V1396)))/W1396,0)</f>
        <v/>
      </c>
      <c r="Y1396">
        <f>IF(ABS(W1396)&gt;1E-12,((LTP3!$D$5)*((U1396)*(Q1396)-(R1396)*(V1396))-(LTP3!$D$6)*((S1396)*(Q1396)-(R1396)*(T1396))+(T1396)*((S1396)*(V1396)-(U1396)*(T1396)))/W1396,0)</f>
        <v/>
      </c>
      <c r="Z1396">
        <f>IF(ABS(W1396)&gt;1E-12,((LTP3!$D$5)*((P1396)*(V1396)-(U1396)*(R1396))-(S1396)*((S1396)*(V1396)-(U1396)*(T1396))+(LTP3!$D$6)*((S1396)*(R1396)-(P1396)*(T1396)))/W1396,0)</f>
        <v/>
      </c>
      <c r="AA1396">
        <f>LTP3!$D$7-X1396*LTP3!$D$6-Y1396*U1396-Z1396*V1396</f>
        <v/>
      </c>
      <c r="AB1396">
        <f>IF(AND(F1396,ABS(W1396)&gt;1E-12,Y1396&gt;0,Z1396&gt;0),AA1396,1E+300)</f>
        <v/>
      </c>
    </row>
    <row r="1397">
      <c r="A1397">
        <f>$B$3+$B$5*22</f>
        <v/>
      </c>
      <c r="B1397">
        <f>$B$3+$B$5*43</f>
        <v/>
      </c>
      <c r="C1397">
        <f>SUMPRODUCT(Calc!$K$3:$K$22*(Calc!$G$3:$G$22&lt;=A1397))</f>
        <v/>
      </c>
      <c r="D1397">
        <f>SUMPRODUCT(Calc!$K$3:$K$22*(Calc!$G$3:$G$22&gt;A1397)*(Calc!$G$3:$G$22&lt;B1397))</f>
        <v/>
      </c>
      <c r="E1397">
        <f>SUMPRODUCT(Calc!$K$3:$K$22*(Calc!$G$3:$G$22&gt;=B1397))</f>
        <v/>
      </c>
      <c r="F1397">
        <f>AND(k_n&gt;=5,B1397&gt;A1397+1E-9,C1397&gt;=2,D1397&gt;=1,E1397&gt;=2)</f>
        <v/>
      </c>
      <c r="G1397">
        <f>SUMPRODUCT(Calc!$K$3:$K$22*(Calc!$G$3:$G$22&gt;A1397)*(Calc!$G$3:$G$22-A1397))</f>
        <v/>
      </c>
      <c r="H1397">
        <f>SUMPRODUCT(Calc!$K$3:$K$22*(Calc!$G$3:$G$22&gt;B1397)*(Calc!$G$3:$G$22-B1397))</f>
        <v/>
      </c>
      <c r="I1397">
        <f>SUMPRODUCT(Calc!$K$3:$K$22*(Calc!$G$3:$G$22&gt;A1397)*(Calc!$G$3:$G$22-A1397)^2)</f>
        <v/>
      </c>
      <c r="J1397">
        <f>SUMPRODUCT(Calc!$K$3:$K$22*(Calc!$G$3:$G$22&gt;B1397)*(Calc!$G$3:$G$22-B1397)^2)</f>
        <v/>
      </c>
      <c r="K1397">
        <f>SUMPRODUCT(Calc!$K$3:$K$22*(Calc!$G$3:$G$22&gt;A1397)*(Calc!$G$3:$G$22-A1397)*(Calc!$G$3:$G$22&gt;B1397)*(Calc!$G$3:$G$22-B1397))</f>
        <v/>
      </c>
      <c r="L1397">
        <f>SUMPRODUCT(Calc!$K$3:$K$22*(Calc!$G$3:$G$22&gt;A1397)*(Calc!$G$3:$G$22-A1397)*Calc!$G$3:$G$22)</f>
        <v/>
      </c>
      <c r="M1397">
        <f>SUMPRODUCT(Calc!$K$3:$K$22*(Calc!$G$3:$G$22&gt;B1397)*(Calc!$G$3:$G$22-B1397)*Calc!$G$3:$G$22)</f>
        <v/>
      </c>
      <c r="N1397">
        <f>SUMPRODUCT(Calc!$K$3:$K$22*(Calc!$G$3:$G$22&gt;A1397)*(Calc!$G$3:$G$22-A1397)*Calc!$I$3:$I$22)</f>
        <v/>
      </c>
      <c r="O1397">
        <f>SUMPRODUCT(Calc!$K$3:$K$22*(Calc!$G$3:$G$22&gt;B1397)*(Calc!$G$3:$G$22-B1397)*Calc!$I$3:$I$22)</f>
        <v/>
      </c>
      <c r="P1397">
        <f>I1397-G1397^2/k_n</f>
        <v/>
      </c>
      <c r="Q1397">
        <f>J1397-H1397^2/k_n</f>
        <v/>
      </c>
      <c r="R1397">
        <f>K1397-G1397*H1397/k_n</f>
        <v/>
      </c>
      <c r="S1397">
        <f>L1397-LTP3!$D$3*G1397/k_n</f>
        <v/>
      </c>
      <c r="T1397">
        <f>M1397-LTP3!$D$3*H1397/k_n</f>
        <v/>
      </c>
      <c r="U1397">
        <f>N1397-G1397*LTP3!$D$4/k_n</f>
        <v/>
      </c>
      <c r="V1397">
        <f>O1397-H1397*LTP3!$D$4/k_n</f>
        <v/>
      </c>
      <c r="W1397">
        <f>((LTP3!$D$5)*((P1397)*(Q1397)-(R1397)*(R1397))-(S1397)*((S1397)*(Q1397)-(R1397)*(T1397))+(T1397)*((S1397)*(R1397)-(P1397)*(T1397)))</f>
        <v/>
      </c>
      <c r="X1397">
        <f>IF(ABS(W1397)&gt;1E-12,((LTP3!$D$6)*((P1397)*(Q1397)-(R1397)*(R1397))-(S1397)*((U1397)*(Q1397)-(R1397)*(V1397))+(T1397)*((U1397)*(R1397)-(P1397)*(V1397)))/W1397,0)</f>
        <v/>
      </c>
      <c r="Y1397">
        <f>IF(ABS(W1397)&gt;1E-12,((LTP3!$D$5)*((U1397)*(Q1397)-(R1397)*(V1397))-(LTP3!$D$6)*((S1397)*(Q1397)-(R1397)*(T1397))+(T1397)*((S1397)*(V1397)-(U1397)*(T1397)))/W1397,0)</f>
        <v/>
      </c>
      <c r="Z1397">
        <f>IF(ABS(W1397)&gt;1E-12,((LTP3!$D$5)*((P1397)*(V1397)-(U1397)*(R1397))-(S1397)*((S1397)*(V1397)-(U1397)*(T1397))+(LTP3!$D$6)*((S1397)*(R1397)-(P1397)*(T1397)))/W1397,0)</f>
        <v/>
      </c>
      <c r="AA1397">
        <f>LTP3!$D$7-X1397*LTP3!$D$6-Y1397*U1397-Z1397*V1397</f>
        <v/>
      </c>
      <c r="AB1397">
        <f>IF(AND(F1397,ABS(W1397)&gt;1E-12,Y1397&gt;0,Z1397&gt;0),AA1397,1E+300)</f>
        <v/>
      </c>
    </row>
    <row r="1398">
      <c r="A1398">
        <f>$B$3+$B$5*22</f>
        <v/>
      </c>
      <c r="B1398">
        <f>$B$3+$B$5*44</f>
        <v/>
      </c>
      <c r="C1398">
        <f>SUMPRODUCT(Calc!$K$3:$K$22*(Calc!$G$3:$G$22&lt;=A1398))</f>
        <v/>
      </c>
      <c r="D1398">
        <f>SUMPRODUCT(Calc!$K$3:$K$22*(Calc!$G$3:$G$22&gt;A1398)*(Calc!$G$3:$G$22&lt;B1398))</f>
        <v/>
      </c>
      <c r="E1398">
        <f>SUMPRODUCT(Calc!$K$3:$K$22*(Calc!$G$3:$G$22&gt;=B1398))</f>
        <v/>
      </c>
      <c r="F1398">
        <f>AND(k_n&gt;=5,B1398&gt;A1398+1E-9,C1398&gt;=2,D1398&gt;=1,E1398&gt;=2)</f>
        <v/>
      </c>
      <c r="G1398">
        <f>SUMPRODUCT(Calc!$K$3:$K$22*(Calc!$G$3:$G$22&gt;A1398)*(Calc!$G$3:$G$22-A1398))</f>
        <v/>
      </c>
      <c r="H1398">
        <f>SUMPRODUCT(Calc!$K$3:$K$22*(Calc!$G$3:$G$22&gt;B1398)*(Calc!$G$3:$G$22-B1398))</f>
        <v/>
      </c>
      <c r="I1398">
        <f>SUMPRODUCT(Calc!$K$3:$K$22*(Calc!$G$3:$G$22&gt;A1398)*(Calc!$G$3:$G$22-A1398)^2)</f>
        <v/>
      </c>
      <c r="J1398">
        <f>SUMPRODUCT(Calc!$K$3:$K$22*(Calc!$G$3:$G$22&gt;B1398)*(Calc!$G$3:$G$22-B1398)^2)</f>
        <v/>
      </c>
      <c r="K1398">
        <f>SUMPRODUCT(Calc!$K$3:$K$22*(Calc!$G$3:$G$22&gt;A1398)*(Calc!$G$3:$G$22-A1398)*(Calc!$G$3:$G$22&gt;B1398)*(Calc!$G$3:$G$22-B1398))</f>
        <v/>
      </c>
      <c r="L1398">
        <f>SUMPRODUCT(Calc!$K$3:$K$22*(Calc!$G$3:$G$22&gt;A1398)*(Calc!$G$3:$G$22-A1398)*Calc!$G$3:$G$22)</f>
        <v/>
      </c>
      <c r="M1398">
        <f>SUMPRODUCT(Calc!$K$3:$K$22*(Calc!$G$3:$G$22&gt;B1398)*(Calc!$G$3:$G$22-B1398)*Calc!$G$3:$G$22)</f>
        <v/>
      </c>
      <c r="N1398">
        <f>SUMPRODUCT(Calc!$K$3:$K$22*(Calc!$G$3:$G$22&gt;A1398)*(Calc!$G$3:$G$22-A1398)*Calc!$I$3:$I$22)</f>
        <v/>
      </c>
      <c r="O1398">
        <f>SUMPRODUCT(Calc!$K$3:$K$22*(Calc!$G$3:$G$22&gt;B1398)*(Calc!$G$3:$G$22-B1398)*Calc!$I$3:$I$22)</f>
        <v/>
      </c>
      <c r="P1398">
        <f>I1398-G1398^2/k_n</f>
        <v/>
      </c>
      <c r="Q1398">
        <f>J1398-H1398^2/k_n</f>
        <v/>
      </c>
      <c r="R1398">
        <f>K1398-G1398*H1398/k_n</f>
        <v/>
      </c>
      <c r="S1398">
        <f>L1398-LTP3!$D$3*G1398/k_n</f>
        <v/>
      </c>
      <c r="T1398">
        <f>M1398-LTP3!$D$3*H1398/k_n</f>
        <v/>
      </c>
      <c r="U1398">
        <f>N1398-G1398*LTP3!$D$4/k_n</f>
        <v/>
      </c>
      <c r="V1398">
        <f>O1398-H1398*LTP3!$D$4/k_n</f>
        <v/>
      </c>
      <c r="W1398">
        <f>((LTP3!$D$5)*((P1398)*(Q1398)-(R1398)*(R1398))-(S1398)*((S1398)*(Q1398)-(R1398)*(T1398))+(T1398)*((S1398)*(R1398)-(P1398)*(T1398)))</f>
        <v/>
      </c>
      <c r="X1398">
        <f>IF(ABS(W1398)&gt;1E-12,((LTP3!$D$6)*((P1398)*(Q1398)-(R1398)*(R1398))-(S1398)*((U1398)*(Q1398)-(R1398)*(V1398))+(T1398)*((U1398)*(R1398)-(P1398)*(V1398)))/W1398,0)</f>
        <v/>
      </c>
      <c r="Y1398">
        <f>IF(ABS(W1398)&gt;1E-12,((LTP3!$D$5)*((U1398)*(Q1398)-(R1398)*(V1398))-(LTP3!$D$6)*((S1398)*(Q1398)-(R1398)*(T1398))+(T1398)*((S1398)*(V1398)-(U1398)*(T1398)))/W1398,0)</f>
        <v/>
      </c>
      <c r="Z1398">
        <f>IF(ABS(W1398)&gt;1E-12,((LTP3!$D$5)*((P1398)*(V1398)-(U1398)*(R1398))-(S1398)*((S1398)*(V1398)-(U1398)*(T1398))+(LTP3!$D$6)*((S1398)*(R1398)-(P1398)*(T1398)))/W1398,0)</f>
        <v/>
      </c>
      <c r="AA1398">
        <f>LTP3!$D$7-X1398*LTP3!$D$6-Y1398*U1398-Z1398*V1398</f>
        <v/>
      </c>
      <c r="AB1398">
        <f>IF(AND(F1398,ABS(W1398)&gt;1E-12,Y1398&gt;0,Z1398&gt;0),AA1398,1E+300)</f>
        <v/>
      </c>
    </row>
    <row r="1399">
      <c r="A1399">
        <f>$B$3+$B$5*22</f>
        <v/>
      </c>
      <c r="B1399">
        <f>$B$3+$B$5*45</f>
        <v/>
      </c>
      <c r="C1399">
        <f>SUMPRODUCT(Calc!$K$3:$K$22*(Calc!$G$3:$G$22&lt;=A1399))</f>
        <v/>
      </c>
      <c r="D1399">
        <f>SUMPRODUCT(Calc!$K$3:$K$22*(Calc!$G$3:$G$22&gt;A1399)*(Calc!$G$3:$G$22&lt;B1399))</f>
        <v/>
      </c>
      <c r="E1399">
        <f>SUMPRODUCT(Calc!$K$3:$K$22*(Calc!$G$3:$G$22&gt;=B1399))</f>
        <v/>
      </c>
      <c r="F1399">
        <f>AND(k_n&gt;=5,B1399&gt;A1399+1E-9,C1399&gt;=2,D1399&gt;=1,E1399&gt;=2)</f>
        <v/>
      </c>
      <c r="G1399">
        <f>SUMPRODUCT(Calc!$K$3:$K$22*(Calc!$G$3:$G$22&gt;A1399)*(Calc!$G$3:$G$22-A1399))</f>
        <v/>
      </c>
      <c r="H1399">
        <f>SUMPRODUCT(Calc!$K$3:$K$22*(Calc!$G$3:$G$22&gt;B1399)*(Calc!$G$3:$G$22-B1399))</f>
        <v/>
      </c>
      <c r="I1399">
        <f>SUMPRODUCT(Calc!$K$3:$K$22*(Calc!$G$3:$G$22&gt;A1399)*(Calc!$G$3:$G$22-A1399)^2)</f>
        <v/>
      </c>
      <c r="J1399">
        <f>SUMPRODUCT(Calc!$K$3:$K$22*(Calc!$G$3:$G$22&gt;B1399)*(Calc!$G$3:$G$22-B1399)^2)</f>
        <v/>
      </c>
      <c r="K1399">
        <f>SUMPRODUCT(Calc!$K$3:$K$22*(Calc!$G$3:$G$22&gt;A1399)*(Calc!$G$3:$G$22-A1399)*(Calc!$G$3:$G$22&gt;B1399)*(Calc!$G$3:$G$22-B1399))</f>
        <v/>
      </c>
      <c r="L1399">
        <f>SUMPRODUCT(Calc!$K$3:$K$22*(Calc!$G$3:$G$22&gt;A1399)*(Calc!$G$3:$G$22-A1399)*Calc!$G$3:$G$22)</f>
        <v/>
      </c>
      <c r="M1399">
        <f>SUMPRODUCT(Calc!$K$3:$K$22*(Calc!$G$3:$G$22&gt;B1399)*(Calc!$G$3:$G$22-B1399)*Calc!$G$3:$G$22)</f>
        <v/>
      </c>
      <c r="N1399">
        <f>SUMPRODUCT(Calc!$K$3:$K$22*(Calc!$G$3:$G$22&gt;A1399)*(Calc!$G$3:$G$22-A1399)*Calc!$I$3:$I$22)</f>
        <v/>
      </c>
      <c r="O1399">
        <f>SUMPRODUCT(Calc!$K$3:$K$22*(Calc!$G$3:$G$22&gt;B1399)*(Calc!$G$3:$G$22-B1399)*Calc!$I$3:$I$22)</f>
        <v/>
      </c>
      <c r="P1399">
        <f>I1399-G1399^2/k_n</f>
        <v/>
      </c>
      <c r="Q1399">
        <f>J1399-H1399^2/k_n</f>
        <v/>
      </c>
      <c r="R1399">
        <f>K1399-G1399*H1399/k_n</f>
        <v/>
      </c>
      <c r="S1399">
        <f>L1399-LTP3!$D$3*G1399/k_n</f>
        <v/>
      </c>
      <c r="T1399">
        <f>M1399-LTP3!$D$3*H1399/k_n</f>
        <v/>
      </c>
      <c r="U1399">
        <f>N1399-G1399*LTP3!$D$4/k_n</f>
        <v/>
      </c>
      <c r="V1399">
        <f>O1399-H1399*LTP3!$D$4/k_n</f>
        <v/>
      </c>
      <c r="W1399">
        <f>((LTP3!$D$5)*((P1399)*(Q1399)-(R1399)*(R1399))-(S1399)*((S1399)*(Q1399)-(R1399)*(T1399))+(T1399)*((S1399)*(R1399)-(P1399)*(T1399)))</f>
        <v/>
      </c>
      <c r="X1399">
        <f>IF(ABS(W1399)&gt;1E-12,((LTP3!$D$6)*((P1399)*(Q1399)-(R1399)*(R1399))-(S1399)*((U1399)*(Q1399)-(R1399)*(V1399))+(T1399)*((U1399)*(R1399)-(P1399)*(V1399)))/W1399,0)</f>
        <v/>
      </c>
      <c r="Y1399">
        <f>IF(ABS(W1399)&gt;1E-12,((LTP3!$D$5)*((U1399)*(Q1399)-(R1399)*(V1399))-(LTP3!$D$6)*((S1399)*(Q1399)-(R1399)*(T1399))+(T1399)*((S1399)*(V1399)-(U1399)*(T1399)))/W1399,0)</f>
        <v/>
      </c>
      <c r="Z1399">
        <f>IF(ABS(W1399)&gt;1E-12,((LTP3!$D$5)*((P1399)*(V1399)-(U1399)*(R1399))-(S1399)*((S1399)*(V1399)-(U1399)*(T1399))+(LTP3!$D$6)*((S1399)*(R1399)-(P1399)*(T1399)))/W1399,0)</f>
        <v/>
      </c>
      <c r="AA1399">
        <f>LTP3!$D$7-X1399*LTP3!$D$6-Y1399*U1399-Z1399*V1399</f>
        <v/>
      </c>
      <c r="AB1399">
        <f>IF(AND(F1399,ABS(W1399)&gt;1E-12,Y1399&gt;0,Z1399&gt;0),AA1399,1E+300)</f>
        <v/>
      </c>
    </row>
    <row r="1400">
      <c r="A1400">
        <f>$B$3+$B$5*22</f>
        <v/>
      </c>
      <c r="B1400">
        <f>$B$3+$B$5*46</f>
        <v/>
      </c>
      <c r="C1400">
        <f>SUMPRODUCT(Calc!$K$3:$K$22*(Calc!$G$3:$G$22&lt;=A1400))</f>
        <v/>
      </c>
      <c r="D1400">
        <f>SUMPRODUCT(Calc!$K$3:$K$22*(Calc!$G$3:$G$22&gt;A1400)*(Calc!$G$3:$G$22&lt;B1400))</f>
        <v/>
      </c>
      <c r="E1400">
        <f>SUMPRODUCT(Calc!$K$3:$K$22*(Calc!$G$3:$G$22&gt;=B1400))</f>
        <v/>
      </c>
      <c r="F1400">
        <f>AND(k_n&gt;=5,B1400&gt;A1400+1E-9,C1400&gt;=2,D1400&gt;=1,E1400&gt;=2)</f>
        <v/>
      </c>
      <c r="G1400">
        <f>SUMPRODUCT(Calc!$K$3:$K$22*(Calc!$G$3:$G$22&gt;A1400)*(Calc!$G$3:$G$22-A1400))</f>
        <v/>
      </c>
      <c r="H1400">
        <f>SUMPRODUCT(Calc!$K$3:$K$22*(Calc!$G$3:$G$22&gt;B1400)*(Calc!$G$3:$G$22-B1400))</f>
        <v/>
      </c>
      <c r="I1400">
        <f>SUMPRODUCT(Calc!$K$3:$K$22*(Calc!$G$3:$G$22&gt;A1400)*(Calc!$G$3:$G$22-A1400)^2)</f>
        <v/>
      </c>
      <c r="J1400">
        <f>SUMPRODUCT(Calc!$K$3:$K$22*(Calc!$G$3:$G$22&gt;B1400)*(Calc!$G$3:$G$22-B1400)^2)</f>
        <v/>
      </c>
      <c r="K1400">
        <f>SUMPRODUCT(Calc!$K$3:$K$22*(Calc!$G$3:$G$22&gt;A1400)*(Calc!$G$3:$G$22-A1400)*(Calc!$G$3:$G$22&gt;B1400)*(Calc!$G$3:$G$22-B1400))</f>
        <v/>
      </c>
      <c r="L1400">
        <f>SUMPRODUCT(Calc!$K$3:$K$22*(Calc!$G$3:$G$22&gt;A1400)*(Calc!$G$3:$G$22-A1400)*Calc!$G$3:$G$22)</f>
        <v/>
      </c>
      <c r="M1400">
        <f>SUMPRODUCT(Calc!$K$3:$K$22*(Calc!$G$3:$G$22&gt;B1400)*(Calc!$G$3:$G$22-B1400)*Calc!$G$3:$G$22)</f>
        <v/>
      </c>
      <c r="N1400">
        <f>SUMPRODUCT(Calc!$K$3:$K$22*(Calc!$G$3:$G$22&gt;A1400)*(Calc!$G$3:$G$22-A1400)*Calc!$I$3:$I$22)</f>
        <v/>
      </c>
      <c r="O1400">
        <f>SUMPRODUCT(Calc!$K$3:$K$22*(Calc!$G$3:$G$22&gt;B1400)*(Calc!$G$3:$G$22-B1400)*Calc!$I$3:$I$22)</f>
        <v/>
      </c>
      <c r="P1400">
        <f>I1400-G1400^2/k_n</f>
        <v/>
      </c>
      <c r="Q1400">
        <f>J1400-H1400^2/k_n</f>
        <v/>
      </c>
      <c r="R1400">
        <f>K1400-G1400*H1400/k_n</f>
        <v/>
      </c>
      <c r="S1400">
        <f>L1400-LTP3!$D$3*G1400/k_n</f>
        <v/>
      </c>
      <c r="T1400">
        <f>M1400-LTP3!$D$3*H1400/k_n</f>
        <v/>
      </c>
      <c r="U1400">
        <f>N1400-G1400*LTP3!$D$4/k_n</f>
        <v/>
      </c>
      <c r="V1400">
        <f>O1400-H1400*LTP3!$D$4/k_n</f>
        <v/>
      </c>
      <c r="W1400">
        <f>((LTP3!$D$5)*((P1400)*(Q1400)-(R1400)*(R1400))-(S1400)*((S1400)*(Q1400)-(R1400)*(T1400))+(T1400)*((S1400)*(R1400)-(P1400)*(T1400)))</f>
        <v/>
      </c>
      <c r="X1400">
        <f>IF(ABS(W1400)&gt;1E-12,((LTP3!$D$6)*((P1400)*(Q1400)-(R1400)*(R1400))-(S1400)*((U1400)*(Q1400)-(R1400)*(V1400))+(T1400)*((U1400)*(R1400)-(P1400)*(V1400)))/W1400,0)</f>
        <v/>
      </c>
      <c r="Y1400">
        <f>IF(ABS(W1400)&gt;1E-12,((LTP3!$D$5)*((U1400)*(Q1400)-(R1400)*(V1400))-(LTP3!$D$6)*((S1400)*(Q1400)-(R1400)*(T1400))+(T1400)*((S1400)*(V1400)-(U1400)*(T1400)))/W1400,0)</f>
        <v/>
      </c>
      <c r="Z1400">
        <f>IF(ABS(W1400)&gt;1E-12,((LTP3!$D$5)*((P1400)*(V1400)-(U1400)*(R1400))-(S1400)*((S1400)*(V1400)-(U1400)*(T1400))+(LTP3!$D$6)*((S1400)*(R1400)-(P1400)*(T1400)))/W1400,0)</f>
        <v/>
      </c>
      <c r="AA1400">
        <f>LTP3!$D$7-X1400*LTP3!$D$6-Y1400*U1400-Z1400*V1400</f>
        <v/>
      </c>
      <c r="AB1400">
        <f>IF(AND(F1400,ABS(W1400)&gt;1E-12,Y1400&gt;0,Z1400&gt;0),AA1400,1E+300)</f>
        <v/>
      </c>
    </row>
    <row r="1401">
      <c r="A1401">
        <f>$B$3+$B$5*22</f>
        <v/>
      </c>
      <c r="B1401">
        <f>$B$3+$B$5*47</f>
        <v/>
      </c>
      <c r="C1401">
        <f>SUMPRODUCT(Calc!$K$3:$K$22*(Calc!$G$3:$G$22&lt;=A1401))</f>
        <v/>
      </c>
      <c r="D1401">
        <f>SUMPRODUCT(Calc!$K$3:$K$22*(Calc!$G$3:$G$22&gt;A1401)*(Calc!$G$3:$G$22&lt;B1401))</f>
        <v/>
      </c>
      <c r="E1401">
        <f>SUMPRODUCT(Calc!$K$3:$K$22*(Calc!$G$3:$G$22&gt;=B1401))</f>
        <v/>
      </c>
      <c r="F1401">
        <f>AND(k_n&gt;=5,B1401&gt;A1401+1E-9,C1401&gt;=2,D1401&gt;=1,E1401&gt;=2)</f>
        <v/>
      </c>
      <c r="G1401">
        <f>SUMPRODUCT(Calc!$K$3:$K$22*(Calc!$G$3:$G$22&gt;A1401)*(Calc!$G$3:$G$22-A1401))</f>
        <v/>
      </c>
      <c r="H1401">
        <f>SUMPRODUCT(Calc!$K$3:$K$22*(Calc!$G$3:$G$22&gt;B1401)*(Calc!$G$3:$G$22-B1401))</f>
        <v/>
      </c>
      <c r="I1401">
        <f>SUMPRODUCT(Calc!$K$3:$K$22*(Calc!$G$3:$G$22&gt;A1401)*(Calc!$G$3:$G$22-A1401)^2)</f>
        <v/>
      </c>
      <c r="J1401">
        <f>SUMPRODUCT(Calc!$K$3:$K$22*(Calc!$G$3:$G$22&gt;B1401)*(Calc!$G$3:$G$22-B1401)^2)</f>
        <v/>
      </c>
      <c r="K1401">
        <f>SUMPRODUCT(Calc!$K$3:$K$22*(Calc!$G$3:$G$22&gt;A1401)*(Calc!$G$3:$G$22-A1401)*(Calc!$G$3:$G$22&gt;B1401)*(Calc!$G$3:$G$22-B1401))</f>
        <v/>
      </c>
      <c r="L1401">
        <f>SUMPRODUCT(Calc!$K$3:$K$22*(Calc!$G$3:$G$22&gt;A1401)*(Calc!$G$3:$G$22-A1401)*Calc!$G$3:$G$22)</f>
        <v/>
      </c>
      <c r="M1401">
        <f>SUMPRODUCT(Calc!$K$3:$K$22*(Calc!$G$3:$G$22&gt;B1401)*(Calc!$G$3:$G$22-B1401)*Calc!$G$3:$G$22)</f>
        <v/>
      </c>
      <c r="N1401">
        <f>SUMPRODUCT(Calc!$K$3:$K$22*(Calc!$G$3:$G$22&gt;A1401)*(Calc!$G$3:$G$22-A1401)*Calc!$I$3:$I$22)</f>
        <v/>
      </c>
      <c r="O1401">
        <f>SUMPRODUCT(Calc!$K$3:$K$22*(Calc!$G$3:$G$22&gt;B1401)*(Calc!$G$3:$G$22-B1401)*Calc!$I$3:$I$22)</f>
        <v/>
      </c>
      <c r="P1401">
        <f>I1401-G1401^2/k_n</f>
        <v/>
      </c>
      <c r="Q1401">
        <f>J1401-H1401^2/k_n</f>
        <v/>
      </c>
      <c r="R1401">
        <f>K1401-G1401*H1401/k_n</f>
        <v/>
      </c>
      <c r="S1401">
        <f>L1401-LTP3!$D$3*G1401/k_n</f>
        <v/>
      </c>
      <c r="T1401">
        <f>M1401-LTP3!$D$3*H1401/k_n</f>
        <v/>
      </c>
      <c r="U1401">
        <f>N1401-G1401*LTP3!$D$4/k_n</f>
        <v/>
      </c>
      <c r="V1401">
        <f>O1401-H1401*LTP3!$D$4/k_n</f>
        <v/>
      </c>
      <c r="W1401">
        <f>((LTP3!$D$5)*((P1401)*(Q1401)-(R1401)*(R1401))-(S1401)*((S1401)*(Q1401)-(R1401)*(T1401))+(T1401)*((S1401)*(R1401)-(P1401)*(T1401)))</f>
        <v/>
      </c>
      <c r="X1401">
        <f>IF(ABS(W1401)&gt;1E-12,((LTP3!$D$6)*((P1401)*(Q1401)-(R1401)*(R1401))-(S1401)*((U1401)*(Q1401)-(R1401)*(V1401))+(T1401)*((U1401)*(R1401)-(P1401)*(V1401)))/W1401,0)</f>
        <v/>
      </c>
      <c r="Y1401">
        <f>IF(ABS(W1401)&gt;1E-12,((LTP3!$D$5)*((U1401)*(Q1401)-(R1401)*(V1401))-(LTP3!$D$6)*((S1401)*(Q1401)-(R1401)*(T1401))+(T1401)*((S1401)*(V1401)-(U1401)*(T1401)))/W1401,0)</f>
        <v/>
      </c>
      <c r="Z1401">
        <f>IF(ABS(W1401)&gt;1E-12,((LTP3!$D$5)*((P1401)*(V1401)-(U1401)*(R1401))-(S1401)*((S1401)*(V1401)-(U1401)*(T1401))+(LTP3!$D$6)*((S1401)*(R1401)-(P1401)*(T1401)))/W1401,0)</f>
        <v/>
      </c>
      <c r="AA1401">
        <f>LTP3!$D$7-X1401*LTP3!$D$6-Y1401*U1401-Z1401*V1401</f>
        <v/>
      </c>
      <c r="AB1401">
        <f>IF(AND(F1401,ABS(W1401)&gt;1E-12,Y1401&gt;0,Z1401&gt;0),AA1401,1E+300)</f>
        <v/>
      </c>
    </row>
    <row r="1402">
      <c r="A1402">
        <f>$B$3+$B$5*22</f>
        <v/>
      </c>
      <c r="B1402">
        <f>$B$3+$B$5*48</f>
        <v/>
      </c>
      <c r="C1402">
        <f>SUMPRODUCT(Calc!$K$3:$K$22*(Calc!$G$3:$G$22&lt;=A1402))</f>
        <v/>
      </c>
      <c r="D1402">
        <f>SUMPRODUCT(Calc!$K$3:$K$22*(Calc!$G$3:$G$22&gt;A1402)*(Calc!$G$3:$G$22&lt;B1402))</f>
        <v/>
      </c>
      <c r="E1402">
        <f>SUMPRODUCT(Calc!$K$3:$K$22*(Calc!$G$3:$G$22&gt;=B1402))</f>
        <v/>
      </c>
      <c r="F1402">
        <f>AND(k_n&gt;=5,B1402&gt;A1402+1E-9,C1402&gt;=2,D1402&gt;=1,E1402&gt;=2)</f>
        <v/>
      </c>
      <c r="G1402">
        <f>SUMPRODUCT(Calc!$K$3:$K$22*(Calc!$G$3:$G$22&gt;A1402)*(Calc!$G$3:$G$22-A1402))</f>
        <v/>
      </c>
      <c r="H1402">
        <f>SUMPRODUCT(Calc!$K$3:$K$22*(Calc!$G$3:$G$22&gt;B1402)*(Calc!$G$3:$G$22-B1402))</f>
        <v/>
      </c>
      <c r="I1402">
        <f>SUMPRODUCT(Calc!$K$3:$K$22*(Calc!$G$3:$G$22&gt;A1402)*(Calc!$G$3:$G$22-A1402)^2)</f>
        <v/>
      </c>
      <c r="J1402">
        <f>SUMPRODUCT(Calc!$K$3:$K$22*(Calc!$G$3:$G$22&gt;B1402)*(Calc!$G$3:$G$22-B1402)^2)</f>
        <v/>
      </c>
      <c r="K1402">
        <f>SUMPRODUCT(Calc!$K$3:$K$22*(Calc!$G$3:$G$22&gt;A1402)*(Calc!$G$3:$G$22-A1402)*(Calc!$G$3:$G$22&gt;B1402)*(Calc!$G$3:$G$22-B1402))</f>
        <v/>
      </c>
      <c r="L1402">
        <f>SUMPRODUCT(Calc!$K$3:$K$22*(Calc!$G$3:$G$22&gt;A1402)*(Calc!$G$3:$G$22-A1402)*Calc!$G$3:$G$22)</f>
        <v/>
      </c>
      <c r="M1402">
        <f>SUMPRODUCT(Calc!$K$3:$K$22*(Calc!$G$3:$G$22&gt;B1402)*(Calc!$G$3:$G$22-B1402)*Calc!$G$3:$G$22)</f>
        <v/>
      </c>
      <c r="N1402">
        <f>SUMPRODUCT(Calc!$K$3:$K$22*(Calc!$G$3:$G$22&gt;A1402)*(Calc!$G$3:$G$22-A1402)*Calc!$I$3:$I$22)</f>
        <v/>
      </c>
      <c r="O1402">
        <f>SUMPRODUCT(Calc!$K$3:$K$22*(Calc!$G$3:$G$22&gt;B1402)*(Calc!$G$3:$G$22-B1402)*Calc!$I$3:$I$22)</f>
        <v/>
      </c>
      <c r="P1402">
        <f>I1402-G1402^2/k_n</f>
        <v/>
      </c>
      <c r="Q1402">
        <f>J1402-H1402^2/k_n</f>
        <v/>
      </c>
      <c r="R1402">
        <f>K1402-G1402*H1402/k_n</f>
        <v/>
      </c>
      <c r="S1402">
        <f>L1402-LTP3!$D$3*G1402/k_n</f>
        <v/>
      </c>
      <c r="T1402">
        <f>M1402-LTP3!$D$3*H1402/k_n</f>
        <v/>
      </c>
      <c r="U1402">
        <f>N1402-G1402*LTP3!$D$4/k_n</f>
        <v/>
      </c>
      <c r="V1402">
        <f>O1402-H1402*LTP3!$D$4/k_n</f>
        <v/>
      </c>
      <c r="W1402">
        <f>((LTP3!$D$5)*((P1402)*(Q1402)-(R1402)*(R1402))-(S1402)*((S1402)*(Q1402)-(R1402)*(T1402))+(T1402)*((S1402)*(R1402)-(P1402)*(T1402)))</f>
        <v/>
      </c>
      <c r="X1402">
        <f>IF(ABS(W1402)&gt;1E-12,((LTP3!$D$6)*((P1402)*(Q1402)-(R1402)*(R1402))-(S1402)*((U1402)*(Q1402)-(R1402)*(V1402))+(T1402)*((U1402)*(R1402)-(P1402)*(V1402)))/W1402,0)</f>
        <v/>
      </c>
      <c r="Y1402">
        <f>IF(ABS(W1402)&gt;1E-12,((LTP3!$D$5)*((U1402)*(Q1402)-(R1402)*(V1402))-(LTP3!$D$6)*((S1402)*(Q1402)-(R1402)*(T1402))+(T1402)*((S1402)*(V1402)-(U1402)*(T1402)))/W1402,0)</f>
        <v/>
      </c>
      <c r="Z1402">
        <f>IF(ABS(W1402)&gt;1E-12,((LTP3!$D$5)*((P1402)*(V1402)-(U1402)*(R1402))-(S1402)*((S1402)*(V1402)-(U1402)*(T1402))+(LTP3!$D$6)*((S1402)*(R1402)-(P1402)*(T1402)))/W1402,0)</f>
        <v/>
      </c>
      <c r="AA1402">
        <f>LTP3!$D$7-X1402*LTP3!$D$6-Y1402*U1402-Z1402*V1402</f>
        <v/>
      </c>
      <c r="AB1402">
        <f>IF(AND(F1402,ABS(W1402)&gt;1E-12,Y1402&gt;0,Z1402&gt;0),AA1402,1E+300)</f>
        <v/>
      </c>
    </row>
    <row r="1403">
      <c r="A1403">
        <f>$B$3+$B$5*22</f>
        <v/>
      </c>
      <c r="B1403">
        <f>$B$3+$B$5*49</f>
        <v/>
      </c>
      <c r="C1403">
        <f>SUMPRODUCT(Calc!$K$3:$K$22*(Calc!$G$3:$G$22&lt;=A1403))</f>
        <v/>
      </c>
      <c r="D1403">
        <f>SUMPRODUCT(Calc!$K$3:$K$22*(Calc!$G$3:$G$22&gt;A1403)*(Calc!$G$3:$G$22&lt;B1403))</f>
        <v/>
      </c>
      <c r="E1403">
        <f>SUMPRODUCT(Calc!$K$3:$K$22*(Calc!$G$3:$G$22&gt;=B1403))</f>
        <v/>
      </c>
      <c r="F1403">
        <f>AND(k_n&gt;=5,B1403&gt;A1403+1E-9,C1403&gt;=2,D1403&gt;=1,E1403&gt;=2)</f>
        <v/>
      </c>
      <c r="G1403">
        <f>SUMPRODUCT(Calc!$K$3:$K$22*(Calc!$G$3:$G$22&gt;A1403)*(Calc!$G$3:$G$22-A1403))</f>
        <v/>
      </c>
      <c r="H1403">
        <f>SUMPRODUCT(Calc!$K$3:$K$22*(Calc!$G$3:$G$22&gt;B1403)*(Calc!$G$3:$G$22-B1403))</f>
        <v/>
      </c>
      <c r="I1403">
        <f>SUMPRODUCT(Calc!$K$3:$K$22*(Calc!$G$3:$G$22&gt;A1403)*(Calc!$G$3:$G$22-A1403)^2)</f>
        <v/>
      </c>
      <c r="J1403">
        <f>SUMPRODUCT(Calc!$K$3:$K$22*(Calc!$G$3:$G$22&gt;B1403)*(Calc!$G$3:$G$22-B1403)^2)</f>
        <v/>
      </c>
      <c r="K1403">
        <f>SUMPRODUCT(Calc!$K$3:$K$22*(Calc!$G$3:$G$22&gt;A1403)*(Calc!$G$3:$G$22-A1403)*(Calc!$G$3:$G$22&gt;B1403)*(Calc!$G$3:$G$22-B1403))</f>
        <v/>
      </c>
      <c r="L1403">
        <f>SUMPRODUCT(Calc!$K$3:$K$22*(Calc!$G$3:$G$22&gt;A1403)*(Calc!$G$3:$G$22-A1403)*Calc!$G$3:$G$22)</f>
        <v/>
      </c>
      <c r="M1403">
        <f>SUMPRODUCT(Calc!$K$3:$K$22*(Calc!$G$3:$G$22&gt;B1403)*(Calc!$G$3:$G$22-B1403)*Calc!$G$3:$G$22)</f>
        <v/>
      </c>
      <c r="N1403">
        <f>SUMPRODUCT(Calc!$K$3:$K$22*(Calc!$G$3:$G$22&gt;A1403)*(Calc!$G$3:$G$22-A1403)*Calc!$I$3:$I$22)</f>
        <v/>
      </c>
      <c r="O1403">
        <f>SUMPRODUCT(Calc!$K$3:$K$22*(Calc!$G$3:$G$22&gt;B1403)*(Calc!$G$3:$G$22-B1403)*Calc!$I$3:$I$22)</f>
        <v/>
      </c>
      <c r="P1403">
        <f>I1403-G1403^2/k_n</f>
        <v/>
      </c>
      <c r="Q1403">
        <f>J1403-H1403^2/k_n</f>
        <v/>
      </c>
      <c r="R1403">
        <f>K1403-G1403*H1403/k_n</f>
        <v/>
      </c>
      <c r="S1403">
        <f>L1403-LTP3!$D$3*G1403/k_n</f>
        <v/>
      </c>
      <c r="T1403">
        <f>M1403-LTP3!$D$3*H1403/k_n</f>
        <v/>
      </c>
      <c r="U1403">
        <f>N1403-G1403*LTP3!$D$4/k_n</f>
        <v/>
      </c>
      <c r="V1403">
        <f>O1403-H1403*LTP3!$D$4/k_n</f>
        <v/>
      </c>
      <c r="W1403">
        <f>((LTP3!$D$5)*((P1403)*(Q1403)-(R1403)*(R1403))-(S1403)*((S1403)*(Q1403)-(R1403)*(T1403))+(T1403)*((S1403)*(R1403)-(P1403)*(T1403)))</f>
        <v/>
      </c>
      <c r="X1403">
        <f>IF(ABS(W1403)&gt;1E-12,((LTP3!$D$6)*((P1403)*(Q1403)-(R1403)*(R1403))-(S1403)*((U1403)*(Q1403)-(R1403)*(V1403))+(T1403)*((U1403)*(R1403)-(P1403)*(V1403)))/W1403,0)</f>
        <v/>
      </c>
      <c r="Y1403">
        <f>IF(ABS(W1403)&gt;1E-12,((LTP3!$D$5)*((U1403)*(Q1403)-(R1403)*(V1403))-(LTP3!$D$6)*((S1403)*(Q1403)-(R1403)*(T1403))+(T1403)*((S1403)*(V1403)-(U1403)*(T1403)))/W1403,0)</f>
        <v/>
      </c>
      <c r="Z1403">
        <f>IF(ABS(W1403)&gt;1E-12,((LTP3!$D$5)*((P1403)*(V1403)-(U1403)*(R1403))-(S1403)*((S1403)*(V1403)-(U1403)*(T1403))+(LTP3!$D$6)*((S1403)*(R1403)-(P1403)*(T1403)))/W1403,0)</f>
        <v/>
      </c>
      <c r="AA1403">
        <f>LTP3!$D$7-X1403*LTP3!$D$6-Y1403*U1403-Z1403*V1403</f>
        <v/>
      </c>
      <c r="AB1403">
        <f>IF(AND(F1403,ABS(W1403)&gt;1E-12,Y1403&gt;0,Z1403&gt;0),AA1403,1E+300)</f>
        <v/>
      </c>
    </row>
    <row r="1404">
      <c r="A1404">
        <f>$B$3+$B$5*22</f>
        <v/>
      </c>
      <c r="B1404">
        <f>$B$3+$B$5*50</f>
        <v/>
      </c>
      <c r="C1404">
        <f>SUMPRODUCT(Calc!$K$3:$K$22*(Calc!$G$3:$G$22&lt;=A1404))</f>
        <v/>
      </c>
      <c r="D1404">
        <f>SUMPRODUCT(Calc!$K$3:$K$22*(Calc!$G$3:$G$22&gt;A1404)*(Calc!$G$3:$G$22&lt;B1404))</f>
        <v/>
      </c>
      <c r="E1404">
        <f>SUMPRODUCT(Calc!$K$3:$K$22*(Calc!$G$3:$G$22&gt;=B1404))</f>
        <v/>
      </c>
      <c r="F1404">
        <f>AND(k_n&gt;=5,B1404&gt;A1404+1E-9,C1404&gt;=2,D1404&gt;=1,E1404&gt;=2)</f>
        <v/>
      </c>
      <c r="G1404">
        <f>SUMPRODUCT(Calc!$K$3:$K$22*(Calc!$G$3:$G$22&gt;A1404)*(Calc!$G$3:$G$22-A1404))</f>
        <v/>
      </c>
      <c r="H1404">
        <f>SUMPRODUCT(Calc!$K$3:$K$22*(Calc!$G$3:$G$22&gt;B1404)*(Calc!$G$3:$G$22-B1404))</f>
        <v/>
      </c>
      <c r="I1404">
        <f>SUMPRODUCT(Calc!$K$3:$K$22*(Calc!$G$3:$G$22&gt;A1404)*(Calc!$G$3:$G$22-A1404)^2)</f>
        <v/>
      </c>
      <c r="J1404">
        <f>SUMPRODUCT(Calc!$K$3:$K$22*(Calc!$G$3:$G$22&gt;B1404)*(Calc!$G$3:$G$22-B1404)^2)</f>
        <v/>
      </c>
      <c r="K1404">
        <f>SUMPRODUCT(Calc!$K$3:$K$22*(Calc!$G$3:$G$22&gt;A1404)*(Calc!$G$3:$G$22-A1404)*(Calc!$G$3:$G$22&gt;B1404)*(Calc!$G$3:$G$22-B1404))</f>
        <v/>
      </c>
      <c r="L1404">
        <f>SUMPRODUCT(Calc!$K$3:$K$22*(Calc!$G$3:$G$22&gt;A1404)*(Calc!$G$3:$G$22-A1404)*Calc!$G$3:$G$22)</f>
        <v/>
      </c>
      <c r="M1404">
        <f>SUMPRODUCT(Calc!$K$3:$K$22*(Calc!$G$3:$G$22&gt;B1404)*(Calc!$G$3:$G$22-B1404)*Calc!$G$3:$G$22)</f>
        <v/>
      </c>
      <c r="N1404">
        <f>SUMPRODUCT(Calc!$K$3:$K$22*(Calc!$G$3:$G$22&gt;A1404)*(Calc!$G$3:$G$22-A1404)*Calc!$I$3:$I$22)</f>
        <v/>
      </c>
      <c r="O1404">
        <f>SUMPRODUCT(Calc!$K$3:$K$22*(Calc!$G$3:$G$22&gt;B1404)*(Calc!$G$3:$G$22-B1404)*Calc!$I$3:$I$22)</f>
        <v/>
      </c>
      <c r="P1404">
        <f>I1404-G1404^2/k_n</f>
        <v/>
      </c>
      <c r="Q1404">
        <f>J1404-H1404^2/k_n</f>
        <v/>
      </c>
      <c r="R1404">
        <f>K1404-G1404*H1404/k_n</f>
        <v/>
      </c>
      <c r="S1404">
        <f>L1404-LTP3!$D$3*G1404/k_n</f>
        <v/>
      </c>
      <c r="T1404">
        <f>M1404-LTP3!$D$3*H1404/k_n</f>
        <v/>
      </c>
      <c r="U1404">
        <f>N1404-G1404*LTP3!$D$4/k_n</f>
        <v/>
      </c>
      <c r="V1404">
        <f>O1404-H1404*LTP3!$D$4/k_n</f>
        <v/>
      </c>
      <c r="W1404">
        <f>((LTP3!$D$5)*((P1404)*(Q1404)-(R1404)*(R1404))-(S1404)*((S1404)*(Q1404)-(R1404)*(T1404))+(T1404)*((S1404)*(R1404)-(P1404)*(T1404)))</f>
        <v/>
      </c>
      <c r="X1404">
        <f>IF(ABS(W1404)&gt;1E-12,((LTP3!$D$6)*((P1404)*(Q1404)-(R1404)*(R1404))-(S1404)*((U1404)*(Q1404)-(R1404)*(V1404))+(T1404)*((U1404)*(R1404)-(P1404)*(V1404)))/W1404,0)</f>
        <v/>
      </c>
      <c r="Y1404">
        <f>IF(ABS(W1404)&gt;1E-12,((LTP3!$D$5)*((U1404)*(Q1404)-(R1404)*(V1404))-(LTP3!$D$6)*((S1404)*(Q1404)-(R1404)*(T1404))+(T1404)*((S1404)*(V1404)-(U1404)*(T1404)))/W1404,0)</f>
        <v/>
      </c>
      <c r="Z1404">
        <f>IF(ABS(W1404)&gt;1E-12,((LTP3!$D$5)*((P1404)*(V1404)-(U1404)*(R1404))-(S1404)*((S1404)*(V1404)-(U1404)*(T1404))+(LTP3!$D$6)*((S1404)*(R1404)-(P1404)*(T1404)))/W1404,0)</f>
        <v/>
      </c>
      <c r="AA1404">
        <f>LTP3!$D$7-X1404*LTP3!$D$6-Y1404*U1404-Z1404*V1404</f>
        <v/>
      </c>
      <c r="AB1404">
        <f>IF(AND(F1404,ABS(W1404)&gt;1E-12,Y1404&gt;0,Z1404&gt;0),AA1404,1E+300)</f>
        <v/>
      </c>
    </row>
    <row r="1405">
      <c r="A1405">
        <f>$B$3+$B$5*22</f>
        <v/>
      </c>
      <c r="B1405">
        <f>$B$3+$B$5*51</f>
        <v/>
      </c>
      <c r="C1405">
        <f>SUMPRODUCT(Calc!$K$3:$K$22*(Calc!$G$3:$G$22&lt;=A1405))</f>
        <v/>
      </c>
      <c r="D1405">
        <f>SUMPRODUCT(Calc!$K$3:$K$22*(Calc!$G$3:$G$22&gt;A1405)*(Calc!$G$3:$G$22&lt;B1405))</f>
        <v/>
      </c>
      <c r="E1405">
        <f>SUMPRODUCT(Calc!$K$3:$K$22*(Calc!$G$3:$G$22&gt;=B1405))</f>
        <v/>
      </c>
      <c r="F1405">
        <f>AND(k_n&gt;=5,B1405&gt;A1405+1E-9,C1405&gt;=2,D1405&gt;=1,E1405&gt;=2)</f>
        <v/>
      </c>
      <c r="G1405">
        <f>SUMPRODUCT(Calc!$K$3:$K$22*(Calc!$G$3:$G$22&gt;A1405)*(Calc!$G$3:$G$22-A1405))</f>
        <v/>
      </c>
      <c r="H1405">
        <f>SUMPRODUCT(Calc!$K$3:$K$22*(Calc!$G$3:$G$22&gt;B1405)*(Calc!$G$3:$G$22-B1405))</f>
        <v/>
      </c>
      <c r="I1405">
        <f>SUMPRODUCT(Calc!$K$3:$K$22*(Calc!$G$3:$G$22&gt;A1405)*(Calc!$G$3:$G$22-A1405)^2)</f>
        <v/>
      </c>
      <c r="J1405">
        <f>SUMPRODUCT(Calc!$K$3:$K$22*(Calc!$G$3:$G$22&gt;B1405)*(Calc!$G$3:$G$22-B1405)^2)</f>
        <v/>
      </c>
      <c r="K1405">
        <f>SUMPRODUCT(Calc!$K$3:$K$22*(Calc!$G$3:$G$22&gt;A1405)*(Calc!$G$3:$G$22-A1405)*(Calc!$G$3:$G$22&gt;B1405)*(Calc!$G$3:$G$22-B1405))</f>
        <v/>
      </c>
      <c r="L1405">
        <f>SUMPRODUCT(Calc!$K$3:$K$22*(Calc!$G$3:$G$22&gt;A1405)*(Calc!$G$3:$G$22-A1405)*Calc!$G$3:$G$22)</f>
        <v/>
      </c>
      <c r="M1405">
        <f>SUMPRODUCT(Calc!$K$3:$K$22*(Calc!$G$3:$G$22&gt;B1405)*(Calc!$G$3:$G$22-B1405)*Calc!$G$3:$G$22)</f>
        <v/>
      </c>
      <c r="N1405">
        <f>SUMPRODUCT(Calc!$K$3:$K$22*(Calc!$G$3:$G$22&gt;A1405)*(Calc!$G$3:$G$22-A1405)*Calc!$I$3:$I$22)</f>
        <v/>
      </c>
      <c r="O1405">
        <f>SUMPRODUCT(Calc!$K$3:$K$22*(Calc!$G$3:$G$22&gt;B1405)*(Calc!$G$3:$G$22-B1405)*Calc!$I$3:$I$22)</f>
        <v/>
      </c>
      <c r="P1405">
        <f>I1405-G1405^2/k_n</f>
        <v/>
      </c>
      <c r="Q1405">
        <f>J1405-H1405^2/k_n</f>
        <v/>
      </c>
      <c r="R1405">
        <f>K1405-G1405*H1405/k_n</f>
        <v/>
      </c>
      <c r="S1405">
        <f>L1405-LTP3!$D$3*G1405/k_n</f>
        <v/>
      </c>
      <c r="T1405">
        <f>M1405-LTP3!$D$3*H1405/k_n</f>
        <v/>
      </c>
      <c r="U1405">
        <f>N1405-G1405*LTP3!$D$4/k_n</f>
        <v/>
      </c>
      <c r="V1405">
        <f>O1405-H1405*LTP3!$D$4/k_n</f>
        <v/>
      </c>
      <c r="W1405">
        <f>((LTP3!$D$5)*((P1405)*(Q1405)-(R1405)*(R1405))-(S1405)*((S1405)*(Q1405)-(R1405)*(T1405))+(T1405)*((S1405)*(R1405)-(P1405)*(T1405)))</f>
        <v/>
      </c>
      <c r="X1405">
        <f>IF(ABS(W1405)&gt;1E-12,((LTP3!$D$6)*((P1405)*(Q1405)-(R1405)*(R1405))-(S1405)*((U1405)*(Q1405)-(R1405)*(V1405))+(T1405)*((U1405)*(R1405)-(P1405)*(V1405)))/W1405,0)</f>
        <v/>
      </c>
      <c r="Y1405">
        <f>IF(ABS(W1405)&gt;1E-12,((LTP3!$D$5)*((U1405)*(Q1405)-(R1405)*(V1405))-(LTP3!$D$6)*((S1405)*(Q1405)-(R1405)*(T1405))+(T1405)*((S1405)*(V1405)-(U1405)*(T1405)))/W1405,0)</f>
        <v/>
      </c>
      <c r="Z1405">
        <f>IF(ABS(W1405)&gt;1E-12,((LTP3!$D$5)*((P1405)*(V1405)-(U1405)*(R1405))-(S1405)*((S1405)*(V1405)-(U1405)*(T1405))+(LTP3!$D$6)*((S1405)*(R1405)-(P1405)*(T1405)))/W1405,0)</f>
        <v/>
      </c>
      <c r="AA1405">
        <f>LTP3!$D$7-X1405*LTP3!$D$6-Y1405*U1405-Z1405*V1405</f>
        <v/>
      </c>
      <c r="AB1405">
        <f>IF(AND(F1405,ABS(W1405)&gt;1E-12,Y1405&gt;0,Z1405&gt;0),AA1405,1E+300)</f>
        <v/>
      </c>
    </row>
    <row r="1406">
      <c r="A1406">
        <f>$B$3+$B$5*22</f>
        <v/>
      </c>
      <c r="B1406">
        <f>$B$3+$B$5*52</f>
        <v/>
      </c>
      <c r="C1406">
        <f>SUMPRODUCT(Calc!$K$3:$K$22*(Calc!$G$3:$G$22&lt;=A1406))</f>
        <v/>
      </c>
      <c r="D1406">
        <f>SUMPRODUCT(Calc!$K$3:$K$22*(Calc!$G$3:$G$22&gt;A1406)*(Calc!$G$3:$G$22&lt;B1406))</f>
        <v/>
      </c>
      <c r="E1406">
        <f>SUMPRODUCT(Calc!$K$3:$K$22*(Calc!$G$3:$G$22&gt;=B1406))</f>
        <v/>
      </c>
      <c r="F1406">
        <f>AND(k_n&gt;=5,B1406&gt;A1406+1E-9,C1406&gt;=2,D1406&gt;=1,E1406&gt;=2)</f>
        <v/>
      </c>
      <c r="G1406">
        <f>SUMPRODUCT(Calc!$K$3:$K$22*(Calc!$G$3:$G$22&gt;A1406)*(Calc!$G$3:$G$22-A1406))</f>
        <v/>
      </c>
      <c r="H1406">
        <f>SUMPRODUCT(Calc!$K$3:$K$22*(Calc!$G$3:$G$22&gt;B1406)*(Calc!$G$3:$G$22-B1406))</f>
        <v/>
      </c>
      <c r="I1406">
        <f>SUMPRODUCT(Calc!$K$3:$K$22*(Calc!$G$3:$G$22&gt;A1406)*(Calc!$G$3:$G$22-A1406)^2)</f>
        <v/>
      </c>
      <c r="J1406">
        <f>SUMPRODUCT(Calc!$K$3:$K$22*(Calc!$G$3:$G$22&gt;B1406)*(Calc!$G$3:$G$22-B1406)^2)</f>
        <v/>
      </c>
      <c r="K1406">
        <f>SUMPRODUCT(Calc!$K$3:$K$22*(Calc!$G$3:$G$22&gt;A1406)*(Calc!$G$3:$G$22-A1406)*(Calc!$G$3:$G$22&gt;B1406)*(Calc!$G$3:$G$22-B1406))</f>
        <v/>
      </c>
      <c r="L1406">
        <f>SUMPRODUCT(Calc!$K$3:$K$22*(Calc!$G$3:$G$22&gt;A1406)*(Calc!$G$3:$G$22-A1406)*Calc!$G$3:$G$22)</f>
        <v/>
      </c>
      <c r="M1406">
        <f>SUMPRODUCT(Calc!$K$3:$K$22*(Calc!$G$3:$G$22&gt;B1406)*(Calc!$G$3:$G$22-B1406)*Calc!$G$3:$G$22)</f>
        <v/>
      </c>
      <c r="N1406">
        <f>SUMPRODUCT(Calc!$K$3:$K$22*(Calc!$G$3:$G$22&gt;A1406)*(Calc!$G$3:$G$22-A1406)*Calc!$I$3:$I$22)</f>
        <v/>
      </c>
      <c r="O1406">
        <f>SUMPRODUCT(Calc!$K$3:$K$22*(Calc!$G$3:$G$22&gt;B1406)*(Calc!$G$3:$G$22-B1406)*Calc!$I$3:$I$22)</f>
        <v/>
      </c>
      <c r="P1406">
        <f>I1406-G1406^2/k_n</f>
        <v/>
      </c>
      <c r="Q1406">
        <f>J1406-H1406^2/k_n</f>
        <v/>
      </c>
      <c r="R1406">
        <f>K1406-G1406*H1406/k_n</f>
        <v/>
      </c>
      <c r="S1406">
        <f>L1406-LTP3!$D$3*G1406/k_n</f>
        <v/>
      </c>
      <c r="T1406">
        <f>M1406-LTP3!$D$3*H1406/k_n</f>
        <v/>
      </c>
      <c r="U1406">
        <f>N1406-G1406*LTP3!$D$4/k_n</f>
        <v/>
      </c>
      <c r="V1406">
        <f>O1406-H1406*LTP3!$D$4/k_n</f>
        <v/>
      </c>
      <c r="W1406">
        <f>((LTP3!$D$5)*((P1406)*(Q1406)-(R1406)*(R1406))-(S1406)*((S1406)*(Q1406)-(R1406)*(T1406))+(T1406)*((S1406)*(R1406)-(P1406)*(T1406)))</f>
        <v/>
      </c>
      <c r="X1406">
        <f>IF(ABS(W1406)&gt;1E-12,((LTP3!$D$6)*((P1406)*(Q1406)-(R1406)*(R1406))-(S1406)*((U1406)*(Q1406)-(R1406)*(V1406))+(T1406)*((U1406)*(R1406)-(P1406)*(V1406)))/W1406,0)</f>
        <v/>
      </c>
      <c r="Y1406">
        <f>IF(ABS(W1406)&gt;1E-12,((LTP3!$D$5)*((U1406)*(Q1406)-(R1406)*(V1406))-(LTP3!$D$6)*((S1406)*(Q1406)-(R1406)*(T1406))+(T1406)*((S1406)*(V1406)-(U1406)*(T1406)))/W1406,0)</f>
        <v/>
      </c>
      <c r="Z1406">
        <f>IF(ABS(W1406)&gt;1E-12,((LTP3!$D$5)*((P1406)*(V1406)-(U1406)*(R1406))-(S1406)*((S1406)*(V1406)-(U1406)*(T1406))+(LTP3!$D$6)*((S1406)*(R1406)-(P1406)*(T1406)))/W1406,0)</f>
        <v/>
      </c>
      <c r="AA1406">
        <f>LTP3!$D$7-X1406*LTP3!$D$6-Y1406*U1406-Z1406*V1406</f>
        <v/>
      </c>
      <c r="AB1406">
        <f>IF(AND(F1406,ABS(W1406)&gt;1E-12,Y1406&gt;0,Z1406&gt;0),AA1406,1E+300)</f>
        <v/>
      </c>
    </row>
    <row r="1407">
      <c r="A1407">
        <f>$B$3+$B$5*22</f>
        <v/>
      </c>
      <c r="B1407">
        <f>$B$3+$B$5*53</f>
        <v/>
      </c>
      <c r="C1407">
        <f>SUMPRODUCT(Calc!$K$3:$K$22*(Calc!$G$3:$G$22&lt;=A1407))</f>
        <v/>
      </c>
      <c r="D1407">
        <f>SUMPRODUCT(Calc!$K$3:$K$22*(Calc!$G$3:$G$22&gt;A1407)*(Calc!$G$3:$G$22&lt;B1407))</f>
        <v/>
      </c>
      <c r="E1407">
        <f>SUMPRODUCT(Calc!$K$3:$K$22*(Calc!$G$3:$G$22&gt;=B1407))</f>
        <v/>
      </c>
      <c r="F1407">
        <f>AND(k_n&gt;=5,B1407&gt;A1407+1E-9,C1407&gt;=2,D1407&gt;=1,E1407&gt;=2)</f>
        <v/>
      </c>
      <c r="G1407">
        <f>SUMPRODUCT(Calc!$K$3:$K$22*(Calc!$G$3:$G$22&gt;A1407)*(Calc!$G$3:$G$22-A1407))</f>
        <v/>
      </c>
      <c r="H1407">
        <f>SUMPRODUCT(Calc!$K$3:$K$22*(Calc!$G$3:$G$22&gt;B1407)*(Calc!$G$3:$G$22-B1407))</f>
        <v/>
      </c>
      <c r="I1407">
        <f>SUMPRODUCT(Calc!$K$3:$K$22*(Calc!$G$3:$G$22&gt;A1407)*(Calc!$G$3:$G$22-A1407)^2)</f>
        <v/>
      </c>
      <c r="J1407">
        <f>SUMPRODUCT(Calc!$K$3:$K$22*(Calc!$G$3:$G$22&gt;B1407)*(Calc!$G$3:$G$22-B1407)^2)</f>
        <v/>
      </c>
      <c r="K1407">
        <f>SUMPRODUCT(Calc!$K$3:$K$22*(Calc!$G$3:$G$22&gt;A1407)*(Calc!$G$3:$G$22-A1407)*(Calc!$G$3:$G$22&gt;B1407)*(Calc!$G$3:$G$22-B1407))</f>
        <v/>
      </c>
      <c r="L1407">
        <f>SUMPRODUCT(Calc!$K$3:$K$22*(Calc!$G$3:$G$22&gt;A1407)*(Calc!$G$3:$G$22-A1407)*Calc!$G$3:$G$22)</f>
        <v/>
      </c>
      <c r="M1407">
        <f>SUMPRODUCT(Calc!$K$3:$K$22*(Calc!$G$3:$G$22&gt;B1407)*(Calc!$G$3:$G$22-B1407)*Calc!$G$3:$G$22)</f>
        <v/>
      </c>
      <c r="N1407">
        <f>SUMPRODUCT(Calc!$K$3:$K$22*(Calc!$G$3:$G$22&gt;A1407)*(Calc!$G$3:$G$22-A1407)*Calc!$I$3:$I$22)</f>
        <v/>
      </c>
      <c r="O1407">
        <f>SUMPRODUCT(Calc!$K$3:$K$22*(Calc!$G$3:$G$22&gt;B1407)*(Calc!$G$3:$G$22-B1407)*Calc!$I$3:$I$22)</f>
        <v/>
      </c>
      <c r="P1407">
        <f>I1407-G1407^2/k_n</f>
        <v/>
      </c>
      <c r="Q1407">
        <f>J1407-H1407^2/k_n</f>
        <v/>
      </c>
      <c r="R1407">
        <f>K1407-G1407*H1407/k_n</f>
        <v/>
      </c>
      <c r="S1407">
        <f>L1407-LTP3!$D$3*G1407/k_n</f>
        <v/>
      </c>
      <c r="T1407">
        <f>M1407-LTP3!$D$3*H1407/k_n</f>
        <v/>
      </c>
      <c r="U1407">
        <f>N1407-G1407*LTP3!$D$4/k_n</f>
        <v/>
      </c>
      <c r="V1407">
        <f>O1407-H1407*LTP3!$D$4/k_n</f>
        <v/>
      </c>
      <c r="W1407">
        <f>((LTP3!$D$5)*((P1407)*(Q1407)-(R1407)*(R1407))-(S1407)*((S1407)*(Q1407)-(R1407)*(T1407))+(T1407)*((S1407)*(R1407)-(P1407)*(T1407)))</f>
        <v/>
      </c>
      <c r="X1407">
        <f>IF(ABS(W1407)&gt;1E-12,((LTP3!$D$6)*((P1407)*(Q1407)-(R1407)*(R1407))-(S1407)*((U1407)*(Q1407)-(R1407)*(V1407))+(T1407)*((U1407)*(R1407)-(P1407)*(V1407)))/W1407,0)</f>
        <v/>
      </c>
      <c r="Y1407">
        <f>IF(ABS(W1407)&gt;1E-12,((LTP3!$D$5)*((U1407)*(Q1407)-(R1407)*(V1407))-(LTP3!$D$6)*((S1407)*(Q1407)-(R1407)*(T1407))+(T1407)*((S1407)*(V1407)-(U1407)*(T1407)))/W1407,0)</f>
        <v/>
      </c>
      <c r="Z1407">
        <f>IF(ABS(W1407)&gt;1E-12,((LTP3!$D$5)*((P1407)*(V1407)-(U1407)*(R1407))-(S1407)*((S1407)*(V1407)-(U1407)*(T1407))+(LTP3!$D$6)*((S1407)*(R1407)-(P1407)*(T1407)))/W1407,0)</f>
        <v/>
      </c>
      <c r="AA1407">
        <f>LTP3!$D$7-X1407*LTP3!$D$6-Y1407*U1407-Z1407*V1407</f>
        <v/>
      </c>
      <c r="AB1407">
        <f>IF(AND(F1407,ABS(W1407)&gt;1E-12,Y1407&gt;0,Z1407&gt;0),AA1407,1E+300)</f>
        <v/>
      </c>
    </row>
    <row r="1408">
      <c r="A1408">
        <f>$B$3+$B$5*22</f>
        <v/>
      </c>
      <c r="B1408">
        <f>$B$3+$B$5*54</f>
        <v/>
      </c>
      <c r="C1408">
        <f>SUMPRODUCT(Calc!$K$3:$K$22*(Calc!$G$3:$G$22&lt;=A1408))</f>
        <v/>
      </c>
      <c r="D1408">
        <f>SUMPRODUCT(Calc!$K$3:$K$22*(Calc!$G$3:$G$22&gt;A1408)*(Calc!$G$3:$G$22&lt;B1408))</f>
        <v/>
      </c>
      <c r="E1408">
        <f>SUMPRODUCT(Calc!$K$3:$K$22*(Calc!$G$3:$G$22&gt;=B1408))</f>
        <v/>
      </c>
      <c r="F1408">
        <f>AND(k_n&gt;=5,B1408&gt;A1408+1E-9,C1408&gt;=2,D1408&gt;=1,E1408&gt;=2)</f>
        <v/>
      </c>
      <c r="G1408">
        <f>SUMPRODUCT(Calc!$K$3:$K$22*(Calc!$G$3:$G$22&gt;A1408)*(Calc!$G$3:$G$22-A1408))</f>
        <v/>
      </c>
      <c r="H1408">
        <f>SUMPRODUCT(Calc!$K$3:$K$22*(Calc!$G$3:$G$22&gt;B1408)*(Calc!$G$3:$G$22-B1408))</f>
        <v/>
      </c>
      <c r="I1408">
        <f>SUMPRODUCT(Calc!$K$3:$K$22*(Calc!$G$3:$G$22&gt;A1408)*(Calc!$G$3:$G$22-A1408)^2)</f>
        <v/>
      </c>
      <c r="J1408">
        <f>SUMPRODUCT(Calc!$K$3:$K$22*(Calc!$G$3:$G$22&gt;B1408)*(Calc!$G$3:$G$22-B1408)^2)</f>
        <v/>
      </c>
      <c r="K1408">
        <f>SUMPRODUCT(Calc!$K$3:$K$22*(Calc!$G$3:$G$22&gt;A1408)*(Calc!$G$3:$G$22-A1408)*(Calc!$G$3:$G$22&gt;B1408)*(Calc!$G$3:$G$22-B1408))</f>
        <v/>
      </c>
      <c r="L1408">
        <f>SUMPRODUCT(Calc!$K$3:$K$22*(Calc!$G$3:$G$22&gt;A1408)*(Calc!$G$3:$G$22-A1408)*Calc!$G$3:$G$22)</f>
        <v/>
      </c>
      <c r="M1408">
        <f>SUMPRODUCT(Calc!$K$3:$K$22*(Calc!$G$3:$G$22&gt;B1408)*(Calc!$G$3:$G$22-B1408)*Calc!$G$3:$G$22)</f>
        <v/>
      </c>
      <c r="N1408">
        <f>SUMPRODUCT(Calc!$K$3:$K$22*(Calc!$G$3:$G$22&gt;A1408)*(Calc!$G$3:$G$22-A1408)*Calc!$I$3:$I$22)</f>
        <v/>
      </c>
      <c r="O1408">
        <f>SUMPRODUCT(Calc!$K$3:$K$22*(Calc!$G$3:$G$22&gt;B1408)*(Calc!$G$3:$G$22-B1408)*Calc!$I$3:$I$22)</f>
        <v/>
      </c>
      <c r="P1408">
        <f>I1408-G1408^2/k_n</f>
        <v/>
      </c>
      <c r="Q1408">
        <f>J1408-H1408^2/k_n</f>
        <v/>
      </c>
      <c r="R1408">
        <f>K1408-G1408*H1408/k_n</f>
        <v/>
      </c>
      <c r="S1408">
        <f>L1408-LTP3!$D$3*G1408/k_n</f>
        <v/>
      </c>
      <c r="T1408">
        <f>M1408-LTP3!$D$3*H1408/k_n</f>
        <v/>
      </c>
      <c r="U1408">
        <f>N1408-G1408*LTP3!$D$4/k_n</f>
        <v/>
      </c>
      <c r="V1408">
        <f>O1408-H1408*LTP3!$D$4/k_n</f>
        <v/>
      </c>
      <c r="W1408">
        <f>((LTP3!$D$5)*((P1408)*(Q1408)-(R1408)*(R1408))-(S1408)*((S1408)*(Q1408)-(R1408)*(T1408))+(T1408)*((S1408)*(R1408)-(P1408)*(T1408)))</f>
        <v/>
      </c>
      <c r="X1408">
        <f>IF(ABS(W1408)&gt;1E-12,((LTP3!$D$6)*((P1408)*(Q1408)-(R1408)*(R1408))-(S1408)*((U1408)*(Q1408)-(R1408)*(V1408))+(T1408)*((U1408)*(R1408)-(P1408)*(V1408)))/W1408,0)</f>
        <v/>
      </c>
      <c r="Y1408">
        <f>IF(ABS(W1408)&gt;1E-12,((LTP3!$D$5)*((U1408)*(Q1408)-(R1408)*(V1408))-(LTP3!$D$6)*((S1408)*(Q1408)-(R1408)*(T1408))+(T1408)*((S1408)*(V1408)-(U1408)*(T1408)))/W1408,0)</f>
        <v/>
      </c>
      <c r="Z1408">
        <f>IF(ABS(W1408)&gt;1E-12,((LTP3!$D$5)*((P1408)*(V1408)-(U1408)*(R1408))-(S1408)*((S1408)*(V1408)-(U1408)*(T1408))+(LTP3!$D$6)*((S1408)*(R1408)-(P1408)*(T1408)))/W1408,0)</f>
        <v/>
      </c>
      <c r="AA1408">
        <f>LTP3!$D$7-X1408*LTP3!$D$6-Y1408*U1408-Z1408*V1408</f>
        <v/>
      </c>
      <c r="AB1408">
        <f>IF(AND(F1408,ABS(W1408)&gt;1E-12,Y1408&gt;0,Z1408&gt;0),AA1408,1E+300)</f>
        <v/>
      </c>
    </row>
    <row r="1409">
      <c r="A1409">
        <f>$B$3+$B$5*22</f>
        <v/>
      </c>
      <c r="B1409">
        <f>$B$3+$B$5*55</f>
        <v/>
      </c>
      <c r="C1409">
        <f>SUMPRODUCT(Calc!$K$3:$K$22*(Calc!$G$3:$G$22&lt;=A1409))</f>
        <v/>
      </c>
      <c r="D1409">
        <f>SUMPRODUCT(Calc!$K$3:$K$22*(Calc!$G$3:$G$22&gt;A1409)*(Calc!$G$3:$G$22&lt;B1409))</f>
        <v/>
      </c>
      <c r="E1409">
        <f>SUMPRODUCT(Calc!$K$3:$K$22*(Calc!$G$3:$G$22&gt;=B1409))</f>
        <v/>
      </c>
      <c r="F1409">
        <f>AND(k_n&gt;=5,B1409&gt;A1409+1E-9,C1409&gt;=2,D1409&gt;=1,E1409&gt;=2)</f>
        <v/>
      </c>
      <c r="G1409">
        <f>SUMPRODUCT(Calc!$K$3:$K$22*(Calc!$G$3:$G$22&gt;A1409)*(Calc!$G$3:$G$22-A1409))</f>
        <v/>
      </c>
      <c r="H1409">
        <f>SUMPRODUCT(Calc!$K$3:$K$22*(Calc!$G$3:$G$22&gt;B1409)*(Calc!$G$3:$G$22-B1409))</f>
        <v/>
      </c>
      <c r="I1409">
        <f>SUMPRODUCT(Calc!$K$3:$K$22*(Calc!$G$3:$G$22&gt;A1409)*(Calc!$G$3:$G$22-A1409)^2)</f>
        <v/>
      </c>
      <c r="J1409">
        <f>SUMPRODUCT(Calc!$K$3:$K$22*(Calc!$G$3:$G$22&gt;B1409)*(Calc!$G$3:$G$22-B1409)^2)</f>
        <v/>
      </c>
      <c r="K1409">
        <f>SUMPRODUCT(Calc!$K$3:$K$22*(Calc!$G$3:$G$22&gt;A1409)*(Calc!$G$3:$G$22-A1409)*(Calc!$G$3:$G$22&gt;B1409)*(Calc!$G$3:$G$22-B1409))</f>
        <v/>
      </c>
      <c r="L1409">
        <f>SUMPRODUCT(Calc!$K$3:$K$22*(Calc!$G$3:$G$22&gt;A1409)*(Calc!$G$3:$G$22-A1409)*Calc!$G$3:$G$22)</f>
        <v/>
      </c>
      <c r="M1409">
        <f>SUMPRODUCT(Calc!$K$3:$K$22*(Calc!$G$3:$G$22&gt;B1409)*(Calc!$G$3:$G$22-B1409)*Calc!$G$3:$G$22)</f>
        <v/>
      </c>
      <c r="N1409">
        <f>SUMPRODUCT(Calc!$K$3:$K$22*(Calc!$G$3:$G$22&gt;A1409)*(Calc!$G$3:$G$22-A1409)*Calc!$I$3:$I$22)</f>
        <v/>
      </c>
      <c r="O1409">
        <f>SUMPRODUCT(Calc!$K$3:$K$22*(Calc!$G$3:$G$22&gt;B1409)*(Calc!$G$3:$G$22-B1409)*Calc!$I$3:$I$22)</f>
        <v/>
      </c>
      <c r="P1409">
        <f>I1409-G1409^2/k_n</f>
        <v/>
      </c>
      <c r="Q1409">
        <f>J1409-H1409^2/k_n</f>
        <v/>
      </c>
      <c r="R1409">
        <f>K1409-G1409*H1409/k_n</f>
        <v/>
      </c>
      <c r="S1409">
        <f>L1409-LTP3!$D$3*G1409/k_n</f>
        <v/>
      </c>
      <c r="T1409">
        <f>M1409-LTP3!$D$3*H1409/k_n</f>
        <v/>
      </c>
      <c r="U1409">
        <f>N1409-G1409*LTP3!$D$4/k_n</f>
        <v/>
      </c>
      <c r="V1409">
        <f>O1409-H1409*LTP3!$D$4/k_n</f>
        <v/>
      </c>
      <c r="W1409">
        <f>((LTP3!$D$5)*((P1409)*(Q1409)-(R1409)*(R1409))-(S1409)*((S1409)*(Q1409)-(R1409)*(T1409))+(T1409)*((S1409)*(R1409)-(P1409)*(T1409)))</f>
        <v/>
      </c>
      <c r="X1409">
        <f>IF(ABS(W1409)&gt;1E-12,((LTP3!$D$6)*((P1409)*(Q1409)-(R1409)*(R1409))-(S1409)*((U1409)*(Q1409)-(R1409)*(V1409))+(T1409)*((U1409)*(R1409)-(P1409)*(V1409)))/W1409,0)</f>
        <v/>
      </c>
      <c r="Y1409">
        <f>IF(ABS(W1409)&gt;1E-12,((LTP3!$D$5)*((U1409)*(Q1409)-(R1409)*(V1409))-(LTP3!$D$6)*((S1409)*(Q1409)-(R1409)*(T1409))+(T1409)*((S1409)*(V1409)-(U1409)*(T1409)))/W1409,0)</f>
        <v/>
      </c>
      <c r="Z1409">
        <f>IF(ABS(W1409)&gt;1E-12,((LTP3!$D$5)*((P1409)*(V1409)-(U1409)*(R1409))-(S1409)*((S1409)*(V1409)-(U1409)*(T1409))+(LTP3!$D$6)*((S1409)*(R1409)-(P1409)*(T1409)))/W1409,0)</f>
        <v/>
      </c>
      <c r="AA1409">
        <f>LTP3!$D$7-X1409*LTP3!$D$6-Y1409*U1409-Z1409*V1409</f>
        <v/>
      </c>
      <c r="AB1409">
        <f>IF(AND(F1409,ABS(W1409)&gt;1E-12,Y1409&gt;0,Z1409&gt;0),AA1409,1E+300)</f>
        <v/>
      </c>
    </row>
    <row r="1410">
      <c r="A1410">
        <f>$B$3+$B$5*22</f>
        <v/>
      </c>
      <c r="B1410">
        <f>$B$3+$B$5*56</f>
        <v/>
      </c>
      <c r="C1410">
        <f>SUMPRODUCT(Calc!$K$3:$K$22*(Calc!$G$3:$G$22&lt;=A1410))</f>
        <v/>
      </c>
      <c r="D1410">
        <f>SUMPRODUCT(Calc!$K$3:$K$22*(Calc!$G$3:$G$22&gt;A1410)*(Calc!$G$3:$G$22&lt;B1410))</f>
        <v/>
      </c>
      <c r="E1410">
        <f>SUMPRODUCT(Calc!$K$3:$K$22*(Calc!$G$3:$G$22&gt;=B1410))</f>
        <v/>
      </c>
      <c r="F1410">
        <f>AND(k_n&gt;=5,B1410&gt;A1410+1E-9,C1410&gt;=2,D1410&gt;=1,E1410&gt;=2)</f>
        <v/>
      </c>
      <c r="G1410">
        <f>SUMPRODUCT(Calc!$K$3:$K$22*(Calc!$G$3:$G$22&gt;A1410)*(Calc!$G$3:$G$22-A1410))</f>
        <v/>
      </c>
      <c r="H1410">
        <f>SUMPRODUCT(Calc!$K$3:$K$22*(Calc!$G$3:$G$22&gt;B1410)*(Calc!$G$3:$G$22-B1410))</f>
        <v/>
      </c>
      <c r="I1410">
        <f>SUMPRODUCT(Calc!$K$3:$K$22*(Calc!$G$3:$G$22&gt;A1410)*(Calc!$G$3:$G$22-A1410)^2)</f>
        <v/>
      </c>
      <c r="J1410">
        <f>SUMPRODUCT(Calc!$K$3:$K$22*(Calc!$G$3:$G$22&gt;B1410)*(Calc!$G$3:$G$22-B1410)^2)</f>
        <v/>
      </c>
      <c r="K1410">
        <f>SUMPRODUCT(Calc!$K$3:$K$22*(Calc!$G$3:$G$22&gt;A1410)*(Calc!$G$3:$G$22-A1410)*(Calc!$G$3:$G$22&gt;B1410)*(Calc!$G$3:$G$22-B1410))</f>
        <v/>
      </c>
      <c r="L1410">
        <f>SUMPRODUCT(Calc!$K$3:$K$22*(Calc!$G$3:$G$22&gt;A1410)*(Calc!$G$3:$G$22-A1410)*Calc!$G$3:$G$22)</f>
        <v/>
      </c>
      <c r="M1410">
        <f>SUMPRODUCT(Calc!$K$3:$K$22*(Calc!$G$3:$G$22&gt;B1410)*(Calc!$G$3:$G$22-B1410)*Calc!$G$3:$G$22)</f>
        <v/>
      </c>
      <c r="N1410">
        <f>SUMPRODUCT(Calc!$K$3:$K$22*(Calc!$G$3:$G$22&gt;A1410)*(Calc!$G$3:$G$22-A1410)*Calc!$I$3:$I$22)</f>
        <v/>
      </c>
      <c r="O1410">
        <f>SUMPRODUCT(Calc!$K$3:$K$22*(Calc!$G$3:$G$22&gt;B1410)*(Calc!$G$3:$G$22-B1410)*Calc!$I$3:$I$22)</f>
        <v/>
      </c>
      <c r="P1410">
        <f>I1410-G1410^2/k_n</f>
        <v/>
      </c>
      <c r="Q1410">
        <f>J1410-H1410^2/k_n</f>
        <v/>
      </c>
      <c r="R1410">
        <f>K1410-G1410*H1410/k_n</f>
        <v/>
      </c>
      <c r="S1410">
        <f>L1410-LTP3!$D$3*G1410/k_n</f>
        <v/>
      </c>
      <c r="T1410">
        <f>M1410-LTP3!$D$3*H1410/k_n</f>
        <v/>
      </c>
      <c r="U1410">
        <f>N1410-G1410*LTP3!$D$4/k_n</f>
        <v/>
      </c>
      <c r="V1410">
        <f>O1410-H1410*LTP3!$D$4/k_n</f>
        <v/>
      </c>
      <c r="W1410">
        <f>((LTP3!$D$5)*((P1410)*(Q1410)-(R1410)*(R1410))-(S1410)*((S1410)*(Q1410)-(R1410)*(T1410))+(T1410)*((S1410)*(R1410)-(P1410)*(T1410)))</f>
        <v/>
      </c>
      <c r="X1410">
        <f>IF(ABS(W1410)&gt;1E-12,((LTP3!$D$6)*((P1410)*(Q1410)-(R1410)*(R1410))-(S1410)*((U1410)*(Q1410)-(R1410)*(V1410))+(T1410)*((U1410)*(R1410)-(P1410)*(V1410)))/W1410,0)</f>
        <v/>
      </c>
      <c r="Y1410">
        <f>IF(ABS(W1410)&gt;1E-12,((LTP3!$D$5)*((U1410)*(Q1410)-(R1410)*(V1410))-(LTP3!$D$6)*((S1410)*(Q1410)-(R1410)*(T1410))+(T1410)*((S1410)*(V1410)-(U1410)*(T1410)))/W1410,0)</f>
        <v/>
      </c>
      <c r="Z1410">
        <f>IF(ABS(W1410)&gt;1E-12,((LTP3!$D$5)*((P1410)*(V1410)-(U1410)*(R1410))-(S1410)*((S1410)*(V1410)-(U1410)*(T1410))+(LTP3!$D$6)*((S1410)*(R1410)-(P1410)*(T1410)))/W1410,0)</f>
        <v/>
      </c>
      <c r="AA1410">
        <f>LTP3!$D$7-X1410*LTP3!$D$6-Y1410*U1410-Z1410*V1410</f>
        <v/>
      </c>
      <c r="AB1410">
        <f>IF(AND(F1410,ABS(W1410)&gt;1E-12,Y1410&gt;0,Z1410&gt;0),AA1410,1E+300)</f>
        <v/>
      </c>
    </row>
    <row r="1411">
      <c r="A1411">
        <f>$B$3+$B$5*22</f>
        <v/>
      </c>
      <c r="B1411">
        <f>$B$3+$B$5*57</f>
        <v/>
      </c>
      <c r="C1411">
        <f>SUMPRODUCT(Calc!$K$3:$K$22*(Calc!$G$3:$G$22&lt;=A1411))</f>
        <v/>
      </c>
      <c r="D1411">
        <f>SUMPRODUCT(Calc!$K$3:$K$22*(Calc!$G$3:$G$22&gt;A1411)*(Calc!$G$3:$G$22&lt;B1411))</f>
        <v/>
      </c>
      <c r="E1411">
        <f>SUMPRODUCT(Calc!$K$3:$K$22*(Calc!$G$3:$G$22&gt;=B1411))</f>
        <v/>
      </c>
      <c r="F1411">
        <f>AND(k_n&gt;=5,B1411&gt;A1411+1E-9,C1411&gt;=2,D1411&gt;=1,E1411&gt;=2)</f>
        <v/>
      </c>
      <c r="G1411">
        <f>SUMPRODUCT(Calc!$K$3:$K$22*(Calc!$G$3:$G$22&gt;A1411)*(Calc!$G$3:$G$22-A1411))</f>
        <v/>
      </c>
      <c r="H1411">
        <f>SUMPRODUCT(Calc!$K$3:$K$22*(Calc!$G$3:$G$22&gt;B1411)*(Calc!$G$3:$G$22-B1411))</f>
        <v/>
      </c>
      <c r="I1411">
        <f>SUMPRODUCT(Calc!$K$3:$K$22*(Calc!$G$3:$G$22&gt;A1411)*(Calc!$G$3:$G$22-A1411)^2)</f>
        <v/>
      </c>
      <c r="J1411">
        <f>SUMPRODUCT(Calc!$K$3:$K$22*(Calc!$G$3:$G$22&gt;B1411)*(Calc!$G$3:$G$22-B1411)^2)</f>
        <v/>
      </c>
      <c r="K1411">
        <f>SUMPRODUCT(Calc!$K$3:$K$22*(Calc!$G$3:$G$22&gt;A1411)*(Calc!$G$3:$G$22-A1411)*(Calc!$G$3:$G$22&gt;B1411)*(Calc!$G$3:$G$22-B1411))</f>
        <v/>
      </c>
      <c r="L1411">
        <f>SUMPRODUCT(Calc!$K$3:$K$22*(Calc!$G$3:$G$22&gt;A1411)*(Calc!$G$3:$G$22-A1411)*Calc!$G$3:$G$22)</f>
        <v/>
      </c>
      <c r="M1411">
        <f>SUMPRODUCT(Calc!$K$3:$K$22*(Calc!$G$3:$G$22&gt;B1411)*(Calc!$G$3:$G$22-B1411)*Calc!$G$3:$G$22)</f>
        <v/>
      </c>
      <c r="N1411">
        <f>SUMPRODUCT(Calc!$K$3:$K$22*(Calc!$G$3:$G$22&gt;A1411)*(Calc!$G$3:$G$22-A1411)*Calc!$I$3:$I$22)</f>
        <v/>
      </c>
      <c r="O1411">
        <f>SUMPRODUCT(Calc!$K$3:$K$22*(Calc!$G$3:$G$22&gt;B1411)*(Calc!$G$3:$G$22-B1411)*Calc!$I$3:$I$22)</f>
        <v/>
      </c>
      <c r="P1411">
        <f>I1411-G1411^2/k_n</f>
        <v/>
      </c>
      <c r="Q1411">
        <f>J1411-H1411^2/k_n</f>
        <v/>
      </c>
      <c r="R1411">
        <f>K1411-G1411*H1411/k_n</f>
        <v/>
      </c>
      <c r="S1411">
        <f>L1411-LTP3!$D$3*G1411/k_n</f>
        <v/>
      </c>
      <c r="T1411">
        <f>M1411-LTP3!$D$3*H1411/k_n</f>
        <v/>
      </c>
      <c r="U1411">
        <f>N1411-G1411*LTP3!$D$4/k_n</f>
        <v/>
      </c>
      <c r="V1411">
        <f>O1411-H1411*LTP3!$D$4/k_n</f>
        <v/>
      </c>
      <c r="W1411">
        <f>((LTP3!$D$5)*((P1411)*(Q1411)-(R1411)*(R1411))-(S1411)*((S1411)*(Q1411)-(R1411)*(T1411))+(T1411)*((S1411)*(R1411)-(P1411)*(T1411)))</f>
        <v/>
      </c>
      <c r="X1411">
        <f>IF(ABS(W1411)&gt;1E-12,((LTP3!$D$6)*((P1411)*(Q1411)-(R1411)*(R1411))-(S1411)*((U1411)*(Q1411)-(R1411)*(V1411))+(T1411)*((U1411)*(R1411)-(P1411)*(V1411)))/W1411,0)</f>
        <v/>
      </c>
      <c r="Y1411">
        <f>IF(ABS(W1411)&gt;1E-12,((LTP3!$D$5)*((U1411)*(Q1411)-(R1411)*(V1411))-(LTP3!$D$6)*((S1411)*(Q1411)-(R1411)*(T1411))+(T1411)*((S1411)*(V1411)-(U1411)*(T1411)))/W1411,0)</f>
        <v/>
      </c>
      <c r="Z1411">
        <f>IF(ABS(W1411)&gt;1E-12,((LTP3!$D$5)*((P1411)*(V1411)-(U1411)*(R1411))-(S1411)*((S1411)*(V1411)-(U1411)*(T1411))+(LTP3!$D$6)*((S1411)*(R1411)-(P1411)*(T1411)))/W1411,0)</f>
        <v/>
      </c>
      <c r="AA1411">
        <f>LTP3!$D$7-X1411*LTP3!$D$6-Y1411*U1411-Z1411*V1411</f>
        <v/>
      </c>
      <c r="AB1411">
        <f>IF(AND(F1411,ABS(W1411)&gt;1E-12,Y1411&gt;0,Z1411&gt;0),AA1411,1E+300)</f>
        <v/>
      </c>
    </row>
    <row r="1412">
      <c r="A1412">
        <f>$B$3+$B$5*22</f>
        <v/>
      </c>
      <c r="B1412">
        <f>$B$3+$B$5*58</f>
        <v/>
      </c>
      <c r="C1412">
        <f>SUMPRODUCT(Calc!$K$3:$K$22*(Calc!$G$3:$G$22&lt;=A1412))</f>
        <v/>
      </c>
      <c r="D1412">
        <f>SUMPRODUCT(Calc!$K$3:$K$22*(Calc!$G$3:$G$22&gt;A1412)*(Calc!$G$3:$G$22&lt;B1412))</f>
        <v/>
      </c>
      <c r="E1412">
        <f>SUMPRODUCT(Calc!$K$3:$K$22*(Calc!$G$3:$G$22&gt;=B1412))</f>
        <v/>
      </c>
      <c r="F1412">
        <f>AND(k_n&gt;=5,B1412&gt;A1412+1E-9,C1412&gt;=2,D1412&gt;=1,E1412&gt;=2)</f>
        <v/>
      </c>
      <c r="G1412">
        <f>SUMPRODUCT(Calc!$K$3:$K$22*(Calc!$G$3:$G$22&gt;A1412)*(Calc!$G$3:$G$22-A1412))</f>
        <v/>
      </c>
      <c r="H1412">
        <f>SUMPRODUCT(Calc!$K$3:$K$22*(Calc!$G$3:$G$22&gt;B1412)*(Calc!$G$3:$G$22-B1412))</f>
        <v/>
      </c>
      <c r="I1412">
        <f>SUMPRODUCT(Calc!$K$3:$K$22*(Calc!$G$3:$G$22&gt;A1412)*(Calc!$G$3:$G$22-A1412)^2)</f>
        <v/>
      </c>
      <c r="J1412">
        <f>SUMPRODUCT(Calc!$K$3:$K$22*(Calc!$G$3:$G$22&gt;B1412)*(Calc!$G$3:$G$22-B1412)^2)</f>
        <v/>
      </c>
      <c r="K1412">
        <f>SUMPRODUCT(Calc!$K$3:$K$22*(Calc!$G$3:$G$22&gt;A1412)*(Calc!$G$3:$G$22-A1412)*(Calc!$G$3:$G$22&gt;B1412)*(Calc!$G$3:$G$22-B1412))</f>
        <v/>
      </c>
      <c r="L1412">
        <f>SUMPRODUCT(Calc!$K$3:$K$22*(Calc!$G$3:$G$22&gt;A1412)*(Calc!$G$3:$G$22-A1412)*Calc!$G$3:$G$22)</f>
        <v/>
      </c>
      <c r="M1412">
        <f>SUMPRODUCT(Calc!$K$3:$K$22*(Calc!$G$3:$G$22&gt;B1412)*(Calc!$G$3:$G$22-B1412)*Calc!$G$3:$G$22)</f>
        <v/>
      </c>
      <c r="N1412">
        <f>SUMPRODUCT(Calc!$K$3:$K$22*(Calc!$G$3:$G$22&gt;A1412)*(Calc!$G$3:$G$22-A1412)*Calc!$I$3:$I$22)</f>
        <v/>
      </c>
      <c r="O1412">
        <f>SUMPRODUCT(Calc!$K$3:$K$22*(Calc!$G$3:$G$22&gt;B1412)*(Calc!$G$3:$G$22-B1412)*Calc!$I$3:$I$22)</f>
        <v/>
      </c>
      <c r="P1412">
        <f>I1412-G1412^2/k_n</f>
        <v/>
      </c>
      <c r="Q1412">
        <f>J1412-H1412^2/k_n</f>
        <v/>
      </c>
      <c r="R1412">
        <f>K1412-G1412*H1412/k_n</f>
        <v/>
      </c>
      <c r="S1412">
        <f>L1412-LTP3!$D$3*G1412/k_n</f>
        <v/>
      </c>
      <c r="T1412">
        <f>M1412-LTP3!$D$3*H1412/k_n</f>
        <v/>
      </c>
      <c r="U1412">
        <f>N1412-G1412*LTP3!$D$4/k_n</f>
        <v/>
      </c>
      <c r="V1412">
        <f>O1412-H1412*LTP3!$D$4/k_n</f>
        <v/>
      </c>
      <c r="W1412">
        <f>((LTP3!$D$5)*((P1412)*(Q1412)-(R1412)*(R1412))-(S1412)*((S1412)*(Q1412)-(R1412)*(T1412))+(T1412)*((S1412)*(R1412)-(P1412)*(T1412)))</f>
        <v/>
      </c>
      <c r="X1412">
        <f>IF(ABS(W1412)&gt;1E-12,((LTP3!$D$6)*((P1412)*(Q1412)-(R1412)*(R1412))-(S1412)*((U1412)*(Q1412)-(R1412)*(V1412))+(T1412)*((U1412)*(R1412)-(P1412)*(V1412)))/W1412,0)</f>
        <v/>
      </c>
      <c r="Y1412">
        <f>IF(ABS(W1412)&gt;1E-12,((LTP3!$D$5)*((U1412)*(Q1412)-(R1412)*(V1412))-(LTP3!$D$6)*((S1412)*(Q1412)-(R1412)*(T1412))+(T1412)*((S1412)*(V1412)-(U1412)*(T1412)))/W1412,0)</f>
        <v/>
      </c>
      <c r="Z1412">
        <f>IF(ABS(W1412)&gt;1E-12,((LTP3!$D$5)*((P1412)*(V1412)-(U1412)*(R1412))-(S1412)*((S1412)*(V1412)-(U1412)*(T1412))+(LTP3!$D$6)*((S1412)*(R1412)-(P1412)*(T1412)))/W1412,0)</f>
        <v/>
      </c>
      <c r="AA1412">
        <f>LTP3!$D$7-X1412*LTP3!$D$6-Y1412*U1412-Z1412*V1412</f>
        <v/>
      </c>
      <c r="AB1412">
        <f>IF(AND(F1412,ABS(W1412)&gt;1E-12,Y1412&gt;0,Z1412&gt;0),AA1412,1E+300)</f>
        <v/>
      </c>
    </row>
    <row r="1413">
      <c r="A1413">
        <f>$B$3+$B$5*22</f>
        <v/>
      </c>
      <c r="B1413">
        <f>$B$3+$B$5*59</f>
        <v/>
      </c>
      <c r="C1413">
        <f>SUMPRODUCT(Calc!$K$3:$K$22*(Calc!$G$3:$G$22&lt;=A1413))</f>
        <v/>
      </c>
      <c r="D1413">
        <f>SUMPRODUCT(Calc!$K$3:$K$22*(Calc!$G$3:$G$22&gt;A1413)*(Calc!$G$3:$G$22&lt;B1413))</f>
        <v/>
      </c>
      <c r="E1413">
        <f>SUMPRODUCT(Calc!$K$3:$K$22*(Calc!$G$3:$G$22&gt;=B1413))</f>
        <v/>
      </c>
      <c r="F1413">
        <f>AND(k_n&gt;=5,B1413&gt;A1413+1E-9,C1413&gt;=2,D1413&gt;=1,E1413&gt;=2)</f>
        <v/>
      </c>
      <c r="G1413">
        <f>SUMPRODUCT(Calc!$K$3:$K$22*(Calc!$G$3:$G$22&gt;A1413)*(Calc!$G$3:$G$22-A1413))</f>
        <v/>
      </c>
      <c r="H1413">
        <f>SUMPRODUCT(Calc!$K$3:$K$22*(Calc!$G$3:$G$22&gt;B1413)*(Calc!$G$3:$G$22-B1413))</f>
        <v/>
      </c>
      <c r="I1413">
        <f>SUMPRODUCT(Calc!$K$3:$K$22*(Calc!$G$3:$G$22&gt;A1413)*(Calc!$G$3:$G$22-A1413)^2)</f>
        <v/>
      </c>
      <c r="J1413">
        <f>SUMPRODUCT(Calc!$K$3:$K$22*(Calc!$G$3:$G$22&gt;B1413)*(Calc!$G$3:$G$22-B1413)^2)</f>
        <v/>
      </c>
      <c r="K1413">
        <f>SUMPRODUCT(Calc!$K$3:$K$22*(Calc!$G$3:$G$22&gt;A1413)*(Calc!$G$3:$G$22-A1413)*(Calc!$G$3:$G$22&gt;B1413)*(Calc!$G$3:$G$22-B1413))</f>
        <v/>
      </c>
      <c r="L1413">
        <f>SUMPRODUCT(Calc!$K$3:$K$22*(Calc!$G$3:$G$22&gt;A1413)*(Calc!$G$3:$G$22-A1413)*Calc!$G$3:$G$22)</f>
        <v/>
      </c>
      <c r="M1413">
        <f>SUMPRODUCT(Calc!$K$3:$K$22*(Calc!$G$3:$G$22&gt;B1413)*(Calc!$G$3:$G$22-B1413)*Calc!$G$3:$G$22)</f>
        <v/>
      </c>
      <c r="N1413">
        <f>SUMPRODUCT(Calc!$K$3:$K$22*(Calc!$G$3:$G$22&gt;A1413)*(Calc!$G$3:$G$22-A1413)*Calc!$I$3:$I$22)</f>
        <v/>
      </c>
      <c r="O1413">
        <f>SUMPRODUCT(Calc!$K$3:$K$22*(Calc!$G$3:$G$22&gt;B1413)*(Calc!$G$3:$G$22-B1413)*Calc!$I$3:$I$22)</f>
        <v/>
      </c>
      <c r="P1413">
        <f>I1413-G1413^2/k_n</f>
        <v/>
      </c>
      <c r="Q1413">
        <f>J1413-H1413^2/k_n</f>
        <v/>
      </c>
      <c r="R1413">
        <f>K1413-G1413*H1413/k_n</f>
        <v/>
      </c>
      <c r="S1413">
        <f>L1413-LTP3!$D$3*G1413/k_n</f>
        <v/>
      </c>
      <c r="T1413">
        <f>M1413-LTP3!$D$3*H1413/k_n</f>
        <v/>
      </c>
      <c r="U1413">
        <f>N1413-G1413*LTP3!$D$4/k_n</f>
        <v/>
      </c>
      <c r="V1413">
        <f>O1413-H1413*LTP3!$D$4/k_n</f>
        <v/>
      </c>
      <c r="W1413">
        <f>((LTP3!$D$5)*((P1413)*(Q1413)-(R1413)*(R1413))-(S1413)*((S1413)*(Q1413)-(R1413)*(T1413))+(T1413)*((S1413)*(R1413)-(P1413)*(T1413)))</f>
        <v/>
      </c>
      <c r="X1413">
        <f>IF(ABS(W1413)&gt;1E-12,((LTP3!$D$6)*((P1413)*(Q1413)-(R1413)*(R1413))-(S1413)*((U1413)*(Q1413)-(R1413)*(V1413))+(T1413)*((U1413)*(R1413)-(P1413)*(V1413)))/W1413,0)</f>
        <v/>
      </c>
      <c r="Y1413">
        <f>IF(ABS(W1413)&gt;1E-12,((LTP3!$D$5)*((U1413)*(Q1413)-(R1413)*(V1413))-(LTP3!$D$6)*((S1413)*(Q1413)-(R1413)*(T1413))+(T1413)*((S1413)*(V1413)-(U1413)*(T1413)))/W1413,0)</f>
        <v/>
      </c>
      <c r="Z1413">
        <f>IF(ABS(W1413)&gt;1E-12,((LTP3!$D$5)*((P1413)*(V1413)-(U1413)*(R1413))-(S1413)*((S1413)*(V1413)-(U1413)*(T1413))+(LTP3!$D$6)*((S1413)*(R1413)-(P1413)*(T1413)))/W1413,0)</f>
        <v/>
      </c>
      <c r="AA1413">
        <f>LTP3!$D$7-X1413*LTP3!$D$6-Y1413*U1413-Z1413*V1413</f>
        <v/>
      </c>
      <c r="AB1413">
        <f>IF(AND(F1413,ABS(W1413)&gt;1E-12,Y1413&gt;0,Z1413&gt;0),AA1413,1E+300)</f>
        <v/>
      </c>
    </row>
    <row r="1414">
      <c r="A1414">
        <f>$B$3+$B$5*22</f>
        <v/>
      </c>
      <c r="B1414">
        <f>$B$3+$B$5*60</f>
        <v/>
      </c>
      <c r="C1414">
        <f>SUMPRODUCT(Calc!$K$3:$K$22*(Calc!$G$3:$G$22&lt;=A1414))</f>
        <v/>
      </c>
      <c r="D1414">
        <f>SUMPRODUCT(Calc!$K$3:$K$22*(Calc!$G$3:$G$22&gt;A1414)*(Calc!$G$3:$G$22&lt;B1414))</f>
        <v/>
      </c>
      <c r="E1414">
        <f>SUMPRODUCT(Calc!$K$3:$K$22*(Calc!$G$3:$G$22&gt;=B1414))</f>
        <v/>
      </c>
      <c r="F1414">
        <f>AND(k_n&gt;=5,B1414&gt;A1414+1E-9,C1414&gt;=2,D1414&gt;=1,E1414&gt;=2)</f>
        <v/>
      </c>
      <c r="G1414">
        <f>SUMPRODUCT(Calc!$K$3:$K$22*(Calc!$G$3:$G$22&gt;A1414)*(Calc!$G$3:$G$22-A1414))</f>
        <v/>
      </c>
      <c r="H1414">
        <f>SUMPRODUCT(Calc!$K$3:$K$22*(Calc!$G$3:$G$22&gt;B1414)*(Calc!$G$3:$G$22-B1414))</f>
        <v/>
      </c>
      <c r="I1414">
        <f>SUMPRODUCT(Calc!$K$3:$K$22*(Calc!$G$3:$G$22&gt;A1414)*(Calc!$G$3:$G$22-A1414)^2)</f>
        <v/>
      </c>
      <c r="J1414">
        <f>SUMPRODUCT(Calc!$K$3:$K$22*(Calc!$G$3:$G$22&gt;B1414)*(Calc!$G$3:$G$22-B1414)^2)</f>
        <v/>
      </c>
      <c r="K1414">
        <f>SUMPRODUCT(Calc!$K$3:$K$22*(Calc!$G$3:$G$22&gt;A1414)*(Calc!$G$3:$G$22-A1414)*(Calc!$G$3:$G$22&gt;B1414)*(Calc!$G$3:$G$22-B1414))</f>
        <v/>
      </c>
      <c r="L1414">
        <f>SUMPRODUCT(Calc!$K$3:$K$22*(Calc!$G$3:$G$22&gt;A1414)*(Calc!$G$3:$G$22-A1414)*Calc!$G$3:$G$22)</f>
        <v/>
      </c>
      <c r="M1414">
        <f>SUMPRODUCT(Calc!$K$3:$K$22*(Calc!$G$3:$G$22&gt;B1414)*(Calc!$G$3:$G$22-B1414)*Calc!$G$3:$G$22)</f>
        <v/>
      </c>
      <c r="N1414">
        <f>SUMPRODUCT(Calc!$K$3:$K$22*(Calc!$G$3:$G$22&gt;A1414)*(Calc!$G$3:$G$22-A1414)*Calc!$I$3:$I$22)</f>
        <v/>
      </c>
      <c r="O1414">
        <f>SUMPRODUCT(Calc!$K$3:$K$22*(Calc!$G$3:$G$22&gt;B1414)*(Calc!$G$3:$G$22-B1414)*Calc!$I$3:$I$22)</f>
        <v/>
      </c>
      <c r="P1414">
        <f>I1414-G1414^2/k_n</f>
        <v/>
      </c>
      <c r="Q1414">
        <f>J1414-H1414^2/k_n</f>
        <v/>
      </c>
      <c r="R1414">
        <f>K1414-G1414*H1414/k_n</f>
        <v/>
      </c>
      <c r="S1414">
        <f>L1414-LTP3!$D$3*G1414/k_n</f>
        <v/>
      </c>
      <c r="T1414">
        <f>M1414-LTP3!$D$3*H1414/k_n</f>
        <v/>
      </c>
      <c r="U1414">
        <f>N1414-G1414*LTP3!$D$4/k_n</f>
        <v/>
      </c>
      <c r="V1414">
        <f>O1414-H1414*LTP3!$D$4/k_n</f>
        <v/>
      </c>
      <c r="W1414">
        <f>((LTP3!$D$5)*((P1414)*(Q1414)-(R1414)*(R1414))-(S1414)*((S1414)*(Q1414)-(R1414)*(T1414))+(T1414)*((S1414)*(R1414)-(P1414)*(T1414)))</f>
        <v/>
      </c>
      <c r="X1414">
        <f>IF(ABS(W1414)&gt;1E-12,((LTP3!$D$6)*((P1414)*(Q1414)-(R1414)*(R1414))-(S1414)*((U1414)*(Q1414)-(R1414)*(V1414))+(T1414)*((U1414)*(R1414)-(P1414)*(V1414)))/W1414,0)</f>
        <v/>
      </c>
      <c r="Y1414">
        <f>IF(ABS(W1414)&gt;1E-12,((LTP3!$D$5)*((U1414)*(Q1414)-(R1414)*(V1414))-(LTP3!$D$6)*((S1414)*(Q1414)-(R1414)*(T1414))+(T1414)*((S1414)*(V1414)-(U1414)*(T1414)))/W1414,0)</f>
        <v/>
      </c>
      <c r="Z1414">
        <f>IF(ABS(W1414)&gt;1E-12,((LTP3!$D$5)*((P1414)*(V1414)-(U1414)*(R1414))-(S1414)*((S1414)*(V1414)-(U1414)*(T1414))+(LTP3!$D$6)*((S1414)*(R1414)-(P1414)*(T1414)))/W1414,0)</f>
        <v/>
      </c>
      <c r="AA1414">
        <f>LTP3!$D$7-X1414*LTP3!$D$6-Y1414*U1414-Z1414*V1414</f>
        <v/>
      </c>
      <c r="AB1414">
        <f>IF(AND(F1414,ABS(W1414)&gt;1E-12,Y1414&gt;0,Z1414&gt;0),AA1414,1E+300)</f>
        <v/>
      </c>
    </row>
    <row r="1415">
      <c r="A1415">
        <f>$B$3+$B$5*23</f>
        <v/>
      </c>
      <c r="B1415">
        <f>$B$3+$B$5*0</f>
        <v/>
      </c>
      <c r="C1415">
        <f>SUMPRODUCT(Calc!$K$3:$K$22*(Calc!$G$3:$G$22&lt;=A1415))</f>
        <v/>
      </c>
      <c r="D1415">
        <f>SUMPRODUCT(Calc!$K$3:$K$22*(Calc!$G$3:$G$22&gt;A1415)*(Calc!$G$3:$G$22&lt;B1415))</f>
        <v/>
      </c>
      <c r="E1415">
        <f>SUMPRODUCT(Calc!$K$3:$K$22*(Calc!$G$3:$G$22&gt;=B1415))</f>
        <v/>
      </c>
      <c r="F1415">
        <f>AND(k_n&gt;=5,B1415&gt;A1415+1E-9,C1415&gt;=2,D1415&gt;=1,E1415&gt;=2)</f>
        <v/>
      </c>
      <c r="G1415">
        <f>SUMPRODUCT(Calc!$K$3:$K$22*(Calc!$G$3:$G$22&gt;A1415)*(Calc!$G$3:$G$22-A1415))</f>
        <v/>
      </c>
      <c r="H1415">
        <f>SUMPRODUCT(Calc!$K$3:$K$22*(Calc!$G$3:$G$22&gt;B1415)*(Calc!$G$3:$G$22-B1415))</f>
        <v/>
      </c>
      <c r="I1415">
        <f>SUMPRODUCT(Calc!$K$3:$K$22*(Calc!$G$3:$G$22&gt;A1415)*(Calc!$G$3:$G$22-A1415)^2)</f>
        <v/>
      </c>
      <c r="J1415">
        <f>SUMPRODUCT(Calc!$K$3:$K$22*(Calc!$G$3:$G$22&gt;B1415)*(Calc!$G$3:$G$22-B1415)^2)</f>
        <v/>
      </c>
      <c r="K1415">
        <f>SUMPRODUCT(Calc!$K$3:$K$22*(Calc!$G$3:$G$22&gt;A1415)*(Calc!$G$3:$G$22-A1415)*(Calc!$G$3:$G$22&gt;B1415)*(Calc!$G$3:$G$22-B1415))</f>
        <v/>
      </c>
      <c r="L1415">
        <f>SUMPRODUCT(Calc!$K$3:$K$22*(Calc!$G$3:$G$22&gt;A1415)*(Calc!$G$3:$G$22-A1415)*Calc!$G$3:$G$22)</f>
        <v/>
      </c>
      <c r="M1415">
        <f>SUMPRODUCT(Calc!$K$3:$K$22*(Calc!$G$3:$G$22&gt;B1415)*(Calc!$G$3:$G$22-B1415)*Calc!$G$3:$G$22)</f>
        <v/>
      </c>
      <c r="N1415">
        <f>SUMPRODUCT(Calc!$K$3:$K$22*(Calc!$G$3:$G$22&gt;A1415)*(Calc!$G$3:$G$22-A1415)*Calc!$I$3:$I$22)</f>
        <v/>
      </c>
      <c r="O1415">
        <f>SUMPRODUCT(Calc!$K$3:$K$22*(Calc!$G$3:$G$22&gt;B1415)*(Calc!$G$3:$G$22-B1415)*Calc!$I$3:$I$22)</f>
        <v/>
      </c>
      <c r="P1415">
        <f>I1415-G1415^2/k_n</f>
        <v/>
      </c>
      <c r="Q1415">
        <f>J1415-H1415^2/k_n</f>
        <v/>
      </c>
      <c r="R1415">
        <f>K1415-G1415*H1415/k_n</f>
        <v/>
      </c>
      <c r="S1415">
        <f>L1415-LTP3!$D$3*G1415/k_n</f>
        <v/>
      </c>
      <c r="T1415">
        <f>M1415-LTP3!$D$3*H1415/k_n</f>
        <v/>
      </c>
      <c r="U1415">
        <f>N1415-G1415*LTP3!$D$4/k_n</f>
        <v/>
      </c>
      <c r="V1415">
        <f>O1415-H1415*LTP3!$D$4/k_n</f>
        <v/>
      </c>
      <c r="W1415">
        <f>((LTP3!$D$5)*((P1415)*(Q1415)-(R1415)*(R1415))-(S1415)*((S1415)*(Q1415)-(R1415)*(T1415))+(T1415)*((S1415)*(R1415)-(P1415)*(T1415)))</f>
        <v/>
      </c>
      <c r="X1415">
        <f>IF(ABS(W1415)&gt;1E-12,((LTP3!$D$6)*((P1415)*(Q1415)-(R1415)*(R1415))-(S1415)*((U1415)*(Q1415)-(R1415)*(V1415))+(T1415)*((U1415)*(R1415)-(P1415)*(V1415)))/W1415,0)</f>
        <v/>
      </c>
      <c r="Y1415">
        <f>IF(ABS(W1415)&gt;1E-12,((LTP3!$D$5)*((U1415)*(Q1415)-(R1415)*(V1415))-(LTP3!$D$6)*((S1415)*(Q1415)-(R1415)*(T1415))+(T1415)*((S1415)*(V1415)-(U1415)*(T1415)))/W1415,0)</f>
        <v/>
      </c>
      <c r="Z1415">
        <f>IF(ABS(W1415)&gt;1E-12,((LTP3!$D$5)*((P1415)*(V1415)-(U1415)*(R1415))-(S1415)*((S1415)*(V1415)-(U1415)*(T1415))+(LTP3!$D$6)*((S1415)*(R1415)-(P1415)*(T1415)))/W1415,0)</f>
        <v/>
      </c>
      <c r="AA1415">
        <f>LTP3!$D$7-X1415*LTP3!$D$6-Y1415*U1415-Z1415*V1415</f>
        <v/>
      </c>
      <c r="AB1415">
        <f>IF(AND(F1415,ABS(W1415)&gt;1E-12,Y1415&gt;0,Z1415&gt;0),AA1415,1E+300)</f>
        <v/>
      </c>
    </row>
    <row r="1416">
      <c r="A1416">
        <f>$B$3+$B$5*23</f>
        <v/>
      </c>
      <c r="B1416">
        <f>$B$3+$B$5*1</f>
        <v/>
      </c>
      <c r="C1416">
        <f>SUMPRODUCT(Calc!$K$3:$K$22*(Calc!$G$3:$G$22&lt;=A1416))</f>
        <v/>
      </c>
      <c r="D1416">
        <f>SUMPRODUCT(Calc!$K$3:$K$22*(Calc!$G$3:$G$22&gt;A1416)*(Calc!$G$3:$G$22&lt;B1416))</f>
        <v/>
      </c>
      <c r="E1416">
        <f>SUMPRODUCT(Calc!$K$3:$K$22*(Calc!$G$3:$G$22&gt;=B1416))</f>
        <v/>
      </c>
      <c r="F1416">
        <f>AND(k_n&gt;=5,B1416&gt;A1416+1E-9,C1416&gt;=2,D1416&gt;=1,E1416&gt;=2)</f>
        <v/>
      </c>
      <c r="G1416">
        <f>SUMPRODUCT(Calc!$K$3:$K$22*(Calc!$G$3:$G$22&gt;A1416)*(Calc!$G$3:$G$22-A1416))</f>
        <v/>
      </c>
      <c r="H1416">
        <f>SUMPRODUCT(Calc!$K$3:$K$22*(Calc!$G$3:$G$22&gt;B1416)*(Calc!$G$3:$G$22-B1416))</f>
        <v/>
      </c>
      <c r="I1416">
        <f>SUMPRODUCT(Calc!$K$3:$K$22*(Calc!$G$3:$G$22&gt;A1416)*(Calc!$G$3:$G$22-A1416)^2)</f>
        <v/>
      </c>
      <c r="J1416">
        <f>SUMPRODUCT(Calc!$K$3:$K$22*(Calc!$G$3:$G$22&gt;B1416)*(Calc!$G$3:$G$22-B1416)^2)</f>
        <v/>
      </c>
      <c r="K1416">
        <f>SUMPRODUCT(Calc!$K$3:$K$22*(Calc!$G$3:$G$22&gt;A1416)*(Calc!$G$3:$G$22-A1416)*(Calc!$G$3:$G$22&gt;B1416)*(Calc!$G$3:$G$22-B1416))</f>
        <v/>
      </c>
      <c r="L1416">
        <f>SUMPRODUCT(Calc!$K$3:$K$22*(Calc!$G$3:$G$22&gt;A1416)*(Calc!$G$3:$G$22-A1416)*Calc!$G$3:$G$22)</f>
        <v/>
      </c>
      <c r="M1416">
        <f>SUMPRODUCT(Calc!$K$3:$K$22*(Calc!$G$3:$G$22&gt;B1416)*(Calc!$G$3:$G$22-B1416)*Calc!$G$3:$G$22)</f>
        <v/>
      </c>
      <c r="N1416">
        <f>SUMPRODUCT(Calc!$K$3:$K$22*(Calc!$G$3:$G$22&gt;A1416)*(Calc!$G$3:$G$22-A1416)*Calc!$I$3:$I$22)</f>
        <v/>
      </c>
      <c r="O1416">
        <f>SUMPRODUCT(Calc!$K$3:$K$22*(Calc!$G$3:$G$22&gt;B1416)*(Calc!$G$3:$G$22-B1416)*Calc!$I$3:$I$22)</f>
        <v/>
      </c>
      <c r="P1416">
        <f>I1416-G1416^2/k_n</f>
        <v/>
      </c>
      <c r="Q1416">
        <f>J1416-H1416^2/k_n</f>
        <v/>
      </c>
      <c r="R1416">
        <f>K1416-G1416*H1416/k_n</f>
        <v/>
      </c>
      <c r="S1416">
        <f>L1416-LTP3!$D$3*G1416/k_n</f>
        <v/>
      </c>
      <c r="T1416">
        <f>M1416-LTP3!$D$3*H1416/k_n</f>
        <v/>
      </c>
      <c r="U1416">
        <f>N1416-G1416*LTP3!$D$4/k_n</f>
        <v/>
      </c>
      <c r="V1416">
        <f>O1416-H1416*LTP3!$D$4/k_n</f>
        <v/>
      </c>
      <c r="W1416">
        <f>((LTP3!$D$5)*((P1416)*(Q1416)-(R1416)*(R1416))-(S1416)*((S1416)*(Q1416)-(R1416)*(T1416))+(T1416)*((S1416)*(R1416)-(P1416)*(T1416)))</f>
        <v/>
      </c>
      <c r="X1416">
        <f>IF(ABS(W1416)&gt;1E-12,((LTP3!$D$6)*((P1416)*(Q1416)-(R1416)*(R1416))-(S1416)*((U1416)*(Q1416)-(R1416)*(V1416))+(T1416)*((U1416)*(R1416)-(P1416)*(V1416)))/W1416,0)</f>
        <v/>
      </c>
      <c r="Y1416">
        <f>IF(ABS(W1416)&gt;1E-12,((LTP3!$D$5)*((U1416)*(Q1416)-(R1416)*(V1416))-(LTP3!$D$6)*((S1416)*(Q1416)-(R1416)*(T1416))+(T1416)*((S1416)*(V1416)-(U1416)*(T1416)))/W1416,0)</f>
        <v/>
      </c>
      <c r="Z1416">
        <f>IF(ABS(W1416)&gt;1E-12,((LTP3!$D$5)*((P1416)*(V1416)-(U1416)*(R1416))-(S1416)*((S1416)*(V1416)-(U1416)*(T1416))+(LTP3!$D$6)*((S1416)*(R1416)-(P1416)*(T1416)))/W1416,0)</f>
        <v/>
      </c>
      <c r="AA1416">
        <f>LTP3!$D$7-X1416*LTP3!$D$6-Y1416*U1416-Z1416*V1416</f>
        <v/>
      </c>
      <c r="AB1416">
        <f>IF(AND(F1416,ABS(W1416)&gt;1E-12,Y1416&gt;0,Z1416&gt;0),AA1416,1E+300)</f>
        <v/>
      </c>
    </row>
    <row r="1417">
      <c r="A1417">
        <f>$B$3+$B$5*23</f>
        <v/>
      </c>
      <c r="B1417">
        <f>$B$3+$B$5*2</f>
        <v/>
      </c>
      <c r="C1417">
        <f>SUMPRODUCT(Calc!$K$3:$K$22*(Calc!$G$3:$G$22&lt;=A1417))</f>
        <v/>
      </c>
      <c r="D1417">
        <f>SUMPRODUCT(Calc!$K$3:$K$22*(Calc!$G$3:$G$22&gt;A1417)*(Calc!$G$3:$G$22&lt;B1417))</f>
        <v/>
      </c>
      <c r="E1417">
        <f>SUMPRODUCT(Calc!$K$3:$K$22*(Calc!$G$3:$G$22&gt;=B1417))</f>
        <v/>
      </c>
      <c r="F1417">
        <f>AND(k_n&gt;=5,B1417&gt;A1417+1E-9,C1417&gt;=2,D1417&gt;=1,E1417&gt;=2)</f>
        <v/>
      </c>
      <c r="G1417">
        <f>SUMPRODUCT(Calc!$K$3:$K$22*(Calc!$G$3:$G$22&gt;A1417)*(Calc!$G$3:$G$22-A1417))</f>
        <v/>
      </c>
      <c r="H1417">
        <f>SUMPRODUCT(Calc!$K$3:$K$22*(Calc!$G$3:$G$22&gt;B1417)*(Calc!$G$3:$G$22-B1417))</f>
        <v/>
      </c>
      <c r="I1417">
        <f>SUMPRODUCT(Calc!$K$3:$K$22*(Calc!$G$3:$G$22&gt;A1417)*(Calc!$G$3:$G$22-A1417)^2)</f>
        <v/>
      </c>
      <c r="J1417">
        <f>SUMPRODUCT(Calc!$K$3:$K$22*(Calc!$G$3:$G$22&gt;B1417)*(Calc!$G$3:$G$22-B1417)^2)</f>
        <v/>
      </c>
      <c r="K1417">
        <f>SUMPRODUCT(Calc!$K$3:$K$22*(Calc!$G$3:$G$22&gt;A1417)*(Calc!$G$3:$G$22-A1417)*(Calc!$G$3:$G$22&gt;B1417)*(Calc!$G$3:$G$22-B1417))</f>
        <v/>
      </c>
      <c r="L1417">
        <f>SUMPRODUCT(Calc!$K$3:$K$22*(Calc!$G$3:$G$22&gt;A1417)*(Calc!$G$3:$G$22-A1417)*Calc!$G$3:$G$22)</f>
        <v/>
      </c>
      <c r="M1417">
        <f>SUMPRODUCT(Calc!$K$3:$K$22*(Calc!$G$3:$G$22&gt;B1417)*(Calc!$G$3:$G$22-B1417)*Calc!$G$3:$G$22)</f>
        <v/>
      </c>
      <c r="N1417">
        <f>SUMPRODUCT(Calc!$K$3:$K$22*(Calc!$G$3:$G$22&gt;A1417)*(Calc!$G$3:$G$22-A1417)*Calc!$I$3:$I$22)</f>
        <v/>
      </c>
      <c r="O1417">
        <f>SUMPRODUCT(Calc!$K$3:$K$22*(Calc!$G$3:$G$22&gt;B1417)*(Calc!$G$3:$G$22-B1417)*Calc!$I$3:$I$22)</f>
        <v/>
      </c>
      <c r="P1417">
        <f>I1417-G1417^2/k_n</f>
        <v/>
      </c>
      <c r="Q1417">
        <f>J1417-H1417^2/k_n</f>
        <v/>
      </c>
      <c r="R1417">
        <f>K1417-G1417*H1417/k_n</f>
        <v/>
      </c>
      <c r="S1417">
        <f>L1417-LTP3!$D$3*G1417/k_n</f>
        <v/>
      </c>
      <c r="T1417">
        <f>M1417-LTP3!$D$3*H1417/k_n</f>
        <v/>
      </c>
      <c r="U1417">
        <f>N1417-G1417*LTP3!$D$4/k_n</f>
        <v/>
      </c>
      <c r="V1417">
        <f>O1417-H1417*LTP3!$D$4/k_n</f>
        <v/>
      </c>
      <c r="W1417">
        <f>((LTP3!$D$5)*((P1417)*(Q1417)-(R1417)*(R1417))-(S1417)*((S1417)*(Q1417)-(R1417)*(T1417))+(T1417)*((S1417)*(R1417)-(P1417)*(T1417)))</f>
        <v/>
      </c>
      <c r="X1417">
        <f>IF(ABS(W1417)&gt;1E-12,((LTP3!$D$6)*((P1417)*(Q1417)-(R1417)*(R1417))-(S1417)*((U1417)*(Q1417)-(R1417)*(V1417))+(T1417)*((U1417)*(R1417)-(P1417)*(V1417)))/W1417,0)</f>
        <v/>
      </c>
      <c r="Y1417">
        <f>IF(ABS(W1417)&gt;1E-12,((LTP3!$D$5)*((U1417)*(Q1417)-(R1417)*(V1417))-(LTP3!$D$6)*((S1417)*(Q1417)-(R1417)*(T1417))+(T1417)*((S1417)*(V1417)-(U1417)*(T1417)))/W1417,0)</f>
        <v/>
      </c>
      <c r="Z1417">
        <f>IF(ABS(W1417)&gt;1E-12,((LTP3!$D$5)*((P1417)*(V1417)-(U1417)*(R1417))-(S1417)*((S1417)*(V1417)-(U1417)*(T1417))+(LTP3!$D$6)*((S1417)*(R1417)-(P1417)*(T1417)))/W1417,0)</f>
        <v/>
      </c>
      <c r="AA1417">
        <f>LTP3!$D$7-X1417*LTP3!$D$6-Y1417*U1417-Z1417*V1417</f>
        <v/>
      </c>
      <c r="AB1417">
        <f>IF(AND(F1417,ABS(W1417)&gt;1E-12,Y1417&gt;0,Z1417&gt;0),AA1417,1E+300)</f>
        <v/>
      </c>
    </row>
    <row r="1418">
      <c r="A1418">
        <f>$B$3+$B$5*23</f>
        <v/>
      </c>
      <c r="B1418">
        <f>$B$3+$B$5*3</f>
        <v/>
      </c>
      <c r="C1418">
        <f>SUMPRODUCT(Calc!$K$3:$K$22*(Calc!$G$3:$G$22&lt;=A1418))</f>
        <v/>
      </c>
      <c r="D1418">
        <f>SUMPRODUCT(Calc!$K$3:$K$22*(Calc!$G$3:$G$22&gt;A1418)*(Calc!$G$3:$G$22&lt;B1418))</f>
        <v/>
      </c>
      <c r="E1418">
        <f>SUMPRODUCT(Calc!$K$3:$K$22*(Calc!$G$3:$G$22&gt;=B1418))</f>
        <v/>
      </c>
      <c r="F1418">
        <f>AND(k_n&gt;=5,B1418&gt;A1418+1E-9,C1418&gt;=2,D1418&gt;=1,E1418&gt;=2)</f>
        <v/>
      </c>
      <c r="G1418">
        <f>SUMPRODUCT(Calc!$K$3:$K$22*(Calc!$G$3:$G$22&gt;A1418)*(Calc!$G$3:$G$22-A1418))</f>
        <v/>
      </c>
      <c r="H1418">
        <f>SUMPRODUCT(Calc!$K$3:$K$22*(Calc!$G$3:$G$22&gt;B1418)*(Calc!$G$3:$G$22-B1418))</f>
        <v/>
      </c>
      <c r="I1418">
        <f>SUMPRODUCT(Calc!$K$3:$K$22*(Calc!$G$3:$G$22&gt;A1418)*(Calc!$G$3:$G$22-A1418)^2)</f>
        <v/>
      </c>
      <c r="J1418">
        <f>SUMPRODUCT(Calc!$K$3:$K$22*(Calc!$G$3:$G$22&gt;B1418)*(Calc!$G$3:$G$22-B1418)^2)</f>
        <v/>
      </c>
      <c r="K1418">
        <f>SUMPRODUCT(Calc!$K$3:$K$22*(Calc!$G$3:$G$22&gt;A1418)*(Calc!$G$3:$G$22-A1418)*(Calc!$G$3:$G$22&gt;B1418)*(Calc!$G$3:$G$22-B1418))</f>
        <v/>
      </c>
      <c r="L1418">
        <f>SUMPRODUCT(Calc!$K$3:$K$22*(Calc!$G$3:$G$22&gt;A1418)*(Calc!$G$3:$G$22-A1418)*Calc!$G$3:$G$22)</f>
        <v/>
      </c>
      <c r="M1418">
        <f>SUMPRODUCT(Calc!$K$3:$K$22*(Calc!$G$3:$G$22&gt;B1418)*(Calc!$G$3:$G$22-B1418)*Calc!$G$3:$G$22)</f>
        <v/>
      </c>
      <c r="N1418">
        <f>SUMPRODUCT(Calc!$K$3:$K$22*(Calc!$G$3:$G$22&gt;A1418)*(Calc!$G$3:$G$22-A1418)*Calc!$I$3:$I$22)</f>
        <v/>
      </c>
      <c r="O1418">
        <f>SUMPRODUCT(Calc!$K$3:$K$22*(Calc!$G$3:$G$22&gt;B1418)*(Calc!$G$3:$G$22-B1418)*Calc!$I$3:$I$22)</f>
        <v/>
      </c>
      <c r="P1418">
        <f>I1418-G1418^2/k_n</f>
        <v/>
      </c>
      <c r="Q1418">
        <f>J1418-H1418^2/k_n</f>
        <v/>
      </c>
      <c r="R1418">
        <f>K1418-G1418*H1418/k_n</f>
        <v/>
      </c>
      <c r="S1418">
        <f>L1418-LTP3!$D$3*G1418/k_n</f>
        <v/>
      </c>
      <c r="T1418">
        <f>M1418-LTP3!$D$3*H1418/k_n</f>
        <v/>
      </c>
      <c r="U1418">
        <f>N1418-G1418*LTP3!$D$4/k_n</f>
        <v/>
      </c>
      <c r="V1418">
        <f>O1418-H1418*LTP3!$D$4/k_n</f>
        <v/>
      </c>
      <c r="W1418">
        <f>((LTP3!$D$5)*((P1418)*(Q1418)-(R1418)*(R1418))-(S1418)*((S1418)*(Q1418)-(R1418)*(T1418))+(T1418)*((S1418)*(R1418)-(P1418)*(T1418)))</f>
        <v/>
      </c>
      <c r="X1418">
        <f>IF(ABS(W1418)&gt;1E-12,((LTP3!$D$6)*((P1418)*(Q1418)-(R1418)*(R1418))-(S1418)*((U1418)*(Q1418)-(R1418)*(V1418))+(T1418)*((U1418)*(R1418)-(P1418)*(V1418)))/W1418,0)</f>
        <v/>
      </c>
      <c r="Y1418">
        <f>IF(ABS(W1418)&gt;1E-12,((LTP3!$D$5)*((U1418)*(Q1418)-(R1418)*(V1418))-(LTP3!$D$6)*((S1418)*(Q1418)-(R1418)*(T1418))+(T1418)*((S1418)*(V1418)-(U1418)*(T1418)))/W1418,0)</f>
        <v/>
      </c>
      <c r="Z1418">
        <f>IF(ABS(W1418)&gt;1E-12,((LTP3!$D$5)*((P1418)*(V1418)-(U1418)*(R1418))-(S1418)*((S1418)*(V1418)-(U1418)*(T1418))+(LTP3!$D$6)*((S1418)*(R1418)-(P1418)*(T1418)))/W1418,0)</f>
        <v/>
      </c>
      <c r="AA1418">
        <f>LTP3!$D$7-X1418*LTP3!$D$6-Y1418*U1418-Z1418*V1418</f>
        <v/>
      </c>
      <c r="AB1418">
        <f>IF(AND(F1418,ABS(W1418)&gt;1E-12,Y1418&gt;0,Z1418&gt;0),AA1418,1E+300)</f>
        <v/>
      </c>
    </row>
    <row r="1419">
      <c r="A1419">
        <f>$B$3+$B$5*23</f>
        <v/>
      </c>
      <c r="B1419">
        <f>$B$3+$B$5*4</f>
        <v/>
      </c>
      <c r="C1419">
        <f>SUMPRODUCT(Calc!$K$3:$K$22*(Calc!$G$3:$G$22&lt;=A1419))</f>
        <v/>
      </c>
      <c r="D1419">
        <f>SUMPRODUCT(Calc!$K$3:$K$22*(Calc!$G$3:$G$22&gt;A1419)*(Calc!$G$3:$G$22&lt;B1419))</f>
        <v/>
      </c>
      <c r="E1419">
        <f>SUMPRODUCT(Calc!$K$3:$K$22*(Calc!$G$3:$G$22&gt;=B1419))</f>
        <v/>
      </c>
      <c r="F1419">
        <f>AND(k_n&gt;=5,B1419&gt;A1419+1E-9,C1419&gt;=2,D1419&gt;=1,E1419&gt;=2)</f>
        <v/>
      </c>
      <c r="G1419">
        <f>SUMPRODUCT(Calc!$K$3:$K$22*(Calc!$G$3:$G$22&gt;A1419)*(Calc!$G$3:$G$22-A1419))</f>
        <v/>
      </c>
      <c r="H1419">
        <f>SUMPRODUCT(Calc!$K$3:$K$22*(Calc!$G$3:$G$22&gt;B1419)*(Calc!$G$3:$G$22-B1419))</f>
        <v/>
      </c>
      <c r="I1419">
        <f>SUMPRODUCT(Calc!$K$3:$K$22*(Calc!$G$3:$G$22&gt;A1419)*(Calc!$G$3:$G$22-A1419)^2)</f>
        <v/>
      </c>
      <c r="J1419">
        <f>SUMPRODUCT(Calc!$K$3:$K$22*(Calc!$G$3:$G$22&gt;B1419)*(Calc!$G$3:$G$22-B1419)^2)</f>
        <v/>
      </c>
      <c r="K1419">
        <f>SUMPRODUCT(Calc!$K$3:$K$22*(Calc!$G$3:$G$22&gt;A1419)*(Calc!$G$3:$G$22-A1419)*(Calc!$G$3:$G$22&gt;B1419)*(Calc!$G$3:$G$22-B1419))</f>
        <v/>
      </c>
      <c r="L1419">
        <f>SUMPRODUCT(Calc!$K$3:$K$22*(Calc!$G$3:$G$22&gt;A1419)*(Calc!$G$3:$G$22-A1419)*Calc!$G$3:$G$22)</f>
        <v/>
      </c>
      <c r="M1419">
        <f>SUMPRODUCT(Calc!$K$3:$K$22*(Calc!$G$3:$G$22&gt;B1419)*(Calc!$G$3:$G$22-B1419)*Calc!$G$3:$G$22)</f>
        <v/>
      </c>
      <c r="N1419">
        <f>SUMPRODUCT(Calc!$K$3:$K$22*(Calc!$G$3:$G$22&gt;A1419)*(Calc!$G$3:$G$22-A1419)*Calc!$I$3:$I$22)</f>
        <v/>
      </c>
      <c r="O1419">
        <f>SUMPRODUCT(Calc!$K$3:$K$22*(Calc!$G$3:$G$22&gt;B1419)*(Calc!$G$3:$G$22-B1419)*Calc!$I$3:$I$22)</f>
        <v/>
      </c>
      <c r="P1419">
        <f>I1419-G1419^2/k_n</f>
        <v/>
      </c>
      <c r="Q1419">
        <f>J1419-H1419^2/k_n</f>
        <v/>
      </c>
      <c r="R1419">
        <f>K1419-G1419*H1419/k_n</f>
        <v/>
      </c>
      <c r="S1419">
        <f>L1419-LTP3!$D$3*G1419/k_n</f>
        <v/>
      </c>
      <c r="T1419">
        <f>M1419-LTP3!$D$3*H1419/k_n</f>
        <v/>
      </c>
      <c r="U1419">
        <f>N1419-G1419*LTP3!$D$4/k_n</f>
        <v/>
      </c>
      <c r="V1419">
        <f>O1419-H1419*LTP3!$D$4/k_n</f>
        <v/>
      </c>
      <c r="W1419">
        <f>((LTP3!$D$5)*((P1419)*(Q1419)-(R1419)*(R1419))-(S1419)*((S1419)*(Q1419)-(R1419)*(T1419))+(T1419)*((S1419)*(R1419)-(P1419)*(T1419)))</f>
        <v/>
      </c>
      <c r="X1419">
        <f>IF(ABS(W1419)&gt;1E-12,((LTP3!$D$6)*((P1419)*(Q1419)-(R1419)*(R1419))-(S1419)*((U1419)*(Q1419)-(R1419)*(V1419))+(T1419)*((U1419)*(R1419)-(P1419)*(V1419)))/W1419,0)</f>
        <v/>
      </c>
      <c r="Y1419">
        <f>IF(ABS(W1419)&gt;1E-12,((LTP3!$D$5)*((U1419)*(Q1419)-(R1419)*(V1419))-(LTP3!$D$6)*((S1419)*(Q1419)-(R1419)*(T1419))+(T1419)*((S1419)*(V1419)-(U1419)*(T1419)))/W1419,0)</f>
        <v/>
      </c>
      <c r="Z1419">
        <f>IF(ABS(W1419)&gt;1E-12,((LTP3!$D$5)*((P1419)*(V1419)-(U1419)*(R1419))-(S1419)*((S1419)*(V1419)-(U1419)*(T1419))+(LTP3!$D$6)*((S1419)*(R1419)-(P1419)*(T1419)))/W1419,0)</f>
        <v/>
      </c>
      <c r="AA1419">
        <f>LTP3!$D$7-X1419*LTP3!$D$6-Y1419*U1419-Z1419*V1419</f>
        <v/>
      </c>
      <c r="AB1419">
        <f>IF(AND(F1419,ABS(W1419)&gt;1E-12,Y1419&gt;0,Z1419&gt;0),AA1419,1E+300)</f>
        <v/>
      </c>
    </row>
    <row r="1420">
      <c r="A1420">
        <f>$B$3+$B$5*23</f>
        <v/>
      </c>
      <c r="B1420">
        <f>$B$3+$B$5*5</f>
        <v/>
      </c>
      <c r="C1420">
        <f>SUMPRODUCT(Calc!$K$3:$K$22*(Calc!$G$3:$G$22&lt;=A1420))</f>
        <v/>
      </c>
      <c r="D1420">
        <f>SUMPRODUCT(Calc!$K$3:$K$22*(Calc!$G$3:$G$22&gt;A1420)*(Calc!$G$3:$G$22&lt;B1420))</f>
        <v/>
      </c>
      <c r="E1420">
        <f>SUMPRODUCT(Calc!$K$3:$K$22*(Calc!$G$3:$G$22&gt;=B1420))</f>
        <v/>
      </c>
      <c r="F1420">
        <f>AND(k_n&gt;=5,B1420&gt;A1420+1E-9,C1420&gt;=2,D1420&gt;=1,E1420&gt;=2)</f>
        <v/>
      </c>
      <c r="G1420">
        <f>SUMPRODUCT(Calc!$K$3:$K$22*(Calc!$G$3:$G$22&gt;A1420)*(Calc!$G$3:$G$22-A1420))</f>
        <v/>
      </c>
      <c r="H1420">
        <f>SUMPRODUCT(Calc!$K$3:$K$22*(Calc!$G$3:$G$22&gt;B1420)*(Calc!$G$3:$G$22-B1420))</f>
        <v/>
      </c>
      <c r="I1420">
        <f>SUMPRODUCT(Calc!$K$3:$K$22*(Calc!$G$3:$G$22&gt;A1420)*(Calc!$G$3:$G$22-A1420)^2)</f>
        <v/>
      </c>
      <c r="J1420">
        <f>SUMPRODUCT(Calc!$K$3:$K$22*(Calc!$G$3:$G$22&gt;B1420)*(Calc!$G$3:$G$22-B1420)^2)</f>
        <v/>
      </c>
      <c r="K1420">
        <f>SUMPRODUCT(Calc!$K$3:$K$22*(Calc!$G$3:$G$22&gt;A1420)*(Calc!$G$3:$G$22-A1420)*(Calc!$G$3:$G$22&gt;B1420)*(Calc!$G$3:$G$22-B1420))</f>
        <v/>
      </c>
      <c r="L1420">
        <f>SUMPRODUCT(Calc!$K$3:$K$22*(Calc!$G$3:$G$22&gt;A1420)*(Calc!$G$3:$G$22-A1420)*Calc!$G$3:$G$22)</f>
        <v/>
      </c>
      <c r="M1420">
        <f>SUMPRODUCT(Calc!$K$3:$K$22*(Calc!$G$3:$G$22&gt;B1420)*(Calc!$G$3:$G$22-B1420)*Calc!$G$3:$G$22)</f>
        <v/>
      </c>
      <c r="N1420">
        <f>SUMPRODUCT(Calc!$K$3:$K$22*(Calc!$G$3:$G$22&gt;A1420)*(Calc!$G$3:$G$22-A1420)*Calc!$I$3:$I$22)</f>
        <v/>
      </c>
      <c r="O1420">
        <f>SUMPRODUCT(Calc!$K$3:$K$22*(Calc!$G$3:$G$22&gt;B1420)*(Calc!$G$3:$G$22-B1420)*Calc!$I$3:$I$22)</f>
        <v/>
      </c>
      <c r="P1420">
        <f>I1420-G1420^2/k_n</f>
        <v/>
      </c>
      <c r="Q1420">
        <f>J1420-H1420^2/k_n</f>
        <v/>
      </c>
      <c r="R1420">
        <f>K1420-G1420*H1420/k_n</f>
        <v/>
      </c>
      <c r="S1420">
        <f>L1420-LTP3!$D$3*G1420/k_n</f>
        <v/>
      </c>
      <c r="T1420">
        <f>M1420-LTP3!$D$3*H1420/k_n</f>
        <v/>
      </c>
      <c r="U1420">
        <f>N1420-G1420*LTP3!$D$4/k_n</f>
        <v/>
      </c>
      <c r="V1420">
        <f>O1420-H1420*LTP3!$D$4/k_n</f>
        <v/>
      </c>
      <c r="W1420">
        <f>((LTP3!$D$5)*((P1420)*(Q1420)-(R1420)*(R1420))-(S1420)*((S1420)*(Q1420)-(R1420)*(T1420))+(T1420)*((S1420)*(R1420)-(P1420)*(T1420)))</f>
        <v/>
      </c>
      <c r="X1420">
        <f>IF(ABS(W1420)&gt;1E-12,((LTP3!$D$6)*((P1420)*(Q1420)-(R1420)*(R1420))-(S1420)*((U1420)*(Q1420)-(R1420)*(V1420))+(T1420)*((U1420)*(R1420)-(P1420)*(V1420)))/W1420,0)</f>
        <v/>
      </c>
      <c r="Y1420">
        <f>IF(ABS(W1420)&gt;1E-12,((LTP3!$D$5)*((U1420)*(Q1420)-(R1420)*(V1420))-(LTP3!$D$6)*((S1420)*(Q1420)-(R1420)*(T1420))+(T1420)*((S1420)*(V1420)-(U1420)*(T1420)))/W1420,0)</f>
        <v/>
      </c>
      <c r="Z1420">
        <f>IF(ABS(W1420)&gt;1E-12,((LTP3!$D$5)*((P1420)*(V1420)-(U1420)*(R1420))-(S1420)*((S1420)*(V1420)-(U1420)*(T1420))+(LTP3!$D$6)*((S1420)*(R1420)-(P1420)*(T1420)))/W1420,0)</f>
        <v/>
      </c>
      <c r="AA1420">
        <f>LTP3!$D$7-X1420*LTP3!$D$6-Y1420*U1420-Z1420*V1420</f>
        <v/>
      </c>
      <c r="AB1420">
        <f>IF(AND(F1420,ABS(W1420)&gt;1E-12,Y1420&gt;0,Z1420&gt;0),AA1420,1E+300)</f>
        <v/>
      </c>
    </row>
    <row r="1421">
      <c r="A1421">
        <f>$B$3+$B$5*23</f>
        <v/>
      </c>
      <c r="B1421">
        <f>$B$3+$B$5*6</f>
        <v/>
      </c>
      <c r="C1421">
        <f>SUMPRODUCT(Calc!$K$3:$K$22*(Calc!$G$3:$G$22&lt;=A1421))</f>
        <v/>
      </c>
      <c r="D1421">
        <f>SUMPRODUCT(Calc!$K$3:$K$22*(Calc!$G$3:$G$22&gt;A1421)*(Calc!$G$3:$G$22&lt;B1421))</f>
        <v/>
      </c>
      <c r="E1421">
        <f>SUMPRODUCT(Calc!$K$3:$K$22*(Calc!$G$3:$G$22&gt;=B1421))</f>
        <v/>
      </c>
      <c r="F1421">
        <f>AND(k_n&gt;=5,B1421&gt;A1421+1E-9,C1421&gt;=2,D1421&gt;=1,E1421&gt;=2)</f>
        <v/>
      </c>
      <c r="G1421">
        <f>SUMPRODUCT(Calc!$K$3:$K$22*(Calc!$G$3:$G$22&gt;A1421)*(Calc!$G$3:$G$22-A1421))</f>
        <v/>
      </c>
      <c r="H1421">
        <f>SUMPRODUCT(Calc!$K$3:$K$22*(Calc!$G$3:$G$22&gt;B1421)*(Calc!$G$3:$G$22-B1421))</f>
        <v/>
      </c>
      <c r="I1421">
        <f>SUMPRODUCT(Calc!$K$3:$K$22*(Calc!$G$3:$G$22&gt;A1421)*(Calc!$G$3:$G$22-A1421)^2)</f>
        <v/>
      </c>
      <c r="J1421">
        <f>SUMPRODUCT(Calc!$K$3:$K$22*(Calc!$G$3:$G$22&gt;B1421)*(Calc!$G$3:$G$22-B1421)^2)</f>
        <v/>
      </c>
      <c r="K1421">
        <f>SUMPRODUCT(Calc!$K$3:$K$22*(Calc!$G$3:$G$22&gt;A1421)*(Calc!$G$3:$G$22-A1421)*(Calc!$G$3:$G$22&gt;B1421)*(Calc!$G$3:$G$22-B1421))</f>
        <v/>
      </c>
      <c r="L1421">
        <f>SUMPRODUCT(Calc!$K$3:$K$22*(Calc!$G$3:$G$22&gt;A1421)*(Calc!$G$3:$G$22-A1421)*Calc!$G$3:$G$22)</f>
        <v/>
      </c>
      <c r="M1421">
        <f>SUMPRODUCT(Calc!$K$3:$K$22*(Calc!$G$3:$G$22&gt;B1421)*(Calc!$G$3:$G$22-B1421)*Calc!$G$3:$G$22)</f>
        <v/>
      </c>
      <c r="N1421">
        <f>SUMPRODUCT(Calc!$K$3:$K$22*(Calc!$G$3:$G$22&gt;A1421)*(Calc!$G$3:$G$22-A1421)*Calc!$I$3:$I$22)</f>
        <v/>
      </c>
      <c r="O1421">
        <f>SUMPRODUCT(Calc!$K$3:$K$22*(Calc!$G$3:$G$22&gt;B1421)*(Calc!$G$3:$G$22-B1421)*Calc!$I$3:$I$22)</f>
        <v/>
      </c>
      <c r="P1421">
        <f>I1421-G1421^2/k_n</f>
        <v/>
      </c>
      <c r="Q1421">
        <f>J1421-H1421^2/k_n</f>
        <v/>
      </c>
      <c r="R1421">
        <f>K1421-G1421*H1421/k_n</f>
        <v/>
      </c>
      <c r="S1421">
        <f>L1421-LTP3!$D$3*G1421/k_n</f>
        <v/>
      </c>
      <c r="T1421">
        <f>M1421-LTP3!$D$3*H1421/k_n</f>
        <v/>
      </c>
      <c r="U1421">
        <f>N1421-G1421*LTP3!$D$4/k_n</f>
        <v/>
      </c>
      <c r="V1421">
        <f>O1421-H1421*LTP3!$D$4/k_n</f>
        <v/>
      </c>
      <c r="W1421">
        <f>((LTP3!$D$5)*((P1421)*(Q1421)-(R1421)*(R1421))-(S1421)*((S1421)*(Q1421)-(R1421)*(T1421))+(T1421)*((S1421)*(R1421)-(P1421)*(T1421)))</f>
        <v/>
      </c>
      <c r="X1421">
        <f>IF(ABS(W1421)&gt;1E-12,((LTP3!$D$6)*((P1421)*(Q1421)-(R1421)*(R1421))-(S1421)*((U1421)*(Q1421)-(R1421)*(V1421))+(T1421)*((U1421)*(R1421)-(P1421)*(V1421)))/W1421,0)</f>
        <v/>
      </c>
      <c r="Y1421">
        <f>IF(ABS(W1421)&gt;1E-12,((LTP3!$D$5)*((U1421)*(Q1421)-(R1421)*(V1421))-(LTP3!$D$6)*((S1421)*(Q1421)-(R1421)*(T1421))+(T1421)*((S1421)*(V1421)-(U1421)*(T1421)))/W1421,0)</f>
        <v/>
      </c>
      <c r="Z1421">
        <f>IF(ABS(W1421)&gt;1E-12,((LTP3!$D$5)*((P1421)*(V1421)-(U1421)*(R1421))-(S1421)*((S1421)*(V1421)-(U1421)*(T1421))+(LTP3!$D$6)*((S1421)*(R1421)-(P1421)*(T1421)))/W1421,0)</f>
        <v/>
      </c>
      <c r="AA1421">
        <f>LTP3!$D$7-X1421*LTP3!$D$6-Y1421*U1421-Z1421*V1421</f>
        <v/>
      </c>
      <c r="AB1421">
        <f>IF(AND(F1421,ABS(W1421)&gt;1E-12,Y1421&gt;0,Z1421&gt;0),AA1421,1E+300)</f>
        <v/>
      </c>
    </row>
    <row r="1422">
      <c r="A1422">
        <f>$B$3+$B$5*23</f>
        <v/>
      </c>
      <c r="B1422">
        <f>$B$3+$B$5*7</f>
        <v/>
      </c>
      <c r="C1422">
        <f>SUMPRODUCT(Calc!$K$3:$K$22*(Calc!$G$3:$G$22&lt;=A1422))</f>
        <v/>
      </c>
      <c r="D1422">
        <f>SUMPRODUCT(Calc!$K$3:$K$22*(Calc!$G$3:$G$22&gt;A1422)*(Calc!$G$3:$G$22&lt;B1422))</f>
        <v/>
      </c>
      <c r="E1422">
        <f>SUMPRODUCT(Calc!$K$3:$K$22*(Calc!$G$3:$G$22&gt;=B1422))</f>
        <v/>
      </c>
      <c r="F1422">
        <f>AND(k_n&gt;=5,B1422&gt;A1422+1E-9,C1422&gt;=2,D1422&gt;=1,E1422&gt;=2)</f>
        <v/>
      </c>
      <c r="G1422">
        <f>SUMPRODUCT(Calc!$K$3:$K$22*(Calc!$G$3:$G$22&gt;A1422)*(Calc!$G$3:$G$22-A1422))</f>
        <v/>
      </c>
      <c r="H1422">
        <f>SUMPRODUCT(Calc!$K$3:$K$22*(Calc!$G$3:$G$22&gt;B1422)*(Calc!$G$3:$G$22-B1422))</f>
        <v/>
      </c>
      <c r="I1422">
        <f>SUMPRODUCT(Calc!$K$3:$K$22*(Calc!$G$3:$G$22&gt;A1422)*(Calc!$G$3:$G$22-A1422)^2)</f>
        <v/>
      </c>
      <c r="J1422">
        <f>SUMPRODUCT(Calc!$K$3:$K$22*(Calc!$G$3:$G$22&gt;B1422)*(Calc!$G$3:$G$22-B1422)^2)</f>
        <v/>
      </c>
      <c r="K1422">
        <f>SUMPRODUCT(Calc!$K$3:$K$22*(Calc!$G$3:$G$22&gt;A1422)*(Calc!$G$3:$G$22-A1422)*(Calc!$G$3:$G$22&gt;B1422)*(Calc!$G$3:$G$22-B1422))</f>
        <v/>
      </c>
      <c r="L1422">
        <f>SUMPRODUCT(Calc!$K$3:$K$22*(Calc!$G$3:$G$22&gt;A1422)*(Calc!$G$3:$G$22-A1422)*Calc!$G$3:$G$22)</f>
        <v/>
      </c>
      <c r="M1422">
        <f>SUMPRODUCT(Calc!$K$3:$K$22*(Calc!$G$3:$G$22&gt;B1422)*(Calc!$G$3:$G$22-B1422)*Calc!$G$3:$G$22)</f>
        <v/>
      </c>
      <c r="N1422">
        <f>SUMPRODUCT(Calc!$K$3:$K$22*(Calc!$G$3:$G$22&gt;A1422)*(Calc!$G$3:$G$22-A1422)*Calc!$I$3:$I$22)</f>
        <v/>
      </c>
      <c r="O1422">
        <f>SUMPRODUCT(Calc!$K$3:$K$22*(Calc!$G$3:$G$22&gt;B1422)*(Calc!$G$3:$G$22-B1422)*Calc!$I$3:$I$22)</f>
        <v/>
      </c>
      <c r="P1422">
        <f>I1422-G1422^2/k_n</f>
        <v/>
      </c>
      <c r="Q1422">
        <f>J1422-H1422^2/k_n</f>
        <v/>
      </c>
      <c r="R1422">
        <f>K1422-G1422*H1422/k_n</f>
        <v/>
      </c>
      <c r="S1422">
        <f>L1422-LTP3!$D$3*G1422/k_n</f>
        <v/>
      </c>
      <c r="T1422">
        <f>M1422-LTP3!$D$3*H1422/k_n</f>
        <v/>
      </c>
      <c r="U1422">
        <f>N1422-G1422*LTP3!$D$4/k_n</f>
        <v/>
      </c>
      <c r="V1422">
        <f>O1422-H1422*LTP3!$D$4/k_n</f>
        <v/>
      </c>
      <c r="W1422">
        <f>((LTP3!$D$5)*((P1422)*(Q1422)-(R1422)*(R1422))-(S1422)*((S1422)*(Q1422)-(R1422)*(T1422))+(T1422)*((S1422)*(R1422)-(P1422)*(T1422)))</f>
        <v/>
      </c>
      <c r="X1422">
        <f>IF(ABS(W1422)&gt;1E-12,((LTP3!$D$6)*((P1422)*(Q1422)-(R1422)*(R1422))-(S1422)*((U1422)*(Q1422)-(R1422)*(V1422))+(T1422)*((U1422)*(R1422)-(P1422)*(V1422)))/W1422,0)</f>
        <v/>
      </c>
      <c r="Y1422">
        <f>IF(ABS(W1422)&gt;1E-12,((LTP3!$D$5)*((U1422)*(Q1422)-(R1422)*(V1422))-(LTP3!$D$6)*((S1422)*(Q1422)-(R1422)*(T1422))+(T1422)*((S1422)*(V1422)-(U1422)*(T1422)))/W1422,0)</f>
        <v/>
      </c>
      <c r="Z1422">
        <f>IF(ABS(W1422)&gt;1E-12,((LTP3!$D$5)*((P1422)*(V1422)-(U1422)*(R1422))-(S1422)*((S1422)*(V1422)-(U1422)*(T1422))+(LTP3!$D$6)*((S1422)*(R1422)-(P1422)*(T1422)))/W1422,0)</f>
        <v/>
      </c>
      <c r="AA1422">
        <f>LTP3!$D$7-X1422*LTP3!$D$6-Y1422*U1422-Z1422*V1422</f>
        <v/>
      </c>
      <c r="AB1422">
        <f>IF(AND(F1422,ABS(W1422)&gt;1E-12,Y1422&gt;0,Z1422&gt;0),AA1422,1E+300)</f>
        <v/>
      </c>
    </row>
    <row r="1423">
      <c r="A1423">
        <f>$B$3+$B$5*23</f>
        <v/>
      </c>
      <c r="B1423">
        <f>$B$3+$B$5*8</f>
        <v/>
      </c>
      <c r="C1423">
        <f>SUMPRODUCT(Calc!$K$3:$K$22*(Calc!$G$3:$G$22&lt;=A1423))</f>
        <v/>
      </c>
      <c r="D1423">
        <f>SUMPRODUCT(Calc!$K$3:$K$22*(Calc!$G$3:$G$22&gt;A1423)*(Calc!$G$3:$G$22&lt;B1423))</f>
        <v/>
      </c>
      <c r="E1423">
        <f>SUMPRODUCT(Calc!$K$3:$K$22*(Calc!$G$3:$G$22&gt;=B1423))</f>
        <v/>
      </c>
      <c r="F1423">
        <f>AND(k_n&gt;=5,B1423&gt;A1423+1E-9,C1423&gt;=2,D1423&gt;=1,E1423&gt;=2)</f>
        <v/>
      </c>
      <c r="G1423">
        <f>SUMPRODUCT(Calc!$K$3:$K$22*(Calc!$G$3:$G$22&gt;A1423)*(Calc!$G$3:$G$22-A1423))</f>
        <v/>
      </c>
      <c r="H1423">
        <f>SUMPRODUCT(Calc!$K$3:$K$22*(Calc!$G$3:$G$22&gt;B1423)*(Calc!$G$3:$G$22-B1423))</f>
        <v/>
      </c>
      <c r="I1423">
        <f>SUMPRODUCT(Calc!$K$3:$K$22*(Calc!$G$3:$G$22&gt;A1423)*(Calc!$G$3:$G$22-A1423)^2)</f>
        <v/>
      </c>
      <c r="J1423">
        <f>SUMPRODUCT(Calc!$K$3:$K$22*(Calc!$G$3:$G$22&gt;B1423)*(Calc!$G$3:$G$22-B1423)^2)</f>
        <v/>
      </c>
      <c r="K1423">
        <f>SUMPRODUCT(Calc!$K$3:$K$22*(Calc!$G$3:$G$22&gt;A1423)*(Calc!$G$3:$G$22-A1423)*(Calc!$G$3:$G$22&gt;B1423)*(Calc!$G$3:$G$22-B1423))</f>
        <v/>
      </c>
      <c r="L1423">
        <f>SUMPRODUCT(Calc!$K$3:$K$22*(Calc!$G$3:$G$22&gt;A1423)*(Calc!$G$3:$G$22-A1423)*Calc!$G$3:$G$22)</f>
        <v/>
      </c>
      <c r="M1423">
        <f>SUMPRODUCT(Calc!$K$3:$K$22*(Calc!$G$3:$G$22&gt;B1423)*(Calc!$G$3:$G$22-B1423)*Calc!$G$3:$G$22)</f>
        <v/>
      </c>
      <c r="N1423">
        <f>SUMPRODUCT(Calc!$K$3:$K$22*(Calc!$G$3:$G$22&gt;A1423)*(Calc!$G$3:$G$22-A1423)*Calc!$I$3:$I$22)</f>
        <v/>
      </c>
      <c r="O1423">
        <f>SUMPRODUCT(Calc!$K$3:$K$22*(Calc!$G$3:$G$22&gt;B1423)*(Calc!$G$3:$G$22-B1423)*Calc!$I$3:$I$22)</f>
        <v/>
      </c>
      <c r="P1423">
        <f>I1423-G1423^2/k_n</f>
        <v/>
      </c>
      <c r="Q1423">
        <f>J1423-H1423^2/k_n</f>
        <v/>
      </c>
      <c r="R1423">
        <f>K1423-G1423*H1423/k_n</f>
        <v/>
      </c>
      <c r="S1423">
        <f>L1423-LTP3!$D$3*G1423/k_n</f>
        <v/>
      </c>
      <c r="T1423">
        <f>M1423-LTP3!$D$3*H1423/k_n</f>
        <v/>
      </c>
      <c r="U1423">
        <f>N1423-G1423*LTP3!$D$4/k_n</f>
        <v/>
      </c>
      <c r="V1423">
        <f>O1423-H1423*LTP3!$D$4/k_n</f>
        <v/>
      </c>
      <c r="W1423">
        <f>((LTP3!$D$5)*((P1423)*(Q1423)-(R1423)*(R1423))-(S1423)*((S1423)*(Q1423)-(R1423)*(T1423))+(T1423)*((S1423)*(R1423)-(P1423)*(T1423)))</f>
        <v/>
      </c>
      <c r="X1423">
        <f>IF(ABS(W1423)&gt;1E-12,((LTP3!$D$6)*((P1423)*(Q1423)-(R1423)*(R1423))-(S1423)*((U1423)*(Q1423)-(R1423)*(V1423))+(T1423)*((U1423)*(R1423)-(P1423)*(V1423)))/W1423,0)</f>
        <v/>
      </c>
      <c r="Y1423">
        <f>IF(ABS(W1423)&gt;1E-12,((LTP3!$D$5)*((U1423)*(Q1423)-(R1423)*(V1423))-(LTP3!$D$6)*((S1423)*(Q1423)-(R1423)*(T1423))+(T1423)*((S1423)*(V1423)-(U1423)*(T1423)))/W1423,0)</f>
        <v/>
      </c>
      <c r="Z1423">
        <f>IF(ABS(W1423)&gt;1E-12,((LTP3!$D$5)*((P1423)*(V1423)-(U1423)*(R1423))-(S1423)*((S1423)*(V1423)-(U1423)*(T1423))+(LTP3!$D$6)*((S1423)*(R1423)-(P1423)*(T1423)))/W1423,0)</f>
        <v/>
      </c>
      <c r="AA1423">
        <f>LTP3!$D$7-X1423*LTP3!$D$6-Y1423*U1423-Z1423*V1423</f>
        <v/>
      </c>
      <c r="AB1423">
        <f>IF(AND(F1423,ABS(W1423)&gt;1E-12,Y1423&gt;0,Z1423&gt;0),AA1423,1E+300)</f>
        <v/>
      </c>
    </row>
    <row r="1424">
      <c r="A1424">
        <f>$B$3+$B$5*23</f>
        <v/>
      </c>
      <c r="B1424">
        <f>$B$3+$B$5*9</f>
        <v/>
      </c>
      <c r="C1424">
        <f>SUMPRODUCT(Calc!$K$3:$K$22*(Calc!$G$3:$G$22&lt;=A1424))</f>
        <v/>
      </c>
      <c r="D1424">
        <f>SUMPRODUCT(Calc!$K$3:$K$22*(Calc!$G$3:$G$22&gt;A1424)*(Calc!$G$3:$G$22&lt;B1424))</f>
        <v/>
      </c>
      <c r="E1424">
        <f>SUMPRODUCT(Calc!$K$3:$K$22*(Calc!$G$3:$G$22&gt;=B1424))</f>
        <v/>
      </c>
      <c r="F1424">
        <f>AND(k_n&gt;=5,B1424&gt;A1424+1E-9,C1424&gt;=2,D1424&gt;=1,E1424&gt;=2)</f>
        <v/>
      </c>
      <c r="G1424">
        <f>SUMPRODUCT(Calc!$K$3:$K$22*(Calc!$G$3:$G$22&gt;A1424)*(Calc!$G$3:$G$22-A1424))</f>
        <v/>
      </c>
      <c r="H1424">
        <f>SUMPRODUCT(Calc!$K$3:$K$22*(Calc!$G$3:$G$22&gt;B1424)*(Calc!$G$3:$G$22-B1424))</f>
        <v/>
      </c>
      <c r="I1424">
        <f>SUMPRODUCT(Calc!$K$3:$K$22*(Calc!$G$3:$G$22&gt;A1424)*(Calc!$G$3:$G$22-A1424)^2)</f>
        <v/>
      </c>
      <c r="J1424">
        <f>SUMPRODUCT(Calc!$K$3:$K$22*(Calc!$G$3:$G$22&gt;B1424)*(Calc!$G$3:$G$22-B1424)^2)</f>
        <v/>
      </c>
      <c r="K1424">
        <f>SUMPRODUCT(Calc!$K$3:$K$22*(Calc!$G$3:$G$22&gt;A1424)*(Calc!$G$3:$G$22-A1424)*(Calc!$G$3:$G$22&gt;B1424)*(Calc!$G$3:$G$22-B1424))</f>
        <v/>
      </c>
      <c r="L1424">
        <f>SUMPRODUCT(Calc!$K$3:$K$22*(Calc!$G$3:$G$22&gt;A1424)*(Calc!$G$3:$G$22-A1424)*Calc!$G$3:$G$22)</f>
        <v/>
      </c>
      <c r="M1424">
        <f>SUMPRODUCT(Calc!$K$3:$K$22*(Calc!$G$3:$G$22&gt;B1424)*(Calc!$G$3:$G$22-B1424)*Calc!$G$3:$G$22)</f>
        <v/>
      </c>
      <c r="N1424">
        <f>SUMPRODUCT(Calc!$K$3:$K$22*(Calc!$G$3:$G$22&gt;A1424)*(Calc!$G$3:$G$22-A1424)*Calc!$I$3:$I$22)</f>
        <v/>
      </c>
      <c r="O1424">
        <f>SUMPRODUCT(Calc!$K$3:$K$22*(Calc!$G$3:$G$22&gt;B1424)*(Calc!$G$3:$G$22-B1424)*Calc!$I$3:$I$22)</f>
        <v/>
      </c>
      <c r="P1424">
        <f>I1424-G1424^2/k_n</f>
        <v/>
      </c>
      <c r="Q1424">
        <f>J1424-H1424^2/k_n</f>
        <v/>
      </c>
      <c r="R1424">
        <f>K1424-G1424*H1424/k_n</f>
        <v/>
      </c>
      <c r="S1424">
        <f>L1424-LTP3!$D$3*G1424/k_n</f>
        <v/>
      </c>
      <c r="T1424">
        <f>M1424-LTP3!$D$3*H1424/k_n</f>
        <v/>
      </c>
      <c r="U1424">
        <f>N1424-G1424*LTP3!$D$4/k_n</f>
        <v/>
      </c>
      <c r="V1424">
        <f>O1424-H1424*LTP3!$D$4/k_n</f>
        <v/>
      </c>
      <c r="W1424">
        <f>((LTP3!$D$5)*((P1424)*(Q1424)-(R1424)*(R1424))-(S1424)*((S1424)*(Q1424)-(R1424)*(T1424))+(T1424)*((S1424)*(R1424)-(P1424)*(T1424)))</f>
        <v/>
      </c>
      <c r="X1424">
        <f>IF(ABS(W1424)&gt;1E-12,((LTP3!$D$6)*((P1424)*(Q1424)-(R1424)*(R1424))-(S1424)*((U1424)*(Q1424)-(R1424)*(V1424))+(T1424)*((U1424)*(R1424)-(P1424)*(V1424)))/W1424,0)</f>
        <v/>
      </c>
      <c r="Y1424">
        <f>IF(ABS(W1424)&gt;1E-12,((LTP3!$D$5)*((U1424)*(Q1424)-(R1424)*(V1424))-(LTP3!$D$6)*((S1424)*(Q1424)-(R1424)*(T1424))+(T1424)*((S1424)*(V1424)-(U1424)*(T1424)))/W1424,0)</f>
        <v/>
      </c>
      <c r="Z1424">
        <f>IF(ABS(W1424)&gt;1E-12,((LTP3!$D$5)*((P1424)*(V1424)-(U1424)*(R1424))-(S1424)*((S1424)*(V1424)-(U1424)*(T1424))+(LTP3!$D$6)*((S1424)*(R1424)-(P1424)*(T1424)))/W1424,0)</f>
        <v/>
      </c>
      <c r="AA1424">
        <f>LTP3!$D$7-X1424*LTP3!$D$6-Y1424*U1424-Z1424*V1424</f>
        <v/>
      </c>
      <c r="AB1424">
        <f>IF(AND(F1424,ABS(W1424)&gt;1E-12,Y1424&gt;0,Z1424&gt;0),AA1424,1E+300)</f>
        <v/>
      </c>
    </row>
    <row r="1425">
      <c r="A1425">
        <f>$B$3+$B$5*23</f>
        <v/>
      </c>
      <c r="B1425">
        <f>$B$3+$B$5*10</f>
        <v/>
      </c>
      <c r="C1425">
        <f>SUMPRODUCT(Calc!$K$3:$K$22*(Calc!$G$3:$G$22&lt;=A1425))</f>
        <v/>
      </c>
      <c r="D1425">
        <f>SUMPRODUCT(Calc!$K$3:$K$22*(Calc!$G$3:$G$22&gt;A1425)*(Calc!$G$3:$G$22&lt;B1425))</f>
        <v/>
      </c>
      <c r="E1425">
        <f>SUMPRODUCT(Calc!$K$3:$K$22*(Calc!$G$3:$G$22&gt;=B1425))</f>
        <v/>
      </c>
      <c r="F1425">
        <f>AND(k_n&gt;=5,B1425&gt;A1425+1E-9,C1425&gt;=2,D1425&gt;=1,E1425&gt;=2)</f>
        <v/>
      </c>
      <c r="G1425">
        <f>SUMPRODUCT(Calc!$K$3:$K$22*(Calc!$G$3:$G$22&gt;A1425)*(Calc!$G$3:$G$22-A1425))</f>
        <v/>
      </c>
      <c r="H1425">
        <f>SUMPRODUCT(Calc!$K$3:$K$22*(Calc!$G$3:$G$22&gt;B1425)*(Calc!$G$3:$G$22-B1425))</f>
        <v/>
      </c>
      <c r="I1425">
        <f>SUMPRODUCT(Calc!$K$3:$K$22*(Calc!$G$3:$G$22&gt;A1425)*(Calc!$G$3:$G$22-A1425)^2)</f>
        <v/>
      </c>
      <c r="J1425">
        <f>SUMPRODUCT(Calc!$K$3:$K$22*(Calc!$G$3:$G$22&gt;B1425)*(Calc!$G$3:$G$22-B1425)^2)</f>
        <v/>
      </c>
      <c r="K1425">
        <f>SUMPRODUCT(Calc!$K$3:$K$22*(Calc!$G$3:$G$22&gt;A1425)*(Calc!$G$3:$G$22-A1425)*(Calc!$G$3:$G$22&gt;B1425)*(Calc!$G$3:$G$22-B1425))</f>
        <v/>
      </c>
      <c r="L1425">
        <f>SUMPRODUCT(Calc!$K$3:$K$22*(Calc!$G$3:$G$22&gt;A1425)*(Calc!$G$3:$G$22-A1425)*Calc!$G$3:$G$22)</f>
        <v/>
      </c>
      <c r="M1425">
        <f>SUMPRODUCT(Calc!$K$3:$K$22*(Calc!$G$3:$G$22&gt;B1425)*(Calc!$G$3:$G$22-B1425)*Calc!$G$3:$G$22)</f>
        <v/>
      </c>
      <c r="N1425">
        <f>SUMPRODUCT(Calc!$K$3:$K$22*(Calc!$G$3:$G$22&gt;A1425)*(Calc!$G$3:$G$22-A1425)*Calc!$I$3:$I$22)</f>
        <v/>
      </c>
      <c r="O1425">
        <f>SUMPRODUCT(Calc!$K$3:$K$22*(Calc!$G$3:$G$22&gt;B1425)*(Calc!$G$3:$G$22-B1425)*Calc!$I$3:$I$22)</f>
        <v/>
      </c>
      <c r="P1425">
        <f>I1425-G1425^2/k_n</f>
        <v/>
      </c>
      <c r="Q1425">
        <f>J1425-H1425^2/k_n</f>
        <v/>
      </c>
      <c r="R1425">
        <f>K1425-G1425*H1425/k_n</f>
        <v/>
      </c>
      <c r="S1425">
        <f>L1425-LTP3!$D$3*G1425/k_n</f>
        <v/>
      </c>
      <c r="T1425">
        <f>M1425-LTP3!$D$3*H1425/k_n</f>
        <v/>
      </c>
      <c r="U1425">
        <f>N1425-G1425*LTP3!$D$4/k_n</f>
        <v/>
      </c>
      <c r="V1425">
        <f>O1425-H1425*LTP3!$D$4/k_n</f>
        <v/>
      </c>
      <c r="W1425">
        <f>((LTP3!$D$5)*((P1425)*(Q1425)-(R1425)*(R1425))-(S1425)*((S1425)*(Q1425)-(R1425)*(T1425))+(T1425)*((S1425)*(R1425)-(P1425)*(T1425)))</f>
        <v/>
      </c>
      <c r="X1425">
        <f>IF(ABS(W1425)&gt;1E-12,((LTP3!$D$6)*((P1425)*(Q1425)-(R1425)*(R1425))-(S1425)*((U1425)*(Q1425)-(R1425)*(V1425))+(T1425)*((U1425)*(R1425)-(P1425)*(V1425)))/W1425,0)</f>
        <v/>
      </c>
      <c r="Y1425">
        <f>IF(ABS(W1425)&gt;1E-12,((LTP3!$D$5)*((U1425)*(Q1425)-(R1425)*(V1425))-(LTP3!$D$6)*((S1425)*(Q1425)-(R1425)*(T1425))+(T1425)*((S1425)*(V1425)-(U1425)*(T1425)))/W1425,0)</f>
        <v/>
      </c>
      <c r="Z1425">
        <f>IF(ABS(W1425)&gt;1E-12,((LTP3!$D$5)*((P1425)*(V1425)-(U1425)*(R1425))-(S1425)*((S1425)*(V1425)-(U1425)*(T1425))+(LTP3!$D$6)*((S1425)*(R1425)-(P1425)*(T1425)))/W1425,0)</f>
        <v/>
      </c>
      <c r="AA1425">
        <f>LTP3!$D$7-X1425*LTP3!$D$6-Y1425*U1425-Z1425*V1425</f>
        <v/>
      </c>
      <c r="AB1425">
        <f>IF(AND(F1425,ABS(W1425)&gt;1E-12,Y1425&gt;0,Z1425&gt;0),AA1425,1E+300)</f>
        <v/>
      </c>
    </row>
    <row r="1426">
      <c r="A1426">
        <f>$B$3+$B$5*23</f>
        <v/>
      </c>
      <c r="B1426">
        <f>$B$3+$B$5*11</f>
        <v/>
      </c>
      <c r="C1426">
        <f>SUMPRODUCT(Calc!$K$3:$K$22*(Calc!$G$3:$G$22&lt;=A1426))</f>
        <v/>
      </c>
      <c r="D1426">
        <f>SUMPRODUCT(Calc!$K$3:$K$22*(Calc!$G$3:$G$22&gt;A1426)*(Calc!$G$3:$G$22&lt;B1426))</f>
        <v/>
      </c>
      <c r="E1426">
        <f>SUMPRODUCT(Calc!$K$3:$K$22*(Calc!$G$3:$G$22&gt;=B1426))</f>
        <v/>
      </c>
      <c r="F1426">
        <f>AND(k_n&gt;=5,B1426&gt;A1426+1E-9,C1426&gt;=2,D1426&gt;=1,E1426&gt;=2)</f>
        <v/>
      </c>
      <c r="G1426">
        <f>SUMPRODUCT(Calc!$K$3:$K$22*(Calc!$G$3:$G$22&gt;A1426)*(Calc!$G$3:$G$22-A1426))</f>
        <v/>
      </c>
      <c r="H1426">
        <f>SUMPRODUCT(Calc!$K$3:$K$22*(Calc!$G$3:$G$22&gt;B1426)*(Calc!$G$3:$G$22-B1426))</f>
        <v/>
      </c>
      <c r="I1426">
        <f>SUMPRODUCT(Calc!$K$3:$K$22*(Calc!$G$3:$G$22&gt;A1426)*(Calc!$G$3:$G$22-A1426)^2)</f>
        <v/>
      </c>
      <c r="J1426">
        <f>SUMPRODUCT(Calc!$K$3:$K$22*(Calc!$G$3:$G$22&gt;B1426)*(Calc!$G$3:$G$22-B1426)^2)</f>
        <v/>
      </c>
      <c r="K1426">
        <f>SUMPRODUCT(Calc!$K$3:$K$22*(Calc!$G$3:$G$22&gt;A1426)*(Calc!$G$3:$G$22-A1426)*(Calc!$G$3:$G$22&gt;B1426)*(Calc!$G$3:$G$22-B1426))</f>
        <v/>
      </c>
      <c r="L1426">
        <f>SUMPRODUCT(Calc!$K$3:$K$22*(Calc!$G$3:$G$22&gt;A1426)*(Calc!$G$3:$G$22-A1426)*Calc!$G$3:$G$22)</f>
        <v/>
      </c>
      <c r="M1426">
        <f>SUMPRODUCT(Calc!$K$3:$K$22*(Calc!$G$3:$G$22&gt;B1426)*(Calc!$G$3:$G$22-B1426)*Calc!$G$3:$G$22)</f>
        <v/>
      </c>
      <c r="N1426">
        <f>SUMPRODUCT(Calc!$K$3:$K$22*(Calc!$G$3:$G$22&gt;A1426)*(Calc!$G$3:$G$22-A1426)*Calc!$I$3:$I$22)</f>
        <v/>
      </c>
      <c r="O1426">
        <f>SUMPRODUCT(Calc!$K$3:$K$22*(Calc!$G$3:$G$22&gt;B1426)*(Calc!$G$3:$G$22-B1426)*Calc!$I$3:$I$22)</f>
        <v/>
      </c>
      <c r="P1426">
        <f>I1426-G1426^2/k_n</f>
        <v/>
      </c>
      <c r="Q1426">
        <f>J1426-H1426^2/k_n</f>
        <v/>
      </c>
      <c r="R1426">
        <f>K1426-G1426*H1426/k_n</f>
        <v/>
      </c>
      <c r="S1426">
        <f>L1426-LTP3!$D$3*G1426/k_n</f>
        <v/>
      </c>
      <c r="T1426">
        <f>M1426-LTP3!$D$3*H1426/k_n</f>
        <v/>
      </c>
      <c r="U1426">
        <f>N1426-G1426*LTP3!$D$4/k_n</f>
        <v/>
      </c>
      <c r="V1426">
        <f>O1426-H1426*LTP3!$D$4/k_n</f>
        <v/>
      </c>
      <c r="W1426">
        <f>((LTP3!$D$5)*((P1426)*(Q1426)-(R1426)*(R1426))-(S1426)*((S1426)*(Q1426)-(R1426)*(T1426))+(T1426)*((S1426)*(R1426)-(P1426)*(T1426)))</f>
        <v/>
      </c>
      <c r="X1426">
        <f>IF(ABS(W1426)&gt;1E-12,((LTP3!$D$6)*((P1426)*(Q1426)-(R1426)*(R1426))-(S1426)*((U1426)*(Q1426)-(R1426)*(V1426))+(T1426)*((U1426)*(R1426)-(P1426)*(V1426)))/W1426,0)</f>
        <v/>
      </c>
      <c r="Y1426">
        <f>IF(ABS(W1426)&gt;1E-12,((LTP3!$D$5)*((U1426)*(Q1426)-(R1426)*(V1426))-(LTP3!$D$6)*((S1426)*(Q1426)-(R1426)*(T1426))+(T1426)*((S1426)*(V1426)-(U1426)*(T1426)))/W1426,0)</f>
        <v/>
      </c>
      <c r="Z1426">
        <f>IF(ABS(W1426)&gt;1E-12,((LTP3!$D$5)*((P1426)*(V1426)-(U1426)*(R1426))-(S1426)*((S1426)*(V1426)-(U1426)*(T1426))+(LTP3!$D$6)*((S1426)*(R1426)-(P1426)*(T1426)))/W1426,0)</f>
        <v/>
      </c>
      <c r="AA1426">
        <f>LTP3!$D$7-X1426*LTP3!$D$6-Y1426*U1426-Z1426*V1426</f>
        <v/>
      </c>
      <c r="AB1426">
        <f>IF(AND(F1426,ABS(W1426)&gt;1E-12,Y1426&gt;0,Z1426&gt;0),AA1426,1E+300)</f>
        <v/>
      </c>
    </row>
    <row r="1427">
      <c r="A1427">
        <f>$B$3+$B$5*23</f>
        <v/>
      </c>
      <c r="B1427">
        <f>$B$3+$B$5*12</f>
        <v/>
      </c>
      <c r="C1427">
        <f>SUMPRODUCT(Calc!$K$3:$K$22*(Calc!$G$3:$G$22&lt;=A1427))</f>
        <v/>
      </c>
      <c r="D1427">
        <f>SUMPRODUCT(Calc!$K$3:$K$22*(Calc!$G$3:$G$22&gt;A1427)*(Calc!$G$3:$G$22&lt;B1427))</f>
        <v/>
      </c>
      <c r="E1427">
        <f>SUMPRODUCT(Calc!$K$3:$K$22*(Calc!$G$3:$G$22&gt;=B1427))</f>
        <v/>
      </c>
      <c r="F1427">
        <f>AND(k_n&gt;=5,B1427&gt;A1427+1E-9,C1427&gt;=2,D1427&gt;=1,E1427&gt;=2)</f>
        <v/>
      </c>
      <c r="G1427">
        <f>SUMPRODUCT(Calc!$K$3:$K$22*(Calc!$G$3:$G$22&gt;A1427)*(Calc!$G$3:$G$22-A1427))</f>
        <v/>
      </c>
      <c r="H1427">
        <f>SUMPRODUCT(Calc!$K$3:$K$22*(Calc!$G$3:$G$22&gt;B1427)*(Calc!$G$3:$G$22-B1427))</f>
        <v/>
      </c>
      <c r="I1427">
        <f>SUMPRODUCT(Calc!$K$3:$K$22*(Calc!$G$3:$G$22&gt;A1427)*(Calc!$G$3:$G$22-A1427)^2)</f>
        <v/>
      </c>
      <c r="J1427">
        <f>SUMPRODUCT(Calc!$K$3:$K$22*(Calc!$G$3:$G$22&gt;B1427)*(Calc!$G$3:$G$22-B1427)^2)</f>
        <v/>
      </c>
      <c r="K1427">
        <f>SUMPRODUCT(Calc!$K$3:$K$22*(Calc!$G$3:$G$22&gt;A1427)*(Calc!$G$3:$G$22-A1427)*(Calc!$G$3:$G$22&gt;B1427)*(Calc!$G$3:$G$22-B1427))</f>
        <v/>
      </c>
      <c r="L1427">
        <f>SUMPRODUCT(Calc!$K$3:$K$22*(Calc!$G$3:$G$22&gt;A1427)*(Calc!$G$3:$G$22-A1427)*Calc!$G$3:$G$22)</f>
        <v/>
      </c>
      <c r="M1427">
        <f>SUMPRODUCT(Calc!$K$3:$K$22*(Calc!$G$3:$G$22&gt;B1427)*(Calc!$G$3:$G$22-B1427)*Calc!$G$3:$G$22)</f>
        <v/>
      </c>
      <c r="N1427">
        <f>SUMPRODUCT(Calc!$K$3:$K$22*(Calc!$G$3:$G$22&gt;A1427)*(Calc!$G$3:$G$22-A1427)*Calc!$I$3:$I$22)</f>
        <v/>
      </c>
      <c r="O1427">
        <f>SUMPRODUCT(Calc!$K$3:$K$22*(Calc!$G$3:$G$22&gt;B1427)*(Calc!$G$3:$G$22-B1427)*Calc!$I$3:$I$22)</f>
        <v/>
      </c>
      <c r="P1427">
        <f>I1427-G1427^2/k_n</f>
        <v/>
      </c>
      <c r="Q1427">
        <f>J1427-H1427^2/k_n</f>
        <v/>
      </c>
      <c r="R1427">
        <f>K1427-G1427*H1427/k_n</f>
        <v/>
      </c>
      <c r="S1427">
        <f>L1427-LTP3!$D$3*G1427/k_n</f>
        <v/>
      </c>
      <c r="T1427">
        <f>M1427-LTP3!$D$3*H1427/k_n</f>
        <v/>
      </c>
      <c r="U1427">
        <f>N1427-G1427*LTP3!$D$4/k_n</f>
        <v/>
      </c>
      <c r="V1427">
        <f>O1427-H1427*LTP3!$D$4/k_n</f>
        <v/>
      </c>
      <c r="W1427">
        <f>((LTP3!$D$5)*((P1427)*(Q1427)-(R1427)*(R1427))-(S1427)*((S1427)*(Q1427)-(R1427)*(T1427))+(T1427)*((S1427)*(R1427)-(P1427)*(T1427)))</f>
        <v/>
      </c>
      <c r="X1427">
        <f>IF(ABS(W1427)&gt;1E-12,((LTP3!$D$6)*((P1427)*(Q1427)-(R1427)*(R1427))-(S1427)*((U1427)*(Q1427)-(R1427)*(V1427))+(T1427)*((U1427)*(R1427)-(P1427)*(V1427)))/W1427,0)</f>
        <v/>
      </c>
      <c r="Y1427">
        <f>IF(ABS(W1427)&gt;1E-12,((LTP3!$D$5)*((U1427)*(Q1427)-(R1427)*(V1427))-(LTP3!$D$6)*((S1427)*(Q1427)-(R1427)*(T1427))+(T1427)*((S1427)*(V1427)-(U1427)*(T1427)))/W1427,0)</f>
        <v/>
      </c>
      <c r="Z1427">
        <f>IF(ABS(W1427)&gt;1E-12,((LTP3!$D$5)*((P1427)*(V1427)-(U1427)*(R1427))-(S1427)*((S1427)*(V1427)-(U1427)*(T1427))+(LTP3!$D$6)*((S1427)*(R1427)-(P1427)*(T1427)))/W1427,0)</f>
        <v/>
      </c>
      <c r="AA1427">
        <f>LTP3!$D$7-X1427*LTP3!$D$6-Y1427*U1427-Z1427*V1427</f>
        <v/>
      </c>
      <c r="AB1427">
        <f>IF(AND(F1427,ABS(W1427)&gt;1E-12,Y1427&gt;0,Z1427&gt;0),AA1427,1E+300)</f>
        <v/>
      </c>
    </row>
    <row r="1428">
      <c r="A1428">
        <f>$B$3+$B$5*23</f>
        <v/>
      </c>
      <c r="B1428">
        <f>$B$3+$B$5*13</f>
        <v/>
      </c>
      <c r="C1428">
        <f>SUMPRODUCT(Calc!$K$3:$K$22*(Calc!$G$3:$G$22&lt;=A1428))</f>
        <v/>
      </c>
      <c r="D1428">
        <f>SUMPRODUCT(Calc!$K$3:$K$22*(Calc!$G$3:$G$22&gt;A1428)*(Calc!$G$3:$G$22&lt;B1428))</f>
        <v/>
      </c>
      <c r="E1428">
        <f>SUMPRODUCT(Calc!$K$3:$K$22*(Calc!$G$3:$G$22&gt;=B1428))</f>
        <v/>
      </c>
      <c r="F1428">
        <f>AND(k_n&gt;=5,B1428&gt;A1428+1E-9,C1428&gt;=2,D1428&gt;=1,E1428&gt;=2)</f>
        <v/>
      </c>
      <c r="G1428">
        <f>SUMPRODUCT(Calc!$K$3:$K$22*(Calc!$G$3:$G$22&gt;A1428)*(Calc!$G$3:$G$22-A1428))</f>
        <v/>
      </c>
      <c r="H1428">
        <f>SUMPRODUCT(Calc!$K$3:$K$22*(Calc!$G$3:$G$22&gt;B1428)*(Calc!$G$3:$G$22-B1428))</f>
        <v/>
      </c>
      <c r="I1428">
        <f>SUMPRODUCT(Calc!$K$3:$K$22*(Calc!$G$3:$G$22&gt;A1428)*(Calc!$G$3:$G$22-A1428)^2)</f>
        <v/>
      </c>
      <c r="J1428">
        <f>SUMPRODUCT(Calc!$K$3:$K$22*(Calc!$G$3:$G$22&gt;B1428)*(Calc!$G$3:$G$22-B1428)^2)</f>
        <v/>
      </c>
      <c r="K1428">
        <f>SUMPRODUCT(Calc!$K$3:$K$22*(Calc!$G$3:$G$22&gt;A1428)*(Calc!$G$3:$G$22-A1428)*(Calc!$G$3:$G$22&gt;B1428)*(Calc!$G$3:$G$22-B1428))</f>
        <v/>
      </c>
      <c r="L1428">
        <f>SUMPRODUCT(Calc!$K$3:$K$22*(Calc!$G$3:$G$22&gt;A1428)*(Calc!$G$3:$G$22-A1428)*Calc!$G$3:$G$22)</f>
        <v/>
      </c>
      <c r="M1428">
        <f>SUMPRODUCT(Calc!$K$3:$K$22*(Calc!$G$3:$G$22&gt;B1428)*(Calc!$G$3:$G$22-B1428)*Calc!$G$3:$G$22)</f>
        <v/>
      </c>
      <c r="N1428">
        <f>SUMPRODUCT(Calc!$K$3:$K$22*(Calc!$G$3:$G$22&gt;A1428)*(Calc!$G$3:$G$22-A1428)*Calc!$I$3:$I$22)</f>
        <v/>
      </c>
      <c r="O1428">
        <f>SUMPRODUCT(Calc!$K$3:$K$22*(Calc!$G$3:$G$22&gt;B1428)*(Calc!$G$3:$G$22-B1428)*Calc!$I$3:$I$22)</f>
        <v/>
      </c>
      <c r="P1428">
        <f>I1428-G1428^2/k_n</f>
        <v/>
      </c>
      <c r="Q1428">
        <f>J1428-H1428^2/k_n</f>
        <v/>
      </c>
      <c r="R1428">
        <f>K1428-G1428*H1428/k_n</f>
        <v/>
      </c>
      <c r="S1428">
        <f>L1428-LTP3!$D$3*G1428/k_n</f>
        <v/>
      </c>
      <c r="T1428">
        <f>M1428-LTP3!$D$3*H1428/k_n</f>
        <v/>
      </c>
      <c r="U1428">
        <f>N1428-G1428*LTP3!$D$4/k_n</f>
        <v/>
      </c>
      <c r="V1428">
        <f>O1428-H1428*LTP3!$D$4/k_n</f>
        <v/>
      </c>
      <c r="W1428">
        <f>((LTP3!$D$5)*((P1428)*(Q1428)-(R1428)*(R1428))-(S1428)*((S1428)*(Q1428)-(R1428)*(T1428))+(T1428)*((S1428)*(R1428)-(P1428)*(T1428)))</f>
        <v/>
      </c>
      <c r="X1428">
        <f>IF(ABS(W1428)&gt;1E-12,((LTP3!$D$6)*((P1428)*(Q1428)-(R1428)*(R1428))-(S1428)*((U1428)*(Q1428)-(R1428)*(V1428))+(T1428)*((U1428)*(R1428)-(P1428)*(V1428)))/W1428,0)</f>
        <v/>
      </c>
      <c r="Y1428">
        <f>IF(ABS(W1428)&gt;1E-12,((LTP3!$D$5)*((U1428)*(Q1428)-(R1428)*(V1428))-(LTP3!$D$6)*((S1428)*(Q1428)-(R1428)*(T1428))+(T1428)*((S1428)*(V1428)-(U1428)*(T1428)))/W1428,0)</f>
        <v/>
      </c>
      <c r="Z1428">
        <f>IF(ABS(W1428)&gt;1E-12,((LTP3!$D$5)*((P1428)*(V1428)-(U1428)*(R1428))-(S1428)*((S1428)*(V1428)-(U1428)*(T1428))+(LTP3!$D$6)*((S1428)*(R1428)-(P1428)*(T1428)))/W1428,0)</f>
        <v/>
      </c>
      <c r="AA1428">
        <f>LTP3!$D$7-X1428*LTP3!$D$6-Y1428*U1428-Z1428*V1428</f>
        <v/>
      </c>
      <c r="AB1428">
        <f>IF(AND(F1428,ABS(W1428)&gt;1E-12,Y1428&gt;0,Z1428&gt;0),AA1428,1E+300)</f>
        <v/>
      </c>
    </row>
    <row r="1429">
      <c r="A1429">
        <f>$B$3+$B$5*23</f>
        <v/>
      </c>
      <c r="B1429">
        <f>$B$3+$B$5*14</f>
        <v/>
      </c>
      <c r="C1429">
        <f>SUMPRODUCT(Calc!$K$3:$K$22*(Calc!$G$3:$G$22&lt;=A1429))</f>
        <v/>
      </c>
      <c r="D1429">
        <f>SUMPRODUCT(Calc!$K$3:$K$22*(Calc!$G$3:$G$22&gt;A1429)*(Calc!$G$3:$G$22&lt;B1429))</f>
        <v/>
      </c>
      <c r="E1429">
        <f>SUMPRODUCT(Calc!$K$3:$K$22*(Calc!$G$3:$G$22&gt;=B1429))</f>
        <v/>
      </c>
      <c r="F1429">
        <f>AND(k_n&gt;=5,B1429&gt;A1429+1E-9,C1429&gt;=2,D1429&gt;=1,E1429&gt;=2)</f>
        <v/>
      </c>
      <c r="G1429">
        <f>SUMPRODUCT(Calc!$K$3:$K$22*(Calc!$G$3:$G$22&gt;A1429)*(Calc!$G$3:$G$22-A1429))</f>
        <v/>
      </c>
      <c r="H1429">
        <f>SUMPRODUCT(Calc!$K$3:$K$22*(Calc!$G$3:$G$22&gt;B1429)*(Calc!$G$3:$G$22-B1429))</f>
        <v/>
      </c>
      <c r="I1429">
        <f>SUMPRODUCT(Calc!$K$3:$K$22*(Calc!$G$3:$G$22&gt;A1429)*(Calc!$G$3:$G$22-A1429)^2)</f>
        <v/>
      </c>
      <c r="J1429">
        <f>SUMPRODUCT(Calc!$K$3:$K$22*(Calc!$G$3:$G$22&gt;B1429)*(Calc!$G$3:$G$22-B1429)^2)</f>
        <v/>
      </c>
      <c r="K1429">
        <f>SUMPRODUCT(Calc!$K$3:$K$22*(Calc!$G$3:$G$22&gt;A1429)*(Calc!$G$3:$G$22-A1429)*(Calc!$G$3:$G$22&gt;B1429)*(Calc!$G$3:$G$22-B1429))</f>
        <v/>
      </c>
      <c r="L1429">
        <f>SUMPRODUCT(Calc!$K$3:$K$22*(Calc!$G$3:$G$22&gt;A1429)*(Calc!$G$3:$G$22-A1429)*Calc!$G$3:$G$22)</f>
        <v/>
      </c>
      <c r="M1429">
        <f>SUMPRODUCT(Calc!$K$3:$K$22*(Calc!$G$3:$G$22&gt;B1429)*(Calc!$G$3:$G$22-B1429)*Calc!$G$3:$G$22)</f>
        <v/>
      </c>
      <c r="N1429">
        <f>SUMPRODUCT(Calc!$K$3:$K$22*(Calc!$G$3:$G$22&gt;A1429)*(Calc!$G$3:$G$22-A1429)*Calc!$I$3:$I$22)</f>
        <v/>
      </c>
      <c r="O1429">
        <f>SUMPRODUCT(Calc!$K$3:$K$22*(Calc!$G$3:$G$22&gt;B1429)*(Calc!$G$3:$G$22-B1429)*Calc!$I$3:$I$22)</f>
        <v/>
      </c>
      <c r="P1429">
        <f>I1429-G1429^2/k_n</f>
        <v/>
      </c>
      <c r="Q1429">
        <f>J1429-H1429^2/k_n</f>
        <v/>
      </c>
      <c r="R1429">
        <f>K1429-G1429*H1429/k_n</f>
        <v/>
      </c>
      <c r="S1429">
        <f>L1429-LTP3!$D$3*G1429/k_n</f>
        <v/>
      </c>
      <c r="T1429">
        <f>M1429-LTP3!$D$3*H1429/k_n</f>
        <v/>
      </c>
      <c r="U1429">
        <f>N1429-G1429*LTP3!$D$4/k_n</f>
        <v/>
      </c>
      <c r="V1429">
        <f>O1429-H1429*LTP3!$D$4/k_n</f>
        <v/>
      </c>
      <c r="W1429">
        <f>((LTP3!$D$5)*((P1429)*(Q1429)-(R1429)*(R1429))-(S1429)*((S1429)*(Q1429)-(R1429)*(T1429))+(T1429)*((S1429)*(R1429)-(P1429)*(T1429)))</f>
        <v/>
      </c>
      <c r="X1429">
        <f>IF(ABS(W1429)&gt;1E-12,((LTP3!$D$6)*((P1429)*(Q1429)-(R1429)*(R1429))-(S1429)*((U1429)*(Q1429)-(R1429)*(V1429))+(T1429)*((U1429)*(R1429)-(P1429)*(V1429)))/W1429,0)</f>
        <v/>
      </c>
      <c r="Y1429">
        <f>IF(ABS(W1429)&gt;1E-12,((LTP3!$D$5)*((U1429)*(Q1429)-(R1429)*(V1429))-(LTP3!$D$6)*((S1429)*(Q1429)-(R1429)*(T1429))+(T1429)*((S1429)*(V1429)-(U1429)*(T1429)))/W1429,0)</f>
        <v/>
      </c>
      <c r="Z1429">
        <f>IF(ABS(W1429)&gt;1E-12,((LTP3!$D$5)*((P1429)*(V1429)-(U1429)*(R1429))-(S1429)*((S1429)*(V1429)-(U1429)*(T1429))+(LTP3!$D$6)*((S1429)*(R1429)-(P1429)*(T1429)))/W1429,0)</f>
        <v/>
      </c>
      <c r="AA1429">
        <f>LTP3!$D$7-X1429*LTP3!$D$6-Y1429*U1429-Z1429*V1429</f>
        <v/>
      </c>
      <c r="AB1429">
        <f>IF(AND(F1429,ABS(W1429)&gt;1E-12,Y1429&gt;0,Z1429&gt;0),AA1429,1E+300)</f>
        <v/>
      </c>
    </row>
    <row r="1430">
      <c r="A1430">
        <f>$B$3+$B$5*23</f>
        <v/>
      </c>
      <c r="B1430">
        <f>$B$3+$B$5*15</f>
        <v/>
      </c>
      <c r="C1430">
        <f>SUMPRODUCT(Calc!$K$3:$K$22*(Calc!$G$3:$G$22&lt;=A1430))</f>
        <v/>
      </c>
      <c r="D1430">
        <f>SUMPRODUCT(Calc!$K$3:$K$22*(Calc!$G$3:$G$22&gt;A1430)*(Calc!$G$3:$G$22&lt;B1430))</f>
        <v/>
      </c>
      <c r="E1430">
        <f>SUMPRODUCT(Calc!$K$3:$K$22*(Calc!$G$3:$G$22&gt;=B1430))</f>
        <v/>
      </c>
      <c r="F1430">
        <f>AND(k_n&gt;=5,B1430&gt;A1430+1E-9,C1430&gt;=2,D1430&gt;=1,E1430&gt;=2)</f>
        <v/>
      </c>
      <c r="G1430">
        <f>SUMPRODUCT(Calc!$K$3:$K$22*(Calc!$G$3:$G$22&gt;A1430)*(Calc!$G$3:$G$22-A1430))</f>
        <v/>
      </c>
      <c r="H1430">
        <f>SUMPRODUCT(Calc!$K$3:$K$22*(Calc!$G$3:$G$22&gt;B1430)*(Calc!$G$3:$G$22-B1430))</f>
        <v/>
      </c>
      <c r="I1430">
        <f>SUMPRODUCT(Calc!$K$3:$K$22*(Calc!$G$3:$G$22&gt;A1430)*(Calc!$G$3:$G$22-A1430)^2)</f>
        <v/>
      </c>
      <c r="J1430">
        <f>SUMPRODUCT(Calc!$K$3:$K$22*(Calc!$G$3:$G$22&gt;B1430)*(Calc!$G$3:$G$22-B1430)^2)</f>
        <v/>
      </c>
      <c r="K1430">
        <f>SUMPRODUCT(Calc!$K$3:$K$22*(Calc!$G$3:$G$22&gt;A1430)*(Calc!$G$3:$G$22-A1430)*(Calc!$G$3:$G$22&gt;B1430)*(Calc!$G$3:$G$22-B1430))</f>
        <v/>
      </c>
      <c r="L1430">
        <f>SUMPRODUCT(Calc!$K$3:$K$22*(Calc!$G$3:$G$22&gt;A1430)*(Calc!$G$3:$G$22-A1430)*Calc!$G$3:$G$22)</f>
        <v/>
      </c>
      <c r="M1430">
        <f>SUMPRODUCT(Calc!$K$3:$K$22*(Calc!$G$3:$G$22&gt;B1430)*(Calc!$G$3:$G$22-B1430)*Calc!$G$3:$G$22)</f>
        <v/>
      </c>
      <c r="N1430">
        <f>SUMPRODUCT(Calc!$K$3:$K$22*(Calc!$G$3:$G$22&gt;A1430)*(Calc!$G$3:$G$22-A1430)*Calc!$I$3:$I$22)</f>
        <v/>
      </c>
      <c r="O1430">
        <f>SUMPRODUCT(Calc!$K$3:$K$22*(Calc!$G$3:$G$22&gt;B1430)*(Calc!$G$3:$G$22-B1430)*Calc!$I$3:$I$22)</f>
        <v/>
      </c>
      <c r="P1430">
        <f>I1430-G1430^2/k_n</f>
        <v/>
      </c>
      <c r="Q1430">
        <f>J1430-H1430^2/k_n</f>
        <v/>
      </c>
      <c r="R1430">
        <f>K1430-G1430*H1430/k_n</f>
        <v/>
      </c>
      <c r="S1430">
        <f>L1430-LTP3!$D$3*G1430/k_n</f>
        <v/>
      </c>
      <c r="T1430">
        <f>M1430-LTP3!$D$3*H1430/k_n</f>
        <v/>
      </c>
      <c r="U1430">
        <f>N1430-G1430*LTP3!$D$4/k_n</f>
        <v/>
      </c>
      <c r="V1430">
        <f>O1430-H1430*LTP3!$D$4/k_n</f>
        <v/>
      </c>
      <c r="W1430">
        <f>((LTP3!$D$5)*((P1430)*(Q1430)-(R1430)*(R1430))-(S1430)*((S1430)*(Q1430)-(R1430)*(T1430))+(T1430)*((S1430)*(R1430)-(P1430)*(T1430)))</f>
        <v/>
      </c>
      <c r="X1430">
        <f>IF(ABS(W1430)&gt;1E-12,((LTP3!$D$6)*((P1430)*(Q1430)-(R1430)*(R1430))-(S1430)*((U1430)*(Q1430)-(R1430)*(V1430))+(T1430)*((U1430)*(R1430)-(P1430)*(V1430)))/W1430,0)</f>
        <v/>
      </c>
      <c r="Y1430">
        <f>IF(ABS(W1430)&gt;1E-12,((LTP3!$D$5)*((U1430)*(Q1430)-(R1430)*(V1430))-(LTP3!$D$6)*((S1430)*(Q1430)-(R1430)*(T1430))+(T1430)*((S1430)*(V1430)-(U1430)*(T1430)))/W1430,0)</f>
        <v/>
      </c>
      <c r="Z1430">
        <f>IF(ABS(W1430)&gt;1E-12,((LTP3!$D$5)*((P1430)*(V1430)-(U1430)*(R1430))-(S1430)*((S1430)*(V1430)-(U1430)*(T1430))+(LTP3!$D$6)*((S1430)*(R1430)-(P1430)*(T1430)))/W1430,0)</f>
        <v/>
      </c>
      <c r="AA1430">
        <f>LTP3!$D$7-X1430*LTP3!$D$6-Y1430*U1430-Z1430*V1430</f>
        <v/>
      </c>
      <c r="AB1430">
        <f>IF(AND(F1430,ABS(W1430)&gt;1E-12,Y1430&gt;0,Z1430&gt;0),AA1430,1E+300)</f>
        <v/>
      </c>
    </row>
    <row r="1431">
      <c r="A1431">
        <f>$B$3+$B$5*23</f>
        <v/>
      </c>
      <c r="B1431">
        <f>$B$3+$B$5*16</f>
        <v/>
      </c>
      <c r="C1431">
        <f>SUMPRODUCT(Calc!$K$3:$K$22*(Calc!$G$3:$G$22&lt;=A1431))</f>
        <v/>
      </c>
      <c r="D1431">
        <f>SUMPRODUCT(Calc!$K$3:$K$22*(Calc!$G$3:$G$22&gt;A1431)*(Calc!$G$3:$G$22&lt;B1431))</f>
        <v/>
      </c>
      <c r="E1431">
        <f>SUMPRODUCT(Calc!$K$3:$K$22*(Calc!$G$3:$G$22&gt;=B1431))</f>
        <v/>
      </c>
      <c r="F1431">
        <f>AND(k_n&gt;=5,B1431&gt;A1431+1E-9,C1431&gt;=2,D1431&gt;=1,E1431&gt;=2)</f>
        <v/>
      </c>
      <c r="G1431">
        <f>SUMPRODUCT(Calc!$K$3:$K$22*(Calc!$G$3:$G$22&gt;A1431)*(Calc!$G$3:$G$22-A1431))</f>
        <v/>
      </c>
      <c r="H1431">
        <f>SUMPRODUCT(Calc!$K$3:$K$22*(Calc!$G$3:$G$22&gt;B1431)*(Calc!$G$3:$G$22-B1431))</f>
        <v/>
      </c>
      <c r="I1431">
        <f>SUMPRODUCT(Calc!$K$3:$K$22*(Calc!$G$3:$G$22&gt;A1431)*(Calc!$G$3:$G$22-A1431)^2)</f>
        <v/>
      </c>
      <c r="J1431">
        <f>SUMPRODUCT(Calc!$K$3:$K$22*(Calc!$G$3:$G$22&gt;B1431)*(Calc!$G$3:$G$22-B1431)^2)</f>
        <v/>
      </c>
      <c r="K1431">
        <f>SUMPRODUCT(Calc!$K$3:$K$22*(Calc!$G$3:$G$22&gt;A1431)*(Calc!$G$3:$G$22-A1431)*(Calc!$G$3:$G$22&gt;B1431)*(Calc!$G$3:$G$22-B1431))</f>
        <v/>
      </c>
      <c r="L1431">
        <f>SUMPRODUCT(Calc!$K$3:$K$22*(Calc!$G$3:$G$22&gt;A1431)*(Calc!$G$3:$G$22-A1431)*Calc!$G$3:$G$22)</f>
        <v/>
      </c>
      <c r="M1431">
        <f>SUMPRODUCT(Calc!$K$3:$K$22*(Calc!$G$3:$G$22&gt;B1431)*(Calc!$G$3:$G$22-B1431)*Calc!$G$3:$G$22)</f>
        <v/>
      </c>
      <c r="N1431">
        <f>SUMPRODUCT(Calc!$K$3:$K$22*(Calc!$G$3:$G$22&gt;A1431)*(Calc!$G$3:$G$22-A1431)*Calc!$I$3:$I$22)</f>
        <v/>
      </c>
      <c r="O1431">
        <f>SUMPRODUCT(Calc!$K$3:$K$22*(Calc!$G$3:$G$22&gt;B1431)*(Calc!$G$3:$G$22-B1431)*Calc!$I$3:$I$22)</f>
        <v/>
      </c>
      <c r="P1431">
        <f>I1431-G1431^2/k_n</f>
        <v/>
      </c>
      <c r="Q1431">
        <f>J1431-H1431^2/k_n</f>
        <v/>
      </c>
      <c r="R1431">
        <f>K1431-G1431*H1431/k_n</f>
        <v/>
      </c>
      <c r="S1431">
        <f>L1431-LTP3!$D$3*G1431/k_n</f>
        <v/>
      </c>
      <c r="T1431">
        <f>M1431-LTP3!$D$3*H1431/k_n</f>
        <v/>
      </c>
      <c r="U1431">
        <f>N1431-G1431*LTP3!$D$4/k_n</f>
        <v/>
      </c>
      <c r="V1431">
        <f>O1431-H1431*LTP3!$D$4/k_n</f>
        <v/>
      </c>
      <c r="W1431">
        <f>((LTP3!$D$5)*((P1431)*(Q1431)-(R1431)*(R1431))-(S1431)*((S1431)*(Q1431)-(R1431)*(T1431))+(T1431)*((S1431)*(R1431)-(P1431)*(T1431)))</f>
        <v/>
      </c>
      <c r="X1431">
        <f>IF(ABS(W1431)&gt;1E-12,((LTP3!$D$6)*((P1431)*(Q1431)-(R1431)*(R1431))-(S1431)*((U1431)*(Q1431)-(R1431)*(V1431))+(T1431)*((U1431)*(R1431)-(P1431)*(V1431)))/W1431,0)</f>
        <v/>
      </c>
      <c r="Y1431">
        <f>IF(ABS(W1431)&gt;1E-12,((LTP3!$D$5)*((U1431)*(Q1431)-(R1431)*(V1431))-(LTP3!$D$6)*((S1431)*(Q1431)-(R1431)*(T1431))+(T1431)*((S1431)*(V1431)-(U1431)*(T1431)))/W1431,0)</f>
        <v/>
      </c>
      <c r="Z1431">
        <f>IF(ABS(W1431)&gt;1E-12,((LTP3!$D$5)*((P1431)*(V1431)-(U1431)*(R1431))-(S1431)*((S1431)*(V1431)-(U1431)*(T1431))+(LTP3!$D$6)*((S1431)*(R1431)-(P1431)*(T1431)))/W1431,0)</f>
        <v/>
      </c>
      <c r="AA1431">
        <f>LTP3!$D$7-X1431*LTP3!$D$6-Y1431*U1431-Z1431*V1431</f>
        <v/>
      </c>
      <c r="AB1431">
        <f>IF(AND(F1431,ABS(W1431)&gt;1E-12,Y1431&gt;0,Z1431&gt;0),AA1431,1E+300)</f>
        <v/>
      </c>
    </row>
    <row r="1432">
      <c r="A1432">
        <f>$B$3+$B$5*23</f>
        <v/>
      </c>
      <c r="B1432">
        <f>$B$3+$B$5*17</f>
        <v/>
      </c>
      <c r="C1432">
        <f>SUMPRODUCT(Calc!$K$3:$K$22*(Calc!$G$3:$G$22&lt;=A1432))</f>
        <v/>
      </c>
      <c r="D1432">
        <f>SUMPRODUCT(Calc!$K$3:$K$22*(Calc!$G$3:$G$22&gt;A1432)*(Calc!$G$3:$G$22&lt;B1432))</f>
        <v/>
      </c>
      <c r="E1432">
        <f>SUMPRODUCT(Calc!$K$3:$K$22*(Calc!$G$3:$G$22&gt;=B1432))</f>
        <v/>
      </c>
      <c r="F1432">
        <f>AND(k_n&gt;=5,B1432&gt;A1432+1E-9,C1432&gt;=2,D1432&gt;=1,E1432&gt;=2)</f>
        <v/>
      </c>
      <c r="G1432">
        <f>SUMPRODUCT(Calc!$K$3:$K$22*(Calc!$G$3:$G$22&gt;A1432)*(Calc!$G$3:$G$22-A1432))</f>
        <v/>
      </c>
      <c r="H1432">
        <f>SUMPRODUCT(Calc!$K$3:$K$22*(Calc!$G$3:$G$22&gt;B1432)*(Calc!$G$3:$G$22-B1432))</f>
        <v/>
      </c>
      <c r="I1432">
        <f>SUMPRODUCT(Calc!$K$3:$K$22*(Calc!$G$3:$G$22&gt;A1432)*(Calc!$G$3:$G$22-A1432)^2)</f>
        <v/>
      </c>
      <c r="J1432">
        <f>SUMPRODUCT(Calc!$K$3:$K$22*(Calc!$G$3:$G$22&gt;B1432)*(Calc!$G$3:$G$22-B1432)^2)</f>
        <v/>
      </c>
      <c r="K1432">
        <f>SUMPRODUCT(Calc!$K$3:$K$22*(Calc!$G$3:$G$22&gt;A1432)*(Calc!$G$3:$G$22-A1432)*(Calc!$G$3:$G$22&gt;B1432)*(Calc!$G$3:$G$22-B1432))</f>
        <v/>
      </c>
      <c r="L1432">
        <f>SUMPRODUCT(Calc!$K$3:$K$22*(Calc!$G$3:$G$22&gt;A1432)*(Calc!$G$3:$G$22-A1432)*Calc!$G$3:$G$22)</f>
        <v/>
      </c>
      <c r="M1432">
        <f>SUMPRODUCT(Calc!$K$3:$K$22*(Calc!$G$3:$G$22&gt;B1432)*(Calc!$G$3:$G$22-B1432)*Calc!$G$3:$G$22)</f>
        <v/>
      </c>
      <c r="N1432">
        <f>SUMPRODUCT(Calc!$K$3:$K$22*(Calc!$G$3:$G$22&gt;A1432)*(Calc!$G$3:$G$22-A1432)*Calc!$I$3:$I$22)</f>
        <v/>
      </c>
      <c r="O1432">
        <f>SUMPRODUCT(Calc!$K$3:$K$22*(Calc!$G$3:$G$22&gt;B1432)*(Calc!$G$3:$G$22-B1432)*Calc!$I$3:$I$22)</f>
        <v/>
      </c>
      <c r="P1432">
        <f>I1432-G1432^2/k_n</f>
        <v/>
      </c>
      <c r="Q1432">
        <f>J1432-H1432^2/k_n</f>
        <v/>
      </c>
      <c r="R1432">
        <f>K1432-G1432*H1432/k_n</f>
        <v/>
      </c>
      <c r="S1432">
        <f>L1432-LTP3!$D$3*G1432/k_n</f>
        <v/>
      </c>
      <c r="T1432">
        <f>M1432-LTP3!$D$3*H1432/k_n</f>
        <v/>
      </c>
      <c r="U1432">
        <f>N1432-G1432*LTP3!$D$4/k_n</f>
        <v/>
      </c>
      <c r="V1432">
        <f>O1432-H1432*LTP3!$D$4/k_n</f>
        <v/>
      </c>
      <c r="W1432">
        <f>((LTP3!$D$5)*((P1432)*(Q1432)-(R1432)*(R1432))-(S1432)*((S1432)*(Q1432)-(R1432)*(T1432))+(T1432)*((S1432)*(R1432)-(P1432)*(T1432)))</f>
        <v/>
      </c>
      <c r="X1432">
        <f>IF(ABS(W1432)&gt;1E-12,((LTP3!$D$6)*((P1432)*(Q1432)-(R1432)*(R1432))-(S1432)*((U1432)*(Q1432)-(R1432)*(V1432))+(T1432)*((U1432)*(R1432)-(P1432)*(V1432)))/W1432,0)</f>
        <v/>
      </c>
      <c r="Y1432">
        <f>IF(ABS(W1432)&gt;1E-12,((LTP3!$D$5)*((U1432)*(Q1432)-(R1432)*(V1432))-(LTP3!$D$6)*((S1432)*(Q1432)-(R1432)*(T1432))+(T1432)*((S1432)*(V1432)-(U1432)*(T1432)))/W1432,0)</f>
        <v/>
      </c>
      <c r="Z1432">
        <f>IF(ABS(W1432)&gt;1E-12,((LTP3!$D$5)*((P1432)*(V1432)-(U1432)*(R1432))-(S1432)*((S1432)*(V1432)-(U1432)*(T1432))+(LTP3!$D$6)*((S1432)*(R1432)-(P1432)*(T1432)))/W1432,0)</f>
        <v/>
      </c>
      <c r="AA1432">
        <f>LTP3!$D$7-X1432*LTP3!$D$6-Y1432*U1432-Z1432*V1432</f>
        <v/>
      </c>
      <c r="AB1432">
        <f>IF(AND(F1432,ABS(W1432)&gt;1E-12,Y1432&gt;0,Z1432&gt;0),AA1432,1E+300)</f>
        <v/>
      </c>
    </row>
    <row r="1433">
      <c r="A1433">
        <f>$B$3+$B$5*23</f>
        <v/>
      </c>
      <c r="B1433">
        <f>$B$3+$B$5*18</f>
        <v/>
      </c>
      <c r="C1433">
        <f>SUMPRODUCT(Calc!$K$3:$K$22*(Calc!$G$3:$G$22&lt;=A1433))</f>
        <v/>
      </c>
      <c r="D1433">
        <f>SUMPRODUCT(Calc!$K$3:$K$22*(Calc!$G$3:$G$22&gt;A1433)*(Calc!$G$3:$G$22&lt;B1433))</f>
        <v/>
      </c>
      <c r="E1433">
        <f>SUMPRODUCT(Calc!$K$3:$K$22*(Calc!$G$3:$G$22&gt;=B1433))</f>
        <v/>
      </c>
      <c r="F1433">
        <f>AND(k_n&gt;=5,B1433&gt;A1433+1E-9,C1433&gt;=2,D1433&gt;=1,E1433&gt;=2)</f>
        <v/>
      </c>
      <c r="G1433">
        <f>SUMPRODUCT(Calc!$K$3:$K$22*(Calc!$G$3:$G$22&gt;A1433)*(Calc!$G$3:$G$22-A1433))</f>
        <v/>
      </c>
      <c r="H1433">
        <f>SUMPRODUCT(Calc!$K$3:$K$22*(Calc!$G$3:$G$22&gt;B1433)*(Calc!$G$3:$G$22-B1433))</f>
        <v/>
      </c>
      <c r="I1433">
        <f>SUMPRODUCT(Calc!$K$3:$K$22*(Calc!$G$3:$G$22&gt;A1433)*(Calc!$G$3:$G$22-A1433)^2)</f>
        <v/>
      </c>
      <c r="J1433">
        <f>SUMPRODUCT(Calc!$K$3:$K$22*(Calc!$G$3:$G$22&gt;B1433)*(Calc!$G$3:$G$22-B1433)^2)</f>
        <v/>
      </c>
      <c r="K1433">
        <f>SUMPRODUCT(Calc!$K$3:$K$22*(Calc!$G$3:$G$22&gt;A1433)*(Calc!$G$3:$G$22-A1433)*(Calc!$G$3:$G$22&gt;B1433)*(Calc!$G$3:$G$22-B1433))</f>
        <v/>
      </c>
      <c r="L1433">
        <f>SUMPRODUCT(Calc!$K$3:$K$22*(Calc!$G$3:$G$22&gt;A1433)*(Calc!$G$3:$G$22-A1433)*Calc!$G$3:$G$22)</f>
        <v/>
      </c>
      <c r="M1433">
        <f>SUMPRODUCT(Calc!$K$3:$K$22*(Calc!$G$3:$G$22&gt;B1433)*(Calc!$G$3:$G$22-B1433)*Calc!$G$3:$G$22)</f>
        <v/>
      </c>
      <c r="N1433">
        <f>SUMPRODUCT(Calc!$K$3:$K$22*(Calc!$G$3:$G$22&gt;A1433)*(Calc!$G$3:$G$22-A1433)*Calc!$I$3:$I$22)</f>
        <v/>
      </c>
      <c r="O1433">
        <f>SUMPRODUCT(Calc!$K$3:$K$22*(Calc!$G$3:$G$22&gt;B1433)*(Calc!$G$3:$G$22-B1433)*Calc!$I$3:$I$22)</f>
        <v/>
      </c>
      <c r="P1433">
        <f>I1433-G1433^2/k_n</f>
        <v/>
      </c>
      <c r="Q1433">
        <f>J1433-H1433^2/k_n</f>
        <v/>
      </c>
      <c r="R1433">
        <f>K1433-G1433*H1433/k_n</f>
        <v/>
      </c>
      <c r="S1433">
        <f>L1433-LTP3!$D$3*G1433/k_n</f>
        <v/>
      </c>
      <c r="T1433">
        <f>M1433-LTP3!$D$3*H1433/k_n</f>
        <v/>
      </c>
      <c r="U1433">
        <f>N1433-G1433*LTP3!$D$4/k_n</f>
        <v/>
      </c>
      <c r="V1433">
        <f>O1433-H1433*LTP3!$D$4/k_n</f>
        <v/>
      </c>
      <c r="W1433">
        <f>((LTP3!$D$5)*((P1433)*(Q1433)-(R1433)*(R1433))-(S1433)*((S1433)*(Q1433)-(R1433)*(T1433))+(T1433)*((S1433)*(R1433)-(P1433)*(T1433)))</f>
        <v/>
      </c>
      <c r="X1433">
        <f>IF(ABS(W1433)&gt;1E-12,((LTP3!$D$6)*((P1433)*(Q1433)-(R1433)*(R1433))-(S1433)*((U1433)*(Q1433)-(R1433)*(V1433))+(T1433)*((U1433)*(R1433)-(P1433)*(V1433)))/W1433,0)</f>
        <v/>
      </c>
      <c r="Y1433">
        <f>IF(ABS(W1433)&gt;1E-12,((LTP3!$D$5)*((U1433)*(Q1433)-(R1433)*(V1433))-(LTP3!$D$6)*((S1433)*(Q1433)-(R1433)*(T1433))+(T1433)*((S1433)*(V1433)-(U1433)*(T1433)))/W1433,0)</f>
        <v/>
      </c>
      <c r="Z1433">
        <f>IF(ABS(W1433)&gt;1E-12,((LTP3!$D$5)*((P1433)*(V1433)-(U1433)*(R1433))-(S1433)*((S1433)*(V1433)-(U1433)*(T1433))+(LTP3!$D$6)*((S1433)*(R1433)-(P1433)*(T1433)))/W1433,0)</f>
        <v/>
      </c>
      <c r="AA1433">
        <f>LTP3!$D$7-X1433*LTP3!$D$6-Y1433*U1433-Z1433*V1433</f>
        <v/>
      </c>
      <c r="AB1433">
        <f>IF(AND(F1433,ABS(W1433)&gt;1E-12,Y1433&gt;0,Z1433&gt;0),AA1433,1E+300)</f>
        <v/>
      </c>
    </row>
    <row r="1434">
      <c r="A1434">
        <f>$B$3+$B$5*23</f>
        <v/>
      </c>
      <c r="B1434">
        <f>$B$3+$B$5*19</f>
        <v/>
      </c>
      <c r="C1434">
        <f>SUMPRODUCT(Calc!$K$3:$K$22*(Calc!$G$3:$G$22&lt;=A1434))</f>
        <v/>
      </c>
      <c r="D1434">
        <f>SUMPRODUCT(Calc!$K$3:$K$22*(Calc!$G$3:$G$22&gt;A1434)*(Calc!$G$3:$G$22&lt;B1434))</f>
        <v/>
      </c>
      <c r="E1434">
        <f>SUMPRODUCT(Calc!$K$3:$K$22*(Calc!$G$3:$G$22&gt;=B1434))</f>
        <v/>
      </c>
      <c r="F1434">
        <f>AND(k_n&gt;=5,B1434&gt;A1434+1E-9,C1434&gt;=2,D1434&gt;=1,E1434&gt;=2)</f>
        <v/>
      </c>
      <c r="G1434">
        <f>SUMPRODUCT(Calc!$K$3:$K$22*(Calc!$G$3:$G$22&gt;A1434)*(Calc!$G$3:$G$22-A1434))</f>
        <v/>
      </c>
      <c r="H1434">
        <f>SUMPRODUCT(Calc!$K$3:$K$22*(Calc!$G$3:$G$22&gt;B1434)*(Calc!$G$3:$G$22-B1434))</f>
        <v/>
      </c>
      <c r="I1434">
        <f>SUMPRODUCT(Calc!$K$3:$K$22*(Calc!$G$3:$G$22&gt;A1434)*(Calc!$G$3:$G$22-A1434)^2)</f>
        <v/>
      </c>
      <c r="J1434">
        <f>SUMPRODUCT(Calc!$K$3:$K$22*(Calc!$G$3:$G$22&gt;B1434)*(Calc!$G$3:$G$22-B1434)^2)</f>
        <v/>
      </c>
      <c r="K1434">
        <f>SUMPRODUCT(Calc!$K$3:$K$22*(Calc!$G$3:$G$22&gt;A1434)*(Calc!$G$3:$G$22-A1434)*(Calc!$G$3:$G$22&gt;B1434)*(Calc!$G$3:$G$22-B1434))</f>
        <v/>
      </c>
      <c r="L1434">
        <f>SUMPRODUCT(Calc!$K$3:$K$22*(Calc!$G$3:$G$22&gt;A1434)*(Calc!$G$3:$G$22-A1434)*Calc!$G$3:$G$22)</f>
        <v/>
      </c>
      <c r="M1434">
        <f>SUMPRODUCT(Calc!$K$3:$K$22*(Calc!$G$3:$G$22&gt;B1434)*(Calc!$G$3:$G$22-B1434)*Calc!$G$3:$G$22)</f>
        <v/>
      </c>
      <c r="N1434">
        <f>SUMPRODUCT(Calc!$K$3:$K$22*(Calc!$G$3:$G$22&gt;A1434)*(Calc!$G$3:$G$22-A1434)*Calc!$I$3:$I$22)</f>
        <v/>
      </c>
      <c r="O1434">
        <f>SUMPRODUCT(Calc!$K$3:$K$22*(Calc!$G$3:$G$22&gt;B1434)*(Calc!$G$3:$G$22-B1434)*Calc!$I$3:$I$22)</f>
        <v/>
      </c>
      <c r="P1434">
        <f>I1434-G1434^2/k_n</f>
        <v/>
      </c>
      <c r="Q1434">
        <f>J1434-H1434^2/k_n</f>
        <v/>
      </c>
      <c r="R1434">
        <f>K1434-G1434*H1434/k_n</f>
        <v/>
      </c>
      <c r="S1434">
        <f>L1434-LTP3!$D$3*G1434/k_n</f>
        <v/>
      </c>
      <c r="T1434">
        <f>M1434-LTP3!$D$3*H1434/k_n</f>
        <v/>
      </c>
      <c r="U1434">
        <f>N1434-G1434*LTP3!$D$4/k_n</f>
        <v/>
      </c>
      <c r="V1434">
        <f>O1434-H1434*LTP3!$D$4/k_n</f>
        <v/>
      </c>
      <c r="W1434">
        <f>((LTP3!$D$5)*((P1434)*(Q1434)-(R1434)*(R1434))-(S1434)*((S1434)*(Q1434)-(R1434)*(T1434))+(T1434)*((S1434)*(R1434)-(P1434)*(T1434)))</f>
        <v/>
      </c>
      <c r="X1434">
        <f>IF(ABS(W1434)&gt;1E-12,((LTP3!$D$6)*((P1434)*(Q1434)-(R1434)*(R1434))-(S1434)*((U1434)*(Q1434)-(R1434)*(V1434))+(T1434)*((U1434)*(R1434)-(P1434)*(V1434)))/W1434,0)</f>
        <v/>
      </c>
      <c r="Y1434">
        <f>IF(ABS(W1434)&gt;1E-12,((LTP3!$D$5)*((U1434)*(Q1434)-(R1434)*(V1434))-(LTP3!$D$6)*((S1434)*(Q1434)-(R1434)*(T1434))+(T1434)*((S1434)*(V1434)-(U1434)*(T1434)))/W1434,0)</f>
        <v/>
      </c>
      <c r="Z1434">
        <f>IF(ABS(W1434)&gt;1E-12,((LTP3!$D$5)*((P1434)*(V1434)-(U1434)*(R1434))-(S1434)*((S1434)*(V1434)-(U1434)*(T1434))+(LTP3!$D$6)*((S1434)*(R1434)-(P1434)*(T1434)))/W1434,0)</f>
        <v/>
      </c>
      <c r="AA1434">
        <f>LTP3!$D$7-X1434*LTP3!$D$6-Y1434*U1434-Z1434*V1434</f>
        <v/>
      </c>
      <c r="AB1434">
        <f>IF(AND(F1434,ABS(W1434)&gt;1E-12,Y1434&gt;0,Z1434&gt;0),AA1434,1E+300)</f>
        <v/>
      </c>
    </row>
    <row r="1435">
      <c r="A1435">
        <f>$B$3+$B$5*23</f>
        <v/>
      </c>
      <c r="B1435">
        <f>$B$3+$B$5*20</f>
        <v/>
      </c>
      <c r="C1435">
        <f>SUMPRODUCT(Calc!$K$3:$K$22*(Calc!$G$3:$G$22&lt;=A1435))</f>
        <v/>
      </c>
      <c r="D1435">
        <f>SUMPRODUCT(Calc!$K$3:$K$22*(Calc!$G$3:$G$22&gt;A1435)*(Calc!$G$3:$G$22&lt;B1435))</f>
        <v/>
      </c>
      <c r="E1435">
        <f>SUMPRODUCT(Calc!$K$3:$K$22*(Calc!$G$3:$G$22&gt;=B1435))</f>
        <v/>
      </c>
      <c r="F1435">
        <f>AND(k_n&gt;=5,B1435&gt;A1435+1E-9,C1435&gt;=2,D1435&gt;=1,E1435&gt;=2)</f>
        <v/>
      </c>
      <c r="G1435">
        <f>SUMPRODUCT(Calc!$K$3:$K$22*(Calc!$G$3:$G$22&gt;A1435)*(Calc!$G$3:$G$22-A1435))</f>
        <v/>
      </c>
      <c r="H1435">
        <f>SUMPRODUCT(Calc!$K$3:$K$22*(Calc!$G$3:$G$22&gt;B1435)*(Calc!$G$3:$G$22-B1435))</f>
        <v/>
      </c>
      <c r="I1435">
        <f>SUMPRODUCT(Calc!$K$3:$K$22*(Calc!$G$3:$G$22&gt;A1435)*(Calc!$G$3:$G$22-A1435)^2)</f>
        <v/>
      </c>
      <c r="J1435">
        <f>SUMPRODUCT(Calc!$K$3:$K$22*(Calc!$G$3:$G$22&gt;B1435)*(Calc!$G$3:$G$22-B1435)^2)</f>
        <v/>
      </c>
      <c r="K1435">
        <f>SUMPRODUCT(Calc!$K$3:$K$22*(Calc!$G$3:$G$22&gt;A1435)*(Calc!$G$3:$G$22-A1435)*(Calc!$G$3:$G$22&gt;B1435)*(Calc!$G$3:$G$22-B1435))</f>
        <v/>
      </c>
      <c r="L1435">
        <f>SUMPRODUCT(Calc!$K$3:$K$22*(Calc!$G$3:$G$22&gt;A1435)*(Calc!$G$3:$G$22-A1435)*Calc!$G$3:$G$22)</f>
        <v/>
      </c>
      <c r="M1435">
        <f>SUMPRODUCT(Calc!$K$3:$K$22*(Calc!$G$3:$G$22&gt;B1435)*(Calc!$G$3:$G$22-B1435)*Calc!$G$3:$G$22)</f>
        <v/>
      </c>
      <c r="N1435">
        <f>SUMPRODUCT(Calc!$K$3:$K$22*(Calc!$G$3:$G$22&gt;A1435)*(Calc!$G$3:$G$22-A1435)*Calc!$I$3:$I$22)</f>
        <v/>
      </c>
      <c r="O1435">
        <f>SUMPRODUCT(Calc!$K$3:$K$22*(Calc!$G$3:$G$22&gt;B1435)*(Calc!$G$3:$G$22-B1435)*Calc!$I$3:$I$22)</f>
        <v/>
      </c>
      <c r="P1435">
        <f>I1435-G1435^2/k_n</f>
        <v/>
      </c>
      <c r="Q1435">
        <f>J1435-H1435^2/k_n</f>
        <v/>
      </c>
      <c r="R1435">
        <f>K1435-G1435*H1435/k_n</f>
        <v/>
      </c>
      <c r="S1435">
        <f>L1435-LTP3!$D$3*G1435/k_n</f>
        <v/>
      </c>
      <c r="T1435">
        <f>M1435-LTP3!$D$3*H1435/k_n</f>
        <v/>
      </c>
      <c r="U1435">
        <f>N1435-G1435*LTP3!$D$4/k_n</f>
        <v/>
      </c>
      <c r="V1435">
        <f>O1435-H1435*LTP3!$D$4/k_n</f>
        <v/>
      </c>
      <c r="W1435">
        <f>((LTP3!$D$5)*((P1435)*(Q1435)-(R1435)*(R1435))-(S1435)*((S1435)*(Q1435)-(R1435)*(T1435))+(T1435)*((S1435)*(R1435)-(P1435)*(T1435)))</f>
        <v/>
      </c>
      <c r="X1435">
        <f>IF(ABS(W1435)&gt;1E-12,((LTP3!$D$6)*((P1435)*(Q1435)-(R1435)*(R1435))-(S1435)*((U1435)*(Q1435)-(R1435)*(V1435))+(T1435)*((U1435)*(R1435)-(P1435)*(V1435)))/W1435,0)</f>
        <v/>
      </c>
      <c r="Y1435">
        <f>IF(ABS(W1435)&gt;1E-12,((LTP3!$D$5)*((U1435)*(Q1435)-(R1435)*(V1435))-(LTP3!$D$6)*((S1435)*(Q1435)-(R1435)*(T1435))+(T1435)*((S1435)*(V1435)-(U1435)*(T1435)))/W1435,0)</f>
        <v/>
      </c>
      <c r="Z1435">
        <f>IF(ABS(W1435)&gt;1E-12,((LTP3!$D$5)*((P1435)*(V1435)-(U1435)*(R1435))-(S1435)*((S1435)*(V1435)-(U1435)*(T1435))+(LTP3!$D$6)*((S1435)*(R1435)-(P1435)*(T1435)))/W1435,0)</f>
        <v/>
      </c>
      <c r="AA1435">
        <f>LTP3!$D$7-X1435*LTP3!$D$6-Y1435*U1435-Z1435*V1435</f>
        <v/>
      </c>
      <c r="AB1435">
        <f>IF(AND(F1435,ABS(W1435)&gt;1E-12,Y1435&gt;0,Z1435&gt;0),AA1435,1E+300)</f>
        <v/>
      </c>
    </row>
    <row r="1436">
      <c r="A1436">
        <f>$B$3+$B$5*23</f>
        <v/>
      </c>
      <c r="B1436">
        <f>$B$3+$B$5*21</f>
        <v/>
      </c>
      <c r="C1436">
        <f>SUMPRODUCT(Calc!$K$3:$K$22*(Calc!$G$3:$G$22&lt;=A1436))</f>
        <v/>
      </c>
      <c r="D1436">
        <f>SUMPRODUCT(Calc!$K$3:$K$22*(Calc!$G$3:$G$22&gt;A1436)*(Calc!$G$3:$G$22&lt;B1436))</f>
        <v/>
      </c>
      <c r="E1436">
        <f>SUMPRODUCT(Calc!$K$3:$K$22*(Calc!$G$3:$G$22&gt;=B1436))</f>
        <v/>
      </c>
      <c r="F1436">
        <f>AND(k_n&gt;=5,B1436&gt;A1436+1E-9,C1436&gt;=2,D1436&gt;=1,E1436&gt;=2)</f>
        <v/>
      </c>
      <c r="G1436">
        <f>SUMPRODUCT(Calc!$K$3:$K$22*(Calc!$G$3:$G$22&gt;A1436)*(Calc!$G$3:$G$22-A1436))</f>
        <v/>
      </c>
      <c r="H1436">
        <f>SUMPRODUCT(Calc!$K$3:$K$22*(Calc!$G$3:$G$22&gt;B1436)*(Calc!$G$3:$G$22-B1436))</f>
        <v/>
      </c>
      <c r="I1436">
        <f>SUMPRODUCT(Calc!$K$3:$K$22*(Calc!$G$3:$G$22&gt;A1436)*(Calc!$G$3:$G$22-A1436)^2)</f>
        <v/>
      </c>
      <c r="J1436">
        <f>SUMPRODUCT(Calc!$K$3:$K$22*(Calc!$G$3:$G$22&gt;B1436)*(Calc!$G$3:$G$22-B1436)^2)</f>
        <v/>
      </c>
      <c r="K1436">
        <f>SUMPRODUCT(Calc!$K$3:$K$22*(Calc!$G$3:$G$22&gt;A1436)*(Calc!$G$3:$G$22-A1436)*(Calc!$G$3:$G$22&gt;B1436)*(Calc!$G$3:$G$22-B1436))</f>
        <v/>
      </c>
      <c r="L1436">
        <f>SUMPRODUCT(Calc!$K$3:$K$22*(Calc!$G$3:$G$22&gt;A1436)*(Calc!$G$3:$G$22-A1436)*Calc!$G$3:$G$22)</f>
        <v/>
      </c>
      <c r="M1436">
        <f>SUMPRODUCT(Calc!$K$3:$K$22*(Calc!$G$3:$G$22&gt;B1436)*(Calc!$G$3:$G$22-B1436)*Calc!$G$3:$G$22)</f>
        <v/>
      </c>
      <c r="N1436">
        <f>SUMPRODUCT(Calc!$K$3:$K$22*(Calc!$G$3:$G$22&gt;A1436)*(Calc!$G$3:$G$22-A1436)*Calc!$I$3:$I$22)</f>
        <v/>
      </c>
      <c r="O1436">
        <f>SUMPRODUCT(Calc!$K$3:$K$22*(Calc!$G$3:$G$22&gt;B1436)*(Calc!$G$3:$G$22-B1436)*Calc!$I$3:$I$22)</f>
        <v/>
      </c>
      <c r="P1436">
        <f>I1436-G1436^2/k_n</f>
        <v/>
      </c>
      <c r="Q1436">
        <f>J1436-H1436^2/k_n</f>
        <v/>
      </c>
      <c r="R1436">
        <f>K1436-G1436*H1436/k_n</f>
        <v/>
      </c>
      <c r="S1436">
        <f>L1436-LTP3!$D$3*G1436/k_n</f>
        <v/>
      </c>
      <c r="T1436">
        <f>M1436-LTP3!$D$3*H1436/k_n</f>
        <v/>
      </c>
      <c r="U1436">
        <f>N1436-G1436*LTP3!$D$4/k_n</f>
        <v/>
      </c>
      <c r="V1436">
        <f>O1436-H1436*LTP3!$D$4/k_n</f>
        <v/>
      </c>
      <c r="W1436">
        <f>((LTP3!$D$5)*((P1436)*(Q1436)-(R1436)*(R1436))-(S1436)*((S1436)*(Q1436)-(R1436)*(T1436))+(T1436)*((S1436)*(R1436)-(P1436)*(T1436)))</f>
        <v/>
      </c>
      <c r="X1436">
        <f>IF(ABS(W1436)&gt;1E-12,((LTP3!$D$6)*((P1436)*(Q1436)-(R1436)*(R1436))-(S1436)*((U1436)*(Q1436)-(R1436)*(V1436))+(T1436)*((U1436)*(R1436)-(P1436)*(V1436)))/W1436,0)</f>
        <v/>
      </c>
      <c r="Y1436">
        <f>IF(ABS(W1436)&gt;1E-12,((LTP3!$D$5)*((U1436)*(Q1436)-(R1436)*(V1436))-(LTP3!$D$6)*((S1436)*(Q1436)-(R1436)*(T1436))+(T1436)*((S1436)*(V1436)-(U1436)*(T1436)))/W1436,0)</f>
        <v/>
      </c>
      <c r="Z1436">
        <f>IF(ABS(W1436)&gt;1E-12,((LTP3!$D$5)*((P1436)*(V1436)-(U1436)*(R1436))-(S1436)*((S1436)*(V1436)-(U1436)*(T1436))+(LTP3!$D$6)*((S1436)*(R1436)-(P1436)*(T1436)))/W1436,0)</f>
        <v/>
      </c>
      <c r="AA1436">
        <f>LTP3!$D$7-X1436*LTP3!$D$6-Y1436*U1436-Z1436*V1436</f>
        <v/>
      </c>
      <c r="AB1436">
        <f>IF(AND(F1436,ABS(W1436)&gt;1E-12,Y1436&gt;0,Z1436&gt;0),AA1436,1E+300)</f>
        <v/>
      </c>
    </row>
    <row r="1437">
      <c r="A1437">
        <f>$B$3+$B$5*23</f>
        <v/>
      </c>
      <c r="B1437">
        <f>$B$3+$B$5*22</f>
        <v/>
      </c>
      <c r="C1437">
        <f>SUMPRODUCT(Calc!$K$3:$K$22*(Calc!$G$3:$G$22&lt;=A1437))</f>
        <v/>
      </c>
      <c r="D1437">
        <f>SUMPRODUCT(Calc!$K$3:$K$22*(Calc!$G$3:$G$22&gt;A1437)*(Calc!$G$3:$G$22&lt;B1437))</f>
        <v/>
      </c>
      <c r="E1437">
        <f>SUMPRODUCT(Calc!$K$3:$K$22*(Calc!$G$3:$G$22&gt;=B1437))</f>
        <v/>
      </c>
      <c r="F1437">
        <f>AND(k_n&gt;=5,B1437&gt;A1437+1E-9,C1437&gt;=2,D1437&gt;=1,E1437&gt;=2)</f>
        <v/>
      </c>
      <c r="G1437">
        <f>SUMPRODUCT(Calc!$K$3:$K$22*(Calc!$G$3:$G$22&gt;A1437)*(Calc!$G$3:$G$22-A1437))</f>
        <v/>
      </c>
      <c r="H1437">
        <f>SUMPRODUCT(Calc!$K$3:$K$22*(Calc!$G$3:$G$22&gt;B1437)*(Calc!$G$3:$G$22-B1437))</f>
        <v/>
      </c>
      <c r="I1437">
        <f>SUMPRODUCT(Calc!$K$3:$K$22*(Calc!$G$3:$G$22&gt;A1437)*(Calc!$G$3:$G$22-A1437)^2)</f>
        <v/>
      </c>
      <c r="J1437">
        <f>SUMPRODUCT(Calc!$K$3:$K$22*(Calc!$G$3:$G$22&gt;B1437)*(Calc!$G$3:$G$22-B1437)^2)</f>
        <v/>
      </c>
      <c r="K1437">
        <f>SUMPRODUCT(Calc!$K$3:$K$22*(Calc!$G$3:$G$22&gt;A1437)*(Calc!$G$3:$G$22-A1437)*(Calc!$G$3:$G$22&gt;B1437)*(Calc!$G$3:$G$22-B1437))</f>
        <v/>
      </c>
      <c r="L1437">
        <f>SUMPRODUCT(Calc!$K$3:$K$22*(Calc!$G$3:$G$22&gt;A1437)*(Calc!$G$3:$G$22-A1437)*Calc!$G$3:$G$22)</f>
        <v/>
      </c>
      <c r="M1437">
        <f>SUMPRODUCT(Calc!$K$3:$K$22*(Calc!$G$3:$G$22&gt;B1437)*(Calc!$G$3:$G$22-B1437)*Calc!$G$3:$G$22)</f>
        <v/>
      </c>
      <c r="N1437">
        <f>SUMPRODUCT(Calc!$K$3:$K$22*(Calc!$G$3:$G$22&gt;A1437)*(Calc!$G$3:$G$22-A1437)*Calc!$I$3:$I$22)</f>
        <v/>
      </c>
      <c r="O1437">
        <f>SUMPRODUCT(Calc!$K$3:$K$22*(Calc!$G$3:$G$22&gt;B1437)*(Calc!$G$3:$G$22-B1437)*Calc!$I$3:$I$22)</f>
        <v/>
      </c>
      <c r="P1437">
        <f>I1437-G1437^2/k_n</f>
        <v/>
      </c>
      <c r="Q1437">
        <f>J1437-H1437^2/k_n</f>
        <v/>
      </c>
      <c r="R1437">
        <f>K1437-G1437*H1437/k_n</f>
        <v/>
      </c>
      <c r="S1437">
        <f>L1437-LTP3!$D$3*G1437/k_n</f>
        <v/>
      </c>
      <c r="T1437">
        <f>M1437-LTP3!$D$3*H1437/k_n</f>
        <v/>
      </c>
      <c r="U1437">
        <f>N1437-G1437*LTP3!$D$4/k_n</f>
        <v/>
      </c>
      <c r="V1437">
        <f>O1437-H1437*LTP3!$D$4/k_n</f>
        <v/>
      </c>
      <c r="W1437">
        <f>((LTP3!$D$5)*((P1437)*(Q1437)-(R1437)*(R1437))-(S1437)*((S1437)*(Q1437)-(R1437)*(T1437))+(T1437)*((S1437)*(R1437)-(P1437)*(T1437)))</f>
        <v/>
      </c>
      <c r="X1437">
        <f>IF(ABS(W1437)&gt;1E-12,((LTP3!$D$6)*((P1437)*(Q1437)-(R1437)*(R1437))-(S1437)*((U1437)*(Q1437)-(R1437)*(V1437))+(T1437)*((U1437)*(R1437)-(P1437)*(V1437)))/W1437,0)</f>
        <v/>
      </c>
      <c r="Y1437">
        <f>IF(ABS(W1437)&gt;1E-12,((LTP3!$D$5)*((U1437)*(Q1437)-(R1437)*(V1437))-(LTP3!$D$6)*((S1437)*(Q1437)-(R1437)*(T1437))+(T1437)*((S1437)*(V1437)-(U1437)*(T1437)))/W1437,0)</f>
        <v/>
      </c>
      <c r="Z1437">
        <f>IF(ABS(W1437)&gt;1E-12,((LTP3!$D$5)*((P1437)*(V1437)-(U1437)*(R1437))-(S1437)*((S1437)*(V1437)-(U1437)*(T1437))+(LTP3!$D$6)*((S1437)*(R1437)-(P1437)*(T1437)))/W1437,0)</f>
        <v/>
      </c>
      <c r="AA1437">
        <f>LTP3!$D$7-X1437*LTP3!$D$6-Y1437*U1437-Z1437*V1437</f>
        <v/>
      </c>
      <c r="AB1437">
        <f>IF(AND(F1437,ABS(W1437)&gt;1E-12,Y1437&gt;0,Z1437&gt;0),AA1437,1E+300)</f>
        <v/>
      </c>
    </row>
    <row r="1438">
      <c r="A1438">
        <f>$B$3+$B$5*23</f>
        <v/>
      </c>
      <c r="B1438">
        <f>$B$3+$B$5*23</f>
        <v/>
      </c>
      <c r="C1438">
        <f>SUMPRODUCT(Calc!$K$3:$K$22*(Calc!$G$3:$G$22&lt;=A1438))</f>
        <v/>
      </c>
      <c r="D1438">
        <f>SUMPRODUCT(Calc!$K$3:$K$22*(Calc!$G$3:$G$22&gt;A1438)*(Calc!$G$3:$G$22&lt;B1438))</f>
        <v/>
      </c>
      <c r="E1438">
        <f>SUMPRODUCT(Calc!$K$3:$K$22*(Calc!$G$3:$G$22&gt;=B1438))</f>
        <v/>
      </c>
      <c r="F1438">
        <f>AND(k_n&gt;=5,B1438&gt;A1438+1E-9,C1438&gt;=2,D1438&gt;=1,E1438&gt;=2)</f>
        <v/>
      </c>
      <c r="G1438">
        <f>SUMPRODUCT(Calc!$K$3:$K$22*(Calc!$G$3:$G$22&gt;A1438)*(Calc!$G$3:$G$22-A1438))</f>
        <v/>
      </c>
      <c r="H1438">
        <f>SUMPRODUCT(Calc!$K$3:$K$22*(Calc!$G$3:$G$22&gt;B1438)*(Calc!$G$3:$G$22-B1438))</f>
        <v/>
      </c>
      <c r="I1438">
        <f>SUMPRODUCT(Calc!$K$3:$K$22*(Calc!$G$3:$G$22&gt;A1438)*(Calc!$G$3:$G$22-A1438)^2)</f>
        <v/>
      </c>
      <c r="J1438">
        <f>SUMPRODUCT(Calc!$K$3:$K$22*(Calc!$G$3:$G$22&gt;B1438)*(Calc!$G$3:$G$22-B1438)^2)</f>
        <v/>
      </c>
      <c r="K1438">
        <f>SUMPRODUCT(Calc!$K$3:$K$22*(Calc!$G$3:$G$22&gt;A1438)*(Calc!$G$3:$G$22-A1438)*(Calc!$G$3:$G$22&gt;B1438)*(Calc!$G$3:$G$22-B1438))</f>
        <v/>
      </c>
      <c r="L1438">
        <f>SUMPRODUCT(Calc!$K$3:$K$22*(Calc!$G$3:$G$22&gt;A1438)*(Calc!$G$3:$G$22-A1438)*Calc!$G$3:$G$22)</f>
        <v/>
      </c>
      <c r="M1438">
        <f>SUMPRODUCT(Calc!$K$3:$K$22*(Calc!$G$3:$G$22&gt;B1438)*(Calc!$G$3:$G$22-B1438)*Calc!$G$3:$G$22)</f>
        <v/>
      </c>
      <c r="N1438">
        <f>SUMPRODUCT(Calc!$K$3:$K$22*(Calc!$G$3:$G$22&gt;A1438)*(Calc!$G$3:$G$22-A1438)*Calc!$I$3:$I$22)</f>
        <v/>
      </c>
      <c r="O1438">
        <f>SUMPRODUCT(Calc!$K$3:$K$22*(Calc!$G$3:$G$22&gt;B1438)*(Calc!$G$3:$G$22-B1438)*Calc!$I$3:$I$22)</f>
        <v/>
      </c>
      <c r="P1438">
        <f>I1438-G1438^2/k_n</f>
        <v/>
      </c>
      <c r="Q1438">
        <f>J1438-H1438^2/k_n</f>
        <v/>
      </c>
      <c r="R1438">
        <f>K1438-G1438*H1438/k_n</f>
        <v/>
      </c>
      <c r="S1438">
        <f>L1438-LTP3!$D$3*G1438/k_n</f>
        <v/>
      </c>
      <c r="T1438">
        <f>M1438-LTP3!$D$3*H1438/k_n</f>
        <v/>
      </c>
      <c r="U1438">
        <f>N1438-G1438*LTP3!$D$4/k_n</f>
        <v/>
      </c>
      <c r="V1438">
        <f>O1438-H1438*LTP3!$D$4/k_n</f>
        <v/>
      </c>
      <c r="W1438">
        <f>((LTP3!$D$5)*((P1438)*(Q1438)-(R1438)*(R1438))-(S1438)*((S1438)*(Q1438)-(R1438)*(T1438))+(T1438)*((S1438)*(R1438)-(P1438)*(T1438)))</f>
        <v/>
      </c>
      <c r="X1438">
        <f>IF(ABS(W1438)&gt;1E-12,((LTP3!$D$6)*((P1438)*(Q1438)-(R1438)*(R1438))-(S1438)*((U1438)*(Q1438)-(R1438)*(V1438))+(T1438)*((U1438)*(R1438)-(P1438)*(V1438)))/W1438,0)</f>
        <v/>
      </c>
      <c r="Y1438">
        <f>IF(ABS(W1438)&gt;1E-12,((LTP3!$D$5)*((U1438)*(Q1438)-(R1438)*(V1438))-(LTP3!$D$6)*((S1438)*(Q1438)-(R1438)*(T1438))+(T1438)*((S1438)*(V1438)-(U1438)*(T1438)))/W1438,0)</f>
        <v/>
      </c>
      <c r="Z1438">
        <f>IF(ABS(W1438)&gt;1E-12,((LTP3!$D$5)*((P1438)*(V1438)-(U1438)*(R1438))-(S1438)*((S1438)*(V1438)-(U1438)*(T1438))+(LTP3!$D$6)*((S1438)*(R1438)-(P1438)*(T1438)))/W1438,0)</f>
        <v/>
      </c>
      <c r="AA1438">
        <f>LTP3!$D$7-X1438*LTP3!$D$6-Y1438*U1438-Z1438*V1438</f>
        <v/>
      </c>
      <c r="AB1438">
        <f>IF(AND(F1438,ABS(W1438)&gt;1E-12,Y1438&gt;0,Z1438&gt;0),AA1438,1E+300)</f>
        <v/>
      </c>
    </row>
    <row r="1439">
      <c r="A1439">
        <f>$B$3+$B$5*23</f>
        <v/>
      </c>
      <c r="B1439">
        <f>$B$3+$B$5*24</f>
        <v/>
      </c>
      <c r="C1439">
        <f>SUMPRODUCT(Calc!$K$3:$K$22*(Calc!$G$3:$G$22&lt;=A1439))</f>
        <v/>
      </c>
      <c r="D1439">
        <f>SUMPRODUCT(Calc!$K$3:$K$22*(Calc!$G$3:$G$22&gt;A1439)*(Calc!$G$3:$G$22&lt;B1439))</f>
        <v/>
      </c>
      <c r="E1439">
        <f>SUMPRODUCT(Calc!$K$3:$K$22*(Calc!$G$3:$G$22&gt;=B1439))</f>
        <v/>
      </c>
      <c r="F1439">
        <f>AND(k_n&gt;=5,B1439&gt;A1439+1E-9,C1439&gt;=2,D1439&gt;=1,E1439&gt;=2)</f>
        <v/>
      </c>
      <c r="G1439">
        <f>SUMPRODUCT(Calc!$K$3:$K$22*(Calc!$G$3:$G$22&gt;A1439)*(Calc!$G$3:$G$22-A1439))</f>
        <v/>
      </c>
      <c r="H1439">
        <f>SUMPRODUCT(Calc!$K$3:$K$22*(Calc!$G$3:$G$22&gt;B1439)*(Calc!$G$3:$G$22-B1439))</f>
        <v/>
      </c>
      <c r="I1439">
        <f>SUMPRODUCT(Calc!$K$3:$K$22*(Calc!$G$3:$G$22&gt;A1439)*(Calc!$G$3:$G$22-A1439)^2)</f>
        <v/>
      </c>
      <c r="J1439">
        <f>SUMPRODUCT(Calc!$K$3:$K$22*(Calc!$G$3:$G$22&gt;B1439)*(Calc!$G$3:$G$22-B1439)^2)</f>
        <v/>
      </c>
      <c r="K1439">
        <f>SUMPRODUCT(Calc!$K$3:$K$22*(Calc!$G$3:$G$22&gt;A1439)*(Calc!$G$3:$G$22-A1439)*(Calc!$G$3:$G$22&gt;B1439)*(Calc!$G$3:$G$22-B1439))</f>
        <v/>
      </c>
      <c r="L1439">
        <f>SUMPRODUCT(Calc!$K$3:$K$22*(Calc!$G$3:$G$22&gt;A1439)*(Calc!$G$3:$G$22-A1439)*Calc!$G$3:$G$22)</f>
        <v/>
      </c>
      <c r="M1439">
        <f>SUMPRODUCT(Calc!$K$3:$K$22*(Calc!$G$3:$G$22&gt;B1439)*(Calc!$G$3:$G$22-B1439)*Calc!$G$3:$G$22)</f>
        <v/>
      </c>
      <c r="N1439">
        <f>SUMPRODUCT(Calc!$K$3:$K$22*(Calc!$G$3:$G$22&gt;A1439)*(Calc!$G$3:$G$22-A1439)*Calc!$I$3:$I$22)</f>
        <v/>
      </c>
      <c r="O1439">
        <f>SUMPRODUCT(Calc!$K$3:$K$22*(Calc!$G$3:$G$22&gt;B1439)*(Calc!$G$3:$G$22-B1439)*Calc!$I$3:$I$22)</f>
        <v/>
      </c>
      <c r="P1439">
        <f>I1439-G1439^2/k_n</f>
        <v/>
      </c>
      <c r="Q1439">
        <f>J1439-H1439^2/k_n</f>
        <v/>
      </c>
      <c r="R1439">
        <f>K1439-G1439*H1439/k_n</f>
        <v/>
      </c>
      <c r="S1439">
        <f>L1439-LTP3!$D$3*G1439/k_n</f>
        <v/>
      </c>
      <c r="T1439">
        <f>M1439-LTP3!$D$3*H1439/k_n</f>
        <v/>
      </c>
      <c r="U1439">
        <f>N1439-G1439*LTP3!$D$4/k_n</f>
        <v/>
      </c>
      <c r="V1439">
        <f>O1439-H1439*LTP3!$D$4/k_n</f>
        <v/>
      </c>
      <c r="W1439">
        <f>((LTP3!$D$5)*((P1439)*(Q1439)-(R1439)*(R1439))-(S1439)*((S1439)*(Q1439)-(R1439)*(T1439))+(T1439)*((S1439)*(R1439)-(P1439)*(T1439)))</f>
        <v/>
      </c>
      <c r="X1439">
        <f>IF(ABS(W1439)&gt;1E-12,((LTP3!$D$6)*((P1439)*(Q1439)-(R1439)*(R1439))-(S1439)*((U1439)*(Q1439)-(R1439)*(V1439))+(T1439)*((U1439)*(R1439)-(P1439)*(V1439)))/W1439,0)</f>
        <v/>
      </c>
      <c r="Y1439">
        <f>IF(ABS(W1439)&gt;1E-12,((LTP3!$D$5)*((U1439)*(Q1439)-(R1439)*(V1439))-(LTP3!$D$6)*((S1439)*(Q1439)-(R1439)*(T1439))+(T1439)*((S1439)*(V1439)-(U1439)*(T1439)))/W1439,0)</f>
        <v/>
      </c>
      <c r="Z1439">
        <f>IF(ABS(W1439)&gt;1E-12,((LTP3!$D$5)*((P1439)*(V1439)-(U1439)*(R1439))-(S1439)*((S1439)*(V1439)-(U1439)*(T1439))+(LTP3!$D$6)*((S1439)*(R1439)-(P1439)*(T1439)))/W1439,0)</f>
        <v/>
      </c>
      <c r="AA1439">
        <f>LTP3!$D$7-X1439*LTP3!$D$6-Y1439*U1439-Z1439*V1439</f>
        <v/>
      </c>
      <c r="AB1439">
        <f>IF(AND(F1439,ABS(W1439)&gt;1E-12,Y1439&gt;0,Z1439&gt;0),AA1439,1E+300)</f>
        <v/>
      </c>
    </row>
    <row r="1440">
      <c r="A1440">
        <f>$B$3+$B$5*23</f>
        <v/>
      </c>
      <c r="B1440">
        <f>$B$3+$B$5*25</f>
        <v/>
      </c>
      <c r="C1440">
        <f>SUMPRODUCT(Calc!$K$3:$K$22*(Calc!$G$3:$G$22&lt;=A1440))</f>
        <v/>
      </c>
      <c r="D1440">
        <f>SUMPRODUCT(Calc!$K$3:$K$22*(Calc!$G$3:$G$22&gt;A1440)*(Calc!$G$3:$G$22&lt;B1440))</f>
        <v/>
      </c>
      <c r="E1440">
        <f>SUMPRODUCT(Calc!$K$3:$K$22*(Calc!$G$3:$G$22&gt;=B1440))</f>
        <v/>
      </c>
      <c r="F1440">
        <f>AND(k_n&gt;=5,B1440&gt;A1440+1E-9,C1440&gt;=2,D1440&gt;=1,E1440&gt;=2)</f>
        <v/>
      </c>
      <c r="G1440">
        <f>SUMPRODUCT(Calc!$K$3:$K$22*(Calc!$G$3:$G$22&gt;A1440)*(Calc!$G$3:$G$22-A1440))</f>
        <v/>
      </c>
      <c r="H1440">
        <f>SUMPRODUCT(Calc!$K$3:$K$22*(Calc!$G$3:$G$22&gt;B1440)*(Calc!$G$3:$G$22-B1440))</f>
        <v/>
      </c>
      <c r="I1440">
        <f>SUMPRODUCT(Calc!$K$3:$K$22*(Calc!$G$3:$G$22&gt;A1440)*(Calc!$G$3:$G$22-A1440)^2)</f>
        <v/>
      </c>
      <c r="J1440">
        <f>SUMPRODUCT(Calc!$K$3:$K$22*(Calc!$G$3:$G$22&gt;B1440)*(Calc!$G$3:$G$22-B1440)^2)</f>
        <v/>
      </c>
      <c r="K1440">
        <f>SUMPRODUCT(Calc!$K$3:$K$22*(Calc!$G$3:$G$22&gt;A1440)*(Calc!$G$3:$G$22-A1440)*(Calc!$G$3:$G$22&gt;B1440)*(Calc!$G$3:$G$22-B1440))</f>
        <v/>
      </c>
      <c r="L1440">
        <f>SUMPRODUCT(Calc!$K$3:$K$22*(Calc!$G$3:$G$22&gt;A1440)*(Calc!$G$3:$G$22-A1440)*Calc!$G$3:$G$22)</f>
        <v/>
      </c>
      <c r="M1440">
        <f>SUMPRODUCT(Calc!$K$3:$K$22*(Calc!$G$3:$G$22&gt;B1440)*(Calc!$G$3:$G$22-B1440)*Calc!$G$3:$G$22)</f>
        <v/>
      </c>
      <c r="N1440">
        <f>SUMPRODUCT(Calc!$K$3:$K$22*(Calc!$G$3:$G$22&gt;A1440)*(Calc!$G$3:$G$22-A1440)*Calc!$I$3:$I$22)</f>
        <v/>
      </c>
      <c r="O1440">
        <f>SUMPRODUCT(Calc!$K$3:$K$22*(Calc!$G$3:$G$22&gt;B1440)*(Calc!$G$3:$G$22-B1440)*Calc!$I$3:$I$22)</f>
        <v/>
      </c>
      <c r="P1440">
        <f>I1440-G1440^2/k_n</f>
        <v/>
      </c>
      <c r="Q1440">
        <f>J1440-H1440^2/k_n</f>
        <v/>
      </c>
      <c r="R1440">
        <f>K1440-G1440*H1440/k_n</f>
        <v/>
      </c>
      <c r="S1440">
        <f>L1440-LTP3!$D$3*G1440/k_n</f>
        <v/>
      </c>
      <c r="T1440">
        <f>M1440-LTP3!$D$3*H1440/k_n</f>
        <v/>
      </c>
      <c r="U1440">
        <f>N1440-G1440*LTP3!$D$4/k_n</f>
        <v/>
      </c>
      <c r="V1440">
        <f>O1440-H1440*LTP3!$D$4/k_n</f>
        <v/>
      </c>
      <c r="W1440">
        <f>((LTP3!$D$5)*((P1440)*(Q1440)-(R1440)*(R1440))-(S1440)*((S1440)*(Q1440)-(R1440)*(T1440))+(T1440)*((S1440)*(R1440)-(P1440)*(T1440)))</f>
        <v/>
      </c>
      <c r="X1440">
        <f>IF(ABS(W1440)&gt;1E-12,((LTP3!$D$6)*((P1440)*(Q1440)-(R1440)*(R1440))-(S1440)*((U1440)*(Q1440)-(R1440)*(V1440))+(T1440)*((U1440)*(R1440)-(P1440)*(V1440)))/W1440,0)</f>
        <v/>
      </c>
      <c r="Y1440">
        <f>IF(ABS(W1440)&gt;1E-12,((LTP3!$D$5)*((U1440)*(Q1440)-(R1440)*(V1440))-(LTP3!$D$6)*((S1440)*(Q1440)-(R1440)*(T1440))+(T1440)*((S1440)*(V1440)-(U1440)*(T1440)))/W1440,0)</f>
        <v/>
      </c>
      <c r="Z1440">
        <f>IF(ABS(W1440)&gt;1E-12,((LTP3!$D$5)*((P1440)*(V1440)-(U1440)*(R1440))-(S1440)*((S1440)*(V1440)-(U1440)*(T1440))+(LTP3!$D$6)*((S1440)*(R1440)-(P1440)*(T1440)))/W1440,0)</f>
        <v/>
      </c>
      <c r="AA1440">
        <f>LTP3!$D$7-X1440*LTP3!$D$6-Y1440*U1440-Z1440*V1440</f>
        <v/>
      </c>
      <c r="AB1440">
        <f>IF(AND(F1440,ABS(W1440)&gt;1E-12,Y1440&gt;0,Z1440&gt;0),AA1440,1E+300)</f>
        <v/>
      </c>
    </row>
    <row r="1441">
      <c r="A1441">
        <f>$B$3+$B$5*23</f>
        <v/>
      </c>
      <c r="B1441">
        <f>$B$3+$B$5*26</f>
        <v/>
      </c>
      <c r="C1441">
        <f>SUMPRODUCT(Calc!$K$3:$K$22*(Calc!$G$3:$G$22&lt;=A1441))</f>
        <v/>
      </c>
      <c r="D1441">
        <f>SUMPRODUCT(Calc!$K$3:$K$22*(Calc!$G$3:$G$22&gt;A1441)*(Calc!$G$3:$G$22&lt;B1441))</f>
        <v/>
      </c>
      <c r="E1441">
        <f>SUMPRODUCT(Calc!$K$3:$K$22*(Calc!$G$3:$G$22&gt;=B1441))</f>
        <v/>
      </c>
      <c r="F1441">
        <f>AND(k_n&gt;=5,B1441&gt;A1441+1E-9,C1441&gt;=2,D1441&gt;=1,E1441&gt;=2)</f>
        <v/>
      </c>
      <c r="G1441">
        <f>SUMPRODUCT(Calc!$K$3:$K$22*(Calc!$G$3:$G$22&gt;A1441)*(Calc!$G$3:$G$22-A1441))</f>
        <v/>
      </c>
      <c r="H1441">
        <f>SUMPRODUCT(Calc!$K$3:$K$22*(Calc!$G$3:$G$22&gt;B1441)*(Calc!$G$3:$G$22-B1441))</f>
        <v/>
      </c>
      <c r="I1441">
        <f>SUMPRODUCT(Calc!$K$3:$K$22*(Calc!$G$3:$G$22&gt;A1441)*(Calc!$G$3:$G$22-A1441)^2)</f>
        <v/>
      </c>
      <c r="J1441">
        <f>SUMPRODUCT(Calc!$K$3:$K$22*(Calc!$G$3:$G$22&gt;B1441)*(Calc!$G$3:$G$22-B1441)^2)</f>
        <v/>
      </c>
      <c r="K1441">
        <f>SUMPRODUCT(Calc!$K$3:$K$22*(Calc!$G$3:$G$22&gt;A1441)*(Calc!$G$3:$G$22-A1441)*(Calc!$G$3:$G$22&gt;B1441)*(Calc!$G$3:$G$22-B1441))</f>
        <v/>
      </c>
      <c r="L1441">
        <f>SUMPRODUCT(Calc!$K$3:$K$22*(Calc!$G$3:$G$22&gt;A1441)*(Calc!$G$3:$G$22-A1441)*Calc!$G$3:$G$22)</f>
        <v/>
      </c>
      <c r="M1441">
        <f>SUMPRODUCT(Calc!$K$3:$K$22*(Calc!$G$3:$G$22&gt;B1441)*(Calc!$G$3:$G$22-B1441)*Calc!$G$3:$G$22)</f>
        <v/>
      </c>
      <c r="N1441">
        <f>SUMPRODUCT(Calc!$K$3:$K$22*(Calc!$G$3:$G$22&gt;A1441)*(Calc!$G$3:$G$22-A1441)*Calc!$I$3:$I$22)</f>
        <v/>
      </c>
      <c r="O1441">
        <f>SUMPRODUCT(Calc!$K$3:$K$22*(Calc!$G$3:$G$22&gt;B1441)*(Calc!$G$3:$G$22-B1441)*Calc!$I$3:$I$22)</f>
        <v/>
      </c>
      <c r="P1441">
        <f>I1441-G1441^2/k_n</f>
        <v/>
      </c>
      <c r="Q1441">
        <f>J1441-H1441^2/k_n</f>
        <v/>
      </c>
      <c r="R1441">
        <f>K1441-G1441*H1441/k_n</f>
        <v/>
      </c>
      <c r="S1441">
        <f>L1441-LTP3!$D$3*G1441/k_n</f>
        <v/>
      </c>
      <c r="T1441">
        <f>M1441-LTP3!$D$3*H1441/k_n</f>
        <v/>
      </c>
      <c r="U1441">
        <f>N1441-G1441*LTP3!$D$4/k_n</f>
        <v/>
      </c>
      <c r="V1441">
        <f>O1441-H1441*LTP3!$D$4/k_n</f>
        <v/>
      </c>
      <c r="W1441">
        <f>((LTP3!$D$5)*((P1441)*(Q1441)-(R1441)*(R1441))-(S1441)*((S1441)*(Q1441)-(R1441)*(T1441))+(T1441)*((S1441)*(R1441)-(P1441)*(T1441)))</f>
        <v/>
      </c>
      <c r="X1441">
        <f>IF(ABS(W1441)&gt;1E-12,((LTP3!$D$6)*((P1441)*(Q1441)-(R1441)*(R1441))-(S1441)*((U1441)*(Q1441)-(R1441)*(V1441))+(T1441)*((U1441)*(R1441)-(P1441)*(V1441)))/W1441,0)</f>
        <v/>
      </c>
      <c r="Y1441">
        <f>IF(ABS(W1441)&gt;1E-12,((LTP3!$D$5)*((U1441)*(Q1441)-(R1441)*(V1441))-(LTP3!$D$6)*((S1441)*(Q1441)-(R1441)*(T1441))+(T1441)*((S1441)*(V1441)-(U1441)*(T1441)))/W1441,0)</f>
        <v/>
      </c>
      <c r="Z1441">
        <f>IF(ABS(W1441)&gt;1E-12,((LTP3!$D$5)*((P1441)*(V1441)-(U1441)*(R1441))-(S1441)*((S1441)*(V1441)-(U1441)*(T1441))+(LTP3!$D$6)*((S1441)*(R1441)-(P1441)*(T1441)))/W1441,0)</f>
        <v/>
      </c>
      <c r="AA1441">
        <f>LTP3!$D$7-X1441*LTP3!$D$6-Y1441*U1441-Z1441*V1441</f>
        <v/>
      </c>
      <c r="AB1441">
        <f>IF(AND(F1441,ABS(W1441)&gt;1E-12,Y1441&gt;0,Z1441&gt;0),AA1441,1E+300)</f>
        <v/>
      </c>
    </row>
    <row r="1442">
      <c r="A1442">
        <f>$B$3+$B$5*23</f>
        <v/>
      </c>
      <c r="B1442">
        <f>$B$3+$B$5*27</f>
        <v/>
      </c>
      <c r="C1442">
        <f>SUMPRODUCT(Calc!$K$3:$K$22*(Calc!$G$3:$G$22&lt;=A1442))</f>
        <v/>
      </c>
      <c r="D1442">
        <f>SUMPRODUCT(Calc!$K$3:$K$22*(Calc!$G$3:$G$22&gt;A1442)*(Calc!$G$3:$G$22&lt;B1442))</f>
        <v/>
      </c>
      <c r="E1442">
        <f>SUMPRODUCT(Calc!$K$3:$K$22*(Calc!$G$3:$G$22&gt;=B1442))</f>
        <v/>
      </c>
      <c r="F1442">
        <f>AND(k_n&gt;=5,B1442&gt;A1442+1E-9,C1442&gt;=2,D1442&gt;=1,E1442&gt;=2)</f>
        <v/>
      </c>
      <c r="G1442">
        <f>SUMPRODUCT(Calc!$K$3:$K$22*(Calc!$G$3:$G$22&gt;A1442)*(Calc!$G$3:$G$22-A1442))</f>
        <v/>
      </c>
      <c r="H1442">
        <f>SUMPRODUCT(Calc!$K$3:$K$22*(Calc!$G$3:$G$22&gt;B1442)*(Calc!$G$3:$G$22-B1442))</f>
        <v/>
      </c>
      <c r="I1442">
        <f>SUMPRODUCT(Calc!$K$3:$K$22*(Calc!$G$3:$G$22&gt;A1442)*(Calc!$G$3:$G$22-A1442)^2)</f>
        <v/>
      </c>
      <c r="J1442">
        <f>SUMPRODUCT(Calc!$K$3:$K$22*(Calc!$G$3:$G$22&gt;B1442)*(Calc!$G$3:$G$22-B1442)^2)</f>
        <v/>
      </c>
      <c r="K1442">
        <f>SUMPRODUCT(Calc!$K$3:$K$22*(Calc!$G$3:$G$22&gt;A1442)*(Calc!$G$3:$G$22-A1442)*(Calc!$G$3:$G$22&gt;B1442)*(Calc!$G$3:$G$22-B1442))</f>
        <v/>
      </c>
      <c r="L1442">
        <f>SUMPRODUCT(Calc!$K$3:$K$22*(Calc!$G$3:$G$22&gt;A1442)*(Calc!$G$3:$G$22-A1442)*Calc!$G$3:$G$22)</f>
        <v/>
      </c>
      <c r="M1442">
        <f>SUMPRODUCT(Calc!$K$3:$K$22*(Calc!$G$3:$G$22&gt;B1442)*(Calc!$G$3:$G$22-B1442)*Calc!$G$3:$G$22)</f>
        <v/>
      </c>
      <c r="N1442">
        <f>SUMPRODUCT(Calc!$K$3:$K$22*(Calc!$G$3:$G$22&gt;A1442)*(Calc!$G$3:$G$22-A1442)*Calc!$I$3:$I$22)</f>
        <v/>
      </c>
      <c r="O1442">
        <f>SUMPRODUCT(Calc!$K$3:$K$22*(Calc!$G$3:$G$22&gt;B1442)*(Calc!$G$3:$G$22-B1442)*Calc!$I$3:$I$22)</f>
        <v/>
      </c>
      <c r="P1442">
        <f>I1442-G1442^2/k_n</f>
        <v/>
      </c>
      <c r="Q1442">
        <f>J1442-H1442^2/k_n</f>
        <v/>
      </c>
      <c r="R1442">
        <f>K1442-G1442*H1442/k_n</f>
        <v/>
      </c>
      <c r="S1442">
        <f>L1442-LTP3!$D$3*G1442/k_n</f>
        <v/>
      </c>
      <c r="T1442">
        <f>M1442-LTP3!$D$3*H1442/k_n</f>
        <v/>
      </c>
      <c r="U1442">
        <f>N1442-G1442*LTP3!$D$4/k_n</f>
        <v/>
      </c>
      <c r="V1442">
        <f>O1442-H1442*LTP3!$D$4/k_n</f>
        <v/>
      </c>
      <c r="W1442">
        <f>((LTP3!$D$5)*((P1442)*(Q1442)-(R1442)*(R1442))-(S1442)*((S1442)*(Q1442)-(R1442)*(T1442))+(T1442)*((S1442)*(R1442)-(P1442)*(T1442)))</f>
        <v/>
      </c>
      <c r="X1442">
        <f>IF(ABS(W1442)&gt;1E-12,((LTP3!$D$6)*((P1442)*(Q1442)-(R1442)*(R1442))-(S1442)*((U1442)*(Q1442)-(R1442)*(V1442))+(T1442)*((U1442)*(R1442)-(P1442)*(V1442)))/W1442,0)</f>
        <v/>
      </c>
      <c r="Y1442">
        <f>IF(ABS(W1442)&gt;1E-12,((LTP3!$D$5)*((U1442)*(Q1442)-(R1442)*(V1442))-(LTP3!$D$6)*((S1442)*(Q1442)-(R1442)*(T1442))+(T1442)*((S1442)*(V1442)-(U1442)*(T1442)))/W1442,0)</f>
        <v/>
      </c>
      <c r="Z1442">
        <f>IF(ABS(W1442)&gt;1E-12,((LTP3!$D$5)*((P1442)*(V1442)-(U1442)*(R1442))-(S1442)*((S1442)*(V1442)-(U1442)*(T1442))+(LTP3!$D$6)*((S1442)*(R1442)-(P1442)*(T1442)))/W1442,0)</f>
        <v/>
      </c>
      <c r="AA1442">
        <f>LTP3!$D$7-X1442*LTP3!$D$6-Y1442*U1442-Z1442*V1442</f>
        <v/>
      </c>
      <c r="AB1442">
        <f>IF(AND(F1442,ABS(W1442)&gt;1E-12,Y1442&gt;0,Z1442&gt;0),AA1442,1E+300)</f>
        <v/>
      </c>
    </row>
    <row r="1443">
      <c r="A1443">
        <f>$B$3+$B$5*23</f>
        <v/>
      </c>
      <c r="B1443">
        <f>$B$3+$B$5*28</f>
        <v/>
      </c>
      <c r="C1443">
        <f>SUMPRODUCT(Calc!$K$3:$K$22*(Calc!$G$3:$G$22&lt;=A1443))</f>
        <v/>
      </c>
      <c r="D1443">
        <f>SUMPRODUCT(Calc!$K$3:$K$22*(Calc!$G$3:$G$22&gt;A1443)*(Calc!$G$3:$G$22&lt;B1443))</f>
        <v/>
      </c>
      <c r="E1443">
        <f>SUMPRODUCT(Calc!$K$3:$K$22*(Calc!$G$3:$G$22&gt;=B1443))</f>
        <v/>
      </c>
      <c r="F1443">
        <f>AND(k_n&gt;=5,B1443&gt;A1443+1E-9,C1443&gt;=2,D1443&gt;=1,E1443&gt;=2)</f>
        <v/>
      </c>
      <c r="G1443">
        <f>SUMPRODUCT(Calc!$K$3:$K$22*(Calc!$G$3:$G$22&gt;A1443)*(Calc!$G$3:$G$22-A1443))</f>
        <v/>
      </c>
      <c r="H1443">
        <f>SUMPRODUCT(Calc!$K$3:$K$22*(Calc!$G$3:$G$22&gt;B1443)*(Calc!$G$3:$G$22-B1443))</f>
        <v/>
      </c>
      <c r="I1443">
        <f>SUMPRODUCT(Calc!$K$3:$K$22*(Calc!$G$3:$G$22&gt;A1443)*(Calc!$G$3:$G$22-A1443)^2)</f>
        <v/>
      </c>
      <c r="J1443">
        <f>SUMPRODUCT(Calc!$K$3:$K$22*(Calc!$G$3:$G$22&gt;B1443)*(Calc!$G$3:$G$22-B1443)^2)</f>
        <v/>
      </c>
      <c r="K1443">
        <f>SUMPRODUCT(Calc!$K$3:$K$22*(Calc!$G$3:$G$22&gt;A1443)*(Calc!$G$3:$G$22-A1443)*(Calc!$G$3:$G$22&gt;B1443)*(Calc!$G$3:$G$22-B1443))</f>
        <v/>
      </c>
      <c r="L1443">
        <f>SUMPRODUCT(Calc!$K$3:$K$22*(Calc!$G$3:$G$22&gt;A1443)*(Calc!$G$3:$G$22-A1443)*Calc!$G$3:$G$22)</f>
        <v/>
      </c>
      <c r="M1443">
        <f>SUMPRODUCT(Calc!$K$3:$K$22*(Calc!$G$3:$G$22&gt;B1443)*(Calc!$G$3:$G$22-B1443)*Calc!$G$3:$G$22)</f>
        <v/>
      </c>
      <c r="N1443">
        <f>SUMPRODUCT(Calc!$K$3:$K$22*(Calc!$G$3:$G$22&gt;A1443)*(Calc!$G$3:$G$22-A1443)*Calc!$I$3:$I$22)</f>
        <v/>
      </c>
      <c r="O1443">
        <f>SUMPRODUCT(Calc!$K$3:$K$22*(Calc!$G$3:$G$22&gt;B1443)*(Calc!$G$3:$G$22-B1443)*Calc!$I$3:$I$22)</f>
        <v/>
      </c>
      <c r="P1443">
        <f>I1443-G1443^2/k_n</f>
        <v/>
      </c>
      <c r="Q1443">
        <f>J1443-H1443^2/k_n</f>
        <v/>
      </c>
      <c r="R1443">
        <f>K1443-G1443*H1443/k_n</f>
        <v/>
      </c>
      <c r="S1443">
        <f>L1443-LTP3!$D$3*G1443/k_n</f>
        <v/>
      </c>
      <c r="T1443">
        <f>M1443-LTP3!$D$3*H1443/k_n</f>
        <v/>
      </c>
      <c r="U1443">
        <f>N1443-G1443*LTP3!$D$4/k_n</f>
        <v/>
      </c>
      <c r="V1443">
        <f>O1443-H1443*LTP3!$D$4/k_n</f>
        <v/>
      </c>
      <c r="W1443">
        <f>((LTP3!$D$5)*((P1443)*(Q1443)-(R1443)*(R1443))-(S1443)*((S1443)*(Q1443)-(R1443)*(T1443))+(T1443)*((S1443)*(R1443)-(P1443)*(T1443)))</f>
        <v/>
      </c>
      <c r="X1443">
        <f>IF(ABS(W1443)&gt;1E-12,((LTP3!$D$6)*((P1443)*(Q1443)-(R1443)*(R1443))-(S1443)*((U1443)*(Q1443)-(R1443)*(V1443))+(T1443)*((U1443)*(R1443)-(P1443)*(V1443)))/W1443,0)</f>
        <v/>
      </c>
      <c r="Y1443">
        <f>IF(ABS(W1443)&gt;1E-12,((LTP3!$D$5)*((U1443)*(Q1443)-(R1443)*(V1443))-(LTP3!$D$6)*((S1443)*(Q1443)-(R1443)*(T1443))+(T1443)*((S1443)*(V1443)-(U1443)*(T1443)))/W1443,0)</f>
        <v/>
      </c>
      <c r="Z1443">
        <f>IF(ABS(W1443)&gt;1E-12,((LTP3!$D$5)*((P1443)*(V1443)-(U1443)*(R1443))-(S1443)*((S1443)*(V1443)-(U1443)*(T1443))+(LTP3!$D$6)*((S1443)*(R1443)-(P1443)*(T1443)))/W1443,0)</f>
        <v/>
      </c>
      <c r="AA1443">
        <f>LTP3!$D$7-X1443*LTP3!$D$6-Y1443*U1443-Z1443*V1443</f>
        <v/>
      </c>
      <c r="AB1443">
        <f>IF(AND(F1443,ABS(W1443)&gt;1E-12,Y1443&gt;0,Z1443&gt;0),AA1443,1E+300)</f>
        <v/>
      </c>
    </row>
    <row r="1444">
      <c r="A1444">
        <f>$B$3+$B$5*23</f>
        <v/>
      </c>
      <c r="B1444">
        <f>$B$3+$B$5*29</f>
        <v/>
      </c>
      <c r="C1444">
        <f>SUMPRODUCT(Calc!$K$3:$K$22*(Calc!$G$3:$G$22&lt;=A1444))</f>
        <v/>
      </c>
      <c r="D1444">
        <f>SUMPRODUCT(Calc!$K$3:$K$22*(Calc!$G$3:$G$22&gt;A1444)*(Calc!$G$3:$G$22&lt;B1444))</f>
        <v/>
      </c>
      <c r="E1444">
        <f>SUMPRODUCT(Calc!$K$3:$K$22*(Calc!$G$3:$G$22&gt;=B1444))</f>
        <v/>
      </c>
      <c r="F1444">
        <f>AND(k_n&gt;=5,B1444&gt;A1444+1E-9,C1444&gt;=2,D1444&gt;=1,E1444&gt;=2)</f>
        <v/>
      </c>
      <c r="G1444">
        <f>SUMPRODUCT(Calc!$K$3:$K$22*(Calc!$G$3:$G$22&gt;A1444)*(Calc!$G$3:$G$22-A1444))</f>
        <v/>
      </c>
      <c r="H1444">
        <f>SUMPRODUCT(Calc!$K$3:$K$22*(Calc!$G$3:$G$22&gt;B1444)*(Calc!$G$3:$G$22-B1444))</f>
        <v/>
      </c>
      <c r="I1444">
        <f>SUMPRODUCT(Calc!$K$3:$K$22*(Calc!$G$3:$G$22&gt;A1444)*(Calc!$G$3:$G$22-A1444)^2)</f>
        <v/>
      </c>
      <c r="J1444">
        <f>SUMPRODUCT(Calc!$K$3:$K$22*(Calc!$G$3:$G$22&gt;B1444)*(Calc!$G$3:$G$22-B1444)^2)</f>
        <v/>
      </c>
      <c r="K1444">
        <f>SUMPRODUCT(Calc!$K$3:$K$22*(Calc!$G$3:$G$22&gt;A1444)*(Calc!$G$3:$G$22-A1444)*(Calc!$G$3:$G$22&gt;B1444)*(Calc!$G$3:$G$22-B1444))</f>
        <v/>
      </c>
      <c r="L1444">
        <f>SUMPRODUCT(Calc!$K$3:$K$22*(Calc!$G$3:$G$22&gt;A1444)*(Calc!$G$3:$G$22-A1444)*Calc!$G$3:$G$22)</f>
        <v/>
      </c>
      <c r="M1444">
        <f>SUMPRODUCT(Calc!$K$3:$K$22*(Calc!$G$3:$G$22&gt;B1444)*(Calc!$G$3:$G$22-B1444)*Calc!$G$3:$G$22)</f>
        <v/>
      </c>
      <c r="N1444">
        <f>SUMPRODUCT(Calc!$K$3:$K$22*(Calc!$G$3:$G$22&gt;A1444)*(Calc!$G$3:$G$22-A1444)*Calc!$I$3:$I$22)</f>
        <v/>
      </c>
      <c r="O1444">
        <f>SUMPRODUCT(Calc!$K$3:$K$22*(Calc!$G$3:$G$22&gt;B1444)*(Calc!$G$3:$G$22-B1444)*Calc!$I$3:$I$22)</f>
        <v/>
      </c>
      <c r="P1444">
        <f>I1444-G1444^2/k_n</f>
        <v/>
      </c>
      <c r="Q1444">
        <f>J1444-H1444^2/k_n</f>
        <v/>
      </c>
      <c r="R1444">
        <f>K1444-G1444*H1444/k_n</f>
        <v/>
      </c>
      <c r="S1444">
        <f>L1444-LTP3!$D$3*G1444/k_n</f>
        <v/>
      </c>
      <c r="T1444">
        <f>M1444-LTP3!$D$3*H1444/k_n</f>
        <v/>
      </c>
      <c r="U1444">
        <f>N1444-G1444*LTP3!$D$4/k_n</f>
        <v/>
      </c>
      <c r="V1444">
        <f>O1444-H1444*LTP3!$D$4/k_n</f>
        <v/>
      </c>
      <c r="W1444">
        <f>((LTP3!$D$5)*((P1444)*(Q1444)-(R1444)*(R1444))-(S1444)*((S1444)*(Q1444)-(R1444)*(T1444))+(T1444)*((S1444)*(R1444)-(P1444)*(T1444)))</f>
        <v/>
      </c>
      <c r="X1444">
        <f>IF(ABS(W1444)&gt;1E-12,((LTP3!$D$6)*((P1444)*(Q1444)-(R1444)*(R1444))-(S1444)*((U1444)*(Q1444)-(R1444)*(V1444))+(T1444)*((U1444)*(R1444)-(P1444)*(V1444)))/W1444,0)</f>
        <v/>
      </c>
      <c r="Y1444">
        <f>IF(ABS(W1444)&gt;1E-12,((LTP3!$D$5)*((U1444)*(Q1444)-(R1444)*(V1444))-(LTP3!$D$6)*((S1444)*(Q1444)-(R1444)*(T1444))+(T1444)*((S1444)*(V1444)-(U1444)*(T1444)))/W1444,0)</f>
        <v/>
      </c>
      <c r="Z1444">
        <f>IF(ABS(W1444)&gt;1E-12,((LTP3!$D$5)*((P1444)*(V1444)-(U1444)*(R1444))-(S1444)*((S1444)*(V1444)-(U1444)*(T1444))+(LTP3!$D$6)*((S1444)*(R1444)-(P1444)*(T1444)))/W1444,0)</f>
        <v/>
      </c>
      <c r="AA1444">
        <f>LTP3!$D$7-X1444*LTP3!$D$6-Y1444*U1444-Z1444*V1444</f>
        <v/>
      </c>
      <c r="AB1444">
        <f>IF(AND(F1444,ABS(W1444)&gt;1E-12,Y1444&gt;0,Z1444&gt;0),AA1444,1E+300)</f>
        <v/>
      </c>
    </row>
    <row r="1445">
      <c r="A1445">
        <f>$B$3+$B$5*23</f>
        <v/>
      </c>
      <c r="B1445">
        <f>$B$3+$B$5*30</f>
        <v/>
      </c>
      <c r="C1445">
        <f>SUMPRODUCT(Calc!$K$3:$K$22*(Calc!$G$3:$G$22&lt;=A1445))</f>
        <v/>
      </c>
      <c r="D1445">
        <f>SUMPRODUCT(Calc!$K$3:$K$22*(Calc!$G$3:$G$22&gt;A1445)*(Calc!$G$3:$G$22&lt;B1445))</f>
        <v/>
      </c>
      <c r="E1445">
        <f>SUMPRODUCT(Calc!$K$3:$K$22*(Calc!$G$3:$G$22&gt;=B1445))</f>
        <v/>
      </c>
      <c r="F1445">
        <f>AND(k_n&gt;=5,B1445&gt;A1445+1E-9,C1445&gt;=2,D1445&gt;=1,E1445&gt;=2)</f>
        <v/>
      </c>
      <c r="G1445">
        <f>SUMPRODUCT(Calc!$K$3:$K$22*(Calc!$G$3:$G$22&gt;A1445)*(Calc!$G$3:$G$22-A1445))</f>
        <v/>
      </c>
      <c r="H1445">
        <f>SUMPRODUCT(Calc!$K$3:$K$22*(Calc!$G$3:$G$22&gt;B1445)*(Calc!$G$3:$G$22-B1445))</f>
        <v/>
      </c>
      <c r="I1445">
        <f>SUMPRODUCT(Calc!$K$3:$K$22*(Calc!$G$3:$G$22&gt;A1445)*(Calc!$G$3:$G$22-A1445)^2)</f>
        <v/>
      </c>
      <c r="J1445">
        <f>SUMPRODUCT(Calc!$K$3:$K$22*(Calc!$G$3:$G$22&gt;B1445)*(Calc!$G$3:$G$22-B1445)^2)</f>
        <v/>
      </c>
      <c r="K1445">
        <f>SUMPRODUCT(Calc!$K$3:$K$22*(Calc!$G$3:$G$22&gt;A1445)*(Calc!$G$3:$G$22-A1445)*(Calc!$G$3:$G$22&gt;B1445)*(Calc!$G$3:$G$22-B1445))</f>
        <v/>
      </c>
      <c r="L1445">
        <f>SUMPRODUCT(Calc!$K$3:$K$22*(Calc!$G$3:$G$22&gt;A1445)*(Calc!$G$3:$G$22-A1445)*Calc!$G$3:$G$22)</f>
        <v/>
      </c>
      <c r="M1445">
        <f>SUMPRODUCT(Calc!$K$3:$K$22*(Calc!$G$3:$G$22&gt;B1445)*(Calc!$G$3:$G$22-B1445)*Calc!$G$3:$G$22)</f>
        <v/>
      </c>
      <c r="N1445">
        <f>SUMPRODUCT(Calc!$K$3:$K$22*(Calc!$G$3:$G$22&gt;A1445)*(Calc!$G$3:$G$22-A1445)*Calc!$I$3:$I$22)</f>
        <v/>
      </c>
      <c r="O1445">
        <f>SUMPRODUCT(Calc!$K$3:$K$22*(Calc!$G$3:$G$22&gt;B1445)*(Calc!$G$3:$G$22-B1445)*Calc!$I$3:$I$22)</f>
        <v/>
      </c>
      <c r="P1445">
        <f>I1445-G1445^2/k_n</f>
        <v/>
      </c>
      <c r="Q1445">
        <f>J1445-H1445^2/k_n</f>
        <v/>
      </c>
      <c r="R1445">
        <f>K1445-G1445*H1445/k_n</f>
        <v/>
      </c>
      <c r="S1445">
        <f>L1445-LTP3!$D$3*G1445/k_n</f>
        <v/>
      </c>
      <c r="T1445">
        <f>M1445-LTP3!$D$3*H1445/k_n</f>
        <v/>
      </c>
      <c r="U1445">
        <f>N1445-G1445*LTP3!$D$4/k_n</f>
        <v/>
      </c>
      <c r="V1445">
        <f>O1445-H1445*LTP3!$D$4/k_n</f>
        <v/>
      </c>
      <c r="W1445">
        <f>((LTP3!$D$5)*((P1445)*(Q1445)-(R1445)*(R1445))-(S1445)*((S1445)*(Q1445)-(R1445)*(T1445))+(T1445)*((S1445)*(R1445)-(P1445)*(T1445)))</f>
        <v/>
      </c>
      <c r="X1445">
        <f>IF(ABS(W1445)&gt;1E-12,((LTP3!$D$6)*((P1445)*(Q1445)-(R1445)*(R1445))-(S1445)*((U1445)*(Q1445)-(R1445)*(V1445))+(T1445)*((U1445)*(R1445)-(P1445)*(V1445)))/W1445,0)</f>
        <v/>
      </c>
      <c r="Y1445">
        <f>IF(ABS(W1445)&gt;1E-12,((LTP3!$D$5)*((U1445)*(Q1445)-(R1445)*(V1445))-(LTP3!$D$6)*((S1445)*(Q1445)-(R1445)*(T1445))+(T1445)*((S1445)*(V1445)-(U1445)*(T1445)))/W1445,0)</f>
        <v/>
      </c>
      <c r="Z1445">
        <f>IF(ABS(W1445)&gt;1E-12,((LTP3!$D$5)*((P1445)*(V1445)-(U1445)*(R1445))-(S1445)*((S1445)*(V1445)-(U1445)*(T1445))+(LTP3!$D$6)*((S1445)*(R1445)-(P1445)*(T1445)))/W1445,0)</f>
        <v/>
      </c>
      <c r="AA1445">
        <f>LTP3!$D$7-X1445*LTP3!$D$6-Y1445*U1445-Z1445*V1445</f>
        <v/>
      </c>
      <c r="AB1445">
        <f>IF(AND(F1445,ABS(W1445)&gt;1E-12,Y1445&gt;0,Z1445&gt;0),AA1445,1E+300)</f>
        <v/>
      </c>
    </row>
    <row r="1446">
      <c r="A1446">
        <f>$B$3+$B$5*23</f>
        <v/>
      </c>
      <c r="B1446">
        <f>$B$3+$B$5*31</f>
        <v/>
      </c>
      <c r="C1446">
        <f>SUMPRODUCT(Calc!$K$3:$K$22*(Calc!$G$3:$G$22&lt;=A1446))</f>
        <v/>
      </c>
      <c r="D1446">
        <f>SUMPRODUCT(Calc!$K$3:$K$22*(Calc!$G$3:$G$22&gt;A1446)*(Calc!$G$3:$G$22&lt;B1446))</f>
        <v/>
      </c>
      <c r="E1446">
        <f>SUMPRODUCT(Calc!$K$3:$K$22*(Calc!$G$3:$G$22&gt;=B1446))</f>
        <v/>
      </c>
      <c r="F1446">
        <f>AND(k_n&gt;=5,B1446&gt;A1446+1E-9,C1446&gt;=2,D1446&gt;=1,E1446&gt;=2)</f>
        <v/>
      </c>
      <c r="G1446">
        <f>SUMPRODUCT(Calc!$K$3:$K$22*(Calc!$G$3:$G$22&gt;A1446)*(Calc!$G$3:$G$22-A1446))</f>
        <v/>
      </c>
      <c r="H1446">
        <f>SUMPRODUCT(Calc!$K$3:$K$22*(Calc!$G$3:$G$22&gt;B1446)*(Calc!$G$3:$G$22-B1446))</f>
        <v/>
      </c>
      <c r="I1446">
        <f>SUMPRODUCT(Calc!$K$3:$K$22*(Calc!$G$3:$G$22&gt;A1446)*(Calc!$G$3:$G$22-A1446)^2)</f>
        <v/>
      </c>
      <c r="J1446">
        <f>SUMPRODUCT(Calc!$K$3:$K$22*(Calc!$G$3:$G$22&gt;B1446)*(Calc!$G$3:$G$22-B1446)^2)</f>
        <v/>
      </c>
      <c r="K1446">
        <f>SUMPRODUCT(Calc!$K$3:$K$22*(Calc!$G$3:$G$22&gt;A1446)*(Calc!$G$3:$G$22-A1446)*(Calc!$G$3:$G$22&gt;B1446)*(Calc!$G$3:$G$22-B1446))</f>
        <v/>
      </c>
      <c r="L1446">
        <f>SUMPRODUCT(Calc!$K$3:$K$22*(Calc!$G$3:$G$22&gt;A1446)*(Calc!$G$3:$G$22-A1446)*Calc!$G$3:$G$22)</f>
        <v/>
      </c>
      <c r="M1446">
        <f>SUMPRODUCT(Calc!$K$3:$K$22*(Calc!$G$3:$G$22&gt;B1446)*(Calc!$G$3:$G$22-B1446)*Calc!$G$3:$G$22)</f>
        <v/>
      </c>
      <c r="N1446">
        <f>SUMPRODUCT(Calc!$K$3:$K$22*(Calc!$G$3:$G$22&gt;A1446)*(Calc!$G$3:$G$22-A1446)*Calc!$I$3:$I$22)</f>
        <v/>
      </c>
      <c r="O1446">
        <f>SUMPRODUCT(Calc!$K$3:$K$22*(Calc!$G$3:$G$22&gt;B1446)*(Calc!$G$3:$G$22-B1446)*Calc!$I$3:$I$22)</f>
        <v/>
      </c>
      <c r="P1446">
        <f>I1446-G1446^2/k_n</f>
        <v/>
      </c>
      <c r="Q1446">
        <f>J1446-H1446^2/k_n</f>
        <v/>
      </c>
      <c r="R1446">
        <f>K1446-G1446*H1446/k_n</f>
        <v/>
      </c>
      <c r="S1446">
        <f>L1446-LTP3!$D$3*G1446/k_n</f>
        <v/>
      </c>
      <c r="T1446">
        <f>M1446-LTP3!$D$3*H1446/k_n</f>
        <v/>
      </c>
      <c r="U1446">
        <f>N1446-G1446*LTP3!$D$4/k_n</f>
        <v/>
      </c>
      <c r="V1446">
        <f>O1446-H1446*LTP3!$D$4/k_n</f>
        <v/>
      </c>
      <c r="W1446">
        <f>((LTP3!$D$5)*((P1446)*(Q1446)-(R1446)*(R1446))-(S1446)*((S1446)*(Q1446)-(R1446)*(T1446))+(T1446)*((S1446)*(R1446)-(P1446)*(T1446)))</f>
        <v/>
      </c>
      <c r="X1446">
        <f>IF(ABS(W1446)&gt;1E-12,((LTP3!$D$6)*((P1446)*(Q1446)-(R1446)*(R1446))-(S1446)*((U1446)*(Q1446)-(R1446)*(V1446))+(T1446)*((U1446)*(R1446)-(P1446)*(V1446)))/W1446,0)</f>
        <v/>
      </c>
      <c r="Y1446">
        <f>IF(ABS(W1446)&gt;1E-12,((LTP3!$D$5)*((U1446)*(Q1446)-(R1446)*(V1446))-(LTP3!$D$6)*((S1446)*(Q1446)-(R1446)*(T1446))+(T1446)*((S1446)*(V1446)-(U1446)*(T1446)))/W1446,0)</f>
        <v/>
      </c>
      <c r="Z1446">
        <f>IF(ABS(W1446)&gt;1E-12,((LTP3!$D$5)*((P1446)*(V1446)-(U1446)*(R1446))-(S1446)*((S1446)*(V1446)-(U1446)*(T1446))+(LTP3!$D$6)*((S1446)*(R1446)-(P1446)*(T1446)))/W1446,0)</f>
        <v/>
      </c>
      <c r="AA1446">
        <f>LTP3!$D$7-X1446*LTP3!$D$6-Y1446*U1446-Z1446*V1446</f>
        <v/>
      </c>
      <c r="AB1446">
        <f>IF(AND(F1446,ABS(W1446)&gt;1E-12,Y1446&gt;0,Z1446&gt;0),AA1446,1E+300)</f>
        <v/>
      </c>
    </row>
    <row r="1447">
      <c r="A1447">
        <f>$B$3+$B$5*23</f>
        <v/>
      </c>
      <c r="B1447">
        <f>$B$3+$B$5*32</f>
        <v/>
      </c>
      <c r="C1447">
        <f>SUMPRODUCT(Calc!$K$3:$K$22*(Calc!$G$3:$G$22&lt;=A1447))</f>
        <v/>
      </c>
      <c r="D1447">
        <f>SUMPRODUCT(Calc!$K$3:$K$22*(Calc!$G$3:$G$22&gt;A1447)*(Calc!$G$3:$G$22&lt;B1447))</f>
        <v/>
      </c>
      <c r="E1447">
        <f>SUMPRODUCT(Calc!$K$3:$K$22*(Calc!$G$3:$G$22&gt;=B1447))</f>
        <v/>
      </c>
      <c r="F1447">
        <f>AND(k_n&gt;=5,B1447&gt;A1447+1E-9,C1447&gt;=2,D1447&gt;=1,E1447&gt;=2)</f>
        <v/>
      </c>
      <c r="G1447">
        <f>SUMPRODUCT(Calc!$K$3:$K$22*(Calc!$G$3:$G$22&gt;A1447)*(Calc!$G$3:$G$22-A1447))</f>
        <v/>
      </c>
      <c r="H1447">
        <f>SUMPRODUCT(Calc!$K$3:$K$22*(Calc!$G$3:$G$22&gt;B1447)*(Calc!$G$3:$G$22-B1447))</f>
        <v/>
      </c>
      <c r="I1447">
        <f>SUMPRODUCT(Calc!$K$3:$K$22*(Calc!$G$3:$G$22&gt;A1447)*(Calc!$G$3:$G$22-A1447)^2)</f>
        <v/>
      </c>
      <c r="J1447">
        <f>SUMPRODUCT(Calc!$K$3:$K$22*(Calc!$G$3:$G$22&gt;B1447)*(Calc!$G$3:$G$22-B1447)^2)</f>
        <v/>
      </c>
      <c r="K1447">
        <f>SUMPRODUCT(Calc!$K$3:$K$22*(Calc!$G$3:$G$22&gt;A1447)*(Calc!$G$3:$G$22-A1447)*(Calc!$G$3:$G$22&gt;B1447)*(Calc!$G$3:$G$22-B1447))</f>
        <v/>
      </c>
      <c r="L1447">
        <f>SUMPRODUCT(Calc!$K$3:$K$22*(Calc!$G$3:$G$22&gt;A1447)*(Calc!$G$3:$G$22-A1447)*Calc!$G$3:$G$22)</f>
        <v/>
      </c>
      <c r="M1447">
        <f>SUMPRODUCT(Calc!$K$3:$K$22*(Calc!$G$3:$G$22&gt;B1447)*(Calc!$G$3:$G$22-B1447)*Calc!$G$3:$G$22)</f>
        <v/>
      </c>
      <c r="N1447">
        <f>SUMPRODUCT(Calc!$K$3:$K$22*(Calc!$G$3:$G$22&gt;A1447)*(Calc!$G$3:$G$22-A1447)*Calc!$I$3:$I$22)</f>
        <v/>
      </c>
      <c r="O1447">
        <f>SUMPRODUCT(Calc!$K$3:$K$22*(Calc!$G$3:$G$22&gt;B1447)*(Calc!$G$3:$G$22-B1447)*Calc!$I$3:$I$22)</f>
        <v/>
      </c>
      <c r="P1447">
        <f>I1447-G1447^2/k_n</f>
        <v/>
      </c>
      <c r="Q1447">
        <f>J1447-H1447^2/k_n</f>
        <v/>
      </c>
      <c r="R1447">
        <f>K1447-G1447*H1447/k_n</f>
        <v/>
      </c>
      <c r="S1447">
        <f>L1447-LTP3!$D$3*G1447/k_n</f>
        <v/>
      </c>
      <c r="T1447">
        <f>M1447-LTP3!$D$3*H1447/k_n</f>
        <v/>
      </c>
      <c r="U1447">
        <f>N1447-G1447*LTP3!$D$4/k_n</f>
        <v/>
      </c>
      <c r="V1447">
        <f>O1447-H1447*LTP3!$D$4/k_n</f>
        <v/>
      </c>
      <c r="W1447">
        <f>((LTP3!$D$5)*((P1447)*(Q1447)-(R1447)*(R1447))-(S1447)*((S1447)*(Q1447)-(R1447)*(T1447))+(T1447)*((S1447)*(R1447)-(P1447)*(T1447)))</f>
        <v/>
      </c>
      <c r="X1447">
        <f>IF(ABS(W1447)&gt;1E-12,((LTP3!$D$6)*((P1447)*(Q1447)-(R1447)*(R1447))-(S1447)*((U1447)*(Q1447)-(R1447)*(V1447))+(T1447)*((U1447)*(R1447)-(P1447)*(V1447)))/W1447,0)</f>
        <v/>
      </c>
      <c r="Y1447">
        <f>IF(ABS(W1447)&gt;1E-12,((LTP3!$D$5)*((U1447)*(Q1447)-(R1447)*(V1447))-(LTP3!$D$6)*((S1447)*(Q1447)-(R1447)*(T1447))+(T1447)*((S1447)*(V1447)-(U1447)*(T1447)))/W1447,0)</f>
        <v/>
      </c>
      <c r="Z1447">
        <f>IF(ABS(W1447)&gt;1E-12,((LTP3!$D$5)*((P1447)*(V1447)-(U1447)*(R1447))-(S1447)*((S1447)*(V1447)-(U1447)*(T1447))+(LTP3!$D$6)*((S1447)*(R1447)-(P1447)*(T1447)))/W1447,0)</f>
        <v/>
      </c>
      <c r="AA1447">
        <f>LTP3!$D$7-X1447*LTP3!$D$6-Y1447*U1447-Z1447*V1447</f>
        <v/>
      </c>
      <c r="AB1447">
        <f>IF(AND(F1447,ABS(W1447)&gt;1E-12,Y1447&gt;0,Z1447&gt;0),AA1447,1E+300)</f>
        <v/>
      </c>
    </row>
    <row r="1448">
      <c r="A1448">
        <f>$B$3+$B$5*23</f>
        <v/>
      </c>
      <c r="B1448">
        <f>$B$3+$B$5*33</f>
        <v/>
      </c>
      <c r="C1448">
        <f>SUMPRODUCT(Calc!$K$3:$K$22*(Calc!$G$3:$G$22&lt;=A1448))</f>
        <v/>
      </c>
      <c r="D1448">
        <f>SUMPRODUCT(Calc!$K$3:$K$22*(Calc!$G$3:$G$22&gt;A1448)*(Calc!$G$3:$G$22&lt;B1448))</f>
        <v/>
      </c>
      <c r="E1448">
        <f>SUMPRODUCT(Calc!$K$3:$K$22*(Calc!$G$3:$G$22&gt;=B1448))</f>
        <v/>
      </c>
      <c r="F1448">
        <f>AND(k_n&gt;=5,B1448&gt;A1448+1E-9,C1448&gt;=2,D1448&gt;=1,E1448&gt;=2)</f>
        <v/>
      </c>
      <c r="G1448">
        <f>SUMPRODUCT(Calc!$K$3:$K$22*(Calc!$G$3:$G$22&gt;A1448)*(Calc!$G$3:$G$22-A1448))</f>
        <v/>
      </c>
      <c r="H1448">
        <f>SUMPRODUCT(Calc!$K$3:$K$22*(Calc!$G$3:$G$22&gt;B1448)*(Calc!$G$3:$G$22-B1448))</f>
        <v/>
      </c>
      <c r="I1448">
        <f>SUMPRODUCT(Calc!$K$3:$K$22*(Calc!$G$3:$G$22&gt;A1448)*(Calc!$G$3:$G$22-A1448)^2)</f>
        <v/>
      </c>
      <c r="J1448">
        <f>SUMPRODUCT(Calc!$K$3:$K$22*(Calc!$G$3:$G$22&gt;B1448)*(Calc!$G$3:$G$22-B1448)^2)</f>
        <v/>
      </c>
      <c r="K1448">
        <f>SUMPRODUCT(Calc!$K$3:$K$22*(Calc!$G$3:$G$22&gt;A1448)*(Calc!$G$3:$G$22-A1448)*(Calc!$G$3:$G$22&gt;B1448)*(Calc!$G$3:$G$22-B1448))</f>
        <v/>
      </c>
      <c r="L1448">
        <f>SUMPRODUCT(Calc!$K$3:$K$22*(Calc!$G$3:$G$22&gt;A1448)*(Calc!$G$3:$G$22-A1448)*Calc!$G$3:$G$22)</f>
        <v/>
      </c>
      <c r="M1448">
        <f>SUMPRODUCT(Calc!$K$3:$K$22*(Calc!$G$3:$G$22&gt;B1448)*(Calc!$G$3:$G$22-B1448)*Calc!$G$3:$G$22)</f>
        <v/>
      </c>
      <c r="N1448">
        <f>SUMPRODUCT(Calc!$K$3:$K$22*(Calc!$G$3:$G$22&gt;A1448)*(Calc!$G$3:$G$22-A1448)*Calc!$I$3:$I$22)</f>
        <v/>
      </c>
      <c r="O1448">
        <f>SUMPRODUCT(Calc!$K$3:$K$22*(Calc!$G$3:$G$22&gt;B1448)*(Calc!$G$3:$G$22-B1448)*Calc!$I$3:$I$22)</f>
        <v/>
      </c>
      <c r="P1448">
        <f>I1448-G1448^2/k_n</f>
        <v/>
      </c>
      <c r="Q1448">
        <f>J1448-H1448^2/k_n</f>
        <v/>
      </c>
      <c r="R1448">
        <f>K1448-G1448*H1448/k_n</f>
        <v/>
      </c>
      <c r="S1448">
        <f>L1448-LTP3!$D$3*G1448/k_n</f>
        <v/>
      </c>
      <c r="T1448">
        <f>M1448-LTP3!$D$3*H1448/k_n</f>
        <v/>
      </c>
      <c r="U1448">
        <f>N1448-G1448*LTP3!$D$4/k_n</f>
        <v/>
      </c>
      <c r="V1448">
        <f>O1448-H1448*LTP3!$D$4/k_n</f>
        <v/>
      </c>
      <c r="W1448">
        <f>((LTP3!$D$5)*((P1448)*(Q1448)-(R1448)*(R1448))-(S1448)*((S1448)*(Q1448)-(R1448)*(T1448))+(T1448)*((S1448)*(R1448)-(P1448)*(T1448)))</f>
        <v/>
      </c>
      <c r="X1448">
        <f>IF(ABS(W1448)&gt;1E-12,((LTP3!$D$6)*((P1448)*(Q1448)-(R1448)*(R1448))-(S1448)*((U1448)*(Q1448)-(R1448)*(V1448))+(T1448)*((U1448)*(R1448)-(P1448)*(V1448)))/W1448,0)</f>
        <v/>
      </c>
      <c r="Y1448">
        <f>IF(ABS(W1448)&gt;1E-12,((LTP3!$D$5)*((U1448)*(Q1448)-(R1448)*(V1448))-(LTP3!$D$6)*((S1448)*(Q1448)-(R1448)*(T1448))+(T1448)*((S1448)*(V1448)-(U1448)*(T1448)))/W1448,0)</f>
        <v/>
      </c>
      <c r="Z1448">
        <f>IF(ABS(W1448)&gt;1E-12,((LTP3!$D$5)*((P1448)*(V1448)-(U1448)*(R1448))-(S1448)*((S1448)*(V1448)-(U1448)*(T1448))+(LTP3!$D$6)*((S1448)*(R1448)-(P1448)*(T1448)))/W1448,0)</f>
        <v/>
      </c>
      <c r="AA1448">
        <f>LTP3!$D$7-X1448*LTP3!$D$6-Y1448*U1448-Z1448*V1448</f>
        <v/>
      </c>
      <c r="AB1448">
        <f>IF(AND(F1448,ABS(W1448)&gt;1E-12,Y1448&gt;0,Z1448&gt;0),AA1448,1E+300)</f>
        <v/>
      </c>
    </row>
    <row r="1449">
      <c r="A1449">
        <f>$B$3+$B$5*23</f>
        <v/>
      </c>
      <c r="B1449">
        <f>$B$3+$B$5*34</f>
        <v/>
      </c>
      <c r="C1449">
        <f>SUMPRODUCT(Calc!$K$3:$K$22*(Calc!$G$3:$G$22&lt;=A1449))</f>
        <v/>
      </c>
      <c r="D1449">
        <f>SUMPRODUCT(Calc!$K$3:$K$22*(Calc!$G$3:$G$22&gt;A1449)*(Calc!$G$3:$G$22&lt;B1449))</f>
        <v/>
      </c>
      <c r="E1449">
        <f>SUMPRODUCT(Calc!$K$3:$K$22*(Calc!$G$3:$G$22&gt;=B1449))</f>
        <v/>
      </c>
      <c r="F1449">
        <f>AND(k_n&gt;=5,B1449&gt;A1449+1E-9,C1449&gt;=2,D1449&gt;=1,E1449&gt;=2)</f>
        <v/>
      </c>
      <c r="G1449">
        <f>SUMPRODUCT(Calc!$K$3:$K$22*(Calc!$G$3:$G$22&gt;A1449)*(Calc!$G$3:$G$22-A1449))</f>
        <v/>
      </c>
      <c r="H1449">
        <f>SUMPRODUCT(Calc!$K$3:$K$22*(Calc!$G$3:$G$22&gt;B1449)*(Calc!$G$3:$G$22-B1449))</f>
        <v/>
      </c>
      <c r="I1449">
        <f>SUMPRODUCT(Calc!$K$3:$K$22*(Calc!$G$3:$G$22&gt;A1449)*(Calc!$G$3:$G$22-A1449)^2)</f>
        <v/>
      </c>
      <c r="J1449">
        <f>SUMPRODUCT(Calc!$K$3:$K$22*(Calc!$G$3:$G$22&gt;B1449)*(Calc!$G$3:$G$22-B1449)^2)</f>
        <v/>
      </c>
      <c r="K1449">
        <f>SUMPRODUCT(Calc!$K$3:$K$22*(Calc!$G$3:$G$22&gt;A1449)*(Calc!$G$3:$G$22-A1449)*(Calc!$G$3:$G$22&gt;B1449)*(Calc!$G$3:$G$22-B1449))</f>
        <v/>
      </c>
      <c r="L1449">
        <f>SUMPRODUCT(Calc!$K$3:$K$22*(Calc!$G$3:$G$22&gt;A1449)*(Calc!$G$3:$G$22-A1449)*Calc!$G$3:$G$22)</f>
        <v/>
      </c>
      <c r="M1449">
        <f>SUMPRODUCT(Calc!$K$3:$K$22*(Calc!$G$3:$G$22&gt;B1449)*(Calc!$G$3:$G$22-B1449)*Calc!$G$3:$G$22)</f>
        <v/>
      </c>
      <c r="N1449">
        <f>SUMPRODUCT(Calc!$K$3:$K$22*(Calc!$G$3:$G$22&gt;A1449)*(Calc!$G$3:$G$22-A1449)*Calc!$I$3:$I$22)</f>
        <v/>
      </c>
      <c r="O1449">
        <f>SUMPRODUCT(Calc!$K$3:$K$22*(Calc!$G$3:$G$22&gt;B1449)*(Calc!$G$3:$G$22-B1449)*Calc!$I$3:$I$22)</f>
        <v/>
      </c>
      <c r="P1449">
        <f>I1449-G1449^2/k_n</f>
        <v/>
      </c>
      <c r="Q1449">
        <f>J1449-H1449^2/k_n</f>
        <v/>
      </c>
      <c r="R1449">
        <f>K1449-G1449*H1449/k_n</f>
        <v/>
      </c>
      <c r="S1449">
        <f>L1449-LTP3!$D$3*G1449/k_n</f>
        <v/>
      </c>
      <c r="T1449">
        <f>M1449-LTP3!$D$3*H1449/k_n</f>
        <v/>
      </c>
      <c r="U1449">
        <f>N1449-G1449*LTP3!$D$4/k_n</f>
        <v/>
      </c>
      <c r="V1449">
        <f>O1449-H1449*LTP3!$D$4/k_n</f>
        <v/>
      </c>
      <c r="W1449">
        <f>((LTP3!$D$5)*((P1449)*(Q1449)-(R1449)*(R1449))-(S1449)*((S1449)*(Q1449)-(R1449)*(T1449))+(T1449)*((S1449)*(R1449)-(P1449)*(T1449)))</f>
        <v/>
      </c>
      <c r="X1449">
        <f>IF(ABS(W1449)&gt;1E-12,((LTP3!$D$6)*((P1449)*(Q1449)-(R1449)*(R1449))-(S1449)*((U1449)*(Q1449)-(R1449)*(V1449))+(T1449)*((U1449)*(R1449)-(P1449)*(V1449)))/W1449,0)</f>
        <v/>
      </c>
      <c r="Y1449">
        <f>IF(ABS(W1449)&gt;1E-12,((LTP3!$D$5)*((U1449)*(Q1449)-(R1449)*(V1449))-(LTP3!$D$6)*((S1449)*(Q1449)-(R1449)*(T1449))+(T1449)*((S1449)*(V1449)-(U1449)*(T1449)))/W1449,0)</f>
        <v/>
      </c>
      <c r="Z1449">
        <f>IF(ABS(W1449)&gt;1E-12,((LTP3!$D$5)*((P1449)*(V1449)-(U1449)*(R1449))-(S1449)*((S1449)*(V1449)-(U1449)*(T1449))+(LTP3!$D$6)*((S1449)*(R1449)-(P1449)*(T1449)))/W1449,0)</f>
        <v/>
      </c>
      <c r="AA1449">
        <f>LTP3!$D$7-X1449*LTP3!$D$6-Y1449*U1449-Z1449*V1449</f>
        <v/>
      </c>
      <c r="AB1449">
        <f>IF(AND(F1449,ABS(W1449)&gt;1E-12,Y1449&gt;0,Z1449&gt;0),AA1449,1E+300)</f>
        <v/>
      </c>
    </row>
    <row r="1450">
      <c r="A1450">
        <f>$B$3+$B$5*23</f>
        <v/>
      </c>
      <c r="B1450">
        <f>$B$3+$B$5*35</f>
        <v/>
      </c>
      <c r="C1450">
        <f>SUMPRODUCT(Calc!$K$3:$K$22*(Calc!$G$3:$G$22&lt;=A1450))</f>
        <v/>
      </c>
      <c r="D1450">
        <f>SUMPRODUCT(Calc!$K$3:$K$22*(Calc!$G$3:$G$22&gt;A1450)*(Calc!$G$3:$G$22&lt;B1450))</f>
        <v/>
      </c>
      <c r="E1450">
        <f>SUMPRODUCT(Calc!$K$3:$K$22*(Calc!$G$3:$G$22&gt;=B1450))</f>
        <v/>
      </c>
      <c r="F1450">
        <f>AND(k_n&gt;=5,B1450&gt;A1450+1E-9,C1450&gt;=2,D1450&gt;=1,E1450&gt;=2)</f>
        <v/>
      </c>
      <c r="G1450">
        <f>SUMPRODUCT(Calc!$K$3:$K$22*(Calc!$G$3:$G$22&gt;A1450)*(Calc!$G$3:$G$22-A1450))</f>
        <v/>
      </c>
      <c r="H1450">
        <f>SUMPRODUCT(Calc!$K$3:$K$22*(Calc!$G$3:$G$22&gt;B1450)*(Calc!$G$3:$G$22-B1450))</f>
        <v/>
      </c>
      <c r="I1450">
        <f>SUMPRODUCT(Calc!$K$3:$K$22*(Calc!$G$3:$G$22&gt;A1450)*(Calc!$G$3:$G$22-A1450)^2)</f>
        <v/>
      </c>
      <c r="J1450">
        <f>SUMPRODUCT(Calc!$K$3:$K$22*(Calc!$G$3:$G$22&gt;B1450)*(Calc!$G$3:$G$22-B1450)^2)</f>
        <v/>
      </c>
      <c r="K1450">
        <f>SUMPRODUCT(Calc!$K$3:$K$22*(Calc!$G$3:$G$22&gt;A1450)*(Calc!$G$3:$G$22-A1450)*(Calc!$G$3:$G$22&gt;B1450)*(Calc!$G$3:$G$22-B1450))</f>
        <v/>
      </c>
      <c r="L1450">
        <f>SUMPRODUCT(Calc!$K$3:$K$22*(Calc!$G$3:$G$22&gt;A1450)*(Calc!$G$3:$G$22-A1450)*Calc!$G$3:$G$22)</f>
        <v/>
      </c>
      <c r="M1450">
        <f>SUMPRODUCT(Calc!$K$3:$K$22*(Calc!$G$3:$G$22&gt;B1450)*(Calc!$G$3:$G$22-B1450)*Calc!$G$3:$G$22)</f>
        <v/>
      </c>
      <c r="N1450">
        <f>SUMPRODUCT(Calc!$K$3:$K$22*(Calc!$G$3:$G$22&gt;A1450)*(Calc!$G$3:$G$22-A1450)*Calc!$I$3:$I$22)</f>
        <v/>
      </c>
      <c r="O1450">
        <f>SUMPRODUCT(Calc!$K$3:$K$22*(Calc!$G$3:$G$22&gt;B1450)*(Calc!$G$3:$G$22-B1450)*Calc!$I$3:$I$22)</f>
        <v/>
      </c>
      <c r="P1450">
        <f>I1450-G1450^2/k_n</f>
        <v/>
      </c>
      <c r="Q1450">
        <f>J1450-H1450^2/k_n</f>
        <v/>
      </c>
      <c r="R1450">
        <f>K1450-G1450*H1450/k_n</f>
        <v/>
      </c>
      <c r="S1450">
        <f>L1450-LTP3!$D$3*G1450/k_n</f>
        <v/>
      </c>
      <c r="T1450">
        <f>M1450-LTP3!$D$3*H1450/k_n</f>
        <v/>
      </c>
      <c r="U1450">
        <f>N1450-G1450*LTP3!$D$4/k_n</f>
        <v/>
      </c>
      <c r="V1450">
        <f>O1450-H1450*LTP3!$D$4/k_n</f>
        <v/>
      </c>
      <c r="W1450">
        <f>((LTP3!$D$5)*((P1450)*(Q1450)-(R1450)*(R1450))-(S1450)*((S1450)*(Q1450)-(R1450)*(T1450))+(T1450)*((S1450)*(R1450)-(P1450)*(T1450)))</f>
        <v/>
      </c>
      <c r="X1450">
        <f>IF(ABS(W1450)&gt;1E-12,((LTP3!$D$6)*((P1450)*(Q1450)-(R1450)*(R1450))-(S1450)*((U1450)*(Q1450)-(R1450)*(V1450))+(T1450)*((U1450)*(R1450)-(P1450)*(V1450)))/W1450,0)</f>
        <v/>
      </c>
      <c r="Y1450">
        <f>IF(ABS(W1450)&gt;1E-12,((LTP3!$D$5)*((U1450)*(Q1450)-(R1450)*(V1450))-(LTP3!$D$6)*((S1450)*(Q1450)-(R1450)*(T1450))+(T1450)*((S1450)*(V1450)-(U1450)*(T1450)))/W1450,0)</f>
        <v/>
      </c>
      <c r="Z1450">
        <f>IF(ABS(W1450)&gt;1E-12,((LTP3!$D$5)*((P1450)*(V1450)-(U1450)*(R1450))-(S1450)*((S1450)*(V1450)-(U1450)*(T1450))+(LTP3!$D$6)*((S1450)*(R1450)-(P1450)*(T1450)))/W1450,0)</f>
        <v/>
      </c>
      <c r="AA1450">
        <f>LTP3!$D$7-X1450*LTP3!$D$6-Y1450*U1450-Z1450*V1450</f>
        <v/>
      </c>
      <c r="AB1450">
        <f>IF(AND(F1450,ABS(W1450)&gt;1E-12,Y1450&gt;0,Z1450&gt;0),AA1450,1E+300)</f>
        <v/>
      </c>
    </row>
    <row r="1451">
      <c r="A1451">
        <f>$B$3+$B$5*23</f>
        <v/>
      </c>
      <c r="B1451">
        <f>$B$3+$B$5*36</f>
        <v/>
      </c>
      <c r="C1451">
        <f>SUMPRODUCT(Calc!$K$3:$K$22*(Calc!$G$3:$G$22&lt;=A1451))</f>
        <v/>
      </c>
      <c r="D1451">
        <f>SUMPRODUCT(Calc!$K$3:$K$22*(Calc!$G$3:$G$22&gt;A1451)*(Calc!$G$3:$G$22&lt;B1451))</f>
        <v/>
      </c>
      <c r="E1451">
        <f>SUMPRODUCT(Calc!$K$3:$K$22*(Calc!$G$3:$G$22&gt;=B1451))</f>
        <v/>
      </c>
      <c r="F1451">
        <f>AND(k_n&gt;=5,B1451&gt;A1451+1E-9,C1451&gt;=2,D1451&gt;=1,E1451&gt;=2)</f>
        <v/>
      </c>
      <c r="G1451">
        <f>SUMPRODUCT(Calc!$K$3:$K$22*(Calc!$G$3:$G$22&gt;A1451)*(Calc!$G$3:$G$22-A1451))</f>
        <v/>
      </c>
      <c r="H1451">
        <f>SUMPRODUCT(Calc!$K$3:$K$22*(Calc!$G$3:$G$22&gt;B1451)*(Calc!$G$3:$G$22-B1451))</f>
        <v/>
      </c>
      <c r="I1451">
        <f>SUMPRODUCT(Calc!$K$3:$K$22*(Calc!$G$3:$G$22&gt;A1451)*(Calc!$G$3:$G$22-A1451)^2)</f>
        <v/>
      </c>
      <c r="J1451">
        <f>SUMPRODUCT(Calc!$K$3:$K$22*(Calc!$G$3:$G$22&gt;B1451)*(Calc!$G$3:$G$22-B1451)^2)</f>
        <v/>
      </c>
      <c r="K1451">
        <f>SUMPRODUCT(Calc!$K$3:$K$22*(Calc!$G$3:$G$22&gt;A1451)*(Calc!$G$3:$G$22-A1451)*(Calc!$G$3:$G$22&gt;B1451)*(Calc!$G$3:$G$22-B1451))</f>
        <v/>
      </c>
      <c r="L1451">
        <f>SUMPRODUCT(Calc!$K$3:$K$22*(Calc!$G$3:$G$22&gt;A1451)*(Calc!$G$3:$G$22-A1451)*Calc!$G$3:$G$22)</f>
        <v/>
      </c>
      <c r="M1451">
        <f>SUMPRODUCT(Calc!$K$3:$K$22*(Calc!$G$3:$G$22&gt;B1451)*(Calc!$G$3:$G$22-B1451)*Calc!$G$3:$G$22)</f>
        <v/>
      </c>
      <c r="N1451">
        <f>SUMPRODUCT(Calc!$K$3:$K$22*(Calc!$G$3:$G$22&gt;A1451)*(Calc!$G$3:$G$22-A1451)*Calc!$I$3:$I$22)</f>
        <v/>
      </c>
      <c r="O1451">
        <f>SUMPRODUCT(Calc!$K$3:$K$22*(Calc!$G$3:$G$22&gt;B1451)*(Calc!$G$3:$G$22-B1451)*Calc!$I$3:$I$22)</f>
        <v/>
      </c>
      <c r="P1451">
        <f>I1451-G1451^2/k_n</f>
        <v/>
      </c>
      <c r="Q1451">
        <f>J1451-H1451^2/k_n</f>
        <v/>
      </c>
      <c r="R1451">
        <f>K1451-G1451*H1451/k_n</f>
        <v/>
      </c>
      <c r="S1451">
        <f>L1451-LTP3!$D$3*G1451/k_n</f>
        <v/>
      </c>
      <c r="T1451">
        <f>M1451-LTP3!$D$3*H1451/k_n</f>
        <v/>
      </c>
      <c r="U1451">
        <f>N1451-G1451*LTP3!$D$4/k_n</f>
        <v/>
      </c>
      <c r="V1451">
        <f>O1451-H1451*LTP3!$D$4/k_n</f>
        <v/>
      </c>
      <c r="W1451">
        <f>((LTP3!$D$5)*((P1451)*(Q1451)-(R1451)*(R1451))-(S1451)*((S1451)*(Q1451)-(R1451)*(T1451))+(T1451)*((S1451)*(R1451)-(P1451)*(T1451)))</f>
        <v/>
      </c>
      <c r="X1451">
        <f>IF(ABS(W1451)&gt;1E-12,((LTP3!$D$6)*((P1451)*(Q1451)-(R1451)*(R1451))-(S1451)*((U1451)*(Q1451)-(R1451)*(V1451))+(T1451)*((U1451)*(R1451)-(P1451)*(V1451)))/W1451,0)</f>
        <v/>
      </c>
      <c r="Y1451">
        <f>IF(ABS(W1451)&gt;1E-12,((LTP3!$D$5)*((U1451)*(Q1451)-(R1451)*(V1451))-(LTP3!$D$6)*((S1451)*(Q1451)-(R1451)*(T1451))+(T1451)*((S1451)*(V1451)-(U1451)*(T1451)))/W1451,0)</f>
        <v/>
      </c>
      <c r="Z1451">
        <f>IF(ABS(W1451)&gt;1E-12,((LTP3!$D$5)*((P1451)*(V1451)-(U1451)*(R1451))-(S1451)*((S1451)*(V1451)-(U1451)*(T1451))+(LTP3!$D$6)*((S1451)*(R1451)-(P1451)*(T1451)))/W1451,0)</f>
        <v/>
      </c>
      <c r="AA1451">
        <f>LTP3!$D$7-X1451*LTP3!$D$6-Y1451*U1451-Z1451*V1451</f>
        <v/>
      </c>
      <c r="AB1451">
        <f>IF(AND(F1451,ABS(W1451)&gt;1E-12,Y1451&gt;0,Z1451&gt;0),AA1451,1E+300)</f>
        <v/>
      </c>
    </row>
    <row r="1452">
      <c r="A1452">
        <f>$B$3+$B$5*23</f>
        <v/>
      </c>
      <c r="B1452">
        <f>$B$3+$B$5*37</f>
        <v/>
      </c>
      <c r="C1452">
        <f>SUMPRODUCT(Calc!$K$3:$K$22*(Calc!$G$3:$G$22&lt;=A1452))</f>
        <v/>
      </c>
      <c r="D1452">
        <f>SUMPRODUCT(Calc!$K$3:$K$22*(Calc!$G$3:$G$22&gt;A1452)*(Calc!$G$3:$G$22&lt;B1452))</f>
        <v/>
      </c>
      <c r="E1452">
        <f>SUMPRODUCT(Calc!$K$3:$K$22*(Calc!$G$3:$G$22&gt;=B1452))</f>
        <v/>
      </c>
      <c r="F1452">
        <f>AND(k_n&gt;=5,B1452&gt;A1452+1E-9,C1452&gt;=2,D1452&gt;=1,E1452&gt;=2)</f>
        <v/>
      </c>
      <c r="G1452">
        <f>SUMPRODUCT(Calc!$K$3:$K$22*(Calc!$G$3:$G$22&gt;A1452)*(Calc!$G$3:$G$22-A1452))</f>
        <v/>
      </c>
      <c r="H1452">
        <f>SUMPRODUCT(Calc!$K$3:$K$22*(Calc!$G$3:$G$22&gt;B1452)*(Calc!$G$3:$G$22-B1452))</f>
        <v/>
      </c>
      <c r="I1452">
        <f>SUMPRODUCT(Calc!$K$3:$K$22*(Calc!$G$3:$G$22&gt;A1452)*(Calc!$G$3:$G$22-A1452)^2)</f>
        <v/>
      </c>
      <c r="J1452">
        <f>SUMPRODUCT(Calc!$K$3:$K$22*(Calc!$G$3:$G$22&gt;B1452)*(Calc!$G$3:$G$22-B1452)^2)</f>
        <v/>
      </c>
      <c r="K1452">
        <f>SUMPRODUCT(Calc!$K$3:$K$22*(Calc!$G$3:$G$22&gt;A1452)*(Calc!$G$3:$G$22-A1452)*(Calc!$G$3:$G$22&gt;B1452)*(Calc!$G$3:$G$22-B1452))</f>
        <v/>
      </c>
      <c r="L1452">
        <f>SUMPRODUCT(Calc!$K$3:$K$22*(Calc!$G$3:$G$22&gt;A1452)*(Calc!$G$3:$G$22-A1452)*Calc!$G$3:$G$22)</f>
        <v/>
      </c>
      <c r="M1452">
        <f>SUMPRODUCT(Calc!$K$3:$K$22*(Calc!$G$3:$G$22&gt;B1452)*(Calc!$G$3:$G$22-B1452)*Calc!$G$3:$G$22)</f>
        <v/>
      </c>
      <c r="N1452">
        <f>SUMPRODUCT(Calc!$K$3:$K$22*(Calc!$G$3:$G$22&gt;A1452)*(Calc!$G$3:$G$22-A1452)*Calc!$I$3:$I$22)</f>
        <v/>
      </c>
      <c r="O1452">
        <f>SUMPRODUCT(Calc!$K$3:$K$22*(Calc!$G$3:$G$22&gt;B1452)*(Calc!$G$3:$G$22-B1452)*Calc!$I$3:$I$22)</f>
        <v/>
      </c>
      <c r="P1452">
        <f>I1452-G1452^2/k_n</f>
        <v/>
      </c>
      <c r="Q1452">
        <f>J1452-H1452^2/k_n</f>
        <v/>
      </c>
      <c r="R1452">
        <f>K1452-G1452*H1452/k_n</f>
        <v/>
      </c>
      <c r="S1452">
        <f>L1452-LTP3!$D$3*G1452/k_n</f>
        <v/>
      </c>
      <c r="T1452">
        <f>M1452-LTP3!$D$3*H1452/k_n</f>
        <v/>
      </c>
      <c r="U1452">
        <f>N1452-G1452*LTP3!$D$4/k_n</f>
        <v/>
      </c>
      <c r="V1452">
        <f>O1452-H1452*LTP3!$D$4/k_n</f>
        <v/>
      </c>
      <c r="W1452">
        <f>((LTP3!$D$5)*((P1452)*(Q1452)-(R1452)*(R1452))-(S1452)*((S1452)*(Q1452)-(R1452)*(T1452))+(T1452)*((S1452)*(R1452)-(P1452)*(T1452)))</f>
        <v/>
      </c>
      <c r="X1452">
        <f>IF(ABS(W1452)&gt;1E-12,((LTP3!$D$6)*((P1452)*(Q1452)-(R1452)*(R1452))-(S1452)*((U1452)*(Q1452)-(R1452)*(V1452))+(T1452)*((U1452)*(R1452)-(P1452)*(V1452)))/W1452,0)</f>
        <v/>
      </c>
      <c r="Y1452">
        <f>IF(ABS(W1452)&gt;1E-12,((LTP3!$D$5)*((U1452)*(Q1452)-(R1452)*(V1452))-(LTP3!$D$6)*((S1452)*(Q1452)-(R1452)*(T1452))+(T1452)*((S1452)*(V1452)-(U1452)*(T1452)))/W1452,0)</f>
        <v/>
      </c>
      <c r="Z1452">
        <f>IF(ABS(W1452)&gt;1E-12,((LTP3!$D$5)*((P1452)*(V1452)-(U1452)*(R1452))-(S1452)*((S1452)*(V1452)-(U1452)*(T1452))+(LTP3!$D$6)*((S1452)*(R1452)-(P1452)*(T1452)))/W1452,0)</f>
        <v/>
      </c>
      <c r="AA1452">
        <f>LTP3!$D$7-X1452*LTP3!$D$6-Y1452*U1452-Z1452*V1452</f>
        <v/>
      </c>
      <c r="AB1452">
        <f>IF(AND(F1452,ABS(W1452)&gt;1E-12,Y1452&gt;0,Z1452&gt;0),AA1452,1E+300)</f>
        <v/>
      </c>
    </row>
    <row r="1453">
      <c r="A1453">
        <f>$B$3+$B$5*23</f>
        <v/>
      </c>
      <c r="B1453">
        <f>$B$3+$B$5*38</f>
        <v/>
      </c>
      <c r="C1453">
        <f>SUMPRODUCT(Calc!$K$3:$K$22*(Calc!$G$3:$G$22&lt;=A1453))</f>
        <v/>
      </c>
      <c r="D1453">
        <f>SUMPRODUCT(Calc!$K$3:$K$22*(Calc!$G$3:$G$22&gt;A1453)*(Calc!$G$3:$G$22&lt;B1453))</f>
        <v/>
      </c>
      <c r="E1453">
        <f>SUMPRODUCT(Calc!$K$3:$K$22*(Calc!$G$3:$G$22&gt;=B1453))</f>
        <v/>
      </c>
      <c r="F1453">
        <f>AND(k_n&gt;=5,B1453&gt;A1453+1E-9,C1453&gt;=2,D1453&gt;=1,E1453&gt;=2)</f>
        <v/>
      </c>
      <c r="G1453">
        <f>SUMPRODUCT(Calc!$K$3:$K$22*(Calc!$G$3:$G$22&gt;A1453)*(Calc!$G$3:$G$22-A1453))</f>
        <v/>
      </c>
      <c r="H1453">
        <f>SUMPRODUCT(Calc!$K$3:$K$22*(Calc!$G$3:$G$22&gt;B1453)*(Calc!$G$3:$G$22-B1453))</f>
        <v/>
      </c>
      <c r="I1453">
        <f>SUMPRODUCT(Calc!$K$3:$K$22*(Calc!$G$3:$G$22&gt;A1453)*(Calc!$G$3:$G$22-A1453)^2)</f>
        <v/>
      </c>
      <c r="J1453">
        <f>SUMPRODUCT(Calc!$K$3:$K$22*(Calc!$G$3:$G$22&gt;B1453)*(Calc!$G$3:$G$22-B1453)^2)</f>
        <v/>
      </c>
      <c r="K1453">
        <f>SUMPRODUCT(Calc!$K$3:$K$22*(Calc!$G$3:$G$22&gt;A1453)*(Calc!$G$3:$G$22-A1453)*(Calc!$G$3:$G$22&gt;B1453)*(Calc!$G$3:$G$22-B1453))</f>
        <v/>
      </c>
      <c r="L1453">
        <f>SUMPRODUCT(Calc!$K$3:$K$22*(Calc!$G$3:$G$22&gt;A1453)*(Calc!$G$3:$G$22-A1453)*Calc!$G$3:$G$22)</f>
        <v/>
      </c>
      <c r="M1453">
        <f>SUMPRODUCT(Calc!$K$3:$K$22*(Calc!$G$3:$G$22&gt;B1453)*(Calc!$G$3:$G$22-B1453)*Calc!$G$3:$G$22)</f>
        <v/>
      </c>
      <c r="N1453">
        <f>SUMPRODUCT(Calc!$K$3:$K$22*(Calc!$G$3:$G$22&gt;A1453)*(Calc!$G$3:$G$22-A1453)*Calc!$I$3:$I$22)</f>
        <v/>
      </c>
      <c r="O1453">
        <f>SUMPRODUCT(Calc!$K$3:$K$22*(Calc!$G$3:$G$22&gt;B1453)*(Calc!$G$3:$G$22-B1453)*Calc!$I$3:$I$22)</f>
        <v/>
      </c>
      <c r="P1453">
        <f>I1453-G1453^2/k_n</f>
        <v/>
      </c>
      <c r="Q1453">
        <f>J1453-H1453^2/k_n</f>
        <v/>
      </c>
      <c r="R1453">
        <f>K1453-G1453*H1453/k_n</f>
        <v/>
      </c>
      <c r="S1453">
        <f>L1453-LTP3!$D$3*G1453/k_n</f>
        <v/>
      </c>
      <c r="T1453">
        <f>M1453-LTP3!$D$3*H1453/k_n</f>
        <v/>
      </c>
      <c r="U1453">
        <f>N1453-G1453*LTP3!$D$4/k_n</f>
        <v/>
      </c>
      <c r="V1453">
        <f>O1453-H1453*LTP3!$D$4/k_n</f>
        <v/>
      </c>
      <c r="W1453">
        <f>((LTP3!$D$5)*((P1453)*(Q1453)-(R1453)*(R1453))-(S1453)*((S1453)*(Q1453)-(R1453)*(T1453))+(T1453)*((S1453)*(R1453)-(P1453)*(T1453)))</f>
        <v/>
      </c>
      <c r="X1453">
        <f>IF(ABS(W1453)&gt;1E-12,((LTP3!$D$6)*((P1453)*(Q1453)-(R1453)*(R1453))-(S1453)*((U1453)*(Q1453)-(R1453)*(V1453))+(T1453)*((U1453)*(R1453)-(P1453)*(V1453)))/W1453,0)</f>
        <v/>
      </c>
      <c r="Y1453">
        <f>IF(ABS(W1453)&gt;1E-12,((LTP3!$D$5)*((U1453)*(Q1453)-(R1453)*(V1453))-(LTP3!$D$6)*((S1453)*(Q1453)-(R1453)*(T1453))+(T1453)*((S1453)*(V1453)-(U1453)*(T1453)))/W1453,0)</f>
        <v/>
      </c>
      <c r="Z1453">
        <f>IF(ABS(W1453)&gt;1E-12,((LTP3!$D$5)*((P1453)*(V1453)-(U1453)*(R1453))-(S1453)*((S1453)*(V1453)-(U1453)*(T1453))+(LTP3!$D$6)*((S1453)*(R1453)-(P1453)*(T1453)))/W1453,0)</f>
        <v/>
      </c>
      <c r="AA1453">
        <f>LTP3!$D$7-X1453*LTP3!$D$6-Y1453*U1453-Z1453*V1453</f>
        <v/>
      </c>
      <c r="AB1453">
        <f>IF(AND(F1453,ABS(W1453)&gt;1E-12,Y1453&gt;0,Z1453&gt;0),AA1453,1E+300)</f>
        <v/>
      </c>
    </row>
    <row r="1454">
      <c r="A1454">
        <f>$B$3+$B$5*23</f>
        <v/>
      </c>
      <c r="B1454">
        <f>$B$3+$B$5*39</f>
        <v/>
      </c>
      <c r="C1454">
        <f>SUMPRODUCT(Calc!$K$3:$K$22*(Calc!$G$3:$G$22&lt;=A1454))</f>
        <v/>
      </c>
      <c r="D1454">
        <f>SUMPRODUCT(Calc!$K$3:$K$22*(Calc!$G$3:$G$22&gt;A1454)*(Calc!$G$3:$G$22&lt;B1454))</f>
        <v/>
      </c>
      <c r="E1454">
        <f>SUMPRODUCT(Calc!$K$3:$K$22*(Calc!$G$3:$G$22&gt;=B1454))</f>
        <v/>
      </c>
      <c r="F1454">
        <f>AND(k_n&gt;=5,B1454&gt;A1454+1E-9,C1454&gt;=2,D1454&gt;=1,E1454&gt;=2)</f>
        <v/>
      </c>
      <c r="G1454">
        <f>SUMPRODUCT(Calc!$K$3:$K$22*(Calc!$G$3:$G$22&gt;A1454)*(Calc!$G$3:$G$22-A1454))</f>
        <v/>
      </c>
      <c r="H1454">
        <f>SUMPRODUCT(Calc!$K$3:$K$22*(Calc!$G$3:$G$22&gt;B1454)*(Calc!$G$3:$G$22-B1454))</f>
        <v/>
      </c>
      <c r="I1454">
        <f>SUMPRODUCT(Calc!$K$3:$K$22*(Calc!$G$3:$G$22&gt;A1454)*(Calc!$G$3:$G$22-A1454)^2)</f>
        <v/>
      </c>
      <c r="J1454">
        <f>SUMPRODUCT(Calc!$K$3:$K$22*(Calc!$G$3:$G$22&gt;B1454)*(Calc!$G$3:$G$22-B1454)^2)</f>
        <v/>
      </c>
      <c r="K1454">
        <f>SUMPRODUCT(Calc!$K$3:$K$22*(Calc!$G$3:$G$22&gt;A1454)*(Calc!$G$3:$G$22-A1454)*(Calc!$G$3:$G$22&gt;B1454)*(Calc!$G$3:$G$22-B1454))</f>
        <v/>
      </c>
      <c r="L1454">
        <f>SUMPRODUCT(Calc!$K$3:$K$22*(Calc!$G$3:$G$22&gt;A1454)*(Calc!$G$3:$G$22-A1454)*Calc!$G$3:$G$22)</f>
        <v/>
      </c>
      <c r="M1454">
        <f>SUMPRODUCT(Calc!$K$3:$K$22*(Calc!$G$3:$G$22&gt;B1454)*(Calc!$G$3:$G$22-B1454)*Calc!$G$3:$G$22)</f>
        <v/>
      </c>
      <c r="N1454">
        <f>SUMPRODUCT(Calc!$K$3:$K$22*(Calc!$G$3:$G$22&gt;A1454)*(Calc!$G$3:$G$22-A1454)*Calc!$I$3:$I$22)</f>
        <v/>
      </c>
      <c r="O1454">
        <f>SUMPRODUCT(Calc!$K$3:$K$22*(Calc!$G$3:$G$22&gt;B1454)*(Calc!$G$3:$G$22-B1454)*Calc!$I$3:$I$22)</f>
        <v/>
      </c>
      <c r="P1454">
        <f>I1454-G1454^2/k_n</f>
        <v/>
      </c>
      <c r="Q1454">
        <f>J1454-H1454^2/k_n</f>
        <v/>
      </c>
      <c r="R1454">
        <f>K1454-G1454*H1454/k_n</f>
        <v/>
      </c>
      <c r="S1454">
        <f>L1454-LTP3!$D$3*G1454/k_n</f>
        <v/>
      </c>
      <c r="T1454">
        <f>M1454-LTP3!$D$3*H1454/k_n</f>
        <v/>
      </c>
      <c r="U1454">
        <f>N1454-G1454*LTP3!$D$4/k_n</f>
        <v/>
      </c>
      <c r="V1454">
        <f>O1454-H1454*LTP3!$D$4/k_n</f>
        <v/>
      </c>
      <c r="W1454">
        <f>((LTP3!$D$5)*((P1454)*(Q1454)-(R1454)*(R1454))-(S1454)*((S1454)*(Q1454)-(R1454)*(T1454))+(T1454)*((S1454)*(R1454)-(P1454)*(T1454)))</f>
        <v/>
      </c>
      <c r="X1454">
        <f>IF(ABS(W1454)&gt;1E-12,((LTP3!$D$6)*((P1454)*(Q1454)-(R1454)*(R1454))-(S1454)*((U1454)*(Q1454)-(R1454)*(V1454))+(T1454)*((U1454)*(R1454)-(P1454)*(V1454)))/W1454,0)</f>
        <v/>
      </c>
      <c r="Y1454">
        <f>IF(ABS(W1454)&gt;1E-12,((LTP3!$D$5)*((U1454)*(Q1454)-(R1454)*(V1454))-(LTP3!$D$6)*((S1454)*(Q1454)-(R1454)*(T1454))+(T1454)*((S1454)*(V1454)-(U1454)*(T1454)))/W1454,0)</f>
        <v/>
      </c>
      <c r="Z1454">
        <f>IF(ABS(W1454)&gt;1E-12,((LTP3!$D$5)*((P1454)*(V1454)-(U1454)*(R1454))-(S1454)*((S1454)*(V1454)-(U1454)*(T1454))+(LTP3!$D$6)*((S1454)*(R1454)-(P1454)*(T1454)))/W1454,0)</f>
        <v/>
      </c>
      <c r="AA1454">
        <f>LTP3!$D$7-X1454*LTP3!$D$6-Y1454*U1454-Z1454*V1454</f>
        <v/>
      </c>
      <c r="AB1454">
        <f>IF(AND(F1454,ABS(W1454)&gt;1E-12,Y1454&gt;0,Z1454&gt;0),AA1454,1E+300)</f>
        <v/>
      </c>
    </row>
    <row r="1455">
      <c r="A1455">
        <f>$B$3+$B$5*23</f>
        <v/>
      </c>
      <c r="B1455">
        <f>$B$3+$B$5*40</f>
        <v/>
      </c>
      <c r="C1455">
        <f>SUMPRODUCT(Calc!$K$3:$K$22*(Calc!$G$3:$G$22&lt;=A1455))</f>
        <v/>
      </c>
      <c r="D1455">
        <f>SUMPRODUCT(Calc!$K$3:$K$22*(Calc!$G$3:$G$22&gt;A1455)*(Calc!$G$3:$G$22&lt;B1455))</f>
        <v/>
      </c>
      <c r="E1455">
        <f>SUMPRODUCT(Calc!$K$3:$K$22*(Calc!$G$3:$G$22&gt;=B1455))</f>
        <v/>
      </c>
      <c r="F1455">
        <f>AND(k_n&gt;=5,B1455&gt;A1455+1E-9,C1455&gt;=2,D1455&gt;=1,E1455&gt;=2)</f>
        <v/>
      </c>
      <c r="G1455">
        <f>SUMPRODUCT(Calc!$K$3:$K$22*(Calc!$G$3:$G$22&gt;A1455)*(Calc!$G$3:$G$22-A1455))</f>
        <v/>
      </c>
      <c r="H1455">
        <f>SUMPRODUCT(Calc!$K$3:$K$22*(Calc!$G$3:$G$22&gt;B1455)*(Calc!$G$3:$G$22-B1455))</f>
        <v/>
      </c>
      <c r="I1455">
        <f>SUMPRODUCT(Calc!$K$3:$K$22*(Calc!$G$3:$G$22&gt;A1455)*(Calc!$G$3:$G$22-A1455)^2)</f>
        <v/>
      </c>
      <c r="J1455">
        <f>SUMPRODUCT(Calc!$K$3:$K$22*(Calc!$G$3:$G$22&gt;B1455)*(Calc!$G$3:$G$22-B1455)^2)</f>
        <v/>
      </c>
      <c r="K1455">
        <f>SUMPRODUCT(Calc!$K$3:$K$22*(Calc!$G$3:$G$22&gt;A1455)*(Calc!$G$3:$G$22-A1455)*(Calc!$G$3:$G$22&gt;B1455)*(Calc!$G$3:$G$22-B1455))</f>
        <v/>
      </c>
      <c r="L1455">
        <f>SUMPRODUCT(Calc!$K$3:$K$22*(Calc!$G$3:$G$22&gt;A1455)*(Calc!$G$3:$G$22-A1455)*Calc!$G$3:$G$22)</f>
        <v/>
      </c>
      <c r="M1455">
        <f>SUMPRODUCT(Calc!$K$3:$K$22*(Calc!$G$3:$G$22&gt;B1455)*(Calc!$G$3:$G$22-B1455)*Calc!$G$3:$G$22)</f>
        <v/>
      </c>
      <c r="N1455">
        <f>SUMPRODUCT(Calc!$K$3:$K$22*(Calc!$G$3:$G$22&gt;A1455)*(Calc!$G$3:$G$22-A1455)*Calc!$I$3:$I$22)</f>
        <v/>
      </c>
      <c r="O1455">
        <f>SUMPRODUCT(Calc!$K$3:$K$22*(Calc!$G$3:$G$22&gt;B1455)*(Calc!$G$3:$G$22-B1455)*Calc!$I$3:$I$22)</f>
        <v/>
      </c>
      <c r="P1455">
        <f>I1455-G1455^2/k_n</f>
        <v/>
      </c>
      <c r="Q1455">
        <f>J1455-H1455^2/k_n</f>
        <v/>
      </c>
      <c r="R1455">
        <f>K1455-G1455*H1455/k_n</f>
        <v/>
      </c>
      <c r="S1455">
        <f>L1455-LTP3!$D$3*G1455/k_n</f>
        <v/>
      </c>
      <c r="T1455">
        <f>M1455-LTP3!$D$3*H1455/k_n</f>
        <v/>
      </c>
      <c r="U1455">
        <f>N1455-G1455*LTP3!$D$4/k_n</f>
        <v/>
      </c>
      <c r="V1455">
        <f>O1455-H1455*LTP3!$D$4/k_n</f>
        <v/>
      </c>
      <c r="W1455">
        <f>((LTP3!$D$5)*((P1455)*(Q1455)-(R1455)*(R1455))-(S1455)*((S1455)*(Q1455)-(R1455)*(T1455))+(T1455)*((S1455)*(R1455)-(P1455)*(T1455)))</f>
        <v/>
      </c>
      <c r="X1455">
        <f>IF(ABS(W1455)&gt;1E-12,((LTP3!$D$6)*((P1455)*(Q1455)-(R1455)*(R1455))-(S1455)*((U1455)*(Q1455)-(R1455)*(V1455))+(T1455)*((U1455)*(R1455)-(P1455)*(V1455)))/W1455,0)</f>
        <v/>
      </c>
      <c r="Y1455">
        <f>IF(ABS(W1455)&gt;1E-12,((LTP3!$D$5)*((U1455)*(Q1455)-(R1455)*(V1455))-(LTP3!$D$6)*((S1455)*(Q1455)-(R1455)*(T1455))+(T1455)*((S1455)*(V1455)-(U1455)*(T1455)))/W1455,0)</f>
        <v/>
      </c>
      <c r="Z1455">
        <f>IF(ABS(W1455)&gt;1E-12,((LTP3!$D$5)*((P1455)*(V1455)-(U1455)*(R1455))-(S1455)*((S1455)*(V1455)-(U1455)*(T1455))+(LTP3!$D$6)*((S1455)*(R1455)-(P1455)*(T1455)))/W1455,0)</f>
        <v/>
      </c>
      <c r="AA1455">
        <f>LTP3!$D$7-X1455*LTP3!$D$6-Y1455*U1455-Z1455*V1455</f>
        <v/>
      </c>
      <c r="AB1455">
        <f>IF(AND(F1455,ABS(W1455)&gt;1E-12,Y1455&gt;0,Z1455&gt;0),AA1455,1E+300)</f>
        <v/>
      </c>
    </row>
    <row r="1456">
      <c r="A1456">
        <f>$B$3+$B$5*23</f>
        <v/>
      </c>
      <c r="B1456">
        <f>$B$3+$B$5*41</f>
        <v/>
      </c>
      <c r="C1456">
        <f>SUMPRODUCT(Calc!$K$3:$K$22*(Calc!$G$3:$G$22&lt;=A1456))</f>
        <v/>
      </c>
      <c r="D1456">
        <f>SUMPRODUCT(Calc!$K$3:$K$22*(Calc!$G$3:$G$22&gt;A1456)*(Calc!$G$3:$G$22&lt;B1456))</f>
        <v/>
      </c>
      <c r="E1456">
        <f>SUMPRODUCT(Calc!$K$3:$K$22*(Calc!$G$3:$G$22&gt;=B1456))</f>
        <v/>
      </c>
      <c r="F1456">
        <f>AND(k_n&gt;=5,B1456&gt;A1456+1E-9,C1456&gt;=2,D1456&gt;=1,E1456&gt;=2)</f>
        <v/>
      </c>
      <c r="G1456">
        <f>SUMPRODUCT(Calc!$K$3:$K$22*(Calc!$G$3:$G$22&gt;A1456)*(Calc!$G$3:$G$22-A1456))</f>
        <v/>
      </c>
      <c r="H1456">
        <f>SUMPRODUCT(Calc!$K$3:$K$22*(Calc!$G$3:$G$22&gt;B1456)*(Calc!$G$3:$G$22-B1456))</f>
        <v/>
      </c>
      <c r="I1456">
        <f>SUMPRODUCT(Calc!$K$3:$K$22*(Calc!$G$3:$G$22&gt;A1456)*(Calc!$G$3:$G$22-A1456)^2)</f>
        <v/>
      </c>
      <c r="J1456">
        <f>SUMPRODUCT(Calc!$K$3:$K$22*(Calc!$G$3:$G$22&gt;B1456)*(Calc!$G$3:$G$22-B1456)^2)</f>
        <v/>
      </c>
      <c r="K1456">
        <f>SUMPRODUCT(Calc!$K$3:$K$22*(Calc!$G$3:$G$22&gt;A1456)*(Calc!$G$3:$G$22-A1456)*(Calc!$G$3:$G$22&gt;B1456)*(Calc!$G$3:$G$22-B1456))</f>
        <v/>
      </c>
      <c r="L1456">
        <f>SUMPRODUCT(Calc!$K$3:$K$22*(Calc!$G$3:$G$22&gt;A1456)*(Calc!$G$3:$G$22-A1456)*Calc!$G$3:$G$22)</f>
        <v/>
      </c>
      <c r="M1456">
        <f>SUMPRODUCT(Calc!$K$3:$K$22*(Calc!$G$3:$G$22&gt;B1456)*(Calc!$G$3:$G$22-B1456)*Calc!$G$3:$G$22)</f>
        <v/>
      </c>
      <c r="N1456">
        <f>SUMPRODUCT(Calc!$K$3:$K$22*(Calc!$G$3:$G$22&gt;A1456)*(Calc!$G$3:$G$22-A1456)*Calc!$I$3:$I$22)</f>
        <v/>
      </c>
      <c r="O1456">
        <f>SUMPRODUCT(Calc!$K$3:$K$22*(Calc!$G$3:$G$22&gt;B1456)*(Calc!$G$3:$G$22-B1456)*Calc!$I$3:$I$22)</f>
        <v/>
      </c>
      <c r="P1456">
        <f>I1456-G1456^2/k_n</f>
        <v/>
      </c>
      <c r="Q1456">
        <f>J1456-H1456^2/k_n</f>
        <v/>
      </c>
      <c r="R1456">
        <f>K1456-G1456*H1456/k_n</f>
        <v/>
      </c>
      <c r="S1456">
        <f>L1456-LTP3!$D$3*G1456/k_n</f>
        <v/>
      </c>
      <c r="T1456">
        <f>M1456-LTP3!$D$3*H1456/k_n</f>
        <v/>
      </c>
      <c r="U1456">
        <f>N1456-G1456*LTP3!$D$4/k_n</f>
        <v/>
      </c>
      <c r="V1456">
        <f>O1456-H1456*LTP3!$D$4/k_n</f>
        <v/>
      </c>
      <c r="W1456">
        <f>((LTP3!$D$5)*((P1456)*(Q1456)-(R1456)*(R1456))-(S1456)*((S1456)*(Q1456)-(R1456)*(T1456))+(T1456)*((S1456)*(R1456)-(P1456)*(T1456)))</f>
        <v/>
      </c>
      <c r="X1456">
        <f>IF(ABS(W1456)&gt;1E-12,((LTP3!$D$6)*((P1456)*(Q1456)-(R1456)*(R1456))-(S1456)*((U1456)*(Q1456)-(R1456)*(V1456))+(T1456)*((U1456)*(R1456)-(P1456)*(V1456)))/W1456,0)</f>
        <v/>
      </c>
      <c r="Y1456">
        <f>IF(ABS(W1456)&gt;1E-12,((LTP3!$D$5)*((U1456)*(Q1456)-(R1456)*(V1456))-(LTP3!$D$6)*((S1456)*(Q1456)-(R1456)*(T1456))+(T1456)*((S1456)*(V1456)-(U1456)*(T1456)))/W1456,0)</f>
        <v/>
      </c>
      <c r="Z1456">
        <f>IF(ABS(W1456)&gt;1E-12,((LTP3!$D$5)*((P1456)*(V1456)-(U1456)*(R1456))-(S1456)*((S1456)*(V1456)-(U1456)*(T1456))+(LTP3!$D$6)*((S1456)*(R1456)-(P1456)*(T1456)))/W1456,0)</f>
        <v/>
      </c>
      <c r="AA1456">
        <f>LTP3!$D$7-X1456*LTP3!$D$6-Y1456*U1456-Z1456*V1456</f>
        <v/>
      </c>
      <c r="AB1456">
        <f>IF(AND(F1456,ABS(W1456)&gt;1E-12,Y1456&gt;0,Z1456&gt;0),AA1456,1E+300)</f>
        <v/>
      </c>
    </row>
    <row r="1457">
      <c r="A1457">
        <f>$B$3+$B$5*23</f>
        <v/>
      </c>
      <c r="B1457">
        <f>$B$3+$B$5*42</f>
        <v/>
      </c>
      <c r="C1457">
        <f>SUMPRODUCT(Calc!$K$3:$K$22*(Calc!$G$3:$G$22&lt;=A1457))</f>
        <v/>
      </c>
      <c r="D1457">
        <f>SUMPRODUCT(Calc!$K$3:$K$22*(Calc!$G$3:$G$22&gt;A1457)*(Calc!$G$3:$G$22&lt;B1457))</f>
        <v/>
      </c>
      <c r="E1457">
        <f>SUMPRODUCT(Calc!$K$3:$K$22*(Calc!$G$3:$G$22&gt;=B1457))</f>
        <v/>
      </c>
      <c r="F1457">
        <f>AND(k_n&gt;=5,B1457&gt;A1457+1E-9,C1457&gt;=2,D1457&gt;=1,E1457&gt;=2)</f>
        <v/>
      </c>
      <c r="G1457">
        <f>SUMPRODUCT(Calc!$K$3:$K$22*(Calc!$G$3:$G$22&gt;A1457)*(Calc!$G$3:$G$22-A1457))</f>
        <v/>
      </c>
      <c r="H1457">
        <f>SUMPRODUCT(Calc!$K$3:$K$22*(Calc!$G$3:$G$22&gt;B1457)*(Calc!$G$3:$G$22-B1457))</f>
        <v/>
      </c>
      <c r="I1457">
        <f>SUMPRODUCT(Calc!$K$3:$K$22*(Calc!$G$3:$G$22&gt;A1457)*(Calc!$G$3:$G$22-A1457)^2)</f>
        <v/>
      </c>
      <c r="J1457">
        <f>SUMPRODUCT(Calc!$K$3:$K$22*(Calc!$G$3:$G$22&gt;B1457)*(Calc!$G$3:$G$22-B1457)^2)</f>
        <v/>
      </c>
      <c r="K1457">
        <f>SUMPRODUCT(Calc!$K$3:$K$22*(Calc!$G$3:$G$22&gt;A1457)*(Calc!$G$3:$G$22-A1457)*(Calc!$G$3:$G$22&gt;B1457)*(Calc!$G$3:$G$22-B1457))</f>
        <v/>
      </c>
      <c r="L1457">
        <f>SUMPRODUCT(Calc!$K$3:$K$22*(Calc!$G$3:$G$22&gt;A1457)*(Calc!$G$3:$G$22-A1457)*Calc!$G$3:$G$22)</f>
        <v/>
      </c>
      <c r="M1457">
        <f>SUMPRODUCT(Calc!$K$3:$K$22*(Calc!$G$3:$G$22&gt;B1457)*(Calc!$G$3:$G$22-B1457)*Calc!$G$3:$G$22)</f>
        <v/>
      </c>
      <c r="N1457">
        <f>SUMPRODUCT(Calc!$K$3:$K$22*(Calc!$G$3:$G$22&gt;A1457)*(Calc!$G$3:$G$22-A1457)*Calc!$I$3:$I$22)</f>
        <v/>
      </c>
      <c r="O1457">
        <f>SUMPRODUCT(Calc!$K$3:$K$22*(Calc!$G$3:$G$22&gt;B1457)*(Calc!$G$3:$G$22-B1457)*Calc!$I$3:$I$22)</f>
        <v/>
      </c>
      <c r="P1457">
        <f>I1457-G1457^2/k_n</f>
        <v/>
      </c>
      <c r="Q1457">
        <f>J1457-H1457^2/k_n</f>
        <v/>
      </c>
      <c r="R1457">
        <f>K1457-G1457*H1457/k_n</f>
        <v/>
      </c>
      <c r="S1457">
        <f>L1457-LTP3!$D$3*G1457/k_n</f>
        <v/>
      </c>
      <c r="T1457">
        <f>M1457-LTP3!$D$3*H1457/k_n</f>
        <v/>
      </c>
      <c r="U1457">
        <f>N1457-G1457*LTP3!$D$4/k_n</f>
        <v/>
      </c>
      <c r="V1457">
        <f>O1457-H1457*LTP3!$D$4/k_n</f>
        <v/>
      </c>
      <c r="W1457">
        <f>((LTP3!$D$5)*((P1457)*(Q1457)-(R1457)*(R1457))-(S1457)*((S1457)*(Q1457)-(R1457)*(T1457))+(T1457)*((S1457)*(R1457)-(P1457)*(T1457)))</f>
        <v/>
      </c>
      <c r="X1457">
        <f>IF(ABS(W1457)&gt;1E-12,((LTP3!$D$6)*((P1457)*(Q1457)-(R1457)*(R1457))-(S1457)*((U1457)*(Q1457)-(R1457)*(V1457))+(T1457)*((U1457)*(R1457)-(P1457)*(V1457)))/W1457,0)</f>
        <v/>
      </c>
      <c r="Y1457">
        <f>IF(ABS(W1457)&gt;1E-12,((LTP3!$D$5)*((U1457)*(Q1457)-(R1457)*(V1457))-(LTP3!$D$6)*((S1457)*(Q1457)-(R1457)*(T1457))+(T1457)*((S1457)*(V1457)-(U1457)*(T1457)))/W1457,0)</f>
        <v/>
      </c>
      <c r="Z1457">
        <f>IF(ABS(W1457)&gt;1E-12,((LTP3!$D$5)*((P1457)*(V1457)-(U1457)*(R1457))-(S1457)*((S1457)*(V1457)-(U1457)*(T1457))+(LTP3!$D$6)*((S1457)*(R1457)-(P1457)*(T1457)))/W1457,0)</f>
        <v/>
      </c>
      <c r="AA1457">
        <f>LTP3!$D$7-X1457*LTP3!$D$6-Y1457*U1457-Z1457*V1457</f>
        <v/>
      </c>
      <c r="AB1457">
        <f>IF(AND(F1457,ABS(W1457)&gt;1E-12,Y1457&gt;0,Z1457&gt;0),AA1457,1E+300)</f>
        <v/>
      </c>
    </row>
    <row r="1458">
      <c r="A1458">
        <f>$B$3+$B$5*23</f>
        <v/>
      </c>
      <c r="B1458">
        <f>$B$3+$B$5*43</f>
        <v/>
      </c>
      <c r="C1458">
        <f>SUMPRODUCT(Calc!$K$3:$K$22*(Calc!$G$3:$G$22&lt;=A1458))</f>
        <v/>
      </c>
      <c r="D1458">
        <f>SUMPRODUCT(Calc!$K$3:$K$22*(Calc!$G$3:$G$22&gt;A1458)*(Calc!$G$3:$G$22&lt;B1458))</f>
        <v/>
      </c>
      <c r="E1458">
        <f>SUMPRODUCT(Calc!$K$3:$K$22*(Calc!$G$3:$G$22&gt;=B1458))</f>
        <v/>
      </c>
      <c r="F1458">
        <f>AND(k_n&gt;=5,B1458&gt;A1458+1E-9,C1458&gt;=2,D1458&gt;=1,E1458&gt;=2)</f>
        <v/>
      </c>
      <c r="G1458">
        <f>SUMPRODUCT(Calc!$K$3:$K$22*(Calc!$G$3:$G$22&gt;A1458)*(Calc!$G$3:$G$22-A1458))</f>
        <v/>
      </c>
      <c r="H1458">
        <f>SUMPRODUCT(Calc!$K$3:$K$22*(Calc!$G$3:$G$22&gt;B1458)*(Calc!$G$3:$G$22-B1458))</f>
        <v/>
      </c>
      <c r="I1458">
        <f>SUMPRODUCT(Calc!$K$3:$K$22*(Calc!$G$3:$G$22&gt;A1458)*(Calc!$G$3:$G$22-A1458)^2)</f>
        <v/>
      </c>
      <c r="J1458">
        <f>SUMPRODUCT(Calc!$K$3:$K$22*(Calc!$G$3:$G$22&gt;B1458)*(Calc!$G$3:$G$22-B1458)^2)</f>
        <v/>
      </c>
      <c r="K1458">
        <f>SUMPRODUCT(Calc!$K$3:$K$22*(Calc!$G$3:$G$22&gt;A1458)*(Calc!$G$3:$G$22-A1458)*(Calc!$G$3:$G$22&gt;B1458)*(Calc!$G$3:$G$22-B1458))</f>
        <v/>
      </c>
      <c r="L1458">
        <f>SUMPRODUCT(Calc!$K$3:$K$22*(Calc!$G$3:$G$22&gt;A1458)*(Calc!$G$3:$G$22-A1458)*Calc!$G$3:$G$22)</f>
        <v/>
      </c>
      <c r="M1458">
        <f>SUMPRODUCT(Calc!$K$3:$K$22*(Calc!$G$3:$G$22&gt;B1458)*(Calc!$G$3:$G$22-B1458)*Calc!$G$3:$G$22)</f>
        <v/>
      </c>
      <c r="N1458">
        <f>SUMPRODUCT(Calc!$K$3:$K$22*(Calc!$G$3:$G$22&gt;A1458)*(Calc!$G$3:$G$22-A1458)*Calc!$I$3:$I$22)</f>
        <v/>
      </c>
      <c r="O1458">
        <f>SUMPRODUCT(Calc!$K$3:$K$22*(Calc!$G$3:$G$22&gt;B1458)*(Calc!$G$3:$G$22-B1458)*Calc!$I$3:$I$22)</f>
        <v/>
      </c>
      <c r="P1458">
        <f>I1458-G1458^2/k_n</f>
        <v/>
      </c>
      <c r="Q1458">
        <f>J1458-H1458^2/k_n</f>
        <v/>
      </c>
      <c r="R1458">
        <f>K1458-G1458*H1458/k_n</f>
        <v/>
      </c>
      <c r="S1458">
        <f>L1458-LTP3!$D$3*G1458/k_n</f>
        <v/>
      </c>
      <c r="T1458">
        <f>M1458-LTP3!$D$3*H1458/k_n</f>
        <v/>
      </c>
      <c r="U1458">
        <f>N1458-G1458*LTP3!$D$4/k_n</f>
        <v/>
      </c>
      <c r="V1458">
        <f>O1458-H1458*LTP3!$D$4/k_n</f>
        <v/>
      </c>
      <c r="W1458">
        <f>((LTP3!$D$5)*((P1458)*(Q1458)-(R1458)*(R1458))-(S1458)*((S1458)*(Q1458)-(R1458)*(T1458))+(T1458)*((S1458)*(R1458)-(P1458)*(T1458)))</f>
        <v/>
      </c>
      <c r="X1458">
        <f>IF(ABS(W1458)&gt;1E-12,((LTP3!$D$6)*((P1458)*(Q1458)-(R1458)*(R1458))-(S1458)*((U1458)*(Q1458)-(R1458)*(V1458))+(T1458)*((U1458)*(R1458)-(P1458)*(V1458)))/W1458,0)</f>
        <v/>
      </c>
      <c r="Y1458">
        <f>IF(ABS(W1458)&gt;1E-12,((LTP3!$D$5)*((U1458)*(Q1458)-(R1458)*(V1458))-(LTP3!$D$6)*((S1458)*(Q1458)-(R1458)*(T1458))+(T1458)*((S1458)*(V1458)-(U1458)*(T1458)))/W1458,0)</f>
        <v/>
      </c>
      <c r="Z1458">
        <f>IF(ABS(W1458)&gt;1E-12,((LTP3!$D$5)*((P1458)*(V1458)-(U1458)*(R1458))-(S1458)*((S1458)*(V1458)-(U1458)*(T1458))+(LTP3!$D$6)*((S1458)*(R1458)-(P1458)*(T1458)))/W1458,0)</f>
        <v/>
      </c>
      <c r="AA1458">
        <f>LTP3!$D$7-X1458*LTP3!$D$6-Y1458*U1458-Z1458*V1458</f>
        <v/>
      </c>
      <c r="AB1458">
        <f>IF(AND(F1458,ABS(W1458)&gt;1E-12,Y1458&gt;0,Z1458&gt;0),AA1458,1E+300)</f>
        <v/>
      </c>
    </row>
    <row r="1459">
      <c r="A1459">
        <f>$B$3+$B$5*23</f>
        <v/>
      </c>
      <c r="B1459">
        <f>$B$3+$B$5*44</f>
        <v/>
      </c>
      <c r="C1459">
        <f>SUMPRODUCT(Calc!$K$3:$K$22*(Calc!$G$3:$G$22&lt;=A1459))</f>
        <v/>
      </c>
      <c r="D1459">
        <f>SUMPRODUCT(Calc!$K$3:$K$22*(Calc!$G$3:$G$22&gt;A1459)*(Calc!$G$3:$G$22&lt;B1459))</f>
        <v/>
      </c>
      <c r="E1459">
        <f>SUMPRODUCT(Calc!$K$3:$K$22*(Calc!$G$3:$G$22&gt;=B1459))</f>
        <v/>
      </c>
      <c r="F1459">
        <f>AND(k_n&gt;=5,B1459&gt;A1459+1E-9,C1459&gt;=2,D1459&gt;=1,E1459&gt;=2)</f>
        <v/>
      </c>
      <c r="G1459">
        <f>SUMPRODUCT(Calc!$K$3:$K$22*(Calc!$G$3:$G$22&gt;A1459)*(Calc!$G$3:$G$22-A1459))</f>
        <v/>
      </c>
      <c r="H1459">
        <f>SUMPRODUCT(Calc!$K$3:$K$22*(Calc!$G$3:$G$22&gt;B1459)*(Calc!$G$3:$G$22-B1459))</f>
        <v/>
      </c>
      <c r="I1459">
        <f>SUMPRODUCT(Calc!$K$3:$K$22*(Calc!$G$3:$G$22&gt;A1459)*(Calc!$G$3:$G$22-A1459)^2)</f>
        <v/>
      </c>
      <c r="J1459">
        <f>SUMPRODUCT(Calc!$K$3:$K$22*(Calc!$G$3:$G$22&gt;B1459)*(Calc!$G$3:$G$22-B1459)^2)</f>
        <v/>
      </c>
      <c r="K1459">
        <f>SUMPRODUCT(Calc!$K$3:$K$22*(Calc!$G$3:$G$22&gt;A1459)*(Calc!$G$3:$G$22-A1459)*(Calc!$G$3:$G$22&gt;B1459)*(Calc!$G$3:$G$22-B1459))</f>
        <v/>
      </c>
      <c r="L1459">
        <f>SUMPRODUCT(Calc!$K$3:$K$22*(Calc!$G$3:$G$22&gt;A1459)*(Calc!$G$3:$G$22-A1459)*Calc!$G$3:$G$22)</f>
        <v/>
      </c>
      <c r="M1459">
        <f>SUMPRODUCT(Calc!$K$3:$K$22*(Calc!$G$3:$G$22&gt;B1459)*(Calc!$G$3:$G$22-B1459)*Calc!$G$3:$G$22)</f>
        <v/>
      </c>
      <c r="N1459">
        <f>SUMPRODUCT(Calc!$K$3:$K$22*(Calc!$G$3:$G$22&gt;A1459)*(Calc!$G$3:$G$22-A1459)*Calc!$I$3:$I$22)</f>
        <v/>
      </c>
      <c r="O1459">
        <f>SUMPRODUCT(Calc!$K$3:$K$22*(Calc!$G$3:$G$22&gt;B1459)*(Calc!$G$3:$G$22-B1459)*Calc!$I$3:$I$22)</f>
        <v/>
      </c>
      <c r="P1459">
        <f>I1459-G1459^2/k_n</f>
        <v/>
      </c>
      <c r="Q1459">
        <f>J1459-H1459^2/k_n</f>
        <v/>
      </c>
      <c r="R1459">
        <f>K1459-G1459*H1459/k_n</f>
        <v/>
      </c>
      <c r="S1459">
        <f>L1459-LTP3!$D$3*G1459/k_n</f>
        <v/>
      </c>
      <c r="T1459">
        <f>M1459-LTP3!$D$3*H1459/k_n</f>
        <v/>
      </c>
      <c r="U1459">
        <f>N1459-G1459*LTP3!$D$4/k_n</f>
        <v/>
      </c>
      <c r="V1459">
        <f>O1459-H1459*LTP3!$D$4/k_n</f>
        <v/>
      </c>
      <c r="W1459">
        <f>((LTP3!$D$5)*((P1459)*(Q1459)-(R1459)*(R1459))-(S1459)*((S1459)*(Q1459)-(R1459)*(T1459))+(T1459)*((S1459)*(R1459)-(P1459)*(T1459)))</f>
        <v/>
      </c>
      <c r="X1459">
        <f>IF(ABS(W1459)&gt;1E-12,((LTP3!$D$6)*((P1459)*(Q1459)-(R1459)*(R1459))-(S1459)*((U1459)*(Q1459)-(R1459)*(V1459))+(T1459)*((U1459)*(R1459)-(P1459)*(V1459)))/W1459,0)</f>
        <v/>
      </c>
      <c r="Y1459">
        <f>IF(ABS(W1459)&gt;1E-12,((LTP3!$D$5)*((U1459)*(Q1459)-(R1459)*(V1459))-(LTP3!$D$6)*((S1459)*(Q1459)-(R1459)*(T1459))+(T1459)*((S1459)*(V1459)-(U1459)*(T1459)))/W1459,0)</f>
        <v/>
      </c>
      <c r="Z1459">
        <f>IF(ABS(W1459)&gt;1E-12,((LTP3!$D$5)*((P1459)*(V1459)-(U1459)*(R1459))-(S1459)*((S1459)*(V1459)-(U1459)*(T1459))+(LTP3!$D$6)*((S1459)*(R1459)-(P1459)*(T1459)))/W1459,0)</f>
        <v/>
      </c>
      <c r="AA1459">
        <f>LTP3!$D$7-X1459*LTP3!$D$6-Y1459*U1459-Z1459*V1459</f>
        <v/>
      </c>
      <c r="AB1459">
        <f>IF(AND(F1459,ABS(W1459)&gt;1E-12,Y1459&gt;0,Z1459&gt;0),AA1459,1E+300)</f>
        <v/>
      </c>
    </row>
    <row r="1460">
      <c r="A1460">
        <f>$B$3+$B$5*23</f>
        <v/>
      </c>
      <c r="B1460">
        <f>$B$3+$B$5*45</f>
        <v/>
      </c>
      <c r="C1460">
        <f>SUMPRODUCT(Calc!$K$3:$K$22*(Calc!$G$3:$G$22&lt;=A1460))</f>
        <v/>
      </c>
      <c r="D1460">
        <f>SUMPRODUCT(Calc!$K$3:$K$22*(Calc!$G$3:$G$22&gt;A1460)*(Calc!$G$3:$G$22&lt;B1460))</f>
        <v/>
      </c>
      <c r="E1460">
        <f>SUMPRODUCT(Calc!$K$3:$K$22*(Calc!$G$3:$G$22&gt;=B1460))</f>
        <v/>
      </c>
      <c r="F1460">
        <f>AND(k_n&gt;=5,B1460&gt;A1460+1E-9,C1460&gt;=2,D1460&gt;=1,E1460&gt;=2)</f>
        <v/>
      </c>
      <c r="G1460">
        <f>SUMPRODUCT(Calc!$K$3:$K$22*(Calc!$G$3:$G$22&gt;A1460)*(Calc!$G$3:$G$22-A1460))</f>
        <v/>
      </c>
      <c r="H1460">
        <f>SUMPRODUCT(Calc!$K$3:$K$22*(Calc!$G$3:$G$22&gt;B1460)*(Calc!$G$3:$G$22-B1460))</f>
        <v/>
      </c>
      <c r="I1460">
        <f>SUMPRODUCT(Calc!$K$3:$K$22*(Calc!$G$3:$G$22&gt;A1460)*(Calc!$G$3:$G$22-A1460)^2)</f>
        <v/>
      </c>
      <c r="J1460">
        <f>SUMPRODUCT(Calc!$K$3:$K$22*(Calc!$G$3:$G$22&gt;B1460)*(Calc!$G$3:$G$22-B1460)^2)</f>
        <v/>
      </c>
      <c r="K1460">
        <f>SUMPRODUCT(Calc!$K$3:$K$22*(Calc!$G$3:$G$22&gt;A1460)*(Calc!$G$3:$G$22-A1460)*(Calc!$G$3:$G$22&gt;B1460)*(Calc!$G$3:$G$22-B1460))</f>
        <v/>
      </c>
      <c r="L1460">
        <f>SUMPRODUCT(Calc!$K$3:$K$22*(Calc!$G$3:$G$22&gt;A1460)*(Calc!$G$3:$G$22-A1460)*Calc!$G$3:$G$22)</f>
        <v/>
      </c>
      <c r="M1460">
        <f>SUMPRODUCT(Calc!$K$3:$K$22*(Calc!$G$3:$G$22&gt;B1460)*(Calc!$G$3:$G$22-B1460)*Calc!$G$3:$G$22)</f>
        <v/>
      </c>
      <c r="N1460">
        <f>SUMPRODUCT(Calc!$K$3:$K$22*(Calc!$G$3:$G$22&gt;A1460)*(Calc!$G$3:$G$22-A1460)*Calc!$I$3:$I$22)</f>
        <v/>
      </c>
      <c r="O1460">
        <f>SUMPRODUCT(Calc!$K$3:$K$22*(Calc!$G$3:$G$22&gt;B1460)*(Calc!$G$3:$G$22-B1460)*Calc!$I$3:$I$22)</f>
        <v/>
      </c>
      <c r="P1460">
        <f>I1460-G1460^2/k_n</f>
        <v/>
      </c>
      <c r="Q1460">
        <f>J1460-H1460^2/k_n</f>
        <v/>
      </c>
      <c r="R1460">
        <f>K1460-G1460*H1460/k_n</f>
        <v/>
      </c>
      <c r="S1460">
        <f>L1460-LTP3!$D$3*G1460/k_n</f>
        <v/>
      </c>
      <c r="T1460">
        <f>M1460-LTP3!$D$3*H1460/k_n</f>
        <v/>
      </c>
      <c r="U1460">
        <f>N1460-G1460*LTP3!$D$4/k_n</f>
        <v/>
      </c>
      <c r="V1460">
        <f>O1460-H1460*LTP3!$D$4/k_n</f>
        <v/>
      </c>
      <c r="W1460">
        <f>((LTP3!$D$5)*((P1460)*(Q1460)-(R1460)*(R1460))-(S1460)*((S1460)*(Q1460)-(R1460)*(T1460))+(T1460)*((S1460)*(R1460)-(P1460)*(T1460)))</f>
        <v/>
      </c>
      <c r="X1460">
        <f>IF(ABS(W1460)&gt;1E-12,((LTP3!$D$6)*((P1460)*(Q1460)-(R1460)*(R1460))-(S1460)*((U1460)*(Q1460)-(R1460)*(V1460))+(T1460)*((U1460)*(R1460)-(P1460)*(V1460)))/W1460,0)</f>
        <v/>
      </c>
      <c r="Y1460">
        <f>IF(ABS(W1460)&gt;1E-12,((LTP3!$D$5)*((U1460)*(Q1460)-(R1460)*(V1460))-(LTP3!$D$6)*((S1460)*(Q1460)-(R1460)*(T1460))+(T1460)*((S1460)*(V1460)-(U1460)*(T1460)))/W1460,0)</f>
        <v/>
      </c>
      <c r="Z1460">
        <f>IF(ABS(W1460)&gt;1E-12,((LTP3!$D$5)*((P1460)*(V1460)-(U1460)*(R1460))-(S1460)*((S1460)*(V1460)-(U1460)*(T1460))+(LTP3!$D$6)*((S1460)*(R1460)-(P1460)*(T1460)))/W1460,0)</f>
        <v/>
      </c>
      <c r="AA1460">
        <f>LTP3!$D$7-X1460*LTP3!$D$6-Y1460*U1460-Z1460*V1460</f>
        <v/>
      </c>
      <c r="AB1460">
        <f>IF(AND(F1460,ABS(W1460)&gt;1E-12,Y1460&gt;0,Z1460&gt;0),AA1460,1E+300)</f>
        <v/>
      </c>
    </row>
    <row r="1461">
      <c r="A1461">
        <f>$B$3+$B$5*23</f>
        <v/>
      </c>
      <c r="B1461">
        <f>$B$3+$B$5*46</f>
        <v/>
      </c>
      <c r="C1461">
        <f>SUMPRODUCT(Calc!$K$3:$K$22*(Calc!$G$3:$G$22&lt;=A1461))</f>
        <v/>
      </c>
      <c r="D1461">
        <f>SUMPRODUCT(Calc!$K$3:$K$22*(Calc!$G$3:$G$22&gt;A1461)*(Calc!$G$3:$G$22&lt;B1461))</f>
        <v/>
      </c>
      <c r="E1461">
        <f>SUMPRODUCT(Calc!$K$3:$K$22*(Calc!$G$3:$G$22&gt;=B1461))</f>
        <v/>
      </c>
      <c r="F1461">
        <f>AND(k_n&gt;=5,B1461&gt;A1461+1E-9,C1461&gt;=2,D1461&gt;=1,E1461&gt;=2)</f>
        <v/>
      </c>
      <c r="G1461">
        <f>SUMPRODUCT(Calc!$K$3:$K$22*(Calc!$G$3:$G$22&gt;A1461)*(Calc!$G$3:$G$22-A1461))</f>
        <v/>
      </c>
      <c r="H1461">
        <f>SUMPRODUCT(Calc!$K$3:$K$22*(Calc!$G$3:$G$22&gt;B1461)*(Calc!$G$3:$G$22-B1461))</f>
        <v/>
      </c>
      <c r="I1461">
        <f>SUMPRODUCT(Calc!$K$3:$K$22*(Calc!$G$3:$G$22&gt;A1461)*(Calc!$G$3:$G$22-A1461)^2)</f>
        <v/>
      </c>
      <c r="J1461">
        <f>SUMPRODUCT(Calc!$K$3:$K$22*(Calc!$G$3:$G$22&gt;B1461)*(Calc!$G$3:$G$22-B1461)^2)</f>
        <v/>
      </c>
      <c r="K1461">
        <f>SUMPRODUCT(Calc!$K$3:$K$22*(Calc!$G$3:$G$22&gt;A1461)*(Calc!$G$3:$G$22-A1461)*(Calc!$G$3:$G$22&gt;B1461)*(Calc!$G$3:$G$22-B1461))</f>
        <v/>
      </c>
      <c r="L1461">
        <f>SUMPRODUCT(Calc!$K$3:$K$22*(Calc!$G$3:$G$22&gt;A1461)*(Calc!$G$3:$G$22-A1461)*Calc!$G$3:$G$22)</f>
        <v/>
      </c>
      <c r="M1461">
        <f>SUMPRODUCT(Calc!$K$3:$K$22*(Calc!$G$3:$G$22&gt;B1461)*(Calc!$G$3:$G$22-B1461)*Calc!$G$3:$G$22)</f>
        <v/>
      </c>
      <c r="N1461">
        <f>SUMPRODUCT(Calc!$K$3:$K$22*(Calc!$G$3:$G$22&gt;A1461)*(Calc!$G$3:$G$22-A1461)*Calc!$I$3:$I$22)</f>
        <v/>
      </c>
      <c r="O1461">
        <f>SUMPRODUCT(Calc!$K$3:$K$22*(Calc!$G$3:$G$22&gt;B1461)*(Calc!$G$3:$G$22-B1461)*Calc!$I$3:$I$22)</f>
        <v/>
      </c>
      <c r="P1461">
        <f>I1461-G1461^2/k_n</f>
        <v/>
      </c>
      <c r="Q1461">
        <f>J1461-H1461^2/k_n</f>
        <v/>
      </c>
      <c r="R1461">
        <f>K1461-G1461*H1461/k_n</f>
        <v/>
      </c>
      <c r="S1461">
        <f>L1461-LTP3!$D$3*G1461/k_n</f>
        <v/>
      </c>
      <c r="T1461">
        <f>M1461-LTP3!$D$3*H1461/k_n</f>
        <v/>
      </c>
      <c r="U1461">
        <f>N1461-G1461*LTP3!$D$4/k_n</f>
        <v/>
      </c>
      <c r="V1461">
        <f>O1461-H1461*LTP3!$D$4/k_n</f>
        <v/>
      </c>
      <c r="W1461">
        <f>((LTP3!$D$5)*((P1461)*(Q1461)-(R1461)*(R1461))-(S1461)*((S1461)*(Q1461)-(R1461)*(T1461))+(T1461)*((S1461)*(R1461)-(P1461)*(T1461)))</f>
        <v/>
      </c>
      <c r="X1461">
        <f>IF(ABS(W1461)&gt;1E-12,((LTP3!$D$6)*((P1461)*(Q1461)-(R1461)*(R1461))-(S1461)*((U1461)*(Q1461)-(R1461)*(V1461))+(T1461)*((U1461)*(R1461)-(P1461)*(V1461)))/W1461,0)</f>
        <v/>
      </c>
      <c r="Y1461">
        <f>IF(ABS(W1461)&gt;1E-12,((LTP3!$D$5)*((U1461)*(Q1461)-(R1461)*(V1461))-(LTP3!$D$6)*((S1461)*(Q1461)-(R1461)*(T1461))+(T1461)*((S1461)*(V1461)-(U1461)*(T1461)))/W1461,0)</f>
        <v/>
      </c>
      <c r="Z1461">
        <f>IF(ABS(W1461)&gt;1E-12,((LTP3!$D$5)*((P1461)*(V1461)-(U1461)*(R1461))-(S1461)*((S1461)*(V1461)-(U1461)*(T1461))+(LTP3!$D$6)*((S1461)*(R1461)-(P1461)*(T1461)))/W1461,0)</f>
        <v/>
      </c>
      <c r="AA1461">
        <f>LTP3!$D$7-X1461*LTP3!$D$6-Y1461*U1461-Z1461*V1461</f>
        <v/>
      </c>
      <c r="AB1461">
        <f>IF(AND(F1461,ABS(W1461)&gt;1E-12,Y1461&gt;0,Z1461&gt;0),AA1461,1E+300)</f>
        <v/>
      </c>
    </row>
    <row r="1462">
      <c r="A1462">
        <f>$B$3+$B$5*23</f>
        <v/>
      </c>
      <c r="B1462">
        <f>$B$3+$B$5*47</f>
        <v/>
      </c>
      <c r="C1462">
        <f>SUMPRODUCT(Calc!$K$3:$K$22*(Calc!$G$3:$G$22&lt;=A1462))</f>
        <v/>
      </c>
      <c r="D1462">
        <f>SUMPRODUCT(Calc!$K$3:$K$22*(Calc!$G$3:$G$22&gt;A1462)*(Calc!$G$3:$G$22&lt;B1462))</f>
        <v/>
      </c>
      <c r="E1462">
        <f>SUMPRODUCT(Calc!$K$3:$K$22*(Calc!$G$3:$G$22&gt;=B1462))</f>
        <v/>
      </c>
      <c r="F1462">
        <f>AND(k_n&gt;=5,B1462&gt;A1462+1E-9,C1462&gt;=2,D1462&gt;=1,E1462&gt;=2)</f>
        <v/>
      </c>
      <c r="G1462">
        <f>SUMPRODUCT(Calc!$K$3:$K$22*(Calc!$G$3:$G$22&gt;A1462)*(Calc!$G$3:$G$22-A1462))</f>
        <v/>
      </c>
      <c r="H1462">
        <f>SUMPRODUCT(Calc!$K$3:$K$22*(Calc!$G$3:$G$22&gt;B1462)*(Calc!$G$3:$G$22-B1462))</f>
        <v/>
      </c>
      <c r="I1462">
        <f>SUMPRODUCT(Calc!$K$3:$K$22*(Calc!$G$3:$G$22&gt;A1462)*(Calc!$G$3:$G$22-A1462)^2)</f>
        <v/>
      </c>
      <c r="J1462">
        <f>SUMPRODUCT(Calc!$K$3:$K$22*(Calc!$G$3:$G$22&gt;B1462)*(Calc!$G$3:$G$22-B1462)^2)</f>
        <v/>
      </c>
      <c r="K1462">
        <f>SUMPRODUCT(Calc!$K$3:$K$22*(Calc!$G$3:$G$22&gt;A1462)*(Calc!$G$3:$G$22-A1462)*(Calc!$G$3:$G$22&gt;B1462)*(Calc!$G$3:$G$22-B1462))</f>
        <v/>
      </c>
      <c r="L1462">
        <f>SUMPRODUCT(Calc!$K$3:$K$22*(Calc!$G$3:$G$22&gt;A1462)*(Calc!$G$3:$G$22-A1462)*Calc!$G$3:$G$22)</f>
        <v/>
      </c>
      <c r="M1462">
        <f>SUMPRODUCT(Calc!$K$3:$K$22*(Calc!$G$3:$G$22&gt;B1462)*(Calc!$G$3:$G$22-B1462)*Calc!$G$3:$G$22)</f>
        <v/>
      </c>
      <c r="N1462">
        <f>SUMPRODUCT(Calc!$K$3:$K$22*(Calc!$G$3:$G$22&gt;A1462)*(Calc!$G$3:$G$22-A1462)*Calc!$I$3:$I$22)</f>
        <v/>
      </c>
      <c r="O1462">
        <f>SUMPRODUCT(Calc!$K$3:$K$22*(Calc!$G$3:$G$22&gt;B1462)*(Calc!$G$3:$G$22-B1462)*Calc!$I$3:$I$22)</f>
        <v/>
      </c>
      <c r="P1462">
        <f>I1462-G1462^2/k_n</f>
        <v/>
      </c>
      <c r="Q1462">
        <f>J1462-H1462^2/k_n</f>
        <v/>
      </c>
      <c r="R1462">
        <f>K1462-G1462*H1462/k_n</f>
        <v/>
      </c>
      <c r="S1462">
        <f>L1462-LTP3!$D$3*G1462/k_n</f>
        <v/>
      </c>
      <c r="T1462">
        <f>M1462-LTP3!$D$3*H1462/k_n</f>
        <v/>
      </c>
      <c r="U1462">
        <f>N1462-G1462*LTP3!$D$4/k_n</f>
        <v/>
      </c>
      <c r="V1462">
        <f>O1462-H1462*LTP3!$D$4/k_n</f>
        <v/>
      </c>
      <c r="W1462">
        <f>((LTP3!$D$5)*((P1462)*(Q1462)-(R1462)*(R1462))-(S1462)*((S1462)*(Q1462)-(R1462)*(T1462))+(T1462)*((S1462)*(R1462)-(P1462)*(T1462)))</f>
        <v/>
      </c>
      <c r="X1462">
        <f>IF(ABS(W1462)&gt;1E-12,((LTP3!$D$6)*((P1462)*(Q1462)-(R1462)*(R1462))-(S1462)*((U1462)*(Q1462)-(R1462)*(V1462))+(T1462)*((U1462)*(R1462)-(P1462)*(V1462)))/W1462,0)</f>
        <v/>
      </c>
      <c r="Y1462">
        <f>IF(ABS(W1462)&gt;1E-12,((LTP3!$D$5)*((U1462)*(Q1462)-(R1462)*(V1462))-(LTP3!$D$6)*((S1462)*(Q1462)-(R1462)*(T1462))+(T1462)*((S1462)*(V1462)-(U1462)*(T1462)))/W1462,0)</f>
        <v/>
      </c>
      <c r="Z1462">
        <f>IF(ABS(W1462)&gt;1E-12,((LTP3!$D$5)*((P1462)*(V1462)-(U1462)*(R1462))-(S1462)*((S1462)*(V1462)-(U1462)*(T1462))+(LTP3!$D$6)*((S1462)*(R1462)-(P1462)*(T1462)))/W1462,0)</f>
        <v/>
      </c>
      <c r="AA1462">
        <f>LTP3!$D$7-X1462*LTP3!$D$6-Y1462*U1462-Z1462*V1462</f>
        <v/>
      </c>
      <c r="AB1462">
        <f>IF(AND(F1462,ABS(W1462)&gt;1E-12,Y1462&gt;0,Z1462&gt;0),AA1462,1E+300)</f>
        <v/>
      </c>
    </row>
    <row r="1463">
      <c r="A1463">
        <f>$B$3+$B$5*23</f>
        <v/>
      </c>
      <c r="B1463">
        <f>$B$3+$B$5*48</f>
        <v/>
      </c>
      <c r="C1463">
        <f>SUMPRODUCT(Calc!$K$3:$K$22*(Calc!$G$3:$G$22&lt;=A1463))</f>
        <v/>
      </c>
      <c r="D1463">
        <f>SUMPRODUCT(Calc!$K$3:$K$22*(Calc!$G$3:$G$22&gt;A1463)*(Calc!$G$3:$G$22&lt;B1463))</f>
        <v/>
      </c>
      <c r="E1463">
        <f>SUMPRODUCT(Calc!$K$3:$K$22*(Calc!$G$3:$G$22&gt;=B1463))</f>
        <v/>
      </c>
      <c r="F1463">
        <f>AND(k_n&gt;=5,B1463&gt;A1463+1E-9,C1463&gt;=2,D1463&gt;=1,E1463&gt;=2)</f>
        <v/>
      </c>
      <c r="G1463">
        <f>SUMPRODUCT(Calc!$K$3:$K$22*(Calc!$G$3:$G$22&gt;A1463)*(Calc!$G$3:$G$22-A1463))</f>
        <v/>
      </c>
      <c r="H1463">
        <f>SUMPRODUCT(Calc!$K$3:$K$22*(Calc!$G$3:$G$22&gt;B1463)*(Calc!$G$3:$G$22-B1463))</f>
        <v/>
      </c>
      <c r="I1463">
        <f>SUMPRODUCT(Calc!$K$3:$K$22*(Calc!$G$3:$G$22&gt;A1463)*(Calc!$G$3:$G$22-A1463)^2)</f>
        <v/>
      </c>
      <c r="J1463">
        <f>SUMPRODUCT(Calc!$K$3:$K$22*(Calc!$G$3:$G$22&gt;B1463)*(Calc!$G$3:$G$22-B1463)^2)</f>
        <v/>
      </c>
      <c r="K1463">
        <f>SUMPRODUCT(Calc!$K$3:$K$22*(Calc!$G$3:$G$22&gt;A1463)*(Calc!$G$3:$G$22-A1463)*(Calc!$G$3:$G$22&gt;B1463)*(Calc!$G$3:$G$22-B1463))</f>
        <v/>
      </c>
      <c r="L1463">
        <f>SUMPRODUCT(Calc!$K$3:$K$22*(Calc!$G$3:$G$22&gt;A1463)*(Calc!$G$3:$G$22-A1463)*Calc!$G$3:$G$22)</f>
        <v/>
      </c>
      <c r="M1463">
        <f>SUMPRODUCT(Calc!$K$3:$K$22*(Calc!$G$3:$G$22&gt;B1463)*(Calc!$G$3:$G$22-B1463)*Calc!$G$3:$G$22)</f>
        <v/>
      </c>
      <c r="N1463">
        <f>SUMPRODUCT(Calc!$K$3:$K$22*(Calc!$G$3:$G$22&gt;A1463)*(Calc!$G$3:$G$22-A1463)*Calc!$I$3:$I$22)</f>
        <v/>
      </c>
      <c r="O1463">
        <f>SUMPRODUCT(Calc!$K$3:$K$22*(Calc!$G$3:$G$22&gt;B1463)*(Calc!$G$3:$G$22-B1463)*Calc!$I$3:$I$22)</f>
        <v/>
      </c>
      <c r="P1463">
        <f>I1463-G1463^2/k_n</f>
        <v/>
      </c>
      <c r="Q1463">
        <f>J1463-H1463^2/k_n</f>
        <v/>
      </c>
      <c r="R1463">
        <f>K1463-G1463*H1463/k_n</f>
        <v/>
      </c>
      <c r="S1463">
        <f>L1463-LTP3!$D$3*G1463/k_n</f>
        <v/>
      </c>
      <c r="T1463">
        <f>M1463-LTP3!$D$3*H1463/k_n</f>
        <v/>
      </c>
      <c r="U1463">
        <f>N1463-G1463*LTP3!$D$4/k_n</f>
        <v/>
      </c>
      <c r="V1463">
        <f>O1463-H1463*LTP3!$D$4/k_n</f>
        <v/>
      </c>
      <c r="W1463">
        <f>((LTP3!$D$5)*((P1463)*(Q1463)-(R1463)*(R1463))-(S1463)*((S1463)*(Q1463)-(R1463)*(T1463))+(T1463)*((S1463)*(R1463)-(P1463)*(T1463)))</f>
        <v/>
      </c>
      <c r="X1463">
        <f>IF(ABS(W1463)&gt;1E-12,((LTP3!$D$6)*((P1463)*(Q1463)-(R1463)*(R1463))-(S1463)*((U1463)*(Q1463)-(R1463)*(V1463))+(T1463)*((U1463)*(R1463)-(P1463)*(V1463)))/W1463,0)</f>
        <v/>
      </c>
      <c r="Y1463">
        <f>IF(ABS(W1463)&gt;1E-12,((LTP3!$D$5)*((U1463)*(Q1463)-(R1463)*(V1463))-(LTP3!$D$6)*((S1463)*(Q1463)-(R1463)*(T1463))+(T1463)*((S1463)*(V1463)-(U1463)*(T1463)))/W1463,0)</f>
        <v/>
      </c>
      <c r="Z1463">
        <f>IF(ABS(W1463)&gt;1E-12,((LTP3!$D$5)*((P1463)*(V1463)-(U1463)*(R1463))-(S1463)*((S1463)*(V1463)-(U1463)*(T1463))+(LTP3!$D$6)*((S1463)*(R1463)-(P1463)*(T1463)))/W1463,0)</f>
        <v/>
      </c>
      <c r="AA1463">
        <f>LTP3!$D$7-X1463*LTP3!$D$6-Y1463*U1463-Z1463*V1463</f>
        <v/>
      </c>
      <c r="AB1463">
        <f>IF(AND(F1463,ABS(W1463)&gt;1E-12,Y1463&gt;0,Z1463&gt;0),AA1463,1E+300)</f>
        <v/>
      </c>
    </row>
    <row r="1464">
      <c r="A1464">
        <f>$B$3+$B$5*23</f>
        <v/>
      </c>
      <c r="B1464">
        <f>$B$3+$B$5*49</f>
        <v/>
      </c>
      <c r="C1464">
        <f>SUMPRODUCT(Calc!$K$3:$K$22*(Calc!$G$3:$G$22&lt;=A1464))</f>
        <v/>
      </c>
      <c r="D1464">
        <f>SUMPRODUCT(Calc!$K$3:$K$22*(Calc!$G$3:$G$22&gt;A1464)*(Calc!$G$3:$G$22&lt;B1464))</f>
        <v/>
      </c>
      <c r="E1464">
        <f>SUMPRODUCT(Calc!$K$3:$K$22*(Calc!$G$3:$G$22&gt;=B1464))</f>
        <v/>
      </c>
      <c r="F1464">
        <f>AND(k_n&gt;=5,B1464&gt;A1464+1E-9,C1464&gt;=2,D1464&gt;=1,E1464&gt;=2)</f>
        <v/>
      </c>
      <c r="G1464">
        <f>SUMPRODUCT(Calc!$K$3:$K$22*(Calc!$G$3:$G$22&gt;A1464)*(Calc!$G$3:$G$22-A1464))</f>
        <v/>
      </c>
      <c r="H1464">
        <f>SUMPRODUCT(Calc!$K$3:$K$22*(Calc!$G$3:$G$22&gt;B1464)*(Calc!$G$3:$G$22-B1464))</f>
        <v/>
      </c>
      <c r="I1464">
        <f>SUMPRODUCT(Calc!$K$3:$K$22*(Calc!$G$3:$G$22&gt;A1464)*(Calc!$G$3:$G$22-A1464)^2)</f>
        <v/>
      </c>
      <c r="J1464">
        <f>SUMPRODUCT(Calc!$K$3:$K$22*(Calc!$G$3:$G$22&gt;B1464)*(Calc!$G$3:$G$22-B1464)^2)</f>
        <v/>
      </c>
      <c r="K1464">
        <f>SUMPRODUCT(Calc!$K$3:$K$22*(Calc!$G$3:$G$22&gt;A1464)*(Calc!$G$3:$G$22-A1464)*(Calc!$G$3:$G$22&gt;B1464)*(Calc!$G$3:$G$22-B1464))</f>
        <v/>
      </c>
      <c r="L1464">
        <f>SUMPRODUCT(Calc!$K$3:$K$22*(Calc!$G$3:$G$22&gt;A1464)*(Calc!$G$3:$G$22-A1464)*Calc!$G$3:$G$22)</f>
        <v/>
      </c>
      <c r="M1464">
        <f>SUMPRODUCT(Calc!$K$3:$K$22*(Calc!$G$3:$G$22&gt;B1464)*(Calc!$G$3:$G$22-B1464)*Calc!$G$3:$G$22)</f>
        <v/>
      </c>
      <c r="N1464">
        <f>SUMPRODUCT(Calc!$K$3:$K$22*(Calc!$G$3:$G$22&gt;A1464)*(Calc!$G$3:$G$22-A1464)*Calc!$I$3:$I$22)</f>
        <v/>
      </c>
      <c r="O1464">
        <f>SUMPRODUCT(Calc!$K$3:$K$22*(Calc!$G$3:$G$22&gt;B1464)*(Calc!$G$3:$G$22-B1464)*Calc!$I$3:$I$22)</f>
        <v/>
      </c>
      <c r="P1464">
        <f>I1464-G1464^2/k_n</f>
        <v/>
      </c>
      <c r="Q1464">
        <f>J1464-H1464^2/k_n</f>
        <v/>
      </c>
      <c r="R1464">
        <f>K1464-G1464*H1464/k_n</f>
        <v/>
      </c>
      <c r="S1464">
        <f>L1464-LTP3!$D$3*G1464/k_n</f>
        <v/>
      </c>
      <c r="T1464">
        <f>M1464-LTP3!$D$3*H1464/k_n</f>
        <v/>
      </c>
      <c r="U1464">
        <f>N1464-G1464*LTP3!$D$4/k_n</f>
        <v/>
      </c>
      <c r="V1464">
        <f>O1464-H1464*LTP3!$D$4/k_n</f>
        <v/>
      </c>
      <c r="W1464">
        <f>((LTP3!$D$5)*((P1464)*(Q1464)-(R1464)*(R1464))-(S1464)*((S1464)*(Q1464)-(R1464)*(T1464))+(T1464)*((S1464)*(R1464)-(P1464)*(T1464)))</f>
        <v/>
      </c>
      <c r="X1464">
        <f>IF(ABS(W1464)&gt;1E-12,((LTP3!$D$6)*((P1464)*(Q1464)-(R1464)*(R1464))-(S1464)*((U1464)*(Q1464)-(R1464)*(V1464))+(T1464)*((U1464)*(R1464)-(P1464)*(V1464)))/W1464,0)</f>
        <v/>
      </c>
      <c r="Y1464">
        <f>IF(ABS(W1464)&gt;1E-12,((LTP3!$D$5)*((U1464)*(Q1464)-(R1464)*(V1464))-(LTP3!$D$6)*((S1464)*(Q1464)-(R1464)*(T1464))+(T1464)*((S1464)*(V1464)-(U1464)*(T1464)))/W1464,0)</f>
        <v/>
      </c>
      <c r="Z1464">
        <f>IF(ABS(W1464)&gt;1E-12,((LTP3!$D$5)*((P1464)*(V1464)-(U1464)*(R1464))-(S1464)*((S1464)*(V1464)-(U1464)*(T1464))+(LTP3!$D$6)*((S1464)*(R1464)-(P1464)*(T1464)))/W1464,0)</f>
        <v/>
      </c>
      <c r="AA1464">
        <f>LTP3!$D$7-X1464*LTP3!$D$6-Y1464*U1464-Z1464*V1464</f>
        <v/>
      </c>
      <c r="AB1464">
        <f>IF(AND(F1464,ABS(W1464)&gt;1E-12,Y1464&gt;0,Z1464&gt;0),AA1464,1E+300)</f>
        <v/>
      </c>
    </row>
    <row r="1465">
      <c r="A1465">
        <f>$B$3+$B$5*23</f>
        <v/>
      </c>
      <c r="B1465">
        <f>$B$3+$B$5*50</f>
        <v/>
      </c>
      <c r="C1465">
        <f>SUMPRODUCT(Calc!$K$3:$K$22*(Calc!$G$3:$G$22&lt;=A1465))</f>
        <v/>
      </c>
      <c r="D1465">
        <f>SUMPRODUCT(Calc!$K$3:$K$22*(Calc!$G$3:$G$22&gt;A1465)*(Calc!$G$3:$G$22&lt;B1465))</f>
        <v/>
      </c>
      <c r="E1465">
        <f>SUMPRODUCT(Calc!$K$3:$K$22*(Calc!$G$3:$G$22&gt;=B1465))</f>
        <v/>
      </c>
      <c r="F1465">
        <f>AND(k_n&gt;=5,B1465&gt;A1465+1E-9,C1465&gt;=2,D1465&gt;=1,E1465&gt;=2)</f>
        <v/>
      </c>
      <c r="G1465">
        <f>SUMPRODUCT(Calc!$K$3:$K$22*(Calc!$G$3:$G$22&gt;A1465)*(Calc!$G$3:$G$22-A1465))</f>
        <v/>
      </c>
      <c r="H1465">
        <f>SUMPRODUCT(Calc!$K$3:$K$22*(Calc!$G$3:$G$22&gt;B1465)*(Calc!$G$3:$G$22-B1465))</f>
        <v/>
      </c>
      <c r="I1465">
        <f>SUMPRODUCT(Calc!$K$3:$K$22*(Calc!$G$3:$G$22&gt;A1465)*(Calc!$G$3:$G$22-A1465)^2)</f>
        <v/>
      </c>
      <c r="J1465">
        <f>SUMPRODUCT(Calc!$K$3:$K$22*(Calc!$G$3:$G$22&gt;B1465)*(Calc!$G$3:$G$22-B1465)^2)</f>
        <v/>
      </c>
      <c r="K1465">
        <f>SUMPRODUCT(Calc!$K$3:$K$22*(Calc!$G$3:$G$22&gt;A1465)*(Calc!$G$3:$G$22-A1465)*(Calc!$G$3:$G$22&gt;B1465)*(Calc!$G$3:$G$22-B1465))</f>
        <v/>
      </c>
      <c r="L1465">
        <f>SUMPRODUCT(Calc!$K$3:$K$22*(Calc!$G$3:$G$22&gt;A1465)*(Calc!$G$3:$G$22-A1465)*Calc!$G$3:$G$22)</f>
        <v/>
      </c>
      <c r="M1465">
        <f>SUMPRODUCT(Calc!$K$3:$K$22*(Calc!$G$3:$G$22&gt;B1465)*(Calc!$G$3:$G$22-B1465)*Calc!$G$3:$G$22)</f>
        <v/>
      </c>
      <c r="N1465">
        <f>SUMPRODUCT(Calc!$K$3:$K$22*(Calc!$G$3:$G$22&gt;A1465)*(Calc!$G$3:$G$22-A1465)*Calc!$I$3:$I$22)</f>
        <v/>
      </c>
      <c r="O1465">
        <f>SUMPRODUCT(Calc!$K$3:$K$22*(Calc!$G$3:$G$22&gt;B1465)*(Calc!$G$3:$G$22-B1465)*Calc!$I$3:$I$22)</f>
        <v/>
      </c>
      <c r="P1465">
        <f>I1465-G1465^2/k_n</f>
        <v/>
      </c>
      <c r="Q1465">
        <f>J1465-H1465^2/k_n</f>
        <v/>
      </c>
      <c r="R1465">
        <f>K1465-G1465*H1465/k_n</f>
        <v/>
      </c>
      <c r="S1465">
        <f>L1465-LTP3!$D$3*G1465/k_n</f>
        <v/>
      </c>
      <c r="T1465">
        <f>M1465-LTP3!$D$3*H1465/k_n</f>
        <v/>
      </c>
      <c r="U1465">
        <f>N1465-G1465*LTP3!$D$4/k_n</f>
        <v/>
      </c>
      <c r="V1465">
        <f>O1465-H1465*LTP3!$D$4/k_n</f>
        <v/>
      </c>
      <c r="W1465">
        <f>((LTP3!$D$5)*((P1465)*(Q1465)-(R1465)*(R1465))-(S1465)*((S1465)*(Q1465)-(R1465)*(T1465))+(T1465)*((S1465)*(R1465)-(P1465)*(T1465)))</f>
        <v/>
      </c>
      <c r="X1465">
        <f>IF(ABS(W1465)&gt;1E-12,((LTP3!$D$6)*((P1465)*(Q1465)-(R1465)*(R1465))-(S1465)*((U1465)*(Q1465)-(R1465)*(V1465))+(T1465)*((U1465)*(R1465)-(P1465)*(V1465)))/W1465,0)</f>
        <v/>
      </c>
      <c r="Y1465">
        <f>IF(ABS(W1465)&gt;1E-12,((LTP3!$D$5)*((U1465)*(Q1465)-(R1465)*(V1465))-(LTP3!$D$6)*((S1465)*(Q1465)-(R1465)*(T1465))+(T1465)*((S1465)*(V1465)-(U1465)*(T1465)))/W1465,0)</f>
        <v/>
      </c>
      <c r="Z1465">
        <f>IF(ABS(W1465)&gt;1E-12,((LTP3!$D$5)*((P1465)*(V1465)-(U1465)*(R1465))-(S1465)*((S1465)*(V1465)-(U1465)*(T1465))+(LTP3!$D$6)*((S1465)*(R1465)-(P1465)*(T1465)))/W1465,0)</f>
        <v/>
      </c>
      <c r="AA1465">
        <f>LTP3!$D$7-X1465*LTP3!$D$6-Y1465*U1465-Z1465*V1465</f>
        <v/>
      </c>
      <c r="AB1465">
        <f>IF(AND(F1465,ABS(W1465)&gt;1E-12,Y1465&gt;0,Z1465&gt;0),AA1465,1E+300)</f>
        <v/>
      </c>
    </row>
    <row r="1466">
      <c r="A1466">
        <f>$B$3+$B$5*23</f>
        <v/>
      </c>
      <c r="B1466">
        <f>$B$3+$B$5*51</f>
        <v/>
      </c>
      <c r="C1466">
        <f>SUMPRODUCT(Calc!$K$3:$K$22*(Calc!$G$3:$G$22&lt;=A1466))</f>
        <v/>
      </c>
      <c r="D1466">
        <f>SUMPRODUCT(Calc!$K$3:$K$22*(Calc!$G$3:$G$22&gt;A1466)*(Calc!$G$3:$G$22&lt;B1466))</f>
        <v/>
      </c>
      <c r="E1466">
        <f>SUMPRODUCT(Calc!$K$3:$K$22*(Calc!$G$3:$G$22&gt;=B1466))</f>
        <v/>
      </c>
      <c r="F1466">
        <f>AND(k_n&gt;=5,B1466&gt;A1466+1E-9,C1466&gt;=2,D1466&gt;=1,E1466&gt;=2)</f>
        <v/>
      </c>
      <c r="G1466">
        <f>SUMPRODUCT(Calc!$K$3:$K$22*(Calc!$G$3:$G$22&gt;A1466)*(Calc!$G$3:$G$22-A1466))</f>
        <v/>
      </c>
      <c r="H1466">
        <f>SUMPRODUCT(Calc!$K$3:$K$22*(Calc!$G$3:$G$22&gt;B1466)*(Calc!$G$3:$G$22-B1466))</f>
        <v/>
      </c>
      <c r="I1466">
        <f>SUMPRODUCT(Calc!$K$3:$K$22*(Calc!$G$3:$G$22&gt;A1466)*(Calc!$G$3:$G$22-A1466)^2)</f>
        <v/>
      </c>
      <c r="J1466">
        <f>SUMPRODUCT(Calc!$K$3:$K$22*(Calc!$G$3:$G$22&gt;B1466)*(Calc!$G$3:$G$22-B1466)^2)</f>
        <v/>
      </c>
      <c r="K1466">
        <f>SUMPRODUCT(Calc!$K$3:$K$22*(Calc!$G$3:$G$22&gt;A1466)*(Calc!$G$3:$G$22-A1466)*(Calc!$G$3:$G$22&gt;B1466)*(Calc!$G$3:$G$22-B1466))</f>
        <v/>
      </c>
      <c r="L1466">
        <f>SUMPRODUCT(Calc!$K$3:$K$22*(Calc!$G$3:$G$22&gt;A1466)*(Calc!$G$3:$G$22-A1466)*Calc!$G$3:$G$22)</f>
        <v/>
      </c>
      <c r="M1466">
        <f>SUMPRODUCT(Calc!$K$3:$K$22*(Calc!$G$3:$G$22&gt;B1466)*(Calc!$G$3:$G$22-B1466)*Calc!$G$3:$G$22)</f>
        <v/>
      </c>
      <c r="N1466">
        <f>SUMPRODUCT(Calc!$K$3:$K$22*(Calc!$G$3:$G$22&gt;A1466)*(Calc!$G$3:$G$22-A1466)*Calc!$I$3:$I$22)</f>
        <v/>
      </c>
      <c r="O1466">
        <f>SUMPRODUCT(Calc!$K$3:$K$22*(Calc!$G$3:$G$22&gt;B1466)*(Calc!$G$3:$G$22-B1466)*Calc!$I$3:$I$22)</f>
        <v/>
      </c>
      <c r="P1466">
        <f>I1466-G1466^2/k_n</f>
        <v/>
      </c>
      <c r="Q1466">
        <f>J1466-H1466^2/k_n</f>
        <v/>
      </c>
      <c r="R1466">
        <f>K1466-G1466*H1466/k_n</f>
        <v/>
      </c>
      <c r="S1466">
        <f>L1466-LTP3!$D$3*G1466/k_n</f>
        <v/>
      </c>
      <c r="T1466">
        <f>M1466-LTP3!$D$3*H1466/k_n</f>
        <v/>
      </c>
      <c r="U1466">
        <f>N1466-G1466*LTP3!$D$4/k_n</f>
        <v/>
      </c>
      <c r="V1466">
        <f>O1466-H1466*LTP3!$D$4/k_n</f>
        <v/>
      </c>
      <c r="W1466">
        <f>((LTP3!$D$5)*((P1466)*(Q1466)-(R1466)*(R1466))-(S1466)*((S1466)*(Q1466)-(R1466)*(T1466))+(T1466)*((S1466)*(R1466)-(P1466)*(T1466)))</f>
        <v/>
      </c>
      <c r="X1466">
        <f>IF(ABS(W1466)&gt;1E-12,((LTP3!$D$6)*((P1466)*(Q1466)-(R1466)*(R1466))-(S1466)*((U1466)*(Q1466)-(R1466)*(V1466))+(T1466)*((U1466)*(R1466)-(P1466)*(V1466)))/W1466,0)</f>
        <v/>
      </c>
      <c r="Y1466">
        <f>IF(ABS(W1466)&gt;1E-12,((LTP3!$D$5)*((U1466)*(Q1466)-(R1466)*(V1466))-(LTP3!$D$6)*((S1466)*(Q1466)-(R1466)*(T1466))+(T1466)*((S1466)*(V1466)-(U1466)*(T1466)))/W1466,0)</f>
        <v/>
      </c>
      <c r="Z1466">
        <f>IF(ABS(W1466)&gt;1E-12,((LTP3!$D$5)*((P1466)*(V1466)-(U1466)*(R1466))-(S1466)*((S1466)*(V1466)-(U1466)*(T1466))+(LTP3!$D$6)*((S1466)*(R1466)-(P1466)*(T1466)))/W1466,0)</f>
        <v/>
      </c>
      <c r="AA1466">
        <f>LTP3!$D$7-X1466*LTP3!$D$6-Y1466*U1466-Z1466*V1466</f>
        <v/>
      </c>
      <c r="AB1466">
        <f>IF(AND(F1466,ABS(W1466)&gt;1E-12,Y1466&gt;0,Z1466&gt;0),AA1466,1E+300)</f>
        <v/>
      </c>
    </row>
    <row r="1467">
      <c r="A1467">
        <f>$B$3+$B$5*23</f>
        <v/>
      </c>
      <c r="B1467">
        <f>$B$3+$B$5*52</f>
        <v/>
      </c>
      <c r="C1467">
        <f>SUMPRODUCT(Calc!$K$3:$K$22*(Calc!$G$3:$G$22&lt;=A1467))</f>
        <v/>
      </c>
      <c r="D1467">
        <f>SUMPRODUCT(Calc!$K$3:$K$22*(Calc!$G$3:$G$22&gt;A1467)*(Calc!$G$3:$G$22&lt;B1467))</f>
        <v/>
      </c>
      <c r="E1467">
        <f>SUMPRODUCT(Calc!$K$3:$K$22*(Calc!$G$3:$G$22&gt;=B1467))</f>
        <v/>
      </c>
      <c r="F1467">
        <f>AND(k_n&gt;=5,B1467&gt;A1467+1E-9,C1467&gt;=2,D1467&gt;=1,E1467&gt;=2)</f>
        <v/>
      </c>
      <c r="G1467">
        <f>SUMPRODUCT(Calc!$K$3:$K$22*(Calc!$G$3:$G$22&gt;A1467)*(Calc!$G$3:$G$22-A1467))</f>
        <v/>
      </c>
      <c r="H1467">
        <f>SUMPRODUCT(Calc!$K$3:$K$22*(Calc!$G$3:$G$22&gt;B1467)*(Calc!$G$3:$G$22-B1467))</f>
        <v/>
      </c>
      <c r="I1467">
        <f>SUMPRODUCT(Calc!$K$3:$K$22*(Calc!$G$3:$G$22&gt;A1467)*(Calc!$G$3:$G$22-A1467)^2)</f>
        <v/>
      </c>
      <c r="J1467">
        <f>SUMPRODUCT(Calc!$K$3:$K$22*(Calc!$G$3:$G$22&gt;B1467)*(Calc!$G$3:$G$22-B1467)^2)</f>
        <v/>
      </c>
      <c r="K1467">
        <f>SUMPRODUCT(Calc!$K$3:$K$22*(Calc!$G$3:$G$22&gt;A1467)*(Calc!$G$3:$G$22-A1467)*(Calc!$G$3:$G$22&gt;B1467)*(Calc!$G$3:$G$22-B1467))</f>
        <v/>
      </c>
      <c r="L1467">
        <f>SUMPRODUCT(Calc!$K$3:$K$22*(Calc!$G$3:$G$22&gt;A1467)*(Calc!$G$3:$G$22-A1467)*Calc!$G$3:$G$22)</f>
        <v/>
      </c>
      <c r="M1467">
        <f>SUMPRODUCT(Calc!$K$3:$K$22*(Calc!$G$3:$G$22&gt;B1467)*(Calc!$G$3:$G$22-B1467)*Calc!$G$3:$G$22)</f>
        <v/>
      </c>
      <c r="N1467">
        <f>SUMPRODUCT(Calc!$K$3:$K$22*(Calc!$G$3:$G$22&gt;A1467)*(Calc!$G$3:$G$22-A1467)*Calc!$I$3:$I$22)</f>
        <v/>
      </c>
      <c r="O1467">
        <f>SUMPRODUCT(Calc!$K$3:$K$22*(Calc!$G$3:$G$22&gt;B1467)*(Calc!$G$3:$G$22-B1467)*Calc!$I$3:$I$22)</f>
        <v/>
      </c>
      <c r="P1467">
        <f>I1467-G1467^2/k_n</f>
        <v/>
      </c>
      <c r="Q1467">
        <f>J1467-H1467^2/k_n</f>
        <v/>
      </c>
      <c r="R1467">
        <f>K1467-G1467*H1467/k_n</f>
        <v/>
      </c>
      <c r="S1467">
        <f>L1467-LTP3!$D$3*G1467/k_n</f>
        <v/>
      </c>
      <c r="T1467">
        <f>M1467-LTP3!$D$3*H1467/k_n</f>
        <v/>
      </c>
      <c r="U1467">
        <f>N1467-G1467*LTP3!$D$4/k_n</f>
        <v/>
      </c>
      <c r="V1467">
        <f>O1467-H1467*LTP3!$D$4/k_n</f>
        <v/>
      </c>
      <c r="W1467">
        <f>((LTP3!$D$5)*((P1467)*(Q1467)-(R1467)*(R1467))-(S1467)*((S1467)*(Q1467)-(R1467)*(T1467))+(T1467)*((S1467)*(R1467)-(P1467)*(T1467)))</f>
        <v/>
      </c>
      <c r="X1467">
        <f>IF(ABS(W1467)&gt;1E-12,((LTP3!$D$6)*((P1467)*(Q1467)-(R1467)*(R1467))-(S1467)*((U1467)*(Q1467)-(R1467)*(V1467))+(T1467)*((U1467)*(R1467)-(P1467)*(V1467)))/W1467,0)</f>
        <v/>
      </c>
      <c r="Y1467">
        <f>IF(ABS(W1467)&gt;1E-12,((LTP3!$D$5)*((U1467)*(Q1467)-(R1467)*(V1467))-(LTP3!$D$6)*((S1467)*(Q1467)-(R1467)*(T1467))+(T1467)*((S1467)*(V1467)-(U1467)*(T1467)))/W1467,0)</f>
        <v/>
      </c>
      <c r="Z1467">
        <f>IF(ABS(W1467)&gt;1E-12,((LTP3!$D$5)*((P1467)*(V1467)-(U1467)*(R1467))-(S1467)*((S1467)*(V1467)-(U1467)*(T1467))+(LTP3!$D$6)*((S1467)*(R1467)-(P1467)*(T1467)))/W1467,0)</f>
        <v/>
      </c>
      <c r="AA1467">
        <f>LTP3!$D$7-X1467*LTP3!$D$6-Y1467*U1467-Z1467*V1467</f>
        <v/>
      </c>
      <c r="AB1467">
        <f>IF(AND(F1467,ABS(W1467)&gt;1E-12,Y1467&gt;0,Z1467&gt;0),AA1467,1E+300)</f>
        <v/>
      </c>
    </row>
    <row r="1468">
      <c r="A1468">
        <f>$B$3+$B$5*23</f>
        <v/>
      </c>
      <c r="B1468">
        <f>$B$3+$B$5*53</f>
        <v/>
      </c>
      <c r="C1468">
        <f>SUMPRODUCT(Calc!$K$3:$K$22*(Calc!$G$3:$G$22&lt;=A1468))</f>
        <v/>
      </c>
      <c r="D1468">
        <f>SUMPRODUCT(Calc!$K$3:$K$22*(Calc!$G$3:$G$22&gt;A1468)*(Calc!$G$3:$G$22&lt;B1468))</f>
        <v/>
      </c>
      <c r="E1468">
        <f>SUMPRODUCT(Calc!$K$3:$K$22*(Calc!$G$3:$G$22&gt;=B1468))</f>
        <v/>
      </c>
      <c r="F1468">
        <f>AND(k_n&gt;=5,B1468&gt;A1468+1E-9,C1468&gt;=2,D1468&gt;=1,E1468&gt;=2)</f>
        <v/>
      </c>
      <c r="G1468">
        <f>SUMPRODUCT(Calc!$K$3:$K$22*(Calc!$G$3:$G$22&gt;A1468)*(Calc!$G$3:$G$22-A1468))</f>
        <v/>
      </c>
      <c r="H1468">
        <f>SUMPRODUCT(Calc!$K$3:$K$22*(Calc!$G$3:$G$22&gt;B1468)*(Calc!$G$3:$G$22-B1468))</f>
        <v/>
      </c>
      <c r="I1468">
        <f>SUMPRODUCT(Calc!$K$3:$K$22*(Calc!$G$3:$G$22&gt;A1468)*(Calc!$G$3:$G$22-A1468)^2)</f>
        <v/>
      </c>
      <c r="J1468">
        <f>SUMPRODUCT(Calc!$K$3:$K$22*(Calc!$G$3:$G$22&gt;B1468)*(Calc!$G$3:$G$22-B1468)^2)</f>
        <v/>
      </c>
      <c r="K1468">
        <f>SUMPRODUCT(Calc!$K$3:$K$22*(Calc!$G$3:$G$22&gt;A1468)*(Calc!$G$3:$G$22-A1468)*(Calc!$G$3:$G$22&gt;B1468)*(Calc!$G$3:$G$22-B1468))</f>
        <v/>
      </c>
      <c r="L1468">
        <f>SUMPRODUCT(Calc!$K$3:$K$22*(Calc!$G$3:$G$22&gt;A1468)*(Calc!$G$3:$G$22-A1468)*Calc!$G$3:$G$22)</f>
        <v/>
      </c>
      <c r="M1468">
        <f>SUMPRODUCT(Calc!$K$3:$K$22*(Calc!$G$3:$G$22&gt;B1468)*(Calc!$G$3:$G$22-B1468)*Calc!$G$3:$G$22)</f>
        <v/>
      </c>
      <c r="N1468">
        <f>SUMPRODUCT(Calc!$K$3:$K$22*(Calc!$G$3:$G$22&gt;A1468)*(Calc!$G$3:$G$22-A1468)*Calc!$I$3:$I$22)</f>
        <v/>
      </c>
      <c r="O1468">
        <f>SUMPRODUCT(Calc!$K$3:$K$22*(Calc!$G$3:$G$22&gt;B1468)*(Calc!$G$3:$G$22-B1468)*Calc!$I$3:$I$22)</f>
        <v/>
      </c>
      <c r="P1468">
        <f>I1468-G1468^2/k_n</f>
        <v/>
      </c>
      <c r="Q1468">
        <f>J1468-H1468^2/k_n</f>
        <v/>
      </c>
      <c r="R1468">
        <f>K1468-G1468*H1468/k_n</f>
        <v/>
      </c>
      <c r="S1468">
        <f>L1468-LTP3!$D$3*G1468/k_n</f>
        <v/>
      </c>
      <c r="T1468">
        <f>M1468-LTP3!$D$3*H1468/k_n</f>
        <v/>
      </c>
      <c r="U1468">
        <f>N1468-G1468*LTP3!$D$4/k_n</f>
        <v/>
      </c>
      <c r="V1468">
        <f>O1468-H1468*LTP3!$D$4/k_n</f>
        <v/>
      </c>
      <c r="W1468">
        <f>((LTP3!$D$5)*((P1468)*(Q1468)-(R1468)*(R1468))-(S1468)*((S1468)*(Q1468)-(R1468)*(T1468))+(T1468)*((S1468)*(R1468)-(P1468)*(T1468)))</f>
        <v/>
      </c>
      <c r="X1468">
        <f>IF(ABS(W1468)&gt;1E-12,((LTP3!$D$6)*((P1468)*(Q1468)-(R1468)*(R1468))-(S1468)*((U1468)*(Q1468)-(R1468)*(V1468))+(T1468)*((U1468)*(R1468)-(P1468)*(V1468)))/W1468,0)</f>
        <v/>
      </c>
      <c r="Y1468">
        <f>IF(ABS(W1468)&gt;1E-12,((LTP3!$D$5)*((U1468)*(Q1468)-(R1468)*(V1468))-(LTP3!$D$6)*((S1468)*(Q1468)-(R1468)*(T1468))+(T1468)*((S1468)*(V1468)-(U1468)*(T1468)))/W1468,0)</f>
        <v/>
      </c>
      <c r="Z1468">
        <f>IF(ABS(W1468)&gt;1E-12,((LTP3!$D$5)*((P1468)*(V1468)-(U1468)*(R1468))-(S1468)*((S1468)*(V1468)-(U1468)*(T1468))+(LTP3!$D$6)*((S1468)*(R1468)-(P1468)*(T1468)))/W1468,0)</f>
        <v/>
      </c>
      <c r="AA1468">
        <f>LTP3!$D$7-X1468*LTP3!$D$6-Y1468*U1468-Z1468*V1468</f>
        <v/>
      </c>
      <c r="AB1468">
        <f>IF(AND(F1468,ABS(W1468)&gt;1E-12,Y1468&gt;0,Z1468&gt;0),AA1468,1E+300)</f>
        <v/>
      </c>
    </row>
    <row r="1469">
      <c r="A1469">
        <f>$B$3+$B$5*23</f>
        <v/>
      </c>
      <c r="B1469">
        <f>$B$3+$B$5*54</f>
        <v/>
      </c>
      <c r="C1469">
        <f>SUMPRODUCT(Calc!$K$3:$K$22*(Calc!$G$3:$G$22&lt;=A1469))</f>
        <v/>
      </c>
      <c r="D1469">
        <f>SUMPRODUCT(Calc!$K$3:$K$22*(Calc!$G$3:$G$22&gt;A1469)*(Calc!$G$3:$G$22&lt;B1469))</f>
        <v/>
      </c>
      <c r="E1469">
        <f>SUMPRODUCT(Calc!$K$3:$K$22*(Calc!$G$3:$G$22&gt;=B1469))</f>
        <v/>
      </c>
      <c r="F1469">
        <f>AND(k_n&gt;=5,B1469&gt;A1469+1E-9,C1469&gt;=2,D1469&gt;=1,E1469&gt;=2)</f>
        <v/>
      </c>
      <c r="G1469">
        <f>SUMPRODUCT(Calc!$K$3:$K$22*(Calc!$G$3:$G$22&gt;A1469)*(Calc!$G$3:$G$22-A1469))</f>
        <v/>
      </c>
      <c r="H1469">
        <f>SUMPRODUCT(Calc!$K$3:$K$22*(Calc!$G$3:$G$22&gt;B1469)*(Calc!$G$3:$G$22-B1469))</f>
        <v/>
      </c>
      <c r="I1469">
        <f>SUMPRODUCT(Calc!$K$3:$K$22*(Calc!$G$3:$G$22&gt;A1469)*(Calc!$G$3:$G$22-A1469)^2)</f>
        <v/>
      </c>
      <c r="J1469">
        <f>SUMPRODUCT(Calc!$K$3:$K$22*(Calc!$G$3:$G$22&gt;B1469)*(Calc!$G$3:$G$22-B1469)^2)</f>
        <v/>
      </c>
      <c r="K1469">
        <f>SUMPRODUCT(Calc!$K$3:$K$22*(Calc!$G$3:$G$22&gt;A1469)*(Calc!$G$3:$G$22-A1469)*(Calc!$G$3:$G$22&gt;B1469)*(Calc!$G$3:$G$22-B1469))</f>
        <v/>
      </c>
      <c r="L1469">
        <f>SUMPRODUCT(Calc!$K$3:$K$22*(Calc!$G$3:$G$22&gt;A1469)*(Calc!$G$3:$G$22-A1469)*Calc!$G$3:$G$22)</f>
        <v/>
      </c>
      <c r="M1469">
        <f>SUMPRODUCT(Calc!$K$3:$K$22*(Calc!$G$3:$G$22&gt;B1469)*(Calc!$G$3:$G$22-B1469)*Calc!$G$3:$G$22)</f>
        <v/>
      </c>
      <c r="N1469">
        <f>SUMPRODUCT(Calc!$K$3:$K$22*(Calc!$G$3:$G$22&gt;A1469)*(Calc!$G$3:$G$22-A1469)*Calc!$I$3:$I$22)</f>
        <v/>
      </c>
      <c r="O1469">
        <f>SUMPRODUCT(Calc!$K$3:$K$22*(Calc!$G$3:$G$22&gt;B1469)*(Calc!$G$3:$G$22-B1469)*Calc!$I$3:$I$22)</f>
        <v/>
      </c>
      <c r="P1469">
        <f>I1469-G1469^2/k_n</f>
        <v/>
      </c>
      <c r="Q1469">
        <f>J1469-H1469^2/k_n</f>
        <v/>
      </c>
      <c r="R1469">
        <f>K1469-G1469*H1469/k_n</f>
        <v/>
      </c>
      <c r="S1469">
        <f>L1469-LTP3!$D$3*G1469/k_n</f>
        <v/>
      </c>
      <c r="T1469">
        <f>M1469-LTP3!$D$3*H1469/k_n</f>
        <v/>
      </c>
      <c r="U1469">
        <f>N1469-G1469*LTP3!$D$4/k_n</f>
        <v/>
      </c>
      <c r="V1469">
        <f>O1469-H1469*LTP3!$D$4/k_n</f>
        <v/>
      </c>
      <c r="W1469">
        <f>((LTP3!$D$5)*((P1469)*(Q1469)-(R1469)*(R1469))-(S1469)*((S1469)*(Q1469)-(R1469)*(T1469))+(T1469)*((S1469)*(R1469)-(P1469)*(T1469)))</f>
        <v/>
      </c>
      <c r="X1469">
        <f>IF(ABS(W1469)&gt;1E-12,((LTP3!$D$6)*((P1469)*(Q1469)-(R1469)*(R1469))-(S1469)*((U1469)*(Q1469)-(R1469)*(V1469))+(T1469)*((U1469)*(R1469)-(P1469)*(V1469)))/W1469,0)</f>
        <v/>
      </c>
      <c r="Y1469">
        <f>IF(ABS(W1469)&gt;1E-12,((LTP3!$D$5)*((U1469)*(Q1469)-(R1469)*(V1469))-(LTP3!$D$6)*((S1469)*(Q1469)-(R1469)*(T1469))+(T1469)*((S1469)*(V1469)-(U1469)*(T1469)))/W1469,0)</f>
        <v/>
      </c>
      <c r="Z1469">
        <f>IF(ABS(W1469)&gt;1E-12,((LTP3!$D$5)*((P1469)*(V1469)-(U1469)*(R1469))-(S1469)*((S1469)*(V1469)-(U1469)*(T1469))+(LTP3!$D$6)*((S1469)*(R1469)-(P1469)*(T1469)))/W1469,0)</f>
        <v/>
      </c>
      <c r="AA1469">
        <f>LTP3!$D$7-X1469*LTP3!$D$6-Y1469*U1469-Z1469*V1469</f>
        <v/>
      </c>
      <c r="AB1469">
        <f>IF(AND(F1469,ABS(W1469)&gt;1E-12,Y1469&gt;0,Z1469&gt;0),AA1469,1E+300)</f>
        <v/>
      </c>
    </row>
    <row r="1470">
      <c r="A1470">
        <f>$B$3+$B$5*23</f>
        <v/>
      </c>
      <c r="B1470">
        <f>$B$3+$B$5*55</f>
        <v/>
      </c>
      <c r="C1470">
        <f>SUMPRODUCT(Calc!$K$3:$K$22*(Calc!$G$3:$G$22&lt;=A1470))</f>
        <v/>
      </c>
      <c r="D1470">
        <f>SUMPRODUCT(Calc!$K$3:$K$22*(Calc!$G$3:$G$22&gt;A1470)*(Calc!$G$3:$G$22&lt;B1470))</f>
        <v/>
      </c>
      <c r="E1470">
        <f>SUMPRODUCT(Calc!$K$3:$K$22*(Calc!$G$3:$G$22&gt;=B1470))</f>
        <v/>
      </c>
      <c r="F1470">
        <f>AND(k_n&gt;=5,B1470&gt;A1470+1E-9,C1470&gt;=2,D1470&gt;=1,E1470&gt;=2)</f>
        <v/>
      </c>
      <c r="G1470">
        <f>SUMPRODUCT(Calc!$K$3:$K$22*(Calc!$G$3:$G$22&gt;A1470)*(Calc!$G$3:$G$22-A1470))</f>
        <v/>
      </c>
      <c r="H1470">
        <f>SUMPRODUCT(Calc!$K$3:$K$22*(Calc!$G$3:$G$22&gt;B1470)*(Calc!$G$3:$G$22-B1470))</f>
        <v/>
      </c>
      <c r="I1470">
        <f>SUMPRODUCT(Calc!$K$3:$K$22*(Calc!$G$3:$G$22&gt;A1470)*(Calc!$G$3:$G$22-A1470)^2)</f>
        <v/>
      </c>
      <c r="J1470">
        <f>SUMPRODUCT(Calc!$K$3:$K$22*(Calc!$G$3:$G$22&gt;B1470)*(Calc!$G$3:$G$22-B1470)^2)</f>
        <v/>
      </c>
      <c r="K1470">
        <f>SUMPRODUCT(Calc!$K$3:$K$22*(Calc!$G$3:$G$22&gt;A1470)*(Calc!$G$3:$G$22-A1470)*(Calc!$G$3:$G$22&gt;B1470)*(Calc!$G$3:$G$22-B1470))</f>
        <v/>
      </c>
      <c r="L1470">
        <f>SUMPRODUCT(Calc!$K$3:$K$22*(Calc!$G$3:$G$22&gt;A1470)*(Calc!$G$3:$G$22-A1470)*Calc!$G$3:$G$22)</f>
        <v/>
      </c>
      <c r="M1470">
        <f>SUMPRODUCT(Calc!$K$3:$K$22*(Calc!$G$3:$G$22&gt;B1470)*(Calc!$G$3:$G$22-B1470)*Calc!$G$3:$G$22)</f>
        <v/>
      </c>
      <c r="N1470">
        <f>SUMPRODUCT(Calc!$K$3:$K$22*(Calc!$G$3:$G$22&gt;A1470)*(Calc!$G$3:$G$22-A1470)*Calc!$I$3:$I$22)</f>
        <v/>
      </c>
      <c r="O1470">
        <f>SUMPRODUCT(Calc!$K$3:$K$22*(Calc!$G$3:$G$22&gt;B1470)*(Calc!$G$3:$G$22-B1470)*Calc!$I$3:$I$22)</f>
        <v/>
      </c>
      <c r="P1470">
        <f>I1470-G1470^2/k_n</f>
        <v/>
      </c>
      <c r="Q1470">
        <f>J1470-H1470^2/k_n</f>
        <v/>
      </c>
      <c r="R1470">
        <f>K1470-G1470*H1470/k_n</f>
        <v/>
      </c>
      <c r="S1470">
        <f>L1470-LTP3!$D$3*G1470/k_n</f>
        <v/>
      </c>
      <c r="T1470">
        <f>M1470-LTP3!$D$3*H1470/k_n</f>
        <v/>
      </c>
      <c r="U1470">
        <f>N1470-G1470*LTP3!$D$4/k_n</f>
        <v/>
      </c>
      <c r="V1470">
        <f>O1470-H1470*LTP3!$D$4/k_n</f>
        <v/>
      </c>
      <c r="W1470">
        <f>((LTP3!$D$5)*((P1470)*(Q1470)-(R1470)*(R1470))-(S1470)*((S1470)*(Q1470)-(R1470)*(T1470))+(T1470)*((S1470)*(R1470)-(P1470)*(T1470)))</f>
        <v/>
      </c>
      <c r="X1470">
        <f>IF(ABS(W1470)&gt;1E-12,((LTP3!$D$6)*((P1470)*(Q1470)-(R1470)*(R1470))-(S1470)*((U1470)*(Q1470)-(R1470)*(V1470))+(T1470)*((U1470)*(R1470)-(P1470)*(V1470)))/W1470,0)</f>
        <v/>
      </c>
      <c r="Y1470">
        <f>IF(ABS(W1470)&gt;1E-12,((LTP3!$D$5)*((U1470)*(Q1470)-(R1470)*(V1470))-(LTP3!$D$6)*((S1470)*(Q1470)-(R1470)*(T1470))+(T1470)*((S1470)*(V1470)-(U1470)*(T1470)))/W1470,0)</f>
        <v/>
      </c>
      <c r="Z1470">
        <f>IF(ABS(W1470)&gt;1E-12,((LTP3!$D$5)*((P1470)*(V1470)-(U1470)*(R1470))-(S1470)*((S1470)*(V1470)-(U1470)*(T1470))+(LTP3!$D$6)*((S1470)*(R1470)-(P1470)*(T1470)))/W1470,0)</f>
        <v/>
      </c>
      <c r="AA1470">
        <f>LTP3!$D$7-X1470*LTP3!$D$6-Y1470*U1470-Z1470*V1470</f>
        <v/>
      </c>
      <c r="AB1470">
        <f>IF(AND(F1470,ABS(W1470)&gt;1E-12,Y1470&gt;0,Z1470&gt;0),AA1470,1E+300)</f>
        <v/>
      </c>
    </row>
    <row r="1471">
      <c r="A1471">
        <f>$B$3+$B$5*23</f>
        <v/>
      </c>
      <c r="B1471">
        <f>$B$3+$B$5*56</f>
        <v/>
      </c>
      <c r="C1471">
        <f>SUMPRODUCT(Calc!$K$3:$K$22*(Calc!$G$3:$G$22&lt;=A1471))</f>
        <v/>
      </c>
      <c r="D1471">
        <f>SUMPRODUCT(Calc!$K$3:$K$22*(Calc!$G$3:$G$22&gt;A1471)*(Calc!$G$3:$G$22&lt;B1471))</f>
        <v/>
      </c>
      <c r="E1471">
        <f>SUMPRODUCT(Calc!$K$3:$K$22*(Calc!$G$3:$G$22&gt;=B1471))</f>
        <v/>
      </c>
      <c r="F1471">
        <f>AND(k_n&gt;=5,B1471&gt;A1471+1E-9,C1471&gt;=2,D1471&gt;=1,E1471&gt;=2)</f>
        <v/>
      </c>
      <c r="G1471">
        <f>SUMPRODUCT(Calc!$K$3:$K$22*(Calc!$G$3:$G$22&gt;A1471)*(Calc!$G$3:$G$22-A1471))</f>
        <v/>
      </c>
      <c r="H1471">
        <f>SUMPRODUCT(Calc!$K$3:$K$22*(Calc!$G$3:$G$22&gt;B1471)*(Calc!$G$3:$G$22-B1471))</f>
        <v/>
      </c>
      <c r="I1471">
        <f>SUMPRODUCT(Calc!$K$3:$K$22*(Calc!$G$3:$G$22&gt;A1471)*(Calc!$G$3:$G$22-A1471)^2)</f>
        <v/>
      </c>
      <c r="J1471">
        <f>SUMPRODUCT(Calc!$K$3:$K$22*(Calc!$G$3:$G$22&gt;B1471)*(Calc!$G$3:$G$22-B1471)^2)</f>
        <v/>
      </c>
      <c r="K1471">
        <f>SUMPRODUCT(Calc!$K$3:$K$22*(Calc!$G$3:$G$22&gt;A1471)*(Calc!$G$3:$G$22-A1471)*(Calc!$G$3:$G$22&gt;B1471)*(Calc!$G$3:$G$22-B1471))</f>
        <v/>
      </c>
      <c r="L1471">
        <f>SUMPRODUCT(Calc!$K$3:$K$22*(Calc!$G$3:$G$22&gt;A1471)*(Calc!$G$3:$G$22-A1471)*Calc!$G$3:$G$22)</f>
        <v/>
      </c>
      <c r="M1471">
        <f>SUMPRODUCT(Calc!$K$3:$K$22*(Calc!$G$3:$G$22&gt;B1471)*(Calc!$G$3:$G$22-B1471)*Calc!$G$3:$G$22)</f>
        <v/>
      </c>
      <c r="N1471">
        <f>SUMPRODUCT(Calc!$K$3:$K$22*(Calc!$G$3:$G$22&gt;A1471)*(Calc!$G$3:$G$22-A1471)*Calc!$I$3:$I$22)</f>
        <v/>
      </c>
      <c r="O1471">
        <f>SUMPRODUCT(Calc!$K$3:$K$22*(Calc!$G$3:$G$22&gt;B1471)*(Calc!$G$3:$G$22-B1471)*Calc!$I$3:$I$22)</f>
        <v/>
      </c>
      <c r="P1471">
        <f>I1471-G1471^2/k_n</f>
        <v/>
      </c>
      <c r="Q1471">
        <f>J1471-H1471^2/k_n</f>
        <v/>
      </c>
      <c r="R1471">
        <f>K1471-G1471*H1471/k_n</f>
        <v/>
      </c>
      <c r="S1471">
        <f>L1471-LTP3!$D$3*G1471/k_n</f>
        <v/>
      </c>
      <c r="T1471">
        <f>M1471-LTP3!$D$3*H1471/k_n</f>
        <v/>
      </c>
      <c r="U1471">
        <f>N1471-G1471*LTP3!$D$4/k_n</f>
        <v/>
      </c>
      <c r="V1471">
        <f>O1471-H1471*LTP3!$D$4/k_n</f>
        <v/>
      </c>
      <c r="W1471">
        <f>((LTP3!$D$5)*((P1471)*(Q1471)-(R1471)*(R1471))-(S1471)*((S1471)*(Q1471)-(R1471)*(T1471))+(T1471)*((S1471)*(R1471)-(P1471)*(T1471)))</f>
        <v/>
      </c>
      <c r="X1471">
        <f>IF(ABS(W1471)&gt;1E-12,((LTP3!$D$6)*((P1471)*(Q1471)-(R1471)*(R1471))-(S1471)*((U1471)*(Q1471)-(R1471)*(V1471))+(T1471)*((U1471)*(R1471)-(P1471)*(V1471)))/W1471,0)</f>
        <v/>
      </c>
      <c r="Y1471">
        <f>IF(ABS(W1471)&gt;1E-12,((LTP3!$D$5)*((U1471)*(Q1471)-(R1471)*(V1471))-(LTP3!$D$6)*((S1471)*(Q1471)-(R1471)*(T1471))+(T1471)*((S1471)*(V1471)-(U1471)*(T1471)))/W1471,0)</f>
        <v/>
      </c>
      <c r="Z1471">
        <f>IF(ABS(W1471)&gt;1E-12,((LTP3!$D$5)*((P1471)*(V1471)-(U1471)*(R1471))-(S1471)*((S1471)*(V1471)-(U1471)*(T1471))+(LTP3!$D$6)*((S1471)*(R1471)-(P1471)*(T1471)))/W1471,0)</f>
        <v/>
      </c>
      <c r="AA1471">
        <f>LTP3!$D$7-X1471*LTP3!$D$6-Y1471*U1471-Z1471*V1471</f>
        <v/>
      </c>
      <c r="AB1471">
        <f>IF(AND(F1471,ABS(W1471)&gt;1E-12,Y1471&gt;0,Z1471&gt;0),AA1471,1E+300)</f>
        <v/>
      </c>
    </row>
    <row r="1472">
      <c r="A1472">
        <f>$B$3+$B$5*23</f>
        <v/>
      </c>
      <c r="B1472">
        <f>$B$3+$B$5*57</f>
        <v/>
      </c>
      <c r="C1472">
        <f>SUMPRODUCT(Calc!$K$3:$K$22*(Calc!$G$3:$G$22&lt;=A1472))</f>
        <v/>
      </c>
      <c r="D1472">
        <f>SUMPRODUCT(Calc!$K$3:$K$22*(Calc!$G$3:$G$22&gt;A1472)*(Calc!$G$3:$G$22&lt;B1472))</f>
        <v/>
      </c>
      <c r="E1472">
        <f>SUMPRODUCT(Calc!$K$3:$K$22*(Calc!$G$3:$G$22&gt;=B1472))</f>
        <v/>
      </c>
      <c r="F1472">
        <f>AND(k_n&gt;=5,B1472&gt;A1472+1E-9,C1472&gt;=2,D1472&gt;=1,E1472&gt;=2)</f>
        <v/>
      </c>
      <c r="G1472">
        <f>SUMPRODUCT(Calc!$K$3:$K$22*(Calc!$G$3:$G$22&gt;A1472)*(Calc!$G$3:$G$22-A1472))</f>
        <v/>
      </c>
      <c r="H1472">
        <f>SUMPRODUCT(Calc!$K$3:$K$22*(Calc!$G$3:$G$22&gt;B1472)*(Calc!$G$3:$G$22-B1472))</f>
        <v/>
      </c>
      <c r="I1472">
        <f>SUMPRODUCT(Calc!$K$3:$K$22*(Calc!$G$3:$G$22&gt;A1472)*(Calc!$G$3:$G$22-A1472)^2)</f>
        <v/>
      </c>
      <c r="J1472">
        <f>SUMPRODUCT(Calc!$K$3:$K$22*(Calc!$G$3:$G$22&gt;B1472)*(Calc!$G$3:$G$22-B1472)^2)</f>
        <v/>
      </c>
      <c r="K1472">
        <f>SUMPRODUCT(Calc!$K$3:$K$22*(Calc!$G$3:$G$22&gt;A1472)*(Calc!$G$3:$G$22-A1472)*(Calc!$G$3:$G$22&gt;B1472)*(Calc!$G$3:$G$22-B1472))</f>
        <v/>
      </c>
      <c r="L1472">
        <f>SUMPRODUCT(Calc!$K$3:$K$22*(Calc!$G$3:$G$22&gt;A1472)*(Calc!$G$3:$G$22-A1472)*Calc!$G$3:$G$22)</f>
        <v/>
      </c>
      <c r="M1472">
        <f>SUMPRODUCT(Calc!$K$3:$K$22*(Calc!$G$3:$G$22&gt;B1472)*(Calc!$G$3:$G$22-B1472)*Calc!$G$3:$G$22)</f>
        <v/>
      </c>
      <c r="N1472">
        <f>SUMPRODUCT(Calc!$K$3:$K$22*(Calc!$G$3:$G$22&gt;A1472)*(Calc!$G$3:$G$22-A1472)*Calc!$I$3:$I$22)</f>
        <v/>
      </c>
      <c r="O1472">
        <f>SUMPRODUCT(Calc!$K$3:$K$22*(Calc!$G$3:$G$22&gt;B1472)*(Calc!$G$3:$G$22-B1472)*Calc!$I$3:$I$22)</f>
        <v/>
      </c>
      <c r="P1472">
        <f>I1472-G1472^2/k_n</f>
        <v/>
      </c>
      <c r="Q1472">
        <f>J1472-H1472^2/k_n</f>
        <v/>
      </c>
      <c r="R1472">
        <f>K1472-G1472*H1472/k_n</f>
        <v/>
      </c>
      <c r="S1472">
        <f>L1472-LTP3!$D$3*G1472/k_n</f>
        <v/>
      </c>
      <c r="T1472">
        <f>M1472-LTP3!$D$3*H1472/k_n</f>
        <v/>
      </c>
      <c r="U1472">
        <f>N1472-G1472*LTP3!$D$4/k_n</f>
        <v/>
      </c>
      <c r="V1472">
        <f>O1472-H1472*LTP3!$D$4/k_n</f>
        <v/>
      </c>
      <c r="W1472">
        <f>((LTP3!$D$5)*((P1472)*(Q1472)-(R1472)*(R1472))-(S1472)*((S1472)*(Q1472)-(R1472)*(T1472))+(T1472)*((S1472)*(R1472)-(P1472)*(T1472)))</f>
        <v/>
      </c>
      <c r="X1472">
        <f>IF(ABS(W1472)&gt;1E-12,((LTP3!$D$6)*((P1472)*(Q1472)-(R1472)*(R1472))-(S1472)*((U1472)*(Q1472)-(R1472)*(V1472))+(T1472)*((U1472)*(R1472)-(P1472)*(V1472)))/W1472,0)</f>
        <v/>
      </c>
      <c r="Y1472">
        <f>IF(ABS(W1472)&gt;1E-12,((LTP3!$D$5)*((U1472)*(Q1472)-(R1472)*(V1472))-(LTP3!$D$6)*((S1472)*(Q1472)-(R1472)*(T1472))+(T1472)*((S1472)*(V1472)-(U1472)*(T1472)))/W1472,0)</f>
        <v/>
      </c>
      <c r="Z1472">
        <f>IF(ABS(W1472)&gt;1E-12,((LTP3!$D$5)*((P1472)*(V1472)-(U1472)*(R1472))-(S1472)*((S1472)*(V1472)-(U1472)*(T1472))+(LTP3!$D$6)*((S1472)*(R1472)-(P1472)*(T1472)))/W1472,0)</f>
        <v/>
      </c>
      <c r="AA1472">
        <f>LTP3!$D$7-X1472*LTP3!$D$6-Y1472*U1472-Z1472*V1472</f>
        <v/>
      </c>
      <c r="AB1472">
        <f>IF(AND(F1472,ABS(W1472)&gt;1E-12,Y1472&gt;0,Z1472&gt;0),AA1472,1E+300)</f>
        <v/>
      </c>
    </row>
    <row r="1473">
      <c r="A1473">
        <f>$B$3+$B$5*23</f>
        <v/>
      </c>
      <c r="B1473">
        <f>$B$3+$B$5*58</f>
        <v/>
      </c>
      <c r="C1473">
        <f>SUMPRODUCT(Calc!$K$3:$K$22*(Calc!$G$3:$G$22&lt;=A1473))</f>
        <v/>
      </c>
      <c r="D1473">
        <f>SUMPRODUCT(Calc!$K$3:$K$22*(Calc!$G$3:$G$22&gt;A1473)*(Calc!$G$3:$G$22&lt;B1473))</f>
        <v/>
      </c>
      <c r="E1473">
        <f>SUMPRODUCT(Calc!$K$3:$K$22*(Calc!$G$3:$G$22&gt;=B1473))</f>
        <v/>
      </c>
      <c r="F1473">
        <f>AND(k_n&gt;=5,B1473&gt;A1473+1E-9,C1473&gt;=2,D1473&gt;=1,E1473&gt;=2)</f>
        <v/>
      </c>
      <c r="G1473">
        <f>SUMPRODUCT(Calc!$K$3:$K$22*(Calc!$G$3:$G$22&gt;A1473)*(Calc!$G$3:$G$22-A1473))</f>
        <v/>
      </c>
      <c r="H1473">
        <f>SUMPRODUCT(Calc!$K$3:$K$22*(Calc!$G$3:$G$22&gt;B1473)*(Calc!$G$3:$G$22-B1473))</f>
        <v/>
      </c>
      <c r="I1473">
        <f>SUMPRODUCT(Calc!$K$3:$K$22*(Calc!$G$3:$G$22&gt;A1473)*(Calc!$G$3:$G$22-A1473)^2)</f>
        <v/>
      </c>
      <c r="J1473">
        <f>SUMPRODUCT(Calc!$K$3:$K$22*(Calc!$G$3:$G$22&gt;B1473)*(Calc!$G$3:$G$22-B1473)^2)</f>
        <v/>
      </c>
      <c r="K1473">
        <f>SUMPRODUCT(Calc!$K$3:$K$22*(Calc!$G$3:$G$22&gt;A1473)*(Calc!$G$3:$G$22-A1473)*(Calc!$G$3:$G$22&gt;B1473)*(Calc!$G$3:$G$22-B1473))</f>
        <v/>
      </c>
      <c r="L1473">
        <f>SUMPRODUCT(Calc!$K$3:$K$22*(Calc!$G$3:$G$22&gt;A1473)*(Calc!$G$3:$G$22-A1473)*Calc!$G$3:$G$22)</f>
        <v/>
      </c>
      <c r="M1473">
        <f>SUMPRODUCT(Calc!$K$3:$K$22*(Calc!$G$3:$G$22&gt;B1473)*(Calc!$G$3:$G$22-B1473)*Calc!$G$3:$G$22)</f>
        <v/>
      </c>
      <c r="N1473">
        <f>SUMPRODUCT(Calc!$K$3:$K$22*(Calc!$G$3:$G$22&gt;A1473)*(Calc!$G$3:$G$22-A1473)*Calc!$I$3:$I$22)</f>
        <v/>
      </c>
      <c r="O1473">
        <f>SUMPRODUCT(Calc!$K$3:$K$22*(Calc!$G$3:$G$22&gt;B1473)*(Calc!$G$3:$G$22-B1473)*Calc!$I$3:$I$22)</f>
        <v/>
      </c>
      <c r="P1473">
        <f>I1473-G1473^2/k_n</f>
        <v/>
      </c>
      <c r="Q1473">
        <f>J1473-H1473^2/k_n</f>
        <v/>
      </c>
      <c r="R1473">
        <f>K1473-G1473*H1473/k_n</f>
        <v/>
      </c>
      <c r="S1473">
        <f>L1473-LTP3!$D$3*G1473/k_n</f>
        <v/>
      </c>
      <c r="T1473">
        <f>M1473-LTP3!$D$3*H1473/k_n</f>
        <v/>
      </c>
      <c r="U1473">
        <f>N1473-G1473*LTP3!$D$4/k_n</f>
        <v/>
      </c>
      <c r="V1473">
        <f>O1473-H1473*LTP3!$D$4/k_n</f>
        <v/>
      </c>
      <c r="W1473">
        <f>((LTP3!$D$5)*((P1473)*(Q1473)-(R1473)*(R1473))-(S1473)*((S1473)*(Q1473)-(R1473)*(T1473))+(T1473)*((S1473)*(R1473)-(P1473)*(T1473)))</f>
        <v/>
      </c>
      <c r="X1473">
        <f>IF(ABS(W1473)&gt;1E-12,((LTP3!$D$6)*((P1473)*(Q1473)-(R1473)*(R1473))-(S1473)*((U1473)*(Q1473)-(R1473)*(V1473))+(T1473)*((U1473)*(R1473)-(P1473)*(V1473)))/W1473,0)</f>
        <v/>
      </c>
      <c r="Y1473">
        <f>IF(ABS(W1473)&gt;1E-12,((LTP3!$D$5)*((U1473)*(Q1473)-(R1473)*(V1473))-(LTP3!$D$6)*((S1473)*(Q1473)-(R1473)*(T1473))+(T1473)*((S1473)*(V1473)-(U1473)*(T1473)))/W1473,0)</f>
        <v/>
      </c>
      <c r="Z1473">
        <f>IF(ABS(W1473)&gt;1E-12,((LTP3!$D$5)*((P1473)*(V1473)-(U1473)*(R1473))-(S1473)*((S1473)*(V1473)-(U1473)*(T1473))+(LTP3!$D$6)*((S1473)*(R1473)-(P1473)*(T1473)))/W1473,0)</f>
        <v/>
      </c>
      <c r="AA1473">
        <f>LTP3!$D$7-X1473*LTP3!$D$6-Y1473*U1473-Z1473*V1473</f>
        <v/>
      </c>
      <c r="AB1473">
        <f>IF(AND(F1473,ABS(W1473)&gt;1E-12,Y1473&gt;0,Z1473&gt;0),AA1473,1E+300)</f>
        <v/>
      </c>
    </row>
    <row r="1474">
      <c r="A1474">
        <f>$B$3+$B$5*23</f>
        <v/>
      </c>
      <c r="B1474">
        <f>$B$3+$B$5*59</f>
        <v/>
      </c>
      <c r="C1474">
        <f>SUMPRODUCT(Calc!$K$3:$K$22*(Calc!$G$3:$G$22&lt;=A1474))</f>
        <v/>
      </c>
      <c r="D1474">
        <f>SUMPRODUCT(Calc!$K$3:$K$22*(Calc!$G$3:$G$22&gt;A1474)*(Calc!$G$3:$G$22&lt;B1474))</f>
        <v/>
      </c>
      <c r="E1474">
        <f>SUMPRODUCT(Calc!$K$3:$K$22*(Calc!$G$3:$G$22&gt;=B1474))</f>
        <v/>
      </c>
      <c r="F1474">
        <f>AND(k_n&gt;=5,B1474&gt;A1474+1E-9,C1474&gt;=2,D1474&gt;=1,E1474&gt;=2)</f>
        <v/>
      </c>
      <c r="G1474">
        <f>SUMPRODUCT(Calc!$K$3:$K$22*(Calc!$G$3:$G$22&gt;A1474)*(Calc!$G$3:$G$22-A1474))</f>
        <v/>
      </c>
      <c r="H1474">
        <f>SUMPRODUCT(Calc!$K$3:$K$22*(Calc!$G$3:$G$22&gt;B1474)*(Calc!$G$3:$G$22-B1474))</f>
        <v/>
      </c>
      <c r="I1474">
        <f>SUMPRODUCT(Calc!$K$3:$K$22*(Calc!$G$3:$G$22&gt;A1474)*(Calc!$G$3:$G$22-A1474)^2)</f>
        <v/>
      </c>
      <c r="J1474">
        <f>SUMPRODUCT(Calc!$K$3:$K$22*(Calc!$G$3:$G$22&gt;B1474)*(Calc!$G$3:$G$22-B1474)^2)</f>
        <v/>
      </c>
      <c r="K1474">
        <f>SUMPRODUCT(Calc!$K$3:$K$22*(Calc!$G$3:$G$22&gt;A1474)*(Calc!$G$3:$G$22-A1474)*(Calc!$G$3:$G$22&gt;B1474)*(Calc!$G$3:$G$22-B1474))</f>
        <v/>
      </c>
      <c r="L1474">
        <f>SUMPRODUCT(Calc!$K$3:$K$22*(Calc!$G$3:$G$22&gt;A1474)*(Calc!$G$3:$G$22-A1474)*Calc!$G$3:$G$22)</f>
        <v/>
      </c>
      <c r="M1474">
        <f>SUMPRODUCT(Calc!$K$3:$K$22*(Calc!$G$3:$G$22&gt;B1474)*(Calc!$G$3:$G$22-B1474)*Calc!$G$3:$G$22)</f>
        <v/>
      </c>
      <c r="N1474">
        <f>SUMPRODUCT(Calc!$K$3:$K$22*(Calc!$G$3:$G$22&gt;A1474)*(Calc!$G$3:$G$22-A1474)*Calc!$I$3:$I$22)</f>
        <v/>
      </c>
      <c r="O1474">
        <f>SUMPRODUCT(Calc!$K$3:$K$22*(Calc!$G$3:$G$22&gt;B1474)*(Calc!$G$3:$G$22-B1474)*Calc!$I$3:$I$22)</f>
        <v/>
      </c>
      <c r="P1474">
        <f>I1474-G1474^2/k_n</f>
        <v/>
      </c>
      <c r="Q1474">
        <f>J1474-H1474^2/k_n</f>
        <v/>
      </c>
      <c r="R1474">
        <f>K1474-G1474*H1474/k_n</f>
        <v/>
      </c>
      <c r="S1474">
        <f>L1474-LTP3!$D$3*G1474/k_n</f>
        <v/>
      </c>
      <c r="T1474">
        <f>M1474-LTP3!$D$3*H1474/k_n</f>
        <v/>
      </c>
      <c r="U1474">
        <f>N1474-G1474*LTP3!$D$4/k_n</f>
        <v/>
      </c>
      <c r="V1474">
        <f>O1474-H1474*LTP3!$D$4/k_n</f>
        <v/>
      </c>
      <c r="W1474">
        <f>((LTP3!$D$5)*((P1474)*(Q1474)-(R1474)*(R1474))-(S1474)*((S1474)*(Q1474)-(R1474)*(T1474))+(T1474)*((S1474)*(R1474)-(P1474)*(T1474)))</f>
        <v/>
      </c>
      <c r="X1474">
        <f>IF(ABS(W1474)&gt;1E-12,((LTP3!$D$6)*((P1474)*(Q1474)-(R1474)*(R1474))-(S1474)*((U1474)*(Q1474)-(R1474)*(V1474))+(T1474)*((U1474)*(R1474)-(P1474)*(V1474)))/W1474,0)</f>
        <v/>
      </c>
      <c r="Y1474">
        <f>IF(ABS(W1474)&gt;1E-12,((LTP3!$D$5)*((U1474)*(Q1474)-(R1474)*(V1474))-(LTP3!$D$6)*((S1474)*(Q1474)-(R1474)*(T1474))+(T1474)*((S1474)*(V1474)-(U1474)*(T1474)))/W1474,0)</f>
        <v/>
      </c>
      <c r="Z1474">
        <f>IF(ABS(W1474)&gt;1E-12,((LTP3!$D$5)*((P1474)*(V1474)-(U1474)*(R1474))-(S1474)*((S1474)*(V1474)-(U1474)*(T1474))+(LTP3!$D$6)*((S1474)*(R1474)-(P1474)*(T1474)))/W1474,0)</f>
        <v/>
      </c>
      <c r="AA1474">
        <f>LTP3!$D$7-X1474*LTP3!$D$6-Y1474*U1474-Z1474*V1474</f>
        <v/>
      </c>
      <c r="AB1474">
        <f>IF(AND(F1474,ABS(W1474)&gt;1E-12,Y1474&gt;0,Z1474&gt;0),AA1474,1E+300)</f>
        <v/>
      </c>
    </row>
    <row r="1475">
      <c r="A1475">
        <f>$B$3+$B$5*23</f>
        <v/>
      </c>
      <c r="B1475">
        <f>$B$3+$B$5*60</f>
        <v/>
      </c>
      <c r="C1475">
        <f>SUMPRODUCT(Calc!$K$3:$K$22*(Calc!$G$3:$G$22&lt;=A1475))</f>
        <v/>
      </c>
      <c r="D1475">
        <f>SUMPRODUCT(Calc!$K$3:$K$22*(Calc!$G$3:$G$22&gt;A1475)*(Calc!$G$3:$G$22&lt;B1475))</f>
        <v/>
      </c>
      <c r="E1475">
        <f>SUMPRODUCT(Calc!$K$3:$K$22*(Calc!$G$3:$G$22&gt;=B1475))</f>
        <v/>
      </c>
      <c r="F1475">
        <f>AND(k_n&gt;=5,B1475&gt;A1475+1E-9,C1475&gt;=2,D1475&gt;=1,E1475&gt;=2)</f>
        <v/>
      </c>
      <c r="G1475">
        <f>SUMPRODUCT(Calc!$K$3:$K$22*(Calc!$G$3:$G$22&gt;A1475)*(Calc!$G$3:$G$22-A1475))</f>
        <v/>
      </c>
      <c r="H1475">
        <f>SUMPRODUCT(Calc!$K$3:$K$22*(Calc!$G$3:$G$22&gt;B1475)*(Calc!$G$3:$G$22-B1475))</f>
        <v/>
      </c>
      <c r="I1475">
        <f>SUMPRODUCT(Calc!$K$3:$K$22*(Calc!$G$3:$G$22&gt;A1475)*(Calc!$G$3:$G$22-A1475)^2)</f>
        <v/>
      </c>
      <c r="J1475">
        <f>SUMPRODUCT(Calc!$K$3:$K$22*(Calc!$G$3:$G$22&gt;B1475)*(Calc!$G$3:$G$22-B1475)^2)</f>
        <v/>
      </c>
      <c r="K1475">
        <f>SUMPRODUCT(Calc!$K$3:$K$22*(Calc!$G$3:$G$22&gt;A1475)*(Calc!$G$3:$G$22-A1475)*(Calc!$G$3:$G$22&gt;B1475)*(Calc!$G$3:$G$22-B1475))</f>
        <v/>
      </c>
      <c r="L1475">
        <f>SUMPRODUCT(Calc!$K$3:$K$22*(Calc!$G$3:$G$22&gt;A1475)*(Calc!$G$3:$G$22-A1475)*Calc!$G$3:$G$22)</f>
        <v/>
      </c>
      <c r="M1475">
        <f>SUMPRODUCT(Calc!$K$3:$K$22*(Calc!$G$3:$G$22&gt;B1475)*(Calc!$G$3:$G$22-B1475)*Calc!$G$3:$G$22)</f>
        <v/>
      </c>
      <c r="N1475">
        <f>SUMPRODUCT(Calc!$K$3:$K$22*(Calc!$G$3:$G$22&gt;A1475)*(Calc!$G$3:$G$22-A1475)*Calc!$I$3:$I$22)</f>
        <v/>
      </c>
      <c r="O1475">
        <f>SUMPRODUCT(Calc!$K$3:$K$22*(Calc!$G$3:$G$22&gt;B1475)*(Calc!$G$3:$G$22-B1475)*Calc!$I$3:$I$22)</f>
        <v/>
      </c>
      <c r="P1475">
        <f>I1475-G1475^2/k_n</f>
        <v/>
      </c>
      <c r="Q1475">
        <f>J1475-H1475^2/k_n</f>
        <v/>
      </c>
      <c r="R1475">
        <f>K1475-G1475*H1475/k_n</f>
        <v/>
      </c>
      <c r="S1475">
        <f>L1475-LTP3!$D$3*G1475/k_n</f>
        <v/>
      </c>
      <c r="T1475">
        <f>M1475-LTP3!$D$3*H1475/k_n</f>
        <v/>
      </c>
      <c r="U1475">
        <f>N1475-G1475*LTP3!$D$4/k_n</f>
        <v/>
      </c>
      <c r="V1475">
        <f>O1475-H1475*LTP3!$D$4/k_n</f>
        <v/>
      </c>
      <c r="W1475">
        <f>((LTP3!$D$5)*((P1475)*(Q1475)-(R1475)*(R1475))-(S1475)*((S1475)*(Q1475)-(R1475)*(T1475))+(T1475)*((S1475)*(R1475)-(P1475)*(T1475)))</f>
        <v/>
      </c>
      <c r="X1475">
        <f>IF(ABS(W1475)&gt;1E-12,((LTP3!$D$6)*((P1475)*(Q1475)-(R1475)*(R1475))-(S1475)*((U1475)*(Q1475)-(R1475)*(V1475))+(T1475)*((U1475)*(R1475)-(P1475)*(V1475)))/W1475,0)</f>
        <v/>
      </c>
      <c r="Y1475">
        <f>IF(ABS(W1475)&gt;1E-12,((LTP3!$D$5)*((U1475)*(Q1475)-(R1475)*(V1475))-(LTP3!$D$6)*((S1475)*(Q1475)-(R1475)*(T1475))+(T1475)*((S1475)*(V1475)-(U1475)*(T1475)))/W1475,0)</f>
        <v/>
      </c>
      <c r="Z1475">
        <f>IF(ABS(W1475)&gt;1E-12,((LTP3!$D$5)*((P1475)*(V1475)-(U1475)*(R1475))-(S1475)*((S1475)*(V1475)-(U1475)*(T1475))+(LTP3!$D$6)*((S1475)*(R1475)-(P1475)*(T1475)))/W1475,0)</f>
        <v/>
      </c>
      <c r="AA1475">
        <f>LTP3!$D$7-X1475*LTP3!$D$6-Y1475*U1475-Z1475*V1475</f>
        <v/>
      </c>
      <c r="AB1475">
        <f>IF(AND(F1475,ABS(W1475)&gt;1E-12,Y1475&gt;0,Z1475&gt;0),AA1475,1E+300)</f>
        <v/>
      </c>
    </row>
    <row r="1476">
      <c r="A1476">
        <f>$B$3+$B$5*24</f>
        <v/>
      </c>
      <c r="B1476">
        <f>$B$3+$B$5*0</f>
        <v/>
      </c>
      <c r="C1476">
        <f>SUMPRODUCT(Calc!$K$3:$K$22*(Calc!$G$3:$G$22&lt;=A1476))</f>
        <v/>
      </c>
      <c r="D1476">
        <f>SUMPRODUCT(Calc!$K$3:$K$22*(Calc!$G$3:$G$22&gt;A1476)*(Calc!$G$3:$G$22&lt;B1476))</f>
        <v/>
      </c>
      <c r="E1476">
        <f>SUMPRODUCT(Calc!$K$3:$K$22*(Calc!$G$3:$G$22&gt;=B1476))</f>
        <v/>
      </c>
      <c r="F1476">
        <f>AND(k_n&gt;=5,B1476&gt;A1476+1E-9,C1476&gt;=2,D1476&gt;=1,E1476&gt;=2)</f>
        <v/>
      </c>
      <c r="G1476">
        <f>SUMPRODUCT(Calc!$K$3:$K$22*(Calc!$G$3:$G$22&gt;A1476)*(Calc!$G$3:$G$22-A1476))</f>
        <v/>
      </c>
      <c r="H1476">
        <f>SUMPRODUCT(Calc!$K$3:$K$22*(Calc!$G$3:$G$22&gt;B1476)*(Calc!$G$3:$G$22-B1476))</f>
        <v/>
      </c>
      <c r="I1476">
        <f>SUMPRODUCT(Calc!$K$3:$K$22*(Calc!$G$3:$G$22&gt;A1476)*(Calc!$G$3:$G$22-A1476)^2)</f>
        <v/>
      </c>
      <c r="J1476">
        <f>SUMPRODUCT(Calc!$K$3:$K$22*(Calc!$G$3:$G$22&gt;B1476)*(Calc!$G$3:$G$22-B1476)^2)</f>
        <v/>
      </c>
      <c r="K1476">
        <f>SUMPRODUCT(Calc!$K$3:$K$22*(Calc!$G$3:$G$22&gt;A1476)*(Calc!$G$3:$G$22-A1476)*(Calc!$G$3:$G$22&gt;B1476)*(Calc!$G$3:$G$22-B1476))</f>
        <v/>
      </c>
      <c r="L1476">
        <f>SUMPRODUCT(Calc!$K$3:$K$22*(Calc!$G$3:$G$22&gt;A1476)*(Calc!$G$3:$G$22-A1476)*Calc!$G$3:$G$22)</f>
        <v/>
      </c>
      <c r="M1476">
        <f>SUMPRODUCT(Calc!$K$3:$K$22*(Calc!$G$3:$G$22&gt;B1476)*(Calc!$G$3:$G$22-B1476)*Calc!$G$3:$G$22)</f>
        <v/>
      </c>
      <c r="N1476">
        <f>SUMPRODUCT(Calc!$K$3:$K$22*(Calc!$G$3:$G$22&gt;A1476)*(Calc!$G$3:$G$22-A1476)*Calc!$I$3:$I$22)</f>
        <v/>
      </c>
      <c r="O1476">
        <f>SUMPRODUCT(Calc!$K$3:$K$22*(Calc!$G$3:$G$22&gt;B1476)*(Calc!$G$3:$G$22-B1476)*Calc!$I$3:$I$22)</f>
        <v/>
      </c>
      <c r="P1476">
        <f>I1476-G1476^2/k_n</f>
        <v/>
      </c>
      <c r="Q1476">
        <f>J1476-H1476^2/k_n</f>
        <v/>
      </c>
      <c r="R1476">
        <f>K1476-G1476*H1476/k_n</f>
        <v/>
      </c>
      <c r="S1476">
        <f>L1476-LTP3!$D$3*G1476/k_n</f>
        <v/>
      </c>
      <c r="T1476">
        <f>M1476-LTP3!$D$3*H1476/k_n</f>
        <v/>
      </c>
      <c r="U1476">
        <f>N1476-G1476*LTP3!$D$4/k_n</f>
        <v/>
      </c>
      <c r="V1476">
        <f>O1476-H1476*LTP3!$D$4/k_n</f>
        <v/>
      </c>
      <c r="W1476">
        <f>((LTP3!$D$5)*((P1476)*(Q1476)-(R1476)*(R1476))-(S1476)*((S1476)*(Q1476)-(R1476)*(T1476))+(T1476)*((S1476)*(R1476)-(P1476)*(T1476)))</f>
        <v/>
      </c>
      <c r="X1476">
        <f>IF(ABS(W1476)&gt;1E-12,((LTP3!$D$6)*((P1476)*(Q1476)-(R1476)*(R1476))-(S1476)*((U1476)*(Q1476)-(R1476)*(V1476))+(T1476)*((U1476)*(R1476)-(P1476)*(V1476)))/W1476,0)</f>
        <v/>
      </c>
      <c r="Y1476">
        <f>IF(ABS(W1476)&gt;1E-12,((LTP3!$D$5)*((U1476)*(Q1476)-(R1476)*(V1476))-(LTP3!$D$6)*((S1476)*(Q1476)-(R1476)*(T1476))+(T1476)*((S1476)*(V1476)-(U1476)*(T1476)))/W1476,0)</f>
        <v/>
      </c>
      <c r="Z1476">
        <f>IF(ABS(W1476)&gt;1E-12,((LTP3!$D$5)*((P1476)*(V1476)-(U1476)*(R1476))-(S1476)*((S1476)*(V1476)-(U1476)*(T1476))+(LTP3!$D$6)*((S1476)*(R1476)-(P1476)*(T1476)))/W1476,0)</f>
        <v/>
      </c>
      <c r="AA1476">
        <f>LTP3!$D$7-X1476*LTP3!$D$6-Y1476*U1476-Z1476*V1476</f>
        <v/>
      </c>
      <c r="AB1476">
        <f>IF(AND(F1476,ABS(W1476)&gt;1E-12,Y1476&gt;0,Z1476&gt;0),AA1476,1E+300)</f>
        <v/>
      </c>
    </row>
    <row r="1477">
      <c r="A1477">
        <f>$B$3+$B$5*24</f>
        <v/>
      </c>
      <c r="B1477">
        <f>$B$3+$B$5*1</f>
        <v/>
      </c>
      <c r="C1477">
        <f>SUMPRODUCT(Calc!$K$3:$K$22*(Calc!$G$3:$G$22&lt;=A1477))</f>
        <v/>
      </c>
      <c r="D1477">
        <f>SUMPRODUCT(Calc!$K$3:$K$22*(Calc!$G$3:$G$22&gt;A1477)*(Calc!$G$3:$G$22&lt;B1477))</f>
        <v/>
      </c>
      <c r="E1477">
        <f>SUMPRODUCT(Calc!$K$3:$K$22*(Calc!$G$3:$G$22&gt;=B1477))</f>
        <v/>
      </c>
      <c r="F1477">
        <f>AND(k_n&gt;=5,B1477&gt;A1477+1E-9,C1477&gt;=2,D1477&gt;=1,E1477&gt;=2)</f>
        <v/>
      </c>
      <c r="G1477">
        <f>SUMPRODUCT(Calc!$K$3:$K$22*(Calc!$G$3:$G$22&gt;A1477)*(Calc!$G$3:$G$22-A1477))</f>
        <v/>
      </c>
      <c r="H1477">
        <f>SUMPRODUCT(Calc!$K$3:$K$22*(Calc!$G$3:$G$22&gt;B1477)*(Calc!$G$3:$G$22-B1477))</f>
        <v/>
      </c>
      <c r="I1477">
        <f>SUMPRODUCT(Calc!$K$3:$K$22*(Calc!$G$3:$G$22&gt;A1477)*(Calc!$G$3:$G$22-A1477)^2)</f>
        <v/>
      </c>
      <c r="J1477">
        <f>SUMPRODUCT(Calc!$K$3:$K$22*(Calc!$G$3:$G$22&gt;B1477)*(Calc!$G$3:$G$22-B1477)^2)</f>
        <v/>
      </c>
      <c r="K1477">
        <f>SUMPRODUCT(Calc!$K$3:$K$22*(Calc!$G$3:$G$22&gt;A1477)*(Calc!$G$3:$G$22-A1477)*(Calc!$G$3:$G$22&gt;B1477)*(Calc!$G$3:$G$22-B1477))</f>
        <v/>
      </c>
      <c r="L1477">
        <f>SUMPRODUCT(Calc!$K$3:$K$22*(Calc!$G$3:$G$22&gt;A1477)*(Calc!$G$3:$G$22-A1477)*Calc!$G$3:$G$22)</f>
        <v/>
      </c>
      <c r="M1477">
        <f>SUMPRODUCT(Calc!$K$3:$K$22*(Calc!$G$3:$G$22&gt;B1477)*(Calc!$G$3:$G$22-B1477)*Calc!$G$3:$G$22)</f>
        <v/>
      </c>
      <c r="N1477">
        <f>SUMPRODUCT(Calc!$K$3:$K$22*(Calc!$G$3:$G$22&gt;A1477)*(Calc!$G$3:$G$22-A1477)*Calc!$I$3:$I$22)</f>
        <v/>
      </c>
      <c r="O1477">
        <f>SUMPRODUCT(Calc!$K$3:$K$22*(Calc!$G$3:$G$22&gt;B1477)*(Calc!$G$3:$G$22-B1477)*Calc!$I$3:$I$22)</f>
        <v/>
      </c>
      <c r="P1477">
        <f>I1477-G1477^2/k_n</f>
        <v/>
      </c>
      <c r="Q1477">
        <f>J1477-H1477^2/k_n</f>
        <v/>
      </c>
      <c r="R1477">
        <f>K1477-G1477*H1477/k_n</f>
        <v/>
      </c>
      <c r="S1477">
        <f>L1477-LTP3!$D$3*G1477/k_n</f>
        <v/>
      </c>
      <c r="T1477">
        <f>M1477-LTP3!$D$3*H1477/k_n</f>
        <v/>
      </c>
      <c r="U1477">
        <f>N1477-G1477*LTP3!$D$4/k_n</f>
        <v/>
      </c>
      <c r="V1477">
        <f>O1477-H1477*LTP3!$D$4/k_n</f>
        <v/>
      </c>
      <c r="W1477">
        <f>((LTP3!$D$5)*((P1477)*(Q1477)-(R1477)*(R1477))-(S1477)*((S1477)*(Q1477)-(R1477)*(T1477))+(T1477)*((S1477)*(R1477)-(P1477)*(T1477)))</f>
        <v/>
      </c>
      <c r="X1477">
        <f>IF(ABS(W1477)&gt;1E-12,((LTP3!$D$6)*((P1477)*(Q1477)-(R1477)*(R1477))-(S1477)*((U1477)*(Q1477)-(R1477)*(V1477))+(T1477)*((U1477)*(R1477)-(P1477)*(V1477)))/W1477,0)</f>
        <v/>
      </c>
      <c r="Y1477">
        <f>IF(ABS(W1477)&gt;1E-12,((LTP3!$D$5)*((U1477)*(Q1477)-(R1477)*(V1477))-(LTP3!$D$6)*((S1477)*(Q1477)-(R1477)*(T1477))+(T1477)*((S1477)*(V1477)-(U1477)*(T1477)))/W1477,0)</f>
        <v/>
      </c>
      <c r="Z1477">
        <f>IF(ABS(W1477)&gt;1E-12,((LTP3!$D$5)*((P1477)*(V1477)-(U1477)*(R1477))-(S1477)*((S1477)*(V1477)-(U1477)*(T1477))+(LTP3!$D$6)*((S1477)*(R1477)-(P1477)*(T1477)))/W1477,0)</f>
        <v/>
      </c>
      <c r="AA1477">
        <f>LTP3!$D$7-X1477*LTP3!$D$6-Y1477*U1477-Z1477*V1477</f>
        <v/>
      </c>
      <c r="AB1477">
        <f>IF(AND(F1477,ABS(W1477)&gt;1E-12,Y1477&gt;0,Z1477&gt;0),AA1477,1E+300)</f>
        <v/>
      </c>
    </row>
    <row r="1478">
      <c r="A1478">
        <f>$B$3+$B$5*24</f>
        <v/>
      </c>
      <c r="B1478">
        <f>$B$3+$B$5*2</f>
        <v/>
      </c>
      <c r="C1478">
        <f>SUMPRODUCT(Calc!$K$3:$K$22*(Calc!$G$3:$G$22&lt;=A1478))</f>
        <v/>
      </c>
      <c r="D1478">
        <f>SUMPRODUCT(Calc!$K$3:$K$22*(Calc!$G$3:$G$22&gt;A1478)*(Calc!$G$3:$G$22&lt;B1478))</f>
        <v/>
      </c>
      <c r="E1478">
        <f>SUMPRODUCT(Calc!$K$3:$K$22*(Calc!$G$3:$G$22&gt;=B1478))</f>
        <v/>
      </c>
      <c r="F1478">
        <f>AND(k_n&gt;=5,B1478&gt;A1478+1E-9,C1478&gt;=2,D1478&gt;=1,E1478&gt;=2)</f>
        <v/>
      </c>
      <c r="G1478">
        <f>SUMPRODUCT(Calc!$K$3:$K$22*(Calc!$G$3:$G$22&gt;A1478)*(Calc!$G$3:$G$22-A1478))</f>
        <v/>
      </c>
      <c r="H1478">
        <f>SUMPRODUCT(Calc!$K$3:$K$22*(Calc!$G$3:$G$22&gt;B1478)*(Calc!$G$3:$G$22-B1478))</f>
        <v/>
      </c>
      <c r="I1478">
        <f>SUMPRODUCT(Calc!$K$3:$K$22*(Calc!$G$3:$G$22&gt;A1478)*(Calc!$G$3:$G$22-A1478)^2)</f>
        <v/>
      </c>
      <c r="J1478">
        <f>SUMPRODUCT(Calc!$K$3:$K$22*(Calc!$G$3:$G$22&gt;B1478)*(Calc!$G$3:$G$22-B1478)^2)</f>
        <v/>
      </c>
      <c r="K1478">
        <f>SUMPRODUCT(Calc!$K$3:$K$22*(Calc!$G$3:$G$22&gt;A1478)*(Calc!$G$3:$G$22-A1478)*(Calc!$G$3:$G$22&gt;B1478)*(Calc!$G$3:$G$22-B1478))</f>
        <v/>
      </c>
      <c r="L1478">
        <f>SUMPRODUCT(Calc!$K$3:$K$22*(Calc!$G$3:$G$22&gt;A1478)*(Calc!$G$3:$G$22-A1478)*Calc!$G$3:$G$22)</f>
        <v/>
      </c>
      <c r="M1478">
        <f>SUMPRODUCT(Calc!$K$3:$K$22*(Calc!$G$3:$G$22&gt;B1478)*(Calc!$G$3:$G$22-B1478)*Calc!$G$3:$G$22)</f>
        <v/>
      </c>
      <c r="N1478">
        <f>SUMPRODUCT(Calc!$K$3:$K$22*(Calc!$G$3:$G$22&gt;A1478)*(Calc!$G$3:$G$22-A1478)*Calc!$I$3:$I$22)</f>
        <v/>
      </c>
      <c r="O1478">
        <f>SUMPRODUCT(Calc!$K$3:$K$22*(Calc!$G$3:$G$22&gt;B1478)*(Calc!$G$3:$G$22-B1478)*Calc!$I$3:$I$22)</f>
        <v/>
      </c>
      <c r="P1478">
        <f>I1478-G1478^2/k_n</f>
        <v/>
      </c>
      <c r="Q1478">
        <f>J1478-H1478^2/k_n</f>
        <v/>
      </c>
      <c r="R1478">
        <f>K1478-G1478*H1478/k_n</f>
        <v/>
      </c>
      <c r="S1478">
        <f>L1478-LTP3!$D$3*G1478/k_n</f>
        <v/>
      </c>
      <c r="T1478">
        <f>M1478-LTP3!$D$3*H1478/k_n</f>
        <v/>
      </c>
      <c r="U1478">
        <f>N1478-G1478*LTP3!$D$4/k_n</f>
        <v/>
      </c>
      <c r="V1478">
        <f>O1478-H1478*LTP3!$D$4/k_n</f>
        <v/>
      </c>
      <c r="W1478">
        <f>((LTP3!$D$5)*((P1478)*(Q1478)-(R1478)*(R1478))-(S1478)*((S1478)*(Q1478)-(R1478)*(T1478))+(T1478)*((S1478)*(R1478)-(P1478)*(T1478)))</f>
        <v/>
      </c>
      <c r="X1478">
        <f>IF(ABS(W1478)&gt;1E-12,((LTP3!$D$6)*((P1478)*(Q1478)-(R1478)*(R1478))-(S1478)*((U1478)*(Q1478)-(R1478)*(V1478))+(T1478)*((U1478)*(R1478)-(P1478)*(V1478)))/W1478,0)</f>
        <v/>
      </c>
      <c r="Y1478">
        <f>IF(ABS(W1478)&gt;1E-12,((LTP3!$D$5)*((U1478)*(Q1478)-(R1478)*(V1478))-(LTP3!$D$6)*((S1478)*(Q1478)-(R1478)*(T1478))+(T1478)*((S1478)*(V1478)-(U1478)*(T1478)))/W1478,0)</f>
        <v/>
      </c>
      <c r="Z1478">
        <f>IF(ABS(W1478)&gt;1E-12,((LTP3!$D$5)*((P1478)*(V1478)-(U1478)*(R1478))-(S1478)*((S1478)*(V1478)-(U1478)*(T1478))+(LTP3!$D$6)*((S1478)*(R1478)-(P1478)*(T1478)))/W1478,0)</f>
        <v/>
      </c>
      <c r="AA1478">
        <f>LTP3!$D$7-X1478*LTP3!$D$6-Y1478*U1478-Z1478*V1478</f>
        <v/>
      </c>
      <c r="AB1478">
        <f>IF(AND(F1478,ABS(W1478)&gt;1E-12,Y1478&gt;0,Z1478&gt;0),AA1478,1E+300)</f>
        <v/>
      </c>
    </row>
    <row r="1479">
      <c r="A1479">
        <f>$B$3+$B$5*24</f>
        <v/>
      </c>
      <c r="B1479">
        <f>$B$3+$B$5*3</f>
        <v/>
      </c>
      <c r="C1479">
        <f>SUMPRODUCT(Calc!$K$3:$K$22*(Calc!$G$3:$G$22&lt;=A1479))</f>
        <v/>
      </c>
      <c r="D1479">
        <f>SUMPRODUCT(Calc!$K$3:$K$22*(Calc!$G$3:$G$22&gt;A1479)*(Calc!$G$3:$G$22&lt;B1479))</f>
        <v/>
      </c>
      <c r="E1479">
        <f>SUMPRODUCT(Calc!$K$3:$K$22*(Calc!$G$3:$G$22&gt;=B1479))</f>
        <v/>
      </c>
      <c r="F1479">
        <f>AND(k_n&gt;=5,B1479&gt;A1479+1E-9,C1479&gt;=2,D1479&gt;=1,E1479&gt;=2)</f>
        <v/>
      </c>
      <c r="G1479">
        <f>SUMPRODUCT(Calc!$K$3:$K$22*(Calc!$G$3:$G$22&gt;A1479)*(Calc!$G$3:$G$22-A1479))</f>
        <v/>
      </c>
      <c r="H1479">
        <f>SUMPRODUCT(Calc!$K$3:$K$22*(Calc!$G$3:$G$22&gt;B1479)*(Calc!$G$3:$G$22-B1479))</f>
        <v/>
      </c>
      <c r="I1479">
        <f>SUMPRODUCT(Calc!$K$3:$K$22*(Calc!$G$3:$G$22&gt;A1479)*(Calc!$G$3:$G$22-A1479)^2)</f>
        <v/>
      </c>
      <c r="J1479">
        <f>SUMPRODUCT(Calc!$K$3:$K$22*(Calc!$G$3:$G$22&gt;B1479)*(Calc!$G$3:$G$22-B1479)^2)</f>
        <v/>
      </c>
      <c r="K1479">
        <f>SUMPRODUCT(Calc!$K$3:$K$22*(Calc!$G$3:$G$22&gt;A1479)*(Calc!$G$3:$G$22-A1479)*(Calc!$G$3:$G$22&gt;B1479)*(Calc!$G$3:$G$22-B1479))</f>
        <v/>
      </c>
      <c r="L1479">
        <f>SUMPRODUCT(Calc!$K$3:$K$22*(Calc!$G$3:$G$22&gt;A1479)*(Calc!$G$3:$G$22-A1479)*Calc!$G$3:$G$22)</f>
        <v/>
      </c>
      <c r="M1479">
        <f>SUMPRODUCT(Calc!$K$3:$K$22*(Calc!$G$3:$G$22&gt;B1479)*(Calc!$G$3:$G$22-B1479)*Calc!$G$3:$G$22)</f>
        <v/>
      </c>
      <c r="N1479">
        <f>SUMPRODUCT(Calc!$K$3:$K$22*(Calc!$G$3:$G$22&gt;A1479)*(Calc!$G$3:$G$22-A1479)*Calc!$I$3:$I$22)</f>
        <v/>
      </c>
      <c r="O1479">
        <f>SUMPRODUCT(Calc!$K$3:$K$22*(Calc!$G$3:$G$22&gt;B1479)*(Calc!$G$3:$G$22-B1479)*Calc!$I$3:$I$22)</f>
        <v/>
      </c>
      <c r="P1479">
        <f>I1479-G1479^2/k_n</f>
        <v/>
      </c>
      <c r="Q1479">
        <f>J1479-H1479^2/k_n</f>
        <v/>
      </c>
      <c r="R1479">
        <f>K1479-G1479*H1479/k_n</f>
        <v/>
      </c>
      <c r="S1479">
        <f>L1479-LTP3!$D$3*G1479/k_n</f>
        <v/>
      </c>
      <c r="T1479">
        <f>M1479-LTP3!$D$3*H1479/k_n</f>
        <v/>
      </c>
      <c r="U1479">
        <f>N1479-G1479*LTP3!$D$4/k_n</f>
        <v/>
      </c>
      <c r="V1479">
        <f>O1479-H1479*LTP3!$D$4/k_n</f>
        <v/>
      </c>
      <c r="W1479">
        <f>((LTP3!$D$5)*((P1479)*(Q1479)-(R1479)*(R1479))-(S1479)*((S1479)*(Q1479)-(R1479)*(T1479))+(T1479)*((S1479)*(R1479)-(P1479)*(T1479)))</f>
        <v/>
      </c>
      <c r="X1479">
        <f>IF(ABS(W1479)&gt;1E-12,((LTP3!$D$6)*((P1479)*(Q1479)-(R1479)*(R1479))-(S1479)*((U1479)*(Q1479)-(R1479)*(V1479))+(T1479)*((U1479)*(R1479)-(P1479)*(V1479)))/W1479,0)</f>
        <v/>
      </c>
      <c r="Y1479">
        <f>IF(ABS(W1479)&gt;1E-12,((LTP3!$D$5)*((U1479)*(Q1479)-(R1479)*(V1479))-(LTP3!$D$6)*((S1479)*(Q1479)-(R1479)*(T1479))+(T1479)*((S1479)*(V1479)-(U1479)*(T1479)))/W1479,0)</f>
        <v/>
      </c>
      <c r="Z1479">
        <f>IF(ABS(W1479)&gt;1E-12,((LTP3!$D$5)*((P1479)*(V1479)-(U1479)*(R1479))-(S1479)*((S1479)*(V1479)-(U1479)*(T1479))+(LTP3!$D$6)*((S1479)*(R1479)-(P1479)*(T1479)))/W1479,0)</f>
        <v/>
      </c>
      <c r="AA1479">
        <f>LTP3!$D$7-X1479*LTP3!$D$6-Y1479*U1479-Z1479*V1479</f>
        <v/>
      </c>
      <c r="AB1479">
        <f>IF(AND(F1479,ABS(W1479)&gt;1E-12,Y1479&gt;0,Z1479&gt;0),AA1479,1E+300)</f>
        <v/>
      </c>
    </row>
    <row r="1480">
      <c r="A1480">
        <f>$B$3+$B$5*24</f>
        <v/>
      </c>
      <c r="B1480">
        <f>$B$3+$B$5*4</f>
        <v/>
      </c>
      <c r="C1480">
        <f>SUMPRODUCT(Calc!$K$3:$K$22*(Calc!$G$3:$G$22&lt;=A1480))</f>
        <v/>
      </c>
      <c r="D1480">
        <f>SUMPRODUCT(Calc!$K$3:$K$22*(Calc!$G$3:$G$22&gt;A1480)*(Calc!$G$3:$G$22&lt;B1480))</f>
        <v/>
      </c>
      <c r="E1480">
        <f>SUMPRODUCT(Calc!$K$3:$K$22*(Calc!$G$3:$G$22&gt;=B1480))</f>
        <v/>
      </c>
      <c r="F1480">
        <f>AND(k_n&gt;=5,B1480&gt;A1480+1E-9,C1480&gt;=2,D1480&gt;=1,E1480&gt;=2)</f>
        <v/>
      </c>
      <c r="G1480">
        <f>SUMPRODUCT(Calc!$K$3:$K$22*(Calc!$G$3:$G$22&gt;A1480)*(Calc!$G$3:$G$22-A1480))</f>
        <v/>
      </c>
      <c r="H1480">
        <f>SUMPRODUCT(Calc!$K$3:$K$22*(Calc!$G$3:$G$22&gt;B1480)*(Calc!$G$3:$G$22-B1480))</f>
        <v/>
      </c>
      <c r="I1480">
        <f>SUMPRODUCT(Calc!$K$3:$K$22*(Calc!$G$3:$G$22&gt;A1480)*(Calc!$G$3:$G$22-A1480)^2)</f>
        <v/>
      </c>
      <c r="J1480">
        <f>SUMPRODUCT(Calc!$K$3:$K$22*(Calc!$G$3:$G$22&gt;B1480)*(Calc!$G$3:$G$22-B1480)^2)</f>
        <v/>
      </c>
      <c r="K1480">
        <f>SUMPRODUCT(Calc!$K$3:$K$22*(Calc!$G$3:$G$22&gt;A1480)*(Calc!$G$3:$G$22-A1480)*(Calc!$G$3:$G$22&gt;B1480)*(Calc!$G$3:$G$22-B1480))</f>
        <v/>
      </c>
      <c r="L1480">
        <f>SUMPRODUCT(Calc!$K$3:$K$22*(Calc!$G$3:$G$22&gt;A1480)*(Calc!$G$3:$G$22-A1480)*Calc!$G$3:$G$22)</f>
        <v/>
      </c>
      <c r="M1480">
        <f>SUMPRODUCT(Calc!$K$3:$K$22*(Calc!$G$3:$G$22&gt;B1480)*(Calc!$G$3:$G$22-B1480)*Calc!$G$3:$G$22)</f>
        <v/>
      </c>
      <c r="N1480">
        <f>SUMPRODUCT(Calc!$K$3:$K$22*(Calc!$G$3:$G$22&gt;A1480)*(Calc!$G$3:$G$22-A1480)*Calc!$I$3:$I$22)</f>
        <v/>
      </c>
      <c r="O1480">
        <f>SUMPRODUCT(Calc!$K$3:$K$22*(Calc!$G$3:$G$22&gt;B1480)*(Calc!$G$3:$G$22-B1480)*Calc!$I$3:$I$22)</f>
        <v/>
      </c>
      <c r="P1480">
        <f>I1480-G1480^2/k_n</f>
        <v/>
      </c>
      <c r="Q1480">
        <f>J1480-H1480^2/k_n</f>
        <v/>
      </c>
      <c r="R1480">
        <f>K1480-G1480*H1480/k_n</f>
        <v/>
      </c>
      <c r="S1480">
        <f>L1480-LTP3!$D$3*G1480/k_n</f>
        <v/>
      </c>
      <c r="T1480">
        <f>M1480-LTP3!$D$3*H1480/k_n</f>
        <v/>
      </c>
      <c r="U1480">
        <f>N1480-G1480*LTP3!$D$4/k_n</f>
        <v/>
      </c>
      <c r="V1480">
        <f>O1480-H1480*LTP3!$D$4/k_n</f>
        <v/>
      </c>
      <c r="W1480">
        <f>((LTP3!$D$5)*((P1480)*(Q1480)-(R1480)*(R1480))-(S1480)*((S1480)*(Q1480)-(R1480)*(T1480))+(T1480)*((S1480)*(R1480)-(P1480)*(T1480)))</f>
        <v/>
      </c>
      <c r="X1480">
        <f>IF(ABS(W1480)&gt;1E-12,((LTP3!$D$6)*((P1480)*(Q1480)-(R1480)*(R1480))-(S1480)*((U1480)*(Q1480)-(R1480)*(V1480))+(T1480)*((U1480)*(R1480)-(P1480)*(V1480)))/W1480,0)</f>
        <v/>
      </c>
      <c r="Y1480">
        <f>IF(ABS(W1480)&gt;1E-12,((LTP3!$D$5)*((U1480)*(Q1480)-(R1480)*(V1480))-(LTP3!$D$6)*((S1480)*(Q1480)-(R1480)*(T1480))+(T1480)*((S1480)*(V1480)-(U1480)*(T1480)))/W1480,0)</f>
        <v/>
      </c>
      <c r="Z1480">
        <f>IF(ABS(W1480)&gt;1E-12,((LTP3!$D$5)*((P1480)*(V1480)-(U1480)*(R1480))-(S1480)*((S1480)*(V1480)-(U1480)*(T1480))+(LTP3!$D$6)*((S1480)*(R1480)-(P1480)*(T1480)))/W1480,0)</f>
        <v/>
      </c>
      <c r="AA1480">
        <f>LTP3!$D$7-X1480*LTP3!$D$6-Y1480*U1480-Z1480*V1480</f>
        <v/>
      </c>
      <c r="AB1480">
        <f>IF(AND(F1480,ABS(W1480)&gt;1E-12,Y1480&gt;0,Z1480&gt;0),AA1480,1E+300)</f>
        <v/>
      </c>
    </row>
    <row r="1481">
      <c r="A1481">
        <f>$B$3+$B$5*24</f>
        <v/>
      </c>
      <c r="B1481">
        <f>$B$3+$B$5*5</f>
        <v/>
      </c>
      <c r="C1481">
        <f>SUMPRODUCT(Calc!$K$3:$K$22*(Calc!$G$3:$G$22&lt;=A1481))</f>
        <v/>
      </c>
      <c r="D1481">
        <f>SUMPRODUCT(Calc!$K$3:$K$22*(Calc!$G$3:$G$22&gt;A1481)*(Calc!$G$3:$G$22&lt;B1481))</f>
        <v/>
      </c>
      <c r="E1481">
        <f>SUMPRODUCT(Calc!$K$3:$K$22*(Calc!$G$3:$G$22&gt;=B1481))</f>
        <v/>
      </c>
      <c r="F1481">
        <f>AND(k_n&gt;=5,B1481&gt;A1481+1E-9,C1481&gt;=2,D1481&gt;=1,E1481&gt;=2)</f>
        <v/>
      </c>
      <c r="G1481">
        <f>SUMPRODUCT(Calc!$K$3:$K$22*(Calc!$G$3:$G$22&gt;A1481)*(Calc!$G$3:$G$22-A1481))</f>
        <v/>
      </c>
      <c r="H1481">
        <f>SUMPRODUCT(Calc!$K$3:$K$22*(Calc!$G$3:$G$22&gt;B1481)*(Calc!$G$3:$G$22-B1481))</f>
        <v/>
      </c>
      <c r="I1481">
        <f>SUMPRODUCT(Calc!$K$3:$K$22*(Calc!$G$3:$G$22&gt;A1481)*(Calc!$G$3:$G$22-A1481)^2)</f>
        <v/>
      </c>
      <c r="J1481">
        <f>SUMPRODUCT(Calc!$K$3:$K$22*(Calc!$G$3:$G$22&gt;B1481)*(Calc!$G$3:$G$22-B1481)^2)</f>
        <v/>
      </c>
      <c r="K1481">
        <f>SUMPRODUCT(Calc!$K$3:$K$22*(Calc!$G$3:$G$22&gt;A1481)*(Calc!$G$3:$G$22-A1481)*(Calc!$G$3:$G$22&gt;B1481)*(Calc!$G$3:$G$22-B1481))</f>
        <v/>
      </c>
      <c r="L1481">
        <f>SUMPRODUCT(Calc!$K$3:$K$22*(Calc!$G$3:$G$22&gt;A1481)*(Calc!$G$3:$G$22-A1481)*Calc!$G$3:$G$22)</f>
        <v/>
      </c>
      <c r="M1481">
        <f>SUMPRODUCT(Calc!$K$3:$K$22*(Calc!$G$3:$G$22&gt;B1481)*(Calc!$G$3:$G$22-B1481)*Calc!$G$3:$G$22)</f>
        <v/>
      </c>
      <c r="N1481">
        <f>SUMPRODUCT(Calc!$K$3:$K$22*(Calc!$G$3:$G$22&gt;A1481)*(Calc!$G$3:$G$22-A1481)*Calc!$I$3:$I$22)</f>
        <v/>
      </c>
      <c r="O1481">
        <f>SUMPRODUCT(Calc!$K$3:$K$22*(Calc!$G$3:$G$22&gt;B1481)*(Calc!$G$3:$G$22-B1481)*Calc!$I$3:$I$22)</f>
        <v/>
      </c>
      <c r="P1481">
        <f>I1481-G1481^2/k_n</f>
        <v/>
      </c>
      <c r="Q1481">
        <f>J1481-H1481^2/k_n</f>
        <v/>
      </c>
      <c r="R1481">
        <f>K1481-G1481*H1481/k_n</f>
        <v/>
      </c>
      <c r="S1481">
        <f>L1481-LTP3!$D$3*G1481/k_n</f>
        <v/>
      </c>
      <c r="T1481">
        <f>M1481-LTP3!$D$3*H1481/k_n</f>
        <v/>
      </c>
      <c r="U1481">
        <f>N1481-G1481*LTP3!$D$4/k_n</f>
        <v/>
      </c>
      <c r="V1481">
        <f>O1481-H1481*LTP3!$D$4/k_n</f>
        <v/>
      </c>
      <c r="W1481">
        <f>((LTP3!$D$5)*((P1481)*(Q1481)-(R1481)*(R1481))-(S1481)*((S1481)*(Q1481)-(R1481)*(T1481))+(T1481)*((S1481)*(R1481)-(P1481)*(T1481)))</f>
        <v/>
      </c>
      <c r="X1481">
        <f>IF(ABS(W1481)&gt;1E-12,((LTP3!$D$6)*((P1481)*(Q1481)-(R1481)*(R1481))-(S1481)*((U1481)*(Q1481)-(R1481)*(V1481))+(T1481)*((U1481)*(R1481)-(P1481)*(V1481)))/W1481,0)</f>
        <v/>
      </c>
      <c r="Y1481">
        <f>IF(ABS(W1481)&gt;1E-12,((LTP3!$D$5)*((U1481)*(Q1481)-(R1481)*(V1481))-(LTP3!$D$6)*((S1481)*(Q1481)-(R1481)*(T1481))+(T1481)*((S1481)*(V1481)-(U1481)*(T1481)))/W1481,0)</f>
        <v/>
      </c>
      <c r="Z1481">
        <f>IF(ABS(W1481)&gt;1E-12,((LTP3!$D$5)*((P1481)*(V1481)-(U1481)*(R1481))-(S1481)*((S1481)*(V1481)-(U1481)*(T1481))+(LTP3!$D$6)*((S1481)*(R1481)-(P1481)*(T1481)))/W1481,0)</f>
        <v/>
      </c>
      <c r="AA1481">
        <f>LTP3!$D$7-X1481*LTP3!$D$6-Y1481*U1481-Z1481*V1481</f>
        <v/>
      </c>
      <c r="AB1481">
        <f>IF(AND(F1481,ABS(W1481)&gt;1E-12,Y1481&gt;0,Z1481&gt;0),AA1481,1E+300)</f>
        <v/>
      </c>
    </row>
    <row r="1482">
      <c r="A1482">
        <f>$B$3+$B$5*24</f>
        <v/>
      </c>
      <c r="B1482">
        <f>$B$3+$B$5*6</f>
        <v/>
      </c>
      <c r="C1482">
        <f>SUMPRODUCT(Calc!$K$3:$K$22*(Calc!$G$3:$G$22&lt;=A1482))</f>
        <v/>
      </c>
      <c r="D1482">
        <f>SUMPRODUCT(Calc!$K$3:$K$22*(Calc!$G$3:$G$22&gt;A1482)*(Calc!$G$3:$G$22&lt;B1482))</f>
        <v/>
      </c>
      <c r="E1482">
        <f>SUMPRODUCT(Calc!$K$3:$K$22*(Calc!$G$3:$G$22&gt;=B1482))</f>
        <v/>
      </c>
      <c r="F1482">
        <f>AND(k_n&gt;=5,B1482&gt;A1482+1E-9,C1482&gt;=2,D1482&gt;=1,E1482&gt;=2)</f>
        <v/>
      </c>
      <c r="G1482">
        <f>SUMPRODUCT(Calc!$K$3:$K$22*(Calc!$G$3:$G$22&gt;A1482)*(Calc!$G$3:$G$22-A1482))</f>
        <v/>
      </c>
      <c r="H1482">
        <f>SUMPRODUCT(Calc!$K$3:$K$22*(Calc!$G$3:$G$22&gt;B1482)*(Calc!$G$3:$G$22-B1482))</f>
        <v/>
      </c>
      <c r="I1482">
        <f>SUMPRODUCT(Calc!$K$3:$K$22*(Calc!$G$3:$G$22&gt;A1482)*(Calc!$G$3:$G$22-A1482)^2)</f>
        <v/>
      </c>
      <c r="J1482">
        <f>SUMPRODUCT(Calc!$K$3:$K$22*(Calc!$G$3:$G$22&gt;B1482)*(Calc!$G$3:$G$22-B1482)^2)</f>
        <v/>
      </c>
      <c r="K1482">
        <f>SUMPRODUCT(Calc!$K$3:$K$22*(Calc!$G$3:$G$22&gt;A1482)*(Calc!$G$3:$G$22-A1482)*(Calc!$G$3:$G$22&gt;B1482)*(Calc!$G$3:$G$22-B1482))</f>
        <v/>
      </c>
      <c r="L1482">
        <f>SUMPRODUCT(Calc!$K$3:$K$22*(Calc!$G$3:$G$22&gt;A1482)*(Calc!$G$3:$G$22-A1482)*Calc!$G$3:$G$22)</f>
        <v/>
      </c>
      <c r="M1482">
        <f>SUMPRODUCT(Calc!$K$3:$K$22*(Calc!$G$3:$G$22&gt;B1482)*(Calc!$G$3:$G$22-B1482)*Calc!$G$3:$G$22)</f>
        <v/>
      </c>
      <c r="N1482">
        <f>SUMPRODUCT(Calc!$K$3:$K$22*(Calc!$G$3:$G$22&gt;A1482)*(Calc!$G$3:$G$22-A1482)*Calc!$I$3:$I$22)</f>
        <v/>
      </c>
      <c r="O1482">
        <f>SUMPRODUCT(Calc!$K$3:$K$22*(Calc!$G$3:$G$22&gt;B1482)*(Calc!$G$3:$G$22-B1482)*Calc!$I$3:$I$22)</f>
        <v/>
      </c>
      <c r="P1482">
        <f>I1482-G1482^2/k_n</f>
        <v/>
      </c>
      <c r="Q1482">
        <f>J1482-H1482^2/k_n</f>
        <v/>
      </c>
      <c r="R1482">
        <f>K1482-G1482*H1482/k_n</f>
        <v/>
      </c>
      <c r="S1482">
        <f>L1482-LTP3!$D$3*G1482/k_n</f>
        <v/>
      </c>
      <c r="T1482">
        <f>M1482-LTP3!$D$3*H1482/k_n</f>
        <v/>
      </c>
      <c r="U1482">
        <f>N1482-G1482*LTP3!$D$4/k_n</f>
        <v/>
      </c>
      <c r="V1482">
        <f>O1482-H1482*LTP3!$D$4/k_n</f>
        <v/>
      </c>
      <c r="W1482">
        <f>((LTP3!$D$5)*((P1482)*(Q1482)-(R1482)*(R1482))-(S1482)*((S1482)*(Q1482)-(R1482)*(T1482))+(T1482)*((S1482)*(R1482)-(P1482)*(T1482)))</f>
        <v/>
      </c>
      <c r="X1482">
        <f>IF(ABS(W1482)&gt;1E-12,((LTP3!$D$6)*((P1482)*(Q1482)-(R1482)*(R1482))-(S1482)*((U1482)*(Q1482)-(R1482)*(V1482))+(T1482)*((U1482)*(R1482)-(P1482)*(V1482)))/W1482,0)</f>
        <v/>
      </c>
      <c r="Y1482">
        <f>IF(ABS(W1482)&gt;1E-12,((LTP3!$D$5)*((U1482)*(Q1482)-(R1482)*(V1482))-(LTP3!$D$6)*((S1482)*(Q1482)-(R1482)*(T1482))+(T1482)*((S1482)*(V1482)-(U1482)*(T1482)))/W1482,0)</f>
        <v/>
      </c>
      <c r="Z1482">
        <f>IF(ABS(W1482)&gt;1E-12,((LTP3!$D$5)*((P1482)*(V1482)-(U1482)*(R1482))-(S1482)*((S1482)*(V1482)-(U1482)*(T1482))+(LTP3!$D$6)*((S1482)*(R1482)-(P1482)*(T1482)))/W1482,0)</f>
        <v/>
      </c>
      <c r="AA1482">
        <f>LTP3!$D$7-X1482*LTP3!$D$6-Y1482*U1482-Z1482*V1482</f>
        <v/>
      </c>
      <c r="AB1482">
        <f>IF(AND(F1482,ABS(W1482)&gt;1E-12,Y1482&gt;0,Z1482&gt;0),AA1482,1E+300)</f>
        <v/>
      </c>
    </row>
    <row r="1483">
      <c r="A1483">
        <f>$B$3+$B$5*24</f>
        <v/>
      </c>
      <c r="B1483">
        <f>$B$3+$B$5*7</f>
        <v/>
      </c>
      <c r="C1483">
        <f>SUMPRODUCT(Calc!$K$3:$K$22*(Calc!$G$3:$G$22&lt;=A1483))</f>
        <v/>
      </c>
      <c r="D1483">
        <f>SUMPRODUCT(Calc!$K$3:$K$22*(Calc!$G$3:$G$22&gt;A1483)*(Calc!$G$3:$G$22&lt;B1483))</f>
        <v/>
      </c>
      <c r="E1483">
        <f>SUMPRODUCT(Calc!$K$3:$K$22*(Calc!$G$3:$G$22&gt;=B1483))</f>
        <v/>
      </c>
      <c r="F1483">
        <f>AND(k_n&gt;=5,B1483&gt;A1483+1E-9,C1483&gt;=2,D1483&gt;=1,E1483&gt;=2)</f>
        <v/>
      </c>
      <c r="G1483">
        <f>SUMPRODUCT(Calc!$K$3:$K$22*(Calc!$G$3:$G$22&gt;A1483)*(Calc!$G$3:$G$22-A1483))</f>
        <v/>
      </c>
      <c r="H1483">
        <f>SUMPRODUCT(Calc!$K$3:$K$22*(Calc!$G$3:$G$22&gt;B1483)*(Calc!$G$3:$G$22-B1483))</f>
        <v/>
      </c>
      <c r="I1483">
        <f>SUMPRODUCT(Calc!$K$3:$K$22*(Calc!$G$3:$G$22&gt;A1483)*(Calc!$G$3:$G$22-A1483)^2)</f>
        <v/>
      </c>
      <c r="J1483">
        <f>SUMPRODUCT(Calc!$K$3:$K$22*(Calc!$G$3:$G$22&gt;B1483)*(Calc!$G$3:$G$22-B1483)^2)</f>
        <v/>
      </c>
      <c r="K1483">
        <f>SUMPRODUCT(Calc!$K$3:$K$22*(Calc!$G$3:$G$22&gt;A1483)*(Calc!$G$3:$G$22-A1483)*(Calc!$G$3:$G$22&gt;B1483)*(Calc!$G$3:$G$22-B1483))</f>
        <v/>
      </c>
      <c r="L1483">
        <f>SUMPRODUCT(Calc!$K$3:$K$22*(Calc!$G$3:$G$22&gt;A1483)*(Calc!$G$3:$G$22-A1483)*Calc!$G$3:$G$22)</f>
        <v/>
      </c>
      <c r="M1483">
        <f>SUMPRODUCT(Calc!$K$3:$K$22*(Calc!$G$3:$G$22&gt;B1483)*(Calc!$G$3:$G$22-B1483)*Calc!$G$3:$G$22)</f>
        <v/>
      </c>
      <c r="N1483">
        <f>SUMPRODUCT(Calc!$K$3:$K$22*(Calc!$G$3:$G$22&gt;A1483)*(Calc!$G$3:$G$22-A1483)*Calc!$I$3:$I$22)</f>
        <v/>
      </c>
      <c r="O1483">
        <f>SUMPRODUCT(Calc!$K$3:$K$22*(Calc!$G$3:$G$22&gt;B1483)*(Calc!$G$3:$G$22-B1483)*Calc!$I$3:$I$22)</f>
        <v/>
      </c>
      <c r="P1483">
        <f>I1483-G1483^2/k_n</f>
        <v/>
      </c>
      <c r="Q1483">
        <f>J1483-H1483^2/k_n</f>
        <v/>
      </c>
      <c r="R1483">
        <f>K1483-G1483*H1483/k_n</f>
        <v/>
      </c>
      <c r="S1483">
        <f>L1483-LTP3!$D$3*G1483/k_n</f>
        <v/>
      </c>
      <c r="T1483">
        <f>M1483-LTP3!$D$3*H1483/k_n</f>
        <v/>
      </c>
      <c r="U1483">
        <f>N1483-G1483*LTP3!$D$4/k_n</f>
        <v/>
      </c>
      <c r="V1483">
        <f>O1483-H1483*LTP3!$D$4/k_n</f>
        <v/>
      </c>
      <c r="W1483">
        <f>((LTP3!$D$5)*((P1483)*(Q1483)-(R1483)*(R1483))-(S1483)*((S1483)*(Q1483)-(R1483)*(T1483))+(T1483)*((S1483)*(R1483)-(P1483)*(T1483)))</f>
        <v/>
      </c>
      <c r="X1483">
        <f>IF(ABS(W1483)&gt;1E-12,((LTP3!$D$6)*((P1483)*(Q1483)-(R1483)*(R1483))-(S1483)*((U1483)*(Q1483)-(R1483)*(V1483))+(T1483)*((U1483)*(R1483)-(P1483)*(V1483)))/W1483,0)</f>
        <v/>
      </c>
      <c r="Y1483">
        <f>IF(ABS(W1483)&gt;1E-12,((LTP3!$D$5)*((U1483)*(Q1483)-(R1483)*(V1483))-(LTP3!$D$6)*((S1483)*(Q1483)-(R1483)*(T1483))+(T1483)*((S1483)*(V1483)-(U1483)*(T1483)))/W1483,0)</f>
        <v/>
      </c>
      <c r="Z1483">
        <f>IF(ABS(W1483)&gt;1E-12,((LTP3!$D$5)*((P1483)*(V1483)-(U1483)*(R1483))-(S1483)*((S1483)*(V1483)-(U1483)*(T1483))+(LTP3!$D$6)*((S1483)*(R1483)-(P1483)*(T1483)))/W1483,0)</f>
        <v/>
      </c>
      <c r="AA1483">
        <f>LTP3!$D$7-X1483*LTP3!$D$6-Y1483*U1483-Z1483*V1483</f>
        <v/>
      </c>
      <c r="AB1483">
        <f>IF(AND(F1483,ABS(W1483)&gt;1E-12,Y1483&gt;0,Z1483&gt;0),AA1483,1E+300)</f>
        <v/>
      </c>
    </row>
    <row r="1484">
      <c r="A1484">
        <f>$B$3+$B$5*24</f>
        <v/>
      </c>
      <c r="B1484">
        <f>$B$3+$B$5*8</f>
        <v/>
      </c>
      <c r="C1484">
        <f>SUMPRODUCT(Calc!$K$3:$K$22*(Calc!$G$3:$G$22&lt;=A1484))</f>
        <v/>
      </c>
      <c r="D1484">
        <f>SUMPRODUCT(Calc!$K$3:$K$22*(Calc!$G$3:$G$22&gt;A1484)*(Calc!$G$3:$G$22&lt;B1484))</f>
        <v/>
      </c>
      <c r="E1484">
        <f>SUMPRODUCT(Calc!$K$3:$K$22*(Calc!$G$3:$G$22&gt;=B1484))</f>
        <v/>
      </c>
      <c r="F1484">
        <f>AND(k_n&gt;=5,B1484&gt;A1484+1E-9,C1484&gt;=2,D1484&gt;=1,E1484&gt;=2)</f>
        <v/>
      </c>
      <c r="G1484">
        <f>SUMPRODUCT(Calc!$K$3:$K$22*(Calc!$G$3:$G$22&gt;A1484)*(Calc!$G$3:$G$22-A1484))</f>
        <v/>
      </c>
      <c r="H1484">
        <f>SUMPRODUCT(Calc!$K$3:$K$22*(Calc!$G$3:$G$22&gt;B1484)*(Calc!$G$3:$G$22-B1484))</f>
        <v/>
      </c>
      <c r="I1484">
        <f>SUMPRODUCT(Calc!$K$3:$K$22*(Calc!$G$3:$G$22&gt;A1484)*(Calc!$G$3:$G$22-A1484)^2)</f>
        <v/>
      </c>
      <c r="J1484">
        <f>SUMPRODUCT(Calc!$K$3:$K$22*(Calc!$G$3:$G$22&gt;B1484)*(Calc!$G$3:$G$22-B1484)^2)</f>
        <v/>
      </c>
      <c r="K1484">
        <f>SUMPRODUCT(Calc!$K$3:$K$22*(Calc!$G$3:$G$22&gt;A1484)*(Calc!$G$3:$G$22-A1484)*(Calc!$G$3:$G$22&gt;B1484)*(Calc!$G$3:$G$22-B1484))</f>
        <v/>
      </c>
      <c r="L1484">
        <f>SUMPRODUCT(Calc!$K$3:$K$22*(Calc!$G$3:$G$22&gt;A1484)*(Calc!$G$3:$G$22-A1484)*Calc!$G$3:$G$22)</f>
        <v/>
      </c>
      <c r="M1484">
        <f>SUMPRODUCT(Calc!$K$3:$K$22*(Calc!$G$3:$G$22&gt;B1484)*(Calc!$G$3:$G$22-B1484)*Calc!$G$3:$G$22)</f>
        <v/>
      </c>
      <c r="N1484">
        <f>SUMPRODUCT(Calc!$K$3:$K$22*(Calc!$G$3:$G$22&gt;A1484)*(Calc!$G$3:$G$22-A1484)*Calc!$I$3:$I$22)</f>
        <v/>
      </c>
      <c r="O1484">
        <f>SUMPRODUCT(Calc!$K$3:$K$22*(Calc!$G$3:$G$22&gt;B1484)*(Calc!$G$3:$G$22-B1484)*Calc!$I$3:$I$22)</f>
        <v/>
      </c>
      <c r="P1484">
        <f>I1484-G1484^2/k_n</f>
        <v/>
      </c>
      <c r="Q1484">
        <f>J1484-H1484^2/k_n</f>
        <v/>
      </c>
      <c r="R1484">
        <f>K1484-G1484*H1484/k_n</f>
        <v/>
      </c>
      <c r="S1484">
        <f>L1484-LTP3!$D$3*G1484/k_n</f>
        <v/>
      </c>
      <c r="T1484">
        <f>M1484-LTP3!$D$3*H1484/k_n</f>
        <v/>
      </c>
      <c r="U1484">
        <f>N1484-G1484*LTP3!$D$4/k_n</f>
        <v/>
      </c>
      <c r="V1484">
        <f>O1484-H1484*LTP3!$D$4/k_n</f>
        <v/>
      </c>
      <c r="W1484">
        <f>((LTP3!$D$5)*((P1484)*(Q1484)-(R1484)*(R1484))-(S1484)*((S1484)*(Q1484)-(R1484)*(T1484))+(T1484)*((S1484)*(R1484)-(P1484)*(T1484)))</f>
        <v/>
      </c>
      <c r="X1484">
        <f>IF(ABS(W1484)&gt;1E-12,((LTP3!$D$6)*((P1484)*(Q1484)-(R1484)*(R1484))-(S1484)*((U1484)*(Q1484)-(R1484)*(V1484))+(T1484)*((U1484)*(R1484)-(P1484)*(V1484)))/W1484,0)</f>
        <v/>
      </c>
      <c r="Y1484">
        <f>IF(ABS(W1484)&gt;1E-12,((LTP3!$D$5)*((U1484)*(Q1484)-(R1484)*(V1484))-(LTP3!$D$6)*((S1484)*(Q1484)-(R1484)*(T1484))+(T1484)*((S1484)*(V1484)-(U1484)*(T1484)))/W1484,0)</f>
        <v/>
      </c>
      <c r="Z1484">
        <f>IF(ABS(W1484)&gt;1E-12,((LTP3!$D$5)*((P1484)*(V1484)-(U1484)*(R1484))-(S1484)*((S1484)*(V1484)-(U1484)*(T1484))+(LTP3!$D$6)*((S1484)*(R1484)-(P1484)*(T1484)))/W1484,0)</f>
        <v/>
      </c>
      <c r="AA1484">
        <f>LTP3!$D$7-X1484*LTP3!$D$6-Y1484*U1484-Z1484*V1484</f>
        <v/>
      </c>
      <c r="AB1484">
        <f>IF(AND(F1484,ABS(W1484)&gt;1E-12,Y1484&gt;0,Z1484&gt;0),AA1484,1E+300)</f>
        <v/>
      </c>
    </row>
    <row r="1485">
      <c r="A1485">
        <f>$B$3+$B$5*24</f>
        <v/>
      </c>
      <c r="B1485">
        <f>$B$3+$B$5*9</f>
        <v/>
      </c>
      <c r="C1485">
        <f>SUMPRODUCT(Calc!$K$3:$K$22*(Calc!$G$3:$G$22&lt;=A1485))</f>
        <v/>
      </c>
      <c r="D1485">
        <f>SUMPRODUCT(Calc!$K$3:$K$22*(Calc!$G$3:$G$22&gt;A1485)*(Calc!$G$3:$G$22&lt;B1485))</f>
        <v/>
      </c>
      <c r="E1485">
        <f>SUMPRODUCT(Calc!$K$3:$K$22*(Calc!$G$3:$G$22&gt;=B1485))</f>
        <v/>
      </c>
      <c r="F1485">
        <f>AND(k_n&gt;=5,B1485&gt;A1485+1E-9,C1485&gt;=2,D1485&gt;=1,E1485&gt;=2)</f>
        <v/>
      </c>
      <c r="G1485">
        <f>SUMPRODUCT(Calc!$K$3:$K$22*(Calc!$G$3:$G$22&gt;A1485)*(Calc!$G$3:$G$22-A1485))</f>
        <v/>
      </c>
      <c r="H1485">
        <f>SUMPRODUCT(Calc!$K$3:$K$22*(Calc!$G$3:$G$22&gt;B1485)*(Calc!$G$3:$G$22-B1485))</f>
        <v/>
      </c>
      <c r="I1485">
        <f>SUMPRODUCT(Calc!$K$3:$K$22*(Calc!$G$3:$G$22&gt;A1485)*(Calc!$G$3:$G$22-A1485)^2)</f>
        <v/>
      </c>
      <c r="J1485">
        <f>SUMPRODUCT(Calc!$K$3:$K$22*(Calc!$G$3:$G$22&gt;B1485)*(Calc!$G$3:$G$22-B1485)^2)</f>
        <v/>
      </c>
      <c r="K1485">
        <f>SUMPRODUCT(Calc!$K$3:$K$22*(Calc!$G$3:$G$22&gt;A1485)*(Calc!$G$3:$G$22-A1485)*(Calc!$G$3:$G$22&gt;B1485)*(Calc!$G$3:$G$22-B1485))</f>
        <v/>
      </c>
      <c r="L1485">
        <f>SUMPRODUCT(Calc!$K$3:$K$22*(Calc!$G$3:$G$22&gt;A1485)*(Calc!$G$3:$G$22-A1485)*Calc!$G$3:$G$22)</f>
        <v/>
      </c>
      <c r="M1485">
        <f>SUMPRODUCT(Calc!$K$3:$K$22*(Calc!$G$3:$G$22&gt;B1485)*(Calc!$G$3:$G$22-B1485)*Calc!$G$3:$G$22)</f>
        <v/>
      </c>
      <c r="N1485">
        <f>SUMPRODUCT(Calc!$K$3:$K$22*(Calc!$G$3:$G$22&gt;A1485)*(Calc!$G$3:$G$22-A1485)*Calc!$I$3:$I$22)</f>
        <v/>
      </c>
      <c r="O1485">
        <f>SUMPRODUCT(Calc!$K$3:$K$22*(Calc!$G$3:$G$22&gt;B1485)*(Calc!$G$3:$G$22-B1485)*Calc!$I$3:$I$22)</f>
        <v/>
      </c>
      <c r="P1485">
        <f>I1485-G1485^2/k_n</f>
        <v/>
      </c>
      <c r="Q1485">
        <f>J1485-H1485^2/k_n</f>
        <v/>
      </c>
      <c r="R1485">
        <f>K1485-G1485*H1485/k_n</f>
        <v/>
      </c>
      <c r="S1485">
        <f>L1485-LTP3!$D$3*G1485/k_n</f>
        <v/>
      </c>
      <c r="T1485">
        <f>M1485-LTP3!$D$3*H1485/k_n</f>
        <v/>
      </c>
      <c r="U1485">
        <f>N1485-G1485*LTP3!$D$4/k_n</f>
        <v/>
      </c>
      <c r="V1485">
        <f>O1485-H1485*LTP3!$D$4/k_n</f>
        <v/>
      </c>
      <c r="W1485">
        <f>((LTP3!$D$5)*((P1485)*(Q1485)-(R1485)*(R1485))-(S1485)*((S1485)*(Q1485)-(R1485)*(T1485))+(T1485)*((S1485)*(R1485)-(P1485)*(T1485)))</f>
        <v/>
      </c>
      <c r="X1485">
        <f>IF(ABS(W1485)&gt;1E-12,((LTP3!$D$6)*((P1485)*(Q1485)-(R1485)*(R1485))-(S1485)*((U1485)*(Q1485)-(R1485)*(V1485))+(T1485)*((U1485)*(R1485)-(P1485)*(V1485)))/W1485,0)</f>
        <v/>
      </c>
      <c r="Y1485">
        <f>IF(ABS(W1485)&gt;1E-12,((LTP3!$D$5)*((U1485)*(Q1485)-(R1485)*(V1485))-(LTP3!$D$6)*((S1485)*(Q1485)-(R1485)*(T1485))+(T1485)*((S1485)*(V1485)-(U1485)*(T1485)))/W1485,0)</f>
        <v/>
      </c>
      <c r="Z1485">
        <f>IF(ABS(W1485)&gt;1E-12,((LTP3!$D$5)*((P1485)*(V1485)-(U1485)*(R1485))-(S1485)*((S1485)*(V1485)-(U1485)*(T1485))+(LTP3!$D$6)*((S1485)*(R1485)-(P1485)*(T1485)))/W1485,0)</f>
        <v/>
      </c>
      <c r="AA1485">
        <f>LTP3!$D$7-X1485*LTP3!$D$6-Y1485*U1485-Z1485*V1485</f>
        <v/>
      </c>
      <c r="AB1485">
        <f>IF(AND(F1485,ABS(W1485)&gt;1E-12,Y1485&gt;0,Z1485&gt;0),AA1485,1E+300)</f>
        <v/>
      </c>
    </row>
    <row r="1486">
      <c r="A1486">
        <f>$B$3+$B$5*24</f>
        <v/>
      </c>
      <c r="B1486">
        <f>$B$3+$B$5*10</f>
        <v/>
      </c>
      <c r="C1486">
        <f>SUMPRODUCT(Calc!$K$3:$K$22*(Calc!$G$3:$G$22&lt;=A1486))</f>
        <v/>
      </c>
      <c r="D1486">
        <f>SUMPRODUCT(Calc!$K$3:$K$22*(Calc!$G$3:$G$22&gt;A1486)*(Calc!$G$3:$G$22&lt;B1486))</f>
        <v/>
      </c>
      <c r="E1486">
        <f>SUMPRODUCT(Calc!$K$3:$K$22*(Calc!$G$3:$G$22&gt;=B1486))</f>
        <v/>
      </c>
      <c r="F1486">
        <f>AND(k_n&gt;=5,B1486&gt;A1486+1E-9,C1486&gt;=2,D1486&gt;=1,E1486&gt;=2)</f>
        <v/>
      </c>
      <c r="G1486">
        <f>SUMPRODUCT(Calc!$K$3:$K$22*(Calc!$G$3:$G$22&gt;A1486)*(Calc!$G$3:$G$22-A1486))</f>
        <v/>
      </c>
      <c r="H1486">
        <f>SUMPRODUCT(Calc!$K$3:$K$22*(Calc!$G$3:$G$22&gt;B1486)*(Calc!$G$3:$G$22-B1486))</f>
        <v/>
      </c>
      <c r="I1486">
        <f>SUMPRODUCT(Calc!$K$3:$K$22*(Calc!$G$3:$G$22&gt;A1486)*(Calc!$G$3:$G$22-A1486)^2)</f>
        <v/>
      </c>
      <c r="J1486">
        <f>SUMPRODUCT(Calc!$K$3:$K$22*(Calc!$G$3:$G$22&gt;B1486)*(Calc!$G$3:$G$22-B1486)^2)</f>
        <v/>
      </c>
      <c r="K1486">
        <f>SUMPRODUCT(Calc!$K$3:$K$22*(Calc!$G$3:$G$22&gt;A1486)*(Calc!$G$3:$G$22-A1486)*(Calc!$G$3:$G$22&gt;B1486)*(Calc!$G$3:$G$22-B1486))</f>
        <v/>
      </c>
      <c r="L1486">
        <f>SUMPRODUCT(Calc!$K$3:$K$22*(Calc!$G$3:$G$22&gt;A1486)*(Calc!$G$3:$G$22-A1486)*Calc!$G$3:$G$22)</f>
        <v/>
      </c>
      <c r="M1486">
        <f>SUMPRODUCT(Calc!$K$3:$K$22*(Calc!$G$3:$G$22&gt;B1486)*(Calc!$G$3:$G$22-B1486)*Calc!$G$3:$G$22)</f>
        <v/>
      </c>
      <c r="N1486">
        <f>SUMPRODUCT(Calc!$K$3:$K$22*(Calc!$G$3:$G$22&gt;A1486)*(Calc!$G$3:$G$22-A1486)*Calc!$I$3:$I$22)</f>
        <v/>
      </c>
      <c r="O1486">
        <f>SUMPRODUCT(Calc!$K$3:$K$22*(Calc!$G$3:$G$22&gt;B1486)*(Calc!$G$3:$G$22-B1486)*Calc!$I$3:$I$22)</f>
        <v/>
      </c>
      <c r="P1486">
        <f>I1486-G1486^2/k_n</f>
        <v/>
      </c>
      <c r="Q1486">
        <f>J1486-H1486^2/k_n</f>
        <v/>
      </c>
      <c r="R1486">
        <f>K1486-G1486*H1486/k_n</f>
        <v/>
      </c>
      <c r="S1486">
        <f>L1486-LTP3!$D$3*G1486/k_n</f>
        <v/>
      </c>
      <c r="T1486">
        <f>M1486-LTP3!$D$3*H1486/k_n</f>
        <v/>
      </c>
      <c r="U1486">
        <f>N1486-G1486*LTP3!$D$4/k_n</f>
        <v/>
      </c>
      <c r="V1486">
        <f>O1486-H1486*LTP3!$D$4/k_n</f>
        <v/>
      </c>
      <c r="W1486">
        <f>((LTP3!$D$5)*((P1486)*(Q1486)-(R1486)*(R1486))-(S1486)*((S1486)*(Q1486)-(R1486)*(T1486))+(T1486)*((S1486)*(R1486)-(P1486)*(T1486)))</f>
        <v/>
      </c>
      <c r="X1486">
        <f>IF(ABS(W1486)&gt;1E-12,((LTP3!$D$6)*((P1486)*(Q1486)-(R1486)*(R1486))-(S1486)*((U1486)*(Q1486)-(R1486)*(V1486))+(T1486)*((U1486)*(R1486)-(P1486)*(V1486)))/W1486,0)</f>
        <v/>
      </c>
      <c r="Y1486">
        <f>IF(ABS(W1486)&gt;1E-12,((LTP3!$D$5)*((U1486)*(Q1486)-(R1486)*(V1486))-(LTP3!$D$6)*((S1486)*(Q1486)-(R1486)*(T1486))+(T1486)*((S1486)*(V1486)-(U1486)*(T1486)))/W1486,0)</f>
        <v/>
      </c>
      <c r="Z1486">
        <f>IF(ABS(W1486)&gt;1E-12,((LTP3!$D$5)*((P1486)*(V1486)-(U1486)*(R1486))-(S1486)*((S1486)*(V1486)-(U1486)*(T1486))+(LTP3!$D$6)*((S1486)*(R1486)-(P1486)*(T1486)))/W1486,0)</f>
        <v/>
      </c>
      <c r="AA1486">
        <f>LTP3!$D$7-X1486*LTP3!$D$6-Y1486*U1486-Z1486*V1486</f>
        <v/>
      </c>
      <c r="AB1486">
        <f>IF(AND(F1486,ABS(W1486)&gt;1E-12,Y1486&gt;0,Z1486&gt;0),AA1486,1E+300)</f>
        <v/>
      </c>
    </row>
    <row r="1487">
      <c r="A1487">
        <f>$B$3+$B$5*24</f>
        <v/>
      </c>
      <c r="B1487">
        <f>$B$3+$B$5*11</f>
        <v/>
      </c>
      <c r="C1487">
        <f>SUMPRODUCT(Calc!$K$3:$K$22*(Calc!$G$3:$G$22&lt;=A1487))</f>
        <v/>
      </c>
      <c r="D1487">
        <f>SUMPRODUCT(Calc!$K$3:$K$22*(Calc!$G$3:$G$22&gt;A1487)*(Calc!$G$3:$G$22&lt;B1487))</f>
        <v/>
      </c>
      <c r="E1487">
        <f>SUMPRODUCT(Calc!$K$3:$K$22*(Calc!$G$3:$G$22&gt;=B1487))</f>
        <v/>
      </c>
      <c r="F1487">
        <f>AND(k_n&gt;=5,B1487&gt;A1487+1E-9,C1487&gt;=2,D1487&gt;=1,E1487&gt;=2)</f>
        <v/>
      </c>
      <c r="G1487">
        <f>SUMPRODUCT(Calc!$K$3:$K$22*(Calc!$G$3:$G$22&gt;A1487)*(Calc!$G$3:$G$22-A1487))</f>
        <v/>
      </c>
      <c r="H1487">
        <f>SUMPRODUCT(Calc!$K$3:$K$22*(Calc!$G$3:$G$22&gt;B1487)*(Calc!$G$3:$G$22-B1487))</f>
        <v/>
      </c>
      <c r="I1487">
        <f>SUMPRODUCT(Calc!$K$3:$K$22*(Calc!$G$3:$G$22&gt;A1487)*(Calc!$G$3:$G$22-A1487)^2)</f>
        <v/>
      </c>
      <c r="J1487">
        <f>SUMPRODUCT(Calc!$K$3:$K$22*(Calc!$G$3:$G$22&gt;B1487)*(Calc!$G$3:$G$22-B1487)^2)</f>
        <v/>
      </c>
      <c r="K1487">
        <f>SUMPRODUCT(Calc!$K$3:$K$22*(Calc!$G$3:$G$22&gt;A1487)*(Calc!$G$3:$G$22-A1487)*(Calc!$G$3:$G$22&gt;B1487)*(Calc!$G$3:$G$22-B1487))</f>
        <v/>
      </c>
      <c r="L1487">
        <f>SUMPRODUCT(Calc!$K$3:$K$22*(Calc!$G$3:$G$22&gt;A1487)*(Calc!$G$3:$G$22-A1487)*Calc!$G$3:$G$22)</f>
        <v/>
      </c>
      <c r="M1487">
        <f>SUMPRODUCT(Calc!$K$3:$K$22*(Calc!$G$3:$G$22&gt;B1487)*(Calc!$G$3:$G$22-B1487)*Calc!$G$3:$G$22)</f>
        <v/>
      </c>
      <c r="N1487">
        <f>SUMPRODUCT(Calc!$K$3:$K$22*(Calc!$G$3:$G$22&gt;A1487)*(Calc!$G$3:$G$22-A1487)*Calc!$I$3:$I$22)</f>
        <v/>
      </c>
      <c r="O1487">
        <f>SUMPRODUCT(Calc!$K$3:$K$22*(Calc!$G$3:$G$22&gt;B1487)*(Calc!$G$3:$G$22-B1487)*Calc!$I$3:$I$22)</f>
        <v/>
      </c>
      <c r="P1487">
        <f>I1487-G1487^2/k_n</f>
        <v/>
      </c>
      <c r="Q1487">
        <f>J1487-H1487^2/k_n</f>
        <v/>
      </c>
      <c r="R1487">
        <f>K1487-G1487*H1487/k_n</f>
        <v/>
      </c>
      <c r="S1487">
        <f>L1487-LTP3!$D$3*G1487/k_n</f>
        <v/>
      </c>
      <c r="T1487">
        <f>M1487-LTP3!$D$3*H1487/k_n</f>
        <v/>
      </c>
      <c r="U1487">
        <f>N1487-G1487*LTP3!$D$4/k_n</f>
        <v/>
      </c>
      <c r="V1487">
        <f>O1487-H1487*LTP3!$D$4/k_n</f>
        <v/>
      </c>
      <c r="W1487">
        <f>((LTP3!$D$5)*((P1487)*(Q1487)-(R1487)*(R1487))-(S1487)*((S1487)*(Q1487)-(R1487)*(T1487))+(T1487)*((S1487)*(R1487)-(P1487)*(T1487)))</f>
        <v/>
      </c>
      <c r="X1487">
        <f>IF(ABS(W1487)&gt;1E-12,((LTP3!$D$6)*((P1487)*(Q1487)-(R1487)*(R1487))-(S1487)*((U1487)*(Q1487)-(R1487)*(V1487))+(T1487)*((U1487)*(R1487)-(P1487)*(V1487)))/W1487,0)</f>
        <v/>
      </c>
      <c r="Y1487">
        <f>IF(ABS(W1487)&gt;1E-12,((LTP3!$D$5)*((U1487)*(Q1487)-(R1487)*(V1487))-(LTP3!$D$6)*((S1487)*(Q1487)-(R1487)*(T1487))+(T1487)*((S1487)*(V1487)-(U1487)*(T1487)))/W1487,0)</f>
        <v/>
      </c>
      <c r="Z1487">
        <f>IF(ABS(W1487)&gt;1E-12,((LTP3!$D$5)*((P1487)*(V1487)-(U1487)*(R1487))-(S1487)*((S1487)*(V1487)-(U1487)*(T1487))+(LTP3!$D$6)*((S1487)*(R1487)-(P1487)*(T1487)))/W1487,0)</f>
        <v/>
      </c>
      <c r="AA1487">
        <f>LTP3!$D$7-X1487*LTP3!$D$6-Y1487*U1487-Z1487*V1487</f>
        <v/>
      </c>
      <c r="AB1487">
        <f>IF(AND(F1487,ABS(W1487)&gt;1E-12,Y1487&gt;0,Z1487&gt;0),AA1487,1E+300)</f>
        <v/>
      </c>
    </row>
    <row r="1488">
      <c r="A1488">
        <f>$B$3+$B$5*24</f>
        <v/>
      </c>
      <c r="B1488">
        <f>$B$3+$B$5*12</f>
        <v/>
      </c>
      <c r="C1488">
        <f>SUMPRODUCT(Calc!$K$3:$K$22*(Calc!$G$3:$G$22&lt;=A1488))</f>
        <v/>
      </c>
      <c r="D1488">
        <f>SUMPRODUCT(Calc!$K$3:$K$22*(Calc!$G$3:$G$22&gt;A1488)*(Calc!$G$3:$G$22&lt;B1488))</f>
        <v/>
      </c>
      <c r="E1488">
        <f>SUMPRODUCT(Calc!$K$3:$K$22*(Calc!$G$3:$G$22&gt;=B1488))</f>
        <v/>
      </c>
      <c r="F1488">
        <f>AND(k_n&gt;=5,B1488&gt;A1488+1E-9,C1488&gt;=2,D1488&gt;=1,E1488&gt;=2)</f>
        <v/>
      </c>
      <c r="G1488">
        <f>SUMPRODUCT(Calc!$K$3:$K$22*(Calc!$G$3:$G$22&gt;A1488)*(Calc!$G$3:$G$22-A1488))</f>
        <v/>
      </c>
      <c r="H1488">
        <f>SUMPRODUCT(Calc!$K$3:$K$22*(Calc!$G$3:$G$22&gt;B1488)*(Calc!$G$3:$G$22-B1488))</f>
        <v/>
      </c>
      <c r="I1488">
        <f>SUMPRODUCT(Calc!$K$3:$K$22*(Calc!$G$3:$G$22&gt;A1488)*(Calc!$G$3:$G$22-A1488)^2)</f>
        <v/>
      </c>
      <c r="J1488">
        <f>SUMPRODUCT(Calc!$K$3:$K$22*(Calc!$G$3:$G$22&gt;B1488)*(Calc!$G$3:$G$22-B1488)^2)</f>
        <v/>
      </c>
      <c r="K1488">
        <f>SUMPRODUCT(Calc!$K$3:$K$22*(Calc!$G$3:$G$22&gt;A1488)*(Calc!$G$3:$G$22-A1488)*(Calc!$G$3:$G$22&gt;B1488)*(Calc!$G$3:$G$22-B1488))</f>
        <v/>
      </c>
      <c r="L1488">
        <f>SUMPRODUCT(Calc!$K$3:$K$22*(Calc!$G$3:$G$22&gt;A1488)*(Calc!$G$3:$G$22-A1488)*Calc!$G$3:$G$22)</f>
        <v/>
      </c>
      <c r="M1488">
        <f>SUMPRODUCT(Calc!$K$3:$K$22*(Calc!$G$3:$G$22&gt;B1488)*(Calc!$G$3:$G$22-B1488)*Calc!$G$3:$G$22)</f>
        <v/>
      </c>
      <c r="N1488">
        <f>SUMPRODUCT(Calc!$K$3:$K$22*(Calc!$G$3:$G$22&gt;A1488)*(Calc!$G$3:$G$22-A1488)*Calc!$I$3:$I$22)</f>
        <v/>
      </c>
      <c r="O1488">
        <f>SUMPRODUCT(Calc!$K$3:$K$22*(Calc!$G$3:$G$22&gt;B1488)*(Calc!$G$3:$G$22-B1488)*Calc!$I$3:$I$22)</f>
        <v/>
      </c>
      <c r="P1488">
        <f>I1488-G1488^2/k_n</f>
        <v/>
      </c>
      <c r="Q1488">
        <f>J1488-H1488^2/k_n</f>
        <v/>
      </c>
      <c r="R1488">
        <f>K1488-G1488*H1488/k_n</f>
        <v/>
      </c>
      <c r="S1488">
        <f>L1488-LTP3!$D$3*G1488/k_n</f>
        <v/>
      </c>
      <c r="T1488">
        <f>M1488-LTP3!$D$3*H1488/k_n</f>
        <v/>
      </c>
      <c r="U1488">
        <f>N1488-G1488*LTP3!$D$4/k_n</f>
        <v/>
      </c>
      <c r="V1488">
        <f>O1488-H1488*LTP3!$D$4/k_n</f>
        <v/>
      </c>
      <c r="W1488">
        <f>((LTP3!$D$5)*((P1488)*(Q1488)-(R1488)*(R1488))-(S1488)*((S1488)*(Q1488)-(R1488)*(T1488))+(T1488)*((S1488)*(R1488)-(P1488)*(T1488)))</f>
        <v/>
      </c>
      <c r="X1488">
        <f>IF(ABS(W1488)&gt;1E-12,((LTP3!$D$6)*((P1488)*(Q1488)-(R1488)*(R1488))-(S1488)*((U1488)*(Q1488)-(R1488)*(V1488))+(T1488)*((U1488)*(R1488)-(P1488)*(V1488)))/W1488,0)</f>
        <v/>
      </c>
      <c r="Y1488">
        <f>IF(ABS(W1488)&gt;1E-12,((LTP3!$D$5)*((U1488)*(Q1488)-(R1488)*(V1488))-(LTP3!$D$6)*((S1488)*(Q1488)-(R1488)*(T1488))+(T1488)*((S1488)*(V1488)-(U1488)*(T1488)))/W1488,0)</f>
        <v/>
      </c>
      <c r="Z1488">
        <f>IF(ABS(W1488)&gt;1E-12,((LTP3!$D$5)*((P1488)*(V1488)-(U1488)*(R1488))-(S1488)*((S1488)*(V1488)-(U1488)*(T1488))+(LTP3!$D$6)*((S1488)*(R1488)-(P1488)*(T1488)))/W1488,0)</f>
        <v/>
      </c>
      <c r="AA1488">
        <f>LTP3!$D$7-X1488*LTP3!$D$6-Y1488*U1488-Z1488*V1488</f>
        <v/>
      </c>
      <c r="AB1488">
        <f>IF(AND(F1488,ABS(W1488)&gt;1E-12,Y1488&gt;0,Z1488&gt;0),AA1488,1E+300)</f>
        <v/>
      </c>
    </row>
    <row r="1489">
      <c r="A1489">
        <f>$B$3+$B$5*24</f>
        <v/>
      </c>
      <c r="B1489">
        <f>$B$3+$B$5*13</f>
        <v/>
      </c>
      <c r="C1489">
        <f>SUMPRODUCT(Calc!$K$3:$K$22*(Calc!$G$3:$G$22&lt;=A1489))</f>
        <v/>
      </c>
      <c r="D1489">
        <f>SUMPRODUCT(Calc!$K$3:$K$22*(Calc!$G$3:$G$22&gt;A1489)*(Calc!$G$3:$G$22&lt;B1489))</f>
        <v/>
      </c>
      <c r="E1489">
        <f>SUMPRODUCT(Calc!$K$3:$K$22*(Calc!$G$3:$G$22&gt;=B1489))</f>
        <v/>
      </c>
      <c r="F1489">
        <f>AND(k_n&gt;=5,B1489&gt;A1489+1E-9,C1489&gt;=2,D1489&gt;=1,E1489&gt;=2)</f>
        <v/>
      </c>
      <c r="G1489">
        <f>SUMPRODUCT(Calc!$K$3:$K$22*(Calc!$G$3:$G$22&gt;A1489)*(Calc!$G$3:$G$22-A1489))</f>
        <v/>
      </c>
      <c r="H1489">
        <f>SUMPRODUCT(Calc!$K$3:$K$22*(Calc!$G$3:$G$22&gt;B1489)*(Calc!$G$3:$G$22-B1489))</f>
        <v/>
      </c>
      <c r="I1489">
        <f>SUMPRODUCT(Calc!$K$3:$K$22*(Calc!$G$3:$G$22&gt;A1489)*(Calc!$G$3:$G$22-A1489)^2)</f>
        <v/>
      </c>
      <c r="J1489">
        <f>SUMPRODUCT(Calc!$K$3:$K$22*(Calc!$G$3:$G$22&gt;B1489)*(Calc!$G$3:$G$22-B1489)^2)</f>
        <v/>
      </c>
      <c r="K1489">
        <f>SUMPRODUCT(Calc!$K$3:$K$22*(Calc!$G$3:$G$22&gt;A1489)*(Calc!$G$3:$G$22-A1489)*(Calc!$G$3:$G$22&gt;B1489)*(Calc!$G$3:$G$22-B1489))</f>
        <v/>
      </c>
      <c r="L1489">
        <f>SUMPRODUCT(Calc!$K$3:$K$22*(Calc!$G$3:$G$22&gt;A1489)*(Calc!$G$3:$G$22-A1489)*Calc!$G$3:$G$22)</f>
        <v/>
      </c>
      <c r="M1489">
        <f>SUMPRODUCT(Calc!$K$3:$K$22*(Calc!$G$3:$G$22&gt;B1489)*(Calc!$G$3:$G$22-B1489)*Calc!$G$3:$G$22)</f>
        <v/>
      </c>
      <c r="N1489">
        <f>SUMPRODUCT(Calc!$K$3:$K$22*(Calc!$G$3:$G$22&gt;A1489)*(Calc!$G$3:$G$22-A1489)*Calc!$I$3:$I$22)</f>
        <v/>
      </c>
      <c r="O1489">
        <f>SUMPRODUCT(Calc!$K$3:$K$22*(Calc!$G$3:$G$22&gt;B1489)*(Calc!$G$3:$G$22-B1489)*Calc!$I$3:$I$22)</f>
        <v/>
      </c>
      <c r="P1489">
        <f>I1489-G1489^2/k_n</f>
        <v/>
      </c>
      <c r="Q1489">
        <f>J1489-H1489^2/k_n</f>
        <v/>
      </c>
      <c r="R1489">
        <f>K1489-G1489*H1489/k_n</f>
        <v/>
      </c>
      <c r="S1489">
        <f>L1489-LTP3!$D$3*G1489/k_n</f>
        <v/>
      </c>
      <c r="T1489">
        <f>M1489-LTP3!$D$3*H1489/k_n</f>
        <v/>
      </c>
      <c r="U1489">
        <f>N1489-G1489*LTP3!$D$4/k_n</f>
        <v/>
      </c>
      <c r="V1489">
        <f>O1489-H1489*LTP3!$D$4/k_n</f>
        <v/>
      </c>
      <c r="W1489">
        <f>((LTP3!$D$5)*((P1489)*(Q1489)-(R1489)*(R1489))-(S1489)*((S1489)*(Q1489)-(R1489)*(T1489))+(T1489)*((S1489)*(R1489)-(P1489)*(T1489)))</f>
        <v/>
      </c>
      <c r="X1489">
        <f>IF(ABS(W1489)&gt;1E-12,((LTP3!$D$6)*((P1489)*(Q1489)-(R1489)*(R1489))-(S1489)*((U1489)*(Q1489)-(R1489)*(V1489))+(T1489)*((U1489)*(R1489)-(P1489)*(V1489)))/W1489,0)</f>
        <v/>
      </c>
      <c r="Y1489">
        <f>IF(ABS(W1489)&gt;1E-12,((LTP3!$D$5)*((U1489)*(Q1489)-(R1489)*(V1489))-(LTP3!$D$6)*((S1489)*(Q1489)-(R1489)*(T1489))+(T1489)*((S1489)*(V1489)-(U1489)*(T1489)))/W1489,0)</f>
        <v/>
      </c>
      <c r="Z1489">
        <f>IF(ABS(W1489)&gt;1E-12,((LTP3!$D$5)*((P1489)*(V1489)-(U1489)*(R1489))-(S1489)*((S1489)*(V1489)-(U1489)*(T1489))+(LTP3!$D$6)*((S1489)*(R1489)-(P1489)*(T1489)))/W1489,0)</f>
        <v/>
      </c>
      <c r="AA1489">
        <f>LTP3!$D$7-X1489*LTP3!$D$6-Y1489*U1489-Z1489*V1489</f>
        <v/>
      </c>
      <c r="AB1489">
        <f>IF(AND(F1489,ABS(W1489)&gt;1E-12,Y1489&gt;0,Z1489&gt;0),AA1489,1E+300)</f>
        <v/>
      </c>
    </row>
    <row r="1490">
      <c r="A1490">
        <f>$B$3+$B$5*24</f>
        <v/>
      </c>
      <c r="B1490">
        <f>$B$3+$B$5*14</f>
        <v/>
      </c>
      <c r="C1490">
        <f>SUMPRODUCT(Calc!$K$3:$K$22*(Calc!$G$3:$G$22&lt;=A1490))</f>
        <v/>
      </c>
      <c r="D1490">
        <f>SUMPRODUCT(Calc!$K$3:$K$22*(Calc!$G$3:$G$22&gt;A1490)*(Calc!$G$3:$G$22&lt;B1490))</f>
        <v/>
      </c>
      <c r="E1490">
        <f>SUMPRODUCT(Calc!$K$3:$K$22*(Calc!$G$3:$G$22&gt;=B1490))</f>
        <v/>
      </c>
      <c r="F1490">
        <f>AND(k_n&gt;=5,B1490&gt;A1490+1E-9,C1490&gt;=2,D1490&gt;=1,E1490&gt;=2)</f>
        <v/>
      </c>
      <c r="G1490">
        <f>SUMPRODUCT(Calc!$K$3:$K$22*(Calc!$G$3:$G$22&gt;A1490)*(Calc!$G$3:$G$22-A1490))</f>
        <v/>
      </c>
      <c r="H1490">
        <f>SUMPRODUCT(Calc!$K$3:$K$22*(Calc!$G$3:$G$22&gt;B1490)*(Calc!$G$3:$G$22-B1490))</f>
        <v/>
      </c>
      <c r="I1490">
        <f>SUMPRODUCT(Calc!$K$3:$K$22*(Calc!$G$3:$G$22&gt;A1490)*(Calc!$G$3:$G$22-A1490)^2)</f>
        <v/>
      </c>
      <c r="J1490">
        <f>SUMPRODUCT(Calc!$K$3:$K$22*(Calc!$G$3:$G$22&gt;B1490)*(Calc!$G$3:$G$22-B1490)^2)</f>
        <v/>
      </c>
      <c r="K1490">
        <f>SUMPRODUCT(Calc!$K$3:$K$22*(Calc!$G$3:$G$22&gt;A1490)*(Calc!$G$3:$G$22-A1490)*(Calc!$G$3:$G$22&gt;B1490)*(Calc!$G$3:$G$22-B1490))</f>
        <v/>
      </c>
      <c r="L1490">
        <f>SUMPRODUCT(Calc!$K$3:$K$22*(Calc!$G$3:$G$22&gt;A1490)*(Calc!$G$3:$G$22-A1490)*Calc!$G$3:$G$22)</f>
        <v/>
      </c>
      <c r="M1490">
        <f>SUMPRODUCT(Calc!$K$3:$K$22*(Calc!$G$3:$G$22&gt;B1490)*(Calc!$G$3:$G$22-B1490)*Calc!$G$3:$G$22)</f>
        <v/>
      </c>
      <c r="N1490">
        <f>SUMPRODUCT(Calc!$K$3:$K$22*(Calc!$G$3:$G$22&gt;A1490)*(Calc!$G$3:$G$22-A1490)*Calc!$I$3:$I$22)</f>
        <v/>
      </c>
      <c r="O1490">
        <f>SUMPRODUCT(Calc!$K$3:$K$22*(Calc!$G$3:$G$22&gt;B1490)*(Calc!$G$3:$G$22-B1490)*Calc!$I$3:$I$22)</f>
        <v/>
      </c>
      <c r="P1490">
        <f>I1490-G1490^2/k_n</f>
        <v/>
      </c>
      <c r="Q1490">
        <f>J1490-H1490^2/k_n</f>
        <v/>
      </c>
      <c r="R1490">
        <f>K1490-G1490*H1490/k_n</f>
        <v/>
      </c>
      <c r="S1490">
        <f>L1490-LTP3!$D$3*G1490/k_n</f>
        <v/>
      </c>
      <c r="T1490">
        <f>M1490-LTP3!$D$3*H1490/k_n</f>
        <v/>
      </c>
      <c r="U1490">
        <f>N1490-G1490*LTP3!$D$4/k_n</f>
        <v/>
      </c>
      <c r="V1490">
        <f>O1490-H1490*LTP3!$D$4/k_n</f>
        <v/>
      </c>
      <c r="W1490">
        <f>((LTP3!$D$5)*((P1490)*(Q1490)-(R1490)*(R1490))-(S1490)*((S1490)*(Q1490)-(R1490)*(T1490))+(T1490)*((S1490)*(R1490)-(P1490)*(T1490)))</f>
        <v/>
      </c>
      <c r="X1490">
        <f>IF(ABS(W1490)&gt;1E-12,((LTP3!$D$6)*((P1490)*(Q1490)-(R1490)*(R1490))-(S1490)*((U1490)*(Q1490)-(R1490)*(V1490))+(T1490)*((U1490)*(R1490)-(P1490)*(V1490)))/W1490,0)</f>
        <v/>
      </c>
      <c r="Y1490">
        <f>IF(ABS(W1490)&gt;1E-12,((LTP3!$D$5)*((U1490)*(Q1490)-(R1490)*(V1490))-(LTP3!$D$6)*((S1490)*(Q1490)-(R1490)*(T1490))+(T1490)*((S1490)*(V1490)-(U1490)*(T1490)))/W1490,0)</f>
        <v/>
      </c>
      <c r="Z1490">
        <f>IF(ABS(W1490)&gt;1E-12,((LTP3!$D$5)*((P1490)*(V1490)-(U1490)*(R1490))-(S1490)*((S1490)*(V1490)-(U1490)*(T1490))+(LTP3!$D$6)*((S1490)*(R1490)-(P1490)*(T1490)))/W1490,0)</f>
        <v/>
      </c>
      <c r="AA1490">
        <f>LTP3!$D$7-X1490*LTP3!$D$6-Y1490*U1490-Z1490*V1490</f>
        <v/>
      </c>
      <c r="AB1490">
        <f>IF(AND(F1490,ABS(W1490)&gt;1E-12,Y1490&gt;0,Z1490&gt;0),AA1490,1E+300)</f>
        <v/>
      </c>
    </row>
    <row r="1491">
      <c r="A1491">
        <f>$B$3+$B$5*24</f>
        <v/>
      </c>
      <c r="B1491">
        <f>$B$3+$B$5*15</f>
        <v/>
      </c>
      <c r="C1491">
        <f>SUMPRODUCT(Calc!$K$3:$K$22*(Calc!$G$3:$G$22&lt;=A1491))</f>
        <v/>
      </c>
      <c r="D1491">
        <f>SUMPRODUCT(Calc!$K$3:$K$22*(Calc!$G$3:$G$22&gt;A1491)*(Calc!$G$3:$G$22&lt;B1491))</f>
        <v/>
      </c>
      <c r="E1491">
        <f>SUMPRODUCT(Calc!$K$3:$K$22*(Calc!$G$3:$G$22&gt;=B1491))</f>
        <v/>
      </c>
      <c r="F1491">
        <f>AND(k_n&gt;=5,B1491&gt;A1491+1E-9,C1491&gt;=2,D1491&gt;=1,E1491&gt;=2)</f>
        <v/>
      </c>
      <c r="G1491">
        <f>SUMPRODUCT(Calc!$K$3:$K$22*(Calc!$G$3:$G$22&gt;A1491)*(Calc!$G$3:$G$22-A1491))</f>
        <v/>
      </c>
      <c r="H1491">
        <f>SUMPRODUCT(Calc!$K$3:$K$22*(Calc!$G$3:$G$22&gt;B1491)*(Calc!$G$3:$G$22-B1491))</f>
        <v/>
      </c>
      <c r="I1491">
        <f>SUMPRODUCT(Calc!$K$3:$K$22*(Calc!$G$3:$G$22&gt;A1491)*(Calc!$G$3:$G$22-A1491)^2)</f>
        <v/>
      </c>
      <c r="J1491">
        <f>SUMPRODUCT(Calc!$K$3:$K$22*(Calc!$G$3:$G$22&gt;B1491)*(Calc!$G$3:$G$22-B1491)^2)</f>
        <v/>
      </c>
      <c r="K1491">
        <f>SUMPRODUCT(Calc!$K$3:$K$22*(Calc!$G$3:$G$22&gt;A1491)*(Calc!$G$3:$G$22-A1491)*(Calc!$G$3:$G$22&gt;B1491)*(Calc!$G$3:$G$22-B1491))</f>
        <v/>
      </c>
      <c r="L1491">
        <f>SUMPRODUCT(Calc!$K$3:$K$22*(Calc!$G$3:$G$22&gt;A1491)*(Calc!$G$3:$G$22-A1491)*Calc!$G$3:$G$22)</f>
        <v/>
      </c>
      <c r="M1491">
        <f>SUMPRODUCT(Calc!$K$3:$K$22*(Calc!$G$3:$G$22&gt;B1491)*(Calc!$G$3:$G$22-B1491)*Calc!$G$3:$G$22)</f>
        <v/>
      </c>
      <c r="N1491">
        <f>SUMPRODUCT(Calc!$K$3:$K$22*(Calc!$G$3:$G$22&gt;A1491)*(Calc!$G$3:$G$22-A1491)*Calc!$I$3:$I$22)</f>
        <v/>
      </c>
      <c r="O1491">
        <f>SUMPRODUCT(Calc!$K$3:$K$22*(Calc!$G$3:$G$22&gt;B1491)*(Calc!$G$3:$G$22-B1491)*Calc!$I$3:$I$22)</f>
        <v/>
      </c>
      <c r="P1491">
        <f>I1491-G1491^2/k_n</f>
        <v/>
      </c>
      <c r="Q1491">
        <f>J1491-H1491^2/k_n</f>
        <v/>
      </c>
      <c r="R1491">
        <f>K1491-G1491*H1491/k_n</f>
        <v/>
      </c>
      <c r="S1491">
        <f>L1491-LTP3!$D$3*G1491/k_n</f>
        <v/>
      </c>
      <c r="T1491">
        <f>M1491-LTP3!$D$3*H1491/k_n</f>
        <v/>
      </c>
      <c r="U1491">
        <f>N1491-G1491*LTP3!$D$4/k_n</f>
        <v/>
      </c>
      <c r="V1491">
        <f>O1491-H1491*LTP3!$D$4/k_n</f>
        <v/>
      </c>
      <c r="W1491">
        <f>((LTP3!$D$5)*((P1491)*(Q1491)-(R1491)*(R1491))-(S1491)*((S1491)*(Q1491)-(R1491)*(T1491))+(T1491)*((S1491)*(R1491)-(P1491)*(T1491)))</f>
        <v/>
      </c>
      <c r="X1491">
        <f>IF(ABS(W1491)&gt;1E-12,((LTP3!$D$6)*((P1491)*(Q1491)-(R1491)*(R1491))-(S1491)*((U1491)*(Q1491)-(R1491)*(V1491))+(T1491)*((U1491)*(R1491)-(P1491)*(V1491)))/W1491,0)</f>
        <v/>
      </c>
      <c r="Y1491">
        <f>IF(ABS(W1491)&gt;1E-12,((LTP3!$D$5)*((U1491)*(Q1491)-(R1491)*(V1491))-(LTP3!$D$6)*((S1491)*(Q1491)-(R1491)*(T1491))+(T1491)*((S1491)*(V1491)-(U1491)*(T1491)))/W1491,0)</f>
        <v/>
      </c>
      <c r="Z1491">
        <f>IF(ABS(W1491)&gt;1E-12,((LTP3!$D$5)*((P1491)*(V1491)-(U1491)*(R1491))-(S1491)*((S1491)*(V1491)-(U1491)*(T1491))+(LTP3!$D$6)*((S1491)*(R1491)-(P1491)*(T1491)))/W1491,0)</f>
        <v/>
      </c>
      <c r="AA1491">
        <f>LTP3!$D$7-X1491*LTP3!$D$6-Y1491*U1491-Z1491*V1491</f>
        <v/>
      </c>
      <c r="AB1491">
        <f>IF(AND(F1491,ABS(W1491)&gt;1E-12,Y1491&gt;0,Z1491&gt;0),AA1491,1E+300)</f>
        <v/>
      </c>
    </row>
    <row r="1492">
      <c r="A1492">
        <f>$B$3+$B$5*24</f>
        <v/>
      </c>
      <c r="B1492">
        <f>$B$3+$B$5*16</f>
        <v/>
      </c>
      <c r="C1492">
        <f>SUMPRODUCT(Calc!$K$3:$K$22*(Calc!$G$3:$G$22&lt;=A1492))</f>
        <v/>
      </c>
      <c r="D1492">
        <f>SUMPRODUCT(Calc!$K$3:$K$22*(Calc!$G$3:$G$22&gt;A1492)*(Calc!$G$3:$G$22&lt;B1492))</f>
        <v/>
      </c>
      <c r="E1492">
        <f>SUMPRODUCT(Calc!$K$3:$K$22*(Calc!$G$3:$G$22&gt;=B1492))</f>
        <v/>
      </c>
      <c r="F1492">
        <f>AND(k_n&gt;=5,B1492&gt;A1492+1E-9,C1492&gt;=2,D1492&gt;=1,E1492&gt;=2)</f>
        <v/>
      </c>
      <c r="G1492">
        <f>SUMPRODUCT(Calc!$K$3:$K$22*(Calc!$G$3:$G$22&gt;A1492)*(Calc!$G$3:$G$22-A1492))</f>
        <v/>
      </c>
      <c r="H1492">
        <f>SUMPRODUCT(Calc!$K$3:$K$22*(Calc!$G$3:$G$22&gt;B1492)*(Calc!$G$3:$G$22-B1492))</f>
        <v/>
      </c>
      <c r="I1492">
        <f>SUMPRODUCT(Calc!$K$3:$K$22*(Calc!$G$3:$G$22&gt;A1492)*(Calc!$G$3:$G$22-A1492)^2)</f>
        <v/>
      </c>
      <c r="J1492">
        <f>SUMPRODUCT(Calc!$K$3:$K$22*(Calc!$G$3:$G$22&gt;B1492)*(Calc!$G$3:$G$22-B1492)^2)</f>
        <v/>
      </c>
      <c r="K1492">
        <f>SUMPRODUCT(Calc!$K$3:$K$22*(Calc!$G$3:$G$22&gt;A1492)*(Calc!$G$3:$G$22-A1492)*(Calc!$G$3:$G$22&gt;B1492)*(Calc!$G$3:$G$22-B1492))</f>
        <v/>
      </c>
      <c r="L1492">
        <f>SUMPRODUCT(Calc!$K$3:$K$22*(Calc!$G$3:$G$22&gt;A1492)*(Calc!$G$3:$G$22-A1492)*Calc!$G$3:$G$22)</f>
        <v/>
      </c>
      <c r="M1492">
        <f>SUMPRODUCT(Calc!$K$3:$K$22*(Calc!$G$3:$G$22&gt;B1492)*(Calc!$G$3:$G$22-B1492)*Calc!$G$3:$G$22)</f>
        <v/>
      </c>
      <c r="N1492">
        <f>SUMPRODUCT(Calc!$K$3:$K$22*(Calc!$G$3:$G$22&gt;A1492)*(Calc!$G$3:$G$22-A1492)*Calc!$I$3:$I$22)</f>
        <v/>
      </c>
      <c r="O1492">
        <f>SUMPRODUCT(Calc!$K$3:$K$22*(Calc!$G$3:$G$22&gt;B1492)*(Calc!$G$3:$G$22-B1492)*Calc!$I$3:$I$22)</f>
        <v/>
      </c>
      <c r="P1492">
        <f>I1492-G1492^2/k_n</f>
        <v/>
      </c>
      <c r="Q1492">
        <f>J1492-H1492^2/k_n</f>
        <v/>
      </c>
      <c r="R1492">
        <f>K1492-G1492*H1492/k_n</f>
        <v/>
      </c>
      <c r="S1492">
        <f>L1492-LTP3!$D$3*G1492/k_n</f>
        <v/>
      </c>
      <c r="T1492">
        <f>M1492-LTP3!$D$3*H1492/k_n</f>
        <v/>
      </c>
      <c r="U1492">
        <f>N1492-G1492*LTP3!$D$4/k_n</f>
        <v/>
      </c>
      <c r="V1492">
        <f>O1492-H1492*LTP3!$D$4/k_n</f>
        <v/>
      </c>
      <c r="W1492">
        <f>((LTP3!$D$5)*((P1492)*(Q1492)-(R1492)*(R1492))-(S1492)*((S1492)*(Q1492)-(R1492)*(T1492))+(T1492)*((S1492)*(R1492)-(P1492)*(T1492)))</f>
        <v/>
      </c>
      <c r="X1492">
        <f>IF(ABS(W1492)&gt;1E-12,((LTP3!$D$6)*((P1492)*(Q1492)-(R1492)*(R1492))-(S1492)*((U1492)*(Q1492)-(R1492)*(V1492))+(T1492)*((U1492)*(R1492)-(P1492)*(V1492)))/W1492,0)</f>
        <v/>
      </c>
      <c r="Y1492">
        <f>IF(ABS(W1492)&gt;1E-12,((LTP3!$D$5)*((U1492)*(Q1492)-(R1492)*(V1492))-(LTP3!$D$6)*((S1492)*(Q1492)-(R1492)*(T1492))+(T1492)*((S1492)*(V1492)-(U1492)*(T1492)))/W1492,0)</f>
        <v/>
      </c>
      <c r="Z1492">
        <f>IF(ABS(W1492)&gt;1E-12,((LTP3!$D$5)*((P1492)*(V1492)-(U1492)*(R1492))-(S1492)*((S1492)*(V1492)-(U1492)*(T1492))+(LTP3!$D$6)*((S1492)*(R1492)-(P1492)*(T1492)))/W1492,0)</f>
        <v/>
      </c>
      <c r="AA1492">
        <f>LTP3!$D$7-X1492*LTP3!$D$6-Y1492*U1492-Z1492*V1492</f>
        <v/>
      </c>
      <c r="AB1492">
        <f>IF(AND(F1492,ABS(W1492)&gt;1E-12,Y1492&gt;0,Z1492&gt;0),AA1492,1E+300)</f>
        <v/>
      </c>
    </row>
    <row r="1493">
      <c r="A1493">
        <f>$B$3+$B$5*24</f>
        <v/>
      </c>
      <c r="B1493">
        <f>$B$3+$B$5*17</f>
        <v/>
      </c>
      <c r="C1493">
        <f>SUMPRODUCT(Calc!$K$3:$K$22*(Calc!$G$3:$G$22&lt;=A1493))</f>
        <v/>
      </c>
      <c r="D1493">
        <f>SUMPRODUCT(Calc!$K$3:$K$22*(Calc!$G$3:$G$22&gt;A1493)*(Calc!$G$3:$G$22&lt;B1493))</f>
        <v/>
      </c>
      <c r="E1493">
        <f>SUMPRODUCT(Calc!$K$3:$K$22*(Calc!$G$3:$G$22&gt;=B1493))</f>
        <v/>
      </c>
      <c r="F1493">
        <f>AND(k_n&gt;=5,B1493&gt;A1493+1E-9,C1493&gt;=2,D1493&gt;=1,E1493&gt;=2)</f>
        <v/>
      </c>
      <c r="G1493">
        <f>SUMPRODUCT(Calc!$K$3:$K$22*(Calc!$G$3:$G$22&gt;A1493)*(Calc!$G$3:$G$22-A1493))</f>
        <v/>
      </c>
      <c r="H1493">
        <f>SUMPRODUCT(Calc!$K$3:$K$22*(Calc!$G$3:$G$22&gt;B1493)*(Calc!$G$3:$G$22-B1493))</f>
        <v/>
      </c>
      <c r="I1493">
        <f>SUMPRODUCT(Calc!$K$3:$K$22*(Calc!$G$3:$G$22&gt;A1493)*(Calc!$G$3:$G$22-A1493)^2)</f>
        <v/>
      </c>
      <c r="J1493">
        <f>SUMPRODUCT(Calc!$K$3:$K$22*(Calc!$G$3:$G$22&gt;B1493)*(Calc!$G$3:$G$22-B1493)^2)</f>
        <v/>
      </c>
      <c r="K1493">
        <f>SUMPRODUCT(Calc!$K$3:$K$22*(Calc!$G$3:$G$22&gt;A1493)*(Calc!$G$3:$G$22-A1493)*(Calc!$G$3:$G$22&gt;B1493)*(Calc!$G$3:$G$22-B1493))</f>
        <v/>
      </c>
      <c r="L1493">
        <f>SUMPRODUCT(Calc!$K$3:$K$22*(Calc!$G$3:$G$22&gt;A1493)*(Calc!$G$3:$G$22-A1493)*Calc!$G$3:$G$22)</f>
        <v/>
      </c>
      <c r="M1493">
        <f>SUMPRODUCT(Calc!$K$3:$K$22*(Calc!$G$3:$G$22&gt;B1493)*(Calc!$G$3:$G$22-B1493)*Calc!$G$3:$G$22)</f>
        <v/>
      </c>
      <c r="N1493">
        <f>SUMPRODUCT(Calc!$K$3:$K$22*(Calc!$G$3:$G$22&gt;A1493)*(Calc!$G$3:$G$22-A1493)*Calc!$I$3:$I$22)</f>
        <v/>
      </c>
      <c r="O1493">
        <f>SUMPRODUCT(Calc!$K$3:$K$22*(Calc!$G$3:$G$22&gt;B1493)*(Calc!$G$3:$G$22-B1493)*Calc!$I$3:$I$22)</f>
        <v/>
      </c>
      <c r="P1493">
        <f>I1493-G1493^2/k_n</f>
        <v/>
      </c>
      <c r="Q1493">
        <f>J1493-H1493^2/k_n</f>
        <v/>
      </c>
      <c r="R1493">
        <f>K1493-G1493*H1493/k_n</f>
        <v/>
      </c>
      <c r="S1493">
        <f>L1493-LTP3!$D$3*G1493/k_n</f>
        <v/>
      </c>
      <c r="T1493">
        <f>M1493-LTP3!$D$3*H1493/k_n</f>
        <v/>
      </c>
      <c r="U1493">
        <f>N1493-G1493*LTP3!$D$4/k_n</f>
        <v/>
      </c>
      <c r="V1493">
        <f>O1493-H1493*LTP3!$D$4/k_n</f>
        <v/>
      </c>
      <c r="W1493">
        <f>((LTP3!$D$5)*((P1493)*(Q1493)-(R1493)*(R1493))-(S1493)*((S1493)*(Q1493)-(R1493)*(T1493))+(T1493)*((S1493)*(R1493)-(P1493)*(T1493)))</f>
        <v/>
      </c>
      <c r="X1493">
        <f>IF(ABS(W1493)&gt;1E-12,((LTP3!$D$6)*((P1493)*(Q1493)-(R1493)*(R1493))-(S1493)*((U1493)*(Q1493)-(R1493)*(V1493))+(T1493)*((U1493)*(R1493)-(P1493)*(V1493)))/W1493,0)</f>
        <v/>
      </c>
      <c r="Y1493">
        <f>IF(ABS(W1493)&gt;1E-12,((LTP3!$D$5)*((U1493)*(Q1493)-(R1493)*(V1493))-(LTP3!$D$6)*((S1493)*(Q1493)-(R1493)*(T1493))+(T1493)*((S1493)*(V1493)-(U1493)*(T1493)))/W1493,0)</f>
        <v/>
      </c>
      <c r="Z1493">
        <f>IF(ABS(W1493)&gt;1E-12,((LTP3!$D$5)*((P1493)*(V1493)-(U1493)*(R1493))-(S1493)*((S1493)*(V1493)-(U1493)*(T1493))+(LTP3!$D$6)*((S1493)*(R1493)-(P1493)*(T1493)))/W1493,0)</f>
        <v/>
      </c>
      <c r="AA1493">
        <f>LTP3!$D$7-X1493*LTP3!$D$6-Y1493*U1493-Z1493*V1493</f>
        <v/>
      </c>
      <c r="AB1493">
        <f>IF(AND(F1493,ABS(W1493)&gt;1E-12,Y1493&gt;0,Z1493&gt;0),AA1493,1E+300)</f>
        <v/>
      </c>
    </row>
    <row r="1494">
      <c r="A1494">
        <f>$B$3+$B$5*24</f>
        <v/>
      </c>
      <c r="B1494">
        <f>$B$3+$B$5*18</f>
        <v/>
      </c>
      <c r="C1494">
        <f>SUMPRODUCT(Calc!$K$3:$K$22*(Calc!$G$3:$G$22&lt;=A1494))</f>
        <v/>
      </c>
      <c r="D1494">
        <f>SUMPRODUCT(Calc!$K$3:$K$22*(Calc!$G$3:$G$22&gt;A1494)*(Calc!$G$3:$G$22&lt;B1494))</f>
        <v/>
      </c>
      <c r="E1494">
        <f>SUMPRODUCT(Calc!$K$3:$K$22*(Calc!$G$3:$G$22&gt;=B1494))</f>
        <v/>
      </c>
      <c r="F1494">
        <f>AND(k_n&gt;=5,B1494&gt;A1494+1E-9,C1494&gt;=2,D1494&gt;=1,E1494&gt;=2)</f>
        <v/>
      </c>
      <c r="G1494">
        <f>SUMPRODUCT(Calc!$K$3:$K$22*(Calc!$G$3:$G$22&gt;A1494)*(Calc!$G$3:$G$22-A1494))</f>
        <v/>
      </c>
      <c r="H1494">
        <f>SUMPRODUCT(Calc!$K$3:$K$22*(Calc!$G$3:$G$22&gt;B1494)*(Calc!$G$3:$G$22-B1494))</f>
        <v/>
      </c>
      <c r="I1494">
        <f>SUMPRODUCT(Calc!$K$3:$K$22*(Calc!$G$3:$G$22&gt;A1494)*(Calc!$G$3:$G$22-A1494)^2)</f>
        <v/>
      </c>
      <c r="J1494">
        <f>SUMPRODUCT(Calc!$K$3:$K$22*(Calc!$G$3:$G$22&gt;B1494)*(Calc!$G$3:$G$22-B1494)^2)</f>
        <v/>
      </c>
      <c r="K1494">
        <f>SUMPRODUCT(Calc!$K$3:$K$22*(Calc!$G$3:$G$22&gt;A1494)*(Calc!$G$3:$G$22-A1494)*(Calc!$G$3:$G$22&gt;B1494)*(Calc!$G$3:$G$22-B1494))</f>
        <v/>
      </c>
      <c r="L1494">
        <f>SUMPRODUCT(Calc!$K$3:$K$22*(Calc!$G$3:$G$22&gt;A1494)*(Calc!$G$3:$G$22-A1494)*Calc!$G$3:$G$22)</f>
        <v/>
      </c>
      <c r="M1494">
        <f>SUMPRODUCT(Calc!$K$3:$K$22*(Calc!$G$3:$G$22&gt;B1494)*(Calc!$G$3:$G$22-B1494)*Calc!$G$3:$G$22)</f>
        <v/>
      </c>
      <c r="N1494">
        <f>SUMPRODUCT(Calc!$K$3:$K$22*(Calc!$G$3:$G$22&gt;A1494)*(Calc!$G$3:$G$22-A1494)*Calc!$I$3:$I$22)</f>
        <v/>
      </c>
      <c r="O1494">
        <f>SUMPRODUCT(Calc!$K$3:$K$22*(Calc!$G$3:$G$22&gt;B1494)*(Calc!$G$3:$G$22-B1494)*Calc!$I$3:$I$22)</f>
        <v/>
      </c>
      <c r="P1494">
        <f>I1494-G1494^2/k_n</f>
        <v/>
      </c>
      <c r="Q1494">
        <f>J1494-H1494^2/k_n</f>
        <v/>
      </c>
      <c r="R1494">
        <f>K1494-G1494*H1494/k_n</f>
        <v/>
      </c>
      <c r="S1494">
        <f>L1494-LTP3!$D$3*G1494/k_n</f>
        <v/>
      </c>
      <c r="T1494">
        <f>M1494-LTP3!$D$3*H1494/k_n</f>
        <v/>
      </c>
      <c r="U1494">
        <f>N1494-G1494*LTP3!$D$4/k_n</f>
        <v/>
      </c>
      <c r="V1494">
        <f>O1494-H1494*LTP3!$D$4/k_n</f>
        <v/>
      </c>
      <c r="W1494">
        <f>((LTP3!$D$5)*((P1494)*(Q1494)-(R1494)*(R1494))-(S1494)*((S1494)*(Q1494)-(R1494)*(T1494))+(T1494)*((S1494)*(R1494)-(P1494)*(T1494)))</f>
        <v/>
      </c>
      <c r="X1494">
        <f>IF(ABS(W1494)&gt;1E-12,((LTP3!$D$6)*((P1494)*(Q1494)-(R1494)*(R1494))-(S1494)*((U1494)*(Q1494)-(R1494)*(V1494))+(T1494)*((U1494)*(R1494)-(P1494)*(V1494)))/W1494,0)</f>
        <v/>
      </c>
      <c r="Y1494">
        <f>IF(ABS(W1494)&gt;1E-12,((LTP3!$D$5)*((U1494)*(Q1494)-(R1494)*(V1494))-(LTP3!$D$6)*((S1494)*(Q1494)-(R1494)*(T1494))+(T1494)*((S1494)*(V1494)-(U1494)*(T1494)))/W1494,0)</f>
        <v/>
      </c>
      <c r="Z1494">
        <f>IF(ABS(W1494)&gt;1E-12,((LTP3!$D$5)*((P1494)*(V1494)-(U1494)*(R1494))-(S1494)*((S1494)*(V1494)-(U1494)*(T1494))+(LTP3!$D$6)*((S1494)*(R1494)-(P1494)*(T1494)))/W1494,0)</f>
        <v/>
      </c>
      <c r="AA1494">
        <f>LTP3!$D$7-X1494*LTP3!$D$6-Y1494*U1494-Z1494*V1494</f>
        <v/>
      </c>
      <c r="AB1494">
        <f>IF(AND(F1494,ABS(W1494)&gt;1E-12,Y1494&gt;0,Z1494&gt;0),AA1494,1E+300)</f>
        <v/>
      </c>
    </row>
    <row r="1495">
      <c r="A1495">
        <f>$B$3+$B$5*24</f>
        <v/>
      </c>
      <c r="B1495">
        <f>$B$3+$B$5*19</f>
        <v/>
      </c>
      <c r="C1495">
        <f>SUMPRODUCT(Calc!$K$3:$K$22*(Calc!$G$3:$G$22&lt;=A1495))</f>
        <v/>
      </c>
      <c r="D1495">
        <f>SUMPRODUCT(Calc!$K$3:$K$22*(Calc!$G$3:$G$22&gt;A1495)*(Calc!$G$3:$G$22&lt;B1495))</f>
        <v/>
      </c>
      <c r="E1495">
        <f>SUMPRODUCT(Calc!$K$3:$K$22*(Calc!$G$3:$G$22&gt;=B1495))</f>
        <v/>
      </c>
      <c r="F1495">
        <f>AND(k_n&gt;=5,B1495&gt;A1495+1E-9,C1495&gt;=2,D1495&gt;=1,E1495&gt;=2)</f>
        <v/>
      </c>
      <c r="G1495">
        <f>SUMPRODUCT(Calc!$K$3:$K$22*(Calc!$G$3:$G$22&gt;A1495)*(Calc!$G$3:$G$22-A1495))</f>
        <v/>
      </c>
      <c r="H1495">
        <f>SUMPRODUCT(Calc!$K$3:$K$22*(Calc!$G$3:$G$22&gt;B1495)*(Calc!$G$3:$G$22-B1495))</f>
        <v/>
      </c>
      <c r="I1495">
        <f>SUMPRODUCT(Calc!$K$3:$K$22*(Calc!$G$3:$G$22&gt;A1495)*(Calc!$G$3:$G$22-A1495)^2)</f>
        <v/>
      </c>
      <c r="J1495">
        <f>SUMPRODUCT(Calc!$K$3:$K$22*(Calc!$G$3:$G$22&gt;B1495)*(Calc!$G$3:$G$22-B1495)^2)</f>
        <v/>
      </c>
      <c r="K1495">
        <f>SUMPRODUCT(Calc!$K$3:$K$22*(Calc!$G$3:$G$22&gt;A1495)*(Calc!$G$3:$G$22-A1495)*(Calc!$G$3:$G$22&gt;B1495)*(Calc!$G$3:$G$22-B1495))</f>
        <v/>
      </c>
      <c r="L1495">
        <f>SUMPRODUCT(Calc!$K$3:$K$22*(Calc!$G$3:$G$22&gt;A1495)*(Calc!$G$3:$G$22-A1495)*Calc!$G$3:$G$22)</f>
        <v/>
      </c>
      <c r="M1495">
        <f>SUMPRODUCT(Calc!$K$3:$K$22*(Calc!$G$3:$G$22&gt;B1495)*(Calc!$G$3:$G$22-B1495)*Calc!$G$3:$G$22)</f>
        <v/>
      </c>
      <c r="N1495">
        <f>SUMPRODUCT(Calc!$K$3:$K$22*(Calc!$G$3:$G$22&gt;A1495)*(Calc!$G$3:$G$22-A1495)*Calc!$I$3:$I$22)</f>
        <v/>
      </c>
      <c r="O1495">
        <f>SUMPRODUCT(Calc!$K$3:$K$22*(Calc!$G$3:$G$22&gt;B1495)*(Calc!$G$3:$G$22-B1495)*Calc!$I$3:$I$22)</f>
        <v/>
      </c>
      <c r="P1495">
        <f>I1495-G1495^2/k_n</f>
        <v/>
      </c>
      <c r="Q1495">
        <f>J1495-H1495^2/k_n</f>
        <v/>
      </c>
      <c r="R1495">
        <f>K1495-G1495*H1495/k_n</f>
        <v/>
      </c>
      <c r="S1495">
        <f>L1495-LTP3!$D$3*G1495/k_n</f>
        <v/>
      </c>
      <c r="T1495">
        <f>M1495-LTP3!$D$3*H1495/k_n</f>
        <v/>
      </c>
      <c r="U1495">
        <f>N1495-G1495*LTP3!$D$4/k_n</f>
        <v/>
      </c>
      <c r="V1495">
        <f>O1495-H1495*LTP3!$D$4/k_n</f>
        <v/>
      </c>
      <c r="W1495">
        <f>((LTP3!$D$5)*((P1495)*(Q1495)-(R1495)*(R1495))-(S1495)*((S1495)*(Q1495)-(R1495)*(T1495))+(T1495)*((S1495)*(R1495)-(P1495)*(T1495)))</f>
        <v/>
      </c>
      <c r="X1495">
        <f>IF(ABS(W1495)&gt;1E-12,((LTP3!$D$6)*((P1495)*(Q1495)-(R1495)*(R1495))-(S1495)*((U1495)*(Q1495)-(R1495)*(V1495))+(T1495)*((U1495)*(R1495)-(P1495)*(V1495)))/W1495,0)</f>
        <v/>
      </c>
      <c r="Y1495">
        <f>IF(ABS(W1495)&gt;1E-12,((LTP3!$D$5)*((U1495)*(Q1495)-(R1495)*(V1495))-(LTP3!$D$6)*((S1495)*(Q1495)-(R1495)*(T1495))+(T1495)*((S1495)*(V1495)-(U1495)*(T1495)))/W1495,0)</f>
        <v/>
      </c>
      <c r="Z1495">
        <f>IF(ABS(W1495)&gt;1E-12,((LTP3!$D$5)*((P1495)*(V1495)-(U1495)*(R1495))-(S1495)*((S1495)*(V1495)-(U1495)*(T1495))+(LTP3!$D$6)*((S1495)*(R1495)-(P1495)*(T1495)))/W1495,0)</f>
        <v/>
      </c>
      <c r="AA1495">
        <f>LTP3!$D$7-X1495*LTP3!$D$6-Y1495*U1495-Z1495*V1495</f>
        <v/>
      </c>
      <c r="AB1495">
        <f>IF(AND(F1495,ABS(W1495)&gt;1E-12,Y1495&gt;0,Z1495&gt;0),AA1495,1E+300)</f>
        <v/>
      </c>
    </row>
    <row r="1496">
      <c r="A1496">
        <f>$B$3+$B$5*24</f>
        <v/>
      </c>
      <c r="B1496">
        <f>$B$3+$B$5*20</f>
        <v/>
      </c>
      <c r="C1496">
        <f>SUMPRODUCT(Calc!$K$3:$K$22*(Calc!$G$3:$G$22&lt;=A1496))</f>
        <v/>
      </c>
      <c r="D1496">
        <f>SUMPRODUCT(Calc!$K$3:$K$22*(Calc!$G$3:$G$22&gt;A1496)*(Calc!$G$3:$G$22&lt;B1496))</f>
        <v/>
      </c>
      <c r="E1496">
        <f>SUMPRODUCT(Calc!$K$3:$K$22*(Calc!$G$3:$G$22&gt;=B1496))</f>
        <v/>
      </c>
      <c r="F1496">
        <f>AND(k_n&gt;=5,B1496&gt;A1496+1E-9,C1496&gt;=2,D1496&gt;=1,E1496&gt;=2)</f>
        <v/>
      </c>
      <c r="G1496">
        <f>SUMPRODUCT(Calc!$K$3:$K$22*(Calc!$G$3:$G$22&gt;A1496)*(Calc!$G$3:$G$22-A1496))</f>
        <v/>
      </c>
      <c r="H1496">
        <f>SUMPRODUCT(Calc!$K$3:$K$22*(Calc!$G$3:$G$22&gt;B1496)*(Calc!$G$3:$G$22-B1496))</f>
        <v/>
      </c>
      <c r="I1496">
        <f>SUMPRODUCT(Calc!$K$3:$K$22*(Calc!$G$3:$G$22&gt;A1496)*(Calc!$G$3:$G$22-A1496)^2)</f>
        <v/>
      </c>
      <c r="J1496">
        <f>SUMPRODUCT(Calc!$K$3:$K$22*(Calc!$G$3:$G$22&gt;B1496)*(Calc!$G$3:$G$22-B1496)^2)</f>
        <v/>
      </c>
      <c r="K1496">
        <f>SUMPRODUCT(Calc!$K$3:$K$22*(Calc!$G$3:$G$22&gt;A1496)*(Calc!$G$3:$G$22-A1496)*(Calc!$G$3:$G$22&gt;B1496)*(Calc!$G$3:$G$22-B1496))</f>
        <v/>
      </c>
      <c r="L1496">
        <f>SUMPRODUCT(Calc!$K$3:$K$22*(Calc!$G$3:$G$22&gt;A1496)*(Calc!$G$3:$G$22-A1496)*Calc!$G$3:$G$22)</f>
        <v/>
      </c>
      <c r="M1496">
        <f>SUMPRODUCT(Calc!$K$3:$K$22*(Calc!$G$3:$G$22&gt;B1496)*(Calc!$G$3:$G$22-B1496)*Calc!$G$3:$G$22)</f>
        <v/>
      </c>
      <c r="N1496">
        <f>SUMPRODUCT(Calc!$K$3:$K$22*(Calc!$G$3:$G$22&gt;A1496)*(Calc!$G$3:$G$22-A1496)*Calc!$I$3:$I$22)</f>
        <v/>
      </c>
      <c r="O1496">
        <f>SUMPRODUCT(Calc!$K$3:$K$22*(Calc!$G$3:$G$22&gt;B1496)*(Calc!$G$3:$G$22-B1496)*Calc!$I$3:$I$22)</f>
        <v/>
      </c>
      <c r="P1496">
        <f>I1496-G1496^2/k_n</f>
        <v/>
      </c>
      <c r="Q1496">
        <f>J1496-H1496^2/k_n</f>
        <v/>
      </c>
      <c r="R1496">
        <f>K1496-G1496*H1496/k_n</f>
        <v/>
      </c>
      <c r="S1496">
        <f>L1496-LTP3!$D$3*G1496/k_n</f>
        <v/>
      </c>
      <c r="T1496">
        <f>M1496-LTP3!$D$3*H1496/k_n</f>
        <v/>
      </c>
      <c r="U1496">
        <f>N1496-G1496*LTP3!$D$4/k_n</f>
        <v/>
      </c>
      <c r="V1496">
        <f>O1496-H1496*LTP3!$D$4/k_n</f>
        <v/>
      </c>
      <c r="W1496">
        <f>((LTP3!$D$5)*((P1496)*(Q1496)-(R1496)*(R1496))-(S1496)*((S1496)*(Q1496)-(R1496)*(T1496))+(T1496)*((S1496)*(R1496)-(P1496)*(T1496)))</f>
        <v/>
      </c>
      <c r="X1496">
        <f>IF(ABS(W1496)&gt;1E-12,((LTP3!$D$6)*((P1496)*(Q1496)-(R1496)*(R1496))-(S1496)*((U1496)*(Q1496)-(R1496)*(V1496))+(T1496)*((U1496)*(R1496)-(P1496)*(V1496)))/W1496,0)</f>
        <v/>
      </c>
      <c r="Y1496">
        <f>IF(ABS(W1496)&gt;1E-12,((LTP3!$D$5)*((U1496)*(Q1496)-(R1496)*(V1496))-(LTP3!$D$6)*((S1496)*(Q1496)-(R1496)*(T1496))+(T1496)*((S1496)*(V1496)-(U1496)*(T1496)))/W1496,0)</f>
        <v/>
      </c>
      <c r="Z1496">
        <f>IF(ABS(W1496)&gt;1E-12,((LTP3!$D$5)*((P1496)*(V1496)-(U1496)*(R1496))-(S1496)*((S1496)*(V1496)-(U1496)*(T1496))+(LTP3!$D$6)*((S1496)*(R1496)-(P1496)*(T1496)))/W1496,0)</f>
        <v/>
      </c>
      <c r="AA1496">
        <f>LTP3!$D$7-X1496*LTP3!$D$6-Y1496*U1496-Z1496*V1496</f>
        <v/>
      </c>
      <c r="AB1496">
        <f>IF(AND(F1496,ABS(W1496)&gt;1E-12,Y1496&gt;0,Z1496&gt;0),AA1496,1E+300)</f>
        <v/>
      </c>
    </row>
    <row r="1497">
      <c r="A1497">
        <f>$B$3+$B$5*24</f>
        <v/>
      </c>
      <c r="B1497">
        <f>$B$3+$B$5*21</f>
        <v/>
      </c>
      <c r="C1497">
        <f>SUMPRODUCT(Calc!$K$3:$K$22*(Calc!$G$3:$G$22&lt;=A1497))</f>
        <v/>
      </c>
      <c r="D1497">
        <f>SUMPRODUCT(Calc!$K$3:$K$22*(Calc!$G$3:$G$22&gt;A1497)*(Calc!$G$3:$G$22&lt;B1497))</f>
        <v/>
      </c>
      <c r="E1497">
        <f>SUMPRODUCT(Calc!$K$3:$K$22*(Calc!$G$3:$G$22&gt;=B1497))</f>
        <v/>
      </c>
      <c r="F1497">
        <f>AND(k_n&gt;=5,B1497&gt;A1497+1E-9,C1497&gt;=2,D1497&gt;=1,E1497&gt;=2)</f>
        <v/>
      </c>
      <c r="G1497">
        <f>SUMPRODUCT(Calc!$K$3:$K$22*(Calc!$G$3:$G$22&gt;A1497)*(Calc!$G$3:$G$22-A1497))</f>
        <v/>
      </c>
      <c r="H1497">
        <f>SUMPRODUCT(Calc!$K$3:$K$22*(Calc!$G$3:$G$22&gt;B1497)*(Calc!$G$3:$G$22-B1497))</f>
        <v/>
      </c>
      <c r="I1497">
        <f>SUMPRODUCT(Calc!$K$3:$K$22*(Calc!$G$3:$G$22&gt;A1497)*(Calc!$G$3:$G$22-A1497)^2)</f>
        <v/>
      </c>
      <c r="J1497">
        <f>SUMPRODUCT(Calc!$K$3:$K$22*(Calc!$G$3:$G$22&gt;B1497)*(Calc!$G$3:$G$22-B1497)^2)</f>
        <v/>
      </c>
      <c r="K1497">
        <f>SUMPRODUCT(Calc!$K$3:$K$22*(Calc!$G$3:$G$22&gt;A1497)*(Calc!$G$3:$G$22-A1497)*(Calc!$G$3:$G$22&gt;B1497)*(Calc!$G$3:$G$22-B1497))</f>
        <v/>
      </c>
      <c r="L1497">
        <f>SUMPRODUCT(Calc!$K$3:$K$22*(Calc!$G$3:$G$22&gt;A1497)*(Calc!$G$3:$G$22-A1497)*Calc!$G$3:$G$22)</f>
        <v/>
      </c>
      <c r="M1497">
        <f>SUMPRODUCT(Calc!$K$3:$K$22*(Calc!$G$3:$G$22&gt;B1497)*(Calc!$G$3:$G$22-B1497)*Calc!$G$3:$G$22)</f>
        <v/>
      </c>
      <c r="N1497">
        <f>SUMPRODUCT(Calc!$K$3:$K$22*(Calc!$G$3:$G$22&gt;A1497)*(Calc!$G$3:$G$22-A1497)*Calc!$I$3:$I$22)</f>
        <v/>
      </c>
      <c r="O1497">
        <f>SUMPRODUCT(Calc!$K$3:$K$22*(Calc!$G$3:$G$22&gt;B1497)*(Calc!$G$3:$G$22-B1497)*Calc!$I$3:$I$22)</f>
        <v/>
      </c>
      <c r="P1497">
        <f>I1497-G1497^2/k_n</f>
        <v/>
      </c>
      <c r="Q1497">
        <f>J1497-H1497^2/k_n</f>
        <v/>
      </c>
      <c r="R1497">
        <f>K1497-G1497*H1497/k_n</f>
        <v/>
      </c>
      <c r="S1497">
        <f>L1497-LTP3!$D$3*G1497/k_n</f>
        <v/>
      </c>
      <c r="T1497">
        <f>M1497-LTP3!$D$3*H1497/k_n</f>
        <v/>
      </c>
      <c r="U1497">
        <f>N1497-G1497*LTP3!$D$4/k_n</f>
        <v/>
      </c>
      <c r="V1497">
        <f>O1497-H1497*LTP3!$D$4/k_n</f>
        <v/>
      </c>
      <c r="W1497">
        <f>((LTP3!$D$5)*((P1497)*(Q1497)-(R1497)*(R1497))-(S1497)*((S1497)*(Q1497)-(R1497)*(T1497))+(T1497)*((S1497)*(R1497)-(P1497)*(T1497)))</f>
        <v/>
      </c>
      <c r="X1497">
        <f>IF(ABS(W1497)&gt;1E-12,((LTP3!$D$6)*((P1497)*(Q1497)-(R1497)*(R1497))-(S1497)*((U1497)*(Q1497)-(R1497)*(V1497))+(T1497)*((U1497)*(R1497)-(P1497)*(V1497)))/W1497,0)</f>
        <v/>
      </c>
      <c r="Y1497">
        <f>IF(ABS(W1497)&gt;1E-12,((LTP3!$D$5)*((U1497)*(Q1497)-(R1497)*(V1497))-(LTP3!$D$6)*((S1497)*(Q1497)-(R1497)*(T1497))+(T1497)*((S1497)*(V1497)-(U1497)*(T1497)))/W1497,0)</f>
        <v/>
      </c>
      <c r="Z1497">
        <f>IF(ABS(W1497)&gt;1E-12,((LTP3!$D$5)*((P1497)*(V1497)-(U1497)*(R1497))-(S1497)*((S1497)*(V1497)-(U1497)*(T1497))+(LTP3!$D$6)*((S1497)*(R1497)-(P1497)*(T1497)))/W1497,0)</f>
        <v/>
      </c>
      <c r="AA1497">
        <f>LTP3!$D$7-X1497*LTP3!$D$6-Y1497*U1497-Z1497*V1497</f>
        <v/>
      </c>
      <c r="AB1497">
        <f>IF(AND(F1497,ABS(W1497)&gt;1E-12,Y1497&gt;0,Z1497&gt;0),AA1497,1E+300)</f>
        <v/>
      </c>
    </row>
    <row r="1498">
      <c r="A1498">
        <f>$B$3+$B$5*24</f>
        <v/>
      </c>
      <c r="B1498">
        <f>$B$3+$B$5*22</f>
        <v/>
      </c>
      <c r="C1498">
        <f>SUMPRODUCT(Calc!$K$3:$K$22*(Calc!$G$3:$G$22&lt;=A1498))</f>
        <v/>
      </c>
      <c r="D1498">
        <f>SUMPRODUCT(Calc!$K$3:$K$22*(Calc!$G$3:$G$22&gt;A1498)*(Calc!$G$3:$G$22&lt;B1498))</f>
        <v/>
      </c>
      <c r="E1498">
        <f>SUMPRODUCT(Calc!$K$3:$K$22*(Calc!$G$3:$G$22&gt;=B1498))</f>
        <v/>
      </c>
      <c r="F1498">
        <f>AND(k_n&gt;=5,B1498&gt;A1498+1E-9,C1498&gt;=2,D1498&gt;=1,E1498&gt;=2)</f>
        <v/>
      </c>
      <c r="G1498">
        <f>SUMPRODUCT(Calc!$K$3:$K$22*(Calc!$G$3:$G$22&gt;A1498)*(Calc!$G$3:$G$22-A1498))</f>
        <v/>
      </c>
      <c r="H1498">
        <f>SUMPRODUCT(Calc!$K$3:$K$22*(Calc!$G$3:$G$22&gt;B1498)*(Calc!$G$3:$G$22-B1498))</f>
        <v/>
      </c>
      <c r="I1498">
        <f>SUMPRODUCT(Calc!$K$3:$K$22*(Calc!$G$3:$G$22&gt;A1498)*(Calc!$G$3:$G$22-A1498)^2)</f>
        <v/>
      </c>
      <c r="J1498">
        <f>SUMPRODUCT(Calc!$K$3:$K$22*(Calc!$G$3:$G$22&gt;B1498)*(Calc!$G$3:$G$22-B1498)^2)</f>
        <v/>
      </c>
      <c r="K1498">
        <f>SUMPRODUCT(Calc!$K$3:$K$22*(Calc!$G$3:$G$22&gt;A1498)*(Calc!$G$3:$G$22-A1498)*(Calc!$G$3:$G$22&gt;B1498)*(Calc!$G$3:$G$22-B1498))</f>
        <v/>
      </c>
      <c r="L1498">
        <f>SUMPRODUCT(Calc!$K$3:$K$22*(Calc!$G$3:$G$22&gt;A1498)*(Calc!$G$3:$G$22-A1498)*Calc!$G$3:$G$22)</f>
        <v/>
      </c>
      <c r="M1498">
        <f>SUMPRODUCT(Calc!$K$3:$K$22*(Calc!$G$3:$G$22&gt;B1498)*(Calc!$G$3:$G$22-B1498)*Calc!$G$3:$G$22)</f>
        <v/>
      </c>
      <c r="N1498">
        <f>SUMPRODUCT(Calc!$K$3:$K$22*(Calc!$G$3:$G$22&gt;A1498)*(Calc!$G$3:$G$22-A1498)*Calc!$I$3:$I$22)</f>
        <v/>
      </c>
      <c r="O1498">
        <f>SUMPRODUCT(Calc!$K$3:$K$22*(Calc!$G$3:$G$22&gt;B1498)*(Calc!$G$3:$G$22-B1498)*Calc!$I$3:$I$22)</f>
        <v/>
      </c>
      <c r="P1498">
        <f>I1498-G1498^2/k_n</f>
        <v/>
      </c>
      <c r="Q1498">
        <f>J1498-H1498^2/k_n</f>
        <v/>
      </c>
      <c r="R1498">
        <f>K1498-G1498*H1498/k_n</f>
        <v/>
      </c>
      <c r="S1498">
        <f>L1498-LTP3!$D$3*G1498/k_n</f>
        <v/>
      </c>
      <c r="T1498">
        <f>M1498-LTP3!$D$3*H1498/k_n</f>
        <v/>
      </c>
      <c r="U1498">
        <f>N1498-G1498*LTP3!$D$4/k_n</f>
        <v/>
      </c>
      <c r="V1498">
        <f>O1498-H1498*LTP3!$D$4/k_n</f>
        <v/>
      </c>
      <c r="W1498">
        <f>((LTP3!$D$5)*((P1498)*(Q1498)-(R1498)*(R1498))-(S1498)*((S1498)*(Q1498)-(R1498)*(T1498))+(T1498)*((S1498)*(R1498)-(P1498)*(T1498)))</f>
        <v/>
      </c>
      <c r="X1498">
        <f>IF(ABS(W1498)&gt;1E-12,((LTP3!$D$6)*((P1498)*(Q1498)-(R1498)*(R1498))-(S1498)*((U1498)*(Q1498)-(R1498)*(V1498))+(T1498)*((U1498)*(R1498)-(P1498)*(V1498)))/W1498,0)</f>
        <v/>
      </c>
      <c r="Y1498">
        <f>IF(ABS(W1498)&gt;1E-12,((LTP3!$D$5)*((U1498)*(Q1498)-(R1498)*(V1498))-(LTP3!$D$6)*((S1498)*(Q1498)-(R1498)*(T1498))+(T1498)*((S1498)*(V1498)-(U1498)*(T1498)))/W1498,0)</f>
        <v/>
      </c>
      <c r="Z1498">
        <f>IF(ABS(W1498)&gt;1E-12,((LTP3!$D$5)*((P1498)*(V1498)-(U1498)*(R1498))-(S1498)*((S1498)*(V1498)-(U1498)*(T1498))+(LTP3!$D$6)*((S1498)*(R1498)-(P1498)*(T1498)))/W1498,0)</f>
        <v/>
      </c>
      <c r="AA1498">
        <f>LTP3!$D$7-X1498*LTP3!$D$6-Y1498*U1498-Z1498*V1498</f>
        <v/>
      </c>
      <c r="AB1498">
        <f>IF(AND(F1498,ABS(W1498)&gt;1E-12,Y1498&gt;0,Z1498&gt;0),AA1498,1E+300)</f>
        <v/>
      </c>
    </row>
    <row r="1499">
      <c r="A1499">
        <f>$B$3+$B$5*24</f>
        <v/>
      </c>
      <c r="B1499">
        <f>$B$3+$B$5*23</f>
        <v/>
      </c>
      <c r="C1499">
        <f>SUMPRODUCT(Calc!$K$3:$K$22*(Calc!$G$3:$G$22&lt;=A1499))</f>
        <v/>
      </c>
      <c r="D1499">
        <f>SUMPRODUCT(Calc!$K$3:$K$22*(Calc!$G$3:$G$22&gt;A1499)*(Calc!$G$3:$G$22&lt;B1499))</f>
        <v/>
      </c>
      <c r="E1499">
        <f>SUMPRODUCT(Calc!$K$3:$K$22*(Calc!$G$3:$G$22&gt;=B1499))</f>
        <v/>
      </c>
      <c r="F1499">
        <f>AND(k_n&gt;=5,B1499&gt;A1499+1E-9,C1499&gt;=2,D1499&gt;=1,E1499&gt;=2)</f>
        <v/>
      </c>
      <c r="G1499">
        <f>SUMPRODUCT(Calc!$K$3:$K$22*(Calc!$G$3:$G$22&gt;A1499)*(Calc!$G$3:$G$22-A1499))</f>
        <v/>
      </c>
      <c r="H1499">
        <f>SUMPRODUCT(Calc!$K$3:$K$22*(Calc!$G$3:$G$22&gt;B1499)*(Calc!$G$3:$G$22-B1499))</f>
        <v/>
      </c>
      <c r="I1499">
        <f>SUMPRODUCT(Calc!$K$3:$K$22*(Calc!$G$3:$G$22&gt;A1499)*(Calc!$G$3:$G$22-A1499)^2)</f>
        <v/>
      </c>
      <c r="J1499">
        <f>SUMPRODUCT(Calc!$K$3:$K$22*(Calc!$G$3:$G$22&gt;B1499)*(Calc!$G$3:$G$22-B1499)^2)</f>
        <v/>
      </c>
      <c r="K1499">
        <f>SUMPRODUCT(Calc!$K$3:$K$22*(Calc!$G$3:$G$22&gt;A1499)*(Calc!$G$3:$G$22-A1499)*(Calc!$G$3:$G$22&gt;B1499)*(Calc!$G$3:$G$22-B1499))</f>
        <v/>
      </c>
      <c r="L1499">
        <f>SUMPRODUCT(Calc!$K$3:$K$22*(Calc!$G$3:$G$22&gt;A1499)*(Calc!$G$3:$G$22-A1499)*Calc!$G$3:$G$22)</f>
        <v/>
      </c>
      <c r="M1499">
        <f>SUMPRODUCT(Calc!$K$3:$K$22*(Calc!$G$3:$G$22&gt;B1499)*(Calc!$G$3:$G$22-B1499)*Calc!$G$3:$G$22)</f>
        <v/>
      </c>
      <c r="N1499">
        <f>SUMPRODUCT(Calc!$K$3:$K$22*(Calc!$G$3:$G$22&gt;A1499)*(Calc!$G$3:$G$22-A1499)*Calc!$I$3:$I$22)</f>
        <v/>
      </c>
      <c r="O1499">
        <f>SUMPRODUCT(Calc!$K$3:$K$22*(Calc!$G$3:$G$22&gt;B1499)*(Calc!$G$3:$G$22-B1499)*Calc!$I$3:$I$22)</f>
        <v/>
      </c>
      <c r="P1499">
        <f>I1499-G1499^2/k_n</f>
        <v/>
      </c>
      <c r="Q1499">
        <f>J1499-H1499^2/k_n</f>
        <v/>
      </c>
      <c r="R1499">
        <f>K1499-G1499*H1499/k_n</f>
        <v/>
      </c>
      <c r="S1499">
        <f>L1499-LTP3!$D$3*G1499/k_n</f>
        <v/>
      </c>
      <c r="T1499">
        <f>M1499-LTP3!$D$3*H1499/k_n</f>
        <v/>
      </c>
      <c r="U1499">
        <f>N1499-G1499*LTP3!$D$4/k_n</f>
        <v/>
      </c>
      <c r="V1499">
        <f>O1499-H1499*LTP3!$D$4/k_n</f>
        <v/>
      </c>
      <c r="W1499">
        <f>((LTP3!$D$5)*((P1499)*(Q1499)-(R1499)*(R1499))-(S1499)*((S1499)*(Q1499)-(R1499)*(T1499))+(T1499)*((S1499)*(R1499)-(P1499)*(T1499)))</f>
        <v/>
      </c>
      <c r="X1499">
        <f>IF(ABS(W1499)&gt;1E-12,((LTP3!$D$6)*((P1499)*(Q1499)-(R1499)*(R1499))-(S1499)*((U1499)*(Q1499)-(R1499)*(V1499))+(T1499)*((U1499)*(R1499)-(P1499)*(V1499)))/W1499,0)</f>
        <v/>
      </c>
      <c r="Y1499">
        <f>IF(ABS(W1499)&gt;1E-12,((LTP3!$D$5)*((U1499)*(Q1499)-(R1499)*(V1499))-(LTP3!$D$6)*((S1499)*(Q1499)-(R1499)*(T1499))+(T1499)*((S1499)*(V1499)-(U1499)*(T1499)))/W1499,0)</f>
        <v/>
      </c>
      <c r="Z1499">
        <f>IF(ABS(W1499)&gt;1E-12,((LTP3!$D$5)*((P1499)*(V1499)-(U1499)*(R1499))-(S1499)*((S1499)*(V1499)-(U1499)*(T1499))+(LTP3!$D$6)*((S1499)*(R1499)-(P1499)*(T1499)))/W1499,0)</f>
        <v/>
      </c>
      <c r="AA1499">
        <f>LTP3!$D$7-X1499*LTP3!$D$6-Y1499*U1499-Z1499*V1499</f>
        <v/>
      </c>
      <c r="AB1499">
        <f>IF(AND(F1499,ABS(W1499)&gt;1E-12,Y1499&gt;0,Z1499&gt;0),AA1499,1E+300)</f>
        <v/>
      </c>
    </row>
    <row r="1500">
      <c r="A1500">
        <f>$B$3+$B$5*24</f>
        <v/>
      </c>
      <c r="B1500">
        <f>$B$3+$B$5*24</f>
        <v/>
      </c>
      <c r="C1500">
        <f>SUMPRODUCT(Calc!$K$3:$K$22*(Calc!$G$3:$G$22&lt;=A1500))</f>
        <v/>
      </c>
      <c r="D1500">
        <f>SUMPRODUCT(Calc!$K$3:$K$22*(Calc!$G$3:$G$22&gt;A1500)*(Calc!$G$3:$G$22&lt;B1500))</f>
        <v/>
      </c>
      <c r="E1500">
        <f>SUMPRODUCT(Calc!$K$3:$K$22*(Calc!$G$3:$G$22&gt;=B1500))</f>
        <v/>
      </c>
      <c r="F1500">
        <f>AND(k_n&gt;=5,B1500&gt;A1500+1E-9,C1500&gt;=2,D1500&gt;=1,E1500&gt;=2)</f>
        <v/>
      </c>
      <c r="G1500">
        <f>SUMPRODUCT(Calc!$K$3:$K$22*(Calc!$G$3:$G$22&gt;A1500)*(Calc!$G$3:$G$22-A1500))</f>
        <v/>
      </c>
      <c r="H1500">
        <f>SUMPRODUCT(Calc!$K$3:$K$22*(Calc!$G$3:$G$22&gt;B1500)*(Calc!$G$3:$G$22-B1500))</f>
        <v/>
      </c>
      <c r="I1500">
        <f>SUMPRODUCT(Calc!$K$3:$K$22*(Calc!$G$3:$G$22&gt;A1500)*(Calc!$G$3:$G$22-A1500)^2)</f>
        <v/>
      </c>
      <c r="J1500">
        <f>SUMPRODUCT(Calc!$K$3:$K$22*(Calc!$G$3:$G$22&gt;B1500)*(Calc!$G$3:$G$22-B1500)^2)</f>
        <v/>
      </c>
      <c r="K1500">
        <f>SUMPRODUCT(Calc!$K$3:$K$22*(Calc!$G$3:$G$22&gt;A1500)*(Calc!$G$3:$G$22-A1500)*(Calc!$G$3:$G$22&gt;B1500)*(Calc!$G$3:$G$22-B1500))</f>
        <v/>
      </c>
      <c r="L1500">
        <f>SUMPRODUCT(Calc!$K$3:$K$22*(Calc!$G$3:$G$22&gt;A1500)*(Calc!$G$3:$G$22-A1500)*Calc!$G$3:$G$22)</f>
        <v/>
      </c>
      <c r="M1500">
        <f>SUMPRODUCT(Calc!$K$3:$K$22*(Calc!$G$3:$G$22&gt;B1500)*(Calc!$G$3:$G$22-B1500)*Calc!$G$3:$G$22)</f>
        <v/>
      </c>
      <c r="N1500">
        <f>SUMPRODUCT(Calc!$K$3:$K$22*(Calc!$G$3:$G$22&gt;A1500)*(Calc!$G$3:$G$22-A1500)*Calc!$I$3:$I$22)</f>
        <v/>
      </c>
      <c r="O1500">
        <f>SUMPRODUCT(Calc!$K$3:$K$22*(Calc!$G$3:$G$22&gt;B1500)*(Calc!$G$3:$G$22-B1500)*Calc!$I$3:$I$22)</f>
        <v/>
      </c>
      <c r="P1500">
        <f>I1500-G1500^2/k_n</f>
        <v/>
      </c>
      <c r="Q1500">
        <f>J1500-H1500^2/k_n</f>
        <v/>
      </c>
      <c r="R1500">
        <f>K1500-G1500*H1500/k_n</f>
        <v/>
      </c>
      <c r="S1500">
        <f>L1500-LTP3!$D$3*G1500/k_n</f>
        <v/>
      </c>
      <c r="T1500">
        <f>M1500-LTP3!$D$3*H1500/k_n</f>
        <v/>
      </c>
      <c r="U1500">
        <f>N1500-G1500*LTP3!$D$4/k_n</f>
        <v/>
      </c>
      <c r="V1500">
        <f>O1500-H1500*LTP3!$D$4/k_n</f>
        <v/>
      </c>
      <c r="W1500">
        <f>((LTP3!$D$5)*((P1500)*(Q1500)-(R1500)*(R1500))-(S1500)*((S1500)*(Q1500)-(R1500)*(T1500))+(T1500)*((S1500)*(R1500)-(P1500)*(T1500)))</f>
        <v/>
      </c>
      <c r="X1500">
        <f>IF(ABS(W1500)&gt;1E-12,((LTP3!$D$6)*((P1500)*(Q1500)-(R1500)*(R1500))-(S1500)*((U1500)*(Q1500)-(R1500)*(V1500))+(T1500)*((U1500)*(R1500)-(P1500)*(V1500)))/W1500,0)</f>
        <v/>
      </c>
      <c r="Y1500">
        <f>IF(ABS(W1500)&gt;1E-12,((LTP3!$D$5)*((U1500)*(Q1500)-(R1500)*(V1500))-(LTP3!$D$6)*((S1500)*(Q1500)-(R1500)*(T1500))+(T1500)*((S1500)*(V1500)-(U1500)*(T1500)))/W1500,0)</f>
        <v/>
      </c>
      <c r="Z1500">
        <f>IF(ABS(W1500)&gt;1E-12,((LTP3!$D$5)*((P1500)*(V1500)-(U1500)*(R1500))-(S1500)*((S1500)*(V1500)-(U1500)*(T1500))+(LTP3!$D$6)*((S1500)*(R1500)-(P1500)*(T1500)))/W1500,0)</f>
        <v/>
      </c>
      <c r="AA1500">
        <f>LTP3!$D$7-X1500*LTP3!$D$6-Y1500*U1500-Z1500*V1500</f>
        <v/>
      </c>
      <c r="AB1500">
        <f>IF(AND(F1500,ABS(W1500)&gt;1E-12,Y1500&gt;0,Z1500&gt;0),AA1500,1E+300)</f>
        <v/>
      </c>
    </row>
    <row r="1501">
      <c r="A1501">
        <f>$B$3+$B$5*24</f>
        <v/>
      </c>
      <c r="B1501">
        <f>$B$3+$B$5*25</f>
        <v/>
      </c>
      <c r="C1501">
        <f>SUMPRODUCT(Calc!$K$3:$K$22*(Calc!$G$3:$G$22&lt;=A1501))</f>
        <v/>
      </c>
      <c r="D1501">
        <f>SUMPRODUCT(Calc!$K$3:$K$22*(Calc!$G$3:$G$22&gt;A1501)*(Calc!$G$3:$G$22&lt;B1501))</f>
        <v/>
      </c>
      <c r="E1501">
        <f>SUMPRODUCT(Calc!$K$3:$K$22*(Calc!$G$3:$G$22&gt;=B1501))</f>
        <v/>
      </c>
      <c r="F1501">
        <f>AND(k_n&gt;=5,B1501&gt;A1501+1E-9,C1501&gt;=2,D1501&gt;=1,E1501&gt;=2)</f>
        <v/>
      </c>
      <c r="G1501">
        <f>SUMPRODUCT(Calc!$K$3:$K$22*(Calc!$G$3:$G$22&gt;A1501)*(Calc!$G$3:$G$22-A1501))</f>
        <v/>
      </c>
      <c r="H1501">
        <f>SUMPRODUCT(Calc!$K$3:$K$22*(Calc!$G$3:$G$22&gt;B1501)*(Calc!$G$3:$G$22-B1501))</f>
        <v/>
      </c>
      <c r="I1501">
        <f>SUMPRODUCT(Calc!$K$3:$K$22*(Calc!$G$3:$G$22&gt;A1501)*(Calc!$G$3:$G$22-A1501)^2)</f>
        <v/>
      </c>
      <c r="J1501">
        <f>SUMPRODUCT(Calc!$K$3:$K$22*(Calc!$G$3:$G$22&gt;B1501)*(Calc!$G$3:$G$22-B1501)^2)</f>
        <v/>
      </c>
      <c r="K1501">
        <f>SUMPRODUCT(Calc!$K$3:$K$22*(Calc!$G$3:$G$22&gt;A1501)*(Calc!$G$3:$G$22-A1501)*(Calc!$G$3:$G$22&gt;B1501)*(Calc!$G$3:$G$22-B1501))</f>
        <v/>
      </c>
      <c r="L1501">
        <f>SUMPRODUCT(Calc!$K$3:$K$22*(Calc!$G$3:$G$22&gt;A1501)*(Calc!$G$3:$G$22-A1501)*Calc!$G$3:$G$22)</f>
        <v/>
      </c>
      <c r="M1501">
        <f>SUMPRODUCT(Calc!$K$3:$K$22*(Calc!$G$3:$G$22&gt;B1501)*(Calc!$G$3:$G$22-B1501)*Calc!$G$3:$G$22)</f>
        <v/>
      </c>
      <c r="N1501">
        <f>SUMPRODUCT(Calc!$K$3:$K$22*(Calc!$G$3:$G$22&gt;A1501)*(Calc!$G$3:$G$22-A1501)*Calc!$I$3:$I$22)</f>
        <v/>
      </c>
      <c r="O1501">
        <f>SUMPRODUCT(Calc!$K$3:$K$22*(Calc!$G$3:$G$22&gt;B1501)*(Calc!$G$3:$G$22-B1501)*Calc!$I$3:$I$22)</f>
        <v/>
      </c>
      <c r="P1501">
        <f>I1501-G1501^2/k_n</f>
        <v/>
      </c>
      <c r="Q1501">
        <f>J1501-H1501^2/k_n</f>
        <v/>
      </c>
      <c r="R1501">
        <f>K1501-G1501*H1501/k_n</f>
        <v/>
      </c>
      <c r="S1501">
        <f>L1501-LTP3!$D$3*G1501/k_n</f>
        <v/>
      </c>
      <c r="T1501">
        <f>M1501-LTP3!$D$3*H1501/k_n</f>
        <v/>
      </c>
      <c r="U1501">
        <f>N1501-G1501*LTP3!$D$4/k_n</f>
        <v/>
      </c>
      <c r="V1501">
        <f>O1501-H1501*LTP3!$D$4/k_n</f>
        <v/>
      </c>
      <c r="W1501">
        <f>((LTP3!$D$5)*((P1501)*(Q1501)-(R1501)*(R1501))-(S1501)*((S1501)*(Q1501)-(R1501)*(T1501))+(T1501)*((S1501)*(R1501)-(P1501)*(T1501)))</f>
        <v/>
      </c>
      <c r="X1501">
        <f>IF(ABS(W1501)&gt;1E-12,((LTP3!$D$6)*((P1501)*(Q1501)-(R1501)*(R1501))-(S1501)*((U1501)*(Q1501)-(R1501)*(V1501))+(T1501)*((U1501)*(R1501)-(P1501)*(V1501)))/W1501,0)</f>
        <v/>
      </c>
      <c r="Y1501">
        <f>IF(ABS(W1501)&gt;1E-12,((LTP3!$D$5)*((U1501)*(Q1501)-(R1501)*(V1501))-(LTP3!$D$6)*((S1501)*(Q1501)-(R1501)*(T1501))+(T1501)*((S1501)*(V1501)-(U1501)*(T1501)))/W1501,0)</f>
        <v/>
      </c>
      <c r="Z1501">
        <f>IF(ABS(W1501)&gt;1E-12,((LTP3!$D$5)*((P1501)*(V1501)-(U1501)*(R1501))-(S1501)*((S1501)*(V1501)-(U1501)*(T1501))+(LTP3!$D$6)*((S1501)*(R1501)-(P1501)*(T1501)))/W1501,0)</f>
        <v/>
      </c>
      <c r="AA1501">
        <f>LTP3!$D$7-X1501*LTP3!$D$6-Y1501*U1501-Z1501*V1501</f>
        <v/>
      </c>
      <c r="AB1501">
        <f>IF(AND(F1501,ABS(W1501)&gt;1E-12,Y1501&gt;0,Z1501&gt;0),AA1501,1E+300)</f>
        <v/>
      </c>
    </row>
    <row r="1502">
      <c r="A1502">
        <f>$B$3+$B$5*24</f>
        <v/>
      </c>
      <c r="B1502">
        <f>$B$3+$B$5*26</f>
        <v/>
      </c>
      <c r="C1502">
        <f>SUMPRODUCT(Calc!$K$3:$K$22*(Calc!$G$3:$G$22&lt;=A1502))</f>
        <v/>
      </c>
      <c r="D1502">
        <f>SUMPRODUCT(Calc!$K$3:$K$22*(Calc!$G$3:$G$22&gt;A1502)*(Calc!$G$3:$G$22&lt;B1502))</f>
        <v/>
      </c>
      <c r="E1502">
        <f>SUMPRODUCT(Calc!$K$3:$K$22*(Calc!$G$3:$G$22&gt;=B1502))</f>
        <v/>
      </c>
      <c r="F1502">
        <f>AND(k_n&gt;=5,B1502&gt;A1502+1E-9,C1502&gt;=2,D1502&gt;=1,E1502&gt;=2)</f>
        <v/>
      </c>
      <c r="G1502">
        <f>SUMPRODUCT(Calc!$K$3:$K$22*(Calc!$G$3:$G$22&gt;A1502)*(Calc!$G$3:$G$22-A1502))</f>
        <v/>
      </c>
      <c r="H1502">
        <f>SUMPRODUCT(Calc!$K$3:$K$22*(Calc!$G$3:$G$22&gt;B1502)*(Calc!$G$3:$G$22-B1502))</f>
        <v/>
      </c>
      <c r="I1502">
        <f>SUMPRODUCT(Calc!$K$3:$K$22*(Calc!$G$3:$G$22&gt;A1502)*(Calc!$G$3:$G$22-A1502)^2)</f>
        <v/>
      </c>
      <c r="J1502">
        <f>SUMPRODUCT(Calc!$K$3:$K$22*(Calc!$G$3:$G$22&gt;B1502)*(Calc!$G$3:$G$22-B1502)^2)</f>
        <v/>
      </c>
      <c r="K1502">
        <f>SUMPRODUCT(Calc!$K$3:$K$22*(Calc!$G$3:$G$22&gt;A1502)*(Calc!$G$3:$G$22-A1502)*(Calc!$G$3:$G$22&gt;B1502)*(Calc!$G$3:$G$22-B1502))</f>
        <v/>
      </c>
      <c r="L1502">
        <f>SUMPRODUCT(Calc!$K$3:$K$22*(Calc!$G$3:$G$22&gt;A1502)*(Calc!$G$3:$G$22-A1502)*Calc!$G$3:$G$22)</f>
        <v/>
      </c>
      <c r="M1502">
        <f>SUMPRODUCT(Calc!$K$3:$K$22*(Calc!$G$3:$G$22&gt;B1502)*(Calc!$G$3:$G$22-B1502)*Calc!$G$3:$G$22)</f>
        <v/>
      </c>
      <c r="N1502">
        <f>SUMPRODUCT(Calc!$K$3:$K$22*(Calc!$G$3:$G$22&gt;A1502)*(Calc!$G$3:$G$22-A1502)*Calc!$I$3:$I$22)</f>
        <v/>
      </c>
      <c r="O1502">
        <f>SUMPRODUCT(Calc!$K$3:$K$22*(Calc!$G$3:$G$22&gt;B1502)*(Calc!$G$3:$G$22-B1502)*Calc!$I$3:$I$22)</f>
        <v/>
      </c>
      <c r="P1502">
        <f>I1502-G1502^2/k_n</f>
        <v/>
      </c>
      <c r="Q1502">
        <f>J1502-H1502^2/k_n</f>
        <v/>
      </c>
      <c r="R1502">
        <f>K1502-G1502*H1502/k_n</f>
        <v/>
      </c>
      <c r="S1502">
        <f>L1502-LTP3!$D$3*G1502/k_n</f>
        <v/>
      </c>
      <c r="T1502">
        <f>M1502-LTP3!$D$3*H1502/k_n</f>
        <v/>
      </c>
      <c r="U1502">
        <f>N1502-G1502*LTP3!$D$4/k_n</f>
        <v/>
      </c>
      <c r="V1502">
        <f>O1502-H1502*LTP3!$D$4/k_n</f>
        <v/>
      </c>
      <c r="W1502">
        <f>((LTP3!$D$5)*((P1502)*(Q1502)-(R1502)*(R1502))-(S1502)*((S1502)*(Q1502)-(R1502)*(T1502))+(T1502)*((S1502)*(R1502)-(P1502)*(T1502)))</f>
        <v/>
      </c>
      <c r="X1502">
        <f>IF(ABS(W1502)&gt;1E-12,((LTP3!$D$6)*((P1502)*(Q1502)-(R1502)*(R1502))-(S1502)*((U1502)*(Q1502)-(R1502)*(V1502))+(T1502)*((U1502)*(R1502)-(P1502)*(V1502)))/W1502,0)</f>
        <v/>
      </c>
      <c r="Y1502">
        <f>IF(ABS(W1502)&gt;1E-12,((LTP3!$D$5)*((U1502)*(Q1502)-(R1502)*(V1502))-(LTP3!$D$6)*((S1502)*(Q1502)-(R1502)*(T1502))+(T1502)*((S1502)*(V1502)-(U1502)*(T1502)))/W1502,0)</f>
        <v/>
      </c>
      <c r="Z1502">
        <f>IF(ABS(W1502)&gt;1E-12,((LTP3!$D$5)*((P1502)*(V1502)-(U1502)*(R1502))-(S1502)*((S1502)*(V1502)-(U1502)*(T1502))+(LTP3!$D$6)*((S1502)*(R1502)-(P1502)*(T1502)))/W1502,0)</f>
        <v/>
      </c>
      <c r="AA1502">
        <f>LTP3!$D$7-X1502*LTP3!$D$6-Y1502*U1502-Z1502*V1502</f>
        <v/>
      </c>
      <c r="AB1502">
        <f>IF(AND(F1502,ABS(W1502)&gt;1E-12,Y1502&gt;0,Z1502&gt;0),AA1502,1E+300)</f>
        <v/>
      </c>
    </row>
    <row r="1503">
      <c r="A1503">
        <f>$B$3+$B$5*24</f>
        <v/>
      </c>
      <c r="B1503">
        <f>$B$3+$B$5*27</f>
        <v/>
      </c>
      <c r="C1503">
        <f>SUMPRODUCT(Calc!$K$3:$K$22*(Calc!$G$3:$G$22&lt;=A1503))</f>
        <v/>
      </c>
      <c r="D1503">
        <f>SUMPRODUCT(Calc!$K$3:$K$22*(Calc!$G$3:$G$22&gt;A1503)*(Calc!$G$3:$G$22&lt;B1503))</f>
        <v/>
      </c>
      <c r="E1503">
        <f>SUMPRODUCT(Calc!$K$3:$K$22*(Calc!$G$3:$G$22&gt;=B1503))</f>
        <v/>
      </c>
      <c r="F1503">
        <f>AND(k_n&gt;=5,B1503&gt;A1503+1E-9,C1503&gt;=2,D1503&gt;=1,E1503&gt;=2)</f>
        <v/>
      </c>
      <c r="G1503">
        <f>SUMPRODUCT(Calc!$K$3:$K$22*(Calc!$G$3:$G$22&gt;A1503)*(Calc!$G$3:$G$22-A1503))</f>
        <v/>
      </c>
      <c r="H1503">
        <f>SUMPRODUCT(Calc!$K$3:$K$22*(Calc!$G$3:$G$22&gt;B1503)*(Calc!$G$3:$G$22-B1503))</f>
        <v/>
      </c>
      <c r="I1503">
        <f>SUMPRODUCT(Calc!$K$3:$K$22*(Calc!$G$3:$G$22&gt;A1503)*(Calc!$G$3:$G$22-A1503)^2)</f>
        <v/>
      </c>
      <c r="J1503">
        <f>SUMPRODUCT(Calc!$K$3:$K$22*(Calc!$G$3:$G$22&gt;B1503)*(Calc!$G$3:$G$22-B1503)^2)</f>
        <v/>
      </c>
      <c r="K1503">
        <f>SUMPRODUCT(Calc!$K$3:$K$22*(Calc!$G$3:$G$22&gt;A1503)*(Calc!$G$3:$G$22-A1503)*(Calc!$G$3:$G$22&gt;B1503)*(Calc!$G$3:$G$22-B1503))</f>
        <v/>
      </c>
      <c r="L1503">
        <f>SUMPRODUCT(Calc!$K$3:$K$22*(Calc!$G$3:$G$22&gt;A1503)*(Calc!$G$3:$G$22-A1503)*Calc!$G$3:$G$22)</f>
        <v/>
      </c>
      <c r="M1503">
        <f>SUMPRODUCT(Calc!$K$3:$K$22*(Calc!$G$3:$G$22&gt;B1503)*(Calc!$G$3:$G$22-B1503)*Calc!$G$3:$G$22)</f>
        <v/>
      </c>
      <c r="N1503">
        <f>SUMPRODUCT(Calc!$K$3:$K$22*(Calc!$G$3:$G$22&gt;A1503)*(Calc!$G$3:$G$22-A1503)*Calc!$I$3:$I$22)</f>
        <v/>
      </c>
      <c r="O1503">
        <f>SUMPRODUCT(Calc!$K$3:$K$22*(Calc!$G$3:$G$22&gt;B1503)*(Calc!$G$3:$G$22-B1503)*Calc!$I$3:$I$22)</f>
        <v/>
      </c>
      <c r="P1503">
        <f>I1503-G1503^2/k_n</f>
        <v/>
      </c>
      <c r="Q1503">
        <f>J1503-H1503^2/k_n</f>
        <v/>
      </c>
      <c r="R1503">
        <f>K1503-G1503*H1503/k_n</f>
        <v/>
      </c>
      <c r="S1503">
        <f>L1503-LTP3!$D$3*G1503/k_n</f>
        <v/>
      </c>
      <c r="T1503">
        <f>M1503-LTP3!$D$3*H1503/k_n</f>
        <v/>
      </c>
      <c r="U1503">
        <f>N1503-G1503*LTP3!$D$4/k_n</f>
        <v/>
      </c>
      <c r="V1503">
        <f>O1503-H1503*LTP3!$D$4/k_n</f>
        <v/>
      </c>
      <c r="W1503">
        <f>((LTP3!$D$5)*((P1503)*(Q1503)-(R1503)*(R1503))-(S1503)*((S1503)*(Q1503)-(R1503)*(T1503))+(T1503)*((S1503)*(R1503)-(P1503)*(T1503)))</f>
        <v/>
      </c>
      <c r="X1503">
        <f>IF(ABS(W1503)&gt;1E-12,((LTP3!$D$6)*((P1503)*(Q1503)-(R1503)*(R1503))-(S1503)*((U1503)*(Q1503)-(R1503)*(V1503))+(T1503)*((U1503)*(R1503)-(P1503)*(V1503)))/W1503,0)</f>
        <v/>
      </c>
      <c r="Y1503">
        <f>IF(ABS(W1503)&gt;1E-12,((LTP3!$D$5)*((U1503)*(Q1503)-(R1503)*(V1503))-(LTP3!$D$6)*((S1503)*(Q1503)-(R1503)*(T1503))+(T1503)*((S1503)*(V1503)-(U1503)*(T1503)))/W1503,0)</f>
        <v/>
      </c>
      <c r="Z1503">
        <f>IF(ABS(W1503)&gt;1E-12,((LTP3!$D$5)*((P1503)*(V1503)-(U1503)*(R1503))-(S1503)*((S1503)*(V1503)-(U1503)*(T1503))+(LTP3!$D$6)*((S1503)*(R1503)-(P1503)*(T1503)))/W1503,0)</f>
        <v/>
      </c>
      <c r="AA1503">
        <f>LTP3!$D$7-X1503*LTP3!$D$6-Y1503*U1503-Z1503*V1503</f>
        <v/>
      </c>
      <c r="AB1503">
        <f>IF(AND(F1503,ABS(W1503)&gt;1E-12,Y1503&gt;0,Z1503&gt;0),AA1503,1E+300)</f>
        <v/>
      </c>
    </row>
    <row r="1504">
      <c r="A1504">
        <f>$B$3+$B$5*24</f>
        <v/>
      </c>
      <c r="B1504">
        <f>$B$3+$B$5*28</f>
        <v/>
      </c>
      <c r="C1504">
        <f>SUMPRODUCT(Calc!$K$3:$K$22*(Calc!$G$3:$G$22&lt;=A1504))</f>
        <v/>
      </c>
      <c r="D1504">
        <f>SUMPRODUCT(Calc!$K$3:$K$22*(Calc!$G$3:$G$22&gt;A1504)*(Calc!$G$3:$G$22&lt;B1504))</f>
        <v/>
      </c>
      <c r="E1504">
        <f>SUMPRODUCT(Calc!$K$3:$K$22*(Calc!$G$3:$G$22&gt;=B1504))</f>
        <v/>
      </c>
      <c r="F1504">
        <f>AND(k_n&gt;=5,B1504&gt;A1504+1E-9,C1504&gt;=2,D1504&gt;=1,E1504&gt;=2)</f>
        <v/>
      </c>
      <c r="G1504">
        <f>SUMPRODUCT(Calc!$K$3:$K$22*(Calc!$G$3:$G$22&gt;A1504)*(Calc!$G$3:$G$22-A1504))</f>
        <v/>
      </c>
      <c r="H1504">
        <f>SUMPRODUCT(Calc!$K$3:$K$22*(Calc!$G$3:$G$22&gt;B1504)*(Calc!$G$3:$G$22-B1504))</f>
        <v/>
      </c>
      <c r="I1504">
        <f>SUMPRODUCT(Calc!$K$3:$K$22*(Calc!$G$3:$G$22&gt;A1504)*(Calc!$G$3:$G$22-A1504)^2)</f>
        <v/>
      </c>
      <c r="J1504">
        <f>SUMPRODUCT(Calc!$K$3:$K$22*(Calc!$G$3:$G$22&gt;B1504)*(Calc!$G$3:$G$22-B1504)^2)</f>
        <v/>
      </c>
      <c r="K1504">
        <f>SUMPRODUCT(Calc!$K$3:$K$22*(Calc!$G$3:$G$22&gt;A1504)*(Calc!$G$3:$G$22-A1504)*(Calc!$G$3:$G$22&gt;B1504)*(Calc!$G$3:$G$22-B1504))</f>
        <v/>
      </c>
      <c r="L1504">
        <f>SUMPRODUCT(Calc!$K$3:$K$22*(Calc!$G$3:$G$22&gt;A1504)*(Calc!$G$3:$G$22-A1504)*Calc!$G$3:$G$22)</f>
        <v/>
      </c>
      <c r="M1504">
        <f>SUMPRODUCT(Calc!$K$3:$K$22*(Calc!$G$3:$G$22&gt;B1504)*(Calc!$G$3:$G$22-B1504)*Calc!$G$3:$G$22)</f>
        <v/>
      </c>
      <c r="N1504">
        <f>SUMPRODUCT(Calc!$K$3:$K$22*(Calc!$G$3:$G$22&gt;A1504)*(Calc!$G$3:$G$22-A1504)*Calc!$I$3:$I$22)</f>
        <v/>
      </c>
      <c r="O1504">
        <f>SUMPRODUCT(Calc!$K$3:$K$22*(Calc!$G$3:$G$22&gt;B1504)*(Calc!$G$3:$G$22-B1504)*Calc!$I$3:$I$22)</f>
        <v/>
      </c>
      <c r="P1504">
        <f>I1504-G1504^2/k_n</f>
        <v/>
      </c>
      <c r="Q1504">
        <f>J1504-H1504^2/k_n</f>
        <v/>
      </c>
      <c r="R1504">
        <f>K1504-G1504*H1504/k_n</f>
        <v/>
      </c>
      <c r="S1504">
        <f>L1504-LTP3!$D$3*G1504/k_n</f>
        <v/>
      </c>
      <c r="T1504">
        <f>M1504-LTP3!$D$3*H1504/k_n</f>
        <v/>
      </c>
      <c r="U1504">
        <f>N1504-G1504*LTP3!$D$4/k_n</f>
        <v/>
      </c>
      <c r="V1504">
        <f>O1504-H1504*LTP3!$D$4/k_n</f>
        <v/>
      </c>
      <c r="W1504">
        <f>((LTP3!$D$5)*((P1504)*(Q1504)-(R1504)*(R1504))-(S1504)*((S1504)*(Q1504)-(R1504)*(T1504))+(T1504)*((S1504)*(R1504)-(P1504)*(T1504)))</f>
        <v/>
      </c>
      <c r="X1504">
        <f>IF(ABS(W1504)&gt;1E-12,((LTP3!$D$6)*((P1504)*(Q1504)-(R1504)*(R1504))-(S1504)*((U1504)*(Q1504)-(R1504)*(V1504))+(T1504)*((U1504)*(R1504)-(P1504)*(V1504)))/W1504,0)</f>
        <v/>
      </c>
      <c r="Y1504">
        <f>IF(ABS(W1504)&gt;1E-12,((LTP3!$D$5)*((U1504)*(Q1504)-(R1504)*(V1504))-(LTP3!$D$6)*((S1504)*(Q1504)-(R1504)*(T1504))+(T1504)*((S1504)*(V1504)-(U1504)*(T1504)))/W1504,0)</f>
        <v/>
      </c>
      <c r="Z1504">
        <f>IF(ABS(W1504)&gt;1E-12,((LTP3!$D$5)*((P1504)*(V1504)-(U1504)*(R1504))-(S1504)*((S1504)*(V1504)-(U1504)*(T1504))+(LTP3!$D$6)*((S1504)*(R1504)-(P1504)*(T1504)))/W1504,0)</f>
        <v/>
      </c>
      <c r="AA1504">
        <f>LTP3!$D$7-X1504*LTP3!$D$6-Y1504*U1504-Z1504*V1504</f>
        <v/>
      </c>
      <c r="AB1504">
        <f>IF(AND(F1504,ABS(W1504)&gt;1E-12,Y1504&gt;0,Z1504&gt;0),AA1504,1E+300)</f>
        <v/>
      </c>
    </row>
    <row r="1505">
      <c r="A1505">
        <f>$B$3+$B$5*24</f>
        <v/>
      </c>
      <c r="B1505">
        <f>$B$3+$B$5*29</f>
        <v/>
      </c>
      <c r="C1505">
        <f>SUMPRODUCT(Calc!$K$3:$K$22*(Calc!$G$3:$G$22&lt;=A1505))</f>
        <v/>
      </c>
      <c r="D1505">
        <f>SUMPRODUCT(Calc!$K$3:$K$22*(Calc!$G$3:$G$22&gt;A1505)*(Calc!$G$3:$G$22&lt;B1505))</f>
        <v/>
      </c>
      <c r="E1505">
        <f>SUMPRODUCT(Calc!$K$3:$K$22*(Calc!$G$3:$G$22&gt;=B1505))</f>
        <v/>
      </c>
      <c r="F1505">
        <f>AND(k_n&gt;=5,B1505&gt;A1505+1E-9,C1505&gt;=2,D1505&gt;=1,E1505&gt;=2)</f>
        <v/>
      </c>
      <c r="G1505">
        <f>SUMPRODUCT(Calc!$K$3:$K$22*(Calc!$G$3:$G$22&gt;A1505)*(Calc!$G$3:$G$22-A1505))</f>
        <v/>
      </c>
      <c r="H1505">
        <f>SUMPRODUCT(Calc!$K$3:$K$22*(Calc!$G$3:$G$22&gt;B1505)*(Calc!$G$3:$G$22-B1505))</f>
        <v/>
      </c>
      <c r="I1505">
        <f>SUMPRODUCT(Calc!$K$3:$K$22*(Calc!$G$3:$G$22&gt;A1505)*(Calc!$G$3:$G$22-A1505)^2)</f>
        <v/>
      </c>
      <c r="J1505">
        <f>SUMPRODUCT(Calc!$K$3:$K$22*(Calc!$G$3:$G$22&gt;B1505)*(Calc!$G$3:$G$22-B1505)^2)</f>
        <v/>
      </c>
      <c r="K1505">
        <f>SUMPRODUCT(Calc!$K$3:$K$22*(Calc!$G$3:$G$22&gt;A1505)*(Calc!$G$3:$G$22-A1505)*(Calc!$G$3:$G$22&gt;B1505)*(Calc!$G$3:$G$22-B1505))</f>
        <v/>
      </c>
      <c r="L1505">
        <f>SUMPRODUCT(Calc!$K$3:$K$22*(Calc!$G$3:$G$22&gt;A1505)*(Calc!$G$3:$G$22-A1505)*Calc!$G$3:$G$22)</f>
        <v/>
      </c>
      <c r="M1505">
        <f>SUMPRODUCT(Calc!$K$3:$K$22*(Calc!$G$3:$G$22&gt;B1505)*(Calc!$G$3:$G$22-B1505)*Calc!$G$3:$G$22)</f>
        <v/>
      </c>
      <c r="N1505">
        <f>SUMPRODUCT(Calc!$K$3:$K$22*(Calc!$G$3:$G$22&gt;A1505)*(Calc!$G$3:$G$22-A1505)*Calc!$I$3:$I$22)</f>
        <v/>
      </c>
      <c r="O1505">
        <f>SUMPRODUCT(Calc!$K$3:$K$22*(Calc!$G$3:$G$22&gt;B1505)*(Calc!$G$3:$G$22-B1505)*Calc!$I$3:$I$22)</f>
        <v/>
      </c>
      <c r="P1505">
        <f>I1505-G1505^2/k_n</f>
        <v/>
      </c>
      <c r="Q1505">
        <f>J1505-H1505^2/k_n</f>
        <v/>
      </c>
      <c r="R1505">
        <f>K1505-G1505*H1505/k_n</f>
        <v/>
      </c>
      <c r="S1505">
        <f>L1505-LTP3!$D$3*G1505/k_n</f>
        <v/>
      </c>
      <c r="T1505">
        <f>M1505-LTP3!$D$3*H1505/k_n</f>
        <v/>
      </c>
      <c r="U1505">
        <f>N1505-G1505*LTP3!$D$4/k_n</f>
        <v/>
      </c>
      <c r="V1505">
        <f>O1505-H1505*LTP3!$D$4/k_n</f>
        <v/>
      </c>
      <c r="W1505">
        <f>((LTP3!$D$5)*((P1505)*(Q1505)-(R1505)*(R1505))-(S1505)*((S1505)*(Q1505)-(R1505)*(T1505))+(T1505)*((S1505)*(R1505)-(P1505)*(T1505)))</f>
        <v/>
      </c>
      <c r="X1505">
        <f>IF(ABS(W1505)&gt;1E-12,((LTP3!$D$6)*((P1505)*(Q1505)-(R1505)*(R1505))-(S1505)*((U1505)*(Q1505)-(R1505)*(V1505))+(T1505)*((U1505)*(R1505)-(P1505)*(V1505)))/W1505,0)</f>
        <v/>
      </c>
      <c r="Y1505">
        <f>IF(ABS(W1505)&gt;1E-12,((LTP3!$D$5)*((U1505)*(Q1505)-(R1505)*(V1505))-(LTP3!$D$6)*((S1505)*(Q1505)-(R1505)*(T1505))+(T1505)*((S1505)*(V1505)-(U1505)*(T1505)))/W1505,0)</f>
        <v/>
      </c>
      <c r="Z1505">
        <f>IF(ABS(W1505)&gt;1E-12,((LTP3!$D$5)*((P1505)*(V1505)-(U1505)*(R1505))-(S1505)*((S1505)*(V1505)-(U1505)*(T1505))+(LTP3!$D$6)*((S1505)*(R1505)-(P1505)*(T1505)))/W1505,0)</f>
        <v/>
      </c>
      <c r="AA1505">
        <f>LTP3!$D$7-X1505*LTP3!$D$6-Y1505*U1505-Z1505*V1505</f>
        <v/>
      </c>
      <c r="AB1505">
        <f>IF(AND(F1505,ABS(W1505)&gt;1E-12,Y1505&gt;0,Z1505&gt;0),AA1505,1E+300)</f>
        <v/>
      </c>
    </row>
    <row r="1506">
      <c r="A1506">
        <f>$B$3+$B$5*24</f>
        <v/>
      </c>
      <c r="B1506">
        <f>$B$3+$B$5*30</f>
        <v/>
      </c>
      <c r="C1506">
        <f>SUMPRODUCT(Calc!$K$3:$K$22*(Calc!$G$3:$G$22&lt;=A1506))</f>
        <v/>
      </c>
      <c r="D1506">
        <f>SUMPRODUCT(Calc!$K$3:$K$22*(Calc!$G$3:$G$22&gt;A1506)*(Calc!$G$3:$G$22&lt;B1506))</f>
        <v/>
      </c>
      <c r="E1506">
        <f>SUMPRODUCT(Calc!$K$3:$K$22*(Calc!$G$3:$G$22&gt;=B1506))</f>
        <v/>
      </c>
      <c r="F1506">
        <f>AND(k_n&gt;=5,B1506&gt;A1506+1E-9,C1506&gt;=2,D1506&gt;=1,E1506&gt;=2)</f>
        <v/>
      </c>
      <c r="G1506">
        <f>SUMPRODUCT(Calc!$K$3:$K$22*(Calc!$G$3:$G$22&gt;A1506)*(Calc!$G$3:$G$22-A1506))</f>
        <v/>
      </c>
      <c r="H1506">
        <f>SUMPRODUCT(Calc!$K$3:$K$22*(Calc!$G$3:$G$22&gt;B1506)*(Calc!$G$3:$G$22-B1506))</f>
        <v/>
      </c>
      <c r="I1506">
        <f>SUMPRODUCT(Calc!$K$3:$K$22*(Calc!$G$3:$G$22&gt;A1506)*(Calc!$G$3:$G$22-A1506)^2)</f>
        <v/>
      </c>
      <c r="J1506">
        <f>SUMPRODUCT(Calc!$K$3:$K$22*(Calc!$G$3:$G$22&gt;B1506)*(Calc!$G$3:$G$22-B1506)^2)</f>
        <v/>
      </c>
      <c r="K1506">
        <f>SUMPRODUCT(Calc!$K$3:$K$22*(Calc!$G$3:$G$22&gt;A1506)*(Calc!$G$3:$G$22-A1506)*(Calc!$G$3:$G$22&gt;B1506)*(Calc!$G$3:$G$22-B1506))</f>
        <v/>
      </c>
      <c r="L1506">
        <f>SUMPRODUCT(Calc!$K$3:$K$22*(Calc!$G$3:$G$22&gt;A1506)*(Calc!$G$3:$G$22-A1506)*Calc!$G$3:$G$22)</f>
        <v/>
      </c>
      <c r="M1506">
        <f>SUMPRODUCT(Calc!$K$3:$K$22*(Calc!$G$3:$G$22&gt;B1506)*(Calc!$G$3:$G$22-B1506)*Calc!$G$3:$G$22)</f>
        <v/>
      </c>
      <c r="N1506">
        <f>SUMPRODUCT(Calc!$K$3:$K$22*(Calc!$G$3:$G$22&gt;A1506)*(Calc!$G$3:$G$22-A1506)*Calc!$I$3:$I$22)</f>
        <v/>
      </c>
      <c r="O1506">
        <f>SUMPRODUCT(Calc!$K$3:$K$22*(Calc!$G$3:$G$22&gt;B1506)*(Calc!$G$3:$G$22-B1506)*Calc!$I$3:$I$22)</f>
        <v/>
      </c>
      <c r="P1506">
        <f>I1506-G1506^2/k_n</f>
        <v/>
      </c>
      <c r="Q1506">
        <f>J1506-H1506^2/k_n</f>
        <v/>
      </c>
      <c r="R1506">
        <f>K1506-G1506*H1506/k_n</f>
        <v/>
      </c>
      <c r="S1506">
        <f>L1506-LTP3!$D$3*G1506/k_n</f>
        <v/>
      </c>
      <c r="T1506">
        <f>M1506-LTP3!$D$3*H1506/k_n</f>
        <v/>
      </c>
      <c r="U1506">
        <f>N1506-G1506*LTP3!$D$4/k_n</f>
        <v/>
      </c>
      <c r="V1506">
        <f>O1506-H1506*LTP3!$D$4/k_n</f>
        <v/>
      </c>
      <c r="W1506">
        <f>((LTP3!$D$5)*((P1506)*(Q1506)-(R1506)*(R1506))-(S1506)*((S1506)*(Q1506)-(R1506)*(T1506))+(T1506)*((S1506)*(R1506)-(P1506)*(T1506)))</f>
        <v/>
      </c>
      <c r="X1506">
        <f>IF(ABS(W1506)&gt;1E-12,((LTP3!$D$6)*((P1506)*(Q1506)-(R1506)*(R1506))-(S1506)*((U1506)*(Q1506)-(R1506)*(V1506))+(T1506)*((U1506)*(R1506)-(P1506)*(V1506)))/W1506,0)</f>
        <v/>
      </c>
      <c r="Y1506">
        <f>IF(ABS(W1506)&gt;1E-12,((LTP3!$D$5)*((U1506)*(Q1506)-(R1506)*(V1506))-(LTP3!$D$6)*((S1506)*(Q1506)-(R1506)*(T1506))+(T1506)*((S1506)*(V1506)-(U1506)*(T1506)))/W1506,0)</f>
        <v/>
      </c>
      <c r="Z1506">
        <f>IF(ABS(W1506)&gt;1E-12,((LTP3!$D$5)*((P1506)*(V1506)-(U1506)*(R1506))-(S1506)*((S1506)*(V1506)-(U1506)*(T1506))+(LTP3!$D$6)*((S1506)*(R1506)-(P1506)*(T1506)))/W1506,0)</f>
        <v/>
      </c>
      <c r="AA1506">
        <f>LTP3!$D$7-X1506*LTP3!$D$6-Y1506*U1506-Z1506*V1506</f>
        <v/>
      </c>
      <c r="AB1506">
        <f>IF(AND(F1506,ABS(W1506)&gt;1E-12,Y1506&gt;0,Z1506&gt;0),AA1506,1E+300)</f>
        <v/>
      </c>
    </row>
    <row r="1507">
      <c r="A1507">
        <f>$B$3+$B$5*24</f>
        <v/>
      </c>
      <c r="B1507">
        <f>$B$3+$B$5*31</f>
        <v/>
      </c>
      <c r="C1507">
        <f>SUMPRODUCT(Calc!$K$3:$K$22*(Calc!$G$3:$G$22&lt;=A1507))</f>
        <v/>
      </c>
      <c r="D1507">
        <f>SUMPRODUCT(Calc!$K$3:$K$22*(Calc!$G$3:$G$22&gt;A1507)*(Calc!$G$3:$G$22&lt;B1507))</f>
        <v/>
      </c>
      <c r="E1507">
        <f>SUMPRODUCT(Calc!$K$3:$K$22*(Calc!$G$3:$G$22&gt;=B1507))</f>
        <v/>
      </c>
      <c r="F1507">
        <f>AND(k_n&gt;=5,B1507&gt;A1507+1E-9,C1507&gt;=2,D1507&gt;=1,E1507&gt;=2)</f>
        <v/>
      </c>
      <c r="G1507">
        <f>SUMPRODUCT(Calc!$K$3:$K$22*(Calc!$G$3:$G$22&gt;A1507)*(Calc!$G$3:$G$22-A1507))</f>
        <v/>
      </c>
      <c r="H1507">
        <f>SUMPRODUCT(Calc!$K$3:$K$22*(Calc!$G$3:$G$22&gt;B1507)*(Calc!$G$3:$G$22-B1507))</f>
        <v/>
      </c>
      <c r="I1507">
        <f>SUMPRODUCT(Calc!$K$3:$K$22*(Calc!$G$3:$G$22&gt;A1507)*(Calc!$G$3:$G$22-A1507)^2)</f>
        <v/>
      </c>
      <c r="J1507">
        <f>SUMPRODUCT(Calc!$K$3:$K$22*(Calc!$G$3:$G$22&gt;B1507)*(Calc!$G$3:$G$22-B1507)^2)</f>
        <v/>
      </c>
      <c r="K1507">
        <f>SUMPRODUCT(Calc!$K$3:$K$22*(Calc!$G$3:$G$22&gt;A1507)*(Calc!$G$3:$G$22-A1507)*(Calc!$G$3:$G$22&gt;B1507)*(Calc!$G$3:$G$22-B1507))</f>
        <v/>
      </c>
      <c r="L1507">
        <f>SUMPRODUCT(Calc!$K$3:$K$22*(Calc!$G$3:$G$22&gt;A1507)*(Calc!$G$3:$G$22-A1507)*Calc!$G$3:$G$22)</f>
        <v/>
      </c>
      <c r="M1507">
        <f>SUMPRODUCT(Calc!$K$3:$K$22*(Calc!$G$3:$G$22&gt;B1507)*(Calc!$G$3:$G$22-B1507)*Calc!$G$3:$G$22)</f>
        <v/>
      </c>
      <c r="N1507">
        <f>SUMPRODUCT(Calc!$K$3:$K$22*(Calc!$G$3:$G$22&gt;A1507)*(Calc!$G$3:$G$22-A1507)*Calc!$I$3:$I$22)</f>
        <v/>
      </c>
      <c r="O1507">
        <f>SUMPRODUCT(Calc!$K$3:$K$22*(Calc!$G$3:$G$22&gt;B1507)*(Calc!$G$3:$G$22-B1507)*Calc!$I$3:$I$22)</f>
        <v/>
      </c>
      <c r="P1507">
        <f>I1507-G1507^2/k_n</f>
        <v/>
      </c>
      <c r="Q1507">
        <f>J1507-H1507^2/k_n</f>
        <v/>
      </c>
      <c r="R1507">
        <f>K1507-G1507*H1507/k_n</f>
        <v/>
      </c>
      <c r="S1507">
        <f>L1507-LTP3!$D$3*G1507/k_n</f>
        <v/>
      </c>
      <c r="T1507">
        <f>M1507-LTP3!$D$3*H1507/k_n</f>
        <v/>
      </c>
      <c r="U1507">
        <f>N1507-G1507*LTP3!$D$4/k_n</f>
        <v/>
      </c>
      <c r="V1507">
        <f>O1507-H1507*LTP3!$D$4/k_n</f>
        <v/>
      </c>
      <c r="W1507">
        <f>((LTP3!$D$5)*((P1507)*(Q1507)-(R1507)*(R1507))-(S1507)*((S1507)*(Q1507)-(R1507)*(T1507))+(T1507)*((S1507)*(R1507)-(P1507)*(T1507)))</f>
        <v/>
      </c>
      <c r="X1507">
        <f>IF(ABS(W1507)&gt;1E-12,((LTP3!$D$6)*((P1507)*(Q1507)-(R1507)*(R1507))-(S1507)*((U1507)*(Q1507)-(R1507)*(V1507))+(T1507)*((U1507)*(R1507)-(P1507)*(V1507)))/W1507,0)</f>
        <v/>
      </c>
      <c r="Y1507">
        <f>IF(ABS(W1507)&gt;1E-12,((LTP3!$D$5)*((U1507)*(Q1507)-(R1507)*(V1507))-(LTP3!$D$6)*((S1507)*(Q1507)-(R1507)*(T1507))+(T1507)*((S1507)*(V1507)-(U1507)*(T1507)))/W1507,0)</f>
        <v/>
      </c>
      <c r="Z1507">
        <f>IF(ABS(W1507)&gt;1E-12,((LTP3!$D$5)*((P1507)*(V1507)-(U1507)*(R1507))-(S1507)*((S1507)*(V1507)-(U1507)*(T1507))+(LTP3!$D$6)*((S1507)*(R1507)-(P1507)*(T1507)))/W1507,0)</f>
        <v/>
      </c>
      <c r="AA1507">
        <f>LTP3!$D$7-X1507*LTP3!$D$6-Y1507*U1507-Z1507*V1507</f>
        <v/>
      </c>
      <c r="AB1507">
        <f>IF(AND(F1507,ABS(W1507)&gt;1E-12,Y1507&gt;0,Z1507&gt;0),AA1507,1E+300)</f>
        <v/>
      </c>
    </row>
    <row r="1508">
      <c r="A1508">
        <f>$B$3+$B$5*24</f>
        <v/>
      </c>
      <c r="B1508">
        <f>$B$3+$B$5*32</f>
        <v/>
      </c>
      <c r="C1508">
        <f>SUMPRODUCT(Calc!$K$3:$K$22*(Calc!$G$3:$G$22&lt;=A1508))</f>
        <v/>
      </c>
      <c r="D1508">
        <f>SUMPRODUCT(Calc!$K$3:$K$22*(Calc!$G$3:$G$22&gt;A1508)*(Calc!$G$3:$G$22&lt;B1508))</f>
        <v/>
      </c>
      <c r="E1508">
        <f>SUMPRODUCT(Calc!$K$3:$K$22*(Calc!$G$3:$G$22&gt;=B1508))</f>
        <v/>
      </c>
      <c r="F1508">
        <f>AND(k_n&gt;=5,B1508&gt;A1508+1E-9,C1508&gt;=2,D1508&gt;=1,E1508&gt;=2)</f>
        <v/>
      </c>
      <c r="G1508">
        <f>SUMPRODUCT(Calc!$K$3:$K$22*(Calc!$G$3:$G$22&gt;A1508)*(Calc!$G$3:$G$22-A1508))</f>
        <v/>
      </c>
      <c r="H1508">
        <f>SUMPRODUCT(Calc!$K$3:$K$22*(Calc!$G$3:$G$22&gt;B1508)*(Calc!$G$3:$G$22-B1508))</f>
        <v/>
      </c>
      <c r="I1508">
        <f>SUMPRODUCT(Calc!$K$3:$K$22*(Calc!$G$3:$G$22&gt;A1508)*(Calc!$G$3:$G$22-A1508)^2)</f>
        <v/>
      </c>
      <c r="J1508">
        <f>SUMPRODUCT(Calc!$K$3:$K$22*(Calc!$G$3:$G$22&gt;B1508)*(Calc!$G$3:$G$22-B1508)^2)</f>
        <v/>
      </c>
      <c r="K1508">
        <f>SUMPRODUCT(Calc!$K$3:$K$22*(Calc!$G$3:$G$22&gt;A1508)*(Calc!$G$3:$G$22-A1508)*(Calc!$G$3:$G$22&gt;B1508)*(Calc!$G$3:$G$22-B1508))</f>
        <v/>
      </c>
      <c r="L1508">
        <f>SUMPRODUCT(Calc!$K$3:$K$22*(Calc!$G$3:$G$22&gt;A1508)*(Calc!$G$3:$G$22-A1508)*Calc!$G$3:$G$22)</f>
        <v/>
      </c>
      <c r="M1508">
        <f>SUMPRODUCT(Calc!$K$3:$K$22*(Calc!$G$3:$G$22&gt;B1508)*(Calc!$G$3:$G$22-B1508)*Calc!$G$3:$G$22)</f>
        <v/>
      </c>
      <c r="N1508">
        <f>SUMPRODUCT(Calc!$K$3:$K$22*(Calc!$G$3:$G$22&gt;A1508)*(Calc!$G$3:$G$22-A1508)*Calc!$I$3:$I$22)</f>
        <v/>
      </c>
      <c r="O1508">
        <f>SUMPRODUCT(Calc!$K$3:$K$22*(Calc!$G$3:$G$22&gt;B1508)*(Calc!$G$3:$G$22-B1508)*Calc!$I$3:$I$22)</f>
        <v/>
      </c>
      <c r="P1508">
        <f>I1508-G1508^2/k_n</f>
        <v/>
      </c>
      <c r="Q1508">
        <f>J1508-H1508^2/k_n</f>
        <v/>
      </c>
      <c r="R1508">
        <f>K1508-G1508*H1508/k_n</f>
        <v/>
      </c>
      <c r="S1508">
        <f>L1508-LTP3!$D$3*G1508/k_n</f>
        <v/>
      </c>
      <c r="T1508">
        <f>M1508-LTP3!$D$3*H1508/k_n</f>
        <v/>
      </c>
      <c r="U1508">
        <f>N1508-G1508*LTP3!$D$4/k_n</f>
        <v/>
      </c>
      <c r="V1508">
        <f>O1508-H1508*LTP3!$D$4/k_n</f>
        <v/>
      </c>
      <c r="W1508">
        <f>((LTP3!$D$5)*((P1508)*(Q1508)-(R1508)*(R1508))-(S1508)*((S1508)*(Q1508)-(R1508)*(T1508))+(T1508)*((S1508)*(R1508)-(P1508)*(T1508)))</f>
        <v/>
      </c>
      <c r="X1508">
        <f>IF(ABS(W1508)&gt;1E-12,((LTP3!$D$6)*((P1508)*(Q1508)-(R1508)*(R1508))-(S1508)*((U1508)*(Q1508)-(R1508)*(V1508))+(T1508)*((U1508)*(R1508)-(P1508)*(V1508)))/W1508,0)</f>
        <v/>
      </c>
      <c r="Y1508">
        <f>IF(ABS(W1508)&gt;1E-12,((LTP3!$D$5)*((U1508)*(Q1508)-(R1508)*(V1508))-(LTP3!$D$6)*((S1508)*(Q1508)-(R1508)*(T1508))+(T1508)*((S1508)*(V1508)-(U1508)*(T1508)))/W1508,0)</f>
        <v/>
      </c>
      <c r="Z1508">
        <f>IF(ABS(W1508)&gt;1E-12,((LTP3!$D$5)*((P1508)*(V1508)-(U1508)*(R1508))-(S1508)*((S1508)*(V1508)-(U1508)*(T1508))+(LTP3!$D$6)*((S1508)*(R1508)-(P1508)*(T1508)))/W1508,0)</f>
        <v/>
      </c>
      <c r="AA1508">
        <f>LTP3!$D$7-X1508*LTP3!$D$6-Y1508*U1508-Z1508*V1508</f>
        <v/>
      </c>
      <c r="AB1508">
        <f>IF(AND(F1508,ABS(W1508)&gt;1E-12,Y1508&gt;0,Z1508&gt;0),AA1508,1E+300)</f>
        <v/>
      </c>
    </row>
    <row r="1509">
      <c r="A1509">
        <f>$B$3+$B$5*24</f>
        <v/>
      </c>
      <c r="B1509">
        <f>$B$3+$B$5*33</f>
        <v/>
      </c>
      <c r="C1509">
        <f>SUMPRODUCT(Calc!$K$3:$K$22*(Calc!$G$3:$G$22&lt;=A1509))</f>
        <v/>
      </c>
      <c r="D1509">
        <f>SUMPRODUCT(Calc!$K$3:$K$22*(Calc!$G$3:$G$22&gt;A1509)*(Calc!$G$3:$G$22&lt;B1509))</f>
        <v/>
      </c>
      <c r="E1509">
        <f>SUMPRODUCT(Calc!$K$3:$K$22*(Calc!$G$3:$G$22&gt;=B1509))</f>
        <v/>
      </c>
      <c r="F1509">
        <f>AND(k_n&gt;=5,B1509&gt;A1509+1E-9,C1509&gt;=2,D1509&gt;=1,E1509&gt;=2)</f>
        <v/>
      </c>
      <c r="G1509">
        <f>SUMPRODUCT(Calc!$K$3:$K$22*(Calc!$G$3:$G$22&gt;A1509)*(Calc!$G$3:$G$22-A1509))</f>
        <v/>
      </c>
      <c r="H1509">
        <f>SUMPRODUCT(Calc!$K$3:$K$22*(Calc!$G$3:$G$22&gt;B1509)*(Calc!$G$3:$G$22-B1509))</f>
        <v/>
      </c>
      <c r="I1509">
        <f>SUMPRODUCT(Calc!$K$3:$K$22*(Calc!$G$3:$G$22&gt;A1509)*(Calc!$G$3:$G$22-A1509)^2)</f>
        <v/>
      </c>
      <c r="J1509">
        <f>SUMPRODUCT(Calc!$K$3:$K$22*(Calc!$G$3:$G$22&gt;B1509)*(Calc!$G$3:$G$22-B1509)^2)</f>
        <v/>
      </c>
      <c r="K1509">
        <f>SUMPRODUCT(Calc!$K$3:$K$22*(Calc!$G$3:$G$22&gt;A1509)*(Calc!$G$3:$G$22-A1509)*(Calc!$G$3:$G$22&gt;B1509)*(Calc!$G$3:$G$22-B1509))</f>
        <v/>
      </c>
      <c r="L1509">
        <f>SUMPRODUCT(Calc!$K$3:$K$22*(Calc!$G$3:$G$22&gt;A1509)*(Calc!$G$3:$G$22-A1509)*Calc!$G$3:$G$22)</f>
        <v/>
      </c>
      <c r="M1509">
        <f>SUMPRODUCT(Calc!$K$3:$K$22*(Calc!$G$3:$G$22&gt;B1509)*(Calc!$G$3:$G$22-B1509)*Calc!$G$3:$G$22)</f>
        <v/>
      </c>
      <c r="N1509">
        <f>SUMPRODUCT(Calc!$K$3:$K$22*(Calc!$G$3:$G$22&gt;A1509)*(Calc!$G$3:$G$22-A1509)*Calc!$I$3:$I$22)</f>
        <v/>
      </c>
      <c r="O1509">
        <f>SUMPRODUCT(Calc!$K$3:$K$22*(Calc!$G$3:$G$22&gt;B1509)*(Calc!$G$3:$G$22-B1509)*Calc!$I$3:$I$22)</f>
        <v/>
      </c>
      <c r="P1509">
        <f>I1509-G1509^2/k_n</f>
        <v/>
      </c>
      <c r="Q1509">
        <f>J1509-H1509^2/k_n</f>
        <v/>
      </c>
      <c r="R1509">
        <f>K1509-G1509*H1509/k_n</f>
        <v/>
      </c>
      <c r="S1509">
        <f>L1509-LTP3!$D$3*G1509/k_n</f>
        <v/>
      </c>
      <c r="T1509">
        <f>M1509-LTP3!$D$3*H1509/k_n</f>
        <v/>
      </c>
      <c r="U1509">
        <f>N1509-G1509*LTP3!$D$4/k_n</f>
        <v/>
      </c>
      <c r="V1509">
        <f>O1509-H1509*LTP3!$D$4/k_n</f>
        <v/>
      </c>
      <c r="W1509">
        <f>((LTP3!$D$5)*((P1509)*(Q1509)-(R1509)*(R1509))-(S1509)*((S1509)*(Q1509)-(R1509)*(T1509))+(T1509)*((S1509)*(R1509)-(P1509)*(T1509)))</f>
        <v/>
      </c>
      <c r="X1509">
        <f>IF(ABS(W1509)&gt;1E-12,((LTP3!$D$6)*((P1509)*(Q1509)-(R1509)*(R1509))-(S1509)*((U1509)*(Q1509)-(R1509)*(V1509))+(T1509)*((U1509)*(R1509)-(P1509)*(V1509)))/W1509,0)</f>
        <v/>
      </c>
      <c r="Y1509">
        <f>IF(ABS(W1509)&gt;1E-12,((LTP3!$D$5)*((U1509)*(Q1509)-(R1509)*(V1509))-(LTP3!$D$6)*((S1509)*(Q1509)-(R1509)*(T1509))+(T1509)*((S1509)*(V1509)-(U1509)*(T1509)))/W1509,0)</f>
        <v/>
      </c>
      <c r="Z1509">
        <f>IF(ABS(W1509)&gt;1E-12,((LTP3!$D$5)*((P1509)*(V1509)-(U1509)*(R1509))-(S1509)*((S1509)*(V1509)-(U1509)*(T1509))+(LTP3!$D$6)*((S1509)*(R1509)-(P1509)*(T1509)))/W1509,0)</f>
        <v/>
      </c>
      <c r="AA1509">
        <f>LTP3!$D$7-X1509*LTP3!$D$6-Y1509*U1509-Z1509*V1509</f>
        <v/>
      </c>
      <c r="AB1509">
        <f>IF(AND(F1509,ABS(W1509)&gt;1E-12,Y1509&gt;0,Z1509&gt;0),AA1509,1E+300)</f>
        <v/>
      </c>
    </row>
    <row r="1510">
      <c r="A1510">
        <f>$B$3+$B$5*24</f>
        <v/>
      </c>
      <c r="B1510">
        <f>$B$3+$B$5*34</f>
        <v/>
      </c>
      <c r="C1510">
        <f>SUMPRODUCT(Calc!$K$3:$K$22*(Calc!$G$3:$G$22&lt;=A1510))</f>
        <v/>
      </c>
      <c r="D1510">
        <f>SUMPRODUCT(Calc!$K$3:$K$22*(Calc!$G$3:$G$22&gt;A1510)*(Calc!$G$3:$G$22&lt;B1510))</f>
        <v/>
      </c>
      <c r="E1510">
        <f>SUMPRODUCT(Calc!$K$3:$K$22*(Calc!$G$3:$G$22&gt;=B1510))</f>
        <v/>
      </c>
      <c r="F1510">
        <f>AND(k_n&gt;=5,B1510&gt;A1510+1E-9,C1510&gt;=2,D1510&gt;=1,E1510&gt;=2)</f>
        <v/>
      </c>
      <c r="G1510">
        <f>SUMPRODUCT(Calc!$K$3:$K$22*(Calc!$G$3:$G$22&gt;A1510)*(Calc!$G$3:$G$22-A1510))</f>
        <v/>
      </c>
      <c r="H1510">
        <f>SUMPRODUCT(Calc!$K$3:$K$22*(Calc!$G$3:$G$22&gt;B1510)*(Calc!$G$3:$G$22-B1510))</f>
        <v/>
      </c>
      <c r="I1510">
        <f>SUMPRODUCT(Calc!$K$3:$K$22*(Calc!$G$3:$G$22&gt;A1510)*(Calc!$G$3:$G$22-A1510)^2)</f>
        <v/>
      </c>
      <c r="J1510">
        <f>SUMPRODUCT(Calc!$K$3:$K$22*(Calc!$G$3:$G$22&gt;B1510)*(Calc!$G$3:$G$22-B1510)^2)</f>
        <v/>
      </c>
      <c r="K1510">
        <f>SUMPRODUCT(Calc!$K$3:$K$22*(Calc!$G$3:$G$22&gt;A1510)*(Calc!$G$3:$G$22-A1510)*(Calc!$G$3:$G$22&gt;B1510)*(Calc!$G$3:$G$22-B1510))</f>
        <v/>
      </c>
      <c r="L1510">
        <f>SUMPRODUCT(Calc!$K$3:$K$22*(Calc!$G$3:$G$22&gt;A1510)*(Calc!$G$3:$G$22-A1510)*Calc!$G$3:$G$22)</f>
        <v/>
      </c>
      <c r="M1510">
        <f>SUMPRODUCT(Calc!$K$3:$K$22*(Calc!$G$3:$G$22&gt;B1510)*(Calc!$G$3:$G$22-B1510)*Calc!$G$3:$G$22)</f>
        <v/>
      </c>
      <c r="N1510">
        <f>SUMPRODUCT(Calc!$K$3:$K$22*(Calc!$G$3:$G$22&gt;A1510)*(Calc!$G$3:$G$22-A1510)*Calc!$I$3:$I$22)</f>
        <v/>
      </c>
      <c r="O1510">
        <f>SUMPRODUCT(Calc!$K$3:$K$22*(Calc!$G$3:$G$22&gt;B1510)*(Calc!$G$3:$G$22-B1510)*Calc!$I$3:$I$22)</f>
        <v/>
      </c>
      <c r="P1510">
        <f>I1510-G1510^2/k_n</f>
        <v/>
      </c>
      <c r="Q1510">
        <f>J1510-H1510^2/k_n</f>
        <v/>
      </c>
      <c r="R1510">
        <f>K1510-G1510*H1510/k_n</f>
        <v/>
      </c>
      <c r="S1510">
        <f>L1510-LTP3!$D$3*G1510/k_n</f>
        <v/>
      </c>
      <c r="T1510">
        <f>M1510-LTP3!$D$3*H1510/k_n</f>
        <v/>
      </c>
      <c r="U1510">
        <f>N1510-G1510*LTP3!$D$4/k_n</f>
        <v/>
      </c>
      <c r="V1510">
        <f>O1510-H1510*LTP3!$D$4/k_n</f>
        <v/>
      </c>
      <c r="W1510">
        <f>((LTP3!$D$5)*((P1510)*(Q1510)-(R1510)*(R1510))-(S1510)*((S1510)*(Q1510)-(R1510)*(T1510))+(T1510)*((S1510)*(R1510)-(P1510)*(T1510)))</f>
        <v/>
      </c>
      <c r="X1510">
        <f>IF(ABS(W1510)&gt;1E-12,((LTP3!$D$6)*((P1510)*(Q1510)-(R1510)*(R1510))-(S1510)*((U1510)*(Q1510)-(R1510)*(V1510))+(T1510)*((U1510)*(R1510)-(P1510)*(V1510)))/W1510,0)</f>
        <v/>
      </c>
      <c r="Y1510">
        <f>IF(ABS(W1510)&gt;1E-12,((LTP3!$D$5)*((U1510)*(Q1510)-(R1510)*(V1510))-(LTP3!$D$6)*((S1510)*(Q1510)-(R1510)*(T1510))+(T1510)*((S1510)*(V1510)-(U1510)*(T1510)))/W1510,0)</f>
        <v/>
      </c>
      <c r="Z1510">
        <f>IF(ABS(W1510)&gt;1E-12,((LTP3!$D$5)*((P1510)*(V1510)-(U1510)*(R1510))-(S1510)*((S1510)*(V1510)-(U1510)*(T1510))+(LTP3!$D$6)*((S1510)*(R1510)-(P1510)*(T1510)))/W1510,0)</f>
        <v/>
      </c>
      <c r="AA1510">
        <f>LTP3!$D$7-X1510*LTP3!$D$6-Y1510*U1510-Z1510*V1510</f>
        <v/>
      </c>
      <c r="AB1510">
        <f>IF(AND(F1510,ABS(W1510)&gt;1E-12,Y1510&gt;0,Z1510&gt;0),AA1510,1E+300)</f>
        <v/>
      </c>
    </row>
    <row r="1511">
      <c r="A1511">
        <f>$B$3+$B$5*24</f>
        <v/>
      </c>
      <c r="B1511">
        <f>$B$3+$B$5*35</f>
        <v/>
      </c>
      <c r="C1511">
        <f>SUMPRODUCT(Calc!$K$3:$K$22*(Calc!$G$3:$G$22&lt;=A1511))</f>
        <v/>
      </c>
      <c r="D1511">
        <f>SUMPRODUCT(Calc!$K$3:$K$22*(Calc!$G$3:$G$22&gt;A1511)*(Calc!$G$3:$G$22&lt;B1511))</f>
        <v/>
      </c>
      <c r="E1511">
        <f>SUMPRODUCT(Calc!$K$3:$K$22*(Calc!$G$3:$G$22&gt;=B1511))</f>
        <v/>
      </c>
      <c r="F1511">
        <f>AND(k_n&gt;=5,B1511&gt;A1511+1E-9,C1511&gt;=2,D1511&gt;=1,E1511&gt;=2)</f>
        <v/>
      </c>
      <c r="G1511">
        <f>SUMPRODUCT(Calc!$K$3:$K$22*(Calc!$G$3:$G$22&gt;A1511)*(Calc!$G$3:$G$22-A1511))</f>
        <v/>
      </c>
      <c r="H1511">
        <f>SUMPRODUCT(Calc!$K$3:$K$22*(Calc!$G$3:$G$22&gt;B1511)*(Calc!$G$3:$G$22-B1511))</f>
        <v/>
      </c>
      <c r="I1511">
        <f>SUMPRODUCT(Calc!$K$3:$K$22*(Calc!$G$3:$G$22&gt;A1511)*(Calc!$G$3:$G$22-A1511)^2)</f>
        <v/>
      </c>
      <c r="J1511">
        <f>SUMPRODUCT(Calc!$K$3:$K$22*(Calc!$G$3:$G$22&gt;B1511)*(Calc!$G$3:$G$22-B1511)^2)</f>
        <v/>
      </c>
      <c r="K1511">
        <f>SUMPRODUCT(Calc!$K$3:$K$22*(Calc!$G$3:$G$22&gt;A1511)*(Calc!$G$3:$G$22-A1511)*(Calc!$G$3:$G$22&gt;B1511)*(Calc!$G$3:$G$22-B1511))</f>
        <v/>
      </c>
      <c r="L1511">
        <f>SUMPRODUCT(Calc!$K$3:$K$22*(Calc!$G$3:$G$22&gt;A1511)*(Calc!$G$3:$G$22-A1511)*Calc!$G$3:$G$22)</f>
        <v/>
      </c>
      <c r="M1511">
        <f>SUMPRODUCT(Calc!$K$3:$K$22*(Calc!$G$3:$G$22&gt;B1511)*(Calc!$G$3:$G$22-B1511)*Calc!$G$3:$G$22)</f>
        <v/>
      </c>
      <c r="N1511">
        <f>SUMPRODUCT(Calc!$K$3:$K$22*(Calc!$G$3:$G$22&gt;A1511)*(Calc!$G$3:$G$22-A1511)*Calc!$I$3:$I$22)</f>
        <v/>
      </c>
      <c r="O1511">
        <f>SUMPRODUCT(Calc!$K$3:$K$22*(Calc!$G$3:$G$22&gt;B1511)*(Calc!$G$3:$G$22-B1511)*Calc!$I$3:$I$22)</f>
        <v/>
      </c>
      <c r="P1511">
        <f>I1511-G1511^2/k_n</f>
        <v/>
      </c>
      <c r="Q1511">
        <f>J1511-H1511^2/k_n</f>
        <v/>
      </c>
      <c r="R1511">
        <f>K1511-G1511*H1511/k_n</f>
        <v/>
      </c>
      <c r="S1511">
        <f>L1511-LTP3!$D$3*G1511/k_n</f>
        <v/>
      </c>
      <c r="T1511">
        <f>M1511-LTP3!$D$3*H1511/k_n</f>
        <v/>
      </c>
      <c r="U1511">
        <f>N1511-G1511*LTP3!$D$4/k_n</f>
        <v/>
      </c>
      <c r="V1511">
        <f>O1511-H1511*LTP3!$D$4/k_n</f>
        <v/>
      </c>
      <c r="W1511">
        <f>((LTP3!$D$5)*((P1511)*(Q1511)-(R1511)*(R1511))-(S1511)*((S1511)*(Q1511)-(R1511)*(T1511))+(T1511)*((S1511)*(R1511)-(P1511)*(T1511)))</f>
        <v/>
      </c>
      <c r="X1511">
        <f>IF(ABS(W1511)&gt;1E-12,((LTP3!$D$6)*((P1511)*(Q1511)-(R1511)*(R1511))-(S1511)*((U1511)*(Q1511)-(R1511)*(V1511))+(T1511)*((U1511)*(R1511)-(P1511)*(V1511)))/W1511,0)</f>
        <v/>
      </c>
      <c r="Y1511">
        <f>IF(ABS(W1511)&gt;1E-12,((LTP3!$D$5)*((U1511)*(Q1511)-(R1511)*(V1511))-(LTP3!$D$6)*((S1511)*(Q1511)-(R1511)*(T1511))+(T1511)*((S1511)*(V1511)-(U1511)*(T1511)))/W1511,0)</f>
        <v/>
      </c>
      <c r="Z1511">
        <f>IF(ABS(W1511)&gt;1E-12,((LTP3!$D$5)*((P1511)*(V1511)-(U1511)*(R1511))-(S1511)*((S1511)*(V1511)-(U1511)*(T1511))+(LTP3!$D$6)*((S1511)*(R1511)-(P1511)*(T1511)))/W1511,0)</f>
        <v/>
      </c>
      <c r="AA1511">
        <f>LTP3!$D$7-X1511*LTP3!$D$6-Y1511*U1511-Z1511*V1511</f>
        <v/>
      </c>
      <c r="AB1511">
        <f>IF(AND(F1511,ABS(W1511)&gt;1E-12,Y1511&gt;0,Z1511&gt;0),AA1511,1E+300)</f>
        <v/>
      </c>
    </row>
    <row r="1512">
      <c r="A1512">
        <f>$B$3+$B$5*24</f>
        <v/>
      </c>
      <c r="B1512">
        <f>$B$3+$B$5*36</f>
        <v/>
      </c>
      <c r="C1512">
        <f>SUMPRODUCT(Calc!$K$3:$K$22*(Calc!$G$3:$G$22&lt;=A1512))</f>
        <v/>
      </c>
      <c r="D1512">
        <f>SUMPRODUCT(Calc!$K$3:$K$22*(Calc!$G$3:$G$22&gt;A1512)*(Calc!$G$3:$G$22&lt;B1512))</f>
        <v/>
      </c>
      <c r="E1512">
        <f>SUMPRODUCT(Calc!$K$3:$K$22*(Calc!$G$3:$G$22&gt;=B1512))</f>
        <v/>
      </c>
      <c r="F1512">
        <f>AND(k_n&gt;=5,B1512&gt;A1512+1E-9,C1512&gt;=2,D1512&gt;=1,E1512&gt;=2)</f>
        <v/>
      </c>
      <c r="G1512">
        <f>SUMPRODUCT(Calc!$K$3:$K$22*(Calc!$G$3:$G$22&gt;A1512)*(Calc!$G$3:$G$22-A1512))</f>
        <v/>
      </c>
      <c r="H1512">
        <f>SUMPRODUCT(Calc!$K$3:$K$22*(Calc!$G$3:$G$22&gt;B1512)*(Calc!$G$3:$G$22-B1512))</f>
        <v/>
      </c>
      <c r="I1512">
        <f>SUMPRODUCT(Calc!$K$3:$K$22*(Calc!$G$3:$G$22&gt;A1512)*(Calc!$G$3:$G$22-A1512)^2)</f>
        <v/>
      </c>
      <c r="J1512">
        <f>SUMPRODUCT(Calc!$K$3:$K$22*(Calc!$G$3:$G$22&gt;B1512)*(Calc!$G$3:$G$22-B1512)^2)</f>
        <v/>
      </c>
      <c r="K1512">
        <f>SUMPRODUCT(Calc!$K$3:$K$22*(Calc!$G$3:$G$22&gt;A1512)*(Calc!$G$3:$G$22-A1512)*(Calc!$G$3:$G$22&gt;B1512)*(Calc!$G$3:$G$22-B1512))</f>
        <v/>
      </c>
      <c r="L1512">
        <f>SUMPRODUCT(Calc!$K$3:$K$22*(Calc!$G$3:$G$22&gt;A1512)*(Calc!$G$3:$G$22-A1512)*Calc!$G$3:$G$22)</f>
        <v/>
      </c>
      <c r="M1512">
        <f>SUMPRODUCT(Calc!$K$3:$K$22*(Calc!$G$3:$G$22&gt;B1512)*(Calc!$G$3:$G$22-B1512)*Calc!$G$3:$G$22)</f>
        <v/>
      </c>
      <c r="N1512">
        <f>SUMPRODUCT(Calc!$K$3:$K$22*(Calc!$G$3:$G$22&gt;A1512)*(Calc!$G$3:$G$22-A1512)*Calc!$I$3:$I$22)</f>
        <v/>
      </c>
      <c r="O1512">
        <f>SUMPRODUCT(Calc!$K$3:$K$22*(Calc!$G$3:$G$22&gt;B1512)*(Calc!$G$3:$G$22-B1512)*Calc!$I$3:$I$22)</f>
        <v/>
      </c>
      <c r="P1512">
        <f>I1512-G1512^2/k_n</f>
        <v/>
      </c>
      <c r="Q1512">
        <f>J1512-H1512^2/k_n</f>
        <v/>
      </c>
      <c r="R1512">
        <f>K1512-G1512*H1512/k_n</f>
        <v/>
      </c>
      <c r="S1512">
        <f>L1512-LTP3!$D$3*G1512/k_n</f>
        <v/>
      </c>
      <c r="T1512">
        <f>M1512-LTP3!$D$3*H1512/k_n</f>
        <v/>
      </c>
      <c r="U1512">
        <f>N1512-G1512*LTP3!$D$4/k_n</f>
        <v/>
      </c>
      <c r="V1512">
        <f>O1512-H1512*LTP3!$D$4/k_n</f>
        <v/>
      </c>
      <c r="W1512">
        <f>((LTP3!$D$5)*((P1512)*(Q1512)-(R1512)*(R1512))-(S1512)*((S1512)*(Q1512)-(R1512)*(T1512))+(T1512)*((S1512)*(R1512)-(P1512)*(T1512)))</f>
        <v/>
      </c>
      <c r="X1512">
        <f>IF(ABS(W1512)&gt;1E-12,((LTP3!$D$6)*((P1512)*(Q1512)-(R1512)*(R1512))-(S1512)*((U1512)*(Q1512)-(R1512)*(V1512))+(T1512)*((U1512)*(R1512)-(P1512)*(V1512)))/W1512,0)</f>
        <v/>
      </c>
      <c r="Y1512">
        <f>IF(ABS(W1512)&gt;1E-12,((LTP3!$D$5)*((U1512)*(Q1512)-(R1512)*(V1512))-(LTP3!$D$6)*((S1512)*(Q1512)-(R1512)*(T1512))+(T1512)*((S1512)*(V1512)-(U1512)*(T1512)))/W1512,0)</f>
        <v/>
      </c>
      <c r="Z1512">
        <f>IF(ABS(W1512)&gt;1E-12,((LTP3!$D$5)*((P1512)*(V1512)-(U1512)*(R1512))-(S1512)*((S1512)*(V1512)-(U1512)*(T1512))+(LTP3!$D$6)*((S1512)*(R1512)-(P1512)*(T1512)))/W1512,0)</f>
        <v/>
      </c>
      <c r="AA1512">
        <f>LTP3!$D$7-X1512*LTP3!$D$6-Y1512*U1512-Z1512*V1512</f>
        <v/>
      </c>
      <c r="AB1512">
        <f>IF(AND(F1512,ABS(W1512)&gt;1E-12,Y1512&gt;0,Z1512&gt;0),AA1512,1E+300)</f>
        <v/>
      </c>
    </row>
    <row r="1513">
      <c r="A1513">
        <f>$B$3+$B$5*24</f>
        <v/>
      </c>
      <c r="B1513">
        <f>$B$3+$B$5*37</f>
        <v/>
      </c>
      <c r="C1513">
        <f>SUMPRODUCT(Calc!$K$3:$K$22*(Calc!$G$3:$G$22&lt;=A1513))</f>
        <v/>
      </c>
      <c r="D1513">
        <f>SUMPRODUCT(Calc!$K$3:$K$22*(Calc!$G$3:$G$22&gt;A1513)*(Calc!$G$3:$G$22&lt;B1513))</f>
        <v/>
      </c>
      <c r="E1513">
        <f>SUMPRODUCT(Calc!$K$3:$K$22*(Calc!$G$3:$G$22&gt;=B1513))</f>
        <v/>
      </c>
      <c r="F1513">
        <f>AND(k_n&gt;=5,B1513&gt;A1513+1E-9,C1513&gt;=2,D1513&gt;=1,E1513&gt;=2)</f>
        <v/>
      </c>
      <c r="G1513">
        <f>SUMPRODUCT(Calc!$K$3:$K$22*(Calc!$G$3:$G$22&gt;A1513)*(Calc!$G$3:$G$22-A1513))</f>
        <v/>
      </c>
      <c r="H1513">
        <f>SUMPRODUCT(Calc!$K$3:$K$22*(Calc!$G$3:$G$22&gt;B1513)*(Calc!$G$3:$G$22-B1513))</f>
        <v/>
      </c>
      <c r="I1513">
        <f>SUMPRODUCT(Calc!$K$3:$K$22*(Calc!$G$3:$G$22&gt;A1513)*(Calc!$G$3:$G$22-A1513)^2)</f>
        <v/>
      </c>
      <c r="J1513">
        <f>SUMPRODUCT(Calc!$K$3:$K$22*(Calc!$G$3:$G$22&gt;B1513)*(Calc!$G$3:$G$22-B1513)^2)</f>
        <v/>
      </c>
      <c r="K1513">
        <f>SUMPRODUCT(Calc!$K$3:$K$22*(Calc!$G$3:$G$22&gt;A1513)*(Calc!$G$3:$G$22-A1513)*(Calc!$G$3:$G$22&gt;B1513)*(Calc!$G$3:$G$22-B1513))</f>
        <v/>
      </c>
      <c r="L1513">
        <f>SUMPRODUCT(Calc!$K$3:$K$22*(Calc!$G$3:$G$22&gt;A1513)*(Calc!$G$3:$G$22-A1513)*Calc!$G$3:$G$22)</f>
        <v/>
      </c>
      <c r="M1513">
        <f>SUMPRODUCT(Calc!$K$3:$K$22*(Calc!$G$3:$G$22&gt;B1513)*(Calc!$G$3:$G$22-B1513)*Calc!$G$3:$G$22)</f>
        <v/>
      </c>
      <c r="N1513">
        <f>SUMPRODUCT(Calc!$K$3:$K$22*(Calc!$G$3:$G$22&gt;A1513)*(Calc!$G$3:$G$22-A1513)*Calc!$I$3:$I$22)</f>
        <v/>
      </c>
      <c r="O1513">
        <f>SUMPRODUCT(Calc!$K$3:$K$22*(Calc!$G$3:$G$22&gt;B1513)*(Calc!$G$3:$G$22-B1513)*Calc!$I$3:$I$22)</f>
        <v/>
      </c>
      <c r="P1513">
        <f>I1513-G1513^2/k_n</f>
        <v/>
      </c>
      <c r="Q1513">
        <f>J1513-H1513^2/k_n</f>
        <v/>
      </c>
      <c r="R1513">
        <f>K1513-G1513*H1513/k_n</f>
        <v/>
      </c>
      <c r="S1513">
        <f>L1513-LTP3!$D$3*G1513/k_n</f>
        <v/>
      </c>
      <c r="T1513">
        <f>M1513-LTP3!$D$3*H1513/k_n</f>
        <v/>
      </c>
      <c r="U1513">
        <f>N1513-G1513*LTP3!$D$4/k_n</f>
        <v/>
      </c>
      <c r="V1513">
        <f>O1513-H1513*LTP3!$D$4/k_n</f>
        <v/>
      </c>
      <c r="W1513">
        <f>((LTP3!$D$5)*((P1513)*(Q1513)-(R1513)*(R1513))-(S1513)*((S1513)*(Q1513)-(R1513)*(T1513))+(T1513)*((S1513)*(R1513)-(P1513)*(T1513)))</f>
        <v/>
      </c>
      <c r="X1513">
        <f>IF(ABS(W1513)&gt;1E-12,((LTP3!$D$6)*((P1513)*(Q1513)-(R1513)*(R1513))-(S1513)*((U1513)*(Q1513)-(R1513)*(V1513))+(T1513)*((U1513)*(R1513)-(P1513)*(V1513)))/W1513,0)</f>
        <v/>
      </c>
      <c r="Y1513">
        <f>IF(ABS(W1513)&gt;1E-12,((LTP3!$D$5)*((U1513)*(Q1513)-(R1513)*(V1513))-(LTP3!$D$6)*((S1513)*(Q1513)-(R1513)*(T1513))+(T1513)*((S1513)*(V1513)-(U1513)*(T1513)))/W1513,0)</f>
        <v/>
      </c>
      <c r="Z1513">
        <f>IF(ABS(W1513)&gt;1E-12,((LTP3!$D$5)*((P1513)*(V1513)-(U1513)*(R1513))-(S1513)*((S1513)*(V1513)-(U1513)*(T1513))+(LTP3!$D$6)*((S1513)*(R1513)-(P1513)*(T1513)))/W1513,0)</f>
        <v/>
      </c>
      <c r="AA1513">
        <f>LTP3!$D$7-X1513*LTP3!$D$6-Y1513*U1513-Z1513*V1513</f>
        <v/>
      </c>
      <c r="AB1513">
        <f>IF(AND(F1513,ABS(W1513)&gt;1E-12,Y1513&gt;0,Z1513&gt;0),AA1513,1E+300)</f>
        <v/>
      </c>
    </row>
    <row r="1514">
      <c r="A1514">
        <f>$B$3+$B$5*24</f>
        <v/>
      </c>
      <c r="B1514">
        <f>$B$3+$B$5*38</f>
        <v/>
      </c>
      <c r="C1514">
        <f>SUMPRODUCT(Calc!$K$3:$K$22*(Calc!$G$3:$G$22&lt;=A1514))</f>
        <v/>
      </c>
      <c r="D1514">
        <f>SUMPRODUCT(Calc!$K$3:$K$22*(Calc!$G$3:$G$22&gt;A1514)*(Calc!$G$3:$G$22&lt;B1514))</f>
        <v/>
      </c>
      <c r="E1514">
        <f>SUMPRODUCT(Calc!$K$3:$K$22*(Calc!$G$3:$G$22&gt;=B1514))</f>
        <v/>
      </c>
      <c r="F1514">
        <f>AND(k_n&gt;=5,B1514&gt;A1514+1E-9,C1514&gt;=2,D1514&gt;=1,E1514&gt;=2)</f>
        <v/>
      </c>
      <c r="G1514">
        <f>SUMPRODUCT(Calc!$K$3:$K$22*(Calc!$G$3:$G$22&gt;A1514)*(Calc!$G$3:$G$22-A1514))</f>
        <v/>
      </c>
      <c r="H1514">
        <f>SUMPRODUCT(Calc!$K$3:$K$22*(Calc!$G$3:$G$22&gt;B1514)*(Calc!$G$3:$G$22-B1514))</f>
        <v/>
      </c>
      <c r="I1514">
        <f>SUMPRODUCT(Calc!$K$3:$K$22*(Calc!$G$3:$G$22&gt;A1514)*(Calc!$G$3:$G$22-A1514)^2)</f>
        <v/>
      </c>
      <c r="J1514">
        <f>SUMPRODUCT(Calc!$K$3:$K$22*(Calc!$G$3:$G$22&gt;B1514)*(Calc!$G$3:$G$22-B1514)^2)</f>
        <v/>
      </c>
      <c r="K1514">
        <f>SUMPRODUCT(Calc!$K$3:$K$22*(Calc!$G$3:$G$22&gt;A1514)*(Calc!$G$3:$G$22-A1514)*(Calc!$G$3:$G$22&gt;B1514)*(Calc!$G$3:$G$22-B1514))</f>
        <v/>
      </c>
      <c r="L1514">
        <f>SUMPRODUCT(Calc!$K$3:$K$22*(Calc!$G$3:$G$22&gt;A1514)*(Calc!$G$3:$G$22-A1514)*Calc!$G$3:$G$22)</f>
        <v/>
      </c>
      <c r="M1514">
        <f>SUMPRODUCT(Calc!$K$3:$K$22*(Calc!$G$3:$G$22&gt;B1514)*(Calc!$G$3:$G$22-B1514)*Calc!$G$3:$G$22)</f>
        <v/>
      </c>
      <c r="N1514">
        <f>SUMPRODUCT(Calc!$K$3:$K$22*(Calc!$G$3:$G$22&gt;A1514)*(Calc!$G$3:$G$22-A1514)*Calc!$I$3:$I$22)</f>
        <v/>
      </c>
      <c r="O1514">
        <f>SUMPRODUCT(Calc!$K$3:$K$22*(Calc!$G$3:$G$22&gt;B1514)*(Calc!$G$3:$G$22-B1514)*Calc!$I$3:$I$22)</f>
        <v/>
      </c>
      <c r="P1514">
        <f>I1514-G1514^2/k_n</f>
        <v/>
      </c>
      <c r="Q1514">
        <f>J1514-H1514^2/k_n</f>
        <v/>
      </c>
      <c r="R1514">
        <f>K1514-G1514*H1514/k_n</f>
        <v/>
      </c>
      <c r="S1514">
        <f>L1514-LTP3!$D$3*G1514/k_n</f>
        <v/>
      </c>
      <c r="T1514">
        <f>M1514-LTP3!$D$3*H1514/k_n</f>
        <v/>
      </c>
      <c r="U1514">
        <f>N1514-G1514*LTP3!$D$4/k_n</f>
        <v/>
      </c>
      <c r="V1514">
        <f>O1514-H1514*LTP3!$D$4/k_n</f>
        <v/>
      </c>
      <c r="W1514">
        <f>((LTP3!$D$5)*((P1514)*(Q1514)-(R1514)*(R1514))-(S1514)*((S1514)*(Q1514)-(R1514)*(T1514))+(T1514)*((S1514)*(R1514)-(P1514)*(T1514)))</f>
        <v/>
      </c>
      <c r="X1514">
        <f>IF(ABS(W1514)&gt;1E-12,((LTP3!$D$6)*((P1514)*(Q1514)-(R1514)*(R1514))-(S1514)*((U1514)*(Q1514)-(R1514)*(V1514))+(T1514)*((U1514)*(R1514)-(P1514)*(V1514)))/W1514,0)</f>
        <v/>
      </c>
      <c r="Y1514">
        <f>IF(ABS(W1514)&gt;1E-12,((LTP3!$D$5)*((U1514)*(Q1514)-(R1514)*(V1514))-(LTP3!$D$6)*((S1514)*(Q1514)-(R1514)*(T1514))+(T1514)*((S1514)*(V1514)-(U1514)*(T1514)))/W1514,0)</f>
        <v/>
      </c>
      <c r="Z1514">
        <f>IF(ABS(W1514)&gt;1E-12,((LTP3!$D$5)*((P1514)*(V1514)-(U1514)*(R1514))-(S1514)*((S1514)*(V1514)-(U1514)*(T1514))+(LTP3!$D$6)*((S1514)*(R1514)-(P1514)*(T1514)))/W1514,0)</f>
        <v/>
      </c>
      <c r="AA1514">
        <f>LTP3!$D$7-X1514*LTP3!$D$6-Y1514*U1514-Z1514*V1514</f>
        <v/>
      </c>
      <c r="AB1514">
        <f>IF(AND(F1514,ABS(W1514)&gt;1E-12,Y1514&gt;0,Z1514&gt;0),AA1514,1E+300)</f>
        <v/>
      </c>
    </row>
    <row r="1515">
      <c r="A1515">
        <f>$B$3+$B$5*24</f>
        <v/>
      </c>
      <c r="B1515">
        <f>$B$3+$B$5*39</f>
        <v/>
      </c>
      <c r="C1515">
        <f>SUMPRODUCT(Calc!$K$3:$K$22*(Calc!$G$3:$G$22&lt;=A1515))</f>
        <v/>
      </c>
      <c r="D1515">
        <f>SUMPRODUCT(Calc!$K$3:$K$22*(Calc!$G$3:$G$22&gt;A1515)*(Calc!$G$3:$G$22&lt;B1515))</f>
        <v/>
      </c>
      <c r="E1515">
        <f>SUMPRODUCT(Calc!$K$3:$K$22*(Calc!$G$3:$G$22&gt;=B1515))</f>
        <v/>
      </c>
      <c r="F1515">
        <f>AND(k_n&gt;=5,B1515&gt;A1515+1E-9,C1515&gt;=2,D1515&gt;=1,E1515&gt;=2)</f>
        <v/>
      </c>
      <c r="G1515">
        <f>SUMPRODUCT(Calc!$K$3:$K$22*(Calc!$G$3:$G$22&gt;A1515)*(Calc!$G$3:$G$22-A1515))</f>
        <v/>
      </c>
      <c r="H1515">
        <f>SUMPRODUCT(Calc!$K$3:$K$22*(Calc!$G$3:$G$22&gt;B1515)*(Calc!$G$3:$G$22-B1515))</f>
        <v/>
      </c>
      <c r="I1515">
        <f>SUMPRODUCT(Calc!$K$3:$K$22*(Calc!$G$3:$G$22&gt;A1515)*(Calc!$G$3:$G$22-A1515)^2)</f>
        <v/>
      </c>
      <c r="J1515">
        <f>SUMPRODUCT(Calc!$K$3:$K$22*(Calc!$G$3:$G$22&gt;B1515)*(Calc!$G$3:$G$22-B1515)^2)</f>
        <v/>
      </c>
      <c r="K1515">
        <f>SUMPRODUCT(Calc!$K$3:$K$22*(Calc!$G$3:$G$22&gt;A1515)*(Calc!$G$3:$G$22-A1515)*(Calc!$G$3:$G$22&gt;B1515)*(Calc!$G$3:$G$22-B1515))</f>
        <v/>
      </c>
      <c r="L1515">
        <f>SUMPRODUCT(Calc!$K$3:$K$22*(Calc!$G$3:$G$22&gt;A1515)*(Calc!$G$3:$G$22-A1515)*Calc!$G$3:$G$22)</f>
        <v/>
      </c>
      <c r="M1515">
        <f>SUMPRODUCT(Calc!$K$3:$K$22*(Calc!$G$3:$G$22&gt;B1515)*(Calc!$G$3:$G$22-B1515)*Calc!$G$3:$G$22)</f>
        <v/>
      </c>
      <c r="N1515">
        <f>SUMPRODUCT(Calc!$K$3:$K$22*(Calc!$G$3:$G$22&gt;A1515)*(Calc!$G$3:$G$22-A1515)*Calc!$I$3:$I$22)</f>
        <v/>
      </c>
      <c r="O1515">
        <f>SUMPRODUCT(Calc!$K$3:$K$22*(Calc!$G$3:$G$22&gt;B1515)*(Calc!$G$3:$G$22-B1515)*Calc!$I$3:$I$22)</f>
        <v/>
      </c>
      <c r="P1515">
        <f>I1515-G1515^2/k_n</f>
        <v/>
      </c>
      <c r="Q1515">
        <f>J1515-H1515^2/k_n</f>
        <v/>
      </c>
      <c r="R1515">
        <f>K1515-G1515*H1515/k_n</f>
        <v/>
      </c>
      <c r="S1515">
        <f>L1515-LTP3!$D$3*G1515/k_n</f>
        <v/>
      </c>
      <c r="T1515">
        <f>M1515-LTP3!$D$3*H1515/k_n</f>
        <v/>
      </c>
      <c r="U1515">
        <f>N1515-G1515*LTP3!$D$4/k_n</f>
        <v/>
      </c>
      <c r="V1515">
        <f>O1515-H1515*LTP3!$D$4/k_n</f>
        <v/>
      </c>
      <c r="W1515">
        <f>((LTP3!$D$5)*((P1515)*(Q1515)-(R1515)*(R1515))-(S1515)*((S1515)*(Q1515)-(R1515)*(T1515))+(T1515)*((S1515)*(R1515)-(P1515)*(T1515)))</f>
        <v/>
      </c>
      <c r="X1515">
        <f>IF(ABS(W1515)&gt;1E-12,((LTP3!$D$6)*((P1515)*(Q1515)-(R1515)*(R1515))-(S1515)*((U1515)*(Q1515)-(R1515)*(V1515))+(T1515)*((U1515)*(R1515)-(P1515)*(V1515)))/W1515,0)</f>
        <v/>
      </c>
      <c r="Y1515">
        <f>IF(ABS(W1515)&gt;1E-12,((LTP3!$D$5)*((U1515)*(Q1515)-(R1515)*(V1515))-(LTP3!$D$6)*((S1515)*(Q1515)-(R1515)*(T1515))+(T1515)*((S1515)*(V1515)-(U1515)*(T1515)))/W1515,0)</f>
        <v/>
      </c>
      <c r="Z1515">
        <f>IF(ABS(W1515)&gt;1E-12,((LTP3!$D$5)*((P1515)*(V1515)-(U1515)*(R1515))-(S1515)*((S1515)*(V1515)-(U1515)*(T1515))+(LTP3!$D$6)*((S1515)*(R1515)-(P1515)*(T1515)))/W1515,0)</f>
        <v/>
      </c>
      <c r="AA1515">
        <f>LTP3!$D$7-X1515*LTP3!$D$6-Y1515*U1515-Z1515*V1515</f>
        <v/>
      </c>
      <c r="AB1515">
        <f>IF(AND(F1515,ABS(W1515)&gt;1E-12,Y1515&gt;0,Z1515&gt;0),AA1515,1E+300)</f>
        <v/>
      </c>
    </row>
    <row r="1516">
      <c r="A1516">
        <f>$B$3+$B$5*24</f>
        <v/>
      </c>
      <c r="B1516">
        <f>$B$3+$B$5*40</f>
        <v/>
      </c>
      <c r="C1516">
        <f>SUMPRODUCT(Calc!$K$3:$K$22*(Calc!$G$3:$G$22&lt;=A1516))</f>
        <v/>
      </c>
      <c r="D1516">
        <f>SUMPRODUCT(Calc!$K$3:$K$22*(Calc!$G$3:$G$22&gt;A1516)*(Calc!$G$3:$G$22&lt;B1516))</f>
        <v/>
      </c>
      <c r="E1516">
        <f>SUMPRODUCT(Calc!$K$3:$K$22*(Calc!$G$3:$G$22&gt;=B1516))</f>
        <v/>
      </c>
      <c r="F1516">
        <f>AND(k_n&gt;=5,B1516&gt;A1516+1E-9,C1516&gt;=2,D1516&gt;=1,E1516&gt;=2)</f>
        <v/>
      </c>
      <c r="G1516">
        <f>SUMPRODUCT(Calc!$K$3:$K$22*(Calc!$G$3:$G$22&gt;A1516)*(Calc!$G$3:$G$22-A1516))</f>
        <v/>
      </c>
      <c r="H1516">
        <f>SUMPRODUCT(Calc!$K$3:$K$22*(Calc!$G$3:$G$22&gt;B1516)*(Calc!$G$3:$G$22-B1516))</f>
        <v/>
      </c>
      <c r="I1516">
        <f>SUMPRODUCT(Calc!$K$3:$K$22*(Calc!$G$3:$G$22&gt;A1516)*(Calc!$G$3:$G$22-A1516)^2)</f>
        <v/>
      </c>
      <c r="J1516">
        <f>SUMPRODUCT(Calc!$K$3:$K$22*(Calc!$G$3:$G$22&gt;B1516)*(Calc!$G$3:$G$22-B1516)^2)</f>
        <v/>
      </c>
      <c r="K1516">
        <f>SUMPRODUCT(Calc!$K$3:$K$22*(Calc!$G$3:$G$22&gt;A1516)*(Calc!$G$3:$G$22-A1516)*(Calc!$G$3:$G$22&gt;B1516)*(Calc!$G$3:$G$22-B1516))</f>
        <v/>
      </c>
      <c r="L1516">
        <f>SUMPRODUCT(Calc!$K$3:$K$22*(Calc!$G$3:$G$22&gt;A1516)*(Calc!$G$3:$G$22-A1516)*Calc!$G$3:$G$22)</f>
        <v/>
      </c>
      <c r="M1516">
        <f>SUMPRODUCT(Calc!$K$3:$K$22*(Calc!$G$3:$G$22&gt;B1516)*(Calc!$G$3:$G$22-B1516)*Calc!$G$3:$G$22)</f>
        <v/>
      </c>
      <c r="N1516">
        <f>SUMPRODUCT(Calc!$K$3:$K$22*(Calc!$G$3:$G$22&gt;A1516)*(Calc!$G$3:$G$22-A1516)*Calc!$I$3:$I$22)</f>
        <v/>
      </c>
      <c r="O1516">
        <f>SUMPRODUCT(Calc!$K$3:$K$22*(Calc!$G$3:$G$22&gt;B1516)*(Calc!$G$3:$G$22-B1516)*Calc!$I$3:$I$22)</f>
        <v/>
      </c>
      <c r="P1516">
        <f>I1516-G1516^2/k_n</f>
        <v/>
      </c>
      <c r="Q1516">
        <f>J1516-H1516^2/k_n</f>
        <v/>
      </c>
      <c r="R1516">
        <f>K1516-G1516*H1516/k_n</f>
        <v/>
      </c>
      <c r="S1516">
        <f>L1516-LTP3!$D$3*G1516/k_n</f>
        <v/>
      </c>
      <c r="T1516">
        <f>M1516-LTP3!$D$3*H1516/k_n</f>
        <v/>
      </c>
      <c r="U1516">
        <f>N1516-G1516*LTP3!$D$4/k_n</f>
        <v/>
      </c>
      <c r="V1516">
        <f>O1516-H1516*LTP3!$D$4/k_n</f>
        <v/>
      </c>
      <c r="W1516">
        <f>((LTP3!$D$5)*((P1516)*(Q1516)-(R1516)*(R1516))-(S1516)*((S1516)*(Q1516)-(R1516)*(T1516))+(T1516)*((S1516)*(R1516)-(P1516)*(T1516)))</f>
        <v/>
      </c>
      <c r="X1516">
        <f>IF(ABS(W1516)&gt;1E-12,((LTP3!$D$6)*((P1516)*(Q1516)-(R1516)*(R1516))-(S1516)*((U1516)*(Q1516)-(R1516)*(V1516))+(T1516)*((U1516)*(R1516)-(P1516)*(V1516)))/W1516,0)</f>
        <v/>
      </c>
      <c r="Y1516">
        <f>IF(ABS(W1516)&gt;1E-12,((LTP3!$D$5)*((U1516)*(Q1516)-(R1516)*(V1516))-(LTP3!$D$6)*((S1516)*(Q1516)-(R1516)*(T1516))+(T1516)*((S1516)*(V1516)-(U1516)*(T1516)))/W1516,0)</f>
        <v/>
      </c>
      <c r="Z1516">
        <f>IF(ABS(W1516)&gt;1E-12,((LTP3!$D$5)*((P1516)*(V1516)-(U1516)*(R1516))-(S1516)*((S1516)*(V1516)-(U1516)*(T1516))+(LTP3!$D$6)*((S1516)*(R1516)-(P1516)*(T1516)))/W1516,0)</f>
        <v/>
      </c>
      <c r="AA1516">
        <f>LTP3!$D$7-X1516*LTP3!$D$6-Y1516*U1516-Z1516*V1516</f>
        <v/>
      </c>
      <c r="AB1516">
        <f>IF(AND(F1516,ABS(W1516)&gt;1E-12,Y1516&gt;0,Z1516&gt;0),AA1516,1E+300)</f>
        <v/>
      </c>
    </row>
    <row r="1517">
      <c r="A1517">
        <f>$B$3+$B$5*24</f>
        <v/>
      </c>
      <c r="B1517">
        <f>$B$3+$B$5*41</f>
        <v/>
      </c>
      <c r="C1517">
        <f>SUMPRODUCT(Calc!$K$3:$K$22*(Calc!$G$3:$G$22&lt;=A1517))</f>
        <v/>
      </c>
      <c r="D1517">
        <f>SUMPRODUCT(Calc!$K$3:$K$22*(Calc!$G$3:$G$22&gt;A1517)*(Calc!$G$3:$G$22&lt;B1517))</f>
        <v/>
      </c>
      <c r="E1517">
        <f>SUMPRODUCT(Calc!$K$3:$K$22*(Calc!$G$3:$G$22&gt;=B1517))</f>
        <v/>
      </c>
      <c r="F1517">
        <f>AND(k_n&gt;=5,B1517&gt;A1517+1E-9,C1517&gt;=2,D1517&gt;=1,E1517&gt;=2)</f>
        <v/>
      </c>
      <c r="G1517">
        <f>SUMPRODUCT(Calc!$K$3:$K$22*(Calc!$G$3:$G$22&gt;A1517)*(Calc!$G$3:$G$22-A1517))</f>
        <v/>
      </c>
      <c r="H1517">
        <f>SUMPRODUCT(Calc!$K$3:$K$22*(Calc!$G$3:$G$22&gt;B1517)*(Calc!$G$3:$G$22-B1517))</f>
        <v/>
      </c>
      <c r="I1517">
        <f>SUMPRODUCT(Calc!$K$3:$K$22*(Calc!$G$3:$G$22&gt;A1517)*(Calc!$G$3:$G$22-A1517)^2)</f>
        <v/>
      </c>
      <c r="J1517">
        <f>SUMPRODUCT(Calc!$K$3:$K$22*(Calc!$G$3:$G$22&gt;B1517)*(Calc!$G$3:$G$22-B1517)^2)</f>
        <v/>
      </c>
      <c r="K1517">
        <f>SUMPRODUCT(Calc!$K$3:$K$22*(Calc!$G$3:$G$22&gt;A1517)*(Calc!$G$3:$G$22-A1517)*(Calc!$G$3:$G$22&gt;B1517)*(Calc!$G$3:$G$22-B1517))</f>
        <v/>
      </c>
      <c r="L1517">
        <f>SUMPRODUCT(Calc!$K$3:$K$22*(Calc!$G$3:$G$22&gt;A1517)*(Calc!$G$3:$G$22-A1517)*Calc!$G$3:$G$22)</f>
        <v/>
      </c>
      <c r="M1517">
        <f>SUMPRODUCT(Calc!$K$3:$K$22*(Calc!$G$3:$G$22&gt;B1517)*(Calc!$G$3:$G$22-B1517)*Calc!$G$3:$G$22)</f>
        <v/>
      </c>
      <c r="N1517">
        <f>SUMPRODUCT(Calc!$K$3:$K$22*(Calc!$G$3:$G$22&gt;A1517)*(Calc!$G$3:$G$22-A1517)*Calc!$I$3:$I$22)</f>
        <v/>
      </c>
      <c r="O1517">
        <f>SUMPRODUCT(Calc!$K$3:$K$22*(Calc!$G$3:$G$22&gt;B1517)*(Calc!$G$3:$G$22-B1517)*Calc!$I$3:$I$22)</f>
        <v/>
      </c>
      <c r="P1517">
        <f>I1517-G1517^2/k_n</f>
        <v/>
      </c>
      <c r="Q1517">
        <f>J1517-H1517^2/k_n</f>
        <v/>
      </c>
      <c r="R1517">
        <f>K1517-G1517*H1517/k_n</f>
        <v/>
      </c>
      <c r="S1517">
        <f>L1517-LTP3!$D$3*G1517/k_n</f>
        <v/>
      </c>
      <c r="T1517">
        <f>M1517-LTP3!$D$3*H1517/k_n</f>
        <v/>
      </c>
      <c r="U1517">
        <f>N1517-G1517*LTP3!$D$4/k_n</f>
        <v/>
      </c>
      <c r="V1517">
        <f>O1517-H1517*LTP3!$D$4/k_n</f>
        <v/>
      </c>
      <c r="W1517">
        <f>((LTP3!$D$5)*((P1517)*(Q1517)-(R1517)*(R1517))-(S1517)*((S1517)*(Q1517)-(R1517)*(T1517))+(T1517)*((S1517)*(R1517)-(P1517)*(T1517)))</f>
        <v/>
      </c>
      <c r="X1517">
        <f>IF(ABS(W1517)&gt;1E-12,((LTP3!$D$6)*((P1517)*(Q1517)-(R1517)*(R1517))-(S1517)*((U1517)*(Q1517)-(R1517)*(V1517))+(T1517)*((U1517)*(R1517)-(P1517)*(V1517)))/W1517,0)</f>
        <v/>
      </c>
      <c r="Y1517">
        <f>IF(ABS(W1517)&gt;1E-12,((LTP3!$D$5)*((U1517)*(Q1517)-(R1517)*(V1517))-(LTP3!$D$6)*((S1517)*(Q1517)-(R1517)*(T1517))+(T1517)*((S1517)*(V1517)-(U1517)*(T1517)))/W1517,0)</f>
        <v/>
      </c>
      <c r="Z1517">
        <f>IF(ABS(W1517)&gt;1E-12,((LTP3!$D$5)*((P1517)*(V1517)-(U1517)*(R1517))-(S1517)*((S1517)*(V1517)-(U1517)*(T1517))+(LTP3!$D$6)*((S1517)*(R1517)-(P1517)*(T1517)))/W1517,0)</f>
        <v/>
      </c>
      <c r="AA1517">
        <f>LTP3!$D$7-X1517*LTP3!$D$6-Y1517*U1517-Z1517*V1517</f>
        <v/>
      </c>
      <c r="AB1517">
        <f>IF(AND(F1517,ABS(W1517)&gt;1E-12,Y1517&gt;0,Z1517&gt;0),AA1517,1E+300)</f>
        <v/>
      </c>
    </row>
    <row r="1518">
      <c r="A1518">
        <f>$B$3+$B$5*24</f>
        <v/>
      </c>
      <c r="B1518">
        <f>$B$3+$B$5*42</f>
        <v/>
      </c>
      <c r="C1518">
        <f>SUMPRODUCT(Calc!$K$3:$K$22*(Calc!$G$3:$G$22&lt;=A1518))</f>
        <v/>
      </c>
      <c r="D1518">
        <f>SUMPRODUCT(Calc!$K$3:$K$22*(Calc!$G$3:$G$22&gt;A1518)*(Calc!$G$3:$G$22&lt;B1518))</f>
        <v/>
      </c>
      <c r="E1518">
        <f>SUMPRODUCT(Calc!$K$3:$K$22*(Calc!$G$3:$G$22&gt;=B1518))</f>
        <v/>
      </c>
      <c r="F1518">
        <f>AND(k_n&gt;=5,B1518&gt;A1518+1E-9,C1518&gt;=2,D1518&gt;=1,E1518&gt;=2)</f>
        <v/>
      </c>
      <c r="G1518">
        <f>SUMPRODUCT(Calc!$K$3:$K$22*(Calc!$G$3:$G$22&gt;A1518)*(Calc!$G$3:$G$22-A1518))</f>
        <v/>
      </c>
      <c r="H1518">
        <f>SUMPRODUCT(Calc!$K$3:$K$22*(Calc!$G$3:$G$22&gt;B1518)*(Calc!$G$3:$G$22-B1518))</f>
        <v/>
      </c>
      <c r="I1518">
        <f>SUMPRODUCT(Calc!$K$3:$K$22*(Calc!$G$3:$G$22&gt;A1518)*(Calc!$G$3:$G$22-A1518)^2)</f>
        <v/>
      </c>
      <c r="J1518">
        <f>SUMPRODUCT(Calc!$K$3:$K$22*(Calc!$G$3:$G$22&gt;B1518)*(Calc!$G$3:$G$22-B1518)^2)</f>
        <v/>
      </c>
      <c r="K1518">
        <f>SUMPRODUCT(Calc!$K$3:$K$22*(Calc!$G$3:$G$22&gt;A1518)*(Calc!$G$3:$G$22-A1518)*(Calc!$G$3:$G$22&gt;B1518)*(Calc!$G$3:$G$22-B1518))</f>
        <v/>
      </c>
      <c r="L1518">
        <f>SUMPRODUCT(Calc!$K$3:$K$22*(Calc!$G$3:$G$22&gt;A1518)*(Calc!$G$3:$G$22-A1518)*Calc!$G$3:$G$22)</f>
        <v/>
      </c>
      <c r="M1518">
        <f>SUMPRODUCT(Calc!$K$3:$K$22*(Calc!$G$3:$G$22&gt;B1518)*(Calc!$G$3:$G$22-B1518)*Calc!$G$3:$G$22)</f>
        <v/>
      </c>
      <c r="N1518">
        <f>SUMPRODUCT(Calc!$K$3:$K$22*(Calc!$G$3:$G$22&gt;A1518)*(Calc!$G$3:$G$22-A1518)*Calc!$I$3:$I$22)</f>
        <v/>
      </c>
      <c r="O1518">
        <f>SUMPRODUCT(Calc!$K$3:$K$22*(Calc!$G$3:$G$22&gt;B1518)*(Calc!$G$3:$G$22-B1518)*Calc!$I$3:$I$22)</f>
        <v/>
      </c>
      <c r="P1518">
        <f>I1518-G1518^2/k_n</f>
        <v/>
      </c>
      <c r="Q1518">
        <f>J1518-H1518^2/k_n</f>
        <v/>
      </c>
      <c r="R1518">
        <f>K1518-G1518*H1518/k_n</f>
        <v/>
      </c>
      <c r="S1518">
        <f>L1518-LTP3!$D$3*G1518/k_n</f>
        <v/>
      </c>
      <c r="T1518">
        <f>M1518-LTP3!$D$3*H1518/k_n</f>
        <v/>
      </c>
      <c r="U1518">
        <f>N1518-G1518*LTP3!$D$4/k_n</f>
        <v/>
      </c>
      <c r="V1518">
        <f>O1518-H1518*LTP3!$D$4/k_n</f>
        <v/>
      </c>
      <c r="W1518">
        <f>((LTP3!$D$5)*((P1518)*(Q1518)-(R1518)*(R1518))-(S1518)*((S1518)*(Q1518)-(R1518)*(T1518))+(T1518)*((S1518)*(R1518)-(P1518)*(T1518)))</f>
        <v/>
      </c>
      <c r="X1518">
        <f>IF(ABS(W1518)&gt;1E-12,((LTP3!$D$6)*((P1518)*(Q1518)-(R1518)*(R1518))-(S1518)*((U1518)*(Q1518)-(R1518)*(V1518))+(T1518)*((U1518)*(R1518)-(P1518)*(V1518)))/W1518,0)</f>
        <v/>
      </c>
      <c r="Y1518">
        <f>IF(ABS(W1518)&gt;1E-12,((LTP3!$D$5)*((U1518)*(Q1518)-(R1518)*(V1518))-(LTP3!$D$6)*((S1518)*(Q1518)-(R1518)*(T1518))+(T1518)*((S1518)*(V1518)-(U1518)*(T1518)))/W1518,0)</f>
        <v/>
      </c>
      <c r="Z1518">
        <f>IF(ABS(W1518)&gt;1E-12,((LTP3!$D$5)*((P1518)*(V1518)-(U1518)*(R1518))-(S1518)*((S1518)*(V1518)-(U1518)*(T1518))+(LTP3!$D$6)*((S1518)*(R1518)-(P1518)*(T1518)))/W1518,0)</f>
        <v/>
      </c>
      <c r="AA1518">
        <f>LTP3!$D$7-X1518*LTP3!$D$6-Y1518*U1518-Z1518*V1518</f>
        <v/>
      </c>
      <c r="AB1518">
        <f>IF(AND(F1518,ABS(W1518)&gt;1E-12,Y1518&gt;0,Z1518&gt;0),AA1518,1E+300)</f>
        <v/>
      </c>
    </row>
    <row r="1519">
      <c r="A1519">
        <f>$B$3+$B$5*24</f>
        <v/>
      </c>
      <c r="B1519">
        <f>$B$3+$B$5*43</f>
        <v/>
      </c>
      <c r="C1519">
        <f>SUMPRODUCT(Calc!$K$3:$K$22*(Calc!$G$3:$G$22&lt;=A1519))</f>
        <v/>
      </c>
      <c r="D1519">
        <f>SUMPRODUCT(Calc!$K$3:$K$22*(Calc!$G$3:$G$22&gt;A1519)*(Calc!$G$3:$G$22&lt;B1519))</f>
        <v/>
      </c>
      <c r="E1519">
        <f>SUMPRODUCT(Calc!$K$3:$K$22*(Calc!$G$3:$G$22&gt;=B1519))</f>
        <v/>
      </c>
      <c r="F1519">
        <f>AND(k_n&gt;=5,B1519&gt;A1519+1E-9,C1519&gt;=2,D1519&gt;=1,E1519&gt;=2)</f>
        <v/>
      </c>
      <c r="G1519">
        <f>SUMPRODUCT(Calc!$K$3:$K$22*(Calc!$G$3:$G$22&gt;A1519)*(Calc!$G$3:$G$22-A1519))</f>
        <v/>
      </c>
      <c r="H1519">
        <f>SUMPRODUCT(Calc!$K$3:$K$22*(Calc!$G$3:$G$22&gt;B1519)*(Calc!$G$3:$G$22-B1519))</f>
        <v/>
      </c>
      <c r="I1519">
        <f>SUMPRODUCT(Calc!$K$3:$K$22*(Calc!$G$3:$G$22&gt;A1519)*(Calc!$G$3:$G$22-A1519)^2)</f>
        <v/>
      </c>
      <c r="J1519">
        <f>SUMPRODUCT(Calc!$K$3:$K$22*(Calc!$G$3:$G$22&gt;B1519)*(Calc!$G$3:$G$22-B1519)^2)</f>
        <v/>
      </c>
      <c r="K1519">
        <f>SUMPRODUCT(Calc!$K$3:$K$22*(Calc!$G$3:$G$22&gt;A1519)*(Calc!$G$3:$G$22-A1519)*(Calc!$G$3:$G$22&gt;B1519)*(Calc!$G$3:$G$22-B1519))</f>
        <v/>
      </c>
      <c r="L1519">
        <f>SUMPRODUCT(Calc!$K$3:$K$22*(Calc!$G$3:$G$22&gt;A1519)*(Calc!$G$3:$G$22-A1519)*Calc!$G$3:$G$22)</f>
        <v/>
      </c>
      <c r="M1519">
        <f>SUMPRODUCT(Calc!$K$3:$K$22*(Calc!$G$3:$G$22&gt;B1519)*(Calc!$G$3:$G$22-B1519)*Calc!$G$3:$G$22)</f>
        <v/>
      </c>
      <c r="N1519">
        <f>SUMPRODUCT(Calc!$K$3:$K$22*(Calc!$G$3:$G$22&gt;A1519)*(Calc!$G$3:$G$22-A1519)*Calc!$I$3:$I$22)</f>
        <v/>
      </c>
      <c r="O1519">
        <f>SUMPRODUCT(Calc!$K$3:$K$22*(Calc!$G$3:$G$22&gt;B1519)*(Calc!$G$3:$G$22-B1519)*Calc!$I$3:$I$22)</f>
        <v/>
      </c>
      <c r="P1519">
        <f>I1519-G1519^2/k_n</f>
        <v/>
      </c>
      <c r="Q1519">
        <f>J1519-H1519^2/k_n</f>
        <v/>
      </c>
      <c r="R1519">
        <f>K1519-G1519*H1519/k_n</f>
        <v/>
      </c>
      <c r="S1519">
        <f>L1519-LTP3!$D$3*G1519/k_n</f>
        <v/>
      </c>
      <c r="T1519">
        <f>M1519-LTP3!$D$3*H1519/k_n</f>
        <v/>
      </c>
      <c r="U1519">
        <f>N1519-G1519*LTP3!$D$4/k_n</f>
        <v/>
      </c>
      <c r="V1519">
        <f>O1519-H1519*LTP3!$D$4/k_n</f>
        <v/>
      </c>
      <c r="W1519">
        <f>((LTP3!$D$5)*((P1519)*(Q1519)-(R1519)*(R1519))-(S1519)*((S1519)*(Q1519)-(R1519)*(T1519))+(T1519)*((S1519)*(R1519)-(P1519)*(T1519)))</f>
        <v/>
      </c>
      <c r="X1519">
        <f>IF(ABS(W1519)&gt;1E-12,((LTP3!$D$6)*((P1519)*(Q1519)-(R1519)*(R1519))-(S1519)*((U1519)*(Q1519)-(R1519)*(V1519))+(T1519)*((U1519)*(R1519)-(P1519)*(V1519)))/W1519,0)</f>
        <v/>
      </c>
      <c r="Y1519">
        <f>IF(ABS(W1519)&gt;1E-12,((LTP3!$D$5)*((U1519)*(Q1519)-(R1519)*(V1519))-(LTP3!$D$6)*((S1519)*(Q1519)-(R1519)*(T1519))+(T1519)*((S1519)*(V1519)-(U1519)*(T1519)))/W1519,0)</f>
        <v/>
      </c>
      <c r="Z1519">
        <f>IF(ABS(W1519)&gt;1E-12,((LTP3!$D$5)*((P1519)*(V1519)-(U1519)*(R1519))-(S1519)*((S1519)*(V1519)-(U1519)*(T1519))+(LTP3!$D$6)*((S1519)*(R1519)-(P1519)*(T1519)))/W1519,0)</f>
        <v/>
      </c>
      <c r="AA1519">
        <f>LTP3!$D$7-X1519*LTP3!$D$6-Y1519*U1519-Z1519*V1519</f>
        <v/>
      </c>
      <c r="AB1519">
        <f>IF(AND(F1519,ABS(W1519)&gt;1E-12,Y1519&gt;0,Z1519&gt;0),AA1519,1E+300)</f>
        <v/>
      </c>
    </row>
    <row r="1520">
      <c r="A1520">
        <f>$B$3+$B$5*24</f>
        <v/>
      </c>
      <c r="B1520">
        <f>$B$3+$B$5*44</f>
        <v/>
      </c>
      <c r="C1520">
        <f>SUMPRODUCT(Calc!$K$3:$K$22*(Calc!$G$3:$G$22&lt;=A1520))</f>
        <v/>
      </c>
      <c r="D1520">
        <f>SUMPRODUCT(Calc!$K$3:$K$22*(Calc!$G$3:$G$22&gt;A1520)*(Calc!$G$3:$G$22&lt;B1520))</f>
        <v/>
      </c>
      <c r="E1520">
        <f>SUMPRODUCT(Calc!$K$3:$K$22*(Calc!$G$3:$G$22&gt;=B1520))</f>
        <v/>
      </c>
      <c r="F1520">
        <f>AND(k_n&gt;=5,B1520&gt;A1520+1E-9,C1520&gt;=2,D1520&gt;=1,E1520&gt;=2)</f>
        <v/>
      </c>
      <c r="G1520">
        <f>SUMPRODUCT(Calc!$K$3:$K$22*(Calc!$G$3:$G$22&gt;A1520)*(Calc!$G$3:$G$22-A1520))</f>
        <v/>
      </c>
      <c r="H1520">
        <f>SUMPRODUCT(Calc!$K$3:$K$22*(Calc!$G$3:$G$22&gt;B1520)*(Calc!$G$3:$G$22-B1520))</f>
        <v/>
      </c>
      <c r="I1520">
        <f>SUMPRODUCT(Calc!$K$3:$K$22*(Calc!$G$3:$G$22&gt;A1520)*(Calc!$G$3:$G$22-A1520)^2)</f>
        <v/>
      </c>
      <c r="J1520">
        <f>SUMPRODUCT(Calc!$K$3:$K$22*(Calc!$G$3:$G$22&gt;B1520)*(Calc!$G$3:$G$22-B1520)^2)</f>
        <v/>
      </c>
      <c r="K1520">
        <f>SUMPRODUCT(Calc!$K$3:$K$22*(Calc!$G$3:$G$22&gt;A1520)*(Calc!$G$3:$G$22-A1520)*(Calc!$G$3:$G$22&gt;B1520)*(Calc!$G$3:$G$22-B1520))</f>
        <v/>
      </c>
      <c r="L1520">
        <f>SUMPRODUCT(Calc!$K$3:$K$22*(Calc!$G$3:$G$22&gt;A1520)*(Calc!$G$3:$G$22-A1520)*Calc!$G$3:$G$22)</f>
        <v/>
      </c>
      <c r="M1520">
        <f>SUMPRODUCT(Calc!$K$3:$K$22*(Calc!$G$3:$G$22&gt;B1520)*(Calc!$G$3:$G$22-B1520)*Calc!$G$3:$G$22)</f>
        <v/>
      </c>
      <c r="N1520">
        <f>SUMPRODUCT(Calc!$K$3:$K$22*(Calc!$G$3:$G$22&gt;A1520)*(Calc!$G$3:$G$22-A1520)*Calc!$I$3:$I$22)</f>
        <v/>
      </c>
      <c r="O1520">
        <f>SUMPRODUCT(Calc!$K$3:$K$22*(Calc!$G$3:$G$22&gt;B1520)*(Calc!$G$3:$G$22-B1520)*Calc!$I$3:$I$22)</f>
        <v/>
      </c>
      <c r="P1520">
        <f>I1520-G1520^2/k_n</f>
        <v/>
      </c>
      <c r="Q1520">
        <f>J1520-H1520^2/k_n</f>
        <v/>
      </c>
      <c r="R1520">
        <f>K1520-G1520*H1520/k_n</f>
        <v/>
      </c>
      <c r="S1520">
        <f>L1520-LTP3!$D$3*G1520/k_n</f>
        <v/>
      </c>
      <c r="T1520">
        <f>M1520-LTP3!$D$3*H1520/k_n</f>
        <v/>
      </c>
      <c r="U1520">
        <f>N1520-G1520*LTP3!$D$4/k_n</f>
        <v/>
      </c>
      <c r="V1520">
        <f>O1520-H1520*LTP3!$D$4/k_n</f>
        <v/>
      </c>
      <c r="W1520">
        <f>((LTP3!$D$5)*((P1520)*(Q1520)-(R1520)*(R1520))-(S1520)*((S1520)*(Q1520)-(R1520)*(T1520))+(T1520)*((S1520)*(R1520)-(P1520)*(T1520)))</f>
        <v/>
      </c>
      <c r="X1520">
        <f>IF(ABS(W1520)&gt;1E-12,((LTP3!$D$6)*((P1520)*(Q1520)-(R1520)*(R1520))-(S1520)*((U1520)*(Q1520)-(R1520)*(V1520))+(T1520)*((U1520)*(R1520)-(P1520)*(V1520)))/W1520,0)</f>
        <v/>
      </c>
      <c r="Y1520">
        <f>IF(ABS(W1520)&gt;1E-12,((LTP3!$D$5)*((U1520)*(Q1520)-(R1520)*(V1520))-(LTP3!$D$6)*((S1520)*(Q1520)-(R1520)*(T1520))+(T1520)*((S1520)*(V1520)-(U1520)*(T1520)))/W1520,0)</f>
        <v/>
      </c>
      <c r="Z1520">
        <f>IF(ABS(W1520)&gt;1E-12,((LTP3!$D$5)*((P1520)*(V1520)-(U1520)*(R1520))-(S1520)*((S1520)*(V1520)-(U1520)*(T1520))+(LTP3!$D$6)*((S1520)*(R1520)-(P1520)*(T1520)))/W1520,0)</f>
        <v/>
      </c>
      <c r="AA1520">
        <f>LTP3!$D$7-X1520*LTP3!$D$6-Y1520*U1520-Z1520*V1520</f>
        <v/>
      </c>
      <c r="AB1520">
        <f>IF(AND(F1520,ABS(W1520)&gt;1E-12,Y1520&gt;0,Z1520&gt;0),AA1520,1E+300)</f>
        <v/>
      </c>
    </row>
    <row r="1521">
      <c r="A1521">
        <f>$B$3+$B$5*24</f>
        <v/>
      </c>
      <c r="B1521">
        <f>$B$3+$B$5*45</f>
        <v/>
      </c>
      <c r="C1521">
        <f>SUMPRODUCT(Calc!$K$3:$K$22*(Calc!$G$3:$G$22&lt;=A1521))</f>
        <v/>
      </c>
      <c r="D1521">
        <f>SUMPRODUCT(Calc!$K$3:$K$22*(Calc!$G$3:$G$22&gt;A1521)*(Calc!$G$3:$G$22&lt;B1521))</f>
        <v/>
      </c>
      <c r="E1521">
        <f>SUMPRODUCT(Calc!$K$3:$K$22*(Calc!$G$3:$G$22&gt;=B1521))</f>
        <v/>
      </c>
      <c r="F1521">
        <f>AND(k_n&gt;=5,B1521&gt;A1521+1E-9,C1521&gt;=2,D1521&gt;=1,E1521&gt;=2)</f>
        <v/>
      </c>
      <c r="G1521">
        <f>SUMPRODUCT(Calc!$K$3:$K$22*(Calc!$G$3:$G$22&gt;A1521)*(Calc!$G$3:$G$22-A1521))</f>
        <v/>
      </c>
      <c r="H1521">
        <f>SUMPRODUCT(Calc!$K$3:$K$22*(Calc!$G$3:$G$22&gt;B1521)*(Calc!$G$3:$G$22-B1521))</f>
        <v/>
      </c>
      <c r="I1521">
        <f>SUMPRODUCT(Calc!$K$3:$K$22*(Calc!$G$3:$G$22&gt;A1521)*(Calc!$G$3:$G$22-A1521)^2)</f>
        <v/>
      </c>
      <c r="J1521">
        <f>SUMPRODUCT(Calc!$K$3:$K$22*(Calc!$G$3:$G$22&gt;B1521)*(Calc!$G$3:$G$22-B1521)^2)</f>
        <v/>
      </c>
      <c r="K1521">
        <f>SUMPRODUCT(Calc!$K$3:$K$22*(Calc!$G$3:$G$22&gt;A1521)*(Calc!$G$3:$G$22-A1521)*(Calc!$G$3:$G$22&gt;B1521)*(Calc!$G$3:$G$22-B1521))</f>
        <v/>
      </c>
      <c r="L1521">
        <f>SUMPRODUCT(Calc!$K$3:$K$22*(Calc!$G$3:$G$22&gt;A1521)*(Calc!$G$3:$G$22-A1521)*Calc!$G$3:$G$22)</f>
        <v/>
      </c>
      <c r="M1521">
        <f>SUMPRODUCT(Calc!$K$3:$K$22*(Calc!$G$3:$G$22&gt;B1521)*(Calc!$G$3:$G$22-B1521)*Calc!$G$3:$G$22)</f>
        <v/>
      </c>
      <c r="N1521">
        <f>SUMPRODUCT(Calc!$K$3:$K$22*(Calc!$G$3:$G$22&gt;A1521)*(Calc!$G$3:$G$22-A1521)*Calc!$I$3:$I$22)</f>
        <v/>
      </c>
      <c r="O1521">
        <f>SUMPRODUCT(Calc!$K$3:$K$22*(Calc!$G$3:$G$22&gt;B1521)*(Calc!$G$3:$G$22-B1521)*Calc!$I$3:$I$22)</f>
        <v/>
      </c>
      <c r="P1521">
        <f>I1521-G1521^2/k_n</f>
        <v/>
      </c>
      <c r="Q1521">
        <f>J1521-H1521^2/k_n</f>
        <v/>
      </c>
      <c r="R1521">
        <f>K1521-G1521*H1521/k_n</f>
        <v/>
      </c>
      <c r="S1521">
        <f>L1521-LTP3!$D$3*G1521/k_n</f>
        <v/>
      </c>
      <c r="T1521">
        <f>M1521-LTP3!$D$3*H1521/k_n</f>
        <v/>
      </c>
      <c r="U1521">
        <f>N1521-G1521*LTP3!$D$4/k_n</f>
        <v/>
      </c>
      <c r="V1521">
        <f>O1521-H1521*LTP3!$D$4/k_n</f>
        <v/>
      </c>
      <c r="W1521">
        <f>((LTP3!$D$5)*((P1521)*(Q1521)-(R1521)*(R1521))-(S1521)*((S1521)*(Q1521)-(R1521)*(T1521))+(T1521)*((S1521)*(R1521)-(P1521)*(T1521)))</f>
        <v/>
      </c>
      <c r="X1521">
        <f>IF(ABS(W1521)&gt;1E-12,((LTP3!$D$6)*((P1521)*(Q1521)-(R1521)*(R1521))-(S1521)*((U1521)*(Q1521)-(R1521)*(V1521))+(T1521)*((U1521)*(R1521)-(P1521)*(V1521)))/W1521,0)</f>
        <v/>
      </c>
      <c r="Y1521">
        <f>IF(ABS(W1521)&gt;1E-12,((LTP3!$D$5)*((U1521)*(Q1521)-(R1521)*(V1521))-(LTP3!$D$6)*((S1521)*(Q1521)-(R1521)*(T1521))+(T1521)*((S1521)*(V1521)-(U1521)*(T1521)))/W1521,0)</f>
        <v/>
      </c>
      <c r="Z1521">
        <f>IF(ABS(W1521)&gt;1E-12,((LTP3!$D$5)*((P1521)*(V1521)-(U1521)*(R1521))-(S1521)*((S1521)*(V1521)-(U1521)*(T1521))+(LTP3!$D$6)*((S1521)*(R1521)-(P1521)*(T1521)))/W1521,0)</f>
        <v/>
      </c>
      <c r="AA1521">
        <f>LTP3!$D$7-X1521*LTP3!$D$6-Y1521*U1521-Z1521*V1521</f>
        <v/>
      </c>
      <c r="AB1521">
        <f>IF(AND(F1521,ABS(W1521)&gt;1E-12,Y1521&gt;0,Z1521&gt;0),AA1521,1E+300)</f>
        <v/>
      </c>
    </row>
    <row r="1522">
      <c r="A1522">
        <f>$B$3+$B$5*24</f>
        <v/>
      </c>
      <c r="B1522">
        <f>$B$3+$B$5*46</f>
        <v/>
      </c>
      <c r="C1522">
        <f>SUMPRODUCT(Calc!$K$3:$K$22*(Calc!$G$3:$G$22&lt;=A1522))</f>
        <v/>
      </c>
      <c r="D1522">
        <f>SUMPRODUCT(Calc!$K$3:$K$22*(Calc!$G$3:$G$22&gt;A1522)*(Calc!$G$3:$G$22&lt;B1522))</f>
        <v/>
      </c>
      <c r="E1522">
        <f>SUMPRODUCT(Calc!$K$3:$K$22*(Calc!$G$3:$G$22&gt;=B1522))</f>
        <v/>
      </c>
      <c r="F1522">
        <f>AND(k_n&gt;=5,B1522&gt;A1522+1E-9,C1522&gt;=2,D1522&gt;=1,E1522&gt;=2)</f>
        <v/>
      </c>
      <c r="G1522">
        <f>SUMPRODUCT(Calc!$K$3:$K$22*(Calc!$G$3:$G$22&gt;A1522)*(Calc!$G$3:$G$22-A1522))</f>
        <v/>
      </c>
      <c r="H1522">
        <f>SUMPRODUCT(Calc!$K$3:$K$22*(Calc!$G$3:$G$22&gt;B1522)*(Calc!$G$3:$G$22-B1522))</f>
        <v/>
      </c>
      <c r="I1522">
        <f>SUMPRODUCT(Calc!$K$3:$K$22*(Calc!$G$3:$G$22&gt;A1522)*(Calc!$G$3:$G$22-A1522)^2)</f>
        <v/>
      </c>
      <c r="J1522">
        <f>SUMPRODUCT(Calc!$K$3:$K$22*(Calc!$G$3:$G$22&gt;B1522)*(Calc!$G$3:$G$22-B1522)^2)</f>
        <v/>
      </c>
      <c r="K1522">
        <f>SUMPRODUCT(Calc!$K$3:$K$22*(Calc!$G$3:$G$22&gt;A1522)*(Calc!$G$3:$G$22-A1522)*(Calc!$G$3:$G$22&gt;B1522)*(Calc!$G$3:$G$22-B1522))</f>
        <v/>
      </c>
      <c r="L1522">
        <f>SUMPRODUCT(Calc!$K$3:$K$22*(Calc!$G$3:$G$22&gt;A1522)*(Calc!$G$3:$G$22-A1522)*Calc!$G$3:$G$22)</f>
        <v/>
      </c>
      <c r="M1522">
        <f>SUMPRODUCT(Calc!$K$3:$K$22*(Calc!$G$3:$G$22&gt;B1522)*(Calc!$G$3:$G$22-B1522)*Calc!$G$3:$G$22)</f>
        <v/>
      </c>
      <c r="N1522">
        <f>SUMPRODUCT(Calc!$K$3:$K$22*(Calc!$G$3:$G$22&gt;A1522)*(Calc!$G$3:$G$22-A1522)*Calc!$I$3:$I$22)</f>
        <v/>
      </c>
      <c r="O1522">
        <f>SUMPRODUCT(Calc!$K$3:$K$22*(Calc!$G$3:$G$22&gt;B1522)*(Calc!$G$3:$G$22-B1522)*Calc!$I$3:$I$22)</f>
        <v/>
      </c>
      <c r="P1522">
        <f>I1522-G1522^2/k_n</f>
        <v/>
      </c>
      <c r="Q1522">
        <f>J1522-H1522^2/k_n</f>
        <v/>
      </c>
      <c r="R1522">
        <f>K1522-G1522*H1522/k_n</f>
        <v/>
      </c>
      <c r="S1522">
        <f>L1522-LTP3!$D$3*G1522/k_n</f>
        <v/>
      </c>
      <c r="T1522">
        <f>M1522-LTP3!$D$3*H1522/k_n</f>
        <v/>
      </c>
      <c r="U1522">
        <f>N1522-G1522*LTP3!$D$4/k_n</f>
        <v/>
      </c>
      <c r="V1522">
        <f>O1522-H1522*LTP3!$D$4/k_n</f>
        <v/>
      </c>
      <c r="W1522">
        <f>((LTP3!$D$5)*((P1522)*(Q1522)-(R1522)*(R1522))-(S1522)*((S1522)*(Q1522)-(R1522)*(T1522))+(T1522)*((S1522)*(R1522)-(P1522)*(T1522)))</f>
        <v/>
      </c>
      <c r="X1522">
        <f>IF(ABS(W1522)&gt;1E-12,((LTP3!$D$6)*((P1522)*(Q1522)-(R1522)*(R1522))-(S1522)*((U1522)*(Q1522)-(R1522)*(V1522))+(T1522)*((U1522)*(R1522)-(P1522)*(V1522)))/W1522,0)</f>
        <v/>
      </c>
      <c r="Y1522">
        <f>IF(ABS(W1522)&gt;1E-12,((LTP3!$D$5)*((U1522)*(Q1522)-(R1522)*(V1522))-(LTP3!$D$6)*((S1522)*(Q1522)-(R1522)*(T1522))+(T1522)*((S1522)*(V1522)-(U1522)*(T1522)))/W1522,0)</f>
        <v/>
      </c>
      <c r="Z1522">
        <f>IF(ABS(W1522)&gt;1E-12,((LTP3!$D$5)*((P1522)*(V1522)-(U1522)*(R1522))-(S1522)*((S1522)*(V1522)-(U1522)*(T1522))+(LTP3!$D$6)*((S1522)*(R1522)-(P1522)*(T1522)))/W1522,0)</f>
        <v/>
      </c>
      <c r="AA1522">
        <f>LTP3!$D$7-X1522*LTP3!$D$6-Y1522*U1522-Z1522*V1522</f>
        <v/>
      </c>
      <c r="AB1522">
        <f>IF(AND(F1522,ABS(W1522)&gt;1E-12,Y1522&gt;0,Z1522&gt;0),AA1522,1E+300)</f>
        <v/>
      </c>
    </row>
    <row r="1523">
      <c r="A1523">
        <f>$B$3+$B$5*24</f>
        <v/>
      </c>
      <c r="B1523">
        <f>$B$3+$B$5*47</f>
        <v/>
      </c>
      <c r="C1523">
        <f>SUMPRODUCT(Calc!$K$3:$K$22*(Calc!$G$3:$G$22&lt;=A1523))</f>
        <v/>
      </c>
      <c r="D1523">
        <f>SUMPRODUCT(Calc!$K$3:$K$22*(Calc!$G$3:$G$22&gt;A1523)*(Calc!$G$3:$G$22&lt;B1523))</f>
        <v/>
      </c>
      <c r="E1523">
        <f>SUMPRODUCT(Calc!$K$3:$K$22*(Calc!$G$3:$G$22&gt;=B1523))</f>
        <v/>
      </c>
      <c r="F1523">
        <f>AND(k_n&gt;=5,B1523&gt;A1523+1E-9,C1523&gt;=2,D1523&gt;=1,E1523&gt;=2)</f>
        <v/>
      </c>
      <c r="G1523">
        <f>SUMPRODUCT(Calc!$K$3:$K$22*(Calc!$G$3:$G$22&gt;A1523)*(Calc!$G$3:$G$22-A1523))</f>
        <v/>
      </c>
      <c r="H1523">
        <f>SUMPRODUCT(Calc!$K$3:$K$22*(Calc!$G$3:$G$22&gt;B1523)*(Calc!$G$3:$G$22-B1523))</f>
        <v/>
      </c>
      <c r="I1523">
        <f>SUMPRODUCT(Calc!$K$3:$K$22*(Calc!$G$3:$G$22&gt;A1523)*(Calc!$G$3:$G$22-A1523)^2)</f>
        <v/>
      </c>
      <c r="J1523">
        <f>SUMPRODUCT(Calc!$K$3:$K$22*(Calc!$G$3:$G$22&gt;B1523)*(Calc!$G$3:$G$22-B1523)^2)</f>
        <v/>
      </c>
      <c r="K1523">
        <f>SUMPRODUCT(Calc!$K$3:$K$22*(Calc!$G$3:$G$22&gt;A1523)*(Calc!$G$3:$G$22-A1523)*(Calc!$G$3:$G$22&gt;B1523)*(Calc!$G$3:$G$22-B1523))</f>
        <v/>
      </c>
      <c r="L1523">
        <f>SUMPRODUCT(Calc!$K$3:$K$22*(Calc!$G$3:$G$22&gt;A1523)*(Calc!$G$3:$G$22-A1523)*Calc!$G$3:$G$22)</f>
        <v/>
      </c>
      <c r="M1523">
        <f>SUMPRODUCT(Calc!$K$3:$K$22*(Calc!$G$3:$G$22&gt;B1523)*(Calc!$G$3:$G$22-B1523)*Calc!$G$3:$G$22)</f>
        <v/>
      </c>
      <c r="N1523">
        <f>SUMPRODUCT(Calc!$K$3:$K$22*(Calc!$G$3:$G$22&gt;A1523)*(Calc!$G$3:$G$22-A1523)*Calc!$I$3:$I$22)</f>
        <v/>
      </c>
      <c r="O1523">
        <f>SUMPRODUCT(Calc!$K$3:$K$22*(Calc!$G$3:$G$22&gt;B1523)*(Calc!$G$3:$G$22-B1523)*Calc!$I$3:$I$22)</f>
        <v/>
      </c>
      <c r="P1523">
        <f>I1523-G1523^2/k_n</f>
        <v/>
      </c>
      <c r="Q1523">
        <f>J1523-H1523^2/k_n</f>
        <v/>
      </c>
      <c r="R1523">
        <f>K1523-G1523*H1523/k_n</f>
        <v/>
      </c>
      <c r="S1523">
        <f>L1523-LTP3!$D$3*G1523/k_n</f>
        <v/>
      </c>
      <c r="T1523">
        <f>M1523-LTP3!$D$3*H1523/k_n</f>
        <v/>
      </c>
      <c r="U1523">
        <f>N1523-G1523*LTP3!$D$4/k_n</f>
        <v/>
      </c>
      <c r="V1523">
        <f>O1523-H1523*LTP3!$D$4/k_n</f>
        <v/>
      </c>
      <c r="W1523">
        <f>((LTP3!$D$5)*((P1523)*(Q1523)-(R1523)*(R1523))-(S1523)*((S1523)*(Q1523)-(R1523)*(T1523))+(T1523)*((S1523)*(R1523)-(P1523)*(T1523)))</f>
        <v/>
      </c>
      <c r="X1523">
        <f>IF(ABS(W1523)&gt;1E-12,((LTP3!$D$6)*((P1523)*(Q1523)-(R1523)*(R1523))-(S1523)*((U1523)*(Q1523)-(R1523)*(V1523))+(T1523)*((U1523)*(R1523)-(P1523)*(V1523)))/W1523,0)</f>
        <v/>
      </c>
      <c r="Y1523">
        <f>IF(ABS(W1523)&gt;1E-12,((LTP3!$D$5)*((U1523)*(Q1523)-(R1523)*(V1523))-(LTP3!$D$6)*((S1523)*(Q1523)-(R1523)*(T1523))+(T1523)*((S1523)*(V1523)-(U1523)*(T1523)))/W1523,0)</f>
        <v/>
      </c>
      <c r="Z1523">
        <f>IF(ABS(W1523)&gt;1E-12,((LTP3!$D$5)*((P1523)*(V1523)-(U1523)*(R1523))-(S1523)*((S1523)*(V1523)-(U1523)*(T1523))+(LTP3!$D$6)*((S1523)*(R1523)-(P1523)*(T1523)))/W1523,0)</f>
        <v/>
      </c>
      <c r="AA1523">
        <f>LTP3!$D$7-X1523*LTP3!$D$6-Y1523*U1523-Z1523*V1523</f>
        <v/>
      </c>
      <c r="AB1523">
        <f>IF(AND(F1523,ABS(W1523)&gt;1E-12,Y1523&gt;0,Z1523&gt;0),AA1523,1E+300)</f>
        <v/>
      </c>
    </row>
    <row r="1524">
      <c r="A1524">
        <f>$B$3+$B$5*24</f>
        <v/>
      </c>
      <c r="B1524">
        <f>$B$3+$B$5*48</f>
        <v/>
      </c>
      <c r="C1524">
        <f>SUMPRODUCT(Calc!$K$3:$K$22*(Calc!$G$3:$G$22&lt;=A1524))</f>
        <v/>
      </c>
      <c r="D1524">
        <f>SUMPRODUCT(Calc!$K$3:$K$22*(Calc!$G$3:$G$22&gt;A1524)*(Calc!$G$3:$G$22&lt;B1524))</f>
        <v/>
      </c>
      <c r="E1524">
        <f>SUMPRODUCT(Calc!$K$3:$K$22*(Calc!$G$3:$G$22&gt;=B1524))</f>
        <v/>
      </c>
      <c r="F1524">
        <f>AND(k_n&gt;=5,B1524&gt;A1524+1E-9,C1524&gt;=2,D1524&gt;=1,E1524&gt;=2)</f>
        <v/>
      </c>
      <c r="G1524">
        <f>SUMPRODUCT(Calc!$K$3:$K$22*(Calc!$G$3:$G$22&gt;A1524)*(Calc!$G$3:$G$22-A1524))</f>
        <v/>
      </c>
      <c r="H1524">
        <f>SUMPRODUCT(Calc!$K$3:$K$22*(Calc!$G$3:$G$22&gt;B1524)*(Calc!$G$3:$G$22-B1524))</f>
        <v/>
      </c>
      <c r="I1524">
        <f>SUMPRODUCT(Calc!$K$3:$K$22*(Calc!$G$3:$G$22&gt;A1524)*(Calc!$G$3:$G$22-A1524)^2)</f>
        <v/>
      </c>
      <c r="J1524">
        <f>SUMPRODUCT(Calc!$K$3:$K$22*(Calc!$G$3:$G$22&gt;B1524)*(Calc!$G$3:$G$22-B1524)^2)</f>
        <v/>
      </c>
      <c r="K1524">
        <f>SUMPRODUCT(Calc!$K$3:$K$22*(Calc!$G$3:$G$22&gt;A1524)*(Calc!$G$3:$G$22-A1524)*(Calc!$G$3:$G$22&gt;B1524)*(Calc!$G$3:$G$22-B1524))</f>
        <v/>
      </c>
      <c r="L1524">
        <f>SUMPRODUCT(Calc!$K$3:$K$22*(Calc!$G$3:$G$22&gt;A1524)*(Calc!$G$3:$G$22-A1524)*Calc!$G$3:$G$22)</f>
        <v/>
      </c>
      <c r="M1524">
        <f>SUMPRODUCT(Calc!$K$3:$K$22*(Calc!$G$3:$G$22&gt;B1524)*(Calc!$G$3:$G$22-B1524)*Calc!$G$3:$G$22)</f>
        <v/>
      </c>
      <c r="N1524">
        <f>SUMPRODUCT(Calc!$K$3:$K$22*(Calc!$G$3:$G$22&gt;A1524)*(Calc!$G$3:$G$22-A1524)*Calc!$I$3:$I$22)</f>
        <v/>
      </c>
      <c r="O1524">
        <f>SUMPRODUCT(Calc!$K$3:$K$22*(Calc!$G$3:$G$22&gt;B1524)*(Calc!$G$3:$G$22-B1524)*Calc!$I$3:$I$22)</f>
        <v/>
      </c>
      <c r="P1524">
        <f>I1524-G1524^2/k_n</f>
        <v/>
      </c>
      <c r="Q1524">
        <f>J1524-H1524^2/k_n</f>
        <v/>
      </c>
      <c r="R1524">
        <f>K1524-G1524*H1524/k_n</f>
        <v/>
      </c>
      <c r="S1524">
        <f>L1524-LTP3!$D$3*G1524/k_n</f>
        <v/>
      </c>
      <c r="T1524">
        <f>M1524-LTP3!$D$3*H1524/k_n</f>
        <v/>
      </c>
      <c r="U1524">
        <f>N1524-G1524*LTP3!$D$4/k_n</f>
        <v/>
      </c>
      <c r="V1524">
        <f>O1524-H1524*LTP3!$D$4/k_n</f>
        <v/>
      </c>
      <c r="W1524">
        <f>((LTP3!$D$5)*((P1524)*(Q1524)-(R1524)*(R1524))-(S1524)*((S1524)*(Q1524)-(R1524)*(T1524))+(T1524)*((S1524)*(R1524)-(P1524)*(T1524)))</f>
        <v/>
      </c>
      <c r="X1524">
        <f>IF(ABS(W1524)&gt;1E-12,((LTP3!$D$6)*((P1524)*(Q1524)-(R1524)*(R1524))-(S1524)*((U1524)*(Q1524)-(R1524)*(V1524))+(T1524)*((U1524)*(R1524)-(P1524)*(V1524)))/W1524,0)</f>
        <v/>
      </c>
      <c r="Y1524">
        <f>IF(ABS(W1524)&gt;1E-12,((LTP3!$D$5)*((U1524)*(Q1524)-(R1524)*(V1524))-(LTP3!$D$6)*((S1524)*(Q1524)-(R1524)*(T1524))+(T1524)*((S1524)*(V1524)-(U1524)*(T1524)))/W1524,0)</f>
        <v/>
      </c>
      <c r="Z1524">
        <f>IF(ABS(W1524)&gt;1E-12,((LTP3!$D$5)*((P1524)*(V1524)-(U1524)*(R1524))-(S1524)*((S1524)*(V1524)-(U1524)*(T1524))+(LTP3!$D$6)*((S1524)*(R1524)-(P1524)*(T1524)))/W1524,0)</f>
        <v/>
      </c>
      <c r="AA1524">
        <f>LTP3!$D$7-X1524*LTP3!$D$6-Y1524*U1524-Z1524*V1524</f>
        <v/>
      </c>
      <c r="AB1524">
        <f>IF(AND(F1524,ABS(W1524)&gt;1E-12,Y1524&gt;0,Z1524&gt;0),AA1524,1E+300)</f>
        <v/>
      </c>
    </row>
    <row r="1525">
      <c r="A1525">
        <f>$B$3+$B$5*24</f>
        <v/>
      </c>
      <c r="B1525">
        <f>$B$3+$B$5*49</f>
        <v/>
      </c>
      <c r="C1525">
        <f>SUMPRODUCT(Calc!$K$3:$K$22*(Calc!$G$3:$G$22&lt;=A1525))</f>
        <v/>
      </c>
      <c r="D1525">
        <f>SUMPRODUCT(Calc!$K$3:$K$22*(Calc!$G$3:$G$22&gt;A1525)*(Calc!$G$3:$G$22&lt;B1525))</f>
        <v/>
      </c>
      <c r="E1525">
        <f>SUMPRODUCT(Calc!$K$3:$K$22*(Calc!$G$3:$G$22&gt;=B1525))</f>
        <v/>
      </c>
      <c r="F1525">
        <f>AND(k_n&gt;=5,B1525&gt;A1525+1E-9,C1525&gt;=2,D1525&gt;=1,E1525&gt;=2)</f>
        <v/>
      </c>
      <c r="G1525">
        <f>SUMPRODUCT(Calc!$K$3:$K$22*(Calc!$G$3:$G$22&gt;A1525)*(Calc!$G$3:$G$22-A1525))</f>
        <v/>
      </c>
      <c r="H1525">
        <f>SUMPRODUCT(Calc!$K$3:$K$22*(Calc!$G$3:$G$22&gt;B1525)*(Calc!$G$3:$G$22-B1525))</f>
        <v/>
      </c>
      <c r="I1525">
        <f>SUMPRODUCT(Calc!$K$3:$K$22*(Calc!$G$3:$G$22&gt;A1525)*(Calc!$G$3:$G$22-A1525)^2)</f>
        <v/>
      </c>
      <c r="J1525">
        <f>SUMPRODUCT(Calc!$K$3:$K$22*(Calc!$G$3:$G$22&gt;B1525)*(Calc!$G$3:$G$22-B1525)^2)</f>
        <v/>
      </c>
      <c r="K1525">
        <f>SUMPRODUCT(Calc!$K$3:$K$22*(Calc!$G$3:$G$22&gt;A1525)*(Calc!$G$3:$G$22-A1525)*(Calc!$G$3:$G$22&gt;B1525)*(Calc!$G$3:$G$22-B1525))</f>
        <v/>
      </c>
      <c r="L1525">
        <f>SUMPRODUCT(Calc!$K$3:$K$22*(Calc!$G$3:$G$22&gt;A1525)*(Calc!$G$3:$G$22-A1525)*Calc!$G$3:$G$22)</f>
        <v/>
      </c>
      <c r="M1525">
        <f>SUMPRODUCT(Calc!$K$3:$K$22*(Calc!$G$3:$G$22&gt;B1525)*(Calc!$G$3:$G$22-B1525)*Calc!$G$3:$G$22)</f>
        <v/>
      </c>
      <c r="N1525">
        <f>SUMPRODUCT(Calc!$K$3:$K$22*(Calc!$G$3:$G$22&gt;A1525)*(Calc!$G$3:$G$22-A1525)*Calc!$I$3:$I$22)</f>
        <v/>
      </c>
      <c r="O1525">
        <f>SUMPRODUCT(Calc!$K$3:$K$22*(Calc!$G$3:$G$22&gt;B1525)*(Calc!$G$3:$G$22-B1525)*Calc!$I$3:$I$22)</f>
        <v/>
      </c>
      <c r="P1525">
        <f>I1525-G1525^2/k_n</f>
        <v/>
      </c>
      <c r="Q1525">
        <f>J1525-H1525^2/k_n</f>
        <v/>
      </c>
      <c r="R1525">
        <f>K1525-G1525*H1525/k_n</f>
        <v/>
      </c>
      <c r="S1525">
        <f>L1525-LTP3!$D$3*G1525/k_n</f>
        <v/>
      </c>
      <c r="T1525">
        <f>M1525-LTP3!$D$3*H1525/k_n</f>
        <v/>
      </c>
      <c r="U1525">
        <f>N1525-G1525*LTP3!$D$4/k_n</f>
        <v/>
      </c>
      <c r="V1525">
        <f>O1525-H1525*LTP3!$D$4/k_n</f>
        <v/>
      </c>
      <c r="W1525">
        <f>((LTP3!$D$5)*((P1525)*(Q1525)-(R1525)*(R1525))-(S1525)*((S1525)*(Q1525)-(R1525)*(T1525))+(T1525)*((S1525)*(R1525)-(P1525)*(T1525)))</f>
        <v/>
      </c>
      <c r="X1525">
        <f>IF(ABS(W1525)&gt;1E-12,((LTP3!$D$6)*((P1525)*(Q1525)-(R1525)*(R1525))-(S1525)*((U1525)*(Q1525)-(R1525)*(V1525))+(T1525)*((U1525)*(R1525)-(P1525)*(V1525)))/W1525,0)</f>
        <v/>
      </c>
      <c r="Y1525">
        <f>IF(ABS(W1525)&gt;1E-12,((LTP3!$D$5)*((U1525)*(Q1525)-(R1525)*(V1525))-(LTP3!$D$6)*((S1525)*(Q1525)-(R1525)*(T1525))+(T1525)*((S1525)*(V1525)-(U1525)*(T1525)))/W1525,0)</f>
        <v/>
      </c>
      <c r="Z1525">
        <f>IF(ABS(W1525)&gt;1E-12,((LTP3!$D$5)*((P1525)*(V1525)-(U1525)*(R1525))-(S1525)*((S1525)*(V1525)-(U1525)*(T1525))+(LTP3!$D$6)*((S1525)*(R1525)-(P1525)*(T1525)))/W1525,0)</f>
        <v/>
      </c>
      <c r="AA1525">
        <f>LTP3!$D$7-X1525*LTP3!$D$6-Y1525*U1525-Z1525*V1525</f>
        <v/>
      </c>
      <c r="AB1525">
        <f>IF(AND(F1525,ABS(W1525)&gt;1E-12,Y1525&gt;0,Z1525&gt;0),AA1525,1E+300)</f>
        <v/>
      </c>
    </row>
    <row r="1526">
      <c r="A1526">
        <f>$B$3+$B$5*24</f>
        <v/>
      </c>
      <c r="B1526">
        <f>$B$3+$B$5*50</f>
        <v/>
      </c>
      <c r="C1526">
        <f>SUMPRODUCT(Calc!$K$3:$K$22*(Calc!$G$3:$G$22&lt;=A1526))</f>
        <v/>
      </c>
      <c r="D1526">
        <f>SUMPRODUCT(Calc!$K$3:$K$22*(Calc!$G$3:$G$22&gt;A1526)*(Calc!$G$3:$G$22&lt;B1526))</f>
        <v/>
      </c>
      <c r="E1526">
        <f>SUMPRODUCT(Calc!$K$3:$K$22*(Calc!$G$3:$G$22&gt;=B1526))</f>
        <v/>
      </c>
      <c r="F1526">
        <f>AND(k_n&gt;=5,B1526&gt;A1526+1E-9,C1526&gt;=2,D1526&gt;=1,E1526&gt;=2)</f>
        <v/>
      </c>
      <c r="G1526">
        <f>SUMPRODUCT(Calc!$K$3:$K$22*(Calc!$G$3:$G$22&gt;A1526)*(Calc!$G$3:$G$22-A1526))</f>
        <v/>
      </c>
      <c r="H1526">
        <f>SUMPRODUCT(Calc!$K$3:$K$22*(Calc!$G$3:$G$22&gt;B1526)*(Calc!$G$3:$G$22-B1526))</f>
        <v/>
      </c>
      <c r="I1526">
        <f>SUMPRODUCT(Calc!$K$3:$K$22*(Calc!$G$3:$G$22&gt;A1526)*(Calc!$G$3:$G$22-A1526)^2)</f>
        <v/>
      </c>
      <c r="J1526">
        <f>SUMPRODUCT(Calc!$K$3:$K$22*(Calc!$G$3:$G$22&gt;B1526)*(Calc!$G$3:$G$22-B1526)^2)</f>
        <v/>
      </c>
      <c r="K1526">
        <f>SUMPRODUCT(Calc!$K$3:$K$22*(Calc!$G$3:$G$22&gt;A1526)*(Calc!$G$3:$G$22-A1526)*(Calc!$G$3:$G$22&gt;B1526)*(Calc!$G$3:$G$22-B1526))</f>
        <v/>
      </c>
      <c r="L1526">
        <f>SUMPRODUCT(Calc!$K$3:$K$22*(Calc!$G$3:$G$22&gt;A1526)*(Calc!$G$3:$G$22-A1526)*Calc!$G$3:$G$22)</f>
        <v/>
      </c>
      <c r="M1526">
        <f>SUMPRODUCT(Calc!$K$3:$K$22*(Calc!$G$3:$G$22&gt;B1526)*(Calc!$G$3:$G$22-B1526)*Calc!$G$3:$G$22)</f>
        <v/>
      </c>
      <c r="N1526">
        <f>SUMPRODUCT(Calc!$K$3:$K$22*(Calc!$G$3:$G$22&gt;A1526)*(Calc!$G$3:$G$22-A1526)*Calc!$I$3:$I$22)</f>
        <v/>
      </c>
      <c r="O1526">
        <f>SUMPRODUCT(Calc!$K$3:$K$22*(Calc!$G$3:$G$22&gt;B1526)*(Calc!$G$3:$G$22-B1526)*Calc!$I$3:$I$22)</f>
        <v/>
      </c>
      <c r="P1526">
        <f>I1526-G1526^2/k_n</f>
        <v/>
      </c>
      <c r="Q1526">
        <f>J1526-H1526^2/k_n</f>
        <v/>
      </c>
      <c r="R1526">
        <f>K1526-G1526*H1526/k_n</f>
        <v/>
      </c>
      <c r="S1526">
        <f>L1526-LTP3!$D$3*G1526/k_n</f>
        <v/>
      </c>
      <c r="T1526">
        <f>M1526-LTP3!$D$3*H1526/k_n</f>
        <v/>
      </c>
      <c r="U1526">
        <f>N1526-G1526*LTP3!$D$4/k_n</f>
        <v/>
      </c>
      <c r="V1526">
        <f>O1526-H1526*LTP3!$D$4/k_n</f>
        <v/>
      </c>
      <c r="W1526">
        <f>((LTP3!$D$5)*((P1526)*(Q1526)-(R1526)*(R1526))-(S1526)*((S1526)*(Q1526)-(R1526)*(T1526))+(T1526)*((S1526)*(R1526)-(P1526)*(T1526)))</f>
        <v/>
      </c>
      <c r="X1526">
        <f>IF(ABS(W1526)&gt;1E-12,((LTP3!$D$6)*((P1526)*(Q1526)-(R1526)*(R1526))-(S1526)*((U1526)*(Q1526)-(R1526)*(V1526))+(T1526)*((U1526)*(R1526)-(P1526)*(V1526)))/W1526,0)</f>
        <v/>
      </c>
      <c r="Y1526">
        <f>IF(ABS(W1526)&gt;1E-12,((LTP3!$D$5)*((U1526)*(Q1526)-(R1526)*(V1526))-(LTP3!$D$6)*((S1526)*(Q1526)-(R1526)*(T1526))+(T1526)*((S1526)*(V1526)-(U1526)*(T1526)))/W1526,0)</f>
        <v/>
      </c>
      <c r="Z1526">
        <f>IF(ABS(W1526)&gt;1E-12,((LTP3!$D$5)*((P1526)*(V1526)-(U1526)*(R1526))-(S1526)*((S1526)*(V1526)-(U1526)*(T1526))+(LTP3!$D$6)*((S1526)*(R1526)-(P1526)*(T1526)))/W1526,0)</f>
        <v/>
      </c>
      <c r="AA1526">
        <f>LTP3!$D$7-X1526*LTP3!$D$6-Y1526*U1526-Z1526*V1526</f>
        <v/>
      </c>
      <c r="AB1526">
        <f>IF(AND(F1526,ABS(W1526)&gt;1E-12,Y1526&gt;0,Z1526&gt;0),AA1526,1E+300)</f>
        <v/>
      </c>
    </row>
    <row r="1527">
      <c r="A1527">
        <f>$B$3+$B$5*24</f>
        <v/>
      </c>
      <c r="B1527">
        <f>$B$3+$B$5*51</f>
        <v/>
      </c>
      <c r="C1527">
        <f>SUMPRODUCT(Calc!$K$3:$K$22*(Calc!$G$3:$G$22&lt;=A1527))</f>
        <v/>
      </c>
      <c r="D1527">
        <f>SUMPRODUCT(Calc!$K$3:$K$22*(Calc!$G$3:$G$22&gt;A1527)*(Calc!$G$3:$G$22&lt;B1527))</f>
        <v/>
      </c>
      <c r="E1527">
        <f>SUMPRODUCT(Calc!$K$3:$K$22*(Calc!$G$3:$G$22&gt;=B1527))</f>
        <v/>
      </c>
      <c r="F1527">
        <f>AND(k_n&gt;=5,B1527&gt;A1527+1E-9,C1527&gt;=2,D1527&gt;=1,E1527&gt;=2)</f>
        <v/>
      </c>
      <c r="G1527">
        <f>SUMPRODUCT(Calc!$K$3:$K$22*(Calc!$G$3:$G$22&gt;A1527)*(Calc!$G$3:$G$22-A1527))</f>
        <v/>
      </c>
      <c r="H1527">
        <f>SUMPRODUCT(Calc!$K$3:$K$22*(Calc!$G$3:$G$22&gt;B1527)*(Calc!$G$3:$G$22-B1527))</f>
        <v/>
      </c>
      <c r="I1527">
        <f>SUMPRODUCT(Calc!$K$3:$K$22*(Calc!$G$3:$G$22&gt;A1527)*(Calc!$G$3:$G$22-A1527)^2)</f>
        <v/>
      </c>
      <c r="J1527">
        <f>SUMPRODUCT(Calc!$K$3:$K$22*(Calc!$G$3:$G$22&gt;B1527)*(Calc!$G$3:$G$22-B1527)^2)</f>
        <v/>
      </c>
      <c r="K1527">
        <f>SUMPRODUCT(Calc!$K$3:$K$22*(Calc!$G$3:$G$22&gt;A1527)*(Calc!$G$3:$G$22-A1527)*(Calc!$G$3:$G$22&gt;B1527)*(Calc!$G$3:$G$22-B1527))</f>
        <v/>
      </c>
      <c r="L1527">
        <f>SUMPRODUCT(Calc!$K$3:$K$22*(Calc!$G$3:$G$22&gt;A1527)*(Calc!$G$3:$G$22-A1527)*Calc!$G$3:$G$22)</f>
        <v/>
      </c>
      <c r="M1527">
        <f>SUMPRODUCT(Calc!$K$3:$K$22*(Calc!$G$3:$G$22&gt;B1527)*(Calc!$G$3:$G$22-B1527)*Calc!$G$3:$G$22)</f>
        <v/>
      </c>
      <c r="N1527">
        <f>SUMPRODUCT(Calc!$K$3:$K$22*(Calc!$G$3:$G$22&gt;A1527)*(Calc!$G$3:$G$22-A1527)*Calc!$I$3:$I$22)</f>
        <v/>
      </c>
      <c r="O1527">
        <f>SUMPRODUCT(Calc!$K$3:$K$22*(Calc!$G$3:$G$22&gt;B1527)*(Calc!$G$3:$G$22-B1527)*Calc!$I$3:$I$22)</f>
        <v/>
      </c>
      <c r="P1527">
        <f>I1527-G1527^2/k_n</f>
        <v/>
      </c>
      <c r="Q1527">
        <f>J1527-H1527^2/k_n</f>
        <v/>
      </c>
      <c r="R1527">
        <f>K1527-G1527*H1527/k_n</f>
        <v/>
      </c>
      <c r="S1527">
        <f>L1527-LTP3!$D$3*G1527/k_n</f>
        <v/>
      </c>
      <c r="T1527">
        <f>M1527-LTP3!$D$3*H1527/k_n</f>
        <v/>
      </c>
      <c r="U1527">
        <f>N1527-G1527*LTP3!$D$4/k_n</f>
        <v/>
      </c>
      <c r="V1527">
        <f>O1527-H1527*LTP3!$D$4/k_n</f>
        <v/>
      </c>
      <c r="W1527">
        <f>((LTP3!$D$5)*((P1527)*(Q1527)-(R1527)*(R1527))-(S1527)*((S1527)*(Q1527)-(R1527)*(T1527))+(T1527)*((S1527)*(R1527)-(P1527)*(T1527)))</f>
        <v/>
      </c>
      <c r="X1527">
        <f>IF(ABS(W1527)&gt;1E-12,((LTP3!$D$6)*((P1527)*(Q1527)-(R1527)*(R1527))-(S1527)*((U1527)*(Q1527)-(R1527)*(V1527))+(T1527)*((U1527)*(R1527)-(P1527)*(V1527)))/W1527,0)</f>
        <v/>
      </c>
      <c r="Y1527">
        <f>IF(ABS(W1527)&gt;1E-12,((LTP3!$D$5)*((U1527)*(Q1527)-(R1527)*(V1527))-(LTP3!$D$6)*((S1527)*(Q1527)-(R1527)*(T1527))+(T1527)*((S1527)*(V1527)-(U1527)*(T1527)))/W1527,0)</f>
        <v/>
      </c>
      <c r="Z1527">
        <f>IF(ABS(W1527)&gt;1E-12,((LTP3!$D$5)*((P1527)*(V1527)-(U1527)*(R1527))-(S1527)*((S1527)*(V1527)-(U1527)*(T1527))+(LTP3!$D$6)*((S1527)*(R1527)-(P1527)*(T1527)))/W1527,0)</f>
        <v/>
      </c>
      <c r="AA1527">
        <f>LTP3!$D$7-X1527*LTP3!$D$6-Y1527*U1527-Z1527*V1527</f>
        <v/>
      </c>
      <c r="AB1527">
        <f>IF(AND(F1527,ABS(W1527)&gt;1E-12,Y1527&gt;0,Z1527&gt;0),AA1527,1E+300)</f>
        <v/>
      </c>
    </row>
    <row r="1528">
      <c r="A1528">
        <f>$B$3+$B$5*24</f>
        <v/>
      </c>
      <c r="B1528">
        <f>$B$3+$B$5*52</f>
        <v/>
      </c>
      <c r="C1528">
        <f>SUMPRODUCT(Calc!$K$3:$K$22*(Calc!$G$3:$G$22&lt;=A1528))</f>
        <v/>
      </c>
      <c r="D1528">
        <f>SUMPRODUCT(Calc!$K$3:$K$22*(Calc!$G$3:$G$22&gt;A1528)*(Calc!$G$3:$G$22&lt;B1528))</f>
        <v/>
      </c>
      <c r="E1528">
        <f>SUMPRODUCT(Calc!$K$3:$K$22*(Calc!$G$3:$G$22&gt;=B1528))</f>
        <v/>
      </c>
      <c r="F1528">
        <f>AND(k_n&gt;=5,B1528&gt;A1528+1E-9,C1528&gt;=2,D1528&gt;=1,E1528&gt;=2)</f>
        <v/>
      </c>
      <c r="G1528">
        <f>SUMPRODUCT(Calc!$K$3:$K$22*(Calc!$G$3:$G$22&gt;A1528)*(Calc!$G$3:$G$22-A1528))</f>
        <v/>
      </c>
      <c r="H1528">
        <f>SUMPRODUCT(Calc!$K$3:$K$22*(Calc!$G$3:$G$22&gt;B1528)*(Calc!$G$3:$G$22-B1528))</f>
        <v/>
      </c>
      <c r="I1528">
        <f>SUMPRODUCT(Calc!$K$3:$K$22*(Calc!$G$3:$G$22&gt;A1528)*(Calc!$G$3:$G$22-A1528)^2)</f>
        <v/>
      </c>
      <c r="J1528">
        <f>SUMPRODUCT(Calc!$K$3:$K$22*(Calc!$G$3:$G$22&gt;B1528)*(Calc!$G$3:$G$22-B1528)^2)</f>
        <v/>
      </c>
      <c r="K1528">
        <f>SUMPRODUCT(Calc!$K$3:$K$22*(Calc!$G$3:$G$22&gt;A1528)*(Calc!$G$3:$G$22-A1528)*(Calc!$G$3:$G$22&gt;B1528)*(Calc!$G$3:$G$22-B1528))</f>
        <v/>
      </c>
      <c r="L1528">
        <f>SUMPRODUCT(Calc!$K$3:$K$22*(Calc!$G$3:$G$22&gt;A1528)*(Calc!$G$3:$G$22-A1528)*Calc!$G$3:$G$22)</f>
        <v/>
      </c>
      <c r="M1528">
        <f>SUMPRODUCT(Calc!$K$3:$K$22*(Calc!$G$3:$G$22&gt;B1528)*(Calc!$G$3:$G$22-B1528)*Calc!$G$3:$G$22)</f>
        <v/>
      </c>
      <c r="N1528">
        <f>SUMPRODUCT(Calc!$K$3:$K$22*(Calc!$G$3:$G$22&gt;A1528)*(Calc!$G$3:$G$22-A1528)*Calc!$I$3:$I$22)</f>
        <v/>
      </c>
      <c r="O1528">
        <f>SUMPRODUCT(Calc!$K$3:$K$22*(Calc!$G$3:$G$22&gt;B1528)*(Calc!$G$3:$G$22-B1528)*Calc!$I$3:$I$22)</f>
        <v/>
      </c>
      <c r="P1528">
        <f>I1528-G1528^2/k_n</f>
        <v/>
      </c>
      <c r="Q1528">
        <f>J1528-H1528^2/k_n</f>
        <v/>
      </c>
      <c r="R1528">
        <f>K1528-G1528*H1528/k_n</f>
        <v/>
      </c>
      <c r="S1528">
        <f>L1528-LTP3!$D$3*G1528/k_n</f>
        <v/>
      </c>
      <c r="T1528">
        <f>M1528-LTP3!$D$3*H1528/k_n</f>
        <v/>
      </c>
      <c r="U1528">
        <f>N1528-G1528*LTP3!$D$4/k_n</f>
        <v/>
      </c>
      <c r="V1528">
        <f>O1528-H1528*LTP3!$D$4/k_n</f>
        <v/>
      </c>
      <c r="W1528">
        <f>((LTP3!$D$5)*((P1528)*(Q1528)-(R1528)*(R1528))-(S1528)*((S1528)*(Q1528)-(R1528)*(T1528))+(T1528)*((S1528)*(R1528)-(P1528)*(T1528)))</f>
        <v/>
      </c>
      <c r="X1528">
        <f>IF(ABS(W1528)&gt;1E-12,((LTP3!$D$6)*((P1528)*(Q1528)-(R1528)*(R1528))-(S1528)*((U1528)*(Q1528)-(R1528)*(V1528))+(T1528)*((U1528)*(R1528)-(P1528)*(V1528)))/W1528,0)</f>
        <v/>
      </c>
      <c r="Y1528">
        <f>IF(ABS(W1528)&gt;1E-12,((LTP3!$D$5)*((U1528)*(Q1528)-(R1528)*(V1528))-(LTP3!$D$6)*((S1528)*(Q1528)-(R1528)*(T1528))+(T1528)*((S1528)*(V1528)-(U1528)*(T1528)))/W1528,0)</f>
        <v/>
      </c>
      <c r="Z1528">
        <f>IF(ABS(W1528)&gt;1E-12,((LTP3!$D$5)*((P1528)*(V1528)-(U1528)*(R1528))-(S1528)*((S1528)*(V1528)-(U1528)*(T1528))+(LTP3!$D$6)*((S1528)*(R1528)-(P1528)*(T1528)))/W1528,0)</f>
        <v/>
      </c>
      <c r="AA1528">
        <f>LTP3!$D$7-X1528*LTP3!$D$6-Y1528*U1528-Z1528*V1528</f>
        <v/>
      </c>
      <c r="AB1528">
        <f>IF(AND(F1528,ABS(W1528)&gt;1E-12,Y1528&gt;0,Z1528&gt;0),AA1528,1E+300)</f>
        <v/>
      </c>
    </row>
    <row r="1529">
      <c r="A1529">
        <f>$B$3+$B$5*24</f>
        <v/>
      </c>
      <c r="B1529">
        <f>$B$3+$B$5*53</f>
        <v/>
      </c>
      <c r="C1529">
        <f>SUMPRODUCT(Calc!$K$3:$K$22*(Calc!$G$3:$G$22&lt;=A1529))</f>
        <v/>
      </c>
      <c r="D1529">
        <f>SUMPRODUCT(Calc!$K$3:$K$22*(Calc!$G$3:$G$22&gt;A1529)*(Calc!$G$3:$G$22&lt;B1529))</f>
        <v/>
      </c>
      <c r="E1529">
        <f>SUMPRODUCT(Calc!$K$3:$K$22*(Calc!$G$3:$G$22&gt;=B1529))</f>
        <v/>
      </c>
      <c r="F1529">
        <f>AND(k_n&gt;=5,B1529&gt;A1529+1E-9,C1529&gt;=2,D1529&gt;=1,E1529&gt;=2)</f>
        <v/>
      </c>
      <c r="G1529">
        <f>SUMPRODUCT(Calc!$K$3:$K$22*(Calc!$G$3:$G$22&gt;A1529)*(Calc!$G$3:$G$22-A1529))</f>
        <v/>
      </c>
      <c r="H1529">
        <f>SUMPRODUCT(Calc!$K$3:$K$22*(Calc!$G$3:$G$22&gt;B1529)*(Calc!$G$3:$G$22-B1529))</f>
        <v/>
      </c>
      <c r="I1529">
        <f>SUMPRODUCT(Calc!$K$3:$K$22*(Calc!$G$3:$G$22&gt;A1529)*(Calc!$G$3:$G$22-A1529)^2)</f>
        <v/>
      </c>
      <c r="J1529">
        <f>SUMPRODUCT(Calc!$K$3:$K$22*(Calc!$G$3:$G$22&gt;B1529)*(Calc!$G$3:$G$22-B1529)^2)</f>
        <v/>
      </c>
      <c r="K1529">
        <f>SUMPRODUCT(Calc!$K$3:$K$22*(Calc!$G$3:$G$22&gt;A1529)*(Calc!$G$3:$G$22-A1529)*(Calc!$G$3:$G$22&gt;B1529)*(Calc!$G$3:$G$22-B1529))</f>
        <v/>
      </c>
      <c r="L1529">
        <f>SUMPRODUCT(Calc!$K$3:$K$22*(Calc!$G$3:$G$22&gt;A1529)*(Calc!$G$3:$G$22-A1529)*Calc!$G$3:$G$22)</f>
        <v/>
      </c>
      <c r="M1529">
        <f>SUMPRODUCT(Calc!$K$3:$K$22*(Calc!$G$3:$G$22&gt;B1529)*(Calc!$G$3:$G$22-B1529)*Calc!$G$3:$G$22)</f>
        <v/>
      </c>
      <c r="N1529">
        <f>SUMPRODUCT(Calc!$K$3:$K$22*(Calc!$G$3:$G$22&gt;A1529)*(Calc!$G$3:$G$22-A1529)*Calc!$I$3:$I$22)</f>
        <v/>
      </c>
      <c r="O1529">
        <f>SUMPRODUCT(Calc!$K$3:$K$22*(Calc!$G$3:$G$22&gt;B1529)*(Calc!$G$3:$G$22-B1529)*Calc!$I$3:$I$22)</f>
        <v/>
      </c>
      <c r="P1529">
        <f>I1529-G1529^2/k_n</f>
        <v/>
      </c>
      <c r="Q1529">
        <f>J1529-H1529^2/k_n</f>
        <v/>
      </c>
      <c r="R1529">
        <f>K1529-G1529*H1529/k_n</f>
        <v/>
      </c>
      <c r="S1529">
        <f>L1529-LTP3!$D$3*G1529/k_n</f>
        <v/>
      </c>
      <c r="T1529">
        <f>M1529-LTP3!$D$3*H1529/k_n</f>
        <v/>
      </c>
      <c r="U1529">
        <f>N1529-G1529*LTP3!$D$4/k_n</f>
        <v/>
      </c>
      <c r="V1529">
        <f>O1529-H1529*LTP3!$D$4/k_n</f>
        <v/>
      </c>
      <c r="W1529">
        <f>((LTP3!$D$5)*((P1529)*(Q1529)-(R1529)*(R1529))-(S1529)*((S1529)*(Q1529)-(R1529)*(T1529))+(T1529)*((S1529)*(R1529)-(P1529)*(T1529)))</f>
        <v/>
      </c>
      <c r="X1529">
        <f>IF(ABS(W1529)&gt;1E-12,((LTP3!$D$6)*((P1529)*(Q1529)-(R1529)*(R1529))-(S1529)*((U1529)*(Q1529)-(R1529)*(V1529))+(T1529)*((U1529)*(R1529)-(P1529)*(V1529)))/W1529,0)</f>
        <v/>
      </c>
      <c r="Y1529">
        <f>IF(ABS(W1529)&gt;1E-12,((LTP3!$D$5)*((U1529)*(Q1529)-(R1529)*(V1529))-(LTP3!$D$6)*((S1529)*(Q1529)-(R1529)*(T1529))+(T1529)*((S1529)*(V1529)-(U1529)*(T1529)))/W1529,0)</f>
        <v/>
      </c>
      <c r="Z1529">
        <f>IF(ABS(W1529)&gt;1E-12,((LTP3!$D$5)*((P1529)*(V1529)-(U1529)*(R1529))-(S1529)*((S1529)*(V1529)-(U1529)*(T1529))+(LTP3!$D$6)*((S1529)*(R1529)-(P1529)*(T1529)))/W1529,0)</f>
        <v/>
      </c>
      <c r="AA1529">
        <f>LTP3!$D$7-X1529*LTP3!$D$6-Y1529*U1529-Z1529*V1529</f>
        <v/>
      </c>
      <c r="AB1529">
        <f>IF(AND(F1529,ABS(W1529)&gt;1E-12,Y1529&gt;0,Z1529&gt;0),AA1529,1E+300)</f>
        <v/>
      </c>
    </row>
    <row r="1530">
      <c r="A1530">
        <f>$B$3+$B$5*24</f>
        <v/>
      </c>
      <c r="B1530">
        <f>$B$3+$B$5*54</f>
        <v/>
      </c>
      <c r="C1530">
        <f>SUMPRODUCT(Calc!$K$3:$K$22*(Calc!$G$3:$G$22&lt;=A1530))</f>
        <v/>
      </c>
      <c r="D1530">
        <f>SUMPRODUCT(Calc!$K$3:$K$22*(Calc!$G$3:$G$22&gt;A1530)*(Calc!$G$3:$G$22&lt;B1530))</f>
        <v/>
      </c>
      <c r="E1530">
        <f>SUMPRODUCT(Calc!$K$3:$K$22*(Calc!$G$3:$G$22&gt;=B1530))</f>
        <v/>
      </c>
      <c r="F1530">
        <f>AND(k_n&gt;=5,B1530&gt;A1530+1E-9,C1530&gt;=2,D1530&gt;=1,E1530&gt;=2)</f>
        <v/>
      </c>
      <c r="G1530">
        <f>SUMPRODUCT(Calc!$K$3:$K$22*(Calc!$G$3:$G$22&gt;A1530)*(Calc!$G$3:$G$22-A1530))</f>
        <v/>
      </c>
      <c r="H1530">
        <f>SUMPRODUCT(Calc!$K$3:$K$22*(Calc!$G$3:$G$22&gt;B1530)*(Calc!$G$3:$G$22-B1530))</f>
        <v/>
      </c>
      <c r="I1530">
        <f>SUMPRODUCT(Calc!$K$3:$K$22*(Calc!$G$3:$G$22&gt;A1530)*(Calc!$G$3:$G$22-A1530)^2)</f>
        <v/>
      </c>
      <c r="J1530">
        <f>SUMPRODUCT(Calc!$K$3:$K$22*(Calc!$G$3:$G$22&gt;B1530)*(Calc!$G$3:$G$22-B1530)^2)</f>
        <v/>
      </c>
      <c r="K1530">
        <f>SUMPRODUCT(Calc!$K$3:$K$22*(Calc!$G$3:$G$22&gt;A1530)*(Calc!$G$3:$G$22-A1530)*(Calc!$G$3:$G$22&gt;B1530)*(Calc!$G$3:$G$22-B1530))</f>
        <v/>
      </c>
      <c r="L1530">
        <f>SUMPRODUCT(Calc!$K$3:$K$22*(Calc!$G$3:$G$22&gt;A1530)*(Calc!$G$3:$G$22-A1530)*Calc!$G$3:$G$22)</f>
        <v/>
      </c>
      <c r="M1530">
        <f>SUMPRODUCT(Calc!$K$3:$K$22*(Calc!$G$3:$G$22&gt;B1530)*(Calc!$G$3:$G$22-B1530)*Calc!$G$3:$G$22)</f>
        <v/>
      </c>
      <c r="N1530">
        <f>SUMPRODUCT(Calc!$K$3:$K$22*(Calc!$G$3:$G$22&gt;A1530)*(Calc!$G$3:$G$22-A1530)*Calc!$I$3:$I$22)</f>
        <v/>
      </c>
      <c r="O1530">
        <f>SUMPRODUCT(Calc!$K$3:$K$22*(Calc!$G$3:$G$22&gt;B1530)*(Calc!$G$3:$G$22-B1530)*Calc!$I$3:$I$22)</f>
        <v/>
      </c>
      <c r="P1530">
        <f>I1530-G1530^2/k_n</f>
        <v/>
      </c>
      <c r="Q1530">
        <f>J1530-H1530^2/k_n</f>
        <v/>
      </c>
      <c r="R1530">
        <f>K1530-G1530*H1530/k_n</f>
        <v/>
      </c>
      <c r="S1530">
        <f>L1530-LTP3!$D$3*G1530/k_n</f>
        <v/>
      </c>
      <c r="T1530">
        <f>M1530-LTP3!$D$3*H1530/k_n</f>
        <v/>
      </c>
      <c r="U1530">
        <f>N1530-G1530*LTP3!$D$4/k_n</f>
        <v/>
      </c>
      <c r="V1530">
        <f>O1530-H1530*LTP3!$D$4/k_n</f>
        <v/>
      </c>
      <c r="W1530">
        <f>((LTP3!$D$5)*((P1530)*(Q1530)-(R1530)*(R1530))-(S1530)*((S1530)*(Q1530)-(R1530)*(T1530))+(T1530)*((S1530)*(R1530)-(P1530)*(T1530)))</f>
        <v/>
      </c>
      <c r="X1530">
        <f>IF(ABS(W1530)&gt;1E-12,((LTP3!$D$6)*((P1530)*(Q1530)-(R1530)*(R1530))-(S1530)*((U1530)*(Q1530)-(R1530)*(V1530))+(T1530)*((U1530)*(R1530)-(P1530)*(V1530)))/W1530,0)</f>
        <v/>
      </c>
      <c r="Y1530">
        <f>IF(ABS(W1530)&gt;1E-12,((LTP3!$D$5)*((U1530)*(Q1530)-(R1530)*(V1530))-(LTP3!$D$6)*((S1530)*(Q1530)-(R1530)*(T1530))+(T1530)*((S1530)*(V1530)-(U1530)*(T1530)))/W1530,0)</f>
        <v/>
      </c>
      <c r="Z1530">
        <f>IF(ABS(W1530)&gt;1E-12,((LTP3!$D$5)*((P1530)*(V1530)-(U1530)*(R1530))-(S1530)*((S1530)*(V1530)-(U1530)*(T1530))+(LTP3!$D$6)*((S1530)*(R1530)-(P1530)*(T1530)))/W1530,0)</f>
        <v/>
      </c>
      <c r="AA1530">
        <f>LTP3!$D$7-X1530*LTP3!$D$6-Y1530*U1530-Z1530*V1530</f>
        <v/>
      </c>
      <c r="AB1530">
        <f>IF(AND(F1530,ABS(W1530)&gt;1E-12,Y1530&gt;0,Z1530&gt;0),AA1530,1E+300)</f>
        <v/>
      </c>
    </row>
    <row r="1531">
      <c r="A1531">
        <f>$B$3+$B$5*24</f>
        <v/>
      </c>
      <c r="B1531">
        <f>$B$3+$B$5*55</f>
        <v/>
      </c>
      <c r="C1531">
        <f>SUMPRODUCT(Calc!$K$3:$K$22*(Calc!$G$3:$G$22&lt;=A1531))</f>
        <v/>
      </c>
      <c r="D1531">
        <f>SUMPRODUCT(Calc!$K$3:$K$22*(Calc!$G$3:$G$22&gt;A1531)*(Calc!$G$3:$G$22&lt;B1531))</f>
        <v/>
      </c>
      <c r="E1531">
        <f>SUMPRODUCT(Calc!$K$3:$K$22*(Calc!$G$3:$G$22&gt;=B1531))</f>
        <v/>
      </c>
      <c r="F1531">
        <f>AND(k_n&gt;=5,B1531&gt;A1531+1E-9,C1531&gt;=2,D1531&gt;=1,E1531&gt;=2)</f>
        <v/>
      </c>
      <c r="G1531">
        <f>SUMPRODUCT(Calc!$K$3:$K$22*(Calc!$G$3:$G$22&gt;A1531)*(Calc!$G$3:$G$22-A1531))</f>
        <v/>
      </c>
      <c r="H1531">
        <f>SUMPRODUCT(Calc!$K$3:$K$22*(Calc!$G$3:$G$22&gt;B1531)*(Calc!$G$3:$G$22-B1531))</f>
        <v/>
      </c>
      <c r="I1531">
        <f>SUMPRODUCT(Calc!$K$3:$K$22*(Calc!$G$3:$G$22&gt;A1531)*(Calc!$G$3:$G$22-A1531)^2)</f>
        <v/>
      </c>
      <c r="J1531">
        <f>SUMPRODUCT(Calc!$K$3:$K$22*(Calc!$G$3:$G$22&gt;B1531)*(Calc!$G$3:$G$22-B1531)^2)</f>
        <v/>
      </c>
      <c r="K1531">
        <f>SUMPRODUCT(Calc!$K$3:$K$22*(Calc!$G$3:$G$22&gt;A1531)*(Calc!$G$3:$G$22-A1531)*(Calc!$G$3:$G$22&gt;B1531)*(Calc!$G$3:$G$22-B1531))</f>
        <v/>
      </c>
      <c r="L1531">
        <f>SUMPRODUCT(Calc!$K$3:$K$22*(Calc!$G$3:$G$22&gt;A1531)*(Calc!$G$3:$G$22-A1531)*Calc!$G$3:$G$22)</f>
        <v/>
      </c>
      <c r="M1531">
        <f>SUMPRODUCT(Calc!$K$3:$K$22*(Calc!$G$3:$G$22&gt;B1531)*(Calc!$G$3:$G$22-B1531)*Calc!$G$3:$G$22)</f>
        <v/>
      </c>
      <c r="N1531">
        <f>SUMPRODUCT(Calc!$K$3:$K$22*(Calc!$G$3:$G$22&gt;A1531)*(Calc!$G$3:$G$22-A1531)*Calc!$I$3:$I$22)</f>
        <v/>
      </c>
      <c r="O1531">
        <f>SUMPRODUCT(Calc!$K$3:$K$22*(Calc!$G$3:$G$22&gt;B1531)*(Calc!$G$3:$G$22-B1531)*Calc!$I$3:$I$22)</f>
        <v/>
      </c>
      <c r="P1531">
        <f>I1531-G1531^2/k_n</f>
        <v/>
      </c>
      <c r="Q1531">
        <f>J1531-H1531^2/k_n</f>
        <v/>
      </c>
      <c r="R1531">
        <f>K1531-G1531*H1531/k_n</f>
        <v/>
      </c>
      <c r="S1531">
        <f>L1531-LTP3!$D$3*G1531/k_n</f>
        <v/>
      </c>
      <c r="T1531">
        <f>M1531-LTP3!$D$3*H1531/k_n</f>
        <v/>
      </c>
      <c r="U1531">
        <f>N1531-G1531*LTP3!$D$4/k_n</f>
        <v/>
      </c>
      <c r="V1531">
        <f>O1531-H1531*LTP3!$D$4/k_n</f>
        <v/>
      </c>
      <c r="W1531">
        <f>((LTP3!$D$5)*((P1531)*(Q1531)-(R1531)*(R1531))-(S1531)*((S1531)*(Q1531)-(R1531)*(T1531))+(T1531)*((S1531)*(R1531)-(P1531)*(T1531)))</f>
        <v/>
      </c>
      <c r="X1531">
        <f>IF(ABS(W1531)&gt;1E-12,((LTP3!$D$6)*((P1531)*(Q1531)-(R1531)*(R1531))-(S1531)*((U1531)*(Q1531)-(R1531)*(V1531))+(T1531)*((U1531)*(R1531)-(P1531)*(V1531)))/W1531,0)</f>
        <v/>
      </c>
      <c r="Y1531">
        <f>IF(ABS(W1531)&gt;1E-12,((LTP3!$D$5)*((U1531)*(Q1531)-(R1531)*(V1531))-(LTP3!$D$6)*((S1531)*(Q1531)-(R1531)*(T1531))+(T1531)*((S1531)*(V1531)-(U1531)*(T1531)))/W1531,0)</f>
        <v/>
      </c>
      <c r="Z1531">
        <f>IF(ABS(W1531)&gt;1E-12,((LTP3!$D$5)*((P1531)*(V1531)-(U1531)*(R1531))-(S1531)*((S1531)*(V1531)-(U1531)*(T1531))+(LTP3!$D$6)*((S1531)*(R1531)-(P1531)*(T1531)))/W1531,0)</f>
        <v/>
      </c>
      <c r="AA1531">
        <f>LTP3!$D$7-X1531*LTP3!$D$6-Y1531*U1531-Z1531*V1531</f>
        <v/>
      </c>
      <c r="AB1531">
        <f>IF(AND(F1531,ABS(W1531)&gt;1E-12,Y1531&gt;0,Z1531&gt;0),AA1531,1E+300)</f>
        <v/>
      </c>
    </row>
    <row r="1532">
      <c r="A1532">
        <f>$B$3+$B$5*24</f>
        <v/>
      </c>
      <c r="B1532">
        <f>$B$3+$B$5*56</f>
        <v/>
      </c>
      <c r="C1532">
        <f>SUMPRODUCT(Calc!$K$3:$K$22*(Calc!$G$3:$G$22&lt;=A1532))</f>
        <v/>
      </c>
      <c r="D1532">
        <f>SUMPRODUCT(Calc!$K$3:$K$22*(Calc!$G$3:$G$22&gt;A1532)*(Calc!$G$3:$G$22&lt;B1532))</f>
        <v/>
      </c>
      <c r="E1532">
        <f>SUMPRODUCT(Calc!$K$3:$K$22*(Calc!$G$3:$G$22&gt;=B1532))</f>
        <v/>
      </c>
      <c r="F1532">
        <f>AND(k_n&gt;=5,B1532&gt;A1532+1E-9,C1532&gt;=2,D1532&gt;=1,E1532&gt;=2)</f>
        <v/>
      </c>
      <c r="G1532">
        <f>SUMPRODUCT(Calc!$K$3:$K$22*(Calc!$G$3:$G$22&gt;A1532)*(Calc!$G$3:$G$22-A1532))</f>
        <v/>
      </c>
      <c r="H1532">
        <f>SUMPRODUCT(Calc!$K$3:$K$22*(Calc!$G$3:$G$22&gt;B1532)*(Calc!$G$3:$G$22-B1532))</f>
        <v/>
      </c>
      <c r="I1532">
        <f>SUMPRODUCT(Calc!$K$3:$K$22*(Calc!$G$3:$G$22&gt;A1532)*(Calc!$G$3:$G$22-A1532)^2)</f>
        <v/>
      </c>
      <c r="J1532">
        <f>SUMPRODUCT(Calc!$K$3:$K$22*(Calc!$G$3:$G$22&gt;B1532)*(Calc!$G$3:$G$22-B1532)^2)</f>
        <v/>
      </c>
      <c r="K1532">
        <f>SUMPRODUCT(Calc!$K$3:$K$22*(Calc!$G$3:$G$22&gt;A1532)*(Calc!$G$3:$G$22-A1532)*(Calc!$G$3:$G$22&gt;B1532)*(Calc!$G$3:$G$22-B1532))</f>
        <v/>
      </c>
      <c r="L1532">
        <f>SUMPRODUCT(Calc!$K$3:$K$22*(Calc!$G$3:$G$22&gt;A1532)*(Calc!$G$3:$G$22-A1532)*Calc!$G$3:$G$22)</f>
        <v/>
      </c>
      <c r="M1532">
        <f>SUMPRODUCT(Calc!$K$3:$K$22*(Calc!$G$3:$G$22&gt;B1532)*(Calc!$G$3:$G$22-B1532)*Calc!$G$3:$G$22)</f>
        <v/>
      </c>
      <c r="N1532">
        <f>SUMPRODUCT(Calc!$K$3:$K$22*(Calc!$G$3:$G$22&gt;A1532)*(Calc!$G$3:$G$22-A1532)*Calc!$I$3:$I$22)</f>
        <v/>
      </c>
      <c r="O1532">
        <f>SUMPRODUCT(Calc!$K$3:$K$22*(Calc!$G$3:$G$22&gt;B1532)*(Calc!$G$3:$G$22-B1532)*Calc!$I$3:$I$22)</f>
        <v/>
      </c>
      <c r="P1532">
        <f>I1532-G1532^2/k_n</f>
        <v/>
      </c>
      <c r="Q1532">
        <f>J1532-H1532^2/k_n</f>
        <v/>
      </c>
      <c r="R1532">
        <f>K1532-G1532*H1532/k_n</f>
        <v/>
      </c>
      <c r="S1532">
        <f>L1532-LTP3!$D$3*G1532/k_n</f>
        <v/>
      </c>
      <c r="T1532">
        <f>M1532-LTP3!$D$3*H1532/k_n</f>
        <v/>
      </c>
      <c r="U1532">
        <f>N1532-G1532*LTP3!$D$4/k_n</f>
        <v/>
      </c>
      <c r="V1532">
        <f>O1532-H1532*LTP3!$D$4/k_n</f>
        <v/>
      </c>
      <c r="W1532">
        <f>((LTP3!$D$5)*((P1532)*(Q1532)-(R1532)*(R1532))-(S1532)*((S1532)*(Q1532)-(R1532)*(T1532))+(T1532)*((S1532)*(R1532)-(P1532)*(T1532)))</f>
        <v/>
      </c>
      <c r="X1532">
        <f>IF(ABS(W1532)&gt;1E-12,((LTP3!$D$6)*((P1532)*(Q1532)-(R1532)*(R1532))-(S1532)*((U1532)*(Q1532)-(R1532)*(V1532))+(T1532)*((U1532)*(R1532)-(P1532)*(V1532)))/W1532,0)</f>
        <v/>
      </c>
      <c r="Y1532">
        <f>IF(ABS(W1532)&gt;1E-12,((LTP3!$D$5)*((U1532)*(Q1532)-(R1532)*(V1532))-(LTP3!$D$6)*((S1532)*(Q1532)-(R1532)*(T1532))+(T1532)*((S1532)*(V1532)-(U1532)*(T1532)))/W1532,0)</f>
        <v/>
      </c>
      <c r="Z1532">
        <f>IF(ABS(W1532)&gt;1E-12,((LTP3!$D$5)*((P1532)*(V1532)-(U1532)*(R1532))-(S1532)*((S1532)*(V1532)-(U1532)*(T1532))+(LTP3!$D$6)*((S1532)*(R1532)-(P1532)*(T1532)))/W1532,0)</f>
        <v/>
      </c>
      <c r="AA1532">
        <f>LTP3!$D$7-X1532*LTP3!$D$6-Y1532*U1532-Z1532*V1532</f>
        <v/>
      </c>
      <c r="AB1532">
        <f>IF(AND(F1532,ABS(W1532)&gt;1E-12,Y1532&gt;0,Z1532&gt;0),AA1532,1E+300)</f>
        <v/>
      </c>
    </row>
    <row r="1533">
      <c r="A1533">
        <f>$B$3+$B$5*24</f>
        <v/>
      </c>
      <c r="B1533">
        <f>$B$3+$B$5*57</f>
        <v/>
      </c>
      <c r="C1533">
        <f>SUMPRODUCT(Calc!$K$3:$K$22*(Calc!$G$3:$G$22&lt;=A1533))</f>
        <v/>
      </c>
      <c r="D1533">
        <f>SUMPRODUCT(Calc!$K$3:$K$22*(Calc!$G$3:$G$22&gt;A1533)*(Calc!$G$3:$G$22&lt;B1533))</f>
        <v/>
      </c>
      <c r="E1533">
        <f>SUMPRODUCT(Calc!$K$3:$K$22*(Calc!$G$3:$G$22&gt;=B1533))</f>
        <v/>
      </c>
      <c r="F1533">
        <f>AND(k_n&gt;=5,B1533&gt;A1533+1E-9,C1533&gt;=2,D1533&gt;=1,E1533&gt;=2)</f>
        <v/>
      </c>
      <c r="G1533">
        <f>SUMPRODUCT(Calc!$K$3:$K$22*(Calc!$G$3:$G$22&gt;A1533)*(Calc!$G$3:$G$22-A1533))</f>
        <v/>
      </c>
      <c r="H1533">
        <f>SUMPRODUCT(Calc!$K$3:$K$22*(Calc!$G$3:$G$22&gt;B1533)*(Calc!$G$3:$G$22-B1533))</f>
        <v/>
      </c>
      <c r="I1533">
        <f>SUMPRODUCT(Calc!$K$3:$K$22*(Calc!$G$3:$G$22&gt;A1533)*(Calc!$G$3:$G$22-A1533)^2)</f>
        <v/>
      </c>
      <c r="J1533">
        <f>SUMPRODUCT(Calc!$K$3:$K$22*(Calc!$G$3:$G$22&gt;B1533)*(Calc!$G$3:$G$22-B1533)^2)</f>
        <v/>
      </c>
      <c r="K1533">
        <f>SUMPRODUCT(Calc!$K$3:$K$22*(Calc!$G$3:$G$22&gt;A1533)*(Calc!$G$3:$G$22-A1533)*(Calc!$G$3:$G$22&gt;B1533)*(Calc!$G$3:$G$22-B1533))</f>
        <v/>
      </c>
      <c r="L1533">
        <f>SUMPRODUCT(Calc!$K$3:$K$22*(Calc!$G$3:$G$22&gt;A1533)*(Calc!$G$3:$G$22-A1533)*Calc!$G$3:$G$22)</f>
        <v/>
      </c>
      <c r="M1533">
        <f>SUMPRODUCT(Calc!$K$3:$K$22*(Calc!$G$3:$G$22&gt;B1533)*(Calc!$G$3:$G$22-B1533)*Calc!$G$3:$G$22)</f>
        <v/>
      </c>
      <c r="N1533">
        <f>SUMPRODUCT(Calc!$K$3:$K$22*(Calc!$G$3:$G$22&gt;A1533)*(Calc!$G$3:$G$22-A1533)*Calc!$I$3:$I$22)</f>
        <v/>
      </c>
      <c r="O1533">
        <f>SUMPRODUCT(Calc!$K$3:$K$22*(Calc!$G$3:$G$22&gt;B1533)*(Calc!$G$3:$G$22-B1533)*Calc!$I$3:$I$22)</f>
        <v/>
      </c>
      <c r="P1533">
        <f>I1533-G1533^2/k_n</f>
        <v/>
      </c>
      <c r="Q1533">
        <f>J1533-H1533^2/k_n</f>
        <v/>
      </c>
      <c r="R1533">
        <f>K1533-G1533*H1533/k_n</f>
        <v/>
      </c>
      <c r="S1533">
        <f>L1533-LTP3!$D$3*G1533/k_n</f>
        <v/>
      </c>
      <c r="T1533">
        <f>M1533-LTP3!$D$3*H1533/k_n</f>
        <v/>
      </c>
      <c r="U1533">
        <f>N1533-G1533*LTP3!$D$4/k_n</f>
        <v/>
      </c>
      <c r="V1533">
        <f>O1533-H1533*LTP3!$D$4/k_n</f>
        <v/>
      </c>
      <c r="W1533">
        <f>((LTP3!$D$5)*((P1533)*(Q1533)-(R1533)*(R1533))-(S1533)*((S1533)*(Q1533)-(R1533)*(T1533))+(T1533)*((S1533)*(R1533)-(P1533)*(T1533)))</f>
        <v/>
      </c>
      <c r="X1533">
        <f>IF(ABS(W1533)&gt;1E-12,((LTP3!$D$6)*((P1533)*(Q1533)-(R1533)*(R1533))-(S1533)*((U1533)*(Q1533)-(R1533)*(V1533))+(T1533)*((U1533)*(R1533)-(P1533)*(V1533)))/W1533,0)</f>
        <v/>
      </c>
      <c r="Y1533">
        <f>IF(ABS(W1533)&gt;1E-12,((LTP3!$D$5)*((U1533)*(Q1533)-(R1533)*(V1533))-(LTP3!$D$6)*((S1533)*(Q1533)-(R1533)*(T1533))+(T1533)*((S1533)*(V1533)-(U1533)*(T1533)))/W1533,0)</f>
        <v/>
      </c>
      <c r="Z1533">
        <f>IF(ABS(W1533)&gt;1E-12,((LTP3!$D$5)*((P1533)*(V1533)-(U1533)*(R1533))-(S1533)*((S1533)*(V1533)-(U1533)*(T1533))+(LTP3!$D$6)*((S1533)*(R1533)-(P1533)*(T1533)))/W1533,0)</f>
        <v/>
      </c>
      <c r="AA1533">
        <f>LTP3!$D$7-X1533*LTP3!$D$6-Y1533*U1533-Z1533*V1533</f>
        <v/>
      </c>
      <c r="AB1533">
        <f>IF(AND(F1533,ABS(W1533)&gt;1E-12,Y1533&gt;0,Z1533&gt;0),AA1533,1E+300)</f>
        <v/>
      </c>
    </row>
    <row r="1534">
      <c r="A1534">
        <f>$B$3+$B$5*24</f>
        <v/>
      </c>
      <c r="B1534">
        <f>$B$3+$B$5*58</f>
        <v/>
      </c>
      <c r="C1534">
        <f>SUMPRODUCT(Calc!$K$3:$K$22*(Calc!$G$3:$G$22&lt;=A1534))</f>
        <v/>
      </c>
      <c r="D1534">
        <f>SUMPRODUCT(Calc!$K$3:$K$22*(Calc!$G$3:$G$22&gt;A1534)*(Calc!$G$3:$G$22&lt;B1534))</f>
        <v/>
      </c>
      <c r="E1534">
        <f>SUMPRODUCT(Calc!$K$3:$K$22*(Calc!$G$3:$G$22&gt;=B1534))</f>
        <v/>
      </c>
      <c r="F1534">
        <f>AND(k_n&gt;=5,B1534&gt;A1534+1E-9,C1534&gt;=2,D1534&gt;=1,E1534&gt;=2)</f>
        <v/>
      </c>
      <c r="G1534">
        <f>SUMPRODUCT(Calc!$K$3:$K$22*(Calc!$G$3:$G$22&gt;A1534)*(Calc!$G$3:$G$22-A1534))</f>
        <v/>
      </c>
      <c r="H1534">
        <f>SUMPRODUCT(Calc!$K$3:$K$22*(Calc!$G$3:$G$22&gt;B1534)*(Calc!$G$3:$G$22-B1534))</f>
        <v/>
      </c>
      <c r="I1534">
        <f>SUMPRODUCT(Calc!$K$3:$K$22*(Calc!$G$3:$G$22&gt;A1534)*(Calc!$G$3:$G$22-A1534)^2)</f>
        <v/>
      </c>
      <c r="J1534">
        <f>SUMPRODUCT(Calc!$K$3:$K$22*(Calc!$G$3:$G$22&gt;B1534)*(Calc!$G$3:$G$22-B1534)^2)</f>
        <v/>
      </c>
      <c r="K1534">
        <f>SUMPRODUCT(Calc!$K$3:$K$22*(Calc!$G$3:$G$22&gt;A1534)*(Calc!$G$3:$G$22-A1534)*(Calc!$G$3:$G$22&gt;B1534)*(Calc!$G$3:$G$22-B1534))</f>
        <v/>
      </c>
      <c r="L1534">
        <f>SUMPRODUCT(Calc!$K$3:$K$22*(Calc!$G$3:$G$22&gt;A1534)*(Calc!$G$3:$G$22-A1534)*Calc!$G$3:$G$22)</f>
        <v/>
      </c>
      <c r="M1534">
        <f>SUMPRODUCT(Calc!$K$3:$K$22*(Calc!$G$3:$G$22&gt;B1534)*(Calc!$G$3:$G$22-B1534)*Calc!$G$3:$G$22)</f>
        <v/>
      </c>
      <c r="N1534">
        <f>SUMPRODUCT(Calc!$K$3:$K$22*(Calc!$G$3:$G$22&gt;A1534)*(Calc!$G$3:$G$22-A1534)*Calc!$I$3:$I$22)</f>
        <v/>
      </c>
      <c r="O1534">
        <f>SUMPRODUCT(Calc!$K$3:$K$22*(Calc!$G$3:$G$22&gt;B1534)*(Calc!$G$3:$G$22-B1534)*Calc!$I$3:$I$22)</f>
        <v/>
      </c>
      <c r="P1534">
        <f>I1534-G1534^2/k_n</f>
        <v/>
      </c>
      <c r="Q1534">
        <f>J1534-H1534^2/k_n</f>
        <v/>
      </c>
      <c r="R1534">
        <f>K1534-G1534*H1534/k_n</f>
        <v/>
      </c>
      <c r="S1534">
        <f>L1534-LTP3!$D$3*G1534/k_n</f>
        <v/>
      </c>
      <c r="T1534">
        <f>M1534-LTP3!$D$3*H1534/k_n</f>
        <v/>
      </c>
      <c r="U1534">
        <f>N1534-G1534*LTP3!$D$4/k_n</f>
        <v/>
      </c>
      <c r="V1534">
        <f>O1534-H1534*LTP3!$D$4/k_n</f>
        <v/>
      </c>
      <c r="W1534">
        <f>((LTP3!$D$5)*((P1534)*(Q1534)-(R1534)*(R1534))-(S1534)*((S1534)*(Q1534)-(R1534)*(T1534))+(T1534)*((S1534)*(R1534)-(P1534)*(T1534)))</f>
        <v/>
      </c>
      <c r="X1534">
        <f>IF(ABS(W1534)&gt;1E-12,((LTP3!$D$6)*((P1534)*(Q1534)-(R1534)*(R1534))-(S1534)*((U1534)*(Q1534)-(R1534)*(V1534))+(T1534)*((U1534)*(R1534)-(P1534)*(V1534)))/W1534,0)</f>
        <v/>
      </c>
      <c r="Y1534">
        <f>IF(ABS(W1534)&gt;1E-12,((LTP3!$D$5)*((U1534)*(Q1534)-(R1534)*(V1534))-(LTP3!$D$6)*((S1534)*(Q1534)-(R1534)*(T1534))+(T1534)*((S1534)*(V1534)-(U1534)*(T1534)))/W1534,0)</f>
        <v/>
      </c>
      <c r="Z1534">
        <f>IF(ABS(W1534)&gt;1E-12,((LTP3!$D$5)*((P1534)*(V1534)-(U1534)*(R1534))-(S1534)*((S1534)*(V1534)-(U1534)*(T1534))+(LTP3!$D$6)*((S1534)*(R1534)-(P1534)*(T1534)))/W1534,0)</f>
        <v/>
      </c>
      <c r="AA1534">
        <f>LTP3!$D$7-X1534*LTP3!$D$6-Y1534*U1534-Z1534*V1534</f>
        <v/>
      </c>
      <c r="AB1534">
        <f>IF(AND(F1534,ABS(W1534)&gt;1E-12,Y1534&gt;0,Z1534&gt;0),AA1534,1E+300)</f>
        <v/>
      </c>
    </row>
    <row r="1535">
      <c r="A1535">
        <f>$B$3+$B$5*24</f>
        <v/>
      </c>
      <c r="B1535">
        <f>$B$3+$B$5*59</f>
        <v/>
      </c>
      <c r="C1535">
        <f>SUMPRODUCT(Calc!$K$3:$K$22*(Calc!$G$3:$G$22&lt;=A1535))</f>
        <v/>
      </c>
      <c r="D1535">
        <f>SUMPRODUCT(Calc!$K$3:$K$22*(Calc!$G$3:$G$22&gt;A1535)*(Calc!$G$3:$G$22&lt;B1535))</f>
        <v/>
      </c>
      <c r="E1535">
        <f>SUMPRODUCT(Calc!$K$3:$K$22*(Calc!$G$3:$G$22&gt;=B1535))</f>
        <v/>
      </c>
      <c r="F1535">
        <f>AND(k_n&gt;=5,B1535&gt;A1535+1E-9,C1535&gt;=2,D1535&gt;=1,E1535&gt;=2)</f>
        <v/>
      </c>
      <c r="G1535">
        <f>SUMPRODUCT(Calc!$K$3:$K$22*(Calc!$G$3:$G$22&gt;A1535)*(Calc!$G$3:$G$22-A1535))</f>
        <v/>
      </c>
      <c r="H1535">
        <f>SUMPRODUCT(Calc!$K$3:$K$22*(Calc!$G$3:$G$22&gt;B1535)*(Calc!$G$3:$G$22-B1535))</f>
        <v/>
      </c>
      <c r="I1535">
        <f>SUMPRODUCT(Calc!$K$3:$K$22*(Calc!$G$3:$G$22&gt;A1535)*(Calc!$G$3:$G$22-A1535)^2)</f>
        <v/>
      </c>
      <c r="J1535">
        <f>SUMPRODUCT(Calc!$K$3:$K$22*(Calc!$G$3:$G$22&gt;B1535)*(Calc!$G$3:$G$22-B1535)^2)</f>
        <v/>
      </c>
      <c r="K1535">
        <f>SUMPRODUCT(Calc!$K$3:$K$22*(Calc!$G$3:$G$22&gt;A1535)*(Calc!$G$3:$G$22-A1535)*(Calc!$G$3:$G$22&gt;B1535)*(Calc!$G$3:$G$22-B1535))</f>
        <v/>
      </c>
      <c r="L1535">
        <f>SUMPRODUCT(Calc!$K$3:$K$22*(Calc!$G$3:$G$22&gt;A1535)*(Calc!$G$3:$G$22-A1535)*Calc!$G$3:$G$22)</f>
        <v/>
      </c>
      <c r="M1535">
        <f>SUMPRODUCT(Calc!$K$3:$K$22*(Calc!$G$3:$G$22&gt;B1535)*(Calc!$G$3:$G$22-B1535)*Calc!$G$3:$G$22)</f>
        <v/>
      </c>
      <c r="N1535">
        <f>SUMPRODUCT(Calc!$K$3:$K$22*(Calc!$G$3:$G$22&gt;A1535)*(Calc!$G$3:$G$22-A1535)*Calc!$I$3:$I$22)</f>
        <v/>
      </c>
      <c r="O1535">
        <f>SUMPRODUCT(Calc!$K$3:$K$22*(Calc!$G$3:$G$22&gt;B1535)*(Calc!$G$3:$G$22-B1535)*Calc!$I$3:$I$22)</f>
        <v/>
      </c>
      <c r="P1535">
        <f>I1535-G1535^2/k_n</f>
        <v/>
      </c>
      <c r="Q1535">
        <f>J1535-H1535^2/k_n</f>
        <v/>
      </c>
      <c r="R1535">
        <f>K1535-G1535*H1535/k_n</f>
        <v/>
      </c>
      <c r="S1535">
        <f>L1535-LTP3!$D$3*G1535/k_n</f>
        <v/>
      </c>
      <c r="T1535">
        <f>M1535-LTP3!$D$3*H1535/k_n</f>
        <v/>
      </c>
      <c r="U1535">
        <f>N1535-G1535*LTP3!$D$4/k_n</f>
        <v/>
      </c>
      <c r="V1535">
        <f>O1535-H1535*LTP3!$D$4/k_n</f>
        <v/>
      </c>
      <c r="W1535">
        <f>((LTP3!$D$5)*((P1535)*(Q1535)-(R1535)*(R1535))-(S1535)*((S1535)*(Q1535)-(R1535)*(T1535))+(T1535)*((S1535)*(R1535)-(P1535)*(T1535)))</f>
        <v/>
      </c>
      <c r="X1535">
        <f>IF(ABS(W1535)&gt;1E-12,((LTP3!$D$6)*((P1535)*(Q1535)-(R1535)*(R1535))-(S1535)*((U1535)*(Q1535)-(R1535)*(V1535))+(T1535)*((U1535)*(R1535)-(P1535)*(V1535)))/W1535,0)</f>
        <v/>
      </c>
      <c r="Y1535">
        <f>IF(ABS(W1535)&gt;1E-12,((LTP3!$D$5)*((U1535)*(Q1535)-(R1535)*(V1535))-(LTP3!$D$6)*((S1535)*(Q1535)-(R1535)*(T1535))+(T1535)*((S1535)*(V1535)-(U1535)*(T1535)))/W1535,0)</f>
        <v/>
      </c>
      <c r="Z1535">
        <f>IF(ABS(W1535)&gt;1E-12,((LTP3!$D$5)*((P1535)*(V1535)-(U1535)*(R1535))-(S1535)*((S1535)*(V1535)-(U1535)*(T1535))+(LTP3!$D$6)*((S1535)*(R1535)-(P1535)*(T1535)))/W1535,0)</f>
        <v/>
      </c>
      <c r="AA1535">
        <f>LTP3!$D$7-X1535*LTP3!$D$6-Y1535*U1535-Z1535*V1535</f>
        <v/>
      </c>
      <c r="AB1535">
        <f>IF(AND(F1535,ABS(W1535)&gt;1E-12,Y1535&gt;0,Z1535&gt;0),AA1535,1E+300)</f>
        <v/>
      </c>
    </row>
    <row r="1536">
      <c r="A1536">
        <f>$B$3+$B$5*24</f>
        <v/>
      </c>
      <c r="B1536">
        <f>$B$3+$B$5*60</f>
        <v/>
      </c>
      <c r="C1536">
        <f>SUMPRODUCT(Calc!$K$3:$K$22*(Calc!$G$3:$G$22&lt;=A1536))</f>
        <v/>
      </c>
      <c r="D1536">
        <f>SUMPRODUCT(Calc!$K$3:$K$22*(Calc!$G$3:$G$22&gt;A1536)*(Calc!$G$3:$G$22&lt;B1536))</f>
        <v/>
      </c>
      <c r="E1536">
        <f>SUMPRODUCT(Calc!$K$3:$K$22*(Calc!$G$3:$G$22&gt;=B1536))</f>
        <v/>
      </c>
      <c r="F1536">
        <f>AND(k_n&gt;=5,B1536&gt;A1536+1E-9,C1536&gt;=2,D1536&gt;=1,E1536&gt;=2)</f>
        <v/>
      </c>
      <c r="G1536">
        <f>SUMPRODUCT(Calc!$K$3:$K$22*(Calc!$G$3:$G$22&gt;A1536)*(Calc!$G$3:$G$22-A1536))</f>
        <v/>
      </c>
      <c r="H1536">
        <f>SUMPRODUCT(Calc!$K$3:$K$22*(Calc!$G$3:$G$22&gt;B1536)*(Calc!$G$3:$G$22-B1536))</f>
        <v/>
      </c>
      <c r="I1536">
        <f>SUMPRODUCT(Calc!$K$3:$K$22*(Calc!$G$3:$G$22&gt;A1536)*(Calc!$G$3:$G$22-A1536)^2)</f>
        <v/>
      </c>
      <c r="J1536">
        <f>SUMPRODUCT(Calc!$K$3:$K$22*(Calc!$G$3:$G$22&gt;B1536)*(Calc!$G$3:$G$22-B1536)^2)</f>
        <v/>
      </c>
      <c r="K1536">
        <f>SUMPRODUCT(Calc!$K$3:$K$22*(Calc!$G$3:$G$22&gt;A1536)*(Calc!$G$3:$G$22-A1536)*(Calc!$G$3:$G$22&gt;B1536)*(Calc!$G$3:$G$22-B1536))</f>
        <v/>
      </c>
      <c r="L1536">
        <f>SUMPRODUCT(Calc!$K$3:$K$22*(Calc!$G$3:$G$22&gt;A1536)*(Calc!$G$3:$G$22-A1536)*Calc!$G$3:$G$22)</f>
        <v/>
      </c>
      <c r="M1536">
        <f>SUMPRODUCT(Calc!$K$3:$K$22*(Calc!$G$3:$G$22&gt;B1536)*(Calc!$G$3:$G$22-B1536)*Calc!$G$3:$G$22)</f>
        <v/>
      </c>
      <c r="N1536">
        <f>SUMPRODUCT(Calc!$K$3:$K$22*(Calc!$G$3:$G$22&gt;A1536)*(Calc!$G$3:$G$22-A1536)*Calc!$I$3:$I$22)</f>
        <v/>
      </c>
      <c r="O1536">
        <f>SUMPRODUCT(Calc!$K$3:$K$22*(Calc!$G$3:$G$22&gt;B1536)*(Calc!$G$3:$G$22-B1536)*Calc!$I$3:$I$22)</f>
        <v/>
      </c>
      <c r="P1536">
        <f>I1536-G1536^2/k_n</f>
        <v/>
      </c>
      <c r="Q1536">
        <f>J1536-H1536^2/k_n</f>
        <v/>
      </c>
      <c r="R1536">
        <f>K1536-G1536*H1536/k_n</f>
        <v/>
      </c>
      <c r="S1536">
        <f>L1536-LTP3!$D$3*G1536/k_n</f>
        <v/>
      </c>
      <c r="T1536">
        <f>M1536-LTP3!$D$3*H1536/k_n</f>
        <v/>
      </c>
      <c r="U1536">
        <f>N1536-G1536*LTP3!$D$4/k_n</f>
        <v/>
      </c>
      <c r="V1536">
        <f>O1536-H1536*LTP3!$D$4/k_n</f>
        <v/>
      </c>
      <c r="W1536">
        <f>((LTP3!$D$5)*((P1536)*(Q1536)-(R1536)*(R1536))-(S1536)*((S1536)*(Q1536)-(R1536)*(T1536))+(T1536)*((S1536)*(R1536)-(P1536)*(T1536)))</f>
        <v/>
      </c>
      <c r="X1536">
        <f>IF(ABS(W1536)&gt;1E-12,((LTP3!$D$6)*((P1536)*(Q1536)-(R1536)*(R1536))-(S1536)*((U1536)*(Q1536)-(R1536)*(V1536))+(T1536)*((U1536)*(R1536)-(P1536)*(V1536)))/W1536,0)</f>
        <v/>
      </c>
      <c r="Y1536">
        <f>IF(ABS(W1536)&gt;1E-12,((LTP3!$D$5)*((U1536)*(Q1536)-(R1536)*(V1536))-(LTP3!$D$6)*((S1536)*(Q1536)-(R1536)*(T1536))+(T1536)*((S1536)*(V1536)-(U1536)*(T1536)))/W1536,0)</f>
        <v/>
      </c>
      <c r="Z1536">
        <f>IF(ABS(W1536)&gt;1E-12,((LTP3!$D$5)*((P1536)*(V1536)-(U1536)*(R1536))-(S1536)*((S1536)*(V1536)-(U1536)*(T1536))+(LTP3!$D$6)*((S1536)*(R1536)-(P1536)*(T1536)))/W1536,0)</f>
        <v/>
      </c>
      <c r="AA1536">
        <f>LTP3!$D$7-X1536*LTP3!$D$6-Y1536*U1536-Z1536*V1536</f>
        <v/>
      </c>
      <c r="AB1536">
        <f>IF(AND(F1536,ABS(W1536)&gt;1E-12,Y1536&gt;0,Z1536&gt;0),AA1536,1E+300)</f>
        <v/>
      </c>
    </row>
    <row r="1537">
      <c r="A1537">
        <f>$B$3+$B$5*25</f>
        <v/>
      </c>
      <c r="B1537">
        <f>$B$3+$B$5*0</f>
        <v/>
      </c>
      <c r="C1537">
        <f>SUMPRODUCT(Calc!$K$3:$K$22*(Calc!$G$3:$G$22&lt;=A1537))</f>
        <v/>
      </c>
      <c r="D1537">
        <f>SUMPRODUCT(Calc!$K$3:$K$22*(Calc!$G$3:$G$22&gt;A1537)*(Calc!$G$3:$G$22&lt;B1537))</f>
        <v/>
      </c>
      <c r="E1537">
        <f>SUMPRODUCT(Calc!$K$3:$K$22*(Calc!$G$3:$G$22&gt;=B1537))</f>
        <v/>
      </c>
      <c r="F1537">
        <f>AND(k_n&gt;=5,B1537&gt;A1537+1E-9,C1537&gt;=2,D1537&gt;=1,E1537&gt;=2)</f>
        <v/>
      </c>
      <c r="G1537">
        <f>SUMPRODUCT(Calc!$K$3:$K$22*(Calc!$G$3:$G$22&gt;A1537)*(Calc!$G$3:$G$22-A1537))</f>
        <v/>
      </c>
      <c r="H1537">
        <f>SUMPRODUCT(Calc!$K$3:$K$22*(Calc!$G$3:$G$22&gt;B1537)*(Calc!$G$3:$G$22-B1537))</f>
        <v/>
      </c>
      <c r="I1537">
        <f>SUMPRODUCT(Calc!$K$3:$K$22*(Calc!$G$3:$G$22&gt;A1537)*(Calc!$G$3:$G$22-A1537)^2)</f>
        <v/>
      </c>
      <c r="J1537">
        <f>SUMPRODUCT(Calc!$K$3:$K$22*(Calc!$G$3:$G$22&gt;B1537)*(Calc!$G$3:$G$22-B1537)^2)</f>
        <v/>
      </c>
      <c r="K1537">
        <f>SUMPRODUCT(Calc!$K$3:$K$22*(Calc!$G$3:$G$22&gt;A1537)*(Calc!$G$3:$G$22-A1537)*(Calc!$G$3:$G$22&gt;B1537)*(Calc!$G$3:$G$22-B1537))</f>
        <v/>
      </c>
      <c r="L1537">
        <f>SUMPRODUCT(Calc!$K$3:$K$22*(Calc!$G$3:$G$22&gt;A1537)*(Calc!$G$3:$G$22-A1537)*Calc!$G$3:$G$22)</f>
        <v/>
      </c>
      <c r="M1537">
        <f>SUMPRODUCT(Calc!$K$3:$K$22*(Calc!$G$3:$G$22&gt;B1537)*(Calc!$G$3:$G$22-B1537)*Calc!$G$3:$G$22)</f>
        <v/>
      </c>
      <c r="N1537">
        <f>SUMPRODUCT(Calc!$K$3:$K$22*(Calc!$G$3:$G$22&gt;A1537)*(Calc!$G$3:$G$22-A1537)*Calc!$I$3:$I$22)</f>
        <v/>
      </c>
      <c r="O1537">
        <f>SUMPRODUCT(Calc!$K$3:$K$22*(Calc!$G$3:$G$22&gt;B1537)*(Calc!$G$3:$G$22-B1537)*Calc!$I$3:$I$22)</f>
        <v/>
      </c>
      <c r="P1537">
        <f>I1537-G1537^2/k_n</f>
        <v/>
      </c>
      <c r="Q1537">
        <f>J1537-H1537^2/k_n</f>
        <v/>
      </c>
      <c r="R1537">
        <f>K1537-G1537*H1537/k_n</f>
        <v/>
      </c>
      <c r="S1537">
        <f>L1537-LTP3!$D$3*G1537/k_n</f>
        <v/>
      </c>
      <c r="T1537">
        <f>M1537-LTP3!$D$3*H1537/k_n</f>
        <v/>
      </c>
      <c r="U1537">
        <f>N1537-G1537*LTP3!$D$4/k_n</f>
        <v/>
      </c>
      <c r="V1537">
        <f>O1537-H1537*LTP3!$D$4/k_n</f>
        <v/>
      </c>
      <c r="W1537">
        <f>((LTP3!$D$5)*((P1537)*(Q1537)-(R1537)*(R1537))-(S1537)*((S1537)*(Q1537)-(R1537)*(T1537))+(T1537)*((S1537)*(R1537)-(P1537)*(T1537)))</f>
        <v/>
      </c>
      <c r="X1537">
        <f>IF(ABS(W1537)&gt;1E-12,((LTP3!$D$6)*((P1537)*(Q1537)-(R1537)*(R1537))-(S1537)*((U1537)*(Q1537)-(R1537)*(V1537))+(T1537)*((U1537)*(R1537)-(P1537)*(V1537)))/W1537,0)</f>
        <v/>
      </c>
      <c r="Y1537">
        <f>IF(ABS(W1537)&gt;1E-12,((LTP3!$D$5)*((U1537)*(Q1537)-(R1537)*(V1537))-(LTP3!$D$6)*((S1537)*(Q1537)-(R1537)*(T1537))+(T1537)*((S1537)*(V1537)-(U1537)*(T1537)))/W1537,0)</f>
        <v/>
      </c>
      <c r="Z1537">
        <f>IF(ABS(W1537)&gt;1E-12,((LTP3!$D$5)*((P1537)*(V1537)-(U1537)*(R1537))-(S1537)*((S1537)*(V1537)-(U1537)*(T1537))+(LTP3!$D$6)*((S1537)*(R1537)-(P1537)*(T1537)))/W1537,0)</f>
        <v/>
      </c>
      <c r="AA1537">
        <f>LTP3!$D$7-X1537*LTP3!$D$6-Y1537*U1537-Z1537*V1537</f>
        <v/>
      </c>
      <c r="AB1537">
        <f>IF(AND(F1537,ABS(W1537)&gt;1E-12,Y1537&gt;0,Z1537&gt;0),AA1537,1E+300)</f>
        <v/>
      </c>
    </row>
    <row r="1538">
      <c r="A1538">
        <f>$B$3+$B$5*25</f>
        <v/>
      </c>
      <c r="B1538">
        <f>$B$3+$B$5*1</f>
        <v/>
      </c>
      <c r="C1538">
        <f>SUMPRODUCT(Calc!$K$3:$K$22*(Calc!$G$3:$G$22&lt;=A1538))</f>
        <v/>
      </c>
      <c r="D1538">
        <f>SUMPRODUCT(Calc!$K$3:$K$22*(Calc!$G$3:$G$22&gt;A1538)*(Calc!$G$3:$G$22&lt;B1538))</f>
        <v/>
      </c>
      <c r="E1538">
        <f>SUMPRODUCT(Calc!$K$3:$K$22*(Calc!$G$3:$G$22&gt;=B1538))</f>
        <v/>
      </c>
      <c r="F1538">
        <f>AND(k_n&gt;=5,B1538&gt;A1538+1E-9,C1538&gt;=2,D1538&gt;=1,E1538&gt;=2)</f>
        <v/>
      </c>
      <c r="G1538">
        <f>SUMPRODUCT(Calc!$K$3:$K$22*(Calc!$G$3:$G$22&gt;A1538)*(Calc!$G$3:$G$22-A1538))</f>
        <v/>
      </c>
      <c r="H1538">
        <f>SUMPRODUCT(Calc!$K$3:$K$22*(Calc!$G$3:$G$22&gt;B1538)*(Calc!$G$3:$G$22-B1538))</f>
        <v/>
      </c>
      <c r="I1538">
        <f>SUMPRODUCT(Calc!$K$3:$K$22*(Calc!$G$3:$G$22&gt;A1538)*(Calc!$G$3:$G$22-A1538)^2)</f>
        <v/>
      </c>
      <c r="J1538">
        <f>SUMPRODUCT(Calc!$K$3:$K$22*(Calc!$G$3:$G$22&gt;B1538)*(Calc!$G$3:$G$22-B1538)^2)</f>
        <v/>
      </c>
      <c r="K1538">
        <f>SUMPRODUCT(Calc!$K$3:$K$22*(Calc!$G$3:$G$22&gt;A1538)*(Calc!$G$3:$G$22-A1538)*(Calc!$G$3:$G$22&gt;B1538)*(Calc!$G$3:$G$22-B1538))</f>
        <v/>
      </c>
      <c r="L1538">
        <f>SUMPRODUCT(Calc!$K$3:$K$22*(Calc!$G$3:$G$22&gt;A1538)*(Calc!$G$3:$G$22-A1538)*Calc!$G$3:$G$22)</f>
        <v/>
      </c>
      <c r="M1538">
        <f>SUMPRODUCT(Calc!$K$3:$K$22*(Calc!$G$3:$G$22&gt;B1538)*(Calc!$G$3:$G$22-B1538)*Calc!$G$3:$G$22)</f>
        <v/>
      </c>
      <c r="N1538">
        <f>SUMPRODUCT(Calc!$K$3:$K$22*(Calc!$G$3:$G$22&gt;A1538)*(Calc!$G$3:$G$22-A1538)*Calc!$I$3:$I$22)</f>
        <v/>
      </c>
      <c r="O1538">
        <f>SUMPRODUCT(Calc!$K$3:$K$22*(Calc!$G$3:$G$22&gt;B1538)*(Calc!$G$3:$G$22-B1538)*Calc!$I$3:$I$22)</f>
        <v/>
      </c>
      <c r="P1538">
        <f>I1538-G1538^2/k_n</f>
        <v/>
      </c>
      <c r="Q1538">
        <f>J1538-H1538^2/k_n</f>
        <v/>
      </c>
      <c r="R1538">
        <f>K1538-G1538*H1538/k_n</f>
        <v/>
      </c>
      <c r="S1538">
        <f>L1538-LTP3!$D$3*G1538/k_n</f>
        <v/>
      </c>
      <c r="T1538">
        <f>M1538-LTP3!$D$3*H1538/k_n</f>
        <v/>
      </c>
      <c r="U1538">
        <f>N1538-G1538*LTP3!$D$4/k_n</f>
        <v/>
      </c>
      <c r="V1538">
        <f>O1538-H1538*LTP3!$D$4/k_n</f>
        <v/>
      </c>
      <c r="W1538">
        <f>((LTP3!$D$5)*((P1538)*(Q1538)-(R1538)*(R1538))-(S1538)*((S1538)*(Q1538)-(R1538)*(T1538))+(T1538)*((S1538)*(R1538)-(P1538)*(T1538)))</f>
        <v/>
      </c>
      <c r="X1538">
        <f>IF(ABS(W1538)&gt;1E-12,((LTP3!$D$6)*((P1538)*(Q1538)-(R1538)*(R1538))-(S1538)*((U1538)*(Q1538)-(R1538)*(V1538))+(T1538)*((U1538)*(R1538)-(P1538)*(V1538)))/W1538,0)</f>
        <v/>
      </c>
      <c r="Y1538">
        <f>IF(ABS(W1538)&gt;1E-12,((LTP3!$D$5)*((U1538)*(Q1538)-(R1538)*(V1538))-(LTP3!$D$6)*((S1538)*(Q1538)-(R1538)*(T1538))+(T1538)*((S1538)*(V1538)-(U1538)*(T1538)))/W1538,0)</f>
        <v/>
      </c>
      <c r="Z1538">
        <f>IF(ABS(W1538)&gt;1E-12,((LTP3!$D$5)*((P1538)*(V1538)-(U1538)*(R1538))-(S1538)*((S1538)*(V1538)-(U1538)*(T1538))+(LTP3!$D$6)*((S1538)*(R1538)-(P1538)*(T1538)))/W1538,0)</f>
        <v/>
      </c>
      <c r="AA1538">
        <f>LTP3!$D$7-X1538*LTP3!$D$6-Y1538*U1538-Z1538*V1538</f>
        <v/>
      </c>
      <c r="AB1538">
        <f>IF(AND(F1538,ABS(W1538)&gt;1E-12,Y1538&gt;0,Z1538&gt;0),AA1538,1E+300)</f>
        <v/>
      </c>
    </row>
    <row r="1539">
      <c r="A1539">
        <f>$B$3+$B$5*25</f>
        <v/>
      </c>
      <c r="B1539">
        <f>$B$3+$B$5*2</f>
        <v/>
      </c>
      <c r="C1539">
        <f>SUMPRODUCT(Calc!$K$3:$K$22*(Calc!$G$3:$G$22&lt;=A1539))</f>
        <v/>
      </c>
      <c r="D1539">
        <f>SUMPRODUCT(Calc!$K$3:$K$22*(Calc!$G$3:$G$22&gt;A1539)*(Calc!$G$3:$G$22&lt;B1539))</f>
        <v/>
      </c>
      <c r="E1539">
        <f>SUMPRODUCT(Calc!$K$3:$K$22*(Calc!$G$3:$G$22&gt;=B1539))</f>
        <v/>
      </c>
      <c r="F1539">
        <f>AND(k_n&gt;=5,B1539&gt;A1539+1E-9,C1539&gt;=2,D1539&gt;=1,E1539&gt;=2)</f>
        <v/>
      </c>
      <c r="G1539">
        <f>SUMPRODUCT(Calc!$K$3:$K$22*(Calc!$G$3:$G$22&gt;A1539)*(Calc!$G$3:$G$22-A1539))</f>
        <v/>
      </c>
      <c r="H1539">
        <f>SUMPRODUCT(Calc!$K$3:$K$22*(Calc!$G$3:$G$22&gt;B1539)*(Calc!$G$3:$G$22-B1539))</f>
        <v/>
      </c>
      <c r="I1539">
        <f>SUMPRODUCT(Calc!$K$3:$K$22*(Calc!$G$3:$G$22&gt;A1539)*(Calc!$G$3:$G$22-A1539)^2)</f>
        <v/>
      </c>
      <c r="J1539">
        <f>SUMPRODUCT(Calc!$K$3:$K$22*(Calc!$G$3:$G$22&gt;B1539)*(Calc!$G$3:$G$22-B1539)^2)</f>
        <v/>
      </c>
      <c r="K1539">
        <f>SUMPRODUCT(Calc!$K$3:$K$22*(Calc!$G$3:$G$22&gt;A1539)*(Calc!$G$3:$G$22-A1539)*(Calc!$G$3:$G$22&gt;B1539)*(Calc!$G$3:$G$22-B1539))</f>
        <v/>
      </c>
      <c r="L1539">
        <f>SUMPRODUCT(Calc!$K$3:$K$22*(Calc!$G$3:$G$22&gt;A1539)*(Calc!$G$3:$G$22-A1539)*Calc!$G$3:$G$22)</f>
        <v/>
      </c>
      <c r="M1539">
        <f>SUMPRODUCT(Calc!$K$3:$K$22*(Calc!$G$3:$G$22&gt;B1539)*(Calc!$G$3:$G$22-B1539)*Calc!$G$3:$G$22)</f>
        <v/>
      </c>
      <c r="N1539">
        <f>SUMPRODUCT(Calc!$K$3:$K$22*(Calc!$G$3:$G$22&gt;A1539)*(Calc!$G$3:$G$22-A1539)*Calc!$I$3:$I$22)</f>
        <v/>
      </c>
      <c r="O1539">
        <f>SUMPRODUCT(Calc!$K$3:$K$22*(Calc!$G$3:$G$22&gt;B1539)*(Calc!$G$3:$G$22-B1539)*Calc!$I$3:$I$22)</f>
        <v/>
      </c>
      <c r="P1539">
        <f>I1539-G1539^2/k_n</f>
        <v/>
      </c>
      <c r="Q1539">
        <f>J1539-H1539^2/k_n</f>
        <v/>
      </c>
      <c r="R1539">
        <f>K1539-G1539*H1539/k_n</f>
        <v/>
      </c>
      <c r="S1539">
        <f>L1539-LTP3!$D$3*G1539/k_n</f>
        <v/>
      </c>
      <c r="T1539">
        <f>M1539-LTP3!$D$3*H1539/k_n</f>
        <v/>
      </c>
      <c r="U1539">
        <f>N1539-G1539*LTP3!$D$4/k_n</f>
        <v/>
      </c>
      <c r="V1539">
        <f>O1539-H1539*LTP3!$D$4/k_n</f>
        <v/>
      </c>
      <c r="W1539">
        <f>((LTP3!$D$5)*((P1539)*(Q1539)-(R1539)*(R1539))-(S1539)*((S1539)*(Q1539)-(R1539)*(T1539))+(T1539)*((S1539)*(R1539)-(P1539)*(T1539)))</f>
        <v/>
      </c>
      <c r="X1539">
        <f>IF(ABS(W1539)&gt;1E-12,((LTP3!$D$6)*((P1539)*(Q1539)-(R1539)*(R1539))-(S1539)*((U1539)*(Q1539)-(R1539)*(V1539))+(T1539)*((U1539)*(R1539)-(P1539)*(V1539)))/W1539,0)</f>
        <v/>
      </c>
      <c r="Y1539">
        <f>IF(ABS(W1539)&gt;1E-12,((LTP3!$D$5)*((U1539)*(Q1539)-(R1539)*(V1539))-(LTP3!$D$6)*((S1539)*(Q1539)-(R1539)*(T1539))+(T1539)*((S1539)*(V1539)-(U1539)*(T1539)))/W1539,0)</f>
        <v/>
      </c>
      <c r="Z1539">
        <f>IF(ABS(W1539)&gt;1E-12,((LTP3!$D$5)*((P1539)*(V1539)-(U1539)*(R1539))-(S1539)*((S1539)*(V1539)-(U1539)*(T1539))+(LTP3!$D$6)*((S1539)*(R1539)-(P1539)*(T1539)))/W1539,0)</f>
        <v/>
      </c>
      <c r="AA1539">
        <f>LTP3!$D$7-X1539*LTP3!$D$6-Y1539*U1539-Z1539*V1539</f>
        <v/>
      </c>
      <c r="AB1539">
        <f>IF(AND(F1539,ABS(W1539)&gt;1E-12,Y1539&gt;0,Z1539&gt;0),AA1539,1E+300)</f>
        <v/>
      </c>
    </row>
    <row r="1540">
      <c r="A1540">
        <f>$B$3+$B$5*25</f>
        <v/>
      </c>
      <c r="B1540">
        <f>$B$3+$B$5*3</f>
        <v/>
      </c>
      <c r="C1540">
        <f>SUMPRODUCT(Calc!$K$3:$K$22*(Calc!$G$3:$G$22&lt;=A1540))</f>
        <v/>
      </c>
      <c r="D1540">
        <f>SUMPRODUCT(Calc!$K$3:$K$22*(Calc!$G$3:$G$22&gt;A1540)*(Calc!$G$3:$G$22&lt;B1540))</f>
        <v/>
      </c>
      <c r="E1540">
        <f>SUMPRODUCT(Calc!$K$3:$K$22*(Calc!$G$3:$G$22&gt;=B1540))</f>
        <v/>
      </c>
      <c r="F1540">
        <f>AND(k_n&gt;=5,B1540&gt;A1540+1E-9,C1540&gt;=2,D1540&gt;=1,E1540&gt;=2)</f>
        <v/>
      </c>
      <c r="G1540">
        <f>SUMPRODUCT(Calc!$K$3:$K$22*(Calc!$G$3:$G$22&gt;A1540)*(Calc!$G$3:$G$22-A1540))</f>
        <v/>
      </c>
      <c r="H1540">
        <f>SUMPRODUCT(Calc!$K$3:$K$22*(Calc!$G$3:$G$22&gt;B1540)*(Calc!$G$3:$G$22-B1540))</f>
        <v/>
      </c>
      <c r="I1540">
        <f>SUMPRODUCT(Calc!$K$3:$K$22*(Calc!$G$3:$G$22&gt;A1540)*(Calc!$G$3:$G$22-A1540)^2)</f>
        <v/>
      </c>
      <c r="J1540">
        <f>SUMPRODUCT(Calc!$K$3:$K$22*(Calc!$G$3:$G$22&gt;B1540)*(Calc!$G$3:$G$22-B1540)^2)</f>
        <v/>
      </c>
      <c r="K1540">
        <f>SUMPRODUCT(Calc!$K$3:$K$22*(Calc!$G$3:$G$22&gt;A1540)*(Calc!$G$3:$G$22-A1540)*(Calc!$G$3:$G$22&gt;B1540)*(Calc!$G$3:$G$22-B1540))</f>
        <v/>
      </c>
      <c r="L1540">
        <f>SUMPRODUCT(Calc!$K$3:$K$22*(Calc!$G$3:$G$22&gt;A1540)*(Calc!$G$3:$G$22-A1540)*Calc!$G$3:$G$22)</f>
        <v/>
      </c>
      <c r="M1540">
        <f>SUMPRODUCT(Calc!$K$3:$K$22*(Calc!$G$3:$G$22&gt;B1540)*(Calc!$G$3:$G$22-B1540)*Calc!$G$3:$G$22)</f>
        <v/>
      </c>
      <c r="N1540">
        <f>SUMPRODUCT(Calc!$K$3:$K$22*(Calc!$G$3:$G$22&gt;A1540)*(Calc!$G$3:$G$22-A1540)*Calc!$I$3:$I$22)</f>
        <v/>
      </c>
      <c r="O1540">
        <f>SUMPRODUCT(Calc!$K$3:$K$22*(Calc!$G$3:$G$22&gt;B1540)*(Calc!$G$3:$G$22-B1540)*Calc!$I$3:$I$22)</f>
        <v/>
      </c>
      <c r="P1540">
        <f>I1540-G1540^2/k_n</f>
        <v/>
      </c>
      <c r="Q1540">
        <f>J1540-H1540^2/k_n</f>
        <v/>
      </c>
      <c r="R1540">
        <f>K1540-G1540*H1540/k_n</f>
        <v/>
      </c>
      <c r="S1540">
        <f>L1540-LTP3!$D$3*G1540/k_n</f>
        <v/>
      </c>
      <c r="T1540">
        <f>M1540-LTP3!$D$3*H1540/k_n</f>
        <v/>
      </c>
      <c r="U1540">
        <f>N1540-G1540*LTP3!$D$4/k_n</f>
        <v/>
      </c>
      <c r="V1540">
        <f>O1540-H1540*LTP3!$D$4/k_n</f>
        <v/>
      </c>
      <c r="W1540">
        <f>((LTP3!$D$5)*((P1540)*(Q1540)-(R1540)*(R1540))-(S1540)*((S1540)*(Q1540)-(R1540)*(T1540))+(T1540)*((S1540)*(R1540)-(P1540)*(T1540)))</f>
        <v/>
      </c>
      <c r="X1540">
        <f>IF(ABS(W1540)&gt;1E-12,((LTP3!$D$6)*((P1540)*(Q1540)-(R1540)*(R1540))-(S1540)*((U1540)*(Q1540)-(R1540)*(V1540))+(T1540)*((U1540)*(R1540)-(P1540)*(V1540)))/W1540,0)</f>
        <v/>
      </c>
      <c r="Y1540">
        <f>IF(ABS(W1540)&gt;1E-12,((LTP3!$D$5)*((U1540)*(Q1540)-(R1540)*(V1540))-(LTP3!$D$6)*((S1540)*(Q1540)-(R1540)*(T1540))+(T1540)*((S1540)*(V1540)-(U1540)*(T1540)))/W1540,0)</f>
        <v/>
      </c>
      <c r="Z1540">
        <f>IF(ABS(W1540)&gt;1E-12,((LTP3!$D$5)*((P1540)*(V1540)-(U1540)*(R1540))-(S1540)*((S1540)*(V1540)-(U1540)*(T1540))+(LTP3!$D$6)*((S1540)*(R1540)-(P1540)*(T1540)))/W1540,0)</f>
        <v/>
      </c>
      <c r="AA1540">
        <f>LTP3!$D$7-X1540*LTP3!$D$6-Y1540*U1540-Z1540*V1540</f>
        <v/>
      </c>
      <c r="AB1540">
        <f>IF(AND(F1540,ABS(W1540)&gt;1E-12,Y1540&gt;0,Z1540&gt;0),AA1540,1E+300)</f>
        <v/>
      </c>
    </row>
    <row r="1541">
      <c r="A1541">
        <f>$B$3+$B$5*25</f>
        <v/>
      </c>
      <c r="B1541">
        <f>$B$3+$B$5*4</f>
        <v/>
      </c>
      <c r="C1541">
        <f>SUMPRODUCT(Calc!$K$3:$K$22*(Calc!$G$3:$G$22&lt;=A1541))</f>
        <v/>
      </c>
      <c r="D1541">
        <f>SUMPRODUCT(Calc!$K$3:$K$22*(Calc!$G$3:$G$22&gt;A1541)*(Calc!$G$3:$G$22&lt;B1541))</f>
        <v/>
      </c>
      <c r="E1541">
        <f>SUMPRODUCT(Calc!$K$3:$K$22*(Calc!$G$3:$G$22&gt;=B1541))</f>
        <v/>
      </c>
      <c r="F1541">
        <f>AND(k_n&gt;=5,B1541&gt;A1541+1E-9,C1541&gt;=2,D1541&gt;=1,E1541&gt;=2)</f>
        <v/>
      </c>
      <c r="G1541">
        <f>SUMPRODUCT(Calc!$K$3:$K$22*(Calc!$G$3:$G$22&gt;A1541)*(Calc!$G$3:$G$22-A1541))</f>
        <v/>
      </c>
      <c r="H1541">
        <f>SUMPRODUCT(Calc!$K$3:$K$22*(Calc!$G$3:$G$22&gt;B1541)*(Calc!$G$3:$G$22-B1541))</f>
        <v/>
      </c>
      <c r="I1541">
        <f>SUMPRODUCT(Calc!$K$3:$K$22*(Calc!$G$3:$G$22&gt;A1541)*(Calc!$G$3:$G$22-A1541)^2)</f>
        <v/>
      </c>
      <c r="J1541">
        <f>SUMPRODUCT(Calc!$K$3:$K$22*(Calc!$G$3:$G$22&gt;B1541)*(Calc!$G$3:$G$22-B1541)^2)</f>
        <v/>
      </c>
      <c r="K1541">
        <f>SUMPRODUCT(Calc!$K$3:$K$22*(Calc!$G$3:$G$22&gt;A1541)*(Calc!$G$3:$G$22-A1541)*(Calc!$G$3:$G$22&gt;B1541)*(Calc!$G$3:$G$22-B1541))</f>
        <v/>
      </c>
      <c r="L1541">
        <f>SUMPRODUCT(Calc!$K$3:$K$22*(Calc!$G$3:$G$22&gt;A1541)*(Calc!$G$3:$G$22-A1541)*Calc!$G$3:$G$22)</f>
        <v/>
      </c>
      <c r="M1541">
        <f>SUMPRODUCT(Calc!$K$3:$K$22*(Calc!$G$3:$G$22&gt;B1541)*(Calc!$G$3:$G$22-B1541)*Calc!$G$3:$G$22)</f>
        <v/>
      </c>
      <c r="N1541">
        <f>SUMPRODUCT(Calc!$K$3:$K$22*(Calc!$G$3:$G$22&gt;A1541)*(Calc!$G$3:$G$22-A1541)*Calc!$I$3:$I$22)</f>
        <v/>
      </c>
      <c r="O1541">
        <f>SUMPRODUCT(Calc!$K$3:$K$22*(Calc!$G$3:$G$22&gt;B1541)*(Calc!$G$3:$G$22-B1541)*Calc!$I$3:$I$22)</f>
        <v/>
      </c>
      <c r="P1541">
        <f>I1541-G1541^2/k_n</f>
        <v/>
      </c>
      <c r="Q1541">
        <f>J1541-H1541^2/k_n</f>
        <v/>
      </c>
      <c r="R1541">
        <f>K1541-G1541*H1541/k_n</f>
        <v/>
      </c>
      <c r="S1541">
        <f>L1541-LTP3!$D$3*G1541/k_n</f>
        <v/>
      </c>
      <c r="T1541">
        <f>M1541-LTP3!$D$3*H1541/k_n</f>
        <v/>
      </c>
      <c r="U1541">
        <f>N1541-G1541*LTP3!$D$4/k_n</f>
        <v/>
      </c>
      <c r="V1541">
        <f>O1541-H1541*LTP3!$D$4/k_n</f>
        <v/>
      </c>
      <c r="W1541">
        <f>((LTP3!$D$5)*((P1541)*(Q1541)-(R1541)*(R1541))-(S1541)*((S1541)*(Q1541)-(R1541)*(T1541))+(T1541)*((S1541)*(R1541)-(P1541)*(T1541)))</f>
        <v/>
      </c>
      <c r="X1541">
        <f>IF(ABS(W1541)&gt;1E-12,((LTP3!$D$6)*((P1541)*(Q1541)-(R1541)*(R1541))-(S1541)*((U1541)*(Q1541)-(R1541)*(V1541))+(T1541)*((U1541)*(R1541)-(P1541)*(V1541)))/W1541,0)</f>
        <v/>
      </c>
      <c r="Y1541">
        <f>IF(ABS(W1541)&gt;1E-12,((LTP3!$D$5)*((U1541)*(Q1541)-(R1541)*(V1541))-(LTP3!$D$6)*((S1541)*(Q1541)-(R1541)*(T1541))+(T1541)*((S1541)*(V1541)-(U1541)*(T1541)))/W1541,0)</f>
        <v/>
      </c>
      <c r="Z1541">
        <f>IF(ABS(W1541)&gt;1E-12,((LTP3!$D$5)*((P1541)*(V1541)-(U1541)*(R1541))-(S1541)*((S1541)*(V1541)-(U1541)*(T1541))+(LTP3!$D$6)*((S1541)*(R1541)-(P1541)*(T1541)))/W1541,0)</f>
        <v/>
      </c>
      <c r="AA1541">
        <f>LTP3!$D$7-X1541*LTP3!$D$6-Y1541*U1541-Z1541*V1541</f>
        <v/>
      </c>
      <c r="AB1541">
        <f>IF(AND(F1541,ABS(W1541)&gt;1E-12,Y1541&gt;0,Z1541&gt;0),AA1541,1E+300)</f>
        <v/>
      </c>
    </row>
    <row r="1542">
      <c r="A1542">
        <f>$B$3+$B$5*25</f>
        <v/>
      </c>
      <c r="B1542">
        <f>$B$3+$B$5*5</f>
        <v/>
      </c>
      <c r="C1542">
        <f>SUMPRODUCT(Calc!$K$3:$K$22*(Calc!$G$3:$G$22&lt;=A1542))</f>
        <v/>
      </c>
      <c r="D1542">
        <f>SUMPRODUCT(Calc!$K$3:$K$22*(Calc!$G$3:$G$22&gt;A1542)*(Calc!$G$3:$G$22&lt;B1542))</f>
        <v/>
      </c>
      <c r="E1542">
        <f>SUMPRODUCT(Calc!$K$3:$K$22*(Calc!$G$3:$G$22&gt;=B1542))</f>
        <v/>
      </c>
      <c r="F1542">
        <f>AND(k_n&gt;=5,B1542&gt;A1542+1E-9,C1542&gt;=2,D1542&gt;=1,E1542&gt;=2)</f>
        <v/>
      </c>
      <c r="G1542">
        <f>SUMPRODUCT(Calc!$K$3:$K$22*(Calc!$G$3:$G$22&gt;A1542)*(Calc!$G$3:$G$22-A1542))</f>
        <v/>
      </c>
      <c r="H1542">
        <f>SUMPRODUCT(Calc!$K$3:$K$22*(Calc!$G$3:$G$22&gt;B1542)*(Calc!$G$3:$G$22-B1542))</f>
        <v/>
      </c>
      <c r="I1542">
        <f>SUMPRODUCT(Calc!$K$3:$K$22*(Calc!$G$3:$G$22&gt;A1542)*(Calc!$G$3:$G$22-A1542)^2)</f>
        <v/>
      </c>
      <c r="J1542">
        <f>SUMPRODUCT(Calc!$K$3:$K$22*(Calc!$G$3:$G$22&gt;B1542)*(Calc!$G$3:$G$22-B1542)^2)</f>
        <v/>
      </c>
      <c r="K1542">
        <f>SUMPRODUCT(Calc!$K$3:$K$22*(Calc!$G$3:$G$22&gt;A1542)*(Calc!$G$3:$G$22-A1542)*(Calc!$G$3:$G$22&gt;B1542)*(Calc!$G$3:$G$22-B1542))</f>
        <v/>
      </c>
      <c r="L1542">
        <f>SUMPRODUCT(Calc!$K$3:$K$22*(Calc!$G$3:$G$22&gt;A1542)*(Calc!$G$3:$G$22-A1542)*Calc!$G$3:$G$22)</f>
        <v/>
      </c>
      <c r="M1542">
        <f>SUMPRODUCT(Calc!$K$3:$K$22*(Calc!$G$3:$G$22&gt;B1542)*(Calc!$G$3:$G$22-B1542)*Calc!$G$3:$G$22)</f>
        <v/>
      </c>
      <c r="N1542">
        <f>SUMPRODUCT(Calc!$K$3:$K$22*(Calc!$G$3:$G$22&gt;A1542)*(Calc!$G$3:$G$22-A1542)*Calc!$I$3:$I$22)</f>
        <v/>
      </c>
      <c r="O1542">
        <f>SUMPRODUCT(Calc!$K$3:$K$22*(Calc!$G$3:$G$22&gt;B1542)*(Calc!$G$3:$G$22-B1542)*Calc!$I$3:$I$22)</f>
        <v/>
      </c>
      <c r="P1542">
        <f>I1542-G1542^2/k_n</f>
        <v/>
      </c>
      <c r="Q1542">
        <f>J1542-H1542^2/k_n</f>
        <v/>
      </c>
      <c r="R1542">
        <f>K1542-G1542*H1542/k_n</f>
        <v/>
      </c>
      <c r="S1542">
        <f>L1542-LTP3!$D$3*G1542/k_n</f>
        <v/>
      </c>
      <c r="T1542">
        <f>M1542-LTP3!$D$3*H1542/k_n</f>
        <v/>
      </c>
      <c r="U1542">
        <f>N1542-G1542*LTP3!$D$4/k_n</f>
        <v/>
      </c>
      <c r="V1542">
        <f>O1542-H1542*LTP3!$D$4/k_n</f>
        <v/>
      </c>
      <c r="W1542">
        <f>((LTP3!$D$5)*((P1542)*(Q1542)-(R1542)*(R1542))-(S1542)*((S1542)*(Q1542)-(R1542)*(T1542))+(T1542)*((S1542)*(R1542)-(P1542)*(T1542)))</f>
        <v/>
      </c>
      <c r="X1542">
        <f>IF(ABS(W1542)&gt;1E-12,((LTP3!$D$6)*((P1542)*(Q1542)-(R1542)*(R1542))-(S1542)*((U1542)*(Q1542)-(R1542)*(V1542))+(T1542)*((U1542)*(R1542)-(P1542)*(V1542)))/W1542,0)</f>
        <v/>
      </c>
      <c r="Y1542">
        <f>IF(ABS(W1542)&gt;1E-12,((LTP3!$D$5)*((U1542)*(Q1542)-(R1542)*(V1542))-(LTP3!$D$6)*((S1542)*(Q1542)-(R1542)*(T1542))+(T1542)*((S1542)*(V1542)-(U1542)*(T1542)))/W1542,0)</f>
        <v/>
      </c>
      <c r="Z1542">
        <f>IF(ABS(W1542)&gt;1E-12,((LTP3!$D$5)*((P1542)*(V1542)-(U1542)*(R1542))-(S1542)*((S1542)*(V1542)-(U1542)*(T1542))+(LTP3!$D$6)*((S1542)*(R1542)-(P1542)*(T1542)))/W1542,0)</f>
        <v/>
      </c>
      <c r="AA1542">
        <f>LTP3!$D$7-X1542*LTP3!$D$6-Y1542*U1542-Z1542*V1542</f>
        <v/>
      </c>
      <c r="AB1542">
        <f>IF(AND(F1542,ABS(W1542)&gt;1E-12,Y1542&gt;0,Z1542&gt;0),AA1542,1E+300)</f>
        <v/>
      </c>
    </row>
    <row r="1543">
      <c r="A1543">
        <f>$B$3+$B$5*25</f>
        <v/>
      </c>
      <c r="B1543">
        <f>$B$3+$B$5*6</f>
        <v/>
      </c>
      <c r="C1543">
        <f>SUMPRODUCT(Calc!$K$3:$K$22*(Calc!$G$3:$G$22&lt;=A1543))</f>
        <v/>
      </c>
      <c r="D1543">
        <f>SUMPRODUCT(Calc!$K$3:$K$22*(Calc!$G$3:$G$22&gt;A1543)*(Calc!$G$3:$G$22&lt;B1543))</f>
        <v/>
      </c>
      <c r="E1543">
        <f>SUMPRODUCT(Calc!$K$3:$K$22*(Calc!$G$3:$G$22&gt;=B1543))</f>
        <v/>
      </c>
      <c r="F1543">
        <f>AND(k_n&gt;=5,B1543&gt;A1543+1E-9,C1543&gt;=2,D1543&gt;=1,E1543&gt;=2)</f>
        <v/>
      </c>
      <c r="G1543">
        <f>SUMPRODUCT(Calc!$K$3:$K$22*(Calc!$G$3:$G$22&gt;A1543)*(Calc!$G$3:$G$22-A1543))</f>
        <v/>
      </c>
      <c r="H1543">
        <f>SUMPRODUCT(Calc!$K$3:$K$22*(Calc!$G$3:$G$22&gt;B1543)*(Calc!$G$3:$G$22-B1543))</f>
        <v/>
      </c>
      <c r="I1543">
        <f>SUMPRODUCT(Calc!$K$3:$K$22*(Calc!$G$3:$G$22&gt;A1543)*(Calc!$G$3:$G$22-A1543)^2)</f>
        <v/>
      </c>
      <c r="J1543">
        <f>SUMPRODUCT(Calc!$K$3:$K$22*(Calc!$G$3:$G$22&gt;B1543)*(Calc!$G$3:$G$22-B1543)^2)</f>
        <v/>
      </c>
      <c r="K1543">
        <f>SUMPRODUCT(Calc!$K$3:$K$22*(Calc!$G$3:$G$22&gt;A1543)*(Calc!$G$3:$G$22-A1543)*(Calc!$G$3:$G$22&gt;B1543)*(Calc!$G$3:$G$22-B1543))</f>
        <v/>
      </c>
      <c r="L1543">
        <f>SUMPRODUCT(Calc!$K$3:$K$22*(Calc!$G$3:$G$22&gt;A1543)*(Calc!$G$3:$G$22-A1543)*Calc!$G$3:$G$22)</f>
        <v/>
      </c>
      <c r="M1543">
        <f>SUMPRODUCT(Calc!$K$3:$K$22*(Calc!$G$3:$G$22&gt;B1543)*(Calc!$G$3:$G$22-B1543)*Calc!$G$3:$G$22)</f>
        <v/>
      </c>
      <c r="N1543">
        <f>SUMPRODUCT(Calc!$K$3:$K$22*(Calc!$G$3:$G$22&gt;A1543)*(Calc!$G$3:$G$22-A1543)*Calc!$I$3:$I$22)</f>
        <v/>
      </c>
      <c r="O1543">
        <f>SUMPRODUCT(Calc!$K$3:$K$22*(Calc!$G$3:$G$22&gt;B1543)*(Calc!$G$3:$G$22-B1543)*Calc!$I$3:$I$22)</f>
        <v/>
      </c>
      <c r="P1543">
        <f>I1543-G1543^2/k_n</f>
        <v/>
      </c>
      <c r="Q1543">
        <f>J1543-H1543^2/k_n</f>
        <v/>
      </c>
      <c r="R1543">
        <f>K1543-G1543*H1543/k_n</f>
        <v/>
      </c>
      <c r="S1543">
        <f>L1543-LTP3!$D$3*G1543/k_n</f>
        <v/>
      </c>
      <c r="T1543">
        <f>M1543-LTP3!$D$3*H1543/k_n</f>
        <v/>
      </c>
      <c r="U1543">
        <f>N1543-G1543*LTP3!$D$4/k_n</f>
        <v/>
      </c>
      <c r="V1543">
        <f>O1543-H1543*LTP3!$D$4/k_n</f>
        <v/>
      </c>
      <c r="W1543">
        <f>((LTP3!$D$5)*((P1543)*(Q1543)-(R1543)*(R1543))-(S1543)*((S1543)*(Q1543)-(R1543)*(T1543))+(T1543)*((S1543)*(R1543)-(P1543)*(T1543)))</f>
        <v/>
      </c>
      <c r="X1543">
        <f>IF(ABS(W1543)&gt;1E-12,((LTP3!$D$6)*((P1543)*(Q1543)-(R1543)*(R1543))-(S1543)*((U1543)*(Q1543)-(R1543)*(V1543))+(T1543)*((U1543)*(R1543)-(P1543)*(V1543)))/W1543,0)</f>
        <v/>
      </c>
      <c r="Y1543">
        <f>IF(ABS(W1543)&gt;1E-12,((LTP3!$D$5)*((U1543)*(Q1543)-(R1543)*(V1543))-(LTP3!$D$6)*((S1543)*(Q1543)-(R1543)*(T1543))+(T1543)*((S1543)*(V1543)-(U1543)*(T1543)))/W1543,0)</f>
        <v/>
      </c>
      <c r="Z1543">
        <f>IF(ABS(W1543)&gt;1E-12,((LTP3!$D$5)*((P1543)*(V1543)-(U1543)*(R1543))-(S1543)*((S1543)*(V1543)-(U1543)*(T1543))+(LTP3!$D$6)*((S1543)*(R1543)-(P1543)*(T1543)))/W1543,0)</f>
        <v/>
      </c>
      <c r="AA1543">
        <f>LTP3!$D$7-X1543*LTP3!$D$6-Y1543*U1543-Z1543*V1543</f>
        <v/>
      </c>
      <c r="AB1543">
        <f>IF(AND(F1543,ABS(W1543)&gt;1E-12,Y1543&gt;0,Z1543&gt;0),AA1543,1E+300)</f>
        <v/>
      </c>
    </row>
    <row r="1544">
      <c r="A1544">
        <f>$B$3+$B$5*25</f>
        <v/>
      </c>
      <c r="B1544">
        <f>$B$3+$B$5*7</f>
        <v/>
      </c>
      <c r="C1544">
        <f>SUMPRODUCT(Calc!$K$3:$K$22*(Calc!$G$3:$G$22&lt;=A1544))</f>
        <v/>
      </c>
      <c r="D1544">
        <f>SUMPRODUCT(Calc!$K$3:$K$22*(Calc!$G$3:$G$22&gt;A1544)*(Calc!$G$3:$G$22&lt;B1544))</f>
        <v/>
      </c>
      <c r="E1544">
        <f>SUMPRODUCT(Calc!$K$3:$K$22*(Calc!$G$3:$G$22&gt;=B1544))</f>
        <v/>
      </c>
      <c r="F1544">
        <f>AND(k_n&gt;=5,B1544&gt;A1544+1E-9,C1544&gt;=2,D1544&gt;=1,E1544&gt;=2)</f>
        <v/>
      </c>
      <c r="G1544">
        <f>SUMPRODUCT(Calc!$K$3:$K$22*(Calc!$G$3:$G$22&gt;A1544)*(Calc!$G$3:$G$22-A1544))</f>
        <v/>
      </c>
      <c r="H1544">
        <f>SUMPRODUCT(Calc!$K$3:$K$22*(Calc!$G$3:$G$22&gt;B1544)*(Calc!$G$3:$G$22-B1544))</f>
        <v/>
      </c>
      <c r="I1544">
        <f>SUMPRODUCT(Calc!$K$3:$K$22*(Calc!$G$3:$G$22&gt;A1544)*(Calc!$G$3:$G$22-A1544)^2)</f>
        <v/>
      </c>
      <c r="J1544">
        <f>SUMPRODUCT(Calc!$K$3:$K$22*(Calc!$G$3:$G$22&gt;B1544)*(Calc!$G$3:$G$22-B1544)^2)</f>
        <v/>
      </c>
      <c r="K1544">
        <f>SUMPRODUCT(Calc!$K$3:$K$22*(Calc!$G$3:$G$22&gt;A1544)*(Calc!$G$3:$G$22-A1544)*(Calc!$G$3:$G$22&gt;B1544)*(Calc!$G$3:$G$22-B1544))</f>
        <v/>
      </c>
      <c r="L1544">
        <f>SUMPRODUCT(Calc!$K$3:$K$22*(Calc!$G$3:$G$22&gt;A1544)*(Calc!$G$3:$G$22-A1544)*Calc!$G$3:$G$22)</f>
        <v/>
      </c>
      <c r="M1544">
        <f>SUMPRODUCT(Calc!$K$3:$K$22*(Calc!$G$3:$G$22&gt;B1544)*(Calc!$G$3:$G$22-B1544)*Calc!$G$3:$G$22)</f>
        <v/>
      </c>
      <c r="N1544">
        <f>SUMPRODUCT(Calc!$K$3:$K$22*(Calc!$G$3:$G$22&gt;A1544)*(Calc!$G$3:$G$22-A1544)*Calc!$I$3:$I$22)</f>
        <v/>
      </c>
      <c r="O1544">
        <f>SUMPRODUCT(Calc!$K$3:$K$22*(Calc!$G$3:$G$22&gt;B1544)*(Calc!$G$3:$G$22-B1544)*Calc!$I$3:$I$22)</f>
        <v/>
      </c>
      <c r="P1544">
        <f>I1544-G1544^2/k_n</f>
        <v/>
      </c>
      <c r="Q1544">
        <f>J1544-H1544^2/k_n</f>
        <v/>
      </c>
      <c r="R1544">
        <f>K1544-G1544*H1544/k_n</f>
        <v/>
      </c>
      <c r="S1544">
        <f>L1544-LTP3!$D$3*G1544/k_n</f>
        <v/>
      </c>
      <c r="T1544">
        <f>M1544-LTP3!$D$3*H1544/k_n</f>
        <v/>
      </c>
      <c r="U1544">
        <f>N1544-G1544*LTP3!$D$4/k_n</f>
        <v/>
      </c>
      <c r="V1544">
        <f>O1544-H1544*LTP3!$D$4/k_n</f>
        <v/>
      </c>
      <c r="W1544">
        <f>((LTP3!$D$5)*((P1544)*(Q1544)-(R1544)*(R1544))-(S1544)*((S1544)*(Q1544)-(R1544)*(T1544))+(T1544)*((S1544)*(R1544)-(P1544)*(T1544)))</f>
        <v/>
      </c>
      <c r="X1544">
        <f>IF(ABS(W1544)&gt;1E-12,((LTP3!$D$6)*((P1544)*(Q1544)-(R1544)*(R1544))-(S1544)*((U1544)*(Q1544)-(R1544)*(V1544))+(T1544)*((U1544)*(R1544)-(P1544)*(V1544)))/W1544,0)</f>
        <v/>
      </c>
      <c r="Y1544">
        <f>IF(ABS(W1544)&gt;1E-12,((LTP3!$D$5)*((U1544)*(Q1544)-(R1544)*(V1544))-(LTP3!$D$6)*((S1544)*(Q1544)-(R1544)*(T1544))+(T1544)*((S1544)*(V1544)-(U1544)*(T1544)))/W1544,0)</f>
        <v/>
      </c>
      <c r="Z1544">
        <f>IF(ABS(W1544)&gt;1E-12,((LTP3!$D$5)*((P1544)*(V1544)-(U1544)*(R1544))-(S1544)*((S1544)*(V1544)-(U1544)*(T1544))+(LTP3!$D$6)*((S1544)*(R1544)-(P1544)*(T1544)))/W1544,0)</f>
        <v/>
      </c>
      <c r="AA1544">
        <f>LTP3!$D$7-X1544*LTP3!$D$6-Y1544*U1544-Z1544*V1544</f>
        <v/>
      </c>
      <c r="AB1544">
        <f>IF(AND(F1544,ABS(W1544)&gt;1E-12,Y1544&gt;0,Z1544&gt;0),AA1544,1E+300)</f>
        <v/>
      </c>
    </row>
    <row r="1545">
      <c r="A1545">
        <f>$B$3+$B$5*25</f>
        <v/>
      </c>
      <c r="B1545">
        <f>$B$3+$B$5*8</f>
        <v/>
      </c>
      <c r="C1545">
        <f>SUMPRODUCT(Calc!$K$3:$K$22*(Calc!$G$3:$G$22&lt;=A1545))</f>
        <v/>
      </c>
      <c r="D1545">
        <f>SUMPRODUCT(Calc!$K$3:$K$22*(Calc!$G$3:$G$22&gt;A1545)*(Calc!$G$3:$G$22&lt;B1545))</f>
        <v/>
      </c>
      <c r="E1545">
        <f>SUMPRODUCT(Calc!$K$3:$K$22*(Calc!$G$3:$G$22&gt;=B1545))</f>
        <v/>
      </c>
      <c r="F1545">
        <f>AND(k_n&gt;=5,B1545&gt;A1545+1E-9,C1545&gt;=2,D1545&gt;=1,E1545&gt;=2)</f>
        <v/>
      </c>
      <c r="G1545">
        <f>SUMPRODUCT(Calc!$K$3:$K$22*(Calc!$G$3:$G$22&gt;A1545)*(Calc!$G$3:$G$22-A1545))</f>
        <v/>
      </c>
      <c r="H1545">
        <f>SUMPRODUCT(Calc!$K$3:$K$22*(Calc!$G$3:$G$22&gt;B1545)*(Calc!$G$3:$G$22-B1545))</f>
        <v/>
      </c>
      <c r="I1545">
        <f>SUMPRODUCT(Calc!$K$3:$K$22*(Calc!$G$3:$G$22&gt;A1545)*(Calc!$G$3:$G$22-A1545)^2)</f>
        <v/>
      </c>
      <c r="J1545">
        <f>SUMPRODUCT(Calc!$K$3:$K$22*(Calc!$G$3:$G$22&gt;B1545)*(Calc!$G$3:$G$22-B1545)^2)</f>
        <v/>
      </c>
      <c r="K1545">
        <f>SUMPRODUCT(Calc!$K$3:$K$22*(Calc!$G$3:$G$22&gt;A1545)*(Calc!$G$3:$G$22-A1545)*(Calc!$G$3:$G$22&gt;B1545)*(Calc!$G$3:$G$22-B1545))</f>
        <v/>
      </c>
      <c r="L1545">
        <f>SUMPRODUCT(Calc!$K$3:$K$22*(Calc!$G$3:$G$22&gt;A1545)*(Calc!$G$3:$G$22-A1545)*Calc!$G$3:$G$22)</f>
        <v/>
      </c>
      <c r="M1545">
        <f>SUMPRODUCT(Calc!$K$3:$K$22*(Calc!$G$3:$G$22&gt;B1545)*(Calc!$G$3:$G$22-B1545)*Calc!$G$3:$G$22)</f>
        <v/>
      </c>
      <c r="N1545">
        <f>SUMPRODUCT(Calc!$K$3:$K$22*(Calc!$G$3:$G$22&gt;A1545)*(Calc!$G$3:$G$22-A1545)*Calc!$I$3:$I$22)</f>
        <v/>
      </c>
      <c r="O1545">
        <f>SUMPRODUCT(Calc!$K$3:$K$22*(Calc!$G$3:$G$22&gt;B1545)*(Calc!$G$3:$G$22-B1545)*Calc!$I$3:$I$22)</f>
        <v/>
      </c>
      <c r="P1545">
        <f>I1545-G1545^2/k_n</f>
        <v/>
      </c>
      <c r="Q1545">
        <f>J1545-H1545^2/k_n</f>
        <v/>
      </c>
      <c r="R1545">
        <f>K1545-G1545*H1545/k_n</f>
        <v/>
      </c>
      <c r="S1545">
        <f>L1545-LTP3!$D$3*G1545/k_n</f>
        <v/>
      </c>
      <c r="T1545">
        <f>M1545-LTP3!$D$3*H1545/k_n</f>
        <v/>
      </c>
      <c r="U1545">
        <f>N1545-G1545*LTP3!$D$4/k_n</f>
        <v/>
      </c>
      <c r="V1545">
        <f>O1545-H1545*LTP3!$D$4/k_n</f>
        <v/>
      </c>
      <c r="W1545">
        <f>((LTP3!$D$5)*((P1545)*(Q1545)-(R1545)*(R1545))-(S1545)*((S1545)*(Q1545)-(R1545)*(T1545))+(T1545)*((S1545)*(R1545)-(P1545)*(T1545)))</f>
        <v/>
      </c>
      <c r="X1545">
        <f>IF(ABS(W1545)&gt;1E-12,((LTP3!$D$6)*((P1545)*(Q1545)-(R1545)*(R1545))-(S1545)*((U1545)*(Q1545)-(R1545)*(V1545))+(T1545)*((U1545)*(R1545)-(P1545)*(V1545)))/W1545,0)</f>
        <v/>
      </c>
      <c r="Y1545">
        <f>IF(ABS(W1545)&gt;1E-12,((LTP3!$D$5)*((U1545)*(Q1545)-(R1545)*(V1545))-(LTP3!$D$6)*((S1545)*(Q1545)-(R1545)*(T1545))+(T1545)*((S1545)*(V1545)-(U1545)*(T1545)))/W1545,0)</f>
        <v/>
      </c>
      <c r="Z1545">
        <f>IF(ABS(W1545)&gt;1E-12,((LTP3!$D$5)*((P1545)*(V1545)-(U1545)*(R1545))-(S1545)*((S1545)*(V1545)-(U1545)*(T1545))+(LTP3!$D$6)*((S1545)*(R1545)-(P1545)*(T1545)))/W1545,0)</f>
        <v/>
      </c>
      <c r="AA1545">
        <f>LTP3!$D$7-X1545*LTP3!$D$6-Y1545*U1545-Z1545*V1545</f>
        <v/>
      </c>
      <c r="AB1545">
        <f>IF(AND(F1545,ABS(W1545)&gt;1E-12,Y1545&gt;0,Z1545&gt;0),AA1545,1E+300)</f>
        <v/>
      </c>
    </row>
    <row r="1546">
      <c r="A1546">
        <f>$B$3+$B$5*25</f>
        <v/>
      </c>
      <c r="B1546">
        <f>$B$3+$B$5*9</f>
        <v/>
      </c>
      <c r="C1546">
        <f>SUMPRODUCT(Calc!$K$3:$K$22*(Calc!$G$3:$G$22&lt;=A1546))</f>
        <v/>
      </c>
      <c r="D1546">
        <f>SUMPRODUCT(Calc!$K$3:$K$22*(Calc!$G$3:$G$22&gt;A1546)*(Calc!$G$3:$G$22&lt;B1546))</f>
        <v/>
      </c>
      <c r="E1546">
        <f>SUMPRODUCT(Calc!$K$3:$K$22*(Calc!$G$3:$G$22&gt;=B1546))</f>
        <v/>
      </c>
      <c r="F1546">
        <f>AND(k_n&gt;=5,B1546&gt;A1546+1E-9,C1546&gt;=2,D1546&gt;=1,E1546&gt;=2)</f>
        <v/>
      </c>
      <c r="G1546">
        <f>SUMPRODUCT(Calc!$K$3:$K$22*(Calc!$G$3:$G$22&gt;A1546)*(Calc!$G$3:$G$22-A1546))</f>
        <v/>
      </c>
      <c r="H1546">
        <f>SUMPRODUCT(Calc!$K$3:$K$22*(Calc!$G$3:$G$22&gt;B1546)*(Calc!$G$3:$G$22-B1546))</f>
        <v/>
      </c>
      <c r="I1546">
        <f>SUMPRODUCT(Calc!$K$3:$K$22*(Calc!$G$3:$G$22&gt;A1546)*(Calc!$G$3:$G$22-A1546)^2)</f>
        <v/>
      </c>
      <c r="J1546">
        <f>SUMPRODUCT(Calc!$K$3:$K$22*(Calc!$G$3:$G$22&gt;B1546)*(Calc!$G$3:$G$22-B1546)^2)</f>
        <v/>
      </c>
      <c r="K1546">
        <f>SUMPRODUCT(Calc!$K$3:$K$22*(Calc!$G$3:$G$22&gt;A1546)*(Calc!$G$3:$G$22-A1546)*(Calc!$G$3:$G$22&gt;B1546)*(Calc!$G$3:$G$22-B1546))</f>
        <v/>
      </c>
      <c r="L1546">
        <f>SUMPRODUCT(Calc!$K$3:$K$22*(Calc!$G$3:$G$22&gt;A1546)*(Calc!$G$3:$G$22-A1546)*Calc!$G$3:$G$22)</f>
        <v/>
      </c>
      <c r="M1546">
        <f>SUMPRODUCT(Calc!$K$3:$K$22*(Calc!$G$3:$G$22&gt;B1546)*(Calc!$G$3:$G$22-B1546)*Calc!$G$3:$G$22)</f>
        <v/>
      </c>
      <c r="N1546">
        <f>SUMPRODUCT(Calc!$K$3:$K$22*(Calc!$G$3:$G$22&gt;A1546)*(Calc!$G$3:$G$22-A1546)*Calc!$I$3:$I$22)</f>
        <v/>
      </c>
      <c r="O1546">
        <f>SUMPRODUCT(Calc!$K$3:$K$22*(Calc!$G$3:$G$22&gt;B1546)*(Calc!$G$3:$G$22-B1546)*Calc!$I$3:$I$22)</f>
        <v/>
      </c>
      <c r="P1546">
        <f>I1546-G1546^2/k_n</f>
        <v/>
      </c>
      <c r="Q1546">
        <f>J1546-H1546^2/k_n</f>
        <v/>
      </c>
      <c r="R1546">
        <f>K1546-G1546*H1546/k_n</f>
        <v/>
      </c>
      <c r="S1546">
        <f>L1546-LTP3!$D$3*G1546/k_n</f>
        <v/>
      </c>
      <c r="T1546">
        <f>M1546-LTP3!$D$3*H1546/k_n</f>
        <v/>
      </c>
      <c r="U1546">
        <f>N1546-G1546*LTP3!$D$4/k_n</f>
        <v/>
      </c>
      <c r="V1546">
        <f>O1546-H1546*LTP3!$D$4/k_n</f>
        <v/>
      </c>
      <c r="W1546">
        <f>((LTP3!$D$5)*((P1546)*(Q1546)-(R1546)*(R1546))-(S1546)*((S1546)*(Q1546)-(R1546)*(T1546))+(T1546)*((S1546)*(R1546)-(P1546)*(T1546)))</f>
        <v/>
      </c>
      <c r="X1546">
        <f>IF(ABS(W1546)&gt;1E-12,((LTP3!$D$6)*((P1546)*(Q1546)-(R1546)*(R1546))-(S1546)*((U1546)*(Q1546)-(R1546)*(V1546))+(T1546)*((U1546)*(R1546)-(P1546)*(V1546)))/W1546,0)</f>
        <v/>
      </c>
      <c r="Y1546">
        <f>IF(ABS(W1546)&gt;1E-12,((LTP3!$D$5)*((U1546)*(Q1546)-(R1546)*(V1546))-(LTP3!$D$6)*((S1546)*(Q1546)-(R1546)*(T1546))+(T1546)*((S1546)*(V1546)-(U1546)*(T1546)))/W1546,0)</f>
        <v/>
      </c>
      <c r="Z1546">
        <f>IF(ABS(W1546)&gt;1E-12,((LTP3!$D$5)*((P1546)*(V1546)-(U1546)*(R1546))-(S1546)*((S1546)*(V1546)-(U1546)*(T1546))+(LTP3!$D$6)*((S1546)*(R1546)-(P1546)*(T1546)))/W1546,0)</f>
        <v/>
      </c>
      <c r="AA1546">
        <f>LTP3!$D$7-X1546*LTP3!$D$6-Y1546*U1546-Z1546*V1546</f>
        <v/>
      </c>
      <c r="AB1546">
        <f>IF(AND(F1546,ABS(W1546)&gt;1E-12,Y1546&gt;0,Z1546&gt;0),AA1546,1E+300)</f>
        <v/>
      </c>
    </row>
    <row r="1547">
      <c r="A1547">
        <f>$B$3+$B$5*25</f>
        <v/>
      </c>
      <c r="B1547">
        <f>$B$3+$B$5*10</f>
        <v/>
      </c>
      <c r="C1547">
        <f>SUMPRODUCT(Calc!$K$3:$K$22*(Calc!$G$3:$G$22&lt;=A1547))</f>
        <v/>
      </c>
      <c r="D1547">
        <f>SUMPRODUCT(Calc!$K$3:$K$22*(Calc!$G$3:$G$22&gt;A1547)*(Calc!$G$3:$G$22&lt;B1547))</f>
        <v/>
      </c>
      <c r="E1547">
        <f>SUMPRODUCT(Calc!$K$3:$K$22*(Calc!$G$3:$G$22&gt;=B1547))</f>
        <v/>
      </c>
      <c r="F1547">
        <f>AND(k_n&gt;=5,B1547&gt;A1547+1E-9,C1547&gt;=2,D1547&gt;=1,E1547&gt;=2)</f>
        <v/>
      </c>
      <c r="G1547">
        <f>SUMPRODUCT(Calc!$K$3:$K$22*(Calc!$G$3:$G$22&gt;A1547)*(Calc!$G$3:$G$22-A1547))</f>
        <v/>
      </c>
      <c r="H1547">
        <f>SUMPRODUCT(Calc!$K$3:$K$22*(Calc!$G$3:$G$22&gt;B1547)*(Calc!$G$3:$G$22-B1547))</f>
        <v/>
      </c>
      <c r="I1547">
        <f>SUMPRODUCT(Calc!$K$3:$K$22*(Calc!$G$3:$G$22&gt;A1547)*(Calc!$G$3:$G$22-A1547)^2)</f>
        <v/>
      </c>
      <c r="J1547">
        <f>SUMPRODUCT(Calc!$K$3:$K$22*(Calc!$G$3:$G$22&gt;B1547)*(Calc!$G$3:$G$22-B1547)^2)</f>
        <v/>
      </c>
      <c r="K1547">
        <f>SUMPRODUCT(Calc!$K$3:$K$22*(Calc!$G$3:$G$22&gt;A1547)*(Calc!$G$3:$G$22-A1547)*(Calc!$G$3:$G$22&gt;B1547)*(Calc!$G$3:$G$22-B1547))</f>
        <v/>
      </c>
      <c r="L1547">
        <f>SUMPRODUCT(Calc!$K$3:$K$22*(Calc!$G$3:$G$22&gt;A1547)*(Calc!$G$3:$G$22-A1547)*Calc!$G$3:$G$22)</f>
        <v/>
      </c>
      <c r="M1547">
        <f>SUMPRODUCT(Calc!$K$3:$K$22*(Calc!$G$3:$G$22&gt;B1547)*(Calc!$G$3:$G$22-B1547)*Calc!$G$3:$G$22)</f>
        <v/>
      </c>
      <c r="N1547">
        <f>SUMPRODUCT(Calc!$K$3:$K$22*(Calc!$G$3:$G$22&gt;A1547)*(Calc!$G$3:$G$22-A1547)*Calc!$I$3:$I$22)</f>
        <v/>
      </c>
      <c r="O1547">
        <f>SUMPRODUCT(Calc!$K$3:$K$22*(Calc!$G$3:$G$22&gt;B1547)*(Calc!$G$3:$G$22-B1547)*Calc!$I$3:$I$22)</f>
        <v/>
      </c>
      <c r="P1547">
        <f>I1547-G1547^2/k_n</f>
        <v/>
      </c>
      <c r="Q1547">
        <f>J1547-H1547^2/k_n</f>
        <v/>
      </c>
      <c r="R1547">
        <f>K1547-G1547*H1547/k_n</f>
        <v/>
      </c>
      <c r="S1547">
        <f>L1547-LTP3!$D$3*G1547/k_n</f>
        <v/>
      </c>
      <c r="T1547">
        <f>M1547-LTP3!$D$3*H1547/k_n</f>
        <v/>
      </c>
      <c r="U1547">
        <f>N1547-G1547*LTP3!$D$4/k_n</f>
        <v/>
      </c>
      <c r="V1547">
        <f>O1547-H1547*LTP3!$D$4/k_n</f>
        <v/>
      </c>
      <c r="W1547">
        <f>((LTP3!$D$5)*((P1547)*(Q1547)-(R1547)*(R1547))-(S1547)*((S1547)*(Q1547)-(R1547)*(T1547))+(T1547)*((S1547)*(R1547)-(P1547)*(T1547)))</f>
        <v/>
      </c>
      <c r="X1547">
        <f>IF(ABS(W1547)&gt;1E-12,((LTP3!$D$6)*((P1547)*(Q1547)-(R1547)*(R1547))-(S1547)*((U1547)*(Q1547)-(R1547)*(V1547))+(T1547)*((U1547)*(R1547)-(P1547)*(V1547)))/W1547,0)</f>
        <v/>
      </c>
      <c r="Y1547">
        <f>IF(ABS(W1547)&gt;1E-12,((LTP3!$D$5)*((U1547)*(Q1547)-(R1547)*(V1547))-(LTP3!$D$6)*((S1547)*(Q1547)-(R1547)*(T1547))+(T1547)*((S1547)*(V1547)-(U1547)*(T1547)))/W1547,0)</f>
        <v/>
      </c>
      <c r="Z1547">
        <f>IF(ABS(W1547)&gt;1E-12,((LTP3!$D$5)*((P1547)*(V1547)-(U1547)*(R1547))-(S1547)*((S1547)*(V1547)-(U1547)*(T1547))+(LTP3!$D$6)*((S1547)*(R1547)-(P1547)*(T1547)))/W1547,0)</f>
        <v/>
      </c>
      <c r="AA1547">
        <f>LTP3!$D$7-X1547*LTP3!$D$6-Y1547*U1547-Z1547*V1547</f>
        <v/>
      </c>
      <c r="AB1547">
        <f>IF(AND(F1547,ABS(W1547)&gt;1E-12,Y1547&gt;0,Z1547&gt;0),AA1547,1E+300)</f>
        <v/>
      </c>
    </row>
    <row r="1548">
      <c r="A1548">
        <f>$B$3+$B$5*25</f>
        <v/>
      </c>
      <c r="B1548">
        <f>$B$3+$B$5*11</f>
        <v/>
      </c>
      <c r="C1548">
        <f>SUMPRODUCT(Calc!$K$3:$K$22*(Calc!$G$3:$G$22&lt;=A1548))</f>
        <v/>
      </c>
      <c r="D1548">
        <f>SUMPRODUCT(Calc!$K$3:$K$22*(Calc!$G$3:$G$22&gt;A1548)*(Calc!$G$3:$G$22&lt;B1548))</f>
        <v/>
      </c>
      <c r="E1548">
        <f>SUMPRODUCT(Calc!$K$3:$K$22*(Calc!$G$3:$G$22&gt;=B1548))</f>
        <v/>
      </c>
      <c r="F1548">
        <f>AND(k_n&gt;=5,B1548&gt;A1548+1E-9,C1548&gt;=2,D1548&gt;=1,E1548&gt;=2)</f>
        <v/>
      </c>
      <c r="G1548">
        <f>SUMPRODUCT(Calc!$K$3:$K$22*(Calc!$G$3:$G$22&gt;A1548)*(Calc!$G$3:$G$22-A1548))</f>
        <v/>
      </c>
      <c r="H1548">
        <f>SUMPRODUCT(Calc!$K$3:$K$22*(Calc!$G$3:$G$22&gt;B1548)*(Calc!$G$3:$G$22-B1548))</f>
        <v/>
      </c>
      <c r="I1548">
        <f>SUMPRODUCT(Calc!$K$3:$K$22*(Calc!$G$3:$G$22&gt;A1548)*(Calc!$G$3:$G$22-A1548)^2)</f>
        <v/>
      </c>
      <c r="J1548">
        <f>SUMPRODUCT(Calc!$K$3:$K$22*(Calc!$G$3:$G$22&gt;B1548)*(Calc!$G$3:$G$22-B1548)^2)</f>
        <v/>
      </c>
      <c r="K1548">
        <f>SUMPRODUCT(Calc!$K$3:$K$22*(Calc!$G$3:$G$22&gt;A1548)*(Calc!$G$3:$G$22-A1548)*(Calc!$G$3:$G$22&gt;B1548)*(Calc!$G$3:$G$22-B1548))</f>
        <v/>
      </c>
      <c r="L1548">
        <f>SUMPRODUCT(Calc!$K$3:$K$22*(Calc!$G$3:$G$22&gt;A1548)*(Calc!$G$3:$G$22-A1548)*Calc!$G$3:$G$22)</f>
        <v/>
      </c>
      <c r="M1548">
        <f>SUMPRODUCT(Calc!$K$3:$K$22*(Calc!$G$3:$G$22&gt;B1548)*(Calc!$G$3:$G$22-B1548)*Calc!$G$3:$G$22)</f>
        <v/>
      </c>
      <c r="N1548">
        <f>SUMPRODUCT(Calc!$K$3:$K$22*(Calc!$G$3:$G$22&gt;A1548)*(Calc!$G$3:$G$22-A1548)*Calc!$I$3:$I$22)</f>
        <v/>
      </c>
      <c r="O1548">
        <f>SUMPRODUCT(Calc!$K$3:$K$22*(Calc!$G$3:$G$22&gt;B1548)*(Calc!$G$3:$G$22-B1548)*Calc!$I$3:$I$22)</f>
        <v/>
      </c>
      <c r="P1548">
        <f>I1548-G1548^2/k_n</f>
        <v/>
      </c>
      <c r="Q1548">
        <f>J1548-H1548^2/k_n</f>
        <v/>
      </c>
      <c r="R1548">
        <f>K1548-G1548*H1548/k_n</f>
        <v/>
      </c>
      <c r="S1548">
        <f>L1548-LTP3!$D$3*G1548/k_n</f>
        <v/>
      </c>
      <c r="T1548">
        <f>M1548-LTP3!$D$3*H1548/k_n</f>
        <v/>
      </c>
      <c r="U1548">
        <f>N1548-G1548*LTP3!$D$4/k_n</f>
        <v/>
      </c>
      <c r="V1548">
        <f>O1548-H1548*LTP3!$D$4/k_n</f>
        <v/>
      </c>
      <c r="W1548">
        <f>((LTP3!$D$5)*((P1548)*(Q1548)-(R1548)*(R1548))-(S1548)*((S1548)*(Q1548)-(R1548)*(T1548))+(T1548)*((S1548)*(R1548)-(P1548)*(T1548)))</f>
        <v/>
      </c>
      <c r="X1548">
        <f>IF(ABS(W1548)&gt;1E-12,((LTP3!$D$6)*((P1548)*(Q1548)-(R1548)*(R1548))-(S1548)*((U1548)*(Q1548)-(R1548)*(V1548))+(T1548)*((U1548)*(R1548)-(P1548)*(V1548)))/W1548,0)</f>
        <v/>
      </c>
      <c r="Y1548">
        <f>IF(ABS(W1548)&gt;1E-12,((LTP3!$D$5)*((U1548)*(Q1548)-(R1548)*(V1548))-(LTP3!$D$6)*((S1548)*(Q1548)-(R1548)*(T1548))+(T1548)*((S1548)*(V1548)-(U1548)*(T1548)))/W1548,0)</f>
        <v/>
      </c>
      <c r="Z1548">
        <f>IF(ABS(W1548)&gt;1E-12,((LTP3!$D$5)*((P1548)*(V1548)-(U1548)*(R1548))-(S1548)*((S1548)*(V1548)-(U1548)*(T1548))+(LTP3!$D$6)*((S1548)*(R1548)-(P1548)*(T1548)))/W1548,0)</f>
        <v/>
      </c>
      <c r="AA1548">
        <f>LTP3!$D$7-X1548*LTP3!$D$6-Y1548*U1548-Z1548*V1548</f>
        <v/>
      </c>
      <c r="AB1548">
        <f>IF(AND(F1548,ABS(W1548)&gt;1E-12,Y1548&gt;0,Z1548&gt;0),AA1548,1E+300)</f>
        <v/>
      </c>
    </row>
    <row r="1549">
      <c r="A1549">
        <f>$B$3+$B$5*25</f>
        <v/>
      </c>
      <c r="B1549">
        <f>$B$3+$B$5*12</f>
        <v/>
      </c>
      <c r="C1549">
        <f>SUMPRODUCT(Calc!$K$3:$K$22*(Calc!$G$3:$G$22&lt;=A1549))</f>
        <v/>
      </c>
      <c r="D1549">
        <f>SUMPRODUCT(Calc!$K$3:$K$22*(Calc!$G$3:$G$22&gt;A1549)*(Calc!$G$3:$G$22&lt;B1549))</f>
        <v/>
      </c>
      <c r="E1549">
        <f>SUMPRODUCT(Calc!$K$3:$K$22*(Calc!$G$3:$G$22&gt;=B1549))</f>
        <v/>
      </c>
      <c r="F1549">
        <f>AND(k_n&gt;=5,B1549&gt;A1549+1E-9,C1549&gt;=2,D1549&gt;=1,E1549&gt;=2)</f>
        <v/>
      </c>
      <c r="G1549">
        <f>SUMPRODUCT(Calc!$K$3:$K$22*(Calc!$G$3:$G$22&gt;A1549)*(Calc!$G$3:$G$22-A1549))</f>
        <v/>
      </c>
      <c r="H1549">
        <f>SUMPRODUCT(Calc!$K$3:$K$22*(Calc!$G$3:$G$22&gt;B1549)*(Calc!$G$3:$G$22-B1549))</f>
        <v/>
      </c>
      <c r="I1549">
        <f>SUMPRODUCT(Calc!$K$3:$K$22*(Calc!$G$3:$G$22&gt;A1549)*(Calc!$G$3:$G$22-A1549)^2)</f>
        <v/>
      </c>
      <c r="J1549">
        <f>SUMPRODUCT(Calc!$K$3:$K$22*(Calc!$G$3:$G$22&gt;B1549)*(Calc!$G$3:$G$22-B1549)^2)</f>
        <v/>
      </c>
      <c r="K1549">
        <f>SUMPRODUCT(Calc!$K$3:$K$22*(Calc!$G$3:$G$22&gt;A1549)*(Calc!$G$3:$G$22-A1549)*(Calc!$G$3:$G$22&gt;B1549)*(Calc!$G$3:$G$22-B1549))</f>
        <v/>
      </c>
      <c r="L1549">
        <f>SUMPRODUCT(Calc!$K$3:$K$22*(Calc!$G$3:$G$22&gt;A1549)*(Calc!$G$3:$G$22-A1549)*Calc!$G$3:$G$22)</f>
        <v/>
      </c>
      <c r="M1549">
        <f>SUMPRODUCT(Calc!$K$3:$K$22*(Calc!$G$3:$G$22&gt;B1549)*(Calc!$G$3:$G$22-B1549)*Calc!$G$3:$G$22)</f>
        <v/>
      </c>
      <c r="N1549">
        <f>SUMPRODUCT(Calc!$K$3:$K$22*(Calc!$G$3:$G$22&gt;A1549)*(Calc!$G$3:$G$22-A1549)*Calc!$I$3:$I$22)</f>
        <v/>
      </c>
      <c r="O1549">
        <f>SUMPRODUCT(Calc!$K$3:$K$22*(Calc!$G$3:$G$22&gt;B1549)*(Calc!$G$3:$G$22-B1549)*Calc!$I$3:$I$22)</f>
        <v/>
      </c>
      <c r="P1549">
        <f>I1549-G1549^2/k_n</f>
        <v/>
      </c>
      <c r="Q1549">
        <f>J1549-H1549^2/k_n</f>
        <v/>
      </c>
      <c r="R1549">
        <f>K1549-G1549*H1549/k_n</f>
        <v/>
      </c>
      <c r="S1549">
        <f>L1549-LTP3!$D$3*G1549/k_n</f>
        <v/>
      </c>
      <c r="T1549">
        <f>M1549-LTP3!$D$3*H1549/k_n</f>
        <v/>
      </c>
      <c r="U1549">
        <f>N1549-G1549*LTP3!$D$4/k_n</f>
        <v/>
      </c>
      <c r="V1549">
        <f>O1549-H1549*LTP3!$D$4/k_n</f>
        <v/>
      </c>
      <c r="W1549">
        <f>((LTP3!$D$5)*((P1549)*(Q1549)-(R1549)*(R1549))-(S1549)*((S1549)*(Q1549)-(R1549)*(T1549))+(T1549)*((S1549)*(R1549)-(P1549)*(T1549)))</f>
        <v/>
      </c>
      <c r="X1549">
        <f>IF(ABS(W1549)&gt;1E-12,((LTP3!$D$6)*((P1549)*(Q1549)-(R1549)*(R1549))-(S1549)*((U1549)*(Q1549)-(R1549)*(V1549))+(T1549)*((U1549)*(R1549)-(P1549)*(V1549)))/W1549,0)</f>
        <v/>
      </c>
      <c r="Y1549">
        <f>IF(ABS(W1549)&gt;1E-12,((LTP3!$D$5)*((U1549)*(Q1549)-(R1549)*(V1549))-(LTP3!$D$6)*((S1549)*(Q1549)-(R1549)*(T1549))+(T1549)*((S1549)*(V1549)-(U1549)*(T1549)))/W1549,0)</f>
        <v/>
      </c>
      <c r="Z1549">
        <f>IF(ABS(W1549)&gt;1E-12,((LTP3!$D$5)*((P1549)*(V1549)-(U1549)*(R1549))-(S1549)*((S1549)*(V1549)-(U1549)*(T1549))+(LTP3!$D$6)*((S1549)*(R1549)-(P1549)*(T1549)))/W1549,0)</f>
        <v/>
      </c>
      <c r="AA1549">
        <f>LTP3!$D$7-X1549*LTP3!$D$6-Y1549*U1549-Z1549*V1549</f>
        <v/>
      </c>
      <c r="AB1549">
        <f>IF(AND(F1549,ABS(W1549)&gt;1E-12,Y1549&gt;0,Z1549&gt;0),AA1549,1E+300)</f>
        <v/>
      </c>
    </row>
    <row r="1550">
      <c r="A1550">
        <f>$B$3+$B$5*25</f>
        <v/>
      </c>
      <c r="B1550">
        <f>$B$3+$B$5*13</f>
        <v/>
      </c>
      <c r="C1550">
        <f>SUMPRODUCT(Calc!$K$3:$K$22*(Calc!$G$3:$G$22&lt;=A1550))</f>
        <v/>
      </c>
      <c r="D1550">
        <f>SUMPRODUCT(Calc!$K$3:$K$22*(Calc!$G$3:$G$22&gt;A1550)*(Calc!$G$3:$G$22&lt;B1550))</f>
        <v/>
      </c>
      <c r="E1550">
        <f>SUMPRODUCT(Calc!$K$3:$K$22*(Calc!$G$3:$G$22&gt;=B1550))</f>
        <v/>
      </c>
      <c r="F1550">
        <f>AND(k_n&gt;=5,B1550&gt;A1550+1E-9,C1550&gt;=2,D1550&gt;=1,E1550&gt;=2)</f>
        <v/>
      </c>
      <c r="G1550">
        <f>SUMPRODUCT(Calc!$K$3:$K$22*(Calc!$G$3:$G$22&gt;A1550)*(Calc!$G$3:$G$22-A1550))</f>
        <v/>
      </c>
      <c r="H1550">
        <f>SUMPRODUCT(Calc!$K$3:$K$22*(Calc!$G$3:$G$22&gt;B1550)*(Calc!$G$3:$G$22-B1550))</f>
        <v/>
      </c>
      <c r="I1550">
        <f>SUMPRODUCT(Calc!$K$3:$K$22*(Calc!$G$3:$G$22&gt;A1550)*(Calc!$G$3:$G$22-A1550)^2)</f>
        <v/>
      </c>
      <c r="J1550">
        <f>SUMPRODUCT(Calc!$K$3:$K$22*(Calc!$G$3:$G$22&gt;B1550)*(Calc!$G$3:$G$22-B1550)^2)</f>
        <v/>
      </c>
      <c r="K1550">
        <f>SUMPRODUCT(Calc!$K$3:$K$22*(Calc!$G$3:$G$22&gt;A1550)*(Calc!$G$3:$G$22-A1550)*(Calc!$G$3:$G$22&gt;B1550)*(Calc!$G$3:$G$22-B1550))</f>
        <v/>
      </c>
      <c r="L1550">
        <f>SUMPRODUCT(Calc!$K$3:$K$22*(Calc!$G$3:$G$22&gt;A1550)*(Calc!$G$3:$G$22-A1550)*Calc!$G$3:$G$22)</f>
        <v/>
      </c>
      <c r="M1550">
        <f>SUMPRODUCT(Calc!$K$3:$K$22*(Calc!$G$3:$G$22&gt;B1550)*(Calc!$G$3:$G$22-B1550)*Calc!$G$3:$G$22)</f>
        <v/>
      </c>
      <c r="N1550">
        <f>SUMPRODUCT(Calc!$K$3:$K$22*(Calc!$G$3:$G$22&gt;A1550)*(Calc!$G$3:$G$22-A1550)*Calc!$I$3:$I$22)</f>
        <v/>
      </c>
      <c r="O1550">
        <f>SUMPRODUCT(Calc!$K$3:$K$22*(Calc!$G$3:$G$22&gt;B1550)*(Calc!$G$3:$G$22-B1550)*Calc!$I$3:$I$22)</f>
        <v/>
      </c>
      <c r="P1550">
        <f>I1550-G1550^2/k_n</f>
        <v/>
      </c>
      <c r="Q1550">
        <f>J1550-H1550^2/k_n</f>
        <v/>
      </c>
      <c r="R1550">
        <f>K1550-G1550*H1550/k_n</f>
        <v/>
      </c>
      <c r="S1550">
        <f>L1550-LTP3!$D$3*G1550/k_n</f>
        <v/>
      </c>
      <c r="T1550">
        <f>M1550-LTP3!$D$3*H1550/k_n</f>
        <v/>
      </c>
      <c r="U1550">
        <f>N1550-G1550*LTP3!$D$4/k_n</f>
        <v/>
      </c>
      <c r="V1550">
        <f>O1550-H1550*LTP3!$D$4/k_n</f>
        <v/>
      </c>
      <c r="W1550">
        <f>((LTP3!$D$5)*((P1550)*(Q1550)-(R1550)*(R1550))-(S1550)*((S1550)*(Q1550)-(R1550)*(T1550))+(T1550)*((S1550)*(R1550)-(P1550)*(T1550)))</f>
        <v/>
      </c>
      <c r="X1550">
        <f>IF(ABS(W1550)&gt;1E-12,((LTP3!$D$6)*((P1550)*(Q1550)-(R1550)*(R1550))-(S1550)*((U1550)*(Q1550)-(R1550)*(V1550))+(T1550)*((U1550)*(R1550)-(P1550)*(V1550)))/W1550,0)</f>
        <v/>
      </c>
      <c r="Y1550">
        <f>IF(ABS(W1550)&gt;1E-12,((LTP3!$D$5)*((U1550)*(Q1550)-(R1550)*(V1550))-(LTP3!$D$6)*((S1550)*(Q1550)-(R1550)*(T1550))+(T1550)*((S1550)*(V1550)-(U1550)*(T1550)))/W1550,0)</f>
        <v/>
      </c>
      <c r="Z1550">
        <f>IF(ABS(W1550)&gt;1E-12,((LTP3!$D$5)*((P1550)*(V1550)-(U1550)*(R1550))-(S1550)*((S1550)*(V1550)-(U1550)*(T1550))+(LTP3!$D$6)*((S1550)*(R1550)-(P1550)*(T1550)))/W1550,0)</f>
        <v/>
      </c>
      <c r="AA1550">
        <f>LTP3!$D$7-X1550*LTP3!$D$6-Y1550*U1550-Z1550*V1550</f>
        <v/>
      </c>
      <c r="AB1550">
        <f>IF(AND(F1550,ABS(W1550)&gt;1E-12,Y1550&gt;0,Z1550&gt;0),AA1550,1E+300)</f>
        <v/>
      </c>
    </row>
    <row r="1551">
      <c r="A1551">
        <f>$B$3+$B$5*25</f>
        <v/>
      </c>
      <c r="B1551">
        <f>$B$3+$B$5*14</f>
        <v/>
      </c>
      <c r="C1551">
        <f>SUMPRODUCT(Calc!$K$3:$K$22*(Calc!$G$3:$G$22&lt;=A1551))</f>
        <v/>
      </c>
      <c r="D1551">
        <f>SUMPRODUCT(Calc!$K$3:$K$22*(Calc!$G$3:$G$22&gt;A1551)*(Calc!$G$3:$G$22&lt;B1551))</f>
        <v/>
      </c>
      <c r="E1551">
        <f>SUMPRODUCT(Calc!$K$3:$K$22*(Calc!$G$3:$G$22&gt;=B1551))</f>
        <v/>
      </c>
      <c r="F1551">
        <f>AND(k_n&gt;=5,B1551&gt;A1551+1E-9,C1551&gt;=2,D1551&gt;=1,E1551&gt;=2)</f>
        <v/>
      </c>
      <c r="G1551">
        <f>SUMPRODUCT(Calc!$K$3:$K$22*(Calc!$G$3:$G$22&gt;A1551)*(Calc!$G$3:$G$22-A1551))</f>
        <v/>
      </c>
      <c r="H1551">
        <f>SUMPRODUCT(Calc!$K$3:$K$22*(Calc!$G$3:$G$22&gt;B1551)*(Calc!$G$3:$G$22-B1551))</f>
        <v/>
      </c>
      <c r="I1551">
        <f>SUMPRODUCT(Calc!$K$3:$K$22*(Calc!$G$3:$G$22&gt;A1551)*(Calc!$G$3:$G$22-A1551)^2)</f>
        <v/>
      </c>
      <c r="J1551">
        <f>SUMPRODUCT(Calc!$K$3:$K$22*(Calc!$G$3:$G$22&gt;B1551)*(Calc!$G$3:$G$22-B1551)^2)</f>
        <v/>
      </c>
      <c r="K1551">
        <f>SUMPRODUCT(Calc!$K$3:$K$22*(Calc!$G$3:$G$22&gt;A1551)*(Calc!$G$3:$G$22-A1551)*(Calc!$G$3:$G$22&gt;B1551)*(Calc!$G$3:$G$22-B1551))</f>
        <v/>
      </c>
      <c r="L1551">
        <f>SUMPRODUCT(Calc!$K$3:$K$22*(Calc!$G$3:$G$22&gt;A1551)*(Calc!$G$3:$G$22-A1551)*Calc!$G$3:$G$22)</f>
        <v/>
      </c>
      <c r="M1551">
        <f>SUMPRODUCT(Calc!$K$3:$K$22*(Calc!$G$3:$G$22&gt;B1551)*(Calc!$G$3:$G$22-B1551)*Calc!$G$3:$G$22)</f>
        <v/>
      </c>
      <c r="N1551">
        <f>SUMPRODUCT(Calc!$K$3:$K$22*(Calc!$G$3:$G$22&gt;A1551)*(Calc!$G$3:$G$22-A1551)*Calc!$I$3:$I$22)</f>
        <v/>
      </c>
      <c r="O1551">
        <f>SUMPRODUCT(Calc!$K$3:$K$22*(Calc!$G$3:$G$22&gt;B1551)*(Calc!$G$3:$G$22-B1551)*Calc!$I$3:$I$22)</f>
        <v/>
      </c>
      <c r="P1551">
        <f>I1551-G1551^2/k_n</f>
        <v/>
      </c>
      <c r="Q1551">
        <f>J1551-H1551^2/k_n</f>
        <v/>
      </c>
      <c r="R1551">
        <f>K1551-G1551*H1551/k_n</f>
        <v/>
      </c>
      <c r="S1551">
        <f>L1551-LTP3!$D$3*G1551/k_n</f>
        <v/>
      </c>
      <c r="T1551">
        <f>M1551-LTP3!$D$3*H1551/k_n</f>
        <v/>
      </c>
      <c r="U1551">
        <f>N1551-G1551*LTP3!$D$4/k_n</f>
        <v/>
      </c>
      <c r="V1551">
        <f>O1551-H1551*LTP3!$D$4/k_n</f>
        <v/>
      </c>
      <c r="W1551">
        <f>((LTP3!$D$5)*((P1551)*(Q1551)-(R1551)*(R1551))-(S1551)*((S1551)*(Q1551)-(R1551)*(T1551))+(T1551)*((S1551)*(R1551)-(P1551)*(T1551)))</f>
        <v/>
      </c>
      <c r="X1551">
        <f>IF(ABS(W1551)&gt;1E-12,((LTP3!$D$6)*((P1551)*(Q1551)-(R1551)*(R1551))-(S1551)*((U1551)*(Q1551)-(R1551)*(V1551))+(T1551)*((U1551)*(R1551)-(P1551)*(V1551)))/W1551,0)</f>
        <v/>
      </c>
      <c r="Y1551">
        <f>IF(ABS(W1551)&gt;1E-12,((LTP3!$D$5)*((U1551)*(Q1551)-(R1551)*(V1551))-(LTP3!$D$6)*((S1551)*(Q1551)-(R1551)*(T1551))+(T1551)*((S1551)*(V1551)-(U1551)*(T1551)))/W1551,0)</f>
        <v/>
      </c>
      <c r="Z1551">
        <f>IF(ABS(W1551)&gt;1E-12,((LTP3!$D$5)*((P1551)*(V1551)-(U1551)*(R1551))-(S1551)*((S1551)*(V1551)-(U1551)*(T1551))+(LTP3!$D$6)*((S1551)*(R1551)-(P1551)*(T1551)))/W1551,0)</f>
        <v/>
      </c>
      <c r="AA1551">
        <f>LTP3!$D$7-X1551*LTP3!$D$6-Y1551*U1551-Z1551*V1551</f>
        <v/>
      </c>
      <c r="AB1551">
        <f>IF(AND(F1551,ABS(W1551)&gt;1E-12,Y1551&gt;0,Z1551&gt;0),AA1551,1E+300)</f>
        <v/>
      </c>
    </row>
    <row r="1552">
      <c r="A1552">
        <f>$B$3+$B$5*25</f>
        <v/>
      </c>
      <c r="B1552">
        <f>$B$3+$B$5*15</f>
        <v/>
      </c>
      <c r="C1552">
        <f>SUMPRODUCT(Calc!$K$3:$K$22*(Calc!$G$3:$G$22&lt;=A1552))</f>
        <v/>
      </c>
      <c r="D1552">
        <f>SUMPRODUCT(Calc!$K$3:$K$22*(Calc!$G$3:$G$22&gt;A1552)*(Calc!$G$3:$G$22&lt;B1552))</f>
        <v/>
      </c>
      <c r="E1552">
        <f>SUMPRODUCT(Calc!$K$3:$K$22*(Calc!$G$3:$G$22&gt;=B1552))</f>
        <v/>
      </c>
      <c r="F1552">
        <f>AND(k_n&gt;=5,B1552&gt;A1552+1E-9,C1552&gt;=2,D1552&gt;=1,E1552&gt;=2)</f>
        <v/>
      </c>
      <c r="G1552">
        <f>SUMPRODUCT(Calc!$K$3:$K$22*(Calc!$G$3:$G$22&gt;A1552)*(Calc!$G$3:$G$22-A1552))</f>
        <v/>
      </c>
      <c r="H1552">
        <f>SUMPRODUCT(Calc!$K$3:$K$22*(Calc!$G$3:$G$22&gt;B1552)*(Calc!$G$3:$G$22-B1552))</f>
        <v/>
      </c>
      <c r="I1552">
        <f>SUMPRODUCT(Calc!$K$3:$K$22*(Calc!$G$3:$G$22&gt;A1552)*(Calc!$G$3:$G$22-A1552)^2)</f>
        <v/>
      </c>
      <c r="J1552">
        <f>SUMPRODUCT(Calc!$K$3:$K$22*(Calc!$G$3:$G$22&gt;B1552)*(Calc!$G$3:$G$22-B1552)^2)</f>
        <v/>
      </c>
      <c r="K1552">
        <f>SUMPRODUCT(Calc!$K$3:$K$22*(Calc!$G$3:$G$22&gt;A1552)*(Calc!$G$3:$G$22-A1552)*(Calc!$G$3:$G$22&gt;B1552)*(Calc!$G$3:$G$22-B1552))</f>
        <v/>
      </c>
      <c r="L1552">
        <f>SUMPRODUCT(Calc!$K$3:$K$22*(Calc!$G$3:$G$22&gt;A1552)*(Calc!$G$3:$G$22-A1552)*Calc!$G$3:$G$22)</f>
        <v/>
      </c>
      <c r="M1552">
        <f>SUMPRODUCT(Calc!$K$3:$K$22*(Calc!$G$3:$G$22&gt;B1552)*(Calc!$G$3:$G$22-B1552)*Calc!$G$3:$G$22)</f>
        <v/>
      </c>
      <c r="N1552">
        <f>SUMPRODUCT(Calc!$K$3:$K$22*(Calc!$G$3:$G$22&gt;A1552)*(Calc!$G$3:$G$22-A1552)*Calc!$I$3:$I$22)</f>
        <v/>
      </c>
      <c r="O1552">
        <f>SUMPRODUCT(Calc!$K$3:$K$22*(Calc!$G$3:$G$22&gt;B1552)*(Calc!$G$3:$G$22-B1552)*Calc!$I$3:$I$22)</f>
        <v/>
      </c>
      <c r="P1552">
        <f>I1552-G1552^2/k_n</f>
        <v/>
      </c>
      <c r="Q1552">
        <f>J1552-H1552^2/k_n</f>
        <v/>
      </c>
      <c r="R1552">
        <f>K1552-G1552*H1552/k_n</f>
        <v/>
      </c>
      <c r="S1552">
        <f>L1552-LTP3!$D$3*G1552/k_n</f>
        <v/>
      </c>
      <c r="T1552">
        <f>M1552-LTP3!$D$3*H1552/k_n</f>
        <v/>
      </c>
      <c r="U1552">
        <f>N1552-G1552*LTP3!$D$4/k_n</f>
        <v/>
      </c>
      <c r="V1552">
        <f>O1552-H1552*LTP3!$D$4/k_n</f>
        <v/>
      </c>
      <c r="W1552">
        <f>((LTP3!$D$5)*((P1552)*(Q1552)-(R1552)*(R1552))-(S1552)*((S1552)*(Q1552)-(R1552)*(T1552))+(T1552)*((S1552)*(R1552)-(P1552)*(T1552)))</f>
        <v/>
      </c>
      <c r="X1552">
        <f>IF(ABS(W1552)&gt;1E-12,((LTP3!$D$6)*((P1552)*(Q1552)-(R1552)*(R1552))-(S1552)*((U1552)*(Q1552)-(R1552)*(V1552))+(T1552)*((U1552)*(R1552)-(P1552)*(V1552)))/W1552,0)</f>
        <v/>
      </c>
      <c r="Y1552">
        <f>IF(ABS(W1552)&gt;1E-12,((LTP3!$D$5)*((U1552)*(Q1552)-(R1552)*(V1552))-(LTP3!$D$6)*((S1552)*(Q1552)-(R1552)*(T1552))+(T1552)*((S1552)*(V1552)-(U1552)*(T1552)))/W1552,0)</f>
        <v/>
      </c>
      <c r="Z1552">
        <f>IF(ABS(W1552)&gt;1E-12,((LTP3!$D$5)*((P1552)*(V1552)-(U1552)*(R1552))-(S1552)*((S1552)*(V1552)-(U1552)*(T1552))+(LTP3!$D$6)*((S1552)*(R1552)-(P1552)*(T1552)))/W1552,0)</f>
        <v/>
      </c>
      <c r="AA1552">
        <f>LTP3!$D$7-X1552*LTP3!$D$6-Y1552*U1552-Z1552*V1552</f>
        <v/>
      </c>
      <c r="AB1552">
        <f>IF(AND(F1552,ABS(W1552)&gt;1E-12,Y1552&gt;0,Z1552&gt;0),AA1552,1E+300)</f>
        <v/>
      </c>
    </row>
    <row r="1553">
      <c r="A1553">
        <f>$B$3+$B$5*25</f>
        <v/>
      </c>
      <c r="B1553">
        <f>$B$3+$B$5*16</f>
        <v/>
      </c>
      <c r="C1553">
        <f>SUMPRODUCT(Calc!$K$3:$K$22*(Calc!$G$3:$G$22&lt;=A1553))</f>
        <v/>
      </c>
      <c r="D1553">
        <f>SUMPRODUCT(Calc!$K$3:$K$22*(Calc!$G$3:$G$22&gt;A1553)*(Calc!$G$3:$G$22&lt;B1553))</f>
        <v/>
      </c>
      <c r="E1553">
        <f>SUMPRODUCT(Calc!$K$3:$K$22*(Calc!$G$3:$G$22&gt;=B1553))</f>
        <v/>
      </c>
      <c r="F1553">
        <f>AND(k_n&gt;=5,B1553&gt;A1553+1E-9,C1553&gt;=2,D1553&gt;=1,E1553&gt;=2)</f>
        <v/>
      </c>
      <c r="G1553">
        <f>SUMPRODUCT(Calc!$K$3:$K$22*(Calc!$G$3:$G$22&gt;A1553)*(Calc!$G$3:$G$22-A1553))</f>
        <v/>
      </c>
      <c r="H1553">
        <f>SUMPRODUCT(Calc!$K$3:$K$22*(Calc!$G$3:$G$22&gt;B1553)*(Calc!$G$3:$G$22-B1553))</f>
        <v/>
      </c>
      <c r="I1553">
        <f>SUMPRODUCT(Calc!$K$3:$K$22*(Calc!$G$3:$G$22&gt;A1553)*(Calc!$G$3:$G$22-A1553)^2)</f>
        <v/>
      </c>
      <c r="J1553">
        <f>SUMPRODUCT(Calc!$K$3:$K$22*(Calc!$G$3:$G$22&gt;B1553)*(Calc!$G$3:$G$22-B1553)^2)</f>
        <v/>
      </c>
      <c r="K1553">
        <f>SUMPRODUCT(Calc!$K$3:$K$22*(Calc!$G$3:$G$22&gt;A1553)*(Calc!$G$3:$G$22-A1553)*(Calc!$G$3:$G$22&gt;B1553)*(Calc!$G$3:$G$22-B1553))</f>
        <v/>
      </c>
      <c r="L1553">
        <f>SUMPRODUCT(Calc!$K$3:$K$22*(Calc!$G$3:$G$22&gt;A1553)*(Calc!$G$3:$G$22-A1553)*Calc!$G$3:$G$22)</f>
        <v/>
      </c>
      <c r="M1553">
        <f>SUMPRODUCT(Calc!$K$3:$K$22*(Calc!$G$3:$G$22&gt;B1553)*(Calc!$G$3:$G$22-B1553)*Calc!$G$3:$G$22)</f>
        <v/>
      </c>
      <c r="N1553">
        <f>SUMPRODUCT(Calc!$K$3:$K$22*(Calc!$G$3:$G$22&gt;A1553)*(Calc!$G$3:$G$22-A1553)*Calc!$I$3:$I$22)</f>
        <v/>
      </c>
      <c r="O1553">
        <f>SUMPRODUCT(Calc!$K$3:$K$22*(Calc!$G$3:$G$22&gt;B1553)*(Calc!$G$3:$G$22-B1553)*Calc!$I$3:$I$22)</f>
        <v/>
      </c>
      <c r="P1553">
        <f>I1553-G1553^2/k_n</f>
        <v/>
      </c>
      <c r="Q1553">
        <f>J1553-H1553^2/k_n</f>
        <v/>
      </c>
      <c r="R1553">
        <f>K1553-G1553*H1553/k_n</f>
        <v/>
      </c>
      <c r="S1553">
        <f>L1553-LTP3!$D$3*G1553/k_n</f>
        <v/>
      </c>
      <c r="T1553">
        <f>M1553-LTP3!$D$3*H1553/k_n</f>
        <v/>
      </c>
      <c r="U1553">
        <f>N1553-G1553*LTP3!$D$4/k_n</f>
        <v/>
      </c>
      <c r="V1553">
        <f>O1553-H1553*LTP3!$D$4/k_n</f>
        <v/>
      </c>
      <c r="W1553">
        <f>((LTP3!$D$5)*((P1553)*(Q1553)-(R1553)*(R1553))-(S1553)*((S1553)*(Q1553)-(R1553)*(T1553))+(T1553)*((S1553)*(R1553)-(P1553)*(T1553)))</f>
        <v/>
      </c>
      <c r="X1553">
        <f>IF(ABS(W1553)&gt;1E-12,((LTP3!$D$6)*((P1553)*(Q1553)-(R1553)*(R1553))-(S1553)*((U1553)*(Q1553)-(R1553)*(V1553))+(T1553)*((U1553)*(R1553)-(P1553)*(V1553)))/W1553,0)</f>
        <v/>
      </c>
      <c r="Y1553">
        <f>IF(ABS(W1553)&gt;1E-12,((LTP3!$D$5)*((U1553)*(Q1553)-(R1553)*(V1553))-(LTP3!$D$6)*((S1553)*(Q1553)-(R1553)*(T1553))+(T1553)*((S1553)*(V1553)-(U1553)*(T1553)))/W1553,0)</f>
        <v/>
      </c>
      <c r="Z1553">
        <f>IF(ABS(W1553)&gt;1E-12,((LTP3!$D$5)*((P1553)*(V1553)-(U1553)*(R1553))-(S1553)*((S1553)*(V1553)-(U1553)*(T1553))+(LTP3!$D$6)*((S1553)*(R1553)-(P1553)*(T1553)))/W1553,0)</f>
        <v/>
      </c>
      <c r="AA1553">
        <f>LTP3!$D$7-X1553*LTP3!$D$6-Y1553*U1553-Z1553*V1553</f>
        <v/>
      </c>
      <c r="AB1553">
        <f>IF(AND(F1553,ABS(W1553)&gt;1E-12,Y1553&gt;0,Z1553&gt;0),AA1553,1E+300)</f>
        <v/>
      </c>
    </row>
    <row r="1554">
      <c r="A1554">
        <f>$B$3+$B$5*25</f>
        <v/>
      </c>
      <c r="B1554">
        <f>$B$3+$B$5*17</f>
        <v/>
      </c>
      <c r="C1554">
        <f>SUMPRODUCT(Calc!$K$3:$K$22*(Calc!$G$3:$G$22&lt;=A1554))</f>
        <v/>
      </c>
      <c r="D1554">
        <f>SUMPRODUCT(Calc!$K$3:$K$22*(Calc!$G$3:$G$22&gt;A1554)*(Calc!$G$3:$G$22&lt;B1554))</f>
        <v/>
      </c>
      <c r="E1554">
        <f>SUMPRODUCT(Calc!$K$3:$K$22*(Calc!$G$3:$G$22&gt;=B1554))</f>
        <v/>
      </c>
      <c r="F1554">
        <f>AND(k_n&gt;=5,B1554&gt;A1554+1E-9,C1554&gt;=2,D1554&gt;=1,E1554&gt;=2)</f>
        <v/>
      </c>
      <c r="G1554">
        <f>SUMPRODUCT(Calc!$K$3:$K$22*(Calc!$G$3:$G$22&gt;A1554)*(Calc!$G$3:$G$22-A1554))</f>
        <v/>
      </c>
      <c r="H1554">
        <f>SUMPRODUCT(Calc!$K$3:$K$22*(Calc!$G$3:$G$22&gt;B1554)*(Calc!$G$3:$G$22-B1554))</f>
        <v/>
      </c>
      <c r="I1554">
        <f>SUMPRODUCT(Calc!$K$3:$K$22*(Calc!$G$3:$G$22&gt;A1554)*(Calc!$G$3:$G$22-A1554)^2)</f>
        <v/>
      </c>
      <c r="J1554">
        <f>SUMPRODUCT(Calc!$K$3:$K$22*(Calc!$G$3:$G$22&gt;B1554)*(Calc!$G$3:$G$22-B1554)^2)</f>
        <v/>
      </c>
      <c r="K1554">
        <f>SUMPRODUCT(Calc!$K$3:$K$22*(Calc!$G$3:$G$22&gt;A1554)*(Calc!$G$3:$G$22-A1554)*(Calc!$G$3:$G$22&gt;B1554)*(Calc!$G$3:$G$22-B1554))</f>
        <v/>
      </c>
      <c r="L1554">
        <f>SUMPRODUCT(Calc!$K$3:$K$22*(Calc!$G$3:$G$22&gt;A1554)*(Calc!$G$3:$G$22-A1554)*Calc!$G$3:$G$22)</f>
        <v/>
      </c>
      <c r="M1554">
        <f>SUMPRODUCT(Calc!$K$3:$K$22*(Calc!$G$3:$G$22&gt;B1554)*(Calc!$G$3:$G$22-B1554)*Calc!$G$3:$G$22)</f>
        <v/>
      </c>
      <c r="N1554">
        <f>SUMPRODUCT(Calc!$K$3:$K$22*(Calc!$G$3:$G$22&gt;A1554)*(Calc!$G$3:$G$22-A1554)*Calc!$I$3:$I$22)</f>
        <v/>
      </c>
      <c r="O1554">
        <f>SUMPRODUCT(Calc!$K$3:$K$22*(Calc!$G$3:$G$22&gt;B1554)*(Calc!$G$3:$G$22-B1554)*Calc!$I$3:$I$22)</f>
        <v/>
      </c>
      <c r="P1554">
        <f>I1554-G1554^2/k_n</f>
        <v/>
      </c>
      <c r="Q1554">
        <f>J1554-H1554^2/k_n</f>
        <v/>
      </c>
      <c r="R1554">
        <f>K1554-G1554*H1554/k_n</f>
        <v/>
      </c>
      <c r="S1554">
        <f>L1554-LTP3!$D$3*G1554/k_n</f>
        <v/>
      </c>
      <c r="T1554">
        <f>M1554-LTP3!$D$3*H1554/k_n</f>
        <v/>
      </c>
      <c r="U1554">
        <f>N1554-G1554*LTP3!$D$4/k_n</f>
        <v/>
      </c>
      <c r="V1554">
        <f>O1554-H1554*LTP3!$D$4/k_n</f>
        <v/>
      </c>
      <c r="W1554">
        <f>((LTP3!$D$5)*((P1554)*(Q1554)-(R1554)*(R1554))-(S1554)*((S1554)*(Q1554)-(R1554)*(T1554))+(T1554)*((S1554)*(R1554)-(P1554)*(T1554)))</f>
        <v/>
      </c>
      <c r="X1554">
        <f>IF(ABS(W1554)&gt;1E-12,((LTP3!$D$6)*((P1554)*(Q1554)-(R1554)*(R1554))-(S1554)*((U1554)*(Q1554)-(R1554)*(V1554))+(T1554)*((U1554)*(R1554)-(P1554)*(V1554)))/W1554,0)</f>
        <v/>
      </c>
      <c r="Y1554">
        <f>IF(ABS(W1554)&gt;1E-12,((LTP3!$D$5)*((U1554)*(Q1554)-(R1554)*(V1554))-(LTP3!$D$6)*((S1554)*(Q1554)-(R1554)*(T1554))+(T1554)*((S1554)*(V1554)-(U1554)*(T1554)))/W1554,0)</f>
        <v/>
      </c>
      <c r="Z1554">
        <f>IF(ABS(W1554)&gt;1E-12,((LTP3!$D$5)*((P1554)*(V1554)-(U1554)*(R1554))-(S1554)*((S1554)*(V1554)-(U1554)*(T1554))+(LTP3!$D$6)*((S1554)*(R1554)-(P1554)*(T1554)))/W1554,0)</f>
        <v/>
      </c>
      <c r="AA1554">
        <f>LTP3!$D$7-X1554*LTP3!$D$6-Y1554*U1554-Z1554*V1554</f>
        <v/>
      </c>
      <c r="AB1554">
        <f>IF(AND(F1554,ABS(W1554)&gt;1E-12,Y1554&gt;0,Z1554&gt;0),AA1554,1E+300)</f>
        <v/>
      </c>
    </row>
    <row r="1555">
      <c r="A1555">
        <f>$B$3+$B$5*25</f>
        <v/>
      </c>
      <c r="B1555">
        <f>$B$3+$B$5*18</f>
        <v/>
      </c>
      <c r="C1555">
        <f>SUMPRODUCT(Calc!$K$3:$K$22*(Calc!$G$3:$G$22&lt;=A1555))</f>
        <v/>
      </c>
      <c r="D1555">
        <f>SUMPRODUCT(Calc!$K$3:$K$22*(Calc!$G$3:$G$22&gt;A1555)*(Calc!$G$3:$G$22&lt;B1555))</f>
        <v/>
      </c>
      <c r="E1555">
        <f>SUMPRODUCT(Calc!$K$3:$K$22*(Calc!$G$3:$G$22&gt;=B1555))</f>
        <v/>
      </c>
      <c r="F1555">
        <f>AND(k_n&gt;=5,B1555&gt;A1555+1E-9,C1555&gt;=2,D1555&gt;=1,E1555&gt;=2)</f>
        <v/>
      </c>
      <c r="G1555">
        <f>SUMPRODUCT(Calc!$K$3:$K$22*(Calc!$G$3:$G$22&gt;A1555)*(Calc!$G$3:$G$22-A1555))</f>
        <v/>
      </c>
      <c r="H1555">
        <f>SUMPRODUCT(Calc!$K$3:$K$22*(Calc!$G$3:$G$22&gt;B1555)*(Calc!$G$3:$G$22-B1555))</f>
        <v/>
      </c>
      <c r="I1555">
        <f>SUMPRODUCT(Calc!$K$3:$K$22*(Calc!$G$3:$G$22&gt;A1555)*(Calc!$G$3:$G$22-A1555)^2)</f>
        <v/>
      </c>
      <c r="J1555">
        <f>SUMPRODUCT(Calc!$K$3:$K$22*(Calc!$G$3:$G$22&gt;B1555)*(Calc!$G$3:$G$22-B1555)^2)</f>
        <v/>
      </c>
      <c r="K1555">
        <f>SUMPRODUCT(Calc!$K$3:$K$22*(Calc!$G$3:$G$22&gt;A1555)*(Calc!$G$3:$G$22-A1555)*(Calc!$G$3:$G$22&gt;B1555)*(Calc!$G$3:$G$22-B1555))</f>
        <v/>
      </c>
      <c r="L1555">
        <f>SUMPRODUCT(Calc!$K$3:$K$22*(Calc!$G$3:$G$22&gt;A1555)*(Calc!$G$3:$G$22-A1555)*Calc!$G$3:$G$22)</f>
        <v/>
      </c>
      <c r="M1555">
        <f>SUMPRODUCT(Calc!$K$3:$K$22*(Calc!$G$3:$G$22&gt;B1555)*(Calc!$G$3:$G$22-B1555)*Calc!$G$3:$G$22)</f>
        <v/>
      </c>
      <c r="N1555">
        <f>SUMPRODUCT(Calc!$K$3:$K$22*(Calc!$G$3:$G$22&gt;A1555)*(Calc!$G$3:$G$22-A1555)*Calc!$I$3:$I$22)</f>
        <v/>
      </c>
      <c r="O1555">
        <f>SUMPRODUCT(Calc!$K$3:$K$22*(Calc!$G$3:$G$22&gt;B1555)*(Calc!$G$3:$G$22-B1555)*Calc!$I$3:$I$22)</f>
        <v/>
      </c>
      <c r="P1555">
        <f>I1555-G1555^2/k_n</f>
        <v/>
      </c>
      <c r="Q1555">
        <f>J1555-H1555^2/k_n</f>
        <v/>
      </c>
      <c r="R1555">
        <f>K1555-G1555*H1555/k_n</f>
        <v/>
      </c>
      <c r="S1555">
        <f>L1555-LTP3!$D$3*G1555/k_n</f>
        <v/>
      </c>
      <c r="T1555">
        <f>M1555-LTP3!$D$3*H1555/k_n</f>
        <v/>
      </c>
      <c r="U1555">
        <f>N1555-G1555*LTP3!$D$4/k_n</f>
        <v/>
      </c>
      <c r="V1555">
        <f>O1555-H1555*LTP3!$D$4/k_n</f>
        <v/>
      </c>
      <c r="W1555">
        <f>((LTP3!$D$5)*((P1555)*(Q1555)-(R1555)*(R1555))-(S1555)*((S1555)*(Q1555)-(R1555)*(T1555))+(T1555)*((S1555)*(R1555)-(P1555)*(T1555)))</f>
        <v/>
      </c>
      <c r="X1555">
        <f>IF(ABS(W1555)&gt;1E-12,((LTP3!$D$6)*((P1555)*(Q1555)-(R1555)*(R1555))-(S1555)*((U1555)*(Q1555)-(R1555)*(V1555))+(T1555)*((U1555)*(R1555)-(P1555)*(V1555)))/W1555,0)</f>
        <v/>
      </c>
      <c r="Y1555">
        <f>IF(ABS(W1555)&gt;1E-12,((LTP3!$D$5)*((U1555)*(Q1555)-(R1555)*(V1555))-(LTP3!$D$6)*((S1555)*(Q1555)-(R1555)*(T1555))+(T1555)*((S1555)*(V1555)-(U1555)*(T1555)))/W1555,0)</f>
        <v/>
      </c>
      <c r="Z1555">
        <f>IF(ABS(W1555)&gt;1E-12,((LTP3!$D$5)*((P1555)*(V1555)-(U1555)*(R1555))-(S1555)*((S1555)*(V1555)-(U1555)*(T1555))+(LTP3!$D$6)*((S1555)*(R1555)-(P1555)*(T1555)))/W1555,0)</f>
        <v/>
      </c>
      <c r="AA1555">
        <f>LTP3!$D$7-X1555*LTP3!$D$6-Y1555*U1555-Z1555*V1555</f>
        <v/>
      </c>
      <c r="AB1555">
        <f>IF(AND(F1555,ABS(W1555)&gt;1E-12,Y1555&gt;0,Z1555&gt;0),AA1555,1E+300)</f>
        <v/>
      </c>
    </row>
    <row r="1556">
      <c r="A1556">
        <f>$B$3+$B$5*25</f>
        <v/>
      </c>
      <c r="B1556">
        <f>$B$3+$B$5*19</f>
        <v/>
      </c>
      <c r="C1556">
        <f>SUMPRODUCT(Calc!$K$3:$K$22*(Calc!$G$3:$G$22&lt;=A1556))</f>
        <v/>
      </c>
      <c r="D1556">
        <f>SUMPRODUCT(Calc!$K$3:$K$22*(Calc!$G$3:$G$22&gt;A1556)*(Calc!$G$3:$G$22&lt;B1556))</f>
        <v/>
      </c>
      <c r="E1556">
        <f>SUMPRODUCT(Calc!$K$3:$K$22*(Calc!$G$3:$G$22&gt;=B1556))</f>
        <v/>
      </c>
      <c r="F1556">
        <f>AND(k_n&gt;=5,B1556&gt;A1556+1E-9,C1556&gt;=2,D1556&gt;=1,E1556&gt;=2)</f>
        <v/>
      </c>
      <c r="G1556">
        <f>SUMPRODUCT(Calc!$K$3:$K$22*(Calc!$G$3:$G$22&gt;A1556)*(Calc!$G$3:$G$22-A1556))</f>
        <v/>
      </c>
      <c r="H1556">
        <f>SUMPRODUCT(Calc!$K$3:$K$22*(Calc!$G$3:$G$22&gt;B1556)*(Calc!$G$3:$G$22-B1556))</f>
        <v/>
      </c>
      <c r="I1556">
        <f>SUMPRODUCT(Calc!$K$3:$K$22*(Calc!$G$3:$G$22&gt;A1556)*(Calc!$G$3:$G$22-A1556)^2)</f>
        <v/>
      </c>
      <c r="J1556">
        <f>SUMPRODUCT(Calc!$K$3:$K$22*(Calc!$G$3:$G$22&gt;B1556)*(Calc!$G$3:$G$22-B1556)^2)</f>
        <v/>
      </c>
      <c r="K1556">
        <f>SUMPRODUCT(Calc!$K$3:$K$22*(Calc!$G$3:$G$22&gt;A1556)*(Calc!$G$3:$G$22-A1556)*(Calc!$G$3:$G$22&gt;B1556)*(Calc!$G$3:$G$22-B1556))</f>
        <v/>
      </c>
      <c r="L1556">
        <f>SUMPRODUCT(Calc!$K$3:$K$22*(Calc!$G$3:$G$22&gt;A1556)*(Calc!$G$3:$G$22-A1556)*Calc!$G$3:$G$22)</f>
        <v/>
      </c>
      <c r="M1556">
        <f>SUMPRODUCT(Calc!$K$3:$K$22*(Calc!$G$3:$G$22&gt;B1556)*(Calc!$G$3:$G$22-B1556)*Calc!$G$3:$G$22)</f>
        <v/>
      </c>
      <c r="N1556">
        <f>SUMPRODUCT(Calc!$K$3:$K$22*(Calc!$G$3:$G$22&gt;A1556)*(Calc!$G$3:$G$22-A1556)*Calc!$I$3:$I$22)</f>
        <v/>
      </c>
      <c r="O1556">
        <f>SUMPRODUCT(Calc!$K$3:$K$22*(Calc!$G$3:$G$22&gt;B1556)*(Calc!$G$3:$G$22-B1556)*Calc!$I$3:$I$22)</f>
        <v/>
      </c>
      <c r="P1556">
        <f>I1556-G1556^2/k_n</f>
        <v/>
      </c>
      <c r="Q1556">
        <f>J1556-H1556^2/k_n</f>
        <v/>
      </c>
      <c r="R1556">
        <f>K1556-G1556*H1556/k_n</f>
        <v/>
      </c>
      <c r="S1556">
        <f>L1556-LTP3!$D$3*G1556/k_n</f>
        <v/>
      </c>
      <c r="T1556">
        <f>M1556-LTP3!$D$3*H1556/k_n</f>
        <v/>
      </c>
      <c r="U1556">
        <f>N1556-G1556*LTP3!$D$4/k_n</f>
        <v/>
      </c>
      <c r="V1556">
        <f>O1556-H1556*LTP3!$D$4/k_n</f>
        <v/>
      </c>
      <c r="W1556">
        <f>((LTP3!$D$5)*((P1556)*(Q1556)-(R1556)*(R1556))-(S1556)*((S1556)*(Q1556)-(R1556)*(T1556))+(T1556)*((S1556)*(R1556)-(P1556)*(T1556)))</f>
        <v/>
      </c>
      <c r="X1556">
        <f>IF(ABS(W1556)&gt;1E-12,((LTP3!$D$6)*((P1556)*(Q1556)-(R1556)*(R1556))-(S1556)*((U1556)*(Q1556)-(R1556)*(V1556))+(T1556)*((U1556)*(R1556)-(P1556)*(V1556)))/W1556,0)</f>
        <v/>
      </c>
      <c r="Y1556">
        <f>IF(ABS(W1556)&gt;1E-12,((LTP3!$D$5)*((U1556)*(Q1556)-(R1556)*(V1556))-(LTP3!$D$6)*((S1556)*(Q1556)-(R1556)*(T1556))+(T1556)*((S1556)*(V1556)-(U1556)*(T1556)))/W1556,0)</f>
        <v/>
      </c>
      <c r="Z1556">
        <f>IF(ABS(W1556)&gt;1E-12,((LTP3!$D$5)*((P1556)*(V1556)-(U1556)*(R1556))-(S1556)*((S1556)*(V1556)-(U1556)*(T1556))+(LTP3!$D$6)*((S1556)*(R1556)-(P1556)*(T1556)))/W1556,0)</f>
        <v/>
      </c>
      <c r="AA1556">
        <f>LTP3!$D$7-X1556*LTP3!$D$6-Y1556*U1556-Z1556*V1556</f>
        <v/>
      </c>
      <c r="AB1556">
        <f>IF(AND(F1556,ABS(W1556)&gt;1E-12,Y1556&gt;0,Z1556&gt;0),AA1556,1E+300)</f>
        <v/>
      </c>
    </row>
    <row r="1557">
      <c r="A1557">
        <f>$B$3+$B$5*25</f>
        <v/>
      </c>
      <c r="B1557">
        <f>$B$3+$B$5*20</f>
        <v/>
      </c>
      <c r="C1557">
        <f>SUMPRODUCT(Calc!$K$3:$K$22*(Calc!$G$3:$G$22&lt;=A1557))</f>
        <v/>
      </c>
      <c r="D1557">
        <f>SUMPRODUCT(Calc!$K$3:$K$22*(Calc!$G$3:$G$22&gt;A1557)*(Calc!$G$3:$G$22&lt;B1557))</f>
        <v/>
      </c>
      <c r="E1557">
        <f>SUMPRODUCT(Calc!$K$3:$K$22*(Calc!$G$3:$G$22&gt;=B1557))</f>
        <v/>
      </c>
      <c r="F1557">
        <f>AND(k_n&gt;=5,B1557&gt;A1557+1E-9,C1557&gt;=2,D1557&gt;=1,E1557&gt;=2)</f>
        <v/>
      </c>
      <c r="G1557">
        <f>SUMPRODUCT(Calc!$K$3:$K$22*(Calc!$G$3:$G$22&gt;A1557)*(Calc!$G$3:$G$22-A1557))</f>
        <v/>
      </c>
      <c r="H1557">
        <f>SUMPRODUCT(Calc!$K$3:$K$22*(Calc!$G$3:$G$22&gt;B1557)*(Calc!$G$3:$G$22-B1557))</f>
        <v/>
      </c>
      <c r="I1557">
        <f>SUMPRODUCT(Calc!$K$3:$K$22*(Calc!$G$3:$G$22&gt;A1557)*(Calc!$G$3:$G$22-A1557)^2)</f>
        <v/>
      </c>
      <c r="J1557">
        <f>SUMPRODUCT(Calc!$K$3:$K$22*(Calc!$G$3:$G$22&gt;B1557)*(Calc!$G$3:$G$22-B1557)^2)</f>
        <v/>
      </c>
      <c r="K1557">
        <f>SUMPRODUCT(Calc!$K$3:$K$22*(Calc!$G$3:$G$22&gt;A1557)*(Calc!$G$3:$G$22-A1557)*(Calc!$G$3:$G$22&gt;B1557)*(Calc!$G$3:$G$22-B1557))</f>
        <v/>
      </c>
      <c r="L1557">
        <f>SUMPRODUCT(Calc!$K$3:$K$22*(Calc!$G$3:$G$22&gt;A1557)*(Calc!$G$3:$G$22-A1557)*Calc!$G$3:$G$22)</f>
        <v/>
      </c>
      <c r="M1557">
        <f>SUMPRODUCT(Calc!$K$3:$K$22*(Calc!$G$3:$G$22&gt;B1557)*(Calc!$G$3:$G$22-B1557)*Calc!$G$3:$G$22)</f>
        <v/>
      </c>
      <c r="N1557">
        <f>SUMPRODUCT(Calc!$K$3:$K$22*(Calc!$G$3:$G$22&gt;A1557)*(Calc!$G$3:$G$22-A1557)*Calc!$I$3:$I$22)</f>
        <v/>
      </c>
      <c r="O1557">
        <f>SUMPRODUCT(Calc!$K$3:$K$22*(Calc!$G$3:$G$22&gt;B1557)*(Calc!$G$3:$G$22-B1557)*Calc!$I$3:$I$22)</f>
        <v/>
      </c>
      <c r="P1557">
        <f>I1557-G1557^2/k_n</f>
        <v/>
      </c>
      <c r="Q1557">
        <f>J1557-H1557^2/k_n</f>
        <v/>
      </c>
      <c r="R1557">
        <f>K1557-G1557*H1557/k_n</f>
        <v/>
      </c>
      <c r="S1557">
        <f>L1557-LTP3!$D$3*G1557/k_n</f>
        <v/>
      </c>
      <c r="T1557">
        <f>M1557-LTP3!$D$3*H1557/k_n</f>
        <v/>
      </c>
      <c r="U1557">
        <f>N1557-G1557*LTP3!$D$4/k_n</f>
        <v/>
      </c>
      <c r="V1557">
        <f>O1557-H1557*LTP3!$D$4/k_n</f>
        <v/>
      </c>
      <c r="W1557">
        <f>((LTP3!$D$5)*((P1557)*(Q1557)-(R1557)*(R1557))-(S1557)*((S1557)*(Q1557)-(R1557)*(T1557))+(T1557)*((S1557)*(R1557)-(P1557)*(T1557)))</f>
        <v/>
      </c>
      <c r="X1557">
        <f>IF(ABS(W1557)&gt;1E-12,((LTP3!$D$6)*((P1557)*(Q1557)-(R1557)*(R1557))-(S1557)*((U1557)*(Q1557)-(R1557)*(V1557))+(T1557)*((U1557)*(R1557)-(P1557)*(V1557)))/W1557,0)</f>
        <v/>
      </c>
      <c r="Y1557">
        <f>IF(ABS(W1557)&gt;1E-12,((LTP3!$D$5)*((U1557)*(Q1557)-(R1557)*(V1557))-(LTP3!$D$6)*((S1557)*(Q1557)-(R1557)*(T1557))+(T1557)*((S1557)*(V1557)-(U1557)*(T1557)))/W1557,0)</f>
        <v/>
      </c>
      <c r="Z1557">
        <f>IF(ABS(W1557)&gt;1E-12,((LTP3!$D$5)*((P1557)*(V1557)-(U1557)*(R1557))-(S1557)*((S1557)*(V1557)-(U1557)*(T1557))+(LTP3!$D$6)*((S1557)*(R1557)-(P1557)*(T1557)))/W1557,0)</f>
        <v/>
      </c>
      <c r="AA1557">
        <f>LTP3!$D$7-X1557*LTP3!$D$6-Y1557*U1557-Z1557*V1557</f>
        <v/>
      </c>
      <c r="AB1557">
        <f>IF(AND(F1557,ABS(W1557)&gt;1E-12,Y1557&gt;0,Z1557&gt;0),AA1557,1E+300)</f>
        <v/>
      </c>
    </row>
    <row r="1558">
      <c r="A1558">
        <f>$B$3+$B$5*25</f>
        <v/>
      </c>
      <c r="B1558">
        <f>$B$3+$B$5*21</f>
        <v/>
      </c>
      <c r="C1558">
        <f>SUMPRODUCT(Calc!$K$3:$K$22*(Calc!$G$3:$G$22&lt;=A1558))</f>
        <v/>
      </c>
      <c r="D1558">
        <f>SUMPRODUCT(Calc!$K$3:$K$22*(Calc!$G$3:$G$22&gt;A1558)*(Calc!$G$3:$G$22&lt;B1558))</f>
        <v/>
      </c>
      <c r="E1558">
        <f>SUMPRODUCT(Calc!$K$3:$K$22*(Calc!$G$3:$G$22&gt;=B1558))</f>
        <v/>
      </c>
      <c r="F1558">
        <f>AND(k_n&gt;=5,B1558&gt;A1558+1E-9,C1558&gt;=2,D1558&gt;=1,E1558&gt;=2)</f>
        <v/>
      </c>
      <c r="G1558">
        <f>SUMPRODUCT(Calc!$K$3:$K$22*(Calc!$G$3:$G$22&gt;A1558)*(Calc!$G$3:$G$22-A1558))</f>
        <v/>
      </c>
      <c r="H1558">
        <f>SUMPRODUCT(Calc!$K$3:$K$22*(Calc!$G$3:$G$22&gt;B1558)*(Calc!$G$3:$G$22-B1558))</f>
        <v/>
      </c>
      <c r="I1558">
        <f>SUMPRODUCT(Calc!$K$3:$K$22*(Calc!$G$3:$G$22&gt;A1558)*(Calc!$G$3:$G$22-A1558)^2)</f>
        <v/>
      </c>
      <c r="J1558">
        <f>SUMPRODUCT(Calc!$K$3:$K$22*(Calc!$G$3:$G$22&gt;B1558)*(Calc!$G$3:$G$22-B1558)^2)</f>
        <v/>
      </c>
      <c r="K1558">
        <f>SUMPRODUCT(Calc!$K$3:$K$22*(Calc!$G$3:$G$22&gt;A1558)*(Calc!$G$3:$G$22-A1558)*(Calc!$G$3:$G$22&gt;B1558)*(Calc!$G$3:$G$22-B1558))</f>
        <v/>
      </c>
      <c r="L1558">
        <f>SUMPRODUCT(Calc!$K$3:$K$22*(Calc!$G$3:$G$22&gt;A1558)*(Calc!$G$3:$G$22-A1558)*Calc!$G$3:$G$22)</f>
        <v/>
      </c>
      <c r="M1558">
        <f>SUMPRODUCT(Calc!$K$3:$K$22*(Calc!$G$3:$G$22&gt;B1558)*(Calc!$G$3:$G$22-B1558)*Calc!$G$3:$G$22)</f>
        <v/>
      </c>
      <c r="N1558">
        <f>SUMPRODUCT(Calc!$K$3:$K$22*(Calc!$G$3:$G$22&gt;A1558)*(Calc!$G$3:$G$22-A1558)*Calc!$I$3:$I$22)</f>
        <v/>
      </c>
      <c r="O1558">
        <f>SUMPRODUCT(Calc!$K$3:$K$22*(Calc!$G$3:$G$22&gt;B1558)*(Calc!$G$3:$G$22-B1558)*Calc!$I$3:$I$22)</f>
        <v/>
      </c>
      <c r="P1558">
        <f>I1558-G1558^2/k_n</f>
        <v/>
      </c>
      <c r="Q1558">
        <f>J1558-H1558^2/k_n</f>
        <v/>
      </c>
      <c r="R1558">
        <f>K1558-G1558*H1558/k_n</f>
        <v/>
      </c>
      <c r="S1558">
        <f>L1558-LTP3!$D$3*G1558/k_n</f>
        <v/>
      </c>
      <c r="T1558">
        <f>M1558-LTP3!$D$3*H1558/k_n</f>
        <v/>
      </c>
      <c r="U1558">
        <f>N1558-G1558*LTP3!$D$4/k_n</f>
        <v/>
      </c>
      <c r="V1558">
        <f>O1558-H1558*LTP3!$D$4/k_n</f>
        <v/>
      </c>
      <c r="W1558">
        <f>((LTP3!$D$5)*((P1558)*(Q1558)-(R1558)*(R1558))-(S1558)*((S1558)*(Q1558)-(R1558)*(T1558))+(T1558)*((S1558)*(R1558)-(P1558)*(T1558)))</f>
        <v/>
      </c>
      <c r="X1558">
        <f>IF(ABS(W1558)&gt;1E-12,((LTP3!$D$6)*((P1558)*(Q1558)-(R1558)*(R1558))-(S1558)*((U1558)*(Q1558)-(R1558)*(V1558))+(T1558)*((U1558)*(R1558)-(P1558)*(V1558)))/W1558,0)</f>
        <v/>
      </c>
      <c r="Y1558">
        <f>IF(ABS(W1558)&gt;1E-12,((LTP3!$D$5)*((U1558)*(Q1558)-(R1558)*(V1558))-(LTP3!$D$6)*((S1558)*(Q1558)-(R1558)*(T1558))+(T1558)*((S1558)*(V1558)-(U1558)*(T1558)))/W1558,0)</f>
        <v/>
      </c>
      <c r="Z1558">
        <f>IF(ABS(W1558)&gt;1E-12,((LTP3!$D$5)*((P1558)*(V1558)-(U1558)*(R1558))-(S1558)*((S1558)*(V1558)-(U1558)*(T1558))+(LTP3!$D$6)*((S1558)*(R1558)-(P1558)*(T1558)))/W1558,0)</f>
        <v/>
      </c>
      <c r="AA1558">
        <f>LTP3!$D$7-X1558*LTP3!$D$6-Y1558*U1558-Z1558*V1558</f>
        <v/>
      </c>
      <c r="AB1558">
        <f>IF(AND(F1558,ABS(W1558)&gt;1E-12,Y1558&gt;0,Z1558&gt;0),AA1558,1E+300)</f>
        <v/>
      </c>
    </row>
    <row r="1559">
      <c r="A1559">
        <f>$B$3+$B$5*25</f>
        <v/>
      </c>
      <c r="B1559">
        <f>$B$3+$B$5*22</f>
        <v/>
      </c>
      <c r="C1559">
        <f>SUMPRODUCT(Calc!$K$3:$K$22*(Calc!$G$3:$G$22&lt;=A1559))</f>
        <v/>
      </c>
      <c r="D1559">
        <f>SUMPRODUCT(Calc!$K$3:$K$22*(Calc!$G$3:$G$22&gt;A1559)*(Calc!$G$3:$G$22&lt;B1559))</f>
        <v/>
      </c>
      <c r="E1559">
        <f>SUMPRODUCT(Calc!$K$3:$K$22*(Calc!$G$3:$G$22&gt;=B1559))</f>
        <v/>
      </c>
      <c r="F1559">
        <f>AND(k_n&gt;=5,B1559&gt;A1559+1E-9,C1559&gt;=2,D1559&gt;=1,E1559&gt;=2)</f>
        <v/>
      </c>
      <c r="G1559">
        <f>SUMPRODUCT(Calc!$K$3:$K$22*(Calc!$G$3:$G$22&gt;A1559)*(Calc!$G$3:$G$22-A1559))</f>
        <v/>
      </c>
      <c r="H1559">
        <f>SUMPRODUCT(Calc!$K$3:$K$22*(Calc!$G$3:$G$22&gt;B1559)*(Calc!$G$3:$G$22-B1559))</f>
        <v/>
      </c>
      <c r="I1559">
        <f>SUMPRODUCT(Calc!$K$3:$K$22*(Calc!$G$3:$G$22&gt;A1559)*(Calc!$G$3:$G$22-A1559)^2)</f>
        <v/>
      </c>
      <c r="J1559">
        <f>SUMPRODUCT(Calc!$K$3:$K$22*(Calc!$G$3:$G$22&gt;B1559)*(Calc!$G$3:$G$22-B1559)^2)</f>
        <v/>
      </c>
      <c r="K1559">
        <f>SUMPRODUCT(Calc!$K$3:$K$22*(Calc!$G$3:$G$22&gt;A1559)*(Calc!$G$3:$G$22-A1559)*(Calc!$G$3:$G$22&gt;B1559)*(Calc!$G$3:$G$22-B1559))</f>
        <v/>
      </c>
      <c r="L1559">
        <f>SUMPRODUCT(Calc!$K$3:$K$22*(Calc!$G$3:$G$22&gt;A1559)*(Calc!$G$3:$G$22-A1559)*Calc!$G$3:$G$22)</f>
        <v/>
      </c>
      <c r="M1559">
        <f>SUMPRODUCT(Calc!$K$3:$K$22*(Calc!$G$3:$G$22&gt;B1559)*(Calc!$G$3:$G$22-B1559)*Calc!$G$3:$G$22)</f>
        <v/>
      </c>
      <c r="N1559">
        <f>SUMPRODUCT(Calc!$K$3:$K$22*(Calc!$G$3:$G$22&gt;A1559)*(Calc!$G$3:$G$22-A1559)*Calc!$I$3:$I$22)</f>
        <v/>
      </c>
      <c r="O1559">
        <f>SUMPRODUCT(Calc!$K$3:$K$22*(Calc!$G$3:$G$22&gt;B1559)*(Calc!$G$3:$G$22-B1559)*Calc!$I$3:$I$22)</f>
        <v/>
      </c>
      <c r="P1559">
        <f>I1559-G1559^2/k_n</f>
        <v/>
      </c>
      <c r="Q1559">
        <f>J1559-H1559^2/k_n</f>
        <v/>
      </c>
      <c r="R1559">
        <f>K1559-G1559*H1559/k_n</f>
        <v/>
      </c>
      <c r="S1559">
        <f>L1559-LTP3!$D$3*G1559/k_n</f>
        <v/>
      </c>
      <c r="T1559">
        <f>M1559-LTP3!$D$3*H1559/k_n</f>
        <v/>
      </c>
      <c r="U1559">
        <f>N1559-G1559*LTP3!$D$4/k_n</f>
        <v/>
      </c>
      <c r="V1559">
        <f>O1559-H1559*LTP3!$D$4/k_n</f>
        <v/>
      </c>
      <c r="W1559">
        <f>((LTP3!$D$5)*((P1559)*(Q1559)-(R1559)*(R1559))-(S1559)*((S1559)*(Q1559)-(R1559)*(T1559))+(T1559)*((S1559)*(R1559)-(P1559)*(T1559)))</f>
        <v/>
      </c>
      <c r="X1559">
        <f>IF(ABS(W1559)&gt;1E-12,((LTP3!$D$6)*((P1559)*(Q1559)-(R1559)*(R1559))-(S1559)*((U1559)*(Q1559)-(R1559)*(V1559))+(T1559)*((U1559)*(R1559)-(P1559)*(V1559)))/W1559,0)</f>
        <v/>
      </c>
      <c r="Y1559">
        <f>IF(ABS(W1559)&gt;1E-12,((LTP3!$D$5)*((U1559)*(Q1559)-(R1559)*(V1559))-(LTP3!$D$6)*((S1559)*(Q1559)-(R1559)*(T1559))+(T1559)*((S1559)*(V1559)-(U1559)*(T1559)))/W1559,0)</f>
        <v/>
      </c>
      <c r="Z1559">
        <f>IF(ABS(W1559)&gt;1E-12,((LTP3!$D$5)*((P1559)*(V1559)-(U1559)*(R1559))-(S1559)*((S1559)*(V1559)-(U1559)*(T1559))+(LTP3!$D$6)*((S1559)*(R1559)-(P1559)*(T1559)))/W1559,0)</f>
        <v/>
      </c>
      <c r="AA1559">
        <f>LTP3!$D$7-X1559*LTP3!$D$6-Y1559*U1559-Z1559*V1559</f>
        <v/>
      </c>
      <c r="AB1559">
        <f>IF(AND(F1559,ABS(W1559)&gt;1E-12,Y1559&gt;0,Z1559&gt;0),AA1559,1E+300)</f>
        <v/>
      </c>
    </row>
    <row r="1560">
      <c r="A1560">
        <f>$B$3+$B$5*25</f>
        <v/>
      </c>
      <c r="B1560">
        <f>$B$3+$B$5*23</f>
        <v/>
      </c>
      <c r="C1560">
        <f>SUMPRODUCT(Calc!$K$3:$K$22*(Calc!$G$3:$G$22&lt;=A1560))</f>
        <v/>
      </c>
      <c r="D1560">
        <f>SUMPRODUCT(Calc!$K$3:$K$22*(Calc!$G$3:$G$22&gt;A1560)*(Calc!$G$3:$G$22&lt;B1560))</f>
        <v/>
      </c>
      <c r="E1560">
        <f>SUMPRODUCT(Calc!$K$3:$K$22*(Calc!$G$3:$G$22&gt;=B1560))</f>
        <v/>
      </c>
      <c r="F1560">
        <f>AND(k_n&gt;=5,B1560&gt;A1560+1E-9,C1560&gt;=2,D1560&gt;=1,E1560&gt;=2)</f>
        <v/>
      </c>
      <c r="G1560">
        <f>SUMPRODUCT(Calc!$K$3:$K$22*(Calc!$G$3:$G$22&gt;A1560)*(Calc!$G$3:$G$22-A1560))</f>
        <v/>
      </c>
      <c r="H1560">
        <f>SUMPRODUCT(Calc!$K$3:$K$22*(Calc!$G$3:$G$22&gt;B1560)*(Calc!$G$3:$G$22-B1560))</f>
        <v/>
      </c>
      <c r="I1560">
        <f>SUMPRODUCT(Calc!$K$3:$K$22*(Calc!$G$3:$G$22&gt;A1560)*(Calc!$G$3:$G$22-A1560)^2)</f>
        <v/>
      </c>
      <c r="J1560">
        <f>SUMPRODUCT(Calc!$K$3:$K$22*(Calc!$G$3:$G$22&gt;B1560)*(Calc!$G$3:$G$22-B1560)^2)</f>
        <v/>
      </c>
      <c r="K1560">
        <f>SUMPRODUCT(Calc!$K$3:$K$22*(Calc!$G$3:$G$22&gt;A1560)*(Calc!$G$3:$G$22-A1560)*(Calc!$G$3:$G$22&gt;B1560)*(Calc!$G$3:$G$22-B1560))</f>
        <v/>
      </c>
      <c r="L1560">
        <f>SUMPRODUCT(Calc!$K$3:$K$22*(Calc!$G$3:$G$22&gt;A1560)*(Calc!$G$3:$G$22-A1560)*Calc!$G$3:$G$22)</f>
        <v/>
      </c>
      <c r="M1560">
        <f>SUMPRODUCT(Calc!$K$3:$K$22*(Calc!$G$3:$G$22&gt;B1560)*(Calc!$G$3:$G$22-B1560)*Calc!$G$3:$G$22)</f>
        <v/>
      </c>
      <c r="N1560">
        <f>SUMPRODUCT(Calc!$K$3:$K$22*(Calc!$G$3:$G$22&gt;A1560)*(Calc!$G$3:$G$22-A1560)*Calc!$I$3:$I$22)</f>
        <v/>
      </c>
      <c r="O1560">
        <f>SUMPRODUCT(Calc!$K$3:$K$22*(Calc!$G$3:$G$22&gt;B1560)*(Calc!$G$3:$G$22-B1560)*Calc!$I$3:$I$22)</f>
        <v/>
      </c>
      <c r="P1560">
        <f>I1560-G1560^2/k_n</f>
        <v/>
      </c>
      <c r="Q1560">
        <f>J1560-H1560^2/k_n</f>
        <v/>
      </c>
      <c r="R1560">
        <f>K1560-G1560*H1560/k_n</f>
        <v/>
      </c>
      <c r="S1560">
        <f>L1560-LTP3!$D$3*G1560/k_n</f>
        <v/>
      </c>
      <c r="T1560">
        <f>M1560-LTP3!$D$3*H1560/k_n</f>
        <v/>
      </c>
      <c r="U1560">
        <f>N1560-G1560*LTP3!$D$4/k_n</f>
        <v/>
      </c>
      <c r="V1560">
        <f>O1560-H1560*LTP3!$D$4/k_n</f>
        <v/>
      </c>
      <c r="W1560">
        <f>((LTP3!$D$5)*((P1560)*(Q1560)-(R1560)*(R1560))-(S1560)*((S1560)*(Q1560)-(R1560)*(T1560))+(T1560)*((S1560)*(R1560)-(P1560)*(T1560)))</f>
        <v/>
      </c>
      <c r="X1560">
        <f>IF(ABS(W1560)&gt;1E-12,((LTP3!$D$6)*((P1560)*(Q1560)-(R1560)*(R1560))-(S1560)*((U1560)*(Q1560)-(R1560)*(V1560))+(T1560)*((U1560)*(R1560)-(P1560)*(V1560)))/W1560,0)</f>
        <v/>
      </c>
      <c r="Y1560">
        <f>IF(ABS(W1560)&gt;1E-12,((LTP3!$D$5)*((U1560)*(Q1560)-(R1560)*(V1560))-(LTP3!$D$6)*((S1560)*(Q1560)-(R1560)*(T1560))+(T1560)*((S1560)*(V1560)-(U1560)*(T1560)))/W1560,0)</f>
        <v/>
      </c>
      <c r="Z1560">
        <f>IF(ABS(W1560)&gt;1E-12,((LTP3!$D$5)*((P1560)*(V1560)-(U1560)*(R1560))-(S1560)*((S1560)*(V1560)-(U1560)*(T1560))+(LTP3!$D$6)*((S1560)*(R1560)-(P1560)*(T1560)))/W1560,0)</f>
        <v/>
      </c>
      <c r="AA1560">
        <f>LTP3!$D$7-X1560*LTP3!$D$6-Y1560*U1560-Z1560*V1560</f>
        <v/>
      </c>
      <c r="AB1560">
        <f>IF(AND(F1560,ABS(W1560)&gt;1E-12,Y1560&gt;0,Z1560&gt;0),AA1560,1E+300)</f>
        <v/>
      </c>
    </row>
    <row r="1561">
      <c r="A1561">
        <f>$B$3+$B$5*25</f>
        <v/>
      </c>
      <c r="B1561">
        <f>$B$3+$B$5*24</f>
        <v/>
      </c>
      <c r="C1561">
        <f>SUMPRODUCT(Calc!$K$3:$K$22*(Calc!$G$3:$G$22&lt;=A1561))</f>
        <v/>
      </c>
      <c r="D1561">
        <f>SUMPRODUCT(Calc!$K$3:$K$22*(Calc!$G$3:$G$22&gt;A1561)*(Calc!$G$3:$G$22&lt;B1561))</f>
        <v/>
      </c>
      <c r="E1561">
        <f>SUMPRODUCT(Calc!$K$3:$K$22*(Calc!$G$3:$G$22&gt;=B1561))</f>
        <v/>
      </c>
      <c r="F1561">
        <f>AND(k_n&gt;=5,B1561&gt;A1561+1E-9,C1561&gt;=2,D1561&gt;=1,E1561&gt;=2)</f>
        <v/>
      </c>
      <c r="G1561">
        <f>SUMPRODUCT(Calc!$K$3:$K$22*(Calc!$G$3:$G$22&gt;A1561)*(Calc!$G$3:$G$22-A1561))</f>
        <v/>
      </c>
      <c r="H1561">
        <f>SUMPRODUCT(Calc!$K$3:$K$22*(Calc!$G$3:$G$22&gt;B1561)*(Calc!$G$3:$G$22-B1561))</f>
        <v/>
      </c>
      <c r="I1561">
        <f>SUMPRODUCT(Calc!$K$3:$K$22*(Calc!$G$3:$G$22&gt;A1561)*(Calc!$G$3:$G$22-A1561)^2)</f>
        <v/>
      </c>
      <c r="J1561">
        <f>SUMPRODUCT(Calc!$K$3:$K$22*(Calc!$G$3:$G$22&gt;B1561)*(Calc!$G$3:$G$22-B1561)^2)</f>
        <v/>
      </c>
      <c r="K1561">
        <f>SUMPRODUCT(Calc!$K$3:$K$22*(Calc!$G$3:$G$22&gt;A1561)*(Calc!$G$3:$G$22-A1561)*(Calc!$G$3:$G$22&gt;B1561)*(Calc!$G$3:$G$22-B1561))</f>
        <v/>
      </c>
      <c r="L1561">
        <f>SUMPRODUCT(Calc!$K$3:$K$22*(Calc!$G$3:$G$22&gt;A1561)*(Calc!$G$3:$G$22-A1561)*Calc!$G$3:$G$22)</f>
        <v/>
      </c>
      <c r="M1561">
        <f>SUMPRODUCT(Calc!$K$3:$K$22*(Calc!$G$3:$G$22&gt;B1561)*(Calc!$G$3:$G$22-B1561)*Calc!$G$3:$G$22)</f>
        <v/>
      </c>
      <c r="N1561">
        <f>SUMPRODUCT(Calc!$K$3:$K$22*(Calc!$G$3:$G$22&gt;A1561)*(Calc!$G$3:$G$22-A1561)*Calc!$I$3:$I$22)</f>
        <v/>
      </c>
      <c r="O1561">
        <f>SUMPRODUCT(Calc!$K$3:$K$22*(Calc!$G$3:$G$22&gt;B1561)*(Calc!$G$3:$G$22-B1561)*Calc!$I$3:$I$22)</f>
        <v/>
      </c>
      <c r="P1561">
        <f>I1561-G1561^2/k_n</f>
        <v/>
      </c>
      <c r="Q1561">
        <f>J1561-H1561^2/k_n</f>
        <v/>
      </c>
      <c r="R1561">
        <f>K1561-G1561*H1561/k_n</f>
        <v/>
      </c>
      <c r="S1561">
        <f>L1561-LTP3!$D$3*G1561/k_n</f>
        <v/>
      </c>
      <c r="T1561">
        <f>M1561-LTP3!$D$3*H1561/k_n</f>
        <v/>
      </c>
      <c r="U1561">
        <f>N1561-G1561*LTP3!$D$4/k_n</f>
        <v/>
      </c>
      <c r="V1561">
        <f>O1561-H1561*LTP3!$D$4/k_n</f>
        <v/>
      </c>
      <c r="W1561">
        <f>((LTP3!$D$5)*((P1561)*(Q1561)-(R1561)*(R1561))-(S1561)*((S1561)*(Q1561)-(R1561)*(T1561))+(T1561)*((S1561)*(R1561)-(P1561)*(T1561)))</f>
        <v/>
      </c>
      <c r="X1561">
        <f>IF(ABS(W1561)&gt;1E-12,((LTP3!$D$6)*((P1561)*(Q1561)-(R1561)*(R1561))-(S1561)*((U1561)*(Q1561)-(R1561)*(V1561))+(T1561)*((U1561)*(R1561)-(P1561)*(V1561)))/W1561,0)</f>
        <v/>
      </c>
      <c r="Y1561">
        <f>IF(ABS(W1561)&gt;1E-12,((LTP3!$D$5)*((U1561)*(Q1561)-(R1561)*(V1561))-(LTP3!$D$6)*((S1561)*(Q1561)-(R1561)*(T1561))+(T1561)*((S1561)*(V1561)-(U1561)*(T1561)))/W1561,0)</f>
        <v/>
      </c>
      <c r="Z1561">
        <f>IF(ABS(W1561)&gt;1E-12,((LTP3!$D$5)*((P1561)*(V1561)-(U1561)*(R1561))-(S1561)*((S1561)*(V1561)-(U1561)*(T1561))+(LTP3!$D$6)*((S1561)*(R1561)-(P1561)*(T1561)))/W1561,0)</f>
        <v/>
      </c>
      <c r="AA1561">
        <f>LTP3!$D$7-X1561*LTP3!$D$6-Y1561*U1561-Z1561*V1561</f>
        <v/>
      </c>
      <c r="AB1561">
        <f>IF(AND(F1561,ABS(W1561)&gt;1E-12,Y1561&gt;0,Z1561&gt;0),AA1561,1E+300)</f>
        <v/>
      </c>
    </row>
    <row r="1562">
      <c r="A1562">
        <f>$B$3+$B$5*25</f>
        <v/>
      </c>
      <c r="B1562">
        <f>$B$3+$B$5*25</f>
        <v/>
      </c>
      <c r="C1562">
        <f>SUMPRODUCT(Calc!$K$3:$K$22*(Calc!$G$3:$G$22&lt;=A1562))</f>
        <v/>
      </c>
      <c r="D1562">
        <f>SUMPRODUCT(Calc!$K$3:$K$22*(Calc!$G$3:$G$22&gt;A1562)*(Calc!$G$3:$G$22&lt;B1562))</f>
        <v/>
      </c>
      <c r="E1562">
        <f>SUMPRODUCT(Calc!$K$3:$K$22*(Calc!$G$3:$G$22&gt;=B1562))</f>
        <v/>
      </c>
      <c r="F1562">
        <f>AND(k_n&gt;=5,B1562&gt;A1562+1E-9,C1562&gt;=2,D1562&gt;=1,E1562&gt;=2)</f>
        <v/>
      </c>
      <c r="G1562">
        <f>SUMPRODUCT(Calc!$K$3:$K$22*(Calc!$G$3:$G$22&gt;A1562)*(Calc!$G$3:$G$22-A1562))</f>
        <v/>
      </c>
      <c r="H1562">
        <f>SUMPRODUCT(Calc!$K$3:$K$22*(Calc!$G$3:$G$22&gt;B1562)*(Calc!$G$3:$G$22-B1562))</f>
        <v/>
      </c>
      <c r="I1562">
        <f>SUMPRODUCT(Calc!$K$3:$K$22*(Calc!$G$3:$G$22&gt;A1562)*(Calc!$G$3:$G$22-A1562)^2)</f>
        <v/>
      </c>
      <c r="J1562">
        <f>SUMPRODUCT(Calc!$K$3:$K$22*(Calc!$G$3:$G$22&gt;B1562)*(Calc!$G$3:$G$22-B1562)^2)</f>
        <v/>
      </c>
      <c r="K1562">
        <f>SUMPRODUCT(Calc!$K$3:$K$22*(Calc!$G$3:$G$22&gt;A1562)*(Calc!$G$3:$G$22-A1562)*(Calc!$G$3:$G$22&gt;B1562)*(Calc!$G$3:$G$22-B1562))</f>
        <v/>
      </c>
      <c r="L1562">
        <f>SUMPRODUCT(Calc!$K$3:$K$22*(Calc!$G$3:$G$22&gt;A1562)*(Calc!$G$3:$G$22-A1562)*Calc!$G$3:$G$22)</f>
        <v/>
      </c>
      <c r="M1562">
        <f>SUMPRODUCT(Calc!$K$3:$K$22*(Calc!$G$3:$G$22&gt;B1562)*(Calc!$G$3:$G$22-B1562)*Calc!$G$3:$G$22)</f>
        <v/>
      </c>
      <c r="N1562">
        <f>SUMPRODUCT(Calc!$K$3:$K$22*(Calc!$G$3:$G$22&gt;A1562)*(Calc!$G$3:$G$22-A1562)*Calc!$I$3:$I$22)</f>
        <v/>
      </c>
      <c r="O1562">
        <f>SUMPRODUCT(Calc!$K$3:$K$22*(Calc!$G$3:$G$22&gt;B1562)*(Calc!$G$3:$G$22-B1562)*Calc!$I$3:$I$22)</f>
        <v/>
      </c>
      <c r="P1562">
        <f>I1562-G1562^2/k_n</f>
        <v/>
      </c>
      <c r="Q1562">
        <f>J1562-H1562^2/k_n</f>
        <v/>
      </c>
      <c r="R1562">
        <f>K1562-G1562*H1562/k_n</f>
        <v/>
      </c>
      <c r="S1562">
        <f>L1562-LTP3!$D$3*G1562/k_n</f>
        <v/>
      </c>
      <c r="T1562">
        <f>M1562-LTP3!$D$3*H1562/k_n</f>
        <v/>
      </c>
      <c r="U1562">
        <f>N1562-G1562*LTP3!$D$4/k_n</f>
        <v/>
      </c>
      <c r="V1562">
        <f>O1562-H1562*LTP3!$D$4/k_n</f>
        <v/>
      </c>
      <c r="W1562">
        <f>((LTP3!$D$5)*((P1562)*(Q1562)-(R1562)*(R1562))-(S1562)*((S1562)*(Q1562)-(R1562)*(T1562))+(T1562)*((S1562)*(R1562)-(P1562)*(T1562)))</f>
        <v/>
      </c>
      <c r="X1562">
        <f>IF(ABS(W1562)&gt;1E-12,((LTP3!$D$6)*((P1562)*(Q1562)-(R1562)*(R1562))-(S1562)*((U1562)*(Q1562)-(R1562)*(V1562))+(T1562)*((U1562)*(R1562)-(P1562)*(V1562)))/W1562,0)</f>
        <v/>
      </c>
      <c r="Y1562">
        <f>IF(ABS(W1562)&gt;1E-12,((LTP3!$D$5)*((U1562)*(Q1562)-(R1562)*(V1562))-(LTP3!$D$6)*((S1562)*(Q1562)-(R1562)*(T1562))+(T1562)*((S1562)*(V1562)-(U1562)*(T1562)))/W1562,0)</f>
        <v/>
      </c>
      <c r="Z1562">
        <f>IF(ABS(W1562)&gt;1E-12,((LTP3!$D$5)*((P1562)*(V1562)-(U1562)*(R1562))-(S1562)*((S1562)*(V1562)-(U1562)*(T1562))+(LTP3!$D$6)*((S1562)*(R1562)-(P1562)*(T1562)))/W1562,0)</f>
        <v/>
      </c>
      <c r="AA1562">
        <f>LTP3!$D$7-X1562*LTP3!$D$6-Y1562*U1562-Z1562*V1562</f>
        <v/>
      </c>
      <c r="AB1562">
        <f>IF(AND(F1562,ABS(W1562)&gt;1E-12,Y1562&gt;0,Z1562&gt;0),AA1562,1E+300)</f>
        <v/>
      </c>
    </row>
    <row r="1563">
      <c r="A1563">
        <f>$B$3+$B$5*25</f>
        <v/>
      </c>
      <c r="B1563">
        <f>$B$3+$B$5*26</f>
        <v/>
      </c>
      <c r="C1563">
        <f>SUMPRODUCT(Calc!$K$3:$K$22*(Calc!$G$3:$G$22&lt;=A1563))</f>
        <v/>
      </c>
      <c r="D1563">
        <f>SUMPRODUCT(Calc!$K$3:$K$22*(Calc!$G$3:$G$22&gt;A1563)*(Calc!$G$3:$G$22&lt;B1563))</f>
        <v/>
      </c>
      <c r="E1563">
        <f>SUMPRODUCT(Calc!$K$3:$K$22*(Calc!$G$3:$G$22&gt;=B1563))</f>
        <v/>
      </c>
      <c r="F1563">
        <f>AND(k_n&gt;=5,B1563&gt;A1563+1E-9,C1563&gt;=2,D1563&gt;=1,E1563&gt;=2)</f>
        <v/>
      </c>
      <c r="G1563">
        <f>SUMPRODUCT(Calc!$K$3:$K$22*(Calc!$G$3:$G$22&gt;A1563)*(Calc!$G$3:$G$22-A1563))</f>
        <v/>
      </c>
      <c r="H1563">
        <f>SUMPRODUCT(Calc!$K$3:$K$22*(Calc!$G$3:$G$22&gt;B1563)*(Calc!$G$3:$G$22-B1563))</f>
        <v/>
      </c>
      <c r="I1563">
        <f>SUMPRODUCT(Calc!$K$3:$K$22*(Calc!$G$3:$G$22&gt;A1563)*(Calc!$G$3:$G$22-A1563)^2)</f>
        <v/>
      </c>
      <c r="J1563">
        <f>SUMPRODUCT(Calc!$K$3:$K$22*(Calc!$G$3:$G$22&gt;B1563)*(Calc!$G$3:$G$22-B1563)^2)</f>
        <v/>
      </c>
      <c r="K1563">
        <f>SUMPRODUCT(Calc!$K$3:$K$22*(Calc!$G$3:$G$22&gt;A1563)*(Calc!$G$3:$G$22-A1563)*(Calc!$G$3:$G$22&gt;B1563)*(Calc!$G$3:$G$22-B1563))</f>
        <v/>
      </c>
      <c r="L1563">
        <f>SUMPRODUCT(Calc!$K$3:$K$22*(Calc!$G$3:$G$22&gt;A1563)*(Calc!$G$3:$G$22-A1563)*Calc!$G$3:$G$22)</f>
        <v/>
      </c>
      <c r="M1563">
        <f>SUMPRODUCT(Calc!$K$3:$K$22*(Calc!$G$3:$G$22&gt;B1563)*(Calc!$G$3:$G$22-B1563)*Calc!$G$3:$G$22)</f>
        <v/>
      </c>
      <c r="N1563">
        <f>SUMPRODUCT(Calc!$K$3:$K$22*(Calc!$G$3:$G$22&gt;A1563)*(Calc!$G$3:$G$22-A1563)*Calc!$I$3:$I$22)</f>
        <v/>
      </c>
      <c r="O1563">
        <f>SUMPRODUCT(Calc!$K$3:$K$22*(Calc!$G$3:$G$22&gt;B1563)*(Calc!$G$3:$G$22-B1563)*Calc!$I$3:$I$22)</f>
        <v/>
      </c>
      <c r="P1563">
        <f>I1563-G1563^2/k_n</f>
        <v/>
      </c>
      <c r="Q1563">
        <f>J1563-H1563^2/k_n</f>
        <v/>
      </c>
      <c r="R1563">
        <f>K1563-G1563*H1563/k_n</f>
        <v/>
      </c>
      <c r="S1563">
        <f>L1563-LTP3!$D$3*G1563/k_n</f>
        <v/>
      </c>
      <c r="T1563">
        <f>M1563-LTP3!$D$3*H1563/k_n</f>
        <v/>
      </c>
      <c r="U1563">
        <f>N1563-G1563*LTP3!$D$4/k_n</f>
        <v/>
      </c>
      <c r="V1563">
        <f>O1563-H1563*LTP3!$D$4/k_n</f>
        <v/>
      </c>
      <c r="W1563">
        <f>((LTP3!$D$5)*((P1563)*(Q1563)-(R1563)*(R1563))-(S1563)*((S1563)*(Q1563)-(R1563)*(T1563))+(T1563)*((S1563)*(R1563)-(P1563)*(T1563)))</f>
        <v/>
      </c>
      <c r="X1563">
        <f>IF(ABS(W1563)&gt;1E-12,((LTP3!$D$6)*((P1563)*(Q1563)-(R1563)*(R1563))-(S1563)*((U1563)*(Q1563)-(R1563)*(V1563))+(T1563)*((U1563)*(R1563)-(P1563)*(V1563)))/W1563,0)</f>
        <v/>
      </c>
      <c r="Y1563">
        <f>IF(ABS(W1563)&gt;1E-12,((LTP3!$D$5)*((U1563)*(Q1563)-(R1563)*(V1563))-(LTP3!$D$6)*((S1563)*(Q1563)-(R1563)*(T1563))+(T1563)*((S1563)*(V1563)-(U1563)*(T1563)))/W1563,0)</f>
        <v/>
      </c>
      <c r="Z1563">
        <f>IF(ABS(W1563)&gt;1E-12,((LTP3!$D$5)*((P1563)*(V1563)-(U1563)*(R1563))-(S1563)*((S1563)*(V1563)-(U1563)*(T1563))+(LTP3!$D$6)*((S1563)*(R1563)-(P1563)*(T1563)))/W1563,0)</f>
        <v/>
      </c>
      <c r="AA1563">
        <f>LTP3!$D$7-X1563*LTP3!$D$6-Y1563*U1563-Z1563*V1563</f>
        <v/>
      </c>
      <c r="AB1563">
        <f>IF(AND(F1563,ABS(W1563)&gt;1E-12,Y1563&gt;0,Z1563&gt;0),AA1563,1E+300)</f>
        <v/>
      </c>
    </row>
    <row r="1564">
      <c r="A1564">
        <f>$B$3+$B$5*25</f>
        <v/>
      </c>
      <c r="B1564">
        <f>$B$3+$B$5*27</f>
        <v/>
      </c>
      <c r="C1564">
        <f>SUMPRODUCT(Calc!$K$3:$K$22*(Calc!$G$3:$G$22&lt;=A1564))</f>
        <v/>
      </c>
      <c r="D1564">
        <f>SUMPRODUCT(Calc!$K$3:$K$22*(Calc!$G$3:$G$22&gt;A1564)*(Calc!$G$3:$G$22&lt;B1564))</f>
        <v/>
      </c>
      <c r="E1564">
        <f>SUMPRODUCT(Calc!$K$3:$K$22*(Calc!$G$3:$G$22&gt;=B1564))</f>
        <v/>
      </c>
      <c r="F1564">
        <f>AND(k_n&gt;=5,B1564&gt;A1564+1E-9,C1564&gt;=2,D1564&gt;=1,E1564&gt;=2)</f>
        <v/>
      </c>
      <c r="G1564">
        <f>SUMPRODUCT(Calc!$K$3:$K$22*(Calc!$G$3:$G$22&gt;A1564)*(Calc!$G$3:$G$22-A1564))</f>
        <v/>
      </c>
      <c r="H1564">
        <f>SUMPRODUCT(Calc!$K$3:$K$22*(Calc!$G$3:$G$22&gt;B1564)*(Calc!$G$3:$G$22-B1564))</f>
        <v/>
      </c>
      <c r="I1564">
        <f>SUMPRODUCT(Calc!$K$3:$K$22*(Calc!$G$3:$G$22&gt;A1564)*(Calc!$G$3:$G$22-A1564)^2)</f>
        <v/>
      </c>
      <c r="J1564">
        <f>SUMPRODUCT(Calc!$K$3:$K$22*(Calc!$G$3:$G$22&gt;B1564)*(Calc!$G$3:$G$22-B1564)^2)</f>
        <v/>
      </c>
      <c r="K1564">
        <f>SUMPRODUCT(Calc!$K$3:$K$22*(Calc!$G$3:$G$22&gt;A1564)*(Calc!$G$3:$G$22-A1564)*(Calc!$G$3:$G$22&gt;B1564)*(Calc!$G$3:$G$22-B1564))</f>
        <v/>
      </c>
      <c r="L1564">
        <f>SUMPRODUCT(Calc!$K$3:$K$22*(Calc!$G$3:$G$22&gt;A1564)*(Calc!$G$3:$G$22-A1564)*Calc!$G$3:$G$22)</f>
        <v/>
      </c>
      <c r="M1564">
        <f>SUMPRODUCT(Calc!$K$3:$K$22*(Calc!$G$3:$G$22&gt;B1564)*(Calc!$G$3:$G$22-B1564)*Calc!$G$3:$G$22)</f>
        <v/>
      </c>
      <c r="N1564">
        <f>SUMPRODUCT(Calc!$K$3:$K$22*(Calc!$G$3:$G$22&gt;A1564)*(Calc!$G$3:$G$22-A1564)*Calc!$I$3:$I$22)</f>
        <v/>
      </c>
      <c r="O1564">
        <f>SUMPRODUCT(Calc!$K$3:$K$22*(Calc!$G$3:$G$22&gt;B1564)*(Calc!$G$3:$G$22-B1564)*Calc!$I$3:$I$22)</f>
        <v/>
      </c>
      <c r="P1564">
        <f>I1564-G1564^2/k_n</f>
        <v/>
      </c>
      <c r="Q1564">
        <f>J1564-H1564^2/k_n</f>
        <v/>
      </c>
      <c r="R1564">
        <f>K1564-G1564*H1564/k_n</f>
        <v/>
      </c>
      <c r="S1564">
        <f>L1564-LTP3!$D$3*G1564/k_n</f>
        <v/>
      </c>
      <c r="T1564">
        <f>M1564-LTP3!$D$3*H1564/k_n</f>
        <v/>
      </c>
      <c r="U1564">
        <f>N1564-G1564*LTP3!$D$4/k_n</f>
        <v/>
      </c>
      <c r="V1564">
        <f>O1564-H1564*LTP3!$D$4/k_n</f>
        <v/>
      </c>
      <c r="W1564">
        <f>((LTP3!$D$5)*((P1564)*(Q1564)-(R1564)*(R1564))-(S1564)*((S1564)*(Q1564)-(R1564)*(T1564))+(T1564)*((S1564)*(R1564)-(P1564)*(T1564)))</f>
        <v/>
      </c>
      <c r="X1564">
        <f>IF(ABS(W1564)&gt;1E-12,((LTP3!$D$6)*((P1564)*(Q1564)-(R1564)*(R1564))-(S1564)*((U1564)*(Q1564)-(R1564)*(V1564))+(T1564)*((U1564)*(R1564)-(P1564)*(V1564)))/W1564,0)</f>
        <v/>
      </c>
      <c r="Y1564">
        <f>IF(ABS(W1564)&gt;1E-12,((LTP3!$D$5)*((U1564)*(Q1564)-(R1564)*(V1564))-(LTP3!$D$6)*((S1564)*(Q1564)-(R1564)*(T1564))+(T1564)*((S1564)*(V1564)-(U1564)*(T1564)))/W1564,0)</f>
        <v/>
      </c>
      <c r="Z1564">
        <f>IF(ABS(W1564)&gt;1E-12,((LTP3!$D$5)*((P1564)*(V1564)-(U1564)*(R1564))-(S1564)*((S1564)*(V1564)-(U1564)*(T1564))+(LTP3!$D$6)*((S1564)*(R1564)-(P1564)*(T1564)))/W1564,0)</f>
        <v/>
      </c>
      <c r="AA1564">
        <f>LTP3!$D$7-X1564*LTP3!$D$6-Y1564*U1564-Z1564*V1564</f>
        <v/>
      </c>
      <c r="AB1564">
        <f>IF(AND(F1564,ABS(W1564)&gt;1E-12,Y1564&gt;0,Z1564&gt;0),AA1564,1E+300)</f>
        <v/>
      </c>
    </row>
    <row r="1565">
      <c r="A1565">
        <f>$B$3+$B$5*25</f>
        <v/>
      </c>
      <c r="B1565">
        <f>$B$3+$B$5*28</f>
        <v/>
      </c>
      <c r="C1565">
        <f>SUMPRODUCT(Calc!$K$3:$K$22*(Calc!$G$3:$G$22&lt;=A1565))</f>
        <v/>
      </c>
      <c r="D1565">
        <f>SUMPRODUCT(Calc!$K$3:$K$22*(Calc!$G$3:$G$22&gt;A1565)*(Calc!$G$3:$G$22&lt;B1565))</f>
        <v/>
      </c>
      <c r="E1565">
        <f>SUMPRODUCT(Calc!$K$3:$K$22*(Calc!$G$3:$G$22&gt;=B1565))</f>
        <v/>
      </c>
      <c r="F1565">
        <f>AND(k_n&gt;=5,B1565&gt;A1565+1E-9,C1565&gt;=2,D1565&gt;=1,E1565&gt;=2)</f>
        <v/>
      </c>
      <c r="G1565">
        <f>SUMPRODUCT(Calc!$K$3:$K$22*(Calc!$G$3:$G$22&gt;A1565)*(Calc!$G$3:$G$22-A1565))</f>
        <v/>
      </c>
      <c r="H1565">
        <f>SUMPRODUCT(Calc!$K$3:$K$22*(Calc!$G$3:$G$22&gt;B1565)*(Calc!$G$3:$G$22-B1565))</f>
        <v/>
      </c>
      <c r="I1565">
        <f>SUMPRODUCT(Calc!$K$3:$K$22*(Calc!$G$3:$G$22&gt;A1565)*(Calc!$G$3:$G$22-A1565)^2)</f>
        <v/>
      </c>
      <c r="J1565">
        <f>SUMPRODUCT(Calc!$K$3:$K$22*(Calc!$G$3:$G$22&gt;B1565)*(Calc!$G$3:$G$22-B1565)^2)</f>
        <v/>
      </c>
      <c r="K1565">
        <f>SUMPRODUCT(Calc!$K$3:$K$22*(Calc!$G$3:$G$22&gt;A1565)*(Calc!$G$3:$G$22-A1565)*(Calc!$G$3:$G$22&gt;B1565)*(Calc!$G$3:$G$22-B1565))</f>
        <v/>
      </c>
      <c r="L1565">
        <f>SUMPRODUCT(Calc!$K$3:$K$22*(Calc!$G$3:$G$22&gt;A1565)*(Calc!$G$3:$G$22-A1565)*Calc!$G$3:$G$22)</f>
        <v/>
      </c>
      <c r="M1565">
        <f>SUMPRODUCT(Calc!$K$3:$K$22*(Calc!$G$3:$G$22&gt;B1565)*(Calc!$G$3:$G$22-B1565)*Calc!$G$3:$G$22)</f>
        <v/>
      </c>
      <c r="N1565">
        <f>SUMPRODUCT(Calc!$K$3:$K$22*(Calc!$G$3:$G$22&gt;A1565)*(Calc!$G$3:$G$22-A1565)*Calc!$I$3:$I$22)</f>
        <v/>
      </c>
      <c r="O1565">
        <f>SUMPRODUCT(Calc!$K$3:$K$22*(Calc!$G$3:$G$22&gt;B1565)*(Calc!$G$3:$G$22-B1565)*Calc!$I$3:$I$22)</f>
        <v/>
      </c>
      <c r="P1565">
        <f>I1565-G1565^2/k_n</f>
        <v/>
      </c>
      <c r="Q1565">
        <f>J1565-H1565^2/k_n</f>
        <v/>
      </c>
      <c r="R1565">
        <f>K1565-G1565*H1565/k_n</f>
        <v/>
      </c>
      <c r="S1565">
        <f>L1565-LTP3!$D$3*G1565/k_n</f>
        <v/>
      </c>
      <c r="T1565">
        <f>M1565-LTP3!$D$3*H1565/k_n</f>
        <v/>
      </c>
      <c r="U1565">
        <f>N1565-G1565*LTP3!$D$4/k_n</f>
        <v/>
      </c>
      <c r="V1565">
        <f>O1565-H1565*LTP3!$D$4/k_n</f>
        <v/>
      </c>
      <c r="W1565">
        <f>((LTP3!$D$5)*((P1565)*(Q1565)-(R1565)*(R1565))-(S1565)*((S1565)*(Q1565)-(R1565)*(T1565))+(T1565)*((S1565)*(R1565)-(P1565)*(T1565)))</f>
        <v/>
      </c>
      <c r="X1565">
        <f>IF(ABS(W1565)&gt;1E-12,((LTP3!$D$6)*((P1565)*(Q1565)-(R1565)*(R1565))-(S1565)*((U1565)*(Q1565)-(R1565)*(V1565))+(T1565)*((U1565)*(R1565)-(P1565)*(V1565)))/W1565,0)</f>
        <v/>
      </c>
      <c r="Y1565">
        <f>IF(ABS(W1565)&gt;1E-12,((LTP3!$D$5)*((U1565)*(Q1565)-(R1565)*(V1565))-(LTP3!$D$6)*((S1565)*(Q1565)-(R1565)*(T1565))+(T1565)*((S1565)*(V1565)-(U1565)*(T1565)))/W1565,0)</f>
        <v/>
      </c>
      <c r="Z1565">
        <f>IF(ABS(W1565)&gt;1E-12,((LTP3!$D$5)*((P1565)*(V1565)-(U1565)*(R1565))-(S1565)*((S1565)*(V1565)-(U1565)*(T1565))+(LTP3!$D$6)*((S1565)*(R1565)-(P1565)*(T1565)))/W1565,0)</f>
        <v/>
      </c>
      <c r="AA1565">
        <f>LTP3!$D$7-X1565*LTP3!$D$6-Y1565*U1565-Z1565*V1565</f>
        <v/>
      </c>
      <c r="AB1565">
        <f>IF(AND(F1565,ABS(W1565)&gt;1E-12,Y1565&gt;0,Z1565&gt;0),AA1565,1E+300)</f>
        <v/>
      </c>
    </row>
    <row r="1566">
      <c r="A1566">
        <f>$B$3+$B$5*25</f>
        <v/>
      </c>
      <c r="B1566">
        <f>$B$3+$B$5*29</f>
        <v/>
      </c>
      <c r="C1566">
        <f>SUMPRODUCT(Calc!$K$3:$K$22*(Calc!$G$3:$G$22&lt;=A1566))</f>
        <v/>
      </c>
      <c r="D1566">
        <f>SUMPRODUCT(Calc!$K$3:$K$22*(Calc!$G$3:$G$22&gt;A1566)*(Calc!$G$3:$G$22&lt;B1566))</f>
        <v/>
      </c>
      <c r="E1566">
        <f>SUMPRODUCT(Calc!$K$3:$K$22*(Calc!$G$3:$G$22&gt;=B1566))</f>
        <v/>
      </c>
      <c r="F1566">
        <f>AND(k_n&gt;=5,B1566&gt;A1566+1E-9,C1566&gt;=2,D1566&gt;=1,E1566&gt;=2)</f>
        <v/>
      </c>
      <c r="G1566">
        <f>SUMPRODUCT(Calc!$K$3:$K$22*(Calc!$G$3:$G$22&gt;A1566)*(Calc!$G$3:$G$22-A1566))</f>
        <v/>
      </c>
      <c r="H1566">
        <f>SUMPRODUCT(Calc!$K$3:$K$22*(Calc!$G$3:$G$22&gt;B1566)*(Calc!$G$3:$G$22-B1566))</f>
        <v/>
      </c>
      <c r="I1566">
        <f>SUMPRODUCT(Calc!$K$3:$K$22*(Calc!$G$3:$G$22&gt;A1566)*(Calc!$G$3:$G$22-A1566)^2)</f>
        <v/>
      </c>
      <c r="J1566">
        <f>SUMPRODUCT(Calc!$K$3:$K$22*(Calc!$G$3:$G$22&gt;B1566)*(Calc!$G$3:$G$22-B1566)^2)</f>
        <v/>
      </c>
      <c r="K1566">
        <f>SUMPRODUCT(Calc!$K$3:$K$22*(Calc!$G$3:$G$22&gt;A1566)*(Calc!$G$3:$G$22-A1566)*(Calc!$G$3:$G$22&gt;B1566)*(Calc!$G$3:$G$22-B1566))</f>
        <v/>
      </c>
      <c r="L1566">
        <f>SUMPRODUCT(Calc!$K$3:$K$22*(Calc!$G$3:$G$22&gt;A1566)*(Calc!$G$3:$G$22-A1566)*Calc!$G$3:$G$22)</f>
        <v/>
      </c>
      <c r="M1566">
        <f>SUMPRODUCT(Calc!$K$3:$K$22*(Calc!$G$3:$G$22&gt;B1566)*(Calc!$G$3:$G$22-B1566)*Calc!$G$3:$G$22)</f>
        <v/>
      </c>
      <c r="N1566">
        <f>SUMPRODUCT(Calc!$K$3:$K$22*(Calc!$G$3:$G$22&gt;A1566)*(Calc!$G$3:$G$22-A1566)*Calc!$I$3:$I$22)</f>
        <v/>
      </c>
      <c r="O1566">
        <f>SUMPRODUCT(Calc!$K$3:$K$22*(Calc!$G$3:$G$22&gt;B1566)*(Calc!$G$3:$G$22-B1566)*Calc!$I$3:$I$22)</f>
        <v/>
      </c>
      <c r="P1566">
        <f>I1566-G1566^2/k_n</f>
        <v/>
      </c>
      <c r="Q1566">
        <f>J1566-H1566^2/k_n</f>
        <v/>
      </c>
      <c r="R1566">
        <f>K1566-G1566*H1566/k_n</f>
        <v/>
      </c>
      <c r="S1566">
        <f>L1566-LTP3!$D$3*G1566/k_n</f>
        <v/>
      </c>
      <c r="T1566">
        <f>M1566-LTP3!$D$3*H1566/k_n</f>
        <v/>
      </c>
      <c r="U1566">
        <f>N1566-G1566*LTP3!$D$4/k_n</f>
        <v/>
      </c>
      <c r="V1566">
        <f>O1566-H1566*LTP3!$D$4/k_n</f>
        <v/>
      </c>
      <c r="W1566">
        <f>((LTP3!$D$5)*((P1566)*(Q1566)-(R1566)*(R1566))-(S1566)*((S1566)*(Q1566)-(R1566)*(T1566))+(T1566)*((S1566)*(R1566)-(P1566)*(T1566)))</f>
        <v/>
      </c>
      <c r="X1566">
        <f>IF(ABS(W1566)&gt;1E-12,((LTP3!$D$6)*((P1566)*(Q1566)-(R1566)*(R1566))-(S1566)*((U1566)*(Q1566)-(R1566)*(V1566))+(T1566)*((U1566)*(R1566)-(P1566)*(V1566)))/W1566,0)</f>
        <v/>
      </c>
      <c r="Y1566">
        <f>IF(ABS(W1566)&gt;1E-12,((LTP3!$D$5)*((U1566)*(Q1566)-(R1566)*(V1566))-(LTP3!$D$6)*((S1566)*(Q1566)-(R1566)*(T1566))+(T1566)*((S1566)*(V1566)-(U1566)*(T1566)))/W1566,0)</f>
        <v/>
      </c>
      <c r="Z1566">
        <f>IF(ABS(W1566)&gt;1E-12,((LTP3!$D$5)*((P1566)*(V1566)-(U1566)*(R1566))-(S1566)*((S1566)*(V1566)-(U1566)*(T1566))+(LTP3!$D$6)*((S1566)*(R1566)-(P1566)*(T1566)))/W1566,0)</f>
        <v/>
      </c>
      <c r="AA1566">
        <f>LTP3!$D$7-X1566*LTP3!$D$6-Y1566*U1566-Z1566*V1566</f>
        <v/>
      </c>
      <c r="AB1566">
        <f>IF(AND(F1566,ABS(W1566)&gt;1E-12,Y1566&gt;0,Z1566&gt;0),AA1566,1E+300)</f>
        <v/>
      </c>
    </row>
    <row r="1567">
      <c r="A1567">
        <f>$B$3+$B$5*25</f>
        <v/>
      </c>
      <c r="B1567">
        <f>$B$3+$B$5*30</f>
        <v/>
      </c>
      <c r="C1567">
        <f>SUMPRODUCT(Calc!$K$3:$K$22*(Calc!$G$3:$G$22&lt;=A1567))</f>
        <v/>
      </c>
      <c r="D1567">
        <f>SUMPRODUCT(Calc!$K$3:$K$22*(Calc!$G$3:$G$22&gt;A1567)*(Calc!$G$3:$G$22&lt;B1567))</f>
        <v/>
      </c>
      <c r="E1567">
        <f>SUMPRODUCT(Calc!$K$3:$K$22*(Calc!$G$3:$G$22&gt;=B1567))</f>
        <v/>
      </c>
      <c r="F1567">
        <f>AND(k_n&gt;=5,B1567&gt;A1567+1E-9,C1567&gt;=2,D1567&gt;=1,E1567&gt;=2)</f>
        <v/>
      </c>
      <c r="G1567">
        <f>SUMPRODUCT(Calc!$K$3:$K$22*(Calc!$G$3:$G$22&gt;A1567)*(Calc!$G$3:$G$22-A1567))</f>
        <v/>
      </c>
      <c r="H1567">
        <f>SUMPRODUCT(Calc!$K$3:$K$22*(Calc!$G$3:$G$22&gt;B1567)*(Calc!$G$3:$G$22-B1567))</f>
        <v/>
      </c>
      <c r="I1567">
        <f>SUMPRODUCT(Calc!$K$3:$K$22*(Calc!$G$3:$G$22&gt;A1567)*(Calc!$G$3:$G$22-A1567)^2)</f>
        <v/>
      </c>
      <c r="J1567">
        <f>SUMPRODUCT(Calc!$K$3:$K$22*(Calc!$G$3:$G$22&gt;B1567)*(Calc!$G$3:$G$22-B1567)^2)</f>
        <v/>
      </c>
      <c r="K1567">
        <f>SUMPRODUCT(Calc!$K$3:$K$22*(Calc!$G$3:$G$22&gt;A1567)*(Calc!$G$3:$G$22-A1567)*(Calc!$G$3:$G$22&gt;B1567)*(Calc!$G$3:$G$22-B1567))</f>
        <v/>
      </c>
      <c r="L1567">
        <f>SUMPRODUCT(Calc!$K$3:$K$22*(Calc!$G$3:$G$22&gt;A1567)*(Calc!$G$3:$G$22-A1567)*Calc!$G$3:$G$22)</f>
        <v/>
      </c>
      <c r="M1567">
        <f>SUMPRODUCT(Calc!$K$3:$K$22*(Calc!$G$3:$G$22&gt;B1567)*(Calc!$G$3:$G$22-B1567)*Calc!$G$3:$G$22)</f>
        <v/>
      </c>
      <c r="N1567">
        <f>SUMPRODUCT(Calc!$K$3:$K$22*(Calc!$G$3:$G$22&gt;A1567)*(Calc!$G$3:$G$22-A1567)*Calc!$I$3:$I$22)</f>
        <v/>
      </c>
      <c r="O1567">
        <f>SUMPRODUCT(Calc!$K$3:$K$22*(Calc!$G$3:$G$22&gt;B1567)*(Calc!$G$3:$G$22-B1567)*Calc!$I$3:$I$22)</f>
        <v/>
      </c>
      <c r="P1567">
        <f>I1567-G1567^2/k_n</f>
        <v/>
      </c>
      <c r="Q1567">
        <f>J1567-H1567^2/k_n</f>
        <v/>
      </c>
      <c r="R1567">
        <f>K1567-G1567*H1567/k_n</f>
        <v/>
      </c>
      <c r="S1567">
        <f>L1567-LTP3!$D$3*G1567/k_n</f>
        <v/>
      </c>
      <c r="T1567">
        <f>M1567-LTP3!$D$3*H1567/k_n</f>
        <v/>
      </c>
      <c r="U1567">
        <f>N1567-G1567*LTP3!$D$4/k_n</f>
        <v/>
      </c>
      <c r="V1567">
        <f>O1567-H1567*LTP3!$D$4/k_n</f>
        <v/>
      </c>
      <c r="W1567">
        <f>((LTP3!$D$5)*((P1567)*(Q1567)-(R1567)*(R1567))-(S1567)*((S1567)*(Q1567)-(R1567)*(T1567))+(T1567)*((S1567)*(R1567)-(P1567)*(T1567)))</f>
        <v/>
      </c>
      <c r="X1567">
        <f>IF(ABS(W1567)&gt;1E-12,((LTP3!$D$6)*((P1567)*(Q1567)-(R1567)*(R1567))-(S1567)*((U1567)*(Q1567)-(R1567)*(V1567))+(T1567)*((U1567)*(R1567)-(P1567)*(V1567)))/W1567,0)</f>
        <v/>
      </c>
      <c r="Y1567">
        <f>IF(ABS(W1567)&gt;1E-12,((LTP3!$D$5)*((U1567)*(Q1567)-(R1567)*(V1567))-(LTP3!$D$6)*((S1567)*(Q1567)-(R1567)*(T1567))+(T1567)*((S1567)*(V1567)-(U1567)*(T1567)))/W1567,0)</f>
        <v/>
      </c>
      <c r="Z1567">
        <f>IF(ABS(W1567)&gt;1E-12,((LTP3!$D$5)*((P1567)*(V1567)-(U1567)*(R1567))-(S1567)*((S1567)*(V1567)-(U1567)*(T1567))+(LTP3!$D$6)*((S1567)*(R1567)-(P1567)*(T1567)))/W1567,0)</f>
        <v/>
      </c>
      <c r="AA1567">
        <f>LTP3!$D$7-X1567*LTP3!$D$6-Y1567*U1567-Z1567*V1567</f>
        <v/>
      </c>
      <c r="AB1567">
        <f>IF(AND(F1567,ABS(W1567)&gt;1E-12,Y1567&gt;0,Z1567&gt;0),AA1567,1E+300)</f>
        <v/>
      </c>
    </row>
    <row r="1568">
      <c r="A1568">
        <f>$B$3+$B$5*25</f>
        <v/>
      </c>
      <c r="B1568">
        <f>$B$3+$B$5*31</f>
        <v/>
      </c>
      <c r="C1568">
        <f>SUMPRODUCT(Calc!$K$3:$K$22*(Calc!$G$3:$G$22&lt;=A1568))</f>
        <v/>
      </c>
      <c r="D1568">
        <f>SUMPRODUCT(Calc!$K$3:$K$22*(Calc!$G$3:$G$22&gt;A1568)*(Calc!$G$3:$G$22&lt;B1568))</f>
        <v/>
      </c>
      <c r="E1568">
        <f>SUMPRODUCT(Calc!$K$3:$K$22*(Calc!$G$3:$G$22&gt;=B1568))</f>
        <v/>
      </c>
      <c r="F1568">
        <f>AND(k_n&gt;=5,B1568&gt;A1568+1E-9,C1568&gt;=2,D1568&gt;=1,E1568&gt;=2)</f>
        <v/>
      </c>
      <c r="G1568">
        <f>SUMPRODUCT(Calc!$K$3:$K$22*(Calc!$G$3:$G$22&gt;A1568)*(Calc!$G$3:$G$22-A1568))</f>
        <v/>
      </c>
      <c r="H1568">
        <f>SUMPRODUCT(Calc!$K$3:$K$22*(Calc!$G$3:$G$22&gt;B1568)*(Calc!$G$3:$G$22-B1568))</f>
        <v/>
      </c>
      <c r="I1568">
        <f>SUMPRODUCT(Calc!$K$3:$K$22*(Calc!$G$3:$G$22&gt;A1568)*(Calc!$G$3:$G$22-A1568)^2)</f>
        <v/>
      </c>
      <c r="J1568">
        <f>SUMPRODUCT(Calc!$K$3:$K$22*(Calc!$G$3:$G$22&gt;B1568)*(Calc!$G$3:$G$22-B1568)^2)</f>
        <v/>
      </c>
      <c r="K1568">
        <f>SUMPRODUCT(Calc!$K$3:$K$22*(Calc!$G$3:$G$22&gt;A1568)*(Calc!$G$3:$G$22-A1568)*(Calc!$G$3:$G$22&gt;B1568)*(Calc!$G$3:$G$22-B1568))</f>
        <v/>
      </c>
      <c r="L1568">
        <f>SUMPRODUCT(Calc!$K$3:$K$22*(Calc!$G$3:$G$22&gt;A1568)*(Calc!$G$3:$G$22-A1568)*Calc!$G$3:$G$22)</f>
        <v/>
      </c>
      <c r="M1568">
        <f>SUMPRODUCT(Calc!$K$3:$K$22*(Calc!$G$3:$G$22&gt;B1568)*(Calc!$G$3:$G$22-B1568)*Calc!$G$3:$G$22)</f>
        <v/>
      </c>
      <c r="N1568">
        <f>SUMPRODUCT(Calc!$K$3:$K$22*(Calc!$G$3:$G$22&gt;A1568)*(Calc!$G$3:$G$22-A1568)*Calc!$I$3:$I$22)</f>
        <v/>
      </c>
      <c r="O1568">
        <f>SUMPRODUCT(Calc!$K$3:$K$22*(Calc!$G$3:$G$22&gt;B1568)*(Calc!$G$3:$G$22-B1568)*Calc!$I$3:$I$22)</f>
        <v/>
      </c>
      <c r="P1568">
        <f>I1568-G1568^2/k_n</f>
        <v/>
      </c>
      <c r="Q1568">
        <f>J1568-H1568^2/k_n</f>
        <v/>
      </c>
      <c r="R1568">
        <f>K1568-G1568*H1568/k_n</f>
        <v/>
      </c>
      <c r="S1568">
        <f>L1568-LTP3!$D$3*G1568/k_n</f>
        <v/>
      </c>
      <c r="T1568">
        <f>M1568-LTP3!$D$3*H1568/k_n</f>
        <v/>
      </c>
      <c r="U1568">
        <f>N1568-G1568*LTP3!$D$4/k_n</f>
        <v/>
      </c>
      <c r="V1568">
        <f>O1568-H1568*LTP3!$D$4/k_n</f>
        <v/>
      </c>
      <c r="W1568">
        <f>((LTP3!$D$5)*((P1568)*(Q1568)-(R1568)*(R1568))-(S1568)*((S1568)*(Q1568)-(R1568)*(T1568))+(T1568)*((S1568)*(R1568)-(P1568)*(T1568)))</f>
        <v/>
      </c>
      <c r="X1568">
        <f>IF(ABS(W1568)&gt;1E-12,((LTP3!$D$6)*((P1568)*(Q1568)-(R1568)*(R1568))-(S1568)*((U1568)*(Q1568)-(R1568)*(V1568))+(T1568)*((U1568)*(R1568)-(P1568)*(V1568)))/W1568,0)</f>
        <v/>
      </c>
      <c r="Y1568">
        <f>IF(ABS(W1568)&gt;1E-12,((LTP3!$D$5)*((U1568)*(Q1568)-(R1568)*(V1568))-(LTP3!$D$6)*((S1568)*(Q1568)-(R1568)*(T1568))+(T1568)*((S1568)*(V1568)-(U1568)*(T1568)))/W1568,0)</f>
        <v/>
      </c>
      <c r="Z1568">
        <f>IF(ABS(W1568)&gt;1E-12,((LTP3!$D$5)*((P1568)*(V1568)-(U1568)*(R1568))-(S1568)*((S1568)*(V1568)-(U1568)*(T1568))+(LTP3!$D$6)*((S1568)*(R1568)-(P1568)*(T1568)))/W1568,0)</f>
        <v/>
      </c>
      <c r="AA1568">
        <f>LTP3!$D$7-X1568*LTP3!$D$6-Y1568*U1568-Z1568*V1568</f>
        <v/>
      </c>
      <c r="AB1568">
        <f>IF(AND(F1568,ABS(W1568)&gt;1E-12,Y1568&gt;0,Z1568&gt;0),AA1568,1E+300)</f>
        <v/>
      </c>
    </row>
    <row r="1569">
      <c r="A1569">
        <f>$B$3+$B$5*25</f>
        <v/>
      </c>
      <c r="B1569">
        <f>$B$3+$B$5*32</f>
        <v/>
      </c>
      <c r="C1569">
        <f>SUMPRODUCT(Calc!$K$3:$K$22*(Calc!$G$3:$G$22&lt;=A1569))</f>
        <v/>
      </c>
      <c r="D1569">
        <f>SUMPRODUCT(Calc!$K$3:$K$22*(Calc!$G$3:$G$22&gt;A1569)*(Calc!$G$3:$G$22&lt;B1569))</f>
        <v/>
      </c>
      <c r="E1569">
        <f>SUMPRODUCT(Calc!$K$3:$K$22*(Calc!$G$3:$G$22&gt;=B1569))</f>
        <v/>
      </c>
      <c r="F1569">
        <f>AND(k_n&gt;=5,B1569&gt;A1569+1E-9,C1569&gt;=2,D1569&gt;=1,E1569&gt;=2)</f>
        <v/>
      </c>
      <c r="G1569">
        <f>SUMPRODUCT(Calc!$K$3:$K$22*(Calc!$G$3:$G$22&gt;A1569)*(Calc!$G$3:$G$22-A1569))</f>
        <v/>
      </c>
      <c r="H1569">
        <f>SUMPRODUCT(Calc!$K$3:$K$22*(Calc!$G$3:$G$22&gt;B1569)*(Calc!$G$3:$G$22-B1569))</f>
        <v/>
      </c>
      <c r="I1569">
        <f>SUMPRODUCT(Calc!$K$3:$K$22*(Calc!$G$3:$G$22&gt;A1569)*(Calc!$G$3:$G$22-A1569)^2)</f>
        <v/>
      </c>
      <c r="J1569">
        <f>SUMPRODUCT(Calc!$K$3:$K$22*(Calc!$G$3:$G$22&gt;B1569)*(Calc!$G$3:$G$22-B1569)^2)</f>
        <v/>
      </c>
      <c r="K1569">
        <f>SUMPRODUCT(Calc!$K$3:$K$22*(Calc!$G$3:$G$22&gt;A1569)*(Calc!$G$3:$G$22-A1569)*(Calc!$G$3:$G$22&gt;B1569)*(Calc!$G$3:$G$22-B1569))</f>
        <v/>
      </c>
      <c r="L1569">
        <f>SUMPRODUCT(Calc!$K$3:$K$22*(Calc!$G$3:$G$22&gt;A1569)*(Calc!$G$3:$G$22-A1569)*Calc!$G$3:$G$22)</f>
        <v/>
      </c>
      <c r="M1569">
        <f>SUMPRODUCT(Calc!$K$3:$K$22*(Calc!$G$3:$G$22&gt;B1569)*(Calc!$G$3:$G$22-B1569)*Calc!$G$3:$G$22)</f>
        <v/>
      </c>
      <c r="N1569">
        <f>SUMPRODUCT(Calc!$K$3:$K$22*(Calc!$G$3:$G$22&gt;A1569)*(Calc!$G$3:$G$22-A1569)*Calc!$I$3:$I$22)</f>
        <v/>
      </c>
      <c r="O1569">
        <f>SUMPRODUCT(Calc!$K$3:$K$22*(Calc!$G$3:$G$22&gt;B1569)*(Calc!$G$3:$G$22-B1569)*Calc!$I$3:$I$22)</f>
        <v/>
      </c>
      <c r="P1569">
        <f>I1569-G1569^2/k_n</f>
        <v/>
      </c>
      <c r="Q1569">
        <f>J1569-H1569^2/k_n</f>
        <v/>
      </c>
      <c r="R1569">
        <f>K1569-G1569*H1569/k_n</f>
        <v/>
      </c>
      <c r="S1569">
        <f>L1569-LTP3!$D$3*G1569/k_n</f>
        <v/>
      </c>
      <c r="T1569">
        <f>M1569-LTP3!$D$3*H1569/k_n</f>
        <v/>
      </c>
      <c r="U1569">
        <f>N1569-G1569*LTP3!$D$4/k_n</f>
        <v/>
      </c>
      <c r="V1569">
        <f>O1569-H1569*LTP3!$D$4/k_n</f>
        <v/>
      </c>
      <c r="W1569">
        <f>((LTP3!$D$5)*((P1569)*(Q1569)-(R1569)*(R1569))-(S1569)*((S1569)*(Q1569)-(R1569)*(T1569))+(T1569)*((S1569)*(R1569)-(P1569)*(T1569)))</f>
        <v/>
      </c>
      <c r="X1569">
        <f>IF(ABS(W1569)&gt;1E-12,((LTP3!$D$6)*((P1569)*(Q1569)-(R1569)*(R1569))-(S1569)*((U1569)*(Q1569)-(R1569)*(V1569))+(T1569)*((U1569)*(R1569)-(P1569)*(V1569)))/W1569,0)</f>
        <v/>
      </c>
      <c r="Y1569">
        <f>IF(ABS(W1569)&gt;1E-12,((LTP3!$D$5)*((U1569)*(Q1569)-(R1569)*(V1569))-(LTP3!$D$6)*((S1569)*(Q1569)-(R1569)*(T1569))+(T1569)*((S1569)*(V1569)-(U1569)*(T1569)))/W1569,0)</f>
        <v/>
      </c>
      <c r="Z1569">
        <f>IF(ABS(W1569)&gt;1E-12,((LTP3!$D$5)*((P1569)*(V1569)-(U1569)*(R1569))-(S1569)*((S1569)*(V1569)-(U1569)*(T1569))+(LTP3!$D$6)*((S1569)*(R1569)-(P1569)*(T1569)))/W1569,0)</f>
        <v/>
      </c>
      <c r="AA1569">
        <f>LTP3!$D$7-X1569*LTP3!$D$6-Y1569*U1569-Z1569*V1569</f>
        <v/>
      </c>
      <c r="AB1569">
        <f>IF(AND(F1569,ABS(W1569)&gt;1E-12,Y1569&gt;0,Z1569&gt;0),AA1569,1E+300)</f>
        <v/>
      </c>
    </row>
    <row r="1570">
      <c r="A1570">
        <f>$B$3+$B$5*25</f>
        <v/>
      </c>
      <c r="B1570">
        <f>$B$3+$B$5*33</f>
        <v/>
      </c>
      <c r="C1570">
        <f>SUMPRODUCT(Calc!$K$3:$K$22*(Calc!$G$3:$G$22&lt;=A1570))</f>
        <v/>
      </c>
      <c r="D1570">
        <f>SUMPRODUCT(Calc!$K$3:$K$22*(Calc!$G$3:$G$22&gt;A1570)*(Calc!$G$3:$G$22&lt;B1570))</f>
        <v/>
      </c>
      <c r="E1570">
        <f>SUMPRODUCT(Calc!$K$3:$K$22*(Calc!$G$3:$G$22&gt;=B1570))</f>
        <v/>
      </c>
      <c r="F1570">
        <f>AND(k_n&gt;=5,B1570&gt;A1570+1E-9,C1570&gt;=2,D1570&gt;=1,E1570&gt;=2)</f>
        <v/>
      </c>
      <c r="G1570">
        <f>SUMPRODUCT(Calc!$K$3:$K$22*(Calc!$G$3:$G$22&gt;A1570)*(Calc!$G$3:$G$22-A1570))</f>
        <v/>
      </c>
      <c r="H1570">
        <f>SUMPRODUCT(Calc!$K$3:$K$22*(Calc!$G$3:$G$22&gt;B1570)*(Calc!$G$3:$G$22-B1570))</f>
        <v/>
      </c>
      <c r="I1570">
        <f>SUMPRODUCT(Calc!$K$3:$K$22*(Calc!$G$3:$G$22&gt;A1570)*(Calc!$G$3:$G$22-A1570)^2)</f>
        <v/>
      </c>
      <c r="J1570">
        <f>SUMPRODUCT(Calc!$K$3:$K$22*(Calc!$G$3:$G$22&gt;B1570)*(Calc!$G$3:$G$22-B1570)^2)</f>
        <v/>
      </c>
      <c r="K1570">
        <f>SUMPRODUCT(Calc!$K$3:$K$22*(Calc!$G$3:$G$22&gt;A1570)*(Calc!$G$3:$G$22-A1570)*(Calc!$G$3:$G$22&gt;B1570)*(Calc!$G$3:$G$22-B1570))</f>
        <v/>
      </c>
      <c r="L1570">
        <f>SUMPRODUCT(Calc!$K$3:$K$22*(Calc!$G$3:$G$22&gt;A1570)*(Calc!$G$3:$G$22-A1570)*Calc!$G$3:$G$22)</f>
        <v/>
      </c>
      <c r="M1570">
        <f>SUMPRODUCT(Calc!$K$3:$K$22*(Calc!$G$3:$G$22&gt;B1570)*(Calc!$G$3:$G$22-B1570)*Calc!$G$3:$G$22)</f>
        <v/>
      </c>
      <c r="N1570">
        <f>SUMPRODUCT(Calc!$K$3:$K$22*(Calc!$G$3:$G$22&gt;A1570)*(Calc!$G$3:$G$22-A1570)*Calc!$I$3:$I$22)</f>
        <v/>
      </c>
      <c r="O1570">
        <f>SUMPRODUCT(Calc!$K$3:$K$22*(Calc!$G$3:$G$22&gt;B1570)*(Calc!$G$3:$G$22-B1570)*Calc!$I$3:$I$22)</f>
        <v/>
      </c>
      <c r="P1570">
        <f>I1570-G1570^2/k_n</f>
        <v/>
      </c>
      <c r="Q1570">
        <f>J1570-H1570^2/k_n</f>
        <v/>
      </c>
      <c r="R1570">
        <f>K1570-G1570*H1570/k_n</f>
        <v/>
      </c>
      <c r="S1570">
        <f>L1570-LTP3!$D$3*G1570/k_n</f>
        <v/>
      </c>
      <c r="T1570">
        <f>M1570-LTP3!$D$3*H1570/k_n</f>
        <v/>
      </c>
      <c r="U1570">
        <f>N1570-G1570*LTP3!$D$4/k_n</f>
        <v/>
      </c>
      <c r="V1570">
        <f>O1570-H1570*LTP3!$D$4/k_n</f>
        <v/>
      </c>
      <c r="W1570">
        <f>((LTP3!$D$5)*((P1570)*(Q1570)-(R1570)*(R1570))-(S1570)*((S1570)*(Q1570)-(R1570)*(T1570))+(T1570)*((S1570)*(R1570)-(P1570)*(T1570)))</f>
        <v/>
      </c>
      <c r="X1570">
        <f>IF(ABS(W1570)&gt;1E-12,((LTP3!$D$6)*((P1570)*(Q1570)-(R1570)*(R1570))-(S1570)*((U1570)*(Q1570)-(R1570)*(V1570))+(T1570)*((U1570)*(R1570)-(P1570)*(V1570)))/W1570,0)</f>
        <v/>
      </c>
      <c r="Y1570">
        <f>IF(ABS(W1570)&gt;1E-12,((LTP3!$D$5)*((U1570)*(Q1570)-(R1570)*(V1570))-(LTP3!$D$6)*((S1570)*(Q1570)-(R1570)*(T1570))+(T1570)*((S1570)*(V1570)-(U1570)*(T1570)))/W1570,0)</f>
        <v/>
      </c>
      <c r="Z1570">
        <f>IF(ABS(W1570)&gt;1E-12,((LTP3!$D$5)*((P1570)*(V1570)-(U1570)*(R1570))-(S1570)*((S1570)*(V1570)-(U1570)*(T1570))+(LTP3!$D$6)*((S1570)*(R1570)-(P1570)*(T1570)))/W1570,0)</f>
        <v/>
      </c>
      <c r="AA1570">
        <f>LTP3!$D$7-X1570*LTP3!$D$6-Y1570*U1570-Z1570*V1570</f>
        <v/>
      </c>
      <c r="AB1570">
        <f>IF(AND(F1570,ABS(W1570)&gt;1E-12,Y1570&gt;0,Z1570&gt;0),AA1570,1E+300)</f>
        <v/>
      </c>
    </row>
    <row r="1571">
      <c r="A1571">
        <f>$B$3+$B$5*25</f>
        <v/>
      </c>
      <c r="B1571">
        <f>$B$3+$B$5*34</f>
        <v/>
      </c>
      <c r="C1571">
        <f>SUMPRODUCT(Calc!$K$3:$K$22*(Calc!$G$3:$G$22&lt;=A1571))</f>
        <v/>
      </c>
      <c r="D1571">
        <f>SUMPRODUCT(Calc!$K$3:$K$22*(Calc!$G$3:$G$22&gt;A1571)*(Calc!$G$3:$G$22&lt;B1571))</f>
        <v/>
      </c>
      <c r="E1571">
        <f>SUMPRODUCT(Calc!$K$3:$K$22*(Calc!$G$3:$G$22&gt;=B1571))</f>
        <v/>
      </c>
      <c r="F1571">
        <f>AND(k_n&gt;=5,B1571&gt;A1571+1E-9,C1571&gt;=2,D1571&gt;=1,E1571&gt;=2)</f>
        <v/>
      </c>
      <c r="G1571">
        <f>SUMPRODUCT(Calc!$K$3:$K$22*(Calc!$G$3:$G$22&gt;A1571)*(Calc!$G$3:$G$22-A1571))</f>
        <v/>
      </c>
      <c r="H1571">
        <f>SUMPRODUCT(Calc!$K$3:$K$22*(Calc!$G$3:$G$22&gt;B1571)*(Calc!$G$3:$G$22-B1571))</f>
        <v/>
      </c>
      <c r="I1571">
        <f>SUMPRODUCT(Calc!$K$3:$K$22*(Calc!$G$3:$G$22&gt;A1571)*(Calc!$G$3:$G$22-A1571)^2)</f>
        <v/>
      </c>
      <c r="J1571">
        <f>SUMPRODUCT(Calc!$K$3:$K$22*(Calc!$G$3:$G$22&gt;B1571)*(Calc!$G$3:$G$22-B1571)^2)</f>
        <v/>
      </c>
      <c r="K1571">
        <f>SUMPRODUCT(Calc!$K$3:$K$22*(Calc!$G$3:$G$22&gt;A1571)*(Calc!$G$3:$G$22-A1571)*(Calc!$G$3:$G$22&gt;B1571)*(Calc!$G$3:$G$22-B1571))</f>
        <v/>
      </c>
      <c r="L1571">
        <f>SUMPRODUCT(Calc!$K$3:$K$22*(Calc!$G$3:$G$22&gt;A1571)*(Calc!$G$3:$G$22-A1571)*Calc!$G$3:$G$22)</f>
        <v/>
      </c>
      <c r="M1571">
        <f>SUMPRODUCT(Calc!$K$3:$K$22*(Calc!$G$3:$G$22&gt;B1571)*(Calc!$G$3:$G$22-B1571)*Calc!$G$3:$G$22)</f>
        <v/>
      </c>
      <c r="N1571">
        <f>SUMPRODUCT(Calc!$K$3:$K$22*(Calc!$G$3:$G$22&gt;A1571)*(Calc!$G$3:$G$22-A1571)*Calc!$I$3:$I$22)</f>
        <v/>
      </c>
      <c r="O1571">
        <f>SUMPRODUCT(Calc!$K$3:$K$22*(Calc!$G$3:$G$22&gt;B1571)*(Calc!$G$3:$G$22-B1571)*Calc!$I$3:$I$22)</f>
        <v/>
      </c>
      <c r="P1571">
        <f>I1571-G1571^2/k_n</f>
        <v/>
      </c>
      <c r="Q1571">
        <f>J1571-H1571^2/k_n</f>
        <v/>
      </c>
      <c r="R1571">
        <f>K1571-G1571*H1571/k_n</f>
        <v/>
      </c>
      <c r="S1571">
        <f>L1571-LTP3!$D$3*G1571/k_n</f>
        <v/>
      </c>
      <c r="T1571">
        <f>M1571-LTP3!$D$3*H1571/k_n</f>
        <v/>
      </c>
      <c r="U1571">
        <f>N1571-G1571*LTP3!$D$4/k_n</f>
        <v/>
      </c>
      <c r="V1571">
        <f>O1571-H1571*LTP3!$D$4/k_n</f>
        <v/>
      </c>
      <c r="W1571">
        <f>((LTP3!$D$5)*((P1571)*(Q1571)-(R1571)*(R1571))-(S1571)*((S1571)*(Q1571)-(R1571)*(T1571))+(T1571)*((S1571)*(R1571)-(P1571)*(T1571)))</f>
        <v/>
      </c>
      <c r="X1571">
        <f>IF(ABS(W1571)&gt;1E-12,((LTP3!$D$6)*((P1571)*(Q1571)-(R1571)*(R1571))-(S1571)*((U1571)*(Q1571)-(R1571)*(V1571))+(T1571)*((U1571)*(R1571)-(P1571)*(V1571)))/W1571,0)</f>
        <v/>
      </c>
      <c r="Y1571">
        <f>IF(ABS(W1571)&gt;1E-12,((LTP3!$D$5)*((U1571)*(Q1571)-(R1571)*(V1571))-(LTP3!$D$6)*((S1571)*(Q1571)-(R1571)*(T1571))+(T1571)*((S1571)*(V1571)-(U1571)*(T1571)))/W1571,0)</f>
        <v/>
      </c>
      <c r="Z1571">
        <f>IF(ABS(W1571)&gt;1E-12,((LTP3!$D$5)*((P1571)*(V1571)-(U1571)*(R1571))-(S1571)*((S1571)*(V1571)-(U1571)*(T1571))+(LTP3!$D$6)*((S1571)*(R1571)-(P1571)*(T1571)))/W1571,0)</f>
        <v/>
      </c>
      <c r="AA1571">
        <f>LTP3!$D$7-X1571*LTP3!$D$6-Y1571*U1571-Z1571*V1571</f>
        <v/>
      </c>
      <c r="AB1571">
        <f>IF(AND(F1571,ABS(W1571)&gt;1E-12,Y1571&gt;0,Z1571&gt;0),AA1571,1E+300)</f>
        <v/>
      </c>
    </row>
    <row r="1572">
      <c r="A1572">
        <f>$B$3+$B$5*25</f>
        <v/>
      </c>
      <c r="B1572">
        <f>$B$3+$B$5*35</f>
        <v/>
      </c>
      <c r="C1572">
        <f>SUMPRODUCT(Calc!$K$3:$K$22*(Calc!$G$3:$G$22&lt;=A1572))</f>
        <v/>
      </c>
      <c r="D1572">
        <f>SUMPRODUCT(Calc!$K$3:$K$22*(Calc!$G$3:$G$22&gt;A1572)*(Calc!$G$3:$G$22&lt;B1572))</f>
        <v/>
      </c>
      <c r="E1572">
        <f>SUMPRODUCT(Calc!$K$3:$K$22*(Calc!$G$3:$G$22&gt;=B1572))</f>
        <v/>
      </c>
      <c r="F1572">
        <f>AND(k_n&gt;=5,B1572&gt;A1572+1E-9,C1572&gt;=2,D1572&gt;=1,E1572&gt;=2)</f>
        <v/>
      </c>
      <c r="G1572">
        <f>SUMPRODUCT(Calc!$K$3:$K$22*(Calc!$G$3:$G$22&gt;A1572)*(Calc!$G$3:$G$22-A1572))</f>
        <v/>
      </c>
      <c r="H1572">
        <f>SUMPRODUCT(Calc!$K$3:$K$22*(Calc!$G$3:$G$22&gt;B1572)*(Calc!$G$3:$G$22-B1572))</f>
        <v/>
      </c>
      <c r="I1572">
        <f>SUMPRODUCT(Calc!$K$3:$K$22*(Calc!$G$3:$G$22&gt;A1572)*(Calc!$G$3:$G$22-A1572)^2)</f>
        <v/>
      </c>
      <c r="J1572">
        <f>SUMPRODUCT(Calc!$K$3:$K$22*(Calc!$G$3:$G$22&gt;B1572)*(Calc!$G$3:$G$22-B1572)^2)</f>
        <v/>
      </c>
      <c r="K1572">
        <f>SUMPRODUCT(Calc!$K$3:$K$22*(Calc!$G$3:$G$22&gt;A1572)*(Calc!$G$3:$G$22-A1572)*(Calc!$G$3:$G$22&gt;B1572)*(Calc!$G$3:$G$22-B1572))</f>
        <v/>
      </c>
      <c r="L1572">
        <f>SUMPRODUCT(Calc!$K$3:$K$22*(Calc!$G$3:$G$22&gt;A1572)*(Calc!$G$3:$G$22-A1572)*Calc!$G$3:$G$22)</f>
        <v/>
      </c>
      <c r="M1572">
        <f>SUMPRODUCT(Calc!$K$3:$K$22*(Calc!$G$3:$G$22&gt;B1572)*(Calc!$G$3:$G$22-B1572)*Calc!$G$3:$G$22)</f>
        <v/>
      </c>
      <c r="N1572">
        <f>SUMPRODUCT(Calc!$K$3:$K$22*(Calc!$G$3:$G$22&gt;A1572)*(Calc!$G$3:$G$22-A1572)*Calc!$I$3:$I$22)</f>
        <v/>
      </c>
      <c r="O1572">
        <f>SUMPRODUCT(Calc!$K$3:$K$22*(Calc!$G$3:$G$22&gt;B1572)*(Calc!$G$3:$G$22-B1572)*Calc!$I$3:$I$22)</f>
        <v/>
      </c>
      <c r="P1572">
        <f>I1572-G1572^2/k_n</f>
        <v/>
      </c>
      <c r="Q1572">
        <f>J1572-H1572^2/k_n</f>
        <v/>
      </c>
      <c r="R1572">
        <f>K1572-G1572*H1572/k_n</f>
        <v/>
      </c>
      <c r="S1572">
        <f>L1572-LTP3!$D$3*G1572/k_n</f>
        <v/>
      </c>
      <c r="T1572">
        <f>M1572-LTP3!$D$3*H1572/k_n</f>
        <v/>
      </c>
      <c r="U1572">
        <f>N1572-G1572*LTP3!$D$4/k_n</f>
        <v/>
      </c>
      <c r="V1572">
        <f>O1572-H1572*LTP3!$D$4/k_n</f>
        <v/>
      </c>
      <c r="W1572">
        <f>((LTP3!$D$5)*((P1572)*(Q1572)-(R1572)*(R1572))-(S1572)*((S1572)*(Q1572)-(R1572)*(T1572))+(T1572)*((S1572)*(R1572)-(P1572)*(T1572)))</f>
        <v/>
      </c>
      <c r="X1572">
        <f>IF(ABS(W1572)&gt;1E-12,((LTP3!$D$6)*((P1572)*(Q1572)-(R1572)*(R1572))-(S1572)*((U1572)*(Q1572)-(R1572)*(V1572))+(T1572)*((U1572)*(R1572)-(P1572)*(V1572)))/W1572,0)</f>
        <v/>
      </c>
      <c r="Y1572">
        <f>IF(ABS(W1572)&gt;1E-12,((LTP3!$D$5)*((U1572)*(Q1572)-(R1572)*(V1572))-(LTP3!$D$6)*((S1572)*(Q1572)-(R1572)*(T1572))+(T1572)*((S1572)*(V1572)-(U1572)*(T1572)))/W1572,0)</f>
        <v/>
      </c>
      <c r="Z1572">
        <f>IF(ABS(W1572)&gt;1E-12,((LTP3!$D$5)*((P1572)*(V1572)-(U1572)*(R1572))-(S1572)*((S1572)*(V1572)-(U1572)*(T1572))+(LTP3!$D$6)*((S1572)*(R1572)-(P1572)*(T1572)))/W1572,0)</f>
        <v/>
      </c>
      <c r="AA1572">
        <f>LTP3!$D$7-X1572*LTP3!$D$6-Y1572*U1572-Z1572*V1572</f>
        <v/>
      </c>
      <c r="AB1572">
        <f>IF(AND(F1572,ABS(W1572)&gt;1E-12,Y1572&gt;0,Z1572&gt;0),AA1572,1E+300)</f>
        <v/>
      </c>
    </row>
    <row r="1573">
      <c r="A1573">
        <f>$B$3+$B$5*25</f>
        <v/>
      </c>
      <c r="B1573">
        <f>$B$3+$B$5*36</f>
        <v/>
      </c>
      <c r="C1573">
        <f>SUMPRODUCT(Calc!$K$3:$K$22*(Calc!$G$3:$G$22&lt;=A1573))</f>
        <v/>
      </c>
      <c r="D1573">
        <f>SUMPRODUCT(Calc!$K$3:$K$22*(Calc!$G$3:$G$22&gt;A1573)*(Calc!$G$3:$G$22&lt;B1573))</f>
        <v/>
      </c>
      <c r="E1573">
        <f>SUMPRODUCT(Calc!$K$3:$K$22*(Calc!$G$3:$G$22&gt;=B1573))</f>
        <v/>
      </c>
      <c r="F1573">
        <f>AND(k_n&gt;=5,B1573&gt;A1573+1E-9,C1573&gt;=2,D1573&gt;=1,E1573&gt;=2)</f>
        <v/>
      </c>
      <c r="G1573">
        <f>SUMPRODUCT(Calc!$K$3:$K$22*(Calc!$G$3:$G$22&gt;A1573)*(Calc!$G$3:$G$22-A1573))</f>
        <v/>
      </c>
      <c r="H1573">
        <f>SUMPRODUCT(Calc!$K$3:$K$22*(Calc!$G$3:$G$22&gt;B1573)*(Calc!$G$3:$G$22-B1573))</f>
        <v/>
      </c>
      <c r="I1573">
        <f>SUMPRODUCT(Calc!$K$3:$K$22*(Calc!$G$3:$G$22&gt;A1573)*(Calc!$G$3:$G$22-A1573)^2)</f>
        <v/>
      </c>
      <c r="J1573">
        <f>SUMPRODUCT(Calc!$K$3:$K$22*(Calc!$G$3:$G$22&gt;B1573)*(Calc!$G$3:$G$22-B1573)^2)</f>
        <v/>
      </c>
      <c r="K1573">
        <f>SUMPRODUCT(Calc!$K$3:$K$22*(Calc!$G$3:$G$22&gt;A1573)*(Calc!$G$3:$G$22-A1573)*(Calc!$G$3:$G$22&gt;B1573)*(Calc!$G$3:$G$22-B1573))</f>
        <v/>
      </c>
      <c r="L1573">
        <f>SUMPRODUCT(Calc!$K$3:$K$22*(Calc!$G$3:$G$22&gt;A1573)*(Calc!$G$3:$G$22-A1573)*Calc!$G$3:$G$22)</f>
        <v/>
      </c>
      <c r="M1573">
        <f>SUMPRODUCT(Calc!$K$3:$K$22*(Calc!$G$3:$G$22&gt;B1573)*(Calc!$G$3:$G$22-B1573)*Calc!$G$3:$G$22)</f>
        <v/>
      </c>
      <c r="N1573">
        <f>SUMPRODUCT(Calc!$K$3:$K$22*(Calc!$G$3:$G$22&gt;A1573)*(Calc!$G$3:$G$22-A1573)*Calc!$I$3:$I$22)</f>
        <v/>
      </c>
      <c r="O1573">
        <f>SUMPRODUCT(Calc!$K$3:$K$22*(Calc!$G$3:$G$22&gt;B1573)*(Calc!$G$3:$G$22-B1573)*Calc!$I$3:$I$22)</f>
        <v/>
      </c>
      <c r="P1573">
        <f>I1573-G1573^2/k_n</f>
        <v/>
      </c>
      <c r="Q1573">
        <f>J1573-H1573^2/k_n</f>
        <v/>
      </c>
      <c r="R1573">
        <f>K1573-G1573*H1573/k_n</f>
        <v/>
      </c>
      <c r="S1573">
        <f>L1573-LTP3!$D$3*G1573/k_n</f>
        <v/>
      </c>
      <c r="T1573">
        <f>M1573-LTP3!$D$3*H1573/k_n</f>
        <v/>
      </c>
      <c r="U1573">
        <f>N1573-G1573*LTP3!$D$4/k_n</f>
        <v/>
      </c>
      <c r="V1573">
        <f>O1573-H1573*LTP3!$D$4/k_n</f>
        <v/>
      </c>
      <c r="W1573">
        <f>((LTP3!$D$5)*((P1573)*(Q1573)-(R1573)*(R1573))-(S1573)*((S1573)*(Q1573)-(R1573)*(T1573))+(T1573)*((S1573)*(R1573)-(P1573)*(T1573)))</f>
        <v/>
      </c>
      <c r="X1573">
        <f>IF(ABS(W1573)&gt;1E-12,((LTP3!$D$6)*((P1573)*(Q1573)-(R1573)*(R1573))-(S1573)*((U1573)*(Q1573)-(R1573)*(V1573))+(T1573)*((U1573)*(R1573)-(P1573)*(V1573)))/W1573,0)</f>
        <v/>
      </c>
      <c r="Y1573">
        <f>IF(ABS(W1573)&gt;1E-12,((LTP3!$D$5)*((U1573)*(Q1573)-(R1573)*(V1573))-(LTP3!$D$6)*((S1573)*(Q1573)-(R1573)*(T1573))+(T1573)*((S1573)*(V1573)-(U1573)*(T1573)))/W1573,0)</f>
        <v/>
      </c>
      <c r="Z1573">
        <f>IF(ABS(W1573)&gt;1E-12,((LTP3!$D$5)*((P1573)*(V1573)-(U1573)*(R1573))-(S1573)*((S1573)*(V1573)-(U1573)*(T1573))+(LTP3!$D$6)*((S1573)*(R1573)-(P1573)*(T1573)))/W1573,0)</f>
        <v/>
      </c>
      <c r="AA1573">
        <f>LTP3!$D$7-X1573*LTP3!$D$6-Y1573*U1573-Z1573*V1573</f>
        <v/>
      </c>
      <c r="AB1573">
        <f>IF(AND(F1573,ABS(W1573)&gt;1E-12,Y1573&gt;0,Z1573&gt;0),AA1573,1E+300)</f>
        <v/>
      </c>
    </row>
    <row r="1574">
      <c r="A1574">
        <f>$B$3+$B$5*25</f>
        <v/>
      </c>
      <c r="B1574">
        <f>$B$3+$B$5*37</f>
        <v/>
      </c>
      <c r="C1574">
        <f>SUMPRODUCT(Calc!$K$3:$K$22*(Calc!$G$3:$G$22&lt;=A1574))</f>
        <v/>
      </c>
      <c r="D1574">
        <f>SUMPRODUCT(Calc!$K$3:$K$22*(Calc!$G$3:$G$22&gt;A1574)*(Calc!$G$3:$G$22&lt;B1574))</f>
        <v/>
      </c>
      <c r="E1574">
        <f>SUMPRODUCT(Calc!$K$3:$K$22*(Calc!$G$3:$G$22&gt;=B1574))</f>
        <v/>
      </c>
      <c r="F1574">
        <f>AND(k_n&gt;=5,B1574&gt;A1574+1E-9,C1574&gt;=2,D1574&gt;=1,E1574&gt;=2)</f>
        <v/>
      </c>
      <c r="G1574">
        <f>SUMPRODUCT(Calc!$K$3:$K$22*(Calc!$G$3:$G$22&gt;A1574)*(Calc!$G$3:$G$22-A1574))</f>
        <v/>
      </c>
      <c r="H1574">
        <f>SUMPRODUCT(Calc!$K$3:$K$22*(Calc!$G$3:$G$22&gt;B1574)*(Calc!$G$3:$G$22-B1574))</f>
        <v/>
      </c>
      <c r="I1574">
        <f>SUMPRODUCT(Calc!$K$3:$K$22*(Calc!$G$3:$G$22&gt;A1574)*(Calc!$G$3:$G$22-A1574)^2)</f>
        <v/>
      </c>
      <c r="J1574">
        <f>SUMPRODUCT(Calc!$K$3:$K$22*(Calc!$G$3:$G$22&gt;B1574)*(Calc!$G$3:$G$22-B1574)^2)</f>
        <v/>
      </c>
      <c r="K1574">
        <f>SUMPRODUCT(Calc!$K$3:$K$22*(Calc!$G$3:$G$22&gt;A1574)*(Calc!$G$3:$G$22-A1574)*(Calc!$G$3:$G$22&gt;B1574)*(Calc!$G$3:$G$22-B1574))</f>
        <v/>
      </c>
      <c r="L1574">
        <f>SUMPRODUCT(Calc!$K$3:$K$22*(Calc!$G$3:$G$22&gt;A1574)*(Calc!$G$3:$G$22-A1574)*Calc!$G$3:$G$22)</f>
        <v/>
      </c>
      <c r="M1574">
        <f>SUMPRODUCT(Calc!$K$3:$K$22*(Calc!$G$3:$G$22&gt;B1574)*(Calc!$G$3:$G$22-B1574)*Calc!$G$3:$G$22)</f>
        <v/>
      </c>
      <c r="N1574">
        <f>SUMPRODUCT(Calc!$K$3:$K$22*(Calc!$G$3:$G$22&gt;A1574)*(Calc!$G$3:$G$22-A1574)*Calc!$I$3:$I$22)</f>
        <v/>
      </c>
      <c r="O1574">
        <f>SUMPRODUCT(Calc!$K$3:$K$22*(Calc!$G$3:$G$22&gt;B1574)*(Calc!$G$3:$G$22-B1574)*Calc!$I$3:$I$22)</f>
        <v/>
      </c>
      <c r="P1574">
        <f>I1574-G1574^2/k_n</f>
        <v/>
      </c>
      <c r="Q1574">
        <f>J1574-H1574^2/k_n</f>
        <v/>
      </c>
      <c r="R1574">
        <f>K1574-G1574*H1574/k_n</f>
        <v/>
      </c>
      <c r="S1574">
        <f>L1574-LTP3!$D$3*G1574/k_n</f>
        <v/>
      </c>
      <c r="T1574">
        <f>M1574-LTP3!$D$3*H1574/k_n</f>
        <v/>
      </c>
      <c r="U1574">
        <f>N1574-G1574*LTP3!$D$4/k_n</f>
        <v/>
      </c>
      <c r="V1574">
        <f>O1574-H1574*LTP3!$D$4/k_n</f>
        <v/>
      </c>
      <c r="W1574">
        <f>((LTP3!$D$5)*((P1574)*(Q1574)-(R1574)*(R1574))-(S1574)*((S1574)*(Q1574)-(R1574)*(T1574))+(T1574)*((S1574)*(R1574)-(P1574)*(T1574)))</f>
        <v/>
      </c>
      <c r="X1574">
        <f>IF(ABS(W1574)&gt;1E-12,((LTP3!$D$6)*((P1574)*(Q1574)-(R1574)*(R1574))-(S1574)*((U1574)*(Q1574)-(R1574)*(V1574))+(T1574)*((U1574)*(R1574)-(P1574)*(V1574)))/W1574,0)</f>
        <v/>
      </c>
      <c r="Y1574">
        <f>IF(ABS(W1574)&gt;1E-12,((LTP3!$D$5)*((U1574)*(Q1574)-(R1574)*(V1574))-(LTP3!$D$6)*((S1574)*(Q1574)-(R1574)*(T1574))+(T1574)*((S1574)*(V1574)-(U1574)*(T1574)))/W1574,0)</f>
        <v/>
      </c>
      <c r="Z1574">
        <f>IF(ABS(W1574)&gt;1E-12,((LTP3!$D$5)*((P1574)*(V1574)-(U1574)*(R1574))-(S1574)*((S1574)*(V1574)-(U1574)*(T1574))+(LTP3!$D$6)*((S1574)*(R1574)-(P1574)*(T1574)))/W1574,0)</f>
        <v/>
      </c>
      <c r="AA1574">
        <f>LTP3!$D$7-X1574*LTP3!$D$6-Y1574*U1574-Z1574*V1574</f>
        <v/>
      </c>
      <c r="AB1574">
        <f>IF(AND(F1574,ABS(W1574)&gt;1E-12,Y1574&gt;0,Z1574&gt;0),AA1574,1E+300)</f>
        <v/>
      </c>
    </row>
    <row r="1575">
      <c r="A1575">
        <f>$B$3+$B$5*25</f>
        <v/>
      </c>
      <c r="B1575">
        <f>$B$3+$B$5*38</f>
        <v/>
      </c>
      <c r="C1575">
        <f>SUMPRODUCT(Calc!$K$3:$K$22*(Calc!$G$3:$G$22&lt;=A1575))</f>
        <v/>
      </c>
      <c r="D1575">
        <f>SUMPRODUCT(Calc!$K$3:$K$22*(Calc!$G$3:$G$22&gt;A1575)*(Calc!$G$3:$G$22&lt;B1575))</f>
        <v/>
      </c>
      <c r="E1575">
        <f>SUMPRODUCT(Calc!$K$3:$K$22*(Calc!$G$3:$G$22&gt;=B1575))</f>
        <v/>
      </c>
      <c r="F1575">
        <f>AND(k_n&gt;=5,B1575&gt;A1575+1E-9,C1575&gt;=2,D1575&gt;=1,E1575&gt;=2)</f>
        <v/>
      </c>
      <c r="G1575">
        <f>SUMPRODUCT(Calc!$K$3:$K$22*(Calc!$G$3:$G$22&gt;A1575)*(Calc!$G$3:$G$22-A1575))</f>
        <v/>
      </c>
      <c r="H1575">
        <f>SUMPRODUCT(Calc!$K$3:$K$22*(Calc!$G$3:$G$22&gt;B1575)*(Calc!$G$3:$G$22-B1575))</f>
        <v/>
      </c>
      <c r="I1575">
        <f>SUMPRODUCT(Calc!$K$3:$K$22*(Calc!$G$3:$G$22&gt;A1575)*(Calc!$G$3:$G$22-A1575)^2)</f>
        <v/>
      </c>
      <c r="J1575">
        <f>SUMPRODUCT(Calc!$K$3:$K$22*(Calc!$G$3:$G$22&gt;B1575)*(Calc!$G$3:$G$22-B1575)^2)</f>
        <v/>
      </c>
      <c r="K1575">
        <f>SUMPRODUCT(Calc!$K$3:$K$22*(Calc!$G$3:$G$22&gt;A1575)*(Calc!$G$3:$G$22-A1575)*(Calc!$G$3:$G$22&gt;B1575)*(Calc!$G$3:$G$22-B1575))</f>
        <v/>
      </c>
      <c r="L1575">
        <f>SUMPRODUCT(Calc!$K$3:$K$22*(Calc!$G$3:$G$22&gt;A1575)*(Calc!$G$3:$G$22-A1575)*Calc!$G$3:$G$22)</f>
        <v/>
      </c>
      <c r="M1575">
        <f>SUMPRODUCT(Calc!$K$3:$K$22*(Calc!$G$3:$G$22&gt;B1575)*(Calc!$G$3:$G$22-B1575)*Calc!$G$3:$G$22)</f>
        <v/>
      </c>
      <c r="N1575">
        <f>SUMPRODUCT(Calc!$K$3:$K$22*(Calc!$G$3:$G$22&gt;A1575)*(Calc!$G$3:$G$22-A1575)*Calc!$I$3:$I$22)</f>
        <v/>
      </c>
      <c r="O1575">
        <f>SUMPRODUCT(Calc!$K$3:$K$22*(Calc!$G$3:$G$22&gt;B1575)*(Calc!$G$3:$G$22-B1575)*Calc!$I$3:$I$22)</f>
        <v/>
      </c>
      <c r="P1575">
        <f>I1575-G1575^2/k_n</f>
        <v/>
      </c>
      <c r="Q1575">
        <f>J1575-H1575^2/k_n</f>
        <v/>
      </c>
      <c r="R1575">
        <f>K1575-G1575*H1575/k_n</f>
        <v/>
      </c>
      <c r="S1575">
        <f>L1575-LTP3!$D$3*G1575/k_n</f>
        <v/>
      </c>
      <c r="T1575">
        <f>M1575-LTP3!$D$3*H1575/k_n</f>
        <v/>
      </c>
      <c r="U1575">
        <f>N1575-G1575*LTP3!$D$4/k_n</f>
        <v/>
      </c>
      <c r="V1575">
        <f>O1575-H1575*LTP3!$D$4/k_n</f>
        <v/>
      </c>
      <c r="W1575">
        <f>((LTP3!$D$5)*((P1575)*(Q1575)-(R1575)*(R1575))-(S1575)*((S1575)*(Q1575)-(R1575)*(T1575))+(T1575)*((S1575)*(R1575)-(P1575)*(T1575)))</f>
        <v/>
      </c>
      <c r="X1575">
        <f>IF(ABS(W1575)&gt;1E-12,((LTP3!$D$6)*((P1575)*(Q1575)-(R1575)*(R1575))-(S1575)*((U1575)*(Q1575)-(R1575)*(V1575))+(T1575)*((U1575)*(R1575)-(P1575)*(V1575)))/W1575,0)</f>
        <v/>
      </c>
      <c r="Y1575">
        <f>IF(ABS(W1575)&gt;1E-12,((LTP3!$D$5)*((U1575)*(Q1575)-(R1575)*(V1575))-(LTP3!$D$6)*((S1575)*(Q1575)-(R1575)*(T1575))+(T1575)*((S1575)*(V1575)-(U1575)*(T1575)))/W1575,0)</f>
        <v/>
      </c>
      <c r="Z1575">
        <f>IF(ABS(W1575)&gt;1E-12,((LTP3!$D$5)*((P1575)*(V1575)-(U1575)*(R1575))-(S1575)*((S1575)*(V1575)-(U1575)*(T1575))+(LTP3!$D$6)*((S1575)*(R1575)-(P1575)*(T1575)))/W1575,0)</f>
        <v/>
      </c>
      <c r="AA1575">
        <f>LTP3!$D$7-X1575*LTP3!$D$6-Y1575*U1575-Z1575*V1575</f>
        <v/>
      </c>
      <c r="AB1575">
        <f>IF(AND(F1575,ABS(W1575)&gt;1E-12,Y1575&gt;0,Z1575&gt;0),AA1575,1E+300)</f>
        <v/>
      </c>
    </row>
    <row r="1576">
      <c r="A1576">
        <f>$B$3+$B$5*25</f>
        <v/>
      </c>
      <c r="B1576">
        <f>$B$3+$B$5*39</f>
        <v/>
      </c>
      <c r="C1576">
        <f>SUMPRODUCT(Calc!$K$3:$K$22*(Calc!$G$3:$G$22&lt;=A1576))</f>
        <v/>
      </c>
      <c r="D1576">
        <f>SUMPRODUCT(Calc!$K$3:$K$22*(Calc!$G$3:$G$22&gt;A1576)*(Calc!$G$3:$G$22&lt;B1576))</f>
        <v/>
      </c>
      <c r="E1576">
        <f>SUMPRODUCT(Calc!$K$3:$K$22*(Calc!$G$3:$G$22&gt;=B1576))</f>
        <v/>
      </c>
      <c r="F1576">
        <f>AND(k_n&gt;=5,B1576&gt;A1576+1E-9,C1576&gt;=2,D1576&gt;=1,E1576&gt;=2)</f>
        <v/>
      </c>
      <c r="G1576">
        <f>SUMPRODUCT(Calc!$K$3:$K$22*(Calc!$G$3:$G$22&gt;A1576)*(Calc!$G$3:$G$22-A1576))</f>
        <v/>
      </c>
      <c r="H1576">
        <f>SUMPRODUCT(Calc!$K$3:$K$22*(Calc!$G$3:$G$22&gt;B1576)*(Calc!$G$3:$G$22-B1576))</f>
        <v/>
      </c>
      <c r="I1576">
        <f>SUMPRODUCT(Calc!$K$3:$K$22*(Calc!$G$3:$G$22&gt;A1576)*(Calc!$G$3:$G$22-A1576)^2)</f>
        <v/>
      </c>
      <c r="J1576">
        <f>SUMPRODUCT(Calc!$K$3:$K$22*(Calc!$G$3:$G$22&gt;B1576)*(Calc!$G$3:$G$22-B1576)^2)</f>
        <v/>
      </c>
      <c r="K1576">
        <f>SUMPRODUCT(Calc!$K$3:$K$22*(Calc!$G$3:$G$22&gt;A1576)*(Calc!$G$3:$G$22-A1576)*(Calc!$G$3:$G$22&gt;B1576)*(Calc!$G$3:$G$22-B1576))</f>
        <v/>
      </c>
      <c r="L1576">
        <f>SUMPRODUCT(Calc!$K$3:$K$22*(Calc!$G$3:$G$22&gt;A1576)*(Calc!$G$3:$G$22-A1576)*Calc!$G$3:$G$22)</f>
        <v/>
      </c>
      <c r="M1576">
        <f>SUMPRODUCT(Calc!$K$3:$K$22*(Calc!$G$3:$G$22&gt;B1576)*(Calc!$G$3:$G$22-B1576)*Calc!$G$3:$G$22)</f>
        <v/>
      </c>
      <c r="N1576">
        <f>SUMPRODUCT(Calc!$K$3:$K$22*(Calc!$G$3:$G$22&gt;A1576)*(Calc!$G$3:$G$22-A1576)*Calc!$I$3:$I$22)</f>
        <v/>
      </c>
      <c r="O1576">
        <f>SUMPRODUCT(Calc!$K$3:$K$22*(Calc!$G$3:$G$22&gt;B1576)*(Calc!$G$3:$G$22-B1576)*Calc!$I$3:$I$22)</f>
        <v/>
      </c>
      <c r="P1576">
        <f>I1576-G1576^2/k_n</f>
        <v/>
      </c>
      <c r="Q1576">
        <f>J1576-H1576^2/k_n</f>
        <v/>
      </c>
      <c r="R1576">
        <f>K1576-G1576*H1576/k_n</f>
        <v/>
      </c>
      <c r="S1576">
        <f>L1576-LTP3!$D$3*G1576/k_n</f>
        <v/>
      </c>
      <c r="T1576">
        <f>M1576-LTP3!$D$3*H1576/k_n</f>
        <v/>
      </c>
      <c r="U1576">
        <f>N1576-G1576*LTP3!$D$4/k_n</f>
        <v/>
      </c>
      <c r="V1576">
        <f>O1576-H1576*LTP3!$D$4/k_n</f>
        <v/>
      </c>
      <c r="W1576">
        <f>((LTP3!$D$5)*((P1576)*(Q1576)-(R1576)*(R1576))-(S1576)*((S1576)*(Q1576)-(R1576)*(T1576))+(T1576)*((S1576)*(R1576)-(P1576)*(T1576)))</f>
        <v/>
      </c>
      <c r="X1576">
        <f>IF(ABS(W1576)&gt;1E-12,((LTP3!$D$6)*((P1576)*(Q1576)-(R1576)*(R1576))-(S1576)*((U1576)*(Q1576)-(R1576)*(V1576))+(T1576)*((U1576)*(R1576)-(P1576)*(V1576)))/W1576,0)</f>
        <v/>
      </c>
      <c r="Y1576">
        <f>IF(ABS(W1576)&gt;1E-12,((LTP3!$D$5)*((U1576)*(Q1576)-(R1576)*(V1576))-(LTP3!$D$6)*((S1576)*(Q1576)-(R1576)*(T1576))+(T1576)*((S1576)*(V1576)-(U1576)*(T1576)))/W1576,0)</f>
        <v/>
      </c>
      <c r="Z1576">
        <f>IF(ABS(W1576)&gt;1E-12,((LTP3!$D$5)*((P1576)*(V1576)-(U1576)*(R1576))-(S1576)*((S1576)*(V1576)-(U1576)*(T1576))+(LTP3!$D$6)*((S1576)*(R1576)-(P1576)*(T1576)))/W1576,0)</f>
        <v/>
      </c>
      <c r="AA1576">
        <f>LTP3!$D$7-X1576*LTP3!$D$6-Y1576*U1576-Z1576*V1576</f>
        <v/>
      </c>
      <c r="AB1576">
        <f>IF(AND(F1576,ABS(W1576)&gt;1E-12,Y1576&gt;0,Z1576&gt;0),AA1576,1E+300)</f>
        <v/>
      </c>
    </row>
    <row r="1577">
      <c r="A1577">
        <f>$B$3+$B$5*25</f>
        <v/>
      </c>
      <c r="B1577">
        <f>$B$3+$B$5*40</f>
        <v/>
      </c>
      <c r="C1577">
        <f>SUMPRODUCT(Calc!$K$3:$K$22*(Calc!$G$3:$G$22&lt;=A1577))</f>
        <v/>
      </c>
      <c r="D1577">
        <f>SUMPRODUCT(Calc!$K$3:$K$22*(Calc!$G$3:$G$22&gt;A1577)*(Calc!$G$3:$G$22&lt;B1577))</f>
        <v/>
      </c>
      <c r="E1577">
        <f>SUMPRODUCT(Calc!$K$3:$K$22*(Calc!$G$3:$G$22&gt;=B1577))</f>
        <v/>
      </c>
      <c r="F1577">
        <f>AND(k_n&gt;=5,B1577&gt;A1577+1E-9,C1577&gt;=2,D1577&gt;=1,E1577&gt;=2)</f>
        <v/>
      </c>
      <c r="G1577">
        <f>SUMPRODUCT(Calc!$K$3:$K$22*(Calc!$G$3:$G$22&gt;A1577)*(Calc!$G$3:$G$22-A1577))</f>
        <v/>
      </c>
      <c r="H1577">
        <f>SUMPRODUCT(Calc!$K$3:$K$22*(Calc!$G$3:$G$22&gt;B1577)*(Calc!$G$3:$G$22-B1577))</f>
        <v/>
      </c>
      <c r="I1577">
        <f>SUMPRODUCT(Calc!$K$3:$K$22*(Calc!$G$3:$G$22&gt;A1577)*(Calc!$G$3:$G$22-A1577)^2)</f>
        <v/>
      </c>
      <c r="J1577">
        <f>SUMPRODUCT(Calc!$K$3:$K$22*(Calc!$G$3:$G$22&gt;B1577)*(Calc!$G$3:$G$22-B1577)^2)</f>
        <v/>
      </c>
      <c r="K1577">
        <f>SUMPRODUCT(Calc!$K$3:$K$22*(Calc!$G$3:$G$22&gt;A1577)*(Calc!$G$3:$G$22-A1577)*(Calc!$G$3:$G$22&gt;B1577)*(Calc!$G$3:$G$22-B1577))</f>
        <v/>
      </c>
      <c r="L1577">
        <f>SUMPRODUCT(Calc!$K$3:$K$22*(Calc!$G$3:$G$22&gt;A1577)*(Calc!$G$3:$G$22-A1577)*Calc!$G$3:$G$22)</f>
        <v/>
      </c>
      <c r="M1577">
        <f>SUMPRODUCT(Calc!$K$3:$K$22*(Calc!$G$3:$G$22&gt;B1577)*(Calc!$G$3:$G$22-B1577)*Calc!$G$3:$G$22)</f>
        <v/>
      </c>
      <c r="N1577">
        <f>SUMPRODUCT(Calc!$K$3:$K$22*(Calc!$G$3:$G$22&gt;A1577)*(Calc!$G$3:$G$22-A1577)*Calc!$I$3:$I$22)</f>
        <v/>
      </c>
      <c r="O1577">
        <f>SUMPRODUCT(Calc!$K$3:$K$22*(Calc!$G$3:$G$22&gt;B1577)*(Calc!$G$3:$G$22-B1577)*Calc!$I$3:$I$22)</f>
        <v/>
      </c>
      <c r="P1577">
        <f>I1577-G1577^2/k_n</f>
        <v/>
      </c>
      <c r="Q1577">
        <f>J1577-H1577^2/k_n</f>
        <v/>
      </c>
      <c r="R1577">
        <f>K1577-G1577*H1577/k_n</f>
        <v/>
      </c>
      <c r="S1577">
        <f>L1577-LTP3!$D$3*G1577/k_n</f>
        <v/>
      </c>
      <c r="T1577">
        <f>M1577-LTP3!$D$3*H1577/k_n</f>
        <v/>
      </c>
      <c r="U1577">
        <f>N1577-G1577*LTP3!$D$4/k_n</f>
        <v/>
      </c>
      <c r="V1577">
        <f>O1577-H1577*LTP3!$D$4/k_n</f>
        <v/>
      </c>
      <c r="W1577">
        <f>((LTP3!$D$5)*((P1577)*(Q1577)-(R1577)*(R1577))-(S1577)*((S1577)*(Q1577)-(R1577)*(T1577))+(T1577)*((S1577)*(R1577)-(P1577)*(T1577)))</f>
        <v/>
      </c>
      <c r="X1577">
        <f>IF(ABS(W1577)&gt;1E-12,((LTP3!$D$6)*((P1577)*(Q1577)-(R1577)*(R1577))-(S1577)*((U1577)*(Q1577)-(R1577)*(V1577))+(T1577)*((U1577)*(R1577)-(P1577)*(V1577)))/W1577,0)</f>
        <v/>
      </c>
      <c r="Y1577">
        <f>IF(ABS(W1577)&gt;1E-12,((LTP3!$D$5)*((U1577)*(Q1577)-(R1577)*(V1577))-(LTP3!$D$6)*((S1577)*(Q1577)-(R1577)*(T1577))+(T1577)*((S1577)*(V1577)-(U1577)*(T1577)))/W1577,0)</f>
        <v/>
      </c>
      <c r="Z1577">
        <f>IF(ABS(W1577)&gt;1E-12,((LTP3!$D$5)*((P1577)*(V1577)-(U1577)*(R1577))-(S1577)*((S1577)*(V1577)-(U1577)*(T1577))+(LTP3!$D$6)*((S1577)*(R1577)-(P1577)*(T1577)))/W1577,0)</f>
        <v/>
      </c>
      <c r="AA1577">
        <f>LTP3!$D$7-X1577*LTP3!$D$6-Y1577*U1577-Z1577*V1577</f>
        <v/>
      </c>
      <c r="AB1577">
        <f>IF(AND(F1577,ABS(W1577)&gt;1E-12,Y1577&gt;0,Z1577&gt;0),AA1577,1E+300)</f>
        <v/>
      </c>
    </row>
    <row r="1578">
      <c r="A1578">
        <f>$B$3+$B$5*25</f>
        <v/>
      </c>
      <c r="B1578">
        <f>$B$3+$B$5*41</f>
        <v/>
      </c>
      <c r="C1578">
        <f>SUMPRODUCT(Calc!$K$3:$K$22*(Calc!$G$3:$G$22&lt;=A1578))</f>
        <v/>
      </c>
      <c r="D1578">
        <f>SUMPRODUCT(Calc!$K$3:$K$22*(Calc!$G$3:$G$22&gt;A1578)*(Calc!$G$3:$G$22&lt;B1578))</f>
        <v/>
      </c>
      <c r="E1578">
        <f>SUMPRODUCT(Calc!$K$3:$K$22*(Calc!$G$3:$G$22&gt;=B1578))</f>
        <v/>
      </c>
      <c r="F1578">
        <f>AND(k_n&gt;=5,B1578&gt;A1578+1E-9,C1578&gt;=2,D1578&gt;=1,E1578&gt;=2)</f>
        <v/>
      </c>
      <c r="G1578">
        <f>SUMPRODUCT(Calc!$K$3:$K$22*(Calc!$G$3:$G$22&gt;A1578)*(Calc!$G$3:$G$22-A1578))</f>
        <v/>
      </c>
      <c r="H1578">
        <f>SUMPRODUCT(Calc!$K$3:$K$22*(Calc!$G$3:$G$22&gt;B1578)*(Calc!$G$3:$G$22-B1578))</f>
        <v/>
      </c>
      <c r="I1578">
        <f>SUMPRODUCT(Calc!$K$3:$K$22*(Calc!$G$3:$G$22&gt;A1578)*(Calc!$G$3:$G$22-A1578)^2)</f>
        <v/>
      </c>
      <c r="J1578">
        <f>SUMPRODUCT(Calc!$K$3:$K$22*(Calc!$G$3:$G$22&gt;B1578)*(Calc!$G$3:$G$22-B1578)^2)</f>
        <v/>
      </c>
      <c r="K1578">
        <f>SUMPRODUCT(Calc!$K$3:$K$22*(Calc!$G$3:$G$22&gt;A1578)*(Calc!$G$3:$G$22-A1578)*(Calc!$G$3:$G$22&gt;B1578)*(Calc!$G$3:$G$22-B1578))</f>
        <v/>
      </c>
      <c r="L1578">
        <f>SUMPRODUCT(Calc!$K$3:$K$22*(Calc!$G$3:$G$22&gt;A1578)*(Calc!$G$3:$G$22-A1578)*Calc!$G$3:$G$22)</f>
        <v/>
      </c>
      <c r="M1578">
        <f>SUMPRODUCT(Calc!$K$3:$K$22*(Calc!$G$3:$G$22&gt;B1578)*(Calc!$G$3:$G$22-B1578)*Calc!$G$3:$G$22)</f>
        <v/>
      </c>
      <c r="N1578">
        <f>SUMPRODUCT(Calc!$K$3:$K$22*(Calc!$G$3:$G$22&gt;A1578)*(Calc!$G$3:$G$22-A1578)*Calc!$I$3:$I$22)</f>
        <v/>
      </c>
      <c r="O1578">
        <f>SUMPRODUCT(Calc!$K$3:$K$22*(Calc!$G$3:$G$22&gt;B1578)*(Calc!$G$3:$G$22-B1578)*Calc!$I$3:$I$22)</f>
        <v/>
      </c>
      <c r="P1578">
        <f>I1578-G1578^2/k_n</f>
        <v/>
      </c>
      <c r="Q1578">
        <f>J1578-H1578^2/k_n</f>
        <v/>
      </c>
      <c r="R1578">
        <f>K1578-G1578*H1578/k_n</f>
        <v/>
      </c>
      <c r="S1578">
        <f>L1578-LTP3!$D$3*G1578/k_n</f>
        <v/>
      </c>
      <c r="T1578">
        <f>M1578-LTP3!$D$3*H1578/k_n</f>
        <v/>
      </c>
      <c r="U1578">
        <f>N1578-G1578*LTP3!$D$4/k_n</f>
        <v/>
      </c>
      <c r="V1578">
        <f>O1578-H1578*LTP3!$D$4/k_n</f>
        <v/>
      </c>
      <c r="W1578">
        <f>((LTP3!$D$5)*((P1578)*(Q1578)-(R1578)*(R1578))-(S1578)*((S1578)*(Q1578)-(R1578)*(T1578))+(T1578)*((S1578)*(R1578)-(P1578)*(T1578)))</f>
        <v/>
      </c>
      <c r="X1578">
        <f>IF(ABS(W1578)&gt;1E-12,((LTP3!$D$6)*((P1578)*(Q1578)-(R1578)*(R1578))-(S1578)*((U1578)*(Q1578)-(R1578)*(V1578))+(T1578)*((U1578)*(R1578)-(P1578)*(V1578)))/W1578,0)</f>
        <v/>
      </c>
      <c r="Y1578">
        <f>IF(ABS(W1578)&gt;1E-12,((LTP3!$D$5)*((U1578)*(Q1578)-(R1578)*(V1578))-(LTP3!$D$6)*((S1578)*(Q1578)-(R1578)*(T1578))+(T1578)*((S1578)*(V1578)-(U1578)*(T1578)))/W1578,0)</f>
        <v/>
      </c>
      <c r="Z1578">
        <f>IF(ABS(W1578)&gt;1E-12,((LTP3!$D$5)*((P1578)*(V1578)-(U1578)*(R1578))-(S1578)*((S1578)*(V1578)-(U1578)*(T1578))+(LTP3!$D$6)*((S1578)*(R1578)-(P1578)*(T1578)))/W1578,0)</f>
        <v/>
      </c>
      <c r="AA1578">
        <f>LTP3!$D$7-X1578*LTP3!$D$6-Y1578*U1578-Z1578*V1578</f>
        <v/>
      </c>
      <c r="AB1578">
        <f>IF(AND(F1578,ABS(W1578)&gt;1E-12,Y1578&gt;0,Z1578&gt;0),AA1578,1E+300)</f>
        <v/>
      </c>
    </row>
    <row r="1579">
      <c r="A1579">
        <f>$B$3+$B$5*25</f>
        <v/>
      </c>
      <c r="B1579">
        <f>$B$3+$B$5*42</f>
        <v/>
      </c>
      <c r="C1579">
        <f>SUMPRODUCT(Calc!$K$3:$K$22*(Calc!$G$3:$G$22&lt;=A1579))</f>
        <v/>
      </c>
      <c r="D1579">
        <f>SUMPRODUCT(Calc!$K$3:$K$22*(Calc!$G$3:$G$22&gt;A1579)*(Calc!$G$3:$G$22&lt;B1579))</f>
        <v/>
      </c>
      <c r="E1579">
        <f>SUMPRODUCT(Calc!$K$3:$K$22*(Calc!$G$3:$G$22&gt;=B1579))</f>
        <v/>
      </c>
      <c r="F1579">
        <f>AND(k_n&gt;=5,B1579&gt;A1579+1E-9,C1579&gt;=2,D1579&gt;=1,E1579&gt;=2)</f>
        <v/>
      </c>
      <c r="G1579">
        <f>SUMPRODUCT(Calc!$K$3:$K$22*(Calc!$G$3:$G$22&gt;A1579)*(Calc!$G$3:$G$22-A1579))</f>
        <v/>
      </c>
      <c r="H1579">
        <f>SUMPRODUCT(Calc!$K$3:$K$22*(Calc!$G$3:$G$22&gt;B1579)*(Calc!$G$3:$G$22-B1579))</f>
        <v/>
      </c>
      <c r="I1579">
        <f>SUMPRODUCT(Calc!$K$3:$K$22*(Calc!$G$3:$G$22&gt;A1579)*(Calc!$G$3:$G$22-A1579)^2)</f>
        <v/>
      </c>
      <c r="J1579">
        <f>SUMPRODUCT(Calc!$K$3:$K$22*(Calc!$G$3:$G$22&gt;B1579)*(Calc!$G$3:$G$22-B1579)^2)</f>
        <v/>
      </c>
      <c r="K1579">
        <f>SUMPRODUCT(Calc!$K$3:$K$22*(Calc!$G$3:$G$22&gt;A1579)*(Calc!$G$3:$G$22-A1579)*(Calc!$G$3:$G$22&gt;B1579)*(Calc!$G$3:$G$22-B1579))</f>
        <v/>
      </c>
      <c r="L1579">
        <f>SUMPRODUCT(Calc!$K$3:$K$22*(Calc!$G$3:$G$22&gt;A1579)*(Calc!$G$3:$G$22-A1579)*Calc!$G$3:$G$22)</f>
        <v/>
      </c>
      <c r="M1579">
        <f>SUMPRODUCT(Calc!$K$3:$K$22*(Calc!$G$3:$G$22&gt;B1579)*(Calc!$G$3:$G$22-B1579)*Calc!$G$3:$G$22)</f>
        <v/>
      </c>
      <c r="N1579">
        <f>SUMPRODUCT(Calc!$K$3:$K$22*(Calc!$G$3:$G$22&gt;A1579)*(Calc!$G$3:$G$22-A1579)*Calc!$I$3:$I$22)</f>
        <v/>
      </c>
      <c r="O1579">
        <f>SUMPRODUCT(Calc!$K$3:$K$22*(Calc!$G$3:$G$22&gt;B1579)*(Calc!$G$3:$G$22-B1579)*Calc!$I$3:$I$22)</f>
        <v/>
      </c>
      <c r="P1579">
        <f>I1579-G1579^2/k_n</f>
        <v/>
      </c>
      <c r="Q1579">
        <f>J1579-H1579^2/k_n</f>
        <v/>
      </c>
      <c r="R1579">
        <f>K1579-G1579*H1579/k_n</f>
        <v/>
      </c>
      <c r="S1579">
        <f>L1579-LTP3!$D$3*G1579/k_n</f>
        <v/>
      </c>
      <c r="T1579">
        <f>M1579-LTP3!$D$3*H1579/k_n</f>
        <v/>
      </c>
      <c r="U1579">
        <f>N1579-G1579*LTP3!$D$4/k_n</f>
        <v/>
      </c>
      <c r="V1579">
        <f>O1579-H1579*LTP3!$D$4/k_n</f>
        <v/>
      </c>
      <c r="W1579">
        <f>((LTP3!$D$5)*((P1579)*(Q1579)-(R1579)*(R1579))-(S1579)*((S1579)*(Q1579)-(R1579)*(T1579))+(T1579)*((S1579)*(R1579)-(P1579)*(T1579)))</f>
        <v/>
      </c>
      <c r="X1579">
        <f>IF(ABS(W1579)&gt;1E-12,((LTP3!$D$6)*((P1579)*(Q1579)-(R1579)*(R1579))-(S1579)*((U1579)*(Q1579)-(R1579)*(V1579))+(T1579)*((U1579)*(R1579)-(P1579)*(V1579)))/W1579,0)</f>
        <v/>
      </c>
      <c r="Y1579">
        <f>IF(ABS(W1579)&gt;1E-12,((LTP3!$D$5)*((U1579)*(Q1579)-(R1579)*(V1579))-(LTP3!$D$6)*((S1579)*(Q1579)-(R1579)*(T1579))+(T1579)*((S1579)*(V1579)-(U1579)*(T1579)))/W1579,0)</f>
        <v/>
      </c>
      <c r="Z1579">
        <f>IF(ABS(W1579)&gt;1E-12,((LTP3!$D$5)*((P1579)*(V1579)-(U1579)*(R1579))-(S1579)*((S1579)*(V1579)-(U1579)*(T1579))+(LTP3!$D$6)*((S1579)*(R1579)-(P1579)*(T1579)))/W1579,0)</f>
        <v/>
      </c>
      <c r="AA1579">
        <f>LTP3!$D$7-X1579*LTP3!$D$6-Y1579*U1579-Z1579*V1579</f>
        <v/>
      </c>
      <c r="AB1579">
        <f>IF(AND(F1579,ABS(W1579)&gt;1E-12,Y1579&gt;0,Z1579&gt;0),AA1579,1E+300)</f>
        <v/>
      </c>
    </row>
    <row r="1580">
      <c r="A1580">
        <f>$B$3+$B$5*25</f>
        <v/>
      </c>
      <c r="B1580">
        <f>$B$3+$B$5*43</f>
        <v/>
      </c>
      <c r="C1580">
        <f>SUMPRODUCT(Calc!$K$3:$K$22*(Calc!$G$3:$G$22&lt;=A1580))</f>
        <v/>
      </c>
      <c r="D1580">
        <f>SUMPRODUCT(Calc!$K$3:$K$22*(Calc!$G$3:$G$22&gt;A1580)*(Calc!$G$3:$G$22&lt;B1580))</f>
        <v/>
      </c>
      <c r="E1580">
        <f>SUMPRODUCT(Calc!$K$3:$K$22*(Calc!$G$3:$G$22&gt;=B1580))</f>
        <v/>
      </c>
      <c r="F1580">
        <f>AND(k_n&gt;=5,B1580&gt;A1580+1E-9,C1580&gt;=2,D1580&gt;=1,E1580&gt;=2)</f>
        <v/>
      </c>
      <c r="G1580">
        <f>SUMPRODUCT(Calc!$K$3:$K$22*(Calc!$G$3:$G$22&gt;A1580)*(Calc!$G$3:$G$22-A1580))</f>
        <v/>
      </c>
      <c r="H1580">
        <f>SUMPRODUCT(Calc!$K$3:$K$22*(Calc!$G$3:$G$22&gt;B1580)*(Calc!$G$3:$G$22-B1580))</f>
        <v/>
      </c>
      <c r="I1580">
        <f>SUMPRODUCT(Calc!$K$3:$K$22*(Calc!$G$3:$G$22&gt;A1580)*(Calc!$G$3:$G$22-A1580)^2)</f>
        <v/>
      </c>
      <c r="J1580">
        <f>SUMPRODUCT(Calc!$K$3:$K$22*(Calc!$G$3:$G$22&gt;B1580)*(Calc!$G$3:$G$22-B1580)^2)</f>
        <v/>
      </c>
      <c r="K1580">
        <f>SUMPRODUCT(Calc!$K$3:$K$22*(Calc!$G$3:$G$22&gt;A1580)*(Calc!$G$3:$G$22-A1580)*(Calc!$G$3:$G$22&gt;B1580)*(Calc!$G$3:$G$22-B1580))</f>
        <v/>
      </c>
      <c r="L1580">
        <f>SUMPRODUCT(Calc!$K$3:$K$22*(Calc!$G$3:$G$22&gt;A1580)*(Calc!$G$3:$G$22-A1580)*Calc!$G$3:$G$22)</f>
        <v/>
      </c>
      <c r="M1580">
        <f>SUMPRODUCT(Calc!$K$3:$K$22*(Calc!$G$3:$G$22&gt;B1580)*(Calc!$G$3:$G$22-B1580)*Calc!$G$3:$G$22)</f>
        <v/>
      </c>
      <c r="N1580">
        <f>SUMPRODUCT(Calc!$K$3:$K$22*(Calc!$G$3:$G$22&gt;A1580)*(Calc!$G$3:$G$22-A1580)*Calc!$I$3:$I$22)</f>
        <v/>
      </c>
      <c r="O1580">
        <f>SUMPRODUCT(Calc!$K$3:$K$22*(Calc!$G$3:$G$22&gt;B1580)*(Calc!$G$3:$G$22-B1580)*Calc!$I$3:$I$22)</f>
        <v/>
      </c>
      <c r="P1580">
        <f>I1580-G1580^2/k_n</f>
        <v/>
      </c>
      <c r="Q1580">
        <f>J1580-H1580^2/k_n</f>
        <v/>
      </c>
      <c r="R1580">
        <f>K1580-G1580*H1580/k_n</f>
        <v/>
      </c>
      <c r="S1580">
        <f>L1580-LTP3!$D$3*G1580/k_n</f>
        <v/>
      </c>
      <c r="T1580">
        <f>M1580-LTP3!$D$3*H1580/k_n</f>
        <v/>
      </c>
      <c r="U1580">
        <f>N1580-G1580*LTP3!$D$4/k_n</f>
        <v/>
      </c>
      <c r="V1580">
        <f>O1580-H1580*LTP3!$D$4/k_n</f>
        <v/>
      </c>
      <c r="W1580">
        <f>((LTP3!$D$5)*((P1580)*(Q1580)-(R1580)*(R1580))-(S1580)*((S1580)*(Q1580)-(R1580)*(T1580))+(T1580)*((S1580)*(R1580)-(P1580)*(T1580)))</f>
        <v/>
      </c>
      <c r="X1580">
        <f>IF(ABS(W1580)&gt;1E-12,((LTP3!$D$6)*((P1580)*(Q1580)-(R1580)*(R1580))-(S1580)*((U1580)*(Q1580)-(R1580)*(V1580))+(T1580)*((U1580)*(R1580)-(P1580)*(V1580)))/W1580,0)</f>
        <v/>
      </c>
      <c r="Y1580">
        <f>IF(ABS(W1580)&gt;1E-12,((LTP3!$D$5)*((U1580)*(Q1580)-(R1580)*(V1580))-(LTP3!$D$6)*((S1580)*(Q1580)-(R1580)*(T1580))+(T1580)*((S1580)*(V1580)-(U1580)*(T1580)))/W1580,0)</f>
        <v/>
      </c>
      <c r="Z1580">
        <f>IF(ABS(W1580)&gt;1E-12,((LTP3!$D$5)*((P1580)*(V1580)-(U1580)*(R1580))-(S1580)*((S1580)*(V1580)-(U1580)*(T1580))+(LTP3!$D$6)*((S1580)*(R1580)-(P1580)*(T1580)))/W1580,0)</f>
        <v/>
      </c>
      <c r="AA1580">
        <f>LTP3!$D$7-X1580*LTP3!$D$6-Y1580*U1580-Z1580*V1580</f>
        <v/>
      </c>
      <c r="AB1580">
        <f>IF(AND(F1580,ABS(W1580)&gt;1E-12,Y1580&gt;0,Z1580&gt;0),AA1580,1E+300)</f>
        <v/>
      </c>
    </row>
    <row r="1581">
      <c r="A1581">
        <f>$B$3+$B$5*25</f>
        <v/>
      </c>
      <c r="B1581">
        <f>$B$3+$B$5*44</f>
        <v/>
      </c>
      <c r="C1581">
        <f>SUMPRODUCT(Calc!$K$3:$K$22*(Calc!$G$3:$G$22&lt;=A1581))</f>
        <v/>
      </c>
      <c r="D1581">
        <f>SUMPRODUCT(Calc!$K$3:$K$22*(Calc!$G$3:$G$22&gt;A1581)*(Calc!$G$3:$G$22&lt;B1581))</f>
        <v/>
      </c>
      <c r="E1581">
        <f>SUMPRODUCT(Calc!$K$3:$K$22*(Calc!$G$3:$G$22&gt;=B1581))</f>
        <v/>
      </c>
      <c r="F1581">
        <f>AND(k_n&gt;=5,B1581&gt;A1581+1E-9,C1581&gt;=2,D1581&gt;=1,E1581&gt;=2)</f>
        <v/>
      </c>
      <c r="G1581">
        <f>SUMPRODUCT(Calc!$K$3:$K$22*(Calc!$G$3:$G$22&gt;A1581)*(Calc!$G$3:$G$22-A1581))</f>
        <v/>
      </c>
      <c r="H1581">
        <f>SUMPRODUCT(Calc!$K$3:$K$22*(Calc!$G$3:$G$22&gt;B1581)*(Calc!$G$3:$G$22-B1581))</f>
        <v/>
      </c>
      <c r="I1581">
        <f>SUMPRODUCT(Calc!$K$3:$K$22*(Calc!$G$3:$G$22&gt;A1581)*(Calc!$G$3:$G$22-A1581)^2)</f>
        <v/>
      </c>
      <c r="J1581">
        <f>SUMPRODUCT(Calc!$K$3:$K$22*(Calc!$G$3:$G$22&gt;B1581)*(Calc!$G$3:$G$22-B1581)^2)</f>
        <v/>
      </c>
      <c r="K1581">
        <f>SUMPRODUCT(Calc!$K$3:$K$22*(Calc!$G$3:$G$22&gt;A1581)*(Calc!$G$3:$G$22-A1581)*(Calc!$G$3:$G$22&gt;B1581)*(Calc!$G$3:$G$22-B1581))</f>
        <v/>
      </c>
      <c r="L1581">
        <f>SUMPRODUCT(Calc!$K$3:$K$22*(Calc!$G$3:$G$22&gt;A1581)*(Calc!$G$3:$G$22-A1581)*Calc!$G$3:$G$22)</f>
        <v/>
      </c>
      <c r="M1581">
        <f>SUMPRODUCT(Calc!$K$3:$K$22*(Calc!$G$3:$G$22&gt;B1581)*(Calc!$G$3:$G$22-B1581)*Calc!$G$3:$G$22)</f>
        <v/>
      </c>
      <c r="N1581">
        <f>SUMPRODUCT(Calc!$K$3:$K$22*(Calc!$G$3:$G$22&gt;A1581)*(Calc!$G$3:$G$22-A1581)*Calc!$I$3:$I$22)</f>
        <v/>
      </c>
      <c r="O1581">
        <f>SUMPRODUCT(Calc!$K$3:$K$22*(Calc!$G$3:$G$22&gt;B1581)*(Calc!$G$3:$G$22-B1581)*Calc!$I$3:$I$22)</f>
        <v/>
      </c>
      <c r="P1581">
        <f>I1581-G1581^2/k_n</f>
        <v/>
      </c>
      <c r="Q1581">
        <f>J1581-H1581^2/k_n</f>
        <v/>
      </c>
      <c r="R1581">
        <f>K1581-G1581*H1581/k_n</f>
        <v/>
      </c>
      <c r="S1581">
        <f>L1581-LTP3!$D$3*G1581/k_n</f>
        <v/>
      </c>
      <c r="T1581">
        <f>M1581-LTP3!$D$3*H1581/k_n</f>
        <v/>
      </c>
      <c r="U1581">
        <f>N1581-G1581*LTP3!$D$4/k_n</f>
        <v/>
      </c>
      <c r="V1581">
        <f>O1581-H1581*LTP3!$D$4/k_n</f>
        <v/>
      </c>
      <c r="W1581">
        <f>((LTP3!$D$5)*((P1581)*(Q1581)-(R1581)*(R1581))-(S1581)*((S1581)*(Q1581)-(R1581)*(T1581))+(T1581)*((S1581)*(R1581)-(P1581)*(T1581)))</f>
        <v/>
      </c>
      <c r="X1581">
        <f>IF(ABS(W1581)&gt;1E-12,((LTP3!$D$6)*((P1581)*(Q1581)-(R1581)*(R1581))-(S1581)*((U1581)*(Q1581)-(R1581)*(V1581))+(T1581)*((U1581)*(R1581)-(P1581)*(V1581)))/W1581,0)</f>
        <v/>
      </c>
      <c r="Y1581">
        <f>IF(ABS(W1581)&gt;1E-12,((LTP3!$D$5)*((U1581)*(Q1581)-(R1581)*(V1581))-(LTP3!$D$6)*((S1581)*(Q1581)-(R1581)*(T1581))+(T1581)*((S1581)*(V1581)-(U1581)*(T1581)))/W1581,0)</f>
        <v/>
      </c>
      <c r="Z1581">
        <f>IF(ABS(W1581)&gt;1E-12,((LTP3!$D$5)*((P1581)*(V1581)-(U1581)*(R1581))-(S1581)*((S1581)*(V1581)-(U1581)*(T1581))+(LTP3!$D$6)*((S1581)*(R1581)-(P1581)*(T1581)))/W1581,0)</f>
        <v/>
      </c>
      <c r="AA1581">
        <f>LTP3!$D$7-X1581*LTP3!$D$6-Y1581*U1581-Z1581*V1581</f>
        <v/>
      </c>
      <c r="AB1581">
        <f>IF(AND(F1581,ABS(W1581)&gt;1E-12,Y1581&gt;0,Z1581&gt;0),AA1581,1E+300)</f>
        <v/>
      </c>
    </row>
    <row r="1582">
      <c r="A1582">
        <f>$B$3+$B$5*25</f>
        <v/>
      </c>
      <c r="B1582">
        <f>$B$3+$B$5*45</f>
        <v/>
      </c>
      <c r="C1582">
        <f>SUMPRODUCT(Calc!$K$3:$K$22*(Calc!$G$3:$G$22&lt;=A1582))</f>
        <v/>
      </c>
      <c r="D1582">
        <f>SUMPRODUCT(Calc!$K$3:$K$22*(Calc!$G$3:$G$22&gt;A1582)*(Calc!$G$3:$G$22&lt;B1582))</f>
        <v/>
      </c>
      <c r="E1582">
        <f>SUMPRODUCT(Calc!$K$3:$K$22*(Calc!$G$3:$G$22&gt;=B1582))</f>
        <v/>
      </c>
      <c r="F1582">
        <f>AND(k_n&gt;=5,B1582&gt;A1582+1E-9,C1582&gt;=2,D1582&gt;=1,E1582&gt;=2)</f>
        <v/>
      </c>
      <c r="G1582">
        <f>SUMPRODUCT(Calc!$K$3:$K$22*(Calc!$G$3:$G$22&gt;A1582)*(Calc!$G$3:$G$22-A1582))</f>
        <v/>
      </c>
      <c r="H1582">
        <f>SUMPRODUCT(Calc!$K$3:$K$22*(Calc!$G$3:$G$22&gt;B1582)*(Calc!$G$3:$G$22-B1582))</f>
        <v/>
      </c>
      <c r="I1582">
        <f>SUMPRODUCT(Calc!$K$3:$K$22*(Calc!$G$3:$G$22&gt;A1582)*(Calc!$G$3:$G$22-A1582)^2)</f>
        <v/>
      </c>
      <c r="J1582">
        <f>SUMPRODUCT(Calc!$K$3:$K$22*(Calc!$G$3:$G$22&gt;B1582)*(Calc!$G$3:$G$22-B1582)^2)</f>
        <v/>
      </c>
      <c r="K1582">
        <f>SUMPRODUCT(Calc!$K$3:$K$22*(Calc!$G$3:$G$22&gt;A1582)*(Calc!$G$3:$G$22-A1582)*(Calc!$G$3:$G$22&gt;B1582)*(Calc!$G$3:$G$22-B1582))</f>
        <v/>
      </c>
      <c r="L1582">
        <f>SUMPRODUCT(Calc!$K$3:$K$22*(Calc!$G$3:$G$22&gt;A1582)*(Calc!$G$3:$G$22-A1582)*Calc!$G$3:$G$22)</f>
        <v/>
      </c>
      <c r="M1582">
        <f>SUMPRODUCT(Calc!$K$3:$K$22*(Calc!$G$3:$G$22&gt;B1582)*(Calc!$G$3:$G$22-B1582)*Calc!$G$3:$G$22)</f>
        <v/>
      </c>
      <c r="N1582">
        <f>SUMPRODUCT(Calc!$K$3:$K$22*(Calc!$G$3:$G$22&gt;A1582)*(Calc!$G$3:$G$22-A1582)*Calc!$I$3:$I$22)</f>
        <v/>
      </c>
      <c r="O1582">
        <f>SUMPRODUCT(Calc!$K$3:$K$22*(Calc!$G$3:$G$22&gt;B1582)*(Calc!$G$3:$G$22-B1582)*Calc!$I$3:$I$22)</f>
        <v/>
      </c>
      <c r="P1582">
        <f>I1582-G1582^2/k_n</f>
        <v/>
      </c>
      <c r="Q1582">
        <f>J1582-H1582^2/k_n</f>
        <v/>
      </c>
      <c r="R1582">
        <f>K1582-G1582*H1582/k_n</f>
        <v/>
      </c>
      <c r="S1582">
        <f>L1582-LTP3!$D$3*G1582/k_n</f>
        <v/>
      </c>
      <c r="T1582">
        <f>M1582-LTP3!$D$3*H1582/k_n</f>
        <v/>
      </c>
      <c r="U1582">
        <f>N1582-G1582*LTP3!$D$4/k_n</f>
        <v/>
      </c>
      <c r="V1582">
        <f>O1582-H1582*LTP3!$D$4/k_n</f>
        <v/>
      </c>
      <c r="W1582">
        <f>((LTP3!$D$5)*((P1582)*(Q1582)-(R1582)*(R1582))-(S1582)*((S1582)*(Q1582)-(R1582)*(T1582))+(T1582)*((S1582)*(R1582)-(P1582)*(T1582)))</f>
        <v/>
      </c>
      <c r="X1582">
        <f>IF(ABS(W1582)&gt;1E-12,((LTP3!$D$6)*((P1582)*(Q1582)-(R1582)*(R1582))-(S1582)*((U1582)*(Q1582)-(R1582)*(V1582))+(T1582)*((U1582)*(R1582)-(P1582)*(V1582)))/W1582,0)</f>
        <v/>
      </c>
      <c r="Y1582">
        <f>IF(ABS(W1582)&gt;1E-12,((LTP3!$D$5)*((U1582)*(Q1582)-(R1582)*(V1582))-(LTP3!$D$6)*((S1582)*(Q1582)-(R1582)*(T1582))+(T1582)*((S1582)*(V1582)-(U1582)*(T1582)))/W1582,0)</f>
        <v/>
      </c>
      <c r="Z1582">
        <f>IF(ABS(W1582)&gt;1E-12,((LTP3!$D$5)*((P1582)*(V1582)-(U1582)*(R1582))-(S1582)*((S1582)*(V1582)-(U1582)*(T1582))+(LTP3!$D$6)*((S1582)*(R1582)-(P1582)*(T1582)))/W1582,0)</f>
        <v/>
      </c>
      <c r="AA1582">
        <f>LTP3!$D$7-X1582*LTP3!$D$6-Y1582*U1582-Z1582*V1582</f>
        <v/>
      </c>
      <c r="AB1582">
        <f>IF(AND(F1582,ABS(W1582)&gt;1E-12,Y1582&gt;0,Z1582&gt;0),AA1582,1E+300)</f>
        <v/>
      </c>
    </row>
    <row r="1583">
      <c r="A1583">
        <f>$B$3+$B$5*25</f>
        <v/>
      </c>
      <c r="B1583">
        <f>$B$3+$B$5*46</f>
        <v/>
      </c>
      <c r="C1583">
        <f>SUMPRODUCT(Calc!$K$3:$K$22*(Calc!$G$3:$G$22&lt;=A1583))</f>
        <v/>
      </c>
      <c r="D1583">
        <f>SUMPRODUCT(Calc!$K$3:$K$22*(Calc!$G$3:$G$22&gt;A1583)*(Calc!$G$3:$G$22&lt;B1583))</f>
        <v/>
      </c>
      <c r="E1583">
        <f>SUMPRODUCT(Calc!$K$3:$K$22*(Calc!$G$3:$G$22&gt;=B1583))</f>
        <v/>
      </c>
      <c r="F1583">
        <f>AND(k_n&gt;=5,B1583&gt;A1583+1E-9,C1583&gt;=2,D1583&gt;=1,E1583&gt;=2)</f>
        <v/>
      </c>
      <c r="G1583">
        <f>SUMPRODUCT(Calc!$K$3:$K$22*(Calc!$G$3:$G$22&gt;A1583)*(Calc!$G$3:$G$22-A1583))</f>
        <v/>
      </c>
      <c r="H1583">
        <f>SUMPRODUCT(Calc!$K$3:$K$22*(Calc!$G$3:$G$22&gt;B1583)*(Calc!$G$3:$G$22-B1583))</f>
        <v/>
      </c>
      <c r="I1583">
        <f>SUMPRODUCT(Calc!$K$3:$K$22*(Calc!$G$3:$G$22&gt;A1583)*(Calc!$G$3:$G$22-A1583)^2)</f>
        <v/>
      </c>
      <c r="J1583">
        <f>SUMPRODUCT(Calc!$K$3:$K$22*(Calc!$G$3:$G$22&gt;B1583)*(Calc!$G$3:$G$22-B1583)^2)</f>
        <v/>
      </c>
      <c r="K1583">
        <f>SUMPRODUCT(Calc!$K$3:$K$22*(Calc!$G$3:$G$22&gt;A1583)*(Calc!$G$3:$G$22-A1583)*(Calc!$G$3:$G$22&gt;B1583)*(Calc!$G$3:$G$22-B1583))</f>
        <v/>
      </c>
      <c r="L1583">
        <f>SUMPRODUCT(Calc!$K$3:$K$22*(Calc!$G$3:$G$22&gt;A1583)*(Calc!$G$3:$G$22-A1583)*Calc!$G$3:$G$22)</f>
        <v/>
      </c>
      <c r="M1583">
        <f>SUMPRODUCT(Calc!$K$3:$K$22*(Calc!$G$3:$G$22&gt;B1583)*(Calc!$G$3:$G$22-B1583)*Calc!$G$3:$G$22)</f>
        <v/>
      </c>
      <c r="N1583">
        <f>SUMPRODUCT(Calc!$K$3:$K$22*(Calc!$G$3:$G$22&gt;A1583)*(Calc!$G$3:$G$22-A1583)*Calc!$I$3:$I$22)</f>
        <v/>
      </c>
      <c r="O1583">
        <f>SUMPRODUCT(Calc!$K$3:$K$22*(Calc!$G$3:$G$22&gt;B1583)*(Calc!$G$3:$G$22-B1583)*Calc!$I$3:$I$22)</f>
        <v/>
      </c>
      <c r="P1583">
        <f>I1583-G1583^2/k_n</f>
        <v/>
      </c>
      <c r="Q1583">
        <f>J1583-H1583^2/k_n</f>
        <v/>
      </c>
      <c r="R1583">
        <f>K1583-G1583*H1583/k_n</f>
        <v/>
      </c>
      <c r="S1583">
        <f>L1583-LTP3!$D$3*G1583/k_n</f>
        <v/>
      </c>
      <c r="T1583">
        <f>M1583-LTP3!$D$3*H1583/k_n</f>
        <v/>
      </c>
      <c r="U1583">
        <f>N1583-G1583*LTP3!$D$4/k_n</f>
        <v/>
      </c>
      <c r="V1583">
        <f>O1583-H1583*LTP3!$D$4/k_n</f>
        <v/>
      </c>
      <c r="W1583">
        <f>((LTP3!$D$5)*((P1583)*(Q1583)-(R1583)*(R1583))-(S1583)*((S1583)*(Q1583)-(R1583)*(T1583))+(T1583)*((S1583)*(R1583)-(P1583)*(T1583)))</f>
        <v/>
      </c>
      <c r="X1583">
        <f>IF(ABS(W1583)&gt;1E-12,((LTP3!$D$6)*((P1583)*(Q1583)-(R1583)*(R1583))-(S1583)*((U1583)*(Q1583)-(R1583)*(V1583))+(T1583)*((U1583)*(R1583)-(P1583)*(V1583)))/W1583,0)</f>
        <v/>
      </c>
      <c r="Y1583">
        <f>IF(ABS(W1583)&gt;1E-12,((LTP3!$D$5)*((U1583)*(Q1583)-(R1583)*(V1583))-(LTP3!$D$6)*((S1583)*(Q1583)-(R1583)*(T1583))+(T1583)*((S1583)*(V1583)-(U1583)*(T1583)))/W1583,0)</f>
        <v/>
      </c>
      <c r="Z1583">
        <f>IF(ABS(W1583)&gt;1E-12,((LTP3!$D$5)*((P1583)*(V1583)-(U1583)*(R1583))-(S1583)*((S1583)*(V1583)-(U1583)*(T1583))+(LTP3!$D$6)*((S1583)*(R1583)-(P1583)*(T1583)))/W1583,0)</f>
        <v/>
      </c>
      <c r="AA1583">
        <f>LTP3!$D$7-X1583*LTP3!$D$6-Y1583*U1583-Z1583*V1583</f>
        <v/>
      </c>
      <c r="AB1583">
        <f>IF(AND(F1583,ABS(W1583)&gt;1E-12,Y1583&gt;0,Z1583&gt;0),AA1583,1E+300)</f>
        <v/>
      </c>
    </row>
    <row r="1584">
      <c r="A1584">
        <f>$B$3+$B$5*25</f>
        <v/>
      </c>
      <c r="B1584">
        <f>$B$3+$B$5*47</f>
        <v/>
      </c>
      <c r="C1584">
        <f>SUMPRODUCT(Calc!$K$3:$K$22*(Calc!$G$3:$G$22&lt;=A1584))</f>
        <v/>
      </c>
      <c r="D1584">
        <f>SUMPRODUCT(Calc!$K$3:$K$22*(Calc!$G$3:$G$22&gt;A1584)*(Calc!$G$3:$G$22&lt;B1584))</f>
        <v/>
      </c>
      <c r="E1584">
        <f>SUMPRODUCT(Calc!$K$3:$K$22*(Calc!$G$3:$G$22&gt;=B1584))</f>
        <v/>
      </c>
      <c r="F1584">
        <f>AND(k_n&gt;=5,B1584&gt;A1584+1E-9,C1584&gt;=2,D1584&gt;=1,E1584&gt;=2)</f>
        <v/>
      </c>
      <c r="G1584">
        <f>SUMPRODUCT(Calc!$K$3:$K$22*(Calc!$G$3:$G$22&gt;A1584)*(Calc!$G$3:$G$22-A1584))</f>
        <v/>
      </c>
      <c r="H1584">
        <f>SUMPRODUCT(Calc!$K$3:$K$22*(Calc!$G$3:$G$22&gt;B1584)*(Calc!$G$3:$G$22-B1584))</f>
        <v/>
      </c>
      <c r="I1584">
        <f>SUMPRODUCT(Calc!$K$3:$K$22*(Calc!$G$3:$G$22&gt;A1584)*(Calc!$G$3:$G$22-A1584)^2)</f>
        <v/>
      </c>
      <c r="J1584">
        <f>SUMPRODUCT(Calc!$K$3:$K$22*(Calc!$G$3:$G$22&gt;B1584)*(Calc!$G$3:$G$22-B1584)^2)</f>
        <v/>
      </c>
      <c r="K1584">
        <f>SUMPRODUCT(Calc!$K$3:$K$22*(Calc!$G$3:$G$22&gt;A1584)*(Calc!$G$3:$G$22-A1584)*(Calc!$G$3:$G$22&gt;B1584)*(Calc!$G$3:$G$22-B1584))</f>
        <v/>
      </c>
      <c r="L1584">
        <f>SUMPRODUCT(Calc!$K$3:$K$22*(Calc!$G$3:$G$22&gt;A1584)*(Calc!$G$3:$G$22-A1584)*Calc!$G$3:$G$22)</f>
        <v/>
      </c>
      <c r="M1584">
        <f>SUMPRODUCT(Calc!$K$3:$K$22*(Calc!$G$3:$G$22&gt;B1584)*(Calc!$G$3:$G$22-B1584)*Calc!$G$3:$G$22)</f>
        <v/>
      </c>
      <c r="N1584">
        <f>SUMPRODUCT(Calc!$K$3:$K$22*(Calc!$G$3:$G$22&gt;A1584)*(Calc!$G$3:$G$22-A1584)*Calc!$I$3:$I$22)</f>
        <v/>
      </c>
      <c r="O1584">
        <f>SUMPRODUCT(Calc!$K$3:$K$22*(Calc!$G$3:$G$22&gt;B1584)*(Calc!$G$3:$G$22-B1584)*Calc!$I$3:$I$22)</f>
        <v/>
      </c>
      <c r="P1584">
        <f>I1584-G1584^2/k_n</f>
        <v/>
      </c>
      <c r="Q1584">
        <f>J1584-H1584^2/k_n</f>
        <v/>
      </c>
      <c r="R1584">
        <f>K1584-G1584*H1584/k_n</f>
        <v/>
      </c>
      <c r="S1584">
        <f>L1584-LTP3!$D$3*G1584/k_n</f>
        <v/>
      </c>
      <c r="T1584">
        <f>M1584-LTP3!$D$3*H1584/k_n</f>
        <v/>
      </c>
      <c r="U1584">
        <f>N1584-G1584*LTP3!$D$4/k_n</f>
        <v/>
      </c>
      <c r="V1584">
        <f>O1584-H1584*LTP3!$D$4/k_n</f>
        <v/>
      </c>
      <c r="W1584">
        <f>((LTP3!$D$5)*((P1584)*(Q1584)-(R1584)*(R1584))-(S1584)*((S1584)*(Q1584)-(R1584)*(T1584))+(T1584)*((S1584)*(R1584)-(P1584)*(T1584)))</f>
        <v/>
      </c>
      <c r="X1584">
        <f>IF(ABS(W1584)&gt;1E-12,((LTP3!$D$6)*((P1584)*(Q1584)-(R1584)*(R1584))-(S1584)*((U1584)*(Q1584)-(R1584)*(V1584))+(T1584)*((U1584)*(R1584)-(P1584)*(V1584)))/W1584,0)</f>
        <v/>
      </c>
      <c r="Y1584">
        <f>IF(ABS(W1584)&gt;1E-12,((LTP3!$D$5)*((U1584)*(Q1584)-(R1584)*(V1584))-(LTP3!$D$6)*((S1584)*(Q1584)-(R1584)*(T1584))+(T1584)*((S1584)*(V1584)-(U1584)*(T1584)))/W1584,0)</f>
        <v/>
      </c>
      <c r="Z1584">
        <f>IF(ABS(W1584)&gt;1E-12,((LTP3!$D$5)*((P1584)*(V1584)-(U1584)*(R1584))-(S1584)*((S1584)*(V1584)-(U1584)*(T1584))+(LTP3!$D$6)*((S1584)*(R1584)-(P1584)*(T1584)))/W1584,0)</f>
        <v/>
      </c>
      <c r="AA1584">
        <f>LTP3!$D$7-X1584*LTP3!$D$6-Y1584*U1584-Z1584*V1584</f>
        <v/>
      </c>
      <c r="AB1584">
        <f>IF(AND(F1584,ABS(W1584)&gt;1E-12,Y1584&gt;0,Z1584&gt;0),AA1584,1E+300)</f>
        <v/>
      </c>
    </row>
    <row r="1585">
      <c r="A1585">
        <f>$B$3+$B$5*25</f>
        <v/>
      </c>
      <c r="B1585">
        <f>$B$3+$B$5*48</f>
        <v/>
      </c>
      <c r="C1585">
        <f>SUMPRODUCT(Calc!$K$3:$K$22*(Calc!$G$3:$G$22&lt;=A1585))</f>
        <v/>
      </c>
      <c r="D1585">
        <f>SUMPRODUCT(Calc!$K$3:$K$22*(Calc!$G$3:$G$22&gt;A1585)*(Calc!$G$3:$G$22&lt;B1585))</f>
        <v/>
      </c>
      <c r="E1585">
        <f>SUMPRODUCT(Calc!$K$3:$K$22*(Calc!$G$3:$G$22&gt;=B1585))</f>
        <v/>
      </c>
      <c r="F1585">
        <f>AND(k_n&gt;=5,B1585&gt;A1585+1E-9,C1585&gt;=2,D1585&gt;=1,E1585&gt;=2)</f>
        <v/>
      </c>
      <c r="G1585">
        <f>SUMPRODUCT(Calc!$K$3:$K$22*(Calc!$G$3:$G$22&gt;A1585)*(Calc!$G$3:$G$22-A1585))</f>
        <v/>
      </c>
      <c r="H1585">
        <f>SUMPRODUCT(Calc!$K$3:$K$22*(Calc!$G$3:$G$22&gt;B1585)*(Calc!$G$3:$G$22-B1585))</f>
        <v/>
      </c>
      <c r="I1585">
        <f>SUMPRODUCT(Calc!$K$3:$K$22*(Calc!$G$3:$G$22&gt;A1585)*(Calc!$G$3:$G$22-A1585)^2)</f>
        <v/>
      </c>
      <c r="J1585">
        <f>SUMPRODUCT(Calc!$K$3:$K$22*(Calc!$G$3:$G$22&gt;B1585)*(Calc!$G$3:$G$22-B1585)^2)</f>
        <v/>
      </c>
      <c r="K1585">
        <f>SUMPRODUCT(Calc!$K$3:$K$22*(Calc!$G$3:$G$22&gt;A1585)*(Calc!$G$3:$G$22-A1585)*(Calc!$G$3:$G$22&gt;B1585)*(Calc!$G$3:$G$22-B1585))</f>
        <v/>
      </c>
      <c r="L1585">
        <f>SUMPRODUCT(Calc!$K$3:$K$22*(Calc!$G$3:$G$22&gt;A1585)*(Calc!$G$3:$G$22-A1585)*Calc!$G$3:$G$22)</f>
        <v/>
      </c>
      <c r="M1585">
        <f>SUMPRODUCT(Calc!$K$3:$K$22*(Calc!$G$3:$G$22&gt;B1585)*(Calc!$G$3:$G$22-B1585)*Calc!$G$3:$G$22)</f>
        <v/>
      </c>
      <c r="N1585">
        <f>SUMPRODUCT(Calc!$K$3:$K$22*(Calc!$G$3:$G$22&gt;A1585)*(Calc!$G$3:$G$22-A1585)*Calc!$I$3:$I$22)</f>
        <v/>
      </c>
      <c r="O1585">
        <f>SUMPRODUCT(Calc!$K$3:$K$22*(Calc!$G$3:$G$22&gt;B1585)*(Calc!$G$3:$G$22-B1585)*Calc!$I$3:$I$22)</f>
        <v/>
      </c>
      <c r="P1585">
        <f>I1585-G1585^2/k_n</f>
        <v/>
      </c>
      <c r="Q1585">
        <f>J1585-H1585^2/k_n</f>
        <v/>
      </c>
      <c r="R1585">
        <f>K1585-G1585*H1585/k_n</f>
        <v/>
      </c>
      <c r="S1585">
        <f>L1585-LTP3!$D$3*G1585/k_n</f>
        <v/>
      </c>
      <c r="T1585">
        <f>M1585-LTP3!$D$3*H1585/k_n</f>
        <v/>
      </c>
      <c r="U1585">
        <f>N1585-G1585*LTP3!$D$4/k_n</f>
        <v/>
      </c>
      <c r="V1585">
        <f>O1585-H1585*LTP3!$D$4/k_n</f>
        <v/>
      </c>
      <c r="W1585">
        <f>((LTP3!$D$5)*((P1585)*(Q1585)-(R1585)*(R1585))-(S1585)*((S1585)*(Q1585)-(R1585)*(T1585))+(T1585)*((S1585)*(R1585)-(P1585)*(T1585)))</f>
        <v/>
      </c>
      <c r="X1585">
        <f>IF(ABS(W1585)&gt;1E-12,((LTP3!$D$6)*((P1585)*(Q1585)-(R1585)*(R1585))-(S1585)*((U1585)*(Q1585)-(R1585)*(V1585))+(T1585)*((U1585)*(R1585)-(P1585)*(V1585)))/W1585,0)</f>
        <v/>
      </c>
      <c r="Y1585">
        <f>IF(ABS(W1585)&gt;1E-12,((LTP3!$D$5)*((U1585)*(Q1585)-(R1585)*(V1585))-(LTP3!$D$6)*((S1585)*(Q1585)-(R1585)*(T1585))+(T1585)*((S1585)*(V1585)-(U1585)*(T1585)))/W1585,0)</f>
        <v/>
      </c>
      <c r="Z1585">
        <f>IF(ABS(W1585)&gt;1E-12,((LTP3!$D$5)*((P1585)*(V1585)-(U1585)*(R1585))-(S1585)*((S1585)*(V1585)-(U1585)*(T1585))+(LTP3!$D$6)*((S1585)*(R1585)-(P1585)*(T1585)))/W1585,0)</f>
        <v/>
      </c>
      <c r="AA1585">
        <f>LTP3!$D$7-X1585*LTP3!$D$6-Y1585*U1585-Z1585*V1585</f>
        <v/>
      </c>
      <c r="AB1585">
        <f>IF(AND(F1585,ABS(W1585)&gt;1E-12,Y1585&gt;0,Z1585&gt;0),AA1585,1E+300)</f>
        <v/>
      </c>
    </row>
    <row r="1586">
      <c r="A1586">
        <f>$B$3+$B$5*25</f>
        <v/>
      </c>
      <c r="B1586">
        <f>$B$3+$B$5*49</f>
        <v/>
      </c>
      <c r="C1586">
        <f>SUMPRODUCT(Calc!$K$3:$K$22*(Calc!$G$3:$G$22&lt;=A1586))</f>
        <v/>
      </c>
      <c r="D1586">
        <f>SUMPRODUCT(Calc!$K$3:$K$22*(Calc!$G$3:$G$22&gt;A1586)*(Calc!$G$3:$G$22&lt;B1586))</f>
        <v/>
      </c>
      <c r="E1586">
        <f>SUMPRODUCT(Calc!$K$3:$K$22*(Calc!$G$3:$G$22&gt;=B1586))</f>
        <v/>
      </c>
      <c r="F1586">
        <f>AND(k_n&gt;=5,B1586&gt;A1586+1E-9,C1586&gt;=2,D1586&gt;=1,E1586&gt;=2)</f>
        <v/>
      </c>
      <c r="G1586">
        <f>SUMPRODUCT(Calc!$K$3:$K$22*(Calc!$G$3:$G$22&gt;A1586)*(Calc!$G$3:$G$22-A1586))</f>
        <v/>
      </c>
      <c r="H1586">
        <f>SUMPRODUCT(Calc!$K$3:$K$22*(Calc!$G$3:$G$22&gt;B1586)*(Calc!$G$3:$G$22-B1586))</f>
        <v/>
      </c>
      <c r="I1586">
        <f>SUMPRODUCT(Calc!$K$3:$K$22*(Calc!$G$3:$G$22&gt;A1586)*(Calc!$G$3:$G$22-A1586)^2)</f>
        <v/>
      </c>
      <c r="J1586">
        <f>SUMPRODUCT(Calc!$K$3:$K$22*(Calc!$G$3:$G$22&gt;B1586)*(Calc!$G$3:$G$22-B1586)^2)</f>
        <v/>
      </c>
      <c r="K1586">
        <f>SUMPRODUCT(Calc!$K$3:$K$22*(Calc!$G$3:$G$22&gt;A1586)*(Calc!$G$3:$G$22-A1586)*(Calc!$G$3:$G$22&gt;B1586)*(Calc!$G$3:$G$22-B1586))</f>
        <v/>
      </c>
      <c r="L1586">
        <f>SUMPRODUCT(Calc!$K$3:$K$22*(Calc!$G$3:$G$22&gt;A1586)*(Calc!$G$3:$G$22-A1586)*Calc!$G$3:$G$22)</f>
        <v/>
      </c>
      <c r="M1586">
        <f>SUMPRODUCT(Calc!$K$3:$K$22*(Calc!$G$3:$G$22&gt;B1586)*(Calc!$G$3:$G$22-B1586)*Calc!$G$3:$G$22)</f>
        <v/>
      </c>
      <c r="N1586">
        <f>SUMPRODUCT(Calc!$K$3:$K$22*(Calc!$G$3:$G$22&gt;A1586)*(Calc!$G$3:$G$22-A1586)*Calc!$I$3:$I$22)</f>
        <v/>
      </c>
      <c r="O1586">
        <f>SUMPRODUCT(Calc!$K$3:$K$22*(Calc!$G$3:$G$22&gt;B1586)*(Calc!$G$3:$G$22-B1586)*Calc!$I$3:$I$22)</f>
        <v/>
      </c>
      <c r="P1586">
        <f>I1586-G1586^2/k_n</f>
        <v/>
      </c>
      <c r="Q1586">
        <f>J1586-H1586^2/k_n</f>
        <v/>
      </c>
      <c r="R1586">
        <f>K1586-G1586*H1586/k_n</f>
        <v/>
      </c>
      <c r="S1586">
        <f>L1586-LTP3!$D$3*G1586/k_n</f>
        <v/>
      </c>
      <c r="T1586">
        <f>M1586-LTP3!$D$3*H1586/k_n</f>
        <v/>
      </c>
      <c r="U1586">
        <f>N1586-G1586*LTP3!$D$4/k_n</f>
        <v/>
      </c>
      <c r="V1586">
        <f>O1586-H1586*LTP3!$D$4/k_n</f>
        <v/>
      </c>
      <c r="W1586">
        <f>((LTP3!$D$5)*((P1586)*(Q1586)-(R1586)*(R1586))-(S1586)*((S1586)*(Q1586)-(R1586)*(T1586))+(T1586)*((S1586)*(R1586)-(P1586)*(T1586)))</f>
        <v/>
      </c>
      <c r="X1586">
        <f>IF(ABS(W1586)&gt;1E-12,((LTP3!$D$6)*((P1586)*(Q1586)-(R1586)*(R1586))-(S1586)*((U1586)*(Q1586)-(R1586)*(V1586))+(T1586)*((U1586)*(R1586)-(P1586)*(V1586)))/W1586,0)</f>
        <v/>
      </c>
      <c r="Y1586">
        <f>IF(ABS(W1586)&gt;1E-12,((LTP3!$D$5)*((U1586)*(Q1586)-(R1586)*(V1586))-(LTP3!$D$6)*((S1586)*(Q1586)-(R1586)*(T1586))+(T1586)*((S1586)*(V1586)-(U1586)*(T1586)))/W1586,0)</f>
        <v/>
      </c>
      <c r="Z1586">
        <f>IF(ABS(W1586)&gt;1E-12,((LTP3!$D$5)*((P1586)*(V1586)-(U1586)*(R1586))-(S1586)*((S1586)*(V1586)-(U1586)*(T1586))+(LTP3!$D$6)*((S1586)*(R1586)-(P1586)*(T1586)))/W1586,0)</f>
        <v/>
      </c>
      <c r="AA1586">
        <f>LTP3!$D$7-X1586*LTP3!$D$6-Y1586*U1586-Z1586*V1586</f>
        <v/>
      </c>
      <c r="AB1586">
        <f>IF(AND(F1586,ABS(W1586)&gt;1E-12,Y1586&gt;0,Z1586&gt;0),AA1586,1E+300)</f>
        <v/>
      </c>
    </row>
    <row r="1587">
      <c r="A1587">
        <f>$B$3+$B$5*25</f>
        <v/>
      </c>
      <c r="B1587">
        <f>$B$3+$B$5*50</f>
        <v/>
      </c>
      <c r="C1587">
        <f>SUMPRODUCT(Calc!$K$3:$K$22*(Calc!$G$3:$G$22&lt;=A1587))</f>
        <v/>
      </c>
      <c r="D1587">
        <f>SUMPRODUCT(Calc!$K$3:$K$22*(Calc!$G$3:$G$22&gt;A1587)*(Calc!$G$3:$G$22&lt;B1587))</f>
        <v/>
      </c>
      <c r="E1587">
        <f>SUMPRODUCT(Calc!$K$3:$K$22*(Calc!$G$3:$G$22&gt;=B1587))</f>
        <v/>
      </c>
      <c r="F1587">
        <f>AND(k_n&gt;=5,B1587&gt;A1587+1E-9,C1587&gt;=2,D1587&gt;=1,E1587&gt;=2)</f>
        <v/>
      </c>
      <c r="G1587">
        <f>SUMPRODUCT(Calc!$K$3:$K$22*(Calc!$G$3:$G$22&gt;A1587)*(Calc!$G$3:$G$22-A1587))</f>
        <v/>
      </c>
      <c r="H1587">
        <f>SUMPRODUCT(Calc!$K$3:$K$22*(Calc!$G$3:$G$22&gt;B1587)*(Calc!$G$3:$G$22-B1587))</f>
        <v/>
      </c>
      <c r="I1587">
        <f>SUMPRODUCT(Calc!$K$3:$K$22*(Calc!$G$3:$G$22&gt;A1587)*(Calc!$G$3:$G$22-A1587)^2)</f>
        <v/>
      </c>
      <c r="J1587">
        <f>SUMPRODUCT(Calc!$K$3:$K$22*(Calc!$G$3:$G$22&gt;B1587)*(Calc!$G$3:$G$22-B1587)^2)</f>
        <v/>
      </c>
      <c r="K1587">
        <f>SUMPRODUCT(Calc!$K$3:$K$22*(Calc!$G$3:$G$22&gt;A1587)*(Calc!$G$3:$G$22-A1587)*(Calc!$G$3:$G$22&gt;B1587)*(Calc!$G$3:$G$22-B1587))</f>
        <v/>
      </c>
      <c r="L1587">
        <f>SUMPRODUCT(Calc!$K$3:$K$22*(Calc!$G$3:$G$22&gt;A1587)*(Calc!$G$3:$G$22-A1587)*Calc!$G$3:$G$22)</f>
        <v/>
      </c>
      <c r="M1587">
        <f>SUMPRODUCT(Calc!$K$3:$K$22*(Calc!$G$3:$G$22&gt;B1587)*(Calc!$G$3:$G$22-B1587)*Calc!$G$3:$G$22)</f>
        <v/>
      </c>
      <c r="N1587">
        <f>SUMPRODUCT(Calc!$K$3:$K$22*(Calc!$G$3:$G$22&gt;A1587)*(Calc!$G$3:$G$22-A1587)*Calc!$I$3:$I$22)</f>
        <v/>
      </c>
      <c r="O1587">
        <f>SUMPRODUCT(Calc!$K$3:$K$22*(Calc!$G$3:$G$22&gt;B1587)*(Calc!$G$3:$G$22-B1587)*Calc!$I$3:$I$22)</f>
        <v/>
      </c>
      <c r="P1587">
        <f>I1587-G1587^2/k_n</f>
        <v/>
      </c>
      <c r="Q1587">
        <f>J1587-H1587^2/k_n</f>
        <v/>
      </c>
      <c r="R1587">
        <f>K1587-G1587*H1587/k_n</f>
        <v/>
      </c>
      <c r="S1587">
        <f>L1587-LTP3!$D$3*G1587/k_n</f>
        <v/>
      </c>
      <c r="T1587">
        <f>M1587-LTP3!$D$3*H1587/k_n</f>
        <v/>
      </c>
      <c r="U1587">
        <f>N1587-G1587*LTP3!$D$4/k_n</f>
        <v/>
      </c>
      <c r="V1587">
        <f>O1587-H1587*LTP3!$D$4/k_n</f>
        <v/>
      </c>
      <c r="W1587">
        <f>((LTP3!$D$5)*((P1587)*(Q1587)-(R1587)*(R1587))-(S1587)*((S1587)*(Q1587)-(R1587)*(T1587))+(T1587)*((S1587)*(R1587)-(P1587)*(T1587)))</f>
        <v/>
      </c>
      <c r="X1587">
        <f>IF(ABS(W1587)&gt;1E-12,((LTP3!$D$6)*((P1587)*(Q1587)-(R1587)*(R1587))-(S1587)*((U1587)*(Q1587)-(R1587)*(V1587))+(T1587)*((U1587)*(R1587)-(P1587)*(V1587)))/W1587,0)</f>
        <v/>
      </c>
      <c r="Y1587">
        <f>IF(ABS(W1587)&gt;1E-12,((LTP3!$D$5)*((U1587)*(Q1587)-(R1587)*(V1587))-(LTP3!$D$6)*((S1587)*(Q1587)-(R1587)*(T1587))+(T1587)*((S1587)*(V1587)-(U1587)*(T1587)))/W1587,0)</f>
        <v/>
      </c>
      <c r="Z1587">
        <f>IF(ABS(W1587)&gt;1E-12,((LTP3!$D$5)*((P1587)*(V1587)-(U1587)*(R1587))-(S1587)*((S1587)*(V1587)-(U1587)*(T1587))+(LTP3!$D$6)*((S1587)*(R1587)-(P1587)*(T1587)))/W1587,0)</f>
        <v/>
      </c>
      <c r="AA1587">
        <f>LTP3!$D$7-X1587*LTP3!$D$6-Y1587*U1587-Z1587*V1587</f>
        <v/>
      </c>
      <c r="AB1587">
        <f>IF(AND(F1587,ABS(W1587)&gt;1E-12,Y1587&gt;0,Z1587&gt;0),AA1587,1E+300)</f>
        <v/>
      </c>
    </row>
    <row r="1588">
      <c r="A1588">
        <f>$B$3+$B$5*25</f>
        <v/>
      </c>
      <c r="B1588">
        <f>$B$3+$B$5*51</f>
        <v/>
      </c>
      <c r="C1588">
        <f>SUMPRODUCT(Calc!$K$3:$K$22*(Calc!$G$3:$G$22&lt;=A1588))</f>
        <v/>
      </c>
      <c r="D1588">
        <f>SUMPRODUCT(Calc!$K$3:$K$22*(Calc!$G$3:$G$22&gt;A1588)*(Calc!$G$3:$G$22&lt;B1588))</f>
        <v/>
      </c>
      <c r="E1588">
        <f>SUMPRODUCT(Calc!$K$3:$K$22*(Calc!$G$3:$G$22&gt;=B1588))</f>
        <v/>
      </c>
      <c r="F1588">
        <f>AND(k_n&gt;=5,B1588&gt;A1588+1E-9,C1588&gt;=2,D1588&gt;=1,E1588&gt;=2)</f>
        <v/>
      </c>
      <c r="G1588">
        <f>SUMPRODUCT(Calc!$K$3:$K$22*(Calc!$G$3:$G$22&gt;A1588)*(Calc!$G$3:$G$22-A1588))</f>
        <v/>
      </c>
      <c r="H1588">
        <f>SUMPRODUCT(Calc!$K$3:$K$22*(Calc!$G$3:$G$22&gt;B1588)*(Calc!$G$3:$G$22-B1588))</f>
        <v/>
      </c>
      <c r="I1588">
        <f>SUMPRODUCT(Calc!$K$3:$K$22*(Calc!$G$3:$G$22&gt;A1588)*(Calc!$G$3:$G$22-A1588)^2)</f>
        <v/>
      </c>
      <c r="J1588">
        <f>SUMPRODUCT(Calc!$K$3:$K$22*(Calc!$G$3:$G$22&gt;B1588)*(Calc!$G$3:$G$22-B1588)^2)</f>
        <v/>
      </c>
      <c r="K1588">
        <f>SUMPRODUCT(Calc!$K$3:$K$22*(Calc!$G$3:$G$22&gt;A1588)*(Calc!$G$3:$G$22-A1588)*(Calc!$G$3:$G$22&gt;B1588)*(Calc!$G$3:$G$22-B1588))</f>
        <v/>
      </c>
      <c r="L1588">
        <f>SUMPRODUCT(Calc!$K$3:$K$22*(Calc!$G$3:$G$22&gt;A1588)*(Calc!$G$3:$G$22-A1588)*Calc!$G$3:$G$22)</f>
        <v/>
      </c>
      <c r="M1588">
        <f>SUMPRODUCT(Calc!$K$3:$K$22*(Calc!$G$3:$G$22&gt;B1588)*(Calc!$G$3:$G$22-B1588)*Calc!$G$3:$G$22)</f>
        <v/>
      </c>
      <c r="N1588">
        <f>SUMPRODUCT(Calc!$K$3:$K$22*(Calc!$G$3:$G$22&gt;A1588)*(Calc!$G$3:$G$22-A1588)*Calc!$I$3:$I$22)</f>
        <v/>
      </c>
      <c r="O1588">
        <f>SUMPRODUCT(Calc!$K$3:$K$22*(Calc!$G$3:$G$22&gt;B1588)*(Calc!$G$3:$G$22-B1588)*Calc!$I$3:$I$22)</f>
        <v/>
      </c>
      <c r="P1588">
        <f>I1588-G1588^2/k_n</f>
        <v/>
      </c>
      <c r="Q1588">
        <f>J1588-H1588^2/k_n</f>
        <v/>
      </c>
      <c r="R1588">
        <f>K1588-G1588*H1588/k_n</f>
        <v/>
      </c>
      <c r="S1588">
        <f>L1588-LTP3!$D$3*G1588/k_n</f>
        <v/>
      </c>
      <c r="T1588">
        <f>M1588-LTP3!$D$3*H1588/k_n</f>
        <v/>
      </c>
      <c r="U1588">
        <f>N1588-G1588*LTP3!$D$4/k_n</f>
        <v/>
      </c>
      <c r="V1588">
        <f>O1588-H1588*LTP3!$D$4/k_n</f>
        <v/>
      </c>
      <c r="W1588">
        <f>((LTP3!$D$5)*((P1588)*(Q1588)-(R1588)*(R1588))-(S1588)*((S1588)*(Q1588)-(R1588)*(T1588))+(T1588)*((S1588)*(R1588)-(P1588)*(T1588)))</f>
        <v/>
      </c>
      <c r="X1588">
        <f>IF(ABS(W1588)&gt;1E-12,((LTP3!$D$6)*((P1588)*(Q1588)-(R1588)*(R1588))-(S1588)*((U1588)*(Q1588)-(R1588)*(V1588))+(T1588)*((U1588)*(R1588)-(P1588)*(V1588)))/W1588,0)</f>
        <v/>
      </c>
      <c r="Y1588">
        <f>IF(ABS(W1588)&gt;1E-12,((LTP3!$D$5)*((U1588)*(Q1588)-(R1588)*(V1588))-(LTP3!$D$6)*((S1588)*(Q1588)-(R1588)*(T1588))+(T1588)*((S1588)*(V1588)-(U1588)*(T1588)))/W1588,0)</f>
        <v/>
      </c>
      <c r="Z1588">
        <f>IF(ABS(W1588)&gt;1E-12,((LTP3!$D$5)*((P1588)*(V1588)-(U1588)*(R1588))-(S1588)*((S1588)*(V1588)-(U1588)*(T1588))+(LTP3!$D$6)*((S1588)*(R1588)-(P1588)*(T1588)))/W1588,0)</f>
        <v/>
      </c>
      <c r="AA1588">
        <f>LTP3!$D$7-X1588*LTP3!$D$6-Y1588*U1588-Z1588*V1588</f>
        <v/>
      </c>
      <c r="AB1588">
        <f>IF(AND(F1588,ABS(W1588)&gt;1E-12,Y1588&gt;0,Z1588&gt;0),AA1588,1E+300)</f>
        <v/>
      </c>
    </row>
    <row r="1589">
      <c r="A1589">
        <f>$B$3+$B$5*25</f>
        <v/>
      </c>
      <c r="B1589">
        <f>$B$3+$B$5*52</f>
        <v/>
      </c>
      <c r="C1589">
        <f>SUMPRODUCT(Calc!$K$3:$K$22*(Calc!$G$3:$G$22&lt;=A1589))</f>
        <v/>
      </c>
      <c r="D1589">
        <f>SUMPRODUCT(Calc!$K$3:$K$22*(Calc!$G$3:$G$22&gt;A1589)*(Calc!$G$3:$G$22&lt;B1589))</f>
        <v/>
      </c>
      <c r="E1589">
        <f>SUMPRODUCT(Calc!$K$3:$K$22*(Calc!$G$3:$G$22&gt;=B1589))</f>
        <v/>
      </c>
      <c r="F1589">
        <f>AND(k_n&gt;=5,B1589&gt;A1589+1E-9,C1589&gt;=2,D1589&gt;=1,E1589&gt;=2)</f>
        <v/>
      </c>
      <c r="G1589">
        <f>SUMPRODUCT(Calc!$K$3:$K$22*(Calc!$G$3:$G$22&gt;A1589)*(Calc!$G$3:$G$22-A1589))</f>
        <v/>
      </c>
      <c r="H1589">
        <f>SUMPRODUCT(Calc!$K$3:$K$22*(Calc!$G$3:$G$22&gt;B1589)*(Calc!$G$3:$G$22-B1589))</f>
        <v/>
      </c>
      <c r="I1589">
        <f>SUMPRODUCT(Calc!$K$3:$K$22*(Calc!$G$3:$G$22&gt;A1589)*(Calc!$G$3:$G$22-A1589)^2)</f>
        <v/>
      </c>
      <c r="J1589">
        <f>SUMPRODUCT(Calc!$K$3:$K$22*(Calc!$G$3:$G$22&gt;B1589)*(Calc!$G$3:$G$22-B1589)^2)</f>
        <v/>
      </c>
      <c r="K1589">
        <f>SUMPRODUCT(Calc!$K$3:$K$22*(Calc!$G$3:$G$22&gt;A1589)*(Calc!$G$3:$G$22-A1589)*(Calc!$G$3:$G$22&gt;B1589)*(Calc!$G$3:$G$22-B1589))</f>
        <v/>
      </c>
      <c r="L1589">
        <f>SUMPRODUCT(Calc!$K$3:$K$22*(Calc!$G$3:$G$22&gt;A1589)*(Calc!$G$3:$G$22-A1589)*Calc!$G$3:$G$22)</f>
        <v/>
      </c>
      <c r="M1589">
        <f>SUMPRODUCT(Calc!$K$3:$K$22*(Calc!$G$3:$G$22&gt;B1589)*(Calc!$G$3:$G$22-B1589)*Calc!$G$3:$G$22)</f>
        <v/>
      </c>
      <c r="N1589">
        <f>SUMPRODUCT(Calc!$K$3:$K$22*(Calc!$G$3:$G$22&gt;A1589)*(Calc!$G$3:$G$22-A1589)*Calc!$I$3:$I$22)</f>
        <v/>
      </c>
      <c r="O1589">
        <f>SUMPRODUCT(Calc!$K$3:$K$22*(Calc!$G$3:$G$22&gt;B1589)*(Calc!$G$3:$G$22-B1589)*Calc!$I$3:$I$22)</f>
        <v/>
      </c>
      <c r="P1589">
        <f>I1589-G1589^2/k_n</f>
        <v/>
      </c>
      <c r="Q1589">
        <f>J1589-H1589^2/k_n</f>
        <v/>
      </c>
      <c r="R1589">
        <f>K1589-G1589*H1589/k_n</f>
        <v/>
      </c>
      <c r="S1589">
        <f>L1589-LTP3!$D$3*G1589/k_n</f>
        <v/>
      </c>
      <c r="T1589">
        <f>M1589-LTP3!$D$3*H1589/k_n</f>
        <v/>
      </c>
      <c r="U1589">
        <f>N1589-G1589*LTP3!$D$4/k_n</f>
        <v/>
      </c>
      <c r="V1589">
        <f>O1589-H1589*LTP3!$D$4/k_n</f>
        <v/>
      </c>
      <c r="W1589">
        <f>((LTP3!$D$5)*((P1589)*(Q1589)-(R1589)*(R1589))-(S1589)*((S1589)*(Q1589)-(R1589)*(T1589))+(T1589)*((S1589)*(R1589)-(P1589)*(T1589)))</f>
        <v/>
      </c>
      <c r="X1589">
        <f>IF(ABS(W1589)&gt;1E-12,((LTP3!$D$6)*((P1589)*(Q1589)-(R1589)*(R1589))-(S1589)*((U1589)*(Q1589)-(R1589)*(V1589))+(T1589)*((U1589)*(R1589)-(P1589)*(V1589)))/W1589,0)</f>
        <v/>
      </c>
      <c r="Y1589">
        <f>IF(ABS(W1589)&gt;1E-12,((LTP3!$D$5)*((U1589)*(Q1589)-(R1589)*(V1589))-(LTP3!$D$6)*((S1589)*(Q1589)-(R1589)*(T1589))+(T1589)*((S1589)*(V1589)-(U1589)*(T1589)))/W1589,0)</f>
        <v/>
      </c>
      <c r="Z1589">
        <f>IF(ABS(W1589)&gt;1E-12,((LTP3!$D$5)*((P1589)*(V1589)-(U1589)*(R1589))-(S1589)*((S1589)*(V1589)-(U1589)*(T1589))+(LTP3!$D$6)*((S1589)*(R1589)-(P1589)*(T1589)))/W1589,0)</f>
        <v/>
      </c>
      <c r="AA1589">
        <f>LTP3!$D$7-X1589*LTP3!$D$6-Y1589*U1589-Z1589*V1589</f>
        <v/>
      </c>
      <c r="AB1589">
        <f>IF(AND(F1589,ABS(W1589)&gt;1E-12,Y1589&gt;0,Z1589&gt;0),AA1589,1E+300)</f>
        <v/>
      </c>
    </row>
    <row r="1590">
      <c r="A1590">
        <f>$B$3+$B$5*25</f>
        <v/>
      </c>
      <c r="B1590">
        <f>$B$3+$B$5*53</f>
        <v/>
      </c>
      <c r="C1590">
        <f>SUMPRODUCT(Calc!$K$3:$K$22*(Calc!$G$3:$G$22&lt;=A1590))</f>
        <v/>
      </c>
      <c r="D1590">
        <f>SUMPRODUCT(Calc!$K$3:$K$22*(Calc!$G$3:$G$22&gt;A1590)*(Calc!$G$3:$G$22&lt;B1590))</f>
        <v/>
      </c>
      <c r="E1590">
        <f>SUMPRODUCT(Calc!$K$3:$K$22*(Calc!$G$3:$G$22&gt;=B1590))</f>
        <v/>
      </c>
      <c r="F1590">
        <f>AND(k_n&gt;=5,B1590&gt;A1590+1E-9,C1590&gt;=2,D1590&gt;=1,E1590&gt;=2)</f>
        <v/>
      </c>
      <c r="G1590">
        <f>SUMPRODUCT(Calc!$K$3:$K$22*(Calc!$G$3:$G$22&gt;A1590)*(Calc!$G$3:$G$22-A1590))</f>
        <v/>
      </c>
      <c r="H1590">
        <f>SUMPRODUCT(Calc!$K$3:$K$22*(Calc!$G$3:$G$22&gt;B1590)*(Calc!$G$3:$G$22-B1590))</f>
        <v/>
      </c>
      <c r="I1590">
        <f>SUMPRODUCT(Calc!$K$3:$K$22*(Calc!$G$3:$G$22&gt;A1590)*(Calc!$G$3:$G$22-A1590)^2)</f>
        <v/>
      </c>
      <c r="J1590">
        <f>SUMPRODUCT(Calc!$K$3:$K$22*(Calc!$G$3:$G$22&gt;B1590)*(Calc!$G$3:$G$22-B1590)^2)</f>
        <v/>
      </c>
      <c r="K1590">
        <f>SUMPRODUCT(Calc!$K$3:$K$22*(Calc!$G$3:$G$22&gt;A1590)*(Calc!$G$3:$G$22-A1590)*(Calc!$G$3:$G$22&gt;B1590)*(Calc!$G$3:$G$22-B1590))</f>
        <v/>
      </c>
      <c r="L1590">
        <f>SUMPRODUCT(Calc!$K$3:$K$22*(Calc!$G$3:$G$22&gt;A1590)*(Calc!$G$3:$G$22-A1590)*Calc!$G$3:$G$22)</f>
        <v/>
      </c>
      <c r="M1590">
        <f>SUMPRODUCT(Calc!$K$3:$K$22*(Calc!$G$3:$G$22&gt;B1590)*(Calc!$G$3:$G$22-B1590)*Calc!$G$3:$G$22)</f>
        <v/>
      </c>
      <c r="N1590">
        <f>SUMPRODUCT(Calc!$K$3:$K$22*(Calc!$G$3:$G$22&gt;A1590)*(Calc!$G$3:$G$22-A1590)*Calc!$I$3:$I$22)</f>
        <v/>
      </c>
      <c r="O1590">
        <f>SUMPRODUCT(Calc!$K$3:$K$22*(Calc!$G$3:$G$22&gt;B1590)*(Calc!$G$3:$G$22-B1590)*Calc!$I$3:$I$22)</f>
        <v/>
      </c>
      <c r="P1590">
        <f>I1590-G1590^2/k_n</f>
        <v/>
      </c>
      <c r="Q1590">
        <f>J1590-H1590^2/k_n</f>
        <v/>
      </c>
      <c r="R1590">
        <f>K1590-G1590*H1590/k_n</f>
        <v/>
      </c>
      <c r="S1590">
        <f>L1590-LTP3!$D$3*G1590/k_n</f>
        <v/>
      </c>
      <c r="T1590">
        <f>M1590-LTP3!$D$3*H1590/k_n</f>
        <v/>
      </c>
      <c r="U1590">
        <f>N1590-G1590*LTP3!$D$4/k_n</f>
        <v/>
      </c>
      <c r="V1590">
        <f>O1590-H1590*LTP3!$D$4/k_n</f>
        <v/>
      </c>
      <c r="W1590">
        <f>((LTP3!$D$5)*((P1590)*(Q1590)-(R1590)*(R1590))-(S1590)*((S1590)*(Q1590)-(R1590)*(T1590))+(T1590)*((S1590)*(R1590)-(P1590)*(T1590)))</f>
        <v/>
      </c>
      <c r="X1590">
        <f>IF(ABS(W1590)&gt;1E-12,((LTP3!$D$6)*((P1590)*(Q1590)-(R1590)*(R1590))-(S1590)*((U1590)*(Q1590)-(R1590)*(V1590))+(T1590)*((U1590)*(R1590)-(P1590)*(V1590)))/W1590,0)</f>
        <v/>
      </c>
      <c r="Y1590">
        <f>IF(ABS(W1590)&gt;1E-12,((LTP3!$D$5)*((U1590)*(Q1590)-(R1590)*(V1590))-(LTP3!$D$6)*((S1590)*(Q1590)-(R1590)*(T1590))+(T1590)*((S1590)*(V1590)-(U1590)*(T1590)))/W1590,0)</f>
        <v/>
      </c>
      <c r="Z1590">
        <f>IF(ABS(W1590)&gt;1E-12,((LTP3!$D$5)*((P1590)*(V1590)-(U1590)*(R1590))-(S1590)*((S1590)*(V1590)-(U1590)*(T1590))+(LTP3!$D$6)*((S1590)*(R1590)-(P1590)*(T1590)))/W1590,0)</f>
        <v/>
      </c>
      <c r="AA1590">
        <f>LTP3!$D$7-X1590*LTP3!$D$6-Y1590*U1590-Z1590*V1590</f>
        <v/>
      </c>
      <c r="AB1590">
        <f>IF(AND(F1590,ABS(W1590)&gt;1E-12,Y1590&gt;0,Z1590&gt;0),AA1590,1E+300)</f>
        <v/>
      </c>
    </row>
    <row r="1591">
      <c r="A1591">
        <f>$B$3+$B$5*25</f>
        <v/>
      </c>
      <c r="B1591">
        <f>$B$3+$B$5*54</f>
        <v/>
      </c>
      <c r="C1591">
        <f>SUMPRODUCT(Calc!$K$3:$K$22*(Calc!$G$3:$G$22&lt;=A1591))</f>
        <v/>
      </c>
      <c r="D1591">
        <f>SUMPRODUCT(Calc!$K$3:$K$22*(Calc!$G$3:$G$22&gt;A1591)*(Calc!$G$3:$G$22&lt;B1591))</f>
        <v/>
      </c>
      <c r="E1591">
        <f>SUMPRODUCT(Calc!$K$3:$K$22*(Calc!$G$3:$G$22&gt;=B1591))</f>
        <v/>
      </c>
      <c r="F1591">
        <f>AND(k_n&gt;=5,B1591&gt;A1591+1E-9,C1591&gt;=2,D1591&gt;=1,E1591&gt;=2)</f>
        <v/>
      </c>
      <c r="G1591">
        <f>SUMPRODUCT(Calc!$K$3:$K$22*(Calc!$G$3:$G$22&gt;A1591)*(Calc!$G$3:$G$22-A1591))</f>
        <v/>
      </c>
      <c r="H1591">
        <f>SUMPRODUCT(Calc!$K$3:$K$22*(Calc!$G$3:$G$22&gt;B1591)*(Calc!$G$3:$G$22-B1591))</f>
        <v/>
      </c>
      <c r="I1591">
        <f>SUMPRODUCT(Calc!$K$3:$K$22*(Calc!$G$3:$G$22&gt;A1591)*(Calc!$G$3:$G$22-A1591)^2)</f>
        <v/>
      </c>
      <c r="J1591">
        <f>SUMPRODUCT(Calc!$K$3:$K$22*(Calc!$G$3:$G$22&gt;B1591)*(Calc!$G$3:$G$22-B1591)^2)</f>
        <v/>
      </c>
      <c r="K1591">
        <f>SUMPRODUCT(Calc!$K$3:$K$22*(Calc!$G$3:$G$22&gt;A1591)*(Calc!$G$3:$G$22-A1591)*(Calc!$G$3:$G$22&gt;B1591)*(Calc!$G$3:$G$22-B1591))</f>
        <v/>
      </c>
      <c r="L1591">
        <f>SUMPRODUCT(Calc!$K$3:$K$22*(Calc!$G$3:$G$22&gt;A1591)*(Calc!$G$3:$G$22-A1591)*Calc!$G$3:$G$22)</f>
        <v/>
      </c>
      <c r="M1591">
        <f>SUMPRODUCT(Calc!$K$3:$K$22*(Calc!$G$3:$G$22&gt;B1591)*(Calc!$G$3:$G$22-B1591)*Calc!$G$3:$G$22)</f>
        <v/>
      </c>
      <c r="N1591">
        <f>SUMPRODUCT(Calc!$K$3:$K$22*(Calc!$G$3:$G$22&gt;A1591)*(Calc!$G$3:$G$22-A1591)*Calc!$I$3:$I$22)</f>
        <v/>
      </c>
      <c r="O1591">
        <f>SUMPRODUCT(Calc!$K$3:$K$22*(Calc!$G$3:$G$22&gt;B1591)*(Calc!$G$3:$G$22-B1591)*Calc!$I$3:$I$22)</f>
        <v/>
      </c>
      <c r="P1591">
        <f>I1591-G1591^2/k_n</f>
        <v/>
      </c>
      <c r="Q1591">
        <f>J1591-H1591^2/k_n</f>
        <v/>
      </c>
      <c r="R1591">
        <f>K1591-G1591*H1591/k_n</f>
        <v/>
      </c>
      <c r="S1591">
        <f>L1591-LTP3!$D$3*G1591/k_n</f>
        <v/>
      </c>
      <c r="T1591">
        <f>M1591-LTP3!$D$3*H1591/k_n</f>
        <v/>
      </c>
      <c r="U1591">
        <f>N1591-G1591*LTP3!$D$4/k_n</f>
        <v/>
      </c>
      <c r="V1591">
        <f>O1591-H1591*LTP3!$D$4/k_n</f>
        <v/>
      </c>
      <c r="W1591">
        <f>((LTP3!$D$5)*((P1591)*(Q1591)-(R1591)*(R1591))-(S1591)*((S1591)*(Q1591)-(R1591)*(T1591))+(T1591)*((S1591)*(R1591)-(P1591)*(T1591)))</f>
        <v/>
      </c>
      <c r="X1591">
        <f>IF(ABS(W1591)&gt;1E-12,((LTP3!$D$6)*((P1591)*(Q1591)-(R1591)*(R1591))-(S1591)*((U1591)*(Q1591)-(R1591)*(V1591))+(T1591)*((U1591)*(R1591)-(P1591)*(V1591)))/W1591,0)</f>
        <v/>
      </c>
      <c r="Y1591">
        <f>IF(ABS(W1591)&gt;1E-12,((LTP3!$D$5)*((U1591)*(Q1591)-(R1591)*(V1591))-(LTP3!$D$6)*((S1591)*(Q1591)-(R1591)*(T1591))+(T1591)*((S1591)*(V1591)-(U1591)*(T1591)))/W1591,0)</f>
        <v/>
      </c>
      <c r="Z1591">
        <f>IF(ABS(W1591)&gt;1E-12,((LTP3!$D$5)*((P1591)*(V1591)-(U1591)*(R1591))-(S1591)*((S1591)*(V1591)-(U1591)*(T1591))+(LTP3!$D$6)*((S1591)*(R1591)-(P1591)*(T1591)))/W1591,0)</f>
        <v/>
      </c>
      <c r="AA1591">
        <f>LTP3!$D$7-X1591*LTP3!$D$6-Y1591*U1591-Z1591*V1591</f>
        <v/>
      </c>
      <c r="AB1591">
        <f>IF(AND(F1591,ABS(W1591)&gt;1E-12,Y1591&gt;0,Z1591&gt;0),AA1591,1E+300)</f>
        <v/>
      </c>
    </row>
    <row r="1592">
      <c r="A1592">
        <f>$B$3+$B$5*25</f>
        <v/>
      </c>
      <c r="B1592">
        <f>$B$3+$B$5*55</f>
        <v/>
      </c>
      <c r="C1592">
        <f>SUMPRODUCT(Calc!$K$3:$K$22*(Calc!$G$3:$G$22&lt;=A1592))</f>
        <v/>
      </c>
      <c r="D1592">
        <f>SUMPRODUCT(Calc!$K$3:$K$22*(Calc!$G$3:$G$22&gt;A1592)*(Calc!$G$3:$G$22&lt;B1592))</f>
        <v/>
      </c>
      <c r="E1592">
        <f>SUMPRODUCT(Calc!$K$3:$K$22*(Calc!$G$3:$G$22&gt;=B1592))</f>
        <v/>
      </c>
      <c r="F1592">
        <f>AND(k_n&gt;=5,B1592&gt;A1592+1E-9,C1592&gt;=2,D1592&gt;=1,E1592&gt;=2)</f>
        <v/>
      </c>
      <c r="G1592">
        <f>SUMPRODUCT(Calc!$K$3:$K$22*(Calc!$G$3:$G$22&gt;A1592)*(Calc!$G$3:$G$22-A1592))</f>
        <v/>
      </c>
      <c r="H1592">
        <f>SUMPRODUCT(Calc!$K$3:$K$22*(Calc!$G$3:$G$22&gt;B1592)*(Calc!$G$3:$G$22-B1592))</f>
        <v/>
      </c>
      <c r="I1592">
        <f>SUMPRODUCT(Calc!$K$3:$K$22*(Calc!$G$3:$G$22&gt;A1592)*(Calc!$G$3:$G$22-A1592)^2)</f>
        <v/>
      </c>
      <c r="J1592">
        <f>SUMPRODUCT(Calc!$K$3:$K$22*(Calc!$G$3:$G$22&gt;B1592)*(Calc!$G$3:$G$22-B1592)^2)</f>
        <v/>
      </c>
      <c r="K1592">
        <f>SUMPRODUCT(Calc!$K$3:$K$22*(Calc!$G$3:$G$22&gt;A1592)*(Calc!$G$3:$G$22-A1592)*(Calc!$G$3:$G$22&gt;B1592)*(Calc!$G$3:$G$22-B1592))</f>
        <v/>
      </c>
      <c r="L1592">
        <f>SUMPRODUCT(Calc!$K$3:$K$22*(Calc!$G$3:$G$22&gt;A1592)*(Calc!$G$3:$G$22-A1592)*Calc!$G$3:$G$22)</f>
        <v/>
      </c>
      <c r="M1592">
        <f>SUMPRODUCT(Calc!$K$3:$K$22*(Calc!$G$3:$G$22&gt;B1592)*(Calc!$G$3:$G$22-B1592)*Calc!$G$3:$G$22)</f>
        <v/>
      </c>
      <c r="N1592">
        <f>SUMPRODUCT(Calc!$K$3:$K$22*(Calc!$G$3:$G$22&gt;A1592)*(Calc!$G$3:$G$22-A1592)*Calc!$I$3:$I$22)</f>
        <v/>
      </c>
      <c r="O1592">
        <f>SUMPRODUCT(Calc!$K$3:$K$22*(Calc!$G$3:$G$22&gt;B1592)*(Calc!$G$3:$G$22-B1592)*Calc!$I$3:$I$22)</f>
        <v/>
      </c>
      <c r="P1592">
        <f>I1592-G1592^2/k_n</f>
        <v/>
      </c>
      <c r="Q1592">
        <f>J1592-H1592^2/k_n</f>
        <v/>
      </c>
      <c r="R1592">
        <f>K1592-G1592*H1592/k_n</f>
        <v/>
      </c>
      <c r="S1592">
        <f>L1592-LTP3!$D$3*G1592/k_n</f>
        <v/>
      </c>
      <c r="T1592">
        <f>M1592-LTP3!$D$3*H1592/k_n</f>
        <v/>
      </c>
      <c r="U1592">
        <f>N1592-G1592*LTP3!$D$4/k_n</f>
        <v/>
      </c>
      <c r="V1592">
        <f>O1592-H1592*LTP3!$D$4/k_n</f>
        <v/>
      </c>
      <c r="W1592">
        <f>((LTP3!$D$5)*((P1592)*(Q1592)-(R1592)*(R1592))-(S1592)*((S1592)*(Q1592)-(R1592)*(T1592))+(T1592)*((S1592)*(R1592)-(P1592)*(T1592)))</f>
        <v/>
      </c>
      <c r="X1592">
        <f>IF(ABS(W1592)&gt;1E-12,((LTP3!$D$6)*((P1592)*(Q1592)-(R1592)*(R1592))-(S1592)*((U1592)*(Q1592)-(R1592)*(V1592))+(T1592)*((U1592)*(R1592)-(P1592)*(V1592)))/W1592,0)</f>
        <v/>
      </c>
      <c r="Y1592">
        <f>IF(ABS(W1592)&gt;1E-12,((LTP3!$D$5)*((U1592)*(Q1592)-(R1592)*(V1592))-(LTP3!$D$6)*((S1592)*(Q1592)-(R1592)*(T1592))+(T1592)*((S1592)*(V1592)-(U1592)*(T1592)))/W1592,0)</f>
        <v/>
      </c>
      <c r="Z1592">
        <f>IF(ABS(W1592)&gt;1E-12,((LTP3!$D$5)*((P1592)*(V1592)-(U1592)*(R1592))-(S1592)*((S1592)*(V1592)-(U1592)*(T1592))+(LTP3!$D$6)*((S1592)*(R1592)-(P1592)*(T1592)))/W1592,0)</f>
        <v/>
      </c>
      <c r="AA1592">
        <f>LTP3!$D$7-X1592*LTP3!$D$6-Y1592*U1592-Z1592*V1592</f>
        <v/>
      </c>
      <c r="AB1592">
        <f>IF(AND(F1592,ABS(W1592)&gt;1E-12,Y1592&gt;0,Z1592&gt;0),AA1592,1E+300)</f>
        <v/>
      </c>
    </row>
    <row r="1593">
      <c r="A1593">
        <f>$B$3+$B$5*25</f>
        <v/>
      </c>
      <c r="B1593">
        <f>$B$3+$B$5*56</f>
        <v/>
      </c>
      <c r="C1593">
        <f>SUMPRODUCT(Calc!$K$3:$K$22*(Calc!$G$3:$G$22&lt;=A1593))</f>
        <v/>
      </c>
      <c r="D1593">
        <f>SUMPRODUCT(Calc!$K$3:$K$22*(Calc!$G$3:$G$22&gt;A1593)*(Calc!$G$3:$G$22&lt;B1593))</f>
        <v/>
      </c>
      <c r="E1593">
        <f>SUMPRODUCT(Calc!$K$3:$K$22*(Calc!$G$3:$G$22&gt;=B1593))</f>
        <v/>
      </c>
      <c r="F1593">
        <f>AND(k_n&gt;=5,B1593&gt;A1593+1E-9,C1593&gt;=2,D1593&gt;=1,E1593&gt;=2)</f>
        <v/>
      </c>
      <c r="G1593">
        <f>SUMPRODUCT(Calc!$K$3:$K$22*(Calc!$G$3:$G$22&gt;A1593)*(Calc!$G$3:$G$22-A1593))</f>
        <v/>
      </c>
      <c r="H1593">
        <f>SUMPRODUCT(Calc!$K$3:$K$22*(Calc!$G$3:$G$22&gt;B1593)*(Calc!$G$3:$G$22-B1593))</f>
        <v/>
      </c>
      <c r="I1593">
        <f>SUMPRODUCT(Calc!$K$3:$K$22*(Calc!$G$3:$G$22&gt;A1593)*(Calc!$G$3:$G$22-A1593)^2)</f>
        <v/>
      </c>
      <c r="J1593">
        <f>SUMPRODUCT(Calc!$K$3:$K$22*(Calc!$G$3:$G$22&gt;B1593)*(Calc!$G$3:$G$22-B1593)^2)</f>
        <v/>
      </c>
      <c r="K1593">
        <f>SUMPRODUCT(Calc!$K$3:$K$22*(Calc!$G$3:$G$22&gt;A1593)*(Calc!$G$3:$G$22-A1593)*(Calc!$G$3:$G$22&gt;B1593)*(Calc!$G$3:$G$22-B1593))</f>
        <v/>
      </c>
      <c r="L1593">
        <f>SUMPRODUCT(Calc!$K$3:$K$22*(Calc!$G$3:$G$22&gt;A1593)*(Calc!$G$3:$G$22-A1593)*Calc!$G$3:$G$22)</f>
        <v/>
      </c>
      <c r="M1593">
        <f>SUMPRODUCT(Calc!$K$3:$K$22*(Calc!$G$3:$G$22&gt;B1593)*(Calc!$G$3:$G$22-B1593)*Calc!$G$3:$G$22)</f>
        <v/>
      </c>
      <c r="N1593">
        <f>SUMPRODUCT(Calc!$K$3:$K$22*(Calc!$G$3:$G$22&gt;A1593)*(Calc!$G$3:$G$22-A1593)*Calc!$I$3:$I$22)</f>
        <v/>
      </c>
      <c r="O1593">
        <f>SUMPRODUCT(Calc!$K$3:$K$22*(Calc!$G$3:$G$22&gt;B1593)*(Calc!$G$3:$G$22-B1593)*Calc!$I$3:$I$22)</f>
        <v/>
      </c>
      <c r="P1593">
        <f>I1593-G1593^2/k_n</f>
        <v/>
      </c>
      <c r="Q1593">
        <f>J1593-H1593^2/k_n</f>
        <v/>
      </c>
      <c r="R1593">
        <f>K1593-G1593*H1593/k_n</f>
        <v/>
      </c>
      <c r="S1593">
        <f>L1593-LTP3!$D$3*G1593/k_n</f>
        <v/>
      </c>
      <c r="T1593">
        <f>M1593-LTP3!$D$3*H1593/k_n</f>
        <v/>
      </c>
      <c r="U1593">
        <f>N1593-G1593*LTP3!$D$4/k_n</f>
        <v/>
      </c>
      <c r="V1593">
        <f>O1593-H1593*LTP3!$D$4/k_n</f>
        <v/>
      </c>
      <c r="W1593">
        <f>((LTP3!$D$5)*((P1593)*(Q1593)-(R1593)*(R1593))-(S1593)*((S1593)*(Q1593)-(R1593)*(T1593))+(T1593)*((S1593)*(R1593)-(P1593)*(T1593)))</f>
        <v/>
      </c>
      <c r="X1593">
        <f>IF(ABS(W1593)&gt;1E-12,((LTP3!$D$6)*((P1593)*(Q1593)-(R1593)*(R1593))-(S1593)*((U1593)*(Q1593)-(R1593)*(V1593))+(T1593)*((U1593)*(R1593)-(P1593)*(V1593)))/W1593,0)</f>
        <v/>
      </c>
      <c r="Y1593">
        <f>IF(ABS(W1593)&gt;1E-12,((LTP3!$D$5)*((U1593)*(Q1593)-(R1593)*(V1593))-(LTP3!$D$6)*((S1593)*(Q1593)-(R1593)*(T1593))+(T1593)*((S1593)*(V1593)-(U1593)*(T1593)))/W1593,0)</f>
        <v/>
      </c>
      <c r="Z1593">
        <f>IF(ABS(W1593)&gt;1E-12,((LTP3!$D$5)*((P1593)*(V1593)-(U1593)*(R1593))-(S1593)*((S1593)*(V1593)-(U1593)*(T1593))+(LTP3!$D$6)*((S1593)*(R1593)-(P1593)*(T1593)))/W1593,0)</f>
        <v/>
      </c>
      <c r="AA1593">
        <f>LTP3!$D$7-X1593*LTP3!$D$6-Y1593*U1593-Z1593*V1593</f>
        <v/>
      </c>
      <c r="AB1593">
        <f>IF(AND(F1593,ABS(W1593)&gt;1E-12,Y1593&gt;0,Z1593&gt;0),AA1593,1E+300)</f>
        <v/>
      </c>
    </row>
    <row r="1594">
      <c r="A1594">
        <f>$B$3+$B$5*25</f>
        <v/>
      </c>
      <c r="B1594">
        <f>$B$3+$B$5*57</f>
        <v/>
      </c>
      <c r="C1594">
        <f>SUMPRODUCT(Calc!$K$3:$K$22*(Calc!$G$3:$G$22&lt;=A1594))</f>
        <v/>
      </c>
      <c r="D1594">
        <f>SUMPRODUCT(Calc!$K$3:$K$22*(Calc!$G$3:$G$22&gt;A1594)*(Calc!$G$3:$G$22&lt;B1594))</f>
        <v/>
      </c>
      <c r="E1594">
        <f>SUMPRODUCT(Calc!$K$3:$K$22*(Calc!$G$3:$G$22&gt;=B1594))</f>
        <v/>
      </c>
      <c r="F1594">
        <f>AND(k_n&gt;=5,B1594&gt;A1594+1E-9,C1594&gt;=2,D1594&gt;=1,E1594&gt;=2)</f>
        <v/>
      </c>
      <c r="G1594">
        <f>SUMPRODUCT(Calc!$K$3:$K$22*(Calc!$G$3:$G$22&gt;A1594)*(Calc!$G$3:$G$22-A1594))</f>
        <v/>
      </c>
      <c r="H1594">
        <f>SUMPRODUCT(Calc!$K$3:$K$22*(Calc!$G$3:$G$22&gt;B1594)*(Calc!$G$3:$G$22-B1594))</f>
        <v/>
      </c>
      <c r="I1594">
        <f>SUMPRODUCT(Calc!$K$3:$K$22*(Calc!$G$3:$G$22&gt;A1594)*(Calc!$G$3:$G$22-A1594)^2)</f>
        <v/>
      </c>
      <c r="J1594">
        <f>SUMPRODUCT(Calc!$K$3:$K$22*(Calc!$G$3:$G$22&gt;B1594)*(Calc!$G$3:$G$22-B1594)^2)</f>
        <v/>
      </c>
      <c r="K1594">
        <f>SUMPRODUCT(Calc!$K$3:$K$22*(Calc!$G$3:$G$22&gt;A1594)*(Calc!$G$3:$G$22-A1594)*(Calc!$G$3:$G$22&gt;B1594)*(Calc!$G$3:$G$22-B1594))</f>
        <v/>
      </c>
      <c r="L1594">
        <f>SUMPRODUCT(Calc!$K$3:$K$22*(Calc!$G$3:$G$22&gt;A1594)*(Calc!$G$3:$G$22-A1594)*Calc!$G$3:$G$22)</f>
        <v/>
      </c>
      <c r="M1594">
        <f>SUMPRODUCT(Calc!$K$3:$K$22*(Calc!$G$3:$G$22&gt;B1594)*(Calc!$G$3:$G$22-B1594)*Calc!$G$3:$G$22)</f>
        <v/>
      </c>
      <c r="N1594">
        <f>SUMPRODUCT(Calc!$K$3:$K$22*(Calc!$G$3:$G$22&gt;A1594)*(Calc!$G$3:$G$22-A1594)*Calc!$I$3:$I$22)</f>
        <v/>
      </c>
      <c r="O1594">
        <f>SUMPRODUCT(Calc!$K$3:$K$22*(Calc!$G$3:$G$22&gt;B1594)*(Calc!$G$3:$G$22-B1594)*Calc!$I$3:$I$22)</f>
        <v/>
      </c>
      <c r="P1594">
        <f>I1594-G1594^2/k_n</f>
        <v/>
      </c>
      <c r="Q1594">
        <f>J1594-H1594^2/k_n</f>
        <v/>
      </c>
      <c r="R1594">
        <f>K1594-G1594*H1594/k_n</f>
        <v/>
      </c>
      <c r="S1594">
        <f>L1594-LTP3!$D$3*G1594/k_n</f>
        <v/>
      </c>
      <c r="T1594">
        <f>M1594-LTP3!$D$3*H1594/k_n</f>
        <v/>
      </c>
      <c r="U1594">
        <f>N1594-G1594*LTP3!$D$4/k_n</f>
        <v/>
      </c>
      <c r="V1594">
        <f>O1594-H1594*LTP3!$D$4/k_n</f>
        <v/>
      </c>
      <c r="W1594">
        <f>((LTP3!$D$5)*((P1594)*(Q1594)-(R1594)*(R1594))-(S1594)*((S1594)*(Q1594)-(R1594)*(T1594))+(T1594)*((S1594)*(R1594)-(P1594)*(T1594)))</f>
        <v/>
      </c>
      <c r="X1594">
        <f>IF(ABS(W1594)&gt;1E-12,((LTP3!$D$6)*((P1594)*(Q1594)-(R1594)*(R1594))-(S1594)*((U1594)*(Q1594)-(R1594)*(V1594))+(T1594)*((U1594)*(R1594)-(P1594)*(V1594)))/W1594,0)</f>
        <v/>
      </c>
      <c r="Y1594">
        <f>IF(ABS(W1594)&gt;1E-12,((LTP3!$D$5)*((U1594)*(Q1594)-(R1594)*(V1594))-(LTP3!$D$6)*((S1594)*(Q1594)-(R1594)*(T1594))+(T1594)*((S1594)*(V1594)-(U1594)*(T1594)))/W1594,0)</f>
        <v/>
      </c>
      <c r="Z1594">
        <f>IF(ABS(W1594)&gt;1E-12,((LTP3!$D$5)*((P1594)*(V1594)-(U1594)*(R1594))-(S1594)*((S1594)*(V1594)-(U1594)*(T1594))+(LTP3!$D$6)*((S1594)*(R1594)-(P1594)*(T1594)))/W1594,0)</f>
        <v/>
      </c>
      <c r="AA1594">
        <f>LTP3!$D$7-X1594*LTP3!$D$6-Y1594*U1594-Z1594*V1594</f>
        <v/>
      </c>
      <c r="AB1594">
        <f>IF(AND(F1594,ABS(W1594)&gt;1E-12,Y1594&gt;0,Z1594&gt;0),AA1594,1E+300)</f>
        <v/>
      </c>
    </row>
    <row r="1595">
      <c r="A1595">
        <f>$B$3+$B$5*25</f>
        <v/>
      </c>
      <c r="B1595">
        <f>$B$3+$B$5*58</f>
        <v/>
      </c>
      <c r="C1595">
        <f>SUMPRODUCT(Calc!$K$3:$K$22*(Calc!$G$3:$G$22&lt;=A1595))</f>
        <v/>
      </c>
      <c r="D1595">
        <f>SUMPRODUCT(Calc!$K$3:$K$22*(Calc!$G$3:$G$22&gt;A1595)*(Calc!$G$3:$G$22&lt;B1595))</f>
        <v/>
      </c>
      <c r="E1595">
        <f>SUMPRODUCT(Calc!$K$3:$K$22*(Calc!$G$3:$G$22&gt;=B1595))</f>
        <v/>
      </c>
      <c r="F1595">
        <f>AND(k_n&gt;=5,B1595&gt;A1595+1E-9,C1595&gt;=2,D1595&gt;=1,E1595&gt;=2)</f>
        <v/>
      </c>
      <c r="G1595">
        <f>SUMPRODUCT(Calc!$K$3:$K$22*(Calc!$G$3:$G$22&gt;A1595)*(Calc!$G$3:$G$22-A1595))</f>
        <v/>
      </c>
      <c r="H1595">
        <f>SUMPRODUCT(Calc!$K$3:$K$22*(Calc!$G$3:$G$22&gt;B1595)*(Calc!$G$3:$G$22-B1595))</f>
        <v/>
      </c>
      <c r="I1595">
        <f>SUMPRODUCT(Calc!$K$3:$K$22*(Calc!$G$3:$G$22&gt;A1595)*(Calc!$G$3:$G$22-A1595)^2)</f>
        <v/>
      </c>
      <c r="J1595">
        <f>SUMPRODUCT(Calc!$K$3:$K$22*(Calc!$G$3:$G$22&gt;B1595)*(Calc!$G$3:$G$22-B1595)^2)</f>
        <v/>
      </c>
      <c r="K1595">
        <f>SUMPRODUCT(Calc!$K$3:$K$22*(Calc!$G$3:$G$22&gt;A1595)*(Calc!$G$3:$G$22-A1595)*(Calc!$G$3:$G$22&gt;B1595)*(Calc!$G$3:$G$22-B1595))</f>
        <v/>
      </c>
      <c r="L1595">
        <f>SUMPRODUCT(Calc!$K$3:$K$22*(Calc!$G$3:$G$22&gt;A1595)*(Calc!$G$3:$G$22-A1595)*Calc!$G$3:$G$22)</f>
        <v/>
      </c>
      <c r="M1595">
        <f>SUMPRODUCT(Calc!$K$3:$K$22*(Calc!$G$3:$G$22&gt;B1595)*(Calc!$G$3:$G$22-B1595)*Calc!$G$3:$G$22)</f>
        <v/>
      </c>
      <c r="N1595">
        <f>SUMPRODUCT(Calc!$K$3:$K$22*(Calc!$G$3:$G$22&gt;A1595)*(Calc!$G$3:$G$22-A1595)*Calc!$I$3:$I$22)</f>
        <v/>
      </c>
      <c r="O1595">
        <f>SUMPRODUCT(Calc!$K$3:$K$22*(Calc!$G$3:$G$22&gt;B1595)*(Calc!$G$3:$G$22-B1595)*Calc!$I$3:$I$22)</f>
        <v/>
      </c>
      <c r="P1595">
        <f>I1595-G1595^2/k_n</f>
        <v/>
      </c>
      <c r="Q1595">
        <f>J1595-H1595^2/k_n</f>
        <v/>
      </c>
      <c r="R1595">
        <f>K1595-G1595*H1595/k_n</f>
        <v/>
      </c>
      <c r="S1595">
        <f>L1595-LTP3!$D$3*G1595/k_n</f>
        <v/>
      </c>
      <c r="T1595">
        <f>M1595-LTP3!$D$3*H1595/k_n</f>
        <v/>
      </c>
      <c r="U1595">
        <f>N1595-G1595*LTP3!$D$4/k_n</f>
        <v/>
      </c>
      <c r="V1595">
        <f>O1595-H1595*LTP3!$D$4/k_n</f>
        <v/>
      </c>
      <c r="W1595">
        <f>((LTP3!$D$5)*((P1595)*(Q1595)-(R1595)*(R1595))-(S1595)*((S1595)*(Q1595)-(R1595)*(T1595))+(T1595)*((S1595)*(R1595)-(P1595)*(T1595)))</f>
        <v/>
      </c>
      <c r="X1595">
        <f>IF(ABS(W1595)&gt;1E-12,((LTP3!$D$6)*((P1595)*(Q1595)-(R1595)*(R1595))-(S1595)*((U1595)*(Q1595)-(R1595)*(V1595))+(T1595)*((U1595)*(R1595)-(P1595)*(V1595)))/W1595,0)</f>
        <v/>
      </c>
      <c r="Y1595">
        <f>IF(ABS(W1595)&gt;1E-12,((LTP3!$D$5)*((U1595)*(Q1595)-(R1595)*(V1595))-(LTP3!$D$6)*((S1595)*(Q1595)-(R1595)*(T1595))+(T1595)*((S1595)*(V1595)-(U1595)*(T1595)))/W1595,0)</f>
        <v/>
      </c>
      <c r="Z1595">
        <f>IF(ABS(W1595)&gt;1E-12,((LTP3!$D$5)*((P1595)*(V1595)-(U1595)*(R1595))-(S1595)*((S1595)*(V1595)-(U1595)*(T1595))+(LTP3!$D$6)*((S1595)*(R1595)-(P1595)*(T1595)))/W1595,0)</f>
        <v/>
      </c>
      <c r="AA1595">
        <f>LTP3!$D$7-X1595*LTP3!$D$6-Y1595*U1595-Z1595*V1595</f>
        <v/>
      </c>
      <c r="AB1595">
        <f>IF(AND(F1595,ABS(W1595)&gt;1E-12,Y1595&gt;0,Z1595&gt;0),AA1595,1E+300)</f>
        <v/>
      </c>
    </row>
    <row r="1596">
      <c r="A1596">
        <f>$B$3+$B$5*25</f>
        <v/>
      </c>
      <c r="B1596">
        <f>$B$3+$B$5*59</f>
        <v/>
      </c>
      <c r="C1596">
        <f>SUMPRODUCT(Calc!$K$3:$K$22*(Calc!$G$3:$G$22&lt;=A1596))</f>
        <v/>
      </c>
      <c r="D1596">
        <f>SUMPRODUCT(Calc!$K$3:$K$22*(Calc!$G$3:$G$22&gt;A1596)*(Calc!$G$3:$G$22&lt;B1596))</f>
        <v/>
      </c>
      <c r="E1596">
        <f>SUMPRODUCT(Calc!$K$3:$K$22*(Calc!$G$3:$G$22&gt;=B1596))</f>
        <v/>
      </c>
      <c r="F1596">
        <f>AND(k_n&gt;=5,B1596&gt;A1596+1E-9,C1596&gt;=2,D1596&gt;=1,E1596&gt;=2)</f>
        <v/>
      </c>
      <c r="G1596">
        <f>SUMPRODUCT(Calc!$K$3:$K$22*(Calc!$G$3:$G$22&gt;A1596)*(Calc!$G$3:$G$22-A1596))</f>
        <v/>
      </c>
      <c r="H1596">
        <f>SUMPRODUCT(Calc!$K$3:$K$22*(Calc!$G$3:$G$22&gt;B1596)*(Calc!$G$3:$G$22-B1596))</f>
        <v/>
      </c>
      <c r="I1596">
        <f>SUMPRODUCT(Calc!$K$3:$K$22*(Calc!$G$3:$G$22&gt;A1596)*(Calc!$G$3:$G$22-A1596)^2)</f>
        <v/>
      </c>
      <c r="J1596">
        <f>SUMPRODUCT(Calc!$K$3:$K$22*(Calc!$G$3:$G$22&gt;B1596)*(Calc!$G$3:$G$22-B1596)^2)</f>
        <v/>
      </c>
      <c r="K1596">
        <f>SUMPRODUCT(Calc!$K$3:$K$22*(Calc!$G$3:$G$22&gt;A1596)*(Calc!$G$3:$G$22-A1596)*(Calc!$G$3:$G$22&gt;B1596)*(Calc!$G$3:$G$22-B1596))</f>
        <v/>
      </c>
      <c r="L1596">
        <f>SUMPRODUCT(Calc!$K$3:$K$22*(Calc!$G$3:$G$22&gt;A1596)*(Calc!$G$3:$G$22-A1596)*Calc!$G$3:$G$22)</f>
        <v/>
      </c>
      <c r="M1596">
        <f>SUMPRODUCT(Calc!$K$3:$K$22*(Calc!$G$3:$G$22&gt;B1596)*(Calc!$G$3:$G$22-B1596)*Calc!$G$3:$G$22)</f>
        <v/>
      </c>
      <c r="N1596">
        <f>SUMPRODUCT(Calc!$K$3:$K$22*(Calc!$G$3:$G$22&gt;A1596)*(Calc!$G$3:$G$22-A1596)*Calc!$I$3:$I$22)</f>
        <v/>
      </c>
      <c r="O1596">
        <f>SUMPRODUCT(Calc!$K$3:$K$22*(Calc!$G$3:$G$22&gt;B1596)*(Calc!$G$3:$G$22-B1596)*Calc!$I$3:$I$22)</f>
        <v/>
      </c>
      <c r="P1596">
        <f>I1596-G1596^2/k_n</f>
        <v/>
      </c>
      <c r="Q1596">
        <f>J1596-H1596^2/k_n</f>
        <v/>
      </c>
      <c r="R1596">
        <f>K1596-G1596*H1596/k_n</f>
        <v/>
      </c>
      <c r="S1596">
        <f>L1596-LTP3!$D$3*G1596/k_n</f>
        <v/>
      </c>
      <c r="T1596">
        <f>M1596-LTP3!$D$3*H1596/k_n</f>
        <v/>
      </c>
      <c r="U1596">
        <f>N1596-G1596*LTP3!$D$4/k_n</f>
        <v/>
      </c>
      <c r="V1596">
        <f>O1596-H1596*LTP3!$D$4/k_n</f>
        <v/>
      </c>
      <c r="W1596">
        <f>((LTP3!$D$5)*((P1596)*(Q1596)-(R1596)*(R1596))-(S1596)*((S1596)*(Q1596)-(R1596)*(T1596))+(T1596)*((S1596)*(R1596)-(P1596)*(T1596)))</f>
        <v/>
      </c>
      <c r="X1596">
        <f>IF(ABS(W1596)&gt;1E-12,((LTP3!$D$6)*((P1596)*(Q1596)-(R1596)*(R1596))-(S1596)*((U1596)*(Q1596)-(R1596)*(V1596))+(T1596)*((U1596)*(R1596)-(P1596)*(V1596)))/W1596,0)</f>
        <v/>
      </c>
      <c r="Y1596">
        <f>IF(ABS(W1596)&gt;1E-12,((LTP3!$D$5)*((U1596)*(Q1596)-(R1596)*(V1596))-(LTP3!$D$6)*((S1596)*(Q1596)-(R1596)*(T1596))+(T1596)*((S1596)*(V1596)-(U1596)*(T1596)))/W1596,0)</f>
        <v/>
      </c>
      <c r="Z1596">
        <f>IF(ABS(W1596)&gt;1E-12,((LTP3!$D$5)*((P1596)*(V1596)-(U1596)*(R1596))-(S1596)*((S1596)*(V1596)-(U1596)*(T1596))+(LTP3!$D$6)*((S1596)*(R1596)-(P1596)*(T1596)))/W1596,0)</f>
        <v/>
      </c>
      <c r="AA1596">
        <f>LTP3!$D$7-X1596*LTP3!$D$6-Y1596*U1596-Z1596*V1596</f>
        <v/>
      </c>
      <c r="AB1596">
        <f>IF(AND(F1596,ABS(W1596)&gt;1E-12,Y1596&gt;0,Z1596&gt;0),AA1596,1E+300)</f>
        <v/>
      </c>
    </row>
    <row r="1597">
      <c r="A1597">
        <f>$B$3+$B$5*25</f>
        <v/>
      </c>
      <c r="B1597">
        <f>$B$3+$B$5*60</f>
        <v/>
      </c>
      <c r="C1597">
        <f>SUMPRODUCT(Calc!$K$3:$K$22*(Calc!$G$3:$G$22&lt;=A1597))</f>
        <v/>
      </c>
      <c r="D1597">
        <f>SUMPRODUCT(Calc!$K$3:$K$22*(Calc!$G$3:$G$22&gt;A1597)*(Calc!$G$3:$G$22&lt;B1597))</f>
        <v/>
      </c>
      <c r="E1597">
        <f>SUMPRODUCT(Calc!$K$3:$K$22*(Calc!$G$3:$G$22&gt;=B1597))</f>
        <v/>
      </c>
      <c r="F1597">
        <f>AND(k_n&gt;=5,B1597&gt;A1597+1E-9,C1597&gt;=2,D1597&gt;=1,E1597&gt;=2)</f>
        <v/>
      </c>
      <c r="G1597">
        <f>SUMPRODUCT(Calc!$K$3:$K$22*(Calc!$G$3:$G$22&gt;A1597)*(Calc!$G$3:$G$22-A1597))</f>
        <v/>
      </c>
      <c r="H1597">
        <f>SUMPRODUCT(Calc!$K$3:$K$22*(Calc!$G$3:$G$22&gt;B1597)*(Calc!$G$3:$G$22-B1597))</f>
        <v/>
      </c>
      <c r="I1597">
        <f>SUMPRODUCT(Calc!$K$3:$K$22*(Calc!$G$3:$G$22&gt;A1597)*(Calc!$G$3:$G$22-A1597)^2)</f>
        <v/>
      </c>
      <c r="J1597">
        <f>SUMPRODUCT(Calc!$K$3:$K$22*(Calc!$G$3:$G$22&gt;B1597)*(Calc!$G$3:$G$22-B1597)^2)</f>
        <v/>
      </c>
      <c r="K1597">
        <f>SUMPRODUCT(Calc!$K$3:$K$22*(Calc!$G$3:$G$22&gt;A1597)*(Calc!$G$3:$G$22-A1597)*(Calc!$G$3:$G$22&gt;B1597)*(Calc!$G$3:$G$22-B1597))</f>
        <v/>
      </c>
      <c r="L1597">
        <f>SUMPRODUCT(Calc!$K$3:$K$22*(Calc!$G$3:$G$22&gt;A1597)*(Calc!$G$3:$G$22-A1597)*Calc!$G$3:$G$22)</f>
        <v/>
      </c>
      <c r="M1597">
        <f>SUMPRODUCT(Calc!$K$3:$K$22*(Calc!$G$3:$G$22&gt;B1597)*(Calc!$G$3:$G$22-B1597)*Calc!$G$3:$G$22)</f>
        <v/>
      </c>
      <c r="N1597">
        <f>SUMPRODUCT(Calc!$K$3:$K$22*(Calc!$G$3:$G$22&gt;A1597)*(Calc!$G$3:$G$22-A1597)*Calc!$I$3:$I$22)</f>
        <v/>
      </c>
      <c r="O1597">
        <f>SUMPRODUCT(Calc!$K$3:$K$22*(Calc!$G$3:$G$22&gt;B1597)*(Calc!$G$3:$G$22-B1597)*Calc!$I$3:$I$22)</f>
        <v/>
      </c>
      <c r="P1597">
        <f>I1597-G1597^2/k_n</f>
        <v/>
      </c>
      <c r="Q1597">
        <f>J1597-H1597^2/k_n</f>
        <v/>
      </c>
      <c r="R1597">
        <f>K1597-G1597*H1597/k_n</f>
        <v/>
      </c>
      <c r="S1597">
        <f>L1597-LTP3!$D$3*G1597/k_n</f>
        <v/>
      </c>
      <c r="T1597">
        <f>M1597-LTP3!$D$3*H1597/k_n</f>
        <v/>
      </c>
      <c r="U1597">
        <f>N1597-G1597*LTP3!$D$4/k_n</f>
        <v/>
      </c>
      <c r="V1597">
        <f>O1597-H1597*LTP3!$D$4/k_n</f>
        <v/>
      </c>
      <c r="W1597">
        <f>((LTP3!$D$5)*((P1597)*(Q1597)-(R1597)*(R1597))-(S1597)*((S1597)*(Q1597)-(R1597)*(T1597))+(T1597)*((S1597)*(R1597)-(P1597)*(T1597)))</f>
        <v/>
      </c>
      <c r="X1597">
        <f>IF(ABS(W1597)&gt;1E-12,((LTP3!$D$6)*((P1597)*(Q1597)-(R1597)*(R1597))-(S1597)*((U1597)*(Q1597)-(R1597)*(V1597))+(T1597)*((U1597)*(R1597)-(P1597)*(V1597)))/W1597,0)</f>
        <v/>
      </c>
      <c r="Y1597">
        <f>IF(ABS(W1597)&gt;1E-12,((LTP3!$D$5)*((U1597)*(Q1597)-(R1597)*(V1597))-(LTP3!$D$6)*((S1597)*(Q1597)-(R1597)*(T1597))+(T1597)*((S1597)*(V1597)-(U1597)*(T1597)))/W1597,0)</f>
        <v/>
      </c>
      <c r="Z1597">
        <f>IF(ABS(W1597)&gt;1E-12,((LTP3!$D$5)*((P1597)*(V1597)-(U1597)*(R1597))-(S1597)*((S1597)*(V1597)-(U1597)*(T1597))+(LTP3!$D$6)*((S1597)*(R1597)-(P1597)*(T1597)))/W1597,0)</f>
        <v/>
      </c>
      <c r="AA1597">
        <f>LTP3!$D$7-X1597*LTP3!$D$6-Y1597*U1597-Z1597*V1597</f>
        <v/>
      </c>
      <c r="AB1597">
        <f>IF(AND(F1597,ABS(W1597)&gt;1E-12,Y1597&gt;0,Z1597&gt;0),AA1597,1E+300)</f>
        <v/>
      </c>
    </row>
    <row r="1598">
      <c r="A1598">
        <f>$B$3+$B$5*26</f>
        <v/>
      </c>
      <c r="B1598">
        <f>$B$3+$B$5*0</f>
        <v/>
      </c>
      <c r="C1598">
        <f>SUMPRODUCT(Calc!$K$3:$K$22*(Calc!$G$3:$G$22&lt;=A1598))</f>
        <v/>
      </c>
      <c r="D1598">
        <f>SUMPRODUCT(Calc!$K$3:$K$22*(Calc!$G$3:$G$22&gt;A1598)*(Calc!$G$3:$G$22&lt;B1598))</f>
        <v/>
      </c>
      <c r="E1598">
        <f>SUMPRODUCT(Calc!$K$3:$K$22*(Calc!$G$3:$G$22&gt;=B1598))</f>
        <v/>
      </c>
      <c r="F1598">
        <f>AND(k_n&gt;=5,B1598&gt;A1598+1E-9,C1598&gt;=2,D1598&gt;=1,E1598&gt;=2)</f>
        <v/>
      </c>
      <c r="G1598">
        <f>SUMPRODUCT(Calc!$K$3:$K$22*(Calc!$G$3:$G$22&gt;A1598)*(Calc!$G$3:$G$22-A1598))</f>
        <v/>
      </c>
      <c r="H1598">
        <f>SUMPRODUCT(Calc!$K$3:$K$22*(Calc!$G$3:$G$22&gt;B1598)*(Calc!$G$3:$G$22-B1598))</f>
        <v/>
      </c>
      <c r="I1598">
        <f>SUMPRODUCT(Calc!$K$3:$K$22*(Calc!$G$3:$G$22&gt;A1598)*(Calc!$G$3:$G$22-A1598)^2)</f>
        <v/>
      </c>
      <c r="J1598">
        <f>SUMPRODUCT(Calc!$K$3:$K$22*(Calc!$G$3:$G$22&gt;B1598)*(Calc!$G$3:$G$22-B1598)^2)</f>
        <v/>
      </c>
      <c r="K1598">
        <f>SUMPRODUCT(Calc!$K$3:$K$22*(Calc!$G$3:$G$22&gt;A1598)*(Calc!$G$3:$G$22-A1598)*(Calc!$G$3:$G$22&gt;B1598)*(Calc!$G$3:$G$22-B1598))</f>
        <v/>
      </c>
      <c r="L1598">
        <f>SUMPRODUCT(Calc!$K$3:$K$22*(Calc!$G$3:$G$22&gt;A1598)*(Calc!$G$3:$G$22-A1598)*Calc!$G$3:$G$22)</f>
        <v/>
      </c>
      <c r="M1598">
        <f>SUMPRODUCT(Calc!$K$3:$K$22*(Calc!$G$3:$G$22&gt;B1598)*(Calc!$G$3:$G$22-B1598)*Calc!$G$3:$G$22)</f>
        <v/>
      </c>
      <c r="N1598">
        <f>SUMPRODUCT(Calc!$K$3:$K$22*(Calc!$G$3:$G$22&gt;A1598)*(Calc!$G$3:$G$22-A1598)*Calc!$I$3:$I$22)</f>
        <v/>
      </c>
      <c r="O1598">
        <f>SUMPRODUCT(Calc!$K$3:$K$22*(Calc!$G$3:$G$22&gt;B1598)*(Calc!$G$3:$G$22-B1598)*Calc!$I$3:$I$22)</f>
        <v/>
      </c>
      <c r="P1598">
        <f>I1598-G1598^2/k_n</f>
        <v/>
      </c>
      <c r="Q1598">
        <f>J1598-H1598^2/k_n</f>
        <v/>
      </c>
      <c r="R1598">
        <f>K1598-G1598*H1598/k_n</f>
        <v/>
      </c>
      <c r="S1598">
        <f>L1598-LTP3!$D$3*G1598/k_n</f>
        <v/>
      </c>
      <c r="T1598">
        <f>M1598-LTP3!$D$3*H1598/k_n</f>
        <v/>
      </c>
      <c r="U1598">
        <f>N1598-G1598*LTP3!$D$4/k_n</f>
        <v/>
      </c>
      <c r="V1598">
        <f>O1598-H1598*LTP3!$D$4/k_n</f>
        <v/>
      </c>
      <c r="W1598">
        <f>((LTP3!$D$5)*((P1598)*(Q1598)-(R1598)*(R1598))-(S1598)*((S1598)*(Q1598)-(R1598)*(T1598))+(T1598)*((S1598)*(R1598)-(P1598)*(T1598)))</f>
        <v/>
      </c>
      <c r="X1598">
        <f>IF(ABS(W1598)&gt;1E-12,((LTP3!$D$6)*((P1598)*(Q1598)-(R1598)*(R1598))-(S1598)*((U1598)*(Q1598)-(R1598)*(V1598))+(T1598)*((U1598)*(R1598)-(P1598)*(V1598)))/W1598,0)</f>
        <v/>
      </c>
      <c r="Y1598">
        <f>IF(ABS(W1598)&gt;1E-12,((LTP3!$D$5)*((U1598)*(Q1598)-(R1598)*(V1598))-(LTP3!$D$6)*((S1598)*(Q1598)-(R1598)*(T1598))+(T1598)*((S1598)*(V1598)-(U1598)*(T1598)))/W1598,0)</f>
        <v/>
      </c>
      <c r="Z1598">
        <f>IF(ABS(W1598)&gt;1E-12,((LTP3!$D$5)*((P1598)*(V1598)-(U1598)*(R1598))-(S1598)*((S1598)*(V1598)-(U1598)*(T1598))+(LTP3!$D$6)*((S1598)*(R1598)-(P1598)*(T1598)))/W1598,0)</f>
        <v/>
      </c>
      <c r="AA1598">
        <f>LTP3!$D$7-X1598*LTP3!$D$6-Y1598*U1598-Z1598*V1598</f>
        <v/>
      </c>
      <c r="AB1598">
        <f>IF(AND(F1598,ABS(W1598)&gt;1E-12,Y1598&gt;0,Z1598&gt;0),AA1598,1E+300)</f>
        <v/>
      </c>
    </row>
    <row r="1599">
      <c r="A1599">
        <f>$B$3+$B$5*26</f>
        <v/>
      </c>
      <c r="B1599">
        <f>$B$3+$B$5*1</f>
        <v/>
      </c>
      <c r="C1599">
        <f>SUMPRODUCT(Calc!$K$3:$K$22*(Calc!$G$3:$G$22&lt;=A1599))</f>
        <v/>
      </c>
      <c r="D1599">
        <f>SUMPRODUCT(Calc!$K$3:$K$22*(Calc!$G$3:$G$22&gt;A1599)*(Calc!$G$3:$G$22&lt;B1599))</f>
        <v/>
      </c>
      <c r="E1599">
        <f>SUMPRODUCT(Calc!$K$3:$K$22*(Calc!$G$3:$G$22&gt;=B1599))</f>
        <v/>
      </c>
      <c r="F1599">
        <f>AND(k_n&gt;=5,B1599&gt;A1599+1E-9,C1599&gt;=2,D1599&gt;=1,E1599&gt;=2)</f>
        <v/>
      </c>
      <c r="G1599">
        <f>SUMPRODUCT(Calc!$K$3:$K$22*(Calc!$G$3:$G$22&gt;A1599)*(Calc!$G$3:$G$22-A1599))</f>
        <v/>
      </c>
      <c r="H1599">
        <f>SUMPRODUCT(Calc!$K$3:$K$22*(Calc!$G$3:$G$22&gt;B1599)*(Calc!$G$3:$G$22-B1599))</f>
        <v/>
      </c>
      <c r="I1599">
        <f>SUMPRODUCT(Calc!$K$3:$K$22*(Calc!$G$3:$G$22&gt;A1599)*(Calc!$G$3:$G$22-A1599)^2)</f>
        <v/>
      </c>
      <c r="J1599">
        <f>SUMPRODUCT(Calc!$K$3:$K$22*(Calc!$G$3:$G$22&gt;B1599)*(Calc!$G$3:$G$22-B1599)^2)</f>
        <v/>
      </c>
      <c r="K1599">
        <f>SUMPRODUCT(Calc!$K$3:$K$22*(Calc!$G$3:$G$22&gt;A1599)*(Calc!$G$3:$G$22-A1599)*(Calc!$G$3:$G$22&gt;B1599)*(Calc!$G$3:$G$22-B1599))</f>
        <v/>
      </c>
      <c r="L1599">
        <f>SUMPRODUCT(Calc!$K$3:$K$22*(Calc!$G$3:$G$22&gt;A1599)*(Calc!$G$3:$G$22-A1599)*Calc!$G$3:$G$22)</f>
        <v/>
      </c>
      <c r="M1599">
        <f>SUMPRODUCT(Calc!$K$3:$K$22*(Calc!$G$3:$G$22&gt;B1599)*(Calc!$G$3:$G$22-B1599)*Calc!$G$3:$G$22)</f>
        <v/>
      </c>
      <c r="N1599">
        <f>SUMPRODUCT(Calc!$K$3:$K$22*(Calc!$G$3:$G$22&gt;A1599)*(Calc!$G$3:$G$22-A1599)*Calc!$I$3:$I$22)</f>
        <v/>
      </c>
      <c r="O1599">
        <f>SUMPRODUCT(Calc!$K$3:$K$22*(Calc!$G$3:$G$22&gt;B1599)*(Calc!$G$3:$G$22-B1599)*Calc!$I$3:$I$22)</f>
        <v/>
      </c>
      <c r="P1599">
        <f>I1599-G1599^2/k_n</f>
        <v/>
      </c>
      <c r="Q1599">
        <f>J1599-H1599^2/k_n</f>
        <v/>
      </c>
      <c r="R1599">
        <f>K1599-G1599*H1599/k_n</f>
        <v/>
      </c>
      <c r="S1599">
        <f>L1599-LTP3!$D$3*G1599/k_n</f>
        <v/>
      </c>
      <c r="T1599">
        <f>M1599-LTP3!$D$3*H1599/k_n</f>
        <v/>
      </c>
      <c r="U1599">
        <f>N1599-G1599*LTP3!$D$4/k_n</f>
        <v/>
      </c>
      <c r="V1599">
        <f>O1599-H1599*LTP3!$D$4/k_n</f>
        <v/>
      </c>
      <c r="W1599">
        <f>((LTP3!$D$5)*((P1599)*(Q1599)-(R1599)*(R1599))-(S1599)*((S1599)*(Q1599)-(R1599)*(T1599))+(T1599)*((S1599)*(R1599)-(P1599)*(T1599)))</f>
        <v/>
      </c>
      <c r="X1599">
        <f>IF(ABS(W1599)&gt;1E-12,((LTP3!$D$6)*((P1599)*(Q1599)-(R1599)*(R1599))-(S1599)*((U1599)*(Q1599)-(R1599)*(V1599))+(T1599)*((U1599)*(R1599)-(P1599)*(V1599)))/W1599,0)</f>
        <v/>
      </c>
      <c r="Y1599">
        <f>IF(ABS(W1599)&gt;1E-12,((LTP3!$D$5)*((U1599)*(Q1599)-(R1599)*(V1599))-(LTP3!$D$6)*((S1599)*(Q1599)-(R1599)*(T1599))+(T1599)*((S1599)*(V1599)-(U1599)*(T1599)))/W1599,0)</f>
        <v/>
      </c>
      <c r="Z1599">
        <f>IF(ABS(W1599)&gt;1E-12,((LTP3!$D$5)*((P1599)*(V1599)-(U1599)*(R1599))-(S1599)*((S1599)*(V1599)-(U1599)*(T1599))+(LTP3!$D$6)*((S1599)*(R1599)-(P1599)*(T1599)))/W1599,0)</f>
        <v/>
      </c>
      <c r="AA1599">
        <f>LTP3!$D$7-X1599*LTP3!$D$6-Y1599*U1599-Z1599*V1599</f>
        <v/>
      </c>
      <c r="AB1599">
        <f>IF(AND(F1599,ABS(W1599)&gt;1E-12,Y1599&gt;0,Z1599&gt;0),AA1599,1E+300)</f>
        <v/>
      </c>
    </row>
    <row r="1600">
      <c r="A1600">
        <f>$B$3+$B$5*26</f>
        <v/>
      </c>
      <c r="B1600">
        <f>$B$3+$B$5*2</f>
        <v/>
      </c>
      <c r="C1600">
        <f>SUMPRODUCT(Calc!$K$3:$K$22*(Calc!$G$3:$G$22&lt;=A1600))</f>
        <v/>
      </c>
      <c r="D1600">
        <f>SUMPRODUCT(Calc!$K$3:$K$22*(Calc!$G$3:$G$22&gt;A1600)*(Calc!$G$3:$G$22&lt;B1600))</f>
        <v/>
      </c>
      <c r="E1600">
        <f>SUMPRODUCT(Calc!$K$3:$K$22*(Calc!$G$3:$G$22&gt;=B1600))</f>
        <v/>
      </c>
      <c r="F1600">
        <f>AND(k_n&gt;=5,B1600&gt;A1600+1E-9,C1600&gt;=2,D1600&gt;=1,E1600&gt;=2)</f>
        <v/>
      </c>
      <c r="G1600">
        <f>SUMPRODUCT(Calc!$K$3:$K$22*(Calc!$G$3:$G$22&gt;A1600)*(Calc!$G$3:$G$22-A1600))</f>
        <v/>
      </c>
      <c r="H1600">
        <f>SUMPRODUCT(Calc!$K$3:$K$22*(Calc!$G$3:$G$22&gt;B1600)*(Calc!$G$3:$G$22-B1600))</f>
        <v/>
      </c>
      <c r="I1600">
        <f>SUMPRODUCT(Calc!$K$3:$K$22*(Calc!$G$3:$G$22&gt;A1600)*(Calc!$G$3:$G$22-A1600)^2)</f>
        <v/>
      </c>
      <c r="J1600">
        <f>SUMPRODUCT(Calc!$K$3:$K$22*(Calc!$G$3:$G$22&gt;B1600)*(Calc!$G$3:$G$22-B1600)^2)</f>
        <v/>
      </c>
      <c r="K1600">
        <f>SUMPRODUCT(Calc!$K$3:$K$22*(Calc!$G$3:$G$22&gt;A1600)*(Calc!$G$3:$G$22-A1600)*(Calc!$G$3:$G$22&gt;B1600)*(Calc!$G$3:$G$22-B1600))</f>
        <v/>
      </c>
      <c r="L1600">
        <f>SUMPRODUCT(Calc!$K$3:$K$22*(Calc!$G$3:$G$22&gt;A1600)*(Calc!$G$3:$G$22-A1600)*Calc!$G$3:$G$22)</f>
        <v/>
      </c>
      <c r="M1600">
        <f>SUMPRODUCT(Calc!$K$3:$K$22*(Calc!$G$3:$G$22&gt;B1600)*(Calc!$G$3:$G$22-B1600)*Calc!$G$3:$G$22)</f>
        <v/>
      </c>
      <c r="N1600">
        <f>SUMPRODUCT(Calc!$K$3:$K$22*(Calc!$G$3:$G$22&gt;A1600)*(Calc!$G$3:$G$22-A1600)*Calc!$I$3:$I$22)</f>
        <v/>
      </c>
      <c r="O1600">
        <f>SUMPRODUCT(Calc!$K$3:$K$22*(Calc!$G$3:$G$22&gt;B1600)*(Calc!$G$3:$G$22-B1600)*Calc!$I$3:$I$22)</f>
        <v/>
      </c>
      <c r="P1600">
        <f>I1600-G1600^2/k_n</f>
        <v/>
      </c>
      <c r="Q1600">
        <f>J1600-H1600^2/k_n</f>
        <v/>
      </c>
      <c r="R1600">
        <f>K1600-G1600*H1600/k_n</f>
        <v/>
      </c>
      <c r="S1600">
        <f>L1600-LTP3!$D$3*G1600/k_n</f>
        <v/>
      </c>
      <c r="T1600">
        <f>M1600-LTP3!$D$3*H1600/k_n</f>
        <v/>
      </c>
      <c r="U1600">
        <f>N1600-G1600*LTP3!$D$4/k_n</f>
        <v/>
      </c>
      <c r="V1600">
        <f>O1600-H1600*LTP3!$D$4/k_n</f>
        <v/>
      </c>
      <c r="W1600">
        <f>((LTP3!$D$5)*((P1600)*(Q1600)-(R1600)*(R1600))-(S1600)*((S1600)*(Q1600)-(R1600)*(T1600))+(T1600)*((S1600)*(R1600)-(P1600)*(T1600)))</f>
        <v/>
      </c>
      <c r="X1600">
        <f>IF(ABS(W1600)&gt;1E-12,((LTP3!$D$6)*((P1600)*(Q1600)-(R1600)*(R1600))-(S1600)*((U1600)*(Q1600)-(R1600)*(V1600))+(T1600)*((U1600)*(R1600)-(P1600)*(V1600)))/W1600,0)</f>
        <v/>
      </c>
      <c r="Y1600">
        <f>IF(ABS(W1600)&gt;1E-12,((LTP3!$D$5)*((U1600)*(Q1600)-(R1600)*(V1600))-(LTP3!$D$6)*((S1600)*(Q1600)-(R1600)*(T1600))+(T1600)*((S1600)*(V1600)-(U1600)*(T1600)))/W1600,0)</f>
        <v/>
      </c>
      <c r="Z1600">
        <f>IF(ABS(W1600)&gt;1E-12,((LTP3!$D$5)*((P1600)*(V1600)-(U1600)*(R1600))-(S1600)*((S1600)*(V1600)-(U1600)*(T1600))+(LTP3!$D$6)*((S1600)*(R1600)-(P1600)*(T1600)))/W1600,0)</f>
        <v/>
      </c>
      <c r="AA1600">
        <f>LTP3!$D$7-X1600*LTP3!$D$6-Y1600*U1600-Z1600*V1600</f>
        <v/>
      </c>
      <c r="AB1600">
        <f>IF(AND(F1600,ABS(W1600)&gt;1E-12,Y1600&gt;0,Z1600&gt;0),AA1600,1E+300)</f>
        <v/>
      </c>
    </row>
    <row r="1601">
      <c r="A1601">
        <f>$B$3+$B$5*26</f>
        <v/>
      </c>
      <c r="B1601">
        <f>$B$3+$B$5*3</f>
        <v/>
      </c>
      <c r="C1601">
        <f>SUMPRODUCT(Calc!$K$3:$K$22*(Calc!$G$3:$G$22&lt;=A1601))</f>
        <v/>
      </c>
      <c r="D1601">
        <f>SUMPRODUCT(Calc!$K$3:$K$22*(Calc!$G$3:$G$22&gt;A1601)*(Calc!$G$3:$G$22&lt;B1601))</f>
        <v/>
      </c>
      <c r="E1601">
        <f>SUMPRODUCT(Calc!$K$3:$K$22*(Calc!$G$3:$G$22&gt;=B1601))</f>
        <v/>
      </c>
      <c r="F1601">
        <f>AND(k_n&gt;=5,B1601&gt;A1601+1E-9,C1601&gt;=2,D1601&gt;=1,E1601&gt;=2)</f>
        <v/>
      </c>
      <c r="G1601">
        <f>SUMPRODUCT(Calc!$K$3:$K$22*(Calc!$G$3:$G$22&gt;A1601)*(Calc!$G$3:$G$22-A1601))</f>
        <v/>
      </c>
      <c r="H1601">
        <f>SUMPRODUCT(Calc!$K$3:$K$22*(Calc!$G$3:$G$22&gt;B1601)*(Calc!$G$3:$G$22-B1601))</f>
        <v/>
      </c>
      <c r="I1601">
        <f>SUMPRODUCT(Calc!$K$3:$K$22*(Calc!$G$3:$G$22&gt;A1601)*(Calc!$G$3:$G$22-A1601)^2)</f>
        <v/>
      </c>
      <c r="J1601">
        <f>SUMPRODUCT(Calc!$K$3:$K$22*(Calc!$G$3:$G$22&gt;B1601)*(Calc!$G$3:$G$22-B1601)^2)</f>
        <v/>
      </c>
      <c r="K1601">
        <f>SUMPRODUCT(Calc!$K$3:$K$22*(Calc!$G$3:$G$22&gt;A1601)*(Calc!$G$3:$G$22-A1601)*(Calc!$G$3:$G$22&gt;B1601)*(Calc!$G$3:$G$22-B1601))</f>
        <v/>
      </c>
      <c r="L1601">
        <f>SUMPRODUCT(Calc!$K$3:$K$22*(Calc!$G$3:$G$22&gt;A1601)*(Calc!$G$3:$G$22-A1601)*Calc!$G$3:$G$22)</f>
        <v/>
      </c>
      <c r="M1601">
        <f>SUMPRODUCT(Calc!$K$3:$K$22*(Calc!$G$3:$G$22&gt;B1601)*(Calc!$G$3:$G$22-B1601)*Calc!$G$3:$G$22)</f>
        <v/>
      </c>
      <c r="N1601">
        <f>SUMPRODUCT(Calc!$K$3:$K$22*(Calc!$G$3:$G$22&gt;A1601)*(Calc!$G$3:$G$22-A1601)*Calc!$I$3:$I$22)</f>
        <v/>
      </c>
      <c r="O1601">
        <f>SUMPRODUCT(Calc!$K$3:$K$22*(Calc!$G$3:$G$22&gt;B1601)*(Calc!$G$3:$G$22-B1601)*Calc!$I$3:$I$22)</f>
        <v/>
      </c>
      <c r="P1601">
        <f>I1601-G1601^2/k_n</f>
        <v/>
      </c>
      <c r="Q1601">
        <f>J1601-H1601^2/k_n</f>
        <v/>
      </c>
      <c r="R1601">
        <f>K1601-G1601*H1601/k_n</f>
        <v/>
      </c>
      <c r="S1601">
        <f>L1601-LTP3!$D$3*G1601/k_n</f>
        <v/>
      </c>
      <c r="T1601">
        <f>M1601-LTP3!$D$3*H1601/k_n</f>
        <v/>
      </c>
      <c r="U1601">
        <f>N1601-G1601*LTP3!$D$4/k_n</f>
        <v/>
      </c>
      <c r="V1601">
        <f>O1601-H1601*LTP3!$D$4/k_n</f>
        <v/>
      </c>
      <c r="W1601">
        <f>((LTP3!$D$5)*((P1601)*(Q1601)-(R1601)*(R1601))-(S1601)*((S1601)*(Q1601)-(R1601)*(T1601))+(T1601)*((S1601)*(R1601)-(P1601)*(T1601)))</f>
        <v/>
      </c>
      <c r="X1601">
        <f>IF(ABS(W1601)&gt;1E-12,((LTP3!$D$6)*((P1601)*(Q1601)-(R1601)*(R1601))-(S1601)*((U1601)*(Q1601)-(R1601)*(V1601))+(T1601)*((U1601)*(R1601)-(P1601)*(V1601)))/W1601,0)</f>
        <v/>
      </c>
      <c r="Y1601">
        <f>IF(ABS(W1601)&gt;1E-12,((LTP3!$D$5)*((U1601)*(Q1601)-(R1601)*(V1601))-(LTP3!$D$6)*((S1601)*(Q1601)-(R1601)*(T1601))+(T1601)*((S1601)*(V1601)-(U1601)*(T1601)))/W1601,0)</f>
        <v/>
      </c>
      <c r="Z1601">
        <f>IF(ABS(W1601)&gt;1E-12,((LTP3!$D$5)*((P1601)*(V1601)-(U1601)*(R1601))-(S1601)*((S1601)*(V1601)-(U1601)*(T1601))+(LTP3!$D$6)*((S1601)*(R1601)-(P1601)*(T1601)))/W1601,0)</f>
        <v/>
      </c>
      <c r="AA1601">
        <f>LTP3!$D$7-X1601*LTP3!$D$6-Y1601*U1601-Z1601*V1601</f>
        <v/>
      </c>
      <c r="AB1601">
        <f>IF(AND(F1601,ABS(W1601)&gt;1E-12,Y1601&gt;0,Z1601&gt;0),AA1601,1E+300)</f>
        <v/>
      </c>
    </row>
    <row r="1602">
      <c r="A1602">
        <f>$B$3+$B$5*26</f>
        <v/>
      </c>
      <c r="B1602">
        <f>$B$3+$B$5*4</f>
        <v/>
      </c>
      <c r="C1602">
        <f>SUMPRODUCT(Calc!$K$3:$K$22*(Calc!$G$3:$G$22&lt;=A1602))</f>
        <v/>
      </c>
      <c r="D1602">
        <f>SUMPRODUCT(Calc!$K$3:$K$22*(Calc!$G$3:$G$22&gt;A1602)*(Calc!$G$3:$G$22&lt;B1602))</f>
        <v/>
      </c>
      <c r="E1602">
        <f>SUMPRODUCT(Calc!$K$3:$K$22*(Calc!$G$3:$G$22&gt;=B1602))</f>
        <v/>
      </c>
      <c r="F1602">
        <f>AND(k_n&gt;=5,B1602&gt;A1602+1E-9,C1602&gt;=2,D1602&gt;=1,E1602&gt;=2)</f>
        <v/>
      </c>
      <c r="G1602">
        <f>SUMPRODUCT(Calc!$K$3:$K$22*(Calc!$G$3:$G$22&gt;A1602)*(Calc!$G$3:$G$22-A1602))</f>
        <v/>
      </c>
      <c r="H1602">
        <f>SUMPRODUCT(Calc!$K$3:$K$22*(Calc!$G$3:$G$22&gt;B1602)*(Calc!$G$3:$G$22-B1602))</f>
        <v/>
      </c>
      <c r="I1602">
        <f>SUMPRODUCT(Calc!$K$3:$K$22*(Calc!$G$3:$G$22&gt;A1602)*(Calc!$G$3:$G$22-A1602)^2)</f>
        <v/>
      </c>
      <c r="J1602">
        <f>SUMPRODUCT(Calc!$K$3:$K$22*(Calc!$G$3:$G$22&gt;B1602)*(Calc!$G$3:$G$22-B1602)^2)</f>
        <v/>
      </c>
      <c r="K1602">
        <f>SUMPRODUCT(Calc!$K$3:$K$22*(Calc!$G$3:$G$22&gt;A1602)*(Calc!$G$3:$G$22-A1602)*(Calc!$G$3:$G$22&gt;B1602)*(Calc!$G$3:$G$22-B1602))</f>
        <v/>
      </c>
      <c r="L1602">
        <f>SUMPRODUCT(Calc!$K$3:$K$22*(Calc!$G$3:$G$22&gt;A1602)*(Calc!$G$3:$G$22-A1602)*Calc!$G$3:$G$22)</f>
        <v/>
      </c>
      <c r="M1602">
        <f>SUMPRODUCT(Calc!$K$3:$K$22*(Calc!$G$3:$G$22&gt;B1602)*(Calc!$G$3:$G$22-B1602)*Calc!$G$3:$G$22)</f>
        <v/>
      </c>
      <c r="N1602">
        <f>SUMPRODUCT(Calc!$K$3:$K$22*(Calc!$G$3:$G$22&gt;A1602)*(Calc!$G$3:$G$22-A1602)*Calc!$I$3:$I$22)</f>
        <v/>
      </c>
      <c r="O1602">
        <f>SUMPRODUCT(Calc!$K$3:$K$22*(Calc!$G$3:$G$22&gt;B1602)*(Calc!$G$3:$G$22-B1602)*Calc!$I$3:$I$22)</f>
        <v/>
      </c>
      <c r="P1602">
        <f>I1602-G1602^2/k_n</f>
        <v/>
      </c>
      <c r="Q1602">
        <f>J1602-H1602^2/k_n</f>
        <v/>
      </c>
      <c r="R1602">
        <f>K1602-G1602*H1602/k_n</f>
        <v/>
      </c>
      <c r="S1602">
        <f>L1602-LTP3!$D$3*G1602/k_n</f>
        <v/>
      </c>
      <c r="T1602">
        <f>M1602-LTP3!$D$3*H1602/k_n</f>
        <v/>
      </c>
      <c r="U1602">
        <f>N1602-G1602*LTP3!$D$4/k_n</f>
        <v/>
      </c>
      <c r="V1602">
        <f>O1602-H1602*LTP3!$D$4/k_n</f>
        <v/>
      </c>
      <c r="W1602">
        <f>((LTP3!$D$5)*((P1602)*(Q1602)-(R1602)*(R1602))-(S1602)*((S1602)*(Q1602)-(R1602)*(T1602))+(T1602)*((S1602)*(R1602)-(P1602)*(T1602)))</f>
        <v/>
      </c>
      <c r="X1602">
        <f>IF(ABS(W1602)&gt;1E-12,((LTP3!$D$6)*((P1602)*(Q1602)-(R1602)*(R1602))-(S1602)*((U1602)*(Q1602)-(R1602)*(V1602))+(T1602)*((U1602)*(R1602)-(P1602)*(V1602)))/W1602,0)</f>
        <v/>
      </c>
      <c r="Y1602">
        <f>IF(ABS(W1602)&gt;1E-12,((LTP3!$D$5)*((U1602)*(Q1602)-(R1602)*(V1602))-(LTP3!$D$6)*((S1602)*(Q1602)-(R1602)*(T1602))+(T1602)*((S1602)*(V1602)-(U1602)*(T1602)))/W1602,0)</f>
        <v/>
      </c>
      <c r="Z1602">
        <f>IF(ABS(W1602)&gt;1E-12,((LTP3!$D$5)*((P1602)*(V1602)-(U1602)*(R1602))-(S1602)*((S1602)*(V1602)-(U1602)*(T1602))+(LTP3!$D$6)*((S1602)*(R1602)-(P1602)*(T1602)))/W1602,0)</f>
        <v/>
      </c>
      <c r="AA1602">
        <f>LTP3!$D$7-X1602*LTP3!$D$6-Y1602*U1602-Z1602*V1602</f>
        <v/>
      </c>
      <c r="AB1602">
        <f>IF(AND(F1602,ABS(W1602)&gt;1E-12,Y1602&gt;0,Z1602&gt;0),AA1602,1E+300)</f>
        <v/>
      </c>
    </row>
    <row r="1603">
      <c r="A1603">
        <f>$B$3+$B$5*26</f>
        <v/>
      </c>
      <c r="B1603">
        <f>$B$3+$B$5*5</f>
        <v/>
      </c>
      <c r="C1603">
        <f>SUMPRODUCT(Calc!$K$3:$K$22*(Calc!$G$3:$G$22&lt;=A1603))</f>
        <v/>
      </c>
      <c r="D1603">
        <f>SUMPRODUCT(Calc!$K$3:$K$22*(Calc!$G$3:$G$22&gt;A1603)*(Calc!$G$3:$G$22&lt;B1603))</f>
        <v/>
      </c>
      <c r="E1603">
        <f>SUMPRODUCT(Calc!$K$3:$K$22*(Calc!$G$3:$G$22&gt;=B1603))</f>
        <v/>
      </c>
      <c r="F1603">
        <f>AND(k_n&gt;=5,B1603&gt;A1603+1E-9,C1603&gt;=2,D1603&gt;=1,E1603&gt;=2)</f>
        <v/>
      </c>
      <c r="G1603">
        <f>SUMPRODUCT(Calc!$K$3:$K$22*(Calc!$G$3:$G$22&gt;A1603)*(Calc!$G$3:$G$22-A1603))</f>
        <v/>
      </c>
      <c r="H1603">
        <f>SUMPRODUCT(Calc!$K$3:$K$22*(Calc!$G$3:$G$22&gt;B1603)*(Calc!$G$3:$G$22-B1603))</f>
        <v/>
      </c>
      <c r="I1603">
        <f>SUMPRODUCT(Calc!$K$3:$K$22*(Calc!$G$3:$G$22&gt;A1603)*(Calc!$G$3:$G$22-A1603)^2)</f>
        <v/>
      </c>
      <c r="J1603">
        <f>SUMPRODUCT(Calc!$K$3:$K$22*(Calc!$G$3:$G$22&gt;B1603)*(Calc!$G$3:$G$22-B1603)^2)</f>
        <v/>
      </c>
      <c r="K1603">
        <f>SUMPRODUCT(Calc!$K$3:$K$22*(Calc!$G$3:$G$22&gt;A1603)*(Calc!$G$3:$G$22-A1603)*(Calc!$G$3:$G$22&gt;B1603)*(Calc!$G$3:$G$22-B1603))</f>
        <v/>
      </c>
      <c r="L1603">
        <f>SUMPRODUCT(Calc!$K$3:$K$22*(Calc!$G$3:$G$22&gt;A1603)*(Calc!$G$3:$G$22-A1603)*Calc!$G$3:$G$22)</f>
        <v/>
      </c>
      <c r="M1603">
        <f>SUMPRODUCT(Calc!$K$3:$K$22*(Calc!$G$3:$G$22&gt;B1603)*(Calc!$G$3:$G$22-B1603)*Calc!$G$3:$G$22)</f>
        <v/>
      </c>
      <c r="N1603">
        <f>SUMPRODUCT(Calc!$K$3:$K$22*(Calc!$G$3:$G$22&gt;A1603)*(Calc!$G$3:$G$22-A1603)*Calc!$I$3:$I$22)</f>
        <v/>
      </c>
      <c r="O1603">
        <f>SUMPRODUCT(Calc!$K$3:$K$22*(Calc!$G$3:$G$22&gt;B1603)*(Calc!$G$3:$G$22-B1603)*Calc!$I$3:$I$22)</f>
        <v/>
      </c>
      <c r="P1603">
        <f>I1603-G1603^2/k_n</f>
        <v/>
      </c>
      <c r="Q1603">
        <f>J1603-H1603^2/k_n</f>
        <v/>
      </c>
      <c r="R1603">
        <f>K1603-G1603*H1603/k_n</f>
        <v/>
      </c>
      <c r="S1603">
        <f>L1603-LTP3!$D$3*G1603/k_n</f>
        <v/>
      </c>
      <c r="T1603">
        <f>M1603-LTP3!$D$3*H1603/k_n</f>
        <v/>
      </c>
      <c r="U1603">
        <f>N1603-G1603*LTP3!$D$4/k_n</f>
        <v/>
      </c>
      <c r="V1603">
        <f>O1603-H1603*LTP3!$D$4/k_n</f>
        <v/>
      </c>
      <c r="W1603">
        <f>((LTP3!$D$5)*((P1603)*(Q1603)-(R1603)*(R1603))-(S1603)*((S1603)*(Q1603)-(R1603)*(T1603))+(T1603)*((S1603)*(R1603)-(P1603)*(T1603)))</f>
        <v/>
      </c>
      <c r="X1603">
        <f>IF(ABS(W1603)&gt;1E-12,((LTP3!$D$6)*((P1603)*(Q1603)-(R1603)*(R1603))-(S1603)*((U1603)*(Q1603)-(R1603)*(V1603))+(T1603)*((U1603)*(R1603)-(P1603)*(V1603)))/W1603,0)</f>
        <v/>
      </c>
      <c r="Y1603">
        <f>IF(ABS(W1603)&gt;1E-12,((LTP3!$D$5)*((U1603)*(Q1603)-(R1603)*(V1603))-(LTP3!$D$6)*((S1603)*(Q1603)-(R1603)*(T1603))+(T1603)*((S1603)*(V1603)-(U1603)*(T1603)))/W1603,0)</f>
        <v/>
      </c>
      <c r="Z1603">
        <f>IF(ABS(W1603)&gt;1E-12,((LTP3!$D$5)*((P1603)*(V1603)-(U1603)*(R1603))-(S1603)*((S1603)*(V1603)-(U1603)*(T1603))+(LTP3!$D$6)*((S1603)*(R1603)-(P1603)*(T1603)))/W1603,0)</f>
        <v/>
      </c>
      <c r="AA1603">
        <f>LTP3!$D$7-X1603*LTP3!$D$6-Y1603*U1603-Z1603*V1603</f>
        <v/>
      </c>
      <c r="AB1603">
        <f>IF(AND(F1603,ABS(W1603)&gt;1E-12,Y1603&gt;0,Z1603&gt;0),AA1603,1E+300)</f>
        <v/>
      </c>
    </row>
    <row r="1604">
      <c r="A1604">
        <f>$B$3+$B$5*26</f>
        <v/>
      </c>
      <c r="B1604">
        <f>$B$3+$B$5*6</f>
        <v/>
      </c>
      <c r="C1604">
        <f>SUMPRODUCT(Calc!$K$3:$K$22*(Calc!$G$3:$G$22&lt;=A1604))</f>
        <v/>
      </c>
      <c r="D1604">
        <f>SUMPRODUCT(Calc!$K$3:$K$22*(Calc!$G$3:$G$22&gt;A1604)*(Calc!$G$3:$G$22&lt;B1604))</f>
        <v/>
      </c>
      <c r="E1604">
        <f>SUMPRODUCT(Calc!$K$3:$K$22*(Calc!$G$3:$G$22&gt;=B1604))</f>
        <v/>
      </c>
      <c r="F1604">
        <f>AND(k_n&gt;=5,B1604&gt;A1604+1E-9,C1604&gt;=2,D1604&gt;=1,E1604&gt;=2)</f>
        <v/>
      </c>
      <c r="G1604">
        <f>SUMPRODUCT(Calc!$K$3:$K$22*(Calc!$G$3:$G$22&gt;A1604)*(Calc!$G$3:$G$22-A1604))</f>
        <v/>
      </c>
      <c r="H1604">
        <f>SUMPRODUCT(Calc!$K$3:$K$22*(Calc!$G$3:$G$22&gt;B1604)*(Calc!$G$3:$G$22-B1604))</f>
        <v/>
      </c>
      <c r="I1604">
        <f>SUMPRODUCT(Calc!$K$3:$K$22*(Calc!$G$3:$G$22&gt;A1604)*(Calc!$G$3:$G$22-A1604)^2)</f>
        <v/>
      </c>
      <c r="J1604">
        <f>SUMPRODUCT(Calc!$K$3:$K$22*(Calc!$G$3:$G$22&gt;B1604)*(Calc!$G$3:$G$22-B1604)^2)</f>
        <v/>
      </c>
      <c r="K1604">
        <f>SUMPRODUCT(Calc!$K$3:$K$22*(Calc!$G$3:$G$22&gt;A1604)*(Calc!$G$3:$G$22-A1604)*(Calc!$G$3:$G$22&gt;B1604)*(Calc!$G$3:$G$22-B1604))</f>
        <v/>
      </c>
      <c r="L1604">
        <f>SUMPRODUCT(Calc!$K$3:$K$22*(Calc!$G$3:$G$22&gt;A1604)*(Calc!$G$3:$G$22-A1604)*Calc!$G$3:$G$22)</f>
        <v/>
      </c>
      <c r="M1604">
        <f>SUMPRODUCT(Calc!$K$3:$K$22*(Calc!$G$3:$G$22&gt;B1604)*(Calc!$G$3:$G$22-B1604)*Calc!$G$3:$G$22)</f>
        <v/>
      </c>
      <c r="N1604">
        <f>SUMPRODUCT(Calc!$K$3:$K$22*(Calc!$G$3:$G$22&gt;A1604)*(Calc!$G$3:$G$22-A1604)*Calc!$I$3:$I$22)</f>
        <v/>
      </c>
      <c r="O1604">
        <f>SUMPRODUCT(Calc!$K$3:$K$22*(Calc!$G$3:$G$22&gt;B1604)*(Calc!$G$3:$G$22-B1604)*Calc!$I$3:$I$22)</f>
        <v/>
      </c>
      <c r="P1604">
        <f>I1604-G1604^2/k_n</f>
        <v/>
      </c>
      <c r="Q1604">
        <f>J1604-H1604^2/k_n</f>
        <v/>
      </c>
      <c r="R1604">
        <f>K1604-G1604*H1604/k_n</f>
        <v/>
      </c>
      <c r="S1604">
        <f>L1604-LTP3!$D$3*G1604/k_n</f>
        <v/>
      </c>
      <c r="T1604">
        <f>M1604-LTP3!$D$3*H1604/k_n</f>
        <v/>
      </c>
      <c r="U1604">
        <f>N1604-G1604*LTP3!$D$4/k_n</f>
        <v/>
      </c>
      <c r="V1604">
        <f>O1604-H1604*LTP3!$D$4/k_n</f>
        <v/>
      </c>
      <c r="W1604">
        <f>((LTP3!$D$5)*((P1604)*(Q1604)-(R1604)*(R1604))-(S1604)*((S1604)*(Q1604)-(R1604)*(T1604))+(T1604)*((S1604)*(R1604)-(P1604)*(T1604)))</f>
        <v/>
      </c>
      <c r="X1604">
        <f>IF(ABS(W1604)&gt;1E-12,((LTP3!$D$6)*((P1604)*(Q1604)-(R1604)*(R1604))-(S1604)*((U1604)*(Q1604)-(R1604)*(V1604))+(T1604)*((U1604)*(R1604)-(P1604)*(V1604)))/W1604,0)</f>
        <v/>
      </c>
      <c r="Y1604">
        <f>IF(ABS(W1604)&gt;1E-12,((LTP3!$D$5)*((U1604)*(Q1604)-(R1604)*(V1604))-(LTP3!$D$6)*((S1604)*(Q1604)-(R1604)*(T1604))+(T1604)*((S1604)*(V1604)-(U1604)*(T1604)))/W1604,0)</f>
        <v/>
      </c>
      <c r="Z1604">
        <f>IF(ABS(W1604)&gt;1E-12,((LTP3!$D$5)*((P1604)*(V1604)-(U1604)*(R1604))-(S1604)*((S1604)*(V1604)-(U1604)*(T1604))+(LTP3!$D$6)*((S1604)*(R1604)-(P1604)*(T1604)))/W1604,0)</f>
        <v/>
      </c>
      <c r="AA1604">
        <f>LTP3!$D$7-X1604*LTP3!$D$6-Y1604*U1604-Z1604*V1604</f>
        <v/>
      </c>
      <c r="AB1604">
        <f>IF(AND(F1604,ABS(W1604)&gt;1E-12,Y1604&gt;0,Z1604&gt;0),AA1604,1E+300)</f>
        <v/>
      </c>
    </row>
    <row r="1605">
      <c r="A1605">
        <f>$B$3+$B$5*26</f>
        <v/>
      </c>
      <c r="B1605">
        <f>$B$3+$B$5*7</f>
        <v/>
      </c>
      <c r="C1605">
        <f>SUMPRODUCT(Calc!$K$3:$K$22*(Calc!$G$3:$G$22&lt;=A1605))</f>
        <v/>
      </c>
      <c r="D1605">
        <f>SUMPRODUCT(Calc!$K$3:$K$22*(Calc!$G$3:$G$22&gt;A1605)*(Calc!$G$3:$G$22&lt;B1605))</f>
        <v/>
      </c>
      <c r="E1605">
        <f>SUMPRODUCT(Calc!$K$3:$K$22*(Calc!$G$3:$G$22&gt;=B1605))</f>
        <v/>
      </c>
      <c r="F1605">
        <f>AND(k_n&gt;=5,B1605&gt;A1605+1E-9,C1605&gt;=2,D1605&gt;=1,E1605&gt;=2)</f>
        <v/>
      </c>
      <c r="G1605">
        <f>SUMPRODUCT(Calc!$K$3:$K$22*(Calc!$G$3:$G$22&gt;A1605)*(Calc!$G$3:$G$22-A1605))</f>
        <v/>
      </c>
      <c r="H1605">
        <f>SUMPRODUCT(Calc!$K$3:$K$22*(Calc!$G$3:$G$22&gt;B1605)*(Calc!$G$3:$G$22-B1605))</f>
        <v/>
      </c>
      <c r="I1605">
        <f>SUMPRODUCT(Calc!$K$3:$K$22*(Calc!$G$3:$G$22&gt;A1605)*(Calc!$G$3:$G$22-A1605)^2)</f>
        <v/>
      </c>
      <c r="J1605">
        <f>SUMPRODUCT(Calc!$K$3:$K$22*(Calc!$G$3:$G$22&gt;B1605)*(Calc!$G$3:$G$22-B1605)^2)</f>
        <v/>
      </c>
      <c r="K1605">
        <f>SUMPRODUCT(Calc!$K$3:$K$22*(Calc!$G$3:$G$22&gt;A1605)*(Calc!$G$3:$G$22-A1605)*(Calc!$G$3:$G$22&gt;B1605)*(Calc!$G$3:$G$22-B1605))</f>
        <v/>
      </c>
      <c r="L1605">
        <f>SUMPRODUCT(Calc!$K$3:$K$22*(Calc!$G$3:$G$22&gt;A1605)*(Calc!$G$3:$G$22-A1605)*Calc!$G$3:$G$22)</f>
        <v/>
      </c>
      <c r="M1605">
        <f>SUMPRODUCT(Calc!$K$3:$K$22*(Calc!$G$3:$G$22&gt;B1605)*(Calc!$G$3:$G$22-B1605)*Calc!$G$3:$G$22)</f>
        <v/>
      </c>
      <c r="N1605">
        <f>SUMPRODUCT(Calc!$K$3:$K$22*(Calc!$G$3:$G$22&gt;A1605)*(Calc!$G$3:$G$22-A1605)*Calc!$I$3:$I$22)</f>
        <v/>
      </c>
      <c r="O1605">
        <f>SUMPRODUCT(Calc!$K$3:$K$22*(Calc!$G$3:$G$22&gt;B1605)*(Calc!$G$3:$G$22-B1605)*Calc!$I$3:$I$22)</f>
        <v/>
      </c>
      <c r="P1605">
        <f>I1605-G1605^2/k_n</f>
        <v/>
      </c>
      <c r="Q1605">
        <f>J1605-H1605^2/k_n</f>
        <v/>
      </c>
      <c r="R1605">
        <f>K1605-G1605*H1605/k_n</f>
        <v/>
      </c>
      <c r="S1605">
        <f>L1605-LTP3!$D$3*G1605/k_n</f>
        <v/>
      </c>
      <c r="T1605">
        <f>M1605-LTP3!$D$3*H1605/k_n</f>
        <v/>
      </c>
      <c r="U1605">
        <f>N1605-G1605*LTP3!$D$4/k_n</f>
        <v/>
      </c>
      <c r="V1605">
        <f>O1605-H1605*LTP3!$D$4/k_n</f>
        <v/>
      </c>
      <c r="W1605">
        <f>((LTP3!$D$5)*((P1605)*(Q1605)-(R1605)*(R1605))-(S1605)*((S1605)*(Q1605)-(R1605)*(T1605))+(T1605)*((S1605)*(R1605)-(P1605)*(T1605)))</f>
        <v/>
      </c>
      <c r="X1605">
        <f>IF(ABS(W1605)&gt;1E-12,((LTP3!$D$6)*((P1605)*(Q1605)-(R1605)*(R1605))-(S1605)*((U1605)*(Q1605)-(R1605)*(V1605))+(T1605)*((U1605)*(R1605)-(P1605)*(V1605)))/W1605,0)</f>
        <v/>
      </c>
      <c r="Y1605">
        <f>IF(ABS(W1605)&gt;1E-12,((LTP3!$D$5)*((U1605)*(Q1605)-(R1605)*(V1605))-(LTP3!$D$6)*((S1605)*(Q1605)-(R1605)*(T1605))+(T1605)*((S1605)*(V1605)-(U1605)*(T1605)))/W1605,0)</f>
        <v/>
      </c>
      <c r="Z1605">
        <f>IF(ABS(W1605)&gt;1E-12,((LTP3!$D$5)*((P1605)*(V1605)-(U1605)*(R1605))-(S1605)*((S1605)*(V1605)-(U1605)*(T1605))+(LTP3!$D$6)*((S1605)*(R1605)-(P1605)*(T1605)))/W1605,0)</f>
        <v/>
      </c>
      <c r="AA1605">
        <f>LTP3!$D$7-X1605*LTP3!$D$6-Y1605*U1605-Z1605*V1605</f>
        <v/>
      </c>
      <c r="AB1605">
        <f>IF(AND(F1605,ABS(W1605)&gt;1E-12,Y1605&gt;0,Z1605&gt;0),AA1605,1E+300)</f>
        <v/>
      </c>
    </row>
    <row r="1606">
      <c r="A1606">
        <f>$B$3+$B$5*26</f>
        <v/>
      </c>
      <c r="B1606">
        <f>$B$3+$B$5*8</f>
        <v/>
      </c>
      <c r="C1606">
        <f>SUMPRODUCT(Calc!$K$3:$K$22*(Calc!$G$3:$G$22&lt;=A1606))</f>
        <v/>
      </c>
      <c r="D1606">
        <f>SUMPRODUCT(Calc!$K$3:$K$22*(Calc!$G$3:$G$22&gt;A1606)*(Calc!$G$3:$G$22&lt;B1606))</f>
        <v/>
      </c>
      <c r="E1606">
        <f>SUMPRODUCT(Calc!$K$3:$K$22*(Calc!$G$3:$G$22&gt;=B1606))</f>
        <v/>
      </c>
      <c r="F1606">
        <f>AND(k_n&gt;=5,B1606&gt;A1606+1E-9,C1606&gt;=2,D1606&gt;=1,E1606&gt;=2)</f>
        <v/>
      </c>
      <c r="G1606">
        <f>SUMPRODUCT(Calc!$K$3:$K$22*(Calc!$G$3:$G$22&gt;A1606)*(Calc!$G$3:$G$22-A1606))</f>
        <v/>
      </c>
      <c r="H1606">
        <f>SUMPRODUCT(Calc!$K$3:$K$22*(Calc!$G$3:$G$22&gt;B1606)*(Calc!$G$3:$G$22-B1606))</f>
        <v/>
      </c>
      <c r="I1606">
        <f>SUMPRODUCT(Calc!$K$3:$K$22*(Calc!$G$3:$G$22&gt;A1606)*(Calc!$G$3:$G$22-A1606)^2)</f>
        <v/>
      </c>
      <c r="J1606">
        <f>SUMPRODUCT(Calc!$K$3:$K$22*(Calc!$G$3:$G$22&gt;B1606)*(Calc!$G$3:$G$22-B1606)^2)</f>
        <v/>
      </c>
      <c r="K1606">
        <f>SUMPRODUCT(Calc!$K$3:$K$22*(Calc!$G$3:$G$22&gt;A1606)*(Calc!$G$3:$G$22-A1606)*(Calc!$G$3:$G$22&gt;B1606)*(Calc!$G$3:$G$22-B1606))</f>
        <v/>
      </c>
      <c r="L1606">
        <f>SUMPRODUCT(Calc!$K$3:$K$22*(Calc!$G$3:$G$22&gt;A1606)*(Calc!$G$3:$G$22-A1606)*Calc!$G$3:$G$22)</f>
        <v/>
      </c>
      <c r="M1606">
        <f>SUMPRODUCT(Calc!$K$3:$K$22*(Calc!$G$3:$G$22&gt;B1606)*(Calc!$G$3:$G$22-B1606)*Calc!$G$3:$G$22)</f>
        <v/>
      </c>
      <c r="N1606">
        <f>SUMPRODUCT(Calc!$K$3:$K$22*(Calc!$G$3:$G$22&gt;A1606)*(Calc!$G$3:$G$22-A1606)*Calc!$I$3:$I$22)</f>
        <v/>
      </c>
      <c r="O1606">
        <f>SUMPRODUCT(Calc!$K$3:$K$22*(Calc!$G$3:$G$22&gt;B1606)*(Calc!$G$3:$G$22-B1606)*Calc!$I$3:$I$22)</f>
        <v/>
      </c>
      <c r="P1606">
        <f>I1606-G1606^2/k_n</f>
        <v/>
      </c>
      <c r="Q1606">
        <f>J1606-H1606^2/k_n</f>
        <v/>
      </c>
      <c r="R1606">
        <f>K1606-G1606*H1606/k_n</f>
        <v/>
      </c>
      <c r="S1606">
        <f>L1606-LTP3!$D$3*G1606/k_n</f>
        <v/>
      </c>
      <c r="T1606">
        <f>M1606-LTP3!$D$3*H1606/k_n</f>
        <v/>
      </c>
      <c r="U1606">
        <f>N1606-G1606*LTP3!$D$4/k_n</f>
        <v/>
      </c>
      <c r="V1606">
        <f>O1606-H1606*LTP3!$D$4/k_n</f>
        <v/>
      </c>
      <c r="W1606">
        <f>((LTP3!$D$5)*((P1606)*(Q1606)-(R1606)*(R1606))-(S1606)*((S1606)*(Q1606)-(R1606)*(T1606))+(T1606)*((S1606)*(R1606)-(P1606)*(T1606)))</f>
        <v/>
      </c>
      <c r="X1606">
        <f>IF(ABS(W1606)&gt;1E-12,((LTP3!$D$6)*((P1606)*(Q1606)-(R1606)*(R1606))-(S1606)*((U1606)*(Q1606)-(R1606)*(V1606))+(T1606)*((U1606)*(R1606)-(P1606)*(V1606)))/W1606,0)</f>
        <v/>
      </c>
      <c r="Y1606">
        <f>IF(ABS(W1606)&gt;1E-12,((LTP3!$D$5)*((U1606)*(Q1606)-(R1606)*(V1606))-(LTP3!$D$6)*((S1606)*(Q1606)-(R1606)*(T1606))+(T1606)*((S1606)*(V1606)-(U1606)*(T1606)))/W1606,0)</f>
        <v/>
      </c>
      <c r="Z1606">
        <f>IF(ABS(W1606)&gt;1E-12,((LTP3!$D$5)*((P1606)*(V1606)-(U1606)*(R1606))-(S1606)*((S1606)*(V1606)-(U1606)*(T1606))+(LTP3!$D$6)*((S1606)*(R1606)-(P1606)*(T1606)))/W1606,0)</f>
        <v/>
      </c>
      <c r="AA1606">
        <f>LTP3!$D$7-X1606*LTP3!$D$6-Y1606*U1606-Z1606*V1606</f>
        <v/>
      </c>
      <c r="AB1606">
        <f>IF(AND(F1606,ABS(W1606)&gt;1E-12,Y1606&gt;0,Z1606&gt;0),AA1606,1E+300)</f>
        <v/>
      </c>
    </row>
    <row r="1607">
      <c r="A1607">
        <f>$B$3+$B$5*26</f>
        <v/>
      </c>
      <c r="B1607">
        <f>$B$3+$B$5*9</f>
        <v/>
      </c>
      <c r="C1607">
        <f>SUMPRODUCT(Calc!$K$3:$K$22*(Calc!$G$3:$G$22&lt;=A1607))</f>
        <v/>
      </c>
      <c r="D1607">
        <f>SUMPRODUCT(Calc!$K$3:$K$22*(Calc!$G$3:$G$22&gt;A1607)*(Calc!$G$3:$G$22&lt;B1607))</f>
        <v/>
      </c>
      <c r="E1607">
        <f>SUMPRODUCT(Calc!$K$3:$K$22*(Calc!$G$3:$G$22&gt;=B1607))</f>
        <v/>
      </c>
      <c r="F1607">
        <f>AND(k_n&gt;=5,B1607&gt;A1607+1E-9,C1607&gt;=2,D1607&gt;=1,E1607&gt;=2)</f>
        <v/>
      </c>
      <c r="G1607">
        <f>SUMPRODUCT(Calc!$K$3:$K$22*(Calc!$G$3:$G$22&gt;A1607)*(Calc!$G$3:$G$22-A1607))</f>
        <v/>
      </c>
      <c r="H1607">
        <f>SUMPRODUCT(Calc!$K$3:$K$22*(Calc!$G$3:$G$22&gt;B1607)*(Calc!$G$3:$G$22-B1607))</f>
        <v/>
      </c>
      <c r="I1607">
        <f>SUMPRODUCT(Calc!$K$3:$K$22*(Calc!$G$3:$G$22&gt;A1607)*(Calc!$G$3:$G$22-A1607)^2)</f>
        <v/>
      </c>
      <c r="J1607">
        <f>SUMPRODUCT(Calc!$K$3:$K$22*(Calc!$G$3:$G$22&gt;B1607)*(Calc!$G$3:$G$22-B1607)^2)</f>
        <v/>
      </c>
      <c r="K1607">
        <f>SUMPRODUCT(Calc!$K$3:$K$22*(Calc!$G$3:$G$22&gt;A1607)*(Calc!$G$3:$G$22-A1607)*(Calc!$G$3:$G$22&gt;B1607)*(Calc!$G$3:$G$22-B1607))</f>
        <v/>
      </c>
      <c r="L1607">
        <f>SUMPRODUCT(Calc!$K$3:$K$22*(Calc!$G$3:$G$22&gt;A1607)*(Calc!$G$3:$G$22-A1607)*Calc!$G$3:$G$22)</f>
        <v/>
      </c>
      <c r="M1607">
        <f>SUMPRODUCT(Calc!$K$3:$K$22*(Calc!$G$3:$G$22&gt;B1607)*(Calc!$G$3:$G$22-B1607)*Calc!$G$3:$G$22)</f>
        <v/>
      </c>
      <c r="N1607">
        <f>SUMPRODUCT(Calc!$K$3:$K$22*(Calc!$G$3:$G$22&gt;A1607)*(Calc!$G$3:$G$22-A1607)*Calc!$I$3:$I$22)</f>
        <v/>
      </c>
      <c r="O1607">
        <f>SUMPRODUCT(Calc!$K$3:$K$22*(Calc!$G$3:$G$22&gt;B1607)*(Calc!$G$3:$G$22-B1607)*Calc!$I$3:$I$22)</f>
        <v/>
      </c>
      <c r="P1607">
        <f>I1607-G1607^2/k_n</f>
        <v/>
      </c>
      <c r="Q1607">
        <f>J1607-H1607^2/k_n</f>
        <v/>
      </c>
      <c r="R1607">
        <f>K1607-G1607*H1607/k_n</f>
        <v/>
      </c>
      <c r="S1607">
        <f>L1607-LTP3!$D$3*G1607/k_n</f>
        <v/>
      </c>
      <c r="T1607">
        <f>M1607-LTP3!$D$3*H1607/k_n</f>
        <v/>
      </c>
      <c r="U1607">
        <f>N1607-G1607*LTP3!$D$4/k_n</f>
        <v/>
      </c>
      <c r="V1607">
        <f>O1607-H1607*LTP3!$D$4/k_n</f>
        <v/>
      </c>
      <c r="W1607">
        <f>((LTP3!$D$5)*((P1607)*(Q1607)-(R1607)*(R1607))-(S1607)*((S1607)*(Q1607)-(R1607)*(T1607))+(T1607)*((S1607)*(R1607)-(P1607)*(T1607)))</f>
        <v/>
      </c>
      <c r="X1607">
        <f>IF(ABS(W1607)&gt;1E-12,((LTP3!$D$6)*((P1607)*(Q1607)-(R1607)*(R1607))-(S1607)*((U1607)*(Q1607)-(R1607)*(V1607))+(T1607)*((U1607)*(R1607)-(P1607)*(V1607)))/W1607,0)</f>
        <v/>
      </c>
      <c r="Y1607">
        <f>IF(ABS(W1607)&gt;1E-12,((LTP3!$D$5)*((U1607)*(Q1607)-(R1607)*(V1607))-(LTP3!$D$6)*((S1607)*(Q1607)-(R1607)*(T1607))+(T1607)*((S1607)*(V1607)-(U1607)*(T1607)))/W1607,0)</f>
        <v/>
      </c>
      <c r="Z1607">
        <f>IF(ABS(W1607)&gt;1E-12,((LTP3!$D$5)*((P1607)*(V1607)-(U1607)*(R1607))-(S1607)*((S1607)*(V1607)-(U1607)*(T1607))+(LTP3!$D$6)*((S1607)*(R1607)-(P1607)*(T1607)))/W1607,0)</f>
        <v/>
      </c>
      <c r="AA1607">
        <f>LTP3!$D$7-X1607*LTP3!$D$6-Y1607*U1607-Z1607*V1607</f>
        <v/>
      </c>
      <c r="AB1607">
        <f>IF(AND(F1607,ABS(W1607)&gt;1E-12,Y1607&gt;0,Z1607&gt;0),AA1607,1E+300)</f>
        <v/>
      </c>
    </row>
    <row r="1608">
      <c r="A1608">
        <f>$B$3+$B$5*26</f>
        <v/>
      </c>
      <c r="B1608">
        <f>$B$3+$B$5*10</f>
        <v/>
      </c>
      <c r="C1608">
        <f>SUMPRODUCT(Calc!$K$3:$K$22*(Calc!$G$3:$G$22&lt;=A1608))</f>
        <v/>
      </c>
      <c r="D1608">
        <f>SUMPRODUCT(Calc!$K$3:$K$22*(Calc!$G$3:$G$22&gt;A1608)*(Calc!$G$3:$G$22&lt;B1608))</f>
        <v/>
      </c>
      <c r="E1608">
        <f>SUMPRODUCT(Calc!$K$3:$K$22*(Calc!$G$3:$G$22&gt;=B1608))</f>
        <v/>
      </c>
      <c r="F1608">
        <f>AND(k_n&gt;=5,B1608&gt;A1608+1E-9,C1608&gt;=2,D1608&gt;=1,E1608&gt;=2)</f>
        <v/>
      </c>
      <c r="G1608">
        <f>SUMPRODUCT(Calc!$K$3:$K$22*(Calc!$G$3:$G$22&gt;A1608)*(Calc!$G$3:$G$22-A1608))</f>
        <v/>
      </c>
      <c r="H1608">
        <f>SUMPRODUCT(Calc!$K$3:$K$22*(Calc!$G$3:$G$22&gt;B1608)*(Calc!$G$3:$G$22-B1608))</f>
        <v/>
      </c>
      <c r="I1608">
        <f>SUMPRODUCT(Calc!$K$3:$K$22*(Calc!$G$3:$G$22&gt;A1608)*(Calc!$G$3:$G$22-A1608)^2)</f>
        <v/>
      </c>
      <c r="J1608">
        <f>SUMPRODUCT(Calc!$K$3:$K$22*(Calc!$G$3:$G$22&gt;B1608)*(Calc!$G$3:$G$22-B1608)^2)</f>
        <v/>
      </c>
      <c r="K1608">
        <f>SUMPRODUCT(Calc!$K$3:$K$22*(Calc!$G$3:$G$22&gt;A1608)*(Calc!$G$3:$G$22-A1608)*(Calc!$G$3:$G$22&gt;B1608)*(Calc!$G$3:$G$22-B1608))</f>
        <v/>
      </c>
      <c r="L1608">
        <f>SUMPRODUCT(Calc!$K$3:$K$22*(Calc!$G$3:$G$22&gt;A1608)*(Calc!$G$3:$G$22-A1608)*Calc!$G$3:$G$22)</f>
        <v/>
      </c>
      <c r="M1608">
        <f>SUMPRODUCT(Calc!$K$3:$K$22*(Calc!$G$3:$G$22&gt;B1608)*(Calc!$G$3:$G$22-B1608)*Calc!$G$3:$G$22)</f>
        <v/>
      </c>
      <c r="N1608">
        <f>SUMPRODUCT(Calc!$K$3:$K$22*(Calc!$G$3:$G$22&gt;A1608)*(Calc!$G$3:$G$22-A1608)*Calc!$I$3:$I$22)</f>
        <v/>
      </c>
      <c r="O1608">
        <f>SUMPRODUCT(Calc!$K$3:$K$22*(Calc!$G$3:$G$22&gt;B1608)*(Calc!$G$3:$G$22-B1608)*Calc!$I$3:$I$22)</f>
        <v/>
      </c>
      <c r="P1608">
        <f>I1608-G1608^2/k_n</f>
        <v/>
      </c>
      <c r="Q1608">
        <f>J1608-H1608^2/k_n</f>
        <v/>
      </c>
      <c r="R1608">
        <f>K1608-G1608*H1608/k_n</f>
        <v/>
      </c>
      <c r="S1608">
        <f>L1608-LTP3!$D$3*G1608/k_n</f>
        <v/>
      </c>
      <c r="T1608">
        <f>M1608-LTP3!$D$3*H1608/k_n</f>
        <v/>
      </c>
      <c r="U1608">
        <f>N1608-G1608*LTP3!$D$4/k_n</f>
        <v/>
      </c>
      <c r="V1608">
        <f>O1608-H1608*LTP3!$D$4/k_n</f>
        <v/>
      </c>
      <c r="W1608">
        <f>((LTP3!$D$5)*((P1608)*(Q1608)-(R1608)*(R1608))-(S1608)*((S1608)*(Q1608)-(R1608)*(T1608))+(T1608)*((S1608)*(R1608)-(P1608)*(T1608)))</f>
        <v/>
      </c>
      <c r="X1608">
        <f>IF(ABS(W1608)&gt;1E-12,((LTP3!$D$6)*((P1608)*(Q1608)-(R1608)*(R1608))-(S1608)*((U1608)*(Q1608)-(R1608)*(V1608))+(T1608)*((U1608)*(R1608)-(P1608)*(V1608)))/W1608,0)</f>
        <v/>
      </c>
      <c r="Y1608">
        <f>IF(ABS(W1608)&gt;1E-12,((LTP3!$D$5)*((U1608)*(Q1608)-(R1608)*(V1608))-(LTP3!$D$6)*((S1608)*(Q1608)-(R1608)*(T1608))+(T1608)*((S1608)*(V1608)-(U1608)*(T1608)))/W1608,0)</f>
        <v/>
      </c>
      <c r="Z1608">
        <f>IF(ABS(W1608)&gt;1E-12,((LTP3!$D$5)*((P1608)*(V1608)-(U1608)*(R1608))-(S1608)*((S1608)*(V1608)-(U1608)*(T1608))+(LTP3!$D$6)*((S1608)*(R1608)-(P1608)*(T1608)))/W1608,0)</f>
        <v/>
      </c>
      <c r="AA1608">
        <f>LTP3!$D$7-X1608*LTP3!$D$6-Y1608*U1608-Z1608*V1608</f>
        <v/>
      </c>
      <c r="AB1608">
        <f>IF(AND(F1608,ABS(W1608)&gt;1E-12,Y1608&gt;0,Z1608&gt;0),AA1608,1E+300)</f>
        <v/>
      </c>
    </row>
    <row r="1609">
      <c r="A1609">
        <f>$B$3+$B$5*26</f>
        <v/>
      </c>
      <c r="B1609">
        <f>$B$3+$B$5*11</f>
        <v/>
      </c>
      <c r="C1609">
        <f>SUMPRODUCT(Calc!$K$3:$K$22*(Calc!$G$3:$G$22&lt;=A1609))</f>
        <v/>
      </c>
      <c r="D1609">
        <f>SUMPRODUCT(Calc!$K$3:$K$22*(Calc!$G$3:$G$22&gt;A1609)*(Calc!$G$3:$G$22&lt;B1609))</f>
        <v/>
      </c>
      <c r="E1609">
        <f>SUMPRODUCT(Calc!$K$3:$K$22*(Calc!$G$3:$G$22&gt;=B1609))</f>
        <v/>
      </c>
      <c r="F1609">
        <f>AND(k_n&gt;=5,B1609&gt;A1609+1E-9,C1609&gt;=2,D1609&gt;=1,E1609&gt;=2)</f>
        <v/>
      </c>
      <c r="G1609">
        <f>SUMPRODUCT(Calc!$K$3:$K$22*(Calc!$G$3:$G$22&gt;A1609)*(Calc!$G$3:$G$22-A1609))</f>
        <v/>
      </c>
      <c r="H1609">
        <f>SUMPRODUCT(Calc!$K$3:$K$22*(Calc!$G$3:$G$22&gt;B1609)*(Calc!$G$3:$G$22-B1609))</f>
        <v/>
      </c>
      <c r="I1609">
        <f>SUMPRODUCT(Calc!$K$3:$K$22*(Calc!$G$3:$G$22&gt;A1609)*(Calc!$G$3:$G$22-A1609)^2)</f>
        <v/>
      </c>
      <c r="J1609">
        <f>SUMPRODUCT(Calc!$K$3:$K$22*(Calc!$G$3:$G$22&gt;B1609)*(Calc!$G$3:$G$22-B1609)^2)</f>
        <v/>
      </c>
      <c r="K1609">
        <f>SUMPRODUCT(Calc!$K$3:$K$22*(Calc!$G$3:$G$22&gt;A1609)*(Calc!$G$3:$G$22-A1609)*(Calc!$G$3:$G$22&gt;B1609)*(Calc!$G$3:$G$22-B1609))</f>
        <v/>
      </c>
      <c r="L1609">
        <f>SUMPRODUCT(Calc!$K$3:$K$22*(Calc!$G$3:$G$22&gt;A1609)*(Calc!$G$3:$G$22-A1609)*Calc!$G$3:$G$22)</f>
        <v/>
      </c>
      <c r="M1609">
        <f>SUMPRODUCT(Calc!$K$3:$K$22*(Calc!$G$3:$G$22&gt;B1609)*(Calc!$G$3:$G$22-B1609)*Calc!$G$3:$G$22)</f>
        <v/>
      </c>
      <c r="N1609">
        <f>SUMPRODUCT(Calc!$K$3:$K$22*(Calc!$G$3:$G$22&gt;A1609)*(Calc!$G$3:$G$22-A1609)*Calc!$I$3:$I$22)</f>
        <v/>
      </c>
      <c r="O1609">
        <f>SUMPRODUCT(Calc!$K$3:$K$22*(Calc!$G$3:$G$22&gt;B1609)*(Calc!$G$3:$G$22-B1609)*Calc!$I$3:$I$22)</f>
        <v/>
      </c>
      <c r="P1609">
        <f>I1609-G1609^2/k_n</f>
        <v/>
      </c>
      <c r="Q1609">
        <f>J1609-H1609^2/k_n</f>
        <v/>
      </c>
      <c r="R1609">
        <f>K1609-G1609*H1609/k_n</f>
        <v/>
      </c>
      <c r="S1609">
        <f>L1609-LTP3!$D$3*G1609/k_n</f>
        <v/>
      </c>
      <c r="T1609">
        <f>M1609-LTP3!$D$3*H1609/k_n</f>
        <v/>
      </c>
      <c r="U1609">
        <f>N1609-G1609*LTP3!$D$4/k_n</f>
        <v/>
      </c>
      <c r="V1609">
        <f>O1609-H1609*LTP3!$D$4/k_n</f>
        <v/>
      </c>
      <c r="W1609">
        <f>((LTP3!$D$5)*((P1609)*(Q1609)-(R1609)*(R1609))-(S1609)*((S1609)*(Q1609)-(R1609)*(T1609))+(T1609)*((S1609)*(R1609)-(P1609)*(T1609)))</f>
        <v/>
      </c>
      <c r="X1609">
        <f>IF(ABS(W1609)&gt;1E-12,((LTP3!$D$6)*((P1609)*(Q1609)-(R1609)*(R1609))-(S1609)*((U1609)*(Q1609)-(R1609)*(V1609))+(T1609)*((U1609)*(R1609)-(P1609)*(V1609)))/W1609,0)</f>
        <v/>
      </c>
      <c r="Y1609">
        <f>IF(ABS(W1609)&gt;1E-12,((LTP3!$D$5)*((U1609)*(Q1609)-(R1609)*(V1609))-(LTP3!$D$6)*((S1609)*(Q1609)-(R1609)*(T1609))+(T1609)*((S1609)*(V1609)-(U1609)*(T1609)))/W1609,0)</f>
        <v/>
      </c>
      <c r="Z1609">
        <f>IF(ABS(W1609)&gt;1E-12,((LTP3!$D$5)*((P1609)*(V1609)-(U1609)*(R1609))-(S1609)*((S1609)*(V1609)-(U1609)*(T1609))+(LTP3!$D$6)*((S1609)*(R1609)-(P1609)*(T1609)))/W1609,0)</f>
        <v/>
      </c>
      <c r="AA1609">
        <f>LTP3!$D$7-X1609*LTP3!$D$6-Y1609*U1609-Z1609*V1609</f>
        <v/>
      </c>
      <c r="AB1609">
        <f>IF(AND(F1609,ABS(W1609)&gt;1E-12,Y1609&gt;0,Z1609&gt;0),AA1609,1E+300)</f>
        <v/>
      </c>
    </row>
    <row r="1610">
      <c r="A1610">
        <f>$B$3+$B$5*26</f>
        <v/>
      </c>
      <c r="B1610">
        <f>$B$3+$B$5*12</f>
        <v/>
      </c>
      <c r="C1610">
        <f>SUMPRODUCT(Calc!$K$3:$K$22*(Calc!$G$3:$G$22&lt;=A1610))</f>
        <v/>
      </c>
      <c r="D1610">
        <f>SUMPRODUCT(Calc!$K$3:$K$22*(Calc!$G$3:$G$22&gt;A1610)*(Calc!$G$3:$G$22&lt;B1610))</f>
        <v/>
      </c>
      <c r="E1610">
        <f>SUMPRODUCT(Calc!$K$3:$K$22*(Calc!$G$3:$G$22&gt;=B1610))</f>
        <v/>
      </c>
      <c r="F1610">
        <f>AND(k_n&gt;=5,B1610&gt;A1610+1E-9,C1610&gt;=2,D1610&gt;=1,E1610&gt;=2)</f>
        <v/>
      </c>
      <c r="G1610">
        <f>SUMPRODUCT(Calc!$K$3:$K$22*(Calc!$G$3:$G$22&gt;A1610)*(Calc!$G$3:$G$22-A1610))</f>
        <v/>
      </c>
      <c r="H1610">
        <f>SUMPRODUCT(Calc!$K$3:$K$22*(Calc!$G$3:$G$22&gt;B1610)*(Calc!$G$3:$G$22-B1610))</f>
        <v/>
      </c>
      <c r="I1610">
        <f>SUMPRODUCT(Calc!$K$3:$K$22*(Calc!$G$3:$G$22&gt;A1610)*(Calc!$G$3:$G$22-A1610)^2)</f>
        <v/>
      </c>
      <c r="J1610">
        <f>SUMPRODUCT(Calc!$K$3:$K$22*(Calc!$G$3:$G$22&gt;B1610)*(Calc!$G$3:$G$22-B1610)^2)</f>
        <v/>
      </c>
      <c r="K1610">
        <f>SUMPRODUCT(Calc!$K$3:$K$22*(Calc!$G$3:$G$22&gt;A1610)*(Calc!$G$3:$G$22-A1610)*(Calc!$G$3:$G$22&gt;B1610)*(Calc!$G$3:$G$22-B1610))</f>
        <v/>
      </c>
      <c r="L1610">
        <f>SUMPRODUCT(Calc!$K$3:$K$22*(Calc!$G$3:$G$22&gt;A1610)*(Calc!$G$3:$G$22-A1610)*Calc!$G$3:$G$22)</f>
        <v/>
      </c>
      <c r="M1610">
        <f>SUMPRODUCT(Calc!$K$3:$K$22*(Calc!$G$3:$G$22&gt;B1610)*(Calc!$G$3:$G$22-B1610)*Calc!$G$3:$G$22)</f>
        <v/>
      </c>
      <c r="N1610">
        <f>SUMPRODUCT(Calc!$K$3:$K$22*(Calc!$G$3:$G$22&gt;A1610)*(Calc!$G$3:$G$22-A1610)*Calc!$I$3:$I$22)</f>
        <v/>
      </c>
      <c r="O1610">
        <f>SUMPRODUCT(Calc!$K$3:$K$22*(Calc!$G$3:$G$22&gt;B1610)*(Calc!$G$3:$G$22-B1610)*Calc!$I$3:$I$22)</f>
        <v/>
      </c>
      <c r="P1610">
        <f>I1610-G1610^2/k_n</f>
        <v/>
      </c>
      <c r="Q1610">
        <f>J1610-H1610^2/k_n</f>
        <v/>
      </c>
      <c r="R1610">
        <f>K1610-G1610*H1610/k_n</f>
        <v/>
      </c>
      <c r="S1610">
        <f>L1610-LTP3!$D$3*G1610/k_n</f>
        <v/>
      </c>
      <c r="T1610">
        <f>M1610-LTP3!$D$3*H1610/k_n</f>
        <v/>
      </c>
      <c r="U1610">
        <f>N1610-G1610*LTP3!$D$4/k_n</f>
        <v/>
      </c>
      <c r="V1610">
        <f>O1610-H1610*LTP3!$D$4/k_n</f>
        <v/>
      </c>
      <c r="W1610">
        <f>((LTP3!$D$5)*((P1610)*(Q1610)-(R1610)*(R1610))-(S1610)*((S1610)*(Q1610)-(R1610)*(T1610))+(T1610)*((S1610)*(R1610)-(P1610)*(T1610)))</f>
        <v/>
      </c>
      <c r="X1610">
        <f>IF(ABS(W1610)&gt;1E-12,((LTP3!$D$6)*((P1610)*(Q1610)-(R1610)*(R1610))-(S1610)*((U1610)*(Q1610)-(R1610)*(V1610))+(T1610)*((U1610)*(R1610)-(P1610)*(V1610)))/W1610,0)</f>
        <v/>
      </c>
      <c r="Y1610">
        <f>IF(ABS(W1610)&gt;1E-12,((LTP3!$D$5)*((U1610)*(Q1610)-(R1610)*(V1610))-(LTP3!$D$6)*((S1610)*(Q1610)-(R1610)*(T1610))+(T1610)*((S1610)*(V1610)-(U1610)*(T1610)))/W1610,0)</f>
        <v/>
      </c>
      <c r="Z1610">
        <f>IF(ABS(W1610)&gt;1E-12,((LTP3!$D$5)*((P1610)*(V1610)-(U1610)*(R1610))-(S1610)*((S1610)*(V1610)-(U1610)*(T1610))+(LTP3!$D$6)*((S1610)*(R1610)-(P1610)*(T1610)))/W1610,0)</f>
        <v/>
      </c>
      <c r="AA1610">
        <f>LTP3!$D$7-X1610*LTP3!$D$6-Y1610*U1610-Z1610*V1610</f>
        <v/>
      </c>
      <c r="AB1610">
        <f>IF(AND(F1610,ABS(W1610)&gt;1E-12,Y1610&gt;0,Z1610&gt;0),AA1610,1E+300)</f>
        <v/>
      </c>
    </row>
    <row r="1611">
      <c r="A1611">
        <f>$B$3+$B$5*26</f>
        <v/>
      </c>
      <c r="B1611">
        <f>$B$3+$B$5*13</f>
        <v/>
      </c>
      <c r="C1611">
        <f>SUMPRODUCT(Calc!$K$3:$K$22*(Calc!$G$3:$G$22&lt;=A1611))</f>
        <v/>
      </c>
      <c r="D1611">
        <f>SUMPRODUCT(Calc!$K$3:$K$22*(Calc!$G$3:$G$22&gt;A1611)*(Calc!$G$3:$G$22&lt;B1611))</f>
        <v/>
      </c>
      <c r="E1611">
        <f>SUMPRODUCT(Calc!$K$3:$K$22*(Calc!$G$3:$G$22&gt;=B1611))</f>
        <v/>
      </c>
      <c r="F1611">
        <f>AND(k_n&gt;=5,B1611&gt;A1611+1E-9,C1611&gt;=2,D1611&gt;=1,E1611&gt;=2)</f>
        <v/>
      </c>
      <c r="G1611">
        <f>SUMPRODUCT(Calc!$K$3:$K$22*(Calc!$G$3:$G$22&gt;A1611)*(Calc!$G$3:$G$22-A1611))</f>
        <v/>
      </c>
      <c r="H1611">
        <f>SUMPRODUCT(Calc!$K$3:$K$22*(Calc!$G$3:$G$22&gt;B1611)*(Calc!$G$3:$G$22-B1611))</f>
        <v/>
      </c>
      <c r="I1611">
        <f>SUMPRODUCT(Calc!$K$3:$K$22*(Calc!$G$3:$G$22&gt;A1611)*(Calc!$G$3:$G$22-A1611)^2)</f>
        <v/>
      </c>
      <c r="J1611">
        <f>SUMPRODUCT(Calc!$K$3:$K$22*(Calc!$G$3:$G$22&gt;B1611)*(Calc!$G$3:$G$22-B1611)^2)</f>
        <v/>
      </c>
      <c r="K1611">
        <f>SUMPRODUCT(Calc!$K$3:$K$22*(Calc!$G$3:$G$22&gt;A1611)*(Calc!$G$3:$G$22-A1611)*(Calc!$G$3:$G$22&gt;B1611)*(Calc!$G$3:$G$22-B1611))</f>
        <v/>
      </c>
      <c r="L1611">
        <f>SUMPRODUCT(Calc!$K$3:$K$22*(Calc!$G$3:$G$22&gt;A1611)*(Calc!$G$3:$G$22-A1611)*Calc!$G$3:$G$22)</f>
        <v/>
      </c>
      <c r="M1611">
        <f>SUMPRODUCT(Calc!$K$3:$K$22*(Calc!$G$3:$G$22&gt;B1611)*(Calc!$G$3:$G$22-B1611)*Calc!$G$3:$G$22)</f>
        <v/>
      </c>
      <c r="N1611">
        <f>SUMPRODUCT(Calc!$K$3:$K$22*(Calc!$G$3:$G$22&gt;A1611)*(Calc!$G$3:$G$22-A1611)*Calc!$I$3:$I$22)</f>
        <v/>
      </c>
      <c r="O1611">
        <f>SUMPRODUCT(Calc!$K$3:$K$22*(Calc!$G$3:$G$22&gt;B1611)*(Calc!$G$3:$G$22-B1611)*Calc!$I$3:$I$22)</f>
        <v/>
      </c>
      <c r="P1611">
        <f>I1611-G1611^2/k_n</f>
        <v/>
      </c>
      <c r="Q1611">
        <f>J1611-H1611^2/k_n</f>
        <v/>
      </c>
      <c r="R1611">
        <f>K1611-G1611*H1611/k_n</f>
        <v/>
      </c>
      <c r="S1611">
        <f>L1611-LTP3!$D$3*G1611/k_n</f>
        <v/>
      </c>
      <c r="T1611">
        <f>M1611-LTP3!$D$3*H1611/k_n</f>
        <v/>
      </c>
      <c r="U1611">
        <f>N1611-G1611*LTP3!$D$4/k_n</f>
        <v/>
      </c>
      <c r="V1611">
        <f>O1611-H1611*LTP3!$D$4/k_n</f>
        <v/>
      </c>
      <c r="W1611">
        <f>((LTP3!$D$5)*((P1611)*(Q1611)-(R1611)*(R1611))-(S1611)*((S1611)*(Q1611)-(R1611)*(T1611))+(T1611)*((S1611)*(R1611)-(P1611)*(T1611)))</f>
        <v/>
      </c>
      <c r="X1611">
        <f>IF(ABS(W1611)&gt;1E-12,((LTP3!$D$6)*((P1611)*(Q1611)-(R1611)*(R1611))-(S1611)*((U1611)*(Q1611)-(R1611)*(V1611))+(T1611)*((U1611)*(R1611)-(P1611)*(V1611)))/W1611,0)</f>
        <v/>
      </c>
      <c r="Y1611">
        <f>IF(ABS(W1611)&gt;1E-12,((LTP3!$D$5)*((U1611)*(Q1611)-(R1611)*(V1611))-(LTP3!$D$6)*((S1611)*(Q1611)-(R1611)*(T1611))+(T1611)*((S1611)*(V1611)-(U1611)*(T1611)))/W1611,0)</f>
        <v/>
      </c>
      <c r="Z1611">
        <f>IF(ABS(W1611)&gt;1E-12,((LTP3!$D$5)*((P1611)*(V1611)-(U1611)*(R1611))-(S1611)*((S1611)*(V1611)-(U1611)*(T1611))+(LTP3!$D$6)*((S1611)*(R1611)-(P1611)*(T1611)))/W1611,0)</f>
        <v/>
      </c>
      <c r="AA1611">
        <f>LTP3!$D$7-X1611*LTP3!$D$6-Y1611*U1611-Z1611*V1611</f>
        <v/>
      </c>
      <c r="AB1611">
        <f>IF(AND(F1611,ABS(W1611)&gt;1E-12,Y1611&gt;0,Z1611&gt;0),AA1611,1E+300)</f>
        <v/>
      </c>
    </row>
    <row r="1612">
      <c r="A1612">
        <f>$B$3+$B$5*26</f>
        <v/>
      </c>
      <c r="B1612">
        <f>$B$3+$B$5*14</f>
        <v/>
      </c>
      <c r="C1612">
        <f>SUMPRODUCT(Calc!$K$3:$K$22*(Calc!$G$3:$G$22&lt;=A1612))</f>
        <v/>
      </c>
      <c r="D1612">
        <f>SUMPRODUCT(Calc!$K$3:$K$22*(Calc!$G$3:$G$22&gt;A1612)*(Calc!$G$3:$G$22&lt;B1612))</f>
        <v/>
      </c>
      <c r="E1612">
        <f>SUMPRODUCT(Calc!$K$3:$K$22*(Calc!$G$3:$G$22&gt;=B1612))</f>
        <v/>
      </c>
      <c r="F1612">
        <f>AND(k_n&gt;=5,B1612&gt;A1612+1E-9,C1612&gt;=2,D1612&gt;=1,E1612&gt;=2)</f>
        <v/>
      </c>
      <c r="G1612">
        <f>SUMPRODUCT(Calc!$K$3:$K$22*(Calc!$G$3:$G$22&gt;A1612)*(Calc!$G$3:$G$22-A1612))</f>
        <v/>
      </c>
      <c r="H1612">
        <f>SUMPRODUCT(Calc!$K$3:$K$22*(Calc!$G$3:$G$22&gt;B1612)*(Calc!$G$3:$G$22-B1612))</f>
        <v/>
      </c>
      <c r="I1612">
        <f>SUMPRODUCT(Calc!$K$3:$K$22*(Calc!$G$3:$G$22&gt;A1612)*(Calc!$G$3:$G$22-A1612)^2)</f>
        <v/>
      </c>
      <c r="J1612">
        <f>SUMPRODUCT(Calc!$K$3:$K$22*(Calc!$G$3:$G$22&gt;B1612)*(Calc!$G$3:$G$22-B1612)^2)</f>
        <v/>
      </c>
      <c r="K1612">
        <f>SUMPRODUCT(Calc!$K$3:$K$22*(Calc!$G$3:$G$22&gt;A1612)*(Calc!$G$3:$G$22-A1612)*(Calc!$G$3:$G$22&gt;B1612)*(Calc!$G$3:$G$22-B1612))</f>
        <v/>
      </c>
      <c r="L1612">
        <f>SUMPRODUCT(Calc!$K$3:$K$22*(Calc!$G$3:$G$22&gt;A1612)*(Calc!$G$3:$G$22-A1612)*Calc!$G$3:$G$22)</f>
        <v/>
      </c>
      <c r="M1612">
        <f>SUMPRODUCT(Calc!$K$3:$K$22*(Calc!$G$3:$G$22&gt;B1612)*(Calc!$G$3:$G$22-B1612)*Calc!$G$3:$G$22)</f>
        <v/>
      </c>
      <c r="N1612">
        <f>SUMPRODUCT(Calc!$K$3:$K$22*(Calc!$G$3:$G$22&gt;A1612)*(Calc!$G$3:$G$22-A1612)*Calc!$I$3:$I$22)</f>
        <v/>
      </c>
      <c r="O1612">
        <f>SUMPRODUCT(Calc!$K$3:$K$22*(Calc!$G$3:$G$22&gt;B1612)*(Calc!$G$3:$G$22-B1612)*Calc!$I$3:$I$22)</f>
        <v/>
      </c>
      <c r="P1612">
        <f>I1612-G1612^2/k_n</f>
        <v/>
      </c>
      <c r="Q1612">
        <f>J1612-H1612^2/k_n</f>
        <v/>
      </c>
      <c r="R1612">
        <f>K1612-G1612*H1612/k_n</f>
        <v/>
      </c>
      <c r="S1612">
        <f>L1612-LTP3!$D$3*G1612/k_n</f>
        <v/>
      </c>
      <c r="T1612">
        <f>M1612-LTP3!$D$3*H1612/k_n</f>
        <v/>
      </c>
      <c r="U1612">
        <f>N1612-G1612*LTP3!$D$4/k_n</f>
        <v/>
      </c>
      <c r="V1612">
        <f>O1612-H1612*LTP3!$D$4/k_n</f>
        <v/>
      </c>
      <c r="W1612">
        <f>((LTP3!$D$5)*((P1612)*(Q1612)-(R1612)*(R1612))-(S1612)*((S1612)*(Q1612)-(R1612)*(T1612))+(T1612)*((S1612)*(R1612)-(P1612)*(T1612)))</f>
        <v/>
      </c>
      <c r="X1612">
        <f>IF(ABS(W1612)&gt;1E-12,((LTP3!$D$6)*((P1612)*(Q1612)-(R1612)*(R1612))-(S1612)*((U1612)*(Q1612)-(R1612)*(V1612))+(T1612)*((U1612)*(R1612)-(P1612)*(V1612)))/W1612,0)</f>
        <v/>
      </c>
      <c r="Y1612">
        <f>IF(ABS(W1612)&gt;1E-12,((LTP3!$D$5)*((U1612)*(Q1612)-(R1612)*(V1612))-(LTP3!$D$6)*((S1612)*(Q1612)-(R1612)*(T1612))+(T1612)*((S1612)*(V1612)-(U1612)*(T1612)))/W1612,0)</f>
        <v/>
      </c>
      <c r="Z1612">
        <f>IF(ABS(W1612)&gt;1E-12,((LTP3!$D$5)*((P1612)*(V1612)-(U1612)*(R1612))-(S1612)*((S1612)*(V1612)-(U1612)*(T1612))+(LTP3!$D$6)*((S1612)*(R1612)-(P1612)*(T1612)))/W1612,0)</f>
        <v/>
      </c>
      <c r="AA1612">
        <f>LTP3!$D$7-X1612*LTP3!$D$6-Y1612*U1612-Z1612*V1612</f>
        <v/>
      </c>
      <c r="AB1612">
        <f>IF(AND(F1612,ABS(W1612)&gt;1E-12,Y1612&gt;0,Z1612&gt;0),AA1612,1E+300)</f>
        <v/>
      </c>
    </row>
    <row r="1613">
      <c r="A1613">
        <f>$B$3+$B$5*26</f>
        <v/>
      </c>
      <c r="B1613">
        <f>$B$3+$B$5*15</f>
        <v/>
      </c>
      <c r="C1613">
        <f>SUMPRODUCT(Calc!$K$3:$K$22*(Calc!$G$3:$G$22&lt;=A1613))</f>
        <v/>
      </c>
      <c r="D1613">
        <f>SUMPRODUCT(Calc!$K$3:$K$22*(Calc!$G$3:$G$22&gt;A1613)*(Calc!$G$3:$G$22&lt;B1613))</f>
        <v/>
      </c>
      <c r="E1613">
        <f>SUMPRODUCT(Calc!$K$3:$K$22*(Calc!$G$3:$G$22&gt;=B1613))</f>
        <v/>
      </c>
      <c r="F1613">
        <f>AND(k_n&gt;=5,B1613&gt;A1613+1E-9,C1613&gt;=2,D1613&gt;=1,E1613&gt;=2)</f>
        <v/>
      </c>
      <c r="G1613">
        <f>SUMPRODUCT(Calc!$K$3:$K$22*(Calc!$G$3:$G$22&gt;A1613)*(Calc!$G$3:$G$22-A1613))</f>
        <v/>
      </c>
      <c r="H1613">
        <f>SUMPRODUCT(Calc!$K$3:$K$22*(Calc!$G$3:$G$22&gt;B1613)*(Calc!$G$3:$G$22-B1613))</f>
        <v/>
      </c>
      <c r="I1613">
        <f>SUMPRODUCT(Calc!$K$3:$K$22*(Calc!$G$3:$G$22&gt;A1613)*(Calc!$G$3:$G$22-A1613)^2)</f>
        <v/>
      </c>
      <c r="J1613">
        <f>SUMPRODUCT(Calc!$K$3:$K$22*(Calc!$G$3:$G$22&gt;B1613)*(Calc!$G$3:$G$22-B1613)^2)</f>
        <v/>
      </c>
      <c r="K1613">
        <f>SUMPRODUCT(Calc!$K$3:$K$22*(Calc!$G$3:$G$22&gt;A1613)*(Calc!$G$3:$G$22-A1613)*(Calc!$G$3:$G$22&gt;B1613)*(Calc!$G$3:$G$22-B1613))</f>
        <v/>
      </c>
      <c r="L1613">
        <f>SUMPRODUCT(Calc!$K$3:$K$22*(Calc!$G$3:$G$22&gt;A1613)*(Calc!$G$3:$G$22-A1613)*Calc!$G$3:$G$22)</f>
        <v/>
      </c>
      <c r="M1613">
        <f>SUMPRODUCT(Calc!$K$3:$K$22*(Calc!$G$3:$G$22&gt;B1613)*(Calc!$G$3:$G$22-B1613)*Calc!$G$3:$G$22)</f>
        <v/>
      </c>
      <c r="N1613">
        <f>SUMPRODUCT(Calc!$K$3:$K$22*(Calc!$G$3:$G$22&gt;A1613)*(Calc!$G$3:$G$22-A1613)*Calc!$I$3:$I$22)</f>
        <v/>
      </c>
      <c r="O1613">
        <f>SUMPRODUCT(Calc!$K$3:$K$22*(Calc!$G$3:$G$22&gt;B1613)*(Calc!$G$3:$G$22-B1613)*Calc!$I$3:$I$22)</f>
        <v/>
      </c>
      <c r="P1613">
        <f>I1613-G1613^2/k_n</f>
        <v/>
      </c>
      <c r="Q1613">
        <f>J1613-H1613^2/k_n</f>
        <v/>
      </c>
      <c r="R1613">
        <f>K1613-G1613*H1613/k_n</f>
        <v/>
      </c>
      <c r="S1613">
        <f>L1613-LTP3!$D$3*G1613/k_n</f>
        <v/>
      </c>
      <c r="T1613">
        <f>M1613-LTP3!$D$3*H1613/k_n</f>
        <v/>
      </c>
      <c r="U1613">
        <f>N1613-G1613*LTP3!$D$4/k_n</f>
        <v/>
      </c>
      <c r="V1613">
        <f>O1613-H1613*LTP3!$D$4/k_n</f>
        <v/>
      </c>
      <c r="W1613">
        <f>((LTP3!$D$5)*((P1613)*(Q1613)-(R1613)*(R1613))-(S1613)*((S1613)*(Q1613)-(R1613)*(T1613))+(T1613)*((S1613)*(R1613)-(P1613)*(T1613)))</f>
        <v/>
      </c>
      <c r="X1613">
        <f>IF(ABS(W1613)&gt;1E-12,((LTP3!$D$6)*((P1613)*(Q1613)-(R1613)*(R1613))-(S1613)*((U1613)*(Q1613)-(R1613)*(V1613))+(T1613)*((U1613)*(R1613)-(P1613)*(V1613)))/W1613,0)</f>
        <v/>
      </c>
      <c r="Y1613">
        <f>IF(ABS(W1613)&gt;1E-12,((LTP3!$D$5)*((U1613)*(Q1613)-(R1613)*(V1613))-(LTP3!$D$6)*((S1613)*(Q1613)-(R1613)*(T1613))+(T1613)*((S1613)*(V1613)-(U1613)*(T1613)))/W1613,0)</f>
        <v/>
      </c>
      <c r="Z1613">
        <f>IF(ABS(W1613)&gt;1E-12,((LTP3!$D$5)*((P1613)*(V1613)-(U1613)*(R1613))-(S1613)*((S1613)*(V1613)-(U1613)*(T1613))+(LTP3!$D$6)*((S1613)*(R1613)-(P1613)*(T1613)))/W1613,0)</f>
        <v/>
      </c>
      <c r="AA1613">
        <f>LTP3!$D$7-X1613*LTP3!$D$6-Y1613*U1613-Z1613*V1613</f>
        <v/>
      </c>
      <c r="AB1613">
        <f>IF(AND(F1613,ABS(W1613)&gt;1E-12,Y1613&gt;0,Z1613&gt;0),AA1613,1E+300)</f>
        <v/>
      </c>
    </row>
    <row r="1614">
      <c r="A1614">
        <f>$B$3+$B$5*26</f>
        <v/>
      </c>
      <c r="B1614">
        <f>$B$3+$B$5*16</f>
        <v/>
      </c>
      <c r="C1614">
        <f>SUMPRODUCT(Calc!$K$3:$K$22*(Calc!$G$3:$G$22&lt;=A1614))</f>
        <v/>
      </c>
      <c r="D1614">
        <f>SUMPRODUCT(Calc!$K$3:$K$22*(Calc!$G$3:$G$22&gt;A1614)*(Calc!$G$3:$G$22&lt;B1614))</f>
        <v/>
      </c>
      <c r="E1614">
        <f>SUMPRODUCT(Calc!$K$3:$K$22*(Calc!$G$3:$G$22&gt;=B1614))</f>
        <v/>
      </c>
      <c r="F1614">
        <f>AND(k_n&gt;=5,B1614&gt;A1614+1E-9,C1614&gt;=2,D1614&gt;=1,E1614&gt;=2)</f>
        <v/>
      </c>
      <c r="G1614">
        <f>SUMPRODUCT(Calc!$K$3:$K$22*(Calc!$G$3:$G$22&gt;A1614)*(Calc!$G$3:$G$22-A1614))</f>
        <v/>
      </c>
      <c r="H1614">
        <f>SUMPRODUCT(Calc!$K$3:$K$22*(Calc!$G$3:$G$22&gt;B1614)*(Calc!$G$3:$G$22-B1614))</f>
        <v/>
      </c>
      <c r="I1614">
        <f>SUMPRODUCT(Calc!$K$3:$K$22*(Calc!$G$3:$G$22&gt;A1614)*(Calc!$G$3:$G$22-A1614)^2)</f>
        <v/>
      </c>
      <c r="J1614">
        <f>SUMPRODUCT(Calc!$K$3:$K$22*(Calc!$G$3:$G$22&gt;B1614)*(Calc!$G$3:$G$22-B1614)^2)</f>
        <v/>
      </c>
      <c r="K1614">
        <f>SUMPRODUCT(Calc!$K$3:$K$22*(Calc!$G$3:$G$22&gt;A1614)*(Calc!$G$3:$G$22-A1614)*(Calc!$G$3:$G$22&gt;B1614)*(Calc!$G$3:$G$22-B1614))</f>
        <v/>
      </c>
      <c r="L1614">
        <f>SUMPRODUCT(Calc!$K$3:$K$22*(Calc!$G$3:$G$22&gt;A1614)*(Calc!$G$3:$G$22-A1614)*Calc!$G$3:$G$22)</f>
        <v/>
      </c>
      <c r="M1614">
        <f>SUMPRODUCT(Calc!$K$3:$K$22*(Calc!$G$3:$G$22&gt;B1614)*(Calc!$G$3:$G$22-B1614)*Calc!$G$3:$G$22)</f>
        <v/>
      </c>
      <c r="N1614">
        <f>SUMPRODUCT(Calc!$K$3:$K$22*(Calc!$G$3:$G$22&gt;A1614)*(Calc!$G$3:$G$22-A1614)*Calc!$I$3:$I$22)</f>
        <v/>
      </c>
      <c r="O1614">
        <f>SUMPRODUCT(Calc!$K$3:$K$22*(Calc!$G$3:$G$22&gt;B1614)*(Calc!$G$3:$G$22-B1614)*Calc!$I$3:$I$22)</f>
        <v/>
      </c>
      <c r="P1614">
        <f>I1614-G1614^2/k_n</f>
        <v/>
      </c>
      <c r="Q1614">
        <f>J1614-H1614^2/k_n</f>
        <v/>
      </c>
      <c r="R1614">
        <f>K1614-G1614*H1614/k_n</f>
        <v/>
      </c>
      <c r="S1614">
        <f>L1614-LTP3!$D$3*G1614/k_n</f>
        <v/>
      </c>
      <c r="T1614">
        <f>M1614-LTP3!$D$3*H1614/k_n</f>
        <v/>
      </c>
      <c r="U1614">
        <f>N1614-G1614*LTP3!$D$4/k_n</f>
        <v/>
      </c>
      <c r="V1614">
        <f>O1614-H1614*LTP3!$D$4/k_n</f>
        <v/>
      </c>
      <c r="W1614">
        <f>((LTP3!$D$5)*((P1614)*(Q1614)-(R1614)*(R1614))-(S1614)*((S1614)*(Q1614)-(R1614)*(T1614))+(T1614)*((S1614)*(R1614)-(P1614)*(T1614)))</f>
        <v/>
      </c>
      <c r="X1614">
        <f>IF(ABS(W1614)&gt;1E-12,((LTP3!$D$6)*((P1614)*(Q1614)-(R1614)*(R1614))-(S1614)*((U1614)*(Q1614)-(R1614)*(V1614))+(T1614)*((U1614)*(R1614)-(P1614)*(V1614)))/W1614,0)</f>
        <v/>
      </c>
      <c r="Y1614">
        <f>IF(ABS(W1614)&gt;1E-12,((LTP3!$D$5)*((U1614)*(Q1614)-(R1614)*(V1614))-(LTP3!$D$6)*((S1614)*(Q1614)-(R1614)*(T1614))+(T1614)*((S1614)*(V1614)-(U1614)*(T1614)))/W1614,0)</f>
        <v/>
      </c>
      <c r="Z1614">
        <f>IF(ABS(W1614)&gt;1E-12,((LTP3!$D$5)*((P1614)*(V1614)-(U1614)*(R1614))-(S1614)*((S1614)*(V1614)-(U1614)*(T1614))+(LTP3!$D$6)*((S1614)*(R1614)-(P1614)*(T1614)))/W1614,0)</f>
        <v/>
      </c>
      <c r="AA1614">
        <f>LTP3!$D$7-X1614*LTP3!$D$6-Y1614*U1614-Z1614*V1614</f>
        <v/>
      </c>
      <c r="AB1614">
        <f>IF(AND(F1614,ABS(W1614)&gt;1E-12,Y1614&gt;0,Z1614&gt;0),AA1614,1E+300)</f>
        <v/>
      </c>
    </row>
    <row r="1615">
      <c r="A1615">
        <f>$B$3+$B$5*26</f>
        <v/>
      </c>
      <c r="B1615">
        <f>$B$3+$B$5*17</f>
        <v/>
      </c>
      <c r="C1615">
        <f>SUMPRODUCT(Calc!$K$3:$K$22*(Calc!$G$3:$G$22&lt;=A1615))</f>
        <v/>
      </c>
      <c r="D1615">
        <f>SUMPRODUCT(Calc!$K$3:$K$22*(Calc!$G$3:$G$22&gt;A1615)*(Calc!$G$3:$G$22&lt;B1615))</f>
        <v/>
      </c>
      <c r="E1615">
        <f>SUMPRODUCT(Calc!$K$3:$K$22*(Calc!$G$3:$G$22&gt;=B1615))</f>
        <v/>
      </c>
      <c r="F1615">
        <f>AND(k_n&gt;=5,B1615&gt;A1615+1E-9,C1615&gt;=2,D1615&gt;=1,E1615&gt;=2)</f>
        <v/>
      </c>
      <c r="G1615">
        <f>SUMPRODUCT(Calc!$K$3:$K$22*(Calc!$G$3:$G$22&gt;A1615)*(Calc!$G$3:$G$22-A1615))</f>
        <v/>
      </c>
      <c r="H1615">
        <f>SUMPRODUCT(Calc!$K$3:$K$22*(Calc!$G$3:$G$22&gt;B1615)*(Calc!$G$3:$G$22-B1615))</f>
        <v/>
      </c>
      <c r="I1615">
        <f>SUMPRODUCT(Calc!$K$3:$K$22*(Calc!$G$3:$G$22&gt;A1615)*(Calc!$G$3:$G$22-A1615)^2)</f>
        <v/>
      </c>
      <c r="J1615">
        <f>SUMPRODUCT(Calc!$K$3:$K$22*(Calc!$G$3:$G$22&gt;B1615)*(Calc!$G$3:$G$22-B1615)^2)</f>
        <v/>
      </c>
      <c r="K1615">
        <f>SUMPRODUCT(Calc!$K$3:$K$22*(Calc!$G$3:$G$22&gt;A1615)*(Calc!$G$3:$G$22-A1615)*(Calc!$G$3:$G$22&gt;B1615)*(Calc!$G$3:$G$22-B1615))</f>
        <v/>
      </c>
      <c r="L1615">
        <f>SUMPRODUCT(Calc!$K$3:$K$22*(Calc!$G$3:$G$22&gt;A1615)*(Calc!$G$3:$G$22-A1615)*Calc!$G$3:$G$22)</f>
        <v/>
      </c>
      <c r="M1615">
        <f>SUMPRODUCT(Calc!$K$3:$K$22*(Calc!$G$3:$G$22&gt;B1615)*(Calc!$G$3:$G$22-B1615)*Calc!$G$3:$G$22)</f>
        <v/>
      </c>
      <c r="N1615">
        <f>SUMPRODUCT(Calc!$K$3:$K$22*(Calc!$G$3:$G$22&gt;A1615)*(Calc!$G$3:$G$22-A1615)*Calc!$I$3:$I$22)</f>
        <v/>
      </c>
      <c r="O1615">
        <f>SUMPRODUCT(Calc!$K$3:$K$22*(Calc!$G$3:$G$22&gt;B1615)*(Calc!$G$3:$G$22-B1615)*Calc!$I$3:$I$22)</f>
        <v/>
      </c>
      <c r="P1615">
        <f>I1615-G1615^2/k_n</f>
        <v/>
      </c>
      <c r="Q1615">
        <f>J1615-H1615^2/k_n</f>
        <v/>
      </c>
      <c r="R1615">
        <f>K1615-G1615*H1615/k_n</f>
        <v/>
      </c>
      <c r="S1615">
        <f>L1615-LTP3!$D$3*G1615/k_n</f>
        <v/>
      </c>
      <c r="T1615">
        <f>M1615-LTP3!$D$3*H1615/k_n</f>
        <v/>
      </c>
      <c r="U1615">
        <f>N1615-G1615*LTP3!$D$4/k_n</f>
        <v/>
      </c>
      <c r="V1615">
        <f>O1615-H1615*LTP3!$D$4/k_n</f>
        <v/>
      </c>
      <c r="W1615">
        <f>((LTP3!$D$5)*((P1615)*(Q1615)-(R1615)*(R1615))-(S1615)*((S1615)*(Q1615)-(R1615)*(T1615))+(T1615)*((S1615)*(R1615)-(P1615)*(T1615)))</f>
        <v/>
      </c>
      <c r="X1615">
        <f>IF(ABS(W1615)&gt;1E-12,((LTP3!$D$6)*((P1615)*(Q1615)-(R1615)*(R1615))-(S1615)*((U1615)*(Q1615)-(R1615)*(V1615))+(T1615)*((U1615)*(R1615)-(P1615)*(V1615)))/W1615,0)</f>
        <v/>
      </c>
      <c r="Y1615">
        <f>IF(ABS(W1615)&gt;1E-12,((LTP3!$D$5)*((U1615)*(Q1615)-(R1615)*(V1615))-(LTP3!$D$6)*((S1615)*(Q1615)-(R1615)*(T1615))+(T1615)*((S1615)*(V1615)-(U1615)*(T1615)))/W1615,0)</f>
        <v/>
      </c>
      <c r="Z1615">
        <f>IF(ABS(W1615)&gt;1E-12,((LTP3!$D$5)*((P1615)*(V1615)-(U1615)*(R1615))-(S1615)*((S1615)*(V1615)-(U1615)*(T1615))+(LTP3!$D$6)*((S1615)*(R1615)-(P1615)*(T1615)))/W1615,0)</f>
        <v/>
      </c>
      <c r="AA1615">
        <f>LTP3!$D$7-X1615*LTP3!$D$6-Y1615*U1615-Z1615*V1615</f>
        <v/>
      </c>
      <c r="AB1615">
        <f>IF(AND(F1615,ABS(W1615)&gt;1E-12,Y1615&gt;0,Z1615&gt;0),AA1615,1E+300)</f>
        <v/>
      </c>
    </row>
    <row r="1616">
      <c r="A1616">
        <f>$B$3+$B$5*26</f>
        <v/>
      </c>
      <c r="B1616">
        <f>$B$3+$B$5*18</f>
        <v/>
      </c>
      <c r="C1616">
        <f>SUMPRODUCT(Calc!$K$3:$K$22*(Calc!$G$3:$G$22&lt;=A1616))</f>
        <v/>
      </c>
      <c r="D1616">
        <f>SUMPRODUCT(Calc!$K$3:$K$22*(Calc!$G$3:$G$22&gt;A1616)*(Calc!$G$3:$G$22&lt;B1616))</f>
        <v/>
      </c>
      <c r="E1616">
        <f>SUMPRODUCT(Calc!$K$3:$K$22*(Calc!$G$3:$G$22&gt;=B1616))</f>
        <v/>
      </c>
      <c r="F1616">
        <f>AND(k_n&gt;=5,B1616&gt;A1616+1E-9,C1616&gt;=2,D1616&gt;=1,E1616&gt;=2)</f>
        <v/>
      </c>
      <c r="G1616">
        <f>SUMPRODUCT(Calc!$K$3:$K$22*(Calc!$G$3:$G$22&gt;A1616)*(Calc!$G$3:$G$22-A1616))</f>
        <v/>
      </c>
      <c r="H1616">
        <f>SUMPRODUCT(Calc!$K$3:$K$22*(Calc!$G$3:$G$22&gt;B1616)*(Calc!$G$3:$G$22-B1616))</f>
        <v/>
      </c>
      <c r="I1616">
        <f>SUMPRODUCT(Calc!$K$3:$K$22*(Calc!$G$3:$G$22&gt;A1616)*(Calc!$G$3:$G$22-A1616)^2)</f>
        <v/>
      </c>
      <c r="J1616">
        <f>SUMPRODUCT(Calc!$K$3:$K$22*(Calc!$G$3:$G$22&gt;B1616)*(Calc!$G$3:$G$22-B1616)^2)</f>
        <v/>
      </c>
      <c r="K1616">
        <f>SUMPRODUCT(Calc!$K$3:$K$22*(Calc!$G$3:$G$22&gt;A1616)*(Calc!$G$3:$G$22-A1616)*(Calc!$G$3:$G$22&gt;B1616)*(Calc!$G$3:$G$22-B1616))</f>
        <v/>
      </c>
      <c r="L1616">
        <f>SUMPRODUCT(Calc!$K$3:$K$22*(Calc!$G$3:$G$22&gt;A1616)*(Calc!$G$3:$G$22-A1616)*Calc!$G$3:$G$22)</f>
        <v/>
      </c>
      <c r="M1616">
        <f>SUMPRODUCT(Calc!$K$3:$K$22*(Calc!$G$3:$G$22&gt;B1616)*(Calc!$G$3:$G$22-B1616)*Calc!$G$3:$G$22)</f>
        <v/>
      </c>
      <c r="N1616">
        <f>SUMPRODUCT(Calc!$K$3:$K$22*(Calc!$G$3:$G$22&gt;A1616)*(Calc!$G$3:$G$22-A1616)*Calc!$I$3:$I$22)</f>
        <v/>
      </c>
      <c r="O1616">
        <f>SUMPRODUCT(Calc!$K$3:$K$22*(Calc!$G$3:$G$22&gt;B1616)*(Calc!$G$3:$G$22-B1616)*Calc!$I$3:$I$22)</f>
        <v/>
      </c>
      <c r="P1616">
        <f>I1616-G1616^2/k_n</f>
        <v/>
      </c>
      <c r="Q1616">
        <f>J1616-H1616^2/k_n</f>
        <v/>
      </c>
      <c r="R1616">
        <f>K1616-G1616*H1616/k_n</f>
        <v/>
      </c>
      <c r="S1616">
        <f>L1616-LTP3!$D$3*G1616/k_n</f>
        <v/>
      </c>
      <c r="T1616">
        <f>M1616-LTP3!$D$3*H1616/k_n</f>
        <v/>
      </c>
      <c r="U1616">
        <f>N1616-G1616*LTP3!$D$4/k_n</f>
        <v/>
      </c>
      <c r="V1616">
        <f>O1616-H1616*LTP3!$D$4/k_n</f>
        <v/>
      </c>
      <c r="W1616">
        <f>((LTP3!$D$5)*((P1616)*(Q1616)-(R1616)*(R1616))-(S1616)*((S1616)*(Q1616)-(R1616)*(T1616))+(T1616)*((S1616)*(R1616)-(P1616)*(T1616)))</f>
        <v/>
      </c>
      <c r="X1616">
        <f>IF(ABS(W1616)&gt;1E-12,((LTP3!$D$6)*((P1616)*(Q1616)-(R1616)*(R1616))-(S1616)*((U1616)*(Q1616)-(R1616)*(V1616))+(T1616)*((U1616)*(R1616)-(P1616)*(V1616)))/W1616,0)</f>
        <v/>
      </c>
      <c r="Y1616">
        <f>IF(ABS(W1616)&gt;1E-12,((LTP3!$D$5)*((U1616)*(Q1616)-(R1616)*(V1616))-(LTP3!$D$6)*((S1616)*(Q1616)-(R1616)*(T1616))+(T1616)*((S1616)*(V1616)-(U1616)*(T1616)))/W1616,0)</f>
        <v/>
      </c>
      <c r="Z1616">
        <f>IF(ABS(W1616)&gt;1E-12,((LTP3!$D$5)*((P1616)*(V1616)-(U1616)*(R1616))-(S1616)*((S1616)*(V1616)-(U1616)*(T1616))+(LTP3!$D$6)*((S1616)*(R1616)-(P1616)*(T1616)))/W1616,0)</f>
        <v/>
      </c>
      <c r="AA1616">
        <f>LTP3!$D$7-X1616*LTP3!$D$6-Y1616*U1616-Z1616*V1616</f>
        <v/>
      </c>
      <c r="AB1616">
        <f>IF(AND(F1616,ABS(W1616)&gt;1E-12,Y1616&gt;0,Z1616&gt;0),AA1616,1E+300)</f>
        <v/>
      </c>
    </row>
    <row r="1617">
      <c r="A1617">
        <f>$B$3+$B$5*26</f>
        <v/>
      </c>
      <c r="B1617">
        <f>$B$3+$B$5*19</f>
        <v/>
      </c>
      <c r="C1617">
        <f>SUMPRODUCT(Calc!$K$3:$K$22*(Calc!$G$3:$G$22&lt;=A1617))</f>
        <v/>
      </c>
      <c r="D1617">
        <f>SUMPRODUCT(Calc!$K$3:$K$22*(Calc!$G$3:$G$22&gt;A1617)*(Calc!$G$3:$G$22&lt;B1617))</f>
        <v/>
      </c>
      <c r="E1617">
        <f>SUMPRODUCT(Calc!$K$3:$K$22*(Calc!$G$3:$G$22&gt;=B1617))</f>
        <v/>
      </c>
      <c r="F1617">
        <f>AND(k_n&gt;=5,B1617&gt;A1617+1E-9,C1617&gt;=2,D1617&gt;=1,E1617&gt;=2)</f>
        <v/>
      </c>
      <c r="G1617">
        <f>SUMPRODUCT(Calc!$K$3:$K$22*(Calc!$G$3:$G$22&gt;A1617)*(Calc!$G$3:$G$22-A1617))</f>
        <v/>
      </c>
      <c r="H1617">
        <f>SUMPRODUCT(Calc!$K$3:$K$22*(Calc!$G$3:$G$22&gt;B1617)*(Calc!$G$3:$G$22-B1617))</f>
        <v/>
      </c>
      <c r="I1617">
        <f>SUMPRODUCT(Calc!$K$3:$K$22*(Calc!$G$3:$G$22&gt;A1617)*(Calc!$G$3:$G$22-A1617)^2)</f>
        <v/>
      </c>
      <c r="J1617">
        <f>SUMPRODUCT(Calc!$K$3:$K$22*(Calc!$G$3:$G$22&gt;B1617)*(Calc!$G$3:$G$22-B1617)^2)</f>
        <v/>
      </c>
      <c r="K1617">
        <f>SUMPRODUCT(Calc!$K$3:$K$22*(Calc!$G$3:$G$22&gt;A1617)*(Calc!$G$3:$G$22-A1617)*(Calc!$G$3:$G$22&gt;B1617)*(Calc!$G$3:$G$22-B1617))</f>
        <v/>
      </c>
      <c r="L1617">
        <f>SUMPRODUCT(Calc!$K$3:$K$22*(Calc!$G$3:$G$22&gt;A1617)*(Calc!$G$3:$G$22-A1617)*Calc!$G$3:$G$22)</f>
        <v/>
      </c>
      <c r="M1617">
        <f>SUMPRODUCT(Calc!$K$3:$K$22*(Calc!$G$3:$G$22&gt;B1617)*(Calc!$G$3:$G$22-B1617)*Calc!$G$3:$G$22)</f>
        <v/>
      </c>
      <c r="N1617">
        <f>SUMPRODUCT(Calc!$K$3:$K$22*(Calc!$G$3:$G$22&gt;A1617)*(Calc!$G$3:$G$22-A1617)*Calc!$I$3:$I$22)</f>
        <v/>
      </c>
      <c r="O1617">
        <f>SUMPRODUCT(Calc!$K$3:$K$22*(Calc!$G$3:$G$22&gt;B1617)*(Calc!$G$3:$G$22-B1617)*Calc!$I$3:$I$22)</f>
        <v/>
      </c>
      <c r="P1617">
        <f>I1617-G1617^2/k_n</f>
        <v/>
      </c>
      <c r="Q1617">
        <f>J1617-H1617^2/k_n</f>
        <v/>
      </c>
      <c r="R1617">
        <f>K1617-G1617*H1617/k_n</f>
        <v/>
      </c>
      <c r="S1617">
        <f>L1617-LTP3!$D$3*G1617/k_n</f>
        <v/>
      </c>
      <c r="T1617">
        <f>M1617-LTP3!$D$3*H1617/k_n</f>
        <v/>
      </c>
      <c r="U1617">
        <f>N1617-G1617*LTP3!$D$4/k_n</f>
        <v/>
      </c>
      <c r="V1617">
        <f>O1617-H1617*LTP3!$D$4/k_n</f>
        <v/>
      </c>
      <c r="W1617">
        <f>((LTP3!$D$5)*((P1617)*(Q1617)-(R1617)*(R1617))-(S1617)*((S1617)*(Q1617)-(R1617)*(T1617))+(T1617)*((S1617)*(R1617)-(P1617)*(T1617)))</f>
        <v/>
      </c>
      <c r="X1617">
        <f>IF(ABS(W1617)&gt;1E-12,((LTP3!$D$6)*((P1617)*(Q1617)-(R1617)*(R1617))-(S1617)*((U1617)*(Q1617)-(R1617)*(V1617))+(T1617)*((U1617)*(R1617)-(P1617)*(V1617)))/W1617,0)</f>
        <v/>
      </c>
      <c r="Y1617">
        <f>IF(ABS(W1617)&gt;1E-12,((LTP3!$D$5)*((U1617)*(Q1617)-(R1617)*(V1617))-(LTP3!$D$6)*((S1617)*(Q1617)-(R1617)*(T1617))+(T1617)*((S1617)*(V1617)-(U1617)*(T1617)))/W1617,0)</f>
        <v/>
      </c>
      <c r="Z1617">
        <f>IF(ABS(W1617)&gt;1E-12,((LTP3!$D$5)*((P1617)*(V1617)-(U1617)*(R1617))-(S1617)*((S1617)*(V1617)-(U1617)*(T1617))+(LTP3!$D$6)*((S1617)*(R1617)-(P1617)*(T1617)))/W1617,0)</f>
        <v/>
      </c>
      <c r="AA1617">
        <f>LTP3!$D$7-X1617*LTP3!$D$6-Y1617*U1617-Z1617*V1617</f>
        <v/>
      </c>
      <c r="AB1617">
        <f>IF(AND(F1617,ABS(W1617)&gt;1E-12,Y1617&gt;0,Z1617&gt;0),AA1617,1E+300)</f>
        <v/>
      </c>
    </row>
    <row r="1618">
      <c r="A1618">
        <f>$B$3+$B$5*26</f>
        <v/>
      </c>
      <c r="B1618">
        <f>$B$3+$B$5*20</f>
        <v/>
      </c>
      <c r="C1618">
        <f>SUMPRODUCT(Calc!$K$3:$K$22*(Calc!$G$3:$G$22&lt;=A1618))</f>
        <v/>
      </c>
      <c r="D1618">
        <f>SUMPRODUCT(Calc!$K$3:$K$22*(Calc!$G$3:$G$22&gt;A1618)*(Calc!$G$3:$G$22&lt;B1618))</f>
        <v/>
      </c>
      <c r="E1618">
        <f>SUMPRODUCT(Calc!$K$3:$K$22*(Calc!$G$3:$G$22&gt;=B1618))</f>
        <v/>
      </c>
      <c r="F1618">
        <f>AND(k_n&gt;=5,B1618&gt;A1618+1E-9,C1618&gt;=2,D1618&gt;=1,E1618&gt;=2)</f>
        <v/>
      </c>
      <c r="G1618">
        <f>SUMPRODUCT(Calc!$K$3:$K$22*(Calc!$G$3:$G$22&gt;A1618)*(Calc!$G$3:$G$22-A1618))</f>
        <v/>
      </c>
      <c r="H1618">
        <f>SUMPRODUCT(Calc!$K$3:$K$22*(Calc!$G$3:$G$22&gt;B1618)*(Calc!$G$3:$G$22-B1618))</f>
        <v/>
      </c>
      <c r="I1618">
        <f>SUMPRODUCT(Calc!$K$3:$K$22*(Calc!$G$3:$G$22&gt;A1618)*(Calc!$G$3:$G$22-A1618)^2)</f>
        <v/>
      </c>
      <c r="J1618">
        <f>SUMPRODUCT(Calc!$K$3:$K$22*(Calc!$G$3:$G$22&gt;B1618)*(Calc!$G$3:$G$22-B1618)^2)</f>
        <v/>
      </c>
      <c r="K1618">
        <f>SUMPRODUCT(Calc!$K$3:$K$22*(Calc!$G$3:$G$22&gt;A1618)*(Calc!$G$3:$G$22-A1618)*(Calc!$G$3:$G$22&gt;B1618)*(Calc!$G$3:$G$22-B1618))</f>
        <v/>
      </c>
      <c r="L1618">
        <f>SUMPRODUCT(Calc!$K$3:$K$22*(Calc!$G$3:$G$22&gt;A1618)*(Calc!$G$3:$G$22-A1618)*Calc!$G$3:$G$22)</f>
        <v/>
      </c>
      <c r="M1618">
        <f>SUMPRODUCT(Calc!$K$3:$K$22*(Calc!$G$3:$G$22&gt;B1618)*(Calc!$G$3:$G$22-B1618)*Calc!$G$3:$G$22)</f>
        <v/>
      </c>
      <c r="N1618">
        <f>SUMPRODUCT(Calc!$K$3:$K$22*(Calc!$G$3:$G$22&gt;A1618)*(Calc!$G$3:$G$22-A1618)*Calc!$I$3:$I$22)</f>
        <v/>
      </c>
      <c r="O1618">
        <f>SUMPRODUCT(Calc!$K$3:$K$22*(Calc!$G$3:$G$22&gt;B1618)*(Calc!$G$3:$G$22-B1618)*Calc!$I$3:$I$22)</f>
        <v/>
      </c>
      <c r="P1618">
        <f>I1618-G1618^2/k_n</f>
        <v/>
      </c>
      <c r="Q1618">
        <f>J1618-H1618^2/k_n</f>
        <v/>
      </c>
      <c r="R1618">
        <f>K1618-G1618*H1618/k_n</f>
        <v/>
      </c>
      <c r="S1618">
        <f>L1618-LTP3!$D$3*G1618/k_n</f>
        <v/>
      </c>
      <c r="T1618">
        <f>M1618-LTP3!$D$3*H1618/k_n</f>
        <v/>
      </c>
      <c r="U1618">
        <f>N1618-G1618*LTP3!$D$4/k_n</f>
        <v/>
      </c>
      <c r="V1618">
        <f>O1618-H1618*LTP3!$D$4/k_n</f>
        <v/>
      </c>
      <c r="W1618">
        <f>((LTP3!$D$5)*((P1618)*(Q1618)-(R1618)*(R1618))-(S1618)*((S1618)*(Q1618)-(R1618)*(T1618))+(T1618)*((S1618)*(R1618)-(P1618)*(T1618)))</f>
        <v/>
      </c>
      <c r="X1618">
        <f>IF(ABS(W1618)&gt;1E-12,((LTP3!$D$6)*((P1618)*(Q1618)-(R1618)*(R1618))-(S1618)*((U1618)*(Q1618)-(R1618)*(V1618))+(T1618)*((U1618)*(R1618)-(P1618)*(V1618)))/W1618,0)</f>
        <v/>
      </c>
      <c r="Y1618">
        <f>IF(ABS(W1618)&gt;1E-12,((LTP3!$D$5)*((U1618)*(Q1618)-(R1618)*(V1618))-(LTP3!$D$6)*((S1618)*(Q1618)-(R1618)*(T1618))+(T1618)*((S1618)*(V1618)-(U1618)*(T1618)))/W1618,0)</f>
        <v/>
      </c>
      <c r="Z1618">
        <f>IF(ABS(W1618)&gt;1E-12,((LTP3!$D$5)*((P1618)*(V1618)-(U1618)*(R1618))-(S1618)*((S1618)*(V1618)-(U1618)*(T1618))+(LTP3!$D$6)*((S1618)*(R1618)-(P1618)*(T1618)))/W1618,0)</f>
        <v/>
      </c>
      <c r="AA1618">
        <f>LTP3!$D$7-X1618*LTP3!$D$6-Y1618*U1618-Z1618*V1618</f>
        <v/>
      </c>
      <c r="AB1618">
        <f>IF(AND(F1618,ABS(W1618)&gt;1E-12,Y1618&gt;0,Z1618&gt;0),AA1618,1E+300)</f>
        <v/>
      </c>
    </row>
    <row r="1619">
      <c r="A1619">
        <f>$B$3+$B$5*26</f>
        <v/>
      </c>
      <c r="B1619">
        <f>$B$3+$B$5*21</f>
        <v/>
      </c>
      <c r="C1619">
        <f>SUMPRODUCT(Calc!$K$3:$K$22*(Calc!$G$3:$G$22&lt;=A1619))</f>
        <v/>
      </c>
      <c r="D1619">
        <f>SUMPRODUCT(Calc!$K$3:$K$22*(Calc!$G$3:$G$22&gt;A1619)*(Calc!$G$3:$G$22&lt;B1619))</f>
        <v/>
      </c>
      <c r="E1619">
        <f>SUMPRODUCT(Calc!$K$3:$K$22*(Calc!$G$3:$G$22&gt;=B1619))</f>
        <v/>
      </c>
      <c r="F1619">
        <f>AND(k_n&gt;=5,B1619&gt;A1619+1E-9,C1619&gt;=2,D1619&gt;=1,E1619&gt;=2)</f>
        <v/>
      </c>
      <c r="G1619">
        <f>SUMPRODUCT(Calc!$K$3:$K$22*(Calc!$G$3:$G$22&gt;A1619)*(Calc!$G$3:$G$22-A1619))</f>
        <v/>
      </c>
      <c r="H1619">
        <f>SUMPRODUCT(Calc!$K$3:$K$22*(Calc!$G$3:$G$22&gt;B1619)*(Calc!$G$3:$G$22-B1619))</f>
        <v/>
      </c>
      <c r="I1619">
        <f>SUMPRODUCT(Calc!$K$3:$K$22*(Calc!$G$3:$G$22&gt;A1619)*(Calc!$G$3:$G$22-A1619)^2)</f>
        <v/>
      </c>
      <c r="J1619">
        <f>SUMPRODUCT(Calc!$K$3:$K$22*(Calc!$G$3:$G$22&gt;B1619)*(Calc!$G$3:$G$22-B1619)^2)</f>
        <v/>
      </c>
      <c r="K1619">
        <f>SUMPRODUCT(Calc!$K$3:$K$22*(Calc!$G$3:$G$22&gt;A1619)*(Calc!$G$3:$G$22-A1619)*(Calc!$G$3:$G$22&gt;B1619)*(Calc!$G$3:$G$22-B1619))</f>
        <v/>
      </c>
      <c r="L1619">
        <f>SUMPRODUCT(Calc!$K$3:$K$22*(Calc!$G$3:$G$22&gt;A1619)*(Calc!$G$3:$G$22-A1619)*Calc!$G$3:$G$22)</f>
        <v/>
      </c>
      <c r="M1619">
        <f>SUMPRODUCT(Calc!$K$3:$K$22*(Calc!$G$3:$G$22&gt;B1619)*(Calc!$G$3:$G$22-B1619)*Calc!$G$3:$G$22)</f>
        <v/>
      </c>
      <c r="N1619">
        <f>SUMPRODUCT(Calc!$K$3:$K$22*(Calc!$G$3:$G$22&gt;A1619)*(Calc!$G$3:$G$22-A1619)*Calc!$I$3:$I$22)</f>
        <v/>
      </c>
      <c r="O1619">
        <f>SUMPRODUCT(Calc!$K$3:$K$22*(Calc!$G$3:$G$22&gt;B1619)*(Calc!$G$3:$G$22-B1619)*Calc!$I$3:$I$22)</f>
        <v/>
      </c>
      <c r="P1619">
        <f>I1619-G1619^2/k_n</f>
        <v/>
      </c>
      <c r="Q1619">
        <f>J1619-H1619^2/k_n</f>
        <v/>
      </c>
      <c r="R1619">
        <f>K1619-G1619*H1619/k_n</f>
        <v/>
      </c>
      <c r="S1619">
        <f>L1619-LTP3!$D$3*G1619/k_n</f>
        <v/>
      </c>
      <c r="T1619">
        <f>M1619-LTP3!$D$3*H1619/k_n</f>
        <v/>
      </c>
      <c r="U1619">
        <f>N1619-G1619*LTP3!$D$4/k_n</f>
        <v/>
      </c>
      <c r="V1619">
        <f>O1619-H1619*LTP3!$D$4/k_n</f>
        <v/>
      </c>
      <c r="W1619">
        <f>((LTP3!$D$5)*((P1619)*(Q1619)-(R1619)*(R1619))-(S1619)*((S1619)*(Q1619)-(R1619)*(T1619))+(T1619)*((S1619)*(R1619)-(P1619)*(T1619)))</f>
        <v/>
      </c>
      <c r="X1619">
        <f>IF(ABS(W1619)&gt;1E-12,((LTP3!$D$6)*((P1619)*(Q1619)-(R1619)*(R1619))-(S1619)*((U1619)*(Q1619)-(R1619)*(V1619))+(T1619)*((U1619)*(R1619)-(P1619)*(V1619)))/W1619,0)</f>
        <v/>
      </c>
      <c r="Y1619">
        <f>IF(ABS(W1619)&gt;1E-12,((LTP3!$D$5)*((U1619)*(Q1619)-(R1619)*(V1619))-(LTP3!$D$6)*((S1619)*(Q1619)-(R1619)*(T1619))+(T1619)*((S1619)*(V1619)-(U1619)*(T1619)))/W1619,0)</f>
        <v/>
      </c>
      <c r="Z1619">
        <f>IF(ABS(W1619)&gt;1E-12,((LTP3!$D$5)*((P1619)*(V1619)-(U1619)*(R1619))-(S1619)*((S1619)*(V1619)-(U1619)*(T1619))+(LTP3!$D$6)*((S1619)*(R1619)-(P1619)*(T1619)))/W1619,0)</f>
        <v/>
      </c>
      <c r="AA1619">
        <f>LTP3!$D$7-X1619*LTP3!$D$6-Y1619*U1619-Z1619*V1619</f>
        <v/>
      </c>
      <c r="AB1619">
        <f>IF(AND(F1619,ABS(W1619)&gt;1E-12,Y1619&gt;0,Z1619&gt;0),AA1619,1E+300)</f>
        <v/>
      </c>
    </row>
    <row r="1620">
      <c r="A1620">
        <f>$B$3+$B$5*26</f>
        <v/>
      </c>
      <c r="B1620">
        <f>$B$3+$B$5*22</f>
        <v/>
      </c>
      <c r="C1620">
        <f>SUMPRODUCT(Calc!$K$3:$K$22*(Calc!$G$3:$G$22&lt;=A1620))</f>
        <v/>
      </c>
      <c r="D1620">
        <f>SUMPRODUCT(Calc!$K$3:$K$22*(Calc!$G$3:$G$22&gt;A1620)*(Calc!$G$3:$G$22&lt;B1620))</f>
        <v/>
      </c>
      <c r="E1620">
        <f>SUMPRODUCT(Calc!$K$3:$K$22*(Calc!$G$3:$G$22&gt;=B1620))</f>
        <v/>
      </c>
      <c r="F1620">
        <f>AND(k_n&gt;=5,B1620&gt;A1620+1E-9,C1620&gt;=2,D1620&gt;=1,E1620&gt;=2)</f>
        <v/>
      </c>
      <c r="G1620">
        <f>SUMPRODUCT(Calc!$K$3:$K$22*(Calc!$G$3:$G$22&gt;A1620)*(Calc!$G$3:$G$22-A1620))</f>
        <v/>
      </c>
      <c r="H1620">
        <f>SUMPRODUCT(Calc!$K$3:$K$22*(Calc!$G$3:$G$22&gt;B1620)*(Calc!$G$3:$G$22-B1620))</f>
        <v/>
      </c>
      <c r="I1620">
        <f>SUMPRODUCT(Calc!$K$3:$K$22*(Calc!$G$3:$G$22&gt;A1620)*(Calc!$G$3:$G$22-A1620)^2)</f>
        <v/>
      </c>
      <c r="J1620">
        <f>SUMPRODUCT(Calc!$K$3:$K$22*(Calc!$G$3:$G$22&gt;B1620)*(Calc!$G$3:$G$22-B1620)^2)</f>
        <v/>
      </c>
      <c r="K1620">
        <f>SUMPRODUCT(Calc!$K$3:$K$22*(Calc!$G$3:$G$22&gt;A1620)*(Calc!$G$3:$G$22-A1620)*(Calc!$G$3:$G$22&gt;B1620)*(Calc!$G$3:$G$22-B1620))</f>
        <v/>
      </c>
      <c r="L1620">
        <f>SUMPRODUCT(Calc!$K$3:$K$22*(Calc!$G$3:$G$22&gt;A1620)*(Calc!$G$3:$G$22-A1620)*Calc!$G$3:$G$22)</f>
        <v/>
      </c>
      <c r="M1620">
        <f>SUMPRODUCT(Calc!$K$3:$K$22*(Calc!$G$3:$G$22&gt;B1620)*(Calc!$G$3:$G$22-B1620)*Calc!$G$3:$G$22)</f>
        <v/>
      </c>
      <c r="N1620">
        <f>SUMPRODUCT(Calc!$K$3:$K$22*(Calc!$G$3:$G$22&gt;A1620)*(Calc!$G$3:$G$22-A1620)*Calc!$I$3:$I$22)</f>
        <v/>
      </c>
      <c r="O1620">
        <f>SUMPRODUCT(Calc!$K$3:$K$22*(Calc!$G$3:$G$22&gt;B1620)*(Calc!$G$3:$G$22-B1620)*Calc!$I$3:$I$22)</f>
        <v/>
      </c>
      <c r="P1620">
        <f>I1620-G1620^2/k_n</f>
        <v/>
      </c>
      <c r="Q1620">
        <f>J1620-H1620^2/k_n</f>
        <v/>
      </c>
      <c r="R1620">
        <f>K1620-G1620*H1620/k_n</f>
        <v/>
      </c>
      <c r="S1620">
        <f>L1620-LTP3!$D$3*G1620/k_n</f>
        <v/>
      </c>
      <c r="T1620">
        <f>M1620-LTP3!$D$3*H1620/k_n</f>
        <v/>
      </c>
      <c r="U1620">
        <f>N1620-G1620*LTP3!$D$4/k_n</f>
        <v/>
      </c>
      <c r="V1620">
        <f>O1620-H1620*LTP3!$D$4/k_n</f>
        <v/>
      </c>
      <c r="W1620">
        <f>((LTP3!$D$5)*((P1620)*(Q1620)-(R1620)*(R1620))-(S1620)*((S1620)*(Q1620)-(R1620)*(T1620))+(T1620)*((S1620)*(R1620)-(P1620)*(T1620)))</f>
        <v/>
      </c>
      <c r="X1620">
        <f>IF(ABS(W1620)&gt;1E-12,((LTP3!$D$6)*((P1620)*(Q1620)-(R1620)*(R1620))-(S1620)*((U1620)*(Q1620)-(R1620)*(V1620))+(T1620)*((U1620)*(R1620)-(P1620)*(V1620)))/W1620,0)</f>
        <v/>
      </c>
      <c r="Y1620">
        <f>IF(ABS(W1620)&gt;1E-12,((LTP3!$D$5)*((U1620)*(Q1620)-(R1620)*(V1620))-(LTP3!$D$6)*((S1620)*(Q1620)-(R1620)*(T1620))+(T1620)*((S1620)*(V1620)-(U1620)*(T1620)))/W1620,0)</f>
        <v/>
      </c>
      <c r="Z1620">
        <f>IF(ABS(W1620)&gt;1E-12,((LTP3!$D$5)*((P1620)*(V1620)-(U1620)*(R1620))-(S1620)*((S1620)*(V1620)-(U1620)*(T1620))+(LTP3!$D$6)*((S1620)*(R1620)-(P1620)*(T1620)))/W1620,0)</f>
        <v/>
      </c>
      <c r="AA1620">
        <f>LTP3!$D$7-X1620*LTP3!$D$6-Y1620*U1620-Z1620*V1620</f>
        <v/>
      </c>
      <c r="AB1620">
        <f>IF(AND(F1620,ABS(W1620)&gt;1E-12,Y1620&gt;0,Z1620&gt;0),AA1620,1E+300)</f>
        <v/>
      </c>
    </row>
    <row r="1621">
      <c r="A1621">
        <f>$B$3+$B$5*26</f>
        <v/>
      </c>
      <c r="B1621">
        <f>$B$3+$B$5*23</f>
        <v/>
      </c>
      <c r="C1621">
        <f>SUMPRODUCT(Calc!$K$3:$K$22*(Calc!$G$3:$G$22&lt;=A1621))</f>
        <v/>
      </c>
      <c r="D1621">
        <f>SUMPRODUCT(Calc!$K$3:$K$22*(Calc!$G$3:$G$22&gt;A1621)*(Calc!$G$3:$G$22&lt;B1621))</f>
        <v/>
      </c>
      <c r="E1621">
        <f>SUMPRODUCT(Calc!$K$3:$K$22*(Calc!$G$3:$G$22&gt;=B1621))</f>
        <v/>
      </c>
      <c r="F1621">
        <f>AND(k_n&gt;=5,B1621&gt;A1621+1E-9,C1621&gt;=2,D1621&gt;=1,E1621&gt;=2)</f>
        <v/>
      </c>
      <c r="G1621">
        <f>SUMPRODUCT(Calc!$K$3:$K$22*(Calc!$G$3:$G$22&gt;A1621)*(Calc!$G$3:$G$22-A1621))</f>
        <v/>
      </c>
      <c r="H1621">
        <f>SUMPRODUCT(Calc!$K$3:$K$22*(Calc!$G$3:$G$22&gt;B1621)*(Calc!$G$3:$G$22-B1621))</f>
        <v/>
      </c>
      <c r="I1621">
        <f>SUMPRODUCT(Calc!$K$3:$K$22*(Calc!$G$3:$G$22&gt;A1621)*(Calc!$G$3:$G$22-A1621)^2)</f>
        <v/>
      </c>
      <c r="J1621">
        <f>SUMPRODUCT(Calc!$K$3:$K$22*(Calc!$G$3:$G$22&gt;B1621)*(Calc!$G$3:$G$22-B1621)^2)</f>
        <v/>
      </c>
      <c r="K1621">
        <f>SUMPRODUCT(Calc!$K$3:$K$22*(Calc!$G$3:$G$22&gt;A1621)*(Calc!$G$3:$G$22-A1621)*(Calc!$G$3:$G$22&gt;B1621)*(Calc!$G$3:$G$22-B1621))</f>
        <v/>
      </c>
      <c r="L1621">
        <f>SUMPRODUCT(Calc!$K$3:$K$22*(Calc!$G$3:$G$22&gt;A1621)*(Calc!$G$3:$G$22-A1621)*Calc!$G$3:$G$22)</f>
        <v/>
      </c>
      <c r="M1621">
        <f>SUMPRODUCT(Calc!$K$3:$K$22*(Calc!$G$3:$G$22&gt;B1621)*(Calc!$G$3:$G$22-B1621)*Calc!$G$3:$G$22)</f>
        <v/>
      </c>
      <c r="N1621">
        <f>SUMPRODUCT(Calc!$K$3:$K$22*(Calc!$G$3:$G$22&gt;A1621)*(Calc!$G$3:$G$22-A1621)*Calc!$I$3:$I$22)</f>
        <v/>
      </c>
      <c r="O1621">
        <f>SUMPRODUCT(Calc!$K$3:$K$22*(Calc!$G$3:$G$22&gt;B1621)*(Calc!$G$3:$G$22-B1621)*Calc!$I$3:$I$22)</f>
        <v/>
      </c>
      <c r="P1621">
        <f>I1621-G1621^2/k_n</f>
        <v/>
      </c>
      <c r="Q1621">
        <f>J1621-H1621^2/k_n</f>
        <v/>
      </c>
      <c r="R1621">
        <f>K1621-G1621*H1621/k_n</f>
        <v/>
      </c>
      <c r="S1621">
        <f>L1621-LTP3!$D$3*G1621/k_n</f>
        <v/>
      </c>
      <c r="T1621">
        <f>M1621-LTP3!$D$3*H1621/k_n</f>
        <v/>
      </c>
      <c r="U1621">
        <f>N1621-G1621*LTP3!$D$4/k_n</f>
        <v/>
      </c>
      <c r="V1621">
        <f>O1621-H1621*LTP3!$D$4/k_n</f>
        <v/>
      </c>
      <c r="W1621">
        <f>((LTP3!$D$5)*((P1621)*(Q1621)-(R1621)*(R1621))-(S1621)*((S1621)*(Q1621)-(R1621)*(T1621))+(T1621)*((S1621)*(R1621)-(P1621)*(T1621)))</f>
        <v/>
      </c>
      <c r="X1621">
        <f>IF(ABS(W1621)&gt;1E-12,((LTP3!$D$6)*((P1621)*(Q1621)-(R1621)*(R1621))-(S1621)*((U1621)*(Q1621)-(R1621)*(V1621))+(T1621)*((U1621)*(R1621)-(P1621)*(V1621)))/W1621,0)</f>
        <v/>
      </c>
      <c r="Y1621">
        <f>IF(ABS(W1621)&gt;1E-12,((LTP3!$D$5)*((U1621)*(Q1621)-(R1621)*(V1621))-(LTP3!$D$6)*((S1621)*(Q1621)-(R1621)*(T1621))+(T1621)*((S1621)*(V1621)-(U1621)*(T1621)))/W1621,0)</f>
        <v/>
      </c>
      <c r="Z1621">
        <f>IF(ABS(W1621)&gt;1E-12,((LTP3!$D$5)*((P1621)*(V1621)-(U1621)*(R1621))-(S1621)*((S1621)*(V1621)-(U1621)*(T1621))+(LTP3!$D$6)*((S1621)*(R1621)-(P1621)*(T1621)))/W1621,0)</f>
        <v/>
      </c>
      <c r="AA1621">
        <f>LTP3!$D$7-X1621*LTP3!$D$6-Y1621*U1621-Z1621*V1621</f>
        <v/>
      </c>
      <c r="AB1621">
        <f>IF(AND(F1621,ABS(W1621)&gt;1E-12,Y1621&gt;0,Z1621&gt;0),AA1621,1E+300)</f>
        <v/>
      </c>
    </row>
    <row r="1622">
      <c r="A1622">
        <f>$B$3+$B$5*26</f>
        <v/>
      </c>
      <c r="B1622">
        <f>$B$3+$B$5*24</f>
        <v/>
      </c>
      <c r="C1622">
        <f>SUMPRODUCT(Calc!$K$3:$K$22*(Calc!$G$3:$G$22&lt;=A1622))</f>
        <v/>
      </c>
      <c r="D1622">
        <f>SUMPRODUCT(Calc!$K$3:$K$22*(Calc!$G$3:$G$22&gt;A1622)*(Calc!$G$3:$G$22&lt;B1622))</f>
        <v/>
      </c>
      <c r="E1622">
        <f>SUMPRODUCT(Calc!$K$3:$K$22*(Calc!$G$3:$G$22&gt;=B1622))</f>
        <v/>
      </c>
      <c r="F1622">
        <f>AND(k_n&gt;=5,B1622&gt;A1622+1E-9,C1622&gt;=2,D1622&gt;=1,E1622&gt;=2)</f>
        <v/>
      </c>
      <c r="G1622">
        <f>SUMPRODUCT(Calc!$K$3:$K$22*(Calc!$G$3:$G$22&gt;A1622)*(Calc!$G$3:$G$22-A1622))</f>
        <v/>
      </c>
      <c r="H1622">
        <f>SUMPRODUCT(Calc!$K$3:$K$22*(Calc!$G$3:$G$22&gt;B1622)*(Calc!$G$3:$G$22-B1622))</f>
        <v/>
      </c>
      <c r="I1622">
        <f>SUMPRODUCT(Calc!$K$3:$K$22*(Calc!$G$3:$G$22&gt;A1622)*(Calc!$G$3:$G$22-A1622)^2)</f>
        <v/>
      </c>
      <c r="J1622">
        <f>SUMPRODUCT(Calc!$K$3:$K$22*(Calc!$G$3:$G$22&gt;B1622)*(Calc!$G$3:$G$22-B1622)^2)</f>
        <v/>
      </c>
      <c r="K1622">
        <f>SUMPRODUCT(Calc!$K$3:$K$22*(Calc!$G$3:$G$22&gt;A1622)*(Calc!$G$3:$G$22-A1622)*(Calc!$G$3:$G$22&gt;B1622)*(Calc!$G$3:$G$22-B1622))</f>
        <v/>
      </c>
      <c r="L1622">
        <f>SUMPRODUCT(Calc!$K$3:$K$22*(Calc!$G$3:$G$22&gt;A1622)*(Calc!$G$3:$G$22-A1622)*Calc!$G$3:$G$22)</f>
        <v/>
      </c>
      <c r="M1622">
        <f>SUMPRODUCT(Calc!$K$3:$K$22*(Calc!$G$3:$G$22&gt;B1622)*(Calc!$G$3:$G$22-B1622)*Calc!$G$3:$G$22)</f>
        <v/>
      </c>
      <c r="N1622">
        <f>SUMPRODUCT(Calc!$K$3:$K$22*(Calc!$G$3:$G$22&gt;A1622)*(Calc!$G$3:$G$22-A1622)*Calc!$I$3:$I$22)</f>
        <v/>
      </c>
      <c r="O1622">
        <f>SUMPRODUCT(Calc!$K$3:$K$22*(Calc!$G$3:$G$22&gt;B1622)*(Calc!$G$3:$G$22-B1622)*Calc!$I$3:$I$22)</f>
        <v/>
      </c>
      <c r="P1622">
        <f>I1622-G1622^2/k_n</f>
        <v/>
      </c>
      <c r="Q1622">
        <f>J1622-H1622^2/k_n</f>
        <v/>
      </c>
      <c r="R1622">
        <f>K1622-G1622*H1622/k_n</f>
        <v/>
      </c>
      <c r="S1622">
        <f>L1622-LTP3!$D$3*G1622/k_n</f>
        <v/>
      </c>
      <c r="T1622">
        <f>M1622-LTP3!$D$3*H1622/k_n</f>
        <v/>
      </c>
      <c r="U1622">
        <f>N1622-G1622*LTP3!$D$4/k_n</f>
        <v/>
      </c>
      <c r="V1622">
        <f>O1622-H1622*LTP3!$D$4/k_n</f>
        <v/>
      </c>
      <c r="W1622">
        <f>((LTP3!$D$5)*((P1622)*(Q1622)-(R1622)*(R1622))-(S1622)*((S1622)*(Q1622)-(R1622)*(T1622))+(T1622)*((S1622)*(R1622)-(P1622)*(T1622)))</f>
        <v/>
      </c>
      <c r="X1622">
        <f>IF(ABS(W1622)&gt;1E-12,((LTP3!$D$6)*((P1622)*(Q1622)-(R1622)*(R1622))-(S1622)*((U1622)*(Q1622)-(R1622)*(V1622))+(T1622)*((U1622)*(R1622)-(P1622)*(V1622)))/W1622,0)</f>
        <v/>
      </c>
      <c r="Y1622">
        <f>IF(ABS(W1622)&gt;1E-12,((LTP3!$D$5)*((U1622)*(Q1622)-(R1622)*(V1622))-(LTP3!$D$6)*((S1622)*(Q1622)-(R1622)*(T1622))+(T1622)*((S1622)*(V1622)-(U1622)*(T1622)))/W1622,0)</f>
        <v/>
      </c>
      <c r="Z1622">
        <f>IF(ABS(W1622)&gt;1E-12,((LTP3!$D$5)*((P1622)*(V1622)-(U1622)*(R1622))-(S1622)*((S1622)*(V1622)-(U1622)*(T1622))+(LTP3!$D$6)*((S1622)*(R1622)-(P1622)*(T1622)))/W1622,0)</f>
        <v/>
      </c>
      <c r="AA1622">
        <f>LTP3!$D$7-X1622*LTP3!$D$6-Y1622*U1622-Z1622*V1622</f>
        <v/>
      </c>
      <c r="AB1622">
        <f>IF(AND(F1622,ABS(W1622)&gt;1E-12,Y1622&gt;0,Z1622&gt;0),AA1622,1E+300)</f>
        <v/>
      </c>
    </row>
    <row r="1623">
      <c r="A1623">
        <f>$B$3+$B$5*26</f>
        <v/>
      </c>
      <c r="B1623">
        <f>$B$3+$B$5*25</f>
        <v/>
      </c>
      <c r="C1623">
        <f>SUMPRODUCT(Calc!$K$3:$K$22*(Calc!$G$3:$G$22&lt;=A1623))</f>
        <v/>
      </c>
      <c r="D1623">
        <f>SUMPRODUCT(Calc!$K$3:$K$22*(Calc!$G$3:$G$22&gt;A1623)*(Calc!$G$3:$G$22&lt;B1623))</f>
        <v/>
      </c>
      <c r="E1623">
        <f>SUMPRODUCT(Calc!$K$3:$K$22*(Calc!$G$3:$G$22&gt;=B1623))</f>
        <v/>
      </c>
      <c r="F1623">
        <f>AND(k_n&gt;=5,B1623&gt;A1623+1E-9,C1623&gt;=2,D1623&gt;=1,E1623&gt;=2)</f>
        <v/>
      </c>
      <c r="G1623">
        <f>SUMPRODUCT(Calc!$K$3:$K$22*(Calc!$G$3:$G$22&gt;A1623)*(Calc!$G$3:$G$22-A1623))</f>
        <v/>
      </c>
      <c r="H1623">
        <f>SUMPRODUCT(Calc!$K$3:$K$22*(Calc!$G$3:$G$22&gt;B1623)*(Calc!$G$3:$G$22-B1623))</f>
        <v/>
      </c>
      <c r="I1623">
        <f>SUMPRODUCT(Calc!$K$3:$K$22*(Calc!$G$3:$G$22&gt;A1623)*(Calc!$G$3:$G$22-A1623)^2)</f>
        <v/>
      </c>
      <c r="J1623">
        <f>SUMPRODUCT(Calc!$K$3:$K$22*(Calc!$G$3:$G$22&gt;B1623)*(Calc!$G$3:$G$22-B1623)^2)</f>
        <v/>
      </c>
      <c r="K1623">
        <f>SUMPRODUCT(Calc!$K$3:$K$22*(Calc!$G$3:$G$22&gt;A1623)*(Calc!$G$3:$G$22-A1623)*(Calc!$G$3:$G$22&gt;B1623)*(Calc!$G$3:$G$22-B1623))</f>
        <v/>
      </c>
      <c r="L1623">
        <f>SUMPRODUCT(Calc!$K$3:$K$22*(Calc!$G$3:$G$22&gt;A1623)*(Calc!$G$3:$G$22-A1623)*Calc!$G$3:$G$22)</f>
        <v/>
      </c>
      <c r="M1623">
        <f>SUMPRODUCT(Calc!$K$3:$K$22*(Calc!$G$3:$G$22&gt;B1623)*(Calc!$G$3:$G$22-B1623)*Calc!$G$3:$G$22)</f>
        <v/>
      </c>
      <c r="N1623">
        <f>SUMPRODUCT(Calc!$K$3:$K$22*(Calc!$G$3:$G$22&gt;A1623)*(Calc!$G$3:$G$22-A1623)*Calc!$I$3:$I$22)</f>
        <v/>
      </c>
      <c r="O1623">
        <f>SUMPRODUCT(Calc!$K$3:$K$22*(Calc!$G$3:$G$22&gt;B1623)*(Calc!$G$3:$G$22-B1623)*Calc!$I$3:$I$22)</f>
        <v/>
      </c>
      <c r="P1623">
        <f>I1623-G1623^2/k_n</f>
        <v/>
      </c>
      <c r="Q1623">
        <f>J1623-H1623^2/k_n</f>
        <v/>
      </c>
      <c r="R1623">
        <f>K1623-G1623*H1623/k_n</f>
        <v/>
      </c>
      <c r="S1623">
        <f>L1623-LTP3!$D$3*G1623/k_n</f>
        <v/>
      </c>
      <c r="T1623">
        <f>M1623-LTP3!$D$3*H1623/k_n</f>
        <v/>
      </c>
      <c r="U1623">
        <f>N1623-G1623*LTP3!$D$4/k_n</f>
        <v/>
      </c>
      <c r="V1623">
        <f>O1623-H1623*LTP3!$D$4/k_n</f>
        <v/>
      </c>
      <c r="W1623">
        <f>((LTP3!$D$5)*((P1623)*(Q1623)-(R1623)*(R1623))-(S1623)*((S1623)*(Q1623)-(R1623)*(T1623))+(T1623)*((S1623)*(R1623)-(P1623)*(T1623)))</f>
        <v/>
      </c>
      <c r="X1623">
        <f>IF(ABS(W1623)&gt;1E-12,((LTP3!$D$6)*((P1623)*(Q1623)-(R1623)*(R1623))-(S1623)*((U1623)*(Q1623)-(R1623)*(V1623))+(T1623)*((U1623)*(R1623)-(P1623)*(V1623)))/W1623,0)</f>
        <v/>
      </c>
      <c r="Y1623">
        <f>IF(ABS(W1623)&gt;1E-12,((LTP3!$D$5)*((U1623)*(Q1623)-(R1623)*(V1623))-(LTP3!$D$6)*((S1623)*(Q1623)-(R1623)*(T1623))+(T1623)*((S1623)*(V1623)-(U1623)*(T1623)))/W1623,0)</f>
        <v/>
      </c>
      <c r="Z1623">
        <f>IF(ABS(W1623)&gt;1E-12,((LTP3!$D$5)*((P1623)*(V1623)-(U1623)*(R1623))-(S1623)*((S1623)*(V1623)-(U1623)*(T1623))+(LTP3!$D$6)*((S1623)*(R1623)-(P1623)*(T1623)))/W1623,0)</f>
        <v/>
      </c>
      <c r="AA1623">
        <f>LTP3!$D$7-X1623*LTP3!$D$6-Y1623*U1623-Z1623*V1623</f>
        <v/>
      </c>
      <c r="AB1623">
        <f>IF(AND(F1623,ABS(W1623)&gt;1E-12,Y1623&gt;0,Z1623&gt;0),AA1623,1E+300)</f>
        <v/>
      </c>
    </row>
    <row r="1624">
      <c r="A1624">
        <f>$B$3+$B$5*26</f>
        <v/>
      </c>
      <c r="B1624">
        <f>$B$3+$B$5*26</f>
        <v/>
      </c>
      <c r="C1624">
        <f>SUMPRODUCT(Calc!$K$3:$K$22*(Calc!$G$3:$G$22&lt;=A1624))</f>
        <v/>
      </c>
      <c r="D1624">
        <f>SUMPRODUCT(Calc!$K$3:$K$22*(Calc!$G$3:$G$22&gt;A1624)*(Calc!$G$3:$G$22&lt;B1624))</f>
        <v/>
      </c>
      <c r="E1624">
        <f>SUMPRODUCT(Calc!$K$3:$K$22*(Calc!$G$3:$G$22&gt;=B1624))</f>
        <v/>
      </c>
      <c r="F1624">
        <f>AND(k_n&gt;=5,B1624&gt;A1624+1E-9,C1624&gt;=2,D1624&gt;=1,E1624&gt;=2)</f>
        <v/>
      </c>
      <c r="G1624">
        <f>SUMPRODUCT(Calc!$K$3:$K$22*(Calc!$G$3:$G$22&gt;A1624)*(Calc!$G$3:$G$22-A1624))</f>
        <v/>
      </c>
      <c r="H1624">
        <f>SUMPRODUCT(Calc!$K$3:$K$22*(Calc!$G$3:$G$22&gt;B1624)*(Calc!$G$3:$G$22-B1624))</f>
        <v/>
      </c>
      <c r="I1624">
        <f>SUMPRODUCT(Calc!$K$3:$K$22*(Calc!$G$3:$G$22&gt;A1624)*(Calc!$G$3:$G$22-A1624)^2)</f>
        <v/>
      </c>
      <c r="J1624">
        <f>SUMPRODUCT(Calc!$K$3:$K$22*(Calc!$G$3:$G$22&gt;B1624)*(Calc!$G$3:$G$22-B1624)^2)</f>
        <v/>
      </c>
      <c r="K1624">
        <f>SUMPRODUCT(Calc!$K$3:$K$22*(Calc!$G$3:$G$22&gt;A1624)*(Calc!$G$3:$G$22-A1624)*(Calc!$G$3:$G$22&gt;B1624)*(Calc!$G$3:$G$22-B1624))</f>
        <v/>
      </c>
      <c r="L1624">
        <f>SUMPRODUCT(Calc!$K$3:$K$22*(Calc!$G$3:$G$22&gt;A1624)*(Calc!$G$3:$G$22-A1624)*Calc!$G$3:$G$22)</f>
        <v/>
      </c>
      <c r="M1624">
        <f>SUMPRODUCT(Calc!$K$3:$K$22*(Calc!$G$3:$G$22&gt;B1624)*(Calc!$G$3:$G$22-B1624)*Calc!$G$3:$G$22)</f>
        <v/>
      </c>
      <c r="N1624">
        <f>SUMPRODUCT(Calc!$K$3:$K$22*(Calc!$G$3:$G$22&gt;A1624)*(Calc!$G$3:$G$22-A1624)*Calc!$I$3:$I$22)</f>
        <v/>
      </c>
      <c r="O1624">
        <f>SUMPRODUCT(Calc!$K$3:$K$22*(Calc!$G$3:$G$22&gt;B1624)*(Calc!$G$3:$G$22-B1624)*Calc!$I$3:$I$22)</f>
        <v/>
      </c>
      <c r="P1624">
        <f>I1624-G1624^2/k_n</f>
        <v/>
      </c>
      <c r="Q1624">
        <f>J1624-H1624^2/k_n</f>
        <v/>
      </c>
      <c r="R1624">
        <f>K1624-G1624*H1624/k_n</f>
        <v/>
      </c>
      <c r="S1624">
        <f>L1624-LTP3!$D$3*G1624/k_n</f>
        <v/>
      </c>
      <c r="T1624">
        <f>M1624-LTP3!$D$3*H1624/k_n</f>
        <v/>
      </c>
      <c r="U1624">
        <f>N1624-G1624*LTP3!$D$4/k_n</f>
        <v/>
      </c>
      <c r="V1624">
        <f>O1624-H1624*LTP3!$D$4/k_n</f>
        <v/>
      </c>
      <c r="W1624">
        <f>((LTP3!$D$5)*((P1624)*(Q1624)-(R1624)*(R1624))-(S1624)*((S1624)*(Q1624)-(R1624)*(T1624))+(T1624)*((S1624)*(R1624)-(P1624)*(T1624)))</f>
        <v/>
      </c>
      <c r="X1624">
        <f>IF(ABS(W1624)&gt;1E-12,((LTP3!$D$6)*((P1624)*(Q1624)-(R1624)*(R1624))-(S1624)*((U1624)*(Q1624)-(R1624)*(V1624))+(T1624)*((U1624)*(R1624)-(P1624)*(V1624)))/W1624,0)</f>
        <v/>
      </c>
      <c r="Y1624">
        <f>IF(ABS(W1624)&gt;1E-12,((LTP3!$D$5)*((U1624)*(Q1624)-(R1624)*(V1624))-(LTP3!$D$6)*((S1624)*(Q1624)-(R1624)*(T1624))+(T1624)*((S1624)*(V1624)-(U1624)*(T1624)))/W1624,0)</f>
        <v/>
      </c>
      <c r="Z1624">
        <f>IF(ABS(W1624)&gt;1E-12,((LTP3!$D$5)*((P1624)*(V1624)-(U1624)*(R1624))-(S1624)*((S1624)*(V1624)-(U1624)*(T1624))+(LTP3!$D$6)*((S1624)*(R1624)-(P1624)*(T1624)))/W1624,0)</f>
        <v/>
      </c>
      <c r="AA1624">
        <f>LTP3!$D$7-X1624*LTP3!$D$6-Y1624*U1624-Z1624*V1624</f>
        <v/>
      </c>
      <c r="AB1624">
        <f>IF(AND(F1624,ABS(W1624)&gt;1E-12,Y1624&gt;0,Z1624&gt;0),AA1624,1E+300)</f>
        <v/>
      </c>
    </row>
    <row r="1625">
      <c r="A1625">
        <f>$B$3+$B$5*26</f>
        <v/>
      </c>
      <c r="B1625">
        <f>$B$3+$B$5*27</f>
        <v/>
      </c>
      <c r="C1625">
        <f>SUMPRODUCT(Calc!$K$3:$K$22*(Calc!$G$3:$G$22&lt;=A1625))</f>
        <v/>
      </c>
      <c r="D1625">
        <f>SUMPRODUCT(Calc!$K$3:$K$22*(Calc!$G$3:$G$22&gt;A1625)*(Calc!$G$3:$G$22&lt;B1625))</f>
        <v/>
      </c>
      <c r="E1625">
        <f>SUMPRODUCT(Calc!$K$3:$K$22*(Calc!$G$3:$G$22&gt;=B1625))</f>
        <v/>
      </c>
      <c r="F1625">
        <f>AND(k_n&gt;=5,B1625&gt;A1625+1E-9,C1625&gt;=2,D1625&gt;=1,E1625&gt;=2)</f>
        <v/>
      </c>
      <c r="G1625">
        <f>SUMPRODUCT(Calc!$K$3:$K$22*(Calc!$G$3:$G$22&gt;A1625)*(Calc!$G$3:$G$22-A1625))</f>
        <v/>
      </c>
      <c r="H1625">
        <f>SUMPRODUCT(Calc!$K$3:$K$22*(Calc!$G$3:$G$22&gt;B1625)*(Calc!$G$3:$G$22-B1625))</f>
        <v/>
      </c>
      <c r="I1625">
        <f>SUMPRODUCT(Calc!$K$3:$K$22*(Calc!$G$3:$G$22&gt;A1625)*(Calc!$G$3:$G$22-A1625)^2)</f>
        <v/>
      </c>
      <c r="J1625">
        <f>SUMPRODUCT(Calc!$K$3:$K$22*(Calc!$G$3:$G$22&gt;B1625)*(Calc!$G$3:$G$22-B1625)^2)</f>
        <v/>
      </c>
      <c r="K1625">
        <f>SUMPRODUCT(Calc!$K$3:$K$22*(Calc!$G$3:$G$22&gt;A1625)*(Calc!$G$3:$G$22-A1625)*(Calc!$G$3:$G$22&gt;B1625)*(Calc!$G$3:$G$22-B1625))</f>
        <v/>
      </c>
      <c r="L1625">
        <f>SUMPRODUCT(Calc!$K$3:$K$22*(Calc!$G$3:$G$22&gt;A1625)*(Calc!$G$3:$G$22-A1625)*Calc!$G$3:$G$22)</f>
        <v/>
      </c>
      <c r="M1625">
        <f>SUMPRODUCT(Calc!$K$3:$K$22*(Calc!$G$3:$G$22&gt;B1625)*(Calc!$G$3:$G$22-B1625)*Calc!$G$3:$G$22)</f>
        <v/>
      </c>
      <c r="N1625">
        <f>SUMPRODUCT(Calc!$K$3:$K$22*(Calc!$G$3:$G$22&gt;A1625)*(Calc!$G$3:$G$22-A1625)*Calc!$I$3:$I$22)</f>
        <v/>
      </c>
      <c r="O1625">
        <f>SUMPRODUCT(Calc!$K$3:$K$22*(Calc!$G$3:$G$22&gt;B1625)*(Calc!$G$3:$G$22-B1625)*Calc!$I$3:$I$22)</f>
        <v/>
      </c>
      <c r="P1625">
        <f>I1625-G1625^2/k_n</f>
        <v/>
      </c>
      <c r="Q1625">
        <f>J1625-H1625^2/k_n</f>
        <v/>
      </c>
      <c r="R1625">
        <f>K1625-G1625*H1625/k_n</f>
        <v/>
      </c>
      <c r="S1625">
        <f>L1625-LTP3!$D$3*G1625/k_n</f>
        <v/>
      </c>
      <c r="T1625">
        <f>M1625-LTP3!$D$3*H1625/k_n</f>
        <v/>
      </c>
      <c r="U1625">
        <f>N1625-G1625*LTP3!$D$4/k_n</f>
        <v/>
      </c>
      <c r="V1625">
        <f>O1625-H1625*LTP3!$D$4/k_n</f>
        <v/>
      </c>
      <c r="W1625">
        <f>((LTP3!$D$5)*((P1625)*(Q1625)-(R1625)*(R1625))-(S1625)*((S1625)*(Q1625)-(R1625)*(T1625))+(T1625)*((S1625)*(R1625)-(P1625)*(T1625)))</f>
        <v/>
      </c>
      <c r="X1625">
        <f>IF(ABS(W1625)&gt;1E-12,((LTP3!$D$6)*((P1625)*(Q1625)-(R1625)*(R1625))-(S1625)*((U1625)*(Q1625)-(R1625)*(V1625))+(T1625)*((U1625)*(R1625)-(P1625)*(V1625)))/W1625,0)</f>
        <v/>
      </c>
      <c r="Y1625">
        <f>IF(ABS(W1625)&gt;1E-12,((LTP3!$D$5)*((U1625)*(Q1625)-(R1625)*(V1625))-(LTP3!$D$6)*((S1625)*(Q1625)-(R1625)*(T1625))+(T1625)*((S1625)*(V1625)-(U1625)*(T1625)))/W1625,0)</f>
        <v/>
      </c>
      <c r="Z1625">
        <f>IF(ABS(W1625)&gt;1E-12,((LTP3!$D$5)*((P1625)*(V1625)-(U1625)*(R1625))-(S1625)*((S1625)*(V1625)-(U1625)*(T1625))+(LTP3!$D$6)*((S1625)*(R1625)-(P1625)*(T1625)))/W1625,0)</f>
        <v/>
      </c>
      <c r="AA1625">
        <f>LTP3!$D$7-X1625*LTP3!$D$6-Y1625*U1625-Z1625*V1625</f>
        <v/>
      </c>
      <c r="AB1625">
        <f>IF(AND(F1625,ABS(W1625)&gt;1E-12,Y1625&gt;0,Z1625&gt;0),AA1625,1E+300)</f>
        <v/>
      </c>
    </row>
    <row r="1626">
      <c r="A1626">
        <f>$B$3+$B$5*26</f>
        <v/>
      </c>
      <c r="B1626">
        <f>$B$3+$B$5*28</f>
        <v/>
      </c>
      <c r="C1626">
        <f>SUMPRODUCT(Calc!$K$3:$K$22*(Calc!$G$3:$G$22&lt;=A1626))</f>
        <v/>
      </c>
      <c r="D1626">
        <f>SUMPRODUCT(Calc!$K$3:$K$22*(Calc!$G$3:$G$22&gt;A1626)*(Calc!$G$3:$G$22&lt;B1626))</f>
        <v/>
      </c>
      <c r="E1626">
        <f>SUMPRODUCT(Calc!$K$3:$K$22*(Calc!$G$3:$G$22&gt;=B1626))</f>
        <v/>
      </c>
      <c r="F1626">
        <f>AND(k_n&gt;=5,B1626&gt;A1626+1E-9,C1626&gt;=2,D1626&gt;=1,E1626&gt;=2)</f>
        <v/>
      </c>
      <c r="G1626">
        <f>SUMPRODUCT(Calc!$K$3:$K$22*(Calc!$G$3:$G$22&gt;A1626)*(Calc!$G$3:$G$22-A1626))</f>
        <v/>
      </c>
      <c r="H1626">
        <f>SUMPRODUCT(Calc!$K$3:$K$22*(Calc!$G$3:$G$22&gt;B1626)*(Calc!$G$3:$G$22-B1626))</f>
        <v/>
      </c>
      <c r="I1626">
        <f>SUMPRODUCT(Calc!$K$3:$K$22*(Calc!$G$3:$G$22&gt;A1626)*(Calc!$G$3:$G$22-A1626)^2)</f>
        <v/>
      </c>
      <c r="J1626">
        <f>SUMPRODUCT(Calc!$K$3:$K$22*(Calc!$G$3:$G$22&gt;B1626)*(Calc!$G$3:$G$22-B1626)^2)</f>
        <v/>
      </c>
      <c r="K1626">
        <f>SUMPRODUCT(Calc!$K$3:$K$22*(Calc!$G$3:$G$22&gt;A1626)*(Calc!$G$3:$G$22-A1626)*(Calc!$G$3:$G$22&gt;B1626)*(Calc!$G$3:$G$22-B1626))</f>
        <v/>
      </c>
      <c r="L1626">
        <f>SUMPRODUCT(Calc!$K$3:$K$22*(Calc!$G$3:$G$22&gt;A1626)*(Calc!$G$3:$G$22-A1626)*Calc!$G$3:$G$22)</f>
        <v/>
      </c>
      <c r="M1626">
        <f>SUMPRODUCT(Calc!$K$3:$K$22*(Calc!$G$3:$G$22&gt;B1626)*(Calc!$G$3:$G$22-B1626)*Calc!$G$3:$G$22)</f>
        <v/>
      </c>
      <c r="N1626">
        <f>SUMPRODUCT(Calc!$K$3:$K$22*(Calc!$G$3:$G$22&gt;A1626)*(Calc!$G$3:$G$22-A1626)*Calc!$I$3:$I$22)</f>
        <v/>
      </c>
      <c r="O1626">
        <f>SUMPRODUCT(Calc!$K$3:$K$22*(Calc!$G$3:$G$22&gt;B1626)*(Calc!$G$3:$G$22-B1626)*Calc!$I$3:$I$22)</f>
        <v/>
      </c>
      <c r="P1626">
        <f>I1626-G1626^2/k_n</f>
        <v/>
      </c>
      <c r="Q1626">
        <f>J1626-H1626^2/k_n</f>
        <v/>
      </c>
      <c r="R1626">
        <f>K1626-G1626*H1626/k_n</f>
        <v/>
      </c>
      <c r="S1626">
        <f>L1626-LTP3!$D$3*G1626/k_n</f>
        <v/>
      </c>
      <c r="T1626">
        <f>M1626-LTP3!$D$3*H1626/k_n</f>
        <v/>
      </c>
      <c r="U1626">
        <f>N1626-G1626*LTP3!$D$4/k_n</f>
        <v/>
      </c>
      <c r="V1626">
        <f>O1626-H1626*LTP3!$D$4/k_n</f>
        <v/>
      </c>
      <c r="W1626">
        <f>((LTP3!$D$5)*((P1626)*(Q1626)-(R1626)*(R1626))-(S1626)*((S1626)*(Q1626)-(R1626)*(T1626))+(T1626)*((S1626)*(R1626)-(P1626)*(T1626)))</f>
        <v/>
      </c>
      <c r="X1626">
        <f>IF(ABS(W1626)&gt;1E-12,((LTP3!$D$6)*((P1626)*(Q1626)-(R1626)*(R1626))-(S1626)*((U1626)*(Q1626)-(R1626)*(V1626))+(T1626)*((U1626)*(R1626)-(P1626)*(V1626)))/W1626,0)</f>
        <v/>
      </c>
      <c r="Y1626">
        <f>IF(ABS(W1626)&gt;1E-12,((LTP3!$D$5)*((U1626)*(Q1626)-(R1626)*(V1626))-(LTP3!$D$6)*((S1626)*(Q1626)-(R1626)*(T1626))+(T1626)*((S1626)*(V1626)-(U1626)*(T1626)))/W1626,0)</f>
        <v/>
      </c>
      <c r="Z1626">
        <f>IF(ABS(W1626)&gt;1E-12,((LTP3!$D$5)*((P1626)*(V1626)-(U1626)*(R1626))-(S1626)*((S1626)*(V1626)-(U1626)*(T1626))+(LTP3!$D$6)*((S1626)*(R1626)-(P1626)*(T1626)))/W1626,0)</f>
        <v/>
      </c>
      <c r="AA1626">
        <f>LTP3!$D$7-X1626*LTP3!$D$6-Y1626*U1626-Z1626*V1626</f>
        <v/>
      </c>
      <c r="AB1626">
        <f>IF(AND(F1626,ABS(W1626)&gt;1E-12,Y1626&gt;0,Z1626&gt;0),AA1626,1E+300)</f>
        <v/>
      </c>
    </row>
    <row r="1627">
      <c r="A1627">
        <f>$B$3+$B$5*26</f>
        <v/>
      </c>
      <c r="B1627">
        <f>$B$3+$B$5*29</f>
        <v/>
      </c>
      <c r="C1627">
        <f>SUMPRODUCT(Calc!$K$3:$K$22*(Calc!$G$3:$G$22&lt;=A1627))</f>
        <v/>
      </c>
      <c r="D1627">
        <f>SUMPRODUCT(Calc!$K$3:$K$22*(Calc!$G$3:$G$22&gt;A1627)*(Calc!$G$3:$G$22&lt;B1627))</f>
        <v/>
      </c>
      <c r="E1627">
        <f>SUMPRODUCT(Calc!$K$3:$K$22*(Calc!$G$3:$G$22&gt;=B1627))</f>
        <v/>
      </c>
      <c r="F1627">
        <f>AND(k_n&gt;=5,B1627&gt;A1627+1E-9,C1627&gt;=2,D1627&gt;=1,E1627&gt;=2)</f>
        <v/>
      </c>
      <c r="G1627">
        <f>SUMPRODUCT(Calc!$K$3:$K$22*(Calc!$G$3:$G$22&gt;A1627)*(Calc!$G$3:$G$22-A1627))</f>
        <v/>
      </c>
      <c r="H1627">
        <f>SUMPRODUCT(Calc!$K$3:$K$22*(Calc!$G$3:$G$22&gt;B1627)*(Calc!$G$3:$G$22-B1627))</f>
        <v/>
      </c>
      <c r="I1627">
        <f>SUMPRODUCT(Calc!$K$3:$K$22*(Calc!$G$3:$G$22&gt;A1627)*(Calc!$G$3:$G$22-A1627)^2)</f>
        <v/>
      </c>
      <c r="J1627">
        <f>SUMPRODUCT(Calc!$K$3:$K$22*(Calc!$G$3:$G$22&gt;B1627)*(Calc!$G$3:$G$22-B1627)^2)</f>
        <v/>
      </c>
      <c r="K1627">
        <f>SUMPRODUCT(Calc!$K$3:$K$22*(Calc!$G$3:$G$22&gt;A1627)*(Calc!$G$3:$G$22-A1627)*(Calc!$G$3:$G$22&gt;B1627)*(Calc!$G$3:$G$22-B1627))</f>
        <v/>
      </c>
      <c r="L1627">
        <f>SUMPRODUCT(Calc!$K$3:$K$22*(Calc!$G$3:$G$22&gt;A1627)*(Calc!$G$3:$G$22-A1627)*Calc!$G$3:$G$22)</f>
        <v/>
      </c>
      <c r="M1627">
        <f>SUMPRODUCT(Calc!$K$3:$K$22*(Calc!$G$3:$G$22&gt;B1627)*(Calc!$G$3:$G$22-B1627)*Calc!$G$3:$G$22)</f>
        <v/>
      </c>
      <c r="N1627">
        <f>SUMPRODUCT(Calc!$K$3:$K$22*(Calc!$G$3:$G$22&gt;A1627)*(Calc!$G$3:$G$22-A1627)*Calc!$I$3:$I$22)</f>
        <v/>
      </c>
      <c r="O1627">
        <f>SUMPRODUCT(Calc!$K$3:$K$22*(Calc!$G$3:$G$22&gt;B1627)*(Calc!$G$3:$G$22-B1627)*Calc!$I$3:$I$22)</f>
        <v/>
      </c>
      <c r="P1627">
        <f>I1627-G1627^2/k_n</f>
        <v/>
      </c>
      <c r="Q1627">
        <f>J1627-H1627^2/k_n</f>
        <v/>
      </c>
      <c r="R1627">
        <f>K1627-G1627*H1627/k_n</f>
        <v/>
      </c>
      <c r="S1627">
        <f>L1627-LTP3!$D$3*G1627/k_n</f>
        <v/>
      </c>
      <c r="T1627">
        <f>M1627-LTP3!$D$3*H1627/k_n</f>
        <v/>
      </c>
      <c r="U1627">
        <f>N1627-G1627*LTP3!$D$4/k_n</f>
        <v/>
      </c>
      <c r="V1627">
        <f>O1627-H1627*LTP3!$D$4/k_n</f>
        <v/>
      </c>
      <c r="W1627">
        <f>((LTP3!$D$5)*((P1627)*(Q1627)-(R1627)*(R1627))-(S1627)*((S1627)*(Q1627)-(R1627)*(T1627))+(T1627)*((S1627)*(R1627)-(P1627)*(T1627)))</f>
        <v/>
      </c>
      <c r="X1627">
        <f>IF(ABS(W1627)&gt;1E-12,((LTP3!$D$6)*((P1627)*(Q1627)-(R1627)*(R1627))-(S1627)*((U1627)*(Q1627)-(R1627)*(V1627))+(T1627)*((U1627)*(R1627)-(P1627)*(V1627)))/W1627,0)</f>
        <v/>
      </c>
      <c r="Y1627">
        <f>IF(ABS(W1627)&gt;1E-12,((LTP3!$D$5)*((U1627)*(Q1627)-(R1627)*(V1627))-(LTP3!$D$6)*((S1627)*(Q1627)-(R1627)*(T1627))+(T1627)*((S1627)*(V1627)-(U1627)*(T1627)))/W1627,0)</f>
        <v/>
      </c>
      <c r="Z1627">
        <f>IF(ABS(W1627)&gt;1E-12,((LTP3!$D$5)*((P1627)*(V1627)-(U1627)*(R1627))-(S1627)*((S1627)*(V1627)-(U1627)*(T1627))+(LTP3!$D$6)*((S1627)*(R1627)-(P1627)*(T1627)))/W1627,0)</f>
        <v/>
      </c>
      <c r="AA1627">
        <f>LTP3!$D$7-X1627*LTP3!$D$6-Y1627*U1627-Z1627*V1627</f>
        <v/>
      </c>
      <c r="AB1627">
        <f>IF(AND(F1627,ABS(W1627)&gt;1E-12,Y1627&gt;0,Z1627&gt;0),AA1627,1E+300)</f>
        <v/>
      </c>
    </row>
    <row r="1628">
      <c r="A1628">
        <f>$B$3+$B$5*26</f>
        <v/>
      </c>
      <c r="B1628">
        <f>$B$3+$B$5*30</f>
        <v/>
      </c>
      <c r="C1628">
        <f>SUMPRODUCT(Calc!$K$3:$K$22*(Calc!$G$3:$G$22&lt;=A1628))</f>
        <v/>
      </c>
      <c r="D1628">
        <f>SUMPRODUCT(Calc!$K$3:$K$22*(Calc!$G$3:$G$22&gt;A1628)*(Calc!$G$3:$G$22&lt;B1628))</f>
        <v/>
      </c>
      <c r="E1628">
        <f>SUMPRODUCT(Calc!$K$3:$K$22*(Calc!$G$3:$G$22&gt;=B1628))</f>
        <v/>
      </c>
      <c r="F1628">
        <f>AND(k_n&gt;=5,B1628&gt;A1628+1E-9,C1628&gt;=2,D1628&gt;=1,E1628&gt;=2)</f>
        <v/>
      </c>
      <c r="G1628">
        <f>SUMPRODUCT(Calc!$K$3:$K$22*(Calc!$G$3:$G$22&gt;A1628)*(Calc!$G$3:$G$22-A1628))</f>
        <v/>
      </c>
      <c r="H1628">
        <f>SUMPRODUCT(Calc!$K$3:$K$22*(Calc!$G$3:$G$22&gt;B1628)*(Calc!$G$3:$G$22-B1628))</f>
        <v/>
      </c>
      <c r="I1628">
        <f>SUMPRODUCT(Calc!$K$3:$K$22*(Calc!$G$3:$G$22&gt;A1628)*(Calc!$G$3:$G$22-A1628)^2)</f>
        <v/>
      </c>
      <c r="J1628">
        <f>SUMPRODUCT(Calc!$K$3:$K$22*(Calc!$G$3:$G$22&gt;B1628)*(Calc!$G$3:$G$22-B1628)^2)</f>
        <v/>
      </c>
      <c r="K1628">
        <f>SUMPRODUCT(Calc!$K$3:$K$22*(Calc!$G$3:$G$22&gt;A1628)*(Calc!$G$3:$G$22-A1628)*(Calc!$G$3:$G$22&gt;B1628)*(Calc!$G$3:$G$22-B1628))</f>
        <v/>
      </c>
      <c r="L1628">
        <f>SUMPRODUCT(Calc!$K$3:$K$22*(Calc!$G$3:$G$22&gt;A1628)*(Calc!$G$3:$G$22-A1628)*Calc!$G$3:$G$22)</f>
        <v/>
      </c>
      <c r="M1628">
        <f>SUMPRODUCT(Calc!$K$3:$K$22*(Calc!$G$3:$G$22&gt;B1628)*(Calc!$G$3:$G$22-B1628)*Calc!$G$3:$G$22)</f>
        <v/>
      </c>
      <c r="N1628">
        <f>SUMPRODUCT(Calc!$K$3:$K$22*(Calc!$G$3:$G$22&gt;A1628)*(Calc!$G$3:$G$22-A1628)*Calc!$I$3:$I$22)</f>
        <v/>
      </c>
      <c r="O1628">
        <f>SUMPRODUCT(Calc!$K$3:$K$22*(Calc!$G$3:$G$22&gt;B1628)*(Calc!$G$3:$G$22-B1628)*Calc!$I$3:$I$22)</f>
        <v/>
      </c>
      <c r="P1628">
        <f>I1628-G1628^2/k_n</f>
        <v/>
      </c>
      <c r="Q1628">
        <f>J1628-H1628^2/k_n</f>
        <v/>
      </c>
      <c r="R1628">
        <f>K1628-G1628*H1628/k_n</f>
        <v/>
      </c>
      <c r="S1628">
        <f>L1628-LTP3!$D$3*G1628/k_n</f>
        <v/>
      </c>
      <c r="T1628">
        <f>M1628-LTP3!$D$3*H1628/k_n</f>
        <v/>
      </c>
      <c r="U1628">
        <f>N1628-G1628*LTP3!$D$4/k_n</f>
        <v/>
      </c>
      <c r="V1628">
        <f>O1628-H1628*LTP3!$D$4/k_n</f>
        <v/>
      </c>
      <c r="W1628">
        <f>((LTP3!$D$5)*((P1628)*(Q1628)-(R1628)*(R1628))-(S1628)*((S1628)*(Q1628)-(R1628)*(T1628))+(T1628)*((S1628)*(R1628)-(P1628)*(T1628)))</f>
        <v/>
      </c>
      <c r="X1628">
        <f>IF(ABS(W1628)&gt;1E-12,((LTP3!$D$6)*((P1628)*(Q1628)-(R1628)*(R1628))-(S1628)*((U1628)*(Q1628)-(R1628)*(V1628))+(T1628)*((U1628)*(R1628)-(P1628)*(V1628)))/W1628,0)</f>
        <v/>
      </c>
      <c r="Y1628">
        <f>IF(ABS(W1628)&gt;1E-12,((LTP3!$D$5)*((U1628)*(Q1628)-(R1628)*(V1628))-(LTP3!$D$6)*((S1628)*(Q1628)-(R1628)*(T1628))+(T1628)*((S1628)*(V1628)-(U1628)*(T1628)))/W1628,0)</f>
        <v/>
      </c>
      <c r="Z1628">
        <f>IF(ABS(W1628)&gt;1E-12,((LTP3!$D$5)*((P1628)*(V1628)-(U1628)*(R1628))-(S1628)*((S1628)*(V1628)-(U1628)*(T1628))+(LTP3!$D$6)*((S1628)*(R1628)-(P1628)*(T1628)))/W1628,0)</f>
        <v/>
      </c>
      <c r="AA1628">
        <f>LTP3!$D$7-X1628*LTP3!$D$6-Y1628*U1628-Z1628*V1628</f>
        <v/>
      </c>
      <c r="AB1628">
        <f>IF(AND(F1628,ABS(W1628)&gt;1E-12,Y1628&gt;0,Z1628&gt;0),AA1628,1E+300)</f>
        <v/>
      </c>
    </row>
    <row r="1629">
      <c r="A1629">
        <f>$B$3+$B$5*26</f>
        <v/>
      </c>
      <c r="B1629">
        <f>$B$3+$B$5*31</f>
        <v/>
      </c>
      <c r="C1629">
        <f>SUMPRODUCT(Calc!$K$3:$K$22*(Calc!$G$3:$G$22&lt;=A1629))</f>
        <v/>
      </c>
      <c r="D1629">
        <f>SUMPRODUCT(Calc!$K$3:$K$22*(Calc!$G$3:$G$22&gt;A1629)*(Calc!$G$3:$G$22&lt;B1629))</f>
        <v/>
      </c>
      <c r="E1629">
        <f>SUMPRODUCT(Calc!$K$3:$K$22*(Calc!$G$3:$G$22&gt;=B1629))</f>
        <v/>
      </c>
      <c r="F1629">
        <f>AND(k_n&gt;=5,B1629&gt;A1629+1E-9,C1629&gt;=2,D1629&gt;=1,E1629&gt;=2)</f>
        <v/>
      </c>
      <c r="G1629">
        <f>SUMPRODUCT(Calc!$K$3:$K$22*(Calc!$G$3:$G$22&gt;A1629)*(Calc!$G$3:$G$22-A1629))</f>
        <v/>
      </c>
      <c r="H1629">
        <f>SUMPRODUCT(Calc!$K$3:$K$22*(Calc!$G$3:$G$22&gt;B1629)*(Calc!$G$3:$G$22-B1629))</f>
        <v/>
      </c>
      <c r="I1629">
        <f>SUMPRODUCT(Calc!$K$3:$K$22*(Calc!$G$3:$G$22&gt;A1629)*(Calc!$G$3:$G$22-A1629)^2)</f>
        <v/>
      </c>
      <c r="J1629">
        <f>SUMPRODUCT(Calc!$K$3:$K$22*(Calc!$G$3:$G$22&gt;B1629)*(Calc!$G$3:$G$22-B1629)^2)</f>
        <v/>
      </c>
      <c r="K1629">
        <f>SUMPRODUCT(Calc!$K$3:$K$22*(Calc!$G$3:$G$22&gt;A1629)*(Calc!$G$3:$G$22-A1629)*(Calc!$G$3:$G$22&gt;B1629)*(Calc!$G$3:$G$22-B1629))</f>
        <v/>
      </c>
      <c r="L1629">
        <f>SUMPRODUCT(Calc!$K$3:$K$22*(Calc!$G$3:$G$22&gt;A1629)*(Calc!$G$3:$G$22-A1629)*Calc!$G$3:$G$22)</f>
        <v/>
      </c>
      <c r="M1629">
        <f>SUMPRODUCT(Calc!$K$3:$K$22*(Calc!$G$3:$G$22&gt;B1629)*(Calc!$G$3:$G$22-B1629)*Calc!$G$3:$G$22)</f>
        <v/>
      </c>
      <c r="N1629">
        <f>SUMPRODUCT(Calc!$K$3:$K$22*(Calc!$G$3:$G$22&gt;A1629)*(Calc!$G$3:$G$22-A1629)*Calc!$I$3:$I$22)</f>
        <v/>
      </c>
      <c r="O1629">
        <f>SUMPRODUCT(Calc!$K$3:$K$22*(Calc!$G$3:$G$22&gt;B1629)*(Calc!$G$3:$G$22-B1629)*Calc!$I$3:$I$22)</f>
        <v/>
      </c>
      <c r="P1629">
        <f>I1629-G1629^2/k_n</f>
        <v/>
      </c>
      <c r="Q1629">
        <f>J1629-H1629^2/k_n</f>
        <v/>
      </c>
      <c r="R1629">
        <f>K1629-G1629*H1629/k_n</f>
        <v/>
      </c>
      <c r="S1629">
        <f>L1629-LTP3!$D$3*G1629/k_n</f>
        <v/>
      </c>
      <c r="T1629">
        <f>M1629-LTP3!$D$3*H1629/k_n</f>
        <v/>
      </c>
      <c r="U1629">
        <f>N1629-G1629*LTP3!$D$4/k_n</f>
        <v/>
      </c>
      <c r="V1629">
        <f>O1629-H1629*LTP3!$D$4/k_n</f>
        <v/>
      </c>
      <c r="W1629">
        <f>((LTP3!$D$5)*((P1629)*(Q1629)-(R1629)*(R1629))-(S1629)*((S1629)*(Q1629)-(R1629)*(T1629))+(T1629)*((S1629)*(R1629)-(P1629)*(T1629)))</f>
        <v/>
      </c>
      <c r="X1629">
        <f>IF(ABS(W1629)&gt;1E-12,((LTP3!$D$6)*((P1629)*(Q1629)-(R1629)*(R1629))-(S1629)*((U1629)*(Q1629)-(R1629)*(V1629))+(T1629)*((U1629)*(R1629)-(P1629)*(V1629)))/W1629,0)</f>
        <v/>
      </c>
      <c r="Y1629">
        <f>IF(ABS(W1629)&gt;1E-12,((LTP3!$D$5)*((U1629)*(Q1629)-(R1629)*(V1629))-(LTP3!$D$6)*((S1629)*(Q1629)-(R1629)*(T1629))+(T1629)*((S1629)*(V1629)-(U1629)*(T1629)))/W1629,0)</f>
        <v/>
      </c>
      <c r="Z1629">
        <f>IF(ABS(W1629)&gt;1E-12,((LTP3!$D$5)*((P1629)*(V1629)-(U1629)*(R1629))-(S1629)*((S1629)*(V1629)-(U1629)*(T1629))+(LTP3!$D$6)*((S1629)*(R1629)-(P1629)*(T1629)))/W1629,0)</f>
        <v/>
      </c>
      <c r="AA1629">
        <f>LTP3!$D$7-X1629*LTP3!$D$6-Y1629*U1629-Z1629*V1629</f>
        <v/>
      </c>
      <c r="AB1629">
        <f>IF(AND(F1629,ABS(W1629)&gt;1E-12,Y1629&gt;0,Z1629&gt;0),AA1629,1E+300)</f>
        <v/>
      </c>
    </row>
    <row r="1630">
      <c r="A1630">
        <f>$B$3+$B$5*26</f>
        <v/>
      </c>
      <c r="B1630">
        <f>$B$3+$B$5*32</f>
        <v/>
      </c>
      <c r="C1630">
        <f>SUMPRODUCT(Calc!$K$3:$K$22*(Calc!$G$3:$G$22&lt;=A1630))</f>
        <v/>
      </c>
      <c r="D1630">
        <f>SUMPRODUCT(Calc!$K$3:$K$22*(Calc!$G$3:$G$22&gt;A1630)*(Calc!$G$3:$G$22&lt;B1630))</f>
        <v/>
      </c>
      <c r="E1630">
        <f>SUMPRODUCT(Calc!$K$3:$K$22*(Calc!$G$3:$G$22&gt;=B1630))</f>
        <v/>
      </c>
      <c r="F1630">
        <f>AND(k_n&gt;=5,B1630&gt;A1630+1E-9,C1630&gt;=2,D1630&gt;=1,E1630&gt;=2)</f>
        <v/>
      </c>
      <c r="G1630">
        <f>SUMPRODUCT(Calc!$K$3:$K$22*(Calc!$G$3:$G$22&gt;A1630)*(Calc!$G$3:$G$22-A1630))</f>
        <v/>
      </c>
      <c r="H1630">
        <f>SUMPRODUCT(Calc!$K$3:$K$22*(Calc!$G$3:$G$22&gt;B1630)*(Calc!$G$3:$G$22-B1630))</f>
        <v/>
      </c>
      <c r="I1630">
        <f>SUMPRODUCT(Calc!$K$3:$K$22*(Calc!$G$3:$G$22&gt;A1630)*(Calc!$G$3:$G$22-A1630)^2)</f>
        <v/>
      </c>
      <c r="J1630">
        <f>SUMPRODUCT(Calc!$K$3:$K$22*(Calc!$G$3:$G$22&gt;B1630)*(Calc!$G$3:$G$22-B1630)^2)</f>
        <v/>
      </c>
      <c r="K1630">
        <f>SUMPRODUCT(Calc!$K$3:$K$22*(Calc!$G$3:$G$22&gt;A1630)*(Calc!$G$3:$G$22-A1630)*(Calc!$G$3:$G$22&gt;B1630)*(Calc!$G$3:$G$22-B1630))</f>
        <v/>
      </c>
      <c r="L1630">
        <f>SUMPRODUCT(Calc!$K$3:$K$22*(Calc!$G$3:$G$22&gt;A1630)*(Calc!$G$3:$G$22-A1630)*Calc!$G$3:$G$22)</f>
        <v/>
      </c>
      <c r="M1630">
        <f>SUMPRODUCT(Calc!$K$3:$K$22*(Calc!$G$3:$G$22&gt;B1630)*(Calc!$G$3:$G$22-B1630)*Calc!$G$3:$G$22)</f>
        <v/>
      </c>
      <c r="N1630">
        <f>SUMPRODUCT(Calc!$K$3:$K$22*(Calc!$G$3:$G$22&gt;A1630)*(Calc!$G$3:$G$22-A1630)*Calc!$I$3:$I$22)</f>
        <v/>
      </c>
      <c r="O1630">
        <f>SUMPRODUCT(Calc!$K$3:$K$22*(Calc!$G$3:$G$22&gt;B1630)*(Calc!$G$3:$G$22-B1630)*Calc!$I$3:$I$22)</f>
        <v/>
      </c>
      <c r="P1630">
        <f>I1630-G1630^2/k_n</f>
        <v/>
      </c>
      <c r="Q1630">
        <f>J1630-H1630^2/k_n</f>
        <v/>
      </c>
      <c r="R1630">
        <f>K1630-G1630*H1630/k_n</f>
        <v/>
      </c>
      <c r="S1630">
        <f>L1630-LTP3!$D$3*G1630/k_n</f>
        <v/>
      </c>
      <c r="T1630">
        <f>M1630-LTP3!$D$3*H1630/k_n</f>
        <v/>
      </c>
      <c r="U1630">
        <f>N1630-G1630*LTP3!$D$4/k_n</f>
        <v/>
      </c>
      <c r="V1630">
        <f>O1630-H1630*LTP3!$D$4/k_n</f>
        <v/>
      </c>
      <c r="W1630">
        <f>((LTP3!$D$5)*((P1630)*(Q1630)-(R1630)*(R1630))-(S1630)*((S1630)*(Q1630)-(R1630)*(T1630))+(T1630)*((S1630)*(R1630)-(P1630)*(T1630)))</f>
        <v/>
      </c>
      <c r="X1630">
        <f>IF(ABS(W1630)&gt;1E-12,((LTP3!$D$6)*((P1630)*(Q1630)-(R1630)*(R1630))-(S1630)*((U1630)*(Q1630)-(R1630)*(V1630))+(T1630)*((U1630)*(R1630)-(P1630)*(V1630)))/W1630,0)</f>
        <v/>
      </c>
      <c r="Y1630">
        <f>IF(ABS(W1630)&gt;1E-12,((LTP3!$D$5)*((U1630)*(Q1630)-(R1630)*(V1630))-(LTP3!$D$6)*((S1630)*(Q1630)-(R1630)*(T1630))+(T1630)*((S1630)*(V1630)-(U1630)*(T1630)))/W1630,0)</f>
        <v/>
      </c>
      <c r="Z1630">
        <f>IF(ABS(W1630)&gt;1E-12,((LTP3!$D$5)*((P1630)*(V1630)-(U1630)*(R1630))-(S1630)*((S1630)*(V1630)-(U1630)*(T1630))+(LTP3!$D$6)*((S1630)*(R1630)-(P1630)*(T1630)))/W1630,0)</f>
        <v/>
      </c>
      <c r="AA1630">
        <f>LTP3!$D$7-X1630*LTP3!$D$6-Y1630*U1630-Z1630*V1630</f>
        <v/>
      </c>
      <c r="AB1630">
        <f>IF(AND(F1630,ABS(W1630)&gt;1E-12,Y1630&gt;0,Z1630&gt;0),AA1630,1E+300)</f>
        <v/>
      </c>
    </row>
    <row r="1631">
      <c r="A1631">
        <f>$B$3+$B$5*26</f>
        <v/>
      </c>
      <c r="B1631">
        <f>$B$3+$B$5*33</f>
        <v/>
      </c>
      <c r="C1631">
        <f>SUMPRODUCT(Calc!$K$3:$K$22*(Calc!$G$3:$G$22&lt;=A1631))</f>
        <v/>
      </c>
      <c r="D1631">
        <f>SUMPRODUCT(Calc!$K$3:$K$22*(Calc!$G$3:$G$22&gt;A1631)*(Calc!$G$3:$G$22&lt;B1631))</f>
        <v/>
      </c>
      <c r="E1631">
        <f>SUMPRODUCT(Calc!$K$3:$K$22*(Calc!$G$3:$G$22&gt;=B1631))</f>
        <v/>
      </c>
      <c r="F1631">
        <f>AND(k_n&gt;=5,B1631&gt;A1631+1E-9,C1631&gt;=2,D1631&gt;=1,E1631&gt;=2)</f>
        <v/>
      </c>
      <c r="G1631">
        <f>SUMPRODUCT(Calc!$K$3:$K$22*(Calc!$G$3:$G$22&gt;A1631)*(Calc!$G$3:$G$22-A1631))</f>
        <v/>
      </c>
      <c r="H1631">
        <f>SUMPRODUCT(Calc!$K$3:$K$22*(Calc!$G$3:$G$22&gt;B1631)*(Calc!$G$3:$G$22-B1631))</f>
        <v/>
      </c>
      <c r="I1631">
        <f>SUMPRODUCT(Calc!$K$3:$K$22*(Calc!$G$3:$G$22&gt;A1631)*(Calc!$G$3:$G$22-A1631)^2)</f>
        <v/>
      </c>
      <c r="J1631">
        <f>SUMPRODUCT(Calc!$K$3:$K$22*(Calc!$G$3:$G$22&gt;B1631)*(Calc!$G$3:$G$22-B1631)^2)</f>
        <v/>
      </c>
      <c r="K1631">
        <f>SUMPRODUCT(Calc!$K$3:$K$22*(Calc!$G$3:$G$22&gt;A1631)*(Calc!$G$3:$G$22-A1631)*(Calc!$G$3:$G$22&gt;B1631)*(Calc!$G$3:$G$22-B1631))</f>
        <v/>
      </c>
      <c r="L1631">
        <f>SUMPRODUCT(Calc!$K$3:$K$22*(Calc!$G$3:$G$22&gt;A1631)*(Calc!$G$3:$G$22-A1631)*Calc!$G$3:$G$22)</f>
        <v/>
      </c>
      <c r="M1631">
        <f>SUMPRODUCT(Calc!$K$3:$K$22*(Calc!$G$3:$G$22&gt;B1631)*(Calc!$G$3:$G$22-B1631)*Calc!$G$3:$G$22)</f>
        <v/>
      </c>
      <c r="N1631">
        <f>SUMPRODUCT(Calc!$K$3:$K$22*(Calc!$G$3:$G$22&gt;A1631)*(Calc!$G$3:$G$22-A1631)*Calc!$I$3:$I$22)</f>
        <v/>
      </c>
      <c r="O1631">
        <f>SUMPRODUCT(Calc!$K$3:$K$22*(Calc!$G$3:$G$22&gt;B1631)*(Calc!$G$3:$G$22-B1631)*Calc!$I$3:$I$22)</f>
        <v/>
      </c>
      <c r="P1631">
        <f>I1631-G1631^2/k_n</f>
        <v/>
      </c>
      <c r="Q1631">
        <f>J1631-H1631^2/k_n</f>
        <v/>
      </c>
      <c r="R1631">
        <f>K1631-G1631*H1631/k_n</f>
        <v/>
      </c>
      <c r="S1631">
        <f>L1631-LTP3!$D$3*G1631/k_n</f>
        <v/>
      </c>
      <c r="T1631">
        <f>M1631-LTP3!$D$3*H1631/k_n</f>
        <v/>
      </c>
      <c r="U1631">
        <f>N1631-G1631*LTP3!$D$4/k_n</f>
        <v/>
      </c>
      <c r="V1631">
        <f>O1631-H1631*LTP3!$D$4/k_n</f>
        <v/>
      </c>
      <c r="W1631">
        <f>((LTP3!$D$5)*((P1631)*(Q1631)-(R1631)*(R1631))-(S1631)*((S1631)*(Q1631)-(R1631)*(T1631))+(T1631)*((S1631)*(R1631)-(P1631)*(T1631)))</f>
        <v/>
      </c>
      <c r="X1631">
        <f>IF(ABS(W1631)&gt;1E-12,((LTP3!$D$6)*((P1631)*(Q1631)-(R1631)*(R1631))-(S1631)*((U1631)*(Q1631)-(R1631)*(V1631))+(T1631)*((U1631)*(R1631)-(P1631)*(V1631)))/W1631,0)</f>
        <v/>
      </c>
      <c r="Y1631">
        <f>IF(ABS(W1631)&gt;1E-12,((LTP3!$D$5)*((U1631)*(Q1631)-(R1631)*(V1631))-(LTP3!$D$6)*((S1631)*(Q1631)-(R1631)*(T1631))+(T1631)*((S1631)*(V1631)-(U1631)*(T1631)))/W1631,0)</f>
        <v/>
      </c>
      <c r="Z1631">
        <f>IF(ABS(W1631)&gt;1E-12,((LTP3!$D$5)*((P1631)*(V1631)-(U1631)*(R1631))-(S1631)*((S1631)*(V1631)-(U1631)*(T1631))+(LTP3!$D$6)*((S1631)*(R1631)-(P1631)*(T1631)))/W1631,0)</f>
        <v/>
      </c>
      <c r="AA1631">
        <f>LTP3!$D$7-X1631*LTP3!$D$6-Y1631*U1631-Z1631*V1631</f>
        <v/>
      </c>
      <c r="AB1631">
        <f>IF(AND(F1631,ABS(W1631)&gt;1E-12,Y1631&gt;0,Z1631&gt;0),AA1631,1E+300)</f>
        <v/>
      </c>
    </row>
    <row r="1632">
      <c r="A1632">
        <f>$B$3+$B$5*26</f>
        <v/>
      </c>
      <c r="B1632">
        <f>$B$3+$B$5*34</f>
        <v/>
      </c>
      <c r="C1632">
        <f>SUMPRODUCT(Calc!$K$3:$K$22*(Calc!$G$3:$G$22&lt;=A1632))</f>
        <v/>
      </c>
      <c r="D1632">
        <f>SUMPRODUCT(Calc!$K$3:$K$22*(Calc!$G$3:$G$22&gt;A1632)*(Calc!$G$3:$G$22&lt;B1632))</f>
        <v/>
      </c>
      <c r="E1632">
        <f>SUMPRODUCT(Calc!$K$3:$K$22*(Calc!$G$3:$G$22&gt;=B1632))</f>
        <v/>
      </c>
      <c r="F1632">
        <f>AND(k_n&gt;=5,B1632&gt;A1632+1E-9,C1632&gt;=2,D1632&gt;=1,E1632&gt;=2)</f>
        <v/>
      </c>
      <c r="G1632">
        <f>SUMPRODUCT(Calc!$K$3:$K$22*(Calc!$G$3:$G$22&gt;A1632)*(Calc!$G$3:$G$22-A1632))</f>
        <v/>
      </c>
      <c r="H1632">
        <f>SUMPRODUCT(Calc!$K$3:$K$22*(Calc!$G$3:$G$22&gt;B1632)*(Calc!$G$3:$G$22-B1632))</f>
        <v/>
      </c>
      <c r="I1632">
        <f>SUMPRODUCT(Calc!$K$3:$K$22*(Calc!$G$3:$G$22&gt;A1632)*(Calc!$G$3:$G$22-A1632)^2)</f>
        <v/>
      </c>
      <c r="J1632">
        <f>SUMPRODUCT(Calc!$K$3:$K$22*(Calc!$G$3:$G$22&gt;B1632)*(Calc!$G$3:$G$22-B1632)^2)</f>
        <v/>
      </c>
      <c r="K1632">
        <f>SUMPRODUCT(Calc!$K$3:$K$22*(Calc!$G$3:$G$22&gt;A1632)*(Calc!$G$3:$G$22-A1632)*(Calc!$G$3:$G$22&gt;B1632)*(Calc!$G$3:$G$22-B1632))</f>
        <v/>
      </c>
      <c r="L1632">
        <f>SUMPRODUCT(Calc!$K$3:$K$22*(Calc!$G$3:$G$22&gt;A1632)*(Calc!$G$3:$G$22-A1632)*Calc!$G$3:$G$22)</f>
        <v/>
      </c>
      <c r="M1632">
        <f>SUMPRODUCT(Calc!$K$3:$K$22*(Calc!$G$3:$G$22&gt;B1632)*(Calc!$G$3:$G$22-B1632)*Calc!$G$3:$G$22)</f>
        <v/>
      </c>
      <c r="N1632">
        <f>SUMPRODUCT(Calc!$K$3:$K$22*(Calc!$G$3:$G$22&gt;A1632)*(Calc!$G$3:$G$22-A1632)*Calc!$I$3:$I$22)</f>
        <v/>
      </c>
      <c r="O1632">
        <f>SUMPRODUCT(Calc!$K$3:$K$22*(Calc!$G$3:$G$22&gt;B1632)*(Calc!$G$3:$G$22-B1632)*Calc!$I$3:$I$22)</f>
        <v/>
      </c>
      <c r="P1632">
        <f>I1632-G1632^2/k_n</f>
        <v/>
      </c>
      <c r="Q1632">
        <f>J1632-H1632^2/k_n</f>
        <v/>
      </c>
      <c r="R1632">
        <f>K1632-G1632*H1632/k_n</f>
        <v/>
      </c>
      <c r="S1632">
        <f>L1632-LTP3!$D$3*G1632/k_n</f>
        <v/>
      </c>
      <c r="T1632">
        <f>M1632-LTP3!$D$3*H1632/k_n</f>
        <v/>
      </c>
      <c r="U1632">
        <f>N1632-G1632*LTP3!$D$4/k_n</f>
        <v/>
      </c>
      <c r="V1632">
        <f>O1632-H1632*LTP3!$D$4/k_n</f>
        <v/>
      </c>
      <c r="W1632">
        <f>((LTP3!$D$5)*((P1632)*(Q1632)-(R1632)*(R1632))-(S1632)*((S1632)*(Q1632)-(R1632)*(T1632))+(T1632)*((S1632)*(R1632)-(P1632)*(T1632)))</f>
        <v/>
      </c>
      <c r="X1632">
        <f>IF(ABS(W1632)&gt;1E-12,((LTP3!$D$6)*((P1632)*(Q1632)-(R1632)*(R1632))-(S1632)*((U1632)*(Q1632)-(R1632)*(V1632))+(T1632)*((U1632)*(R1632)-(P1632)*(V1632)))/W1632,0)</f>
        <v/>
      </c>
      <c r="Y1632">
        <f>IF(ABS(W1632)&gt;1E-12,((LTP3!$D$5)*((U1632)*(Q1632)-(R1632)*(V1632))-(LTP3!$D$6)*((S1632)*(Q1632)-(R1632)*(T1632))+(T1632)*((S1632)*(V1632)-(U1632)*(T1632)))/W1632,0)</f>
        <v/>
      </c>
      <c r="Z1632">
        <f>IF(ABS(W1632)&gt;1E-12,((LTP3!$D$5)*((P1632)*(V1632)-(U1632)*(R1632))-(S1632)*((S1632)*(V1632)-(U1632)*(T1632))+(LTP3!$D$6)*((S1632)*(R1632)-(P1632)*(T1632)))/W1632,0)</f>
        <v/>
      </c>
      <c r="AA1632">
        <f>LTP3!$D$7-X1632*LTP3!$D$6-Y1632*U1632-Z1632*V1632</f>
        <v/>
      </c>
      <c r="AB1632">
        <f>IF(AND(F1632,ABS(W1632)&gt;1E-12,Y1632&gt;0,Z1632&gt;0),AA1632,1E+300)</f>
        <v/>
      </c>
    </row>
    <row r="1633">
      <c r="A1633">
        <f>$B$3+$B$5*26</f>
        <v/>
      </c>
      <c r="B1633">
        <f>$B$3+$B$5*35</f>
        <v/>
      </c>
      <c r="C1633">
        <f>SUMPRODUCT(Calc!$K$3:$K$22*(Calc!$G$3:$G$22&lt;=A1633))</f>
        <v/>
      </c>
      <c r="D1633">
        <f>SUMPRODUCT(Calc!$K$3:$K$22*(Calc!$G$3:$G$22&gt;A1633)*(Calc!$G$3:$G$22&lt;B1633))</f>
        <v/>
      </c>
      <c r="E1633">
        <f>SUMPRODUCT(Calc!$K$3:$K$22*(Calc!$G$3:$G$22&gt;=B1633))</f>
        <v/>
      </c>
      <c r="F1633">
        <f>AND(k_n&gt;=5,B1633&gt;A1633+1E-9,C1633&gt;=2,D1633&gt;=1,E1633&gt;=2)</f>
        <v/>
      </c>
      <c r="G1633">
        <f>SUMPRODUCT(Calc!$K$3:$K$22*(Calc!$G$3:$G$22&gt;A1633)*(Calc!$G$3:$G$22-A1633))</f>
        <v/>
      </c>
      <c r="H1633">
        <f>SUMPRODUCT(Calc!$K$3:$K$22*(Calc!$G$3:$G$22&gt;B1633)*(Calc!$G$3:$G$22-B1633))</f>
        <v/>
      </c>
      <c r="I1633">
        <f>SUMPRODUCT(Calc!$K$3:$K$22*(Calc!$G$3:$G$22&gt;A1633)*(Calc!$G$3:$G$22-A1633)^2)</f>
        <v/>
      </c>
      <c r="J1633">
        <f>SUMPRODUCT(Calc!$K$3:$K$22*(Calc!$G$3:$G$22&gt;B1633)*(Calc!$G$3:$G$22-B1633)^2)</f>
        <v/>
      </c>
      <c r="K1633">
        <f>SUMPRODUCT(Calc!$K$3:$K$22*(Calc!$G$3:$G$22&gt;A1633)*(Calc!$G$3:$G$22-A1633)*(Calc!$G$3:$G$22&gt;B1633)*(Calc!$G$3:$G$22-B1633))</f>
        <v/>
      </c>
      <c r="L1633">
        <f>SUMPRODUCT(Calc!$K$3:$K$22*(Calc!$G$3:$G$22&gt;A1633)*(Calc!$G$3:$G$22-A1633)*Calc!$G$3:$G$22)</f>
        <v/>
      </c>
      <c r="M1633">
        <f>SUMPRODUCT(Calc!$K$3:$K$22*(Calc!$G$3:$G$22&gt;B1633)*(Calc!$G$3:$G$22-B1633)*Calc!$G$3:$G$22)</f>
        <v/>
      </c>
      <c r="N1633">
        <f>SUMPRODUCT(Calc!$K$3:$K$22*(Calc!$G$3:$G$22&gt;A1633)*(Calc!$G$3:$G$22-A1633)*Calc!$I$3:$I$22)</f>
        <v/>
      </c>
      <c r="O1633">
        <f>SUMPRODUCT(Calc!$K$3:$K$22*(Calc!$G$3:$G$22&gt;B1633)*(Calc!$G$3:$G$22-B1633)*Calc!$I$3:$I$22)</f>
        <v/>
      </c>
      <c r="P1633">
        <f>I1633-G1633^2/k_n</f>
        <v/>
      </c>
      <c r="Q1633">
        <f>J1633-H1633^2/k_n</f>
        <v/>
      </c>
      <c r="R1633">
        <f>K1633-G1633*H1633/k_n</f>
        <v/>
      </c>
      <c r="S1633">
        <f>L1633-LTP3!$D$3*G1633/k_n</f>
        <v/>
      </c>
      <c r="T1633">
        <f>M1633-LTP3!$D$3*H1633/k_n</f>
        <v/>
      </c>
      <c r="U1633">
        <f>N1633-G1633*LTP3!$D$4/k_n</f>
        <v/>
      </c>
      <c r="V1633">
        <f>O1633-H1633*LTP3!$D$4/k_n</f>
        <v/>
      </c>
      <c r="W1633">
        <f>((LTP3!$D$5)*((P1633)*(Q1633)-(R1633)*(R1633))-(S1633)*((S1633)*(Q1633)-(R1633)*(T1633))+(T1633)*((S1633)*(R1633)-(P1633)*(T1633)))</f>
        <v/>
      </c>
      <c r="X1633">
        <f>IF(ABS(W1633)&gt;1E-12,((LTP3!$D$6)*((P1633)*(Q1633)-(R1633)*(R1633))-(S1633)*((U1633)*(Q1633)-(R1633)*(V1633))+(T1633)*((U1633)*(R1633)-(P1633)*(V1633)))/W1633,0)</f>
        <v/>
      </c>
      <c r="Y1633">
        <f>IF(ABS(W1633)&gt;1E-12,((LTP3!$D$5)*((U1633)*(Q1633)-(R1633)*(V1633))-(LTP3!$D$6)*((S1633)*(Q1633)-(R1633)*(T1633))+(T1633)*((S1633)*(V1633)-(U1633)*(T1633)))/W1633,0)</f>
        <v/>
      </c>
      <c r="Z1633">
        <f>IF(ABS(W1633)&gt;1E-12,((LTP3!$D$5)*((P1633)*(V1633)-(U1633)*(R1633))-(S1633)*((S1633)*(V1633)-(U1633)*(T1633))+(LTP3!$D$6)*((S1633)*(R1633)-(P1633)*(T1633)))/W1633,0)</f>
        <v/>
      </c>
      <c r="AA1633">
        <f>LTP3!$D$7-X1633*LTP3!$D$6-Y1633*U1633-Z1633*V1633</f>
        <v/>
      </c>
      <c r="AB1633">
        <f>IF(AND(F1633,ABS(W1633)&gt;1E-12,Y1633&gt;0,Z1633&gt;0),AA1633,1E+300)</f>
        <v/>
      </c>
    </row>
    <row r="1634">
      <c r="A1634">
        <f>$B$3+$B$5*26</f>
        <v/>
      </c>
      <c r="B1634">
        <f>$B$3+$B$5*36</f>
        <v/>
      </c>
      <c r="C1634">
        <f>SUMPRODUCT(Calc!$K$3:$K$22*(Calc!$G$3:$G$22&lt;=A1634))</f>
        <v/>
      </c>
      <c r="D1634">
        <f>SUMPRODUCT(Calc!$K$3:$K$22*(Calc!$G$3:$G$22&gt;A1634)*(Calc!$G$3:$G$22&lt;B1634))</f>
        <v/>
      </c>
      <c r="E1634">
        <f>SUMPRODUCT(Calc!$K$3:$K$22*(Calc!$G$3:$G$22&gt;=B1634))</f>
        <v/>
      </c>
      <c r="F1634">
        <f>AND(k_n&gt;=5,B1634&gt;A1634+1E-9,C1634&gt;=2,D1634&gt;=1,E1634&gt;=2)</f>
        <v/>
      </c>
      <c r="G1634">
        <f>SUMPRODUCT(Calc!$K$3:$K$22*(Calc!$G$3:$G$22&gt;A1634)*(Calc!$G$3:$G$22-A1634))</f>
        <v/>
      </c>
      <c r="H1634">
        <f>SUMPRODUCT(Calc!$K$3:$K$22*(Calc!$G$3:$G$22&gt;B1634)*(Calc!$G$3:$G$22-B1634))</f>
        <v/>
      </c>
      <c r="I1634">
        <f>SUMPRODUCT(Calc!$K$3:$K$22*(Calc!$G$3:$G$22&gt;A1634)*(Calc!$G$3:$G$22-A1634)^2)</f>
        <v/>
      </c>
      <c r="J1634">
        <f>SUMPRODUCT(Calc!$K$3:$K$22*(Calc!$G$3:$G$22&gt;B1634)*(Calc!$G$3:$G$22-B1634)^2)</f>
        <v/>
      </c>
      <c r="K1634">
        <f>SUMPRODUCT(Calc!$K$3:$K$22*(Calc!$G$3:$G$22&gt;A1634)*(Calc!$G$3:$G$22-A1634)*(Calc!$G$3:$G$22&gt;B1634)*(Calc!$G$3:$G$22-B1634))</f>
        <v/>
      </c>
      <c r="L1634">
        <f>SUMPRODUCT(Calc!$K$3:$K$22*(Calc!$G$3:$G$22&gt;A1634)*(Calc!$G$3:$G$22-A1634)*Calc!$G$3:$G$22)</f>
        <v/>
      </c>
      <c r="M1634">
        <f>SUMPRODUCT(Calc!$K$3:$K$22*(Calc!$G$3:$G$22&gt;B1634)*(Calc!$G$3:$G$22-B1634)*Calc!$G$3:$G$22)</f>
        <v/>
      </c>
      <c r="N1634">
        <f>SUMPRODUCT(Calc!$K$3:$K$22*(Calc!$G$3:$G$22&gt;A1634)*(Calc!$G$3:$G$22-A1634)*Calc!$I$3:$I$22)</f>
        <v/>
      </c>
      <c r="O1634">
        <f>SUMPRODUCT(Calc!$K$3:$K$22*(Calc!$G$3:$G$22&gt;B1634)*(Calc!$G$3:$G$22-B1634)*Calc!$I$3:$I$22)</f>
        <v/>
      </c>
      <c r="P1634">
        <f>I1634-G1634^2/k_n</f>
        <v/>
      </c>
      <c r="Q1634">
        <f>J1634-H1634^2/k_n</f>
        <v/>
      </c>
      <c r="R1634">
        <f>K1634-G1634*H1634/k_n</f>
        <v/>
      </c>
      <c r="S1634">
        <f>L1634-LTP3!$D$3*G1634/k_n</f>
        <v/>
      </c>
      <c r="T1634">
        <f>M1634-LTP3!$D$3*H1634/k_n</f>
        <v/>
      </c>
      <c r="U1634">
        <f>N1634-G1634*LTP3!$D$4/k_n</f>
        <v/>
      </c>
      <c r="V1634">
        <f>O1634-H1634*LTP3!$D$4/k_n</f>
        <v/>
      </c>
      <c r="W1634">
        <f>((LTP3!$D$5)*((P1634)*(Q1634)-(R1634)*(R1634))-(S1634)*((S1634)*(Q1634)-(R1634)*(T1634))+(T1634)*((S1634)*(R1634)-(P1634)*(T1634)))</f>
        <v/>
      </c>
      <c r="X1634">
        <f>IF(ABS(W1634)&gt;1E-12,((LTP3!$D$6)*((P1634)*(Q1634)-(R1634)*(R1634))-(S1634)*((U1634)*(Q1634)-(R1634)*(V1634))+(T1634)*((U1634)*(R1634)-(P1634)*(V1634)))/W1634,0)</f>
        <v/>
      </c>
      <c r="Y1634">
        <f>IF(ABS(W1634)&gt;1E-12,((LTP3!$D$5)*((U1634)*(Q1634)-(R1634)*(V1634))-(LTP3!$D$6)*((S1634)*(Q1634)-(R1634)*(T1634))+(T1634)*((S1634)*(V1634)-(U1634)*(T1634)))/W1634,0)</f>
        <v/>
      </c>
      <c r="Z1634">
        <f>IF(ABS(W1634)&gt;1E-12,((LTP3!$D$5)*((P1634)*(V1634)-(U1634)*(R1634))-(S1634)*((S1634)*(V1634)-(U1634)*(T1634))+(LTP3!$D$6)*((S1634)*(R1634)-(P1634)*(T1634)))/W1634,0)</f>
        <v/>
      </c>
      <c r="AA1634">
        <f>LTP3!$D$7-X1634*LTP3!$D$6-Y1634*U1634-Z1634*V1634</f>
        <v/>
      </c>
      <c r="AB1634">
        <f>IF(AND(F1634,ABS(W1634)&gt;1E-12,Y1634&gt;0,Z1634&gt;0),AA1634,1E+300)</f>
        <v/>
      </c>
    </row>
    <row r="1635">
      <c r="A1635">
        <f>$B$3+$B$5*26</f>
        <v/>
      </c>
      <c r="B1635">
        <f>$B$3+$B$5*37</f>
        <v/>
      </c>
      <c r="C1635">
        <f>SUMPRODUCT(Calc!$K$3:$K$22*(Calc!$G$3:$G$22&lt;=A1635))</f>
        <v/>
      </c>
      <c r="D1635">
        <f>SUMPRODUCT(Calc!$K$3:$K$22*(Calc!$G$3:$G$22&gt;A1635)*(Calc!$G$3:$G$22&lt;B1635))</f>
        <v/>
      </c>
      <c r="E1635">
        <f>SUMPRODUCT(Calc!$K$3:$K$22*(Calc!$G$3:$G$22&gt;=B1635))</f>
        <v/>
      </c>
      <c r="F1635">
        <f>AND(k_n&gt;=5,B1635&gt;A1635+1E-9,C1635&gt;=2,D1635&gt;=1,E1635&gt;=2)</f>
        <v/>
      </c>
      <c r="G1635">
        <f>SUMPRODUCT(Calc!$K$3:$K$22*(Calc!$G$3:$G$22&gt;A1635)*(Calc!$G$3:$G$22-A1635))</f>
        <v/>
      </c>
      <c r="H1635">
        <f>SUMPRODUCT(Calc!$K$3:$K$22*(Calc!$G$3:$G$22&gt;B1635)*(Calc!$G$3:$G$22-B1635))</f>
        <v/>
      </c>
      <c r="I1635">
        <f>SUMPRODUCT(Calc!$K$3:$K$22*(Calc!$G$3:$G$22&gt;A1635)*(Calc!$G$3:$G$22-A1635)^2)</f>
        <v/>
      </c>
      <c r="J1635">
        <f>SUMPRODUCT(Calc!$K$3:$K$22*(Calc!$G$3:$G$22&gt;B1635)*(Calc!$G$3:$G$22-B1635)^2)</f>
        <v/>
      </c>
      <c r="K1635">
        <f>SUMPRODUCT(Calc!$K$3:$K$22*(Calc!$G$3:$G$22&gt;A1635)*(Calc!$G$3:$G$22-A1635)*(Calc!$G$3:$G$22&gt;B1635)*(Calc!$G$3:$G$22-B1635))</f>
        <v/>
      </c>
      <c r="L1635">
        <f>SUMPRODUCT(Calc!$K$3:$K$22*(Calc!$G$3:$G$22&gt;A1635)*(Calc!$G$3:$G$22-A1635)*Calc!$G$3:$G$22)</f>
        <v/>
      </c>
      <c r="M1635">
        <f>SUMPRODUCT(Calc!$K$3:$K$22*(Calc!$G$3:$G$22&gt;B1635)*(Calc!$G$3:$G$22-B1635)*Calc!$G$3:$G$22)</f>
        <v/>
      </c>
      <c r="N1635">
        <f>SUMPRODUCT(Calc!$K$3:$K$22*(Calc!$G$3:$G$22&gt;A1635)*(Calc!$G$3:$G$22-A1635)*Calc!$I$3:$I$22)</f>
        <v/>
      </c>
      <c r="O1635">
        <f>SUMPRODUCT(Calc!$K$3:$K$22*(Calc!$G$3:$G$22&gt;B1635)*(Calc!$G$3:$G$22-B1635)*Calc!$I$3:$I$22)</f>
        <v/>
      </c>
      <c r="P1635">
        <f>I1635-G1635^2/k_n</f>
        <v/>
      </c>
      <c r="Q1635">
        <f>J1635-H1635^2/k_n</f>
        <v/>
      </c>
      <c r="R1635">
        <f>K1635-G1635*H1635/k_n</f>
        <v/>
      </c>
      <c r="S1635">
        <f>L1635-LTP3!$D$3*G1635/k_n</f>
        <v/>
      </c>
      <c r="T1635">
        <f>M1635-LTP3!$D$3*H1635/k_n</f>
        <v/>
      </c>
      <c r="U1635">
        <f>N1635-G1635*LTP3!$D$4/k_n</f>
        <v/>
      </c>
      <c r="V1635">
        <f>O1635-H1635*LTP3!$D$4/k_n</f>
        <v/>
      </c>
      <c r="W1635">
        <f>((LTP3!$D$5)*((P1635)*(Q1635)-(R1635)*(R1635))-(S1635)*((S1635)*(Q1635)-(R1635)*(T1635))+(T1635)*((S1635)*(R1635)-(P1635)*(T1635)))</f>
        <v/>
      </c>
      <c r="X1635">
        <f>IF(ABS(W1635)&gt;1E-12,((LTP3!$D$6)*((P1635)*(Q1635)-(R1635)*(R1635))-(S1635)*((U1635)*(Q1635)-(R1635)*(V1635))+(T1635)*((U1635)*(R1635)-(P1635)*(V1635)))/W1635,0)</f>
        <v/>
      </c>
      <c r="Y1635">
        <f>IF(ABS(W1635)&gt;1E-12,((LTP3!$D$5)*((U1635)*(Q1635)-(R1635)*(V1635))-(LTP3!$D$6)*((S1635)*(Q1635)-(R1635)*(T1635))+(T1635)*((S1635)*(V1635)-(U1635)*(T1635)))/W1635,0)</f>
        <v/>
      </c>
      <c r="Z1635">
        <f>IF(ABS(W1635)&gt;1E-12,((LTP3!$D$5)*((P1635)*(V1635)-(U1635)*(R1635))-(S1635)*((S1635)*(V1635)-(U1635)*(T1635))+(LTP3!$D$6)*((S1635)*(R1635)-(P1635)*(T1635)))/W1635,0)</f>
        <v/>
      </c>
      <c r="AA1635">
        <f>LTP3!$D$7-X1635*LTP3!$D$6-Y1635*U1635-Z1635*V1635</f>
        <v/>
      </c>
      <c r="AB1635">
        <f>IF(AND(F1635,ABS(W1635)&gt;1E-12,Y1635&gt;0,Z1635&gt;0),AA1635,1E+300)</f>
        <v/>
      </c>
    </row>
    <row r="1636">
      <c r="A1636">
        <f>$B$3+$B$5*26</f>
        <v/>
      </c>
      <c r="B1636">
        <f>$B$3+$B$5*38</f>
        <v/>
      </c>
      <c r="C1636">
        <f>SUMPRODUCT(Calc!$K$3:$K$22*(Calc!$G$3:$G$22&lt;=A1636))</f>
        <v/>
      </c>
      <c r="D1636">
        <f>SUMPRODUCT(Calc!$K$3:$K$22*(Calc!$G$3:$G$22&gt;A1636)*(Calc!$G$3:$G$22&lt;B1636))</f>
        <v/>
      </c>
      <c r="E1636">
        <f>SUMPRODUCT(Calc!$K$3:$K$22*(Calc!$G$3:$G$22&gt;=B1636))</f>
        <v/>
      </c>
      <c r="F1636">
        <f>AND(k_n&gt;=5,B1636&gt;A1636+1E-9,C1636&gt;=2,D1636&gt;=1,E1636&gt;=2)</f>
        <v/>
      </c>
      <c r="G1636">
        <f>SUMPRODUCT(Calc!$K$3:$K$22*(Calc!$G$3:$G$22&gt;A1636)*(Calc!$G$3:$G$22-A1636))</f>
        <v/>
      </c>
      <c r="H1636">
        <f>SUMPRODUCT(Calc!$K$3:$K$22*(Calc!$G$3:$G$22&gt;B1636)*(Calc!$G$3:$G$22-B1636))</f>
        <v/>
      </c>
      <c r="I1636">
        <f>SUMPRODUCT(Calc!$K$3:$K$22*(Calc!$G$3:$G$22&gt;A1636)*(Calc!$G$3:$G$22-A1636)^2)</f>
        <v/>
      </c>
      <c r="J1636">
        <f>SUMPRODUCT(Calc!$K$3:$K$22*(Calc!$G$3:$G$22&gt;B1636)*(Calc!$G$3:$G$22-B1636)^2)</f>
        <v/>
      </c>
      <c r="K1636">
        <f>SUMPRODUCT(Calc!$K$3:$K$22*(Calc!$G$3:$G$22&gt;A1636)*(Calc!$G$3:$G$22-A1636)*(Calc!$G$3:$G$22&gt;B1636)*(Calc!$G$3:$G$22-B1636))</f>
        <v/>
      </c>
      <c r="L1636">
        <f>SUMPRODUCT(Calc!$K$3:$K$22*(Calc!$G$3:$G$22&gt;A1636)*(Calc!$G$3:$G$22-A1636)*Calc!$G$3:$G$22)</f>
        <v/>
      </c>
      <c r="M1636">
        <f>SUMPRODUCT(Calc!$K$3:$K$22*(Calc!$G$3:$G$22&gt;B1636)*(Calc!$G$3:$G$22-B1636)*Calc!$G$3:$G$22)</f>
        <v/>
      </c>
      <c r="N1636">
        <f>SUMPRODUCT(Calc!$K$3:$K$22*(Calc!$G$3:$G$22&gt;A1636)*(Calc!$G$3:$G$22-A1636)*Calc!$I$3:$I$22)</f>
        <v/>
      </c>
      <c r="O1636">
        <f>SUMPRODUCT(Calc!$K$3:$K$22*(Calc!$G$3:$G$22&gt;B1636)*(Calc!$G$3:$G$22-B1636)*Calc!$I$3:$I$22)</f>
        <v/>
      </c>
      <c r="P1636">
        <f>I1636-G1636^2/k_n</f>
        <v/>
      </c>
      <c r="Q1636">
        <f>J1636-H1636^2/k_n</f>
        <v/>
      </c>
      <c r="R1636">
        <f>K1636-G1636*H1636/k_n</f>
        <v/>
      </c>
      <c r="S1636">
        <f>L1636-LTP3!$D$3*G1636/k_n</f>
        <v/>
      </c>
      <c r="T1636">
        <f>M1636-LTP3!$D$3*H1636/k_n</f>
        <v/>
      </c>
      <c r="U1636">
        <f>N1636-G1636*LTP3!$D$4/k_n</f>
        <v/>
      </c>
      <c r="V1636">
        <f>O1636-H1636*LTP3!$D$4/k_n</f>
        <v/>
      </c>
      <c r="W1636">
        <f>((LTP3!$D$5)*((P1636)*(Q1636)-(R1636)*(R1636))-(S1636)*((S1636)*(Q1636)-(R1636)*(T1636))+(T1636)*((S1636)*(R1636)-(P1636)*(T1636)))</f>
        <v/>
      </c>
      <c r="X1636">
        <f>IF(ABS(W1636)&gt;1E-12,((LTP3!$D$6)*((P1636)*(Q1636)-(R1636)*(R1636))-(S1636)*((U1636)*(Q1636)-(R1636)*(V1636))+(T1636)*((U1636)*(R1636)-(P1636)*(V1636)))/W1636,0)</f>
        <v/>
      </c>
      <c r="Y1636">
        <f>IF(ABS(W1636)&gt;1E-12,((LTP3!$D$5)*((U1636)*(Q1636)-(R1636)*(V1636))-(LTP3!$D$6)*((S1636)*(Q1636)-(R1636)*(T1636))+(T1636)*((S1636)*(V1636)-(U1636)*(T1636)))/W1636,0)</f>
        <v/>
      </c>
      <c r="Z1636">
        <f>IF(ABS(W1636)&gt;1E-12,((LTP3!$D$5)*((P1636)*(V1636)-(U1636)*(R1636))-(S1636)*((S1636)*(V1636)-(U1636)*(T1636))+(LTP3!$D$6)*((S1636)*(R1636)-(P1636)*(T1636)))/W1636,0)</f>
        <v/>
      </c>
      <c r="AA1636">
        <f>LTP3!$D$7-X1636*LTP3!$D$6-Y1636*U1636-Z1636*V1636</f>
        <v/>
      </c>
      <c r="AB1636">
        <f>IF(AND(F1636,ABS(W1636)&gt;1E-12,Y1636&gt;0,Z1636&gt;0),AA1636,1E+300)</f>
        <v/>
      </c>
    </row>
    <row r="1637">
      <c r="A1637">
        <f>$B$3+$B$5*26</f>
        <v/>
      </c>
      <c r="B1637">
        <f>$B$3+$B$5*39</f>
        <v/>
      </c>
      <c r="C1637">
        <f>SUMPRODUCT(Calc!$K$3:$K$22*(Calc!$G$3:$G$22&lt;=A1637))</f>
        <v/>
      </c>
      <c r="D1637">
        <f>SUMPRODUCT(Calc!$K$3:$K$22*(Calc!$G$3:$G$22&gt;A1637)*(Calc!$G$3:$G$22&lt;B1637))</f>
        <v/>
      </c>
      <c r="E1637">
        <f>SUMPRODUCT(Calc!$K$3:$K$22*(Calc!$G$3:$G$22&gt;=B1637))</f>
        <v/>
      </c>
      <c r="F1637">
        <f>AND(k_n&gt;=5,B1637&gt;A1637+1E-9,C1637&gt;=2,D1637&gt;=1,E1637&gt;=2)</f>
        <v/>
      </c>
      <c r="G1637">
        <f>SUMPRODUCT(Calc!$K$3:$K$22*(Calc!$G$3:$G$22&gt;A1637)*(Calc!$G$3:$G$22-A1637))</f>
        <v/>
      </c>
      <c r="H1637">
        <f>SUMPRODUCT(Calc!$K$3:$K$22*(Calc!$G$3:$G$22&gt;B1637)*(Calc!$G$3:$G$22-B1637))</f>
        <v/>
      </c>
      <c r="I1637">
        <f>SUMPRODUCT(Calc!$K$3:$K$22*(Calc!$G$3:$G$22&gt;A1637)*(Calc!$G$3:$G$22-A1637)^2)</f>
        <v/>
      </c>
      <c r="J1637">
        <f>SUMPRODUCT(Calc!$K$3:$K$22*(Calc!$G$3:$G$22&gt;B1637)*(Calc!$G$3:$G$22-B1637)^2)</f>
        <v/>
      </c>
      <c r="K1637">
        <f>SUMPRODUCT(Calc!$K$3:$K$22*(Calc!$G$3:$G$22&gt;A1637)*(Calc!$G$3:$G$22-A1637)*(Calc!$G$3:$G$22&gt;B1637)*(Calc!$G$3:$G$22-B1637))</f>
        <v/>
      </c>
      <c r="L1637">
        <f>SUMPRODUCT(Calc!$K$3:$K$22*(Calc!$G$3:$G$22&gt;A1637)*(Calc!$G$3:$G$22-A1637)*Calc!$G$3:$G$22)</f>
        <v/>
      </c>
      <c r="M1637">
        <f>SUMPRODUCT(Calc!$K$3:$K$22*(Calc!$G$3:$G$22&gt;B1637)*(Calc!$G$3:$G$22-B1637)*Calc!$G$3:$G$22)</f>
        <v/>
      </c>
      <c r="N1637">
        <f>SUMPRODUCT(Calc!$K$3:$K$22*(Calc!$G$3:$G$22&gt;A1637)*(Calc!$G$3:$G$22-A1637)*Calc!$I$3:$I$22)</f>
        <v/>
      </c>
      <c r="O1637">
        <f>SUMPRODUCT(Calc!$K$3:$K$22*(Calc!$G$3:$G$22&gt;B1637)*(Calc!$G$3:$G$22-B1637)*Calc!$I$3:$I$22)</f>
        <v/>
      </c>
      <c r="P1637">
        <f>I1637-G1637^2/k_n</f>
        <v/>
      </c>
      <c r="Q1637">
        <f>J1637-H1637^2/k_n</f>
        <v/>
      </c>
      <c r="R1637">
        <f>K1637-G1637*H1637/k_n</f>
        <v/>
      </c>
      <c r="S1637">
        <f>L1637-LTP3!$D$3*G1637/k_n</f>
        <v/>
      </c>
      <c r="T1637">
        <f>M1637-LTP3!$D$3*H1637/k_n</f>
        <v/>
      </c>
      <c r="U1637">
        <f>N1637-G1637*LTP3!$D$4/k_n</f>
        <v/>
      </c>
      <c r="V1637">
        <f>O1637-H1637*LTP3!$D$4/k_n</f>
        <v/>
      </c>
      <c r="W1637">
        <f>((LTP3!$D$5)*((P1637)*(Q1637)-(R1637)*(R1637))-(S1637)*((S1637)*(Q1637)-(R1637)*(T1637))+(T1637)*((S1637)*(R1637)-(P1637)*(T1637)))</f>
        <v/>
      </c>
      <c r="X1637">
        <f>IF(ABS(W1637)&gt;1E-12,((LTP3!$D$6)*((P1637)*(Q1637)-(R1637)*(R1637))-(S1637)*((U1637)*(Q1637)-(R1637)*(V1637))+(T1637)*((U1637)*(R1637)-(P1637)*(V1637)))/W1637,0)</f>
        <v/>
      </c>
      <c r="Y1637">
        <f>IF(ABS(W1637)&gt;1E-12,((LTP3!$D$5)*((U1637)*(Q1637)-(R1637)*(V1637))-(LTP3!$D$6)*((S1637)*(Q1637)-(R1637)*(T1637))+(T1637)*((S1637)*(V1637)-(U1637)*(T1637)))/W1637,0)</f>
        <v/>
      </c>
      <c r="Z1637">
        <f>IF(ABS(W1637)&gt;1E-12,((LTP3!$D$5)*((P1637)*(V1637)-(U1637)*(R1637))-(S1637)*((S1637)*(V1637)-(U1637)*(T1637))+(LTP3!$D$6)*((S1637)*(R1637)-(P1637)*(T1637)))/W1637,0)</f>
        <v/>
      </c>
      <c r="AA1637">
        <f>LTP3!$D$7-X1637*LTP3!$D$6-Y1637*U1637-Z1637*V1637</f>
        <v/>
      </c>
      <c r="AB1637">
        <f>IF(AND(F1637,ABS(W1637)&gt;1E-12,Y1637&gt;0,Z1637&gt;0),AA1637,1E+300)</f>
        <v/>
      </c>
    </row>
    <row r="1638">
      <c r="A1638">
        <f>$B$3+$B$5*26</f>
        <v/>
      </c>
      <c r="B1638">
        <f>$B$3+$B$5*40</f>
        <v/>
      </c>
      <c r="C1638">
        <f>SUMPRODUCT(Calc!$K$3:$K$22*(Calc!$G$3:$G$22&lt;=A1638))</f>
        <v/>
      </c>
      <c r="D1638">
        <f>SUMPRODUCT(Calc!$K$3:$K$22*(Calc!$G$3:$G$22&gt;A1638)*(Calc!$G$3:$G$22&lt;B1638))</f>
        <v/>
      </c>
      <c r="E1638">
        <f>SUMPRODUCT(Calc!$K$3:$K$22*(Calc!$G$3:$G$22&gt;=B1638))</f>
        <v/>
      </c>
      <c r="F1638">
        <f>AND(k_n&gt;=5,B1638&gt;A1638+1E-9,C1638&gt;=2,D1638&gt;=1,E1638&gt;=2)</f>
        <v/>
      </c>
      <c r="G1638">
        <f>SUMPRODUCT(Calc!$K$3:$K$22*(Calc!$G$3:$G$22&gt;A1638)*(Calc!$G$3:$G$22-A1638))</f>
        <v/>
      </c>
      <c r="H1638">
        <f>SUMPRODUCT(Calc!$K$3:$K$22*(Calc!$G$3:$G$22&gt;B1638)*(Calc!$G$3:$G$22-B1638))</f>
        <v/>
      </c>
      <c r="I1638">
        <f>SUMPRODUCT(Calc!$K$3:$K$22*(Calc!$G$3:$G$22&gt;A1638)*(Calc!$G$3:$G$22-A1638)^2)</f>
        <v/>
      </c>
      <c r="J1638">
        <f>SUMPRODUCT(Calc!$K$3:$K$22*(Calc!$G$3:$G$22&gt;B1638)*(Calc!$G$3:$G$22-B1638)^2)</f>
        <v/>
      </c>
      <c r="K1638">
        <f>SUMPRODUCT(Calc!$K$3:$K$22*(Calc!$G$3:$G$22&gt;A1638)*(Calc!$G$3:$G$22-A1638)*(Calc!$G$3:$G$22&gt;B1638)*(Calc!$G$3:$G$22-B1638))</f>
        <v/>
      </c>
      <c r="L1638">
        <f>SUMPRODUCT(Calc!$K$3:$K$22*(Calc!$G$3:$G$22&gt;A1638)*(Calc!$G$3:$G$22-A1638)*Calc!$G$3:$G$22)</f>
        <v/>
      </c>
      <c r="M1638">
        <f>SUMPRODUCT(Calc!$K$3:$K$22*(Calc!$G$3:$G$22&gt;B1638)*(Calc!$G$3:$G$22-B1638)*Calc!$G$3:$G$22)</f>
        <v/>
      </c>
      <c r="N1638">
        <f>SUMPRODUCT(Calc!$K$3:$K$22*(Calc!$G$3:$G$22&gt;A1638)*(Calc!$G$3:$G$22-A1638)*Calc!$I$3:$I$22)</f>
        <v/>
      </c>
      <c r="O1638">
        <f>SUMPRODUCT(Calc!$K$3:$K$22*(Calc!$G$3:$G$22&gt;B1638)*(Calc!$G$3:$G$22-B1638)*Calc!$I$3:$I$22)</f>
        <v/>
      </c>
      <c r="P1638">
        <f>I1638-G1638^2/k_n</f>
        <v/>
      </c>
      <c r="Q1638">
        <f>J1638-H1638^2/k_n</f>
        <v/>
      </c>
      <c r="R1638">
        <f>K1638-G1638*H1638/k_n</f>
        <v/>
      </c>
      <c r="S1638">
        <f>L1638-LTP3!$D$3*G1638/k_n</f>
        <v/>
      </c>
      <c r="T1638">
        <f>M1638-LTP3!$D$3*H1638/k_n</f>
        <v/>
      </c>
      <c r="U1638">
        <f>N1638-G1638*LTP3!$D$4/k_n</f>
        <v/>
      </c>
      <c r="V1638">
        <f>O1638-H1638*LTP3!$D$4/k_n</f>
        <v/>
      </c>
      <c r="W1638">
        <f>((LTP3!$D$5)*((P1638)*(Q1638)-(R1638)*(R1638))-(S1638)*((S1638)*(Q1638)-(R1638)*(T1638))+(T1638)*((S1638)*(R1638)-(P1638)*(T1638)))</f>
        <v/>
      </c>
      <c r="X1638">
        <f>IF(ABS(W1638)&gt;1E-12,((LTP3!$D$6)*((P1638)*(Q1638)-(R1638)*(R1638))-(S1638)*((U1638)*(Q1638)-(R1638)*(V1638))+(T1638)*((U1638)*(R1638)-(P1638)*(V1638)))/W1638,0)</f>
        <v/>
      </c>
      <c r="Y1638">
        <f>IF(ABS(W1638)&gt;1E-12,((LTP3!$D$5)*((U1638)*(Q1638)-(R1638)*(V1638))-(LTP3!$D$6)*((S1638)*(Q1638)-(R1638)*(T1638))+(T1638)*((S1638)*(V1638)-(U1638)*(T1638)))/W1638,0)</f>
        <v/>
      </c>
      <c r="Z1638">
        <f>IF(ABS(W1638)&gt;1E-12,((LTP3!$D$5)*((P1638)*(V1638)-(U1638)*(R1638))-(S1638)*((S1638)*(V1638)-(U1638)*(T1638))+(LTP3!$D$6)*((S1638)*(R1638)-(P1638)*(T1638)))/W1638,0)</f>
        <v/>
      </c>
      <c r="AA1638">
        <f>LTP3!$D$7-X1638*LTP3!$D$6-Y1638*U1638-Z1638*V1638</f>
        <v/>
      </c>
      <c r="AB1638">
        <f>IF(AND(F1638,ABS(W1638)&gt;1E-12,Y1638&gt;0,Z1638&gt;0),AA1638,1E+300)</f>
        <v/>
      </c>
    </row>
    <row r="1639">
      <c r="A1639">
        <f>$B$3+$B$5*26</f>
        <v/>
      </c>
      <c r="B1639">
        <f>$B$3+$B$5*41</f>
        <v/>
      </c>
      <c r="C1639">
        <f>SUMPRODUCT(Calc!$K$3:$K$22*(Calc!$G$3:$G$22&lt;=A1639))</f>
        <v/>
      </c>
      <c r="D1639">
        <f>SUMPRODUCT(Calc!$K$3:$K$22*(Calc!$G$3:$G$22&gt;A1639)*(Calc!$G$3:$G$22&lt;B1639))</f>
        <v/>
      </c>
      <c r="E1639">
        <f>SUMPRODUCT(Calc!$K$3:$K$22*(Calc!$G$3:$G$22&gt;=B1639))</f>
        <v/>
      </c>
      <c r="F1639">
        <f>AND(k_n&gt;=5,B1639&gt;A1639+1E-9,C1639&gt;=2,D1639&gt;=1,E1639&gt;=2)</f>
        <v/>
      </c>
      <c r="G1639">
        <f>SUMPRODUCT(Calc!$K$3:$K$22*(Calc!$G$3:$G$22&gt;A1639)*(Calc!$G$3:$G$22-A1639))</f>
        <v/>
      </c>
      <c r="H1639">
        <f>SUMPRODUCT(Calc!$K$3:$K$22*(Calc!$G$3:$G$22&gt;B1639)*(Calc!$G$3:$G$22-B1639))</f>
        <v/>
      </c>
      <c r="I1639">
        <f>SUMPRODUCT(Calc!$K$3:$K$22*(Calc!$G$3:$G$22&gt;A1639)*(Calc!$G$3:$G$22-A1639)^2)</f>
        <v/>
      </c>
      <c r="J1639">
        <f>SUMPRODUCT(Calc!$K$3:$K$22*(Calc!$G$3:$G$22&gt;B1639)*(Calc!$G$3:$G$22-B1639)^2)</f>
        <v/>
      </c>
      <c r="K1639">
        <f>SUMPRODUCT(Calc!$K$3:$K$22*(Calc!$G$3:$G$22&gt;A1639)*(Calc!$G$3:$G$22-A1639)*(Calc!$G$3:$G$22&gt;B1639)*(Calc!$G$3:$G$22-B1639))</f>
        <v/>
      </c>
      <c r="L1639">
        <f>SUMPRODUCT(Calc!$K$3:$K$22*(Calc!$G$3:$G$22&gt;A1639)*(Calc!$G$3:$G$22-A1639)*Calc!$G$3:$G$22)</f>
        <v/>
      </c>
      <c r="M1639">
        <f>SUMPRODUCT(Calc!$K$3:$K$22*(Calc!$G$3:$G$22&gt;B1639)*(Calc!$G$3:$G$22-B1639)*Calc!$G$3:$G$22)</f>
        <v/>
      </c>
      <c r="N1639">
        <f>SUMPRODUCT(Calc!$K$3:$K$22*(Calc!$G$3:$G$22&gt;A1639)*(Calc!$G$3:$G$22-A1639)*Calc!$I$3:$I$22)</f>
        <v/>
      </c>
      <c r="O1639">
        <f>SUMPRODUCT(Calc!$K$3:$K$22*(Calc!$G$3:$G$22&gt;B1639)*(Calc!$G$3:$G$22-B1639)*Calc!$I$3:$I$22)</f>
        <v/>
      </c>
      <c r="P1639">
        <f>I1639-G1639^2/k_n</f>
        <v/>
      </c>
      <c r="Q1639">
        <f>J1639-H1639^2/k_n</f>
        <v/>
      </c>
      <c r="R1639">
        <f>K1639-G1639*H1639/k_n</f>
        <v/>
      </c>
      <c r="S1639">
        <f>L1639-LTP3!$D$3*G1639/k_n</f>
        <v/>
      </c>
      <c r="T1639">
        <f>M1639-LTP3!$D$3*H1639/k_n</f>
        <v/>
      </c>
      <c r="U1639">
        <f>N1639-G1639*LTP3!$D$4/k_n</f>
        <v/>
      </c>
      <c r="V1639">
        <f>O1639-H1639*LTP3!$D$4/k_n</f>
        <v/>
      </c>
      <c r="W1639">
        <f>((LTP3!$D$5)*((P1639)*(Q1639)-(R1639)*(R1639))-(S1639)*((S1639)*(Q1639)-(R1639)*(T1639))+(T1639)*((S1639)*(R1639)-(P1639)*(T1639)))</f>
        <v/>
      </c>
      <c r="X1639">
        <f>IF(ABS(W1639)&gt;1E-12,((LTP3!$D$6)*((P1639)*(Q1639)-(R1639)*(R1639))-(S1639)*((U1639)*(Q1639)-(R1639)*(V1639))+(T1639)*((U1639)*(R1639)-(P1639)*(V1639)))/W1639,0)</f>
        <v/>
      </c>
      <c r="Y1639">
        <f>IF(ABS(W1639)&gt;1E-12,((LTP3!$D$5)*((U1639)*(Q1639)-(R1639)*(V1639))-(LTP3!$D$6)*((S1639)*(Q1639)-(R1639)*(T1639))+(T1639)*((S1639)*(V1639)-(U1639)*(T1639)))/W1639,0)</f>
        <v/>
      </c>
      <c r="Z1639">
        <f>IF(ABS(W1639)&gt;1E-12,((LTP3!$D$5)*((P1639)*(V1639)-(U1639)*(R1639))-(S1639)*((S1639)*(V1639)-(U1639)*(T1639))+(LTP3!$D$6)*((S1639)*(R1639)-(P1639)*(T1639)))/W1639,0)</f>
        <v/>
      </c>
      <c r="AA1639">
        <f>LTP3!$D$7-X1639*LTP3!$D$6-Y1639*U1639-Z1639*V1639</f>
        <v/>
      </c>
      <c r="AB1639">
        <f>IF(AND(F1639,ABS(W1639)&gt;1E-12,Y1639&gt;0,Z1639&gt;0),AA1639,1E+300)</f>
        <v/>
      </c>
    </row>
    <row r="1640">
      <c r="A1640">
        <f>$B$3+$B$5*26</f>
        <v/>
      </c>
      <c r="B1640">
        <f>$B$3+$B$5*42</f>
        <v/>
      </c>
      <c r="C1640">
        <f>SUMPRODUCT(Calc!$K$3:$K$22*(Calc!$G$3:$G$22&lt;=A1640))</f>
        <v/>
      </c>
      <c r="D1640">
        <f>SUMPRODUCT(Calc!$K$3:$K$22*(Calc!$G$3:$G$22&gt;A1640)*(Calc!$G$3:$G$22&lt;B1640))</f>
        <v/>
      </c>
      <c r="E1640">
        <f>SUMPRODUCT(Calc!$K$3:$K$22*(Calc!$G$3:$G$22&gt;=B1640))</f>
        <v/>
      </c>
      <c r="F1640">
        <f>AND(k_n&gt;=5,B1640&gt;A1640+1E-9,C1640&gt;=2,D1640&gt;=1,E1640&gt;=2)</f>
        <v/>
      </c>
      <c r="G1640">
        <f>SUMPRODUCT(Calc!$K$3:$K$22*(Calc!$G$3:$G$22&gt;A1640)*(Calc!$G$3:$G$22-A1640))</f>
        <v/>
      </c>
      <c r="H1640">
        <f>SUMPRODUCT(Calc!$K$3:$K$22*(Calc!$G$3:$G$22&gt;B1640)*(Calc!$G$3:$G$22-B1640))</f>
        <v/>
      </c>
      <c r="I1640">
        <f>SUMPRODUCT(Calc!$K$3:$K$22*(Calc!$G$3:$G$22&gt;A1640)*(Calc!$G$3:$G$22-A1640)^2)</f>
        <v/>
      </c>
      <c r="J1640">
        <f>SUMPRODUCT(Calc!$K$3:$K$22*(Calc!$G$3:$G$22&gt;B1640)*(Calc!$G$3:$G$22-B1640)^2)</f>
        <v/>
      </c>
      <c r="K1640">
        <f>SUMPRODUCT(Calc!$K$3:$K$22*(Calc!$G$3:$G$22&gt;A1640)*(Calc!$G$3:$G$22-A1640)*(Calc!$G$3:$G$22&gt;B1640)*(Calc!$G$3:$G$22-B1640))</f>
        <v/>
      </c>
      <c r="L1640">
        <f>SUMPRODUCT(Calc!$K$3:$K$22*(Calc!$G$3:$G$22&gt;A1640)*(Calc!$G$3:$G$22-A1640)*Calc!$G$3:$G$22)</f>
        <v/>
      </c>
      <c r="M1640">
        <f>SUMPRODUCT(Calc!$K$3:$K$22*(Calc!$G$3:$G$22&gt;B1640)*(Calc!$G$3:$G$22-B1640)*Calc!$G$3:$G$22)</f>
        <v/>
      </c>
      <c r="N1640">
        <f>SUMPRODUCT(Calc!$K$3:$K$22*(Calc!$G$3:$G$22&gt;A1640)*(Calc!$G$3:$G$22-A1640)*Calc!$I$3:$I$22)</f>
        <v/>
      </c>
      <c r="O1640">
        <f>SUMPRODUCT(Calc!$K$3:$K$22*(Calc!$G$3:$G$22&gt;B1640)*(Calc!$G$3:$G$22-B1640)*Calc!$I$3:$I$22)</f>
        <v/>
      </c>
      <c r="P1640">
        <f>I1640-G1640^2/k_n</f>
        <v/>
      </c>
      <c r="Q1640">
        <f>J1640-H1640^2/k_n</f>
        <v/>
      </c>
      <c r="R1640">
        <f>K1640-G1640*H1640/k_n</f>
        <v/>
      </c>
      <c r="S1640">
        <f>L1640-LTP3!$D$3*G1640/k_n</f>
        <v/>
      </c>
      <c r="T1640">
        <f>M1640-LTP3!$D$3*H1640/k_n</f>
        <v/>
      </c>
      <c r="U1640">
        <f>N1640-G1640*LTP3!$D$4/k_n</f>
        <v/>
      </c>
      <c r="V1640">
        <f>O1640-H1640*LTP3!$D$4/k_n</f>
        <v/>
      </c>
      <c r="W1640">
        <f>((LTP3!$D$5)*((P1640)*(Q1640)-(R1640)*(R1640))-(S1640)*((S1640)*(Q1640)-(R1640)*(T1640))+(T1640)*((S1640)*(R1640)-(P1640)*(T1640)))</f>
        <v/>
      </c>
      <c r="X1640">
        <f>IF(ABS(W1640)&gt;1E-12,((LTP3!$D$6)*((P1640)*(Q1640)-(R1640)*(R1640))-(S1640)*((U1640)*(Q1640)-(R1640)*(V1640))+(T1640)*((U1640)*(R1640)-(P1640)*(V1640)))/W1640,0)</f>
        <v/>
      </c>
      <c r="Y1640">
        <f>IF(ABS(W1640)&gt;1E-12,((LTP3!$D$5)*((U1640)*(Q1640)-(R1640)*(V1640))-(LTP3!$D$6)*((S1640)*(Q1640)-(R1640)*(T1640))+(T1640)*((S1640)*(V1640)-(U1640)*(T1640)))/W1640,0)</f>
        <v/>
      </c>
      <c r="Z1640">
        <f>IF(ABS(W1640)&gt;1E-12,((LTP3!$D$5)*((P1640)*(V1640)-(U1640)*(R1640))-(S1640)*((S1640)*(V1640)-(U1640)*(T1640))+(LTP3!$D$6)*((S1640)*(R1640)-(P1640)*(T1640)))/W1640,0)</f>
        <v/>
      </c>
      <c r="AA1640">
        <f>LTP3!$D$7-X1640*LTP3!$D$6-Y1640*U1640-Z1640*V1640</f>
        <v/>
      </c>
      <c r="AB1640">
        <f>IF(AND(F1640,ABS(W1640)&gt;1E-12,Y1640&gt;0,Z1640&gt;0),AA1640,1E+300)</f>
        <v/>
      </c>
    </row>
    <row r="1641">
      <c r="A1641">
        <f>$B$3+$B$5*26</f>
        <v/>
      </c>
      <c r="B1641">
        <f>$B$3+$B$5*43</f>
        <v/>
      </c>
      <c r="C1641">
        <f>SUMPRODUCT(Calc!$K$3:$K$22*(Calc!$G$3:$G$22&lt;=A1641))</f>
        <v/>
      </c>
      <c r="D1641">
        <f>SUMPRODUCT(Calc!$K$3:$K$22*(Calc!$G$3:$G$22&gt;A1641)*(Calc!$G$3:$G$22&lt;B1641))</f>
        <v/>
      </c>
      <c r="E1641">
        <f>SUMPRODUCT(Calc!$K$3:$K$22*(Calc!$G$3:$G$22&gt;=B1641))</f>
        <v/>
      </c>
      <c r="F1641">
        <f>AND(k_n&gt;=5,B1641&gt;A1641+1E-9,C1641&gt;=2,D1641&gt;=1,E1641&gt;=2)</f>
        <v/>
      </c>
      <c r="G1641">
        <f>SUMPRODUCT(Calc!$K$3:$K$22*(Calc!$G$3:$G$22&gt;A1641)*(Calc!$G$3:$G$22-A1641))</f>
        <v/>
      </c>
      <c r="H1641">
        <f>SUMPRODUCT(Calc!$K$3:$K$22*(Calc!$G$3:$G$22&gt;B1641)*(Calc!$G$3:$G$22-B1641))</f>
        <v/>
      </c>
      <c r="I1641">
        <f>SUMPRODUCT(Calc!$K$3:$K$22*(Calc!$G$3:$G$22&gt;A1641)*(Calc!$G$3:$G$22-A1641)^2)</f>
        <v/>
      </c>
      <c r="J1641">
        <f>SUMPRODUCT(Calc!$K$3:$K$22*(Calc!$G$3:$G$22&gt;B1641)*(Calc!$G$3:$G$22-B1641)^2)</f>
        <v/>
      </c>
      <c r="K1641">
        <f>SUMPRODUCT(Calc!$K$3:$K$22*(Calc!$G$3:$G$22&gt;A1641)*(Calc!$G$3:$G$22-A1641)*(Calc!$G$3:$G$22&gt;B1641)*(Calc!$G$3:$G$22-B1641))</f>
        <v/>
      </c>
      <c r="L1641">
        <f>SUMPRODUCT(Calc!$K$3:$K$22*(Calc!$G$3:$G$22&gt;A1641)*(Calc!$G$3:$G$22-A1641)*Calc!$G$3:$G$22)</f>
        <v/>
      </c>
      <c r="M1641">
        <f>SUMPRODUCT(Calc!$K$3:$K$22*(Calc!$G$3:$G$22&gt;B1641)*(Calc!$G$3:$G$22-B1641)*Calc!$G$3:$G$22)</f>
        <v/>
      </c>
      <c r="N1641">
        <f>SUMPRODUCT(Calc!$K$3:$K$22*(Calc!$G$3:$G$22&gt;A1641)*(Calc!$G$3:$G$22-A1641)*Calc!$I$3:$I$22)</f>
        <v/>
      </c>
      <c r="O1641">
        <f>SUMPRODUCT(Calc!$K$3:$K$22*(Calc!$G$3:$G$22&gt;B1641)*(Calc!$G$3:$G$22-B1641)*Calc!$I$3:$I$22)</f>
        <v/>
      </c>
      <c r="P1641">
        <f>I1641-G1641^2/k_n</f>
        <v/>
      </c>
      <c r="Q1641">
        <f>J1641-H1641^2/k_n</f>
        <v/>
      </c>
      <c r="R1641">
        <f>K1641-G1641*H1641/k_n</f>
        <v/>
      </c>
      <c r="S1641">
        <f>L1641-LTP3!$D$3*G1641/k_n</f>
        <v/>
      </c>
      <c r="T1641">
        <f>M1641-LTP3!$D$3*H1641/k_n</f>
        <v/>
      </c>
      <c r="U1641">
        <f>N1641-G1641*LTP3!$D$4/k_n</f>
        <v/>
      </c>
      <c r="V1641">
        <f>O1641-H1641*LTP3!$D$4/k_n</f>
        <v/>
      </c>
      <c r="W1641">
        <f>((LTP3!$D$5)*((P1641)*(Q1641)-(R1641)*(R1641))-(S1641)*((S1641)*(Q1641)-(R1641)*(T1641))+(T1641)*((S1641)*(R1641)-(P1641)*(T1641)))</f>
        <v/>
      </c>
      <c r="X1641">
        <f>IF(ABS(W1641)&gt;1E-12,((LTP3!$D$6)*((P1641)*(Q1641)-(R1641)*(R1641))-(S1641)*((U1641)*(Q1641)-(R1641)*(V1641))+(T1641)*((U1641)*(R1641)-(P1641)*(V1641)))/W1641,0)</f>
        <v/>
      </c>
      <c r="Y1641">
        <f>IF(ABS(W1641)&gt;1E-12,((LTP3!$D$5)*((U1641)*(Q1641)-(R1641)*(V1641))-(LTP3!$D$6)*((S1641)*(Q1641)-(R1641)*(T1641))+(T1641)*((S1641)*(V1641)-(U1641)*(T1641)))/W1641,0)</f>
        <v/>
      </c>
      <c r="Z1641">
        <f>IF(ABS(W1641)&gt;1E-12,((LTP3!$D$5)*((P1641)*(V1641)-(U1641)*(R1641))-(S1641)*((S1641)*(V1641)-(U1641)*(T1641))+(LTP3!$D$6)*((S1641)*(R1641)-(P1641)*(T1641)))/W1641,0)</f>
        <v/>
      </c>
      <c r="AA1641">
        <f>LTP3!$D$7-X1641*LTP3!$D$6-Y1641*U1641-Z1641*V1641</f>
        <v/>
      </c>
      <c r="AB1641">
        <f>IF(AND(F1641,ABS(W1641)&gt;1E-12,Y1641&gt;0,Z1641&gt;0),AA1641,1E+300)</f>
        <v/>
      </c>
    </row>
    <row r="1642">
      <c r="A1642">
        <f>$B$3+$B$5*26</f>
        <v/>
      </c>
      <c r="B1642">
        <f>$B$3+$B$5*44</f>
        <v/>
      </c>
      <c r="C1642">
        <f>SUMPRODUCT(Calc!$K$3:$K$22*(Calc!$G$3:$G$22&lt;=A1642))</f>
        <v/>
      </c>
      <c r="D1642">
        <f>SUMPRODUCT(Calc!$K$3:$K$22*(Calc!$G$3:$G$22&gt;A1642)*(Calc!$G$3:$G$22&lt;B1642))</f>
        <v/>
      </c>
      <c r="E1642">
        <f>SUMPRODUCT(Calc!$K$3:$K$22*(Calc!$G$3:$G$22&gt;=B1642))</f>
        <v/>
      </c>
      <c r="F1642">
        <f>AND(k_n&gt;=5,B1642&gt;A1642+1E-9,C1642&gt;=2,D1642&gt;=1,E1642&gt;=2)</f>
        <v/>
      </c>
      <c r="G1642">
        <f>SUMPRODUCT(Calc!$K$3:$K$22*(Calc!$G$3:$G$22&gt;A1642)*(Calc!$G$3:$G$22-A1642))</f>
        <v/>
      </c>
      <c r="H1642">
        <f>SUMPRODUCT(Calc!$K$3:$K$22*(Calc!$G$3:$G$22&gt;B1642)*(Calc!$G$3:$G$22-B1642))</f>
        <v/>
      </c>
      <c r="I1642">
        <f>SUMPRODUCT(Calc!$K$3:$K$22*(Calc!$G$3:$G$22&gt;A1642)*(Calc!$G$3:$G$22-A1642)^2)</f>
        <v/>
      </c>
      <c r="J1642">
        <f>SUMPRODUCT(Calc!$K$3:$K$22*(Calc!$G$3:$G$22&gt;B1642)*(Calc!$G$3:$G$22-B1642)^2)</f>
        <v/>
      </c>
      <c r="K1642">
        <f>SUMPRODUCT(Calc!$K$3:$K$22*(Calc!$G$3:$G$22&gt;A1642)*(Calc!$G$3:$G$22-A1642)*(Calc!$G$3:$G$22&gt;B1642)*(Calc!$G$3:$G$22-B1642))</f>
        <v/>
      </c>
      <c r="L1642">
        <f>SUMPRODUCT(Calc!$K$3:$K$22*(Calc!$G$3:$G$22&gt;A1642)*(Calc!$G$3:$G$22-A1642)*Calc!$G$3:$G$22)</f>
        <v/>
      </c>
      <c r="M1642">
        <f>SUMPRODUCT(Calc!$K$3:$K$22*(Calc!$G$3:$G$22&gt;B1642)*(Calc!$G$3:$G$22-B1642)*Calc!$G$3:$G$22)</f>
        <v/>
      </c>
      <c r="N1642">
        <f>SUMPRODUCT(Calc!$K$3:$K$22*(Calc!$G$3:$G$22&gt;A1642)*(Calc!$G$3:$G$22-A1642)*Calc!$I$3:$I$22)</f>
        <v/>
      </c>
      <c r="O1642">
        <f>SUMPRODUCT(Calc!$K$3:$K$22*(Calc!$G$3:$G$22&gt;B1642)*(Calc!$G$3:$G$22-B1642)*Calc!$I$3:$I$22)</f>
        <v/>
      </c>
      <c r="P1642">
        <f>I1642-G1642^2/k_n</f>
        <v/>
      </c>
      <c r="Q1642">
        <f>J1642-H1642^2/k_n</f>
        <v/>
      </c>
      <c r="R1642">
        <f>K1642-G1642*H1642/k_n</f>
        <v/>
      </c>
      <c r="S1642">
        <f>L1642-LTP3!$D$3*G1642/k_n</f>
        <v/>
      </c>
      <c r="T1642">
        <f>M1642-LTP3!$D$3*H1642/k_n</f>
        <v/>
      </c>
      <c r="U1642">
        <f>N1642-G1642*LTP3!$D$4/k_n</f>
        <v/>
      </c>
      <c r="V1642">
        <f>O1642-H1642*LTP3!$D$4/k_n</f>
        <v/>
      </c>
      <c r="W1642">
        <f>((LTP3!$D$5)*((P1642)*(Q1642)-(R1642)*(R1642))-(S1642)*((S1642)*(Q1642)-(R1642)*(T1642))+(T1642)*((S1642)*(R1642)-(P1642)*(T1642)))</f>
        <v/>
      </c>
      <c r="X1642">
        <f>IF(ABS(W1642)&gt;1E-12,((LTP3!$D$6)*((P1642)*(Q1642)-(R1642)*(R1642))-(S1642)*((U1642)*(Q1642)-(R1642)*(V1642))+(T1642)*((U1642)*(R1642)-(P1642)*(V1642)))/W1642,0)</f>
        <v/>
      </c>
      <c r="Y1642">
        <f>IF(ABS(W1642)&gt;1E-12,((LTP3!$D$5)*((U1642)*(Q1642)-(R1642)*(V1642))-(LTP3!$D$6)*((S1642)*(Q1642)-(R1642)*(T1642))+(T1642)*((S1642)*(V1642)-(U1642)*(T1642)))/W1642,0)</f>
        <v/>
      </c>
      <c r="Z1642">
        <f>IF(ABS(W1642)&gt;1E-12,((LTP3!$D$5)*((P1642)*(V1642)-(U1642)*(R1642))-(S1642)*((S1642)*(V1642)-(U1642)*(T1642))+(LTP3!$D$6)*((S1642)*(R1642)-(P1642)*(T1642)))/W1642,0)</f>
        <v/>
      </c>
      <c r="AA1642">
        <f>LTP3!$D$7-X1642*LTP3!$D$6-Y1642*U1642-Z1642*V1642</f>
        <v/>
      </c>
      <c r="AB1642">
        <f>IF(AND(F1642,ABS(W1642)&gt;1E-12,Y1642&gt;0,Z1642&gt;0),AA1642,1E+300)</f>
        <v/>
      </c>
    </row>
    <row r="1643">
      <c r="A1643">
        <f>$B$3+$B$5*26</f>
        <v/>
      </c>
      <c r="B1643">
        <f>$B$3+$B$5*45</f>
        <v/>
      </c>
      <c r="C1643">
        <f>SUMPRODUCT(Calc!$K$3:$K$22*(Calc!$G$3:$G$22&lt;=A1643))</f>
        <v/>
      </c>
      <c r="D1643">
        <f>SUMPRODUCT(Calc!$K$3:$K$22*(Calc!$G$3:$G$22&gt;A1643)*(Calc!$G$3:$G$22&lt;B1643))</f>
        <v/>
      </c>
      <c r="E1643">
        <f>SUMPRODUCT(Calc!$K$3:$K$22*(Calc!$G$3:$G$22&gt;=B1643))</f>
        <v/>
      </c>
      <c r="F1643">
        <f>AND(k_n&gt;=5,B1643&gt;A1643+1E-9,C1643&gt;=2,D1643&gt;=1,E1643&gt;=2)</f>
        <v/>
      </c>
      <c r="G1643">
        <f>SUMPRODUCT(Calc!$K$3:$K$22*(Calc!$G$3:$G$22&gt;A1643)*(Calc!$G$3:$G$22-A1643))</f>
        <v/>
      </c>
      <c r="H1643">
        <f>SUMPRODUCT(Calc!$K$3:$K$22*(Calc!$G$3:$G$22&gt;B1643)*(Calc!$G$3:$G$22-B1643))</f>
        <v/>
      </c>
      <c r="I1643">
        <f>SUMPRODUCT(Calc!$K$3:$K$22*(Calc!$G$3:$G$22&gt;A1643)*(Calc!$G$3:$G$22-A1643)^2)</f>
        <v/>
      </c>
      <c r="J1643">
        <f>SUMPRODUCT(Calc!$K$3:$K$22*(Calc!$G$3:$G$22&gt;B1643)*(Calc!$G$3:$G$22-B1643)^2)</f>
        <v/>
      </c>
      <c r="K1643">
        <f>SUMPRODUCT(Calc!$K$3:$K$22*(Calc!$G$3:$G$22&gt;A1643)*(Calc!$G$3:$G$22-A1643)*(Calc!$G$3:$G$22&gt;B1643)*(Calc!$G$3:$G$22-B1643))</f>
        <v/>
      </c>
      <c r="L1643">
        <f>SUMPRODUCT(Calc!$K$3:$K$22*(Calc!$G$3:$G$22&gt;A1643)*(Calc!$G$3:$G$22-A1643)*Calc!$G$3:$G$22)</f>
        <v/>
      </c>
      <c r="M1643">
        <f>SUMPRODUCT(Calc!$K$3:$K$22*(Calc!$G$3:$G$22&gt;B1643)*(Calc!$G$3:$G$22-B1643)*Calc!$G$3:$G$22)</f>
        <v/>
      </c>
      <c r="N1643">
        <f>SUMPRODUCT(Calc!$K$3:$K$22*(Calc!$G$3:$G$22&gt;A1643)*(Calc!$G$3:$G$22-A1643)*Calc!$I$3:$I$22)</f>
        <v/>
      </c>
      <c r="O1643">
        <f>SUMPRODUCT(Calc!$K$3:$K$22*(Calc!$G$3:$G$22&gt;B1643)*(Calc!$G$3:$G$22-B1643)*Calc!$I$3:$I$22)</f>
        <v/>
      </c>
      <c r="P1643">
        <f>I1643-G1643^2/k_n</f>
        <v/>
      </c>
      <c r="Q1643">
        <f>J1643-H1643^2/k_n</f>
        <v/>
      </c>
      <c r="R1643">
        <f>K1643-G1643*H1643/k_n</f>
        <v/>
      </c>
      <c r="S1643">
        <f>L1643-LTP3!$D$3*G1643/k_n</f>
        <v/>
      </c>
      <c r="T1643">
        <f>M1643-LTP3!$D$3*H1643/k_n</f>
        <v/>
      </c>
      <c r="U1643">
        <f>N1643-G1643*LTP3!$D$4/k_n</f>
        <v/>
      </c>
      <c r="V1643">
        <f>O1643-H1643*LTP3!$D$4/k_n</f>
        <v/>
      </c>
      <c r="W1643">
        <f>((LTP3!$D$5)*((P1643)*(Q1643)-(R1643)*(R1643))-(S1643)*((S1643)*(Q1643)-(R1643)*(T1643))+(T1643)*((S1643)*(R1643)-(P1643)*(T1643)))</f>
        <v/>
      </c>
      <c r="X1643">
        <f>IF(ABS(W1643)&gt;1E-12,((LTP3!$D$6)*((P1643)*(Q1643)-(R1643)*(R1643))-(S1643)*((U1643)*(Q1643)-(R1643)*(V1643))+(T1643)*((U1643)*(R1643)-(P1643)*(V1643)))/W1643,0)</f>
        <v/>
      </c>
      <c r="Y1643">
        <f>IF(ABS(W1643)&gt;1E-12,((LTP3!$D$5)*((U1643)*(Q1643)-(R1643)*(V1643))-(LTP3!$D$6)*((S1643)*(Q1643)-(R1643)*(T1643))+(T1643)*((S1643)*(V1643)-(U1643)*(T1643)))/W1643,0)</f>
        <v/>
      </c>
      <c r="Z1643">
        <f>IF(ABS(W1643)&gt;1E-12,((LTP3!$D$5)*((P1643)*(V1643)-(U1643)*(R1643))-(S1643)*((S1643)*(V1643)-(U1643)*(T1643))+(LTP3!$D$6)*((S1643)*(R1643)-(P1643)*(T1643)))/W1643,0)</f>
        <v/>
      </c>
      <c r="AA1643">
        <f>LTP3!$D$7-X1643*LTP3!$D$6-Y1643*U1643-Z1643*V1643</f>
        <v/>
      </c>
      <c r="AB1643">
        <f>IF(AND(F1643,ABS(W1643)&gt;1E-12,Y1643&gt;0,Z1643&gt;0),AA1643,1E+300)</f>
        <v/>
      </c>
    </row>
    <row r="1644">
      <c r="A1644">
        <f>$B$3+$B$5*26</f>
        <v/>
      </c>
      <c r="B1644">
        <f>$B$3+$B$5*46</f>
        <v/>
      </c>
      <c r="C1644">
        <f>SUMPRODUCT(Calc!$K$3:$K$22*(Calc!$G$3:$G$22&lt;=A1644))</f>
        <v/>
      </c>
      <c r="D1644">
        <f>SUMPRODUCT(Calc!$K$3:$K$22*(Calc!$G$3:$G$22&gt;A1644)*(Calc!$G$3:$G$22&lt;B1644))</f>
        <v/>
      </c>
      <c r="E1644">
        <f>SUMPRODUCT(Calc!$K$3:$K$22*(Calc!$G$3:$G$22&gt;=B1644))</f>
        <v/>
      </c>
      <c r="F1644">
        <f>AND(k_n&gt;=5,B1644&gt;A1644+1E-9,C1644&gt;=2,D1644&gt;=1,E1644&gt;=2)</f>
        <v/>
      </c>
      <c r="G1644">
        <f>SUMPRODUCT(Calc!$K$3:$K$22*(Calc!$G$3:$G$22&gt;A1644)*(Calc!$G$3:$G$22-A1644))</f>
        <v/>
      </c>
      <c r="H1644">
        <f>SUMPRODUCT(Calc!$K$3:$K$22*(Calc!$G$3:$G$22&gt;B1644)*(Calc!$G$3:$G$22-B1644))</f>
        <v/>
      </c>
      <c r="I1644">
        <f>SUMPRODUCT(Calc!$K$3:$K$22*(Calc!$G$3:$G$22&gt;A1644)*(Calc!$G$3:$G$22-A1644)^2)</f>
        <v/>
      </c>
      <c r="J1644">
        <f>SUMPRODUCT(Calc!$K$3:$K$22*(Calc!$G$3:$G$22&gt;B1644)*(Calc!$G$3:$G$22-B1644)^2)</f>
        <v/>
      </c>
      <c r="K1644">
        <f>SUMPRODUCT(Calc!$K$3:$K$22*(Calc!$G$3:$G$22&gt;A1644)*(Calc!$G$3:$G$22-A1644)*(Calc!$G$3:$G$22&gt;B1644)*(Calc!$G$3:$G$22-B1644))</f>
        <v/>
      </c>
      <c r="L1644">
        <f>SUMPRODUCT(Calc!$K$3:$K$22*(Calc!$G$3:$G$22&gt;A1644)*(Calc!$G$3:$G$22-A1644)*Calc!$G$3:$G$22)</f>
        <v/>
      </c>
      <c r="M1644">
        <f>SUMPRODUCT(Calc!$K$3:$K$22*(Calc!$G$3:$G$22&gt;B1644)*(Calc!$G$3:$G$22-B1644)*Calc!$G$3:$G$22)</f>
        <v/>
      </c>
      <c r="N1644">
        <f>SUMPRODUCT(Calc!$K$3:$K$22*(Calc!$G$3:$G$22&gt;A1644)*(Calc!$G$3:$G$22-A1644)*Calc!$I$3:$I$22)</f>
        <v/>
      </c>
      <c r="O1644">
        <f>SUMPRODUCT(Calc!$K$3:$K$22*(Calc!$G$3:$G$22&gt;B1644)*(Calc!$G$3:$G$22-B1644)*Calc!$I$3:$I$22)</f>
        <v/>
      </c>
      <c r="P1644">
        <f>I1644-G1644^2/k_n</f>
        <v/>
      </c>
      <c r="Q1644">
        <f>J1644-H1644^2/k_n</f>
        <v/>
      </c>
      <c r="R1644">
        <f>K1644-G1644*H1644/k_n</f>
        <v/>
      </c>
      <c r="S1644">
        <f>L1644-LTP3!$D$3*G1644/k_n</f>
        <v/>
      </c>
      <c r="T1644">
        <f>M1644-LTP3!$D$3*H1644/k_n</f>
        <v/>
      </c>
      <c r="U1644">
        <f>N1644-G1644*LTP3!$D$4/k_n</f>
        <v/>
      </c>
      <c r="V1644">
        <f>O1644-H1644*LTP3!$D$4/k_n</f>
        <v/>
      </c>
      <c r="W1644">
        <f>((LTP3!$D$5)*((P1644)*(Q1644)-(R1644)*(R1644))-(S1644)*((S1644)*(Q1644)-(R1644)*(T1644))+(T1644)*((S1644)*(R1644)-(P1644)*(T1644)))</f>
        <v/>
      </c>
      <c r="X1644">
        <f>IF(ABS(W1644)&gt;1E-12,((LTP3!$D$6)*((P1644)*(Q1644)-(R1644)*(R1644))-(S1644)*((U1644)*(Q1644)-(R1644)*(V1644))+(T1644)*((U1644)*(R1644)-(P1644)*(V1644)))/W1644,0)</f>
        <v/>
      </c>
      <c r="Y1644">
        <f>IF(ABS(W1644)&gt;1E-12,((LTP3!$D$5)*((U1644)*(Q1644)-(R1644)*(V1644))-(LTP3!$D$6)*((S1644)*(Q1644)-(R1644)*(T1644))+(T1644)*((S1644)*(V1644)-(U1644)*(T1644)))/W1644,0)</f>
        <v/>
      </c>
      <c r="Z1644">
        <f>IF(ABS(W1644)&gt;1E-12,((LTP3!$D$5)*((P1644)*(V1644)-(U1644)*(R1644))-(S1644)*((S1644)*(V1644)-(U1644)*(T1644))+(LTP3!$D$6)*((S1644)*(R1644)-(P1644)*(T1644)))/W1644,0)</f>
        <v/>
      </c>
      <c r="AA1644">
        <f>LTP3!$D$7-X1644*LTP3!$D$6-Y1644*U1644-Z1644*V1644</f>
        <v/>
      </c>
      <c r="AB1644">
        <f>IF(AND(F1644,ABS(W1644)&gt;1E-12,Y1644&gt;0,Z1644&gt;0),AA1644,1E+300)</f>
        <v/>
      </c>
    </row>
    <row r="1645">
      <c r="A1645">
        <f>$B$3+$B$5*26</f>
        <v/>
      </c>
      <c r="B1645">
        <f>$B$3+$B$5*47</f>
        <v/>
      </c>
      <c r="C1645">
        <f>SUMPRODUCT(Calc!$K$3:$K$22*(Calc!$G$3:$G$22&lt;=A1645))</f>
        <v/>
      </c>
      <c r="D1645">
        <f>SUMPRODUCT(Calc!$K$3:$K$22*(Calc!$G$3:$G$22&gt;A1645)*(Calc!$G$3:$G$22&lt;B1645))</f>
        <v/>
      </c>
      <c r="E1645">
        <f>SUMPRODUCT(Calc!$K$3:$K$22*(Calc!$G$3:$G$22&gt;=B1645))</f>
        <v/>
      </c>
      <c r="F1645">
        <f>AND(k_n&gt;=5,B1645&gt;A1645+1E-9,C1645&gt;=2,D1645&gt;=1,E1645&gt;=2)</f>
        <v/>
      </c>
      <c r="G1645">
        <f>SUMPRODUCT(Calc!$K$3:$K$22*(Calc!$G$3:$G$22&gt;A1645)*(Calc!$G$3:$G$22-A1645))</f>
        <v/>
      </c>
      <c r="H1645">
        <f>SUMPRODUCT(Calc!$K$3:$K$22*(Calc!$G$3:$G$22&gt;B1645)*(Calc!$G$3:$G$22-B1645))</f>
        <v/>
      </c>
      <c r="I1645">
        <f>SUMPRODUCT(Calc!$K$3:$K$22*(Calc!$G$3:$G$22&gt;A1645)*(Calc!$G$3:$G$22-A1645)^2)</f>
        <v/>
      </c>
      <c r="J1645">
        <f>SUMPRODUCT(Calc!$K$3:$K$22*(Calc!$G$3:$G$22&gt;B1645)*(Calc!$G$3:$G$22-B1645)^2)</f>
        <v/>
      </c>
      <c r="K1645">
        <f>SUMPRODUCT(Calc!$K$3:$K$22*(Calc!$G$3:$G$22&gt;A1645)*(Calc!$G$3:$G$22-A1645)*(Calc!$G$3:$G$22&gt;B1645)*(Calc!$G$3:$G$22-B1645))</f>
        <v/>
      </c>
      <c r="L1645">
        <f>SUMPRODUCT(Calc!$K$3:$K$22*(Calc!$G$3:$G$22&gt;A1645)*(Calc!$G$3:$G$22-A1645)*Calc!$G$3:$G$22)</f>
        <v/>
      </c>
      <c r="M1645">
        <f>SUMPRODUCT(Calc!$K$3:$K$22*(Calc!$G$3:$G$22&gt;B1645)*(Calc!$G$3:$G$22-B1645)*Calc!$G$3:$G$22)</f>
        <v/>
      </c>
      <c r="N1645">
        <f>SUMPRODUCT(Calc!$K$3:$K$22*(Calc!$G$3:$G$22&gt;A1645)*(Calc!$G$3:$G$22-A1645)*Calc!$I$3:$I$22)</f>
        <v/>
      </c>
      <c r="O1645">
        <f>SUMPRODUCT(Calc!$K$3:$K$22*(Calc!$G$3:$G$22&gt;B1645)*(Calc!$G$3:$G$22-B1645)*Calc!$I$3:$I$22)</f>
        <v/>
      </c>
      <c r="P1645">
        <f>I1645-G1645^2/k_n</f>
        <v/>
      </c>
      <c r="Q1645">
        <f>J1645-H1645^2/k_n</f>
        <v/>
      </c>
      <c r="R1645">
        <f>K1645-G1645*H1645/k_n</f>
        <v/>
      </c>
      <c r="S1645">
        <f>L1645-LTP3!$D$3*G1645/k_n</f>
        <v/>
      </c>
      <c r="T1645">
        <f>M1645-LTP3!$D$3*H1645/k_n</f>
        <v/>
      </c>
      <c r="U1645">
        <f>N1645-G1645*LTP3!$D$4/k_n</f>
        <v/>
      </c>
      <c r="V1645">
        <f>O1645-H1645*LTP3!$D$4/k_n</f>
        <v/>
      </c>
      <c r="W1645">
        <f>((LTP3!$D$5)*((P1645)*(Q1645)-(R1645)*(R1645))-(S1645)*((S1645)*(Q1645)-(R1645)*(T1645))+(T1645)*((S1645)*(R1645)-(P1645)*(T1645)))</f>
        <v/>
      </c>
      <c r="X1645">
        <f>IF(ABS(W1645)&gt;1E-12,((LTP3!$D$6)*((P1645)*(Q1645)-(R1645)*(R1645))-(S1645)*((U1645)*(Q1645)-(R1645)*(V1645))+(T1645)*((U1645)*(R1645)-(P1645)*(V1645)))/W1645,0)</f>
        <v/>
      </c>
      <c r="Y1645">
        <f>IF(ABS(W1645)&gt;1E-12,((LTP3!$D$5)*((U1645)*(Q1645)-(R1645)*(V1645))-(LTP3!$D$6)*((S1645)*(Q1645)-(R1645)*(T1645))+(T1645)*((S1645)*(V1645)-(U1645)*(T1645)))/W1645,0)</f>
        <v/>
      </c>
      <c r="Z1645">
        <f>IF(ABS(W1645)&gt;1E-12,((LTP3!$D$5)*((P1645)*(V1645)-(U1645)*(R1645))-(S1645)*((S1645)*(V1645)-(U1645)*(T1645))+(LTP3!$D$6)*((S1645)*(R1645)-(P1645)*(T1645)))/W1645,0)</f>
        <v/>
      </c>
      <c r="AA1645">
        <f>LTP3!$D$7-X1645*LTP3!$D$6-Y1645*U1645-Z1645*V1645</f>
        <v/>
      </c>
      <c r="AB1645">
        <f>IF(AND(F1645,ABS(W1645)&gt;1E-12,Y1645&gt;0,Z1645&gt;0),AA1645,1E+300)</f>
        <v/>
      </c>
    </row>
    <row r="1646">
      <c r="A1646">
        <f>$B$3+$B$5*26</f>
        <v/>
      </c>
      <c r="B1646">
        <f>$B$3+$B$5*48</f>
        <v/>
      </c>
      <c r="C1646">
        <f>SUMPRODUCT(Calc!$K$3:$K$22*(Calc!$G$3:$G$22&lt;=A1646))</f>
        <v/>
      </c>
      <c r="D1646">
        <f>SUMPRODUCT(Calc!$K$3:$K$22*(Calc!$G$3:$G$22&gt;A1646)*(Calc!$G$3:$G$22&lt;B1646))</f>
        <v/>
      </c>
      <c r="E1646">
        <f>SUMPRODUCT(Calc!$K$3:$K$22*(Calc!$G$3:$G$22&gt;=B1646))</f>
        <v/>
      </c>
      <c r="F1646">
        <f>AND(k_n&gt;=5,B1646&gt;A1646+1E-9,C1646&gt;=2,D1646&gt;=1,E1646&gt;=2)</f>
        <v/>
      </c>
      <c r="G1646">
        <f>SUMPRODUCT(Calc!$K$3:$K$22*(Calc!$G$3:$G$22&gt;A1646)*(Calc!$G$3:$G$22-A1646))</f>
        <v/>
      </c>
      <c r="H1646">
        <f>SUMPRODUCT(Calc!$K$3:$K$22*(Calc!$G$3:$G$22&gt;B1646)*(Calc!$G$3:$G$22-B1646))</f>
        <v/>
      </c>
      <c r="I1646">
        <f>SUMPRODUCT(Calc!$K$3:$K$22*(Calc!$G$3:$G$22&gt;A1646)*(Calc!$G$3:$G$22-A1646)^2)</f>
        <v/>
      </c>
      <c r="J1646">
        <f>SUMPRODUCT(Calc!$K$3:$K$22*(Calc!$G$3:$G$22&gt;B1646)*(Calc!$G$3:$G$22-B1646)^2)</f>
        <v/>
      </c>
      <c r="K1646">
        <f>SUMPRODUCT(Calc!$K$3:$K$22*(Calc!$G$3:$G$22&gt;A1646)*(Calc!$G$3:$G$22-A1646)*(Calc!$G$3:$G$22&gt;B1646)*(Calc!$G$3:$G$22-B1646))</f>
        <v/>
      </c>
      <c r="L1646">
        <f>SUMPRODUCT(Calc!$K$3:$K$22*(Calc!$G$3:$G$22&gt;A1646)*(Calc!$G$3:$G$22-A1646)*Calc!$G$3:$G$22)</f>
        <v/>
      </c>
      <c r="M1646">
        <f>SUMPRODUCT(Calc!$K$3:$K$22*(Calc!$G$3:$G$22&gt;B1646)*(Calc!$G$3:$G$22-B1646)*Calc!$G$3:$G$22)</f>
        <v/>
      </c>
      <c r="N1646">
        <f>SUMPRODUCT(Calc!$K$3:$K$22*(Calc!$G$3:$G$22&gt;A1646)*(Calc!$G$3:$G$22-A1646)*Calc!$I$3:$I$22)</f>
        <v/>
      </c>
      <c r="O1646">
        <f>SUMPRODUCT(Calc!$K$3:$K$22*(Calc!$G$3:$G$22&gt;B1646)*(Calc!$G$3:$G$22-B1646)*Calc!$I$3:$I$22)</f>
        <v/>
      </c>
      <c r="P1646">
        <f>I1646-G1646^2/k_n</f>
        <v/>
      </c>
      <c r="Q1646">
        <f>J1646-H1646^2/k_n</f>
        <v/>
      </c>
      <c r="R1646">
        <f>K1646-G1646*H1646/k_n</f>
        <v/>
      </c>
      <c r="S1646">
        <f>L1646-LTP3!$D$3*G1646/k_n</f>
        <v/>
      </c>
      <c r="T1646">
        <f>M1646-LTP3!$D$3*H1646/k_n</f>
        <v/>
      </c>
      <c r="U1646">
        <f>N1646-G1646*LTP3!$D$4/k_n</f>
        <v/>
      </c>
      <c r="V1646">
        <f>O1646-H1646*LTP3!$D$4/k_n</f>
        <v/>
      </c>
      <c r="W1646">
        <f>((LTP3!$D$5)*((P1646)*(Q1646)-(R1646)*(R1646))-(S1646)*((S1646)*(Q1646)-(R1646)*(T1646))+(T1646)*((S1646)*(R1646)-(P1646)*(T1646)))</f>
        <v/>
      </c>
      <c r="X1646">
        <f>IF(ABS(W1646)&gt;1E-12,((LTP3!$D$6)*((P1646)*(Q1646)-(R1646)*(R1646))-(S1646)*((U1646)*(Q1646)-(R1646)*(V1646))+(T1646)*((U1646)*(R1646)-(P1646)*(V1646)))/W1646,0)</f>
        <v/>
      </c>
      <c r="Y1646">
        <f>IF(ABS(W1646)&gt;1E-12,((LTP3!$D$5)*((U1646)*(Q1646)-(R1646)*(V1646))-(LTP3!$D$6)*((S1646)*(Q1646)-(R1646)*(T1646))+(T1646)*((S1646)*(V1646)-(U1646)*(T1646)))/W1646,0)</f>
        <v/>
      </c>
      <c r="Z1646">
        <f>IF(ABS(W1646)&gt;1E-12,((LTP3!$D$5)*((P1646)*(V1646)-(U1646)*(R1646))-(S1646)*((S1646)*(V1646)-(U1646)*(T1646))+(LTP3!$D$6)*((S1646)*(R1646)-(P1646)*(T1646)))/W1646,0)</f>
        <v/>
      </c>
      <c r="AA1646">
        <f>LTP3!$D$7-X1646*LTP3!$D$6-Y1646*U1646-Z1646*V1646</f>
        <v/>
      </c>
      <c r="AB1646">
        <f>IF(AND(F1646,ABS(W1646)&gt;1E-12,Y1646&gt;0,Z1646&gt;0),AA1646,1E+300)</f>
        <v/>
      </c>
    </row>
    <row r="1647">
      <c r="A1647">
        <f>$B$3+$B$5*26</f>
        <v/>
      </c>
      <c r="B1647">
        <f>$B$3+$B$5*49</f>
        <v/>
      </c>
      <c r="C1647">
        <f>SUMPRODUCT(Calc!$K$3:$K$22*(Calc!$G$3:$G$22&lt;=A1647))</f>
        <v/>
      </c>
      <c r="D1647">
        <f>SUMPRODUCT(Calc!$K$3:$K$22*(Calc!$G$3:$G$22&gt;A1647)*(Calc!$G$3:$G$22&lt;B1647))</f>
        <v/>
      </c>
      <c r="E1647">
        <f>SUMPRODUCT(Calc!$K$3:$K$22*(Calc!$G$3:$G$22&gt;=B1647))</f>
        <v/>
      </c>
      <c r="F1647">
        <f>AND(k_n&gt;=5,B1647&gt;A1647+1E-9,C1647&gt;=2,D1647&gt;=1,E1647&gt;=2)</f>
        <v/>
      </c>
      <c r="G1647">
        <f>SUMPRODUCT(Calc!$K$3:$K$22*(Calc!$G$3:$G$22&gt;A1647)*(Calc!$G$3:$G$22-A1647))</f>
        <v/>
      </c>
      <c r="H1647">
        <f>SUMPRODUCT(Calc!$K$3:$K$22*(Calc!$G$3:$G$22&gt;B1647)*(Calc!$G$3:$G$22-B1647))</f>
        <v/>
      </c>
      <c r="I1647">
        <f>SUMPRODUCT(Calc!$K$3:$K$22*(Calc!$G$3:$G$22&gt;A1647)*(Calc!$G$3:$G$22-A1647)^2)</f>
        <v/>
      </c>
      <c r="J1647">
        <f>SUMPRODUCT(Calc!$K$3:$K$22*(Calc!$G$3:$G$22&gt;B1647)*(Calc!$G$3:$G$22-B1647)^2)</f>
        <v/>
      </c>
      <c r="K1647">
        <f>SUMPRODUCT(Calc!$K$3:$K$22*(Calc!$G$3:$G$22&gt;A1647)*(Calc!$G$3:$G$22-A1647)*(Calc!$G$3:$G$22&gt;B1647)*(Calc!$G$3:$G$22-B1647))</f>
        <v/>
      </c>
      <c r="L1647">
        <f>SUMPRODUCT(Calc!$K$3:$K$22*(Calc!$G$3:$G$22&gt;A1647)*(Calc!$G$3:$G$22-A1647)*Calc!$G$3:$G$22)</f>
        <v/>
      </c>
      <c r="M1647">
        <f>SUMPRODUCT(Calc!$K$3:$K$22*(Calc!$G$3:$G$22&gt;B1647)*(Calc!$G$3:$G$22-B1647)*Calc!$G$3:$G$22)</f>
        <v/>
      </c>
      <c r="N1647">
        <f>SUMPRODUCT(Calc!$K$3:$K$22*(Calc!$G$3:$G$22&gt;A1647)*(Calc!$G$3:$G$22-A1647)*Calc!$I$3:$I$22)</f>
        <v/>
      </c>
      <c r="O1647">
        <f>SUMPRODUCT(Calc!$K$3:$K$22*(Calc!$G$3:$G$22&gt;B1647)*(Calc!$G$3:$G$22-B1647)*Calc!$I$3:$I$22)</f>
        <v/>
      </c>
      <c r="P1647">
        <f>I1647-G1647^2/k_n</f>
        <v/>
      </c>
      <c r="Q1647">
        <f>J1647-H1647^2/k_n</f>
        <v/>
      </c>
      <c r="R1647">
        <f>K1647-G1647*H1647/k_n</f>
        <v/>
      </c>
      <c r="S1647">
        <f>L1647-LTP3!$D$3*G1647/k_n</f>
        <v/>
      </c>
      <c r="T1647">
        <f>M1647-LTP3!$D$3*H1647/k_n</f>
        <v/>
      </c>
      <c r="U1647">
        <f>N1647-G1647*LTP3!$D$4/k_n</f>
        <v/>
      </c>
      <c r="V1647">
        <f>O1647-H1647*LTP3!$D$4/k_n</f>
        <v/>
      </c>
      <c r="W1647">
        <f>((LTP3!$D$5)*((P1647)*(Q1647)-(R1647)*(R1647))-(S1647)*((S1647)*(Q1647)-(R1647)*(T1647))+(T1647)*((S1647)*(R1647)-(P1647)*(T1647)))</f>
        <v/>
      </c>
      <c r="X1647">
        <f>IF(ABS(W1647)&gt;1E-12,((LTP3!$D$6)*((P1647)*(Q1647)-(R1647)*(R1647))-(S1647)*((U1647)*(Q1647)-(R1647)*(V1647))+(T1647)*((U1647)*(R1647)-(P1647)*(V1647)))/W1647,0)</f>
        <v/>
      </c>
      <c r="Y1647">
        <f>IF(ABS(W1647)&gt;1E-12,((LTP3!$D$5)*((U1647)*(Q1647)-(R1647)*(V1647))-(LTP3!$D$6)*((S1647)*(Q1647)-(R1647)*(T1647))+(T1647)*((S1647)*(V1647)-(U1647)*(T1647)))/W1647,0)</f>
        <v/>
      </c>
      <c r="Z1647">
        <f>IF(ABS(W1647)&gt;1E-12,((LTP3!$D$5)*((P1647)*(V1647)-(U1647)*(R1647))-(S1647)*((S1647)*(V1647)-(U1647)*(T1647))+(LTP3!$D$6)*((S1647)*(R1647)-(P1647)*(T1647)))/W1647,0)</f>
        <v/>
      </c>
      <c r="AA1647">
        <f>LTP3!$D$7-X1647*LTP3!$D$6-Y1647*U1647-Z1647*V1647</f>
        <v/>
      </c>
      <c r="AB1647">
        <f>IF(AND(F1647,ABS(W1647)&gt;1E-12,Y1647&gt;0,Z1647&gt;0),AA1647,1E+300)</f>
        <v/>
      </c>
    </row>
    <row r="1648">
      <c r="A1648">
        <f>$B$3+$B$5*26</f>
        <v/>
      </c>
      <c r="B1648">
        <f>$B$3+$B$5*50</f>
        <v/>
      </c>
      <c r="C1648">
        <f>SUMPRODUCT(Calc!$K$3:$K$22*(Calc!$G$3:$G$22&lt;=A1648))</f>
        <v/>
      </c>
      <c r="D1648">
        <f>SUMPRODUCT(Calc!$K$3:$K$22*(Calc!$G$3:$G$22&gt;A1648)*(Calc!$G$3:$G$22&lt;B1648))</f>
        <v/>
      </c>
      <c r="E1648">
        <f>SUMPRODUCT(Calc!$K$3:$K$22*(Calc!$G$3:$G$22&gt;=B1648))</f>
        <v/>
      </c>
      <c r="F1648">
        <f>AND(k_n&gt;=5,B1648&gt;A1648+1E-9,C1648&gt;=2,D1648&gt;=1,E1648&gt;=2)</f>
        <v/>
      </c>
      <c r="G1648">
        <f>SUMPRODUCT(Calc!$K$3:$K$22*(Calc!$G$3:$G$22&gt;A1648)*(Calc!$G$3:$G$22-A1648))</f>
        <v/>
      </c>
      <c r="H1648">
        <f>SUMPRODUCT(Calc!$K$3:$K$22*(Calc!$G$3:$G$22&gt;B1648)*(Calc!$G$3:$G$22-B1648))</f>
        <v/>
      </c>
      <c r="I1648">
        <f>SUMPRODUCT(Calc!$K$3:$K$22*(Calc!$G$3:$G$22&gt;A1648)*(Calc!$G$3:$G$22-A1648)^2)</f>
        <v/>
      </c>
      <c r="J1648">
        <f>SUMPRODUCT(Calc!$K$3:$K$22*(Calc!$G$3:$G$22&gt;B1648)*(Calc!$G$3:$G$22-B1648)^2)</f>
        <v/>
      </c>
      <c r="K1648">
        <f>SUMPRODUCT(Calc!$K$3:$K$22*(Calc!$G$3:$G$22&gt;A1648)*(Calc!$G$3:$G$22-A1648)*(Calc!$G$3:$G$22&gt;B1648)*(Calc!$G$3:$G$22-B1648))</f>
        <v/>
      </c>
      <c r="L1648">
        <f>SUMPRODUCT(Calc!$K$3:$K$22*(Calc!$G$3:$G$22&gt;A1648)*(Calc!$G$3:$G$22-A1648)*Calc!$G$3:$G$22)</f>
        <v/>
      </c>
      <c r="M1648">
        <f>SUMPRODUCT(Calc!$K$3:$K$22*(Calc!$G$3:$G$22&gt;B1648)*(Calc!$G$3:$G$22-B1648)*Calc!$G$3:$G$22)</f>
        <v/>
      </c>
      <c r="N1648">
        <f>SUMPRODUCT(Calc!$K$3:$K$22*(Calc!$G$3:$G$22&gt;A1648)*(Calc!$G$3:$G$22-A1648)*Calc!$I$3:$I$22)</f>
        <v/>
      </c>
      <c r="O1648">
        <f>SUMPRODUCT(Calc!$K$3:$K$22*(Calc!$G$3:$G$22&gt;B1648)*(Calc!$G$3:$G$22-B1648)*Calc!$I$3:$I$22)</f>
        <v/>
      </c>
      <c r="P1648">
        <f>I1648-G1648^2/k_n</f>
        <v/>
      </c>
      <c r="Q1648">
        <f>J1648-H1648^2/k_n</f>
        <v/>
      </c>
      <c r="R1648">
        <f>K1648-G1648*H1648/k_n</f>
        <v/>
      </c>
      <c r="S1648">
        <f>L1648-LTP3!$D$3*G1648/k_n</f>
        <v/>
      </c>
      <c r="T1648">
        <f>M1648-LTP3!$D$3*H1648/k_n</f>
        <v/>
      </c>
      <c r="U1648">
        <f>N1648-G1648*LTP3!$D$4/k_n</f>
        <v/>
      </c>
      <c r="V1648">
        <f>O1648-H1648*LTP3!$D$4/k_n</f>
        <v/>
      </c>
      <c r="W1648">
        <f>((LTP3!$D$5)*((P1648)*(Q1648)-(R1648)*(R1648))-(S1648)*((S1648)*(Q1648)-(R1648)*(T1648))+(T1648)*((S1648)*(R1648)-(P1648)*(T1648)))</f>
        <v/>
      </c>
      <c r="X1648">
        <f>IF(ABS(W1648)&gt;1E-12,((LTP3!$D$6)*((P1648)*(Q1648)-(R1648)*(R1648))-(S1648)*((U1648)*(Q1648)-(R1648)*(V1648))+(T1648)*((U1648)*(R1648)-(P1648)*(V1648)))/W1648,0)</f>
        <v/>
      </c>
      <c r="Y1648">
        <f>IF(ABS(W1648)&gt;1E-12,((LTP3!$D$5)*((U1648)*(Q1648)-(R1648)*(V1648))-(LTP3!$D$6)*((S1648)*(Q1648)-(R1648)*(T1648))+(T1648)*((S1648)*(V1648)-(U1648)*(T1648)))/W1648,0)</f>
        <v/>
      </c>
      <c r="Z1648">
        <f>IF(ABS(W1648)&gt;1E-12,((LTP3!$D$5)*((P1648)*(V1648)-(U1648)*(R1648))-(S1648)*((S1648)*(V1648)-(U1648)*(T1648))+(LTP3!$D$6)*((S1648)*(R1648)-(P1648)*(T1648)))/W1648,0)</f>
        <v/>
      </c>
      <c r="AA1648">
        <f>LTP3!$D$7-X1648*LTP3!$D$6-Y1648*U1648-Z1648*V1648</f>
        <v/>
      </c>
      <c r="AB1648">
        <f>IF(AND(F1648,ABS(W1648)&gt;1E-12,Y1648&gt;0,Z1648&gt;0),AA1648,1E+300)</f>
        <v/>
      </c>
    </row>
    <row r="1649">
      <c r="A1649">
        <f>$B$3+$B$5*26</f>
        <v/>
      </c>
      <c r="B1649">
        <f>$B$3+$B$5*51</f>
        <v/>
      </c>
      <c r="C1649">
        <f>SUMPRODUCT(Calc!$K$3:$K$22*(Calc!$G$3:$G$22&lt;=A1649))</f>
        <v/>
      </c>
      <c r="D1649">
        <f>SUMPRODUCT(Calc!$K$3:$K$22*(Calc!$G$3:$G$22&gt;A1649)*(Calc!$G$3:$G$22&lt;B1649))</f>
        <v/>
      </c>
      <c r="E1649">
        <f>SUMPRODUCT(Calc!$K$3:$K$22*(Calc!$G$3:$G$22&gt;=B1649))</f>
        <v/>
      </c>
      <c r="F1649">
        <f>AND(k_n&gt;=5,B1649&gt;A1649+1E-9,C1649&gt;=2,D1649&gt;=1,E1649&gt;=2)</f>
        <v/>
      </c>
      <c r="G1649">
        <f>SUMPRODUCT(Calc!$K$3:$K$22*(Calc!$G$3:$G$22&gt;A1649)*(Calc!$G$3:$G$22-A1649))</f>
        <v/>
      </c>
      <c r="H1649">
        <f>SUMPRODUCT(Calc!$K$3:$K$22*(Calc!$G$3:$G$22&gt;B1649)*(Calc!$G$3:$G$22-B1649))</f>
        <v/>
      </c>
      <c r="I1649">
        <f>SUMPRODUCT(Calc!$K$3:$K$22*(Calc!$G$3:$G$22&gt;A1649)*(Calc!$G$3:$G$22-A1649)^2)</f>
        <v/>
      </c>
      <c r="J1649">
        <f>SUMPRODUCT(Calc!$K$3:$K$22*(Calc!$G$3:$G$22&gt;B1649)*(Calc!$G$3:$G$22-B1649)^2)</f>
        <v/>
      </c>
      <c r="K1649">
        <f>SUMPRODUCT(Calc!$K$3:$K$22*(Calc!$G$3:$G$22&gt;A1649)*(Calc!$G$3:$G$22-A1649)*(Calc!$G$3:$G$22&gt;B1649)*(Calc!$G$3:$G$22-B1649))</f>
        <v/>
      </c>
      <c r="L1649">
        <f>SUMPRODUCT(Calc!$K$3:$K$22*(Calc!$G$3:$G$22&gt;A1649)*(Calc!$G$3:$G$22-A1649)*Calc!$G$3:$G$22)</f>
        <v/>
      </c>
      <c r="M1649">
        <f>SUMPRODUCT(Calc!$K$3:$K$22*(Calc!$G$3:$G$22&gt;B1649)*(Calc!$G$3:$G$22-B1649)*Calc!$G$3:$G$22)</f>
        <v/>
      </c>
      <c r="N1649">
        <f>SUMPRODUCT(Calc!$K$3:$K$22*(Calc!$G$3:$G$22&gt;A1649)*(Calc!$G$3:$G$22-A1649)*Calc!$I$3:$I$22)</f>
        <v/>
      </c>
      <c r="O1649">
        <f>SUMPRODUCT(Calc!$K$3:$K$22*(Calc!$G$3:$G$22&gt;B1649)*(Calc!$G$3:$G$22-B1649)*Calc!$I$3:$I$22)</f>
        <v/>
      </c>
      <c r="P1649">
        <f>I1649-G1649^2/k_n</f>
        <v/>
      </c>
      <c r="Q1649">
        <f>J1649-H1649^2/k_n</f>
        <v/>
      </c>
      <c r="R1649">
        <f>K1649-G1649*H1649/k_n</f>
        <v/>
      </c>
      <c r="S1649">
        <f>L1649-LTP3!$D$3*G1649/k_n</f>
        <v/>
      </c>
      <c r="T1649">
        <f>M1649-LTP3!$D$3*H1649/k_n</f>
        <v/>
      </c>
      <c r="U1649">
        <f>N1649-G1649*LTP3!$D$4/k_n</f>
        <v/>
      </c>
      <c r="V1649">
        <f>O1649-H1649*LTP3!$D$4/k_n</f>
        <v/>
      </c>
      <c r="W1649">
        <f>((LTP3!$D$5)*((P1649)*(Q1649)-(R1649)*(R1649))-(S1649)*((S1649)*(Q1649)-(R1649)*(T1649))+(T1649)*((S1649)*(R1649)-(P1649)*(T1649)))</f>
        <v/>
      </c>
      <c r="X1649">
        <f>IF(ABS(W1649)&gt;1E-12,((LTP3!$D$6)*((P1649)*(Q1649)-(R1649)*(R1649))-(S1649)*((U1649)*(Q1649)-(R1649)*(V1649))+(T1649)*((U1649)*(R1649)-(P1649)*(V1649)))/W1649,0)</f>
        <v/>
      </c>
      <c r="Y1649">
        <f>IF(ABS(W1649)&gt;1E-12,((LTP3!$D$5)*((U1649)*(Q1649)-(R1649)*(V1649))-(LTP3!$D$6)*((S1649)*(Q1649)-(R1649)*(T1649))+(T1649)*((S1649)*(V1649)-(U1649)*(T1649)))/W1649,0)</f>
        <v/>
      </c>
      <c r="Z1649">
        <f>IF(ABS(W1649)&gt;1E-12,((LTP3!$D$5)*((P1649)*(V1649)-(U1649)*(R1649))-(S1649)*((S1649)*(V1649)-(U1649)*(T1649))+(LTP3!$D$6)*((S1649)*(R1649)-(P1649)*(T1649)))/W1649,0)</f>
        <v/>
      </c>
      <c r="AA1649">
        <f>LTP3!$D$7-X1649*LTP3!$D$6-Y1649*U1649-Z1649*V1649</f>
        <v/>
      </c>
      <c r="AB1649">
        <f>IF(AND(F1649,ABS(W1649)&gt;1E-12,Y1649&gt;0,Z1649&gt;0),AA1649,1E+300)</f>
        <v/>
      </c>
    </row>
    <row r="1650">
      <c r="A1650">
        <f>$B$3+$B$5*26</f>
        <v/>
      </c>
      <c r="B1650">
        <f>$B$3+$B$5*52</f>
        <v/>
      </c>
      <c r="C1650">
        <f>SUMPRODUCT(Calc!$K$3:$K$22*(Calc!$G$3:$G$22&lt;=A1650))</f>
        <v/>
      </c>
      <c r="D1650">
        <f>SUMPRODUCT(Calc!$K$3:$K$22*(Calc!$G$3:$G$22&gt;A1650)*(Calc!$G$3:$G$22&lt;B1650))</f>
        <v/>
      </c>
      <c r="E1650">
        <f>SUMPRODUCT(Calc!$K$3:$K$22*(Calc!$G$3:$G$22&gt;=B1650))</f>
        <v/>
      </c>
      <c r="F1650">
        <f>AND(k_n&gt;=5,B1650&gt;A1650+1E-9,C1650&gt;=2,D1650&gt;=1,E1650&gt;=2)</f>
        <v/>
      </c>
      <c r="G1650">
        <f>SUMPRODUCT(Calc!$K$3:$K$22*(Calc!$G$3:$G$22&gt;A1650)*(Calc!$G$3:$G$22-A1650))</f>
        <v/>
      </c>
      <c r="H1650">
        <f>SUMPRODUCT(Calc!$K$3:$K$22*(Calc!$G$3:$G$22&gt;B1650)*(Calc!$G$3:$G$22-B1650))</f>
        <v/>
      </c>
      <c r="I1650">
        <f>SUMPRODUCT(Calc!$K$3:$K$22*(Calc!$G$3:$G$22&gt;A1650)*(Calc!$G$3:$G$22-A1650)^2)</f>
        <v/>
      </c>
      <c r="J1650">
        <f>SUMPRODUCT(Calc!$K$3:$K$22*(Calc!$G$3:$G$22&gt;B1650)*(Calc!$G$3:$G$22-B1650)^2)</f>
        <v/>
      </c>
      <c r="K1650">
        <f>SUMPRODUCT(Calc!$K$3:$K$22*(Calc!$G$3:$G$22&gt;A1650)*(Calc!$G$3:$G$22-A1650)*(Calc!$G$3:$G$22&gt;B1650)*(Calc!$G$3:$G$22-B1650))</f>
        <v/>
      </c>
      <c r="L1650">
        <f>SUMPRODUCT(Calc!$K$3:$K$22*(Calc!$G$3:$G$22&gt;A1650)*(Calc!$G$3:$G$22-A1650)*Calc!$G$3:$G$22)</f>
        <v/>
      </c>
      <c r="M1650">
        <f>SUMPRODUCT(Calc!$K$3:$K$22*(Calc!$G$3:$G$22&gt;B1650)*(Calc!$G$3:$G$22-B1650)*Calc!$G$3:$G$22)</f>
        <v/>
      </c>
      <c r="N1650">
        <f>SUMPRODUCT(Calc!$K$3:$K$22*(Calc!$G$3:$G$22&gt;A1650)*(Calc!$G$3:$G$22-A1650)*Calc!$I$3:$I$22)</f>
        <v/>
      </c>
      <c r="O1650">
        <f>SUMPRODUCT(Calc!$K$3:$K$22*(Calc!$G$3:$G$22&gt;B1650)*(Calc!$G$3:$G$22-B1650)*Calc!$I$3:$I$22)</f>
        <v/>
      </c>
      <c r="P1650">
        <f>I1650-G1650^2/k_n</f>
        <v/>
      </c>
      <c r="Q1650">
        <f>J1650-H1650^2/k_n</f>
        <v/>
      </c>
      <c r="R1650">
        <f>K1650-G1650*H1650/k_n</f>
        <v/>
      </c>
      <c r="S1650">
        <f>L1650-LTP3!$D$3*G1650/k_n</f>
        <v/>
      </c>
      <c r="T1650">
        <f>M1650-LTP3!$D$3*H1650/k_n</f>
        <v/>
      </c>
      <c r="U1650">
        <f>N1650-G1650*LTP3!$D$4/k_n</f>
        <v/>
      </c>
      <c r="V1650">
        <f>O1650-H1650*LTP3!$D$4/k_n</f>
        <v/>
      </c>
      <c r="W1650">
        <f>((LTP3!$D$5)*((P1650)*(Q1650)-(R1650)*(R1650))-(S1650)*((S1650)*(Q1650)-(R1650)*(T1650))+(T1650)*((S1650)*(R1650)-(P1650)*(T1650)))</f>
        <v/>
      </c>
      <c r="X1650">
        <f>IF(ABS(W1650)&gt;1E-12,((LTP3!$D$6)*((P1650)*(Q1650)-(R1650)*(R1650))-(S1650)*((U1650)*(Q1650)-(R1650)*(V1650))+(T1650)*((U1650)*(R1650)-(P1650)*(V1650)))/W1650,0)</f>
        <v/>
      </c>
      <c r="Y1650">
        <f>IF(ABS(W1650)&gt;1E-12,((LTP3!$D$5)*((U1650)*(Q1650)-(R1650)*(V1650))-(LTP3!$D$6)*((S1650)*(Q1650)-(R1650)*(T1650))+(T1650)*((S1650)*(V1650)-(U1650)*(T1650)))/W1650,0)</f>
        <v/>
      </c>
      <c r="Z1650">
        <f>IF(ABS(W1650)&gt;1E-12,((LTP3!$D$5)*((P1650)*(V1650)-(U1650)*(R1650))-(S1650)*((S1650)*(V1650)-(U1650)*(T1650))+(LTP3!$D$6)*((S1650)*(R1650)-(P1650)*(T1650)))/W1650,0)</f>
        <v/>
      </c>
      <c r="AA1650">
        <f>LTP3!$D$7-X1650*LTP3!$D$6-Y1650*U1650-Z1650*V1650</f>
        <v/>
      </c>
      <c r="AB1650">
        <f>IF(AND(F1650,ABS(W1650)&gt;1E-12,Y1650&gt;0,Z1650&gt;0),AA1650,1E+300)</f>
        <v/>
      </c>
    </row>
    <row r="1651">
      <c r="A1651">
        <f>$B$3+$B$5*26</f>
        <v/>
      </c>
      <c r="B1651">
        <f>$B$3+$B$5*53</f>
        <v/>
      </c>
      <c r="C1651">
        <f>SUMPRODUCT(Calc!$K$3:$K$22*(Calc!$G$3:$G$22&lt;=A1651))</f>
        <v/>
      </c>
      <c r="D1651">
        <f>SUMPRODUCT(Calc!$K$3:$K$22*(Calc!$G$3:$G$22&gt;A1651)*(Calc!$G$3:$G$22&lt;B1651))</f>
        <v/>
      </c>
      <c r="E1651">
        <f>SUMPRODUCT(Calc!$K$3:$K$22*(Calc!$G$3:$G$22&gt;=B1651))</f>
        <v/>
      </c>
      <c r="F1651">
        <f>AND(k_n&gt;=5,B1651&gt;A1651+1E-9,C1651&gt;=2,D1651&gt;=1,E1651&gt;=2)</f>
        <v/>
      </c>
      <c r="G1651">
        <f>SUMPRODUCT(Calc!$K$3:$K$22*(Calc!$G$3:$G$22&gt;A1651)*(Calc!$G$3:$G$22-A1651))</f>
        <v/>
      </c>
      <c r="H1651">
        <f>SUMPRODUCT(Calc!$K$3:$K$22*(Calc!$G$3:$G$22&gt;B1651)*(Calc!$G$3:$G$22-B1651))</f>
        <v/>
      </c>
      <c r="I1651">
        <f>SUMPRODUCT(Calc!$K$3:$K$22*(Calc!$G$3:$G$22&gt;A1651)*(Calc!$G$3:$G$22-A1651)^2)</f>
        <v/>
      </c>
      <c r="J1651">
        <f>SUMPRODUCT(Calc!$K$3:$K$22*(Calc!$G$3:$G$22&gt;B1651)*(Calc!$G$3:$G$22-B1651)^2)</f>
        <v/>
      </c>
      <c r="K1651">
        <f>SUMPRODUCT(Calc!$K$3:$K$22*(Calc!$G$3:$G$22&gt;A1651)*(Calc!$G$3:$G$22-A1651)*(Calc!$G$3:$G$22&gt;B1651)*(Calc!$G$3:$G$22-B1651))</f>
        <v/>
      </c>
      <c r="L1651">
        <f>SUMPRODUCT(Calc!$K$3:$K$22*(Calc!$G$3:$G$22&gt;A1651)*(Calc!$G$3:$G$22-A1651)*Calc!$G$3:$G$22)</f>
        <v/>
      </c>
      <c r="M1651">
        <f>SUMPRODUCT(Calc!$K$3:$K$22*(Calc!$G$3:$G$22&gt;B1651)*(Calc!$G$3:$G$22-B1651)*Calc!$G$3:$G$22)</f>
        <v/>
      </c>
      <c r="N1651">
        <f>SUMPRODUCT(Calc!$K$3:$K$22*(Calc!$G$3:$G$22&gt;A1651)*(Calc!$G$3:$G$22-A1651)*Calc!$I$3:$I$22)</f>
        <v/>
      </c>
      <c r="O1651">
        <f>SUMPRODUCT(Calc!$K$3:$K$22*(Calc!$G$3:$G$22&gt;B1651)*(Calc!$G$3:$G$22-B1651)*Calc!$I$3:$I$22)</f>
        <v/>
      </c>
      <c r="P1651">
        <f>I1651-G1651^2/k_n</f>
        <v/>
      </c>
      <c r="Q1651">
        <f>J1651-H1651^2/k_n</f>
        <v/>
      </c>
      <c r="R1651">
        <f>K1651-G1651*H1651/k_n</f>
        <v/>
      </c>
      <c r="S1651">
        <f>L1651-LTP3!$D$3*G1651/k_n</f>
        <v/>
      </c>
      <c r="T1651">
        <f>M1651-LTP3!$D$3*H1651/k_n</f>
        <v/>
      </c>
      <c r="U1651">
        <f>N1651-G1651*LTP3!$D$4/k_n</f>
        <v/>
      </c>
      <c r="V1651">
        <f>O1651-H1651*LTP3!$D$4/k_n</f>
        <v/>
      </c>
      <c r="W1651">
        <f>((LTP3!$D$5)*((P1651)*(Q1651)-(R1651)*(R1651))-(S1651)*((S1651)*(Q1651)-(R1651)*(T1651))+(T1651)*((S1651)*(R1651)-(P1651)*(T1651)))</f>
        <v/>
      </c>
      <c r="X1651">
        <f>IF(ABS(W1651)&gt;1E-12,((LTP3!$D$6)*((P1651)*(Q1651)-(R1651)*(R1651))-(S1651)*((U1651)*(Q1651)-(R1651)*(V1651))+(T1651)*((U1651)*(R1651)-(P1651)*(V1651)))/W1651,0)</f>
        <v/>
      </c>
      <c r="Y1651">
        <f>IF(ABS(W1651)&gt;1E-12,((LTP3!$D$5)*((U1651)*(Q1651)-(R1651)*(V1651))-(LTP3!$D$6)*((S1651)*(Q1651)-(R1651)*(T1651))+(T1651)*((S1651)*(V1651)-(U1651)*(T1651)))/W1651,0)</f>
        <v/>
      </c>
      <c r="Z1651">
        <f>IF(ABS(W1651)&gt;1E-12,((LTP3!$D$5)*((P1651)*(V1651)-(U1651)*(R1651))-(S1651)*((S1651)*(V1651)-(U1651)*(T1651))+(LTP3!$D$6)*((S1651)*(R1651)-(P1651)*(T1651)))/W1651,0)</f>
        <v/>
      </c>
      <c r="AA1651">
        <f>LTP3!$D$7-X1651*LTP3!$D$6-Y1651*U1651-Z1651*V1651</f>
        <v/>
      </c>
      <c r="AB1651">
        <f>IF(AND(F1651,ABS(W1651)&gt;1E-12,Y1651&gt;0,Z1651&gt;0),AA1651,1E+300)</f>
        <v/>
      </c>
    </row>
    <row r="1652">
      <c r="A1652">
        <f>$B$3+$B$5*26</f>
        <v/>
      </c>
      <c r="B1652">
        <f>$B$3+$B$5*54</f>
        <v/>
      </c>
      <c r="C1652">
        <f>SUMPRODUCT(Calc!$K$3:$K$22*(Calc!$G$3:$G$22&lt;=A1652))</f>
        <v/>
      </c>
      <c r="D1652">
        <f>SUMPRODUCT(Calc!$K$3:$K$22*(Calc!$G$3:$G$22&gt;A1652)*(Calc!$G$3:$G$22&lt;B1652))</f>
        <v/>
      </c>
      <c r="E1652">
        <f>SUMPRODUCT(Calc!$K$3:$K$22*(Calc!$G$3:$G$22&gt;=B1652))</f>
        <v/>
      </c>
      <c r="F1652">
        <f>AND(k_n&gt;=5,B1652&gt;A1652+1E-9,C1652&gt;=2,D1652&gt;=1,E1652&gt;=2)</f>
        <v/>
      </c>
      <c r="G1652">
        <f>SUMPRODUCT(Calc!$K$3:$K$22*(Calc!$G$3:$G$22&gt;A1652)*(Calc!$G$3:$G$22-A1652))</f>
        <v/>
      </c>
      <c r="H1652">
        <f>SUMPRODUCT(Calc!$K$3:$K$22*(Calc!$G$3:$G$22&gt;B1652)*(Calc!$G$3:$G$22-B1652))</f>
        <v/>
      </c>
      <c r="I1652">
        <f>SUMPRODUCT(Calc!$K$3:$K$22*(Calc!$G$3:$G$22&gt;A1652)*(Calc!$G$3:$G$22-A1652)^2)</f>
        <v/>
      </c>
      <c r="J1652">
        <f>SUMPRODUCT(Calc!$K$3:$K$22*(Calc!$G$3:$G$22&gt;B1652)*(Calc!$G$3:$G$22-B1652)^2)</f>
        <v/>
      </c>
      <c r="K1652">
        <f>SUMPRODUCT(Calc!$K$3:$K$22*(Calc!$G$3:$G$22&gt;A1652)*(Calc!$G$3:$G$22-A1652)*(Calc!$G$3:$G$22&gt;B1652)*(Calc!$G$3:$G$22-B1652))</f>
        <v/>
      </c>
      <c r="L1652">
        <f>SUMPRODUCT(Calc!$K$3:$K$22*(Calc!$G$3:$G$22&gt;A1652)*(Calc!$G$3:$G$22-A1652)*Calc!$G$3:$G$22)</f>
        <v/>
      </c>
      <c r="M1652">
        <f>SUMPRODUCT(Calc!$K$3:$K$22*(Calc!$G$3:$G$22&gt;B1652)*(Calc!$G$3:$G$22-B1652)*Calc!$G$3:$G$22)</f>
        <v/>
      </c>
      <c r="N1652">
        <f>SUMPRODUCT(Calc!$K$3:$K$22*(Calc!$G$3:$G$22&gt;A1652)*(Calc!$G$3:$G$22-A1652)*Calc!$I$3:$I$22)</f>
        <v/>
      </c>
      <c r="O1652">
        <f>SUMPRODUCT(Calc!$K$3:$K$22*(Calc!$G$3:$G$22&gt;B1652)*(Calc!$G$3:$G$22-B1652)*Calc!$I$3:$I$22)</f>
        <v/>
      </c>
      <c r="P1652">
        <f>I1652-G1652^2/k_n</f>
        <v/>
      </c>
      <c r="Q1652">
        <f>J1652-H1652^2/k_n</f>
        <v/>
      </c>
      <c r="R1652">
        <f>K1652-G1652*H1652/k_n</f>
        <v/>
      </c>
      <c r="S1652">
        <f>L1652-LTP3!$D$3*G1652/k_n</f>
        <v/>
      </c>
      <c r="T1652">
        <f>M1652-LTP3!$D$3*H1652/k_n</f>
        <v/>
      </c>
      <c r="U1652">
        <f>N1652-G1652*LTP3!$D$4/k_n</f>
        <v/>
      </c>
      <c r="V1652">
        <f>O1652-H1652*LTP3!$D$4/k_n</f>
        <v/>
      </c>
      <c r="W1652">
        <f>((LTP3!$D$5)*((P1652)*(Q1652)-(R1652)*(R1652))-(S1652)*((S1652)*(Q1652)-(R1652)*(T1652))+(T1652)*((S1652)*(R1652)-(P1652)*(T1652)))</f>
        <v/>
      </c>
      <c r="X1652">
        <f>IF(ABS(W1652)&gt;1E-12,((LTP3!$D$6)*((P1652)*(Q1652)-(R1652)*(R1652))-(S1652)*((U1652)*(Q1652)-(R1652)*(V1652))+(T1652)*((U1652)*(R1652)-(P1652)*(V1652)))/W1652,0)</f>
        <v/>
      </c>
      <c r="Y1652">
        <f>IF(ABS(W1652)&gt;1E-12,((LTP3!$D$5)*((U1652)*(Q1652)-(R1652)*(V1652))-(LTP3!$D$6)*((S1652)*(Q1652)-(R1652)*(T1652))+(T1652)*((S1652)*(V1652)-(U1652)*(T1652)))/W1652,0)</f>
        <v/>
      </c>
      <c r="Z1652">
        <f>IF(ABS(W1652)&gt;1E-12,((LTP3!$D$5)*((P1652)*(V1652)-(U1652)*(R1652))-(S1652)*((S1652)*(V1652)-(U1652)*(T1652))+(LTP3!$D$6)*((S1652)*(R1652)-(P1652)*(T1652)))/W1652,0)</f>
        <v/>
      </c>
      <c r="AA1652">
        <f>LTP3!$D$7-X1652*LTP3!$D$6-Y1652*U1652-Z1652*V1652</f>
        <v/>
      </c>
      <c r="AB1652">
        <f>IF(AND(F1652,ABS(W1652)&gt;1E-12,Y1652&gt;0,Z1652&gt;0),AA1652,1E+300)</f>
        <v/>
      </c>
    </row>
    <row r="1653">
      <c r="A1653">
        <f>$B$3+$B$5*26</f>
        <v/>
      </c>
      <c r="B1653">
        <f>$B$3+$B$5*55</f>
        <v/>
      </c>
      <c r="C1653">
        <f>SUMPRODUCT(Calc!$K$3:$K$22*(Calc!$G$3:$G$22&lt;=A1653))</f>
        <v/>
      </c>
      <c r="D1653">
        <f>SUMPRODUCT(Calc!$K$3:$K$22*(Calc!$G$3:$G$22&gt;A1653)*(Calc!$G$3:$G$22&lt;B1653))</f>
        <v/>
      </c>
      <c r="E1653">
        <f>SUMPRODUCT(Calc!$K$3:$K$22*(Calc!$G$3:$G$22&gt;=B1653))</f>
        <v/>
      </c>
      <c r="F1653">
        <f>AND(k_n&gt;=5,B1653&gt;A1653+1E-9,C1653&gt;=2,D1653&gt;=1,E1653&gt;=2)</f>
        <v/>
      </c>
      <c r="G1653">
        <f>SUMPRODUCT(Calc!$K$3:$K$22*(Calc!$G$3:$G$22&gt;A1653)*(Calc!$G$3:$G$22-A1653))</f>
        <v/>
      </c>
      <c r="H1653">
        <f>SUMPRODUCT(Calc!$K$3:$K$22*(Calc!$G$3:$G$22&gt;B1653)*(Calc!$G$3:$G$22-B1653))</f>
        <v/>
      </c>
      <c r="I1653">
        <f>SUMPRODUCT(Calc!$K$3:$K$22*(Calc!$G$3:$G$22&gt;A1653)*(Calc!$G$3:$G$22-A1653)^2)</f>
        <v/>
      </c>
      <c r="J1653">
        <f>SUMPRODUCT(Calc!$K$3:$K$22*(Calc!$G$3:$G$22&gt;B1653)*(Calc!$G$3:$G$22-B1653)^2)</f>
        <v/>
      </c>
      <c r="K1653">
        <f>SUMPRODUCT(Calc!$K$3:$K$22*(Calc!$G$3:$G$22&gt;A1653)*(Calc!$G$3:$G$22-A1653)*(Calc!$G$3:$G$22&gt;B1653)*(Calc!$G$3:$G$22-B1653))</f>
        <v/>
      </c>
      <c r="L1653">
        <f>SUMPRODUCT(Calc!$K$3:$K$22*(Calc!$G$3:$G$22&gt;A1653)*(Calc!$G$3:$G$22-A1653)*Calc!$G$3:$G$22)</f>
        <v/>
      </c>
      <c r="M1653">
        <f>SUMPRODUCT(Calc!$K$3:$K$22*(Calc!$G$3:$G$22&gt;B1653)*(Calc!$G$3:$G$22-B1653)*Calc!$G$3:$G$22)</f>
        <v/>
      </c>
      <c r="N1653">
        <f>SUMPRODUCT(Calc!$K$3:$K$22*(Calc!$G$3:$G$22&gt;A1653)*(Calc!$G$3:$G$22-A1653)*Calc!$I$3:$I$22)</f>
        <v/>
      </c>
      <c r="O1653">
        <f>SUMPRODUCT(Calc!$K$3:$K$22*(Calc!$G$3:$G$22&gt;B1653)*(Calc!$G$3:$G$22-B1653)*Calc!$I$3:$I$22)</f>
        <v/>
      </c>
      <c r="P1653">
        <f>I1653-G1653^2/k_n</f>
        <v/>
      </c>
      <c r="Q1653">
        <f>J1653-H1653^2/k_n</f>
        <v/>
      </c>
      <c r="R1653">
        <f>K1653-G1653*H1653/k_n</f>
        <v/>
      </c>
      <c r="S1653">
        <f>L1653-LTP3!$D$3*G1653/k_n</f>
        <v/>
      </c>
      <c r="T1653">
        <f>M1653-LTP3!$D$3*H1653/k_n</f>
        <v/>
      </c>
      <c r="U1653">
        <f>N1653-G1653*LTP3!$D$4/k_n</f>
        <v/>
      </c>
      <c r="V1653">
        <f>O1653-H1653*LTP3!$D$4/k_n</f>
        <v/>
      </c>
      <c r="W1653">
        <f>((LTP3!$D$5)*((P1653)*(Q1653)-(R1653)*(R1653))-(S1653)*((S1653)*(Q1653)-(R1653)*(T1653))+(T1653)*((S1653)*(R1653)-(P1653)*(T1653)))</f>
        <v/>
      </c>
      <c r="X1653">
        <f>IF(ABS(W1653)&gt;1E-12,((LTP3!$D$6)*((P1653)*(Q1653)-(R1653)*(R1653))-(S1653)*((U1653)*(Q1653)-(R1653)*(V1653))+(T1653)*((U1653)*(R1653)-(P1653)*(V1653)))/W1653,0)</f>
        <v/>
      </c>
      <c r="Y1653">
        <f>IF(ABS(W1653)&gt;1E-12,((LTP3!$D$5)*((U1653)*(Q1653)-(R1653)*(V1653))-(LTP3!$D$6)*((S1653)*(Q1653)-(R1653)*(T1653))+(T1653)*((S1653)*(V1653)-(U1653)*(T1653)))/W1653,0)</f>
        <v/>
      </c>
      <c r="Z1653">
        <f>IF(ABS(W1653)&gt;1E-12,((LTP3!$D$5)*((P1653)*(V1653)-(U1653)*(R1653))-(S1653)*((S1653)*(V1653)-(U1653)*(T1653))+(LTP3!$D$6)*((S1653)*(R1653)-(P1653)*(T1653)))/W1653,0)</f>
        <v/>
      </c>
      <c r="AA1653">
        <f>LTP3!$D$7-X1653*LTP3!$D$6-Y1653*U1653-Z1653*V1653</f>
        <v/>
      </c>
      <c r="AB1653">
        <f>IF(AND(F1653,ABS(W1653)&gt;1E-12,Y1653&gt;0,Z1653&gt;0),AA1653,1E+300)</f>
        <v/>
      </c>
    </row>
    <row r="1654">
      <c r="A1654">
        <f>$B$3+$B$5*26</f>
        <v/>
      </c>
      <c r="B1654">
        <f>$B$3+$B$5*56</f>
        <v/>
      </c>
      <c r="C1654">
        <f>SUMPRODUCT(Calc!$K$3:$K$22*(Calc!$G$3:$G$22&lt;=A1654))</f>
        <v/>
      </c>
      <c r="D1654">
        <f>SUMPRODUCT(Calc!$K$3:$K$22*(Calc!$G$3:$G$22&gt;A1654)*(Calc!$G$3:$G$22&lt;B1654))</f>
        <v/>
      </c>
      <c r="E1654">
        <f>SUMPRODUCT(Calc!$K$3:$K$22*(Calc!$G$3:$G$22&gt;=B1654))</f>
        <v/>
      </c>
      <c r="F1654">
        <f>AND(k_n&gt;=5,B1654&gt;A1654+1E-9,C1654&gt;=2,D1654&gt;=1,E1654&gt;=2)</f>
        <v/>
      </c>
      <c r="G1654">
        <f>SUMPRODUCT(Calc!$K$3:$K$22*(Calc!$G$3:$G$22&gt;A1654)*(Calc!$G$3:$G$22-A1654))</f>
        <v/>
      </c>
      <c r="H1654">
        <f>SUMPRODUCT(Calc!$K$3:$K$22*(Calc!$G$3:$G$22&gt;B1654)*(Calc!$G$3:$G$22-B1654))</f>
        <v/>
      </c>
      <c r="I1654">
        <f>SUMPRODUCT(Calc!$K$3:$K$22*(Calc!$G$3:$G$22&gt;A1654)*(Calc!$G$3:$G$22-A1654)^2)</f>
        <v/>
      </c>
      <c r="J1654">
        <f>SUMPRODUCT(Calc!$K$3:$K$22*(Calc!$G$3:$G$22&gt;B1654)*(Calc!$G$3:$G$22-B1654)^2)</f>
        <v/>
      </c>
      <c r="K1654">
        <f>SUMPRODUCT(Calc!$K$3:$K$22*(Calc!$G$3:$G$22&gt;A1654)*(Calc!$G$3:$G$22-A1654)*(Calc!$G$3:$G$22&gt;B1654)*(Calc!$G$3:$G$22-B1654))</f>
        <v/>
      </c>
      <c r="L1654">
        <f>SUMPRODUCT(Calc!$K$3:$K$22*(Calc!$G$3:$G$22&gt;A1654)*(Calc!$G$3:$G$22-A1654)*Calc!$G$3:$G$22)</f>
        <v/>
      </c>
      <c r="M1654">
        <f>SUMPRODUCT(Calc!$K$3:$K$22*(Calc!$G$3:$G$22&gt;B1654)*(Calc!$G$3:$G$22-B1654)*Calc!$G$3:$G$22)</f>
        <v/>
      </c>
      <c r="N1654">
        <f>SUMPRODUCT(Calc!$K$3:$K$22*(Calc!$G$3:$G$22&gt;A1654)*(Calc!$G$3:$G$22-A1654)*Calc!$I$3:$I$22)</f>
        <v/>
      </c>
      <c r="O1654">
        <f>SUMPRODUCT(Calc!$K$3:$K$22*(Calc!$G$3:$G$22&gt;B1654)*(Calc!$G$3:$G$22-B1654)*Calc!$I$3:$I$22)</f>
        <v/>
      </c>
      <c r="P1654">
        <f>I1654-G1654^2/k_n</f>
        <v/>
      </c>
      <c r="Q1654">
        <f>J1654-H1654^2/k_n</f>
        <v/>
      </c>
      <c r="R1654">
        <f>K1654-G1654*H1654/k_n</f>
        <v/>
      </c>
      <c r="S1654">
        <f>L1654-LTP3!$D$3*G1654/k_n</f>
        <v/>
      </c>
      <c r="T1654">
        <f>M1654-LTP3!$D$3*H1654/k_n</f>
        <v/>
      </c>
      <c r="U1654">
        <f>N1654-G1654*LTP3!$D$4/k_n</f>
        <v/>
      </c>
      <c r="V1654">
        <f>O1654-H1654*LTP3!$D$4/k_n</f>
        <v/>
      </c>
      <c r="W1654">
        <f>((LTP3!$D$5)*((P1654)*(Q1654)-(R1654)*(R1654))-(S1654)*((S1654)*(Q1654)-(R1654)*(T1654))+(T1654)*((S1654)*(R1654)-(P1654)*(T1654)))</f>
        <v/>
      </c>
      <c r="X1654">
        <f>IF(ABS(W1654)&gt;1E-12,((LTP3!$D$6)*((P1654)*(Q1654)-(R1654)*(R1654))-(S1654)*((U1654)*(Q1654)-(R1654)*(V1654))+(T1654)*((U1654)*(R1654)-(P1654)*(V1654)))/W1654,0)</f>
        <v/>
      </c>
      <c r="Y1654">
        <f>IF(ABS(W1654)&gt;1E-12,((LTP3!$D$5)*((U1654)*(Q1654)-(R1654)*(V1654))-(LTP3!$D$6)*((S1654)*(Q1654)-(R1654)*(T1654))+(T1654)*((S1654)*(V1654)-(U1654)*(T1654)))/W1654,0)</f>
        <v/>
      </c>
      <c r="Z1654">
        <f>IF(ABS(W1654)&gt;1E-12,((LTP3!$D$5)*((P1654)*(V1654)-(U1654)*(R1654))-(S1654)*((S1654)*(V1654)-(U1654)*(T1654))+(LTP3!$D$6)*((S1654)*(R1654)-(P1654)*(T1654)))/W1654,0)</f>
        <v/>
      </c>
      <c r="AA1654">
        <f>LTP3!$D$7-X1654*LTP3!$D$6-Y1654*U1654-Z1654*V1654</f>
        <v/>
      </c>
      <c r="AB1654">
        <f>IF(AND(F1654,ABS(W1654)&gt;1E-12,Y1654&gt;0,Z1654&gt;0),AA1654,1E+300)</f>
        <v/>
      </c>
    </row>
    <row r="1655">
      <c r="A1655">
        <f>$B$3+$B$5*26</f>
        <v/>
      </c>
      <c r="B1655">
        <f>$B$3+$B$5*57</f>
        <v/>
      </c>
      <c r="C1655">
        <f>SUMPRODUCT(Calc!$K$3:$K$22*(Calc!$G$3:$G$22&lt;=A1655))</f>
        <v/>
      </c>
      <c r="D1655">
        <f>SUMPRODUCT(Calc!$K$3:$K$22*(Calc!$G$3:$G$22&gt;A1655)*(Calc!$G$3:$G$22&lt;B1655))</f>
        <v/>
      </c>
      <c r="E1655">
        <f>SUMPRODUCT(Calc!$K$3:$K$22*(Calc!$G$3:$G$22&gt;=B1655))</f>
        <v/>
      </c>
      <c r="F1655">
        <f>AND(k_n&gt;=5,B1655&gt;A1655+1E-9,C1655&gt;=2,D1655&gt;=1,E1655&gt;=2)</f>
        <v/>
      </c>
      <c r="G1655">
        <f>SUMPRODUCT(Calc!$K$3:$K$22*(Calc!$G$3:$G$22&gt;A1655)*(Calc!$G$3:$G$22-A1655))</f>
        <v/>
      </c>
      <c r="H1655">
        <f>SUMPRODUCT(Calc!$K$3:$K$22*(Calc!$G$3:$G$22&gt;B1655)*(Calc!$G$3:$G$22-B1655))</f>
        <v/>
      </c>
      <c r="I1655">
        <f>SUMPRODUCT(Calc!$K$3:$K$22*(Calc!$G$3:$G$22&gt;A1655)*(Calc!$G$3:$G$22-A1655)^2)</f>
        <v/>
      </c>
      <c r="J1655">
        <f>SUMPRODUCT(Calc!$K$3:$K$22*(Calc!$G$3:$G$22&gt;B1655)*(Calc!$G$3:$G$22-B1655)^2)</f>
        <v/>
      </c>
      <c r="K1655">
        <f>SUMPRODUCT(Calc!$K$3:$K$22*(Calc!$G$3:$G$22&gt;A1655)*(Calc!$G$3:$G$22-A1655)*(Calc!$G$3:$G$22&gt;B1655)*(Calc!$G$3:$G$22-B1655))</f>
        <v/>
      </c>
      <c r="L1655">
        <f>SUMPRODUCT(Calc!$K$3:$K$22*(Calc!$G$3:$G$22&gt;A1655)*(Calc!$G$3:$G$22-A1655)*Calc!$G$3:$G$22)</f>
        <v/>
      </c>
      <c r="M1655">
        <f>SUMPRODUCT(Calc!$K$3:$K$22*(Calc!$G$3:$G$22&gt;B1655)*(Calc!$G$3:$G$22-B1655)*Calc!$G$3:$G$22)</f>
        <v/>
      </c>
      <c r="N1655">
        <f>SUMPRODUCT(Calc!$K$3:$K$22*(Calc!$G$3:$G$22&gt;A1655)*(Calc!$G$3:$G$22-A1655)*Calc!$I$3:$I$22)</f>
        <v/>
      </c>
      <c r="O1655">
        <f>SUMPRODUCT(Calc!$K$3:$K$22*(Calc!$G$3:$G$22&gt;B1655)*(Calc!$G$3:$G$22-B1655)*Calc!$I$3:$I$22)</f>
        <v/>
      </c>
      <c r="P1655">
        <f>I1655-G1655^2/k_n</f>
        <v/>
      </c>
      <c r="Q1655">
        <f>J1655-H1655^2/k_n</f>
        <v/>
      </c>
      <c r="R1655">
        <f>K1655-G1655*H1655/k_n</f>
        <v/>
      </c>
      <c r="S1655">
        <f>L1655-LTP3!$D$3*G1655/k_n</f>
        <v/>
      </c>
      <c r="T1655">
        <f>M1655-LTP3!$D$3*H1655/k_n</f>
        <v/>
      </c>
      <c r="U1655">
        <f>N1655-G1655*LTP3!$D$4/k_n</f>
        <v/>
      </c>
      <c r="V1655">
        <f>O1655-H1655*LTP3!$D$4/k_n</f>
        <v/>
      </c>
      <c r="W1655">
        <f>((LTP3!$D$5)*((P1655)*(Q1655)-(R1655)*(R1655))-(S1655)*((S1655)*(Q1655)-(R1655)*(T1655))+(T1655)*((S1655)*(R1655)-(P1655)*(T1655)))</f>
        <v/>
      </c>
      <c r="X1655">
        <f>IF(ABS(W1655)&gt;1E-12,((LTP3!$D$6)*((P1655)*(Q1655)-(R1655)*(R1655))-(S1655)*((U1655)*(Q1655)-(R1655)*(V1655))+(T1655)*((U1655)*(R1655)-(P1655)*(V1655)))/W1655,0)</f>
        <v/>
      </c>
      <c r="Y1655">
        <f>IF(ABS(W1655)&gt;1E-12,((LTP3!$D$5)*((U1655)*(Q1655)-(R1655)*(V1655))-(LTP3!$D$6)*((S1655)*(Q1655)-(R1655)*(T1655))+(T1655)*((S1655)*(V1655)-(U1655)*(T1655)))/W1655,0)</f>
        <v/>
      </c>
      <c r="Z1655">
        <f>IF(ABS(W1655)&gt;1E-12,((LTP3!$D$5)*((P1655)*(V1655)-(U1655)*(R1655))-(S1655)*((S1655)*(V1655)-(U1655)*(T1655))+(LTP3!$D$6)*((S1655)*(R1655)-(P1655)*(T1655)))/W1655,0)</f>
        <v/>
      </c>
      <c r="AA1655">
        <f>LTP3!$D$7-X1655*LTP3!$D$6-Y1655*U1655-Z1655*V1655</f>
        <v/>
      </c>
      <c r="AB1655">
        <f>IF(AND(F1655,ABS(W1655)&gt;1E-12,Y1655&gt;0,Z1655&gt;0),AA1655,1E+300)</f>
        <v/>
      </c>
    </row>
    <row r="1656">
      <c r="A1656">
        <f>$B$3+$B$5*26</f>
        <v/>
      </c>
      <c r="B1656">
        <f>$B$3+$B$5*58</f>
        <v/>
      </c>
      <c r="C1656">
        <f>SUMPRODUCT(Calc!$K$3:$K$22*(Calc!$G$3:$G$22&lt;=A1656))</f>
        <v/>
      </c>
      <c r="D1656">
        <f>SUMPRODUCT(Calc!$K$3:$K$22*(Calc!$G$3:$G$22&gt;A1656)*(Calc!$G$3:$G$22&lt;B1656))</f>
        <v/>
      </c>
      <c r="E1656">
        <f>SUMPRODUCT(Calc!$K$3:$K$22*(Calc!$G$3:$G$22&gt;=B1656))</f>
        <v/>
      </c>
      <c r="F1656">
        <f>AND(k_n&gt;=5,B1656&gt;A1656+1E-9,C1656&gt;=2,D1656&gt;=1,E1656&gt;=2)</f>
        <v/>
      </c>
      <c r="G1656">
        <f>SUMPRODUCT(Calc!$K$3:$K$22*(Calc!$G$3:$G$22&gt;A1656)*(Calc!$G$3:$G$22-A1656))</f>
        <v/>
      </c>
      <c r="H1656">
        <f>SUMPRODUCT(Calc!$K$3:$K$22*(Calc!$G$3:$G$22&gt;B1656)*(Calc!$G$3:$G$22-B1656))</f>
        <v/>
      </c>
      <c r="I1656">
        <f>SUMPRODUCT(Calc!$K$3:$K$22*(Calc!$G$3:$G$22&gt;A1656)*(Calc!$G$3:$G$22-A1656)^2)</f>
        <v/>
      </c>
      <c r="J1656">
        <f>SUMPRODUCT(Calc!$K$3:$K$22*(Calc!$G$3:$G$22&gt;B1656)*(Calc!$G$3:$G$22-B1656)^2)</f>
        <v/>
      </c>
      <c r="K1656">
        <f>SUMPRODUCT(Calc!$K$3:$K$22*(Calc!$G$3:$G$22&gt;A1656)*(Calc!$G$3:$G$22-A1656)*(Calc!$G$3:$G$22&gt;B1656)*(Calc!$G$3:$G$22-B1656))</f>
        <v/>
      </c>
      <c r="L1656">
        <f>SUMPRODUCT(Calc!$K$3:$K$22*(Calc!$G$3:$G$22&gt;A1656)*(Calc!$G$3:$G$22-A1656)*Calc!$G$3:$G$22)</f>
        <v/>
      </c>
      <c r="M1656">
        <f>SUMPRODUCT(Calc!$K$3:$K$22*(Calc!$G$3:$G$22&gt;B1656)*(Calc!$G$3:$G$22-B1656)*Calc!$G$3:$G$22)</f>
        <v/>
      </c>
      <c r="N1656">
        <f>SUMPRODUCT(Calc!$K$3:$K$22*(Calc!$G$3:$G$22&gt;A1656)*(Calc!$G$3:$G$22-A1656)*Calc!$I$3:$I$22)</f>
        <v/>
      </c>
      <c r="O1656">
        <f>SUMPRODUCT(Calc!$K$3:$K$22*(Calc!$G$3:$G$22&gt;B1656)*(Calc!$G$3:$G$22-B1656)*Calc!$I$3:$I$22)</f>
        <v/>
      </c>
      <c r="P1656">
        <f>I1656-G1656^2/k_n</f>
        <v/>
      </c>
      <c r="Q1656">
        <f>J1656-H1656^2/k_n</f>
        <v/>
      </c>
      <c r="R1656">
        <f>K1656-G1656*H1656/k_n</f>
        <v/>
      </c>
      <c r="S1656">
        <f>L1656-LTP3!$D$3*G1656/k_n</f>
        <v/>
      </c>
      <c r="T1656">
        <f>M1656-LTP3!$D$3*H1656/k_n</f>
        <v/>
      </c>
      <c r="U1656">
        <f>N1656-G1656*LTP3!$D$4/k_n</f>
        <v/>
      </c>
      <c r="V1656">
        <f>O1656-H1656*LTP3!$D$4/k_n</f>
        <v/>
      </c>
      <c r="W1656">
        <f>((LTP3!$D$5)*((P1656)*(Q1656)-(R1656)*(R1656))-(S1656)*((S1656)*(Q1656)-(R1656)*(T1656))+(T1656)*((S1656)*(R1656)-(P1656)*(T1656)))</f>
        <v/>
      </c>
      <c r="X1656">
        <f>IF(ABS(W1656)&gt;1E-12,((LTP3!$D$6)*((P1656)*(Q1656)-(R1656)*(R1656))-(S1656)*((U1656)*(Q1656)-(R1656)*(V1656))+(T1656)*((U1656)*(R1656)-(P1656)*(V1656)))/W1656,0)</f>
        <v/>
      </c>
      <c r="Y1656">
        <f>IF(ABS(W1656)&gt;1E-12,((LTP3!$D$5)*((U1656)*(Q1656)-(R1656)*(V1656))-(LTP3!$D$6)*((S1656)*(Q1656)-(R1656)*(T1656))+(T1656)*((S1656)*(V1656)-(U1656)*(T1656)))/W1656,0)</f>
        <v/>
      </c>
      <c r="Z1656">
        <f>IF(ABS(W1656)&gt;1E-12,((LTP3!$D$5)*((P1656)*(V1656)-(U1656)*(R1656))-(S1656)*((S1656)*(V1656)-(U1656)*(T1656))+(LTP3!$D$6)*((S1656)*(R1656)-(P1656)*(T1656)))/W1656,0)</f>
        <v/>
      </c>
      <c r="AA1656">
        <f>LTP3!$D$7-X1656*LTP3!$D$6-Y1656*U1656-Z1656*V1656</f>
        <v/>
      </c>
      <c r="AB1656">
        <f>IF(AND(F1656,ABS(W1656)&gt;1E-12,Y1656&gt;0,Z1656&gt;0),AA1656,1E+300)</f>
        <v/>
      </c>
    </row>
    <row r="1657">
      <c r="A1657">
        <f>$B$3+$B$5*26</f>
        <v/>
      </c>
      <c r="B1657">
        <f>$B$3+$B$5*59</f>
        <v/>
      </c>
      <c r="C1657">
        <f>SUMPRODUCT(Calc!$K$3:$K$22*(Calc!$G$3:$G$22&lt;=A1657))</f>
        <v/>
      </c>
      <c r="D1657">
        <f>SUMPRODUCT(Calc!$K$3:$K$22*(Calc!$G$3:$G$22&gt;A1657)*(Calc!$G$3:$G$22&lt;B1657))</f>
        <v/>
      </c>
      <c r="E1657">
        <f>SUMPRODUCT(Calc!$K$3:$K$22*(Calc!$G$3:$G$22&gt;=B1657))</f>
        <v/>
      </c>
      <c r="F1657">
        <f>AND(k_n&gt;=5,B1657&gt;A1657+1E-9,C1657&gt;=2,D1657&gt;=1,E1657&gt;=2)</f>
        <v/>
      </c>
      <c r="G1657">
        <f>SUMPRODUCT(Calc!$K$3:$K$22*(Calc!$G$3:$G$22&gt;A1657)*(Calc!$G$3:$G$22-A1657))</f>
        <v/>
      </c>
      <c r="H1657">
        <f>SUMPRODUCT(Calc!$K$3:$K$22*(Calc!$G$3:$G$22&gt;B1657)*(Calc!$G$3:$G$22-B1657))</f>
        <v/>
      </c>
      <c r="I1657">
        <f>SUMPRODUCT(Calc!$K$3:$K$22*(Calc!$G$3:$G$22&gt;A1657)*(Calc!$G$3:$G$22-A1657)^2)</f>
        <v/>
      </c>
      <c r="J1657">
        <f>SUMPRODUCT(Calc!$K$3:$K$22*(Calc!$G$3:$G$22&gt;B1657)*(Calc!$G$3:$G$22-B1657)^2)</f>
        <v/>
      </c>
      <c r="K1657">
        <f>SUMPRODUCT(Calc!$K$3:$K$22*(Calc!$G$3:$G$22&gt;A1657)*(Calc!$G$3:$G$22-A1657)*(Calc!$G$3:$G$22&gt;B1657)*(Calc!$G$3:$G$22-B1657))</f>
        <v/>
      </c>
      <c r="L1657">
        <f>SUMPRODUCT(Calc!$K$3:$K$22*(Calc!$G$3:$G$22&gt;A1657)*(Calc!$G$3:$G$22-A1657)*Calc!$G$3:$G$22)</f>
        <v/>
      </c>
      <c r="M1657">
        <f>SUMPRODUCT(Calc!$K$3:$K$22*(Calc!$G$3:$G$22&gt;B1657)*(Calc!$G$3:$G$22-B1657)*Calc!$G$3:$G$22)</f>
        <v/>
      </c>
      <c r="N1657">
        <f>SUMPRODUCT(Calc!$K$3:$K$22*(Calc!$G$3:$G$22&gt;A1657)*(Calc!$G$3:$G$22-A1657)*Calc!$I$3:$I$22)</f>
        <v/>
      </c>
      <c r="O1657">
        <f>SUMPRODUCT(Calc!$K$3:$K$22*(Calc!$G$3:$G$22&gt;B1657)*(Calc!$G$3:$G$22-B1657)*Calc!$I$3:$I$22)</f>
        <v/>
      </c>
      <c r="P1657">
        <f>I1657-G1657^2/k_n</f>
        <v/>
      </c>
      <c r="Q1657">
        <f>J1657-H1657^2/k_n</f>
        <v/>
      </c>
      <c r="R1657">
        <f>K1657-G1657*H1657/k_n</f>
        <v/>
      </c>
      <c r="S1657">
        <f>L1657-LTP3!$D$3*G1657/k_n</f>
        <v/>
      </c>
      <c r="T1657">
        <f>M1657-LTP3!$D$3*H1657/k_n</f>
        <v/>
      </c>
      <c r="U1657">
        <f>N1657-G1657*LTP3!$D$4/k_n</f>
        <v/>
      </c>
      <c r="V1657">
        <f>O1657-H1657*LTP3!$D$4/k_n</f>
        <v/>
      </c>
      <c r="W1657">
        <f>((LTP3!$D$5)*((P1657)*(Q1657)-(R1657)*(R1657))-(S1657)*((S1657)*(Q1657)-(R1657)*(T1657))+(T1657)*((S1657)*(R1657)-(P1657)*(T1657)))</f>
        <v/>
      </c>
      <c r="X1657">
        <f>IF(ABS(W1657)&gt;1E-12,((LTP3!$D$6)*((P1657)*(Q1657)-(R1657)*(R1657))-(S1657)*((U1657)*(Q1657)-(R1657)*(V1657))+(T1657)*((U1657)*(R1657)-(P1657)*(V1657)))/W1657,0)</f>
        <v/>
      </c>
      <c r="Y1657">
        <f>IF(ABS(W1657)&gt;1E-12,((LTP3!$D$5)*((U1657)*(Q1657)-(R1657)*(V1657))-(LTP3!$D$6)*((S1657)*(Q1657)-(R1657)*(T1657))+(T1657)*((S1657)*(V1657)-(U1657)*(T1657)))/W1657,0)</f>
        <v/>
      </c>
      <c r="Z1657">
        <f>IF(ABS(W1657)&gt;1E-12,((LTP3!$D$5)*((P1657)*(V1657)-(U1657)*(R1657))-(S1657)*((S1657)*(V1657)-(U1657)*(T1657))+(LTP3!$D$6)*((S1657)*(R1657)-(P1657)*(T1657)))/W1657,0)</f>
        <v/>
      </c>
      <c r="AA1657">
        <f>LTP3!$D$7-X1657*LTP3!$D$6-Y1657*U1657-Z1657*V1657</f>
        <v/>
      </c>
      <c r="AB1657">
        <f>IF(AND(F1657,ABS(W1657)&gt;1E-12,Y1657&gt;0,Z1657&gt;0),AA1657,1E+300)</f>
        <v/>
      </c>
    </row>
    <row r="1658">
      <c r="A1658">
        <f>$B$3+$B$5*26</f>
        <v/>
      </c>
      <c r="B1658">
        <f>$B$3+$B$5*60</f>
        <v/>
      </c>
      <c r="C1658">
        <f>SUMPRODUCT(Calc!$K$3:$K$22*(Calc!$G$3:$G$22&lt;=A1658))</f>
        <v/>
      </c>
      <c r="D1658">
        <f>SUMPRODUCT(Calc!$K$3:$K$22*(Calc!$G$3:$G$22&gt;A1658)*(Calc!$G$3:$G$22&lt;B1658))</f>
        <v/>
      </c>
      <c r="E1658">
        <f>SUMPRODUCT(Calc!$K$3:$K$22*(Calc!$G$3:$G$22&gt;=B1658))</f>
        <v/>
      </c>
      <c r="F1658">
        <f>AND(k_n&gt;=5,B1658&gt;A1658+1E-9,C1658&gt;=2,D1658&gt;=1,E1658&gt;=2)</f>
        <v/>
      </c>
      <c r="G1658">
        <f>SUMPRODUCT(Calc!$K$3:$K$22*(Calc!$G$3:$G$22&gt;A1658)*(Calc!$G$3:$G$22-A1658))</f>
        <v/>
      </c>
      <c r="H1658">
        <f>SUMPRODUCT(Calc!$K$3:$K$22*(Calc!$G$3:$G$22&gt;B1658)*(Calc!$G$3:$G$22-B1658))</f>
        <v/>
      </c>
      <c r="I1658">
        <f>SUMPRODUCT(Calc!$K$3:$K$22*(Calc!$G$3:$G$22&gt;A1658)*(Calc!$G$3:$G$22-A1658)^2)</f>
        <v/>
      </c>
      <c r="J1658">
        <f>SUMPRODUCT(Calc!$K$3:$K$22*(Calc!$G$3:$G$22&gt;B1658)*(Calc!$G$3:$G$22-B1658)^2)</f>
        <v/>
      </c>
      <c r="K1658">
        <f>SUMPRODUCT(Calc!$K$3:$K$22*(Calc!$G$3:$G$22&gt;A1658)*(Calc!$G$3:$G$22-A1658)*(Calc!$G$3:$G$22&gt;B1658)*(Calc!$G$3:$G$22-B1658))</f>
        <v/>
      </c>
      <c r="L1658">
        <f>SUMPRODUCT(Calc!$K$3:$K$22*(Calc!$G$3:$G$22&gt;A1658)*(Calc!$G$3:$G$22-A1658)*Calc!$G$3:$G$22)</f>
        <v/>
      </c>
      <c r="M1658">
        <f>SUMPRODUCT(Calc!$K$3:$K$22*(Calc!$G$3:$G$22&gt;B1658)*(Calc!$G$3:$G$22-B1658)*Calc!$G$3:$G$22)</f>
        <v/>
      </c>
      <c r="N1658">
        <f>SUMPRODUCT(Calc!$K$3:$K$22*(Calc!$G$3:$G$22&gt;A1658)*(Calc!$G$3:$G$22-A1658)*Calc!$I$3:$I$22)</f>
        <v/>
      </c>
      <c r="O1658">
        <f>SUMPRODUCT(Calc!$K$3:$K$22*(Calc!$G$3:$G$22&gt;B1658)*(Calc!$G$3:$G$22-B1658)*Calc!$I$3:$I$22)</f>
        <v/>
      </c>
      <c r="P1658">
        <f>I1658-G1658^2/k_n</f>
        <v/>
      </c>
      <c r="Q1658">
        <f>J1658-H1658^2/k_n</f>
        <v/>
      </c>
      <c r="R1658">
        <f>K1658-G1658*H1658/k_n</f>
        <v/>
      </c>
      <c r="S1658">
        <f>L1658-LTP3!$D$3*G1658/k_n</f>
        <v/>
      </c>
      <c r="T1658">
        <f>M1658-LTP3!$D$3*H1658/k_n</f>
        <v/>
      </c>
      <c r="U1658">
        <f>N1658-G1658*LTP3!$D$4/k_n</f>
        <v/>
      </c>
      <c r="V1658">
        <f>O1658-H1658*LTP3!$D$4/k_n</f>
        <v/>
      </c>
      <c r="W1658">
        <f>((LTP3!$D$5)*((P1658)*(Q1658)-(R1658)*(R1658))-(S1658)*((S1658)*(Q1658)-(R1658)*(T1658))+(T1658)*((S1658)*(R1658)-(P1658)*(T1658)))</f>
        <v/>
      </c>
      <c r="X1658">
        <f>IF(ABS(W1658)&gt;1E-12,((LTP3!$D$6)*((P1658)*(Q1658)-(R1658)*(R1658))-(S1658)*((U1658)*(Q1658)-(R1658)*(V1658))+(T1658)*((U1658)*(R1658)-(P1658)*(V1658)))/W1658,0)</f>
        <v/>
      </c>
      <c r="Y1658">
        <f>IF(ABS(W1658)&gt;1E-12,((LTP3!$D$5)*((U1658)*(Q1658)-(R1658)*(V1658))-(LTP3!$D$6)*((S1658)*(Q1658)-(R1658)*(T1658))+(T1658)*((S1658)*(V1658)-(U1658)*(T1658)))/W1658,0)</f>
        <v/>
      </c>
      <c r="Z1658">
        <f>IF(ABS(W1658)&gt;1E-12,((LTP3!$D$5)*((P1658)*(V1658)-(U1658)*(R1658))-(S1658)*((S1658)*(V1658)-(U1658)*(T1658))+(LTP3!$D$6)*((S1658)*(R1658)-(P1658)*(T1658)))/W1658,0)</f>
        <v/>
      </c>
      <c r="AA1658">
        <f>LTP3!$D$7-X1658*LTP3!$D$6-Y1658*U1658-Z1658*V1658</f>
        <v/>
      </c>
      <c r="AB1658">
        <f>IF(AND(F1658,ABS(W1658)&gt;1E-12,Y1658&gt;0,Z1658&gt;0),AA1658,1E+300)</f>
        <v/>
      </c>
    </row>
    <row r="1659">
      <c r="A1659">
        <f>$B$3+$B$5*27</f>
        <v/>
      </c>
      <c r="B1659">
        <f>$B$3+$B$5*0</f>
        <v/>
      </c>
      <c r="C1659">
        <f>SUMPRODUCT(Calc!$K$3:$K$22*(Calc!$G$3:$G$22&lt;=A1659))</f>
        <v/>
      </c>
      <c r="D1659">
        <f>SUMPRODUCT(Calc!$K$3:$K$22*(Calc!$G$3:$G$22&gt;A1659)*(Calc!$G$3:$G$22&lt;B1659))</f>
        <v/>
      </c>
      <c r="E1659">
        <f>SUMPRODUCT(Calc!$K$3:$K$22*(Calc!$G$3:$G$22&gt;=B1659))</f>
        <v/>
      </c>
      <c r="F1659">
        <f>AND(k_n&gt;=5,B1659&gt;A1659+1E-9,C1659&gt;=2,D1659&gt;=1,E1659&gt;=2)</f>
        <v/>
      </c>
      <c r="G1659">
        <f>SUMPRODUCT(Calc!$K$3:$K$22*(Calc!$G$3:$G$22&gt;A1659)*(Calc!$G$3:$G$22-A1659))</f>
        <v/>
      </c>
      <c r="H1659">
        <f>SUMPRODUCT(Calc!$K$3:$K$22*(Calc!$G$3:$G$22&gt;B1659)*(Calc!$G$3:$G$22-B1659))</f>
        <v/>
      </c>
      <c r="I1659">
        <f>SUMPRODUCT(Calc!$K$3:$K$22*(Calc!$G$3:$G$22&gt;A1659)*(Calc!$G$3:$G$22-A1659)^2)</f>
        <v/>
      </c>
      <c r="J1659">
        <f>SUMPRODUCT(Calc!$K$3:$K$22*(Calc!$G$3:$G$22&gt;B1659)*(Calc!$G$3:$G$22-B1659)^2)</f>
        <v/>
      </c>
      <c r="K1659">
        <f>SUMPRODUCT(Calc!$K$3:$K$22*(Calc!$G$3:$G$22&gt;A1659)*(Calc!$G$3:$G$22-A1659)*(Calc!$G$3:$G$22&gt;B1659)*(Calc!$G$3:$G$22-B1659))</f>
        <v/>
      </c>
      <c r="L1659">
        <f>SUMPRODUCT(Calc!$K$3:$K$22*(Calc!$G$3:$G$22&gt;A1659)*(Calc!$G$3:$G$22-A1659)*Calc!$G$3:$G$22)</f>
        <v/>
      </c>
      <c r="M1659">
        <f>SUMPRODUCT(Calc!$K$3:$K$22*(Calc!$G$3:$G$22&gt;B1659)*(Calc!$G$3:$G$22-B1659)*Calc!$G$3:$G$22)</f>
        <v/>
      </c>
      <c r="N1659">
        <f>SUMPRODUCT(Calc!$K$3:$K$22*(Calc!$G$3:$G$22&gt;A1659)*(Calc!$G$3:$G$22-A1659)*Calc!$I$3:$I$22)</f>
        <v/>
      </c>
      <c r="O1659">
        <f>SUMPRODUCT(Calc!$K$3:$K$22*(Calc!$G$3:$G$22&gt;B1659)*(Calc!$G$3:$G$22-B1659)*Calc!$I$3:$I$22)</f>
        <v/>
      </c>
      <c r="P1659">
        <f>I1659-G1659^2/k_n</f>
        <v/>
      </c>
      <c r="Q1659">
        <f>J1659-H1659^2/k_n</f>
        <v/>
      </c>
      <c r="R1659">
        <f>K1659-G1659*H1659/k_n</f>
        <v/>
      </c>
      <c r="S1659">
        <f>L1659-LTP3!$D$3*G1659/k_n</f>
        <v/>
      </c>
      <c r="T1659">
        <f>M1659-LTP3!$D$3*H1659/k_n</f>
        <v/>
      </c>
      <c r="U1659">
        <f>N1659-G1659*LTP3!$D$4/k_n</f>
        <v/>
      </c>
      <c r="V1659">
        <f>O1659-H1659*LTP3!$D$4/k_n</f>
        <v/>
      </c>
      <c r="W1659">
        <f>((LTP3!$D$5)*((P1659)*(Q1659)-(R1659)*(R1659))-(S1659)*((S1659)*(Q1659)-(R1659)*(T1659))+(T1659)*((S1659)*(R1659)-(P1659)*(T1659)))</f>
        <v/>
      </c>
      <c r="X1659">
        <f>IF(ABS(W1659)&gt;1E-12,((LTP3!$D$6)*((P1659)*(Q1659)-(R1659)*(R1659))-(S1659)*((U1659)*(Q1659)-(R1659)*(V1659))+(T1659)*((U1659)*(R1659)-(P1659)*(V1659)))/W1659,0)</f>
        <v/>
      </c>
      <c r="Y1659">
        <f>IF(ABS(W1659)&gt;1E-12,((LTP3!$D$5)*((U1659)*(Q1659)-(R1659)*(V1659))-(LTP3!$D$6)*((S1659)*(Q1659)-(R1659)*(T1659))+(T1659)*((S1659)*(V1659)-(U1659)*(T1659)))/W1659,0)</f>
        <v/>
      </c>
      <c r="Z1659">
        <f>IF(ABS(W1659)&gt;1E-12,((LTP3!$D$5)*((P1659)*(V1659)-(U1659)*(R1659))-(S1659)*((S1659)*(V1659)-(U1659)*(T1659))+(LTP3!$D$6)*((S1659)*(R1659)-(P1659)*(T1659)))/W1659,0)</f>
        <v/>
      </c>
      <c r="AA1659">
        <f>LTP3!$D$7-X1659*LTP3!$D$6-Y1659*U1659-Z1659*V1659</f>
        <v/>
      </c>
      <c r="AB1659">
        <f>IF(AND(F1659,ABS(W1659)&gt;1E-12,Y1659&gt;0,Z1659&gt;0),AA1659,1E+300)</f>
        <v/>
      </c>
    </row>
    <row r="1660">
      <c r="A1660">
        <f>$B$3+$B$5*27</f>
        <v/>
      </c>
      <c r="B1660">
        <f>$B$3+$B$5*1</f>
        <v/>
      </c>
      <c r="C1660">
        <f>SUMPRODUCT(Calc!$K$3:$K$22*(Calc!$G$3:$G$22&lt;=A1660))</f>
        <v/>
      </c>
      <c r="D1660">
        <f>SUMPRODUCT(Calc!$K$3:$K$22*(Calc!$G$3:$G$22&gt;A1660)*(Calc!$G$3:$G$22&lt;B1660))</f>
        <v/>
      </c>
      <c r="E1660">
        <f>SUMPRODUCT(Calc!$K$3:$K$22*(Calc!$G$3:$G$22&gt;=B1660))</f>
        <v/>
      </c>
      <c r="F1660">
        <f>AND(k_n&gt;=5,B1660&gt;A1660+1E-9,C1660&gt;=2,D1660&gt;=1,E1660&gt;=2)</f>
        <v/>
      </c>
      <c r="G1660">
        <f>SUMPRODUCT(Calc!$K$3:$K$22*(Calc!$G$3:$G$22&gt;A1660)*(Calc!$G$3:$G$22-A1660))</f>
        <v/>
      </c>
      <c r="H1660">
        <f>SUMPRODUCT(Calc!$K$3:$K$22*(Calc!$G$3:$G$22&gt;B1660)*(Calc!$G$3:$G$22-B1660))</f>
        <v/>
      </c>
      <c r="I1660">
        <f>SUMPRODUCT(Calc!$K$3:$K$22*(Calc!$G$3:$G$22&gt;A1660)*(Calc!$G$3:$G$22-A1660)^2)</f>
        <v/>
      </c>
      <c r="J1660">
        <f>SUMPRODUCT(Calc!$K$3:$K$22*(Calc!$G$3:$G$22&gt;B1660)*(Calc!$G$3:$G$22-B1660)^2)</f>
        <v/>
      </c>
      <c r="K1660">
        <f>SUMPRODUCT(Calc!$K$3:$K$22*(Calc!$G$3:$G$22&gt;A1660)*(Calc!$G$3:$G$22-A1660)*(Calc!$G$3:$G$22&gt;B1660)*(Calc!$G$3:$G$22-B1660))</f>
        <v/>
      </c>
      <c r="L1660">
        <f>SUMPRODUCT(Calc!$K$3:$K$22*(Calc!$G$3:$G$22&gt;A1660)*(Calc!$G$3:$G$22-A1660)*Calc!$G$3:$G$22)</f>
        <v/>
      </c>
      <c r="M1660">
        <f>SUMPRODUCT(Calc!$K$3:$K$22*(Calc!$G$3:$G$22&gt;B1660)*(Calc!$G$3:$G$22-B1660)*Calc!$G$3:$G$22)</f>
        <v/>
      </c>
      <c r="N1660">
        <f>SUMPRODUCT(Calc!$K$3:$K$22*(Calc!$G$3:$G$22&gt;A1660)*(Calc!$G$3:$G$22-A1660)*Calc!$I$3:$I$22)</f>
        <v/>
      </c>
      <c r="O1660">
        <f>SUMPRODUCT(Calc!$K$3:$K$22*(Calc!$G$3:$G$22&gt;B1660)*(Calc!$G$3:$G$22-B1660)*Calc!$I$3:$I$22)</f>
        <v/>
      </c>
      <c r="P1660">
        <f>I1660-G1660^2/k_n</f>
        <v/>
      </c>
      <c r="Q1660">
        <f>J1660-H1660^2/k_n</f>
        <v/>
      </c>
      <c r="R1660">
        <f>K1660-G1660*H1660/k_n</f>
        <v/>
      </c>
      <c r="S1660">
        <f>L1660-LTP3!$D$3*G1660/k_n</f>
        <v/>
      </c>
      <c r="T1660">
        <f>M1660-LTP3!$D$3*H1660/k_n</f>
        <v/>
      </c>
      <c r="U1660">
        <f>N1660-G1660*LTP3!$D$4/k_n</f>
        <v/>
      </c>
      <c r="V1660">
        <f>O1660-H1660*LTP3!$D$4/k_n</f>
        <v/>
      </c>
      <c r="W1660">
        <f>((LTP3!$D$5)*((P1660)*(Q1660)-(R1660)*(R1660))-(S1660)*((S1660)*(Q1660)-(R1660)*(T1660))+(T1660)*((S1660)*(R1660)-(P1660)*(T1660)))</f>
        <v/>
      </c>
      <c r="X1660">
        <f>IF(ABS(W1660)&gt;1E-12,((LTP3!$D$6)*((P1660)*(Q1660)-(R1660)*(R1660))-(S1660)*((U1660)*(Q1660)-(R1660)*(V1660))+(T1660)*((U1660)*(R1660)-(P1660)*(V1660)))/W1660,0)</f>
        <v/>
      </c>
      <c r="Y1660">
        <f>IF(ABS(W1660)&gt;1E-12,((LTP3!$D$5)*((U1660)*(Q1660)-(R1660)*(V1660))-(LTP3!$D$6)*((S1660)*(Q1660)-(R1660)*(T1660))+(T1660)*((S1660)*(V1660)-(U1660)*(T1660)))/W1660,0)</f>
        <v/>
      </c>
      <c r="Z1660">
        <f>IF(ABS(W1660)&gt;1E-12,((LTP3!$D$5)*((P1660)*(V1660)-(U1660)*(R1660))-(S1660)*((S1660)*(V1660)-(U1660)*(T1660))+(LTP3!$D$6)*((S1660)*(R1660)-(P1660)*(T1660)))/W1660,0)</f>
        <v/>
      </c>
      <c r="AA1660">
        <f>LTP3!$D$7-X1660*LTP3!$D$6-Y1660*U1660-Z1660*V1660</f>
        <v/>
      </c>
      <c r="AB1660">
        <f>IF(AND(F1660,ABS(W1660)&gt;1E-12,Y1660&gt;0,Z1660&gt;0),AA1660,1E+300)</f>
        <v/>
      </c>
    </row>
    <row r="1661">
      <c r="A1661">
        <f>$B$3+$B$5*27</f>
        <v/>
      </c>
      <c r="B1661">
        <f>$B$3+$B$5*2</f>
        <v/>
      </c>
      <c r="C1661">
        <f>SUMPRODUCT(Calc!$K$3:$K$22*(Calc!$G$3:$G$22&lt;=A1661))</f>
        <v/>
      </c>
      <c r="D1661">
        <f>SUMPRODUCT(Calc!$K$3:$K$22*(Calc!$G$3:$G$22&gt;A1661)*(Calc!$G$3:$G$22&lt;B1661))</f>
        <v/>
      </c>
      <c r="E1661">
        <f>SUMPRODUCT(Calc!$K$3:$K$22*(Calc!$G$3:$G$22&gt;=B1661))</f>
        <v/>
      </c>
      <c r="F1661">
        <f>AND(k_n&gt;=5,B1661&gt;A1661+1E-9,C1661&gt;=2,D1661&gt;=1,E1661&gt;=2)</f>
        <v/>
      </c>
      <c r="G1661">
        <f>SUMPRODUCT(Calc!$K$3:$K$22*(Calc!$G$3:$G$22&gt;A1661)*(Calc!$G$3:$G$22-A1661))</f>
        <v/>
      </c>
      <c r="H1661">
        <f>SUMPRODUCT(Calc!$K$3:$K$22*(Calc!$G$3:$G$22&gt;B1661)*(Calc!$G$3:$G$22-B1661))</f>
        <v/>
      </c>
      <c r="I1661">
        <f>SUMPRODUCT(Calc!$K$3:$K$22*(Calc!$G$3:$G$22&gt;A1661)*(Calc!$G$3:$G$22-A1661)^2)</f>
        <v/>
      </c>
      <c r="J1661">
        <f>SUMPRODUCT(Calc!$K$3:$K$22*(Calc!$G$3:$G$22&gt;B1661)*(Calc!$G$3:$G$22-B1661)^2)</f>
        <v/>
      </c>
      <c r="K1661">
        <f>SUMPRODUCT(Calc!$K$3:$K$22*(Calc!$G$3:$G$22&gt;A1661)*(Calc!$G$3:$G$22-A1661)*(Calc!$G$3:$G$22&gt;B1661)*(Calc!$G$3:$G$22-B1661))</f>
        <v/>
      </c>
      <c r="L1661">
        <f>SUMPRODUCT(Calc!$K$3:$K$22*(Calc!$G$3:$G$22&gt;A1661)*(Calc!$G$3:$G$22-A1661)*Calc!$G$3:$G$22)</f>
        <v/>
      </c>
      <c r="M1661">
        <f>SUMPRODUCT(Calc!$K$3:$K$22*(Calc!$G$3:$G$22&gt;B1661)*(Calc!$G$3:$G$22-B1661)*Calc!$G$3:$G$22)</f>
        <v/>
      </c>
      <c r="N1661">
        <f>SUMPRODUCT(Calc!$K$3:$K$22*(Calc!$G$3:$G$22&gt;A1661)*(Calc!$G$3:$G$22-A1661)*Calc!$I$3:$I$22)</f>
        <v/>
      </c>
      <c r="O1661">
        <f>SUMPRODUCT(Calc!$K$3:$K$22*(Calc!$G$3:$G$22&gt;B1661)*(Calc!$G$3:$G$22-B1661)*Calc!$I$3:$I$22)</f>
        <v/>
      </c>
      <c r="P1661">
        <f>I1661-G1661^2/k_n</f>
        <v/>
      </c>
      <c r="Q1661">
        <f>J1661-H1661^2/k_n</f>
        <v/>
      </c>
      <c r="R1661">
        <f>K1661-G1661*H1661/k_n</f>
        <v/>
      </c>
      <c r="S1661">
        <f>L1661-LTP3!$D$3*G1661/k_n</f>
        <v/>
      </c>
      <c r="T1661">
        <f>M1661-LTP3!$D$3*H1661/k_n</f>
        <v/>
      </c>
      <c r="U1661">
        <f>N1661-G1661*LTP3!$D$4/k_n</f>
        <v/>
      </c>
      <c r="V1661">
        <f>O1661-H1661*LTP3!$D$4/k_n</f>
        <v/>
      </c>
      <c r="W1661">
        <f>((LTP3!$D$5)*((P1661)*(Q1661)-(R1661)*(R1661))-(S1661)*((S1661)*(Q1661)-(R1661)*(T1661))+(T1661)*((S1661)*(R1661)-(P1661)*(T1661)))</f>
        <v/>
      </c>
      <c r="X1661">
        <f>IF(ABS(W1661)&gt;1E-12,((LTP3!$D$6)*((P1661)*(Q1661)-(R1661)*(R1661))-(S1661)*((U1661)*(Q1661)-(R1661)*(V1661))+(T1661)*((U1661)*(R1661)-(P1661)*(V1661)))/W1661,0)</f>
        <v/>
      </c>
      <c r="Y1661">
        <f>IF(ABS(W1661)&gt;1E-12,((LTP3!$D$5)*((U1661)*(Q1661)-(R1661)*(V1661))-(LTP3!$D$6)*((S1661)*(Q1661)-(R1661)*(T1661))+(T1661)*((S1661)*(V1661)-(U1661)*(T1661)))/W1661,0)</f>
        <v/>
      </c>
      <c r="Z1661">
        <f>IF(ABS(W1661)&gt;1E-12,((LTP3!$D$5)*((P1661)*(V1661)-(U1661)*(R1661))-(S1661)*((S1661)*(V1661)-(U1661)*(T1661))+(LTP3!$D$6)*((S1661)*(R1661)-(P1661)*(T1661)))/W1661,0)</f>
        <v/>
      </c>
      <c r="AA1661">
        <f>LTP3!$D$7-X1661*LTP3!$D$6-Y1661*U1661-Z1661*V1661</f>
        <v/>
      </c>
      <c r="AB1661">
        <f>IF(AND(F1661,ABS(W1661)&gt;1E-12,Y1661&gt;0,Z1661&gt;0),AA1661,1E+300)</f>
        <v/>
      </c>
    </row>
    <row r="1662">
      <c r="A1662">
        <f>$B$3+$B$5*27</f>
        <v/>
      </c>
      <c r="B1662">
        <f>$B$3+$B$5*3</f>
        <v/>
      </c>
      <c r="C1662">
        <f>SUMPRODUCT(Calc!$K$3:$K$22*(Calc!$G$3:$G$22&lt;=A1662))</f>
        <v/>
      </c>
      <c r="D1662">
        <f>SUMPRODUCT(Calc!$K$3:$K$22*(Calc!$G$3:$G$22&gt;A1662)*(Calc!$G$3:$G$22&lt;B1662))</f>
        <v/>
      </c>
      <c r="E1662">
        <f>SUMPRODUCT(Calc!$K$3:$K$22*(Calc!$G$3:$G$22&gt;=B1662))</f>
        <v/>
      </c>
      <c r="F1662">
        <f>AND(k_n&gt;=5,B1662&gt;A1662+1E-9,C1662&gt;=2,D1662&gt;=1,E1662&gt;=2)</f>
        <v/>
      </c>
      <c r="G1662">
        <f>SUMPRODUCT(Calc!$K$3:$K$22*(Calc!$G$3:$G$22&gt;A1662)*(Calc!$G$3:$G$22-A1662))</f>
        <v/>
      </c>
      <c r="H1662">
        <f>SUMPRODUCT(Calc!$K$3:$K$22*(Calc!$G$3:$G$22&gt;B1662)*(Calc!$G$3:$G$22-B1662))</f>
        <v/>
      </c>
      <c r="I1662">
        <f>SUMPRODUCT(Calc!$K$3:$K$22*(Calc!$G$3:$G$22&gt;A1662)*(Calc!$G$3:$G$22-A1662)^2)</f>
        <v/>
      </c>
      <c r="J1662">
        <f>SUMPRODUCT(Calc!$K$3:$K$22*(Calc!$G$3:$G$22&gt;B1662)*(Calc!$G$3:$G$22-B1662)^2)</f>
        <v/>
      </c>
      <c r="K1662">
        <f>SUMPRODUCT(Calc!$K$3:$K$22*(Calc!$G$3:$G$22&gt;A1662)*(Calc!$G$3:$G$22-A1662)*(Calc!$G$3:$G$22&gt;B1662)*(Calc!$G$3:$G$22-B1662))</f>
        <v/>
      </c>
      <c r="L1662">
        <f>SUMPRODUCT(Calc!$K$3:$K$22*(Calc!$G$3:$G$22&gt;A1662)*(Calc!$G$3:$G$22-A1662)*Calc!$G$3:$G$22)</f>
        <v/>
      </c>
      <c r="M1662">
        <f>SUMPRODUCT(Calc!$K$3:$K$22*(Calc!$G$3:$G$22&gt;B1662)*(Calc!$G$3:$G$22-B1662)*Calc!$G$3:$G$22)</f>
        <v/>
      </c>
      <c r="N1662">
        <f>SUMPRODUCT(Calc!$K$3:$K$22*(Calc!$G$3:$G$22&gt;A1662)*(Calc!$G$3:$G$22-A1662)*Calc!$I$3:$I$22)</f>
        <v/>
      </c>
      <c r="O1662">
        <f>SUMPRODUCT(Calc!$K$3:$K$22*(Calc!$G$3:$G$22&gt;B1662)*(Calc!$G$3:$G$22-B1662)*Calc!$I$3:$I$22)</f>
        <v/>
      </c>
      <c r="P1662">
        <f>I1662-G1662^2/k_n</f>
        <v/>
      </c>
      <c r="Q1662">
        <f>J1662-H1662^2/k_n</f>
        <v/>
      </c>
      <c r="R1662">
        <f>K1662-G1662*H1662/k_n</f>
        <v/>
      </c>
      <c r="S1662">
        <f>L1662-LTP3!$D$3*G1662/k_n</f>
        <v/>
      </c>
      <c r="T1662">
        <f>M1662-LTP3!$D$3*H1662/k_n</f>
        <v/>
      </c>
      <c r="U1662">
        <f>N1662-G1662*LTP3!$D$4/k_n</f>
        <v/>
      </c>
      <c r="V1662">
        <f>O1662-H1662*LTP3!$D$4/k_n</f>
        <v/>
      </c>
      <c r="W1662">
        <f>((LTP3!$D$5)*((P1662)*(Q1662)-(R1662)*(R1662))-(S1662)*((S1662)*(Q1662)-(R1662)*(T1662))+(T1662)*((S1662)*(R1662)-(P1662)*(T1662)))</f>
        <v/>
      </c>
      <c r="X1662">
        <f>IF(ABS(W1662)&gt;1E-12,((LTP3!$D$6)*((P1662)*(Q1662)-(R1662)*(R1662))-(S1662)*((U1662)*(Q1662)-(R1662)*(V1662))+(T1662)*((U1662)*(R1662)-(P1662)*(V1662)))/W1662,0)</f>
        <v/>
      </c>
      <c r="Y1662">
        <f>IF(ABS(W1662)&gt;1E-12,((LTP3!$D$5)*((U1662)*(Q1662)-(R1662)*(V1662))-(LTP3!$D$6)*((S1662)*(Q1662)-(R1662)*(T1662))+(T1662)*((S1662)*(V1662)-(U1662)*(T1662)))/W1662,0)</f>
        <v/>
      </c>
      <c r="Z1662">
        <f>IF(ABS(W1662)&gt;1E-12,((LTP3!$D$5)*((P1662)*(V1662)-(U1662)*(R1662))-(S1662)*((S1662)*(V1662)-(U1662)*(T1662))+(LTP3!$D$6)*((S1662)*(R1662)-(P1662)*(T1662)))/W1662,0)</f>
        <v/>
      </c>
      <c r="AA1662">
        <f>LTP3!$D$7-X1662*LTP3!$D$6-Y1662*U1662-Z1662*V1662</f>
        <v/>
      </c>
      <c r="AB1662">
        <f>IF(AND(F1662,ABS(W1662)&gt;1E-12,Y1662&gt;0,Z1662&gt;0),AA1662,1E+300)</f>
        <v/>
      </c>
    </row>
    <row r="1663">
      <c r="A1663">
        <f>$B$3+$B$5*27</f>
        <v/>
      </c>
      <c r="B1663">
        <f>$B$3+$B$5*4</f>
        <v/>
      </c>
      <c r="C1663">
        <f>SUMPRODUCT(Calc!$K$3:$K$22*(Calc!$G$3:$G$22&lt;=A1663))</f>
        <v/>
      </c>
      <c r="D1663">
        <f>SUMPRODUCT(Calc!$K$3:$K$22*(Calc!$G$3:$G$22&gt;A1663)*(Calc!$G$3:$G$22&lt;B1663))</f>
        <v/>
      </c>
      <c r="E1663">
        <f>SUMPRODUCT(Calc!$K$3:$K$22*(Calc!$G$3:$G$22&gt;=B1663))</f>
        <v/>
      </c>
      <c r="F1663">
        <f>AND(k_n&gt;=5,B1663&gt;A1663+1E-9,C1663&gt;=2,D1663&gt;=1,E1663&gt;=2)</f>
        <v/>
      </c>
      <c r="G1663">
        <f>SUMPRODUCT(Calc!$K$3:$K$22*(Calc!$G$3:$G$22&gt;A1663)*(Calc!$G$3:$G$22-A1663))</f>
        <v/>
      </c>
      <c r="H1663">
        <f>SUMPRODUCT(Calc!$K$3:$K$22*(Calc!$G$3:$G$22&gt;B1663)*(Calc!$G$3:$G$22-B1663))</f>
        <v/>
      </c>
      <c r="I1663">
        <f>SUMPRODUCT(Calc!$K$3:$K$22*(Calc!$G$3:$G$22&gt;A1663)*(Calc!$G$3:$G$22-A1663)^2)</f>
        <v/>
      </c>
      <c r="J1663">
        <f>SUMPRODUCT(Calc!$K$3:$K$22*(Calc!$G$3:$G$22&gt;B1663)*(Calc!$G$3:$G$22-B1663)^2)</f>
        <v/>
      </c>
      <c r="K1663">
        <f>SUMPRODUCT(Calc!$K$3:$K$22*(Calc!$G$3:$G$22&gt;A1663)*(Calc!$G$3:$G$22-A1663)*(Calc!$G$3:$G$22&gt;B1663)*(Calc!$G$3:$G$22-B1663))</f>
        <v/>
      </c>
      <c r="L1663">
        <f>SUMPRODUCT(Calc!$K$3:$K$22*(Calc!$G$3:$G$22&gt;A1663)*(Calc!$G$3:$G$22-A1663)*Calc!$G$3:$G$22)</f>
        <v/>
      </c>
      <c r="M1663">
        <f>SUMPRODUCT(Calc!$K$3:$K$22*(Calc!$G$3:$G$22&gt;B1663)*(Calc!$G$3:$G$22-B1663)*Calc!$G$3:$G$22)</f>
        <v/>
      </c>
      <c r="N1663">
        <f>SUMPRODUCT(Calc!$K$3:$K$22*(Calc!$G$3:$G$22&gt;A1663)*(Calc!$G$3:$G$22-A1663)*Calc!$I$3:$I$22)</f>
        <v/>
      </c>
      <c r="O1663">
        <f>SUMPRODUCT(Calc!$K$3:$K$22*(Calc!$G$3:$G$22&gt;B1663)*(Calc!$G$3:$G$22-B1663)*Calc!$I$3:$I$22)</f>
        <v/>
      </c>
      <c r="P1663">
        <f>I1663-G1663^2/k_n</f>
        <v/>
      </c>
      <c r="Q1663">
        <f>J1663-H1663^2/k_n</f>
        <v/>
      </c>
      <c r="R1663">
        <f>K1663-G1663*H1663/k_n</f>
        <v/>
      </c>
      <c r="S1663">
        <f>L1663-LTP3!$D$3*G1663/k_n</f>
        <v/>
      </c>
      <c r="T1663">
        <f>M1663-LTP3!$D$3*H1663/k_n</f>
        <v/>
      </c>
      <c r="U1663">
        <f>N1663-G1663*LTP3!$D$4/k_n</f>
        <v/>
      </c>
      <c r="V1663">
        <f>O1663-H1663*LTP3!$D$4/k_n</f>
        <v/>
      </c>
      <c r="W1663">
        <f>((LTP3!$D$5)*((P1663)*(Q1663)-(R1663)*(R1663))-(S1663)*((S1663)*(Q1663)-(R1663)*(T1663))+(T1663)*((S1663)*(R1663)-(P1663)*(T1663)))</f>
        <v/>
      </c>
      <c r="X1663">
        <f>IF(ABS(W1663)&gt;1E-12,((LTP3!$D$6)*((P1663)*(Q1663)-(R1663)*(R1663))-(S1663)*((U1663)*(Q1663)-(R1663)*(V1663))+(T1663)*((U1663)*(R1663)-(P1663)*(V1663)))/W1663,0)</f>
        <v/>
      </c>
      <c r="Y1663">
        <f>IF(ABS(W1663)&gt;1E-12,((LTP3!$D$5)*((U1663)*(Q1663)-(R1663)*(V1663))-(LTP3!$D$6)*((S1663)*(Q1663)-(R1663)*(T1663))+(T1663)*((S1663)*(V1663)-(U1663)*(T1663)))/W1663,0)</f>
        <v/>
      </c>
      <c r="Z1663">
        <f>IF(ABS(W1663)&gt;1E-12,((LTP3!$D$5)*((P1663)*(V1663)-(U1663)*(R1663))-(S1663)*((S1663)*(V1663)-(U1663)*(T1663))+(LTP3!$D$6)*((S1663)*(R1663)-(P1663)*(T1663)))/W1663,0)</f>
        <v/>
      </c>
      <c r="AA1663">
        <f>LTP3!$D$7-X1663*LTP3!$D$6-Y1663*U1663-Z1663*V1663</f>
        <v/>
      </c>
      <c r="AB1663">
        <f>IF(AND(F1663,ABS(W1663)&gt;1E-12,Y1663&gt;0,Z1663&gt;0),AA1663,1E+300)</f>
        <v/>
      </c>
    </row>
    <row r="1664">
      <c r="A1664">
        <f>$B$3+$B$5*27</f>
        <v/>
      </c>
      <c r="B1664">
        <f>$B$3+$B$5*5</f>
        <v/>
      </c>
      <c r="C1664">
        <f>SUMPRODUCT(Calc!$K$3:$K$22*(Calc!$G$3:$G$22&lt;=A1664))</f>
        <v/>
      </c>
      <c r="D1664">
        <f>SUMPRODUCT(Calc!$K$3:$K$22*(Calc!$G$3:$G$22&gt;A1664)*(Calc!$G$3:$G$22&lt;B1664))</f>
        <v/>
      </c>
      <c r="E1664">
        <f>SUMPRODUCT(Calc!$K$3:$K$22*(Calc!$G$3:$G$22&gt;=B1664))</f>
        <v/>
      </c>
      <c r="F1664">
        <f>AND(k_n&gt;=5,B1664&gt;A1664+1E-9,C1664&gt;=2,D1664&gt;=1,E1664&gt;=2)</f>
        <v/>
      </c>
      <c r="G1664">
        <f>SUMPRODUCT(Calc!$K$3:$K$22*(Calc!$G$3:$G$22&gt;A1664)*(Calc!$G$3:$G$22-A1664))</f>
        <v/>
      </c>
      <c r="H1664">
        <f>SUMPRODUCT(Calc!$K$3:$K$22*(Calc!$G$3:$G$22&gt;B1664)*(Calc!$G$3:$G$22-B1664))</f>
        <v/>
      </c>
      <c r="I1664">
        <f>SUMPRODUCT(Calc!$K$3:$K$22*(Calc!$G$3:$G$22&gt;A1664)*(Calc!$G$3:$G$22-A1664)^2)</f>
        <v/>
      </c>
      <c r="J1664">
        <f>SUMPRODUCT(Calc!$K$3:$K$22*(Calc!$G$3:$G$22&gt;B1664)*(Calc!$G$3:$G$22-B1664)^2)</f>
        <v/>
      </c>
      <c r="K1664">
        <f>SUMPRODUCT(Calc!$K$3:$K$22*(Calc!$G$3:$G$22&gt;A1664)*(Calc!$G$3:$G$22-A1664)*(Calc!$G$3:$G$22&gt;B1664)*(Calc!$G$3:$G$22-B1664))</f>
        <v/>
      </c>
      <c r="L1664">
        <f>SUMPRODUCT(Calc!$K$3:$K$22*(Calc!$G$3:$G$22&gt;A1664)*(Calc!$G$3:$G$22-A1664)*Calc!$G$3:$G$22)</f>
        <v/>
      </c>
      <c r="M1664">
        <f>SUMPRODUCT(Calc!$K$3:$K$22*(Calc!$G$3:$G$22&gt;B1664)*(Calc!$G$3:$G$22-B1664)*Calc!$G$3:$G$22)</f>
        <v/>
      </c>
      <c r="N1664">
        <f>SUMPRODUCT(Calc!$K$3:$K$22*(Calc!$G$3:$G$22&gt;A1664)*(Calc!$G$3:$G$22-A1664)*Calc!$I$3:$I$22)</f>
        <v/>
      </c>
      <c r="O1664">
        <f>SUMPRODUCT(Calc!$K$3:$K$22*(Calc!$G$3:$G$22&gt;B1664)*(Calc!$G$3:$G$22-B1664)*Calc!$I$3:$I$22)</f>
        <v/>
      </c>
      <c r="P1664">
        <f>I1664-G1664^2/k_n</f>
        <v/>
      </c>
      <c r="Q1664">
        <f>J1664-H1664^2/k_n</f>
        <v/>
      </c>
      <c r="R1664">
        <f>K1664-G1664*H1664/k_n</f>
        <v/>
      </c>
      <c r="S1664">
        <f>L1664-LTP3!$D$3*G1664/k_n</f>
        <v/>
      </c>
      <c r="T1664">
        <f>M1664-LTP3!$D$3*H1664/k_n</f>
        <v/>
      </c>
      <c r="U1664">
        <f>N1664-G1664*LTP3!$D$4/k_n</f>
        <v/>
      </c>
      <c r="V1664">
        <f>O1664-H1664*LTP3!$D$4/k_n</f>
        <v/>
      </c>
      <c r="W1664">
        <f>((LTP3!$D$5)*((P1664)*(Q1664)-(R1664)*(R1664))-(S1664)*((S1664)*(Q1664)-(R1664)*(T1664))+(T1664)*((S1664)*(R1664)-(P1664)*(T1664)))</f>
        <v/>
      </c>
      <c r="X1664">
        <f>IF(ABS(W1664)&gt;1E-12,((LTP3!$D$6)*((P1664)*(Q1664)-(R1664)*(R1664))-(S1664)*((U1664)*(Q1664)-(R1664)*(V1664))+(T1664)*((U1664)*(R1664)-(P1664)*(V1664)))/W1664,0)</f>
        <v/>
      </c>
      <c r="Y1664">
        <f>IF(ABS(W1664)&gt;1E-12,((LTP3!$D$5)*((U1664)*(Q1664)-(R1664)*(V1664))-(LTP3!$D$6)*((S1664)*(Q1664)-(R1664)*(T1664))+(T1664)*((S1664)*(V1664)-(U1664)*(T1664)))/W1664,0)</f>
        <v/>
      </c>
      <c r="Z1664">
        <f>IF(ABS(W1664)&gt;1E-12,((LTP3!$D$5)*((P1664)*(V1664)-(U1664)*(R1664))-(S1664)*((S1664)*(V1664)-(U1664)*(T1664))+(LTP3!$D$6)*((S1664)*(R1664)-(P1664)*(T1664)))/W1664,0)</f>
        <v/>
      </c>
      <c r="AA1664">
        <f>LTP3!$D$7-X1664*LTP3!$D$6-Y1664*U1664-Z1664*V1664</f>
        <v/>
      </c>
      <c r="AB1664">
        <f>IF(AND(F1664,ABS(W1664)&gt;1E-12,Y1664&gt;0,Z1664&gt;0),AA1664,1E+300)</f>
        <v/>
      </c>
    </row>
    <row r="1665">
      <c r="A1665">
        <f>$B$3+$B$5*27</f>
        <v/>
      </c>
      <c r="B1665">
        <f>$B$3+$B$5*6</f>
        <v/>
      </c>
      <c r="C1665">
        <f>SUMPRODUCT(Calc!$K$3:$K$22*(Calc!$G$3:$G$22&lt;=A1665))</f>
        <v/>
      </c>
      <c r="D1665">
        <f>SUMPRODUCT(Calc!$K$3:$K$22*(Calc!$G$3:$G$22&gt;A1665)*(Calc!$G$3:$G$22&lt;B1665))</f>
        <v/>
      </c>
      <c r="E1665">
        <f>SUMPRODUCT(Calc!$K$3:$K$22*(Calc!$G$3:$G$22&gt;=B1665))</f>
        <v/>
      </c>
      <c r="F1665">
        <f>AND(k_n&gt;=5,B1665&gt;A1665+1E-9,C1665&gt;=2,D1665&gt;=1,E1665&gt;=2)</f>
        <v/>
      </c>
      <c r="G1665">
        <f>SUMPRODUCT(Calc!$K$3:$K$22*(Calc!$G$3:$G$22&gt;A1665)*(Calc!$G$3:$G$22-A1665))</f>
        <v/>
      </c>
      <c r="H1665">
        <f>SUMPRODUCT(Calc!$K$3:$K$22*(Calc!$G$3:$G$22&gt;B1665)*(Calc!$G$3:$G$22-B1665))</f>
        <v/>
      </c>
      <c r="I1665">
        <f>SUMPRODUCT(Calc!$K$3:$K$22*(Calc!$G$3:$G$22&gt;A1665)*(Calc!$G$3:$G$22-A1665)^2)</f>
        <v/>
      </c>
      <c r="J1665">
        <f>SUMPRODUCT(Calc!$K$3:$K$22*(Calc!$G$3:$G$22&gt;B1665)*(Calc!$G$3:$G$22-B1665)^2)</f>
        <v/>
      </c>
      <c r="K1665">
        <f>SUMPRODUCT(Calc!$K$3:$K$22*(Calc!$G$3:$G$22&gt;A1665)*(Calc!$G$3:$G$22-A1665)*(Calc!$G$3:$G$22&gt;B1665)*(Calc!$G$3:$G$22-B1665))</f>
        <v/>
      </c>
      <c r="L1665">
        <f>SUMPRODUCT(Calc!$K$3:$K$22*(Calc!$G$3:$G$22&gt;A1665)*(Calc!$G$3:$G$22-A1665)*Calc!$G$3:$G$22)</f>
        <v/>
      </c>
      <c r="M1665">
        <f>SUMPRODUCT(Calc!$K$3:$K$22*(Calc!$G$3:$G$22&gt;B1665)*(Calc!$G$3:$G$22-B1665)*Calc!$G$3:$G$22)</f>
        <v/>
      </c>
      <c r="N1665">
        <f>SUMPRODUCT(Calc!$K$3:$K$22*(Calc!$G$3:$G$22&gt;A1665)*(Calc!$G$3:$G$22-A1665)*Calc!$I$3:$I$22)</f>
        <v/>
      </c>
      <c r="O1665">
        <f>SUMPRODUCT(Calc!$K$3:$K$22*(Calc!$G$3:$G$22&gt;B1665)*(Calc!$G$3:$G$22-B1665)*Calc!$I$3:$I$22)</f>
        <v/>
      </c>
      <c r="P1665">
        <f>I1665-G1665^2/k_n</f>
        <v/>
      </c>
      <c r="Q1665">
        <f>J1665-H1665^2/k_n</f>
        <v/>
      </c>
      <c r="R1665">
        <f>K1665-G1665*H1665/k_n</f>
        <v/>
      </c>
      <c r="S1665">
        <f>L1665-LTP3!$D$3*G1665/k_n</f>
        <v/>
      </c>
      <c r="T1665">
        <f>M1665-LTP3!$D$3*H1665/k_n</f>
        <v/>
      </c>
      <c r="U1665">
        <f>N1665-G1665*LTP3!$D$4/k_n</f>
        <v/>
      </c>
      <c r="V1665">
        <f>O1665-H1665*LTP3!$D$4/k_n</f>
        <v/>
      </c>
      <c r="W1665">
        <f>((LTP3!$D$5)*((P1665)*(Q1665)-(R1665)*(R1665))-(S1665)*((S1665)*(Q1665)-(R1665)*(T1665))+(T1665)*((S1665)*(R1665)-(P1665)*(T1665)))</f>
        <v/>
      </c>
      <c r="X1665">
        <f>IF(ABS(W1665)&gt;1E-12,((LTP3!$D$6)*((P1665)*(Q1665)-(R1665)*(R1665))-(S1665)*((U1665)*(Q1665)-(R1665)*(V1665))+(T1665)*((U1665)*(R1665)-(P1665)*(V1665)))/W1665,0)</f>
        <v/>
      </c>
      <c r="Y1665">
        <f>IF(ABS(W1665)&gt;1E-12,((LTP3!$D$5)*((U1665)*(Q1665)-(R1665)*(V1665))-(LTP3!$D$6)*((S1665)*(Q1665)-(R1665)*(T1665))+(T1665)*((S1665)*(V1665)-(U1665)*(T1665)))/W1665,0)</f>
        <v/>
      </c>
      <c r="Z1665">
        <f>IF(ABS(W1665)&gt;1E-12,((LTP3!$D$5)*((P1665)*(V1665)-(U1665)*(R1665))-(S1665)*((S1665)*(V1665)-(U1665)*(T1665))+(LTP3!$D$6)*((S1665)*(R1665)-(P1665)*(T1665)))/W1665,0)</f>
        <v/>
      </c>
      <c r="AA1665">
        <f>LTP3!$D$7-X1665*LTP3!$D$6-Y1665*U1665-Z1665*V1665</f>
        <v/>
      </c>
      <c r="AB1665">
        <f>IF(AND(F1665,ABS(W1665)&gt;1E-12,Y1665&gt;0,Z1665&gt;0),AA1665,1E+300)</f>
        <v/>
      </c>
    </row>
    <row r="1666">
      <c r="A1666">
        <f>$B$3+$B$5*27</f>
        <v/>
      </c>
      <c r="B1666">
        <f>$B$3+$B$5*7</f>
        <v/>
      </c>
      <c r="C1666">
        <f>SUMPRODUCT(Calc!$K$3:$K$22*(Calc!$G$3:$G$22&lt;=A1666))</f>
        <v/>
      </c>
      <c r="D1666">
        <f>SUMPRODUCT(Calc!$K$3:$K$22*(Calc!$G$3:$G$22&gt;A1666)*(Calc!$G$3:$G$22&lt;B1666))</f>
        <v/>
      </c>
      <c r="E1666">
        <f>SUMPRODUCT(Calc!$K$3:$K$22*(Calc!$G$3:$G$22&gt;=B1666))</f>
        <v/>
      </c>
      <c r="F1666">
        <f>AND(k_n&gt;=5,B1666&gt;A1666+1E-9,C1666&gt;=2,D1666&gt;=1,E1666&gt;=2)</f>
        <v/>
      </c>
      <c r="G1666">
        <f>SUMPRODUCT(Calc!$K$3:$K$22*(Calc!$G$3:$G$22&gt;A1666)*(Calc!$G$3:$G$22-A1666))</f>
        <v/>
      </c>
      <c r="H1666">
        <f>SUMPRODUCT(Calc!$K$3:$K$22*(Calc!$G$3:$G$22&gt;B1666)*(Calc!$G$3:$G$22-B1666))</f>
        <v/>
      </c>
      <c r="I1666">
        <f>SUMPRODUCT(Calc!$K$3:$K$22*(Calc!$G$3:$G$22&gt;A1666)*(Calc!$G$3:$G$22-A1666)^2)</f>
        <v/>
      </c>
      <c r="J1666">
        <f>SUMPRODUCT(Calc!$K$3:$K$22*(Calc!$G$3:$G$22&gt;B1666)*(Calc!$G$3:$G$22-B1666)^2)</f>
        <v/>
      </c>
      <c r="K1666">
        <f>SUMPRODUCT(Calc!$K$3:$K$22*(Calc!$G$3:$G$22&gt;A1666)*(Calc!$G$3:$G$22-A1666)*(Calc!$G$3:$G$22&gt;B1666)*(Calc!$G$3:$G$22-B1666))</f>
        <v/>
      </c>
      <c r="L1666">
        <f>SUMPRODUCT(Calc!$K$3:$K$22*(Calc!$G$3:$G$22&gt;A1666)*(Calc!$G$3:$G$22-A1666)*Calc!$G$3:$G$22)</f>
        <v/>
      </c>
      <c r="M1666">
        <f>SUMPRODUCT(Calc!$K$3:$K$22*(Calc!$G$3:$G$22&gt;B1666)*(Calc!$G$3:$G$22-B1666)*Calc!$G$3:$G$22)</f>
        <v/>
      </c>
      <c r="N1666">
        <f>SUMPRODUCT(Calc!$K$3:$K$22*(Calc!$G$3:$G$22&gt;A1666)*(Calc!$G$3:$G$22-A1666)*Calc!$I$3:$I$22)</f>
        <v/>
      </c>
      <c r="O1666">
        <f>SUMPRODUCT(Calc!$K$3:$K$22*(Calc!$G$3:$G$22&gt;B1666)*(Calc!$G$3:$G$22-B1666)*Calc!$I$3:$I$22)</f>
        <v/>
      </c>
      <c r="P1666">
        <f>I1666-G1666^2/k_n</f>
        <v/>
      </c>
      <c r="Q1666">
        <f>J1666-H1666^2/k_n</f>
        <v/>
      </c>
      <c r="R1666">
        <f>K1666-G1666*H1666/k_n</f>
        <v/>
      </c>
      <c r="S1666">
        <f>L1666-LTP3!$D$3*G1666/k_n</f>
        <v/>
      </c>
      <c r="T1666">
        <f>M1666-LTP3!$D$3*H1666/k_n</f>
        <v/>
      </c>
      <c r="U1666">
        <f>N1666-G1666*LTP3!$D$4/k_n</f>
        <v/>
      </c>
      <c r="V1666">
        <f>O1666-H1666*LTP3!$D$4/k_n</f>
        <v/>
      </c>
      <c r="W1666">
        <f>((LTP3!$D$5)*((P1666)*(Q1666)-(R1666)*(R1666))-(S1666)*((S1666)*(Q1666)-(R1666)*(T1666))+(T1666)*((S1666)*(R1666)-(P1666)*(T1666)))</f>
        <v/>
      </c>
      <c r="X1666">
        <f>IF(ABS(W1666)&gt;1E-12,((LTP3!$D$6)*((P1666)*(Q1666)-(R1666)*(R1666))-(S1666)*((U1666)*(Q1666)-(R1666)*(V1666))+(T1666)*((U1666)*(R1666)-(P1666)*(V1666)))/W1666,0)</f>
        <v/>
      </c>
      <c r="Y1666">
        <f>IF(ABS(W1666)&gt;1E-12,((LTP3!$D$5)*((U1666)*(Q1666)-(R1666)*(V1666))-(LTP3!$D$6)*((S1666)*(Q1666)-(R1666)*(T1666))+(T1666)*((S1666)*(V1666)-(U1666)*(T1666)))/W1666,0)</f>
        <v/>
      </c>
      <c r="Z1666">
        <f>IF(ABS(W1666)&gt;1E-12,((LTP3!$D$5)*((P1666)*(V1666)-(U1666)*(R1666))-(S1666)*((S1666)*(V1666)-(U1666)*(T1666))+(LTP3!$D$6)*((S1666)*(R1666)-(P1666)*(T1666)))/W1666,0)</f>
        <v/>
      </c>
      <c r="AA1666">
        <f>LTP3!$D$7-X1666*LTP3!$D$6-Y1666*U1666-Z1666*V1666</f>
        <v/>
      </c>
      <c r="AB1666">
        <f>IF(AND(F1666,ABS(W1666)&gt;1E-12,Y1666&gt;0,Z1666&gt;0),AA1666,1E+300)</f>
        <v/>
      </c>
    </row>
    <row r="1667">
      <c r="A1667">
        <f>$B$3+$B$5*27</f>
        <v/>
      </c>
      <c r="B1667">
        <f>$B$3+$B$5*8</f>
        <v/>
      </c>
      <c r="C1667">
        <f>SUMPRODUCT(Calc!$K$3:$K$22*(Calc!$G$3:$G$22&lt;=A1667))</f>
        <v/>
      </c>
      <c r="D1667">
        <f>SUMPRODUCT(Calc!$K$3:$K$22*(Calc!$G$3:$G$22&gt;A1667)*(Calc!$G$3:$G$22&lt;B1667))</f>
        <v/>
      </c>
      <c r="E1667">
        <f>SUMPRODUCT(Calc!$K$3:$K$22*(Calc!$G$3:$G$22&gt;=B1667))</f>
        <v/>
      </c>
      <c r="F1667">
        <f>AND(k_n&gt;=5,B1667&gt;A1667+1E-9,C1667&gt;=2,D1667&gt;=1,E1667&gt;=2)</f>
        <v/>
      </c>
      <c r="G1667">
        <f>SUMPRODUCT(Calc!$K$3:$K$22*(Calc!$G$3:$G$22&gt;A1667)*(Calc!$G$3:$G$22-A1667))</f>
        <v/>
      </c>
      <c r="H1667">
        <f>SUMPRODUCT(Calc!$K$3:$K$22*(Calc!$G$3:$G$22&gt;B1667)*(Calc!$G$3:$G$22-B1667))</f>
        <v/>
      </c>
      <c r="I1667">
        <f>SUMPRODUCT(Calc!$K$3:$K$22*(Calc!$G$3:$G$22&gt;A1667)*(Calc!$G$3:$G$22-A1667)^2)</f>
        <v/>
      </c>
      <c r="J1667">
        <f>SUMPRODUCT(Calc!$K$3:$K$22*(Calc!$G$3:$G$22&gt;B1667)*(Calc!$G$3:$G$22-B1667)^2)</f>
        <v/>
      </c>
      <c r="K1667">
        <f>SUMPRODUCT(Calc!$K$3:$K$22*(Calc!$G$3:$G$22&gt;A1667)*(Calc!$G$3:$G$22-A1667)*(Calc!$G$3:$G$22&gt;B1667)*(Calc!$G$3:$G$22-B1667))</f>
        <v/>
      </c>
      <c r="L1667">
        <f>SUMPRODUCT(Calc!$K$3:$K$22*(Calc!$G$3:$G$22&gt;A1667)*(Calc!$G$3:$G$22-A1667)*Calc!$G$3:$G$22)</f>
        <v/>
      </c>
      <c r="M1667">
        <f>SUMPRODUCT(Calc!$K$3:$K$22*(Calc!$G$3:$G$22&gt;B1667)*(Calc!$G$3:$G$22-B1667)*Calc!$G$3:$G$22)</f>
        <v/>
      </c>
      <c r="N1667">
        <f>SUMPRODUCT(Calc!$K$3:$K$22*(Calc!$G$3:$G$22&gt;A1667)*(Calc!$G$3:$G$22-A1667)*Calc!$I$3:$I$22)</f>
        <v/>
      </c>
      <c r="O1667">
        <f>SUMPRODUCT(Calc!$K$3:$K$22*(Calc!$G$3:$G$22&gt;B1667)*(Calc!$G$3:$G$22-B1667)*Calc!$I$3:$I$22)</f>
        <v/>
      </c>
      <c r="P1667">
        <f>I1667-G1667^2/k_n</f>
        <v/>
      </c>
      <c r="Q1667">
        <f>J1667-H1667^2/k_n</f>
        <v/>
      </c>
      <c r="R1667">
        <f>K1667-G1667*H1667/k_n</f>
        <v/>
      </c>
      <c r="S1667">
        <f>L1667-LTP3!$D$3*G1667/k_n</f>
        <v/>
      </c>
      <c r="T1667">
        <f>M1667-LTP3!$D$3*H1667/k_n</f>
        <v/>
      </c>
      <c r="U1667">
        <f>N1667-G1667*LTP3!$D$4/k_n</f>
        <v/>
      </c>
      <c r="V1667">
        <f>O1667-H1667*LTP3!$D$4/k_n</f>
        <v/>
      </c>
      <c r="W1667">
        <f>((LTP3!$D$5)*((P1667)*(Q1667)-(R1667)*(R1667))-(S1667)*((S1667)*(Q1667)-(R1667)*(T1667))+(T1667)*((S1667)*(R1667)-(P1667)*(T1667)))</f>
        <v/>
      </c>
      <c r="X1667">
        <f>IF(ABS(W1667)&gt;1E-12,((LTP3!$D$6)*((P1667)*(Q1667)-(R1667)*(R1667))-(S1667)*((U1667)*(Q1667)-(R1667)*(V1667))+(T1667)*((U1667)*(R1667)-(P1667)*(V1667)))/W1667,0)</f>
        <v/>
      </c>
      <c r="Y1667">
        <f>IF(ABS(W1667)&gt;1E-12,((LTP3!$D$5)*((U1667)*(Q1667)-(R1667)*(V1667))-(LTP3!$D$6)*((S1667)*(Q1667)-(R1667)*(T1667))+(T1667)*((S1667)*(V1667)-(U1667)*(T1667)))/W1667,0)</f>
        <v/>
      </c>
      <c r="Z1667">
        <f>IF(ABS(W1667)&gt;1E-12,((LTP3!$D$5)*((P1667)*(V1667)-(U1667)*(R1667))-(S1667)*((S1667)*(V1667)-(U1667)*(T1667))+(LTP3!$D$6)*((S1667)*(R1667)-(P1667)*(T1667)))/W1667,0)</f>
        <v/>
      </c>
      <c r="AA1667">
        <f>LTP3!$D$7-X1667*LTP3!$D$6-Y1667*U1667-Z1667*V1667</f>
        <v/>
      </c>
      <c r="AB1667">
        <f>IF(AND(F1667,ABS(W1667)&gt;1E-12,Y1667&gt;0,Z1667&gt;0),AA1667,1E+300)</f>
        <v/>
      </c>
    </row>
    <row r="1668">
      <c r="A1668">
        <f>$B$3+$B$5*27</f>
        <v/>
      </c>
      <c r="B1668">
        <f>$B$3+$B$5*9</f>
        <v/>
      </c>
      <c r="C1668">
        <f>SUMPRODUCT(Calc!$K$3:$K$22*(Calc!$G$3:$G$22&lt;=A1668))</f>
        <v/>
      </c>
      <c r="D1668">
        <f>SUMPRODUCT(Calc!$K$3:$K$22*(Calc!$G$3:$G$22&gt;A1668)*(Calc!$G$3:$G$22&lt;B1668))</f>
        <v/>
      </c>
      <c r="E1668">
        <f>SUMPRODUCT(Calc!$K$3:$K$22*(Calc!$G$3:$G$22&gt;=B1668))</f>
        <v/>
      </c>
      <c r="F1668">
        <f>AND(k_n&gt;=5,B1668&gt;A1668+1E-9,C1668&gt;=2,D1668&gt;=1,E1668&gt;=2)</f>
        <v/>
      </c>
      <c r="G1668">
        <f>SUMPRODUCT(Calc!$K$3:$K$22*(Calc!$G$3:$G$22&gt;A1668)*(Calc!$G$3:$G$22-A1668))</f>
        <v/>
      </c>
      <c r="H1668">
        <f>SUMPRODUCT(Calc!$K$3:$K$22*(Calc!$G$3:$G$22&gt;B1668)*(Calc!$G$3:$G$22-B1668))</f>
        <v/>
      </c>
      <c r="I1668">
        <f>SUMPRODUCT(Calc!$K$3:$K$22*(Calc!$G$3:$G$22&gt;A1668)*(Calc!$G$3:$G$22-A1668)^2)</f>
        <v/>
      </c>
      <c r="J1668">
        <f>SUMPRODUCT(Calc!$K$3:$K$22*(Calc!$G$3:$G$22&gt;B1668)*(Calc!$G$3:$G$22-B1668)^2)</f>
        <v/>
      </c>
      <c r="K1668">
        <f>SUMPRODUCT(Calc!$K$3:$K$22*(Calc!$G$3:$G$22&gt;A1668)*(Calc!$G$3:$G$22-A1668)*(Calc!$G$3:$G$22&gt;B1668)*(Calc!$G$3:$G$22-B1668))</f>
        <v/>
      </c>
      <c r="L1668">
        <f>SUMPRODUCT(Calc!$K$3:$K$22*(Calc!$G$3:$G$22&gt;A1668)*(Calc!$G$3:$G$22-A1668)*Calc!$G$3:$G$22)</f>
        <v/>
      </c>
      <c r="M1668">
        <f>SUMPRODUCT(Calc!$K$3:$K$22*(Calc!$G$3:$G$22&gt;B1668)*(Calc!$G$3:$G$22-B1668)*Calc!$G$3:$G$22)</f>
        <v/>
      </c>
      <c r="N1668">
        <f>SUMPRODUCT(Calc!$K$3:$K$22*(Calc!$G$3:$G$22&gt;A1668)*(Calc!$G$3:$G$22-A1668)*Calc!$I$3:$I$22)</f>
        <v/>
      </c>
      <c r="O1668">
        <f>SUMPRODUCT(Calc!$K$3:$K$22*(Calc!$G$3:$G$22&gt;B1668)*(Calc!$G$3:$G$22-B1668)*Calc!$I$3:$I$22)</f>
        <v/>
      </c>
      <c r="P1668">
        <f>I1668-G1668^2/k_n</f>
        <v/>
      </c>
      <c r="Q1668">
        <f>J1668-H1668^2/k_n</f>
        <v/>
      </c>
      <c r="R1668">
        <f>K1668-G1668*H1668/k_n</f>
        <v/>
      </c>
      <c r="S1668">
        <f>L1668-LTP3!$D$3*G1668/k_n</f>
        <v/>
      </c>
      <c r="T1668">
        <f>M1668-LTP3!$D$3*H1668/k_n</f>
        <v/>
      </c>
      <c r="U1668">
        <f>N1668-G1668*LTP3!$D$4/k_n</f>
        <v/>
      </c>
      <c r="V1668">
        <f>O1668-H1668*LTP3!$D$4/k_n</f>
        <v/>
      </c>
      <c r="W1668">
        <f>((LTP3!$D$5)*((P1668)*(Q1668)-(R1668)*(R1668))-(S1668)*((S1668)*(Q1668)-(R1668)*(T1668))+(T1668)*((S1668)*(R1668)-(P1668)*(T1668)))</f>
        <v/>
      </c>
      <c r="X1668">
        <f>IF(ABS(W1668)&gt;1E-12,((LTP3!$D$6)*((P1668)*(Q1668)-(R1668)*(R1668))-(S1668)*((U1668)*(Q1668)-(R1668)*(V1668))+(T1668)*((U1668)*(R1668)-(P1668)*(V1668)))/W1668,0)</f>
        <v/>
      </c>
      <c r="Y1668">
        <f>IF(ABS(W1668)&gt;1E-12,((LTP3!$D$5)*((U1668)*(Q1668)-(R1668)*(V1668))-(LTP3!$D$6)*((S1668)*(Q1668)-(R1668)*(T1668))+(T1668)*((S1668)*(V1668)-(U1668)*(T1668)))/W1668,0)</f>
        <v/>
      </c>
      <c r="Z1668">
        <f>IF(ABS(W1668)&gt;1E-12,((LTP3!$D$5)*((P1668)*(V1668)-(U1668)*(R1668))-(S1668)*((S1668)*(V1668)-(U1668)*(T1668))+(LTP3!$D$6)*((S1668)*(R1668)-(P1668)*(T1668)))/W1668,0)</f>
        <v/>
      </c>
      <c r="AA1668">
        <f>LTP3!$D$7-X1668*LTP3!$D$6-Y1668*U1668-Z1668*V1668</f>
        <v/>
      </c>
      <c r="AB1668">
        <f>IF(AND(F1668,ABS(W1668)&gt;1E-12,Y1668&gt;0,Z1668&gt;0),AA1668,1E+300)</f>
        <v/>
      </c>
    </row>
    <row r="1669">
      <c r="A1669">
        <f>$B$3+$B$5*27</f>
        <v/>
      </c>
      <c r="B1669">
        <f>$B$3+$B$5*10</f>
        <v/>
      </c>
      <c r="C1669">
        <f>SUMPRODUCT(Calc!$K$3:$K$22*(Calc!$G$3:$G$22&lt;=A1669))</f>
        <v/>
      </c>
      <c r="D1669">
        <f>SUMPRODUCT(Calc!$K$3:$K$22*(Calc!$G$3:$G$22&gt;A1669)*(Calc!$G$3:$G$22&lt;B1669))</f>
        <v/>
      </c>
      <c r="E1669">
        <f>SUMPRODUCT(Calc!$K$3:$K$22*(Calc!$G$3:$G$22&gt;=B1669))</f>
        <v/>
      </c>
      <c r="F1669">
        <f>AND(k_n&gt;=5,B1669&gt;A1669+1E-9,C1669&gt;=2,D1669&gt;=1,E1669&gt;=2)</f>
        <v/>
      </c>
      <c r="G1669">
        <f>SUMPRODUCT(Calc!$K$3:$K$22*(Calc!$G$3:$G$22&gt;A1669)*(Calc!$G$3:$G$22-A1669))</f>
        <v/>
      </c>
      <c r="H1669">
        <f>SUMPRODUCT(Calc!$K$3:$K$22*(Calc!$G$3:$G$22&gt;B1669)*(Calc!$G$3:$G$22-B1669))</f>
        <v/>
      </c>
      <c r="I1669">
        <f>SUMPRODUCT(Calc!$K$3:$K$22*(Calc!$G$3:$G$22&gt;A1669)*(Calc!$G$3:$G$22-A1669)^2)</f>
        <v/>
      </c>
      <c r="J1669">
        <f>SUMPRODUCT(Calc!$K$3:$K$22*(Calc!$G$3:$G$22&gt;B1669)*(Calc!$G$3:$G$22-B1669)^2)</f>
        <v/>
      </c>
      <c r="K1669">
        <f>SUMPRODUCT(Calc!$K$3:$K$22*(Calc!$G$3:$G$22&gt;A1669)*(Calc!$G$3:$G$22-A1669)*(Calc!$G$3:$G$22&gt;B1669)*(Calc!$G$3:$G$22-B1669))</f>
        <v/>
      </c>
      <c r="L1669">
        <f>SUMPRODUCT(Calc!$K$3:$K$22*(Calc!$G$3:$G$22&gt;A1669)*(Calc!$G$3:$G$22-A1669)*Calc!$G$3:$G$22)</f>
        <v/>
      </c>
      <c r="M1669">
        <f>SUMPRODUCT(Calc!$K$3:$K$22*(Calc!$G$3:$G$22&gt;B1669)*(Calc!$G$3:$G$22-B1669)*Calc!$G$3:$G$22)</f>
        <v/>
      </c>
      <c r="N1669">
        <f>SUMPRODUCT(Calc!$K$3:$K$22*(Calc!$G$3:$G$22&gt;A1669)*(Calc!$G$3:$G$22-A1669)*Calc!$I$3:$I$22)</f>
        <v/>
      </c>
      <c r="O1669">
        <f>SUMPRODUCT(Calc!$K$3:$K$22*(Calc!$G$3:$G$22&gt;B1669)*(Calc!$G$3:$G$22-B1669)*Calc!$I$3:$I$22)</f>
        <v/>
      </c>
      <c r="P1669">
        <f>I1669-G1669^2/k_n</f>
        <v/>
      </c>
      <c r="Q1669">
        <f>J1669-H1669^2/k_n</f>
        <v/>
      </c>
      <c r="R1669">
        <f>K1669-G1669*H1669/k_n</f>
        <v/>
      </c>
      <c r="S1669">
        <f>L1669-LTP3!$D$3*G1669/k_n</f>
        <v/>
      </c>
      <c r="T1669">
        <f>M1669-LTP3!$D$3*H1669/k_n</f>
        <v/>
      </c>
      <c r="U1669">
        <f>N1669-G1669*LTP3!$D$4/k_n</f>
        <v/>
      </c>
      <c r="V1669">
        <f>O1669-H1669*LTP3!$D$4/k_n</f>
        <v/>
      </c>
      <c r="W1669">
        <f>((LTP3!$D$5)*((P1669)*(Q1669)-(R1669)*(R1669))-(S1669)*((S1669)*(Q1669)-(R1669)*(T1669))+(T1669)*((S1669)*(R1669)-(P1669)*(T1669)))</f>
        <v/>
      </c>
      <c r="X1669">
        <f>IF(ABS(W1669)&gt;1E-12,((LTP3!$D$6)*((P1669)*(Q1669)-(R1669)*(R1669))-(S1669)*((U1669)*(Q1669)-(R1669)*(V1669))+(T1669)*((U1669)*(R1669)-(P1669)*(V1669)))/W1669,0)</f>
        <v/>
      </c>
      <c r="Y1669">
        <f>IF(ABS(W1669)&gt;1E-12,((LTP3!$D$5)*((U1669)*(Q1669)-(R1669)*(V1669))-(LTP3!$D$6)*((S1669)*(Q1669)-(R1669)*(T1669))+(T1669)*((S1669)*(V1669)-(U1669)*(T1669)))/W1669,0)</f>
        <v/>
      </c>
      <c r="Z1669">
        <f>IF(ABS(W1669)&gt;1E-12,((LTP3!$D$5)*((P1669)*(V1669)-(U1669)*(R1669))-(S1669)*((S1669)*(V1669)-(U1669)*(T1669))+(LTP3!$D$6)*((S1669)*(R1669)-(P1669)*(T1669)))/W1669,0)</f>
        <v/>
      </c>
      <c r="AA1669">
        <f>LTP3!$D$7-X1669*LTP3!$D$6-Y1669*U1669-Z1669*V1669</f>
        <v/>
      </c>
      <c r="AB1669">
        <f>IF(AND(F1669,ABS(W1669)&gt;1E-12,Y1669&gt;0,Z1669&gt;0),AA1669,1E+300)</f>
        <v/>
      </c>
    </row>
    <row r="1670">
      <c r="A1670">
        <f>$B$3+$B$5*27</f>
        <v/>
      </c>
      <c r="B1670">
        <f>$B$3+$B$5*11</f>
        <v/>
      </c>
      <c r="C1670">
        <f>SUMPRODUCT(Calc!$K$3:$K$22*(Calc!$G$3:$G$22&lt;=A1670))</f>
        <v/>
      </c>
      <c r="D1670">
        <f>SUMPRODUCT(Calc!$K$3:$K$22*(Calc!$G$3:$G$22&gt;A1670)*(Calc!$G$3:$G$22&lt;B1670))</f>
        <v/>
      </c>
      <c r="E1670">
        <f>SUMPRODUCT(Calc!$K$3:$K$22*(Calc!$G$3:$G$22&gt;=B1670))</f>
        <v/>
      </c>
      <c r="F1670">
        <f>AND(k_n&gt;=5,B1670&gt;A1670+1E-9,C1670&gt;=2,D1670&gt;=1,E1670&gt;=2)</f>
        <v/>
      </c>
      <c r="G1670">
        <f>SUMPRODUCT(Calc!$K$3:$K$22*(Calc!$G$3:$G$22&gt;A1670)*(Calc!$G$3:$G$22-A1670))</f>
        <v/>
      </c>
      <c r="H1670">
        <f>SUMPRODUCT(Calc!$K$3:$K$22*(Calc!$G$3:$G$22&gt;B1670)*(Calc!$G$3:$G$22-B1670))</f>
        <v/>
      </c>
      <c r="I1670">
        <f>SUMPRODUCT(Calc!$K$3:$K$22*(Calc!$G$3:$G$22&gt;A1670)*(Calc!$G$3:$G$22-A1670)^2)</f>
        <v/>
      </c>
      <c r="J1670">
        <f>SUMPRODUCT(Calc!$K$3:$K$22*(Calc!$G$3:$G$22&gt;B1670)*(Calc!$G$3:$G$22-B1670)^2)</f>
        <v/>
      </c>
      <c r="K1670">
        <f>SUMPRODUCT(Calc!$K$3:$K$22*(Calc!$G$3:$G$22&gt;A1670)*(Calc!$G$3:$G$22-A1670)*(Calc!$G$3:$G$22&gt;B1670)*(Calc!$G$3:$G$22-B1670))</f>
        <v/>
      </c>
      <c r="L1670">
        <f>SUMPRODUCT(Calc!$K$3:$K$22*(Calc!$G$3:$G$22&gt;A1670)*(Calc!$G$3:$G$22-A1670)*Calc!$G$3:$G$22)</f>
        <v/>
      </c>
      <c r="M1670">
        <f>SUMPRODUCT(Calc!$K$3:$K$22*(Calc!$G$3:$G$22&gt;B1670)*(Calc!$G$3:$G$22-B1670)*Calc!$G$3:$G$22)</f>
        <v/>
      </c>
      <c r="N1670">
        <f>SUMPRODUCT(Calc!$K$3:$K$22*(Calc!$G$3:$G$22&gt;A1670)*(Calc!$G$3:$G$22-A1670)*Calc!$I$3:$I$22)</f>
        <v/>
      </c>
      <c r="O1670">
        <f>SUMPRODUCT(Calc!$K$3:$K$22*(Calc!$G$3:$G$22&gt;B1670)*(Calc!$G$3:$G$22-B1670)*Calc!$I$3:$I$22)</f>
        <v/>
      </c>
      <c r="P1670">
        <f>I1670-G1670^2/k_n</f>
        <v/>
      </c>
      <c r="Q1670">
        <f>J1670-H1670^2/k_n</f>
        <v/>
      </c>
      <c r="R1670">
        <f>K1670-G1670*H1670/k_n</f>
        <v/>
      </c>
      <c r="S1670">
        <f>L1670-LTP3!$D$3*G1670/k_n</f>
        <v/>
      </c>
      <c r="T1670">
        <f>M1670-LTP3!$D$3*H1670/k_n</f>
        <v/>
      </c>
      <c r="U1670">
        <f>N1670-G1670*LTP3!$D$4/k_n</f>
        <v/>
      </c>
      <c r="V1670">
        <f>O1670-H1670*LTP3!$D$4/k_n</f>
        <v/>
      </c>
      <c r="W1670">
        <f>((LTP3!$D$5)*((P1670)*(Q1670)-(R1670)*(R1670))-(S1670)*((S1670)*(Q1670)-(R1670)*(T1670))+(T1670)*((S1670)*(R1670)-(P1670)*(T1670)))</f>
        <v/>
      </c>
      <c r="X1670">
        <f>IF(ABS(W1670)&gt;1E-12,((LTP3!$D$6)*((P1670)*(Q1670)-(R1670)*(R1670))-(S1670)*((U1670)*(Q1670)-(R1670)*(V1670))+(T1670)*((U1670)*(R1670)-(P1670)*(V1670)))/W1670,0)</f>
        <v/>
      </c>
      <c r="Y1670">
        <f>IF(ABS(W1670)&gt;1E-12,((LTP3!$D$5)*((U1670)*(Q1670)-(R1670)*(V1670))-(LTP3!$D$6)*((S1670)*(Q1670)-(R1670)*(T1670))+(T1670)*((S1670)*(V1670)-(U1670)*(T1670)))/W1670,0)</f>
        <v/>
      </c>
      <c r="Z1670">
        <f>IF(ABS(W1670)&gt;1E-12,((LTP3!$D$5)*((P1670)*(V1670)-(U1670)*(R1670))-(S1670)*((S1670)*(V1670)-(U1670)*(T1670))+(LTP3!$D$6)*((S1670)*(R1670)-(P1670)*(T1670)))/W1670,0)</f>
        <v/>
      </c>
      <c r="AA1670">
        <f>LTP3!$D$7-X1670*LTP3!$D$6-Y1670*U1670-Z1670*V1670</f>
        <v/>
      </c>
      <c r="AB1670">
        <f>IF(AND(F1670,ABS(W1670)&gt;1E-12,Y1670&gt;0,Z1670&gt;0),AA1670,1E+300)</f>
        <v/>
      </c>
    </row>
    <row r="1671">
      <c r="A1671">
        <f>$B$3+$B$5*27</f>
        <v/>
      </c>
      <c r="B1671">
        <f>$B$3+$B$5*12</f>
        <v/>
      </c>
      <c r="C1671">
        <f>SUMPRODUCT(Calc!$K$3:$K$22*(Calc!$G$3:$G$22&lt;=A1671))</f>
        <v/>
      </c>
      <c r="D1671">
        <f>SUMPRODUCT(Calc!$K$3:$K$22*(Calc!$G$3:$G$22&gt;A1671)*(Calc!$G$3:$G$22&lt;B1671))</f>
        <v/>
      </c>
      <c r="E1671">
        <f>SUMPRODUCT(Calc!$K$3:$K$22*(Calc!$G$3:$G$22&gt;=B1671))</f>
        <v/>
      </c>
      <c r="F1671">
        <f>AND(k_n&gt;=5,B1671&gt;A1671+1E-9,C1671&gt;=2,D1671&gt;=1,E1671&gt;=2)</f>
        <v/>
      </c>
      <c r="G1671">
        <f>SUMPRODUCT(Calc!$K$3:$K$22*(Calc!$G$3:$G$22&gt;A1671)*(Calc!$G$3:$G$22-A1671))</f>
        <v/>
      </c>
      <c r="H1671">
        <f>SUMPRODUCT(Calc!$K$3:$K$22*(Calc!$G$3:$G$22&gt;B1671)*(Calc!$G$3:$G$22-B1671))</f>
        <v/>
      </c>
      <c r="I1671">
        <f>SUMPRODUCT(Calc!$K$3:$K$22*(Calc!$G$3:$G$22&gt;A1671)*(Calc!$G$3:$G$22-A1671)^2)</f>
        <v/>
      </c>
      <c r="J1671">
        <f>SUMPRODUCT(Calc!$K$3:$K$22*(Calc!$G$3:$G$22&gt;B1671)*(Calc!$G$3:$G$22-B1671)^2)</f>
        <v/>
      </c>
      <c r="K1671">
        <f>SUMPRODUCT(Calc!$K$3:$K$22*(Calc!$G$3:$G$22&gt;A1671)*(Calc!$G$3:$G$22-A1671)*(Calc!$G$3:$G$22&gt;B1671)*(Calc!$G$3:$G$22-B1671))</f>
        <v/>
      </c>
      <c r="L1671">
        <f>SUMPRODUCT(Calc!$K$3:$K$22*(Calc!$G$3:$G$22&gt;A1671)*(Calc!$G$3:$G$22-A1671)*Calc!$G$3:$G$22)</f>
        <v/>
      </c>
      <c r="M1671">
        <f>SUMPRODUCT(Calc!$K$3:$K$22*(Calc!$G$3:$G$22&gt;B1671)*(Calc!$G$3:$G$22-B1671)*Calc!$G$3:$G$22)</f>
        <v/>
      </c>
      <c r="N1671">
        <f>SUMPRODUCT(Calc!$K$3:$K$22*(Calc!$G$3:$G$22&gt;A1671)*(Calc!$G$3:$G$22-A1671)*Calc!$I$3:$I$22)</f>
        <v/>
      </c>
      <c r="O1671">
        <f>SUMPRODUCT(Calc!$K$3:$K$22*(Calc!$G$3:$G$22&gt;B1671)*(Calc!$G$3:$G$22-B1671)*Calc!$I$3:$I$22)</f>
        <v/>
      </c>
      <c r="P1671">
        <f>I1671-G1671^2/k_n</f>
        <v/>
      </c>
      <c r="Q1671">
        <f>J1671-H1671^2/k_n</f>
        <v/>
      </c>
      <c r="R1671">
        <f>K1671-G1671*H1671/k_n</f>
        <v/>
      </c>
      <c r="S1671">
        <f>L1671-LTP3!$D$3*G1671/k_n</f>
        <v/>
      </c>
      <c r="T1671">
        <f>M1671-LTP3!$D$3*H1671/k_n</f>
        <v/>
      </c>
      <c r="U1671">
        <f>N1671-G1671*LTP3!$D$4/k_n</f>
        <v/>
      </c>
      <c r="V1671">
        <f>O1671-H1671*LTP3!$D$4/k_n</f>
        <v/>
      </c>
      <c r="W1671">
        <f>((LTP3!$D$5)*((P1671)*(Q1671)-(R1671)*(R1671))-(S1671)*((S1671)*(Q1671)-(R1671)*(T1671))+(T1671)*((S1671)*(R1671)-(P1671)*(T1671)))</f>
        <v/>
      </c>
      <c r="X1671">
        <f>IF(ABS(W1671)&gt;1E-12,((LTP3!$D$6)*((P1671)*(Q1671)-(R1671)*(R1671))-(S1671)*((U1671)*(Q1671)-(R1671)*(V1671))+(T1671)*((U1671)*(R1671)-(P1671)*(V1671)))/W1671,0)</f>
        <v/>
      </c>
      <c r="Y1671">
        <f>IF(ABS(W1671)&gt;1E-12,((LTP3!$D$5)*((U1671)*(Q1671)-(R1671)*(V1671))-(LTP3!$D$6)*((S1671)*(Q1671)-(R1671)*(T1671))+(T1671)*((S1671)*(V1671)-(U1671)*(T1671)))/W1671,0)</f>
        <v/>
      </c>
      <c r="Z1671">
        <f>IF(ABS(W1671)&gt;1E-12,((LTP3!$D$5)*((P1671)*(V1671)-(U1671)*(R1671))-(S1671)*((S1671)*(V1671)-(U1671)*(T1671))+(LTP3!$D$6)*((S1671)*(R1671)-(P1671)*(T1671)))/W1671,0)</f>
        <v/>
      </c>
      <c r="AA1671">
        <f>LTP3!$D$7-X1671*LTP3!$D$6-Y1671*U1671-Z1671*V1671</f>
        <v/>
      </c>
      <c r="AB1671">
        <f>IF(AND(F1671,ABS(W1671)&gt;1E-12,Y1671&gt;0,Z1671&gt;0),AA1671,1E+300)</f>
        <v/>
      </c>
    </row>
    <row r="1672">
      <c r="A1672">
        <f>$B$3+$B$5*27</f>
        <v/>
      </c>
      <c r="B1672">
        <f>$B$3+$B$5*13</f>
        <v/>
      </c>
      <c r="C1672">
        <f>SUMPRODUCT(Calc!$K$3:$K$22*(Calc!$G$3:$G$22&lt;=A1672))</f>
        <v/>
      </c>
      <c r="D1672">
        <f>SUMPRODUCT(Calc!$K$3:$K$22*(Calc!$G$3:$G$22&gt;A1672)*(Calc!$G$3:$G$22&lt;B1672))</f>
        <v/>
      </c>
      <c r="E1672">
        <f>SUMPRODUCT(Calc!$K$3:$K$22*(Calc!$G$3:$G$22&gt;=B1672))</f>
        <v/>
      </c>
      <c r="F1672">
        <f>AND(k_n&gt;=5,B1672&gt;A1672+1E-9,C1672&gt;=2,D1672&gt;=1,E1672&gt;=2)</f>
        <v/>
      </c>
      <c r="G1672">
        <f>SUMPRODUCT(Calc!$K$3:$K$22*(Calc!$G$3:$G$22&gt;A1672)*(Calc!$G$3:$G$22-A1672))</f>
        <v/>
      </c>
      <c r="H1672">
        <f>SUMPRODUCT(Calc!$K$3:$K$22*(Calc!$G$3:$G$22&gt;B1672)*(Calc!$G$3:$G$22-B1672))</f>
        <v/>
      </c>
      <c r="I1672">
        <f>SUMPRODUCT(Calc!$K$3:$K$22*(Calc!$G$3:$G$22&gt;A1672)*(Calc!$G$3:$G$22-A1672)^2)</f>
        <v/>
      </c>
      <c r="J1672">
        <f>SUMPRODUCT(Calc!$K$3:$K$22*(Calc!$G$3:$G$22&gt;B1672)*(Calc!$G$3:$G$22-B1672)^2)</f>
        <v/>
      </c>
      <c r="K1672">
        <f>SUMPRODUCT(Calc!$K$3:$K$22*(Calc!$G$3:$G$22&gt;A1672)*(Calc!$G$3:$G$22-A1672)*(Calc!$G$3:$G$22&gt;B1672)*(Calc!$G$3:$G$22-B1672))</f>
        <v/>
      </c>
      <c r="L1672">
        <f>SUMPRODUCT(Calc!$K$3:$K$22*(Calc!$G$3:$G$22&gt;A1672)*(Calc!$G$3:$G$22-A1672)*Calc!$G$3:$G$22)</f>
        <v/>
      </c>
      <c r="M1672">
        <f>SUMPRODUCT(Calc!$K$3:$K$22*(Calc!$G$3:$G$22&gt;B1672)*(Calc!$G$3:$G$22-B1672)*Calc!$G$3:$G$22)</f>
        <v/>
      </c>
      <c r="N1672">
        <f>SUMPRODUCT(Calc!$K$3:$K$22*(Calc!$G$3:$G$22&gt;A1672)*(Calc!$G$3:$G$22-A1672)*Calc!$I$3:$I$22)</f>
        <v/>
      </c>
      <c r="O1672">
        <f>SUMPRODUCT(Calc!$K$3:$K$22*(Calc!$G$3:$G$22&gt;B1672)*(Calc!$G$3:$G$22-B1672)*Calc!$I$3:$I$22)</f>
        <v/>
      </c>
      <c r="P1672">
        <f>I1672-G1672^2/k_n</f>
        <v/>
      </c>
      <c r="Q1672">
        <f>J1672-H1672^2/k_n</f>
        <v/>
      </c>
      <c r="R1672">
        <f>K1672-G1672*H1672/k_n</f>
        <v/>
      </c>
      <c r="S1672">
        <f>L1672-LTP3!$D$3*G1672/k_n</f>
        <v/>
      </c>
      <c r="T1672">
        <f>M1672-LTP3!$D$3*H1672/k_n</f>
        <v/>
      </c>
      <c r="U1672">
        <f>N1672-G1672*LTP3!$D$4/k_n</f>
        <v/>
      </c>
      <c r="V1672">
        <f>O1672-H1672*LTP3!$D$4/k_n</f>
        <v/>
      </c>
      <c r="W1672">
        <f>((LTP3!$D$5)*((P1672)*(Q1672)-(R1672)*(R1672))-(S1672)*((S1672)*(Q1672)-(R1672)*(T1672))+(T1672)*((S1672)*(R1672)-(P1672)*(T1672)))</f>
        <v/>
      </c>
      <c r="X1672">
        <f>IF(ABS(W1672)&gt;1E-12,((LTP3!$D$6)*((P1672)*(Q1672)-(R1672)*(R1672))-(S1672)*((U1672)*(Q1672)-(R1672)*(V1672))+(T1672)*((U1672)*(R1672)-(P1672)*(V1672)))/W1672,0)</f>
        <v/>
      </c>
      <c r="Y1672">
        <f>IF(ABS(W1672)&gt;1E-12,((LTP3!$D$5)*((U1672)*(Q1672)-(R1672)*(V1672))-(LTP3!$D$6)*((S1672)*(Q1672)-(R1672)*(T1672))+(T1672)*((S1672)*(V1672)-(U1672)*(T1672)))/W1672,0)</f>
        <v/>
      </c>
      <c r="Z1672">
        <f>IF(ABS(W1672)&gt;1E-12,((LTP3!$D$5)*((P1672)*(V1672)-(U1672)*(R1672))-(S1672)*((S1672)*(V1672)-(U1672)*(T1672))+(LTP3!$D$6)*((S1672)*(R1672)-(P1672)*(T1672)))/W1672,0)</f>
        <v/>
      </c>
      <c r="AA1672">
        <f>LTP3!$D$7-X1672*LTP3!$D$6-Y1672*U1672-Z1672*V1672</f>
        <v/>
      </c>
      <c r="AB1672">
        <f>IF(AND(F1672,ABS(W1672)&gt;1E-12,Y1672&gt;0,Z1672&gt;0),AA1672,1E+300)</f>
        <v/>
      </c>
    </row>
    <row r="1673">
      <c r="A1673">
        <f>$B$3+$B$5*27</f>
        <v/>
      </c>
      <c r="B1673">
        <f>$B$3+$B$5*14</f>
        <v/>
      </c>
      <c r="C1673">
        <f>SUMPRODUCT(Calc!$K$3:$K$22*(Calc!$G$3:$G$22&lt;=A1673))</f>
        <v/>
      </c>
      <c r="D1673">
        <f>SUMPRODUCT(Calc!$K$3:$K$22*(Calc!$G$3:$G$22&gt;A1673)*(Calc!$G$3:$G$22&lt;B1673))</f>
        <v/>
      </c>
      <c r="E1673">
        <f>SUMPRODUCT(Calc!$K$3:$K$22*(Calc!$G$3:$G$22&gt;=B1673))</f>
        <v/>
      </c>
      <c r="F1673">
        <f>AND(k_n&gt;=5,B1673&gt;A1673+1E-9,C1673&gt;=2,D1673&gt;=1,E1673&gt;=2)</f>
        <v/>
      </c>
      <c r="G1673">
        <f>SUMPRODUCT(Calc!$K$3:$K$22*(Calc!$G$3:$G$22&gt;A1673)*(Calc!$G$3:$G$22-A1673))</f>
        <v/>
      </c>
      <c r="H1673">
        <f>SUMPRODUCT(Calc!$K$3:$K$22*(Calc!$G$3:$G$22&gt;B1673)*(Calc!$G$3:$G$22-B1673))</f>
        <v/>
      </c>
      <c r="I1673">
        <f>SUMPRODUCT(Calc!$K$3:$K$22*(Calc!$G$3:$G$22&gt;A1673)*(Calc!$G$3:$G$22-A1673)^2)</f>
        <v/>
      </c>
      <c r="J1673">
        <f>SUMPRODUCT(Calc!$K$3:$K$22*(Calc!$G$3:$G$22&gt;B1673)*(Calc!$G$3:$G$22-B1673)^2)</f>
        <v/>
      </c>
      <c r="K1673">
        <f>SUMPRODUCT(Calc!$K$3:$K$22*(Calc!$G$3:$G$22&gt;A1673)*(Calc!$G$3:$G$22-A1673)*(Calc!$G$3:$G$22&gt;B1673)*(Calc!$G$3:$G$22-B1673))</f>
        <v/>
      </c>
      <c r="L1673">
        <f>SUMPRODUCT(Calc!$K$3:$K$22*(Calc!$G$3:$G$22&gt;A1673)*(Calc!$G$3:$G$22-A1673)*Calc!$G$3:$G$22)</f>
        <v/>
      </c>
      <c r="M1673">
        <f>SUMPRODUCT(Calc!$K$3:$K$22*(Calc!$G$3:$G$22&gt;B1673)*(Calc!$G$3:$G$22-B1673)*Calc!$G$3:$G$22)</f>
        <v/>
      </c>
      <c r="N1673">
        <f>SUMPRODUCT(Calc!$K$3:$K$22*(Calc!$G$3:$G$22&gt;A1673)*(Calc!$G$3:$G$22-A1673)*Calc!$I$3:$I$22)</f>
        <v/>
      </c>
      <c r="O1673">
        <f>SUMPRODUCT(Calc!$K$3:$K$22*(Calc!$G$3:$G$22&gt;B1673)*(Calc!$G$3:$G$22-B1673)*Calc!$I$3:$I$22)</f>
        <v/>
      </c>
      <c r="P1673">
        <f>I1673-G1673^2/k_n</f>
        <v/>
      </c>
      <c r="Q1673">
        <f>J1673-H1673^2/k_n</f>
        <v/>
      </c>
      <c r="R1673">
        <f>K1673-G1673*H1673/k_n</f>
        <v/>
      </c>
      <c r="S1673">
        <f>L1673-LTP3!$D$3*G1673/k_n</f>
        <v/>
      </c>
      <c r="T1673">
        <f>M1673-LTP3!$D$3*H1673/k_n</f>
        <v/>
      </c>
      <c r="U1673">
        <f>N1673-G1673*LTP3!$D$4/k_n</f>
        <v/>
      </c>
      <c r="V1673">
        <f>O1673-H1673*LTP3!$D$4/k_n</f>
        <v/>
      </c>
      <c r="W1673">
        <f>((LTP3!$D$5)*((P1673)*(Q1673)-(R1673)*(R1673))-(S1673)*((S1673)*(Q1673)-(R1673)*(T1673))+(T1673)*((S1673)*(R1673)-(P1673)*(T1673)))</f>
        <v/>
      </c>
      <c r="X1673">
        <f>IF(ABS(W1673)&gt;1E-12,((LTP3!$D$6)*((P1673)*(Q1673)-(R1673)*(R1673))-(S1673)*((U1673)*(Q1673)-(R1673)*(V1673))+(T1673)*((U1673)*(R1673)-(P1673)*(V1673)))/W1673,0)</f>
        <v/>
      </c>
      <c r="Y1673">
        <f>IF(ABS(W1673)&gt;1E-12,((LTP3!$D$5)*((U1673)*(Q1673)-(R1673)*(V1673))-(LTP3!$D$6)*((S1673)*(Q1673)-(R1673)*(T1673))+(T1673)*((S1673)*(V1673)-(U1673)*(T1673)))/W1673,0)</f>
        <v/>
      </c>
      <c r="Z1673">
        <f>IF(ABS(W1673)&gt;1E-12,((LTP3!$D$5)*((P1673)*(V1673)-(U1673)*(R1673))-(S1673)*((S1673)*(V1673)-(U1673)*(T1673))+(LTP3!$D$6)*((S1673)*(R1673)-(P1673)*(T1673)))/W1673,0)</f>
        <v/>
      </c>
      <c r="AA1673">
        <f>LTP3!$D$7-X1673*LTP3!$D$6-Y1673*U1673-Z1673*V1673</f>
        <v/>
      </c>
      <c r="AB1673">
        <f>IF(AND(F1673,ABS(W1673)&gt;1E-12,Y1673&gt;0,Z1673&gt;0),AA1673,1E+300)</f>
        <v/>
      </c>
    </row>
    <row r="1674">
      <c r="A1674">
        <f>$B$3+$B$5*27</f>
        <v/>
      </c>
      <c r="B1674">
        <f>$B$3+$B$5*15</f>
        <v/>
      </c>
      <c r="C1674">
        <f>SUMPRODUCT(Calc!$K$3:$K$22*(Calc!$G$3:$G$22&lt;=A1674))</f>
        <v/>
      </c>
      <c r="D1674">
        <f>SUMPRODUCT(Calc!$K$3:$K$22*(Calc!$G$3:$G$22&gt;A1674)*(Calc!$G$3:$G$22&lt;B1674))</f>
        <v/>
      </c>
      <c r="E1674">
        <f>SUMPRODUCT(Calc!$K$3:$K$22*(Calc!$G$3:$G$22&gt;=B1674))</f>
        <v/>
      </c>
      <c r="F1674">
        <f>AND(k_n&gt;=5,B1674&gt;A1674+1E-9,C1674&gt;=2,D1674&gt;=1,E1674&gt;=2)</f>
        <v/>
      </c>
      <c r="G1674">
        <f>SUMPRODUCT(Calc!$K$3:$K$22*(Calc!$G$3:$G$22&gt;A1674)*(Calc!$G$3:$G$22-A1674))</f>
        <v/>
      </c>
      <c r="H1674">
        <f>SUMPRODUCT(Calc!$K$3:$K$22*(Calc!$G$3:$G$22&gt;B1674)*(Calc!$G$3:$G$22-B1674))</f>
        <v/>
      </c>
      <c r="I1674">
        <f>SUMPRODUCT(Calc!$K$3:$K$22*(Calc!$G$3:$G$22&gt;A1674)*(Calc!$G$3:$G$22-A1674)^2)</f>
        <v/>
      </c>
      <c r="J1674">
        <f>SUMPRODUCT(Calc!$K$3:$K$22*(Calc!$G$3:$G$22&gt;B1674)*(Calc!$G$3:$G$22-B1674)^2)</f>
        <v/>
      </c>
      <c r="K1674">
        <f>SUMPRODUCT(Calc!$K$3:$K$22*(Calc!$G$3:$G$22&gt;A1674)*(Calc!$G$3:$G$22-A1674)*(Calc!$G$3:$G$22&gt;B1674)*(Calc!$G$3:$G$22-B1674))</f>
        <v/>
      </c>
      <c r="L1674">
        <f>SUMPRODUCT(Calc!$K$3:$K$22*(Calc!$G$3:$G$22&gt;A1674)*(Calc!$G$3:$G$22-A1674)*Calc!$G$3:$G$22)</f>
        <v/>
      </c>
      <c r="M1674">
        <f>SUMPRODUCT(Calc!$K$3:$K$22*(Calc!$G$3:$G$22&gt;B1674)*(Calc!$G$3:$G$22-B1674)*Calc!$G$3:$G$22)</f>
        <v/>
      </c>
      <c r="N1674">
        <f>SUMPRODUCT(Calc!$K$3:$K$22*(Calc!$G$3:$G$22&gt;A1674)*(Calc!$G$3:$G$22-A1674)*Calc!$I$3:$I$22)</f>
        <v/>
      </c>
      <c r="O1674">
        <f>SUMPRODUCT(Calc!$K$3:$K$22*(Calc!$G$3:$G$22&gt;B1674)*(Calc!$G$3:$G$22-B1674)*Calc!$I$3:$I$22)</f>
        <v/>
      </c>
      <c r="P1674">
        <f>I1674-G1674^2/k_n</f>
        <v/>
      </c>
      <c r="Q1674">
        <f>J1674-H1674^2/k_n</f>
        <v/>
      </c>
      <c r="R1674">
        <f>K1674-G1674*H1674/k_n</f>
        <v/>
      </c>
      <c r="S1674">
        <f>L1674-LTP3!$D$3*G1674/k_n</f>
        <v/>
      </c>
      <c r="T1674">
        <f>M1674-LTP3!$D$3*H1674/k_n</f>
        <v/>
      </c>
      <c r="U1674">
        <f>N1674-G1674*LTP3!$D$4/k_n</f>
        <v/>
      </c>
      <c r="V1674">
        <f>O1674-H1674*LTP3!$D$4/k_n</f>
        <v/>
      </c>
      <c r="W1674">
        <f>((LTP3!$D$5)*((P1674)*(Q1674)-(R1674)*(R1674))-(S1674)*((S1674)*(Q1674)-(R1674)*(T1674))+(T1674)*((S1674)*(R1674)-(P1674)*(T1674)))</f>
        <v/>
      </c>
      <c r="X1674">
        <f>IF(ABS(W1674)&gt;1E-12,((LTP3!$D$6)*((P1674)*(Q1674)-(R1674)*(R1674))-(S1674)*((U1674)*(Q1674)-(R1674)*(V1674))+(T1674)*((U1674)*(R1674)-(P1674)*(V1674)))/W1674,0)</f>
        <v/>
      </c>
      <c r="Y1674">
        <f>IF(ABS(W1674)&gt;1E-12,((LTP3!$D$5)*((U1674)*(Q1674)-(R1674)*(V1674))-(LTP3!$D$6)*((S1674)*(Q1674)-(R1674)*(T1674))+(T1674)*((S1674)*(V1674)-(U1674)*(T1674)))/W1674,0)</f>
        <v/>
      </c>
      <c r="Z1674">
        <f>IF(ABS(W1674)&gt;1E-12,((LTP3!$D$5)*((P1674)*(V1674)-(U1674)*(R1674))-(S1674)*((S1674)*(V1674)-(U1674)*(T1674))+(LTP3!$D$6)*((S1674)*(R1674)-(P1674)*(T1674)))/W1674,0)</f>
        <v/>
      </c>
      <c r="AA1674">
        <f>LTP3!$D$7-X1674*LTP3!$D$6-Y1674*U1674-Z1674*V1674</f>
        <v/>
      </c>
      <c r="AB1674">
        <f>IF(AND(F1674,ABS(W1674)&gt;1E-12,Y1674&gt;0,Z1674&gt;0),AA1674,1E+300)</f>
        <v/>
      </c>
    </row>
    <row r="1675">
      <c r="A1675">
        <f>$B$3+$B$5*27</f>
        <v/>
      </c>
      <c r="B1675">
        <f>$B$3+$B$5*16</f>
        <v/>
      </c>
      <c r="C1675">
        <f>SUMPRODUCT(Calc!$K$3:$K$22*(Calc!$G$3:$G$22&lt;=A1675))</f>
        <v/>
      </c>
      <c r="D1675">
        <f>SUMPRODUCT(Calc!$K$3:$K$22*(Calc!$G$3:$G$22&gt;A1675)*(Calc!$G$3:$G$22&lt;B1675))</f>
        <v/>
      </c>
      <c r="E1675">
        <f>SUMPRODUCT(Calc!$K$3:$K$22*(Calc!$G$3:$G$22&gt;=B1675))</f>
        <v/>
      </c>
      <c r="F1675">
        <f>AND(k_n&gt;=5,B1675&gt;A1675+1E-9,C1675&gt;=2,D1675&gt;=1,E1675&gt;=2)</f>
        <v/>
      </c>
      <c r="G1675">
        <f>SUMPRODUCT(Calc!$K$3:$K$22*(Calc!$G$3:$G$22&gt;A1675)*(Calc!$G$3:$G$22-A1675))</f>
        <v/>
      </c>
      <c r="H1675">
        <f>SUMPRODUCT(Calc!$K$3:$K$22*(Calc!$G$3:$G$22&gt;B1675)*(Calc!$G$3:$G$22-B1675))</f>
        <v/>
      </c>
      <c r="I1675">
        <f>SUMPRODUCT(Calc!$K$3:$K$22*(Calc!$G$3:$G$22&gt;A1675)*(Calc!$G$3:$G$22-A1675)^2)</f>
        <v/>
      </c>
      <c r="J1675">
        <f>SUMPRODUCT(Calc!$K$3:$K$22*(Calc!$G$3:$G$22&gt;B1675)*(Calc!$G$3:$G$22-B1675)^2)</f>
        <v/>
      </c>
      <c r="K1675">
        <f>SUMPRODUCT(Calc!$K$3:$K$22*(Calc!$G$3:$G$22&gt;A1675)*(Calc!$G$3:$G$22-A1675)*(Calc!$G$3:$G$22&gt;B1675)*(Calc!$G$3:$G$22-B1675))</f>
        <v/>
      </c>
      <c r="L1675">
        <f>SUMPRODUCT(Calc!$K$3:$K$22*(Calc!$G$3:$G$22&gt;A1675)*(Calc!$G$3:$G$22-A1675)*Calc!$G$3:$G$22)</f>
        <v/>
      </c>
      <c r="M1675">
        <f>SUMPRODUCT(Calc!$K$3:$K$22*(Calc!$G$3:$G$22&gt;B1675)*(Calc!$G$3:$G$22-B1675)*Calc!$G$3:$G$22)</f>
        <v/>
      </c>
      <c r="N1675">
        <f>SUMPRODUCT(Calc!$K$3:$K$22*(Calc!$G$3:$G$22&gt;A1675)*(Calc!$G$3:$G$22-A1675)*Calc!$I$3:$I$22)</f>
        <v/>
      </c>
      <c r="O1675">
        <f>SUMPRODUCT(Calc!$K$3:$K$22*(Calc!$G$3:$G$22&gt;B1675)*(Calc!$G$3:$G$22-B1675)*Calc!$I$3:$I$22)</f>
        <v/>
      </c>
      <c r="P1675">
        <f>I1675-G1675^2/k_n</f>
        <v/>
      </c>
      <c r="Q1675">
        <f>J1675-H1675^2/k_n</f>
        <v/>
      </c>
      <c r="R1675">
        <f>K1675-G1675*H1675/k_n</f>
        <v/>
      </c>
      <c r="S1675">
        <f>L1675-LTP3!$D$3*G1675/k_n</f>
        <v/>
      </c>
      <c r="T1675">
        <f>M1675-LTP3!$D$3*H1675/k_n</f>
        <v/>
      </c>
      <c r="U1675">
        <f>N1675-G1675*LTP3!$D$4/k_n</f>
        <v/>
      </c>
      <c r="V1675">
        <f>O1675-H1675*LTP3!$D$4/k_n</f>
        <v/>
      </c>
      <c r="W1675">
        <f>((LTP3!$D$5)*((P1675)*(Q1675)-(R1675)*(R1675))-(S1675)*((S1675)*(Q1675)-(R1675)*(T1675))+(T1675)*((S1675)*(R1675)-(P1675)*(T1675)))</f>
        <v/>
      </c>
      <c r="X1675">
        <f>IF(ABS(W1675)&gt;1E-12,((LTP3!$D$6)*((P1675)*(Q1675)-(R1675)*(R1675))-(S1675)*((U1675)*(Q1675)-(R1675)*(V1675))+(T1675)*((U1675)*(R1675)-(P1675)*(V1675)))/W1675,0)</f>
        <v/>
      </c>
      <c r="Y1675">
        <f>IF(ABS(W1675)&gt;1E-12,((LTP3!$D$5)*((U1675)*(Q1675)-(R1675)*(V1675))-(LTP3!$D$6)*((S1675)*(Q1675)-(R1675)*(T1675))+(T1675)*((S1675)*(V1675)-(U1675)*(T1675)))/W1675,0)</f>
        <v/>
      </c>
      <c r="Z1675">
        <f>IF(ABS(W1675)&gt;1E-12,((LTP3!$D$5)*((P1675)*(V1675)-(U1675)*(R1675))-(S1675)*((S1675)*(V1675)-(U1675)*(T1675))+(LTP3!$D$6)*((S1675)*(R1675)-(P1675)*(T1675)))/W1675,0)</f>
        <v/>
      </c>
      <c r="AA1675">
        <f>LTP3!$D$7-X1675*LTP3!$D$6-Y1675*U1675-Z1675*V1675</f>
        <v/>
      </c>
      <c r="AB1675">
        <f>IF(AND(F1675,ABS(W1675)&gt;1E-12,Y1675&gt;0,Z1675&gt;0),AA1675,1E+300)</f>
        <v/>
      </c>
    </row>
    <row r="1676">
      <c r="A1676">
        <f>$B$3+$B$5*27</f>
        <v/>
      </c>
      <c r="B1676">
        <f>$B$3+$B$5*17</f>
        <v/>
      </c>
      <c r="C1676">
        <f>SUMPRODUCT(Calc!$K$3:$K$22*(Calc!$G$3:$G$22&lt;=A1676))</f>
        <v/>
      </c>
      <c r="D1676">
        <f>SUMPRODUCT(Calc!$K$3:$K$22*(Calc!$G$3:$G$22&gt;A1676)*(Calc!$G$3:$G$22&lt;B1676))</f>
        <v/>
      </c>
      <c r="E1676">
        <f>SUMPRODUCT(Calc!$K$3:$K$22*(Calc!$G$3:$G$22&gt;=B1676))</f>
        <v/>
      </c>
      <c r="F1676">
        <f>AND(k_n&gt;=5,B1676&gt;A1676+1E-9,C1676&gt;=2,D1676&gt;=1,E1676&gt;=2)</f>
        <v/>
      </c>
      <c r="G1676">
        <f>SUMPRODUCT(Calc!$K$3:$K$22*(Calc!$G$3:$G$22&gt;A1676)*(Calc!$G$3:$G$22-A1676))</f>
        <v/>
      </c>
      <c r="H1676">
        <f>SUMPRODUCT(Calc!$K$3:$K$22*(Calc!$G$3:$G$22&gt;B1676)*(Calc!$G$3:$G$22-B1676))</f>
        <v/>
      </c>
      <c r="I1676">
        <f>SUMPRODUCT(Calc!$K$3:$K$22*(Calc!$G$3:$G$22&gt;A1676)*(Calc!$G$3:$G$22-A1676)^2)</f>
        <v/>
      </c>
      <c r="J1676">
        <f>SUMPRODUCT(Calc!$K$3:$K$22*(Calc!$G$3:$G$22&gt;B1676)*(Calc!$G$3:$G$22-B1676)^2)</f>
        <v/>
      </c>
      <c r="K1676">
        <f>SUMPRODUCT(Calc!$K$3:$K$22*(Calc!$G$3:$G$22&gt;A1676)*(Calc!$G$3:$G$22-A1676)*(Calc!$G$3:$G$22&gt;B1676)*(Calc!$G$3:$G$22-B1676))</f>
        <v/>
      </c>
      <c r="L1676">
        <f>SUMPRODUCT(Calc!$K$3:$K$22*(Calc!$G$3:$G$22&gt;A1676)*(Calc!$G$3:$G$22-A1676)*Calc!$G$3:$G$22)</f>
        <v/>
      </c>
      <c r="M1676">
        <f>SUMPRODUCT(Calc!$K$3:$K$22*(Calc!$G$3:$G$22&gt;B1676)*(Calc!$G$3:$G$22-B1676)*Calc!$G$3:$G$22)</f>
        <v/>
      </c>
      <c r="N1676">
        <f>SUMPRODUCT(Calc!$K$3:$K$22*(Calc!$G$3:$G$22&gt;A1676)*(Calc!$G$3:$G$22-A1676)*Calc!$I$3:$I$22)</f>
        <v/>
      </c>
      <c r="O1676">
        <f>SUMPRODUCT(Calc!$K$3:$K$22*(Calc!$G$3:$G$22&gt;B1676)*(Calc!$G$3:$G$22-B1676)*Calc!$I$3:$I$22)</f>
        <v/>
      </c>
      <c r="P1676">
        <f>I1676-G1676^2/k_n</f>
        <v/>
      </c>
      <c r="Q1676">
        <f>J1676-H1676^2/k_n</f>
        <v/>
      </c>
      <c r="R1676">
        <f>K1676-G1676*H1676/k_n</f>
        <v/>
      </c>
      <c r="S1676">
        <f>L1676-LTP3!$D$3*G1676/k_n</f>
        <v/>
      </c>
      <c r="T1676">
        <f>M1676-LTP3!$D$3*H1676/k_n</f>
        <v/>
      </c>
      <c r="U1676">
        <f>N1676-G1676*LTP3!$D$4/k_n</f>
        <v/>
      </c>
      <c r="V1676">
        <f>O1676-H1676*LTP3!$D$4/k_n</f>
        <v/>
      </c>
      <c r="W1676">
        <f>((LTP3!$D$5)*((P1676)*(Q1676)-(R1676)*(R1676))-(S1676)*((S1676)*(Q1676)-(R1676)*(T1676))+(T1676)*((S1676)*(R1676)-(P1676)*(T1676)))</f>
        <v/>
      </c>
      <c r="X1676">
        <f>IF(ABS(W1676)&gt;1E-12,((LTP3!$D$6)*((P1676)*(Q1676)-(R1676)*(R1676))-(S1676)*((U1676)*(Q1676)-(R1676)*(V1676))+(T1676)*((U1676)*(R1676)-(P1676)*(V1676)))/W1676,0)</f>
        <v/>
      </c>
      <c r="Y1676">
        <f>IF(ABS(W1676)&gt;1E-12,((LTP3!$D$5)*((U1676)*(Q1676)-(R1676)*(V1676))-(LTP3!$D$6)*((S1676)*(Q1676)-(R1676)*(T1676))+(T1676)*((S1676)*(V1676)-(U1676)*(T1676)))/W1676,0)</f>
        <v/>
      </c>
      <c r="Z1676">
        <f>IF(ABS(W1676)&gt;1E-12,((LTP3!$D$5)*((P1676)*(V1676)-(U1676)*(R1676))-(S1676)*((S1676)*(V1676)-(U1676)*(T1676))+(LTP3!$D$6)*((S1676)*(R1676)-(P1676)*(T1676)))/W1676,0)</f>
        <v/>
      </c>
      <c r="AA1676">
        <f>LTP3!$D$7-X1676*LTP3!$D$6-Y1676*U1676-Z1676*V1676</f>
        <v/>
      </c>
      <c r="AB1676">
        <f>IF(AND(F1676,ABS(W1676)&gt;1E-12,Y1676&gt;0,Z1676&gt;0),AA1676,1E+300)</f>
        <v/>
      </c>
    </row>
    <row r="1677">
      <c r="A1677">
        <f>$B$3+$B$5*27</f>
        <v/>
      </c>
      <c r="B1677">
        <f>$B$3+$B$5*18</f>
        <v/>
      </c>
      <c r="C1677">
        <f>SUMPRODUCT(Calc!$K$3:$K$22*(Calc!$G$3:$G$22&lt;=A1677))</f>
        <v/>
      </c>
      <c r="D1677">
        <f>SUMPRODUCT(Calc!$K$3:$K$22*(Calc!$G$3:$G$22&gt;A1677)*(Calc!$G$3:$G$22&lt;B1677))</f>
        <v/>
      </c>
      <c r="E1677">
        <f>SUMPRODUCT(Calc!$K$3:$K$22*(Calc!$G$3:$G$22&gt;=B1677))</f>
        <v/>
      </c>
      <c r="F1677">
        <f>AND(k_n&gt;=5,B1677&gt;A1677+1E-9,C1677&gt;=2,D1677&gt;=1,E1677&gt;=2)</f>
        <v/>
      </c>
      <c r="G1677">
        <f>SUMPRODUCT(Calc!$K$3:$K$22*(Calc!$G$3:$G$22&gt;A1677)*(Calc!$G$3:$G$22-A1677))</f>
        <v/>
      </c>
      <c r="H1677">
        <f>SUMPRODUCT(Calc!$K$3:$K$22*(Calc!$G$3:$G$22&gt;B1677)*(Calc!$G$3:$G$22-B1677))</f>
        <v/>
      </c>
      <c r="I1677">
        <f>SUMPRODUCT(Calc!$K$3:$K$22*(Calc!$G$3:$G$22&gt;A1677)*(Calc!$G$3:$G$22-A1677)^2)</f>
        <v/>
      </c>
      <c r="J1677">
        <f>SUMPRODUCT(Calc!$K$3:$K$22*(Calc!$G$3:$G$22&gt;B1677)*(Calc!$G$3:$G$22-B1677)^2)</f>
        <v/>
      </c>
      <c r="K1677">
        <f>SUMPRODUCT(Calc!$K$3:$K$22*(Calc!$G$3:$G$22&gt;A1677)*(Calc!$G$3:$G$22-A1677)*(Calc!$G$3:$G$22&gt;B1677)*(Calc!$G$3:$G$22-B1677))</f>
        <v/>
      </c>
      <c r="L1677">
        <f>SUMPRODUCT(Calc!$K$3:$K$22*(Calc!$G$3:$G$22&gt;A1677)*(Calc!$G$3:$G$22-A1677)*Calc!$G$3:$G$22)</f>
        <v/>
      </c>
      <c r="M1677">
        <f>SUMPRODUCT(Calc!$K$3:$K$22*(Calc!$G$3:$G$22&gt;B1677)*(Calc!$G$3:$G$22-B1677)*Calc!$G$3:$G$22)</f>
        <v/>
      </c>
      <c r="N1677">
        <f>SUMPRODUCT(Calc!$K$3:$K$22*(Calc!$G$3:$G$22&gt;A1677)*(Calc!$G$3:$G$22-A1677)*Calc!$I$3:$I$22)</f>
        <v/>
      </c>
      <c r="O1677">
        <f>SUMPRODUCT(Calc!$K$3:$K$22*(Calc!$G$3:$G$22&gt;B1677)*(Calc!$G$3:$G$22-B1677)*Calc!$I$3:$I$22)</f>
        <v/>
      </c>
      <c r="P1677">
        <f>I1677-G1677^2/k_n</f>
        <v/>
      </c>
      <c r="Q1677">
        <f>J1677-H1677^2/k_n</f>
        <v/>
      </c>
      <c r="R1677">
        <f>K1677-G1677*H1677/k_n</f>
        <v/>
      </c>
      <c r="S1677">
        <f>L1677-LTP3!$D$3*G1677/k_n</f>
        <v/>
      </c>
      <c r="T1677">
        <f>M1677-LTP3!$D$3*H1677/k_n</f>
        <v/>
      </c>
      <c r="U1677">
        <f>N1677-G1677*LTP3!$D$4/k_n</f>
        <v/>
      </c>
      <c r="V1677">
        <f>O1677-H1677*LTP3!$D$4/k_n</f>
        <v/>
      </c>
      <c r="W1677">
        <f>((LTP3!$D$5)*((P1677)*(Q1677)-(R1677)*(R1677))-(S1677)*((S1677)*(Q1677)-(R1677)*(T1677))+(T1677)*((S1677)*(R1677)-(P1677)*(T1677)))</f>
        <v/>
      </c>
      <c r="X1677">
        <f>IF(ABS(W1677)&gt;1E-12,((LTP3!$D$6)*((P1677)*(Q1677)-(R1677)*(R1677))-(S1677)*((U1677)*(Q1677)-(R1677)*(V1677))+(T1677)*((U1677)*(R1677)-(P1677)*(V1677)))/W1677,0)</f>
        <v/>
      </c>
      <c r="Y1677">
        <f>IF(ABS(W1677)&gt;1E-12,((LTP3!$D$5)*((U1677)*(Q1677)-(R1677)*(V1677))-(LTP3!$D$6)*((S1677)*(Q1677)-(R1677)*(T1677))+(T1677)*((S1677)*(V1677)-(U1677)*(T1677)))/W1677,0)</f>
        <v/>
      </c>
      <c r="Z1677">
        <f>IF(ABS(W1677)&gt;1E-12,((LTP3!$D$5)*((P1677)*(V1677)-(U1677)*(R1677))-(S1677)*((S1677)*(V1677)-(U1677)*(T1677))+(LTP3!$D$6)*((S1677)*(R1677)-(P1677)*(T1677)))/W1677,0)</f>
        <v/>
      </c>
      <c r="AA1677">
        <f>LTP3!$D$7-X1677*LTP3!$D$6-Y1677*U1677-Z1677*V1677</f>
        <v/>
      </c>
      <c r="AB1677">
        <f>IF(AND(F1677,ABS(W1677)&gt;1E-12,Y1677&gt;0,Z1677&gt;0),AA1677,1E+300)</f>
        <v/>
      </c>
    </row>
    <row r="1678">
      <c r="A1678">
        <f>$B$3+$B$5*27</f>
        <v/>
      </c>
      <c r="B1678">
        <f>$B$3+$B$5*19</f>
        <v/>
      </c>
      <c r="C1678">
        <f>SUMPRODUCT(Calc!$K$3:$K$22*(Calc!$G$3:$G$22&lt;=A1678))</f>
        <v/>
      </c>
      <c r="D1678">
        <f>SUMPRODUCT(Calc!$K$3:$K$22*(Calc!$G$3:$G$22&gt;A1678)*(Calc!$G$3:$G$22&lt;B1678))</f>
        <v/>
      </c>
      <c r="E1678">
        <f>SUMPRODUCT(Calc!$K$3:$K$22*(Calc!$G$3:$G$22&gt;=B1678))</f>
        <v/>
      </c>
      <c r="F1678">
        <f>AND(k_n&gt;=5,B1678&gt;A1678+1E-9,C1678&gt;=2,D1678&gt;=1,E1678&gt;=2)</f>
        <v/>
      </c>
      <c r="G1678">
        <f>SUMPRODUCT(Calc!$K$3:$K$22*(Calc!$G$3:$G$22&gt;A1678)*(Calc!$G$3:$G$22-A1678))</f>
        <v/>
      </c>
      <c r="H1678">
        <f>SUMPRODUCT(Calc!$K$3:$K$22*(Calc!$G$3:$G$22&gt;B1678)*(Calc!$G$3:$G$22-B1678))</f>
        <v/>
      </c>
      <c r="I1678">
        <f>SUMPRODUCT(Calc!$K$3:$K$22*(Calc!$G$3:$G$22&gt;A1678)*(Calc!$G$3:$G$22-A1678)^2)</f>
        <v/>
      </c>
      <c r="J1678">
        <f>SUMPRODUCT(Calc!$K$3:$K$22*(Calc!$G$3:$G$22&gt;B1678)*(Calc!$G$3:$G$22-B1678)^2)</f>
        <v/>
      </c>
      <c r="K1678">
        <f>SUMPRODUCT(Calc!$K$3:$K$22*(Calc!$G$3:$G$22&gt;A1678)*(Calc!$G$3:$G$22-A1678)*(Calc!$G$3:$G$22&gt;B1678)*(Calc!$G$3:$G$22-B1678))</f>
        <v/>
      </c>
      <c r="L1678">
        <f>SUMPRODUCT(Calc!$K$3:$K$22*(Calc!$G$3:$G$22&gt;A1678)*(Calc!$G$3:$G$22-A1678)*Calc!$G$3:$G$22)</f>
        <v/>
      </c>
      <c r="M1678">
        <f>SUMPRODUCT(Calc!$K$3:$K$22*(Calc!$G$3:$G$22&gt;B1678)*(Calc!$G$3:$G$22-B1678)*Calc!$G$3:$G$22)</f>
        <v/>
      </c>
      <c r="N1678">
        <f>SUMPRODUCT(Calc!$K$3:$K$22*(Calc!$G$3:$G$22&gt;A1678)*(Calc!$G$3:$G$22-A1678)*Calc!$I$3:$I$22)</f>
        <v/>
      </c>
      <c r="O1678">
        <f>SUMPRODUCT(Calc!$K$3:$K$22*(Calc!$G$3:$G$22&gt;B1678)*(Calc!$G$3:$G$22-B1678)*Calc!$I$3:$I$22)</f>
        <v/>
      </c>
      <c r="P1678">
        <f>I1678-G1678^2/k_n</f>
        <v/>
      </c>
      <c r="Q1678">
        <f>J1678-H1678^2/k_n</f>
        <v/>
      </c>
      <c r="R1678">
        <f>K1678-G1678*H1678/k_n</f>
        <v/>
      </c>
      <c r="S1678">
        <f>L1678-LTP3!$D$3*G1678/k_n</f>
        <v/>
      </c>
      <c r="T1678">
        <f>M1678-LTP3!$D$3*H1678/k_n</f>
        <v/>
      </c>
      <c r="U1678">
        <f>N1678-G1678*LTP3!$D$4/k_n</f>
        <v/>
      </c>
      <c r="V1678">
        <f>O1678-H1678*LTP3!$D$4/k_n</f>
        <v/>
      </c>
      <c r="W1678">
        <f>((LTP3!$D$5)*((P1678)*(Q1678)-(R1678)*(R1678))-(S1678)*((S1678)*(Q1678)-(R1678)*(T1678))+(T1678)*((S1678)*(R1678)-(P1678)*(T1678)))</f>
        <v/>
      </c>
      <c r="X1678">
        <f>IF(ABS(W1678)&gt;1E-12,((LTP3!$D$6)*((P1678)*(Q1678)-(R1678)*(R1678))-(S1678)*((U1678)*(Q1678)-(R1678)*(V1678))+(T1678)*((U1678)*(R1678)-(P1678)*(V1678)))/W1678,0)</f>
        <v/>
      </c>
      <c r="Y1678">
        <f>IF(ABS(W1678)&gt;1E-12,((LTP3!$D$5)*((U1678)*(Q1678)-(R1678)*(V1678))-(LTP3!$D$6)*((S1678)*(Q1678)-(R1678)*(T1678))+(T1678)*((S1678)*(V1678)-(U1678)*(T1678)))/W1678,0)</f>
        <v/>
      </c>
      <c r="Z1678">
        <f>IF(ABS(W1678)&gt;1E-12,((LTP3!$D$5)*((P1678)*(V1678)-(U1678)*(R1678))-(S1678)*((S1678)*(V1678)-(U1678)*(T1678))+(LTP3!$D$6)*((S1678)*(R1678)-(P1678)*(T1678)))/W1678,0)</f>
        <v/>
      </c>
      <c r="AA1678">
        <f>LTP3!$D$7-X1678*LTP3!$D$6-Y1678*U1678-Z1678*V1678</f>
        <v/>
      </c>
      <c r="AB1678">
        <f>IF(AND(F1678,ABS(W1678)&gt;1E-12,Y1678&gt;0,Z1678&gt;0),AA1678,1E+300)</f>
        <v/>
      </c>
    </row>
    <row r="1679">
      <c r="A1679">
        <f>$B$3+$B$5*27</f>
        <v/>
      </c>
      <c r="B1679">
        <f>$B$3+$B$5*20</f>
        <v/>
      </c>
      <c r="C1679">
        <f>SUMPRODUCT(Calc!$K$3:$K$22*(Calc!$G$3:$G$22&lt;=A1679))</f>
        <v/>
      </c>
      <c r="D1679">
        <f>SUMPRODUCT(Calc!$K$3:$K$22*(Calc!$G$3:$G$22&gt;A1679)*(Calc!$G$3:$G$22&lt;B1679))</f>
        <v/>
      </c>
      <c r="E1679">
        <f>SUMPRODUCT(Calc!$K$3:$K$22*(Calc!$G$3:$G$22&gt;=B1679))</f>
        <v/>
      </c>
      <c r="F1679">
        <f>AND(k_n&gt;=5,B1679&gt;A1679+1E-9,C1679&gt;=2,D1679&gt;=1,E1679&gt;=2)</f>
        <v/>
      </c>
      <c r="G1679">
        <f>SUMPRODUCT(Calc!$K$3:$K$22*(Calc!$G$3:$G$22&gt;A1679)*(Calc!$G$3:$G$22-A1679))</f>
        <v/>
      </c>
      <c r="H1679">
        <f>SUMPRODUCT(Calc!$K$3:$K$22*(Calc!$G$3:$G$22&gt;B1679)*(Calc!$G$3:$G$22-B1679))</f>
        <v/>
      </c>
      <c r="I1679">
        <f>SUMPRODUCT(Calc!$K$3:$K$22*(Calc!$G$3:$G$22&gt;A1679)*(Calc!$G$3:$G$22-A1679)^2)</f>
        <v/>
      </c>
      <c r="J1679">
        <f>SUMPRODUCT(Calc!$K$3:$K$22*(Calc!$G$3:$G$22&gt;B1679)*(Calc!$G$3:$G$22-B1679)^2)</f>
        <v/>
      </c>
      <c r="K1679">
        <f>SUMPRODUCT(Calc!$K$3:$K$22*(Calc!$G$3:$G$22&gt;A1679)*(Calc!$G$3:$G$22-A1679)*(Calc!$G$3:$G$22&gt;B1679)*(Calc!$G$3:$G$22-B1679))</f>
        <v/>
      </c>
      <c r="L1679">
        <f>SUMPRODUCT(Calc!$K$3:$K$22*(Calc!$G$3:$G$22&gt;A1679)*(Calc!$G$3:$G$22-A1679)*Calc!$G$3:$G$22)</f>
        <v/>
      </c>
      <c r="M1679">
        <f>SUMPRODUCT(Calc!$K$3:$K$22*(Calc!$G$3:$G$22&gt;B1679)*(Calc!$G$3:$G$22-B1679)*Calc!$G$3:$G$22)</f>
        <v/>
      </c>
      <c r="N1679">
        <f>SUMPRODUCT(Calc!$K$3:$K$22*(Calc!$G$3:$G$22&gt;A1679)*(Calc!$G$3:$G$22-A1679)*Calc!$I$3:$I$22)</f>
        <v/>
      </c>
      <c r="O1679">
        <f>SUMPRODUCT(Calc!$K$3:$K$22*(Calc!$G$3:$G$22&gt;B1679)*(Calc!$G$3:$G$22-B1679)*Calc!$I$3:$I$22)</f>
        <v/>
      </c>
      <c r="P1679">
        <f>I1679-G1679^2/k_n</f>
        <v/>
      </c>
      <c r="Q1679">
        <f>J1679-H1679^2/k_n</f>
        <v/>
      </c>
      <c r="R1679">
        <f>K1679-G1679*H1679/k_n</f>
        <v/>
      </c>
      <c r="S1679">
        <f>L1679-LTP3!$D$3*G1679/k_n</f>
        <v/>
      </c>
      <c r="T1679">
        <f>M1679-LTP3!$D$3*H1679/k_n</f>
        <v/>
      </c>
      <c r="U1679">
        <f>N1679-G1679*LTP3!$D$4/k_n</f>
        <v/>
      </c>
      <c r="V1679">
        <f>O1679-H1679*LTP3!$D$4/k_n</f>
        <v/>
      </c>
      <c r="W1679">
        <f>((LTP3!$D$5)*((P1679)*(Q1679)-(R1679)*(R1679))-(S1679)*((S1679)*(Q1679)-(R1679)*(T1679))+(T1679)*((S1679)*(R1679)-(P1679)*(T1679)))</f>
        <v/>
      </c>
      <c r="X1679">
        <f>IF(ABS(W1679)&gt;1E-12,((LTP3!$D$6)*((P1679)*(Q1679)-(R1679)*(R1679))-(S1679)*((U1679)*(Q1679)-(R1679)*(V1679))+(T1679)*((U1679)*(R1679)-(P1679)*(V1679)))/W1679,0)</f>
        <v/>
      </c>
      <c r="Y1679">
        <f>IF(ABS(W1679)&gt;1E-12,((LTP3!$D$5)*((U1679)*(Q1679)-(R1679)*(V1679))-(LTP3!$D$6)*((S1679)*(Q1679)-(R1679)*(T1679))+(T1679)*((S1679)*(V1679)-(U1679)*(T1679)))/W1679,0)</f>
        <v/>
      </c>
      <c r="Z1679">
        <f>IF(ABS(W1679)&gt;1E-12,((LTP3!$D$5)*((P1679)*(V1679)-(U1679)*(R1679))-(S1679)*((S1679)*(V1679)-(U1679)*(T1679))+(LTP3!$D$6)*((S1679)*(R1679)-(P1679)*(T1679)))/W1679,0)</f>
        <v/>
      </c>
      <c r="AA1679">
        <f>LTP3!$D$7-X1679*LTP3!$D$6-Y1679*U1679-Z1679*V1679</f>
        <v/>
      </c>
      <c r="AB1679">
        <f>IF(AND(F1679,ABS(W1679)&gt;1E-12,Y1679&gt;0,Z1679&gt;0),AA1679,1E+300)</f>
        <v/>
      </c>
    </row>
    <row r="1680">
      <c r="A1680">
        <f>$B$3+$B$5*27</f>
        <v/>
      </c>
      <c r="B1680">
        <f>$B$3+$B$5*21</f>
        <v/>
      </c>
      <c r="C1680">
        <f>SUMPRODUCT(Calc!$K$3:$K$22*(Calc!$G$3:$G$22&lt;=A1680))</f>
        <v/>
      </c>
      <c r="D1680">
        <f>SUMPRODUCT(Calc!$K$3:$K$22*(Calc!$G$3:$G$22&gt;A1680)*(Calc!$G$3:$G$22&lt;B1680))</f>
        <v/>
      </c>
      <c r="E1680">
        <f>SUMPRODUCT(Calc!$K$3:$K$22*(Calc!$G$3:$G$22&gt;=B1680))</f>
        <v/>
      </c>
      <c r="F1680">
        <f>AND(k_n&gt;=5,B1680&gt;A1680+1E-9,C1680&gt;=2,D1680&gt;=1,E1680&gt;=2)</f>
        <v/>
      </c>
      <c r="G1680">
        <f>SUMPRODUCT(Calc!$K$3:$K$22*(Calc!$G$3:$G$22&gt;A1680)*(Calc!$G$3:$G$22-A1680))</f>
        <v/>
      </c>
      <c r="H1680">
        <f>SUMPRODUCT(Calc!$K$3:$K$22*(Calc!$G$3:$G$22&gt;B1680)*(Calc!$G$3:$G$22-B1680))</f>
        <v/>
      </c>
      <c r="I1680">
        <f>SUMPRODUCT(Calc!$K$3:$K$22*(Calc!$G$3:$G$22&gt;A1680)*(Calc!$G$3:$G$22-A1680)^2)</f>
        <v/>
      </c>
      <c r="J1680">
        <f>SUMPRODUCT(Calc!$K$3:$K$22*(Calc!$G$3:$G$22&gt;B1680)*(Calc!$G$3:$G$22-B1680)^2)</f>
        <v/>
      </c>
      <c r="K1680">
        <f>SUMPRODUCT(Calc!$K$3:$K$22*(Calc!$G$3:$G$22&gt;A1680)*(Calc!$G$3:$G$22-A1680)*(Calc!$G$3:$G$22&gt;B1680)*(Calc!$G$3:$G$22-B1680))</f>
        <v/>
      </c>
      <c r="L1680">
        <f>SUMPRODUCT(Calc!$K$3:$K$22*(Calc!$G$3:$G$22&gt;A1680)*(Calc!$G$3:$G$22-A1680)*Calc!$G$3:$G$22)</f>
        <v/>
      </c>
      <c r="M1680">
        <f>SUMPRODUCT(Calc!$K$3:$K$22*(Calc!$G$3:$G$22&gt;B1680)*(Calc!$G$3:$G$22-B1680)*Calc!$G$3:$G$22)</f>
        <v/>
      </c>
      <c r="N1680">
        <f>SUMPRODUCT(Calc!$K$3:$K$22*(Calc!$G$3:$G$22&gt;A1680)*(Calc!$G$3:$G$22-A1680)*Calc!$I$3:$I$22)</f>
        <v/>
      </c>
      <c r="O1680">
        <f>SUMPRODUCT(Calc!$K$3:$K$22*(Calc!$G$3:$G$22&gt;B1680)*(Calc!$G$3:$G$22-B1680)*Calc!$I$3:$I$22)</f>
        <v/>
      </c>
      <c r="P1680">
        <f>I1680-G1680^2/k_n</f>
        <v/>
      </c>
      <c r="Q1680">
        <f>J1680-H1680^2/k_n</f>
        <v/>
      </c>
      <c r="R1680">
        <f>K1680-G1680*H1680/k_n</f>
        <v/>
      </c>
      <c r="S1680">
        <f>L1680-LTP3!$D$3*G1680/k_n</f>
        <v/>
      </c>
      <c r="T1680">
        <f>M1680-LTP3!$D$3*H1680/k_n</f>
        <v/>
      </c>
      <c r="U1680">
        <f>N1680-G1680*LTP3!$D$4/k_n</f>
        <v/>
      </c>
      <c r="V1680">
        <f>O1680-H1680*LTP3!$D$4/k_n</f>
        <v/>
      </c>
      <c r="W1680">
        <f>((LTP3!$D$5)*((P1680)*(Q1680)-(R1680)*(R1680))-(S1680)*((S1680)*(Q1680)-(R1680)*(T1680))+(T1680)*((S1680)*(R1680)-(P1680)*(T1680)))</f>
        <v/>
      </c>
      <c r="X1680">
        <f>IF(ABS(W1680)&gt;1E-12,((LTP3!$D$6)*((P1680)*(Q1680)-(R1680)*(R1680))-(S1680)*((U1680)*(Q1680)-(R1680)*(V1680))+(T1680)*((U1680)*(R1680)-(P1680)*(V1680)))/W1680,0)</f>
        <v/>
      </c>
      <c r="Y1680">
        <f>IF(ABS(W1680)&gt;1E-12,((LTP3!$D$5)*((U1680)*(Q1680)-(R1680)*(V1680))-(LTP3!$D$6)*((S1680)*(Q1680)-(R1680)*(T1680))+(T1680)*((S1680)*(V1680)-(U1680)*(T1680)))/W1680,0)</f>
        <v/>
      </c>
      <c r="Z1680">
        <f>IF(ABS(W1680)&gt;1E-12,((LTP3!$D$5)*((P1680)*(V1680)-(U1680)*(R1680))-(S1680)*((S1680)*(V1680)-(U1680)*(T1680))+(LTP3!$D$6)*((S1680)*(R1680)-(P1680)*(T1680)))/W1680,0)</f>
        <v/>
      </c>
      <c r="AA1680">
        <f>LTP3!$D$7-X1680*LTP3!$D$6-Y1680*U1680-Z1680*V1680</f>
        <v/>
      </c>
      <c r="AB1680">
        <f>IF(AND(F1680,ABS(W1680)&gt;1E-12,Y1680&gt;0,Z1680&gt;0),AA1680,1E+300)</f>
        <v/>
      </c>
    </row>
    <row r="1681">
      <c r="A1681">
        <f>$B$3+$B$5*27</f>
        <v/>
      </c>
      <c r="B1681">
        <f>$B$3+$B$5*22</f>
        <v/>
      </c>
      <c r="C1681">
        <f>SUMPRODUCT(Calc!$K$3:$K$22*(Calc!$G$3:$G$22&lt;=A1681))</f>
        <v/>
      </c>
      <c r="D1681">
        <f>SUMPRODUCT(Calc!$K$3:$K$22*(Calc!$G$3:$G$22&gt;A1681)*(Calc!$G$3:$G$22&lt;B1681))</f>
        <v/>
      </c>
      <c r="E1681">
        <f>SUMPRODUCT(Calc!$K$3:$K$22*(Calc!$G$3:$G$22&gt;=B1681))</f>
        <v/>
      </c>
      <c r="F1681">
        <f>AND(k_n&gt;=5,B1681&gt;A1681+1E-9,C1681&gt;=2,D1681&gt;=1,E1681&gt;=2)</f>
        <v/>
      </c>
      <c r="G1681">
        <f>SUMPRODUCT(Calc!$K$3:$K$22*(Calc!$G$3:$G$22&gt;A1681)*(Calc!$G$3:$G$22-A1681))</f>
        <v/>
      </c>
      <c r="H1681">
        <f>SUMPRODUCT(Calc!$K$3:$K$22*(Calc!$G$3:$G$22&gt;B1681)*(Calc!$G$3:$G$22-B1681))</f>
        <v/>
      </c>
      <c r="I1681">
        <f>SUMPRODUCT(Calc!$K$3:$K$22*(Calc!$G$3:$G$22&gt;A1681)*(Calc!$G$3:$G$22-A1681)^2)</f>
        <v/>
      </c>
      <c r="J1681">
        <f>SUMPRODUCT(Calc!$K$3:$K$22*(Calc!$G$3:$G$22&gt;B1681)*(Calc!$G$3:$G$22-B1681)^2)</f>
        <v/>
      </c>
      <c r="K1681">
        <f>SUMPRODUCT(Calc!$K$3:$K$22*(Calc!$G$3:$G$22&gt;A1681)*(Calc!$G$3:$G$22-A1681)*(Calc!$G$3:$G$22&gt;B1681)*(Calc!$G$3:$G$22-B1681))</f>
        <v/>
      </c>
      <c r="L1681">
        <f>SUMPRODUCT(Calc!$K$3:$K$22*(Calc!$G$3:$G$22&gt;A1681)*(Calc!$G$3:$G$22-A1681)*Calc!$G$3:$G$22)</f>
        <v/>
      </c>
      <c r="M1681">
        <f>SUMPRODUCT(Calc!$K$3:$K$22*(Calc!$G$3:$G$22&gt;B1681)*(Calc!$G$3:$G$22-B1681)*Calc!$G$3:$G$22)</f>
        <v/>
      </c>
      <c r="N1681">
        <f>SUMPRODUCT(Calc!$K$3:$K$22*(Calc!$G$3:$G$22&gt;A1681)*(Calc!$G$3:$G$22-A1681)*Calc!$I$3:$I$22)</f>
        <v/>
      </c>
      <c r="O1681">
        <f>SUMPRODUCT(Calc!$K$3:$K$22*(Calc!$G$3:$G$22&gt;B1681)*(Calc!$G$3:$G$22-B1681)*Calc!$I$3:$I$22)</f>
        <v/>
      </c>
      <c r="P1681">
        <f>I1681-G1681^2/k_n</f>
        <v/>
      </c>
      <c r="Q1681">
        <f>J1681-H1681^2/k_n</f>
        <v/>
      </c>
      <c r="R1681">
        <f>K1681-G1681*H1681/k_n</f>
        <v/>
      </c>
      <c r="S1681">
        <f>L1681-LTP3!$D$3*G1681/k_n</f>
        <v/>
      </c>
      <c r="T1681">
        <f>M1681-LTP3!$D$3*H1681/k_n</f>
        <v/>
      </c>
      <c r="U1681">
        <f>N1681-G1681*LTP3!$D$4/k_n</f>
        <v/>
      </c>
      <c r="V1681">
        <f>O1681-H1681*LTP3!$D$4/k_n</f>
        <v/>
      </c>
      <c r="W1681">
        <f>((LTP3!$D$5)*((P1681)*(Q1681)-(R1681)*(R1681))-(S1681)*((S1681)*(Q1681)-(R1681)*(T1681))+(T1681)*((S1681)*(R1681)-(P1681)*(T1681)))</f>
        <v/>
      </c>
      <c r="X1681">
        <f>IF(ABS(W1681)&gt;1E-12,((LTP3!$D$6)*((P1681)*(Q1681)-(R1681)*(R1681))-(S1681)*((U1681)*(Q1681)-(R1681)*(V1681))+(T1681)*((U1681)*(R1681)-(P1681)*(V1681)))/W1681,0)</f>
        <v/>
      </c>
      <c r="Y1681">
        <f>IF(ABS(W1681)&gt;1E-12,((LTP3!$D$5)*((U1681)*(Q1681)-(R1681)*(V1681))-(LTP3!$D$6)*((S1681)*(Q1681)-(R1681)*(T1681))+(T1681)*((S1681)*(V1681)-(U1681)*(T1681)))/W1681,0)</f>
        <v/>
      </c>
      <c r="Z1681">
        <f>IF(ABS(W1681)&gt;1E-12,((LTP3!$D$5)*((P1681)*(V1681)-(U1681)*(R1681))-(S1681)*((S1681)*(V1681)-(U1681)*(T1681))+(LTP3!$D$6)*((S1681)*(R1681)-(P1681)*(T1681)))/W1681,0)</f>
        <v/>
      </c>
      <c r="AA1681">
        <f>LTP3!$D$7-X1681*LTP3!$D$6-Y1681*U1681-Z1681*V1681</f>
        <v/>
      </c>
      <c r="AB1681">
        <f>IF(AND(F1681,ABS(W1681)&gt;1E-12,Y1681&gt;0,Z1681&gt;0),AA1681,1E+300)</f>
        <v/>
      </c>
    </row>
    <row r="1682">
      <c r="A1682">
        <f>$B$3+$B$5*27</f>
        <v/>
      </c>
      <c r="B1682">
        <f>$B$3+$B$5*23</f>
        <v/>
      </c>
      <c r="C1682">
        <f>SUMPRODUCT(Calc!$K$3:$K$22*(Calc!$G$3:$G$22&lt;=A1682))</f>
        <v/>
      </c>
      <c r="D1682">
        <f>SUMPRODUCT(Calc!$K$3:$K$22*(Calc!$G$3:$G$22&gt;A1682)*(Calc!$G$3:$G$22&lt;B1682))</f>
        <v/>
      </c>
      <c r="E1682">
        <f>SUMPRODUCT(Calc!$K$3:$K$22*(Calc!$G$3:$G$22&gt;=B1682))</f>
        <v/>
      </c>
      <c r="F1682">
        <f>AND(k_n&gt;=5,B1682&gt;A1682+1E-9,C1682&gt;=2,D1682&gt;=1,E1682&gt;=2)</f>
        <v/>
      </c>
      <c r="G1682">
        <f>SUMPRODUCT(Calc!$K$3:$K$22*(Calc!$G$3:$G$22&gt;A1682)*(Calc!$G$3:$G$22-A1682))</f>
        <v/>
      </c>
      <c r="H1682">
        <f>SUMPRODUCT(Calc!$K$3:$K$22*(Calc!$G$3:$G$22&gt;B1682)*(Calc!$G$3:$G$22-B1682))</f>
        <v/>
      </c>
      <c r="I1682">
        <f>SUMPRODUCT(Calc!$K$3:$K$22*(Calc!$G$3:$G$22&gt;A1682)*(Calc!$G$3:$G$22-A1682)^2)</f>
        <v/>
      </c>
      <c r="J1682">
        <f>SUMPRODUCT(Calc!$K$3:$K$22*(Calc!$G$3:$G$22&gt;B1682)*(Calc!$G$3:$G$22-B1682)^2)</f>
        <v/>
      </c>
      <c r="K1682">
        <f>SUMPRODUCT(Calc!$K$3:$K$22*(Calc!$G$3:$G$22&gt;A1682)*(Calc!$G$3:$G$22-A1682)*(Calc!$G$3:$G$22&gt;B1682)*(Calc!$G$3:$G$22-B1682))</f>
        <v/>
      </c>
      <c r="L1682">
        <f>SUMPRODUCT(Calc!$K$3:$K$22*(Calc!$G$3:$G$22&gt;A1682)*(Calc!$G$3:$G$22-A1682)*Calc!$G$3:$G$22)</f>
        <v/>
      </c>
      <c r="M1682">
        <f>SUMPRODUCT(Calc!$K$3:$K$22*(Calc!$G$3:$G$22&gt;B1682)*(Calc!$G$3:$G$22-B1682)*Calc!$G$3:$G$22)</f>
        <v/>
      </c>
      <c r="N1682">
        <f>SUMPRODUCT(Calc!$K$3:$K$22*(Calc!$G$3:$G$22&gt;A1682)*(Calc!$G$3:$G$22-A1682)*Calc!$I$3:$I$22)</f>
        <v/>
      </c>
      <c r="O1682">
        <f>SUMPRODUCT(Calc!$K$3:$K$22*(Calc!$G$3:$G$22&gt;B1682)*(Calc!$G$3:$G$22-B1682)*Calc!$I$3:$I$22)</f>
        <v/>
      </c>
      <c r="P1682">
        <f>I1682-G1682^2/k_n</f>
        <v/>
      </c>
      <c r="Q1682">
        <f>J1682-H1682^2/k_n</f>
        <v/>
      </c>
      <c r="R1682">
        <f>K1682-G1682*H1682/k_n</f>
        <v/>
      </c>
      <c r="S1682">
        <f>L1682-LTP3!$D$3*G1682/k_n</f>
        <v/>
      </c>
      <c r="T1682">
        <f>M1682-LTP3!$D$3*H1682/k_n</f>
        <v/>
      </c>
      <c r="U1682">
        <f>N1682-G1682*LTP3!$D$4/k_n</f>
        <v/>
      </c>
      <c r="V1682">
        <f>O1682-H1682*LTP3!$D$4/k_n</f>
        <v/>
      </c>
      <c r="W1682">
        <f>((LTP3!$D$5)*((P1682)*(Q1682)-(R1682)*(R1682))-(S1682)*((S1682)*(Q1682)-(R1682)*(T1682))+(T1682)*((S1682)*(R1682)-(P1682)*(T1682)))</f>
        <v/>
      </c>
      <c r="X1682">
        <f>IF(ABS(W1682)&gt;1E-12,((LTP3!$D$6)*((P1682)*(Q1682)-(R1682)*(R1682))-(S1682)*((U1682)*(Q1682)-(R1682)*(V1682))+(T1682)*((U1682)*(R1682)-(P1682)*(V1682)))/W1682,0)</f>
        <v/>
      </c>
      <c r="Y1682">
        <f>IF(ABS(W1682)&gt;1E-12,((LTP3!$D$5)*((U1682)*(Q1682)-(R1682)*(V1682))-(LTP3!$D$6)*((S1682)*(Q1682)-(R1682)*(T1682))+(T1682)*((S1682)*(V1682)-(U1682)*(T1682)))/W1682,0)</f>
        <v/>
      </c>
      <c r="Z1682">
        <f>IF(ABS(W1682)&gt;1E-12,((LTP3!$D$5)*((P1682)*(V1682)-(U1682)*(R1682))-(S1682)*((S1682)*(V1682)-(U1682)*(T1682))+(LTP3!$D$6)*((S1682)*(R1682)-(P1682)*(T1682)))/W1682,0)</f>
        <v/>
      </c>
      <c r="AA1682">
        <f>LTP3!$D$7-X1682*LTP3!$D$6-Y1682*U1682-Z1682*V1682</f>
        <v/>
      </c>
      <c r="AB1682">
        <f>IF(AND(F1682,ABS(W1682)&gt;1E-12,Y1682&gt;0,Z1682&gt;0),AA1682,1E+300)</f>
        <v/>
      </c>
    </row>
    <row r="1683">
      <c r="A1683">
        <f>$B$3+$B$5*27</f>
        <v/>
      </c>
      <c r="B1683">
        <f>$B$3+$B$5*24</f>
        <v/>
      </c>
      <c r="C1683">
        <f>SUMPRODUCT(Calc!$K$3:$K$22*(Calc!$G$3:$G$22&lt;=A1683))</f>
        <v/>
      </c>
      <c r="D1683">
        <f>SUMPRODUCT(Calc!$K$3:$K$22*(Calc!$G$3:$G$22&gt;A1683)*(Calc!$G$3:$G$22&lt;B1683))</f>
        <v/>
      </c>
      <c r="E1683">
        <f>SUMPRODUCT(Calc!$K$3:$K$22*(Calc!$G$3:$G$22&gt;=B1683))</f>
        <v/>
      </c>
      <c r="F1683">
        <f>AND(k_n&gt;=5,B1683&gt;A1683+1E-9,C1683&gt;=2,D1683&gt;=1,E1683&gt;=2)</f>
        <v/>
      </c>
      <c r="G1683">
        <f>SUMPRODUCT(Calc!$K$3:$K$22*(Calc!$G$3:$G$22&gt;A1683)*(Calc!$G$3:$G$22-A1683))</f>
        <v/>
      </c>
      <c r="H1683">
        <f>SUMPRODUCT(Calc!$K$3:$K$22*(Calc!$G$3:$G$22&gt;B1683)*(Calc!$G$3:$G$22-B1683))</f>
        <v/>
      </c>
      <c r="I1683">
        <f>SUMPRODUCT(Calc!$K$3:$K$22*(Calc!$G$3:$G$22&gt;A1683)*(Calc!$G$3:$G$22-A1683)^2)</f>
        <v/>
      </c>
      <c r="J1683">
        <f>SUMPRODUCT(Calc!$K$3:$K$22*(Calc!$G$3:$G$22&gt;B1683)*(Calc!$G$3:$G$22-B1683)^2)</f>
        <v/>
      </c>
      <c r="K1683">
        <f>SUMPRODUCT(Calc!$K$3:$K$22*(Calc!$G$3:$G$22&gt;A1683)*(Calc!$G$3:$G$22-A1683)*(Calc!$G$3:$G$22&gt;B1683)*(Calc!$G$3:$G$22-B1683))</f>
        <v/>
      </c>
      <c r="L1683">
        <f>SUMPRODUCT(Calc!$K$3:$K$22*(Calc!$G$3:$G$22&gt;A1683)*(Calc!$G$3:$G$22-A1683)*Calc!$G$3:$G$22)</f>
        <v/>
      </c>
      <c r="M1683">
        <f>SUMPRODUCT(Calc!$K$3:$K$22*(Calc!$G$3:$G$22&gt;B1683)*(Calc!$G$3:$G$22-B1683)*Calc!$G$3:$G$22)</f>
        <v/>
      </c>
      <c r="N1683">
        <f>SUMPRODUCT(Calc!$K$3:$K$22*(Calc!$G$3:$G$22&gt;A1683)*(Calc!$G$3:$G$22-A1683)*Calc!$I$3:$I$22)</f>
        <v/>
      </c>
      <c r="O1683">
        <f>SUMPRODUCT(Calc!$K$3:$K$22*(Calc!$G$3:$G$22&gt;B1683)*(Calc!$G$3:$G$22-B1683)*Calc!$I$3:$I$22)</f>
        <v/>
      </c>
      <c r="P1683">
        <f>I1683-G1683^2/k_n</f>
        <v/>
      </c>
      <c r="Q1683">
        <f>J1683-H1683^2/k_n</f>
        <v/>
      </c>
      <c r="R1683">
        <f>K1683-G1683*H1683/k_n</f>
        <v/>
      </c>
      <c r="S1683">
        <f>L1683-LTP3!$D$3*G1683/k_n</f>
        <v/>
      </c>
      <c r="T1683">
        <f>M1683-LTP3!$D$3*H1683/k_n</f>
        <v/>
      </c>
      <c r="U1683">
        <f>N1683-G1683*LTP3!$D$4/k_n</f>
        <v/>
      </c>
      <c r="V1683">
        <f>O1683-H1683*LTP3!$D$4/k_n</f>
        <v/>
      </c>
      <c r="W1683">
        <f>((LTP3!$D$5)*((P1683)*(Q1683)-(R1683)*(R1683))-(S1683)*((S1683)*(Q1683)-(R1683)*(T1683))+(T1683)*((S1683)*(R1683)-(P1683)*(T1683)))</f>
        <v/>
      </c>
      <c r="X1683">
        <f>IF(ABS(W1683)&gt;1E-12,((LTP3!$D$6)*((P1683)*(Q1683)-(R1683)*(R1683))-(S1683)*((U1683)*(Q1683)-(R1683)*(V1683))+(T1683)*((U1683)*(R1683)-(P1683)*(V1683)))/W1683,0)</f>
        <v/>
      </c>
      <c r="Y1683">
        <f>IF(ABS(W1683)&gt;1E-12,((LTP3!$D$5)*((U1683)*(Q1683)-(R1683)*(V1683))-(LTP3!$D$6)*((S1683)*(Q1683)-(R1683)*(T1683))+(T1683)*((S1683)*(V1683)-(U1683)*(T1683)))/W1683,0)</f>
        <v/>
      </c>
      <c r="Z1683">
        <f>IF(ABS(W1683)&gt;1E-12,((LTP3!$D$5)*((P1683)*(V1683)-(U1683)*(R1683))-(S1683)*((S1683)*(V1683)-(U1683)*(T1683))+(LTP3!$D$6)*((S1683)*(R1683)-(P1683)*(T1683)))/W1683,0)</f>
        <v/>
      </c>
      <c r="AA1683">
        <f>LTP3!$D$7-X1683*LTP3!$D$6-Y1683*U1683-Z1683*V1683</f>
        <v/>
      </c>
      <c r="AB1683">
        <f>IF(AND(F1683,ABS(W1683)&gt;1E-12,Y1683&gt;0,Z1683&gt;0),AA1683,1E+300)</f>
        <v/>
      </c>
    </row>
    <row r="1684">
      <c r="A1684">
        <f>$B$3+$B$5*27</f>
        <v/>
      </c>
      <c r="B1684">
        <f>$B$3+$B$5*25</f>
        <v/>
      </c>
      <c r="C1684">
        <f>SUMPRODUCT(Calc!$K$3:$K$22*(Calc!$G$3:$G$22&lt;=A1684))</f>
        <v/>
      </c>
      <c r="D1684">
        <f>SUMPRODUCT(Calc!$K$3:$K$22*(Calc!$G$3:$G$22&gt;A1684)*(Calc!$G$3:$G$22&lt;B1684))</f>
        <v/>
      </c>
      <c r="E1684">
        <f>SUMPRODUCT(Calc!$K$3:$K$22*(Calc!$G$3:$G$22&gt;=B1684))</f>
        <v/>
      </c>
      <c r="F1684">
        <f>AND(k_n&gt;=5,B1684&gt;A1684+1E-9,C1684&gt;=2,D1684&gt;=1,E1684&gt;=2)</f>
        <v/>
      </c>
      <c r="G1684">
        <f>SUMPRODUCT(Calc!$K$3:$K$22*(Calc!$G$3:$G$22&gt;A1684)*(Calc!$G$3:$G$22-A1684))</f>
        <v/>
      </c>
      <c r="H1684">
        <f>SUMPRODUCT(Calc!$K$3:$K$22*(Calc!$G$3:$G$22&gt;B1684)*(Calc!$G$3:$G$22-B1684))</f>
        <v/>
      </c>
      <c r="I1684">
        <f>SUMPRODUCT(Calc!$K$3:$K$22*(Calc!$G$3:$G$22&gt;A1684)*(Calc!$G$3:$G$22-A1684)^2)</f>
        <v/>
      </c>
      <c r="J1684">
        <f>SUMPRODUCT(Calc!$K$3:$K$22*(Calc!$G$3:$G$22&gt;B1684)*(Calc!$G$3:$G$22-B1684)^2)</f>
        <v/>
      </c>
      <c r="K1684">
        <f>SUMPRODUCT(Calc!$K$3:$K$22*(Calc!$G$3:$G$22&gt;A1684)*(Calc!$G$3:$G$22-A1684)*(Calc!$G$3:$G$22&gt;B1684)*(Calc!$G$3:$G$22-B1684))</f>
        <v/>
      </c>
      <c r="L1684">
        <f>SUMPRODUCT(Calc!$K$3:$K$22*(Calc!$G$3:$G$22&gt;A1684)*(Calc!$G$3:$G$22-A1684)*Calc!$G$3:$G$22)</f>
        <v/>
      </c>
      <c r="M1684">
        <f>SUMPRODUCT(Calc!$K$3:$K$22*(Calc!$G$3:$G$22&gt;B1684)*(Calc!$G$3:$G$22-B1684)*Calc!$G$3:$G$22)</f>
        <v/>
      </c>
      <c r="N1684">
        <f>SUMPRODUCT(Calc!$K$3:$K$22*(Calc!$G$3:$G$22&gt;A1684)*(Calc!$G$3:$G$22-A1684)*Calc!$I$3:$I$22)</f>
        <v/>
      </c>
      <c r="O1684">
        <f>SUMPRODUCT(Calc!$K$3:$K$22*(Calc!$G$3:$G$22&gt;B1684)*(Calc!$G$3:$G$22-B1684)*Calc!$I$3:$I$22)</f>
        <v/>
      </c>
      <c r="P1684">
        <f>I1684-G1684^2/k_n</f>
        <v/>
      </c>
      <c r="Q1684">
        <f>J1684-H1684^2/k_n</f>
        <v/>
      </c>
      <c r="R1684">
        <f>K1684-G1684*H1684/k_n</f>
        <v/>
      </c>
      <c r="S1684">
        <f>L1684-LTP3!$D$3*G1684/k_n</f>
        <v/>
      </c>
      <c r="T1684">
        <f>M1684-LTP3!$D$3*H1684/k_n</f>
        <v/>
      </c>
      <c r="U1684">
        <f>N1684-G1684*LTP3!$D$4/k_n</f>
        <v/>
      </c>
      <c r="V1684">
        <f>O1684-H1684*LTP3!$D$4/k_n</f>
        <v/>
      </c>
      <c r="W1684">
        <f>((LTP3!$D$5)*((P1684)*(Q1684)-(R1684)*(R1684))-(S1684)*((S1684)*(Q1684)-(R1684)*(T1684))+(T1684)*((S1684)*(R1684)-(P1684)*(T1684)))</f>
        <v/>
      </c>
      <c r="X1684">
        <f>IF(ABS(W1684)&gt;1E-12,((LTP3!$D$6)*((P1684)*(Q1684)-(R1684)*(R1684))-(S1684)*((U1684)*(Q1684)-(R1684)*(V1684))+(T1684)*((U1684)*(R1684)-(P1684)*(V1684)))/W1684,0)</f>
        <v/>
      </c>
      <c r="Y1684">
        <f>IF(ABS(W1684)&gt;1E-12,((LTP3!$D$5)*((U1684)*(Q1684)-(R1684)*(V1684))-(LTP3!$D$6)*((S1684)*(Q1684)-(R1684)*(T1684))+(T1684)*((S1684)*(V1684)-(U1684)*(T1684)))/W1684,0)</f>
        <v/>
      </c>
      <c r="Z1684">
        <f>IF(ABS(W1684)&gt;1E-12,((LTP3!$D$5)*((P1684)*(V1684)-(U1684)*(R1684))-(S1684)*((S1684)*(V1684)-(U1684)*(T1684))+(LTP3!$D$6)*((S1684)*(R1684)-(P1684)*(T1684)))/W1684,0)</f>
        <v/>
      </c>
      <c r="AA1684">
        <f>LTP3!$D$7-X1684*LTP3!$D$6-Y1684*U1684-Z1684*V1684</f>
        <v/>
      </c>
      <c r="AB1684">
        <f>IF(AND(F1684,ABS(W1684)&gt;1E-12,Y1684&gt;0,Z1684&gt;0),AA1684,1E+300)</f>
        <v/>
      </c>
    </row>
    <row r="1685">
      <c r="A1685">
        <f>$B$3+$B$5*27</f>
        <v/>
      </c>
      <c r="B1685">
        <f>$B$3+$B$5*26</f>
        <v/>
      </c>
      <c r="C1685">
        <f>SUMPRODUCT(Calc!$K$3:$K$22*(Calc!$G$3:$G$22&lt;=A1685))</f>
        <v/>
      </c>
      <c r="D1685">
        <f>SUMPRODUCT(Calc!$K$3:$K$22*(Calc!$G$3:$G$22&gt;A1685)*(Calc!$G$3:$G$22&lt;B1685))</f>
        <v/>
      </c>
      <c r="E1685">
        <f>SUMPRODUCT(Calc!$K$3:$K$22*(Calc!$G$3:$G$22&gt;=B1685))</f>
        <v/>
      </c>
      <c r="F1685">
        <f>AND(k_n&gt;=5,B1685&gt;A1685+1E-9,C1685&gt;=2,D1685&gt;=1,E1685&gt;=2)</f>
        <v/>
      </c>
      <c r="G1685">
        <f>SUMPRODUCT(Calc!$K$3:$K$22*(Calc!$G$3:$G$22&gt;A1685)*(Calc!$G$3:$G$22-A1685))</f>
        <v/>
      </c>
      <c r="H1685">
        <f>SUMPRODUCT(Calc!$K$3:$K$22*(Calc!$G$3:$G$22&gt;B1685)*(Calc!$G$3:$G$22-B1685))</f>
        <v/>
      </c>
      <c r="I1685">
        <f>SUMPRODUCT(Calc!$K$3:$K$22*(Calc!$G$3:$G$22&gt;A1685)*(Calc!$G$3:$G$22-A1685)^2)</f>
        <v/>
      </c>
      <c r="J1685">
        <f>SUMPRODUCT(Calc!$K$3:$K$22*(Calc!$G$3:$G$22&gt;B1685)*(Calc!$G$3:$G$22-B1685)^2)</f>
        <v/>
      </c>
      <c r="K1685">
        <f>SUMPRODUCT(Calc!$K$3:$K$22*(Calc!$G$3:$G$22&gt;A1685)*(Calc!$G$3:$G$22-A1685)*(Calc!$G$3:$G$22&gt;B1685)*(Calc!$G$3:$G$22-B1685))</f>
        <v/>
      </c>
      <c r="L1685">
        <f>SUMPRODUCT(Calc!$K$3:$K$22*(Calc!$G$3:$G$22&gt;A1685)*(Calc!$G$3:$G$22-A1685)*Calc!$G$3:$G$22)</f>
        <v/>
      </c>
      <c r="M1685">
        <f>SUMPRODUCT(Calc!$K$3:$K$22*(Calc!$G$3:$G$22&gt;B1685)*(Calc!$G$3:$G$22-B1685)*Calc!$G$3:$G$22)</f>
        <v/>
      </c>
      <c r="N1685">
        <f>SUMPRODUCT(Calc!$K$3:$K$22*(Calc!$G$3:$G$22&gt;A1685)*(Calc!$G$3:$G$22-A1685)*Calc!$I$3:$I$22)</f>
        <v/>
      </c>
      <c r="O1685">
        <f>SUMPRODUCT(Calc!$K$3:$K$22*(Calc!$G$3:$G$22&gt;B1685)*(Calc!$G$3:$G$22-B1685)*Calc!$I$3:$I$22)</f>
        <v/>
      </c>
      <c r="P1685">
        <f>I1685-G1685^2/k_n</f>
        <v/>
      </c>
      <c r="Q1685">
        <f>J1685-H1685^2/k_n</f>
        <v/>
      </c>
      <c r="R1685">
        <f>K1685-G1685*H1685/k_n</f>
        <v/>
      </c>
      <c r="S1685">
        <f>L1685-LTP3!$D$3*G1685/k_n</f>
        <v/>
      </c>
      <c r="T1685">
        <f>M1685-LTP3!$D$3*H1685/k_n</f>
        <v/>
      </c>
      <c r="U1685">
        <f>N1685-G1685*LTP3!$D$4/k_n</f>
        <v/>
      </c>
      <c r="V1685">
        <f>O1685-H1685*LTP3!$D$4/k_n</f>
        <v/>
      </c>
      <c r="W1685">
        <f>((LTP3!$D$5)*((P1685)*(Q1685)-(R1685)*(R1685))-(S1685)*((S1685)*(Q1685)-(R1685)*(T1685))+(T1685)*((S1685)*(R1685)-(P1685)*(T1685)))</f>
        <v/>
      </c>
      <c r="X1685">
        <f>IF(ABS(W1685)&gt;1E-12,((LTP3!$D$6)*((P1685)*(Q1685)-(R1685)*(R1685))-(S1685)*((U1685)*(Q1685)-(R1685)*(V1685))+(T1685)*((U1685)*(R1685)-(P1685)*(V1685)))/W1685,0)</f>
        <v/>
      </c>
      <c r="Y1685">
        <f>IF(ABS(W1685)&gt;1E-12,((LTP3!$D$5)*((U1685)*(Q1685)-(R1685)*(V1685))-(LTP3!$D$6)*((S1685)*(Q1685)-(R1685)*(T1685))+(T1685)*((S1685)*(V1685)-(U1685)*(T1685)))/W1685,0)</f>
        <v/>
      </c>
      <c r="Z1685">
        <f>IF(ABS(W1685)&gt;1E-12,((LTP3!$D$5)*((P1685)*(V1685)-(U1685)*(R1685))-(S1685)*((S1685)*(V1685)-(U1685)*(T1685))+(LTP3!$D$6)*((S1685)*(R1685)-(P1685)*(T1685)))/W1685,0)</f>
        <v/>
      </c>
      <c r="AA1685">
        <f>LTP3!$D$7-X1685*LTP3!$D$6-Y1685*U1685-Z1685*V1685</f>
        <v/>
      </c>
      <c r="AB1685">
        <f>IF(AND(F1685,ABS(W1685)&gt;1E-12,Y1685&gt;0,Z1685&gt;0),AA1685,1E+300)</f>
        <v/>
      </c>
    </row>
    <row r="1686">
      <c r="A1686">
        <f>$B$3+$B$5*27</f>
        <v/>
      </c>
      <c r="B1686">
        <f>$B$3+$B$5*27</f>
        <v/>
      </c>
      <c r="C1686">
        <f>SUMPRODUCT(Calc!$K$3:$K$22*(Calc!$G$3:$G$22&lt;=A1686))</f>
        <v/>
      </c>
      <c r="D1686">
        <f>SUMPRODUCT(Calc!$K$3:$K$22*(Calc!$G$3:$G$22&gt;A1686)*(Calc!$G$3:$G$22&lt;B1686))</f>
        <v/>
      </c>
      <c r="E1686">
        <f>SUMPRODUCT(Calc!$K$3:$K$22*(Calc!$G$3:$G$22&gt;=B1686))</f>
        <v/>
      </c>
      <c r="F1686">
        <f>AND(k_n&gt;=5,B1686&gt;A1686+1E-9,C1686&gt;=2,D1686&gt;=1,E1686&gt;=2)</f>
        <v/>
      </c>
      <c r="G1686">
        <f>SUMPRODUCT(Calc!$K$3:$K$22*(Calc!$G$3:$G$22&gt;A1686)*(Calc!$G$3:$G$22-A1686))</f>
        <v/>
      </c>
      <c r="H1686">
        <f>SUMPRODUCT(Calc!$K$3:$K$22*(Calc!$G$3:$G$22&gt;B1686)*(Calc!$G$3:$G$22-B1686))</f>
        <v/>
      </c>
      <c r="I1686">
        <f>SUMPRODUCT(Calc!$K$3:$K$22*(Calc!$G$3:$G$22&gt;A1686)*(Calc!$G$3:$G$22-A1686)^2)</f>
        <v/>
      </c>
      <c r="J1686">
        <f>SUMPRODUCT(Calc!$K$3:$K$22*(Calc!$G$3:$G$22&gt;B1686)*(Calc!$G$3:$G$22-B1686)^2)</f>
        <v/>
      </c>
      <c r="K1686">
        <f>SUMPRODUCT(Calc!$K$3:$K$22*(Calc!$G$3:$G$22&gt;A1686)*(Calc!$G$3:$G$22-A1686)*(Calc!$G$3:$G$22&gt;B1686)*(Calc!$G$3:$G$22-B1686))</f>
        <v/>
      </c>
      <c r="L1686">
        <f>SUMPRODUCT(Calc!$K$3:$K$22*(Calc!$G$3:$G$22&gt;A1686)*(Calc!$G$3:$G$22-A1686)*Calc!$G$3:$G$22)</f>
        <v/>
      </c>
      <c r="M1686">
        <f>SUMPRODUCT(Calc!$K$3:$K$22*(Calc!$G$3:$G$22&gt;B1686)*(Calc!$G$3:$G$22-B1686)*Calc!$G$3:$G$22)</f>
        <v/>
      </c>
      <c r="N1686">
        <f>SUMPRODUCT(Calc!$K$3:$K$22*(Calc!$G$3:$G$22&gt;A1686)*(Calc!$G$3:$G$22-A1686)*Calc!$I$3:$I$22)</f>
        <v/>
      </c>
      <c r="O1686">
        <f>SUMPRODUCT(Calc!$K$3:$K$22*(Calc!$G$3:$G$22&gt;B1686)*(Calc!$G$3:$G$22-B1686)*Calc!$I$3:$I$22)</f>
        <v/>
      </c>
      <c r="P1686">
        <f>I1686-G1686^2/k_n</f>
        <v/>
      </c>
      <c r="Q1686">
        <f>J1686-H1686^2/k_n</f>
        <v/>
      </c>
      <c r="R1686">
        <f>K1686-G1686*H1686/k_n</f>
        <v/>
      </c>
      <c r="S1686">
        <f>L1686-LTP3!$D$3*G1686/k_n</f>
        <v/>
      </c>
      <c r="T1686">
        <f>M1686-LTP3!$D$3*H1686/k_n</f>
        <v/>
      </c>
      <c r="U1686">
        <f>N1686-G1686*LTP3!$D$4/k_n</f>
        <v/>
      </c>
      <c r="V1686">
        <f>O1686-H1686*LTP3!$D$4/k_n</f>
        <v/>
      </c>
      <c r="W1686">
        <f>((LTP3!$D$5)*((P1686)*(Q1686)-(R1686)*(R1686))-(S1686)*((S1686)*(Q1686)-(R1686)*(T1686))+(T1686)*((S1686)*(R1686)-(P1686)*(T1686)))</f>
        <v/>
      </c>
      <c r="X1686">
        <f>IF(ABS(W1686)&gt;1E-12,((LTP3!$D$6)*((P1686)*(Q1686)-(R1686)*(R1686))-(S1686)*((U1686)*(Q1686)-(R1686)*(V1686))+(T1686)*((U1686)*(R1686)-(P1686)*(V1686)))/W1686,0)</f>
        <v/>
      </c>
      <c r="Y1686">
        <f>IF(ABS(W1686)&gt;1E-12,((LTP3!$D$5)*((U1686)*(Q1686)-(R1686)*(V1686))-(LTP3!$D$6)*((S1686)*(Q1686)-(R1686)*(T1686))+(T1686)*((S1686)*(V1686)-(U1686)*(T1686)))/W1686,0)</f>
        <v/>
      </c>
      <c r="Z1686">
        <f>IF(ABS(W1686)&gt;1E-12,((LTP3!$D$5)*((P1686)*(V1686)-(U1686)*(R1686))-(S1686)*((S1686)*(V1686)-(U1686)*(T1686))+(LTP3!$D$6)*((S1686)*(R1686)-(P1686)*(T1686)))/W1686,0)</f>
        <v/>
      </c>
      <c r="AA1686">
        <f>LTP3!$D$7-X1686*LTP3!$D$6-Y1686*U1686-Z1686*V1686</f>
        <v/>
      </c>
      <c r="AB1686">
        <f>IF(AND(F1686,ABS(W1686)&gt;1E-12,Y1686&gt;0,Z1686&gt;0),AA1686,1E+300)</f>
        <v/>
      </c>
    </row>
    <row r="1687">
      <c r="A1687">
        <f>$B$3+$B$5*27</f>
        <v/>
      </c>
      <c r="B1687">
        <f>$B$3+$B$5*28</f>
        <v/>
      </c>
      <c r="C1687">
        <f>SUMPRODUCT(Calc!$K$3:$K$22*(Calc!$G$3:$G$22&lt;=A1687))</f>
        <v/>
      </c>
      <c r="D1687">
        <f>SUMPRODUCT(Calc!$K$3:$K$22*(Calc!$G$3:$G$22&gt;A1687)*(Calc!$G$3:$G$22&lt;B1687))</f>
        <v/>
      </c>
      <c r="E1687">
        <f>SUMPRODUCT(Calc!$K$3:$K$22*(Calc!$G$3:$G$22&gt;=B1687))</f>
        <v/>
      </c>
      <c r="F1687">
        <f>AND(k_n&gt;=5,B1687&gt;A1687+1E-9,C1687&gt;=2,D1687&gt;=1,E1687&gt;=2)</f>
        <v/>
      </c>
      <c r="G1687">
        <f>SUMPRODUCT(Calc!$K$3:$K$22*(Calc!$G$3:$G$22&gt;A1687)*(Calc!$G$3:$G$22-A1687))</f>
        <v/>
      </c>
      <c r="H1687">
        <f>SUMPRODUCT(Calc!$K$3:$K$22*(Calc!$G$3:$G$22&gt;B1687)*(Calc!$G$3:$G$22-B1687))</f>
        <v/>
      </c>
      <c r="I1687">
        <f>SUMPRODUCT(Calc!$K$3:$K$22*(Calc!$G$3:$G$22&gt;A1687)*(Calc!$G$3:$G$22-A1687)^2)</f>
        <v/>
      </c>
      <c r="J1687">
        <f>SUMPRODUCT(Calc!$K$3:$K$22*(Calc!$G$3:$G$22&gt;B1687)*(Calc!$G$3:$G$22-B1687)^2)</f>
        <v/>
      </c>
      <c r="K1687">
        <f>SUMPRODUCT(Calc!$K$3:$K$22*(Calc!$G$3:$G$22&gt;A1687)*(Calc!$G$3:$G$22-A1687)*(Calc!$G$3:$G$22&gt;B1687)*(Calc!$G$3:$G$22-B1687))</f>
        <v/>
      </c>
      <c r="L1687">
        <f>SUMPRODUCT(Calc!$K$3:$K$22*(Calc!$G$3:$G$22&gt;A1687)*(Calc!$G$3:$G$22-A1687)*Calc!$G$3:$G$22)</f>
        <v/>
      </c>
      <c r="M1687">
        <f>SUMPRODUCT(Calc!$K$3:$K$22*(Calc!$G$3:$G$22&gt;B1687)*(Calc!$G$3:$G$22-B1687)*Calc!$G$3:$G$22)</f>
        <v/>
      </c>
      <c r="N1687">
        <f>SUMPRODUCT(Calc!$K$3:$K$22*(Calc!$G$3:$G$22&gt;A1687)*(Calc!$G$3:$G$22-A1687)*Calc!$I$3:$I$22)</f>
        <v/>
      </c>
      <c r="O1687">
        <f>SUMPRODUCT(Calc!$K$3:$K$22*(Calc!$G$3:$G$22&gt;B1687)*(Calc!$G$3:$G$22-B1687)*Calc!$I$3:$I$22)</f>
        <v/>
      </c>
      <c r="P1687">
        <f>I1687-G1687^2/k_n</f>
        <v/>
      </c>
      <c r="Q1687">
        <f>J1687-H1687^2/k_n</f>
        <v/>
      </c>
      <c r="R1687">
        <f>K1687-G1687*H1687/k_n</f>
        <v/>
      </c>
      <c r="S1687">
        <f>L1687-LTP3!$D$3*G1687/k_n</f>
        <v/>
      </c>
      <c r="T1687">
        <f>M1687-LTP3!$D$3*H1687/k_n</f>
        <v/>
      </c>
      <c r="U1687">
        <f>N1687-G1687*LTP3!$D$4/k_n</f>
        <v/>
      </c>
      <c r="V1687">
        <f>O1687-H1687*LTP3!$D$4/k_n</f>
        <v/>
      </c>
      <c r="W1687">
        <f>((LTP3!$D$5)*((P1687)*(Q1687)-(R1687)*(R1687))-(S1687)*((S1687)*(Q1687)-(R1687)*(T1687))+(T1687)*((S1687)*(R1687)-(P1687)*(T1687)))</f>
        <v/>
      </c>
      <c r="X1687">
        <f>IF(ABS(W1687)&gt;1E-12,((LTP3!$D$6)*((P1687)*(Q1687)-(R1687)*(R1687))-(S1687)*((U1687)*(Q1687)-(R1687)*(V1687))+(T1687)*((U1687)*(R1687)-(P1687)*(V1687)))/W1687,0)</f>
        <v/>
      </c>
      <c r="Y1687">
        <f>IF(ABS(W1687)&gt;1E-12,((LTP3!$D$5)*((U1687)*(Q1687)-(R1687)*(V1687))-(LTP3!$D$6)*((S1687)*(Q1687)-(R1687)*(T1687))+(T1687)*((S1687)*(V1687)-(U1687)*(T1687)))/W1687,0)</f>
        <v/>
      </c>
      <c r="Z1687">
        <f>IF(ABS(W1687)&gt;1E-12,((LTP3!$D$5)*((P1687)*(V1687)-(U1687)*(R1687))-(S1687)*((S1687)*(V1687)-(U1687)*(T1687))+(LTP3!$D$6)*((S1687)*(R1687)-(P1687)*(T1687)))/W1687,0)</f>
        <v/>
      </c>
      <c r="AA1687">
        <f>LTP3!$D$7-X1687*LTP3!$D$6-Y1687*U1687-Z1687*V1687</f>
        <v/>
      </c>
      <c r="AB1687">
        <f>IF(AND(F1687,ABS(W1687)&gt;1E-12,Y1687&gt;0,Z1687&gt;0),AA1687,1E+300)</f>
        <v/>
      </c>
    </row>
    <row r="1688">
      <c r="A1688">
        <f>$B$3+$B$5*27</f>
        <v/>
      </c>
      <c r="B1688">
        <f>$B$3+$B$5*29</f>
        <v/>
      </c>
      <c r="C1688">
        <f>SUMPRODUCT(Calc!$K$3:$K$22*(Calc!$G$3:$G$22&lt;=A1688))</f>
        <v/>
      </c>
      <c r="D1688">
        <f>SUMPRODUCT(Calc!$K$3:$K$22*(Calc!$G$3:$G$22&gt;A1688)*(Calc!$G$3:$G$22&lt;B1688))</f>
        <v/>
      </c>
      <c r="E1688">
        <f>SUMPRODUCT(Calc!$K$3:$K$22*(Calc!$G$3:$G$22&gt;=B1688))</f>
        <v/>
      </c>
      <c r="F1688">
        <f>AND(k_n&gt;=5,B1688&gt;A1688+1E-9,C1688&gt;=2,D1688&gt;=1,E1688&gt;=2)</f>
        <v/>
      </c>
      <c r="G1688">
        <f>SUMPRODUCT(Calc!$K$3:$K$22*(Calc!$G$3:$G$22&gt;A1688)*(Calc!$G$3:$G$22-A1688))</f>
        <v/>
      </c>
      <c r="H1688">
        <f>SUMPRODUCT(Calc!$K$3:$K$22*(Calc!$G$3:$G$22&gt;B1688)*(Calc!$G$3:$G$22-B1688))</f>
        <v/>
      </c>
      <c r="I1688">
        <f>SUMPRODUCT(Calc!$K$3:$K$22*(Calc!$G$3:$G$22&gt;A1688)*(Calc!$G$3:$G$22-A1688)^2)</f>
        <v/>
      </c>
      <c r="J1688">
        <f>SUMPRODUCT(Calc!$K$3:$K$22*(Calc!$G$3:$G$22&gt;B1688)*(Calc!$G$3:$G$22-B1688)^2)</f>
        <v/>
      </c>
      <c r="K1688">
        <f>SUMPRODUCT(Calc!$K$3:$K$22*(Calc!$G$3:$G$22&gt;A1688)*(Calc!$G$3:$G$22-A1688)*(Calc!$G$3:$G$22&gt;B1688)*(Calc!$G$3:$G$22-B1688))</f>
        <v/>
      </c>
      <c r="L1688">
        <f>SUMPRODUCT(Calc!$K$3:$K$22*(Calc!$G$3:$G$22&gt;A1688)*(Calc!$G$3:$G$22-A1688)*Calc!$G$3:$G$22)</f>
        <v/>
      </c>
      <c r="M1688">
        <f>SUMPRODUCT(Calc!$K$3:$K$22*(Calc!$G$3:$G$22&gt;B1688)*(Calc!$G$3:$G$22-B1688)*Calc!$G$3:$G$22)</f>
        <v/>
      </c>
      <c r="N1688">
        <f>SUMPRODUCT(Calc!$K$3:$K$22*(Calc!$G$3:$G$22&gt;A1688)*(Calc!$G$3:$G$22-A1688)*Calc!$I$3:$I$22)</f>
        <v/>
      </c>
      <c r="O1688">
        <f>SUMPRODUCT(Calc!$K$3:$K$22*(Calc!$G$3:$G$22&gt;B1688)*(Calc!$G$3:$G$22-B1688)*Calc!$I$3:$I$22)</f>
        <v/>
      </c>
      <c r="P1688">
        <f>I1688-G1688^2/k_n</f>
        <v/>
      </c>
      <c r="Q1688">
        <f>J1688-H1688^2/k_n</f>
        <v/>
      </c>
      <c r="R1688">
        <f>K1688-G1688*H1688/k_n</f>
        <v/>
      </c>
      <c r="S1688">
        <f>L1688-LTP3!$D$3*G1688/k_n</f>
        <v/>
      </c>
      <c r="T1688">
        <f>M1688-LTP3!$D$3*H1688/k_n</f>
        <v/>
      </c>
      <c r="U1688">
        <f>N1688-G1688*LTP3!$D$4/k_n</f>
        <v/>
      </c>
      <c r="V1688">
        <f>O1688-H1688*LTP3!$D$4/k_n</f>
        <v/>
      </c>
      <c r="W1688">
        <f>((LTP3!$D$5)*((P1688)*(Q1688)-(R1688)*(R1688))-(S1688)*((S1688)*(Q1688)-(R1688)*(T1688))+(T1688)*((S1688)*(R1688)-(P1688)*(T1688)))</f>
        <v/>
      </c>
      <c r="X1688">
        <f>IF(ABS(W1688)&gt;1E-12,((LTP3!$D$6)*((P1688)*(Q1688)-(R1688)*(R1688))-(S1688)*((U1688)*(Q1688)-(R1688)*(V1688))+(T1688)*((U1688)*(R1688)-(P1688)*(V1688)))/W1688,0)</f>
        <v/>
      </c>
      <c r="Y1688">
        <f>IF(ABS(W1688)&gt;1E-12,((LTP3!$D$5)*((U1688)*(Q1688)-(R1688)*(V1688))-(LTP3!$D$6)*((S1688)*(Q1688)-(R1688)*(T1688))+(T1688)*((S1688)*(V1688)-(U1688)*(T1688)))/W1688,0)</f>
        <v/>
      </c>
      <c r="Z1688">
        <f>IF(ABS(W1688)&gt;1E-12,((LTP3!$D$5)*((P1688)*(V1688)-(U1688)*(R1688))-(S1688)*((S1688)*(V1688)-(U1688)*(T1688))+(LTP3!$D$6)*((S1688)*(R1688)-(P1688)*(T1688)))/W1688,0)</f>
        <v/>
      </c>
      <c r="AA1688">
        <f>LTP3!$D$7-X1688*LTP3!$D$6-Y1688*U1688-Z1688*V1688</f>
        <v/>
      </c>
      <c r="AB1688">
        <f>IF(AND(F1688,ABS(W1688)&gt;1E-12,Y1688&gt;0,Z1688&gt;0),AA1688,1E+300)</f>
        <v/>
      </c>
    </row>
    <row r="1689">
      <c r="A1689">
        <f>$B$3+$B$5*27</f>
        <v/>
      </c>
      <c r="B1689">
        <f>$B$3+$B$5*30</f>
        <v/>
      </c>
      <c r="C1689">
        <f>SUMPRODUCT(Calc!$K$3:$K$22*(Calc!$G$3:$G$22&lt;=A1689))</f>
        <v/>
      </c>
      <c r="D1689">
        <f>SUMPRODUCT(Calc!$K$3:$K$22*(Calc!$G$3:$G$22&gt;A1689)*(Calc!$G$3:$G$22&lt;B1689))</f>
        <v/>
      </c>
      <c r="E1689">
        <f>SUMPRODUCT(Calc!$K$3:$K$22*(Calc!$G$3:$G$22&gt;=B1689))</f>
        <v/>
      </c>
      <c r="F1689">
        <f>AND(k_n&gt;=5,B1689&gt;A1689+1E-9,C1689&gt;=2,D1689&gt;=1,E1689&gt;=2)</f>
        <v/>
      </c>
      <c r="G1689">
        <f>SUMPRODUCT(Calc!$K$3:$K$22*(Calc!$G$3:$G$22&gt;A1689)*(Calc!$G$3:$G$22-A1689))</f>
        <v/>
      </c>
      <c r="H1689">
        <f>SUMPRODUCT(Calc!$K$3:$K$22*(Calc!$G$3:$G$22&gt;B1689)*(Calc!$G$3:$G$22-B1689))</f>
        <v/>
      </c>
      <c r="I1689">
        <f>SUMPRODUCT(Calc!$K$3:$K$22*(Calc!$G$3:$G$22&gt;A1689)*(Calc!$G$3:$G$22-A1689)^2)</f>
        <v/>
      </c>
      <c r="J1689">
        <f>SUMPRODUCT(Calc!$K$3:$K$22*(Calc!$G$3:$G$22&gt;B1689)*(Calc!$G$3:$G$22-B1689)^2)</f>
        <v/>
      </c>
      <c r="K1689">
        <f>SUMPRODUCT(Calc!$K$3:$K$22*(Calc!$G$3:$G$22&gt;A1689)*(Calc!$G$3:$G$22-A1689)*(Calc!$G$3:$G$22&gt;B1689)*(Calc!$G$3:$G$22-B1689))</f>
        <v/>
      </c>
      <c r="L1689">
        <f>SUMPRODUCT(Calc!$K$3:$K$22*(Calc!$G$3:$G$22&gt;A1689)*(Calc!$G$3:$G$22-A1689)*Calc!$G$3:$G$22)</f>
        <v/>
      </c>
      <c r="M1689">
        <f>SUMPRODUCT(Calc!$K$3:$K$22*(Calc!$G$3:$G$22&gt;B1689)*(Calc!$G$3:$G$22-B1689)*Calc!$G$3:$G$22)</f>
        <v/>
      </c>
      <c r="N1689">
        <f>SUMPRODUCT(Calc!$K$3:$K$22*(Calc!$G$3:$G$22&gt;A1689)*(Calc!$G$3:$G$22-A1689)*Calc!$I$3:$I$22)</f>
        <v/>
      </c>
      <c r="O1689">
        <f>SUMPRODUCT(Calc!$K$3:$K$22*(Calc!$G$3:$G$22&gt;B1689)*(Calc!$G$3:$G$22-B1689)*Calc!$I$3:$I$22)</f>
        <v/>
      </c>
      <c r="P1689">
        <f>I1689-G1689^2/k_n</f>
        <v/>
      </c>
      <c r="Q1689">
        <f>J1689-H1689^2/k_n</f>
        <v/>
      </c>
      <c r="R1689">
        <f>K1689-G1689*H1689/k_n</f>
        <v/>
      </c>
      <c r="S1689">
        <f>L1689-LTP3!$D$3*G1689/k_n</f>
        <v/>
      </c>
      <c r="T1689">
        <f>M1689-LTP3!$D$3*H1689/k_n</f>
        <v/>
      </c>
      <c r="U1689">
        <f>N1689-G1689*LTP3!$D$4/k_n</f>
        <v/>
      </c>
      <c r="V1689">
        <f>O1689-H1689*LTP3!$D$4/k_n</f>
        <v/>
      </c>
      <c r="W1689">
        <f>((LTP3!$D$5)*((P1689)*(Q1689)-(R1689)*(R1689))-(S1689)*((S1689)*(Q1689)-(R1689)*(T1689))+(T1689)*((S1689)*(R1689)-(P1689)*(T1689)))</f>
        <v/>
      </c>
      <c r="X1689">
        <f>IF(ABS(W1689)&gt;1E-12,((LTP3!$D$6)*((P1689)*(Q1689)-(R1689)*(R1689))-(S1689)*((U1689)*(Q1689)-(R1689)*(V1689))+(T1689)*((U1689)*(R1689)-(P1689)*(V1689)))/W1689,0)</f>
        <v/>
      </c>
      <c r="Y1689">
        <f>IF(ABS(W1689)&gt;1E-12,((LTP3!$D$5)*((U1689)*(Q1689)-(R1689)*(V1689))-(LTP3!$D$6)*((S1689)*(Q1689)-(R1689)*(T1689))+(T1689)*((S1689)*(V1689)-(U1689)*(T1689)))/W1689,0)</f>
        <v/>
      </c>
      <c r="Z1689">
        <f>IF(ABS(W1689)&gt;1E-12,((LTP3!$D$5)*((P1689)*(V1689)-(U1689)*(R1689))-(S1689)*((S1689)*(V1689)-(U1689)*(T1689))+(LTP3!$D$6)*((S1689)*(R1689)-(P1689)*(T1689)))/W1689,0)</f>
        <v/>
      </c>
      <c r="AA1689">
        <f>LTP3!$D$7-X1689*LTP3!$D$6-Y1689*U1689-Z1689*V1689</f>
        <v/>
      </c>
      <c r="AB1689">
        <f>IF(AND(F1689,ABS(W1689)&gt;1E-12,Y1689&gt;0,Z1689&gt;0),AA1689,1E+300)</f>
        <v/>
      </c>
    </row>
    <row r="1690">
      <c r="A1690">
        <f>$B$3+$B$5*27</f>
        <v/>
      </c>
      <c r="B1690">
        <f>$B$3+$B$5*31</f>
        <v/>
      </c>
      <c r="C1690">
        <f>SUMPRODUCT(Calc!$K$3:$K$22*(Calc!$G$3:$G$22&lt;=A1690))</f>
        <v/>
      </c>
      <c r="D1690">
        <f>SUMPRODUCT(Calc!$K$3:$K$22*(Calc!$G$3:$G$22&gt;A1690)*(Calc!$G$3:$G$22&lt;B1690))</f>
        <v/>
      </c>
      <c r="E1690">
        <f>SUMPRODUCT(Calc!$K$3:$K$22*(Calc!$G$3:$G$22&gt;=B1690))</f>
        <v/>
      </c>
      <c r="F1690">
        <f>AND(k_n&gt;=5,B1690&gt;A1690+1E-9,C1690&gt;=2,D1690&gt;=1,E1690&gt;=2)</f>
        <v/>
      </c>
      <c r="G1690">
        <f>SUMPRODUCT(Calc!$K$3:$K$22*(Calc!$G$3:$G$22&gt;A1690)*(Calc!$G$3:$G$22-A1690))</f>
        <v/>
      </c>
      <c r="H1690">
        <f>SUMPRODUCT(Calc!$K$3:$K$22*(Calc!$G$3:$G$22&gt;B1690)*(Calc!$G$3:$G$22-B1690))</f>
        <v/>
      </c>
      <c r="I1690">
        <f>SUMPRODUCT(Calc!$K$3:$K$22*(Calc!$G$3:$G$22&gt;A1690)*(Calc!$G$3:$G$22-A1690)^2)</f>
        <v/>
      </c>
      <c r="J1690">
        <f>SUMPRODUCT(Calc!$K$3:$K$22*(Calc!$G$3:$G$22&gt;B1690)*(Calc!$G$3:$G$22-B1690)^2)</f>
        <v/>
      </c>
      <c r="K1690">
        <f>SUMPRODUCT(Calc!$K$3:$K$22*(Calc!$G$3:$G$22&gt;A1690)*(Calc!$G$3:$G$22-A1690)*(Calc!$G$3:$G$22&gt;B1690)*(Calc!$G$3:$G$22-B1690))</f>
        <v/>
      </c>
      <c r="L1690">
        <f>SUMPRODUCT(Calc!$K$3:$K$22*(Calc!$G$3:$G$22&gt;A1690)*(Calc!$G$3:$G$22-A1690)*Calc!$G$3:$G$22)</f>
        <v/>
      </c>
      <c r="M1690">
        <f>SUMPRODUCT(Calc!$K$3:$K$22*(Calc!$G$3:$G$22&gt;B1690)*(Calc!$G$3:$G$22-B1690)*Calc!$G$3:$G$22)</f>
        <v/>
      </c>
      <c r="N1690">
        <f>SUMPRODUCT(Calc!$K$3:$K$22*(Calc!$G$3:$G$22&gt;A1690)*(Calc!$G$3:$G$22-A1690)*Calc!$I$3:$I$22)</f>
        <v/>
      </c>
      <c r="O1690">
        <f>SUMPRODUCT(Calc!$K$3:$K$22*(Calc!$G$3:$G$22&gt;B1690)*(Calc!$G$3:$G$22-B1690)*Calc!$I$3:$I$22)</f>
        <v/>
      </c>
      <c r="P1690">
        <f>I1690-G1690^2/k_n</f>
        <v/>
      </c>
      <c r="Q1690">
        <f>J1690-H1690^2/k_n</f>
        <v/>
      </c>
      <c r="R1690">
        <f>K1690-G1690*H1690/k_n</f>
        <v/>
      </c>
      <c r="S1690">
        <f>L1690-LTP3!$D$3*G1690/k_n</f>
        <v/>
      </c>
      <c r="T1690">
        <f>M1690-LTP3!$D$3*H1690/k_n</f>
        <v/>
      </c>
      <c r="U1690">
        <f>N1690-G1690*LTP3!$D$4/k_n</f>
        <v/>
      </c>
      <c r="V1690">
        <f>O1690-H1690*LTP3!$D$4/k_n</f>
        <v/>
      </c>
      <c r="W1690">
        <f>((LTP3!$D$5)*((P1690)*(Q1690)-(R1690)*(R1690))-(S1690)*((S1690)*(Q1690)-(R1690)*(T1690))+(T1690)*((S1690)*(R1690)-(P1690)*(T1690)))</f>
        <v/>
      </c>
      <c r="X1690">
        <f>IF(ABS(W1690)&gt;1E-12,((LTP3!$D$6)*((P1690)*(Q1690)-(R1690)*(R1690))-(S1690)*((U1690)*(Q1690)-(R1690)*(V1690))+(T1690)*((U1690)*(R1690)-(P1690)*(V1690)))/W1690,0)</f>
        <v/>
      </c>
      <c r="Y1690">
        <f>IF(ABS(W1690)&gt;1E-12,((LTP3!$D$5)*((U1690)*(Q1690)-(R1690)*(V1690))-(LTP3!$D$6)*((S1690)*(Q1690)-(R1690)*(T1690))+(T1690)*((S1690)*(V1690)-(U1690)*(T1690)))/W1690,0)</f>
        <v/>
      </c>
      <c r="Z1690">
        <f>IF(ABS(W1690)&gt;1E-12,((LTP3!$D$5)*((P1690)*(V1690)-(U1690)*(R1690))-(S1690)*((S1690)*(V1690)-(U1690)*(T1690))+(LTP3!$D$6)*((S1690)*(R1690)-(P1690)*(T1690)))/W1690,0)</f>
        <v/>
      </c>
      <c r="AA1690">
        <f>LTP3!$D$7-X1690*LTP3!$D$6-Y1690*U1690-Z1690*V1690</f>
        <v/>
      </c>
      <c r="AB1690">
        <f>IF(AND(F1690,ABS(W1690)&gt;1E-12,Y1690&gt;0,Z1690&gt;0),AA1690,1E+300)</f>
        <v/>
      </c>
    </row>
    <row r="1691">
      <c r="A1691">
        <f>$B$3+$B$5*27</f>
        <v/>
      </c>
      <c r="B1691">
        <f>$B$3+$B$5*32</f>
        <v/>
      </c>
      <c r="C1691">
        <f>SUMPRODUCT(Calc!$K$3:$K$22*(Calc!$G$3:$G$22&lt;=A1691))</f>
        <v/>
      </c>
      <c r="D1691">
        <f>SUMPRODUCT(Calc!$K$3:$K$22*(Calc!$G$3:$G$22&gt;A1691)*(Calc!$G$3:$G$22&lt;B1691))</f>
        <v/>
      </c>
      <c r="E1691">
        <f>SUMPRODUCT(Calc!$K$3:$K$22*(Calc!$G$3:$G$22&gt;=B1691))</f>
        <v/>
      </c>
      <c r="F1691">
        <f>AND(k_n&gt;=5,B1691&gt;A1691+1E-9,C1691&gt;=2,D1691&gt;=1,E1691&gt;=2)</f>
        <v/>
      </c>
      <c r="G1691">
        <f>SUMPRODUCT(Calc!$K$3:$K$22*(Calc!$G$3:$G$22&gt;A1691)*(Calc!$G$3:$G$22-A1691))</f>
        <v/>
      </c>
      <c r="H1691">
        <f>SUMPRODUCT(Calc!$K$3:$K$22*(Calc!$G$3:$G$22&gt;B1691)*(Calc!$G$3:$G$22-B1691))</f>
        <v/>
      </c>
      <c r="I1691">
        <f>SUMPRODUCT(Calc!$K$3:$K$22*(Calc!$G$3:$G$22&gt;A1691)*(Calc!$G$3:$G$22-A1691)^2)</f>
        <v/>
      </c>
      <c r="J1691">
        <f>SUMPRODUCT(Calc!$K$3:$K$22*(Calc!$G$3:$G$22&gt;B1691)*(Calc!$G$3:$G$22-B1691)^2)</f>
        <v/>
      </c>
      <c r="K1691">
        <f>SUMPRODUCT(Calc!$K$3:$K$22*(Calc!$G$3:$G$22&gt;A1691)*(Calc!$G$3:$G$22-A1691)*(Calc!$G$3:$G$22&gt;B1691)*(Calc!$G$3:$G$22-B1691))</f>
        <v/>
      </c>
      <c r="L1691">
        <f>SUMPRODUCT(Calc!$K$3:$K$22*(Calc!$G$3:$G$22&gt;A1691)*(Calc!$G$3:$G$22-A1691)*Calc!$G$3:$G$22)</f>
        <v/>
      </c>
      <c r="M1691">
        <f>SUMPRODUCT(Calc!$K$3:$K$22*(Calc!$G$3:$G$22&gt;B1691)*(Calc!$G$3:$G$22-B1691)*Calc!$G$3:$G$22)</f>
        <v/>
      </c>
      <c r="N1691">
        <f>SUMPRODUCT(Calc!$K$3:$K$22*(Calc!$G$3:$G$22&gt;A1691)*(Calc!$G$3:$G$22-A1691)*Calc!$I$3:$I$22)</f>
        <v/>
      </c>
      <c r="O1691">
        <f>SUMPRODUCT(Calc!$K$3:$K$22*(Calc!$G$3:$G$22&gt;B1691)*(Calc!$G$3:$G$22-B1691)*Calc!$I$3:$I$22)</f>
        <v/>
      </c>
      <c r="P1691">
        <f>I1691-G1691^2/k_n</f>
        <v/>
      </c>
      <c r="Q1691">
        <f>J1691-H1691^2/k_n</f>
        <v/>
      </c>
      <c r="R1691">
        <f>K1691-G1691*H1691/k_n</f>
        <v/>
      </c>
      <c r="S1691">
        <f>L1691-LTP3!$D$3*G1691/k_n</f>
        <v/>
      </c>
      <c r="T1691">
        <f>M1691-LTP3!$D$3*H1691/k_n</f>
        <v/>
      </c>
      <c r="U1691">
        <f>N1691-G1691*LTP3!$D$4/k_n</f>
        <v/>
      </c>
      <c r="V1691">
        <f>O1691-H1691*LTP3!$D$4/k_n</f>
        <v/>
      </c>
      <c r="W1691">
        <f>((LTP3!$D$5)*((P1691)*(Q1691)-(R1691)*(R1691))-(S1691)*((S1691)*(Q1691)-(R1691)*(T1691))+(T1691)*((S1691)*(R1691)-(P1691)*(T1691)))</f>
        <v/>
      </c>
      <c r="X1691">
        <f>IF(ABS(W1691)&gt;1E-12,((LTP3!$D$6)*((P1691)*(Q1691)-(R1691)*(R1691))-(S1691)*((U1691)*(Q1691)-(R1691)*(V1691))+(T1691)*((U1691)*(R1691)-(P1691)*(V1691)))/W1691,0)</f>
        <v/>
      </c>
      <c r="Y1691">
        <f>IF(ABS(W1691)&gt;1E-12,((LTP3!$D$5)*((U1691)*(Q1691)-(R1691)*(V1691))-(LTP3!$D$6)*((S1691)*(Q1691)-(R1691)*(T1691))+(T1691)*((S1691)*(V1691)-(U1691)*(T1691)))/W1691,0)</f>
        <v/>
      </c>
      <c r="Z1691">
        <f>IF(ABS(W1691)&gt;1E-12,((LTP3!$D$5)*((P1691)*(V1691)-(U1691)*(R1691))-(S1691)*((S1691)*(V1691)-(U1691)*(T1691))+(LTP3!$D$6)*((S1691)*(R1691)-(P1691)*(T1691)))/W1691,0)</f>
        <v/>
      </c>
      <c r="AA1691">
        <f>LTP3!$D$7-X1691*LTP3!$D$6-Y1691*U1691-Z1691*V1691</f>
        <v/>
      </c>
      <c r="AB1691">
        <f>IF(AND(F1691,ABS(W1691)&gt;1E-12,Y1691&gt;0,Z1691&gt;0),AA1691,1E+300)</f>
        <v/>
      </c>
    </row>
    <row r="1692">
      <c r="A1692">
        <f>$B$3+$B$5*27</f>
        <v/>
      </c>
      <c r="B1692">
        <f>$B$3+$B$5*33</f>
        <v/>
      </c>
      <c r="C1692">
        <f>SUMPRODUCT(Calc!$K$3:$K$22*(Calc!$G$3:$G$22&lt;=A1692))</f>
        <v/>
      </c>
      <c r="D1692">
        <f>SUMPRODUCT(Calc!$K$3:$K$22*(Calc!$G$3:$G$22&gt;A1692)*(Calc!$G$3:$G$22&lt;B1692))</f>
        <v/>
      </c>
      <c r="E1692">
        <f>SUMPRODUCT(Calc!$K$3:$K$22*(Calc!$G$3:$G$22&gt;=B1692))</f>
        <v/>
      </c>
      <c r="F1692">
        <f>AND(k_n&gt;=5,B1692&gt;A1692+1E-9,C1692&gt;=2,D1692&gt;=1,E1692&gt;=2)</f>
        <v/>
      </c>
      <c r="G1692">
        <f>SUMPRODUCT(Calc!$K$3:$K$22*(Calc!$G$3:$G$22&gt;A1692)*(Calc!$G$3:$G$22-A1692))</f>
        <v/>
      </c>
      <c r="H1692">
        <f>SUMPRODUCT(Calc!$K$3:$K$22*(Calc!$G$3:$G$22&gt;B1692)*(Calc!$G$3:$G$22-B1692))</f>
        <v/>
      </c>
      <c r="I1692">
        <f>SUMPRODUCT(Calc!$K$3:$K$22*(Calc!$G$3:$G$22&gt;A1692)*(Calc!$G$3:$G$22-A1692)^2)</f>
        <v/>
      </c>
      <c r="J1692">
        <f>SUMPRODUCT(Calc!$K$3:$K$22*(Calc!$G$3:$G$22&gt;B1692)*(Calc!$G$3:$G$22-B1692)^2)</f>
        <v/>
      </c>
      <c r="K1692">
        <f>SUMPRODUCT(Calc!$K$3:$K$22*(Calc!$G$3:$G$22&gt;A1692)*(Calc!$G$3:$G$22-A1692)*(Calc!$G$3:$G$22&gt;B1692)*(Calc!$G$3:$G$22-B1692))</f>
        <v/>
      </c>
      <c r="L1692">
        <f>SUMPRODUCT(Calc!$K$3:$K$22*(Calc!$G$3:$G$22&gt;A1692)*(Calc!$G$3:$G$22-A1692)*Calc!$G$3:$G$22)</f>
        <v/>
      </c>
      <c r="M1692">
        <f>SUMPRODUCT(Calc!$K$3:$K$22*(Calc!$G$3:$G$22&gt;B1692)*(Calc!$G$3:$G$22-B1692)*Calc!$G$3:$G$22)</f>
        <v/>
      </c>
      <c r="N1692">
        <f>SUMPRODUCT(Calc!$K$3:$K$22*(Calc!$G$3:$G$22&gt;A1692)*(Calc!$G$3:$G$22-A1692)*Calc!$I$3:$I$22)</f>
        <v/>
      </c>
      <c r="O1692">
        <f>SUMPRODUCT(Calc!$K$3:$K$22*(Calc!$G$3:$G$22&gt;B1692)*(Calc!$G$3:$G$22-B1692)*Calc!$I$3:$I$22)</f>
        <v/>
      </c>
      <c r="P1692">
        <f>I1692-G1692^2/k_n</f>
        <v/>
      </c>
      <c r="Q1692">
        <f>J1692-H1692^2/k_n</f>
        <v/>
      </c>
      <c r="R1692">
        <f>K1692-G1692*H1692/k_n</f>
        <v/>
      </c>
      <c r="S1692">
        <f>L1692-LTP3!$D$3*G1692/k_n</f>
        <v/>
      </c>
      <c r="T1692">
        <f>M1692-LTP3!$D$3*H1692/k_n</f>
        <v/>
      </c>
      <c r="U1692">
        <f>N1692-G1692*LTP3!$D$4/k_n</f>
        <v/>
      </c>
      <c r="V1692">
        <f>O1692-H1692*LTP3!$D$4/k_n</f>
        <v/>
      </c>
      <c r="W1692">
        <f>((LTP3!$D$5)*((P1692)*(Q1692)-(R1692)*(R1692))-(S1692)*((S1692)*(Q1692)-(R1692)*(T1692))+(T1692)*((S1692)*(R1692)-(P1692)*(T1692)))</f>
        <v/>
      </c>
      <c r="X1692">
        <f>IF(ABS(W1692)&gt;1E-12,((LTP3!$D$6)*((P1692)*(Q1692)-(R1692)*(R1692))-(S1692)*((U1692)*(Q1692)-(R1692)*(V1692))+(T1692)*((U1692)*(R1692)-(P1692)*(V1692)))/W1692,0)</f>
        <v/>
      </c>
      <c r="Y1692">
        <f>IF(ABS(W1692)&gt;1E-12,((LTP3!$D$5)*((U1692)*(Q1692)-(R1692)*(V1692))-(LTP3!$D$6)*((S1692)*(Q1692)-(R1692)*(T1692))+(T1692)*((S1692)*(V1692)-(U1692)*(T1692)))/W1692,0)</f>
        <v/>
      </c>
      <c r="Z1692">
        <f>IF(ABS(W1692)&gt;1E-12,((LTP3!$D$5)*((P1692)*(V1692)-(U1692)*(R1692))-(S1692)*((S1692)*(V1692)-(U1692)*(T1692))+(LTP3!$D$6)*((S1692)*(R1692)-(P1692)*(T1692)))/W1692,0)</f>
        <v/>
      </c>
      <c r="AA1692">
        <f>LTP3!$D$7-X1692*LTP3!$D$6-Y1692*U1692-Z1692*V1692</f>
        <v/>
      </c>
      <c r="AB1692">
        <f>IF(AND(F1692,ABS(W1692)&gt;1E-12,Y1692&gt;0,Z1692&gt;0),AA1692,1E+300)</f>
        <v/>
      </c>
    </row>
    <row r="1693">
      <c r="A1693">
        <f>$B$3+$B$5*27</f>
        <v/>
      </c>
      <c r="B1693">
        <f>$B$3+$B$5*34</f>
        <v/>
      </c>
      <c r="C1693">
        <f>SUMPRODUCT(Calc!$K$3:$K$22*(Calc!$G$3:$G$22&lt;=A1693))</f>
        <v/>
      </c>
      <c r="D1693">
        <f>SUMPRODUCT(Calc!$K$3:$K$22*(Calc!$G$3:$G$22&gt;A1693)*(Calc!$G$3:$G$22&lt;B1693))</f>
        <v/>
      </c>
      <c r="E1693">
        <f>SUMPRODUCT(Calc!$K$3:$K$22*(Calc!$G$3:$G$22&gt;=B1693))</f>
        <v/>
      </c>
      <c r="F1693">
        <f>AND(k_n&gt;=5,B1693&gt;A1693+1E-9,C1693&gt;=2,D1693&gt;=1,E1693&gt;=2)</f>
        <v/>
      </c>
      <c r="G1693">
        <f>SUMPRODUCT(Calc!$K$3:$K$22*(Calc!$G$3:$G$22&gt;A1693)*(Calc!$G$3:$G$22-A1693))</f>
        <v/>
      </c>
      <c r="H1693">
        <f>SUMPRODUCT(Calc!$K$3:$K$22*(Calc!$G$3:$G$22&gt;B1693)*(Calc!$G$3:$G$22-B1693))</f>
        <v/>
      </c>
      <c r="I1693">
        <f>SUMPRODUCT(Calc!$K$3:$K$22*(Calc!$G$3:$G$22&gt;A1693)*(Calc!$G$3:$G$22-A1693)^2)</f>
        <v/>
      </c>
      <c r="J1693">
        <f>SUMPRODUCT(Calc!$K$3:$K$22*(Calc!$G$3:$G$22&gt;B1693)*(Calc!$G$3:$G$22-B1693)^2)</f>
        <v/>
      </c>
      <c r="K1693">
        <f>SUMPRODUCT(Calc!$K$3:$K$22*(Calc!$G$3:$G$22&gt;A1693)*(Calc!$G$3:$G$22-A1693)*(Calc!$G$3:$G$22&gt;B1693)*(Calc!$G$3:$G$22-B1693))</f>
        <v/>
      </c>
      <c r="L1693">
        <f>SUMPRODUCT(Calc!$K$3:$K$22*(Calc!$G$3:$G$22&gt;A1693)*(Calc!$G$3:$G$22-A1693)*Calc!$G$3:$G$22)</f>
        <v/>
      </c>
      <c r="M1693">
        <f>SUMPRODUCT(Calc!$K$3:$K$22*(Calc!$G$3:$G$22&gt;B1693)*(Calc!$G$3:$G$22-B1693)*Calc!$G$3:$G$22)</f>
        <v/>
      </c>
      <c r="N1693">
        <f>SUMPRODUCT(Calc!$K$3:$K$22*(Calc!$G$3:$G$22&gt;A1693)*(Calc!$G$3:$G$22-A1693)*Calc!$I$3:$I$22)</f>
        <v/>
      </c>
      <c r="O1693">
        <f>SUMPRODUCT(Calc!$K$3:$K$22*(Calc!$G$3:$G$22&gt;B1693)*(Calc!$G$3:$G$22-B1693)*Calc!$I$3:$I$22)</f>
        <v/>
      </c>
      <c r="P1693">
        <f>I1693-G1693^2/k_n</f>
        <v/>
      </c>
      <c r="Q1693">
        <f>J1693-H1693^2/k_n</f>
        <v/>
      </c>
      <c r="R1693">
        <f>K1693-G1693*H1693/k_n</f>
        <v/>
      </c>
      <c r="S1693">
        <f>L1693-LTP3!$D$3*G1693/k_n</f>
        <v/>
      </c>
      <c r="T1693">
        <f>M1693-LTP3!$D$3*H1693/k_n</f>
        <v/>
      </c>
      <c r="U1693">
        <f>N1693-G1693*LTP3!$D$4/k_n</f>
        <v/>
      </c>
      <c r="V1693">
        <f>O1693-H1693*LTP3!$D$4/k_n</f>
        <v/>
      </c>
      <c r="W1693">
        <f>((LTP3!$D$5)*((P1693)*(Q1693)-(R1693)*(R1693))-(S1693)*((S1693)*(Q1693)-(R1693)*(T1693))+(T1693)*((S1693)*(R1693)-(P1693)*(T1693)))</f>
        <v/>
      </c>
      <c r="X1693">
        <f>IF(ABS(W1693)&gt;1E-12,((LTP3!$D$6)*((P1693)*(Q1693)-(R1693)*(R1693))-(S1693)*((U1693)*(Q1693)-(R1693)*(V1693))+(T1693)*((U1693)*(R1693)-(P1693)*(V1693)))/W1693,0)</f>
        <v/>
      </c>
      <c r="Y1693">
        <f>IF(ABS(W1693)&gt;1E-12,((LTP3!$D$5)*((U1693)*(Q1693)-(R1693)*(V1693))-(LTP3!$D$6)*((S1693)*(Q1693)-(R1693)*(T1693))+(T1693)*((S1693)*(V1693)-(U1693)*(T1693)))/W1693,0)</f>
        <v/>
      </c>
      <c r="Z1693">
        <f>IF(ABS(W1693)&gt;1E-12,((LTP3!$D$5)*((P1693)*(V1693)-(U1693)*(R1693))-(S1693)*((S1693)*(V1693)-(U1693)*(T1693))+(LTP3!$D$6)*((S1693)*(R1693)-(P1693)*(T1693)))/W1693,0)</f>
        <v/>
      </c>
      <c r="AA1693">
        <f>LTP3!$D$7-X1693*LTP3!$D$6-Y1693*U1693-Z1693*V1693</f>
        <v/>
      </c>
      <c r="AB1693">
        <f>IF(AND(F1693,ABS(W1693)&gt;1E-12,Y1693&gt;0,Z1693&gt;0),AA1693,1E+300)</f>
        <v/>
      </c>
    </row>
    <row r="1694">
      <c r="A1694">
        <f>$B$3+$B$5*27</f>
        <v/>
      </c>
      <c r="B1694">
        <f>$B$3+$B$5*35</f>
        <v/>
      </c>
      <c r="C1694">
        <f>SUMPRODUCT(Calc!$K$3:$K$22*(Calc!$G$3:$G$22&lt;=A1694))</f>
        <v/>
      </c>
      <c r="D1694">
        <f>SUMPRODUCT(Calc!$K$3:$K$22*(Calc!$G$3:$G$22&gt;A1694)*(Calc!$G$3:$G$22&lt;B1694))</f>
        <v/>
      </c>
      <c r="E1694">
        <f>SUMPRODUCT(Calc!$K$3:$K$22*(Calc!$G$3:$G$22&gt;=B1694))</f>
        <v/>
      </c>
      <c r="F1694">
        <f>AND(k_n&gt;=5,B1694&gt;A1694+1E-9,C1694&gt;=2,D1694&gt;=1,E1694&gt;=2)</f>
        <v/>
      </c>
      <c r="G1694">
        <f>SUMPRODUCT(Calc!$K$3:$K$22*(Calc!$G$3:$G$22&gt;A1694)*(Calc!$G$3:$G$22-A1694))</f>
        <v/>
      </c>
      <c r="H1694">
        <f>SUMPRODUCT(Calc!$K$3:$K$22*(Calc!$G$3:$G$22&gt;B1694)*(Calc!$G$3:$G$22-B1694))</f>
        <v/>
      </c>
      <c r="I1694">
        <f>SUMPRODUCT(Calc!$K$3:$K$22*(Calc!$G$3:$G$22&gt;A1694)*(Calc!$G$3:$G$22-A1694)^2)</f>
        <v/>
      </c>
      <c r="J1694">
        <f>SUMPRODUCT(Calc!$K$3:$K$22*(Calc!$G$3:$G$22&gt;B1694)*(Calc!$G$3:$G$22-B1694)^2)</f>
        <v/>
      </c>
      <c r="K1694">
        <f>SUMPRODUCT(Calc!$K$3:$K$22*(Calc!$G$3:$G$22&gt;A1694)*(Calc!$G$3:$G$22-A1694)*(Calc!$G$3:$G$22&gt;B1694)*(Calc!$G$3:$G$22-B1694))</f>
        <v/>
      </c>
      <c r="L1694">
        <f>SUMPRODUCT(Calc!$K$3:$K$22*(Calc!$G$3:$G$22&gt;A1694)*(Calc!$G$3:$G$22-A1694)*Calc!$G$3:$G$22)</f>
        <v/>
      </c>
      <c r="M1694">
        <f>SUMPRODUCT(Calc!$K$3:$K$22*(Calc!$G$3:$G$22&gt;B1694)*(Calc!$G$3:$G$22-B1694)*Calc!$G$3:$G$22)</f>
        <v/>
      </c>
      <c r="N1694">
        <f>SUMPRODUCT(Calc!$K$3:$K$22*(Calc!$G$3:$G$22&gt;A1694)*(Calc!$G$3:$G$22-A1694)*Calc!$I$3:$I$22)</f>
        <v/>
      </c>
      <c r="O1694">
        <f>SUMPRODUCT(Calc!$K$3:$K$22*(Calc!$G$3:$G$22&gt;B1694)*(Calc!$G$3:$G$22-B1694)*Calc!$I$3:$I$22)</f>
        <v/>
      </c>
      <c r="P1694">
        <f>I1694-G1694^2/k_n</f>
        <v/>
      </c>
      <c r="Q1694">
        <f>J1694-H1694^2/k_n</f>
        <v/>
      </c>
      <c r="R1694">
        <f>K1694-G1694*H1694/k_n</f>
        <v/>
      </c>
      <c r="S1694">
        <f>L1694-LTP3!$D$3*G1694/k_n</f>
        <v/>
      </c>
      <c r="T1694">
        <f>M1694-LTP3!$D$3*H1694/k_n</f>
        <v/>
      </c>
      <c r="U1694">
        <f>N1694-G1694*LTP3!$D$4/k_n</f>
        <v/>
      </c>
      <c r="V1694">
        <f>O1694-H1694*LTP3!$D$4/k_n</f>
        <v/>
      </c>
      <c r="W1694">
        <f>((LTP3!$D$5)*((P1694)*(Q1694)-(R1694)*(R1694))-(S1694)*((S1694)*(Q1694)-(R1694)*(T1694))+(T1694)*((S1694)*(R1694)-(P1694)*(T1694)))</f>
        <v/>
      </c>
      <c r="X1694">
        <f>IF(ABS(W1694)&gt;1E-12,((LTP3!$D$6)*((P1694)*(Q1694)-(R1694)*(R1694))-(S1694)*((U1694)*(Q1694)-(R1694)*(V1694))+(T1694)*((U1694)*(R1694)-(P1694)*(V1694)))/W1694,0)</f>
        <v/>
      </c>
      <c r="Y1694">
        <f>IF(ABS(W1694)&gt;1E-12,((LTP3!$D$5)*((U1694)*(Q1694)-(R1694)*(V1694))-(LTP3!$D$6)*((S1694)*(Q1694)-(R1694)*(T1694))+(T1694)*((S1694)*(V1694)-(U1694)*(T1694)))/W1694,0)</f>
        <v/>
      </c>
      <c r="Z1694">
        <f>IF(ABS(W1694)&gt;1E-12,((LTP3!$D$5)*((P1694)*(V1694)-(U1694)*(R1694))-(S1694)*((S1694)*(V1694)-(U1694)*(T1694))+(LTP3!$D$6)*((S1694)*(R1694)-(P1694)*(T1694)))/W1694,0)</f>
        <v/>
      </c>
      <c r="AA1694">
        <f>LTP3!$D$7-X1694*LTP3!$D$6-Y1694*U1694-Z1694*V1694</f>
        <v/>
      </c>
      <c r="AB1694">
        <f>IF(AND(F1694,ABS(W1694)&gt;1E-12,Y1694&gt;0,Z1694&gt;0),AA1694,1E+300)</f>
        <v/>
      </c>
    </row>
    <row r="1695">
      <c r="A1695">
        <f>$B$3+$B$5*27</f>
        <v/>
      </c>
      <c r="B1695">
        <f>$B$3+$B$5*36</f>
        <v/>
      </c>
      <c r="C1695">
        <f>SUMPRODUCT(Calc!$K$3:$K$22*(Calc!$G$3:$G$22&lt;=A1695))</f>
        <v/>
      </c>
      <c r="D1695">
        <f>SUMPRODUCT(Calc!$K$3:$K$22*(Calc!$G$3:$G$22&gt;A1695)*(Calc!$G$3:$G$22&lt;B1695))</f>
        <v/>
      </c>
      <c r="E1695">
        <f>SUMPRODUCT(Calc!$K$3:$K$22*(Calc!$G$3:$G$22&gt;=B1695))</f>
        <v/>
      </c>
      <c r="F1695">
        <f>AND(k_n&gt;=5,B1695&gt;A1695+1E-9,C1695&gt;=2,D1695&gt;=1,E1695&gt;=2)</f>
        <v/>
      </c>
      <c r="G1695">
        <f>SUMPRODUCT(Calc!$K$3:$K$22*(Calc!$G$3:$G$22&gt;A1695)*(Calc!$G$3:$G$22-A1695))</f>
        <v/>
      </c>
      <c r="H1695">
        <f>SUMPRODUCT(Calc!$K$3:$K$22*(Calc!$G$3:$G$22&gt;B1695)*(Calc!$G$3:$G$22-B1695))</f>
        <v/>
      </c>
      <c r="I1695">
        <f>SUMPRODUCT(Calc!$K$3:$K$22*(Calc!$G$3:$G$22&gt;A1695)*(Calc!$G$3:$G$22-A1695)^2)</f>
        <v/>
      </c>
      <c r="J1695">
        <f>SUMPRODUCT(Calc!$K$3:$K$22*(Calc!$G$3:$G$22&gt;B1695)*(Calc!$G$3:$G$22-B1695)^2)</f>
        <v/>
      </c>
      <c r="K1695">
        <f>SUMPRODUCT(Calc!$K$3:$K$22*(Calc!$G$3:$G$22&gt;A1695)*(Calc!$G$3:$G$22-A1695)*(Calc!$G$3:$G$22&gt;B1695)*(Calc!$G$3:$G$22-B1695))</f>
        <v/>
      </c>
      <c r="L1695">
        <f>SUMPRODUCT(Calc!$K$3:$K$22*(Calc!$G$3:$G$22&gt;A1695)*(Calc!$G$3:$G$22-A1695)*Calc!$G$3:$G$22)</f>
        <v/>
      </c>
      <c r="M1695">
        <f>SUMPRODUCT(Calc!$K$3:$K$22*(Calc!$G$3:$G$22&gt;B1695)*(Calc!$G$3:$G$22-B1695)*Calc!$G$3:$G$22)</f>
        <v/>
      </c>
      <c r="N1695">
        <f>SUMPRODUCT(Calc!$K$3:$K$22*(Calc!$G$3:$G$22&gt;A1695)*(Calc!$G$3:$G$22-A1695)*Calc!$I$3:$I$22)</f>
        <v/>
      </c>
      <c r="O1695">
        <f>SUMPRODUCT(Calc!$K$3:$K$22*(Calc!$G$3:$G$22&gt;B1695)*(Calc!$G$3:$G$22-B1695)*Calc!$I$3:$I$22)</f>
        <v/>
      </c>
      <c r="P1695">
        <f>I1695-G1695^2/k_n</f>
        <v/>
      </c>
      <c r="Q1695">
        <f>J1695-H1695^2/k_n</f>
        <v/>
      </c>
      <c r="R1695">
        <f>K1695-G1695*H1695/k_n</f>
        <v/>
      </c>
      <c r="S1695">
        <f>L1695-LTP3!$D$3*G1695/k_n</f>
        <v/>
      </c>
      <c r="T1695">
        <f>M1695-LTP3!$D$3*H1695/k_n</f>
        <v/>
      </c>
      <c r="U1695">
        <f>N1695-G1695*LTP3!$D$4/k_n</f>
        <v/>
      </c>
      <c r="V1695">
        <f>O1695-H1695*LTP3!$D$4/k_n</f>
        <v/>
      </c>
      <c r="W1695">
        <f>((LTP3!$D$5)*((P1695)*(Q1695)-(R1695)*(R1695))-(S1695)*((S1695)*(Q1695)-(R1695)*(T1695))+(T1695)*((S1695)*(R1695)-(P1695)*(T1695)))</f>
        <v/>
      </c>
      <c r="X1695">
        <f>IF(ABS(W1695)&gt;1E-12,((LTP3!$D$6)*((P1695)*(Q1695)-(R1695)*(R1695))-(S1695)*((U1695)*(Q1695)-(R1695)*(V1695))+(T1695)*((U1695)*(R1695)-(P1695)*(V1695)))/W1695,0)</f>
        <v/>
      </c>
      <c r="Y1695">
        <f>IF(ABS(W1695)&gt;1E-12,((LTP3!$D$5)*((U1695)*(Q1695)-(R1695)*(V1695))-(LTP3!$D$6)*((S1695)*(Q1695)-(R1695)*(T1695))+(T1695)*((S1695)*(V1695)-(U1695)*(T1695)))/W1695,0)</f>
        <v/>
      </c>
      <c r="Z1695">
        <f>IF(ABS(W1695)&gt;1E-12,((LTP3!$D$5)*((P1695)*(V1695)-(U1695)*(R1695))-(S1695)*((S1695)*(V1695)-(U1695)*(T1695))+(LTP3!$D$6)*((S1695)*(R1695)-(P1695)*(T1695)))/W1695,0)</f>
        <v/>
      </c>
      <c r="AA1695">
        <f>LTP3!$D$7-X1695*LTP3!$D$6-Y1695*U1695-Z1695*V1695</f>
        <v/>
      </c>
      <c r="AB1695">
        <f>IF(AND(F1695,ABS(W1695)&gt;1E-12,Y1695&gt;0,Z1695&gt;0),AA1695,1E+300)</f>
        <v/>
      </c>
    </row>
    <row r="1696">
      <c r="A1696">
        <f>$B$3+$B$5*27</f>
        <v/>
      </c>
      <c r="B1696">
        <f>$B$3+$B$5*37</f>
        <v/>
      </c>
      <c r="C1696">
        <f>SUMPRODUCT(Calc!$K$3:$K$22*(Calc!$G$3:$G$22&lt;=A1696))</f>
        <v/>
      </c>
      <c r="D1696">
        <f>SUMPRODUCT(Calc!$K$3:$K$22*(Calc!$G$3:$G$22&gt;A1696)*(Calc!$G$3:$G$22&lt;B1696))</f>
        <v/>
      </c>
      <c r="E1696">
        <f>SUMPRODUCT(Calc!$K$3:$K$22*(Calc!$G$3:$G$22&gt;=B1696))</f>
        <v/>
      </c>
      <c r="F1696">
        <f>AND(k_n&gt;=5,B1696&gt;A1696+1E-9,C1696&gt;=2,D1696&gt;=1,E1696&gt;=2)</f>
        <v/>
      </c>
      <c r="G1696">
        <f>SUMPRODUCT(Calc!$K$3:$K$22*(Calc!$G$3:$G$22&gt;A1696)*(Calc!$G$3:$G$22-A1696))</f>
        <v/>
      </c>
      <c r="H1696">
        <f>SUMPRODUCT(Calc!$K$3:$K$22*(Calc!$G$3:$G$22&gt;B1696)*(Calc!$G$3:$G$22-B1696))</f>
        <v/>
      </c>
      <c r="I1696">
        <f>SUMPRODUCT(Calc!$K$3:$K$22*(Calc!$G$3:$G$22&gt;A1696)*(Calc!$G$3:$G$22-A1696)^2)</f>
        <v/>
      </c>
      <c r="J1696">
        <f>SUMPRODUCT(Calc!$K$3:$K$22*(Calc!$G$3:$G$22&gt;B1696)*(Calc!$G$3:$G$22-B1696)^2)</f>
        <v/>
      </c>
      <c r="K1696">
        <f>SUMPRODUCT(Calc!$K$3:$K$22*(Calc!$G$3:$G$22&gt;A1696)*(Calc!$G$3:$G$22-A1696)*(Calc!$G$3:$G$22&gt;B1696)*(Calc!$G$3:$G$22-B1696))</f>
        <v/>
      </c>
      <c r="L1696">
        <f>SUMPRODUCT(Calc!$K$3:$K$22*(Calc!$G$3:$G$22&gt;A1696)*(Calc!$G$3:$G$22-A1696)*Calc!$G$3:$G$22)</f>
        <v/>
      </c>
      <c r="M1696">
        <f>SUMPRODUCT(Calc!$K$3:$K$22*(Calc!$G$3:$G$22&gt;B1696)*(Calc!$G$3:$G$22-B1696)*Calc!$G$3:$G$22)</f>
        <v/>
      </c>
      <c r="N1696">
        <f>SUMPRODUCT(Calc!$K$3:$K$22*(Calc!$G$3:$G$22&gt;A1696)*(Calc!$G$3:$G$22-A1696)*Calc!$I$3:$I$22)</f>
        <v/>
      </c>
      <c r="O1696">
        <f>SUMPRODUCT(Calc!$K$3:$K$22*(Calc!$G$3:$G$22&gt;B1696)*(Calc!$G$3:$G$22-B1696)*Calc!$I$3:$I$22)</f>
        <v/>
      </c>
      <c r="P1696">
        <f>I1696-G1696^2/k_n</f>
        <v/>
      </c>
      <c r="Q1696">
        <f>J1696-H1696^2/k_n</f>
        <v/>
      </c>
      <c r="R1696">
        <f>K1696-G1696*H1696/k_n</f>
        <v/>
      </c>
      <c r="S1696">
        <f>L1696-LTP3!$D$3*G1696/k_n</f>
        <v/>
      </c>
      <c r="T1696">
        <f>M1696-LTP3!$D$3*H1696/k_n</f>
        <v/>
      </c>
      <c r="U1696">
        <f>N1696-G1696*LTP3!$D$4/k_n</f>
        <v/>
      </c>
      <c r="V1696">
        <f>O1696-H1696*LTP3!$D$4/k_n</f>
        <v/>
      </c>
      <c r="W1696">
        <f>((LTP3!$D$5)*((P1696)*(Q1696)-(R1696)*(R1696))-(S1696)*((S1696)*(Q1696)-(R1696)*(T1696))+(T1696)*((S1696)*(R1696)-(P1696)*(T1696)))</f>
        <v/>
      </c>
      <c r="X1696">
        <f>IF(ABS(W1696)&gt;1E-12,((LTP3!$D$6)*((P1696)*(Q1696)-(R1696)*(R1696))-(S1696)*((U1696)*(Q1696)-(R1696)*(V1696))+(T1696)*((U1696)*(R1696)-(P1696)*(V1696)))/W1696,0)</f>
        <v/>
      </c>
      <c r="Y1696">
        <f>IF(ABS(W1696)&gt;1E-12,((LTP3!$D$5)*((U1696)*(Q1696)-(R1696)*(V1696))-(LTP3!$D$6)*((S1696)*(Q1696)-(R1696)*(T1696))+(T1696)*((S1696)*(V1696)-(U1696)*(T1696)))/W1696,0)</f>
        <v/>
      </c>
      <c r="Z1696">
        <f>IF(ABS(W1696)&gt;1E-12,((LTP3!$D$5)*((P1696)*(V1696)-(U1696)*(R1696))-(S1696)*((S1696)*(V1696)-(U1696)*(T1696))+(LTP3!$D$6)*((S1696)*(R1696)-(P1696)*(T1696)))/W1696,0)</f>
        <v/>
      </c>
      <c r="AA1696">
        <f>LTP3!$D$7-X1696*LTP3!$D$6-Y1696*U1696-Z1696*V1696</f>
        <v/>
      </c>
      <c r="AB1696">
        <f>IF(AND(F1696,ABS(W1696)&gt;1E-12,Y1696&gt;0,Z1696&gt;0),AA1696,1E+300)</f>
        <v/>
      </c>
    </row>
    <row r="1697">
      <c r="A1697">
        <f>$B$3+$B$5*27</f>
        <v/>
      </c>
      <c r="B1697">
        <f>$B$3+$B$5*38</f>
        <v/>
      </c>
      <c r="C1697">
        <f>SUMPRODUCT(Calc!$K$3:$K$22*(Calc!$G$3:$G$22&lt;=A1697))</f>
        <v/>
      </c>
      <c r="D1697">
        <f>SUMPRODUCT(Calc!$K$3:$K$22*(Calc!$G$3:$G$22&gt;A1697)*(Calc!$G$3:$G$22&lt;B1697))</f>
        <v/>
      </c>
      <c r="E1697">
        <f>SUMPRODUCT(Calc!$K$3:$K$22*(Calc!$G$3:$G$22&gt;=B1697))</f>
        <v/>
      </c>
      <c r="F1697">
        <f>AND(k_n&gt;=5,B1697&gt;A1697+1E-9,C1697&gt;=2,D1697&gt;=1,E1697&gt;=2)</f>
        <v/>
      </c>
      <c r="G1697">
        <f>SUMPRODUCT(Calc!$K$3:$K$22*(Calc!$G$3:$G$22&gt;A1697)*(Calc!$G$3:$G$22-A1697))</f>
        <v/>
      </c>
      <c r="H1697">
        <f>SUMPRODUCT(Calc!$K$3:$K$22*(Calc!$G$3:$G$22&gt;B1697)*(Calc!$G$3:$G$22-B1697))</f>
        <v/>
      </c>
      <c r="I1697">
        <f>SUMPRODUCT(Calc!$K$3:$K$22*(Calc!$G$3:$G$22&gt;A1697)*(Calc!$G$3:$G$22-A1697)^2)</f>
        <v/>
      </c>
      <c r="J1697">
        <f>SUMPRODUCT(Calc!$K$3:$K$22*(Calc!$G$3:$G$22&gt;B1697)*(Calc!$G$3:$G$22-B1697)^2)</f>
        <v/>
      </c>
      <c r="K1697">
        <f>SUMPRODUCT(Calc!$K$3:$K$22*(Calc!$G$3:$G$22&gt;A1697)*(Calc!$G$3:$G$22-A1697)*(Calc!$G$3:$G$22&gt;B1697)*(Calc!$G$3:$G$22-B1697))</f>
        <v/>
      </c>
      <c r="L1697">
        <f>SUMPRODUCT(Calc!$K$3:$K$22*(Calc!$G$3:$G$22&gt;A1697)*(Calc!$G$3:$G$22-A1697)*Calc!$G$3:$G$22)</f>
        <v/>
      </c>
      <c r="M1697">
        <f>SUMPRODUCT(Calc!$K$3:$K$22*(Calc!$G$3:$G$22&gt;B1697)*(Calc!$G$3:$G$22-B1697)*Calc!$G$3:$G$22)</f>
        <v/>
      </c>
      <c r="N1697">
        <f>SUMPRODUCT(Calc!$K$3:$K$22*(Calc!$G$3:$G$22&gt;A1697)*(Calc!$G$3:$G$22-A1697)*Calc!$I$3:$I$22)</f>
        <v/>
      </c>
      <c r="O1697">
        <f>SUMPRODUCT(Calc!$K$3:$K$22*(Calc!$G$3:$G$22&gt;B1697)*(Calc!$G$3:$G$22-B1697)*Calc!$I$3:$I$22)</f>
        <v/>
      </c>
      <c r="P1697">
        <f>I1697-G1697^2/k_n</f>
        <v/>
      </c>
      <c r="Q1697">
        <f>J1697-H1697^2/k_n</f>
        <v/>
      </c>
      <c r="R1697">
        <f>K1697-G1697*H1697/k_n</f>
        <v/>
      </c>
      <c r="S1697">
        <f>L1697-LTP3!$D$3*G1697/k_n</f>
        <v/>
      </c>
      <c r="T1697">
        <f>M1697-LTP3!$D$3*H1697/k_n</f>
        <v/>
      </c>
      <c r="U1697">
        <f>N1697-G1697*LTP3!$D$4/k_n</f>
        <v/>
      </c>
      <c r="V1697">
        <f>O1697-H1697*LTP3!$D$4/k_n</f>
        <v/>
      </c>
      <c r="W1697">
        <f>((LTP3!$D$5)*((P1697)*(Q1697)-(R1697)*(R1697))-(S1697)*((S1697)*(Q1697)-(R1697)*(T1697))+(T1697)*((S1697)*(R1697)-(P1697)*(T1697)))</f>
        <v/>
      </c>
      <c r="X1697">
        <f>IF(ABS(W1697)&gt;1E-12,((LTP3!$D$6)*((P1697)*(Q1697)-(R1697)*(R1697))-(S1697)*((U1697)*(Q1697)-(R1697)*(V1697))+(T1697)*((U1697)*(R1697)-(P1697)*(V1697)))/W1697,0)</f>
        <v/>
      </c>
      <c r="Y1697">
        <f>IF(ABS(W1697)&gt;1E-12,((LTP3!$D$5)*((U1697)*(Q1697)-(R1697)*(V1697))-(LTP3!$D$6)*((S1697)*(Q1697)-(R1697)*(T1697))+(T1697)*((S1697)*(V1697)-(U1697)*(T1697)))/W1697,0)</f>
        <v/>
      </c>
      <c r="Z1697">
        <f>IF(ABS(W1697)&gt;1E-12,((LTP3!$D$5)*((P1697)*(V1697)-(U1697)*(R1697))-(S1697)*((S1697)*(V1697)-(U1697)*(T1697))+(LTP3!$D$6)*((S1697)*(R1697)-(P1697)*(T1697)))/W1697,0)</f>
        <v/>
      </c>
      <c r="AA1697">
        <f>LTP3!$D$7-X1697*LTP3!$D$6-Y1697*U1697-Z1697*V1697</f>
        <v/>
      </c>
      <c r="AB1697">
        <f>IF(AND(F1697,ABS(W1697)&gt;1E-12,Y1697&gt;0,Z1697&gt;0),AA1697,1E+300)</f>
        <v/>
      </c>
    </row>
    <row r="1698">
      <c r="A1698">
        <f>$B$3+$B$5*27</f>
        <v/>
      </c>
      <c r="B1698">
        <f>$B$3+$B$5*39</f>
        <v/>
      </c>
      <c r="C1698">
        <f>SUMPRODUCT(Calc!$K$3:$K$22*(Calc!$G$3:$G$22&lt;=A1698))</f>
        <v/>
      </c>
      <c r="D1698">
        <f>SUMPRODUCT(Calc!$K$3:$K$22*(Calc!$G$3:$G$22&gt;A1698)*(Calc!$G$3:$G$22&lt;B1698))</f>
        <v/>
      </c>
      <c r="E1698">
        <f>SUMPRODUCT(Calc!$K$3:$K$22*(Calc!$G$3:$G$22&gt;=B1698))</f>
        <v/>
      </c>
      <c r="F1698">
        <f>AND(k_n&gt;=5,B1698&gt;A1698+1E-9,C1698&gt;=2,D1698&gt;=1,E1698&gt;=2)</f>
        <v/>
      </c>
      <c r="G1698">
        <f>SUMPRODUCT(Calc!$K$3:$K$22*(Calc!$G$3:$G$22&gt;A1698)*(Calc!$G$3:$G$22-A1698))</f>
        <v/>
      </c>
      <c r="H1698">
        <f>SUMPRODUCT(Calc!$K$3:$K$22*(Calc!$G$3:$G$22&gt;B1698)*(Calc!$G$3:$G$22-B1698))</f>
        <v/>
      </c>
      <c r="I1698">
        <f>SUMPRODUCT(Calc!$K$3:$K$22*(Calc!$G$3:$G$22&gt;A1698)*(Calc!$G$3:$G$22-A1698)^2)</f>
        <v/>
      </c>
      <c r="J1698">
        <f>SUMPRODUCT(Calc!$K$3:$K$22*(Calc!$G$3:$G$22&gt;B1698)*(Calc!$G$3:$G$22-B1698)^2)</f>
        <v/>
      </c>
      <c r="K1698">
        <f>SUMPRODUCT(Calc!$K$3:$K$22*(Calc!$G$3:$G$22&gt;A1698)*(Calc!$G$3:$G$22-A1698)*(Calc!$G$3:$G$22&gt;B1698)*(Calc!$G$3:$G$22-B1698))</f>
        <v/>
      </c>
      <c r="L1698">
        <f>SUMPRODUCT(Calc!$K$3:$K$22*(Calc!$G$3:$G$22&gt;A1698)*(Calc!$G$3:$G$22-A1698)*Calc!$G$3:$G$22)</f>
        <v/>
      </c>
      <c r="M1698">
        <f>SUMPRODUCT(Calc!$K$3:$K$22*(Calc!$G$3:$G$22&gt;B1698)*(Calc!$G$3:$G$22-B1698)*Calc!$G$3:$G$22)</f>
        <v/>
      </c>
      <c r="N1698">
        <f>SUMPRODUCT(Calc!$K$3:$K$22*(Calc!$G$3:$G$22&gt;A1698)*(Calc!$G$3:$G$22-A1698)*Calc!$I$3:$I$22)</f>
        <v/>
      </c>
      <c r="O1698">
        <f>SUMPRODUCT(Calc!$K$3:$K$22*(Calc!$G$3:$G$22&gt;B1698)*(Calc!$G$3:$G$22-B1698)*Calc!$I$3:$I$22)</f>
        <v/>
      </c>
      <c r="P1698">
        <f>I1698-G1698^2/k_n</f>
        <v/>
      </c>
      <c r="Q1698">
        <f>J1698-H1698^2/k_n</f>
        <v/>
      </c>
      <c r="R1698">
        <f>K1698-G1698*H1698/k_n</f>
        <v/>
      </c>
      <c r="S1698">
        <f>L1698-LTP3!$D$3*G1698/k_n</f>
        <v/>
      </c>
      <c r="T1698">
        <f>M1698-LTP3!$D$3*H1698/k_n</f>
        <v/>
      </c>
      <c r="U1698">
        <f>N1698-G1698*LTP3!$D$4/k_n</f>
        <v/>
      </c>
      <c r="V1698">
        <f>O1698-H1698*LTP3!$D$4/k_n</f>
        <v/>
      </c>
      <c r="W1698">
        <f>((LTP3!$D$5)*((P1698)*(Q1698)-(R1698)*(R1698))-(S1698)*((S1698)*(Q1698)-(R1698)*(T1698))+(T1698)*((S1698)*(R1698)-(P1698)*(T1698)))</f>
        <v/>
      </c>
      <c r="X1698">
        <f>IF(ABS(W1698)&gt;1E-12,((LTP3!$D$6)*((P1698)*(Q1698)-(R1698)*(R1698))-(S1698)*((U1698)*(Q1698)-(R1698)*(V1698))+(T1698)*((U1698)*(R1698)-(P1698)*(V1698)))/W1698,0)</f>
        <v/>
      </c>
      <c r="Y1698">
        <f>IF(ABS(W1698)&gt;1E-12,((LTP3!$D$5)*((U1698)*(Q1698)-(R1698)*(V1698))-(LTP3!$D$6)*((S1698)*(Q1698)-(R1698)*(T1698))+(T1698)*((S1698)*(V1698)-(U1698)*(T1698)))/W1698,0)</f>
        <v/>
      </c>
      <c r="Z1698">
        <f>IF(ABS(W1698)&gt;1E-12,((LTP3!$D$5)*((P1698)*(V1698)-(U1698)*(R1698))-(S1698)*((S1698)*(V1698)-(U1698)*(T1698))+(LTP3!$D$6)*((S1698)*(R1698)-(P1698)*(T1698)))/W1698,0)</f>
        <v/>
      </c>
      <c r="AA1698">
        <f>LTP3!$D$7-X1698*LTP3!$D$6-Y1698*U1698-Z1698*V1698</f>
        <v/>
      </c>
      <c r="AB1698">
        <f>IF(AND(F1698,ABS(W1698)&gt;1E-12,Y1698&gt;0,Z1698&gt;0),AA1698,1E+300)</f>
        <v/>
      </c>
    </row>
    <row r="1699">
      <c r="A1699">
        <f>$B$3+$B$5*27</f>
        <v/>
      </c>
      <c r="B1699">
        <f>$B$3+$B$5*40</f>
        <v/>
      </c>
      <c r="C1699">
        <f>SUMPRODUCT(Calc!$K$3:$K$22*(Calc!$G$3:$G$22&lt;=A1699))</f>
        <v/>
      </c>
      <c r="D1699">
        <f>SUMPRODUCT(Calc!$K$3:$K$22*(Calc!$G$3:$G$22&gt;A1699)*(Calc!$G$3:$G$22&lt;B1699))</f>
        <v/>
      </c>
      <c r="E1699">
        <f>SUMPRODUCT(Calc!$K$3:$K$22*(Calc!$G$3:$G$22&gt;=B1699))</f>
        <v/>
      </c>
      <c r="F1699">
        <f>AND(k_n&gt;=5,B1699&gt;A1699+1E-9,C1699&gt;=2,D1699&gt;=1,E1699&gt;=2)</f>
        <v/>
      </c>
      <c r="G1699">
        <f>SUMPRODUCT(Calc!$K$3:$K$22*(Calc!$G$3:$G$22&gt;A1699)*(Calc!$G$3:$G$22-A1699))</f>
        <v/>
      </c>
      <c r="H1699">
        <f>SUMPRODUCT(Calc!$K$3:$K$22*(Calc!$G$3:$G$22&gt;B1699)*(Calc!$G$3:$G$22-B1699))</f>
        <v/>
      </c>
      <c r="I1699">
        <f>SUMPRODUCT(Calc!$K$3:$K$22*(Calc!$G$3:$G$22&gt;A1699)*(Calc!$G$3:$G$22-A1699)^2)</f>
        <v/>
      </c>
      <c r="J1699">
        <f>SUMPRODUCT(Calc!$K$3:$K$22*(Calc!$G$3:$G$22&gt;B1699)*(Calc!$G$3:$G$22-B1699)^2)</f>
        <v/>
      </c>
      <c r="K1699">
        <f>SUMPRODUCT(Calc!$K$3:$K$22*(Calc!$G$3:$G$22&gt;A1699)*(Calc!$G$3:$G$22-A1699)*(Calc!$G$3:$G$22&gt;B1699)*(Calc!$G$3:$G$22-B1699))</f>
        <v/>
      </c>
      <c r="L1699">
        <f>SUMPRODUCT(Calc!$K$3:$K$22*(Calc!$G$3:$G$22&gt;A1699)*(Calc!$G$3:$G$22-A1699)*Calc!$G$3:$G$22)</f>
        <v/>
      </c>
      <c r="M1699">
        <f>SUMPRODUCT(Calc!$K$3:$K$22*(Calc!$G$3:$G$22&gt;B1699)*(Calc!$G$3:$G$22-B1699)*Calc!$G$3:$G$22)</f>
        <v/>
      </c>
      <c r="N1699">
        <f>SUMPRODUCT(Calc!$K$3:$K$22*(Calc!$G$3:$G$22&gt;A1699)*(Calc!$G$3:$G$22-A1699)*Calc!$I$3:$I$22)</f>
        <v/>
      </c>
      <c r="O1699">
        <f>SUMPRODUCT(Calc!$K$3:$K$22*(Calc!$G$3:$G$22&gt;B1699)*(Calc!$G$3:$G$22-B1699)*Calc!$I$3:$I$22)</f>
        <v/>
      </c>
      <c r="P1699">
        <f>I1699-G1699^2/k_n</f>
        <v/>
      </c>
      <c r="Q1699">
        <f>J1699-H1699^2/k_n</f>
        <v/>
      </c>
      <c r="R1699">
        <f>K1699-G1699*H1699/k_n</f>
        <v/>
      </c>
      <c r="S1699">
        <f>L1699-LTP3!$D$3*G1699/k_n</f>
        <v/>
      </c>
      <c r="T1699">
        <f>M1699-LTP3!$D$3*H1699/k_n</f>
        <v/>
      </c>
      <c r="U1699">
        <f>N1699-G1699*LTP3!$D$4/k_n</f>
        <v/>
      </c>
      <c r="V1699">
        <f>O1699-H1699*LTP3!$D$4/k_n</f>
        <v/>
      </c>
      <c r="W1699">
        <f>((LTP3!$D$5)*((P1699)*(Q1699)-(R1699)*(R1699))-(S1699)*((S1699)*(Q1699)-(R1699)*(T1699))+(T1699)*((S1699)*(R1699)-(P1699)*(T1699)))</f>
        <v/>
      </c>
      <c r="X1699">
        <f>IF(ABS(W1699)&gt;1E-12,((LTP3!$D$6)*((P1699)*(Q1699)-(R1699)*(R1699))-(S1699)*((U1699)*(Q1699)-(R1699)*(V1699))+(T1699)*((U1699)*(R1699)-(P1699)*(V1699)))/W1699,0)</f>
        <v/>
      </c>
      <c r="Y1699">
        <f>IF(ABS(W1699)&gt;1E-12,((LTP3!$D$5)*((U1699)*(Q1699)-(R1699)*(V1699))-(LTP3!$D$6)*((S1699)*(Q1699)-(R1699)*(T1699))+(T1699)*((S1699)*(V1699)-(U1699)*(T1699)))/W1699,0)</f>
        <v/>
      </c>
      <c r="Z1699">
        <f>IF(ABS(W1699)&gt;1E-12,((LTP3!$D$5)*((P1699)*(V1699)-(U1699)*(R1699))-(S1699)*((S1699)*(V1699)-(U1699)*(T1699))+(LTP3!$D$6)*((S1699)*(R1699)-(P1699)*(T1699)))/W1699,0)</f>
        <v/>
      </c>
      <c r="AA1699">
        <f>LTP3!$D$7-X1699*LTP3!$D$6-Y1699*U1699-Z1699*V1699</f>
        <v/>
      </c>
      <c r="AB1699">
        <f>IF(AND(F1699,ABS(W1699)&gt;1E-12,Y1699&gt;0,Z1699&gt;0),AA1699,1E+300)</f>
        <v/>
      </c>
    </row>
    <row r="1700">
      <c r="A1700">
        <f>$B$3+$B$5*27</f>
        <v/>
      </c>
      <c r="B1700">
        <f>$B$3+$B$5*41</f>
        <v/>
      </c>
      <c r="C1700">
        <f>SUMPRODUCT(Calc!$K$3:$K$22*(Calc!$G$3:$G$22&lt;=A1700))</f>
        <v/>
      </c>
      <c r="D1700">
        <f>SUMPRODUCT(Calc!$K$3:$K$22*(Calc!$G$3:$G$22&gt;A1700)*(Calc!$G$3:$G$22&lt;B1700))</f>
        <v/>
      </c>
      <c r="E1700">
        <f>SUMPRODUCT(Calc!$K$3:$K$22*(Calc!$G$3:$G$22&gt;=B1700))</f>
        <v/>
      </c>
      <c r="F1700">
        <f>AND(k_n&gt;=5,B1700&gt;A1700+1E-9,C1700&gt;=2,D1700&gt;=1,E1700&gt;=2)</f>
        <v/>
      </c>
      <c r="G1700">
        <f>SUMPRODUCT(Calc!$K$3:$K$22*(Calc!$G$3:$G$22&gt;A1700)*(Calc!$G$3:$G$22-A1700))</f>
        <v/>
      </c>
      <c r="H1700">
        <f>SUMPRODUCT(Calc!$K$3:$K$22*(Calc!$G$3:$G$22&gt;B1700)*(Calc!$G$3:$G$22-B1700))</f>
        <v/>
      </c>
      <c r="I1700">
        <f>SUMPRODUCT(Calc!$K$3:$K$22*(Calc!$G$3:$G$22&gt;A1700)*(Calc!$G$3:$G$22-A1700)^2)</f>
        <v/>
      </c>
      <c r="J1700">
        <f>SUMPRODUCT(Calc!$K$3:$K$22*(Calc!$G$3:$G$22&gt;B1700)*(Calc!$G$3:$G$22-B1700)^2)</f>
        <v/>
      </c>
      <c r="K1700">
        <f>SUMPRODUCT(Calc!$K$3:$K$22*(Calc!$G$3:$G$22&gt;A1700)*(Calc!$G$3:$G$22-A1700)*(Calc!$G$3:$G$22&gt;B1700)*(Calc!$G$3:$G$22-B1700))</f>
        <v/>
      </c>
      <c r="L1700">
        <f>SUMPRODUCT(Calc!$K$3:$K$22*(Calc!$G$3:$G$22&gt;A1700)*(Calc!$G$3:$G$22-A1700)*Calc!$G$3:$G$22)</f>
        <v/>
      </c>
      <c r="M1700">
        <f>SUMPRODUCT(Calc!$K$3:$K$22*(Calc!$G$3:$G$22&gt;B1700)*(Calc!$G$3:$G$22-B1700)*Calc!$G$3:$G$22)</f>
        <v/>
      </c>
      <c r="N1700">
        <f>SUMPRODUCT(Calc!$K$3:$K$22*(Calc!$G$3:$G$22&gt;A1700)*(Calc!$G$3:$G$22-A1700)*Calc!$I$3:$I$22)</f>
        <v/>
      </c>
      <c r="O1700">
        <f>SUMPRODUCT(Calc!$K$3:$K$22*(Calc!$G$3:$G$22&gt;B1700)*(Calc!$G$3:$G$22-B1700)*Calc!$I$3:$I$22)</f>
        <v/>
      </c>
      <c r="P1700">
        <f>I1700-G1700^2/k_n</f>
        <v/>
      </c>
      <c r="Q1700">
        <f>J1700-H1700^2/k_n</f>
        <v/>
      </c>
      <c r="R1700">
        <f>K1700-G1700*H1700/k_n</f>
        <v/>
      </c>
      <c r="S1700">
        <f>L1700-LTP3!$D$3*G1700/k_n</f>
        <v/>
      </c>
      <c r="T1700">
        <f>M1700-LTP3!$D$3*H1700/k_n</f>
        <v/>
      </c>
      <c r="U1700">
        <f>N1700-G1700*LTP3!$D$4/k_n</f>
        <v/>
      </c>
      <c r="V1700">
        <f>O1700-H1700*LTP3!$D$4/k_n</f>
        <v/>
      </c>
      <c r="W1700">
        <f>((LTP3!$D$5)*((P1700)*(Q1700)-(R1700)*(R1700))-(S1700)*((S1700)*(Q1700)-(R1700)*(T1700))+(T1700)*((S1700)*(R1700)-(P1700)*(T1700)))</f>
        <v/>
      </c>
      <c r="X1700">
        <f>IF(ABS(W1700)&gt;1E-12,((LTP3!$D$6)*((P1700)*(Q1700)-(R1700)*(R1700))-(S1700)*((U1700)*(Q1700)-(R1700)*(V1700))+(T1700)*((U1700)*(R1700)-(P1700)*(V1700)))/W1700,0)</f>
        <v/>
      </c>
      <c r="Y1700">
        <f>IF(ABS(W1700)&gt;1E-12,((LTP3!$D$5)*((U1700)*(Q1700)-(R1700)*(V1700))-(LTP3!$D$6)*((S1700)*(Q1700)-(R1700)*(T1700))+(T1700)*((S1700)*(V1700)-(U1700)*(T1700)))/W1700,0)</f>
        <v/>
      </c>
      <c r="Z1700">
        <f>IF(ABS(W1700)&gt;1E-12,((LTP3!$D$5)*((P1700)*(V1700)-(U1700)*(R1700))-(S1700)*((S1700)*(V1700)-(U1700)*(T1700))+(LTP3!$D$6)*((S1700)*(R1700)-(P1700)*(T1700)))/W1700,0)</f>
        <v/>
      </c>
      <c r="AA1700">
        <f>LTP3!$D$7-X1700*LTP3!$D$6-Y1700*U1700-Z1700*V1700</f>
        <v/>
      </c>
      <c r="AB1700">
        <f>IF(AND(F1700,ABS(W1700)&gt;1E-12,Y1700&gt;0,Z1700&gt;0),AA1700,1E+300)</f>
        <v/>
      </c>
    </row>
    <row r="1701">
      <c r="A1701">
        <f>$B$3+$B$5*27</f>
        <v/>
      </c>
      <c r="B1701">
        <f>$B$3+$B$5*42</f>
        <v/>
      </c>
      <c r="C1701">
        <f>SUMPRODUCT(Calc!$K$3:$K$22*(Calc!$G$3:$G$22&lt;=A1701))</f>
        <v/>
      </c>
      <c r="D1701">
        <f>SUMPRODUCT(Calc!$K$3:$K$22*(Calc!$G$3:$G$22&gt;A1701)*(Calc!$G$3:$G$22&lt;B1701))</f>
        <v/>
      </c>
      <c r="E1701">
        <f>SUMPRODUCT(Calc!$K$3:$K$22*(Calc!$G$3:$G$22&gt;=B1701))</f>
        <v/>
      </c>
      <c r="F1701">
        <f>AND(k_n&gt;=5,B1701&gt;A1701+1E-9,C1701&gt;=2,D1701&gt;=1,E1701&gt;=2)</f>
        <v/>
      </c>
      <c r="G1701">
        <f>SUMPRODUCT(Calc!$K$3:$K$22*(Calc!$G$3:$G$22&gt;A1701)*(Calc!$G$3:$G$22-A1701))</f>
        <v/>
      </c>
      <c r="H1701">
        <f>SUMPRODUCT(Calc!$K$3:$K$22*(Calc!$G$3:$G$22&gt;B1701)*(Calc!$G$3:$G$22-B1701))</f>
        <v/>
      </c>
      <c r="I1701">
        <f>SUMPRODUCT(Calc!$K$3:$K$22*(Calc!$G$3:$G$22&gt;A1701)*(Calc!$G$3:$G$22-A1701)^2)</f>
        <v/>
      </c>
      <c r="J1701">
        <f>SUMPRODUCT(Calc!$K$3:$K$22*(Calc!$G$3:$G$22&gt;B1701)*(Calc!$G$3:$G$22-B1701)^2)</f>
        <v/>
      </c>
      <c r="K1701">
        <f>SUMPRODUCT(Calc!$K$3:$K$22*(Calc!$G$3:$G$22&gt;A1701)*(Calc!$G$3:$G$22-A1701)*(Calc!$G$3:$G$22&gt;B1701)*(Calc!$G$3:$G$22-B1701))</f>
        <v/>
      </c>
      <c r="L1701">
        <f>SUMPRODUCT(Calc!$K$3:$K$22*(Calc!$G$3:$G$22&gt;A1701)*(Calc!$G$3:$G$22-A1701)*Calc!$G$3:$G$22)</f>
        <v/>
      </c>
      <c r="M1701">
        <f>SUMPRODUCT(Calc!$K$3:$K$22*(Calc!$G$3:$G$22&gt;B1701)*(Calc!$G$3:$G$22-B1701)*Calc!$G$3:$G$22)</f>
        <v/>
      </c>
      <c r="N1701">
        <f>SUMPRODUCT(Calc!$K$3:$K$22*(Calc!$G$3:$G$22&gt;A1701)*(Calc!$G$3:$G$22-A1701)*Calc!$I$3:$I$22)</f>
        <v/>
      </c>
      <c r="O1701">
        <f>SUMPRODUCT(Calc!$K$3:$K$22*(Calc!$G$3:$G$22&gt;B1701)*(Calc!$G$3:$G$22-B1701)*Calc!$I$3:$I$22)</f>
        <v/>
      </c>
      <c r="P1701">
        <f>I1701-G1701^2/k_n</f>
        <v/>
      </c>
      <c r="Q1701">
        <f>J1701-H1701^2/k_n</f>
        <v/>
      </c>
      <c r="R1701">
        <f>K1701-G1701*H1701/k_n</f>
        <v/>
      </c>
      <c r="S1701">
        <f>L1701-LTP3!$D$3*G1701/k_n</f>
        <v/>
      </c>
      <c r="T1701">
        <f>M1701-LTP3!$D$3*H1701/k_n</f>
        <v/>
      </c>
      <c r="U1701">
        <f>N1701-G1701*LTP3!$D$4/k_n</f>
        <v/>
      </c>
      <c r="V1701">
        <f>O1701-H1701*LTP3!$D$4/k_n</f>
        <v/>
      </c>
      <c r="W1701">
        <f>((LTP3!$D$5)*((P1701)*(Q1701)-(R1701)*(R1701))-(S1701)*((S1701)*(Q1701)-(R1701)*(T1701))+(T1701)*((S1701)*(R1701)-(P1701)*(T1701)))</f>
        <v/>
      </c>
      <c r="X1701">
        <f>IF(ABS(W1701)&gt;1E-12,((LTP3!$D$6)*((P1701)*(Q1701)-(R1701)*(R1701))-(S1701)*((U1701)*(Q1701)-(R1701)*(V1701))+(T1701)*((U1701)*(R1701)-(P1701)*(V1701)))/W1701,0)</f>
        <v/>
      </c>
      <c r="Y1701">
        <f>IF(ABS(W1701)&gt;1E-12,((LTP3!$D$5)*((U1701)*(Q1701)-(R1701)*(V1701))-(LTP3!$D$6)*((S1701)*(Q1701)-(R1701)*(T1701))+(T1701)*((S1701)*(V1701)-(U1701)*(T1701)))/W1701,0)</f>
        <v/>
      </c>
      <c r="Z1701">
        <f>IF(ABS(W1701)&gt;1E-12,((LTP3!$D$5)*((P1701)*(V1701)-(U1701)*(R1701))-(S1701)*((S1701)*(V1701)-(U1701)*(T1701))+(LTP3!$D$6)*((S1701)*(R1701)-(P1701)*(T1701)))/W1701,0)</f>
        <v/>
      </c>
      <c r="AA1701">
        <f>LTP3!$D$7-X1701*LTP3!$D$6-Y1701*U1701-Z1701*V1701</f>
        <v/>
      </c>
      <c r="AB1701">
        <f>IF(AND(F1701,ABS(W1701)&gt;1E-12,Y1701&gt;0,Z1701&gt;0),AA1701,1E+300)</f>
        <v/>
      </c>
    </row>
    <row r="1702">
      <c r="A1702">
        <f>$B$3+$B$5*27</f>
        <v/>
      </c>
      <c r="B1702">
        <f>$B$3+$B$5*43</f>
        <v/>
      </c>
      <c r="C1702">
        <f>SUMPRODUCT(Calc!$K$3:$K$22*(Calc!$G$3:$G$22&lt;=A1702))</f>
        <v/>
      </c>
      <c r="D1702">
        <f>SUMPRODUCT(Calc!$K$3:$K$22*(Calc!$G$3:$G$22&gt;A1702)*(Calc!$G$3:$G$22&lt;B1702))</f>
        <v/>
      </c>
      <c r="E1702">
        <f>SUMPRODUCT(Calc!$K$3:$K$22*(Calc!$G$3:$G$22&gt;=B1702))</f>
        <v/>
      </c>
      <c r="F1702">
        <f>AND(k_n&gt;=5,B1702&gt;A1702+1E-9,C1702&gt;=2,D1702&gt;=1,E1702&gt;=2)</f>
        <v/>
      </c>
      <c r="G1702">
        <f>SUMPRODUCT(Calc!$K$3:$K$22*(Calc!$G$3:$G$22&gt;A1702)*(Calc!$G$3:$G$22-A1702))</f>
        <v/>
      </c>
      <c r="H1702">
        <f>SUMPRODUCT(Calc!$K$3:$K$22*(Calc!$G$3:$G$22&gt;B1702)*(Calc!$G$3:$G$22-B1702))</f>
        <v/>
      </c>
      <c r="I1702">
        <f>SUMPRODUCT(Calc!$K$3:$K$22*(Calc!$G$3:$G$22&gt;A1702)*(Calc!$G$3:$G$22-A1702)^2)</f>
        <v/>
      </c>
      <c r="J1702">
        <f>SUMPRODUCT(Calc!$K$3:$K$22*(Calc!$G$3:$G$22&gt;B1702)*(Calc!$G$3:$G$22-B1702)^2)</f>
        <v/>
      </c>
      <c r="K1702">
        <f>SUMPRODUCT(Calc!$K$3:$K$22*(Calc!$G$3:$G$22&gt;A1702)*(Calc!$G$3:$G$22-A1702)*(Calc!$G$3:$G$22&gt;B1702)*(Calc!$G$3:$G$22-B1702))</f>
        <v/>
      </c>
      <c r="L1702">
        <f>SUMPRODUCT(Calc!$K$3:$K$22*(Calc!$G$3:$G$22&gt;A1702)*(Calc!$G$3:$G$22-A1702)*Calc!$G$3:$G$22)</f>
        <v/>
      </c>
      <c r="M1702">
        <f>SUMPRODUCT(Calc!$K$3:$K$22*(Calc!$G$3:$G$22&gt;B1702)*(Calc!$G$3:$G$22-B1702)*Calc!$G$3:$G$22)</f>
        <v/>
      </c>
      <c r="N1702">
        <f>SUMPRODUCT(Calc!$K$3:$K$22*(Calc!$G$3:$G$22&gt;A1702)*(Calc!$G$3:$G$22-A1702)*Calc!$I$3:$I$22)</f>
        <v/>
      </c>
      <c r="O1702">
        <f>SUMPRODUCT(Calc!$K$3:$K$22*(Calc!$G$3:$G$22&gt;B1702)*(Calc!$G$3:$G$22-B1702)*Calc!$I$3:$I$22)</f>
        <v/>
      </c>
      <c r="P1702">
        <f>I1702-G1702^2/k_n</f>
        <v/>
      </c>
      <c r="Q1702">
        <f>J1702-H1702^2/k_n</f>
        <v/>
      </c>
      <c r="R1702">
        <f>K1702-G1702*H1702/k_n</f>
        <v/>
      </c>
      <c r="S1702">
        <f>L1702-LTP3!$D$3*G1702/k_n</f>
        <v/>
      </c>
      <c r="T1702">
        <f>M1702-LTP3!$D$3*H1702/k_n</f>
        <v/>
      </c>
      <c r="U1702">
        <f>N1702-G1702*LTP3!$D$4/k_n</f>
        <v/>
      </c>
      <c r="V1702">
        <f>O1702-H1702*LTP3!$D$4/k_n</f>
        <v/>
      </c>
      <c r="W1702">
        <f>((LTP3!$D$5)*((P1702)*(Q1702)-(R1702)*(R1702))-(S1702)*((S1702)*(Q1702)-(R1702)*(T1702))+(T1702)*((S1702)*(R1702)-(P1702)*(T1702)))</f>
        <v/>
      </c>
      <c r="X1702">
        <f>IF(ABS(W1702)&gt;1E-12,((LTP3!$D$6)*((P1702)*(Q1702)-(R1702)*(R1702))-(S1702)*((U1702)*(Q1702)-(R1702)*(V1702))+(T1702)*((U1702)*(R1702)-(P1702)*(V1702)))/W1702,0)</f>
        <v/>
      </c>
      <c r="Y1702">
        <f>IF(ABS(W1702)&gt;1E-12,((LTP3!$D$5)*((U1702)*(Q1702)-(R1702)*(V1702))-(LTP3!$D$6)*((S1702)*(Q1702)-(R1702)*(T1702))+(T1702)*((S1702)*(V1702)-(U1702)*(T1702)))/W1702,0)</f>
        <v/>
      </c>
      <c r="Z1702">
        <f>IF(ABS(W1702)&gt;1E-12,((LTP3!$D$5)*((P1702)*(V1702)-(U1702)*(R1702))-(S1702)*((S1702)*(V1702)-(U1702)*(T1702))+(LTP3!$D$6)*((S1702)*(R1702)-(P1702)*(T1702)))/W1702,0)</f>
        <v/>
      </c>
      <c r="AA1702">
        <f>LTP3!$D$7-X1702*LTP3!$D$6-Y1702*U1702-Z1702*V1702</f>
        <v/>
      </c>
      <c r="AB1702">
        <f>IF(AND(F1702,ABS(W1702)&gt;1E-12,Y1702&gt;0,Z1702&gt;0),AA1702,1E+300)</f>
        <v/>
      </c>
    </row>
    <row r="1703">
      <c r="A1703">
        <f>$B$3+$B$5*27</f>
        <v/>
      </c>
      <c r="B1703">
        <f>$B$3+$B$5*44</f>
        <v/>
      </c>
      <c r="C1703">
        <f>SUMPRODUCT(Calc!$K$3:$K$22*(Calc!$G$3:$G$22&lt;=A1703))</f>
        <v/>
      </c>
      <c r="D1703">
        <f>SUMPRODUCT(Calc!$K$3:$K$22*(Calc!$G$3:$G$22&gt;A1703)*(Calc!$G$3:$G$22&lt;B1703))</f>
        <v/>
      </c>
      <c r="E1703">
        <f>SUMPRODUCT(Calc!$K$3:$K$22*(Calc!$G$3:$G$22&gt;=B1703))</f>
        <v/>
      </c>
      <c r="F1703">
        <f>AND(k_n&gt;=5,B1703&gt;A1703+1E-9,C1703&gt;=2,D1703&gt;=1,E1703&gt;=2)</f>
        <v/>
      </c>
      <c r="G1703">
        <f>SUMPRODUCT(Calc!$K$3:$K$22*(Calc!$G$3:$G$22&gt;A1703)*(Calc!$G$3:$G$22-A1703))</f>
        <v/>
      </c>
      <c r="H1703">
        <f>SUMPRODUCT(Calc!$K$3:$K$22*(Calc!$G$3:$G$22&gt;B1703)*(Calc!$G$3:$G$22-B1703))</f>
        <v/>
      </c>
      <c r="I1703">
        <f>SUMPRODUCT(Calc!$K$3:$K$22*(Calc!$G$3:$G$22&gt;A1703)*(Calc!$G$3:$G$22-A1703)^2)</f>
        <v/>
      </c>
      <c r="J1703">
        <f>SUMPRODUCT(Calc!$K$3:$K$22*(Calc!$G$3:$G$22&gt;B1703)*(Calc!$G$3:$G$22-B1703)^2)</f>
        <v/>
      </c>
      <c r="K1703">
        <f>SUMPRODUCT(Calc!$K$3:$K$22*(Calc!$G$3:$G$22&gt;A1703)*(Calc!$G$3:$G$22-A1703)*(Calc!$G$3:$G$22&gt;B1703)*(Calc!$G$3:$G$22-B1703))</f>
        <v/>
      </c>
      <c r="L1703">
        <f>SUMPRODUCT(Calc!$K$3:$K$22*(Calc!$G$3:$G$22&gt;A1703)*(Calc!$G$3:$G$22-A1703)*Calc!$G$3:$G$22)</f>
        <v/>
      </c>
      <c r="M1703">
        <f>SUMPRODUCT(Calc!$K$3:$K$22*(Calc!$G$3:$G$22&gt;B1703)*(Calc!$G$3:$G$22-B1703)*Calc!$G$3:$G$22)</f>
        <v/>
      </c>
      <c r="N1703">
        <f>SUMPRODUCT(Calc!$K$3:$K$22*(Calc!$G$3:$G$22&gt;A1703)*(Calc!$G$3:$G$22-A1703)*Calc!$I$3:$I$22)</f>
        <v/>
      </c>
      <c r="O1703">
        <f>SUMPRODUCT(Calc!$K$3:$K$22*(Calc!$G$3:$G$22&gt;B1703)*(Calc!$G$3:$G$22-B1703)*Calc!$I$3:$I$22)</f>
        <v/>
      </c>
      <c r="P1703">
        <f>I1703-G1703^2/k_n</f>
        <v/>
      </c>
      <c r="Q1703">
        <f>J1703-H1703^2/k_n</f>
        <v/>
      </c>
      <c r="R1703">
        <f>K1703-G1703*H1703/k_n</f>
        <v/>
      </c>
      <c r="S1703">
        <f>L1703-LTP3!$D$3*G1703/k_n</f>
        <v/>
      </c>
      <c r="T1703">
        <f>M1703-LTP3!$D$3*H1703/k_n</f>
        <v/>
      </c>
      <c r="U1703">
        <f>N1703-G1703*LTP3!$D$4/k_n</f>
        <v/>
      </c>
      <c r="V1703">
        <f>O1703-H1703*LTP3!$D$4/k_n</f>
        <v/>
      </c>
      <c r="W1703">
        <f>((LTP3!$D$5)*((P1703)*(Q1703)-(R1703)*(R1703))-(S1703)*((S1703)*(Q1703)-(R1703)*(T1703))+(T1703)*((S1703)*(R1703)-(P1703)*(T1703)))</f>
        <v/>
      </c>
      <c r="X1703">
        <f>IF(ABS(W1703)&gt;1E-12,((LTP3!$D$6)*((P1703)*(Q1703)-(R1703)*(R1703))-(S1703)*((U1703)*(Q1703)-(R1703)*(V1703))+(T1703)*((U1703)*(R1703)-(P1703)*(V1703)))/W1703,0)</f>
        <v/>
      </c>
      <c r="Y1703">
        <f>IF(ABS(W1703)&gt;1E-12,((LTP3!$D$5)*((U1703)*(Q1703)-(R1703)*(V1703))-(LTP3!$D$6)*((S1703)*(Q1703)-(R1703)*(T1703))+(T1703)*((S1703)*(V1703)-(U1703)*(T1703)))/W1703,0)</f>
        <v/>
      </c>
      <c r="Z1703">
        <f>IF(ABS(W1703)&gt;1E-12,((LTP3!$D$5)*((P1703)*(V1703)-(U1703)*(R1703))-(S1703)*((S1703)*(V1703)-(U1703)*(T1703))+(LTP3!$D$6)*((S1703)*(R1703)-(P1703)*(T1703)))/W1703,0)</f>
        <v/>
      </c>
      <c r="AA1703">
        <f>LTP3!$D$7-X1703*LTP3!$D$6-Y1703*U1703-Z1703*V1703</f>
        <v/>
      </c>
      <c r="AB1703">
        <f>IF(AND(F1703,ABS(W1703)&gt;1E-12,Y1703&gt;0,Z1703&gt;0),AA1703,1E+300)</f>
        <v/>
      </c>
    </row>
    <row r="1704">
      <c r="A1704">
        <f>$B$3+$B$5*27</f>
        <v/>
      </c>
      <c r="B1704">
        <f>$B$3+$B$5*45</f>
        <v/>
      </c>
      <c r="C1704">
        <f>SUMPRODUCT(Calc!$K$3:$K$22*(Calc!$G$3:$G$22&lt;=A1704))</f>
        <v/>
      </c>
      <c r="D1704">
        <f>SUMPRODUCT(Calc!$K$3:$K$22*(Calc!$G$3:$G$22&gt;A1704)*(Calc!$G$3:$G$22&lt;B1704))</f>
        <v/>
      </c>
      <c r="E1704">
        <f>SUMPRODUCT(Calc!$K$3:$K$22*(Calc!$G$3:$G$22&gt;=B1704))</f>
        <v/>
      </c>
      <c r="F1704">
        <f>AND(k_n&gt;=5,B1704&gt;A1704+1E-9,C1704&gt;=2,D1704&gt;=1,E1704&gt;=2)</f>
        <v/>
      </c>
      <c r="G1704">
        <f>SUMPRODUCT(Calc!$K$3:$K$22*(Calc!$G$3:$G$22&gt;A1704)*(Calc!$G$3:$G$22-A1704))</f>
        <v/>
      </c>
      <c r="H1704">
        <f>SUMPRODUCT(Calc!$K$3:$K$22*(Calc!$G$3:$G$22&gt;B1704)*(Calc!$G$3:$G$22-B1704))</f>
        <v/>
      </c>
      <c r="I1704">
        <f>SUMPRODUCT(Calc!$K$3:$K$22*(Calc!$G$3:$G$22&gt;A1704)*(Calc!$G$3:$G$22-A1704)^2)</f>
        <v/>
      </c>
      <c r="J1704">
        <f>SUMPRODUCT(Calc!$K$3:$K$22*(Calc!$G$3:$G$22&gt;B1704)*(Calc!$G$3:$G$22-B1704)^2)</f>
        <v/>
      </c>
      <c r="K1704">
        <f>SUMPRODUCT(Calc!$K$3:$K$22*(Calc!$G$3:$G$22&gt;A1704)*(Calc!$G$3:$G$22-A1704)*(Calc!$G$3:$G$22&gt;B1704)*(Calc!$G$3:$G$22-B1704))</f>
        <v/>
      </c>
      <c r="L1704">
        <f>SUMPRODUCT(Calc!$K$3:$K$22*(Calc!$G$3:$G$22&gt;A1704)*(Calc!$G$3:$G$22-A1704)*Calc!$G$3:$G$22)</f>
        <v/>
      </c>
      <c r="M1704">
        <f>SUMPRODUCT(Calc!$K$3:$K$22*(Calc!$G$3:$G$22&gt;B1704)*(Calc!$G$3:$G$22-B1704)*Calc!$G$3:$G$22)</f>
        <v/>
      </c>
      <c r="N1704">
        <f>SUMPRODUCT(Calc!$K$3:$K$22*(Calc!$G$3:$G$22&gt;A1704)*(Calc!$G$3:$G$22-A1704)*Calc!$I$3:$I$22)</f>
        <v/>
      </c>
      <c r="O1704">
        <f>SUMPRODUCT(Calc!$K$3:$K$22*(Calc!$G$3:$G$22&gt;B1704)*(Calc!$G$3:$G$22-B1704)*Calc!$I$3:$I$22)</f>
        <v/>
      </c>
      <c r="P1704">
        <f>I1704-G1704^2/k_n</f>
        <v/>
      </c>
      <c r="Q1704">
        <f>J1704-H1704^2/k_n</f>
        <v/>
      </c>
      <c r="R1704">
        <f>K1704-G1704*H1704/k_n</f>
        <v/>
      </c>
      <c r="S1704">
        <f>L1704-LTP3!$D$3*G1704/k_n</f>
        <v/>
      </c>
      <c r="T1704">
        <f>M1704-LTP3!$D$3*H1704/k_n</f>
        <v/>
      </c>
      <c r="U1704">
        <f>N1704-G1704*LTP3!$D$4/k_n</f>
        <v/>
      </c>
      <c r="V1704">
        <f>O1704-H1704*LTP3!$D$4/k_n</f>
        <v/>
      </c>
      <c r="W1704">
        <f>((LTP3!$D$5)*((P1704)*(Q1704)-(R1704)*(R1704))-(S1704)*((S1704)*(Q1704)-(R1704)*(T1704))+(T1704)*((S1704)*(R1704)-(P1704)*(T1704)))</f>
        <v/>
      </c>
      <c r="X1704">
        <f>IF(ABS(W1704)&gt;1E-12,((LTP3!$D$6)*((P1704)*(Q1704)-(R1704)*(R1704))-(S1704)*((U1704)*(Q1704)-(R1704)*(V1704))+(T1704)*((U1704)*(R1704)-(P1704)*(V1704)))/W1704,0)</f>
        <v/>
      </c>
      <c r="Y1704">
        <f>IF(ABS(W1704)&gt;1E-12,((LTP3!$D$5)*((U1704)*(Q1704)-(R1704)*(V1704))-(LTP3!$D$6)*((S1704)*(Q1704)-(R1704)*(T1704))+(T1704)*((S1704)*(V1704)-(U1704)*(T1704)))/W1704,0)</f>
        <v/>
      </c>
      <c r="Z1704">
        <f>IF(ABS(W1704)&gt;1E-12,((LTP3!$D$5)*((P1704)*(V1704)-(U1704)*(R1704))-(S1704)*((S1704)*(V1704)-(U1704)*(T1704))+(LTP3!$D$6)*((S1704)*(R1704)-(P1704)*(T1704)))/W1704,0)</f>
        <v/>
      </c>
      <c r="AA1704">
        <f>LTP3!$D$7-X1704*LTP3!$D$6-Y1704*U1704-Z1704*V1704</f>
        <v/>
      </c>
      <c r="AB1704">
        <f>IF(AND(F1704,ABS(W1704)&gt;1E-12,Y1704&gt;0,Z1704&gt;0),AA1704,1E+300)</f>
        <v/>
      </c>
    </row>
    <row r="1705">
      <c r="A1705">
        <f>$B$3+$B$5*27</f>
        <v/>
      </c>
      <c r="B1705">
        <f>$B$3+$B$5*46</f>
        <v/>
      </c>
      <c r="C1705">
        <f>SUMPRODUCT(Calc!$K$3:$K$22*(Calc!$G$3:$G$22&lt;=A1705))</f>
        <v/>
      </c>
      <c r="D1705">
        <f>SUMPRODUCT(Calc!$K$3:$K$22*(Calc!$G$3:$G$22&gt;A1705)*(Calc!$G$3:$G$22&lt;B1705))</f>
        <v/>
      </c>
      <c r="E1705">
        <f>SUMPRODUCT(Calc!$K$3:$K$22*(Calc!$G$3:$G$22&gt;=B1705))</f>
        <v/>
      </c>
      <c r="F1705">
        <f>AND(k_n&gt;=5,B1705&gt;A1705+1E-9,C1705&gt;=2,D1705&gt;=1,E1705&gt;=2)</f>
        <v/>
      </c>
      <c r="G1705">
        <f>SUMPRODUCT(Calc!$K$3:$K$22*(Calc!$G$3:$G$22&gt;A1705)*(Calc!$G$3:$G$22-A1705))</f>
        <v/>
      </c>
      <c r="H1705">
        <f>SUMPRODUCT(Calc!$K$3:$K$22*(Calc!$G$3:$G$22&gt;B1705)*(Calc!$G$3:$G$22-B1705))</f>
        <v/>
      </c>
      <c r="I1705">
        <f>SUMPRODUCT(Calc!$K$3:$K$22*(Calc!$G$3:$G$22&gt;A1705)*(Calc!$G$3:$G$22-A1705)^2)</f>
        <v/>
      </c>
      <c r="J1705">
        <f>SUMPRODUCT(Calc!$K$3:$K$22*(Calc!$G$3:$G$22&gt;B1705)*(Calc!$G$3:$G$22-B1705)^2)</f>
        <v/>
      </c>
      <c r="K1705">
        <f>SUMPRODUCT(Calc!$K$3:$K$22*(Calc!$G$3:$G$22&gt;A1705)*(Calc!$G$3:$G$22-A1705)*(Calc!$G$3:$G$22&gt;B1705)*(Calc!$G$3:$G$22-B1705))</f>
        <v/>
      </c>
      <c r="L1705">
        <f>SUMPRODUCT(Calc!$K$3:$K$22*(Calc!$G$3:$G$22&gt;A1705)*(Calc!$G$3:$G$22-A1705)*Calc!$G$3:$G$22)</f>
        <v/>
      </c>
      <c r="M1705">
        <f>SUMPRODUCT(Calc!$K$3:$K$22*(Calc!$G$3:$G$22&gt;B1705)*(Calc!$G$3:$G$22-B1705)*Calc!$G$3:$G$22)</f>
        <v/>
      </c>
      <c r="N1705">
        <f>SUMPRODUCT(Calc!$K$3:$K$22*(Calc!$G$3:$G$22&gt;A1705)*(Calc!$G$3:$G$22-A1705)*Calc!$I$3:$I$22)</f>
        <v/>
      </c>
      <c r="O1705">
        <f>SUMPRODUCT(Calc!$K$3:$K$22*(Calc!$G$3:$G$22&gt;B1705)*(Calc!$G$3:$G$22-B1705)*Calc!$I$3:$I$22)</f>
        <v/>
      </c>
      <c r="P1705">
        <f>I1705-G1705^2/k_n</f>
        <v/>
      </c>
      <c r="Q1705">
        <f>J1705-H1705^2/k_n</f>
        <v/>
      </c>
      <c r="R1705">
        <f>K1705-G1705*H1705/k_n</f>
        <v/>
      </c>
      <c r="S1705">
        <f>L1705-LTP3!$D$3*G1705/k_n</f>
        <v/>
      </c>
      <c r="T1705">
        <f>M1705-LTP3!$D$3*H1705/k_n</f>
        <v/>
      </c>
      <c r="U1705">
        <f>N1705-G1705*LTP3!$D$4/k_n</f>
        <v/>
      </c>
      <c r="V1705">
        <f>O1705-H1705*LTP3!$D$4/k_n</f>
        <v/>
      </c>
      <c r="W1705">
        <f>((LTP3!$D$5)*((P1705)*(Q1705)-(R1705)*(R1705))-(S1705)*((S1705)*(Q1705)-(R1705)*(T1705))+(T1705)*((S1705)*(R1705)-(P1705)*(T1705)))</f>
        <v/>
      </c>
      <c r="X1705">
        <f>IF(ABS(W1705)&gt;1E-12,((LTP3!$D$6)*((P1705)*(Q1705)-(R1705)*(R1705))-(S1705)*((U1705)*(Q1705)-(R1705)*(V1705))+(T1705)*((U1705)*(R1705)-(P1705)*(V1705)))/W1705,0)</f>
        <v/>
      </c>
      <c r="Y1705">
        <f>IF(ABS(W1705)&gt;1E-12,((LTP3!$D$5)*((U1705)*(Q1705)-(R1705)*(V1705))-(LTP3!$D$6)*((S1705)*(Q1705)-(R1705)*(T1705))+(T1705)*((S1705)*(V1705)-(U1705)*(T1705)))/W1705,0)</f>
        <v/>
      </c>
      <c r="Z1705">
        <f>IF(ABS(W1705)&gt;1E-12,((LTP3!$D$5)*((P1705)*(V1705)-(U1705)*(R1705))-(S1705)*((S1705)*(V1705)-(U1705)*(T1705))+(LTP3!$D$6)*((S1705)*(R1705)-(P1705)*(T1705)))/W1705,0)</f>
        <v/>
      </c>
      <c r="AA1705">
        <f>LTP3!$D$7-X1705*LTP3!$D$6-Y1705*U1705-Z1705*V1705</f>
        <v/>
      </c>
      <c r="AB1705">
        <f>IF(AND(F1705,ABS(W1705)&gt;1E-12,Y1705&gt;0,Z1705&gt;0),AA1705,1E+300)</f>
        <v/>
      </c>
    </row>
    <row r="1706">
      <c r="A1706">
        <f>$B$3+$B$5*27</f>
        <v/>
      </c>
      <c r="B1706">
        <f>$B$3+$B$5*47</f>
        <v/>
      </c>
      <c r="C1706">
        <f>SUMPRODUCT(Calc!$K$3:$K$22*(Calc!$G$3:$G$22&lt;=A1706))</f>
        <v/>
      </c>
      <c r="D1706">
        <f>SUMPRODUCT(Calc!$K$3:$K$22*(Calc!$G$3:$G$22&gt;A1706)*(Calc!$G$3:$G$22&lt;B1706))</f>
        <v/>
      </c>
      <c r="E1706">
        <f>SUMPRODUCT(Calc!$K$3:$K$22*(Calc!$G$3:$G$22&gt;=B1706))</f>
        <v/>
      </c>
      <c r="F1706">
        <f>AND(k_n&gt;=5,B1706&gt;A1706+1E-9,C1706&gt;=2,D1706&gt;=1,E1706&gt;=2)</f>
        <v/>
      </c>
      <c r="G1706">
        <f>SUMPRODUCT(Calc!$K$3:$K$22*(Calc!$G$3:$G$22&gt;A1706)*(Calc!$G$3:$G$22-A1706))</f>
        <v/>
      </c>
      <c r="H1706">
        <f>SUMPRODUCT(Calc!$K$3:$K$22*(Calc!$G$3:$G$22&gt;B1706)*(Calc!$G$3:$G$22-B1706))</f>
        <v/>
      </c>
      <c r="I1706">
        <f>SUMPRODUCT(Calc!$K$3:$K$22*(Calc!$G$3:$G$22&gt;A1706)*(Calc!$G$3:$G$22-A1706)^2)</f>
        <v/>
      </c>
      <c r="J1706">
        <f>SUMPRODUCT(Calc!$K$3:$K$22*(Calc!$G$3:$G$22&gt;B1706)*(Calc!$G$3:$G$22-B1706)^2)</f>
        <v/>
      </c>
      <c r="K1706">
        <f>SUMPRODUCT(Calc!$K$3:$K$22*(Calc!$G$3:$G$22&gt;A1706)*(Calc!$G$3:$G$22-A1706)*(Calc!$G$3:$G$22&gt;B1706)*(Calc!$G$3:$G$22-B1706))</f>
        <v/>
      </c>
      <c r="L1706">
        <f>SUMPRODUCT(Calc!$K$3:$K$22*(Calc!$G$3:$G$22&gt;A1706)*(Calc!$G$3:$G$22-A1706)*Calc!$G$3:$G$22)</f>
        <v/>
      </c>
      <c r="M1706">
        <f>SUMPRODUCT(Calc!$K$3:$K$22*(Calc!$G$3:$G$22&gt;B1706)*(Calc!$G$3:$G$22-B1706)*Calc!$G$3:$G$22)</f>
        <v/>
      </c>
      <c r="N1706">
        <f>SUMPRODUCT(Calc!$K$3:$K$22*(Calc!$G$3:$G$22&gt;A1706)*(Calc!$G$3:$G$22-A1706)*Calc!$I$3:$I$22)</f>
        <v/>
      </c>
      <c r="O1706">
        <f>SUMPRODUCT(Calc!$K$3:$K$22*(Calc!$G$3:$G$22&gt;B1706)*(Calc!$G$3:$G$22-B1706)*Calc!$I$3:$I$22)</f>
        <v/>
      </c>
      <c r="P1706">
        <f>I1706-G1706^2/k_n</f>
        <v/>
      </c>
      <c r="Q1706">
        <f>J1706-H1706^2/k_n</f>
        <v/>
      </c>
      <c r="R1706">
        <f>K1706-G1706*H1706/k_n</f>
        <v/>
      </c>
      <c r="S1706">
        <f>L1706-LTP3!$D$3*G1706/k_n</f>
        <v/>
      </c>
      <c r="T1706">
        <f>M1706-LTP3!$D$3*H1706/k_n</f>
        <v/>
      </c>
      <c r="U1706">
        <f>N1706-G1706*LTP3!$D$4/k_n</f>
        <v/>
      </c>
      <c r="V1706">
        <f>O1706-H1706*LTP3!$D$4/k_n</f>
        <v/>
      </c>
      <c r="W1706">
        <f>((LTP3!$D$5)*((P1706)*(Q1706)-(R1706)*(R1706))-(S1706)*((S1706)*(Q1706)-(R1706)*(T1706))+(T1706)*((S1706)*(R1706)-(P1706)*(T1706)))</f>
        <v/>
      </c>
      <c r="X1706">
        <f>IF(ABS(W1706)&gt;1E-12,((LTP3!$D$6)*((P1706)*(Q1706)-(R1706)*(R1706))-(S1706)*((U1706)*(Q1706)-(R1706)*(V1706))+(T1706)*((U1706)*(R1706)-(P1706)*(V1706)))/W1706,0)</f>
        <v/>
      </c>
      <c r="Y1706">
        <f>IF(ABS(W1706)&gt;1E-12,((LTP3!$D$5)*((U1706)*(Q1706)-(R1706)*(V1706))-(LTP3!$D$6)*((S1706)*(Q1706)-(R1706)*(T1706))+(T1706)*((S1706)*(V1706)-(U1706)*(T1706)))/W1706,0)</f>
        <v/>
      </c>
      <c r="Z1706">
        <f>IF(ABS(W1706)&gt;1E-12,((LTP3!$D$5)*((P1706)*(V1706)-(U1706)*(R1706))-(S1706)*((S1706)*(V1706)-(U1706)*(T1706))+(LTP3!$D$6)*((S1706)*(R1706)-(P1706)*(T1706)))/W1706,0)</f>
        <v/>
      </c>
      <c r="AA1706">
        <f>LTP3!$D$7-X1706*LTP3!$D$6-Y1706*U1706-Z1706*V1706</f>
        <v/>
      </c>
      <c r="AB1706">
        <f>IF(AND(F1706,ABS(W1706)&gt;1E-12,Y1706&gt;0,Z1706&gt;0),AA1706,1E+300)</f>
        <v/>
      </c>
    </row>
    <row r="1707">
      <c r="A1707">
        <f>$B$3+$B$5*27</f>
        <v/>
      </c>
      <c r="B1707">
        <f>$B$3+$B$5*48</f>
        <v/>
      </c>
      <c r="C1707">
        <f>SUMPRODUCT(Calc!$K$3:$K$22*(Calc!$G$3:$G$22&lt;=A1707))</f>
        <v/>
      </c>
      <c r="D1707">
        <f>SUMPRODUCT(Calc!$K$3:$K$22*(Calc!$G$3:$G$22&gt;A1707)*(Calc!$G$3:$G$22&lt;B1707))</f>
        <v/>
      </c>
      <c r="E1707">
        <f>SUMPRODUCT(Calc!$K$3:$K$22*(Calc!$G$3:$G$22&gt;=B1707))</f>
        <v/>
      </c>
      <c r="F1707">
        <f>AND(k_n&gt;=5,B1707&gt;A1707+1E-9,C1707&gt;=2,D1707&gt;=1,E1707&gt;=2)</f>
        <v/>
      </c>
      <c r="G1707">
        <f>SUMPRODUCT(Calc!$K$3:$K$22*(Calc!$G$3:$G$22&gt;A1707)*(Calc!$G$3:$G$22-A1707))</f>
        <v/>
      </c>
      <c r="H1707">
        <f>SUMPRODUCT(Calc!$K$3:$K$22*(Calc!$G$3:$G$22&gt;B1707)*(Calc!$G$3:$G$22-B1707))</f>
        <v/>
      </c>
      <c r="I1707">
        <f>SUMPRODUCT(Calc!$K$3:$K$22*(Calc!$G$3:$G$22&gt;A1707)*(Calc!$G$3:$G$22-A1707)^2)</f>
        <v/>
      </c>
      <c r="J1707">
        <f>SUMPRODUCT(Calc!$K$3:$K$22*(Calc!$G$3:$G$22&gt;B1707)*(Calc!$G$3:$G$22-B1707)^2)</f>
        <v/>
      </c>
      <c r="K1707">
        <f>SUMPRODUCT(Calc!$K$3:$K$22*(Calc!$G$3:$G$22&gt;A1707)*(Calc!$G$3:$G$22-A1707)*(Calc!$G$3:$G$22&gt;B1707)*(Calc!$G$3:$G$22-B1707))</f>
        <v/>
      </c>
      <c r="L1707">
        <f>SUMPRODUCT(Calc!$K$3:$K$22*(Calc!$G$3:$G$22&gt;A1707)*(Calc!$G$3:$G$22-A1707)*Calc!$G$3:$G$22)</f>
        <v/>
      </c>
      <c r="M1707">
        <f>SUMPRODUCT(Calc!$K$3:$K$22*(Calc!$G$3:$G$22&gt;B1707)*(Calc!$G$3:$G$22-B1707)*Calc!$G$3:$G$22)</f>
        <v/>
      </c>
      <c r="N1707">
        <f>SUMPRODUCT(Calc!$K$3:$K$22*(Calc!$G$3:$G$22&gt;A1707)*(Calc!$G$3:$G$22-A1707)*Calc!$I$3:$I$22)</f>
        <v/>
      </c>
      <c r="O1707">
        <f>SUMPRODUCT(Calc!$K$3:$K$22*(Calc!$G$3:$G$22&gt;B1707)*(Calc!$G$3:$G$22-B1707)*Calc!$I$3:$I$22)</f>
        <v/>
      </c>
      <c r="P1707">
        <f>I1707-G1707^2/k_n</f>
        <v/>
      </c>
      <c r="Q1707">
        <f>J1707-H1707^2/k_n</f>
        <v/>
      </c>
      <c r="R1707">
        <f>K1707-G1707*H1707/k_n</f>
        <v/>
      </c>
      <c r="S1707">
        <f>L1707-LTP3!$D$3*G1707/k_n</f>
        <v/>
      </c>
      <c r="T1707">
        <f>M1707-LTP3!$D$3*H1707/k_n</f>
        <v/>
      </c>
      <c r="U1707">
        <f>N1707-G1707*LTP3!$D$4/k_n</f>
        <v/>
      </c>
      <c r="V1707">
        <f>O1707-H1707*LTP3!$D$4/k_n</f>
        <v/>
      </c>
      <c r="W1707">
        <f>((LTP3!$D$5)*((P1707)*(Q1707)-(R1707)*(R1707))-(S1707)*((S1707)*(Q1707)-(R1707)*(T1707))+(T1707)*((S1707)*(R1707)-(P1707)*(T1707)))</f>
        <v/>
      </c>
      <c r="X1707">
        <f>IF(ABS(W1707)&gt;1E-12,((LTP3!$D$6)*((P1707)*(Q1707)-(R1707)*(R1707))-(S1707)*((U1707)*(Q1707)-(R1707)*(V1707))+(T1707)*((U1707)*(R1707)-(P1707)*(V1707)))/W1707,0)</f>
        <v/>
      </c>
      <c r="Y1707">
        <f>IF(ABS(W1707)&gt;1E-12,((LTP3!$D$5)*((U1707)*(Q1707)-(R1707)*(V1707))-(LTP3!$D$6)*((S1707)*(Q1707)-(R1707)*(T1707))+(T1707)*((S1707)*(V1707)-(U1707)*(T1707)))/W1707,0)</f>
        <v/>
      </c>
      <c r="Z1707">
        <f>IF(ABS(W1707)&gt;1E-12,((LTP3!$D$5)*((P1707)*(V1707)-(U1707)*(R1707))-(S1707)*((S1707)*(V1707)-(U1707)*(T1707))+(LTP3!$D$6)*((S1707)*(R1707)-(P1707)*(T1707)))/W1707,0)</f>
        <v/>
      </c>
      <c r="AA1707">
        <f>LTP3!$D$7-X1707*LTP3!$D$6-Y1707*U1707-Z1707*V1707</f>
        <v/>
      </c>
      <c r="AB1707">
        <f>IF(AND(F1707,ABS(W1707)&gt;1E-12,Y1707&gt;0,Z1707&gt;0),AA1707,1E+300)</f>
        <v/>
      </c>
    </row>
    <row r="1708">
      <c r="A1708">
        <f>$B$3+$B$5*27</f>
        <v/>
      </c>
      <c r="B1708">
        <f>$B$3+$B$5*49</f>
        <v/>
      </c>
      <c r="C1708">
        <f>SUMPRODUCT(Calc!$K$3:$K$22*(Calc!$G$3:$G$22&lt;=A1708))</f>
        <v/>
      </c>
      <c r="D1708">
        <f>SUMPRODUCT(Calc!$K$3:$K$22*(Calc!$G$3:$G$22&gt;A1708)*(Calc!$G$3:$G$22&lt;B1708))</f>
        <v/>
      </c>
      <c r="E1708">
        <f>SUMPRODUCT(Calc!$K$3:$K$22*(Calc!$G$3:$G$22&gt;=B1708))</f>
        <v/>
      </c>
      <c r="F1708">
        <f>AND(k_n&gt;=5,B1708&gt;A1708+1E-9,C1708&gt;=2,D1708&gt;=1,E1708&gt;=2)</f>
        <v/>
      </c>
      <c r="G1708">
        <f>SUMPRODUCT(Calc!$K$3:$K$22*(Calc!$G$3:$G$22&gt;A1708)*(Calc!$G$3:$G$22-A1708))</f>
        <v/>
      </c>
      <c r="H1708">
        <f>SUMPRODUCT(Calc!$K$3:$K$22*(Calc!$G$3:$G$22&gt;B1708)*(Calc!$G$3:$G$22-B1708))</f>
        <v/>
      </c>
      <c r="I1708">
        <f>SUMPRODUCT(Calc!$K$3:$K$22*(Calc!$G$3:$G$22&gt;A1708)*(Calc!$G$3:$G$22-A1708)^2)</f>
        <v/>
      </c>
      <c r="J1708">
        <f>SUMPRODUCT(Calc!$K$3:$K$22*(Calc!$G$3:$G$22&gt;B1708)*(Calc!$G$3:$G$22-B1708)^2)</f>
        <v/>
      </c>
      <c r="K1708">
        <f>SUMPRODUCT(Calc!$K$3:$K$22*(Calc!$G$3:$G$22&gt;A1708)*(Calc!$G$3:$G$22-A1708)*(Calc!$G$3:$G$22&gt;B1708)*(Calc!$G$3:$G$22-B1708))</f>
        <v/>
      </c>
      <c r="L1708">
        <f>SUMPRODUCT(Calc!$K$3:$K$22*(Calc!$G$3:$G$22&gt;A1708)*(Calc!$G$3:$G$22-A1708)*Calc!$G$3:$G$22)</f>
        <v/>
      </c>
      <c r="M1708">
        <f>SUMPRODUCT(Calc!$K$3:$K$22*(Calc!$G$3:$G$22&gt;B1708)*(Calc!$G$3:$G$22-B1708)*Calc!$G$3:$G$22)</f>
        <v/>
      </c>
      <c r="N1708">
        <f>SUMPRODUCT(Calc!$K$3:$K$22*(Calc!$G$3:$G$22&gt;A1708)*(Calc!$G$3:$G$22-A1708)*Calc!$I$3:$I$22)</f>
        <v/>
      </c>
      <c r="O1708">
        <f>SUMPRODUCT(Calc!$K$3:$K$22*(Calc!$G$3:$G$22&gt;B1708)*(Calc!$G$3:$G$22-B1708)*Calc!$I$3:$I$22)</f>
        <v/>
      </c>
      <c r="P1708">
        <f>I1708-G1708^2/k_n</f>
        <v/>
      </c>
      <c r="Q1708">
        <f>J1708-H1708^2/k_n</f>
        <v/>
      </c>
      <c r="R1708">
        <f>K1708-G1708*H1708/k_n</f>
        <v/>
      </c>
      <c r="S1708">
        <f>L1708-LTP3!$D$3*G1708/k_n</f>
        <v/>
      </c>
      <c r="T1708">
        <f>M1708-LTP3!$D$3*H1708/k_n</f>
        <v/>
      </c>
      <c r="U1708">
        <f>N1708-G1708*LTP3!$D$4/k_n</f>
        <v/>
      </c>
      <c r="V1708">
        <f>O1708-H1708*LTP3!$D$4/k_n</f>
        <v/>
      </c>
      <c r="W1708">
        <f>((LTP3!$D$5)*((P1708)*(Q1708)-(R1708)*(R1708))-(S1708)*((S1708)*(Q1708)-(R1708)*(T1708))+(T1708)*((S1708)*(R1708)-(P1708)*(T1708)))</f>
        <v/>
      </c>
      <c r="X1708">
        <f>IF(ABS(W1708)&gt;1E-12,((LTP3!$D$6)*((P1708)*(Q1708)-(R1708)*(R1708))-(S1708)*((U1708)*(Q1708)-(R1708)*(V1708))+(T1708)*((U1708)*(R1708)-(P1708)*(V1708)))/W1708,0)</f>
        <v/>
      </c>
      <c r="Y1708">
        <f>IF(ABS(W1708)&gt;1E-12,((LTP3!$D$5)*((U1708)*(Q1708)-(R1708)*(V1708))-(LTP3!$D$6)*((S1708)*(Q1708)-(R1708)*(T1708))+(T1708)*((S1708)*(V1708)-(U1708)*(T1708)))/W1708,0)</f>
        <v/>
      </c>
      <c r="Z1708">
        <f>IF(ABS(W1708)&gt;1E-12,((LTP3!$D$5)*((P1708)*(V1708)-(U1708)*(R1708))-(S1708)*((S1708)*(V1708)-(U1708)*(T1708))+(LTP3!$D$6)*((S1708)*(R1708)-(P1708)*(T1708)))/W1708,0)</f>
        <v/>
      </c>
      <c r="AA1708">
        <f>LTP3!$D$7-X1708*LTP3!$D$6-Y1708*U1708-Z1708*V1708</f>
        <v/>
      </c>
      <c r="AB1708">
        <f>IF(AND(F1708,ABS(W1708)&gt;1E-12,Y1708&gt;0,Z1708&gt;0),AA1708,1E+300)</f>
        <v/>
      </c>
    </row>
    <row r="1709">
      <c r="A1709">
        <f>$B$3+$B$5*27</f>
        <v/>
      </c>
      <c r="B1709">
        <f>$B$3+$B$5*50</f>
        <v/>
      </c>
      <c r="C1709">
        <f>SUMPRODUCT(Calc!$K$3:$K$22*(Calc!$G$3:$G$22&lt;=A1709))</f>
        <v/>
      </c>
      <c r="D1709">
        <f>SUMPRODUCT(Calc!$K$3:$K$22*(Calc!$G$3:$G$22&gt;A1709)*(Calc!$G$3:$G$22&lt;B1709))</f>
        <v/>
      </c>
      <c r="E1709">
        <f>SUMPRODUCT(Calc!$K$3:$K$22*(Calc!$G$3:$G$22&gt;=B1709))</f>
        <v/>
      </c>
      <c r="F1709">
        <f>AND(k_n&gt;=5,B1709&gt;A1709+1E-9,C1709&gt;=2,D1709&gt;=1,E1709&gt;=2)</f>
        <v/>
      </c>
      <c r="G1709">
        <f>SUMPRODUCT(Calc!$K$3:$K$22*(Calc!$G$3:$G$22&gt;A1709)*(Calc!$G$3:$G$22-A1709))</f>
        <v/>
      </c>
      <c r="H1709">
        <f>SUMPRODUCT(Calc!$K$3:$K$22*(Calc!$G$3:$G$22&gt;B1709)*(Calc!$G$3:$G$22-B1709))</f>
        <v/>
      </c>
      <c r="I1709">
        <f>SUMPRODUCT(Calc!$K$3:$K$22*(Calc!$G$3:$G$22&gt;A1709)*(Calc!$G$3:$G$22-A1709)^2)</f>
        <v/>
      </c>
      <c r="J1709">
        <f>SUMPRODUCT(Calc!$K$3:$K$22*(Calc!$G$3:$G$22&gt;B1709)*(Calc!$G$3:$G$22-B1709)^2)</f>
        <v/>
      </c>
      <c r="K1709">
        <f>SUMPRODUCT(Calc!$K$3:$K$22*(Calc!$G$3:$G$22&gt;A1709)*(Calc!$G$3:$G$22-A1709)*(Calc!$G$3:$G$22&gt;B1709)*(Calc!$G$3:$G$22-B1709))</f>
        <v/>
      </c>
      <c r="L1709">
        <f>SUMPRODUCT(Calc!$K$3:$K$22*(Calc!$G$3:$G$22&gt;A1709)*(Calc!$G$3:$G$22-A1709)*Calc!$G$3:$G$22)</f>
        <v/>
      </c>
      <c r="M1709">
        <f>SUMPRODUCT(Calc!$K$3:$K$22*(Calc!$G$3:$G$22&gt;B1709)*(Calc!$G$3:$G$22-B1709)*Calc!$G$3:$G$22)</f>
        <v/>
      </c>
      <c r="N1709">
        <f>SUMPRODUCT(Calc!$K$3:$K$22*(Calc!$G$3:$G$22&gt;A1709)*(Calc!$G$3:$G$22-A1709)*Calc!$I$3:$I$22)</f>
        <v/>
      </c>
      <c r="O1709">
        <f>SUMPRODUCT(Calc!$K$3:$K$22*(Calc!$G$3:$G$22&gt;B1709)*(Calc!$G$3:$G$22-B1709)*Calc!$I$3:$I$22)</f>
        <v/>
      </c>
      <c r="P1709">
        <f>I1709-G1709^2/k_n</f>
        <v/>
      </c>
      <c r="Q1709">
        <f>J1709-H1709^2/k_n</f>
        <v/>
      </c>
      <c r="R1709">
        <f>K1709-G1709*H1709/k_n</f>
        <v/>
      </c>
      <c r="S1709">
        <f>L1709-LTP3!$D$3*G1709/k_n</f>
        <v/>
      </c>
      <c r="T1709">
        <f>M1709-LTP3!$D$3*H1709/k_n</f>
        <v/>
      </c>
      <c r="U1709">
        <f>N1709-G1709*LTP3!$D$4/k_n</f>
        <v/>
      </c>
      <c r="V1709">
        <f>O1709-H1709*LTP3!$D$4/k_n</f>
        <v/>
      </c>
      <c r="W1709">
        <f>((LTP3!$D$5)*((P1709)*(Q1709)-(R1709)*(R1709))-(S1709)*((S1709)*(Q1709)-(R1709)*(T1709))+(T1709)*((S1709)*(R1709)-(P1709)*(T1709)))</f>
        <v/>
      </c>
      <c r="X1709">
        <f>IF(ABS(W1709)&gt;1E-12,((LTP3!$D$6)*((P1709)*(Q1709)-(R1709)*(R1709))-(S1709)*((U1709)*(Q1709)-(R1709)*(V1709))+(T1709)*((U1709)*(R1709)-(P1709)*(V1709)))/W1709,0)</f>
        <v/>
      </c>
      <c r="Y1709">
        <f>IF(ABS(W1709)&gt;1E-12,((LTP3!$D$5)*((U1709)*(Q1709)-(R1709)*(V1709))-(LTP3!$D$6)*((S1709)*(Q1709)-(R1709)*(T1709))+(T1709)*((S1709)*(V1709)-(U1709)*(T1709)))/W1709,0)</f>
        <v/>
      </c>
      <c r="Z1709">
        <f>IF(ABS(W1709)&gt;1E-12,((LTP3!$D$5)*((P1709)*(V1709)-(U1709)*(R1709))-(S1709)*((S1709)*(V1709)-(U1709)*(T1709))+(LTP3!$D$6)*((S1709)*(R1709)-(P1709)*(T1709)))/W1709,0)</f>
        <v/>
      </c>
      <c r="AA1709">
        <f>LTP3!$D$7-X1709*LTP3!$D$6-Y1709*U1709-Z1709*V1709</f>
        <v/>
      </c>
      <c r="AB1709">
        <f>IF(AND(F1709,ABS(W1709)&gt;1E-12,Y1709&gt;0,Z1709&gt;0),AA1709,1E+300)</f>
        <v/>
      </c>
    </row>
    <row r="1710">
      <c r="A1710">
        <f>$B$3+$B$5*27</f>
        <v/>
      </c>
      <c r="B1710">
        <f>$B$3+$B$5*51</f>
        <v/>
      </c>
      <c r="C1710">
        <f>SUMPRODUCT(Calc!$K$3:$K$22*(Calc!$G$3:$G$22&lt;=A1710))</f>
        <v/>
      </c>
      <c r="D1710">
        <f>SUMPRODUCT(Calc!$K$3:$K$22*(Calc!$G$3:$G$22&gt;A1710)*(Calc!$G$3:$G$22&lt;B1710))</f>
        <v/>
      </c>
      <c r="E1710">
        <f>SUMPRODUCT(Calc!$K$3:$K$22*(Calc!$G$3:$G$22&gt;=B1710))</f>
        <v/>
      </c>
      <c r="F1710">
        <f>AND(k_n&gt;=5,B1710&gt;A1710+1E-9,C1710&gt;=2,D1710&gt;=1,E1710&gt;=2)</f>
        <v/>
      </c>
      <c r="G1710">
        <f>SUMPRODUCT(Calc!$K$3:$K$22*(Calc!$G$3:$G$22&gt;A1710)*(Calc!$G$3:$G$22-A1710))</f>
        <v/>
      </c>
      <c r="H1710">
        <f>SUMPRODUCT(Calc!$K$3:$K$22*(Calc!$G$3:$G$22&gt;B1710)*(Calc!$G$3:$G$22-B1710))</f>
        <v/>
      </c>
      <c r="I1710">
        <f>SUMPRODUCT(Calc!$K$3:$K$22*(Calc!$G$3:$G$22&gt;A1710)*(Calc!$G$3:$G$22-A1710)^2)</f>
        <v/>
      </c>
      <c r="J1710">
        <f>SUMPRODUCT(Calc!$K$3:$K$22*(Calc!$G$3:$G$22&gt;B1710)*(Calc!$G$3:$G$22-B1710)^2)</f>
        <v/>
      </c>
      <c r="K1710">
        <f>SUMPRODUCT(Calc!$K$3:$K$22*(Calc!$G$3:$G$22&gt;A1710)*(Calc!$G$3:$G$22-A1710)*(Calc!$G$3:$G$22&gt;B1710)*(Calc!$G$3:$G$22-B1710))</f>
        <v/>
      </c>
      <c r="L1710">
        <f>SUMPRODUCT(Calc!$K$3:$K$22*(Calc!$G$3:$G$22&gt;A1710)*(Calc!$G$3:$G$22-A1710)*Calc!$G$3:$G$22)</f>
        <v/>
      </c>
      <c r="M1710">
        <f>SUMPRODUCT(Calc!$K$3:$K$22*(Calc!$G$3:$G$22&gt;B1710)*(Calc!$G$3:$G$22-B1710)*Calc!$G$3:$G$22)</f>
        <v/>
      </c>
      <c r="N1710">
        <f>SUMPRODUCT(Calc!$K$3:$K$22*(Calc!$G$3:$G$22&gt;A1710)*(Calc!$G$3:$G$22-A1710)*Calc!$I$3:$I$22)</f>
        <v/>
      </c>
      <c r="O1710">
        <f>SUMPRODUCT(Calc!$K$3:$K$22*(Calc!$G$3:$G$22&gt;B1710)*(Calc!$G$3:$G$22-B1710)*Calc!$I$3:$I$22)</f>
        <v/>
      </c>
      <c r="P1710">
        <f>I1710-G1710^2/k_n</f>
        <v/>
      </c>
      <c r="Q1710">
        <f>J1710-H1710^2/k_n</f>
        <v/>
      </c>
      <c r="R1710">
        <f>K1710-G1710*H1710/k_n</f>
        <v/>
      </c>
      <c r="S1710">
        <f>L1710-LTP3!$D$3*G1710/k_n</f>
        <v/>
      </c>
      <c r="T1710">
        <f>M1710-LTP3!$D$3*H1710/k_n</f>
        <v/>
      </c>
      <c r="U1710">
        <f>N1710-G1710*LTP3!$D$4/k_n</f>
        <v/>
      </c>
      <c r="V1710">
        <f>O1710-H1710*LTP3!$D$4/k_n</f>
        <v/>
      </c>
      <c r="W1710">
        <f>((LTP3!$D$5)*((P1710)*(Q1710)-(R1710)*(R1710))-(S1710)*((S1710)*(Q1710)-(R1710)*(T1710))+(T1710)*((S1710)*(R1710)-(P1710)*(T1710)))</f>
        <v/>
      </c>
      <c r="X1710">
        <f>IF(ABS(W1710)&gt;1E-12,((LTP3!$D$6)*((P1710)*(Q1710)-(R1710)*(R1710))-(S1710)*((U1710)*(Q1710)-(R1710)*(V1710))+(T1710)*((U1710)*(R1710)-(P1710)*(V1710)))/W1710,0)</f>
        <v/>
      </c>
      <c r="Y1710">
        <f>IF(ABS(W1710)&gt;1E-12,((LTP3!$D$5)*((U1710)*(Q1710)-(R1710)*(V1710))-(LTP3!$D$6)*((S1710)*(Q1710)-(R1710)*(T1710))+(T1710)*((S1710)*(V1710)-(U1710)*(T1710)))/W1710,0)</f>
        <v/>
      </c>
      <c r="Z1710">
        <f>IF(ABS(W1710)&gt;1E-12,((LTP3!$D$5)*((P1710)*(V1710)-(U1710)*(R1710))-(S1710)*((S1710)*(V1710)-(U1710)*(T1710))+(LTP3!$D$6)*((S1710)*(R1710)-(P1710)*(T1710)))/W1710,0)</f>
        <v/>
      </c>
      <c r="AA1710">
        <f>LTP3!$D$7-X1710*LTP3!$D$6-Y1710*U1710-Z1710*V1710</f>
        <v/>
      </c>
      <c r="AB1710">
        <f>IF(AND(F1710,ABS(W1710)&gt;1E-12,Y1710&gt;0,Z1710&gt;0),AA1710,1E+300)</f>
        <v/>
      </c>
    </row>
    <row r="1711">
      <c r="A1711">
        <f>$B$3+$B$5*27</f>
        <v/>
      </c>
      <c r="B1711">
        <f>$B$3+$B$5*52</f>
        <v/>
      </c>
      <c r="C1711">
        <f>SUMPRODUCT(Calc!$K$3:$K$22*(Calc!$G$3:$G$22&lt;=A1711))</f>
        <v/>
      </c>
      <c r="D1711">
        <f>SUMPRODUCT(Calc!$K$3:$K$22*(Calc!$G$3:$G$22&gt;A1711)*(Calc!$G$3:$G$22&lt;B1711))</f>
        <v/>
      </c>
      <c r="E1711">
        <f>SUMPRODUCT(Calc!$K$3:$K$22*(Calc!$G$3:$G$22&gt;=B1711))</f>
        <v/>
      </c>
      <c r="F1711">
        <f>AND(k_n&gt;=5,B1711&gt;A1711+1E-9,C1711&gt;=2,D1711&gt;=1,E1711&gt;=2)</f>
        <v/>
      </c>
      <c r="G1711">
        <f>SUMPRODUCT(Calc!$K$3:$K$22*(Calc!$G$3:$G$22&gt;A1711)*(Calc!$G$3:$G$22-A1711))</f>
        <v/>
      </c>
      <c r="H1711">
        <f>SUMPRODUCT(Calc!$K$3:$K$22*(Calc!$G$3:$G$22&gt;B1711)*(Calc!$G$3:$G$22-B1711))</f>
        <v/>
      </c>
      <c r="I1711">
        <f>SUMPRODUCT(Calc!$K$3:$K$22*(Calc!$G$3:$G$22&gt;A1711)*(Calc!$G$3:$G$22-A1711)^2)</f>
        <v/>
      </c>
      <c r="J1711">
        <f>SUMPRODUCT(Calc!$K$3:$K$22*(Calc!$G$3:$G$22&gt;B1711)*(Calc!$G$3:$G$22-B1711)^2)</f>
        <v/>
      </c>
      <c r="K1711">
        <f>SUMPRODUCT(Calc!$K$3:$K$22*(Calc!$G$3:$G$22&gt;A1711)*(Calc!$G$3:$G$22-A1711)*(Calc!$G$3:$G$22&gt;B1711)*(Calc!$G$3:$G$22-B1711))</f>
        <v/>
      </c>
      <c r="L1711">
        <f>SUMPRODUCT(Calc!$K$3:$K$22*(Calc!$G$3:$G$22&gt;A1711)*(Calc!$G$3:$G$22-A1711)*Calc!$G$3:$G$22)</f>
        <v/>
      </c>
      <c r="M1711">
        <f>SUMPRODUCT(Calc!$K$3:$K$22*(Calc!$G$3:$G$22&gt;B1711)*(Calc!$G$3:$G$22-B1711)*Calc!$G$3:$G$22)</f>
        <v/>
      </c>
      <c r="N1711">
        <f>SUMPRODUCT(Calc!$K$3:$K$22*(Calc!$G$3:$G$22&gt;A1711)*(Calc!$G$3:$G$22-A1711)*Calc!$I$3:$I$22)</f>
        <v/>
      </c>
      <c r="O1711">
        <f>SUMPRODUCT(Calc!$K$3:$K$22*(Calc!$G$3:$G$22&gt;B1711)*(Calc!$G$3:$G$22-B1711)*Calc!$I$3:$I$22)</f>
        <v/>
      </c>
      <c r="P1711">
        <f>I1711-G1711^2/k_n</f>
        <v/>
      </c>
      <c r="Q1711">
        <f>J1711-H1711^2/k_n</f>
        <v/>
      </c>
      <c r="R1711">
        <f>K1711-G1711*H1711/k_n</f>
        <v/>
      </c>
      <c r="S1711">
        <f>L1711-LTP3!$D$3*G1711/k_n</f>
        <v/>
      </c>
      <c r="T1711">
        <f>M1711-LTP3!$D$3*H1711/k_n</f>
        <v/>
      </c>
      <c r="U1711">
        <f>N1711-G1711*LTP3!$D$4/k_n</f>
        <v/>
      </c>
      <c r="V1711">
        <f>O1711-H1711*LTP3!$D$4/k_n</f>
        <v/>
      </c>
      <c r="W1711">
        <f>((LTP3!$D$5)*((P1711)*(Q1711)-(R1711)*(R1711))-(S1711)*((S1711)*(Q1711)-(R1711)*(T1711))+(T1711)*((S1711)*(R1711)-(P1711)*(T1711)))</f>
        <v/>
      </c>
      <c r="X1711">
        <f>IF(ABS(W1711)&gt;1E-12,((LTP3!$D$6)*((P1711)*(Q1711)-(R1711)*(R1711))-(S1711)*((U1711)*(Q1711)-(R1711)*(V1711))+(T1711)*((U1711)*(R1711)-(P1711)*(V1711)))/W1711,0)</f>
        <v/>
      </c>
      <c r="Y1711">
        <f>IF(ABS(W1711)&gt;1E-12,((LTP3!$D$5)*((U1711)*(Q1711)-(R1711)*(V1711))-(LTP3!$D$6)*((S1711)*(Q1711)-(R1711)*(T1711))+(T1711)*((S1711)*(V1711)-(U1711)*(T1711)))/W1711,0)</f>
        <v/>
      </c>
      <c r="Z1711">
        <f>IF(ABS(W1711)&gt;1E-12,((LTP3!$D$5)*((P1711)*(V1711)-(U1711)*(R1711))-(S1711)*((S1711)*(V1711)-(U1711)*(T1711))+(LTP3!$D$6)*((S1711)*(R1711)-(P1711)*(T1711)))/W1711,0)</f>
        <v/>
      </c>
      <c r="AA1711">
        <f>LTP3!$D$7-X1711*LTP3!$D$6-Y1711*U1711-Z1711*V1711</f>
        <v/>
      </c>
      <c r="AB1711">
        <f>IF(AND(F1711,ABS(W1711)&gt;1E-12,Y1711&gt;0,Z1711&gt;0),AA1711,1E+300)</f>
        <v/>
      </c>
    </row>
    <row r="1712">
      <c r="A1712">
        <f>$B$3+$B$5*27</f>
        <v/>
      </c>
      <c r="B1712">
        <f>$B$3+$B$5*53</f>
        <v/>
      </c>
      <c r="C1712">
        <f>SUMPRODUCT(Calc!$K$3:$K$22*(Calc!$G$3:$G$22&lt;=A1712))</f>
        <v/>
      </c>
      <c r="D1712">
        <f>SUMPRODUCT(Calc!$K$3:$K$22*(Calc!$G$3:$G$22&gt;A1712)*(Calc!$G$3:$G$22&lt;B1712))</f>
        <v/>
      </c>
      <c r="E1712">
        <f>SUMPRODUCT(Calc!$K$3:$K$22*(Calc!$G$3:$G$22&gt;=B1712))</f>
        <v/>
      </c>
      <c r="F1712">
        <f>AND(k_n&gt;=5,B1712&gt;A1712+1E-9,C1712&gt;=2,D1712&gt;=1,E1712&gt;=2)</f>
        <v/>
      </c>
      <c r="G1712">
        <f>SUMPRODUCT(Calc!$K$3:$K$22*(Calc!$G$3:$G$22&gt;A1712)*(Calc!$G$3:$G$22-A1712))</f>
        <v/>
      </c>
      <c r="H1712">
        <f>SUMPRODUCT(Calc!$K$3:$K$22*(Calc!$G$3:$G$22&gt;B1712)*(Calc!$G$3:$G$22-B1712))</f>
        <v/>
      </c>
      <c r="I1712">
        <f>SUMPRODUCT(Calc!$K$3:$K$22*(Calc!$G$3:$G$22&gt;A1712)*(Calc!$G$3:$G$22-A1712)^2)</f>
        <v/>
      </c>
      <c r="J1712">
        <f>SUMPRODUCT(Calc!$K$3:$K$22*(Calc!$G$3:$G$22&gt;B1712)*(Calc!$G$3:$G$22-B1712)^2)</f>
        <v/>
      </c>
      <c r="K1712">
        <f>SUMPRODUCT(Calc!$K$3:$K$22*(Calc!$G$3:$G$22&gt;A1712)*(Calc!$G$3:$G$22-A1712)*(Calc!$G$3:$G$22&gt;B1712)*(Calc!$G$3:$G$22-B1712))</f>
        <v/>
      </c>
      <c r="L1712">
        <f>SUMPRODUCT(Calc!$K$3:$K$22*(Calc!$G$3:$G$22&gt;A1712)*(Calc!$G$3:$G$22-A1712)*Calc!$G$3:$G$22)</f>
        <v/>
      </c>
      <c r="M1712">
        <f>SUMPRODUCT(Calc!$K$3:$K$22*(Calc!$G$3:$G$22&gt;B1712)*(Calc!$G$3:$G$22-B1712)*Calc!$G$3:$G$22)</f>
        <v/>
      </c>
      <c r="N1712">
        <f>SUMPRODUCT(Calc!$K$3:$K$22*(Calc!$G$3:$G$22&gt;A1712)*(Calc!$G$3:$G$22-A1712)*Calc!$I$3:$I$22)</f>
        <v/>
      </c>
      <c r="O1712">
        <f>SUMPRODUCT(Calc!$K$3:$K$22*(Calc!$G$3:$G$22&gt;B1712)*(Calc!$G$3:$G$22-B1712)*Calc!$I$3:$I$22)</f>
        <v/>
      </c>
      <c r="P1712">
        <f>I1712-G1712^2/k_n</f>
        <v/>
      </c>
      <c r="Q1712">
        <f>J1712-H1712^2/k_n</f>
        <v/>
      </c>
      <c r="R1712">
        <f>K1712-G1712*H1712/k_n</f>
        <v/>
      </c>
      <c r="S1712">
        <f>L1712-LTP3!$D$3*G1712/k_n</f>
        <v/>
      </c>
      <c r="T1712">
        <f>M1712-LTP3!$D$3*H1712/k_n</f>
        <v/>
      </c>
      <c r="U1712">
        <f>N1712-G1712*LTP3!$D$4/k_n</f>
        <v/>
      </c>
      <c r="V1712">
        <f>O1712-H1712*LTP3!$D$4/k_n</f>
        <v/>
      </c>
      <c r="W1712">
        <f>((LTP3!$D$5)*((P1712)*(Q1712)-(R1712)*(R1712))-(S1712)*((S1712)*(Q1712)-(R1712)*(T1712))+(T1712)*((S1712)*(R1712)-(P1712)*(T1712)))</f>
        <v/>
      </c>
      <c r="X1712">
        <f>IF(ABS(W1712)&gt;1E-12,((LTP3!$D$6)*((P1712)*(Q1712)-(R1712)*(R1712))-(S1712)*((U1712)*(Q1712)-(R1712)*(V1712))+(T1712)*((U1712)*(R1712)-(P1712)*(V1712)))/W1712,0)</f>
        <v/>
      </c>
      <c r="Y1712">
        <f>IF(ABS(W1712)&gt;1E-12,((LTP3!$D$5)*((U1712)*(Q1712)-(R1712)*(V1712))-(LTP3!$D$6)*((S1712)*(Q1712)-(R1712)*(T1712))+(T1712)*((S1712)*(V1712)-(U1712)*(T1712)))/W1712,0)</f>
        <v/>
      </c>
      <c r="Z1712">
        <f>IF(ABS(W1712)&gt;1E-12,((LTP3!$D$5)*((P1712)*(V1712)-(U1712)*(R1712))-(S1712)*((S1712)*(V1712)-(U1712)*(T1712))+(LTP3!$D$6)*((S1712)*(R1712)-(P1712)*(T1712)))/W1712,0)</f>
        <v/>
      </c>
      <c r="AA1712">
        <f>LTP3!$D$7-X1712*LTP3!$D$6-Y1712*U1712-Z1712*V1712</f>
        <v/>
      </c>
      <c r="AB1712">
        <f>IF(AND(F1712,ABS(W1712)&gt;1E-12,Y1712&gt;0,Z1712&gt;0),AA1712,1E+300)</f>
        <v/>
      </c>
    </row>
    <row r="1713">
      <c r="A1713">
        <f>$B$3+$B$5*27</f>
        <v/>
      </c>
      <c r="B1713">
        <f>$B$3+$B$5*54</f>
        <v/>
      </c>
      <c r="C1713">
        <f>SUMPRODUCT(Calc!$K$3:$K$22*(Calc!$G$3:$G$22&lt;=A1713))</f>
        <v/>
      </c>
      <c r="D1713">
        <f>SUMPRODUCT(Calc!$K$3:$K$22*(Calc!$G$3:$G$22&gt;A1713)*(Calc!$G$3:$G$22&lt;B1713))</f>
        <v/>
      </c>
      <c r="E1713">
        <f>SUMPRODUCT(Calc!$K$3:$K$22*(Calc!$G$3:$G$22&gt;=B1713))</f>
        <v/>
      </c>
      <c r="F1713">
        <f>AND(k_n&gt;=5,B1713&gt;A1713+1E-9,C1713&gt;=2,D1713&gt;=1,E1713&gt;=2)</f>
        <v/>
      </c>
      <c r="G1713">
        <f>SUMPRODUCT(Calc!$K$3:$K$22*(Calc!$G$3:$G$22&gt;A1713)*(Calc!$G$3:$G$22-A1713))</f>
        <v/>
      </c>
      <c r="H1713">
        <f>SUMPRODUCT(Calc!$K$3:$K$22*(Calc!$G$3:$G$22&gt;B1713)*(Calc!$G$3:$G$22-B1713))</f>
        <v/>
      </c>
      <c r="I1713">
        <f>SUMPRODUCT(Calc!$K$3:$K$22*(Calc!$G$3:$G$22&gt;A1713)*(Calc!$G$3:$G$22-A1713)^2)</f>
        <v/>
      </c>
      <c r="J1713">
        <f>SUMPRODUCT(Calc!$K$3:$K$22*(Calc!$G$3:$G$22&gt;B1713)*(Calc!$G$3:$G$22-B1713)^2)</f>
        <v/>
      </c>
      <c r="K1713">
        <f>SUMPRODUCT(Calc!$K$3:$K$22*(Calc!$G$3:$G$22&gt;A1713)*(Calc!$G$3:$G$22-A1713)*(Calc!$G$3:$G$22&gt;B1713)*(Calc!$G$3:$G$22-B1713))</f>
        <v/>
      </c>
      <c r="L1713">
        <f>SUMPRODUCT(Calc!$K$3:$K$22*(Calc!$G$3:$G$22&gt;A1713)*(Calc!$G$3:$G$22-A1713)*Calc!$G$3:$G$22)</f>
        <v/>
      </c>
      <c r="M1713">
        <f>SUMPRODUCT(Calc!$K$3:$K$22*(Calc!$G$3:$G$22&gt;B1713)*(Calc!$G$3:$G$22-B1713)*Calc!$G$3:$G$22)</f>
        <v/>
      </c>
      <c r="N1713">
        <f>SUMPRODUCT(Calc!$K$3:$K$22*(Calc!$G$3:$G$22&gt;A1713)*(Calc!$G$3:$G$22-A1713)*Calc!$I$3:$I$22)</f>
        <v/>
      </c>
      <c r="O1713">
        <f>SUMPRODUCT(Calc!$K$3:$K$22*(Calc!$G$3:$G$22&gt;B1713)*(Calc!$G$3:$G$22-B1713)*Calc!$I$3:$I$22)</f>
        <v/>
      </c>
      <c r="P1713">
        <f>I1713-G1713^2/k_n</f>
        <v/>
      </c>
      <c r="Q1713">
        <f>J1713-H1713^2/k_n</f>
        <v/>
      </c>
      <c r="R1713">
        <f>K1713-G1713*H1713/k_n</f>
        <v/>
      </c>
      <c r="S1713">
        <f>L1713-LTP3!$D$3*G1713/k_n</f>
        <v/>
      </c>
      <c r="T1713">
        <f>M1713-LTP3!$D$3*H1713/k_n</f>
        <v/>
      </c>
      <c r="U1713">
        <f>N1713-G1713*LTP3!$D$4/k_n</f>
        <v/>
      </c>
      <c r="V1713">
        <f>O1713-H1713*LTP3!$D$4/k_n</f>
        <v/>
      </c>
      <c r="W1713">
        <f>((LTP3!$D$5)*((P1713)*(Q1713)-(R1713)*(R1713))-(S1713)*((S1713)*(Q1713)-(R1713)*(T1713))+(T1713)*((S1713)*(R1713)-(P1713)*(T1713)))</f>
        <v/>
      </c>
      <c r="X1713">
        <f>IF(ABS(W1713)&gt;1E-12,((LTP3!$D$6)*((P1713)*(Q1713)-(R1713)*(R1713))-(S1713)*((U1713)*(Q1713)-(R1713)*(V1713))+(T1713)*((U1713)*(R1713)-(P1713)*(V1713)))/W1713,0)</f>
        <v/>
      </c>
      <c r="Y1713">
        <f>IF(ABS(W1713)&gt;1E-12,((LTP3!$D$5)*((U1713)*(Q1713)-(R1713)*(V1713))-(LTP3!$D$6)*((S1713)*(Q1713)-(R1713)*(T1713))+(T1713)*((S1713)*(V1713)-(U1713)*(T1713)))/W1713,0)</f>
        <v/>
      </c>
      <c r="Z1713">
        <f>IF(ABS(W1713)&gt;1E-12,((LTP3!$D$5)*((P1713)*(V1713)-(U1713)*(R1713))-(S1713)*((S1713)*(V1713)-(U1713)*(T1713))+(LTP3!$D$6)*((S1713)*(R1713)-(P1713)*(T1713)))/W1713,0)</f>
        <v/>
      </c>
      <c r="AA1713">
        <f>LTP3!$D$7-X1713*LTP3!$D$6-Y1713*U1713-Z1713*V1713</f>
        <v/>
      </c>
      <c r="AB1713">
        <f>IF(AND(F1713,ABS(W1713)&gt;1E-12,Y1713&gt;0,Z1713&gt;0),AA1713,1E+300)</f>
        <v/>
      </c>
    </row>
    <row r="1714">
      <c r="A1714">
        <f>$B$3+$B$5*27</f>
        <v/>
      </c>
      <c r="B1714">
        <f>$B$3+$B$5*55</f>
        <v/>
      </c>
      <c r="C1714">
        <f>SUMPRODUCT(Calc!$K$3:$K$22*(Calc!$G$3:$G$22&lt;=A1714))</f>
        <v/>
      </c>
      <c r="D1714">
        <f>SUMPRODUCT(Calc!$K$3:$K$22*(Calc!$G$3:$G$22&gt;A1714)*(Calc!$G$3:$G$22&lt;B1714))</f>
        <v/>
      </c>
      <c r="E1714">
        <f>SUMPRODUCT(Calc!$K$3:$K$22*(Calc!$G$3:$G$22&gt;=B1714))</f>
        <v/>
      </c>
      <c r="F1714">
        <f>AND(k_n&gt;=5,B1714&gt;A1714+1E-9,C1714&gt;=2,D1714&gt;=1,E1714&gt;=2)</f>
        <v/>
      </c>
      <c r="G1714">
        <f>SUMPRODUCT(Calc!$K$3:$K$22*(Calc!$G$3:$G$22&gt;A1714)*(Calc!$G$3:$G$22-A1714))</f>
        <v/>
      </c>
      <c r="H1714">
        <f>SUMPRODUCT(Calc!$K$3:$K$22*(Calc!$G$3:$G$22&gt;B1714)*(Calc!$G$3:$G$22-B1714))</f>
        <v/>
      </c>
      <c r="I1714">
        <f>SUMPRODUCT(Calc!$K$3:$K$22*(Calc!$G$3:$G$22&gt;A1714)*(Calc!$G$3:$G$22-A1714)^2)</f>
        <v/>
      </c>
      <c r="J1714">
        <f>SUMPRODUCT(Calc!$K$3:$K$22*(Calc!$G$3:$G$22&gt;B1714)*(Calc!$G$3:$G$22-B1714)^2)</f>
        <v/>
      </c>
      <c r="K1714">
        <f>SUMPRODUCT(Calc!$K$3:$K$22*(Calc!$G$3:$G$22&gt;A1714)*(Calc!$G$3:$G$22-A1714)*(Calc!$G$3:$G$22&gt;B1714)*(Calc!$G$3:$G$22-B1714))</f>
        <v/>
      </c>
      <c r="L1714">
        <f>SUMPRODUCT(Calc!$K$3:$K$22*(Calc!$G$3:$G$22&gt;A1714)*(Calc!$G$3:$G$22-A1714)*Calc!$G$3:$G$22)</f>
        <v/>
      </c>
      <c r="M1714">
        <f>SUMPRODUCT(Calc!$K$3:$K$22*(Calc!$G$3:$G$22&gt;B1714)*(Calc!$G$3:$G$22-B1714)*Calc!$G$3:$G$22)</f>
        <v/>
      </c>
      <c r="N1714">
        <f>SUMPRODUCT(Calc!$K$3:$K$22*(Calc!$G$3:$G$22&gt;A1714)*(Calc!$G$3:$G$22-A1714)*Calc!$I$3:$I$22)</f>
        <v/>
      </c>
      <c r="O1714">
        <f>SUMPRODUCT(Calc!$K$3:$K$22*(Calc!$G$3:$G$22&gt;B1714)*(Calc!$G$3:$G$22-B1714)*Calc!$I$3:$I$22)</f>
        <v/>
      </c>
      <c r="P1714">
        <f>I1714-G1714^2/k_n</f>
        <v/>
      </c>
      <c r="Q1714">
        <f>J1714-H1714^2/k_n</f>
        <v/>
      </c>
      <c r="R1714">
        <f>K1714-G1714*H1714/k_n</f>
        <v/>
      </c>
      <c r="S1714">
        <f>L1714-LTP3!$D$3*G1714/k_n</f>
        <v/>
      </c>
      <c r="T1714">
        <f>M1714-LTP3!$D$3*H1714/k_n</f>
        <v/>
      </c>
      <c r="U1714">
        <f>N1714-G1714*LTP3!$D$4/k_n</f>
        <v/>
      </c>
      <c r="V1714">
        <f>O1714-H1714*LTP3!$D$4/k_n</f>
        <v/>
      </c>
      <c r="W1714">
        <f>((LTP3!$D$5)*((P1714)*(Q1714)-(R1714)*(R1714))-(S1714)*((S1714)*(Q1714)-(R1714)*(T1714))+(T1714)*((S1714)*(R1714)-(P1714)*(T1714)))</f>
        <v/>
      </c>
      <c r="X1714">
        <f>IF(ABS(W1714)&gt;1E-12,((LTP3!$D$6)*((P1714)*(Q1714)-(R1714)*(R1714))-(S1714)*((U1714)*(Q1714)-(R1714)*(V1714))+(T1714)*((U1714)*(R1714)-(P1714)*(V1714)))/W1714,0)</f>
        <v/>
      </c>
      <c r="Y1714">
        <f>IF(ABS(W1714)&gt;1E-12,((LTP3!$D$5)*((U1714)*(Q1714)-(R1714)*(V1714))-(LTP3!$D$6)*((S1714)*(Q1714)-(R1714)*(T1714))+(T1714)*((S1714)*(V1714)-(U1714)*(T1714)))/W1714,0)</f>
        <v/>
      </c>
      <c r="Z1714">
        <f>IF(ABS(W1714)&gt;1E-12,((LTP3!$D$5)*((P1714)*(V1714)-(U1714)*(R1714))-(S1714)*((S1714)*(V1714)-(U1714)*(T1714))+(LTP3!$D$6)*((S1714)*(R1714)-(P1714)*(T1714)))/W1714,0)</f>
        <v/>
      </c>
      <c r="AA1714">
        <f>LTP3!$D$7-X1714*LTP3!$D$6-Y1714*U1714-Z1714*V1714</f>
        <v/>
      </c>
      <c r="AB1714">
        <f>IF(AND(F1714,ABS(W1714)&gt;1E-12,Y1714&gt;0,Z1714&gt;0),AA1714,1E+300)</f>
        <v/>
      </c>
    </row>
    <row r="1715">
      <c r="A1715">
        <f>$B$3+$B$5*27</f>
        <v/>
      </c>
      <c r="B1715">
        <f>$B$3+$B$5*56</f>
        <v/>
      </c>
      <c r="C1715">
        <f>SUMPRODUCT(Calc!$K$3:$K$22*(Calc!$G$3:$G$22&lt;=A1715))</f>
        <v/>
      </c>
      <c r="D1715">
        <f>SUMPRODUCT(Calc!$K$3:$K$22*(Calc!$G$3:$G$22&gt;A1715)*(Calc!$G$3:$G$22&lt;B1715))</f>
        <v/>
      </c>
      <c r="E1715">
        <f>SUMPRODUCT(Calc!$K$3:$K$22*(Calc!$G$3:$G$22&gt;=B1715))</f>
        <v/>
      </c>
      <c r="F1715">
        <f>AND(k_n&gt;=5,B1715&gt;A1715+1E-9,C1715&gt;=2,D1715&gt;=1,E1715&gt;=2)</f>
        <v/>
      </c>
      <c r="G1715">
        <f>SUMPRODUCT(Calc!$K$3:$K$22*(Calc!$G$3:$G$22&gt;A1715)*(Calc!$G$3:$G$22-A1715))</f>
        <v/>
      </c>
      <c r="H1715">
        <f>SUMPRODUCT(Calc!$K$3:$K$22*(Calc!$G$3:$G$22&gt;B1715)*(Calc!$G$3:$G$22-B1715))</f>
        <v/>
      </c>
      <c r="I1715">
        <f>SUMPRODUCT(Calc!$K$3:$K$22*(Calc!$G$3:$G$22&gt;A1715)*(Calc!$G$3:$G$22-A1715)^2)</f>
        <v/>
      </c>
      <c r="J1715">
        <f>SUMPRODUCT(Calc!$K$3:$K$22*(Calc!$G$3:$G$22&gt;B1715)*(Calc!$G$3:$G$22-B1715)^2)</f>
        <v/>
      </c>
      <c r="K1715">
        <f>SUMPRODUCT(Calc!$K$3:$K$22*(Calc!$G$3:$G$22&gt;A1715)*(Calc!$G$3:$G$22-A1715)*(Calc!$G$3:$G$22&gt;B1715)*(Calc!$G$3:$G$22-B1715))</f>
        <v/>
      </c>
      <c r="L1715">
        <f>SUMPRODUCT(Calc!$K$3:$K$22*(Calc!$G$3:$G$22&gt;A1715)*(Calc!$G$3:$G$22-A1715)*Calc!$G$3:$G$22)</f>
        <v/>
      </c>
      <c r="M1715">
        <f>SUMPRODUCT(Calc!$K$3:$K$22*(Calc!$G$3:$G$22&gt;B1715)*(Calc!$G$3:$G$22-B1715)*Calc!$G$3:$G$22)</f>
        <v/>
      </c>
      <c r="N1715">
        <f>SUMPRODUCT(Calc!$K$3:$K$22*(Calc!$G$3:$G$22&gt;A1715)*(Calc!$G$3:$G$22-A1715)*Calc!$I$3:$I$22)</f>
        <v/>
      </c>
      <c r="O1715">
        <f>SUMPRODUCT(Calc!$K$3:$K$22*(Calc!$G$3:$G$22&gt;B1715)*(Calc!$G$3:$G$22-B1715)*Calc!$I$3:$I$22)</f>
        <v/>
      </c>
      <c r="P1715">
        <f>I1715-G1715^2/k_n</f>
        <v/>
      </c>
      <c r="Q1715">
        <f>J1715-H1715^2/k_n</f>
        <v/>
      </c>
      <c r="R1715">
        <f>K1715-G1715*H1715/k_n</f>
        <v/>
      </c>
      <c r="S1715">
        <f>L1715-LTP3!$D$3*G1715/k_n</f>
        <v/>
      </c>
      <c r="T1715">
        <f>M1715-LTP3!$D$3*H1715/k_n</f>
        <v/>
      </c>
      <c r="U1715">
        <f>N1715-G1715*LTP3!$D$4/k_n</f>
        <v/>
      </c>
      <c r="V1715">
        <f>O1715-H1715*LTP3!$D$4/k_n</f>
        <v/>
      </c>
      <c r="W1715">
        <f>((LTP3!$D$5)*((P1715)*(Q1715)-(R1715)*(R1715))-(S1715)*((S1715)*(Q1715)-(R1715)*(T1715))+(T1715)*((S1715)*(R1715)-(P1715)*(T1715)))</f>
        <v/>
      </c>
      <c r="X1715">
        <f>IF(ABS(W1715)&gt;1E-12,((LTP3!$D$6)*((P1715)*(Q1715)-(R1715)*(R1715))-(S1715)*((U1715)*(Q1715)-(R1715)*(V1715))+(T1715)*((U1715)*(R1715)-(P1715)*(V1715)))/W1715,0)</f>
        <v/>
      </c>
      <c r="Y1715">
        <f>IF(ABS(W1715)&gt;1E-12,((LTP3!$D$5)*((U1715)*(Q1715)-(R1715)*(V1715))-(LTP3!$D$6)*((S1715)*(Q1715)-(R1715)*(T1715))+(T1715)*((S1715)*(V1715)-(U1715)*(T1715)))/W1715,0)</f>
        <v/>
      </c>
      <c r="Z1715">
        <f>IF(ABS(W1715)&gt;1E-12,((LTP3!$D$5)*((P1715)*(V1715)-(U1715)*(R1715))-(S1715)*((S1715)*(V1715)-(U1715)*(T1715))+(LTP3!$D$6)*((S1715)*(R1715)-(P1715)*(T1715)))/W1715,0)</f>
        <v/>
      </c>
      <c r="AA1715">
        <f>LTP3!$D$7-X1715*LTP3!$D$6-Y1715*U1715-Z1715*V1715</f>
        <v/>
      </c>
      <c r="AB1715">
        <f>IF(AND(F1715,ABS(W1715)&gt;1E-12,Y1715&gt;0,Z1715&gt;0),AA1715,1E+300)</f>
        <v/>
      </c>
    </row>
    <row r="1716">
      <c r="A1716">
        <f>$B$3+$B$5*27</f>
        <v/>
      </c>
      <c r="B1716">
        <f>$B$3+$B$5*57</f>
        <v/>
      </c>
      <c r="C1716">
        <f>SUMPRODUCT(Calc!$K$3:$K$22*(Calc!$G$3:$G$22&lt;=A1716))</f>
        <v/>
      </c>
      <c r="D1716">
        <f>SUMPRODUCT(Calc!$K$3:$K$22*(Calc!$G$3:$G$22&gt;A1716)*(Calc!$G$3:$G$22&lt;B1716))</f>
        <v/>
      </c>
      <c r="E1716">
        <f>SUMPRODUCT(Calc!$K$3:$K$22*(Calc!$G$3:$G$22&gt;=B1716))</f>
        <v/>
      </c>
      <c r="F1716">
        <f>AND(k_n&gt;=5,B1716&gt;A1716+1E-9,C1716&gt;=2,D1716&gt;=1,E1716&gt;=2)</f>
        <v/>
      </c>
      <c r="G1716">
        <f>SUMPRODUCT(Calc!$K$3:$K$22*(Calc!$G$3:$G$22&gt;A1716)*(Calc!$G$3:$G$22-A1716))</f>
        <v/>
      </c>
      <c r="H1716">
        <f>SUMPRODUCT(Calc!$K$3:$K$22*(Calc!$G$3:$G$22&gt;B1716)*(Calc!$G$3:$G$22-B1716))</f>
        <v/>
      </c>
      <c r="I1716">
        <f>SUMPRODUCT(Calc!$K$3:$K$22*(Calc!$G$3:$G$22&gt;A1716)*(Calc!$G$3:$G$22-A1716)^2)</f>
        <v/>
      </c>
      <c r="J1716">
        <f>SUMPRODUCT(Calc!$K$3:$K$22*(Calc!$G$3:$G$22&gt;B1716)*(Calc!$G$3:$G$22-B1716)^2)</f>
        <v/>
      </c>
      <c r="K1716">
        <f>SUMPRODUCT(Calc!$K$3:$K$22*(Calc!$G$3:$G$22&gt;A1716)*(Calc!$G$3:$G$22-A1716)*(Calc!$G$3:$G$22&gt;B1716)*(Calc!$G$3:$G$22-B1716))</f>
        <v/>
      </c>
      <c r="L1716">
        <f>SUMPRODUCT(Calc!$K$3:$K$22*(Calc!$G$3:$G$22&gt;A1716)*(Calc!$G$3:$G$22-A1716)*Calc!$G$3:$G$22)</f>
        <v/>
      </c>
      <c r="M1716">
        <f>SUMPRODUCT(Calc!$K$3:$K$22*(Calc!$G$3:$G$22&gt;B1716)*(Calc!$G$3:$G$22-B1716)*Calc!$G$3:$G$22)</f>
        <v/>
      </c>
      <c r="N1716">
        <f>SUMPRODUCT(Calc!$K$3:$K$22*(Calc!$G$3:$G$22&gt;A1716)*(Calc!$G$3:$G$22-A1716)*Calc!$I$3:$I$22)</f>
        <v/>
      </c>
      <c r="O1716">
        <f>SUMPRODUCT(Calc!$K$3:$K$22*(Calc!$G$3:$G$22&gt;B1716)*(Calc!$G$3:$G$22-B1716)*Calc!$I$3:$I$22)</f>
        <v/>
      </c>
      <c r="P1716">
        <f>I1716-G1716^2/k_n</f>
        <v/>
      </c>
      <c r="Q1716">
        <f>J1716-H1716^2/k_n</f>
        <v/>
      </c>
      <c r="R1716">
        <f>K1716-G1716*H1716/k_n</f>
        <v/>
      </c>
      <c r="S1716">
        <f>L1716-LTP3!$D$3*G1716/k_n</f>
        <v/>
      </c>
      <c r="T1716">
        <f>M1716-LTP3!$D$3*H1716/k_n</f>
        <v/>
      </c>
      <c r="U1716">
        <f>N1716-G1716*LTP3!$D$4/k_n</f>
        <v/>
      </c>
      <c r="V1716">
        <f>O1716-H1716*LTP3!$D$4/k_n</f>
        <v/>
      </c>
      <c r="W1716">
        <f>((LTP3!$D$5)*((P1716)*(Q1716)-(R1716)*(R1716))-(S1716)*((S1716)*(Q1716)-(R1716)*(T1716))+(T1716)*((S1716)*(R1716)-(P1716)*(T1716)))</f>
        <v/>
      </c>
      <c r="X1716">
        <f>IF(ABS(W1716)&gt;1E-12,((LTP3!$D$6)*((P1716)*(Q1716)-(R1716)*(R1716))-(S1716)*((U1716)*(Q1716)-(R1716)*(V1716))+(T1716)*((U1716)*(R1716)-(P1716)*(V1716)))/W1716,0)</f>
        <v/>
      </c>
      <c r="Y1716">
        <f>IF(ABS(W1716)&gt;1E-12,((LTP3!$D$5)*((U1716)*(Q1716)-(R1716)*(V1716))-(LTP3!$D$6)*((S1716)*(Q1716)-(R1716)*(T1716))+(T1716)*((S1716)*(V1716)-(U1716)*(T1716)))/W1716,0)</f>
        <v/>
      </c>
      <c r="Z1716">
        <f>IF(ABS(W1716)&gt;1E-12,((LTP3!$D$5)*((P1716)*(V1716)-(U1716)*(R1716))-(S1716)*((S1716)*(V1716)-(U1716)*(T1716))+(LTP3!$D$6)*((S1716)*(R1716)-(P1716)*(T1716)))/W1716,0)</f>
        <v/>
      </c>
      <c r="AA1716">
        <f>LTP3!$D$7-X1716*LTP3!$D$6-Y1716*U1716-Z1716*V1716</f>
        <v/>
      </c>
      <c r="AB1716">
        <f>IF(AND(F1716,ABS(W1716)&gt;1E-12,Y1716&gt;0,Z1716&gt;0),AA1716,1E+300)</f>
        <v/>
      </c>
    </row>
    <row r="1717">
      <c r="A1717">
        <f>$B$3+$B$5*27</f>
        <v/>
      </c>
      <c r="B1717">
        <f>$B$3+$B$5*58</f>
        <v/>
      </c>
      <c r="C1717">
        <f>SUMPRODUCT(Calc!$K$3:$K$22*(Calc!$G$3:$G$22&lt;=A1717))</f>
        <v/>
      </c>
      <c r="D1717">
        <f>SUMPRODUCT(Calc!$K$3:$K$22*(Calc!$G$3:$G$22&gt;A1717)*(Calc!$G$3:$G$22&lt;B1717))</f>
        <v/>
      </c>
      <c r="E1717">
        <f>SUMPRODUCT(Calc!$K$3:$K$22*(Calc!$G$3:$G$22&gt;=B1717))</f>
        <v/>
      </c>
      <c r="F1717">
        <f>AND(k_n&gt;=5,B1717&gt;A1717+1E-9,C1717&gt;=2,D1717&gt;=1,E1717&gt;=2)</f>
        <v/>
      </c>
      <c r="G1717">
        <f>SUMPRODUCT(Calc!$K$3:$K$22*(Calc!$G$3:$G$22&gt;A1717)*(Calc!$G$3:$G$22-A1717))</f>
        <v/>
      </c>
      <c r="H1717">
        <f>SUMPRODUCT(Calc!$K$3:$K$22*(Calc!$G$3:$G$22&gt;B1717)*(Calc!$G$3:$G$22-B1717))</f>
        <v/>
      </c>
      <c r="I1717">
        <f>SUMPRODUCT(Calc!$K$3:$K$22*(Calc!$G$3:$G$22&gt;A1717)*(Calc!$G$3:$G$22-A1717)^2)</f>
        <v/>
      </c>
      <c r="J1717">
        <f>SUMPRODUCT(Calc!$K$3:$K$22*(Calc!$G$3:$G$22&gt;B1717)*(Calc!$G$3:$G$22-B1717)^2)</f>
        <v/>
      </c>
      <c r="K1717">
        <f>SUMPRODUCT(Calc!$K$3:$K$22*(Calc!$G$3:$G$22&gt;A1717)*(Calc!$G$3:$G$22-A1717)*(Calc!$G$3:$G$22&gt;B1717)*(Calc!$G$3:$G$22-B1717))</f>
        <v/>
      </c>
      <c r="L1717">
        <f>SUMPRODUCT(Calc!$K$3:$K$22*(Calc!$G$3:$G$22&gt;A1717)*(Calc!$G$3:$G$22-A1717)*Calc!$G$3:$G$22)</f>
        <v/>
      </c>
      <c r="M1717">
        <f>SUMPRODUCT(Calc!$K$3:$K$22*(Calc!$G$3:$G$22&gt;B1717)*(Calc!$G$3:$G$22-B1717)*Calc!$G$3:$G$22)</f>
        <v/>
      </c>
      <c r="N1717">
        <f>SUMPRODUCT(Calc!$K$3:$K$22*(Calc!$G$3:$G$22&gt;A1717)*(Calc!$G$3:$G$22-A1717)*Calc!$I$3:$I$22)</f>
        <v/>
      </c>
      <c r="O1717">
        <f>SUMPRODUCT(Calc!$K$3:$K$22*(Calc!$G$3:$G$22&gt;B1717)*(Calc!$G$3:$G$22-B1717)*Calc!$I$3:$I$22)</f>
        <v/>
      </c>
      <c r="P1717">
        <f>I1717-G1717^2/k_n</f>
        <v/>
      </c>
      <c r="Q1717">
        <f>J1717-H1717^2/k_n</f>
        <v/>
      </c>
      <c r="R1717">
        <f>K1717-G1717*H1717/k_n</f>
        <v/>
      </c>
      <c r="S1717">
        <f>L1717-LTP3!$D$3*G1717/k_n</f>
        <v/>
      </c>
      <c r="T1717">
        <f>M1717-LTP3!$D$3*H1717/k_n</f>
        <v/>
      </c>
      <c r="U1717">
        <f>N1717-G1717*LTP3!$D$4/k_n</f>
        <v/>
      </c>
      <c r="V1717">
        <f>O1717-H1717*LTP3!$D$4/k_n</f>
        <v/>
      </c>
      <c r="W1717">
        <f>((LTP3!$D$5)*((P1717)*(Q1717)-(R1717)*(R1717))-(S1717)*((S1717)*(Q1717)-(R1717)*(T1717))+(T1717)*((S1717)*(R1717)-(P1717)*(T1717)))</f>
        <v/>
      </c>
      <c r="X1717">
        <f>IF(ABS(W1717)&gt;1E-12,((LTP3!$D$6)*((P1717)*(Q1717)-(R1717)*(R1717))-(S1717)*((U1717)*(Q1717)-(R1717)*(V1717))+(T1717)*((U1717)*(R1717)-(P1717)*(V1717)))/W1717,0)</f>
        <v/>
      </c>
      <c r="Y1717">
        <f>IF(ABS(W1717)&gt;1E-12,((LTP3!$D$5)*((U1717)*(Q1717)-(R1717)*(V1717))-(LTP3!$D$6)*((S1717)*(Q1717)-(R1717)*(T1717))+(T1717)*((S1717)*(V1717)-(U1717)*(T1717)))/W1717,0)</f>
        <v/>
      </c>
      <c r="Z1717">
        <f>IF(ABS(W1717)&gt;1E-12,((LTP3!$D$5)*((P1717)*(V1717)-(U1717)*(R1717))-(S1717)*((S1717)*(V1717)-(U1717)*(T1717))+(LTP3!$D$6)*((S1717)*(R1717)-(P1717)*(T1717)))/W1717,0)</f>
        <v/>
      </c>
      <c r="AA1717">
        <f>LTP3!$D$7-X1717*LTP3!$D$6-Y1717*U1717-Z1717*V1717</f>
        <v/>
      </c>
      <c r="AB1717">
        <f>IF(AND(F1717,ABS(W1717)&gt;1E-12,Y1717&gt;0,Z1717&gt;0),AA1717,1E+300)</f>
        <v/>
      </c>
    </row>
    <row r="1718">
      <c r="A1718">
        <f>$B$3+$B$5*27</f>
        <v/>
      </c>
      <c r="B1718">
        <f>$B$3+$B$5*59</f>
        <v/>
      </c>
      <c r="C1718">
        <f>SUMPRODUCT(Calc!$K$3:$K$22*(Calc!$G$3:$G$22&lt;=A1718))</f>
        <v/>
      </c>
      <c r="D1718">
        <f>SUMPRODUCT(Calc!$K$3:$K$22*(Calc!$G$3:$G$22&gt;A1718)*(Calc!$G$3:$G$22&lt;B1718))</f>
        <v/>
      </c>
      <c r="E1718">
        <f>SUMPRODUCT(Calc!$K$3:$K$22*(Calc!$G$3:$G$22&gt;=B1718))</f>
        <v/>
      </c>
      <c r="F1718">
        <f>AND(k_n&gt;=5,B1718&gt;A1718+1E-9,C1718&gt;=2,D1718&gt;=1,E1718&gt;=2)</f>
        <v/>
      </c>
      <c r="G1718">
        <f>SUMPRODUCT(Calc!$K$3:$K$22*(Calc!$G$3:$G$22&gt;A1718)*(Calc!$G$3:$G$22-A1718))</f>
        <v/>
      </c>
      <c r="H1718">
        <f>SUMPRODUCT(Calc!$K$3:$K$22*(Calc!$G$3:$G$22&gt;B1718)*(Calc!$G$3:$G$22-B1718))</f>
        <v/>
      </c>
      <c r="I1718">
        <f>SUMPRODUCT(Calc!$K$3:$K$22*(Calc!$G$3:$G$22&gt;A1718)*(Calc!$G$3:$G$22-A1718)^2)</f>
        <v/>
      </c>
      <c r="J1718">
        <f>SUMPRODUCT(Calc!$K$3:$K$22*(Calc!$G$3:$G$22&gt;B1718)*(Calc!$G$3:$G$22-B1718)^2)</f>
        <v/>
      </c>
      <c r="K1718">
        <f>SUMPRODUCT(Calc!$K$3:$K$22*(Calc!$G$3:$G$22&gt;A1718)*(Calc!$G$3:$G$22-A1718)*(Calc!$G$3:$G$22&gt;B1718)*(Calc!$G$3:$G$22-B1718))</f>
        <v/>
      </c>
      <c r="L1718">
        <f>SUMPRODUCT(Calc!$K$3:$K$22*(Calc!$G$3:$G$22&gt;A1718)*(Calc!$G$3:$G$22-A1718)*Calc!$G$3:$G$22)</f>
        <v/>
      </c>
      <c r="M1718">
        <f>SUMPRODUCT(Calc!$K$3:$K$22*(Calc!$G$3:$G$22&gt;B1718)*(Calc!$G$3:$G$22-B1718)*Calc!$G$3:$G$22)</f>
        <v/>
      </c>
      <c r="N1718">
        <f>SUMPRODUCT(Calc!$K$3:$K$22*(Calc!$G$3:$G$22&gt;A1718)*(Calc!$G$3:$G$22-A1718)*Calc!$I$3:$I$22)</f>
        <v/>
      </c>
      <c r="O1718">
        <f>SUMPRODUCT(Calc!$K$3:$K$22*(Calc!$G$3:$G$22&gt;B1718)*(Calc!$G$3:$G$22-B1718)*Calc!$I$3:$I$22)</f>
        <v/>
      </c>
      <c r="P1718">
        <f>I1718-G1718^2/k_n</f>
        <v/>
      </c>
      <c r="Q1718">
        <f>J1718-H1718^2/k_n</f>
        <v/>
      </c>
      <c r="R1718">
        <f>K1718-G1718*H1718/k_n</f>
        <v/>
      </c>
      <c r="S1718">
        <f>L1718-LTP3!$D$3*G1718/k_n</f>
        <v/>
      </c>
      <c r="T1718">
        <f>M1718-LTP3!$D$3*H1718/k_n</f>
        <v/>
      </c>
      <c r="U1718">
        <f>N1718-G1718*LTP3!$D$4/k_n</f>
        <v/>
      </c>
      <c r="V1718">
        <f>O1718-H1718*LTP3!$D$4/k_n</f>
        <v/>
      </c>
      <c r="W1718">
        <f>((LTP3!$D$5)*((P1718)*(Q1718)-(R1718)*(R1718))-(S1718)*((S1718)*(Q1718)-(R1718)*(T1718))+(T1718)*((S1718)*(R1718)-(P1718)*(T1718)))</f>
        <v/>
      </c>
      <c r="X1718">
        <f>IF(ABS(W1718)&gt;1E-12,((LTP3!$D$6)*((P1718)*(Q1718)-(R1718)*(R1718))-(S1718)*((U1718)*(Q1718)-(R1718)*(V1718))+(T1718)*((U1718)*(R1718)-(P1718)*(V1718)))/W1718,0)</f>
        <v/>
      </c>
      <c r="Y1718">
        <f>IF(ABS(W1718)&gt;1E-12,((LTP3!$D$5)*((U1718)*(Q1718)-(R1718)*(V1718))-(LTP3!$D$6)*((S1718)*(Q1718)-(R1718)*(T1718))+(T1718)*((S1718)*(V1718)-(U1718)*(T1718)))/W1718,0)</f>
        <v/>
      </c>
      <c r="Z1718">
        <f>IF(ABS(W1718)&gt;1E-12,((LTP3!$D$5)*((P1718)*(V1718)-(U1718)*(R1718))-(S1718)*((S1718)*(V1718)-(U1718)*(T1718))+(LTP3!$D$6)*((S1718)*(R1718)-(P1718)*(T1718)))/W1718,0)</f>
        <v/>
      </c>
      <c r="AA1718">
        <f>LTP3!$D$7-X1718*LTP3!$D$6-Y1718*U1718-Z1718*V1718</f>
        <v/>
      </c>
      <c r="AB1718">
        <f>IF(AND(F1718,ABS(W1718)&gt;1E-12,Y1718&gt;0,Z1718&gt;0),AA1718,1E+300)</f>
        <v/>
      </c>
    </row>
    <row r="1719">
      <c r="A1719">
        <f>$B$3+$B$5*27</f>
        <v/>
      </c>
      <c r="B1719">
        <f>$B$3+$B$5*60</f>
        <v/>
      </c>
      <c r="C1719">
        <f>SUMPRODUCT(Calc!$K$3:$K$22*(Calc!$G$3:$G$22&lt;=A1719))</f>
        <v/>
      </c>
      <c r="D1719">
        <f>SUMPRODUCT(Calc!$K$3:$K$22*(Calc!$G$3:$G$22&gt;A1719)*(Calc!$G$3:$G$22&lt;B1719))</f>
        <v/>
      </c>
      <c r="E1719">
        <f>SUMPRODUCT(Calc!$K$3:$K$22*(Calc!$G$3:$G$22&gt;=B1719))</f>
        <v/>
      </c>
      <c r="F1719">
        <f>AND(k_n&gt;=5,B1719&gt;A1719+1E-9,C1719&gt;=2,D1719&gt;=1,E1719&gt;=2)</f>
        <v/>
      </c>
      <c r="G1719">
        <f>SUMPRODUCT(Calc!$K$3:$K$22*(Calc!$G$3:$G$22&gt;A1719)*(Calc!$G$3:$G$22-A1719))</f>
        <v/>
      </c>
      <c r="H1719">
        <f>SUMPRODUCT(Calc!$K$3:$K$22*(Calc!$G$3:$G$22&gt;B1719)*(Calc!$G$3:$G$22-B1719))</f>
        <v/>
      </c>
      <c r="I1719">
        <f>SUMPRODUCT(Calc!$K$3:$K$22*(Calc!$G$3:$G$22&gt;A1719)*(Calc!$G$3:$G$22-A1719)^2)</f>
        <v/>
      </c>
      <c r="J1719">
        <f>SUMPRODUCT(Calc!$K$3:$K$22*(Calc!$G$3:$G$22&gt;B1719)*(Calc!$G$3:$G$22-B1719)^2)</f>
        <v/>
      </c>
      <c r="K1719">
        <f>SUMPRODUCT(Calc!$K$3:$K$22*(Calc!$G$3:$G$22&gt;A1719)*(Calc!$G$3:$G$22-A1719)*(Calc!$G$3:$G$22&gt;B1719)*(Calc!$G$3:$G$22-B1719))</f>
        <v/>
      </c>
      <c r="L1719">
        <f>SUMPRODUCT(Calc!$K$3:$K$22*(Calc!$G$3:$G$22&gt;A1719)*(Calc!$G$3:$G$22-A1719)*Calc!$G$3:$G$22)</f>
        <v/>
      </c>
      <c r="M1719">
        <f>SUMPRODUCT(Calc!$K$3:$K$22*(Calc!$G$3:$G$22&gt;B1719)*(Calc!$G$3:$G$22-B1719)*Calc!$G$3:$G$22)</f>
        <v/>
      </c>
      <c r="N1719">
        <f>SUMPRODUCT(Calc!$K$3:$K$22*(Calc!$G$3:$G$22&gt;A1719)*(Calc!$G$3:$G$22-A1719)*Calc!$I$3:$I$22)</f>
        <v/>
      </c>
      <c r="O1719">
        <f>SUMPRODUCT(Calc!$K$3:$K$22*(Calc!$G$3:$G$22&gt;B1719)*(Calc!$G$3:$G$22-B1719)*Calc!$I$3:$I$22)</f>
        <v/>
      </c>
      <c r="P1719">
        <f>I1719-G1719^2/k_n</f>
        <v/>
      </c>
      <c r="Q1719">
        <f>J1719-H1719^2/k_n</f>
        <v/>
      </c>
      <c r="R1719">
        <f>K1719-G1719*H1719/k_n</f>
        <v/>
      </c>
      <c r="S1719">
        <f>L1719-LTP3!$D$3*G1719/k_n</f>
        <v/>
      </c>
      <c r="T1719">
        <f>M1719-LTP3!$D$3*H1719/k_n</f>
        <v/>
      </c>
      <c r="U1719">
        <f>N1719-G1719*LTP3!$D$4/k_n</f>
        <v/>
      </c>
      <c r="V1719">
        <f>O1719-H1719*LTP3!$D$4/k_n</f>
        <v/>
      </c>
      <c r="W1719">
        <f>((LTP3!$D$5)*((P1719)*(Q1719)-(R1719)*(R1719))-(S1719)*((S1719)*(Q1719)-(R1719)*(T1719))+(T1719)*((S1719)*(R1719)-(P1719)*(T1719)))</f>
        <v/>
      </c>
      <c r="X1719">
        <f>IF(ABS(W1719)&gt;1E-12,((LTP3!$D$6)*((P1719)*(Q1719)-(R1719)*(R1719))-(S1719)*((U1719)*(Q1719)-(R1719)*(V1719))+(T1719)*((U1719)*(R1719)-(P1719)*(V1719)))/W1719,0)</f>
        <v/>
      </c>
      <c r="Y1719">
        <f>IF(ABS(W1719)&gt;1E-12,((LTP3!$D$5)*((U1719)*(Q1719)-(R1719)*(V1719))-(LTP3!$D$6)*((S1719)*(Q1719)-(R1719)*(T1719))+(T1719)*((S1719)*(V1719)-(U1719)*(T1719)))/W1719,0)</f>
        <v/>
      </c>
      <c r="Z1719">
        <f>IF(ABS(W1719)&gt;1E-12,((LTP3!$D$5)*((P1719)*(V1719)-(U1719)*(R1719))-(S1719)*((S1719)*(V1719)-(U1719)*(T1719))+(LTP3!$D$6)*((S1719)*(R1719)-(P1719)*(T1719)))/W1719,0)</f>
        <v/>
      </c>
      <c r="AA1719">
        <f>LTP3!$D$7-X1719*LTP3!$D$6-Y1719*U1719-Z1719*V1719</f>
        <v/>
      </c>
      <c r="AB1719">
        <f>IF(AND(F1719,ABS(W1719)&gt;1E-12,Y1719&gt;0,Z1719&gt;0),AA1719,1E+300)</f>
        <v/>
      </c>
    </row>
    <row r="1720">
      <c r="A1720">
        <f>$B$3+$B$5*28</f>
        <v/>
      </c>
      <c r="B1720">
        <f>$B$3+$B$5*0</f>
        <v/>
      </c>
      <c r="C1720">
        <f>SUMPRODUCT(Calc!$K$3:$K$22*(Calc!$G$3:$G$22&lt;=A1720))</f>
        <v/>
      </c>
      <c r="D1720">
        <f>SUMPRODUCT(Calc!$K$3:$K$22*(Calc!$G$3:$G$22&gt;A1720)*(Calc!$G$3:$G$22&lt;B1720))</f>
        <v/>
      </c>
      <c r="E1720">
        <f>SUMPRODUCT(Calc!$K$3:$K$22*(Calc!$G$3:$G$22&gt;=B1720))</f>
        <v/>
      </c>
      <c r="F1720">
        <f>AND(k_n&gt;=5,B1720&gt;A1720+1E-9,C1720&gt;=2,D1720&gt;=1,E1720&gt;=2)</f>
        <v/>
      </c>
      <c r="G1720">
        <f>SUMPRODUCT(Calc!$K$3:$K$22*(Calc!$G$3:$G$22&gt;A1720)*(Calc!$G$3:$G$22-A1720))</f>
        <v/>
      </c>
      <c r="H1720">
        <f>SUMPRODUCT(Calc!$K$3:$K$22*(Calc!$G$3:$G$22&gt;B1720)*(Calc!$G$3:$G$22-B1720))</f>
        <v/>
      </c>
      <c r="I1720">
        <f>SUMPRODUCT(Calc!$K$3:$K$22*(Calc!$G$3:$G$22&gt;A1720)*(Calc!$G$3:$G$22-A1720)^2)</f>
        <v/>
      </c>
      <c r="J1720">
        <f>SUMPRODUCT(Calc!$K$3:$K$22*(Calc!$G$3:$G$22&gt;B1720)*(Calc!$G$3:$G$22-B1720)^2)</f>
        <v/>
      </c>
      <c r="K1720">
        <f>SUMPRODUCT(Calc!$K$3:$K$22*(Calc!$G$3:$G$22&gt;A1720)*(Calc!$G$3:$G$22-A1720)*(Calc!$G$3:$G$22&gt;B1720)*(Calc!$G$3:$G$22-B1720))</f>
        <v/>
      </c>
      <c r="L1720">
        <f>SUMPRODUCT(Calc!$K$3:$K$22*(Calc!$G$3:$G$22&gt;A1720)*(Calc!$G$3:$G$22-A1720)*Calc!$G$3:$G$22)</f>
        <v/>
      </c>
      <c r="M1720">
        <f>SUMPRODUCT(Calc!$K$3:$K$22*(Calc!$G$3:$G$22&gt;B1720)*(Calc!$G$3:$G$22-B1720)*Calc!$G$3:$G$22)</f>
        <v/>
      </c>
      <c r="N1720">
        <f>SUMPRODUCT(Calc!$K$3:$K$22*(Calc!$G$3:$G$22&gt;A1720)*(Calc!$G$3:$G$22-A1720)*Calc!$I$3:$I$22)</f>
        <v/>
      </c>
      <c r="O1720">
        <f>SUMPRODUCT(Calc!$K$3:$K$22*(Calc!$G$3:$G$22&gt;B1720)*(Calc!$G$3:$G$22-B1720)*Calc!$I$3:$I$22)</f>
        <v/>
      </c>
      <c r="P1720">
        <f>I1720-G1720^2/k_n</f>
        <v/>
      </c>
      <c r="Q1720">
        <f>J1720-H1720^2/k_n</f>
        <v/>
      </c>
      <c r="R1720">
        <f>K1720-G1720*H1720/k_n</f>
        <v/>
      </c>
      <c r="S1720">
        <f>L1720-LTP3!$D$3*G1720/k_n</f>
        <v/>
      </c>
      <c r="T1720">
        <f>M1720-LTP3!$D$3*H1720/k_n</f>
        <v/>
      </c>
      <c r="U1720">
        <f>N1720-G1720*LTP3!$D$4/k_n</f>
        <v/>
      </c>
      <c r="V1720">
        <f>O1720-H1720*LTP3!$D$4/k_n</f>
        <v/>
      </c>
      <c r="W1720">
        <f>((LTP3!$D$5)*((P1720)*(Q1720)-(R1720)*(R1720))-(S1720)*((S1720)*(Q1720)-(R1720)*(T1720))+(T1720)*((S1720)*(R1720)-(P1720)*(T1720)))</f>
        <v/>
      </c>
      <c r="X1720">
        <f>IF(ABS(W1720)&gt;1E-12,((LTP3!$D$6)*((P1720)*(Q1720)-(R1720)*(R1720))-(S1720)*((U1720)*(Q1720)-(R1720)*(V1720))+(T1720)*((U1720)*(R1720)-(P1720)*(V1720)))/W1720,0)</f>
        <v/>
      </c>
      <c r="Y1720">
        <f>IF(ABS(W1720)&gt;1E-12,((LTP3!$D$5)*((U1720)*(Q1720)-(R1720)*(V1720))-(LTP3!$D$6)*((S1720)*(Q1720)-(R1720)*(T1720))+(T1720)*((S1720)*(V1720)-(U1720)*(T1720)))/W1720,0)</f>
        <v/>
      </c>
      <c r="Z1720">
        <f>IF(ABS(W1720)&gt;1E-12,((LTP3!$D$5)*((P1720)*(V1720)-(U1720)*(R1720))-(S1720)*((S1720)*(V1720)-(U1720)*(T1720))+(LTP3!$D$6)*((S1720)*(R1720)-(P1720)*(T1720)))/W1720,0)</f>
        <v/>
      </c>
      <c r="AA1720">
        <f>LTP3!$D$7-X1720*LTP3!$D$6-Y1720*U1720-Z1720*V1720</f>
        <v/>
      </c>
      <c r="AB1720">
        <f>IF(AND(F1720,ABS(W1720)&gt;1E-12,Y1720&gt;0,Z1720&gt;0),AA1720,1E+300)</f>
        <v/>
      </c>
    </row>
    <row r="1721">
      <c r="A1721">
        <f>$B$3+$B$5*28</f>
        <v/>
      </c>
      <c r="B1721">
        <f>$B$3+$B$5*1</f>
        <v/>
      </c>
      <c r="C1721">
        <f>SUMPRODUCT(Calc!$K$3:$K$22*(Calc!$G$3:$G$22&lt;=A1721))</f>
        <v/>
      </c>
      <c r="D1721">
        <f>SUMPRODUCT(Calc!$K$3:$K$22*(Calc!$G$3:$G$22&gt;A1721)*(Calc!$G$3:$G$22&lt;B1721))</f>
        <v/>
      </c>
      <c r="E1721">
        <f>SUMPRODUCT(Calc!$K$3:$K$22*(Calc!$G$3:$G$22&gt;=B1721))</f>
        <v/>
      </c>
      <c r="F1721">
        <f>AND(k_n&gt;=5,B1721&gt;A1721+1E-9,C1721&gt;=2,D1721&gt;=1,E1721&gt;=2)</f>
        <v/>
      </c>
      <c r="G1721">
        <f>SUMPRODUCT(Calc!$K$3:$K$22*(Calc!$G$3:$G$22&gt;A1721)*(Calc!$G$3:$G$22-A1721))</f>
        <v/>
      </c>
      <c r="H1721">
        <f>SUMPRODUCT(Calc!$K$3:$K$22*(Calc!$G$3:$G$22&gt;B1721)*(Calc!$G$3:$G$22-B1721))</f>
        <v/>
      </c>
      <c r="I1721">
        <f>SUMPRODUCT(Calc!$K$3:$K$22*(Calc!$G$3:$G$22&gt;A1721)*(Calc!$G$3:$G$22-A1721)^2)</f>
        <v/>
      </c>
      <c r="J1721">
        <f>SUMPRODUCT(Calc!$K$3:$K$22*(Calc!$G$3:$G$22&gt;B1721)*(Calc!$G$3:$G$22-B1721)^2)</f>
        <v/>
      </c>
      <c r="K1721">
        <f>SUMPRODUCT(Calc!$K$3:$K$22*(Calc!$G$3:$G$22&gt;A1721)*(Calc!$G$3:$G$22-A1721)*(Calc!$G$3:$G$22&gt;B1721)*(Calc!$G$3:$G$22-B1721))</f>
        <v/>
      </c>
      <c r="L1721">
        <f>SUMPRODUCT(Calc!$K$3:$K$22*(Calc!$G$3:$G$22&gt;A1721)*(Calc!$G$3:$G$22-A1721)*Calc!$G$3:$G$22)</f>
        <v/>
      </c>
      <c r="M1721">
        <f>SUMPRODUCT(Calc!$K$3:$K$22*(Calc!$G$3:$G$22&gt;B1721)*(Calc!$G$3:$G$22-B1721)*Calc!$G$3:$G$22)</f>
        <v/>
      </c>
      <c r="N1721">
        <f>SUMPRODUCT(Calc!$K$3:$K$22*(Calc!$G$3:$G$22&gt;A1721)*(Calc!$G$3:$G$22-A1721)*Calc!$I$3:$I$22)</f>
        <v/>
      </c>
      <c r="O1721">
        <f>SUMPRODUCT(Calc!$K$3:$K$22*(Calc!$G$3:$G$22&gt;B1721)*(Calc!$G$3:$G$22-B1721)*Calc!$I$3:$I$22)</f>
        <v/>
      </c>
      <c r="P1721">
        <f>I1721-G1721^2/k_n</f>
        <v/>
      </c>
      <c r="Q1721">
        <f>J1721-H1721^2/k_n</f>
        <v/>
      </c>
      <c r="R1721">
        <f>K1721-G1721*H1721/k_n</f>
        <v/>
      </c>
      <c r="S1721">
        <f>L1721-LTP3!$D$3*G1721/k_n</f>
        <v/>
      </c>
      <c r="T1721">
        <f>M1721-LTP3!$D$3*H1721/k_n</f>
        <v/>
      </c>
      <c r="U1721">
        <f>N1721-G1721*LTP3!$D$4/k_n</f>
        <v/>
      </c>
      <c r="V1721">
        <f>O1721-H1721*LTP3!$D$4/k_n</f>
        <v/>
      </c>
      <c r="W1721">
        <f>((LTP3!$D$5)*((P1721)*(Q1721)-(R1721)*(R1721))-(S1721)*((S1721)*(Q1721)-(R1721)*(T1721))+(T1721)*((S1721)*(R1721)-(P1721)*(T1721)))</f>
        <v/>
      </c>
      <c r="X1721">
        <f>IF(ABS(W1721)&gt;1E-12,((LTP3!$D$6)*((P1721)*(Q1721)-(R1721)*(R1721))-(S1721)*((U1721)*(Q1721)-(R1721)*(V1721))+(T1721)*((U1721)*(R1721)-(P1721)*(V1721)))/W1721,0)</f>
        <v/>
      </c>
      <c r="Y1721">
        <f>IF(ABS(W1721)&gt;1E-12,((LTP3!$D$5)*((U1721)*(Q1721)-(R1721)*(V1721))-(LTP3!$D$6)*((S1721)*(Q1721)-(R1721)*(T1721))+(T1721)*((S1721)*(V1721)-(U1721)*(T1721)))/W1721,0)</f>
        <v/>
      </c>
      <c r="Z1721">
        <f>IF(ABS(W1721)&gt;1E-12,((LTP3!$D$5)*((P1721)*(V1721)-(U1721)*(R1721))-(S1721)*((S1721)*(V1721)-(U1721)*(T1721))+(LTP3!$D$6)*((S1721)*(R1721)-(P1721)*(T1721)))/W1721,0)</f>
        <v/>
      </c>
      <c r="AA1721">
        <f>LTP3!$D$7-X1721*LTP3!$D$6-Y1721*U1721-Z1721*V1721</f>
        <v/>
      </c>
      <c r="AB1721">
        <f>IF(AND(F1721,ABS(W1721)&gt;1E-12,Y1721&gt;0,Z1721&gt;0),AA1721,1E+300)</f>
        <v/>
      </c>
    </row>
    <row r="1722">
      <c r="A1722">
        <f>$B$3+$B$5*28</f>
        <v/>
      </c>
      <c r="B1722">
        <f>$B$3+$B$5*2</f>
        <v/>
      </c>
      <c r="C1722">
        <f>SUMPRODUCT(Calc!$K$3:$K$22*(Calc!$G$3:$G$22&lt;=A1722))</f>
        <v/>
      </c>
      <c r="D1722">
        <f>SUMPRODUCT(Calc!$K$3:$K$22*(Calc!$G$3:$G$22&gt;A1722)*(Calc!$G$3:$G$22&lt;B1722))</f>
        <v/>
      </c>
      <c r="E1722">
        <f>SUMPRODUCT(Calc!$K$3:$K$22*(Calc!$G$3:$G$22&gt;=B1722))</f>
        <v/>
      </c>
      <c r="F1722">
        <f>AND(k_n&gt;=5,B1722&gt;A1722+1E-9,C1722&gt;=2,D1722&gt;=1,E1722&gt;=2)</f>
        <v/>
      </c>
      <c r="G1722">
        <f>SUMPRODUCT(Calc!$K$3:$K$22*(Calc!$G$3:$G$22&gt;A1722)*(Calc!$G$3:$G$22-A1722))</f>
        <v/>
      </c>
      <c r="H1722">
        <f>SUMPRODUCT(Calc!$K$3:$K$22*(Calc!$G$3:$G$22&gt;B1722)*(Calc!$G$3:$G$22-B1722))</f>
        <v/>
      </c>
      <c r="I1722">
        <f>SUMPRODUCT(Calc!$K$3:$K$22*(Calc!$G$3:$G$22&gt;A1722)*(Calc!$G$3:$G$22-A1722)^2)</f>
        <v/>
      </c>
      <c r="J1722">
        <f>SUMPRODUCT(Calc!$K$3:$K$22*(Calc!$G$3:$G$22&gt;B1722)*(Calc!$G$3:$G$22-B1722)^2)</f>
        <v/>
      </c>
      <c r="K1722">
        <f>SUMPRODUCT(Calc!$K$3:$K$22*(Calc!$G$3:$G$22&gt;A1722)*(Calc!$G$3:$G$22-A1722)*(Calc!$G$3:$G$22&gt;B1722)*(Calc!$G$3:$G$22-B1722))</f>
        <v/>
      </c>
      <c r="L1722">
        <f>SUMPRODUCT(Calc!$K$3:$K$22*(Calc!$G$3:$G$22&gt;A1722)*(Calc!$G$3:$G$22-A1722)*Calc!$G$3:$G$22)</f>
        <v/>
      </c>
      <c r="M1722">
        <f>SUMPRODUCT(Calc!$K$3:$K$22*(Calc!$G$3:$G$22&gt;B1722)*(Calc!$G$3:$G$22-B1722)*Calc!$G$3:$G$22)</f>
        <v/>
      </c>
      <c r="N1722">
        <f>SUMPRODUCT(Calc!$K$3:$K$22*(Calc!$G$3:$G$22&gt;A1722)*(Calc!$G$3:$G$22-A1722)*Calc!$I$3:$I$22)</f>
        <v/>
      </c>
      <c r="O1722">
        <f>SUMPRODUCT(Calc!$K$3:$K$22*(Calc!$G$3:$G$22&gt;B1722)*(Calc!$G$3:$G$22-B1722)*Calc!$I$3:$I$22)</f>
        <v/>
      </c>
      <c r="P1722">
        <f>I1722-G1722^2/k_n</f>
        <v/>
      </c>
      <c r="Q1722">
        <f>J1722-H1722^2/k_n</f>
        <v/>
      </c>
      <c r="R1722">
        <f>K1722-G1722*H1722/k_n</f>
        <v/>
      </c>
      <c r="S1722">
        <f>L1722-LTP3!$D$3*G1722/k_n</f>
        <v/>
      </c>
      <c r="T1722">
        <f>M1722-LTP3!$D$3*H1722/k_n</f>
        <v/>
      </c>
      <c r="U1722">
        <f>N1722-G1722*LTP3!$D$4/k_n</f>
        <v/>
      </c>
      <c r="V1722">
        <f>O1722-H1722*LTP3!$D$4/k_n</f>
        <v/>
      </c>
      <c r="W1722">
        <f>((LTP3!$D$5)*((P1722)*(Q1722)-(R1722)*(R1722))-(S1722)*((S1722)*(Q1722)-(R1722)*(T1722))+(T1722)*((S1722)*(R1722)-(P1722)*(T1722)))</f>
        <v/>
      </c>
      <c r="X1722">
        <f>IF(ABS(W1722)&gt;1E-12,((LTP3!$D$6)*((P1722)*(Q1722)-(R1722)*(R1722))-(S1722)*((U1722)*(Q1722)-(R1722)*(V1722))+(T1722)*((U1722)*(R1722)-(P1722)*(V1722)))/W1722,0)</f>
        <v/>
      </c>
      <c r="Y1722">
        <f>IF(ABS(W1722)&gt;1E-12,((LTP3!$D$5)*((U1722)*(Q1722)-(R1722)*(V1722))-(LTP3!$D$6)*((S1722)*(Q1722)-(R1722)*(T1722))+(T1722)*((S1722)*(V1722)-(U1722)*(T1722)))/W1722,0)</f>
        <v/>
      </c>
      <c r="Z1722">
        <f>IF(ABS(W1722)&gt;1E-12,((LTP3!$D$5)*((P1722)*(V1722)-(U1722)*(R1722))-(S1722)*((S1722)*(V1722)-(U1722)*(T1722))+(LTP3!$D$6)*((S1722)*(R1722)-(P1722)*(T1722)))/W1722,0)</f>
        <v/>
      </c>
      <c r="AA1722">
        <f>LTP3!$D$7-X1722*LTP3!$D$6-Y1722*U1722-Z1722*V1722</f>
        <v/>
      </c>
      <c r="AB1722">
        <f>IF(AND(F1722,ABS(W1722)&gt;1E-12,Y1722&gt;0,Z1722&gt;0),AA1722,1E+300)</f>
        <v/>
      </c>
    </row>
    <row r="1723">
      <c r="A1723">
        <f>$B$3+$B$5*28</f>
        <v/>
      </c>
      <c r="B1723">
        <f>$B$3+$B$5*3</f>
        <v/>
      </c>
      <c r="C1723">
        <f>SUMPRODUCT(Calc!$K$3:$K$22*(Calc!$G$3:$G$22&lt;=A1723))</f>
        <v/>
      </c>
      <c r="D1723">
        <f>SUMPRODUCT(Calc!$K$3:$K$22*(Calc!$G$3:$G$22&gt;A1723)*(Calc!$G$3:$G$22&lt;B1723))</f>
        <v/>
      </c>
      <c r="E1723">
        <f>SUMPRODUCT(Calc!$K$3:$K$22*(Calc!$G$3:$G$22&gt;=B1723))</f>
        <v/>
      </c>
      <c r="F1723">
        <f>AND(k_n&gt;=5,B1723&gt;A1723+1E-9,C1723&gt;=2,D1723&gt;=1,E1723&gt;=2)</f>
        <v/>
      </c>
      <c r="G1723">
        <f>SUMPRODUCT(Calc!$K$3:$K$22*(Calc!$G$3:$G$22&gt;A1723)*(Calc!$G$3:$G$22-A1723))</f>
        <v/>
      </c>
      <c r="H1723">
        <f>SUMPRODUCT(Calc!$K$3:$K$22*(Calc!$G$3:$G$22&gt;B1723)*(Calc!$G$3:$G$22-B1723))</f>
        <v/>
      </c>
      <c r="I1723">
        <f>SUMPRODUCT(Calc!$K$3:$K$22*(Calc!$G$3:$G$22&gt;A1723)*(Calc!$G$3:$G$22-A1723)^2)</f>
        <v/>
      </c>
      <c r="J1723">
        <f>SUMPRODUCT(Calc!$K$3:$K$22*(Calc!$G$3:$G$22&gt;B1723)*(Calc!$G$3:$G$22-B1723)^2)</f>
        <v/>
      </c>
      <c r="K1723">
        <f>SUMPRODUCT(Calc!$K$3:$K$22*(Calc!$G$3:$G$22&gt;A1723)*(Calc!$G$3:$G$22-A1723)*(Calc!$G$3:$G$22&gt;B1723)*(Calc!$G$3:$G$22-B1723))</f>
        <v/>
      </c>
      <c r="L1723">
        <f>SUMPRODUCT(Calc!$K$3:$K$22*(Calc!$G$3:$G$22&gt;A1723)*(Calc!$G$3:$G$22-A1723)*Calc!$G$3:$G$22)</f>
        <v/>
      </c>
      <c r="M1723">
        <f>SUMPRODUCT(Calc!$K$3:$K$22*(Calc!$G$3:$G$22&gt;B1723)*(Calc!$G$3:$G$22-B1723)*Calc!$G$3:$G$22)</f>
        <v/>
      </c>
      <c r="N1723">
        <f>SUMPRODUCT(Calc!$K$3:$K$22*(Calc!$G$3:$G$22&gt;A1723)*(Calc!$G$3:$G$22-A1723)*Calc!$I$3:$I$22)</f>
        <v/>
      </c>
      <c r="O1723">
        <f>SUMPRODUCT(Calc!$K$3:$K$22*(Calc!$G$3:$G$22&gt;B1723)*(Calc!$G$3:$G$22-B1723)*Calc!$I$3:$I$22)</f>
        <v/>
      </c>
      <c r="P1723">
        <f>I1723-G1723^2/k_n</f>
        <v/>
      </c>
      <c r="Q1723">
        <f>J1723-H1723^2/k_n</f>
        <v/>
      </c>
      <c r="R1723">
        <f>K1723-G1723*H1723/k_n</f>
        <v/>
      </c>
      <c r="S1723">
        <f>L1723-LTP3!$D$3*G1723/k_n</f>
        <v/>
      </c>
      <c r="T1723">
        <f>M1723-LTP3!$D$3*H1723/k_n</f>
        <v/>
      </c>
      <c r="U1723">
        <f>N1723-G1723*LTP3!$D$4/k_n</f>
        <v/>
      </c>
      <c r="V1723">
        <f>O1723-H1723*LTP3!$D$4/k_n</f>
        <v/>
      </c>
      <c r="W1723">
        <f>((LTP3!$D$5)*((P1723)*(Q1723)-(R1723)*(R1723))-(S1723)*((S1723)*(Q1723)-(R1723)*(T1723))+(T1723)*((S1723)*(R1723)-(P1723)*(T1723)))</f>
        <v/>
      </c>
      <c r="X1723">
        <f>IF(ABS(W1723)&gt;1E-12,((LTP3!$D$6)*((P1723)*(Q1723)-(R1723)*(R1723))-(S1723)*((U1723)*(Q1723)-(R1723)*(V1723))+(T1723)*((U1723)*(R1723)-(P1723)*(V1723)))/W1723,0)</f>
        <v/>
      </c>
      <c r="Y1723">
        <f>IF(ABS(W1723)&gt;1E-12,((LTP3!$D$5)*((U1723)*(Q1723)-(R1723)*(V1723))-(LTP3!$D$6)*((S1723)*(Q1723)-(R1723)*(T1723))+(T1723)*((S1723)*(V1723)-(U1723)*(T1723)))/W1723,0)</f>
        <v/>
      </c>
      <c r="Z1723">
        <f>IF(ABS(W1723)&gt;1E-12,((LTP3!$D$5)*((P1723)*(V1723)-(U1723)*(R1723))-(S1723)*((S1723)*(V1723)-(U1723)*(T1723))+(LTP3!$D$6)*((S1723)*(R1723)-(P1723)*(T1723)))/W1723,0)</f>
        <v/>
      </c>
      <c r="AA1723">
        <f>LTP3!$D$7-X1723*LTP3!$D$6-Y1723*U1723-Z1723*V1723</f>
        <v/>
      </c>
      <c r="AB1723">
        <f>IF(AND(F1723,ABS(W1723)&gt;1E-12,Y1723&gt;0,Z1723&gt;0),AA1723,1E+300)</f>
        <v/>
      </c>
    </row>
    <row r="1724">
      <c r="A1724">
        <f>$B$3+$B$5*28</f>
        <v/>
      </c>
      <c r="B1724">
        <f>$B$3+$B$5*4</f>
        <v/>
      </c>
      <c r="C1724">
        <f>SUMPRODUCT(Calc!$K$3:$K$22*(Calc!$G$3:$G$22&lt;=A1724))</f>
        <v/>
      </c>
      <c r="D1724">
        <f>SUMPRODUCT(Calc!$K$3:$K$22*(Calc!$G$3:$G$22&gt;A1724)*(Calc!$G$3:$G$22&lt;B1724))</f>
        <v/>
      </c>
      <c r="E1724">
        <f>SUMPRODUCT(Calc!$K$3:$K$22*(Calc!$G$3:$G$22&gt;=B1724))</f>
        <v/>
      </c>
      <c r="F1724">
        <f>AND(k_n&gt;=5,B1724&gt;A1724+1E-9,C1724&gt;=2,D1724&gt;=1,E1724&gt;=2)</f>
        <v/>
      </c>
      <c r="G1724">
        <f>SUMPRODUCT(Calc!$K$3:$K$22*(Calc!$G$3:$G$22&gt;A1724)*(Calc!$G$3:$G$22-A1724))</f>
        <v/>
      </c>
      <c r="H1724">
        <f>SUMPRODUCT(Calc!$K$3:$K$22*(Calc!$G$3:$G$22&gt;B1724)*(Calc!$G$3:$G$22-B1724))</f>
        <v/>
      </c>
      <c r="I1724">
        <f>SUMPRODUCT(Calc!$K$3:$K$22*(Calc!$G$3:$G$22&gt;A1724)*(Calc!$G$3:$G$22-A1724)^2)</f>
        <v/>
      </c>
      <c r="J1724">
        <f>SUMPRODUCT(Calc!$K$3:$K$22*(Calc!$G$3:$G$22&gt;B1724)*(Calc!$G$3:$G$22-B1724)^2)</f>
        <v/>
      </c>
      <c r="K1724">
        <f>SUMPRODUCT(Calc!$K$3:$K$22*(Calc!$G$3:$G$22&gt;A1724)*(Calc!$G$3:$G$22-A1724)*(Calc!$G$3:$G$22&gt;B1724)*(Calc!$G$3:$G$22-B1724))</f>
        <v/>
      </c>
      <c r="L1724">
        <f>SUMPRODUCT(Calc!$K$3:$K$22*(Calc!$G$3:$G$22&gt;A1724)*(Calc!$G$3:$G$22-A1724)*Calc!$G$3:$G$22)</f>
        <v/>
      </c>
      <c r="M1724">
        <f>SUMPRODUCT(Calc!$K$3:$K$22*(Calc!$G$3:$G$22&gt;B1724)*(Calc!$G$3:$G$22-B1724)*Calc!$G$3:$G$22)</f>
        <v/>
      </c>
      <c r="N1724">
        <f>SUMPRODUCT(Calc!$K$3:$K$22*(Calc!$G$3:$G$22&gt;A1724)*(Calc!$G$3:$G$22-A1724)*Calc!$I$3:$I$22)</f>
        <v/>
      </c>
      <c r="O1724">
        <f>SUMPRODUCT(Calc!$K$3:$K$22*(Calc!$G$3:$G$22&gt;B1724)*(Calc!$G$3:$G$22-B1724)*Calc!$I$3:$I$22)</f>
        <v/>
      </c>
      <c r="P1724">
        <f>I1724-G1724^2/k_n</f>
        <v/>
      </c>
      <c r="Q1724">
        <f>J1724-H1724^2/k_n</f>
        <v/>
      </c>
      <c r="R1724">
        <f>K1724-G1724*H1724/k_n</f>
        <v/>
      </c>
      <c r="S1724">
        <f>L1724-LTP3!$D$3*G1724/k_n</f>
        <v/>
      </c>
      <c r="T1724">
        <f>M1724-LTP3!$D$3*H1724/k_n</f>
        <v/>
      </c>
      <c r="U1724">
        <f>N1724-G1724*LTP3!$D$4/k_n</f>
        <v/>
      </c>
      <c r="V1724">
        <f>O1724-H1724*LTP3!$D$4/k_n</f>
        <v/>
      </c>
      <c r="W1724">
        <f>((LTP3!$D$5)*((P1724)*(Q1724)-(R1724)*(R1724))-(S1724)*((S1724)*(Q1724)-(R1724)*(T1724))+(T1724)*((S1724)*(R1724)-(P1724)*(T1724)))</f>
        <v/>
      </c>
      <c r="X1724">
        <f>IF(ABS(W1724)&gt;1E-12,((LTP3!$D$6)*((P1724)*(Q1724)-(R1724)*(R1724))-(S1724)*((U1724)*(Q1724)-(R1724)*(V1724))+(T1724)*((U1724)*(R1724)-(P1724)*(V1724)))/W1724,0)</f>
        <v/>
      </c>
      <c r="Y1724">
        <f>IF(ABS(W1724)&gt;1E-12,((LTP3!$D$5)*((U1724)*(Q1724)-(R1724)*(V1724))-(LTP3!$D$6)*((S1724)*(Q1724)-(R1724)*(T1724))+(T1724)*((S1724)*(V1724)-(U1724)*(T1724)))/W1724,0)</f>
        <v/>
      </c>
      <c r="Z1724">
        <f>IF(ABS(W1724)&gt;1E-12,((LTP3!$D$5)*((P1724)*(V1724)-(U1724)*(R1724))-(S1724)*((S1724)*(V1724)-(U1724)*(T1724))+(LTP3!$D$6)*((S1724)*(R1724)-(P1724)*(T1724)))/W1724,0)</f>
        <v/>
      </c>
      <c r="AA1724">
        <f>LTP3!$D$7-X1724*LTP3!$D$6-Y1724*U1724-Z1724*V1724</f>
        <v/>
      </c>
      <c r="AB1724">
        <f>IF(AND(F1724,ABS(W1724)&gt;1E-12,Y1724&gt;0,Z1724&gt;0),AA1724,1E+300)</f>
        <v/>
      </c>
    </row>
    <row r="1725">
      <c r="A1725">
        <f>$B$3+$B$5*28</f>
        <v/>
      </c>
      <c r="B1725">
        <f>$B$3+$B$5*5</f>
        <v/>
      </c>
      <c r="C1725">
        <f>SUMPRODUCT(Calc!$K$3:$K$22*(Calc!$G$3:$G$22&lt;=A1725))</f>
        <v/>
      </c>
      <c r="D1725">
        <f>SUMPRODUCT(Calc!$K$3:$K$22*(Calc!$G$3:$G$22&gt;A1725)*(Calc!$G$3:$G$22&lt;B1725))</f>
        <v/>
      </c>
      <c r="E1725">
        <f>SUMPRODUCT(Calc!$K$3:$K$22*(Calc!$G$3:$G$22&gt;=B1725))</f>
        <v/>
      </c>
      <c r="F1725">
        <f>AND(k_n&gt;=5,B1725&gt;A1725+1E-9,C1725&gt;=2,D1725&gt;=1,E1725&gt;=2)</f>
        <v/>
      </c>
      <c r="G1725">
        <f>SUMPRODUCT(Calc!$K$3:$K$22*(Calc!$G$3:$G$22&gt;A1725)*(Calc!$G$3:$G$22-A1725))</f>
        <v/>
      </c>
      <c r="H1725">
        <f>SUMPRODUCT(Calc!$K$3:$K$22*(Calc!$G$3:$G$22&gt;B1725)*(Calc!$G$3:$G$22-B1725))</f>
        <v/>
      </c>
      <c r="I1725">
        <f>SUMPRODUCT(Calc!$K$3:$K$22*(Calc!$G$3:$G$22&gt;A1725)*(Calc!$G$3:$G$22-A1725)^2)</f>
        <v/>
      </c>
      <c r="J1725">
        <f>SUMPRODUCT(Calc!$K$3:$K$22*(Calc!$G$3:$G$22&gt;B1725)*(Calc!$G$3:$G$22-B1725)^2)</f>
        <v/>
      </c>
      <c r="K1725">
        <f>SUMPRODUCT(Calc!$K$3:$K$22*(Calc!$G$3:$G$22&gt;A1725)*(Calc!$G$3:$G$22-A1725)*(Calc!$G$3:$G$22&gt;B1725)*(Calc!$G$3:$G$22-B1725))</f>
        <v/>
      </c>
      <c r="L1725">
        <f>SUMPRODUCT(Calc!$K$3:$K$22*(Calc!$G$3:$G$22&gt;A1725)*(Calc!$G$3:$G$22-A1725)*Calc!$G$3:$G$22)</f>
        <v/>
      </c>
      <c r="M1725">
        <f>SUMPRODUCT(Calc!$K$3:$K$22*(Calc!$G$3:$G$22&gt;B1725)*(Calc!$G$3:$G$22-B1725)*Calc!$G$3:$G$22)</f>
        <v/>
      </c>
      <c r="N1725">
        <f>SUMPRODUCT(Calc!$K$3:$K$22*(Calc!$G$3:$G$22&gt;A1725)*(Calc!$G$3:$G$22-A1725)*Calc!$I$3:$I$22)</f>
        <v/>
      </c>
      <c r="O1725">
        <f>SUMPRODUCT(Calc!$K$3:$K$22*(Calc!$G$3:$G$22&gt;B1725)*(Calc!$G$3:$G$22-B1725)*Calc!$I$3:$I$22)</f>
        <v/>
      </c>
      <c r="P1725">
        <f>I1725-G1725^2/k_n</f>
        <v/>
      </c>
      <c r="Q1725">
        <f>J1725-H1725^2/k_n</f>
        <v/>
      </c>
      <c r="R1725">
        <f>K1725-G1725*H1725/k_n</f>
        <v/>
      </c>
      <c r="S1725">
        <f>L1725-LTP3!$D$3*G1725/k_n</f>
        <v/>
      </c>
      <c r="T1725">
        <f>M1725-LTP3!$D$3*H1725/k_n</f>
        <v/>
      </c>
      <c r="U1725">
        <f>N1725-G1725*LTP3!$D$4/k_n</f>
        <v/>
      </c>
      <c r="V1725">
        <f>O1725-H1725*LTP3!$D$4/k_n</f>
        <v/>
      </c>
      <c r="W1725">
        <f>((LTP3!$D$5)*((P1725)*(Q1725)-(R1725)*(R1725))-(S1725)*((S1725)*(Q1725)-(R1725)*(T1725))+(T1725)*((S1725)*(R1725)-(P1725)*(T1725)))</f>
        <v/>
      </c>
      <c r="X1725">
        <f>IF(ABS(W1725)&gt;1E-12,((LTP3!$D$6)*((P1725)*(Q1725)-(R1725)*(R1725))-(S1725)*((U1725)*(Q1725)-(R1725)*(V1725))+(T1725)*((U1725)*(R1725)-(P1725)*(V1725)))/W1725,0)</f>
        <v/>
      </c>
      <c r="Y1725">
        <f>IF(ABS(W1725)&gt;1E-12,((LTP3!$D$5)*((U1725)*(Q1725)-(R1725)*(V1725))-(LTP3!$D$6)*((S1725)*(Q1725)-(R1725)*(T1725))+(T1725)*((S1725)*(V1725)-(U1725)*(T1725)))/W1725,0)</f>
        <v/>
      </c>
      <c r="Z1725">
        <f>IF(ABS(W1725)&gt;1E-12,((LTP3!$D$5)*((P1725)*(V1725)-(U1725)*(R1725))-(S1725)*((S1725)*(V1725)-(U1725)*(T1725))+(LTP3!$D$6)*((S1725)*(R1725)-(P1725)*(T1725)))/W1725,0)</f>
        <v/>
      </c>
      <c r="AA1725">
        <f>LTP3!$D$7-X1725*LTP3!$D$6-Y1725*U1725-Z1725*V1725</f>
        <v/>
      </c>
      <c r="AB1725">
        <f>IF(AND(F1725,ABS(W1725)&gt;1E-12,Y1725&gt;0,Z1725&gt;0),AA1725,1E+300)</f>
        <v/>
      </c>
    </row>
    <row r="1726">
      <c r="A1726">
        <f>$B$3+$B$5*28</f>
        <v/>
      </c>
      <c r="B1726">
        <f>$B$3+$B$5*6</f>
        <v/>
      </c>
      <c r="C1726">
        <f>SUMPRODUCT(Calc!$K$3:$K$22*(Calc!$G$3:$G$22&lt;=A1726))</f>
        <v/>
      </c>
      <c r="D1726">
        <f>SUMPRODUCT(Calc!$K$3:$K$22*(Calc!$G$3:$G$22&gt;A1726)*(Calc!$G$3:$G$22&lt;B1726))</f>
        <v/>
      </c>
      <c r="E1726">
        <f>SUMPRODUCT(Calc!$K$3:$K$22*(Calc!$G$3:$G$22&gt;=B1726))</f>
        <v/>
      </c>
      <c r="F1726">
        <f>AND(k_n&gt;=5,B1726&gt;A1726+1E-9,C1726&gt;=2,D1726&gt;=1,E1726&gt;=2)</f>
        <v/>
      </c>
      <c r="G1726">
        <f>SUMPRODUCT(Calc!$K$3:$K$22*(Calc!$G$3:$G$22&gt;A1726)*(Calc!$G$3:$G$22-A1726))</f>
        <v/>
      </c>
      <c r="H1726">
        <f>SUMPRODUCT(Calc!$K$3:$K$22*(Calc!$G$3:$G$22&gt;B1726)*(Calc!$G$3:$G$22-B1726))</f>
        <v/>
      </c>
      <c r="I1726">
        <f>SUMPRODUCT(Calc!$K$3:$K$22*(Calc!$G$3:$G$22&gt;A1726)*(Calc!$G$3:$G$22-A1726)^2)</f>
        <v/>
      </c>
      <c r="J1726">
        <f>SUMPRODUCT(Calc!$K$3:$K$22*(Calc!$G$3:$G$22&gt;B1726)*(Calc!$G$3:$G$22-B1726)^2)</f>
        <v/>
      </c>
      <c r="K1726">
        <f>SUMPRODUCT(Calc!$K$3:$K$22*(Calc!$G$3:$G$22&gt;A1726)*(Calc!$G$3:$G$22-A1726)*(Calc!$G$3:$G$22&gt;B1726)*(Calc!$G$3:$G$22-B1726))</f>
        <v/>
      </c>
      <c r="L1726">
        <f>SUMPRODUCT(Calc!$K$3:$K$22*(Calc!$G$3:$G$22&gt;A1726)*(Calc!$G$3:$G$22-A1726)*Calc!$G$3:$G$22)</f>
        <v/>
      </c>
      <c r="M1726">
        <f>SUMPRODUCT(Calc!$K$3:$K$22*(Calc!$G$3:$G$22&gt;B1726)*(Calc!$G$3:$G$22-B1726)*Calc!$G$3:$G$22)</f>
        <v/>
      </c>
      <c r="N1726">
        <f>SUMPRODUCT(Calc!$K$3:$K$22*(Calc!$G$3:$G$22&gt;A1726)*(Calc!$G$3:$G$22-A1726)*Calc!$I$3:$I$22)</f>
        <v/>
      </c>
      <c r="O1726">
        <f>SUMPRODUCT(Calc!$K$3:$K$22*(Calc!$G$3:$G$22&gt;B1726)*(Calc!$G$3:$G$22-B1726)*Calc!$I$3:$I$22)</f>
        <v/>
      </c>
      <c r="P1726">
        <f>I1726-G1726^2/k_n</f>
        <v/>
      </c>
      <c r="Q1726">
        <f>J1726-H1726^2/k_n</f>
        <v/>
      </c>
      <c r="R1726">
        <f>K1726-G1726*H1726/k_n</f>
        <v/>
      </c>
      <c r="S1726">
        <f>L1726-LTP3!$D$3*G1726/k_n</f>
        <v/>
      </c>
      <c r="T1726">
        <f>M1726-LTP3!$D$3*H1726/k_n</f>
        <v/>
      </c>
      <c r="U1726">
        <f>N1726-G1726*LTP3!$D$4/k_n</f>
        <v/>
      </c>
      <c r="V1726">
        <f>O1726-H1726*LTP3!$D$4/k_n</f>
        <v/>
      </c>
      <c r="W1726">
        <f>((LTP3!$D$5)*((P1726)*(Q1726)-(R1726)*(R1726))-(S1726)*((S1726)*(Q1726)-(R1726)*(T1726))+(T1726)*((S1726)*(R1726)-(P1726)*(T1726)))</f>
        <v/>
      </c>
      <c r="X1726">
        <f>IF(ABS(W1726)&gt;1E-12,((LTP3!$D$6)*((P1726)*(Q1726)-(R1726)*(R1726))-(S1726)*((U1726)*(Q1726)-(R1726)*(V1726))+(T1726)*((U1726)*(R1726)-(P1726)*(V1726)))/W1726,0)</f>
        <v/>
      </c>
      <c r="Y1726">
        <f>IF(ABS(W1726)&gt;1E-12,((LTP3!$D$5)*((U1726)*(Q1726)-(R1726)*(V1726))-(LTP3!$D$6)*((S1726)*(Q1726)-(R1726)*(T1726))+(T1726)*((S1726)*(V1726)-(U1726)*(T1726)))/W1726,0)</f>
        <v/>
      </c>
      <c r="Z1726">
        <f>IF(ABS(W1726)&gt;1E-12,((LTP3!$D$5)*((P1726)*(V1726)-(U1726)*(R1726))-(S1726)*((S1726)*(V1726)-(U1726)*(T1726))+(LTP3!$D$6)*((S1726)*(R1726)-(P1726)*(T1726)))/W1726,0)</f>
        <v/>
      </c>
      <c r="AA1726">
        <f>LTP3!$D$7-X1726*LTP3!$D$6-Y1726*U1726-Z1726*V1726</f>
        <v/>
      </c>
      <c r="AB1726">
        <f>IF(AND(F1726,ABS(W1726)&gt;1E-12,Y1726&gt;0,Z1726&gt;0),AA1726,1E+300)</f>
        <v/>
      </c>
    </row>
    <row r="1727">
      <c r="A1727">
        <f>$B$3+$B$5*28</f>
        <v/>
      </c>
      <c r="B1727">
        <f>$B$3+$B$5*7</f>
        <v/>
      </c>
      <c r="C1727">
        <f>SUMPRODUCT(Calc!$K$3:$K$22*(Calc!$G$3:$G$22&lt;=A1727))</f>
        <v/>
      </c>
      <c r="D1727">
        <f>SUMPRODUCT(Calc!$K$3:$K$22*(Calc!$G$3:$G$22&gt;A1727)*(Calc!$G$3:$G$22&lt;B1727))</f>
        <v/>
      </c>
      <c r="E1727">
        <f>SUMPRODUCT(Calc!$K$3:$K$22*(Calc!$G$3:$G$22&gt;=B1727))</f>
        <v/>
      </c>
      <c r="F1727">
        <f>AND(k_n&gt;=5,B1727&gt;A1727+1E-9,C1727&gt;=2,D1727&gt;=1,E1727&gt;=2)</f>
        <v/>
      </c>
      <c r="G1727">
        <f>SUMPRODUCT(Calc!$K$3:$K$22*(Calc!$G$3:$G$22&gt;A1727)*(Calc!$G$3:$G$22-A1727))</f>
        <v/>
      </c>
      <c r="H1727">
        <f>SUMPRODUCT(Calc!$K$3:$K$22*(Calc!$G$3:$G$22&gt;B1727)*(Calc!$G$3:$G$22-B1727))</f>
        <v/>
      </c>
      <c r="I1727">
        <f>SUMPRODUCT(Calc!$K$3:$K$22*(Calc!$G$3:$G$22&gt;A1727)*(Calc!$G$3:$G$22-A1727)^2)</f>
        <v/>
      </c>
      <c r="J1727">
        <f>SUMPRODUCT(Calc!$K$3:$K$22*(Calc!$G$3:$G$22&gt;B1727)*(Calc!$G$3:$G$22-B1727)^2)</f>
        <v/>
      </c>
      <c r="K1727">
        <f>SUMPRODUCT(Calc!$K$3:$K$22*(Calc!$G$3:$G$22&gt;A1727)*(Calc!$G$3:$G$22-A1727)*(Calc!$G$3:$G$22&gt;B1727)*(Calc!$G$3:$G$22-B1727))</f>
        <v/>
      </c>
      <c r="L1727">
        <f>SUMPRODUCT(Calc!$K$3:$K$22*(Calc!$G$3:$G$22&gt;A1727)*(Calc!$G$3:$G$22-A1727)*Calc!$G$3:$G$22)</f>
        <v/>
      </c>
      <c r="M1727">
        <f>SUMPRODUCT(Calc!$K$3:$K$22*(Calc!$G$3:$G$22&gt;B1727)*(Calc!$G$3:$G$22-B1727)*Calc!$G$3:$G$22)</f>
        <v/>
      </c>
      <c r="N1727">
        <f>SUMPRODUCT(Calc!$K$3:$K$22*(Calc!$G$3:$G$22&gt;A1727)*(Calc!$G$3:$G$22-A1727)*Calc!$I$3:$I$22)</f>
        <v/>
      </c>
      <c r="O1727">
        <f>SUMPRODUCT(Calc!$K$3:$K$22*(Calc!$G$3:$G$22&gt;B1727)*(Calc!$G$3:$G$22-B1727)*Calc!$I$3:$I$22)</f>
        <v/>
      </c>
      <c r="P1727">
        <f>I1727-G1727^2/k_n</f>
        <v/>
      </c>
      <c r="Q1727">
        <f>J1727-H1727^2/k_n</f>
        <v/>
      </c>
      <c r="R1727">
        <f>K1727-G1727*H1727/k_n</f>
        <v/>
      </c>
      <c r="S1727">
        <f>L1727-LTP3!$D$3*G1727/k_n</f>
        <v/>
      </c>
      <c r="T1727">
        <f>M1727-LTP3!$D$3*H1727/k_n</f>
        <v/>
      </c>
      <c r="U1727">
        <f>N1727-G1727*LTP3!$D$4/k_n</f>
        <v/>
      </c>
      <c r="V1727">
        <f>O1727-H1727*LTP3!$D$4/k_n</f>
        <v/>
      </c>
      <c r="W1727">
        <f>((LTP3!$D$5)*((P1727)*(Q1727)-(R1727)*(R1727))-(S1727)*((S1727)*(Q1727)-(R1727)*(T1727))+(T1727)*((S1727)*(R1727)-(P1727)*(T1727)))</f>
        <v/>
      </c>
      <c r="X1727">
        <f>IF(ABS(W1727)&gt;1E-12,((LTP3!$D$6)*((P1727)*(Q1727)-(R1727)*(R1727))-(S1727)*((U1727)*(Q1727)-(R1727)*(V1727))+(T1727)*((U1727)*(R1727)-(P1727)*(V1727)))/W1727,0)</f>
        <v/>
      </c>
      <c r="Y1727">
        <f>IF(ABS(W1727)&gt;1E-12,((LTP3!$D$5)*((U1727)*(Q1727)-(R1727)*(V1727))-(LTP3!$D$6)*((S1727)*(Q1727)-(R1727)*(T1727))+(T1727)*((S1727)*(V1727)-(U1727)*(T1727)))/W1727,0)</f>
        <v/>
      </c>
      <c r="Z1727">
        <f>IF(ABS(W1727)&gt;1E-12,((LTP3!$D$5)*((P1727)*(V1727)-(U1727)*(R1727))-(S1727)*((S1727)*(V1727)-(U1727)*(T1727))+(LTP3!$D$6)*((S1727)*(R1727)-(P1727)*(T1727)))/W1727,0)</f>
        <v/>
      </c>
      <c r="AA1727">
        <f>LTP3!$D$7-X1727*LTP3!$D$6-Y1727*U1727-Z1727*V1727</f>
        <v/>
      </c>
      <c r="AB1727">
        <f>IF(AND(F1727,ABS(W1727)&gt;1E-12,Y1727&gt;0,Z1727&gt;0),AA1727,1E+300)</f>
        <v/>
      </c>
    </row>
    <row r="1728">
      <c r="A1728">
        <f>$B$3+$B$5*28</f>
        <v/>
      </c>
      <c r="B1728">
        <f>$B$3+$B$5*8</f>
        <v/>
      </c>
      <c r="C1728">
        <f>SUMPRODUCT(Calc!$K$3:$K$22*(Calc!$G$3:$G$22&lt;=A1728))</f>
        <v/>
      </c>
      <c r="D1728">
        <f>SUMPRODUCT(Calc!$K$3:$K$22*(Calc!$G$3:$G$22&gt;A1728)*(Calc!$G$3:$G$22&lt;B1728))</f>
        <v/>
      </c>
      <c r="E1728">
        <f>SUMPRODUCT(Calc!$K$3:$K$22*(Calc!$G$3:$G$22&gt;=B1728))</f>
        <v/>
      </c>
      <c r="F1728">
        <f>AND(k_n&gt;=5,B1728&gt;A1728+1E-9,C1728&gt;=2,D1728&gt;=1,E1728&gt;=2)</f>
        <v/>
      </c>
      <c r="G1728">
        <f>SUMPRODUCT(Calc!$K$3:$K$22*(Calc!$G$3:$G$22&gt;A1728)*(Calc!$G$3:$G$22-A1728))</f>
        <v/>
      </c>
      <c r="H1728">
        <f>SUMPRODUCT(Calc!$K$3:$K$22*(Calc!$G$3:$G$22&gt;B1728)*(Calc!$G$3:$G$22-B1728))</f>
        <v/>
      </c>
      <c r="I1728">
        <f>SUMPRODUCT(Calc!$K$3:$K$22*(Calc!$G$3:$G$22&gt;A1728)*(Calc!$G$3:$G$22-A1728)^2)</f>
        <v/>
      </c>
      <c r="J1728">
        <f>SUMPRODUCT(Calc!$K$3:$K$22*(Calc!$G$3:$G$22&gt;B1728)*(Calc!$G$3:$G$22-B1728)^2)</f>
        <v/>
      </c>
      <c r="K1728">
        <f>SUMPRODUCT(Calc!$K$3:$K$22*(Calc!$G$3:$G$22&gt;A1728)*(Calc!$G$3:$G$22-A1728)*(Calc!$G$3:$G$22&gt;B1728)*(Calc!$G$3:$G$22-B1728))</f>
        <v/>
      </c>
      <c r="L1728">
        <f>SUMPRODUCT(Calc!$K$3:$K$22*(Calc!$G$3:$G$22&gt;A1728)*(Calc!$G$3:$G$22-A1728)*Calc!$G$3:$G$22)</f>
        <v/>
      </c>
      <c r="M1728">
        <f>SUMPRODUCT(Calc!$K$3:$K$22*(Calc!$G$3:$G$22&gt;B1728)*(Calc!$G$3:$G$22-B1728)*Calc!$G$3:$G$22)</f>
        <v/>
      </c>
      <c r="N1728">
        <f>SUMPRODUCT(Calc!$K$3:$K$22*(Calc!$G$3:$G$22&gt;A1728)*(Calc!$G$3:$G$22-A1728)*Calc!$I$3:$I$22)</f>
        <v/>
      </c>
      <c r="O1728">
        <f>SUMPRODUCT(Calc!$K$3:$K$22*(Calc!$G$3:$G$22&gt;B1728)*(Calc!$G$3:$G$22-B1728)*Calc!$I$3:$I$22)</f>
        <v/>
      </c>
      <c r="P1728">
        <f>I1728-G1728^2/k_n</f>
        <v/>
      </c>
      <c r="Q1728">
        <f>J1728-H1728^2/k_n</f>
        <v/>
      </c>
      <c r="R1728">
        <f>K1728-G1728*H1728/k_n</f>
        <v/>
      </c>
      <c r="S1728">
        <f>L1728-LTP3!$D$3*G1728/k_n</f>
        <v/>
      </c>
      <c r="T1728">
        <f>M1728-LTP3!$D$3*H1728/k_n</f>
        <v/>
      </c>
      <c r="U1728">
        <f>N1728-G1728*LTP3!$D$4/k_n</f>
        <v/>
      </c>
      <c r="V1728">
        <f>O1728-H1728*LTP3!$D$4/k_n</f>
        <v/>
      </c>
      <c r="W1728">
        <f>((LTP3!$D$5)*((P1728)*(Q1728)-(R1728)*(R1728))-(S1728)*((S1728)*(Q1728)-(R1728)*(T1728))+(T1728)*((S1728)*(R1728)-(P1728)*(T1728)))</f>
        <v/>
      </c>
      <c r="X1728">
        <f>IF(ABS(W1728)&gt;1E-12,((LTP3!$D$6)*((P1728)*(Q1728)-(R1728)*(R1728))-(S1728)*((U1728)*(Q1728)-(R1728)*(V1728))+(T1728)*((U1728)*(R1728)-(P1728)*(V1728)))/W1728,0)</f>
        <v/>
      </c>
      <c r="Y1728">
        <f>IF(ABS(W1728)&gt;1E-12,((LTP3!$D$5)*((U1728)*(Q1728)-(R1728)*(V1728))-(LTP3!$D$6)*((S1728)*(Q1728)-(R1728)*(T1728))+(T1728)*((S1728)*(V1728)-(U1728)*(T1728)))/W1728,0)</f>
        <v/>
      </c>
      <c r="Z1728">
        <f>IF(ABS(W1728)&gt;1E-12,((LTP3!$D$5)*((P1728)*(V1728)-(U1728)*(R1728))-(S1728)*((S1728)*(V1728)-(U1728)*(T1728))+(LTP3!$D$6)*((S1728)*(R1728)-(P1728)*(T1728)))/W1728,0)</f>
        <v/>
      </c>
      <c r="AA1728">
        <f>LTP3!$D$7-X1728*LTP3!$D$6-Y1728*U1728-Z1728*V1728</f>
        <v/>
      </c>
      <c r="AB1728">
        <f>IF(AND(F1728,ABS(W1728)&gt;1E-12,Y1728&gt;0,Z1728&gt;0),AA1728,1E+300)</f>
        <v/>
      </c>
    </row>
    <row r="1729">
      <c r="A1729">
        <f>$B$3+$B$5*28</f>
        <v/>
      </c>
      <c r="B1729">
        <f>$B$3+$B$5*9</f>
        <v/>
      </c>
      <c r="C1729">
        <f>SUMPRODUCT(Calc!$K$3:$K$22*(Calc!$G$3:$G$22&lt;=A1729))</f>
        <v/>
      </c>
      <c r="D1729">
        <f>SUMPRODUCT(Calc!$K$3:$K$22*(Calc!$G$3:$G$22&gt;A1729)*(Calc!$G$3:$G$22&lt;B1729))</f>
        <v/>
      </c>
      <c r="E1729">
        <f>SUMPRODUCT(Calc!$K$3:$K$22*(Calc!$G$3:$G$22&gt;=B1729))</f>
        <v/>
      </c>
      <c r="F1729">
        <f>AND(k_n&gt;=5,B1729&gt;A1729+1E-9,C1729&gt;=2,D1729&gt;=1,E1729&gt;=2)</f>
        <v/>
      </c>
      <c r="G1729">
        <f>SUMPRODUCT(Calc!$K$3:$K$22*(Calc!$G$3:$G$22&gt;A1729)*(Calc!$G$3:$G$22-A1729))</f>
        <v/>
      </c>
      <c r="H1729">
        <f>SUMPRODUCT(Calc!$K$3:$K$22*(Calc!$G$3:$G$22&gt;B1729)*(Calc!$G$3:$G$22-B1729))</f>
        <v/>
      </c>
      <c r="I1729">
        <f>SUMPRODUCT(Calc!$K$3:$K$22*(Calc!$G$3:$G$22&gt;A1729)*(Calc!$G$3:$G$22-A1729)^2)</f>
        <v/>
      </c>
      <c r="J1729">
        <f>SUMPRODUCT(Calc!$K$3:$K$22*(Calc!$G$3:$G$22&gt;B1729)*(Calc!$G$3:$G$22-B1729)^2)</f>
        <v/>
      </c>
      <c r="K1729">
        <f>SUMPRODUCT(Calc!$K$3:$K$22*(Calc!$G$3:$G$22&gt;A1729)*(Calc!$G$3:$G$22-A1729)*(Calc!$G$3:$G$22&gt;B1729)*(Calc!$G$3:$G$22-B1729))</f>
        <v/>
      </c>
      <c r="L1729">
        <f>SUMPRODUCT(Calc!$K$3:$K$22*(Calc!$G$3:$G$22&gt;A1729)*(Calc!$G$3:$G$22-A1729)*Calc!$G$3:$G$22)</f>
        <v/>
      </c>
      <c r="M1729">
        <f>SUMPRODUCT(Calc!$K$3:$K$22*(Calc!$G$3:$G$22&gt;B1729)*(Calc!$G$3:$G$22-B1729)*Calc!$G$3:$G$22)</f>
        <v/>
      </c>
      <c r="N1729">
        <f>SUMPRODUCT(Calc!$K$3:$K$22*(Calc!$G$3:$G$22&gt;A1729)*(Calc!$G$3:$G$22-A1729)*Calc!$I$3:$I$22)</f>
        <v/>
      </c>
      <c r="O1729">
        <f>SUMPRODUCT(Calc!$K$3:$K$22*(Calc!$G$3:$G$22&gt;B1729)*(Calc!$G$3:$G$22-B1729)*Calc!$I$3:$I$22)</f>
        <v/>
      </c>
      <c r="P1729">
        <f>I1729-G1729^2/k_n</f>
        <v/>
      </c>
      <c r="Q1729">
        <f>J1729-H1729^2/k_n</f>
        <v/>
      </c>
      <c r="R1729">
        <f>K1729-G1729*H1729/k_n</f>
        <v/>
      </c>
      <c r="S1729">
        <f>L1729-LTP3!$D$3*G1729/k_n</f>
        <v/>
      </c>
      <c r="T1729">
        <f>M1729-LTP3!$D$3*H1729/k_n</f>
        <v/>
      </c>
      <c r="U1729">
        <f>N1729-G1729*LTP3!$D$4/k_n</f>
        <v/>
      </c>
      <c r="V1729">
        <f>O1729-H1729*LTP3!$D$4/k_n</f>
        <v/>
      </c>
      <c r="W1729">
        <f>((LTP3!$D$5)*((P1729)*(Q1729)-(R1729)*(R1729))-(S1729)*((S1729)*(Q1729)-(R1729)*(T1729))+(T1729)*((S1729)*(R1729)-(P1729)*(T1729)))</f>
        <v/>
      </c>
      <c r="X1729">
        <f>IF(ABS(W1729)&gt;1E-12,((LTP3!$D$6)*((P1729)*(Q1729)-(R1729)*(R1729))-(S1729)*((U1729)*(Q1729)-(R1729)*(V1729))+(T1729)*((U1729)*(R1729)-(P1729)*(V1729)))/W1729,0)</f>
        <v/>
      </c>
      <c r="Y1729">
        <f>IF(ABS(W1729)&gt;1E-12,((LTP3!$D$5)*((U1729)*(Q1729)-(R1729)*(V1729))-(LTP3!$D$6)*((S1729)*(Q1729)-(R1729)*(T1729))+(T1729)*((S1729)*(V1729)-(U1729)*(T1729)))/W1729,0)</f>
        <v/>
      </c>
      <c r="Z1729">
        <f>IF(ABS(W1729)&gt;1E-12,((LTP3!$D$5)*((P1729)*(V1729)-(U1729)*(R1729))-(S1729)*((S1729)*(V1729)-(U1729)*(T1729))+(LTP3!$D$6)*((S1729)*(R1729)-(P1729)*(T1729)))/W1729,0)</f>
        <v/>
      </c>
      <c r="AA1729">
        <f>LTP3!$D$7-X1729*LTP3!$D$6-Y1729*U1729-Z1729*V1729</f>
        <v/>
      </c>
      <c r="AB1729">
        <f>IF(AND(F1729,ABS(W1729)&gt;1E-12,Y1729&gt;0,Z1729&gt;0),AA1729,1E+300)</f>
        <v/>
      </c>
    </row>
    <row r="1730">
      <c r="A1730">
        <f>$B$3+$B$5*28</f>
        <v/>
      </c>
      <c r="B1730">
        <f>$B$3+$B$5*10</f>
        <v/>
      </c>
      <c r="C1730">
        <f>SUMPRODUCT(Calc!$K$3:$K$22*(Calc!$G$3:$G$22&lt;=A1730))</f>
        <v/>
      </c>
      <c r="D1730">
        <f>SUMPRODUCT(Calc!$K$3:$K$22*(Calc!$G$3:$G$22&gt;A1730)*(Calc!$G$3:$G$22&lt;B1730))</f>
        <v/>
      </c>
      <c r="E1730">
        <f>SUMPRODUCT(Calc!$K$3:$K$22*(Calc!$G$3:$G$22&gt;=B1730))</f>
        <v/>
      </c>
      <c r="F1730">
        <f>AND(k_n&gt;=5,B1730&gt;A1730+1E-9,C1730&gt;=2,D1730&gt;=1,E1730&gt;=2)</f>
        <v/>
      </c>
      <c r="G1730">
        <f>SUMPRODUCT(Calc!$K$3:$K$22*(Calc!$G$3:$G$22&gt;A1730)*(Calc!$G$3:$G$22-A1730))</f>
        <v/>
      </c>
      <c r="H1730">
        <f>SUMPRODUCT(Calc!$K$3:$K$22*(Calc!$G$3:$G$22&gt;B1730)*(Calc!$G$3:$G$22-B1730))</f>
        <v/>
      </c>
      <c r="I1730">
        <f>SUMPRODUCT(Calc!$K$3:$K$22*(Calc!$G$3:$G$22&gt;A1730)*(Calc!$G$3:$G$22-A1730)^2)</f>
        <v/>
      </c>
      <c r="J1730">
        <f>SUMPRODUCT(Calc!$K$3:$K$22*(Calc!$G$3:$G$22&gt;B1730)*(Calc!$G$3:$G$22-B1730)^2)</f>
        <v/>
      </c>
      <c r="K1730">
        <f>SUMPRODUCT(Calc!$K$3:$K$22*(Calc!$G$3:$G$22&gt;A1730)*(Calc!$G$3:$G$22-A1730)*(Calc!$G$3:$G$22&gt;B1730)*(Calc!$G$3:$G$22-B1730))</f>
        <v/>
      </c>
      <c r="L1730">
        <f>SUMPRODUCT(Calc!$K$3:$K$22*(Calc!$G$3:$G$22&gt;A1730)*(Calc!$G$3:$G$22-A1730)*Calc!$G$3:$G$22)</f>
        <v/>
      </c>
      <c r="M1730">
        <f>SUMPRODUCT(Calc!$K$3:$K$22*(Calc!$G$3:$G$22&gt;B1730)*(Calc!$G$3:$G$22-B1730)*Calc!$G$3:$G$22)</f>
        <v/>
      </c>
      <c r="N1730">
        <f>SUMPRODUCT(Calc!$K$3:$K$22*(Calc!$G$3:$G$22&gt;A1730)*(Calc!$G$3:$G$22-A1730)*Calc!$I$3:$I$22)</f>
        <v/>
      </c>
      <c r="O1730">
        <f>SUMPRODUCT(Calc!$K$3:$K$22*(Calc!$G$3:$G$22&gt;B1730)*(Calc!$G$3:$G$22-B1730)*Calc!$I$3:$I$22)</f>
        <v/>
      </c>
      <c r="P1730">
        <f>I1730-G1730^2/k_n</f>
        <v/>
      </c>
      <c r="Q1730">
        <f>J1730-H1730^2/k_n</f>
        <v/>
      </c>
      <c r="R1730">
        <f>K1730-G1730*H1730/k_n</f>
        <v/>
      </c>
      <c r="S1730">
        <f>L1730-LTP3!$D$3*G1730/k_n</f>
        <v/>
      </c>
      <c r="T1730">
        <f>M1730-LTP3!$D$3*H1730/k_n</f>
        <v/>
      </c>
      <c r="U1730">
        <f>N1730-G1730*LTP3!$D$4/k_n</f>
        <v/>
      </c>
      <c r="V1730">
        <f>O1730-H1730*LTP3!$D$4/k_n</f>
        <v/>
      </c>
      <c r="W1730">
        <f>((LTP3!$D$5)*((P1730)*(Q1730)-(R1730)*(R1730))-(S1730)*((S1730)*(Q1730)-(R1730)*(T1730))+(T1730)*((S1730)*(R1730)-(P1730)*(T1730)))</f>
        <v/>
      </c>
      <c r="X1730">
        <f>IF(ABS(W1730)&gt;1E-12,((LTP3!$D$6)*((P1730)*(Q1730)-(R1730)*(R1730))-(S1730)*((U1730)*(Q1730)-(R1730)*(V1730))+(T1730)*((U1730)*(R1730)-(P1730)*(V1730)))/W1730,0)</f>
        <v/>
      </c>
      <c r="Y1730">
        <f>IF(ABS(W1730)&gt;1E-12,((LTP3!$D$5)*((U1730)*(Q1730)-(R1730)*(V1730))-(LTP3!$D$6)*((S1730)*(Q1730)-(R1730)*(T1730))+(T1730)*((S1730)*(V1730)-(U1730)*(T1730)))/W1730,0)</f>
        <v/>
      </c>
      <c r="Z1730">
        <f>IF(ABS(W1730)&gt;1E-12,((LTP3!$D$5)*((P1730)*(V1730)-(U1730)*(R1730))-(S1730)*((S1730)*(V1730)-(U1730)*(T1730))+(LTP3!$D$6)*((S1730)*(R1730)-(P1730)*(T1730)))/W1730,0)</f>
        <v/>
      </c>
      <c r="AA1730">
        <f>LTP3!$D$7-X1730*LTP3!$D$6-Y1730*U1730-Z1730*V1730</f>
        <v/>
      </c>
      <c r="AB1730">
        <f>IF(AND(F1730,ABS(W1730)&gt;1E-12,Y1730&gt;0,Z1730&gt;0),AA1730,1E+300)</f>
        <v/>
      </c>
    </row>
    <row r="1731">
      <c r="A1731">
        <f>$B$3+$B$5*28</f>
        <v/>
      </c>
      <c r="B1731">
        <f>$B$3+$B$5*11</f>
        <v/>
      </c>
      <c r="C1731">
        <f>SUMPRODUCT(Calc!$K$3:$K$22*(Calc!$G$3:$G$22&lt;=A1731))</f>
        <v/>
      </c>
      <c r="D1731">
        <f>SUMPRODUCT(Calc!$K$3:$K$22*(Calc!$G$3:$G$22&gt;A1731)*(Calc!$G$3:$G$22&lt;B1731))</f>
        <v/>
      </c>
      <c r="E1731">
        <f>SUMPRODUCT(Calc!$K$3:$K$22*(Calc!$G$3:$G$22&gt;=B1731))</f>
        <v/>
      </c>
      <c r="F1731">
        <f>AND(k_n&gt;=5,B1731&gt;A1731+1E-9,C1731&gt;=2,D1731&gt;=1,E1731&gt;=2)</f>
        <v/>
      </c>
      <c r="G1731">
        <f>SUMPRODUCT(Calc!$K$3:$K$22*(Calc!$G$3:$G$22&gt;A1731)*(Calc!$G$3:$G$22-A1731))</f>
        <v/>
      </c>
      <c r="H1731">
        <f>SUMPRODUCT(Calc!$K$3:$K$22*(Calc!$G$3:$G$22&gt;B1731)*(Calc!$G$3:$G$22-B1731))</f>
        <v/>
      </c>
      <c r="I1731">
        <f>SUMPRODUCT(Calc!$K$3:$K$22*(Calc!$G$3:$G$22&gt;A1731)*(Calc!$G$3:$G$22-A1731)^2)</f>
        <v/>
      </c>
      <c r="J1731">
        <f>SUMPRODUCT(Calc!$K$3:$K$22*(Calc!$G$3:$G$22&gt;B1731)*(Calc!$G$3:$G$22-B1731)^2)</f>
        <v/>
      </c>
      <c r="K1731">
        <f>SUMPRODUCT(Calc!$K$3:$K$22*(Calc!$G$3:$G$22&gt;A1731)*(Calc!$G$3:$G$22-A1731)*(Calc!$G$3:$G$22&gt;B1731)*(Calc!$G$3:$G$22-B1731))</f>
        <v/>
      </c>
      <c r="L1731">
        <f>SUMPRODUCT(Calc!$K$3:$K$22*(Calc!$G$3:$G$22&gt;A1731)*(Calc!$G$3:$G$22-A1731)*Calc!$G$3:$G$22)</f>
        <v/>
      </c>
      <c r="M1731">
        <f>SUMPRODUCT(Calc!$K$3:$K$22*(Calc!$G$3:$G$22&gt;B1731)*(Calc!$G$3:$G$22-B1731)*Calc!$G$3:$G$22)</f>
        <v/>
      </c>
      <c r="N1731">
        <f>SUMPRODUCT(Calc!$K$3:$K$22*(Calc!$G$3:$G$22&gt;A1731)*(Calc!$G$3:$G$22-A1731)*Calc!$I$3:$I$22)</f>
        <v/>
      </c>
      <c r="O1731">
        <f>SUMPRODUCT(Calc!$K$3:$K$22*(Calc!$G$3:$G$22&gt;B1731)*(Calc!$G$3:$G$22-B1731)*Calc!$I$3:$I$22)</f>
        <v/>
      </c>
      <c r="P1731">
        <f>I1731-G1731^2/k_n</f>
        <v/>
      </c>
      <c r="Q1731">
        <f>J1731-H1731^2/k_n</f>
        <v/>
      </c>
      <c r="R1731">
        <f>K1731-G1731*H1731/k_n</f>
        <v/>
      </c>
      <c r="S1731">
        <f>L1731-LTP3!$D$3*G1731/k_n</f>
        <v/>
      </c>
      <c r="T1731">
        <f>M1731-LTP3!$D$3*H1731/k_n</f>
        <v/>
      </c>
      <c r="U1731">
        <f>N1731-G1731*LTP3!$D$4/k_n</f>
        <v/>
      </c>
      <c r="V1731">
        <f>O1731-H1731*LTP3!$D$4/k_n</f>
        <v/>
      </c>
      <c r="W1731">
        <f>((LTP3!$D$5)*((P1731)*(Q1731)-(R1731)*(R1731))-(S1731)*((S1731)*(Q1731)-(R1731)*(T1731))+(T1731)*((S1731)*(R1731)-(P1731)*(T1731)))</f>
        <v/>
      </c>
      <c r="X1731">
        <f>IF(ABS(W1731)&gt;1E-12,((LTP3!$D$6)*((P1731)*(Q1731)-(R1731)*(R1731))-(S1731)*((U1731)*(Q1731)-(R1731)*(V1731))+(T1731)*((U1731)*(R1731)-(P1731)*(V1731)))/W1731,0)</f>
        <v/>
      </c>
      <c r="Y1731">
        <f>IF(ABS(W1731)&gt;1E-12,((LTP3!$D$5)*((U1731)*(Q1731)-(R1731)*(V1731))-(LTP3!$D$6)*((S1731)*(Q1731)-(R1731)*(T1731))+(T1731)*((S1731)*(V1731)-(U1731)*(T1731)))/W1731,0)</f>
        <v/>
      </c>
      <c r="Z1731">
        <f>IF(ABS(W1731)&gt;1E-12,((LTP3!$D$5)*((P1731)*(V1731)-(U1731)*(R1731))-(S1731)*((S1731)*(V1731)-(U1731)*(T1731))+(LTP3!$D$6)*((S1731)*(R1731)-(P1731)*(T1731)))/W1731,0)</f>
        <v/>
      </c>
      <c r="AA1731">
        <f>LTP3!$D$7-X1731*LTP3!$D$6-Y1731*U1731-Z1731*V1731</f>
        <v/>
      </c>
      <c r="AB1731">
        <f>IF(AND(F1731,ABS(W1731)&gt;1E-12,Y1731&gt;0,Z1731&gt;0),AA1731,1E+300)</f>
        <v/>
      </c>
    </row>
    <row r="1732">
      <c r="A1732">
        <f>$B$3+$B$5*28</f>
        <v/>
      </c>
      <c r="B1732">
        <f>$B$3+$B$5*12</f>
        <v/>
      </c>
      <c r="C1732">
        <f>SUMPRODUCT(Calc!$K$3:$K$22*(Calc!$G$3:$G$22&lt;=A1732))</f>
        <v/>
      </c>
      <c r="D1732">
        <f>SUMPRODUCT(Calc!$K$3:$K$22*(Calc!$G$3:$G$22&gt;A1732)*(Calc!$G$3:$G$22&lt;B1732))</f>
        <v/>
      </c>
      <c r="E1732">
        <f>SUMPRODUCT(Calc!$K$3:$K$22*(Calc!$G$3:$G$22&gt;=B1732))</f>
        <v/>
      </c>
      <c r="F1732">
        <f>AND(k_n&gt;=5,B1732&gt;A1732+1E-9,C1732&gt;=2,D1732&gt;=1,E1732&gt;=2)</f>
        <v/>
      </c>
      <c r="G1732">
        <f>SUMPRODUCT(Calc!$K$3:$K$22*(Calc!$G$3:$G$22&gt;A1732)*(Calc!$G$3:$G$22-A1732))</f>
        <v/>
      </c>
      <c r="H1732">
        <f>SUMPRODUCT(Calc!$K$3:$K$22*(Calc!$G$3:$G$22&gt;B1732)*(Calc!$G$3:$G$22-B1732))</f>
        <v/>
      </c>
      <c r="I1732">
        <f>SUMPRODUCT(Calc!$K$3:$K$22*(Calc!$G$3:$G$22&gt;A1732)*(Calc!$G$3:$G$22-A1732)^2)</f>
        <v/>
      </c>
      <c r="J1732">
        <f>SUMPRODUCT(Calc!$K$3:$K$22*(Calc!$G$3:$G$22&gt;B1732)*(Calc!$G$3:$G$22-B1732)^2)</f>
        <v/>
      </c>
      <c r="K1732">
        <f>SUMPRODUCT(Calc!$K$3:$K$22*(Calc!$G$3:$G$22&gt;A1732)*(Calc!$G$3:$G$22-A1732)*(Calc!$G$3:$G$22&gt;B1732)*(Calc!$G$3:$G$22-B1732))</f>
        <v/>
      </c>
      <c r="L1732">
        <f>SUMPRODUCT(Calc!$K$3:$K$22*(Calc!$G$3:$G$22&gt;A1732)*(Calc!$G$3:$G$22-A1732)*Calc!$G$3:$G$22)</f>
        <v/>
      </c>
      <c r="M1732">
        <f>SUMPRODUCT(Calc!$K$3:$K$22*(Calc!$G$3:$G$22&gt;B1732)*(Calc!$G$3:$G$22-B1732)*Calc!$G$3:$G$22)</f>
        <v/>
      </c>
      <c r="N1732">
        <f>SUMPRODUCT(Calc!$K$3:$K$22*(Calc!$G$3:$G$22&gt;A1732)*(Calc!$G$3:$G$22-A1732)*Calc!$I$3:$I$22)</f>
        <v/>
      </c>
      <c r="O1732">
        <f>SUMPRODUCT(Calc!$K$3:$K$22*(Calc!$G$3:$G$22&gt;B1732)*(Calc!$G$3:$G$22-B1732)*Calc!$I$3:$I$22)</f>
        <v/>
      </c>
      <c r="P1732">
        <f>I1732-G1732^2/k_n</f>
        <v/>
      </c>
      <c r="Q1732">
        <f>J1732-H1732^2/k_n</f>
        <v/>
      </c>
      <c r="R1732">
        <f>K1732-G1732*H1732/k_n</f>
        <v/>
      </c>
      <c r="S1732">
        <f>L1732-LTP3!$D$3*G1732/k_n</f>
        <v/>
      </c>
      <c r="T1732">
        <f>M1732-LTP3!$D$3*H1732/k_n</f>
        <v/>
      </c>
      <c r="U1732">
        <f>N1732-G1732*LTP3!$D$4/k_n</f>
        <v/>
      </c>
      <c r="V1732">
        <f>O1732-H1732*LTP3!$D$4/k_n</f>
        <v/>
      </c>
      <c r="W1732">
        <f>((LTP3!$D$5)*((P1732)*(Q1732)-(R1732)*(R1732))-(S1732)*((S1732)*(Q1732)-(R1732)*(T1732))+(T1732)*((S1732)*(R1732)-(P1732)*(T1732)))</f>
        <v/>
      </c>
      <c r="X1732">
        <f>IF(ABS(W1732)&gt;1E-12,((LTP3!$D$6)*((P1732)*(Q1732)-(R1732)*(R1732))-(S1732)*((U1732)*(Q1732)-(R1732)*(V1732))+(T1732)*((U1732)*(R1732)-(P1732)*(V1732)))/W1732,0)</f>
        <v/>
      </c>
      <c r="Y1732">
        <f>IF(ABS(W1732)&gt;1E-12,((LTP3!$D$5)*((U1732)*(Q1732)-(R1732)*(V1732))-(LTP3!$D$6)*((S1732)*(Q1732)-(R1732)*(T1732))+(T1732)*((S1732)*(V1732)-(U1732)*(T1732)))/W1732,0)</f>
        <v/>
      </c>
      <c r="Z1732">
        <f>IF(ABS(W1732)&gt;1E-12,((LTP3!$D$5)*((P1732)*(V1732)-(U1732)*(R1732))-(S1732)*((S1732)*(V1732)-(U1732)*(T1732))+(LTP3!$D$6)*((S1732)*(R1732)-(P1732)*(T1732)))/W1732,0)</f>
        <v/>
      </c>
      <c r="AA1732">
        <f>LTP3!$D$7-X1732*LTP3!$D$6-Y1732*U1732-Z1732*V1732</f>
        <v/>
      </c>
      <c r="AB1732">
        <f>IF(AND(F1732,ABS(W1732)&gt;1E-12,Y1732&gt;0,Z1732&gt;0),AA1732,1E+300)</f>
        <v/>
      </c>
    </row>
    <row r="1733">
      <c r="A1733">
        <f>$B$3+$B$5*28</f>
        <v/>
      </c>
      <c r="B1733">
        <f>$B$3+$B$5*13</f>
        <v/>
      </c>
      <c r="C1733">
        <f>SUMPRODUCT(Calc!$K$3:$K$22*(Calc!$G$3:$G$22&lt;=A1733))</f>
        <v/>
      </c>
      <c r="D1733">
        <f>SUMPRODUCT(Calc!$K$3:$K$22*(Calc!$G$3:$G$22&gt;A1733)*(Calc!$G$3:$G$22&lt;B1733))</f>
        <v/>
      </c>
      <c r="E1733">
        <f>SUMPRODUCT(Calc!$K$3:$K$22*(Calc!$G$3:$G$22&gt;=B1733))</f>
        <v/>
      </c>
      <c r="F1733">
        <f>AND(k_n&gt;=5,B1733&gt;A1733+1E-9,C1733&gt;=2,D1733&gt;=1,E1733&gt;=2)</f>
        <v/>
      </c>
      <c r="G1733">
        <f>SUMPRODUCT(Calc!$K$3:$K$22*(Calc!$G$3:$G$22&gt;A1733)*(Calc!$G$3:$G$22-A1733))</f>
        <v/>
      </c>
      <c r="H1733">
        <f>SUMPRODUCT(Calc!$K$3:$K$22*(Calc!$G$3:$G$22&gt;B1733)*(Calc!$G$3:$G$22-B1733))</f>
        <v/>
      </c>
      <c r="I1733">
        <f>SUMPRODUCT(Calc!$K$3:$K$22*(Calc!$G$3:$G$22&gt;A1733)*(Calc!$G$3:$G$22-A1733)^2)</f>
        <v/>
      </c>
      <c r="J1733">
        <f>SUMPRODUCT(Calc!$K$3:$K$22*(Calc!$G$3:$G$22&gt;B1733)*(Calc!$G$3:$G$22-B1733)^2)</f>
        <v/>
      </c>
      <c r="K1733">
        <f>SUMPRODUCT(Calc!$K$3:$K$22*(Calc!$G$3:$G$22&gt;A1733)*(Calc!$G$3:$G$22-A1733)*(Calc!$G$3:$G$22&gt;B1733)*(Calc!$G$3:$G$22-B1733))</f>
        <v/>
      </c>
      <c r="L1733">
        <f>SUMPRODUCT(Calc!$K$3:$K$22*(Calc!$G$3:$G$22&gt;A1733)*(Calc!$G$3:$G$22-A1733)*Calc!$G$3:$G$22)</f>
        <v/>
      </c>
      <c r="M1733">
        <f>SUMPRODUCT(Calc!$K$3:$K$22*(Calc!$G$3:$G$22&gt;B1733)*(Calc!$G$3:$G$22-B1733)*Calc!$G$3:$G$22)</f>
        <v/>
      </c>
      <c r="N1733">
        <f>SUMPRODUCT(Calc!$K$3:$K$22*(Calc!$G$3:$G$22&gt;A1733)*(Calc!$G$3:$G$22-A1733)*Calc!$I$3:$I$22)</f>
        <v/>
      </c>
      <c r="O1733">
        <f>SUMPRODUCT(Calc!$K$3:$K$22*(Calc!$G$3:$G$22&gt;B1733)*(Calc!$G$3:$G$22-B1733)*Calc!$I$3:$I$22)</f>
        <v/>
      </c>
      <c r="P1733">
        <f>I1733-G1733^2/k_n</f>
        <v/>
      </c>
      <c r="Q1733">
        <f>J1733-H1733^2/k_n</f>
        <v/>
      </c>
      <c r="R1733">
        <f>K1733-G1733*H1733/k_n</f>
        <v/>
      </c>
      <c r="S1733">
        <f>L1733-LTP3!$D$3*G1733/k_n</f>
        <v/>
      </c>
      <c r="T1733">
        <f>M1733-LTP3!$D$3*H1733/k_n</f>
        <v/>
      </c>
      <c r="U1733">
        <f>N1733-G1733*LTP3!$D$4/k_n</f>
        <v/>
      </c>
      <c r="V1733">
        <f>O1733-H1733*LTP3!$D$4/k_n</f>
        <v/>
      </c>
      <c r="W1733">
        <f>((LTP3!$D$5)*((P1733)*(Q1733)-(R1733)*(R1733))-(S1733)*((S1733)*(Q1733)-(R1733)*(T1733))+(T1733)*((S1733)*(R1733)-(P1733)*(T1733)))</f>
        <v/>
      </c>
      <c r="X1733">
        <f>IF(ABS(W1733)&gt;1E-12,((LTP3!$D$6)*((P1733)*(Q1733)-(R1733)*(R1733))-(S1733)*((U1733)*(Q1733)-(R1733)*(V1733))+(T1733)*((U1733)*(R1733)-(P1733)*(V1733)))/W1733,0)</f>
        <v/>
      </c>
      <c r="Y1733">
        <f>IF(ABS(W1733)&gt;1E-12,((LTP3!$D$5)*((U1733)*(Q1733)-(R1733)*(V1733))-(LTP3!$D$6)*((S1733)*(Q1733)-(R1733)*(T1733))+(T1733)*((S1733)*(V1733)-(U1733)*(T1733)))/W1733,0)</f>
        <v/>
      </c>
      <c r="Z1733">
        <f>IF(ABS(W1733)&gt;1E-12,((LTP3!$D$5)*((P1733)*(V1733)-(U1733)*(R1733))-(S1733)*((S1733)*(V1733)-(U1733)*(T1733))+(LTP3!$D$6)*((S1733)*(R1733)-(P1733)*(T1733)))/W1733,0)</f>
        <v/>
      </c>
      <c r="AA1733">
        <f>LTP3!$D$7-X1733*LTP3!$D$6-Y1733*U1733-Z1733*V1733</f>
        <v/>
      </c>
      <c r="AB1733">
        <f>IF(AND(F1733,ABS(W1733)&gt;1E-12,Y1733&gt;0,Z1733&gt;0),AA1733,1E+300)</f>
        <v/>
      </c>
    </row>
    <row r="1734">
      <c r="A1734">
        <f>$B$3+$B$5*28</f>
        <v/>
      </c>
      <c r="B1734">
        <f>$B$3+$B$5*14</f>
        <v/>
      </c>
      <c r="C1734">
        <f>SUMPRODUCT(Calc!$K$3:$K$22*(Calc!$G$3:$G$22&lt;=A1734))</f>
        <v/>
      </c>
      <c r="D1734">
        <f>SUMPRODUCT(Calc!$K$3:$K$22*(Calc!$G$3:$G$22&gt;A1734)*(Calc!$G$3:$G$22&lt;B1734))</f>
        <v/>
      </c>
      <c r="E1734">
        <f>SUMPRODUCT(Calc!$K$3:$K$22*(Calc!$G$3:$G$22&gt;=B1734))</f>
        <v/>
      </c>
      <c r="F1734">
        <f>AND(k_n&gt;=5,B1734&gt;A1734+1E-9,C1734&gt;=2,D1734&gt;=1,E1734&gt;=2)</f>
        <v/>
      </c>
      <c r="G1734">
        <f>SUMPRODUCT(Calc!$K$3:$K$22*(Calc!$G$3:$G$22&gt;A1734)*(Calc!$G$3:$G$22-A1734))</f>
        <v/>
      </c>
      <c r="H1734">
        <f>SUMPRODUCT(Calc!$K$3:$K$22*(Calc!$G$3:$G$22&gt;B1734)*(Calc!$G$3:$G$22-B1734))</f>
        <v/>
      </c>
      <c r="I1734">
        <f>SUMPRODUCT(Calc!$K$3:$K$22*(Calc!$G$3:$G$22&gt;A1734)*(Calc!$G$3:$G$22-A1734)^2)</f>
        <v/>
      </c>
      <c r="J1734">
        <f>SUMPRODUCT(Calc!$K$3:$K$22*(Calc!$G$3:$G$22&gt;B1734)*(Calc!$G$3:$G$22-B1734)^2)</f>
        <v/>
      </c>
      <c r="K1734">
        <f>SUMPRODUCT(Calc!$K$3:$K$22*(Calc!$G$3:$G$22&gt;A1734)*(Calc!$G$3:$G$22-A1734)*(Calc!$G$3:$G$22&gt;B1734)*(Calc!$G$3:$G$22-B1734))</f>
        <v/>
      </c>
      <c r="L1734">
        <f>SUMPRODUCT(Calc!$K$3:$K$22*(Calc!$G$3:$G$22&gt;A1734)*(Calc!$G$3:$G$22-A1734)*Calc!$G$3:$G$22)</f>
        <v/>
      </c>
      <c r="M1734">
        <f>SUMPRODUCT(Calc!$K$3:$K$22*(Calc!$G$3:$G$22&gt;B1734)*(Calc!$G$3:$G$22-B1734)*Calc!$G$3:$G$22)</f>
        <v/>
      </c>
      <c r="N1734">
        <f>SUMPRODUCT(Calc!$K$3:$K$22*(Calc!$G$3:$G$22&gt;A1734)*(Calc!$G$3:$G$22-A1734)*Calc!$I$3:$I$22)</f>
        <v/>
      </c>
      <c r="O1734">
        <f>SUMPRODUCT(Calc!$K$3:$K$22*(Calc!$G$3:$G$22&gt;B1734)*(Calc!$G$3:$G$22-B1734)*Calc!$I$3:$I$22)</f>
        <v/>
      </c>
      <c r="P1734">
        <f>I1734-G1734^2/k_n</f>
        <v/>
      </c>
      <c r="Q1734">
        <f>J1734-H1734^2/k_n</f>
        <v/>
      </c>
      <c r="R1734">
        <f>K1734-G1734*H1734/k_n</f>
        <v/>
      </c>
      <c r="S1734">
        <f>L1734-LTP3!$D$3*G1734/k_n</f>
        <v/>
      </c>
      <c r="T1734">
        <f>M1734-LTP3!$D$3*H1734/k_n</f>
        <v/>
      </c>
      <c r="U1734">
        <f>N1734-G1734*LTP3!$D$4/k_n</f>
        <v/>
      </c>
      <c r="V1734">
        <f>O1734-H1734*LTP3!$D$4/k_n</f>
        <v/>
      </c>
      <c r="W1734">
        <f>((LTP3!$D$5)*((P1734)*(Q1734)-(R1734)*(R1734))-(S1734)*((S1734)*(Q1734)-(R1734)*(T1734))+(T1734)*((S1734)*(R1734)-(P1734)*(T1734)))</f>
        <v/>
      </c>
      <c r="X1734">
        <f>IF(ABS(W1734)&gt;1E-12,((LTP3!$D$6)*((P1734)*(Q1734)-(R1734)*(R1734))-(S1734)*((U1734)*(Q1734)-(R1734)*(V1734))+(T1734)*((U1734)*(R1734)-(P1734)*(V1734)))/W1734,0)</f>
        <v/>
      </c>
      <c r="Y1734">
        <f>IF(ABS(W1734)&gt;1E-12,((LTP3!$D$5)*((U1734)*(Q1734)-(R1734)*(V1734))-(LTP3!$D$6)*((S1734)*(Q1734)-(R1734)*(T1734))+(T1734)*((S1734)*(V1734)-(U1734)*(T1734)))/W1734,0)</f>
        <v/>
      </c>
      <c r="Z1734">
        <f>IF(ABS(W1734)&gt;1E-12,((LTP3!$D$5)*((P1734)*(V1734)-(U1734)*(R1734))-(S1734)*((S1734)*(V1734)-(U1734)*(T1734))+(LTP3!$D$6)*((S1734)*(R1734)-(P1734)*(T1734)))/W1734,0)</f>
        <v/>
      </c>
      <c r="AA1734">
        <f>LTP3!$D$7-X1734*LTP3!$D$6-Y1734*U1734-Z1734*V1734</f>
        <v/>
      </c>
      <c r="AB1734">
        <f>IF(AND(F1734,ABS(W1734)&gt;1E-12,Y1734&gt;0,Z1734&gt;0),AA1734,1E+300)</f>
        <v/>
      </c>
    </row>
    <row r="1735">
      <c r="A1735">
        <f>$B$3+$B$5*28</f>
        <v/>
      </c>
      <c r="B1735">
        <f>$B$3+$B$5*15</f>
        <v/>
      </c>
      <c r="C1735">
        <f>SUMPRODUCT(Calc!$K$3:$K$22*(Calc!$G$3:$G$22&lt;=A1735))</f>
        <v/>
      </c>
      <c r="D1735">
        <f>SUMPRODUCT(Calc!$K$3:$K$22*(Calc!$G$3:$G$22&gt;A1735)*(Calc!$G$3:$G$22&lt;B1735))</f>
        <v/>
      </c>
      <c r="E1735">
        <f>SUMPRODUCT(Calc!$K$3:$K$22*(Calc!$G$3:$G$22&gt;=B1735))</f>
        <v/>
      </c>
      <c r="F1735">
        <f>AND(k_n&gt;=5,B1735&gt;A1735+1E-9,C1735&gt;=2,D1735&gt;=1,E1735&gt;=2)</f>
        <v/>
      </c>
      <c r="G1735">
        <f>SUMPRODUCT(Calc!$K$3:$K$22*(Calc!$G$3:$G$22&gt;A1735)*(Calc!$G$3:$G$22-A1735))</f>
        <v/>
      </c>
      <c r="H1735">
        <f>SUMPRODUCT(Calc!$K$3:$K$22*(Calc!$G$3:$G$22&gt;B1735)*(Calc!$G$3:$G$22-B1735))</f>
        <v/>
      </c>
      <c r="I1735">
        <f>SUMPRODUCT(Calc!$K$3:$K$22*(Calc!$G$3:$G$22&gt;A1735)*(Calc!$G$3:$G$22-A1735)^2)</f>
        <v/>
      </c>
      <c r="J1735">
        <f>SUMPRODUCT(Calc!$K$3:$K$22*(Calc!$G$3:$G$22&gt;B1735)*(Calc!$G$3:$G$22-B1735)^2)</f>
        <v/>
      </c>
      <c r="K1735">
        <f>SUMPRODUCT(Calc!$K$3:$K$22*(Calc!$G$3:$G$22&gt;A1735)*(Calc!$G$3:$G$22-A1735)*(Calc!$G$3:$G$22&gt;B1735)*(Calc!$G$3:$G$22-B1735))</f>
        <v/>
      </c>
      <c r="L1735">
        <f>SUMPRODUCT(Calc!$K$3:$K$22*(Calc!$G$3:$G$22&gt;A1735)*(Calc!$G$3:$G$22-A1735)*Calc!$G$3:$G$22)</f>
        <v/>
      </c>
      <c r="M1735">
        <f>SUMPRODUCT(Calc!$K$3:$K$22*(Calc!$G$3:$G$22&gt;B1735)*(Calc!$G$3:$G$22-B1735)*Calc!$G$3:$G$22)</f>
        <v/>
      </c>
      <c r="N1735">
        <f>SUMPRODUCT(Calc!$K$3:$K$22*(Calc!$G$3:$G$22&gt;A1735)*(Calc!$G$3:$G$22-A1735)*Calc!$I$3:$I$22)</f>
        <v/>
      </c>
      <c r="O1735">
        <f>SUMPRODUCT(Calc!$K$3:$K$22*(Calc!$G$3:$G$22&gt;B1735)*(Calc!$G$3:$G$22-B1735)*Calc!$I$3:$I$22)</f>
        <v/>
      </c>
      <c r="P1735">
        <f>I1735-G1735^2/k_n</f>
        <v/>
      </c>
      <c r="Q1735">
        <f>J1735-H1735^2/k_n</f>
        <v/>
      </c>
      <c r="R1735">
        <f>K1735-G1735*H1735/k_n</f>
        <v/>
      </c>
      <c r="S1735">
        <f>L1735-LTP3!$D$3*G1735/k_n</f>
        <v/>
      </c>
      <c r="T1735">
        <f>M1735-LTP3!$D$3*H1735/k_n</f>
        <v/>
      </c>
      <c r="U1735">
        <f>N1735-G1735*LTP3!$D$4/k_n</f>
        <v/>
      </c>
      <c r="V1735">
        <f>O1735-H1735*LTP3!$D$4/k_n</f>
        <v/>
      </c>
      <c r="W1735">
        <f>((LTP3!$D$5)*((P1735)*(Q1735)-(R1735)*(R1735))-(S1735)*((S1735)*(Q1735)-(R1735)*(T1735))+(T1735)*((S1735)*(R1735)-(P1735)*(T1735)))</f>
        <v/>
      </c>
      <c r="X1735">
        <f>IF(ABS(W1735)&gt;1E-12,((LTP3!$D$6)*((P1735)*(Q1735)-(R1735)*(R1735))-(S1735)*((U1735)*(Q1735)-(R1735)*(V1735))+(T1735)*((U1735)*(R1735)-(P1735)*(V1735)))/W1735,0)</f>
        <v/>
      </c>
      <c r="Y1735">
        <f>IF(ABS(W1735)&gt;1E-12,((LTP3!$D$5)*((U1735)*(Q1735)-(R1735)*(V1735))-(LTP3!$D$6)*((S1735)*(Q1735)-(R1735)*(T1735))+(T1735)*((S1735)*(V1735)-(U1735)*(T1735)))/W1735,0)</f>
        <v/>
      </c>
      <c r="Z1735">
        <f>IF(ABS(W1735)&gt;1E-12,((LTP3!$D$5)*((P1735)*(V1735)-(U1735)*(R1735))-(S1735)*((S1735)*(V1735)-(U1735)*(T1735))+(LTP3!$D$6)*((S1735)*(R1735)-(P1735)*(T1735)))/W1735,0)</f>
        <v/>
      </c>
      <c r="AA1735">
        <f>LTP3!$D$7-X1735*LTP3!$D$6-Y1735*U1735-Z1735*V1735</f>
        <v/>
      </c>
      <c r="AB1735">
        <f>IF(AND(F1735,ABS(W1735)&gt;1E-12,Y1735&gt;0,Z1735&gt;0),AA1735,1E+300)</f>
        <v/>
      </c>
    </row>
    <row r="1736">
      <c r="A1736">
        <f>$B$3+$B$5*28</f>
        <v/>
      </c>
      <c r="B1736">
        <f>$B$3+$B$5*16</f>
        <v/>
      </c>
      <c r="C1736">
        <f>SUMPRODUCT(Calc!$K$3:$K$22*(Calc!$G$3:$G$22&lt;=A1736))</f>
        <v/>
      </c>
      <c r="D1736">
        <f>SUMPRODUCT(Calc!$K$3:$K$22*(Calc!$G$3:$G$22&gt;A1736)*(Calc!$G$3:$G$22&lt;B1736))</f>
        <v/>
      </c>
      <c r="E1736">
        <f>SUMPRODUCT(Calc!$K$3:$K$22*(Calc!$G$3:$G$22&gt;=B1736))</f>
        <v/>
      </c>
      <c r="F1736">
        <f>AND(k_n&gt;=5,B1736&gt;A1736+1E-9,C1736&gt;=2,D1736&gt;=1,E1736&gt;=2)</f>
        <v/>
      </c>
      <c r="G1736">
        <f>SUMPRODUCT(Calc!$K$3:$K$22*(Calc!$G$3:$G$22&gt;A1736)*(Calc!$G$3:$G$22-A1736))</f>
        <v/>
      </c>
      <c r="H1736">
        <f>SUMPRODUCT(Calc!$K$3:$K$22*(Calc!$G$3:$G$22&gt;B1736)*(Calc!$G$3:$G$22-B1736))</f>
        <v/>
      </c>
      <c r="I1736">
        <f>SUMPRODUCT(Calc!$K$3:$K$22*(Calc!$G$3:$G$22&gt;A1736)*(Calc!$G$3:$G$22-A1736)^2)</f>
        <v/>
      </c>
      <c r="J1736">
        <f>SUMPRODUCT(Calc!$K$3:$K$22*(Calc!$G$3:$G$22&gt;B1736)*(Calc!$G$3:$G$22-B1736)^2)</f>
        <v/>
      </c>
      <c r="K1736">
        <f>SUMPRODUCT(Calc!$K$3:$K$22*(Calc!$G$3:$G$22&gt;A1736)*(Calc!$G$3:$G$22-A1736)*(Calc!$G$3:$G$22&gt;B1736)*(Calc!$G$3:$G$22-B1736))</f>
        <v/>
      </c>
      <c r="L1736">
        <f>SUMPRODUCT(Calc!$K$3:$K$22*(Calc!$G$3:$G$22&gt;A1736)*(Calc!$G$3:$G$22-A1736)*Calc!$G$3:$G$22)</f>
        <v/>
      </c>
      <c r="M1736">
        <f>SUMPRODUCT(Calc!$K$3:$K$22*(Calc!$G$3:$G$22&gt;B1736)*(Calc!$G$3:$G$22-B1736)*Calc!$G$3:$G$22)</f>
        <v/>
      </c>
      <c r="N1736">
        <f>SUMPRODUCT(Calc!$K$3:$K$22*(Calc!$G$3:$G$22&gt;A1736)*(Calc!$G$3:$G$22-A1736)*Calc!$I$3:$I$22)</f>
        <v/>
      </c>
      <c r="O1736">
        <f>SUMPRODUCT(Calc!$K$3:$K$22*(Calc!$G$3:$G$22&gt;B1736)*(Calc!$G$3:$G$22-B1736)*Calc!$I$3:$I$22)</f>
        <v/>
      </c>
      <c r="P1736">
        <f>I1736-G1736^2/k_n</f>
        <v/>
      </c>
      <c r="Q1736">
        <f>J1736-H1736^2/k_n</f>
        <v/>
      </c>
      <c r="R1736">
        <f>K1736-G1736*H1736/k_n</f>
        <v/>
      </c>
      <c r="S1736">
        <f>L1736-LTP3!$D$3*G1736/k_n</f>
        <v/>
      </c>
      <c r="T1736">
        <f>M1736-LTP3!$D$3*H1736/k_n</f>
        <v/>
      </c>
      <c r="U1736">
        <f>N1736-G1736*LTP3!$D$4/k_n</f>
        <v/>
      </c>
      <c r="V1736">
        <f>O1736-H1736*LTP3!$D$4/k_n</f>
        <v/>
      </c>
      <c r="W1736">
        <f>((LTP3!$D$5)*((P1736)*(Q1736)-(R1736)*(R1736))-(S1736)*((S1736)*(Q1736)-(R1736)*(T1736))+(T1736)*((S1736)*(R1736)-(P1736)*(T1736)))</f>
        <v/>
      </c>
      <c r="X1736">
        <f>IF(ABS(W1736)&gt;1E-12,((LTP3!$D$6)*((P1736)*(Q1736)-(R1736)*(R1736))-(S1736)*((U1736)*(Q1736)-(R1736)*(V1736))+(T1736)*((U1736)*(R1736)-(P1736)*(V1736)))/W1736,0)</f>
        <v/>
      </c>
      <c r="Y1736">
        <f>IF(ABS(W1736)&gt;1E-12,((LTP3!$D$5)*((U1736)*(Q1736)-(R1736)*(V1736))-(LTP3!$D$6)*((S1736)*(Q1736)-(R1736)*(T1736))+(T1736)*((S1736)*(V1736)-(U1736)*(T1736)))/W1736,0)</f>
        <v/>
      </c>
      <c r="Z1736">
        <f>IF(ABS(W1736)&gt;1E-12,((LTP3!$D$5)*((P1736)*(V1736)-(U1736)*(R1736))-(S1736)*((S1736)*(V1736)-(U1736)*(T1736))+(LTP3!$D$6)*((S1736)*(R1736)-(P1736)*(T1736)))/W1736,0)</f>
        <v/>
      </c>
      <c r="AA1736">
        <f>LTP3!$D$7-X1736*LTP3!$D$6-Y1736*U1736-Z1736*V1736</f>
        <v/>
      </c>
      <c r="AB1736">
        <f>IF(AND(F1736,ABS(W1736)&gt;1E-12,Y1736&gt;0,Z1736&gt;0),AA1736,1E+300)</f>
        <v/>
      </c>
    </row>
    <row r="1737">
      <c r="A1737">
        <f>$B$3+$B$5*28</f>
        <v/>
      </c>
      <c r="B1737">
        <f>$B$3+$B$5*17</f>
        <v/>
      </c>
      <c r="C1737">
        <f>SUMPRODUCT(Calc!$K$3:$K$22*(Calc!$G$3:$G$22&lt;=A1737))</f>
        <v/>
      </c>
      <c r="D1737">
        <f>SUMPRODUCT(Calc!$K$3:$K$22*(Calc!$G$3:$G$22&gt;A1737)*(Calc!$G$3:$G$22&lt;B1737))</f>
        <v/>
      </c>
      <c r="E1737">
        <f>SUMPRODUCT(Calc!$K$3:$K$22*(Calc!$G$3:$G$22&gt;=B1737))</f>
        <v/>
      </c>
      <c r="F1737">
        <f>AND(k_n&gt;=5,B1737&gt;A1737+1E-9,C1737&gt;=2,D1737&gt;=1,E1737&gt;=2)</f>
        <v/>
      </c>
      <c r="G1737">
        <f>SUMPRODUCT(Calc!$K$3:$K$22*(Calc!$G$3:$G$22&gt;A1737)*(Calc!$G$3:$G$22-A1737))</f>
        <v/>
      </c>
      <c r="H1737">
        <f>SUMPRODUCT(Calc!$K$3:$K$22*(Calc!$G$3:$G$22&gt;B1737)*(Calc!$G$3:$G$22-B1737))</f>
        <v/>
      </c>
      <c r="I1737">
        <f>SUMPRODUCT(Calc!$K$3:$K$22*(Calc!$G$3:$G$22&gt;A1737)*(Calc!$G$3:$G$22-A1737)^2)</f>
        <v/>
      </c>
      <c r="J1737">
        <f>SUMPRODUCT(Calc!$K$3:$K$22*(Calc!$G$3:$G$22&gt;B1737)*(Calc!$G$3:$G$22-B1737)^2)</f>
        <v/>
      </c>
      <c r="K1737">
        <f>SUMPRODUCT(Calc!$K$3:$K$22*(Calc!$G$3:$G$22&gt;A1737)*(Calc!$G$3:$G$22-A1737)*(Calc!$G$3:$G$22&gt;B1737)*(Calc!$G$3:$G$22-B1737))</f>
        <v/>
      </c>
      <c r="L1737">
        <f>SUMPRODUCT(Calc!$K$3:$K$22*(Calc!$G$3:$G$22&gt;A1737)*(Calc!$G$3:$G$22-A1737)*Calc!$G$3:$G$22)</f>
        <v/>
      </c>
      <c r="M1737">
        <f>SUMPRODUCT(Calc!$K$3:$K$22*(Calc!$G$3:$G$22&gt;B1737)*(Calc!$G$3:$G$22-B1737)*Calc!$G$3:$G$22)</f>
        <v/>
      </c>
      <c r="N1737">
        <f>SUMPRODUCT(Calc!$K$3:$K$22*(Calc!$G$3:$G$22&gt;A1737)*(Calc!$G$3:$G$22-A1737)*Calc!$I$3:$I$22)</f>
        <v/>
      </c>
      <c r="O1737">
        <f>SUMPRODUCT(Calc!$K$3:$K$22*(Calc!$G$3:$G$22&gt;B1737)*(Calc!$G$3:$G$22-B1737)*Calc!$I$3:$I$22)</f>
        <v/>
      </c>
      <c r="P1737">
        <f>I1737-G1737^2/k_n</f>
        <v/>
      </c>
      <c r="Q1737">
        <f>J1737-H1737^2/k_n</f>
        <v/>
      </c>
      <c r="R1737">
        <f>K1737-G1737*H1737/k_n</f>
        <v/>
      </c>
      <c r="S1737">
        <f>L1737-LTP3!$D$3*G1737/k_n</f>
        <v/>
      </c>
      <c r="T1737">
        <f>M1737-LTP3!$D$3*H1737/k_n</f>
        <v/>
      </c>
      <c r="U1737">
        <f>N1737-G1737*LTP3!$D$4/k_n</f>
        <v/>
      </c>
      <c r="V1737">
        <f>O1737-H1737*LTP3!$D$4/k_n</f>
        <v/>
      </c>
      <c r="W1737">
        <f>((LTP3!$D$5)*((P1737)*(Q1737)-(R1737)*(R1737))-(S1737)*((S1737)*(Q1737)-(R1737)*(T1737))+(T1737)*((S1737)*(R1737)-(P1737)*(T1737)))</f>
        <v/>
      </c>
      <c r="X1737">
        <f>IF(ABS(W1737)&gt;1E-12,((LTP3!$D$6)*((P1737)*(Q1737)-(R1737)*(R1737))-(S1737)*((U1737)*(Q1737)-(R1737)*(V1737))+(T1737)*((U1737)*(R1737)-(P1737)*(V1737)))/W1737,0)</f>
        <v/>
      </c>
      <c r="Y1737">
        <f>IF(ABS(W1737)&gt;1E-12,((LTP3!$D$5)*((U1737)*(Q1737)-(R1737)*(V1737))-(LTP3!$D$6)*((S1737)*(Q1737)-(R1737)*(T1737))+(T1737)*((S1737)*(V1737)-(U1737)*(T1737)))/W1737,0)</f>
        <v/>
      </c>
      <c r="Z1737">
        <f>IF(ABS(W1737)&gt;1E-12,((LTP3!$D$5)*((P1737)*(V1737)-(U1737)*(R1737))-(S1737)*((S1737)*(V1737)-(U1737)*(T1737))+(LTP3!$D$6)*((S1737)*(R1737)-(P1737)*(T1737)))/W1737,0)</f>
        <v/>
      </c>
      <c r="AA1737">
        <f>LTP3!$D$7-X1737*LTP3!$D$6-Y1737*U1737-Z1737*V1737</f>
        <v/>
      </c>
      <c r="AB1737">
        <f>IF(AND(F1737,ABS(W1737)&gt;1E-12,Y1737&gt;0,Z1737&gt;0),AA1737,1E+300)</f>
        <v/>
      </c>
    </row>
    <row r="1738">
      <c r="A1738">
        <f>$B$3+$B$5*28</f>
        <v/>
      </c>
      <c r="B1738">
        <f>$B$3+$B$5*18</f>
        <v/>
      </c>
      <c r="C1738">
        <f>SUMPRODUCT(Calc!$K$3:$K$22*(Calc!$G$3:$G$22&lt;=A1738))</f>
        <v/>
      </c>
      <c r="D1738">
        <f>SUMPRODUCT(Calc!$K$3:$K$22*(Calc!$G$3:$G$22&gt;A1738)*(Calc!$G$3:$G$22&lt;B1738))</f>
        <v/>
      </c>
      <c r="E1738">
        <f>SUMPRODUCT(Calc!$K$3:$K$22*(Calc!$G$3:$G$22&gt;=B1738))</f>
        <v/>
      </c>
      <c r="F1738">
        <f>AND(k_n&gt;=5,B1738&gt;A1738+1E-9,C1738&gt;=2,D1738&gt;=1,E1738&gt;=2)</f>
        <v/>
      </c>
      <c r="G1738">
        <f>SUMPRODUCT(Calc!$K$3:$K$22*(Calc!$G$3:$G$22&gt;A1738)*(Calc!$G$3:$G$22-A1738))</f>
        <v/>
      </c>
      <c r="H1738">
        <f>SUMPRODUCT(Calc!$K$3:$K$22*(Calc!$G$3:$G$22&gt;B1738)*(Calc!$G$3:$G$22-B1738))</f>
        <v/>
      </c>
      <c r="I1738">
        <f>SUMPRODUCT(Calc!$K$3:$K$22*(Calc!$G$3:$G$22&gt;A1738)*(Calc!$G$3:$G$22-A1738)^2)</f>
        <v/>
      </c>
      <c r="J1738">
        <f>SUMPRODUCT(Calc!$K$3:$K$22*(Calc!$G$3:$G$22&gt;B1738)*(Calc!$G$3:$G$22-B1738)^2)</f>
        <v/>
      </c>
      <c r="K1738">
        <f>SUMPRODUCT(Calc!$K$3:$K$22*(Calc!$G$3:$G$22&gt;A1738)*(Calc!$G$3:$G$22-A1738)*(Calc!$G$3:$G$22&gt;B1738)*(Calc!$G$3:$G$22-B1738))</f>
        <v/>
      </c>
      <c r="L1738">
        <f>SUMPRODUCT(Calc!$K$3:$K$22*(Calc!$G$3:$G$22&gt;A1738)*(Calc!$G$3:$G$22-A1738)*Calc!$G$3:$G$22)</f>
        <v/>
      </c>
      <c r="M1738">
        <f>SUMPRODUCT(Calc!$K$3:$K$22*(Calc!$G$3:$G$22&gt;B1738)*(Calc!$G$3:$G$22-B1738)*Calc!$G$3:$G$22)</f>
        <v/>
      </c>
      <c r="N1738">
        <f>SUMPRODUCT(Calc!$K$3:$K$22*(Calc!$G$3:$G$22&gt;A1738)*(Calc!$G$3:$G$22-A1738)*Calc!$I$3:$I$22)</f>
        <v/>
      </c>
      <c r="O1738">
        <f>SUMPRODUCT(Calc!$K$3:$K$22*(Calc!$G$3:$G$22&gt;B1738)*(Calc!$G$3:$G$22-B1738)*Calc!$I$3:$I$22)</f>
        <v/>
      </c>
      <c r="P1738">
        <f>I1738-G1738^2/k_n</f>
        <v/>
      </c>
      <c r="Q1738">
        <f>J1738-H1738^2/k_n</f>
        <v/>
      </c>
      <c r="R1738">
        <f>K1738-G1738*H1738/k_n</f>
        <v/>
      </c>
      <c r="S1738">
        <f>L1738-LTP3!$D$3*G1738/k_n</f>
        <v/>
      </c>
      <c r="T1738">
        <f>M1738-LTP3!$D$3*H1738/k_n</f>
        <v/>
      </c>
      <c r="U1738">
        <f>N1738-G1738*LTP3!$D$4/k_n</f>
        <v/>
      </c>
      <c r="V1738">
        <f>O1738-H1738*LTP3!$D$4/k_n</f>
        <v/>
      </c>
      <c r="W1738">
        <f>((LTP3!$D$5)*((P1738)*(Q1738)-(R1738)*(R1738))-(S1738)*((S1738)*(Q1738)-(R1738)*(T1738))+(T1738)*((S1738)*(R1738)-(P1738)*(T1738)))</f>
        <v/>
      </c>
      <c r="X1738">
        <f>IF(ABS(W1738)&gt;1E-12,((LTP3!$D$6)*((P1738)*(Q1738)-(R1738)*(R1738))-(S1738)*((U1738)*(Q1738)-(R1738)*(V1738))+(T1738)*((U1738)*(R1738)-(P1738)*(V1738)))/W1738,0)</f>
        <v/>
      </c>
      <c r="Y1738">
        <f>IF(ABS(W1738)&gt;1E-12,((LTP3!$D$5)*((U1738)*(Q1738)-(R1738)*(V1738))-(LTP3!$D$6)*((S1738)*(Q1738)-(R1738)*(T1738))+(T1738)*((S1738)*(V1738)-(U1738)*(T1738)))/W1738,0)</f>
        <v/>
      </c>
      <c r="Z1738">
        <f>IF(ABS(W1738)&gt;1E-12,((LTP3!$D$5)*((P1738)*(V1738)-(U1738)*(R1738))-(S1738)*((S1738)*(V1738)-(U1738)*(T1738))+(LTP3!$D$6)*((S1738)*(R1738)-(P1738)*(T1738)))/W1738,0)</f>
        <v/>
      </c>
      <c r="AA1738">
        <f>LTP3!$D$7-X1738*LTP3!$D$6-Y1738*U1738-Z1738*V1738</f>
        <v/>
      </c>
      <c r="AB1738">
        <f>IF(AND(F1738,ABS(W1738)&gt;1E-12,Y1738&gt;0,Z1738&gt;0),AA1738,1E+300)</f>
        <v/>
      </c>
    </row>
    <row r="1739">
      <c r="A1739">
        <f>$B$3+$B$5*28</f>
        <v/>
      </c>
      <c r="B1739">
        <f>$B$3+$B$5*19</f>
        <v/>
      </c>
      <c r="C1739">
        <f>SUMPRODUCT(Calc!$K$3:$K$22*(Calc!$G$3:$G$22&lt;=A1739))</f>
        <v/>
      </c>
      <c r="D1739">
        <f>SUMPRODUCT(Calc!$K$3:$K$22*(Calc!$G$3:$G$22&gt;A1739)*(Calc!$G$3:$G$22&lt;B1739))</f>
        <v/>
      </c>
      <c r="E1739">
        <f>SUMPRODUCT(Calc!$K$3:$K$22*(Calc!$G$3:$G$22&gt;=B1739))</f>
        <v/>
      </c>
      <c r="F1739">
        <f>AND(k_n&gt;=5,B1739&gt;A1739+1E-9,C1739&gt;=2,D1739&gt;=1,E1739&gt;=2)</f>
        <v/>
      </c>
      <c r="G1739">
        <f>SUMPRODUCT(Calc!$K$3:$K$22*(Calc!$G$3:$G$22&gt;A1739)*(Calc!$G$3:$G$22-A1739))</f>
        <v/>
      </c>
      <c r="H1739">
        <f>SUMPRODUCT(Calc!$K$3:$K$22*(Calc!$G$3:$G$22&gt;B1739)*(Calc!$G$3:$G$22-B1739))</f>
        <v/>
      </c>
      <c r="I1739">
        <f>SUMPRODUCT(Calc!$K$3:$K$22*(Calc!$G$3:$G$22&gt;A1739)*(Calc!$G$3:$G$22-A1739)^2)</f>
        <v/>
      </c>
      <c r="J1739">
        <f>SUMPRODUCT(Calc!$K$3:$K$22*(Calc!$G$3:$G$22&gt;B1739)*(Calc!$G$3:$G$22-B1739)^2)</f>
        <v/>
      </c>
      <c r="K1739">
        <f>SUMPRODUCT(Calc!$K$3:$K$22*(Calc!$G$3:$G$22&gt;A1739)*(Calc!$G$3:$G$22-A1739)*(Calc!$G$3:$G$22&gt;B1739)*(Calc!$G$3:$G$22-B1739))</f>
        <v/>
      </c>
      <c r="L1739">
        <f>SUMPRODUCT(Calc!$K$3:$K$22*(Calc!$G$3:$G$22&gt;A1739)*(Calc!$G$3:$G$22-A1739)*Calc!$G$3:$G$22)</f>
        <v/>
      </c>
      <c r="M1739">
        <f>SUMPRODUCT(Calc!$K$3:$K$22*(Calc!$G$3:$G$22&gt;B1739)*(Calc!$G$3:$G$22-B1739)*Calc!$G$3:$G$22)</f>
        <v/>
      </c>
      <c r="N1739">
        <f>SUMPRODUCT(Calc!$K$3:$K$22*(Calc!$G$3:$G$22&gt;A1739)*(Calc!$G$3:$G$22-A1739)*Calc!$I$3:$I$22)</f>
        <v/>
      </c>
      <c r="O1739">
        <f>SUMPRODUCT(Calc!$K$3:$K$22*(Calc!$G$3:$G$22&gt;B1739)*(Calc!$G$3:$G$22-B1739)*Calc!$I$3:$I$22)</f>
        <v/>
      </c>
      <c r="P1739">
        <f>I1739-G1739^2/k_n</f>
        <v/>
      </c>
      <c r="Q1739">
        <f>J1739-H1739^2/k_n</f>
        <v/>
      </c>
      <c r="R1739">
        <f>K1739-G1739*H1739/k_n</f>
        <v/>
      </c>
      <c r="S1739">
        <f>L1739-LTP3!$D$3*G1739/k_n</f>
        <v/>
      </c>
      <c r="T1739">
        <f>M1739-LTP3!$D$3*H1739/k_n</f>
        <v/>
      </c>
      <c r="U1739">
        <f>N1739-G1739*LTP3!$D$4/k_n</f>
        <v/>
      </c>
      <c r="V1739">
        <f>O1739-H1739*LTP3!$D$4/k_n</f>
        <v/>
      </c>
      <c r="W1739">
        <f>((LTP3!$D$5)*((P1739)*(Q1739)-(R1739)*(R1739))-(S1739)*((S1739)*(Q1739)-(R1739)*(T1739))+(T1739)*((S1739)*(R1739)-(P1739)*(T1739)))</f>
        <v/>
      </c>
      <c r="X1739">
        <f>IF(ABS(W1739)&gt;1E-12,((LTP3!$D$6)*((P1739)*(Q1739)-(R1739)*(R1739))-(S1739)*((U1739)*(Q1739)-(R1739)*(V1739))+(T1739)*((U1739)*(R1739)-(P1739)*(V1739)))/W1739,0)</f>
        <v/>
      </c>
      <c r="Y1739">
        <f>IF(ABS(W1739)&gt;1E-12,((LTP3!$D$5)*((U1739)*(Q1739)-(R1739)*(V1739))-(LTP3!$D$6)*((S1739)*(Q1739)-(R1739)*(T1739))+(T1739)*((S1739)*(V1739)-(U1739)*(T1739)))/W1739,0)</f>
        <v/>
      </c>
      <c r="Z1739">
        <f>IF(ABS(W1739)&gt;1E-12,((LTP3!$D$5)*((P1739)*(V1739)-(U1739)*(R1739))-(S1739)*((S1739)*(V1739)-(U1739)*(T1739))+(LTP3!$D$6)*((S1739)*(R1739)-(P1739)*(T1739)))/W1739,0)</f>
        <v/>
      </c>
      <c r="AA1739">
        <f>LTP3!$D$7-X1739*LTP3!$D$6-Y1739*U1739-Z1739*V1739</f>
        <v/>
      </c>
      <c r="AB1739">
        <f>IF(AND(F1739,ABS(W1739)&gt;1E-12,Y1739&gt;0,Z1739&gt;0),AA1739,1E+300)</f>
        <v/>
      </c>
    </row>
    <row r="1740">
      <c r="A1740">
        <f>$B$3+$B$5*28</f>
        <v/>
      </c>
      <c r="B1740">
        <f>$B$3+$B$5*20</f>
        <v/>
      </c>
      <c r="C1740">
        <f>SUMPRODUCT(Calc!$K$3:$K$22*(Calc!$G$3:$G$22&lt;=A1740))</f>
        <v/>
      </c>
      <c r="D1740">
        <f>SUMPRODUCT(Calc!$K$3:$K$22*(Calc!$G$3:$G$22&gt;A1740)*(Calc!$G$3:$G$22&lt;B1740))</f>
        <v/>
      </c>
      <c r="E1740">
        <f>SUMPRODUCT(Calc!$K$3:$K$22*(Calc!$G$3:$G$22&gt;=B1740))</f>
        <v/>
      </c>
      <c r="F1740">
        <f>AND(k_n&gt;=5,B1740&gt;A1740+1E-9,C1740&gt;=2,D1740&gt;=1,E1740&gt;=2)</f>
        <v/>
      </c>
      <c r="G1740">
        <f>SUMPRODUCT(Calc!$K$3:$K$22*(Calc!$G$3:$G$22&gt;A1740)*(Calc!$G$3:$G$22-A1740))</f>
        <v/>
      </c>
      <c r="H1740">
        <f>SUMPRODUCT(Calc!$K$3:$K$22*(Calc!$G$3:$G$22&gt;B1740)*(Calc!$G$3:$G$22-B1740))</f>
        <v/>
      </c>
      <c r="I1740">
        <f>SUMPRODUCT(Calc!$K$3:$K$22*(Calc!$G$3:$G$22&gt;A1740)*(Calc!$G$3:$G$22-A1740)^2)</f>
        <v/>
      </c>
      <c r="J1740">
        <f>SUMPRODUCT(Calc!$K$3:$K$22*(Calc!$G$3:$G$22&gt;B1740)*(Calc!$G$3:$G$22-B1740)^2)</f>
        <v/>
      </c>
      <c r="K1740">
        <f>SUMPRODUCT(Calc!$K$3:$K$22*(Calc!$G$3:$G$22&gt;A1740)*(Calc!$G$3:$G$22-A1740)*(Calc!$G$3:$G$22&gt;B1740)*(Calc!$G$3:$G$22-B1740))</f>
        <v/>
      </c>
      <c r="L1740">
        <f>SUMPRODUCT(Calc!$K$3:$K$22*(Calc!$G$3:$G$22&gt;A1740)*(Calc!$G$3:$G$22-A1740)*Calc!$G$3:$G$22)</f>
        <v/>
      </c>
      <c r="M1740">
        <f>SUMPRODUCT(Calc!$K$3:$K$22*(Calc!$G$3:$G$22&gt;B1740)*(Calc!$G$3:$G$22-B1740)*Calc!$G$3:$G$22)</f>
        <v/>
      </c>
      <c r="N1740">
        <f>SUMPRODUCT(Calc!$K$3:$K$22*(Calc!$G$3:$G$22&gt;A1740)*(Calc!$G$3:$G$22-A1740)*Calc!$I$3:$I$22)</f>
        <v/>
      </c>
      <c r="O1740">
        <f>SUMPRODUCT(Calc!$K$3:$K$22*(Calc!$G$3:$G$22&gt;B1740)*(Calc!$G$3:$G$22-B1740)*Calc!$I$3:$I$22)</f>
        <v/>
      </c>
      <c r="P1740">
        <f>I1740-G1740^2/k_n</f>
        <v/>
      </c>
      <c r="Q1740">
        <f>J1740-H1740^2/k_n</f>
        <v/>
      </c>
      <c r="R1740">
        <f>K1740-G1740*H1740/k_n</f>
        <v/>
      </c>
      <c r="S1740">
        <f>L1740-LTP3!$D$3*G1740/k_n</f>
        <v/>
      </c>
      <c r="T1740">
        <f>M1740-LTP3!$D$3*H1740/k_n</f>
        <v/>
      </c>
      <c r="U1740">
        <f>N1740-G1740*LTP3!$D$4/k_n</f>
        <v/>
      </c>
      <c r="V1740">
        <f>O1740-H1740*LTP3!$D$4/k_n</f>
        <v/>
      </c>
      <c r="W1740">
        <f>((LTP3!$D$5)*((P1740)*(Q1740)-(R1740)*(R1740))-(S1740)*((S1740)*(Q1740)-(R1740)*(T1740))+(T1740)*((S1740)*(R1740)-(P1740)*(T1740)))</f>
        <v/>
      </c>
      <c r="X1740">
        <f>IF(ABS(W1740)&gt;1E-12,((LTP3!$D$6)*((P1740)*(Q1740)-(R1740)*(R1740))-(S1740)*((U1740)*(Q1740)-(R1740)*(V1740))+(T1740)*((U1740)*(R1740)-(P1740)*(V1740)))/W1740,0)</f>
        <v/>
      </c>
      <c r="Y1740">
        <f>IF(ABS(W1740)&gt;1E-12,((LTP3!$D$5)*((U1740)*(Q1740)-(R1740)*(V1740))-(LTP3!$D$6)*((S1740)*(Q1740)-(R1740)*(T1740))+(T1740)*((S1740)*(V1740)-(U1740)*(T1740)))/W1740,0)</f>
        <v/>
      </c>
      <c r="Z1740">
        <f>IF(ABS(W1740)&gt;1E-12,((LTP3!$D$5)*((P1740)*(V1740)-(U1740)*(R1740))-(S1740)*((S1740)*(V1740)-(U1740)*(T1740))+(LTP3!$D$6)*((S1740)*(R1740)-(P1740)*(T1740)))/W1740,0)</f>
        <v/>
      </c>
      <c r="AA1740">
        <f>LTP3!$D$7-X1740*LTP3!$D$6-Y1740*U1740-Z1740*V1740</f>
        <v/>
      </c>
      <c r="AB1740">
        <f>IF(AND(F1740,ABS(W1740)&gt;1E-12,Y1740&gt;0,Z1740&gt;0),AA1740,1E+300)</f>
        <v/>
      </c>
    </row>
    <row r="1741">
      <c r="A1741">
        <f>$B$3+$B$5*28</f>
        <v/>
      </c>
      <c r="B1741">
        <f>$B$3+$B$5*21</f>
        <v/>
      </c>
      <c r="C1741">
        <f>SUMPRODUCT(Calc!$K$3:$K$22*(Calc!$G$3:$G$22&lt;=A1741))</f>
        <v/>
      </c>
      <c r="D1741">
        <f>SUMPRODUCT(Calc!$K$3:$K$22*(Calc!$G$3:$G$22&gt;A1741)*(Calc!$G$3:$G$22&lt;B1741))</f>
        <v/>
      </c>
      <c r="E1741">
        <f>SUMPRODUCT(Calc!$K$3:$K$22*(Calc!$G$3:$G$22&gt;=B1741))</f>
        <v/>
      </c>
      <c r="F1741">
        <f>AND(k_n&gt;=5,B1741&gt;A1741+1E-9,C1741&gt;=2,D1741&gt;=1,E1741&gt;=2)</f>
        <v/>
      </c>
      <c r="G1741">
        <f>SUMPRODUCT(Calc!$K$3:$K$22*(Calc!$G$3:$G$22&gt;A1741)*(Calc!$G$3:$G$22-A1741))</f>
        <v/>
      </c>
      <c r="H1741">
        <f>SUMPRODUCT(Calc!$K$3:$K$22*(Calc!$G$3:$G$22&gt;B1741)*(Calc!$G$3:$G$22-B1741))</f>
        <v/>
      </c>
      <c r="I1741">
        <f>SUMPRODUCT(Calc!$K$3:$K$22*(Calc!$G$3:$G$22&gt;A1741)*(Calc!$G$3:$G$22-A1741)^2)</f>
        <v/>
      </c>
      <c r="J1741">
        <f>SUMPRODUCT(Calc!$K$3:$K$22*(Calc!$G$3:$G$22&gt;B1741)*(Calc!$G$3:$G$22-B1741)^2)</f>
        <v/>
      </c>
      <c r="K1741">
        <f>SUMPRODUCT(Calc!$K$3:$K$22*(Calc!$G$3:$G$22&gt;A1741)*(Calc!$G$3:$G$22-A1741)*(Calc!$G$3:$G$22&gt;B1741)*(Calc!$G$3:$G$22-B1741))</f>
        <v/>
      </c>
      <c r="L1741">
        <f>SUMPRODUCT(Calc!$K$3:$K$22*(Calc!$G$3:$G$22&gt;A1741)*(Calc!$G$3:$G$22-A1741)*Calc!$G$3:$G$22)</f>
        <v/>
      </c>
      <c r="M1741">
        <f>SUMPRODUCT(Calc!$K$3:$K$22*(Calc!$G$3:$G$22&gt;B1741)*(Calc!$G$3:$G$22-B1741)*Calc!$G$3:$G$22)</f>
        <v/>
      </c>
      <c r="N1741">
        <f>SUMPRODUCT(Calc!$K$3:$K$22*(Calc!$G$3:$G$22&gt;A1741)*(Calc!$G$3:$G$22-A1741)*Calc!$I$3:$I$22)</f>
        <v/>
      </c>
      <c r="O1741">
        <f>SUMPRODUCT(Calc!$K$3:$K$22*(Calc!$G$3:$G$22&gt;B1741)*(Calc!$G$3:$G$22-B1741)*Calc!$I$3:$I$22)</f>
        <v/>
      </c>
      <c r="P1741">
        <f>I1741-G1741^2/k_n</f>
        <v/>
      </c>
      <c r="Q1741">
        <f>J1741-H1741^2/k_n</f>
        <v/>
      </c>
      <c r="R1741">
        <f>K1741-G1741*H1741/k_n</f>
        <v/>
      </c>
      <c r="S1741">
        <f>L1741-LTP3!$D$3*G1741/k_n</f>
        <v/>
      </c>
      <c r="T1741">
        <f>M1741-LTP3!$D$3*H1741/k_n</f>
        <v/>
      </c>
      <c r="U1741">
        <f>N1741-G1741*LTP3!$D$4/k_n</f>
        <v/>
      </c>
      <c r="V1741">
        <f>O1741-H1741*LTP3!$D$4/k_n</f>
        <v/>
      </c>
      <c r="W1741">
        <f>((LTP3!$D$5)*((P1741)*(Q1741)-(R1741)*(R1741))-(S1741)*((S1741)*(Q1741)-(R1741)*(T1741))+(T1741)*((S1741)*(R1741)-(P1741)*(T1741)))</f>
        <v/>
      </c>
      <c r="X1741">
        <f>IF(ABS(W1741)&gt;1E-12,((LTP3!$D$6)*((P1741)*(Q1741)-(R1741)*(R1741))-(S1741)*((U1741)*(Q1741)-(R1741)*(V1741))+(T1741)*((U1741)*(R1741)-(P1741)*(V1741)))/W1741,0)</f>
        <v/>
      </c>
      <c r="Y1741">
        <f>IF(ABS(W1741)&gt;1E-12,((LTP3!$D$5)*((U1741)*(Q1741)-(R1741)*(V1741))-(LTP3!$D$6)*((S1741)*(Q1741)-(R1741)*(T1741))+(T1741)*((S1741)*(V1741)-(U1741)*(T1741)))/W1741,0)</f>
        <v/>
      </c>
      <c r="Z1741">
        <f>IF(ABS(W1741)&gt;1E-12,((LTP3!$D$5)*((P1741)*(V1741)-(U1741)*(R1741))-(S1741)*((S1741)*(V1741)-(U1741)*(T1741))+(LTP3!$D$6)*((S1741)*(R1741)-(P1741)*(T1741)))/W1741,0)</f>
        <v/>
      </c>
      <c r="AA1741">
        <f>LTP3!$D$7-X1741*LTP3!$D$6-Y1741*U1741-Z1741*V1741</f>
        <v/>
      </c>
      <c r="AB1741">
        <f>IF(AND(F1741,ABS(W1741)&gt;1E-12,Y1741&gt;0,Z1741&gt;0),AA1741,1E+300)</f>
        <v/>
      </c>
    </row>
    <row r="1742">
      <c r="A1742">
        <f>$B$3+$B$5*28</f>
        <v/>
      </c>
      <c r="B1742">
        <f>$B$3+$B$5*22</f>
        <v/>
      </c>
      <c r="C1742">
        <f>SUMPRODUCT(Calc!$K$3:$K$22*(Calc!$G$3:$G$22&lt;=A1742))</f>
        <v/>
      </c>
      <c r="D1742">
        <f>SUMPRODUCT(Calc!$K$3:$K$22*(Calc!$G$3:$G$22&gt;A1742)*(Calc!$G$3:$G$22&lt;B1742))</f>
        <v/>
      </c>
      <c r="E1742">
        <f>SUMPRODUCT(Calc!$K$3:$K$22*(Calc!$G$3:$G$22&gt;=B1742))</f>
        <v/>
      </c>
      <c r="F1742">
        <f>AND(k_n&gt;=5,B1742&gt;A1742+1E-9,C1742&gt;=2,D1742&gt;=1,E1742&gt;=2)</f>
        <v/>
      </c>
      <c r="G1742">
        <f>SUMPRODUCT(Calc!$K$3:$K$22*(Calc!$G$3:$G$22&gt;A1742)*(Calc!$G$3:$G$22-A1742))</f>
        <v/>
      </c>
      <c r="H1742">
        <f>SUMPRODUCT(Calc!$K$3:$K$22*(Calc!$G$3:$G$22&gt;B1742)*(Calc!$G$3:$G$22-B1742))</f>
        <v/>
      </c>
      <c r="I1742">
        <f>SUMPRODUCT(Calc!$K$3:$K$22*(Calc!$G$3:$G$22&gt;A1742)*(Calc!$G$3:$G$22-A1742)^2)</f>
        <v/>
      </c>
      <c r="J1742">
        <f>SUMPRODUCT(Calc!$K$3:$K$22*(Calc!$G$3:$G$22&gt;B1742)*(Calc!$G$3:$G$22-B1742)^2)</f>
        <v/>
      </c>
      <c r="K1742">
        <f>SUMPRODUCT(Calc!$K$3:$K$22*(Calc!$G$3:$G$22&gt;A1742)*(Calc!$G$3:$G$22-A1742)*(Calc!$G$3:$G$22&gt;B1742)*(Calc!$G$3:$G$22-B1742))</f>
        <v/>
      </c>
      <c r="L1742">
        <f>SUMPRODUCT(Calc!$K$3:$K$22*(Calc!$G$3:$G$22&gt;A1742)*(Calc!$G$3:$G$22-A1742)*Calc!$G$3:$G$22)</f>
        <v/>
      </c>
      <c r="M1742">
        <f>SUMPRODUCT(Calc!$K$3:$K$22*(Calc!$G$3:$G$22&gt;B1742)*(Calc!$G$3:$G$22-B1742)*Calc!$G$3:$G$22)</f>
        <v/>
      </c>
      <c r="N1742">
        <f>SUMPRODUCT(Calc!$K$3:$K$22*(Calc!$G$3:$G$22&gt;A1742)*(Calc!$G$3:$G$22-A1742)*Calc!$I$3:$I$22)</f>
        <v/>
      </c>
      <c r="O1742">
        <f>SUMPRODUCT(Calc!$K$3:$K$22*(Calc!$G$3:$G$22&gt;B1742)*(Calc!$G$3:$G$22-B1742)*Calc!$I$3:$I$22)</f>
        <v/>
      </c>
      <c r="P1742">
        <f>I1742-G1742^2/k_n</f>
        <v/>
      </c>
      <c r="Q1742">
        <f>J1742-H1742^2/k_n</f>
        <v/>
      </c>
      <c r="R1742">
        <f>K1742-G1742*H1742/k_n</f>
        <v/>
      </c>
      <c r="S1742">
        <f>L1742-LTP3!$D$3*G1742/k_n</f>
        <v/>
      </c>
      <c r="T1742">
        <f>M1742-LTP3!$D$3*H1742/k_n</f>
        <v/>
      </c>
      <c r="U1742">
        <f>N1742-G1742*LTP3!$D$4/k_n</f>
        <v/>
      </c>
      <c r="V1742">
        <f>O1742-H1742*LTP3!$D$4/k_n</f>
        <v/>
      </c>
      <c r="W1742">
        <f>((LTP3!$D$5)*((P1742)*(Q1742)-(R1742)*(R1742))-(S1742)*((S1742)*(Q1742)-(R1742)*(T1742))+(T1742)*((S1742)*(R1742)-(P1742)*(T1742)))</f>
        <v/>
      </c>
      <c r="X1742">
        <f>IF(ABS(W1742)&gt;1E-12,((LTP3!$D$6)*((P1742)*(Q1742)-(R1742)*(R1742))-(S1742)*((U1742)*(Q1742)-(R1742)*(V1742))+(T1742)*((U1742)*(R1742)-(P1742)*(V1742)))/W1742,0)</f>
        <v/>
      </c>
      <c r="Y1742">
        <f>IF(ABS(W1742)&gt;1E-12,((LTP3!$D$5)*((U1742)*(Q1742)-(R1742)*(V1742))-(LTP3!$D$6)*((S1742)*(Q1742)-(R1742)*(T1742))+(T1742)*((S1742)*(V1742)-(U1742)*(T1742)))/W1742,0)</f>
        <v/>
      </c>
      <c r="Z1742">
        <f>IF(ABS(W1742)&gt;1E-12,((LTP3!$D$5)*((P1742)*(V1742)-(U1742)*(R1742))-(S1742)*((S1742)*(V1742)-(U1742)*(T1742))+(LTP3!$D$6)*((S1742)*(R1742)-(P1742)*(T1742)))/W1742,0)</f>
        <v/>
      </c>
      <c r="AA1742">
        <f>LTP3!$D$7-X1742*LTP3!$D$6-Y1742*U1742-Z1742*V1742</f>
        <v/>
      </c>
      <c r="AB1742">
        <f>IF(AND(F1742,ABS(W1742)&gt;1E-12,Y1742&gt;0,Z1742&gt;0),AA1742,1E+300)</f>
        <v/>
      </c>
    </row>
    <row r="1743">
      <c r="A1743">
        <f>$B$3+$B$5*28</f>
        <v/>
      </c>
      <c r="B1743">
        <f>$B$3+$B$5*23</f>
        <v/>
      </c>
      <c r="C1743">
        <f>SUMPRODUCT(Calc!$K$3:$K$22*(Calc!$G$3:$G$22&lt;=A1743))</f>
        <v/>
      </c>
      <c r="D1743">
        <f>SUMPRODUCT(Calc!$K$3:$K$22*(Calc!$G$3:$G$22&gt;A1743)*(Calc!$G$3:$G$22&lt;B1743))</f>
        <v/>
      </c>
      <c r="E1743">
        <f>SUMPRODUCT(Calc!$K$3:$K$22*(Calc!$G$3:$G$22&gt;=B1743))</f>
        <v/>
      </c>
      <c r="F1743">
        <f>AND(k_n&gt;=5,B1743&gt;A1743+1E-9,C1743&gt;=2,D1743&gt;=1,E1743&gt;=2)</f>
        <v/>
      </c>
      <c r="G1743">
        <f>SUMPRODUCT(Calc!$K$3:$K$22*(Calc!$G$3:$G$22&gt;A1743)*(Calc!$G$3:$G$22-A1743))</f>
        <v/>
      </c>
      <c r="H1743">
        <f>SUMPRODUCT(Calc!$K$3:$K$22*(Calc!$G$3:$G$22&gt;B1743)*(Calc!$G$3:$G$22-B1743))</f>
        <v/>
      </c>
      <c r="I1743">
        <f>SUMPRODUCT(Calc!$K$3:$K$22*(Calc!$G$3:$G$22&gt;A1743)*(Calc!$G$3:$G$22-A1743)^2)</f>
        <v/>
      </c>
      <c r="J1743">
        <f>SUMPRODUCT(Calc!$K$3:$K$22*(Calc!$G$3:$G$22&gt;B1743)*(Calc!$G$3:$G$22-B1743)^2)</f>
        <v/>
      </c>
      <c r="K1743">
        <f>SUMPRODUCT(Calc!$K$3:$K$22*(Calc!$G$3:$G$22&gt;A1743)*(Calc!$G$3:$G$22-A1743)*(Calc!$G$3:$G$22&gt;B1743)*(Calc!$G$3:$G$22-B1743))</f>
        <v/>
      </c>
      <c r="L1743">
        <f>SUMPRODUCT(Calc!$K$3:$K$22*(Calc!$G$3:$G$22&gt;A1743)*(Calc!$G$3:$G$22-A1743)*Calc!$G$3:$G$22)</f>
        <v/>
      </c>
      <c r="M1743">
        <f>SUMPRODUCT(Calc!$K$3:$K$22*(Calc!$G$3:$G$22&gt;B1743)*(Calc!$G$3:$G$22-B1743)*Calc!$G$3:$G$22)</f>
        <v/>
      </c>
      <c r="N1743">
        <f>SUMPRODUCT(Calc!$K$3:$K$22*(Calc!$G$3:$G$22&gt;A1743)*(Calc!$G$3:$G$22-A1743)*Calc!$I$3:$I$22)</f>
        <v/>
      </c>
      <c r="O1743">
        <f>SUMPRODUCT(Calc!$K$3:$K$22*(Calc!$G$3:$G$22&gt;B1743)*(Calc!$G$3:$G$22-B1743)*Calc!$I$3:$I$22)</f>
        <v/>
      </c>
      <c r="P1743">
        <f>I1743-G1743^2/k_n</f>
        <v/>
      </c>
      <c r="Q1743">
        <f>J1743-H1743^2/k_n</f>
        <v/>
      </c>
      <c r="R1743">
        <f>K1743-G1743*H1743/k_n</f>
        <v/>
      </c>
      <c r="S1743">
        <f>L1743-LTP3!$D$3*G1743/k_n</f>
        <v/>
      </c>
      <c r="T1743">
        <f>M1743-LTP3!$D$3*H1743/k_n</f>
        <v/>
      </c>
      <c r="U1743">
        <f>N1743-G1743*LTP3!$D$4/k_n</f>
        <v/>
      </c>
      <c r="V1743">
        <f>O1743-H1743*LTP3!$D$4/k_n</f>
        <v/>
      </c>
      <c r="W1743">
        <f>((LTP3!$D$5)*((P1743)*(Q1743)-(R1743)*(R1743))-(S1743)*((S1743)*(Q1743)-(R1743)*(T1743))+(T1743)*((S1743)*(R1743)-(P1743)*(T1743)))</f>
        <v/>
      </c>
      <c r="X1743">
        <f>IF(ABS(W1743)&gt;1E-12,((LTP3!$D$6)*((P1743)*(Q1743)-(R1743)*(R1743))-(S1743)*((U1743)*(Q1743)-(R1743)*(V1743))+(T1743)*((U1743)*(R1743)-(P1743)*(V1743)))/W1743,0)</f>
        <v/>
      </c>
      <c r="Y1743">
        <f>IF(ABS(W1743)&gt;1E-12,((LTP3!$D$5)*((U1743)*(Q1743)-(R1743)*(V1743))-(LTP3!$D$6)*((S1743)*(Q1743)-(R1743)*(T1743))+(T1743)*((S1743)*(V1743)-(U1743)*(T1743)))/W1743,0)</f>
        <v/>
      </c>
      <c r="Z1743">
        <f>IF(ABS(W1743)&gt;1E-12,((LTP3!$D$5)*((P1743)*(V1743)-(U1743)*(R1743))-(S1743)*((S1743)*(V1743)-(U1743)*(T1743))+(LTP3!$D$6)*((S1743)*(R1743)-(P1743)*(T1743)))/W1743,0)</f>
        <v/>
      </c>
      <c r="AA1743">
        <f>LTP3!$D$7-X1743*LTP3!$D$6-Y1743*U1743-Z1743*V1743</f>
        <v/>
      </c>
      <c r="AB1743">
        <f>IF(AND(F1743,ABS(W1743)&gt;1E-12,Y1743&gt;0,Z1743&gt;0),AA1743,1E+300)</f>
        <v/>
      </c>
    </row>
    <row r="1744">
      <c r="A1744">
        <f>$B$3+$B$5*28</f>
        <v/>
      </c>
      <c r="B1744">
        <f>$B$3+$B$5*24</f>
        <v/>
      </c>
      <c r="C1744">
        <f>SUMPRODUCT(Calc!$K$3:$K$22*(Calc!$G$3:$G$22&lt;=A1744))</f>
        <v/>
      </c>
      <c r="D1744">
        <f>SUMPRODUCT(Calc!$K$3:$K$22*(Calc!$G$3:$G$22&gt;A1744)*(Calc!$G$3:$G$22&lt;B1744))</f>
        <v/>
      </c>
      <c r="E1744">
        <f>SUMPRODUCT(Calc!$K$3:$K$22*(Calc!$G$3:$G$22&gt;=B1744))</f>
        <v/>
      </c>
      <c r="F1744">
        <f>AND(k_n&gt;=5,B1744&gt;A1744+1E-9,C1744&gt;=2,D1744&gt;=1,E1744&gt;=2)</f>
        <v/>
      </c>
      <c r="G1744">
        <f>SUMPRODUCT(Calc!$K$3:$K$22*(Calc!$G$3:$G$22&gt;A1744)*(Calc!$G$3:$G$22-A1744))</f>
        <v/>
      </c>
      <c r="H1744">
        <f>SUMPRODUCT(Calc!$K$3:$K$22*(Calc!$G$3:$G$22&gt;B1744)*(Calc!$G$3:$G$22-B1744))</f>
        <v/>
      </c>
      <c r="I1744">
        <f>SUMPRODUCT(Calc!$K$3:$K$22*(Calc!$G$3:$G$22&gt;A1744)*(Calc!$G$3:$G$22-A1744)^2)</f>
        <v/>
      </c>
      <c r="J1744">
        <f>SUMPRODUCT(Calc!$K$3:$K$22*(Calc!$G$3:$G$22&gt;B1744)*(Calc!$G$3:$G$22-B1744)^2)</f>
        <v/>
      </c>
      <c r="K1744">
        <f>SUMPRODUCT(Calc!$K$3:$K$22*(Calc!$G$3:$G$22&gt;A1744)*(Calc!$G$3:$G$22-A1744)*(Calc!$G$3:$G$22&gt;B1744)*(Calc!$G$3:$G$22-B1744))</f>
        <v/>
      </c>
      <c r="L1744">
        <f>SUMPRODUCT(Calc!$K$3:$K$22*(Calc!$G$3:$G$22&gt;A1744)*(Calc!$G$3:$G$22-A1744)*Calc!$G$3:$G$22)</f>
        <v/>
      </c>
      <c r="M1744">
        <f>SUMPRODUCT(Calc!$K$3:$K$22*(Calc!$G$3:$G$22&gt;B1744)*(Calc!$G$3:$G$22-B1744)*Calc!$G$3:$G$22)</f>
        <v/>
      </c>
      <c r="N1744">
        <f>SUMPRODUCT(Calc!$K$3:$K$22*(Calc!$G$3:$G$22&gt;A1744)*(Calc!$G$3:$G$22-A1744)*Calc!$I$3:$I$22)</f>
        <v/>
      </c>
      <c r="O1744">
        <f>SUMPRODUCT(Calc!$K$3:$K$22*(Calc!$G$3:$G$22&gt;B1744)*(Calc!$G$3:$G$22-B1744)*Calc!$I$3:$I$22)</f>
        <v/>
      </c>
      <c r="P1744">
        <f>I1744-G1744^2/k_n</f>
        <v/>
      </c>
      <c r="Q1744">
        <f>J1744-H1744^2/k_n</f>
        <v/>
      </c>
      <c r="R1744">
        <f>K1744-G1744*H1744/k_n</f>
        <v/>
      </c>
      <c r="S1744">
        <f>L1744-LTP3!$D$3*G1744/k_n</f>
        <v/>
      </c>
      <c r="T1744">
        <f>M1744-LTP3!$D$3*H1744/k_n</f>
        <v/>
      </c>
      <c r="U1744">
        <f>N1744-G1744*LTP3!$D$4/k_n</f>
        <v/>
      </c>
      <c r="V1744">
        <f>O1744-H1744*LTP3!$D$4/k_n</f>
        <v/>
      </c>
      <c r="W1744">
        <f>((LTP3!$D$5)*((P1744)*(Q1744)-(R1744)*(R1744))-(S1744)*((S1744)*(Q1744)-(R1744)*(T1744))+(T1744)*((S1744)*(R1744)-(P1744)*(T1744)))</f>
        <v/>
      </c>
      <c r="X1744">
        <f>IF(ABS(W1744)&gt;1E-12,((LTP3!$D$6)*((P1744)*(Q1744)-(R1744)*(R1744))-(S1744)*((U1744)*(Q1744)-(R1744)*(V1744))+(T1744)*((U1744)*(R1744)-(P1744)*(V1744)))/W1744,0)</f>
        <v/>
      </c>
      <c r="Y1744">
        <f>IF(ABS(W1744)&gt;1E-12,((LTP3!$D$5)*((U1744)*(Q1744)-(R1744)*(V1744))-(LTP3!$D$6)*((S1744)*(Q1744)-(R1744)*(T1744))+(T1744)*((S1744)*(V1744)-(U1744)*(T1744)))/W1744,0)</f>
        <v/>
      </c>
      <c r="Z1744">
        <f>IF(ABS(W1744)&gt;1E-12,((LTP3!$D$5)*((P1744)*(V1744)-(U1744)*(R1744))-(S1744)*((S1744)*(V1744)-(U1744)*(T1744))+(LTP3!$D$6)*((S1744)*(R1744)-(P1744)*(T1744)))/W1744,0)</f>
        <v/>
      </c>
      <c r="AA1744">
        <f>LTP3!$D$7-X1744*LTP3!$D$6-Y1744*U1744-Z1744*V1744</f>
        <v/>
      </c>
      <c r="AB1744">
        <f>IF(AND(F1744,ABS(W1744)&gt;1E-12,Y1744&gt;0,Z1744&gt;0),AA1744,1E+300)</f>
        <v/>
      </c>
    </row>
    <row r="1745">
      <c r="A1745">
        <f>$B$3+$B$5*28</f>
        <v/>
      </c>
      <c r="B1745">
        <f>$B$3+$B$5*25</f>
        <v/>
      </c>
      <c r="C1745">
        <f>SUMPRODUCT(Calc!$K$3:$K$22*(Calc!$G$3:$G$22&lt;=A1745))</f>
        <v/>
      </c>
      <c r="D1745">
        <f>SUMPRODUCT(Calc!$K$3:$K$22*(Calc!$G$3:$G$22&gt;A1745)*(Calc!$G$3:$G$22&lt;B1745))</f>
        <v/>
      </c>
      <c r="E1745">
        <f>SUMPRODUCT(Calc!$K$3:$K$22*(Calc!$G$3:$G$22&gt;=B1745))</f>
        <v/>
      </c>
      <c r="F1745">
        <f>AND(k_n&gt;=5,B1745&gt;A1745+1E-9,C1745&gt;=2,D1745&gt;=1,E1745&gt;=2)</f>
        <v/>
      </c>
      <c r="G1745">
        <f>SUMPRODUCT(Calc!$K$3:$K$22*(Calc!$G$3:$G$22&gt;A1745)*(Calc!$G$3:$G$22-A1745))</f>
        <v/>
      </c>
      <c r="H1745">
        <f>SUMPRODUCT(Calc!$K$3:$K$22*(Calc!$G$3:$G$22&gt;B1745)*(Calc!$G$3:$G$22-B1745))</f>
        <v/>
      </c>
      <c r="I1745">
        <f>SUMPRODUCT(Calc!$K$3:$K$22*(Calc!$G$3:$G$22&gt;A1745)*(Calc!$G$3:$G$22-A1745)^2)</f>
        <v/>
      </c>
      <c r="J1745">
        <f>SUMPRODUCT(Calc!$K$3:$K$22*(Calc!$G$3:$G$22&gt;B1745)*(Calc!$G$3:$G$22-B1745)^2)</f>
        <v/>
      </c>
      <c r="K1745">
        <f>SUMPRODUCT(Calc!$K$3:$K$22*(Calc!$G$3:$G$22&gt;A1745)*(Calc!$G$3:$G$22-A1745)*(Calc!$G$3:$G$22&gt;B1745)*(Calc!$G$3:$G$22-B1745))</f>
        <v/>
      </c>
      <c r="L1745">
        <f>SUMPRODUCT(Calc!$K$3:$K$22*(Calc!$G$3:$G$22&gt;A1745)*(Calc!$G$3:$G$22-A1745)*Calc!$G$3:$G$22)</f>
        <v/>
      </c>
      <c r="M1745">
        <f>SUMPRODUCT(Calc!$K$3:$K$22*(Calc!$G$3:$G$22&gt;B1745)*(Calc!$G$3:$G$22-B1745)*Calc!$G$3:$G$22)</f>
        <v/>
      </c>
      <c r="N1745">
        <f>SUMPRODUCT(Calc!$K$3:$K$22*(Calc!$G$3:$G$22&gt;A1745)*(Calc!$G$3:$G$22-A1745)*Calc!$I$3:$I$22)</f>
        <v/>
      </c>
      <c r="O1745">
        <f>SUMPRODUCT(Calc!$K$3:$K$22*(Calc!$G$3:$G$22&gt;B1745)*(Calc!$G$3:$G$22-B1745)*Calc!$I$3:$I$22)</f>
        <v/>
      </c>
      <c r="P1745">
        <f>I1745-G1745^2/k_n</f>
        <v/>
      </c>
      <c r="Q1745">
        <f>J1745-H1745^2/k_n</f>
        <v/>
      </c>
      <c r="R1745">
        <f>K1745-G1745*H1745/k_n</f>
        <v/>
      </c>
      <c r="S1745">
        <f>L1745-LTP3!$D$3*G1745/k_n</f>
        <v/>
      </c>
      <c r="T1745">
        <f>M1745-LTP3!$D$3*H1745/k_n</f>
        <v/>
      </c>
      <c r="U1745">
        <f>N1745-G1745*LTP3!$D$4/k_n</f>
        <v/>
      </c>
      <c r="V1745">
        <f>O1745-H1745*LTP3!$D$4/k_n</f>
        <v/>
      </c>
      <c r="W1745">
        <f>((LTP3!$D$5)*((P1745)*(Q1745)-(R1745)*(R1745))-(S1745)*((S1745)*(Q1745)-(R1745)*(T1745))+(T1745)*((S1745)*(R1745)-(P1745)*(T1745)))</f>
        <v/>
      </c>
      <c r="X1745">
        <f>IF(ABS(W1745)&gt;1E-12,((LTP3!$D$6)*((P1745)*(Q1745)-(R1745)*(R1745))-(S1745)*((U1745)*(Q1745)-(R1745)*(V1745))+(T1745)*((U1745)*(R1745)-(P1745)*(V1745)))/W1745,0)</f>
        <v/>
      </c>
      <c r="Y1745">
        <f>IF(ABS(W1745)&gt;1E-12,((LTP3!$D$5)*((U1745)*(Q1745)-(R1745)*(V1745))-(LTP3!$D$6)*((S1745)*(Q1745)-(R1745)*(T1745))+(T1745)*((S1745)*(V1745)-(U1745)*(T1745)))/W1745,0)</f>
        <v/>
      </c>
      <c r="Z1745">
        <f>IF(ABS(W1745)&gt;1E-12,((LTP3!$D$5)*((P1745)*(V1745)-(U1745)*(R1745))-(S1745)*((S1745)*(V1745)-(U1745)*(T1745))+(LTP3!$D$6)*((S1745)*(R1745)-(P1745)*(T1745)))/W1745,0)</f>
        <v/>
      </c>
      <c r="AA1745">
        <f>LTP3!$D$7-X1745*LTP3!$D$6-Y1745*U1745-Z1745*V1745</f>
        <v/>
      </c>
      <c r="AB1745">
        <f>IF(AND(F1745,ABS(W1745)&gt;1E-12,Y1745&gt;0,Z1745&gt;0),AA1745,1E+300)</f>
        <v/>
      </c>
    </row>
    <row r="1746">
      <c r="A1746">
        <f>$B$3+$B$5*28</f>
        <v/>
      </c>
      <c r="B1746">
        <f>$B$3+$B$5*26</f>
        <v/>
      </c>
      <c r="C1746">
        <f>SUMPRODUCT(Calc!$K$3:$K$22*(Calc!$G$3:$G$22&lt;=A1746))</f>
        <v/>
      </c>
      <c r="D1746">
        <f>SUMPRODUCT(Calc!$K$3:$K$22*(Calc!$G$3:$G$22&gt;A1746)*(Calc!$G$3:$G$22&lt;B1746))</f>
        <v/>
      </c>
      <c r="E1746">
        <f>SUMPRODUCT(Calc!$K$3:$K$22*(Calc!$G$3:$G$22&gt;=B1746))</f>
        <v/>
      </c>
      <c r="F1746">
        <f>AND(k_n&gt;=5,B1746&gt;A1746+1E-9,C1746&gt;=2,D1746&gt;=1,E1746&gt;=2)</f>
        <v/>
      </c>
      <c r="G1746">
        <f>SUMPRODUCT(Calc!$K$3:$K$22*(Calc!$G$3:$G$22&gt;A1746)*(Calc!$G$3:$G$22-A1746))</f>
        <v/>
      </c>
      <c r="H1746">
        <f>SUMPRODUCT(Calc!$K$3:$K$22*(Calc!$G$3:$G$22&gt;B1746)*(Calc!$G$3:$G$22-B1746))</f>
        <v/>
      </c>
      <c r="I1746">
        <f>SUMPRODUCT(Calc!$K$3:$K$22*(Calc!$G$3:$G$22&gt;A1746)*(Calc!$G$3:$G$22-A1746)^2)</f>
        <v/>
      </c>
      <c r="J1746">
        <f>SUMPRODUCT(Calc!$K$3:$K$22*(Calc!$G$3:$G$22&gt;B1746)*(Calc!$G$3:$G$22-B1746)^2)</f>
        <v/>
      </c>
      <c r="K1746">
        <f>SUMPRODUCT(Calc!$K$3:$K$22*(Calc!$G$3:$G$22&gt;A1746)*(Calc!$G$3:$G$22-A1746)*(Calc!$G$3:$G$22&gt;B1746)*(Calc!$G$3:$G$22-B1746))</f>
        <v/>
      </c>
      <c r="L1746">
        <f>SUMPRODUCT(Calc!$K$3:$K$22*(Calc!$G$3:$G$22&gt;A1746)*(Calc!$G$3:$G$22-A1746)*Calc!$G$3:$G$22)</f>
        <v/>
      </c>
      <c r="M1746">
        <f>SUMPRODUCT(Calc!$K$3:$K$22*(Calc!$G$3:$G$22&gt;B1746)*(Calc!$G$3:$G$22-B1746)*Calc!$G$3:$G$22)</f>
        <v/>
      </c>
      <c r="N1746">
        <f>SUMPRODUCT(Calc!$K$3:$K$22*(Calc!$G$3:$G$22&gt;A1746)*(Calc!$G$3:$G$22-A1746)*Calc!$I$3:$I$22)</f>
        <v/>
      </c>
      <c r="O1746">
        <f>SUMPRODUCT(Calc!$K$3:$K$22*(Calc!$G$3:$G$22&gt;B1746)*(Calc!$G$3:$G$22-B1746)*Calc!$I$3:$I$22)</f>
        <v/>
      </c>
      <c r="P1746">
        <f>I1746-G1746^2/k_n</f>
        <v/>
      </c>
      <c r="Q1746">
        <f>J1746-H1746^2/k_n</f>
        <v/>
      </c>
      <c r="R1746">
        <f>K1746-G1746*H1746/k_n</f>
        <v/>
      </c>
      <c r="S1746">
        <f>L1746-LTP3!$D$3*G1746/k_n</f>
        <v/>
      </c>
      <c r="T1746">
        <f>M1746-LTP3!$D$3*H1746/k_n</f>
        <v/>
      </c>
      <c r="U1746">
        <f>N1746-G1746*LTP3!$D$4/k_n</f>
        <v/>
      </c>
      <c r="V1746">
        <f>O1746-H1746*LTP3!$D$4/k_n</f>
        <v/>
      </c>
      <c r="W1746">
        <f>((LTP3!$D$5)*((P1746)*(Q1746)-(R1746)*(R1746))-(S1746)*((S1746)*(Q1746)-(R1746)*(T1746))+(T1746)*((S1746)*(R1746)-(P1746)*(T1746)))</f>
        <v/>
      </c>
      <c r="X1746">
        <f>IF(ABS(W1746)&gt;1E-12,((LTP3!$D$6)*((P1746)*(Q1746)-(R1746)*(R1746))-(S1746)*((U1746)*(Q1746)-(R1746)*(V1746))+(T1746)*((U1746)*(R1746)-(P1746)*(V1746)))/W1746,0)</f>
        <v/>
      </c>
      <c r="Y1746">
        <f>IF(ABS(W1746)&gt;1E-12,((LTP3!$D$5)*((U1746)*(Q1746)-(R1746)*(V1746))-(LTP3!$D$6)*((S1746)*(Q1746)-(R1746)*(T1746))+(T1746)*((S1746)*(V1746)-(U1746)*(T1746)))/W1746,0)</f>
        <v/>
      </c>
      <c r="Z1746">
        <f>IF(ABS(W1746)&gt;1E-12,((LTP3!$D$5)*((P1746)*(V1746)-(U1746)*(R1746))-(S1746)*((S1746)*(V1746)-(U1746)*(T1746))+(LTP3!$D$6)*((S1746)*(R1746)-(P1746)*(T1746)))/W1746,0)</f>
        <v/>
      </c>
      <c r="AA1746">
        <f>LTP3!$D$7-X1746*LTP3!$D$6-Y1746*U1746-Z1746*V1746</f>
        <v/>
      </c>
      <c r="AB1746">
        <f>IF(AND(F1746,ABS(W1746)&gt;1E-12,Y1746&gt;0,Z1746&gt;0),AA1746,1E+300)</f>
        <v/>
      </c>
    </row>
    <row r="1747">
      <c r="A1747">
        <f>$B$3+$B$5*28</f>
        <v/>
      </c>
      <c r="B1747">
        <f>$B$3+$B$5*27</f>
        <v/>
      </c>
      <c r="C1747">
        <f>SUMPRODUCT(Calc!$K$3:$K$22*(Calc!$G$3:$G$22&lt;=A1747))</f>
        <v/>
      </c>
      <c r="D1747">
        <f>SUMPRODUCT(Calc!$K$3:$K$22*(Calc!$G$3:$G$22&gt;A1747)*(Calc!$G$3:$G$22&lt;B1747))</f>
        <v/>
      </c>
      <c r="E1747">
        <f>SUMPRODUCT(Calc!$K$3:$K$22*(Calc!$G$3:$G$22&gt;=B1747))</f>
        <v/>
      </c>
      <c r="F1747">
        <f>AND(k_n&gt;=5,B1747&gt;A1747+1E-9,C1747&gt;=2,D1747&gt;=1,E1747&gt;=2)</f>
        <v/>
      </c>
      <c r="G1747">
        <f>SUMPRODUCT(Calc!$K$3:$K$22*(Calc!$G$3:$G$22&gt;A1747)*(Calc!$G$3:$G$22-A1747))</f>
        <v/>
      </c>
      <c r="H1747">
        <f>SUMPRODUCT(Calc!$K$3:$K$22*(Calc!$G$3:$G$22&gt;B1747)*(Calc!$G$3:$G$22-B1747))</f>
        <v/>
      </c>
      <c r="I1747">
        <f>SUMPRODUCT(Calc!$K$3:$K$22*(Calc!$G$3:$G$22&gt;A1747)*(Calc!$G$3:$G$22-A1747)^2)</f>
        <v/>
      </c>
      <c r="J1747">
        <f>SUMPRODUCT(Calc!$K$3:$K$22*(Calc!$G$3:$G$22&gt;B1747)*(Calc!$G$3:$G$22-B1747)^2)</f>
        <v/>
      </c>
      <c r="K1747">
        <f>SUMPRODUCT(Calc!$K$3:$K$22*(Calc!$G$3:$G$22&gt;A1747)*(Calc!$G$3:$G$22-A1747)*(Calc!$G$3:$G$22&gt;B1747)*(Calc!$G$3:$G$22-B1747))</f>
        <v/>
      </c>
      <c r="L1747">
        <f>SUMPRODUCT(Calc!$K$3:$K$22*(Calc!$G$3:$G$22&gt;A1747)*(Calc!$G$3:$G$22-A1747)*Calc!$G$3:$G$22)</f>
        <v/>
      </c>
      <c r="M1747">
        <f>SUMPRODUCT(Calc!$K$3:$K$22*(Calc!$G$3:$G$22&gt;B1747)*(Calc!$G$3:$G$22-B1747)*Calc!$G$3:$G$22)</f>
        <v/>
      </c>
      <c r="N1747">
        <f>SUMPRODUCT(Calc!$K$3:$K$22*(Calc!$G$3:$G$22&gt;A1747)*(Calc!$G$3:$G$22-A1747)*Calc!$I$3:$I$22)</f>
        <v/>
      </c>
      <c r="O1747">
        <f>SUMPRODUCT(Calc!$K$3:$K$22*(Calc!$G$3:$G$22&gt;B1747)*(Calc!$G$3:$G$22-B1747)*Calc!$I$3:$I$22)</f>
        <v/>
      </c>
      <c r="P1747">
        <f>I1747-G1747^2/k_n</f>
        <v/>
      </c>
      <c r="Q1747">
        <f>J1747-H1747^2/k_n</f>
        <v/>
      </c>
      <c r="R1747">
        <f>K1747-G1747*H1747/k_n</f>
        <v/>
      </c>
      <c r="S1747">
        <f>L1747-LTP3!$D$3*G1747/k_n</f>
        <v/>
      </c>
      <c r="T1747">
        <f>M1747-LTP3!$D$3*H1747/k_n</f>
        <v/>
      </c>
      <c r="U1747">
        <f>N1747-G1747*LTP3!$D$4/k_n</f>
        <v/>
      </c>
      <c r="V1747">
        <f>O1747-H1747*LTP3!$D$4/k_n</f>
        <v/>
      </c>
      <c r="W1747">
        <f>((LTP3!$D$5)*((P1747)*(Q1747)-(R1747)*(R1747))-(S1747)*((S1747)*(Q1747)-(R1747)*(T1747))+(T1747)*((S1747)*(R1747)-(P1747)*(T1747)))</f>
        <v/>
      </c>
      <c r="X1747">
        <f>IF(ABS(W1747)&gt;1E-12,((LTP3!$D$6)*((P1747)*(Q1747)-(R1747)*(R1747))-(S1747)*((U1747)*(Q1747)-(R1747)*(V1747))+(T1747)*((U1747)*(R1747)-(P1747)*(V1747)))/W1747,0)</f>
        <v/>
      </c>
      <c r="Y1747">
        <f>IF(ABS(W1747)&gt;1E-12,((LTP3!$D$5)*((U1747)*(Q1747)-(R1747)*(V1747))-(LTP3!$D$6)*((S1747)*(Q1747)-(R1747)*(T1747))+(T1747)*((S1747)*(V1747)-(U1747)*(T1747)))/W1747,0)</f>
        <v/>
      </c>
      <c r="Z1747">
        <f>IF(ABS(W1747)&gt;1E-12,((LTP3!$D$5)*((P1747)*(V1747)-(U1747)*(R1747))-(S1747)*((S1747)*(V1747)-(U1747)*(T1747))+(LTP3!$D$6)*((S1747)*(R1747)-(P1747)*(T1747)))/W1747,0)</f>
        <v/>
      </c>
      <c r="AA1747">
        <f>LTP3!$D$7-X1747*LTP3!$D$6-Y1747*U1747-Z1747*V1747</f>
        <v/>
      </c>
      <c r="AB1747">
        <f>IF(AND(F1747,ABS(W1747)&gt;1E-12,Y1747&gt;0,Z1747&gt;0),AA1747,1E+300)</f>
        <v/>
      </c>
    </row>
    <row r="1748">
      <c r="A1748">
        <f>$B$3+$B$5*28</f>
        <v/>
      </c>
      <c r="B1748">
        <f>$B$3+$B$5*28</f>
        <v/>
      </c>
      <c r="C1748">
        <f>SUMPRODUCT(Calc!$K$3:$K$22*(Calc!$G$3:$G$22&lt;=A1748))</f>
        <v/>
      </c>
      <c r="D1748">
        <f>SUMPRODUCT(Calc!$K$3:$K$22*(Calc!$G$3:$G$22&gt;A1748)*(Calc!$G$3:$G$22&lt;B1748))</f>
        <v/>
      </c>
      <c r="E1748">
        <f>SUMPRODUCT(Calc!$K$3:$K$22*(Calc!$G$3:$G$22&gt;=B1748))</f>
        <v/>
      </c>
      <c r="F1748">
        <f>AND(k_n&gt;=5,B1748&gt;A1748+1E-9,C1748&gt;=2,D1748&gt;=1,E1748&gt;=2)</f>
        <v/>
      </c>
      <c r="G1748">
        <f>SUMPRODUCT(Calc!$K$3:$K$22*(Calc!$G$3:$G$22&gt;A1748)*(Calc!$G$3:$G$22-A1748))</f>
        <v/>
      </c>
      <c r="H1748">
        <f>SUMPRODUCT(Calc!$K$3:$K$22*(Calc!$G$3:$G$22&gt;B1748)*(Calc!$G$3:$G$22-B1748))</f>
        <v/>
      </c>
      <c r="I1748">
        <f>SUMPRODUCT(Calc!$K$3:$K$22*(Calc!$G$3:$G$22&gt;A1748)*(Calc!$G$3:$G$22-A1748)^2)</f>
        <v/>
      </c>
      <c r="J1748">
        <f>SUMPRODUCT(Calc!$K$3:$K$22*(Calc!$G$3:$G$22&gt;B1748)*(Calc!$G$3:$G$22-B1748)^2)</f>
        <v/>
      </c>
      <c r="K1748">
        <f>SUMPRODUCT(Calc!$K$3:$K$22*(Calc!$G$3:$G$22&gt;A1748)*(Calc!$G$3:$G$22-A1748)*(Calc!$G$3:$G$22&gt;B1748)*(Calc!$G$3:$G$22-B1748))</f>
        <v/>
      </c>
      <c r="L1748">
        <f>SUMPRODUCT(Calc!$K$3:$K$22*(Calc!$G$3:$G$22&gt;A1748)*(Calc!$G$3:$G$22-A1748)*Calc!$G$3:$G$22)</f>
        <v/>
      </c>
      <c r="M1748">
        <f>SUMPRODUCT(Calc!$K$3:$K$22*(Calc!$G$3:$G$22&gt;B1748)*(Calc!$G$3:$G$22-B1748)*Calc!$G$3:$G$22)</f>
        <v/>
      </c>
      <c r="N1748">
        <f>SUMPRODUCT(Calc!$K$3:$K$22*(Calc!$G$3:$G$22&gt;A1748)*(Calc!$G$3:$G$22-A1748)*Calc!$I$3:$I$22)</f>
        <v/>
      </c>
      <c r="O1748">
        <f>SUMPRODUCT(Calc!$K$3:$K$22*(Calc!$G$3:$G$22&gt;B1748)*(Calc!$G$3:$G$22-B1748)*Calc!$I$3:$I$22)</f>
        <v/>
      </c>
      <c r="P1748">
        <f>I1748-G1748^2/k_n</f>
        <v/>
      </c>
      <c r="Q1748">
        <f>J1748-H1748^2/k_n</f>
        <v/>
      </c>
      <c r="R1748">
        <f>K1748-G1748*H1748/k_n</f>
        <v/>
      </c>
      <c r="S1748">
        <f>L1748-LTP3!$D$3*G1748/k_n</f>
        <v/>
      </c>
      <c r="T1748">
        <f>M1748-LTP3!$D$3*H1748/k_n</f>
        <v/>
      </c>
      <c r="U1748">
        <f>N1748-G1748*LTP3!$D$4/k_n</f>
        <v/>
      </c>
      <c r="V1748">
        <f>O1748-H1748*LTP3!$D$4/k_n</f>
        <v/>
      </c>
      <c r="W1748">
        <f>((LTP3!$D$5)*((P1748)*(Q1748)-(R1748)*(R1748))-(S1748)*((S1748)*(Q1748)-(R1748)*(T1748))+(T1748)*((S1748)*(R1748)-(P1748)*(T1748)))</f>
        <v/>
      </c>
      <c r="X1748">
        <f>IF(ABS(W1748)&gt;1E-12,((LTP3!$D$6)*((P1748)*(Q1748)-(R1748)*(R1748))-(S1748)*((U1748)*(Q1748)-(R1748)*(V1748))+(T1748)*((U1748)*(R1748)-(P1748)*(V1748)))/W1748,0)</f>
        <v/>
      </c>
      <c r="Y1748">
        <f>IF(ABS(W1748)&gt;1E-12,((LTP3!$D$5)*((U1748)*(Q1748)-(R1748)*(V1748))-(LTP3!$D$6)*((S1748)*(Q1748)-(R1748)*(T1748))+(T1748)*((S1748)*(V1748)-(U1748)*(T1748)))/W1748,0)</f>
        <v/>
      </c>
      <c r="Z1748">
        <f>IF(ABS(W1748)&gt;1E-12,((LTP3!$D$5)*((P1748)*(V1748)-(U1748)*(R1748))-(S1748)*((S1748)*(V1748)-(U1748)*(T1748))+(LTP3!$D$6)*((S1748)*(R1748)-(P1748)*(T1748)))/W1748,0)</f>
        <v/>
      </c>
      <c r="AA1748">
        <f>LTP3!$D$7-X1748*LTP3!$D$6-Y1748*U1748-Z1748*V1748</f>
        <v/>
      </c>
      <c r="AB1748">
        <f>IF(AND(F1748,ABS(W1748)&gt;1E-12,Y1748&gt;0,Z1748&gt;0),AA1748,1E+300)</f>
        <v/>
      </c>
    </row>
    <row r="1749">
      <c r="A1749">
        <f>$B$3+$B$5*28</f>
        <v/>
      </c>
      <c r="B1749">
        <f>$B$3+$B$5*29</f>
        <v/>
      </c>
      <c r="C1749">
        <f>SUMPRODUCT(Calc!$K$3:$K$22*(Calc!$G$3:$G$22&lt;=A1749))</f>
        <v/>
      </c>
      <c r="D1749">
        <f>SUMPRODUCT(Calc!$K$3:$K$22*(Calc!$G$3:$G$22&gt;A1749)*(Calc!$G$3:$G$22&lt;B1749))</f>
        <v/>
      </c>
      <c r="E1749">
        <f>SUMPRODUCT(Calc!$K$3:$K$22*(Calc!$G$3:$G$22&gt;=B1749))</f>
        <v/>
      </c>
      <c r="F1749">
        <f>AND(k_n&gt;=5,B1749&gt;A1749+1E-9,C1749&gt;=2,D1749&gt;=1,E1749&gt;=2)</f>
        <v/>
      </c>
      <c r="G1749">
        <f>SUMPRODUCT(Calc!$K$3:$K$22*(Calc!$G$3:$G$22&gt;A1749)*(Calc!$G$3:$G$22-A1749))</f>
        <v/>
      </c>
      <c r="H1749">
        <f>SUMPRODUCT(Calc!$K$3:$K$22*(Calc!$G$3:$G$22&gt;B1749)*(Calc!$G$3:$G$22-B1749))</f>
        <v/>
      </c>
      <c r="I1749">
        <f>SUMPRODUCT(Calc!$K$3:$K$22*(Calc!$G$3:$G$22&gt;A1749)*(Calc!$G$3:$G$22-A1749)^2)</f>
        <v/>
      </c>
      <c r="J1749">
        <f>SUMPRODUCT(Calc!$K$3:$K$22*(Calc!$G$3:$G$22&gt;B1749)*(Calc!$G$3:$G$22-B1749)^2)</f>
        <v/>
      </c>
      <c r="K1749">
        <f>SUMPRODUCT(Calc!$K$3:$K$22*(Calc!$G$3:$G$22&gt;A1749)*(Calc!$G$3:$G$22-A1749)*(Calc!$G$3:$G$22&gt;B1749)*(Calc!$G$3:$G$22-B1749))</f>
        <v/>
      </c>
      <c r="L1749">
        <f>SUMPRODUCT(Calc!$K$3:$K$22*(Calc!$G$3:$G$22&gt;A1749)*(Calc!$G$3:$G$22-A1749)*Calc!$G$3:$G$22)</f>
        <v/>
      </c>
      <c r="M1749">
        <f>SUMPRODUCT(Calc!$K$3:$K$22*(Calc!$G$3:$G$22&gt;B1749)*(Calc!$G$3:$G$22-B1749)*Calc!$G$3:$G$22)</f>
        <v/>
      </c>
      <c r="N1749">
        <f>SUMPRODUCT(Calc!$K$3:$K$22*(Calc!$G$3:$G$22&gt;A1749)*(Calc!$G$3:$G$22-A1749)*Calc!$I$3:$I$22)</f>
        <v/>
      </c>
      <c r="O1749">
        <f>SUMPRODUCT(Calc!$K$3:$K$22*(Calc!$G$3:$G$22&gt;B1749)*(Calc!$G$3:$G$22-B1749)*Calc!$I$3:$I$22)</f>
        <v/>
      </c>
      <c r="P1749">
        <f>I1749-G1749^2/k_n</f>
        <v/>
      </c>
      <c r="Q1749">
        <f>J1749-H1749^2/k_n</f>
        <v/>
      </c>
      <c r="R1749">
        <f>K1749-G1749*H1749/k_n</f>
        <v/>
      </c>
      <c r="S1749">
        <f>L1749-LTP3!$D$3*G1749/k_n</f>
        <v/>
      </c>
      <c r="T1749">
        <f>M1749-LTP3!$D$3*H1749/k_n</f>
        <v/>
      </c>
      <c r="U1749">
        <f>N1749-G1749*LTP3!$D$4/k_n</f>
        <v/>
      </c>
      <c r="V1749">
        <f>O1749-H1749*LTP3!$D$4/k_n</f>
        <v/>
      </c>
      <c r="W1749">
        <f>((LTP3!$D$5)*((P1749)*(Q1749)-(R1749)*(R1749))-(S1749)*((S1749)*(Q1749)-(R1749)*(T1749))+(T1749)*((S1749)*(R1749)-(P1749)*(T1749)))</f>
        <v/>
      </c>
      <c r="X1749">
        <f>IF(ABS(W1749)&gt;1E-12,((LTP3!$D$6)*((P1749)*(Q1749)-(R1749)*(R1749))-(S1749)*((U1749)*(Q1749)-(R1749)*(V1749))+(T1749)*((U1749)*(R1749)-(P1749)*(V1749)))/W1749,0)</f>
        <v/>
      </c>
      <c r="Y1749">
        <f>IF(ABS(W1749)&gt;1E-12,((LTP3!$D$5)*((U1749)*(Q1749)-(R1749)*(V1749))-(LTP3!$D$6)*((S1749)*(Q1749)-(R1749)*(T1749))+(T1749)*((S1749)*(V1749)-(U1749)*(T1749)))/W1749,0)</f>
        <v/>
      </c>
      <c r="Z1749">
        <f>IF(ABS(W1749)&gt;1E-12,((LTP3!$D$5)*((P1749)*(V1749)-(U1749)*(R1749))-(S1749)*((S1749)*(V1749)-(U1749)*(T1749))+(LTP3!$D$6)*((S1749)*(R1749)-(P1749)*(T1749)))/W1749,0)</f>
        <v/>
      </c>
      <c r="AA1749">
        <f>LTP3!$D$7-X1749*LTP3!$D$6-Y1749*U1749-Z1749*V1749</f>
        <v/>
      </c>
      <c r="AB1749">
        <f>IF(AND(F1749,ABS(W1749)&gt;1E-12,Y1749&gt;0,Z1749&gt;0),AA1749,1E+300)</f>
        <v/>
      </c>
    </row>
    <row r="1750">
      <c r="A1750">
        <f>$B$3+$B$5*28</f>
        <v/>
      </c>
      <c r="B1750">
        <f>$B$3+$B$5*30</f>
        <v/>
      </c>
      <c r="C1750">
        <f>SUMPRODUCT(Calc!$K$3:$K$22*(Calc!$G$3:$G$22&lt;=A1750))</f>
        <v/>
      </c>
      <c r="D1750">
        <f>SUMPRODUCT(Calc!$K$3:$K$22*(Calc!$G$3:$G$22&gt;A1750)*(Calc!$G$3:$G$22&lt;B1750))</f>
        <v/>
      </c>
      <c r="E1750">
        <f>SUMPRODUCT(Calc!$K$3:$K$22*(Calc!$G$3:$G$22&gt;=B1750))</f>
        <v/>
      </c>
      <c r="F1750">
        <f>AND(k_n&gt;=5,B1750&gt;A1750+1E-9,C1750&gt;=2,D1750&gt;=1,E1750&gt;=2)</f>
        <v/>
      </c>
      <c r="G1750">
        <f>SUMPRODUCT(Calc!$K$3:$K$22*(Calc!$G$3:$G$22&gt;A1750)*(Calc!$G$3:$G$22-A1750))</f>
        <v/>
      </c>
      <c r="H1750">
        <f>SUMPRODUCT(Calc!$K$3:$K$22*(Calc!$G$3:$G$22&gt;B1750)*(Calc!$G$3:$G$22-B1750))</f>
        <v/>
      </c>
      <c r="I1750">
        <f>SUMPRODUCT(Calc!$K$3:$K$22*(Calc!$G$3:$G$22&gt;A1750)*(Calc!$G$3:$G$22-A1750)^2)</f>
        <v/>
      </c>
      <c r="J1750">
        <f>SUMPRODUCT(Calc!$K$3:$K$22*(Calc!$G$3:$G$22&gt;B1750)*(Calc!$G$3:$G$22-B1750)^2)</f>
        <v/>
      </c>
      <c r="K1750">
        <f>SUMPRODUCT(Calc!$K$3:$K$22*(Calc!$G$3:$G$22&gt;A1750)*(Calc!$G$3:$G$22-A1750)*(Calc!$G$3:$G$22&gt;B1750)*(Calc!$G$3:$G$22-B1750))</f>
        <v/>
      </c>
      <c r="L1750">
        <f>SUMPRODUCT(Calc!$K$3:$K$22*(Calc!$G$3:$G$22&gt;A1750)*(Calc!$G$3:$G$22-A1750)*Calc!$G$3:$G$22)</f>
        <v/>
      </c>
      <c r="M1750">
        <f>SUMPRODUCT(Calc!$K$3:$K$22*(Calc!$G$3:$G$22&gt;B1750)*(Calc!$G$3:$G$22-B1750)*Calc!$G$3:$G$22)</f>
        <v/>
      </c>
      <c r="N1750">
        <f>SUMPRODUCT(Calc!$K$3:$K$22*(Calc!$G$3:$G$22&gt;A1750)*(Calc!$G$3:$G$22-A1750)*Calc!$I$3:$I$22)</f>
        <v/>
      </c>
      <c r="O1750">
        <f>SUMPRODUCT(Calc!$K$3:$K$22*(Calc!$G$3:$G$22&gt;B1750)*(Calc!$G$3:$G$22-B1750)*Calc!$I$3:$I$22)</f>
        <v/>
      </c>
      <c r="P1750">
        <f>I1750-G1750^2/k_n</f>
        <v/>
      </c>
      <c r="Q1750">
        <f>J1750-H1750^2/k_n</f>
        <v/>
      </c>
      <c r="R1750">
        <f>K1750-G1750*H1750/k_n</f>
        <v/>
      </c>
      <c r="S1750">
        <f>L1750-LTP3!$D$3*G1750/k_n</f>
        <v/>
      </c>
      <c r="T1750">
        <f>M1750-LTP3!$D$3*H1750/k_n</f>
        <v/>
      </c>
      <c r="U1750">
        <f>N1750-G1750*LTP3!$D$4/k_n</f>
        <v/>
      </c>
      <c r="V1750">
        <f>O1750-H1750*LTP3!$D$4/k_n</f>
        <v/>
      </c>
      <c r="W1750">
        <f>((LTP3!$D$5)*((P1750)*(Q1750)-(R1750)*(R1750))-(S1750)*((S1750)*(Q1750)-(R1750)*(T1750))+(T1750)*((S1750)*(R1750)-(P1750)*(T1750)))</f>
        <v/>
      </c>
      <c r="X1750">
        <f>IF(ABS(W1750)&gt;1E-12,((LTP3!$D$6)*((P1750)*(Q1750)-(R1750)*(R1750))-(S1750)*((U1750)*(Q1750)-(R1750)*(V1750))+(T1750)*((U1750)*(R1750)-(P1750)*(V1750)))/W1750,0)</f>
        <v/>
      </c>
      <c r="Y1750">
        <f>IF(ABS(W1750)&gt;1E-12,((LTP3!$D$5)*((U1750)*(Q1750)-(R1750)*(V1750))-(LTP3!$D$6)*((S1750)*(Q1750)-(R1750)*(T1750))+(T1750)*((S1750)*(V1750)-(U1750)*(T1750)))/W1750,0)</f>
        <v/>
      </c>
      <c r="Z1750">
        <f>IF(ABS(W1750)&gt;1E-12,((LTP3!$D$5)*((P1750)*(V1750)-(U1750)*(R1750))-(S1750)*((S1750)*(V1750)-(U1750)*(T1750))+(LTP3!$D$6)*((S1750)*(R1750)-(P1750)*(T1750)))/W1750,0)</f>
        <v/>
      </c>
      <c r="AA1750">
        <f>LTP3!$D$7-X1750*LTP3!$D$6-Y1750*U1750-Z1750*V1750</f>
        <v/>
      </c>
      <c r="AB1750">
        <f>IF(AND(F1750,ABS(W1750)&gt;1E-12,Y1750&gt;0,Z1750&gt;0),AA1750,1E+300)</f>
        <v/>
      </c>
    </row>
    <row r="1751">
      <c r="A1751">
        <f>$B$3+$B$5*28</f>
        <v/>
      </c>
      <c r="B1751">
        <f>$B$3+$B$5*31</f>
        <v/>
      </c>
      <c r="C1751">
        <f>SUMPRODUCT(Calc!$K$3:$K$22*(Calc!$G$3:$G$22&lt;=A1751))</f>
        <v/>
      </c>
      <c r="D1751">
        <f>SUMPRODUCT(Calc!$K$3:$K$22*(Calc!$G$3:$G$22&gt;A1751)*(Calc!$G$3:$G$22&lt;B1751))</f>
        <v/>
      </c>
      <c r="E1751">
        <f>SUMPRODUCT(Calc!$K$3:$K$22*(Calc!$G$3:$G$22&gt;=B1751))</f>
        <v/>
      </c>
      <c r="F1751">
        <f>AND(k_n&gt;=5,B1751&gt;A1751+1E-9,C1751&gt;=2,D1751&gt;=1,E1751&gt;=2)</f>
        <v/>
      </c>
      <c r="G1751">
        <f>SUMPRODUCT(Calc!$K$3:$K$22*(Calc!$G$3:$G$22&gt;A1751)*(Calc!$G$3:$G$22-A1751))</f>
        <v/>
      </c>
      <c r="H1751">
        <f>SUMPRODUCT(Calc!$K$3:$K$22*(Calc!$G$3:$G$22&gt;B1751)*(Calc!$G$3:$G$22-B1751))</f>
        <v/>
      </c>
      <c r="I1751">
        <f>SUMPRODUCT(Calc!$K$3:$K$22*(Calc!$G$3:$G$22&gt;A1751)*(Calc!$G$3:$G$22-A1751)^2)</f>
        <v/>
      </c>
      <c r="J1751">
        <f>SUMPRODUCT(Calc!$K$3:$K$22*(Calc!$G$3:$G$22&gt;B1751)*(Calc!$G$3:$G$22-B1751)^2)</f>
        <v/>
      </c>
      <c r="K1751">
        <f>SUMPRODUCT(Calc!$K$3:$K$22*(Calc!$G$3:$G$22&gt;A1751)*(Calc!$G$3:$G$22-A1751)*(Calc!$G$3:$G$22&gt;B1751)*(Calc!$G$3:$G$22-B1751))</f>
        <v/>
      </c>
      <c r="L1751">
        <f>SUMPRODUCT(Calc!$K$3:$K$22*(Calc!$G$3:$G$22&gt;A1751)*(Calc!$G$3:$G$22-A1751)*Calc!$G$3:$G$22)</f>
        <v/>
      </c>
      <c r="M1751">
        <f>SUMPRODUCT(Calc!$K$3:$K$22*(Calc!$G$3:$G$22&gt;B1751)*(Calc!$G$3:$G$22-B1751)*Calc!$G$3:$G$22)</f>
        <v/>
      </c>
      <c r="N1751">
        <f>SUMPRODUCT(Calc!$K$3:$K$22*(Calc!$G$3:$G$22&gt;A1751)*(Calc!$G$3:$G$22-A1751)*Calc!$I$3:$I$22)</f>
        <v/>
      </c>
      <c r="O1751">
        <f>SUMPRODUCT(Calc!$K$3:$K$22*(Calc!$G$3:$G$22&gt;B1751)*(Calc!$G$3:$G$22-B1751)*Calc!$I$3:$I$22)</f>
        <v/>
      </c>
      <c r="P1751">
        <f>I1751-G1751^2/k_n</f>
        <v/>
      </c>
      <c r="Q1751">
        <f>J1751-H1751^2/k_n</f>
        <v/>
      </c>
      <c r="R1751">
        <f>K1751-G1751*H1751/k_n</f>
        <v/>
      </c>
      <c r="S1751">
        <f>L1751-LTP3!$D$3*G1751/k_n</f>
        <v/>
      </c>
      <c r="T1751">
        <f>M1751-LTP3!$D$3*H1751/k_n</f>
        <v/>
      </c>
      <c r="U1751">
        <f>N1751-G1751*LTP3!$D$4/k_n</f>
        <v/>
      </c>
      <c r="V1751">
        <f>O1751-H1751*LTP3!$D$4/k_n</f>
        <v/>
      </c>
      <c r="W1751">
        <f>((LTP3!$D$5)*((P1751)*(Q1751)-(R1751)*(R1751))-(S1751)*((S1751)*(Q1751)-(R1751)*(T1751))+(T1751)*((S1751)*(R1751)-(P1751)*(T1751)))</f>
        <v/>
      </c>
      <c r="X1751">
        <f>IF(ABS(W1751)&gt;1E-12,((LTP3!$D$6)*((P1751)*(Q1751)-(R1751)*(R1751))-(S1751)*((U1751)*(Q1751)-(R1751)*(V1751))+(T1751)*((U1751)*(R1751)-(P1751)*(V1751)))/W1751,0)</f>
        <v/>
      </c>
      <c r="Y1751">
        <f>IF(ABS(W1751)&gt;1E-12,((LTP3!$D$5)*((U1751)*(Q1751)-(R1751)*(V1751))-(LTP3!$D$6)*((S1751)*(Q1751)-(R1751)*(T1751))+(T1751)*((S1751)*(V1751)-(U1751)*(T1751)))/W1751,0)</f>
        <v/>
      </c>
      <c r="Z1751">
        <f>IF(ABS(W1751)&gt;1E-12,((LTP3!$D$5)*((P1751)*(V1751)-(U1751)*(R1751))-(S1751)*((S1751)*(V1751)-(U1751)*(T1751))+(LTP3!$D$6)*((S1751)*(R1751)-(P1751)*(T1751)))/W1751,0)</f>
        <v/>
      </c>
      <c r="AA1751">
        <f>LTP3!$D$7-X1751*LTP3!$D$6-Y1751*U1751-Z1751*V1751</f>
        <v/>
      </c>
      <c r="AB1751">
        <f>IF(AND(F1751,ABS(W1751)&gt;1E-12,Y1751&gt;0,Z1751&gt;0),AA1751,1E+300)</f>
        <v/>
      </c>
    </row>
    <row r="1752">
      <c r="A1752">
        <f>$B$3+$B$5*28</f>
        <v/>
      </c>
      <c r="B1752">
        <f>$B$3+$B$5*32</f>
        <v/>
      </c>
      <c r="C1752">
        <f>SUMPRODUCT(Calc!$K$3:$K$22*(Calc!$G$3:$G$22&lt;=A1752))</f>
        <v/>
      </c>
      <c r="D1752">
        <f>SUMPRODUCT(Calc!$K$3:$K$22*(Calc!$G$3:$G$22&gt;A1752)*(Calc!$G$3:$G$22&lt;B1752))</f>
        <v/>
      </c>
      <c r="E1752">
        <f>SUMPRODUCT(Calc!$K$3:$K$22*(Calc!$G$3:$G$22&gt;=B1752))</f>
        <v/>
      </c>
      <c r="F1752">
        <f>AND(k_n&gt;=5,B1752&gt;A1752+1E-9,C1752&gt;=2,D1752&gt;=1,E1752&gt;=2)</f>
        <v/>
      </c>
      <c r="G1752">
        <f>SUMPRODUCT(Calc!$K$3:$K$22*(Calc!$G$3:$G$22&gt;A1752)*(Calc!$G$3:$G$22-A1752))</f>
        <v/>
      </c>
      <c r="H1752">
        <f>SUMPRODUCT(Calc!$K$3:$K$22*(Calc!$G$3:$G$22&gt;B1752)*(Calc!$G$3:$G$22-B1752))</f>
        <v/>
      </c>
      <c r="I1752">
        <f>SUMPRODUCT(Calc!$K$3:$K$22*(Calc!$G$3:$G$22&gt;A1752)*(Calc!$G$3:$G$22-A1752)^2)</f>
        <v/>
      </c>
      <c r="J1752">
        <f>SUMPRODUCT(Calc!$K$3:$K$22*(Calc!$G$3:$G$22&gt;B1752)*(Calc!$G$3:$G$22-B1752)^2)</f>
        <v/>
      </c>
      <c r="K1752">
        <f>SUMPRODUCT(Calc!$K$3:$K$22*(Calc!$G$3:$G$22&gt;A1752)*(Calc!$G$3:$G$22-A1752)*(Calc!$G$3:$G$22&gt;B1752)*(Calc!$G$3:$G$22-B1752))</f>
        <v/>
      </c>
      <c r="L1752">
        <f>SUMPRODUCT(Calc!$K$3:$K$22*(Calc!$G$3:$G$22&gt;A1752)*(Calc!$G$3:$G$22-A1752)*Calc!$G$3:$G$22)</f>
        <v/>
      </c>
      <c r="M1752">
        <f>SUMPRODUCT(Calc!$K$3:$K$22*(Calc!$G$3:$G$22&gt;B1752)*(Calc!$G$3:$G$22-B1752)*Calc!$G$3:$G$22)</f>
        <v/>
      </c>
      <c r="N1752">
        <f>SUMPRODUCT(Calc!$K$3:$K$22*(Calc!$G$3:$G$22&gt;A1752)*(Calc!$G$3:$G$22-A1752)*Calc!$I$3:$I$22)</f>
        <v/>
      </c>
      <c r="O1752">
        <f>SUMPRODUCT(Calc!$K$3:$K$22*(Calc!$G$3:$G$22&gt;B1752)*(Calc!$G$3:$G$22-B1752)*Calc!$I$3:$I$22)</f>
        <v/>
      </c>
      <c r="P1752">
        <f>I1752-G1752^2/k_n</f>
        <v/>
      </c>
      <c r="Q1752">
        <f>J1752-H1752^2/k_n</f>
        <v/>
      </c>
      <c r="R1752">
        <f>K1752-G1752*H1752/k_n</f>
        <v/>
      </c>
      <c r="S1752">
        <f>L1752-LTP3!$D$3*G1752/k_n</f>
        <v/>
      </c>
      <c r="T1752">
        <f>M1752-LTP3!$D$3*H1752/k_n</f>
        <v/>
      </c>
      <c r="U1752">
        <f>N1752-G1752*LTP3!$D$4/k_n</f>
        <v/>
      </c>
      <c r="V1752">
        <f>O1752-H1752*LTP3!$D$4/k_n</f>
        <v/>
      </c>
      <c r="W1752">
        <f>((LTP3!$D$5)*((P1752)*(Q1752)-(R1752)*(R1752))-(S1752)*((S1752)*(Q1752)-(R1752)*(T1752))+(T1752)*((S1752)*(R1752)-(P1752)*(T1752)))</f>
        <v/>
      </c>
      <c r="X1752">
        <f>IF(ABS(W1752)&gt;1E-12,((LTP3!$D$6)*((P1752)*(Q1752)-(R1752)*(R1752))-(S1752)*((U1752)*(Q1752)-(R1752)*(V1752))+(T1752)*((U1752)*(R1752)-(P1752)*(V1752)))/W1752,0)</f>
        <v/>
      </c>
      <c r="Y1752">
        <f>IF(ABS(W1752)&gt;1E-12,((LTP3!$D$5)*((U1752)*(Q1752)-(R1752)*(V1752))-(LTP3!$D$6)*((S1752)*(Q1752)-(R1752)*(T1752))+(T1752)*((S1752)*(V1752)-(U1752)*(T1752)))/W1752,0)</f>
        <v/>
      </c>
      <c r="Z1752">
        <f>IF(ABS(W1752)&gt;1E-12,((LTP3!$D$5)*((P1752)*(V1752)-(U1752)*(R1752))-(S1752)*((S1752)*(V1752)-(U1752)*(T1752))+(LTP3!$D$6)*((S1752)*(R1752)-(P1752)*(T1752)))/W1752,0)</f>
        <v/>
      </c>
      <c r="AA1752">
        <f>LTP3!$D$7-X1752*LTP3!$D$6-Y1752*U1752-Z1752*V1752</f>
        <v/>
      </c>
      <c r="AB1752">
        <f>IF(AND(F1752,ABS(W1752)&gt;1E-12,Y1752&gt;0,Z1752&gt;0),AA1752,1E+300)</f>
        <v/>
      </c>
    </row>
    <row r="1753">
      <c r="A1753">
        <f>$B$3+$B$5*28</f>
        <v/>
      </c>
      <c r="B1753">
        <f>$B$3+$B$5*33</f>
        <v/>
      </c>
      <c r="C1753">
        <f>SUMPRODUCT(Calc!$K$3:$K$22*(Calc!$G$3:$G$22&lt;=A1753))</f>
        <v/>
      </c>
      <c r="D1753">
        <f>SUMPRODUCT(Calc!$K$3:$K$22*(Calc!$G$3:$G$22&gt;A1753)*(Calc!$G$3:$G$22&lt;B1753))</f>
        <v/>
      </c>
      <c r="E1753">
        <f>SUMPRODUCT(Calc!$K$3:$K$22*(Calc!$G$3:$G$22&gt;=B1753))</f>
        <v/>
      </c>
      <c r="F1753">
        <f>AND(k_n&gt;=5,B1753&gt;A1753+1E-9,C1753&gt;=2,D1753&gt;=1,E1753&gt;=2)</f>
        <v/>
      </c>
      <c r="G1753">
        <f>SUMPRODUCT(Calc!$K$3:$K$22*(Calc!$G$3:$G$22&gt;A1753)*(Calc!$G$3:$G$22-A1753))</f>
        <v/>
      </c>
      <c r="H1753">
        <f>SUMPRODUCT(Calc!$K$3:$K$22*(Calc!$G$3:$G$22&gt;B1753)*(Calc!$G$3:$G$22-B1753))</f>
        <v/>
      </c>
      <c r="I1753">
        <f>SUMPRODUCT(Calc!$K$3:$K$22*(Calc!$G$3:$G$22&gt;A1753)*(Calc!$G$3:$G$22-A1753)^2)</f>
        <v/>
      </c>
      <c r="J1753">
        <f>SUMPRODUCT(Calc!$K$3:$K$22*(Calc!$G$3:$G$22&gt;B1753)*(Calc!$G$3:$G$22-B1753)^2)</f>
        <v/>
      </c>
      <c r="K1753">
        <f>SUMPRODUCT(Calc!$K$3:$K$22*(Calc!$G$3:$G$22&gt;A1753)*(Calc!$G$3:$G$22-A1753)*(Calc!$G$3:$G$22&gt;B1753)*(Calc!$G$3:$G$22-B1753))</f>
        <v/>
      </c>
      <c r="L1753">
        <f>SUMPRODUCT(Calc!$K$3:$K$22*(Calc!$G$3:$G$22&gt;A1753)*(Calc!$G$3:$G$22-A1753)*Calc!$G$3:$G$22)</f>
        <v/>
      </c>
      <c r="M1753">
        <f>SUMPRODUCT(Calc!$K$3:$K$22*(Calc!$G$3:$G$22&gt;B1753)*(Calc!$G$3:$G$22-B1753)*Calc!$G$3:$G$22)</f>
        <v/>
      </c>
      <c r="N1753">
        <f>SUMPRODUCT(Calc!$K$3:$K$22*(Calc!$G$3:$G$22&gt;A1753)*(Calc!$G$3:$G$22-A1753)*Calc!$I$3:$I$22)</f>
        <v/>
      </c>
      <c r="O1753">
        <f>SUMPRODUCT(Calc!$K$3:$K$22*(Calc!$G$3:$G$22&gt;B1753)*(Calc!$G$3:$G$22-B1753)*Calc!$I$3:$I$22)</f>
        <v/>
      </c>
      <c r="P1753">
        <f>I1753-G1753^2/k_n</f>
        <v/>
      </c>
      <c r="Q1753">
        <f>J1753-H1753^2/k_n</f>
        <v/>
      </c>
      <c r="R1753">
        <f>K1753-G1753*H1753/k_n</f>
        <v/>
      </c>
      <c r="S1753">
        <f>L1753-LTP3!$D$3*G1753/k_n</f>
        <v/>
      </c>
      <c r="T1753">
        <f>M1753-LTP3!$D$3*H1753/k_n</f>
        <v/>
      </c>
      <c r="U1753">
        <f>N1753-G1753*LTP3!$D$4/k_n</f>
        <v/>
      </c>
      <c r="V1753">
        <f>O1753-H1753*LTP3!$D$4/k_n</f>
        <v/>
      </c>
      <c r="W1753">
        <f>((LTP3!$D$5)*((P1753)*(Q1753)-(R1753)*(R1753))-(S1753)*((S1753)*(Q1753)-(R1753)*(T1753))+(T1753)*((S1753)*(R1753)-(P1753)*(T1753)))</f>
        <v/>
      </c>
      <c r="X1753">
        <f>IF(ABS(W1753)&gt;1E-12,((LTP3!$D$6)*((P1753)*(Q1753)-(R1753)*(R1753))-(S1753)*((U1753)*(Q1753)-(R1753)*(V1753))+(T1753)*((U1753)*(R1753)-(P1753)*(V1753)))/W1753,0)</f>
        <v/>
      </c>
      <c r="Y1753">
        <f>IF(ABS(W1753)&gt;1E-12,((LTP3!$D$5)*((U1753)*(Q1753)-(R1753)*(V1753))-(LTP3!$D$6)*((S1753)*(Q1753)-(R1753)*(T1753))+(T1753)*((S1753)*(V1753)-(U1753)*(T1753)))/W1753,0)</f>
        <v/>
      </c>
      <c r="Z1753">
        <f>IF(ABS(W1753)&gt;1E-12,((LTP3!$D$5)*((P1753)*(V1753)-(U1753)*(R1753))-(S1753)*((S1753)*(V1753)-(U1753)*(T1753))+(LTP3!$D$6)*((S1753)*(R1753)-(P1753)*(T1753)))/W1753,0)</f>
        <v/>
      </c>
      <c r="AA1753">
        <f>LTP3!$D$7-X1753*LTP3!$D$6-Y1753*U1753-Z1753*V1753</f>
        <v/>
      </c>
      <c r="AB1753">
        <f>IF(AND(F1753,ABS(W1753)&gt;1E-12,Y1753&gt;0,Z1753&gt;0),AA1753,1E+300)</f>
        <v/>
      </c>
    </row>
    <row r="1754">
      <c r="A1754">
        <f>$B$3+$B$5*28</f>
        <v/>
      </c>
      <c r="B1754">
        <f>$B$3+$B$5*34</f>
        <v/>
      </c>
      <c r="C1754">
        <f>SUMPRODUCT(Calc!$K$3:$K$22*(Calc!$G$3:$G$22&lt;=A1754))</f>
        <v/>
      </c>
      <c r="D1754">
        <f>SUMPRODUCT(Calc!$K$3:$K$22*(Calc!$G$3:$G$22&gt;A1754)*(Calc!$G$3:$G$22&lt;B1754))</f>
        <v/>
      </c>
      <c r="E1754">
        <f>SUMPRODUCT(Calc!$K$3:$K$22*(Calc!$G$3:$G$22&gt;=B1754))</f>
        <v/>
      </c>
      <c r="F1754">
        <f>AND(k_n&gt;=5,B1754&gt;A1754+1E-9,C1754&gt;=2,D1754&gt;=1,E1754&gt;=2)</f>
        <v/>
      </c>
      <c r="G1754">
        <f>SUMPRODUCT(Calc!$K$3:$K$22*(Calc!$G$3:$G$22&gt;A1754)*(Calc!$G$3:$G$22-A1754))</f>
        <v/>
      </c>
      <c r="H1754">
        <f>SUMPRODUCT(Calc!$K$3:$K$22*(Calc!$G$3:$G$22&gt;B1754)*(Calc!$G$3:$G$22-B1754))</f>
        <v/>
      </c>
      <c r="I1754">
        <f>SUMPRODUCT(Calc!$K$3:$K$22*(Calc!$G$3:$G$22&gt;A1754)*(Calc!$G$3:$G$22-A1754)^2)</f>
        <v/>
      </c>
      <c r="J1754">
        <f>SUMPRODUCT(Calc!$K$3:$K$22*(Calc!$G$3:$G$22&gt;B1754)*(Calc!$G$3:$G$22-B1754)^2)</f>
        <v/>
      </c>
      <c r="K1754">
        <f>SUMPRODUCT(Calc!$K$3:$K$22*(Calc!$G$3:$G$22&gt;A1754)*(Calc!$G$3:$G$22-A1754)*(Calc!$G$3:$G$22&gt;B1754)*(Calc!$G$3:$G$22-B1754))</f>
        <v/>
      </c>
      <c r="L1754">
        <f>SUMPRODUCT(Calc!$K$3:$K$22*(Calc!$G$3:$G$22&gt;A1754)*(Calc!$G$3:$G$22-A1754)*Calc!$G$3:$G$22)</f>
        <v/>
      </c>
      <c r="M1754">
        <f>SUMPRODUCT(Calc!$K$3:$K$22*(Calc!$G$3:$G$22&gt;B1754)*(Calc!$G$3:$G$22-B1754)*Calc!$G$3:$G$22)</f>
        <v/>
      </c>
      <c r="N1754">
        <f>SUMPRODUCT(Calc!$K$3:$K$22*(Calc!$G$3:$G$22&gt;A1754)*(Calc!$G$3:$G$22-A1754)*Calc!$I$3:$I$22)</f>
        <v/>
      </c>
      <c r="O1754">
        <f>SUMPRODUCT(Calc!$K$3:$K$22*(Calc!$G$3:$G$22&gt;B1754)*(Calc!$G$3:$G$22-B1754)*Calc!$I$3:$I$22)</f>
        <v/>
      </c>
      <c r="P1754">
        <f>I1754-G1754^2/k_n</f>
        <v/>
      </c>
      <c r="Q1754">
        <f>J1754-H1754^2/k_n</f>
        <v/>
      </c>
      <c r="R1754">
        <f>K1754-G1754*H1754/k_n</f>
        <v/>
      </c>
      <c r="S1754">
        <f>L1754-LTP3!$D$3*G1754/k_n</f>
        <v/>
      </c>
      <c r="T1754">
        <f>M1754-LTP3!$D$3*H1754/k_n</f>
        <v/>
      </c>
      <c r="U1754">
        <f>N1754-G1754*LTP3!$D$4/k_n</f>
        <v/>
      </c>
      <c r="V1754">
        <f>O1754-H1754*LTP3!$D$4/k_n</f>
        <v/>
      </c>
      <c r="W1754">
        <f>((LTP3!$D$5)*((P1754)*(Q1754)-(R1754)*(R1754))-(S1754)*((S1754)*(Q1754)-(R1754)*(T1754))+(T1754)*((S1754)*(R1754)-(P1754)*(T1754)))</f>
        <v/>
      </c>
      <c r="X1754">
        <f>IF(ABS(W1754)&gt;1E-12,((LTP3!$D$6)*((P1754)*(Q1754)-(R1754)*(R1754))-(S1754)*((U1754)*(Q1754)-(R1754)*(V1754))+(T1754)*((U1754)*(R1754)-(P1754)*(V1754)))/W1754,0)</f>
        <v/>
      </c>
      <c r="Y1754">
        <f>IF(ABS(W1754)&gt;1E-12,((LTP3!$D$5)*((U1754)*(Q1754)-(R1754)*(V1754))-(LTP3!$D$6)*((S1754)*(Q1754)-(R1754)*(T1754))+(T1754)*((S1754)*(V1754)-(U1754)*(T1754)))/W1754,0)</f>
        <v/>
      </c>
      <c r="Z1754">
        <f>IF(ABS(W1754)&gt;1E-12,((LTP3!$D$5)*((P1754)*(V1754)-(U1754)*(R1754))-(S1754)*((S1754)*(V1754)-(U1754)*(T1754))+(LTP3!$D$6)*((S1754)*(R1754)-(P1754)*(T1754)))/W1754,0)</f>
        <v/>
      </c>
      <c r="AA1754">
        <f>LTP3!$D$7-X1754*LTP3!$D$6-Y1754*U1754-Z1754*V1754</f>
        <v/>
      </c>
      <c r="AB1754">
        <f>IF(AND(F1754,ABS(W1754)&gt;1E-12,Y1754&gt;0,Z1754&gt;0),AA1754,1E+300)</f>
        <v/>
      </c>
    </row>
    <row r="1755">
      <c r="A1755">
        <f>$B$3+$B$5*28</f>
        <v/>
      </c>
      <c r="B1755">
        <f>$B$3+$B$5*35</f>
        <v/>
      </c>
      <c r="C1755">
        <f>SUMPRODUCT(Calc!$K$3:$K$22*(Calc!$G$3:$G$22&lt;=A1755))</f>
        <v/>
      </c>
      <c r="D1755">
        <f>SUMPRODUCT(Calc!$K$3:$K$22*(Calc!$G$3:$G$22&gt;A1755)*(Calc!$G$3:$G$22&lt;B1755))</f>
        <v/>
      </c>
      <c r="E1755">
        <f>SUMPRODUCT(Calc!$K$3:$K$22*(Calc!$G$3:$G$22&gt;=B1755))</f>
        <v/>
      </c>
      <c r="F1755">
        <f>AND(k_n&gt;=5,B1755&gt;A1755+1E-9,C1755&gt;=2,D1755&gt;=1,E1755&gt;=2)</f>
        <v/>
      </c>
      <c r="G1755">
        <f>SUMPRODUCT(Calc!$K$3:$K$22*(Calc!$G$3:$G$22&gt;A1755)*(Calc!$G$3:$G$22-A1755))</f>
        <v/>
      </c>
      <c r="H1755">
        <f>SUMPRODUCT(Calc!$K$3:$K$22*(Calc!$G$3:$G$22&gt;B1755)*(Calc!$G$3:$G$22-B1755))</f>
        <v/>
      </c>
      <c r="I1755">
        <f>SUMPRODUCT(Calc!$K$3:$K$22*(Calc!$G$3:$G$22&gt;A1755)*(Calc!$G$3:$G$22-A1755)^2)</f>
        <v/>
      </c>
      <c r="J1755">
        <f>SUMPRODUCT(Calc!$K$3:$K$22*(Calc!$G$3:$G$22&gt;B1755)*(Calc!$G$3:$G$22-B1755)^2)</f>
        <v/>
      </c>
      <c r="K1755">
        <f>SUMPRODUCT(Calc!$K$3:$K$22*(Calc!$G$3:$G$22&gt;A1755)*(Calc!$G$3:$G$22-A1755)*(Calc!$G$3:$G$22&gt;B1755)*(Calc!$G$3:$G$22-B1755))</f>
        <v/>
      </c>
      <c r="L1755">
        <f>SUMPRODUCT(Calc!$K$3:$K$22*(Calc!$G$3:$G$22&gt;A1755)*(Calc!$G$3:$G$22-A1755)*Calc!$G$3:$G$22)</f>
        <v/>
      </c>
      <c r="M1755">
        <f>SUMPRODUCT(Calc!$K$3:$K$22*(Calc!$G$3:$G$22&gt;B1755)*(Calc!$G$3:$G$22-B1755)*Calc!$G$3:$G$22)</f>
        <v/>
      </c>
      <c r="N1755">
        <f>SUMPRODUCT(Calc!$K$3:$K$22*(Calc!$G$3:$G$22&gt;A1755)*(Calc!$G$3:$G$22-A1755)*Calc!$I$3:$I$22)</f>
        <v/>
      </c>
      <c r="O1755">
        <f>SUMPRODUCT(Calc!$K$3:$K$22*(Calc!$G$3:$G$22&gt;B1755)*(Calc!$G$3:$G$22-B1755)*Calc!$I$3:$I$22)</f>
        <v/>
      </c>
      <c r="P1755">
        <f>I1755-G1755^2/k_n</f>
        <v/>
      </c>
      <c r="Q1755">
        <f>J1755-H1755^2/k_n</f>
        <v/>
      </c>
      <c r="R1755">
        <f>K1755-G1755*H1755/k_n</f>
        <v/>
      </c>
      <c r="S1755">
        <f>L1755-LTP3!$D$3*G1755/k_n</f>
        <v/>
      </c>
      <c r="T1755">
        <f>M1755-LTP3!$D$3*H1755/k_n</f>
        <v/>
      </c>
      <c r="U1755">
        <f>N1755-G1755*LTP3!$D$4/k_n</f>
        <v/>
      </c>
      <c r="V1755">
        <f>O1755-H1755*LTP3!$D$4/k_n</f>
        <v/>
      </c>
      <c r="W1755">
        <f>((LTP3!$D$5)*((P1755)*(Q1755)-(R1755)*(R1755))-(S1755)*((S1755)*(Q1755)-(R1755)*(T1755))+(T1755)*((S1755)*(R1755)-(P1755)*(T1755)))</f>
        <v/>
      </c>
      <c r="X1755">
        <f>IF(ABS(W1755)&gt;1E-12,((LTP3!$D$6)*((P1755)*(Q1755)-(R1755)*(R1755))-(S1755)*((U1755)*(Q1755)-(R1755)*(V1755))+(T1755)*((U1755)*(R1755)-(P1755)*(V1755)))/W1755,0)</f>
        <v/>
      </c>
      <c r="Y1755">
        <f>IF(ABS(W1755)&gt;1E-12,((LTP3!$D$5)*((U1755)*(Q1755)-(R1755)*(V1755))-(LTP3!$D$6)*((S1755)*(Q1755)-(R1755)*(T1755))+(T1755)*((S1755)*(V1755)-(U1755)*(T1755)))/W1755,0)</f>
        <v/>
      </c>
      <c r="Z1755">
        <f>IF(ABS(W1755)&gt;1E-12,((LTP3!$D$5)*((P1755)*(V1755)-(U1755)*(R1755))-(S1755)*((S1755)*(V1755)-(U1755)*(T1755))+(LTP3!$D$6)*((S1755)*(R1755)-(P1755)*(T1755)))/W1755,0)</f>
        <v/>
      </c>
      <c r="AA1755">
        <f>LTP3!$D$7-X1755*LTP3!$D$6-Y1755*U1755-Z1755*V1755</f>
        <v/>
      </c>
      <c r="AB1755">
        <f>IF(AND(F1755,ABS(W1755)&gt;1E-12,Y1755&gt;0,Z1755&gt;0),AA1755,1E+300)</f>
        <v/>
      </c>
    </row>
    <row r="1756">
      <c r="A1756">
        <f>$B$3+$B$5*28</f>
        <v/>
      </c>
      <c r="B1756">
        <f>$B$3+$B$5*36</f>
        <v/>
      </c>
      <c r="C1756">
        <f>SUMPRODUCT(Calc!$K$3:$K$22*(Calc!$G$3:$G$22&lt;=A1756))</f>
        <v/>
      </c>
      <c r="D1756">
        <f>SUMPRODUCT(Calc!$K$3:$K$22*(Calc!$G$3:$G$22&gt;A1756)*(Calc!$G$3:$G$22&lt;B1756))</f>
        <v/>
      </c>
      <c r="E1756">
        <f>SUMPRODUCT(Calc!$K$3:$K$22*(Calc!$G$3:$G$22&gt;=B1756))</f>
        <v/>
      </c>
      <c r="F1756">
        <f>AND(k_n&gt;=5,B1756&gt;A1756+1E-9,C1756&gt;=2,D1756&gt;=1,E1756&gt;=2)</f>
        <v/>
      </c>
      <c r="G1756">
        <f>SUMPRODUCT(Calc!$K$3:$K$22*(Calc!$G$3:$G$22&gt;A1756)*(Calc!$G$3:$G$22-A1756))</f>
        <v/>
      </c>
      <c r="H1756">
        <f>SUMPRODUCT(Calc!$K$3:$K$22*(Calc!$G$3:$G$22&gt;B1756)*(Calc!$G$3:$G$22-B1756))</f>
        <v/>
      </c>
      <c r="I1756">
        <f>SUMPRODUCT(Calc!$K$3:$K$22*(Calc!$G$3:$G$22&gt;A1756)*(Calc!$G$3:$G$22-A1756)^2)</f>
        <v/>
      </c>
      <c r="J1756">
        <f>SUMPRODUCT(Calc!$K$3:$K$22*(Calc!$G$3:$G$22&gt;B1756)*(Calc!$G$3:$G$22-B1756)^2)</f>
        <v/>
      </c>
      <c r="K1756">
        <f>SUMPRODUCT(Calc!$K$3:$K$22*(Calc!$G$3:$G$22&gt;A1756)*(Calc!$G$3:$G$22-A1756)*(Calc!$G$3:$G$22&gt;B1756)*(Calc!$G$3:$G$22-B1756))</f>
        <v/>
      </c>
      <c r="L1756">
        <f>SUMPRODUCT(Calc!$K$3:$K$22*(Calc!$G$3:$G$22&gt;A1756)*(Calc!$G$3:$G$22-A1756)*Calc!$G$3:$G$22)</f>
        <v/>
      </c>
      <c r="M1756">
        <f>SUMPRODUCT(Calc!$K$3:$K$22*(Calc!$G$3:$G$22&gt;B1756)*(Calc!$G$3:$G$22-B1756)*Calc!$G$3:$G$22)</f>
        <v/>
      </c>
      <c r="N1756">
        <f>SUMPRODUCT(Calc!$K$3:$K$22*(Calc!$G$3:$G$22&gt;A1756)*(Calc!$G$3:$G$22-A1756)*Calc!$I$3:$I$22)</f>
        <v/>
      </c>
      <c r="O1756">
        <f>SUMPRODUCT(Calc!$K$3:$K$22*(Calc!$G$3:$G$22&gt;B1756)*(Calc!$G$3:$G$22-B1756)*Calc!$I$3:$I$22)</f>
        <v/>
      </c>
      <c r="P1756">
        <f>I1756-G1756^2/k_n</f>
        <v/>
      </c>
      <c r="Q1756">
        <f>J1756-H1756^2/k_n</f>
        <v/>
      </c>
      <c r="R1756">
        <f>K1756-G1756*H1756/k_n</f>
        <v/>
      </c>
      <c r="S1756">
        <f>L1756-LTP3!$D$3*G1756/k_n</f>
        <v/>
      </c>
      <c r="T1756">
        <f>M1756-LTP3!$D$3*H1756/k_n</f>
        <v/>
      </c>
      <c r="U1756">
        <f>N1756-G1756*LTP3!$D$4/k_n</f>
        <v/>
      </c>
      <c r="V1756">
        <f>O1756-H1756*LTP3!$D$4/k_n</f>
        <v/>
      </c>
      <c r="W1756">
        <f>((LTP3!$D$5)*((P1756)*(Q1756)-(R1756)*(R1756))-(S1756)*((S1756)*(Q1756)-(R1756)*(T1756))+(T1756)*((S1756)*(R1756)-(P1756)*(T1756)))</f>
        <v/>
      </c>
      <c r="X1756">
        <f>IF(ABS(W1756)&gt;1E-12,((LTP3!$D$6)*((P1756)*(Q1756)-(R1756)*(R1756))-(S1756)*((U1756)*(Q1756)-(R1756)*(V1756))+(T1756)*((U1756)*(R1756)-(P1756)*(V1756)))/W1756,0)</f>
        <v/>
      </c>
      <c r="Y1756">
        <f>IF(ABS(W1756)&gt;1E-12,((LTP3!$D$5)*((U1756)*(Q1756)-(R1756)*(V1756))-(LTP3!$D$6)*((S1756)*(Q1756)-(R1756)*(T1756))+(T1756)*((S1756)*(V1756)-(U1756)*(T1756)))/W1756,0)</f>
        <v/>
      </c>
      <c r="Z1756">
        <f>IF(ABS(W1756)&gt;1E-12,((LTP3!$D$5)*((P1756)*(V1756)-(U1756)*(R1756))-(S1756)*((S1756)*(V1756)-(U1756)*(T1756))+(LTP3!$D$6)*((S1756)*(R1756)-(P1756)*(T1756)))/W1756,0)</f>
        <v/>
      </c>
      <c r="AA1756">
        <f>LTP3!$D$7-X1756*LTP3!$D$6-Y1756*U1756-Z1756*V1756</f>
        <v/>
      </c>
      <c r="AB1756">
        <f>IF(AND(F1756,ABS(W1756)&gt;1E-12,Y1756&gt;0,Z1756&gt;0),AA1756,1E+300)</f>
        <v/>
      </c>
    </row>
    <row r="1757">
      <c r="A1757">
        <f>$B$3+$B$5*28</f>
        <v/>
      </c>
      <c r="B1757">
        <f>$B$3+$B$5*37</f>
        <v/>
      </c>
      <c r="C1757">
        <f>SUMPRODUCT(Calc!$K$3:$K$22*(Calc!$G$3:$G$22&lt;=A1757))</f>
        <v/>
      </c>
      <c r="D1757">
        <f>SUMPRODUCT(Calc!$K$3:$K$22*(Calc!$G$3:$G$22&gt;A1757)*(Calc!$G$3:$G$22&lt;B1757))</f>
        <v/>
      </c>
      <c r="E1757">
        <f>SUMPRODUCT(Calc!$K$3:$K$22*(Calc!$G$3:$G$22&gt;=B1757))</f>
        <v/>
      </c>
      <c r="F1757">
        <f>AND(k_n&gt;=5,B1757&gt;A1757+1E-9,C1757&gt;=2,D1757&gt;=1,E1757&gt;=2)</f>
        <v/>
      </c>
      <c r="G1757">
        <f>SUMPRODUCT(Calc!$K$3:$K$22*(Calc!$G$3:$G$22&gt;A1757)*(Calc!$G$3:$G$22-A1757))</f>
        <v/>
      </c>
      <c r="H1757">
        <f>SUMPRODUCT(Calc!$K$3:$K$22*(Calc!$G$3:$G$22&gt;B1757)*(Calc!$G$3:$G$22-B1757))</f>
        <v/>
      </c>
      <c r="I1757">
        <f>SUMPRODUCT(Calc!$K$3:$K$22*(Calc!$G$3:$G$22&gt;A1757)*(Calc!$G$3:$G$22-A1757)^2)</f>
        <v/>
      </c>
      <c r="J1757">
        <f>SUMPRODUCT(Calc!$K$3:$K$22*(Calc!$G$3:$G$22&gt;B1757)*(Calc!$G$3:$G$22-B1757)^2)</f>
        <v/>
      </c>
      <c r="K1757">
        <f>SUMPRODUCT(Calc!$K$3:$K$22*(Calc!$G$3:$G$22&gt;A1757)*(Calc!$G$3:$G$22-A1757)*(Calc!$G$3:$G$22&gt;B1757)*(Calc!$G$3:$G$22-B1757))</f>
        <v/>
      </c>
      <c r="L1757">
        <f>SUMPRODUCT(Calc!$K$3:$K$22*(Calc!$G$3:$G$22&gt;A1757)*(Calc!$G$3:$G$22-A1757)*Calc!$G$3:$G$22)</f>
        <v/>
      </c>
      <c r="M1757">
        <f>SUMPRODUCT(Calc!$K$3:$K$22*(Calc!$G$3:$G$22&gt;B1757)*(Calc!$G$3:$G$22-B1757)*Calc!$G$3:$G$22)</f>
        <v/>
      </c>
      <c r="N1757">
        <f>SUMPRODUCT(Calc!$K$3:$K$22*(Calc!$G$3:$G$22&gt;A1757)*(Calc!$G$3:$G$22-A1757)*Calc!$I$3:$I$22)</f>
        <v/>
      </c>
      <c r="O1757">
        <f>SUMPRODUCT(Calc!$K$3:$K$22*(Calc!$G$3:$G$22&gt;B1757)*(Calc!$G$3:$G$22-B1757)*Calc!$I$3:$I$22)</f>
        <v/>
      </c>
      <c r="P1757">
        <f>I1757-G1757^2/k_n</f>
        <v/>
      </c>
      <c r="Q1757">
        <f>J1757-H1757^2/k_n</f>
        <v/>
      </c>
      <c r="R1757">
        <f>K1757-G1757*H1757/k_n</f>
        <v/>
      </c>
      <c r="S1757">
        <f>L1757-LTP3!$D$3*G1757/k_n</f>
        <v/>
      </c>
      <c r="T1757">
        <f>M1757-LTP3!$D$3*H1757/k_n</f>
        <v/>
      </c>
      <c r="U1757">
        <f>N1757-G1757*LTP3!$D$4/k_n</f>
        <v/>
      </c>
      <c r="V1757">
        <f>O1757-H1757*LTP3!$D$4/k_n</f>
        <v/>
      </c>
      <c r="W1757">
        <f>((LTP3!$D$5)*((P1757)*(Q1757)-(R1757)*(R1757))-(S1757)*((S1757)*(Q1757)-(R1757)*(T1757))+(T1757)*((S1757)*(R1757)-(P1757)*(T1757)))</f>
        <v/>
      </c>
      <c r="X1757">
        <f>IF(ABS(W1757)&gt;1E-12,((LTP3!$D$6)*((P1757)*(Q1757)-(R1757)*(R1757))-(S1757)*((U1757)*(Q1757)-(R1757)*(V1757))+(T1757)*((U1757)*(R1757)-(P1757)*(V1757)))/W1757,0)</f>
        <v/>
      </c>
      <c r="Y1757">
        <f>IF(ABS(W1757)&gt;1E-12,((LTP3!$D$5)*((U1757)*(Q1757)-(R1757)*(V1757))-(LTP3!$D$6)*((S1757)*(Q1757)-(R1757)*(T1757))+(T1757)*((S1757)*(V1757)-(U1757)*(T1757)))/W1757,0)</f>
        <v/>
      </c>
      <c r="Z1757">
        <f>IF(ABS(W1757)&gt;1E-12,((LTP3!$D$5)*((P1757)*(V1757)-(U1757)*(R1757))-(S1757)*((S1757)*(V1757)-(U1757)*(T1757))+(LTP3!$D$6)*((S1757)*(R1757)-(P1757)*(T1757)))/W1757,0)</f>
        <v/>
      </c>
      <c r="AA1757">
        <f>LTP3!$D$7-X1757*LTP3!$D$6-Y1757*U1757-Z1757*V1757</f>
        <v/>
      </c>
      <c r="AB1757">
        <f>IF(AND(F1757,ABS(W1757)&gt;1E-12,Y1757&gt;0,Z1757&gt;0),AA1757,1E+300)</f>
        <v/>
      </c>
    </row>
    <row r="1758">
      <c r="A1758">
        <f>$B$3+$B$5*28</f>
        <v/>
      </c>
      <c r="B1758">
        <f>$B$3+$B$5*38</f>
        <v/>
      </c>
      <c r="C1758">
        <f>SUMPRODUCT(Calc!$K$3:$K$22*(Calc!$G$3:$G$22&lt;=A1758))</f>
        <v/>
      </c>
      <c r="D1758">
        <f>SUMPRODUCT(Calc!$K$3:$K$22*(Calc!$G$3:$G$22&gt;A1758)*(Calc!$G$3:$G$22&lt;B1758))</f>
        <v/>
      </c>
      <c r="E1758">
        <f>SUMPRODUCT(Calc!$K$3:$K$22*(Calc!$G$3:$G$22&gt;=B1758))</f>
        <v/>
      </c>
      <c r="F1758">
        <f>AND(k_n&gt;=5,B1758&gt;A1758+1E-9,C1758&gt;=2,D1758&gt;=1,E1758&gt;=2)</f>
        <v/>
      </c>
      <c r="G1758">
        <f>SUMPRODUCT(Calc!$K$3:$K$22*(Calc!$G$3:$G$22&gt;A1758)*(Calc!$G$3:$G$22-A1758))</f>
        <v/>
      </c>
      <c r="H1758">
        <f>SUMPRODUCT(Calc!$K$3:$K$22*(Calc!$G$3:$G$22&gt;B1758)*(Calc!$G$3:$G$22-B1758))</f>
        <v/>
      </c>
      <c r="I1758">
        <f>SUMPRODUCT(Calc!$K$3:$K$22*(Calc!$G$3:$G$22&gt;A1758)*(Calc!$G$3:$G$22-A1758)^2)</f>
        <v/>
      </c>
      <c r="J1758">
        <f>SUMPRODUCT(Calc!$K$3:$K$22*(Calc!$G$3:$G$22&gt;B1758)*(Calc!$G$3:$G$22-B1758)^2)</f>
        <v/>
      </c>
      <c r="K1758">
        <f>SUMPRODUCT(Calc!$K$3:$K$22*(Calc!$G$3:$G$22&gt;A1758)*(Calc!$G$3:$G$22-A1758)*(Calc!$G$3:$G$22&gt;B1758)*(Calc!$G$3:$G$22-B1758))</f>
        <v/>
      </c>
      <c r="L1758">
        <f>SUMPRODUCT(Calc!$K$3:$K$22*(Calc!$G$3:$G$22&gt;A1758)*(Calc!$G$3:$G$22-A1758)*Calc!$G$3:$G$22)</f>
        <v/>
      </c>
      <c r="M1758">
        <f>SUMPRODUCT(Calc!$K$3:$K$22*(Calc!$G$3:$G$22&gt;B1758)*(Calc!$G$3:$G$22-B1758)*Calc!$G$3:$G$22)</f>
        <v/>
      </c>
      <c r="N1758">
        <f>SUMPRODUCT(Calc!$K$3:$K$22*(Calc!$G$3:$G$22&gt;A1758)*(Calc!$G$3:$G$22-A1758)*Calc!$I$3:$I$22)</f>
        <v/>
      </c>
      <c r="O1758">
        <f>SUMPRODUCT(Calc!$K$3:$K$22*(Calc!$G$3:$G$22&gt;B1758)*(Calc!$G$3:$G$22-B1758)*Calc!$I$3:$I$22)</f>
        <v/>
      </c>
      <c r="P1758">
        <f>I1758-G1758^2/k_n</f>
        <v/>
      </c>
      <c r="Q1758">
        <f>J1758-H1758^2/k_n</f>
        <v/>
      </c>
      <c r="R1758">
        <f>K1758-G1758*H1758/k_n</f>
        <v/>
      </c>
      <c r="S1758">
        <f>L1758-LTP3!$D$3*G1758/k_n</f>
        <v/>
      </c>
      <c r="T1758">
        <f>M1758-LTP3!$D$3*H1758/k_n</f>
        <v/>
      </c>
      <c r="U1758">
        <f>N1758-G1758*LTP3!$D$4/k_n</f>
        <v/>
      </c>
      <c r="V1758">
        <f>O1758-H1758*LTP3!$D$4/k_n</f>
        <v/>
      </c>
      <c r="W1758">
        <f>((LTP3!$D$5)*((P1758)*(Q1758)-(R1758)*(R1758))-(S1758)*((S1758)*(Q1758)-(R1758)*(T1758))+(T1758)*((S1758)*(R1758)-(P1758)*(T1758)))</f>
        <v/>
      </c>
      <c r="X1758">
        <f>IF(ABS(W1758)&gt;1E-12,((LTP3!$D$6)*((P1758)*(Q1758)-(R1758)*(R1758))-(S1758)*((U1758)*(Q1758)-(R1758)*(V1758))+(T1758)*((U1758)*(R1758)-(P1758)*(V1758)))/W1758,0)</f>
        <v/>
      </c>
      <c r="Y1758">
        <f>IF(ABS(W1758)&gt;1E-12,((LTP3!$D$5)*((U1758)*(Q1758)-(R1758)*(V1758))-(LTP3!$D$6)*((S1758)*(Q1758)-(R1758)*(T1758))+(T1758)*((S1758)*(V1758)-(U1758)*(T1758)))/W1758,0)</f>
        <v/>
      </c>
      <c r="Z1758">
        <f>IF(ABS(W1758)&gt;1E-12,((LTP3!$D$5)*((P1758)*(V1758)-(U1758)*(R1758))-(S1758)*((S1758)*(V1758)-(U1758)*(T1758))+(LTP3!$D$6)*((S1758)*(R1758)-(P1758)*(T1758)))/W1758,0)</f>
        <v/>
      </c>
      <c r="AA1758">
        <f>LTP3!$D$7-X1758*LTP3!$D$6-Y1758*U1758-Z1758*V1758</f>
        <v/>
      </c>
      <c r="AB1758">
        <f>IF(AND(F1758,ABS(W1758)&gt;1E-12,Y1758&gt;0,Z1758&gt;0),AA1758,1E+300)</f>
        <v/>
      </c>
    </row>
    <row r="1759">
      <c r="A1759">
        <f>$B$3+$B$5*28</f>
        <v/>
      </c>
      <c r="B1759">
        <f>$B$3+$B$5*39</f>
        <v/>
      </c>
      <c r="C1759">
        <f>SUMPRODUCT(Calc!$K$3:$K$22*(Calc!$G$3:$G$22&lt;=A1759))</f>
        <v/>
      </c>
      <c r="D1759">
        <f>SUMPRODUCT(Calc!$K$3:$K$22*(Calc!$G$3:$G$22&gt;A1759)*(Calc!$G$3:$G$22&lt;B1759))</f>
        <v/>
      </c>
      <c r="E1759">
        <f>SUMPRODUCT(Calc!$K$3:$K$22*(Calc!$G$3:$G$22&gt;=B1759))</f>
        <v/>
      </c>
      <c r="F1759">
        <f>AND(k_n&gt;=5,B1759&gt;A1759+1E-9,C1759&gt;=2,D1759&gt;=1,E1759&gt;=2)</f>
        <v/>
      </c>
      <c r="G1759">
        <f>SUMPRODUCT(Calc!$K$3:$K$22*(Calc!$G$3:$G$22&gt;A1759)*(Calc!$G$3:$G$22-A1759))</f>
        <v/>
      </c>
      <c r="H1759">
        <f>SUMPRODUCT(Calc!$K$3:$K$22*(Calc!$G$3:$G$22&gt;B1759)*(Calc!$G$3:$G$22-B1759))</f>
        <v/>
      </c>
      <c r="I1759">
        <f>SUMPRODUCT(Calc!$K$3:$K$22*(Calc!$G$3:$G$22&gt;A1759)*(Calc!$G$3:$G$22-A1759)^2)</f>
        <v/>
      </c>
      <c r="J1759">
        <f>SUMPRODUCT(Calc!$K$3:$K$22*(Calc!$G$3:$G$22&gt;B1759)*(Calc!$G$3:$G$22-B1759)^2)</f>
        <v/>
      </c>
      <c r="K1759">
        <f>SUMPRODUCT(Calc!$K$3:$K$22*(Calc!$G$3:$G$22&gt;A1759)*(Calc!$G$3:$G$22-A1759)*(Calc!$G$3:$G$22&gt;B1759)*(Calc!$G$3:$G$22-B1759))</f>
        <v/>
      </c>
      <c r="L1759">
        <f>SUMPRODUCT(Calc!$K$3:$K$22*(Calc!$G$3:$G$22&gt;A1759)*(Calc!$G$3:$G$22-A1759)*Calc!$G$3:$G$22)</f>
        <v/>
      </c>
      <c r="M1759">
        <f>SUMPRODUCT(Calc!$K$3:$K$22*(Calc!$G$3:$G$22&gt;B1759)*(Calc!$G$3:$G$22-B1759)*Calc!$G$3:$G$22)</f>
        <v/>
      </c>
      <c r="N1759">
        <f>SUMPRODUCT(Calc!$K$3:$K$22*(Calc!$G$3:$G$22&gt;A1759)*(Calc!$G$3:$G$22-A1759)*Calc!$I$3:$I$22)</f>
        <v/>
      </c>
      <c r="O1759">
        <f>SUMPRODUCT(Calc!$K$3:$K$22*(Calc!$G$3:$G$22&gt;B1759)*(Calc!$G$3:$G$22-B1759)*Calc!$I$3:$I$22)</f>
        <v/>
      </c>
      <c r="P1759">
        <f>I1759-G1759^2/k_n</f>
        <v/>
      </c>
      <c r="Q1759">
        <f>J1759-H1759^2/k_n</f>
        <v/>
      </c>
      <c r="R1759">
        <f>K1759-G1759*H1759/k_n</f>
        <v/>
      </c>
      <c r="S1759">
        <f>L1759-LTP3!$D$3*G1759/k_n</f>
        <v/>
      </c>
      <c r="T1759">
        <f>M1759-LTP3!$D$3*H1759/k_n</f>
        <v/>
      </c>
      <c r="U1759">
        <f>N1759-G1759*LTP3!$D$4/k_n</f>
        <v/>
      </c>
      <c r="V1759">
        <f>O1759-H1759*LTP3!$D$4/k_n</f>
        <v/>
      </c>
      <c r="W1759">
        <f>((LTP3!$D$5)*((P1759)*(Q1759)-(R1759)*(R1759))-(S1759)*((S1759)*(Q1759)-(R1759)*(T1759))+(T1759)*((S1759)*(R1759)-(P1759)*(T1759)))</f>
        <v/>
      </c>
      <c r="X1759">
        <f>IF(ABS(W1759)&gt;1E-12,((LTP3!$D$6)*((P1759)*(Q1759)-(R1759)*(R1759))-(S1759)*((U1759)*(Q1759)-(R1759)*(V1759))+(T1759)*((U1759)*(R1759)-(P1759)*(V1759)))/W1759,0)</f>
        <v/>
      </c>
      <c r="Y1759">
        <f>IF(ABS(W1759)&gt;1E-12,((LTP3!$D$5)*((U1759)*(Q1759)-(R1759)*(V1759))-(LTP3!$D$6)*((S1759)*(Q1759)-(R1759)*(T1759))+(T1759)*((S1759)*(V1759)-(U1759)*(T1759)))/W1759,0)</f>
        <v/>
      </c>
      <c r="Z1759">
        <f>IF(ABS(W1759)&gt;1E-12,((LTP3!$D$5)*((P1759)*(V1759)-(U1759)*(R1759))-(S1759)*((S1759)*(V1759)-(U1759)*(T1759))+(LTP3!$D$6)*((S1759)*(R1759)-(P1759)*(T1759)))/W1759,0)</f>
        <v/>
      </c>
      <c r="AA1759">
        <f>LTP3!$D$7-X1759*LTP3!$D$6-Y1759*U1759-Z1759*V1759</f>
        <v/>
      </c>
      <c r="AB1759">
        <f>IF(AND(F1759,ABS(W1759)&gt;1E-12,Y1759&gt;0,Z1759&gt;0),AA1759,1E+300)</f>
        <v/>
      </c>
    </row>
    <row r="1760">
      <c r="A1760">
        <f>$B$3+$B$5*28</f>
        <v/>
      </c>
      <c r="B1760">
        <f>$B$3+$B$5*40</f>
        <v/>
      </c>
      <c r="C1760">
        <f>SUMPRODUCT(Calc!$K$3:$K$22*(Calc!$G$3:$G$22&lt;=A1760))</f>
        <v/>
      </c>
      <c r="D1760">
        <f>SUMPRODUCT(Calc!$K$3:$K$22*(Calc!$G$3:$G$22&gt;A1760)*(Calc!$G$3:$G$22&lt;B1760))</f>
        <v/>
      </c>
      <c r="E1760">
        <f>SUMPRODUCT(Calc!$K$3:$K$22*(Calc!$G$3:$G$22&gt;=B1760))</f>
        <v/>
      </c>
      <c r="F1760">
        <f>AND(k_n&gt;=5,B1760&gt;A1760+1E-9,C1760&gt;=2,D1760&gt;=1,E1760&gt;=2)</f>
        <v/>
      </c>
      <c r="G1760">
        <f>SUMPRODUCT(Calc!$K$3:$K$22*(Calc!$G$3:$G$22&gt;A1760)*(Calc!$G$3:$G$22-A1760))</f>
        <v/>
      </c>
      <c r="H1760">
        <f>SUMPRODUCT(Calc!$K$3:$K$22*(Calc!$G$3:$G$22&gt;B1760)*(Calc!$G$3:$G$22-B1760))</f>
        <v/>
      </c>
      <c r="I1760">
        <f>SUMPRODUCT(Calc!$K$3:$K$22*(Calc!$G$3:$G$22&gt;A1760)*(Calc!$G$3:$G$22-A1760)^2)</f>
        <v/>
      </c>
      <c r="J1760">
        <f>SUMPRODUCT(Calc!$K$3:$K$22*(Calc!$G$3:$G$22&gt;B1760)*(Calc!$G$3:$G$22-B1760)^2)</f>
        <v/>
      </c>
      <c r="K1760">
        <f>SUMPRODUCT(Calc!$K$3:$K$22*(Calc!$G$3:$G$22&gt;A1760)*(Calc!$G$3:$G$22-A1760)*(Calc!$G$3:$G$22&gt;B1760)*(Calc!$G$3:$G$22-B1760))</f>
        <v/>
      </c>
      <c r="L1760">
        <f>SUMPRODUCT(Calc!$K$3:$K$22*(Calc!$G$3:$G$22&gt;A1760)*(Calc!$G$3:$G$22-A1760)*Calc!$G$3:$G$22)</f>
        <v/>
      </c>
      <c r="M1760">
        <f>SUMPRODUCT(Calc!$K$3:$K$22*(Calc!$G$3:$G$22&gt;B1760)*(Calc!$G$3:$G$22-B1760)*Calc!$G$3:$G$22)</f>
        <v/>
      </c>
      <c r="N1760">
        <f>SUMPRODUCT(Calc!$K$3:$K$22*(Calc!$G$3:$G$22&gt;A1760)*(Calc!$G$3:$G$22-A1760)*Calc!$I$3:$I$22)</f>
        <v/>
      </c>
      <c r="O1760">
        <f>SUMPRODUCT(Calc!$K$3:$K$22*(Calc!$G$3:$G$22&gt;B1760)*(Calc!$G$3:$G$22-B1760)*Calc!$I$3:$I$22)</f>
        <v/>
      </c>
      <c r="P1760">
        <f>I1760-G1760^2/k_n</f>
        <v/>
      </c>
      <c r="Q1760">
        <f>J1760-H1760^2/k_n</f>
        <v/>
      </c>
      <c r="R1760">
        <f>K1760-G1760*H1760/k_n</f>
        <v/>
      </c>
      <c r="S1760">
        <f>L1760-LTP3!$D$3*G1760/k_n</f>
        <v/>
      </c>
      <c r="T1760">
        <f>M1760-LTP3!$D$3*H1760/k_n</f>
        <v/>
      </c>
      <c r="U1760">
        <f>N1760-G1760*LTP3!$D$4/k_n</f>
        <v/>
      </c>
      <c r="V1760">
        <f>O1760-H1760*LTP3!$D$4/k_n</f>
        <v/>
      </c>
      <c r="W1760">
        <f>((LTP3!$D$5)*((P1760)*(Q1760)-(R1760)*(R1760))-(S1760)*((S1760)*(Q1760)-(R1760)*(T1760))+(T1760)*((S1760)*(R1760)-(P1760)*(T1760)))</f>
        <v/>
      </c>
      <c r="X1760">
        <f>IF(ABS(W1760)&gt;1E-12,((LTP3!$D$6)*((P1760)*(Q1760)-(R1760)*(R1760))-(S1760)*((U1760)*(Q1760)-(R1760)*(V1760))+(T1760)*((U1760)*(R1760)-(P1760)*(V1760)))/W1760,0)</f>
        <v/>
      </c>
      <c r="Y1760">
        <f>IF(ABS(W1760)&gt;1E-12,((LTP3!$D$5)*((U1760)*(Q1760)-(R1760)*(V1760))-(LTP3!$D$6)*((S1760)*(Q1760)-(R1760)*(T1760))+(T1760)*((S1760)*(V1760)-(U1760)*(T1760)))/W1760,0)</f>
        <v/>
      </c>
      <c r="Z1760">
        <f>IF(ABS(W1760)&gt;1E-12,((LTP3!$D$5)*((P1760)*(V1760)-(U1760)*(R1760))-(S1760)*((S1760)*(V1760)-(U1760)*(T1760))+(LTP3!$D$6)*((S1760)*(R1760)-(P1760)*(T1760)))/W1760,0)</f>
        <v/>
      </c>
      <c r="AA1760">
        <f>LTP3!$D$7-X1760*LTP3!$D$6-Y1760*U1760-Z1760*V1760</f>
        <v/>
      </c>
      <c r="AB1760">
        <f>IF(AND(F1760,ABS(W1760)&gt;1E-12,Y1760&gt;0,Z1760&gt;0),AA1760,1E+300)</f>
        <v/>
      </c>
    </row>
    <row r="1761">
      <c r="A1761">
        <f>$B$3+$B$5*28</f>
        <v/>
      </c>
      <c r="B1761">
        <f>$B$3+$B$5*41</f>
        <v/>
      </c>
      <c r="C1761">
        <f>SUMPRODUCT(Calc!$K$3:$K$22*(Calc!$G$3:$G$22&lt;=A1761))</f>
        <v/>
      </c>
      <c r="D1761">
        <f>SUMPRODUCT(Calc!$K$3:$K$22*(Calc!$G$3:$G$22&gt;A1761)*(Calc!$G$3:$G$22&lt;B1761))</f>
        <v/>
      </c>
      <c r="E1761">
        <f>SUMPRODUCT(Calc!$K$3:$K$22*(Calc!$G$3:$G$22&gt;=B1761))</f>
        <v/>
      </c>
      <c r="F1761">
        <f>AND(k_n&gt;=5,B1761&gt;A1761+1E-9,C1761&gt;=2,D1761&gt;=1,E1761&gt;=2)</f>
        <v/>
      </c>
      <c r="G1761">
        <f>SUMPRODUCT(Calc!$K$3:$K$22*(Calc!$G$3:$G$22&gt;A1761)*(Calc!$G$3:$G$22-A1761))</f>
        <v/>
      </c>
      <c r="H1761">
        <f>SUMPRODUCT(Calc!$K$3:$K$22*(Calc!$G$3:$G$22&gt;B1761)*(Calc!$G$3:$G$22-B1761))</f>
        <v/>
      </c>
      <c r="I1761">
        <f>SUMPRODUCT(Calc!$K$3:$K$22*(Calc!$G$3:$G$22&gt;A1761)*(Calc!$G$3:$G$22-A1761)^2)</f>
        <v/>
      </c>
      <c r="J1761">
        <f>SUMPRODUCT(Calc!$K$3:$K$22*(Calc!$G$3:$G$22&gt;B1761)*(Calc!$G$3:$G$22-B1761)^2)</f>
        <v/>
      </c>
      <c r="K1761">
        <f>SUMPRODUCT(Calc!$K$3:$K$22*(Calc!$G$3:$G$22&gt;A1761)*(Calc!$G$3:$G$22-A1761)*(Calc!$G$3:$G$22&gt;B1761)*(Calc!$G$3:$G$22-B1761))</f>
        <v/>
      </c>
      <c r="L1761">
        <f>SUMPRODUCT(Calc!$K$3:$K$22*(Calc!$G$3:$G$22&gt;A1761)*(Calc!$G$3:$G$22-A1761)*Calc!$G$3:$G$22)</f>
        <v/>
      </c>
      <c r="M1761">
        <f>SUMPRODUCT(Calc!$K$3:$K$22*(Calc!$G$3:$G$22&gt;B1761)*(Calc!$G$3:$G$22-B1761)*Calc!$G$3:$G$22)</f>
        <v/>
      </c>
      <c r="N1761">
        <f>SUMPRODUCT(Calc!$K$3:$K$22*(Calc!$G$3:$G$22&gt;A1761)*(Calc!$G$3:$G$22-A1761)*Calc!$I$3:$I$22)</f>
        <v/>
      </c>
      <c r="O1761">
        <f>SUMPRODUCT(Calc!$K$3:$K$22*(Calc!$G$3:$G$22&gt;B1761)*(Calc!$G$3:$G$22-B1761)*Calc!$I$3:$I$22)</f>
        <v/>
      </c>
      <c r="P1761">
        <f>I1761-G1761^2/k_n</f>
        <v/>
      </c>
      <c r="Q1761">
        <f>J1761-H1761^2/k_n</f>
        <v/>
      </c>
      <c r="R1761">
        <f>K1761-G1761*H1761/k_n</f>
        <v/>
      </c>
      <c r="S1761">
        <f>L1761-LTP3!$D$3*G1761/k_n</f>
        <v/>
      </c>
      <c r="T1761">
        <f>M1761-LTP3!$D$3*H1761/k_n</f>
        <v/>
      </c>
      <c r="U1761">
        <f>N1761-G1761*LTP3!$D$4/k_n</f>
        <v/>
      </c>
      <c r="V1761">
        <f>O1761-H1761*LTP3!$D$4/k_n</f>
        <v/>
      </c>
      <c r="W1761">
        <f>((LTP3!$D$5)*((P1761)*(Q1761)-(R1761)*(R1761))-(S1761)*((S1761)*(Q1761)-(R1761)*(T1761))+(T1761)*((S1761)*(R1761)-(P1761)*(T1761)))</f>
        <v/>
      </c>
      <c r="X1761">
        <f>IF(ABS(W1761)&gt;1E-12,((LTP3!$D$6)*((P1761)*(Q1761)-(R1761)*(R1761))-(S1761)*((U1761)*(Q1761)-(R1761)*(V1761))+(T1761)*((U1761)*(R1761)-(P1761)*(V1761)))/W1761,0)</f>
        <v/>
      </c>
      <c r="Y1761">
        <f>IF(ABS(W1761)&gt;1E-12,((LTP3!$D$5)*((U1761)*(Q1761)-(R1761)*(V1761))-(LTP3!$D$6)*((S1761)*(Q1761)-(R1761)*(T1761))+(T1761)*((S1761)*(V1761)-(U1761)*(T1761)))/W1761,0)</f>
        <v/>
      </c>
      <c r="Z1761">
        <f>IF(ABS(W1761)&gt;1E-12,((LTP3!$D$5)*((P1761)*(V1761)-(U1761)*(R1761))-(S1761)*((S1761)*(V1761)-(U1761)*(T1761))+(LTP3!$D$6)*((S1761)*(R1761)-(P1761)*(T1761)))/W1761,0)</f>
        <v/>
      </c>
      <c r="AA1761">
        <f>LTP3!$D$7-X1761*LTP3!$D$6-Y1761*U1761-Z1761*V1761</f>
        <v/>
      </c>
      <c r="AB1761">
        <f>IF(AND(F1761,ABS(W1761)&gt;1E-12,Y1761&gt;0,Z1761&gt;0),AA1761,1E+300)</f>
        <v/>
      </c>
    </row>
    <row r="1762">
      <c r="A1762">
        <f>$B$3+$B$5*28</f>
        <v/>
      </c>
      <c r="B1762">
        <f>$B$3+$B$5*42</f>
        <v/>
      </c>
      <c r="C1762">
        <f>SUMPRODUCT(Calc!$K$3:$K$22*(Calc!$G$3:$G$22&lt;=A1762))</f>
        <v/>
      </c>
      <c r="D1762">
        <f>SUMPRODUCT(Calc!$K$3:$K$22*(Calc!$G$3:$G$22&gt;A1762)*(Calc!$G$3:$G$22&lt;B1762))</f>
        <v/>
      </c>
      <c r="E1762">
        <f>SUMPRODUCT(Calc!$K$3:$K$22*(Calc!$G$3:$G$22&gt;=B1762))</f>
        <v/>
      </c>
      <c r="F1762">
        <f>AND(k_n&gt;=5,B1762&gt;A1762+1E-9,C1762&gt;=2,D1762&gt;=1,E1762&gt;=2)</f>
        <v/>
      </c>
      <c r="G1762">
        <f>SUMPRODUCT(Calc!$K$3:$K$22*(Calc!$G$3:$G$22&gt;A1762)*(Calc!$G$3:$G$22-A1762))</f>
        <v/>
      </c>
      <c r="H1762">
        <f>SUMPRODUCT(Calc!$K$3:$K$22*(Calc!$G$3:$G$22&gt;B1762)*(Calc!$G$3:$G$22-B1762))</f>
        <v/>
      </c>
      <c r="I1762">
        <f>SUMPRODUCT(Calc!$K$3:$K$22*(Calc!$G$3:$G$22&gt;A1762)*(Calc!$G$3:$G$22-A1762)^2)</f>
        <v/>
      </c>
      <c r="J1762">
        <f>SUMPRODUCT(Calc!$K$3:$K$22*(Calc!$G$3:$G$22&gt;B1762)*(Calc!$G$3:$G$22-B1762)^2)</f>
        <v/>
      </c>
      <c r="K1762">
        <f>SUMPRODUCT(Calc!$K$3:$K$22*(Calc!$G$3:$G$22&gt;A1762)*(Calc!$G$3:$G$22-A1762)*(Calc!$G$3:$G$22&gt;B1762)*(Calc!$G$3:$G$22-B1762))</f>
        <v/>
      </c>
      <c r="L1762">
        <f>SUMPRODUCT(Calc!$K$3:$K$22*(Calc!$G$3:$G$22&gt;A1762)*(Calc!$G$3:$G$22-A1762)*Calc!$G$3:$G$22)</f>
        <v/>
      </c>
      <c r="M1762">
        <f>SUMPRODUCT(Calc!$K$3:$K$22*(Calc!$G$3:$G$22&gt;B1762)*(Calc!$G$3:$G$22-B1762)*Calc!$G$3:$G$22)</f>
        <v/>
      </c>
      <c r="N1762">
        <f>SUMPRODUCT(Calc!$K$3:$K$22*(Calc!$G$3:$G$22&gt;A1762)*(Calc!$G$3:$G$22-A1762)*Calc!$I$3:$I$22)</f>
        <v/>
      </c>
      <c r="O1762">
        <f>SUMPRODUCT(Calc!$K$3:$K$22*(Calc!$G$3:$G$22&gt;B1762)*(Calc!$G$3:$G$22-B1762)*Calc!$I$3:$I$22)</f>
        <v/>
      </c>
      <c r="P1762">
        <f>I1762-G1762^2/k_n</f>
        <v/>
      </c>
      <c r="Q1762">
        <f>J1762-H1762^2/k_n</f>
        <v/>
      </c>
      <c r="R1762">
        <f>K1762-G1762*H1762/k_n</f>
        <v/>
      </c>
      <c r="S1762">
        <f>L1762-LTP3!$D$3*G1762/k_n</f>
        <v/>
      </c>
      <c r="T1762">
        <f>M1762-LTP3!$D$3*H1762/k_n</f>
        <v/>
      </c>
      <c r="U1762">
        <f>N1762-G1762*LTP3!$D$4/k_n</f>
        <v/>
      </c>
      <c r="V1762">
        <f>O1762-H1762*LTP3!$D$4/k_n</f>
        <v/>
      </c>
      <c r="W1762">
        <f>((LTP3!$D$5)*((P1762)*(Q1762)-(R1762)*(R1762))-(S1762)*((S1762)*(Q1762)-(R1762)*(T1762))+(T1762)*((S1762)*(R1762)-(P1762)*(T1762)))</f>
        <v/>
      </c>
      <c r="X1762">
        <f>IF(ABS(W1762)&gt;1E-12,((LTP3!$D$6)*((P1762)*(Q1762)-(R1762)*(R1762))-(S1762)*((U1762)*(Q1762)-(R1762)*(V1762))+(T1762)*((U1762)*(R1762)-(P1762)*(V1762)))/W1762,0)</f>
        <v/>
      </c>
      <c r="Y1762">
        <f>IF(ABS(W1762)&gt;1E-12,((LTP3!$D$5)*((U1762)*(Q1762)-(R1762)*(V1762))-(LTP3!$D$6)*((S1762)*(Q1762)-(R1762)*(T1762))+(T1762)*((S1762)*(V1762)-(U1762)*(T1762)))/W1762,0)</f>
        <v/>
      </c>
      <c r="Z1762">
        <f>IF(ABS(W1762)&gt;1E-12,((LTP3!$D$5)*((P1762)*(V1762)-(U1762)*(R1762))-(S1762)*((S1762)*(V1762)-(U1762)*(T1762))+(LTP3!$D$6)*((S1762)*(R1762)-(P1762)*(T1762)))/W1762,0)</f>
        <v/>
      </c>
      <c r="AA1762">
        <f>LTP3!$D$7-X1762*LTP3!$D$6-Y1762*U1762-Z1762*V1762</f>
        <v/>
      </c>
      <c r="AB1762">
        <f>IF(AND(F1762,ABS(W1762)&gt;1E-12,Y1762&gt;0,Z1762&gt;0),AA1762,1E+300)</f>
        <v/>
      </c>
    </row>
    <row r="1763">
      <c r="A1763">
        <f>$B$3+$B$5*28</f>
        <v/>
      </c>
      <c r="B1763">
        <f>$B$3+$B$5*43</f>
        <v/>
      </c>
      <c r="C1763">
        <f>SUMPRODUCT(Calc!$K$3:$K$22*(Calc!$G$3:$G$22&lt;=A1763))</f>
        <v/>
      </c>
      <c r="D1763">
        <f>SUMPRODUCT(Calc!$K$3:$K$22*(Calc!$G$3:$G$22&gt;A1763)*(Calc!$G$3:$G$22&lt;B1763))</f>
        <v/>
      </c>
      <c r="E1763">
        <f>SUMPRODUCT(Calc!$K$3:$K$22*(Calc!$G$3:$G$22&gt;=B1763))</f>
        <v/>
      </c>
      <c r="F1763">
        <f>AND(k_n&gt;=5,B1763&gt;A1763+1E-9,C1763&gt;=2,D1763&gt;=1,E1763&gt;=2)</f>
        <v/>
      </c>
      <c r="G1763">
        <f>SUMPRODUCT(Calc!$K$3:$K$22*(Calc!$G$3:$G$22&gt;A1763)*(Calc!$G$3:$G$22-A1763))</f>
        <v/>
      </c>
      <c r="H1763">
        <f>SUMPRODUCT(Calc!$K$3:$K$22*(Calc!$G$3:$G$22&gt;B1763)*(Calc!$G$3:$G$22-B1763))</f>
        <v/>
      </c>
      <c r="I1763">
        <f>SUMPRODUCT(Calc!$K$3:$K$22*(Calc!$G$3:$G$22&gt;A1763)*(Calc!$G$3:$G$22-A1763)^2)</f>
        <v/>
      </c>
      <c r="J1763">
        <f>SUMPRODUCT(Calc!$K$3:$K$22*(Calc!$G$3:$G$22&gt;B1763)*(Calc!$G$3:$G$22-B1763)^2)</f>
        <v/>
      </c>
      <c r="K1763">
        <f>SUMPRODUCT(Calc!$K$3:$K$22*(Calc!$G$3:$G$22&gt;A1763)*(Calc!$G$3:$G$22-A1763)*(Calc!$G$3:$G$22&gt;B1763)*(Calc!$G$3:$G$22-B1763))</f>
        <v/>
      </c>
      <c r="L1763">
        <f>SUMPRODUCT(Calc!$K$3:$K$22*(Calc!$G$3:$G$22&gt;A1763)*(Calc!$G$3:$G$22-A1763)*Calc!$G$3:$G$22)</f>
        <v/>
      </c>
      <c r="M1763">
        <f>SUMPRODUCT(Calc!$K$3:$K$22*(Calc!$G$3:$G$22&gt;B1763)*(Calc!$G$3:$G$22-B1763)*Calc!$G$3:$G$22)</f>
        <v/>
      </c>
      <c r="N1763">
        <f>SUMPRODUCT(Calc!$K$3:$K$22*(Calc!$G$3:$G$22&gt;A1763)*(Calc!$G$3:$G$22-A1763)*Calc!$I$3:$I$22)</f>
        <v/>
      </c>
      <c r="O1763">
        <f>SUMPRODUCT(Calc!$K$3:$K$22*(Calc!$G$3:$G$22&gt;B1763)*(Calc!$G$3:$G$22-B1763)*Calc!$I$3:$I$22)</f>
        <v/>
      </c>
      <c r="P1763">
        <f>I1763-G1763^2/k_n</f>
        <v/>
      </c>
      <c r="Q1763">
        <f>J1763-H1763^2/k_n</f>
        <v/>
      </c>
      <c r="R1763">
        <f>K1763-G1763*H1763/k_n</f>
        <v/>
      </c>
      <c r="S1763">
        <f>L1763-LTP3!$D$3*G1763/k_n</f>
        <v/>
      </c>
      <c r="T1763">
        <f>M1763-LTP3!$D$3*H1763/k_n</f>
        <v/>
      </c>
      <c r="U1763">
        <f>N1763-G1763*LTP3!$D$4/k_n</f>
        <v/>
      </c>
      <c r="V1763">
        <f>O1763-H1763*LTP3!$D$4/k_n</f>
        <v/>
      </c>
      <c r="W1763">
        <f>((LTP3!$D$5)*((P1763)*(Q1763)-(R1763)*(R1763))-(S1763)*((S1763)*(Q1763)-(R1763)*(T1763))+(T1763)*((S1763)*(R1763)-(P1763)*(T1763)))</f>
        <v/>
      </c>
      <c r="X1763">
        <f>IF(ABS(W1763)&gt;1E-12,((LTP3!$D$6)*((P1763)*(Q1763)-(R1763)*(R1763))-(S1763)*((U1763)*(Q1763)-(R1763)*(V1763))+(T1763)*((U1763)*(R1763)-(P1763)*(V1763)))/W1763,0)</f>
        <v/>
      </c>
      <c r="Y1763">
        <f>IF(ABS(W1763)&gt;1E-12,((LTP3!$D$5)*((U1763)*(Q1763)-(R1763)*(V1763))-(LTP3!$D$6)*((S1763)*(Q1763)-(R1763)*(T1763))+(T1763)*((S1763)*(V1763)-(U1763)*(T1763)))/W1763,0)</f>
        <v/>
      </c>
      <c r="Z1763">
        <f>IF(ABS(W1763)&gt;1E-12,((LTP3!$D$5)*((P1763)*(V1763)-(U1763)*(R1763))-(S1763)*((S1763)*(V1763)-(U1763)*(T1763))+(LTP3!$D$6)*((S1763)*(R1763)-(P1763)*(T1763)))/W1763,0)</f>
        <v/>
      </c>
      <c r="AA1763">
        <f>LTP3!$D$7-X1763*LTP3!$D$6-Y1763*U1763-Z1763*V1763</f>
        <v/>
      </c>
      <c r="AB1763">
        <f>IF(AND(F1763,ABS(W1763)&gt;1E-12,Y1763&gt;0,Z1763&gt;0),AA1763,1E+300)</f>
        <v/>
      </c>
    </row>
    <row r="1764">
      <c r="A1764">
        <f>$B$3+$B$5*28</f>
        <v/>
      </c>
      <c r="B1764">
        <f>$B$3+$B$5*44</f>
        <v/>
      </c>
      <c r="C1764">
        <f>SUMPRODUCT(Calc!$K$3:$K$22*(Calc!$G$3:$G$22&lt;=A1764))</f>
        <v/>
      </c>
      <c r="D1764">
        <f>SUMPRODUCT(Calc!$K$3:$K$22*(Calc!$G$3:$G$22&gt;A1764)*(Calc!$G$3:$G$22&lt;B1764))</f>
        <v/>
      </c>
      <c r="E1764">
        <f>SUMPRODUCT(Calc!$K$3:$K$22*(Calc!$G$3:$G$22&gt;=B1764))</f>
        <v/>
      </c>
      <c r="F1764">
        <f>AND(k_n&gt;=5,B1764&gt;A1764+1E-9,C1764&gt;=2,D1764&gt;=1,E1764&gt;=2)</f>
        <v/>
      </c>
      <c r="G1764">
        <f>SUMPRODUCT(Calc!$K$3:$K$22*(Calc!$G$3:$G$22&gt;A1764)*(Calc!$G$3:$G$22-A1764))</f>
        <v/>
      </c>
      <c r="H1764">
        <f>SUMPRODUCT(Calc!$K$3:$K$22*(Calc!$G$3:$G$22&gt;B1764)*(Calc!$G$3:$G$22-B1764))</f>
        <v/>
      </c>
      <c r="I1764">
        <f>SUMPRODUCT(Calc!$K$3:$K$22*(Calc!$G$3:$G$22&gt;A1764)*(Calc!$G$3:$G$22-A1764)^2)</f>
        <v/>
      </c>
      <c r="J1764">
        <f>SUMPRODUCT(Calc!$K$3:$K$22*(Calc!$G$3:$G$22&gt;B1764)*(Calc!$G$3:$G$22-B1764)^2)</f>
        <v/>
      </c>
      <c r="K1764">
        <f>SUMPRODUCT(Calc!$K$3:$K$22*(Calc!$G$3:$G$22&gt;A1764)*(Calc!$G$3:$G$22-A1764)*(Calc!$G$3:$G$22&gt;B1764)*(Calc!$G$3:$G$22-B1764))</f>
        <v/>
      </c>
      <c r="L1764">
        <f>SUMPRODUCT(Calc!$K$3:$K$22*(Calc!$G$3:$G$22&gt;A1764)*(Calc!$G$3:$G$22-A1764)*Calc!$G$3:$G$22)</f>
        <v/>
      </c>
      <c r="M1764">
        <f>SUMPRODUCT(Calc!$K$3:$K$22*(Calc!$G$3:$G$22&gt;B1764)*(Calc!$G$3:$G$22-B1764)*Calc!$G$3:$G$22)</f>
        <v/>
      </c>
      <c r="N1764">
        <f>SUMPRODUCT(Calc!$K$3:$K$22*(Calc!$G$3:$G$22&gt;A1764)*(Calc!$G$3:$G$22-A1764)*Calc!$I$3:$I$22)</f>
        <v/>
      </c>
      <c r="O1764">
        <f>SUMPRODUCT(Calc!$K$3:$K$22*(Calc!$G$3:$G$22&gt;B1764)*(Calc!$G$3:$G$22-B1764)*Calc!$I$3:$I$22)</f>
        <v/>
      </c>
      <c r="P1764">
        <f>I1764-G1764^2/k_n</f>
        <v/>
      </c>
      <c r="Q1764">
        <f>J1764-H1764^2/k_n</f>
        <v/>
      </c>
      <c r="R1764">
        <f>K1764-G1764*H1764/k_n</f>
        <v/>
      </c>
      <c r="S1764">
        <f>L1764-LTP3!$D$3*G1764/k_n</f>
        <v/>
      </c>
      <c r="T1764">
        <f>M1764-LTP3!$D$3*H1764/k_n</f>
        <v/>
      </c>
      <c r="U1764">
        <f>N1764-G1764*LTP3!$D$4/k_n</f>
        <v/>
      </c>
      <c r="V1764">
        <f>O1764-H1764*LTP3!$D$4/k_n</f>
        <v/>
      </c>
      <c r="W1764">
        <f>((LTP3!$D$5)*((P1764)*(Q1764)-(R1764)*(R1764))-(S1764)*((S1764)*(Q1764)-(R1764)*(T1764))+(T1764)*((S1764)*(R1764)-(P1764)*(T1764)))</f>
        <v/>
      </c>
      <c r="X1764">
        <f>IF(ABS(W1764)&gt;1E-12,((LTP3!$D$6)*((P1764)*(Q1764)-(R1764)*(R1764))-(S1764)*((U1764)*(Q1764)-(R1764)*(V1764))+(T1764)*((U1764)*(R1764)-(P1764)*(V1764)))/W1764,0)</f>
        <v/>
      </c>
      <c r="Y1764">
        <f>IF(ABS(W1764)&gt;1E-12,((LTP3!$D$5)*((U1764)*(Q1764)-(R1764)*(V1764))-(LTP3!$D$6)*((S1764)*(Q1764)-(R1764)*(T1764))+(T1764)*((S1764)*(V1764)-(U1764)*(T1764)))/W1764,0)</f>
        <v/>
      </c>
      <c r="Z1764">
        <f>IF(ABS(W1764)&gt;1E-12,((LTP3!$D$5)*((P1764)*(V1764)-(U1764)*(R1764))-(S1764)*((S1764)*(V1764)-(U1764)*(T1764))+(LTP3!$D$6)*((S1764)*(R1764)-(P1764)*(T1764)))/W1764,0)</f>
        <v/>
      </c>
      <c r="AA1764">
        <f>LTP3!$D$7-X1764*LTP3!$D$6-Y1764*U1764-Z1764*V1764</f>
        <v/>
      </c>
      <c r="AB1764">
        <f>IF(AND(F1764,ABS(W1764)&gt;1E-12,Y1764&gt;0,Z1764&gt;0),AA1764,1E+300)</f>
        <v/>
      </c>
    </row>
    <row r="1765">
      <c r="A1765">
        <f>$B$3+$B$5*28</f>
        <v/>
      </c>
      <c r="B1765">
        <f>$B$3+$B$5*45</f>
        <v/>
      </c>
      <c r="C1765">
        <f>SUMPRODUCT(Calc!$K$3:$K$22*(Calc!$G$3:$G$22&lt;=A1765))</f>
        <v/>
      </c>
      <c r="D1765">
        <f>SUMPRODUCT(Calc!$K$3:$K$22*(Calc!$G$3:$G$22&gt;A1765)*(Calc!$G$3:$G$22&lt;B1765))</f>
        <v/>
      </c>
      <c r="E1765">
        <f>SUMPRODUCT(Calc!$K$3:$K$22*(Calc!$G$3:$G$22&gt;=B1765))</f>
        <v/>
      </c>
      <c r="F1765">
        <f>AND(k_n&gt;=5,B1765&gt;A1765+1E-9,C1765&gt;=2,D1765&gt;=1,E1765&gt;=2)</f>
        <v/>
      </c>
      <c r="G1765">
        <f>SUMPRODUCT(Calc!$K$3:$K$22*(Calc!$G$3:$G$22&gt;A1765)*(Calc!$G$3:$G$22-A1765))</f>
        <v/>
      </c>
      <c r="H1765">
        <f>SUMPRODUCT(Calc!$K$3:$K$22*(Calc!$G$3:$G$22&gt;B1765)*(Calc!$G$3:$G$22-B1765))</f>
        <v/>
      </c>
      <c r="I1765">
        <f>SUMPRODUCT(Calc!$K$3:$K$22*(Calc!$G$3:$G$22&gt;A1765)*(Calc!$G$3:$G$22-A1765)^2)</f>
        <v/>
      </c>
      <c r="J1765">
        <f>SUMPRODUCT(Calc!$K$3:$K$22*(Calc!$G$3:$G$22&gt;B1765)*(Calc!$G$3:$G$22-B1765)^2)</f>
        <v/>
      </c>
      <c r="K1765">
        <f>SUMPRODUCT(Calc!$K$3:$K$22*(Calc!$G$3:$G$22&gt;A1765)*(Calc!$G$3:$G$22-A1765)*(Calc!$G$3:$G$22&gt;B1765)*(Calc!$G$3:$G$22-B1765))</f>
        <v/>
      </c>
      <c r="L1765">
        <f>SUMPRODUCT(Calc!$K$3:$K$22*(Calc!$G$3:$G$22&gt;A1765)*(Calc!$G$3:$G$22-A1765)*Calc!$G$3:$G$22)</f>
        <v/>
      </c>
      <c r="M1765">
        <f>SUMPRODUCT(Calc!$K$3:$K$22*(Calc!$G$3:$G$22&gt;B1765)*(Calc!$G$3:$G$22-B1765)*Calc!$G$3:$G$22)</f>
        <v/>
      </c>
      <c r="N1765">
        <f>SUMPRODUCT(Calc!$K$3:$K$22*(Calc!$G$3:$G$22&gt;A1765)*(Calc!$G$3:$G$22-A1765)*Calc!$I$3:$I$22)</f>
        <v/>
      </c>
      <c r="O1765">
        <f>SUMPRODUCT(Calc!$K$3:$K$22*(Calc!$G$3:$G$22&gt;B1765)*(Calc!$G$3:$G$22-B1765)*Calc!$I$3:$I$22)</f>
        <v/>
      </c>
      <c r="P1765">
        <f>I1765-G1765^2/k_n</f>
        <v/>
      </c>
      <c r="Q1765">
        <f>J1765-H1765^2/k_n</f>
        <v/>
      </c>
      <c r="R1765">
        <f>K1765-G1765*H1765/k_n</f>
        <v/>
      </c>
      <c r="S1765">
        <f>L1765-LTP3!$D$3*G1765/k_n</f>
        <v/>
      </c>
      <c r="T1765">
        <f>M1765-LTP3!$D$3*H1765/k_n</f>
        <v/>
      </c>
      <c r="U1765">
        <f>N1765-G1765*LTP3!$D$4/k_n</f>
        <v/>
      </c>
      <c r="V1765">
        <f>O1765-H1765*LTP3!$D$4/k_n</f>
        <v/>
      </c>
      <c r="W1765">
        <f>((LTP3!$D$5)*((P1765)*(Q1765)-(R1765)*(R1765))-(S1765)*((S1765)*(Q1765)-(R1765)*(T1765))+(T1765)*((S1765)*(R1765)-(P1765)*(T1765)))</f>
        <v/>
      </c>
      <c r="X1765">
        <f>IF(ABS(W1765)&gt;1E-12,((LTP3!$D$6)*((P1765)*(Q1765)-(R1765)*(R1765))-(S1765)*((U1765)*(Q1765)-(R1765)*(V1765))+(T1765)*((U1765)*(R1765)-(P1765)*(V1765)))/W1765,0)</f>
        <v/>
      </c>
      <c r="Y1765">
        <f>IF(ABS(W1765)&gt;1E-12,((LTP3!$D$5)*((U1765)*(Q1765)-(R1765)*(V1765))-(LTP3!$D$6)*((S1765)*(Q1765)-(R1765)*(T1765))+(T1765)*((S1765)*(V1765)-(U1765)*(T1765)))/W1765,0)</f>
        <v/>
      </c>
      <c r="Z1765">
        <f>IF(ABS(W1765)&gt;1E-12,((LTP3!$D$5)*((P1765)*(V1765)-(U1765)*(R1765))-(S1765)*((S1765)*(V1765)-(U1765)*(T1765))+(LTP3!$D$6)*((S1765)*(R1765)-(P1765)*(T1765)))/W1765,0)</f>
        <v/>
      </c>
      <c r="AA1765">
        <f>LTP3!$D$7-X1765*LTP3!$D$6-Y1765*U1765-Z1765*V1765</f>
        <v/>
      </c>
      <c r="AB1765">
        <f>IF(AND(F1765,ABS(W1765)&gt;1E-12,Y1765&gt;0,Z1765&gt;0),AA1765,1E+300)</f>
        <v/>
      </c>
    </row>
    <row r="1766">
      <c r="A1766">
        <f>$B$3+$B$5*28</f>
        <v/>
      </c>
      <c r="B1766">
        <f>$B$3+$B$5*46</f>
        <v/>
      </c>
      <c r="C1766">
        <f>SUMPRODUCT(Calc!$K$3:$K$22*(Calc!$G$3:$G$22&lt;=A1766))</f>
        <v/>
      </c>
      <c r="D1766">
        <f>SUMPRODUCT(Calc!$K$3:$K$22*(Calc!$G$3:$G$22&gt;A1766)*(Calc!$G$3:$G$22&lt;B1766))</f>
        <v/>
      </c>
      <c r="E1766">
        <f>SUMPRODUCT(Calc!$K$3:$K$22*(Calc!$G$3:$G$22&gt;=B1766))</f>
        <v/>
      </c>
      <c r="F1766">
        <f>AND(k_n&gt;=5,B1766&gt;A1766+1E-9,C1766&gt;=2,D1766&gt;=1,E1766&gt;=2)</f>
        <v/>
      </c>
      <c r="G1766">
        <f>SUMPRODUCT(Calc!$K$3:$K$22*(Calc!$G$3:$G$22&gt;A1766)*(Calc!$G$3:$G$22-A1766))</f>
        <v/>
      </c>
      <c r="H1766">
        <f>SUMPRODUCT(Calc!$K$3:$K$22*(Calc!$G$3:$G$22&gt;B1766)*(Calc!$G$3:$G$22-B1766))</f>
        <v/>
      </c>
      <c r="I1766">
        <f>SUMPRODUCT(Calc!$K$3:$K$22*(Calc!$G$3:$G$22&gt;A1766)*(Calc!$G$3:$G$22-A1766)^2)</f>
        <v/>
      </c>
      <c r="J1766">
        <f>SUMPRODUCT(Calc!$K$3:$K$22*(Calc!$G$3:$G$22&gt;B1766)*(Calc!$G$3:$G$22-B1766)^2)</f>
        <v/>
      </c>
      <c r="K1766">
        <f>SUMPRODUCT(Calc!$K$3:$K$22*(Calc!$G$3:$G$22&gt;A1766)*(Calc!$G$3:$G$22-A1766)*(Calc!$G$3:$G$22&gt;B1766)*(Calc!$G$3:$G$22-B1766))</f>
        <v/>
      </c>
      <c r="L1766">
        <f>SUMPRODUCT(Calc!$K$3:$K$22*(Calc!$G$3:$G$22&gt;A1766)*(Calc!$G$3:$G$22-A1766)*Calc!$G$3:$G$22)</f>
        <v/>
      </c>
      <c r="M1766">
        <f>SUMPRODUCT(Calc!$K$3:$K$22*(Calc!$G$3:$G$22&gt;B1766)*(Calc!$G$3:$G$22-B1766)*Calc!$G$3:$G$22)</f>
        <v/>
      </c>
      <c r="N1766">
        <f>SUMPRODUCT(Calc!$K$3:$K$22*(Calc!$G$3:$G$22&gt;A1766)*(Calc!$G$3:$G$22-A1766)*Calc!$I$3:$I$22)</f>
        <v/>
      </c>
      <c r="O1766">
        <f>SUMPRODUCT(Calc!$K$3:$K$22*(Calc!$G$3:$G$22&gt;B1766)*(Calc!$G$3:$G$22-B1766)*Calc!$I$3:$I$22)</f>
        <v/>
      </c>
      <c r="P1766">
        <f>I1766-G1766^2/k_n</f>
        <v/>
      </c>
      <c r="Q1766">
        <f>J1766-H1766^2/k_n</f>
        <v/>
      </c>
      <c r="R1766">
        <f>K1766-G1766*H1766/k_n</f>
        <v/>
      </c>
      <c r="S1766">
        <f>L1766-LTP3!$D$3*G1766/k_n</f>
        <v/>
      </c>
      <c r="T1766">
        <f>M1766-LTP3!$D$3*H1766/k_n</f>
        <v/>
      </c>
      <c r="U1766">
        <f>N1766-G1766*LTP3!$D$4/k_n</f>
        <v/>
      </c>
      <c r="V1766">
        <f>O1766-H1766*LTP3!$D$4/k_n</f>
        <v/>
      </c>
      <c r="W1766">
        <f>((LTP3!$D$5)*((P1766)*(Q1766)-(R1766)*(R1766))-(S1766)*((S1766)*(Q1766)-(R1766)*(T1766))+(T1766)*((S1766)*(R1766)-(P1766)*(T1766)))</f>
        <v/>
      </c>
      <c r="X1766">
        <f>IF(ABS(W1766)&gt;1E-12,((LTP3!$D$6)*((P1766)*(Q1766)-(R1766)*(R1766))-(S1766)*((U1766)*(Q1766)-(R1766)*(V1766))+(T1766)*((U1766)*(R1766)-(P1766)*(V1766)))/W1766,0)</f>
        <v/>
      </c>
      <c r="Y1766">
        <f>IF(ABS(W1766)&gt;1E-12,((LTP3!$D$5)*((U1766)*(Q1766)-(R1766)*(V1766))-(LTP3!$D$6)*((S1766)*(Q1766)-(R1766)*(T1766))+(T1766)*((S1766)*(V1766)-(U1766)*(T1766)))/W1766,0)</f>
        <v/>
      </c>
      <c r="Z1766">
        <f>IF(ABS(W1766)&gt;1E-12,((LTP3!$D$5)*((P1766)*(V1766)-(U1766)*(R1766))-(S1766)*((S1766)*(V1766)-(U1766)*(T1766))+(LTP3!$D$6)*((S1766)*(R1766)-(P1766)*(T1766)))/W1766,0)</f>
        <v/>
      </c>
      <c r="AA1766">
        <f>LTP3!$D$7-X1766*LTP3!$D$6-Y1766*U1766-Z1766*V1766</f>
        <v/>
      </c>
      <c r="AB1766">
        <f>IF(AND(F1766,ABS(W1766)&gt;1E-12,Y1766&gt;0,Z1766&gt;0),AA1766,1E+300)</f>
        <v/>
      </c>
    </row>
    <row r="1767">
      <c r="A1767">
        <f>$B$3+$B$5*28</f>
        <v/>
      </c>
      <c r="B1767">
        <f>$B$3+$B$5*47</f>
        <v/>
      </c>
      <c r="C1767">
        <f>SUMPRODUCT(Calc!$K$3:$K$22*(Calc!$G$3:$G$22&lt;=A1767))</f>
        <v/>
      </c>
      <c r="D1767">
        <f>SUMPRODUCT(Calc!$K$3:$K$22*(Calc!$G$3:$G$22&gt;A1767)*(Calc!$G$3:$G$22&lt;B1767))</f>
        <v/>
      </c>
      <c r="E1767">
        <f>SUMPRODUCT(Calc!$K$3:$K$22*(Calc!$G$3:$G$22&gt;=B1767))</f>
        <v/>
      </c>
      <c r="F1767">
        <f>AND(k_n&gt;=5,B1767&gt;A1767+1E-9,C1767&gt;=2,D1767&gt;=1,E1767&gt;=2)</f>
        <v/>
      </c>
      <c r="G1767">
        <f>SUMPRODUCT(Calc!$K$3:$K$22*(Calc!$G$3:$G$22&gt;A1767)*(Calc!$G$3:$G$22-A1767))</f>
        <v/>
      </c>
      <c r="H1767">
        <f>SUMPRODUCT(Calc!$K$3:$K$22*(Calc!$G$3:$G$22&gt;B1767)*(Calc!$G$3:$G$22-B1767))</f>
        <v/>
      </c>
      <c r="I1767">
        <f>SUMPRODUCT(Calc!$K$3:$K$22*(Calc!$G$3:$G$22&gt;A1767)*(Calc!$G$3:$G$22-A1767)^2)</f>
        <v/>
      </c>
      <c r="J1767">
        <f>SUMPRODUCT(Calc!$K$3:$K$22*(Calc!$G$3:$G$22&gt;B1767)*(Calc!$G$3:$G$22-B1767)^2)</f>
        <v/>
      </c>
      <c r="K1767">
        <f>SUMPRODUCT(Calc!$K$3:$K$22*(Calc!$G$3:$G$22&gt;A1767)*(Calc!$G$3:$G$22-A1767)*(Calc!$G$3:$G$22&gt;B1767)*(Calc!$G$3:$G$22-B1767))</f>
        <v/>
      </c>
      <c r="L1767">
        <f>SUMPRODUCT(Calc!$K$3:$K$22*(Calc!$G$3:$G$22&gt;A1767)*(Calc!$G$3:$G$22-A1767)*Calc!$G$3:$G$22)</f>
        <v/>
      </c>
      <c r="M1767">
        <f>SUMPRODUCT(Calc!$K$3:$K$22*(Calc!$G$3:$G$22&gt;B1767)*(Calc!$G$3:$G$22-B1767)*Calc!$G$3:$G$22)</f>
        <v/>
      </c>
      <c r="N1767">
        <f>SUMPRODUCT(Calc!$K$3:$K$22*(Calc!$G$3:$G$22&gt;A1767)*(Calc!$G$3:$G$22-A1767)*Calc!$I$3:$I$22)</f>
        <v/>
      </c>
      <c r="O1767">
        <f>SUMPRODUCT(Calc!$K$3:$K$22*(Calc!$G$3:$G$22&gt;B1767)*(Calc!$G$3:$G$22-B1767)*Calc!$I$3:$I$22)</f>
        <v/>
      </c>
      <c r="P1767">
        <f>I1767-G1767^2/k_n</f>
        <v/>
      </c>
      <c r="Q1767">
        <f>J1767-H1767^2/k_n</f>
        <v/>
      </c>
      <c r="R1767">
        <f>K1767-G1767*H1767/k_n</f>
        <v/>
      </c>
      <c r="S1767">
        <f>L1767-LTP3!$D$3*G1767/k_n</f>
        <v/>
      </c>
      <c r="T1767">
        <f>M1767-LTP3!$D$3*H1767/k_n</f>
        <v/>
      </c>
      <c r="U1767">
        <f>N1767-G1767*LTP3!$D$4/k_n</f>
        <v/>
      </c>
      <c r="V1767">
        <f>O1767-H1767*LTP3!$D$4/k_n</f>
        <v/>
      </c>
      <c r="W1767">
        <f>((LTP3!$D$5)*((P1767)*(Q1767)-(R1767)*(R1767))-(S1767)*((S1767)*(Q1767)-(R1767)*(T1767))+(T1767)*((S1767)*(R1767)-(P1767)*(T1767)))</f>
        <v/>
      </c>
      <c r="X1767">
        <f>IF(ABS(W1767)&gt;1E-12,((LTP3!$D$6)*((P1767)*(Q1767)-(R1767)*(R1767))-(S1767)*((U1767)*(Q1767)-(R1767)*(V1767))+(T1767)*((U1767)*(R1767)-(P1767)*(V1767)))/W1767,0)</f>
        <v/>
      </c>
      <c r="Y1767">
        <f>IF(ABS(W1767)&gt;1E-12,((LTP3!$D$5)*((U1767)*(Q1767)-(R1767)*(V1767))-(LTP3!$D$6)*((S1767)*(Q1767)-(R1767)*(T1767))+(T1767)*((S1767)*(V1767)-(U1767)*(T1767)))/W1767,0)</f>
        <v/>
      </c>
      <c r="Z1767">
        <f>IF(ABS(W1767)&gt;1E-12,((LTP3!$D$5)*((P1767)*(V1767)-(U1767)*(R1767))-(S1767)*((S1767)*(V1767)-(U1767)*(T1767))+(LTP3!$D$6)*((S1767)*(R1767)-(P1767)*(T1767)))/W1767,0)</f>
        <v/>
      </c>
      <c r="AA1767">
        <f>LTP3!$D$7-X1767*LTP3!$D$6-Y1767*U1767-Z1767*V1767</f>
        <v/>
      </c>
      <c r="AB1767">
        <f>IF(AND(F1767,ABS(W1767)&gt;1E-12,Y1767&gt;0,Z1767&gt;0),AA1767,1E+300)</f>
        <v/>
      </c>
    </row>
    <row r="1768">
      <c r="A1768">
        <f>$B$3+$B$5*28</f>
        <v/>
      </c>
      <c r="B1768">
        <f>$B$3+$B$5*48</f>
        <v/>
      </c>
      <c r="C1768">
        <f>SUMPRODUCT(Calc!$K$3:$K$22*(Calc!$G$3:$G$22&lt;=A1768))</f>
        <v/>
      </c>
      <c r="D1768">
        <f>SUMPRODUCT(Calc!$K$3:$K$22*(Calc!$G$3:$G$22&gt;A1768)*(Calc!$G$3:$G$22&lt;B1768))</f>
        <v/>
      </c>
      <c r="E1768">
        <f>SUMPRODUCT(Calc!$K$3:$K$22*(Calc!$G$3:$G$22&gt;=B1768))</f>
        <v/>
      </c>
      <c r="F1768">
        <f>AND(k_n&gt;=5,B1768&gt;A1768+1E-9,C1768&gt;=2,D1768&gt;=1,E1768&gt;=2)</f>
        <v/>
      </c>
      <c r="G1768">
        <f>SUMPRODUCT(Calc!$K$3:$K$22*(Calc!$G$3:$G$22&gt;A1768)*(Calc!$G$3:$G$22-A1768))</f>
        <v/>
      </c>
      <c r="H1768">
        <f>SUMPRODUCT(Calc!$K$3:$K$22*(Calc!$G$3:$G$22&gt;B1768)*(Calc!$G$3:$G$22-B1768))</f>
        <v/>
      </c>
      <c r="I1768">
        <f>SUMPRODUCT(Calc!$K$3:$K$22*(Calc!$G$3:$G$22&gt;A1768)*(Calc!$G$3:$G$22-A1768)^2)</f>
        <v/>
      </c>
      <c r="J1768">
        <f>SUMPRODUCT(Calc!$K$3:$K$22*(Calc!$G$3:$G$22&gt;B1768)*(Calc!$G$3:$G$22-B1768)^2)</f>
        <v/>
      </c>
      <c r="K1768">
        <f>SUMPRODUCT(Calc!$K$3:$K$22*(Calc!$G$3:$G$22&gt;A1768)*(Calc!$G$3:$G$22-A1768)*(Calc!$G$3:$G$22&gt;B1768)*(Calc!$G$3:$G$22-B1768))</f>
        <v/>
      </c>
      <c r="L1768">
        <f>SUMPRODUCT(Calc!$K$3:$K$22*(Calc!$G$3:$G$22&gt;A1768)*(Calc!$G$3:$G$22-A1768)*Calc!$G$3:$G$22)</f>
        <v/>
      </c>
      <c r="M1768">
        <f>SUMPRODUCT(Calc!$K$3:$K$22*(Calc!$G$3:$G$22&gt;B1768)*(Calc!$G$3:$G$22-B1768)*Calc!$G$3:$G$22)</f>
        <v/>
      </c>
      <c r="N1768">
        <f>SUMPRODUCT(Calc!$K$3:$K$22*(Calc!$G$3:$G$22&gt;A1768)*(Calc!$G$3:$G$22-A1768)*Calc!$I$3:$I$22)</f>
        <v/>
      </c>
      <c r="O1768">
        <f>SUMPRODUCT(Calc!$K$3:$K$22*(Calc!$G$3:$G$22&gt;B1768)*(Calc!$G$3:$G$22-B1768)*Calc!$I$3:$I$22)</f>
        <v/>
      </c>
      <c r="P1768">
        <f>I1768-G1768^2/k_n</f>
        <v/>
      </c>
      <c r="Q1768">
        <f>J1768-H1768^2/k_n</f>
        <v/>
      </c>
      <c r="R1768">
        <f>K1768-G1768*H1768/k_n</f>
        <v/>
      </c>
      <c r="S1768">
        <f>L1768-LTP3!$D$3*G1768/k_n</f>
        <v/>
      </c>
      <c r="T1768">
        <f>M1768-LTP3!$D$3*H1768/k_n</f>
        <v/>
      </c>
      <c r="U1768">
        <f>N1768-G1768*LTP3!$D$4/k_n</f>
        <v/>
      </c>
      <c r="V1768">
        <f>O1768-H1768*LTP3!$D$4/k_n</f>
        <v/>
      </c>
      <c r="W1768">
        <f>((LTP3!$D$5)*((P1768)*(Q1768)-(R1768)*(R1768))-(S1768)*((S1768)*(Q1768)-(R1768)*(T1768))+(T1768)*((S1768)*(R1768)-(P1768)*(T1768)))</f>
        <v/>
      </c>
      <c r="X1768">
        <f>IF(ABS(W1768)&gt;1E-12,((LTP3!$D$6)*((P1768)*(Q1768)-(R1768)*(R1768))-(S1768)*((U1768)*(Q1768)-(R1768)*(V1768))+(T1768)*((U1768)*(R1768)-(P1768)*(V1768)))/W1768,0)</f>
        <v/>
      </c>
      <c r="Y1768">
        <f>IF(ABS(W1768)&gt;1E-12,((LTP3!$D$5)*((U1768)*(Q1768)-(R1768)*(V1768))-(LTP3!$D$6)*((S1768)*(Q1768)-(R1768)*(T1768))+(T1768)*((S1768)*(V1768)-(U1768)*(T1768)))/W1768,0)</f>
        <v/>
      </c>
      <c r="Z1768">
        <f>IF(ABS(W1768)&gt;1E-12,((LTP3!$D$5)*((P1768)*(V1768)-(U1768)*(R1768))-(S1768)*((S1768)*(V1768)-(U1768)*(T1768))+(LTP3!$D$6)*((S1768)*(R1768)-(P1768)*(T1768)))/W1768,0)</f>
        <v/>
      </c>
      <c r="AA1768">
        <f>LTP3!$D$7-X1768*LTP3!$D$6-Y1768*U1768-Z1768*V1768</f>
        <v/>
      </c>
      <c r="AB1768">
        <f>IF(AND(F1768,ABS(W1768)&gt;1E-12,Y1768&gt;0,Z1768&gt;0),AA1768,1E+300)</f>
        <v/>
      </c>
    </row>
    <row r="1769">
      <c r="A1769">
        <f>$B$3+$B$5*28</f>
        <v/>
      </c>
      <c r="B1769">
        <f>$B$3+$B$5*49</f>
        <v/>
      </c>
      <c r="C1769">
        <f>SUMPRODUCT(Calc!$K$3:$K$22*(Calc!$G$3:$G$22&lt;=A1769))</f>
        <v/>
      </c>
      <c r="D1769">
        <f>SUMPRODUCT(Calc!$K$3:$K$22*(Calc!$G$3:$G$22&gt;A1769)*(Calc!$G$3:$G$22&lt;B1769))</f>
        <v/>
      </c>
      <c r="E1769">
        <f>SUMPRODUCT(Calc!$K$3:$K$22*(Calc!$G$3:$G$22&gt;=B1769))</f>
        <v/>
      </c>
      <c r="F1769">
        <f>AND(k_n&gt;=5,B1769&gt;A1769+1E-9,C1769&gt;=2,D1769&gt;=1,E1769&gt;=2)</f>
        <v/>
      </c>
      <c r="G1769">
        <f>SUMPRODUCT(Calc!$K$3:$K$22*(Calc!$G$3:$G$22&gt;A1769)*(Calc!$G$3:$G$22-A1769))</f>
        <v/>
      </c>
      <c r="H1769">
        <f>SUMPRODUCT(Calc!$K$3:$K$22*(Calc!$G$3:$G$22&gt;B1769)*(Calc!$G$3:$G$22-B1769))</f>
        <v/>
      </c>
      <c r="I1769">
        <f>SUMPRODUCT(Calc!$K$3:$K$22*(Calc!$G$3:$G$22&gt;A1769)*(Calc!$G$3:$G$22-A1769)^2)</f>
        <v/>
      </c>
      <c r="J1769">
        <f>SUMPRODUCT(Calc!$K$3:$K$22*(Calc!$G$3:$G$22&gt;B1769)*(Calc!$G$3:$G$22-B1769)^2)</f>
        <v/>
      </c>
      <c r="K1769">
        <f>SUMPRODUCT(Calc!$K$3:$K$22*(Calc!$G$3:$G$22&gt;A1769)*(Calc!$G$3:$G$22-A1769)*(Calc!$G$3:$G$22&gt;B1769)*(Calc!$G$3:$G$22-B1769))</f>
        <v/>
      </c>
      <c r="L1769">
        <f>SUMPRODUCT(Calc!$K$3:$K$22*(Calc!$G$3:$G$22&gt;A1769)*(Calc!$G$3:$G$22-A1769)*Calc!$G$3:$G$22)</f>
        <v/>
      </c>
      <c r="M1769">
        <f>SUMPRODUCT(Calc!$K$3:$K$22*(Calc!$G$3:$G$22&gt;B1769)*(Calc!$G$3:$G$22-B1769)*Calc!$G$3:$G$22)</f>
        <v/>
      </c>
      <c r="N1769">
        <f>SUMPRODUCT(Calc!$K$3:$K$22*(Calc!$G$3:$G$22&gt;A1769)*(Calc!$G$3:$G$22-A1769)*Calc!$I$3:$I$22)</f>
        <v/>
      </c>
      <c r="O1769">
        <f>SUMPRODUCT(Calc!$K$3:$K$22*(Calc!$G$3:$G$22&gt;B1769)*(Calc!$G$3:$G$22-B1769)*Calc!$I$3:$I$22)</f>
        <v/>
      </c>
      <c r="P1769">
        <f>I1769-G1769^2/k_n</f>
        <v/>
      </c>
      <c r="Q1769">
        <f>J1769-H1769^2/k_n</f>
        <v/>
      </c>
      <c r="R1769">
        <f>K1769-G1769*H1769/k_n</f>
        <v/>
      </c>
      <c r="S1769">
        <f>L1769-LTP3!$D$3*G1769/k_n</f>
        <v/>
      </c>
      <c r="T1769">
        <f>M1769-LTP3!$D$3*H1769/k_n</f>
        <v/>
      </c>
      <c r="U1769">
        <f>N1769-G1769*LTP3!$D$4/k_n</f>
        <v/>
      </c>
      <c r="V1769">
        <f>O1769-H1769*LTP3!$D$4/k_n</f>
        <v/>
      </c>
      <c r="W1769">
        <f>((LTP3!$D$5)*((P1769)*(Q1769)-(R1769)*(R1769))-(S1769)*((S1769)*(Q1769)-(R1769)*(T1769))+(T1769)*((S1769)*(R1769)-(P1769)*(T1769)))</f>
        <v/>
      </c>
      <c r="X1769">
        <f>IF(ABS(W1769)&gt;1E-12,((LTP3!$D$6)*((P1769)*(Q1769)-(R1769)*(R1769))-(S1769)*((U1769)*(Q1769)-(R1769)*(V1769))+(T1769)*((U1769)*(R1769)-(P1769)*(V1769)))/W1769,0)</f>
        <v/>
      </c>
      <c r="Y1769">
        <f>IF(ABS(W1769)&gt;1E-12,((LTP3!$D$5)*((U1769)*(Q1769)-(R1769)*(V1769))-(LTP3!$D$6)*((S1769)*(Q1769)-(R1769)*(T1769))+(T1769)*((S1769)*(V1769)-(U1769)*(T1769)))/W1769,0)</f>
        <v/>
      </c>
      <c r="Z1769">
        <f>IF(ABS(W1769)&gt;1E-12,((LTP3!$D$5)*((P1769)*(V1769)-(U1769)*(R1769))-(S1769)*((S1769)*(V1769)-(U1769)*(T1769))+(LTP3!$D$6)*((S1769)*(R1769)-(P1769)*(T1769)))/W1769,0)</f>
        <v/>
      </c>
      <c r="AA1769">
        <f>LTP3!$D$7-X1769*LTP3!$D$6-Y1769*U1769-Z1769*V1769</f>
        <v/>
      </c>
      <c r="AB1769">
        <f>IF(AND(F1769,ABS(W1769)&gt;1E-12,Y1769&gt;0,Z1769&gt;0),AA1769,1E+300)</f>
        <v/>
      </c>
    </row>
    <row r="1770">
      <c r="A1770">
        <f>$B$3+$B$5*28</f>
        <v/>
      </c>
      <c r="B1770">
        <f>$B$3+$B$5*50</f>
        <v/>
      </c>
      <c r="C1770">
        <f>SUMPRODUCT(Calc!$K$3:$K$22*(Calc!$G$3:$G$22&lt;=A1770))</f>
        <v/>
      </c>
      <c r="D1770">
        <f>SUMPRODUCT(Calc!$K$3:$K$22*(Calc!$G$3:$G$22&gt;A1770)*(Calc!$G$3:$G$22&lt;B1770))</f>
        <v/>
      </c>
      <c r="E1770">
        <f>SUMPRODUCT(Calc!$K$3:$K$22*(Calc!$G$3:$G$22&gt;=B1770))</f>
        <v/>
      </c>
      <c r="F1770">
        <f>AND(k_n&gt;=5,B1770&gt;A1770+1E-9,C1770&gt;=2,D1770&gt;=1,E1770&gt;=2)</f>
        <v/>
      </c>
      <c r="G1770">
        <f>SUMPRODUCT(Calc!$K$3:$K$22*(Calc!$G$3:$G$22&gt;A1770)*(Calc!$G$3:$G$22-A1770))</f>
        <v/>
      </c>
      <c r="H1770">
        <f>SUMPRODUCT(Calc!$K$3:$K$22*(Calc!$G$3:$G$22&gt;B1770)*(Calc!$G$3:$G$22-B1770))</f>
        <v/>
      </c>
      <c r="I1770">
        <f>SUMPRODUCT(Calc!$K$3:$K$22*(Calc!$G$3:$G$22&gt;A1770)*(Calc!$G$3:$G$22-A1770)^2)</f>
        <v/>
      </c>
      <c r="J1770">
        <f>SUMPRODUCT(Calc!$K$3:$K$22*(Calc!$G$3:$G$22&gt;B1770)*(Calc!$G$3:$G$22-B1770)^2)</f>
        <v/>
      </c>
      <c r="K1770">
        <f>SUMPRODUCT(Calc!$K$3:$K$22*(Calc!$G$3:$G$22&gt;A1770)*(Calc!$G$3:$G$22-A1770)*(Calc!$G$3:$G$22&gt;B1770)*(Calc!$G$3:$G$22-B1770))</f>
        <v/>
      </c>
      <c r="L1770">
        <f>SUMPRODUCT(Calc!$K$3:$K$22*(Calc!$G$3:$G$22&gt;A1770)*(Calc!$G$3:$G$22-A1770)*Calc!$G$3:$G$22)</f>
        <v/>
      </c>
      <c r="M1770">
        <f>SUMPRODUCT(Calc!$K$3:$K$22*(Calc!$G$3:$G$22&gt;B1770)*(Calc!$G$3:$G$22-B1770)*Calc!$G$3:$G$22)</f>
        <v/>
      </c>
      <c r="N1770">
        <f>SUMPRODUCT(Calc!$K$3:$K$22*(Calc!$G$3:$G$22&gt;A1770)*(Calc!$G$3:$G$22-A1770)*Calc!$I$3:$I$22)</f>
        <v/>
      </c>
      <c r="O1770">
        <f>SUMPRODUCT(Calc!$K$3:$K$22*(Calc!$G$3:$G$22&gt;B1770)*(Calc!$G$3:$G$22-B1770)*Calc!$I$3:$I$22)</f>
        <v/>
      </c>
      <c r="P1770">
        <f>I1770-G1770^2/k_n</f>
        <v/>
      </c>
      <c r="Q1770">
        <f>J1770-H1770^2/k_n</f>
        <v/>
      </c>
      <c r="R1770">
        <f>K1770-G1770*H1770/k_n</f>
        <v/>
      </c>
      <c r="S1770">
        <f>L1770-LTP3!$D$3*G1770/k_n</f>
        <v/>
      </c>
      <c r="T1770">
        <f>M1770-LTP3!$D$3*H1770/k_n</f>
        <v/>
      </c>
      <c r="U1770">
        <f>N1770-G1770*LTP3!$D$4/k_n</f>
        <v/>
      </c>
      <c r="V1770">
        <f>O1770-H1770*LTP3!$D$4/k_n</f>
        <v/>
      </c>
      <c r="W1770">
        <f>((LTP3!$D$5)*((P1770)*(Q1770)-(R1770)*(R1770))-(S1770)*((S1770)*(Q1770)-(R1770)*(T1770))+(T1770)*((S1770)*(R1770)-(P1770)*(T1770)))</f>
        <v/>
      </c>
      <c r="X1770">
        <f>IF(ABS(W1770)&gt;1E-12,((LTP3!$D$6)*((P1770)*(Q1770)-(R1770)*(R1770))-(S1770)*((U1770)*(Q1770)-(R1770)*(V1770))+(T1770)*((U1770)*(R1770)-(P1770)*(V1770)))/W1770,0)</f>
        <v/>
      </c>
      <c r="Y1770">
        <f>IF(ABS(W1770)&gt;1E-12,((LTP3!$D$5)*((U1770)*(Q1770)-(R1770)*(V1770))-(LTP3!$D$6)*((S1770)*(Q1770)-(R1770)*(T1770))+(T1770)*((S1770)*(V1770)-(U1770)*(T1770)))/W1770,0)</f>
        <v/>
      </c>
      <c r="Z1770">
        <f>IF(ABS(W1770)&gt;1E-12,((LTP3!$D$5)*((P1770)*(V1770)-(U1770)*(R1770))-(S1770)*((S1770)*(V1770)-(U1770)*(T1770))+(LTP3!$D$6)*((S1770)*(R1770)-(P1770)*(T1770)))/W1770,0)</f>
        <v/>
      </c>
      <c r="AA1770">
        <f>LTP3!$D$7-X1770*LTP3!$D$6-Y1770*U1770-Z1770*V1770</f>
        <v/>
      </c>
      <c r="AB1770">
        <f>IF(AND(F1770,ABS(W1770)&gt;1E-12,Y1770&gt;0,Z1770&gt;0),AA1770,1E+300)</f>
        <v/>
      </c>
    </row>
    <row r="1771">
      <c r="A1771">
        <f>$B$3+$B$5*28</f>
        <v/>
      </c>
      <c r="B1771">
        <f>$B$3+$B$5*51</f>
        <v/>
      </c>
      <c r="C1771">
        <f>SUMPRODUCT(Calc!$K$3:$K$22*(Calc!$G$3:$G$22&lt;=A1771))</f>
        <v/>
      </c>
      <c r="D1771">
        <f>SUMPRODUCT(Calc!$K$3:$K$22*(Calc!$G$3:$G$22&gt;A1771)*(Calc!$G$3:$G$22&lt;B1771))</f>
        <v/>
      </c>
      <c r="E1771">
        <f>SUMPRODUCT(Calc!$K$3:$K$22*(Calc!$G$3:$G$22&gt;=B1771))</f>
        <v/>
      </c>
      <c r="F1771">
        <f>AND(k_n&gt;=5,B1771&gt;A1771+1E-9,C1771&gt;=2,D1771&gt;=1,E1771&gt;=2)</f>
        <v/>
      </c>
      <c r="G1771">
        <f>SUMPRODUCT(Calc!$K$3:$K$22*(Calc!$G$3:$G$22&gt;A1771)*(Calc!$G$3:$G$22-A1771))</f>
        <v/>
      </c>
      <c r="H1771">
        <f>SUMPRODUCT(Calc!$K$3:$K$22*(Calc!$G$3:$G$22&gt;B1771)*(Calc!$G$3:$G$22-B1771))</f>
        <v/>
      </c>
      <c r="I1771">
        <f>SUMPRODUCT(Calc!$K$3:$K$22*(Calc!$G$3:$G$22&gt;A1771)*(Calc!$G$3:$G$22-A1771)^2)</f>
        <v/>
      </c>
      <c r="J1771">
        <f>SUMPRODUCT(Calc!$K$3:$K$22*(Calc!$G$3:$G$22&gt;B1771)*(Calc!$G$3:$G$22-B1771)^2)</f>
        <v/>
      </c>
      <c r="K1771">
        <f>SUMPRODUCT(Calc!$K$3:$K$22*(Calc!$G$3:$G$22&gt;A1771)*(Calc!$G$3:$G$22-A1771)*(Calc!$G$3:$G$22&gt;B1771)*(Calc!$G$3:$G$22-B1771))</f>
        <v/>
      </c>
      <c r="L1771">
        <f>SUMPRODUCT(Calc!$K$3:$K$22*(Calc!$G$3:$G$22&gt;A1771)*(Calc!$G$3:$G$22-A1771)*Calc!$G$3:$G$22)</f>
        <v/>
      </c>
      <c r="M1771">
        <f>SUMPRODUCT(Calc!$K$3:$K$22*(Calc!$G$3:$G$22&gt;B1771)*(Calc!$G$3:$G$22-B1771)*Calc!$G$3:$G$22)</f>
        <v/>
      </c>
      <c r="N1771">
        <f>SUMPRODUCT(Calc!$K$3:$K$22*(Calc!$G$3:$G$22&gt;A1771)*(Calc!$G$3:$G$22-A1771)*Calc!$I$3:$I$22)</f>
        <v/>
      </c>
      <c r="O1771">
        <f>SUMPRODUCT(Calc!$K$3:$K$22*(Calc!$G$3:$G$22&gt;B1771)*(Calc!$G$3:$G$22-B1771)*Calc!$I$3:$I$22)</f>
        <v/>
      </c>
      <c r="P1771">
        <f>I1771-G1771^2/k_n</f>
        <v/>
      </c>
      <c r="Q1771">
        <f>J1771-H1771^2/k_n</f>
        <v/>
      </c>
      <c r="R1771">
        <f>K1771-G1771*H1771/k_n</f>
        <v/>
      </c>
      <c r="S1771">
        <f>L1771-LTP3!$D$3*G1771/k_n</f>
        <v/>
      </c>
      <c r="T1771">
        <f>M1771-LTP3!$D$3*H1771/k_n</f>
        <v/>
      </c>
      <c r="U1771">
        <f>N1771-G1771*LTP3!$D$4/k_n</f>
        <v/>
      </c>
      <c r="V1771">
        <f>O1771-H1771*LTP3!$D$4/k_n</f>
        <v/>
      </c>
      <c r="W1771">
        <f>((LTP3!$D$5)*((P1771)*(Q1771)-(R1771)*(R1771))-(S1771)*((S1771)*(Q1771)-(R1771)*(T1771))+(T1771)*((S1771)*(R1771)-(P1771)*(T1771)))</f>
        <v/>
      </c>
      <c r="X1771">
        <f>IF(ABS(W1771)&gt;1E-12,((LTP3!$D$6)*((P1771)*(Q1771)-(R1771)*(R1771))-(S1771)*((U1771)*(Q1771)-(R1771)*(V1771))+(T1771)*((U1771)*(R1771)-(P1771)*(V1771)))/W1771,0)</f>
        <v/>
      </c>
      <c r="Y1771">
        <f>IF(ABS(W1771)&gt;1E-12,((LTP3!$D$5)*((U1771)*(Q1771)-(R1771)*(V1771))-(LTP3!$D$6)*((S1771)*(Q1771)-(R1771)*(T1771))+(T1771)*((S1771)*(V1771)-(U1771)*(T1771)))/W1771,0)</f>
        <v/>
      </c>
      <c r="Z1771">
        <f>IF(ABS(W1771)&gt;1E-12,((LTP3!$D$5)*((P1771)*(V1771)-(U1771)*(R1771))-(S1771)*((S1771)*(V1771)-(U1771)*(T1771))+(LTP3!$D$6)*((S1771)*(R1771)-(P1771)*(T1771)))/W1771,0)</f>
        <v/>
      </c>
      <c r="AA1771">
        <f>LTP3!$D$7-X1771*LTP3!$D$6-Y1771*U1771-Z1771*V1771</f>
        <v/>
      </c>
      <c r="AB1771">
        <f>IF(AND(F1771,ABS(W1771)&gt;1E-12,Y1771&gt;0,Z1771&gt;0),AA1771,1E+300)</f>
        <v/>
      </c>
    </row>
    <row r="1772">
      <c r="A1772">
        <f>$B$3+$B$5*28</f>
        <v/>
      </c>
      <c r="B1772">
        <f>$B$3+$B$5*52</f>
        <v/>
      </c>
      <c r="C1772">
        <f>SUMPRODUCT(Calc!$K$3:$K$22*(Calc!$G$3:$G$22&lt;=A1772))</f>
        <v/>
      </c>
      <c r="D1772">
        <f>SUMPRODUCT(Calc!$K$3:$K$22*(Calc!$G$3:$G$22&gt;A1772)*(Calc!$G$3:$G$22&lt;B1772))</f>
        <v/>
      </c>
      <c r="E1772">
        <f>SUMPRODUCT(Calc!$K$3:$K$22*(Calc!$G$3:$G$22&gt;=B1772))</f>
        <v/>
      </c>
      <c r="F1772">
        <f>AND(k_n&gt;=5,B1772&gt;A1772+1E-9,C1772&gt;=2,D1772&gt;=1,E1772&gt;=2)</f>
        <v/>
      </c>
      <c r="G1772">
        <f>SUMPRODUCT(Calc!$K$3:$K$22*(Calc!$G$3:$G$22&gt;A1772)*(Calc!$G$3:$G$22-A1772))</f>
        <v/>
      </c>
      <c r="H1772">
        <f>SUMPRODUCT(Calc!$K$3:$K$22*(Calc!$G$3:$G$22&gt;B1772)*(Calc!$G$3:$G$22-B1772))</f>
        <v/>
      </c>
      <c r="I1772">
        <f>SUMPRODUCT(Calc!$K$3:$K$22*(Calc!$G$3:$G$22&gt;A1772)*(Calc!$G$3:$G$22-A1772)^2)</f>
        <v/>
      </c>
      <c r="J1772">
        <f>SUMPRODUCT(Calc!$K$3:$K$22*(Calc!$G$3:$G$22&gt;B1772)*(Calc!$G$3:$G$22-B1772)^2)</f>
        <v/>
      </c>
      <c r="K1772">
        <f>SUMPRODUCT(Calc!$K$3:$K$22*(Calc!$G$3:$G$22&gt;A1772)*(Calc!$G$3:$G$22-A1772)*(Calc!$G$3:$G$22&gt;B1772)*(Calc!$G$3:$G$22-B1772))</f>
        <v/>
      </c>
      <c r="L1772">
        <f>SUMPRODUCT(Calc!$K$3:$K$22*(Calc!$G$3:$G$22&gt;A1772)*(Calc!$G$3:$G$22-A1772)*Calc!$G$3:$G$22)</f>
        <v/>
      </c>
      <c r="M1772">
        <f>SUMPRODUCT(Calc!$K$3:$K$22*(Calc!$G$3:$G$22&gt;B1772)*(Calc!$G$3:$G$22-B1772)*Calc!$G$3:$G$22)</f>
        <v/>
      </c>
      <c r="N1772">
        <f>SUMPRODUCT(Calc!$K$3:$K$22*(Calc!$G$3:$G$22&gt;A1772)*(Calc!$G$3:$G$22-A1772)*Calc!$I$3:$I$22)</f>
        <v/>
      </c>
      <c r="O1772">
        <f>SUMPRODUCT(Calc!$K$3:$K$22*(Calc!$G$3:$G$22&gt;B1772)*(Calc!$G$3:$G$22-B1772)*Calc!$I$3:$I$22)</f>
        <v/>
      </c>
      <c r="P1772">
        <f>I1772-G1772^2/k_n</f>
        <v/>
      </c>
      <c r="Q1772">
        <f>J1772-H1772^2/k_n</f>
        <v/>
      </c>
      <c r="R1772">
        <f>K1772-G1772*H1772/k_n</f>
        <v/>
      </c>
      <c r="S1772">
        <f>L1772-LTP3!$D$3*G1772/k_n</f>
        <v/>
      </c>
      <c r="T1772">
        <f>M1772-LTP3!$D$3*H1772/k_n</f>
        <v/>
      </c>
      <c r="U1772">
        <f>N1772-G1772*LTP3!$D$4/k_n</f>
        <v/>
      </c>
      <c r="V1772">
        <f>O1772-H1772*LTP3!$D$4/k_n</f>
        <v/>
      </c>
      <c r="W1772">
        <f>((LTP3!$D$5)*((P1772)*(Q1772)-(R1772)*(R1772))-(S1772)*((S1772)*(Q1772)-(R1772)*(T1772))+(T1772)*((S1772)*(R1772)-(P1772)*(T1772)))</f>
        <v/>
      </c>
      <c r="X1772">
        <f>IF(ABS(W1772)&gt;1E-12,((LTP3!$D$6)*((P1772)*(Q1772)-(R1772)*(R1772))-(S1772)*((U1772)*(Q1772)-(R1772)*(V1772))+(T1772)*((U1772)*(R1772)-(P1772)*(V1772)))/W1772,0)</f>
        <v/>
      </c>
      <c r="Y1772">
        <f>IF(ABS(W1772)&gt;1E-12,((LTP3!$D$5)*((U1772)*(Q1772)-(R1772)*(V1772))-(LTP3!$D$6)*((S1772)*(Q1772)-(R1772)*(T1772))+(T1772)*((S1772)*(V1772)-(U1772)*(T1772)))/W1772,0)</f>
        <v/>
      </c>
      <c r="Z1772">
        <f>IF(ABS(W1772)&gt;1E-12,((LTP3!$D$5)*((P1772)*(V1772)-(U1772)*(R1772))-(S1772)*((S1772)*(V1772)-(U1772)*(T1772))+(LTP3!$D$6)*((S1772)*(R1772)-(P1772)*(T1772)))/W1772,0)</f>
        <v/>
      </c>
      <c r="AA1772">
        <f>LTP3!$D$7-X1772*LTP3!$D$6-Y1772*U1772-Z1772*V1772</f>
        <v/>
      </c>
      <c r="AB1772">
        <f>IF(AND(F1772,ABS(W1772)&gt;1E-12,Y1772&gt;0,Z1772&gt;0),AA1772,1E+300)</f>
        <v/>
      </c>
    </row>
    <row r="1773">
      <c r="A1773">
        <f>$B$3+$B$5*28</f>
        <v/>
      </c>
      <c r="B1773">
        <f>$B$3+$B$5*53</f>
        <v/>
      </c>
      <c r="C1773">
        <f>SUMPRODUCT(Calc!$K$3:$K$22*(Calc!$G$3:$G$22&lt;=A1773))</f>
        <v/>
      </c>
      <c r="D1773">
        <f>SUMPRODUCT(Calc!$K$3:$K$22*(Calc!$G$3:$G$22&gt;A1773)*(Calc!$G$3:$G$22&lt;B1773))</f>
        <v/>
      </c>
      <c r="E1773">
        <f>SUMPRODUCT(Calc!$K$3:$K$22*(Calc!$G$3:$G$22&gt;=B1773))</f>
        <v/>
      </c>
      <c r="F1773">
        <f>AND(k_n&gt;=5,B1773&gt;A1773+1E-9,C1773&gt;=2,D1773&gt;=1,E1773&gt;=2)</f>
        <v/>
      </c>
      <c r="G1773">
        <f>SUMPRODUCT(Calc!$K$3:$K$22*(Calc!$G$3:$G$22&gt;A1773)*(Calc!$G$3:$G$22-A1773))</f>
        <v/>
      </c>
      <c r="H1773">
        <f>SUMPRODUCT(Calc!$K$3:$K$22*(Calc!$G$3:$G$22&gt;B1773)*(Calc!$G$3:$G$22-B1773))</f>
        <v/>
      </c>
      <c r="I1773">
        <f>SUMPRODUCT(Calc!$K$3:$K$22*(Calc!$G$3:$G$22&gt;A1773)*(Calc!$G$3:$G$22-A1773)^2)</f>
        <v/>
      </c>
      <c r="J1773">
        <f>SUMPRODUCT(Calc!$K$3:$K$22*(Calc!$G$3:$G$22&gt;B1773)*(Calc!$G$3:$G$22-B1773)^2)</f>
        <v/>
      </c>
      <c r="K1773">
        <f>SUMPRODUCT(Calc!$K$3:$K$22*(Calc!$G$3:$G$22&gt;A1773)*(Calc!$G$3:$G$22-A1773)*(Calc!$G$3:$G$22&gt;B1773)*(Calc!$G$3:$G$22-B1773))</f>
        <v/>
      </c>
      <c r="L1773">
        <f>SUMPRODUCT(Calc!$K$3:$K$22*(Calc!$G$3:$G$22&gt;A1773)*(Calc!$G$3:$G$22-A1773)*Calc!$G$3:$G$22)</f>
        <v/>
      </c>
      <c r="M1773">
        <f>SUMPRODUCT(Calc!$K$3:$K$22*(Calc!$G$3:$G$22&gt;B1773)*(Calc!$G$3:$G$22-B1773)*Calc!$G$3:$G$22)</f>
        <v/>
      </c>
      <c r="N1773">
        <f>SUMPRODUCT(Calc!$K$3:$K$22*(Calc!$G$3:$G$22&gt;A1773)*(Calc!$G$3:$G$22-A1773)*Calc!$I$3:$I$22)</f>
        <v/>
      </c>
      <c r="O1773">
        <f>SUMPRODUCT(Calc!$K$3:$K$22*(Calc!$G$3:$G$22&gt;B1773)*(Calc!$G$3:$G$22-B1773)*Calc!$I$3:$I$22)</f>
        <v/>
      </c>
      <c r="P1773">
        <f>I1773-G1773^2/k_n</f>
        <v/>
      </c>
      <c r="Q1773">
        <f>J1773-H1773^2/k_n</f>
        <v/>
      </c>
      <c r="R1773">
        <f>K1773-G1773*H1773/k_n</f>
        <v/>
      </c>
      <c r="S1773">
        <f>L1773-LTP3!$D$3*G1773/k_n</f>
        <v/>
      </c>
      <c r="T1773">
        <f>M1773-LTP3!$D$3*H1773/k_n</f>
        <v/>
      </c>
      <c r="U1773">
        <f>N1773-G1773*LTP3!$D$4/k_n</f>
        <v/>
      </c>
      <c r="V1773">
        <f>O1773-H1773*LTP3!$D$4/k_n</f>
        <v/>
      </c>
      <c r="W1773">
        <f>((LTP3!$D$5)*((P1773)*(Q1773)-(R1773)*(R1773))-(S1773)*((S1773)*(Q1773)-(R1773)*(T1773))+(T1773)*((S1773)*(R1773)-(P1773)*(T1773)))</f>
        <v/>
      </c>
      <c r="X1773">
        <f>IF(ABS(W1773)&gt;1E-12,((LTP3!$D$6)*((P1773)*(Q1773)-(R1773)*(R1773))-(S1773)*((U1773)*(Q1773)-(R1773)*(V1773))+(T1773)*((U1773)*(R1773)-(P1773)*(V1773)))/W1773,0)</f>
        <v/>
      </c>
      <c r="Y1773">
        <f>IF(ABS(W1773)&gt;1E-12,((LTP3!$D$5)*((U1773)*(Q1773)-(R1773)*(V1773))-(LTP3!$D$6)*((S1773)*(Q1773)-(R1773)*(T1773))+(T1773)*((S1773)*(V1773)-(U1773)*(T1773)))/W1773,0)</f>
        <v/>
      </c>
      <c r="Z1773">
        <f>IF(ABS(W1773)&gt;1E-12,((LTP3!$D$5)*((P1773)*(V1773)-(U1773)*(R1773))-(S1773)*((S1773)*(V1773)-(U1773)*(T1773))+(LTP3!$D$6)*((S1773)*(R1773)-(P1773)*(T1773)))/W1773,0)</f>
        <v/>
      </c>
      <c r="AA1773">
        <f>LTP3!$D$7-X1773*LTP3!$D$6-Y1773*U1773-Z1773*V1773</f>
        <v/>
      </c>
      <c r="AB1773">
        <f>IF(AND(F1773,ABS(W1773)&gt;1E-12,Y1773&gt;0,Z1773&gt;0),AA1773,1E+300)</f>
        <v/>
      </c>
    </row>
    <row r="1774">
      <c r="A1774">
        <f>$B$3+$B$5*28</f>
        <v/>
      </c>
      <c r="B1774">
        <f>$B$3+$B$5*54</f>
        <v/>
      </c>
      <c r="C1774">
        <f>SUMPRODUCT(Calc!$K$3:$K$22*(Calc!$G$3:$G$22&lt;=A1774))</f>
        <v/>
      </c>
      <c r="D1774">
        <f>SUMPRODUCT(Calc!$K$3:$K$22*(Calc!$G$3:$G$22&gt;A1774)*(Calc!$G$3:$G$22&lt;B1774))</f>
        <v/>
      </c>
      <c r="E1774">
        <f>SUMPRODUCT(Calc!$K$3:$K$22*(Calc!$G$3:$G$22&gt;=B1774))</f>
        <v/>
      </c>
      <c r="F1774">
        <f>AND(k_n&gt;=5,B1774&gt;A1774+1E-9,C1774&gt;=2,D1774&gt;=1,E1774&gt;=2)</f>
        <v/>
      </c>
      <c r="G1774">
        <f>SUMPRODUCT(Calc!$K$3:$K$22*(Calc!$G$3:$G$22&gt;A1774)*(Calc!$G$3:$G$22-A1774))</f>
        <v/>
      </c>
      <c r="H1774">
        <f>SUMPRODUCT(Calc!$K$3:$K$22*(Calc!$G$3:$G$22&gt;B1774)*(Calc!$G$3:$G$22-B1774))</f>
        <v/>
      </c>
      <c r="I1774">
        <f>SUMPRODUCT(Calc!$K$3:$K$22*(Calc!$G$3:$G$22&gt;A1774)*(Calc!$G$3:$G$22-A1774)^2)</f>
        <v/>
      </c>
      <c r="J1774">
        <f>SUMPRODUCT(Calc!$K$3:$K$22*(Calc!$G$3:$G$22&gt;B1774)*(Calc!$G$3:$G$22-B1774)^2)</f>
        <v/>
      </c>
      <c r="K1774">
        <f>SUMPRODUCT(Calc!$K$3:$K$22*(Calc!$G$3:$G$22&gt;A1774)*(Calc!$G$3:$G$22-A1774)*(Calc!$G$3:$G$22&gt;B1774)*(Calc!$G$3:$G$22-B1774))</f>
        <v/>
      </c>
      <c r="L1774">
        <f>SUMPRODUCT(Calc!$K$3:$K$22*(Calc!$G$3:$G$22&gt;A1774)*(Calc!$G$3:$G$22-A1774)*Calc!$G$3:$G$22)</f>
        <v/>
      </c>
      <c r="M1774">
        <f>SUMPRODUCT(Calc!$K$3:$K$22*(Calc!$G$3:$G$22&gt;B1774)*(Calc!$G$3:$G$22-B1774)*Calc!$G$3:$G$22)</f>
        <v/>
      </c>
      <c r="N1774">
        <f>SUMPRODUCT(Calc!$K$3:$K$22*(Calc!$G$3:$G$22&gt;A1774)*(Calc!$G$3:$G$22-A1774)*Calc!$I$3:$I$22)</f>
        <v/>
      </c>
      <c r="O1774">
        <f>SUMPRODUCT(Calc!$K$3:$K$22*(Calc!$G$3:$G$22&gt;B1774)*(Calc!$G$3:$G$22-B1774)*Calc!$I$3:$I$22)</f>
        <v/>
      </c>
      <c r="P1774">
        <f>I1774-G1774^2/k_n</f>
        <v/>
      </c>
      <c r="Q1774">
        <f>J1774-H1774^2/k_n</f>
        <v/>
      </c>
      <c r="R1774">
        <f>K1774-G1774*H1774/k_n</f>
        <v/>
      </c>
      <c r="S1774">
        <f>L1774-LTP3!$D$3*G1774/k_n</f>
        <v/>
      </c>
      <c r="T1774">
        <f>M1774-LTP3!$D$3*H1774/k_n</f>
        <v/>
      </c>
      <c r="U1774">
        <f>N1774-G1774*LTP3!$D$4/k_n</f>
        <v/>
      </c>
      <c r="V1774">
        <f>O1774-H1774*LTP3!$D$4/k_n</f>
        <v/>
      </c>
      <c r="W1774">
        <f>((LTP3!$D$5)*((P1774)*(Q1774)-(R1774)*(R1774))-(S1774)*((S1774)*(Q1774)-(R1774)*(T1774))+(T1774)*((S1774)*(R1774)-(P1774)*(T1774)))</f>
        <v/>
      </c>
      <c r="X1774">
        <f>IF(ABS(W1774)&gt;1E-12,((LTP3!$D$6)*((P1774)*(Q1774)-(R1774)*(R1774))-(S1774)*((U1774)*(Q1774)-(R1774)*(V1774))+(T1774)*((U1774)*(R1774)-(P1774)*(V1774)))/W1774,0)</f>
        <v/>
      </c>
      <c r="Y1774">
        <f>IF(ABS(W1774)&gt;1E-12,((LTP3!$D$5)*((U1774)*(Q1774)-(R1774)*(V1774))-(LTP3!$D$6)*((S1774)*(Q1774)-(R1774)*(T1774))+(T1774)*((S1774)*(V1774)-(U1774)*(T1774)))/W1774,0)</f>
        <v/>
      </c>
      <c r="Z1774">
        <f>IF(ABS(W1774)&gt;1E-12,((LTP3!$D$5)*((P1774)*(V1774)-(U1774)*(R1774))-(S1774)*((S1774)*(V1774)-(U1774)*(T1774))+(LTP3!$D$6)*((S1774)*(R1774)-(P1774)*(T1774)))/W1774,0)</f>
        <v/>
      </c>
      <c r="AA1774">
        <f>LTP3!$D$7-X1774*LTP3!$D$6-Y1774*U1774-Z1774*V1774</f>
        <v/>
      </c>
      <c r="AB1774">
        <f>IF(AND(F1774,ABS(W1774)&gt;1E-12,Y1774&gt;0,Z1774&gt;0),AA1774,1E+300)</f>
        <v/>
      </c>
    </row>
    <row r="1775">
      <c r="A1775">
        <f>$B$3+$B$5*28</f>
        <v/>
      </c>
      <c r="B1775">
        <f>$B$3+$B$5*55</f>
        <v/>
      </c>
      <c r="C1775">
        <f>SUMPRODUCT(Calc!$K$3:$K$22*(Calc!$G$3:$G$22&lt;=A1775))</f>
        <v/>
      </c>
      <c r="D1775">
        <f>SUMPRODUCT(Calc!$K$3:$K$22*(Calc!$G$3:$G$22&gt;A1775)*(Calc!$G$3:$G$22&lt;B1775))</f>
        <v/>
      </c>
      <c r="E1775">
        <f>SUMPRODUCT(Calc!$K$3:$K$22*(Calc!$G$3:$G$22&gt;=B1775))</f>
        <v/>
      </c>
      <c r="F1775">
        <f>AND(k_n&gt;=5,B1775&gt;A1775+1E-9,C1775&gt;=2,D1775&gt;=1,E1775&gt;=2)</f>
        <v/>
      </c>
      <c r="G1775">
        <f>SUMPRODUCT(Calc!$K$3:$K$22*(Calc!$G$3:$G$22&gt;A1775)*(Calc!$G$3:$G$22-A1775))</f>
        <v/>
      </c>
      <c r="H1775">
        <f>SUMPRODUCT(Calc!$K$3:$K$22*(Calc!$G$3:$G$22&gt;B1775)*(Calc!$G$3:$G$22-B1775))</f>
        <v/>
      </c>
      <c r="I1775">
        <f>SUMPRODUCT(Calc!$K$3:$K$22*(Calc!$G$3:$G$22&gt;A1775)*(Calc!$G$3:$G$22-A1775)^2)</f>
        <v/>
      </c>
      <c r="J1775">
        <f>SUMPRODUCT(Calc!$K$3:$K$22*(Calc!$G$3:$G$22&gt;B1775)*(Calc!$G$3:$G$22-B1775)^2)</f>
        <v/>
      </c>
      <c r="K1775">
        <f>SUMPRODUCT(Calc!$K$3:$K$22*(Calc!$G$3:$G$22&gt;A1775)*(Calc!$G$3:$G$22-A1775)*(Calc!$G$3:$G$22&gt;B1775)*(Calc!$G$3:$G$22-B1775))</f>
        <v/>
      </c>
      <c r="L1775">
        <f>SUMPRODUCT(Calc!$K$3:$K$22*(Calc!$G$3:$G$22&gt;A1775)*(Calc!$G$3:$G$22-A1775)*Calc!$G$3:$G$22)</f>
        <v/>
      </c>
      <c r="M1775">
        <f>SUMPRODUCT(Calc!$K$3:$K$22*(Calc!$G$3:$G$22&gt;B1775)*(Calc!$G$3:$G$22-B1775)*Calc!$G$3:$G$22)</f>
        <v/>
      </c>
      <c r="N1775">
        <f>SUMPRODUCT(Calc!$K$3:$K$22*(Calc!$G$3:$G$22&gt;A1775)*(Calc!$G$3:$G$22-A1775)*Calc!$I$3:$I$22)</f>
        <v/>
      </c>
      <c r="O1775">
        <f>SUMPRODUCT(Calc!$K$3:$K$22*(Calc!$G$3:$G$22&gt;B1775)*(Calc!$G$3:$G$22-B1775)*Calc!$I$3:$I$22)</f>
        <v/>
      </c>
      <c r="P1775">
        <f>I1775-G1775^2/k_n</f>
        <v/>
      </c>
      <c r="Q1775">
        <f>J1775-H1775^2/k_n</f>
        <v/>
      </c>
      <c r="R1775">
        <f>K1775-G1775*H1775/k_n</f>
        <v/>
      </c>
      <c r="S1775">
        <f>L1775-LTP3!$D$3*G1775/k_n</f>
        <v/>
      </c>
      <c r="T1775">
        <f>M1775-LTP3!$D$3*H1775/k_n</f>
        <v/>
      </c>
      <c r="U1775">
        <f>N1775-G1775*LTP3!$D$4/k_n</f>
        <v/>
      </c>
      <c r="V1775">
        <f>O1775-H1775*LTP3!$D$4/k_n</f>
        <v/>
      </c>
      <c r="W1775">
        <f>((LTP3!$D$5)*((P1775)*(Q1775)-(R1775)*(R1775))-(S1775)*((S1775)*(Q1775)-(R1775)*(T1775))+(T1775)*((S1775)*(R1775)-(P1775)*(T1775)))</f>
        <v/>
      </c>
      <c r="X1775">
        <f>IF(ABS(W1775)&gt;1E-12,((LTP3!$D$6)*((P1775)*(Q1775)-(R1775)*(R1775))-(S1775)*((U1775)*(Q1775)-(R1775)*(V1775))+(T1775)*((U1775)*(R1775)-(P1775)*(V1775)))/W1775,0)</f>
        <v/>
      </c>
      <c r="Y1775">
        <f>IF(ABS(W1775)&gt;1E-12,((LTP3!$D$5)*((U1775)*(Q1775)-(R1775)*(V1775))-(LTP3!$D$6)*((S1775)*(Q1775)-(R1775)*(T1775))+(T1775)*((S1775)*(V1775)-(U1775)*(T1775)))/W1775,0)</f>
        <v/>
      </c>
      <c r="Z1775">
        <f>IF(ABS(W1775)&gt;1E-12,((LTP3!$D$5)*((P1775)*(V1775)-(U1775)*(R1775))-(S1775)*((S1775)*(V1775)-(U1775)*(T1775))+(LTP3!$D$6)*((S1775)*(R1775)-(P1775)*(T1775)))/W1775,0)</f>
        <v/>
      </c>
      <c r="AA1775">
        <f>LTP3!$D$7-X1775*LTP3!$D$6-Y1775*U1775-Z1775*V1775</f>
        <v/>
      </c>
      <c r="AB1775">
        <f>IF(AND(F1775,ABS(W1775)&gt;1E-12,Y1775&gt;0,Z1775&gt;0),AA1775,1E+300)</f>
        <v/>
      </c>
    </row>
    <row r="1776">
      <c r="A1776">
        <f>$B$3+$B$5*28</f>
        <v/>
      </c>
      <c r="B1776">
        <f>$B$3+$B$5*56</f>
        <v/>
      </c>
      <c r="C1776">
        <f>SUMPRODUCT(Calc!$K$3:$K$22*(Calc!$G$3:$G$22&lt;=A1776))</f>
        <v/>
      </c>
      <c r="D1776">
        <f>SUMPRODUCT(Calc!$K$3:$K$22*(Calc!$G$3:$G$22&gt;A1776)*(Calc!$G$3:$G$22&lt;B1776))</f>
        <v/>
      </c>
      <c r="E1776">
        <f>SUMPRODUCT(Calc!$K$3:$K$22*(Calc!$G$3:$G$22&gt;=B1776))</f>
        <v/>
      </c>
      <c r="F1776">
        <f>AND(k_n&gt;=5,B1776&gt;A1776+1E-9,C1776&gt;=2,D1776&gt;=1,E1776&gt;=2)</f>
        <v/>
      </c>
      <c r="G1776">
        <f>SUMPRODUCT(Calc!$K$3:$K$22*(Calc!$G$3:$G$22&gt;A1776)*(Calc!$G$3:$G$22-A1776))</f>
        <v/>
      </c>
      <c r="H1776">
        <f>SUMPRODUCT(Calc!$K$3:$K$22*(Calc!$G$3:$G$22&gt;B1776)*(Calc!$G$3:$G$22-B1776))</f>
        <v/>
      </c>
      <c r="I1776">
        <f>SUMPRODUCT(Calc!$K$3:$K$22*(Calc!$G$3:$G$22&gt;A1776)*(Calc!$G$3:$G$22-A1776)^2)</f>
        <v/>
      </c>
      <c r="J1776">
        <f>SUMPRODUCT(Calc!$K$3:$K$22*(Calc!$G$3:$G$22&gt;B1776)*(Calc!$G$3:$G$22-B1776)^2)</f>
        <v/>
      </c>
      <c r="K1776">
        <f>SUMPRODUCT(Calc!$K$3:$K$22*(Calc!$G$3:$G$22&gt;A1776)*(Calc!$G$3:$G$22-A1776)*(Calc!$G$3:$G$22&gt;B1776)*(Calc!$G$3:$G$22-B1776))</f>
        <v/>
      </c>
      <c r="L1776">
        <f>SUMPRODUCT(Calc!$K$3:$K$22*(Calc!$G$3:$G$22&gt;A1776)*(Calc!$G$3:$G$22-A1776)*Calc!$G$3:$G$22)</f>
        <v/>
      </c>
      <c r="M1776">
        <f>SUMPRODUCT(Calc!$K$3:$K$22*(Calc!$G$3:$G$22&gt;B1776)*(Calc!$G$3:$G$22-B1776)*Calc!$G$3:$G$22)</f>
        <v/>
      </c>
      <c r="N1776">
        <f>SUMPRODUCT(Calc!$K$3:$K$22*(Calc!$G$3:$G$22&gt;A1776)*(Calc!$G$3:$G$22-A1776)*Calc!$I$3:$I$22)</f>
        <v/>
      </c>
      <c r="O1776">
        <f>SUMPRODUCT(Calc!$K$3:$K$22*(Calc!$G$3:$G$22&gt;B1776)*(Calc!$G$3:$G$22-B1776)*Calc!$I$3:$I$22)</f>
        <v/>
      </c>
      <c r="P1776">
        <f>I1776-G1776^2/k_n</f>
        <v/>
      </c>
      <c r="Q1776">
        <f>J1776-H1776^2/k_n</f>
        <v/>
      </c>
      <c r="R1776">
        <f>K1776-G1776*H1776/k_n</f>
        <v/>
      </c>
      <c r="S1776">
        <f>L1776-LTP3!$D$3*G1776/k_n</f>
        <v/>
      </c>
      <c r="T1776">
        <f>M1776-LTP3!$D$3*H1776/k_n</f>
        <v/>
      </c>
      <c r="U1776">
        <f>N1776-G1776*LTP3!$D$4/k_n</f>
        <v/>
      </c>
      <c r="V1776">
        <f>O1776-H1776*LTP3!$D$4/k_n</f>
        <v/>
      </c>
      <c r="W1776">
        <f>((LTP3!$D$5)*((P1776)*(Q1776)-(R1776)*(R1776))-(S1776)*((S1776)*(Q1776)-(R1776)*(T1776))+(T1776)*((S1776)*(R1776)-(P1776)*(T1776)))</f>
        <v/>
      </c>
      <c r="X1776">
        <f>IF(ABS(W1776)&gt;1E-12,((LTP3!$D$6)*((P1776)*(Q1776)-(R1776)*(R1776))-(S1776)*((U1776)*(Q1776)-(R1776)*(V1776))+(T1776)*((U1776)*(R1776)-(P1776)*(V1776)))/W1776,0)</f>
        <v/>
      </c>
      <c r="Y1776">
        <f>IF(ABS(W1776)&gt;1E-12,((LTP3!$D$5)*((U1776)*(Q1776)-(R1776)*(V1776))-(LTP3!$D$6)*((S1776)*(Q1776)-(R1776)*(T1776))+(T1776)*((S1776)*(V1776)-(U1776)*(T1776)))/W1776,0)</f>
        <v/>
      </c>
      <c r="Z1776">
        <f>IF(ABS(W1776)&gt;1E-12,((LTP3!$D$5)*((P1776)*(V1776)-(U1776)*(R1776))-(S1776)*((S1776)*(V1776)-(U1776)*(T1776))+(LTP3!$D$6)*((S1776)*(R1776)-(P1776)*(T1776)))/W1776,0)</f>
        <v/>
      </c>
      <c r="AA1776">
        <f>LTP3!$D$7-X1776*LTP3!$D$6-Y1776*U1776-Z1776*V1776</f>
        <v/>
      </c>
      <c r="AB1776">
        <f>IF(AND(F1776,ABS(W1776)&gt;1E-12,Y1776&gt;0,Z1776&gt;0),AA1776,1E+300)</f>
        <v/>
      </c>
    </row>
    <row r="1777">
      <c r="A1777">
        <f>$B$3+$B$5*28</f>
        <v/>
      </c>
      <c r="B1777">
        <f>$B$3+$B$5*57</f>
        <v/>
      </c>
      <c r="C1777">
        <f>SUMPRODUCT(Calc!$K$3:$K$22*(Calc!$G$3:$G$22&lt;=A1777))</f>
        <v/>
      </c>
      <c r="D1777">
        <f>SUMPRODUCT(Calc!$K$3:$K$22*(Calc!$G$3:$G$22&gt;A1777)*(Calc!$G$3:$G$22&lt;B1777))</f>
        <v/>
      </c>
      <c r="E1777">
        <f>SUMPRODUCT(Calc!$K$3:$K$22*(Calc!$G$3:$G$22&gt;=B1777))</f>
        <v/>
      </c>
      <c r="F1777">
        <f>AND(k_n&gt;=5,B1777&gt;A1777+1E-9,C1777&gt;=2,D1777&gt;=1,E1777&gt;=2)</f>
        <v/>
      </c>
      <c r="G1777">
        <f>SUMPRODUCT(Calc!$K$3:$K$22*(Calc!$G$3:$G$22&gt;A1777)*(Calc!$G$3:$G$22-A1777))</f>
        <v/>
      </c>
      <c r="H1777">
        <f>SUMPRODUCT(Calc!$K$3:$K$22*(Calc!$G$3:$G$22&gt;B1777)*(Calc!$G$3:$G$22-B1777))</f>
        <v/>
      </c>
      <c r="I1777">
        <f>SUMPRODUCT(Calc!$K$3:$K$22*(Calc!$G$3:$G$22&gt;A1777)*(Calc!$G$3:$G$22-A1777)^2)</f>
        <v/>
      </c>
      <c r="J1777">
        <f>SUMPRODUCT(Calc!$K$3:$K$22*(Calc!$G$3:$G$22&gt;B1777)*(Calc!$G$3:$G$22-B1777)^2)</f>
        <v/>
      </c>
      <c r="K1777">
        <f>SUMPRODUCT(Calc!$K$3:$K$22*(Calc!$G$3:$G$22&gt;A1777)*(Calc!$G$3:$G$22-A1777)*(Calc!$G$3:$G$22&gt;B1777)*(Calc!$G$3:$G$22-B1777))</f>
        <v/>
      </c>
      <c r="L1777">
        <f>SUMPRODUCT(Calc!$K$3:$K$22*(Calc!$G$3:$G$22&gt;A1777)*(Calc!$G$3:$G$22-A1777)*Calc!$G$3:$G$22)</f>
        <v/>
      </c>
      <c r="M1777">
        <f>SUMPRODUCT(Calc!$K$3:$K$22*(Calc!$G$3:$G$22&gt;B1777)*(Calc!$G$3:$G$22-B1777)*Calc!$G$3:$G$22)</f>
        <v/>
      </c>
      <c r="N1777">
        <f>SUMPRODUCT(Calc!$K$3:$K$22*(Calc!$G$3:$G$22&gt;A1777)*(Calc!$G$3:$G$22-A1777)*Calc!$I$3:$I$22)</f>
        <v/>
      </c>
      <c r="O1777">
        <f>SUMPRODUCT(Calc!$K$3:$K$22*(Calc!$G$3:$G$22&gt;B1777)*(Calc!$G$3:$G$22-B1777)*Calc!$I$3:$I$22)</f>
        <v/>
      </c>
      <c r="P1777">
        <f>I1777-G1777^2/k_n</f>
        <v/>
      </c>
      <c r="Q1777">
        <f>J1777-H1777^2/k_n</f>
        <v/>
      </c>
      <c r="R1777">
        <f>K1777-G1777*H1777/k_n</f>
        <v/>
      </c>
      <c r="S1777">
        <f>L1777-LTP3!$D$3*G1777/k_n</f>
        <v/>
      </c>
      <c r="T1777">
        <f>M1777-LTP3!$D$3*H1777/k_n</f>
        <v/>
      </c>
      <c r="U1777">
        <f>N1777-G1777*LTP3!$D$4/k_n</f>
        <v/>
      </c>
      <c r="V1777">
        <f>O1777-H1777*LTP3!$D$4/k_n</f>
        <v/>
      </c>
      <c r="W1777">
        <f>((LTP3!$D$5)*((P1777)*(Q1777)-(R1777)*(R1777))-(S1777)*((S1777)*(Q1777)-(R1777)*(T1777))+(T1777)*((S1777)*(R1777)-(P1777)*(T1777)))</f>
        <v/>
      </c>
      <c r="X1777">
        <f>IF(ABS(W1777)&gt;1E-12,((LTP3!$D$6)*((P1777)*(Q1777)-(R1777)*(R1777))-(S1777)*((U1777)*(Q1777)-(R1777)*(V1777))+(T1777)*((U1777)*(R1777)-(P1777)*(V1777)))/W1777,0)</f>
        <v/>
      </c>
      <c r="Y1777">
        <f>IF(ABS(W1777)&gt;1E-12,((LTP3!$D$5)*((U1777)*(Q1777)-(R1777)*(V1777))-(LTP3!$D$6)*((S1777)*(Q1777)-(R1777)*(T1777))+(T1777)*((S1777)*(V1777)-(U1777)*(T1777)))/W1777,0)</f>
        <v/>
      </c>
      <c r="Z1777">
        <f>IF(ABS(W1777)&gt;1E-12,((LTP3!$D$5)*((P1777)*(V1777)-(U1777)*(R1777))-(S1777)*((S1777)*(V1777)-(U1777)*(T1777))+(LTP3!$D$6)*((S1777)*(R1777)-(P1777)*(T1777)))/W1777,0)</f>
        <v/>
      </c>
      <c r="AA1777">
        <f>LTP3!$D$7-X1777*LTP3!$D$6-Y1777*U1777-Z1777*V1777</f>
        <v/>
      </c>
      <c r="AB1777">
        <f>IF(AND(F1777,ABS(W1777)&gt;1E-12,Y1777&gt;0,Z1777&gt;0),AA1777,1E+300)</f>
        <v/>
      </c>
    </row>
    <row r="1778">
      <c r="A1778">
        <f>$B$3+$B$5*28</f>
        <v/>
      </c>
      <c r="B1778">
        <f>$B$3+$B$5*58</f>
        <v/>
      </c>
      <c r="C1778">
        <f>SUMPRODUCT(Calc!$K$3:$K$22*(Calc!$G$3:$G$22&lt;=A1778))</f>
        <v/>
      </c>
      <c r="D1778">
        <f>SUMPRODUCT(Calc!$K$3:$K$22*(Calc!$G$3:$G$22&gt;A1778)*(Calc!$G$3:$G$22&lt;B1778))</f>
        <v/>
      </c>
      <c r="E1778">
        <f>SUMPRODUCT(Calc!$K$3:$K$22*(Calc!$G$3:$G$22&gt;=B1778))</f>
        <v/>
      </c>
      <c r="F1778">
        <f>AND(k_n&gt;=5,B1778&gt;A1778+1E-9,C1778&gt;=2,D1778&gt;=1,E1778&gt;=2)</f>
        <v/>
      </c>
      <c r="G1778">
        <f>SUMPRODUCT(Calc!$K$3:$K$22*(Calc!$G$3:$G$22&gt;A1778)*(Calc!$G$3:$G$22-A1778))</f>
        <v/>
      </c>
      <c r="H1778">
        <f>SUMPRODUCT(Calc!$K$3:$K$22*(Calc!$G$3:$G$22&gt;B1778)*(Calc!$G$3:$G$22-B1778))</f>
        <v/>
      </c>
      <c r="I1778">
        <f>SUMPRODUCT(Calc!$K$3:$K$22*(Calc!$G$3:$G$22&gt;A1778)*(Calc!$G$3:$G$22-A1778)^2)</f>
        <v/>
      </c>
      <c r="J1778">
        <f>SUMPRODUCT(Calc!$K$3:$K$22*(Calc!$G$3:$G$22&gt;B1778)*(Calc!$G$3:$G$22-B1778)^2)</f>
        <v/>
      </c>
      <c r="K1778">
        <f>SUMPRODUCT(Calc!$K$3:$K$22*(Calc!$G$3:$G$22&gt;A1778)*(Calc!$G$3:$G$22-A1778)*(Calc!$G$3:$G$22&gt;B1778)*(Calc!$G$3:$G$22-B1778))</f>
        <v/>
      </c>
      <c r="L1778">
        <f>SUMPRODUCT(Calc!$K$3:$K$22*(Calc!$G$3:$G$22&gt;A1778)*(Calc!$G$3:$G$22-A1778)*Calc!$G$3:$G$22)</f>
        <v/>
      </c>
      <c r="M1778">
        <f>SUMPRODUCT(Calc!$K$3:$K$22*(Calc!$G$3:$G$22&gt;B1778)*(Calc!$G$3:$G$22-B1778)*Calc!$G$3:$G$22)</f>
        <v/>
      </c>
      <c r="N1778">
        <f>SUMPRODUCT(Calc!$K$3:$K$22*(Calc!$G$3:$G$22&gt;A1778)*(Calc!$G$3:$G$22-A1778)*Calc!$I$3:$I$22)</f>
        <v/>
      </c>
      <c r="O1778">
        <f>SUMPRODUCT(Calc!$K$3:$K$22*(Calc!$G$3:$G$22&gt;B1778)*(Calc!$G$3:$G$22-B1778)*Calc!$I$3:$I$22)</f>
        <v/>
      </c>
      <c r="P1778">
        <f>I1778-G1778^2/k_n</f>
        <v/>
      </c>
      <c r="Q1778">
        <f>J1778-H1778^2/k_n</f>
        <v/>
      </c>
      <c r="R1778">
        <f>K1778-G1778*H1778/k_n</f>
        <v/>
      </c>
      <c r="S1778">
        <f>L1778-LTP3!$D$3*G1778/k_n</f>
        <v/>
      </c>
      <c r="T1778">
        <f>M1778-LTP3!$D$3*H1778/k_n</f>
        <v/>
      </c>
      <c r="U1778">
        <f>N1778-G1778*LTP3!$D$4/k_n</f>
        <v/>
      </c>
      <c r="V1778">
        <f>O1778-H1778*LTP3!$D$4/k_n</f>
        <v/>
      </c>
      <c r="W1778">
        <f>((LTP3!$D$5)*((P1778)*(Q1778)-(R1778)*(R1778))-(S1778)*((S1778)*(Q1778)-(R1778)*(T1778))+(T1778)*((S1778)*(R1778)-(P1778)*(T1778)))</f>
        <v/>
      </c>
      <c r="X1778">
        <f>IF(ABS(W1778)&gt;1E-12,((LTP3!$D$6)*((P1778)*(Q1778)-(R1778)*(R1778))-(S1778)*((U1778)*(Q1778)-(R1778)*(V1778))+(T1778)*((U1778)*(R1778)-(P1778)*(V1778)))/W1778,0)</f>
        <v/>
      </c>
      <c r="Y1778">
        <f>IF(ABS(W1778)&gt;1E-12,((LTP3!$D$5)*((U1778)*(Q1778)-(R1778)*(V1778))-(LTP3!$D$6)*((S1778)*(Q1778)-(R1778)*(T1778))+(T1778)*((S1778)*(V1778)-(U1778)*(T1778)))/W1778,0)</f>
        <v/>
      </c>
      <c r="Z1778">
        <f>IF(ABS(W1778)&gt;1E-12,((LTP3!$D$5)*((P1778)*(V1778)-(U1778)*(R1778))-(S1778)*((S1778)*(V1778)-(U1778)*(T1778))+(LTP3!$D$6)*((S1778)*(R1778)-(P1778)*(T1778)))/W1778,0)</f>
        <v/>
      </c>
      <c r="AA1778">
        <f>LTP3!$D$7-X1778*LTP3!$D$6-Y1778*U1778-Z1778*V1778</f>
        <v/>
      </c>
      <c r="AB1778">
        <f>IF(AND(F1778,ABS(W1778)&gt;1E-12,Y1778&gt;0,Z1778&gt;0),AA1778,1E+300)</f>
        <v/>
      </c>
    </row>
    <row r="1779">
      <c r="A1779">
        <f>$B$3+$B$5*28</f>
        <v/>
      </c>
      <c r="B1779">
        <f>$B$3+$B$5*59</f>
        <v/>
      </c>
      <c r="C1779">
        <f>SUMPRODUCT(Calc!$K$3:$K$22*(Calc!$G$3:$G$22&lt;=A1779))</f>
        <v/>
      </c>
      <c r="D1779">
        <f>SUMPRODUCT(Calc!$K$3:$K$22*(Calc!$G$3:$G$22&gt;A1779)*(Calc!$G$3:$G$22&lt;B1779))</f>
        <v/>
      </c>
      <c r="E1779">
        <f>SUMPRODUCT(Calc!$K$3:$K$22*(Calc!$G$3:$G$22&gt;=B1779))</f>
        <v/>
      </c>
      <c r="F1779">
        <f>AND(k_n&gt;=5,B1779&gt;A1779+1E-9,C1779&gt;=2,D1779&gt;=1,E1779&gt;=2)</f>
        <v/>
      </c>
      <c r="G1779">
        <f>SUMPRODUCT(Calc!$K$3:$K$22*(Calc!$G$3:$G$22&gt;A1779)*(Calc!$G$3:$G$22-A1779))</f>
        <v/>
      </c>
      <c r="H1779">
        <f>SUMPRODUCT(Calc!$K$3:$K$22*(Calc!$G$3:$G$22&gt;B1779)*(Calc!$G$3:$G$22-B1779))</f>
        <v/>
      </c>
      <c r="I1779">
        <f>SUMPRODUCT(Calc!$K$3:$K$22*(Calc!$G$3:$G$22&gt;A1779)*(Calc!$G$3:$G$22-A1779)^2)</f>
        <v/>
      </c>
      <c r="J1779">
        <f>SUMPRODUCT(Calc!$K$3:$K$22*(Calc!$G$3:$G$22&gt;B1779)*(Calc!$G$3:$G$22-B1779)^2)</f>
        <v/>
      </c>
      <c r="K1779">
        <f>SUMPRODUCT(Calc!$K$3:$K$22*(Calc!$G$3:$G$22&gt;A1779)*(Calc!$G$3:$G$22-A1779)*(Calc!$G$3:$G$22&gt;B1779)*(Calc!$G$3:$G$22-B1779))</f>
        <v/>
      </c>
      <c r="L1779">
        <f>SUMPRODUCT(Calc!$K$3:$K$22*(Calc!$G$3:$G$22&gt;A1779)*(Calc!$G$3:$G$22-A1779)*Calc!$G$3:$G$22)</f>
        <v/>
      </c>
      <c r="M1779">
        <f>SUMPRODUCT(Calc!$K$3:$K$22*(Calc!$G$3:$G$22&gt;B1779)*(Calc!$G$3:$G$22-B1779)*Calc!$G$3:$G$22)</f>
        <v/>
      </c>
      <c r="N1779">
        <f>SUMPRODUCT(Calc!$K$3:$K$22*(Calc!$G$3:$G$22&gt;A1779)*(Calc!$G$3:$G$22-A1779)*Calc!$I$3:$I$22)</f>
        <v/>
      </c>
      <c r="O1779">
        <f>SUMPRODUCT(Calc!$K$3:$K$22*(Calc!$G$3:$G$22&gt;B1779)*(Calc!$G$3:$G$22-B1779)*Calc!$I$3:$I$22)</f>
        <v/>
      </c>
      <c r="P1779">
        <f>I1779-G1779^2/k_n</f>
        <v/>
      </c>
      <c r="Q1779">
        <f>J1779-H1779^2/k_n</f>
        <v/>
      </c>
      <c r="R1779">
        <f>K1779-G1779*H1779/k_n</f>
        <v/>
      </c>
      <c r="S1779">
        <f>L1779-LTP3!$D$3*G1779/k_n</f>
        <v/>
      </c>
      <c r="T1779">
        <f>M1779-LTP3!$D$3*H1779/k_n</f>
        <v/>
      </c>
      <c r="U1779">
        <f>N1779-G1779*LTP3!$D$4/k_n</f>
        <v/>
      </c>
      <c r="V1779">
        <f>O1779-H1779*LTP3!$D$4/k_n</f>
        <v/>
      </c>
      <c r="W1779">
        <f>((LTP3!$D$5)*((P1779)*(Q1779)-(R1779)*(R1779))-(S1779)*((S1779)*(Q1779)-(R1779)*(T1779))+(T1779)*((S1779)*(R1779)-(P1779)*(T1779)))</f>
        <v/>
      </c>
      <c r="X1779">
        <f>IF(ABS(W1779)&gt;1E-12,((LTP3!$D$6)*((P1779)*(Q1779)-(R1779)*(R1779))-(S1779)*((U1779)*(Q1779)-(R1779)*(V1779))+(T1779)*((U1779)*(R1779)-(P1779)*(V1779)))/W1779,0)</f>
        <v/>
      </c>
      <c r="Y1779">
        <f>IF(ABS(W1779)&gt;1E-12,((LTP3!$D$5)*((U1779)*(Q1779)-(R1779)*(V1779))-(LTP3!$D$6)*((S1779)*(Q1779)-(R1779)*(T1779))+(T1779)*((S1779)*(V1779)-(U1779)*(T1779)))/W1779,0)</f>
        <v/>
      </c>
      <c r="Z1779">
        <f>IF(ABS(W1779)&gt;1E-12,((LTP3!$D$5)*((P1779)*(V1779)-(U1779)*(R1779))-(S1779)*((S1779)*(V1779)-(U1779)*(T1779))+(LTP3!$D$6)*((S1779)*(R1779)-(P1779)*(T1779)))/W1779,0)</f>
        <v/>
      </c>
      <c r="AA1779">
        <f>LTP3!$D$7-X1779*LTP3!$D$6-Y1779*U1779-Z1779*V1779</f>
        <v/>
      </c>
      <c r="AB1779">
        <f>IF(AND(F1779,ABS(W1779)&gt;1E-12,Y1779&gt;0,Z1779&gt;0),AA1779,1E+300)</f>
        <v/>
      </c>
    </row>
    <row r="1780">
      <c r="A1780">
        <f>$B$3+$B$5*28</f>
        <v/>
      </c>
      <c r="B1780">
        <f>$B$3+$B$5*60</f>
        <v/>
      </c>
      <c r="C1780">
        <f>SUMPRODUCT(Calc!$K$3:$K$22*(Calc!$G$3:$G$22&lt;=A1780))</f>
        <v/>
      </c>
      <c r="D1780">
        <f>SUMPRODUCT(Calc!$K$3:$K$22*(Calc!$G$3:$G$22&gt;A1780)*(Calc!$G$3:$G$22&lt;B1780))</f>
        <v/>
      </c>
      <c r="E1780">
        <f>SUMPRODUCT(Calc!$K$3:$K$22*(Calc!$G$3:$G$22&gt;=B1780))</f>
        <v/>
      </c>
      <c r="F1780">
        <f>AND(k_n&gt;=5,B1780&gt;A1780+1E-9,C1780&gt;=2,D1780&gt;=1,E1780&gt;=2)</f>
        <v/>
      </c>
      <c r="G1780">
        <f>SUMPRODUCT(Calc!$K$3:$K$22*(Calc!$G$3:$G$22&gt;A1780)*(Calc!$G$3:$G$22-A1780))</f>
        <v/>
      </c>
      <c r="H1780">
        <f>SUMPRODUCT(Calc!$K$3:$K$22*(Calc!$G$3:$G$22&gt;B1780)*(Calc!$G$3:$G$22-B1780))</f>
        <v/>
      </c>
      <c r="I1780">
        <f>SUMPRODUCT(Calc!$K$3:$K$22*(Calc!$G$3:$G$22&gt;A1780)*(Calc!$G$3:$G$22-A1780)^2)</f>
        <v/>
      </c>
      <c r="J1780">
        <f>SUMPRODUCT(Calc!$K$3:$K$22*(Calc!$G$3:$G$22&gt;B1780)*(Calc!$G$3:$G$22-B1780)^2)</f>
        <v/>
      </c>
      <c r="K1780">
        <f>SUMPRODUCT(Calc!$K$3:$K$22*(Calc!$G$3:$G$22&gt;A1780)*(Calc!$G$3:$G$22-A1780)*(Calc!$G$3:$G$22&gt;B1780)*(Calc!$G$3:$G$22-B1780))</f>
        <v/>
      </c>
      <c r="L1780">
        <f>SUMPRODUCT(Calc!$K$3:$K$22*(Calc!$G$3:$G$22&gt;A1780)*(Calc!$G$3:$G$22-A1780)*Calc!$G$3:$G$22)</f>
        <v/>
      </c>
      <c r="M1780">
        <f>SUMPRODUCT(Calc!$K$3:$K$22*(Calc!$G$3:$G$22&gt;B1780)*(Calc!$G$3:$G$22-B1780)*Calc!$G$3:$G$22)</f>
        <v/>
      </c>
      <c r="N1780">
        <f>SUMPRODUCT(Calc!$K$3:$K$22*(Calc!$G$3:$G$22&gt;A1780)*(Calc!$G$3:$G$22-A1780)*Calc!$I$3:$I$22)</f>
        <v/>
      </c>
      <c r="O1780">
        <f>SUMPRODUCT(Calc!$K$3:$K$22*(Calc!$G$3:$G$22&gt;B1780)*(Calc!$G$3:$G$22-B1780)*Calc!$I$3:$I$22)</f>
        <v/>
      </c>
      <c r="P1780">
        <f>I1780-G1780^2/k_n</f>
        <v/>
      </c>
      <c r="Q1780">
        <f>J1780-H1780^2/k_n</f>
        <v/>
      </c>
      <c r="R1780">
        <f>K1780-G1780*H1780/k_n</f>
        <v/>
      </c>
      <c r="S1780">
        <f>L1780-LTP3!$D$3*G1780/k_n</f>
        <v/>
      </c>
      <c r="T1780">
        <f>M1780-LTP3!$D$3*H1780/k_n</f>
        <v/>
      </c>
      <c r="U1780">
        <f>N1780-G1780*LTP3!$D$4/k_n</f>
        <v/>
      </c>
      <c r="V1780">
        <f>O1780-H1780*LTP3!$D$4/k_n</f>
        <v/>
      </c>
      <c r="W1780">
        <f>((LTP3!$D$5)*((P1780)*(Q1780)-(R1780)*(R1780))-(S1780)*((S1780)*(Q1780)-(R1780)*(T1780))+(T1780)*((S1780)*(R1780)-(P1780)*(T1780)))</f>
        <v/>
      </c>
      <c r="X1780">
        <f>IF(ABS(W1780)&gt;1E-12,((LTP3!$D$6)*((P1780)*(Q1780)-(R1780)*(R1780))-(S1780)*((U1780)*(Q1780)-(R1780)*(V1780))+(T1780)*((U1780)*(R1780)-(P1780)*(V1780)))/W1780,0)</f>
        <v/>
      </c>
      <c r="Y1780">
        <f>IF(ABS(W1780)&gt;1E-12,((LTP3!$D$5)*((U1780)*(Q1780)-(R1780)*(V1780))-(LTP3!$D$6)*((S1780)*(Q1780)-(R1780)*(T1780))+(T1780)*((S1780)*(V1780)-(U1780)*(T1780)))/W1780,0)</f>
        <v/>
      </c>
      <c r="Z1780">
        <f>IF(ABS(W1780)&gt;1E-12,((LTP3!$D$5)*((P1780)*(V1780)-(U1780)*(R1780))-(S1780)*((S1780)*(V1780)-(U1780)*(T1780))+(LTP3!$D$6)*((S1780)*(R1780)-(P1780)*(T1780)))/W1780,0)</f>
        <v/>
      </c>
      <c r="AA1780">
        <f>LTP3!$D$7-X1780*LTP3!$D$6-Y1780*U1780-Z1780*V1780</f>
        <v/>
      </c>
      <c r="AB1780">
        <f>IF(AND(F1780,ABS(W1780)&gt;1E-12,Y1780&gt;0,Z1780&gt;0),AA1780,1E+300)</f>
        <v/>
      </c>
    </row>
    <row r="1781">
      <c r="A1781">
        <f>$B$3+$B$5*29</f>
        <v/>
      </c>
      <c r="B1781">
        <f>$B$3+$B$5*0</f>
        <v/>
      </c>
      <c r="C1781">
        <f>SUMPRODUCT(Calc!$K$3:$K$22*(Calc!$G$3:$G$22&lt;=A1781))</f>
        <v/>
      </c>
      <c r="D1781">
        <f>SUMPRODUCT(Calc!$K$3:$K$22*(Calc!$G$3:$G$22&gt;A1781)*(Calc!$G$3:$G$22&lt;B1781))</f>
        <v/>
      </c>
      <c r="E1781">
        <f>SUMPRODUCT(Calc!$K$3:$K$22*(Calc!$G$3:$G$22&gt;=B1781))</f>
        <v/>
      </c>
      <c r="F1781">
        <f>AND(k_n&gt;=5,B1781&gt;A1781+1E-9,C1781&gt;=2,D1781&gt;=1,E1781&gt;=2)</f>
        <v/>
      </c>
      <c r="G1781">
        <f>SUMPRODUCT(Calc!$K$3:$K$22*(Calc!$G$3:$G$22&gt;A1781)*(Calc!$G$3:$G$22-A1781))</f>
        <v/>
      </c>
      <c r="H1781">
        <f>SUMPRODUCT(Calc!$K$3:$K$22*(Calc!$G$3:$G$22&gt;B1781)*(Calc!$G$3:$G$22-B1781))</f>
        <v/>
      </c>
      <c r="I1781">
        <f>SUMPRODUCT(Calc!$K$3:$K$22*(Calc!$G$3:$G$22&gt;A1781)*(Calc!$G$3:$G$22-A1781)^2)</f>
        <v/>
      </c>
      <c r="J1781">
        <f>SUMPRODUCT(Calc!$K$3:$K$22*(Calc!$G$3:$G$22&gt;B1781)*(Calc!$G$3:$G$22-B1781)^2)</f>
        <v/>
      </c>
      <c r="K1781">
        <f>SUMPRODUCT(Calc!$K$3:$K$22*(Calc!$G$3:$G$22&gt;A1781)*(Calc!$G$3:$G$22-A1781)*(Calc!$G$3:$G$22&gt;B1781)*(Calc!$G$3:$G$22-B1781))</f>
        <v/>
      </c>
      <c r="L1781">
        <f>SUMPRODUCT(Calc!$K$3:$K$22*(Calc!$G$3:$G$22&gt;A1781)*(Calc!$G$3:$G$22-A1781)*Calc!$G$3:$G$22)</f>
        <v/>
      </c>
      <c r="M1781">
        <f>SUMPRODUCT(Calc!$K$3:$K$22*(Calc!$G$3:$G$22&gt;B1781)*(Calc!$G$3:$G$22-B1781)*Calc!$G$3:$G$22)</f>
        <v/>
      </c>
      <c r="N1781">
        <f>SUMPRODUCT(Calc!$K$3:$K$22*(Calc!$G$3:$G$22&gt;A1781)*(Calc!$G$3:$G$22-A1781)*Calc!$I$3:$I$22)</f>
        <v/>
      </c>
      <c r="O1781">
        <f>SUMPRODUCT(Calc!$K$3:$K$22*(Calc!$G$3:$G$22&gt;B1781)*(Calc!$G$3:$G$22-B1781)*Calc!$I$3:$I$22)</f>
        <v/>
      </c>
      <c r="P1781">
        <f>I1781-G1781^2/k_n</f>
        <v/>
      </c>
      <c r="Q1781">
        <f>J1781-H1781^2/k_n</f>
        <v/>
      </c>
      <c r="R1781">
        <f>K1781-G1781*H1781/k_n</f>
        <v/>
      </c>
      <c r="S1781">
        <f>L1781-LTP3!$D$3*G1781/k_n</f>
        <v/>
      </c>
      <c r="T1781">
        <f>M1781-LTP3!$D$3*H1781/k_n</f>
        <v/>
      </c>
      <c r="U1781">
        <f>N1781-G1781*LTP3!$D$4/k_n</f>
        <v/>
      </c>
      <c r="V1781">
        <f>O1781-H1781*LTP3!$D$4/k_n</f>
        <v/>
      </c>
      <c r="W1781">
        <f>((LTP3!$D$5)*((P1781)*(Q1781)-(R1781)*(R1781))-(S1781)*((S1781)*(Q1781)-(R1781)*(T1781))+(T1781)*((S1781)*(R1781)-(P1781)*(T1781)))</f>
        <v/>
      </c>
      <c r="X1781">
        <f>IF(ABS(W1781)&gt;1E-12,((LTP3!$D$6)*((P1781)*(Q1781)-(R1781)*(R1781))-(S1781)*((U1781)*(Q1781)-(R1781)*(V1781))+(T1781)*((U1781)*(R1781)-(P1781)*(V1781)))/W1781,0)</f>
        <v/>
      </c>
      <c r="Y1781">
        <f>IF(ABS(W1781)&gt;1E-12,((LTP3!$D$5)*((U1781)*(Q1781)-(R1781)*(V1781))-(LTP3!$D$6)*((S1781)*(Q1781)-(R1781)*(T1781))+(T1781)*((S1781)*(V1781)-(U1781)*(T1781)))/W1781,0)</f>
        <v/>
      </c>
      <c r="Z1781">
        <f>IF(ABS(W1781)&gt;1E-12,((LTP3!$D$5)*((P1781)*(V1781)-(U1781)*(R1781))-(S1781)*((S1781)*(V1781)-(U1781)*(T1781))+(LTP3!$D$6)*((S1781)*(R1781)-(P1781)*(T1781)))/W1781,0)</f>
        <v/>
      </c>
      <c r="AA1781">
        <f>LTP3!$D$7-X1781*LTP3!$D$6-Y1781*U1781-Z1781*V1781</f>
        <v/>
      </c>
      <c r="AB1781">
        <f>IF(AND(F1781,ABS(W1781)&gt;1E-12,Y1781&gt;0,Z1781&gt;0),AA1781,1E+300)</f>
        <v/>
      </c>
    </row>
    <row r="1782">
      <c r="A1782">
        <f>$B$3+$B$5*29</f>
        <v/>
      </c>
      <c r="B1782">
        <f>$B$3+$B$5*1</f>
        <v/>
      </c>
      <c r="C1782">
        <f>SUMPRODUCT(Calc!$K$3:$K$22*(Calc!$G$3:$G$22&lt;=A1782))</f>
        <v/>
      </c>
      <c r="D1782">
        <f>SUMPRODUCT(Calc!$K$3:$K$22*(Calc!$G$3:$G$22&gt;A1782)*(Calc!$G$3:$G$22&lt;B1782))</f>
        <v/>
      </c>
      <c r="E1782">
        <f>SUMPRODUCT(Calc!$K$3:$K$22*(Calc!$G$3:$G$22&gt;=B1782))</f>
        <v/>
      </c>
      <c r="F1782">
        <f>AND(k_n&gt;=5,B1782&gt;A1782+1E-9,C1782&gt;=2,D1782&gt;=1,E1782&gt;=2)</f>
        <v/>
      </c>
      <c r="G1782">
        <f>SUMPRODUCT(Calc!$K$3:$K$22*(Calc!$G$3:$G$22&gt;A1782)*(Calc!$G$3:$G$22-A1782))</f>
        <v/>
      </c>
      <c r="H1782">
        <f>SUMPRODUCT(Calc!$K$3:$K$22*(Calc!$G$3:$G$22&gt;B1782)*(Calc!$G$3:$G$22-B1782))</f>
        <v/>
      </c>
      <c r="I1782">
        <f>SUMPRODUCT(Calc!$K$3:$K$22*(Calc!$G$3:$G$22&gt;A1782)*(Calc!$G$3:$G$22-A1782)^2)</f>
        <v/>
      </c>
      <c r="J1782">
        <f>SUMPRODUCT(Calc!$K$3:$K$22*(Calc!$G$3:$G$22&gt;B1782)*(Calc!$G$3:$G$22-B1782)^2)</f>
        <v/>
      </c>
      <c r="K1782">
        <f>SUMPRODUCT(Calc!$K$3:$K$22*(Calc!$G$3:$G$22&gt;A1782)*(Calc!$G$3:$G$22-A1782)*(Calc!$G$3:$G$22&gt;B1782)*(Calc!$G$3:$G$22-B1782))</f>
        <v/>
      </c>
      <c r="L1782">
        <f>SUMPRODUCT(Calc!$K$3:$K$22*(Calc!$G$3:$G$22&gt;A1782)*(Calc!$G$3:$G$22-A1782)*Calc!$G$3:$G$22)</f>
        <v/>
      </c>
      <c r="M1782">
        <f>SUMPRODUCT(Calc!$K$3:$K$22*(Calc!$G$3:$G$22&gt;B1782)*(Calc!$G$3:$G$22-B1782)*Calc!$G$3:$G$22)</f>
        <v/>
      </c>
      <c r="N1782">
        <f>SUMPRODUCT(Calc!$K$3:$K$22*(Calc!$G$3:$G$22&gt;A1782)*(Calc!$G$3:$G$22-A1782)*Calc!$I$3:$I$22)</f>
        <v/>
      </c>
      <c r="O1782">
        <f>SUMPRODUCT(Calc!$K$3:$K$22*(Calc!$G$3:$G$22&gt;B1782)*(Calc!$G$3:$G$22-B1782)*Calc!$I$3:$I$22)</f>
        <v/>
      </c>
      <c r="P1782">
        <f>I1782-G1782^2/k_n</f>
        <v/>
      </c>
      <c r="Q1782">
        <f>J1782-H1782^2/k_n</f>
        <v/>
      </c>
      <c r="R1782">
        <f>K1782-G1782*H1782/k_n</f>
        <v/>
      </c>
      <c r="S1782">
        <f>L1782-LTP3!$D$3*G1782/k_n</f>
        <v/>
      </c>
      <c r="T1782">
        <f>M1782-LTP3!$D$3*H1782/k_n</f>
        <v/>
      </c>
      <c r="U1782">
        <f>N1782-G1782*LTP3!$D$4/k_n</f>
        <v/>
      </c>
      <c r="V1782">
        <f>O1782-H1782*LTP3!$D$4/k_n</f>
        <v/>
      </c>
      <c r="W1782">
        <f>((LTP3!$D$5)*((P1782)*(Q1782)-(R1782)*(R1782))-(S1782)*((S1782)*(Q1782)-(R1782)*(T1782))+(T1782)*((S1782)*(R1782)-(P1782)*(T1782)))</f>
        <v/>
      </c>
      <c r="X1782">
        <f>IF(ABS(W1782)&gt;1E-12,((LTP3!$D$6)*((P1782)*(Q1782)-(R1782)*(R1782))-(S1782)*((U1782)*(Q1782)-(R1782)*(V1782))+(T1782)*((U1782)*(R1782)-(P1782)*(V1782)))/W1782,0)</f>
        <v/>
      </c>
      <c r="Y1782">
        <f>IF(ABS(W1782)&gt;1E-12,((LTP3!$D$5)*((U1782)*(Q1782)-(R1782)*(V1782))-(LTP3!$D$6)*((S1782)*(Q1782)-(R1782)*(T1782))+(T1782)*((S1782)*(V1782)-(U1782)*(T1782)))/W1782,0)</f>
        <v/>
      </c>
      <c r="Z1782">
        <f>IF(ABS(W1782)&gt;1E-12,((LTP3!$D$5)*((P1782)*(V1782)-(U1782)*(R1782))-(S1782)*((S1782)*(V1782)-(U1782)*(T1782))+(LTP3!$D$6)*((S1782)*(R1782)-(P1782)*(T1782)))/W1782,0)</f>
        <v/>
      </c>
      <c r="AA1782">
        <f>LTP3!$D$7-X1782*LTP3!$D$6-Y1782*U1782-Z1782*V1782</f>
        <v/>
      </c>
      <c r="AB1782">
        <f>IF(AND(F1782,ABS(W1782)&gt;1E-12,Y1782&gt;0,Z1782&gt;0),AA1782,1E+300)</f>
        <v/>
      </c>
    </row>
    <row r="1783">
      <c r="A1783">
        <f>$B$3+$B$5*29</f>
        <v/>
      </c>
      <c r="B1783">
        <f>$B$3+$B$5*2</f>
        <v/>
      </c>
      <c r="C1783">
        <f>SUMPRODUCT(Calc!$K$3:$K$22*(Calc!$G$3:$G$22&lt;=A1783))</f>
        <v/>
      </c>
      <c r="D1783">
        <f>SUMPRODUCT(Calc!$K$3:$K$22*(Calc!$G$3:$G$22&gt;A1783)*(Calc!$G$3:$G$22&lt;B1783))</f>
        <v/>
      </c>
      <c r="E1783">
        <f>SUMPRODUCT(Calc!$K$3:$K$22*(Calc!$G$3:$G$22&gt;=B1783))</f>
        <v/>
      </c>
      <c r="F1783">
        <f>AND(k_n&gt;=5,B1783&gt;A1783+1E-9,C1783&gt;=2,D1783&gt;=1,E1783&gt;=2)</f>
        <v/>
      </c>
      <c r="G1783">
        <f>SUMPRODUCT(Calc!$K$3:$K$22*(Calc!$G$3:$G$22&gt;A1783)*(Calc!$G$3:$G$22-A1783))</f>
        <v/>
      </c>
      <c r="H1783">
        <f>SUMPRODUCT(Calc!$K$3:$K$22*(Calc!$G$3:$G$22&gt;B1783)*(Calc!$G$3:$G$22-B1783))</f>
        <v/>
      </c>
      <c r="I1783">
        <f>SUMPRODUCT(Calc!$K$3:$K$22*(Calc!$G$3:$G$22&gt;A1783)*(Calc!$G$3:$G$22-A1783)^2)</f>
        <v/>
      </c>
      <c r="J1783">
        <f>SUMPRODUCT(Calc!$K$3:$K$22*(Calc!$G$3:$G$22&gt;B1783)*(Calc!$G$3:$G$22-B1783)^2)</f>
        <v/>
      </c>
      <c r="K1783">
        <f>SUMPRODUCT(Calc!$K$3:$K$22*(Calc!$G$3:$G$22&gt;A1783)*(Calc!$G$3:$G$22-A1783)*(Calc!$G$3:$G$22&gt;B1783)*(Calc!$G$3:$G$22-B1783))</f>
        <v/>
      </c>
      <c r="L1783">
        <f>SUMPRODUCT(Calc!$K$3:$K$22*(Calc!$G$3:$G$22&gt;A1783)*(Calc!$G$3:$G$22-A1783)*Calc!$G$3:$G$22)</f>
        <v/>
      </c>
      <c r="M1783">
        <f>SUMPRODUCT(Calc!$K$3:$K$22*(Calc!$G$3:$G$22&gt;B1783)*(Calc!$G$3:$G$22-B1783)*Calc!$G$3:$G$22)</f>
        <v/>
      </c>
      <c r="N1783">
        <f>SUMPRODUCT(Calc!$K$3:$K$22*(Calc!$G$3:$G$22&gt;A1783)*(Calc!$G$3:$G$22-A1783)*Calc!$I$3:$I$22)</f>
        <v/>
      </c>
      <c r="O1783">
        <f>SUMPRODUCT(Calc!$K$3:$K$22*(Calc!$G$3:$G$22&gt;B1783)*(Calc!$G$3:$G$22-B1783)*Calc!$I$3:$I$22)</f>
        <v/>
      </c>
      <c r="P1783">
        <f>I1783-G1783^2/k_n</f>
        <v/>
      </c>
      <c r="Q1783">
        <f>J1783-H1783^2/k_n</f>
        <v/>
      </c>
      <c r="R1783">
        <f>K1783-G1783*H1783/k_n</f>
        <v/>
      </c>
      <c r="S1783">
        <f>L1783-LTP3!$D$3*G1783/k_n</f>
        <v/>
      </c>
      <c r="T1783">
        <f>M1783-LTP3!$D$3*H1783/k_n</f>
        <v/>
      </c>
      <c r="U1783">
        <f>N1783-G1783*LTP3!$D$4/k_n</f>
        <v/>
      </c>
      <c r="V1783">
        <f>O1783-H1783*LTP3!$D$4/k_n</f>
        <v/>
      </c>
      <c r="W1783">
        <f>((LTP3!$D$5)*((P1783)*(Q1783)-(R1783)*(R1783))-(S1783)*((S1783)*(Q1783)-(R1783)*(T1783))+(T1783)*((S1783)*(R1783)-(P1783)*(T1783)))</f>
        <v/>
      </c>
      <c r="X1783">
        <f>IF(ABS(W1783)&gt;1E-12,((LTP3!$D$6)*((P1783)*(Q1783)-(R1783)*(R1783))-(S1783)*((U1783)*(Q1783)-(R1783)*(V1783))+(T1783)*((U1783)*(R1783)-(P1783)*(V1783)))/W1783,0)</f>
        <v/>
      </c>
      <c r="Y1783">
        <f>IF(ABS(W1783)&gt;1E-12,((LTP3!$D$5)*((U1783)*(Q1783)-(R1783)*(V1783))-(LTP3!$D$6)*((S1783)*(Q1783)-(R1783)*(T1783))+(T1783)*((S1783)*(V1783)-(U1783)*(T1783)))/W1783,0)</f>
        <v/>
      </c>
      <c r="Z1783">
        <f>IF(ABS(W1783)&gt;1E-12,((LTP3!$D$5)*((P1783)*(V1783)-(U1783)*(R1783))-(S1783)*((S1783)*(V1783)-(U1783)*(T1783))+(LTP3!$D$6)*((S1783)*(R1783)-(P1783)*(T1783)))/W1783,0)</f>
        <v/>
      </c>
      <c r="AA1783">
        <f>LTP3!$D$7-X1783*LTP3!$D$6-Y1783*U1783-Z1783*V1783</f>
        <v/>
      </c>
      <c r="AB1783">
        <f>IF(AND(F1783,ABS(W1783)&gt;1E-12,Y1783&gt;0,Z1783&gt;0),AA1783,1E+300)</f>
        <v/>
      </c>
    </row>
    <row r="1784">
      <c r="A1784">
        <f>$B$3+$B$5*29</f>
        <v/>
      </c>
      <c r="B1784">
        <f>$B$3+$B$5*3</f>
        <v/>
      </c>
      <c r="C1784">
        <f>SUMPRODUCT(Calc!$K$3:$K$22*(Calc!$G$3:$G$22&lt;=A1784))</f>
        <v/>
      </c>
      <c r="D1784">
        <f>SUMPRODUCT(Calc!$K$3:$K$22*(Calc!$G$3:$G$22&gt;A1784)*(Calc!$G$3:$G$22&lt;B1784))</f>
        <v/>
      </c>
      <c r="E1784">
        <f>SUMPRODUCT(Calc!$K$3:$K$22*(Calc!$G$3:$G$22&gt;=B1784))</f>
        <v/>
      </c>
      <c r="F1784">
        <f>AND(k_n&gt;=5,B1784&gt;A1784+1E-9,C1784&gt;=2,D1784&gt;=1,E1784&gt;=2)</f>
        <v/>
      </c>
      <c r="G1784">
        <f>SUMPRODUCT(Calc!$K$3:$K$22*(Calc!$G$3:$G$22&gt;A1784)*(Calc!$G$3:$G$22-A1784))</f>
        <v/>
      </c>
      <c r="H1784">
        <f>SUMPRODUCT(Calc!$K$3:$K$22*(Calc!$G$3:$G$22&gt;B1784)*(Calc!$G$3:$G$22-B1784))</f>
        <v/>
      </c>
      <c r="I1784">
        <f>SUMPRODUCT(Calc!$K$3:$K$22*(Calc!$G$3:$G$22&gt;A1784)*(Calc!$G$3:$G$22-A1784)^2)</f>
        <v/>
      </c>
      <c r="J1784">
        <f>SUMPRODUCT(Calc!$K$3:$K$22*(Calc!$G$3:$G$22&gt;B1784)*(Calc!$G$3:$G$22-B1784)^2)</f>
        <v/>
      </c>
      <c r="K1784">
        <f>SUMPRODUCT(Calc!$K$3:$K$22*(Calc!$G$3:$G$22&gt;A1784)*(Calc!$G$3:$G$22-A1784)*(Calc!$G$3:$G$22&gt;B1784)*(Calc!$G$3:$G$22-B1784))</f>
        <v/>
      </c>
      <c r="L1784">
        <f>SUMPRODUCT(Calc!$K$3:$K$22*(Calc!$G$3:$G$22&gt;A1784)*(Calc!$G$3:$G$22-A1784)*Calc!$G$3:$G$22)</f>
        <v/>
      </c>
      <c r="M1784">
        <f>SUMPRODUCT(Calc!$K$3:$K$22*(Calc!$G$3:$G$22&gt;B1784)*(Calc!$G$3:$G$22-B1784)*Calc!$G$3:$G$22)</f>
        <v/>
      </c>
      <c r="N1784">
        <f>SUMPRODUCT(Calc!$K$3:$K$22*(Calc!$G$3:$G$22&gt;A1784)*(Calc!$G$3:$G$22-A1784)*Calc!$I$3:$I$22)</f>
        <v/>
      </c>
      <c r="O1784">
        <f>SUMPRODUCT(Calc!$K$3:$K$22*(Calc!$G$3:$G$22&gt;B1784)*(Calc!$G$3:$G$22-B1784)*Calc!$I$3:$I$22)</f>
        <v/>
      </c>
      <c r="P1784">
        <f>I1784-G1784^2/k_n</f>
        <v/>
      </c>
      <c r="Q1784">
        <f>J1784-H1784^2/k_n</f>
        <v/>
      </c>
      <c r="R1784">
        <f>K1784-G1784*H1784/k_n</f>
        <v/>
      </c>
      <c r="S1784">
        <f>L1784-LTP3!$D$3*G1784/k_n</f>
        <v/>
      </c>
      <c r="T1784">
        <f>M1784-LTP3!$D$3*H1784/k_n</f>
        <v/>
      </c>
      <c r="U1784">
        <f>N1784-G1784*LTP3!$D$4/k_n</f>
        <v/>
      </c>
      <c r="V1784">
        <f>O1784-H1784*LTP3!$D$4/k_n</f>
        <v/>
      </c>
      <c r="W1784">
        <f>((LTP3!$D$5)*((P1784)*(Q1784)-(R1784)*(R1784))-(S1784)*((S1784)*(Q1784)-(R1784)*(T1784))+(T1784)*((S1784)*(R1784)-(P1784)*(T1784)))</f>
        <v/>
      </c>
      <c r="X1784">
        <f>IF(ABS(W1784)&gt;1E-12,((LTP3!$D$6)*((P1784)*(Q1784)-(R1784)*(R1784))-(S1784)*((U1784)*(Q1784)-(R1784)*(V1784))+(T1784)*((U1784)*(R1784)-(P1784)*(V1784)))/W1784,0)</f>
        <v/>
      </c>
      <c r="Y1784">
        <f>IF(ABS(W1784)&gt;1E-12,((LTP3!$D$5)*((U1784)*(Q1784)-(R1784)*(V1784))-(LTP3!$D$6)*((S1784)*(Q1784)-(R1784)*(T1784))+(T1784)*((S1784)*(V1784)-(U1784)*(T1784)))/W1784,0)</f>
        <v/>
      </c>
      <c r="Z1784">
        <f>IF(ABS(W1784)&gt;1E-12,((LTP3!$D$5)*((P1784)*(V1784)-(U1784)*(R1784))-(S1784)*((S1784)*(V1784)-(U1784)*(T1784))+(LTP3!$D$6)*((S1784)*(R1784)-(P1784)*(T1784)))/W1784,0)</f>
        <v/>
      </c>
      <c r="AA1784">
        <f>LTP3!$D$7-X1784*LTP3!$D$6-Y1784*U1784-Z1784*V1784</f>
        <v/>
      </c>
      <c r="AB1784">
        <f>IF(AND(F1784,ABS(W1784)&gt;1E-12,Y1784&gt;0,Z1784&gt;0),AA1784,1E+300)</f>
        <v/>
      </c>
    </row>
    <row r="1785">
      <c r="A1785">
        <f>$B$3+$B$5*29</f>
        <v/>
      </c>
      <c r="B1785">
        <f>$B$3+$B$5*4</f>
        <v/>
      </c>
      <c r="C1785">
        <f>SUMPRODUCT(Calc!$K$3:$K$22*(Calc!$G$3:$G$22&lt;=A1785))</f>
        <v/>
      </c>
      <c r="D1785">
        <f>SUMPRODUCT(Calc!$K$3:$K$22*(Calc!$G$3:$G$22&gt;A1785)*(Calc!$G$3:$G$22&lt;B1785))</f>
        <v/>
      </c>
      <c r="E1785">
        <f>SUMPRODUCT(Calc!$K$3:$K$22*(Calc!$G$3:$G$22&gt;=B1785))</f>
        <v/>
      </c>
      <c r="F1785">
        <f>AND(k_n&gt;=5,B1785&gt;A1785+1E-9,C1785&gt;=2,D1785&gt;=1,E1785&gt;=2)</f>
        <v/>
      </c>
      <c r="G1785">
        <f>SUMPRODUCT(Calc!$K$3:$K$22*(Calc!$G$3:$G$22&gt;A1785)*(Calc!$G$3:$G$22-A1785))</f>
        <v/>
      </c>
      <c r="H1785">
        <f>SUMPRODUCT(Calc!$K$3:$K$22*(Calc!$G$3:$G$22&gt;B1785)*(Calc!$G$3:$G$22-B1785))</f>
        <v/>
      </c>
      <c r="I1785">
        <f>SUMPRODUCT(Calc!$K$3:$K$22*(Calc!$G$3:$G$22&gt;A1785)*(Calc!$G$3:$G$22-A1785)^2)</f>
        <v/>
      </c>
      <c r="J1785">
        <f>SUMPRODUCT(Calc!$K$3:$K$22*(Calc!$G$3:$G$22&gt;B1785)*(Calc!$G$3:$G$22-B1785)^2)</f>
        <v/>
      </c>
      <c r="K1785">
        <f>SUMPRODUCT(Calc!$K$3:$K$22*(Calc!$G$3:$G$22&gt;A1785)*(Calc!$G$3:$G$22-A1785)*(Calc!$G$3:$G$22&gt;B1785)*(Calc!$G$3:$G$22-B1785))</f>
        <v/>
      </c>
      <c r="L1785">
        <f>SUMPRODUCT(Calc!$K$3:$K$22*(Calc!$G$3:$G$22&gt;A1785)*(Calc!$G$3:$G$22-A1785)*Calc!$G$3:$G$22)</f>
        <v/>
      </c>
      <c r="M1785">
        <f>SUMPRODUCT(Calc!$K$3:$K$22*(Calc!$G$3:$G$22&gt;B1785)*(Calc!$G$3:$G$22-B1785)*Calc!$G$3:$G$22)</f>
        <v/>
      </c>
      <c r="N1785">
        <f>SUMPRODUCT(Calc!$K$3:$K$22*(Calc!$G$3:$G$22&gt;A1785)*(Calc!$G$3:$G$22-A1785)*Calc!$I$3:$I$22)</f>
        <v/>
      </c>
      <c r="O1785">
        <f>SUMPRODUCT(Calc!$K$3:$K$22*(Calc!$G$3:$G$22&gt;B1785)*(Calc!$G$3:$G$22-B1785)*Calc!$I$3:$I$22)</f>
        <v/>
      </c>
      <c r="P1785">
        <f>I1785-G1785^2/k_n</f>
        <v/>
      </c>
      <c r="Q1785">
        <f>J1785-H1785^2/k_n</f>
        <v/>
      </c>
      <c r="R1785">
        <f>K1785-G1785*H1785/k_n</f>
        <v/>
      </c>
      <c r="S1785">
        <f>L1785-LTP3!$D$3*G1785/k_n</f>
        <v/>
      </c>
      <c r="T1785">
        <f>M1785-LTP3!$D$3*H1785/k_n</f>
        <v/>
      </c>
      <c r="U1785">
        <f>N1785-G1785*LTP3!$D$4/k_n</f>
        <v/>
      </c>
      <c r="V1785">
        <f>O1785-H1785*LTP3!$D$4/k_n</f>
        <v/>
      </c>
      <c r="W1785">
        <f>((LTP3!$D$5)*((P1785)*(Q1785)-(R1785)*(R1785))-(S1785)*((S1785)*(Q1785)-(R1785)*(T1785))+(T1785)*((S1785)*(R1785)-(P1785)*(T1785)))</f>
        <v/>
      </c>
      <c r="X1785">
        <f>IF(ABS(W1785)&gt;1E-12,((LTP3!$D$6)*((P1785)*(Q1785)-(R1785)*(R1785))-(S1785)*((U1785)*(Q1785)-(R1785)*(V1785))+(T1785)*((U1785)*(R1785)-(P1785)*(V1785)))/W1785,0)</f>
        <v/>
      </c>
      <c r="Y1785">
        <f>IF(ABS(W1785)&gt;1E-12,((LTP3!$D$5)*((U1785)*(Q1785)-(R1785)*(V1785))-(LTP3!$D$6)*((S1785)*(Q1785)-(R1785)*(T1785))+(T1785)*((S1785)*(V1785)-(U1785)*(T1785)))/W1785,0)</f>
        <v/>
      </c>
      <c r="Z1785">
        <f>IF(ABS(W1785)&gt;1E-12,((LTP3!$D$5)*((P1785)*(V1785)-(U1785)*(R1785))-(S1785)*((S1785)*(V1785)-(U1785)*(T1785))+(LTP3!$D$6)*((S1785)*(R1785)-(P1785)*(T1785)))/W1785,0)</f>
        <v/>
      </c>
      <c r="AA1785">
        <f>LTP3!$D$7-X1785*LTP3!$D$6-Y1785*U1785-Z1785*V1785</f>
        <v/>
      </c>
      <c r="AB1785">
        <f>IF(AND(F1785,ABS(W1785)&gt;1E-12,Y1785&gt;0,Z1785&gt;0),AA1785,1E+300)</f>
        <v/>
      </c>
    </row>
    <row r="1786">
      <c r="A1786">
        <f>$B$3+$B$5*29</f>
        <v/>
      </c>
      <c r="B1786">
        <f>$B$3+$B$5*5</f>
        <v/>
      </c>
      <c r="C1786">
        <f>SUMPRODUCT(Calc!$K$3:$K$22*(Calc!$G$3:$G$22&lt;=A1786))</f>
        <v/>
      </c>
      <c r="D1786">
        <f>SUMPRODUCT(Calc!$K$3:$K$22*(Calc!$G$3:$G$22&gt;A1786)*(Calc!$G$3:$G$22&lt;B1786))</f>
        <v/>
      </c>
      <c r="E1786">
        <f>SUMPRODUCT(Calc!$K$3:$K$22*(Calc!$G$3:$G$22&gt;=B1786))</f>
        <v/>
      </c>
      <c r="F1786">
        <f>AND(k_n&gt;=5,B1786&gt;A1786+1E-9,C1786&gt;=2,D1786&gt;=1,E1786&gt;=2)</f>
        <v/>
      </c>
      <c r="G1786">
        <f>SUMPRODUCT(Calc!$K$3:$K$22*(Calc!$G$3:$G$22&gt;A1786)*(Calc!$G$3:$G$22-A1786))</f>
        <v/>
      </c>
      <c r="H1786">
        <f>SUMPRODUCT(Calc!$K$3:$K$22*(Calc!$G$3:$G$22&gt;B1786)*(Calc!$G$3:$G$22-B1786))</f>
        <v/>
      </c>
      <c r="I1786">
        <f>SUMPRODUCT(Calc!$K$3:$K$22*(Calc!$G$3:$G$22&gt;A1786)*(Calc!$G$3:$G$22-A1786)^2)</f>
        <v/>
      </c>
      <c r="J1786">
        <f>SUMPRODUCT(Calc!$K$3:$K$22*(Calc!$G$3:$G$22&gt;B1786)*(Calc!$G$3:$G$22-B1786)^2)</f>
        <v/>
      </c>
      <c r="K1786">
        <f>SUMPRODUCT(Calc!$K$3:$K$22*(Calc!$G$3:$G$22&gt;A1786)*(Calc!$G$3:$G$22-A1786)*(Calc!$G$3:$G$22&gt;B1786)*(Calc!$G$3:$G$22-B1786))</f>
        <v/>
      </c>
      <c r="L1786">
        <f>SUMPRODUCT(Calc!$K$3:$K$22*(Calc!$G$3:$G$22&gt;A1786)*(Calc!$G$3:$G$22-A1786)*Calc!$G$3:$G$22)</f>
        <v/>
      </c>
      <c r="M1786">
        <f>SUMPRODUCT(Calc!$K$3:$K$22*(Calc!$G$3:$G$22&gt;B1786)*(Calc!$G$3:$G$22-B1786)*Calc!$G$3:$G$22)</f>
        <v/>
      </c>
      <c r="N1786">
        <f>SUMPRODUCT(Calc!$K$3:$K$22*(Calc!$G$3:$G$22&gt;A1786)*(Calc!$G$3:$G$22-A1786)*Calc!$I$3:$I$22)</f>
        <v/>
      </c>
      <c r="O1786">
        <f>SUMPRODUCT(Calc!$K$3:$K$22*(Calc!$G$3:$G$22&gt;B1786)*(Calc!$G$3:$G$22-B1786)*Calc!$I$3:$I$22)</f>
        <v/>
      </c>
      <c r="P1786">
        <f>I1786-G1786^2/k_n</f>
        <v/>
      </c>
      <c r="Q1786">
        <f>J1786-H1786^2/k_n</f>
        <v/>
      </c>
      <c r="R1786">
        <f>K1786-G1786*H1786/k_n</f>
        <v/>
      </c>
      <c r="S1786">
        <f>L1786-LTP3!$D$3*G1786/k_n</f>
        <v/>
      </c>
      <c r="T1786">
        <f>M1786-LTP3!$D$3*H1786/k_n</f>
        <v/>
      </c>
      <c r="U1786">
        <f>N1786-G1786*LTP3!$D$4/k_n</f>
        <v/>
      </c>
      <c r="V1786">
        <f>O1786-H1786*LTP3!$D$4/k_n</f>
        <v/>
      </c>
      <c r="W1786">
        <f>((LTP3!$D$5)*((P1786)*(Q1786)-(R1786)*(R1786))-(S1786)*((S1786)*(Q1786)-(R1786)*(T1786))+(T1786)*((S1786)*(R1786)-(P1786)*(T1786)))</f>
        <v/>
      </c>
      <c r="X1786">
        <f>IF(ABS(W1786)&gt;1E-12,((LTP3!$D$6)*((P1786)*(Q1786)-(R1786)*(R1786))-(S1786)*((U1786)*(Q1786)-(R1786)*(V1786))+(T1786)*((U1786)*(R1786)-(P1786)*(V1786)))/W1786,0)</f>
        <v/>
      </c>
      <c r="Y1786">
        <f>IF(ABS(W1786)&gt;1E-12,((LTP3!$D$5)*((U1786)*(Q1786)-(R1786)*(V1786))-(LTP3!$D$6)*((S1786)*(Q1786)-(R1786)*(T1786))+(T1786)*((S1786)*(V1786)-(U1786)*(T1786)))/W1786,0)</f>
        <v/>
      </c>
      <c r="Z1786">
        <f>IF(ABS(W1786)&gt;1E-12,((LTP3!$D$5)*((P1786)*(V1786)-(U1786)*(R1786))-(S1786)*((S1786)*(V1786)-(U1786)*(T1786))+(LTP3!$D$6)*((S1786)*(R1786)-(P1786)*(T1786)))/W1786,0)</f>
        <v/>
      </c>
      <c r="AA1786">
        <f>LTP3!$D$7-X1786*LTP3!$D$6-Y1786*U1786-Z1786*V1786</f>
        <v/>
      </c>
      <c r="AB1786">
        <f>IF(AND(F1786,ABS(W1786)&gt;1E-12,Y1786&gt;0,Z1786&gt;0),AA1786,1E+300)</f>
        <v/>
      </c>
    </row>
    <row r="1787">
      <c r="A1787">
        <f>$B$3+$B$5*29</f>
        <v/>
      </c>
      <c r="B1787">
        <f>$B$3+$B$5*6</f>
        <v/>
      </c>
      <c r="C1787">
        <f>SUMPRODUCT(Calc!$K$3:$K$22*(Calc!$G$3:$G$22&lt;=A1787))</f>
        <v/>
      </c>
      <c r="D1787">
        <f>SUMPRODUCT(Calc!$K$3:$K$22*(Calc!$G$3:$G$22&gt;A1787)*(Calc!$G$3:$G$22&lt;B1787))</f>
        <v/>
      </c>
      <c r="E1787">
        <f>SUMPRODUCT(Calc!$K$3:$K$22*(Calc!$G$3:$G$22&gt;=B1787))</f>
        <v/>
      </c>
      <c r="F1787">
        <f>AND(k_n&gt;=5,B1787&gt;A1787+1E-9,C1787&gt;=2,D1787&gt;=1,E1787&gt;=2)</f>
        <v/>
      </c>
      <c r="G1787">
        <f>SUMPRODUCT(Calc!$K$3:$K$22*(Calc!$G$3:$G$22&gt;A1787)*(Calc!$G$3:$G$22-A1787))</f>
        <v/>
      </c>
      <c r="H1787">
        <f>SUMPRODUCT(Calc!$K$3:$K$22*(Calc!$G$3:$G$22&gt;B1787)*(Calc!$G$3:$G$22-B1787))</f>
        <v/>
      </c>
      <c r="I1787">
        <f>SUMPRODUCT(Calc!$K$3:$K$22*(Calc!$G$3:$G$22&gt;A1787)*(Calc!$G$3:$G$22-A1787)^2)</f>
        <v/>
      </c>
      <c r="J1787">
        <f>SUMPRODUCT(Calc!$K$3:$K$22*(Calc!$G$3:$G$22&gt;B1787)*(Calc!$G$3:$G$22-B1787)^2)</f>
        <v/>
      </c>
      <c r="K1787">
        <f>SUMPRODUCT(Calc!$K$3:$K$22*(Calc!$G$3:$G$22&gt;A1787)*(Calc!$G$3:$G$22-A1787)*(Calc!$G$3:$G$22&gt;B1787)*(Calc!$G$3:$G$22-B1787))</f>
        <v/>
      </c>
      <c r="L1787">
        <f>SUMPRODUCT(Calc!$K$3:$K$22*(Calc!$G$3:$G$22&gt;A1787)*(Calc!$G$3:$G$22-A1787)*Calc!$G$3:$G$22)</f>
        <v/>
      </c>
      <c r="M1787">
        <f>SUMPRODUCT(Calc!$K$3:$K$22*(Calc!$G$3:$G$22&gt;B1787)*(Calc!$G$3:$G$22-B1787)*Calc!$G$3:$G$22)</f>
        <v/>
      </c>
      <c r="N1787">
        <f>SUMPRODUCT(Calc!$K$3:$K$22*(Calc!$G$3:$G$22&gt;A1787)*(Calc!$G$3:$G$22-A1787)*Calc!$I$3:$I$22)</f>
        <v/>
      </c>
      <c r="O1787">
        <f>SUMPRODUCT(Calc!$K$3:$K$22*(Calc!$G$3:$G$22&gt;B1787)*(Calc!$G$3:$G$22-B1787)*Calc!$I$3:$I$22)</f>
        <v/>
      </c>
      <c r="P1787">
        <f>I1787-G1787^2/k_n</f>
        <v/>
      </c>
      <c r="Q1787">
        <f>J1787-H1787^2/k_n</f>
        <v/>
      </c>
      <c r="R1787">
        <f>K1787-G1787*H1787/k_n</f>
        <v/>
      </c>
      <c r="S1787">
        <f>L1787-LTP3!$D$3*G1787/k_n</f>
        <v/>
      </c>
      <c r="T1787">
        <f>M1787-LTP3!$D$3*H1787/k_n</f>
        <v/>
      </c>
      <c r="U1787">
        <f>N1787-G1787*LTP3!$D$4/k_n</f>
        <v/>
      </c>
      <c r="V1787">
        <f>O1787-H1787*LTP3!$D$4/k_n</f>
        <v/>
      </c>
      <c r="W1787">
        <f>((LTP3!$D$5)*((P1787)*(Q1787)-(R1787)*(R1787))-(S1787)*((S1787)*(Q1787)-(R1787)*(T1787))+(T1787)*((S1787)*(R1787)-(P1787)*(T1787)))</f>
        <v/>
      </c>
      <c r="X1787">
        <f>IF(ABS(W1787)&gt;1E-12,((LTP3!$D$6)*((P1787)*(Q1787)-(R1787)*(R1787))-(S1787)*((U1787)*(Q1787)-(R1787)*(V1787))+(T1787)*((U1787)*(R1787)-(P1787)*(V1787)))/W1787,0)</f>
        <v/>
      </c>
      <c r="Y1787">
        <f>IF(ABS(W1787)&gt;1E-12,((LTP3!$D$5)*((U1787)*(Q1787)-(R1787)*(V1787))-(LTP3!$D$6)*((S1787)*(Q1787)-(R1787)*(T1787))+(T1787)*((S1787)*(V1787)-(U1787)*(T1787)))/W1787,0)</f>
        <v/>
      </c>
      <c r="Z1787">
        <f>IF(ABS(W1787)&gt;1E-12,((LTP3!$D$5)*((P1787)*(V1787)-(U1787)*(R1787))-(S1787)*((S1787)*(V1787)-(U1787)*(T1787))+(LTP3!$D$6)*((S1787)*(R1787)-(P1787)*(T1787)))/W1787,0)</f>
        <v/>
      </c>
      <c r="AA1787">
        <f>LTP3!$D$7-X1787*LTP3!$D$6-Y1787*U1787-Z1787*V1787</f>
        <v/>
      </c>
      <c r="AB1787">
        <f>IF(AND(F1787,ABS(W1787)&gt;1E-12,Y1787&gt;0,Z1787&gt;0),AA1787,1E+300)</f>
        <v/>
      </c>
    </row>
    <row r="1788">
      <c r="A1788">
        <f>$B$3+$B$5*29</f>
        <v/>
      </c>
      <c r="B1788">
        <f>$B$3+$B$5*7</f>
        <v/>
      </c>
      <c r="C1788">
        <f>SUMPRODUCT(Calc!$K$3:$K$22*(Calc!$G$3:$G$22&lt;=A1788))</f>
        <v/>
      </c>
      <c r="D1788">
        <f>SUMPRODUCT(Calc!$K$3:$K$22*(Calc!$G$3:$G$22&gt;A1788)*(Calc!$G$3:$G$22&lt;B1788))</f>
        <v/>
      </c>
      <c r="E1788">
        <f>SUMPRODUCT(Calc!$K$3:$K$22*(Calc!$G$3:$G$22&gt;=B1788))</f>
        <v/>
      </c>
      <c r="F1788">
        <f>AND(k_n&gt;=5,B1788&gt;A1788+1E-9,C1788&gt;=2,D1788&gt;=1,E1788&gt;=2)</f>
        <v/>
      </c>
      <c r="G1788">
        <f>SUMPRODUCT(Calc!$K$3:$K$22*(Calc!$G$3:$G$22&gt;A1788)*(Calc!$G$3:$G$22-A1788))</f>
        <v/>
      </c>
      <c r="H1788">
        <f>SUMPRODUCT(Calc!$K$3:$K$22*(Calc!$G$3:$G$22&gt;B1788)*(Calc!$G$3:$G$22-B1788))</f>
        <v/>
      </c>
      <c r="I1788">
        <f>SUMPRODUCT(Calc!$K$3:$K$22*(Calc!$G$3:$G$22&gt;A1788)*(Calc!$G$3:$G$22-A1788)^2)</f>
        <v/>
      </c>
      <c r="J1788">
        <f>SUMPRODUCT(Calc!$K$3:$K$22*(Calc!$G$3:$G$22&gt;B1788)*(Calc!$G$3:$G$22-B1788)^2)</f>
        <v/>
      </c>
      <c r="K1788">
        <f>SUMPRODUCT(Calc!$K$3:$K$22*(Calc!$G$3:$G$22&gt;A1788)*(Calc!$G$3:$G$22-A1788)*(Calc!$G$3:$G$22&gt;B1788)*(Calc!$G$3:$G$22-B1788))</f>
        <v/>
      </c>
      <c r="L1788">
        <f>SUMPRODUCT(Calc!$K$3:$K$22*(Calc!$G$3:$G$22&gt;A1788)*(Calc!$G$3:$G$22-A1788)*Calc!$G$3:$G$22)</f>
        <v/>
      </c>
      <c r="M1788">
        <f>SUMPRODUCT(Calc!$K$3:$K$22*(Calc!$G$3:$G$22&gt;B1788)*(Calc!$G$3:$G$22-B1788)*Calc!$G$3:$G$22)</f>
        <v/>
      </c>
      <c r="N1788">
        <f>SUMPRODUCT(Calc!$K$3:$K$22*(Calc!$G$3:$G$22&gt;A1788)*(Calc!$G$3:$G$22-A1788)*Calc!$I$3:$I$22)</f>
        <v/>
      </c>
      <c r="O1788">
        <f>SUMPRODUCT(Calc!$K$3:$K$22*(Calc!$G$3:$G$22&gt;B1788)*(Calc!$G$3:$G$22-B1788)*Calc!$I$3:$I$22)</f>
        <v/>
      </c>
      <c r="P1788">
        <f>I1788-G1788^2/k_n</f>
        <v/>
      </c>
      <c r="Q1788">
        <f>J1788-H1788^2/k_n</f>
        <v/>
      </c>
      <c r="R1788">
        <f>K1788-G1788*H1788/k_n</f>
        <v/>
      </c>
      <c r="S1788">
        <f>L1788-LTP3!$D$3*G1788/k_n</f>
        <v/>
      </c>
      <c r="T1788">
        <f>M1788-LTP3!$D$3*H1788/k_n</f>
        <v/>
      </c>
      <c r="U1788">
        <f>N1788-G1788*LTP3!$D$4/k_n</f>
        <v/>
      </c>
      <c r="V1788">
        <f>O1788-H1788*LTP3!$D$4/k_n</f>
        <v/>
      </c>
      <c r="W1788">
        <f>((LTP3!$D$5)*((P1788)*(Q1788)-(R1788)*(R1788))-(S1788)*((S1788)*(Q1788)-(R1788)*(T1788))+(T1788)*((S1788)*(R1788)-(P1788)*(T1788)))</f>
        <v/>
      </c>
      <c r="X1788">
        <f>IF(ABS(W1788)&gt;1E-12,((LTP3!$D$6)*((P1788)*(Q1788)-(R1788)*(R1788))-(S1788)*((U1788)*(Q1788)-(R1788)*(V1788))+(T1788)*((U1788)*(R1788)-(P1788)*(V1788)))/W1788,0)</f>
        <v/>
      </c>
      <c r="Y1788">
        <f>IF(ABS(W1788)&gt;1E-12,((LTP3!$D$5)*((U1788)*(Q1788)-(R1788)*(V1788))-(LTP3!$D$6)*((S1788)*(Q1788)-(R1788)*(T1788))+(T1788)*((S1788)*(V1788)-(U1788)*(T1788)))/W1788,0)</f>
        <v/>
      </c>
      <c r="Z1788">
        <f>IF(ABS(W1788)&gt;1E-12,((LTP3!$D$5)*((P1788)*(V1788)-(U1788)*(R1788))-(S1788)*((S1788)*(V1788)-(U1788)*(T1788))+(LTP3!$D$6)*((S1788)*(R1788)-(P1788)*(T1788)))/W1788,0)</f>
        <v/>
      </c>
      <c r="AA1788">
        <f>LTP3!$D$7-X1788*LTP3!$D$6-Y1788*U1788-Z1788*V1788</f>
        <v/>
      </c>
      <c r="AB1788">
        <f>IF(AND(F1788,ABS(W1788)&gt;1E-12,Y1788&gt;0,Z1788&gt;0),AA1788,1E+300)</f>
        <v/>
      </c>
    </row>
    <row r="1789">
      <c r="A1789">
        <f>$B$3+$B$5*29</f>
        <v/>
      </c>
      <c r="B1789">
        <f>$B$3+$B$5*8</f>
        <v/>
      </c>
      <c r="C1789">
        <f>SUMPRODUCT(Calc!$K$3:$K$22*(Calc!$G$3:$G$22&lt;=A1789))</f>
        <v/>
      </c>
      <c r="D1789">
        <f>SUMPRODUCT(Calc!$K$3:$K$22*(Calc!$G$3:$G$22&gt;A1789)*(Calc!$G$3:$G$22&lt;B1789))</f>
        <v/>
      </c>
      <c r="E1789">
        <f>SUMPRODUCT(Calc!$K$3:$K$22*(Calc!$G$3:$G$22&gt;=B1789))</f>
        <v/>
      </c>
      <c r="F1789">
        <f>AND(k_n&gt;=5,B1789&gt;A1789+1E-9,C1789&gt;=2,D1789&gt;=1,E1789&gt;=2)</f>
        <v/>
      </c>
      <c r="G1789">
        <f>SUMPRODUCT(Calc!$K$3:$K$22*(Calc!$G$3:$G$22&gt;A1789)*(Calc!$G$3:$G$22-A1789))</f>
        <v/>
      </c>
      <c r="H1789">
        <f>SUMPRODUCT(Calc!$K$3:$K$22*(Calc!$G$3:$G$22&gt;B1789)*(Calc!$G$3:$G$22-B1789))</f>
        <v/>
      </c>
      <c r="I1789">
        <f>SUMPRODUCT(Calc!$K$3:$K$22*(Calc!$G$3:$G$22&gt;A1789)*(Calc!$G$3:$G$22-A1789)^2)</f>
        <v/>
      </c>
      <c r="J1789">
        <f>SUMPRODUCT(Calc!$K$3:$K$22*(Calc!$G$3:$G$22&gt;B1789)*(Calc!$G$3:$G$22-B1789)^2)</f>
        <v/>
      </c>
      <c r="K1789">
        <f>SUMPRODUCT(Calc!$K$3:$K$22*(Calc!$G$3:$G$22&gt;A1789)*(Calc!$G$3:$G$22-A1789)*(Calc!$G$3:$G$22&gt;B1789)*(Calc!$G$3:$G$22-B1789))</f>
        <v/>
      </c>
      <c r="L1789">
        <f>SUMPRODUCT(Calc!$K$3:$K$22*(Calc!$G$3:$G$22&gt;A1789)*(Calc!$G$3:$G$22-A1789)*Calc!$G$3:$G$22)</f>
        <v/>
      </c>
      <c r="M1789">
        <f>SUMPRODUCT(Calc!$K$3:$K$22*(Calc!$G$3:$G$22&gt;B1789)*(Calc!$G$3:$G$22-B1789)*Calc!$G$3:$G$22)</f>
        <v/>
      </c>
      <c r="N1789">
        <f>SUMPRODUCT(Calc!$K$3:$K$22*(Calc!$G$3:$G$22&gt;A1789)*(Calc!$G$3:$G$22-A1789)*Calc!$I$3:$I$22)</f>
        <v/>
      </c>
      <c r="O1789">
        <f>SUMPRODUCT(Calc!$K$3:$K$22*(Calc!$G$3:$G$22&gt;B1789)*(Calc!$G$3:$G$22-B1789)*Calc!$I$3:$I$22)</f>
        <v/>
      </c>
      <c r="P1789">
        <f>I1789-G1789^2/k_n</f>
        <v/>
      </c>
      <c r="Q1789">
        <f>J1789-H1789^2/k_n</f>
        <v/>
      </c>
      <c r="R1789">
        <f>K1789-G1789*H1789/k_n</f>
        <v/>
      </c>
      <c r="S1789">
        <f>L1789-LTP3!$D$3*G1789/k_n</f>
        <v/>
      </c>
      <c r="T1789">
        <f>M1789-LTP3!$D$3*H1789/k_n</f>
        <v/>
      </c>
      <c r="U1789">
        <f>N1789-G1789*LTP3!$D$4/k_n</f>
        <v/>
      </c>
      <c r="V1789">
        <f>O1789-H1789*LTP3!$D$4/k_n</f>
        <v/>
      </c>
      <c r="W1789">
        <f>((LTP3!$D$5)*((P1789)*(Q1789)-(R1789)*(R1789))-(S1789)*((S1789)*(Q1789)-(R1789)*(T1789))+(T1789)*((S1789)*(R1789)-(P1789)*(T1789)))</f>
        <v/>
      </c>
      <c r="X1789">
        <f>IF(ABS(W1789)&gt;1E-12,((LTP3!$D$6)*((P1789)*(Q1789)-(R1789)*(R1789))-(S1789)*((U1789)*(Q1789)-(R1789)*(V1789))+(T1789)*((U1789)*(R1789)-(P1789)*(V1789)))/W1789,0)</f>
        <v/>
      </c>
      <c r="Y1789">
        <f>IF(ABS(W1789)&gt;1E-12,((LTP3!$D$5)*((U1789)*(Q1789)-(R1789)*(V1789))-(LTP3!$D$6)*((S1789)*(Q1789)-(R1789)*(T1789))+(T1789)*((S1789)*(V1789)-(U1789)*(T1789)))/W1789,0)</f>
        <v/>
      </c>
      <c r="Z1789">
        <f>IF(ABS(W1789)&gt;1E-12,((LTP3!$D$5)*((P1789)*(V1789)-(U1789)*(R1789))-(S1789)*((S1789)*(V1789)-(U1789)*(T1789))+(LTP3!$D$6)*((S1789)*(R1789)-(P1789)*(T1789)))/W1789,0)</f>
        <v/>
      </c>
      <c r="AA1789">
        <f>LTP3!$D$7-X1789*LTP3!$D$6-Y1789*U1789-Z1789*V1789</f>
        <v/>
      </c>
      <c r="AB1789">
        <f>IF(AND(F1789,ABS(W1789)&gt;1E-12,Y1789&gt;0,Z1789&gt;0),AA1789,1E+300)</f>
        <v/>
      </c>
    </row>
    <row r="1790">
      <c r="A1790">
        <f>$B$3+$B$5*29</f>
        <v/>
      </c>
      <c r="B1790">
        <f>$B$3+$B$5*9</f>
        <v/>
      </c>
      <c r="C1790">
        <f>SUMPRODUCT(Calc!$K$3:$K$22*(Calc!$G$3:$G$22&lt;=A1790))</f>
        <v/>
      </c>
      <c r="D1790">
        <f>SUMPRODUCT(Calc!$K$3:$K$22*(Calc!$G$3:$G$22&gt;A1790)*(Calc!$G$3:$G$22&lt;B1790))</f>
        <v/>
      </c>
      <c r="E1790">
        <f>SUMPRODUCT(Calc!$K$3:$K$22*(Calc!$G$3:$G$22&gt;=B1790))</f>
        <v/>
      </c>
      <c r="F1790">
        <f>AND(k_n&gt;=5,B1790&gt;A1790+1E-9,C1790&gt;=2,D1790&gt;=1,E1790&gt;=2)</f>
        <v/>
      </c>
      <c r="G1790">
        <f>SUMPRODUCT(Calc!$K$3:$K$22*(Calc!$G$3:$G$22&gt;A1790)*(Calc!$G$3:$G$22-A1790))</f>
        <v/>
      </c>
      <c r="H1790">
        <f>SUMPRODUCT(Calc!$K$3:$K$22*(Calc!$G$3:$G$22&gt;B1790)*(Calc!$G$3:$G$22-B1790))</f>
        <v/>
      </c>
      <c r="I1790">
        <f>SUMPRODUCT(Calc!$K$3:$K$22*(Calc!$G$3:$G$22&gt;A1790)*(Calc!$G$3:$G$22-A1790)^2)</f>
        <v/>
      </c>
      <c r="J1790">
        <f>SUMPRODUCT(Calc!$K$3:$K$22*(Calc!$G$3:$G$22&gt;B1790)*(Calc!$G$3:$G$22-B1790)^2)</f>
        <v/>
      </c>
      <c r="K1790">
        <f>SUMPRODUCT(Calc!$K$3:$K$22*(Calc!$G$3:$G$22&gt;A1790)*(Calc!$G$3:$G$22-A1790)*(Calc!$G$3:$G$22&gt;B1790)*(Calc!$G$3:$G$22-B1790))</f>
        <v/>
      </c>
      <c r="L1790">
        <f>SUMPRODUCT(Calc!$K$3:$K$22*(Calc!$G$3:$G$22&gt;A1790)*(Calc!$G$3:$G$22-A1790)*Calc!$G$3:$G$22)</f>
        <v/>
      </c>
      <c r="M1790">
        <f>SUMPRODUCT(Calc!$K$3:$K$22*(Calc!$G$3:$G$22&gt;B1790)*(Calc!$G$3:$G$22-B1790)*Calc!$G$3:$G$22)</f>
        <v/>
      </c>
      <c r="N1790">
        <f>SUMPRODUCT(Calc!$K$3:$K$22*(Calc!$G$3:$G$22&gt;A1790)*(Calc!$G$3:$G$22-A1790)*Calc!$I$3:$I$22)</f>
        <v/>
      </c>
      <c r="O1790">
        <f>SUMPRODUCT(Calc!$K$3:$K$22*(Calc!$G$3:$G$22&gt;B1790)*(Calc!$G$3:$G$22-B1790)*Calc!$I$3:$I$22)</f>
        <v/>
      </c>
      <c r="P1790">
        <f>I1790-G1790^2/k_n</f>
        <v/>
      </c>
      <c r="Q1790">
        <f>J1790-H1790^2/k_n</f>
        <v/>
      </c>
      <c r="R1790">
        <f>K1790-G1790*H1790/k_n</f>
        <v/>
      </c>
      <c r="S1790">
        <f>L1790-LTP3!$D$3*G1790/k_n</f>
        <v/>
      </c>
      <c r="T1790">
        <f>M1790-LTP3!$D$3*H1790/k_n</f>
        <v/>
      </c>
      <c r="U1790">
        <f>N1790-G1790*LTP3!$D$4/k_n</f>
        <v/>
      </c>
      <c r="V1790">
        <f>O1790-H1790*LTP3!$D$4/k_n</f>
        <v/>
      </c>
      <c r="W1790">
        <f>((LTP3!$D$5)*((P1790)*(Q1790)-(R1790)*(R1790))-(S1790)*((S1790)*(Q1790)-(R1790)*(T1790))+(T1790)*((S1790)*(R1790)-(P1790)*(T1790)))</f>
        <v/>
      </c>
      <c r="X1790">
        <f>IF(ABS(W1790)&gt;1E-12,((LTP3!$D$6)*((P1790)*(Q1790)-(R1790)*(R1790))-(S1790)*((U1790)*(Q1790)-(R1790)*(V1790))+(T1790)*((U1790)*(R1790)-(P1790)*(V1790)))/W1790,0)</f>
        <v/>
      </c>
      <c r="Y1790">
        <f>IF(ABS(W1790)&gt;1E-12,((LTP3!$D$5)*((U1790)*(Q1790)-(R1790)*(V1790))-(LTP3!$D$6)*((S1790)*(Q1790)-(R1790)*(T1790))+(T1790)*((S1790)*(V1790)-(U1790)*(T1790)))/W1790,0)</f>
        <v/>
      </c>
      <c r="Z1790">
        <f>IF(ABS(W1790)&gt;1E-12,((LTP3!$D$5)*((P1790)*(V1790)-(U1790)*(R1790))-(S1790)*((S1790)*(V1790)-(U1790)*(T1790))+(LTP3!$D$6)*((S1790)*(R1790)-(P1790)*(T1790)))/W1790,0)</f>
        <v/>
      </c>
      <c r="AA1790">
        <f>LTP3!$D$7-X1790*LTP3!$D$6-Y1790*U1790-Z1790*V1790</f>
        <v/>
      </c>
      <c r="AB1790">
        <f>IF(AND(F1790,ABS(W1790)&gt;1E-12,Y1790&gt;0,Z1790&gt;0),AA1790,1E+300)</f>
        <v/>
      </c>
    </row>
    <row r="1791">
      <c r="A1791">
        <f>$B$3+$B$5*29</f>
        <v/>
      </c>
      <c r="B1791">
        <f>$B$3+$B$5*10</f>
        <v/>
      </c>
      <c r="C1791">
        <f>SUMPRODUCT(Calc!$K$3:$K$22*(Calc!$G$3:$G$22&lt;=A1791))</f>
        <v/>
      </c>
      <c r="D1791">
        <f>SUMPRODUCT(Calc!$K$3:$K$22*(Calc!$G$3:$G$22&gt;A1791)*(Calc!$G$3:$G$22&lt;B1791))</f>
        <v/>
      </c>
      <c r="E1791">
        <f>SUMPRODUCT(Calc!$K$3:$K$22*(Calc!$G$3:$G$22&gt;=B1791))</f>
        <v/>
      </c>
      <c r="F1791">
        <f>AND(k_n&gt;=5,B1791&gt;A1791+1E-9,C1791&gt;=2,D1791&gt;=1,E1791&gt;=2)</f>
        <v/>
      </c>
      <c r="G1791">
        <f>SUMPRODUCT(Calc!$K$3:$K$22*(Calc!$G$3:$G$22&gt;A1791)*(Calc!$G$3:$G$22-A1791))</f>
        <v/>
      </c>
      <c r="H1791">
        <f>SUMPRODUCT(Calc!$K$3:$K$22*(Calc!$G$3:$G$22&gt;B1791)*(Calc!$G$3:$G$22-B1791))</f>
        <v/>
      </c>
      <c r="I1791">
        <f>SUMPRODUCT(Calc!$K$3:$K$22*(Calc!$G$3:$G$22&gt;A1791)*(Calc!$G$3:$G$22-A1791)^2)</f>
        <v/>
      </c>
      <c r="J1791">
        <f>SUMPRODUCT(Calc!$K$3:$K$22*(Calc!$G$3:$G$22&gt;B1791)*(Calc!$G$3:$G$22-B1791)^2)</f>
        <v/>
      </c>
      <c r="K1791">
        <f>SUMPRODUCT(Calc!$K$3:$K$22*(Calc!$G$3:$G$22&gt;A1791)*(Calc!$G$3:$G$22-A1791)*(Calc!$G$3:$G$22&gt;B1791)*(Calc!$G$3:$G$22-B1791))</f>
        <v/>
      </c>
      <c r="L1791">
        <f>SUMPRODUCT(Calc!$K$3:$K$22*(Calc!$G$3:$G$22&gt;A1791)*(Calc!$G$3:$G$22-A1791)*Calc!$G$3:$G$22)</f>
        <v/>
      </c>
      <c r="M1791">
        <f>SUMPRODUCT(Calc!$K$3:$K$22*(Calc!$G$3:$G$22&gt;B1791)*(Calc!$G$3:$G$22-B1791)*Calc!$G$3:$G$22)</f>
        <v/>
      </c>
      <c r="N1791">
        <f>SUMPRODUCT(Calc!$K$3:$K$22*(Calc!$G$3:$G$22&gt;A1791)*(Calc!$G$3:$G$22-A1791)*Calc!$I$3:$I$22)</f>
        <v/>
      </c>
      <c r="O1791">
        <f>SUMPRODUCT(Calc!$K$3:$K$22*(Calc!$G$3:$G$22&gt;B1791)*(Calc!$G$3:$G$22-B1791)*Calc!$I$3:$I$22)</f>
        <v/>
      </c>
      <c r="P1791">
        <f>I1791-G1791^2/k_n</f>
        <v/>
      </c>
      <c r="Q1791">
        <f>J1791-H1791^2/k_n</f>
        <v/>
      </c>
      <c r="R1791">
        <f>K1791-G1791*H1791/k_n</f>
        <v/>
      </c>
      <c r="S1791">
        <f>L1791-LTP3!$D$3*G1791/k_n</f>
        <v/>
      </c>
      <c r="T1791">
        <f>M1791-LTP3!$D$3*H1791/k_n</f>
        <v/>
      </c>
      <c r="U1791">
        <f>N1791-G1791*LTP3!$D$4/k_n</f>
        <v/>
      </c>
      <c r="V1791">
        <f>O1791-H1791*LTP3!$D$4/k_n</f>
        <v/>
      </c>
      <c r="W1791">
        <f>((LTP3!$D$5)*((P1791)*(Q1791)-(R1791)*(R1791))-(S1791)*((S1791)*(Q1791)-(R1791)*(T1791))+(T1791)*((S1791)*(R1791)-(P1791)*(T1791)))</f>
        <v/>
      </c>
      <c r="X1791">
        <f>IF(ABS(W1791)&gt;1E-12,((LTP3!$D$6)*((P1791)*(Q1791)-(R1791)*(R1791))-(S1791)*((U1791)*(Q1791)-(R1791)*(V1791))+(T1791)*((U1791)*(R1791)-(P1791)*(V1791)))/W1791,0)</f>
        <v/>
      </c>
      <c r="Y1791">
        <f>IF(ABS(W1791)&gt;1E-12,((LTP3!$D$5)*((U1791)*(Q1791)-(R1791)*(V1791))-(LTP3!$D$6)*((S1791)*(Q1791)-(R1791)*(T1791))+(T1791)*((S1791)*(V1791)-(U1791)*(T1791)))/W1791,0)</f>
        <v/>
      </c>
      <c r="Z1791">
        <f>IF(ABS(W1791)&gt;1E-12,((LTP3!$D$5)*((P1791)*(V1791)-(U1791)*(R1791))-(S1791)*((S1791)*(V1791)-(U1791)*(T1791))+(LTP3!$D$6)*((S1791)*(R1791)-(P1791)*(T1791)))/W1791,0)</f>
        <v/>
      </c>
      <c r="AA1791">
        <f>LTP3!$D$7-X1791*LTP3!$D$6-Y1791*U1791-Z1791*V1791</f>
        <v/>
      </c>
      <c r="AB1791">
        <f>IF(AND(F1791,ABS(W1791)&gt;1E-12,Y1791&gt;0,Z1791&gt;0),AA1791,1E+300)</f>
        <v/>
      </c>
    </row>
    <row r="1792">
      <c r="A1792">
        <f>$B$3+$B$5*29</f>
        <v/>
      </c>
      <c r="B1792">
        <f>$B$3+$B$5*11</f>
        <v/>
      </c>
      <c r="C1792">
        <f>SUMPRODUCT(Calc!$K$3:$K$22*(Calc!$G$3:$G$22&lt;=A1792))</f>
        <v/>
      </c>
      <c r="D1792">
        <f>SUMPRODUCT(Calc!$K$3:$K$22*(Calc!$G$3:$G$22&gt;A1792)*(Calc!$G$3:$G$22&lt;B1792))</f>
        <v/>
      </c>
      <c r="E1792">
        <f>SUMPRODUCT(Calc!$K$3:$K$22*(Calc!$G$3:$G$22&gt;=B1792))</f>
        <v/>
      </c>
      <c r="F1792">
        <f>AND(k_n&gt;=5,B1792&gt;A1792+1E-9,C1792&gt;=2,D1792&gt;=1,E1792&gt;=2)</f>
        <v/>
      </c>
      <c r="G1792">
        <f>SUMPRODUCT(Calc!$K$3:$K$22*(Calc!$G$3:$G$22&gt;A1792)*(Calc!$G$3:$G$22-A1792))</f>
        <v/>
      </c>
      <c r="H1792">
        <f>SUMPRODUCT(Calc!$K$3:$K$22*(Calc!$G$3:$G$22&gt;B1792)*(Calc!$G$3:$G$22-B1792))</f>
        <v/>
      </c>
      <c r="I1792">
        <f>SUMPRODUCT(Calc!$K$3:$K$22*(Calc!$G$3:$G$22&gt;A1792)*(Calc!$G$3:$G$22-A1792)^2)</f>
        <v/>
      </c>
      <c r="J1792">
        <f>SUMPRODUCT(Calc!$K$3:$K$22*(Calc!$G$3:$G$22&gt;B1792)*(Calc!$G$3:$G$22-B1792)^2)</f>
        <v/>
      </c>
      <c r="K1792">
        <f>SUMPRODUCT(Calc!$K$3:$K$22*(Calc!$G$3:$G$22&gt;A1792)*(Calc!$G$3:$G$22-A1792)*(Calc!$G$3:$G$22&gt;B1792)*(Calc!$G$3:$G$22-B1792))</f>
        <v/>
      </c>
      <c r="L1792">
        <f>SUMPRODUCT(Calc!$K$3:$K$22*(Calc!$G$3:$G$22&gt;A1792)*(Calc!$G$3:$G$22-A1792)*Calc!$G$3:$G$22)</f>
        <v/>
      </c>
      <c r="M1792">
        <f>SUMPRODUCT(Calc!$K$3:$K$22*(Calc!$G$3:$G$22&gt;B1792)*(Calc!$G$3:$G$22-B1792)*Calc!$G$3:$G$22)</f>
        <v/>
      </c>
      <c r="N1792">
        <f>SUMPRODUCT(Calc!$K$3:$K$22*(Calc!$G$3:$G$22&gt;A1792)*(Calc!$G$3:$G$22-A1792)*Calc!$I$3:$I$22)</f>
        <v/>
      </c>
      <c r="O1792">
        <f>SUMPRODUCT(Calc!$K$3:$K$22*(Calc!$G$3:$G$22&gt;B1792)*(Calc!$G$3:$G$22-B1792)*Calc!$I$3:$I$22)</f>
        <v/>
      </c>
      <c r="P1792">
        <f>I1792-G1792^2/k_n</f>
        <v/>
      </c>
      <c r="Q1792">
        <f>J1792-H1792^2/k_n</f>
        <v/>
      </c>
      <c r="R1792">
        <f>K1792-G1792*H1792/k_n</f>
        <v/>
      </c>
      <c r="S1792">
        <f>L1792-LTP3!$D$3*G1792/k_n</f>
        <v/>
      </c>
      <c r="T1792">
        <f>M1792-LTP3!$D$3*H1792/k_n</f>
        <v/>
      </c>
      <c r="U1792">
        <f>N1792-G1792*LTP3!$D$4/k_n</f>
        <v/>
      </c>
      <c r="V1792">
        <f>O1792-H1792*LTP3!$D$4/k_n</f>
        <v/>
      </c>
      <c r="W1792">
        <f>((LTP3!$D$5)*((P1792)*(Q1792)-(R1792)*(R1792))-(S1792)*((S1792)*(Q1792)-(R1792)*(T1792))+(T1792)*((S1792)*(R1792)-(P1792)*(T1792)))</f>
        <v/>
      </c>
      <c r="X1792">
        <f>IF(ABS(W1792)&gt;1E-12,((LTP3!$D$6)*((P1792)*(Q1792)-(R1792)*(R1792))-(S1792)*((U1792)*(Q1792)-(R1792)*(V1792))+(T1792)*((U1792)*(R1792)-(P1792)*(V1792)))/W1792,0)</f>
        <v/>
      </c>
      <c r="Y1792">
        <f>IF(ABS(W1792)&gt;1E-12,((LTP3!$D$5)*((U1792)*(Q1792)-(R1792)*(V1792))-(LTP3!$D$6)*((S1792)*(Q1792)-(R1792)*(T1792))+(T1792)*((S1792)*(V1792)-(U1792)*(T1792)))/W1792,0)</f>
        <v/>
      </c>
      <c r="Z1792">
        <f>IF(ABS(W1792)&gt;1E-12,((LTP3!$D$5)*((P1792)*(V1792)-(U1792)*(R1792))-(S1792)*((S1792)*(V1792)-(U1792)*(T1792))+(LTP3!$D$6)*((S1792)*(R1792)-(P1792)*(T1792)))/W1792,0)</f>
        <v/>
      </c>
      <c r="AA1792">
        <f>LTP3!$D$7-X1792*LTP3!$D$6-Y1792*U1792-Z1792*V1792</f>
        <v/>
      </c>
      <c r="AB1792">
        <f>IF(AND(F1792,ABS(W1792)&gt;1E-12,Y1792&gt;0,Z1792&gt;0),AA1792,1E+300)</f>
        <v/>
      </c>
    </row>
    <row r="1793">
      <c r="A1793">
        <f>$B$3+$B$5*29</f>
        <v/>
      </c>
      <c r="B1793">
        <f>$B$3+$B$5*12</f>
        <v/>
      </c>
      <c r="C1793">
        <f>SUMPRODUCT(Calc!$K$3:$K$22*(Calc!$G$3:$G$22&lt;=A1793))</f>
        <v/>
      </c>
      <c r="D1793">
        <f>SUMPRODUCT(Calc!$K$3:$K$22*(Calc!$G$3:$G$22&gt;A1793)*(Calc!$G$3:$G$22&lt;B1793))</f>
        <v/>
      </c>
      <c r="E1793">
        <f>SUMPRODUCT(Calc!$K$3:$K$22*(Calc!$G$3:$G$22&gt;=B1793))</f>
        <v/>
      </c>
      <c r="F1793">
        <f>AND(k_n&gt;=5,B1793&gt;A1793+1E-9,C1793&gt;=2,D1793&gt;=1,E1793&gt;=2)</f>
        <v/>
      </c>
      <c r="G1793">
        <f>SUMPRODUCT(Calc!$K$3:$K$22*(Calc!$G$3:$G$22&gt;A1793)*(Calc!$G$3:$G$22-A1793))</f>
        <v/>
      </c>
      <c r="H1793">
        <f>SUMPRODUCT(Calc!$K$3:$K$22*(Calc!$G$3:$G$22&gt;B1793)*(Calc!$G$3:$G$22-B1793))</f>
        <v/>
      </c>
      <c r="I1793">
        <f>SUMPRODUCT(Calc!$K$3:$K$22*(Calc!$G$3:$G$22&gt;A1793)*(Calc!$G$3:$G$22-A1793)^2)</f>
        <v/>
      </c>
      <c r="J1793">
        <f>SUMPRODUCT(Calc!$K$3:$K$22*(Calc!$G$3:$G$22&gt;B1793)*(Calc!$G$3:$G$22-B1793)^2)</f>
        <v/>
      </c>
      <c r="K1793">
        <f>SUMPRODUCT(Calc!$K$3:$K$22*(Calc!$G$3:$G$22&gt;A1793)*(Calc!$G$3:$G$22-A1793)*(Calc!$G$3:$G$22&gt;B1793)*(Calc!$G$3:$G$22-B1793))</f>
        <v/>
      </c>
      <c r="L1793">
        <f>SUMPRODUCT(Calc!$K$3:$K$22*(Calc!$G$3:$G$22&gt;A1793)*(Calc!$G$3:$G$22-A1793)*Calc!$G$3:$G$22)</f>
        <v/>
      </c>
      <c r="M1793">
        <f>SUMPRODUCT(Calc!$K$3:$K$22*(Calc!$G$3:$G$22&gt;B1793)*(Calc!$G$3:$G$22-B1793)*Calc!$G$3:$G$22)</f>
        <v/>
      </c>
      <c r="N1793">
        <f>SUMPRODUCT(Calc!$K$3:$K$22*(Calc!$G$3:$G$22&gt;A1793)*(Calc!$G$3:$G$22-A1793)*Calc!$I$3:$I$22)</f>
        <v/>
      </c>
      <c r="O1793">
        <f>SUMPRODUCT(Calc!$K$3:$K$22*(Calc!$G$3:$G$22&gt;B1793)*(Calc!$G$3:$G$22-B1793)*Calc!$I$3:$I$22)</f>
        <v/>
      </c>
      <c r="P1793">
        <f>I1793-G1793^2/k_n</f>
        <v/>
      </c>
      <c r="Q1793">
        <f>J1793-H1793^2/k_n</f>
        <v/>
      </c>
      <c r="R1793">
        <f>K1793-G1793*H1793/k_n</f>
        <v/>
      </c>
      <c r="S1793">
        <f>L1793-LTP3!$D$3*G1793/k_n</f>
        <v/>
      </c>
      <c r="T1793">
        <f>M1793-LTP3!$D$3*H1793/k_n</f>
        <v/>
      </c>
      <c r="U1793">
        <f>N1793-G1793*LTP3!$D$4/k_n</f>
        <v/>
      </c>
      <c r="V1793">
        <f>O1793-H1793*LTP3!$D$4/k_n</f>
        <v/>
      </c>
      <c r="W1793">
        <f>((LTP3!$D$5)*((P1793)*(Q1793)-(R1793)*(R1793))-(S1793)*((S1793)*(Q1793)-(R1793)*(T1793))+(T1793)*((S1793)*(R1793)-(P1793)*(T1793)))</f>
        <v/>
      </c>
      <c r="X1793">
        <f>IF(ABS(W1793)&gt;1E-12,((LTP3!$D$6)*((P1793)*(Q1793)-(R1793)*(R1793))-(S1793)*((U1793)*(Q1793)-(R1793)*(V1793))+(T1793)*((U1793)*(R1793)-(P1793)*(V1793)))/W1793,0)</f>
        <v/>
      </c>
      <c r="Y1793">
        <f>IF(ABS(W1793)&gt;1E-12,((LTP3!$D$5)*((U1793)*(Q1793)-(R1793)*(V1793))-(LTP3!$D$6)*((S1793)*(Q1793)-(R1793)*(T1793))+(T1793)*((S1793)*(V1793)-(U1793)*(T1793)))/W1793,0)</f>
        <v/>
      </c>
      <c r="Z1793">
        <f>IF(ABS(W1793)&gt;1E-12,((LTP3!$D$5)*((P1793)*(V1793)-(U1793)*(R1793))-(S1793)*((S1793)*(V1793)-(U1793)*(T1793))+(LTP3!$D$6)*((S1793)*(R1793)-(P1793)*(T1793)))/W1793,0)</f>
        <v/>
      </c>
      <c r="AA1793">
        <f>LTP3!$D$7-X1793*LTP3!$D$6-Y1793*U1793-Z1793*V1793</f>
        <v/>
      </c>
      <c r="AB1793">
        <f>IF(AND(F1793,ABS(W1793)&gt;1E-12,Y1793&gt;0,Z1793&gt;0),AA1793,1E+300)</f>
        <v/>
      </c>
    </row>
    <row r="1794">
      <c r="A1794">
        <f>$B$3+$B$5*29</f>
        <v/>
      </c>
      <c r="B1794">
        <f>$B$3+$B$5*13</f>
        <v/>
      </c>
      <c r="C1794">
        <f>SUMPRODUCT(Calc!$K$3:$K$22*(Calc!$G$3:$G$22&lt;=A1794))</f>
        <v/>
      </c>
      <c r="D1794">
        <f>SUMPRODUCT(Calc!$K$3:$K$22*(Calc!$G$3:$G$22&gt;A1794)*(Calc!$G$3:$G$22&lt;B1794))</f>
        <v/>
      </c>
      <c r="E1794">
        <f>SUMPRODUCT(Calc!$K$3:$K$22*(Calc!$G$3:$G$22&gt;=B1794))</f>
        <v/>
      </c>
      <c r="F1794">
        <f>AND(k_n&gt;=5,B1794&gt;A1794+1E-9,C1794&gt;=2,D1794&gt;=1,E1794&gt;=2)</f>
        <v/>
      </c>
      <c r="G1794">
        <f>SUMPRODUCT(Calc!$K$3:$K$22*(Calc!$G$3:$G$22&gt;A1794)*(Calc!$G$3:$G$22-A1794))</f>
        <v/>
      </c>
      <c r="H1794">
        <f>SUMPRODUCT(Calc!$K$3:$K$22*(Calc!$G$3:$G$22&gt;B1794)*(Calc!$G$3:$G$22-B1794))</f>
        <v/>
      </c>
      <c r="I1794">
        <f>SUMPRODUCT(Calc!$K$3:$K$22*(Calc!$G$3:$G$22&gt;A1794)*(Calc!$G$3:$G$22-A1794)^2)</f>
        <v/>
      </c>
      <c r="J1794">
        <f>SUMPRODUCT(Calc!$K$3:$K$22*(Calc!$G$3:$G$22&gt;B1794)*(Calc!$G$3:$G$22-B1794)^2)</f>
        <v/>
      </c>
      <c r="K1794">
        <f>SUMPRODUCT(Calc!$K$3:$K$22*(Calc!$G$3:$G$22&gt;A1794)*(Calc!$G$3:$G$22-A1794)*(Calc!$G$3:$G$22&gt;B1794)*(Calc!$G$3:$G$22-B1794))</f>
        <v/>
      </c>
      <c r="L1794">
        <f>SUMPRODUCT(Calc!$K$3:$K$22*(Calc!$G$3:$G$22&gt;A1794)*(Calc!$G$3:$G$22-A1794)*Calc!$G$3:$G$22)</f>
        <v/>
      </c>
      <c r="M1794">
        <f>SUMPRODUCT(Calc!$K$3:$K$22*(Calc!$G$3:$G$22&gt;B1794)*(Calc!$G$3:$G$22-B1794)*Calc!$G$3:$G$22)</f>
        <v/>
      </c>
      <c r="N1794">
        <f>SUMPRODUCT(Calc!$K$3:$K$22*(Calc!$G$3:$G$22&gt;A1794)*(Calc!$G$3:$G$22-A1794)*Calc!$I$3:$I$22)</f>
        <v/>
      </c>
      <c r="O1794">
        <f>SUMPRODUCT(Calc!$K$3:$K$22*(Calc!$G$3:$G$22&gt;B1794)*(Calc!$G$3:$G$22-B1794)*Calc!$I$3:$I$22)</f>
        <v/>
      </c>
      <c r="P1794">
        <f>I1794-G1794^2/k_n</f>
        <v/>
      </c>
      <c r="Q1794">
        <f>J1794-H1794^2/k_n</f>
        <v/>
      </c>
      <c r="R1794">
        <f>K1794-G1794*H1794/k_n</f>
        <v/>
      </c>
      <c r="S1794">
        <f>L1794-LTP3!$D$3*G1794/k_n</f>
        <v/>
      </c>
      <c r="T1794">
        <f>M1794-LTP3!$D$3*H1794/k_n</f>
        <v/>
      </c>
      <c r="U1794">
        <f>N1794-G1794*LTP3!$D$4/k_n</f>
        <v/>
      </c>
      <c r="V1794">
        <f>O1794-H1794*LTP3!$D$4/k_n</f>
        <v/>
      </c>
      <c r="W1794">
        <f>((LTP3!$D$5)*((P1794)*(Q1794)-(R1794)*(R1794))-(S1794)*((S1794)*(Q1794)-(R1794)*(T1794))+(T1794)*((S1794)*(R1794)-(P1794)*(T1794)))</f>
        <v/>
      </c>
      <c r="X1794">
        <f>IF(ABS(W1794)&gt;1E-12,((LTP3!$D$6)*((P1794)*(Q1794)-(R1794)*(R1794))-(S1794)*((U1794)*(Q1794)-(R1794)*(V1794))+(T1794)*((U1794)*(R1794)-(P1794)*(V1794)))/W1794,0)</f>
        <v/>
      </c>
      <c r="Y1794">
        <f>IF(ABS(W1794)&gt;1E-12,((LTP3!$D$5)*((U1794)*(Q1794)-(R1794)*(V1794))-(LTP3!$D$6)*((S1794)*(Q1794)-(R1794)*(T1794))+(T1794)*((S1794)*(V1794)-(U1794)*(T1794)))/W1794,0)</f>
        <v/>
      </c>
      <c r="Z1794">
        <f>IF(ABS(W1794)&gt;1E-12,((LTP3!$D$5)*((P1794)*(V1794)-(U1794)*(R1794))-(S1794)*((S1794)*(V1794)-(U1794)*(T1794))+(LTP3!$D$6)*((S1794)*(R1794)-(P1794)*(T1794)))/W1794,0)</f>
        <v/>
      </c>
      <c r="AA1794">
        <f>LTP3!$D$7-X1794*LTP3!$D$6-Y1794*U1794-Z1794*V1794</f>
        <v/>
      </c>
      <c r="AB1794">
        <f>IF(AND(F1794,ABS(W1794)&gt;1E-12,Y1794&gt;0,Z1794&gt;0),AA1794,1E+300)</f>
        <v/>
      </c>
    </row>
    <row r="1795">
      <c r="A1795">
        <f>$B$3+$B$5*29</f>
        <v/>
      </c>
      <c r="B1795">
        <f>$B$3+$B$5*14</f>
        <v/>
      </c>
      <c r="C1795">
        <f>SUMPRODUCT(Calc!$K$3:$K$22*(Calc!$G$3:$G$22&lt;=A1795))</f>
        <v/>
      </c>
      <c r="D1795">
        <f>SUMPRODUCT(Calc!$K$3:$K$22*(Calc!$G$3:$G$22&gt;A1795)*(Calc!$G$3:$G$22&lt;B1795))</f>
        <v/>
      </c>
      <c r="E1795">
        <f>SUMPRODUCT(Calc!$K$3:$K$22*(Calc!$G$3:$G$22&gt;=B1795))</f>
        <v/>
      </c>
      <c r="F1795">
        <f>AND(k_n&gt;=5,B1795&gt;A1795+1E-9,C1795&gt;=2,D1795&gt;=1,E1795&gt;=2)</f>
        <v/>
      </c>
      <c r="G1795">
        <f>SUMPRODUCT(Calc!$K$3:$K$22*(Calc!$G$3:$G$22&gt;A1795)*(Calc!$G$3:$G$22-A1795))</f>
        <v/>
      </c>
      <c r="H1795">
        <f>SUMPRODUCT(Calc!$K$3:$K$22*(Calc!$G$3:$G$22&gt;B1795)*(Calc!$G$3:$G$22-B1795))</f>
        <v/>
      </c>
      <c r="I1795">
        <f>SUMPRODUCT(Calc!$K$3:$K$22*(Calc!$G$3:$G$22&gt;A1795)*(Calc!$G$3:$G$22-A1795)^2)</f>
        <v/>
      </c>
      <c r="J1795">
        <f>SUMPRODUCT(Calc!$K$3:$K$22*(Calc!$G$3:$G$22&gt;B1795)*(Calc!$G$3:$G$22-B1795)^2)</f>
        <v/>
      </c>
      <c r="K1795">
        <f>SUMPRODUCT(Calc!$K$3:$K$22*(Calc!$G$3:$G$22&gt;A1795)*(Calc!$G$3:$G$22-A1795)*(Calc!$G$3:$G$22&gt;B1795)*(Calc!$G$3:$G$22-B1795))</f>
        <v/>
      </c>
      <c r="L1795">
        <f>SUMPRODUCT(Calc!$K$3:$K$22*(Calc!$G$3:$G$22&gt;A1795)*(Calc!$G$3:$G$22-A1795)*Calc!$G$3:$G$22)</f>
        <v/>
      </c>
      <c r="M1795">
        <f>SUMPRODUCT(Calc!$K$3:$K$22*(Calc!$G$3:$G$22&gt;B1795)*(Calc!$G$3:$G$22-B1795)*Calc!$G$3:$G$22)</f>
        <v/>
      </c>
      <c r="N1795">
        <f>SUMPRODUCT(Calc!$K$3:$K$22*(Calc!$G$3:$G$22&gt;A1795)*(Calc!$G$3:$G$22-A1795)*Calc!$I$3:$I$22)</f>
        <v/>
      </c>
      <c r="O1795">
        <f>SUMPRODUCT(Calc!$K$3:$K$22*(Calc!$G$3:$G$22&gt;B1795)*(Calc!$G$3:$G$22-B1795)*Calc!$I$3:$I$22)</f>
        <v/>
      </c>
      <c r="P1795">
        <f>I1795-G1795^2/k_n</f>
        <v/>
      </c>
      <c r="Q1795">
        <f>J1795-H1795^2/k_n</f>
        <v/>
      </c>
      <c r="R1795">
        <f>K1795-G1795*H1795/k_n</f>
        <v/>
      </c>
      <c r="S1795">
        <f>L1795-LTP3!$D$3*G1795/k_n</f>
        <v/>
      </c>
      <c r="T1795">
        <f>M1795-LTP3!$D$3*H1795/k_n</f>
        <v/>
      </c>
      <c r="U1795">
        <f>N1795-G1795*LTP3!$D$4/k_n</f>
        <v/>
      </c>
      <c r="V1795">
        <f>O1795-H1795*LTP3!$D$4/k_n</f>
        <v/>
      </c>
      <c r="W1795">
        <f>((LTP3!$D$5)*((P1795)*(Q1795)-(R1795)*(R1795))-(S1795)*((S1795)*(Q1795)-(R1795)*(T1795))+(T1795)*((S1795)*(R1795)-(P1795)*(T1795)))</f>
        <v/>
      </c>
      <c r="X1795">
        <f>IF(ABS(W1795)&gt;1E-12,((LTP3!$D$6)*((P1795)*(Q1795)-(R1795)*(R1795))-(S1795)*((U1795)*(Q1795)-(R1795)*(V1795))+(T1795)*((U1795)*(R1795)-(P1795)*(V1795)))/W1795,0)</f>
        <v/>
      </c>
      <c r="Y1795">
        <f>IF(ABS(W1795)&gt;1E-12,((LTP3!$D$5)*((U1795)*(Q1795)-(R1795)*(V1795))-(LTP3!$D$6)*((S1795)*(Q1795)-(R1795)*(T1795))+(T1795)*((S1795)*(V1795)-(U1795)*(T1795)))/W1795,0)</f>
        <v/>
      </c>
      <c r="Z1795">
        <f>IF(ABS(W1795)&gt;1E-12,((LTP3!$D$5)*((P1795)*(V1795)-(U1795)*(R1795))-(S1795)*((S1795)*(V1795)-(U1795)*(T1795))+(LTP3!$D$6)*((S1795)*(R1795)-(P1795)*(T1795)))/W1795,0)</f>
        <v/>
      </c>
      <c r="AA1795">
        <f>LTP3!$D$7-X1795*LTP3!$D$6-Y1795*U1795-Z1795*V1795</f>
        <v/>
      </c>
      <c r="AB1795">
        <f>IF(AND(F1795,ABS(W1795)&gt;1E-12,Y1795&gt;0,Z1795&gt;0),AA1795,1E+300)</f>
        <v/>
      </c>
    </row>
    <row r="1796">
      <c r="A1796">
        <f>$B$3+$B$5*29</f>
        <v/>
      </c>
      <c r="B1796">
        <f>$B$3+$B$5*15</f>
        <v/>
      </c>
      <c r="C1796">
        <f>SUMPRODUCT(Calc!$K$3:$K$22*(Calc!$G$3:$G$22&lt;=A1796))</f>
        <v/>
      </c>
      <c r="D1796">
        <f>SUMPRODUCT(Calc!$K$3:$K$22*(Calc!$G$3:$G$22&gt;A1796)*(Calc!$G$3:$G$22&lt;B1796))</f>
        <v/>
      </c>
      <c r="E1796">
        <f>SUMPRODUCT(Calc!$K$3:$K$22*(Calc!$G$3:$G$22&gt;=B1796))</f>
        <v/>
      </c>
      <c r="F1796">
        <f>AND(k_n&gt;=5,B1796&gt;A1796+1E-9,C1796&gt;=2,D1796&gt;=1,E1796&gt;=2)</f>
        <v/>
      </c>
      <c r="G1796">
        <f>SUMPRODUCT(Calc!$K$3:$K$22*(Calc!$G$3:$G$22&gt;A1796)*(Calc!$G$3:$G$22-A1796))</f>
        <v/>
      </c>
      <c r="H1796">
        <f>SUMPRODUCT(Calc!$K$3:$K$22*(Calc!$G$3:$G$22&gt;B1796)*(Calc!$G$3:$G$22-B1796))</f>
        <v/>
      </c>
      <c r="I1796">
        <f>SUMPRODUCT(Calc!$K$3:$K$22*(Calc!$G$3:$G$22&gt;A1796)*(Calc!$G$3:$G$22-A1796)^2)</f>
        <v/>
      </c>
      <c r="J1796">
        <f>SUMPRODUCT(Calc!$K$3:$K$22*(Calc!$G$3:$G$22&gt;B1796)*(Calc!$G$3:$G$22-B1796)^2)</f>
        <v/>
      </c>
      <c r="K1796">
        <f>SUMPRODUCT(Calc!$K$3:$K$22*(Calc!$G$3:$G$22&gt;A1796)*(Calc!$G$3:$G$22-A1796)*(Calc!$G$3:$G$22&gt;B1796)*(Calc!$G$3:$G$22-B1796))</f>
        <v/>
      </c>
      <c r="L1796">
        <f>SUMPRODUCT(Calc!$K$3:$K$22*(Calc!$G$3:$G$22&gt;A1796)*(Calc!$G$3:$G$22-A1796)*Calc!$G$3:$G$22)</f>
        <v/>
      </c>
      <c r="M1796">
        <f>SUMPRODUCT(Calc!$K$3:$K$22*(Calc!$G$3:$G$22&gt;B1796)*(Calc!$G$3:$G$22-B1796)*Calc!$G$3:$G$22)</f>
        <v/>
      </c>
      <c r="N1796">
        <f>SUMPRODUCT(Calc!$K$3:$K$22*(Calc!$G$3:$G$22&gt;A1796)*(Calc!$G$3:$G$22-A1796)*Calc!$I$3:$I$22)</f>
        <v/>
      </c>
      <c r="O1796">
        <f>SUMPRODUCT(Calc!$K$3:$K$22*(Calc!$G$3:$G$22&gt;B1796)*(Calc!$G$3:$G$22-B1796)*Calc!$I$3:$I$22)</f>
        <v/>
      </c>
      <c r="P1796">
        <f>I1796-G1796^2/k_n</f>
        <v/>
      </c>
      <c r="Q1796">
        <f>J1796-H1796^2/k_n</f>
        <v/>
      </c>
      <c r="R1796">
        <f>K1796-G1796*H1796/k_n</f>
        <v/>
      </c>
      <c r="S1796">
        <f>L1796-LTP3!$D$3*G1796/k_n</f>
        <v/>
      </c>
      <c r="T1796">
        <f>M1796-LTP3!$D$3*H1796/k_n</f>
        <v/>
      </c>
      <c r="U1796">
        <f>N1796-G1796*LTP3!$D$4/k_n</f>
        <v/>
      </c>
      <c r="V1796">
        <f>O1796-H1796*LTP3!$D$4/k_n</f>
        <v/>
      </c>
      <c r="W1796">
        <f>((LTP3!$D$5)*((P1796)*(Q1796)-(R1796)*(R1796))-(S1796)*((S1796)*(Q1796)-(R1796)*(T1796))+(T1796)*((S1796)*(R1796)-(P1796)*(T1796)))</f>
        <v/>
      </c>
      <c r="X1796">
        <f>IF(ABS(W1796)&gt;1E-12,((LTP3!$D$6)*((P1796)*(Q1796)-(R1796)*(R1796))-(S1796)*((U1796)*(Q1796)-(R1796)*(V1796))+(T1796)*((U1796)*(R1796)-(P1796)*(V1796)))/W1796,0)</f>
        <v/>
      </c>
      <c r="Y1796">
        <f>IF(ABS(W1796)&gt;1E-12,((LTP3!$D$5)*((U1796)*(Q1796)-(R1796)*(V1796))-(LTP3!$D$6)*((S1796)*(Q1796)-(R1796)*(T1796))+(T1796)*((S1796)*(V1796)-(U1796)*(T1796)))/W1796,0)</f>
        <v/>
      </c>
      <c r="Z1796">
        <f>IF(ABS(W1796)&gt;1E-12,((LTP3!$D$5)*((P1796)*(V1796)-(U1796)*(R1796))-(S1796)*((S1796)*(V1796)-(U1796)*(T1796))+(LTP3!$D$6)*((S1796)*(R1796)-(P1796)*(T1796)))/W1796,0)</f>
        <v/>
      </c>
      <c r="AA1796">
        <f>LTP3!$D$7-X1796*LTP3!$D$6-Y1796*U1796-Z1796*V1796</f>
        <v/>
      </c>
      <c r="AB1796">
        <f>IF(AND(F1796,ABS(W1796)&gt;1E-12,Y1796&gt;0,Z1796&gt;0),AA1796,1E+300)</f>
        <v/>
      </c>
    </row>
    <row r="1797">
      <c r="A1797">
        <f>$B$3+$B$5*29</f>
        <v/>
      </c>
      <c r="B1797">
        <f>$B$3+$B$5*16</f>
        <v/>
      </c>
      <c r="C1797">
        <f>SUMPRODUCT(Calc!$K$3:$K$22*(Calc!$G$3:$G$22&lt;=A1797))</f>
        <v/>
      </c>
      <c r="D1797">
        <f>SUMPRODUCT(Calc!$K$3:$K$22*(Calc!$G$3:$G$22&gt;A1797)*(Calc!$G$3:$G$22&lt;B1797))</f>
        <v/>
      </c>
      <c r="E1797">
        <f>SUMPRODUCT(Calc!$K$3:$K$22*(Calc!$G$3:$G$22&gt;=B1797))</f>
        <v/>
      </c>
      <c r="F1797">
        <f>AND(k_n&gt;=5,B1797&gt;A1797+1E-9,C1797&gt;=2,D1797&gt;=1,E1797&gt;=2)</f>
        <v/>
      </c>
      <c r="G1797">
        <f>SUMPRODUCT(Calc!$K$3:$K$22*(Calc!$G$3:$G$22&gt;A1797)*(Calc!$G$3:$G$22-A1797))</f>
        <v/>
      </c>
      <c r="H1797">
        <f>SUMPRODUCT(Calc!$K$3:$K$22*(Calc!$G$3:$G$22&gt;B1797)*(Calc!$G$3:$G$22-B1797))</f>
        <v/>
      </c>
      <c r="I1797">
        <f>SUMPRODUCT(Calc!$K$3:$K$22*(Calc!$G$3:$G$22&gt;A1797)*(Calc!$G$3:$G$22-A1797)^2)</f>
        <v/>
      </c>
      <c r="J1797">
        <f>SUMPRODUCT(Calc!$K$3:$K$22*(Calc!$G$3:$G$22&gt;B1797)*(Calc!$G$3:$G$22-B1797)^2)</f>
        <v/>
      </c>
      <c r="K1797">
        <f>SUMPRODUCT(Calc!$K$3:$K$22*(Calc!$G$3:$G$22&gt;A1797)*(Calc!$G$3:$G$22-A1797)*(Calc!$G$3:$G$22&gt;B1797)*(Calc!$G$3:$G$22-B1797))</f>
        <v/>
      </c>
      <c r="L1797">
        <f>SUMPRODUCT(Calc!$K$3:$K$22*(Calc!$G$3:$G$22&gt;A1797)*(Calc!$G$3:$G$22-A1797)*Calc!$G$3:$G$22)</f>
        <v/>
      </c>
      <c r="M1797">
        <f>SUMPRODUCT(Calc!$K$3:$K$22*(Calc!$G$3:$G$22&gt;B1797)*(Calc!$G$3:$G$22-B1797)*Calc!$G$3:$G$22)</f>
        <v/>
      </c>
      <c r="N1797">
        <f>SUMPRODUCT(Calc!$K$3:$K$22*(Calc!$G$3:$G$22&gt;A1797)*(Calc!$G$3:$G$22-A1797)*Calc!$I$3:$I$22)</f>
        <v/>
      </c>
      <c r="O1797">
        <f>SUMPRODUCT(Calc!$K$3:$K$22*(Calc!$G$3:$G$22&gt;B1797)*(Calc!$G$3:$G$22-B1797)*Calc!$I$3:$I$22)</f>
        <v/>
      </c>
      <c r="P1797">
        <f>I1797-G1797^2/k_n</f>
        <v/>
      </c>
      <c r="Q1797">
        <f>J1797-H1797^2/k_n</f>
        <v/>
      </c>
      <c r="R1797">
        <f>K1797-G1797*H1797/k_n</f>
        <v/>
      </c>
      <c r="S1797">
        <f>L1797-LTP3!$D$3*G1797/k_n</f>
        <v/>
      </c>
      <c r="T1797">
        <f>M1797-LTP3!$D$3*H1797/k_n</f>
        <v/>
      </c>
      <c r="U1797">
        <f>N1797-G1797*LTP3!$D$4/k_n</f>
        <v/>
      </c>
      <c r="V1797">
        <f>O1797-H1797*LTP3!$D$4/k_n</f>
        <v/>
      </c>
      <c r="W1797">
        <f>((LTP3!$D$5)*((P1797)*(Q1797)-(R1797)*(R1797))-(S1797)*((S1797)*(Q1797)-(R1797)*(T1797))+(T1797)*((S1797)*(R1797)-(P1797)*(T1797)))</f>
        <v/>
      </c>
      <c r="X1797">
        <f>IF(ABS(W1797)&gt;1E-12,((LTP3!$D$6)*((P1797)*(Q1797)-(R1797)*(R1797))-(S1797)*((U1797)*(Q1797)-(R1797)*(V1797))+(T1797)*((U1797)*(R1797)-(P1797)*(V1797)))/W1797,0)</f>
        <v/>
      </c>
      <c r="Y1797">
        <f>IF(ABS(W1797)&gt;1E-12,((LTP3!$D$5)*((U1797)*(Q1797)-(R1797)*(V1797))-(LTP3!$D$6)*((S1797)*(Q1797)-(R1797)*(T1797))+(T1797)*((S1797)*(V1797)-(U1797)*(T1797)))/W1797,0)</f>
        <v/>
      </c>
      <c r="Z1797">
        <f>IF(ABS(W1797)&gt;1E-12,((LTP3!$D$5)*((P1797)*(V1797)-(U1797)*(R1797))-(S1797)*((S1797)*(V1797)-(U1797)*(T1797))+(LTP3!$D$6)*((S1797)*(R1797)-(P1797)*(T1797)))/W1797,0)</f>
        <v/>
      </c>
      <c r="AA1797">
        <f>LTP3!$D$7-X1797*LTP3!$D$6-Y1797*U1797-Z1797*V1797</f>
        <v/>
      </c>
      <c r="AB1797">
        <f>IF(AND(F1797,ABS(W1797)&gt;1E-12,Y1797&gt;0,Z1797&gt;0),AA1797,1E+300)</f>
        <v/>
      </c>
    </row>
    <row r="1798">
      <c r="A1798">
        <f>$B$3+$B$5*29</f>
        <v/>
      </c>
      <c r="B1798">
        <f>$B$3+$B$5*17</f>
        <v/>
      </c>
      <c r="C1798">
        <f>SUMPRODUCT(Calc!$K$3:$K$22*(Calc!$G$3:$G$22&lt;=A1798))</f>
        <v/>
      </c>
      <c r="D1798">
        <f>SUMPRODUCT(Calc!$K$3:$K$22*(Calc!$G$3:$G$22&gt;A1798)*(Calc!$G$3:$G$22&lt;B1798))</f>
        <v/>
      </c>
      <c r="E1798">
        <f>SUMPRODUCT(Calc!$K$3:$K$22*(Calc!$G$3:$G$22&gt;=B1798))</f>
        <v/>
      </c>
      <c r="F1798">
        <f>AND(k_n&gt;=5,B1798&gt;A1798+1E-9,C1798&gt;=2,D1798&gt;=1,E1798&gt;=2)</f>
        <v/>
      </c>
      <c r="G1798">
        <f>SUMPRODUCT(Calc!$K$3:$K$22*(Calc!$G$3:$G$22&gt;A1798)*(Calc!$G$3:$G$22-A1798))</f>
        <v/>
      </c>
      <c r="H1798">
        <f>SUMPRODUCT(Calc!$K$3:$K$22*(Calc!$G$3:$G$22&gt;B1798)*(Calc!$G$3:$G$22-B1798))</f>
        <v/>
      </c>
      <c r="I1798">
        <f>SUMPRODUCT(Calc!$K$3:$K$22*(Calc!$G$3:$G$22&gt;A1798)*(Calc!$G$3:$G$22-A1798)^2)</f>
        <v/>
      </c>
      <c r="J1798">
        <f>SUMPRODUCT(Calc!$K$3:$K$22*(Calc!$G$3:$G$22&gt;B1798)*(Calc!$G$3:$G$22-B1798)^2)</f>
        <v/>
      </c>
      <c r="K1798">
        <f>SUMPRODUCT(Calc!$K$3:$K$22*(Calc!$G$3:$G$22&gt;A1798)*(Calc!$G$3:$G$22-A1798)*(Calc!$G$3:$G$22&gt;B1798)*(Calc!$G$3:$G$22-B1798))</f>
        <v/>
      </c>
      <c r="L1798">
        <f>SUMPRODUCT(Calc!$K$3:$K$22*(Calc!$G$3:$G$22&gt;A1798)*(Calc!$G$3:$G$22-A1798)*Calc!$G$3:$G$22)</f>
        <v/>
      </c>
      <c r="M1798">
        <f>SUMPRODUCT(Calc!$K$3:$K$22*(Calc!$G$3:$G$22&gt;B1798)*(Calc!$G$3:$G$22-B1798)*Calc!$G$3:$G$22)</f>
        <v/>
      </c>
      <c r="N1798">
        <f>SUMPRODUCT(Calc!$K$3:$K$22*(Calc!$G$3:$G$22&gt;A1798)*(Calc!$G$3:$G$22-A1798)*Calc!$I$3:$I$22)</f>
        <v/>
      </c>
      <c r="O1798">
        <f>SUMPRODUCT(Calc!$K$3:$K$22*(Calc!$G$3:$G$22&gt;B1798)*(Calc!$G$3:$G$22-B1798)*Calc!$I$3:$I$22)</f>
        <v/>
      </c>
      <c r="P1798">
        <f>I1798-G1798^2/k_n</f>
        <v/>
      </c>
      <c r="Q1798">
        <f>J1798-H1798^2/k_n</f>
        <v/>
      </c>
      <c r="R1798">
        <f>K1798-G1798*H1798/k_n</f>
        <v/>
      </c>
      <c r="S1798">
        <f>L1798-LTP3!$D$3*G1798/k_n</f>
        <v/>
      </c>
      <c r="T1798">
        <f>M1798-LTP3!$D$3*H1798/k_n</f>
        <v/>
      </c>
      <c r="U1798">
        <f>N1798-G1798*LTP3!$D$4/k_n</f>
        <v/>
      </c>
      <c r="V1798">
        <f>O1798-H1798*LTP3!$D$4/k_n</f>
        <v/>
      </c>
      <c r="W1798">
        <f>((LTP3!$D$5)*((P1798)*(Q1798)-(R1798)*(R1798))-(S1798)*((S1798)*(Q1798)-(R1798)*(T1798))+(T1798)*((S1798)*(R1798)-(P1798)*(T1798)))</f>
        <v/>
      </c>
      <c r="X1798">
        <f>IF(ABS(W1798)&gt;1E-12,((LTP3!$D$6)*((P1798)*(Q1798)-(R1798)*(R1798))-(S1798)*((U1798)*(Q1798)-(R1798)*(V1798))+(T1798)*((U1798)*(R1798)-(P1798)*(V1798)))/W1798,0)</f>
        <v/>
      </c>
      <c r="Y1798">
        <f>IF(ABS(W1798)&gt;1E-12,((LTP3!$D$5)*((U1798)*(Q1798)-(R1798)*(V1798))-(LTP3!$D$6)*((S1798)*(Q1798)-(R1798)*(T1798))+(T1798)*((S1798)*(V1798)-(U1798)*(T1798)))/W1798,0)</f>
        <v/>
      </c>
      <c r="Z1798">
        <f>IF(ABS(W1798)&gt;1E-12,((LTP3!$D$5)*((P1798)*(V1798)-(U1798)*(R1798))-(S1798)*((S1798)*(V1798)-(U1798)*(T1798))+(LTP3!$D$6)*((S1798)*(R1798)-(P1798)*(T1798)))/W1798,0)</f>
        <v/>
      </c>
      <c r="AA1798">
        <f>LTP3!$D$7-X1798*LTP3!$D$6-Y1798*U1798-Z1798*V1798</f>
        <v/>
      </c>
      <c r="AB1798">
        <f>IF(AND(F1798,ABS(W1798)&gt;1E-12,Y1798&gt;0,Z1798&gt;0),AA1798,1E+300)</f>
        <v/>
      </c>
    </row>
    <row r="1799">
      <c r="A1799">
        <f>$B$3+$B$5*29</f>
        <v/>
      </c>
      <c r="B1799">
        <f>$B$3+$B$5*18</f>
        <v/>
      </c>
      <c r="C1799">
        <f>SUMPRODUCT(Calc!$K$3:$K$22*(Calc!$G$3:$G$22&lt;=A1799))</f>
        <v/>
      </c>
      <c r="D1799">
        <f>SUMPRODUCT(Calc!$K$3:$K$22*(Calc!$G$3:$G$22&gt;A1799)*(Calc!$G$3:$G$22&lt;B1799))</f>
        <v/>
      </c>
      <c r="E1799">
        <f>SUMPRODUCT(Calc!$K$3:$K$22*(Calc!$G$3:$G$22&gt;=B1799))</f>
        <v/>
      </c>
      <c r="F1799">
        <f>AND(k_n&gt;=5,B1799&gt;A1799+1E-9,C1799&gt;=2,D1799&gt;=1,E1799&gt;=2)</f>
        <v/>
      </c>
      <c r="G1799">
        <f>SUMPRODUCT(Calc!$K$3:$K$22*(Calc!$G$3:$G$22&gt;A1799)*(Calc!$G$3:$G$22-A1799))</f>
        <v/>
      </c>
      <c r="H1799">
        <f>SUMPRODUCT(Calc!$K$3:$K$22*(Calc!$G$3:$G$22&gt;B1799)*(Calc!$G$3:$G$22-B1799))</f>
        <v/>
      </c>
      <c r="I1799">
        <f>SUMPRODUCT(Calc!$K$3:$K$22*(Calc!$G$3:$G$22&gt;A1799)*(Calc!$G$3:$G$22-A1799)^2)</f>
        <v/>
      </c>
      <c r="J1799">
        <f>SUMPRODUCT(Calc!$K$3:$K$22*(Calc!$G$3:$G$22&gt;B1799)*(Calc!$G$3:$G$22-B1799)^2)</f>
        <v/>
      </c>
      <c r="K1799">
        <f>SUMPRODUCT(Calc!$K$3:$K$22*(Calc!$G$3:$G$22&gt;A1799)*(Calc!$G$3:$G$22-A1799)*(Calc!$G$3:$G$22&gt;B1799)*(Calc!$G$3:$G$22-B1799))</f>
        <v/>
      </c>
      <c r="L1799">
        <f>SUMPRODUCT(Calc!$K$3:$K$22*(Calc!$G$3:$G$22&gt;A1799)*(Calc!$G$3:$G$22-A1799)*Calc!$G$3:$G$22)</f>
        <v/>
      </c>
      <c r="M1799">
        <f>SUMPRODUCT(Calc!$K$3:$K$22*(Calc!$G$3:$G$22&gt;B1799)*(Calc!$G$3:$G$22-B1799)*Calc!$G$3:$G$22)</f>
        <v/>
      </c>
      <c r="N1799">
        <f>SUMPRODUCT(Calc!$K$3:$K$22*(Calc!$G$3:$G$22&gt;A1799)*(Calc!$G$3:$G$22-A1799)*Calc!$I$3:$I$22)</f>
        <v/>
      </c>
      <c r="O1799">
        <f>SUMPRODUCT(Calc!$K$3:$K$22*(Calc!$G$3:$G$22&gt;B1799)*(Calc!$G$3:$G$22-B1799)*Calc!$I$3:$I$22)</f>
        <v/>
      </c>
      <c r="P1799">
        <f>I1799-G1799^2/k_n</f>
        <v/>
      </c>
      <c r="Q1799">
        <f>J1799-H1799^2/k_n</f>
        <v/>
      </c>
      <c r="R1799">
        <f>K1799-G1799*H1799/k_n</f>
        <v/>
      </c>
      <c r="S1799">
        <f>L1799-LTP3!$D$3*G1799/k_n</f>
        <v/>
      </c>
      <c r="T1799">
        <f>M1799-LTP3!$D$3*H1799/k_n</f>
        <v/>
      </c>
      <c r="U1799">
        <f>N1799-G1799*LTP3!$D$4/k_n</f>
        <v/>
      </c>
      <c r="V1799">
        <f>O1799-H1799*LTP3!$D$4/k_n</f>
        <v/>
      </c>
      <c r="W1799">
        <f>((LTP3!$D$5)*((P1799)*(Q1799)-(R1799)*(R1799))-(S1799)*((S1799)*(Q1799)-(R1799)*(T1799))+(T1799)*((S1799)*(R1799)-(P1799)*(T1799)))</f>
        <v/>
      </c>
      <c r="X1799">
        <f>IF(ABS(W1799)&gt;1E-12,((LTP3!$D$6)*((P1799)*(Q1799)-(R1799)*(R1799))-(S1799)*((U1799)*(Q1799)-(R1799)*(V1799))+(T1799)*((U1799)*(R1799)-(P1799)*(V1799)))/W1799,0)</f>
        <v/>
      </c>
      <c r="Y1799">
        <f>IF(ABS(W1799)&gt;1E-12,((LTP3!$D$5)*((U1799)*(Q1799)-(R1799)*(V1799))-(LTP3!$D$6)*((S1799)*(Q1799)-(R1799)*(T1799))+(T1799)*((S1799)*(V1799)-(U1799)*(T1799)))/W1799,0)</f>
        <v/>
      </c>
      <c r="Z1799">
        <f>IF(ABS(W1799)&gt;1E-12,((LTP3!$D$5)*((P1799)*(V1799)-(U1799)*(R1799))-(S1799)*((S1799)*(V1799)-(U1799)*(T1799))+(LTP3!$D$6)*((S1799)*(R1799)-(P1799)*(T1799)))/W1799,0)</f>
        <v/>
      </c>
      <c r="AA1799">
        <f>LTP3!$D$7-X1799*LTP3!$D$6-Y1799*U1799-Z1799*V1799</f>
        <v/>
      </c>
      <c r="AB1799">
        <f>IF(AND(F1799,ABS(W1799)&gt;1E-12,Y1799&gt;0,Z1799&gt;0),AA1799,1E+300)</f>
        <v/>
      </c>
    </row>
    <row r="1800">
      <c r="A1800">
        <f>$B$3+$B$5*29</f>
        <v/>
      </c>
      <c r="B1800">
        <f>$B$3+$B$5*19</f>
        <v/>
      </c>
      <c r="C1800">
        <f>SUMPRODUCT(Calc!$K$3:$K$22*(Calc!$G$3:$G$22&lt;=A1800))</f>
        <v/>
      </c>
      <c r="D1800">
        <f>SUMPRODUCT(Calc!$K$3:$K$22*(Calc!$G$3:$G$22&gt;A1800)*(Calc!$G$3:$G$22&lt;B1800))</f>
        <v/>
      </c>
      <c r="E1800">
        <f>SUMPRODUCT(Calc!$K$3:$K$22*(Calc!$G$3:$G$22&gt;=B1800))</f>
        <v/>
      </c>
      <c r="F1800">
        <f>AND(k_n&gt;=5,B1800&gt;A1800+1E-9,C1800&gt;=2,D1800&gt;=1,E1800&gt;=2)</f>
        <v/>
      </c>
      <c r="G1800">
        <f>SUMPRODUCT(Calc!$K$3:$K$22*(Calc!$G$3:$G$22&gt;A1800)*(Calc!$G$3:$G$22-A1800))</f>
        <v/>
      </c>
      <c r="H1800">
        <f>SUMPRODUCT(Calc!$K$3:$K$22*(Calc!$G$3:$G$22&gt;B1800)*(Calc!$G$3:$G$22-B1800))</f>
        <v/>
      </c>
      <c r="I1800">
        <f>SUMPRODUCT(Calc!$K$3:$K$22*(Calc!$G$3:$G$22&gt;A1800)*(Calc!$G$3:$G$22-A1800)^2)</f>
        <v/>
      </c>
      <c r="J1800">
        <f>SUMPRODUCT(Calc!$K$3:$K$22*(Calc!$G$3:$G$22&gt;B1800)*(Calc!$G$3:$G$22-B1800)^2)</f>
        <v/>
      </c>
      <c r="K1800">
        <f>SUMPRODUCT(Calc!$K$3:$K$22*(Calc!$G$3:$G$22&gt;A1800)*(Calc!$G$3:$G$22-A1800)*(Calc!$G$3:$G$22&gt;B1800)*(Calc!$G$3:$G$22-B1800))</f>
        <v/>
      </c>
      <c r="L1800">
        <f>SUMPRODUCT(Calc!$K$3:$K$22*(Calc!$G$3:$G$22&gt;A1800)*(Calc!$G$3:$G$22-A1800)*Calc!$G$3:$G$22)</f>
        <v/>
      </c>
      <c r="M1800">
        <f>SUMPRODUCT(Calc!$K$3:$K$22*(Calc!$G$3:$G$22&gt;B1800)*(Calc!$G$3:$G$22-B1800)*Calc!$G$3:$G$22)</f>
        <v/>
      </c>
      <c r="N1800">
        <f>SUMPRODUCT(Calc!$K$3:$K$22*(Calc!$G$3:$G$22&gt;A1800)*(Calc!$G$3:$G$22-A1800)*Calc!$I$3:$I$22)</f>
        <v/>
      </c>
      <c r="O1800">
        <f>SUMPRODUCT(Calc!$K$3:$K$22*(Calc!$G$3:$G$22&gt;B1800)*(Calc!$G$3:$G$22-B1800)*Calc!$I$3:$I$22)</f>
        <v/>
      </c>
      <c r="P1800">
        <f>I1800-G1800^2/k_n</f>
        <v/>
      </c>
      <c r="Q1800">
        <f>J1800-H1800^2/k_n</f>
        <v/>
      </c>
      <c r="R1800">
        <f>K1800-G1800*H1800/k_n</f>
        <v/>
      </c>
      <c r="S1800">
        <f>L1800-LTP3!$D$3*G1800/k_n</f>
        <v/>
      </c>
      <c r="T1800">
        <f>M1800-LTP3!$D$3*H1800/k_n</f>
        <v/>
      </c>
      <c r="U1800">
        <f>N1800-G1800*LTP3!$D$4/k_n</f>
        <v/>
      </c>
      <c r="V1800">
        <f>O1800-H1800*LTP3!$D$4/k_n</f>
        <v/>
      </c>
      <c r="W1800">
        <f>((LTP3!$D$5)*((P1800)*(Q1800)-(R1800)*(R1800))-(S1800)*((S1800)*(Q1800)-(R1800)*(T1800))+(T1800)*((S1800)*(R1800)-(P1800)*(T1800)))</f>
        <v/>
      </c>
      <c r="X1800">
        <f>IF(ABS(W1800)&gt;1E-12,((LTP3!$D$6)*((P1800)*(Q1800)-(R1800)*(R1800))-(S1800)*((U1800)*(Q1800)-(R1800)*(V1800))+(T1800)*((U1800)*(R1800)-(P1800)*(V1800)))/W1800,0)</f>
        <v/>
      </c>
      <c r="Y1800">
        <f>IF(ABS(W1800)&gt;1E-12,((LTP3!$D$5)*((U1800)*(Q1800)-(R1800)*(V1800))-(LTP3!$D$6)*((S1800)*(Q1800)-(R1800)*(T1800))+(T1800)*((S1800)*(V1800)-(U1800)*(T1800)))/W1800,0)</f>
        <v/>
      </c>
      <c r="Z1800">
        <f>IF(ABS(W1800)&gt;1E-12,((LTP3!$D$5)*((P1800)*(V1800)-(U1800)*(R1800))-(S1800)*((S1800)*(V1800)-(U1800)*(T1800))+(LTP3!$D$6)*((S1800)*(R1800)-(P1800)*(T1800)))/W1800,0)</f>
        <v/>
      </c>
      <c r="AA1800">
        <f>LTP3!$D$7-X1800*LTP3!$D$6-Y1800*U1800-Z1800*V1800</f>
        <v/>
      </c>
      <c r="AB1800">
        <f>IF(AND(F1800,ABS(W1800)&gt;1E-12,Y1800&gt;0,Z1800&gt;0),AA1800,1E+300)</f>
        <v/>
      </c>
    </row>
    <row r="1801">
      <c r="A1801">
        <f>$B$3+$B$5*29</f>
        <v/>
      </c>
      <c r="B1801">
        <f>$B$3+$B$5*20</f>
        <v/>
      </c>
      <c r="C1801">
        <f>SUMPRODUCT(Calc!$K$3:$K$22*(Calc!$G$3:$G$22&lt;=A1801))</f>
        <v/>
      </c>
      <c r="D1801">
        <f>SUMPRODUCT(Calc!$K$3:$K$22*(Calc!$G$3:$G$22&gt;A1801)*(Calc!$G$3:$G$22&lt;B1801))</f>
        <v/>
      </c>
      <c r="E1801">
        <f>SUMPRODUCT(Calc!$K$3:$K$22*(Calc!$G$3:$G$22&gt;=B1801))</f>
        <v/>
      </c>
      <c r="F1801">
        <f>AND(k_n&gt;=5,B1801&gt;A1801+1E-9,C1801&gt;=2,D1801&gt;=1,E1801&gt;=2)</f>
        <v/>
      </c>
      <c r="G1801">
        <f>SUMPRODUCT(Calc!$K$3:$K$22*(Calc!$G$3:$G$22&gt;A1801)*(Calc!$G$3:$G$22-A1801))</f>
        <v/>
      </c>
      <c r="H1801">
        <f>SUMPRODUCT(Calc!$K$3:$K$22*(Calc!$G$3:$G$22&gt;B1801)*(Calc!$G$3:$G$22-B1801))</f>
        <v/>
      </c>
      <c r="I1801">
        <f>SUMPRODUCT(Calc!$K$3:$K$22*(Calc!$G$3:$G$22&gt;A1801)*(Calc!$G$3:$G$22-A1801)^2)</f>
        <v/>
      </c>
      <c r="J1801">
        <f>SUMPRODUCT(Calc!$K$3:$K$22*(Calc!$G$3:$G$22&gt;B1801)*(Calc!$G$3:$G$22-B1801)^2)</f>
        <v/>
      </c>
      <c r="K1801">
        <f>SUMPRODUCT(Calc!$K$3:$K$22*(Calc!$G$3:$G$22&gt;A1801)*(Calc!$G$3:$G$22-A1801)*(Calc!$G$3:$G$22&gt;B1801)*(Calc!$G$3:$G$22-B1801))</f>
        <v/>
      </c>
      <c r="L1801">
        <f>SUMPRODUCT(Calc!$K$3:$K$22*(Calc!$G$3:$G$22&gt;A1801)*(Calc!$G$3:$G$22-A1801)*Calc!$G$3:$G$22)</f>
        <v/>
      </c>
      <c r="M1801">
        <f>SUMPRODUCT(Calc!$K$3:$K$22*(Calc!$G$3:$G$22&gt;B1801)*(Calc!$G$3:$G$22-B1801)*Calc!$G$3:$G$22)</f>
        <v/>
      </c>
      <c r="N1801">
        <f>SUMPRODUCT(Calc!$K$3:$K$22*(Calc!$G$3:$G$22&gt;A1801)*(Calc!$G$3:$G$22-A1801)*Calc!$I$3:$I$22)</f>
        <v/>
      </c>
      <c r="O1801">
        <f>SUMPRODUCT(Calc!$K$3:$K$22*(Calc!$G$3:$G$22&gt;B1801)*(Calc!$G$3:$G$22-B1801)*Calc!$I$3:$I$22)</f>
        <v/>
      </c>
      <c r="P1801">
        <f>I1801-G1801^2/k_n</f>
        <v/>
      </c>
      <c r="Q1801">
        <f>J1801-H1801^2/k_n</f>
        <v/>
      </c>
      <c r="R1801">
        <f>K1801-G1801*H1801/k_n</f>
        <v/>
      </c>
      <c r="S1801">
        <f>L1801-LTP3!$D$3*G1801/k_n</f>
        <v/>
      </c>
      <c r="T1801">
        <f>M1801-LTP3!$D$3*H1801/k_n</f>
        <v/>
      </c>
      <c r="U1801">
        <f>N1801-G1801*LTP3!$D$4/k_n</f>
        <v/>
      </c>
      <c r="V1801">
        <f>O1801-H1801*LTP3!$D$4/k_n</f>
        <v/>
      </c>
      <c r="W1801">
        <f>((LTP3!$D$5)*((P1801)*(Q1801)-(R1801)*(R1801))-(S1801)*((S1801)*(Q1801)-(R1801)*(T1801))+(T1801)*((S1801)*(R1801)-(P1801)*(T1801)))</f>
        <v/>
      </c>
      <c r="X1801">
        <f>IF(ABS(W1801)&gt;1E-12,((LTP3!$D$6)*((P1801)*(Q1801)-(R1801)*(R1801))-(S1801)*((U1801)*(Q1801)-(R1801)*(V1801))+(T1801)*((U1801)*(R1801)-(P1801)*(V1801)))/W1801,0)</f>
        <v/>
      </c>
      <c r="Y1801">
        <f>IF(ABS(W1801)&gt;1E-12,((LTP3!$D$5)*((U1801)*(Q1801)-(R1801)*(V1801))-(LTP3!$D$6)*((S1801)*(Q1801)-(R1801)*(T1801))+(T1801)*((S1801)*(V1801)-(U1801)*(T1801)))/W1801,0)</f>
        <v/>
      </c>
      <c r="Z1801">
        <f>IF(ABS(W1801)&gt;1E-12,((LTP3!$D$5)*((P1801)*(V1801)-(U1801)*(R1801))-(S1801)*((S1801)*(V1801)-(U1801)*(T1801))+(LTP3!$D$6)*((S1801)*(R1801)-(P1801)*(T1801)))/W1801,0)</f>
        <v/>
      </c>
      <c r="AA1801">
        <f>LTP3!$D$7-X1801*LTP3!$D$6-Y1801*U1801-Z1801*V1801</f>
        <v/>
      </c>
      <c r="AB1801">
        <f>IF(AND(F1801,ABS(W1801)&gt;1E-12,Y1801&gt;0,Z1801&gt;0),AA1801,1E+300)</f>
        <v/>
      </c>
    </row>
    <row r="1802">
      <c r="A1802">
        <f>$B$3+$B$5*29</f>
        <v/>
      </c>
      <c r="B1802">
        <f>$B$3+$B$5*21</f>
        <v/>
      </c>
      <c r="C1802">
        <f>SUMPRODUCT(Calc!$K$3:$K$22*(Calc!$G$3:$G$22&lt;=A1802))</f>
        <v/>
      </c>
      <c r="D1802">
        <f>SUMPRODUCT(Calc!$K$3:$K$22*(Calc!$G$3:$G$22&gt;A1802)*(Calc!$G$3:$G$22&lt;B1802))</f>
        <v/>
      </c>
      <c r="E1802">
        <f>SUMPRODUCT(Calc!$K$3:$K$22*(Calc!$G$3:$G$22&gt;=B1802))</f>
        <v/>
      </c>
      <c r="F1802">
        <f>AND(k_n&gt;=5,B1802&gt;A1802+1E-9,C1802&gt;=2,D1802&gt;=1,E1802&gt;=2)</f>
        <v/>
      </c>
      <c r="G1802">
        <f>SUMPRODUCT(Calc!$K$3:$K$22*(Calc!$G$3:$G$22&gt;A1802)*(Calc!$G$3:$G$22-A1802))</f>
        <v/>
      </c>
      <c r="H1802">
        <f>SUMPRODUCT(Calc!$K$3:$K$22*(Calc!$G$3:$G$22&gt;B1802)*(Calc!$G$3:$G$22-B1802))</f>
        <v/>
      </c>
      <c r="I1802">
        <f>SUMPRODUCT(Calc!$K$3:$K$22*(Calc!$G$3:$G$22&gt;A1802)*(Calc!$G$3:$G$22-A1802)^2)</f>
        <v/>
      </c>
      <c r="J1802">
        <f>SUMPRODUCT(Calc!$K$3:$K$22*(Calc!$G$3:$G$22&gt;B1802)*(Calc!$G$3:$G$22-B1802)^2)</f>
        <v/>
      </c>
      <c r="K1802">
        <f>SUMPRODUCT(Calc!$K$3:$K$22*(Calc!$G$3:$G$22&gt;A1802)*(Calc!$G$3:$G$22-A1802)*(Calc!$G$3:$G$22&gt;B1802)*(Calc!$G$3:$G$22-B1802))</f>
        <v/>
      </c>
      <c r="L1802">
        <f>SUMPRODUCT(Calc!$K$3:$K$22*(Calc!$G$3:$G$22&gt;A1802)*(Calc!$G$3:$G$22-A1802)*Calc!$G$3:$G$22)</f>
        <v/>
      </c>
      <c r="M1802">
        <f>SUMPRODUCT(Calc!$K$3:$K$22*(Calc!$G$3:$G$22&gt;B1802)*(Calc!$G$3:$G$22-B1802)*Calc!$G$3:$G$22)</f>
        <v/>
      </c>
      <c r="N1802">
        <f>SUMPRODUCT(Calc!$K$3:$K$22*(Calc!$G$3:$G$22&gt;A1802)*(Calc!$G$3:$G$22-A1802)*Calc!$I$3:$I$22)</f>
        <v/>
      </c>
      <c r="O1802">
        <f>SUMPRODUCT(Calc!$K$3:$K$22*(Calc!$G$3:$G$22&gt;B1802)*(Calc!$G$3:$G$22-B1802)*Calc!$I$3:$I$22)</f>
        <v/>
      </c>
      <c r="P1802">
        <f>I1802-G1802^2/k_n</f>
        <v/>
      </c>
      <c r="Q1802">
        <f>J1802-H1802^2/k_n</f>
        <v/>
      </c>
      <c r="R1802">
        <f>K1802-G1802*H1802/k_n</f>
        <v/>
      </c>
      <c r="S1802">
        <f>L1802-LTP3!$D$3*G1802/k_n</f>
        <v/>
      </c>
      <c r="T1802">
        <f>M1802-LTP3!$D$3*H1802/k_n</f>
        <v/>
      </c>
      <c r="U1802">
        <f>N1802-G1802*LTP3!$D$4/k_n</f>
        <v/>
      </c>
      <c r="V1802">
        <f>O1802-H1802*LTP3!$D$4/k_n</f>
        <v/>
      </c>
      <c r="W1802">
        <f>((LTP3!$D$5)*((P1802)*(Q1802)-(R1802)*(R1802))-(S1802)*((S1802)*(Q1802)-(R1802)*(T1802))+(T1802)*((S1802)*(R1802)-(P1802)*(T1802)))</f>
        <v/>
      </c>
      <c r="X1802">
        <f>IF(ABS(W1802)&gt;1E-12,((LTP3!$D$6)*((P1802)*(Q1802)-(R1802)*(R1802))-(S1802)*((U1802)*(Q1802)-(R1802)*(V1802))+(T1802)*((U1802)*(R1802)-(P1802)*(V1802)))/W1802,0)</f>
        <v/>
      </c>
      <c r="Y1802">
        <f>IF(ABS(W1802)&gt;1E-12,((LTP3!$D$5)*((U1802)*(Q1802)-(R1802)*(V1802))-(LTP3!$D$6)*((S1802)*(Q1802)-(R1802)*(T1802))+(T1802)*((S1802)*(V1802)-(U1802)*(T1802)))/W1802,0)</f>
        <v/>
      </c>
      <c r="Z1802">
        <f>IF(ABS(W1802)&gt;1E-12,((LTP3!$D$5)*((P1802)*(V1802)-(U1802)*(R1802))-(S1802)*((S1802)*(V1802)-(U1802)*(T1802))+(LTP3!$D$6)*((S1802)*(R1802)-(P1802)*(T1802)))/W1802,0)</f>
        <v/>
      </c>
      <c r="AA1802">
        <f>LTP3!$D$7-X1802*LTP3!$D$6-Y1802*U1802-Z1802*V1802</f>
        <v/>
      </c>
      <c r="AB1802">
        <f>IF(AND(F1802,ABS(W1802)&gt;1E-12,Y1802&gt;0,Z1802&gt;0),AA1802,1E+300)</f>
        <v/>
      </c>
    </row>
    <row r="1803">
      <c r="A1803">
        <f>$B$3+$B$5*29</f>
        <v/>
      </c>
      <c r="B1803">
        <f>$B$3+$B$5*22</f>
        <v/>
      </c>
      <c r="C1803">
        <f>SUMPRODUCT(Calc!$K$3:$K$22*(Calc!$G$3:$G$22&lt;=A1803))</f>
        <v/>
      </c>
      <c r="D1803">
        <f>SUMPRODUCT(Calc!$K$3:$K$22*(Calc!$G$3:$G$22&gt;A1803)*(Calc!$G$3:$G$22&lt;B1803))</f>
        <v/>
      </c>
      <c r="E1803">
        <f>SUMPRODUCT(Calc!$K$3:$K$22*(Calc!$G$3:$G$22&gt;=B1803))</f>
        <v/>
      </c>
      <c r="F1803">
        <f>AND(k_n&gt;=5,B1803&gt;A1803+1E-9,C1803&gt;=2,D1803&gt;=1,E1803&gt;=2)</f>
        <v/>
      </c>
      <c r="G1803">
        <f>SUMPRODUCT(Calc!$K$3:$K$22*(Calc!$G$3:$G$22&gt;A1803)*(Calc!$G$3:$G$22-A1803))</f>
        <v/>
      </c>
      <c r="H1803">
        <f>SUMPRODUCT(Calc!$K$3:$K$22*(Calc!$G$3:$G$22&gt;B1803)*(Calc!$G$3:$G$22-B1803))</f>
        <v/>
      </c>
      <c r="I1803">
        <f>SUMPRODUCT(Calc!$K$3:$K$22*(Calc!$G$3:$G$22&gt;A1803)*(Calc!$G$3:$G$22-A1803)^2)</f>
        <v/>
      </c>
      <c r="J1803">
        <f>SUMPRODUCT(Calc!$K$3:$K$22*(Calc!$G$3:$G$22&gt;B1803)*(Calc!$G$3:$G$22-B1803)^2)</f>
        <v/>
      </c>
      <c r="K1803">
        <f>SUMPRODUCT(Calc!$K$3:$K$22*(Calc!$G$3:$G$22&gt;A1803)*(Calc!$G$3:$G$22-A1803)*(Calc!$G$3:$G$22&gt;B1803)*(Calc!$G$3:$G$22-B1803))</f>
        <v/>
      </c>
      <c r="L1803">
        <f>SUMPRODUCT(Calc!$K$3:$K$22*(Calc!$G$3:$G$22&gt;A1803)*(Calc!$G$3:$G$22-A1803)*Calc!$G$3:$G$22)</f>
        <v/>
      </c>
      <c r="M1803">
        <f>SUMPRODUCT(Calc!$K$3:$K$22*(Calc!$G$3:$G$22&gt;B1803)*(Calc!$G$3:$G$22-B1803)*Calc!$G$3:$G$22)</f>
        <v/>
      </c>
      <c r="N1803">
        <f>SUMPRODUCT(Calc!$K$3:$K$22*(Calc!$G$3:$G$22&gt;A1803)*(Calc!$G$3:$G$22-A1803)*Calc!$I$3:$I$22)</f>
        <v/>
      </c>
      <c r="O1803">
        <f>SUMPRODUCT(Calc!$K$3:$K$22*(Calc!$G$3:$G$22&gt;B1803)*(Calc!$G$3:$G$22-B1803)*Calc!$I$3:$I$22)</f>
        <v/>
      </c>
      <c r="P1803">
        <f>I1803-G1803^2/k_n</f>
        <v/>
      </c>
      <c r="Q1803">
        <f>J1803-H1803^2/k_n</f>
        <v/>
      </c>
      <c r="R1803">
        <f>K1803-G1803*H1803/k_n</f>
        <v/>
      </c>
      <c r="S1803">
        <f>L1803-LTP3!$D$3*G1803/k_n</f>
        <v/>
      </c>
      <c r="T1803">
        <f>M1803-LTP3!$D$3*H1803/k_n</f>
        <v/>
      </c>
      <c r="U1803">
        <f>N1803-G1803*LTP3!$D$4/k_n</f>
        <v/>
      </c>
      <c r="V1803">
        <f>O1803-H1803*LTP3!$D$4/k_n</f>
        <v/>
      </c>
      <c r="W1803">
        <f>((LTP3!$D$5)*((P1803)*(Q1803)-(R1803)*(R1803))-(S1803)*((S1803)*(Q1803)-(R1803)*(T1803))+(T1803)*((S1803)*(R1803)-(P1803)*(T1803)))</f>
        <v/>
      </c>
      <c r="X1803">
        <f>IF(ABS(W1803)&gt;1E-12,((LTP3!$D$6)*((P1803)*(Q1803)-(R1803)*(R1803))-(S1803)*((U1803)*(Q1803)-(R1803)*(V1803))+(T1803)*((U1803)*(R1803)-(P1803)*(V1803)))/W1803,0)</f>
        <v/>
      </c>
      <c r="Y1803">
        <f>IF(ABS(W1803)&gt;1E-12,((LTP3!$D$5)*((U1803)*(Q1803)-(R1803)*(V1803))-(LTP3!$D$6)*((S1803)*(Q1803)-(R1803)*(T1803))+(T1803)*((S1803)*(V1803)-(U1803)*(T1803)))/W1803,0)</f>
        <v/>
      </c>
      <c r="Z1803">
        <f>IF(ABS(W1803)&gt;1E-12,((LTP3!$D$5)*((P1803)*(V1803)-(U1803)*(R1803))-(S1803)*((S1803)*(V1803)-(U1803)*(T1803))+(LTP3!$D$6)*((S1803)*(R1803)-(P1803)*(T1803)))/W1803,0)</f>
        <v/>
      </c>
      <c r="AA1803">
        <f>LTP3!$D$7-X1803*LTP3!$D$6-Y1803*U1803-Z1803*V1803</f>
        <v/>
      </c>
      <c r="AB1803">
        <f>IF(AND(F1803,ABS(W1803)&gt;1E-12,Y1803&gt;0,Z1803&gt;0),AA1803,1E+300)</f>
        <v/>
      </c>
    </row>
    <row r="1804">
      <c r="A1804">
        <f>$B$3+$B$5*29</f>
        <v/>
      </c>
      <c r="B1804">
        <f>$B$3+$B$5*23</f>
        <v/>
      </c>
      <c r="C1804">
        <f>SUMPRODUCT(Calc!$K$3:$K$22*(Calc!$G$3:$G$22&lt;=A1804))</f>
        <v/>
      </c>
      <c r="D1804">
        <f>SUMPRODUCT(Calc!$K$3:$K$22*(Calc!$G$3:$G$22&gt;A1804)*(Calc!$G$3:$G$22&lt;B1804))</f>
        <v/>
      </c>
      <c r="E1804">
        <f>SUMPRODUCT(Calc!$K$3:$K$22*(Calc!$G$3:$G$22&gt;=B1804))</f>
        <v/>
      </c>
      <c r="F1804">
        <f>AND(k_n&gt;=5,B1804&gt;A1804+1E-9,C1804&gt;=2,D1804&gt;=1,E1804&gt;=2)</f>
        <v/>
      </c>
      <c r="G1804">
        <f>SUMPRODUCT(Calc!$K$3:$K$22*(Calc!$G$3:$G$22&gt;A1804)*(Calc!$G$3:$G$22-A1804))</f>
        <v/>
      </c>
      <c r="H1804">
        <f>SUMPRODUCT(Calc!$K$3:$K$22*(Calc!$G$3:$G$22&gt;B1804)*(Calc!$G$3:$G$22-B1804))</f>
        <v/>
      </c>
      <c r="I1804">
        <f>SUMPRODUCT(Calc!$K$3:$K$22*(Calc!$G$3:$G$22&gt;A1804)*(Calc!$G$3:$G$22-A1804)^2)</f>
        <v/>
      </c>
      <c r="J1804">
        <f>SUMPRODUCT(Calc!$K$3:$K$22*(Calc!$G$3:$G$22&gt;B1804)*(Calc!$G$3:$G$22-B1804)^2)</f>
        <v/>
      </c>
      <c r="K1804">
        <f>SUMPRODUCT(Calc!$K$3:$K$22*(Calc!$G$3:$G$22&gt;A1804)*(Calc!$G$3:$G$22-A1804)*(Calc!$G$3:$G$22&gt;B1804)*(Calc!$G$3:$G$22-B1804))</f>
        <v/>
      </c>
      <c r="L1804">
        <f>SUMPRODUCT(Calc!$K$3:$K$22*(Calc!$G$3:$G$22&gt;A1804)*(Calc!$G$3:$G$22-A1804)*Calc!$G$3:$G$22)</f>
        <v/>
      </c>
      <c r="M1804">
        <f>SUMPRODUCT(Calc!$K$3:$K$22*(Calc!$G$3:$G$22&gt;B1804)*(Calc!$G$3:$G$22-B1804)*Calc!$G$3:$G$22)</f>
        <v/>
      </c>
      <c r="N1804">
        <f>SUMPRODUCT(Calc!$K$3:$K$22*(Calc!$G$3:$G$22&gt;A1804)*(Calc!$G$3:$G$22-A1804)*Calc!$I$3:$I$22)</f>
        <v/>
      </c>
      <c r="O1804">
        <f>SUMPRODUCT(Calc!$K$3:$K$22*(Calc!$G$3:$G$22&gt;B1804)*(Calc!$G$3:$G$22-B1804)*Calc!$I$3:$I$22)</f>
        <v/>
      </c>
      <c r="P1804">
        <f>I1804-G1804^2/k_n</f>
        <v/>
      </c>
      <c r="Q1804">
        <f>J1804-H1804^2/k_n</f>
        <v/>
      </c>
      <c r="R1804">
        <f>K1804-G1804*H1804/k_n</f>
        <v/>
      </c>
      <c r="S1804">
        <f>L1804-LTP3!$D$3*G1804/k_n</f>
        <v/>
      </c>
      <c r="T1804">
        <f>M1804-LTP3!$D$3*H1804/k_n</f>
        <v/>
      </c>
      <c r="U1804">
        <f>N1804-G1804*LTP3!$D$4/k_n</f>
        <v/>
      </c>
      <c r="V1804">
        <f>O1804-H1804*LTP3!$D$4/k_n</f>
        <v/>
      </c>
      <c r="W1804">
        <f>((LTP3!$D$5)*((P1804)*(Q1804)-(R1804)*(R1804))-(S1804)*((S1804)*(Q1804)-(R1804)*(T1804))+(T1804)*((S1804)*(R1804)-(P1804)*(T1804)))</f>
        <v/>
      </c>
      <c r="X1804">
        <f>IF(ABS(W1804)&gt;1E-12,((LTP3!$D$6)*((P1804)*(Q1804)-(R1804)*(R1804))-(S1804)*((U1804)*(Q1804)-(R1804)*(V1804))+(T1804)*((U1804)*(R1804)-(P1804)*(V1804)))/W1804,0)</f>
        <v/>
      </c>
      <c r="Y1804">
        <f>IF(ABS(W1804)&gt;1E-12,((LTP3!$D$5)*((U1804)*(Q1804)-(R1804)*(V1804))-(LTP3!$D$6)*((S1804)*(Q1804)-(R1804)*(T1804))+(T1804)*((S1804)*(V1804)-(U1804)*(T1804)))/W1804,0)</f>
        <v/>
      </c>
      <c r="Z1804">
        <f>IF(ABS(W1804)&gt;1E-12,((LTP3!$D$5)*((P1804)*(V1804)-(U1804)*(R1804))-(S1804)*((S1804)*(V1804)-(U1804)*(T1804))+(LTP3!$D$6)*((S1804)*(R1804)-(P1804)*(T1804)))/W1804,0)</f>
        <v/>
      </c>
      <c r="AA1804">
        <f>LTP3!$D$7-X1804*LTP3!$D$6-Y1804*U1804-Z1804*V1804</f>
        <v/>
      </c>
      <c r="AB1804">
        <f>IF(AND(F1804,ABS(W1804)&gt;1E-12,Y1804&gt;0,Z1804&gt;0),AA1804,1E+300)</f>
        <v/>
      </c>
    </row>
    <row r="1805">
      <c r="A1805">
        <f>$B$3+$B$5*29</f>
        <v/>
      </c>
      <c r="B1805">
        <f>$B$3+$B$5*24</f>
        <v/>
      </c>
      <c r="C1805">
        <f>SUMPRODUCT(Calc!$K$3:$K$22*(Calc!$G$3:$G$22&lt;=A1805))</f>
        <v/>
      </c>
      <c r="D1805">
        <f>SUMPRODUCT(Calc!$K$3:$K$22*(Calc!$G$3:$G$22&gt;A1805)*(Calc!$G$3:$G$22&lt;B1805))</f>
        <v/>
      </c>
      <c r="E1805">
        <f>SUMPRODUCT(Calc!$K$3:$K$22*(Calc!$G$3:$G$22&gt;=B1805))</f>
        <v/>
      </c>
      <c r="F1805">
        <f>AND(k_n&gt;=5,B1805&gt;A1805+1E-9,C1805&gt;=2,D1805&gt;=1,E1805&gt;=2)</f>
        <v/>
      </c>
      <c r="G1805">
        <f>SUMPRODUCT(Calc!$K$3:$K$22*(Calc!$G$3:$G$22&gt;A1805)*(Calc!$G$3:$G$22-A1805))</f>
        <v/>
      </c>
      <c r="H1805">
        <f>SUMPRODUCT(Calc!$K$3:$K$22*(Calc!$G$3:$G$22&gt;B1805)*(Calc!$G$3:$G$22-B1805))</f>
        <v/>
      </c>
      <c r="I1805">
        <f>SUMPRODUCT(Calc!$K$3:$K$22*(Calc!$G$3:$G$22&gt;A1805)*(Calc!$G$3:$G$22-A1805)^2)</f>
        <v/>
      </c>
      <c r="J1805">
        <f>SUMPRODUCT(Calc!$K$3:$K$22*(Calc!$G$3:$G$22&gt;B1805)*(Calc!$G$3:$G$22-B1805)^2)</f>
        <v/>
      </c>
      <c r="K1805">
        <f>SUMPRODUCT(Calc!$K$3:$K$22*(Calc!$G$3:$G$22&gt;A1805)*(Calc!$G$3:$G$22-A1805)*(Calc!$G$3:$G$22&gt;B1805)*(Calc!$G$3:$G$22-B1805))</f>
        <v/>
      </c>
      <c r="L1805">
        <f>SUMPRODUCT(Calc!$K$3:$K$22*(Calc!$G$3:$G$22&gt;A1805)*(Calc!$G$3:$G$22-A1805)*Calc!$G$3:$G$22)</f>
        <v/>
      </c>
      <c r="M1805">
        <f>SUMPRODUCT(Calc!$K$3:$K$22*(Calc!$G$3:$G$22&gt;B1805)*(Calc!$G$3:$G$22-B1805)*Calc!$G$3:$G$22)</f>
        <v/>
      </c>
      <c r="N1805">
        <f>SUMPRODUCT(Calc!$K$3:$K$22*(Calc!$G$3:$G$22&gt;A1805)*(Calc!$G$3:$G$22-A1805)*Calc!$I$3:$I$22)</f>
        <v/>
      </c>
      <c r="O1805">
        <f>SUMPRODUCT(Calc!$K$3:$K$22*(Calc!$G$3:$G$22&gt;B1805)*(Calc!$G$3:$G$22-B1805)*Calc!$I$3:$I$22)</f>
        <v/>
      </c>
      <c r="P1805">
        <f>I1805-G1805^2/k_n</f>
        <v/>
      </c>
      <c r="Q1805">
        <f>J1805-H1805^2/k_n</f>
        <v/>
      </c>
      <c r="R1805">
        <f>K1805-G1805*H1805/k_n</f>
        <v/>
      </c>
      <c r="S1805">
        <f>L1805-LTP3!$D$3*G1805/k_n</f>
        <v/>
      </c>
      <c r="T1805">
        <f>M1805-LTP3!$D$3*H1805/k_n</f>
        <v/>
      </c>
      <c r="U1805">
        <f>N1805-G1805*LTP3!$D$4/k_n</f>
        <v/>
      </c>
      <c r="V1805">
        <f>O1805-H1805*LTP3!$D$4/k_n</f>
        <v/>
      </c>
      <c r="W1805">
        <f>((LTP3!$D$5)*((P1805)*(Q1805)-(R1805)*(R1805))-(S1805)*((S1805)*(Q1805)-(R1805)*(T1805))+(T1805)*((S1805)*(R1805)-(P1805)*(T1805)))</f>
        <v/>
      </c>
      <c r="X1805">
        <f>IF(ABS(W1805)&gt;1E-12,((LTP3!$D$6)*((P1805)*(Q1805)-(R1805)*(R1805))-(S1805)*((U1805)*(Q1805)-(R1805)*(V1805))+(T1805)*((U1805)*(R1805)-(P1805)*(V1805)))/W1805,0)</f>
        <v/>
      </c>
      <c r="Y1805">
        <f>IF(ABS(W1805)&gt;1E-12,((LTP3!$D$5)*((U1805)*(Q1805)-(R1805)*(V1805))-(LTP3!$D$6)*((S1805)*(Q1805)-(R1805)*(T1805))+(T1805)*((S1805)*(V1805)-(U1805)*(T1805)))/W1805,0)</f>
        <v/>
      </c>
      <c r="Z1805">
        <f>IF(ABS(W1805)&gt;1E-12,((LTP3!$D$5)*((P1805)*(V1805)-(U1805)*(R1805))-(S1805)*((S1805)*(V1805)-(U1805)*(T1805))+(LTP3!$D$6)*((S1805)*(R1805)-(P1805)*(T1805)))/W1805,0)</f>
        <v/>
      </c>
      <c r="AA1805">
        <f>LTP3!$D$7-X1805*LTP3!$D$6-Y1805*U1805-Z1805*V1805</f>
        <v/>
      </c>
      <c r="AB1805">
        <f>IF(AND(F1805,ABS(W1805)&gt;1E-12,Y1805&gt;0,Z1805&gt;0),AA1805,1E+300)</f>
        <v/>
      </c>
    </row>
    <row r="1806">
      <c r="A1806">
        <f>$B$3+$B$5*29</f>
        <v/>
      </c>
      <c r="B1806">
        <f>$B$3+$B$5*25</f>
        <v/>
      </c>
      <c r="C1806">
        <f>SUMPRODUCT(Calc!$K$3:$K$22*(Calc!$G$3:$G$22&lt;=A1806))</f>
        <v/>
      </c>
      <c r="D1806">
        <f>SUMPRODUCT(Calc!$K$3:$K$22*(Calc!$G$3:$G$22&gt;A1806)*(Calc!$G$3:$G$22&lt;B1806))</f>
        <v/>
      </c>
      <c r="E1806">
        <f>SUMPRODUCT(Calc!$K$3:$K$22*(Calc!$G$3:$G$22&gt;=B1806))</f>
        <v/>
      </c>
      <c r="F1806">
        <f>AND(k_n&gt;=5,B1806&gt;A1806+1E-9,C1806&gt;=2,D1806&gt;=1,E1806&gt;=2)</f>
        <v/>
      </c>
      <c r="G1806">
        <f>SUMPRODUCT(Calc!$K$3:$K$22*(Calc!$G$3:$G$22&gt;A1806)*(Calc!$G$3:$G$22-A1806))</f>
        <v/>
      </c>
      <c r="H1806">
        <f>SUMPRODUCT(Calc!$K$3:$K$22*(Calc!$G$3:$G$22&gt;B1806)*(Calc!$G$3:$G$22-B1806))</f>
        <v/>
      </c>
      <c r="I1806">
        <f>SUMPRODUCT(Calc!$K$3:$K$22*(Calc!$G$3:$G$22&gt;A1806)*(Calc!$G$3:$G$22-A1806)^2)</f>
        <v/>
      </c>
      <c r="J1806">
        <f>SUMPRODUCT(Calc!$K$3:$K$22*(Calc!$G$3:$G$22&gt;B1806)*(Calc!$G$3:$G$22-B1806)^2)</f>
        <v/>
      </c>
      <c r="K1806">
        <f>SUMPRODUCT(Calc!$K$3:$K$22*(Calc!$G$3:$G$22&gt;A1806)*(Calc!$G$3:$G$22-A1806)*(Calc!$G$3:$G$22&gt;B1806)*(Calc!$G$3:$G$22-B1806))</f>
        <v/>
      </c>
      <c r="L1806">
        <f>SUMPRODUCT(Calc!$K$3:$K$22*(Calc!$G$3:$G$22&gt;A1806)*(Calc!$G$3:$G$22-A1806)*Calc!$G$3:$G$22)</f>
        <v/>
      </c>
      <c r="M1806">
        <f>SUMPRODUCT(Calc!$K$3:$K$22*(Calc!$G$3:$G$22&gt;B1806)*(Calc!$G$3:$G$22-B1806)*Calc!$G$3:$G$22)</f>
        <v/>
      </c>
      <c r="N1806">
        <f>SUMPRODUCT(Calc!$K$3:$K$22*(Calc!$G$3:$G$22&gt;A1806)*(Calc!$G$3:$G$22-A1806)*Calc!$I$3:$I$22)</f>
        <v/>
      </c>
      <c r="O1806">
        <f>SUMPRODUCT(Calc!$K$3:$K$22*(Calc!$G$3:$G$22&gt;B1806)*(Calc!$G$3:$G$22-B1806)*Calc!$I$3:$I$22)</f>
        <v/>
      </c>
      <c r="P1806">
        <f>I1806-G1806^2/k_n</f>
        <v/>
      </c>
      <c r="Q1806">
        <f>J1806-H1806^2/k_n</f>
        <v/>
      </c>
      <c r="R1806">
        <f>K1806-G1806*H1806/k_n</f>
        <v/>
      </c>
      <c r="S1806">
        <f>L1806-LTP3!$D$3*G1806/k_n</f>
        <v/>
      </c>
      <c r="T1806">
        <f>M1806-LTP3!$D$3*H1806/k_n</f>
        <v/>
      </c>
      <c r="U1806">
        <f>N1806-G1806*LTP3!$D$4/k_n</f>
        <v/>
      </c>
      <c r="V1806">
        <f>O1806-H1806*LTP3!$D$4/k_n</f>
        <v/>
      </c>
      <c r="W1806">
        <f>((LTP3!$D$5)*((P1806)*(Q1806)-(R1806)*(R1806))-(S1806)*((S1806)*(Q1806)-(R1806)*(T1806))+(T1806)*((S1806)*(R1806)-(P1806)*(T1806)))</f>
        <v/>
      </c>
      <c r="X1806">
        <f>IF(ABS(W1806)&gt;1E-12,((LTP3!$D$6)*((P1806)*(Q1806)-(R1806)*(R1806))-(S1806)*((U1806)*(Q1806)-(R1806)*(V1806))+(T1806)*((U1806)*(R1806)-(P1806)*(V1806)))/W1806,0)</f>
        <v/>
      </c>
      <c r="Y1806">
        <f>IF(ABS(W1806)&gt;1E-12,((LTP3!$D$5)*((U1806)*(Q1806)-(R1806)*(V1806))-(LTP3!$D$6)*((S1806)*(Q1806)-(R1806)*(T1806))+(T1806)*((S1806)*(V1806)-(U1806)*(T1806)))/W1806,0)</f>
        <v/>
      </c>
      <c r="Z1806">
        <f>IF(ABS(W1806)&gt;1E-12,((LTP3!$D$5)*((P1806)*(V1806)-(U1806)*(R1806))-(S1806)*((S1806)*(V1806)-(U1806)*(T1806))+(LTP3!$D$6)*((S1806)*(R1806)-(P1806)*(T1806)))/W1806,0)</f>
        <v/>
      </c>
      <c r="AA1806">
        <f>LTP3!$D$7-X1806*LTP3!$D$6-Y1806*U1806-Z1806*V1806</f>
        <v/>
      </c>
      <c r="AB1806">
        <f>IF(AND(F1806,ABS(W1806)&gt;1E-12,Y1806&gt;0,Z1806&gt;0),AA1806,1E+300)</f>
        <v/>
      </c>
    </row>
    <row r="1807">
      <c r="A1807">
        <f>$B$3+$B$5*29</f>
        <v/>
      </c>
      <c r="B1807">
        <f>$B$3+$B$5*26</f>
        <v/>
      </c>
      <c r="C1807">
        <f>SUMPRODUCT(Calc!$K$3:$K$22*(Calc!$G$3:$G$22&lt;=A1807))</f>
        <v/>
      </c>
      <c r="D1807">
        <f>SUMPRODUCT(Calc!$K$3:$K$22*(Calc!$G$3:$G$22&gt;A1807)*(Calc!$G$3:$G$22&lt;B1807))</f>
        <v/>
      </c>
      <c r="E1807">
        <f>SUMPRODUCT(Calc!$K$3:$K$22*(Calc!$G$3:$G$22&gt;=B1807))</f>
        <v/>
      </c>
      <c r="F1807">
        <f>AND(k_n&gt;=5,B1807&gt;A1807+1E-9,C1807&gt;=2,D1807&gt;=1,E1807&gt;=2)</f>
        <v/>
      </c>
      <c r="G1807">
        <f>SUMPRODUCT(Calc!$K$3:$K$22*(Calc!$G$3:$G$22&gt;A1807)*(Calc!$G$3:$G$22-A1807))</f>
        <v/>
      </c>
      <c r="H1807">
        <f>SUMPRODUCT(Calc!$K$3:$K$22*(Calc!$G$3:$G$22&gt;B1807)*(Calc!$G$3:$G$22-B1807))</f>
        <v/>
      </c>
      <c r="I1807">
        <f>SUMPRODUCT(Calc!$K$3:$K$22*(Calc!$G$3:$G$22&gt;A1807)*(Calc!$G$3:$G$22-A1807)^2)</f>
        <v/>
      </c>
      <c r="J1807">
        <f>SUMPRODUCT(Calc!$K$3:$K$22*(Calc!$G$3:$G$22&gt;B1807)*(Calc!$G$3:$G$22-B1807)^2)</f>
        <v/>
      </c>
      <c r="K1807">
        <f>SUMPRODUCT(Calc!$K$3:$K$22*(Calc!$G$3:$G$22&gt;A1807)*(Calc!$G$3:$G$22-A1807)*(Calc!$G$3:$G$22&gt;B1807)*(Calc!$G$3:$G$22-B1807))</f>
        <v/>
      </c>
      <c r="L1807">
        <f>SUMPRODUCT(Calc!$K$3:$K$22*(Calc!$G$3:$G$22&gt;A1807)*(Calc!$G$3:$G$22-A1807)*Calc!$G$3:$G$22)</f>
        <v/>
      </c>
      <c r="M1807">
        <f>SUMPRODUCT(Calc!$K$3:$K$22*(Calc!$G$3:$G$22&gt;B1807)*(Calc!$G$3:$G$22-B1807)*Calc!$G$3:$G$22)</f>
        <v/>
      </c>
      <c r="N1807">
        <f>SUMPRODUCT(Calc!$K$3:$K$22*(Calc!$G$3:$G$22&gt;A1807)*(Calc!$G$3:$G$22-A1807)*Calc!$I$3:$I$22)</f>
        <v/>
      </c>
      <c r="O1807">
        <f>SUMPRODUCT(Calc!$K$3:$K$22*(Calc!$G$3:$G$22&gt;B1807)*(Calc!$G$3:$G$22-B1807)*Calc!$I$3:$I$22)</f>
        <v/>
      </c>
      <c r="P1807">
        <f>I1807-G1807^2/k_n</f>
        <v/>
      </c>
      <c r="Q1807">
        <f>J1807-H1807^2/k_n</f>
        <v/>
      </c>
      <c r="R1807">
        <f>K1807-G1807*H1807/k_n</f>
        <v/>
      </c>
      <c r="S1807">
        <f>L1807-LTP3!$D$3*G1807/k_n</f>
        <v/>
      </c>
      <c r="T1807">
        <f>M1807-LTP3!$D$3*H1807/k_n</f>
        <v/>
      </c>
      <c r="U1807">
        <f>N1807-G1807*LTP3!$D$4/k_n</f>
        <v/>
      </c>
      <c r="V1807">
        <f>O1807-H1807*LTP3!$D$4/k_n</f>
        <v/>
      </c>
      <c r="W1807">
        <f>((LTP3!$D$5)*((P1807)*(Q1807)-(R1807)*(R1807))-(S1807)*((S1807)*(Q1807)-(R1807)*(T1807))+(T1807)*((S1807)*(R1807)-(P1807)*(T1807)))</f>
        <v/>
      </c>
      <c r="X1807">
        <f>IF(ABS(W1807)&gt;1E-12,((LTP3!$D$6)*((P1807)*(Q1807)-(R1807)*(R1807))-(S1807)*((U1807)*(Q1807)-(R1807)*(V1807))+(T1807)*((U1807)*(R1807)-(P1807)*(V1807)))/W1807,0)</f>
        <v/>
      </c>
      <c r="Y1807">
        <f>IF(ABS(W1807)&gt;1E-12,((LTP3!$D$5)*((U1807)*(Q1807)-(R1807)*(V1807))-(LTP3!$D$6)*((S1807)*(Q1807)-(R1807)*(T1807))+(T1807)*((S1807)*(V1807)-(U1807)*(T1807)))/W1807,0)</f>
        <v/>
      </c>
      <c r="Z1807">
        <f>IF(ABS(W1807)&gt;1E-12,((LTP3!$D$5)*((P1807)*(V1807)-(U1807)*(R1807))-(S1807)*((S1807)*(V1807)-(U1807)*(T1807))+(LTP3!$D$6)*((S1807)*(R1807)-(P1807)*(T1807)))/W1807,0)</f>
        <v/>
      </c>
      <c r="AA1807">
        <f>LTP3!$D$7-X1807*LTP3!$D$6-Y1807*U1807-Z1807*V1807</f>
        <v/>
      </c>
      <c r="AB1807">
        <f>IF(AND(F1807,ABS(W1807)&gt;1E-12,Y1807&gt;0,Z1807&gt;0),AA1807,1E+300)</f>
        <v/>
      </c>
    </row>
    <row r="1808">
      <c r="A1808">
        <f>$B$3+$B$5*29</f>
        <v/>
      </c>
      <c r="B1808">
        <f>$B$3+$B$5*27</f>
        <v/>
      </c>
      <c r="C1808">
        <f>SUMPRODUCT(Calc!$K$3:$K$22*(Calc!$G$3:$G$22&lt;=A1808))</f>
        <v/>
      </c>
      <c r="D1808">
        <f>SUMPRODUCT(Calc!$K$3:$K$22*(Calc!$G$3:$G$22&gt;A1808)*(Calc!$G$3:$G$22&lt;B1808))</f>
        <v/>
      </c>
      <c r="E1808">
        <f>SUMPRODUCT(Calc!$K$3:$K$22*(Calc!$G$3:$G$22&gt;=B1808))</f>
        <v/>
      </c>
      <c r="F1808">
        <f>AND(k_n&gt;=5,B1808&gt;A1808+1E-9,C1808&gt;=2,D1808&gt;=1,E1808&gt;=2)</f>
        <v/>
      </c>
      <c r="G1808">
        <f>SUMPRODUCT(Calc!$K$3:$K$22*(Calc!$G$3:$G$22&gt;A1808)*(Calc!$G$3:$G$22-A1808))</f>
        <v/>
      </c>
      <c r="H1808">
        <f>SUMPRODUCT(Calc!$K$3:$K$22*(Calc!$G$3:$G$22&gt;B1808)*(Calc!$G$3:$G$22-B1808))</f>
        <v/>
      </c>
      <c r="I1808">
        <f>SUMPRODUCT(Calc!$K$3:$K$22*(Calc!$G$3:$G$22&gt;A1808)*(Calc!$G$3:$G$22-A1808)^2)</f>
        <v/>
      </c>
      <c r="J1808">
        <f>SUMPRODUCT(Calc!$K$3:$K$22*(Calc!$G$3:$G$22&gt;B1808)*(Calc!$G$3:$G$22-B1808)^2)</f>
        <v/>
      </c>
      <c r="K1808">
        <f>SUMPRODUCT(Calc!$K$3:$K$22*(Calc!$G$3:$G$22&gt;A1808)*(Calc!$G$3:$G$22-A1808)*(Calc!$G$3:$G$22&gt;B1808)*(Calc!$G$3:$G$22-B1808))</f>
        <v/>
      </c>
      <c r="L1808">
        <f>SUMPRODUCT(Calc!$K$3:$K$22*(Calc!$G$3:$G$22&gt;A1808)*(Calc!$G$3:$G$22-A1808)*Calc!$G$3:$G$22)</f>
        <v/>
      </c>
      <c r="M1808">
        <f>SUMPRODUCT(Calc!$K$3:$K$22*(Calc!$G$3:$G$22&gt;B1808)*(Calc!$G$3:$G$22-B1808)*Calc!$G$3:$G$22)</f>
        <v/>
      </c>
      <c r="N1808">
        <f>SUMPRODUCT(Calc!$K$3:$K$22*(Calc!$G$3:$G$22&gt;A1808)*(Calc!$G$3:$G$22-A1808)*Calc!$I$3:$I$22)</f>
        <v/>
      </c>
      <c r="O1808">
        <f>SUMPRODUCT(Calc!$K$3:$K$22*(Calc!$G$3:$G$22&gt;B1808)*(Calc!$G$3:$G$22-B1808)*Calc!$I$3:$I$22)</f>
        <v/>
      </c>
      <c r="P1808">
        <f>I1808-G1808^2/k_n</f>
        <v/>
      </c>
      <c r="Q1808">
        <f>J1808-H1808^2/k_n</f>
        <v/>
      </c>
      <c r="R1808">
        <f>K1808-G1808*H1808/k_n</f>
        <v/>
      </c>
      <c r="S1808">
        <f>L1808-LTP3!$D$3*G1808/k_n</f>
        <v/>
      </c>
      <c r="T1808">
        <f>M1808-LTP3!$D$3*H1808/k_n</f>
        <v/>
      </c>
      <c r="U1808">
        <f>N1808-G1808*LTP3!$D$4/k_n</f>
        <v/>
      </c>
      <c r="V1808">
        <f>O1808-H1808*LTP3!$D$4/k_n</f>
        <v/>
      </c>
      <c r="W1808">
        <f>((LTP3!$D$5)*((P1808)*(Q1808)-(R1808)*(R1808))-(S1808)*((S1808)*(Q1808)-(R1808)*(T1808))+(T1808)*((S1808)*(R1808)-(P1808)*(T1808)))</f>
        <v/>
      </c>
      <c r="X1808">
        <f>IF(ABS(W1808)&gt;1E-12,((LTP3!$D$6)*((P1808)*(Q1808)-(R1808)*(R1808))-(S1808)*((U1808)*(Q1808)-(R1808)*(V1808))+(T1808)*((U1808)*(R1808)-(P1808)*(V1808)))/W1808,0)</f>
        <v/>
      </c>
      <c r="Y1808">
        <f>IF(ABS(W1808)&gt;1E-12,((LTP3!$D$5)*((U1808)*(Q1808)-(R1808)*(V1808))-(LTP3!$D$6)*((S1808)*(Q1808)-(R1808)*(T1808))+(T1808)*((S1808)*(V1808)-(U1808)*(T1808)))/W1808,0)</f>
        <v/>
      </c>
      <c r="Z1808">
        <f>IF(ABS(W1808)&gt;1E-12,((LTP3!$D$5)*((P1808)*(V1808)-(U1808)*(R1808))-(S1808)*((S1808)*(V1808)-(U1808)*(T1808))+(LTP3!$D$6)*((S1808)*(R1808)-(P1808)*(T1808)))/W1808,0)</f>
        <v/>
      </c>
      <c r="AA1808">
        <f>LTP3!$D$7-X1808*LTP3!$D$6-Y1808*U1808-Z1808*V1808</f>
        <v/>
      </c>
      <c r="AB1808">
        <f>IF(AND(F1808,ABS(W1808)&gt;1E-12,Y1808&gt;0,Z1808&gt;0),AA1808,1E+300)</f>
        <v/>
      </c>
    </row>
    <row r="1809">
      <c r="A1809">
        <f>$B$3+$B$5*29</f>
        <v/>
      </c>
      <c r="B1809">
        <f>$B$3+$B$5*28</f>
        <v/>
      </c>
      <c r="C1809">
        <f>SUMPRODUCT(Calc!$K$3:$K$22*(Calc!$G$3:$G$22&lt;=A1809))</f>
        <v/>
      </c>
      <c r="D1809">
        <f>SUMPRODUCT(Calc!$K$3:$K$22*(Calc!$G$3:$G$22&gt;A1809)*(Calc!$G$3:$G$22&lt;B1809))</f>
        <v/>
      </c>
      <c r="E1809">
        <f>SUMPRODUCT(Calc!$K$3:$K$22*(Calc!$G$3:$G$22&gt;=B1809))</f>
        <v/>
      </c>
      <c r="F1809">
        <f>AND(k_n&gt;=5,B1809&gt;A1809+1E-9,C1809&gt;=2,D1809&gt;=1,E1809&gt;=2)</f>
        <v/>
      </c>
      <c r="G1809">
        <f>SUMPRODUCT(Calc!$K$3:$K$22*(Calc!$G$3:$G$22&gt;A1809)*(Calc!$G$3:$G$22-A1809))</f>
        <v/>
      </c>
      <c r="H1809">
        <f>SUMPRODUCT(Calc!$K$3:$K$22*(Calc!$G$3:$G$22&gt;B1809)*(Calc!$G$3:$G$22-B1809))</f>
        <v/>
      </c>
      <c r="I1809">
        <f>SUMPRODUCT(Calc!$K$3:$K$22*(Calc!$G$3:$G$22&gt;A1809)*(Calc!$G$3:$G$22-A1809)^2)</f>
        <v/>
      </c>
      <c r="J1809">
        <f>SUMPRODUCT(Calc!$K$3:$K$22*(Calc!$G$3:$G$22&gt;B1809)*(Calc!$G$3:$G$22-B1809)^2)</f>
        <v/>
      </c>
      <c r="K1809">
        <f>SUMPRODUCT(Calc!$K$3:$K$22*(Calc!$G$3:$G$22&gt;A1809)*(Calc!$G$3:$G$22-A1809)*(Calc!$G$3:$G$22&gt;B1809)*(Calc!$G$3:$G$22-B1809))</f>
        <v/>
      </c>
      <c r="L1809">
        <f>SUMPRODUCT(Calc!$K$3:$K$22*(Calc!$G$3:$G$22&gt;A1809)*(Calc!$G$3:$G$22-A1809)*Calc!$G$3:$G$22)</f>
        <v/>
      </c>
      <c r="M1809">
        <f>SUMPRODUCT(Calc!$K$3:$K$22*(Calc!$G$3:$G$22&gt;B1809)*(Calc!$G$3:$G$22-B1809)*Calc!$G$3:$G$22)</f>
        <v/>
      </c>
      <c r="N1809">
        <f>SUMPRODUCT(Calc!$K$3:$K$22*(Calc!$G$3:$G$22&gt;A1809)*(Calc!$G$3:$G$22-A1809)*Calc!$I$3:$I$22)</f>
        <v/>
      </c>
      <c r="O1809">
        <f>SUMPRODUCT(Calc!$K$3:$K$22*(Calc!$G$3:$G$22&gt;B1809)*(Calc!$G$3:$G$22-B1809)*Calc!$I$3:$I$22)</f>
        <v/>
      </c>
      <c r="P1809">
        <f>I1809-G1809^2/k_n</f>
        <v/>
      </c>
      <c r="Q1809">
        <f>J1809-H1809^2/k_n</f>
        <v/>
      </c>
      <c r="R1809">
        <f>K1809-G1809*H1809/k_n</f>
        <v/>
      </c>
      <c r="S1809">
        <f>L1809-LTP3!$D$3*G1809/k_n</f>
        <v/>
      </c>
      <c r="T1809">
        <f>M1809-LTP3!$D$3*H1809/k_n</f>
        <v/>
      </c>
      <c r="U1809">
        <f>N1809-G1809*LTP3!$D$4/k_n</f>
        <v/>
      </c>
      <c r="V1809">
        <f>O1809-H1809*LTP3!$D$4/k_n</f>
        <v/>
      </c>
      <c r="W1809">
        <f>((LTP3!$D$5)*((P1809)*(Q1809)-(R1809)*(R1809))-(S1809)*((S1809)*(Q1809)-(R1809)*(T1809))+(T1809)*((S1809)*(R1809)-(P1809)*(T1809)))</f>
        <v/>
      </c>
      <c r="X1809">
        <f>IF(ABS(W1809)&gt;1E-12,((LTP3!$D$6)*((P1809)*(Q1809)-(R1809)*(R1809))-(S1809)*((U1809)*(Q1809)-(R1809)*(V1809))+(T1809)*((U1809)*(R1809)-(P1809)*(V1809)))/W1809,0)</f>
        <v/>
      </c>
      <c r="Y1809">
        <f>IF(ABS(W1809)&gt;1E-12,((LTP3!$D$5)*((U1809)*(Q1809)-(R1809)*(V1809))-(LTP3!$D$6)*((S1809)*(Q1809)-(R1809)*(T1809))+(T1809)*((S1809)*(V1809)-(U1809)*(T1809)))/W1809,0)</f>
        <v/>
      </c>
      <c r="Z1809">
        <f>IF(ABS(W1809)&gt;1E-12,((LTP3!$D$5)*((P1809)*(V1809)-(U1809)*(R1809))-(S1809)*((S1809)*(V1809)-(U1809)*(T1809))+(LTP3!$D$6)*((S1809)*(R1809)-(P1809)*(T1809)))/W1809,0)</f>
        <v/>
      </c>
      <c r="AA1809">
        <f>LTP3!$D$7-X1809*LTP3!$D$6-Y1809*U1809-Z1809*V1809</f>
        <v/>
      </c>
      <c r="AB1809">
        <f>IF(AND(F1809,ABS(W1809)&gt;1E-12,Y1809&gt;0,Z1809&gt;0),AA1809,1E+300)</f>
        <v/>
      </c>
    </row>
    <row r="1810">
      <c r="A1810">
        <f>$B$3+$B$5*29</f>
        <v/>
      </c>
      <c r="B1810">
        <f>$B$3+$B$5*29</f>
        <v/>
      </c>
      <c r="C1810">
        <f>SUMPRODUCT(Calc!$K$3:$K$22*(Calc!$G$3:$G$22&lt;=A1810))</f>
        <v/>
      </c>
      <c r="D1810">
        <f>SUMPRODUCT(Calc!$K$3:$K$22*(Calc!$G$3:$G$22&gt;A1810)*(Calc!$G$3:$G$22&lt;B1810))</f>
        <v/>
      </c>
      <c r="E1810">
        <f>SUMPRODUCT(Calc!$K$3:$K$22*(Calc!$G$3:$G$22&gt;=B1810))</f>
        <v/>
      </c>
      <c r="F1810">
        <f>AND(k_n&gt;=5,B1810&gt;A1810+1E-9,C1810&gt;=2,D1810&gt;=1,E1810&gt;=2)</f>
        <v/>
      </c>
      <c r="G1810">
        <f>SUMPRODUCT(Calc!$K$3:$K$22*(Calc!$G$3:$G$22&gt;A1810)*(Calc!$G$3:$G$22-A1810))</f>
        <v/>
      </c>
      <c r="H1810">
        <f>SUMPRODUCT(Calc!$K$3:$K$22*(Calc!$G$3:$G$22&gt;B1810)*(Calc!$G$3:$G$22-B1810))</f>
        <v/>
      </c>
      <c r="I1810">
        <f>SUMPRODUCT(Calc!$K$3:$K$22*(Calc!$G$3:$G$22&gt;A1810)*(Calc!$G$3:$G$22-A1810)^2)</f>
        <v/>
      </c>
      <c r="J1810">
        <f>SUMPRODUCT(Calc!$K$3:$K$22*(Calc!$G$3:$G$22&gt;B1810)*(Calc!$G$3:$G$22-B1810)^2)</f>
        <v/>
      </c>
      <c r="K1810">
        <f>SUMPRODUCT(Calc!$K$3:$K$22*(Calc!$G$3:$G$22&gt;A1810)*(Calc!$G$3:$G$22-A1810)*(Calc!$G$3:$G$22&gt;B1810)*(Calc!$G$3:$G$22-B1810))</f>
        <v/>
      </c>
      <c r="L1810">
        <f>SUMPRODUCT(Calc!$K$3:$K$22*(Calc!$G$3:$G$22&gt;A1810)*(Calc!$G$3:$G$22-A1810)*Calc!$G$3:$G$22)</f>
        <v/>
      </c>
      <c r="M1810">
        <f>SUMPRODUCT(Calc!$K$3:$K$22*(Calc!$G$3:$G$22&gt;B1810)*(Calc!$G$3:$G$22-B1810)*Calc!$G$3:$G$22)</f>
        <v/>
      </c>
      <c r="N1810">
        <f>SUMPRODUCT(Calc!$K$3:$K$22*(Calc!$G$3:$G$22&gt;A1810)*(Calc!$G$3:$G$22-A1810)*Calc!$I$3:$I$22)</f>
        <v/>
      </c>
      <c r="O1810">
        <f>SUMPRODUCT(Calc!$K$3:$K$22*(Calc!$G$3:$G$22&gt;B1810)*(Calc!$G$3:$G$22-B1810)*Calc!$I$3:$I$22)</f>
        <v/>
      </c>
      <c r="P1810">
        <f>I1810-G1810^2/k_n</f>
        <v/>
      </c>
      <c r="Q1810">
        <f>J1810-H1810^2/k_n</f>
        <v/>
      </c>
      <c r="R1810">
        <f>K1810-G1810*H1810/k_n</f>
        <v/>
      </c>
      <c r="S1810">
        <f>L1810-LTP3!$D$3*G1810/k_n</f>
        <v/>
      </c>
      <c r="T1810">
        <f>M1810-LTP3!$D$3*H1810/k_n</f>
        <v/>
      </c>
      <c r="U1810">
        <f>N1810-G1810*LTP3!$D$4/k_n</f>
        <v/>
      </c>
      <c r="V1810">
        <f>O1810-H1810*LTP3!$D$4/k_n</f>
        <v/>
      </c>
      <c r="W1810">
        <f>((LTP3!$D$5)*((P1810)*(Q1810)-(R1810)*(R1810))-(S1810)*((S1810)*(Q1810)-(R1810)*(T1810))+(T1810)*((S1810)*(R1810)-(P1810)*(T1810)))</f>
        <v/>
      </c>
      <c r="X1810">
        <f>IF(ABS(W1810)&gt;1E-12,((LTP3!$D$6)*((P1810)*(Q1810)-(R1810)*(R1810))-(S1810)*((U1810)*(Q1810)-(R1810)*(V1810))+(T1810)*((U1810)*(R1810)-(P1810)*(V1810)))/W1810,0)</f>
        <v/>
      </c>
      <c r="Y1810">
        <f>IF(ABS(W1810)&gt;1E-12,((LTP3!$D$5)*((U1810)*(Q1810)-(R1810)*(V1810))-(LTP3!$D$6)*((S1810)*(Q1810)-(R1810)*(T1810))+(T1810)*((S1810)*(V1810)-(U1810)*(T1810)))/W1810,0)</f>
        <v/>
      </c>
      <c r="Z1810">
        <f>IF(ABS(W1810)&gt;1E-12,((LTP3!$D$5)*((P1810)*(V1810)-(U1810)*(R1810))-(S1810)*((S1810)*(V1810)-(U1810)*(T1810))+(LTP3!$D$6)*((S1810)*(R1810)-(P1810)*(T1810)))/W1810,0)</f>
        <v/>
      </c>
      <c r="AA1810">
        <f>LTP3!$D$7-X1810*LTP3!$D$6-Y1810*U1810-Z1810*V1810</f>
        <v/>
      </c>
      <c r="AB1810">
        <f>IF(AND(F1810,ABS(W1810)&gt;1E-12,Y1810&gt;0,Z1810&gt;0),AA1810,1E+300)</f>
        <v/>
      </c>
    </row>
    <row r="1811">
      <c r="A1811">
        <f>$B$3+$B$5*29</f>
        <v/>
      </c>
      <c r="B1811">
        <f>$B$3+$B$5*30</f>
        <v/>
      </c>
      <c r="C1811">
        <f>SUMPRODUCT(Calc!$K$3:$K$22*(Calc!$G$3:$G$22&lt;=A1811))</f>
        <v/>
      </c>
      <c r="D1811">
        <f>SUMPRODUCT(Calc!$K$3:$K$22*(Calc!$G$3:$G$22&gt;A1811)*(Calc!$G$3:$G$22&lt;B1811))</f>
        <v/>
      </c>
      <c r="E1811">
        <f>SUMPRODUCT(Calc!$K$3:$K$22*(Calc!$G$3:$G$22&gt;=B1811))</f>
        <v/>
      </c>
      <c r="F1811">
        <f>AND(k_n&gt;=5,B1811&gt;A1811+1E-9,C1811&gt;=2,D1811&gt;=1,E1811&gt;=2)</f>
        <v/>
      </c>
      <c r="G1811">
        <f>SUMPRODUCT(Calc!$K$3:$K$22*(Calc!$G$3:$G$22&gt;A1811)*(Calc!$G$3:$G$22-A1811))</f>
        <v/>
      </c>
      <c r="H1811">
        <f>SUMPRODUCT(Calc!$K$3:$K$22*(Calc!$G$3:$G$22&gt;B1811)*(Calc!$G$3:$G$22-B1811))</f>
        <v/>
      </c>
      <c r="I1811">
        <f>SUMPRODUCT(Calc!$K$3:$K$22*(Calc!$G$3:$G$22&gt;A1811)*(Calc!$G$3:$G$22-A1811)^2)</f>
        <v/>
      </c>
      <c r="J1811">
        <f>SUMPRODUCT(Calc!$K$3:$K$22*(Calc!$G$3:$G$22&gt;B1811)*(Calc!$G$3:$G$22-B1811)^2)</f>
        <v/>
      </c>
      <c r="K1811">
        <f>SUMPRODUCT(Calc!$K$3:$K$22*(Calc!$G$3:$G$22&gt;A1811)*(Calc!$G$3:$G$22-A1811)*(Calc!$G$3:$G$22&gt;B1811)*(Calc!$G$3:$G$22-B1811))</f>
        <v/>
      </c>
      <c r="L1811">
        <f>SUMPRODUCT(Calc!$K$3:$K$22*(Calc!$G$3:$G$22&gt;A1811)*(Calc!$G$3:$G$22-A1811)*Calc!$G$3:$G$22)</f>
        <v/>
      </c>
      <c r="M1811">
        <f>SUMPRODUCT(Calc!$K$3:$K$22*(Calc!$G$3:$G$22&gt;B1811)*(Calc!$G$3:$G$22-B1811)*Calc!$G$3:$G$22)</f>
        <v/>
      </c>
      <c r="N1811">
        <f>SUMPRODUCT(Calc!$K$3:$K$22*(Calc!$G$3:$G$22&gt;A1811)*(Calc!$G$3:$G$22-A1811)*Calc!$I$3:$I$22)</f>
        <v/>
      </c>
      <c r="O1811">
        <f>SUMPRODUCT(Calc!$K$3:$K$22*(Calc!$G$3:$G$22&gt;B1811)*(Calc!$G$3:$G$22-B1811)*Calc!$I$3:$I$22)</f>
        <v/>
      </c>
      <c r="P1811">
        <f>I1811-G1811^2/k_n</f>
        <v/>
      </c>
      <c r="Q1811">
        <f>J1811-H1811^2/k_n</f>
        <v/>
      </c>
      <c r="R1811">
        <f>K1811-G1811*H1811/k_n</f>
        <v/>
      </c>
      <c r="S1811">
        <f>L1811-LTP3!$D$3*G1811/k_n</f>
        <v/>
      </c>
      <c r="T1811">
        <f>M1811-LTP3!$D$3*H1811/k_n</f>
        <v/>
      </c>
      <c r="U1811">
        <f>N1811-G1811*LTP3!$D$4/k_n</f>
        <v/>
      </c>
      <c r="V1811">
        <f>O1811-H1811*LTP3!$D$4/k_n</f>
        <v/>
      </c>
      <c r="W1811">
        <f>((LTP3!$D$5)*((P1811)*(Q1811)-(R1811)*(R1811))-(S1811)*((S1811)*(Q1811)-(R1811)*(T1811))+(T1811)*((S1811)*(R1811)-(P1811)*(T1811)))</f>
        <v/>
      </c>
      <c r="X1811">
        <f>IF(ABS(W1811)&gt;1E-12,((LTP3!$D$6)*((P1811)*(Q1811)-(R1811)*(R1811))-(S1811)*((U1811)*(Q1811)-(R1811)*(V1811))+(T1811)*((U1811)*(R1811)-(P1811)*(V1811)))/W1811,0)</f>
        <v/>
      </c>
      <c r="Y1811">
        <f>IF(ABS(W1811)&gt;1E-12,((LTP3!$D$5)*((U1811)*(Q1811)-(R1811)*(V1811))-(LTP3!$D$6)*((S1811)*(Q1811)-(R1811)*(T1811))+(T1811)*((S1811)*(V1811)-(U1811)*(T1811)))/W1811,0)</f>
        <v/>
      </c>
      <c r="Z1811">
        <f>IF(ABS(W1811)&gt;1E-12,((LTP3!$D$5)*((P1811)*(V1811)-(U1811)*(R1811))-(S1811)*((S1811)*(V1811)-(U1811)*(T1811))+(LTP3!$D$6)*((S1811)*(R1811)-(P1811)*(T1811)))/W1811,0)</f>
        <v/>
      </c>
      <c r="AA1811">
        <f>LTP3!$D$7-X1811*LTP3!$D$6-Y1811*U1811-Z1811*V1811</f>
        <v/>
      </c>
      <c r="AB1811">
        <f>IF(AND(F1811,ABS(W1811)&gt;1E-12,Y1811&gt;0,Z1811&gt;0),AA1811,1E+300)</f>
        <v/>
      </c>
    </row>
    <row r="1812">
      <c r="A1812">
        <f>$B$3+$B$5*29</f>
        <v/>
      </c>
      <c r="B1812">
        <f>$B$3+$B$5*31</f>
        <v/>
      </c>
      <c r="C1812">
        <f>SUMPRODUCT(Calc!$K$3:$K$22*(Calc!$G$3:$G$22&lt;=A1812))</f>
        <v/>
      </c>
      <c r="D1812">
        <f>SUMPRODUCT(Calc!$K$3:$K$22*(Calc!$G$3:$G$22&gt;A1812)*(Calc!$G$3:$G$22&lt;B1812))</f>
        <v/>
      </c>
      <c r="E1812">
        <f>SUMPRODUCT(Calc!$K$3:$K$22*(Calc!$G$3:$G$22&gt;=B1812))</f>
        <v/>
      </c>
      <c r="F1812">
        <f>AND(k_n&gt;=5,B1812&gt;A1812+1E-9,C1812&gt;=2,D1812&gt;=1,E1812&gt;=2)</f>
        <v/>
      </c>
      <c r="G1812">
        <f>SUMPRODUCT(Calc!$K$3:$K$22*(Calc!$G$3:$G$22&gt;A1812)*(Calc!$G$3:$G$22-A1812))</f>
        <v/>
      </c>
      <c r="H1812">
        <f>SUMPRODUCT(Calc!$K$3:$K$22*(Calc!$G$3:$G$22&gt;B1812)*(Calc!$G$3:$G$22-B1812))</f>
        <v/>
      </c>
      <c r="I1812">
        <f>SUMPRODUCT(Calc!$K$3:$K$22*(Calc!$G$3:$G$22&gt;A1812)*(Calc!$G$3:$G$22-A1812)^2)</f>
        <v/>
      </c>
      <c r="J1812">
        <f>SUMPRODUCT(Calc!$K$3:$K$22*(Calc!$G$3:$G$22&gt;B1812)*(Calc!$G$3:$G$22-B1812)^2)</f>
        <v/>
      </c>
      <c r="K1812">
        <f>SUMPRODUCT(Calc!$K$3:$K$22*(Calc!$G$3:$G$22&gt;A1812)*(Calc!$G$3:$G$22-A1812)*(Calc!$G$3:$G$22&gt;B1812)*(Calc!$G$3:$G$22-B1812))</f>
        <v/>
      </c>
      <c r="L1812">
        <f>SUMPRODUCT(Calc!$K$3:$K$22*(Calc!$G$3:$G$22&gt;A1812)*(Calc!$G$3:$G$22-A1812)*Calc!$G$3:$G$22)</f>
        <v/>
      </c>
      <c r="M1812">
        <f>SUMPRODUCT(Calc!$K$3:$K$22*(Calc!$G$3:$G$22&gt;B1812)*(Calc!$G$3:$G$22-B1812)*Calc!$G$3:$G$22)</f>
        <v/>
      </c>
      <c r="N1812">
        <f>SUMPRODUCT(Calc!$K$3:$K$22*(Calc!$G$3:$G$22&gt;A1812)*(Calc!$G$3:$G$22-A1812)*Calc!$I$3:$I$22)</f>
        <v/>
      </c>
      <c r="O1812">
        <f>SUMPRODUCT(Calc!$K$3:$K$22*(Calc!$G$3:$G$22&gt;B1812)*(Calc!$G$3:$G$22-B1812)*Calc!$I$3:$I$22)</f>
        <v/>
      </c>
      <c r="P1812">
        <f>I1812-G1812^2/k_n</f>
        <v/>
      </c>
      <c r="Q1812">
        <f>J1812-H1812^2/k_n</f>
        <v/>
      </c>
      <c r="R1812">
        <f>K1812-G1812*H1812/k_n</f>
        <v/>
      </c>
      <c r="S1812">
        <f>L1812-LTP3!$D$3*G1812/k_n</f>
        <v/>
      </c>
      <c r="T1812">
        <f>M1812-LTP3!$D$3*H1812/k_n</f>
        <v/>
      </c>
      <c r="U1812">
        <f>N1812-G1812*LTP3!$D$4/k_n</f>
        <v/>
      </c>
      <c r="V1812">
        <f>O1812-H1812*LTP3!$D$4/k_n</f>
        <v/>
      </c>
      <c r="W1812">
        <f>((LTP3!$D$5)*((P1812)*(Q1812)-(R1812)*(R1812))-(S1812)*((S1812)*(Q1812)-(R1812)*(T1812))+(T1812)*((S1812)*(R1812)-(P1812)*(T1812)))</f>
        <v/>
      </c>
      <c r="X1812">
        <f>IF(ABS(W1812)&gt;1E-12,((LTP3!$D$6)*((P1812)*(Q1812)-(R1812)*(R1812))-(S1812)*((U1812)*(Q1812)-(R1812)*(V1812))+(T1812)*((U1812)*(R1812)-(P1812)*(V1812)))/W1812,0)</f>
        <v/>
      </c>
      <c r="Y1812">
        <f>IF(ABS(W1812)&gt;1E-12,((LTP3!$D$5)*((U1812)*(Q1812)-(R1812)*(V1812))-(LTP3!$D$6)*((S1812)*(Q1812)-(R1812)*(T1812))+(T1812)*((S1812)*(V1812)-(U1812)*(T1812)))/W1812,0)</f>
        <v/>
      </c>
      <c r="Z1812">
        <f>IF(ABS(W1812)&gt;1E-12,((LTP3!$D$5)*((P1812)*(V1812)-(U1812)*(R1812))-(S1812)*((S1812)*(V1812)-(U1812)*(T1812))+(LTP3!$D$6)*((S1812)*(R1812)-(P1812)*(T1812)))/W1812,0)</f>
        <v/>
      </c>
      <c r="AA1812">
        <f>LTP3!$D$7-X1812*LTP3!$D$6-Y1812*U1812-Z1812*V1812</f>
        <v/>
      </c>
      <c r="AB1812">
        <f>IF(AND(F1812,ABS(W1812)&gt;1E-12,Y1812&gt;0,Z1812&gt;0),AA1812,1E+300)</f>
        <v/>
      </c>
    </row>
    <row r="1813">
      <c r="A1813">
        <f>$B$3+$B$5*29</f>
        <v/>
      </c>
      <c r="B1813">
        <f>$B$3+$B$5*32</f>
        <v/>
      </c>
      <c r="C1813">
        <f>SUMPRODUCT(Calc!$K$3:$K$22*(Calc!$G$3:$G$22&lt;=A1813))</f>
        <v/>
      </c>
      <c r="D1813">
        <f>SUMPRODUCT(Calc!$K$3:$K$22*(Calc!$G$3:$G$22&gt;A1813)*(Calc!$G$3:$G$22&lt;B1813))</f>
        <v/>
      </c>
      <c r="E1813">
        <f>SUMPRODUCT(Calc!$K$3:$K$22*(Calc!$G$3:$G$22&gt;=B1813))</f>
        <v/>
      </c>
      <c r="F1813">
        <f>AND(k_n&gt;=5,B1813&gt;A1813+1E-9,C1813&gt;=2,D1813&gt;=1,E1813&gt;=2)</f>
        <v/>
      </c>
      <c r="G1813">
        <f>SUMPRODUCT(Calc!$K$3:$K$22*(Calc!$G$3:$G$22&gt;A1813)*(Calc!$G$3:$G$22-A1813))</f>
        <v/>
      </c>
      <c r="H1813">
        <f>SUMPRODUCT(Calc!$K$3:$K$22*(Calc!$G$3:$G$22&gt;B1813)*(Calc!$G$3:$G$22-B1813))</f>
        <v/>
      </c>
      <c r="I1813">
        <f>SUMPRODUCT(Calc!$K$3:$K$22*(Calc!$G$3:$G$22&gt;A1813)*(Calc!$G$3:$G$22-A1813)^2)</f>
        <v/>
      </c>
      <c r="J1813">
        <f>SUMPRODUCT(Calc!$K$3:$K$22*(Calc!$G$3:$G$22&gt;B1813)*(Calc!$G$3:$G$22-B1813)^2)</f>
        <v/>
      </c>
      <c r="K1813">
        <f>SUMPRODUCT(Calc!$K$3:$K$22*(Calc!$G$3:$G$22&gt;A1813)*(Calc!$G$3:$G$22-A1813)*(Calc!$G$3:$G$22&gt;B1813)*(Calc!$G$3:$G$22-B1813))</f>
        <v/>
      </c>
      <c r="L1813">
        <f>SUMPRODUCT(Calc!$K$3:$K$22*(Calc!$G$3:$G$22&gt;A1813)*(Calc!$G$3:$G$22-A1813)*Calc!$G$3:$G$22)</f>
        <v/>
      </c>
      <c r="M1813">
        <f>SUMPRODUCT(Calc!$K$3:$K$22*(Calc!$G$3:$G$22&gt;B1813)*(Calc!$G$3:$G$22-B1813)*Calc!$G$3:$G$22)</f>
        <v/>
      </c>
      <c r="N1813">
        <f>SUMPRODUCT(Calc!$K$3:$K$22*(Calc!$G$3:$G$22&gt;A1813)*(Calc!$G$3:$G$22-A1813)*Calc!$I$3:$I$22)</f>
        <v/>
      </c>
      <c r="O1813">
        <f>SUMPRODUCT(Calc!$K$3:$K$22*(Calc!$G$3:$G$22&gt;B1813)*(Calc!$G$3:$G$22-B1813)*Calc!$I$3:$I$22)</f>
        <v/>
      </c>
      <c r="P1813">
        <f>I1813-G1813^2/k_n</f>
        <v/>
      </c>
      <c r="Q1813">
        <f>J1813-H1813^2/k_n</f>
        <v/>
      </c>
      <c r="R1813">
        <f>K1813-G1813*H1813/k_n</f>
        <v/>
      </c>
      <c r="S1813">
        <f>L1813-LTP3!$D$3*G1813/k_n</f>
        <v/>
      </c>
      <c r="T1813">
        <f>M1813-LTP3!$D$3*H1813/k_n</f>
        <v/>
      </c>
      <c r="U1813">
        <f>N1813-G1813*LTP3!$D$4/k_n</f>
        <v/>
      </c>
      <c r="V1813">
        <f>O1813-H1813*LTP3!$D$4/k_n</f>
        <v/>
      </c>
      <c r="W1813">
        <f>((LTP3!$D$5)*((P1813)*(Q1813)-(R1813)*(R1813))-(S1813)*((S1813)*(Q1813)-(R1813)*(T1813))+(T1813)*((S1813)*(R1813)-(P1813)*(T1813)))</f>
        <v/>
      </c>
      <c r="X1813">
        <f>IF(ABS(W1813)&gt;1E-12,((LTP3!$D$6)*((P1813)*(Q1813)-(R1813)*(R1813))-(S1813)*((U1813)*(Q1813)-(R1813)*(V1813))+(T1813)*((U1813)*(R1813)-(P1813)*(V1813)))/W1813,0)</f>
        <v/>
      </c>
      <c r="Y1813">
        <f>IF(ABS(W1813)&gt;1E-12,((LTP3!$D$5)*((U1813)*(Q1813)-(R1813)*(V1813))-(LTP3!$D$6)*((S1813)*(Q1813)-(R1813)*(T1813))+(T1813)*((S1813)*(V1813)-(U1813)*(T1813)))/W1813,0)</f>
        <v/>
      </c>
      <c r="Z1813">
        <f>IF(ABS(W1813)&gt;1E-12,((LTP3!$D$5)*((P1813)*(V1813)-(U1813)*(R1813))-(S1813)*((S1813)*(V1813)-(U1813)*(T1813))+(LTP3!$D$6)*((S1813)*(R1813)-(P1813)*(T1813)))/W1813,0)</f>
        <v/>
      </c>
      <c r="AA1813">
        <f>LTP3!$D$7-X1813*LTP3!$D$6-Y1813*U1813-Z1813*V1813</f>
        <v/>
      </c>
      <c r="AB1813">
        <f>IF(AND(F1813,ABS(W1813)&gt;1E-12,Y1813&gt;0,Z1813&gt;0),AA1813,1E+300)</f>
        <v/>
      </c>
    </row>
    <row r="1814">
      <c r="A1814">
        <f>$B$3+$B$5*29</f>
        <v/>
      </c>
      <c r="B1814">
        <f>$B$3+$B$5*33</f>
        <v/>
      </c>
      <c r="C1814">
        <f>SUMPRODUCT(Calc!$K$3:$K$22*(Calc!$G$3:$G$22&lt;=A1814))</f>
        <v/>
      </c>
      <c r="D1814">
        <f>SUMPRODUCT(Calc!$K$3:$K$22*(Calc!$G$3:$G$22&gt;A1814)*(Calc!$G$3:$G$22&lt;B1814))</f>
        <v/>
      </c>
      <c r="E1814">
        <f>SUMPRODUCT(Calc!$K$3:$K$22*(Calc!$G$3:$G$22&gt;=B1814))</f>
        <v/>
      </c>
      <c r="F1814">
        <f>AND(k_n&gt;=5,B1814&gt;A1814+1E-9,C1814&gt;=2,D1814&gt;=1,E1814&gt;=2)</f>
        <v/>
      </c>
      <c r="G1814">
        <f>SUMPRODUCT(Calc!$K$3:$K$22*(Calc!$G$3:$G$22&gt;A1814)*(Calc!$G$3:$G$22-A1814))</f>
        <v/>
      </c>
      <c r="H1814">
        <f>SUMPRODUCT(Calc!$K$3:$K$22*(Calc!$G$3:$G$22&gt;B1814)*(Calc!$G$3:$G$22-B1814))</f>
        <v/>
      </c>
      <c r="I1814">
        <f>SUMPRODUCT(Calc!$K$3:$K$22*(Calc!$G$3:$G$22&gt;A1814)*(Calc!$G$3:$G$22-A1814)^2)</f>
        <v/>
      </c>
      <c r="J1814">
        <f>SUMPRODUCT(Calc!$K$3:$K$22*(Calc!$G$3:$G$22&gt;B1814)*(Calc!$G$3:$G$22-B1814)^2)</f>
        <v/>
      </c>
      <c r="K1814">
        <f>SUMPRODUCT(Calc!$K$3:$K$22*(Calc!$G$3:$G$22&gt;A1814)*(Calc!$G$3:$G$22-A1814)*(Calc!$G$3:$G$22&gt;B1814)*(Calc!$G$3:$G$22-B1814))</f>
        <v/>
      </c>
      <c r="L1814">
        <f>SUMPRODUCT(Calc!$K$3:$K$22*(Calc!$G$3:$G$22&gt;A1814)*(Calc!$G$3:$G$22-A1814)*Calc!$G$3:$G$22)</f>
        <v/>
      </c>
      <c r="M1814">
        <f>SUMPRODUCT(Calc!$K$3:$K$22*(Calc!$G$3:$G$22&gt;B1814)*(Calc!$G$3:$G$22-B1814)*Calc!$G$3:$G$22)</f>
        <v/>
      </c>
      <c r="N1814">
        <f>SUMPRODUCT(Calc!$K$3:$K$22*(Calc!$G$3:$G$22&gt;A1814)*(Calc!$G$3:$G$22-A1814)*Calc!$I$3:$I$22)</f>
        <v/>
      </c>
      <c r="O1814">
        <f>SUMPRODUCT(Calc!$K$3:$K$22*(Calc!$G$3:$G$22&gt;B1814)*(Calc!$G$3:$G$22-B1814)*Calc!$I$3:$I$22)</f>
        <v/>
      </c>
      <c r="P1814">
        <f>I1814-G1814^2/k_n</f>
        <v/>
      </c>
      <c r="Q1814">
        <f>J1814-H1814^2/k_n</f>
        <v/>
      </c>
      <c r="R1814">
        <f>K1814-G1814*H1814/k_n</f>
        <v/>
      </c>
      <c r="S1814">
        <f>L1814-LTP3!$D$3*G1814/k_n</f>
        <v/>
      </c>
      <c r="T1814">
        <f>M1814-LTP3!$D$3*H1814/k_n</f>
        <v/>
      </c>
      <c r="U1814">
        <f>N1814-G1814*LTP3!$D$4/k_n</f>
        <v/>
      </c>
      <c r="V1814">
        <f>O1814-H1814*LTP3!$D$4/k_n</f>
        <v/>
      </c>
      <c r="W1814">
        <f>((LTP3!$D$5)*((P1814)*(Q1814)-(R1814)*(R1814))-(S1814)*((S1814)*(Q1814)-(R1814)*(T1814))+(T1814)*((S1814)*(R1814)-(P1814)*(T1814)))</f>
        <v/>
      </c>
      <c r="X1814">
        <f>IF(ABS(W1814)&gt;1E-12,((LTP3!$D$6)*((P1814)*(Q1814)-(R1814)*(R1814))-(S1814)*((U1814)*(Q1814)-(R1814)*(V1814))+(T1814)*((U1814)*(R1814)-(P1814)*(V1814)))/W1814,0)</f>
        <v/>
      </c>
      <c r="Y1814">
        <f>IF(ABS(W1814)&gt;1E-12,((LTP3!$D$5)*((U1814)*(Q1814)-(R1814)*(V1814))-(LTP3!$D$6)*((S1814)*(Q1814)-(R1814)*(T1814))+(T1814)*((S1814)*(V1814)-(U1814)*(T1814)))/W1814,0)</f>
        <v/>
      </c>
      <c r="Z1814">
        <f>IF(ABS(W1814)&gt;1E-12,((LTP3!$D$5)*((P1814)*(V1814)-(U1814)*(R1814))-(S1814)*((S1814)*(V1814)-(U1814)*(T1814))+(LTP3!$D$6)*((S1814)*(R1814)-(P1814)*(T1814)))/W1814,0)</f>
        <v/>
      </c>
      <c r="AA1814">
        <f>LTP3!$D$7-X1814*LTP3!$D$6-Y1814*U1814-Z1814*V1814</f>
        <v/>
      </c>
      <c r="AB1814">
        <f>IF(AND(F1814,ABS(W1814)&gt;1E-12,Y1814&gt;0,Z1814&gt;0),AA1814,1E+300)</f>
        <v/>
      </c>
    </row>
    <row r="1815">
      <c r="A1815">
        <f>$B$3+$B$5*29</f>
        <v/>
      </c>
      <c r="B1815">
        <f>$B$3+$B$5*34</f>
        <v/>
      </c>
      <c r="C1815">
        <f>SUMPRODUCT(Calc!$K$3:$K$22*(Calc!$G$3:$G$22&lt;=A1815))</f>
        <v/>
      </c>
      <c r="D1815">
        <f>SUMPRODUCT(Calc!$K$3:$K$22*(Calc!$G$3:$G$22&gt;A1815)*(Calc!$G$3:$G$22&lt;B1815))</f>
        <v/>
      </c>
      <c r="E1815">
        <f>SUMPRODUCT(Calc!$K$3:$K$22*(Calc!$G$3:$G$22&gt;=B1815))</f>
        <v/>
      </c>
      <c r="F1815">
        <f>AND(k_n&gt;=5,B1815&gt;A1815+1E-9,C1815&gt;=2,D1815&gt;=1,E1815&gt;=2)</f>
        <v/>
      </c>
      <c r="G1815">
        <f>SUMPRODUCT(Calc!$K$3:$K$22*(Calc!$G$3:$G$22&gt;A1815)*(Calc!$G$3:$G$22-A1815))</f>
        <v/>
      </c>
      <c r="H1815">
        <f>SUMPRODUCT(Calc!$K$3:$K$22*(Calc!$G$3:$G$22&gt;B1815)*(Calc!$G$3:$G$22-B1815))</f>
        <v/>
      </c>
      <c r="I1815">
        <f>SUMPRODUCT(Calc!$K$3:$K$22*(Calc!$G$3:$G$22&gt;A1815)*(Calc!$G$3:$G$22-A1815)^2)</f>
        <v/>
      </c>
      <c r="J1815">
        <f>SUMPRODUCT(Calc!$K$3:$K$22*(Calc!$G$3:$G$22&gt;B1815)*(Calc!$G$3:$G$22-B1815)^2)</f>
        <v/>
      </c>
      <c r="K1815">
        <f>SUMPRODUCT(Calc!$K$3:$K$22*(Calc!$G$3:$G$22&gt;A1815)*(Calc!$G$3:$G$22-A1815)*(Calc!$G$3:$G$22&gt;B1815)*(Calc!$G$3:$G$22-B1815))</f>
        <v/>
      </c>
      <c r="L1815">
        <f>SUMPRODUCT(Calc!$K$3:$K$22*(Calc!$G$3:$G$22&gt;A1815)*(Calc!$G$3:$G$22-A1815)*Calc!$G$3:$G$22)</f>
        <v/>
      </c>
      <c r="M1815">
        <f>SUMPRODUCT(Calc!$K$3:$K$22*(Calc!$G$3:$G$22&gt;B1815)*(Calc!$G$3:$G$22-B1815)*Calc!$G$3:$G$22)</f>
        <v/>
      </c>
      <c r="N1815">
        <f>SUMPRODUCT(Calc!$K$3:$K$22*(Calc!$G$3:$G$22&gt;A1815)*(Calc!$G$3:$G$22-A1815)*Calc!$I$3:$I$22)</f>
        <v/>
      </c>
      <c r="O1815">
        <f>SUMPRODUCT(Calc!$K$3:$K$22*(Calc!$G$3:$G$22&gt;B1815)*(Calc!$G$3:$G$22-B1815)*Calc!$I$3:$I$22)</f>
        <v/>
      </c>
      <c r="P1815">
        <f>I1815-G1815^2/k_n</f>
        <v/>
      </c>
      <c r="Q1815">
        <f>J1815-H1815^2/k_n</f>
        <v/>
      </c>
      <c r="R1815">
        <f>K1815-G1815*H1815/k_n</f>
        <v/>
      </c>
      <c r="S1815">
        <f>L1815-LTP3!$D$3*G1815/k_n</f>
        <v/>
      </c>
      <c r="T1815">
        <f>M1815-LTP3!$D$3*H1815/k_n</f>
        <v/>
      </c>
      <c r="U1815">
        <f>N1815-G1815*LTP3!$D$4/k_n</f>
        <v/>
      </c>
      <c r="V1815">
        <f>O1815-H1815*LTP3!$D$4/k_n</f>
        <v/>
      </c>
      <c r="W1815">
        <f>((LTP3!$D$5)*((P1815)*(Q1815)-(R1815)*(R1815))-(S1815)*((S1815)*(Q1815)-(R1815)*(T1815))+(T1815)*((S1815)*(R1815)-(P1815)*(T1815)))</f>
        <v/>
      </c>
      <c r="X1815">
        <f>IF(ABS(W1815)&gt;1E-12,((LTP3!$D$6)*((P1815)*(Q1815)-(R1815)*(R1815))-(S1815)*((U1815)*(Q1815)-(R1815)*(V1815))+(T1815)*((U1815)*(R1815)-(P1815)*(V1815)))/W1815,0)</f>
        <v/>
      </c>
      <c r="Y1815">
        <f>IF(ABS(W1815)&gt;1E-12,((LTP3!$D$5)*((U1815)*(Q1815)-(R1815)*(V1815))-(LTP3!$D$6)*((S1815)*(Q1815)-(R1815)*(T1815))+(T1815)*((S1815)*(V1815)-(U1815)*(T1815)))/W1815,0)</f>
        <v/>
      </c>
      <c r="Z1815">
        <f>IF(ABS(W1815)&gt;1E-12,((LTP3!$D$5)*((P1815)*(V1815)-(U1815)*(R1815))-(S1815)*((S1815)*(V1815)-(U1815)*(T1815))+(LTP3!$D$6)*((S1815)*(R1815)-(P1815)*(T1815)))/W1815,0)</f>
        <v/>
      </c>
      <c r="AA1815">
        <f>LTP3!$D$7-X1815*LTP3!$D$6-Y1815*U1815-Z1815*V1815</f>
        <v/>
      </c>
      <c r="AB1815">
        <f>IF(AND(F1815,ABS(W1815)&gt;1E-12,Y1815&gt;0,Z1815&gt;0),AA1815,1E+300)</f>
        <v/>
      </c>
    </row>
    <row r="1816">
      <c r="A1816">
        <f>$B$3+$B$5*29</f>
        <v/>
      </c>
      <c r="B1816">
        <f>$B$3+$B$5*35</f>
        <v/>
      </c>
      <c r="C1816">
        <f>SUMPRODUCT(Calc!$K$3:$K$22*(Calc!$G$3:$G$22&lt;=A1816))</f>
        <v/>
      </c>
      <c r="D1816">
        <f>SUMPRODUCT(Calc!$K$3:$K$22*(Calc!$G$3:$G$22&gt;A1816)*(Calc!$G$3:$G$22&lt;B1816))</f>
        <v/>
      </c>
      <c r="E1816">
        <f>SUMPRODUCT(Calc!$K$3:$K$22*(Calc!$G$3:$G$22&gt;=B1816))</f>
        <v/>
      </c>
      <c r="F1816">
        <f>AND(k_n&gt;=5,B1816&gt;A1816+1E-9,C1816&gt;=2,D1816&gt;=1,E1816&gt;=2)</f>
        <v/>
      </c>
      <c r="G1816">
        <f>SUMPRODUCT(Calc!$K$3:$K$22*(Calc!$G$3:$G$22&gt;A1816)*(Calc!$G$3:$G$22-A1816))</f>
        <v/>
      </c>
      <c r="H1816">
        <f>SUMPRODUCT(Calc!$K$3:$K$22*(Calc!$G$3:$G$22&gt;B1816)*(Calc!$G$3:$G$22-B1816))</f>
        <v/>
      </c>
      <c r="I1816">
        <f>SUMPRODUCT(Calc!$K$3:$K$22*(Calc!$G$3:$G$22&gt;A1816)*(Calc!$G$3:$G$22-A1816)^2)</f>
        <v/>
      </c>
      <c r="J1816">
        <f>SUMPRODUCT(Calc!$K$3:$K$22*(Calc!$G$3:$G$22&gt;B1816)*(Calc!$G$3:$G$22-B1816)^2)</f>
        <v/>
      </c>
      <c r="K1816">
        <f>SUMPRODUCT(Calc!$K$3:$K$22*(Calc!$G$3:$G$22&gt;A1816)*(Calc!$G$3:$G$22-A1816)*(Calc!$G$3:$G$22&gt;B1816)*(Calc!$G$3:$G$22-B1816))</f>
        <v/>
      </c>
      <c r="L1816">
        <f>SUMPRODUCT(Calc!$K$3:$K$22*(Calc!$G$3:$G$22&gt;A1816)*(Calc!$G$3:$G$22-A1816)*Calc!$G$3:$G$22)</f>
        <v/>
      </c>
      <c r="M1816">
        <f>SUMPRODUCT(Calc!$K$3:$K$22*(Calc!$G$3:$G$22&gt;B1816)*(Calc!$G$3:$G$22-B1816)*Calc!$G$3:$G$22)</f>
        <v/>
      </c>
      <c r="N1816">
        <f>SUMPRODUCT(Calc!$K$3:$K$22*(Calc!$G$3:$G$22&gt;A1816)*(Calc!$G$3:$G$22-A1816)*Calc!$I$3:$I$22)</f>
        <v/>
      </c>
      <c r="O1816">
        <f>SUMPRODUCT(Calc!$K$3:$K$22*(Calc!$G$3:$G$22&gt;B1816)*(Calc!$G$3:$G$22-B1816)*Calc!$I$3:$I$22)</f>
        <v/>
      </c>
      <c r="P1816">
        <f>I1816-G1816^2/k_n</f>
        <v/>
      </c>
      <c r="Q1816">
        <f>J1816-H1816^2/k_n</f>
        <v/>
      </c>
      <c r="R1816">
        <f>K1816-G1816*H1816/k_n</f>
        <v/>
      </c>
      <c r="S1816">
        <f>L1816-LTP3!$D$3*G1816/k_n</f>
        <v/>
      </c>
      <c r="T1816">
        <f>M1816-LTP3!$D$3*H1816/k_n</f>
        <v/>
      </c>
      <c r="U1816">
        <f>N1816-G1816*LTP3!$D$4/k_n</f>
        <v/>
      </c>
      <c r="V1816">
        <f>O1816-H1816*LTP3!$D$4/k_n</f>
        <v/>
      </c>
      <c r="W1816">
        <f>((LTP3!$D$5)*((P1816)*(Q1816)-(R1816)*(R1816))-(S1816)*((S1816)*(Q1816)-(R1816)*(T1816))+(T1816)*((S1816)*(R1816)-(P1816)*(T1816)))</f>
        <v/>
      </c>
      <c r="X1816">
        <f>IF(ABS(W1816)&gt;1E-12,((LTP3!$D$6)*((P1816)*(Q1816)-(R1816)*(R1816))-(S1816)*((U1816)*(Q1816)-(R1816)*(V1816))+(T1816)*((U1816)*(R1816)-(P1816)*(V1816)))/W1816,0)</f>
        <v/>
      </c>
      <c r="Y1816">
        <f>IF(ABS(W1816)&gt;1E-12,((LTP3!$D$5)*((U1816)*(Q1816)-(R1816)*(V1816))-(LTP3!$D$6)*((S1816)*(Q1816)-(R1816)*(T1816))+(T1816)*((S1816)*(V1816)-(U1816)*(T1816)))/W1816,0)</f>
        <v/>
      </c>
      <c r="Z1816">
        <f>IF(ABS(W1816)&gt;1E-12,((LTP3!$D$5)*((P1816)*(V1816)-(U1816)*(R1816))-(S1816)*((S1816)*(V1816)-(U1816)*(T1816))+(LTP3!$D$6)*((S1816)*(R1816)-(P1816)*(T1816)))/W1816,0)</f>
        <v/>
      </c>
      <c r="AA1816">
        <f>LTP3!$D$7-X1816*LTP3!$D$6-Y1816*U1816-Z1816*V1816</f>
        <v/>
      </c>
      <c r="AB1816">
        <f>IF(AND(F1816,ABS(W1816)&gt;1E-12,Y1816&gt;0,Z1816&gt;0),AA1816,1E+300)</f>
        <v/>
      </c>
    </row>
    <row r="1817">
      <c r="A1817">
        <f>$B$3+$B$5*29</f>
        <v/>
      </c>
      <c r="B1817">
        <f>$B$3+$B$5*36</f>
        <v/>
      </c>
      <c r="C1817">
        <f>SUMPRODUCT(Calc!$K$3:$K$22*(Calc!$G$3:$G$22&lt;=A1817))</f>
        <v/>
      </c>
      <c r="D1817">
        <f>SUMPRODUCT(Calc!$K$3:$K$22*(Calc!$G$3:$G$22&gt;A1817)*(Calc!$G$3:$G$22&lt;B1817))</f>
        <v/>
      </c>
      <c r="E1817">
        <f>SUMPRODUCT(Calc!$K$3:$K$22*(Calc!$G$3:$G$22&gt;=B1817))</f>
        <v/>
      </c>
      <c r="F1817">
        <f>AND(k_n&gt;=5,B1817&gt;A1817+1E-9,C1817&gt;=2,D1817&gt;=1,E1817&gt;=2)</f>
        <v/>
      </c>
      <c r="G1817">
        <f>SUMPRODUCT(Calc!$K$3:$K$22*(Calc!$G$3:$G$22&gt;A1817)*(Calc!$G$3:$G$22-A1817))</f>
        <v/>
      </c>
      <c r="H1817">
        <f>SUMPRODUCT(Calc!$K$3:$K$22*(Calc!$G$3:$G$22&gt;B1817)*(Calc!$G$3:$G$22-B1817))</f>
        <v/>
      </c>
      <c r="I1817">
        <f>SUMPRODUCT(Calc!$K$3:$K$22*(Calc!$G$3:$G$22&gt;A1817)*(Calc!$G$3:$G$22-A1817)^2)</f>
        <v/>
      </c>
      <c r="J1817">
        <f>SUMPRODUCT(Calc!$K$3:$K$22*(Calc!$G$3:$G$22&gt;B1817)*(Calc!$G$3:$G$22-B1817)^2)</f>
        <v/>
      </c>
      <c r="K1817">
        <f>SUMPRODUCT(Calc!$K$3:$K$22*(Calc!$G$3:$G$22&gt;A1817)*(Calc!$G$3:$G$22-A1817)*(Calc!$G$3:$G$22&gt;B1817)*(Calc!$G$3:$G$22-B1817))</f>
        <v/>
      </c>
      <c r="L1817">
        <f>SUMPRODUCT(Calc!$K$3:$K$22*(Calc!$G$3:$G$22&gt;A1817)*(Calc!$G$3:$G$22-A1817)*Calc!$G$3:$G$22)</f>
        <v/>
      </c>
      <c r="M1817">
        <f>SUMPRODUCT(Calc!$K$3:$K$22*(Calc!$G$3:$G$22&gt;B1817)*(Calc!$G$3:$G$22-B1817)*Calc!$G$3:$G$22)</f>
        <v/>
      </c>
      <c r="N1817">
        <f>SUMPRODUCT(Calc!$K$3:$K$22*(Calc!$G$3:$G$22&gt;A1817)*(Calc!$G$3:$G$22-A1817)*Calc!$I$3:$I$22)</f>
        <v/>
      </c>
      <c r="O1817">
        <f>SUMPRODUCT(Calc!$K$3:$K$22*(Calc!$G$3:$G$22&gt;B1817)*(Calc!$G$3:$G$22-B1817)*Calc!$I$3:$I$22)</f>
        <v/>
      </c>
      <c r="P1817">
        <f>I1817-G1817^2/k_n</f>
        <v/>
      </c>
      <c r="Q1817">
        <f>J1817-H1817^2/k_n</f>
        <v/>
      </c>
      <c r="R1817">
        <f>K1817-G1817*H1817/k_n</f>
        <v/>
      </c>
      <c r="S1817">
        <f>L1817-LTP3!$D$3*G1817/k_n</f>
        <v/>
      </c>
      <c r="T1817">
        <f>M1817-LTP3!$D$3*H1817/k_n</f>
        <v/>
      </c>
      <c r="U1817">
        <f>N1817-G1817*LTP3!$D$4/k_n</f>
        <v/>
      </c>
      <c r="V1817">
        <f>O1817-H1817*LTP3!$D$4/k_n</f>
        <v/>
      </c>
      <c r="W1817">
        <f>((LTP3!$D$5)*((P1817)*(Q1817)-(R1817)*(R1817))-(S1817)*((S1817)*(Q1817)-(R1817)*(T1817))+(T1817)*((S1817)*(R1817)-(P1817)*(T1817)))</f>
        <v/>
      </c>
      <c r="X1817">
        <f>IF(ABS(W1817)&gt;1E-12,((LTP3!$D$6)*((P1817)*(Q1817)-(R1817)*(R1817))-(S1817)*((U1817)*(Q1817)-(R1817)*(V1817))+(T1817)*((U1817)*(R1817)-(P1817)*(V1817)))/W1817,0)</f>
        <v/>
      </c>
      <c r="Y1817">
        <f>IF(ABS(W1817)&gt;1E-12,((LTP3!$D$5)*((U1817)*(Q1817)-(R1817)*(V1817))-(LTP3!$D$6)*((S1817)*(Q1817)-(R1817)*(T1817))+(T1817)*((S1817)*(V1817)-(U1817)*(T1817)))/W1817,0)</f>
        <v/>
      </c>
      <c r="Z1817">
        <f>IF(ABS(W1817)&gt;1E-12,((LTP3!$D$5)*((P1817)*(V1817)-(U1817)*(R1817))-(S1817)*((S1817)*(V1817)-(U1817)*(T1817))+(LTP3!$D$6)*((S1817)*(R1817)-(P1817)*(T1817)))/W1817,0)</f>
        <v/>
      </c>
      <c r="AA1817">
        <f>LTP3!$D$7-X1817*LTP3!$D$6-Y1817*U1817-Z1817*V1817</f>
        <v/>
      </c>
      <c r="AB1817">
        <f>IF(AND(F1817,ABS(W1817)&gt;1E-12,Y1817&gt;0,Z1817&gt;0),AA1817,1E+300)</f>
        <v/>
      </c>
    </row>
    <row r="1818">
      <c r="A1818">
        <f>$B$3+$B$5*29</f>
        <v/>
      </c>
      <c r="B1818">
        <f>$B$3+$B$5*37</f>
        <v/>
      </c>
      <c r="C1818">
        <f>SUMPRODUCT(Calc!$K$3:$K$22*(Calc!$G$3:$G$22&lt;=A1818))</f>
        <v/>
      </c>
      <c r="D1818">
        <f>SUMPRODUCT(Calc!$K$3:$K$22*(Calc!$G$3:$G$22&gt;A1818)*(Calc!$G$3:$G$22&lt;B1818))</f>
        <v/>
      </c>
      <c r="E1818">
        <f>SUMPRODUCT(Calc!$K$3:$K$22*(Calc!$G$3:$G$22&gt;=B1818))</f>
        <v/>
      </c>
      <c r="F1818">
        <f>AND(k_n&gt;=5,B1818&gt;A1818+1E-9,C1818&gt;=2,D1818&gt;=1,E1818&gt;=2)</f>
        <v/>
      </c>
      <c r="G1818">
        <f>SUMPRODUCT(Calc!$K$3:$K$22*(Calc!$G$3:$G$22&gt;A1818)*(Calc!$G$3:$G$22-A1818))</f>
        <v/>
      </c>
      <c r="H1818">
        <f>SUMPRODUCT(Calc!$K$3:$K$22*(Calc!$G$3:$G$22&gt;B1818)*(Calc!$G$3:$G$22-B1818))</f>
        <v/>
      </c>
      <c r="I1818">
        <f>SUMPRODUCT(Calc!$K$3:$K$22*(Calc!$G$3:$G$22&gt;A1818)*(Calc!$G$3:$G$22-A1818)^2)</f>
        <v/>
      </c>
      <c r="J1818">
        <f>SUMPRODUCT(Calc!$K$3:$K$22*(Calc!$G$3:$G$22&gt;B1818)*(Calc!$G$3:$G$22-B1818)^2)</f>
        <v/>
      </c>
      <c r="K1818">
        <f>SUMPRODUCT(Calc!$K$3:$K$22*(Calc!$G$3:$G$22&gt;A1818)*(Calc!$G$3:$G$22-A1818)*(Calc!$G$3:$G$22&gt;B1818)*(Calc!$G$3:$G$22-B1818))</f>
        <v/>
      </c>
      <c r="L1818">
        <f>SUMPRODUCT(Calc!$K$3:$K$22*(Calc!$G$3:$G$22&gt;A1818)*(Calc!$G$3:$G$22-A1818)*Calc!$G$3:$G$22)</f>
        <v/>
      </c>
      <c r="M1818">
        <f>SUMPRODUCT(Calc!$K$3:$K$22*(Calc!$G$3:$G$22&gt;B1818)*(Calc!$G$3:$G$22-B1818)*Calc!$G$3:$G$22)</f>
        <v/>
      </c>
      <c r="N1818">
        <f>SUMPRODUCT(Calc!$K$3:$K$22*(Calc!$G$3:$G$22&gt;A1818)*(Calc!$G$3:$G$22-A1818)*Calc!$I$3:$I$22)</f>
        <v/>
      </c>
      <c r="O1818">
        <f>SUMPRODUCT(Calc!$K$3:$K$22*(Calc!$G$3:$G$22&gt;B1818)*(Calc!$G$3:$G$22-B1818)*Calc!$I$3:$I$22)</f>
        <v/>
      </c>
      <c r="P1818">
        <f>I1818-G1818^2/k_n</f>
        <v/>
      </c>
      <c r="Q1818">
        <f>J1818-H1818^2/k_n</f>
        <v/>
      </c>
      <c r="R1818">
        <f>K1818-G1818*H1818/k_n</f>
        <v/>
      </c>
      <c r="S1818">
        <f>L1818-LTP3!$D$3*G1818/k_n</f>
        <v/>
      </c>
      <c r="T1818">
        <f>M1818-LTP3!$D$3*H1818/k_n</f>
        <v/>
      </c>
      <c r="U1818">
        <f>N1818-G1818*LTP3!$D$4/k_n</f>
        <v/>
      </c>
      <c r="V1818">
        <f>O1818-H1818*LTP3!$D$4/k_n</f>
        <v/>
      </c>
      <c r="W1818">
        <f>((LTP3!$D$5)*((P1818)*(Q1818)-(R1818)*(R1818))-(S1818)*((S1818)*(Q1818)-(R1818)*(T1818))+(T1818)*((S1818)*(R1818)-(P1818)*(T1818)))</f>
        <v/>
      </c>
      <c r="X1818">
        <f>IF(ABS(W1818)&gt;1E-12,((LTP3!$D$6)*((P1818)*(Q1818)-(R1818)*(R1818))-(S1818)*((U1818)*(Q1818)-(R1818)*(V1818))+(T1818)*((U1818)*(R1818)-(P1818)*(V1818)))/W1818,0)</f>
        <v/>
      </c>
      <c r="Y1818">
        <f>IF(ABS(W1818)&gt;1E-12,((LTP3!$D$5)*((U1818)*(Q1818)-(R1818)*(V1818))-(LTP3!$D$6)*((S1818)*(Q1818)-(R1818)*(T1818))+(T1818)*((S1818)*(V1818)-(U1818)*(T1818)))/W1818,0)</f>
        <v/>
      </c>
      <c r="Z1818">
        <f>IF(ABS(W1818)&gt;1E-12,((LTP3!$D$5)*((P1818)*(V1818)-(U1818)*(R1818))-(S1818)*((S1818)*(V1818)-(U1818)*(T1818))+(LTP3!$D$6)*((S1818)*(R1818)-(P1818)*(T1818)))/W1818,0)</f>
        <v/>
      </c>
      <c r="AA1818">
        <f>LTP3!$D$7-X1818*LTP3!$D$6-Y1818*U1818-Z1818*V1818</f>
        <v/>
      </c>
      <c r="AB1818">
        <f>IF(AND(F1818,ABS(W1818)&gt;1E-12,Y1818&gt;0,Z1818&gt;0),AA1818,1E+300)</f>
        <v/>
      </c>
    </row>
    <row r="1819">
      <c r="A1819">
        <f>$B$3+$B$5*29</f>
        <v/>
      </c>
      <c r="B1819">
        <f>$B$3+$B$5*38</f>
        <v/>
      </c>
      <c r="C1819">
        <f>SUMPRODUCT(Calc!$K$3:$K$22*(Calc!$G$3:$G$22&lt;=A1819))</f>
        <v/>
      </c>
      <c r="D1819">
        <f>SUMPRODUCT(Calc!$K$3:$K$22*(Calc!$G$3:$G$22&gt;A1819)*(Calc!$G$3:$G$22&lt;B1819))</f>
        <v/>
      </c>
      <c r="E1819">
        <f>SUMPRODUCT(Calc!$K$3:$K$22*(Calc!$G$3:$G$22&gt;=B1819))</f>
        <v/>
      </c>
      <c r="F1819">
        <f>AND(k_n&gt;=5,B1819&gt;A1819+1E-9,C1819&gt;=2,D1819&gt;=1,E1819&gt;=2)</f>
        <v/>
      </c>
      <c r="G1819">
        <f>SUMPRODUCT(Calc!$K$3:$K$22*(Calc!$G$3:$G$22&gt;A1819)*(Calc!$G$3:$G$22-A1819))</f>
        <v/>
      </c>
      <c r="H1819">
        <f>SUMPRODUCT(Calc!$K$3:$K$22*(Calc!$G$3:$G$22&gt;B1819)*(Calc!$G$3:$G$22-B1819))</f>
        <v/>
      </c>
      <c r="I1819">
        <f>SUMPRODUCT(Calc!$K$3:$K$22*(Calc!$G$3:$G$22&gt;A1819)*(Calc!$G$3:$G$22-A1819)^2)</f>
        <v/>
      </c>
      <c r="J1819">
        <f>SUMPRODUCT(Calc!$K$3:$K$22*(Calc!$G$3:$G$22&gt;B1819)*(Calc!$G$3:$G$22-B1819)^2)</f>
        <v/>
      </c>
      <c r="K1819">
        <f>SUMPRODUCT(Calc!$K$3:$K$22*(Calc!$G$3:$G$22&gt;A1819)*(Calc!$G$3:$G$22-A1819)*(Calc!$G$3:$G$22&gt;B1819)*(Calc!$G$3:$G$22-B1819))</f>
        <v/>
      </c>
      <c r="L1819">
        <f>SUMPRODUCT(Calc!$K$3:$K$22*(Calc!$G$3:$G$22&gt;A1819)*(Calc!$G$3:$G$22-A1819)*Calc!$G$3:$G$22)</f>
        <v/>
      </c>
      <c r="M1819">
        <f>SUMPRODUCT(Calc!$K$3:$K$22*(Calc!$G$3:$G$22&gt;B1819)*(Calc!$G$3:$G$22-B1819)*Calc!$G$3:$G$22)</f>
        <v/>
      </c>
      <c r="N1819">
        <f>SUMPRODUCT(Calc!$K$3:$K$22*(Calc!$G$3:$G$22&gt;A1819)*(Calc!$G$3:$G$22-A1819)*Calc!$I$3:$I$22)</f>
        <v/>
      </c>
      <c r="O1819">
        <f>SUMPRODUCT(Calc!$K$3:$K$22*(Calc!$G$3:$G$22&gt;B1819)*(Calc!$G$3:$G$22-B1819)*Calc!$I$3:$I$22)</f>
        <v/>
      </c>
      <c r="P1819">
        <f>I1819-G1819^2/k_n</f>
        <v/>
      </c>
      <c r="Q1819">
        <f>J1819-H1819^2/k_n</f>
        <v/>
      </c>
      <c r="R1819">
        <f>K1819-G1819*H1819/k_n</f>
        <v/>
      </c>
      <c r="S1819">
        <f>L1819-LTP3!$D$3*G1819/k_n</f>
        <v/>
      </c>
      <c r="T1819">
        <f>M1819-LTP3!$D$3*H1819/k_n</f>
        <v/>
      </c>
      <c r="U1819">
        <f>N1819-G1819*LTP3!$D$4/k_n</f>
        <v/>
      </c>
      <c r="V1819">
        <f>O1819-H1819*LTP3!$D$4/k_n</f>
        <v/>
      </c>
      <c r="W1819">
        <f>((LTP3!$D$5)*((P1819)*(Q1819)-(R1819)*(R1819))-(S1819)*((S1819)*(Q1819)-(R1819)*(T1819))+(T1819)*((S1819)*(R1819)-(P1819)*(T1819)))</f>
        <v/>
      </c>
      <c r="X1819">
        <f>IF(ABS(W1819)&gt;1E-12,((LTP3!$D$6)*((P1819)*(Q1819)-(R1819)*(R1819))-(S1819)*((U1819)*(Q1819)-(R1819)*(V1819))+(T1819)*((U1819)*(R1819)-(P1819)*(V1819)))/W1819,0)</f>
        <v/>
      </c>
      <c r="Y1819">
        <f>IF(ABS(W1819)&gt;1E-12,((LTP3!$D$5)*((U1819)*(Q1819)-(R1819)*(V1819))-(LTP3!$D$6)*((S1819)*(Q1819)-(R1819)*(T1819))+(T1819)*((S1819)*(V1819)-(U1819)*(T1819)))/W1819,0)</f>
        <v/>
      </c>
      <c r="Z1819">
        <f>IF(ABS(W1819)&gt;1E-12,((LTP3!$D$5)*((P1819)*(V1819)-(U1819)*(R1819))-(S1819)*((S1819)*(V1819)-(U1819)*(T1819))+(LTP3!$D$6)*((S1819)*(R1819)-(P1819)*(T1819)))/W1819,0)</f>
        <v/>
      </c>
      <c r="AA1819">
        <f>LTP3!$D$7-X1819*LTP3!$D$6-Y1819*U1819-Z1819*V1819</f>
        <v/>
      </c>
      <c r="AB1819">
        <f>IF(AND(F1819,ABS(W1819)&gt;1E-12,Y1819&gt;0,Z1819&gt;0),AA1819,1E+300)</f>
        <v/>
      </c>
    </row>
    <row r="1820">
      <c r="A1820">
        <f>$B$3+$B$5*29</f>
        <v/>
      </c>
      <c r="B1820">
        <f>$B$3+$B$5*39</f>
        <v/>
      </c>
      <c r="C1820">
        <f>SUMPRODUCT(Calc!$K$3:$K$22*(Calc!$G$3:$G$22&lt;=A1820))</f>
        <v/>
      </c>
      <c r="D1820">
        <f>SUMPRODUCT(Calc!$K$3:$K$22*(Calc!$G$3:$G$22&gt;A1820)*(Calc!$G$3:$G$22&lt;B1820))</f>
        <v/>
      </c>
      <c r="E1820">
        <f>SUMPRODUCT(Calc!$K$3:$K$22*(Calc!$G$3:$G$22&gt;=B1820))</f>
        <v/>
      </c>
      <c r="F1820">
        <f>AND(k_n&gt;=5,B1820&gt;A1820+1E-9,C1820&gt;=2,D1820&gt;=1,E1820&gt;=2)</f>
        <v/>
      </c>
      <c r="G1820">
        <f>SUMPRODUCT(Calc!$K$3:$K$22*(Calc!$G$3:$G$22&gt;A1820)*(Calc!$G$3:$G$22-A1820))</f>
        <v/>
      </c>
      <c r="H1820">
        <f>SUMPRODUCT(Calc!$K$3:$K$22*(Calc!$G$3:$G$22&gt;B1820)*(Calc!$G$3:$G$22-B1820))</f>
        <v/>
      </c>
      <c r="I1820">
        <f>SUMPRODUCT(Calc!$K$3:$K$22*(Calc!$G$3:$G$22&gt;A1820)*(Calc!$G$3:$G$22-A1820)^2)</f>
        <v/>
      </c>
      <c r="J1820">
        <f>SUMPRODUCT(Calc!$K$3:$K$22*(Calc!$G$3:$G$22&gt;B1820)*(Calc!$G$3:$G$22-B1820)^2)</f>
        <v/>
      </c>
      <c r="K1820">
        <f>SUMPRODUCT(Calc!$K$3:$K$22*(Calc!$G$3:$G$22&gt;A1820)*(Calc!$G$3:$G$22-A1820)*(Calc!$G$3:$G$22&gt;B1820)*(Calc!$G$3:$G$22-B1820))</f>
        <v/>
      </c>
      <c r="L1820">
        <f>SUMPRODUCT(Calc!$K$3:$K$22*(Calc!$G$3:$G$22&gt;A1820)*(Calc!$G$3:$G$22-A1820)*Calc!$G$3:$G$22)</f>
        <v/>
      </c>
      <c r="M1820">
        <f>SUMPRODUCT(Calc!$K$3:$K$22*(Calc!$G$3:$G$22&gt;B1820)*(Calc!$G$3:$G$22-B1820)*Calc!$G$3:$G$22)</f>
        <v/>
      </c>
      <c r="N1820">
        <f>SUMPRODUCT(Calc!$K$3:$K$22*(Calc!$G$3:$G$22&gt;A1820)*(Calc!$G$3:$G$22-A1820)*Calc!$I$3:$I$22)</f>
        <v/>
      </c>
      <c r="O1820">
        <f>SUMPRODUCT(Calc!$K$3:$K$22*(Calc!$G$3:$G$22&gt;B1820)*(Calc!$G$3:$G$22-B1820)*Calc!$I$3:$I$22)</f>
        <v/>
      </c>
      <c r="P1820">
        <f>I1820-G1820^2/k_n</f>
        <v/>
      </c>
      <c r="Q1820">
        <f>J1820-H1820^2/k_n</f>
        <v/>
      </c>
      <c r="R1820">
        <f>K1820-G1820*H1820/k_n</f>
        <v/>
      </c>
      <c r="S1820">
        <f>L1820-LTP3!$D$3*G1820/k_n</f>
        <v/>
      </c>
      <c r="T1820">
        <f>M1820-LTP3!$D$3*H1820/k_n</f>
        <v/>
      </c>
      <c r="U1820">
        <f>N1820-G1820*LTP3!$D$4/k_n</f>
        <v/>
      </c>
      <c r="V1820">
        <f>O1820-H1820*LTP3!$D$4/k_n</f>
        <v/>
      </c>
      <c r="W1820">
        <f>((LTP3!$D$5)*((P1820)*(Q1820)-(R1820)*(R1820))-(S1820)*((S1820)*(Q1820)-(R1820)*(T1820))+(T1820)*((S1820)*(R1820)-(P1820)*(T1820)))</f>
        <v/>
      </c>
      <c r="X1820">
        <f>IF(ABS(W1820)&gt;1E-12,((LTP3!$D$6)*((P1820)*(Q1820)-(R1820)*(R1820))-(S1820)*((U1820)*(Q1820)-(R1820)*(V1820))+(T1820)*((U1820)*(R1820)-(P1820)*(V1820)))/W1820,0)</f>
        <v/>
      </c>
      <c r="Y1820">
        <f>IF(ABS(W1820)&gt;1E-12,((LTP3!$D$5)*((U1820)*(Q1820)-(R1820)*(V1820))-(LTP3!$D$6)*((S1820)*(Q1820)-(R1820)*(T1820))+(T1820)*((S1820)*(V1820)-(U1820)*(T1820)))/W1820,0)</f>
        <v/>
      </c>
      <c r="Z1820">
        <f>IF(ABS(W1820)&gt;1E-12,((LTP3!$D$5)*((P1820)*(V1820)-(U1820)*(R1820))-(S1820)*((S1820)*(V1820)-(U1820)*(T1820))+(LTP3!$D$6)*((S1820)*(R1820)-(P1820)*(T1820)))/W1820,0)</f>
        <v/>
      </c>
      <c r="AA1820">
        <f>LTP3!$D$7-X1820*LTP3!$D$6-Y1820*U1820-Z1820*V1820</f>
        <v/>
      </c>
      <c r="AB1820">
        <f>IF(AND(F1820,ABS(W1820)&gt;1E-12,Y1820&gt;0,Z1820&gt;0),AA1820,1E+300)</f>
        <v/>
      </c>
    </row>
    <row r="1821">
      <c r="A1821">
        <f>$B$3+$B$5*29</f>
        <v/>
      </c>
      <c r="B1821">
        <f>$B$3+$B$5*40</f>
        <v/>
      </c>
      <c r="C1821">
        <f>SUMPRODUCT(Calc!$K$3:$K$22*(Calc!$G$3:$G$22&lt;=A1821))</f>
        <v/>
      </c>
      <c r="D1821">
        <f>SUMPRODUCT(Calc!$K$3:$K$22*(Calc!$G$3:$G$22&gt;A1821)*(Calc!$G$3:$G$22&lt;B1821))</f>
        <v/>
      </c>
      <c r="E1821">
        <f>SUMPRODUCT(Calc!$K$3:$K$22*(Calc!$G$3:$G$22&gt;=B1821))</f>
        <v/>
      </c>
      <c r="F1821">
        <f>AND(k_n&gt;=5,B1821&gt;A1821+1E-9,C1821&gt;=2,D1821&gt;=1,E1821&gt;=2)</f>
        <v/>
      </c>
      <c r="G1821">
        <f>SUMPRODUCT(Calc!$K$3:$K$22*(Calc!$G$3:$G$22&gt;A1821)*(Calc!$G$3:$G$22-A1821))</f>
        <v/>
      </c>
      <c r="H1821">
        <f>SUMPRODUCT(Calc!$K$3:$K$22*(Calc!$G$3:$G$22&gt;B1821)*(Calc!$G$3:$G$22-B1821))</f>
        <v/>
      </c>
      <c r="I1821">
        <f>SUMPRODUCT(Calc!$K$3:$K$22*(Calc!$G$3:$G$22&gt;A1821)*(Calc!$G$3:$G$22-A1821)^2)</f>
        <v/>
      </c>
      <c r="J1821">
        <f>SUMPRODUCT(Calc!$K$3:$K$22*(Calc!$G$3:$G$22&gt;B1821)*(Calc!$G$3:$G$22-B1821)^2)</f>
        <v/>
      </c>
      <c r="K1821">
        <f>SUMPRODUCT(Calc!$K$3:$K$22*(Calc!$G$3:$G$22&gt;A1821)*(Calc!$G$3:$G$22-A1821)*(Calc!$G$3:$G$22&gt;B1821)*(Calc!$G$3:$G$22-B1821))</f>
        <v/>
      </c>
      <c r="L1821">
        <f>SUMPRODUCT(Calc!$K$3:$K$22*(Calc!$G$3:$G$22&gt;A1821)*(Calc!$G$3:$G$22-A1821)*Calc!$G$3:$G$22)</f>
        <v/>
      </c>
      <c r="M1821">
        <f>SUMPRODUCT(Calc!$K$3:$K$22*(Calc!$G$3:$G$22&gt;B1821)*(Calc!$G$3:$G$22-B1821)*Calc!$G$3:$G$22)</f>
        <v/>
      </c>
      <c r="N1821">
        <f>SUMPRODUCT(Calc!$K$3:$K$22*(Calc!$G$3:$G$22&gt;A1821)*(Calc!$G$3:$G$22-A1821)*Calc!$I$3:$I$22)</f>
        <v/>
      </c>
      <c r="O1821">
        <f>SUMPRODUCT(Calc!$K$3:$K$22*(Calc!$G$3:$G$22&gt;B1821)*(Calc!$G$3:$G$22-B1821)*Calc!$I$3:$I$22)</f>
        <v/>
      </c>
      <c r="P1821">
        <f>I1821-G1821^2/k_n</f>
        <v/>
      </c>
      <c r="Q1821">
        <f>J1821-H1821^2/k_n</f>
        <v/>
      </c>
      <c r="R1821">
        <f>K1821-G1821*H1821/k_n</f>
        <v/>
      </c>
      <c r="S1821">
        <f>L1821-LTP3!$D$3*G1821/k_n</f>
        <v/>
      </c>
      <c r="T1821">
        <f>M1821-LTP3!$D$3*H1821/k_n</f>
        <v/>
      </c>
      <c r="U1821">
        <f>N1821-G1821*LTP3!$D$4/k_n</f>
        <v/>
      </c>
      <c r="V1821">
        <f>O1821-H1821*LTP3!$D$4/k_n</f>
        <v/>
      </c>
      <c r="W1821">
        <f>((LTP3!$D$5)*((P1821)*(Q1821)-(R1821)*(R1821))-(S1821)*((S1821)*(Q1821)-(R1821)*(T1821))+(T1821)*((S1821)*(R1821)-(P1821)*(T1821)))</f>
        <v/>
      </c>
      <c r="X1821">
        <f>IF(ABS(W1821)&gt;1E-12,((LTP3!$D$6)*((P1821)*(Q1821)-(R1821)*(R1821))-(S1821)*((U1821)*(Q1821)-(R1821)*(V1821))+(T1821)*((U1821)*(R1821)-(P1821)*(V1821)))/W1821,0)</f>
        <v/>
      </c>
      <c r="Y1821">
        <f>IF(ABS(W1821)&gt;1E-12,((LTP3!$D$5)*((U1821)*(Q1821)-(R1821)*(V1821))-(LTP3!$D$6)*((S1821)*(Q1821)-(R1821)*(T1821))+(T1821)*((S1821)*(V1821)-(U1821)*(T1821)))/W1821,0)</f>
        <v/>
      </c>
      <c r="Z1821">
        <f>IF(ABS(W1821)&gt;1E-12,((LTP3!$D$5)*((P1821)*(V1821)-(U1821)*(R1821))-(S1821)*((S1821)*(V1821)-(U1821)*(T1821))+(LTP3!$D$6)*((S1821)*(R1821)-(P1821)*(T1821)))/W1821,0)</f>
        <v/>
      </c>
      <c r="AA1821">
        <f>LTP3!$D$7-X1821*LTP3!$D$6-Y1821*U1821-Z1821*V1821</f>
        <v/>
      </c>
      <c r="AB1821">
        <f>IF(AND(F1821,ABS(W1821)&gt;1E-12,Y1821&gt;0,Z1821&gt;0),AA1821,1E+300)</f>
        <v/>
      </c>
    </row>
    <row r="1822">
      <c r="A1822">
        <f>$B$3+$B$5*29</f>
        <v/>
      </c>
      <c r="B1822">
        <f>$B$3+$B$5*41</f>
        <v/>
      </c>
      <c r="C1822">
        <f>SUMPRODUCT(Calc!$K$3:$K$22*(Calc!$G$3:$G$22&lt;=A1822))</f>
        <v/>
      </c>
      <c r="D1822">
        <f>SUMPRODUCT(Calc!$K$3:$K$22*(Calc!$G$3:$G$22&gt;A1822)*(Calc!$G$3:$G$22&lt;B1822))</f>
        <v/>
      </c>
      <c r="E1822">
        <f>SUMPRODUCT(Calc!$K$3:$K$22*(Calc!$G$3:$G$22&gt;=B1822))</f>
        <v/>
      </c>
      <c r="F1822">
        <f>AND(k_n&gt;=5,B1822&gt;A1822+1E-9,C1822&gt;=2,D1822&gt;=1,E1822&gt;=2)</f>
        <v/>
      </c>
      <c r="G1822">
        <f>SUMPRODUCT(Calc!$K$3:$K$22*(Calc!$G$3:$G$22&gt;A1822)*(Calc!$G$3:$G$22-A1822))</f>
        <v/>
      </c>
      <c r="H1822">
        <f>SUMPRODUCT(Calc!$K$3:$K$22*(Calc!$G$3:$G$22&gt;B1822)*(Calc!$G$3:$G$22-B1822))</f>
        <v/>
      </c>
      <c r="I1822">
        <f>SUMPRODUCT(Calc!$K$3:$K$22*(Calc!$G$3:$G$22&gt;A1822)*(Calc!$G$3:$G$22-A1822)^2)</f>
        <v/>
      </c>
      <c r="J1822">
        <f>SUMPRODUCT(Calc!$K$3:$K$22*(Calc!$G$3:$G$22&gt;B1822)*(Calc!$G$3:$G$22-B1822)^2)</f>
        <v/>
      </c>
      <c r="K1822">
        <f>SUMPRODUCT(Calc!$K$3:$K$22*(Calc!$G$3:$G$22&gt;A1822)*(Calc!$G$3:$G$22-A1822)*(Calc!$G$3:$G$22&gt;B1822)*(Calc!$G$3:$G$22-B1822))</f>
        <v/>
      </c>
      <c r="L1822">
        <f>SUMPRODUCT(Calc!$K$3:$K$22*(Calc!$G$3:$G$22&gt;A1822)*(Calc!$G$3:$G$22-A1822)*Calc!$G$3:$G$22)</f>
        <v/>
      </c>
      <c r="M1822">
        <f>SUMPRODUCT(Calc!$K$3:$K$22*(Calc!$G$3:$G$22&gt;B1822)*(Calc!$G$3:$G$22-B1822)*Calc!$G$3:$G$22)</f>
        <v/>
      </c>
      <c r="N1822">
        <f>SUMPRODUCT(Calc!$K$3:$K$22*(Calc!$G$3:$G$22&gt;A1822)*(Calc!$G$3:$G$22-A1822)*Calc!$I$3:$I$22)</f>
        <v/>
      </c>
      <c r="O1822">
        <f>SUMPRODUCT(Calc!$K$3:$K$22*(Calc!$G$3:$G$22&gt;B1822)*(Calc!$G$3:$G$22-B1822)*Calc!$I$3:$I$22)</f>
        <v/>
      </c>
      <c r="P1822">
        <f>I1822-G1822^2/k_n</f>
        <v/>
      </c>
      <c r="Q1822">
        <f>J1822-H1822^2/k_n</f>
        <v/>
      </c>
      <c r="R1822">
        <f>K1822-G1822*H1822/k_n</f>
        <v/>
      </c>
      <c r="S1822">
        <f>L1822-LTP3!$D$3*G1822/k_n</f>
        <v/>
      </c>
      <c r="T1822">
        <f>M1822-LTP3!$D$3*H1822/k_n</f>
        <v/>
      </c>
      <c r="U1822">
        <f>N1822-G1822*LTP3!$D$4/k_n</f>
        <v/>
      </c>
      <c r="V1822">
        <f>O1822-H1822*LTP3!$D$4/k_n</f>
        <v/>
      </c>
      <c r="W1822">
        <f>((LTP3!$D$5)*((P1822)*(Q1822)-(R1822)*(R1822))-(S1822)*((S1822)*(Q1822)-(R1822)*(T1822))+(T1822)*((S1822)*(R1822)-(P1822)*(T1822)))</f>
        <v/>
      </c>
      <c r="X1822">
        <f>IF(ABS(W1822)&gt;1E-12,((LTP3!$D$6)*((P1822)*(Q1822)-(R1822)*(R1822))-(S1822)*((U1822)*(Q1822)-(R1822)*(V1822))+(T1822)*((U1822)*(R1822)-(P1822)*(V1822)))/W1822,0)</f>
        <v/>
      </c>
      <c r="Y1822">
        <f>IF(ABS(W1822)&gt;1E-12,((LTP3!$D$5)*((U1822)*(Q1822)-(R1822)*(V1822))-(LTP3!$D$6)*((S1822)*(Q1822)-(R1822)*(T1822))+(T1822)*((S1822)*(V1822)-(U1822)*(T1822)))/W1822,0)</f>
        <v/>
      </c>
      <c r="Z1822">
        <f>IF(ABS(W1822)&gt;1E-12,((LTP3!$D$5)*((P1822)*(V1822)-(U1822)*(R1822))-(S1822)*((S1822)*(V1822)-(U1822)*(T1822))+(LTP3!$D$6)*((S1822)*(R1822)-(P1822)*(T1822)))/W1822,0)</f>
        <v/>
      </c>
      <c r="AA1822">
        <f>LTP3!$D$7-X1822*LTP3!$D$6-Y1822*U1822-Z1822*V1822</f>
        <v/>
      </c>
      <c r="AB1822">
        <f>IF(AND(F1822,ABS(W1822)&gt;1E-12,Y1822&gt;0,Z1822&gt;0),AA1822,1E+300)</f>
        <v/>
      </c>
    </row>
    <row r="1823">
      <c r="A1823">
        <f>$B$3+$B$5*29</f>
        <v/>
      </c>
      <c r="B1823">
        <f>$B$3+$B$5*42</f>
        <v/>
      </c>
      <c r="C1823">
        <f>SUMPRODUCT(Calc!$K$3:$K$22*(Calc!$G$3:$G$22&lt;=A1823))</f>
        <v/>
      </c>
      <c r="D1823">
        <f>SUMPRODUCT(Calc!$K$3:$K$22*(Calc!$G$3:$G$22&gt;A1823)*(Calc!$G$3:$G$22&lt;B1823))</f>
        <v/>
      </c>
      <c r="E1823">
        <f>SUMPRODUCT(Calc!$K$3:$K$22*(Calc!$G$3:$G$22&gt;=B1823))</f>
        <v/>
      </c>
      <c r="F1823">
        <f>AND(k_n&gt;=5,B1823&gt;A1823+1E-9,C1823&gt;=2,D1823&gt;=1,E1823&gt;=2)</f>
        <v/>
      </c>
      <c r="G1823">
        <f>SUMPRODUCT(Calc!$K$3:$K$22*(Calc!$G$3:$G$22&gt;A1823)*(Calc!$G$3:$G$22-A1823))</f>
        <v/>
      </c>
      <c r="H1823">
        <f>SUMPRODUCT(Calc!$K$3:$K$22*(Calc!$G$3:$G$22&gt;B1823)*(Calc!$G$3:$G$22-B1823))</f>
        <v/>
      </c>
      <c r="I1823">
        <f>SUMPRODUCT(Calc!$K$3:$K$22*(Calc!$G$3:$G$22&gt;A1823)*(Calc!$G$3:$G$22-A1823)^2)</f>
        <v/>
      </c>
      <c r="J1823">
        <f>SUMPRODUCT(Calc!$K$3:$K$22*(Calc!$G$3:$G$22&gt;B1823)*(Calc!$G$3:$G$22-B1823)^2)</f>
        <v/>
      </c>
      <c r="K1823">
        <f>SUMPRODUCT(Calc!$K$3:$K$22*(Calc!$G$3:$G$22&gt;A1823)*(Calc!$G$3:$G$22-A1823)*(Calc!$G$3:$G$22&gt;B1823)*(Calc!$G$3:$G$22-B1823))</f>
        <v/>
      </c>
      <c r="L1823">
        <f>SUMPRODUCT(Calc!$K$3:$K$22*(Calc!$G$3:$G$22&gt;A1823)*(Calc!$G$3:$G$22-A1823)*Calc!$G$3:$G$22)</f>
        <v/>
      </c>
      <c r="M1823">
        <f>SUMPRODUCT(Calc!$K$3:$K$22*(Calc!$G$3:$G$22&gt;B1823)*(Calc!$G$3:$G$22-B1823)*Calc!$G$3:$G$22)</f>
        <v/>
      </c>
      <c r="N1823">
        <f>SUMPRODUCT(Calc!$K$3:$K$22*(Calc!$G$3:$G$22&gt;A1823)*(Calc!$G$3:$G$22-A1823)*Calc!$I$3:$I$22)</f>
        <v/>
      </c>
      <c r="O1823">
        <f>SUMPRODUCT(Calc!$K$3:$K$22*(Calc!$G$3:$G$22&gt;B1823)*(Calc!$G$3:$G$22-B1823)*Calc!$I$3:$I$22)</f>
        <v/>
      </c>
      <c r="P1823">
        <f>I1823-G1823^2/k_n</f>
        <v/>
      </c>
      <c r="Q1823">
        <f>J1823-H1823^2/k_n</f>
        <v/>
      </c>
      <c r="R1823">
        <f>K1823-G1823*H1823/k_n</f>
        <v/>
      </c>
      <c r="S1823">
        <f>L1823-LTP3!$D$3*G1823/k_n</f>
        <v/>
      </c>
      <c r="T1823">
        <f>M1823-LTP3!$D$3*H1823/k_n</f>
        <v/>
      </c>
      <c r="U1823">
        <f>N1823-G1823*LTP3!$D$4/k_n</f>
        <v/>
      </c>
      <c r="V1823">
        <f>O1823-H1823*LTP3!$D$4/k_n</f>
        <v/>
      </c>
      <c r="W1823">
        <f>((LTP3!$D$5)*((P1823)*(Q1823)-(R1823)*(R1823))-(S1823)*((S1823)*(Q1823)-(R1823)*(T1823))+(T1823)*((S1823)*(R1823)-(P1823)*(T1823)))</f>
        <v/>
      </c>
      <c r="X1823">
        <f>IF(ABS(W1823)&gt;1E-12,((LTP3!$D$6)*((P1823)*(Q1823)-(R1823)*(R1823))-(S1823)*((U1823)*(Q1823)-(R1823)*(V1823))+(T1823)*((U1823)*(R1823)-(P1823)*(V1823)))/W1823,0)</f>
        <v/>
      </c>
      <c r="Y1823">
        <f>IF(ABS(W1823)&gt;1E-12,((LTP3!$D$5)*((U1823)*(Q1823)-(R1823)*(V1823))-(LTP3!$D$6)*((S1823)*(Q1823)-(R1823)*(T1823))+(T1823)*((S1823)*(V1823)-(U1823)*(T1823)))/W1823,0)</f>
        <v/>
      </c>
      <c r="Z1823">
        <f>IF(ABS(W1823)&gt;1E-12,((LTP3!$D$5)*((P1823)*(V1823)-(U1823)*(R1823))-(S1823)*((S1823)*(V1823)-(U1823)*(T1823))+(LTP3!$D$6)*((S1823)*(R1823)-(P1823)*(T1823)))/W1823,0)</f>
        <v/>
      </c>
      <c r="AA1823">
        <f>LTP3!$D$7-X1823*LTP3!$D$6-Y1823*U1823-Z1823*V1823</f>
        <v/>
      </c>
      <c r="AB1823">
        <f>IF(AND(F1823,ABS(W1823)&gt;1E-12,Y1823&gt;0,Z1823&gt;0),AA1823,1E+300)</f>
        <v/>
      </c>
    </row>
    <row r="1824">
      <c r="A1824">
        <f>$B$3+$B$5*29</f>
        <v/>
      </c>
      <c r="B1824">
        <f>$B$3+$B$5*43</f>
        <v/>
      </c>
      <c r="C1824">
        <f>SUMPRODUCT(Calc!$K$3:$K$22*(Calc!$G$3:$G$22&lt;=A1824))</f>
        <v/>
      </c>
      <c r="D1824">
        <f>SUMPRODUCT(Calc!$K$3:$K$22*(Calc!$G$3:$G$22&gt;A1824)*(Calc!$G$3:$G$22&lt;B1824))</f>
        <v/>
      </c>
      <c r="E1824">
        <f>SUMPRODUCT(Calc!$K$3:$K$22*(Calc!$G$3:$G$22&gt;=B1824))</f>
        <v/>
      </c>
      <c r="F1824">
        <f>AND(k_n&gt;=5,B1824&gt;A1824+1E-9,C1824&gt;=2,D1824&gt;=1,E1824&gt;=2)</f>
        <v/>
      </c>
      <c r="G1824">
        <f>SUMPRODUCT(Calc!$K$3:$K$22*(Calc!$G$3:$G$22&gt;A1824)*(Calc!$G$3:$G$22-A1824))</f>
        <v/>
      </c>
      <c r="H1824">
        <f>SUMPRODUCT(Calc!$K$3:$K$22*(Calc!$G$3:$G$22&gt;B1824)*(Calc!$G$3:$G$22-B1824))</f>
        <v/>
      </c>
      <c r="I1824">
        <f>SUMPRODUCT(Calc!$K$3:$K$22*(Calc!$G$3:$G$22&gt;A1824)*(Calc!$G$3:$G$22-A1824)^2)</f>
        <v/>
      </c>
      <c r="J1824">
        <f>SUMPRODUCT(Calc!$K$3:$K$22*(Calc!$G$3:$G$22&gt;B1824)*(Calc!$G$3:$G$22-B1824)^2)</f>
        <v/>
      </c>
      <c r="K1824">
        <f>SUMPRODUCT(Calc!$K$3:$K$22*(Calc!$G$3:$G$22&gt;A1824)*(Calc!$G$3:$G$22-A1824)*(Calc!$G$3:$G$22&gt;B1824)*(Calc!$G$3:$G$22-B1824))</f>
        <v/>
      </c>
      <c r="L1824">
        <f>SUMPRODUCT(Calc!$K$3:$K$22*(Calc!$G$3:$G$22&gt;A1824)*(Calc!$G$3:$G$22-A1824)*Calc!$G$3:$G$22)</f>
        <v/>
      </c>
      <c r="M1824">
        <f>SUMPRODUCT(Calc!$K$3:$K$22*(Calc!$G$3:$G$22&gt;B1824)*(Calc!$G$3:$G$22-B1824)*Calc!$G$3:$G$22)</f>
        <v/>
      </c>
      <c r="N1824">
        <f>SUMPRODUCT(Calc!$K$3:$K$22*(Calc!$G$3:$G$22&gt;A1824)*(Calc!$G$3:$G$22-A1824)*Calc!$I$3:$I$22)</f>
        <v/>
      </c>
      <c r="O1824">
        <f>SUMPRODUCT(Calc!$K$3:$K$22*(Calc!$G$3:$G$22&gt;B1824)*(Calc!$G$3:$G$22-B1824)*Calc!$I$3:$I$22)</f>
        <v/>
      </c>
      <c r="P1824">
        <f>I1824-G1824^2/k_n</f>
        <v/>
      </c>
      <c r="Q1824">
        <f>J1824-H1824^2/k_n</f>
        <v/>
      </c>
      <c r="R1824">
        <f>K1824-G1824*H1824/k_n</f>
        <v/>
      </c>
      <c r="S1824">
        <f>L1824-LTP3!$D$3*G1824/k_n</f>
        <v/>
      </c>
      <c r="T1824">
        <f>M1824-LTP3!$D$3*H1824/k_n</f>
        <v/>
      </c>
      <c r="U1824">
        <f>N1824-G1824*LTP3!$D$4/k_n</f>
        <v/>
      </c>
      <c r="V1824">
        <f>O1824-H1824*LTP3!$D$4/k_n</f>
        <v/>
      </c>
      <c r="W1824">
        <f>((LTP3!$D$5)*((P1824)*(Q1824)-(R1824)*(R1824))-(S1824)*((S1824)*(Q1824)-(R1824)*(T1824))+(T1824)*((S1824)*(R1824)-(P1824)*(T1824)))</f>
        <v/>
      </c>
      <c r="X1824">
        <f>IF(ABS(W1824)&gt;1E-12,((LTP3!$D$6)*((P1824)*(Q1824)-(R1824)*(R1824))-(S1824)*((U1824)*(Q1824)-(R1824)*(V1824))+(T1824)*((U1824)*(R1824)-(P1824)*(V1824)))/W1824,0)</f>
        <v/>
      </c>
      <c r="Y1824">
        <f>IF(ABS(W1824)&gt;1E-12,((LTP3!$D$5)*((U1824)*(Q1824)-(R1824)*(V1824))-(LTP3!$D$6)*((S1824)*(Q1824)-(R1824)*(T1824))+(T1824)*((S1824)*(V1824)-(U1824)*(T1824)))/W1824,0)</f>
        <v/>
      </c>
      <c r="Z1824">
        <f>IF(ABS(W1824)&gt;1E-12,((LTP3!$D$5)*((P1824)*(V1824)-(U1824)*(R1824))-(S1824)*((S1824)*(V1824)-(U1824)*(T1824))+(LTP3!$D$6)*((S1824)*(R1824)-(P1824)*(T1824)))/W1824,0)</f>
        <v/>
      </c>
      <c r="AA1824">
        <f>LTP3!$D$7-X1824*LTP3!$D$6-Y1824*U1824-Z1824*V1824</f>
        <v/>
      </c>
      <c r="AB1824">
        <f>IF(AND(F1824,ABS(W1824)&gt;1E-12,Y1824&gt;0,Z1824&gt;0),AA1824,1E+300)</f>
        <v/>
      </c>
    </row>
    <row r="1825">
      <c r="A1825">
        <f>$B$3+$B$5*29</f>
        <v/>
      </c>
      <c r="B1825">
        <f>$B$3+$B$5*44</f>
        <v/>
      </c>
      <c r="C1825">
        <f>SUMPRODUCT(Calc!$K$3:$K$22*(Calc!$G$3:$G$22&lt;=A1825))</f>
        <v/>
      </c>
      <c r="D1825">
        <f>SUMPRODUCT(Calc!$K$3:$K$22*(Calc!$G$3:$G$22&gt;A1825)*(Calc!$G$3:$G$22&lt;B1825))</f>
        <v/>
      </c>
      <c r="E1825">
        <f>SUMPRODUCT(Calc!$K$3:$K$22*(Calc!$G$3:$G$22&gt;=B1825))</f>
        <v/>
      </c>
      <c r="F1825">
        <f>AND(k_n&gt;=5,B1825&gt;A1825+1E-9,C1825&gt;=2,D1825&gt;=1,E1825&gt;=2)</f>
        <v/>
      </c>
      <c r="G1825">
        <f>SUMPRODUCT(Calc!$K$3:$K$22*(Calc!$G$3:$G$22&gt;A1825)*(Calc!$G$3:$G$22-A1825))</f>
        <v/>
      </c>
      <c r="H1825">
        <f>SUMPRODUCT(Calc!$K$3:$K$22*(Calc!$G$3:$G$22&gt;B1825)*(Calc!$G$3:$G$22-B1825))</f>
        <v/>
      </c>
      <c r="I1825">
        <f>SUMPRODUCT(Calc!$K$3:$K$22*(Calc!$G$3:$G$22&gt;A1825)*(Calc!$G$3:$G$22-A1825)^2)</f>
        <v/>
      </c>
      <c r="J1825">
        <f>SUMPRODUCT(Calc!$K$3:$K$22*(Calc!$G$3:$G$22&gt;B1825)*(Calc!$G$3:$G$22-B1825)^2)</f>
        <v/>
      </c>
      <c r="K1825">
        <f>SUMPRODUCT(Calc!$K$3:$K$22*(Calc!$G$3:$G$22&gt;A1825)*(Calc!$G$3:$G$22-A1825)*(Calc!$G$3:$G$22&gt;B1825)*(Calc!$G$3:$G$22-B1825))</f>
        <v/>
      </c>
      <c r="L1825">
        <f>SUMPRODUCT(Calc!$K$3:$K$22*(Calc!$G$3:$G$22&gt;A1825)*(Calc!$G$3:$G$22-A1825)*Calc!$G$3:$G$22)</f>
        <v/>
      </c>
      <c r="M1825">
        <f>SUMPRODUCT(Calc!$K$3:$K$22*(Calc!$G$3:$G$22&gt;B1825)*(Calc!$G$3:$G$22-B1825)*Calc!$G$3:$G$22)</f>
        <v/>
      </c>
      <c r="N1825">
        <f>SUMPRODUCT(Calc!$K$3:$K$22*(Calc!$G$3:$G$22&gt;A1825)*(Calc!$G$3:$G$22-A1825)*Calc!$I$3:$I$22)</f>
        <v/>
      </c>
      <c r="O1825">
        <f>SUMPRODUCT(Calc!$K$3:$K$22*(Calc!$G$3:$G$22&gt;B1825)*(Calc!$G$3:$G$22-B1825)*Calc!$I$3:$I$22)</f>
        <v/>
      </c>
      <c r="P1825">
        <f>I1825-G1825^2/k_n</f>
        <v/>
      </c>
      <c r="Q1825">
        <f>J1825-H1825^2/k_n</f>
        <v/>
      </c>
      <c r="R1825">
        <f>K1825-G1825*H1825/k_n</f>
        <v/>
      </c>
      <c r="S1825">
        <f>L1825-LTP3!$D$3*G1825/k_n</f>
        <v/>
      </c>
      <c r="T1825">
        <f>M1825-LTP3!$D$3*H1825/k_n</f>
        <v/>
      </c>
      <c r="U1825">
        <f>N1825-G1825*LTP3!$D$4/k_n</f>
        <v/>
      </c>
      <c r="V1825">
        <f>O1825-H1825*LTP3!$D$4/k_n</f>
        <v/>
      </c>
      <c r="W1825">
        <f>((LTP3!$D$5)*((P1825)*(Q1825)-(R1825)*(R1825))-(S1825)*((S1825)*(Q1825)-(R1825)*(T1825))+(T1825)*((S1825)*(R1825)-(P1825)*(T1825)))</f>
        <v/>
      </c>
      <c r="X1825">
        <f>IF(ABS(W1825)&gt;1E-12,((LTP3!$D$6)*((P1825)*(Q1825)-(R1825)*(R1825))-(S1825)*((U1825)*(Q1825)-(R1825)*(V1825))+(T1825)*((U1825)*(R1825)-(P1825)*(V1825)))/W1825,0)</f>
        <v/>
      </c>
      <c r="Y1825">
        <f>IF(ABS(W1825)&gt;1E-12,((LTP3!$D$5)*((U1825)*(Q1825)-(R1825)*(V1825))-(LTP3!$D$6)*((S1825)*(Q1825)-(R1825)*(T1825))+(T1825)*((S1825)*(V1825)-(U1825)*(T1825)))/W1825,0)</f>
        <v/>
      </c>
      <c r="Z1825">
        <f>IF(ABS(W1825)&gt;1E-12,((LTP3!$D$5)*((P1825)*(V1825)-(U1825)*(R1825))-(S1825)*((S1825)*(V1825)-(U1825)*(T1825))+(LTP3!$D$6)*((S1825)*(R1825)-(P1825)*(T1825)))/W1825,0)</f>
        <v/>
      </c>
      <c r="AA1825">
        <f>LTP3!$D$7-X1825*LTP3!$D$6-Y1825*U1825-Z1825*V1825</f>
        <v/>
      </c>
      <c r="AB1825">
        <f>IF(AND(F1825,ABS(W1825)&gt;1E-12,Y1825&gt;0,Z1825&gt;0),AA1825,1E+300)</f>
        <v/>
      </c>
    </row>
    <row r="1826">
      <c r="A1826">
        <f>$B$3+$B$5*29</f>
        <v/>
      </c>
      <c r="B1826">
        <f>$B$3+$B$5*45</f>
        <v/>
      </c>
      <c r="C1826">
        <f>SUMPRODUCT(Calc!$K$3:$K$22*(Calc!$G$3:$G$22&lt;=A1826))</f>
        <v/>
      </c>
      <c r="D1826">
        <f>SUMPRODUCT(Calc!$K$3:$K$22*(Calc!$G$3:$G$22&gt;A1826)*(Calc!$G$3:$G$22&lt;B1826))</f>
        <v/>
      </c>
      <c r="E1826">
        <f>SUMPRODUCT(Calc!$K$3:$K$22*(Calc!$G$3:$G$22&gt;=B1826))</f>
        <v/>
      </c>
      <c r="F1826">
        <f>AND(k_n&gt;=5,B1826&gt;A1826+1E-9,C1826&gt;=2,D1826&gt;=1,E1826&gt;=2)</f>
        <v/>
      </c>
      <c r="G1826">
        <f>SUMPRODUCT(Calc!$K$3:$K$22*(Calc!$G$3:$G$22&gt;A1826)*(Calc!$G$3:$G$22-A1826))</f>
        <v/>
      </c>
      <c r="H1826">
        <f>SUMPRODUCT(Calc!$K$3:$K$22*(Calc!$G$3:$G$22&gt;B1826)*(Calc!$G$3:$G$22-B1826))</f>
        <v/>
      </c>
      <c r="I1826">
        <f>SUMPRODUCT(Calc!$K$3:$K$22*(Calc!$G$3:$G$22&gt;A1826)*(Calc!$G$3:$G$22-A1826)^2)</f>
        <v/>
      </c>
      <c r="J1826">
        <f>SUMPRODUCT(Calc!$K$3:$K$22*(Calc!$G$3:$G$22&gt;B1826)*(Calc!$G$3:$G$22-B1826)^2)</f>
        <v/>
      </c>
      <c r="K1826">
        <f>SUMPRODUCT(Calc!$K$3:$K$22*(Calc!$G$3:$G$22&gt;A1826)*(Calc!$G$3:$G$22-A1826)*(Calc!$G$3:$G$22&gt;B1826)*(Calc!$G$3:$G$22-B1826))</f>
        <v/>
      </c>
      <c r="L1826">
        <f>SUMPRODUCT(Calc!$K$3:$K$22*(Calc!$G$3:$G$22&gt;A1826)*(Calc!$G$3:$G$22-A1826)*Calc!$G$3:$G$22)</f>
        <v/>
      </c>
      <c r="M1826">
        <f>SUMPRODUCT(Calc!$K$3:$K$22*(Calc!$G$3:$G$22&gt;B1826)*(Calc!$G$3:$G$22-B1826)*Calc!$G$3:$G$22)</f>
        <v/>
      </c>
      <c r="N1826">
        <f>SUMPRODUCT(Calc!$K$3:$K$22*(Calc!$G$3:$G$22&gt;A1826)*(Calc!$G$3:$G$22-A1826)*Calc!$I$3:$I$22)</f>
        <v/>
      </c>
      <c r="O1826">
        <f>SUMPRODUCT(Calc!$K$3:$K$22*(Calc!$G$3:$G$22&gt;B1826)*(Calc!$G$3:$G$22-B1826)*Calc!$I$3:$I$22)</f>
        <v/>
      </c>
      <c r="P1826">
        <f>I1826-G1826^2/k_n</f>
        <v/>
      </c>
      <c r="Q1826">
        <f>J1826-H1826^2/k_n</f>
        <v/>
      </c>
      <c r="R1826">
        <f>K1826-G1826*H1826/k_n</f>
        <v/>
      </c>
      <c r="S1826">
        <f>L1826-LTP3!$D$3*G1826/k_n</f>
        <v/>
      </c>
      <c r="T1826">
        <f>M1826-LTP3!$D$3*H1826/k_n</f>
        <v/>
      </c>
      <c r="U1826">
        <f>N1826-G1826*LTP3!$D$4/k_n</f>
        <v/>
      </c>
      <c r="V1826">
        <f>O1826-H1826*LTP3!$D$4/k_n</f>
        <v/>
      </c>
      <c r="W1826">
        <f>((LTP3!$D$5)*((P1826)*(Q1826)-(R1826)*(R1826))-(S1826)*((S1826)*(Q1826)-(R1826)*(T1826))+(T1826)*((S1826)*(R1826)-(P1826)*(T1826)))</f>
        <v/>
      </c>
      <c r="X1826">
        <f>IF(ABS(W1826)&gt;1E-12,((LTP3!$D$6)*((P1826)*(Q1826)-(R1826)*(R1826))-(S1826)*((U1826)*(Q1826)-(R1826)*(V1826))+(T1826)*((U1826)*(R1826)-(P1826)*(V1826)))/W1826,0)</f>
        <v/>
      </c>
      <c r="Y1826">
        <f>IF(ABS(W1826)&gt;1E-12,((LTP3!$D$5)*((U1826)*(Q1826)-(R1826)*(V1826))-(LTP3!$D$6)*((S1826)*(Q1826)-(R1826)*(T1826))+(T1826)*((S1826)*(V1826)-(U1826)*(T1826)))/W1826,0)</f>
        <v/>
      </c>
      <c r="Z1826">
        <f>IF(ABS(W1826)&gt;1E-12,((LTP3!$D$5)*((P1826)*(V1826)-(U1826)*(R1826))-(S1826)*((S1826)*(V1826)-(U1826)*(T1826))+(LTP3!$D$6)*((S1826)*(R1826)-(P1826)*(T1826)))/W1826,0)</f>
        <v/>
      </c>
      <c r="AA1826">
        <f>LTP3!$D$7-X1826*LTP3!$D$6-Y1826*U1826-Z1826*V1826</f>
        <v/>
      </c>
      <c r="AB1826">
        <f>IF(AND(F1826,ABS(W1826)&gt;1E-12,Y1826&gt;0,Z1826&gt;0),AA1826,1E+300)</f>
        <v/>
      </c>
    </row>
    <row r="1827">
      <c r="A1827">
        <f>$B$3+$B$5*29</f>
        <v/>
      </c>
      <c r="B1827">
        <f>$B$3+$B$5*46</f>
        <v/>
      </c>
      <c r="C1827">
        <f>SUMPRODUCT(Calc!$K$3:$K$22*(Calc!$G$3:$G$22&lt;=A1827))</f>
        <v/>
      </c>
      <c r="D1827">
        <f>SUMPRODUCT(Calc!$K$3:$K$22*(Calc!$G$3:$G$22&gt;A1827)*(Calc!$G$3:$G$22&lt;B1827))</f>
        <v/>
      </c>
      <c r="E1827">
        <f>SUMPRODUCT(Calc!$K$3:$K$22*(Calc!$G$3:$G$22&gt;=B1827))</f>
        <v/>
      </c>
      <c r="F1827">
        <f>AND(k_n&gt;=5,B1827&gt;A1827+1E-9,C1827&gt;=2,D1827&gt;=1,E1827&gt;=2)</f>
        <v/>
      </c>
      <c r="G1827">
        <f>SUMPRODUCT(Calc!$K$3:$K$22*(Calc!$G$3:$G$22&gt;A1827)*(Calc!$G$3:$G$22-A1827))</f>
        <v/>
      </c>
      <c r="H1827">
        <f>SUMPRODUCT(Calc!$K$3:$K$22*(Calc!$G$3:$G$22&gt;B1827)*(Calc!$G$3:$G$22-B1827))</f>
        <v/>
      </c>
      <c r="I1827">
        <f>SUMPRODUCT(Calc!$K$3:$K$22*(Calc!$G$3:$G$22&gt;A1827)*(Calc!$G$3:$G$22-A1827)^2)</f>
        <v/>
      </c>
      <c r="J1827">
        <f>SUMPRODUCT(Calc!$K$3:$K$22*(Calc!$G$3:$G$22&gt;B1827)*(Calc!$G$3:$G$22-B1827)^2)</f>
        <v/>
      </c>
      <c r="K1827">
        <f>SUMPRODUCT(Calc!$K$3:$K$22*(Calc!$G$3:$G$22&gt;A1827)*(Calc!$G$3:$G$22-A1827)*(Calc!$G$3:$G$22&gt;B1827)*(Calc!$G$3:$G$22-B1827))</f>
        <v/>
      </c>
      <c r="L1827">
        <f>SUMPRODUCT(Calc!$K$3:$K$22*(Calc!$G$3:$G$22&gt;A1827)*(Calc!$G$3:$G$22-A1827)*Calc!$G$3:$G$22)</f>
        <v/>
      </c>
      <c r="M1827">
        <f>SUMPRODUCT(Calc!$K$3:$K$22*(Calc!$G$3:$G$22&gt;B1827)*(Calc!$G$3:$G$22-B1827)*Calc!$G$3:$G$22)</f>
        <v/>
      </c>
      <c r="N1827">
        <f>SUMPRODUCT(Calc!$K$3:$K$22*(Calc!$G$3:$G$22&gt;A1827)*(Calc!$G$3:$G$22-A1827)*Calc!$I$3:$I$22)</f>
        <v/>
      </c>
      <c r="O1827">
        <f>SUMPRODUCT(Calc!$K$3:$K$22*(Calc!$G$3:$G$22&gt;B1827)*(Calc!$G$3:$G$22-B1827)*Calc!$I$3:$I$22)</f>
        <v/>
      </c>
      <c r="P1827">
        <f>I1827-G1827^2/k_n</f>
        <v/>
      </c>
      <c r="Q1827">
        <f>J1827-H1827^2/k_n</f>
        <v/>
      </c>
      <c r="R1827">
        <f>K1827-G1827*H1827/k_n</f>
        <v/>
      </c>
      <c r="S1827">
        <f>L1827-LTP3!$D$3*G1827/k_n</f>
        <v/>
      </c>
      <c r="T1827">
        <f>M1827-LTP3!$D$3*H1827/k_n</f>
        <v/>
      </c>
      <c r="U1827">
        <f>N1827-G1827*LTP3!$D$4/k_n</f>
        <v/>
      </c>
      <c r="V1827">
        <f>O1827-H1827*LTP3!$D$4/k_n</f>
        <v/>
      </c>
      <c r="W1827">
        <f>((LTP3!$D$5)*((P1827)*(Q1827)-(R1827)*(R1827))-(S1827)*((S1827)*(Q1827)-(R1827)*(T1827))+(T1827)*((S1827)*(R1827)-(P1827)*(T1827)))</f>
        <v/>
      </c>
      <c r="X1827">
        <f>IF(ABS(W1827)&gt;1E-12,((LTP3!$D$6)*((P1827)*(Q1827)-(R1827)*(R1827))-(S1827)*((U1827)*(Q1827)-(R1827)*(V1827))+(T1827)*((U1827)*(R1827)-(P1827)*(V1827)))/W1827,0)</f>
        <v/>
      </c>
      <c r="Y1827">
        <f>IF(ABS(W1827)&gt;1E-12,((LTP3!$D$5)*((U1827)*(Q1827)-(R1827)*(V1827))-(LTP3!$D$6)*((S1827)*(Q1827)-(R1827)*(T1827))+(T1827)*((S1827)*(V1827)-(U1827)*(T1827)))/W1827,0)</f>
        <v/>
      </c>
      <c r="Z1827">
        <f>IF(ABS(W1827)&gt;1E-12,((LTP3!$D$5)*((P1827)*(V1827)-(U1827)*(R1827))-(S1827)*((S1827)*(V1827)-(U1827)*(T1827))+(LTP3!$D$6)*((S1827)*(R1827)-(P1827)*(T1827)))/W1827,0)</f>
        <v/>
      </c>
      <c r="AA1827">
        <f>LTP3!$D$7-X1827*LTP3!$D$6-Y1827*U1827-Z1827*V1827</f>
        <v/>
      </c>
      <c r="AB1827">
        <f>IF(AND(F1827,ABS(W1827)&gt;1E-12,Y1827&gt;0,Z1827&gt;0),AA1827,1E+300)</f>
        <v/>
      </c>
    </row>
    <row r="1828">
      <c r="A1828">
        <f>$B$3+$B$5*29</f>
        <v/>
      </c>
      <c r="B1828">
        <f>$B$3+$B$5*47</f>
        <v/>
      </c>
      <c r="C1828">
        <f>SUMPRODUCT(Calc!$K$3:$K$22*(Calc!$G$3:$G$22&lt;=A1828))</f>
        <v/>
      </c>
      <c r="D1828">
        <f>SUMPRODUCT(Calc!$K$3:$K$22*(Calc!$G$3:$G$22&gt;A1828)*(Calc!$G$3:$G$22&lt;B1828))</f>
        <v/>
      </c>
      <c r="E1828">
        <f>SUMPRODUCT(Calc!$K$3:$K$22*(Calc!$G$3:$G$22&gt;=B1828))</f>
        <v/>
      </c>
      <c r="F1828">
        <f>AND(k_n&gt;=5,B1828&gt;A1828+1E-9,C1828&gt;=2,D1828&gt;=1,E1828&gt;=2)</f>
        <v/>
      </c>
      <c r="G1828">
        <f>SUMPRODUCT(Calc!$K$3:$K$22*(Calc!$G$3:$G$22&gt;A1828)*(Calc!$G$3:$G$22-A1828))</f>
        <v/>
      </c>
      <c r="H1828">
        <f>SUMPRODUCT(Calc!$K$3:$K$22*(Calc!$G$3:$G$22&gt;B1828)*(Calc!$G$3:$G$22-B1828))</f>
        <v/>
      </c>
      <c r="I1828">
        <f>SUMPRODUCT(Calc!$K$3:$K$22*(Calc!$G$3:$G$22&gt;A1828)*(Calc!$G$3:$G$22-A1828)^2)</f>
        <v/>
      </c>
      <c r="J1828">
        <f>SUMPRODUCT(Calc!$K$3:$K$22*(Calc!$G$3:$G$22&gt;B1828)*(Calc!$G$3:$G$22-B1828)^2)</f>
        <v/>
      </c>
      <c r="K1828">
        <f>SUMPRODUCT(Calc!$K$3:$K$22*(Calc!$G$3:$G$22&gt;A1828)*(Calc!$G$3:$G$22-A1828)*(Calc!$G$3:$G$22&gt;B1828)*(Calc!$G$3:$G$22-B1828))</f>
        <v/>
      </c>
      <c r="L1828">
        <f>SUMPRODUCT(Calc!$K$3:$K$22*(Calc!$G$3:$G$22&gt;A1828)*(Calc!$G$3:$G$22-A1828)*Calc!$G$3:$G$22)</f>
        <v/>
      </c>
      <c r="M1828">
        <f>SUMPRODUCT(Calc!$K$3:$K$22*(Calc!$G$3:$G$22&gt;B1828)*(Calc!$G$3:$G$22-B1828)*Calc!$G$3:$G$22)</f>
        <v/>
      </c>
      <c r="N1828">
        <f>SUMPRODUCT(Calc!$K$3:$K$22*(Calc!$G$3:$G$22&gt;A1828)*(Calc!$G$3:$G$22-A1828)*Calc!$I$3:$I$22)</f>
        <v/>
      </c>
      <c r="O1828">
        <f>SUMPRODUCT(Calc!$K$3:$K$22*(Calc!$G$3:$G$22&gt;B1828)*(Calc!$G$3:$G$22-B1828)*Calc!$I$3:$I$22)</f>
        <v/>
      </c>
      <c r="P1828">
        <f>I1828-G1828^2/k_n</f>
        <v/>
      </c>
      <c r="Q1828">
        <f>J1828-H1828^2/k_n</f>
        <v/>
      </c>
      <c r="R1828">
        <f>K1828-G1828*H1828/k_n</f>
        <v/>
      </c>
      <c r="S1828">
        <f>L1828-LTP3!$D$3*G1828/k_n</f>
        <v/>
      </c>
      <c r="T1828">
        <f>M1828-LTP3!$D$3*H1828/k_n</f>
        <v/>
      </c>
      <c r="U1828">
        <f>N1828-G1828*LTP3!$D$4/k_n</f>
        <v/>
      </c>
      <c r="V1828">
        <f>O1828-H1828*LTP3!$D$4/k_n</f>
        <v/>
      </c>
      <c r="W1828">
        <f>((LTP3!$D$5)*((P1828)*(Q1828)-(R1828)*(R1828))-(S1828)*((S1828)*(Q1828)-(R1828)*(T1828))+(T1828)*((S1828)*(R1828)-(P1828)*(T1828)))</f>
        <v/>
      </c>
      <c r="X1828">
        <f>IF(ABS(W1828)&gt;1E-12,((LTP3!$D$6)*((P1828)*(Q1828)-(R1828)*(R1828))-(S1828)*((U1828)*(Q1828)-(R1828)*(V1828))+(T1828)*((U1828)*(R1828)-(P1828)*(V1828)))/W1828,0)</f>
        <v/>
      </c>
      <c r="Y1828">
        <f>IF(ABS(W1828)&gt;1E-12,((LTP3!$D$5)*((U1828)*(Q1828)-(R1828)*(V1828))-(LTP3!$D$6)*((S1828)*(Q1828)-(R1828)*(T1828))+(T1828)*((S1828)*(V1828)-(U1828)*(T1828)))/W1828,0)</f>
        <v/>
      </c>
      <c r="Z1828">
        <f>IF(ABS(W1828)&gt;1E-12,((LTP3!$D$5)*((P1828)*(V1828)-(U1828)*(R1828))-(S1828)*((S1828)*(V1828)-(U1828)*(T1828))+(LTP3!$D$6)*((S1828)*(R1828)-(P1828)*(T1828)))/W1828,0)</f>
        <v/>
      </c>
      <c r="AA1828">
        <f>LTP3!$D$7-X1828*LTP3!$D$6-Y1828*U1828-Z1828*V1828</f>
        <v/>
      </c>
      <c r="AB1828">
        <f>IF(AND(F1828,ABS(W1828)&gt;1E-12,Y1828&gt;0,Z1828&gt;0),AA1828,1E+300)</f>
        <v/>
      </c>
    </row>
    <row r="1829">
      <c r="A1829">
        <f>$B$3+$B$5*29</f>
        <v/>
      </c>
      <c r="B1829">
        <f>$B$3+$B$5*48</f>
        <v/>
      </c>
      <c r="C1829">
        <f>SUMPRODUCT(Calc!$K$3:$K$22*(Calc!$G$3:$G$22&lt;=A1829))</f>
        <v/>
      </c>
      <c r="D1829">
        <f>SUMPRODUCT(Calc!$K$3:$K$22*(Calc!$G$3:$G$22&gt;A1829)*(Calc!$G$3:$G$22&lt;B1829))</f>
        <v/>
      </c>
      <c r="E1829">
        <f>SUMPRODUCT(Calc!$K$3:$K$22*(Calc!$G$3:$G$22&gt;=B1829))</f>
        <v/>
      </c>
      <c r="F1829">
        <f>AND(k_n&gt;=5,B1829&gt;A1829+1E-9,C1829&gt;=2,D1829&gt;=1,E1829&gt;=2)</f>
        <v/>
      </c>
      <c r="G1829">
        <f>SUMPRODUCT(Calc!$K$3:$K$22*(Calc!$G$3:$G$22&gt;A1829)*(Calc!$G$3:$G$22-A1829))</f>
        <v/>
      </c>
      <c r="H1829">
        <f>SUMPRODUCT(Calc!$K$3:$K$22*(Calc!$G$3:$G$22&gt;B1829)*(Calc!$G$3:$G$22-B1829))</f>
        <v/>
      </c>
      <c r="I1829">
        <f>SUMPRODUCT(Calc!$K$3:$K$22*(Calc!$G$3:$G$22&gt;A1829)*(Calc!$G$3:$G$22-A1829)^2)</f>
        <v/>
      </c>
      <c r="J1829">
        <f>SUMPRODUCT(Calc!$K$3:$K$22*(Calc!$G$3:$G$22&gt;B1829)*(Calc!$G$3:$G$22-B1829)^2)</f>
        <v/>
      </c>
      <c r="K1829">
        <f>SUMPRODUCT(Calc!$K$3:$K$22*(Calc!$G$3:$G$22&gt;A1829)*(Calc!$G$3:$G$22-A1829)*(Calc!$G$3:$G$22&gt;B1829)*(Calc!$G$3:$G$22-B1829))</f>
        <v/>
      </c>
      <c r="L1829">
        <f>SUMPRODUCT(Calc!$K$3:$K$22*(Calc!$G$3:$G$22&gt;A1829)*(Calc!$G$3:$G$22-A1829)*Calc!$G$3:$G$22)</f>
        <v/>
      </c>
      <c r="M1829">
        <f>SUMPRODUCT(Calc!$K$3:$K$22*(Calc!$G$3:$G$22&gt;B1829)*(Calc!$G$3:$G$22-B1829)*Calc!$G$3:$G$22)</f>
        <v/>
      </c>
      <c r="N1829">
        <f>SUMPRODUCT(Calc!$K$3:$K$22*(Calc!$G$3:$G$22&gt;A1829)*(Calc!$G$3:$G$22-A1829)*Calc!$I$3:$I$22)</f>
        <v/>
      </c>
      <c r="O1829">
        <f>SUMPRODUCT(Calc!$K$3:$K$22*(Calc!$G$3:$G$22&gt;B1829)*(Calc!$G$3:$G$22-B1829)*Calc!$I$3:$I$22)</f>
        <v/>
      </c>
      <c r="P1829">
        <f>I1829-G1829^2/k_n</f>
        <v/>
      </c>
      <c r="Q1829">
        <f>J1829-H1829^2/k_n</f>
        <v/>
      </c>
      <c r="R1829">
        <f>K1829-G1829*H1829/k_n</f>
        <v/>
      </c>
      <c r="S1829">
        <f>L1829-LTP3!$D$3*G1829/k_n</f>
        <v/>
      </c>
      <c r="T1829">
        <f>M1829-LTP3!$D$3*H1829/k_n</f>
        <v/>
      </c>
      <c r="U1829">
        <f>N1829-G1829*LTP3!$D$4/k_n</f>
        <v/>
      </c>
      <c r="V1829">
        <f>O1829-H1829*LTP3!$D$4/k_n</f>
        <v/>
      </c>
      <c r="W1829">
        <f>((LTP3!$D$5)*((P1829)*(Q1829)-(R1829)*(R1829))-(S1829)*((S1829)*(Q1829)-(R1829)*(T1829))+(T1829)*((S1829)*(R1829)-(P1829)*(T1829)))</f>
        <v/>
      </c>
      <c r="X1829">
        <f>IF(ABS(W1829)&gt;1E-12,((LTP3!$D$6)*((P1829)*(Q1829)-(R1829)*(R1829))-(S1829)*((U1829)*(Q1829)-(R1829)*(V1829))+(T1829)*((U1829)*(R1829)-(P1829)*(V1829)))/W1829,0)</f>
        <v/>
      </c>
      <c r="Y1829">
        <f>IF(ABS(W1829)&gt;1E-12,((LTP3!$D$5)*((U1829)*(Q1829)-(R1829)*(V1829))-(LTP3!$D$6)*((S1829)*(Q1829)-(R1829)*(T1829))+(T1829)*((S1829)*(V1829)-(U1829)*(T1829)))/W1829,0)</f>
        <v/>
      </c>
      <c r="Z1829">
        <f>IF(ABS(W1829)&gt;1E-12,((LTP3!$D$5)*((P1829)*(V1829)-(U1829)*(R1829))-(S1829)*((S1829)*(V1829)-(U1829)*(T1829))+(LTP3!$D$6)*((S1829)*(R1829)-(P1829)*(T1829)))/W1829,0)</f>
        <v/>
      </c>
      <c r="AA1829">
        <f>LTP3!$D$7-X1829*LTP3!$D$6-Y1829*U1829-Z1829*V1829</f>
        <v/>
      </c>
      <c r="AB1829">
        <f>IF(AND(F1829,ABS(W1829)&gt;1E-12,Y1829&gt;0,Z1829&gt;0),AA1829,1E+300)</f>
        <v/>
      </c>
    </row>
    <row r="1830">
      <c r="A1830">
        <f>$B$3+$B$5*29</f>
        <v/>
      </c>
      <c r="B1830">
        <f>$B$3+$B$5*49</f>
        <v/>
      </c>
      <c r="C1830">
        <f>SUMPRODUCT(Calc!$K$3:$K$22*(Calc!$G$3:$G$22&lt;=A1830))</f>
        <v/>
      </c>
      <c r="D1830">
        <f>SUMPRODUCT(Calc!$K$3:$K$22*(Calc!$G$3:$G$22&gt;A1830)*(Calc!$G$3:$G$22&lt;B1830))</f>
        <v/>
      </c>
      <c r="E1830">
        <f>SUMPRODUCT(Calc!$K$3:$K$22*(Calc!$G$3:$G$22&gt;=B1830))</f>
        <v/>
      </c>
      <c r="F1830">
        <f>AND(k_n&gt;=5,B1830&gt;A1830+1E-9,C1830&gt;=2,D1830&gt;=1,E1830&gt;=2)</f>
        <v/>
      </c>
      <c r="G1830">
        <f>SUMPRODUCT(Calc!$K$3:$K$22*(Calc!$G$3:$G$22&gt;A1830)*(Calc!$G$3:$G$22-A1830))</f>
        <v/>
      </c>
      <c r="H1830">
        <f>SUMPRODUCT(Calc!$K$3:$K$22*(Calc!$G$3:$G$22&gt;B1830)*(Calc!$G$3:$G$22-B1830))</f>
        <v/>
      </c>
      <c r="I1830">
        <f>SUMPRODUCT(Calc!$K$3:$K$22*(Calc!$G$3:$G$22&gt;A1830)*(Calc!$G$3:$G$22-A1830)^2)</f>
        <v/>
      </c>
      <c r="J1830">
        <f>SUMPRODUCT(Calc!$K$3:$K$22*(Calc!$G$3:$G$22&gt;B1830)*(Calc!$G$3:$G$22-B1830)^2)</f>
        <v/>
      </c>
      <c r="K1830">
        <f>SUMPRODUCT(Calc!$K$3:$K$22*(Calc!$G$3:$G$22&gt;A1830)*(Calc!$G$3:$G$22-A1830)*(Calc!$G$3:$G$22&gt;B1830)*(Calc!$G$3:$G$22-B1830))</f>
        <v/>
      </c>
      <c r="L1830">
        <f>SUMPRODUCT(Calc!$K$3:$K$22*(Calc!$G$3:$G$22&gt;A1830)*(Calc!$G$3:$G$22-A1830)*Calc!$G$3:$G$22)</f>
        <v/>
      </c>
      <c r="M1830">
        <f>SUMPRODUCT(Calc!$K$3:$K$22*(Calc!$G$3:$G$22&gt;B1830)*(Calc!$G$3:$G$22-B1830)*Calc!$G$3:$G$22)</f>
        <v/>
      </c>
      <c r="N1830">
        <f>SUMPRODUCT(Calc!$K$3:$K$22*(Calc!$G$3:$G$22&gt;A1830)*(Calc!$G$3:$G$22-A1830)*Calc!$I$3:$I$22)</f>
        <v/>
      </c>
      <c r="O1830">
        <f>SUMPRODUCT(Calc!$K$3:$K$22*(Calc!$G$3:$G$22&gt;B1830)*(Calc!$G$3:$G$22-B1830)*Calc!$I$3:$I$22)</f>
        <v/>
      </c>
      <c r="P1830">
        <f>I1830-G1830^2/k_n</f>
        <v/>
      </c>
      <c r="Q1830">
        <f>J1830-H1830^2/k_n</f>
        <v/>
      </c>
      <c r="R1830">
        <f>K1830-G1830*H1830/k_n</f>
        <v/>
      </c>
      <c r="S1830">
        <f>L1830-LTP3!$D$3*G1830/k_n</f>
        <v/>
      </c>
      <c r="T1830">
        <f>M1830-LTP3!$D$3*H1830/k_n</f>
        <v/>
      </c>
      <c r="U1830">
        <f>N1830-G1830*LTP3!$D$4/k_n</f>
        <v/>
      </c>
      <c r="V1830">
        <f>O1830-H1830*LTP3!$D$4/k_n</f>
        <v/>
      </c>
      <c r="W1830">
        <f>((LTP3!$D$5)*((P1830)*(Q1830)-(R1830)*(R1830))-(S1830)*((S1830)*(Q1830)-(R1830)*(T1830))+(T1830)*((S1830)*(R1830)-(P1830)*(T1830)))</f>
        <v/>
      </c>
      <c r="X1830">
        <f>IF(ABS(W1830)&gt;1E-12,((LTP3!$D$6)*((P1830)*(Q1830)-(R1830)*(R1830))-(S1830)*((U1830)*(Q1830)-(R1830)*(V1830))+(T1830)*((U1830)*(R1830)-(P1830)*(V1830)))/W1830,0)</f>
        <v/>
      </c>
      <c r="Y1830">
        <f>IF(ABS(W1830)&gt;1E-12,((LTP3!$D$5)*((U1830)*(Q1830)-(R1830)*(V1830))-(LTP3!$D$6)*((S1830)*(Q1830)-(R1830)*(T1830))+(T1830)*((S1830)*(V1830)-(U1830)*(T1830)))/W1830,0)</f>
        <v/>
      </c>
      <c r="Z1830">
        <f>IF(ABS(W1830)&gt;1E-12,((LTP3!$D$5)*((P1830)*(V1830)-(U1830)*(R1830))-(S1830)*((S1830)*(V1830)-(U1830)*(T1830))+(LTP3!$D$6)*((S1830)*(R1830)-(P1830)*(T1830)))/W1830,0)</f>
        <v/>
      </c>
      <c r="AA1830">
        <f>LTP3!$D$7-X1830*LTP3!$D$6-Y1830*U1830-Z1830*V1830</f>
        <v/>
      </c>
      <c r="AB1830">
        <f>IF(AND(F1830,ABS(W1830)&gt;1E-12,Y1830&gt;0,Z1830&gt;0),AA1830,1E+300)</f>
        <v/>
      </c>
    </row>
    <row r="1831">
      <c r="A1831">
        <f>$B$3+$B$5*29</f>
        <v/>
      </c>
      <c r="B1831">
        <f>$B$3+$B$5*50</f>
        <v/>
      </c>
      <c r="C1831">
        <f>SUMPRODUCT(Calc!$K$3:$K$22*(Calc!$G$3:$G$22&lt;=A1831))</f>
        <v/>
      </c>
      <c r="D1831">
        <f>SUMPRODUCT(Calc!$K$3:$K$22*(Calc!$G$3:$G$22&gt;A1831)*(Calc!$G$3:$G$22&lt;B1831))</f>
        <v/>
      </c>
      <c r="E1831">
        <f>SUMPRODUCT(Calc!$K$3:$K$22*(Calc!$G$3:$G$22&gt;=B1831))</f>
        <v/>
      </c>
      <c r="F1831">
        <f>AND(k_n&gt;=5,B1831&gt;A1831+1E-9,C1831&gt;=2,D1831&gt;=1,E1831&gt;=2)</f>
        <v/>
      </c>
      <c r="G1831">
        <f>SUMPRODUCT(Calc!$K$3:$K$22*(Calc!$G$3:$G$22&gt;A1831)*(Calc!$G$3:$G$22-A1831))</f>
        <v/>
      </c>
      <c r="H1831">
        <f>SUMPRODUCT(Calc!$K$3:$K$22*(Calc!$G$3:$G$22&gt;B1831)*(Calc!$G$3:$G$22-B1831))</f>
        <v/>
      </c>
      <c r="I1831">
        <f>SUMPRODUCT(Calc!$K$3:$K$22*(Calc!$G$3:$G$22&gt;A1831)*(Calc!$G$3:$G$22-A1831)^2)</f>
        <v/>
      </c>
      <c r="J1831">
        <f>SUMPRODUCT(Calc!$K$3:$K$22*(Calc!$G$3:$G$22&gt;B1831)*(Calc!$G$3:$G$22-B1831)^2)</f>
        <v/>
      </c>
      <c r="K1831">
        <f>SUMPRODUCT(Calc!$K$3:$K$22*(Calc!$G$3:$G$22&gt;A1831)*(Calc!$G$3:$G$22-A1831)*(Calc!$G$3:$G$22&gt;B1831)*(Calc!$G$3:$G$22-B1831))</f>
        <v/>
      </c>
      <c r="L1831">
        <f>SUMPRODUCT(Calc!$K$3:$K$22*(Calc!$G$3:$G$22&gt;A1831)*(Calc!$G$3:$G$22-A1831)*Calc!$G$3:$G$22)</f>
        <v/>
      </c>
      <c r="M1831">
        <f>SUMPRODUCT(Calc!$K$3:$K$22*(Calc!$G$3:$G$22&gt;B1831)*(Calc!$G$3:$G$22-B1831)*Calc!$G$3:$G$22)</f>
        <v/>
      </c>
      <c r="N1831">
        <f>SUMPRODUCT(Calc!$K$3:$K$22*(Calc!$G$3:$G$22&gt;A1831)*(Calc!$G$3:$G$22-A1831)*Calc!$I$3:$I$22)</f>
        <v/>
      </c>
      <c r="O1831">
        <f>SUMPRODUCT(Calc!$K$3:$K$22*(Calc!$G$3:$G$22&gt;B1831)*(Calc!$G$3:$G$22-B1831)*Calc!$I$3:$I$22)</f>
        <v/>
      </c>
      <c r="P1831">
        <f>I1831-G1831^2/k_n</f>
        <v/>
      </c>
      <c r="Q1831">
        <f>J1831-H1831^2/k_n</f>
        <v/>
      </c>
      <c r="R1831">
        <f>K1831-G1831*H1831/k_n</f>
        <v/>
      </c>
      <c r="S1831">
        <f>L1831-LTP3!$D$3*G1831/k_n</f>
        <v/>
      </c>
      <c r="T1831">
        <f>M1831-LTP3!$D$3*H1831/k_n</f>
        <v/>
      </c>
      <c r="U1831">
        <f>N1831-G1831*LTP3!$D$4/k_n</f>
        <v/>
      </c>
      <c r="V1831">
        <f>O1831-H1831*LTP3!$D$4/k_n</f>
        <v/>
      </c>
      <c r="W1831">
        <f>((LTP3!$D$5)*((P1831)*(Q1831)-(R1831)*(R1831))-(S1831)*((S1831)*(Q1831)-(R1831)*(T1831))+(T1831)*((S1831)*(R1831)-(P1831)*(T1831)))</f>
        <v/>
      </c>
      <c r="X1831">
        <f>IF(ABS(W1831)&gt;1E-12,((LTP3!$D$6)*((P1831)*(Q1831)-(R1831)*(R1831))-(S1831)*((U1831)*(Q1831)-(R1831)*(V1831))+(T1831)*((U1831)*(R1831)-(P1831)*(V1831)))/W1831,0)</f>
        <v/>
      </c>
      <c r="Y1831">
        <f>IF(ABS(W1831)&gt;1E-12,((LTP3!$D$5)*((U1831)*(Q1831)-(R1831)*(V1831))-(LTP3!$D$6)*((S1831)*(Q1831)-(R1831)*(T1831))+(T1831)*((S1831)*(V1831)-(U1831)*(T1831)))/W1831,0)</f>
        <v/>
      </c>
      <c r="Z1831">
        <f>IF(ABS(W1831)&gt;1E-12,((LTP3!$D$5)*((P1831)*(V1831)-(U1831)*(R1831))-(S1831)*((S1831)*(V1831)-(U1831)*(T1831))+(LTP3!$D$6)*((S1831)*(R1831)-(P1831)*(T1831)))/W1831,0)</f>
        <v/>
      </c>
      <c r="AA1831">
        <f>LTP3!$D$7-X1831*LTP3!$D$6-Y1831*U1831-Z1831*V1831</f>
        <v/>
      </c>
      <c r="AB1831">
        <f>IF(AND(F1831,ABS(W1831)&gt;1E-12,Y1831&gt;0,Z1831&gt;0),AA1831,1E+300)</f>
        <v/>
      </c>
    </row>
    <row r="1832">
      <c r="A1832">
        <f>$B$3+$B$5*29</f>
        <v/>
      </c>
      <c r="B1832">
        <f>$B$3+$B$5*51</f>
        <v/>
      </c>
      <c r="C1832">
        <f>SUMPRODUCT(Calc!$K$3:$K$22*(Calc!$G$3:$G$22&lt;=A1832))</f>
        <v/>
      </c>
      <c r="D1832">
        <f>SUMPRODUCT(Calc!$K$3:$K$22*(Calc!$G$3:$G$22&gt;A1832)*(Calc!$G$3:$G$22&lt;B1832))</f>
        <v/>
      </c>
      <c r="E1832">
        <f>SUMPRODUCT(Calc!$K$3:$K$22*(Calc!$G$3:$G$22&gt;=B1832))</f>
        <v/>
      </c>
      <c r="F1832">
        <f>AND(k_n&gt;=5,B1832&gt;A1832+1E-9,C1832&gt;=2,D1832&gt;=1,E1832&gt;=2)</f>
        <v/>
      </c>
      <c r="G1832">
        <f>SUMPRODUCT(Calc!$K$3:$K$22*(Calc!$G$3:$G$22&gt;A1832)*(Calc!$G$3:$G$22-A1832))</f>
        <v/>
      </c>
      <c r="H1832">
        <f>SUMPRODUCT(Calc!$K$3:$K$22*(Calc!$G$3:$G$22&gt;B1832)*(Calc!$G$3:$G$22-B1832))</f>
        <v/>
      </c>
      <c r="I1832">
        <f>SUMPRODUCT(Calc!$K$3:$K$22*(Calc!$G$3:$G$22&gt;A1832)*(Calc!$G$3:$G$22-A1832)^2)</f>
        <v/>
      </c>
      <c r="J1832">
        <f>SUMPRODUCT(Calc!$K$3:$K$22*(Calc!$G$3:$G$22&gt;B1832)*(Calc!$G$3:$G$22-B1832)^2)</f>
        <v/>
      </c>
      <c r="K1832">
        <f>SUMPRODUCT(Calc!$K$3:$K$22*(Calc!$G$3:$G$22&gt;A1832)*(Calc!$G$3:$G$22-A1832)*(Calc!$G$3:$G$22&gt;B1832)*(Calc!$G$3:$G$22-B1832))</f>
        <v/>
      </c>
      <c r="L1832">
        <f>SUMPRODUCT(Calc!$K$3:$K$22*(Calc!$G$3:$G$22&gt;A1832)*(Calc!$G$3:$G$22-A1832)*Calc!$G$3:$G$22)</f>
        <v/>
      </c>
      <c r="M1832">
        <f>SUMPRODUCT(Calc!$K$3:$K$22*(Calc!$G$3:$G$22&gt;B1832)*(Calc!$G$3:$G$22-B1832)*Calc!$G$3:$G$22)</f>
        <v/>
      </c>
      <c r="N1832">
        <f>SUMPRODUCT(Calc!$K$3:$K$22*(Calc!$G$3:$G$22&gt;A1832)*(Calc!$G$3:$G$22-A1832)*Calc!$I$3:$I$22)</f>
        <v/>
      </c>
      <c r="O1832">
        <f>SUMPRODUCT(Calc!$K$3:$K$22*(Calc!$G$3:$G$22&gt;B1832)*(Calc!$G$3:$G$22-B1832)*Calc!$I$3:$I$22)</f>
        <v/>
      </c>
      <c r="P1832">
        <f>I1832-G1832^2/k_n</f>
        <v/>
      </c>
      <c r="Q1832">
        <f>J1832-H1832^2/k_n</f>
        <v/>
      </c>
      <c r="R1832">
        <f>K1832-G1832*H1832/k_n</f>
        <v/>
      </c>
      <c r="S1832">
        <f>L1832-LTP3!$D$3*G1832/k_n</f>
        <v/>
      </c>
      <c r="T1832">
        <f>M1832-LTP3!$D$3*H1832/k_n</f>
        <v/>
      </c>
      <c r="U1832">
        <f>N1832-G1832*LTP3!$D$4/k_n</f>
        <v/>
      </c>
      <c r="V1832">
        <f>O1832-H1832*LTP3!$D$4/k_n</f>
        <v/>
      </c>
      <c r="W1832">
        <f>((LTP3!$D$5)*((P1832)*(Q1832)-(R1832)*(R1832))-(S1832)*((S1832)*(Q1832)-(R1832)*(T1832))+(T1832)*((S1832)*(R1832)-(P1832)*(T1832)))</f>
        <v/>
      </c>
      <c r="X1832">
        <f>IF(ABS(W1832)&gt;1E-12,((LTP3!$D$6)*((P1832)*(Q1832)-(R1832)*(R1832))-(S1832)*((U1832)*(Q1832)-(R1832)*(V1832))+(T1832)*((U1832)*(R1832)-(P1832)*(V1832)))/W1832,0)</f>
        <v/>
      </c>
      <c r="Y1832">
        <f>IF(ABS(W1832)&gt;1E-12,((LTP3!$D$5)*((U1832)*(Q1832)-(R1832)*(V1832))-(LTP3!$D$6)*((S1832)*(Q1832)-(R1832)*(T1832))+(T1832)*((S1832)*(V1832)-(U1832)*(T1832)))/W1832,0)</f>
        <v/>
      </c>
      <c r="Z1832">
        <f>IF(ABS(W1832)&gt;1E-12,((LTP3!$D$5)*((P1832)*(V1832)-(U1832)*(R1832))-(S1832)*((S1832)*(V1832)-(U1832)*(T1832))+(LTP3!$D$6)*((S1832)*(R1832)-(P1832)*(T1832)))/W1832,0)</f>
        <v/>
      </c>
      <c r="AA1832">
        <f>LTP3!$D$7-X1832*LTP3!$D$6-Y1832*U1832-Z1832*V1832</f>
        <v/>
      </c>
      <c r="AB1832">
        <f>IF(AND(F1832,ABS(W1832)&gt;1E-12,Y1832&gt;0,Z1832&gt;0),AA1832,1E+300)</f>
        <v/>
      </c>
    </row>
    <row r="1833">
      <c r="A1833">
        <f>$B$3+$B$5*29</f>
        <v/>
      </c>
      <c r="B1833">
        <f>$B$3+$B$5*52</f>
        <v/>
      </c>
      <c r="C1833">
        <f>SUMPRODUCT(Calc!$K$3:$K$22*(Calc!$G$3:$G$22&lt;=A1833))</f>
        <v/>
      </c>
      <c r="D1833">
        <f>SUMPRODUCT(Calc!$K$3:$K$22*(Calc!$G$3:$G$22&gt;A1833)*(Calc!$G$3:$G$22&lt;B1833))</f>
        <v/>
      </c>
      <c r="E1833">
        <f>SUMPRODUCT(Calc!$K$3:$K$22*(Calc!$G$3:$G$22&gt;=B1833))</f>
        <v/>
      </c>
      <c r="F1833">
        <f>AND(k_n&gt;=5,B1833&gt;A1833+1E-9,C1833&gt;=2,D1833&gt;=1,E1833&gt;=2)</f>
        <v/>
      </c>
      <c r="G1833">
        <f>SUMPRODUCT(Calc!$K$3:$K$22*(Calc!$G$3:$G$22&gt;A1833)*(Calc!$G$3:$G$22-A1833))</f>
        <v/>
      </c>
      <c r="H1833">
        <f>SUMPRODUCT(Calc!$K$3:$K$22*(Calc!$G$3:$G$22&gt;B1833)*(Calc!$G$3:$G$22-B1833))</f>
        <v/>
      </c>
      <c r="I1833">
        <f>SUMPRODUCT(Calc!$K$3:$K$22*(Calc!$G$3:$G$22&gt;A1833)*(Calc!$G$3:$G$22-A1833)^2)</f>
        <v/>
      </c>
      <c r="J1833">
        <f>SUMPRODUCT(Calc!$K$3:$K$22*(Calc!$G$3:$G$22&gt;B1833)*(Calc!$G$3:$G$22-B1833)^2)</f>
        <v/>
      </c>
      <c r="K1833">
        <f>SUMPRODUCT(Calc!$K$3:$K$22*(Calc!$G$3:$G$22&gt;A1833)*(Calc!$G$3:$G$22-A1833)*(Calc!$G$3:$G$22&gt;B1833)*(Calc!$G$3:$G$22-B1833))</f>
        <v/>
      </c>
      <c r="L1833">
        <f>SUMPRODUCT(Calc!$K$3:$K$22*(Calc!$G$3:$G$22&gt;A1833)*(Calc!$G$3:$G$22-A1833)*Calc!$G$3:$G$22)</f>
        <v/>
      </c>
      <c r="M1833">
        <f>SUMPRODUCT(Calc!$K$3:$K$22*(Calc!$G$3:$G$22&gt;B1833)*(Calc!$G$3:$G$22-B1833)*Calc!$G$3:$G$22)</f>
        <v/>
      </c>
      <c r="N1833">
        <f>SUMPRODUCT(Calc!$K$3:$K$22*(Calc!$G$3:$G$22&gt;A1833)*(Calc!$G$3:$G$22-A1833)*Calc!$I$3:$I$22)</f>
        <v/>
      </c>
      <c r="O1833">
        <f>SUMPRODUCT(Calc!$K$3:$K$22*(Calc!$G$3:$G$22&gt;B1833)*(Calc!$G$3:$G$22-B1833)*Calc!$I$3:$I$22)</f>
        <v/>
      </c>
      <c r="P1833">
        <f>I1833-G1833^2/k_n</f>
        <v/>
      </c>
      <c r="Q1833">
        <f>J1833-H1833^2/k_n</f>
        <v/>
      </c>
      <c r="R1833">
        <f>K1833-G1833*H1833/k_n</f>
        <v/>
      </c>
      <c r="S1833">
        <f>L1833-LTP3!$D$3*G1833/k_n</f>
        <v/>
      </c>
      <c r="T1833">
        <f>M1833-LTP3!$D$3*H1833/k_n</f>
        <v/>
      </c>
      <c r="U1833">
        <f>N1833-G1833*LTP3!$D$4/k_n</f>
        <v/>
      </c>
      <c r="V1833">
        <f>O1833-H1833*LTP3!$D$4/k_n</f>
        <v/>
      </c>
      <c r="W1833">
        <f>((LTP3!$D$5)*((P1833)*(Q1833)-(R1833)*(R1833))-(S1833)*((S1833)*(Q1833)-(R1833)*(T1833))+(T1833)*((S1833)*(R1833)-(P1833)*(T1833)))</f>
        <v/>
      </c>
      <c r="X1833">
        <f>IF(ABS(W1833)&gt;1E-12,((LTP3!$D$6)*((P1833)*(Q1833)-(R1833)*(R1833))-(S1833)*((U1833)*(Q1833)-(R1833)*(V1833))+(T1833)*((U1833)*(R1833)-(P1833)*(V1833)))/W1833,0)</f>
        <v/>
      </c>
      <c r="Y1833">
        <f>IF(ABS(W1833)&gt;1E-12,((LTP3!$D$5)*((U1833)*(Q1833)-(R1833)*(V1833))-(LTP3!$D$6)*((S1833)*(Q1833)-(R1833)*(T1833))+(T1833)*((S1833)*(V1833)-(U1833)*(T1833)))/W1833,0)</f>
        <v/>
      </c>
      <c r="Z1833">
        <f>IF(ABS(W1833)&gt;1E-12,((LTP3!$D$5)*((P1833)*(V1833)-(U1833)*(R1833))-(S1833)*((S1833)*(V1833)-(U1833)*(T1833))+(LTP3!$D$6)*((S1833)*(R1833)-(P1833)*(T1833)))/W1833,0)</f>
        <v/>
      </c>
      <c r="AA1833">
        <f>LTP3!$D$7-X1833*LTP3!$D$6-Y1833*U1833-Z1833*V1833</f>
        <v/>
      </c>
      <c r="AB1833">
        <f>IF(AND(F1833,ABS(W1833)&gt;1E-12,Y1833&gt;0,Z1833&gt;0),AA1833,1E+300)</f>
        <v/>
      </c>
    </row>
    <row r="1834">
      <c r="A1834">
        <f>$B$3+$B$5*29</f>
        <v/>
      </c>
      <c r="B1834">
        <f>$B$3+$B$5*53</f>
        <v/>
      </c>
      <c r="C1834">
        <f>SUMPRODUCT(Calc!$K$3:$K$22*(Calc!$G$3:$G$22&lt;=A1834))</f>
        <v/>
      </c>
      <c r="D1834">
        <f>SUMPRODUCT(Calc!$K$3:$K$22*(Calc!$G$3:$G$22&gt;A1834)*(Calc!$G$3:$G$22&lt;B1834))</f>
        <v/>
      </c>
      <c r="E1834">
        <f>SUMPRODUCT(Calc!$K$3:$K$22*(Calc!$G$3:$G$22&gt;=B1834))</f>
        <v/>
      </c>
      <c r="F1834">
        <f>AND(k_n&gt;=5,B1834&gt;A1834+1E-9,C1834&gt;=2,D1834&gt;=1,E1834&gt;=2)</f>
        <v/>
      </c>
      <c r="G1834">
        <f>SUMPRODUCT(Calc!$K$3:$K$22*(Calc!$G$3:$G$22&gt;A1834)*(Calc!$G$3:$G$22-A1834))</f>
        <v/>
      </c>
      <c r="H1834">
        <f>SUMPRODUCT(Calc!$K$3:$K$22*(Calc!$G$3:$G$22&gt;B1834)*(Calc!$G$3:$G$22-B1834))</f>
        <v/>
      </c>
      <c r="I1834">
        <f>SUMPRODUCT(Calc!$K$3:$K$22*(Calc!$G$3:$G$22&gt;A1834)*(Calc!$G$3:$G$22-A1834)^2)</f>
        <v/>
      </c>
      <c r="J1834">
        <f>SUMPRODUCT(Calc!$K$3:$K$22*(Calc!$G$3:$G$22&gt;B1834)*(Calc!$G$3:$G$22-B1834)^2)</f>
        <v/>
      </c>
      <c r="K1834">
        <f>SUMPRODUCT(Calc!$K$3:$K$22*(Calc!$G$3:$G$22&gt;A1834)*(Calc!$G$3:$G$22-A1834)*(Calc!$G$3:$G$22&gt;B1834)*(Calc!$G$3:$G$22-B1834))</f>
        <v/>
      </c>
      <c r="L1834">
        <f>SUMPRODUCT(Calc!$K$3:$K$22*(Calc!$G$3:$G$22&gt;A1834)*(Calc!$G$3:$G$22-A1834)*Calc!$G$3:$G$22)</f>
        <v/>
      </c>
      <c r="M1834">
        <f>SUMPRODUCT(Calc!$K$3:$K$22*(Calc!$G$3:$G$22&gt;B1834)*(Calc!$G$3:$G$22-B1834)*Calc!$G$3:$G$22)</f>
        <v/>
      </c>
      <c r="N1834">
        <f>SUMPRODUCT(Calc!$K$3:$K$22*(Calc!$G$3:$G$22&gt;A1834)*(Calc!$G$3:$G$22-A1834)*Calc!$I$3:$I$22)</f>
        <v/>
      </c>
      <c r="O1834">
        <f>SUMPRODUCT(Calc!$K$3:$K$22*(Calc!$G$3:$G$22&gt;B1834)*(Calc!$G$3:$G$22-B1834)*Calc!$I$3:$I$22)</f>
        <v/>
      </c>
      <c r="P1834">
        <f>I1834-G1834^2/k_n</f>
        <v/>
      </c>
      <c r="Q1834">
        <f>J1834-H1834^2/k_n</f>
        <v/>
      </c>
      <c r="R1834">
        <f>K1834-G1834*H1834/k_n</f>
        <v/>
      </c>
      <c r="S1834">
        <f>L1834-LTP3!$D$3*G1834/k_n</f>
        <v/>
      </c>
      <c r="T1834">
        <f>M1834-LTP3!$D$3*H1834/k_n</f>
        <v/>
      </c>
      <c r="U1834">
        <f>N1834-G1834*LTP3!$D$4/k_n</f>
        <v/>
      </c>
      <c r="V1834">
        <f>O1834-H1834*LTP3!$D$4/k_n</f>
        <v/>
      </c>
      <c r="W1834">
        <f>((LTP3!$D$5)*((P1834)*(Q1834)-(R1834)*(R1834))-(S1834)*((S1834)*(Q1834)-(R1834)*(T1834))+(T1834)*((S1834)*(R1834)-(P1834)*(T1834)))</f>
        <v/>
      </c>
      <c r="X1834">
        <f>IF(ABS(W1834)&gt;1E-12,((LTP3!$D$6)*((P1834)*(Q1834)-(R1834)*(R1834))-(S1834)*((U1834)*(Q1834)-(R1834)*(V1834))+(T1834)*((U1834)*(R1834)-(P1834)*(V1834)))/W1834,0)</f>
        <v/>
      </c>
      <c r="Y1834">
        <f>IF(ABS(W1834)&gt;1E-12,((LTP3!$D$5)*((U1834)*(Q1834)-(R1834)*(V1834))-(LTP3!$D$6)*((S1834)*(Q1834)-(R1834)*(T1834))+(T1834)*((S1834)*(V1834)-(U1834)*(T1834)))/W1834,0)</f>
        <v/>
      </c>
      <c r="Z1834">
        <f>IF(ABS(W1834)&gt;1E-12,((LTP3!$D$5)*((P1834)*(V1834)-(U1834)*(R1834))-(S1834)*((S1834)*(V1834)-(U1834)*(T1834))+(LTP3!$D$6)*((S1834)*(R1834)-(P1834)*(T1834)))/W1834,0)</f>
        <v/>
      </c>
      <c r="AA1834">
        <f>LTP3!$D$7-X1834*LTP3!$D$6-Y1834*U1834-Z1834*V1834</f>
        <v/>
      </c>
      <c r="AB1834">
        <f>IF(AND(F1834,ABS(W1834)&gt;1E-12,Y1834&gt;0,Z1834&gt;0),AA1834,1E+300)</f>
        <v/>
      </c>
    </row>
    <row r="1835">
      <c r="A1835">
        <f>$B$3+$B$5*29</f>
        <v/>
      </c>
      <c r="B1835">
        <f>$B$3+$B$5*54</f>
        <v/>
      </c>
      <c r="C1835">
        <f>SUMPRODUCT(Calc!$K$3:$K$22*(Calc!$G$3:$G$22&lt;=A1835))</f>
        <v/>
      </c>
      <c r="D1835">
        <f>SUMPRODUCT(Calc!$K$3:$K$22*(Calc!$G$3:$G$22&gt;A1835)*(Calc!$G$3:$G$22&lt;B1835))</f>
        <v/>
      </c>
      <c r="E1835">
        <f>SUMPRODUCT(Calc!$K$3:$K$22*(Calc!$G$3:$G$22&gt;=B1835))</f>
        <v/>
      </c>
      <c r="F1835">
        <f>AND(k_n&gt;=5,B1835&gt;A1835+1E-9,C1835&gt;=2,D1835&gt;=1,E1835&gt;=2)</f>
        <v/>
      </c>
      <c r="G1835">
        <f>SUMPRODUCT(Calc!$K$3:$K$22*(Calc!$G$3:$G$22&gt;A1835)*(Calc!$G$3:$G$22-A1835))</f>
        <v/>
      </c>
      <c r="H1835">
        <f>SUMPRODUCT(Calc!$K$3:$K$22*(Calc!$G$3:$G$22&gt;B1835)*(Calc!$G$3:$G$22-B1835))</f>
        <v/>
      </c>
      <c r="I1835">
        <f>SUMPRODUCT(Calc!$K$3:$K$22*(Calc!$G$3:$G$22&gt;A1835)*(Calc!$G$3:$G$22-A1835)^2)</f>
        <v/>
      </c>
      <c r="J1835">
        <f>SUMPRODUCT(Calc!$K$3:$K$22*(Calc!$G$3:$G$22&gt;B1835)*(Calc!$G$3:$G$22-B1835)^2)</f>
        <v/>
      </c>
      <c r="K1835">
        <f>SUMPRODUCT(Calc!$K$3:$K$22*(Calc!$G$3:$G$22&gt;A1835)*(Calc!$G$3:$G$22-A1835)*(Calc!$G$3:$G$22&gt;B1835)*(Calc!$G$3:$G$22-B1835))</f>
        <v/>
      </c>
      <c r="L1835">
        <f>SUMPRODUCT(Calc!$K$3:$K$22*(Calc!$G$3:$G$22&gt;A1835)*(Calc!$G$3:$G$22-A1835)*Calc!$G$3:$G$22)</f>
        <v/>
      </c>
      <c r="M1835">
        <f>SUMPRODUCT(Calc!$K$3:$K$22*(Calc!$G$3:$G$22&gt;B1835)*(Calc!$G$3:$G$22-B1835)*Calc!$G$3:$G$22)</f>
        <v/>
      </c>
      <c r="N1835">
        <f>SUMPRODUCT(Calc!$K$3:$K$22*(Calc!$G$3:$G$22&gt;A1835)*(Calc!$G$3:$G$22-A1835)*Calc!$I$3:$I$22)</f>
        <v/>
      </c>
      <c r="O1835">
        <f>SUMPRODUCT(Calc!$K$3:$K$22*(Calc!$G$3:$G$22&gt;B1835)*(Calc!$G$3:$G$22-B1835)*Calc!$I$3:$I$22)</f>
        <v/>
      </c>
      <c r="P1835">
        <f>I1835-G1835^2/k_n</f>
        <v/>
      </c>
      <c r="Q1835">
        <f>J1835-H1835^2/k_n</f>
        <v/>
      </c>
      <c r="R1835">
        <f>K1835-G1835*H1835/k_n</f>
        <v/>
      </c>
      <c r="S1835">
        <f>L1835-LTP3!$D$3*G1835/k_n</f>
        <v/>
      </c>
      <c r="T1835">
        <f>M1835-LTP3!$D$3*H1835/k_n</f>
        <v/>
      </c>
      <c r="U1835">
        <f>N1835-G1835*LTP3!$D$4/k_n</f>
        <v/>
      </c>
      <c r="V1835">
        <f>O1835-H1835*LTP3!$D$4/k_n</f>
        <v/>
      </c>
      <c r="W1835">
        <f>((LTP3!$D$5)*((P1835)*(Q1835)-(R1835)*(R1835))-(S1835)*((S1835)*(Q1835)-(R1835)*(T1835))+(T1835)*((S1835)*(R1835)-(P1835)*(T1835)))</f>
        <v/>
      </c>
      <c r="X1835">
        <f>IF(ABS(W1835)&gt;1E-12,((LTP3!$D$6)*((P1835)*(Q1835)-(R1835)*(R1835))-(S1835)*((U1835)*(Q1835)-(R1835)*(V1835))+(T1835)*((U1835)*(R1835)-(P1835)*(V1835)))/W1835,0)</f>
        <v/>
      </c>
      <c r="Y1835">
        <f>IF(ABS(W1835)&gt;1E-12,((LTP3!$D$5)*((U1835)*(Q1835)-(R1835)*(V1835))-(LTP3!$D$6)*((S1835)*(Q1835)-(R1835)*(T1835))+(T1835)*((S1835)*(V1835)-(U1835)*(T1835)))/W1835,0)</f>
        <v/>
      </c>
      <c r="Z1835">
        <f>IF(ABS(W1835)&gt;1E-12,((LTP3!$D$5)*((P1835)*(V1835)-(U1835)*(R1835))-(S1835)*((S1835)*(V1835)-(U1835)*(T1835))+(LTP3!$D$6)*((S1835)*(R1835)-(P1835)*(T1835)))/W1835,0)</f>
        <v/>
      </c>
      <c r="AA1835">
        <f>LTP3!$D$7-X1835*LTP3!$D$6-Y1835*U1835-Z1835*V1835</f>
        <v/>
      </c>
      <c r="AB1835">
        <f>IF(AND(F1835,ABS(W1835)&gt;1E-12,Y1835&gt;0,Z1835&gt;0),AA1835,1E+300)</f>
        <v/>
      </c>
    </row>
    <row r="1836">
      <c r="A1836">
        <f>$B$3+$B$5*29</f>
        <v/>
      </c>
      <c r="B1836">
        <f>$B$3+$B$5*55</f>
        <v/>
      </c>
      <c r="C1836">
        <f>SUMPRODUCT(Calc!$K$3:$K$22*(Calc!$G$3:$G$22&lt;=A1836))</f>
        <v/>
      </c>
      <c r="D1836">
        <f>SUMPRODUCT(Calc!$K$3:$K$22*(Calc!$G$3:$G$22&gt;A1836)*(Calc!$G$3:$G$22&lt;B1836))</f>
        <v/>
      </c>
      <c r="E1836">
        <f>SUMPRODUCT(Calc!$K$3:$K$22*(Calc!$G$3:$G$22&gt;=B1836))</f>
        <v/>
      </c>
      <c r="F1836">
        <f>AND(k_n&gt;=5,B1836&gt;A1836+1E-9,C1836&gt;=2,D1836&gt;=1,E1836&gt;=2)</f>
        <v/>
      </c>
      <c r="G1836">
        <f>SUMPRODUCT(Calc!$K$3:$K$22*(Calc!$G$3:$G$22&gt;A1836)*(Calc!$G$3:$G$22-A1836))</f>
        <v/>
      </c>
      <c r="H1836">
        <f>SUMPRODUCT(Calc!$K$3:$K$22*(Calc!$G$3:$G$22&gt;B1836)*(Calc!$G$3:$G$22-B1836))</f>
        <v/>
      </c>
      <c r="I1836">
        <f>SUMPRODUCT(Calc!$K$3:$K$22*(Calc!$G$3:$G$22&gt;A1836)*(Calc!$G$3:$G$22-A1836)^2)</f>
        <v/>
      </c>
      <c r="J1836">
        <f>SUMPRODUCT(Calc!$K$3:$K$22*(Calc!$G$3:$G$22&gt;B1836)*(Calc!$G$3:$G$22-B1836)^2)</f>
        <v/>
      </c>
      <c r="K1836">
        <f>SUMPRODUCT(Calc!$K$3:$K$22*(Calc!$G$3:$G$22&gt;A1836)*(Calc!$G$3:$G$22-A1836)*(Calc!$G$3:$G$22&gt;B1836)*(Calc!$G$3:$G$22-B1836))</f>
        <v/>
      </c>
      <c r="L1836">
        <f>SUMPRODUCT(Calc!$K$3:$K$22*(Calc!$G$3:$G$22&gt;A1836)*(Calc!$G$3:$G$22-A1836)*Calc!$G$3:$G$22)</f>
        <v/>
      </c>
      <c r="M1836">
        <f>SUMPRODUCT(Calc!$K$3:$K$22*(Calc!$G$3:$G$22&gt;B1836)*(Calc!$G$3:$G$22-B1836)*Calc!$G$3:$G$22)</f>
        <v/>
      </c>
      <c r="N1836">
        <f>SUMPRODUCT(Calc!$K$3:$K$22*(Calc!$G$3:$G$22&gt;A1836)*(Calc!$G$3:$G$22-A1836)*Calc!$I$3:$I$22)</f>
        <v/>
      </c>
      <c r="O1836">
        <f>SUMPRODUCT(Calc!$K$3:$K$22*(Calc!$G$3:$G$22&gt;B1836)*(Calc!$G$3:$G$22-B1836)*Calc!$I$3:$I$22)</f>
        <v/>
      </c>
      <c r="P1836">
        <f>I1836-G1836^2/k_n</f>
        <v/>
      </c>
      <c r="Q1836">
        <f>J1836-H1836^2/k_n</f>
        <v/>
      </c>
      <c r="R1836">
        <f>K1836-G1836*H1836/k_n</f>
        <v/>
      </c>
      <c r="S1836">
        <f>L1836-LTP3!$D$3*G1836/k_n</f>
        <v/>
      </c>
      <c r="T1836">
        <f>M1836-LTP3!$D$3*H1836/k_n</f>
        <v/>
      </c>
      <c r="U1836">
        <f>N1836-G1836*LTP3!$D$4/k_n</f>
        <v/>
      </c>
      <c r="V1836">
        <f>O1836-H1836*LTP3!$D$4/k_n</f>
        <v/>
      </c>
      <c r="W1836">
        <f>((LTP3!$D$5)*((P1836)*(Q1836)-(R1836)*(R1836))-(S1836)*((S1836)*(Q1836)-(R1836)*(T1836))+(T1836)*((S1836)*(R1836)-(P1836)*(T1836)))</f>
        <v/>
      </c>
      <c r="X1836">
        <f>IF(ABS(W1836)&gt;1E-12,((LTP3!$D$6)*((P1836)*(Q1836)-(R1836)*(R1836))-(S1836)*((U1836)*(Q1836)-(R1836)*(V1836))+(T1836)*((U1836)*(R1836)-(P1836)*(V1836)))/W1836,0)</f>
        <v/>
      </c>
      <c r="Y1836">
        <f>IF(ABS(W1836)&gt;1E-12,((LTP3!$D$5)*((U1836)*(Q1836)-(R1836)*(V1836))-(LTP3!$D$6)*((S1836)*(Q1836)-(R1836)*(T1836))+(T1836)*((S1836)*(V1836)-(U1836)*(T1836)))/W1836,0)</f>
        <v/>
      </c>
      <c r="Z1836">
        <f>IF(ABS(W1836)&gt;1E-12,((LTP3!$D$5)*((P1836)*(V1836)-(U1836)*(R1836))-(S1836)*((S1836)*(V1836)-(U1836)*(T1836))+(LTP3!$D$6)*((S1836)*(R1836)-(P1836)*(T1836)))/W1836,0)</f>
        <v/>
      </c>
      <c r="AA1836">
        <f>LTP3!$D$7-X1836*LTP3!$D$6-Y1836*U1836-Z1836*V1836</f>
        <v/>
      </c>
      <c r="AB1836">
        <f>IF(AND(F1836,ABS(W1836)&gt;1E-12,Y1836&gt;0,Z1836&gt;0),AA1836,1E+300)</f>
        <v/>
      </c>
    </row>
    <row r="1837">
      <c r="A1837">
        <f>$B$3+$B$5*29</f>
        <v/>
      </c>
      <c r="B1837">
        <f>$B$3+$B$5*56</f>
        <v/>
      </c>
      <c r="C1837">
        <f>SUMPRODUCT(Calc!$K$3:$K$22*(Calc!$G$3:$G$22&lt;=A1837))</f>
        <v/>
      </c>
      <c r="D1837">
        <f>SUMPRODUCT(Calc!$K$3:$K$22*(Calc!$G$3:$G$22&gt;A1837)*(Calc!$G$3:$G$22&lt;B1837))</f>
        <v/>
      </c>
      <c r="E1837">
        <f>SUMPRODUCT(Calc!$K$3:$K$22*(Calc!$G$3:$G$22&gt;=B1837))</f>
        <v/>
      </c>
      <c r="F1837">
        <f>AND(k_n&gt;=5,B1837&gt;A1837+1E-9,C1837&gt;=2,D1837&gt;=1,E1837&gt;=2)</f>
        <v/>
      </c>
      <c r="G1837">
        <f>SUMPRODUCT(Calc!$K$3:$K$22*(Calc!$G$3:$G$22&gt;A1837)*(Calc!$G$3:$G$22-A1837))</f>
        <v/>
      </c>
      <c r="H1837">
        <f>SUMPRODUCT(Calc!$K$3:$K$22*(Calc!$G$3:$G$22&gt;B1837)*(Calc!$G$3:$G$22-B1837))</f>
        <v/>
      </c>
      <c r="I1837">
        <f>SUMPRODUCT(Calc!$K$3:$K$22*(Calc!$G$3:$G$22&gt;A1837)*(Calc!$G$3:$G$22-A1837)^2)</f>
        <v/>
      </c>
      <c r="J1837">
        <f>SUMPRODUCT(Calc!$K$3:$K$22*(Calc!$G$3:$G$22&gt;B1837)*(Calc!$G$3:$G$22-B1837)^2)</f>
        <v/>
      </c>
      <c r="K1837">
        <f>SUMPRODUCT(Calc!$K$3:$K$22*(Calc!$G$3:$G$22&gt;A1837)*(Calc!$G$3:$G$22-A1837)*(Calc!$G$3:$G$22&gt;B1837)*(Calc!$G$3:$G$22-B1837))</f>
        <v/>
      </c>
      <c r="L1837">
        <f>SUMPRODUCT(Calc!$K$3:$K$22*(Calc!$G$3:$G$22&gt;A1837)*(Calc!$G$3:$G$22-A1837)*Calc!$G$3:$G$22)</f>
        <v/>
      </c>
      <c r="M1837">
        <f>SUMPRODUCT(Calc!$K$3:$K$22*(Calc!$G$3:$G$22&gt;B1837)*(Calc!$G$3:$G$22-B1837)*Calc!$G$3:$G$22)</f>
        <v/>
      </c>
      <c r="N1837">
        <f>SUMPRODUCT(Calc!$K$3:$K$22*(Calc!$G$3:$G$22&gt;A1837)*(Calc!$G$3:$G$22-A1837)*Calc!$I$3:$I$22)</f>
        <v/>
      </c>
      <c r="O1837">
        <f>SUMPRODUCT(Calc!$K$3:$K$22*(Calc!$G$3:$G$22&gt;B1837)*(Calc!$G$3:$G$22-B1837)*Calc!$I$3:$I$22)</f>
        <v/>
      </c>
      <c r="P1837">
        <f>I1837-G1837^2/k_n</f>
        <v/>
      </c>
      <c r="Q1837">
        <f>J1837-H1837^2/k_n</f>
        <v/>
      </c>
      <c r="R1837">
        <f>K1837-G1837*H1837/k_n</f>
        <v/>
      </c>
      <c r="S1837">
        <f>L1837-LTP3!$D$3*G1837/k_n</f>
        <v/>
      </c>
      <c r="T1837">
        <f>M1837-LTP3!$D$3*H1837/k_n</f>
        <v/>
      </c>
      <c r="U1837">
        <f>N1837-G1837*LTP3!$D$4/k_n</f>
        <v/>
      </c>
      <c r="V1837">
        <f>O1837-H1837*LTP3!$D$4/k_n</f>
        <v/>
      </c>
      <c r="W1837">
        <f>((LTP3!$D$5)*((P1837)*(Q1837)-(R1837)*(R1837))-(S1837)*((S1837)*(Q1837)-(R1837)*(T1837))+(T1837)*((S1837)*(R1837)-(P1837)*(T1837)))</f>
        <v/>
      </c>
      <c r="X1837">
        <f>IF(ABS(W1837)&gt;1E-12,((LTP3!$D$6)*((P1837)*(Q1837)-(R1837)*(R1837))-(S1837)*((U1837)*(Q1837)-(R1837)*(V1837))+(T1837)*((U1837)*(R1837)-(P1837)*(V1837)))/W1837,0)</f>
        <v/>
      </c>
      <c r="Y1837">
        <f>IF(ABS(W1837)&gt;1E-12,((LTP3!$D$5)*((U1837)*(Q1837)-(R1837)*(V1837))-(LTP3!$D$6)*((S1837)*(Q1837)-(R1837)*(T1837))+(T1837)*((S1837)*(V1837)-(U1837)*(T1837)))/W1837,0)</f>
        <v/>
      </c>
      <c r="Z1837">
        <f>IF(ABS(W1837)&gt;1E-12,((LTP3!$D$5)*((P1837)*(V1837)-(U1837)*(R1837))-(S1837)*((S1837)*(V1837)-(U1837)*(T1837))+(LTP3!$D$6)*((S1837)*(R1837)-(P1837)*(T1837)))/W1837,0)</f>
        <v/>
      </c>
      <c r="AA1837">
        <f>LTP3!$D$7-X1837*LTP3!$D$6-Y1837*U1837-Z1837*V1837</f>
        <v/>
      </c>
      <c r="AB1837">
        <f>IF(AND(F1837,ABS(W1837)&gt;1E-12,Y1837&gt;0,Z1837&gt;0),AA1837,1E+300)</f>
        <v/>
      </c>
    </row>
    <row r="1838">
      <c r="A1838">
        <f>$B$3+$B$5*29</f>
        <v/>
      </c>
      <c r="B1838">
        <f>$B$3+$B$5*57</f>
        <v/>
      </c>
      <c r="C1838">
        <f>SUMPRODUCT(Calc!$K$3:$K$22*(Calc!$G$3:$G$22&lt;=A1838))</f>
        <v/>
      </c>
      <c r="D1838">
        <f>SUMPRODUCT(Calc!$K$3:$K$22*(Calc!$G$3:$G$22&gt;A1838)*(Calc!$G$3:$G$22&lt;B1838))</f>
        <v/>
      </c>
      <c r="E1838">
        <f>SUMPRODUCT(Calc!$K$3:$K$22*(Calc!$G$3:$G$22&gt;=B1838))</f>
        <v/>
      </c>
      <c r="F1838">
        <f>AND(k_n&gt;=5,B1838&gt;A1838+1E-9,C1838&gt;=2,D1838&gt;=1,E1838&gt;=2)</f>
        <v/>
      </c>
      <c r="G1838">
        <f>SUMPRODUCT(Calc!$K$3:$K$22*(Calc!$G$3:$G$22&gt;A1838)*(Calc!$G$3:$G$22-A1838))</f>
        <v/>
      </c>
      <c r="H1838">
        <f>SUMPRODUCT(Calc!$K$3:$K$22*(Calc!$G$3:$G$22&gt;B1838)*(Calc!$G$3:$G$22-B1838))</f>
        <v/>
      </c>
      <c r="I1838">
        <f>SUMPRODUCT(Calc!$K$3:$K$22*(Calc!$G$3:$G$22&gt;A1838)*(Calc!$G$3:$G$22-A1838)^2)</f>
        <v/>
      </c>
      <c r="J1838">
        <f>SUMPRODUCT(Calc!$K$3:$K$22*(Calc!$G$3:$G$22&gt;B1838)*(Calc!$G$3:$G$22-B1838)^2)</f>
        <v/>
      </c>
      <c r="K1838">
        <f>SUMPRODUCT(Calc!$K$3:$K$22*(Calc!$G$3:$G$22&gt;A1838)*(Calc!$G$3:$G$22-A1838)*(Calc!$G$3:$G$22&gt;B1838)*(Calc!$G$3:$G$22-B1838))</f>
        <v/>
      </c>
      <c r="L1838">
        <f>SUMPRODUCT(Calc!$K$3:$K$22*(Calc!$G$3:$G$22&gt;A1838)*(Calc!$G$3:$G$22-A1838)*Calc!$G$3:$G$22)</f>
        <v/>
      </c>
      <c r="M1838">
        <f>SUMPRODUCT(Calc!$K$3:$K$22*(Calc!$G$3:$G$22&gt;B1838)*(Calc!$G$3:$G$22-B1838)*Calc!$G$3:$G$22)</f>
        <v/>
      </c>
      <c r="N1838">
        <f>SUMPRODUCT(Calc!$K$3:$K$22*(Calc!$G$3:$G$22&gt;A1838)*(Calc!$G$3:$G$22-A1838)*Calc!$I$3:$I$22)</f>
        <v/>
      </c>
      <c r="O1838">
        <f>SUMPRODUCT(Calc!$K$3:$K$22*(Calc!$G$3:$G$22&gt;B1838)*(Calc!$G$3:$G$22-B1838)*Calc!$I$3:$I$22)</f>
        <v/>
      </c>
      <c r="P1838">
        <f>I1838-G1838^2/k_n</f>
        <v/>
      </c>
      <c r="Q1838">
        <f>J1838-H1838^2/k_n</f>
        <v/>
      </c>
      <c r="R1838">
        <f>K1838-G1838*H1838/k_n</f>
        <v/>
      </c>
      <c r="S1838">
        <f>L1838-LTP3!$D$3*G1838/k_n</f>
        <v/>
      </c>
      <c r="T1838">
        <f>M1838-LTP3!$D$3*H1838/k_n</f>
        <v/>
      </c>
      <c r="U1838">
        <f>N1838-G1838*LTP3!$D$4/k_n</f>
        <v/>
      </c>
      <c r="V1838">
        <f>O1838-H1838*LTP3!$D$4/k_n</f>
        <v/>
      </c>
      <c r="W1838">
        <f>((LTP3!$D$5)*((P1838)*(Q1838)-(R1838)*(R1838))-(S1838)*((S1838)*(Q1838)-(R1838)*(T1838))+(T1838)*((S1838)*(R1838)-(P1838)*(T1838)))</f>
        <v/>
      </c>
      <c r="X1838">
        <f>IF(ABS(W1838)&gt;1E-12,((LTP3!$D$6)*((P1838)*(Q1838)-(R1838)*(R1838))-(S1838)*((U1838)*(Q1838)-(R1838)*(V1838))+(T1838)*((U1838)*(R1838)-(P1838)*(V1838)))/W1838,0)</f>
        <v/>
      </c>
      <c r="Y1838">
        <f>IF(ABS(W1838)&gt;1E-12,((LTP3!$D$5)*((U1838)*(Q1838)-(R1838)*(V1838))-(LTP3!$D$6)*((S1838)*(Q1838)-(R1838)*(T1838))+(T1838)*((S1838)*(V1838)-(U1838)*(T1838)))/W1838,0)</f>
        <v/>
      </c>
      <c r="Z1838">
        <f>IF(ABS(W1838)&gt;1E-12,((LTP3!$D$5)*((P1838)*(V1838)-(U1838)*(R1838))-(S1838)*((S1838)*(V1838)-(U1838)*(T1838))+(LTP3!$D$6)*((S1838)*(R1838)-(P1838)*(T1838)))/W1838,0)</f>
        <v/>
      </c>
      <c r="AA1838">
        <f>LTP3!$D$7-X1838*LTP3!$D$6-Y1838*U1838-Z1838*V1838</f>
        <v/>
      </c>
      <c r="AB1838">
        <f>IF(AND(F1838,ABS(W1838)&gt;1E-12,Y1838&gt;0,Z1838&gt;0),AA1838,1E+300)</f>
        <v/>
      </c>
    </row>
    <row r="1839">
      <c r="A1839">
        <f>$B$3+$B$5*29</f>
        <v/>
      </c>
      <c r="B1839">
        <f>$B$3+$B$5*58</f>
        <v/>
      </c>
      <c r="C1839">
        <f>SUMPRODUCT(Calc!$K$3:$K$22*(Calc!$G$3:$G$22&lt;=A1839))</f>
        <v/>
      </c>
      <c r="D1839">
        <f>SUMPRODUCT(Calc!$K$3:$K$22*(Calc!$G$3:$G$22&gt;A1839)*(Calc!$G$3:$G$22&lt;B1839))</f>
        <v/>
      </c>
      <c r="E1839">
        <f>SUMPRODUCT(Calc!$K$3:$K$22*(Calc!$G$3:$G$22&gt;=B1839))</f>
        <v/>
      </c>
      <c r="F1839">
        <f>AND(k_n&gt;=5,B1839&gt;A1839+1E-9,C1839&gt;=2,D1839&gt;=1,E1839&gt;=2)</f>
        <v/>
      </c>
      <c r="G1839">
        <f>SUMPRODUCT(Calc!$K$3:$K$22*(Calc!$G$3:$G$22&gt;A1839)*(Calc!$G$3:$G$22-A1839))</f>
        <v/>
      </c>
      <c r="H1839">
        <f>SUMPRODUCT(Calc!$K$3:$K$22*(Calc!$G$3:$G$22&gt;B1839)*(Calc!$G$3:$G$22-B1839))</f>
        <v/>
      </c>
      <c r="I1839">
        <f>SUMPRODUCT(Calc!$K$3:$K$22*(Calc!$G$3:$G$22&gt;A1839)*(Calc!$G$3:$G$22-A1839)^2)</f>
        <v/>
      </c>
      <c r="J1839">
        <f>SUMPRODUCT(Calc!$K$3:$K$22*(Calc!$G$3:$G$22&gt;B1839)*(Calc!$G$3:$G$22-B1839)^2)</f>
        <v/>
      </c>
      <c r="K1839">
        <f>SUMPRODUCT(Calc!$K$3:$K$22*(Calc!$G$3:$G$22&gt;A1839)*(Calc!$G$3:$G$22-A1839)*(Calc!$G$3:$G$22&gt;B1839)*(Calc!$G$3:$G$22-B1839))</f>
        <v/>
      </c>
      <c r="L1839">
        <f>SUMPRODUCT(Calc!$K$3:$K$22*(Calc!$G$3:$G$22&gt;A1839)*(Calc!$G$3:$G$22-A1839)*Calc!$G$3:$G$22)</f>
        <v/>
      </c>
      <c r="M1839">
        <f>SUMPRODUCT(Calc!$K$3:$K$22*(Calc!$G$3:$G$22&gt;B1839)*(Calc!$G$3:$G$22-B1839)*Calc!$G$3:$G$22)</f>
        <v/>
      </c>
      <c r="N1839">
        <f>SUMPRODUCT(Calc!$K$3:$K$22*(Calc!$G$3:$G$22&gt;A1839)*(Calc!$G$3:$G$22-A1839)*Calc!$I$3:$I$22)</f>
        <v/>
      </c>
      <c r="O1839">
        <f>SUMPRODUCT(Calc!$K$3:$K$22*(Calc!$G$3:$G$22&gt;B1839)*(Calc!$G$3:$G$22-B1839)*Calc!$I$3:$I$22)</f>
        <v/>
      </c>
      <c r="P1839">
        <f>I1839-G1839^2/k_n</f>
        <v/>
      </c>
      <c r="Q1839">
        <f>J1839-H1839^2/k_n</f>
        <v/>
      </c>
      <c r="R1839">
        <f>K1839-G1839*H1839/k_n</f>
        <v/>
      </c>
      <c r="S1839">
        <f>L1839-LTP3!$D$3*G1839/k_n</f>
        <v/>
      </c>
      <c r="T1839">
        <f>M1839-LTP3!$D$3*H1839/k_n</f>
        <v/>
      </c>
      <c r="U1839">
        <f>N1839-G1839*LTP3!$D$4/k_n</f>
        <v/>
      </c>
      <c r="V1839">
        <f>O1839-H1839*LTP3!$D$4/k_n</f>
        <v/>
      </c>
      <c r="W1839">
        <f>((LTP3!$D$5)*((P1839)*(Q1839)-(R1839)*(R1839))-(S1839)*((S1839)*(Q1839)-(R1839)*(T1839))+(T1839)*((S1839)*(R1839)-(P1839)*(T1839)))</f>
        <v/>
      </c>
      <c r="X1839">
        <f>IF(ABS(W1839)&gt;1E-12,((LTP3!$D$6)*((P1839)*(Q1839)-(R1839)*(R1839))-(S1839)*((U1839)*(Q1839)-(R1839)*(V1839))+(T1839)*((U1839)*(R1839)-(P1839)*(V1839)))/W1839,0)</f>
        <v/>
      </c>
      <c r="Y1839">
        <f>IF(ABS(W1839)&gt;1E-12,((LTP3!$D$5)*((U1839)*(Q1839)-(R1839)*(V1839))-(LTP3!$D$6)*((S1839)*(Q1839)-(R1839)*(T1839))+(T1839)*((S1839)*(V1839)-(U1839)*(T1839)))/W1839,0)</f>
        <v/>
      </c>
      <c r="Z1839">
        <f>IF(ABS(W1839)&gt;1E-12,((LTP3!$D$5)*((P1839)*(V1839)-(U1839)*(R1839))-(S1839)*((S1839)*(V1839)-(U1839)*(T1839))+(LTP3!$D$6)*((S1839)*(R1839)-(P1839)*(T1839)))/W1839,0)</f>
        <v/>
      </c>
      <c r="AA1839">
        <f>LTP3!$D$7-X1839*LTP3!$D$6-Y1839*U1839-Z1839*V1839</f>
        <v/>
      </c>
      <c r="AB1839">
        <f>IF(AND(F1839,ABS(W1839)&gt;1E-12,Y1839&gt;0,Z1839&gt;0),AA1839,1E+300)</f>
        <v/>
      </c>
    </row>
    <row r="1840">
      <c r="A1840">
        <f>$B$3+$B$5*29</f>
        <v/>
      </c>
      <c r="B1840">
        <f>$B$3+$B$5*59</f>
        <v/>
      </c>
      <c r="C1840">
        <f>SUMPRODUCT(Calc!$K$3:$K$22*(Calc!$G$3:$G$22&lt;=A1840))</f>
        <v/>
      </c>
      <c r="D1840">
        <f>SUMPRODUCT(Calc!$K$3:$K$22*(Calc!$G$3:$G$22&gt;A1840)*(Calc!$G$3:$G$22&lt;B1840))</f>
        <v/>
      </c>
      <c r="E1840">
        <f>SUMPRODUCT(Calc!$K$3:$K$22*(Calc!$G$3:$G$22&gt;=B1840))</f>
        <v/>
      </c>
      <c r="F1840">
        <f>AND(k_n&gt;=5,B1840&gt;A1840+1E-9,C1840&gt;=2,D1840&gt;=1,E1840&gt;=2)</f>
        <v/>
      </c>
      <c r="G1840">
        <f>SUMPRODUCT(Calc!$K$3:$K$22*(Calc!$G$3:$G$22&gt;A1840)*(Calc!$G$3:$G$22-A1840))</f>
        <v/>
      </c>
      <c r="H1840">
        <f>SUMPRODUCT(Calc!$K$3:$K$22*(Calc!$G$3:$G$22&gt;B1840)*(Calc!$G$3:$G$22-B1840))</f>
        <v/>
      </c>
      <c r="I1840">
        <f>SUMPRODUCT(Calc!$K$3:$K$22*(Calc!$G$3:$G$22&gt;A1840)*(Calc!$G$3:$G$22-A1840)^2)</f>
        <v/>
      </c>
      <c r="J1840">
        <f>SUMPRODUCT(Calc!$K$3:$K$22*(Calc!$G$3:$G$22&gt;B1840)*(Calc!$G$3:$G$22-B1840)^2)</f>
        <v/>
      </c>
      <c r="K1840">
        <f>SUMPRODUCT(Calc!$K$3:$K$22*(Calc!$G$3:$G$22&gt;A1840)*(Calc!$G$3:$G$22-A1840)*(Calc!$G$3:$G$22&gt;B1840)*(Calc!$G$3:$G$22-B1840))</f>
        <v/>
      </c>
      <c r="L1840">
        <f>SUMPRODUCT(Calc!$K$3:$K$22*(Calc!$G$3:$G$22&gt;A1840)*(Calc!$G$3:$G$22-A1840)*Calc!$G$3:$G$22)</f>
        <v/>
      </c>
      <c r="M1840">
        <f>SUMPRODUCT(Calc!$K$3:$K$22*(Calc!$G$3:$G$22&gt;B1840)*(Calc!$G$3:$G$22-B1840)*Calc!$G$3:$G$22)</f>
        <v/>
      </c>
      <c r="N1840">
        <f>SUMPRODUCT(Calc!$K$3:$K$22*(Calc!$G$3:$G$22&gt;A1840)*(Calc!$G$3:$G$22-A1840)*Calc!$I$3:$I$22)</f>
        <v/>
      </c>
      <c r="O1840">
        <f>SUMPRODUCT(Calc!$K$3:$K$22*(Calc!$G$3:$G$22&gt;B1840)*(Calc!$G$3:$G$22-B1840)*Calc!$I$3:$I$22)</f>
        <v/>
      </c>
      <c r="P1840">
        <f>I1840-G1840^2/k_n</f>
        <v/>
      </c>
      <c r="Q1840">
        <f>J1840-H1840^2/k_n</f>
        <v/>
      </c>
      <c r="R1840">
        <f>K1840-G1840*H1840/k_n</f>
        <v/>
      </c>
      <c r="S1840">
        <f>L1840-LTP3!$D$3*G1840/k_n</f>
        <v/>
      </c>
      <c r="T1840">
        <f>M1840-LTP3!$D$3*H1840/k_n</f>
        <v/>
      </c>
      <c r="U1840">
        <f>N1840-G1840*LTP3!$D$4/k_n</f>
        <v/>
      </c>
      <c r="V1840">
        <f>O1840-H1840*LTP3!$D$4/k_n</f>
        <v/>
      </c>
      <c r="W1840">
        <f>((LTP3!$D$5)*((P1840)*(Q1840)-(R1840)*(R1840))-(S1840)*((S1840)*(Q1840)-(R1840)*(T1840))+(T1840)*((S1840)*(R1840)-(P1840)*(T1840)))</f>
        <v/>
      </c>
      <c r="X1840">
        <f>IF(ABS(W1840)&gt;1E-12,((LTP3!$D$6)*((P1840)*(Q1840)-(R1840)*(R1840))-(S1840)*((U1840)*(Q1840)-(R1840)*(V1840))+(T1840)*((U1840)*(R1840)-(P1840)*(V1840)))/W1840,0)</f>
        <v/>
      </c>
      <c r="Y1840">
        <f>IF(ABS(W1840)&gt;1E-12,((LTP3!$D$5)*((U1840)*(Q1840)-(R1840)*(V1840))-(LTP3!$D$6)*((S1840)*(Q1840)-(R1840)*(T1840))+(T1840)*((S1840)*(V1840)-(U1840)*(T1840)))/W1840,0)</f>
        <v/>
      </c>
      <c r="Z1840">
        <f>IF(ABS(W1840)&gt;1E-12,((LTP3!$D$5)*((P1840)*(V1840)-(U1840)*(R1840))-(S1840)*((S1840)*(V1840)-(U1840)*(T1840))+(LTP3!$D$6)*((S1840)*(R1840)-(P1840)*(T1840)))/W1840,0)</f>
        <v/>
      </c>
      <c r="AA1840">
        <f>LTP3!$D$7-X1840*LTP3!$D$6-Y1840*U1840-Z1840*V1840</f>
        <v/>
      </c>
      <c r="AB1840">
        <f>IF(AND(F1840,ABS(W1840)&gt;1E-12,Y1840&gt;0,Z1840&gt;0),AA1840,1E+300)</f>
        <v/>
      </c>
    </row>
    <row r="1841">
      <c r="A1841">
        <f>$B$3+$B$5*29</f>
        <v/>
      </c>
      <c r="B1841">
        <f>$B$3+$B$5*60</f>
        <v/>
      </c>
      <c r="C1841">
        <f>SUMPRODUCT(Calc!$K$3:$K$22*(Calc!$G$3:$G$22&lt;=A1841))</f>
        <v/>
      </c>
      <c r="D1841">
        <f>SUMPRODUCT(Calc!$K$3:$K$22*(Calc!$G$3:$G$22&gt;A1841)*(Calc!$G$3:$G$22&lt;B1841))</f>
        <v/>
      </c>
      <c r="E1841">
        <f>SUMPRODUCT(Calc!$K$3:$K$22*(Calc!$G$3:$G$22&gt;=B1841))</f>
        <v/>
      </c>
      <c r="F1841">
        <f>AND(k_n&gt;=5,B1841&gt;A1841+1E-9,C1841&gt;=2,D1841&gt;=1,E1841&gt;=2)</f>
        <v/>
      </c>
      <c r="G1841">
        <f>SUMPRODUCT(Calc!$K$3:$K$22*(Calc!$G$3:$G$22&gt;A1841)*(Calc!$G$3:$G$22-A1841))</f>
        <v/>
      </c>
      <c r="H1841">
        <f>SUMPRODUCT(Calc!$K$3:$K$22*(Calc!$G$3:$G$22&gt;B1841)*(Calc!$G$3:$G$22-B1841))</f>
        <v/>
      </c>
      <c r="I1841">
        <f>SUMPRODUCT(Calc!$K$3:$K$22*(Calc!$G$3:$G$22&gt;A1841)*(Calc!$G$3:$G$22-A1841)^2)</f>
        <v/>
      </c>
      <c r="J1841">
        <f>SUMPRODUCT(Calc!$K$3:$K$22*(Calc!$G$3:$G$22&gt;B1841)*(Calc!$G$3:$G$22-B1841)^2)</f>
        <v/>
      </c>
      <c r="K1841">
        <f>SUMPRODUCT(Calc!$K$3:$K$22*(Calc!$G$3:$G$22&gt;A1841)*(Calc!$G$3:$G$22-A1841)*(Calc!$G$3:$G$22&gt;B1841)*(Calc!$G$3:$G$22-B1841))</f>
        <v/>
      </c>
      <c r="L1841">
        <f>SUMPRODUCT(Calc!$K$3:$K$22*(Calc!$G$3:$G$22&gt;A1841)*(Calc!$G$3:$G$22-A1841)*Calc!$G$3:$G$22)</f>
        <v/>
      </c>
      <c r="M1841">
        <f>SUMPRODUCT(Calc!$K$3:$K$22*(Calc!$G$3:$G$22&gt;B1841)*(Calc!$G$3:$G$22-B1841)*Calc!$G$3:$G$22)</f>
        <v/>
      </c>
      <c r="N1841">
        <f>SUMPRODUCT(Calc!$K$3:$K$22*(Calc!$G$3:$G$22&gt;A1841)*(Calc!$G$3:$G$22-A1841)*Calc!$I$3:$I$22)</f>
        <v/>
      </c>
      <c r="O1841">
        <f>SUMPRODUCT(Calc!$K$3:$K$22*(Calc!$G$3:$G$22&gt;B1841)*(Calc!$G$3:$G$22-B1841)*Calc!$I$3:$I$22)</f>
        <v/>
      </c>
      <c r="P1841">
        <f>I1841-G1841^2/k_n</f>
        <v/>
      </c>
      <c r="Q1841">
        <f>J1841-H1841^2/k_n</f>
        <v/>
      </c>
      <c r="R1841">
        <f>K1841-G1841*H1841/k_n</f>
        <v/>
      </c>
      <c r="S1841">
        <f>L1841-LTP3!$D$3*G1841/k_n</f>
        <v/>
      </c>
      <c r="T1841">
        <f>M1841-LTP3!$D$3*H1841/k_n</f>
        <v/>
      </c>
      <c r="U1841">
        <f>N1841-G1841*LTP3!$D$4/k_n</f>
        <v/>
      </c>
      <c r="V1841">
        <f>O1841-H1841*LTP3!$D$4/k_n</f>
        <v/>
      </c>
      <c r="W1841">
        <f>((LTP3!$D$5)*((P1841)*(Q1841)-(R1841)*(R1841))-(S1841)*((S1841)*(Q1841)-(R1841)*(T1841))+(T1841)*((S1841)*(R1841)-(P1841)*(T1841)))</f>
        <v/>
      </c>
      <c r="X1841">
        <f>IF(ABS(W1841)&gt;1E-12,((LTP3!$D$6)*((P1841)*(Q1841)-(R1841)*(R1841))-(S1841)*((U1841)*(Q1841)-(R1841)*(V1841))+(T1841)*((U1841)*(R1841)-(P1841)*(V1841)))/W1841,0)</f>
        <v/>
      </c>
      <c r="Y1841">
        <f>IF(ABS(W1841)&gt;1E-12,((LTP3!$D$5)*((U1841)*(Q1841)-(R1841)*(V1841))-(LTP3!$D$6)*((S1841)*(Q1841)-(R1841)*(T1841))+(T1841)*((S1841)*(V1841)-(U1841)*(T1841)))/W1841,0)</f>
        <v/>
      </c>
      <c r="Z1841">
        <f>IF(ABS(W1841)&gt;1E-12,((LTP3!$D$5)*((P1841)*(V1841)-(U1841)*(R1841))-(S1841)*((S1841)*(V1841)-(U1841)*(T1841))+(LTP3!$D$6)*((S1841)*(R1841)-(P1841)*(T1841)))/W1841,0)</f>
        <v/>
      </c>
      <c r="AA1841">
        <f>LTP3!$D$7-X1841*LTP3!$D$6-Y1841*U1841-Z1841*V1841</f>
        <v/>
      </c>
      <c r="AB1841">
        <f>IF(AND(F1841,ABS(W1841)&gt;1E-12,Y1841&gt;0,Z1841&gt;0),AA1841,1E+300)</f>
        <v/>
      </c>
    </row>
    <row r="1842">
      <c r="A1842">
        <f>$B$3+$B$5*30</f>
        <v/>
      </c>
      <c r="B1842">
        <f>$B$3+$B$5*0</f>
        <v/>
      </c>
      <c r="C1842">
        <f>SUMPRODUCT(Calc!$K$3:$K$22*(Calc!$G$3:$G$22&lt;=A1842))</f>
        <v/>
      </c>
      <c r="D1842">
        <f>SUMPRODUCT(Calc!$K$3:$K$22*(Calc!$G$3:$G$22&gt;A1842)*(Calc!$G$3:$G$22&lt;B1842))</f>
        <v/>
      </c>
      <c r="E1842">
        <f>SUMPRODUCT(Calc!$K$3:$K$22*(Calc!$G$3:$G$22&gt;=B1842))</f>
        <v/>
      </c>
      <c r="F1842">
        <f>AND(k_n&gt;=5,B1842&gt;A1842+1E-9,C1842&gt;=2,D1842&gt;=1,E1842&gt;=2)</f>
        <v/>
      </c>
      <c r="G1842">
        <f>SUMPRODUCT(Calc!$K$3:$K$22*(Calc!$G$3:$G$22&gt;A1842)*(Calc!$G$3:$G$22-A1842))</f>
        <v/>
      </c>
      <c r="H1842">
        <f>SUMPRODUCT(Calc!$K$3:$K$22*(Calc!$G$3:$G$22&gt;B1842)*(Calc!$G$3:$G$22-B1842))</f>
        <v/>
      </c>
      <c r="I1842">
        <f>SUMPRODUCT(Calc!$K$3:$K$22*(Calc!$G$3:$G$22&gt;A1842)*(Calc!$G$3:$G$22-A1842)^2)</f>
        <v/>
      </c>
      <c r="J1842">
        <f>SUMPRODUCT(Calc!$K$3:$K$22*(Calc!$G$3:$G$22&gt;B1842)*(Calc!$G$3:$G$22-B1842)^2)</f>
        <v/>
      </c>
      <c r="K1842">
        <f>SUMPRODUCT(Calc!$K$3:$K$22*(Calc!$G$3:$G$22&gt;A1842)*(Calc!$G$3:$G$22-A1842)*(Calc!$G$3:$G$22&gt;B1842)*(Calc!$G$3:$G$22-B1842))</f>
        <v/>
      </c>
      <c r="L1842">
        <f>SUMPRODUCT(Calc!$K$3:$K$22*(Calc!$G$3:$G$22&gt;A1842)*(Calc!$G$3:$G$22-A1842)*Calc!$G$3:$G$22)</f>
        <v/>
      </c>
      <c r="M1842">
        <f>SUMPRODUCT(Calc!$K$3:$K$22*(Calc!$G$3:$G$22&gt;B1842)*(Calc!$G$3:$G$22-B1842)*Calc!$G$3:$G$22)</f>
        <v/>
      </c>
      <c r="N1842">
        <f>SUMPRODUCT(Calc!$K$3:$K$22*(Calc!$G$3:$G$22&gt;A1842)*(Calc!$G$3:$G$22-A1842)*Calc!$I$3:$I$22)</f>
        <v/>
      </c>
      <c r="O1842">
        <f>SUMPRODUCT(Calc!$K$3:$K$22*(Calc!$G$3:$G$22&gt;B1842)*(Calc!$G$3:$G$22-B1842)*Calc!$I$3:$I$22)</f>
        <v/>
      </c>
      <c r="P1842">
        <f>I1842-G1842^2/k_n</f>
        <v/>
      </c>
      <c r="Q1842">
        <f>J1842-H1842^2/k_n</f>
        <v/>
      </c>
      <c r="R1842">
        <f>K1842-G1842*H1842/k_n</f>
        <v/>
      </c>
      <c r="S1842">
        <f>L1842-LTP3!$D$3*G1842/k_n</f>
        <v/>
      </c>
      <c r="T1842">
        <f>M1842-LTP3!$D$3*H1842/k_n</f>
        <v/>
      </c>
      <c r="U1842">
        <f>N1842-G1842*LTP3!$D$4/k_n</f>
        <v/>
      </c>
      <c r="V1842">
        <f>O1842-H1842*LTP3!$D$4/k_n</f>
        <v/>
      </c>
      <c r="W1842">
        <f>((LTP3!$D$5)*((P1842)*(Q1842)-(R1842)*(R1842))-(S1842)*((S1842)*(Q1842)-(R1842)*(T1842))+(T1842)*((S1842)*(R1842)-(P1842)*(T1842)))</f>
        <v/>
      </c>
      <c r="X1842">
        <f>IF(ABS(W1842)&gt;1E-12,((LTP3!$D$6)*((P1842)*(Q1842)-(R1842)*(R1842))-(S1842)*((U1842)*(Q1842)-(R1842)*(V1842))+(T1842)*((U1842)*(R1842)-(P1842)*(V1842)))/W1842,0)</f>
        <v/>
      </c>
      <c r="Y1842">
        <f>IF(ABS(W1842)&gt;1E-12,((LTP3!$D$5)*((U1842)*(Q1842)-(R1842)*(V1842))-(LTP3!$D$6)*((S1842)*(Q1842)-(R1842)*(T1842))+(T1842)*((S1842)*(V1842)-(U1842)*(T1842)))/W1842,0)</f>
        <v/>
      </c>
      <c r="Z1842">
        <f>IF(ABS(W1842)&gt;1E-12,((LTP3!$D$5)*((P1842)*(V1842)-(U1842)*(R1842))-(S1842)*((S1842)*(V1842)-(U1842)*(T1842))+(LTP3!$D$6)*((S1842)*(R1842)-(P1842)*(T1842)))/W1842,0)</f>
        <v/>
      </c>
      <c r="AA1842">
        <f>LTP3!$D$7-X1842*LTP3!$D$6-Y1842*U1842-Z1842*V1842</f>
        <v/>
      </c>
      <c r="AB1842">
        <f>IF(AND(F1842,ABS(W1842)&gt;1E-12,Y1842&gt;0,Z1842&gt;0),AA1842,1E+300)</f>
        <v/>
      </c>
    </row>
    <row r="1843">
      <c r="A1843">
        <f>$B$3+$B$5*30</f>
        <v/>
      </c>
      <c r="B1843">
        <f>$B$3+$B$5*1</f>
        <v/>
      </c>
      <c r="C1843">
        <f>SUMPRODUCT(Calc!$K$3:$K$22*(Calc!$G$3:$G$22&lt;=A1843))</f>
        <v/>
      </c>
      <c r="D1843">
        <f>SUMPRODUCT(Calc!$K$3:$K$22*(Calc!$G$3:$G$22&gt;A1843)*(Calc!$G$3:$G$22&lt;B1843))</f>
        <v/>
      </c>
      <c r="E1843">
        <f>SUMPRODUCT(Calc!$K$3:$K$22*(Calc!$G$3:$G$22&gt;=B1843))</f>
        <v/>
      </c>
      <c r="F1843">
        <f>AND(k_n&gt;=5,B1843&gt;A1843+1E-9,C1843&gt;=2,D1843&gt;=1,E1843&gt;=2)</f>
        <v/>
      </c>
      <c r="G1843">
        <f>SUMPRODUCT(Calc!$K$3:$K$22*(Calc!$G$3:$G$22&gt;A1843)*(Calc!$G$3:$G$22-A1843))</f>
        <v/>
      </c>
      <c r="H1843">
        <f>SUMPRODUCT(Calc!$K$3:$K$22*(Calc!$G$3:$G$22&gt;B1843)*(Calc!$G$3:$G$22-B1843))</f>
        <v/>
      </c>
      <c r="I1843">
        <f>SUMPRODUCT(Calc!$K$3:$K$22*(Calc!$G$3:$G$22&gt;A1843)*(Calc!$G$3:$G$22-A1843)^2)</f>
        <v/>
      </c>
      <c r="J1843">
        <f>SUMPRODUCT(Calc!$K$3:$K$22*(Calc!$G$3:$G$22&gt;B1843)*(Calc!$G$3:$G$22-B1843)^2)</f>
        <v/>
      </c>
      <c r="K1843">
        <f>SUMPRODUCT(Calc!$K$3:$K$22*(Calc!$G$3:$G$22&gt;A1843)*(Calc!$G$3:$G$22-A1843)*(Calc!$G$3:$G$22&gt;B1843)*(Calc!$G$3:$G$22-B1843))</f>
        <v/>
      </c>
      <c r="L1843">
        <f>SUMPRODUCT(Calc!$K$3:$K$22*(Calc!$G$3:$G$22&gt;A1843)*(Calc!$G$3:$G$22-A1843)*Calc!$G$3:$G$22)</f>
        <v/>
      </c>
      <c r="M1843">
        <f>SUMPRODUCT(Calc!$K$3:$K$22*(Calc!$G$3:$G$22&gt;B1843)*(Calc!$G$3:$G$22-B1843)*Calc!$G$3:$G$22)</f>
        <v/>
      </c>
      <c r="N1843">
        <f>SUMPRODUCT(Calc!$K$3:$K$22*(Calc!$G$3:$G$22&gt;A1843)*(Calc!$G$3:$G$22-A1843)*Calc!$I$3:$I$22)</f>
        <v/>
      </c>
      <c r="O1843">
        <f>SUMPRODUCT(Calc!$K$3:$K$22*(Calc!$G$3:$G$22&gt;B1843)*(Calc!$G$3:$G$22-B1843)*Calc!$I$3:$I$22)</f>
        <v/>
      </c>
      <c r="P1843">
        <f>I1843-G1843^2/k_n</f>
        <v/>
      </c>
      <c r="Q1843">
        <f>J1843-H1843^2/k_n</f>
        <v/>
      </c>
      <c r="R1843">
        <f>K1843-G1843*H1843/k_n</f>
        <v/>
      </c>
      <c r="S1843">
        <f>L1843-LTP3!$D$3*G1843/k_n</f>
        <v/>
      </c>
      <c r="T1843">
        <f>M1843-LTP3!$D$3*H1843/k_n</f>
        <v/>
      </c>
      <c r="U1843">
        <f>N1843-G1843*LTP3!$D$4/k_n</f>
        <v/>
      </c>
      <c r="V1843">
        <f>O1843-H1843*LTP3!$D$4/k_n</f>
        <v/>
      </c>
      <c r="W1843">
        <f>((LTP3!$D$5)*((P1843)*(Q1843)-(R1843)*(R1843))-(S1843)*((S1843)*(Q1843)-(R1843)*(T1843))+(T1843)*((S1843)*(R1843)-(P1843)*(T1843)))</f>
        <v/>
      </c>
      <c r="X1843">
        <f>IF(ABS(W1843)&gt;1E-12,((LTP3!$D$6)*((P1843)*(Q1843)-(R1843)*(R1843))-(S1843)*((U1843)*(Q1843)-(R1843)*(V1843))+(T1843)*((U1843)*(R1843)-(P1843)*(V1843)))/W1843,0)</f>
        <v/>
      </c>
      <c r="Y1843">
        <f>IF(ABS(W1843)&gt;1E-12,((LTP3!$D$5)*((U1843)*(Q1843)-(R1843)*(V1843))-(LTP3!$D$6)*((S1843)*(Q1843)-(R1843)*(T1843))+(T1843)*((S1843)*(V1843)-(U1843)*(T1843)))/W1843,0)</f>
        <v/>
      </c>
      <c r="Z1843">
        <f>IF(ABS(W1843)&gt;1E-12,((LTP3!$D$5)*((P1843)*(V1843)-(U1843)*(R1843))-(S1843)*((S1843)*(V1843)-(U1843)*(T1843))+(LTP3!$D$6)*((S1843)*(R1843)-(P1843)*(T1843)))/W1843,0)</f>
        <v/>
      </c>
      <c r="AA1843">
        <f>LTP3!$D$7-X1843*LTP3!$D$6-Y1843*U1843-Z1843*V1843</f>
        <v/>
      </c>
      <c r="AB1843">
        <f>IF(AND(F1843,ABS(W1843)&gt;1E-12,Y1843&gt;0,Z1843&gt;0),AA1843,1E+300)</f>
        <v/>
      </c>
    </row>
    <row r="1844">
      <c r="A1844">
        <f>$B$3+$B$5*30</f>
        <v/>
      </c>
      <c r="B1844">
        <f>$B$3+$B$5*2</f>
        <v/>
      </c>
      <c r="C1844">
        <f>SUMPRODUCT(Calc!$K$3:$K$22*(Calc!$G$3:$G$22&lt;=A1844))</f>
        <v/>
      </c>
      <c r="D1844">
        <f>SUMPRODUCT(Calc!$K$3:$K$22*(Calc!$G$3:$G$22&gt;A1844)*(Calc!$G$3:$G$22&lt;B1844))</f>
        <v/>
      </c>
      <c r="E1844">
        <f>SUMPRODUCT(Calc!$K$3:$K$22*(Calc!$G$3:$G$22&gt;=B1844))</f>
        <v/>
      </c>
      <c r="F1844">
        <f>AND(k_n&gt;=5,B1844&gt;A1844+1E-9,C1844&gt;=2,D1844&gt;=1,E1844&gt;=2)</f>
        <v/>
      </c>
      <c r="G1844">
        <f>SUMPRODUCT(Calc!$K$3:$K$22*(Calc!$G$3:$G$22&gt;A1844)*(Calc!$G$3:$G$22-A1844))</f>
        <v/>
      </c>
      <c r="H1844">
        <f>SUMPRODUCT(Calc!$K$3:$K$22*(Calc!$G$3:$G$22&gt;B1844)*(Calc!$G$3:$G$22-B1844))</f>
        <v/>
      </c>
      <c r="I1844">
        <f>SUMPRODUCT(Calc!$K$3:$K$22*(Calc!$G$3:$G$22&gt;A1844)*(Calc!$G$3:$G$22-A1844)^2)</f>
        <v/>
      </c>
      <c r="J1844">
        <f>SUMPRODUCT(Calc!$K$3:$K$22*(Calc!$G$3:$G$22&gt;B1844)*(Calc!$G$3:$G$22-B1844)^2)</f>
        <v/>
      </c>
      <c r="K1844">
        <f>SUMPRODUCT(Calc!$K$3:$K$22*(Calc!$G$3:$G$22&gt;A1844)*(Calc!$G$3:$G$22-A1844)*(Calc!$G$3:$G$22&gt;B1844)*(Calc!$G$3:$G$22-B1844))</f>
        <v/>
      </c>
      <c r="L1844">
        <f>SUMPRODUCT(Calc!$K$3:$K$22*(Calc!$G$3:$G$22&gt;A1844)*(Calc!$G$3:$G$22-A1844)*Calc!$G$3:$G$22)</f>
        <v/>
      </c>
      <c r="M1844">
        <f>SUMPRODUCT(Calc!$K$3:$K$22*(Calc!$G$3:$G$22&gt;B1844)*(Calc!$G$3:$G$22-B1844)*Calc!$G$3:$G$22)</f>
        <v/>
      </c>
      <c r="N1844">
        <f>SUMPRODUCT(Calc!$K$3:$K$22*(Calc!$G$3:$G$22&gt;A1844)*(Calc!$G$3:$G$22-A1844)*Calc!$I$3:$I$22)</f>
        <v/>
      </c>
      <c r="O1844">
        <f>SUMPRODUCT(Calc!$K$3:$K$22*(Calc!$G$3:$G$22&gt;B1844)*(Calc!$G$3:$G$22-B1844)*Calc!$I$3:$I$22)</f>
        <v/>
      </c>
      <c r="P1844">
        <f>I1844-G1844^2/k_n</f>
        <v/>
      </c>
      <c r="Q1844">
        <f>J1844-H1844^2/k_n</f>
        <v/>
      </c>
      <c r="R1844">
        <f>K1844-G1844*H1844/k_n</f>
        <v/>
      </c>
      <c r="S1844">
        <f>L1844-LTP3!$D$3*G1844/k_n</f>
        <v/>
      </c>
      <c r="T1844">
        <f>M1844-LTP3!$D$3*H1844/k_n</f>
        <v/>
      </c>
      <c r="U1844">
        <f>N1844-G1844*LTP3!$D$4/k_n</f>
        <v/>
      </c>
      <c r="V1844">
        <f>O1844-H1844*LTP3!$D$4/k_n</f>
        <v/>
      </c>
      <c r="W1844">
        <f>((LTP3!$D$5)*((P1844)*(Q1844)-(R1844)*(R1844))-(S1844)*((S1844)*(Q1844)-(R1844)*(T1844))+(T1844)*((S1844)*(R1844)-(P1844)*(T1844)))</f>
        <v/>
      </c>
      <c r="X1844">
        <f>IF(ABS(W1844)&gt;1E-12,((LTP3!$D$6)*((P1844)*(Q1844)-(R1844)*(R1844))-(S1844)*((U1844)*(Q1844)-(R1844)*(V1844))+(T1844)*((U1844)*(R1844)-(P1844)*(V1844)))/W1844,0)</f>
        <v/>
      </c>
      <c r="Y1844">
        <f>IF(ABS(W1844)&gt;1E-12,((LTP3!$D$5)*((U1844)*(Q1844)-(R1844)*(V1844))-(LTP3!$D$6)*((S1844)*(Q1844)-(R1844)*(T1844))+(T1844)*((S1844)*(V1844)-(U1844)*(T1844)))/W1844,0)</f>
        <v/>
      </c>
      <c r="Z1844">
        <f>IF(ABS(W1844)&gt;1E-12,((LTP3!$D$5)*((P1844)*(V1844)-(U1844)*(R1844))-(S1844)*((S1844)*(V1844)-(U1844)*(T1844))+(LTP3!$D$6)*((S1844)*(R1844)-(P1844)*(T1844)))/W1844,0)</f>
        <v/>
      </c>
      <c r="AA1844">
        <f>LTP3!$D$7-X1844*LTP3!$D$6-Y1844*U1844-Z1844*V1844</f>
        <v/>
      </c>
      <c r="AB1844">
        <f>IF(AND(F1844,ABS(W1844)&gt;1E-12,Y1844&gt;0,Z1844&gt;0),AA1844,1E+300)</f>
        <v/>
      </c>
    </row>
    <row r="1845">
      <c r="A1845">
        <f>$B$3+$B$5*30</f>
        <v/>
      </c>
      <c r="B1845">
        <f>$B$3+$B$5*3</f>
        <v/>
      </c>
      <c r="C1845">
        <f>SUMPRODUCT(Calc!$K$3:$K$22*(Calc!$G$3:$G$22&lt;=A1845))</f>
        <v/>
      </c>
      <c r="D1845">
        <f>SUMPRODUCT(Calc!$K$3:$K$22*(Calc!$G$3:$G$22&gt;A1845)*(Calc!$G$3:$G$22&lt;B1845))</f>
        <v/>
      </c>
      <c r="E1845">
        <f>SUMPRODUCT(Calc!$K$3:$K$22*(Calc!$G$3:$G$22&gt;=B1845))</f>
        <v/>
      </c>
      <c r="F1845">
        <f>AND(k_n&gt;=5,B1845&gt;A1845+1E-9,C1845&gt;=2,D1845&gt;=1,E1845&gt;=2)</f>
        <v/>
      </c>
      <c r="G1845">
        <f>SUMPRODUCT(Calc!$K$3:$K$22*(Calc!$G$3:$G$22&gt;A1845)*(Calc!$G$3:$G$22-A1845))</f>
        <v/>
      </c>
      <c r="H1845">
        <f>SUMPRODUCT(Calc!$K$3:$K$22*(Calc!$G$3:$G$22&gt;B1845)*(Calc!$G$3:$G$22-B1845))</f>
        <v/>
      </c>
      <c r="I1845">
        <f>SUMPRODUCT(Calc!$K$3:$K$22*(Calc!$G$3:$G$22&gt;A1845)*(Calc!$G$3:$G$22-A1845)^2)</f>
        <v/>
      </c>
      <c r="J1845">
        <f>SUMPRODUCT(Calc!$K$3:$K$22*(Calc!$G$3:$G$22&gt;B1845)*(Calc!$G$3:$G$22-B1845)^2)</f>
        <v/>
      </c>
      <c r="K1845">
        <f>SUMPRODUCT(Calc!$K$3:$K$22*(Calc!$G$3:$G$22&gt;A1845)*(Calc!$G$3:$G$22-A1845)*(Calc!$G$3:$G$22&gt;B1845)*(Calc!$G$3:$G$22-B1845))</f>
        <v/>
      </c>
      <c r="L1845">
        <f>SUMPRODUCT(Calc!$K$3:$K$22*(Calc!$G$3:$G$22&gt;A1845)*(Calc!$G$3:$G$22-A1845)*Calc!$G$3:$G$22)</f>
        <v/>
      </c>
      <c r="M1845">
        <f>SUMPRODUCT(Calc!$K$3:$K$22*(Calc!$G$3:$G$22&gt;B1845)*(Calc!$G$3:$G$22-B1845)*Calc!$G$3:$G$22)</f>
        <v/>
      </c>
      <c r="N1845">
        <f>SUMPRODUCT(Calc!$K$3:$K$22*(Calc!$G$3:$G$22&gt;A1845)*(Calc!$G$3:$G$22-A1845)*Calc!$I$3:$I$22)</f>
        <v/>
      </c>
      <c r="O1845">
        <f>SUMPRODUCT(Calc!$K$3:$K$22*(Calc!$G$3:$G$22&gt;B1845)*(Calc!$G$3:$G$22-B1845)*Calc!$I$3:$I$22)</f>
        <v/>
      </c>
      <c r="P1845">
        <f>I1845-G1845^2/k_n</f>
        <v/>
      </c>
      <c r="Q1845">
        <f>J1845-H1845^2/k_n</f>
        <v/>
      </c>
      <c r="R1845">
        <f>K1845-G1845*H1845/k_n</f>
        <v/>
      </c>
      <c r="S1845">
        <f>L1845-LTP3!$D$3*G1845/k_n</f>
        <v/>
      </c>
      <c r="T1845">
        <f>M1845-LTP3!$D$3*H1845/k_n</f>
        <v/>
      </c>
      <c r="U1845">
        <f>N1845-G1845*LTP3!$D$4/k_n</f>
        <v/>
      </c>
      <c r="V1845">
        <f>O1845-H1845*LTP3!$D$4/k_n</f>
        <v/>
      </c>
      <c r="W1845">
        <f>((LTP3!$D$5)*((P1845)*(Q1845)-(R1845)*(R1845))-(S1845)*((S1845)*(Q1845)-(R1845)*(T1845))+(T1845)*((S1845)*(R1845)-(P1845)*(T1845)))</f>
        <v/>
      </c>
      <c r="X1845">
        <f>IF(ABS(W1845)&gt;1E-12,((LTP3!$D$6)*((P1845)*(Q1845)-(R1845)*(R1845))-(S1845)*((U1845)*(Q1845)-(R1845)*(V1845))+(T1845)*((U1845)*(R1845)-(P1845)*(V1845)))/W1845,0)</f>
        <v/>
      </c>
      <c r="Y1845">
        <f>IF(ABS(W1845)&gt;1E-12,((LTP3!$D$5)*((U1845)*(Q1845)-(R1845)*(V1845))-(LTP3!$D$6)*((S1845)*(Q1845)-(R1845)*(T1845))+(T1845)*((S1845)*(V1845)-(U1845)*(T1845)))/W1845,0)</f>
        <v/>
      </c>
      <c r="Z1845">
        <f>IF(ABS(W1845)&gt;1E-12,((LTP3!$D$5)*((P1845)*(V1845)-(U1845)*(R1845))-(S1845)*((S1845)*(V1845)-(U1845)*(T1845))+(LTP3!$D$6)*((S1845)*(R1845)-(P1845)*(T1845)))/W1845,0)</f>
        <v/>
      </c>
      <c r="AA1845">
        <f>LTP3!$D$7-X1845*LTP3!$D$6-Y1845*U1845-Z1845*V1845</f>
        <v/>
      </c>
      <c r="AB1845">
        <f>IF(AND(F1845,ABS(W1845)&gt;1E-12,Y1845&gt;0,Z1845&gt;0),AA1845,1E+300)</f>
        <v/>
      </c>
    </row>
    <row r="1846">
      <c r="A1846">
        <f>$B$3+$B$5*30</f>
        <v/>
      </c>
      <c r="B1846">
        <f>$B$3+$B$5*4</f>
        <v/>
      </c>
      <c r="C1846">
        <f>SUMPRODUCT(Calc!$K$3:$K$22*(Calc!$G$3:$G$22&lt;=A1846))</f>
        <v/>
      </c>
      <c r="D1846">
        <f>SUMPRODUCT(Calc!$K$3:$K$22*(Calc!$G$3:$G$22&gt;A1846)*(Calc!$G$3:$G$22&lt;B1846))</f>
        <v/>
      </c>
      <c r="E1846">
        <f>SUMPRODUCT(Calc!$K$3:$K$22*(Calc!$G$3:$G$22&gt;=B1846))</f>
        <v/>
      </c>
      <c r="F1846">
        <f>AND(k_n&gt;=5,B1846&gt;A1846+1E-9,C1846&gt;=2,D1846&gt;=1,E1846&gt;=2)</f>
        <v/>
      </c>
      <c r="G1846">
        <f>SUMPRODUCT(Calc!$K$3:$K$22*(Calc!$G$3:$G$22&gt;A1846)*(Calc!$G$3:$G$22-A1846))</f>
        <v/>
      </c>
      <c r="H1846">
        <f>SUMPRODUCT(Calc!$K$3:$K$22*(Calc!$G$3:$G$22&gt;B1846)*(Calc!$G$3:$G$22-B1846))</f>
        <v/>
      </c>
      <c r="I1846">
        <f>SUMPRODUCT(Calc!$K$3:$K$22*(Calc!$G$3:$G$22&gt;A1846)*(Calc!$G$3:$G$22-A1846)^2)</f>
        <v/>
      </c>
      <c r="J1846">
        <f>SUMPRODUCT(Calc!$K$3:$K$22*(Calc!$G$3:$G$22&gt;B1846)*(Calc!$G$3:$G$22-B1846)^2)</f>
        <v/>
      </c>
      <c r="K1846">
        <f>SUMPRODUCT(Calc!$K$3:$K$22*(Calc!$G$3:$G$22&gt;A1846)*(Calc!$G$3:$G$22-A1846)*(Calc!$G$3:$G$22&gt;B1846)*(Calc!$G$3:$G$22-B1846))</f>
        <v/>
      </c>
      <c r="L1846">
        <f>SUMPRODUCT(Calc!$K$3:$K$22*(Calc!$G$3:$G$22&gt;A1846)*(Calc!$G$3:$G$22-A1846)*Calc!$G$3:$G$22)</f>
        <v/>
      </c>
      <c r="M1846">
        <f>SUMPRODUCT(Calc!$K$3:$K$22*(Calc!$G$3:$G$22&gt;B1846)*(Calc!$G$3:$G$22-B1846)*Calc!$G$3:$G$22)</f>
        <v/>
      </c>
      <c r="N1846">
        <f>SUMPRODUCT(Calc!$K$3:$K$22*(Calc!$G$3:$G$22&gt;A1846)*(Calc!$G$3:$G$22-A1846)*Calc!$I$3:$I$22)</f>
        <v/>
      </c>
      <c r="O1846">
        <f>SUMPRODUCT(Calc!$K$3:$K$22*(Calc!$G$3:$G$22&gt;B1846)*(Calc!$G$3:$G$22-B1846)*Calc!$I$3:$I$22)</f>
        <v/>
      </c>
      <c r="P1846">
        <f>I1846-G1846^2/k_n</f>
        <v/>
      </c>
      <c r="Q1846">
        <f>J1846-H1846^2/k_n</f>
        <v/>
      </c>
      <c r="R1846">
        <f>K1846-G1846*H1846/k_n</f>
        <v/>
      </c>
      <c r="S1846">
        <f>L1846-LTP3!$D$3*G1846/k_n</f>
        <v/>
      </c>
      <c r="T1846">
        <f>M1846-LTP3!$D$3*H1846/k_n</f>
        <v/>
      </c>
      <c r="U1846">
        <f>N1846-G1846*LTP3!$D$4/k_n</f>
        <v/>
      </c>
      <c r="V1846">
        <f>O1846-H1846*LTP3!$D$4/k_n</f>
        <v/>
      </c>
      <c r="W1846">
        <f>((LTP3!$D$5)*((P1846)*(Q1846)-(R1846)*(R1846))-(S1846)*((S1846)*(Q1846)-(R1846)*(T1846))+(T1846)*((S1846)*(R1846)-(P1846)*(T1846)))</f>
        <v/>
      </c>
      <c r="X1846">
        <f>IF(ABS(W1846)&gt;1E-12,((LTP3!$D$6)*((P1846)*(Q1846)-(R1846)*(R1846))-(S1846)*((U1846)*(Q1846)-(R1846)*(V1846))+(T1846)*((U1846)*(R1846)-(P1846)*(V1846)))/W1846,0)</f>
        <v/>
      </c>
      <c r="Y1846">
        <f>IF(ABS(W1846)&gt;1E-12,((LTP3!$D$5)*((U1846)*(Q1846)-(R1846)*(V1846))-(LTP3!$D$6)*((S1846)*(Q1846)-(R1846)*(T1846))+(T1846)*((S1846)*(V1846)-(U1846)*(T1846)))/W1846,0)</f>
        <v/>
      </c>
      <c r="Z1846">
        <f>IF(ABS(W1846)&gt;1E-12,((LTP3!$D$5)*((P1846)*(V1846)-(U1846)*(R1846))-(S1846)*((S1846)*(V1846)-(U1846)*(T1846))+(LTP3!$D$6)*((S1846)*(R1846)-(P1846)*(T1846)))/W1846,0)</f>
        <v/>
      </c>
      <c r="AA1846">
        <f>LTP3!$D$7-X1846*LTP3!$D$6-Y1846*U1846-Z1846*V1846</f>
        <v/>
      </c>
      <c r="AB1846">
        <f>IF(AND(F1846,ABS(W1846)&gt;1E-12,Y1846&gt;0,Z1846&gt;0),AA1846,1E+300)</f>
        <v/>
      </c>
    </row>
    <row r="1847">
      <c r="A1847">
        <f>$B$3+$B$5*30</f>
        <v/>
      </c>
      <c r="B1847">
        <f>$B$3+$B$5*5</f>
        <v/>
      </c>
      <c r="C1847">
        <f>SUMPRODUCT(Calc!$K$3:$K$22*(Calc!$G$3:$G$22&lt;=A1847))</f>
        <v/>
      </c>
      <c r="D1847">
        <f>SUMPRODUCT(Calc!$K$3:$K$22*(Calc!$G$3:$G$22&gt;A1847)*(Calc!$G$3:$G$22&lt;B1847))</f>
        <v/>
      </c>
      <c r="E1847">
        <f>SUMPRODUCT(Calc!$K$3:$K$22*(Calc!$G$3:$G$22&gt;=B1847))</f>
        <v/>
      </c>
      <c r="F1847">
        <f>AND(k_n&gt;=5,B1847&gt;A1847+1E-9,C1847&gt;=2,D1847&gt;=1,E1847&gt;=2)</f>
        <v/>
      </c>
      <c r="G1847">
        <f>SUMPRODUCT(Calc!$K$3:$K$22*(Calc!$G$3:$G$22&gt;A1847)*(Calc!$G$3:$G$22-A1847))</f>
        <v/>
      </c>
      <c r="H1847">
        <f>SUMPRODUCT(Calc!$K$3:$K$22*(Calc!$G$3:$G$22&gt;B1847)*(Calc!$G$3:$G$22-B1847))</f>
        <v/>
      </c>
      <c r="I1847">
        <f>SUMPRODUCT(Calc!$K$3:$K$22*(Calc!$G$3:$G$22&gt;A1847)*(Calc!$G$3:$G$22-A1847)^2)</f>
        <v/>
      </c>
      <c r="J1847">
        <f>SUMPRODUCT(Calc!$K$3:$K$22*(Calc!$G$3:$G$22&gt;B1847)*(Calc!$G$3:$G$22-B1847)^2)</f>
        <v/>
      </c>
      <c r="K1847">
        <f>SUMPRODUCT(Calc!$K$3:$K$22*(Calc!$G$3:$G$22&gt;A1847)*(Calc!$G$3:$G$22-A1847)*(Calc!$G$3:$G$22&gt;B1847)*(Calc!$G$3:$G$22-B1847))</f>
        <v/>
      </c>
      <c r="L1847">
        <f>SUMPRODUCT(Calc!$K$3:$K$22*(Calc!$G$3:$G$22&gt;A1847)*(Calc!$G$3:$G$22-A1847)*Calc!$G$3:$G$22)</f>
        <v/>
      </c>
      <c r="M1847">
        <f>SUMPRODUCT(Calc!$K$3:$K$22*(Calc!$G$3:$G$22&gt;B1847)*(Calc!$G$3:$G$22-B1847)*Calc!$G$3:$G$22)</f>
        <v/>
      </c>
      <c r="N1847">
        <f>SUMPRODUCT(Calc!$K$3:$K$22*(Calc!$G$3:$G$22&gt;A1847)*(Calc!$G$3:$G$22-A1847)*Calc!$I$3:$I$22)</f>
        <v/>
      </c>
      <c r="O1847">
        <f>SUMPRODUCT(Calc!$K$3:$K$22*(Calc!$G$3:$G$22&gt;B1847)*(Calc!$G$3:$G$22-B1847)*Calc!$I$3:$I$22)</f>
        <v/>
      </c>
      <c r="P1847">
        <f>I1847-G1847^2/k_n</f>
        <v/>
      </c>
      <c r="Q1847">
        <f>J1847-H1847^2/k_n</f>
        <v/>
      </c>
      <c r="R1847">
        <f>K1847-G1847*H1847/k_n</f>
        <v/>
      </c>
      <c r="S1847">
        <f>L1847-LTP3!$D$3*G1847/k_n</f>
        <v/>
      </c>
      <c r="T1847">
        <f>M1847-LTP3!$D$3*H1847/k_n</f>
        <v/>
      </c>
      <c r="U1847">
        <f>N1847-G1847*LTP3!$D$4/k_n</f>
        <v/>
      </c>
      <c r="V1847">
        <f>O1847-H1847*LTP3!$D$4/k_n</f>
        <v/>
      </c>
      <c r="W1847">
        <f>((LTP3!$D$5)*((P1847)*(Q1847)-(R1847)*(R1847))-(S1847)*((S1847)*(Q1847)-(R1847)*(T1847))+(T1847)*((S1847)*(R1847)-(P1847)*(T1847)))</f>
        <v/>
      </c>
      <c r="X1847">
        <f>IF(ABS(W1847)&gt;1E-12,((LTP3!$D$6)*((P1847)*(Q1847)-(R1847)*(R1847))-(S1847)*((U1847)*(Q1847)-(R1847)*(V1847))+(T1847)*((U1847)*(R1847)-(P1847)*(V1847)))/W1847,0)</f>
        <v/>
      </c>
      <c r="Y1847">
        <f>IF(ABS(W1847)&gt;1E-12,((LTP3!$D$5)*((U1847)*(Q1847)-(R1847)*(V1847))-(LTP3!$D$6)*((S1847)*(Q1847)-(R1847)*(T1847))+(T1847)*((S1847)*(V1847)-(U1847)*(T1847)))/W1847,0)</f>
        <v/>
      </c>
      <c r="Z1847">
        <f>IF(ABS(W1847)&gt;1E-12,((LTP3!$D$5)*((P1847)*(V1847)-(U1847)*(R1847))-(S1847)*((S1847)*(V1847)-(U1847)*(T1847))+(LTP3!$D$6)*((S1847)*(R1847)-(P1847)*(T1847)))/W1847,0)</f>
        <v/>
      </c>
      <c r="AA1847">
        <f>LTP3!$D$7-X1847*LTP3!$D$6-Y1847*U1847-Z1847*V1847</f>
        <v/>
      </c>
      <c r="AB1847">
        <f>IF(AND(F1847,ABS(W1847)&gt;1E-12,Y1847&gt;0,Z1847&gt;0),AA1847,1E+300)</f>
        <v/>
      </c>
    </row>
    <row r="1848">
      <c r="A1848">
        <f>$B$3+$B$5*30</f>
        <v/>
      </c>
      <c r="B1848">
        <f>$B$3+$B$5*6</f>
        <v/>
      </c>
      <c r="C1848">
        <f>SUMPRODUCT(Calc!$K$3:$K$22*(Calc!$G$3:$G$22&lt;=A1848))</f>
        <v/>
      </c>
      <c r="D1848">
        <f>SUMPRODUCT(Calc!$K$3:$K$22*(Calc!$G$3:$G$22&gt;A1848)*(Calc!$G$3:$G$22&lt;B1848))</f>
        <v/>
      </c>
      <c r="E1848">
        <f>SUMPRODUCT(Calc!$K$3:$K$22*(Calc!$G$3:$G$22&gt;=B1848))</f>
        <v/>
      </c>
      <c r="F1848">
        <f>AND(k_n&gt;=5,B1848&gt;A1848+1E-9,C1848&gt;=2,D1848&gt;=1,E1848&gt;=2)</f>
        <v/>
      </c>
      <c r="G1848">
        <f>SUMPRODUCT(Calc!$K$3:$K$22*(Calc!$G$3:$G$22&gt;A1848)*(Calc!$G$3:$G$22-A1848))</f>
        <v/>
      </c>
      <c r="H1848">
        <f>SUMPRODUCT(Calc!$K$3:$K$22*(Calc!$G$3:$G$22&gt;B1848)*(Calc!$G$3:$G$22-B1848))</f>
        <v/>
      </c>
      <c r="I1848">
        <f>SUMPRODUCT(Calc!$K$3:$K$22*(Calc!$G$3:$G$22&gt;A1848)*(Calc!$G$3:$G$22-A1848)^2)</f>
        <v/>
      </c>
      <c r="J1848">
        <f>SUMPRODUCT(Calc!$K$3:$K$22*(Calc!$G$3:$G$22&gt;B1848)*(Calc!$G$3:$G$22-B1848)^2)</f>
        <v/>
      </c>
      <c r="K1848">
        <f>SUMPRODUCT(Calc!$K$3:$K$22*(Calc!$G$3:$G$22&gt;A1848)*(Calc!$G$3:$G$22-A1848)*(Calc!$G$3:$G$22&gt;B1848)*(Calc!$G$3:$G$22-B1848))</f>
        <v/>
      </c>
      <c r="L1848">
        <f>SUMPRODUCT(Calc!$K$3:$K$22*(Calc!$G$3:$G$22&gt;A1848)*(Calc!$G$3:$G$22-A1848)*Calc!$G$3:$G$22)</f>
        <v/>
      </c>
      <c r="M1848">
        <f>SUMPRODUCT(Calc!$K$3:$K$22*(Calc!$G$3:$G$22&gt;B1848)*(Calc!$G$3:$G$22-B1848)*Calc!$G$3:$G$22)</f>
        <v/>
      </c>
      <c r="N1848">
        <f>SUMPRODUCT(Calc!$K$3:$K$22*(Calc!$G$3:$G$22&gt;A1848)*(Calc!$G$3:$G$22-A1848)*Calc!$I$3:$I$22)</f>
        <v/>
      </c>
      <c r="O1848">
        <f>SUMPRODUCT(Calc!$K$3:$K$22*(Calc!$G$3:$G$22&gt;B1848)*(Calc!$G$3:$G$22-B1848)*Calc!$I$3:$I$22)</f>
        <v/>
      </c>
      <c r="P1848">
        <f>I1848-G1848^2/k_n</f>
        <v/>
      </c>
      <c r="Q1848">
        <f>J1848-H1848^2/k_n</f>
        <v/>
      </c>
      <c r="R1848">
        <f>K1848-G1848*H1848/k_n</f>
        <v/>
      </c>
      <c r="S1848">
        <f>L1848-LTP3!$D$3*G1848/k_n</f>
        <v/>
      </c>
      <c r="T1848">
        <f>M1848-LTP3!$D$3*H1848/k_n</f>
        <v/>
      </c>
      <c r="U1848">
        <f>N1848-G1848*LTP3!$D$4/k_n</f>
        <v/>
      </c>
      <c r="V1848">
        <f>O1848-H1848*LTP3!$D$4/k_n</f>
        <v/>
      </c>
      <c r="W1848">
        <f>((LTP3!$D$5)*((P1848)*(Q1848)-(R1848)*(R1848))-(S1848)*((S1848)*(Q1848)-(R1848)*(T1848))+(T1848)*((S1848)*(R1848)-(P1848)*(T1848)))</f>
        <v/>
      </c>
      <c r="X1848">
        <f>IF(ABS(W1848)&gt;1E-12,((LTP3!$D$6)*((P1848)*(Q1848)-(R1848)*(R1848))-(S1848)*((U1848)*(Q1848)-(R1848)*(V1848))+(T1848)*((U1848)*(R1848)-(P1848)*(V1848)))/W1848,0)</f>
        <v/>
      </c>
      <c r="Y1848">
        <f>IF(ABS(W1848)&gt;1E-12,((LTP3!$D$5)*((U1848)*(Q1848)-(R1848)*(V1848))-(LTP3!$D$6)*((S1848)*(Q1848)-(R1848)*(T1848))+(T1848)*((S1848)*(V1848)-(U1848)*(T1848)))/W1848,0)</f>
        <v/>
      </c>
      <c r="Z1848">
        <f>IF(ABS(W1848)&gt;1E-12,((LTP3!$D$5)*((P1848)*(V1848)-(U1848)*(R1848))-(S1848)*((S1848)*(V1848)-(U1848)*(T1848))+(LTP3!$D$6)*((S1848)*(R1848)-(P1848)*(T1848)))/W1848,0)</f>
        <v/>
      </c>
      <c r="AA1848">
        <f>LTP3!$D$7-X1848*LTP3!$D$6-Y1848*U1848-Z1848*V1848</f>
        <v/>
      </c>
      <c r="AB1848">
        <f>IF(AND(F1848,ABS(W1848)&gt;1E-12,Y1848&gt;0,Z1848&gt;0),AA1848,1E+300)</f>
        <v/>
      </c>
    </row>
    <row r="1849">
      <c r="A1849">
        <f>$B$3+$B$5*30</f>
        <v/>
      </c>
      <c r="B1849">
        <f>$B$3+$B$5*7</f>
        <v/>
      </c>
      <c r="C1849">
        <f>SUMPRODUCT(Calc!$K$3:$K$22*(Calc!$G$3:$G$22&lt;=A1849))</f>
        <v/>
      </c>
      <c r="D1849">
        <f>SUMPRODUCT(Calc!$K$3:$K$22*(Calc!$G$3:$G$22&gt;A1849)*(Calc!$G$3:$G$22&lt;B1849))</f>
        <v/>
      </c>
      <c r="E1849">
        <f>SUMPRODUCT(Calc!$K$3:$K$22*(Calc!$G$3:$G$22&gt;=B1849))</f>
        <v/>
      </c>
      <c r="F1849">
        <f>AND(k_n&gt;=5,B1849&gt;A1849+1E-9,C1849&gt;=2,D1849&gt;=1,E1849&gt;=2)</f>
        <v/>
      </c>
      <c r="G1849">
        <f>SUMPRODUCT(Calc!$K$3:$K$22*(Calc!$G$3:$G$22&gt;A1849)*(Calc!$G$3:$G$22-A1849))</f>
        <v/>
      </c>
      <c r="H1849">
        <f>SUMPRODUCT(Calc!$K$3:$K$22*(Calc!$G$3:$G$22&gt;B1849)*(Calc!$G$3:$G$22-B1849))</f>
        <v/>
      </c>
      <c r="I1849">
        <f>SUMPRODUCT(Calc!$K$3:$K$22*(Calc!$G$3:$G$22&gt;A1849)*(Calc!$G$3:$G$22-A1849)^2)</f>
        <v/>
      </c>
      <c r="J1849">
        <f>SUMPRODUCT(Calc!$K$3:$K$22*(Calc!$G$3:$G$22&gt;B1849)*(Calc!$G$3:$G$22-B1849)^2)</f>
        <v/>
      </c>
      <c r="K1849">
        <f>SUMPRODUCT(Calc!$K$3:$K$22*(Calc!$G$3:$G$22&gt;A1849)*(Calc!$G$3:$G$22-A1849)*(Calc!$G$3:$G$22&gt;B1849)*(Calc!$G$3:$G$22-B1849))</f>
        <v/>
      </c>
      <c r="L1849">
        <f>SUMPRODUCT(Calc!$K$3:$K$22*(Calc!$G$3:$G$22&gt;A1849)*(Calc!$G$3:$G$22-A1849)*Calc!$G$3:$G$22)</f>
        <v/>
      </c>
      <c r="M1849">
        <f>SUMPRODUCT(Calc!$K$3:$K$22*(Calc!$G$3:$G$22&gt;B1849)*(Calc!$G$3:$G$22-B1849)*Calc!$G$3:$G$22)</f>
        <v/>
      </c>
      <c r="N1849">
        <f>SUMPRODUCT(Calc!$K$3:$K$22*(Calc!$G$3:$G$22&gt;A1849)*(Calc!$G$3:$G$22-A1849)*Calc!$I$3:$I$22)</f>
        <v/>
      </c>
      <c r="O1849">
        <f>SUMPRODUCT(Calc!$K$3:$K$22*(Calc!$G$3:$G$22&gt;B1849)*(Calc!$G$3:$G$22-B1849)*Calc!$I$3:$I$22)</f>
        <v/>
      </c>
      <c r="P1849">
        <f>I1849-G1849^2/k_n</f>
        <v/>
      </c>
      <c r="Q1849">
        <f>J1849-H1849^2/k_n</f>
        <v/>
      </c>
      <c r="R1849">
        <f>K1849-G1849*H1849/k_n</f>
        <v/>
      </c>
      <c r="S1849">
        <f>L1849-LTP3!$D$3*G1849/k_n</f>
        <v/>
      </c>
      <c r="T1849">
        <f>M1849-LTP3!$D$3*H1849/k_n</f>
        <v/>
      </c>
      <c r="U1849">
        <f>N1849-G1849*LTP3!$D$4/k_n</f>
        <v/>
      </c>
      <c r="V1849">
        <f>O1849-H1849*LTP3!$D$4/k_n</f>
        <v/>
      </c>
      <c r="W1849">
        <f>((LTP3!$D$5)*((P1849)*(Q1849)-(R1849)*(R1849))-(S1849)*((S1849)*(Q1849)-(R1849)*(T1849))+(T1849)*((S1849)*(R1849)-(P1849)*(T1849)))</f>
        <v/>
      </c>
      <c r="X1849">
        <f>IF(ABS(W1849)&gt;1E-12,((LTP3!$D$6)*((P1849)*(Q1849)-(R1849)*(R1849))-(S1849)*((U1849)*(Q1849)-(R1849)*(V1849))+(T1849)*((U1849)*(R1849)-(P1849)*(V1849)))/W1849,0)</f>
        <v/>
      </c>
      <c r="Y1849">
        <f>IF(ABS(W1849)&gt;1E-12,((LTP3!$D$5)*((U1849)*(Q1849)-(R1849)*(V1849))-(LTP3!$D$6)*((S1849)*(Q1849)-(R1849)*(T1849))+(T1849)*((S1849)*(V1849)-(U1849)*(T1849)))/W1849,0)</f>
        <v/>
      </c>
      <c r="Z1849">
        <f>IF(ABS(W1849)&gt;1E-12,((LTP3!$D$5)*((P1849)*(V1849)-(U1849)*(R1849))-(S1849)*((S1849)*(V1849)-(U1849)*(T1849))+(LTP3!$D$6)*((S1849)*(R1849)-(P1849)*(T1849)))/W1849,0)</f>
        <v/>
      </c>
      <c r="AA1849">
        <f>LTP3!$D$7-X1849*LTP3!$D$6-Y1849*U1849-Z1849*V1849</f>
        <v/>
      </c>
      <c r="AB1849">
        <f>IF(AND(F1849,ABS(W1849)&gt;1E-12,Y1849&gt;0,Z1849&gt;0),AA1849,1E+300)</f>
        <v/>
      </c>
    </row>
    <row r="1850">
      <c r="A1850">
        <f>$B$3+$B$5*30</f>
        <v/>
      </c>
      <c r="B1850">
        <f>$B$3+$B$5*8</f>
        <v/>
      </c>
      <c r="C1850">
        <f>SUMPRODUCT(Calc!$K$3:$K$22*(Calc!$G$3:$G$22&lt;=A1850))</f>
        <v/>
      </c>
      <c r="D1850">
        <f>SUMPRODUCT(Calc!$K$3:$K$22*(Calc!$G$3:$G$22&gt;A1850)*(Calc!$G$3:$G$22&lt;B1850))</f>
        <v/>
      </c>
      <c r="E1850">
        <f>SUMPRODUCT(Calc!$K$3:$K$22*(Calc!$G$3:$G$22&gt;=B1850))</f>
        <v/>
      </c>
      <c r="F1850">
        <f>AND(k_n&gt;=5,B1850&gt;A1850+1E-9,C1850&gt;=2,D1850&gt;=1,E1850&gt;=2)</f>
        <v/>
      </c>
      <c r="G1850">
        <f>SUMPRODUCT(Calc!$K$3:$K$22*(Calc!$G$3:$G$22&gt;A1850)*(Calc!$G$3:$G$22-A1850))</f>
        <v/>
      </c>
      <c r="H1850">
        <f>SUMPRODUCT(Calc!$K$3:$K$22*(Calc!$G$3:$G$22&gt;B1850)*(Calc!$G$3:$G$22-B1850))</f>
        <v/>
      </c>
      <c r="I1850">
        <f>SUMPRODUCT(Calc!$K$3:$K$22*(Calc!$G$3:$G$22&gt;A1850)*(Calc!$G$3:$G$22-A1850)^2)</f>
        <v/>
      </c>
      <c r="J1850">
        <f>SUMPRODUCT(Calc!$K$3:$K$22*(Calc!$G$3:$G$22&gt;B1850)*(Calc!$G$3:$G$22-B1850)^2)</f>
        <v/>
      </c>
      <c r="K1850">
        <f>SUMPRODUCT(Calc!$K$3:$K$22*(Calc!$G$3:$G$22&gt;A1850)*(Calc!$G$3:$G$22-A1850)*(Calc!$G$3:$G$22&gt;B1850)*(Calc!$G$3:$G$22-B1850))</f>
        <v/>
      </c>
      <c r="L1850">
        <f>SUMPRODUCT(Calc!$K$3:$K$22*(Calc!$G$3:$G$22&gt;A1850)*(Calc!$G$3:$G$22-A1850)*Calc!$G$3:$G$22)</f>
        <v/>
      </c>
      <c r="M1850">
        <f>SUMPRODUCT(Calc!$K$3:$K$22*(Calc!$G$3:$G$22&gt;B1850)*(Calc!$G$3:$G$22-B1850)*Calc!$G$3:$G$22)</f>
        <v/>
      </c>
      <c r="N1850">
        <f>SUMPRODUCT(Calc!$K$3:$K$22*(Calc!$G$3:$G$22&gt;A1850)*(Calc!$G$3:$G$22-A1850)*Calc!$I$3:$I$22)</f>
        <v/>
      </c>
      <c r="O1850">
        <f>SUMPRODUCT(Calc!$K$3:$K$22*(Calc!$G$3:$G$22&gt;B1850)*(Calc!$G$3:$G$22-B1850)*Calc!$I$3:$I$22)</f>
        <v/>
      </c>
      <c r="P1850">
        <f>I1850-G1850^2/k_n</f>
        <v/>
      </c>
      <c r="Q1850">
        <f>J1850-H1850^2/k_n</f>
        <v/>
      </c>
      <c r="R1850">
        <f>K1850-G1850*H1850/k_n</f>
        <v/>
      </c>
      <c r="S1850">
        <f>L1850-LTP3!$D$3*G1850/k_n</f>
        <v/>
      </c>
      <c r="T1850">
        <f>M1850-LTP3!$D$3*H1850/k_n</f>
        <v/>
      </c>
      <c r="U1850">
        <f>N1850-G1850*LTP3!$D$4/k_n</f>
        <v/>
      </c>
      <c r="V1850">
        <f>O1850-H1850*LTP3!$D$4/k_n</f>
        <v/>
      </c>
      <c r="W1850">
        <f>((LTP3!$D$5)*((P1850)*(Q1850)-(R1850)*(R1850))-(S1850)*((S1850)*(Q1850)-(R1850)*(T1850))+(T1850)*((S1850)*(R1850)-(P1850)*(T1850)))</f>
        <v/>
      </c>
      <c r="X1850">
        <f>IF(ABS(W1850)&gt;1E-12,((LTP3!$D$6)*((P1850)*(Q1850)-(R1850)*(R1850))-(S1850)*((U1850)*(Q1850)-(R1850)*(V1850))+(T1850)*((U1850)*(R1850)-(P1850)*(V1850)))/W1850,0)</f>
        <v/>
      </c>
      <c r="Y1850">
        <f>IF(ABS(W1850)&gt;1E-12,((LTP3!$D$5)*((U1850)*(Q1850)-(R1850)*(V1850))-(LTP3!$D$6)*((S1850)*(Q1850)-(R1850)*(T1850))+(T1850)*((S1850)*(V1850)-(U1850)*(T1850)))/W1850,0)</f>
        <v/>
      </c>
      <c r="Z1850">
        <f>IF(ABS(W1850)&gt;1E-12,((LTP3!$D$5)*((P1850)*(V1850)-(U1850)*(R1850))-(S1850)*((S1850)*(V1850)-(U1850)*(T1850))+(LTP3!$D$6)*((S1850)*(R1850)-(P1850)*(T1850)))/W1850,0)</f>
        <v/>
      </c>
      <c r="AA1850">
        <f>LTP3!$D$7-X1850*LTP3!$D$6-Y1850*U1850-Z1850*V1850</f>
        <v/>
      </c>
      <c r="AB1850">
        <f>IF(AND(F1850,ABS(W1850)&gt;1E-12,Y1850&gt;0,Z1850&gt;0),AA1850,1E+300)</f>
        <v/>
      </c>
    </row>
    <row r="1851">
      <c r="A1851">
        <f>$B$3+$B$5*30</f>
        <v/>
      </c>
      <c r="B1851">
        <f>$B$3+$B$5*9</f>
        <v/>
      </c>
      <c r="C1851">
        <f>SUMPRODUCT(Calc!$K$3:$K$22*(Calc!$G$3:$G$22&lt;=A1851))</f>
        <v/>
      </c>
      <c r="D1851">
        <f>SUMPRODUCT(Calc!$K$3:$K$22*(Calc!$G$3:$G$22&gt;A1851)*(Calc!$G$3:$G$22&lt;B1851))</f>
        <v/>
      </c>
      <c r="E1851">
        <f>SUMPRODUCT(Calc!$K$3:$K$22*(Calc!$G$3:$G$22&gt;=B1851))</f>
        <v/>
      </c>
      <c r="F1851">
        <f>AND(k_n&gt;=5,B1851&gt;A1851+1E-9,C1851&gt;=2,D1851&gt;=1,E1851&gt;=2)</f>
        <v/>
      </c>
      <c r="G1851">
        <f>SUMPRODUCT(Calc!$K$3:$K$22*(Calc!$G$3:$G$22&gt;A1851)*(Calc!$G$3:$G$22-A1851))</f>
        <v/>
      </c>
      <c r="H1851">
        <f>SUMPRODUCT(Calc!$K$3:$K$22*(Calc!$G$3:$G$22&gt;B1851)*(Calc!$G$3:$G$22-B1851))</f>
        <v/>
      </c>
      <c r="I1851">
        <f>SUMPRODUCT(Calc!$K$3:$K$22*(Calc!$G$3:$G$22&gt;A1851)*(Calc!$G$3:$G$22-A1851)^2)</f>
        <v/>
      </c>
      <c r="J1851">
        <f>SUMPRODUCT(Calc!$K$3:$K$22*(Calc!$G$3:$G$22&gt;B1851)*(Calc!$G$3:$G$22-B1851)^2)</f>
        <v/>
      </c>
      <c r="K1851">
        <f>SUMPRODUCT(Calc!$K$3:$K$22*(Calc!$G$3:$G$22&gt;A1851)*(Calc!$G$3:$G$22-A1851)*(Calc!$G$3:$G$22&gt;B1851)*(Calc!$G$3:$G$22-B1851))</f>
        <v/>
      </c>
      <c r="L1851">
        <f>SUMPRODUCT(Calc!$K$3:$K$22*(Calc!$G$3:$G$22&gt;A1851)*(Calc!$G$3:$G$22-A1851)*Calc!$G$3:$G$22)</f>
        <v/>
      </c>
      <c r="M1851">
        <f>SUMPRODUCT(Calc!$K$3:$K$22*(Calc!$G$3:$G$22&gt;B1851)*(Calc!$G$3:$G$22-B1851)*Calc!$G$3:$G$22)</f>
        <v/>
      </c>
      <c r="N1851">
        <f>SUMPRODUCT(Calc!$K$3:$K$22*(Calc!$G$3:$G$22&gt;A1851)*(Calc!$G$3:$G$22-A1851)*Calc!$I$3:$I$22)</f>
        <v/>
      </c>
      <c r="O1851">
        <f>SUMPRODUCT(Calc!$K$3:$K$22*(Calc!$G$3:$G$22&gt;B1851)*(Calc!$G$3:$G$22-B1851)*Calc!$I$3:$I$22)</f>
        <v/>
      </c>
      <c r="P1851">
        <f>I1851-G1851^2/k_n</f>
        <v/>
      </c>
      <c r="Q1851">
        <f>J1851-H1851^2/k_n</f>
        <v/>
      </c>
      <c r="R1851">
        <f>K1851-G1851*H1851/k_n</f>
        <v/>
      </c>
      <c r="S1851">
        <f>L1851-LTP3!$D$3*G1851/k_n</f>
        <v/>
      </c>
      <c r="T1851">
        <f>M1851-LTP3!$D$3*H1851/k_n</f>
        <v/>
      </c>
      <c r="U1851">
        <f>N1851-G1851*LTP3!$D$4/k_n</f>
        <v/>
      </c>
      <c r="V1851">
        <f>O1851-H1851*LTP3!$D$4/k_n</f>
        <v/>
      </c>
      <c r="W1851">
        <f>((LTP3!$D$5)*((P1851)*(Q1851)-(R1851)*(R1851))-(S1851)*((S1851)*(Q1851)-(R1851)*(T1851))+(T1851)*((S1851)*(R1851)-(P1851)*(T1851)))</f>
        <v/>
      </c>
      <c r="X1851">
        <f>IF(ABS(W1851)&gt;1E-12,((LTP3!$D$6)*((P1851)*(Q1851)-(R1851)*(R1851))-(S1851)*((U1851)*(Q1851)-(R1851)*(V1851))+(T1851)*((U1851)*(R1851)-(P1851)*(V1851)))/W1851,0)</f>
        <v/>
      </c>
      <c r="Y1851">
        <f>IF(ABS(W1851)&gt;1E-12,((LTP3!$D$5)*((U1851)*(Q1851)-(R1851)*(V1851))-(LTP3!$D$6)*((S1851)*(Q1851)-(R1851)*(T1851))+(T1851)*((S1851)*(V1851)-(U1851)*(T1851)))/W1851,0)</f>
        <v/>
      </c>
      <c r="Z1851">
        <f>IF(ABS(W1851)&gt;1E-12,((LTP3!$D$5)*((P1851)*(V1851)-(U1851)*(R1851))-(S1851)*((S1851)*(V1851)-(U1851)*(T1851))+(LTP3!$D$6)*((S1851)*(R1851)-(P1851)*(T1851)))/W1851,0)</f>
        <v/>
      </c>
      <c r="AA1851">
        <f>LTP3!$D$7-X1851*LTP3!$D$6-Y1851*U1851-Z1851*V1851</f>
        <v/>
      </c>
      <c r="AB1851">
        <f>IF(AND(F1851,ABS(W1851)&gt;1E-12,Y1851&gt;0,Z1851&gt;0),AA1851,1E+300)</f>
        <v/>
      </c>
    </row>
    <row r="1852">
      <c r="A1852">
        <f>$B$3+$B$5*30</f>
        <v/>
      </c>
      <c r="B1852">
        <f>$B$3+$B$5*10</f>
        <v/>
      </c>
      <c r="C1852">
        <f>SUMPRODUCT(Calc!$K$3:$K$22*(Calc!$G$3:$G$22&lt;=A1852))</f>
        <v/>
      </c>
      <c r="D1852">
        <f>SUMPRODUCT(Calc!$K$3:$K$22*(Calc!$G$3:$G$22&gt;A1852)*(Calc!$G$3:$G$22&lt;B1852))</f>
        <v/>
      </c>
      <c r="E1852">
        <f>SUMPRODUCT(Calc!$K$3:$K$22*(Calc!$G$3:$G$22&gt;=B1852))</f>
        <v/>
      </c>
      <c r="F1852">
        <f>AND(k_n&gt;=5,B1852&gt;A1852+1E-9,C1852&gt;=2,D1852&gt;=1,E1852&gt;=2)</f>
        <v/>
      </c>
      <c r="G1852">
        <f>SUMPRODUCT(Calc!$K$3:$K$22*(Calc!$G$3:$G$22&gt;A1852)*(Calc!$G$3:$G$22-A1852))</f>
        <v/>
      </c>
      <c r="H1852">
        <f>SUMPRODUCT(Calc!$K$3:$K$22*(Calc!$G$3:$G$22&gt;B1852)*(Calc!$G$3:$G$22-B1852))</f>
        <v/>
      </c>
      <c r="I1852">
        <f>SUMPRODUCT(Calc!$K$3:$K$22*(Calc!$G$3:$G$22&gt;A1852)*(Calc!$G$3:$G$22-A1852)^2)</f>
        <v/>
      </c>
      <c r="J1852">
        <f>SUMPRODUCT(Calc!$K$3:$K$22*(Calc!$G$3:$G$22&gt;B1852)*(Calc!$G$3:$G$22-B1852)^2)</f>
        <v/>
      </c>
      <c r="K1852">
        <f>SUMPRODUCT(Calc!$K$3:$K$22*(Calc!$G$3:$G$22&gt;A1852)*(Calc!$G$3:$G$22-A1852)*(Calc!$G$3:$G$22&gt;B1852)*(Calc!$G$3:$G$22-B1852))</f>
        <v/>
      </c>
      <c r="L1852">
        <f>SUMPRODUCT(Calc!$K$3:$K$22*(Calc!$G$3:$G$22&gt;A1852)*(Calc!$G$3:$G$22-A1852)*Calc!$G$3:$G$22)</f>
        <v/>
      </c>
      <c r="M1852">
        <f>SUMPRODUCT(Calc!$K$3:$K$22*(Calc!$G$3:$G$22&gt;B1852)*(Calc!$G$3:$G$22-B1852)*Calc!$G$3:$G$22)</f>
        <v/>
      </c>
      <c r="N1852">
        <f>SUMPRODUCT(Calc!$K$3:$K$22*(Calc!$G$3:$G$22&gt;A1852)*(Calc!$G$3:$G$22-A1852)*Calc!$I$3:$I$22)</f>
        <v/>
      </c>
      <c r="O1852">
        <f>SUMPRODUCT(Calc!$K$3:$K$22*(Calc!$G$3:$G$22&gt;B1852)*(Calc!$G$3:$G$22-B1852)*Calc!$I$3:$I$22)</f>
        <v/>
      </c>
      <c r="P1852">
        <f>I1852-G1852^2/k_n</f>
        <v/>
      </c>
      <c r="Q1852">
        <f>J1852-H1852^2/k_n</f>
        <v/>
      </c>
      <c r="R1852">
        <f>K1852-G1852*H1852/k_n</f>
        <v/>
      </c>
      <c r="S1852">
        <f>L1852-LTP3!$D$3*G1852/k_n</f>
        <v/>
      </c>
      <c r="T1852">
        <f>M1852-LTP3!$D$3*H1852/k_n</f>
        <v/>
      </c>
      <c r="U1852">
        <f>N1852-G1852*LTP3!$D$4/k_n</f>
        <v/>
      </c>
      <c r="V1852">
        <f>O1852-H1852*LTP3!$D$4/k_n</f>
        <v/>
      </c>
      <c r="W1852">
        <f>((LTP3!$D$5)*((P1852)*(Q1852)-(R1852)*(R1852))-(S1852)*((S1852)*(Q1852)-(R1852)*(T1852))+(T1852)*((S1852)*(R1852)-(P1852)*(T1852)))</f>
        <v/>
      </c>
      <c r="X1852">
        <f>IF(ABS(W1852)&gt;1E-12,((LTP3!$D$6)*((P1852)*(Q1852)-(R1852)*(R1852))-(S1852)*((U1852)*(Q1852)-(R1852)*(V1852))+(T1852)*((U1852)*(R1852)-(P1852)*(V1852)))/W1852,0)</f>
        <v/>
      </c>
      <c r="Y1852">
        <f>IF(ABS(W1852)&gt;1E-12,((LTP3!$D$5)*((U1852)*(Q1852)-(R1852)*(V1852))-(LTP3!$D$6)*((S1852)*(Q1852)-(R1852)*(T1852))+(T1852)*((S1852)*(V1852)-(U1852)*(T1852)))/W1852,0)</f>
        <v/>
      </c>
      <c r="Z1852">
        <f>IF(ABS(W1852)&gt;1E-12,((LTP3!$D$5)*((P1852)*(V1852)-(U1852)*(R1852))-(S1852)*((S1852)*(V1852)-(U1852)*(T1852))+(LTP3!$D$6)*((S1852)*(R1852)-(P1852)*(T1852)))/W1852,0)</f>
        <v/>
      </c>
      <c r="AA1852">
        <f>LTP3!$D$7-X1852*LTP3!$D$6-Y1852*U1852-Z1852*V1852</f>
        <v/>
      </c>
      <c r="AB1852">
        <f>IF(AND(F1852,ABS(W1852)&gt;1E-12,Y1852&gt;0,Z1852&gt;0),AA1852,1E+300)</f>
        <v/>
      </c>
    </row>
    <row r="1853">
      <c r="A1853">
        <f>$B$3+$B$5*30</f>
        <v/>
      </c>
      <c r="B1853">
        <f>$B$3+$B$5*11</f>
        <v/>
      </c>
      <c r="C1853">
        <f>SUMPRODUCT(Calc!$K$3:$K$22*(Calc!$G$3:$G$22&lt;=A1853))</f>
        <v/>
      </c>
      <c r="D1853">
        <f>SUMPRODUCT(Calc!$K$3:$K$22*(Calc!$G$3:$G$22&gt;A1853)*(Calc!$G$3:$G$22&lt;B1853))</f>
        <v/>
      </c>
      <c r="E1853">
        <f>SUMPRODUCT(Calc!$K$3:$K$22*(Calc!$G$3:$G$22&gt;=B1853))</f>
        <v/>
      </c>
      <c r="F1853">
        <f>AND(k_n&gt;=5,B1853&gt;A1853+1E-9,C1853&gt;=2,D1853&gt;=1,E1853&gt;=2)</f>
        <v/>
      </c>
      <c r="G1853">
        <f>SUMPRODUCT(Calc!$K$3:$K$22*(Calc!$G$3:$G$22&gt;A1853)*(Calc!$G$3:$G$22-A1853))</f>
        <v/>
      </c>
      <c r="H1853">
        <f>SUMPRODUCT(Calc!$K$3:$K$22*(Calc!$G$3:$G$22&gt;B1853)*(Calc!$G$3:$G$22-B1853))</f>
        <v/>
      </c>
      <c r="I1853">
        <f>SUMPRODUCT(Calc!$K$3:$K$22*(Calc!$G$3:$G$22&gt;A1853)*(Calc!$G$3:$G$22-A1853)^2)</f>
        <v/>
      </c>
      <c r="J1853">
        <f>SUMPRODUCT(Calc!$K$3:$K$22*(Calc!$G$3:$G$22&gt;B1853)*(Calc!$G$3:$G$22-B1853)^2)</f>
        <v/>
      </c>
      <c r="K1853">
        <f>SUMPRODUCT(Calc!$K$3:$K$22*(Calc!$G$3:$G$22&gt;A1853)*(Calc!$G$3:$G$22-A1853)*(Calc!$G$3:$G$22&gt;B1853)*(Calc!$G$3:$G$22-B1853))</f>
        <v/>
      </c>
      <c r="L1853">
        <f>SUMPRODUCT(Calc!$K$3:$K$22*(Calc!$G$3:$G$22&gt;A1853)*(Calc!$G$3:$G$22-A1853)*Calc!$G$3:$G$22)</f>
        <v/>
      </c>
      <c r="M1853">
        <f>SUMPRODUCT(Calc!$K$3:$K$22*(Calc!$G$3:$G$22&gt;B1853)*(Calc!$G$3:$G$22-B1853)*Calc!$G$3:$G$22)</f>
        <v/>
      </c>
      <c r="N1853">
        <f>SUMPRODUCT(Calc!$K$3:$K$22*(Calc!$G$3:$G$22&gt;A1853)*(Calc!$G$3:$G$22-A1853)*Calc!$I$3:$I$22)</f>
        <v/>
      </c>
      <c r="O1853">
        <f>SUMPRODUCT(Calc!$K$3:$K$22*(Calc!$G$3:$G$22&gt;B1853)*(Calc!$G$3:$G$22-B1853)*Calc!$I$3:$I$22)</f>
        <v/>
      </c>
      <c r="P1853">
        <f>I1853-G1853^2/k_n</f>
        <v/>
      </c>
      <c r="Q1853">
        <f>J1853-H1853^2/k_n</f>
        <v/>
      </c>
      <c r="R1853">
        <f>K1853-G1853*H1853/k_n</f>
        <v/>
      </c>
      <c r="S1853">
        <f>L1853-LTP3!$D$3*G1853/k_n</f>
        <v/>
      </c>
      <c r="T1853">
        <f>M1853-LTP3!$D$3*H1853/k_n</f>
        <v/>
      </c>
      <c r="U1853">
        <f>N1853-G1853*LTP3!$D$4/k_n</f>
        <v/>
      </c>
      <c r="V1853">
        <f>O1853-H1853*LTP3!$D$4/k_n</f>
        <v/>
      </c>
      <c r="W1853">
        <f>((LTP3!$D$5)*((P1853)*(Q1853)-(R1853)*(R1853))-(S1853)*((S1853)*(Q1853)-(R1853)*(T1853))+(T1853)*((S1853)*(R1853)-(P1853)*(T1853)))</f>
        <v/>
      </c>
      <c r="X1853">
        <f>IF(ABS(W1853)&gt;1E-12,((LTP3!$D$6)*((P1853)*(Q1853)-(R1853)*(R1853))-(S1853)*((U1853)*(Q1853)-(R1853)*(V1853))+(T1853)*((U1853)*(R1853)-(P1853)*(V1853)))/W1853,0)</f>
        <v/>
      </c>
      <c r="Y1853">
        <f>IF(ABS(W1853)&gt;1E-12,((LTP3!$D$5)*((U1853)*(Q1853)-(R1853)*(V1853))-(LTP3!$D$6)*((S1853)*(Q1853)-(R1853)*(T1853))+(T1853)*((S1853)*(V1853)-(U1853)*(T1853)))/W1853,0)</f>
        <v/>
      </c>
      <c r="Z1853">
        <f>IF(ABS(W1853)&gt;1E-12,((LTP3!$D$5)*((P1853)*(V1853)-(U1853)*(R1853))-(S1853)*((S1853)*(V1853)-(U1853)*(T1853))+(LTP3!$D$6)*((S1853)*(R1853)-(P1853)*(T1853)))/W1853,0)</f>
        <v/>
      </c>
      <c r="AA1853">
        <f>LTP3!$D$7-X1853*LTP3!$D$6-Y1853*U1853-Z1853*V1853</f>
        <v/>
      </c>
      <c r="AB1853">
        <f>IF(AND(F1853,ABS(W1853)&gt;1E-12,Y1853&gt;0,Z1853&gt;0),AA1853,1E+300)</f>
        <v/>
      </c>
    </row>
    <row r="1854">
      <c r="A1854">
        <f>$B$3+$B$5*30</f>
        <v/>
      </c>
      <c r="B1854">
        <f>$B$3+$B$5*12</f>
        <v/>
      </c>
      <c r="C1854">
        <f>SUMPRODUCT(Calc!$K$3:$K$22*(Calc!$G$3:$G$22&lt;=A1854))</f>
        <v/>
      </c>
      <c r="D1854">
        <f>SUMPRODUCT(Calc!$K$3:$K$22*(Calc!$G$3:$G$22&gt;A1854)*(Calc!$G$3:$G$22&lt;B1854))</f>
        <v/>
      </c>
      <c r="E1854">
        <f>SUMPRODUCT(Calc!$K$3:$K$22*(Calc!$G$3:$G$22&gt;=B1854))</f>
        <v/>
      </c>
      <c r="F1854">
        <f>AND(k_n&gt;=5,B1854&gt;A1854+1E-9,C1854&gt;=2,D1854&gt;=1,E1854&gt;=2)</f>
        <v/>
      </c>
      <c r="G1854">
        <f>SUMPRODUCT(Calc!$K$3:$K$22*(Calc!$G$3:$G$22&gt;A1854)*(Calc!$G$3:$G$22-A1854))</f>
        <v/>
      </c>
      <c r="H1854">
        <f>SUMPRODUCT(Calc!$K$3:$K$22*(Calc!$G$3:$G$22&gt;B1854)*(Calc!$G$3:$G$22-B1854))</f>
        <v/>
      </c>
      <c r="I1854">
        <f>SUMPRODUCT(Calc!$K$3:$K$22*(Calc!$G$3:$G$22&gt;A1854)*(Calc!$G$3:$G$22-A1854)^2)</f>
        <v/>
      </c>
      <c r="J1854">
        <f>SUMPRODUCT(Calc!$K$3:$K$22*(Calc!$G$3:$G$22&gt;B1854)*(Calc!$G$3:$G$22-B1854)^2)</f>
        <v/>
      </c>
      <c r="K1854">
        <f>SUMPRODUCT(Calc!$K$3:$K$22*(Calc!$G$3:$G$22&gt;A1854)*(Calc!$G$3:$G$22-A1854)*(Calc!$G$3:$G$22&gt;B1854)*(Calc!$G$3:$G$22-B1854))</f>
        <v/>
      </c>
      <c r="L1854">
        <f>SUMPRODUCT(Calc!$K$3:$K$22*(Calc!$G$3:$G$22&gt;A1854)*(Calc!$G$3:$G$22-A1854)*Calc!$G$3:$G$22)</f>
        <v/>
      </c>
      <c r="M1854">
        <f>SUMPRODUCT(Calc!$K$3:$K$22*(Calc!$G$3:$G$22&gt;B1854)*(Calc!$G$3:$G$22-B1854)*Calc!$G$3:$G$22)</f>
        <v/>
      </c>
      <c r="N1854">
        <f>SUMPRODUCT(Calc!$K$3:$K$22*(Calc!$G$3:$G$22&gt;A1854)*(Calc!$G$3:$G$22-A1854)*Calc!$I$3:$I$22)</f>
        <v/>
      </c>
      <c r="O1854">
        <f>SUMPRODUCT(Calc!$K$3:$K$22*(Calc!$G$3:$G$22&gt;B1854)*(Calc!$G$3:$G$22-B1854)*Calc!$I$3:$I$22)</f>
        <v/>
      </c>
      <c r="P1854">
        <f>I1854-G1854^2/k_n</f>
        <v/>
      </c>
      <c r="Q1854">
        <f>J1854-H1854^2/k_n</f>
        <v/>
      </c>
      <c r="R1854">
        <f>K1854-G1854*H1854/k_n</f>
        <v/>
      </c>
      <c r="S1854">
        <f>L1854-LTP3!$D$3*G1854/k_n</f>
        <v/>
      </c>
      <c r="T1854">
        <f>M1854-LTP3!$D$3*H1854/k_n</f>
        <v/>
      </c>
      <c r="U1854">
        <f>N1854-G1854*LTP3!$D$4/k_n</f>
        <v/>
      </c>
      <c r="V1854">
        <f>O1854-H1854*LTP3!$D$4/k_n</f>
        <v/>
      </c>
      <c r="W1854">
        <f>((LTP3!$D$5)*((P1854)*(Q1854)-(R1854)*(R1854))-(S1854)*((S1854)*(Q1854)-(R1854)*(T1854))+(T1854)*((S1854)*(R1854)-(P1854)*(T1854)))</f>
        <v/>
      </c>
      <c r="X1854">
        <f>IF(ABS(W1854)&gt;1E-12,((LTP3!$D$6)*((P1854)*(Q1854)-(R1854)*(R1854))-(S1854)*((U1854)*(Q1854)-(R1854)*(V1854))+(T1854)*((U1854)*(R1854)-(P1854)*(V1854)))/W1854,0)</f>
        <v/>
      </c>
      <c r="Y1854">
        <f>IF(ABS(W1854)&gt;1E-12,((LTP3!$D$5)*((U1854)*(Q1854)-(R1854)*(V1854))-(LTP3!$D$6)*((S1854)*(Q1854)-(R1854)*(T1854))+(T1854)*((S1854)*(V1854)-(U1854)*(T1854)))/W1854,0)</f>
        <v/>
      </c>
      <c r="Z1854">
        <f>IF(ABS(W1854)&gt;1E-12,((LTP3!$D$5)*((P1854)*(V1854)-(U1854)*(R1854))-(S1854)*((S1854)*(V1854)-(U1854)*(T1854))+(LTP3!$D$6)*((S1854)*(R1854)-(P1854)*(T1854)))/W1854,0)</f>
        <v/>
      </c>
      <c r="AA1854">
        <f>LTP3!$D$7-X1854*LTP3!$D$6-Y1854*U1854-Z1854*V1854</f>
        <v/>
      </c>
      <c r="AB1854">
        <f>IF(AND(F1854,ABS(W1854)&gt;1E-12,Y1854&gt;0,Z1854&gt;0),AA1854,1E+300)</f>
        <v/>
      </c>
    </row>
    <row r="1855">
      <c r="A1855">
        <f>$B$3+$B$5*30</f>
        <v/>
      </c>
      <c r="B1855">
        <f>$B$3+$B$5*13</f>
        <v/>
      </c>
      <c r="C1855">
        <f>SUMPRODUCT(Calc!$K$3:$K$22*(Calc!$G$3:$G$22&lt;=A1855))</f>
        <v/>
      </c>
      <c r="D1855">
        <f>SUMPRODUCT(Calc!$K$3:$K$22*(Calc!$G$3:$G$22&gt;A1855)*(Calc!$G$3:$G$22&lt;B1855))</f>
        <v/>
      </c>
      <c r="E1855">
        <f>SUMPRODUCT(Calc!$K$3:$K$22*(Calc!$G$3:$G$22&gt;=B1855))</f>
        <v/>
      </c>
      <c r="F1855">
        <f>AND(k_n&gt;=5,B1855&gt;A1855+1E-9,C1855&gt;=2,D1855&gt;=1,E1855&gt;=2)</f>
        <v/>
      </c>
      <c r="G1855">
        <f>SUMPRODUCT(Calc!$K$3:$K$22*(Calc!$G$3:$G$22&gt;A1855)*(Calc!$G$3:$G$22-A1855))</f>
        <v/>
      </c>
      <c r="H1855">
        <f>SUMPRODUCT(Calc!$K$3:$K$22*(Calc!$G$3:$G$22&gt;B1855)*(Calc!$G$3:$G$22-B1855))</f>
        <v/>
      </c>
      <c r="I1855">
        <f>SUMPRODUCT(Calc!$K$3:$K$22*(Calc!$G$3:$G$22&gt;A1855)*(Calc!$G$3:$G$22-A1855)^2)</f>
        <v/>
      </c>
      <c r="J1855">
        <f>SUMPRODUCT(Calc!$K$3:$K$22*(Calc!$G$3:$G$22&gt;B1855)*(Calc!$G$3:$G$22-B1855)^2)</f>
        <v/>
      </c>
      <c r="K1855">
        <f>SUMPRODUCT(Calc!$K$3:$K$22*(Calc!$G$3:$G$22&gt;A1855)*(Calc!$G$3:$G$22-A1855)*(Calc!$G$3:$G$22&gt;B1855)*(Calc!$G$3:$G$22-B1855))</f>
        <v/>
      </c>
      <c r="L1855">
        <f>SUMPRODUCT(Calc!$K$3:$K$22*(Calc!$G$3:$G$22&gt;A1855)*(Calc!$G$3:$G$22-A1855)*Calc!$G$3:$G$22)</f>
        <v/>
      </c>
      <c r="M1855">
        <f>SUMPRODUCT(Calc!$K$3:$K$22*(Calc!$G$3:$G$22&gt;B1855)*(Calc!$G$3:$G$22-B1855)*Calc!$G$3:$G$22)</f>
        <v/>
      </c>
      <c r="N1855">
        <f>SUMPRODUCT(Calc!$K$3:$K$22*(Calc!$G$3:$G$22&gt;A1855)*(Calc!$G$3:$G$22-A1855)*Calc!$I$3:$I$22)</f>
        <v/>
      </c>
      <c r="O1855">
        <f>SUMPRODUCT(Calc!$K$3:$K$22*(Calc!$G$3:$G$22&gt;B1855)*(Calc!$G$3:$G$22-B1855)*Calc!$I$3:$I$22)</f>
        <v/>
      </c>
      <c r="P1855">
        <f>I1855-G1855^2/k_n</f>
        <v/>
      </c>
      <c r="Q1855">
        <f>J1855-H1855^2/k_n</f>
        <v/>
      </c>
      <c r="R1855">
        <f>K1855-G1855*H1855/k_n</f>
        <v/>
      </c>
      <c r="S1855">
        <f>L1855-LTP3!$D$3*G1855/k_n</f>
        <v/>
      </c>
      <c r="T1855">
        <f>M1855-LTP3!$D$3*H1855/k_n</f>
        <v/>
      </c>
      <c r="U1855">
        <f>N1855-G1855*LTP3!$D$4/k_n</f>
        <v/>
      </c>
      <c r="V1855">
        <f>O1855-H1855*LTP3!$D$4/k_n</f>
        <v/>
      </c>
      <c r="W1855">
        <f>((LTP3!$D$5)*((P1855)*(Q1855)-(R1855)*(R1855))-(S1855)*((S1855)*(Q1855)-(R1855)*(T1855))+(T1855)*((S1855)*(R1855)-(P1855)*(T1855)))</f>
        <v/>
      </c>
      <c r="X1855">
        <f>IF(ABS(W1855)&gt;1E-12,((LTP3!$D$6)*((P1855)*(Q1855)-(R1855)*(R1855))-(S1855)*((U1855)*(Q1855)-(R1855)*(V1855))+(T1855)*((U1855)*(R1855)-(P1855)*(V1855)))/W1855,0)</f>
        <v/>
      </c>
      <c r="Y1855">
        <f>IF(ABS(W1855)&gt;1E-12,((LTP3!$D$5)*((U1855)*(Q1855)-(R1855)*(V1855))-(LTP3!$D$6)*((S1855)*(Q1855)-(R1855)*(T1855))+(T1855)*((S1855)*(V1855)-(U1855)*(T1855)))/W1855,0)</f>
        <v/>
      </c>
      <c r="Z1855">
        <f>IF(ABS(W1855)&gt;1E-12,((LTP3!$D$5)*((P1855)*(V1855)-(U1855)*(R1855))-(S1855)*((S1855)*(V1855)-(U1855)*(T1855))+(LTP3!$D$6)*((S1855)*(R1855)-(P1855)*(T1855)))/W1855,0)</f>
        <v/>
      </c>
      <c r="AA1855">
        <f>LTP3!$D$7-X1855*LTP3!$D$6-Y1855*U1855-Z1855*V1855</f>
        <v/>
      </c>
      <c r="AB1855">
        <f>IF(AND(F1855,ABS(W1855)&gt;1E-12,Y1855&gt;0,Z1855&gt;0),AA1855,1E+300)</f>
        <v/>
      </c>
    </row>
    <row r="1856">
      <c r="A1856">
        <f>$B$3+$B$5*30</f>
        <v/>
      </c>
      <c r="B1856">
        <f>$B$3+$B$5*14</f>
        <v/>
      </c>
      <c r="C1856">
        <f>SUMPRODUCT(Calc!$K$3:$K$22*(Calc!$G$3:$G$22&lt;=A1856))</f>
        <v/>
      </c>
      <c r="D1856">
        <f>SUMPRODUCT(Calc!$K$3:$K$22*(Calc!$G$3:$G$22&gt;A1856)*(Calc!$G$3:$G$22&lt;B1856))</f>
        <v/>
      </c>
      <c r="E1856">
        <f>SUMPRODUCT(Calc!$K$3:$K$22*(Calc!$G$3:$G$22&gt;=B1856))</f>
        <v/>
      </c>
      <c r="F1856">
        <f>AND(k_n&gt;=5,B1856&gt;A1856+1E-9,C1856&gt;=2,D1856&gt;=1,E1856&gt;=2)</f>
        <v/>
      </c>
      <c r="G1856">
        <f>SUMPRODUCT(Calc!$K$3:$K$22*(Calc!$G$3:$G$22&gt;A1856)*(Calc!$G$3:$G$22-A1856))</f>
        <v/>
      </c>
      <c r="H1856">
        <f>SUMPRODUCT(Calc!$K$3:$K$22*(Calc!$G$3:$G$22&gt;B1856)*(Calc!$G$3:$G$22-B1856))</f>
        <v/>
      </c>
      <c r="I1856">
        <f>SUMPRODUCT(Calc!$K$3:$K$22*(Calc!$G$3:$G$22&gt;A1856)*(Calc!$G$3:$G$22-A1856)^2)</f>
        <v/>
      </c>
      <c r="J1856">
        <f>SUMPRODUCT(Calc!$K$3:$K$22*(Calc!$G$3:$G$22&gt;B1856)*(Calc!$G$3:$G$22-B1856)^2)</f>
        <v/>
      </c>
      <c r="K1856">
        <f>SUMPRODUCT(Calc!$K$3:$K$22*(Calc!$G$3:$G$22&gt;A1856)*(Calc!$G$3:$G$22-A1856)*(Calc!$G$3:$G$22&gt;B1856)*(Calc!$G$3:$G$22-B1856))</f>
        <v/>
      </c>
      <c r="L1856">
        <f>SUMPRODUCT(Calc!$K$3:$K$22*(Calc!$G$3:$G$22&gt;A1856)*(Calc!$G$3:$G$22-A1856)*Calc!$G$3:$G$22)</f>
        <v/>
      </c>
      <c r="M1856">
        <f>SUMPRODUCT(Calc!$K$3:$K$22*(Calc!$G$3:$G$22&gt;B1856)*(Calc!$G$3:$G$22-B1856)*Calc!$G$3:$G$22)</f>
        <v/>
      </c>
      <c r="N1856">
        <f>SUMPRODUCT(Calc!$K$3:$K$22*(Calc!$G$3:$G$22&gt;A1856)*(Calc!$G$3:$G$22-A1856)*Calc!$I$3:$I$22)</f>
        <v/>
      </c>
      <c r="O1856">
        <f>SUMPRODUCT(Calc!$K$3:$K$22*(Calc!$G$3:$G$22&gt;B1856)*(Calc!$G$3:$G$22-B1856)*Calc!$I$3:$I$22)</f>
        <v/>
      </c>
      <c r="P1856">
        <f>I1856-G1856^2/k_n</f>
        <v/>
      </c>
      <c r="Q1856">
        <f>J1856-H1856^2/k_n</f>
        <v/>
      </c>
      <c r="R1856">
        <f>K1856-G1856*H1856/k_n</f>
        <v/>
      </c>
      <c r="S1856">
        <f>L1856-LTP3!$D$3*G1856/k_n</f>
        <v/>
      </c>
      <c r="T1856">
        <f>M1856-LTP3!$D$3*H1856/k_n</f>
        <v/>
      </c>
      <c r="U1856">
        <f>N1856-G1856*LTP3!$D$4/k_n</f>
        <v/>
      </c>
      <c r="V1856">
        <f>O1856-H1856*LTP3!$D$4/k_n</f>
        <v/>
      </c>
      <c r="W1856">
        <f>((LTP3!$D$5)*((P1856)*(Q1856)-(R1856)*(R1856))-(S1856)*((S1856)*(Q1856)-(R1856)*(T1856))+(T1856)*((S1856)*(R1856)-(P1856)*(T1856)))</f>
        <v/>
      </c>
      <c r="X1856">
        <f>IF(ABS(W1856)&gt;1E-12,((LTP3!$D$6)*((P1856)*(Q1856)-(R1856)*(R1856))-(S1856)*((U1856)*(Q1856)-(R1856)*(V1856))+(T1856)*((U1856)*(R1856)-(P1856)*(V1856)))/W1856,0)</f>
        <v/>
      </c>
      <c r="Y1856">
        <f>IF(ABS(W1856)&gt;1E-12,((LTP3!$D$5)*((U1856)*(Q1856)-(R1856)*(V1856))-(LTP3!$D$6)*((S1856)*(Q1856)-(R1856)*(T1856))+(T1856)*((S1856)*(V1856)-(U1856)*(T1856)))/W1856,0)</f>
        <v/>
      </c>
      <c r="Z1856">
        <f>IF(ABS(W1856)&gt;1E-12,((LTP3!$D$5)*((P1856)*(V1856)-(U1856)*(R1856))-(S1856)*((S1856)*(V1856)-(U1856)*(T1856))+(LTP3!$D$6)*((S1856)*(R1856)-(P1856)*(T1856)))/W1856,0)</f>
        <v/>
      </c>
      <c r="AA1856">
        <f>LTP3!$D$7-X1856*LTP3!$D$6-Y1856*U1856-Z1856*V1856</f>
        <v/>
      </c>
      <c r="AB1856">
        <f>IF(AND(F1856,ABS(W1856)&gt;1E-12,Y1856&gt;0,Z1856&gt;0),AA1856,1E+300)</f>
        <v/>
      </c>
    </row>
    <row r="1857">
      <c r="A1857">
        <f>$B$3+$B$5*30</f>
        <v/>
      </c>
      <c r="B1857">
        <f>$B$3+$B$5*15</f>
        <v/>
      </c>
      <c r="C1857">
        <f>SUMPRODUCT(Calc!$K$3:$K$22*(Calc!$G$3:$G$22&lt;=A1857))</f>
        <v/>
      </c>
      <c r="D1857">
        <f>SUMPRODUCT(Calc!$K$3:$K$22*(Calc!$G$3:$G$22&gt;A1857)*(Calc!$G$3:$G$22&lt;B1857))</f>
        <v/>
      </c>
      <c r="E1857">
        <f>SUMPRODUCT(Calc!$K$3:$K$22*(Calc!$G$3:$G$22&gt;=B1857))</f>
        <v/>
      </c>
      <c r="F1857">
        <f>AND(k_n&gt;=5,B1857&gt;A1857+1E-9,C1857&gt;=2,D1857&gt;=1,E1857&gt;=2)</f>
        <v/>
      </c>
      <c r="G1857">
        <f>SUMPRODUCT(Calc!$K$3:$K$22*(Calc!$G$3:$G$22&gt;A1857)*(Calc!$G$3:$G$22-A1857))</f>
        <v/>
      </c>
      <c r="H1857">
        <f>SUMPRODUCT(Calc!$K$3:$K$22*(Calc!$G$3:$G$22&gt;B1857)*(Calc!$G$3:$G$22-B1857))</f>
        <v/>
      </c>
      <c r="I1857">
        <f>SUMPRODUCT(Calc!$K$3:$K$22*(Calc!$G$3:$G$22&gt;A1857)*(Calc!$G$3:$G$22-A1857)^2)</f>
        <v/>
      </c>
      <c r="J1857">
        <f>SUMPRODUCT(Calc!$K$3:$K$22*(Calc!$G$3:$G$22&gt;B1857)*(Calc!$G$3:$G$22-B1857)^2)</f>
        <v/>
      </c>
      <c r="K1857">
        <f>SUMPRODUCT(Calc!$K$3:$K$22*(Calc!$G$3:$G$22&gt;A1857)*(Calc!$G$3:$G$22-A1857)*(Calc!$G$3:$G$22&gt;B1857)*(Calc!$G$3:$G$22-B1857))</f>
        <v/>
      </c>
      <c r="L1857">
        <f>SUMPRODUCT(Calc!$K$3:$K$22*(Calc!$G$3:$G$22&gt;A1857)*(Calc!$G$3:$G$22-A1857)*Calc!$G$3:$G$22)</f>
        <v/>
      </c>
      <c r="M1857">
        <f>SUMPRODUCT(Calc!$K$3:$K$22*(Calc!$G$3:$G$22&gt;B1857)*(Calc!$G$3:$G$22-B1857)*Calc!$G$3:$G$22)</f>
        <v/>
      </c>
      <c r="N1857">
        <f>SUMPRODUCT(Calc!$K$3:$K$22*(Calc!$G$3:$G$22&gt;A1857)*(Calc!$G$3:$G$22-A1857)*Calc!$I$3:$I$22)</f>
        <v/>
      </c>
      <c r="O1857">
        <f>SUMPRODUCT(Calc!$K$3:$K$22*(Calc!$G$3:$G$22&gt;B1857)*(Calc!$G$3:$G$22-B1857)*Calc!$I$3:$I$22)</f>
        <v/>
      </c>
      <c r="P1857">
        <f>I1857-G1857^2/k_n</f>
        <v/>
      </c>
      <c r="Q1857">
        <f>J1857-H1857^2/k_n</f>
        <v/>
      </c>
      <c r="R1857">
        <f>K1857-G1857*H1857/k_n</f>
        <v/>
      </c>
      <c r="S1857">
        <f>L1857-LTP3!$D$3*G1857/k_n</f>
        <v/>
      </c>
      <c r="T1857">
        <f>M1857-LTP3!$D$3*H1857/k_n</f>
        <v/>
      </c>
      <c r="U1857">
        <f>N1857-G1857*LTP3!$D$4/k_n</f>
        <v/>
      </c>
      <c r="V1857">
        <f>O1857-H1857*LTP3!$D$4/k_n</f>
        <v/>
      </c>
      <c r="W1857">
        <f>((LTP3!$D$5)*((P1857)*(Q1857)-(R1857)*(R1857))-(S1857)*((S1857)*(Q1857)-(R1857)*(T1857))+(T1857)*((S1857)*(R1857)-(P1857)*(T1857)))</f>
        <v/>
      </c>
      <c r="X1857">
        <f>IF(ABS(W1857)&gt;1E-12,((LTP3!$D$6)*((P1857)*(Q1857)-(R1857)*(R1857))-(S1857)*((U1857)*(Q1857)-(R1857)*(V1857))+(T1857)*((U1857)*(R1857)-(P1857)*(V1857)))/W1857,0)</f>
        <v/>
      </c>
      <c r="Y1857">
        <f>IF(ABS(W1857)&gt;1E-12,((LTP3!$D$5)*((U1857)*(Q1857)-(R1857)*(V1857))-(LTP3!$D$6)*((S1857)*(Q1857)-(R1857)*(T1857))+(T1857)*((S1857)*(V1857)-(U1857)*(T1857)))/W1857,0)</f>
        <v/>
      </c>
      <c r="Z1857">
        <f>IF(ABS(W1857)&gt;1E-12,((LTP3!$D$5)*((P1857)*(V1857)-(U1857)*(R1857))-(S1857)*((S1857)*(V1857)-(U1857)*(T1857))+(LTP3!$D$6)*((S1857)*(R1857)-(P1857)*(T1857)))/W1857,0)</f>
        <v/>
      </c>
      <c r="AA1857">
        <f>LTP3!$D$7-X1857*LTP3!$D$6-Y1857*U1857-Z1857*V1857</f>
        <v/>
      </c>
      <c r="AB1857">
        <f>IF(AND(F1857,ABS(W1857)&gt;1E-12,Y1857&gt;0,Z1857&gt;0),AA1857,1E+300)</f>
        <v/>
      </c>
    </row>
    <row r="1858">
      <c r="A1858">
        <f>$B$3+$B$5*30</f>
        <v/>
      </c>
      <c r="B1858">
        <f>$B$3+$B$5*16</f>
        <v/>
      </c>
      <c r="C1858">
        <f>SUMPRODUCT(Calc!$K$3:$K$22*(Calc!$G$3:$G$22&lt;=A1858))</f>
        <v/>
      </c>
      <c r="D1858">
        <f>SUMPRODUCT(Calc!$K$3:$K$22*(Calc!$G$3:$G$22&gt;A1858)*(Calc!$G$3:$G$22&lt;B1858))</f>
        <v/>
      </c>
      <c r="E1858">
        <f>SUMPRODUCT(Calc!$K$3:$K$22*(Calc!$G$3:$G$22&gt;=B1858))</f>
        <v/>
      </c>
      <c r="F1858">
        <f>AND(k_n&gt;=5,B1858&gt;A1858+1E-9,C1858&gt;=2,D1858&gt;=1,E1858&gt;=2)</f>
        <v/>
      </c>
      <c r="G1858">
        <f>SUMPRODUCT(Calc!$K$3:$K$22*(Calc!$G$3:$G$22&gt;A1858)*(Calc!$G$3:$G$22-A1858))</f>
        <v/>
      </c>
      <c r="H1858">
        <f>SUMPRODUCT(Calc!$K$3:$K$22*(Calc!$G$3:$G$22&gt;B1858)*(Calc!$G$3:$G$22-B1858))</f>
        <v/>
      </c>
      <c r="I1858">
        <f>SUMPRODUCT(Calc!$K$3:$K$22*(Calc!$G$3:$G$22&gt;A1858)*(Calc!$G$3:$G$22-A1858)^2)</f>
        <v/>
      </c>
      <c r="J1858">
        <f>SUMPRODUCT(Calc!$K$3:$K$22*(Calc!$G$3:$G$22&gt;B1858)*(Calc!$G$3:$G$22-B1858)^2)</f>
        <v/>
      </c>
      <c r="K1858">
        <f>SUMPRODUCT(Calc!$K$3:$K$22*(Calc!$G$3:$G$22&gt;A1858)*(Calc!$G$3:$G$22-A1858)*(Calc!$G$3:$G$22&gt;B1858)*(Calc!$G$3:$G$22-B1858))</f>
        <v/>
      </c>
      <c r="L1858">
        <f>SUMPRODUCT(Calc!$K$3:$K$22*(Calc!$G$3:$G$22&gt;A1858)*(Calc!$G$3:$G$22-A1858)*Calc!$G$3:$G$22)</f>
        <v/>
      </c>
      <c r="M1858">
        <f>SUMPRODUCT(Calc!$K$3:$K$22*(Calc!$G$3:$G$22&gt;B1858)*(Calc!$G$3:$G$22-B1858)*Calc!$G$3:$G$22)</f>
        <v/>
      </c>
      <c r="N1858">
        <f>SUMPRODUCT(Calc!$K$3:$K$22*(Calc!$G$3:$G$22&gt;A1858)*(Calc!$G$3:$G$22-A1858)*Calc!$I$3:$I$22)</f>
        <v/>
      </c>
      <c r="O1858">
        <f>SUMPRODUCT(Calc!$K$3:$K$22*(Calc!$G$3:$G$22&gt;B1858)*(Calc!$G$3:$G$22-B1858)*Calc!$I$3:$I$22)</f>
        <v/>
      </c>
      <c r="P1858">
        <f>I1858-G1858^2/k_n</f>
        <v/>
      </c>
      <c r="Q1858">
        <f>J1858-H1858^2/k_n</f>
        <v/>
      </c>
      <c r="R1858">
        <f>K1858-G1858*H1858/k_n</f>
        <v/>
      </c>
      <c r="S1858">
        <f>L1858-LTP3!$D$3*G1858/k_n</f>
        <v/>
      </c>
      <c r="T1858">
        <f>M1858-LTP3!$D$3*H1858/k_n</f>
        <v/>
      </c>
      <c r="U1858">
        <f>N1858-G1858*LTP3!$D$4/k_n</f>
        <v/>
      </c>
      <c r="V1858">
        <f>O1858-H1858*LTP3!$D$4/k_n</f>
        <v/>
      </c>
      <c r="W1858">
        <f>((LTP3!$D$5)*((P1858)*(Q1858)-(R1858)*(R1858))-(S1858)*((S1858)*(Q1858)-(R1858)*(T1858))+(T1858)*((S1858)*(R1858)-(P1858)*(T1858)))</f>
        <v/>
      </c>
      <c r="X1858">
        <f>IF(ABS(W1858)&gt;1E-12,((LTP3!$D$6)*((P1858)*(Q1858)-(R1858)*(R1858))-(S1858)*((U1858)*(Q1858)-(R1858)*(V1858))+(T1858)*((U1858)*(R1858)-(P1858)*(V1858)))/W1858,0)</f>
        <v/>
      </c>
      <c r="Y1858">
        <f>IF(ABS(W1858)&gt;1E-12,((LTP3!$D$5)*((U1858)*(Q1858)-(R1858)*(V1858))-(LTP3!$D$6)*((S1858)*(Q1858)-(R1858)*(T1858))+(T1858)*((S1858)*(V1858)-(U1858)*(T1858)))/W1858,0)</f>
        <v/>
      </c>
      <c r="Z1858">
        <f>IF(ABS(W1858)&gt;1E-12,((LTP3!$D$5)*((P1858)*(V1858)-(U1858)*(R1858))-(S1858)*((S1858)*(V1858)-(U1858)*(T1858))+(LTP3!$D$6)*((S1858)*(R1858)-(P1858)*(T1858)))/W1858,0)</f>
        <v/>
      </c>
      <c r="AA1858">
        <f>LTP3!$D$7-X1858*LTP3!$D$6-Y1858*U1858-Z1858*V1858</f>
        <v/>
      </c>
      <c r="AB1858">
        <f>IF(AND(F1858,ABS(W1858)&gt;1E-12,Y1858&gt;0,Z1858&gt;0),AA1858,1E+300)</f>
        <v/>
      </c>
    </row>
    <row r="1859">
      <c r="A1859">
        <f>$B$3+$B$5*30</f>
        <v/>
      </c>
      <c r="B1859">
        <f>$B$3+$B$5*17</f>
        <v/>
      </c>
      <c r="C1859">
        <f>SUMPRODUCT(Calc!$K$3:$K$22*(Calc!$G$3:$G$22&lt;=A1859))</f>
        <v/>
      </c>
      <c r="D1859">
        <f>SUMPRODUCT(Calc!$K$3:$K$22*(Calc!$G$3:$G$22&gt;A1859)*(Calc!$G$3:$G$22&lt;B1859))</f>
        <v/>
      </c>
      <c r="E1859">
        <f>SUMPRODUCT(Calc!$K$3:$K$22*(Calc!$G$3:$G$22&gt;=B1859))</f>
        <v/>
      </c>
      <c r="F1859">
        <f>AND(k_n&gt;=5,B1859&gt;A1859+1E-9,C1859&gt;=2,D1859&gt;=1,E1859&gt;=2)</f>
        <v/>
      </c>
      <c r="G1859">
        <f>SUMPRODUCT(Calc!$K$3:$K$22*(Calc!$G$3:$G$22&gt;A1859)*(Calc!$G$3:$G$22-A1859))</f>
        <v/>
      </c>
      <c r="H1859">
        <f>SUMPRODUCT(Calc!$K$3:$K$22*(Calc!$G$3:$G$22&gt;B1859)*(Calc!$G$3:$G$22-B1859))</f>
        <v/>
      </c>
      <c r="I1859">
        <f>SUMPRODUCT(Calc!$K$3:$K$22*(Calc!$G$3:$G$22&gt;A1859)*(Calc!$G$3:$G$22-A1859)^2)</f>
        <v/>
      </c>
      <c r="J1859">
        <f>SUMPRODUCT(Calc!$K$3:$K$22*(Calc!$G$3:$G$22&gt;B1859)*(Calc!$G$3:$G$22-B1859)^2)</f>
        <v/>
      </c>
      <c r="K1859">
        <f>SUMPRODUCT(Calc!$K$3:$K$22*(Calc!$G$3:$G$22&gt;A1859)*(Calc!$G$3:$G$22-A1859)*(Calc!$G$3:$G$22&gt;B1859)*(Calc!$G$3:$G$22-B1859))</f>
        <v/>
      </c>
      <c r="L1859">
        <f>SUMPRODUCT(Calc!$K$3:$K$22*(Calc!$G$3:$G$22&gt;A1859)*(Calc!$G$3:$G$22-A1859)*Calc!$G$3:$G$22)</f>
        <v/>
      </c>
      <c r="M1859">
        <f>SUMPRODUCT(Calc!$K$3:$K$22*(Calc!$G$3:$G$22&gt;B1859)*(Calc!$G$3:$G$22-B1859)*Calc!$G$3:$G$22)</f>
        <v/>
      </c>
      <c r="N1859">
        <f>SUMPRODUCT(Calc!$K$3:$K$22*(Calc!$G$3:$G$22&gt;A1859)*(Calc!$G$3:$G$22-A1859)*Calc!$I$3:$I$22)</f>
        <v/>
      </c>
      <c r="O1859">
        <f>SUMPRODUCT(Calc!$K$3:$K$22*(Calc!$G$3:$G$22&gt;B1859)*(Calc!$G$3:$G$22-B1859)*Calc!$I$3:$I$22)</f>
        <v/>
      </c>
      <c r="P1859">
        <f>I1859-G1859^2/k_n</f>
        <v/>
      </c>
      <c r="Q1859">
        <f>J1859-H1859^2/k_n</f>
        <v/>
      </c>
      <c r="R1859">
        <f>K1859-G1859*H1859/k_n</f>
        <v/>
      </c>
      <c r="S1859">
        <f>L1859-LTP3!$D$3*G1859/k_n</f>
        <v/>
      </c>
      <c r="T1859">
        <f>M1859-LTP3!$D$3*H1859/k_n</f>
        <v/>
      </c>
      <c r="U1859">
        <f>N1859-G1859*LTP3!$D$4/k_n</f>
        <v/>
      </c>
      <c r="V1859">
        <f>O1859-H1859*LTP3!$D$4/k_n</f>
        <v/>
      </c>
      <c r="W1859">
        <f>((LTP3!$D$5)*((P1859)*(Q1859)-(R1859)*(R1859))-(S1859)*((S1859)*(Q1859)-(R1859)*(T1859))+(T1859)*((S1859)*(R1859)-(P1859)*(T1859)))</f>
        <v/>
      </c>
      <c r="X1859">
        <f>IF(ABS(W1859)&gt;1E-12,((LTP3!$D$6)*((P1859)*(Q1859)-(R1859)*(R1859))-(S1859)*((U1859)*(Q1859)-(R1859)*(V1859))+(T1859)*((U1859)*(R1859)-(P1859)*(V1859)))/W1859,0)</f>
        <v/>
      </c>
      <c r="Y1859">
        <f>IF(ABS(W1859)&gt;1E-12,((LTP3!$D$5)*((U1859)*(Q1859)-(R1859)*(V1859))-(LTP3!$D$6)*((S1859)*(Q1859)-(R1859)*(T1859))+(T1859)*((S1859)*(V1859)-(U1859)*(T1859)))/W1859,0)</f>
        <v/>
      </c>
      <c r="Z1859">
        <f>IF(ABS(W1859)&gt;1E-12,((LTP3!$D$5)*((P1859)*(V1859)-(U1859)*(R1859))-(S1859)*((S1859)*(V1859)-(U1859)*(T1859))+(LTP3!$D$6)*((S1859)*(R1859)-(P1859)*(T1859)))/W1859,0)</f>
        <v/>
      </c>
      <c r="AA1859">
        <f>LTP3!$D$7-X1859*LTP3!$D$6-Y1859*U1859-Z1859*V1859</f>
        <v/>
      </c>
      <c r="AB1859">
        <f>IF(AND(F1859,ABS(W1859)&gt;1E-12,Y1859&gt;0,Z1859&gt;0),AA1859,1E+300)</f>
        <v/>
      </c>
    </row>
    <row r="1860">
      <c r="A1860">
        <f>$B$3+$B$5*30</f>
        <v/>
      </c>
      <c r="B1860">
        <f>$B$3+$B$5*18</f>
        <v/>
      </c>
      <c r="C1860">
        <f>SUMPRODUCT(Calc!$K$3:$K$22*(Calc!$G$3:$G$22&lt;=A1860))</f>
        <v/>
      </c>
      <c r="D1860">
        <f>SUMPRODUCT(Calc!$K$3:$K$22*(Calc!$G$3:$G$22&gt;A1860)*(Calc!$G$3:$G$22&lt;B1860))</f>
        <v/>
      </c>
      <c r="E1860">
        <f>SUMPRODUCT(Calc!$K$3:$K$22*(Calc!$G$3:$G$22&gt;=B1860))</f>
        <v/>
      </c>
      <c r="F1860">
        <f>AND(k_n&gt;=5,B1860&gt;A1860+1E-9,C1860&gt;=2,D1860&gt;=1,E1860&gt;=2)</f>
        <v/>
      </c>
      <c r="G1860">
        <f>SUMPRODUCT(Calc!$K$3:$K$22*(Calc!$G$3:$G$22&gt;A1860)*(Calc!$G$3:$G$22-A1860))</f>
        <v/>
      </c>
      <c r="H1860">
        <f>SUMPRODUCT(Calc!$K$3:$K$22*(Calc!$G$3:$G$22&gt;B1860)*(Calc!$G$3:$G$22-B1860))</f>
        <v/>
      </c>
      <c r="I1860">
        <f>SUMPRODUCT(Calc!$K$3:$K$22*(Calc!$G$3:$G$22&gt;A1860)*(Calc!$G$3:$G$22-A1860)^2)</f>
        <v/>
      </c>
      <c r="J1860">
        <f>SUMPRODUCT(Calc!$K$3:$K$22*(Calc!$G$3:$G$22&gt;B1860)*(Calc!$G$3:$G$22-B1860)^2)</f>
        <v/>
      </c>
      <c r="K1860">
        <f>SUMPRODUCT(Calc!$K$3:$K$22*(Calc!$G$3:$G$22&gt;A1860)*(Calc!$G$3:$G$22-A1860)*(Calc!$G$3:$G$22&gt;B1860)*(Calc!$G$3:$G$22-B1860))</f>
        <v/>
      </c>
      <c r="L1860">
        <f>SUMPRODUCT(Calc!$K$3:$K$22*(Calc!$G$3:$G$22&gt;A1860)*(Calc!$G$3:$G$22-A1860)*Calc!$G$3:$G$22)</f>
        <v/>
      </c>
      <c r="M1860">
        <f>SUMPRODUCT(Calc!$K$3:$K$22*(Calc!$G$3:$G$22&gt;B1860)*(Calc!$G$3:$G$22-B1860)*Calc!$G$3:$G$22)</f>
        <v/>
      </c>
      <c r="N1860">
        <f>SUMPRODUCT(Calc!$K$3:$K$22*(Calc!$G$3:$G$22&gt;A1860)*(Calc!$G$3:$G$22-A1860)*Calc!$I$3:$I$22)</f>
        <v/>
      </c>
      <c r="O1860">
        <f>SUMPRODUCT(Calc!$K$3:$K$22*(Calc!$G$3:$G$22&gt;B1860)*(Calc!$G$3:$G$22-B1860)*Calc!$I$3:$I$22)</f>
        <v/>
      </c>
      <c r="P1860">
        <f>I1860-G1860^2/k_n</f>
        <v/>
      </c>
      <c r="Q1860">
        <f>J1860-H1860^2/k_n</f>
        <v/>
      </c>
      <c r="R1860">
        <f>K1860-G1860*H1860/k_n</f>
        <v/>
      </c>
      <c r="S1860">
        <f>L1860-LTP3!$D$3*G1860/k_n</f>
        <v/>
      </c>
      <c r="T1860">
        <f>M1860-LTP3!$D$3*H1860/k_n</f>
        <v/>
      </c>
      <c r="U1860">
        <f>N1860-G1860*LTP3!$D$4/k_n</f>
        <v/>
      </c>
      <c r="V1860">
        <f>O1860-H1860*LTP3!$D$4/k_n</f>
        <v/>
      </c>
      <c r="W1860">
        <f>((LTP3!$D$5)*((P1860)*(Q1860)-(R1860)*(R1860))-(S1860)*((S1860)*(Q1860)-(R1860)*(T1860))+(T1860)*((S1860)*(R1860)-(P1860)*(T1860)))</f>
        <v/>
      </c>
      <c r="X1860">
        <f>IF(ABS(W1860)&gt;1E-12,((LTP3!$D$6)*((P1860)*(Q1860)-(R1860)*(R1860))-(S1860)*((U1860)*(Q1860)-(R1860)*(V1860))+(T1860)*((U1860)*(R1860)-(P1860)*(V1860)))/W1860,0)</f>
        <v/>
      </c>
      <c r="Y1860">
        <f>IF(ABS(W1860)&gt;1E-12,((LTP3!$D$5)*((U1860)*(Q1860)-(R1860)*(V1860))-(LTP3!$D$6)*((S1860)*(Q1860)-(R1860)*(T1860))+(T1860)*((S1860)*(V1860)-(U1860)*(T1860)))/W1860,0)</f>
        <v/>
      </c>
      <c r="Z1860">
        <f>IF(ABS(W1860)&gt;1E-12,((LTP3!$D$5)*((P1860)*(V1860)-(U1860)*(R1860))-(S1860)*((S1860)*(V1860)-(U1860)*(T1860))+(LTP3!$D$6)*((S1860)*(R1860)-(P1860)*(T1860)))/W1860,0)</f>
        <v/>
      </c>
      <c r="AA1860">
        <f>LTP3!$D$7-X1860*LTP3!$D$6-Y1860*U1860-Z1860*V1860</f>
        <v/>
      </c>
      <c r="AB1860">
        <f>IF(AND(F1860,ABS(W1860)&gt;1E-12,Y1860&gt;0,Z1860&gt;0),AA1860,1E+300)</f>
        <v/>
      </c>
    </row>
    <row r="1861">
      <c r="A1861">
        <f>$B$3+$B$5*30</f>
        <v/>
      </c>
      <c r="B1861">
        <f>$B$3+$B$5*19</f>
        <v/>
      </c>
      <c r="C1861">
        <f>SUMPRODUCT(Calc!$K$3:$K$22*(Calc!$G$3:$G$22&lt;=A1861))</f>
        <v/>
      </c>
      <c r="D1861">
        <f>SUMPRODUCT(Calc!$K$3:$K$22*(Calc!$G$3:$G$22&gt;A1861)*(Calc!$G$3:$G$22&lt;B1861))</f>
        <v/>
      </c>
      <c r="E1861">
        <f>SUMPRODUCT(Calc!$K$3:$K$22*(Calc!$G$3:$G$22&gt;=B1861))</f>
        <v/>
      </c>
      <c r="F1861">
        <f>AND(k_n&gt;=5,B1861&gt;A1861+1E-9,C1861&gt;=2,D1861&gt;=1,E1861&gt;=2)</f>
        <v/>
      </c>
      <c r="G1861">
        <f>SUMPRODUCT(Calc!$K$3:$K$22*(Calc!$G$3:$G$22&gt;A1861)*(Calc!$G$3:$G$22-A1861))</f>
        <v/>
      </c>
      <c r="H1861">
        <f>SUMPRODUCT(Calc!$K$3:$K$22*(Calc!$G$3:$G$22&gt;B1861)*(Calc!$G$3:$G$22-B1861))</f>
        <v/>
      </c>
      <c r="I1861">
        <f>SUMPRODUCT(Calc!$K$3:$K$22*(Calc!$G$3:$G$22&gt;A1861)*(Calc!$G$3:$G$22-A1861)^2)</f>
        <v/>
      </c>
      <c r="J1861">
        <f>SUMPRODUCT(Calc!$K$3:$K$22*(Calc!$G$3:$G$22&gt;B1861)*(Calc!$G$3:$G$22-B1861)^2)</f>
        <v/>
      </c>
      <c r="K1861">
        <f>SUMPRODUCT(Calc!$K$3:$K$22*(Calc!$G$3:$G$22&gt;A1861)*(Calc!$G$3:$G$22-A1861)*(Calc!$G$3:$G$22&gt;B1861)*(Calc!$G$3:$G$22-B1861))</f>
        <v/>
      </c>
      <c r="L1861">
        <f>SUMPRODUCT(Calc!$K$3:$K$22*(Calc!$G$3:$G$22&gt;A1861)*(Calc!$G$3:$G$22-A1861)*Calc!$G$3:$G$22)</f>
        <v/>
      </c>
      <c r="M1861">
        <f>SUMPRODUCT(Calc!$K$3:$K$22*(Calc!$G$3:$G$22&gt;B1861)*(Calc!$G$3:$G$22-B1861)*Calc!$G$3:$G$22)</f>
        <v/>
      </c>
      <c r="N1861">
        <f>SUMPRODUCT(Calc!$K$3:$K$22*(Calc!$G$3:$G$22&gt;A1861)*(Calc!$G$3:$G$22-A1861)*Calc!$I$3:$I$22)</f>
        <v/>
      </c>
      <c r="O1861">
        <f>SUMPRODUCT(Calc!$K$3:$K$22*(Calc!$G$3:$G$22&gt;B1861)*(Calc!$G$3:$G$22-B1861)*Calc!$I$3:$I$22)</f>
        <v/>
      </c>
      <c r="P1861">
        <f>I1861-G1861^2/k_n</f>
        <v/>
      </c>
      <c r="Q1861">
        <f>J1861-H1861^2/k_n</f>
        <v/>
      </c>
      <c r="R1861">
        <f>K1861-G1861*H1861/k_n</f>
        <v/>
      </c>
      <c r="S1861">
        <f>L1861-LTP3!$D$3*G1861/k_n</f>
        <v/>
      </c>
      <c r="T1861">
        <f>M1861-LTP3!$D$3*H1861/k_n</f>
        <v/>
      </c>
      <c r="U1861">
        <f>N1861-G1861*LTP3!$D$4/k_n</f>
        <v/>
      </c>
      <c r="V1861">
        <f>O1861-H1861*LTP3!$D$4/k_n</f>
        <v/>
      </c>
      <c r="W1861">
        <f>((LTP3!$D$5)*((P1861)*(Q1861)-(R1861)*(R1861))-(S1861)*((S1861)*(Q1861)-(R1861)*(T1861))+(T1861)*((S1861)*(R1861)-(P1861)*(T1861)))</f>
        <v/>
      </c>
      <c r="X1861">
        <f>IF(ABS(W1861)&gt;1E-12,((LTP3!$D$6)*((P1861)*(Q1861)-(R1861)*(R1861))-(S1861)*((U1861)*(Q1861)-(R1861)*(V1861))+(T1861)*((U1861)*(R1861)-(P1861)*(V1861)))/W1861,0)</f>
        <v/>
      </c>
      <c r="Y1861">
        <f>IF(ABS(W1861)&gt;1E-12,((LTP3!$D$5)*((U1861)*(Q1861)-(R1861)*(V1861))-(LTP3!$D$6)*((S1861)*(Q1861)-(R1861)*(T1861))+(T1861)*((S1861)*(V1861)-(U1861)*(T1861)))/W1861,0)</f>
        <v/>
      </c>
      <c r="Z1861">
        <f>IF(ABS(W1861)&gt;1E-12,((LTP3!$D$5)*((P1861)*(V1861)-(U1861)*(R1861))-(S1861)*((S1861)*(V1861)-(U1861)*(T1861))+(LTP3!$D$6)*((S1861)*(R1861)-(P1861)*(T1861)))/W1861,0)</f>
        <v/>
      </c>
      <c r="AA1861">
        <f>LTP3!$D$7-X1861*LTP3!$D$6-Y1861*U1861-Z1861*V1861</f>
        <v/>
      </c>
      <c r="AB1861">
        <f>IF(AND(F1861,ABS(W1861)&gt;1E-12,Y1861&gt;0,Z1861&gt;0),AA1861,1E+300)</f>
        <v/>
      </c>
    </row>
    <row r="1862">
      <c r="A1862">
        <f>$B$3+$B$5*30</f>
        <v/>
      </c>
      <c r="B1862">
        <f>$B$3+$B$5*20</f>
        <v/>
      </c>
      <c r="C1862">
        <f>SUMPRODUCT(Calc!$K$3:$K$22*(Calc!$G$3:$G$22&lt;=A1862))</f>
        <v/>
      </c>
      <c r="D1862">
        <f>SUMPRODUCT(Calc!$K$3:$K$22*(Calc!$G$3:$G$22&gt;A1862)*(Calc!$G$3:$G$22&lt;B1862))</f>
        <v/>
      </c>
      <c r="E1862">
        <f>SUMPRODUCT(Calc!$K$3:$K$22*(Calc!$G$3:$G$22&gt;=B1862))</f>
        <v/>
      </c>
      <c r="F1862">
        <f>AND(k_n&gt;=5,B1862&gt;A1862+1E-9,C1862&gt;=2,D1862&gt;=1,E1862&gt;=2)</f>
        <v/>
      </c>
      <c r="G1862">
        <f>SUMPRODUCT(Calc!$K$3:$K$22*(Calc!$G$3:$G$22&gt;A1862)*(Calc!$G$3:$G$22-A1862))</f>
        <v/>
      </c>
      <c r="H1862">
        <f>SUMPRODUCT(Calc!$K$3:$K$22*(Calc!$G$3:$G$22&gt;B1862)*(Calc!$G$3:$G$22-B1862))</f>
        <v/>
      </c>
      <c r="I1862">
        <f>SUMPRODUCT(Calc!$K$3:$K$22*(Calc!$G$3:$G$22&gt;A1862)*(Calc!$G$3:$G$22-A1862)^2)</f>
        <v/>
      </c>
      <c r="J1862">
        <f>SUMPRODUCT(Calc!$K$3:$K$22*(Calc!$G$3:$G$22&gt;B1862)*(Calc!$G$3:$G$22-B1862)^2)</f>
        <v/>
      </c>
      <c r="K1862">
        <f>SUMPRODUCT(Calc!$K$3:$K$22*(Calc!$G$3:$G$22&gt;A1862)*(Calc!$G$3:$G$22-A1862)*(Calc!$G$3:$G$22&gt;B1862)*(Calc!$G$3:$G$22-B1862))</f>
        <v/>
      </c>
      <c r="L1862">
        <f>SUMPRODUCT(Calc!$K$3:$K$22*(Calc!$G$3:$G$22&gt;A1862)*(Calc!$G$3:$G$22-A1862)*Calc!$G$3:$G$22)</f>
        <v/>
      </c>
      <c r="M1862">
        <f>SUMPRODUCT(Calc!$K$3:$K$22*(Calc!$G$3:$G$22&gt;B1862)*(Calc!$G$3:$G$22-B1862)*Calc!$G$3:$G$22)</f>
        <v/>
      </c>
      <c r="N1862">
        <f>SUMPRODUCT(Calc!$K$3:$K$22*(Calc!$G$3:$G$22&gt;A1862)*(Calc!$G$3:$G$22-A1862)*Calc!$I$3:$I$22)</f>
        <v/>
      </c>
      <c r="O1862">
        <f>SUMPRODUCT(Calc!$K$3:$K$22*(Calc!$G$3:$G$22&gt;B1862)*(Calc!$G$3:$G$22-B1862)*Calc!$I$3:$I$22)</f>
        <v/>
      </c>
      <c r="P1862">
        <f>I1862-G1862^2/k_n</f>
        <v/>
      </c>
      <c r="Q1862">
        <f>J1862-H1862^2/k_n</f>
        <v/>
      </c>
      <c r="R1862">
        <f>K1862-G1862*H1862/k_n</f>
        <v/>
      </c>
      <c r="S1862">
        <f>L1862-LTP3!$D$3*G1862/k_n</f>
        <v/>
      </c>
      <c r="T1862">
        <f>M1862-LTP3!$D$3*H1862/k_n</f>
        <v/>
      </c>
      <c r="U1862">
        <f>N1862-G1862*LTP3!$D$4/k_n</f>
        <v/>
      </c>
      <c r="V1862">
        <f>O1862-H1862*LTP3!$D$4/k_n</f>
        <v/>
      </c>
      <c r="W1862">
        <f>((LTP3!$D$5)*((P1862)*(Q1862)-(R1862)*(R1862))-(S1862)*((S1862)*(Q1862)-(R1862)*(T1862))+(T1862)*((S1862)*(R1862)-(P1862)*(T1862)))</f>
        <v/>
      </c>
      <c r="X1862">
        <f>IF(ABS(W1862)&gt;1E-12,((LTP3!$D$6)*((P1862)*(Q1862)-(R1862)*(R1862))-(S1862)*((U1862)*(Q1862)-(R1862)*(V1862))+(T1862)*((U1862)*(R1862)-(P1862)*(V1862)))/W1862,0)</f>
        <v/>
      </c>
      <c r="Y1862">
        <f>IF(ABS(W1862)&gt;1E-12,((LTP3!$D$5)*((U1862)*(Q1862)-(R1862)*(V1862))-(LTP3!$D$6)*((S1862)*(Q1862)-(R1862)*(T1862))+(T1862)*((S1862)*(V1862)-(U1862)*(T1862)))/W1862,0)</f>
        <v/>
      </c>
      <c r="Z1862">
        <f>IF(ABS(W1862)&gt;1E-12,((LTP3!$D$5)*((P1862)*(V1862)-(U1862)*(R1862))-(S1862)*((S1862)*(V1862)-(U1862)*(T1862))+(LTP3!$D$6)*((S1862)*(R1862)-(P1862)*(T1862)))/W1862,0)</f>
        <v/>
      </c>
      <c r="AA1862">
        <f>LTP3!$D$7-X1862*LTP3!$D$6-Y1862*U1862-Z1862*V1862</f>
        <v/>
      </c>
      <c r="AB1862">
        <f>IF(AND(F1862,ABS(W1862)&gt;1E-12,Y1862&gt;0,Z1862&gt;0),AA1862,1E+300)</f>
        <v/>
      </c>
    </row>
    <row r="1863">
      <c r="A1863">
        <f>$B$3+$B$5*30</f>
        <v/>
      </c>
      <c r="B1863">
        <f>$B$3+$B$5*21</f>
        <v/>
      </c>
      <c r="C1863">
        <f>SUMPRODUCT(Calc!$K$3:$K$22*(Calc!$G$3:$G$22&lt;=A1863))</f>
        <v/>
      </c>
      <c r="D1863">
        <f>SUMPRODUCT(Calc!$K$3:$K$22*(Calc!$G$3:$G$22&gt;A1863)*(Calc!$G$3:$G$22&lt;B1863))</f>
        <v/>
      </c>
      <c r="E1863">
        <f>SUMPRODUCT(Calc!$K$3:$K$22*(Calc!$G$3:$G$22&gt;=B1863))</f>
        <v/>
      </c>
      <c r="F1863">
        <f>AND(k_n&gt;=5,B1863&gt;A1863+1E-9,C1863&gt;=2,D1863&gt;=1,E1863&gt;=2)</f>
        <v/>
      </c>
      <c r="G1863">
        <f>SUMPRODUCT(Calc!$K$3:$K$22*(Calc!$G$3:$G$22&gt;A1863)*(Calc!$G$3:$G$22-A1863))</f>
        <v/>
      </c>
      <c r="H1863">
        <f>SUMPRODUCT(Calc!$K$3:$K$22*(Calc!$G$3:$G$22&gt;B1863)*(Calc!$G$3:$G$22-B1863))</f>
        <v/>
      </c>
      <c r="I1863">
        <f>SUMPRODUCT(Calc!$K$3:$K$22*(Calc!$G$3:$G$22&gt;A1863)*(Calc!$G$3:$G$22-A1863)^2)</f>
        <v/>
      </c>
      <c r="J1863">
        <f>SUMPRODUCT(Calc!$K$3:$K$22*(Calc!$G$3:$G$22&gt;B1863)*(Calc!$G$3:$G$22-B1863)^2)</f>
        <v/>
      </c>
      <c r="K1863">
        <f>SUMPRODUCT(Calc!$K$3:$K$22*(Calc!$G$3:$G$22&gt;A1863)*(Calc!$G$3:$G$22-A1863)*(Calc!$G$3:$G$22&gt;B1863)*(Calc!$G$3:$G$22-B1863))</f>
        <v/>
      </c>
      <c r="L1863">
        <f>SUMPRODUCT(Calc!$K$3:$K$22*(Calc!$G$3:$G$22&gt;A1863)*(Calc!$G$3:$G$22-A1863)*Calc!$G$3:$G$22)</f>
        <v/>
      </c>
      <c r="M1863">
        <f>SUMPRODUCT(Calc!$K$3:$K$22*(Calc!$G$3:$G$22&gt;B1863)*(Calc!$G$3:$G$22-B1863)*Calc!$G$3:$G$22)</f>
        <v/>
      </c>
      <c r="N1863">
        <f>SUMPRODUCT(Calc!$K$3:$K$22*(Calc!$G$3:$G$22&gt;A1863)*(Calc!$G$3:$G$22-A1863)*Calc!$I$3:$I$22)</f>
        <v/>
      </c>
      <c r="O1863">
        <f>SUMPRODUCT(Calc!$K$3:$K$22*(Calc!$G$3:$G$22&gt;B1863)*(Calc!$G$3:$G$22-B1863)*Calc!$I$3:$I$22)</f>
        <v/>
      </c>
      <c r="P1863">
        <f>I1863-G1863^2/k_n</f>
        <v/>
      </c>
      <c r="Q1863">
        <f>J1863-H1863^2/k_n</f>
        <v/>
      </c>
      <c r="R1863">
        <f>K1863-G1863*H1863/k_n</f>
        <v/>
      </c>
      <c r="S1863">
        <f>L1863-LTP3!$D$3*G1863/k_n</f>
        <v/>
      </c>
      <c r="T1863">
        <f>M1863-LTP3!$D$3*H1863/k_n</f>
        <v/>
      </c>
      <c r="U1863">
        <f>N1863-G1863*LTP3!$D$4/k_n</f>
        <v/>
      </c>
      <c r="V1863">
        <f>O1863-H1863*LTP3!$D$4/k_n</f>
        <v/>
      </c>
      <c r="W1863">
        <f>((LTP3!$D$5)*((P1863)*(Q1863)-(R1863)*(R1863))-(S1863)*((S1863)*(Q1863)-(R1863)*(T1863))+(T1863)*((S1863)*(R1863)-(P1863)*(T1863)))</f>
        <v/>
      </c>
      <c r="X1863">
        <f>IF(ABS(W1863)&gt;1E-12,((LTP3!$D$6)*((P1863)*(Q1863)-(R1863)*(R1863))-(S1863)*((U1863)*(Q1863)-(R1863)*(V1863))+(T1863)*((U1863)*(R1863)-(P1863)*(V1863)))/W1863,0)</f>
        <v/>
      </c>
      <c r="Y1863">
        <f>IF(ABS(W1863)&gt;1E-12,((LTP3!$D$5)*((U1863)*(Q1863)-(R1863)*(V1863))-(LTP3!$D$6)*((S1863)*(Q1863)-(R1863)*(T1863))+(T1863)*((S1863)*(V1863)-(U1863)*(T1863)))/W1863,0)</f>
        <v/>
      </c>
      <c r="Z1863">
        <f>IF(ABS(W1863)&gt;1E-12,((LTP3!$D$5)*((P1863)*(V1863)-(U1863)*(R1863))-(S1863)*((S1863)*(V1863)-(U1863)*(T1863))+(LTP3!$D$6)*((S1863)*(R1863)-(P1863)*(T1863)))/W1863,0)</f>
        <v/>
      </c>
      <c r="AA1863">
        <f>LTP3!$D$7-X1863*LTP3!$D$6-Y1863*U1863-Z1863*V1863</f>
        <v/>
      </c>
      <c r="AB1863">
        <f>IF(AND(F1863,ABS(W1863)&gt;1E-12,Y1863&gt;0,Z1863&gt;0),AA1863,1E+300)</f>
        <v/>
      </c>
    </row>
    <row r="1864">
      <c r="A1864">
        <f>$B$3+$B$5*30</f>
        <v/>
      </c>
      <c r="B1864">
        <f>$B$3+$B$5*22</f>
        <v/>
      </c>
      <c r="C1864">
        <f>SUMPRODUCT(Calc!$K$3:$K$22*(Calc!$G$3:$G$22&lt;=A1864))</f>
        <v/>
      </c>
      <c r="D1864">
        <f>SUMPRODUCT(Calc!$K$3:$K$22*(Calc!$G$3:$G$22&gt;A1864)*(Calc!$G$3:$G$22&lt;B1864))</f>
        <v/>
      </c>
      <c r="E1864">
        <f>SUMPRODUCT(Calc!$K$3:$K$22*(Calc!$G$3:$G$22&gt;=B1864))</f>
        <v/>
      </c>
      <c r="F1864">
        <f>AND(k_n&gt;=5,B1864&gt;A1864+1E-9,C1864&gt;=2,D1864&gt;=1,E1864&gt;=2)</f>
        <v/>
      </c>
      <c r="G1864">
        <f>SUMPRODUCT(Calc!$K$3:$K$22*(Calc!$G$3:$G$22&gt;A1864)*(Calc!$G$3:$G$22-A1864))</f>
        <v/>
      </c>
      <c r="H1864">
        <f>SUMPRODUCT(Calc!$K$3:$K$22*(Calc!$G$3:$G$22&gt;B1864)*(Calc!$G$3:$G$22-B1864))</f>
        <v/>
      </c>
      <c r="I1864">
        <f>SUMPRODUCT(Calc!$K$3:$K$22*(Calc!$G$3:$G$22&gt;A1864)*(Calc!$G$3:$G$22-A1864)^2)</f>
        <v/>
      </c>
      <c r="J1864">
        <f>SUMPRODUCT(Calc!$K$3:$K$22*(Calc!$G$3:$G$22&gt;B1864)*(Calc!$G$3:$G$22-B1864)^2)</f>
        <v/>
      </c>
      <c r="K1864">
        <f>SUMPRODUCT(Calc!$K$3:$K$22*(Calc!$G$3:$G$22&gt;A1864)*(Calc!$G$3:$G$22-A1864)*(Calc!$G$3:$G$22&gt;B1864)*(Calc!$G$3:$G$22-B1864))</f>
        <v/>
      </c>
      <c r="L1864">
        <f>SUMPRODUCT(Calc!$K$3:$K$22*(Calc!$G$3:$G$22&gt;A1864)*(Calc!$G$3:$G$22-A1864)*Calc!$G$3:$G$22)</f>
        <v/>
      </c>
      <c r="M1864">
        <f>SUMPRODUCT(Calc!$K$3:$K$22*(Calc!$G$3:$G$22&gt;B1864)*(Calc!$G$3:$G$22-B1864)*Calc!$G$3:$G$22)</f>
        <v/>
      </c>
      <c r="N1864">
        <f>SUMPRODUCT(Calc!$K$3:$K$22*(Calc!$G$3:$G$22&gt;A1864)*(Calc!$G$3:$G$22-A1864)*Calc!$I$3:$I$22)</f>
        <v/>
      </c>
      <c r="O1864">
        <f>SUMPRODUCT(Calc!$K$3:$K$22*(Calc!$G$3:$G$22&gt;B1864)*(Calc!$G$3:$G$22-B1864)*Calc!$I$3:$I$22)</f>
        <v/>
      </c>
      <c r="P1864">
        <f>I1864-G1864^2/k_n</f>
        <v/>
      </c>
      <c r="Q1864">
        <f>J1864-H1864^2/k_n</f>
        <v/>
      </c>
      <c r="R1864">
        <f>K1864-G1864*H1864/k_n</f>
        <v/>
      </c>
      <c r="S1864">
        <f>L1864-LTP3!$D$3*G1864/k_n</f>
        <v/>
      </c>
      <c r="T1864">
        <f>M1864-LTP3!$D$3*H1864/k_n</f>
        <v/>
      </c>
      <c r="U1864">
        <f>N1864-G1864*LTP3!$D$4/k_n</f>
        <v/>
      </c>
      <c r="V1864">
        <f>O1864-H1864*LTP3!$D$4/k_n</f>
        <v/>
      </c>
      <c r="W1864">
        <f>((LTP3!$D$5)*((P1864)*(Q1864)-(R1864)*(R1864))-(S1864)*((S1864)*(Q1864)-(R1864)*(T1864))+(T1864)*((S1864)*(R1864)-(P1864)*(T1864)))</f>
        <v/>
      </c>
      <c r="X1864">
        <f>IF(ABS(W1864)&gt;1E-12,((LTP3!$D$6)*((P1864)*(Q1864)-(R1864)*(R1864))-(S1864)*((U1864)*(Q1864)-(R1864)*(V1864))+(T1864)*((U1864)*(R1864)-(P1864)*(V1864)))/W1864,0)</f>
        <v/>
      </c>
      <c r="Y1864">
        <f>IF(ABS(W1864)&gt;1E-12,((LTP3!$D$5)*((U1864)*(Q1864)-(R1864)*(V1864))-(LTP3!$D$6)*((S1864)*(Q1864)-(R1864)*(T1864))+(T1864)*((S1864)*(V1864)-(U1864)*(T1864)))/W1864,0)</f>
        <v/>
      </c>
      <c r="Z1864">
        <f>IF(ABS(W1864)&gt;1E-12,((LTP3!$D$5)*((P1864)*(V1864)-(U1864)*(R1864))-(S1864)*((S1864)*(V1864)-(U1864)*(T1864))+(LTP3!$D$6)*((S1864)*(R1864)-(P1864)*(T1864)))/W1864,0)</f>
        <v/>
      </c>
      <c r="AA1864">
        <f>LTP3!$D$7-X1864*LTP3!$D$6-Y1864*U1864-Z1864*V1864</f>
        <v/>
      </c>
      <c r="AB1864">
        <f>IF(AND(F1864,ABS(W1864)&gt;1E-12,Y1864&gt;0,Z1864&gt;0),AA1864,1E+300)</f>
        <v/>
      </c>
    </row>
    <row r="1865">
      <c r="A1865">
        <f>$B$3+$B$5*30</f>
        <v/>
      </c>
      <c r="B1865">
        <f>$B$3+$B$5*23</f>
        <v/>
      </c>
      <c r="C1865">
        <f>SUMPRODUCT(Calc!$K$3:$K$22*(Calc!$G$3:$G$22&lt;=A1865))</f>
        <v/>
      </c>
      <c r="D1865">
        <f>SUMPRODUCT(Calc!$K$3:$K$22*(Calc!$G$3:$G$22&gt;A1865)*(Calc!$G$3:$G$22&lt;B1865))</f>
        <v/>
      </c>
      <c r="E1865">
        <f>SUMPRODUCT(Calc!$K$3:$K$22*(Calc!$G$3:$G$22&gt;=B1865))</f>
        <v/>
      </c>
      <c r="F1865">
        <f>AND(k_n&gt;=5,B1865&gt;A1865+1E-9,C1865&gt;=2,D1865&gt;=1,E1865&gt;=2)</f>
        <v/>
      </c>
      <c r="G1865">
        <f>SUMPRODUCT(Calc!$K$3:$K$22*(Calc!$G$3:$G$22&gt;A1865)*(Calc!$G$3:$G$22-A1865))</f>
        <v/>
      </c>
      <c r="H1865">
        <f>SUMPRODUCT(Calc!$K$3:$K$22*(Calc!$G$3:$G$22&gt;B1865)*(Calc!$G$3:$G$22-B1865))</f>
        <v/>
      </c>
      <c r="I1865">
        <f>SUMPRODUCT(Calc!$K$3:$K$22*(Calc!$G$3:$G$22&gt;A1865)*(Calc!$G$3:$G$22-A1865)^2)</f>
        <v/>
      </c>
      <c r="J1865">
        <f>SUMPRODUCT(Calc!$K$3:$K$22*(Calc!$G$3:$G$22&gt;B1865)*(Calc!$G$3:$G$22-B1865)^2)</f>
        <v/>
      </c>
      <c r="K1865">
        <f>SUMPRODUCT(Calc!$K$3:$K$22*(Calc!$G$3:$G$22&gt;A1865)*(Calc!$G$3:$G$22-A1865)*(Calc!$G$3:$G$22&gt;B1865)*(Calc!$G$3:$G$22-B1865))</f>
        <v/>
      </c>
      <c r="L1865">
        <f>SUMPRODUCT(Calc!$K$3:$K$22*(Calc!$G$3:$G$22&gt;A1865)*(Calc!$G$3:$G$22-A1865)*Calc!$G$3:$G$22)</f>
        <v/>
      </c>
      <c r="M1865">
        <f>SUMPRODUCT(Calc!$K$3:$K$22*(Calc!$G$3:$G$22&gt;B1865)*(Calc!$G$3:$G$22-B1865)*Calc!$G$3:$G$22)</f>
        <v/>
      </c>
      <c r="N1865">
        <f>SUMPRODUCT(Calc!$K$3:$K$22*(Calc!$G$3:$G$22&gt;A1865)*(Calc!$G$3:$G$22-A1865)*Calc!$I$3:$I$22)</f>
        <v/>
      </c>
      <c r="O1865">
        <f>SUMPRODUCT(Calc!$K$3:$K$22*(Calc!$G$3:$G$22&gt;B1865)*(Calc!$G$3:$G$22-B1865)*Calc!$I$3:$I$22)</f>
        <v/>
      </c>
      <c r="P1865">
        <f>I1865-G1865^2/k_n</f>
        <v/>
      </c>
      <c r="Q1865">
        <f>J1865-H1865^2/k_n</f>
        <v/>
      </c>
      <c r="R1865">
        <f>K1865-G1865*H1865/k_n</f>
        <v/>
      </c>
      <c r="S1865">
        <f>L1865-LTP3!$D$3*G1865/k_n</f>
        <v/>
      </c>
      <c r="T1865">
        <f>M1865-LTP3!$D$3*H1865/k_n</f>
        <v/>
      </c>
      <c r="U1865">
        <f>N1865-G1865*LTP3!$D$4/k_n</f>
        <v/>
      </c>
      <c r="V1865">
        <f>O1865-H1865*LTP3!$D$4/k_n</f>
        <v/>
      </c>
      <c r="W1865">
        <f>((LTP3!$D$5)*((P1865)*(Q1865)-(R1865)*(R1865))-(S1865)*((S1865)*(Q1865)-(R1865)*(T1865))+(T1865)*((S1865)*(R1865)-(P1865)*(T1865)))</f>
        <v/>
      </c>
      <c r="X1865">
        <f>IF(ABS(W1865)&gt;1E-12,((LTP3!$D$6)*((P1865)*(Q1865)-(R1865)*(R1865))-(S1865)*((U1865)*(Q1865)-(R1865)*(V1865))+(T1865)*((U1865)*(R1865)-(P1865)*(V1865)))/W1865,0)</f>
        <v/>
      </c>
      <c r="Y1865">
        <f>IF(ABS(W1865)&gt;1E-12,((LTP3!$D$5)*((U1865)*(Q1865)-(R1865)*(V1865))-(LTP3!$D$6)*((S1865)*(Q1865)-(R1865)*(T1865))+(T1865)*((S1865)*(V1865)-(U1865)*(T1865)))/W1865,0)</f>
        <v/>
      </c>
      <c r="Z1865">
        <f>IF(ABS(W1865)&gt;1E-12,((LTP3!$D$5)*((P1865)*(V1865)-(U1865)*(R1865))-(S1865)*((S1865)*(V1865)-(U1865)*(T1865))+(LTP3!$D$6)*((S1865)*(R1865)-(P1865)*(T1865)))/W1865,0)</f>
        <v/>
      </c>
      <c r="AA1865">
        <f>LTP3!$D$7-X1865*LTP3!$D$6-Y1865*U1865-Z1865*V1865</f>
        <v/>
      </c>
      <c r="AB1865">
        <f>IF(AND(F1865,ABS(W1865)&gt;1E-12,Y1865&gt;0,Z1865&gt;0),AA1865,1E+300)</f>
        <v/>
      </c>
    </row>
    <row r="1866">
      <c r="A1866">
        <f>$B$3+$B$5*30</f>
        <v/>
      </c>
      <c r="B1866">
        <f>$B$3+$B$5*24</f>
        <v/>
      </c>
      <c r="C1866">
        <f>SUMPRODUCT(Calc!$K$3:$K$22*(Calc!$G$3:$G$22&lt;=A1866))</f>
        <v/>
      </c>
      <c r="D1866">
        <f>SUMPRODUCT(Calc!$K$3:$K$22*(Calc!$G$3:$G$22&gt;A1866)*(Calc!$G$3:$G$22&lt;B1866))</f>
        <v/>
      </c>
      <c r="E1866">
        <f>SUMPRODUCT(Calc!$K$3:$K$22*(Calc!$G$3:$G$22&gt;=B1866))</f>
        <v/>
      </c>
      <c r="F1866">
        <f>AND(k_n&gt;=5,B1866&gt;A1866+1E-9,C1866&gt;=2,D1866&gt;=1,E1866&gt;=2)</f>
        <v/>
      </c>
      <c r="G1866">
        <f>SUMPRODUCT(Calc!$K$3:$K$22*(Calc!$G$3:$G$22&gt;A1866)*(Calc!$G$3:$G$22-A1866))</f>
        <v/>
      </c>
      <c r="H1866">
        <f>SUMPRODUCT(Calc!$K$3:$K$22*(Calc!$G$3:$G$22&gt;B1866)*(Calc!$G$3:$G$22-B1866))</f>
        <v/>
      </c>
      <c r="I1866">
        <f>SUMPRODUCT(Calc!$K$3:$K$22*(Calc!$G$3:$G$22&gt;A1866)*(Calc!$G$3:$G$22-A1866)^2)</f>
        <v/>
      </c>
      <c r="J1866">
        <f>SUMPRODUCT(Calc!$K$3:$K$22*(Calc!$G$3:$G$22&gt;B1866)*(Calc!$G$3:$G$22-B1866)^2)</f>
        <v/>
      </c>
      <c r="K1866">
        <f>SUMPRODUCT(Calc!$K$3:$K$22*(Calc!$G$3:$G$22&gt;A1866)*(Calc!$G$3:$G$22-A1866)*(Calc!$G$3:$G$22&gt;B1866)*(Calc!$G$3:$G$22-B1866))</f>
        <v/>
      </c>
      <c r="L1866">
        <f>SUMPRODUCT(Calc!$K$3:$K$22*(Calc!$G$3:$G$22&gt;A1866)*(Calc!$G$3:$G$22-A1866)*Calc!$G$3:$G$22)</f>
        <v/>
      </c>
      <c r="M1866">
        <f>SUMPRODUCT(Calc!$K$3:$K$22*(Calc!$G$3:$G$22&gt;B1866)*(Calc!$G$3:$G$22-B1866)*Calc!$G$3:$G$22)</f>
        <v/>
      </c>
      <c r="N1866">
        <f>SUMPRODUCT(Calc!$K$3:$K$22*(Calc!$G$3:$G$22&gt;A1866)*(Calc!$G$3:$G$22-A1866)*Calc!$I$3:$I$22)</f>
        <v/>
      </c>
      <c r="O1866">
        <f>SUMPRODUCT(Calc!$K$3:$K$22*(Calc!$G$3:$G$22&gt;B1866)*(Calc!$G$3:$G$22-B1866)*Calc!$I$3:$I$22)</f>
        <v/>
      </c>
      <c r="P1866">
        <f>I1866-G1866^2/k_n</f>
        <v/>
      </c>
      <c r="Q1866">
        <f>J1866-H1866^2/k_n</f>
        <v/>
      </c>
      <c r="R1866">
        <f>K1866-G1866*H1866/k_n</f>
        <v/>
      </c>
      <c r="S1866">
        <f>L1866-LTP3!$D$3*G1866/k_n</f>
        <v/>
      </c>
      <c r="T1866">
        <f>M1866-LTP3!$D$3*H1866/k_n</f>
        <v/>
      </c>
      <c r="U1866">
        <f>N1866-G1866*LTP3!$D$4/k_n</f>
        <v/>
      </c>
      <c r="V1866">
        <f>O1866-H1866*LTP3!$D$4/k_n</f>
        <v/>
      </c>
      <c r="W1866">
        <f>((LTP3!$D$5)*((P1866)*(Q1866)-(R1866)*(R1866))-(S1866)*((S1866)*(Q1866)-(R1866)*(T1866))+(T1866)*((S1866)*(R1866)-(P1866)*(T1866)))</f>
        <v/>
      </c>
      <c r="X1866">
        <f>IF(ABS(W1866)&gt;1E-12,((LTP3!$D$6)*((P1866)*(Q1866)-(R1866)*(R1866))-(S1866)*((U1866)*(Q1866)-(R1866)*(V1866))+(T1866)*((U1866)*(R1866)-(P1866)*(V1866)))/W1866,0)</f>
        <v/>
      </c>
      <c r="Y1866">
        <f>IF(ABS(W1866)&gt;1E-12,((LTP3!$D$5)*((U1866)*(Q1866)-(R1866)*(V1866))-(LTP3!$D$6)*((S1866)*(Q1866)-(R1866)*(T1866))+(T1866)*((S1866)*(V1866)-(U1866)*(T1866)))/W1866,0)</f>
        <v/>
      </c>
      <c r="Z1866">
        <f>IF(ABS(W1866)&gt;1E-12,((LTP3!$D$5)*((P1866)*(V1866)-(U1866)*(R1866))-(S1866)*((S1866)*(V1866)-(U1866)*(T1866))+(LTP3!$D$6)*((S1866)*(R1866)-(P1866)*(T1866)))/W1866,0)</f>
        <v/>
      </c>
      <c r="AA1866">
        <f>LTP3!$D$7-X1866*LTP3!$D$6-Y1866*U1866-Z1866*V1866</f>
        <v/>
      </c>
      <c r="AB1866">
        <f>IF(AND(F1866,ABS(W1866)&gt;1E-12,Y1866&gt;0,Z1866&gt;0),AA1866,1E+300)</f>
        <v/>
      </c>
    </row>
    <row r="1867">
      <c r="A1867">
        <f>$B$3+$B$5*30</f>
        <v/>
      </c>
      <c r="B1867">
        <f>$B$3+$B$5*25</f>
        <v/>
      </c>
      <c r="C1867">
        <f>SUMPRODUCT(Calc!$K$3:$K$22*(Calc!$G$3:$G$22&lt;=A1867))</f>
        <v/>
      </c>
      <c r="D1867">
        <f>SUMPRODUCT(Calc!$K$3:$K$22*(Calc!$G$3:$G$22&gt;A1867)*(Calc!$G$3:$G$22&lt;B1867))</f>
        <v/>
      </c>
      <c r="E1867">
        <f>SUMPRODUCT(Calc!$K$3:$K$22*(Calc!$G$3:$G$22&gt;=B1867))</f>
        <v/>
      </c>
      <c r="F1867">
        <f>AND(k_n&gt;=5,B1867&gt;A1867+1E-9,C1867&gt;=2,D1867&gt;=1,E1867&gt;=2)</f>
        <v/>
      </c>
      <c r="G1867">
        <f>SUMPRODUCT(Calc!$K$3:$K$22*(Calc!$G$3:$G$22&gt;A1867)*(Calc!$G$3:$G$22-A1867))</f>
        <v/>
      </c>
      <c r="H1867">
        <f>SUMPRODUCT(Calc!$K$3:$K$22*(Calc!$G$3:$G$22&gt;B1867)*(Calc!$G$3:$G$22-B1867))</f>
        <v/>
      </c>
      <c r="I1867">
        <f>SUMPRODUCT(Calc!$K$3:$K$22*(Calc!$G$3:$G$22&gt;A1867)*(Calc!$G$3:$G$22-A1867)^2)</f>
        <v/>
      </c>
      <c r="J1867">
        <f>SUMPRODUCT(Calc!$K$3:$K$22*(Calc!$G$3:$G$22&gt;B1867)*(Calc!$G$3:$G$22-B1867)^2)</f>
        <v/>
      </c>
      <c r="K1867">
        <f>SUMPRODUCT(Calc!$K$3:$K$22*(Calc!$G$3:$G$22&gt;A1867)*(Calc!$G$3:$G$22-A1867)*(Calc!$G$3:$G$22&gt;B1867)*(Calc!$G$3:$G$22-B1867))</f>
        <v/>
      </c>
      <c r="L1867">
        <f>SUMPRODUCT(Calc!$K$3:$K$22*(Calc!$G$3:$G$22&gt;A1867)*(Calc!$G$3:$G$22-A1867)*Calc!$G$3:$G$22)</f>
        <v/>
      </c>
      <c r="M1867">
        <f>SUMPRODUCT(Calc!$K$3:$K$22*(Calc!$G$3:$G$22&gt;B1867)*(Calc!$G$3:$G$22-B1867)*Calc!$G$3:$G$22)</f>
        <v/>
      </c>
      <c r="N1867">
        <f>SUMPRODUCT(Calc!$K$3:$K$22*(Calc!$G$3:$G$22&gt;A1867)*(Calc!$G$3:$G$22-A1867)*Calc!$I$3:$I$22)</f>
        <v/>
      </c>
      <c r="O1867">
        <f>SUMPRODUCT(Calc!$K$3:$K$22*(Calc!$G$3:$G$22&gt;B1867)*(Calc!$G$3:$G$22-B1867)*Calc!$I$3:$I$22)</f>
        <v/>
      </c>
      <c r="P1867">
        <f>I1867-G1867^2/k_n</f>
        <v/>
      </c>
      <c r="Q1867">
        <f>J1867-H1867^2/k_n</f>
        <v/>
      </c>
      <c r="R1867">
        <f>K1867-G1867*H1867/k_n</f>
        <v/>
      </c>
      <c r="S1867">
        <f>L1867-LTP3!$D$3*G1867/k_n</f>
        <v/>
      </c>
      <c r="T1867">
        <f>M1867-LTP3!$D$3*H1867/k_n</f>
        <v/>
      </c>
      <c r="U1867">
        <f>N1867-G1867*LTP3!$D$4/k_n</f>
        <v/>
      </c>
      <c r="V1867">
        <f>O1867-H1867*LTP3!$D$4/k_n</f>
        <v/>
      </c>
      <c r="W1867">
        <f>((LTP3!$D$5)*((P1867)*(Q1867)-(R1867)*(R1867))-(S1867)*((S1867)*(Q1867)-(R1867)*(T1867))+(T1867)*((S1867)*(R1867)-(P1867)*(T1867)))</f>
        <v/>
      </c>
      <c r="X1867">
        <f>IF(ABS(W1867)&gt;1E-12,((LTP3!$D$6)*((P1867)*(Q1867)-(R1867)*(R1867))-(S1867)*((U1867)*(Q1867)-(R1867)*(V1867))+(T1867)*((U1867)*(R1867)-(P1867)*(V1867)))/W1867,0)</f>
        <v/>
      </c>
      <c r="Y1867">
        <f>IF(ABS(W1867)&gt;1E-12,((LTP3!$D$5)*((U1867)*(Q1867)-(R1867)*(V1867))-(LTP3!$D$6)*((S1867)*(Q1867)-(R1867)*(T1867))+(T1867)*((S1867)*(V1867)-(U1867)*(T1867)))/W1867,0)</f>
        <v/>
      </c>
      <c r="Z1867">
        <f>IF(ABS(W1867)&gt;1E-12,((LTP3!$D$5)*((P1867)*(V1867)-(U1867)*(R1867))-(S1867)*((S1867)*(V1867)-(U1867)*(T1867))+(LTP3!$D$6)*((S1867)*(R1867)-(P1867)*(T1867)))/W1867,0)</f>
        <v/>
      </c>
      <c r="AA1867">
        <f>LTP3!$D$7-X1867*LTP3!$D$6-Y1867*U1867-Z1867*V1867</f>
        <v/>
      </c>
      <c r="AB1867">
        <f>IF(AND(F1867,ABS(W1867)&gt;1E-12,Y1867&gt;0,Z1867&gt;0),AA1867,1E+300)</f>
        <v/>
      </c>
    </row>
    <row r="1868">
      <c r="A1868">
        <f>$B$3+$B$5*30</f>
        <v/>
      </c>
      <c r="B1868">
        <f>$B$3+$B$5*26</f>
        <v/>
      </c>
      <c r="C1868">
        <f>SUMPRODUCT(Calc!$K$3:$K$22*(Calc!$G$3:$G$22&lt;=A1868))</f>
        <v/>
      </c>
      <c r="D1868">
        <f>SUMPRODUCT(Calc!$K$3:$K$22*(Calc!$G$3:$G$22&gt;A1868)*(Calc!$G$3:$G$22&lt;B1868))</f>
        <v/>
      </c>
      <c r="E1868">
        <f>SUMPRODUCT(Calc!$K$3:$K$22*(Calc!$G$3:$G$22&gt;=B1868))</f>
        <v/>
      </c>
      <c r="F1868">
        <f>AND(k_n&gt;=5,B1868&gt;A1868+1E-9,C1868&gt;=2,D1868&gt;=1,E1868&gt;=2)</f>
        <v/>
      </c>
      <c r="G1868">
        <f>SUMPRODUCT(Calc!$K$3:$K$22*(Calc!$G$3:$G$22&gt;A1868)*(Calc!$G$3:$G$22-A1868))</f>
        <v/>
      </c>
      <c r="H1868">
        <f>SUMPRODUCT(Calc!$K$3:$K$22*(Calc!$G$3:$G$22&gt;B1868)*(Calc!$G$3:$G$22-B1868))</f>
        <v/>
      </c>
      <c r="I1868">
        <f>SUMPRODUCT(Calc!$K$3:$K$22*(Calc!$G$3:$G$22&gt;A1868)*(Calc!$G$3:$G$22-A1868)^2)</f>
        <v/>
      </c>
      <c r="J1868">
        <f>SUMPRODUCT(Calc!$K$3:$K$22*(Calc!$G$3:$G$22&gt;B1868)*(Calc!$G$3:$G$22-B1868)^2)</f>
        <v/>
      </c>
      <c r="K1868">
        <f>SUMPRODUCT(Calc!$K$3:$K$22*(Calc!$G$3:$G$22&gt;A1868)*(Calc!$G$3:$G$22-A1868)*(Calc!$G$3:$G$22&gt;B1868)*(Calc!$G$3:$G$22-B1868))</f>
        <v/>
      </c>
      <c r="L1868">
        <f>SUMPRODUCT(Calc!$K$3:$K$22*(Calc!$G$3:$G$22&gt;A1868)*(Calc!$G$3:$G$22-A1868)*Calc!$G$3:$G$22)</f>
        <v/>
      </c>
      <c r="M1868">
        <f>SUMPRODUCT(Calc!$K$3:$K$22*(Calc!$G$3:$G$22&gt;B1868)*(Calc!$G$3:$G$22-B1868)*Calc!$G$3:$G$22)</f>
        <v/>
      </c>
      <c r="N1868">
        <f>SUMPRODUCT(Calc!$K$3:$K$22*(Calc!$G$3:$G$22&gt;A1868)*(Calc!$G$3:$G$22-A1868)*Calc!$I$3:$I$22)</f>
        <v/>
      </c>
      <c r="O1868">
        <f>SUMPRODUCT(Calc!$K$3:$K$22*(Calc!$G$3:$G$22&gt;B1868)*(Calc!$G$3:$G$22-B1868)*Calc!$I$3:$I$22)</f>
        <v/>
      </c>
      <c r="P1868">
        <f>I1868-G1868^2/k_n</f>
        <v/>
      </c>
      <c r="Q1868">
        <f>J1868-H1868^2/k_n</f>
        <v/>
      </c>
      <c r="R1868">
        <f>K1868-G1868*H1868/k_n</f>
        <v/>
      </c>
      <c r="S1868">
        <f>L1868-LTP3!$D$3*G1868/k_n</f>
        <v/>
      </c>
      <c r="T1868">
        <f>M1868-LTP3!$D$3*H1868/k_n</f>
        <v/>
      </c>
      <c r="U1868">
        <f>N1868-G1868*LTP3!$D$4/k_n</f>
        <v/>
      </c>
      <c r="V1868">
        <f>O1868-H1868*LTP3!$D$4/k_n</f>
        <v/>
      </c>
      <c r="W1868">
        <f>((LTP3!$D$5)*((P1868)*(Q1868)-(R1868)*(R1868))-(S1868)*((S1868)*(Q1868)-(R1868)*(T1868))+(T1868)*((S1868)*(R1868)-(P1868)*(T1868)))</f>
        <v/>
      </c>
      <c r="X1868">
        <f>IF(ABS(W1868)&gt;1E-12,((LTP3!$D$6)*((P1868)*(Q1868)-(R1868)*(R1868))-(S1868)*((U1868)*(Q1868)-(R1868)*(V1868))+(T1868)*((U1868)*(R1868)-(P1868)*(V1868)))/W1868,0)</f>
        <v/>
      </c>
      <c r="Y1868">
        <f>IF(ABS(W1868)&gt;1E-12,((LTP3!$D$5)*((U1868)*(Q1868)-(R1868)*(V1868))-(LTP3!$D$6)*((S1868)*(Q1868)-(R1868)*(T1868))+(T1868)*((S1868)*(V1868)-(U1868)*(T1868)))/W1868,0)</f>
        <v/>
      </c>
      <c r="Z1868">
        <f>IF(ABS(W1868)&gt;1E-12,((LTP3!$D$5)*((P1868)*(V1868)-(U1868)*(R1868))-(S1868)*((S1868)*(V1868)-(U1868)*(T1868))+(LTP3!$D$6)*((S1868)*(R1868)-(P1868)*(T1868)))/W1868,0)</f>
        <v/>
      </c>
      <c r="AA1868">
        <f>LTP3!$D$7-X1868*LTP3!$D$6-Y1868*U1868-Z1868*V1868</f>
        <v/>
      </c>
      <c r="AB1868">
        <f>IF(AND(F1868,ABS(W1868)&gt;1E-12,Y1868&gt;0,Z1868&gt;0),AA1868,1E+300)</f>
        <v/>
      </c>
    </row>
    <row r="1869">
      <c r="A1869">
        <f>$B$3+$B$5*30</f>
        <v/>
      </c>
      <c r="B1869">
        <f>$B$3+$B$5*27</f>
        <v/>
      </c>
      <c r="C1869">
        <f>SUMPRODUCT(Calc!$K$3:$K$22*(Calc!$G$3:$G$22&lt;=A1869))</f>
        <v/>
      </c>
      <c r="D1869">
        <f>SUMPRODUCT(Calc!$K$3:$K$22*(Calc!$G$3:$G$22&gt;A1869)*(Calc!$G$3:$G$22&lt;B1869))</f>
        <v/>
      </c>
      <c r="E1869">
        <f>SUMPRODUCT(Calc!$K$3:$K$22*(Calc!$G$3:$G$22&gt;=B1869))</f>
        <v/>
      </c>
      <c r="F1869">
        <f>AND(k_n&gt;=5,B1869&gt;A1869+1E-9,C1869&gt;=2,D1869&gt;=1,E1869&gt;=2)</f>
        <v/>
      </c>
      <c r="G1869">
        <f>SUMPRODUCT(Calc!$K$3:$K$22*(Calc!$G$3:$G$22&gt;A1869)*(Calc!$G$3:$G$22-A1869))</f>
        <v/>
      </c>
      <c r="H1869">
        <f>SUMPRODUCT(Calc!$K$3:$K$22*(Calc!$G$3:$G$22&gt;B1869)*(Calc!$G$3:$G$22-B1869))</f>
        <v/>
      </c>
      <c r="I1869">
        <f>SUMPRODUCT(Calc!$K$3:$K$22*(Calc!$G$3:$G$22&gt;A1869)*(Calc!$G$3:$G$22-A1869)^2)</f>
        <v/>
      </c>
      <c r="J1869">
        <f>SUMPRODUCT(Calc!$K$3:$K$22*(Calc!$G$3:$G$22&gt;B1869)*(Calc!$G$3:$G$22-B1869)^2)</f>
        <v/>
      </c>
      <c r="K1869">
        <f>SUMPRODUCT(Calc!$K$3:$K$22*(Calc!$G$3:$G$22&gt;A1869)*(Calc!$G$3:$G$22-A1869)*(Calc!$G$3:$G$22&gt;B1869)*(Calc!$G$3:$G$22-B1869))</f>
        <v/>
      </c>
      <c r="L1869">
        <f>SUMPRODUCT(Calc!$K$3:$K$22*(Calc!$G$3:$G$22&gt;A1869)*(Calc!$G$3:$G$22-A1869)*Calc!$G$3:$G$22)</f>
        <v/>
      </c>
      <c r="M1869">
        <f>SUMPRODUCT(Calc!$K$3:$K$22*(Calc!$G$3:$G$22&gt;B1869)*(Calc!$G$3:$G$22-B1869)*Calc!$G$3:$G$22)</f>
        <v/>
      </c>
      <c r="N1869">
        <f>SUMPRODUCT(Calc!$K$3:$K$22*(Calc!$G$3:$G$22&gt;A1869)*(Calc!$G$3:$G$22-A1869)*Calc!$I$3:$I$22)</f>
        <v/>
      </c>
      <c r="O1869">
        <f>SUMPRODUCT(Calc!$K$3:$K$22*(Calc!$G$3:$G$22&gt;B1869)*(Calc!$G$3:$G$22-B1869)*Calc!$I$3:$I$22)</f>
        <v/>
      </c>
      <c r="P1869">
        <f>I1869-G1869^2/k_n</f>
        <v/>
      </c>
      <c r="Q1869">
        <f>J1869-H1869^2/k_n</f>
        <v/>
      </c>
      <c r="R1869">
        <f>K1869-G1869*H1869/k_n</f>
        <v/>
      </c>
      <c r="S1869">
        <f>L1869-LTP3!$D$3*G1869/k_n</f>
        <v/>
      </c>
      <c r="T1869">
        <f>M1869-LTP3!$D$3*H1869/k_n</f>
        <v/>
      </c>
      <c r="U1869">
        <f>N1869-G1869*LTP3!$D$4/k_n</f>
        <v/>
      </c>
      <c r="V1869">
        <f>O1869-H1869*LTP3!$D$4/k_n</f>
        <v/>
      </c>
      <c r="W1869">
        <f>((LTP3!$D$5)*((P1869)*(Q1869)-(R1869)*(R1869))-(S1869)*((S1869)*(Q1869)-(R1869)*(T1869))+(T1869)*((S1869)*(R1869)-(P1869)*(T1869)))</f>
        <v/>
      </c>
      <c r="X1869">
        <f>IF(ABS(W1869)&gt;1E-12,((LTP3!$D$6)*((P1869)*(Q1869)-(R1869)*(R1869))-(S1869)*((U1869)*(Q1869)-(R1869)*(V1869))+(T1869)*((U1869)*(R1869)-(P1869)*(V1869)))/W1869,0)</f>
        <v/>
      </c>
      <c r="Y1869">
        <f>IF(ABS(W1869)&gt;1E-12,((LTP3!$D$5)*((U1869)*(Q1869)-(R1869)*(V1869))-(LTP3!$D$6)*((S1869)*(Q1869)-(R1869)*(T1869))+(T1869)*((S1869)*(V1869)-(U1869)*(T1869)))/W1869,0)</f>
        <v/>
      </c>
      <c r="Z1869">
        <f>IF(ABS(W1869)&gt;1E-12,((LTP3!$D$5)*((P1869)*(V1869)-(U1869)*(R1869))-(S1869)*((S1869)*(V1869)-(U1869)*(T1869))+(LTP3!$D$6)*((S1869)*(R1869)-(P1869)*(T1869)))/W1869,0)</f>
        <v/>
      </c>
      <c r="AA1869">
        <f>LTP3!$D$7-X1869*LTP3!$D$6-Y1869*U1869-Z1869*V1869</f>
        <v/>
      </c>
      <c r="AB1869">
        <f>IF(AND(F1869,ABS(W1869)&gt;1E-12,Y1869&gt;0,Z1869&gt;0),AA1869,1E+300)</f>
        <v/>
      </c>
    </row>
    <row r="1870">
      <c r="A1870">
        <f>$B$3+$B$5*30</f>
        <v/>
      </c>
      <c r="B1870">
        <f>$B$3+$B$5*28</f>
        <v/>
      </c>
      <c r="C1870">
        <f>SUMPRODUCT(Calc!$K$3:$K$22*(Calc!$G$3:$G$22&lt;=A1870))</f>
        <v/>
      </c>
      <c r="D1870">
        <f>SUMPRODUCT(Calc!$K$3:$K$22*(Calc!$G$3:$G$22&gt;A1870)*(Calc!$G$3:$G$22&lt;B1870))</f>
        <v/>
      </c>
      <c r="E1870">
        <f>SUMPRODUCT(Calc!$K$3:$K$22*(Calc!$G$3:$G$22&gt;=B1870))</f>
        <v/>
      </c>
      <c r="F1870">
        <f>AND(k_n&gt;=5,B1870&gt;A1870+1E-9,C1870&gt;=2,D1870&gt;=1,E1870&gt;=2)</f>
        <v/>
      </c>
      <c r="G1870">
        <f>SUMPRODUCT(Calc!$K$3:$K$22*(Calc!$G$3:$G$22&gt;A1870)*(Calc!$G$3:$G$22-A1870))</f>
        <v/>
      </c>
      <c r="H1870">
        <f>SUMPRODUCT(Calc!$K$3:$K$22*(Calc!$G$3:$G$22&gt;B1870)*(Calc!$G$3:$G$22-B1870))</f>
        <v/>
      </c>
      <c r="I1870">
        <f>SUMPRODUCT(Calc!$K$3:$K$22*(Calc!$G$3:$G$22&gt;A1870)*(Calc!$G$3:$G$22-A1870)^2)</f>
        <v/>
      </c>
      <c r="J1870">
        <f>SUMPRODUCT(Calc!$K$3:$K$22*(Calc!$G$3:$G$22&gt;B1870)*(Calc!$G$3:$G$22-B1870)^2)</f>
        <v/>
      </c>
      <c r="K1870">
        <f>SUMPRODUCT(Calc!$K$3:$K$22*(Calc!$G$3:$G$22&gt;A1870)*(Calc!$G$3:$G$22-A1870)*(Calc!$G$3:$G$22&gt;B1870)*(Calc!$G$3:$G$22-B1870))</f>
        <v/>
      </c>
      <c r="L1870">
        <f>SUMPRODUCT(Calc!$K$3:$K$22*(Calc!$G$3:$G$22&gt;A1870)*(Calc!$G$3:$G$22-A1870)*Calc!$G$3:$G$22)</f>
        <v/>
      </c>
      <c r="M1870">
        <f>SUMPRODUCT(Calc!$K$3:$K$22*(Calc!$G$3:$G$22&gt;B1870)*(Calc!$G$3:$G$22-B1870)*Calc!$G$3:$G$22)</f>
        <v/>
      </c>
      <c r="N1870">
        <f>SUMPRODUCT(Calc!$K$3:$K$22*(Calc!$G$3:$G$22&gt;A1870)*(Calc!$G$3:$G$22-A1870)*Calc!$I$3:$I$22)</f>
        <v/>
      </c>
      <c r="O1870">
        <f>SUMPRODUCT(Calc!$K$3:$K$22*(Calc!$G$3:$G$22&gt;B1870)*(Calc!$G$3:$G$22-B1870)*Calc!$I$3:$I$22)</f>
        <v/>
      </c>
      <c r="P1870">
        <f>I1870-G1870^2/k_n</f>
        <v/>
      </c>
      <c r="Q1870">
        <f>J1870-H1870^2/k_n</f>
        <v/>
      </c>
      <c r="R1870">
        <f>K1870-G1870*H1870/k_n</f>
        <v/>
      </c>
      <c r="S1870">
        <f>L1870-LTP3!$D$3*G1870/k_n</f>
        <v/>
      </c>
      <c r="T1870">
        <f>M1870-LTP3!$D$3*H1870/k_n</f>
        <v/>
      </c>
      <c r="U1870">
        <f>N1870-G1870*LTP3!$D$4/k_n</f>
        <v/>
      </c>
      <c r="V1870">
        <f>O1870-H1870*LTP3!$D$4/k_n</f>
        <v/>
      </c>
      <c r="W1870">
        <f>((LTP3!$D$5)*((P1870)*(Q1870)-(R1870)*(R1870))-(S1870)*((S1870)*(Q1870)-(R1870)*(T1870))+(T1870)*((S1870)*(R1870)-(P1870)*(T1870)))</f>
        <v/>
      </c>
      <c r="X1870">
        <f>IF(ABS(W1870)&gt;1E-12,((LTP3!$D$6)*((P1870)*(Q1870)-(R1870)*(R1870))-(S1870)*((U1870)*(Q1870)-(R1870)*(V1870))+(T1870)*((U1870)*(R1870)-(P1870)*(V1870)))/W1870,0)</f>
        <v/>
      </c>
      <c r="Y1870">
        <f>IF(ABS(W1870)&gt;1E-12,((LTP3!$D$5)*((U1870)*(Q1870)-(R1870)*(V1870))-(LTP3!$D$6)*((S1870)*(Q1870)-(R1870)*(T1870))+(T1870)*((S1870)*(V1870)-(U1870)*(T1870)))/W1870,0)</f>
        <v/>
      </c>
      <c r="Z1870">
        <f>IF(ABS(W1870)&gt;1E-12,((LTP3!$D$5)*((P1870)*(V1870)-(U1870)*(R1870))-(S1870)*((S1870)*(V1870)-(U1870)*(T1870))+(LTP3!$D$6)*((S1870)*(R1870)-(P1870)*(T1870)))/W1870,0)</f>
        <v/>
      </c>
      <c r="AA1870">
        <f>LTP3!$D$7-X1870*LTP3!$D$6-Y1870*U1870-Z1870*V1870</f>
        <v/>
      </c>
      <c r="AB1870">
        <f>IF(AND(F1870,ABS(W1870)&gt;1E-12,Y1870&gt;0,Z1870&gt;0),AA1870,1E+300)</f>
        <v/>
      </c>
    </row>
    <row r="1871">
      <c r="A1871">
        <f>$B$3+$B$5*30</f>
        <v/>
      </c>
      <c r="B1871">
        <f>$B$3+$B$5*29</f>
        <v/>
      </c>
      <c r="C1871">
        <f>SUMPRODUCT(Calc!$K$3:$K$22*(Calc!$G$3:$G$22&lt;=A1871))</f>
        <v/>
      </c>
      <c r="D1871">
        <f>SUMPRODUCT(Calc!$K$3:$K$22*(Calc!$G$3:$G$22&gt;A1871)*(Calc!$G$3:$G$22&lt;B1871))</f>
        <v/>
      </c>
      <c r="E1871">
        <f>SUMPRODUCT(Calc!$K$3:$K$22*(Calc!$G$3:$G$22&gt;=B1871))</f>
        <v/>
      </c>
      <c r="F1871">
        <f>AND(k_n&gt;=5,B1871&gt;A1871+1E-9,C1871&gt;=2,D1871&gt;=1,E1871&gt;=2)</f>
        <v/>
      </c>
      <c r="G1871">
        <f>SUMPRODUCT(Calc!$K$3:$K$22*(Calc!$G$3:$G$22&gt;A1871)*(Calc!$G$3:$G$22-A1871))</f>
        <v/>
      </c>
      <c r="H1871">
        <f>SUMPRODUCT(Calc!$K$3:$K$22*(Calc!$G$3:$G$22&gt;B1871)*(Calc!$G$3:$G$22-B1871))</f>
        <v/>
      </c>
      <c r="I1871">
        <f>SUMPRODUCT(Calc!$K$3:$K$22*(Calc!$G$3:$G$22&gt;A1871)*(Calc!$G$3:$G$22-A1871)^2)</f>
        <v/>
      </c>
      <c r="J1871">
        <f>SUMPRODUCT(Calc!$K$3:$K$22*(Calc!$G$3:$G$22&gt;B1871)*(Calc!$G$3:$G$22-B1871)^2)</f>
        <v/>
      </c>
      <c r="K1871">
        <f>SUMPRODUCT(Calc!$K$3:$K$22*(Calc!$G$3:$G$22&gt;A1871)*(Calc!$G$3:$G$22-A1871)*(Calc!$G$3:$G$22&gt;B1871)*(Calc!$G$3:$G$22-B1871))</f>
        <v/>
      </c>
      <c r="L1871">
        <f>SUMPRODUCT(Calc!$K$3:$K$22*(Calc!$G$3:$G$22&gt;A1871)*(Calc!$G$3:$G$22-A1871)*Calc!$G$3:$G$22)</f>
        <v/>
      </c>
      <c r="M1871">
        <f>SUMPRODUCT(Calc!$K$3:$K$22*(Calc!$G$3:$G$22&gt;B1871)*(Calc!$G$3:$G$22-B1871)*Calc!$G$3:$G$22)</f>
        <v/>
      </c>
      <c r="N1871">
        <f>SUMPRODUCT(Calc!$K$3:$K$22*(Calc!$G$3:$G$22&gt;A1871)*(Calc!$G$3:$G$22-A1871)*Calc!$I$3:$I$22)</f>
        <v/>
      </c>
      <c r="O1871">
        <f>SUMPRODUCT(Calc!$K$3:$K$22*(Calc!$G$3:$G$22&gt;B1871)*(Calc!$G$3:$G$22-B1871)*Calc!$I$3:$I$22)</f>
        <v/>
      </c>
      <c r="P1871">
        <f>I1871-G1871^2/k_n</f>
        <v/>
      </c>
      <c r="Q1871">
        <f>J1871-H1871^2/k_n</f>
        <v/>
      </c>
      <c r="R1871">
        <f>K1871-G1871*H1871/k_n</f>
        <v/>
      </c>
      <c r="S1871">
        <f>L1871-LTP3!$D$3*G1871/k_n</f>
        <v/>
      </c>
      <c r="T1871">
        <f>M1871-LTP3!$D$3*H1871/k_n</f>
        <v/>
      </c>
      <c r="U1871">
        <f>N1871-G1871*LTP3!$D$4/k_n</f>
        <v/>
      </c>
      <c r="V1871">
        <f>O1871-H1871*LTP3!$D$4/k_n</f>
        <v/>
      </c>
      <c r="W1871">
        <f>((LTP3!$D$5)*((P1871)*(Q1871)-(R1871)*(R1871))-(S1871)*((S1871)*(Q1871)-(R1871)*(T1871))+(T1871)*((S1871)*(R1871)-(P1871)*(T1871)))</f>
        <v/>
      </c>
      <c r="X1871">
        <f>IF(ABS(W1871)&gt;1E-12,((LTP3!$D$6)*((P1871)*(Q1871)-(R1871)*(R1871))-(S1871)*((U1871)*(Q1871)-(R1871)*(V1871))+(T1871)*((U1871)*(R1871)-(P1871)*(V1871)))/W1871,0)</f>
        <v/>
      </c>
      <c r="Y1871">
        <f>IF(ABS(W1871)&gt;1E-12,((LTP3!$D$5)*((U1871)*(Q1871)-(R1871)*(V1871))-(LTP3!$D$6)*((S1871)*(Q1871)-(R1871)*(T1871))+(T1871)*((S1871)*(V1871)-(U1871)*(T1871)))/W1871,0)</f>
        <v/>
      </c>
      <c r="Z1871">
        <f>IF(ABS(W1871)&gt;1E-12,((LTP3!$D$5)*((P1871)*(V1871)-(U1871)*(R1871))-(S1871)*((S1871)*(V1871)-(U1871)*(T1871))+(LTP3!$D$6)*((S1871)*(R1871)-(P1871)*(T1871)))/W1871,0)</f>
        <v/>
      </c>
      <c r="AA1871">
        <f>LTP3!$D$7-X1871*LTP3!$D$6-Y1871*U1871-Z1871*V1871</f>
        <v/>
      </c>
      <c r="AB1871">
        <f>IF(AND(F1871,ABS(W1871)&gt;1E-12,Y1871&gt;0,Z1871&gt;0),AA1871,1E+300)</f>
        <v/>
      </c>
    </row>
    <row r="1872">
      <c r="A1872">
        <f>$B$3+$B$5*30</f>
        <v/>
      </c>
      <c r="B1872">
        <f>$B$3+$B$5*30</f>
        <v/>
      </c>
      <c r="C1872">
        <f>SUMPRODUCT(Calc!$K$3:$K$22*(Calc!$G$3:$G$22&lt;=A1872))</f>
        <v/>
      </c>
      <c r="D1872">
        <f>SUMPRODUCT(Calc!$K$3:$K$22*(Calc!$G$3:$G$22&gt;A1872)*(Calc!$G$3:$G$22&lt;B1872))</f>
        <v/>
      </c>
      <c r="E1872">
        <f>SUMPRODUCT(Calc!$K$3:$K$22*(Calc!$G$3:$G$22&gt;=B1872))</f>
        <v/>
      </c>
      <c r="F1872">
        <f>AND(k_n&gt;=5,B1872&gt;A1872+1E-9,C1872&gt;=2,D1872&gt;=1,E1872&gt;=2)</f>
        <v/>
      </c>
      <c r="G1872">
        <f>SUMPRODUCT(Calc!$K$3:$K$22*(Calc!$G$3:$G$22&gt;A1872)*(Calc!$G$3:$G$22-A1872))</f>
        <v/>
      </c>
      <c r="H1872">
        <f>SUMPRODUCT(Calc!$K$3:$K$22*(Calc!$G$3:$G$22&gt;B1872)*(Calc!$G$3:$G$22-B1872))</f>
        <v/>
      </c>
      <c r="I1872">
        <f>SUMPRODUCT(Calc!$K$3:$K$22*(Calc!$G$3:$G$22&gt;A1872)*(Calc!$G$3:$G$22-A1872)^2)</f>
        <v/>
      </c>
      <c r="J1872">
        <f>SUMPRODUCT(Calc!$K$3:$K$22*(Calc!$G$3:$G$22&gt;B1872)*(Calc!$G$3:$G$22-B1872)^2)</f>
        <v/>
      </c>
      <c r="K1872">
        <f>SUMPRODUCT(Calc!$K$3:$K$22*(Calc!$G$3:$G$22&gt;A1872)*(Calc!$G$3:$G$22-A1872)*(Calc!$G$3:$G$22&gt;B1872)*(Calc!$G$3:$G$22-B1872))</f>
        <v/>
      </c>
      <c r="L1872">
        <f>SUMPRODUCT(Calc!$K$3:$K$22*(Calc!$G$3:$G$22&gt;A1872)*(Calc!$G$3:$G$22-A1872)*Calc!$G$3:$G$22)</f>
        <v/>
      </c>
      <c r="M1872">
        <f>SUMPRODUCT(Calc!$K$3:$K$22*(Calc!$G$3:$G$22&gt;B1872)*(Calc!$G$3:$G$22-B1872)*Calc!$G$3:$G$22)</f>
        <v/>
      </c>
      <c r="N1872">
        <f>SUMPRODUCT(Calc!$K$3:$K$22*(Calc!$G$3:$G$22&gt;A1872)*(Calc!$G$3:$G$22-A1872)*Calc!$I$3:$I$22)</f>
        <v/>
      </c>
      <c r="O1872">
        <f>SUMPRODUCT(Calc!$K$3:$K$22*(Calc!$G$3:$G$22&gt;B1872)*(Calc!$G$3:$G$22-B1872)*Calc!$I$3:$I$22)</f>
        <v/>
      </c>
      <c r="P1872">
        <f>I1872-G1872^2/k_n</f>
        <v/>
      </c>
      <c r="Q1872">
        <f>J1872-H1872^2/k_n</f>
        <v/>
      </c>
      <c r="R1872">
        <f>K1872-G1872*H1872/k_n</f>
        <v/>
      </c>
      <c r="S1872">
        <f>L1872-LTP3!$D$3*G1872/k_n</f>
        <v/>
      </c>
      <c r="T1872">
        <f>M1872-LTP3!$D$3*H1872/k_n</f>
        <v/>
      </c>
      <c r="U1872">
        <f>N1872-G1872*LTP3!$D$4/k_n</f>
        <v/>
      </c>
      <c r="V1872">
        <f>O1872-H1872*LTP3!$D$4/k_n</f>
        <v/>
      </c>
      <c r="W1872">
        <f>((LTP3!$D$5)*((P1872)*(Q1872)-(R1872)*(R1872))-(S1872)*((S1872)*(Q1872)-(R1872)*(T1872))+(T1872)*((S1872)*(R1872)-(P1872)*(T1872)))</f>
        <v/>
      </c>
      <c r="X1872">
        <f>IF(ABS(W1872)&gt;1E-12,((LTP3!$D$6)*((P1872)*(Q1872)-(R1872)*(R1872))-(S1872)*((U1872)*(Q1872)-(R1872)*(V1872))+(T1872)*((U1872)*(R1872)-(P1872)*(V1872)))/W1872,0)</f>
        <v/>
      </c>
      <c r="Y1872">
        <f>IF(ABS(W1872)&gt;1E-12,((LTP3!$D$5)*((U1872)*(Q1872)-(R1872)*(V1872))-(LTP3!$D$6)*((S1872)*(Q1872)-(R1872)*(T1872))+(T1872)*((S1872)*(V1872)-(U1872)*(T1872)))/W1872,0)</f>
        <v/>
      </c>
      <c r="Z1872">
        <f>IF(ABS(W1872)&gt;1E-12,((LTP3!$D$5)*((P1872)*(V1872)-(U1872)*(R1872))-(S1872)*((S1872)*(V1872)-(U1872)*(T1872))+(LTP3!$D$6)*((S1872)*(R1872)-(P1872)*(T1872)))/W1872,0)</f>
        <v/>
      </c>
      <c r="AA1872">
        <f>LTP3!$D$7-X1872*LTP3!$D$6-Y1872*U1872-Z1872*V1872</f>
        <v/>
      </c>
      <c r="AB1872">
        <f>IF(AND(F1872,ABS(W1872)&gt;1E-12,Y1872&gt;0,Z1872&gt;0),AA1872,1E+300)</f>
        <v/>
      </c>
    </row>
    <row r="1873">
      <c r="A1873">
        <f>$B$3+$B$5*30</f>
        <v/>
      </c>
      <c r="B1873">
        <f>$B$3+$B$5*31</f>
        <v/>
      </c>
      <c r="C1873">
        <f>SUMPRODUCT(Calc!$K$3:$K$22*(Calc!$G$3:$G$22&lt;=A1873))</f>
        <v/>
      </c>
      <c r="D1873">
        <f>SUMPRODUCT(Calc!$K$3:$K$22*(Calc!$G$3:$G$22&gt;A1873)*(Calc!$G$3:$G$22&lt;B1873))</f>
        <v/>
      </c>
      <c r="E1873">
        <f>SUMPRODUCT(Calc!$K$3:$K$22*(Calc!$G$3:$G$22&gt;=B1873))</f>
        <v/>
      </c>
      <c r="F1873">
        <f>AND(k_n&gt;=5,B1873&gt;A1873+1E-9,C1873&gt;=2,D1873&gt;=1,E1873&gt;=2)</f>
        <v/>
      </c>
      <c r="G1873">
        <f>SUMPRODUCT(Calc!$K$3:$K$22*(Calc!$G$3:$G$22&gt;A1873)*(Calc!$G$3:$G$22-A1873))</f>
        <v/>
      </c>
      <c r="H1873">
        <f>SUMPRODUCT(Calc!$K$3:$K$22*(Calc!$G$3:$G$22&gt;B1873)*(Calc!$G$3:$G$22-B1873))</f>
        <v/>
      </c>
      <c r="I1873">
        <f>SUMPRODUCT(Calc!$K$3:$K$22*(Calc!$G$3:$G$22&gt;A1873)*(Calc!$G$3:$G$22-A1873)^2)</f>
        <v/>
      </c>
      <c r="J1873">
        <f>SUMPRODUCT(Calc!$K$3:$K$22*(Calc!$G$3:$G$22&gt;B1873)*(Calc!$G$3:$G$22-B1873)^2)</f>
        <v/>
      </c>
      <c r="K1873">
        <f>SUMPRODUCT(Calc!$K$3:$K$22*(Calc!$G$3:$G$22&gt;A1873)*(Calc!$G$3:$G$22-A1873)*(Calc!$G$3:$G$22&gt;B1873)*(Calc!$G$3:$G$22-B1873))</f>
        <v/>
      </c>
      <c r="L1873">
        <f>SUMPRODUCT(Calc!$K$3:$K$22*(Calc!$G$3:$G$22&gt;A1873)*(Calc!$G$3:$G$22-A1873)*Calc!$G$3:$G$22)</f>
        <v/>
      </c>
      <c r="M1873">
        <f>SUMPRODUCT(Calc!$K$3:$K$22*(Calc!$G$3:$G$22&gt;B1873)*(Calc!$G$3:$G$22-B1873)*Calc!$G$3:$G$22)</f>
        <v/>
      </c>
      <c r="N1873">
        <f>SUMPRODUCT(Calc!$K$3:$K$22*(Calc!$G$3:$G$22&gt;A1873)*(Calc!$G$3:$G$22-A1873)*Calc!$I$3:$I$22)</f>
        <v/>
      </c>
      <c r="O1873">
        <f>SUMPRODUCT(Calc!$K$3:$K$22*(Calc!$G$3:$G$22&gt;B1873)*(Calc!$G$3:$G$22-B1873)*Calc!$I$3:$I$22)</f>
        <v/>
      </c>
      <c r="P1873">
        <f>I1873-G1873^2/k_n</f>
        <v/>
      </c>
      <c r="Q1873">
        <f>J1873-H1873^2/k_n</f>
        <v/>
      </c>
      <c r="R1873">
        <f>K1873-G1873*H1873/k_n</f>
        <v/>
      </c>
      <c r="S1873">
        <f>L1873-LTP3!$D$3*G1873/k_n</f>
        <v/>
      </c>
      <c r="T1873">
        <f>M1873-LTP3!$D$3*H1873/k_n</f>
        <v/>
      </c>
      <c r="U1873">
        <f>N1873-G1873*LTP3!$D$4/k_n</f>
        <v/>
      </c>
      <c r="V1873">
        <f>O1873-H1873*LTP3!$D$4/k_n</f>
        <v/>
      </c>
      <c r="W1873">
        <f>((LTP3!$D$5)*((P1873)*(Q1873)-(R1873)*(R1873))-(S1873)*((S1873)*(Q1873)-(R1873)*(T1873))+(T1873)*((S1873)*(R1873)-(P1873)*(T1873)))</f>
        <v/>
      </c>
      <c r="X1873">
        <f>IF(ABS(W1873)&gt;1E-12,((LTP3!$D$6)*((P1873)*(Q1873)-(R1873)*(R1873))-(S1873)*((U1873)*(Q1873)-(R1873)*(V1873))+(T1873)*((U1873)*(R1873)-(P1873)*(V1873)))/W1873,0)</f>
        <v/>
      </c>
      <c r="Y1873">
        <f>IF(ABS(W1873)&gt;1E-12,((LTP3!$D$5)*((U1873)*(Q1873)-(R1873)*(V1873))-(LTP3!$D$6)*((S1873)*(Q1873)-(R1873)*(T1873))+(T1873)*((S1873)*(V1873)-(U1873)*(T1873)))/W1873,0)</f>
        <v/>
      </c>
      <c r="Z1873">
        <f>IF(ABS(W1873)&gt;1E-12,((LTP3!$D$5)*((P1873)*(V1873)-(U1873)*(R1873))-(S1873)*((S1873)*(V1873)-(U1873)*(T1873))+(LTP3!$D$6)*((S1873)*(R1873)-(P1873)*(T1873)))/W1873,0)</f>
        <v/>
      </c>
      <c r="AA1873">
        <f>LTP3!$D$7-X1873*LTP3!$D$6-Y1873*U1873-Z1873*V1873</f>
        <v/>
      </c>
      <c r="AB1873">
        <f>IF(AND(F1873,ABS(W1873)&gt;1E-12,Y1873&gt;0,Z1873&gt;0),AA1873,1E+300)</f>
        <v/>
      </c>
    </row>
    <row r="1874">
      <c r="A1874">
        <f>$B$3+$B$5*30</f>
        <v/>
      </c>
      <c r="B1874">
        <f>$B$3+$B$5*32</f>
        <v/>
      </c>
      <c r="C1874">
        <f>SUMPRODUCT(Calc!$K$3:$K$22*(Calc!$G$3:$G$22&lt;=A1874))</f>
        <v/>
      </c>
      <c r="D1874">
        <f>SUMPRODUCT(Calc!$K$3:$K$22*(Calc!$G$3:$G$22&gt;A1874)*(Calc!$G$3:$G$22&lt;B1874))</f>
        <v/>
      </c>
      <c r="E1874">
        <f>SUMPRODUCT(Calc!$K$3:$K$22*(Calc!$G$3:$G$22&gt;=B1874))</f>
        <v/>
      </c>
      <c r="F1874">
        <f>AND(k_n&gt;=5,B1874&gt;A1874+1E-9,C1874&gt;=2,D1874&gt;=1,E1874&gt;=2)</f>
        <v/>
      </c>
      <c r="G1874">
        <f>SUMPRODUCT(Calc!$K$3:$K$22*(Calc!$G$3:$G$22&gt;A1874)*(Calc!$G$3:$G$22-A1874))</f>
        <v/>
      </c>
      <c r="H1874">
        <f>SUMPRODUCT(Calc!$K$3:$K$22*(Calc!$G$3:$G$22&gt;B1874)*(Calc!$G$3:$G$22-B1874))</f>
        <v/>
      </c>
      <c r="I1874">
        <f>SUMPRODUCT(Calc!$K$3:$K$22*(Calc!$G$3:$G$22&gt;A1874)*(Calc!$G$3:$G$22-A1874)^2)</f>
        <v/>
      </c>
      <c r="J1874">
        <f>SUMPRODUCT(Calc!$K$3:$K$22*(Calc!$G$3:$G$22&gt;B1874)*(Calc!$G$3:$G$22-B1874)^2)</f>
        <v/>
      </c>
      <c r="K1874">
        <f>SUMPRODUCT(Calc!$K$3:$K$22*(Calc!$G$3:$G$22&gt;A1874)*(Calc!$G$3:$G$22-A1874)*(Calc!$G$3:$G$22&gt;B1874)*(Calc!$G$3:$G$22-B1874))</f>
        <v/>
      </c>
      <c r="L1874">
        <f>SUMPRODUCT(Calc!$K$3:$K$22*(Calc!$G$3:$G$22&gt;A1874)*(Calc!$G$3:$G$22-A1874)*Calc!$G$3:$G$22)</f>
        <v/>
      </c>
      <c r="M1874">
        <f>SUMPRODUCT(Calc!$K$3:$K$22*(Calc!$G$3:$G$22&gt;B1874)*(Calc!$G$3:$G$22-B1874)*Calc!$G$3:$G$22)</f>
        <v/>
      </c>
      <c r="N1874">
        <f>SUMPRODUCT(Calc!$K$3:$K$22*(Calc!$G$3:$G$22&gt;A1874)*(Calc!$G$3:$G$22-A1874)*Calc!$I$3:$I$22)</f>
        <v/>
      </c>
      <c r="O1874">
        <f>SUMPRODUCT(Calc!$K$3:$K$22*(Calc!$G$3:$G$22&gt;B1874)*(Calc!$G$3:$G$22-B1874)*Calc!$I$3:$I$22)</f>
        <v/>
      </c>
      <c r="P1874">
        <f>I1874-G1874^2/k_n</f>
        <v/>
      </c>
      <c r="Q1874">
        <f>J1874-H1874^2/k_n</f>
        <v/>
      </c>
      <c r="R1874">
        <f>K1874-G1874*H1874/k_n</f>
        <v/>
      </c>
      <c r="S1874">
        <f>L1874-LTP3!$D$3*G1874/k_n</f>
        <v/>
      </c>
      <c r="T1874">
        <f>M1874-LTP3!$D$3*H1874/k_n</f>
        <v/>
      </c>
      <c r="U1874">
        <f>N1874-G1874*LTP3!$D$4/k_n</f>
        <v/>
      </c>
      <c r="V1874">
        <f>O1874-H1874*LTP3!$D$4/k_n</f>
        <v/>
      </c>
      <c r="W1874">
        <f>((LTP3!$D$5)*((P1874)*(Q1874)-(R1874)*(R1874))-(S1874)*((S1874)*(Q1874)-(R1874)*(T1874))+(T1874)*((S1874)*(R1874)-(P1874)*(T1874)))</f>
        <v/>
      </c>
      <c r="X1874">
        <f>IF(ABS(W1874)&gt;1E-12,((LTP3!$D$6)*((P1874)*(Q1874)-(R1874)*(R1874))-(S1874)*((U1874)*(Q1874)-(R1874)*(V1874))+(T1874)*((U1874)*(R1874)-(P1874)*(V1874)))/W1874,0)</f>
        <v/>
      </c>
      <c r="Y1874">
        <f>IF(ABS(W1874)&gt;1E-12,((LTP3!$D$5)*((U1874)*(Q1874)-(R1874)*(V1874))-(LTP3!$D$6)*((S1874)*(Q1874)-(R1874)*(T1874))+(T1874)*((S1874)*(V1874)-(U1874)*(T1874)))/W1874,0)</f>
        <v/>
      </c>
      <c r="Z1874">
        <f>IF(ABS(W1874)&gt;1E-12,((LTP3!$D$5)*((P1874)*(V1874)-(U1874)*(R1874))-(S1874)*((S1874)*(V1874)-(U1874)*(T1874))+(LTP3!$D$6)*((S1874)*(R1874)-(P1874)*(T1874)))/W1874,0)</f>
        <v/>
      </c>
      <c r="AA1874">
        <f>LTP3!$D$7-X1874*LTP3!$D$6-Y1874*U1874-Z1874*V1874</f>
        <v/>
      </c>
      <c r="AB1874">
        <f>IF(AND(F1874,ABS(W1874)&gt;1E-12,Y1874&gt;0,Z1874&gt;0),AA1874,1E+300)</f>
        <v/>
      </c>
    </row>
    <row r="1875">
      <c r="A1875">
        <f>$B$3+$B$5*30</f>
        <v/>
      </c>
      <c r="B1875">
        <f>$B$3+$B$5*33</f>
        <v/>
      </c>
      <c r="C1875">
        <f>SUMPRODUCT(Calc!$K$3:$K$22*(Calc!$G$3:$G$22&lt;=A1875))</f>
        <v/>
      </c>
      <c r="D1875">
        <f>SUMPRODUCT(Calc!$K$3:$K$22*(Calc!$G$3:$G$22&gt;A1875)*(Calc!$G$3:$G$22&lt;B1875))</f>
        <v/>
      </c>
      <c r="E1875">
        <f>SUMPRODUCT(Calc!$K$3:$K$22*(Calc!$G$3:$G$22&gt;=B1875))</f>
        <v/>
      </c>
      <c r="F1875">
        <f>AND(k_n&gt;=5,B1875&gt;A1875+1E-9,C1875&gt;=2,D1875&gt;=1,E1875&gt;=2)</f>
        <v/>
      </c>
      <c r="G1875">
        <f>SUMPRODUCT(Calc!$K$3:$K$22*(Calc!$G$3:$G$22&gt;A1875)*(Calc!$G$3:$G$22-A1875))</f>
        <v/>
      </c>
      <c r="H1875">
        <f>SUMPRODUCT(Calc!$K$3:$K$22*(Calc!$G$3:$G$22&gt;B1875)*(Calc!$G$3:$G$22-B1875))</f>
        <v/>
      </c>
      <c r="I1875">
        <f>SUMPRODUCT(Calc!$K$3:$K$22*(Calc!$G$3:$G$22&gt;A1875)*(Calc!$G$3:$G$22-A1875)^2)</f>
        <v/>
      </c>
      <c r="J1875">
        <f>SUMPRODUCT(Calc!$K$3:$K$22*(Calc!$G$3:$G$22&gt;B1875)*(Calc!$G$3:$G$22-B1875)^2)</f>
        <v/>
      </c>
      <c r="K1875">
        <f>SUMPRODUCT(Calc!$K$3:$K$22*(Calc!$G$3:$G$22&gt;A1875)*(Calc!$G$3:$G$22-A1875)*(Calc!$G$3:$G$22&gt;B1875)*(Calc!$G$3:$G$22-B1875))</f>
        <v/>
      </c>
      <c r="L1875">
        <f>SUMPRODUCT(Calc!$K$3:$K$22*(Calc!$G$3:$G$22&gt;A1875)*(Calc!$G$3:$G$22-A1875)*Calc!$G$3:$G$22)</f>
        <v/>
      </c>
      <c r="M1875">
        <f>SUMPRODUCT(Calc!$K$3:$K$22*(Calc!$G$3:$G$22&gt;B1875)*(Calc!$G$3:$G$22-B1875)*Calc!$G$3:$G$22)</f>
        <v/>
      </c>
      <c r="N1875">
        <f>SUMPRODUCT(Calc!$K$3:$K$22*(Calc!$G$3:$G$22&gt;A1875)*(Calc!$G$3:$G$22-A1875)*Calc!$I$3:$I$22)</f>
        <v/>
      </c>
      <c r="O1875">
        <f>SUMPRODUCT(Calc!$K$3:$K$22*(Calc!$G$3:$G$22&gt;B1875)*(Calc!$G$3:$G$22-B1875)*Calc!$I$3:$I$22)</f>
        <v/>
      </c>
      <c r="P1875">
        <f>I1875-G1875^2/k_n</f>
        <v/>
      </c>
      <c r="Q1875">
        <f>J1875-H1875^2/k_n</f>
        <v/>
      </c>
      <c r="R1875">
        <f>K1875-G1875*H1875/k_n</f>
        <v/>
      </c>
      <c r="S1875">
        <f>L1875-LTP3!$D$3*G1875/k_n</f>
        <v/>
      </c>
      <c r="T1875">
        <f>M1875-LTP3!$D$3*H1875/k_n</f>
        <v/>
      </c>
      <c r="U1875">
        <f>N1875-G1875*LTP3!$D$4/k_n</f>
        <v/>
      </c>
      <c r="V1875">
        <f>O1875-H1875*LTP3!$D$4/k_n</f>
        <v/>
      </c>
      <c r="W1875">
        <f>((LTP3!$D$5)*((P1875)*(Q1875)-(R1875)*(R1875))-(S1875)*((S1875)*(Q1875)-(R1875)*(T1875))+(T1875)*((S1875)*(R1875)-(P1875)*(T1875)))</f>
        <v/>
      </c>
      <c r="X1875">
        <f>IF(ABS(W1875)&gt;1E-12,((LTP3!$D$6)*((P1875)*(Q1875)-(R1875)*(R1875))-(S1875)*((U1875)*(Q1875)-(R1875)*(V1875))+(T1875)*((U1875)*(R1875)-(P1875)*(V1875)))/W1875,0)</f>
        <v/>
      </c>
      <c r="Y1875">
        <f>IF(ABS(W1875)&gt;1E-12,((LTP3!$D$5)*((U1875)*(Q1875)-(R1875)*(V1875))-(LTP3!$D$6)*((S1875)*(Q1875)-(R1875)*(T1875))+(T1875)*((S1875)*(V1875)-(U1875)*(T1875)))/W1875,0)</f>
        <v/>
      </c>
      <c r="Z1875">
        <f>IF(ABS(W1875)&gt;1E-12,((LTP3!$D$5)*((P1875)*(V1875)-(U1875)*(R1875))-(S1875)*((S1875)*(V1875)-(U1875)*(T1875))+(LTP3!$D$6)*((S1875)*(R1875)-(P1875)*(T1875)))/W1875,0)</f>
        <v/>
      </c>
      <c r="AA1875">
        <f>LTP3!$D$7-X1875*LTP3!$D$6-Y1875*U1875-Z1875*V1875</f>
        <v/>
      </c>
      <c r="AB1875">
        <f>IF(AND(F1875,ABS(W1875)&gt;1E-12,Y1875&gt;0,Z1875&gt;0),AA1875,1E+300)</f>
        <v/>
      </c>
    </row>
    <row r="1876">
      <c r="A1876">
        <f>$B$3+$B$5*30</f>
        <v/>
      </c>
      <c r="B1876">
        <f>$B$3+$B$5*34</f>
        <v/>
      </c>
      <c r="C1876">
        <f>SUMPRODUCT(Calc!$K$3:$K$22*(Calc!$G$3:$G$22&lt;=A1876))</f>
        <v/>
      </c>
      <c r="D1876">
        <f>SUMPRODUCT(Calc!$K$3:$K$22*(Calc!$G$3:$G$22&gt;A1876)*(Calc!$G$3:$G$22&lt;B1876))</f>
        <v/>
      </c>
      <c r="E1876">
        <f>SUMPRODUCT(Calc!$K$3:$K$22*(Calc!$G$3:$G$22&gt;=B1876))</f>
        <v/>
      </c>
      <c r="F1876">
        <f>AND(k_n&gt;=5,B1876&gt;A1876+1E-9,C1876&gt;=2,D1876&gt;=1,E1876&gt;=2)</f>
        <v/>
      </c>
      <c r="G1876">
        <f>SUMPRODUCT(Calc!$K$3:$K$22*(Calc!$G$3:$G$22&gt;A1876)*(Calc!$G$3:$G$22-A1876))</f>
        <v/>
      </c>
      <c r="H1876">
        <f>SUMPRODUCT(Calc!$K$3:$K$22*(Calc!$G$3:$G$22&gt;B1876)*(Calc!$G$3:$G$22-B1876))</f>
        <v/>
      </c>
      <c r="I1876">
        <f>SUMPRODUCT(Calc!$K$3:$K$22*(Calc!$G$3:$G$22&gt;A1876)*(Calc!$G$3:$G$22-A1876)^2)</f>
        <v/>
      </c>
      <c r="J1876">
        <f>SUMPRODUCT(Calc!$K$3:$K$22*(Calc!$G$3:$G$22&gt;B1876)*(Calc!$G$3:$G$22-B1876)^2)</f>
        <v/>
      </c>
      <c r="K1876">
        <f>SUMPRODUCT(Calc!$K$3:$K$22*(Calc!$G$3:$G$22&gt;A1876)*(Calc!$G$3:$G$22-A1876)*(Calc!$G$3:$G$22&gt;B1876)*(Calc!$G$3:$G$22-B1876))</f>
        <v/>
      </c>
      <c r="L1876">
        <f>SUMPRODUCT(Calc!$K$3:$K$22*(Calc!$G$3:$G$22&gt;A1876)*(Calc!$G$3:$G$22-A1876)*Calc!$G$3:$G$22)</f>
        <v/>
      </c>
      <c r="M1876">
        <f>SUMPRODUCT(Calc!$K$3:$K$22*(Calc!$G$3:$G$22&gt;B1876)*(Calc!$G$3:$G$22-B1876)*Calc!$G$3:$G$22)</f>
        <v/>
      </c>
      <c r="N1876">
        <f>SUMPRODUCT(Calc!$K$3:$K$22*(Calc!$G$3:$G$22&gt;A1876)*(Calc!$G$3:$G$22-A1876)*Calc!$I$3:$I$22)</f>
        <v/>
      </c>
      <c r="O1876">
        <f>SUMPRODUCT(Calc!$K$3:$K$22*(Calc!$G$3:$G$22&gt;B1876)*(Calc!$G$3:$G$22-B1876)*Calc!$I$3:$I$22)</f>
        <v/>
      </c>
      <c r="P1876">
        <f>I1876-G1876^2/k_n</f>
        <v/>
      </c>
      <c r="Q1876">
        <f>J1876-H1876^2/k_n</f>
        <v/>
      </c>
      <c r="R1876">
        <f>K1876-G1876*H1876/k_n</f>
        <v/>
      </c>
      <c r="S1876">
        <f>L1876-LTP3!$D$3*G1876/k_n</f>
        <v/>
      </c>
      <c r="T1876">
        <f>M1876-LTP3!$D$3*H1876/k_n</f>
        <v/>
      </c>
      <c r="U1876">
        <f>N1876-G1876*LTP3!$D$4/k_n</f>
        <v/>
      </c>
      <c r="V1876">
        <f>O1876-H1876*LTP3!$D$4/k_n</f>
        <v/>
      </c>
      <c r="W1876">
        <f>((LTP3!$D$5)*((P1876)*(Q1876)-(R1876)*(R1876))-(S1876)*((S1876)*(Q1876)-(R1876)*(T1876))+(T1876)*((S1876)*(R1876)-(P1876)*(T1876)))</f>
        <v/>
      </c>
      <c r="X1876">
        <f>IF(ABS(W1876)&gt;1E-12,((LTP3!$D$6)*((P1876)*(Q1876)-(R1876)*(R1876))-(S1876)*((U1876)*(Q1876)-(R1876)*(V1876))+(T1876)*((U1876)*(R1876)-(P1876)*(V1876)))/W1876,0)</f>
        <v/>
      </c>
      <c r="Y1876">
        <f>IF(ABS(W1876)&gt;1E-12,((LTP3!$D$5)*((U1876)*(Q1876)-(R1876)*(V1876))-(LTP3!$D$6)*((S1876)*(Q1876)-(R1876)*(T1876))+(T1876)*((S1876)*(V1876)-(U1876)*(T1876)))/W1876,0)</f>
        <v/>
      </c>
      <c r="Z1876">
        <f>IF(ABS(W1876)&gt;1E-12,((LTP3!$D$5)*((P1876)*(V1876)-(U1876)*(R1876))-(S1876)*((S1876)*(V1876)-(U1876)*(T1876))+(LTP3!$D$6)*((S1876)*(R1876)-(P1876)*(T1876)))/W1876,0)</f>
        <v/>
      </c>
      <c r="AA1876">
        <f>LTP3!$D$7-X1876*LTP3!$D$6-Y1876*U1876-Z1876*V1876</f>
        <v/>
      </c>
      <c r="AB1876">
        <f>IF(AND(F1876,ABS(W1876)&gt;1E-12,Y1876&gt;0,Z1876&gt;0),AA1876,1E+300)</f>
        <v/>
      </c>
    </row>
    <row r="1877">
      <c r="A1877">
        <f>$B$3+$B$5*30</f>
        <v/>
      </c>
      <c r="B1877">
        <f>$B$3+$B$5*35</f>
        <v/>
      </c>
      <c r="C1877">
        <f>SUMPRODUCT(Calc!$K$3:$K$22*(Calc!$G$3:$G$22&lt;=A1877))</f>
        <v/>
      </c>
      <c r="D1877">
        <f>SUMPRODUCT(Calc!$K$3:$K$22*(Calc!$G$3:$G$22&gt;A1877)*(Calc!$G$3:$G$22&lt;B1877))</f>
        <v/>
      </c>
      <c r="E1877">
        <f>SUMPRODUCT(Calc!$K$3:$K$22*(Calc!$G$3:$G$22&gt;=B1877))</f>
        <v/>
      </c>
      <c r="F1877">
        <f>AND(k_n&gt;=5,B1877&gt;A1877+1E-9,C1877&gt;=2,D1877&gt;=1,E1877&gt;=2)</f>
        <v/>
      </c>
      <c r="G1877">
        <f>SUMPRODUCT(Calc!$K$3:$K$22*(Calc!$G$3:$G$22&gt;A1877)*(Calc!$G$3:$G$22-A1877))</f>
        <v/>
      </c>
      <c r="H1877">
        <f>SUMPRODUCT(Calc!$K$3:$K$22*(Calc!$G$3:$G$22&gt;B1877)*(Calc!$G$3:$G$22-B1877))</f>
        <v/>
      </c>
      <c r="I1877">
        <f>SUMPRODUCT(Calc!$K$3:$K$22*(Calc!$G$3:$G$22&gt;A1877)*(Calc!$G$3:$G$22-A1877)^2)</f>
        <v/>
      </c>
      <c r="J1877">
        <f>SUMPRODUCT(Calc!$K$3:$K$22*(Calc!$G$3:$G$22&gt;B1877)*(Calc!$G$3:$G$22-B1877)^2)</f>
        <v/>
      </c>
      <c r="K1877">
        <f>SUMPRODUCT(Calc!$K$3:$K$22*(Calc!$G$3:$G$22&gt;A1877)*(Calc!$G$3:$G$22-A1877)*(Calc!$G$3:$G$22&gt;B1877)*(Calc!$G$3:$G$22-B1877))</f>
        <v/>
      </c>
      <c r="L1877">
        <f>SUMPRODUCT(Calc!$K$3:$K$22*(Calc!$G$3:$G$22&gt;A1877)*(Calc!$G$3:$G$22-A1877)*Calc!$G$3:$G$22)</f>
        <v/>
      </c>
      <c r="M1877">
        <f>SUMPRODUCT(Calc!$K$3:$K$22*(Calc!$G$3:$G$22&gt;B1877)*(Calc!$G$3:$G$22-B1877)*Calc!$G$3:$G$22)</f>
        <v/>
      </c>
      <c r="N1877">
        <f>SUMPRODUCT(Calc!$K$3:$K$22*(Calc!$G$3:$G$22&gt;A1877)*(Calc!$G$3:$G$22-A1877)*Calc!$I$3:$I$22)</f>
        <v/>
      </c>
      <c r="O1877">
        <f>SUMPRODUCT(Calc!$K$3:$K$22*(Calc!$G$3:$G$22&gt;B1877)*(Calc!$G$3:$G$22-B1877)*Calc!$I$3:$I$22)</f>
        <v/>
      </c>
      <c r="P1877">
        <f>I1877-G1877^2/k_n</f>
        <v/>
      </c>
      <c r="Q1877">
        <f>J1877-H1877^2/k_n</f>
        <v/>
      </c>
      <c r="R1877">
        <f>K1877-G1877*H1877/k_n</f>
        <v/>
      </c>
      <c r="S1877">
        <f>L1877-LTP3!$D$3*G1877/k_n</f>
        <v/>
      </c>
      <c r="T1877">
        <f>M1877-LTP3!$D$3*H1877/k_n</f>
        <v/>
      </c>
      <c r="U1877">
        <f>N1877-G1877*LTP3!$D$4/k_n</f>
        <v/>
      </c>
      <c r="V1877">
        <f>O1877-H1877*LTP3!$D$4/k_n</f>
        <v/>
      </c>
      <c r="W1877">
        <f>((LTP3!$D$5)*((P1877)*(Q1877)-(R1877)*(R1877))-(S1877)*((S1877)*(Q1877)-(R1877)*(T1877))+(T1877)*((S1877)*(R1877)-(P1877)*(T1877)))</f>
        <v/>
      </c>
      <c r="X1877">
        <f>IF(ABS(W1877)&gt;1E-12,((LTP3!$D$6)*((P1877)*(Q1877)-(R1877)*(R1877))-(S1877)*((U1877)*(Q1877)-(R1877)*(V1877))+(T1877)*((U1877)*(R1877)-(P1877)*(V1877)))/W1877,0)</f>
        <v/>
      </c>
      <c r="Y1877">
        <f>IF(ABS(W1877)&gt;1E-12,((LTP3!$D$5)*((U1877)*(Q1877)-(R1877)*(V1877))-(LTP3!$D$6)*((S1877)*(Q1877)-(R1877)*(T1877))+(T1877)*((S1877)*(V1877)-(U1877)*(T1877)))/W1877,0)</f>
        <v/>
      </c>
      <c r="Z1877">
        <f>IF(ABS(W1877)&gt;1E-12,((LTP3!$D$5)*((P1877)*(V1877)-(U1877)*(R1877))-(S1877)*((S1877)*(V1877)-(U1877)*(T1877))+(LTP3!$D$6)*((S1877)*(R1877)-(P1877)*(T1877)))/W1877,0)</f>
        <v/>
      </c>
      <c r="AA1877">
        <f>LTP3!$D$7-X1877*LTP3!$D$6-Y1877*U1877-Z1877*V1877</f>
        <v/>
      </c>
      <c r="AB1877">
        <f>IF(AND(F1877,ABS(W1877)&gt;1E-12,Y1877&gt;0,Z1877&gt;0),AA1877,1E+300)</f>
        <v/>
      </c>
    </row>
    <row r="1878">
      <c r="A1878">
        <f>$B$3+$B$5*30</f>
        <v/>
      </c>
      <c r="B1878">
        <f>$B$3+$B$5*36</f>
        <v/>
      </c>
      <c r="C1878">
        <f>SUMPRODUCT(Calc!$K$3:$K$22*(Calc!$G$3:$G$22&lt;=A1878))</f>
        <v/>
      </c>
      <c r="D1878">
        <f>SUMPRODUCT(Calc!$K$3:$K$22*(Calc!$G$3:$G$22&gt;A1878)*(Calc!$G$3:$G$22&lt;B1878))</f>
        <v/>
      </c>
      <c r="E1878">
        <f>SUMPRODUCT(Calc!$K$3:$K$22*(Calc!$G$3:$G$22&gt;=B1878))</f>
        <v/>
      </c>
      <c r="F1878">
        <f>AND(k_n&gt;=5,B1878&gt;A1878+1E-9,C1878&gt;=2,D1878&gt;=1,E1878&gt;=2)</f>
        <v/>
      </c>
      <c r="G1878">
        <f>SUMPRODUCT(Calc!$K$3:$K$22*(Calc!$G$3:$G$22&gt;A1878)*(Calc!$G$3:$G$22-A1878))</f>
        <v/>
      </c>
      <c r="H1878">
        <f>SUMPRODUCT(Calc!$K$3:$K$22*(Calc!$G$3:$G$22&gt;B1878)*(Calc!$G$3:$G$22-B1878))</f>
        <v/>
      </c>
      <c r="I1878">
        <f>SUMPRODUCT(Calc!$K$3:$K$22*(Calc!$G$3:$G$22&gt;A1878)*(Calc!$G$3:$G$22-A1878)^2)</f>
        <v/>
      </c>
      <c r="J1878">
        <f>SUMPRODUCT(Calc!$K$3:$K$22*(Calc!$G$3:$G$22&gt;B1878)*(Calc!$G$3:$G$22-B1878)^2)</f>
        <v/>
      </c>
      <c r="K1878">
        <f>SUMPRODUCT(Calc!$K$3:$K$22*(Calc!$G$3:$G$22&gt;A1878)*(Calc!$G$3:$G$22-A1878)*(Calc!$G$3:$G$22&gt;B1878)*(Calc!$G$3:$G$22-B1878))</f>
        <v/>
      </c>
      <c r="L1878">
        <f>SUMPRODUCT(Calc!$K$3:$K$22*(Calc!$G$3:$G$22&gt;A1878)*(Calc!$G$3:$G$22-A1878)*Calc!$G$3:$G$22)</f>
        <v/>
      </c>
      <c r="M1878">
        <f>SUMPRODUCT(Calc!$K$3:$K$22*(Calc!$G$3:$G$22&gt;B1878)*(Calc!$G$3:$G$22-B1878)*Calc!$G$3:$G$22)</f>
        <v/>
      </c>
      <c r="N1878">
        <f>SUMPRODUCT(Calc!$K$3:$K$22*(Calc!$G$3:$G$22&gt;A1878)*(Calc!$G$3:$G$22-A1878)*Calc!$I$3:$I$22)</f>
        <v/>
      </c>
      <c r="O1878">
        <f>SUMPRODUCT(Calc!$K$3:$K$22*(Calc!$G$3:$G$22&gt;B1878)*(Calc!$G$3:$G$22-B1878)*Calc!$I$3:$I$22)</f>
        <v/>
      </c>
      <c r="P1878">
        <f>I1878-G1878^2/k_n</f>
        <v/>
      </c>
      <c r="Q1878">
        <f>J1878-H1878^2/k_n</f>
        <v/>
      </c>
      <c r="R1878">
        <f>K1878-G1878*H1878/k_n</f>
        <v/>
      </c>
      <c r="S1878">
        <f>L1878-LTP3!$D$3*G1878/k_n</f>
        <v/>
      </c>
      <c r="T1878">
        <f>M1878-LTP3!$D$3*H1878/k_n</f>
        <v/>
      </c>
      <c r="U1878">
        <f>N1878-G1878*LTP3!$D$4/k_n</f>
        <v/>
      </c>
      <c r="V1878">
        <f>O1878-H1878*LTP3!$D$4/k_n</f>
        <v/>
      </c>
      <c r="W1878">
        <f>((LTP3!$D$5)*((P1878)*(Q1878)-(R1878)*(R1878))-(S1878)*((S1878)*(Q1878)-(R1878)*(T1878))+(T1878)*((S1878)*(R1878)-(P1878)*(T1878)))</f>
        <v/>
      </c>
      <c r="X1878">
        <f>IF(ABS(W1878)&gt;1E-12,((LTP3!$D$6)*((P1878)*(Q1878)-(R1878)*(R1878))-(S1878)*((U1878)*(Q1878)-(R1878)*(V1878))+(T1878)*((U1878)*(R1878)-(P1878)*(V1878)))/W1878,0)</f>
        <v/>
      </c>
      <c r="Y1878">
        <f>IF(ABS(W1878)&gt;1E-12,((LTP3!$D$5)*((U1878)*(Q1878)-(R1878)*(V1878))-(LTP3!$D$6)*((S1878)*(Q1878)-(R1878)*(T1878))+(T1878)*((S1878)*(V1878)-(U1878)*(T1878)))/W1878,0)</f>
        <v/>
      </c>
      <c r="Z1878">
        <f>IF(ABS(W1878)&gt;1E-12,((LTP3!$D$5)*((P1878)*(V1878)-(U1878)*(R1878))-(S1878)*((S1878)*(V1878)-(U1878)*(T1878))+(LTP3!$D$6)*((S1878)*(R1878)-(P1878)*(T1878)))/W1878,0)</f>
        <v/>
      </c>
      <c r="AA1878">
        <f>LTP3!$D$7-X1878*LTP3!$D$6-Y1878*U1878-Z1878*V1878</f>
        <v/>
      </c>
      <c r="AB1878">
        <f>IF(AND(F1878,ABS(W1878)&gt;1E-12,Y1878&gt;0,Z1878&gt;0),AA1878,1E+300)</f>
        <v/>
      </c>
    </row>
    <row r="1879">
      <c r="A1879">
        <f>$B$3+$B$5*30</f>
        <v/>
      </c>
      <c r="B1879">
        <f>$B$3+$B$5*37</f>
        <v/>
      </c>
      <c r="C1879">
        <f>SUMPRODUCT(Calc!$K$3:$K$22*(Calc!$G$3:$G$22&lt;=A1879))</f>
        <v/>
      </c>
      <c r="D1879">
        <f>SUMPRODUCT(Calc!$K$3:$K$22*(Calc!$G$3:$G$22&gt;A1879)*(Calc!$G$3:$G$22&lt;B1879))</f>
        <v/>
      </c>
      <c r="E1879">
        <f>SUMPRODUCT(Calc!$K$3:$K$22*(Calc!$G$3:$G$22&gt;=B1879))</f>
        <v/>
      </c>
      <c r="F1879">
        <f>AND(k_n&gt;=5,B1879&gt;A1879+1E-9,C1879&gt;=2,D1879&gt;=1,E1879&gt;=2)</f>
        <v/>
      </c>
      <c r="G1879">
        <f>SUMPRODUCT(Calc!$K$3:$K$22*(Calc!$G$3:$G$22&gt;A1879)*(Calc!$G$3:$G$22-A1879))</f>
        <v/>
      </c>
      <c r="H1879">
        <f>SUMPRODUCT(Calc!$K$3:$K$22*(Calc!$G$3:$G$22&gt;B1879)*(Calc!$G$3:$G$22-B1879))</f>
        <v/>
      </c>
      <c r="I1879">
        <f>SUMPRODUCT(Calc!$K$3:$K$22*(Calc!$G$3:$G$22&gt;A1879)*(Calc!$G$3:$G$22-A1879)^2)</f>
        <v/>
      </c>
      <c r="J1879">
        <f>SUMPRODUCT(Calc!$K$3:$K$22*(Calc!$G$3:$G$22&gt;B1879)*(Calc!$G$3:$G$22-B1879)^2)</f>
        <v/>
      </c>
      <c r="K1879">
        <f>SUMPRODUCT(Calc!$K$3:$K$22*(Calc!$G$3:$G$22&gt;A1879)*(Calc!$G$3:$G$22-A1879)*(Calc!$G$3:$G$22&gt;B1879)*(Calc!$G$3:$G$22-B1879))</f>
        <v/>
      </c>
      <c r="L1879">
        <f>SUMPRODUCT(Calc!$K$3:$K$22*(Calc!$G$3:$G$22&gt;A1879)*(Calc!$G$3:$G$22-A1879)*Calc!$G$3:$G$22)</f>
        <v/>
      </c>
      <c r="M1879">
        <f>SUMPRODUCT(Calc!$K$3:$K$22*(Calc!$G$3:$G$22&gt;B1879)*(Calc!$G$3:$G$22-B1879)*Calc!$G$3:$G$22)</f>
        <v/>
      </c>
      <c r="N1879">
        <f>SUMPRODUCT(Calc!$K$3:$K$22*(Calc!$G$3:$G$22&gt;A1879)*(Calc!$G$3:$G$22-A1879)*Calc!$I$3:$I$22)</f>
        <v/>
      </c>
      <c r="O1879">
        <f>SUMPRODUCT(Calc!$K$3:$K$22*(Calc!$G$3:$G$22&gt;B1879)*(Calc!$G$3:$G$22-B1879)*Calc!$I$3:$I$22)</f>
        <v/>
      </c>
      <c r="P1879">
        <f>I1879-G1879^2/k_n</f>
        <v/>
      </c>
      <c r="Q1879">
        <f>J1879-H1879^2/k_n</f>
        <v/>
      </c>
      <c r="R1879">
        <f>K1879-G1879*H1879/k_n</f>
        <v/>
      </c>
      <c r="S1879">
        <f>L1879-LTP3!$D$3*G1879/k_n</f>
        <v/>
      </c>
      <c r="T1879">
        <f>M1879-LTP3!$D$3*H1879/k_n</f>
        <v/>
      </c>
      <c r="U1879">
        <f>N1879-G1879*LTP3!$D$4/k_n</f>
        <v/>
      </c>
      <c r="V1879">
        <f>O1879-H1879*LTP3!$D$4/k_n</f>
        <v/>
      </c>
      <c r="W1879">
        <f>((LTP3!$D$5)*((P1879)*(Q1879)-(R1879)*(R1879))-(S1879)*((S1879)*(Q1879)-(R1879)*(T1879))+(T1879)*((S1879)*(R1879)-(P1879)*(T1879)))</f>
        <v/>
      </c>
      <c r="X1879">
        <f>IF(ABS(W1879)&gt;1E-12,((LTP3!$D$6)*((P1879)*(Q1879)-(R1879)*(R1879))-(S1879)*((U1879)*(Q1879)-(R1879)*(V1879))+(T1879)*((U1879)*(R1879)-(P1879)*(V1879)))/W1879,0)</f>
        <v/>
      </c>
      <c r="Y1879">
        <f>IF(ABS(W1879)&gt;1E-12,((LTP3!$D$5)*((U1879)*(Q1879)-(R1879)*(V1879))-(LTP3!$D$6)*((S1879)*(Q1879)-(R1879)*(T1879))+(T1879)*((S1879)*(V1879)-(U1879)*(T1879)))/W1879,0)</f>
        <v/>
      </c>
      <c r="Z1879">
        <f>IF(ABS(W1879)&gt;1E-12,((LTP3!$D$5)*((P1879)*(V1879)-(U1879)*(R1879))-(S1879)*((S1879)*(V1879)-(U1879)*(T1879))+(LTP3!$D$6)*((S1879)*(R1879)-(P1879)*(T1879)))/W1879,0)</f>
        <v/>
      </c>
      <c r="AA1879">
        <f>LTP3!$D$7-X1879*LTP3!$D$6-Y1879*U1879-Z1879*V1879</f>
        <v/>
      </c>
      <c r="AB1879">
        <f>IF(AND(F1879,ABS(W1879)&gt;1E-12,Y1879&gt;0,Z1879&gt;0),AA1879,1E+300)</f>
        <v/>
      </c>
    </row>
    <row r="1880">
      <c r="A1880">
        <f>$B$3+$B$5*30</f>
        <v/>
      </c>
      <c r="B1880">
        <f>$B$3+$B$5*38</f>
        <v/>
      </c>
      <c r="C1880">
        <f>SUMPRODUCT(Calc!$K$3:$K$22*(Calc!$G$3:$G$22&lt;=A1880))</f>
        <v/>
      </c>
      <c r="D1880">
        <f>SUMPRODUCT(Calc!$K$3:$K$22*(Calc!$G$3:$G$22&gt;A1880)*(Calc!$G$3:$G$22&lt;B1880))</f>
        <v/>
      </c>
      <c r="E1880">
        <f>SUMPRODUCT(Calc!$K$3:$K$22*(Calc!$G$3:$G$22&gt;=B1880))</f>
        <v/>
      </c>
      <c r="F1880">
        <f>AND(k_n&gt;=5,B1880&gt;A1880+1E-9,C1880&gt;=2,D1880&gt;=1,E1880&gt;=2)</f>
        <v/>
      </c>
      <c r="G1880">
        <f>SUMPRODUCT(Calc!$K$3:$K$22*(Calc!$G$3:$G$22&gt;A1880)*(Calc!$G$3:$G$22-A1880))</f>
        <v/>
      </c>
      <c r="H1880">
        <f>SUMPRODUCT(Calc!$K$3:$K$22*(Calc!$G$3:$G$22&gt;B1880)*(Calc!$G$3:$G$22-B1880))</f>
        <v/>
      </c>
      <c r="I1880">
        <f>SUMPRODUCT(Calc!$K$3:$K$22*(Calc!$G$3:$G$22&gt;A1880)*(Calc!$G$3:$G$22-A1880)^2)</f>
        <v/>
      </c>
      <c r="J1880">
        <f>SUMPRODUCT(Calc!$K$3:$K$22*(Calc!$G$3:$G$22&gt;B1880)*(Calc!$G$3:$G$22-B1880)^2)</f>
        <v/>
      </c>
      <c r="K1880">
        <f>SUMPRODUCT(Calc!$K$3:$K$22*(Calc!$G$3:$G$22&gt;A1880)*(Calc!$G$3:$G$22-A1880)*(Calc!$G$3:$G$22&gt;B1880)*(Calc!$G$3:$G$22-B1880))</f>
        <v/>
      </c>
      <c r="L1880">
        <f>SUMPRODUCT(Calc!$K$3:$K$22*(Calc!$G$3:$G$22&gt;A1880)*(Calc!$G$3:$G$22-A1880)*Calc!$G$3:$G$22)</f>
        <v/>
      </c>
      <c r="M1880">
        <f>SUMPRODUCT(Calc!$K$3:$K$22*(Calc!$G$3:$G$22&gt;B1880)*(Calc!$G$3:$G$22-B1880)*Calc!$G$3:$G$22)</f>
        <v/>
      </c>
      <c r="N1880">
        <f>SUMPRODUCT(Calc!$K$3:$K$22*(Calc!$G$3:$G$22&gt;A1880)*(Calc!$G$3:$G$22-A1880)*Calc!$I$3:$I$22)</f>
        <v/>
      </c>
      <c r="O1880">
        <f>SUMPRODUCT(Calc!$K$3:$K$22*(Calc!$G$3:$G$22&gt;B1880)*(Calc!$G$3:$G$22-B1880)*Calc!$I$3:$I$22)</f>
        <v/>
      </c>
      <c r="P1880">
        <f>I1880-G1880^2/k_n</f>
        <v/>
      </c>
      <c r="Q1880">
        <f>J1880-H1880^2/k_n</f>
        <v/>
      </c>
      <c r="R1880">
        <f>K1880-G1880*H1880/k_n</f>
        <v/>
      </c>
      <c r="S1880">
        <f>L1880-LTP3!$D$3*G1880/k_n</f>
        <v/>
      </c>
      <c r="T1880">
        <f>M1880-LTP3!$D$3*H1880/k_n</f>
        <v/>
      </c>
      <c r="U1880">
        <f>N1880-G1880*LTP3!$D$4/k_n</f>
        <v/>
      </c>
      <c r="V1880">
        <f>O1880-H1880*LTP3!$D$4/k_n</f>
        <v/>
      </c>
      <c r="W1880">
        <f>((LTP3!$D$5)*((P1880)*(Q1880)-(R1880)*(R1880))-(S1880)*((S1880)*(Q1880)-(R1880)*(T1880))+(T1880)*((S1880)*(R1880)-(P1880)*(T1880)))</f>
        <v/>
      </c>
      <c r="X1880">
        <f>IF(ABS(W1880)&gt;1E-12,((LTP3!$D$6)*((P1880)*(Q1880)-(R1880)*(R1880))-(S1880)*((U1880)*(Q1880)-(R1880)*(V1880))+(T1880)*((U1880)*(R1880)-(P1880)*(V1880)))/W1880,0)</f>
        <v/>
      </c>
      <c r="Y1880">
        <f>IF(ABS(W1880)&gt;1E-12,((LTP3!$D$5)*((U1880)*(Q1880)-(R1880)*(V1880))-(LTP3!$D$6)*((S1880)*(Q1880)-(R1880)*(T1880))+(T1880)*((S1880)*(V1880)-(U1880)*(T1880)))/W1880,0)</f>
        <v/>
      </c>
      <c r="Z1880">
        <f>IF(ABS(W1880)&gt;1E-12,((LTP3!$D$5)*((P1880)*(V1880)-(U1880)*(R1880))-(S1880)*((S1880)*(V1880)-(U1880)*(T1880))+(LTP3!$D$6)*((S1880)*(R1880)-(P1880)*(T1880)))/W1880,0)</f>
        <v/>
      </c>
      <c r="AA1880">
        <f>LTP3!$D$7-X1880*LTP3!$D$6-Y1880*U1880-Z1880*V1880</f>
        <v/>
      </c>
      <c r="AB1880">
        <f>IF(AND(F1880,ABS(W1880)&gt;1E-12,Y1880&gt;0,Z1880&gt;0),AA1880,1E+300)</f>
        <v/>
      </c>
    </row>
    <row r="1881">
      <c r="A1881">
        <f>$B$3+$B$5*30</f>
        <v/>
      </c>
      <c r="B1881">
        <f>$B$3+$B$5*39</f>
        <v/>
      </c>
      <c r="C1881">
        <f>SUMPRODUCT(Calc!$K$3:$K$22*(Calc!$G$3:$G$22&lt;=A1881))</f>
        <v/>
      </c>
      <c r="D1881">
        <f>SUMPRODUCT(Calc!$K$3:$K$22*(Calc!$G$3:$G$22&gt;A1881)*(Calc!$G$3:$G$22&lt;B1881))</f>
        <v/>
      </c>
      <c r="E1881">
        <f>SUMPRODUCT(Calc!$K$3:$K$22*(Calc!$G$3:$G$22&gt;=B1881))</f>
        <v/>
      </c>
      <c r="F1881">
        <f>AND(k_n&gt;=5,B1881&gt;A1881+1E-9,C1881&gt;=2,D1881&gt;=1,E1881&gt;=2)</f>
        <v/>
      </c>
      <c r="G1881">
        <f>SUMPRODUCT(Calc!$K$3:$K$22*(Calc!$G$3:$G$22&gt;A1881)*(Calc!$G$3:$G$22-A1881))</f>
        <v/>
      </c>
      <c r="H1881">
        <f>SUMPRODUCT(Calc!$K$3:$K$22*(Calc!$G$3:$G$22&gt;B1881)*(Calc!$G$3:$G$22-B1881))</f>
        <v/>
      </c>
      <c r="I1881">
        <f>SUMPRODUCT(Calc!$K$3:$K$22*(Calc!$G$3:$G$22&gt;A1881)*(Calc!$G$3:$G$22-A1881)^2)</f>
        <v/>
      </c>
      <c r="J1881">
        <f>SUMPRODUCT(Calc!$K$3:$K$22*(Calc!$G$3:$G$22&gt;B1881)*(Calc!$G$3:$G$22-B1881)^2)</f>
        <v/>
      </c>
      <c r="K1881">
        <f>SUMPRODUCT(Calc!$K$3:$K$22*(Calc!$G$3:$G$22&gt;A1881)*(Calc!$G$3:$G$22-A1881)*(Calc!$G$3:$G$22&gt;B1881)*(Calc!$G$3:$G$22-B1881))</f>
        <v/>
      </c>
      <c r="L1881">
        <f>SUMPRODUCT(Calc!$K$3:$K$22*(Calc!$G$3:$G$22&gt;A1881)*(Calc!$G$3:$G$22-A1881)*Calc!$G$3:$G$22)</f>
        <v/>
      </c>
      <c r="M1881">
        <f>SUMPRODUCT(Calc!$K$3:$K$22*(Calc!$G$3:$G$22&gt;B1881)*(Calc!$G$3:$G$22-B1881)*Calc!$G$3:$G$22)</f>
        <v/>
      </c>
      <c r="N1881">
        <f>SUMPRODUCT(Calc!$K$3:$K$22*(Calc!$G$3:$G$22&gt;A1881)*(Calc!$G$3:$G$22-A1881)*Calc!$I$3:$I$22)</f>
        <v/>
      </c>
      <c r="O1881">
        <f>SUMPRODUCT(Calc!$K$3:$K$22*(Calc!$G$3:$G$22&gt;B1881)*(Calc!$G$3:$G$22-B1881)*Calc!$I$3:$I$22)</f>
        <v/>
      </c>
      <c r="P1881">
        <f>I1881-G1881^2/k_n</f>
        <v/>
      </c>
      <c r="Q1881">
        <f>J1881-H1881^2/k_n</f>
        <v/>
      </c>
      <c r="R1881">
        <f>K1881-G1881*H1881/k_n</f>
        <v/>
      </c>
      <c r="S1881">
        <f>L1881-LTP3!$D$3*G1881/k_n</f>
        <v/>
      </c>
      <c r="T1881">
        <f>M1881-LTP3!$D$3*H1881/k_n</f>
        <v/>
      </c>
      <c r="U1881">
        <f>N1881-G1881*LTP3!$D$4/k_n</f>
        <v/>
      </c>
      <c r="V1881">
        <f>O1881-H1881*LTP3!$D$4/k_n</f>
        <v/>
      </c>
      <c r="W1881">
        <f>((LTP3!$D$5)*((P1881)*(Q1881)-(R1881)*(R1881))-(S1881)*((S1881)*(Q1881)-(R1881)*(T1881))+(T1881)*((S1881)*(R1881)-(P1881)*(T1881)))</f>
        <v/>
      </c>
      <c r="X1881">
        <f>IF(ABS(W1881)&gt;1E-12,((LTP3!$D$6)*((P1881)*(Q1881)-(R1881)*(R1881))-(S1881)*((U1881)*(Q1881)-(R1881)*(V1881))+(T1881)*((U1881)*(R1881)-(P1881)*(V1881)))/W1881,0)</f>
        <v/>
      </c>
      <c r="Y1881">
        <f>IF(ABS(W1881)&gt;1E-12,((LTP3!$D$5)*((U1881)*(Q1881)-(R1881)*(V1881))-(LTP3!$D$6)*((S1881)*(Q1881)-(R1881)*(T1881))+(T1881)*((S1881)*(V1881)-(U1881)*(T1881)))/W1881,0)</f>
        <v/>
      </c>
      <c r="Z1881">
        <f>IF(ABS(W1881)&gt;1E-12,((LTP3!$D$5)*((P1881)*(V1881)-(U1881)*(R1881))-(S1881)*((S1881)*(V1881)-(U1881)*(T1881))+(LTP3!$D$6)*((S1881)*(R1881)-(P1881)*(T1881)))/W1881,0)</f>
        <v/>
      </c>
      <c r="AA1881">
        <f>LTP3!$D$7-X1881*LTP3!$D$6-Y1881*U1881-Z1881*V1881</f>
        <v/>
      </c>
      <c r="AB1881">
        <f>IF(AND(F1881,ABS(W1881)&gt;1E-12,Y1881&gt;0,Z1881&gt;0),AA1881,1E+300)</f>
        <v/>
      </c>
    </row>
    <row r="1882">
      <c r="A1882">
        <f>$B$3+$B$5*30</f>
        <v/>
      </c>
      <c r="B1882">
        <f>$B$3+$B$5*40</f>
        <v/>
      </c>
      <c r="C1882">
        <f>SUMPRODUCT(Calc!$K$3:$K$22*(Calc!$G$3:$G$22&lt;=A1882))</f>
        <v/>
      </c>
      <c r="D1882">
        <f>SUMPRODUCT(Calc!$K$3:$K$22*(Calc!$G$3:$G$22&gt;A1882)*(Calc!$G$3:$G$22&lt;B1882))</f>
        <v/>
      </c>
      <c r="E1882">
        <f>SUMPRODUCT(Calc!$K$3:$K$22*(Calc!$G$3:$G$22&gt;=B1882))</f>
        <v/>
      </c>
      <c r="F1882">
        <f>AND(k_n&gt;=5,B1882&gt;A1882+1E-9,C1882&gt;=2,D1882&gt;=1,E1882&gt;=2)</f>
        <v/>
      </c>
      <c r="G1882">
        <f>SUMPRODUCT(Calc!$K$3:$K$22*(Calc!$G$3:$G$22&gt;A1882)*(Calc!$G$3:$G$22-A1882))</f>
        <v/>
      </c>
      <c r="H1882">
        <f>SUMPRODUCT(Calc!$K$3:$K$22*(Calc!$G$3:$G$22&gt;B1882)*(Calc!$G$3:$G$22-B1882))</f>
        <v/>
      </c>
      <c r="I1882">
        <f>SUMPRODUCT(Calc!$K$3:$K$22*(Calc!$G$3:$G$22&gt;A1882)*(Calc!$G$3:$G$22-A1882)^2)</f>
        <v/>
      </c>
      <c r="J1882">
        <f>SUMPRODUCT(Calc!$K$3:$K$22*(Calc!$G$3:$G$22&gt;B1882)*(Calc!$G$3:$G$22-B1882)^2)</f>
        <v/>
      </c>
      <c r="K1882">
        <f>SUMPRODUCT(Calc!$K$3:$K$22*(Calc!$G$3:$G$22&gt;A1882)*(Calc!$G$3:$G$22-A1882)*(Calc!$G$3:$G$22&gt;B1882)*(Calc!$G$3:$G$22-B1882))</f>
        <v/>
      </c>
      <c r="L1882">
        <f>SUMPRODUCT(Calc!$K$3:$K$22*(Calc!$G$3:$G$22&gt;A1882)*(Calc!$G$3:$G$22-A1882)*Calc!$G$3:$G$22)</f>
        <v/>
      </c>
      <c r="M1882">
        <f>SUMPRODUCT(Calc!$K$3:$K$22*(Calc!$G$3:$G$22&gt;B1882)*(Calc!$G$3:$G$22-B1882)*Calc!$G$3:$G$22)</f>
        <v/>
      </c>
      <c r="N1882">
        <f>SUMPRODUCT(Calc!$K$3:$K$22*(Calc!$G$3:$G$22&gt;A1882)*(Calc!$G$3:$G$22-A1882)*Calc!$I$3:$I$22)</f>
        <v/>
      </c>
      <c r="O1882">
        <f>SUMPRODUCT(Calc!$K$3:$K$22*(Calc!$G$3:$G$22&gt;B1882)*(Calc!$G$3:$G$22-B1882)*Calc!$I$3:$I$22)</f>
        <v/>
      </c>
      <c r="P1882">
        <f>I1882-G1882^2/k_n</f>
        <v/>
      </c>
      <c r="Q1882">
        <f>J1882-H1882^2/k_n</f>
        <v/>
      </c>
      <c r="R1882">
        <f>K1882-G1882*H1882/k_n</f>
        <v/>
      </c>
      <c r="S1882">
        <f>L1882-LTP3!$D$3*G1882/k_n</f>
        <v/>
      </c>
      <c r="T1882">
        <f>M1882-LTP3!$D$3*H1882/k_n</f>
        <v/>
      </c>
      <c r="U1882">
        <f>N1882-G1882*LTP3!$D$4/k_n</f>
        <v/>
      </c>
      <c r="V1882">
        <f>O1882-H1882*LTP3!$D$4/k_n</f>
        <v/>
      </c>
      <c r="W1882">
        <f>((LTP3!$D$5)*((P1882)*(Q1882)-(R1882)*(R1882))-(S1882)*((S1882)*(Q1882)-(R1882)*(T1882))+(T1882)*((S1882)*(R1882)-(P1882)*(T1882)))</f>
        <v/>
      </c>
      <c r="X1882">
        <f>IF(ABS(W1882)&gt;1E-12,((LTP3!$D$6)*((P1882)*(Q1882)-(R1882)*(R1882))-(S1882)*((U1882)*(Q1882)-(R1882)*(V1882))+(T1882)*((U1882)*(R1882)-(P1882)*(V1882)))/W1882,0)</f>
        <v/>
      </c>
      <c r="Y1882">
        <f>IF(ABS(W1882)&gt;1E-12,((LTP3!$D$5)*((U1882)*(Q1882)-(R1882)*(V1882))-(LTP3!$D$6)*((S1882)*(Q1882)-(R1882)*(T1882))+(T1882)*((S1882)*(V1882)-(U1882)*(T1882)))/W1882,0)</f>
        <v/>
      </c>
      <c r="Z1882">
        <f>IF(ABS(W1882)&gt;1E-12,((LTP3!$D$5)*((P1882)*(V1882)-(U1882)*(R1882))-(S1882)*((S1882)*(V1882)-(U1882)*(T1882))+(LTP3!$D$6)*((S1882)*(R1882)-(P1882)*(T1882)))/W1882,0)</f>
        <v/>
      </c>
      <c r="AA1882">
        <f>LTP3!$D$7-X1882*LTP3!$D$6-Y1882*U1882-Z1882*V1882</f>
        <v/>
      </c>
      <c r="AB1882">
        <f>IF(AND(F1882,ABS(W1882)&gt;1E-12,Y1882&gt;0,Z1882&gt;0),AA1882,1E+300)</f>
        <v/>
      </c>
    </row>
    <row r="1883">
      <c r="A1883">
        <f>$B$3+$B$5*30</f>
        <v/>
      </c>
      <c r="B1883">
        <f>$B$3+$B$5*41</f>
        <v/>
      </c>
      <c r="C1883">
        <f>SUMPRODUCT(Calc!$K$3:$K$22*(Calc!$G$3:$G$22&lt;=A1883))</f>
        <v/>
      </c>
      <c r="D1883">
        <f>SUMPRODUCT(Calc!$K$3:$K$22*(Calc!$G$3:$G$22&gt;A1883)*(Calc!$G$3:$G$22&lt;B1883))</f>
        <v/>
      </c>
      <c r="E1883">
        <f>SUMPRODUCT(Calc!$K$3:$K$22*(Calc!$G$3:$G$22&gt;=B1883))</f>
        <v/>
      </c>
      <c r="F1883">
        <f>AND(k_n&gt;=5,B1883&gt;A1883+1E-9,C1883&gt;=2,D1883&gt;=1,E1883&gt;=2)</f>
        <v/>
      </c>
      <c r="G1883">
        <f>SUMPRODUCT(Calc!$K$3:$K$22*(Calc!$G$3:$G$22&gt;A1883)*(Calc!$G$3:$G$22-A1883))</f>
        <v/>
      </c>
      <c r="H1883">
        <f>SUMPRODUCT(Calc!$K$3:$K$22*(Calc!$G$3:$G$22&gt;B1883)*(Calc!$G$3:$G$22-B1883))</f>
        <v/>
      </c>
      <c r="I1883">
        <f>SUMPRODUCT(Calc!$K$3:$K$22*(Calc!$G$3:$G$22&gt;A1883)*(Calc!$G$3:$G$22-A1883)^2)</f>
        <v/>
      </c>
      <c r="J1883">
        <f>SUMPRODUCT(Calc!$K$3:$K$22*(Calc!$G$3:$G$22&gt;B1883)*(Calc!$G$3:$G$22-B1883)^2)</f>
        <v/>
      </c>
      <c r="K1883">
        <f>SUMPRODUCT(Calc!$K$3:$K$22*(Calc!$G$3:$G$22&gt;A1883)*(Calc!$G$3:$G$22-A1883)*(Calc!$G$3:$G$22&gt;B1883)*(Calc!$G$3:$G$22-B1883))</f>
        <v/>
      </c>
      <c r="L1883">
        <f>SUMPRODUCT(Calc!$K$3:$K$22*(Calc!$G$3:$G$22&gt;A1883)*(Calc!$G$3:$G$22-A1883)*Calc!$G$3:$G$22)</f>
        <v/>
      </c>
      <c r="M1883">
        <f>SUMPRODUCT(Calc!$K$3:$K$22*(Calc!$G$3:$G$22&gt;B1883)*(Calc!$G$3:$G$22-B1883)*Calc!$G$3:$G$22)</f>
        <v/>
      </c>
      <c r="N1883">
        <f>SUMPRODUCT(Calc!$K$3:$K$22*(Calc!$G$3:$G$22&gt;A1883)*(Calc!$G$3:$G$22-A1883)*Calc!$I$3:$I$22)</f>
        <v/>
      </c>
      <c r="O1883">
        <f>SUMPRODUCT(Calc!$K$3:$K$22*(Calc!$G$3:$G$22&gt;B1883)*(Calc!$G$3:$G$22-B1883)*Calc!$I$3:$I$22)</f>
        <v/>
      </c>
      <c r="P1883">
        <f>I1883-G1883^2/k_n</f>
        <v/>
      </c>
      <c r="Q1883">
        <f>J1883-H1883^2/k_n</f>
        <v/>
      </c>
      <c r="R1883">
        <f>K1883-G1883*H1883/k_n</f>
        <v/>
      </c>
      <c r="S1883">
        <f>L1883-LTP3!$D$3*G1883/k_n</f>
        <v/>
      </c>
      <c r="T1883">
        <f>M1883-LTP3!$D$3*H1883/k_n</f>
        <v/>
      </c>
      <c r="U1883">
        <f>N1883-G1883*LTP3!$D$4/k_n</f>
        <v/>
      </c>
      <c r="V1883">
        <f>O1883-H1883*LTP3!$D$4/k_n</f>
        <v/>
      </c>
      <c r="W1883">
        <f>((LTP3!$D$5)*((P1883)*(Q1883)-(R1883)*(R1883))-(S1883)*((S1883)*(Q1883)-(R1883)*(T1883))+(T1883)*((S1883)*(R1883)-(P1883)*(T1883)))</f>
        <v/>
      </c>
      <c r="X1883">
        <f>IF(ABS(W1883)&gt;1E-12,((LTP3!$D$6)*((P1883)*(Q1883)-(R1883)*(R1883))-(S1883)*((U1883)*(Q1883)-(R1883)*(V1883))+(T1883)*((U1883)*(R1883)-(P1883)*(V1883)))/W1883,0)</f>
        <v/>
      </c>
      <c r="Y1883">
        <f>IF(ABS(W1883)&gt;1E-12,((LTP3!$D$5)*((U1883)*(Q1883)-(R1883)*(V1883))-(LTP3!$D$6)*((S1883)*(Q1883)-(R1883)*(T1883))+(T1883)*((S1883)*(V1883)-(U1883)*(T1883)))/W1883,0)</f>
        <v/>
      </c>
      <c r="Z1883">
        <f>IF(ABS(W1883)&gt;1E-12,((LTP3!$D$5)*((P1883)*(V1883)-(U1883)*(R1883))-(S1883)*((S1883)*(V1883)-(U1883)*(T1883))+(LTP3!$D$6)*((S1883)*(R1883)-(P1883)*(T1883)))/W1883,0)</f>
        <v/>
      </c>
      <c r="AA1883">
        <f>LTP3!$D$7-X1883*LTP3!$D$6-Y1883*U1883-Z1883*V1883</f>
        <v/>
      </c>
      <c r="AB1883">
        <f>IF(AND(F1883,ABS(W1883)&gt;1E-12,Y1883&gt;0,Z1883&gt;0),AA1883,1E+300)</f>
        <v/>
      </c>
    </row>
    <row r="1884">
      <c r="A1884">
        <f>$B$3+$B$5*30</f>
        <v/>
      </c>
      <c r="B1884">
        <f>$B$3+$B$5*42</f>
        <v/>
      </c>
      <c r="C1884">
        <f>SUMPRODUCT(Calc!$K$3:$K$22*(Calc!$G$3:$G$22&lt;=A1884))</f>
        <v/>
      </c>
      <c r="D1884">
        <f>SUMPRODUCT(Calc!$K$3:$K$22*(Calc!$G$3:$G$22&gt;A1884)*(Calc!$G$3:$G$22&lt;B1884))</f>
        <v/>
      </c>
      <c r="E1884">
        <f>SUMPRODUCT(Calc!$K$3:$K$22*(Calc!$G$3:$G$22&gt;=B1884))</f>
        <v/>
      </c>
      <c r="F1884">
        <f>AND(k_n&gt;=5,B1884&gt;A1884+1E-9,C1884&gt;=2,D1884&gt;=1,E1884&gt;=2)</f>
        <v/>
      </c>
      <c r="G1884">
        <f>SUMPRODUCT(Calc!$K$3:$K$22*(Calc!$G$3:$G$22&gt;A1884)*(Calc!$G$3:$G$22-A1884))</f>
        <v/>
      </c>
      <c r="H1884">
        <f>SUMPRODUCT(Calc!$K$3:$K$22*(Calc!$G$3:$G$22&gt;B1884)*(Calc!$G$3:$G$22-B1884))</f>
        <v/>
      </c>
      <c r="I1884">
        <f>SUMPRODUCT(Calc!$K$3:$K$22*(Calc!$G$3:$G$22&gt;A1884)*(Calc!$G$3:$G$22-A1884)^2)</f>
        <v/>
      </c>
      <c r="J1884">
        <f>SUMPRODUCT(Calc!$K$3:$K$22*(Calc!$G$3:$G$22&gt;B1884)*(Calc!$G$3:$G$22-B1884)^2)</f>
        <v/>
      </c>
      <c r="K1884">
        <f>SUMPRODUCT(Calc!$K$3:$K$22*(Calc!$G$3:$G$22&gt;A1884)*(Calc!$G$3:$G$22-A1884)*(Calc!$G$3:$G$22&gt;B1884)*(Calc!$G$3:$G$22-B1884))</f>
        <v/>
      </c>
      <c r="L1884">
        <f>SUMPRODUCT(Calc!$K$3:$K$22*(Calc!$G$3:$G$22&gt;A1884)*(Calc!$G$3:$G$22-A1884)*Calc!$G$3:$G$22)</f>
        <v/>
      </c>
      <c r="M1884">
        <f>SUMPRODUCT(Calc!$K$3:$K$22*(Calc!$G$3:$G$22&gt;B1884)*(Calc!$G$3:$G$22-B1884)*Calc!$G$3:$G$22)</f>
        <v/>
      </c>
      <c r="N1884">
        <f>SUMPRODUCT(Calc!$K$3:$K$22*(Calc!$G$3:$G$22&gt;A1884)*(Calc!$G$3:$G$22-A1884)*Calc!$I$3:$I$22)</f>
        <v/>
      </c>
      <c r="O1884">
        <f>SUMPRODUCT(Calc!$K$3:$K$22*(Calc!$G$3:$G$22&gt;B1884)*(Calc!$G$3:$G$22-B1884)*Calc!$I$3:$I$22)</f>
        <v/>
      </c>
      <c r="P1884">
        <f>I1884-G1884^2/k_n</f>
        <v/>
      </c>
      <c r="Q1884">
        <f>J1884-H1884^2/k_n</f>
        <v/>
      </c>
      <c r="R1884">
        <f>K1884-G1884*H1884/k_n</f>
        <v/>
      </c>
      <c r="S1884">
        <f>L1884-LTP3!$D$3*G1884/k_n</f>
        <v/>
      </c>
      <c r="T1884">
        <f>M1884-LTP3!$D$3*H1884/k_n</f>
        <v/>
      </c>
      <c r="U1884">
        <f>N1884-G1884*LTP3!$D$4/k_n</f>
        <v/>
      </c>
      <c r="V1884">
        <f>O1884-H1884*LTP3!$D$4/k_n</f>
        <v/>
      </c>
      <c r="W1884">
        <f>((LTP3!$D$5)*((P1884)*(Q1884)-(R1884)*(R1884))-(S1884)*((S1884)*(Q1884)-(R1884)*(T1884))+(T1884)*((S1884)*(R1884)-(P1884)*(T1884)))</f>
        <v/>
      </c>
      <c r="X1884">
        <f>IF(ABS(W1884)&gt;1E-12,((LTP3!$D$6)*((P1884)*(Q1884)-(R1884)*(R1884))-(S1884)*((U1884)*(Q1884)-(R1884)*(V1884))+(T1884)*((U1884)*(R1884)-(P1884)*(V1884)))/W1884,0)</f>
        <v/>
      </c>
      <c r="Y1884">
        <f>IF(ABS(W1884)&gt;1E-12,((LTP3!$D$5)*((U1884)*(Q1884)-(R1884)*(V1884))-(LTP3!$D$6)*((S1884)*(Q1884)-(R1884)*(T1884))+(T1884)*((S1884)*(V1884)-(U1884)*(T1884)))/W1884,0)</f>
        <v/>
      </c>
      <c r="Z1884">
        <f>IF(ABS(W1884)&gt;1E-12,((LTP3!$D$5)*((P1884)*(V1884)-(U1884)*(R1884))-(S1884)*((S1884)*(V1884)-(U1884)*(T1884))+(LTP3!$D$6)*((S1884)*(R1884)-(P1884)*(T1884)))/W1884,0)</f>
        <v/>
      </c>
      <c r="AA1884">
        <f>LTP3!$D$7-X1884*LTP3!$D$6-Y1884*U1884-Z1884*V1884</f>
        <v/>
      </c>
      <c r="AB1884">
        <f>IF(AND(F1884,ABS(W1884)&gt;1E-12,Y1884&gt;0,Z1884&gt;0),AA1884,1E+300)</f>
        <v/>
      </c>
    </row>
    <row r="1885">
      <c r="A1885">
        <f>$B$3+$B$5*30</f>
        <v/>
      </c>
      <c r="B1885">
        <f>$B$3+$B$5*43</f>
        <v/>
      </c>
      <c r="C1885">
        <f>SUMPRODUCT(Calc!$K$3:$K$22*(Calc!$G$3:$G$22&lt;=A1885))</f>
        <v/>
      </c>
      <c r="D1885">
        <f>SUMPRODUCT(Calc!$K$3:$K$22*(Calc!$G$3:$G$22&gt;A1885)*(Calc!$G$3:$G$22&lt;B1885))</f>
        <v/>
      </c>
      <c r="E1885">
        <f>SUMPRODUCT(Calc!$K$3:$K$22*(Calc!$G$3:$G$22&gt;=B1885))</f>
        <v/>
      </c>
      <c r="F1885">
        <f>AND(k_n&gt;=5,B1885&gt;A1885+1E-9,C1885&gt;=2,D1885&gt;=1,E1885&gt;=2)</f>
        <v/>
      </c>
      <c r="G1885">
        <f>SUMPRODUCT(Calc!$K$3:$K$22*(Calc!$G$3:$G$22&gt;A1885)*(Calc!$G$3:$G$22-A1885))</f>
        <v/>
      </c>
      <c r="H1885">
        <f>SUMPRODUCT(Calc!$K$3:$K$22*(Calc!$G$3:$G$22&gt;B1885)*(Calc!$G$3:$G$22-B1885))</f>
        <v/>
      </c>
      <c r="I1885">
        <f>SUMPRODUCT(Calc!$K$3:$K$22*(Calc!$G$3:$G$22&gt;A1885)*(Calc!$G$3:$G$22-A1885)^2)</f>
        <v/>
      </c>
      <c r="J1885">
        <f>SUMPRODUCT(Calc!$K$3:$K$22*(Calc!$G$3:$G$22&gt;B1885)*(Calc!$G$3:$G$22-B1885)^2)</f>
        <v/>
      </c>
      <c r="K1885">
        <f>SUMPRODUCT(Calc!$K$3:$K$22*(Calc!$G$3:$G$22&gt;A1885)*(Calc!$G$3:$G$22-A1885)*(Calc!$G$3:$G$22&gt;B1885)*(Calc!$G$3:$G$22-B1885))</f>
        <v/>
      </c>
      <c r="L1885">
        <f>SUMPRODUCT(Calc!$K$3:$K$22*(Calc!$G$3:$G$22&gt;A1885)*(Calc!$G$3:$G$22-A1885)*Calc!$G$3:$G$22)</f>
        <v/>
      </c>
      <c r="M1885">
        <f>SUMPRODUCT(Calc!$K$3:$K$22*(Calc!$G$3:$G$22&gt;B1885)*(Calc!$G$3:$G$22-B1885)*Calc!$G$3:$G$22)</f>
        <v/>
      </c>
      <c r="N1885">
        <f>SUMPRODUCT(Calc!$K$3:$K$22*(Calc!$G$3:$G$22&gt;A1885)*(Calc!$G$3:$G$22-A1885)*Calc!$I$3:$I$22)</f>
        <v/>
      </c>
      <c r="O1885">
        <f>SUMPRODUCT(Calc!$K$3:$K$22*(Calc!$G$3:$G$22&gt;B1885)*(Calc!$G$3:$G$22-B1885)*Calc!$I$3:$I$22)</f>
        <v/>
      </c>
      <c r="P1885">
        <f>I1885-G1885^2/k_n</f>
        <v/>
      </c>
      <c r="Q1885">
        <f>J1885-H1885^2/k_n</f>
        <v/>
      </c>
      <c r="R1885">
        <f>K1885-G1885*H1885/k_n</f>
        <v/>
      </c>
      <c r="S1885">
        <f>L1885-LTP3!$D$3*G1885/k_n</f>
        <v/>
      </c>
      <c r="T1885">
        <f>M1885-LTP3!$D$3*H1885/k_n</f>
        <v/>
      </c>
      <c r="U1885">
        <f>N1885-G1885*LTP3!$D$4/k_n</f>
        <v/>
      </c>
      <c r="V1885">
        <f>O1885-H1885*LTP3!$D$4/k_n</f>
        <v/>
      </c>
      <c r="W1885">
        <f>((LTP3!$D$5)*((P1885)*(Q1885)-(R1885)*(R1885))-(S1885)*((S1885)*(Q1885)-(R1885)*(T1885))+(T1885)*((S1885)*(R1885)-(P1885)*(T1885)))</f>
        <v/>
      </c>
      <c r="X1885">
        <f>IF(ABS(W1885)&gt;1E-12,((LTP3!$D$6)*((P1885)*(Q1885)-(R1885)*(R1885))-(S1885)*((U1885)*(Q1885)-(R1885)*(V1885))+(T1885)*((U1885)*(R1885)-(P1885)*(V1885)))/W1885,0)</f>
        <v/>
      </c>
      <c r="Y1885">
        <f>IF(ABS(W1885)&gt;1E-12,((LTP3!$D$5)*((U1885)*(Q1885)-(R1885)*(V1885))-(LTP3!$D$6)*((S1885)*(Q1885)-(R1885)*(T1885))+(T1885)*((S1885)*(V1885)-(U1885)*(T1885)))/W1885,0)</f>
        <v/>
      </c>
      <c r="Z1885">
        <f>IF(ABS(W1885)&gt;1E-12,((LTP3!$D$5)*((P1885)*(V1885)-(U1885)*(R1885))-(S1885)*((S1885)*(V1885)-(U1885)*(T1885))+(LTP3!$D$6)*((S1885)*(R1885)-(P1885)*(T1885)))/W1885,0)</f>
        <v/>
      </c>
      <c r="AA1885">
        <f>LTP3!$D$7-X1885*LTP3!$D$6-Y1885*U1885-Z1885*V1885</f>
        <v/>
      </c>
      <c r="AB1885">
        <f>IF(AND(F1885,ABS(W1885)&gt;1E-12,Y1885&gt;0,Z1885&gt;0),AA1885,1E+300)</f>
        <v/>
      </c>
    </row>
    <row r="1886">
      <c r="A1886">
        <f>$B$3+$B$5*30</f>
        <v/>
      </c>
      <c r="B1886">
        <f>$B$3+$B$5*44</f>
        <v/>
      </c>
      <c r="C1886">
        <f>SUMPRODUCT(Calc!$K$3:$K$22*(Calc!$G$3:$G$22&lt;=A1886))</f>
        <v/>
      </c>
      <c r="D1886">
        <f>SUMPRODUCT(Calc!$K$3:$K$22*(Calc!$G$3:$G$22&gt;A1886)*(Calc!$G$3:$G$22&lt;B1886))</f>
        <v/>
      </c>
      <c r="E1886">
        <f>SUMPRODUCT(Calc!$K$3:$K$22*(Calc!$G$3:$G$22&gt;=B1886))</f>
        <v/>
      </c>
      <c r="F1886">
        <f>AND(k_n&gt;=5,B1886&gt;A1886+1E-9,C1886&gt;=2,D1886&gt;=1,E1886&gt;=2)</f>
        <v/>
      </c>
      <c r="G1886">
        <f>SUMPRODUCT(Calc!$K$3:$K$22*(Calc!$G$3:$G$22&gt;A1886)*(Calc!$G$3:$G$22-A1886))</f>
        <v/>
      </c>
      <c r="H1886">
        <f>SUMPRODUCT(Calc!$K$3:$K$22*(Calc!$G$3:$G$22&gt;B1886)*(Calc!$G$3:$G$22-B1886))</f>
        <v/>
      </c>
      <c r="I1886">
        <f>SUMPRODUCT(Calc!$K$3:$K$22*(Calc!$G$3:$G$22&gt;A1886)*(Calc!$G$3:$G$22-A1886)^2)</f>
        <v/>
      </c>
      <c r="J1886">
        <f>SUMPRODUCT(Calc!$K$3:$K$22*(Calc!$G$3:$G$22&gt;B1886)*(Calc!$G$3:$G$22-B1886)^2)</f>
        <v/>
      </c>
      <c r="K1886">
        <f>SUMPRODUCT(Calc!$K$3:$K$22*(Calc!$G$3:$G$22&gt;A1886)*(Calc!$G$3:$G$22-A1886)*(Calc!$G$3:$G$22&gt;B1886)*(Calc!$G$3:$G$22-B1886))</f>
        <v/>
      </c>
      <c r="L1886">
        <f>SUMPRODUCT(Calc!$K$3:$K$22*(Calc!$G$3:$G$22&gt;A1886)*(Calc!$G$3:$G$22-A1886)*Calc!$G$3:$G$22)</f>
        <v/>
      </c>
      <c r="M1886">
        <f>SUMPRODUCT(Calc!$K$3:$K$22*(Calc!$G$3:$G$22&gt;B1886)*(Calc!$G$3:$G$22-B1886)*Calc!$G$3:$G$22)</f>
        <v/>
      </c>
      <c r="N1886">
        <f>SUMPRODUCT(Calc!$K$3:$K$22*(Calc!$G$3:$G$22&gt;A1886)*(Calc!$G$3:$G$22-A1886)*Calc!$I$3:$I$22)</f>
        <v/>
      </c>
      <c r="O1886">
        <f>SUMPRODUCT(Calc!$K$3:$K$22*(Calc!$G$3:$G$22&gt;B1886)*(Calc!$G$3:$G$22-B1886)*Calc!$I$3:$I$22)</f>
        <v/>
      </c>
      <c r="P1886">
        <f>I1886-G1886^2/k_n</f>
        <v/>
      </c>
      <c r="Q1886">
        <f>J1886-H1886^2/k_n</f>
        <v/>
      </c>
      <c r="R1886">
        <f>K1886-G1886*H1886/k_n</f>
        <v/>
      </c>
      <c r="S1886">
        <f>L1886-LTP3!$D$3*G1886/k_n</f>
        <v/>
      </c>
      <c r="T1886">
        <f>M1886-LTP3!$D$3*H1886/k_n</f>
        <v/>
      </c>
      <c r="U1886">
        <f>N1886-G1886*LTP3!$D$4/k_n</f>
        <v/>
      </c>
      <c r="V1886">
        <f>O1886-H1886*LTP3!$D$4/k_n</f>
        <v/>
      </c>
      <c r="W1886">
        <f>((LTP3!$D$5)*((P1886)*(Q1886)-(R1886)*(R1886))-(S1886)*((S1886)*(Q1886)-(R1886)*(T1886))+(T1886)*((S1886)*(R1886)-(P1886)*(T1886)))</f>
        <v/>
      </c>
      <c r="X1886">
        <f>IF(ABS(W1886)&gt;1E-12,((LTP3!$D$6)*((P1886)*(Q1886)-(R1886)*(R1886))-(S1886)*((U1886)*(Q1886)-(R1886)*(V1886))+(T1886)*((U1886)*(R1886)-(P1886)*(V1886)))/W1886,0)</f>
        <v/>
      </c>
      <c r="Y1886">
        <f>IF(ABS(W1886)&gt;1E-12,((LTP3!$D$5)*((U1886)*(Q1886)-(R1886)*(V1886))-(LTP3!$D$6)*((S1886)*(Q1886)-(R1886)*(T1886))+(T1886)*((S1886)*(V1886)-(U1886)*(T1886)))/W1886,0)</f>
        <v/>
      </c>
      <c r="Z1886">
        <f>IF(ABS(W1886)&gt;1E-12,((LTP3!$D$5)*((P1886)*(V1886)-(U1886)*(R1886))-(S1886)*((S1886)*(V1886)-(U1886)*(T1886))+(LTP3!$D$6)*((S1886)*(R1886)-(P1886)*(T1886)))/W1886,0)</f>
        <v/>
      </c>
      <c r="AA1886">
        <f>LTP3!$D$7-X1886*LTP3!$D$6-Y1886*U1886-Z1886*V1886</f>
        <v/>
      </c>
      <c r="AB1886">
        <f>IF(AND(F1886,ABS(W1886)&gt;1E-12,Y1886&gt;0,Z1886&gt;0),AA1886,1E+300)</f>
        <v/>
      </c>
    </row>
    <row r="1887">
      <c r="A1887">
        <f>$B$3+$B$5*30</f>
        <v/>
      </c>
      <c r="B1887">
        <f>$B$3+$B$5*45</f>
        <v/>
      </c>
      <c r="C1887">
        <f>SUMPRODUCT(Calc!$K$3:$K$22*(Calc!$G$3:$G$22&lt;=A1887))</f>
        <v/>
      </c>
      <c r="D1887">
        <f>SUMPRODUCT(Calc!$K$3:$K$22*(Calc!$G$3:$G$22&gt;A1887)*(Calc!$G$3:$G$22&lt;B1887))</f>
        <v/>
      </c>
      <c r="E1887">
        <f>SUMPRODUCT(Calc!$K$3:$K$22*(Calc!$G$3:$G$22&gt;=B1887))</f>
        <v/>
      </c>
      <c r="F1887">
        <f>AND(k_n&gt;=5,B1887&gt;A1887+1E-9,C1887&gt;=2,D1887&gt;=1,E1887&gt;=2)</f>
        <v/>
      </c>
      <c r="G1887">
        <f>SUMPRODUCT(Calc!$K$3:$K$22*(Calc!$G$3:$G$22&gt;A1887)*(Calc!$G$3:$G$22-A1887))</f>
        <v/>
      </c>
      <c r="H1887">
        <f>SUMPRODUCT(Calc!$K$3:$K$22*(Calc!$G$3:$G$22&gt;B1887)*(Calc!$G$3:$G$22-B1887))</f>
        <v/>
      </c>
      <c r="I1887">
        <f>SUMPRODUCT(Calc!$K$3:$K$22*(Calc!$G$3:$G$22&gt;A1887)*(Calc!$G$3:$G$22-A1887)^2)</f>
        <v/>
      </c>
      <c r="J1887">
        <f>SUMPRODUCT(Calc!$K$3:$K$22*(Calc!$G$3:$G$22&gt;B1887)*(Calc!$G$3:$G$22-B1887)^2)</f>
        <v/>
      </c>
      <c r="K1887">
        <f>SUMPRODUCT(Calc!$K$3:$K$22*(Calc!$G$3:$G$22&gt;A1887)*(Calc!$G$3:$G$22-A1887)*(Calc!$G$3:$G$22&gt;B1887)*(Calc!$G$3:$G$22-B1887))</f>
        <v/>
      </c>
      <c r="L1887">
        <f>SUMPRODUCT(Calc!$K$3:$K$22*(Calc!$G$3:$G$22&gt;A1887)*(Calc!$G$3:$G$22-A1887)*Calc!$G$3:$G$22)</f>
        <v/>
      </c>
      <c r="M1887">
        <f>SUMPRODUCT(Calc!$K$3:$K$22*(Calc!$G$3:$G$22&gt;B1887)*(Calc!$G$3:$G$22-B1887)*Calc!$G$3:$G$22)</f>
        <v/>
      </c>
      <c r="N1887">
        <f>SUMPRODUCT(Calc!$K$3:$K$22*(Calc!$G$3:$G$22&gt;A1887)*(Calc!$G$3:$G$22-A1887)*Calc!$I$3:$I$22)</f>
        <v/>
      </c>
      <c r="O1887">
        <f>SUMPRODUCT(Calc!$K$3:$K$22*(Calc!$G$3:$G$22&gt;B1887)*(Calc!$G$3:$G$22-B1887)*Calc!$I$3:$I$22)</f>
        <v/>
      </c>
      <c r="P1887">
        <f>I1887-G1887^2/k_n</f>
        <v/>
      </c>
      <c r="Q1887">
        <f>J1887-H1887^2/k_n</f>
        <v/>
      </c>
      <c r="R1887">
        <f>K1887-G1887*H1887/k_n</f>
        <v/>
      </c>
      <c r="S1887">
        <f>L1887-LTP3!$D$3*G1887/k_n</f>
        <v/>
      </c>
      <c r="T1887">
        <f>M1887-LTP3!$D$3*H1887/k_n</f>
        <v/>
      </c>
      <c r="U1887">
        <f>N1887-G1887*LTP3!$D$4/k_n</f>
        <v/>
      </c>
      <c r="V1887">
        <f>O1887-H1887*LTP3!$D$4/k_n</f>
        <v/>
      </c>
      <c r="W1887">
        <f>((LTP3!$D$5)*((P1887)*(Q1887)-(R1887)*(R1887))-(S1887)*((S1887)*(Q1887)-(R1887)*(T1887))+(T1887)*((S1887)*(R1887)-(P1887)*(T1887)))</f>
        <v/>
      </c>
      <c r="X1887">
        <f>IF(ABS(W1887)&gt;1E-12,((LTP3!$D$6)*((P1887)*(Q1887)-(R1887)*(R1887))-(S1887)*((U1887)*(Q1887)-(R1887)*(V1887))+(T1887)*((U1887)*(R1887)-(P1887)*(V1887)))/W1887,0)</f>
        <v/>
      </c>
      <c r="Y1887">
        <f>IF(ABS(W1887)&gt;1E-12,((LTP3!$D$5)*((U1887)*(Q1887)-(R1887)*(V1887))-(LTP3!$D$6)*((S1887)*(Q1887)-(R1887)*(T1887))+(T1887)*((S1887)*(V1887)-(U1887)*(T1887)))/W1887,0)</f>
        <v/>
      </c>
      <c r="Z1887">
        <f>IF(ABS(W1887)&gt;1E-12,((LTP3!$D$5)*((P1887)*(V1887)-(U1887)*(R1887))-(S1887)*((S1887)*(V1887)-(U1887)*(T1887))+(LTP3!$D$6)*((S1887)*(R1887)-(P1887)*(T1887)))/W1887,0)</f>
        <v/>
      </c>
      <c r="AA1887">
        <f>LTP3!$D$7-X1887*LTP3!$D$6-Y1887*U1887-Z1887*V1887</f>
        <v/>
      </c>
      <c r="AB1887">
        <f>IF(AND(F1887,ABS(W1887)&gt;1E-12,Y1887&gt;0,Z1887&gt;0),AA1887,1E+300)</f>
        <v/>
      </c>
    </row>
    <row r="1888">
      <c r="A1888">
        <f>$B$3+$B$5*30</f>
        <v/>
      </c>
      <c r="B1888">
        <f>$B$3+$B$5*46</f>
        <v/>
      </c>
      <c r="C1888">
        <f>SUMPRODUCT(Calc!$K$3:$K$22*(Calc!$G$3:$G$22&lt;=A1888))</f>
        <v/>
      </c>
      <c r="D1888">
        <f>SUMPRODUCT(Calc!$K$3:$K$22*(Calc!$G$3:$G$22&gt;A1888)*(Calc!$G$3:$G$22&lt;B1888))</f>
        <v/>
      </c>
      <c r="E1888">
        <f>SUMPRODUCT(Calc!$K$3:$K$22*(Calc!$G$3:$G$22&gt;=B1888))</f>
        <v/>
      </c>
      <c r="F1888">
        <f>AND(k_n&gt;=5,B1888&gt;A1888+1E-9,C1888&gt;=2,D1888&gt;=1,E1888&gt;=2)</f>
        <v/>
      </c>
      <c r="G1888">
        <f>SUMPRODUCT(Calc!$K$3:$K$22*(Calc!$G$3:$G$22&gt;A1888)*(Calc!$G$3:$G$22-A1888))</f>
        <v/>
      </c>
      <c r="H1888">
        <f>SUMPRODUCT(Calc!$K$3:$K$22*(Calc!$G$3:$G$22&gt;B1888)*(Calc!$G$3:$G$22-B1888))</f>
        <v/>
      </c>
      <c r="I1888">
        <f>SUMPRODUCT(Calc!$K$3:$K$22*(Calc!$G$3:$G$22&gt;A1888)*(Calc!$G$3:$G$22-A1888)^2)</f>
        <v/>
      </c>
      <c r="J1888">
        <f>SUMPRODUCT(Calc!$K$3:$K$22*(Calc!$G$3:$G$22&gt;B1888)*(Calc!$G$3:$G$22-B1888)^2)</f>
        <v/>
      </c>
      <c r="K1888">
        <f>SUMPRODUCT(Calc!$K$3:$K$22*(Calc!$G$3:$G$22&gt;A1888)*(Calc!$G$3:$G$22-A1888)*(Calc!$G$3:$G$22&gt;B1888)*(Calc!$G$3:$G$22-B1888))</f>
        <v/>
      </c>
      <c r="L1888">
        <f>SUMPRODUCT(Calc!$K$3:$K$22*(Calc!$G$3:$G$22&gt;A1888)*(Calc!$G$3:$G$22-A1888)*Calc!$G$3:$G$22)</f>
        <v/>
      </c>
      <c r="M1888">
        <f>SUMPRODUCT(Calc!$K$3:$K$22*(Calc!$G$3:$G$22&gt;B1888)*(Calc!$G$3:$G$22-B1888)*Calc!$G$3:$G$22)</f>
        <v/>
      </c>
      <c r="N1888">
        <f>SUMPRODUCT(Calc!$K$3:$K$22*(Calc!$G$3:$G$22&gt;A1888)*(Calc!$G$3:$G$22-A1888)*Calc!$I$3:$I$22)</f>
        <v/>
      </c>
      <c r="O1888">
        <f>SUMPRODUCT(Calc!$K$3:$K$22*(Calc!$G$3:$G$22&gt;B1888)*(Calc!$G$3:$G$22-B1888)*Calc!$I$3:$I$22)</f>
        <v/>
      </c>
      <c r="P1888">
        <f>I1888-G1888^2/k_n</f>
        <v/>
      </c>
      <c r="Q1888">
        <f>J1888-H1888^2/k_n</f>
        <v/>
      </c>
      <c r="R1888">
        <f>K1888-G1888*H1888/k_n</f>
        <v/>
      </c>
      <c r="S1888">
        <f>L1888-LTP3!$D$3*G1888/k_n</f>
        <v/>
      </c>
      <c r="T1888">
        <f>M1888-LTP3!$D$3*H1888/k_n</f>
        <v/>
      </c>
      <c r="U1888">
        <f>N1888-G1888*LTP3!$D$4/k_n</f>
        <v/>
      </c>
      <c r="V1888">
        <f>O1888-H1888*LTP3!$D$4/k_n</f>
        <v/>
      </c>
      <c r="W1888">
        <f>((LTP3!$D$5)*((P1888)*(Q1888)-(R1888)*(R1888))-(S1888)*((S1888)*(Q1888)-(R1888)*(T1888))+(T1888)*((S1888)*(R1888)-(P1888)*(T1888)))</f>
        <v/>
      </c>
      <c r="X1888">
        <f>IF(ABS(W1888)&gt;1E-12,((LTP3!$D$6)*((P1888)*(Q1888)-(R1888)*(R1888))-(S1888)*((U1888)*(Q1888)-(R1888)*(V1888))+(T1888)*((U1888)*(R1888)-(P1888)*(V1888)))/W1888,0)</f>
        <v/>
      </c>
      <c r="Y1888">
        <f>IF(ABS(W1888)&gt;1E-12,((LTP3!$D$5)*((U1888)*(Q1888)-(R1888)*(V1888))-(LTP3!$D$6)*((S1888)*(Q1888)-(R1888)*(T1888))+(T1888)*((S1888)*(V1888)-(U1888)*(T1888)))/W1888,0)</f>
        <v/>
      </c>
      <c r="Z1888">
        <f>IF(ABS(W1888)&gt;1E-12,((LTP3!$D$5)*((P1888)*(V1888)-(U1888)*(R1888))-(S1888)*((S1888)*(V1888)-(U1888)*(T1888))+(LTP3!$D$6)*((S1888)*(R1888)-(P1888)*(T1888)))/W1888,0)</f>
        <v/>
      </c>
      <c r="AA1888">
        <f>LTP3!$D$7-X1888*LTP3!$D$6-Y1888*U1888-Z1888*V1888</f>
        <v/>
      </c>
      <c r="AB1888">
        <f>IF(AND(F1888,ABS(W1888)&gt;1E-12,Y1888&gt;0,Z1888&gt;0),AA1888,1E+300)</f>
        <v/>
      </c>
    </row>
    <row r="1889">
      <c r="A1889">
        <f>$B$3+$B$5*30</f>
        <v/>
      </c>
      <c r="B1889">
        <f>$B$3+$B$5*47</f>
        <v/>
      </c>
      <c r="C1889">
        <f>SUMPRODUCT(Calc!$K$3:$K$22*(Calc!$G$3:$G$22&lt;=A1889))</f>
        <v/>
      </c>
      <c r="D1889">
        <f>SUMPRODUCT(Calc!$K$3:$K$22*(Calc!$G$3:$G$22&gt;A1889)*(Calc!$G$3:$G$22&lt;B1889))</f>
        <v/>
      </c>
      <c r="E1889">
        <f>SUMPRODUCT(Calc!$K$3:$K$22*(Calc!$G$3:$G$22&gt;=B1889))</f>
        <v/>
      </c>
      <c r="F1889">
        <f>AND(k_n&gt;=5,B1889&gt;A1889+1E-9,C1889&gt;=2,D1889&gt;=1,E1889&gt;=2)</f>
        <v/>
      </c>
      <c r="G1889">
        <f>SUMPRODUCT(Calc!$K$3:$K$22*(Calc!$G$3:$G$22&gt;A1889)*(Calc!$G$3:$G$22-A1889))</f>
        <v/>
      </c>
      <c r="H1889">
        <f>SUMPRODUCT(Calc!$K$3:$K$22*(Calc!$G$3:$G$22&gt;B1889)*(Calc!$G$3:$G$22-B1889))</f>
        <v/>
      </c>
      <c r="I1889">
        <f>SUMPRODUCT(Calc!$K$3:$K$22*(Calc!$G$3:$G$22&gt;A1889)*(Calc!$G$3:$G$22-A1889)^2)</f>
        <v/>
      </c>
      <c r="J1889">
        <f>SUMPRODUCT(Calc!$K$3:$K$22*(Calc!$G$3:$G$22&gt;B1889)*(Calc!$G$3:$G$22-B1889)^2)</f>
        <v/>
      </c>
      <c r="K1889">
        <f>SUMPRODUCT(Calc!$K$3:$K$22*(Calc!$G$3:$G$22&gt;A1889)*(Calc!$G$3:$G$22-A1889)*(Calc!$G$3:$G$22&gt;B1889)*(Calc!$G$3:$G$22-B1889))</f>
        <v/>
      </c>
      <c r="L1889">
        <f>SUMPRODUCT(Calc!$K$3:$K$22*(Calc!$G$3:$G$22&gt;A1889)*(Calc!$G$3:$G$22-A1889)*Calc!$G$3:$G$22)</f>
        <v/>
      </c>
      <c r="M1889">
        <f>SUMPRODUCT(Calc!$K$3:$K$22*(Calc!$G$3:$G$22&gt;B1889)*(Calc!$G$3:$G$22-B1889)*Calc!$G$3:$G$22)</f>
        <v/>
      </c>
      <c r="N1889">
        <f>SUMPRODUCT(Calc!$K$3:$K$22*(Calc!$G$3:$G$22&gt;A1889)*(Calc!$G$3:$G$22-A1889)*Calc!$I$3:$I$22)</f>
        <v/>
      </c>
      <c r="O1889">
        <f>SUMPRODUCT(Calc!$K$3:$K$22*(Calc!$G$3:$G$22&gt;B1889)*(Calc!$G$3:$G$22-B1889)*Calc!$I$3:$I$22)</f>
        <v/>
      </c>
      <c r="P1889">
        <f>I1889-G1889^2/k_n</f>
        <v/>
      </c>
      <c r="Q1889">
        <f>J1889-H1889^2/k_n</f>
        <v/>
      </c>
      <c r="R1889">
        <f>K1889-G1889*H1889/k_n</f>
        <v/>
      </c>
      <c r="S1889">
        <f>L1889-LTP3!$D$3*G1889/k_n</f>
        <v/>
      </c>
      <c r="T1889">
        <f>M1889-LTP3!$D$3*H1889/k_n</f>
        <v/>
      </c>
      <c r="U1889">
        <f>N1889-G1889*LTP3!$D$4/k_n</f>
        <v/>
      </c>
      <c r="V1889">
        <f>O1889-H1889*LTP3!$D$4/k_n</f>
        <v/>
      </c>
      <c r="W1889">
        <f>((LTP3!$D$5)*((P1889)*(Q1889)-(R1889)*(R1889))-(S1889)*((S1889)*(Q1889)-(R1889)*(T1889))+(T1889)*((S1889)*(R1889)-(P1889)*(T1889)))</f>
        <v/>
      </c>
      <c r="X1889">
        <f>IF(ABS(W1889)&gt;1E-12,((LTP3!$D$6)*((P1889)*(Q1889)-(R1889)*(R1889))-(S1889)*((U1889)*(Q1889)-(R1889)*(V1889))+(T1889)*((U1889)*(R1889)-(P1889)*(V1889)))/W1889,0)</f>
        <v/>
      </c>
      <c r="Y1889">
        <f>IF(ABS(W1889)&gt;1E-12,((LTP3!$D$5)*((U1889)*(Q1889)-(R1889)*(V1889))-(LTP3!$D$6)*((S1889)*(Q1889)-(R1889)*(T1889))+(T1889)*((S1889)*(V1889)-(U1889)*(T1889)))/W1889,0)</f>
        <v/>
      </c>
      <c r="Z1889">
        <f>IF(ABS(W1889)&gt;1E-12,((LTP3!$D$5)*((P1889)*(V1889)-(U1889)*(R1889))-(S1889)*((S1889)*(V1889)-(U1889)*(T1889))+(LTP3!$D$6)*((S1889)*(R1889)-(P1889)*(T1889)))/W1889,0)</f>
        <v/>
      </c>
      <c r="AA1889">
        <f>LTP3!$D$7-X1889*LTP3!$D$6-Y1889*U1889-Z1889*V1889</f>
        <v/>
      </c>
      <c r="AB1889">
        <f>IF(AND(F1889,ABS(W1889)&gt;1E-12,Y1889&gt;0,Z1889&gt;0),AA1889,1E+300)</f>
        <v/>
      </c>
    </row>
    <row r="1890">
      <c r="A1890">
        <f>$B$3+$B$5*30</f>
        <v/>
      </c>
      <c r="B1890">
        <f>$B$3+$B$5*48</f>
        <v/>
      </c>
      <c r="C1890">
        <f>SUMPRODUCT(Calc!$K$3:$K$22*(Calc!$G$3:$G$22&lt;=A1890))</f>
        <v/>
      </c>
      <c r="D1890">
        <f>SUMPRODUCT(Calc!$K$3:$K$22*(Calc!$G$3:$G$22&gt;A1890)*(Calc!$G$3:$G$22&lt;B1890))</f>
        <v/>
      </c>
      <c r="E1890">
        <f>SUMPRODUCT(Calc!$K$3:$K$22*(Calc!$G$3:$G$22&gt;=B1890))</f>
        <v/>
      </c>
      <c r="F1890">
        <f>AND(k_n&gt;=5,B1890&gt;A1890+1E-9,C1890&gt;=2,D1890&gt;=1,E1890&gt;=2)</f>
        <v/>
      </c>
      <c r="G1890">
        <f>SUMPRODUCT(Calc!$K$3:$K$22*(Calc!$G$3:$G$22&gt;A1890)*(Calc!$G$3:$G$22-A1890))</f>
        <v/>
      </c>
      <c r="H1890">
        <f>SUMPRODUCT(Calc!$K$3:$K$22*(Calc!$G$3:$G$22&gt;B1890)*(Calc!$G$3:$G$22-B1890))</f>
        <v/>
      </c>
      <c r="I1890">
        <f>SUMPRODUCT(Calc!$K$3:$K$22*(Calc!$G$3:$G$22&gt;A1890)*(Calc!$G$3:$G$22-A1890)^2)</f>
        <v/>
      </c>
      <c r="J1890">
        <f>SUMPRODUCT(Calc!$K$3:$K$22*(Calc!$G$3:$G$22&gt;B1890)*(Calc!$G$3:$G$22-B1890)^2)</f>
        <v/>
      </c>
      <c r="K1890">
        <f>SUMPRODUCT(Calc!$K$3:$K$22*(Calc!$G$3:$G$22&gt;A1890)*(Calc!$G$3:$G$22-A1890)*(Calc!$G$3:$G$22&gt;B1890)*(Calc!$G$3:$G$22-B1890))</f>
        <v/>
      </c>
      <c r="L1890">
        <f>SUMPRODUCT(Calc!$K$3:$K$22*(Calc!$G$3:$G$22&gt;A1890)*(Calc!$G$3:$G$22-A1890)*Calc!$G$3:$G$22)</f>
        <v/>
      </c>
      <c r="M1890">
        <f>SUMPRODUCT(Calc!$K$3:$K$22*(Calc!$G$3:$G$22&gt;B1890)*(Calc!$G$3:$G$22-B1890)*Calc!$G$3:$G$22)</f>
        <v/>
      </c>
      <c r="N1890">
        <f>SUMPRODUCT(Calc!$K$3:$K$22*(Calc!$G$3:$G$22&gt;A1890)*(Calc!$G$3:$G$22-A1890)*Calc!$I$3:$I$22)</f>
        <v/>
      </c>
      <c r="O1890">
        <f>SUMPRODUCT(Calc!$K$3:$K$22*(Calc!$G$3:$G$22&gt;B1890)*(Calc!$G$3:$G$22-B1890)*Calc!$I$3:$I$22)</f>
        <v/>
      </c>
      <c r="P1890">
        <f>I1890-G1890^2/k_n</f>
        <v/>
      </c>
      <c r="Q1890">
        <f>J1890-H1890^2/k_n</f>
        <v/>
      </c>
      <c r="R1890">
        <f>K1890-G1890*H1890/k_n</f>
        <v/>
      </c>
      <c r="S1890">
        <f>L1890-LTP3!$D$3*G1890/k_n</f>
        <v/>
      </c>
      <c r="T1890">
        <f>M1890-LTP3!$D$3*H1890/k_n</f>
        <v/>
      </c>
      <c r="U1890">
        <f>N1890-G1890*LTP3!$D$4/k_n</f>
        <v/>
      </c>
      <c r="V1890">
        <f>O1890-H1890*LTP3!$D$4/k_n</f>
        <v/>
      </c>
      <c r="W1890">
        <f>((LTP3!$D$5)*((P1890)*(Q1890)-(R1890)*(R1890))-(S1890)*((S1890)*(Q1890)-(R1890)*(T1890))+(T1890)*((S1890)*(R1890)-(P1890)*(T1890)))</f>
        <v/>
      </c>
      <c r="X1890">
        <f>IF(ABS(W1890)&gt;1E-12,((LTP3!$D$6)*((P1890)*(Q1890)-(R1890)*(R1890))-(S1890)*((U1890)*(Q1890)-(R1890)*(V1890))+(T1890)*((U1890)*(R1890)-(P1890)*(V1890)))/W1890,0)</f>
        <v/>
      </c>
      <c r="Y1890">
        <f>IF(ABS(W1890)&gt;1E-12,((LTP3!$D$5)*((U1890)*(Q1890)-(R1890)*(V1890))-(LTP3!$D$6)*((S1890)*(Q1890)-(R1890)*(T1890))+(T1890)*((S1890)*(V1890)-(U1890)*(T1890)))/W1890,0)</f>
        <v/>
      </c>
      <c r="Z1890">
        <f>IF(ABS(W1890)&gt;1E-12,((LTP3!$D$5)*((P1890)*(V1890)-(U1890)*(R1890))-(S1890)*((S1890)*(V1890)-(U1890)*(T1890))+(LTP3!$D$6)*((S1890)*(R1890)-(P1890)*(T1890)))/W1890,0)</f>
        <v/>
      </c>
      <c r="AA1890">
        <f>LTP3!$D$7-X1890*LTP3!$D$6-Y1890*U1890-Z1890*V1890</f>
        <v/>
      </c>
      <c r="AB1890">
        <f>IF(AND(F1890,ABS(W1890)&gt;1E-12,Y1890&gt;0,Z1890&gt;0),AA1890,1E+300)</f>
        <v/>
      </c>
    </row>
    <row r="1891">
      <c r="A1891">
        <f>$B$3+$B$5*30</f>
        <v/>
      </c>
      <c r="B1891">
        <f>$B$3+$B$5*49</f>
        <v/>
      </c>
      <c r="C1891">
        <f>SUMPRODUCT(Calc!$K$3:$K$22*(Calc!$G$3:$G$22&lt;=A1891))</f>
        <v/>
      </c>
      <c r="D1891">
        <f>SUMPRODUCT(Calc!$K$3:$K$22*(Calc!$G$3:$G$22&gt;A1891)*(Calc!$G$3:$G$22&lt;B1891))</f>
        <v/>
      </c>
      <c r="E1891">
        <f>SUMPRODUCT(Calc!$K$3:$K$22*(Calc!$G$3:$G$22&gt;=B1891))</f>
        <v/>
      </c>
      <c r="F1891">
        <f>AND(k_n&gt;=5,B1891&gt;A1891+1E-9,C1891&gt;=2,D1891&gt;=1,E1891&gt;=2)</f>
        <v/>
      </c>
      <c r="G1891">
        <f>SUMPRODUCT(Calc!$K$3:$K$22*(Calc!$G$3:$G$22&gt;A1891)*(Calc!$G$3:$G$22-A1891))</f>
        <v/>
      </c>
      <c r="H1891">
        <f>SUMPRODUCT(Calc!$K$3:$K$22*(Calc!$G$3:$G$22&gt;B1891)*(Calc!$G$3:$G$22-B1891))</f>
        <v/>
      </c>
      <c r="I1891">
        <f>SUMPRODUCT(Calc!$K$3:$K$22*(Calc!$G$3:$G$22&gt;A1891)*(Calc!$G$3:$G$22-A1891)^2)</f>
        <v/>
      </c>
      <c r="J1891">
        <f>SUMPRODUCT(Calc!$K$3:$K$22*(Calc!$G$3:$G$22&gt;B1891)*(Calc!$G$3:$G$22-B1891)^2)</f>
        <v/>
      </c>
      <c r="K1891">
        <f>SUMPRODUCT(Calc!$K$3:$K$22*(Calc!$G$3:$G$22&gt;A1891)*(Calc!$G$3:$G$22-A1891)*(Calc!$G$3:$G$22&gt;B1891)*(Calc!$G$3:$G$22-B1891))</f>
        <v/>
      </c>
      <c r="L1891">
        <f>SUMPRODUCT(Calc!$K$3:$K$22*(Calc!$G$3:$G$22&gt;A1891)*(Calc!$G$3:$G$22-A1891)*Calc!$G$3:$G$22)</f>
        <v/>
      </c>
      <c r="M1891">
        <f>SUMPRODUCT(Calc!$K$3:$K$22*(Calc!$G$3:$G$22&gt;B1891)*(Calc!$G$3:$G$22-B1891)*Calc!$G$3:$G$22)</f>
        <v/>
      </c>
      <c r="N1891">
        <f>SUMPRODUCT(Calc!$K$3:$K$22*(Calc!$G$3:$G$22&gt;A1891)*(Calc!$G$3:$G$22-A1891)*Calc!$I$3:$I$22)</f>
        <v/>
      </c>
      <c r="O1891">
        <f>SUMPRODUCT(Calc!$K$3:$K$22*(Calc!$G$3:$G$22&gt;B1891)*(Calc!$G$3:$G$22-B1891)*Calc!$I$3:$I$22)</f>
        <v/>
      </c>
      <c r="P1891">
        <f>I1891-G1891^2/k_n</f>
        <v/>
      </c>
      <c r="Q1891">
        <f>J1891-H1891^2/k_n</f>
        <v/>
      </c>
      <c r="R1891">
        <f>K1891-G1891*H1891/k_n</f>
        <v/>
      </c>
      <c r="S1891">
        <f>L1891-LTP3!$D$3*G1891/k_n</f>
        <v/>
      </c>
      <c r="T1891">
        <f>M1891-LTP3!$D$3*H1891/k_n</f>
        <v/>
      </c>
      <c r="U1891">
        <f>N1891-G1891*LTP3!$D$4/k_n</f>
        <v/>
      </c>
      <c r="V1891">
        <f>O1891-H1891*LTP3!$D$4/k_n</f>
        <v/>
      </c>
      <c r="W1891">
        <f>((LTP3!$D$5)*((P1891)*(Q1891)-(R1891)*(R1891))-(S1891)*((S1891)*(Q1891)-(R1891)*(T1891))+(T1891)*((S1891)*(R1891)-(P1891)*(T1891)))</f>
        <v/>
      </c>
      <c r="X1891">
        <f>IF(ABS(W1891)&gt;1E-12,((LTP3!$D$6)*((P1891)*(Q1891)-(R1891)*(R1891))-(S1891)*((U1891)*(Q1891)-(R1891)*(V1891))+(T1891)*((U1891)*(R1891)-(P1891)*(V1891)))/W1891,0)</f>
        <v/>
      </c>
      <c r="Y1891">
        <f>IF(ABS(W1891)&gt;1E-12,((LTP3!$D$5)*((U1891)*(Q1891)-(R1891)*(V1891))-(LTP3!$D$6)*((S1891)*(Q1891)-(R1891)*(T1891))+(T1891)*((S1891)*(V1891)-(U1891)*(T1891)))/W1891,0)</f>
        <v/>
      </c>
      <c r="Z1891">
        <f>IF(ABS(W1891)&gt;1E-12,((LTP3!$D$5)*((P1891)*(V1891)-(U1891)*(R1891))-(S1891)*((S1891)*(V1891)-(U1891)*(T1891))+(LTP3!$D$6)*((S1891)*(R1891)-(P1891)*(T1891)))/W1891,0)</f>
        <v/>
      </c>
      <c r="AA1891">
        <f>LTP3!$D$7-X1891*LTP3!$D$6-Y1891*U1891-Z1891*V1891</f>
        <v/>
      </c>
      <c r="AB1891">
        <f>IF(AND(F1891,ABS(W1891)&gt;1E-12,Y1891&gt;0,Z1891&gt;0),AA1891,1E+300)</f>
        <v/>
      </c>
    </row>
    <row r="1892">
      <c r="A1892">
        <f>$B$3+$B$5*30</f>
        <v/>
      </c>
      <c r="B1892">
        <f>$B$3+$B$5*50</f>
        <v/>
      </c>
      <c r="C1892">
        <f>SUMPRODUCT(Calc!$K$3:$K$22*(Calc!$G$3:$G$22&lt;=A1892))</f>
        <v/>
      </c>
      <c r="D1892">
        <f>SUMPRODUCT(Calc!$K$3:$K$22*(Calc!$G$3:$G$22&gt;A1892)*(Calc!$G$3:$G$22&lt;B1892))</f>
        <v/>
      </c>
      <c r="E1892">
        <f>SUMPRODUCT(Calc!$K$3:$K$22*(Calc!$G$3:$G$22&gt;=B1892))</f>
        <v/>
      </c>
      <c r="F1892">
        <f>AND(k_n&gt;=5,B1892&gt;A1892+1E-9,C1892&gt;=2,D1892&gt;=1,E1892&gt;=2)</f>
        <v/>
      </c>
      <c r="G1892">
        <f>SUMPRODUCT(Calc!$K$3:$K$22*(Calc!$G$3:$G$22&gt;A1892)*(Calc!$G$3:$G$22-A1892))</f>
        <v/>
      </c>
      <c r="H1892">
        <f>SUMPRODUCT(Calc!$K$3:$K$22*(Calc!$G$3:$G$22&gt;B1892)*(Calc!$G$3:$G$22-B1892))</f>
        <v/>
      </c>
      <c r="I1892">
        <f>SUMPRODUCT(Calc!$K$3:$K$22*(Calc!$G$3:$G$22&gt;A1892)*(Calc!$G$3:$G$22-A1892)^2)</f>
        <v/>
      </c>
      <c r="J1892">
        <f>SUMPRODUCT(Calc!$K$3:$K$22*(Calc!$G$3:$G$22&gt;B1892)*(Calc!$G$3:$G$22-B1892)^2)</f>
        <v/>
      </c>
      <c r="K1892">
        <f>SUMPRODUCT(Calc!$K$3:$K$22*(Calc!$G$3:$G$22&gt;A1892)*(Calc!$G$3:$G$22-A1892)*(Calc!$G$3:$G$22&gt;B1892)*(Calc!$G$3:$G$22-B1892))</f>
        <v/>
      </c>
      <c r="L1892">
        <f>SUMPRODUCT(Calc!$K$3:$K$22*(Calc!$G$3:$G$22&gt;A1892)*(Calc!$G$3:$G$22-A1892)*Calc!$G$3:$G$22)</f>
        <v/>
      </c>
      <c r="M1892">
        <f>SUMPRODUCT(Calc!$K$3:$K$22*(Calc!$G$3:$G$22&gt;B1892)*(Calc!$G$3:$G$22-B1892)*Calc!$G$3:$G$22)</f>
        <v/>
      </c>
      <c r="N1892">
        <f>SUMPRODUCT(Calc!$K$3:$K$22*(Calc!$G$3:$G$22&gt;A1892)*(Calc!$G$3:$G$22-A1892)*Calc!$I$3:$I$22)</f>
        <v/>
      </c>
      <c r="O1892">
        <f>SUMPRODUCT(Calc!$K$3:$K$22*(Calc!$G$3:$G$22&gt;B1892)*(Calc!$G$3:$G$22-B1892)*Calc!$I$3:$I$22)</f>
        <v/>
      </c>
      <c r="P1892">
        <f>I1892-G1892^2/k_n</f>
        <v/>
      </c>
      <c r="Q1892">
        <f>J1892-H1892^2/k_n</f>
        <v/>
      </c>
      <c r="R1892">
        <f>K1892-G1892*H1892/k_n</f>
        <v/>
      </c>
      <c r="S1892">
        <f>L1892-LTP3!$D$3*G1892/k_n</f>
        <v/>
      </c>
      <c r="T1892">
        <f>M1892-LTP3!$D$3*H1892/k_n</f>
        <v/>
      </c>
      <c r="U1892">
        <f>N1892-G1892*LTP3!$D$4/k_n</f>
        <v/>
      </c>
      <c r="V1892">
        <f>O1892-H1892*LTP3!$D$4/k_n</f>
        <v/>
      </c>
      <c r="W1892">
        <f>((LTP3!$D$5)*((P1892)*(Q1892)-(R1892)*(R1892))-(S1892)*((S1892)*(Q1892)-(R1892)*(T1892))+(T1892)*((S1892)*(R1892)-(P1892)*(T1892)))</f>
        <v/>
      </c>
      <c r="X1892">
        <f>IF(ABS(W1892)&gt;1E-12,((LTP3!$D$6)*((P1892)*(Q1892)-(R1892)*(R1892))-(S1892)*((U1892)*(Q1892)-(R1892)*(V1892))+(T1892)*((U1892)*(R1892)-(P1892)*(V1892)))/W1892,0)</f>
        <v/>
      </c>
      <c r="Y1892">
        <f>IF(ABS(W1892)&gt;1E-12,((LTP3!$D$5)*((U1892)*(Q1892)-(R1892)*(V1892))-(LTP3!$D$6)*((S1892)*(Q1892)-(R1892)*(T1892))+(T1892)*((S1892)*(V1892)-(U1892)*(T1892)))/W1892,0)</f>
        <v/>
      </c>
      <c r="Z1892">
        <f>IF(ABS(W1892)&gt;1E-12,((LTP3!$D$5)*((P1892)*(V1892)-(U1892)*(R1892))-(S1892)*((S1892)*(V1892)-(U1892)*(T1892))+(LTP3!$D$6)*((S1892)*(R1892)-(P1892)*(T1892)))/W1892,0)</f>
        <v/>
      </c>
      <c r="AA1892">
        <f>LTP3!$D$7-X1892*LTP3!$D$6-Y1892*U1892-Z1892*V1892</f>
        <v/>
      </c>
      <c r="AB1892">
        <f>IF(AND(F1892,ABS(W1892)&gt;1E-12,Y1892&gt;0,Z1892&gt;0),AA1892,1E+300)</f>
        <v/>
      </c>
    </row>
    <row r="1893">
      <c r="A1893">
        <f>$B$3+$B$5*30</f>
        <v/>
      </c>
      <c r="B1893">
        <f>$B$3+$B$5*51</f>
        <v/>
      </c>
      <c r="C1893">
        <f>SUMPRODUCT(Calc!$K$3:$K$22*(Calc!$G$3:$G$22&lt;=A1893))</f>
        <v/>
      </c>
      <c r="D1893">
        <f>SUMPRODUCT(Calc!$K$3:$K$22*(Calc!$G$3:$G$22&gt;A1893)*(Calc!$G$3:$G$22&lt;B1893))</f>
        <v/>
      </c>
      <c r="E1893">
        <f>SUMPRODUCT(Calc!$K$3:$K$22*(Calc!$G$3:$G$22&gt;=B1893))</f>
        <v/>
      </c>
      <c r="F1893">
        <f>AND(k_n&gt;=5,B1893&gt;A1893+1E-9,C1893&gt;=2,D1893&gt;=1,E1893&gt;=2)</f>
        <v/>
      </c>
      <c r="G1893">
        <f>SUMPRODUCT(Calc!$K$3:$K$22*(Calc!$G$3:$G$22&gt;A1893)*(Calc!$G$3:$G$22-A1893))</f>
        <v/>
      </c>
      <c r="H1893">
        <f>SUMPRODUCT(Calc!$K$3:$K$22*(Calc!$G$3:$G$22&gt;B1893)*(Calc!$G$3:$G$22-B1893))</f>
        <v/>
      </c>
      <c r="I1893">
        <f>SUMPRODUCT(Calc!$K$3:$K$22*(Calc!$G$3:$G$22&gt;A1893)*(Calc!$G$3:$G$22-A1893)^2)</f>
        <v/>
      </c>
      <c r="J1893">
        <f>SUMPRODUCT(Calc!$K$3:$K$22*(Calc!$G$3:$G$22&gt;B1893)*(Calc!$G$3:$G$22-B1893)^2)</f>
        <v/>
      </c>
      <c r="K1893">
        <f>SUMPRODUCT(Calc!$K$3:$K$22*(Calc!$G$3:$G$22&gt;A1893)*(Calc!$G$3:$G$22-A1893)*(Calc!$G$3:$G$22&gt;B1893)*(Calc!$G$3:$G$22-B1893))</f>
        <v/>
      </c>
      <c r="L1893">
        <f>SUMPRODUCT(Calc!$K$3:$K$22*(Calc!$G$3:$G$22&gt;A1893)*(Calc!$G$3:$G$22-A1893)*Calc!$G$3:$G$22)</f>
        <v/>
      </c>
      <c r="M1893">
        <f>SUMPRODUCT(Calc!$K$3:$K$22*(Calc!$G$3:$G$22&gt;B1893)*(Calc!$G$3:$G$22-B1893)*Calc!$G$3:$G$22)</f>
        <v/>
      </c>
      <c r="N1893">
        <f>SUMPRODUCT(Calc!$K$3:$K$22*(Calc!$G$3:$G$22&gt;A1893)*(Calc!$G$3:$G$22-A1893)*Calc!$I$3:$I$22)</f>
        <v/>
      </c>
      <c r="O1893">
        <f>SUMPRODUCT(Calc!$K$3:$K$22*(Calc!$G$3:$G$22&gt;B1893)*(Calc!$G$3:$G$22-B1893)*Calc!$I$3:$I$22)</f>
        <v/>
      </c>
      <c r="P1893">
        <f>I1893-G1893^2/k_n</f>
        <v/>
      </c>
      <c r="Q1893">
        <f>J1893-H1893^2/k_n</f>
        <v/>
      </c>
      <c r="R1893">
        <f>K1893-G1893*H1893/k_n</f>
        <v/>
      </c>
      <c r="S1893">
        <f>L1893-LTP3!$D$3*G1893/k_n</f>
        <v/>
      </c>
      <c r="T1893">
        <f>M1893-LTP3!$D$3*H1893/k_n</f>
        <v/>
      </c>
      <c r="U1893">
        <f>N1893-G1893*LTP3!$D$4/k_n</f>
        <v/>
      </c>
      <c r="V1893">
        <f>O1893-H1893*LTP3!$D$4/k_n</f>
        <v/>
      </c>
      <c r="W1893">
        <f>((LTP3!$D$5)*((P1893)*(Q1893)-(R1893)*(R1893))-(S1893)*((S1893)*(Q1893)-(R1893)*(T1893))+(T1893)*((S1893)*(R1893)-(P1893)*(T1893)))</f>
        <v/>
      </c>
      <c r="X1893">
        <f>IF(ABS(W1893)&gt;1E-12,((LTP3!$D$6)*((P1893)*(Q1893)-(R1893)*(R1893))-(S1893)*((U1893)*(Q1893)-(R1893)*(V1893))+(T1893)*((U1893)*(R1893)-(P1893)*(V1893)))/W1893,0)</f>
        <v/>
      </c>
      <c r="Y1893">
        <f>IF(ABS(W1893)&gt;1E-12,((LTP3!$D$5)*((U1893)*(Q1893)-(R1893)*(V1893))-(LTP3!$D$6)*((S1893)*(Q1893)-(R1893)*(T1893))+(T1893)*((S1893)*(V1893)-(U1893)*(T1893)))/W1893,0)</f>
        <v/>
      </c>
      <c r="Z1893">
        <f>IF(ABS(W1893)&gt;1E-12,((LTP3!$D$5)*((P1893)*(V1893)-(U1893)*(R1893))-(S1893)*((S1893)*(V1893)-(U1893)*(T1893))+(LTP3!$D$6)*((S1893)*(R1893)-(P1893)*(T1893)))/W1893,0)</f>
        <v/>
      </c>
      <c r="AA1893">
        <f>LTP3!$D$7-X1893*LTP3!$D$6-Y1893*U1893-Z1893*V1893</f>
        <v/>
      </c>
      <c r="AB1893">
        <f>IF(AND(F1893,ABS(W1893)&gt;1E-12,Y1893&gt;0,Z1893&gt;0),AA1893,1E+300)</f>
        <v/>
      </c>
    </row>
    <row r="1894">
      <c r="A1894">
        <f>$B$3+$B$5*30</f>
        <v/>
      </c>
      <c r="B1894">
        <f>$B$3+$B$5*52</f>
        <v/>
      </c>
      <c r="C1894">
        <f>SUMPRODUCT(Calc!$K$3:$K$22*(Calc!$G$3:$G$22&lt;=A1894))</f>
        <v/>
      </c>
      <c r="D1894">
        <f>SUMPRODUCT(Calc!$K$3:$K$22*(Calc!$G$3:$G$22&gt;A1894)*(Calc!$G$3:$G$22&lt;B1894))</f>
        <v/>
      </c>
      <c r="E1894">
        <f>SUMPRODUCT(Calc!$K$3:$K$22*(Calc!$G$3:$G$22&gt;=B1894))</f>
        <v/>
      </c>
      <c r="F1894">
        <f>AND(k_n&gt;=5,B1894&gt;A1894+1E-9,C1894&gt;=2,D1894&gt;=1,E1894&gt;=2)</f>
        <v/>
      </c>
      <c r="G1894">
        <f>SUMPRODUCT(Calc!$K$3:$K$22*(Calc!$G$3:$G$22&gt;A1894)*(Calc!$G$3:$G$22-A1894))</f>
        <v/>
      </c>
      <c r="H1894">
        <f>SUMPRODUCT(Calc!$K$3:$K$22*(Calc!$G$3:$G$22&gt;B1894)*(Calc!$G$3:$G$22-B1894))</f>
        <v/>
      </c>
      <c r="I1894">
        <f>SUMPRODUCT(Calc!$K$3:$K$22*(Calc!$G$3:$G$22&gt;A1894)*(Calc!$G$3:$G$22-A1894)^2)</f>
        <v/>
      </c>
      <c r="J1894">
        <f>SUMPRODUCT(Calc!$K$3:$K$22*(Calc!$G$3:$G$22&gt;B1894)*(Calc!$G$3:$G$22-B1894)^2)</f>
        <v/>
      </c>
      <c r="K1894">
        <f>SUMPRODUCT(Calc!$K$3:$K$22*(Calc!$G$3:$G$22&gt;A1894)*(Calc!$G$3:$G$22-A1894)*(Calc!$G$3:$G$22&gt;B1894)*(Calc!$G$3:$G$22-B1894))</f>
        <v/>
      </c>
      <c r="L1894">
        <f>SUMPRODUCT(Calc!$K$3:$K$22*(Calc!$G$3:$G$22&gt;A1894)*(Calc!$G$3:$G$22-A1894)*Calc!$G$3:$G$22)</f>
        <v/>
      </c>
      <c r="M1894">
        <f>SUMPRODUCT(Calc!$K$3:$K$22*(Calc!$G$3:$G$22&gt;B1894)*(Calc!$G$3:$G$22-B1894)*Calc!$G$3:$G$22)</f>
        <v/>
      </c>
      <c r="N1894">
        <f>SUMPRODUCT(Calc!$K$3:$K$22*(Calc!$G$3:$G$22&gt;A1894)*(Calc!$G$3:$G$22-A1894)*Calc!$I$3:$I$22)</f>
        <v/>
      </c>
      <c r="O1894">
        <f>SUMPRODUCT(Calc!$K$3:$K$22*(Calc!$G$3:$G$22&gt;B1894)*(Calc!$G$3:$G$22-B1894)*Calc!$I$3:$I$22)</f>
        <v/>
      </c>
      <c r="P1894">
        <f>I1894-G1894^2/k_n</f>
        <v/>
      </c>
      <c r="Q1894">
        <f>J1894-H1894^2/k_n</f>
        <v/>
      </c>
      <c r="R1894">
        <f>K1894-G1894*H1894/k_n</f>
        <v/>
      </c>
      <c r="S1894">
        <f>L1894-LTP3!$D$3*G1894/k_n</f>
        <v/>
      </c>
      <c r="T1894">
        <f>M1894-LTP3!$D$3*H1894/k_n</f>
        <v/>
      </c>
      <c r="U1894">
        <f>N1894-G1894*LTP3!$D$4/k_n</f>
        <v/>
      </c>
      <c r="V1894">
        <f>O1894-H1894*LTP3!$D$4/k_n</f>
        <v/>
      </c>
      <c r="W1894">
        <f>((LTP3!$D$5)*((P1894)*(Q1894)-(R1894)*(R1894))-(S1894)*((S1894)*(Q1894)-(R1894)*(T1894))+(T1894)*((S1894)*(R1894)-(P1894)*(T1894)))</f>
        <v/>
      </c>
      <c r="X1894">
        <f>IF(ABS(W1894)&gt;1E-12,((LTP3!$D$6)*((P1894)*(Q1894)-(R1894)*(R1894))-(S1894)*((U1894)*(Q1894)-(R1894)*(V1894))+(T1894)*((U1894)*(R1894)-(P1894)*(V1894)))/W1894,0)</f>
        <v/>
      </c>
      <c r="Y1894">
        <f>IF(ABS(W1894)&gt;1E-12,((LTP3!$D$5)*((U1894)*(Q1894)-(R1894)*(V1894))-(LTP3!$D$6)*((S1894)*(Q1894)-(R1894)*(T1894))+(T1894)*((S1894)*(V1894)-(U1894)*(T1894)))/W1894,0)</f>
        <v/>
      </c>
      <c r="Z1894">
        <f>IF(ABS(W1894)&gt;1E-12,((LTP3!$D$5)*((P1894)*(V1894)-(U1894)*(R1894))-(S1894)*((S1894)*(V1894)-(U1894)*(T1894))+(LTP3!$D$6)*((S1894)*(R1894)-(P1894)*(T1894)))/W1894,0)</f>
        <v/>
      </c>
      <c r="AA1894">
        <f>LTP3!$D$7-X1894*LTP3!$D$6-Y1894*U1894-Z1894*V1894</f>
        <v/>
      </c>
      <c r="AB1894">
        <f>IF(AND(F1894,ABS(W1894)&gt;1E-12,Y1894&gt;0,Z1894&gt;0),AA1894,1E+300)</f>
        <v/>
      </c>
    </row>
    <row r="1895">
      <c r="A1895">
        <f>$B$3+$B$5*30</f>
        <v/>
      </c>
      <c r="B1895">
        <f>$B$3+$B$5*53</f>
        <v/>
      </c>
      <c r="C1895">
        <f>SUMPRODUCT(Calc!$K$3:$K$22*(Calc!$G$3:$G$22&lt;=A1895))</f>
        <v/>
      </c>
      <c r="D1895">
        <f>SUMPRODUCT(Calc!$K$3:$K$22*(Calc!$G$3:$G$22&gt;A1895)*(Calc!$G$3:$G$22&lt;B1895))</f>
        <v/>
      </c>
      <c r="E1895">
        <f>SUMPRODUCT(Calc!$K$3:$K$22*(Calc!$G$3:$G$22&gt;=B1895))</f>
        <v/>
      </c>
      <c r="F1895">
        <f>AND(k_n&gt;=5,B1895&gt;A1895+1E-9,C1895&gt;=2,D1895&gt;=1,E1895&gt;=2)</f>
        <v/>
      </c>
      <c r="G1895">
        <f>SUMPRODUCT(Calc!$K$3:$K$22*(Calc!$G$3:$G$22&gt;A1895)*(Calc!$G$3:$G$22-A1895))</f>
        <v/>
      </c>
      <c r="H1895">
        <f>SUMPRODUCT(Calc!$K$3:$K$22*(Calc!$G$3:$G$22&gt;B1895)*(Calc!$G$3:$G$22-B1895))</f>
        <v/>
      </c>
      <c r="I1895">
        <f>SUMPRODUCT(Calc!$K$3:$K$22*(Calc!$G$3:$G$22&gt;A1895)*(Calc!$G$3:$G$22-A1895)^2)</f>
        <v/>
      </c>
      <c r="J1895">
        <f>SUMPRODUCT(Calc!$K$3:$K$22*(Calc!$G$3:$G$22&gt;B1895)*(Calc!$G$3:$G$22-B1895)^2)</f>
        <v/>
      </c>
      <c r="K1895">
        <f>SUMPRODUCT(Calc!$K$3:$K$22*(Calc!$G$3:$G$22&gt;A1895)*(Calc!$G$3:$G$22-A1895)*(Calc!$G$3:$G$22&gt;B1895)*(Calc!$G$3:$G$22-B1895))</f>
        <v/>
      </c>
      <c r="L1895">
        <f>SUMPRODUCT(Calc!$K$3:$K$22*(Calc!$G$3:$G$22&gt;A1895)*(Calc!$G$3:$G$22-A1895)*Calc!$G$3:$G$22)</f>
        <v/>
      </c>
      <c r="M1895">
        <f>SUMPRODUCT(Calc!$K$3:$K$22*(Calc!$G$3:$G$22&gt;B1895)*(Calc!$G$3:$G$22-B1895)*Calc!$G$3:$G$22)</f>
        <v/>
      </c>
      <c r="N1895">
        <f>SUMPRODUCT(Calc!$K$3:$K$22*(Calc!$G$3:$G$22&gt;A1895)*(Calc!$G$3:$G$22-A1895)*Calc!$I$3:$I$22)</f>
        <v/>
      </c>
      <c r="O1895">
        <f>SUMPRODUCT(Calc!$K$3:$K$22*(Calc!$G$3:$G$22&gt;B1895)*(Calc!$G$3:$G$22-B1895)*Calc!$I$3:$I$22)</f>
        <v/>
      </c>
      <c r="P1895">
        <f>I1895-G1895^2/k_n</f>
        <v/>
      </c>
      <c r="Q1895">
        <f>J1895-H1895^2/k_n</f>
        <v/>
      </c>
      <c r="R1895">
        <f>K1895-G1895*H1895/k_n</f>
        <v/>
      </c>
      <c r="S1895">
        <f>L1895-LTP3!$D$3*G1895/k_n</f>
        <v/>
      </c>
      <c r="T1895">
        <f>M1895-LTP3!$D$3*H1895/k_n</f>
        <v/>
      </c>
      <c r="U1895">
        <f>N1895-G1895*LTP3!$D$4/k_n</f>
        <v/>
      </c>
      <c r="V1895">
        <f>O1895-H1895*LTP3!$D$4/k_n</f>
        <v/>
      </c>
      <c r="W1895">
        <f>((LTP3!$D$5)*((P1895)*(Q1895)-(R1895)*(R1895))-(S1895)*((S1895)*(Q1895)-(R1895)*(T1895))+(T1895)*((S1895)*(R1895)-(P1895)*(T1895)))</f>
        <v/>
      </c>
      <c r="X1895">
        <f>IF(ABS(W1895)&gt;1E-12,((LTP3!$D$6)*((P1895)*(Q1895)-(R1895)*(R1895))-(S1895)*((U1895)*(Q1895)-(R1895)*(V1895))+(T1895)*((U1895)*(R1895)-(P1895)*(V1895)))/W1895,0)</f>
        <v/>
      </c>
      <c r="Y1895">
        <f>IF(ABS(W1895)&gt;1E-12,((LTP3!$D$5)*((U1895)*(Q1895)-(R1895)*(V1895))-(LTP3!$D$6)*((S1895)*(Q1895)-(R1895)*(T1895))+(T1895)*((S1895)*(V1895)-(U1895)*(T1895)))/W1895,0)</f>
        <v/>
      </c>
      <c r="Z1895">
        <f>IF(ABS(W1895)&gt;1E-12,((LTP3!$D$5)*((P1895)*(V1895)-(U1895)*(R1895))-(S1895)*((S1895)*(V1895)-(U1895)*(T1895))+(LTP3!$D$6)*((S1895)*(R1895)-(P1895)*(T1895)))/W1895,0)</f>
        <v/>
      </c>
      <c r="AA1895">
        <f>LTP3!$D$7-X1895*LTP3!$D$6-Y1895*U1895-Z1895*V1895</f>
        <v/>
      </c>
      <c r="AB1895">
        <f>IF(AND(F1895,ABS(W1895)&gt;1E-12,Y1895&gt;0,Z1895&gt;0),AA1895,1E+300)</f>
        <v/>
      </c>
    </row>
    <row r="1896">
      <c r="A1896">
        <f>$B$3+$B$5*30</f>
        <v/>
      </c>
      <c r="B1896">
        <f>$B$3+$B$5*54</f>
        <v/>
      </c>
      <c r="C1896">
        <f>SUMPRODUCT(Calc!$K$3:$K$22*(Calc!$G$3:$G$22&lt;=A1896))</f>
        <v/>
      </c>
      <c r="D1896">
        <f>SUMPRODUCT(Calc!$K$3:$K$22*(Calc!$G$3:$G$22&gt;A1896)*(Calc!$G$3:$G$22&lt;B1896))</f>
        <v/>
      </c>
      <c r="E1896">
        <f>SUMPRODUCT(Calc!$K$3:$K$22*(Calc!$G$3:$G$22&gt;=B1896))</f>
        <v/>
      </c>
      <c r="F1896">
        <f>AND(k_n&gt;=5,B1896&gt;A1896+1E-9,C1896&gt;=2,D1896&gt;=1,E1896&gt;=2)</f>
        <v/>
      </c>
      <c r="G1896">
        <f>SUMPRODUCT(Calc!$K$3:$K$22*(Calc!$G$3:$G$22&gt;A1896)*(Calc!$G$3:$G$22-A1896))</f>
        <v/>
      </c>
      <c r="H1896">
        <f>SUMPRODUCT(Calc!$K$3:$K$22*(Calc!$G$3:$G$22&gt;B1896)*(Calc!$G$3:$G$22-B1896))</f>
        <v/>
      </c>
      <c r="I1896">
        <f>SUMPRODUCT(Calc!$K$3:$K$22*(Calc!$G$3:$G$22&gt;A1896)*(Calc!$G$3:$G$22-A1896)^2)</f>
        <v/>
      </c>
      <c r="J1896">
        <f>SUMPRODUCT(Calc!$K$3:$K$22*(Calc!$G$3:$G$22&gt;B1896)*(Calc!$G$3:$G$22-B1896)^2)</f>
        <v/>
      </c>
      <c r="K1896">
        <f>SUMPRODUCT(Calc!$K$3:$K$22*(Calc!$G$3:$G$22&gt;A1896)*(Calc!$G$3:$G$22-A1896)*(Calc!$G$3:$G$22&gt;B1896)*(Calc!$G$3:$G$22-B1896))</f>
        <v/>
      </c>
      <c r="L1896">
        <f>SUMPRODUCT(Calc!$K$3:$K$22*(Calc!$G$3:$G$22&gt;A1896)*(Calc!$G$3:$G$22-A1896)*Calc!$G$3:$G$22)</f>
        <v/>
      </c>
      <c r="M1896">
        <f>SUMPRODUCT(Calc!$K$3:$K$22*(Calc!$G$3:$G$22&gt;B1896)*(Calc!$G$3:$G$22-B1896)*Calc!$G$3:$G$22)</f>
        <v/>
      </c>
      <c r="N1896">
        <f>SUMPRODUCT(Calc!$K$3:$K$22*(Calc!$G$3:$G$22&gt;A1896)*(Calc!$G$3:$G$22-A1896)*Calc!$I$3:$I$22)</f>
        <v/>
      </c>
      <c r="O1896">
        <f>SUMPRODUCT(Calc!$K$3:$K$22*(Calc!$G$3:$G$22&gt;B1896)*(Calc!$G$3:$G$22-B1896)*Calc!$I$3:$I$22)</f>
        <v/>
      </c>
      <c r="P1896">
        <f>I1896-G1896^2/k_n</f>
        <v/>
      </c>
      <c r="Q1896">
        <f>J1896-H1896^2/k_n</f>
        <v/>
      </c>
      <c r="R1896">
        <f>K1896-G1896*H1896/k_n</f>
        <v/>
      </c>
      <c r="S1896">
        <f>L1896-LTP3!$D$3*G1896/k_n</f>
        <v/>
      </c>
      <c r="T1896">
        <f>M1896-LTP3!$D$3*H1896/k_n</f>
        <v/>
      </c>
      <c r="U1896">
        <f>N1896-G1896*LTP3!$D$4/k_n</f>
        <v/>
      </c>
      <c r="V1896">
        <f>O1896-H1896*LTP3!$D$4/k_n</f>
        <v/>
      </c>
      <c r="W1896">
        <f>((LTP3!$D$5)*((P1896)*(Q1896)-(R1896)*(R1896))-(S1896)*((S1896)*(Q1896)-(R1896)*(T1896))+(T1896)*((S1896)*(R1896)-(P1896)*(T1896)))</f>
        <v/>
      </c>
      <c r="X1896">
        <f>IF(ABS(W1896)&gt;1E-12,((LTP3!$D$6)*((P1896)*(Q1896)-(R1896)*(R1896))-(S1896)*((U1896)*(Q1896)-(R1896)*(V1896))+(T1896)*((U1896)*(R1896)-(P1896)*(V1896)))/W1896,0)</f>
        <v/>
      </c>
      <c r="Y1896">
        <f>IF(ABS(W1896)&gt;1E-12,((LTP3!$D$5)*((U1896)*(Q1896)-(R1896)*(V1896))-(LTP3!$D$6)*((S1896)*(Q1896)-(R1896)*(T1896))+(T1896)*((S1896)*(V1896)-(U1896)*(T1896)))/W1896,0)</f>
        <v/>
      </c>
      <c r="Z1896">
        <f>IF(ABS(W1896)&gt;1E-12,((LTP3!$D$5)*((P1896)*(V1896)-(U1896)*(R1896))-(S1896)*((S1896)*(V1896)-(U1896)*(T1896))+(LTP3!$D$6)*((S1896)*(R1896)-(P1896)*(T1896)))/W1896,0)</f>
        <v/>
      </c>
      <c r="AA1896">
        <f>LTP3!$D$7-X1896*LTP3!$D$6-Y1896*U1896-Z1896*V1896</f>
        <v/>
      </c>
      <c r="AB1896">
        <f>IF(AND(F1896,ABS(W1896)&gt;1E-12,Y1896&gt;0,Z1896&gt;0),AA1896,1E+300)</f>
        <v/>
      </c>
    </row>
    <row r="1897">
      <c r="A1897">
        <f>$B$3+$B$5*30</f>
        <v/>
      </c>
      <c r="B1897">
        <f>$B$3+$B$5*55</f>
        <v/>
      </c>
      <c r="C1897">
        <f>SUMPRODUCT(Calc!$K$3:$K$22*(Calc!$G$3:$G$22&lt;=A1897))</f>
        <v/>
      </c>
      <c r="D1897">
        <f>SUMPRODUCT(Calc!$K$3:$K$22*(Calc!$G$3:$G$22&gt;A1897)*(Calc!$G$3:$G$22&lt;B1897))</f>
        <v/>
      </c>
      <c r="E1897">
        <f>SUMPRODUCT(Calc!$K$3:$K$22*(Calc!$G$3:$G$22&gt;=B1897))</f>
        <v/>
      </c>
      <c r="F1897">
        <f>AND(k_n&gt;=5,B1897&gt;A1897+1E-9,C1897&gt;=2,D1897&gt;=1,E1897&gt;=2)</f>
        <v/>
      </c>
      <c r="G1897">
        <f>SUMPRODUCT(Calc!$K$3:$K$22*(Calc!$G$3:$G$22&gt;A1897)*(Calc!$G$3:$G$22-A1897))</f>
        <v/>
      </c>
      <c r="H1897">
        <f>SUMPRODUCT(Calc!$K$3:$K$22*(Calc!$G$3:$G$22&gt;B1897)*(Calc!$G$3:$G$22-B1897))</f>
        <v/>
      </c>
      <c r="I1897">
        <f>SUMPRODUCT(Calc!$K$3:$K$22*(Calc!$G$3:$G$22&gt;A1897)*(Calc!$G$3:$G$22-A1897)^2)</f>
        <v/>
      </c>
      <c r="J1897">
        <f>SUMPRODUCT(Calc!$K$3:$K$22*(Calc!$G$3:$G$22&gt;B1897)*(Calc!$G$3:$G$22-B1897)^2)</f>
        <v/>
      </c>
      <c r="K1897">
        <f>SUMPRODUCT(Calc!$K$3:$K$22*(Calc!$G$3:$G$22&gt;A1897)*(Calc!$G$3:$G$22-A1897)*(Calc!$G$3:$G$22&gt;B1897)*(Calc!$G$3:$G$22-B1897))</f>
        <v/>
      </c>
      <c r="L1897">
        <f>SUMPRODUCT(Calc!$K$3:$K$22*(Calc!$G$3:$G$22&gt;A1897)*(Calc!$G$3:$G$22-A1897)*Calc!$G$3:$G$22)</f>
        <v/>
      </c>
      <c r="M1897">
        <f>SUMPRODUCT(Calc!$K$3:$K$22*(Calc!$G$3:$G$22&gt;B1897)*(Calc!$G$3:$G$22-B1897)*Calc!$G$3:$G$22)</f>
        <v/>
      </c>
      <c r="N1897">
        <f>SUMPRODUCT(Calc!$K$3:$K$22*(Calc!$G$3:$G$22&gt;A1897)*(Calc!$G$3:$G$22-A1897)*Calc!$I$3:$I$22)</f>
        <v/>
      </c>
      <c r="O1897">
        <f>SUMPRODUCT(Calc!$K$3:$K$22*(Calc!$G$3:$G$22&gt;B1897)*(Calc!$G$3:$G$22-B1897)*Calc!$I$3:$I$22)</f>
        <v/>
      </c>
      <c r="P1897">
        <f>I1897-G1897^2/k_n</f>
        <v/>
      </c>
      <c r="Q1897">
        <f>J1897-H1897^2/k_n</f>
        <v/>
      </c>
      <c r="R1897">
        <f>K1897-G1897*H1897/k_n</f>
        <v/>
      </c>
      <c r="S1897">
        <f>L1897-LTP3!$D$3*G1897/k_n</f>
        <v/>
      </c>
      <c r="T1897">
        <f>M1897-LTP3!$D$3*H1897/k_n</f>
        <v/>
      </c>
      <c r="U1897">
        <f>N1897-G1897*LTP3!$D$4/k_n</f>
        <v/>
      </c>
      <c r="V1897">
        <f>O1897-H1897*LTP3!$D$4/k_n</f>
        <v/>
      </c>
      <c r="W1897">
        <f>((LTP3!$D$5)*((P1897)*(Q1897)-(R1897)*(R1897))-(S1897)*((S1897)*(Q1897)-(R1897)*(T1897))+(T1897)*((S1897)*(R1897)-(P1897)*(T1897)))</f>
        <v/>
      </c>
      <c r="X1897">
        <f>IF(ABS(W1897)&gt;1E-12,((LTP3!$D$6)*((P1897)*(Q1897)-(R1897)*(R1897))-(S1897)*((U1897)*(Q1897)-(R1897)*(V1897))+(T1897)*((U1897)*(R1897)-(P1897)*(V1897)))/W1897,0)</f>
        <v/>
      </c>
      <c r="Y1897">
        <f>IF(ABS(W1897)&gt;1E-12,((LTP3!$D$5)*((U1897)*(Q1897)-(R1897)*(V1897))-(LTP3!$D$6)*((S1897)*(Q1897)-(R1897)*(T1897))+(T1897)*((S1897)*(V1897)-(U1897)*(T1897)))/W1897,0)</f>
        <v/>
      </c>
      <c r="Z1897">
        <f>IF(ABS(W1897)&gt;1E-12,((LTP3!$D$5)*((P1897)*(V1897)-(U1897)*(R1897))-(S1897)*((S1897)*(V1897)-(U1897)*(T1897))+(LTP3!$D$6)*((S1897)*(R1897)-(P1897)*(T1897)))/W1897,0)</f>
        <v/>
      </c>
      <c r="AA1897">
        <f>LTP3!$D$7-X1897*LTP3!$D$6-Y1897*U1897-Z1897*V1897</f>
        <v/>
      </c>
      <c r="AB1897">
        <f>IF(AND(F1897,ABS(W1897)&gt;1E-12,Y1897&gt;0,Z1897&gt;0),AA1897,1E+300)</f>
        <v/>
      </c>
    </row>
    <row r="1898">
      <c r="A1898">
        <f>$B$3+$B$5*30</f>
        <v/>
      </c>
      <c r="B1898">
        <f>$B$3+$B$5*56</f>
        <v/>
      </c>
      <c r="C1898">
        <f>SUMPRODUCT(Calc!$K$3:$K$22*(Calc!$G$3:$G$22&lt;=A1898))</f>
        <v/>
      </c>
      <c r="D1898">
        <f>SUMPRODUCT(Calc!$K$3:$K$22*(Calc!$G$3:$G$22&gt;A1898)*(Calc!$G$3:$G$22&lt;B1898))</f>
        <v/>
      </c>
      <c r="E1898">
        <f>SUMPRODUCT(Calc!$K$3:$K$22*(Calc!$G$3:$G$22&gt;=B1898))</f>
        <v/>
      </c>
      <c r="F1898">
        <f>AND(k_n&gt;=5,B1898&gt;A1898+1E-9,C1898&gt;=2,D1898&gt;=1,E1898&gt;=2)</f>
        <v/>
      </c>
      <c r="G1898">
        <f>SUMPRODUCT(Calc!$K$3:$K$22*(Calc!$G$3:$G$22&gt;A1898)*(Calc!$G$3:$G$22-A1898))</f>
        <v/>
      </c>
      <c r="H1898">
        <f>SUMPRODUCT(Calc!$K$3:$K$22*(Calc!$G$3:$G$22&gt;B1898)*(Calc!$G$3:$G$22-B1898))</f>
        <v/>
      </c>
      <c r="I1898">
        <f>SUMPRODUCT(Calc!$K$3:$K$22*(Calc!$G$3:$G$22&gt;A1898)*(Calc!$G$3:$G$22-A1898)^2)</f>
        <v/>
      </c>
      <c r="J1898">
        <f>SUMPRODUCT(Calc!$K$3:$K$22*(Calc!$G$3:$G$22&gt;B1898)*(Calc!$G$3:$G$22-B1898)^2)</f>
        <v/>
      </c>
      <c r="K1898">
        <f>SUMPRODUCT(Calc!$K$3:$K$22*(Calc!$G$3:$G$22&gt;A1898)*(Calc!$G$3:$G$22-A1898)*(Calc!$G$3:$G$22&gt;B1898)*(Calc!$G$3:$G$22-B1898))</f>
        <v/>
      </c>
      <c r="L1898">
        <f>SUMPRODUCT(Calc!$K$3:$K$22*(Calc!$G$3:$G$22&gt;A1898)*(Calc!$G$3:$G$22-A1898)*Calc!$G$3:$G$22)</f>
        <v/>
      </c>
      <c r="M1898">
        <f>SUMPRODUCT(Calc!$K$3:$K$22*(Calc!$G$3:$G$22&gt;B1898)*(Calc!$G$3:$G$22-B1898)*Calc!$G$3:$G$22)</f>
        <v/>
      </c>
      <c r="N1898">
        <f>SUMPRODUCT(Calc!$K$3:$K$22*(Calc!$G$3:$G$22&gt;A1898)*(Calc!$G$3:$G$22-A1898)*Calc!$I$3:$I$22)</f>
        <v/>
      </c>
      <c r="O1898">
        <f>SUMPRODUCT(Calc!$K$3:$K$22*(Calc!$G$3:$G$22&gt;B1898)*(Calc!$G$3:$G$22-B1898)*Calc!$I$3:$I$22)</f>
        <v/>
      </c>
      <c r="P1898">
        <f>I1898-G1898^2/k_n</f>
        <v/>
      </c>
      <c r="Q1898">
        <f>J1898-H1898^2/k_n</f>
        <v/>
      </c>
      <c r="R1898">
        <f>K1898-G1898*H1898/k_n</f>
        <v/>
      </c>
      <c r="S1898">
        <f>L1898-LTP3!$D$3*G1898/k_n</f>
        <v/>
      </c>
      <c r="T1898">
        <f>M1898-LTP3!$D$3*H1898/k_n</f>
        <v/>
      </c>
      <c r="U1898">
        <f>N1898-G1898*LTP3!$D$4/k_n</f>
        <v/>
      </c>
      <c r="V1898">
        <f>O1898-H1898*LTP3!$D$4/k_n</f>
        <v/>
      </c>
      <c r="W1898">
        <f>((LTP3!$D$5)*((P1898)*(Q1898)-(R1898)*(R1898))-(S1898)*((S1898)*(Q1898)-(R1898)*(T1898))+(T1898)*((S1898)*(R1898)-(P1898)*(T1898)))</f>
        <v/>
      </c>
      <c r="X1898">
        <f>IF(ABS(W1898)&gt;1E-12,((LTP3!$D$6)*((P1898)*(Q1898)-(R1898)*(R1898))-(S1898)*((U1898)*(Q1898)-(R1898)*(V1898))+(T1898)*((U1898)*(R1898)-(P1898)*(V1898)))/W1898,0)</f>
        <v/>
      </c>
      <c r="Y1898">
        <f>IF(ABS(W1898)&gt;1E-12,((LTP3!$D$5)*((U1898)*(Q1898)-(R1898)*(V1898))-(LTP3!$D$6)*((S1898)*(Q1898)-(R1898)*(T1898))+(T1898)*((S1898)*(V1898)-(U1898)*(T1898)))/W1898,0)</f>
        <v/>
      </c>
      <c r="Z1898">
        <f>IF(ABS(W1898)&gt;1E-12,((LTP3!$D$5)*((P1898)*(V1898)-(U1898)*(R1898))-(S1898)*((S1898)*(V1898)-(U1898)*(T1898))+(LTP3!$D$6)*((S1898)*(R1898)-(P1898)*(T1898)))/W1898,0)</f>
        <v/>
      </c>
      <c r="AA1898">
        <f>LTP3!$D$7-X1898*LTP3!$D$6-Y1898*U1898-Z1898*V1898</f>
        <v/>
      </c>
      <c r="AB1898">
        <f>IF(AND(F1898,ABS(W1898)&gt;1E-12,Y1898&gt;0,Z1898&gt;0),AA1898,1E+300)</f>
        <v/>
      </c>
    </row>
    <row r="1899">
      <c r="A1899">
        <f>$B$3+$B$5*30</f>
        <v/>
      </c>
      <c r="B1899">
        <f>$B$3+$B$5*57</f>
        <v/>
      </c>
      <c r="C1899">
        <f>SUMPRODUCT(Calc!$K$3:$K$22*(Calc!$G$3:$G$22&lt;=A1899))</f>
        <v/>
      </c>
      <c r="D1899">
        <f>SUMPRODUCT(Calc!$K$3:$K$22*(Calc!$G$3:$G$22&gt;A1899)*(Calc!$G$3:$G$22&lt;B1899))</f>
        <v/>
      </c>
      <c r="E1899">
        <f>SUMPRODUCT(Calc!$K$3:$K$22*(Calc!$G$3:$G$22&gt;=B1899))</f>
        <v/>
      </c>
      <c r="F1899">
        <f>AND(k_n&gt;=5,B1899&gt;A1899+1E-9,C1899&gt;=2,D1899&gt;=1,E1899&gt;=2)</f>
        <v/>
      </c>
      <c r="G1899">
        <f>SUMPRODUCT(Calc!$K$3:$K$22*(Calc!$G$3:$G$22&gt;A1899)*(Calc!$G$3:$G$22-A1899))</f>
        <v/>
      </c>
      <c r="H1899">
        <f>SUMPRODUCT(Calc!$K$3:$K$22*(Calc!$G$3:$G$22&gt;B1899)*(Calc!$G$3:$G$22-B1899))</f>
        <v/>
      </c>
      <c r="I1899">
        <f>SUMPRODUCT(Calc!$K$3:$K$22*(Calc!$G$3:$G$22&gt;A1899)*(Calc!$G$3:$G$22-A1899)^2)</f>
        <v/>
      </c>
      <c r="J1899">
        <f>SUMPRODUCT(Calc!$K$3:$K$22*(Calc!$G$3:$G$22&gt;B1899)*(Calc!$G$3:$G$22-B1899)^2)</f>
        <v/>
      </c>
      <c r="K1899">
        <f>SUMPRODUCT(Calc!$K$3:$K$22*(Calc!$G$3:$G$22&gt;A1899)*(Calc!$G$3:$G$22-A1899)*(Calc!$G$3:$G$22&gt;B1899)*(Calc!$G$3:$G$22-B1899))</f>
        <v/>
      </c>
      <c r="L1899">
        <f>SUMPRODUCT(Calc!$K$3:$K$22*(Calc!$G$3:$G$22&gt;A1899)*(Calc!$G$3:$G$22-A1899)*Calc!$G$3:$G$22)</f>
        <v/>
      </c>
      <c r="M1899">
        <f>SUMPRODUCT(Calc!$K$3:$K$22*(Calc!$G$3:$G$22&gt;B1899)*(Calc!$G$3:$G$22-B1899)*Calc!$G$3:$G$22)</f>
        <v/>
      </c>
      <c r="N1899">
        <f>SUMPRODUCT(Calc!$K$3:$K$22*(Calc!$G$3:$G$22&gt;A1899)*(Calc!$G$3:$G$22-A1899)*Calc!$I$3:$I$22)</f>
        <v/>
      </c>
      <c r="O1899">
        <f>SUMPRODUCT(Calc!$K$3:$K$22*(Calc!$G$3:$G$22&gt;B1899)*(Calc!$G$3:$G$22-B1899)*Calc!$I$3:$I$22)</f>
        <v/>
      </c>
      <c r="P1899">
        <f>I1899-G1899^2/k_n</f>
        <v/>
      </c>
      <c r="Q1899">
        <f>J1899-H1899^2/k_n</f>
        <v/>
      </c>
      <c r="R1899">
        <f>K1899-G1899*H1899/k_n</f>
        <v/>
      </c>
      <c r="S1899">
        <f>L1899-LTP3!$D$3*G1899/k_n</f>
        <v/>
      </c>
      <c r="T1899">
        <f>M1899-LTP3!$D$3*H1899/k_n</f>
        <v/>
      </c>
      <c r="U1899">
        <f>N1899-G1899*LTP3!$D$4/k_n</f>
        <v/>
      </c>
      <c r="V1899">
        <f>O1899-H1899*LTP3!$D$4/k_n</f>
        <v/>
      </c>
      <c r="W1899">
        <f>((LTP3!$D$5)*((P1899)*(Q1899)-(R1899)*(R1899))-(S1899)*((S1899)*(Q1899)-(R1899)*(T1899))+(T1899)*((S1899)*(R1899)-(P1899)*(T1899)))</f>
        <v/>
      </c>
      <c r="X1899">
        <f>IF(ABS(W1899)&gt;1E-12,((LTP3!$D$6)*((P1899)*(Q1899)-(R1899)*(R1899))-(S1899)*((U1899)*(Q1899)-(R1899)*(V1899))+(T1899)*((U1899)*(R1899)-(P1899)*(V1899)))/W1899,0)</f>
        <v/>
      </c>
      <c r="Y1899">
        <f>IF(ABS(W1899)&gt;1E-12,((LTP3!$D$5)*((U1899)*(Q1899)-(R1899)*(V1899))-(LTP3!$D$6)*((S1899)*(Q1899)-(R1899)*(T1899))+(T1899)*((S1899)*(V1899)-(U1899)*(T1899)))/W1899,0)</f>
        <v/>
      </c>
      <c r="Z1899">
        <f>IF(ABS(W1899)&gt;1E-12,((LTP3!$D$5)*((P1899)*(V1899)-(U1899)*(R1899))-(S1899)*((S1899)*(V1899)-(U1899)*(T1899))+(LTP3!$D$6)*((S1899)*(R1899)-(P1899)*(T1899)))/W1899,0)</f>
        <v/>
      </c>
      <c r="AA1899">
        <f>LTP3!$D$7-X1899*LTP3!$D$6-Y1899*U1899-Z1899*V1899</f>
        <v/>
      </c>
      <c r="AB1899">
        <f>IF(AND(F1899,ABS(W1899)&gt;1E-12,Y1899&gt;0,Z1899&gt;0),AA1899,1E+300)</f>
        <v/>
      </c>
    </row>
    <row r="1900">
      <c r="A1900">
        <f>$B$3+$B$5*30</f>
        <v/>
      </c>
      <c r="B1900">
        <f>$B$3+$B$5*58</f>
        <v/>
      </c>
      <c r="C1900">
        <f>SUMPRODUCT(Calc!$K$3:$K$22*(Calc!$G$3:$G$22&lt;=A1900))</f>
        <v/>
      </c>
      <c r="D1900">
        <f>SUMPRODUCT(Calc!$K$3:$K$22*(Calc!$G$3:$G$22&gt;A1900)*(Calc!$G$3:$G$22&lt;B1900))</f>
        <v/>
      </c>
      <c r="E1900">
        <f>SUMPRODUCT(Calc!$K$3:$K$22*(Calc!$G$3:$G$22&gt;=B1900))</f>
        <v/>
      </c>
      <c r="F1900">
        <f>AND(k_n&gt;=5,B1900&gt;A1900+1E-9,C1900&gt;=2,D1900&gt;=1,E1900&gt;=2)</f>
        <v/>
      </c>
      <c r="G1900">
        <f>SUMPRODUCT(Calc!$K$3:$K$22*(Calc!$G$3:$G$22&gt;A1900)*(Calc!$G$3:$G$22-A1900))</f>
        <v/>
      </c>
      <c r="H1900">
        <f>SUMPRODUCT(Calc!$K$3:$K$22*(Calc!$G$3:$G$22&gt;B1900)*(Calc!$G$3:$G$22-B1900))</f>
        <v/>
      </c>
      <c r="I1900">
        <f>SUMPRODUCT(Calc!$K$3:$K$22*(Calc!$G$3:$G$22&gt;A1900)*(Calc!$G$3:$G$22-A1900)^2)</f>
        <v/>
      </c>
      <c r="J1900">
        <f>SUMPRODUCT(Calc!$K$3:$K$22*(Calc!$G$3:$G$22&gt;B1900)*(Calc!$G$3:$G$22-B1900)^2)</f>
        <v/>
      </c>
      <c r="K1900">
        <f>SUMPRODUCT(Calc!$K$3:$K$22*(Calc!$G$3:$G$22&gt;A1900)*(Calc!$G$3:$G$22-A1900)*(Calc!$G$3:$G$22&gt;B1900)*(Calc!$G$3:$G$22-B1900))</f>
        <v/>
      </c>
      <c r="L1900">
        <f>SUMPRODUCT(Calc!$K$3:$K$22*(Calc!$G$3:$G$22&gt;A1900)*(Calc!$G$3:$G$22-A1900)*Calc!$G$3:$G$22)</f>
        <v/>
      </c>
      <c r="M1900">
        <f>SUMPRODUCT(Calc!$K$3:$K$22*(Calc!$G$3:$G$22&gt;B1900)*(Calc!$G$3:$G$22-B1900)*Calc!$G$3:$G$22)</f>
        <v/>
      </c>
      <c r="N1900">
        <f>SUMPRODUCT(Calc!$K$3:$K$22*(Calc!$G$3:$G$22&gt;A1900)*(Calc!$G$3:$G$22-A1900)*Calc!$I$3:$I$22)</f>
        <v/>
      </c>
      <c r="O1900">
        <f>SUMPRODUCT(Calc!$K$3:$K$22*(Calc!$G$3:$G$22&gt;B1900)*(Calc!$G$3:$G$22-B1900)*Calc!$I$3:$I$22)</f>
        <v/>
      </c>
      <c r="P1900">
        <f>I1900-G1900^2/k_n</f>
        <v/>
      </c>
      <c r="Q1900">
        <f>J1900-H1900^2/k_n</f>
        <v/>
      </c>
      <c r="R1900">
        <f>K1900-G1900*H1900/k_n</f>
        <v/>
      </c>
      <c r="S1900">
        <f>L1900-LTP3!$D$3*G1900/k_n</f>
        <v/>
      </c>
      <c r="T1900">
        <f>M1900-LTP3!$D$3*H1900/k_n</f>
        <v/>
      </c>
      <c r="U1900">
        <f>N1900-G1900*LTP3!$D$4/k_n</f>
        <v/>
      </c>
      <c r="V1900">
        <f>O1900-H1900*LTP3!$D$4/k_n</f>
        <v/>
      </c>
      <c r="W1900">
        <f>((LTP3!$D$5)*((P1900)*(Q1900)-(R1900)*(R1900))-(S1900)*((S1900)*(Q1900)-(R1900)*(T1900))+(T1900)*((S1900)*(R1900)-(P1900)*(T1900)))</f>
        <v/>
      </c>
      <c r="X1900">
        <f>IF(ABS(W1900)&gt;1E-12,((LTP3!$D$6)*((P1900)*(Q1900)-(R1900)*(R1900))-(S1900)*((U1900)*(Q1900)-(R1900)*(V1900))+(T1900)*((U1900)*(R1900)-(P1900)*(V1900)))/W1900,0)</f>
        <v/>
      </c>
      <c r="Y1900">
        <f>IF(ABS(W1900)&gt;1E-12,((LTP3!$D$5)*((U1900)*(Q1900)-(R1900)*(V1900))-(LTP3!$D$6)*((S1900)*(Q1900)-(R1900)*(T1900))+(T1900)*((S1900)*(V1900)-(U1900)*(T1900)))/W1900,0)</f>
        <v/>
      </c>
      <c r="Z1900">
        <f>IF(ABS(W1900)&gt;1E-12,((LTP3!$D$5)*((P1900)*(V1900)-(U1900)*(R1900))-(S1900)*((S1900)*(V1900)-(U1900)*(T1900))+(LTP3!$D$6)*((S1900)*(R1900)-(P1900)*(T1900)))/W1900,0)</f>
        <v/>
      </c>
      <c r="AA1900">
        <f>LTP3!$D$7-X1900*LTP3!$D$6-Y1900*U1900-Z1900*V1900</f>
        <v/>
      </c>
      <c r="AB1900">
        <f>IF(AND(F1900,ABS(W1900)&gt;1E-12,Y1900&gt;0,Z1900&gt;0),AA1900,1E+300)</f>
        <v/>
      </c>
    </row>
    <row r="1901">
      <c r="A1901">
        <f>$B$3+$B$5*30</f>
        <v/>
      </c>
      <c r="B1901">
        <f>$B$3+$B$5*59</f>
        <v/>
      </c>
      <c r="C1901">
        <f>SUMPRODUCT(Calc!$K$3:$K$22*(Calc!$G$3:$G$22&lt;=A1901))</f>
        <v/>
      </c>
      <c r="D1901">
        <f>SUMPRODUCT(Calc!$K$3:$K$22*(Calc!$G$3:$G$22&gt;A1901)*(Calc!$G$3:$G$22&lt;B1901))</f>
        <v/>
      </c>
      <c r="E1901">
        <f>SUMPRODUCT(Calc!$K$3:$K$22*(Calc!$G$3:$G$22&gt;=B1901))</f>
        <v/>
      </c>
      <c r="F1901">
        <f>AND(k_n&gt;=5,B1901&gt;A1901+1E-9,C1901&gt;=2,D1901&gt;=1,E1901&gt;=2)</f>
        <v/>
      </c>
      <c r="G1901">
        <f>SUMPRODUCT(Calc!$K$3:$K$22*(Calc!$G$3:$G$22&gt;A1901)*(Calc!$G$3:$G$22-A1901))</f>
        <v/>
      </c>
      <c r="H1901">
        <f>SUMPRODUCT(Calc!$K$3:$K$22*(Calc!$G$3:$G$22&gt;B1901)*(Calc!$G$3:$G$22-B1901))</f>
        <v/>
      </c>
      <c r="I1901">
        <f>SUMPRODUCT(Calc!$K$3:$K$22*(Calc!$G$3:$G$22&gt;A1901)*(Calc!$G$3:$G$22-A1901)^2)</f>
        <v/>
      </c>
      <c r="J1901">
        <f>SUMPRODUCT(Calc!$K$3:$K$22*(Calc!$G$3:$G$22&gt;B1901)*(Calc!$G$3:$G$22-B1901)^2)</f>
        <v/>
      </c>
      <c r="K1901">
        <f>SUMPRODUCT(Calc!$K$3:$K$22*(Calc!$G$3:$G$22&gt;A1901)*(Calc!$G$3:$G$22-A1901)*(Calc!$G$3:$G$22&gt;B1901)*(Calc!$G$3:$G$22-B1901))</f>
        <v/>
      </c>
      <c r="L1901">
        <f>SUMPRODUCT(Calc!$K$3:$K$22*(Calc!$G$3:$G$22&gt;A1901)*(Calc!$G$3:$G$22-A1901)*Calc!$G$3:$G$22)</f>
        <v/>
      </c>
      <c r="M1901">
        <f>SUMPRODUCT(Calc!$K$3:$K$22*(Calc!$G$3:$G$22&gt;B1901)*(Calc!$G$3:$G$22-B1901)*Calc!$G$3:$G$22)</f>
        <v/>
      </c>
      <c r="N1901">
        <f>SUMPRODUCT(Calc!$K$3:$K$22*(Calc!$G$3:$G$22&gt;A1901)*(Calc!$G$3:$G$22-A1901)*Calc!$I$3:$I$22)</f>
        <v/>
      </c>
      <c r="O1901">
        <f>SUMPRODUCT(Calc!$K$3:$K$22*(Calc!$G$3:$G$22&gt;B1901)*(Calc!$G$3:$G$22-B1901)*Calc!$I$3:$I$22)</f>
        <v/>
      </c>
      <c r="P1901">
        <f>I1901-G1901^2/k_n</f>
        <v/>
      </c>
      <c r="Q1901">
        <f>J1901-H1901^2/k_n</f>
        <v/>
      </c>
      <c r="R1901">
        <f>K1901-G1901*H1901/k_n</f>
        <v/>
      </c>
      <c r="S1901">
        <f>L1901-LTP3!$D$3*G1901/k_n</f>
        <v/>
      </c>
      <c r="T1901">
        <f>M1901-LTP3!$D$3*H1901/k_n</f>
        <v/>
      </c>
      <c r="U1901">
        <f>N1901-G1901*LTP3!$D$4/k_n</f>
        <v/>
      </c>
      <c r="V1901">
        <f>O1901-H1901*LTP3!$D$4/k_n</f>
        <v/>
      </c>
      <c r="W1901">
        <f>((LTP3!$D$5)*((P1901)*(Q1901)-(R1901)*(R1901))-(S1901)*((S1901)*(Q1901)-(R1901)*(T1901))+(T1901)*((S1901)*(R1901)-(P1901)*(T1901)))</f>
        <v/>
      </c>
      <c r="X1901">
        <f>IF(ABS(W1901)&gt;1E-12,((LTP3!$D$6)*((P1901)*(Q1901)-(R1901)*(R1901))-(S1901)*((U1901)*(Q1901)-(R1901)*(V1901))+(T1901)*((U1901)*(R1901)-(P1901)*(V1901)))/W1901,0)</f>
        <v/>
      </c>
      <c r="Y1901">
        <f>IF(ABS(W1901)&gt;1E-12,((LTP3!$D$5)*((U1901)*(Q1901)-(R1901)*(V1901))-(LTP3!$D$6)*((S1901)*(Q1901)-(R1901)*(T1901))+(T1901)*((S1901)*(V1901)-(U1901)*(T1901)))/W1901,0)</f>
        <v/>
      </c>
      <c r="Z1901">
        <f>IF(ABS(W1901)&gt;1E-12,((LTP3!$D$5)*((P1901)*(V1901)-(U1901)*(R1901))-(S1901)*((S1901)*(V1901)-(U1901)*(T1901))+(LTP3!$D$6)*((S1901)*(R1901)-(P1901)*(T1901)))/W1901,0)</f>
        <v/>
      </c>
      <c r="AA1901">
        <f>LTP3!$D$7-X1901*LTP3!$D$6-Y1901*U1901-Z1901*V1901</f>
        <v/>
      </c>
      <c r="AB1901">
        <f>IF(AND(F1901,ABS(W1901)&gt;1E-12,Y1901&gt;0,Z1901&gt;0),AA1901,1E+300)</f>
        <v/>
      </c>
    </row>
    <row r="1902">
      <c r="A1902">
        <f>$B$3+$B$5*30</f>
        <v/>
      </c>
      <c r="B1902">
        <f>$B$3+$B$5*60</f>
        <v/>
      </c>
      <c r="C1902">
        <f>SUMPRODUCT(Calc!$K$3:$K$22*(Calc!$G$3:$G$22&lt;=A1902))</f>
        <v/>
      </c>
      <c r="D1902">
        <f>SUMPRODUCT(Calc!$K$3:$K$22*(Calc!$G$3:$G$22&gt;A1902)*(Calc!$G$3:$G$22&lt;B1902))</f>
        <v/>
      </c>
      <c r="E1902">
        <f>SUMPRODUCT(Calc!$K$3:$K$22*(Calc!$G$3:$G$22&gt;=B1902))</f>
        <v/>
      </c>
      <c r="F1902">
        <f>AND(k_n&gt;=5,B1902&gt;A1902+1E-9,C1902&gt;=2,D1902&gt;=1,E1902&gt;=2)</f>
        <v/>
      </c>
      <c r="G1902">
        <f>SUMPRODUCT(Calc!$K$3:$K$22*(Calc!$G$3:$G$22&gt;A1902)*(Calc!$G$3:$G$22-A1902))</f>
        <v/>
      </c>
      <c r="H1902">
        <f>SUMPRODUCT(Calc!$K$3:$K$22*(Calc!$G$3:$G$22&gt;B1902)*(Calc!$G$3:$G$22-B1902))</f>
        <v/>
      </c>
      <c r="I1902">
        <f>SUMPRODUCT(Calc!$K$3:$K$22*(Calc!$G$3:$G$22&gt;A1902)*(Calc!$G$3:$G$22-A1902)^2)</f>
        <v/>
      </c>
      <c r="J1902">
        <f>SUMPRODUCT(Calc!$K$3:$K$22*(Calc!$G$3:$G$22&gt;B1902)*(Calc!$G$3:$G$22-B1902)^2)</f>
        <v/>
      </c>
      <c r="K1902">
        <f>SUMPRODUCT(Calc!$K$3:$K$22*(Calc!$G$3:$G$22&gt;A1902)*(Calc!$G$3:$G$22-A1902)*(Calc!$G$3:$G$22&gt;B1902)*(Calc!$G$3:$G$22-B1902))</f>
        <v/>
      </c>
      <c r="L1902">
        <f>SUMPRODUCT(Calc!$K$3:$K$22*(Calc!$G$3:$G$22&gt;A1902)*(Calc!$G$3:$G$22-A1902)*Calc!$G$3:$G$22)</f>
        <v/>
      </c>
      <c r="M1902">
        <f>SUMPRODUCT(Calc!$K$3:$K$22*(Calc!$G$3:$G$22&gt;B1902)*(Calc!$G$3:$G$22-B1902)*Calc!$G$3:$G$22)</f>
        <v/>
      </c>
      <c r="N1902">
        <f>SUMPRODUCT(Calc!$K$3:$K$22*(Calc!$G$3:$G$22&gt;A1902)*(Calc!$G$3:$G$22-A1902)*Calc!$I$3:$I$22)</f>
        <v/>
      </c>
      <c r="O1902">
        <f>SUMPRODUCT(Calc!$K$3:$K$22*(Calc!$G$3:$G$22&gt;B1902)*(Calc!$G$3:$G$22-B1902)*Calc!$I$3:$I$22)</f>
        <v/>
      </c>
      <c r="P1902">
        <f>I1902-G1902^2/k_n</f>
        <v/>
      </c>
      <c r="Q1902">
        <f>J1902-H1902^2/k_n</f>
        <v/>
      </c>
      <c r="R1902">
        <f>K1902-G1902*H1902/k_n</f>
        <v/>
      </c>
      <c r="S1902">
        <f>L1902-LTP3!$D$3*G1902/k_n</f>
        <v/>
      </c>
      <c r="T1902">
        <f>M1902-LTP3!$D$3*H1902/k_n</f>
        <v/>
      </c>
      <c r="U1902">
        <f>N1902-G1902*LTP3!$D$4/k_n</f>
        <v/>
      </c>
      <c r="V1902">
        <f>O1902-H1902*LTP3!$D$4/k_n</f>
        <v/>
      </c>
      <c r="W1902">
        <f>((LTP3!$D$5)*((P1902)*(Q1902)-(R1902)*(R1902))-(S1902)*((S1902)*(Q1902)-(R1902)*(T1902))+(T1902)*((S1902)*(R1902)-(P1902)*(T1902)))</f>
        <v/>
      </c>
      <c r="X1902">
        <f>IF(ABS(W1902)&gt;1E-12,((LTP3!$D$6)*((P1902)*(Q1902)-(R1902)*(R1902))-(S1902)*((U1902)*(Q1902)-(R1902)*(V1902))+(T1902)*((U1902)*(R1902)-(P1902)*(V1902)))/W1902,0)</f>
        <v/>
      </c>
      <c r="Y1902">
        <f>IF(ABS(W1902)&gt;1E-12,((LTP3!$D$5)*((U1902)*(Q1902)-(R1902)*(V1902))-(LTP3!$D$6)*((S1902)*(Q1902)-(R1902)*(T1902))+(T1902)*((S1902)*(V1902)-(U1902)*(T1902)))/W1902,0)</f>
        <v/>
      </c>
      <c r="Z1902">
        <f>IF(ABS(W1902)&gt;1E-12,((LTP3!$D$5)*((P1902)*(V1902)-(U1902)*(R1902))-(S1902)*((S1902)*(V1902)-(U1902)*(T1902))+(LTP3!$D$6)*((S1902)*(R1902)-(P1902)*(T1902)))/W1902,0)</f>
        <v/>
      </c>
      <c r="AA1902">
        <f>LTP3!$D$7-X1902*LTP3!$D$6-Y1902*U1902-Z1902*V1902</f>
        <v/>
      </c>
      <c r="AB1902">
        <f>IF(AND(F1902,ABS(W1902)&gt;1E-12,Y1902&gt;0,Z1902&gt;0),AA1902,1E+300)</f>
        <v/>
      </c>
    </row>
    <row r="1903">
      <c r="A1903">
        <f>$B$3+$B$5*31</f>
        <v/>
      </c>
      <c r="B1903">
        <f>$B$3+$B$5*0</f>
        <v/>
      </c>
      <c r="C1903">
        <f>SUMPRODUCT(Calc!$K$3:$K$22*(Calc!$G$3:$G$22&lt;=A1903))</f>
        <v/>
      </c>
      <c r="D1903">
        <f>SUMPRODUCT(Calc!$K$3:$K$22*(Calc!$G$3:$G$22&gt;A1903)*(Calc!$G$3:$G$22&lt;B1903))</f>
        <v/>
      </c>
      <c r="E1903">
        <f>SUMPRODUCT(Calc!$K$3:$K$22*(Calc!$G$3:$G$22&gt;=B1903))</f>
        <v/>
      </c>
      <c r="F1903">
        <f>AND(k_n&gt;=5,B1903&gt;A1903+1E-9,C1903&gt;=2,D1903&gt;=1,E1903&gt;=2)</f>
        <v/>
      </c>
      <c r="G1903">
        <f>SUMPRODUCT(Calc!$K$3:$K$22*(Calc!$G$3:$G$22&gt;A1903)*(Calc!$G$3:$G$22-A1903))</f>
        <v/>
      </c>
      <c r="H1903">
        <f>SUMPRODUCT(Calc!$K$3:$K$22*(Calc!$G$3:$G$22&gt;B1903)*(Calc!$G$3:$G$22-B1903))</f>
        <v/>
      </c>
      <c r="I1903">
        <f>SUMPRODUCT(Calc!$K$3:$K$22*(Calc!$G$3:$G$22&gt;A1903)*(Calc!$G$3:$G$22-A1903)^2)</f>
        <v/>
      </c>
      <c r="J1903">
        <f>SUMPRODUCT(Calc!$K$3:$K$22*(Calc!$G$3:$G$22&gt;B1903)*(Calc!$G$3:$G$22-B1903)^2)</f>
        <v/>
      </c>
      <c r="K1903">
        <f>SUMPRODUCT(Calc!$K$3:$K$22*(Calc!$G$3:$G$22&gt;A1903)*(Calc!$G$3:$G$22-A1903)*(Calc!$G$3:$G$22&gt;B1903)*(Calc!$G$3:$G$22-B1903))</f>
        <v/>
      </c>
      <c r="L1903">
        <f>SUMPRODUCT(Calc!$K$3:$K$22*(Calc!$G$3:$G$22&gt;A1903)*(Calc!$G$3:$G$22-A1903)*Calc!$G$3:$G$22)</f>
        <v/>
      </c>
      <c r="M1903">
        <f>SUMPRODUCT(Calc!$K$3:$K$22*(Calc!$G$3:$G$22&gt;B1903)*(Calc!$G$3:$G$22-B1903)*Calc!$G$3:$G$22)</f>
        <v/>
      </c>
      <c r="N1903">
        <f>SUMPRODUCT(Calc!$K$3:$K$22*(Calc!$G$3:$G$22&gt;A1903)*(Calc!$G$3:$G$22-A1903)*Calc!$I$3:$I$22)</f>
        <v/>
      </c>
      <c r="O1903">
        <f>SUMPRODUCT(Calc!$K$3:$K$22*(Calc!$G$3:$G$22&gt;B1903)*(Calc!$G$3:$G$22-B1903)*Calc!$I$3:$I$22)</f>
        <v/>
      </c>
      <c r="P1903">
        <f>I1903-G1903^2/k_n</f>
        <v/>
      </c>
      <c r="Q1903">
        <f>J1903-H1903^2/k_n</f>
        <v/>
      </c>
      <c r="R1903">
        <f>K1903-G1903*H1903/k_n</f>
        <v/>
      </c>
      <c r="S1903">
        <f>L1903-LTP3!$D$3*G1903/k_n</f>
        <v/>
      </c>
      <c r="T1903">
        <f>M1903-LTP3!$D$3*H1903/k_n</f>
        <v/>
      </c>
      <c r="U1903">
        <f>N1903-G1903*LTP3!$D$4/k_n</f>
        <v/>
      </c>
      <c r="V1903">
        <f>O1903-H1903*LTP3!$D$4/k_n</f>
        <v/>
      </c>
      <c r="W1903">
        <f>((LTP3!$D$5)*((P1903)*(Q1903)-(R1903)*(R1903))-(S1903)*((S1903)*(Q1903)-(R1903)*(T1903))+(T1903)*((S1903)*(R1903)-(P1903)*(T1903)))</f>
        <v/>
      </c>
      <c r="X1903">
        <f>IF(ABS(W1903)&gt;1E-12,((LTP3!$D$6)*((P1903)*(Q1903)-(R1903)*(R1903))-(S1903)*((U1903)*(Q1903)-(R1903)*(V1903))+(T1903)*((U1903)*(R1903)-(P1903)*(V1903)))/W1903,0)</f>
        <v/>
      </c>
      <c r="Y1903">
        <f>IF(ABS(W1903)&gt;1E-12,((LTP3!$D$5)*((U1903)*(Q1903)-(R1903)*(V1903))-(LTP3!$D$6)*((S1903)*(Q1903)-(R1903)*(T1903))+(T1903)*((S1903)*(V1903)-(U1903)*(T1903)))/W1903,0)</f>
        <v/>
      </c>
      <c r="Z1903">
        <f>IF(ABS(W1903)&gt;1E-12,((LTP3!$D$5)*((P1903)*(V1903)-(U1903)*(R1903))-(S1903)*((S1903)*(V1903)-(U1903)*(T1903))+(LTP3!$D$6)*((S1903)*(R1903)-(P1903)*(T1903)))/W1903,0)</f>
        <v/>
      </c>
      <c r="AA1903">
        <f>LTP3!$D$7-X1903*LTP3!$D$6-Y1903*U1903-Z1903*V1903</f>
        <v/>
      </c>
      <c r="AB1903">
        <f>IF(AND(F1903,ABS(W1903)&gt;1E-12,Y1903&gt;0,Z1903&gt;0),AA1903,1E+300)</f>
        <v/>
      </c>
    </row>
    <row r="1904">
      <c r="A1904">
        <f>$B$3+$B$5*31</f>
        <v/>
      </c>
      <c r="B1904">
        <f>$B$3+$B$5*1</f>
        <v/>
      </c>
      <c r="C1904">
        <f>SUMPRODUCT(Calc!$K$3:$K$22*(Calc!$G$3:$G$22&lt;=A1904))</f>
        <v/>
      </c>
      <c r="D1904">
        <f>SUMPRODUCT(Calc!$K$3:$K$22*(Calc!$G$3:$G$22&gt;A1904)*(Calc!$G$3:$G$22&lt;B1904))</f>
        <v/>
      </c>
      <c r="E1904">
        <f>SUMPRODUCT(Calc!$K$3:$K$22*(Calc!$G$3:$G$22&gt;=B1904))</f>
        <v/>
      </c>
      <c r="F1904">
        <f>AND(k_n&gt;=5,B1904&gt;A1904+1E-9,C1904&gt;=2,D1904&gt;=1,E1904&gt;=2)</f>
        <v/>
      </c>
      <c r="G1904">
        <f>SUMPRODUCT(Calc!$K$3:$K$22*(Calc!$G$3:$G$22&gt;A1904)*(Calc!$G$3:$G$22-A1904))</f>
        <v/>
      </c>
      <c r="H1904">
        <f>SUMPRODUCT(Calc!$K$3:$K$22*(Calc!$G$3:$G$22&gt;B1904)*(Calc!$G$3:$G$22-B1904))</f>
        <v/>
      </c>
      <c r="I1904">
        <f>SUMPRODUCT(Calc!$K$3:$K$22*(Calc!$G$3:$G$22&gt;A1904)*(Calc!$G$3:$G$22-A1904)^2)</f>
        <v/>
      </c>
      <c r="J1904">
        <f>SUMPRODUCT(Calc!$K$3:$K$22*(Calc!$G$3:$G$22&gt;B1904)*(Calc!$G$3:$G$22-B1904)^2)</f>
        <v/>
      </c>
      <c r="K1904">
        <f>SUMPRODUCT(Calc!$K$3:$K$22*(Calc!$G$3:$G$22&gt;A1904)*(Calc!$G$3:$G$22-A1904)*(Calc!$G$3:$G$22&gt;B1904)*(Calc!$G$3:$G$22-B1904))</f>
        <v/>
      </c>
      <c r="L1904">
        <f>SUMPRODUCT(Calc!$K$3:$K$22*(Calc!$G$3:$G$22&gt;A1904)*(Calc!$G$3:$G$22-A1904)*Calc!$G$3:$G$22)</f>
        <v/>
      </c>
      <c r="M1904">
        <f>SUMPRODUCT(Calc!$K$3:$K$22*(Calc!$G$3:$G$22&gt;B1904)*(Calc!$G$3:$G$22-B1904)*Calc!$G$3:$G$22)</f>
        <v/>
      </c>
      <c r="N1904">
        <f>SUMPRODUCT(Calc!$K$3:$K$22*(Calc!$G$3:$G$22&gt;A1904)*(Calc!$G$3:$G$22-A1904)*Calc!$I$3:$I$22)</f>
        <v/>
      </c>
      <c r="O1904">
        <f>SUMPRODUCT(Calc!$K$3:$K$22*(Calc!$G$3:$G$22&gt;B1904)*(Calc!$G$3:$G$22-B1904)*Calc!$I$3:$I$22)</f>
        <v/>
      </c>
      <c r="P1904">
        <f>I1904-G1904^2/k_n</f>
        <v/>
      </c>
      <c r="Q1904">
        <f>J1904-H1904^2/k_n</f>
        <v/>
      </c>
      <c r="R1904">
        <f>K1904-G1904*H1904/k_n</f>
        <v/>
      </c>
      <c r="S1904">
        <f>L1904-LTP3!$D$3*G1904/k_n</f>
        <v/>
      </c>
      <c r="T1904">
        <f>M1904-LTP3!$D$3*H1904/k_n</f>
        <v/>
      </c>
      <c r="U1904">
        <f>N1904-G1904*LTP3!$D$4/k_n</f>
        <v/>
      </c>
      <c r="V1904">
        <f>O1904-H1904*LTP3!$D$4/k_n</f>
        <v/>
      </c>
      <c r="W1904">
        <f>((LTP3!$D$5)*((P1904)*(Q1904)-(R1904)*(R1904))-(S1904)*((S1904)*(Q1904)-(R1904)*(T1904))+(T1904)*((S1904)*(R1904)-(P1904)*(T1904)))</f>
        <v/>
      </c>
      <c r="X1904">
        <f>IF(ABS(W1904)&gt;1E-12,((LTP3!$D$6)*((P1904)*(Q1904)-(R1904)*(R1904))-(S1904)*((U1904)*(Q1904)-(R1904)*(V1904))+(T1904)*((U1904)*(R1904)-(P1904)*(V1904)))/W1904,0)</f>
        <v/>
      </c>
      <c r="Y1904">
        <f>IF(ABS(W1904)&gt;1E-12,((LTP3!$D$5)*((U1904)*(Q1904)-(R1904)*(V1904))-(LTP3!$D$6)*((S1904)*(Q1904)-(R1904)*(T1904))+(T1904)*((S1904)*(V1904)-(U1904)*(T1904)))/W1904,0)</f>
        <v/>
      </c>
      <c r="Z1904">
        <f>IF(ABS(W1904)&gt;1E-12,((LTP3!$D$5)*((P1904)*(V1904)-(U1904)*(R1904))-(S1904)*((S1904)*(V1904)-(U1904)*(T1904))+(LTP3!$D$6)*((S1904)*(R1904)-(P1904)*(T1904)))/W1904,0)</f>
        <v/>
      </c>
      <c r="AA1904">
        <f>LTP3!$D$7-X1904*LTP3!$D$6-Y1904*U1904-Z1904*V1904</f>
        <v/>
      </c>
      <c r="AB1904">
        <f>IF(AND(F1904,ABS(W1904)&gt;1E-12,Y1904&gt;0,Z1904&gt;0),AA1904,1E+300)</f>
        <v/>
      </c>
    </row>
    <row r="1905">
      <c r="A1905">
        <f>$B$3+$B$5*31</f>
        <v/>
      </c>
      <c r="B1905">
        <f>$B$3+$B$5*2</f>
        <v/>
      </c>
      <c r="C1905">
        <f>SUMPRODUCT(Calc!$K$3:$K$22*(Calc!$G$3:$G$22&lt;=A1905))</f>
        <v/>
      </c>
      <c r="D1905">
        <f>SUMPRODUCT(Calc!$K$3:$K$22*(Calc!$G$3:$G$22&gt;A1905)*(Calc!$G$3:$G$22&lt;B1905))</f>
        <v/>
      </c>
      <c r="E1905">
        <f>SUMPRODUCT(Calc!$K$3:$K$22*(Calc!$G$3:$G$22&gt;=B1905))</f>
        <v/>
      </c>
      <c r="F1905">
        <f>AND(k_n&gt;=5,B1905&gt;A1905+1E-9,C1905&gt;=2,D1905&gt;=1,E1905&gt;=2)</f>
        <v/>
      </c>
      <c r="G1905">
        <f>SUMPRODUCT(Calc!$K$3:$K$22*(Calc!$G$3:$G$22&gt;A1905)*(Calc!$G$3:$G$22-A1905))</f>
        <v/>
      </c>
      <c r="H1905">
        <f>SUMPRODUCT(Calc!$K$3:$K$22*(Calc!$G$3:$G$22&gt;B1905)*(Calc!$G$3:$G$22-B1905))</f>
        <v/>
      </c>
      <c r="I1905">
        <f>SUMPRODUCT(Calc!$K$3:$K$22*(Calc!$G$3:$G$22&gt;A1905)*(Calc!$G$3:$G$22-A1905)^2)</f>
        <v/>
      </c>
      <c r="J1905">
        <f>SUMPRODUCT(Calc!$K$3:$K$22*(Calc!$G$3:$G$22&gt;B1905)*(Calc!$G$3:$G$22-B1905)^2)</f>
        <v/>
      </c>
      <c r="K1905">
        <f>SUMPRODUCT(Calc!$K$3:$K$22*(Calc!$G$3:$G$22&gt;A1905)*(Calc!$G$3:$G$22-A1905)*(Calc!$G$3:$G$22&gt;B1905)*(Calc!$G$3:$G$22-B1905))</f>
        <v/>
      </c>
      <c r="L1905">
        <f>SUMPRODUCT(Calc!$K$3:$K$22*(Calc!$G$3:$G$22&gt;A1905)*(Calc!$G$3:$G$22-A1905)*Calc!$G$3:$G$22)</f>
        <v/>
      </c>
      <c r="M1905">
        <f>SUMPRODUCT(Calc!$K$3:$K$22*(Calc!$G$3:$G$22&gt;B1905)*(Calc!$G$3:$G$22-B1905)*Calc!$G$3:$G$22)</f>
        <v/>
      </c>
      <c r="N1905">
        <f>SUMPRODUCT(Calc!$K$3:$K$22*(Calc!$G$3:$G$22&gt;A1905)*(Calc!$G$3:$G$22-A1905)*Calc!$I$3:$I$22)</f>
        <v/>
      </c>
      <c r="O1905">
        <f>SUMPRODUCT(Calc!$K$3:$K$22*(Calc!$G$3:$G$22&gt;B1905)*(Calc!$G$3:$G$22-B1905)*Calc!$I$3:$I$22)</f>
        <v/>
      </c>
      <c r="P1905">
        <f>I1905-G1905^2/k_n</f>
        <v/>
      </c>
      <c r="Q1905">
        <f>J1905-H1905^2/k_n</f>
        <v/>
      </c>
      <c r="R1905">
        <f>K1905-G1905*H1905/k_n</f>
        <v/>
      </c>
      <c r="S1905">
        <f>L1905-LTP3!$D$3*G1905/k_n</f>
        <v/>
      </c>
      <c r="T1905">
        <f>M1905-LTP3!$D$3*H1905/k_n</f>
        <v/>
      </c>
      <c r="U1905">
        <f>N1905-G1905*LTP3!$D$4/k_n</f>
        <v/>
      </c>
      <c r="V1905">
        <f>O1905-H1905*LTP3!$D$4/k_n</f>
        <v/>
      </c>
      <c r="W1905">
        <f>((LTP3!$D$5)*((P1905)*(Q1905)-(R1905)*(R1905))-(S1905)*((S1905)*(Q1905)-(R1905)*(T1905))+(T1905)*((S1905)*(R1905)-(P1905)*(T1905)))</f>
        <v/>
      </c>
      <c r="X1905">
        <f>IF(ABS(W1905)&gt;1E-12,((LTP3!$D$6)*((P1905)*(Q1905)-(R1905)*(R1905))-(S1905)*((U1905)*(Q1905)-(R1905)*(V1905))+(T1905)*((U1905)*(R1905)-(P1905)*(V1905)))/W1905,0)</f>
        <v/>
      </c>
      <c r="Y1905">
        <f>IF(ABS(W1905)&gt;1E-12,((LTP3!$D$5)*((U1905)*(Q1905)-(R1905)*(V1905))-(LTP3!$D$6)*((S1905)*(Q1905)-(R1905)*(T1905))+(T1905)*((S1905)*(V1905)-(U1905)*(T1905)))/W1905,0)</f>
        <v/>
      </c>
      <c r="Z1905">
        <f>IF(ABS(W1905)&gt;1E-12,((LTP3!$D$5)*((P1905)*(V1905)-(U1905)*(R1905))-(S1905)*((S1905)*(V1905)-(U1905)*(T1905))+(LTP3!$D$6)*((S1905)*(R1905)-(P1905)*(T1905)))/W1905,0)</f>
        <v/>
      </c>
      <c r="AA1905">
        <f>LTP3!$D$7-X1905*LTP3!$D$6-Y1905*U1905-Z1905*V1905</f>
        <v/>
      </c>
      <c r="AB1905">
        <f>IF(AND(F1905,ABS(W1905)&gt;1E-12,Y1905&gt;0,Z1905&gt;0),AA1905,1E+300)</f>
        <v/>
      </c>
    </row>
    <row r="1906">
      <c r="A1906">
        <f>$B$3+$B$5*31</f>
        <v/>
      </c>
      <c r="B1906">
        <f>$B$3+$B$5*3</f>
        <v/>
      </c>
      <c r="C1906">
        <f>SUMPRODUCT(Calc!$K$3:$K$22*(Calc!$G$3:$G$22&lt;=A1906))</f>
        <v/>
      </c>
      <c r="D1906">
        <f>SUMPRODUCT(Calc!$K$3:$K$22*(Calc!$G$3:$G$22&gt;A1906)*(Calc!$G$3:$G$22&lt;B1906))</f>
        <v/>
      </c>
      <c r="E1906">
        <f>SUMPRODUCT(Calc!$K$3:$K$22*(Calc!$G$3:$G$22&gt;=B1906))</f>
        <v/>
      </c>
      <c r="F1906">
        <f>AND(k_n&gt;=5,B1906&gt;A1906+1E-9,C1906&gt;=2,D1906&gt;=1,E1906&gt;=2)</f>
        <v/>
      </c>
      <c r="G1906">
        <f>SUMPRODUCT(Calc!$K$3:$K$22*(Calc!$G$3:$G$22&gt;A1906)*(Calc!$G$3:$G$22-A1906))</f>
        <v/>
      </c>
      <c r="H1906">
        <f>SUMPRODUCT(Calc!$K$3:$K$22*(Calc!$G$3:$G$22&gt;B1906)*(Calc!$G$3:$G$22-B1906))</f>
        <v/>
      </c>
      <c r="I1906">
        <f>SUMPRODUCT(Calc!$K$3:$K$22*(Calc!$G$3:$G$22&gt;A1906)*(Calc!$G$3:$G$22-A1906)^2)</f>
        <v/>
      </c>
      <c r="J1906">
        <f>SUMPRODUCT(Calc!$K$3:$K$22*(Calc!$G$3:$G$22&gt;B1906)*(Calc!$G$3:$G$22-B1906)^2)</f>
        <v/>
      </c>
      <c r="K1906">
        <f>SUMPRODUCT(Calc!$K$3:$K$22*(Calc!$G$3:$G$22&gt;A1906)*(Calc!$G$3:$G$22-A1906)*(Calc!$G$3:$G$22&gt;B1906)*(Calc!$G$3:$G$22-B1906))</f>
        <v/>
      </c>
      <c r="L1906">
        <f>SUMPRODUCT(Calc!$K$3:$K$22*(Calc!$G$3:$G$22&gt;A1906)*(Calc!$G$3:$G$22-A1906)*Calc!$G$3:$G$22)</f>
        <v/>
      </c>
      <c r="M1906">
        <f>SUMPRODUCT(Calc!$K$3:$K$22*(Calc!$G$3:$G$22&gt;B1906)*(Calc!$G$3:$G$22-B1906)*Calc!$G$3:$G$22)</f>
        <v/>
      </c>
      <c r="N1906">
        <f>SUMPRODUCT(Calc!$K$3:$K$22*(Calc!$G$3:$G$22&gt;A1906)*(Calc!$G$3:$G$22-A1906)*Calc!$I$3:$I$22)</f>
        <v/>
      </c>
      <c r="O1906">
        <f>SUMPRODUCT(Calc!$K$3:$K$22*(Calc!$G$3:$G$22&gt;B1906)*(Calc!$G$3:$G$22-B1906)*Calc!$I$3:$I$22)</f>
        <v/>
      </c>
      <c r="P1906">
        <f>I1906-G1906^2/k_n</f>
        <v/>
      </c>
      <c r="Q1906">
        <f>J1906-H1906^2/k_n</f>
        <v/>
      </c>
      <c r="R1906">
        <f>K1906-G1906*H1906/k_n</f>
        <v/>
      </c>
      <c r="S1906">
        <f>L1906-LTP3!$D$3*G1906/k_n</f>
        <v/>
      </c>
      <c r="T1906">
        <f>M1906-LTP3!$D$3*H1906/k_n</f>
        <v/>
      </c>
      <c r="U1906">
        <f>N1906-G1906*LTP3!$D$4/k_n</f>
        <v/>
      </c>
      <c r="V1906">
        <f>O1906-H1906*LTP3!$D$4/k_n</f>
        <v/>
      </c>
      <c r="W1906">
        <f>((LTP3!$D$5)*((P1906)*(Q1906)-(R1906)*(R1906))-(S1906)*((S1906)*(Q1906)-(R1906)*(T1906))+(T1906)*((S1906)*(R1906)-(P1906)*(T1906)))</f>
        <v/>
      </c>
      <c r="X1906">
        <f>IF(ABS(W1906)&gt;1E-12,((LTP3!$D$6)*((P1906)*(Q1906)-(R1906)*(R1906))-(S1906)*((U1906)*(Q1906)-(R1906)*(V1906))+(T1906)*((U1906)*(R1906)-(P1906)*(V1906)))/W1906,0)</f>
        <v/>
      </c>
      <c r="Y1906">
        <f>IF(ABS(W1906)&gt;1E-12,((LTP3!$D$5)*((U1906)*(Q1906)-(R1906)*(V1906))-(LTP3!$D$6)*((S1906)*(Q1906)-(R1906)*(T1906))+(T1906)*((S1906)*(V1906)-(U1906)*(T1906)))/W1906,0)</f>
        <v/>
      </c>
      <c r="Z1906">
        <f>IF(ABS(W1906)&gt;1E-12,((LTP3!$D$5)*((P1906)*(V1906)-(U1906)*(R1906))-(S1906)*((S1906)*(V1906)-(U1906)*(T1906))+(LTP3!$D$6)*((S1906)*(R1906)-(P1906)*(T1906)))/W1906,0)</f>
        <v/>
      </c>
      <c r="AA1906">
        <f>LTP3!$D$7-X1906*LTP3!$D$6-Y1906*U1906-Z1906*V1906</f>
        <v/>
      </c>
      <c r="AB1906">
        <f>IF(AND(F1906,ABS(W1906)&gt;1E-12,Y1906&gt;0,Z1906&gt;0),AA1906,1E+300)</f>
        <v/>
      </c>
    </row>
    <row r="1907">
      <c r="A1907">
        <f>$B$3+$B$5*31</f>
        <v/>
      </c>
      <c r="B1907">
        <f>$B$3+$B$5*4</f>
        <v/>
      </c>
      <c r="C1907">
        <f>SUMPRODUCT(Calc!$K$3:$K$22*(Calc!$G$3:$G$22&lt;=A1907))</f>
        <v/>
      </c>
      <c r="D1907">
        <f>SUMPRODUCT(Calc!$K$3:$K$22*(Calc!$G$3:$G$22&gt;A1907)*(Calc!$G$3:$G$22&lt;B1907))</f>
        <v/>
      </c>
      <c r="E1907">
        <f>SUMPRODUCT(Calc!$K$3:$K$22*(Calc!$G$3:$G$22&gt;=B1907))</f>
        <v/>
      </c>
      <c r="F1907">
        <f>AND(k_n&gt;=5,B1907&gt;A1907+1E-9,C1907&gt;=2,D1907&gt;=1,E1907&gt;=2)</f>
        <v/>
      </c>
      <c r="G1907">
        <f>SUMPRODUCT(Calc!$K$3:$K$22*(Calc!$G$3:$G$22&gt;A1907)*(Calc!$G$3:$G$22-A1907))</f>
        <v/>
      </c>
      <c r="H1907">
        <f>SUMPRODUCT(Calc!$K$3:$K$22*(Calc!$G$3:$G$22&gt;B1907)*(Calc!$G$3:$G$22-B1907))</f>
        <v/>
      </c>
      <c r="I1907">
        <f>SUMPRODUCT(Calc!$K$3:$K$22*(Calc!$G$3:$G$22&gt;A1907)*(Calc!$G$3:$G$22-A1907)^2)</f>
        <v/>
      </c>
      <c r="J1907">
        <f>SUMPRODUCT(Calc!$K$3:$K$22*(Calc!$G$3:$G$22&gt;B1907)*(Calc!$G$3:$G$22-B1907)^2)</f>
        <v/>
      </c>
      <c r="K1907">
        <f>SUMPRODUCT(Calc!$K$3:$K$22*(Calc!$G$3:$G$22&gt;A1907)*(Calc!$G$3:$G$22-A1907)*(Calc!$G$3:$G$22&gt;B1907)*(Calc!$G$3:$G$22-B1907))</f>
        <v/>
      </c>
      <c r="L1907">
        <f>SUMPRODUCT(Calc!$K$3:$K$22*(Calc!$G$3:$G$22&gt;A1907)*(Calc!$G$3:$G$22-A1907)*Calc!$G$3:$G$22)</f>
        <v/>
      </c>
      <c r="M1907">
        <f>SUMPRODUCT(Calc!$K$3:$K$22*(Calc!$G$3:$G$22&gt;B1907)*(Calc!$G$3:$G$22-B1907)*Calc!$G$3:$G$22)</f>
        <v/>
      </c>
      <c r="N1907">
        <f>SUMPRODUCT(Calc!$K$3:$K$22*(Calc!$G$3:$G$22&gt;A1907)*(Calc!$G$3:$G$22-A1907)*Calc!$I$3:$I$22)</f>
        <v/>
      </c>
      <c r="O1907">
        <f>SUMPRODUCT(Calc!$K$3:$K$22*(Calc!$G$3:$G$22&gt;B1907)*(Calc!$G$3:$G$22-B1907)*Calc!$I$3:$I$22)</f>
        <v/>
      </c>
      <c r="P1907">
        <f>I1907-G1907^2/k_n</f>
        <v/>
      </c>
      <c r="Q1907">
        <f>J1907-H1907^2/k_n</f>
        <v/>
      </c>
      <c r="R1907">
        <f>K1907-G1907*H1907/k_n</f>
        <v/>
      </c>
      <c r="S1907">
        <f>L1907-LTP3!$D$3*G1907/k_n</f>
        <v/>
      </c>
      <c r="T1907">
        <f>M1907-LTP3!$D$3*H1907/k_n</f>
        <v/>
      </c>
      <c r="U1907">
        <f>N1907-G1907*LTP3!$D$4/k_n</f>
        <v/>
      </c>
      <c r="V1907">
        <f>O1907-H1907*LTP3!$D$4/k_n</f>
        <v/>
      </c>
      <c r="W1907">
        <f>((LTP3!$D$5)*((P1907)*(Q1907)-(R1907)*(R1907))-(S1907)*((S1907)*(Q1907)-(R1907)*(T1907))+(T1907)*((S1907)*(R1907)-(P1907)*(T1907)))</f>
        <v/>
      </c>
      <c r="X1907">
        <f>IF(ABS(W1907)&gt;1E-12,((LTP3!$D$6)*((P1907)*(Q1907)-(R1907)*(R1907))-(S1907)*((U1907)*(Q1907)-(R1907)*(V1907))+(T1907)*((U1907)*(R1907)-(P1907)*(V1907)))/W1907,0)</f>
        <v/>
      </c>
      <c r="Y1907">
        <f>IF(ABS(W1907)&gt;1E-12,((LTP3!$D$5)*((U1907)*(Q1907)-(R1907)*(V1907))-(LTP3!$D$6)*((S1907)*(Q1907)-(R1907)*(T1907))+(T1907)*((S1907)*(V1907)-(U1907)*(T1907)))/W1907,0)</f>
        <v/>
      </c>
      <c r="Z1907">
        <f>IF(ABS(W1907)&gt;1E-12,((LTP3!$D$5)*((P1907)*(V1907)-(U1907)*(R1907))-(S1907)*((S1907)*(V1907)-(U1907)*(T1907))+(LTP3!$D$6)*((S1907)*(R1907)-(P1907)*(T1907)))/W1907,0)</f>
        <v/>
      </c>
      <c r="AA1907">
        <f>LTP3!$D$7-X1907*LTP3!$D$6-Y1907*U1907-Z1907*V1907</f>
        <v/>
      </c>
      <c r="AB1907">
        <f>IF(AND(F1907,ABS(W1907)&gt;1E-12,Y1907&gt;0,Z1907&gt;0),AA1907,1E+300)</f>
        <v/>
      </c>
    </row>
    <row r="1908">
      <c r="A1908">
        <f>$B$3+$B$5*31</f>
        <v/>
      </c>
      <c r="B1908">
        <f>$B$3+$B$5*5</f>
        <v/>
      </c>
      <c r="C1908">
        <f>SUMPRODUCT(Calc!$K$3:$K$22*(Calc!$G$3:$G$22&lt;=A1908))</f>
        <v/>
      </c>
      <c r="D1908">
        <f>SUMPRODUCT(Calc!$K$3:$K$22*(Calc!$G$3:$G$22&gt;A1908)*(Calc!$G$3:$G$22&lt;B1908))</f>
        <v/>
      </c>
      <c r="E1908">
        <f>SUMPRODUCT(Calc!$K$3:$K$22*(Calc!$G$3:$G$22&gt;=B1908))</f>
        <v/>
      </c>
      <c r="F1908">
        <f>AND(k_n&gt;=5,B1908&gt;A1908+1E-9,C1908&gt;=2,D1908&gt;=1,E1908&gt;=2)</f>
        <v/>
      </c>
      <c r="G1908">
        <f>SUMPRODUCT(Calc!$K$3:$K$22*(Calc!$G$3:$G$22&gt;A1908)*(Calc!$G$3:$G$22-A1908))</f>
        <v/>
      </c>
      <c r="H1908">
        <f>SUMPRODUCT(Calc!$K$3:$K$22*(Calc!$G$3:$G$22&gt;B1908)*(Calc!$G$3:$G$22-B1908))</f>
        <v/>
      </c>
      <c r="I1908">
        <f>SUMPRODUCT(Calc!$K$3:$K$22*(Calc!$G$3:$G$22&gt;A1908)*(Calc!$G$3:$G$22-A1908)^2)</f>
        <v/>
      </c>
      <c r="J1908">
        <f>SUMPRODUCT(Calc!$K$3:$K$22*(Calc!$G$3:$G$22&gt;B1908)*(Calc!$G$3:$G$22-B1908)^2)</f>
        <v/>
      </c>
      <c r="K1908">
        <f>SUMPRODUCT(Calc!$K$3:$K$22*(Calc!$G$3:$G$22&gt;A1908)*(Calc!$G$3:$G$22-A1908)*(Calc!$G$3:$G$22&gt;B1908)*(Calc!$G$3:$G$22-B1908))</f>
        <v/>
      </c>
      <c r="L1908">
        <f>SUMPRODUCT(Calc!$K$3:$K$22*(Calc!$G$3:$G$22&gt;A1908)*(Calc!$G$3:$G$22-A1908)*Calc!$G$3:$G$22)</f>
        <v/>
      </c>
      <c r="M1908">
        <f>SUMPRODUCT(Calc!$K$3:$K$22*(Calc!$G$3:$G$22&gt;B1908)*(Calc!$G$3:$G$22-B1908)*Calc!$G$3:$G$22)</f>
        <v/>
      </c>
      <c r="N1908">
        <f>SUMPRODUCT(Calc!$K$3:$K$22*(Calc!$G$3:$G$22&gt;A1908)*(Calc!$G$3:$G$22-A1908)*Calc!$I$3:$I$22)</f>
        <v/>
      </c>
      <c r="O1908">
        <f>SUMPRODUCT(Calc!$K$3:$K$22*(Calc!$G$3:$G$22&gt;B1908)*(Calc!$G$3:$G$22-B1908)*Calc!$I$3:$I$22)</f>
        <v/>
      </c>
      <c r="P1908">
        <f>I1908-G1908^2/k_n</f>
        <v/>
      </c>
      <c r="Q1908">
        <f>J1908-H1908^2/k_n</f>
        <v/>
      </c>
      <c r="R1908">
        <f>K1908-G1908*H1908/k_n</f>
        <v/>
      </c>
      <c r="S1908">
        <f>L1908-LTP3!$D$3*G1908/k_n</f>
        <v/>
      </c>
      <c r="T1908">
        <f>M1908-LTP3!$D$3*H1908/k_n</f>
        <v/>
      </c>
      <c r="U1908">
        <f>N1908-G1908*LTP3!$D$4/k_n</f>
        <v/>
      </c>
      <c r="V1908">
        <f>O1908-H1908*LTP3!$D$4/k_n</f>
        <v/>
      </c>
      <c r="W1908">
        <f>((LTP3!$D$5)*((P1908)*(Q1908)-(R1908)*(R1908))-(S1908)*((S1908)*(Q1908)-(R1908)*(T1908))+(T1908)*((S1908)*(R1908)-(P1908)*(T1908)))</f>
        <v/>
      </c>
      <c r="X1908">
        <f>IF(ABS(W1908)&gt;1E-12,((LTP3!$D$6)*((P1908)*(Q1908)-(R1908)*(R1908))-(S1908)*((U1908)*(Q1908)-(R1908)*(V1908))+(T1908)*((U1908)*(R1908)-(P1908)*(V1908)))/W1908,0)</f>
        <v/>
      </c>
      <c r="Y1908">
        <f>IF(ABS(W1908)&gt;1E-12,((LTP3!$D$5)*((U1908)*(Q1908)-(R1908)*(V1908))-(LTP3!$D$6)*((S1908)*(Q1908)-(R1908)*(T1908))+(T1908)*((S1908)*(V1908)-(U1908)*(T1908)))/W1908,0)</f>
        <v/>
      </c>
      <c r="Z1908">
        <f>IF(ABS(W1908)&gt;1E-12,((LTP3!$D$5)*((P1908)*(V1908)-(U1908)*(R1908))-(S1908)*((S1908)*(V1908)-(U1908)*(T1908))+(LTP3!$D$6)*((S1908)*(R1908)-(P1908)*(T1908)))/W1908,0)</f>
        <v/>
      </c>
      <c r="AA1908">
        <f>LTP3!$D$7-X1908*LTP3!$D$6-Y1908*U1908-Z1908*V1908</f>
        <v/>
      </c>
      <c r="AB1908">
        <f>IF(AND(F1908,ABS(W1908)&gt;1E-12,Y1908&gt;0,Z1908&gt;0),AA1908,1E+300)</f>
        <v/>
      </c>
    </row>
    <row r="1909">
      <c r="A1909">
        <f>$B$3+$B$5*31</f>
        <v/>
      </c>
      <c r="B1909">
        <f>$B$3+$B$5*6</f>
        <v/>
      </c>
      <c r="C1909">
        <f>SUMPRODUCT(Calc!$K$3:$K$22*(Calc!$G$3:$G$22&lt;=A1909))</f>
        <v/>
      </c>
      <c r="D1909">
        <f>SUMPRODUCT(Calc!$K$3:$K$22*(Calc!$G$3:$G$22&gt;A1909)*(Calc!$G$3:$G$22&lt;B1909))</f>
        <v/>
      </c>
      <c r="E1909">
        <f>SUMPRODUCT(Calc!$K$3:$K$22*(Calc!$G$3:$G$22&gt;=B1909))</f>
        <v/>
      </c>
      <c r="F1909">
        <f>AND(k_n&gt;=5,B1909&gt;A1909+1E-9,C1909&gt;=2,D1909&gt;=1,E1909&gt;=2)</f>
        <v/>
      </c>
      <c r="G1909">
        <f>SUMPRODUCT(Calc!$K$3:$K$22*(Calc!$G$3:$G$22&gt;A1909)*(Calc!$G$3:$G$22-A1909))</f>
        <v/>
      </c>
      <c r="H1909">
        <f>SUMPRODUCT(Calc!$K$3:$K$22*(Calc!$G$3:$G$22&gt;B1909)*(Calc!$G$3:$G$22-B1909))</f>
        <v/>
      </c>
      <c r="I1909">
        <f>SUMPRODUCT(Calc!$K$3:$K$22*(Calc!$G$3:$G$22&gt;A1909)*(Calc!$G$3:$G$22-A1909)^2)</f>
        <v/>
      </c>
      <c r="J1909">
        <f>SUMPRODUCT(Calc!$K$3:$K$22*(Calc!$G$3:$G$22&gt;B1909)*(Calc!$G$3:$G$22-B1909)^2)</f>
        <v/>
      </c>
      <c r="K1909">
        <f>SUMPRODUCT(Calc!$K$3:$K$22*(Calc!$G$3:$G$22&gt;A1909)*(Calc!$G$3:$G$22-A1909)*(Calc!$G$3:$G$22&gt;B1909)*(Calc!$G$3:$G$22-B1909))</f>
        <v/>
      </c>
      <c r="L1909">
        <f>SUMPRODUCT(Calc!$K$3:$K$22*(Calc!$G$3:$G$22&gt;A1909)*(Calc!$G$3:$G$22-A1909)*Calc!$G$3:$G$22)</f>
        <v/>
      </c>
      <c r="M1909">
        <f>SUMPRODUCT(Calc!$K$3:$K$22*(Calc!$G$3:$G$22&gt;B1909)*(Calc!$G$3:$G$22-B1909)*Calc!$G$3:$G$22)</f>
        <v/>
      </c>
      <c r="N1909">
        <f>SUMPRODUCT(Calc!$K$3:$K$22*(Calc!$G$3:$G$22&gt;A1909)*(Calc!$G$3:$G$22-A1909)*Calc!$I$3:$I$22)</f>
        <v/>
      </c>
      <c r="O1909">
        <f>SUMPRODUCT(Calc!$K$3:$K$22*(Calc!$G$3:$G$22&gt;B1909)*(Calc!$G$3:$G$22-B1909)*Calc!$I$3:$I$22)</f>
        <v/>
      </c>
      <c r="P1909">
        <f>I1909-G1909^2/k_n</f>
        <v/>
      </c>
      <c r="Q1909">
        <f>J1909-H1909^2/k_n</f>
        <v/>
      </c>
      <c r="R1909">
        <f>K1909-G1909*H1909/k_n</f>
        <v/>
      </c>
      <c r="S1909">
        <f>L1909-LTP3!$D$3*G1909/k_n</f>
        <v/>
      </c>
      <c r="T1909">
        <f>M1909-LTP3!$D$3*H1909/k_n</f>
        <v/>
      </c>
      <c r="U1909">
        <f>N1909-G1909*LTP3!$D$4/k_n</f>
        <v/>
      </c>
      <c r="V1909">
        <f>O1909-H1909*LTP3!$D$4/k_n</f>
        <v/>
      </c>
      <c r="W1909">
        <f>((LTP3!$D$5)*((P1909)*(Q1909)-(R1909)*(R1909))-(S1909)*((S1909)*(Q1909)-(R1909)*(T1909))+(T1909)*((S1909)*(R1909)-(P1909)*(T1909)))</f>
        <v/>
      </c>
      <c r="X1909">
        <f>IF(ABS(W1909)&gt;1E-12,((LTP3!$D$6)*((P1909)*(Q1909)-(R1909)*(R1909))-(S1909)*((U1909)*(Q1909)-(R1909)*(V1909))+(T1909)*((U1909)*(R1909)-(P1909)*(V1909)))/W1909,0)</f>
        <v/>
      </c>
      <c r="Y1909">
        <f>IF(ABS(W1909)&gt;1E-12,((LTP3!$D$5)*((U1909)*(Q1909)-(R1909)*(V1909))-(LTP3!$D$6)*((S1909)*(Q1909)-(R1909)*(T1909))+(T1909)*((S1909)*(V1909)-(U1909)*(T1909)))/W1909,0)</f>
        <v/>
      </c>
      <c r="Z1909">
        <f>IF(ABS(W1909)&gt;1E-12,((LTP3!$D$5)*((P1909)*(V1909)-(U1909)*(R1909))-(S1909)*((S1909)*(V1909)-(U1909)*(T1909))+(LTP3!$D$6)*((S1909)*(R1909)-(P1909)*(T1909)))/W1909,0)</f>
        <v/>
      </c>
      <c r="AA1909">
        <f>LTP3!$D$7-X1909*LTP3!$D$6-Y1909*U1909-Z1909*V1909</f>
        <v/>
      </c>
      <c r="AB1909">
        <f>IF(AND(F1909,ABS(W1909)&gt;1E-12,Y1909&gt;0,Z1909&gt;0),AA1909,1E+300)</f>
        <v/>
      </c>
    </row>
    <row r="1910">
      <c r="A1910">
        <f>$B$3+$B$5*31</f>
        <v/>
      </c>
      <c r="B1910">
        <f>$B$3+$B$5*7</f>
        <v/>
      </c>
      <c r="C1910">
        <f>SUMPRODUCT(Calc!$K$3:$K$22*(Calc!$G$3:$G$22&lt;=A1910))</f>
        <v/>
      </c>
      <c r="D1910">
        <f>SUMPRODUCT(Calc!$K$3:$K$22*(Calc!$G$3:$G$22&gt;A1910)*(Calc!$G$3:$G$22&lt;B1910))</f>
        <v/>
      </c>
      <c r="E1910">
        <f>SUMPRODUCT(Calc!$K$3:$K$22*(Calc!$G$3:$G$22&gt;=B1910))</f>
        <v/>
      </c>
      <c r="F1910">
        <f>AND(k_n&gt;=5,B1910&gt;A1910+1E-9,C1910&gt;=2,D1910&gt;=1,E1910&gt;=2)</f>
        <v/>
      </c>
      <c r="G1910">
        <f>SUMPRODUCT(Calc!$K$3:$K$22*(Calc!$G$3:$G$22&gt;A1910)*(Calc!$G$3:$G$22-A1910))</f>
        <v/>
      </c>
      <c r="H1910">
        <f>SUMPRODUCT(Calc!$K$3:$K$22*(Calc!$G$3:$G$22&gt;B1910)*(Calc!$G$3:$G$22-B1910))</f>
        <v/>
      </c>
      <c r="I1910">
        <f>SUMPRODUCT(Calc!$K$3:$K$22*(Calc!$G$3:$G$22&gt;A1910)*(Calc!$G$3:$G$22-A1910)^2)</f>
        <v/>
      </c>
      <c r="J1910">
        <f>SUMPRODUCT(Calc!$K$3:$K$22*(Calc!$G$3:$G$22&gt;B1910)*(Calc!$G$3:$G$22-B1910)^2)</f>
        <v/>
      </c>
      <c r="K1910">
        <f>SUMPRODUCT(Calc!$K$3:$K$22*(Calc!$G$3:$G$22&gt;A1910)*(Calc!$G$3:$G$22-A1910)*(Calc!$G$3:$G$22&gt;B1910)*(Calc!$G$3:$G$22-B1910))</f>
        <v/>
      </c>
      <c r="L1910">
        <f>SUMPRODUCT(Calc!$K$3:$K$22*(Calc!$G$3:$G$22&gt;A1910)*(Calc!$G$3:$G$22-A1910)*Calc!$G$3:$G$22)</f>
        <v/>
      </c>
      <c r="M1910">
        <f>SUMPRODUCT(Calc!$K$3:$K$22*(Calc!$G$3:$G$22&gt;B1910)*(Calc!$G$3:$G$22-B1910)*Calc!$G$3:$G$22)</f>
        <v/>
      </c>
      <c r="N1910">
        <f>SUMPRODUCT(Calc!$K$3:$K$22*(Calc!$G$3:$G$22&gt;A1910)*(Calc!$G$3:$G$22-A1910)*Calc!$I$3:$I$22)</f>
        <v/>
      </c>
      <c r="O1910">
        <f>SUMPRODUCT(Calc!$K$3:$K$22*(Calc!$G$3:$G$22&gt;B1910)*(Calc!$G$3:$G$22-B1910)*Calc!$I$3:$I$22)</f>
        <v/>
      </c>
      <c r="P1910">
        <f>I1910-G1910^2/k_n</f>
        <v/>
      </c>
      <c r="Q1910">
        <f>J1910-H1910^2/k_n</f>
        <v/>
      </c>
      <c r="R1910">
        <f>K1910-G1910*H1910/k_n</f>
        <v/>
      </c>
      <c r="S1910">
        <f>L1910-LTP3!$D$3*G1910/k_n</f>
        <v/>
      </c>
      <c r="T1910">
        <f>M1910-LTP3!$D$3*H1910/k_n</f>
        <v/>
      </c>
      <c r="U1910">
        <f>N1910-G1910*LTP3!$D$4/k_n</f>
        <v/>
      </c>
      <c r="V1910">
        <f>O1910-H1910*LTP3!$D$4/k_n</f>
        <v/>
      </c>
      <c r="W1910">
        <f>((LTP3!$D$5)*((P1910)*(Q1910)-(R1910)*(R1910))-(S1910)*((S1910)*(Q1910)-(R1910)*(T1910))+(T1910)*((S1910)*(R1910)-(P1910)*(T1910)))</f>
        <v/>
      </c>
      <c r="X1910">
        <f>IF(ABS(W1910)&gt;1E-12,((LTP3!$D$6)*((P1910)*(Q1910)-(R1910)*(R1910))-(S1910)*((U1910)*(Q1910)-(R1910)*(V1910))+(T1910)*((U1910)*(R1910)-(P1910)*(V1910)))/W1910,0)</f>
        <v/>
      </c>
      <c r="Y1910">
        <f>IF(ABS(W1910)&gt;1E-12,((LTP3!$D$5)*((U1910)*(Q1910)-(R1910)*(V1910))-(LTP3!$D$6)*((S1910)*(Q1910)-(R1910)*(T1910))+(T1910)*((S1910)*(V1910)-(U1910)*(T1910)))/W1910,0)</f>
        <v/>
      </c>
      <c r="Z1910">
        <f>IF(ABS(W1910)&gt;1E-12,((LTP3!$D$5)*((P1910)*(V1910)-(U1910)*(R1910))-(S1910)*((S1910)*(V1910)-(U1910)*(T1910))+(LTP3!$D$6)*((S1910)*(R1910)-(P1910)*(T1910)))/W1910,0)</f>
        <v/>
      </c>
      <c r="AA1910">
        <f>LTP3!$D$7-X1910*LTP3!$D$6-Y1910*U1910-Z1910*V1910</f>
        <v/>
      </c>
      <c r="AB1910">
        <f>IF(AND(F1910,ABS(W1910)&gt;1E-12,Y1910&gt;0,Z1910&gt;0),AA1910,1E+300)</f>
        <v/>
      </c>
    </row>
    <row r="1911">
      <c r="A1911">
        <f>$B$3+$B$5*31</f>
        <v/>
      </c>
      <c r="B1911">
        <f>$B$3+$B$5*8</f>
        <v/>
      </c>
      <c r="C1911">
        <f>SUMPRODUCT(Calc!$K$3:$K$22*(Calc!$G$3:$G$22&lt;=A1911))</f>
        <v/>
      </c>
      <c r="D1911">
        <f>SUMPRODUCT(Calc!$K$3:$K$22*(Calc!$G$3:$G$22&gt;A1911)*(Calc!$G$3:$G$22&lt;B1911))</f>
        <v/>
      </c>
      <c r="E1911">
        <f>SUMPRODUCT(Calc!$K$3:$K$22*(Calc!$G$3:$G$22&gt;=B1911))</f>
        <v/>
      </c>
      <c r="F1911">
        <f>AND(k_n&gt;=5,B1911&gt;A1911+1E-9,C1911&gt;=2,D1911&gt;=1,E1911&gt;=2)</f>
        <v/>
      </c>
      <c r="G1911">
        <f>SUMPRODUCT(Calc!$K$3:$K$22*(Calc!$G$3:$G$22&gt;A1911)*(Calc!$G$3:$G$22-A1911))</f>
        <v/>
      </c>
      <c r="H1911">
        <f>SUMPRODUCT(Calc!$K$3:$K$22*(Calc!$G$3:$G$22&gt;B1911)*(Calc!$G$3:$G$22-B1911))</f>
        <v/>
      </c>
      <c r="I1911">
        <f>SUMPRODUCT(Calc!$K$3:$K$22*(Calc!$G$3:$G$22&gt;A1911)*(Calc!$G$3:$G$22-A1911)^2)</f>
        <v/>
      </c>
      <c r="J1911">
        <f>SUMPRODUCT(Calc!$K$3:$K$22*(Calc!$G$3:$G$22&gt;B1911)*(Calc!$G$3:$G$22-B1911)^2)</f>
        <v/>
      </c>
      <c r="K1911">
        <f>SUMPRODUCT(Calc!$K$3:$K$22*(Calc!$G$3:$G$22&gt;A1911)*(Calc!$G$3:$G$22-A1911)*(Calc!$G$3:$G$22&gt;B1911)*(Calc!$G$3:$G$22-B1911))</f>
        <v/>
      </c>
      <c r="L1911">
        <f>SUMPRODUCT(Calc!$K$3:$K$22*(Calc!$G$3:$G$22&gt;A1911)*(Calc!$G$3:$G$22-A1911)*Calc!$G$3:$G$22)</f>
        <v/>
      </c>
      <c r="M1911">
        <f>SUMPRODUCT(Calc!$K$3:$K$22*(Calc!$G$3:$G$22&gt;B1911)*(Calc!$G$3:$G$22-B1911)*Calc!$G$3:$G$22)</f>
        <v/>
      </c>
      <c r="N1911">
        <f>SUMPRODUCT(Calc!$K$3:$K$22*(Calc!$G$3:$G$22&gt;A1911)*(Calc!$G$3:$G$22-A1911)*Calc!$I$3:$I$22)</f>
        <v/>
      </c>
      <c r="O1911">
        <f>SUMPRODUCT(Calc!$K$3:$K$22*(Calc!$G$3:$G$22&gt;B1911)*(Calc!$G$3:$G$22-B1911)*Calc!$I$3:$I$22)</f>
        <v/>
      </c>
      <c r="P1911">
        <f>I1911-G1911^2/k_n</f>
        <v/>
      </c>
      <c r="Q1911">
        <f>J1911-H1911^2/k_n</f>
        <v/>
      </c>
      <c r="R1911">
        <f>K1911-G1911*H1911/k_n</f>
        <v/>
      </c>
      <c r="S1911">
        <f>L1911-LTP3!$D$3*G1911/k_n</f>
        <v/>
      </c>
      <c r="T1911">
        <f>M1911-LTP3!$D$3*H1911/k_n</f>
        <v/>
      </c>
      <c r="U1911">
        <f>N1911-G1911*LTP3!$D$4/k_n</f>
        <v/>
      </c>
      <c r="V1911">
        <f>O1911-H1911*LTP3!$D$4/k_n</f>
        <v/>
      </c>
      <c r="W1911">
        <f>((LTP3!$D$5)*((P1911)*(Q1911)-(R1911)*(R1911))-(S1911)*((S1911)*(Q1911)-(R1911)*(T1911))+(T1911)*((S1911)*(R1911)-(P1911)*(T1911)))</f>
        <v/>
      </c>
      <c r="X1911">
        <f>IF(ABS(W1911)&gt;1E-12,((LTP3!$D$6)*((P1911)*(Q1911)-(R1911)*(R1911))-(S1911)*((U1911)*(Q1911)-(R1911)*(V1911))+(T1911)*((U1911)*(R1911)-(P1911)*(V1911)))/W1911,0)</f>
        <v/>
      </c>
      <c r="Y1911">
        <f>IF(ABS(W1911)&gt;1E-12,((LTP3!$D$5)*((U1911)*(Q1911)-(R1911)*(V1911))-(LTP3!$D$6)*((S1911)*(Q1911)-(R1911)*(T1911))+(T1911)*((S1911)*(V1911)-(U1911)*(T1911)))/W1911,0)</f>
        <v/>
      </c>
      <c r="Z1911">
        <f>IF(ABS(W1911)&gt;1E-12,((LTP3!$D$5)*((P1911)*(V1911)-(U1911)*(R1911))-(S1911)*((S1911)*(V1911)-(U1911)*(T1911))+(LTP3!$D$6)*((S1911)*(R1911)-(P1911)*(T1911)))/W1911,0)</f>
        <v/>
      </c>
      <c r="AA1911">
        <f>LTP3!$D$7-X1911*LTP3!$D$6-Y1911*U1911-Z1911*V1911</f>
        <v/>
      </c>
      <c r="AB1911">
        <f>IF(AND(F1911,ABS(W1911)&gt;1E-12,Y1911&gt;0,Z1911&gt;0),AA1911,1E+300)</f>
        <v/>
      </c>
    </row>
    <row r="1912">
      <c r="A1912">
        <f>$B$3+$B$5*31</f>
        <v/>
      </c>
      <c r="B1912">
        <f>$B$3+$B$5*9</f>
        <v/>
      </c>
      <c r="C1912">
        <f>SUMPRODUCT(Calc!$K$3:$K$22*(Calc!$G$3:$G$22&lt;=A1912))</f>
        <v/>
      </c>
      <c r="D1912">
        <f>SUMPRODUCT(Calc!$K$3:$K$22*(Calc!$G$3:$G$22&gt;A1912)*(Calc!$G$3:$G$22&lt;B1912))</f>
        <v/>
      </c>
      <c r="E1912">
        <f>SUMPRODUCT(Calc!$K$3:$K$22*(Calc!$G$3:$G$22&gt;=B1912))</f>
        <v/>
      </c>
      <c r="F1912">
        <f>AND(k_n&gt;=5,B1912&gt;A1912+1E-9,C1912&gt;=2,D1912&gt;=1,E1912&gt;=2)</f>
        <v/>
      </c>
      <c r="G1912">
        <f>SUMPRODUCT(Calc!$K$3:$K$22*(Calc!$G$3:$G$22&gt;A1912)*(Calc!$G$3:$G$22-A1912))</f>
        <v/>
      </c>
      <c r="H1912">
        <f>SUMPRODUCT(Calc!$K$3:$K$22*(Calc!$G$3:$G$22&gt;B1912)*(Calc!$G$3:$G$22-B1912))</f>
        <v/>
      </c>
      <c r="I1912">
        <f>SUMPRODUCT(Calc!$K$3:$K$22*(Calc!$G$3:$G$22&gt;A1912)*(Calc!$G$3:$G$22-A1912)^2)</f>
        <v/>
      </c>
      <c r="J1912">
        <f>SUMPRODUCT(Calc!$K$3:$K$22*(Calc!$G$3:$G$22&gt;B1912)*(Calc!$G$3:$G$22-B1912)^2)</f>
        <v/>
      </c>
      <c r="K1912">
        <f>SUMPRODUCT(Calc!$K$3:$K$22*(Calc!$G$3:$G$22&gt;A1912)*(Calc!$G$3:$G$22-A1912)*(Calc!$G$3:$G$22&gt;B1912)*(Calc!$G$3:$G$22-B1912))</f>
        <v/>
      </c>
      <c r="L1912">
        <f>SUMPRODUCT(Calc!$K$3:$K$22*(Calc!$G$3:$G$22&gt;A1912)*(Calc!$G$3:$G$22-A1912)*Calc!$G$3:$G$22)</f>
        <v/>
      </c>
      <c r="M1912">
        <f>SUMPRODUCT(Calc!$K$3:$K$22*(Calc!$G$3:$G$22&gt;B1912)*(Calc!$G$3:$G$22-B1912)*Calc!$G$3:$G$22)</f>
        <v/>
      </c>
      <c r="N1912">
        <f>SUMPRODUCT(Calc!$K$3:$K$22*(Calc!$G$3:$G$22&gt;A1912)*(Calc!$G$3:$G$22-A1912)*Calc!$I$3:$I$22)</f>
        <v/>
      </c>
      <c r="O1912">
        <f>SUMPRODUCT(Calc!$K$3:$K$22*(Calc!$G$3:$G$22&gt;B1912)*(Calc!$G$3:$G$22-B1912)*Calc!$I$3:$I$22)</f>
        <v/>
      </c>
      <c r="P1912">
        <f>I1912-G1912^2/k_n</f>
        <v/>
      </c>
      <c r="Q1912">
        <f>J1912-H1912^2/k_n</f>
        <v/>
      </c>
      <c r="R1912">
        <f>K1912-G1912*H1912/k_n</f>
        <v/>
      </c>
      <c r="S1912">
        <f>L1912-LTP3!$D$3*G1912/k_n</f>
        <v/>
      </c>
      <c r="T1912">
        <f>M1912-LTP3!$D$3*H1912/k_n</f>
        <v/>
      </c>
      <c r="U1912">
        <f>N1912-G1912*LTP3!$D$4/k_n</f>
        <v/>
      </c>
      <c r="V1912">
        <f>O1912-H1912*LTP3!$D$4/k_n</f>
        <v/>
      </c>
      <c r="W1912">
        <f>((LTP3!$D$5)*((P1912)*(Q1912)-(R1912)*(R1912))-(S1912)*((S1912)*(Q1912)-(R1912)*(T1912))+(T1912)*((S1912)*(R1912)-(P1912)*(T1912)))</f>
        <v/>
      </c>
      <c r="X1912">
        <f>IF(ABS(W1912)&gt;1E-12,((LTP3!$D$6)*((P1912)*(Q1912)-(R1912)*(R1912))-(S1912)*((U1912)*(Q1912)-(R1912)*(V1912))+(T1912)*((U1912)*(R1912)-(P1912)*(V1912)))/W1912,0)</f>
        <v/>
      </c>
      <c r="Y1912">
        <f>IF(ABS(W1912)&gt;1E-12,((LTP3!$D$5)*((U1912)*(Q1912)-(R1912)*(V1912))-(LTP3!$D$6)*((S1912)*(Q1912)-(R1912)*(T1912))+(T1912)*((S1912)*(V1912)-(U1912)*(T1912)))/W1912,0)</f>
        <v/>
      </c>
      <c r="Z1912">
        <f>IF(ABS(W1912)&gt;1E-12,((LTP3!$D$5)*((P1912)*(V1912)-(U1912)*(R1912))-(S1912)*((S1912)*(V1912)-(U1912)*(T1912))+(LTP3!$D$6)*((S1912)*(R1912)-(P1912)*(T1912)))/W1912,0)</f>
        <v/>
      </c>
      <c r="AA1912">
        <f>LTP3!$D$7-X1912*LTP3!$D$6-Y1912*U1912-Z1912*V1912</f>
        <v/>
      </c>
      <c r="AB1912">
        <f>IF(AND(F1912,ABS(W1912)&gt;1E-12,Y1912&gt;0,Z1912&gt;0),AA1912,1E+300)</f>
        <v/>
      </c>
    </row>
    <row r="1913">
      <c r="A1913">
        <f>$B$3+$B$5*31</f>
        <v/>
      </c>
      <c r="B1913">
        <f>$B$3+$B$5*10</f>
        <v/>
      </c>
      <c r="C1913">
        <f>SUMPRODUCT(Calc!$K$3:$K$22*(Calc!$G$3:$G$22&lt;=A1913))</f>
        <v/>
      </c>
      <c r="D1913">
        <f>SUMPRODUCT(Calc!$K$3:$K$22*(Calc!$G$3:$G$22&gt;A1913)*(Calc!$G$3:$G$22&lt;B1913))</f>
        <v/>
      </c>
      <c r="E1913">
        <f>SUMPRODUCT(Calc!$K$3:$K$22*(Calc!$G$3:$G$22&gt;=B1913))</f>
        <v/>
      </c>
      <c r="F1913">
        <f>AND(k_n&gt;=5,B1913&gt;A1913+1E-9,C1913&gt;=2,D1913&gt;=1,E1913&gt;=2)</f>
        <v/>
      </c>
      <c r="G1913">
        <f>SUMPRODUCT(Calc!$K$3:$K$22*(Calc!$G$3:$G$22&gt;A1913)*(Calc!$G$3:$G$22-A1913))</f>
        <v/>
      </c>
      <c r="H1913">
        <f>SUMPRODUCT(Calc!$K$3:$K$22*(Calc!$G$3:$G$22&gt;B1913)*(Calc!$G$3:$G$22-B1913))</f>
        <v/>
      </c>
      <c r="I1913">
        <f>SUMPRODUCT(Calc!$K$3:$K$22*(Calc!$G$3:$G$22&gt;A1913)*(Calc!$G$3:$G$22-A1913)^2)</f>
        <v/>
      </c>
      <c r="J1913">
        <f>SUMPRODUCT(Calc!$K$3:$K$22*(Calc!$G$3:$G$22&gt;B1913)*(Calc!$G$3:$G$22-B1913)^2)</f>
        <v/>
      </c>
      <c r="K1913">
        <f>SUMPRODUCT(Calc!$K$3:$K$22*(Calc!$G$3:$G$22&gt;A1913)*(Calc!$G$3:$G$22-A1913)*(Calc!$G$3:$G$22&gt;B1913)*(Calc!$G$3:$G$22-B1913))</f>
        <v/>
      </c>
      <c r="L1913">
        <f>SUMPRODUCT(Calc!$K$3:$K$22*(Calc!$G$3:$G$22&gt;A1913)*(Calc!$G$3:$G$22-A1913)*Calc!$G$3:$G$22)</f>
        <v/>
      </c>
      <c r="M1913">
        <f>SUMPRODUCT(Calc!$K$3:$K$22*(Calc!$G$3:$G$22&gt;B1913)*(Calc!$G$3:$G$22-B1913)*Calc!$G$3:$G$22)</f>
        <v/>
      </c>
      <c r="N1913">
        <f>SUMPRODUCT(Calc!$K$3:$K$22*(Calc!$G$3:$G$22&gt;A1913)*(Calc!$G$3:$G$22-A1913)*Calc!$I$3:$I$22)</f>
        <v/>
      </c>
      <c r="O1913">
        <f>SUMPRODUCT(Calc!$K$3:$K$22*(Calc!$G$3:$G$22&gt;B1913)*(Calc!$G$3:$G$22-B1913)*Calc!$I$3:$I$22)</f>
        <v/>
      </c>
      <c r="P1913">
        <f>I1913-G1913^2/k_n</f>
        <v/>
      </c>
      <c r="Q1913">
        <f>J1913-H1913^2/k_n</f>
        <v/>
      </c>
      <c r="R1913">
        <f>K1913-G1913*H1913/k_n</f>
        <v/>
      </c>
      <c r="S1913">
        <f>L1913-LTP3!$D$3*G1913/k_n</f>
        <v/>
      </c>
      <c r="T1913">
        <f>M1913-LTP3!$D$3*H1913/k_n</f>
        <v/>
      </c>
      <c r="U1913">
        <f>N1913-G1913*LTP3!$D$4/k_n</f>
        <v/>
      </c>
      <c r="V1913">
        <f>O1913-H1913*LTP3!$D$4/k_n</f>
        <v/>
      </c>
      <c r="W1913">
        <f>((LTP3!$D$5)*((P1913)*(Q1913)-(R1913)*(R1913))-(S1913)*((S1913)*(Q1913)-(R1913)*(T1913))+(T1913)*((S1913)*(R1913)-(P1913)*(T1913)))</f>
        <v/>
      </c>
      <c r="X1913">
        <f>IF(ABS(W1913)&gt;1E-12,((LTP3!$D$6)*((P1913)*(Q1913)-(R1913)*(R1913))-(S1913)*((U1913)*(Q1913)-(R1913)*(V1913))+(T1913)*((U1913)*(R1913)-(P1913)*(V1913)))/W1913,0)</f>
        <v/>
      </c>
      <c r="Y1913">
        <f>IF(ABS(W1913)&gt;1E-12,((LTP3!$D$5)*((U1913)*(Q1913)-(R1913)*(V1913))-(LTP3!$D$6)*((S1913)*(Q1913)-(R1913)*(T1913))+(T1913)*((S1913)*(V1913)-(U1913)*(T1913)))/W1913,0)</f>
        <v/>
      </c>
      <c r="Z1913">
        <f>IF(ABS(W1913)&gt;1E-12,((LTP3!$D$5)*((P1913)*(V1913)-(U1913)*(R1913))-(S1913)*((S1913)*(V1913)-(U1913)*(T1913))+(LTP3!$D$6)*((S1913)*(R1913)-(P1913)*(T1913)))/W1913,0)</f>
        <v/>
      </c>
      <c r="AA1913">
        <f>LTP3!$D$7-X1913*LTP3!$D$6-Y1913*U1913-Z1913*V1913</f>
        <v/>
      </c>
      <c r="AB1913">
        <f>IF(AND(F1913,ABS(W1913)&gt;1E-12,Y1913&gt;0,Z1913&gt;0),AA1913,1E+300)</f>
        <v/>
      </c>
    </row>
    <row r="1914">
      <c r="A1914">
        <f>$B$3+$B$5*31</f>
        <v/>
      </c>
      <c r="B1914">
        <f>$B$3+$B$5*11</f>
        <v/>
      </c>
      <c r="C1914">
        <f>SUMPRODUCT(Calc!$K$3:$K$22*(Calc!$G$3:$G$22&lt;=A1914))</f>
        <v/>
      </c>
      <c r="D1914">
        <f>SUMPRODUCT(Calc!$K$3:$K$22*(Calc!$G$3:$G$22&gt;A1914)*(Calc!$G$3:$G$22&lt;B1914))</f>
        <v/>
      </c>
      <c r="E1914">
        <f>SUMPRODUCT(Calc!$K$3:$K$22*(Calc!$G$3:$G$22&gt;=B1914))</f>
        <v/>
      </c>
      <c r="F1914">
        <f>AND(k_n&gt;=5,B1914&gt;A1914+1E-9,C1914&gt;=2,D1914&gt;=1,E1914&gt;=2)</f>
        <v/>
      </c>
      <c r="G1914">
        <f>SUMPRODUCT(Calc!$K$3:$K$22*(Calc!$G$3:$G$22&gt;A1914)*(Calc!$G$3:$G$22-A1914))</f>
        <v/>
      </c>
      <c r="H1914">
        <f>SUMPRODUCT(Calc!$K$3:$K$22*(Calc!$G$3:$G$22&gt;B1914)*(Calc!$G$3:$G$22-B1914))</f>
        <v/>
      </c>
      <c r="I1914">
        <f>SUMPRODUCT(Calc!$K$3:$K$22*(Calc!$G$3:$G$22&gt;A1914)*(Calc!$G$3:$G$22-A1914)^2)</f>
        <v/>
      </c>
      <c r="J1914">
        <f>SUMPRODUCT(Calc!$K$3:$K$22*(Calc!$G$3:$G$22&gt;B1914)*(Calc!$G$3:$G$22-B1914)^2)</f>
        <v/>
      </c>
      <c r="K1914">
        <f>SUMPRODUCT(Calc!$K$3:$K$22*(Calc!$G$3:$G$22&gt;A1914)*(Calc!$G$3:$G$22-A1914)*(Calc!$G$3:$G$22&gt;B1914)*(Calc!$G$3:$G$22-B1914))</f>
        <v/>
      </c>
      <c r="L1914">
        <f>SUMPRODUCT(Calc!$K$3:$K$22*(Calc!$G$3:$G$22&gt;A1914)*(Calc!$G$3:$G$22-A1914)*Calc!$G$3:$G$22)</f>
        <v/>
      </c>
      <c r="M1914">
        <f>SUMPRODUCT(Calc!$K$3:$K$22*(Calc!$G$3:$G$22&gt;B1914)*(Calc!$G$3:$G$22-B1914)*Calc!$G$3:$G$22)</f>
        <v/>
      </c>
      <c r="N1914">
        <f>SUMPRODUCT(Calc!$K$3:$K$22*(Calc!$G$3:$G$22&gt;A1914)*(Calc!$G$3:$G$22-A1914)*Calc!$I$3:$I$22)</f>
        <v/>
      </c>
      <c r="O1914">
        <f>SUMPRODUCT(Calc!$K$3:$K$22*(Calc!$G$3:$G$22&gt;B1914)*(Calc!$G$3:$G$22-B1914)*Calc!$I$3:$I$22)</f>
        <v/>
      </c>
      <c r="P1914">
        <f>I1914-G1914^2/k_n</f>
        <v/>
      </c>
      <c r="Q1914">
        <f>J1914-H1914^2/k_n</f>
        <v/>
      </c>
      <c r="R1914">
        <f>K1914-G1914*H1914/k_n</f>
        <v/>
      </c>
      <c r="S1914">
        <f>L1914-LTP3!$D$3*G1914/k_n</f>
        <v/>
      </c>
      <c r="T1914">
        <f>M1914-LTP3!$D$3*H1914/k_n</f>
        <v/>
      </c>
      <c r="U1914">
        <f>N1914-G1914*LTP3!$D$4/k_n</f>
        <v/>
      </c>
      <c r="V1914">
        <f>O1914-H1914*LTP3!$D$4/k_n</f>
        <v/>
      </c>
      <c r="W1914">
        <f>((LTP3!$D$5)*((P1914)*(Q1914)-(R1914)*(R1914))-(S1914)*((S1914)*(Q1914)-(R1914)*(T1914))+(T1914)*((S1914)*(R1914)-(P1914)*(T1914)))</f>
        <v/>
      </c>
      <c r="X1914">
        <f>IF(ABS(W1914)&gt;1E-12,((LTP3!$D$6)*((P1914)*(Q1914)-(R1914)*(R1914))-(S1914)*((U1914)*(Q1914)-(R1914)*(V1914))+(T1914)*((U1914)*(R1914)-(P1914)*(V1914)))/W1914,0)</f>
        <v/>
      </c>
      <c r="Y1914">
        <f>IF(ABS(W1914)&gt;1E-12,((LTP3!$D$5)*((U1914)*(Q1914)-(R1914)*(V1914))-(LTP3!$D$6)*((S1914)*(Q1914)-(R1914)*(T1914))+(T1914)*((S1914)*(V1914)-(U1914)*(T1914)))/W1914,0)</f>
        <v/>
      </c>
      <c r="Z1914">
        <f>IF(ABS(W1914)&gt;1E-12,((LTP3!$D$5)*((P1914)*(V1914)-(U1914)*(R1914))-(S1914)*((S1914)*(V1914)-(U1914)*(T1914))+(LTP3!$D$6)*((S1914)*(R1914)-(P1914)*(T1914)))/W1914,0)</f>
        <v/>
      </c>
      <c r="AA1914">
        <f>LTP3!$D$7-X1914*LTP3!$D$6-Y1914*U1914-Z1914*V1914</f>
        <v/>
      </c>
      <c r="AB1914">
        <f>IF(AND(F1914,ABS(W1914)&gt;1E-12,Y1914&gt;0,Z1914&gt;0),AA1914,1E+300)</f>
        <v/>
      </c>
    </row>
    <row r="1915">
      <c r="A1915">
        <f>$B$3+$B$5*31</f>
        <v/>
      </c>
      <c r="B1915">
        <f>$B$3+$B$5*12</f>
        <v/>
      </c>
      <c r="C1915">
        <f>SUMPRODUCT(Calc!$K$3:$K$22*(Calc!$G$3:$G$22&lt;=A1915))</f>
        <v/>
      </c>
      <c r="D1915">
        <f>SUMPRODUCT(Calc!$K$3:$K$22*(Calc!$G$3:$G$22&gt;A1915)*(Calc!$G$3:$G$22&lt;B1915))</f>
        <v/>
      </c>
      <c r="E1915">
        <f>SUMPRODUCT(Calc!$K$3:$K$22*(Calc!$G$3:$G$22&gt;=B1915))</f>
        <v/>
      </c>
      <c r="F1915">
        <f>AND(k_n&gt;=5,B1915&gt;A1915+1E-9,C1915&gt;=2,D1915&gt;=1,E1915&gt;=2)</f>
        <v/>
      </c>
      <c r="G1915">
        <f>SUMPRODUCT(Calc!$K$3:$K$22*(Calc!$G$3:$G$22&gt;A1915)*(Calc!$G$3:$G$22-A1915))</f>
        <v/>
      </c>
      <c r="H1915">
        <f>SUMPRODUCT(Calc!$K$3:$K$22*(Calc!$G$3:$G$22&gt;B1915)*(Calc!$G$3:$G$22-B1915))</f>
        <v/>
      </c>
      <c r="I1915">
        <f>SUMPRODUCT(Calc!$K$3:$K$22*(Calc!$G$3:$G$22&gt;A1915)*(Calc!$G$3:$G$22-A1915)^2)</f>
        <v/>
      </c>
      <c r="J1915">
        <f>SUMPRODUCT(Calc!$K$3:$K$22*(Calc!$G$3:$G$22&gt;B1915)*(Calc!$G$3:$G$22-B1915)^2)</f>
        <v/>
      </c>
      <c r="K1915">
        <f>SUMPRODUCT(Calc!$K$3:$K$22*(Calc!$G$3:$G$22&gt;A1915)*(Calc!$G$3:$G$22-A1915)*(Calc!$G$3:$G$22&gt;B1915)*(Calc!$G$3:$G$22-B1915))</f>
        <v/>
      </c>
      <c r="L1915">
        <f>SUMPRODUCT(Calc!$K$3:$K$22*(Calc!$G$3:$G$22&gt;A1915)*(Calc!$G$3:$G$22-A1915)*Calc!$G$3:$G$22)</f>
        <v/>
      </c>
      <c r="M1915">
        <f>SUMPRODUCT(Calc!$K$3:$K$22*(Calc!$G$3:$G$22&gt;B1915)*(Calc!$G$3:$G$22-B1915)*Calc!$G$3:$G$22)</f>
        <v/>
      </c>
      <c r="N1915">
        <f>SUMPRODUCT(Calc!$K$3:$K$22*(Calc!$G$3:$G$22&gt;A1915)*(Calc!$G$3:$G$22-A1915)*Calc!$I$3:$I$22)</f>
        <v/>
      </c>
      <c r="O1915">
        <f>SUMPRODUCT(Calc!$K$3:$K$22*(Calc!$G$3:$G$22&gt;B1915)*(Calc!$G$3:$G$22-B1915)*Calc!$I$3:$I$22)</f>
        <v/>
      </c>
      <c r="P1915">
        <f>I1915-G1915^2/k_n</f>
        <v/>
      </c>
      <c r="Q1915">
        <f>J1915-H1915^2/k_n</f>
        <v/>
      </c>
      <c r="R1915">
        <f>K1915-G1915*H1915/k_n</f>
        <v/>
      </c>
      <c r="S1915">
        <f>L1915-LTP3!$D$3*G1915/k_n</f>
        <v/>
      </c>
      <c r="T1915">
        <f>M1915-LTP3!$D$3*H1915/k_n</f>
        <v/>
      </c>
      <c r="U1915">
        <f>N1915-G1915*LTP3!$D$4/k_n</f>
        <v/>
      </c>
      <c r="V1915">
        <f>O1915-H1915*LTP3!$D$4/k_n</f>
        <v/>
      </c>
      <c r="W1915">
        <f>((LTP3!$D$5)*((P1915)*(Q1915)-(R1915)*(R1915))-(S1915)*((S1915)*(Q1915)-(R1915)*(T1915))+(T1915)*((S1915)*(R1915)-(P1915)*(T1915)))</f>
        <v/>
      </c>
      <c r="X1915">
        <f>IF(ABS(W1915)&gt;1E-12,((LTP3!$D$6)*((P1915)*(Q1915)-(R1915)*(R1915))-(S1915)*((U1915)*(Q1915)-(R1915)*(V1915))+(T1915)*((U1915)*(R1915)-(P1915)*(V1915)))/W1915,0)</f>
        <v/>
      </c>
      <c r="Y1915">
        <f>IF(ABS(W1915)&gt;1E-12,((LTP3!$D$5)*((U1915)*(Q1915)-(R1915)*(V1915))-(LTP3!$D$6)*((S1915)*(Q1915)-(R1915)*(T1915))+(T1915)*((S1915)*(V1915)-(U1915)*(T1915)))/W1915,0)</f>
        <v/>
      </c>
      <c r="Z1915">
        <f>IF(ABS(W1915)&gt;1E-12,((LTP3!$D$5)*((P1915)*(V1915)-(U1915)*(R1915))-(S1915)*((S1915)*(V1915)-(U1915)*(T1915))+(LTP3!$D$6)*((S1915)*(R1915)-(P1915)*(T1915)))/W1915,0)</f>
        <v/>
      </c>
      <c r="AA1915">
        <f>LTP3!$D$7-X1915*LTP3!$D$6-Y1915*U1915-Z1915*V1915</f>
        <v/>
      </c>
      <c r="AB1915">
        <f>IF(AND(F1915,ABS(W1915)&gt;1E-12,Y1915&gt;0,Z1915&gt;0),AA1915,1E+300)</f>
        <v/>
      </c>
    </row>
    <row r="1916">
      <c r="A1916">
        <f>$B$3+$B$5*31</f>
        <v/>
      </c>
      <c r="B1916">
        <f>$B$3+$B$5*13</f>
        <v/>
      </c>
      <c r="C1916">
        <f>SUMPRODUCT(Calc!$K$3:$K$22*(Calc!$G$3:$G$22&lt;=A1916))</f>
        <v/>
      </c>
      <c r="D1916">
        <f>SUMPRODUCT(Calc!$K$3:$K$22*(Calc!$G$3:$G$22&gt;A1916)*(Calc!$G$3:$G$22&lt;B1916))</f>
        <v/>
      </c>
      <c r="E1916">
        <f>SUMPRODUCT(Calc!$K$3:$K$22*(Calc!$G$3:$G$22&gt;=B1916))</f>
        <v/>
      </c>
      <c r="F1916">
        <f>AND(k_n&gt;=5,B1916&gt;A1916+1E-9,C1916&gt;=2,D1916&gt;=1,E1916&gt;=2)</f>
        <v/>
      </c>
      <c r="G1916">
        <f>SUMPRODUCT(Calc!$K$3:$K$22*(Calc!$G$3:$G$22&gt;A1916)*(Calc!$G$3:$G$22-A1916))</f>
        <v/>
      </c>
      <c r="H1916">
        <f>SUMPRODUCT(Calc!$K$3:$K$22*(Calc!$G$3:$G$22&gt;B1916)*(Calc!$G$3:$G$22-B1916))</f>
        <v/>
      </c>
      <c r="I1916">
        <f>SUMPRODUCT(Calc!$K$3:$K$22*(Calc!$G$3:$G$22&gt;A1916)*(Calc!$G$3:$G$22-A1916)^2)</f>
        <v/>
      </c>
      <c r="J1916">
        <f>SUMPRODUCT(Calc!$K$3:$K$22*(Calc!$G$3:$G$22&gt;B1916)*(Calc!$G$3:$G$22-B1916)^2)</f>
        <v/>
      </c>
      <c r="K1916">
        <f>SUMPRODUCT(Calc!$K$3:$K$22*(Calc!$G$3:$G$22&gt;A1916)*(Calc!$G$3:$G$22-A1916)*(Calc!$G$3:$G$22&gt;B1916)*(Calc!$G$3:$G$22-B1916))</f>
        <v/>
      </c>
      <c r="L1916">
        <f>SUMPRODUCT(Calc!$K$3:$K$22*(Calc!$G$3:$G$22&gt;A1916)*(Calc!$G$3:$G$22-A1916)*Calc!$G$3:$G$22)</f>
        <v/>
      </c>
      <c r="M1916">
        <f>SUMPRODUCT(Calc!$K$3:$K$22*(Calc!$G$3:$G$22&gt;B1916)*(Calc!$G$3:$G$22-B1916)*Calc!$G$3:$G$22)</f>
        <v/>
      </c>
      <c r="N1916">
        <f>SUMPRODUCT(Calc!$K$3:$K$22*(Calc!$G$3:$G$22&gt;A1916)*(Calc!$G$3:$G$22-A1916)*Calc!$I$3:$I$22)</f>
        <v/>
      </c>
      <c r="O1916">
        <f>SUMPRODUCT(Calc!$K$3:$K$22*(Calc!$G$3:$G$22&gt;B1916)*(Calc!$G$3:$G$22-B1916)*Calc!$I$3:$I$22)</f>
        <v/>
      </c>
      <c r="P1916">
        <f>I1916-G1916^2/k_n</f>
        <v/>
      </c>
      <c r="Q1916">
        <f>J1916-H1916^2/k_n</f>
        <v/>
      </c>
      <c r="R1916">
        <f>K1916-G1916*H1916/k_n</f>
        <v/>
      </c>
      <c r="S1916">
        <f>L1916-LTP3!$D$3*G1916/k_n</f>
        <v/>
      </c>
      <c r="T1916">
        <f>M1916-LTP3!$D$3*H1916/k_n</f>
        <v/>
      </c>
      <c r="U1916">
        <f>N1916-G1916*LTP3!$D$4/k_n</f>
        <v/>
      </c>
      <c r="V1916">
        <f>O1916-H1916*LTP3!$D$4/k_n</f>
        <v/>
      </c>
      <c r="W1916">
        <f>((LTP3!$D$5)*((P1916)*(Q1916)-(R1916)*(R1916))-(S1916)*((S1916)*(Q1916)-(R1916)*(T1916))+(T1916)*((S1916)*(R1916)-(P1916)*(T1916)))</f>
        <v/>
      </c>
      <c r="X1916">
        <f>IF(ABS(W1916)&gt;1E-12,((LTP3!$D$6)*((P1916)*(Q1916)-(R1916)*(R1916))-(S1916)*((U1916)*(Q1916)-(R1916)*(V1916))+(T1916)*((U1916)*(R1916)-(P1916)*(V1916)))/W1916,0)</f>
        <v/>
      </c>
      <c r="Y1916">
        <f>IF(ABS(W1916)&gt;1E-12,((LTP3!$D$5)*((U1916)*(Q1916)-(R1916)*(V1916))-(LTP3!$D$6)*((S1916)*(Q1916)-(R1916)*(T1916))+(T1916)*((S1916)*(V1916)-(U1916)*(T1916)))/W1916,0)</f>
        <v/>
      </c>
      <c r="Z1916">
        <f>IF(ABS(W1916)&gt;1E-12,((LTP3!$D$5)*((P1916)*(V1916)-(U1916)*(R1916))-(S1916)*((S1916)*(V1916)-(U1916)*(T1916))+(LTP3!$D$6)*((S1916)*(R1916)-(P1916)*(T1916)))/W1916,0)</f>
        <v/>
      </c>
      <c r="AA1916">
        <f>LTP3!$D$7-X1916*LTP3!$D$6-Y1916*U1916-Z1916*V1916</f>
        <v/>
      </c>
      <c r="AB1916">
        <f>IF(AND(F1916,ABS(W1916)&gt;1E-12,Y1916&gt;0,Z1916&gt;0),AA1916,1E+300)</f>
        <v/>
      </c>
    </row>
    <row r="1917">
      <c r="A1917">
        <f>$B$3+$B$5*31</f>
        <v/>
      </c>
      <c r="B1917">
        <f>$B$3+$B$5*14</f>
        <v/>
      </c>
      <c r="C1917">
        <f>SUMPRODUCT(Calc!$K$3:$K$22*(Calc!$G$3:$G$22&lt;=A1917))</f>
        <v/>
      </c>
      <c r="D1917">
        <f>SUMPRODUCT(Calc!$K$3:$K$22*(Calc!$G$3:$G$22&gt;A1917)*(Calc!$G$3:$G$22&lt;B1917))</f>
        <v/>
      </c>
      <c r="E1917">
        <f>SUMPRODUCT(Calc!$K$3:$K$22*(Calc!$G$3:$G$22&gt;=B1917))</f>
        <v/>
      </c>
      <c r="F1917">
        <f>AND(k_n&gt;=5,B1917&gt;A1917+1E-9,C1917&gt;=2,D1917&gt;=1,E1917&gt;=2)</f>
        <v/>
      </c>
      <c r="G1917">
        <f>SUMPRODUCT(Calc!$K$3:$K$22*(Calc!$G$3:$G$22&gt;A1917)*(Calc!$G$3:$G$22-A1917))</f>
        <v/>
      </c>
      <c r="H1917">
        <f>SUMPRODUCT(Calc!$K$3:$K$22*(Calc!$G$3:$G$22&gt;B1917)*(Calc!$G$3:$G$22-B1917))</f>
        <v/>
      </c>
      <c r="I1917">
        <f>SUMPRODUCT(Calc!$K$3:$K$22*(Calc!$G$3:$G$22&gt;A1917)*(Calc!$G$3:$G$22-A1917)^2)</f>
        <v/>
      </c>
      <c r="J1917">
        <f>SUMPRODUCT(Calc!$K$3:$K$22*(Calc!$G$3:$G$22&gt;B1917)*(Calc!$G$3:$G$22-B1917)^2)</f>
        <v/>
      </c>
      <c r="K1917">
        <f>SUMPRODUCT(Calc!$K$3:$K$22*(Calc!$G$3:$G$22&gt;A1917)*(Calc!$G$3:$G$22-A1917)*(Calc!$G$3:$G$22&gt;B1917)*(Calc!$G$3:$G$22-B1917))</f>
        <v/>
      </c>
      <c r="L1917">
        <f>SUMPRODUCT(Calc!$K$3:$K$22*(Calc!$G$3:$G$22&gt;A1917)*(Calc!$G$3:$G$22-A1917)*Calc!$G$3:$G$22)</f>
        <v/>
      </c>
      <c r="M1917">
        <f>SUMPRODUCT(Calc!$K$3:$K$22*(Calc!$G$3:$G$22&gt;B1917)*(Calc!$G$3:$G$22-B1917)*Calc!$G$3:$G$22)</f>
        <v/>
      </c>
      <c r="N1917">
        <f>SUMPRODUCT(Calc!$K$3:$K$22*(Calc!$G$3:$G$22&gt;A1917)*(Calc!$G$3:$G$22-A1917)*Calc!$I$3:$I$22)</f>
        <v/>
      </c>
      <c r="O1917">
        <f>SUMPRODUCT(Calc!$K$3:$K$22*(Calc!$G$3:$G$22&gt;B1917)*(Calc!$G$3:$G$22-B1917)*Calc!$I$3:$I$22)</f>
        <v/>
      </c>
      <c r="P1917">
        <f>I1917-G1917^2/k_n</f>
        <v/>
      </c>
      <c r="Q1917">
        <f>J1917-H1917^2/k_n</f>
        <v/>
      </c>
      <c r="R1917">
        <f>K1917-G1917*H1917/k_n</f>
        <v/>
      </c>
      <c r="S1917">
        <f>L1917-LTP3!$D$3*G1917/k_n</f>
        <v/>
      </c>
      <c r="T1917">
        <f>M1917-LTP3!$D$3*H1917/k_n</f>
        <v/>
      </c>
      <c r="U1917">
        <f>N1917-G1917*LTP3!$D$4/k_n</f>
        <v/>
      </c>
      <c r="V1917">
        <f>O1917-H1917*LTP3!$D$4/k_n</f>
        <v/>
      </c>
      <c r="W1917">
        <f>((LTP3!$D$5)*((P1917)*(Q1917)-(R1917)*(R1917))-(S1917)*((S1917)*(Q1917)-(R1917)*(T1917))+(T1917)*((S1917)*(R1917)-(P1917)*(T1917)))</f>
        <v/>
      </c>
      <c r="X1917">
        <f>IF(ABS(W1917)&gt;1E-12,((LTP3!$D$6)*((P1917)*(Q1917)-(R1917)*(R1917))-(S1917)*((U1917)*(Q1917)-(R1917)*(V1917))+(T1917)*((U1917)*(R1917)-(P1917)*(V1917)))/W1917,0)</f>
        <v/>
      </c>
      <c r="Y1917">
        <f>IF(ABS(W1917)&gt;1E-12,((LTP3!$D$5)*((U1917)*(Q1917)-(R1917)*(V1917))-(LTP3!$D$6)*((S1917)*(Q1917)-(R1917)*(T1917))+(T1917)*((S1917)*(V1917)-(U1917)*(T1917)))/W1917,0)</f>
        <v/>
      </c>
      <c r="Z1917">
        <f>IF(ABS(W1917)&gt;1E-12,((LTP3!$D$5)*((P1917)*(V1917)-(U1917)*(R1917))-(S1917)*((S1917)*(V1917)-(U1917)*(T1917))+(LTP3!$D$6)*((S1917)*(R1917)-(P1917)*(T1917)))/W1917,0)</f>
        <v/>
      </c>
      <c r="AA1917">
        <f>LTP3!$D$7-X1917*LTP3!$D$6-Y1917*U1917-Z1917*V1917</f>
        <v/>
      </c>
      <c r="AB1917">
        <f>IF(AND(F1917,ABS(W1917)&gt;1E-12,Y1917&gt;0,Z1917&gt;0),AA1917,1E+300)</f>
        <v/>
      </c>
    </row>
    <row r="1918">
      <c r="A1918">
        <f>$B$3+$B$5*31</f>
        <v/>
      </c>
      <c r="B1918">
        <f>$B$3+$B$5*15</f>
        <v/>
      </c>
      <c r="C1918">
        <f>SUMPRODUCT(Calc!$K$3:$K$22*(Calc!$G$3:$G$22&lt;=A1918))</f>
        <v/>
      </c>
      <c r="D1918">
        <f>SUMPRODUCT(Calc!$K$3:$K$22*(Calc!$G$3:$G$22&gt;A1918)*(Calc!$G$3:$G$22&lt;B1918))</f>
        <v/>
      </c>
      <c r="E1918">
        <f>SUMPRODUCT(Calc!$K$3:$K$22*(Calc!$G$3:$G$22&gt;=B1918))</f>
        <v/>
      </c>
      <c r="F1918">
        <f>AND(k_n&gt;=5,B1918&gt;A1918+1E-9,C1918&gt;=2,D1918&gt;=1,E1918&gt;=2)</f>
        <v/>
      </c>
      <c r="G1918">
        <f>SUMPRODUCT(Calc!$K$3:$K$22*(Calc!$G$3:$G$22&gt;A1918)*(Calc!$G$3:$G$22-A1918))</f>
        <v/>
      </c>
      <c r="H1918">
        <f>SUMPRODUCT(Calc!$K$3:$K$22*(Calc!$G$3:$G$22&gt;B1918)*(Calc!$G$3:$G$22-B1918))</f>
        <v/>
      </c>
      <c r="I1918">
        <f>SUMPRODUCT(Calc!$K$3:$K$22*(Calc!$G$3:$G$22&gt;A1918)*(Calc!$G$3:$G$22-A1918)^2)</f>
        <v/>
      </c>
      <c r="J1918">
        <f>SUMPRODUCT(Calc!$K$3:$K$22*(Calc!$G$3:$G$22&gt;B1918)*(Calc!$G$3:$G$22-B1918)^2)</f>
        <v/>
      </c>
      <c r="K1918">
        <f>SUMPRODUCT(Calc!$K$3:$K$22*(Calc!$G$3:$G$22&gt;A1918)*(Calc!$G$3:$G$22-A1918)*(Calc!$G$3:$G$22&gt;B1918)*(Calc!$G$3:$G$22-B1918))</f>
        <v/>
      </c>
      <c r="L1918">
        <f>SUMPRODUCT(Calc!$K$3:$K$22*(Calc!$G$3:$G$22&gt;A1918)*(Calc!$G$3:$G$22-A1918)*Calc!$G$3:$G$22)</f>
        <v/>
      </c>
      <c r="M1918">
        <f>SUMPRODUCT(Calc!$K$3:$K$22*(Calc!$G$3:$G$22&gt;B1918)*(Calc!$G$3:$G$22-B1918)*Calc!$G$3:$G$22)</f>
        <v/>
      </c>
      <c r="N1918">
        <f>SUMPRODUCT(Calc!$K$3:$K$22*(Calc!$G$3:$G$22&gt;A1918)*(Calc!$G$3:$G$22-A1918)*Calc!$I$3:$I$22)</f>
        <v/>
      </c>
      <c r="O1918">
        <f>SUMPRODUCT(Calc!$K$3:$K$22*(Calc!$G$3:$G$22&gt;B1918)*(Calc!$G$3:$G$22-B1918)*Calc!$I$3:$I$22)</f>
        <v/>
      </c>
      <c r="P1918">
        <f>I1918-G1918^2/k_n</f>
        <v/>
      </c>
      <c r="Q1918">
        <f>J1918-H1918^2/k_n</f>
        <v/>
      </c>
      <c r="R1918">
        <f>K1918-G1918*H1918/k_n</f>
        <v/>
      </c>
      <c r="S1918">
        <f>L1918-LTP3!$D$3*G1918/k_n</f>
        <v/>
      </c>
      <c r="T1918">
        <f>M1918-LTP3!$D$3*H1918/k_n</f>
        <v/>
      </c>
      <c r="U1918">
        <f>N1918-G1918*LTP3!$D$4/k_n</f>
        <v/>
      </c>
      <c r="V1918">
        <f>O1918-H1918*LTP3!$D$4/k_n</f>
        <v/>
      </c>
      <c r="W1918">
        <f>((LTP3!$D$5)*((P1918)*(Q1918)-(R1918)*(R1918))-(S1918)*((S1918)*(Q1918)-(R1918)*(T1918))+(T1918)*((S1918)*(R1918)-(P1918)*(T1918)))</f>
        <v/>
      </c>
      <c r="X1918">
        <f>IF(ABS(W1918)&gt;1E-12,((LTP3!$D$6)*((P1918)*(Q1918)-(R1918)*(R1918))-(S1918)*((U1918)*(Q1918)-(R1918)*(V1918))+(T1918)*((U1918)*(R1918)-(P1918)*(V1918)))/W1918,0)</f>
        <v/>
      </c>
      <c r="Y1918">
        <f>IF(ABS(W1918)&gt;1E-12,((LTP3!$D$5)*((U1918)*(Q1918)-(R1918)*(V1918))-(LTP3!$D$6)*((S1918)*(Q1918)-(R1918)*(T1918))+(T1918)*((S1918)*(V1918)-(U1918)*(T1918)))/W1918,0)</f>
        <v/>
      </c>
      <c r="Z1918">
        <f>IF(ABS(W1918)&gt;1E-12,((LTP3!$D$5)*((P1918)*(V1918)-(U1918)*(R1918))-(S1918)*((S1918)*(V1918)-(U1918)*(T1918))+(LTP3!$D$6)*((S1918)*(R1918)-(P1918)*(T1918)))/W1918,0)</f>
        <v/>
      </c>
      <c r="AA1918">
        <f>LTP3!$D$7-X1918*LTP3!$D$6-Y1918*U1918-Z1918*V1918</f>
        <v/>
      </c>
      <c r="AB1918">
        <f>IF(AND(F1918,ABS(W1918)&gt;1E-12,Y1918&gt;0,Z1918&gt;0),AA1918,1E+300)</f>
        <v/>
      </c>
    </row>
    <row r="1919">
      <c r="A1919">
        <f>$B$3+$B$5*31</f>
        <v/>
      </c>
      <c r="B1919">
        <f>$B$3+$B$5*16</f>
        <v/>
      </c>
      <c r="C1919">
        <f>SUMPRODUCT(Calc!$K$3:$K$22*(Calc!$G$3:$G$22&lt;=A1919))</f>
        <v/>
      </c>
      <c r="D1919">
        <f>SUMPRODUCT(Calc!$K$3:$K$22*(Calc!$G$3:$G$22&gt;A1919)*(Calc!$G$3:$G$22&lt;B1919))</f>
        <v/>
      </c>
      <c r="E1919">
        <f>SUMPRODUCT(Calc!$K$3:$K$22*(Calc!$G$3:$G$22&gt;=B1919))</f>
        <v/>
      </c>
      <c r="F1919">
        <f>AND(k_n&gt;=5,B1919&gt;A1919+1E-9,C1919&gt;=2,D1919&gt;=1,E1919&gt;=2)</f>
        <v/>
      </c>
      <c r="G1919">
        <f>SUMPRODUCT(Calc!$K$3:$K$22*(Calc!$G$3:$G$22&gt;A1919)*(Calc!$G$3:$G$22-A1919))</f>
        <v/>
      </c>
      <c r="H1919">
        <f>SUMPRODUCT(Calc!$K$3:$K$22*(Calc!$G$3:$G$22&gt;B1919)*(Calc!$G$3:$G$22-B1919))</f>
        <v/>
      </c>
      <c r="I1919">
        <f>SUMPRODUCT(Calc!$K$3:$K$22*(Calc!$G$3:$G$22&gt;A1919)*(Calc!$G$3:$G$22-A1919)^2)</f>
        <v/>
      </c>
      <c r="J1919">
        <f>SUMPRODUCT(Calc!$K$3:$K$22*(Calc!$G$3:$G$22&gt;B1919)*(Calc!$G$3:$G$22-B1919)^2)</f>
        <v/>
      </c>
      <c r="K1919">
        <f>SUMPRODUCT(Calc!$K$3:$K$22*(Calc!$G$3:$G$22&gt;A1919)*(Calc!$G$3:$G$22-A1919)*(Calc!$G$3:$G$22&gt;B1919)*(Calc!$G$3:$G$22-B1919))</f>
        <v/>
      </c>
      <c r="L1919">
        <f>SUMPRODUCT(Calc!$K$3:$K$22*(Calc!$G$3:$G$22&gt;A1919)*(Calc!$G$3:$G$22-A1919)*Calc!$G$3:$G$22)</f>
        <v/>
      </c>
      <c r="M1919">
        <f>SUMPRODUCT(Calc!$K$3:$K$22*(Calc!$G$3:$G$22&gt;B1919)*(Calc!$G$3:$G$22-B1919)*Calc!$G$3:$G$22)</f>
        <v/>
      </c>
      <c r="N1919">
        <f>SUMPRODUCT(Calc!$K$3:$K$22*(Calc!$G$3:$G$22&gt;A1919)*(Calc!$G$3:$G$22-A1919)*Calc!$I$3:$I$22)</f>
        <v/>
      </c>
      <c r="O1919">
        <f>SUMPRODUCT(Calc!$K$3:$K$22*(Calc!$G$3:$G$22&gt;B1919)*(Calc!$G$3:$G$22-B1919)*Calc!$I$3:$I$22)</f>
        <v/>
      </c>
      <c r="P1919">
        <f>I1919-G1919^2/k_n</f>
        <v/>
      </c>
      <c r="Q1919">
        <f>J1919-H1919^2/k_n</f>
        <v/>
      </c>
      <c r="R1919">
        <f>K1919-G1919*H1919/k_n</f>
        <v/>
      </c>
      <c r="S1919">
        <f>L1919-LTP3!$D$3*G1919/k_n</f>
        <v/>
      </c>
      <c r="T1919">
        <f>M1919-LTP3!$D$3*H1919/k_n</f>
        <v/>
      </c>
      <c r="U1919">
        <f>N1919-G1919*LTP3!$D$4/k_n</f>
        <v/>
      </c>
      <c r="V1919">
        <f>O1919-H1919*LTP3!$D$4/k_n</f>
        <v/>
      </c>
      <c r="W1919">
        <f>((LTP3!$D$5)*((P1919)*(Q1919)-(R1919)*(R1919))-(S1919)*((S1919)*(Q1919)-(R1919)*(T1919))+(T1919)*((S1919)*(R1919)-(P1919)*(T1919)))</f>
        <v/>
      </c>
      <c r="X1919">
        <f>IF(ABS(W1919)&gt;1E-12,((LTP3!$D$6)*((P1919)*(Q1919)-(R1919)*(R1919))-(S1919)*((U1919)*(Q1919)-(R1919)*(V1919))+(T1919)*((U1919)*(R1919)-(P1919)*(V1919)))/W1919,0)</f>
        <v/>
      </c>
      <c r="Y1919">
        <f>IF(ABS(W1919)&gt;1E-12,((LTP3!$D$5)*((U1919)*(Q1919)-(R1919)*(V1919))-(LTP3!$D$6)*((S1919)*(Q1919)-(R1919)*(T1919))+(T1919)*((S1919)*(V1919)-(U1919)*(T1919)))/W1919,0)</f>
        <v/>
      </c>
      <c r="Z1919">
        <f>IF(ABS(W1919)&gt;1E-12,((LTP3!$D$5)*((P1919)*(V1919)-(U1919)*(R1919))-(S1919)*((S1919)*(V1919)-(U1919)*(T1919))+(LTP3!$D$6)*((S1919)*(R1919)-(P1919)*(T1919)))/W1919,0)</f>
        <v/>
      </c>
      <c r="AA1919">
        <f>LTP3!$D$7-X1919*LTP3!$D$6-Y1919*U1919-Z1919*V1919</f>
        <v/>
      </c>
      <c r="AB1919">
        <f>IF(AND(F1919,ABS(W1919)&gt;1E-12,Y1919&gt;0,Z1919&gt;0),AA1919,1E+300)</f>
        <v/>
      </c>
    </row>
    <row r="1920">
      <c r="A1920">
        <f>$B$3+$B$5*31</f>
        <v/>
      </c>
      <c r="B1920">
        <f>$B$3+$B$5*17</f>
        <v/>
      </c>
      <c r="C1920">
        <f>SUMPRODUCT(Calc!$K$3:$K$22*(Calc!$G$3:$G$22&lt;=A1920))</f>
        <v/>
      </c>
      <c r="D1920">
        <f>SUMPRODUCT(Calc!$K$3:$K$22*(Calc!$G$3:$G$22&gt;A1920)*(Calc!$G$3:$G$22&lt;B1920))</f>
        <v/>
      </c>
      <c r="E1920">
        <f>SUMPRODUCT(Calc!$K$3:$K$22*(Calc!$G$3:$G$22&gt;=B1920))</f>
        <v/>
      </c>
      <c r="F1920">
        <f>AND(k_n&gt;=5,B1920&gt;A1920+1E-9,C1920&gt;=2,D1920&gt;=1,E1920&gt;=2)</f>
        <v/>
      </c>
      <c r="G1920">
        <f>SUMPRODUCT(Calc!$K$3:$K$22*(Calc!$G$3:$G$22&gt;A1920)*(Calc!$G$3:$G$22-A1920))</f>
        <v/>
      </c>
      <c r="H1920">
        <f>SUMPRODUCT(Calc!$K$3:$K$22*(Calc!$G$3:$G$22&gt;B1920)*(Calc!$G$3:$G$22-B1920))</f>
        <v/>
      </c>
      <c r="I1920">
        <f>SUMPRODUCT(Calc!$K$3:$K$22*(Calc!$G$3:$G$22&gt;A1920)*(Calc!$G$3:$G$22-A1920)^2)</f>
        <v/>
      </c>
      <c r="J1920">
        <f>SUMPRODUCT(Calc!$K$3:$K$22*(Calc!$G$3:$G$22&gt;B1920)*(Calc!$G$3:$G$22-B1920)^2)</f>
        <v/>
      </c>
      <c r="K1920">
        <f>SUMPRODUCT(Calc!$K$3:$K$22*(Calc!$G$3:$G$22&gt;A1920)*(Calc!$G$3:$G$22-A1920)*(Calc!$G$3:$G$22&gt;B1920)*(Calc!$G$3:$G$22-B1920))</f>
        <v/>
      </c>
      <c r="L1920">
        <f>SUMPRODUCT(Calc!$K$3:$K$22*(Calc!$G$3:$G$22&gt;A1920)*(Calc!$G$3:$G$22-A1920)*Calc!$G$3:$G$22)</f>
        <v/>
      </c>
      <c r="M1920">
        <f>SUMPRODUCT(Calc!$K$3:$K$22*(Calc!$G$3:$G$22&gt;B1920)*(Calc!$G$3:$G$22-B1920)*Calc!$G$3:$G$22)</f>
        <v/>
      </c>
      <c r="N1920">
        <f>SUMPRODUCT(Calc!$K$3:$K$22*(Calc!$G$3:$G$22&gt;A1920)*(Calc!$G$3:$G$22-A1920)*Calc!$I$3:$I$22)</f>
        <v/>
      </c>
      <c r="O1920">
        <f>SUMPRODUCT(Calc!$K$3:$K$22*(Calc!$G$3:$G$22&gt;B1920)*(Calc!$G$3:$G$22-B1920)*Calc!$I$3:$I$22)</f>
        <v/>
      </c>
      <c r="P1920">
        <f>I1920-G1920^2/k_n</f>
        <v/>
      </c>
      <c r="Q1920">
        <f>J1920-H1920^2/k_n</f>
        <v/>
      </c>
      <c r="R1920">
        <f>K1920-G1920*H1920/k_n</f>
        <v/>
      </c>
      <c r="S1920">
        <f>L1920-LTP3!$D$3*G1920/k_n</f>
        <v/>
      </c>
      <c r="T1920">
        <f>M1920-LTP3!$D$3*H1920/k_n</f>
        <v/>
      </c>
      <c r="U1920">
        <f>N1920-G1920*LTP3!$D$4/k_n</f>
        <v/>
      </c>
      <c r="V1920">
        <f>O1920-H1920*LTP3!$D$4/k_n</f>
        <v/>
      </c>
      <c r="W1920">
        <f>((LTP3!$D$5)*((P1920)*(Q1920)-(R1920)*(R1920))-(S1920)*((S1920)*(Q1920)-(R1920)*(T1920))+(T1920)*((S1920)*(R1920)-(P1920)*(T1920)))</f>
        <v/>
      </c>
      <c r="X1920">
        <f>IF(ABS(W1920)&gt;1E-12,((LTP3!$D$6)*((P1920)*(Q1920)-(R1920)*(R1920))-(S1920)*((U1920)*(Q1920)-(R1920)*(V1920))+(T1920)*((U1920)*(R1920)-(P1920)*(V1920)))/W1920,0)</f>
        <v/>
      </c>
      <c r="Y1920">
        <f>IF(ABS(W1920)&gt;1E-12,((LTP3!$D$5)*((U1920)*(Q1920)-(R1920)*(V1920))-(LTP3!$D$6)*((S1920)*(Q1920)-(R1920)*(T1920))+(T1920)*((S1920)*(V1920)-(U1920)*(T1920)))/W1920,0)</f>
        <v/>
      </c>
      <c r="Z1920">
        <f>IF(ABS(W1920)&gt;1E-12,((LTP3!$D$5)*((P1920)*(V1920)-(U1920)*(R1920))-(S1920)*((S1920)*(V1920)-(U1920)*(T1920))+(LTP3!$D$6)*((S1920)*(R1920)-(P1920)*(T1920)))/W1920,0)</f>
        <v/>
      </c>
      <c r="AA1920">
        <f>LTP3!$D$7-X1920*LTP3!$D$6-Y1920*U1920-Z1920*V1920</f>
        <v/>
      </c>
      <c r="AB1920">
        <f>IF(AND(F1920,ABS(W1920)&gt;1E-12,Y1920&gt;0,Z1920&gt;0),AA1920,1E+300)</f>
        <v/>
      </c>
    </row>
    <row r="1921">
      <c r="A1921">
        <f>$B$3+$B$5*31</f>
        <v/>
      </c>
      <c r="B1921">
        <f>$B$3+$B$5*18</f>
        <v/>
      </c>
      <c r="C1921">
        <f>SUMPRODUCT(Calc!$K$3:$K$22*(Calc!$G$3:$G$22&lt;=A1921))</f>
        <v/>
      </c>
      <c r="D1921">
        <f>SUMPRODUCT(Calc!$K$3:$K$22*(Calc!$G$3:$G$22&gt;A1921)*(Calc!$G$3:$G$22&lt;B1921))</f>
        <v/>
      </c>
      <c r="E1921">
        <f>SUMPRODUCT(Calc!$K$3:$K$22*(Calc!$G$3:$G$22&gt;=B1921))</f>
        <v/>
      </c>
      <c r="F1921">
        <f>AND(k_n&gt;=5,B1921&gt;A1921+1E-9,C1921&gt;=2,D1921&gt;=1,E1921&gt;=2)</f>
        <v/>
      </c>
      <c r="G1921">
        <f>SUMPRODUCT(Calc!$K$3:$K$22*(Calc!$G$3:$G$22&gt;A1921)*(Calc!$G$3:$G$22-A1921))</f>
        <v/>
      </c>
      <c r="H1921">
        <f>SUMPRODUCT(Calc!$K$3:$K$22*(Calc!$G$3:$G$22&gt;B1921)*(Calc!$G$3:$G$22-B1921))</f>
        <v/>
      </c>
      <c r="I1921">
        <f>SUMPRODUCT(Calc!$K$3:$K$22*(Calc!$G$3:$G$22&gt;A1921)*(Calc!$G$3:$G$22-A1921)^2)</f>
        <v/>
      </c>
      <c r="J1921">
        <f>SUMPRODUCT(Calc!$K$3:$K$22*(Calc!$G$3:$G$22&gt;B1921)*(Calc!$G$3:$G$22-B1921)^2)</f>
        <v/>
      </c>
      <c r="K1921">
        <f>SUMPRODUCT(Calc!$K$3:$K$22*(Calc!$G$3:$G$22&gt;A1921)*(Calc!$G$3:$G$22-A1921)*(Calc!$G$3:$G$22&gt;B1921)*(Calc!$G$3:$G$22-B1921))</f>
        <v/>
      </c>
      <c r="L1921">
        <f>SUMPRODUCT(Calc!$K$3:$K$22*(Calc!$G$3:$G$22&gt;A1921)*(Calc!$G$3:$G$22-A1921)*Calc!$G$3:$G$22)</f>
        <v/>
      </c>
      <c r="M1921">
        <f>SUMPRODUCT(Calc!$K$3:$K$22*(Calc!$G$3:$G$22&gt;B1921)*(Calc!$G$3:$G$22-B1921)*Calc!$G$3:$G$22)</f>
        <v/>
      </c>
      <c r="N1921">
        <f>SUMPRODUCT(Calc!$K$3:$K$22*(Calc!$G$3:$G$22&gt;A1921)*(Calc!$G$3:$G$22-A1921)*Calc!$I$3:$I$22)</f>
        <v/>
      </c>
      <c r="O1921">
        <f>SUMPRODUCT(Calc!$K$3:$K$22*(Calc!$G$3:$G$22&gt;B1921)*(Calc!$G$3:$G$22-B1921)*Calc!$I$3:$I$22)</f>
        <v/>
      </c>
      <c r="P1921">
        <f>I1921-G1921^2/k_n</f>
        <v/>
      </c>
      <c r="Q1921">
        <f>J1921-H1921^2/k_n</f>
        <v/>
      </c>
      <c r="R1921">
        <f>K1921-G1921*H1921/k_n</f>
        <v/>
      </c>
      <c r="S1921">
        <f>L1921-LTP3!$D$3*G1921/k_n</f>
        <v/>
      </c>
      <c r="T1921">
        <f>M1921-LTP3!$D$3*H1921/k_n</f>
        <v/>
      </c>
      <c r="U1921">
        <f>N1921-G1921*LTP3!$D$4/k_n</f>
        <v/>
      </c>
      <c r="V1921">
        <f>O1921-H1921*LTP3!$D$4/k_n</f>
        <v/>
      </c>
      <c r="W1921">
        <f>((LTP3!$D$5)*((P1921)*(Q1921)-(R1921)*(R1921))-(S1921)*((S1921)*(Q1921)-(R1921)*(T1921))+(T1921)*((S1921)*(R1921)-(P1921)*(T1921)))</f>
        <v/>
      </c>
      <c r="X1921">
        <f>IF(ABS(W1921)&gt;1E-12,((LTP3!$D$6)*((P1921)*(Q1921)-(R1921)*(R1921))-(S1921)*((U1921)*(Q1921)-(R1921)*(V1921))+(T1921)*((U1921)*(R1921)-(P1921)*(V1921)))/W1921,0)</f>
        <v/>
      </c>
      <c r="Y1921">
        <f>IF(ABS(W1921)&gt;1E-12,((LTP3!$D$5)*((U1921)*(Q1921)-(R1921)*(V1921))-(LTP3!$D$6)*((S1921)*(Q1921)-(R1921)*(T1921))+(T1921)*((S1921)*(V1921)-(U1921)*(T1921)))/W1921,0)</f>
        <v/>
      </c>
      <c r="Z1921">
        <f>IF(ABS(W1921)&gt;1E-12,((LTP3!$D$5)*((P1921)*(V1921)-(U1921)*(R1921))-(S1921)*((S1921)*(V1921)-(U1921)*(T1921))+(LTP3!$D$6)*((S1921)*(R1921)-(P1921)*(T1921)))/W1921,0)</f>
        <v/>
      </c>
      <c r="AA1921">
        <f>LTP3!$D$7-X1921*LTP3!$D$6-Y1921*U1921-Z1921*V1921</f>
        <v/>
      </c>
      <c r="AB1921">
        <f>IF(AND(F1921,ABS(W1921)&gt;1E-12,Y1921&gt;0,Z1921&gt;0),AA1921,1E+300)</f>
        <v/>
      </c>
    </row>
    <row r="1922">
      <c r="A1922">
        <f>$B$3+$B$5*31</f>
        <v/>
      </c>
      <c r="B1922">
        <f>$B$3+$B$5*19</f>
        <v/>
      </c>
      <c r="C1922">
        <f>SUMPRODUCT(Calc!$K$3:$K$22*(Calc!$G$3:$G$22&lt;=A1922))</f>
        <v/>
      </c>
      <c r="D1922">
        <f>SUMPRODUCT(Calc!$K$3:$K$22*(Calc!$G$3:$G$22&gt;A1922)*(Calc!$G$3:$G$22&lt;B1922))</f>
        <v/>
      </c>
      <c r="E1922">
        <f>SUMPRODUCT(Calc!$K$3:$K$22*(Calc!$G$3:$G$22&gt;=B1922))</f>
        <v/>
      </c>
      <c r="F1922">
        <f>AND(k_n&gt;=5,B1922&gt;A1922+1E-9,C1922&gt;=2,D1922&gt;=1,E1922&gt;=2)</f>
        <v/>
      </c>
      <c r="G1922">
        <f>SUMPRODUCT(Calc!$K$3:$K$22*(Calc!$G$3:$G$22&gt;A1922)*(Calc!$G$3:$G$22-A1922))</f>
        <v/>
      </c>
      <c r="H1922">
        <f>SUMPRODUCT(Calc!$K$3:$K$22*(Calc!$G$3:$G$22&gt;B1922)*(Calc!$G$3:$G$22-B1922))</f>
        <v/>
      </c>
      <c r="I1922">
        <f>SUMPRODUCT(Calc!$K$3:$K$22*(Calc!$G$3:$G$22&gt;A1922)*(Calc!$G$3:$G$22-A1922)^2)</f>
        <v/>
      </c>
      <c r="J1922">
        <f>SUMPRODUCT(Calc!$K$3:$K$22*(Calc!$G$3:$G$22&gt;B1922)*(Calc!$G$3:$G$22-B1922)^2)</f>
        <v/>
      </c>
      <c r="K1922">
        <f>SUMPRODUCT(Calc!$K$3:$K$22*(Calc!$G$3:$G$22&gt;A1922)*(Calc!$G$3:$G$22-A1922)*(Calc!$G$3:$G$22&gt;B1922)*(Calc!$G$3:$G$22-B1922))</f>
        <v/>
      </c>
      <c r="L1922">
        <f>SUMPRODUCT(Calc!$K$3:$K$22*(Calc!$G$3:$G$22&gt;A1922)*(Calc!$G$3:$G$22-A1922)*Calc!$G$3:$G$22)</f>
        <v/>
      </c>
      <c r="M1922">
        <f>SUMPRODUCT(Calc!$K$3:$K$22*(Calc!$G$3:$G$22&gt;B1922)*(Calc!$G$3:$G$22-B1922)*Calc!$G$3:$G$22)</f>
        <v/>
      </c>
      <c r="N1922">
        <f>SUMPRODUCT(Calc!$K$3:$K$22*(Calc!$G$3:$G$22&gt;A1922)*(Calc!$G$3:$G$22-A1922)*Calc!$I$3:$I$22)</f>
        <v/>
      </c>
      <c r="O1922">
        <f>SUMPRODUCT(Calc!$K$3:$K$22*(Calc!$G$3:$G$22&gt;B1922)*(Calc!$G$3:$G$22-B1922)*Calc!$I$3:$I$22)</f>
        <v/>
      </c>
      <c r="P1922">
        <f>I1922-G1922^2/k_n</f>
        <v/>
      </c>
      <c r="Q1922">
        <f>J1922-H1922^2/k_n</f>
        <v/>
      </c>
      <c r="R1922">
        <f>K1922-G1922*H1922/k_n</f>
        <v/>
      </c>
      <c r="S1922">
        <f>L1922-LTP3!$D$3*G1922/k_n</f>
        <v/>
      </c>
      <c r="T1922">
        <f>M1922-LTP3!$D$3*H1922/k_n</f>
        <v/>
      </c>
      <c r="U1922">
        <f>N1922-G1922*LTP3!$D$4/k_n</f>
        <v/>
      </c>
      <c r="V1922">
        <f>O1922-H1922*LTP3!$D$4/k_n</f>
        <v/>
      </c>
      <c r="W1922">
        <f>((LTP3!$D$5)*((P1922)*(Q1922)-(R1922)*(R1922))-(S1922)*((S1922)*(Q1922)-(R1922)*(T1922))+(T1922)*((S1922)*(R1922)-(P1922)*(T1922)))</f>
        <v/>
      </c>
      <c r="X1922">
        <f>IF(ABS(W1922)&gt;1E-12,((LTP3!$D$6)*((P1922)*(Q1922)-(R1922)*(R1922))-(S1922)*((U1922)*(Q1922)-(R1922)*(V1922))+(T1922)*((U1922)*(R1922)-(P1922)*(V1922)))/W1922,0)</f>
        <v/>
      </c>
      <c r="Y1922">
        <f>IF(ABS(W1922)&gt;1E-12,((LTP3!$D$5)*((U1922)*(Q1922)-(R1922)*(V1922))-(LTP3!$D$6)*((S1922)*(Q1922)-(R1922)*(T1922))+(T1922)*((S1922)*(V1922)-(U1922)*(T1922)))/W1922,0)</f>
        <v/>
      </c>
      <c r="Z1922">
        <f>IF(ABS(W1922)&gt;1E-12,((LTP3!$D$5)*((P1922)*(V1922)-(U1922)*(R1922))-(S1922)*((S1922)*(V1922)-(U1922)*(T1922))+(LTP3!$D$6)*((S1922)*(R1922)-(P1922)*(T1922)))/W1922,0)</f>
        <v/>
      </c>
      <c r="AA1922">
        <f>LTP3!$D$7-X1922*LTP3!$D$6-Y1922*U1922-Z1922*V1922</f>
        <v/>
      </c>
      <c r="AB1922">
        <f>IF(AND(F1922,ABS(W1922)&gt;1E-12,Y1922&gt;0,Z1922&gt;0),AA1922,1E+300)</f>
        <v/>
      </c>
    </row>
    <row r="1923">
      <c r="A1923">
        <f>$B$3+$B$5*31</f>
        <v/>
      </c>
      <c r="B1923">
        <f>$B$3+$B$5*20</f>
        <v/>
      </c>
      <c r="C1923">
        <f>SUMPRODUCT(Calc!$K$3:$K$22*(Calc!$G$3:$G$22&lt;=A1923))</f>
        <v/>
      </c>
      <c r="D1923">
        <f>SUMPRODUCT(Calc!$K$3:$K$22*(Calc!$G$3:$G$22&gt;A1923)*(Calc!$G$3:$G$22&lt;B1923))</f>
        <v/>
      </c>
      <c r="E1923">
        <f>SUMPRODUCT(Calc!$K$3:$K$22*(Calc!$G$3:$G$22&gt;=B1923))</f>
        <v/>
      </c>
      <c r="F1923">
        <f>AND(k_n&gt;=5,B1923&gt;A1923+1E-9,C1923&gt;=2,D1923&gt;=1,E1923&gt;=2)</f>
        <v/>
      </c>
      <c r="G1923">
        <f>SUMPRODUCT(Calc!$K$3:$K$22*(Calc!$G$3:$G$22&gt;A1923)*(Calc!$G$3:$G$22-A1923))</f>
        <v/>
      </c>
      <c r="H1923">
        <f>SUMPRODUCT(Calc!$K$3:$K$22*(Calc!$G$3:$G$22&gt;B1923)*(Calc!$G$3:$G$22-B1923))</f>
        <v/>
      </c>
      <c r="I1923">
        <f>SUMPRODUCT(Calc!$K$3:$K$22*(Calc!$G$3:$G$22&gt;A1923)*(Calc!$G$3:$G$22-A1923)^2)</f>
        <v/>
      </c>
      <c r="J1923">
        <f>SUMPRODUCT(Calc!$K$3:$K$22*(Calc!$G$3:$G$22&gt;B1923)*(Calc!$G$3:$G$22-B1923)^2)</f>
        <v/>
      </c>
      <c r="K1923">
        <f>SUMPRODUCT(Calc!$K$3:$K$22*(Calc!$G$3:$G$22&gt;A1923)*(Calc!$G$3:$G$22-A1923)*(Calc!$G$3:$G$22&gt;B1923)*(Calc!$G$3:$G$22-B1923))</f>
        <v/>
      </c>
      <c r="L1923">
        <f>SUMPRODUCT(Calc!$K$3:$K$22*(Calc!$G$3:$G$22&gt;A1923)*(Calc!$G$3:$G$22-A1923)*Calc!$G$3:$G$22)</f>
        <v/>
      </c>
      <c r="M1923">
        <f>SUMPRODUCT(Calc!$K$3:$K$22*(Calc!$G$3:$G$22&gt;B1923)*(Calc!$G$3:$G$22-B1923)*Calc!$G$3:$G$22)</f>
        <v/>
      </c>
      <c r="N1923">
        <f>SUMPRODUCT(Calc!$K$3:$K$22*(Calc!$G$3:$G$22&gt;A1923)*(Calc!$G$3:$G$22-A1923)*Calc!$I$3:$I$22)</f>
        <v/>
      </c>
      <c r="O1923">
        <f>SUMPRODUCT(Calc!$K$3:$K$22*(Calc!$G$3:$G$22&gt;B1923)*(Calc!$G$3:$G$22-B1923)*Calc!$I$3:$I$22)</f>
        <v/>
      </c>
      <c r="P1923">
        <f>I1923-G1923^2/k_n</f>
        <v/>
      </c>
      <c r="Q1923">
        <f>J1923-H1923^2/k_n</f>
        <v/>
      </c>
      <c r="R1923">
        <f>K1923-G1923*H1923/k_n</f>
        <v/>
      </c>
      <c r="S1923">
        <f>L1923-LTP3!$D$3*G1923/k_n</f>
        <v/>
      </c>
      <c r="T1923">
        <f>M1923-LTP3!$D$3*H1923/k_n</f>
        <v/>
      </c>
      <c r="U1923">
        <f>N1923-G1923*LTP3!$D$4/k_n</f>
        <v/>
      </c>
      <c r="V1923">
        <f>O1923-H1923*LTP3!$D$4/k_n</f>
        <v/>
      </c>
      <c r="W1923">
        <f>((LTP3!$D$5)*((P1923)*(Q1923)-(R1923)*(R1923))-(S1923)*((S1923)*(Q1923)-(R1923)*(T1923))+(T1923)*((S1923)*(R1923)-(P1923)*(T1923)))</f>
        <v/>
      </c>
      <c r="X1923">
        <f>IF(ABS(W1923)&gt;1E-12,((LTP3!$D$6)*((P1923)*(Q1923)-(R1923)*(R1923))-(S1923)*((U1923)*(Q1923)-(R1923)*(V1923))+(T1923)*((U1923)*(R1923)-(P1923)*(V1923)))/W1923,0)</f>
        <v/>
      </c>
      <c r="Y1923">
        <f>IF(ABS(W1923)&gt;1E-12,((LTP3!$D$5)*((U1923)*(Q1923)-(R1923)*(V1923))-(LTP3!$D$6)*((S1923)*(Q1923)-(R1923)*(T1923))+(T1923)*((S1923)*(V1923)-(U1923)*(T1923)))/W1923,0)</f>
        <v/>
      </c>
      <c r="Z1923">
        <f>IF(ABS(W1923)&gt;1E-12,((LTP3!$D$5)*((P1923)*(V1923)-(U1923)*(R1923))-(S1923)*((S1923)*(V1923)-(U1923)*(T1923))+(LTP3!$D$6)*((S1923)*(R1923)-(P1923)*(T1923)))/W1923,0)</f>
        <v/>
      </c>
      <c r="AA1923">
        <f>LTP3!$D$7-X1923*LTP3!$D$6-Y1923*U1923-Z1923*V1923</f>
        <v/>
      </c>
      <c r="AB1923">
        <f>IF(AND(F1923,ABS(W1923)&gt;1E-12,Y1923&gt;0,Z1923&gt;0),AA1923,1E+300)</f>
        <v/>
      </c>
    </row>
    <row r="1924">
      <c r="A1924">
        <f>$B$3+$B$5*31</f>
        <v/>
      </c>
      <c r="B1924">
        <f>$B$3+$B$5*21</f>
        <v/>
      </c>
      <c r="C1924">
        <f>SUMPRODUCT(Calc!$K$3:$K$22*(Calc!$G$3:$G$22&lt;=A1924))</f>
        <v/>
      </c>
      <c r="D1924">
        <f>SUMPRODUCT(Calc!$K$3:$K$22*(Calc!$G$3:$G$22&gt;A1924)*(Calc!$G$3:$G$22&lt;B1924))</f>
        <v/>
      </c>
      <c r="E1924">
        <f>SUMPRODUCT(Calc!$K$3:$K$22*(Calc!$G$3:$G$22&gt;=B1924))</f>
        <v/>
      </c>
      <c r="F1924">
        <f>AND(k_n&gt;=5,B1924&gt;A1924+1E-9,C1924&gt;=2,D1924&gt;=1,E1924&gt;=2)</f>
        <v/>
      </c>
      <c r="G1924">
        <f>SUMPRODUCT(Calc!$K$3:$K$22*(Calc!$G$3:$G$22&gt;A1924)*(Calc!$G$3:$G$22-A1924))</f>
        <v/>
      </c>
      <c r="H1924">
        <f>SUMPRODUCT(Calc!$K$3:$K$22*(Calc!$G$3:$G$22&gt;B1924)*(Calc!$G$3:$G$22-B1924))</f>
        <v/>
      </c>
      <c r="I1924">
        <f>SUMPRODUCT(Calc!$K$3:$K$22*(Calc!$G$3:$G$22&gt;A1924)*(Calc!$G$3:$G$22-A1924)^2)</f>
        <v/>
      </c>
      <c r="J1924">
        <f>SUMPRODUCT(Calc!$K$3:$K$22*(Calc!$G$3:$G$22&gt;B1924)*(Calc!$G$3:$G$22-B1924)^2)</f>
        <v/>
      </c>
      <c r="K1924">
        <f>SUMPRODUCT(Calc!$K$3:$K$22*(Calc!$G$3:$G$22&gt;A1924)*(Calc!$G$3:$G$22-A1924)*(Calc!$G$3:$G$22&gt;B1924)*(Calc!$G$3:$G$22-B1924))</f>
        <v/>
      </c>
      <c r="L1924">
        <f>SUMPRODUCT(Calc!$K$3:$K$22*(Calc!$G$3:$G$22&gt;A1924)*(Calc!$G$3:$G$22-A1924)*Calc!$G$3:$G$22)</f>
        <v/>
      </c>
      <c r="M1924">
        <f>SUMPRODUCT(Calc!$K$3:$K$22*(Calc!$G$3:$G$22&gt;B1924)*(Calc!$G$3:$G$22-B1924)*Calc!$G$3:$G$22)</f>
        <v/>
      </c>
      <c r="N1924">
        <f>SUMPRODUCT(Calc!$K$3:$K$22*(Calc!$G$3:$G$22&gt;A1924)*(Calc!$G$3:$G$22-A1924)*Calc!$I$3:$I$22)</f>
        <v/>
      </c>
      <c r="O1924">
        <f>SUMPRODUCT(Calc!$K$3:$K$22*(Calc!$G$3:$G$22&gt;B1924)*(Calc!$G$3:$G$22-B1924)*Calc!$I$3:$I$22)</f>
        <v/>
      </c>
      <c r="P1924">
        <f>I1924-G1924^2/k_n</f>
        <v/>
      </c>
      <c r="Q1924">
        <f>J1924-H1924^2/k_n</f>
        <v/>
      </c>
      <c r="R1924">
        <f>K1924-G1924*H1924/k_n</f>
        <v/>
      </c>
      <c r="S1924">
        <f>L1924-LTP3!$D$3*G1924/k_n</f>
        <v/>
      </c>
      <c r="T1924">
        <f>M1924-LTP3!$D$3*H1924/k_n</f>
        <v/>
      </c>
      <c r="U1924">
        <f>N1924-G1924*LTP3!$D$4/k_n</f>
        <v/>
      </c>
      <c r="V1924">
        <f>O1924-H1924*LTP3!$D$4/k_n</f>
        <v/>
      </c>
      <c r="W1924">
        <f>((LTP3!$D$5)*((P1924)*(Q1924)-(R1924)*(R1924))-(S1924)*((S1924)*(Q1924)-(R1924)*(T1924))+(T1924)*((S1924)*(R1924)-(P1924)*(T1924)))</f>
        <v/>
      </c>
      <c r="X1924">
        <f>IF(ABS(W1924)&gt;1E-12,((LTP3!$D$6)*((P1924)*(Q1924)-(R1924)*(R1924))-(S1924)*((U1924)*(Q1924)-(R1924)*(V1924))+(T1924)*((U1924)*(R1924)-(P1924)*(V1924)))/W1924,0)</f>
        <v/>
      </c>
      <c r="Y1924">
        <f>IF(ABS(W1924)&gt;1E-12,((LTP3!$D$5)*((U1924)*(Q1924)-(R1924)*(V1924))-(LTP3!$D$6)*((S1924)*(Q1924)-(R1924)*(T1924))+(T1924)*((S1924)*(V1924)-(U1924)*(T1924)))/W1924,0)</f>
        <v/>
      </c>
      <c r="Z1924">
        <f>IF(ABS(W1924)&gt;1E-12,((LTP3!$D$5)*((P1924)*(V1924)-(U1924)*(R1924))-(S1924)*((S1924)*(V1924)-(U1924)*(T1924))+(LTP3!$D$6)*((S1924)*(R1924)-(P1924)*(T1924)))/W1924,0)</f>
        <v/>
      </c>
      <c r="AA1924">
        <f>LTP3!$D$7-X1924*LTP3!$D$6-Y1924*U1924-Z1924*V1924</f>
        <v/>
      </c>
      <c r="AB1924">
        <f>IF(AND(F1924,ABS(W1924)&gt;1E-12,Y1924&gt;0,Z1924&gt;0),AA1924,1E+300)</f>
        <v/>
      </c>
    </row>
    <row r="1925">
      <c r="A1925">
        <f>$B$3+$B$5*31</f>
        <v/>
      </c>
      <c r="B1925">
        <f>$B$3+$B$5*22</f>
        <v/>
      </c>
      <c r="C1925">
        <f>SUMPRODUCT(Calc!$K$3:$K$22*(Calc!$G$3:$G$22&lt;=A1925))</f>
        <v/>
      </c>
      <c r="D1925">
        <f>SUMPRODUCT(Calc!$K$3:$K$22*(Calc!$G$3:$G$22&gt;A1925)*(Calc!$G$3:$G$22&lt;B1925))</f>
        <v/>
      </c>
      <c r="E1925">
        <f>SUMPRODUCT(Calc!$K$3:$K$22*(Calc!$G$3:$G$22&gt;=B1925))</f>
        <v/>
      </c>
      <c r="F1925">
        <f>AND(k_n&gt;=5,B1925&gt;A1925+1E-9,C1925&gt;=2,D1925&gt;=1,E1925&gt;=2)</f>
        <v/>
      </c>
      <c r="G1925">
        <f>SUMPRODUCT(Calc!$K$3:$K$22*(Calc!$G$3:$G$22&gt;A1925)*(Calc!$G$3:$G$22-A1925))</f>
        <v/>
      </c>
      <c r="H1925">
        <f>SUMPRODUCT(Calc!$K$3:$K$22*(Calc!$G$3:$G$22&gt;B1925)*(Calc!$G$3:$G$22-B1925))</f>
        <v/>
      </c>
      <c r="I1925">
        <f>SUMPRODUCT(Calc!$K$3:$K$22*(Calc!$G$3:$G$22&gt;A1925)*(Calc!$G$3:$G$22-A1925)^2)</f>
        <v/>
      </c>
      <c r="J1925">
        <f>SUMPRODUCT(Calc!$K$3:$K$22*(Calc!$G$3:$G$22&gt;B1925)*(Calc!$G$3:$G$22-B1925)^2)</f>
        <v/>
      </c>
      <c r="K1925">
        <f>SUMPRODUCT(Calc!$K$3:$K$22*(Calc!$G$3:$G$22&gt;A1925)*(Calc!$G$3:$G$22-A1925)*(Calc!$G$3:$G$22&gt;B1925)*(Calc!$G$3:$G$22-B1925))</f>
        <v/>
      </c>
      <c r="L1925">
        <f>SUMPRODUCT(Calc!$K$3:$K$22*(Calc!$G$3:$G$22&gt;A1925)*(Calc!$G$3:$G$22-A1925)*Calc!$G$3:$G$22)</f>
        <v/>
      </c>
      <c r="M1925">
        <f>SUMPRODUCT(Calc!$K$3:$K$22*(Calc!$G$3:$G$22&gt;B1925)*(Calc!$G$3:$G$22-B1925)*Calc!$G$3:$G$22)</f>
        <v/>
      </c>
      <c r="N1925">
        <f>SUMPRODUCT(Calc!$K$3:$K$22*(Calc!$G$3:$G$22&gt;A1925)*(Calc!$G$3:$G$22-A1925)*Calc!$I$3:$I$22)</f>
        <v/>
      </c>
      <c r="O1925">
        <f>SUMPRODUCT(Calc!$K$3:$K$22*(Calc!$G$3:$G$22&gt;B1925)*(Calc!$G$3:$G$22-B1925)*Calc!$I$3:$I$22)</f>
        <v/>
      </c>
      <c r="P1925">
        <f>I1925-G1925^2/k_n</f>
        <v/>
      </c>
      <c r="Q1925">
        <f>J1925-H1925^2/k_n</f>
        <v/>
      </c>
      <c r="R1925">
        <f>K1925-G1925*H1925/k_n</f>
        <v/>
      </c>
      <c r="S1925">
        <f>L1925-LTP3!$D$3*G1925/k_n</f>
        <v/>
      </c>
      <c r="T1925">
        <f>M1925-LTP3!$D$3*H1925/k_n</f>
        <v/>
      </c>
      <c r="U1925">
        <f>N1925-G1925*LTP3!$D$4/k_n</f>
        <v/>
      </c>
      <c r="V1925">
        <f>O1925-H1925*LTP3!$D$4/k_n</f>
        <v/>
      </c>
      <c r="W1925">
        <f>((LTP3!$D$5)*((P1925)*(Q1925)-(R1925)*(R1925))-(S1925)*((S1925)*(Q1925)-(R1925)*(T1925))+(T1925)*((S1925)*(R1925)-(P1925)*(T1925)))</f>
        <v/>
      </c>
      <c r="X1925">
        <f>IF(ABS(W1925)&gt;1E-12,((LTP3!$D$6)*((P1925)*(Q1925)-(R1925)*(R1925))-(S1925)*((U1925)*(Q1925)-(R1925)*(V1925))+(T1925)*((U1925)*(R1925)-(P1925)*(V1925)))/W1925,0)</f>
        <v/>
      </c>
      <c r="Y1925">
        <f>IF(ABS(W1925)&gt;1E-12,((LTP3!$D$5)*((U1925)*(Q1925)-(R1925)*(V1925))-(LTP3!$D$6)*((S1925)*(Q1925)-(R1925)*(T1925))+(T1925)*((S1925)*(V1925)-(U1925)*(T1925)))/W1925,0)</f>
        <v/>
      </c>
      <c r="Z1925">
        <f>IF(ABS(W1925)&gt;1E-12,((LTP3!$D$5)*((P1925)*(V1925)-(U1925)*(R1925))-(S1925)*((S1925)*(V1925)-(U1925)*(T1925))+(LTP3!$D$6)*((S1925)*(R1925)-(P1925)*(T1925)))/W1925,0)</f>
        <v/>
      </c>
      <c r="AA1925">
        <f>LTP3!$D$7-X1925*LTP3!$D$6-Y1925*U1925-Z1925*V1925</f>
        <v/>
      </c>
      <c r="AB1925">
        <f>IF(AND(F1925,ABS(W1925)&gt;1E-12,Y1925&gt;0,Z1925&gt;0),AA1925,1E+300)</f>
        <v/>
      </c>
    </row>
    <row r="1926">
      <c r="A1926">
        <f>$B$3+$B$5*31</f>
        <v/>
      </c>
      <c r="B1926">
        <f>$B$3+$B$5*23</f>
        <v/>
      </c>
      <c r="C1926">
        <f>SUMPRODUCT(Calc!$K$3:$K$22*(Calc!$G$3:$G$22&lt;=A1926))</f>
        <v/>
      </c>
      <c r="D1926">
        <f>SUMPRODUCT(Calc!$K$3:$K$22*(Calc!$G$3:$G$22&gt;A1926)*(Calc!$G$3:$G$22&lt;B1926))</f>
        <v/>
      </c>
      <c r="E1926">
        <f>SUMPRODUCT(Calc!$K$3:$K$22*(Calc!$G$3:$G$22&gt;=B1926))</f>
        <v/>
      </c>
      <c r="F1926">
        <f>AND(k_n&gt;=5,B1926&gt;A1926+1E-9,C1926&gt;=2,D1926&gt;=1,E1926&gt;=2)</f>
        <v/>
      </c>
      <c r="G1926">
        <f>SUMPRODUCT(Calc!$K$3:$K$22*(Calc!$G$3:$G$22&gt;A1926)*(Calc!$G$3:$G$22-A1926))</f>
        <v/>
      </c>
      <c r="H1926">
        <f>SUMPRODUCT(Calc!$K$3:$K$22*(Calc!$G$3:$G$22&gt;B1926)*(Calc!$G$3:$G$22-B1926))</f>
        <v/>
      </c>
      <c r="I1926">
        <f>SUMPRODUCT(Calc!$K$3:$K$22*(Calc!$G$3:$G$22&gt;A1926)*(Calc!$G$3:$G$22-A1926)^2)</f>
        <v/>
      </c>
      <c r="J1926">
        <f>SUMPRODUCT(Calc!$K$3:$K$22*(Calc!$G$3:$G$22&gt;B1926)*(Calc!$G$3:$G$22-B1926)^2)</f>
        <v/>
      </c>
      <c r="K1926">
        <f>SUMPRODUCT(Calc!$K$3:$K$22*(Calc!$G$3:$G$22&gt;A1926)*(Calc!$G$3:$G$22-A1926)*(Calc!$G$3:$G$22&gt;B1926)*(Calc!$G$3:$G$22-B1926))</f>
        <v/>
      </c>
      <c r="L1926">
        <f>SUMPRODUCT(Calc!$K$3:$K$22*(Calc!$G$3:$G$22&gt;A1926)*(Calc!$G$3:$G$22-A1926)*Calc!$G$3:$G$22)</f>
        <v/>
      </c>
      <c r="M1926">
        <f>SUMPRODUCT(Calc!$K$3:$K$22*(Calc!$G$3:$G$22&gt;B1926)*(Calc!$G$3:$G$22-B1926)*Calc!$G$3:$G$22)</f>
        <v/>
      </c>
      <c r="N1926">
        <f>SUMPRODUCT(Calc!$K$3:$K$22*(Calc!$G$3:$G$22&gt;A1926)*(Calc!$G$3:$G$22-A1926)*Calc!$I$3:$I$22)</f>
        <v/>
      </c>
      <c r="O1926">
        <f>SUMPRODUCT(Calc!$K$3:$K$22*(Calc!$G$3:$G$22&gt;B1926)*(Calc!$G$3:$G$22-B1926)*Calc!$I$3:$I$22)</f>
        <v/>
      </c>
      <c r="P1926">
        <f>I1926-G1926^2/k_n</f>
        <v/>
      </c>
      <c r="Q1926">
        <f>J1926-H1926^2/k_n</f>
        <v/>
      </c>
      <c r="R1926">
        <f>K1926-G1926*H1926/k_n</f>
        <v/>
      </c>
      <c r="S1926">
        <f>L1926-LTP3!$D$3*G1926/k_n</f>
        <v/>
      </c>
      <c r="T1926">
        <f>M1926-LTP3!$D$3*H1926/k_n</f>
        <v/>
      </c>
      <c r="U1926">
        <f>N1926-G1926*LTP3!$D$4/k_n</f>
        <v/>
      </c>
      <c r="V1926">
        <f>O1926-H1926*LTP3!$D$4/k_n</f>
        <v/>
      </c>
      <c r="W1926">
        <f>((LTP3!$D$5)*((P1926)*(Q1926)-(R1926)*(R1926))-(S1926)*((S1926)*(Q1926)-(R1926)*(T1926))+(T1926)*((S1926)*(R1926)-(P1926)*(T1926)))</f>
        <v/>
      </c>
      <c r="X1926">
        <f>IF(ABS(W1926)&gt;1E-12,((LTP3!$D$6)*((P1926)*(Q1926)-(R1926)*(R1926))-(S1926)*((U1926)*(Q1926)-(R1926)*(V1926))+(T1926)*((U1926)*(R1926)-(P1926)*(V1926)))/W1926,0)</f>
        <v/>
      </c>
      <c r="Y1926">
        <f>IF(ABS(W1926)&gt;1E-12,((LTP3!$D$5)*((U1926)*(Q1926)-(R1926)*(V1926))-(LTP3!$D$6)*((S1926)*(Q1926)-(R1926)*(T1926))+(T1926)*((S1926)*(V1926)-(U1926)*(T1926)))/W1926,0)</f>
        <v/>
      </c>
      <c r="Z1926">
        <f>IF(ABS(W1926)&gt;1E-12,((LTP3!$D$5)*((P1926)*(V1926)-(U1926)*(R1926))-(S1926)*((S1926)*(V1926)-(U1926)*(T1926))+(LTP3!$D$6)*((S1926)*(R1926)-(P1926)*(T1926)))/W1926,0)</f>
        <v/>
      </c>
      <c r="AA1926">
        <f>LTP3!$D$7-X1926*LTP3!$D$6-Y1926*U1926-Z1926*V1926</f>
        <v/>
      </c>
      <c r="AB1926">
        <f>IF(AND(F1926,ABS(W1926)&gt;1E-12,Y1926&gt;0,Z1926&gt;0),AA1926,1E+300)</f>
        <v/>
      </c>
    </row>
    <row r="1927">
      <c r="A1927">
        <f>$B$3+$B$5*31</f>
        <v/>
      </c>
      <c r="B1927">
        <f>$B$3+$B$5*24</f>
        <v/>
      </c>
      <c r="C1927">
        <f>SUMPRODUCT(Calc!$K$3:$K$22*(Calc!$G$3:$G$22&lt;=A1927))</f>
        <v/>
      </c>
      <c r="D1927">
        <f>SUMPRODUCT(Calc!$K$3:$K$22*(Calc!$G$3:$G$22&gt;A1927)*(Calc!$G$3:$G$22&lt;B1927))</f>
        <v/>
      </c>
      <c r="E1927">
        <f>SUMPRODUCT(Calc!$K$3:$K$22*(Calc!$G$3:$G$22&gt;=B1927))</f>
        <v/>
      </c>
      <c r="F1927">
        <f>AND(k_n&gt;=5,B1927&gt;A1927+1E-9,C1927&gt;=2,D1927&gt;=1,E1927&gt;=2)</f>
        <v/>
      </c>
      <c r="G1927">
        <f>SUMPRODUCT(Calc!$K$3:$K$22*(Calc!$G$3:$G$22&gt;A1927)*(Calc!$G$3:$G$22-A1927))</f>
        <v/>
      </c>
      <c r="H1927">
        <f>SUMPRODUCT(Calc!$K$3:$K$22*(Calc!$G$3:$G$22&gt;B1927)*(Calc!$G$3:$G$22-B1927))</f>
        <v/>
      </c>
      <c r="I1927">
        <f>SUMPRODUCT(Calc!$K$3:$K$22*(Calc!$G$3:$G$22&gt;A1927)*(Calc!$G$3:$G$22-A1927)^2)</f>
        <v/>
      </c>
      <c r="J1927">
        <f>SUMPRODUCT(Calc!$K$3:$K$22*(Calc!$G$3:$G$22&gt;B1927)*(Calc!$G$3:$G$22-B1927)^2)</f>
        <v/>
      </c>
      <c r="K1927">
        <f>SUMPRODUCT(Calc!$K$3:$K$22*(Calc!$G$3:$G$22&gt;A1927)*(Calc!$G$3:$G$22-A1927)*(Calc!$G$3:$G$22&gt;B1927)*(Calc!$G$3:$G$22-B1927))</f>
        <v/>
      </c>
      <c r="L1927">
        <f>SUMPRODUCT(Calc!$K$3:$K$22*(Calc!$G$3:$G$22&gt;A1927)*(Calc!$G$3:$G$22-A1927)*Calc!$G$3:$G$22)</f>
        <v/>
      </c>
      <c r="M1927">
        <f>SUMPRODUCT(Calc!$K$3:$K$22*(Calc!$G$3:$G$22&gt;B1927)*(Calc!$G$3:$G$22-B1927)*Calc!$G$3:$G$22)</f>
        <v/>
      </c>
      <c r="N1927">
        <f>SUMPRODUCT(Calc!$K$3:$K$22*(Calc!$G$3:$G$22&gt;A1927)*(Calc!$G$3:$G$22-A1927)*Calc!$I$3:$I$22)</f>
        <v/>
      </c>
      <c r="O1927">
        <f>SUMPRODUCT(Calc!$K$3:$K$22*(Calc!$G$3:$G$22&gt;B1927)*(Calc!$G$3:$G$22-B1927)*Calc!$I$3:$I$22)</f>
        <v/>
      </c>
      <c r="P1927">
        <f>I1927-G1927^2/k_n</f>
        <v/>
      </c>
      <c r="Q1927">
        <f>J1927-H1927^2/k_n</f>
        <v/>
      </c>
      <c r="R1927">
        <f>K1927-G1927*H1927/k_n</f>
        <v/>
      </c>
      <c r="S1927">
        <f>L1927-LTP3!$D$3*G1927/k_n</f>
        <v/>
      </c>
      <c r="T1927">
        <f>M1927-LTP3!$D$3*H1927/k_n</f>
        <v/>
      </c>
      <c r="U1927">
        <f>N1927-G1927*LTP3!$D$4/k_n</f>
        <v/>
      </c>
      <c r="V1927">
        <f>O1927-H1927*LTP3!$D$4/k_n</f>
        <v/>
      </c>
      <c r="W1927">
        <f>((LTP3!$D$5)*((P1927)*(Q1927)-(R1927)*(R1927))-(S1927)*((S1927)*(Q1927)-(R1927)*(T1927))+(T1927)*((S1927)*(R1927)-(P1927)*(T1927)))</f>
        <v/>
      </c>
      <c r="X1927">
        <f>IF(ABS(W1927)&gt;1E-12,((LTP3!$D$6)*((P1927)*(Q1927)-(R1927)*(R1927))-(S1927)*((U1927)*(Q1927)-(R1927)*(V1927))+(T1927)*((U1927)*(R1927)-(P1927)*(V1927)))/W1927,0)</f>
        <v/>
      </c>
      <c r="Y1927">
        <f>IF(ABS(W1927)&gt;1E-12,((LTP3!$D$5)*((U1927)*(Q1927)-(R1927)*(V1927))-(LTP3!$D$6)*((S1927)*(Q1927)-(R1927)*(T1927))+(T1927)*((S1927)*(V1927)-(U1927)*(T1927)))/W1927,0)</f>
        <v/>
      </c>
      <c r="Z1927">
        <f>IF(ABS(W1927)&gt;1E-12,((LTP3!$D$5)*((P1927)*(V1927)-(U1927)*(R1927))-(S1927)*((S1927)*(V1927)-(U1927)*(T1927))+(LTP3!$D$6)*((S1927)*(R1927)-(P1927)*(T1927)))/W1927,0)</f>
        <v/>
      </c>
      <c r="AA1927">
        <f>LTP3!$D$7-X1927*LTP3!$D$6-Y1927*U1927-Z1927*V1927</f>
        <v/>
      </c>
      <c r="AB1927">
        <f>IF(AND(F1927,ABS(W1927)&gt;1E-12,Y1927&gt;0,Z1927&gt;0),AA1927,1E+300)</f>
        <v/>
      </c>
    </row>
    <row r="1928">
      <c r="A1928">
        <f>$B$3+$B$5*31</f>
        <v/>
      </c>
      <c r="B1928">
        <f>$B$3+$B$5*25</f>
        <v/>
      </c>
      <c r="C1928">
        <f>SUMPRODUCT(Calc!$K$3:$K$22*(Calc!$G$3:$G$22&lt;=A1928))</f>
        <v/>
      </c>
      <c r="D1928">
        <f>SUMPRODUCT(Calc!$K$3:$K$22*(Calc!$G$3:$G$22&gt;A1928)*(Calc!$G$3:$G$22&lt;B1928))</f>
        <v/>
      </c>
      <c r="E1928">
        <f>SUMPRODUCT(Calc!$K$3:$K$22*(Calc!$G$3:$G$22&gt;=B1928))</f>
        <v/>
      </c>
      <c r="F1928">
        <f>AND(k_n&gt;=5,B1928&gt;A1928+1E-9,C1928&gt;=2,D1928&gt;=1,E1928&gt;=2)</f>
        <v/>
      </c>
      <c r="G1928">
        <f>SUMPRODUCT(Calc!$K$3:$K$22*(Calc!$G$3:$G$22&gt;A1928)*(Calc!$G$3:$G$22-A1928))</f>
        <v/>
      </c>
      <c r="H1928">
        <f>SUMPRODUCT(Calc!$K$3:$K$22*(Calc!$G$3:$G$22&gt;B1928)*(Calc!$G$3:$G$22-B1928))</f>
        <v/>
      </c>
      <c r="I1928">
        <f>SUMPRODUCT(Calc!$K$3:$K$22*(Calc!$G$3:$G$22&gt;A1928)*(Calc!$G$3:$G$22-A1928)^2)</f>
        <v/>
      </c>
      <c r="J1928">
        <f>SUMPRODUCT(Calc!$K$3:$K$22*(Calc!$G$3:$G$22&gt;B1928)*(Calc!$G$3:$G$22-B1928)^2)</f>
        <v/>
      </c>
      <c r="K1928">
        <f>SUMPRODUCT(Calc!$K$3:$K$22*(Calc!$G$3:$G$22&gt;A1928)*(Calc!$G$3:$G$22-A1928)*(Calc!$G$3:$G$22&gt;B1928)*(Calc!$G$3:$G$22-B1928))</f>
        <v/>
      </c>
      <c r="L1928">
        <f>SUMPRODUCT(Calc!$K$3:$K$22*(Calc!$G$3:$G$22&gt;A1928)*(Calc!$G$3:$G$22-A1928)*Calc!$G$3:$G$22)</f>
        <v/>
      </c>
      <c r="M1928">
        <f>SUMPRODUCT(Calc!$K$3:$K$22*(Calc!$G$3:$G$22&gt;B1928)*(Calc!$G$3:$G$22-B1928)*Calc!$G$3:$G$22)</f>
        <v/>
      </c>
      <c r="N1928">
        <f>SUMPRODUCT(Calc!$K$3:$K$22*(Calc!$G$3:$G$22&gt;A1928)*(Calc!$G$3:$G$22-A1928)*Calc!$I$3:$I$22)</f>
        <v/>
      </c>
      <c r="O1928">
        <f>SUMPRODUCT(Calc!$K$3:$K$22*(Calc!$G$3:$G$22&gt;B1928)*(Calc!$G$3:$G$22-B1928)*Calc!$I$3:$I$22)</f>
        <v/>
      </c>
      <c r="P1928">
        <f>I1928-G1928^2/k_n</f>
        <v/>
      </c>
      <c r="Q1928">
        <f>J1928-H1928^2/k_n</f>
        <v/>
      </c>
      <c r="R1928">
        <f>K1928-G1928*H1928/k_n</f>
        <v/>
      </c>
      <c r="S1928">
        <f>L1928-LTP3!$D$3*G1928/k_n</f>
        <v/>
      </c>
      <c r="T1928">
        <f>M1928-LTP3!$D$3*H1928/k_n</f>
        <v/>
      </c>
      <c r="U1928">
        <f>N1928-G1928*LTP3!$D$4/k_n</f>
        <v/>
      </c>
      <c r="V1928">
        <f>O1928-H1928*LTP3!$D$4/k_n</f>
        <v/>
      </c>
      <c r="W1928">
        <f>((LTP3!$D$5)*((P1928)*(Q1928)-(R1928)*(R1928))-(S1928)*((S1928)*(Q1928)-(R1928)*(T1928))+(T1928)*((S1928)*(R1928)-(P1928)*(T1928)))</f>
        <v/>
      </c>
      <c r="X1928">
        <f>IF(ABS(W1928)&gt;1E-12,((LTP3!$D$6)*((P1928)*(Q1928)-(R1928)*(R1928))-(S1928)*((U1928)*(Q1928)-(R1928)*(V1928))+(T1928)*((U1928)*(R1928)-(P1928)*(V1928)))/W1928,0)</f>
        <v/>
      </c>
      <c r="Y1928">
        <f>IF(ABS(W1928)&gt;1E-12,((LTP3!$D$5)*((U1928)*(Q1928)-(R1928)*(V1928))-(LTP3!$D$6)*((S1928)*(Q1928)-(R1928)*(T1928))+(T1928)*((S1928)*(V1928)-(U1928)*(T1928)))/W1928,0)</f>
        <v/>
      </c>
      <c r="Z1928">
        <f>IF(ABS(W1928)&gt;1E-12,((LTP3!$D$5)*((P1928)*(V1928)-(U1928)*(R1928))-(S1928)*((S1928)*(V1928)-(U1928)*(T1928))+(LTP3!$D$6)*((S1928)*(R1928)-(P1928)*(T1928)))/W1928,0)</f>
        <v/>
      </c>
      <c r="AA1928">
        <f>LTP3!$D$7-X1928*LTP3!$D$6-Y1928*U1928-Z1928*V1928</f>
        <v/>
      </c>
      <c r="AB1928">
        <f>IF(AND(F1928,ABS(W1928)&gt;1E-12,Y1928&gt;0,Z1928&gt;0),AA1928,1E+300)</f>
        <v/>
      </c>
    </row>
    <row r="1929">
      <c r="A1929">
        <f>$B$3+$B$5*31</f>
        <v/>
      </c>
      <c r="B1929">
        <f>$B$3+$B$5*26</f>
        <v/>
      </c>
      <c r="C1929">
        <f>SUMPRODUCT(Calc!$K$3:$K$22*(Calc!$G$3:$G$22&lt;=A1929))</f>
        <v/>
      </c>
      <c r="D1929">
        <f>SUMPRODUCT(Calc!$K$3:$K$22*(Calc!$G$3:$G$22&gt;A1929)*(Calc!$G$3:$G$22&lt;B1929))</f>
        <v/>
      </c>
      <c r="E1929">
        <f>SUMPRODUCT(Calc!$K$3:$K$22*(Calc!$G$3:$G$22&gt;=B1929))</f>
        <v/>
      </c>
      <c r="F1929">
        <f>AND(k_n&gt;=5,B1929&gt;A1929+1E-9,C1929&gt;=2,D1929&gt;=1,E1929&gt;=2)</f>
        <v/>
      </c>
      <c r="G1929">
        <f>SUMPRODUCT(Calc!$K$3:$K$22*(Calc!$G$3:$G$22&gt;A1929)*(Calc!$G$3:$G$22-A1929))</f>
        <v/>
      </c>
      <c r="H1929">
        <f>SUMPRODUCT(Calc!$K$3:$K$22*(Calc!$G$3:$G$22&gt;B1929)*(Calc!$G$3:$G$22-B1929))</f>
        <v/>
      </c>
      <c r="I1929">
        <f>SUMPRODUCT(Calc!$K$3:$K$22*(Calc!$G$3:$G$22&gt;A1929)*(Calc!$G$3:$G$22-A1929)^2)</f>
        <v/>
      </c>
      <c r="J1929">
        <f>SUMPRODUCT(Calc!$K$3:$K$22*(Calc!$G$3:$G$22&gt;B1929)*(Calc!$G$3:$G$22-B1929)^2)</f>
        <v/>
      </c>
      <c r="K1929">
        <f>SUMPRODUCT(Calc!$K$3:$K$22*(Calc!$G$3:$G$22&gt;A1929)*(Calc!$G$3:$G$22-A1929)*(Calc!$G$3:$G$22&gt;B1929)*(Calc!$G$3:$G$22-B1929))</f>
        <v/>
      </c>
      <c r="L1929">
        <f>SUMPRODUCT(Calc!$K$3:$K$22*(Calc!$G$3:$G$22&gt;A1929)*(Calc!$G$3:$G$22-A1929)*Calc!$G$3:$G$22)</f>
        <v/>
      </c>
      <c r="M1929">
        <f>SUMPRODUCT(Calc!$K$3:$K$22*(Calc!$G$3:$G$22&gt;B1929)*(Calc!$G$3:$G$22-B1929)*Calc!$G$3:$G$22)</f>
        <v/>
      </c>
      <c r="N1929">
        <f>SUMPRODUCT(Calc!$K$3:$K$22*(Calc!$G$3:$G$22&gt;A1929)*(Calc!$G$3:$G$22-A1929)*Calc!$I$3:$I$22)</f>
        <v/>
      </c>
      <c r="O1929">
        <f>SUMPRODUCT(Calc!$K$3:$K$22*(Calc!$G$3:$G$22&gt;B1929)*(Calc!$G$3:$G$22-B1929)*Calc!$I$3:$I$22)</f>
        <v/>
      </c>
      <c r="P1929">
        <f>I1929-G1929^2/k_n</f>
        <v/>
      </c>
      <c r="Q1929">
        <f>J1929-H1929^2/k_n</f>
        <v/>
      </c>
      <c r="R1929">
        <f>K1929-G1929*H1929/k_n</f>
        <v/>
      </c>
      <c r="S1929">
        <f>L1929-LTP3!$D$3*G1929/k_n</f>
        <v/>
      </c>
      <c r="T1929">
        <f>M1929-LTP3!$D$3*H1929/k_n</f>
        <v/>
      </c>
      <c r="U1929">
        <f>N1929-G1929*LTP3!$D$4/k_n</f>
        <v/>
      </c>
      <c r="V1929">
        <f>O1929-H1929*LTP3!$D$4/k_n</f>
        <v/>
      </c>
      <c r="W1929">
        <f>((LTP3!$D$5)*((P1929)*(Q1929)-(R1929)*(R1929))-(S1929)*((S1929)*(Q1929)-(R1929)*(T1929))+(T1929)*((S1929)*(R1929)-(P1929)*(T1929)))</f>
        <v/>
      </c>
      <c r="X1929">
        <f>IF(ABS(W1929)&gt;1E-12,((LTP3!$D$6)*((P1929)*(Q1929)-(R1929)*(R1929))-(S1929)*((U1929)*(Q1929)-(R1929)*(V1929))+(T1929)*((U1929)*(R1929)-(P1929)*(V1929)))/W1929,0)</f>
        <v/>
      </c>
      <c r="Y1929">
        <f>IF(ABS(W1929)&gt;1E-12,((LTP3!$D$5)*((U1929)*(Q1929)-(R1929)*(V1929))-(LTP3!$D$6)*((S1929)*(Q1929)-(R1929)*(T1929))+(T1929)*((S1929)*(V1929)-(U1929)*(T1929)))/W1929,0)</f>
        <v/>
      </c>
      <c r="Z1929">
        <f>IF(ABS(W1929)&gt;1E-12,((LTP3!$D$5)*((P1929)*(V1929)-(U1929)*(R1929))-(S1929)*((S1929)*(V1929)-(U1929)*(T1929))+(LTP3!$D$6)*((S1929)*(R1929)-(P1929)*(T1929)))/W1929,0)</f>
        <v/>
      </c>
      <c r="AA1929">
        <f>LTP3!$D$7-X1929*LTP3!$D$6-Y1929*U1929-Z1929*V1929</f>
        <v/>
      </c>
      <c r="AB1929">
        <f>IF(AND(F1929,ABS(W1929)&gt;1E-12,Y1929&gt;0,Z1929&gt;0),AA1929,1E+300)</f>
        <v/>
      </c>
    </row>
    <row r="1930">
      <c r="A1930">
        <f>$B$3+$B$5*31</f>
        <v/>
      </c>
      <c r="B1930">
        <f>$B$3+$B$5*27</f>
        <v/>
      </c>
      <c r="C1930">
        <f>SUMPRODUCT(Calc!$K$3:$K$22*(Calc!$G$3:$G$22&lt;=A1930))</f>
        <v/>
      </c>
      <c r="D1930">
        <f>SUMPRODUCT(Calc!$K$3:$K$22*(Calc!$G$3:$G$22&gt;A1930)*(Calc!$G$3:$G$22&lt;B1930))</f>
        <v/>
      </c>
      <c r="E1930">
        <f>SUMPRODUCT(Calc!$K$3:$K$22*(Calc!$G$3:$G$22&gt;=B1930))</f>
        <v/>
      </c>
      <c r="F1930">
        <f>AND(k_n&gt;=5,B1930&gt;A1930+1E-9,C1930&gt;=2,D1930&gt;=1,E1930&gt;=2)</f>
        <v/>
      </c>
      <c r="G1930">
        <f>SUMPRODUCT(Calc!$K$3:$K$22*(Calc!$G$3:$G$22&gt;A1930)*(Calc!$G$3:$G$22-A1930))</f>
        <v/>
      </c>
      <c r="H1930">
        <f>SUMPRODUCT(Calc!$K$3:$K$22*(Calc!$G$3:$G$22&gt;B1930)*(Calc!$G$3:$G$22-B1930))</f>
        <v/>
      </c>
      <c r="I1930">
        <f>SUMPRODUCT(Calc!$K$3:$K$22*(Calc!$G$3:$G$22&gt;A1930)*(Calc!$G$3:$G$22-A1930)^2)</f>
        <v/>
      </c>
      <c r="J1930">
        <f>SUMPRODUCT(Calc!$K$3:$K$22*(Calc!$G$3:$G$22&gt;B1930)*(Calc!$G$3:$G$22-B1930)^2)</f>
        <v/>
      </c>
      <c r="K1930">
        <f>SUMPRODUCT(Calc!$K$3:$K$22*(Calc!$G$3:$G$22&gt;A1930)*(Calc!$G$3:$G$22-A1930)*(Calc!$G$3:$G$22&gt;B1930)*(Calc!$G$3:$G$22-B1930))</f>
        <v/>
      </c>
      <c r="L1930">
        <f>SUMPRODUCT(Calc!$K$3:$K$22*(Calc!$G$3:$G$22&gt;A1930)*(Calc!$G$3:$G$22-A1930)*Calc!$G$3:$G$22)</f>
        <v/>
      </c>
      <c r="M1930">
        <f>SUMPRODUCT(Calc!$K$3:$K$22*(Calc!$G$3:$G$22&gt;B1930)*(Calc!$G$3:$G$22-B1930)*Calc!$G$3:$G$22)</f>
        <v/>
      </c>
      <c r="N1930">
        <f>SUMPRODUCT(Calc!$K$3:$K$22*(Calc!$G$3:$G$22&gt;A1930)*(Calc!$G$3:$G$22-A1930)*Calc!$I$3:$I$22)</f>
        <v/>
      </c>
      <c r="O1930">
        <f>SUMPRODUCT(Calc!$K$3:$K$22*(Calc!$G$3:$G$22&gt;B1930)*(Calc!$G$3:$G$22-B1930)*Calc!$I$3:$I$22)</f>
        <v/>
      </c>
      <c r="P1930">
        <f>I1930-G1930^2/k_n</f>
        <v/>
      </c>
      <c r="Q1930">
        <f>J1930-H1930^2/k_n</f>
        <v/>
      </c>
      <c r="R1930">
        <f>K1930-G1930*H1930/k_n</f>
        <v/>
      </c>
      <c r="S1930">
        <f>L1930-LTP3!$D$3*G1930/k_n</f>
        <v/>
      </c>
      <c r="T1930">
        <f>M1930-LTP3!$D$3*H1930/k_n</f>
        <v/>
      </c>
      <c r="U1930">
        <f>N1930-G1930*LTP3!$D$4/k_n</f>
        <v/>
      </c>
      <c r="V1930">
        <f>O1930-H1930*LTP3!$D$4/k_n</f>
        <v/>
      </c>
      <c r="W1930">
        <f>((LTP3!$D$5)*((P1930)*(Q1930)-(R1930)*(R1930))-(S1930)*((S1930)*(Q1930)-(R1930)*(T1930))+(T1930)*((S1930)*(R1930)-(P1930)*(T1930)))</f>
        <v/>
      </c>
      <c r="X1930">
        <f>IF(ABS(W1930)&gt;1E-12,((LTP3!$D$6)*((P1930)*(Q1930)-(R1930)*(R1930))-(S1930)*((U1930)*(Q1930)-(R1930)*(V1930))+(T1930)*((U1930)*(R1930)-(P1930)*(V1930)))/W1930,0)</f>
        <v/>
      </c>
      <c r="Y1930">
        <f>IF(ABS(W1930)&gt;1E-12,((LTP3!$D$5)*((U1930)*(Q1930)-(R1930)*(V1930))-(LTP3!$D$6)*((S1930)*(Q1930)-(R1930)*(T1930))+(T1930)*((S1930)*(V1930)-(U1930)*(T1930)))/W1930,0)</f>
        <v/>
      </c>
      <c r="Z1930">
        <f>IF(ABS(W1930)&gt;1E-12,((LTP3!$D$5)*((P1930)*(V1930)-(U1930)*(R1930))-(S1930)*((S1930)*(V1930)-(U1930)*(T1930))+(LTP3!$D$6)*((S1930)*(R1930)-(P1930)*(T1930)))/W1930,0)</f>
        <v/>
      </c>
      <c r="AA1930">
        <f>LTP3!$D$7-X1930*LTP3!$D$6-Y1930*U1930-Z1930*V1930</f>
        <v/>
      </c>
      <c r="AB1930">
        <f>IF(AND(F1930,ABS(W1930)&gt;1E-12,Y1930&gt;0,Z1930&gt;0),AA1930,1E+300)</f>
        <v/>
      </c>
    </row>
    <row r="1931">
      <c r="A1931">
        <f>$B$3+$B$5*31</f>
        <v/>
      </c>
      <c r="B1931">
        <f>$B$3+$B$5*28</f>
        <v/>
      </c>
      <c r="C1931">
        <f>SUMPRODUCT(Calc!$K$3:$K$22*(Calc!$G$3:$G$22&lt;=A1931))</f>
        <v/>
      </c>
      <c r="D1931">
        <f>SUMPRODUCT(Calc!$K$3:$K$22*(Calc!$G$3:$G$22&gt;A1931)*(Calc!$G$3:$G$22&lt;B1931))</f>
        <v/>
      </c>
      <c r="E1931">
        <f>SUMPRODUCT(Calc!$K$3:$K$22*(Calc!$G$3:$G$22&gt;=B1931))</f>
        <v/>
      </c>
      <c r="F1931">
        <f>AND(k_n&gt;=5,B1931&gt;A1931+1E-9,C1931&gt;=2,D1931&gt;=1,E1931&gt;=2)</f>
        <v/>
      </c>
      <c r="G1931">
        <f>SUMPRODUCT(Calc!$K$3:$K$22*(Calc!$G$3:$G$22&gt;A1931)*(Calc!$G$3:$G$22-A1931))</f>
        <v/>
      </c>
      <c r="H1931">
        <f>SUMPRODUCT(Calc!$K$3:$K$22*(Calc!$G$3:$G$22&gt;B1931)*(Calc!$G$3:$G$22-B1931))</f>
        <v/>
      </c>
      <c r="I1931">
        <f>SUMPRODUCT(Calc!$K$3:$K$22*(Calc!$G$3:$G$22&gt;A1931)*(Calc!$G$3:$G$22-A1931)^2)</f>
        <v/>
      </c>
      <c r="J1931">
        <f>SUMPRODUCT(Calc!$K$3:$K$22*(Calc!$G$3:$G$22&gt;B1931)*(Calc!$G$3:$G$22-B1931)^2)</f>
        <v/>
      </c>
      <c r="K1931">
        <f>SUMPRODUCT(Calc!$K$3:$K$22*(Calc!$G$3:$G$22&gt;A1931)*(Calc!$G$3:$G$22-A1931)*(Calc!$G$3:$G$22&gt;B1931)*(Calc!$G$3:$G$22-B1931))</f>
        <v/>
      </c>
      <c r="L1931">
        <f>SUMPRODUCT(Calc!$K$3:$K$22*(Calc!$G$3:$G$22&gt;A1931)*(Calc!$G$3:$G$22-A1931)*Calc!$G$3:$G$22)</f>
        <v/>
      </c>
      <c r="M1931">
        <f>SUMPRODUCT(Calc!$K$3:$K$22*(Calc!$G$3:$G$22&gt;B1931)*(Calc!$G$3:$G$22-B1931)*Calc!$G$3:$G$22)</f>
        <v/>
      </c>
      <c r="N1931">
        <f>SUMPRODUCT(Calc!$K$3:$K$22*(Calc!$G$3:$G$22&gt;A1931)*(Calc!$G$3:$G$22-A1931)*Calc!$I$3:$I$22)</f>
        <v/>
      </c>
      <c r="O1931">
        <f>SUMPRODUCT(Calc!$K$3:$K$22*(Calc!$G$3:$G$22&gt;B1931)*(Calc!$G$3:$G$22-B1931)*Calc!$I$3:$I$22)</f>
        <v/>
      </c>
      <c r="P1931">
        <f>I1931-G1931^2/k_n</f>
        <v/>
      </c>
      <c r="Q1931">
        <f>J1931-H1931^2/k_n</f>
        <v/>
      </c>
      <c r="R1931">
        <f>K1931-G1931*H1931/k_n</f>
        <v/>
      </c>
      <c r="S1931">
        <f>L1931-LTP3!$D$3*G1931/k_n</f>
        <v/>
      </c>
      <c r="T1931">
        <f>M1931-LTP3!$D$3*H1931/k_n</f>
        <v/>
      </c>
      <c r="U1931">
        <f>N1931-G1931*LTP3!$D$4/k_n</f>
        <v/>
      </c>
      <c r="V1931">
        <f>O1931-H1931*LTP3!$D$4/k_n</f>
        <v/>
      </c>
      <c r="W1931">
        <f>((LTP3!$D$5)*((P1931)*(Q1931)-(R1931)*(R1931))-(S1931)*((S1931)*(Q1931)-(R1931)*(T1931))+(T1931)*((S1931)*(R1931)-(P1931)*(T1931)))</f>
        <v/>
      </c>
      <c r="X1931">
        <f>IF(ABS(W1931)&gt;1E-12,((LTP3!$D$6)*((P1931)*(Q1931)-(R1931)*(R1931))-(S1931)*((U1931)*(Q1931)-(R1931)*(V1931))+(T1931)*((U1931)*(R1931)-(P1931)*(V1931)))/W1931,0)</f>
        <v/>
      </c>
      <c r="Y1931">
        <f>IF(ABS(W1931)&gt;1E-12,((LTP3!$D$5)*((U1931)*(Q1931)-(R1931)*(V1931))-(LTP3!$D$6)*((S1931)*(Q1931)-(R1931)*(T1931))+(T1931)*((S1931)*(V1931)-(U1931)*(T1931)))/W1931,0)</f>
        <v/>
      </c>
      <c r="Z1931">
        <f>IF(ABS(W1931)&gt;1E-12,((LTP3!$D$5)*((P1931)*(V1931)-(U1931)*(R1931))-(S1931)*((S1931)*(V1931)-(U1931)*(T1931))+(LTP3!$D$6)*((S1931)*(R1931)-(P1931)*(T1931)))/W1931,0)</f>
        <v/>
      </c>
      <c r="AA1931">
        <f>LTP3!$D$7-X1931*LTP3!$D$6-Y1931*U1931-Z1931*V1931</f>
        <v/>
      </c>
      <c r="AB1931">
        <f>IF(AND(F1931,ABS(W1931)&gt;1E-12,Y1931&gt;0,Z1931&gt;0),AA1931,1E+300)</f>
        <v/>
      </c>
    </row>
    <row r="1932">
      <c r="A1932">
        <f>$B$3+$B$5*31</f>
        <v/>
      </c>
      <c r="B1932">
        <f>$B$3+$B$5*29</f>
        <v/>
      </c>
      <c r="C1932">
        <f>SUMPRODUCT(Calc!$K$3:$K$22*(Calc!$G$3:$G$22&lt;=A1932))</f>
        <v/>
      </c>
      <c r="D1932">
        <f>SUMPRODUCT(Calc!$K$3:$K$22*(Calc!$G$3:$G$22&gt;A1932)*(Calc!$G$3:$G$22&lt;B1932))</f>
        <v/>
      </c>
      <c r="E1932">
        <f>SUMPRODUCT(Calc!$K$3:$K$22*(Calc!$G$3:$G$22&gt;=B1932))</f>
        <v/>
      </c>
      <c r="F1932">
        <f>AND(k_n&gt;=5,B1932&gt;A1932+1E-9,C1932&gt;=2,D1932&gt;=1,E1932&gt;=2)</f>
        <v/>
      </c>
      <c r="G1932">
        <f>SUMPRODUCT(Calc!$K$3:$K$22*(Calc!$G$3:$G$22&gt;A1932)*(Calc!$G$3:$G$22-A1932))</f>
        <v/>
      </c>
      <c r="H1932">
        <f>SUMPRODUCT(Calc!$K$3:$K$22*(Calc!$G$3:$G$22&gt;B1932)*(Calc!$G$3:$G$22-B1932))</f>
        <v/>
      </c>
      <c r="I1932">
        <f>SUMPRODUCT(Calc!$K$3:$K$22*(Calc!$G$3:$G$22&gt;A1932)*(Calc!$G$3:$G$22-A1932)^2)</f>
        <v/>
      </c>
      <c r="J1932">
        <f>SUMPRODUCT(Calc!$K$3:$K$22*(Calc!$G$3:$G$22&gt;B1932)*(Calc!$G$3:$G$22-B1932)^2)</f>
        <v/>
      </c>
      <c r="K1932">
        <f>SUMPRODUCT(Calc!$K$3:$K$22*(Calc!$G$3:$G$22&gt;A1932)*(Calc!$G$3:$G$22-A1932)*(Calc!$G$3:$G$22&gt;B1932)*(Calc!$G$3:$G$22-B1932))</f>
        <v/>
      </c>
      <c r="L1932">
        <f>SUMPRODUCT(Calc!$K$3:$K$22*(Calc!$G$3:$G$22&gt;A1932)*(Calc!$G$3:$G$22-A1932)*Calc!$G$3:$G$22)</f>
        <v/>
      </c>
      <c r="M1932">
        <f>SUMPRODUCT(Calc!$K$3:$K$22*(Calc!$G$3:$G$22&gt;B1932)*(Calc!$G$3:$G$22-B1932)*Calc!$G$3:$G$22)</f>
        <v/>
      </c>
      <c r="N1932">
        <f>SUMPRODUCT(Calc!$K$3:$K$22*(Calc!$G$3:$G$22&gt;A1932)*(Calc!$G$3:$G$22-A1932)*Calc!$I$3:$I$22)</f>
        <v/>
      </c>
      <c r="O1932">
        <f>SUMPRODUCT(Calc!$K$3:$K$22*(Calc!$G$3:$G$22&gt;B1932)*(Calc!$G$3:$G$22-B1932)*Calc!$I$3:$I$22)</f>
        <v/>
      </c>
      <c r="P1932">
        <f>I1932-G1932^2/k_n</f>
        <v/>
      </c>
      <c r="Q1932">
        <f>J1932-H1932^2/k_n</f>
        <v/>
      </c>
      <c r="R1932">
        <f>K1932-G1932*H1932/k_n</f>
        <v/>
      </c>
      <c r="S1932">
        <f>L1932-LTP3!$D$3*G1932/k_n</f>
        <v/>
      </c>
      <c r="T1932">
        <f>M1932-LTP3!$D$3*H1932/k_n</f>
        <v/>
      </c>
      <c r="U1932">
        <f>N1932-G1932*LTP3!$D$4/k_n</f>
        <v/>
      </c>
      <c r="V1932">
        <f>O1932-H1932*LTP3!$D$4/k_n</f>
        <v/>
      </c>
      <c r="W1932">
        <f>((LTP3!$D$5)*((P1932)*(Q1932)-(R1932)*(R1932))-(S1932)*((S1932)*(Q1932)-(R1932)*(T1932))+(T1932)*((S1932)*(R1932)-(P1932)*(T1932)))</f>
        <v/>
      </c>
      <c r="X1932">
        <f>IF(ABS(W1932)&gt;1E-12,((LTP3!$D$6)*((P1932)*(Q1932)-(R1932)*(R1932))-(S1932)*((U1932)*(Q1932)-(R1932)*(V1932))+(T1932)*((U1932)*(R1932)-(P1932)*(V1932)))/W1932,0)</f>
        <v/>
      </c>
      <c r="Y1932">
        <f>IF(ABS(W1932)&gt;1E-12,((LTP3!$D$5)*((U1932)*(Q1932)-(R1932)*(V1932))-(LTP3!$D$6)*((S1932)*(Q1932)-(R1932)*(T1932))+(T1932)*((S1932)*(V1932)-(U1932)*(T1932)))/W1932,0)</f>
        <v/>
      </c>
      <c r="Z1932">
        <f>IF(ABS(W1932)&gt;1E-12,((LTP3!$D$5)*((P1932)*(V1932)-(U1932)*(R1932))-(S1932)*((S1932)*(V1932)-(U1932)*(T1932))+(LTP3!$D$6)*((S1932)*(R1932)-(P1932)*(T1932)))/W1932,0)</f>
        <v/>
      </c>
      <c r="AA1932">
        <f>LTP3!$D$7-X1932*LTP3!$D$6-Y1932*U1932-Z1932*V1932</f>
        <v/>
      </c>
      <c r="AB1932">
        <f>IF(AND(F1932,ABS(W1932)&gt;1E-12,Y1932&gt;0,Z1932&gt;0),AA1932,1E+300)</f>
        <v/>
      </c>
    </row>
    <row r="1933">
      <c r="A1933">
        <f>$B$3+$B$5*31</f>
        <v/>
      </c>
      <c r="B1933">
        <f>$B$3+$B$5*30</f>
        <v/>
      </c>
      <c r="C1933">
        <f>SUMPRODUCT(Calc!$K$3:$K$22*(Calc!$G$3:$G$22&lt;=A1933))</f>
        <v/>
      </c>
      <c r="D1933">
        <f>SUMPRODUCT(Calc!$K$3:$K$22*(Calc!$G$3:$G$22&gt;A1933)*(Calc!$G$3:$G$22&lt;B1933))</f>
        <v/>
      </c>
      <c r="E1933">
        <f>SUMPRODUCT(Calc!$K$3:$K$22*(Calc!$G$3:$G$22&gt;=B1933))</f>
        <v/>
      </c>
      <c r="F1933">
        <f>AND(k_n&gt;=5,B1933&gt;A1933+1E-9,C1933&gt;=2,D1933&gt;=1,E1933&gt;=2)</f>
        <v/>
      </c>
      <c r="G1933">
        <f>SUMPRODUCT(Calc!$K$3:$K$22*(Calc!$G$3:$G$22&gt;A1933)*(Calc!$G$3:$G$22-A1933))</f>
        <v/>
      </c>
      <c r="H1933">
        <f>SUMPRODUCT(Calc!$K$3:$K$22*(Calc!$G$3:$G$22&gt;B1933)*(Calc!$G$3:$G$22-B1933))</f>
        <v/>
      </c>
      <c r="I1933">
        <f>SUMPRODUCT(Calc!$K$3:$K$22*(Calc!$G$3:$G$22&gt;A1933)*(Calc!$G$3:$G$22-A1933)^2)</f>
        <v/>
      </c>
      <c r="J1933">
        <f>SUMPRODUCT(Calc!$K$3:$K$22*(Calc!$G$3:$G$22&gt;B1933)*(Calc!$G$3:$G$22-B1933)^2)</f>
        <v/>
      </c>
      <c r="K1933">
        <f>SUMPRODUCT(Calc!$K$3:$K$22*(Calc!$G$3:$G$22&gt;A1933)*(Calc!$G$3:$G$22-A1933)*(Calc!$G$3:$G$22&gt;B1933)*(Calc!$G$3:$G$22-B1933))</f>
        <v/>
      </c>
      <c r="L1933">
        <f>SUMPRODUCT(Calc!$K$3:$K$22*(Calc!$G$3:$G$22&gt;A1933)*(Calc!$G$3:$G$22-A1933)*Calc!$G$3:$G$22)</f>
        <v/>
      </c>
      <c r="M1933">
        <f>SUMPRODUCT(Calc!$K$3:$K$22*(Calc!$G$3:$G$22&gt;B1933)*(Calc!$G$3:$G$22-B1933)*Calc!$G$3:$G$22)</f>
        <v/>
      </c>
      <c r="N1933">
        <f>SUMPRODUCT(Calc!$K$3:$K$22*(Calc!$G$3:$G$22&gt;A1933)*(Calc!$G$3:$G$22-A1933)*Calc!$I$3:$I$22)</f>
        <v/>
      </c>
      <c r="O1933">
        <f>SUMPRODUCT(Calc!$K$3:$K$22*(Calc!$G$3:$G$22&gt;B1933)*(Calc!$G$3:$G$22-B1933)*Calc!$I$3:$I$22)</f>
        <v/>
      </c>
      <c r="P1933">
        <f>I1933-G1933^2/k_n</f>
        <v/>
      </c>
      <c r="Q1933">
        <f>J1933-H1933^2/k_n</f>
        <v/>
      </c>
      <c r="R1933">
        <f>K1933-G1933*H1933/k_n</f>
        <v/>
      </c>
      <c r="S1933">
        <f>L1933-LTP3!$D$3*G1933/k_n</f>
        <v/>
      </c>
      <c r="T1933">
        <f>M1933-LTP3!$D$3*H1933/k_n</f>
        <v/>
      </c>
      <c r="U1933">
        <f>N1933-G1933*LTP3!$D$4/k_n</f>
        <v/>
      </c>
      <c r="V1933">
        <f>O1933-H1933*LTP3!$D$4/k_n</f>
        <v/>
      </c>
      <c r="W1933">
        <f>((LTP3!$D$5)*((P1933)*(Q1933)-(R1933)*(R1933))-(S1933)*((S1933)*(Q1933)-(R1933)*(T1933))+(T1933)*((S1933)*(R1933)-(P1933)*(T1933)))</f>
        <v/>
      </c>
      <c r="X1933">
        <f>IF(ABS(W1933)&gt;1E-12,((LTP3!$D$6)*((P1933)*(Q1933)-(R1933)*(R1933))-(S1933)*((U1933)*(Q1933)-(R1933)*(V1933))+(T1933)*((U1933)*(R1933)-(P1933)*(V1933)))/W1933,0)</f>
        <v/>
      </c>
      <c r="Y1933">
        <f>IF(ABS(W1933)&gt;1E-12,((LTP3!$D$5)*((U1933)*(Q1933)-(R1933)*(V1933))-(LTP3!$D$6)*((S1933)*(Q1933)-(R1933)*(T1933))+(T1933)*((S1933)*(V1933)-(U1933)*(T1933)))/W1933,0)</f>
        <v/>
      </c>
      <c r="Z1933">
        <f>IF(ABS(W1933)&gt;1E-12,((LTP3!$D$5)*((P1933)*(V1933)-(U1933)*(R1933))-(S1933)*((S1933)*(V1933)-(U1933)*(T1933))+(LTP3!$D$6)*((S1933)*(R1933)-(P1933)*(T1933)))/W1933,0)</f>
        <v/>
      </c>
      <c r="AA1933">
        <f>LTP3!$D$7-X1933*LTP3!$D$6-Y1933*U1933-Z1933*V1933</f>
        <v/>
      </c>
      <c r="AB1933">
        <f>IF(AND(F1933,ABS(W1933)&gt;1E-12,Y1933&gt;0,Z1933&gt;0),AA1933,1E+300)</f>
        <v/>
      </c>
    </row>
    <row r="1934">
      <c r="A1934">
        <f>$B$3+$B$5*31</f>
        <v/>
      </c>
      <c r="B1934">
        <f>$B$3+$B$5*31</f>
        <v/>
      </c>
      <c r="C1934">
        <f>SUMPRODUCT(Calc!$K$3:$K$22*(Calc!$G$3:$G$22&lt;=A1934))</f>
        <v/>
      </c>
      <c r="D1934">
        <f>SUMPRODUCT(Calc!$K$3:$K$22*(Calc!$G$3:$G$22&gt;A1934)*(Calc!$G$3:$G$22&lt;B1934))</f>
        <v/>
      </c>
      <c r="E1934">
        <f>SUMPRODUCT(Calc!$K$3:$K$22*(Calc!$G$3:$G$22&gt;=B1934))</f>
        <v/>
      </c>
      <c r="F1934">
        <f>AND(k_n&gt;=5,B1934&gt;A1934+1E-9,C1934&gt;=2,D1934&gt;=1,E1934&gt;=2)</f>
        <v/>
      </c>
      <c r="G1934">
        <f>SUMPRODUCT(Calc!$K$3:$K$22*(Calc!$G$3:$G$22&gt;A1934)*(Calc!$G$3:$G$22-A1934))</f>
        <v/>
      </c>
      <c r="H1934">
        <f>SUMPRODUCT(Calc!$K$3:$K$22*(Calc!$G$3:$G$22&gt;B1934)*(Calc!$G$3:$G$22-B1934))</f>
        <v/>
      </c>
      <c r="I1934">
        <f>SUMPRODUCT(Calc!$K$3:$K$22*(Calc!$G$3:$G$22&gt;A1934)*(Calc!$G$3:$G$22-A1934)^2)</f>
        <v/>
      </c>
      <c r="J1934">
        <f>SUMPRODUCT(Calc!$K$3:$K$22*(Calc!$G$3:$G$22&gt;B1934)*(Calc!$G$3:$G$22-B1934)^2)</f>
        <v/>
      </c>
      <c r="K1934">
        <f>SUMPRODUCT(Calc!$K$3:$K$22*(Calc!$G$3:$G$22&gt;A1934)*(Calc!$G$3:$G$22-A1934)*(Calc!$G$3:$G$22&gt;B1934)*(Calc!$G$3:$G$22-B1934))</f>
        <v/>
      </c>
      <c r="L1934">
        <f>SUMPRODUCT(Calc!$K$3:$K$22*(Calc!$G$3:$G$22&gt;A1934)*(Calc!$G$3:$G$22-A1934)*Calc!$G$3:$G$22)</f>
        <v/>
      </c>
      <c r="M1934">
        <f>SUMPRODUCT(Calc!$K$3:$K$22*(Calc!$G$3:$G$22&gt;B1934)*(Calc!$G$3:$G$22-B1934)*Calc!$G$3:$G$22)</f>
        <v/>
      </c>
      <c r="N1934">
        <f>SUMPRODUCT(Calc!$K$3:$K$22*(Calc!$G$3:$G$22&gt;A1934)*(Calc!$G$3:$G$22-A1934)*Calc!$I$3:$I$22)</f>
        <v/>
      </c>
      <c r="O1934">
        <f>SUMPRODUCT(Calc!$K$3:$K$22*(Calc!$G$3:$G$22&gt;B1934)*(Calc!$G$3:$G$22-B1934)*Calc!$I$3:$I$22)</f>
        <v/>
      </c>
      <c r="P1934">
        <f>I1934-G1934^2/k_n</f>
        <v/>
      </c>
      <c r="Q1934">
        <f>J1934-H1934^2/k_n</f>
        <v/>
      </c>
      <c r="R1934">
        <f>K1934-G1934*H1934/k_n</f>
        <v/>
      </c>
      <c r="S1934">
        <f>L1934-LTP3!$D$3*G1934/k_n</f>
        <v/>
      </c>
      <c r="T1934">
        <f>M1934-LTP3!$D$3*H1934/k_n</f>
        <v/>
      </c>
      <c r="U1934">
        <f>N1934-G1934*LTP3!$D$4/k_n</f>
        <v/>
      </c>
      <c r="V1934">
        <f>O1934-H1934*LTP3!$D$4/k_n</f>
        <v/>
      </c>
      <c r="W1934">
        <f>((LTP3!$D$5)*((P1934)*(Q1934)-(R1934)*(R1934))-(S1934)*((S1934)*(Q1934)-(R1934)*(T1934))+(T1934)*((S1934)*(R1934)-(P1934)*(T1934)))</f>
        <v/>
      </c>
      <c r="X1934">
        <f>IF(ABS(W1934)&gt;1E-12,((LTP3!$D$6)*((P1934)*(Q1934)-(R1934)*(R1934))-(S1934)*((U1934)*(Q1934)-(R1934)*(V1934))+(T1934)*((U1934)*(R1934)-(P1934)*(V1934)))/W1934,0)</f>
        <v/>
      </c>
      <c r="Y1934">
        <f>IF(ABS(W1934)&gt;1E-12,((LTP3!$D$5)*((U1934)*(Q1934)-(R1934)*(V1934))-(LTP3!$D$6)*((S1934)*(Q1934)-(R1934)*(T1934))+(T1934)*((S1934)*(V1934)-(U1934)*(T1934)))/W1934,0)</f>
        <v/>
      </c>
      <c r="Z1934">
        <f>IF(ABS(W1934)&gt;1E-12,((LTP3!$D$5)*((P1934)*(V1934)-(U1934)*(R1934))-(S1934)*((S1934)*(V1934)-(U1934)*(T1934))+(LTP3!$D$6)*((S1934)*(R1934)-(P1934)*(T1934)))/W1934,0)</f>
        <v/>
      </c>
      <c r="AA1934">
        <f>LTP3!$D$7-X1934*LTP3!$D$6-Y1934*U1934-Z1934*V1934</f>
        <v/>
      </c>
      <c r="AB1934">
        <f>IF(AND(F1934,ABS(W1934)&gt;1E-12,Y1934&gt;0,Z1934&gt;0),AA1934,1E+300)</f>
        <v/>
      </c>
    </row>
    <row r="1935">
      <c r="A1935">
        <f>$B$3+$B$5*31</f>
        <v/>
      </c>
      <c r="B1935">
        <f>$B$3+$B$5*32</f>
        <v/>
      </c>
      <c r="C1935">
        <f>SUMPRODUCT(Calc!$K$3:$K$22*(Calc!$G$3:$G$22&lt;=A1935))</f>
        <v/>
      </c>
      <c r="D1935">
        <f>SUMPRODUCT(Calc!$K$3:$K$22*(Calc!$G$3:$G$22&gt;A1935)*(Calc!$G$3:$G$22&lt;B1935))</f>
        <v/>
      </c>
      <c r="E1935">
        <f>SUMPRODUCT(Calc!$K$3:$K$22*(Calc!$G$3:$G$22&gt;=B1935))</f>
        <v/>
      </c>
      <c r="F1935">
        <f>AND(k_n&gt;=5,B1935&gt;A1935+1E-9,C1935&gt;=2,D1935&gt;=1,E1935&gt;=2)</f>
        <v/>
      </c>
      <c r="G1935">
        <f>SUMPRODUCT(Calc!$K$3:$K$22*(Calc!$G$3:$G$22&gt;A1935)*(Calc!$G$3:$G$22-A1935))</f>
        <v/>
      </c>
      <c r="H1935">
        <f>SUMPRODUCT(Calc!$K$3:$K$22*(Calc!$G$3:$G$22&gt;B1935)*(Calc!$G$3:$G$22-B1935))</f>
        <v/>
      </c>
      <c r="I1935">
        <f>SUMPRODUCT(Calc!$K$3:$K$22*(Calc!$G$3:$G$22&gt;A1935)*(Calc!$G$3:$G$22-A1935)^2)</f>
        <v/>
      </c>
      <c r="J1935">
        <f>SUMPRODUCT(Calc!$K$3:$K$22*(Calc!$G$3:$G$22&gt;B1935)*(Calc!$G$3:$G$22-B1935)^2)</f>
        <v/>
      </c>
      <c r="K1935">
        <f>SUMPRODUCT(Calc!$K$3:$K$22*(Calc!$G$3:$G$22&gt;A1935)*(Calc!$G$3:$G$22-A1935)*(Calc!$G$3:$G$22&gt;B1935)*(Calc!$G$3:$G$22-B1935))</f>
        <v/>
      </c>
      <c r="L1935">
        <f>SUMPRODUCT(Calc!$K$3:$K$22*(Calc!$G$3:$G$22&gt;A1935)*(Calc!$G$3:$G$22-A1935)*Calc!$G$3:$G$22)</f>
        <v/>
      </c>
      <c r="M1935">
        <f>SUMPRODUCT(Calc!$K$3:$K$22*(Calc!$G$3:$G$22&gt;B1935)*(Calc!$G$3:$G$22-B1935)*Calc!$G$3:$G$22)</f>
        <v/>
      </c>
      <c r="N1935">
        <f>SUMPRODUCT(Calc!$K$3:$K$22*(Calc!$G$3:$G$22&gt;A1935)*(Calc!$G$3:$G$22-A1935)*Calc!$I$3:$I$22)</f>
        <v/>
      </c>
      <c r="O1935">
        <f>SUMPRODUCT(Calc!$K$3:$K$22*(Calc!$G$3:$G$22&gt;B1935)*(Calc!$G$3:$G$22-B1935)*Calc!$I$3:$I$22)</f>
        <v/>
      </c>
      <c r="P1935">
        <f>I1935-G1935^2/k_n</f>
        <v/>
      </c>
      <c r="Q1935">
        <f>J1935-H1935^2/k_n</f>
        <v/>
      </c>
      <c r="R1935">
        <f>K1935-G1935*H1935/k_n</f>
        <v/>
      </c>
      <c r="S1935">
        <f>L1935-LTP3!$D$3*G1935/k_n</f>
        <v/>
      </c>
      <c r="T1935">
        <f>M1935-LTP3!$D$3*H1935/k_n</f>
        <v/>
      </c>
      <c r="U1935">
        <f>N1935-G1935*LTP3!$D$4/k_n</f>
        <v/>
      </c>
      <c r="V1935">
        <f>O1935-H1935*LTP3!$D$4/k_n</f>
        <v/>
      </c>
      <c r="W1935">
        <f>((LTP3!$D$5)*((P1935)*(Q1935)-(R1935)*(R1935))-(S1935)*((S1935)*(Q1935)-(R1935)*(T1935))+(T1935)*((S1935)*(R1935)-(P1935)*(T1935)))</f>
        <v/>
      </c>
      <c r="X1935">
        <f>IF(ABS(W1935)&gt;1E-12,((LTP3!$D$6)*((P1935)*(Q1935)-(R1935)*(R1935))-(S1935)*((U1935)*(Q1935)-(R1935)*(V1935))+(T1935)*((U1935)*(R1935)-(P1935)*(V1935)))/W1935,0)</f>
        <v/>
      </c>
      <c r="Y1935">
        <f>IF(ABS(W1935)&gt;1E-12,((LTP3!$D$5)*((U1935)*(Q1935)-(R1935)*(V1935))-(LTP3!$D$6)*((S1935)*(Q1935)-(R1935)*(T1935))+(T1935)*((S1935)*(V1935)-(U1935)*(T1935)))/W1935,0)</f>
        <v/>
      </c>
      <c r="Z1935">
        <f>IF(ABS(W1935)&gt;1E-12,((LTP3!$D$5)*((P1935)*(V1935)-(U1935)*(R1935))-(S1935)*((S1935)*(V1935)-(U1935)*(T1935))+(LTP3!$D$6)*((S1935)*(R1935)-(P1935)*(T1935)))/W1935,0)</f>
        <v/>
      </c>
      <c r="AA1935">
        <f>LTP3!$D$7-X1935*LTP3!$D$6-Y1935*U1935-Z1935*V1935</f>
        <v/>
      </c>
      <c r="AB1935">
        <f>IF(AND(F1935,ABS(W1935)&gt;1E-12,Y1935&gt;0,Z1935&gt;0),AA1935,1E+300)</f>
        <v/>
      </c>
    </row>
    <row r="1936">
      <c r="A1936">
        <f>$B$3+$B$5*31</f>
        <v/>
      </c>
      <c r="B1936">
        <f>$B$3+$B$5*33</f>
        <v/>
      </c>
      <c r="C1936">
        <f>SUMPRODUCT(Calc!$K$3:$K$22*(Calc!$G$3:$G$22&lt;=A1936))</f>
        <v/>
      </c>
      <c r="D1936">
        <f>SUMPRODUCT(Calc!$K$3:$K$22*(Calc!$G$3:$G$22&gt;A1936)*(Calc!$G$3:$G$22&lt;B1936))</f>
        <v/>
      </c>
      <c r="E1936">
        <f>SUMPRODUCT(Calc!$K$3:$K$22*(Calc!$G$3:$G$22&gt;=B1936))</f>
        <v/>
      </c>
      <c r="F1936">
        <f>AND(k_n&gt;=5,B1936&gt;A1936+1E-9,C1936&gt;=2,D1936&gt;=1,E1936&gt;=2)</f>
        <v/>
      </c>
      <c r="G1936">
        <f>SUMPRODUCT(Calc!$K$3:$K$22*(Calc!$G$3:$G$22&gt;A1936)*(Calc!$G$3:$G$22-A1936))</f>
        <v/>
      </c>
      <c r="H1936">
        <f>SUMPRODUCT(Calc!$K$3:$K$22*(Calc!$G$3:$G$22&gt;B1936)*(Calc!$G$3:$G$22-B1936))</f>
        <v/>
      </c>
      <c r="I1936">
        <f>SUMPRODUCT(Calc!$K$3:$K$22*(Calc!$G$3:$G$22&gt;A1936)*(Calc!$G$3:$G$22-A1936)^2)</f>
        <v/>
      </c>
      <c r="J1936">
        <f>SUMPRODUCT(Calc!$K$3:$K$22*(Calc!$G$3:$G$22&gt;B1936)*(Calc!$G$3:$G$22-B1936)^2)</f>
        <v/>
      </c>
      <c r="K1936">
        <f>SUMPRODUCT(Calc!$K$3:$K$22*(Calc!$G$3:$G$22&gt;A1936)*(Calc!$G$3:$G$22-A1936)*(Calc!$G$3:$G$22&gt;B1936)*(Calc!$G$3:$G$22-B1936))</f>
        <v/>
      </c>
      <c r="L1936">
        <f>SUMPRODUCT(Calc!$K$3:$K$22*(Calc!$G$3:$G$22&gt;A1936)*(Calc!$G$3:$G$22-A1936)*Calc!$G$3:$G$22)</f>
        <v/>
      </c>
      <c r="M1936">
        <f>SUMPRODUCT(Calc!$K$3:$K$22*(Calc!$G$3:$G$22&gt;B1936)*(Calc!$G$3:$G$22-B1936)*Calc!$G$3:$G$22)</f>
        <v/>
      </c>
      <c r="N1936">
        <f>SUMPRODUCT(Calc!$K$3:$K$22*(Calc!$G$3:$G$22&gt;A1936)*(Calc!$G$3:$G$22-A1936)*Calc!$I$3:$I$22)</f>
        <v/>
      </c>
      <c r="O1936">
        <f>SUMPRODUCT(Calc!$K$3:$K$22*(Calc!$G$3:$G$22&gt;B1936)*(Calc!$G$3:$G$22-B1936)*Calc!$I$3:$I$22)</f>
        <v/>
      </c>
      <c r="P1936">
        <f>I1936-G1936^2/k_n</f>
        <v/>
      </c>
      <c r="Q1936">
        <f>J1936-H1936^2/k_n</f>
        <v/>
      </c>
      <c r="R1936">
        <f>K1936-G1936*H1936/k_n</f>
        <v/>
      </c>
      <c r="S1936">
        <f>L1936-LTP3!$D$3*G1936/k_n</f>
        <v/>
      </c>
      <c r="T1936">
        <f>M1936-LTP3!$D$3*H1936/k_n</f>
        <v/>
      </c>
      <c r="U1936">
        <f>N1936-G1936*LTP3!$D$4/k_n</f>
        <v/>
      </c>
      <c r="V1936">
        <f>O1936-H1936*LTP3!$D$4/k_n</f>
        <v/>
      </c>
      <c r="W1936">
        <f>((LTP3!$D$5)*((P1936)*(Q1936)-(R1936)*(R1936))-(S1936)*((S1936)*(Q1936)-(R1936)*(T1936))+(T1936)*((S1936)*(R1936)-(P1936)*(T1936)))</f>
        <v/>
      </c>
      <c r="X1936">
        <f>IF(ABS(W1936)&gt;1E-12,((LTP3!$D$6)*((P1936)*(Q1936)-(R1936)*(R1936))-(S1936)*((U1936)*(Q1936)-(R1936)*(V1936))+(T1936)*((U1936)*(R1936)-(P1936)*(V1936)))/W1936,0)</f>
        <v/>
      </c>
      <c r="Y1936">
        <f>IF(ABS(W1936)&gt;1E-12,((LTP3!$D$5)*((U1936)*(Q1936)-(R1936)*(V1936))-(LTP3!$D$6)*((S1936)*(Q1936)-(R1936)*(T1936))+(T1936)*((S1936)*(V1936)-(U1936)*(T1936)))/W1936,0)</f>
        <v/>
      </c>
      <c r="Z1936">
        <f>IF(ABS(W1936)&gt;1E-12,((LTP3!$D$5)*((P1936)*(V1936)-(U1936)*(R1936))-(S1936)*((S1936)*(V1936)-(U1936)*(T1936))+(LTP3!$D$6)*((S1936)*(R1936)-(P1936)*(T1936)))/W1936,0)</f>
        <v/>
      </c>
      <c r="AA1936">
        <f>LTP3!$D$7-X1936*LTP3!$D$6-Y1936*U1936-Z1936*V1936</f>
        <v/>
      </c>
      <c r="AB1936">
        <f>IF(AND(F1936,ABS(W1936)&gt;1E-12,Y1936&gt;0,Z1936&gt;0),AA1936,1E+300)</f>
        <v/>
      </c>
    </row>
    <row r="1937">
      <c r="A1937">
        <f>$B$3+$B$5*31</f>
        <v/>
      </c>
      <c r="B1937">
        <f>$B$3+$B$5*34</f>
        <v/>
      </c>
      <c r="C1937">
        <f>SUMPRODUCT(Calc!$K$3:$K$22*(Calc!$G$3:$G$22&lt;=A1937))</f>
        <v/>
      </c>
      <c r="D1937">
        <f>SUMPRODUCT(Calc!$K$3:$K$22*(Calc!$G$3:$G$22&gt;A1937)*(Calc!$G$3:$G$22&lt;B1937))</f>
        <v/>
      </c>
      <c r="E1937">
        <f>SUMPRODUCT(Calc!$K$3:$K$22*(Calc!$G$3:$G$22&gt;=B1937))</f>
        <v/>
      </c>
      <c r="F1937">
        <f>AND(k_n&gt;=5,B1937&gt;A1937+1E-9,C1937&gt;=2,D1937&gt;=1,E1937&gt;=2)</f>
        <v/>
      </c>
      <c r="G1937">
        <f>SUMPRODUCT(Calc!$K$3:$K$22*(Calc!$G$3:$G$22&gt;A1937)*(Calc!$G$3:$G$22-A1937))</f>
        <v/>
      </c>
      <c r="H1937">
        <f>SUMPRODUCT(Calc!$K$3:$K$22*(Calc!$G$3:$G$22&gt;B1937)*(Calc!$G$3:$G$22-B1937))</f>
        <v/>
      </c>
      <c r="I1937">
        <f>SUMPRODUCT(Calc!$K$3:$K$22*(Calc!$G$3:$G$22&gt;A1937)*(Calc!$G$3:$G$22-A1937)^2)</f>
        <v/>
      </c>
      <c r="J1937">
        <f>SUMPRODUCT(Calc!$K$3:$K$22*(Calc!$G$3:$G$22&gt;B1937)*(Calc!$G$3:$G$22-B1937)^2)</f>
        <v/>
      </c>
      <c r="K1937">
        <f>SUMPRODUCT(Calc!$K$3:$K$22*(Calc!$G$3:$G$22&gt;A1937)*(Calc!$G$3:$G$22-A1937)*(Calc!$G$3:$G$22&gt;B1937)*(Calc!$G$3:$G$22-B1937))</f>
        <v/>
      </c>
      <c r="L1937">
        <f>SUMPRODUCT(Calc!$K$3:$K$22*(Calc!$G$3:$G$22&gt;A1937)*(Calc!$G$3:$G$22-A1937)*Calc!$G$3:$G$22)</f>
        <v/>
      </c>
      <c r="M1937">
        <f>SUMPRODUCT(Calc!$K$3:$K$22*(Calc!$G$3:$G$22&gt;B1937)*(Calc!$G$3:$G$22-B1937)*Calc!$G$3:$G$22)</f>
        <v/>
      </c>
      <c r="N1937">
        <f>SUMPRODUCT(Calc!$K$3:$K$22*(Calc!$G$3:$G$22&gt;A1937)*(Calc!$G$3:$G$22-A1937)*Calc!$I$3:$I$22)</f>
        <v/>
      </c>
      <c r="O1937">
        <f>SUMPRODUCT(Calc!$K$3:$K$22*(Calc!$G$3:$G$22&gt;B1937)*(Calc!$G$3:$G$22-B1937)*Calc!$I$3:$I$22)</f>
        <v/>
      </c>
      <c r="P1937">
        <f>I1937-G1937^2/k_n</f>
        <v/>
      </c>
      <c r="Q1937">
        <f>J1937-H1937^2/k_n</f>
        <v/>
      </c>
      <c r="R1937">
        <f>K1937-G1937*H1937/k_n</f>
        <v/>
      </c>
      <c r="S1937">
        <f>L1937-LTP3!$D$3*G1937/k_n</f>
        <v/>
      </c>
      <c r="T1937">
        <f>M1937-LTP3!$D$3*H1937/k_n</f>
        <v/>
      </c>
      <c r="U1937">
        <f>N1937-G1937*LTP3!$D$4/k_n</f>
        <v/>
      </c>
      <c r="V1937">
        <f>O1937-H1937*LTP3!$D$4/k_n</f>
        <v/>
      </c>
      <c r="W1937">
        <f>((LTP3!$D$5)*((P1937)*(Q1937)-(R1937)*(R1937))-(S1937)*((S1937)*(Q1937)-(R1937)*(T1937))+(T1937)*((S1937)*(R1937)-(P1937)*(T1937)))</f>
        <v/>
      </c>
      <c r="X1937">
        <f>IF(ABS(W1937)&gt;1E-12,((LTP3!$D$6)*((P1937)*(Q1937)-(R1937)*(R1937))-(S1937)*((U1937)*(Q1937)-(R1937)*(V1937))+(T1937)*((U1937)*(R1937)-(P1937)*(V1937)))/W1937,0)</f>
        <v/>
      </c>
      <c r="Y1937">
        <f>IF(ABS(W1937)&gt;1E-12,((LTP3!$D$5)*((U1937)*(Q1937)-(R1937)*(V1937))-(LTP3!$D$6)*((S1937)*(Q1937)-(R1937)*(T1937))+(T1937)*((S1937)*(V1937)-(U1937)*(T1937)))/W1937,0)</f>
        <v/>
      </c>
      <c r="Z1937">
        <f>IF(ABS(W1937)&gt;1E-12,((LTP3!$D$5)*((P1937)*(V1937)-(U1937)*(R1937))-(S1937)*((S1937)*(V1937)-(U1937)*(T1937))+(LTP3!$D$6)*((S1937)*(R1937)-(P1937)*(T1937)))/W1937,0)</f>
        <v/>
      </c>
      <c r="AA1937">
        <f>LTP3!$D$7-X1937*LTP3!$D$6-Y1937*U1937-Z1937*V1937</f>
        <v/>
      </c>
      <c r="AB1937">
        <f>IF(AND(F1937,ABS(W1937)&gt;1E-12,Y1937&gt;0,Z1937&gt;0),AA1937,1E+300)</f>
        <v/>
      </c>
    </row>
    <row r="1938">
      <c r="A1938">
        <f>$B$3+$B$5*31</f>
        <v/>
      </c>
      <c r="B1938">
        <f>$B$3+$B$5*35</f>
        <v/>
      </c>
      <c r="C1938">
        <f>SUMPRODUCT(Calc!$K$3:$K$22*(Calc!$G$3:$G$22&lt;=A1938))</f>
        <v/>
      </c>
      <c r="D1938">
        <f>SUMPRODUCT(Calc!$K$3:$K$22*(Calc!$G$3:$G$22&gt;A1938)*(Calc!$G$3:$G$22&lt;B1938))</f>
        <v/>
      </c>
      <c r="E1938">
        <f>SUMPRODUCT(Calc!$K$3:$K$22*(Calc!$G$3:$G$22&gt;=B1938))</f>
        <v/>
      </c>
      <c r="F1938">
        <f>AND(k_n&gt;=5,B1938&gt;A1938+1E-9,C1938&gt;=2,D1938&gt;=1,E1938&gt;=2)</f>
        <v/>
      </c>
      <c r="G1938">
        <f>SUMPRODUCT(Calc!$K$3:$K$22*(Calc!$G$3:$G$22&gt;A1938)*(Calc!$G$3:$G$22-A1938))</f>
        <v/>
      </c>
      <c r="H1938">
        <f>SUMPRODUCT(Calc!$K$3:$K$22*(Calc!$G$3:$G$22&gt;B1938)*(Calc!$G$3:$G$22-B1938))</f>
        <v/>
      </c>
      <c r="I1938">
        <f>SUMPRODUCT(Calc!$K$3:$K$22*(Calc!$G$3:$G$22&gt;A1938)*(Calc!$G$3:$G$22-A1938)^2)</f>
        <v/>
      </c>
      <c r="J1938">
        <f>SUMPRODUCT(Calc!$K$3:$K$22*(Calc!$G$3:$G$22&gt;B1938)*(Calc!$G$3:$G$22-B1938)^2)</f>
        <v/>
      </c>
      <c r="K1938">
        <f>SUMPRODUCT(Calc!$K$3:$K$22*(Calc!$G$3:$G$22&gt;A1938)*(Calc!$G$3:$G$22-A1938)*(Calc!$G$3:$G$22&gt;B1938)*(Calc!$G$3:$G$22-B1938))</f>
        <v/>
      </c>
      <c r="L1938">
        <f>SUMPRODUCT(Calc!$K$3:$K$22*(Calc!$G$3:$G$22&gt;A1938)*(Calc!$G$3:$G$22-A1938)*Calc!$G$3:$G$22)</f>
        <v/>
      </c>
      <c r="M1938">
        <f>SUMPRODUCT(Calc!$K$3:$K$22*(Calc!$G$3:$G$22&gt;B1938)*(Calc!$G$3:$G$22-B1938)*Calc!$G$3:$G$22)</f>
        <v/>
      </c>
      <c r="N1938">
        <f>SUMPRODUCT(Calc!$K$3:$K$22*(Calc!$G$3:$G$22&gt;A1938)*(Calc!$G$3:$G$22-A1938)*Calc!$I$3:$I$22)</f>
        <v/>
      </c>
      <c r="O1938">
        <f>SUMPRODUCT(Calc!$K$3:$K$22*(Calc!$G$3:$G$22&gt;B1938)*(Calc!$G$3:$G$22-B1938)*Calc!$I$3:$I$22)</f>
        <v/>
      </c>
      <c r="P1938">
        <f>I1938-G1938^2/k_n</f>
        <v/>
      </c>
      <c r="Q1938">
        <f>J1938-H1938^2/k_n</f>
        <v/>
      </c>
      <c r="R1938">
        <f>K1938-G1938*H1938/k_n</f>
        <v/>
      </c>
      <c r="S1938">
        <f>L1938-LTP3!$D$3*G1938/k_n</f>
        <v/>
      </c>
      <c r="T1938">
        <f>M1938-LTP3!$D$3*H1938/k_n</f>
        <v/>
      </c>
      <c r="U1938">
        <f>N1938-G1938*LTP3!$D$4/k_n</f>
        <v/>
      </c>
      <c r="V1938">
        <f>O1938-H1938*LTP3!$D$4/k_n</f>
        <v/>
      </c>
      <c r="W1938">
        <f>((LTP3!$D$5)*((P1938)*(Q1938)-(R1938)*(R1938))-(S1938)*((S1938)*(Q1938)-(R1938)*(T1938))+(T1938)*((S1938)*(R1938)-(P1938)*(T1938)))</f>
        <v/>
      </c>
      <c r="X1938">
        <f>IF(ABS(W1938)&gt;1E-12,((LTP3!$D$6)*((P1938)*(Q1938)-(R1938)*(R1938))-(S1938)*((U1938)*(Q1938)-(R1938)*(V1938))+(T1938)*((U1938)*(R1938)-(P1938)*(V1938)))/W1938,0)</f>
        <v/>
      </c>
      <c r="Y1938">
        <f>IF(ABS(W1938)&gt;1E-12,((LTP3!$D$5)*((U1938)*(Q1938)-(R1938)*(V1938))-(LTP3!$D$6)*((S1938)*(Q1938)-(R1938)*(T1938))+(T1938)*((S1938)*(V1938)-(U1938)*(T1938)))/W1938,0)</f>
        <v/>
      </c>
      <c r="Z1938">
        <f>IF(ABS(W1938)&gt;1E-12,((LTP3!$D$5)*((P1938)*(V1938)-(U1938)*(R1938))-(S1938)*((S1938)*(V1938)-(U1938)*(T1938))+(LTP3!$D$6)*((S1938)*(R1938)-(P1938)*(T1938)))/W1938,0)</f>
        <v/>
      </c>
      <c r="AA1938">
        <f>LTP3!$D$7-X1938*LTP3!$D$6-Y1938*U1938-Z1938*V1938</f>
        <v/>
      </c>
      <c r="AB1938">
        <f>IF(AND(F1938,ABS(W1938)&gt;1E-12,Y1938&gt;0,Z1938&gt;0),AA1938,1E+300)</f>
        <v/>
      </c>
    </row>
    <row r="1939">
      <c r="A1939">
        <f>$B$3+$B$5*31</f>
        <v/>
      </c>
      <c r="B1939">
        <f>$B$3+$B$5*36</f>
        <v/>
      </c>
      <c r="C1939">
        <f>SUMPRODUCT(Calc!$K$3:$K$22*(Calc!$G$3:$G$22&lt;=A1939))</f>
        <v/>
      </c>
      <c r="D1939">
        <f>SUMPRODUCT(Calc!$K$3:$K$22*(Calc!$G$3:$G$22&gt;A1939)*(Calc!$G$3:$G$22&lt;B1939))</f>
        <v/>
      </c>
      <c r="E1939">
        <f>SUMPRODUCT(Calc!$K$3:$K$22*(Calc!$G$3:$G$22&gt;=B1939))</f>
        <v/>
      </c>
      <c r="F1939">
        <f>AND(k_n&gt;=5,B1939&gt;A1939+1E-9,C1939&gt;=2,D1939&gt;=1,E1939&gt;=2)</f>
        <v/>
      </c>
      <c r="G1939">
        <f>SUMPRODUCT(Calc!$K$3:$K$22*(Calc!$G$3:$G$22&gt;A1939)*(Calc!$G$3:$G$22-A1939))</f>
        <v/>
      </c>
      <c r="H1939">
        <f>SUMPRODUCT(Calc!$K$3:$K$22*(Calc!$G$3:$G$22&gt;B1939)*(Calc!$G$3:$G$22-B1939))</f>
        <v/>
      </c>
      <c r="I1939">
        <f>SUMPRODUCT(Calc!$K$3:$K$22*(Calc!$G$3:$G$22&gt;A1939)*(Calc!$G$3:$G$22-A1939)^2)</f>
        <v/>
      </c>
      <c r="J1939">
        <f>SUMPRODUCT(Calc!$K$3:$K$22*(Calc!$G$3:$G$22&gt;B1939)*(Calc!$G$3:$G$22-B1939)^2)</f>
        <v/>
      </c>
      <c r="K1939">
        <f>SUMPRODUCT(Calc!$K$3:$K$22*(Calc!$G$3:$G$22&gt;A1939)*(Calc!$G$3:$G$22-A1939)*(Calc!$G$3:$G$22&gt;B1939)*(Calc!$G$3:$G$22-B1939))</f>
        <v/>
      </c>
      <c r="L1939">
        <f>SUMPRODUCT(Calc!$K$3:$K$22*(Calc!$G$3:$G$22&gt;A1939)*(Calc!$G$3:$G$22-A1939)*Calc!$G$3:$G$22)</f>
        <v/>
      </c>
      <c r="M1939">
        <f>SUMPRODUCT(Calc!$K$3:$K$22*(Calc!$G$3:$G$22&gt;B1939)*(Calc!$G$3:$G$22-B1939)*Calc!$G$3:$G$22)</f>
        <v/>
      </c>
      <c r="N1939">
        <f>SUMPRODUCT(Calc!$K$3:$K$22*(Calc!$G$3:$G$22&gt;A1939)*(Calc!$G$3:$G$22-A1939)*Calc!$I$3:$I$22)</f>
        <v/>
      </c>
      <c r="O1939">
        <f>SUMPRODUCT(Calc!$K$3:$K$22*(Calc!$G$3:$G$22&gt;B1939)*(Calc!$G$3:$G$22-B1939)*Calc!$I$3:$I$22)</f>
        <v/>
      </c>
      <c r="P1939">
        <f>I1939-G1939^2/k_n</f>
        <v/>
      </c>
      <c r="Q1939">
        <f>J1939-H1939^2/k_n</f>
        <v/>
      </c>
      <c r="R1939">
        <f>K1939-G1939*H1939/k_n</f>
        <v/>
      </c>
      <c r="S1939">
        <f>L1939-LTP3!$D$3*G1939/k_n</f>
        <v/>
      </c>
      <c r="T1939">
        <f>M1939-LTP3!$D$3*H1939/k_n</f>
        <v/>
      </c>
      <c r="U1939">
        <f>N1939-G1939*LTP3!$D$4/k_n</f>
        <v/>
      </c>
      <c r="V1939">
        <f>O1939-H1939*LTP3!$D$4/k_n</f>
        <v/>
      </c>
      <c r="W1939">
        <f>((LTP3!$D$5)*((P1939)*(Q1939)-(R1939)*(R1939))-(S1939)*((S1939)*(Q1939)-(R1939)*(T1939))+(T1939)*((S1939)*(R1939)-(P1939)*(T1939)))</f>
        <v/>
      </c>
      <c r="X1939">
        <f>IF(ABS(W1939)&gt;1E-12,((LTP3!$D$6)*((P1939)*(Q1939)-(R1939)*(R1939))-(S1939)*((U1939)*(Q1939)-(R1939)*(V1939))+(T1939)*((U1939)*(R1939)-(P1939)*(V1939)))/W1939,0)</f>
        <v/>
      </c>
      <c r="Y1939">
        <f>IF(ABS(W1939)&gt;1E-12,((LTP3!$D$5)*((U1939)*(Q1939)-(R1939)*(V1939))-(LTP3!$D$6)*((S1939)*(Q1939)-(R1939)*(T1939))+(T1939)*((S1939)*(V1939)-(U1939)*(T1939)))/W1939,0)</f>
        <v/>
      </c>
      <c r="Z1939">
        <f>IF(ABS(W1939)&gt;1E-12,((LTP3!$D$5)*((P1939)*(V1939)-(U1939)*(R1939))-(S1939)*((S1939)*(V1939)-(U1939)*(T1939))+(LTP3!$D$6)*((S1939)*(R1939)-(P1939)*(T1939)))/W1939,0)</f>
        <v/>
      </c>
      <c r="AA1939">
        <f>LTP3!$D$7-X1939*LTP3!$D$6-Y1939*U1939-Z1939*V1939</f>
        <v/>
      </c>
      <c r="AB1939">
        <f>IF(AND(F1939,ABS(W1939)&gt;1E-12,Y1939&gt;0,Z1939&gt;0),AA1939,1E+300)</f>
        <v/>
      </c>
    </row>
    <row r="1940">
      <c r="A1940">
        <f>$B$3+$B$5*31</f>
        <v/>
      </c>
      <c r="B1940">
        <f>$B$3+$B$5*37</f>
        <v/>
      </c>
      <c r="C1940">
        <f>SUMPRODUCT(Calc!$K$3:$K$22*(Calc!$G$3:$G$22&lt;=A1940))</f>
        <v/>
      </c>
      <c r="D1940">
        <f>SUMPRODUCT(Calc!$K$3:$K$22*(Calc!$G$3:$G$22&gt;A1940)*(Calc!$G$3:$G$22&lt;B1940))</f>
        <v/>
      </c>
      <c r="E1940">
        <f>SUMPRODUCT(Calc!$K$3:$K$22*(Calc!$G$3:$G$22&gt;=B1940))</f>
        <v/>
      </c>
      <c r="F1940">
        <f>AND(k_n&gt;=5,B1940&gt;A1940+1E-9,C1940&gt;=2,D1940&gt;=1,E1940&gt;=2)</f>
        <v/>
      </c>
      <c r="G1940">
        <f>SUMPRODUCT(Calc!$K$3:$K$22*(Calc!$G$3:$G$22&gt;A1940)*(Calc!$G$3:$G$22-A1940))</f>
        <v/>
      </c>
      <c r="H1940">
        <f>SUMPRODUCT(Calc!$K$3:$K$22*(Calc!$G$3:$G$22&gt;B1940)*(Calc!$G$3:$G$22-B1940))</f>
        <v/>
      </c>
      <c r="I1940">
        <f>SUMPRODUCT(Calc!$K$3:$K$22*(Calc!$G$3:$G$22&gt;A1940)*(Calc!$G$3:$G$22-A1940)^2)</f>
        <v/>
      </c>
      <c r="J1940">
        <f>SUMPRODUCT(Calc!$K$3:$K$22*(Calc!$G$3:$G$22&gt;B1940)*(Calc!$G$3:$G$22-B1940)^2)</f>
        <v/>
      </c>
      <c r="K1940">
        <f>SUMPRODUCT(Calc!$K$3:$K$22*(Calc!$G$3:$G$22&gt;A1940)*(Calc!$G$3:$G$22-A1940)*(Calc!$G$3:$G$22&gt;B1940)*(Calc!$G$3:$G$22-B1940))</f>
        <v/>
      </c>
      <c r="L1940">
        <f>SUMPRODUCT(Calc!$K$3:$K$22*(Calc!$G$3:$G$22&gt;A1940)*(Calc!$G$3:$G$22-A1940)*Calc!$G$3:$G$22)</f>
        <v/>
      </c>
      <c r="M1940">
        <f>SUMPRODUCT(Calc!$K$3:$K$22*(Calc!$G$3:$G$22&gt;B1940)*(Calc!$G$3:$G$22-B1940)*Calc!$G$3:$G$22)</f>
        <v/>
      </c>
      <c r="N1940">
        <f>SUMPRODUCT(Calc!$K$3:$K$22*(Calc!$G$3:$G$22&gt;A1940)*(Calc!$G$3:$G$22-A1940)*Calc!$I$3:$I$22)</f>
        <v/>
      </c>
      <c r="O1940">
        <f>SUMPRODUCT(Calc!$K$3:$K$22*(Calc!$G$3:$G$22&gt;B1940)*(Calc!$G$3:$G$22-B1940)*Calc!$I$3:$I$22)</f>
        <v/>
      </c>
      <c r="P1940">
        <f>I1940-G1940^2/k_n</f>
        <v/>
      </c>
      <c r="Q1940">
        <f>J1940-H1940^2/k_n</f>
        <v/>
      </c>
      <c r="R1940">
        <f>K1940-G1940*H1940/k_n</f>
        <v/>
      </c>
      <c r="S1940">
        <f>L1940-LTP3!$D$3*G1940/k_n</f>
        <v/>
      </c>
      <c r="T1940">
        <f>M1940-LTP3!$D$3*H1940/k_n</f>
        <v/>
      </c>
      <c r="U1940">
        <f>N1940-G1940*LTP3!$D$4/k_n</f>
        <v/>
      </c>
      <c r="V1940">
        <f>O1940-H1940*LTP3!$D$4/k_n</f>
        <v/>
      </c>
      <c r="W1940">
        <f>((LTP3!$D$5)*((P1940)*(Q1940)-(R1940)*(R1940))-(S1940)*((S1940)*(Q1940)-(R1940)*(T1940))+(T1940)*((S1940)*(R1940)-(P1940)*(T1940)))</f>
        <v/>
      </c>
      <c r="X1940">
        <f>IF(ABS(W1940)&gt;1E-12,((LTP3!$D$6)*((P1940)*(Q1940)-(R1940)*(R1940))-(S1940)*((U1940)*(Q1940)-(R1940)*(V1940))+(T1940)*((U1940)*(R1940)-(P1940)*(V1940)))/W1940,0)</f>
        <v/>
      </c>
      <c r="Y1940">
        <f>IF(ABS(W1940)&gt;1E-12,((LTP3!$D$5)*((U1940)*(Q1940)-(R1940)*(V1940))-(LTP3!$D$6)*((S1940)*(Q1940)-(R1940)*(T1940))+(T1940)*((S1940)*(V1940)-(U1940)*(T1940)))/W1940,0)</f>
        <v/>
      </c>
      <c r="Z1940">
        <f>IF(ABS(W1940)&gt;1E-12,((LTP3!$D$5)*((P1940)*(V1940)-(U1940)*(R1940))-(S1940)*((S1940)*(V1940)-(U1940)*(T1940))+(LTP3!$D$6)*((S1940)*(R1940)-(P1940)*(T1940)))/W1940,0)</f>
        <v/>
      </c>
      <c r="AA1940">
        <f>LTP3!$D$7-X1940*LTP3!$D$6-Y1940*U1940-Z1940*V1940</f>
        <v/>
      </c>
      <c r="AB1940">
        <f>IF(AND(F1940,ABS(W1940)&gt;1E-12,Y1940&gt;0,Z1940&gt;0),AA1940,1E+300)</f>
        <v/>
      </c>
    </row>
    <row r="1941">
      <c r="A1941">
        <f>$B$3+$B$5*31</f>
        <v/>
      </c>
      <c r="B1941">
        <f>$B$3+$B$5*38</f>
        <v/>
      </c>
      <c r="C1941">
        <f>SUMPRODUCT(Calc!$K$3:$K$22*(Calc!$G$3:$G$22&lt;=A1941))</f>
        <v/>
      </c>
      <c r="D1941">
        <f>SUMPRODUCT(Calc!$K$3:$K$22*(Calc!$G$3:$G$22&gt;A1941)*(Calc!$G$3:$G$22&lt;B1941))</f>
        <v/>
      </c>
      <c r="E1941">
        <f>SUMPRODUCT(Calc!$K$3:$K$22*(Calc!$G$3:$G$22&gt;=B1941))</f>
        <v/>
      </c>
      <c r="F1941">
        <f>AND(k_n&gt;=5,B1941&gt;A1941+1E-9,C1941&gt;=2,D1941&gt;=1,E1941&gt;=2)</f>
        <v/>
      </c>
      <c r="G1941">
        <f>SUMPRODUCT(Calc!$K$3:$K$22*(Calc!$G$3:$G$22&gt;A1941)*(Calc!$G$3:$G$22-A1941))</f>
        <v/>
      </c>
      <c r="H1941">
        <f>SUMPRODUCT(Calc!$K$3:$K$22*(Calc!$G$3:$G$22&gt;B1941)*(Calc!$G$3:$G$22-B1941))</f>
        <v/>
      </c>
      <c r="I1941">
        <f>SUMPRODUCT(Calc!$K$3:$K$22*(Calc!$G$3:$G$22&gt;A1941)*(Calc!$G$3:$G$22-A1941)^2)</f>
        <v/>
      </c>
      <c r="J1941">
        <f>SUMPRODUCT(Calc!$K$3:$K$22*(Calc!$G$3:$G$22&gt;B1941)*(Calc!$G$3:$G$22-B1941)^2)</f>
        <v/>
      </c>
      <c r="K1941">
        <f>SUMPRODUCT(Calc!$K$3:$K$22*(Calc!$G$3:$G$22&gt;A1941)*(Calc!$G$3:$G$22-A1941)*(Calc!$G$3:$G$22&gt;B1941)*(Calc!$G$3:$G$22-B1941))</f>
        <v/>
      </c>
      <c r="L1941">
        <f>SUMPRODUCT(Calc!$K$3:$K$22*(Calc!$G$3:$G$22&gt;A1941)*(Calc!$G$3:$G$22-A1941)*Calc!$G$3:$G$22)</f>
        <v/>
      </c>
      <c r="M1941">
        <f>SUMPRODUCT(Calc!$K$3:$K$22*(Calc!$G$3:$G$22&gt;B1941)*(Calc!$G$3:$G$22-B1941)*Calc!$G$3:$G$22)</f>
        <v/>
      </c>
      <c r="N1941">
        <f>SUMPRODUCT(Calc!$K$3:$K$22*(Calc!$G$3:$G$22&gt;A1941)*(Calc!$G$3:$G$22-A1941)*Calc!$I$3:$I$22)</f>
        <v/>
      </c>
      <c r="O1941">
        <f>SUMPRODUCT(Calc!$K$3:$K$22*(Calc!$G$3:$G$22&gt;B1941)*(Calc!$G$3:$G$22-B1941)*Calc!$I$3:$I$22)</f>
        <v/>
      </c>
      <c r="P1941">
        <f>I1941-G1941^2/k_n</f>
        <v/>
      </c>
      <c r="Q1941">
        <f>J1941-H1941^2/k_n</f>
        <v/>
      </c>
      <c r="R1941">
        <f>K1941-G1941*H1941/k_n</f>
        <v/>
      </c>
      <c r="S1941">
        <f>L1941-LTP3!$D$3*G1941/k_n</f>
        <v/>
      </c>
      <c r="T1941">
        <f>M1941-LTP3!$D$3*H1941/k_n</f>
        <v/>
      </c>
      <c r="U1941">
        <f>N1941-G1941*LTP3!$D$4/k_n</f>
        <v/>
      </c>
      <c r="V1941">
        <f>O1941-H1941*LTP3!$D$4/k_n</f>
        <v/>
      </c>
      <c r="W1941">
        <f>((LTP3!$D$5)*((P1941)*(Q1941)-(R1941)*(R1941))-(S1941)*((S1941)*(Q1941)-(R1941)*(T1941))+(T1941)*((S1941)*(R1941)-(P1941)*(T1941)))</f>
        <v/>
      </c>
      <c r="X1941">
        <f>IF(ABS(W1941)&gt;1E-12,((LTP3!$D$6)*((P1941)*(Q1941)-(R1941)*(R1941))-(S1941)*((U1941)*(Q1941)-(R1941)*(V1941))+(T1941)*((U1941)*(R1941)-(P1941)*(V1941)))/W1941,0)</f>
        <v/>
      </c>
      <c r="Y1941">
        <f>IF(ABS(W1941)&gt;1E-12,((LTP3!$D$5)*((U1941)*(Q1941)-(R1941)*(V1941))-(LTP3!$D$6)*((S1941)*(Q1941)-(R1941)*(T1941))+(T1941)*((S1941)*(V1941)-(U1941)*(T1941)))/W1941,0)</f>
        <v/>
      </c>
      <c r="Z1941">
        <f>IF(ABS(W1941)&gt;1E-12,((LTP3!$D$5)*((P1941)*(V1941)-(U1941)*(R1941))-(S1941)*((S1941)*(V1941)-(U1941)*(T1941))+(LTP3!$D$6)*((S1941)*(R1941)-(P1941)*(T1941)))/W1941,0)</f>
        <v/>
      </c>
      <c r="AA1941">
        <f>LTP3!$D$7-X1941*LTP3!$D$6-Y1941*U1941-Z1941*V1941</f>
        <v/>
      </c>
      <c r="AB1941">
        <f>IF(AND(F1941,ABS(W1941)&gt;1E-12,Y1941&gt;0,Z1941&gt;0),AA1941,1E+300)</f>
        <v/>
      </c>
    </row>
    <row r="1942">
      <c r="A1942">
        <f>$B$3+$B$5*31</f>
        <v/>
      </c>
      <c r="B1942">
        <f>$B$3+$B$5*39</f>
        <v/>
      </c>
      <c r="C1942">
        <f>SUMPRODUCT(Calc!$K$3:$K$22*(Calc!$G$3:$G$22&lt;=A1942))</f>
        <v/>
      </c>
      <c r="D1942">
        <f>SUMPRODUCT(Calc!$K$3:$K$22*(Calc!$G$3:$G$22&gt;A1942)*(Calc!$G$3:$G$22&lt;B1942))</f>
        <v/>
      </c>
      <c r="E1942">
        <f>SUMPRODUCT(Calc!$K$3:$K$22*(Calc!$G$3:$G$22&gt;=B1942))</f>
        <v/>
      </c>
      <c r="F1942">
        <f>AND(k_n&gt;=5,B1942&gt;A1942+1E-9,C1942&gt;=2,D1942&gt;=1,E1942&gt;=2)</f>
        <v/>
      </c>
      <c r="G1942">
        <f>SUMPRODUCT(Calc!$K$3:$K$22*(Calc!$G$3:$G$22&gt;A1942)*(Calc!$G$3:$G$22-A1942))</f>
        <v/>
      </c>
      <c r="H1942">
        <f>SUMPRODUCT(Calc!$K$3:$K$22*(Calc!$G$3:$G$22&gt;B1942)*(Calc!$G$3:$G$22-B1942))</f>
        <v/>
      </c>
      <c r="I1942">
        <f>SUMPRODUCT(Calc!$K$3:$K$22*(Calc!$G$3:$G$22&gt;A1942)*(Calc!$G$3:$G$22-A1942)^2)</f>
        <v/>
      </c>
      <c r="J1942">
        <f>SUMPRODUCT(Calc!$K$3:$K$22*(Calc!$G$3:$G$22&gt;B1942)*(Calc!$G$3:$G$22-B1942)^2)</f>
        <v/>
      </c>
      <c r="K1942">
        <f>SUMPRODUCT(Calc!$K$3:$K$22*(Calc!$G$3:$G$22&gt;A1942)*(Calc!$G$3:$G$22-A1942)*(Calc!$G$3:$G$22&gt;B1942)*(Calc!$G$3:$G$22-B1942))</f>
        <v/>
      </c>
      <c r="L1942">
        <f>SUMPRODUCT(Calc!$K$3:$K$22*(Calc!$G$3:$G$22&gt;A1942)*(Calc!$G$3:$G$22-A1942)*Calc!$G$3:$G$22)</f>
        <v/>
      </c>
      <c r="M1942">
        <f>SUMPRODUCT(Calc!$K$3:$K$22*(Calc!$G$3:$G$22&gt;B1942)*(Calc!$G$3:$G$22-B1942)*Calc!$G$3:$G$22)</f>
        <v/>
      </c>
      <c r="N1942">
        <f>SUMPRODUCT(Calc!$K$3:$K$22*(Calc!$G$3:$G$22&gt;A1942)*(Calc!$G$3:$G$22-A1942)*Calc!$I$3:$I$22)</f>
        <v/>
      </c>
      <c r="O1942">
        <f>SUMPRODUCT(Calc!$K$3:$K$22*(Calc!$G$3:$G$22&gt;B1942)*(Calc!$G$3:$G$22-B1942)*Calc!$I$3:$I$22)</f>
        <v/>
      </c>
      <c r="P1942">
        <f>I1942-G1942^2/k_n</f>
        <v/>
      </c>
      <c r="Q1942">
        <f>J1942-H1942^2/k_n</f>
        <v/>
      </c>
      <c r="R1942">
        <f>K1942-G1942*H1942/k_n</f>
        <v/>
      </c>
      <c r="S1942">
        <f>L1942-LTP3!$D$3*G1942/k_n</f>
        <v/>
      </c>
      <c r="T1942">
        <f>M1942-LTP3!$D$3*H1942/k_n</f>
        <v/>
      </c>
      <c r="U1942">
        <f>N1942-G1942*LTP3!$D$4/k_n</f>
        <v/>
      </c>
      <c r="V1942">
        <f>O1942-H1942*LTP3!$D$4/k_n</f>
        <v/>
      </c>
      <c r="W1942">
        <f>((LTP3!$D$5)*((P1942)*(Q1942)-(R1942)*(R1942))-(S1942)*((S1942)*(Q1942)-(R1942)*(T1942))+(T1942)*((S1942)*(R1942)-(P1942)*(T1942)))</f>
        <v/>
      </c>
      <c r="X1942">
        <f>IF(ABS(W1942)&gt;1E-12,((LTP3!$D$6)*((P1942)*(Q1942)-(R1942)*(R1942))-(S1942)*((U1942)*(Q1942)-(R1942)*(V1942))+(T1942)*((U1942)*(R1942)-(P1942)*(V1942)))/W1942,0)</f>
        <v/>
      </c>
      <c r="Y1942">
        <f>IF(ABS(W1942)&gt;1E-12,((LTP3!$D$5)*((U1942)*(Q1942)-(R1942)*(V1942))-(LTP3!$D$6)*((S1942)*(Q1942)-(R1942)*(T1942))+(T1942)*((S1942)*(V1942)-(U1942)*(T1942)))/W1942,0)</f>
        <v/>
      </c>
      <c r="Z1942">
        <f>IF(ABS(W1942)&gt;1E-12,((LTP3!$D$5)*((P1942)*(V1942)-(U1942)*(R1942))-(S1942)*((S1942)*(V1942)-(U1942)*(T1942))+(LTP3!$D$6)*((S1942)*(R1942)-(P1942)*(T1942)))/W1942,0)</f>
        <v/>
      </c>
      <c r="AA1942">
        <f>LTP3!$D$7-X1942*LTP3!$D$6-Y1942*U1942-Z1942*V1942</f>
        <v/>
      </c>
      <c r="AB1942">
        <f>IF(AND(F1942,ABS(W1942)&gt;1E-12,Y1942&gt;0,Z1942&gt;0),AA1942,1E+300)</f>
        <v/>
      </c>
    </row>
    <row r="1943">
      <c r="A1943">
        <f>$B$3+$B$5*31</f>
        <v/>
      </c>
      <c r="B1943">
        <f>$B$3+$B$5*40</f>
        <v/>
      </c>
      <c r="C1943">
        <f>SUMPRODUCT(Calc!$K$3:$K$22*(Calc!$G$3:$G$22&lt;=A1943))</f>
        <v/>
      </c>
      <c r="D1943">
        <f>SUMPRODUCT(Calc!$K$3:$K$22*(Calc!$G$3:$G$22&gt;A1943)*(Calc!$G$3:$G$22&lt;B1943))</f>
        <v/>
      </c>
      <c r="E1943">
        <f>SUMPRODUCT(Calc!$K$3:$K$22*(Calc!$G$3:$G$22&gt;=B1943))</f>
        <v/>
      </c>
      <c r="F1943">
        <f>AND(k_n&gt;=5,B1943&gt;A1943+1E-9,C1943&gt;=2,D1943&gt;=1,E1943&gt;=2)</f>
        <v/>
      </c>
      <c r="G1943">
        <f>SUMPRODUCT(Calc!$K$3:$K$22*(Calc!$G$3:$G$22&gt;A1943)*(Calc!$G$3:$G$22-A1943))</f>
        <v/>
      </c>
      <c r="H1943">
        <f>SUMPRODUCT(Calc!$K$3:$K$22*(Calc!$G$3:$G$22&gt;B1943)*(Calc!$G$3:$G$22-B1943))</f>
        <v/>
      </c>
      <c r="I1943">
        <f>SUMPRODUCT(Calc!$K$3:$K$22*(Calc!$G$3:$G$22&gt;A1943)*(Calc!$G$3:$G$22-A1943)^2)</f>
        <v/>
      </c>
      <c r="J1943">
        <f>SUMPRODUCT(Calc!$K$3:$K$22*(Calc!$G$3:$G$22&gt;B1943)*(Calc!$G$3:$G$22-B1943)^2)</f>
        <v/>
      </c>
      <c r="K1943">
        <f>SUMPRODUCT(Calc!$K$3:$K$22*(Calc!$G$3:$G$22&gt;A1943)*(Calc!$G$3:$G$22-A1943)*(Calc!$G$3:$G$22&gt;B1943)*(Calc!$G$3:$G$22-B1943))</f>
        <v/>
      </c>
      <c r="L1943">
        <f>SUMPRODUCT(Calc!$K$3:$K$22*(Calc!$G$3:$G$22&gt;A1943)*(Calc!$G$3:$G$22-A1943)*Calc!$G$3:$G$22)</f>
        <v/>
      </c>
      <c r="M1943">
        <f>SUMPRODUCT(Calc!$K$3:$K$22*(Calc!$G$3:$G$22&gt;B1943)*(Calc!$G$3:$G$22-B1943)*Calc!$G$3:$G$22)</f>
        <v/>
      </c>
      <c r="N1943">
        <f>SUMPRODUCT(Calc!$K$3:$K$22*(Calc!$G$3:$G$22&gt;A1943)*(Calc!$G$3:$G$22-A1943)*Calc!$I$3:$I$22)</f>
        <v/>
      </c>
      <c r="O1943">
        <f>SUMPRODUCT(Calc!$K$3:$K$22*(Calc!$G$3:$G$22&gt;B1943)*(Calc!$G$3:$G$22-B1943)*Calc!$I$3:$I$22)</f>
        <v/>
      </c>
      <c r="P1943">
        <f>I1943-G1943^2/k_n</f>
        <v/>
      </c>
      <c r="Q1943">
        <f>J1943-H1943^2/k_n</f>
        <v/>
      </c>
      <c r="R1943">
        <f>K1943-G1943*H1943/k_n</f>
        <v/>
      </c>
      <c r="S1943">
        <f>L1943-LTP3!$D$3*G1943/k_n</f>
        <v/>
      </c>
      <c r="T1943">
        <f>M1943-LTP3!$D$3*H1943/k_n</f>
        <v/>
      </c>
      <c r="U1943">
        <f>N1943-G1943*LTP3!$D$4/k_n</f>
        <v/>
      </c>
      <c r="V1943">
        <f>O1943-H1943*LTP3!$D$4/k_n</f>
        <v/>
      </c>
      <c r="W1943">
        <f>((LTP3!$D$5)*((P1943)*(Q1943)-(R1943)*(R1943))-(S1943)*((S1943)*(Q1943)-(R1943)*(T1943))+(T1943)*((S1943)*(R1943)-(P1943)*(T1943)))</f>
        <v/>
      </c>
      <c r="X1943">
        <f>IF(ABS(W1943)&gt;1E-12,((LTP3!$D$6)*((P1943)*(Q1943)-(R1943)*(R1943))-(S1943)*((U1943)*(Q1943)-(R1943)*(V1943))+(T1943)*((U1943)*(R1943)-(P1943)*(V1943)))/W1943,0)</f>
        <v/>
      </c>
      <c r="Y1943">
        <f>IF(ABS(W1943)&gt;1E-12,((LTP3!$D$5)*((U1943)*(Q1943)-(R1943)*(V1943))-(LTP3!$D$6)*((S1943)*(Q1943)-(R1943)*(T1943))+(T1943)*((S1943)*(V1943)-(U1943)*(T1943)))/W1943,0)</f>
        <v/>
      </c>
      <c r="Z1943">
        <f>IF(ABS(W1943)&gt;1E-12,((LTP3!$D$5)*((P1943)*(V1943)-(U1943)*(R1943))-(S1943)*((S1943)*(V1943)-(U1943)*(T1943))+(LTP3!$D$6)*((S1943)*(R1943)-(P1943)*(T1943)))/W1943,0)</f>
        <v/>
      </c>
      <c r="AA1943">
        <f>LTP3!$D$7-X1943*LTP3!$D$6-Y1943*U1943-Z1943*V1943</f>
        <v/>
      </c>
      <c r="AB1943">
        <f>IF(AND(F1943,ABS(W1943)&gt;1E-12,Y1943&gt;0,Z1943&gt;0),AA1943,1E+300)</f>
        <v/>
      </c>
    </row>
    <row r="1944">
      <c r="A1944">
        <f>$B$3+$B$5*31</f>
        <v/>
      </c>
      <c r="B1944">
        <f>$B$3+$B$5*41</f>
        <v/>
      </c>
      <c r="C1944">
        <f>SUMPRODUCT(Calc!$K$3:$K$22*(Calc!$G$3:$G$22&lt;=A1944))</f>
        <v/>
      </c>
      <c r="D1944">
        <f>SUMPRODUCT(Calc!$K$3:$K$22*(Calc!$G$3:$G$22&gt;A1944)*(Calc!$G$3:$G$22&lt;B1944))</f>
        <v/>
      </c>
      <c r="E1944">
        <f>SUMPRODUCT(Calc!$K$3:$K$22*(Calc!$G$3:$G$22&gt;=B1944))</f>
        <v/>
      </c>
      <c r="F1944">
        <f>AND(k_n&gt;=5,B1944&gt;A1944+1E-9,C1944&gt;=2,D1944&gt;=1,E1944&gt;=2)</f>
        <v/>
      </c>
      <c r="G1944">
        <f>SUMPRODUCT(Calc!$K$3:$K$22*(Calc!$G$3:$G$22&gt;A1944)*(Calc!$G$3:$G$22-A1944))</f>
        <v/>
      </c>
      <c r="H1944">
        <f>SUMPRODUCT(Calc!$K$3:$K$22*(Calc!$G$3:$G$22&gt;B1944)*(Calc!$G$3:$G$22-B1944))</f>
        <v/>
      </c>
      <c r="I1944">
        <f>SUMPRODUCT(Calc!$K$3:$K$22*(Calc!$G$3:$G$22&gt;A1944)*(Calc!$G$3:$G$22-A1944)^2)</f>
        <v/>
      </c>
      <c r="J1944">
        <f>SUMPRODUCT(Calc!$K$3:$K$22*(Calc!$G$3:$G$22&gt;B1944)*(Calc!$G$3:$G$22-B1944)^2)</f>
        <v/>
      </c>
      <c r="K1944">
        <f>SUMPRODUCT(Calc!$K$3:$K$22*(Calc!$G$3:$G$22&gt;A1944)*(Calc!$G$3:$G$22-A1944)*(Calc!$G$3:$G$22&gt;B1944)*(Calc!$G$3:$G$22-B1944))</f>
        <v/>
      </c>
      <c r="L1944">
        <f>SUMPRODUCT(Calc!$K$3:$K$22*(Calc!$G$3:$G$22&gt;A1944)*(Calc!$G$3:$G$22-A1944)*Calc!$G$3:$G$22)</f>
        <v/>
      </c>
      <c r="M1944">
        <f>SUMPRODUCT(Calc!$K$3:$K$22*(Calc!$G$3:$G$22&gt;B1944)*(Calc!$G$3:$G$22-B1944)*Calc!$G$3:$G$22)</f>
        <v/>
      </c>
      <c r="N1944">
        <f>SUMPRODUCT(Calc!$K$3:$K$22*(Calc!$G$3:$G$22&gt;A1944)*(Calc!$G$3:$G$22-A1944)*Calc!$I$3:$I$22)</f>
        <v/>
      </c>
      <c r="O1944">
        <f>SUMPRODUCT(Calc!$K$3:$K$22*(Calc!$G$3:$G$22&gt;B1944)*(Calc!$G$3:$G$22-B1944)*Calc!$I$3:$I$22)</f>
        <v/>
      </c>
      <c r="P1944">
        <f>I1944-G1944^2/k_n</f>
        <v/>
      </c>
      <c r="Q1944">
        <f>J1944-H1944^2/k_n</f>
        <v/>
      </c>
      <c r="R1944">
        <f>K1944-G1944*H1944/k_n</f>
        <v/>
      </c>
      <c r="S1944">
        <f>L1944-LTP3!$D$3*G1944/k_n</f>
        <v/>
      </c>
      <c r="T1944">
        <f>M1944-LTP3!$D$3*H1944/k_n</f>
        <v/>
      </c>
      <c r="U1944">
        <f>N1944-G1944*LTP3!$D$4/k_n</f>
        <v/>
      </c>
      <c r="V1944">
        <f>O1944-H1944*LTP3!$D$4/k_n</f>
        <v/>
      </c>
      <c r="W1944">
        <f>((LTP3!$D$5)*((P1944)*(Q1944)-(R1944)*(R1944))-(S1944)*((S1944)*(Q1944)-(R1944)*(T1944))+(T1944)*((S1944)*(R1944)-(P1944)*(T1944)))</f>
        <v/>
      </c>
      <c r="X1944">
        <f>IF(ABS(W1944)&gt;1E-12,((LTP3!$D$6)*((P1944)*(Q1944)-(R1944)*(R1944))-(S1944)*((U1944)*(Q1944)-(R1944)*(V1944))+(T1944)*((U1944)*(R1944)-(P1944)*(V1944)))/W1944,0)</f>
        <v/>
      </c>
      <c r="Y1944">
        <f>IF(ABS(W1944)&gt;1E-12,((LTP3!$D$5)*((U1944)*(Q1944)-(R1944)*(V1944))-(LTP3!$D$6)*((S1944)*(Q1944)-(R1944)*(T1944))+(T1944)*((S1944)*(V1944)-(U1944)*(T1944)))/W1944,0)</f>
        <v/>
      </c>
      <c r="Z1944">
        <f>IF(ABS(W1944)&gt;1E-12,((LTP3!$D$5)*((P1944)*(V1944)-(U1944)*(R1944))-(S1944)*((S1944)*(V1944)-(U1944)*(T1944))+(LTP3!$D$6)*((S1944)*(R1944)-(P1944)*(T1944)))/W1944,0)</f>
        <v/>
      </c>
      <c r="AA1944">
        <f>LTP3!$D$7-X1944*LTP3!$D$6-Y1944*U1944-Z1944*V1944</f>
        <v/>
      </c>
      <c r="AB1944">
        <f>IF(AND(F1944,ABS(W1944)&gt;1E-12,Y1944&gt;0,Z1944&gt;0),AA1944,1E+300)</f>
        <v/>
      </c>
    </row>
    <row r="1945">
      <c r="A1945">
        <f>$B$3+$B$5*31</f>
        <v/>
      </c>
      <c r="B1945">
        <f>$B$3+$B$5*42</f>
        <v/>
      </c>
      <c r="C1945">
        <f>SUMPRODUCT(Calc!$K$3:$K$22*(Calc!$G$3:$G$22&lt;=A1945))</f>
        <v/>
      </c>
      <c r="D1945">
        <f>SUMPRODUCT(Calc!$K$3:$K$22*(Calc!$G$3:$G$22&gt;A1945)*(Calc!$G$3:$G$22&lt;B1945))</f>
        <v/>
      </c>
      <c r="E1945">
        <f>SUMPRODUCT(Calc!$K$3:$K$22*(Calc!$G$3:$G$22&gt;=B1945))</f>
        <v/>
      </c>
      <c r="F1945">
        <f>AND(k_n&gt;=5,B1945&gt;A1945+1E-9,C1945&gt;=2,D1945&gt;=1,E1945&gt;=2)</f>
        <v/>
      </c>
      <c r="G1945">
        <f>SUMPRODUCT(Calc!$K$3:$K$22*(Calc!$G$3:$G$22&gt;A1945)*(Calc!$G$3:$G$22-A1945))</f>
        <v/>
      </c>
      <c r="H1945">
        <f>SUMPRODUCT(Calc!$K$3:$K$22*(Calc!$G$3:$G$22&gt;B1945)*(Calc!$G$3:$G$22-B1945))</f>
        <v/>
      </c>
      <c r="I1945">
        <f>SUMPRODUCT(Calc!$K$3:$K$22*(Calc!$G$3:$G$22&gt;A1945)*(Calc!$G$3:$G$22-A1945)^2)</f>
        <v/>
      </c>
      <c r="J1945">
        <f>SUMPRODUCT(Calc!$K$3:$K$22*(Calc!$G$3:$G$22&gt;B1945)*(Calc!$G$3:$G$22-B1945)^2)</f>
        <v/>
      </c>
      <c r="K1945">
        <f>SUMPRODUCT(Calc!$K$3:$K$22*(Calc!$G$3:$G$22&gt;A1945)*(Calc!$G$3:$G$22-A1945)*(Calc!$G$3:$G$22&gt;B1945)*(Calc!$G$3:$G$22-B1945))</f>
        <v/>
      </c>
      <c r="L1945">
        <f>SUMPRODUCT(Calc!$K$3:$K$22*(Calc!$G$3:$G$22&gt;A1945)*(Calc!$G$3:$G$22-A1945)*Calc!$G$3:$G$22)</f>
        <v/>
      </c>
      <c r="M1945">
        <f>SUMPRODUCT(Calc!$K$3:$K$22*(Calc!$G$3:$G$22&gt;B1945)*(Calc!$G$3:$G$22-B1945)*Calc!$G$3:$G$22)</f>
        <v/>
      </c>
      <c r="N1945">
        <f>SUMPRODUCT(Calc!$K$3:$K$22*(Calc!$G$3:$G$22&gt;A1945)*(Calc!$G$3:$G$22-A1945)*Calc!$I$3:$I$22)</f>
        <v/>
      </c>
      <c r="O1945">
        <f>SUMPRODUCT(Calc!$K$3:$K$22*(Calc!$G$3:$G$22&gt;B1945)*(Calc!$G$3:$G$22-B1945)*Calc!$I$3:$I$22)</f>
        <v/>
      </c>
      <c r="P1945">
        <f>I1945-G1945^2/k_n</f>
        <v/>
      </c>
      <c r="Q1945">
        <f>J1945-H1945^2/k_n</f>
        <v/>
      </c>
      <c r="R1945">
        <f>K1945-G1945*H1945/k_n</f>
        <v/>
      </c>
      <c r="S1945">
        <f>L1945-LTP3!$D$3*G1945/k_n</f>
        <v/>
      </c>
      <c r="T1945">
        <f>M1945-LTP3!$D$3*H1945/k_n</f>
        <v/>
      </c>
      <c r="U1945">
        <f>N1945-G1945*LTP3!$D$4/k_n</f>
        <v/>
      </c>
      <c r="V1945">
        <f>O1945-H1945*LTP3!$D$4/k_n</f>
        <v/>
      </c>
      <c r="W1945">
        <f>((LTP3!$D$5)*((P1945)*(Q1945)-(R1945)*(R1945))-(S1945)*((S1945)*(Q1945)-(R1945)*(T1945))+(T1945)*((S1945)*(R1945)-(P1945)*(T1945)))</f>
        <v/>
      </c>
      <c r="X1945">
        <f>IF(ABS(W1945)&gt;1E-12,((LTP3!$D$6)*((P1945)*(Q1945)-(R1945)*(R1945))-(S1945)*((U1945)*(Q1945)-(R1945)*(V1945))+(T1945)*((U1945)*(R1945)-(P1945)*(V1945)))/W1945,0)</f>
        <v/>
      </c>
      <c r="Y1945">
        <f>IF(ABS(W1945)&gt;1E-12,((LTP3!$D$5)*((U1945)*(Q1945)-(R1945)*(V1945))-(LTP3!$D$6)*((S1945)*(Q1945)-(R1945)*(T1945))+(T1945)*((S1945)*(V1945)-(U1945)*(T1945)))/W1945,0)</f>
        <v/>
      </c>
      <c r="Z1945">
        <f>IF(ABS(W1945)&gt;1E-12,((LTP3!$D$5)*((P1945)*(V1945)-(U1945)*(R1945))-(S1945)*((S1945)*(V1945)-(U1945)*(T1945))+(LTP3!$D$6)*((S1945)*(R1945)-(P1945)*(T1945)))/W1945,0)</f>
        <v/>
      </c>
      <c r="AA1945">
        <f>LTP3!$D$7-X1945*LTP3!$D$6-Y1945*U1945-Z1945*V1945</f>
        <v/>
      </c>
      <c r="AB1945">
        <f>IF(AND(F1945,ABS(W1945)&gt;1E-12,Y1945&gt;0,Z1945&gt;0),AA1945,1E+300)</f>
        <v/>
      </c>
    </row>
    <row r="1946">
      <c r="A1946">
        <f>$B$3+$B$5*31</f>
        <v/>
      </c>
      <c r="B1946">
        <f>$B$3+$B$5*43</f>
        <v/>
      </c>
      <c r="C1946">
        <f>SUMPRODUCT(Calc!$K$3:$K$22*(Calc!$G$3:$G$22&lt;=A1946))</f>
        <v/>
      </c>
      <c r="D1946">
        <f>SUMPRODUCT(Calc!$K$3:$K$22*(Calc!$G$3:$G$22&gt;A1946)*(Calc!$G$3:$G$22&lt;B1946))</f>
        <v/>
      </c>
      <c r="E1946">
        <f>SUMPRODUCT(Calc!$K$3:$K$22*(Calc!$G$3:$G$22&gt;=B1946))</f>
        <v/>
      </c>
      <c r="F1946">
        <f>AND(k_n&gt;=5,B1946&gt;A1946+1E-9,C1946&gt;=2,D1946&gt;=1,E1946&gt;=2)</f>
        <v/>
      </c>
      <c r="G1946">
        <f>SUMPRODUCT(Calc!$K$3:$K$22*(Calc!$G$3:$G$22&gt;A1946)*(Calc!$G$3:$G$22-A1946))</f>
        <v/>
      </c>
      <c r="H1946">
        <f>SUMPRODUCT(Calc!$K$3:$K$22*(Calc!$G$3:$G$22&gt;B1946)*(Calc!$G$3:$G$22-B1946))</f>
        <v/>
      </c>
      <c r="I1946">
        <f>SUMPRODUCT(Calc!$K$3:$K$22*(Calc!$G$3:$G$22&gt;A1946)*(Calc!$G$3:$G$22-A1946)^2)</f>
        <v/>
      </c>
      <c r="J1946">
        <f>SUMPRODUCT(Calc!$K$3:$K$22*(Calc!$G$3:$G$22&gt;B1946)*(Calc!$G$3:$G$22-B1946)^2)</f>
        <v/>
      </c>
      <c r="K1946">
        <f>SUMPRODUCT(Calc!$K$3:$K$22*(Calc!$G$3:$G$22&gt;A1946)*(Calc!$G$3:$G$22-A1946)*(Calc!$G$3:$G$22&gt;B1946)*(Calc!$G$3:$G$22-B1946))</f>
        <v/>
      </c>
      <c r="L1946">
        <f>SUMPRODUCT(Calc!$K$3:$K$22*(Calc!$G$3:$G$22&gt;A1946)*(Calc!$G$3:$G$22-A1946)*Calc!$G$3:$G$22)</f>
        <v/>
      </c>
      <c r="M1946">
        <f>SUMPRODUCT(Calc!$K$3:$K$22*(Calc!$G$3:$G$22&gt;B1946)*(Calc!$G$3:$G$22-B1946)*Calc!$G$3:$G$22)</f>
        <v/>
      </c>
      <c r="N1946">
        <f>SUMPRODUCT(Calc!$K$3:$K$22*(Calc!$G$3:$G$22&gt;A1946)*(Calc!$G$3:$G$22-A1946)*Calc!$I$3:$I$22)</f>
        <v/>
      </c>
      <c r="O1946">
        <f>SUMPRODUCT(Calc!$K$3:$K$22*(Calc!$G$3:$G$22&gt;B1946)*(Calc!$G$3:$G$22-B1946)*Calc!$I$3:$I$22)</f>
        <v/>
      </c>
      <c r="P1946">
        <f>I1946-G1946^2/k_n</f>
        <v/>
      </c>
      <c r="Q1946">
        <f>J1946-H1946^2/k_n</f>
        <v/>
      </c>
      <c r="R1946">
        <f>K1946-G1946*H1946/k_n</f>
        <v/>
      </c>
      <c r="S1946">
        <f>L1946-LTP3!$D$3*G1946/k_n</f>
        <v/>
      </c>
      <c r="T1946">
        <f>M1946-LTP3!$D$3*H1946/k_n</f>
        <v/>
      </c>
      <c r="U1946">
        <f>N1946-G1946*LTP3!$D$4/k_n</f>
        <v/>
      </c>
      <c r="V1946">
        <f>O1946-H1946*LTP3!$D$4/k_n</f>
        <v/>
      </c>
      <c r="W1946">
        <f>((LTP3!$D$5)*((P1946)*(Q1946)-(R1946)*(R1946))-(S1946)*((S1946)*(Q1946)-(R1946)*(T1946))+(T1946)*((S1946)*(R1946)-(P1946)*(T1946)))</f>
        <v/>
      </c>
      <c r="X1946">
        <f>IF(ABS(W1946)&gt;1E-12,((LTP3!$D$6)*((P1946)*(Q1946)-(R1946)*(R1946))-(S1946)*((U1946)*(Q1946)-(R1946)*(V1946))+(T1946)*((U1946)*(R1946)-(P1946)*(V1946)))/W1946,0)</f>
        <v/>
      </c>
      <c r="Y1946">
        <f>IF(ABS(W1946)&gt;1E-12,((LTP3!$D$5)*((U1946)*(Q1946)-(R1946)*(V1946))-(LTP3!$D$6)*((S1946)*(Q1946)-(R1946)*(T1946))+(T1946)*((S1946)*(V1946)-(U1946)*(T1946)))/W1946,0)</f>
        <v/>
      </c>
      <c r="Z1946">
        <f>IF(ABS(W1946)&gt;1E-12,((LTP3!$D$5)*((P1946)*(V1946)-(U1946)*(R1946))-(S1946)*((S1946)*(V1946)-(U1946)*(T1946))+(LTP3!$D$6)*((S1946)*(R1946)-(P1946)*(T1946)))/W1946,0)</f>
        <v/>
      </c>
      <c r="AA1946">
        <f>LTP3!$D$7-X1946*LTP3!$D$6-Y1946*U1946-Z1946*V1946</f>
        <v/>
      </c>
      <c r="AB1946">
        <f>IF(AND(F1946,ABS(W1946)&gt;1E-12,Y1946&gt;0,Z1946&gt;0),AA1946,1E+300)</f>
        <v/>
      </c>
    </row>
    <row r="1947">
      <c r="A1947">
        <f>$B$3+$B$5*31</f>
        <v/>
      </c>
      <c r="B1947">
        <f>$B$3+$B$5*44</f>
        <v/>
      </c>
      <c r="C1947">
        <f>SUMPRODUCT(Calc!$K$3:$K$22*(Calc!$G$3:$G$22&lt;=A1947))</f>
        <v/>
      </c>
      <c r="D1947">
        <f>SUMPRODUCT(Calc!$K$3:$K$22*(Calc!$G$3:$G$22&gt;A1947)*(Calc!$G$3:$G$22&lt;B1947))</f>
        <v/>
      </c>
      <c r="E1947">
        <f>SUMPRODUCT(Calc!$K$3:$K$22*(Calc!$G$3:$G$22&gt;=B1947))</f>
        <v/>
      </c>
      <c r="F1947">
        <f>AND(k_n&gt;=5,B1947&gt;A1947+1E-9,C1947&gt;=2,D1947&gt;=1,E1947&gt;=2)</f>
        <v/>
      </c>
      <c r="G1947">
        <f>SUMPRODUCT(Calc!$K$3:$K$22*(Calc!$G$3:$G$22&gt;A1947)*(Calc!$G$3:$G$22-A1947))</f>
        <v/>
      </c>
      <c r="H1947">
        <f>SUMPRODUCT(Calc!$K$3:$K$22*(Calc!$G$3:$G$22&gt;B1947)*(Calc!$G$3:$G$22-B1947))</f>
        <v/>
      </c>
      <c r="I1947">
        <f>SUMPRODUCT(Calc!$K$3:$K$22*(Calc!$G$3:$G$22&gt;A1947)*(Calc!$G$3:$G$22-A1947)^2)</f>
        <v/>
      </c>
      <c r="J1947">
        <f>SUMPRODUCT(Calc!$K$3:$K$22*(Calc!$G$3:$G$22&gt;B1947)*(Calc!$G$3:$G$22-B1947)^2)</f>
        <v/>
      </c>
      <c r="K1947">
        <f>SUMPRODUCT(Calc!$K$3:$K$22*(Calc!$G$3:$G$22&gt;A1947)*(Calc!$G$3:$G$22-A1947)*(Calc!$G$3:$G$22&gt;B1947)*(Calc!$G$3:$G$22-B1947))</f>
        <v/>
      </c>
      <c r="L1947">
        <f>SUMPRODUCT(Calc!$K$3:$K$22*(Calc!$G$3:$G$22&gt;A1947)*(Calc!$G$3:$G$22-A1947)*Calc!$G$3:$G$22)</f>
        <v/>
      </c>
      <c r="M1947">
        <f>SUMPRODUCT(Calc!$K$3:$K$22*(Calc!$G$3:$G$22&gt;B1947)*(Calc!$G$3:$G$22-B1947)*Calc!$G$3:$G$22)</f>
        <v/>
      </c>
      <c r="N1947">
        <f>SUMPRODUCT(Calc!$K$3:$K$22*(Calc!$G$3:$G$22&gt;A1947)*(Calc!$G$3:$G$22-A1947)*Calc!$I$3:$I$22)</f>
        <v/>
      </c>
      <c r="O1947">
        <f>SUMPRODUCT(Calc!$K$3:$K$22*(Calc!$G$3:$G$22&gt;B1947)*(Calc!$G$3:$G$22-B1947)*Calc!$I$3:$I$22)</f>
        <v/>
      </c>
      <c r="P1947">
        <f>I1947-G1947^2/k_n</f>
        <v/>
      </c>
      <c r="Q1947">
        <f>J1947-H1947^2/k_n</f>
        <v/>
      </c>
      <c r="R1947">
        <f>K1947-G1947*H1947/k_n</f>
        <v/>
      </c>
      <c r="S1947">
        <f>L1947-LTP3!$D$3*G1947/k_n</f>
        <v/>
      </c>
      <c r="T1947">
        <f>M1947-LTP3!$D$3*H1947/k_n</f>
        <v/>
      </c>
      <c r="U1947">
        <f>N1947-G1947*LTP3!$D$4/k_n</f>
        <v/>
      </c>
      <c r="V1947">
        <f>O1947-H1947*LTP3!$D$4/k_n</f>
        <v/>
      </c>
      <c r="W1947">
        <f>((LTP3!$D$5)*((P1947)*(Q1947)-(R1947)*(R1947))-(S1947)*((S1947)*(Q1947)-(R1947)*(T1947))+(T1947)*((S1947)*(R1947)-(P1947)*(T1947)))</f>
        <v/>
      </c>
      <c r="X1947">
        <f>IF(ABS(W1947)&gt;1E-12,((LTP3!$D$6)*((P1947)*(Q1947)-(R1947)*(R1947))-(S1947)*((U1947)*(Q1947)-(R1947)*(V1947))+(T1947)*((U1947)*(R1947)-(P1947)*(V1947)))/W1947,0)</f>
        <v/>
      </c>
      <c r="Y1947">
        <f>IF(ABS(W1947)&gt;1E-12,((LTP3!$D$5)*((U1947)*(Q1947)-(R1947)*(V1947))-(LTP3!$D$6)*((S1947)*(Q1947)-(R1947)*(T1947))+(T1947)*((S1947)*(V1947)-(U1947)*(T1947)))/W1947,0)</f>
        <v/>
      </c>
      <c r="Z1947">
        <f>IF(ABS(W1947)&gt;1E-12,((LTP3!$D$5)*((P1947)*(V1947)-(U1947)*(R1947))-(S1947)*((S1947)*(V1947)-(U1947)*(T1947))+(LTP3!$D$6)*((S1947)*(R1947)-(P1947)*(T1947)))/W1947,0)</f>
        <v/>
      </c>
      <c r="AA1947">
        <f>LTP3!$D$7-X1947*LTP3!$D$6-Y1947*U1947-Z1947*V1947</f>
        <v/>
      </c>
      <c r="AB1947">
        <f>IF(AND(F1947,ABS(W1947)&gt;1E-12,Y1947&gt;0,Z1947&gt;0),AA1947,1E+300)</f>
        <v/>
      </c>
    </row>
    <row r="1948">
      <c r="A1948">
        <f>$B$3+$B$5*31</f>
        <v/>
      </c>
      <c r="B1948">
        <f>$B$3+$B$5*45</f>
        <v/>
      </c>
      <c r="C1948">
        <f>SUMPRODUCT(Calc!$K$3:$K$22*(Calc!$G$3:$G$22&lt;=A1948))</f>
        <v/>
      </c>
      <c r="D1948">
        <f>SUMPRODUCT(Calc!$K$3:$K$22*(Calc!$G$3:$G$22&gt;A1948)*(Calc!$G$3:$G$22&lt;B1948))</f>
        <v/>
      </c>
      <c r="E1948">
        <f>SUMPRODUCT(Calc!$K$3:$K$22*(Calc!$G$3:$G$22&gt;=B1948))</f>
        <v/>
      </c>
      <c r="F1948">
        <f>AND(k_n&gt;=5,B1948&gt;A1948+1E-9,C1948&gt;=2,D1948&gt;=1,E1948&gt;=2)</f>
        <v/>
      </c>
      <c r="G1948">
        <f>SUMPRODUCT(Calc!$K$3:$K$22*(Calc!$G$3:$G$22&gt;A1948)*(Calc!$G$3:$G$22-A1948))</f>
        <v/>
      </c>
      <c r="H1948">
        <f>SUMPRODUCT(Calc!$K$3:$K$22*(Calc!$G$3:$G$22&gt;B1948)*(Calc!$G$3:$G$22-B1948))</f>
        <v/>
      </c>
      <c r="I1948">
        <f>SUMPRODUCT(Calc!$K$3:$K$22*(Calc!$G$3:$G$22&gt;A1948)*(Calc!$G$3:$G$22-A1948)^2)</f>
        <v/>
      </c>
      <c r="J1948">
        <f>SUMPRODUCT(Calc!$K$3:$K$22*(Calc!$G$3:$G$22&gt;B1948)*(Calc!$G$3:$G$22-B1948)^2)</f>
        <v/>
      </c>
      <c r="K1948">
        <f>SUMPRODUCT(Calc!$K$3:$K$22*(Calc!$G$3:$G$22&gt;A1948)*(Calc!$G$3:$G$22-A1948)*(Calc!$G$3:$G$22&gt;B1948)*(Calc!$G$3:$G$22-B1948))</f>
        <v/>
      </c>
      <c r="L1948">
        <f>SUMPRODUCT(Calc!$K$3:$K$22*(Calc!$G$3:$G$22&gt;A1948)*(Calc!$G$3:$G$22-A1948)*Calc!$G$3:$G$22)</f>
        <v/>
      </c>
      <c r="M1948">
        <f>SUMPRODUCT(Calc!$K$3:$K$22*(Calc!$G$3:$G$22&gt;B1948)*(Calc!$G$3:$G$22-B1948)*Calc!$G$3:$G$22)</f>
        <v/>
      </c>
      <c r="N1948">
        <f>SUMPRODUCT(Calc!$K$3:$K$22*(Calc!$G$3:$G$22&gt;A1948)*(Calc!$G$3:$G$22-A1948)*Calc!$I$3:$I$22)</f>
        <v/>
      </c>
      <c r="O1948">
        <f>SUMPRODUCT(Calc!$K$3:$K$22*(Calc!$G$3:$G$22&gt;B1948)*(Calc!$G$3:$G$22-B1948)*Calc!$I$3:$I$22)</f>
        <v/>
      </c>
      <c r="P1948">
        <f>I1948-G1948^2/k_n</f>
        <v/>
      </c>
      <c r="Q1948">
        <f>J1948-H1948^2/k_n</f>
        <v/>
      </c>
      <c r="R1948">
        <f>K1948-G1948*H1948/k_n</f>
        <v/>
      </c>
      <c r="S1948">
        <f>L1948-LTP3!$D$3*G1948/k_n</f>
        <v/>
      </c>
      <c r="T1948">
        <f>M1948-LTP3!$D$3*H1948/k_n</f>
        <v/>
      </c>
      <c r="U1948">
        <f>N1948-G1948*LTP3!$D$4/k_n</f>
        <v/>
      </c>
      <c r="V1948">
        <f>O1948-H1948*LTP3!$D$4/k_n</f>
        <v/>
      </c>
      <c r="W1948">
        <f>((LTP3!$D$5)*((P1948)*(Q1948)-(R1948)*(R1948))-(S1948)*((S1948)*(Q1948)-(R1948)*(T1948))+(T1948)*((S1948)*(R1948)-(P1948)*(T1948)))</f>
        <v/>
      </c>
      <c r="X1948">
        <f>IF(ABS(W1948)&gt;1E-12,((LTP3!$D$6)*((P1948)*(Q1948)-(R1948)*(R1948))-(S1948)*((U1948)*(Q1948)-(R1948)*(V1948))+(T1948)*((U1948)*(R1948)-(P1948)*(V1948)))/W1948,0)</f>
        <v/>
      </c>
      <c r="Y1948">
        <f>IF(ABS(W1948)&gt;1E-12,((LTP3!$D$5)*((U1948)*(Q1948)-(R1948)*(V1948))-(LTP3!$D$6)*((S1948)*(Q1948)-(R1948)*(T1948))+(T1948)*((S1948)*(V1948)-(U1948)*(T1948)))/W1948,0)</f>
        <v/>
      </c>
      <c r="Z1948">
        <f>IF(ABS(W1948)&gt;1E-12,((LTP3!$D$5)*((P1948)*(V1948)-(U1948)*(R1948))-(S1948)*((S1948)*(V1948)-(U1948)*(T1948))+(LTP3!$D$6)*((S1948)*(R1948)-(P1948)*(T1948)))/W1948,0)</f>
        <v/>
      </c>
      <c r="AA1948">
        <f>LTP3!$D$7-X1948*LTP3!$D$6-Y1948*U1948-Z1948*V1948</f>
        <v/>
      </c>
      <c r="AB1948">
        <f>IF(AND(F1948,ABS(W1948)&gt;1E-12,Y1948&gt;0,Z1948&gt;0),AA1948,1E+300)</f>
        <v/>
      </c>
    </row>
    <row r="1949">
      <c r="A1949">
        <f>$B$3+$B$5*31</f>
        <v/>
      </c>
      <c r="B1949">
        <f>$B$3+$B$5*46</f>
        <v/>
      </c>
      <c r="C1949">
        <f>SUMPRODUCT(Calc!$K$3:$K$22*(Calc!$G$3:$G$22&lt;=A1949))</f>
        <v/>
      </c>
      <c r="D1949">
        <f>SUMPRODUCT(Calc!$K$3:$K$22*(Calc!$G$3:$G$22&gt;A1949)*(Calc!$G$3:$G$22&lt;B1949))</f>
        <v/>
      </c>
      <c r="E1949">
        <f>SUMPRODUCT(Calc!$K$3:$K$22*(Calc!$G$3:$G$22&gt;=B1949))</f>
        <v/>
      </c>
      <c r="F1949">
        <f>AND(k_n&gt;=5,B1949&gt;A1949+1E-9,C1949&gt;=2,D1949&gt;=1,E1949&gt;=2)</f>
        <v/>
      </c>
      <c r="G1949">
        <f>SUMPRODUCT(Calc!$K$3:$K$22*(Calc!$G$3:$G$22&gt;A1949)*(Calc!$G$3:$G$22-A1949))</f>
        <v/>
      </c>
      <c r="H1949">
        <f>SUMPRODUCT(Calc!$K$3:$K$22*(Calc!$G$3:$G$22&gt;B1949)*(Calc!$G$3:$G$22-B1949))</f>
        <v/>
      </c>
      <c r="I1949">
        <f>SUMPRODUCT(Calc!$K$3:$K$22*(Calc!$G$3:$G$22&gt;A1949)*(Calc!$G$3:$G$22-A1949)^2)</f>
        <v/>
      </c>
      <c r="J1949">
        <f>SUMPRODUCT(Calc!$K$3:$K$22*(Calc!$G$3:$G$22&gt;B1949)*(Calc!$G$3:$G$22-B1949)^2)</f>
        <v/>
      </c>
      <c r="K1949">
        <f>SUMPRODUCT(Calc!$K$3:$K$22*(Calc!$G$3:$G$22&gt;A1949)*(Calc!$G$3:$G$22-A1949)*(Calc!$G$3:$G$22&gt;B1949)*(Calc!$G$3:$G$22-B1949))</f>
        <v/>
      </c>
      <c r="L1949">
        <f>SUMPRODUCT(Calc!$K$3:$K$22*(Calc!$G$3:$G$22&gt;A1949)*(Calc!$G$3:$G$22-A1949)*Calc!$G$3:$G$22)</f>
        <v/>
      </c>
      <c r="M1949">
        <f>SUMPRODUCT(Calc!$K$3:$K$22*(Calc!$G$3:$G$22&gt;B1949)*(Calc!$G$3:$G$22-B1949)*Calc!$G$3:$G$22)</f>
        <v/>
      </c>
      <c r="N1949">
        <f>SUMPRODUCT(Calc!$K$3:$K$22*(Calc!$G$3:$G$22&gt;A1949)*(Calc!$G$3:$G$22-A1949)*Calc!$I$3:$I$22)</f>
        <v/>
      </c>
      <c r="O1949">
        <f>SUMPRODUCT(Calc!$K$3:$K$22*(Calc!$G$3:$G$22&gt;B1949)*(Calc!$G$3:$G$22-B1949)*Calc!$I$3:$I$22)</f>
        <v/>
      </c>
      <c r="P1949">
        <f>I1949-G1949^2/k_n</f>
        <v/>
      </c>
      <c r="Q1949">
        <f>J1949-H1949^2/k_n</f>
        <v/>
      </c>
      <c r="R1949">
        <f>K1949-G1949*H1949/k_n</f>
        <v/>
      </c>
      <c r="S1949">
        <f>L1949-LTP3!$D$3*G1949/k_n</f>
        <v/>
      </c>
      <c r="T1949">
        <f>M1949-LTP3!$D$3*H1949/k_n</f>
        <v/>
      </c>
      <c r="U1949">
        <f>N1949-G1949*LTP3!$D$4/k_n</f>
        <v/>
      </c>
      <c r="V1949">
        <f>O1949-H1949*LTP3!$D$4/k_n</f>
        <v/>
      </c>
      <c r="W1949">
        <f>((LTP3!$D$5)*((P1949)*(Q1949)-(R1949)*(R1949))-(S1949)*((S1949)*(Q1949)-(R1949)*(T1949))+(T1949)*((S1949)*(R1949)-(P1949)*(T1949)))</f>
        <v/>
      </c>
      <c r="X1949">
        <f>IF(ABS(W1949)&gt;1E-12,((LTP3!$D$6)*((P1949)*(Q1949)-(R1949)*(R1949))-(S1949)*((U1949)*(Q1949)-(R1949)*(V1949))+(T1949)*((U1949)*(R1949)-(P1949)*(V1949)))/W1949,0)</f>
        <v/>
      </c>
      <c r="Y1949">
        <f>IF(ABS(W1949)&gt;1E-12,((LTP3!$D$5)*((U1949)*(Q1949)-(R1949)*(V1949))-(LTP3!$D$6)*((S1949)*(Q1949)-(R1949)*(T1949))+(T1949)*((S1949)*(V1949)-(U1949)*(T1949)))/W1949,0)</f>
        <v/>
      </c>
      <c r="Z1949">
        <f>IF(ABS(W1949)&gt;1E-12,((LTP3!$D$5)*((P1949)*(V1949)-(U1949)*(R1949))-(S1949)*((S1949)*(V1949)-(U1949)*(T1949))+(LTP3!$D$6)*((S1949)*(R1949)-(P1949)*(T1949)))/W1949,0)</f>
        <v/>
      </c>
      <c r="AA1949">
        <f>LTP3!$D$7-X1949*LTP3!$D$6-Y1949*U1949-Z1949*V1949</f>
        <v/>
      </c>
      <c r="AB1949">
        <f>IF(AND(F1949,ABS(W1949)&gt;1E-12,Y1949&gt;0,Z1949&gt;0),AA1949,1E+300)</f>
        <v/>
      </c>
    </row>
    <row r="1950">
      <c r="A1950">
        <f>$B$3+$B$5*31</f>
        <v/>
      </c>
      <c r="B1950">
        <f>$B$3+$B$5*47</f>
        <v/>
      </c>
      <c r="C1950">
        <f>SUMPRODUCT(Calc!$K$3:$K$22*(Calc!$G$3:$G$22&lt;=A1950))</f>
        <v/>
      </c>
      <c r="D1950">
        <f>SUMPRODUCT(Calc!$K$3:$K$22*(Calc!$G$3:$G$22&gt;A1950)*(Calc!$G$3:$G$22&lt;B1950))</f>
        <v/>
      </c>
      <c r="E1950">
        <f>SUMPRODUCT(Calc!$K$3:$K$22*(Calc!$G$3:$G$22&gt;=B1950))</f>
        <v/>
      </c>
      <c r="F1950">
        <f>AND(k_n&gt;=5,B1950&gt;A1950+1E-9,C1950&gt;=2,D1950&gt;=1,E1950&gt;=2)</f>
        <v/>
      </c>
      <c r="G1950">
        <f>SUMPRODUCT(Calc!$K$3:$K$22*(Calc!$G$3:$G$22&gt;A1950)*(Calc!$G$3:$G$22-A1950))</f>
        <v/>
      </c>
      <c r="H1950">
        <f>SUMPRODUCT(Calc!$K$3:$K$22*(Calc!$G$3:$G$22&gt;B1950)*(Calc!$G$3:$G$22-B1950))</f>
        <v/>
      </c>
      <c r="I1950">
        <f>SUMPRODUCT(Calc!$K$3:$K$22*(Calc!$G$3:$G$22&gt;A1950)*(Calc!$G$3:$G$22-A1950)^2)</f>
        <v/>
      </c>
      <c r="J1950">
        <f>SUMPRODUCT(Calc!$K$3:$K$22*(Calc!$G$3:$G$22&gt;B1950)*(Calc!$G$3:$G$22-B1950)^2)</f>
        <v/>
      </c>
      <c r="K1950">
        <f>SUMPRODUCT(Calc!$K$3:$K$22*(Calc!$G$3:$G$22&gt;A1950)*(Calc!$G$3:$G$22-A1950)*(Calc!$G$3:$G$22&gt;B1950)*(Calc!$G$3:$G$22-B1950))</f>
        <v/>
      </c>
      <c r="L1950">
        <f>SUMPRODUCT(Calc!$K$3:$K$22*(Calc!$G$3:$G$22&gt;A1950)*(Calc!$G$3:$G$22-A1950)*Calc!$G$3:$G$22)</f>
        <v/>
      </c>
      <c r="M1950">
        <f>SUMPRODUCT(Calc!$K$3:$K$22*(Calc!$G$3:$G$22&gt;B1950)*(Calc!$G$3:$G$22-B1950)*Calc!$G$3:$G$22)</f>
        <v/>
      </c>
      <c r="N1950">
        <f>SUMPRODUCT(Calc!$K$3:$K$22*(Calc!$G$3:$G$22&gt;A1950)*(Calc!$G$3:$G$22-A1950)*Calc!$I$3:$I$22)</f>
        <v/>
      </c>
      <c r="O1950">
        <f>SUMPRODUCT(Calc!$K$3:$K$22*(Calc!$G$3:$G$22&gt;B1950)*(Calc!$G$3:$G$22-B1950)*Calc!$I$3:$I$22)</f>
        <v/>
      </c>
      <c r="P1950">
        <f>I1950-G1950^2/k_n</f>
        <v/>
      </c>
      <c r="Q1950">
        <f>J1950-H1950^2/k_n</f>
        <v/>
      </c>
      <c r="R1950">
        <f>K1950-G1950*H1950/k_n</f>
        <v/>
      </c>
      <c r="S1950">
        <f>L1950-LTP3!$D$3*G1950/k_n</f>
        <v/>
      </c>
      <c r="T1950">
        <f>M1950-LTP3!$D$3*H1950/k_n</f>
        <v/>
      </c>
      <c r="U1950">
        <f>N1950-G1950*LTP3!$D$4/k_n</f>
        <v/>
      </c>
      <c r="V1950">
        <f>O1950-H1950*LTP3!$D$4/k_n</f>
        <v/>
      </c>
      <c r="W1950">
        <f>((LTP3!$D$5)*((P1950)*(Q1950)-(R1950)*(R1950))-(S1950)*((S1950)*(Q1950)-(R1950)*(T1950))+(T1950)*((S1950)*(R1950)-(P1950)*(T1950)))</f>
        <v/>
      </c>
      <c r="X1950">
        <f>IF(ABS(W1950)&gt;1E-12,((LTP3!$D$6)*((P1950)*(Q1950)-(R1950)*(R1950))-(S1950)*((U1950)*(Q1950)-(R1950)*(V1950))+(T1950)*((U1950)*(R1950)-(P1950)*(V1950)))/W1950,0)</f>
        <v/>
      </c>
      <c r="Y1950">
        <f>IF(ABS(W1950)&gt;1E-12,((LTP3!$D$5)*((U1950)*(Q1950)-(R1950)*(V1950))-(LTP3!$D$6)*((S1950)*(Q1950)-(R1950)*(T1950))+(T1950)*((S1950)*(V1950)-(U1950)*(T1950)))/W1950,0)</f>
        <v/>
      </c>
      <c r="Z1950">
        <f>IF(ABS(W1950)&gt;1E-12,((LTP3!$D$5)*((P1950)*(V1950)-(U1950)*(R1950))-(S1950)*((S1950)*(V1950)-(U1950)*(T1950))+(LTP3!$D$6)*((S1950)*(R1950)-(P1950)*(T1950)))/W1950,0)</f>
        <v/>
      </c>
      <c r="AA1950">
        <f>LTP3!$D$7-X1950*LTP3!$D$6-Y1950*U1950-Z1950*V1950</f>
        <v/>
      </c>
      <c r="AB1950">
        <f>IF(AND(F1950,ABS(W1950)&gt;1E-12,Y1950&gt;0,Z1950&gt;0),AA1950,1E+300)</f>
        <v/>
      </c>
    </row>
    <row r="1951">
      <c r="A1951">
        <f>$B$3+$B$5*31</f>
        <v/>
      </c>
      <c r="B1951">
        <f>$B$3+$B$5*48</f>
        <v/>
      </c>
      <c r="C1951">
        <f>SUMPRODUCT(Calc!$K$3:$K$22*(Calc!$G$3:$G$22&lt;=A1951))</f>
        <v/>
      </c>
      <c r="D1951">
        <f>SUMPRODUCT(Calc!$K$3:$K$22*(Calc!$G$3:$G$22&gt;A1951)*(Calc!$G$3:$G$22&lt;B1951))</f>
        <v/>
      </c>
      <c r="E1951">
        <f>SUMPRODUCT(Calc!$K$3:$K$22*(Calc!$G$3:$G$22&gt;=B1951))</f>
        <v/>
      </c>
      <c r="F1951">
        <f>AND(k_n&gt;=5,B1951&gt;A1951+1E-9,C1951&gt;=2,D1951&gt;=1,E1951&gt;=2)</f>
        <v/>
      </c>
      <c r="G1951">
        <f>SUMPRODUCT(Calc!$K$3:$K$22*(Calc!$G$3:$G$22&gt;A1951)*(Calc!$G$3:$G$22-A1951))</f>
        <v/>
      </c>
      <c r="H1951">
        <f>SUMPRODUCT(Calc!$K$3:$K$22*(Calc!$G$3:$G$22&gt;B1951)*(Calc!$G$3:$G$22-B1951))</f>
        <v/>
      </c>
      <c r="I1951">
        <f>SUMPRODUCT(Calc!$K$3:$K$22*(Calc!$G$3:$G$22&gt;A1951)*(Calc!$G$3:$G$22-A1951)^2)</f>
        <v/>
      </c>
      <c r="J1951">
        <f>SUMPRODUCT(Calc!$K$3:$K$22*(Calc!$G$3:$G$22&gt;B1951)*(Calc!$G$3:$G$22-B1951)^2)</f>
        <v/>
      </c>
      <c r="K1951">
        <f>SUMPRODUCT(Calc!$K$3:$K$22*(Calc!$G$3:$G$22&gt;A1951)*(Calc!$G$3:$G$22-A1951)*(Calc!$G$3:$G$22&gt;B1951)*(Calc!$G$3:$G$22-B1951))</f>
        <v/>
      </c>
      <c r="L1951">
        <f>SUMPRODUCT(Calc!$K$3:$K$22*(Calc!$G$3:$G$22&gt;A1951)*(Calc!$G$3:$G$22-A1951)*Calc!$G$3:$G$22)</f>
        <v/>
      </c>
      <c r="M1951">
        <f>SUMPRODUCT(Calc!$K$3:$K$22*(Calc!$G$3:$G$22&gt;B1951)*(Calc!$G$3:$G$22-B1951)*Calc!$G$3:$G$22)</f>
        <v/>
      </c>
      <c r="N1951">
        <f>SUMPRODUCT(Calc!$K$3:$K$22*(Calc!$G$3:$G$22&gt;A1951)*(Calc!$G$3:$G$22-A1951)*Calc!$I$3:$I$22)</f>
        <v/>
      </c>
      <c r="O1951">
        <f>SUMPRODUCT(Calc!$K$3:$K$22*(Calc!$G$3:$G$22&gt;B1951)*(Calc!$G$3:$G$22-B1951)*Calc!$I$3:$I$22)</f>
        <v/>
      </c>
      <c r="P1951">
        <f>I1951-G1951^2/k_n</f>
        <v/>
      </c>
      <c r="Q1951">
        <f>J1951-H1951^2/k_n</f>
        <v/>
      </c>
      <c r="R1951">
        <f>K1951-G1951*H1951/k_n</f>
        <v/>
      </c>
      <c r="S1951">
        <f>L1951-LTP3!$D$3*G1951/k_n</f>
        <v/>
      </c>
      <c r="T1951">
        <f>M1951-LTP3!$D$3*H1951/k_n</f>
        <v/>
      </c>
      <c r="U1951">
        <f>N1951-G1951*LTP3!$D$4/k_n</f>
        <v/>
      </c>
      <c r="V1951">
        <f>O1951-H1951*LTP3!$D$4/k_n</f>
        <v/>
      </c>
      <c r="W1951">
        <f>((LTP3!$D$5)*((P1951)*(Q1951)-(R1951)*(R1951))-(S1951)*((S1951)*(Q1951)-(R1951)*(T1951))+(T1951)*((S1951)*(R1951)-(P1951)*(T1951)))</f>
        <v/>
      </c>
      <c r="X1951">
        <f>IF(ABS(W1951)&gt;1E-12,((LTP3!$D$6)*((P1951)*(Q1951)-(R1951)*(R1951))-(S1951)*((U1951)*(Q1951)-(R1951)*(V1951))+(T1951)*((U1951)*(R1951)-(P1951)*(V1951)))/W1951,0)</f>
        <v/>
      </c>
      <c r="Y1951">
        <f>IF(ABS(W1951)&gt;1E-12,((LTP3!$D$5)*((U1951)*(Q1951)-(R1951)*(V1951))-(LTP3!$D$6)*((S1951)*(Q1951)-(R1951)*(T1951))+(T1951)*((S1951)*(V1951)-(U1951)*(T1951)))/W1951,0)</f>
        <v/>
      </c>
      <c r="Z1951">
        <f>IF(ABS(W1951)&gt;1E-12,((LTP3!$D$5)*((P1951)*(V1951)-(U1951)*(R1951))-(S1951)*((S1951)*(V1951)-(U1951)*(T1951))+(LTP3!$D$6)*((S1951)*(R1951)-(P1951)*(T1951)))/W1951,0)</f>
        <v/>
      </c>
      <c r="AA1951">
        <f>LTP3!$D$7-X1951*LTP3!$D$6-Y1951*U1951-Z1951*V1951</f>
        <v/>
      </c>
      <c r="AB1951">
        <f>IF(AND(F1951,ABS(W1951)&gt;1E-12,Y1951&gt;0,Z1951&gt;0),AA1951,1E+300)</f>
        <v/>
      </c>
    </row>
    <row r="1952">
      <c r="A1952">
        <f>$B$3+$B$5*31</f>
        <v/>
      </c>
      <c r="B1952">
        <f>$B$3+$B$5*49</f>
        <v/>
      </c>
      <c r="C1952">
        <f>SUMPRODUCT(Calc!$K$3:$K$22*(Calc!$G$3:$G$22&lt;=A1952))</f>
        <v/>
      </c>
      <c r="D1952">
        <f>SUMPRODUCT(Calc!$K$3:$K$22*(Calc!$G$3:$G$22&gt;A1952)*(Calc!$G$3:$G$22&lt;B1952))</f>
        <v/>
      </c>
      <c r="E1952">
        <f>SUMPRODUCT(Calc!$K$3:$K$22*(Calc!$G$3:$G$22&gt;=B1952))</f>
        <v/>
      </c>
      <c r="F1952">
        <f>AND(k_n&gt;=5,B1952&gt;A1952+1E-9,C1952&gt;=2,D1952&gt;=1,E1952&gt;=2)</f>
        <v/>
      </c>
      <c r="G1952">
        <f>SUMPRODUCT(Calc!$K$3:$K$22*(Calc!$G$3:$G$22&gt;A1952)*(Calc!$G$3:$G$22-A1952))</f>
        <v/>
      </c>
      <c r="H1952">
        <f>SUMPRODUCT(Calc!$K$3:$K$22*(Calc!$G$3:$G$22&gt;B1952)*(Calc!$G$3:$G$22-B1952))</f>
        <v/>
      </c>
      <c r="I1952">
        <f>SUMPRODUCT(Calc!$K$3:$K$22*(Calc!$G$3:$G$22&gt;A1952)*(Calc!$G$3:$G$22-A1952)^2)</f>
        <v/>
      </c>
      <c r="J1952">
        <f>SUMPRODUCT(Calc!$K$3:$K$22*(Calc!$G$3:$G$22&gt;B1952)*(Calc!$G$3:$G$22-B1952)^2)</f>
        <v/>
      </c>
      <c r="K1952">
        <f>SUMPRODUCT(Calc!$K$3:$K$22*(Calc!$G$3:$G$22&gt;A1952)*(Calc!$G$3:$G$22-A1952)*(Calc!$G$3:$G$22&gt;B1952)*(Calc!$G$3:$G$22-B1952))</f>
        <v/>
      </c>
      <c r="L1952">
        <f>SUMPRODUCT(Calc!$K$3:$K$22*(Calc!$G$3:$G$22&gt;A1952)*(Calc!$G$3:$G$22-A1952)*Calc!$G$3:$G$22)</f>
        <v/>
      </c>
      <c r="M1952">
        <f>SUMPRODUCT(Calc!$K$3:$K$22*(Calc!$G$3:$G$22&gt;B1952)*(Calc!$G$3:$G$22-B1952)*Calc!$G$3:$G$22)</f>
        <v/>
      </c>
      <c r="N1952">
        <f>SUMPRODUCT(Calc!$K$3:$K$22*(Calc!$G$3:$G$22&gt;A1952)*(Calc!$G$3:$G$22-A1952)*Calc!$I$3:$I$22)</f>
        <v/>
      </c>
      <c r="O1952">
        <f>SUMPRODUCT(Calc!$K$3:$K$22*(Calc!$G$3:$G$22&gt;B1952)*(Calc!$G$3:$G$22-B1952)*Calc!$I$3:$I$22)</f>
        <v/>
      </c>
      <c r="P1952">
        <f>I1952-G1952^2/k_n</f>
        <v/>
      </c>
      <c r="Q1952">
        <f>J1952-H1952^2/k_n</f>
        <v/>
      </c>
      <c r="R1952">
        <f>K1952-G1952*H1952/k_n</f>
        <v/>
      </c>
      <c r="S1952">
        <f>L1952-LTP3!$D$3*G1952/k_n</f>
        <v/>
      </c>
      <c r="T1952">
        <f>M1952-LTP3!$D$3*H1952/k_n</f>
        <v/>
      </c>
      <c r="U1952">
        <f>N1952-G1952*LTP3!$D$4/k_n</f>
        <v/>
      </c>
      <c r="V1952">
        <f>O1952-H1952*LTP3!$D$4/k_n</f>
        <v/>
      </c>
      <c r="W1952">
        <f>((LTP3!$D$5)*((P1952)*(Q1952)-(R1952)*(R1952))-(S1952)*((S1952)*(Q1952)-(R1952)*(T1952))+(T1952)*((S1952)*(R1952)-(P1952)*(T1952)))</f>
        <v/>
      </c>
      <c r="X1952">
        <f>IF(ABS(W1952)&gt;1E-12,((LTP3!$D$6)*((P1952)*(Q1952)-(R1952)*(R1952))-(S1952)*((U1952)*(Q1952)-(R1952)*(V1952))+(T1952)*((U1952)*(R1952)-(P1952)*(V1952)))/W1952,0)</f>
        <v/>
      </c>
      <c r="Y1952">
        <f>IF(ABS(W1952)&gt;1E-12,((LTP3!$D$5)*((U1952)*(Q1952)-(R1952)*(V1952))-(LTP3!$D$6)*((S1952)*(Q1952)-(R1952)*(T1952))+(T1952)*((S1952)*(V1952)-(U1952)*(T1952)))/W1952,0)</f>
        <v/>
      </c>
      <c r="Z1952">
        <f>IF(ABS(W1952)&gt;1E-12,((LTP3!$D$5)*((P1952)*(V1952)-(U1952)*(R1952))-(S1952)*((S1952)*(V1952)-(U1952)*(T1952))+(LTP3!$D$6)*((S1952)*(R1952)-(P1952)*(T1952)))/W1952,0)</f>
        <v/>
      </c>
      <c r="AA1952">
        <f>LTP3!$D$7-X1952*LTP3!$D$6-Y1952*U1952-Z1952*V1952</f>
        <v/>
      </c>
      <c r="AB1952">
        <f>IF(AND(F1952,ABS(W1952)&gt;1E-12,Y1952&gt;0,Z1952&gt;0),AA1952,1E+300)</f>
        <v/>
      </c>
    </row>
    <row r="1953">
      <c r="A1953">
        <f>$B$3+$B$5*31</f>
        <v/>
      </c>
      <c r="B1953">
        <f>$B$3+$B$5*50</f>
        <v/>
      </c>
      <c r="C1953">
        <f>SUMPRODUCT(Calc!$K$3:$K$22*(Calc!$G$3:$G$22&lt;=A1953))</f>
        <v/>
      </c>
      <c r="D1953">
        <f>SUMPRODUCT(Calc!$K$3:$K$22*(Calc!$G$3:$G$22&gt;A1953)*(Calc!$G$3:$G$22&lt;B1953))</f>
        <v/>
      </c>
      <c r="E1953">
        <f>SUMPRODUCT(Calc!$K$3:$K$22*(Calc!$G$3:$G$22&gt;=B1953))</f>
        <v/>
      </c>
      <c r="F1953">
        <f>AND(k_n&gt;=5,B1953&gt;A1953+1E-9,C1953&gt;=2,D1953&gt;=1,E1953&gt;=2)</f>
        <v/>
      </c>
      <c r="G1953">
        <f>SUMPRODUCT(Calc!$K$3:$K$22*(Calc!$G$3:$G$22&gt;A1953)*(Calc!$G$3:$G$22-A1953))</f>
        <v/>
      </c>
      <c r="H1953">
        <f>SUMPRODUCT(Calc!$K$3:$K$22*(Calc!$G$3:$G$22&gt;B1953)*(Calc!$G$3:$G$22-B1953))</f>
        <v/>
      </c>
      <c r="I1953">
        <f>SUMPRODUCT(Calc!$K$3:$K$22*(Calc!$G$3:$G$22&gt;A1953)*(Calc!$G$3:$G$22-A1953)^2)</f>
        <v/>
      </c>
      <c r="J1953">
        <f>SUMPRODUCT(Calc!$K$3:$K$22*(Calc!$G$3:$G$22&gt;B1953)*(Calc!$G$3:$G$22-B1953)^2)</f>
        <v/>
      </c>
      <c r="K1953">
        <f>SUMPRODUCT(Calc!$K$3:$K$22*(Calc!$G$3:$G$22&gt;A1953)*(Calc!$G$3:$G$22-A1953)*(Calc!$G$3:$G$22&gt;B1953)*(Calc!$G$3:$G$22-B1953))</f>
        <v/>
      </c>
      <c r="L1953">
        <f>SUMPRODUCT(Calc!$K$3:$K$22*(Calc!$G$3:$G$22&gt;A1953)*(Calc!$G$3:$G$22-A1953)*Calc!$G$3:$G$22)</f>
        <v/>
      </c>
      <c r="M1953">
        <f>SUMPRODUCT(Calc!$K$3:$K$22*(Calc!$G$3:$G$22&gt;B1953)*(Calc!$G$3:$G$22-B1953)*Calc!$G$3:$G$22)</f>
        <v/>
      </c>
      <c r="N1953">
        <f>SUMPRODUCT(Calc!$K$3:$K$22*(Calc!$G$3:$G$22&gt;A1953)*(Calc!$G$3:$G$22-A1953)*Calc!$I$3:$I$22)</f>
        <v/>
      </c>
      <c r="O1953">
        <f>SUMPRODUCT(Calc!$K$3:$K$22*(Calc!$G$3:$G$22&gt;B1953)*(Calc!$G$3:$G$22-B1953)*Calc!$I$3:$I$22)</f>
        <v/>
      </c>
      <c r="P1953">
        <f>I1953-G1953^2/k_n</f>
        <v/>
      </c>
      <c r="Q1953">
        <f>J1953-H1953^2/k_n</f>
        <v/>
      </c>
      <c r="R1953">
        <f>K1953-G1953*H1953/k_n</f>
        <v/>
      </c>
      <c r="S1953">
        <f>L1953-LTP3!$D$3*G1953/k_n</f>
        <v/>
      </c>
      <c r="T1953">
        <f>M1953-LTP3!$D$3*H1953/k_n</f>
        <v/>
      </c>
      <c r="U1953">
        <f>N1953-G1953*LTP3!$D$4/k_n</f>
        <v/>
      </c>
      <c r="V1953">
        <f>O1953-H1953*LTP3!$D$4/k_n</f>
        <v/>
      </c>
      <c r="W1953">
        <f>((LTP3!$D$5)*((P1953)*(Q1953)-(R1953)*(R1953))-(S1953)*((S1953)*(Q1953)-(R1953)*(T1953))+(T1953)*((S1953)*(R1953)-(P1953)*(T1953)))</f>
        <v/>
      </c>
      <c r="X1953">
        <f>IF(ABS(W1953)&gt;1E-12,((LTP3!$D$6)*((P1953)*(Q1953)-(R1953)*(R1953))-(S1953)*((U1953)*(Q1953)-(R1953)*(V1953))+(T1953)*((U1953)*(R1953)-(P1953)*(V1953)))/W1953,0)</f>
        <v/>
      </c>
      <c r="Y1953">
        <f>IF(ABS(W1953)&gt;1E-12,((LTP3!$D$5)*((U1953)*(Q1953)-(R1953)*(V1953))-(LTP3!$D$6)*((S1953)*(Q1953)-(R1953)*(T1953))+(T1953)*((S1953)*(V1953)-(U1953)*(T1953)))/W1953,0)</f>
        <v/>
      </c>
      <c r="Z1953">
        <f>IF(ABS(W1953)&gt;1E-12,((LTP3!$D$5)*((P1953)*(V1953)-(U1953)*(R1953))-(S1953)*((S1953)*(V1953)-(U1953)*(T1953))+(LTP3!$D$6)*((S1953)*(R1953)-(P1953)*(T1953)))/W1953,0)</f>
        <v/>
      </c>
      <c r="AA1953">
        <f>LTP3!$D$7-X1953*LTP3!$D$6-Y1953*U1953-Z1953*V1953</f>
        <v/>
      </c>
      <c r="AB1953">
        <f>IF(AND(F1953,ABS(W1953)&gt;1E-12,Y1953&gt;0,Z1953&gt;0),AA1953,1E+300)</f>
        <v/>
      </c>
    </row>
    <row r="1954">
      <c r="A1954">
        <f>$B$3+$B$5*31</f>
        <v/>
      </c>
      <c r="B1954">
        <f>$B$3+$B$5*51</f>
        <v/>
      </c>
      <c r="C1954">
        <f>SUMPRODUCT(Calc!$K$3:$K$22*(Calc!$G$3:$G$22&lt;=A1954))</f>
        <v/>
      </c>
      <c r="D1954">
        <f>SUMPRODUCT(Calc!$K$3:$K$22*(Calc!$G$3:$G$22&gt;A1954)*(Calc!$G$3:$G$22&lt;B1954))</f>
        <v/>
      </c>
      <c r="E1954">
        <f>SUMPRODUCT(Calc!$K$3:$K$22*(Calc!$G$3:$G$22&gt;=B1954))</f>
        <v/>
      </c>
      <c r="F1954">
        <f>AND(k_n&gt;=5,B1954&gt;A1954+1E-9,C1954&gt;=2,D1954&gt;=1,E1954&gt;=2)</f>
        <v/>
      </c>
      <c r="G1954">
        <f>SUMPRODUCT(Calc!$K$3:$K$22*(Calc!$G$3:$G$22&gt;A1954)*(Calc!$G$3:$G$22-A1954))</f>
        <v/>
      </c>
      <c r="H1954">
        <f>SUMPRODUCT(Calc!$K$3:$K$22*(Calc!$G$3:$G$22&gt;B1954)*(Calc!$G$3:$G$22-B1954))</f>
        <v/>
      </c>
      <c r="I1954">
        <f>SUMPRODUCT(Calc!$K$3:$K$22*(Calc!$G$3:$G$22&gt;A1954)*(Calc!$G$3:$G$22-A1954)^2)</f>
        <v/>
      </c>
      <c r="J1954">
        <f>SUMPRODUCT(Calc!$K$3:$K$22*(Calc!$G$3:$G$22&gt;B1954)*(Calc!$G$3:$G$22-B1954)^2)</f>
        <v/>
      </c>
      <c r="K1954">
        <f>SUMPRODUCT(Calc!$K$3:$K$22*(Calc!$G$3:$G$22&gt;A1954)*(Calc!$G$3:$G$22-A1954)*(Calc!$G$3:$G$22&gt;B1954)*(Calc!$G$3:$G$22-B1954))</f>
        <v/>
      </c>
      <c r="L1954">
        <f>SUMPRODUCT(Calc!$K$3:$K$22*(Calc!$G$3:$G$22&gt;A1954)*(Calc!$G$3:$G$22-A1954)*Calc!$G$3:$G$22)</f>
        <v/>
      </c>
      <c r="M1954">
        <f>SUMPRODUCT(Calc!$K$3:$K$22*(Calc!$G$3:$G$22&gt;B1954)*(Calc!$G$3:$G$22-B1954)*Calc!$G$3:$G$22)</f>
        <v/>
      </c>
      <c r="N1954">
        <f>SUMPRODUCT(Calc!$K$3:$K$22*(Calc!$G$3:$G$22&gt;A1954)*(Calc!$G$3:$G$22-A1954)*Calc!$I$3:$I$22)</f>
        <v/>
      </c>
      <c r="O1954">
        <f>SUMPRODUCT(Calc!$K$3:$K$22*(Calc!$G$3:$G$22&gt;B1954)*(Calc!$G$3:$G$22-B1954)*Calc!$I$3:$I$22)</f>
        <v/>
      </c>
      <c r="P1954">
        <f>I1954-G1954^2/k_n</f>
        <v/>
      </c>
      <c r="Q1954">
        <f>J1954-H1954^2/k_n</f>
        <v/>
      </c>
      <c r="R1954">
        <f>K1954-G1954*H1954/k_n</f>
        <v/>
      </c>
      <c r="S1954">
        <f>L1954-LTP3!$D$3*G1954/k_n</f>
        <v/>
      </c>
      <c r="T1954">
        <f>M1954-LTP3!$D$3*H1954/k_n</f>
        <v/>
      </c>
      <c r="U1954">
        <f>N1954-G1954*LTP3!$D$4/k_n</f>
        <v/>
      </c>
      <c r="V1954">
        <f>O1954-H1954*LTP3!$D$4/k_n</f>
        <v/>
      </c>
      <c r="W1954">
        <f>((LTP3!$D$5)*((P1954)*(Q1954)-(R1954)*(R1954))-(S1954)*((S1954)*(Q1954)-(R1954)*(T1954))+(T1954)*((S1954)*(R1954)-(P1954)*(T1954)))</f>
        <v/>
      </c>
      <c r="X1954">
        <f>IF(ABS(W1954)&gt;1E-12,((LTP3!$D$6)*((P1954)*(Q1954)-(R1954)*(R1954))-(S1954)*((U1954)*(Q1954)-(R1954)*(V1954))+(T1954)*((U1954)*(R1954)-(P1954)*(V1954)))/W1954,0)</f>
        <v/>
      </c>
      <c r="Y1954">
        <f>IF(ABS(W1954)&gt;1E-12,((LTP3!$D$5)*((U1954)*(Q1954)-(R1954)*(V1954))-(LTP3!$D$6)*((S1954)*(Q1954)-(R1954)*(T1954))+(T1954)*((S1954)*(V1954)-(U1954)*(T1954)))/W1954,0)</f>
        <v/>
      </c>
      <c r="Z1954">
        <f>IF(ABS(W1954)&gt;1E-12,((LTP3!$D$5)*((P1954)*(V1954)-(U1954)*(R1954))-(S1954)*((S1954)*(V1954)-(U1954)*(T1954))+(LTP3!$D$6)*((S1954)*(R1954)-(P1954)*(T1954)))/W1954,0)</f>
        <v/>
      </c>
      <c r="AA1954">
        <f>LTP3!$D$7-X1954*LTP3!$D$6-Y1954*U1954-Z1954*V1954</f>
        <v/>
      </c>
      <c r="AB1954">
        <f>IF(AND(F1954,ABS(W1954)&gt;1E-12,Y1954&gt;0,Z1954&gt;0),AA1954,1E+300)</f>
        <v/>
      </c>
    </row>
    <row r="1955">
      <c r="A1955">
        <f>$B$3+$B$5*31</f>
        <v/>
      </c>
      <c r="B1955">
        <f>$B$3+$B$5*52</f>
        <v/>
      </c>
      <c r="C1955">
        <f>SUMPRODUCT(Calc!$K$3:$K$22*(Calc!$G$3:$G$22&lt;=A1955))</f>
        <v/>
      </c>
      <c r="D1955">
        <f>SUMPRODUCT(Calc!$K$3:$K$22*(Calc!$G$3:$G$22&gt;A1955)*(Calc!$G$3:$G$22&lt;B1955))</f>
        <v/>
      </c>
      <c r="E1955">
        <f>SUMPRODUCT(Calc!$K$3:$K$22*(Calc!$G$3:$G$22&gt;=B1955))</f>
        <v/>
      </c>
      <c r="F1955">
        <f>AND(k_n&gt;=5,B1955&gt;A1955+1E-9,C1955&gt;=2,D1955&gt;=1,E1955&gt;=2)</f>
        <v/>
      </c>
      <c r="G1955">
        <f>SUMPRODUCT(Calc!$K$3:$K$22*(Calc!$G$3:$G$22&gt;A1955)*(Calc!$G$3:$G$22-A1955))</f>
        <v/>
      </c>
      <c r="H1955">
        <f>SUMPRODUCT(Calc!$K$3:$K$22*(Calc!$G$3:$G$22&gt;B1955)*(Calc!$G$3:$G$22-B1955))</f>
        <v/>
      </c>
      <c r="I1955">
        <f>SUMPRODUCT(Calc!$K$3:$K$22*(Calc!$G$3:$G$22&gt;A1955)*(Calc!$G$3:$G$22-A1955)^2)</f>
        <v/>
      </c>
      <c r="J1955">
        <f>SUMPRODUCT(Calc!$K$3:$K$22*(Calc!$G$3:$G$22&gt;B1955)*(Calc!$G$3:$G$22-B1955)^2)</f>
        <v/>
      </c>
      <c r="K1955">
        <f>SUMPRODUCT(Calc!$K$3:$K$22*(Calc!$G$3:$G$22&gt;A1955)*(Calc!$G$3:$G$22-A1955)*(Calc!$G$3:$G$22&gt;B1955)*(Calc!$G$3:$G$22-B1955))</f>
        <v/>
      </c>
      <c r="L1955">
        <f>SUMPRODUCT(Calc!$K$3:$K$22*(Calc!$G$3:$G$22&gt;A1955)*(Calc!$G$3:$G$22-A1955)*Calc!$G$3:$G$22)</f>
        <v/>
      </c>
      <c r="M1955">
        <f>SUMPRODUCT(Calc!$K$3:$K$22*(Calc!$G$3:$G$22&gt;B1955)*(Calc!$G$3:$G$22-B1955)*Calc!$G$3:$G$22)</f>
        <v/>
      </c>
      <c r="N1955">
        <f>SUMPRODUCT(Calc!$K$3:$K$22*(Calc!$G$3:$G$22&gt;A1955)*(Calc!$G$3:$G$22-A1955)*Calc!$I$3:$I$22)</f>
        <v/>
      </c>
      <c r="O1955">
        <f>SUMPRODUCT(Calc!$K$3:$K$22*(Calc!$G$3:$G$22&gt;B1955)*(Calc!$G$3:$G$22-B1955)*Calc!$I$3:$I$22)</f>
        <v/>
      </c>
      <c r="P1955">
        <f>I1955-G1955^2/k_n</f>
        <v/>
      </c>
      <c r="Q1955">
        <f>J1955-H1955^2/k_n</f>
        <v/>
      </c>
      <c r="R1955">
        <f>K1955-G1955*H1955/k_n</f>
        <v/>
      </c>
      <c r="S1955">
        <f>L1955-LTP3!$D$3*G1955/k_n</f>
        <v/>
      </c>
      <c r="T1955">
        <f>M1955-LTP3!$D$3*H1955/k_n</f>
        <v/>
      </c>
      <c r="U1955">
        <f>N1955-G1955*LTP3!$D$4/k_n</f>
        <v/>
      </c>
      <c r="V1955">
        <f>O1955-H1955*LTP3!$D$4/k_n</f>
        <v/>
      </c>
      <c r="W1955">
        <f>((LTP3!$D$5)*((P1955)*(Q1955)-(R1955)*(R1955))-(S1955)*((S1955)*(Q1955)-(R1955)*(T1955))+(T1955)*((S1955)*(R1955)-(P1955)*(T1955)))</f>
        <v/>
      </c>
      <c r="X1955">
        <f>IF(ABS(W1955)&gt;1E-12,((LTP3!$D$6)*((P1955)*(Q1955)-(R1955)*(R1955))-(S1955)*((U1955)*(Q1955)-(R1955)*(V1955))+(T1955)*((U1955)*(R1955)-(P1955)*(V1955)))/W1955,0)</f>
        <v/>
      </c>
      <c r="Y1955">
        <f>IF(ABS(W1955)&gt;1E-12,((LTP3!$D$5)*((U1955)*(Q1955)-(R1955)*(V1955))-(LTP3!$D$6)*((S1955)*(Q1955)-(R1955)*(T1955))+(T1955)*((S1955)*(V1955)-(U1955)*(T1955)))/W1955,0)</f>
        <v/>
      </c>
      <c r="Z1955">
        <f>IF(ABS(W1955)&gt;1E-12,((LTP3!$D$5)*((P1955)*(V1955)-(U1955)*(R1955))-(S1955)*((S1955)*(V1955)-(U1955)*(T1955))+(LTP3!$D$6)*((S1955)*(R1955)-(P1955)*(T1955)))/W1955,0)</f>
        <v/>
      </c>
      <c r="AA1955">
        <f>LTP3!$D$7-X1955*LTP3!$D$6-Y1955*U1955-Z1955*V1955</f>
        <v/>
      </c>
      <c r="AB1955">
        <f>IF(AND(F1955,ABS(W1955)&gt;1E-12,Y1955&gt;0,Z1955&gt;0),AA1955,1E+300)</f>
        <v/>
      </c>
    </row>
    <row r="1956">
      <c r="A1956">
        <f>$B$3+$B$5*31</f>
        <v/>
      </c>
      <c r="B1956">
        <f>$B$3+$B$5*53</f>
        <v/>
      </c>
      <c r="C1956">
        <f>SUMPRODUCT(Calc!$K$3:$K$22*(Calc!$G$3:$G$22&lt;=A1956))</f>
        <v/>
      </c>
      <c r="D1956">
        <f>SUMPRODUCT(Calc!$K$3:$K$22*(Calc!$G$3:$G$22&gt;A1956)*(Calc!$G$3:$G$22&lt;B1956))</f>
        <v/>
      </c>
      <c r="E1956">
        <f>SUMPRODUCT(Calc!$K$3:$K$22*(Calc!$G$3:$G$22&gt;=B1956))</f>
        <v/>
      </c>
      <c r="F1956">
        <f>AND(k_n&gt;=5,B1956&gt;A1956+1E-9,C1956&gt;=2,D1956&gt;=1,E1956&gt;=2)</f>
        <v/>
      </c>
      <c r="G1956">
        <f>SUMPRODUCT(Calc!$K$3:$K$22*(Calc!$G$3:$G$22&gt;A1956)*(Calc!$G$3:$G$22-A1956))</f>
        <v/>
      </c>
      <c r="H1956">
        <f>SUMPRODUCT(Calc!$K$3:$K$22*(Calc!$G$3:$G$22&gt;B1956)*(Calc!$G$3:$G$22-B1956))</f>
        <v/>
      </c>
      <c r="I1956">
        <f>SUMPRODUCT(Calc!$K$3:$K$22*(Calc!$G$3:$G$22&gt;A1956)*(Calc!$G$3:$G$22-A1956)^2)</f>
        <v/>
      </c>
      <c r="J1956">
        <f>SUMPRODUCT(Calc!$K$3:$K$22*(Calc!$G$3:$G$22&gt;B1956)*(Calc!$G$3:$G$22-B1956)^2)</f>
        <v/>
      </c>
      <c r="K1956">
        <f>SUMPRODUCT(Calc!$K$3:$K$22*(Calc!$G$3:$G$22&gt;A1956)*(Calc!$G$3:$G$22-A1956)*(Calc!$G$3:$G$22&gt;B1956)*(Calc!$G$3:$G$22-B1956))</f>
        <v/>
      </c>
      <c r="L1956">
        <f>SUMPRODUCT(Calc!$K$3:$K$22*(Calc!$G$3:$G$22&gt;A1956)*(Calc!$G$3:$G$22-A1956)*Calc!$G$3:$G$22)</f>
        <v/>
      </c>
      <c r="M1956">
        <f>SUMPRODUCT(Calc!$K$3:$K$22*(Calc!$G$3:$G$22&gt;B1956)*(Calc!$G$3:$G$22-B1956)*Calc!$G$3:$G$22)</f>
        <v/>
      </c>
      <c r="N1956">
        <f>SUMPRODUCT(Calc!$K$3:$K$22*(Calc!$G$3:$G$22&gt;A1956)*(Calc!$G$3:$G$22-A1956)*Calc!$I$3:$I$22)</f>
        <v/>
      </c>
      <c r="O1956">
        <f>SUMPRODUCT(Calc!$K$3:$K$22*(Calc!$G$3:$G$22&gt;B1956)*(Calc!$G$3:$G$22-B1956)*Calc!$I$3:$I$22)</f>
        <v/>
      </c>
      <c r="P1956">
        <f>I1956-G1956^2/k_n</f>
        <v/>
      </c>
      <c r="Q1956">
        <f>J1956-H1956^2/k_n</f>
        <v/>
      </c>
      <c r="R1956">
        <f>K1956-G1956*H1956/k_n</f>
        <v/>
      </c>
      <c r="S1956">
        <f>L1956-LTP3!$D$3*G1956/k_n</f>
        <v/>
      </c>
      <c r="T1956">
        <f>M1956-LTP3!$D$3*H1956/k_n</f>
        <v/>
      </c>
      <c r="U1956">
        <f>N1956-G1956*LTP3!$D$4/k_n</f>
        <v/>
      </c>
      <c r="V1956">
        <f>O1956-H1956*LTP3!$D$4/k_n</f>
        <v/>
      </c>
      <c r="W1956">
        <f>((LTP3!$D$5)*((P1956)*(Q1956)-(R1956)*(R1956))-(S1956)*((S1956)*(Q1956)-(R1956)*(T1956))+(T1956)*((S1956)*(R1956)-(P1956)*(T1956)))</f>
        <v/>
      </c>
      <c r="X1956">
        <f>IF(ABS(W1956)&gt;1E-12,((LTP3!$D$6)*((P1956)*(Q1956)-(R1956)*(R1956))-(S1956)*((U1956)*(Q1956)-(R1956)*(V1956))+(T1956)*((U1956)*(R1956)-(P1956)*(V1956)))/W1956,0)</f>
        <v/>
      </c>
      <c r="Y1956">
        <f>IF(ABS(W1956)&gt;1E-12,((LTP3!$D$5)*((U1956)*(Q1956)-(R1956)*(V1956))-(LTP3!$D$6)*((S1956)*(Q1956)-(R1956)*(T1956))+(T1956)*((S1956)*(V1956)-(U1956)*(T1956)))/W1956,0)</f>
        <v/>
      </c>
      <c r="Z1956">
        <f>IF(ABS(W1956)&gt;1E-12,((LTP3!$D$5)*((P1956)*(V1956)-(U1956)*(R1956))-(S1956)*((S1956)*(V1956)-(U1956)*(T1956))+(LTP3!$D$6)*((S1956)*(R1956)-(P1956)*(T1956)))/W1956,0)</f>
        <v/>
      </c>
      <c r="AA1956">
        <f>LTP3!$D$7-X1956*LTP3!$D$6-Y1956*U1956-Z1956*V1956</f>
        <v/>
      </c>
      <c r="AB1956">
        <f>IF(AND(F1956,ABS(W1956)&gt;1E-12,Y1956&gt;0,Z1956&gt;0),AA1956,1E+300)</f>
        <v/>
      </c>
    </row>
    <row r="1957">
      <c r="A1957">
        <f>$B$3+$B$5*31</f>
        <v/>
      </c>
      <c r="B1957">
        <f>$B$3+$B$5*54</f>
        <v/>
      </c>
      <c r="C1957">
        <f>SUMPRODUCT(Calc!$K$3:$K$22*(Calc!$G$3:$G$22&lt;=A1957))</f>
        <v/>
      </c>
      <c r="D1957">
        <f>SUMPRODUCT(Calc!$K$3:$K$22*(Calc!$G$3:$G$22&gt;A1957)*(Calc!$G$3:$G$22&lt;B1957))</f>
        <v/>
      </c>
      <c r="E1957">
        <f>SUMPRODUCT(Calc!$K$3:$K$22*(Calc!$G$3:$G$22&gt;=B1957))</f>
        <v/>
      </c>
      <c r="F1957">
        <f>AND(k_n&gt;=5,B1957&gt;A1957+1E-9,C1957&gt;=2,D1957&gt;=1,E1957&gt;=2)</f>
        <v/>
      </c>
      <c r="G1957">
        <f>SUMPRODUCT(Calc!$K$3:$K$22*(Calc!$G$3:$G$22&gt;A1957)*(Calc!$G$3:$G$22-A1957))</f>
        <v/>
      </c>
      <c r="H1957">
        <f>SUMPRODUCT(Calc!$K$3:$K$22*(Calc!$G$3:$G$22&gt;B1957)*(Calc!$G$3:$G$22-B1957))</f>
        <v/>
      </c>
      <c r="I1957">
        <f>SUMPRODUCT(Calc!$K$3:$K$22*(Calc!$G$3:$G$22&gt;A1957)*(Calc!$G$3:$G$22-A1957)^2)</f>
        <v/>
      </c>
      <c r="J1957">
        <f>SUMPRODUCT(Calc!$K$3:$K$22*(Calc!$G$3:$G$22&gt;B1957)*(Calc!$G$3:$G$22-B1957)^2)</f>
        <v/>
      </c>
      <c r="K1957">
        <f>SUMPRODUCT(Calc!$K$3:$K$22*(Calc!$G$3:$G$22&gt;A1957)*(Calc!$G$3:$G$22-A1957)*(Calc!$G$3:$G$22&gt;B1957)*(Calc!$G$3:$G$22-B1957))</f>
        <v/>
      </c>
      <c r="L1957">
        <f>SUMPRODUCT(Calc!$K$3:$K$22*(Calc!$G$3:$G$22&gt;A1957)*(Calc!$G$3:$G$22-A1957)*Calc!$G$3:$G$22)</f>
        <v/>
      </c>
      <c r="M1957">
        <f>SUMPRODUCT(Calc!$K$3:$K$22*(Calc!$G$3:$G$22&gt;B1957)*(Calc!$G$3:$G$22-B1957)*Calc!$G$3:$G$22)</f>
        <v/>
      </c>
      <c r="N1957">
        <f>SUMPRODUCT(Calc!$K$3:$K$22*(Calc!$G$3:$G$22&gt;A1957)*(Calc!$G$3:$G$22-A1957)*Calc!$I$3:$I$22)</f>
        <v/>
      </c>
      <c r="O1957">
        <f>SUMPRODUCT(Calc!$K$3:$K$22*(Calc!$G$3:$G$22&gt;B1957)*(Calc!$G$3:$G$22-B1957)*Calc!$I$3:$I$22)</f>
        <v/>
      </c>
      <c r="P1957">
        <f>I1957-G1957^2/k_n</f>
        <v/>
      </c>
      <c r="Q1957">
        <f>J1957-H1957^2/k_n</f>
        <v/>
      </c>
      <c r="R1957">
        <f>K1957-G1957*H1957/k_n</f>
        <v/>
      </c>
      <c r="S1957">
        <f>L1957-LTP3!$D$3*G1957/k_n</f>
        <v/>
      </c>
      <c r="T1957">
        <f>M1957-LTP3!$D$3*H1957/k_n</f>
        <v/>
      </c>
      <c r="U1957">
        <f>N1957-G1957*LTP3!$D$4/k_n</f>
        <v/>
      </c>
      <c r="V1957">
        <f>O1957-H1957*LTP3!$D$4/k_n</f>
        <v/>
      </c>
      <c r="W1957">
        <f>((LTP3!$D$5)*((P1957)*(Q1957)-(R1957)*(R1957))-(S1957)*((S1957)*(Q1957)-(R1957)*(T1957))+(T1957)*((S1957)*(R1957)-(P1957)*(T1957)))</f>
        <v/>
      </c>
      <c r="X1957">
        <f>IF(ABS(W1957)&gt;1E-12,((LTP3!$D$6)*((P1957)*(Q1957)-(R1957)*(R1957))-(S1957)*((U1957)*(Q1957)-(R1957)*(V1957))+(T1957)*((U1957)*(R1957)-(P1957)*(V1957)))/W1957,0)</f>
        <v/>
      </c>
      <c r="Y1957">
        <f>IF(ABS(W1957)&gt;1E-12,((LTP3!$D$5)*((U1957)*(Q1957)-(R1957)*(V1957))-(LTP3!$D$6)*((S1957)*(Q1957)-(R1957)*(T1957))+(T1957)*((S1957)*(V1957)-(U1957)*(T1957)))/W1957,0)</f>
        <v/>
      </c>
      <c r="Z1957">
        <f>IF(ABS(W1957)&gt;1E-12,((LTP3!$D$5)*((P1957)*(V1957)-(U1957)*(R1957))-(S1957)*((S1957)*(V1957)-(U1957)*(T1957))+(LTP3!$D$6)*((S1957)*(R1957)-(P1957)*(T1957)))/W1957,0)</f>
        <v/>
      </c>
      <c r="AA1957">
        <f>LTP3!$D$7-X1957*LTP3!$D$6-Y1957*U1957-Z1957*V1957</f>
        <v/>
      </c>
      <c r="AB1957">
        <f>IF(AND(F1957,ABS(W1957)&gt;1E-12,Y1957&gt;0,Z1957&gt;0),AA1957,1E+300)</f>
        <v/>
      </c>
    </row>
    <row r="1958">
      <c r="A1958">
        <f>$B$3+$B$5*31</f>
        <v/>
      </c>
      <c r="B1958">
        <f>$B$3+$B$5*55</f>
        <v/>
      </c>
      <c r="C1958">
        <f>SUMPRODUCT(Calc!$K$3:$K$22*(Calc!$G$3:$G$22&lt;=A1958))</f>
        <v/>
      </c>
      <c r="D1958">
        <f>SUMPRODUCT(Calc!$K$3:$K$22*(Calc!$G$3:$G$22&gt;A1958)*(Calc!$G$3:$G$22&lt;B1958))</f>
        <v/>
      </c>
      <c r="E1958">
        <f>SUMPRODUCT(Calc!$K$3:$K$22*(Calc!$G$3:$G$22&gt;=B1958))</f>
        <v/>
      </c>
      <c r="F1958">
        <f>AND(k_n&gt;=5,B1958&gt;A1958+1E-9,C1958&gt;=2,D1958&gt;=1,E1958&gt;=2)</f>
        <v/>
      </c>
      <c r="G1958">
        <f>SUMPRODUCT(Calc!$K$3:$K$22*(Calc!$G$3:$G$22&gt;A1958)*(Calc!$G$3:$G$22-A1958))</f>
        <v/>
      </c>
      <c r="H1958">
        <f>SUMPRODUCT(Calc!$K$3:$K$22*(Calc!$G$3:$G$22&gt;B1958)*(Calc!$G$3:$G$22-B1958))</f>
        <v/>
      </c>
      <c r="I1958">
        <f>SUMPRODUCT(Calc!$K$3:$K$22*(Calc!$G$3:$G$22&gt;A1958)*(Calc!$G$3:$G$22-A1958)^2)</f>
        <v/>
      </c>
      <c r="J1958">
        <f>SUMPRODUCT(Calc!$K$3:$K$22*(Calc!$G$3:$G$22&gt;B1958)*(Calc!$G$3:$G$22-B1958)^2)</f>
        <v/>
      </c>
      <c r="K1958">
        <f>SUMPRODUCT(Calc!$K$3:$K$22*(Calc!$G$3:$G$22&gt;A1958)*(Calc!$G$3:$G$22-A1958)*(Calc!$G$3:$G$22&gt;B1958)*(Calc!$G$3:$G$22-B1958))</f>
        <v/>
      </c>
      <c r="L1958">
        <f>SUMPRODUCT(Calc!$K$3:$K$22*(Calc!$G$3:$G$22&gt;A1958)*(Calc!$G$3:$G$22-A1958)*Calc!$G$3:$G$22)</f>
        <v/>
      </c>
      <c r="M1958">
        <f>SUMPRODUCT(Calc!$K$3:$K$22*(Calc!$G$3:$G$22&gt;B1958)*(Calc!$G$3:$G$22-B1958)*Calc!$G$3:$G$22)</f>
        <v/>
      </c>
      <c r="N1958">
        <f>SUMPRODUCT(Calc!$K$3:$K$22*(Calc!$G$3:$G$22&gt;A1958)*(Calc!$G$3:$G$22-A1958)*Calc!$I$3:$I$22)</f>
        <v/>
      </c>
      <c r="O1958">
        <f>SUMPRODUCT(Calc!$K$3:$K$22*(Calc!$G$3:$G$22&gt;B1958)*(Calc!$G$3:$G$22-B1958)*Calc!$I$3:$I$22)</f>
        <v/>
      </c>
      <c r="P1958">
        <f>I1958-G1958^2/k_n</f>
        <v/>
      </c>
      <c r="Q1958">
        <f>J1958-H1958^2/k_n</f>
        <v/>
      </c>
      <c r="R1958">
        <f>K1958-G1958*H1958/k_n</f>
        <v/>
      </c>
      <c r="S1958">
        <f>L1958-LTP3!$D$3*G1958/k_n</f>
        <v/>
      </c>
      <c r="T1958">
        <f>M1958-LTP3!$D$3*H1958/k_n</f>
        <v/>
      </c>
      <c r="U1958">
        <f>N1958-G1958*LTP3!$D$4/k_n</f>
        <v/>
      </c>
      <c r="V1958">
        <f>O1958-H1958*LTP3!$D$4/k_n</f>
        <v/>
      </c>
      <c r="W1958">
        <f>((LTP3!$D$5)*((P1958)*(Q1958)-(R1958)*(R1958))-(S1958)*((S1958)*(Q1958)-(R1958)*(T1958))+(T1958)*((S1958)*(R1958)-(P1958)*(T1958)))</f>
        <v/>
      </c>
      <c r="X1958">
        <f>IF(ABS(W1958)&gt;1E-12,((LTP3!$D$6)*((P1958)*(Q1958)-(R1958)*(R1958))-(S1958)*((U1958)*(Q1958)-(R1958)*(V1958))+(T1958)*((U1958)*(R1958)-(P1958)*(V1958)))/W1958,0)</f>
        <v/>
      </c>
      <c r="Y1958">
        <f>IF(ABS(W1958)&gt;1E-12,((LTP3!$D$5)*((U1958)*(Q1958)-(R1958)*(V1958))-(LTP3!$D$6)*((S1958)*(Q1958)-(R1958)*(T1958))+(T1958)*((S1958)*(V1958)-(U1958)*(T1958)))/W1958,0)</f>
        <v/>
      </c>
      <c r="Z1958">
        <f>IF(ABS(W1958)&gt;1E-12,((LTP3!$D$5)*((P1958)*(V1958)-(U1958)*(R1958))-(S1958)*((S1958)*(V1958)-(U1958)*(T1958))+(LTP3!$D$6)*((S1958)*(R1958)-(P1958)*(T1958)))/W1958,0)</f>
        <v/>
      </c>
      <c r="AA1958">
        <f>LTP3!$D$7-X1958*LTP3!$D$6-Y1958*U1958-Z1958*V1958</f>
        <v/>
      </c>
      <c r="AB1958">
        <f>IF(AND(F1958,ABS(W1958)&gt;1E-12,Y1958&gt;0,Z1958&gt;0),AA1958,1E+300)</f>
        <v/>
      </c>
    </row>
    <row r="1959">
      <c r="A1959">
        <f>$B$3+$B$5*31</f>
        <v/>
      </c>
      <c r="B1959">
        <f>$B$3+$B$5*56</f>
        <v/>
      </c>
      <c r="C1959">
        <f>SUMPRODUCT(Calc!$K$3:$K$22*(Calc!$G$3:$G$22&lt;=A1959))</f>
        <v/>
      </c>
      <c r="D1959">
        <f>SUMPRODUCT(Calc!$K$3:$K$22*(Calc!$G$3:$G$22&gt;A1959)*(Calc!$G$3:$G$22&lt;B1959))</f>
        <v/>
      </c>
      <c r="E1959">
        <f>SUMPRODUCT(Calc!$K$3:$K$22*(Calc!$G$3:$G$22&gt;=B1959))</f>
        <v/>
      </c>
      <c r="F1959">
        <f>AND(k_n&gt;=5,B1959&gt;A1959+1E-9,C1959&gt;=2,D1959&gt;=1,E1959&gt;=2)</f>
        <v/>
      </c>
      <c r="G1959">
        <f>SUMPRODUCT(Calc!$K$3:$K$22*(Calc!$G$3:$G$22&gt;A1959)*(Calc!$G$3:$G$22-A1959))</f>
        <v/>
      </c>
      <c r="H1959">
        <f>SUMPRODUCT(Calc!$K$3:$K$22*(Calc!$G$3:$G$22&gt;B1959)*(Calc!$G$3:$G$22-B1959))</f>
        <v/>
      </c>
      <c r="I1959">
        <f>SUMPRODUCT(Calc!$K$3:$K$22*(Calc!$G$3:$G$22&gt;A1959)*(Calc!$G$3:$G$22-A1959)^2)</f>
        <v/>
      </c>
      <c r="J1959">
        <f>SUMPRODUCT(Calc!$K$3:$K$22*(Calc!$G$3:$G$22&gt;B1959)*(Calc!$G$3:$G$22-B1959)^2)</f>
        <v/>
      </c>
      <c r="K1959">
        <f>SUMPRODUCT(Calc!$K$3:$K$22*(Calc!$G$3:$G$22&gt;A1959)*(Calc!$G$3:$G$22-A1959)*(Calc!$G$3:$G$22&gt;B1959)*(Calc!$G$3:$G$22-B1959))</f>
        <v/>
      </c>
      <c r="L1959">
        <f>SUMPRODUCT(Calc!$K$3:$K$22*(Calc!$G$3:$G$22&gt;A1959)*(Calc!$G$3:$G$22-A1959)*Calc!$G$3:$G$22)</f>
        <v/>
      </c>
      <c r="M1959">
        <f>SUMPRODUCT(Calc!$K$3:$K$22*(Calc!$G$3:$G$22&gt;B1959)*(Calc!$G$3:$G$22-B1959)*Calc!$G$3:$G$22)</f>
        <v/>
      </c>
      <c r="N1959">
        <f>SUMPRODUCT(Calc!$K$3:$K$22*(Calc!$G$3:$G$22&gt;A1959)*(Calc!$G$3:$G$22-A1959)*Calc!$I$3:$I$22)</f>
        <v/>
      </c>
      <c r="O1959">
        <f>SUMPRODUCT(Calc!$K$3:$K$22*(Calc!$G$3:$G$22&gt;B1959)*(Calc!$G$3:$G$22-B1959)*Calc!$I$3:$I$22)</f>
        <v/>
      </c>
      <c r="P1959">
        <f>I1959-G1959^2/k_n</f>
        <v/>
      </c>
      <c r="Q1959">
        <f>J1959-H1959^2/k_n</f>
        <v/>
      </c>
      <c r="R1959">
        <f>K1959-G1959*H1959/k_n</f>
        <v/>
      </c>
      <c r="S1959">
        <f>L1959-LTP3!$D$3*G1959/k_n</f>
        <v/>
      </c>
      <c r="T1959">
        <f>M1959-LTP3!$D$3*H1959/k_n</f>
        <v/>
      </c>
      <c r="U1959">
        <f>N1959-G1959*LTP3!$D$4/k_n</f>
        <v/>
      </c>
      <c r="V1959">
        <f>O1959-H1959*LTP3!$D$4/k_n</f>
        <v/>
      </c>
      <c r="W1959">
        <f>((LTP3!$D$5)*((P1959)*(Q1959)-(R1959)*(R1959))-(S1959)*((S1959)*(Q1959)-(R1959)*(T1959))+(T1959)*((S1959)*(R1959)-(P1959)*(T1959)))</f>
        <v/>
      </c>
      <c r="X1959">
        <f>IF(ABS(W1959)&gt;1E-12,((LTP3!$D$6)*((P1959)*(Q1959)-(R1959)*(R1959))-(S1959)*((U1959)*(Q1959)-(R1959)*(V1959))+(T1959)*((U1959)*(R1959)-(P1959)*(V1959)))/W1959,0)</f>
        <v/>
      </c>
      <c r="Y1959">
        <f>IF(ABS(W1959)&gt;1E-12,((LTP3!$D$5)*((U1959)*(Q1959)-(R1959)*(V1959))-(LTP3!$D$6)*((S1959)*(Q1959)-(R1959)*(T1959))+(T1959)*((S1959)*(V1959)-(U1959)*(T1959)))/W1959,0)</f>
        <v/>
      </c>
      <c r="Z1959">
        <f>IF(ABS(W1959)&gt;1E-12,((LTP3!$D$5)*((P1959)*(V1959)-(U1959)*(R1959))-(S1959)*((S1959)*(V1959)-(U1959)*(T1959))+(LTP3!$D$6)*((S1959)*(R1959)-(P1959)*(T1959)))/W1959,0)</f>
        <v/>
      </c>
      <c r="AA1959">
        <f>LTP3!$D$7-X1959*LTP3!$D$6-Y1959*U1959-Z1959*V1959</f>
        <v/>
      </c>
      <c r="AB1959">
        <f>IF(AND(F1959,ABS(W1959)&gt;1E-12,Y1959&gt;0,Z1959&gt;0),AA1959,1E+300)</f>
        <v/>
      </c>
    </row>
    <row r="1960">
      <c r="A1960">
        <f>$B$3+$B$5*31</f>
        <v/>
      </c>
      <c r="B1960">
        <f>$B$3+$B$5*57</f>
        <v/>
      </c>
      <c r="C1960">
        <f>SUMPRODUCT(Calc!$K$3:$K$22*(Calc!$G$3:$G$22&lt;=A1960))</f>
        <v/>
      </c>
      <c r="D1960">
        <f>SUMPRODUCT(Calc!$K$3:$K$22*(Calc!$G$3:$G$22&gt;A1960)*(Calc!$G$3:$G$22&lt;B1960))</f>
        <v/>
      </c>
      <c r="E1960">
        <f>SUMPRODUCT(Calc!$K$3:$K$22*(Calc!$G$3:$G$22&gt;=B1960))</f>
        <v/>
      </c>
      <c r="F1960">
        <f>AND(k_n&gt;=5,B1960&gt;A1960+1E-9,C1960&gt;=2,D1960&gt;=1,E1960&gt;=2)</f>
        <v/>
      </c>
      <c r="G1960">
        <f>SUMPRODUCT(Calc!$K$3:$K$22*(Calc!$G$3:$G$22&gt;A1960)*(Calc!$G$3:$G$22-A1960))</f>
        <v/>
      </c>
      <c r="H1960">
        <f>SUMPRODUCT(Calc!$K$3:$K$22*(Calc!$G$3:$G$22&gt;B1960)*(Calc!$G$3:$G$22-B1960))</f>
        <v/>
      </c>
      <c r="I1960">
        <f>SUMPRODUCT(Calc!$K$3:$K$22*(Calc!$G$3:$G$22&gt;A1960)*(Calc!$G$3:$G$22-A1960)^2)</f>
        <v/>
      </c>
      <c r="J1960">
        <f>SUMPRODUCT(Calc!$K$3:$K$22*(Calc!$G$3:$G$22&gt;B1960)*(Calc!$G$3:$G$22-B1960)^2)</f>
        <v/>
      </c>
      <c r="K1960">
        <f>SUMPRODUCT(Calc!$K$3:$K$22*(Calc!$G$3:$G$22&gt;A1960)*(Calc!$G$3:$G$22-A1960)*(Calc!$G$3:$G$22&gt;B1960)*(Calc!$G$3:$G$22-B1960))</f>
        <v/>
      </c>
      <c r="L1960">
        <f>SUMPRODUCT(Calc!$K$3:$K$22*(Calc!$G$3:$G$22&gt;A1960)*(Calc!$G$3:$G$22-A1960)*Calc!$G$3:$G$22)</f>
        <v/>
      </c>
      <c r="M1960">
        <f>SUMPRODUCT(Calc!$K$3:$K$22*(Calc!$G$3:$G$22&gt;B1960)*(Calc!$G$3:$G$22-B1960)*Calc!$G$3:$G$22)</f>
        <v/>
      </c>
      <c r="N1960">
        <f>SUMPRODUCT(Calc!$K$3:$K$22*(Calc!$G$3:$G$22&gt;A1960)*(Calc!$G$3:$G$22-A1960)*Calc!$I$3:$I$22)</f>
        <v/>
      </c>
      <c r="O1960">
        <f>SUMPRODUCT(Calc!$K$3:$K$22*(Calc!$G$3:$G$22&gt;B1960)*(Calc!$G$3:$G$22-B1960)*Calc!$I$3:$I$22)</f>
        <v/>
      </c>
      <c r="P1960">
        <f>I1960-G1960^2/k_n</f>
        <v/>
      </c>
      <c r="Q1960">
        <f>J1960-H1960^2/k_n</f>
        <v/>
      </c>
      <c r="R1960">
        <f>K1960-G1960*H1960/k_n</f>
        <v/>
      </c>
      <c r="S1960">
        <f>L1960-LTP3!$D$3*G1960/k_n</f>
        <v/>
      </c>
      <c r="T1960">
        <f>M1960-LTP3!$D$3*H1960/k_n</f>
        <v/>
      </c>
      <c r="U1960">
        <f>N1960-G1960*LTP3!$D$4/k_n</f>
        <v/>
      </c>
      <c r="V1960">
        <f>O1960-H1960*LTP3!$D$4/k_n</f>
        <v/>
      </c>
      <c r="W1960">
        <f>((LTP3!$D$5)*((P1960)*(Q1960)-(R1960)*(R1960))-(S1960)*((S1960)*(Q1960)-(R1960)*(T1960))+(T1960)*((S1960)*(R1960)-(P1960)*(T1960)))</f>
        <v/>
      </c>
      <c r="X1960">
        <f>IF(ABS(W1960)&gt;1E-12,((LTP3!$D$6)*((P1960)*(Q1960)-(R1960)*(R1960))-(S1960)*((U1960)*(Q1960)-(R1960)*(V1960))+(T1960)*((U1960)*(R1960)-(P1960)*(V1960)))/W1960,0)</f>
        <v/>
      </c>
      <c r="Y1960">
        <f>IF(ABS(W1960)&gt;1E-12,((LTP3!$D$5)*((U1960)*(Q1960)-(R1960)*(V1960))-(LTP3!$D$6)*((S1960)*(Q1960)-(R1960)*(T1960))+(T1960)*((S1960)*(V1960)-(U1960)*(T1960)))/W1960,0)</f>
        <v/>
      </c>
      <c r="Z1960">
        <f>IF(ABS(W1960)&gt;1E-12,((LTP3!$D$5)*((P1960)*(V1960)-(U1960)*(R1960))-(S1960)*((S1960)*(V1960)-(U1960)*(T1960))+(LTP3!$D$6)*((S1960)*(R1960)-(P1960)*(T1960)))/W1960,0)</f>
        <v/>
      </c>
      <c r="AA1960">
        <f>LTP3!$D$7-X1960*LTP3!$D$6-Y1960*U1960-Z1960*V1960</f>
        <v/>
      </c>
      <c r="AB1960">
        <f>IF(AND(F1960,ABS(W1960)&gt;1E-12,Y1960&gt;0,Z1960&gt;0),AA1960,1E+300)</f>
        <v/>
      </c>
    </row>
    <row r="1961">
      <c r="A1961">
        <f>$B$3+$B$5*31</f>
        <v/>
      </c>
      <c r="B1961">
        <f>$B$3+$B$5*58</f>
        <v/>
      </c>
      <c r="C1961">
        <f>SUMPRODUCT(Calc!$K$3:$K$22*(Calc!$G$3:$G$22&lt;=A1961))</f>
        <v/>
      </c>
      <c r="D1961">
        <f>SUMPRODUCT(Calc!$K$3:$K$22*(Calc!$G$3:$G$22&gt;A1961)*(Calc!$G$3:$G$22&lt;B1961))</f>
        <v/>
      </c>
      <c r="E1961">
        <f>SUMPRODUCT(Calc!$K$3:$K$22*(Calc!$G$3:$G$22&gt;=B1961))</f>
        <v/>
      </c>
      <c r="F1961">
        <f>AND(k_n&gt;=5,B1961&gt;A1961+1E-9,C1961&gt;=2,D1961&gt;=1,E1961&gt;=2)</f>
        <v/>
      </c>
      <c r="G1961">
        <f>SUMPRODUCT(Calc!$K$3:$K$22*(Calc!$G$3:$G$22&gt;A1961)*(Calc!$G$3:$G$22-A1961))</f>
        <v/>
      </c>
      <c r="H1961">
        <f>SUMPRODUCT(Calc!$K$3:$K$22*(Calc!$G$3:$G$22&gt;B1961)*(Calc!$G$3:$G$22-B1961))</f>
        <v/>
      </c>
      <c r="I1961">
        <f>SUMPRODUCT(Calc!$K$3:$K$22*(Calc!$G$3:$G$22&gt;A1961)*(Calc!$G$3:$G$22-A1961)^2)</f>
        <v/>
      </c>
      <c r="J1961">
        <f>SUMPRODUCT(Calc!$K$3:$K$22*(Calc!$G$3:$G$22&gt;B1961)*(Calc!$G$3:$G$22-B1961)^2)</f>
        <v/>
      </c>
      <c r="K1961">
        <f>SUMPRODUCT(Calc!$K$3:$K$22*(Calc!$G$3:$G$22&gt;A1961)*(Calc!$G$3:$G$22-A1961)*(Calc!$G$3:$G$22&gt;B1961)*(Calc!$G$3:$G$22-B1961))</f>
        <v/>
      </c>
      <c r="L1961">
        <f>SUMPRODUCT(Calc!$K$3:$K$22*(Calc!$G$3:$G$22&gt;A1961)*(Calc!$G$3:$G$22-A1961)*Calc!$G$3:$G$22)</f>
        <v/>
      </c>
      <c r="M1961">
        <f>SUMPRODUCT(Calc!$K$3:$K$22*(Calc!$G$3:$G$22&gt;B1961)*(Calc!$G$3:$G$22-B1961)*Calc!$G$3:$G$22)</f>
        <v/>
      </c>
      <c r="N1961">
        <f>SUMPRODUCT(Calc!$K$3:$K$22*(Calc!$G$3:$G$22&gt;A1961)*(Calc!$G$3:$G$22-A1961)*Calc!$I$3:$I$22)</f>
        <v/>
      </c>
      <c r="O1961">
        <f>SUMPRODUCT(Calc!$K$3:$K$22*(Calc!$G$3:$G$22&gt;B1961)*(Calc!$G$3:$G$22-B1961)*Calc!$I$3:$I$22)</f>
        <v/>
      </c>
      <c r="P1961">
        <f>I1961-G1961^2/k_n</f>
        <v/>
      </c>
      <c r="Q1961">
        <f>J1961-H1961^2/k_n</f>
        <v/>
      </c>
      <c r="R1961">
        <f>K1961-G1961*H1961/k_n</f>
        <v/>
      </c>
      <c r="S1961">
        <f>L1961-LTP3!$D$3*G1961/k_n</f>
        <v/>
      </c>
      <c r="T1961">
        <f>M1961-LTP3!$D$3*H1961/k_n</f>
        <v/>
      </c>
      <c r="U1961">
        <f>N1961-G1961*LTP3!$D$4/k_n</f>
        <v/>
      </c>
      <c r="V1961">
        <f>O1961-H1961*LTP3!$D$4/k_n</f>
        <v/>
      </c>
      <c r="W1961">
        <f>((LTP3!$D$5)*((P1961)*(Q1961)-(R1961)*(R1961))-(S1961)*((S1961)*(Q1961)-(R1961)*(T1961))+(T1961)*((S1961)*(R1961)-(P1961)*(T1961)))</f>
        <v/>
      </c>
      <c r="X1961">
        <f>IF(ABS(W1961)&gt;1E-12,((LTP3!$D$6)*((P1961)*(Q1961)-(R1961)*(R1961))-(S1961)*((U1961)*(Q1961)-(R1961)*(V1961))+(T1961)*((U1961)*(R1961)-(P1961)*(V1961)))/W1961,0)</f>
        <v/>
      </c>
      <c r="Y1961">
        <f>IF(ABS(W1961)&gt;1E-12,((LTP3!$D$5)*((U1961)*(Q1961)-(R1961)*(V1961))-(LTP3!$D$6)*((S1961)*(Q1961)-(R1961)*(T1961))+(T1961)*((S1961)*(V1961)-(U1961)*(T1961)))/W1961,0)</f>
        <v/>
      </c>
      <c r="Z1961">
        <f>IF(ABS(W1961)&gt;1E-12,((LTP3!$D$5)*((P1961)*(V1961)-(U1961)*(R1961))-(S1961)*((S1961)*(V1961)-(U1961)*(T1961))+(LTP3!$D$6)*((S1961)*(R1961)-(P1961)*(T1961)))/W1961,0)</f>
        <v/>
      </c>
      <c r="AA1961">
        <f>LTP3!$D$7-X1961*LTP3!$D$6-Y1961*U1961-Z1961*V1961</f>
        <v/>
      </c>
      <c r="AB1961">
        <f>IF(AND(F1961,ABS(W1961)&gt;1E-12,Y1961&gt;0,Z1961&gt;0),AA1961,1E+300)</f>
        <v/>
      </c>
    </row>
    <row r="1962">
      <c r="A1962">
        <f>$B$3+$B$5*31</f>
        <v/>
      </c>
      <c r="B1962">
        <f>$B$3+$B$5*59</f>
        <v/>
      </c>
      <c r="C1962">
        <f>SUMPRODUCT(Calc!$K$3:$K$22*(Calc!$G$3:$G$22&lt;=A1962))</f>
        <v/>
      </c>
      <c r="D1962">
        <f>SUMPRODUCT(Calc!$K$3:$K$22*(Calc!$G$3:$G$22&gt;A1962)*(Calc!$G$3:$G$22&lt;B1962))</f>
        <v/>
      </c>
      <c r="E1962">
        <f>SUMPRODUCT(Calc!$K$3:$K$22*(Calc!$G$3:$G$22&gt;=B1962))</f>
        <v/>
      </c>
      <c r="F1962">
        <f>AND(k_n&gt;=5,B1962&gt;A1962+1E-9,C1962&gt;=2,D1962&gt;=1,E1962&gt;=2)</f>
        <v/>
      </c>
      <c r="G1962">
        <f>SUMPRODUCT(Calc!$K$3:$K$22*(Calc!$G$3:$G$22&gt;A1962)*(Calc!$G$3:$G$22-A1962))</f>
        <v/>
      </c>
      <c r="H1962">
        <f>SUMPRODUCT(Calc!$K$3:$K$22*(Calc!$G$3:$G$22&gt;B1962)*(Calc!$G$3:$G$22-B1962))</f>
        <v/>
      </c>
      <c r="I1962">
        <f>SUMPRODUCT(Calc!$K$3:$K$22*(Calc!$G$3:$G$22&gt;A1962)*(Calc!$G$3:$G$22-A1962)^2)</f>
        <v/>
      </c>
      <c r="J1962">
        <f>SUMPRODUCT(Calc!$K$3:$K$22*(Calc!$G$3:$G$22&gt;B1962)*(Calc!$G$3:$G$22-B1962)^2)</f>
        <v/>
      </c>
      <c r="K1962">
        <f>SUMPRODUCT(Calc!$K$3:$K$22*(Calc!$G$3:$G$22&gt;A1962)*(Calc!$G$3:$G$22-A1962)*(Calc!$G$3:$G$22&gt;B1962)*(Calc!$G$3:$G$22-B1962))</f>
        <v/>
      </c>
      <c r="L1962">
        <f>SUMPRODUCT(Calc!$K$3:$K$22*(Calc!$G$3:$G$22&gt;A1962)*(Calc!$G$3:$G$22-A1962)*Calc!$G$3:$G$22)</f>
        <v/>
      </c>
      <c r="M1962">
        <f>SUMPRODUCT(Calc!$K$3:$K$22*(Calc!$G$3:$G$22&gt;B1962)*(Calc!$G$3:$G$22-B1962)*Calc!$G$3:$G$22)</f>
        <v/>
      </c>
      <c r="N1962">
        <f>SUMPRODUCT(Calc!$K$3:$K$22*(Calc!$G$3:$G$22&gt;A1962)*(Calc!$G$3:$G$22-A1962)*Calc!$I$3:$I$22)</f>
        <v/>
      </c>
      <c r="O1962">
        <f>SUMPRODUCT(Calc!$K$3:$K$22*(Calc!$G$3:$G$22&gt;B1962)*(Calc!$G$3:$G$22-B1962)*Calc!$I$3:$I$22)</f>
        <v/>
      </c>
      <c r="P1962">
        <f>I1962-G1962^2/k_n</f>
        <v/>
      </c>
      <c r="Q1962">
        <f>J1962-H1962^2/k_n</f>
        <v/>
      </c>
      <c r="R1962">
        <f>K1962-G1962*H1962/k_n</f>
        <v/>
      </c>
      <c r="S1962">
        <f>L1962-LTP3!$D$3*G1962/k_n</f>
        <v/>
      </c>
      <c r="T1962">
        <f>M1962-LTP3!$D$3*H1962/k_n</f>
        <v/>
      </c>
      <c r="U1962">
        <f>N1962-G1962*LTP3!$D$4/k_n</f>
        <v/>
      </c>
      <c r="V1962">
        <f>O1962-H1962*LTP3!$D$4/k_n</f>
        <v/>
      </c>
      <c r="W1962">
        <f>((LTP3!$D$5)*((P1962)*(Q1962)-(R1962)*(R1962))-(S1962)*((S1962)*(Q1962)-(R1962)*(T1962))+(T1962)*((S1962)*(R1962)-(P1962)*(T1962)))</f>
        <v/>
      </c>
      <c r="X1962">
        <f>IF(ABS(W1962)&gt;1E-12,((LTP3!$D$6)*((P1962)*(Q1962)-(R1962)*(R1962))-(S1962)*((U1962)*(Q1962)-(R1962)*(V1962))+(T1962)*((U1962)*(R1962)-(P1962)*(V1962)))/W1962,0)</f>
        <v/>
      </c>
      <c r="Y1962">
        <f>IF(ABS(W1962)&gt;1E-12,((LTP3!$D$5)*((U1962)*(Q1962)-(R1962)*(V1962))-(LTP3!$D$6)*((S1962)*(Q1962)-(R1962)*(T1962))+(T1962)*((S1962)*(V1962)-(U1962)*(T1962)))/W1962,0)</f>
        <v/>
      </c>
      <c r="Z1962">
        <f>IF(ABS(W1962)&gt;1E-12,((LTP3!$D$5)*((P1962)*(V1962)-(U1962)*(R1962))-(S1962)*((S1962)*(V1962)-(U1962)*(T1962))+(LTP3!$D$6)*((S1962)*(R1962)-(P1962)*(T1962)))/W1962,0)</f>
        <v/>
      </c>
      <c r="AA1962">
        <f>LTP3!$D$7-X1962*LTP3!$D$6-Y1962*U1962-Z1962*V1962</f>
        <v/>
      </c>
      <c r="AB1962">
        <f>IF(AND(F1962,ABS(W1962)&gt;1E-12,Y1962&gt;0,Z1962&gt;0),AA1962,1E+300)</f>
        <v/>
      </c>
    </row>
    <row r="1963">
      <c r="A1963">
        <f>$B$3+$B$5*31</f>
        <v/>
      </c>
      <c r="B1963">
        <f>$B$3+$B$5*60</f>
        <v/>
      </c>
      <c r="C1963">
        <f>SUMPRODUCT(Calc!$K$3:$K$22*(Calc!$G$3:$G$22&lt;=A1963))</f>
        <v/>
      </c>
      <c r="D1963">
        <f>SUMPRODUCT(Calc!$K$3:$K$22*(Calc!$G$3:$G$22&gt;A1963)*(Calc!$G$3:$G$22&lt;B1963))</f>
        <v/>
      </c>
      <c r="E1963">
        <f>SUMPRODUCT(Calc!$K$3:$K$22*(Calc!$G$3:$G$22&gt;=B1963))</f>
        <v/>
      </c>
      <c r="F1963">
        <f>AND(k_n&gt;=5,B1963&gt;A1963+1E-9,C1963&gt;=2,D1963&gt;=1,E1963&gt;=2)</f>
        <v/>
      </c>
      <c r="G1963">
        <f>SUMPRODUCT(Calc!$K$3:$K$22*(Calc!$G$3:$G$22&gt;A1963)*(Calc!$G$3:$G$22-A1963))</f>
        <v/>
      </c>
      <c r="H1963">
        <f>SUMPRODUCT(Calc!$K$3:$K$22*(Calc!$G$3:$G$22&gt;B1963)*(Calc!$G$3:$G$22-B1963))</f>
        <v/>
      </c>
      <c r="I1963">
        <f>SUMPRODUCT(Calc!$K$3:$K$22*(Calc!$G$3:$G$22&gt;A1963)*(Calc!$G$3:$G$22-A1963)^2)</f>
        <v/>
      </c>
      <c r="J1963">
        <f>SUMPRODUCT(Calc!$K$3:$K$22*(Calc!$G$3:$G$22&gt;B1963)*(Calc!$G$3:$G$22-B1963)^2)</f>
        <v/>
      </c>
      <c r="K1963">
        <f>SUMPRODUCT(Calc!$K$3:$K$22*(Calc!$G$3:$G$22&gt;A1963)*(Calc!$G$3:$G$22-A1963)*(Calc!$G$3:$G$22&gt;B1963)*(Calc!$G$3:$G$22-B1963))</f>
        <v/>
      </c>
      <c r="L1963">
        <f>SUMPRODUCT(Calc!$K$3:$K$22*(Calc!$G$3:$G$22&gt;A1963)*(Calc!$G$3:$G$22-A1963)*Calc!$G$3:$G$22)</f>
        <v/>
      </c>
      <c r="M1963">
        <f>SUMPRODUCT(Calc!$K$3:$K$22*(Calc!$G$3:$G$22&gt;B1963)*(Calc!$G$3:$G$22-B1963)*Calc!$G$3:$G$22)</f>
        <v/>
      </c>
      <c r="N1963">
        <f>SUMPRODUCT(Calc!$K$3:$K$22*(Calc!$G$3:$G$22&gt;A1963)*(Calc!$G$3:$G$22-A1963)*Calc!$I$3:$I$22)</f>
        <v/>
      </c>
      <c r="O1963">
        <f>SUMPRODUCT(Calc!$K$3:$K$22*(Calc!$G$3:$G$22&gt;B1963)*(Calc!$G$3:$G$22-B1963)*Calc!$I$3:$I$22)</f>
        <v/>
      </c>
      <c r="P1963">
        <f>I1963-G1963^2/k_n</f>
        <v/>
      </c>
      <c r="Q1963">
        <f>J1963-H1963^2/k_n</f>
        <v/>
      </c>
      <c r="R1963">
        <f>K1963-G1963*H1963/k_n</f>
        <v/>
      </c>
      <c r="S1963">
        <f>L1963-LTP3!$D$3*G1963/k_n</f>
        <v/>
      </c>
      <c r="T1963">
        <f>M1963-LTP3!$D$3*H1963/k_n</f>
        <v/>
      </c>
      <c r="U1963">
        <f>N1963-G1963*LTP3!$D$4/k_n</f>
        <v/>
      </c>
      <c r="V1963">
        <f>O1963-H1963*LTP3!$D$4/k_n</f>
        <v/>
      </c>
      <c r="W1963">
        <f>((LTP3!$D$5)*((P1963)*(Q1963)-(R1963)*(R1963))-(S1963)*((S1963)*(Q1963)-(R1963)*(T1963))+(T1963)*((S1963)*(R1963)-(P1963)*(T1963)))</f>
        <v/>
      </c>
      <c r="X1963">
        <f>IF(ABS(W1963)&gt;1E-12,((LTP3!$D$6)*((P1963)*(Q1963)-(R1963)*(R1963))-(S1963)*((U1963)*(Q1963)-(R1963)*(V1963))+(T1963)*((U1963)*(R1963)-(P1963)*(V1963)))/W1963,0)</f>
        <v/>
      </c>
      <c r="Y1963">
        <f>IF(ABS(W1963)&gt;1E-12,((LTP3!$D$5)*((U1963)*(Q1963)-(R1963)*(V1963))-(LTP3!$D$6)*((S1963)*(Q1963)-(R1963)*(T1963))+(T1963)*((S1963)*(V1963)-(U1963)*(T1963)))/W1963,0)</f>
        <v/>
      </c>
      <c r="Z1963">
        <f>IF(ABS(W1963)&gt;1E-12,((LTP3!$D$5)*((P1963)*(V1963)-(U1963)*(R1963))-(S1963)*((S1963)*(V1963)-(U1963)*(T1963))+(LTP3!$D$6)*((S1963)*(R1963)-(P1963)*(T1963)))/W1963,0)</f>
        <v/>
      </c>
      <c r="AA1963">
        <f>LTP3!$D$7-X1963*LTP3!$D$6-Y1963*U1963-Z1963*V1963</f>
        <v/>
      </c>
      <c r="AB1963">
        <f>IF(AND(F1963,ABS(W1963)&gt;1E-12,Y1963&gt;0,Z1963&gt;0),AA1963,1E+300)</f>
        <v/>
      </c>
    </row>
    <row r="1964">
      <c r="A1964">
        <f>$B$3+$B$5*32</f>
        <v/>
      </c>
      <c r="B1964">
        <f>$B$3+$B$5*0</f>
        <v/>
      </c>
      <c r="C1964">
        <f>SUMPRODUCT(Calc!$K$3:$K$22*(Calc!$G$3:$G$22&lt;=A1964))</f>
        <v/>
      </c>
      <c r="D1964">
        <f>SUMPRODUCT(Calc!$K$3:$K$22*(Calc!$G$3:$G$22&gt;A1964)*(Calc!$G$3:$G$22&lt;B1964))</f>
        <v/>
      </c>
      <c r="E1964">
        <f>SUMPRODUCT(Calc!$K$3:$K$22*(Calc!$G$3:$G$22&gt;=B1964))</f>
        <v/>
      </c>
      <c r="F1964">
        <f>AND(k_n&gt;=5,B1964&gt;A1964+1E-9,C1964&gt;=2,D1964&gt;=1,E1964&gt;=2)</f>
        <v/>
      </c>
      <c r="G1964">
        <f>SUMPRODUCT(Calc!$K$3:$K$22*(Calc!$G$3:$G$22&gt;A1964)*(Calc!$G$3:$G$22-A1964))</f>
        <v/>
      </c>
      <c r="H1964">
        <f>SUMPRODUCT(Calc!$K$3:$K$22*(Calc!$G$3:$G$22&gt;B1964)*(Calc!$G$3:$G$22-B1964))</f>
        <v/>
      </c>
      <c r="I1964">
        <f>SUMPRODUCT(Calc!$K$3:$K$22*(Calc!$G$3:$G$22&gt;A1964)*(Calc!$G$3:$G$22-A1964)^2)</f>
        <v/>
      </c>
      <c r="J1964">
        <f>SUMPRODUCT(Calc!$K$3:$K$22*(Calc!$G$3:$G$22&gt;B1964)*(Calc!$G$3:$G$22-B1964)^2)</f>
        <v/>
      </c>
      <c r="K1964">
        <f>SUMPRODUCT(Calc!$K$3:$K$22*(Calc!$G$3:$G$22&gt;A1964)*(Calc!$G$3:$G$22-A1964)*(Calc!$G$3:$G$22&gt;B1964)*(Calc!$G$3:$G$22-B1964))</f>
        <v/>
      </c>
      <c r="L1964">
        <f>SUMPRODUCT(Calc!$K$3:$K$22*(Calc!$G$3:$G$22&gt;A1964)*(Calc!$G$3:$G$22-A1964)*Calc!$G$3:$G$22)</f>
        <v/>
      </c>
      <c r="M1964">
        <f>SUMPRODUCT(Calc!$K$3:$K$22*(Calc!$G$3:$G$22&gt;B1964)*(Calc!$G$3:$G$22-B1964)*Calc!$G$3:$G$22)</f>
        <v/>
      </c>
      <c r="N1964">
        <f>SUMPRODUCT(Calc!$K$3:$K$22*(Calc!$G$3:$G$22&gt;A1964)*(Calc!$G$3:$G$22-A1964)*Calc!$I$3:$I$22)</f>
        <v/>
      </c>
      <c r="O1964">
        <f>SUMPRODUCT(Calc!$K$3:$K$22*(Calc!$G$3:$G$22&gt;B1964)*(Calc!$G$3:$G$22-B1964)*Calc!$I$3:$I$22)</f>
        <v/>
      </c>
      <c r="P1964">
        <f>I1964-G1964^2/k_n</f>
        <v/>
      </c>
      <c r="Q1964">
        <f>J1964-H1964^2/k_n</f>
        <v/>
      </c>
      <c r="R1964">
        <f>K1964-G1964*H1964/k_n</f>
        <v/>
      </c>
      <c r="S1964">
        <f>L1964-LTP3!$D$3*G1964/k_n</f>
        <v/>
      </c>
      <c r="T1964">
        <f>M1964-LTP3!$D$3*H1964/k_n</f>
        <v/>
      </c>
      <c r="U1964">
        <f>N1964-G1964*LTP3!$D$4/k_n</f>
        <v/>
      </c>
      <c r="V1964">
        <f>O1964-H1964*LTP3!$D$4/k_n</f>
        <v/>
      </c>
      <c r="W1964">
        <f>((LTP3!$D$5)*((P1964)*(Q1964)-(R1964)*(R1964))-(S1964)*((S1964)*(Q1964)-(R1964)*(T1964))+(T1964)*((S1964)*(R1964)-(P1964)*(T1964)))</f>
        <v/>
      </c>
      <c r="X1964">
        <f>IF(ABS(W1964)&gt;1E-12,((LTP3!$D$6)*((P1964)*(Q1964)-(R1964)*(R1964))-(S1964)*((U1964)*(Q1964)-(R1964)*(V1964))+(T1964)*((U1964)*(R1964)-(P1964)*(V1964)))/W1964,0)</f>
        <v/>
      </c>
      <c r="Y1964">
        <f>IF(ABS(W1964)&gt;1E-12,((LTP3!$D$5)*((U1964)*(Q1964)-(R1964)*(V1964))-(LTP3!$D$6)*((S1964)*(Q1964)-(R1964)*(T1964))+(T1964)*((S1964)*(V1964)-(U1964)*(T1964)))/W1964,0)</f>
        <v/>
      </c>
      <c r="Z1964">
        <f>IF(ABS(W1964)&gt;1E-12,((LTP3!$D$5)*((P1964)*(V1964)-(U1964)*(R1964))-(S1964)*((S1964)*(V1964)-(U1964)*(T1964))+(LTP3!$D$6)*((S1964)*(R1964)-(P1964)*(T1964)))/W1964,0)</f>
        <v/>
      </c>
      <c r="AA1964">
        <f>LTP3!$D$7-X1964*LTP3!$D$6-Y1964*U1964-Z1964*V1964</f>
        <v/>
      </c>
      <c r="AB1964">
        <f>IF(AND(F1964,ABS(W1964)&gt;1E-12,Y1964&gt;0,Z1964&gt;0),AA1964,1E+300)</f>
        <v/>
      </c>
    </row>
    <row r="1965">
      <c r="A1965">
        <f>$B$3+$B$5*32</f>
        <v/>
      </c>
      <c r="B1965">
        <f>$B$3+$B$5*1</f>
        <v/>
      </c>
      <c r="C1965">
        <f>SUMPRODUCT(Calc!$K$3:$K$22*(Calc!$G$3:$G$22&lt;=A1965))</f>
        <v/>
      </c>
      <c r="D1965">
        <f>SUMPRODUCT(Calc!$K$3:$K$22*(Calc!$G$3:$G$22&gt;A1965)*(Calc!$G$3:$G$22&lt;B1965))</f>
        <v/>
      </c>
      <c r="E1965">
        <f>SUMPRODUCT(Calc!$K$3:$K$22*(Calc!$G$3:$G$22&gt;=B1965))</f>
        <v/>
      </c>
      <c r="F1965">
        <f>AND(k_n&gt;=5,B1965&gt;A1965+1E-9,C1965&gt;=2,D1965&gt;=1,E1965&gt;=2)</f>
        <v/>
      </c>
      <c r="G1965">
        <f>SUMPRODUCT(Calc!$K$3:$K$22*(Calc!$G$3:$G$22&gt;A1965)*(Calc!$G$3:$G$22-A1965))</f>
        <v/>
      </c>
      <c r="H1965">
        <f>SUMPRODUCT(Calc!$K$3:$K$22*(Calc!$G$3:$G$22&gt;B1965)*(Calc!$G$3:$G$22-B1965))</f>
        <v/>
      </c>
      <c r="I1965">
        <f>SUMPRODUCT(Calc!$K$3:$K$22*(Calc!$G$3:$G$22&gt;A1965)*(Calc!$G$3:$G$22-A1965)^2)</f>
        <v/>
      </c>
      <c r="J1965">
        <f>SUMPRODUCT(Calc!$K$3:$K$22*(Calc!$G$3:$G$22&gt;B1965)*(Calc!$G$3:$G$22-B1965)^2)</f>
        <v/>
      </c>
      <c r="K1965">
        <f>SUMPRODUCT(Calc!$K$3:$K$22*(Calc!$G$3:$G$22&gt;A1965)*(Calc!$G$3:$G$22-A1965)*(Calc!$G$3:$G$22&gt;B1965)*(Calc!$G$3:$G$22-B1965))</f>
        <v/>
      </c>
      <c r="L1965">
        <f>SUMPRODUCT(Calc!$K$3:$K$22*(Calc!$G$3:$G$22&gt;A1965)*(Calc!$G$3:$G$22-A1965)*Calc!$G$3:$G$22)</f>
        <v/>
      </c>
      <c r="M1965">
        <f>SUMPRODUCT(Calc!$K$3:$K$22*(Calc!$G$3:$G$22&gt;B1965)*(Calc!$G$3:$G$22-B1965)*Calc!$G$3:$G$22)</f>
        <v/>
      </c>
      <c r="N1965">
        <f>SUMPRODUCT(Calc!$K$3:$K$22*(Calc!$G$3:$G$22&gt;A1965)*(Calc!$G$3:$G$22-A1965)*Calc!$I$3:$I$22)</f>
        <v/>
      </c>
      <c r="O1965">
        <f>SUMPRODUCT(Calc!$K$3:$K$22*(Calc!$G$3:$G$22&gt;B1965)*(Calc!$G$3:$G$22-B1965)*Calc!$I$3:$I$22)</f>
        <v/>
      </c>
      <c r="P1965">
        <f>I1965-G1965^2/k_n</f>
        <v/>
      </c>
      <c r="Q1965">
        <f>J1965-H1965^2/k_n</f>
        <v/>
      </c>
      <c r="R1965">
        <f>K1965-G1965*H1965/k_n</f>
        <v/>
      </c>
      <c r="S1965">
        <f>L1965-LTP3!$D$3*G1965/k_n</f>
        <v/>
      </c>
      <c r="T1965">
        <f>M1965-LTP3!$D$3*H1965/k_n</f>
        <v/>
      </c>
      <c r="U1965">
        <f>N1965-G1965*LTP3!$D$4/k_n</f>
        <v/>
      </c>
      <c r="V1965">
        <f>O1965-H1965*LTP3!$D$4/k_n</f>
        <v/>
      </c>
      <c r="W1965">
        <f>((LTP3!$D$5)*((P1965)*(Q1965)-(R1965)*(R1965))-(S1965)*((S1965)*(Q1965)-(R1965)*(T1965))+(T1965)*((S1965)*(R1965)-(P1965)*(T1965)))</f>
        <v/>
      </c>
      <c r="X1965">
        <f>IF(ABS(W1965)&gt;1E-12,((LTP3!$D$6)*((P1965)*(Q1965)-(R1965)*(R1965))-(S1965)*((U1965)*(Q1965)-(R1965)*(V1965))+(T1965)*((U1965)*(R1965)-(P1965)*(V1965)))/W1965,0)</f>
        <v/>
      </c>
      <c r="Y1965">
        <f>IF(ABS(W1965)&gt;1E-12,((LTP3!$D$5)*((U1965)*(Q1965)-(R1965)*(V1965))-(LTP3!$D$6)*((S1965)*(Q1965)-(R1965)*(T1965))+(T1965)*((S1965)*(V1965)-(U1965)*(T1965)))/W1965,0)</f>
        <v/>
      </c>
      <c r="Z1965">
        <f>IF(ABS(W1965)&gt;1E-12,((LTP3!$D$5)*((P1965)*(V1965)-(U1965)*(R1965))-(S1965)*((S1965)*(V1965)-(U1965)*(T1965))+(LTP3!$D$6)*((S1965)*(R1965)-(P1965)*(T1965)))/W1965,0)</f>
        <v/>
      </c>
      <c r="AA1965">
        <f>LTP3!$D$7-X1965*LTP3!$D$6-Y1965*U1965-Z1965*V1965</f>
        <v/>
      </c>
      <c r="AB1965">
        <f>IF(AND(F1965,ABS(W1965)&gt;1E-12,Y1965&gt;0,Z1965&gt;0),AA1965,1E+300)</f>
        <v/>
      </c>
    </row>
    <row r="1966">
      <c r="A1966">
        <f>$B$3+$B$5*32</f>
        <v/>
      </c>
      <c r="B1966">
        <f>$B$3+$B$5*2</f>
        <v/>
      </c>
      <c r="C1966">
        <f>SUMPRODUCT(Calc!$K$3:$K$22*(Calc!$G$3:$G$22&lt;=A1966))</f>
        <v/>
      </c>
      <c r="D1966">
        <f>SUMPRODUCT(Calc!$K$3:$K$22*(Calc!$G$3:$G$22&gt;A1966)*(Calc!$G$3:$G$22&lt;B1966))</f>
        <v/>
      </c>
      <c r="E1966">
        <f>SUMPRODUCT(Calc!$K$3:$K$22*(Calc!$G$3:$G$22&gt;=B1966))</f>
        <v/>
      </c>
      <c r="F1966">
        <f>AND(k_n&gt;=5,B1966&gt;A1966+1E-9,C1966&gt;=2,D1966&gt;=1,E1966&gt;=2)</f>
        <v/>
      </c>
      <c r="G1966">
        <f>SUMPRODUCT(Calc!$K$3:$K$22*(Calc!$G$3:$G$22&gt;A1966)*(Calc!$G$3:$G$22-A1966))</f>
        <v/>
      </c>
      <c r="H1966">
        <f>SUMPRODUCT(Calc!$K$3:$K$22*(Calc!$G$3:$G$22&gt;B1966)*(Calc!$G$3:$G$22-B1966))</f>
        <v/>
      </c>
      <c r="I1966">
        <f>SUMPRODUCT(Calc!$K$3:$K$22*(Calc!$G$3:$G$22&gt;A1966)*(Calc!$G$3:$G$22-A1966)^2)</f>
        <v/>
      </c>
      <c r="J1966">
        <f>SUMPRODUCT(Calc!$K$3:$K$22*(Calc!$G$3:$G$22&gt;B1966)*(Calc!$G$3:$G$22-B1966)^2)</f>
        <v/>
      </c>
      <c r="K1966">
        <f>SUMPRODUCT(Calc!$K$3:$K$22*(Calc!$G$3:$G$22&gt;A1966)*(Calc!$G$3:$G$22-A1966)*(Calc!$G$3:$G$22&gt;B1966)*(Calc!$G$3:$G$22-B1966))</f>
        <v/>
      </c>
      <c r="L1966">
        <f>SUMPRODUCT(Calc!$K$3:$K$22*(Calc!$G$3:$G$22&gt;A1966)*(Calc!$G$3:$G$22-A1966)*Calc!$G$3:$G$22)</f>
        <v/>
      </c>
      <c r="M1966">
        <f>SUMPRODUCT(Calc!$K$3:$K$22*(Calc!$G$3:$G$22&gt;B1966)*(Calc!$G$3:$G$22-B1966)*Calc!$G$3:$G$22)</f>
        <v/>
      </c>
      <c r="N1966">
        <f>SUMPRODUCT(Calc!$K$3:$K$22*(Calc!$G$3:$G$22&gt;A1966)*(Calc!$G$3:$G$22-A1966)*Calc!$I$3:$I$22)</f>
        <v/>
      </c>
      <c r="O1966">
        <f>SUMPRODUCT(Calc!$K$3:$K$22*(Calc!$G$3:$G$22&gt;B1966)*(Calc!$G$3:$G$22-B1966)*Calc!$I$3:$I$22)</f>
        <v/>
      </c>
      <c r="P1966">
        <f>I1966-G1966^2/k_n</f>
        <v/>
      </c>
      <c r="Q1966">
        <f>J1966-H1966^2/k_n</f>
        <v/>
      </c>
      <c r="R1966">
        <f>K1966-G1966*H1966/k_n</f>
        <v/>
      </c>
      <c r="S1966">
        <f>L1966-LTP3!$D$3*G1966/k_n</f>
        <v/>
      </c>
      <c r="T1966">
        <f>M1966-LTP3!$D$3*H1966/k_n</f>
        <v/>
      </c>
      <c r="U1966">
        <f>N1966-G1966*LTP3!$D$4/k_n</f>
        <v/>
      </c>
      <c r="V1966">
        <f>O1966-H1966*LTP3!$D$4/k_n</f>
        <v/>
      </c>
      <c r="W1966">
        <f>((LTP3!$D$5)*((P1966)*(Q1966)-(R1966)*(R1966))-(S1966)*((S1966)*(Q1966)-(R1966)*(T1966))+(T1966)*((S1966)*(R1966)-(P1966)*(T1966)))</f>
        <v/>
      </c>
      <c r="X1966">
        <f>IF(ABS(W1966)&gt;1E-12,((LTP3!$D$6)*((P1966)*(Q1966)-(R1966)*(R1966))-(S1966)*((U1966)*(Q1966)-(R1966)*(V1966))+(T1966)*((U1966)*(R1966)-(P1966)*(V1966)))/W1966,0)</f>
        <v/>
      </c>
      <c r="Y1966">
        <f>IF(ABS(W1966)&gt;1E-12,((LTP3!$D$5)*((U1966)*(Q1966)-(R1966)*(V1966))-(LTP3!$D$6)*((S1966)*(Q1966)-(R1966)*(T1966))+(T1966)*((S1966)*(V1966)-(U1966)*(T1966)))/W1966,0)</f>
        <v/>
      </c>
      <c r="Z1966">
        <f>IF(ABS(W1966)&gt;1E-12,((LTP3!$D$5)*((P1966)*(V1966)-(U1966)*(R1966))-(S1966)*((S1966)*(V1966)-(U1966)*(T1966))+(LTP3!$D$6)*((S1966)*(R1966)-(P1966)*(T1966)))/W1966,0)</f>
        <v/>
      </c>
      <c r="AA1966">
        <f>LTP3!$D$7-X1966*LTP3!$D$6-Y1966*U1966-Z1966*V1966</f>
        <v/>
      </c>
      <c r="AB1966">
        <f>IF(AND(F1966,ABS(W1966)&gt;1E-12,Y1966&gt;0,Z1966&gt;0),AA1966,1E+300)</f>
        <v/>
      </c>
    </row>
    <row r="1967">
      <c r="A1967">
        <f>$B$3+$B$5*32</f>
        <v/>
      </c>
      <c r="B1967">
        <f>$B$3+$B$5*3</f>
        <v/>
      </c>
      <c r="C1967">
        <f>SUMPRODUCT(Calc!$K$3:$K$22*(Calc!$G$3:$G$22&lt;=A1967))</f>
        <v/>
      </c>
      <c r="D1967">
        <f>SUMPRODUCT(Calc!$K$3:$K$22*(Calc!$G$3:$G$22&gt;A1967)*(Calc!$G$3:$G$22&lt;B1967))</f>
        <v/>
      </c>
      <c r="E1967">
        <f>SUMPRODUCT(Calc!$K$3:$K$22*(Calc!$G$3:$G$22&gt;=B1967))</f>
        <v/>
      </c>
      <c r="F1967">
        <f>AND(k_n&gt;=5,B1967&gt;A1967+1E-9,C1967&gt;=2,D1967&gt;=1,E1967&gt;=2)</f>
        <v/>
      </c>
      <c r="G1967">
        <f>SUMPRODUCT(Calc!$K$3:$K$22*(Calc!$G$3:$G$22&gt;A1967)*(Calc!$G$3:$G$22-A1967))</f>
        <v/>
      </c>
      <c r="H1967">
        <f>SUMPRODUCT(Calc!$K$3:$K$22*(Calc!$G$3:$G$22&gt;B1967)*(Calc!$G$3:$G$22-B1967))</f>
        <v/>
      </c>
      <c r="I1967">
        <f>SUMPRODUCT(Calc!$K$3:$K$22*(Calc!$G$3:$G$22&gt;A1967)*(Calc!$G$3:$G$22-A1967)^2)</f>
        <v/>
      </c>
      <c r="J1967">
        <f>SUMPRODUCT(Calc!$K$3:$K$22*(Calc!$G$3:$G$22&gt;B1967)*(Calc!$G$3:$G$22-B1967)^2)</f>
        <v/>
      </c>
      <c r="K1967">
        <f>SUMPRODUCT(Calc!$K$3:$K$22*(Calc!$G$3:$G$22&gt;A1967)*(Calc!$G$3:$G$22-A1967)*(Calc!$G$3:$G$22&gt;B1967)*(Calc!$G$3:$G$22-B1967))</f>
        <v/>
      </c>
      <c r="L1967">
        <f>SUMPRODUCT(Calc!$K$3:$K$22*(Calc!$G$3:$G$22&gt;A1967)*(Calc!$G$3:$G$22-A1967)*Calc!$G$3:$G$22)</f>
        <v/>
      </c>
      <c r="M1967">
        <f>SUMPRODUCT(Calc!$K$3:$K$22*(Calc!$G$3:$G$22&gt;B1967)*(Calc!$G$3:$G$22-B1967)*Calc!$G$3:$G$22)</f>
        <v/>
      </c>
      <c r="N1967">
        <f>SUMPRODUCT(Calc!$K$3:$K$22*(Calc!$G$3:$G$22&gt;A1967)*(Calc!$G$3:$G$22-A1967)*Calc!$I$3:$I$22)</f>
        <v/>
      </c>
      <c r="O1967">
        <f>SUMPRODUCT(Calc!$K$3:$K$22*(Calc!$G$3:$G$22&gt;B1967)*(Calc!$G$3:$G$22-B1967)*Calc!$I$3:$I$22)</f>
        <v/>
      </c>
      <c r="P1967">
        <f>I1967-G1967^2/k_n</f>
        <v/>
      </c>
      <c r="Q1967">
        <f>J1967-H1967^2/k_n</f>
        <v/>
      </c>
      <c r="R1967">
        <f>K1967-G1967*H1967/k_n</f>
        <v/>
      </c>
      <c r="S1967">
        <f>L1967-LTP3!$D$3*G1967/k_n</f>
        <v/>
      </c>
      <c r="T1967">
        <f>M1967-LTP3!$D$3*H1967/k_n</f>
        <v/>
      </c>
      <c r="U1967">
        <f>N1967-G1967*LTP3!$D$4/k_n</f>
        <v/>
      </c>
      <c r="V1967">
        <f>O1967-H1967*LTP3!$D$4/k_n</f>
        <v/>
      </c>
      <c r="W1967">
        <f>((LTP3!$D$5)*((P1967)*(Q1967)-(R1967)*(R1967))-(S1967)*((S1967)*(Q1967)-(R1967)*(T1967))+(T1967)*((S1967)*(R1967)-(P1967)*(T1967)))</f>
        <v/>
      </c>
      <c r="X1967">
        <f>IF(ABS(W1967)&gt;1E-12,((LTP3!$D$6)*((P1967)*(Q1967)-(R1967)*(R1967))-(S1967)*((U1967)*(Q1967)-(R1967)*(V1967))+(T1967)*((U1967)*(R1967)-(P1967)*(V1967)))/W1967,0)</f>
        <v/>
      </c>
      <c r="Y1967">
        <f>IF(ABS(W1967)&gt;1E-12,((LTP3!$D$5)*((U1967)*(Q1967)-(R1967)*(V1967))-(LTP3!$D$6)*((S1967)*(Q1967)-(R1967)*(T1967))+(T1967)*((S1967)*(V1967)-(U1967)*(T1967)))/W1967,0)</f>
        <v/>
      </c>
      <c r="Z1967">
        <f>IF(ABS(W1967)&gt;1E-12,((LTP3!$D$5)*((P1967)*(V1967)-(U1967)*(R1967))-(S1967)*((S1967)*(V1967)-(U1967)*(T1967))+(LTP3!$D$6)*((S1967)*(R1967)-(P1967)*(T1967)))/W1967,0)</f>
        <v/>
      </c>
      <c r="AA1967">
        <f>LTP3!$D$7-X1967*LTP3!$D$6-Y1967*U1967-Z1967*V1967</f>
        <v/>
      </c>
      <c r="AB1967">
        <f>IF(AND(F1967,ABS(W1967)&gt;1E-12,Y1967&gt;0,Z1967&gt;0),AA1967,1E+300)</f>
        <v/>
      </c>
    </row>
    <row r="1968">
      <c r="A1968">
        <f>$B$3+$B$5*32</f>
        <v/>
      </c>
      <c r="B1968">
        <f>$B$3+$B$5*4</f>
        <v/>
      </c>
      <c r="C1968">
        <f>SUMPRODUCT(Calc!$K$3:$K$22*(Calc!$G$3:$G$22&lt;=A1968))</f>
        <v/>
      </c>
      <c r="D1968">
        <f>SUMPRODUCT(Calc!$K$3:$K$22*(Calc!$G$3:$G$22&gt;A1968)*(Calc!$G$3:$G$22&lt;B1968))</f>
        <v/>
      </c>
      <c r="E1968">
        <f>SUMPRODUCT(Calc!$K$3:$K$22*(Calc!$G$3:$G$22&gt;=B1968))</f>
        <v/>
      </c>
      <c r="F1968">
        <f>AND(k_n&gt;=5,B1968&gt;A1968+1E-9,C1968&gt;=2,D1968&gt;=1,E1968&gt;=2)</f>
        <v/>
      </c>
      <c r="G1968">
        <f>SUMPRODUCT(Calc!$K$3:$K$22*(Calc!$G$3:$G$22&gt;A1968)*(Calc!$G$3:$G$22-A1968))</f>
        <v/>
      </c>
      <c r="H1968">
        <f>SUMPRODUCT(Calc!$K$3:$K$22*(Calc!$G$3:$G$22&gt;B1968)*(Calc!$G$3:$G$22-B1968))</f>
        <v/>
      </c>
      <c r="I1968">
        <f>SUMPRODUCT(Calc!$K$3:$K$22*(Calc!$G$3:$G$22&gt;A1968)*(Calc!$G$3:$G$22-A1968)^2)</f>
        <v/>
      </c>
      <c r="J1968">
        <f>SUMPRODUCT(Calc!$K$3:$K$22*(Calc!$G$3:$G$22&gt;B1968)*(Calc!$G$3:$G$22-B1968)^2)</f>
        <v/>
      </c>
      <c r="K1968">
        <f>SUMPRODUCT(Calc!$K$3:$K$22*(Calc!$G$3:$G$22&gt;A1968)*(Calc!$G$3:$G$22-A1968)*(Calc!$G$3:$G$22&gt;B1968)*(Calc!$G$3:$G$22-B1968))</f>
        <v/>
      </c>
      <c r="L1968">
        <f>SUMPRODUCT(Calc!$K$3:$K$22*(Calc!$G$3:$G$22&gt;A1968)*(Calc!$G$3:$G$22-A1968)*Calc!$G$3:$G$22)</f>
        <v/>
      </c>
      <c r="M1968">
        <f>SUMPRODUCT(Calc!$K$3:$K$22*(Calc!$G$3:$G$22&gt;B1968)*(Calc!$G$3:$G$22-B1968)*Calc!$G$3:$G$22)</f>
        <v/>
      </c>
      <c r="N1968">
        <f>SUMPRODUCT(Calc!$K$3:$K$22*(Calc!$G$3:$G$22&gt;A1968)*(Calc!$G$3:$G$22-A1968)*Calc!$I$3:$I$22)</f>
        <v/>
      </c>
      <c r="O1968">
        <f>SUMPRODUCT(Calc!$K$3:$K$22*(Calc!$G$3:$G$22&gt;B1968)*(Calc!$G$3:$G$22-B1968)*Calc!$I$3:$I$22)</f>
        <v/>
      </c>
      <c r="P1968">
        <f>I1968-G1968^2/k_n</f>
        <v/>
      </c>
      <c r="Q1968">
        <f>J1968-H1968^2/k_n</f>
        <v/>
      </c>
      <c r="R1968">
        <f>K1968-G1968*H1968/k_n</f>
        <v/>
      </c>
      <c r="S1968">
        <f>L1968-LTP3!$D$3*G1968/k_n</f>
        <v/>
      </c>
      <c r="T1968">
        <f>M1968-LTP3!$D$3*H1968/k_n</f>
        <v/>
      </c>
      <c r="U1968">
        <f>N1968-G1968*LTP3!$D$4/k_n</f>
        <v/>
      </c>
      <c r="V1968">
        <f>O1968-H1968*LTP3!$D$4/k_n</f>
        <v/>
      </c>
      <c r="W1968">
        <f>((LTP3!$D$5)*((P1968)*(Q1968)-(R1968)*(R1968))-(S1968)*((S1968)*(Q1968)-(R1968)*(T1968))+(T1968)*((S1968)*(R1968)-(P1968)*(T1968)))</f>
        <v/>
      </c>
      <c r="X1968">
        <f>IF(ABS(W1968)&gt;1E-12,((LTP3!$D$6)*((P1968)*(Q1968)-(R1968)*(R1968))-(S1968)*((U1968)*(Q1968)-(R1968)*(V1968))+(T1968)*((U1968)*(R1968)-(P1968)*(V1968)))/W1968,0)</f>
        <v/>
      </c>
      <c r="Y1968">
        <f>IF(ABS(W1968)&gt;1E-12,((LTP3!$D$5)*((U1968)*(Q1968)-(R1968)*(V1968))-(LTP3!$D$6)*((S1968)*(Q1968)-(R1968)*(T1968))+(T1968)*((S1968)*(V1968)-(U1968)*(T1968)))/W1968,0)</f>
        <v/>
      </c>
      <c r="Z1968">
        <f>IF(ABS(W1968)&gt;1E-12,((LTP3!$D$5)*((P1968)*(V1968)-(U1968)*(R1968))-(S1968)*((S1968)*(V1968)-(U1968)*(T1968))+(LTP3!$D$6)*((S1968)*(R1968)-(P1968)*(T1968)))/W1968,0)</f>
        <v/>
      </c>
      <c r="AA1968">
        <f>LTP3!$D$7-X1968*LTP3!$D$6-Y1968*U1968-Z1968*V1968</f>
        <v/>
      </c>
      <c r="AB1968">
        <f>IF(AND(F1968,ABS(W1968)&gt;1E-12,Y1968&gt;0,Z1968&gt;0),AA1968,1E+300)</f>
        <v/>
      </c>
    </row>
    <row r="1969">
      <c r="A1969">
        <f>$B$3+$B$5*32</f>
        <v/>
      </c>
      <c r="B1969">
        <f>$B$3+$B$5*5</f>
        <v/>
      </c>
      <c r="C1969">
        <f>SUMPRODUCT(Calc!$K$3:$K$22*(Calc!$G$3:$G$22&lt;=A1969))</f>
        <v/>
      </c>
      <c r="D1969">
        <f>SUMPRODUCT(Calc!$K$3:$K$22*(Calc!$G$3:$G$22&gt;A1969)*(Calc!$G$3:$G$22&lt;B1969))</f>
        <v/>
      </c>
      <c r="E1969">
        <f>SUMPRODUCT(Calc!$K$3:$K$22*(Calc!$G$3:$G$22&gt;=B1969))</f>
        <v/>
      </c>
      <c r="F1969">
        <f>AND(k_n&gt;=5,B1969&gt;A1969+1E-9,C1969&gt;=2,D1969&gt;=1,E1969&gt;=2)</f>
        <v/>
      </c>
      <c r="G1969">
        <f>SUMPRODUCT(Calc!$K$3:$K$22*(Calc!$G$3:$G$22&gt;A1969)*(Calc!$G$3:$G$22-A1969))</f>
        <v/>
      </c>
      <c r="H1969">
        <f>SUMPRODUCT(Calc!$K$3:$K$22*(Calc!$G$3:$G$22&gt;B1969)*(Calc!$G$3:$G$22-B1969))</f>
        <v/>
      </c>
      <c r="I1969">
        <f>SUMPRODUCT(Calc!$K$3:$K$22*(Calc!$G$3:$G$22&gt;A1969)*(Calc!$G$3:$G$22-A1969)^2)</f>
        <v/>
      </c>
      <c r="J1969">
        <f>SUMPRODUCT(Calc!$K$3:$K$22*(Calc!$G$3:$G$22&gt;B1969)*(Calc!$G$3:$G$22-B1969)^2)</f>
        <v/>
      </c>
      <c r="K1969">
        <f>SUMPRODUCT(Calc!$K$3:$K$22*(Calc!$G$3:$G$22&gt;A1969)*(Calc!$G$3:$G$22-A1969)*(Calc!$G$3:$G$22&gt;B1969)*(Calc!$G$3:$G$22-B1969))</f>
        <v/>
      </c>
      <c r="L1969">
        <f>SUMPRODUCT(Calc!$K$3:$K$22*(Calc!$G$3:$G$22&gt;A1969)*(Calc!$G$3:$G$22-A1969)*Calc!$G$3:$G$22)</f>
        <v/>
      </c>
      <c r="M1969">
        <f>SUMPRODUCT(Calc!$K$3:$K$22*(Calc!$G$3:$G$22&gt;B1969)*(Calc!$G$3:$G$22-B1969)*Calc!$G$3:$G$22)</f>
        <v/>
      </c>
      <c r="N1969">
        <f>SUMPRODUCT(Calc!$K$3:$K$22*(Calc!$G$3:$G$22&gt;A1969)*(Calc!$G$3:$G$22-A1969)*Calc!$I$3:$I$22)</f>
        <v/>
      </c>
      <c r="O1969">
        <f>SUMPRODUCT(Calc!$K$3:$K$22*(Calc!$G$3:$G$22&gt;B1969)*(Calc!$G$3:$G$22-B1969)*Calc!$I$3:$I$22)</f>
        <v/>
      </c>
      <c r="P1969">
        <f>I1969-G1969^2/k_n</f>
        <v/>
      </c>
      <c r="Q1969">
        <f>J1969-H1969^2/k_n</f>
        <v/>
      </c>
      <c r="R1969">
        <f>K1969-G1969*H1969/k_n</f>
        <v/>
      </c>
      <c r="S1969">
        <f>L1969-LTP3!$D$3*G1969/k_n</f>
        <v/>
      </c>
      <c r="T1969">
        <f>M1969-LTP3!$D$3*H1969/k_n</f>
        <v/>
      </c>
      <c r="U1969">
        <f>N1969-G1969*LTP3!$D$4/k_n</f>
        <v/>
      </c>
      <c r="V1969">
        <f>O1969-H1969*LTP3!$D$4/k_n</f>
        <v/>
      </c>
      <c r="W1969">
        <f>((LTP3!$D$5)*((P1969)*(Q1969)-(R1969)*(R1969))-(S1969)*((S1969)*(Q1969)-(R1969)*(T1969))+(T1969)*((S1969)*(R1969)-(P1969)*(T1969)))</f>
        <v/>
      </c>
      <c r="X1969">
        <f>IF(ABS(W1969)&gt;1E-12,((LTP3!$D$6)*((P1969)*(Q1969)-(R1969)*(R1969))-(S1969)*((U1969)*(Q1969)-(R1969)*(V1969))+(T1969)*((U1969)*(R1969)-(P1969)*(V1969)))/W1969,0)</f>
        <v/>
      </c>
      <c r="Y1969">
        <f>IF(ABS(W1969)&gt;1E-12,((LTP3!$D$5)*((U1969)*(Q1969)-(R1969)*(V1969))-(LTP3!$D$6)*((S1969)*(Q1969)-(R1969)*(T1969))+(T1969)*((S1969)*(V1969)-(U1969)*(T1969)))/W1969,0)</f>
        <v/>
      </c>
      <c r="Z1969">
        <f>IF(ABS(W1969)&gt;1E-12,((LTP3!$D$5)*((P1969)*(V1969)-(U1969)*(R1969))-(S1969)*((S1969)*(V1969)-(U1969)*(T1969))+(LTP3!$D$6)*((S1969)*(R1969)-(P1969)*(T1969)))/W1969,0)</f>
        <v/>
      </c>
      <c r="AA1969">
        <f>LTP3!$D$7-X1969*LTP3!$D$6-Y1969*U1969-Z1969*V1969</f>
        <v/>
      </c>
      <c r="AB1969">
        <f>IF(AND(F1969,ABS(W1969)&gt;1E-12,Y1969&gt;0,Z1969&gt;0),AA1969,1E+300)</f>
        <v/>
      </c>
    </row>
    <row r="1970">
      <c r="A1970">
        <f>$B$3+$B$5*32</f>
        <v/>
      </c>
      <c r="B1970">
        <f>$B$3+$B$5*6</f>
        <v/>
      </c>
      <c r="C1970">
        <f>SUMPRODUCT(Calc!$K$3:$K$22*(Calc!$G$3:$G$22&lt;=A1970))</f>
        <v/>
      </c>
      <c r="D1970">
        <f>SUMPRODUCT(Calc!$K$3:$K$22*(Calc!$G$3:$G$22&gt;A1970)*(Calc!$G$3:$G$22&lt;B1970))</f>
        <v/>
      </c>
      <c r="E1970">
        <f>SUMPRODUCT(Calc!$K$3:$K$22*(Calc!$G$3:$G$22&gt;=B1970))</f>
        <v/>
      </c>
      <c r="F1970">
        <f>AND(k_n&gt;=5,B1970&gt;A1970+1E-9,C1970&gt;=2,D1970&gt;=1,E1970&gt;=2)</f>
        <v/>
      </c>
      <c r="G1970">
        <f>SUMPRODUCT(Calc!$K$3:$K$22*(Calc!$G$3:$G$22&gt;A1970)*(Calc!$G$3:$G$22-A1970))</f>
        <v/>
      </c>
      <c r="H1970">
        <f>SUMPRODUCT(Calc!$K$3:$K$22*(Calc!$G$3:$G$22&gt;B1970)*(Calc!$G$3:$G$22-B1970))</f>
        <v/>
      </c>
      <c r="I1970">
        <f>SUMPRODUCT(Calc!$K$3:$K$22*(Calc!$G$3:$G$22&gt;A1970)*(Calc!$G$3:$G$22-A1970)^2)</f>
        <v/>
      </c>
      <c r="J1970">
        <f>SUMPRODUCT(Calc!$K$3:$K$22*(Calc!$G$3:$G$22&gt;B1970)*(Calc!$G$3:$G$22-B1970)^2)</f>
        <v/>
      </c>
      <c r="K1970">
        <f>SUMPRODUCT(Calc!$K$3:$K$22*(Calc!$G$3:$G$22&gt;A1970)*(Calc!$G$3:$G$22-A1970)*(Calc!$G$3:$G$22&gt;B1970)*(Calc!$G$3:$G$22-B1970))</f>
        <v/>
      </c>
      <c r="L1970">
        <f>SUMPRODUCT(Calc!$K$3:$K$22*(Calc!$G$3:$G$22&gt;A1970)*(Calc!$G$3:$G$22-A1970)*Calc!$G$3:$G$22)</f>
        <v/>
      </c>
      <c r="M1970">
        <f>SUMPRODUCT(Calc!$K$3:$K$22*(Calc!$G$3:$G$22&gt;B1970)*(Calc!$G$3:$G$22-B1970)*Calc!$G$3:$G$22)</f>
        <v/>
      </c>
      <c r="N1970">
        <f>SUMPRODUCT(Calc!$K$3:$K$22*(Calc!$G$3:$G$22&gt;A1970)*(Calc!$G$3:$G$22-A1970)*Calc!$I$3:$I$22)</f>
        <v/>
      </c>
      <c r="O1970">
        <f>SUMPRODUCT(Calc!$K$3:$K$22*(Calc!$G$3:$G$22&gt;B1970)*(Calc!$G$3:$G$22-B1970)*Calc!$I$3:$I$22)</f>
        <v/>
      </c>
      <c r="P1970">
        <f>I1970-G1970^2/k_n</f>
        <v/>
      </c>
      <c r="Q1970">
        <f>J1970-H1970^2/k_n</f>
        <v/>
      </c>
      <c r="R1970">
        <f>K1970-G1970*H1970/k_n</f>
        <v/>
      </c>
      <c r="S1970">
        <f>L1970-LTP3!$D$3*G1970/k_n</f>
        <v/>
      </c>
      <c r="T1970">
        <f>M1970-LTP3!$D$3*H1970/k_n</f>
        <v/>
      </c>
      <c r="U1970">
        <f>N1970-G1970*LTP3!$D$4/k_n</f>
        <v/>
      </c>
      <c r="V1970">
        <f>O1970-H1970*LTP3!$D$4/k_n</f>
        <v/>
      </c>
      <c r="W1970">
        <f>((LTP3!$D$5)*((P1970)*(Q1970)-(R1970)*(R1970))-(S1970)*((S1970)*(Q1970)-(R1970)*(T1970))+(T1970)*((S1970)*(R1970)-(P1970)*(T1970)))</f>
        <v/>
      </c>
      <c r="X1970">
        <f>IF(ABS(W1970)&gt;1E-12,((LTP3!$D$6)*((P1970)*(Q1970)-(R1970)*(R1970))-(S1970)*((U1970)*(Q1970)-(R1970)*(V1970))+(T1970)*((U1970)*(R1970)-(P1970)*(V1970)))/W1970,0)</f>
        <v/>
      </c>
      <c r="Y1970">
        <f>IF(ABS(W1970)&gt;1E-12,((LTP3!$D$5)*((U1970)*(Q1970)-(R1970)*(V1970))-(LTP3!$D$6)*((S1970)*(Q1970)-(R1970)*(T1970))+(T1970)*((S1970)*(V1970)-(U1970)*(T1970)))/W1970,0)</f>
        <v/>
      </c>
      <c r="Z1970">
        <f>IF(ABS(W1970)&gt;1E-12,((LTP3!$D$5)*((P1970)*(V1970)-(U1970)*(R1970))-(S1970)*((S1970)*(V1970)-(U1970)*(T1970))+(LTP3!$D$6)*((S1970)*(R1970)-(P1970)*(T1970)))/W1970,0)</f>
        <v/>
      </c>
      <c r="AA1970">
        <f>LTP3!$D$7-X1970*LTP3!$D$6-Y1970*U1970-Z1970*V1970</f>
        <v/>
      </c>
      <c r="AB1970">
        <f>IF(AND(F1970,ABS(W1970)&gt;1E-12,Y1970&gt;0,Z1970&gt;0),AA1970,1E+300)</f>
        <v/>
      </c>
    </row>
    <row r="1971">
      <c r="A1971">
        <f>$B$3+$B$5*32</f>
        <v/>
      </c>
      <c r="B1971">
        <f>$B$3+$B$5*7</f>
        <v/>
      </c>
      <c r="C1971">
        <f>SUMPRODUCT(Calc!$K$3:$K$22*(Calc!$G$3:$G$22&lt;=A1971))</f>
        <v/>
      </c>
      <c r="D1971">
        <f>SUMPRODUCT(Calc!$K$3:$K$22*(Calc!$G$3:$G$22&gt;A1971)*(Calc!$G$3:$G$22&lt;B1971))</f>
        <v/>
      </c>
      <c r="E1971">
        <f>SUMPRODUCT(Calc!$K$3:$K$22*(Calc!$G$3:$G$22&gt;=B1971))</f>
        <v/>
      </c>
      <c r="F1971">
        <f>AND(k_n&gt;=5,B1971&gt;A1971+1E-9,C1971&gt;=2,D1971&gt;=1,E1971&gt;=2)</f>
        <v/>
      </c>
      <c r="G1971">
        <f>SUMPRODUCT(Calc!$K$3:$K$22*(Calc!$G$3:$G$22&gt;A1971)*(Calc!$G$3:$G$22-A1971))</f>
        <v/>
      </c>
      <c r="H1971">
        <f>SUMPRODUCT(Calc!$K$3:$K$22*(Calc!$G$3:$G$22&gt;B1971)*(Calc!$G$3:$G$22-B1971))</f>
        <v/>
      </c>
      <c r="I1971">
        <f>SUMPRODUCT(Calc!$K$3:$K$22*(Calc!$G$3:$G$22&gt;A1971)*(Calc!$G$3:$G$22-A1971)^2)</f>
        <v/>
      </c>
      <c r="J1971">
        <f>SUMPRODUCT(Calc!$K$3:$K$22*(Calc!$G$3:$G$22&gt;B1971)*(Calc!$G$3:$G$22-B1971)^2)</f>
        <v/>
      </c>
      <c r="K1971">
        <f>SUMPRODUCT(Calc!$K$3:$K$22*(Calc!$G$3:$G$22&gt;A1971)*(Calc!$G$3:$G$22-A1971)*(Calc!$G$3:$G$22&gt;B1971)*(Calc!$G$3:$G$22-B1971))</f>
        <v/>
      </c>
      <c r="L1971">
        <f>SUMPRODUCT(Calc!$K$3:$K$22*(Calc!$G$3:$G$22&gt;A1971)*(Calc!$G$3:$G$22-A1971)*Calc!$G$3:$G$22)</f>
        <v/>
      </c>
      <c r="M1971">
        <f>SUMPRODUCT(Calc!$K$3:$K$22*(Calc!$G$3:$G$22&gt;B1971)*(Calc!$G$3:$G$22-B1971)*Calc!$G$3:$G$22)</f>
        <v/>
      </c>
      <c r="N1971">
        <f>SUMPRODUCT(Calc!$K$3:$K$22*(Calc!$G$3:$G$22&gt;A1971)*(Calc!$G$3:$G$22-A1971)*Calc!$I$3:$I$22)</f>
        <v/>
      </c>
      <c r="O1971">
        <f>SUMPRODUCT(Calc!$K$3:$K$22*(Calc!$G$3:$G$22&gt;B1971)*(Calc!$G$3:$G$22-B1971)*Calc!$I$3:$I$22)</f>
        <v/>
      </c>
      <c r="P1971">
        <f>I1971-G1971^2/k_n</f>
        <v/>
      </c>
      <c r="Q1971">
        <f>J1971-H1971^2/k_n</f>
        <v/>
      </c>
      <c r="R1971">
        <f>K1971-G1971*H1971/k_n</f>
        <v/>
      </c>
      <c r="S1971">
        <f>L1971-LTP3!$D$3*G1971/k_n</f>
        <v/>
      </c>
      <c r="T1971">
        <f>M1971-LTP3!$D$3*H1971/k_n</f>
        <v/>
      </c>
      <c r="U1971">
        <f>N1971-G1971*LTP3!$D$4/k_n</f>
        <v/>
      </c>
      <c r="V1971">
        <f>O1971-H1971*LTP3!$D$4/k_n</f>
        <v/>
      </c>
      <c r="W1971">
        <f>((LTP3!$D$5)*((P1971)*(Q1971)-(R1971)*(R1971))-(S1971)*((S1971)*(Q1971)-(R1971)*(T1971))+(T1971)*((S1971)*(R1971)-(P1971)*(T1971)))</f>
        <v/>
      </c>
      <c r="X1971">
        <f>IF(ABS(W1971)&gt;1E-12,((LTP3!$D$6)*((P1971)*(Q1971)-(R1971)*(R1971))-(S1971)*((U1971)*(Q1971)-(R1971)*(V1971))+(T1971)*((U1971)*(R1971)-(P1971)*(V1971)))/W1971,0)</f>
        <v/>
      </c>
      <c r="Y1971">
        <f>IF(ABS(W1971)&gt;1E-12,((LTP3!$D$5)*((U1971)*(Q1971)-(R1971)*(V1971))-(LTP3!$D$6)*((S1971)*(Q1971)-(R1971)*(T1971))+(T1971)*((S1971)*(V1971)-(U1971)*(T1971)))/W1971,0)</f>
        <v/>
      </c>
      <c r="Z1971">
        <f>IF(ABS(W1971)&gt;1E-12,((LTP3!$D$5)*((P1971)*(V1971)-(U1971)*(R1971))-(S1971)*((S1971)*(V1971)-(U1971)*(T1971))+(LTP3!$D$6)*((S1971)*(R1971)-(P1971)*(T1971)))/W1971,0)</f>
        <v/>
      </c>
      <c r="AA1971">
        <f>LTP3!$D$7-X1971*LTP3!$D$6-Y1971*U1971-Z1971*V1971</f>
        <v/>
      </c>
      <c r="AB1971">
        <f>IF(AND(F1971,ABS(W1971)&gt;1E-12,Y1971&gt;0,Z1971&gt;0),AA1971,1E+300)</f>
        <v/>
      </c>
    </row>
    <row r="1972">
      <c r="A1972">
        <f>$B$3+$B$5*32</f>
        <v/>
      </c>
      <c r="B1972">
        <f>$B$3+$B$5*8</f>
        <v/>
      </c>
      <c r="C1972">
        <f>SUMPRODUCT(Calc!$K$3:$K$22*(Calc!$G$3:$G$22&lt;=A1972))</f>
        <v/>
      </c>
      <c r="D1972">
        <f>SUMPRODUCT(Calc!$K$3:$K$22*(Calc!$G$3:$G$22&gt;A1972)*(Calc!$G$3:$G$22&lt;B1972))</f>
        <v/>
      </c>
      <c r="E1972">
        <f>SUMPRODUCT(Calc!$K$3:$K$22*(Calc!$G$3:$G$22&gt;=B1972))</f>
        <v/>
      </c>
      <c r="F1972">
        <f>AND(k_n&gt;=5,B1972&gt;A1972+1E-9,C1972&gt;=2,D1972&gt;=1,E1972&gt;=2)</f>
        <v/>
      </c>
      <c r="G1972">
        <f>SUMPRODUCT(Calc!$K$3:$K$22*(Calc!$G$3:$G$22&gt;A1972)*(Calc!$G$3:$G$22-A1972))</f>
        <v/>
      </c>
      <c r="H1972">
        <f>SUMPRODUCT(Calc!$K$3:$K$22*(Calc!$G$3:$G$22&gt;B1972)*(Calc!$G$3:$G$22-B1972))</f>
        <v/>
      </c>
      <c r="I1972">
        <f>SUMPRODUCT(Calc!$K$3:$K$22*(Calc!$G$3:$G$22&gt;A1972)*(Calc!$G$3:$G$22-A1972)^2)</f>
        <v/>
      </c>
      <c r="J1972">
        <f>SUMPRODUCT(Calc!$K$3:$K$22*(Calc!$G$3:$G$22&gt;B1972)*(Calc!$G$3:$G$22-B1972)^2)</f>
        <v/>
      </c>
      <c r="K1972">
        <f>SUMPRODUCT(Calc!$K$3:$K$22*(Calc!$G$3:$G$22&gt;A1972)*(Calc!$G$3:$G$22-A1972)*(Calc!$G$3:$G$22&gt;B1972)*(Calc!$G$3:$G$22-B1972))</f>
        <v/>
      </c>
      <c r="L1972">
        <f>SUMPRODUCT(Calc!$K$3:$K$22*(Calc!$G$3:$G$22&gt;A1972)*(Calc!$G$3:$G$22-A1972)*Calc!$G$3:$G$22)</f>
        <v/>
      </c>
      <c r="M1972">
        <f>SUMPRODUCT(Calc!$K$3:$K$22*(Calc!$G$3:$G$22&gt;B1972)*(Calc!$G$3:$G$22-B1972)*Calc!$G$3:$G$22)</f>
        <v/>
      </c>
      <c r="N1972">
        <f>SUMPRODUCT(Calc!$K$3:$K$22*(Calc!$G$3:$G$22&gt;A1972)*(Calc!$G$3:$G$22-A1972)*Calc!$I$3:$I$22)</f>
        <v/>
      </c>
      <c r="O1972">
        <f>SUMPRODUCT(Calc!$K$3:$K$22*(Calc!$G$3:$G$22&gt;B1972)*(Calc!$G$3:$G$22-B1972)*Calc!$I$3:$I$22)</f>
        <v/>
      </c>
      <c r="P1972">
        <f>I1972-G1972^2/k_n</f>
        <v/>
      </c>
      <c r="Q1972">
        <f>J1972-H1972^2/k_n</f>
        <v/>
      </c>
      <c r="R1972">
        <f>K1972-G1972*H1972/k_n</f>
        <v/>
      </c>
      <c r="S1972">
        <f>L1972-LTP3!$D$3*G1972/k_n</f>
        <v/>
      </c>
      <c r="T1972">
        <f>M1972-LTP3!$D$3*H1972/k_n</f>
        <v/>
      </c>
      <c r="U1972">
        <f>N1972-G1972*LTP3!$D$4/k_n</f>
        <v/>
      </c>
      <c r="V1972">
        <f>O1972-H1972*LTP3!$D$4/k_n</f>
        <v/>
      </c>
      <c r="W1972">
        <f>((LTP3!$D$5)*((P1972)*(Q1972)-(R1972)*(R1972))-(S1972)*((S1972)*(Q1972)-(R1972)*(T1972))+(T1972)*((S1972)*(R1972)-(P1972)*(T1972)))</f>
        <v/>
      </c>
      <c r="X1972">
        <f>IF(ABS(W1972)&gt;1E-12,((LTP3!$D$6)*((P1972)*(Q1972)-(R1972)*(R1972))-(S1972)*((U1972)*(Q1972)-(R1972)*(V1972))+(T1972)*((U1972)*(R1972)-(P1972)*(V1972)))/W1972,0)</f>
        <v/>
      </c>
      <c r="Y1972">
        <f>IF(ABS(W1972)&gt;1E-12,((LTP3!$D$5)*((U1972)*(Q1972)-(R1972)*(V1972))-(LTP3!$D$6)*((S1972)*(Q1972)-(R1972)*(T1972))+(T1972)*((S1972)*(V1972)-(U1972)*(T1972)))/W1972,0)</f>
        <v/>
      </c>
      <c r="Z1972">
        <f>IF(ABS(W1972)&gt;1E-12,((LTP3!$D$5)*((P1972)*(V1972)-(U1972)*(R1972))-(S1972)*((S1972)*(V1972)-(U1972)*(T1972))+(LTP3!$D$6)*((S1972)*(R1972)-(P1972)*(T1972)))/W1972,0)</f>
        <v/>
      </c>
      <c r="AA1972">
        <f>LTP3!$D$7-X1972*LTP3!$D$6-Y1972*U1972-Z1972*V1972</f>
        <v/>
      </c>
      <c r="AB1972">
        <f>IF(AND(F1972,ABS(W1972)&gt;1E-12,Y1972&gt;0,Z1972&gt;0),AA1972,1E+300)</f>
        <v/>
      </c>
    </row>
    <row r="1973">
      <c r="A1973">
        <f>$B$3+$B$5*32</f>
        <v/>
      </c>
      <c r="B1973">
        <f>$B$3+$B$5*9</f>
        <v/>
      </c>
      <c r="C1973">
        <f>SUMPRODUCT(Calc!$K$3:$K$22*(Calc!$G$3:$G$22&lt;=A1973))</f>
        <v/>
      </c>
      <c r="D1973">
        <f>SUMPRODUCT(Calc!$K$3:$K$22*(Calc!$G$3:$G$22&gt;A1973)*(Calc!$G$3:$G$22&lt;B1973))</f>
        <v/>
      </c>
      <c r="E1973">
        <f>SUMPRODUCT(Calc!$K$3:$K$22*(Calc!$G$3:$G$22&gt;=B1973))</f>
        <v/>
      </c>
      <c r="F1973">
        <f>AND(k_n&gt;=5,B1973&gt;A1973+1E-9,C1973&gt;=2,D1973&gt;=1,E1973&gt;=2)</f>
        <v/>
      </c>
      <c r="G1973">
        <f>SUMPRODUCT(Calc!$K$3:$K$22*(Calc!$G$3:$G$22&gt;A1973)*(Calc!$G$3:$G$22-A1973))</f>
        <v/>
      </c>
      <c r="H1973">
        <f>SUMPRODUCT(Calc!$K$3:$K$22*(Calc!$G$3:$G$22&gt;B1973)*(Calc!$G$3:$G$22-B1973))</f>
        <v/>
      </c>
      <c r="I1973">
        <f>SUMPRODUCT(Calc!$K$3:$K$22*(Calc!$G$3:$G$22&gt;A1973)*(Calc!$G$3:$G$22-A1973)^2)</f>
        <v/>
      </c>
      <c r="J1973">
        <f>SUMPRODUCT(Calc!$K$3:$K$22*(Calc!$G$3:$G$22&gt;B1973)*(Calc!$G$3:$G$22-B1973)^2)</f>
        <v/>
      </c>
      <c r="K1973">
        <f>SUMPRODUCT(Calc!$K$3:$K$22*(Calc!$G$3:$G$22&gt;A1973)*(Calc!$G$3:$G$22-A1973)*(Calc!$G$3:$G$22&gt;B1973)*(Calc!$G$3:$G$22-B1973))</f>
        <v/>
      </c>
      <c r="L1973">
        <f>SUMPRODUCT(Calc!$K$3:$K$22*(Calc!$G$3:$G$22&gt;A1973)*(Calc!$G$3:$G$22-A1973)*Calc!$G$3:$G$22)</f>
        <v/>
      </c>
      <c r="M1973">
        <f>SUMPRODUCT(Calc!$K$3:$K$22*(Calc!$G$3:$G$22&gt;B1973)*(Calc!$G$3:$G$22-B1973)*Calc!$G$3:$G$22)</f>
        <v/>
      </c>
      <c r="N1973">
        <f>SUMPRODUCT(Calc!$K$3:$K$22*(Calc!$G$3:$G$22&gt;A1973)*(Calc!$G$3:$G$22-A1973)*Calc!$I$3:$I$22)</f>
        <v/>
      </c>
      <c r="O1973">
        <f>SUMPRODUCT(Calc!$K$3:$K$22*(Calc!$G$3:$G$22&gt;B1973)*(Calc!$G$3:$G$22-B1973)*Calc!$I$3:$I$22)</f>
        <v/>
      </c>
      <c r="P1973">
        <f>I1973-G1973^2/k_n</f>
        <v/>
      </c>
      <c r="Q1973">
        <f>J1973-H1973^2/k_n</f>
        <v/>
      </c>
      <c r="R1973">
        <f>K1973-G1973*H1973/k_n</f>
        <v/>
      </c>
      <c r="S1973">
        <f>L1973-LTP3!$D$3*G1973/k_n</f>
        <v/>
      </c>
      <c r="T1973">
        <f>M1973-LTP3!$D$3*H1973/k_n</f>
        <v/>
      </c>
      <c r="U1973">
        <f>N1973-G1973*LTP3!$D$4/k_n</f>
        <v/>
      </c>
      <c r="V1973">
        <f>O1973-H1973*LTP3!$D$4/k_n</f>
        <v/>
      </c>
      <c r="W1973">
        <f>((LTP3!$D$5)*((P1973)*(Q1973)-(R1973)*(R1973))-(S1973)*((S1973)*(Q1973)-(R1973)*(T1973))+(T1973)*((S1973)*(R1973)-(P1973)*(T1973)))</f>
        <v/>
      </c>
      <c r="X1973">
        <f>IF(ABS(W1973)&gt;1E-12,((LTP3!$D$6)*((P1973)*(Q1973)-(R1973)*(R1973))-(S1973)*((U1973)*(Q1973)-(R1973)*(V1973))+(T1973)*((U1973)*(R1973)-(P1973)*(V1973)))/W1973,0)</f>
        <v/>
      </c>
      <c r="Y1973">
        <f>IF(ABS(W1973)&gt;1E-12,((LTP3!$D$5)*((U1973)*(Q1973)-(R1973)*(V1973))-(LTP3!$D$6)*((S1973)*(Q1973)-(R1973)*(T1973))+(T1973)*((S1973)*(V1973)-(U1973)*(T1973)))/W1973,0)</f>
        <v/>
      </c>
      <c r="Z1973">
        <f>IF(ABS(W1973)&gt;1E-12,((LTP3!$D$5)*((P1973)*(V1973)-(U1973)*(R1973))-(S1973)*((S1973)*(V1973)-(U1973)*(T1973))+(LTP3!$D$6)*((S1973)*(R1973)-(P1973)*(T1973)))/W1973,0)</f>
        <v/>
      </c>
      <c r="AA1973">
        <f>LTP3!$D$7-X1973*LTP3!$D$6-Y1973*U1973-Z1973*V1973</f>
        <v/>
      </c>
      <c r="AB1973">
        <f>IF(AND(F1973,ABS(W1973)&gt;1E-12,Y1973&gt;0,Z1973&gt;0),AA1973,1E+300)</f>
        <v/>
      </c>
    </row>
    <row r="1974">
      <c r="A1974">
        <f>$B$3+$B$5*32</f>
        <v/>
      </c>
      <c r="B1974">
        <f>$B$3+$B$5*10</f>
        <v/>
      </c>
      <c r="C1974">
        <f>SUMPRODUCT(Calc!$K$3:$K$22*(Calc!$G$3:$G$22&lt;=A1974))</f>
        <v/>
      </c>
      <c r="D1974">
        <f>SUMPRODUCT(Calc!$K$3:$K$22*(Calc!$G$3:$G$22&gt;A1974)*(Calc!$G$3:$G$22&lt;B1974))</f>
        <v/>
      </c>
      <c r="E1974">
        <f>SUMPRODUCT(Calc!$K$3:$K$22*(Calc!$G$3:$G$22&gt;=B1974))</f>
        <v/>
      </c>
      <c r="F1974">
        <f>AND(k_n&gt;=5,B1974&gt;A1974+1E-9,C1974&gt;=2,D1974&gt;=1,E1974&gt;=2)</f>
        <v/>
      </c>
      <c r="G1974">
        <f>SUMPRODUCT(Calc!$K$3:$K$22*(Calc!$G$3:$G$22&gt;A1974)*(Calc!$G$3:$G$22-A1974))</f>
        <v/>
      </c>
      <c r="H1974">
        <f>SUMPRODUCT(Calc!$K$3:$K$22*(Calc!$G$3:$G$22&gt;B1974)*(Calc!$G$3:$G$22-B1974))</f>
        <v/>
      </c>
      <c r="I1974">
        <f>SUMPRODUCT(Calc!$K$3:$K$22*(Calc!$G$3:$G$22&gt;A1974)*(Calc!$G$3:$G$22-A1974)^2)</f>
        <v/>
      </c>
      <c r="J1974">
        <f>SUMPRODUCT(Calc!$K$3:$K$22*(Calc!$G$3:$G$22&gt;B1974)*(Calc!$G$3:$G$22-B1974)^2)</f>
        <v/>
      </c>
      <c r="K1974">
        <f>SUMPRODUCT(Calc!$K$3:$K$22*(Calc!$G$3:$G$22&gt;A1974)*(Calc!$G$3:$G$22-A1974)*(Calc!$G$3:$G$22&gt;B1974)*(Calc!$G$3:$G$22-B1974))</f>
        <v/>
      </c>
      <c r="L1974">
        <f>SUMPRODUCT(Calc!$K$3:$K$22*(Calc!$G$3:$G$22&gt;A1974)*(Calc!$G$3:$G$22-A1974)*Calc!$G$3:$G$22)</f>
        <v/>
      </c>
      <c r="M1974">
        <f>SUMPRODUCT(Calc!$K$3:$K$22*(Calc!$G$3:$G$22&gt;B1974)*(Calc!$G$3:$G$22-B1974)*Calc!$G$3:$G$22)</f>
        <v/>
      </c>
      <c r="N1974">
        <f>SUMPRODUCT(Calc!$K$3:$K$22*(Calc!$G$3:$G$22&gt;A1974)*(Calc!$G$3:$G$22-A1974)*Calc!$I$3:$I$22)</f>
        <v/>
      </c>
      <c r="O1974">
        <f>SUMPRODUCT(Calc!$K$3:$K$22*(Calc!$G$3:$G$22&gt;B1974)*(Calc!$G$3:$G$22-B1974)*Calc!$I$3:$I$22)</f>
        <v/>
      </c>
      <c r="P1974">
        <f>I1974-G1974^2/k_n</f>
        <v/>
      </c>
      <c r="Q1974">
        <f>J1974-H1974^2/k_n</f>
        <v/>
      </c>
      <c r="R1974">
        <f>K1974-G1974*H1974/k_n</f>
        <v/>
      </c>
      <c r="S1974">
        <f>L1974-LTP3!$D$3*G1974/k_n</f>
        <v/>
      </c>
      <c r="T1974">
        <f>M1974-LTP3!$D$3*H1974/k_n</f>
        <v/>
      </c>
      <c r="U1974">
        <f>N1974-G1974*LTP3!$D$4/k_n</f>
        <v/>
      </c>
      <c r="V1974">
        <f>O1974-H1974*LTP3!$D$4/k_n</f>
        <v/>
      </c>
      <c r="W1974">
        <f>((LTP3!$D$5)*((P1974)*(Q1974)-(R1974)*(R1974))-(S1974)*((S1974)*(Q1974)-(R1974)*(T1974))+(T1974)*((S1974)*(R1974)-(P1974)*(T1974)))</f>
        <v/>
      </c>
      <c r="X1974">
        <f>IF(ABS(W1974)&gt;1E-12,((LTP3!$D$6)*((P1974)*(Q1974)-(R1974)*(R1974))-(S1974)*((U1974)*(Q1974)-(R1974)*(V1974))+(T1974)*((U1974)*(R1974)-(P1974)*(V1974)))/W1974,0)</f>
        <v/>
      </c>
      <c r="Y1974">
        <f>IF(ABS(W1974)&gt;1E-12,((LTP3!$D$5)*((U1974)*(Q1974)-(R1974)*(V1974))-(LTP3!$D$6)*((S1974)*(Q1974)-(R1974)*(T1974))+(T1974)*((S1974)*(V1974)-(U1974)*(T1974)))/W1974,0)</f>
        <v/>
      </c>
      <c r="Z1974">
        <f>IF(ABS(W1974)&gt;1E-12,((LTP3!$D$5)*((P1974)*(V1974)-(U1974)*(R1974))-(S1974)*((S1974)*(V1974)-(U1974)*(T1974))+(LTP3!$D$6)*((S1974)*(R1974)-(P1974)*(T1974)))/W1974,0)</f>
        <v/>
      </c>
      <c r="AA1974">
        <f>LTP3!$D$7-X1974*LTP3!$D$6-Y1974*U1974-Z1974*V1974</f>
        <v/>
      </c>
      <c r="AB1974">
        <f>IF(AND(F1974,ABS(W1974)&gt;1E-12,Y1974&gt;0,Z1974&gt;0),AA1974,1E+300)</f>
        <v/>
      </c>
    </row>
    <row r="1975">
      <c r="A1975">
        <f>$B$3+$B$5*32</f>
        <v/>
      </c>
      <c r="B1975">
        <f>$B$3+$B$5*11</f>
        <v/>
      </c>
      <c r="C1975">
        <f>SUMPRODUCT(Calc!$K$3:$K$22*(Calc!$G$3:$G$22&lt;=A1975))</f>
        <v/>
      </c>
      <c r="D1975">
        <f>SUMPRODUCT(Calc!$K$3:$K$22*(Calc!$G$3:$G$22&gt;A1975)*(Calc!$G$3:$G$22&lt;B1975))</f>
        <v/>
      </c>
      <c r="E1975">
        <f>SUMPRODUCT(Calc!$K$3:$K$22*(Calc!$G$3:$G$22&gt;=B1975))</f>
        <v/>
      </c>
      <c r="F1975">
        <f>AND(k_n&gt;=5,B1975&gt;A1975+1E-9,C1975&gt;=2,D1975&gt;=1,E1975&gt;=2)</f>
        <v/>
      </c>
      <c r="G1975">
        <f>SUMPRODUCT(Calc!$K$3:$K$22*(Calc!$G$3:$G$22&gt;A1975)*(Calc!$G$3:$G$22-A1975))</f>
        <v/>
      </c>
      <c r="H1975">
        <f>SUMPRODUCT(Calc!$K$3:$K$22*(Calc!$G$3:$G$22&gt;B1975)*(Calc!$G$3:$G$22-B1975))</f>
        <v/>
      </c>
      <c r="I1975">
        <f>SUMPRODUCT(Calc!$K$3:$K$22*(Calc!$G$3:$G$22&gt;A1975)*(Calc!$G$3:$G$22-A1975)^2)</f>
        <v/>
      </c>
      <c r="J1975">
        <f>SUMPRODUCT(Calc!$K$3:$K$22*(Calc!$G$3:$G$22&gt;B1975)*(Calc!$G$3:$G$22-B1975)^2)</f>
        <v/>
      </c>
      <c r="K1975">
        <f>SUMPRODUCT(Calc!$K$3:$K$22*(Calc!$G$3:$G$22&gt;A1975)*(Calc!$G$3:$G$22-A1975)*(Calc!$G$3:$G$22&gt;B1975)*(Calc!$G$3:$G$22-B1975))</f>
        <v/>
      </c>
      <c r="L1975">
        <f>SUMPRODUCT(Calc!$K$3:$K$22*(Calc!$G$3:$G$22&gt;A1975)*(Calc!$G$3:$G$22-A1975)*Calc!$G$3:$G$22)</f>
        <v/>
      </c>
      <c r="M1975">
        <f>SUMPRODUCT(Calc!$K$3:$K$22*(Calc!$G$3:$G$22&gt;B1975)*(Calc!$G$3:$G$22-B1975)*Calc!$G$3:$G$22)</f>
        <v/>
      </c>
      <c r="N1975">
        <f>SUMPRODUCT(Calc!$K$3:$K$22*(Calc!$G$3:$G$22&gt;A1975)*(Calc!$G$3:$G$22-A1975)*Calc!$I$3:$I$22)</f>
        <v/>
      </c>
      <c r="O1975">
        <f>SUMPRODUCT(Calc!$K$3:$K$22*(Calc!$G$3:$G$22&gt;B1975)*(Calc!$G$3:$G$22-B1975)*Calc!$I$3:$I$22)</f>
        <v/>
      </c>
      <c r="P1975">
        <f>I1975-G1975^2/k_n</f>
        <v/>
      </c>
      <c r="Q1975">
        <f>J1975-H1975^2/k_n</f>
        <v/>
      </c>
      <c r="R1975">
        <f>K1975-G1975*H1975/k_n</f>
        <v/>
      </c>
      <c r="S1975">
        <f>L1975-LTP3!$D$3*G1975/k_n</f>
        <v/>
      </c>
      <c r="T1975">
        <f>M1975-LTP3!$D$3*H1975/k_n</f>
        <v/>
      </c>
      <c r="U1975">
        <f>N1975-G1975*LTP3!$D$4/k_n</f>
        <v/>
      </c>
      <c r="V1975">
        <f>O1975-H1975*LTP3!$D$4/k_n</f>
        <v/>
      </c>
      <c r="W1975">
        <f>((LTP3!$D$5)*((P1975)*(Q1975)-(R1975)*(R1975))-(S1975)*((S1975)*(Q1975)-(R1975)*(T1975))+(T1975)*((S1975)*(R1975)-(P1975)*(T1975)))</f>
        <v/>
      </c>
      <c r="X1975">
        <f>IF(ABS(W1975)&gt;1E-12,((LTP3!$D$6)*((P1975)*(Q1975)-(R1975)*(R1975))-(S1975)*((U1975)*(Q1975)-(R1975)*(V1975))+(T1975)*((U1975)*(R1975)-(P1975)*(V1975)))/W1975,0)</f>
        <v/>
      </c>
      <c r="Y1975">
        <f>IF(ABS(W1975)&gt;1E-12,((LTP3!$D$5)*((U1975)*(Q1975)-(R1975)*(V1975))-(LTP3!$D$6)*((S1975)*(Q1975)-(R1975)*(T1975))+(T1975)*((S1975)*(V1975)-(U1975)*(T1975)))/W1975,0)</f>
        <v/>
      </c>
      <c r="Z1975">
        <f>IF(ABS(W1975)&gt;1E-12,((LTP3!$D$5)*((P1975)*(V1975)-(U1975)*(R1975))-(S1975)*((S1975)*(V1975)-(U1975)*(T1975))+(LTP3!$D$6)*((S1975)*(R1975)-(P1975)*(T1975)))/W1975,0)</f>
        <v/>
      </c>
      <c r="AA1975">
        <f>LTP3!$D$7-X1975*LTP3!$D$6-Y1975*U1975-Z1975*V1975</f>
        <v/>
      </c>
      <c r="AB1975">
        <f>IF(AND(F1975,ABS(W1975)&gt;1E-12,Y1975&gt;0,Z1975&gt;0),AA1975,1E+300)</f>
        <v/>
      </c>
    </row>
    <row r="1976">
      <c r="A1976">
        <f>$B$3+$B$5*32</f>
        <v/>
      </c>
      <c r="B1976">
        <f>$B$3+$B$5*12</f>
        <v/>
      </c>
      <c r="C1976">
        <f>SUMPRODUCT(Calc!$K$3:$K$22*(Calc!$G$3:$G$22&lt;=A1976))</f>
        <v/>
      </c>
      <c r="D1976">
        <f>SUMPRODUCT(Calc!$K$3:$K$22*(Calc!$G$3:$G$22&gt;A1976)*(Calc!$G$3:$G$22&lt;B1976))</f>
        <v/>
      </c>
      <c r="E1976">
        <f>SUMPRODUCT(Calc!$K$3:$K$22*(Calc!$G$3:$G$22&gt;=B1976))</f>
        <v/>
      </c>
      <c r="F1976">
        <f>AND(k_n&gt;=5,B1976&gt;A1976+1E-9,C1976&gt;=2,D1976&gt;=1,E1976&gt;=2)</f>
        <v/>
      </c>
      <c r="G1976">
        <f>SUMPRODUCT(Calc!$K$3:$K$22*(Calc!$G$3:$G$22&gt;A1976)*(Calc!$G$3:$G$22-A1976))</f>
        <v/>
      </c>
      <c r="H1976">
        <f>SUMPRODUCT(Calc!$K$3:$K$22*(Calc!$G$3:$G$22&gt;B1976)*(Calc!$G$3:$G$22-B1976))</f>
        <v/>
      </c>
      <c r="I1976">
        <f>SUMPRODUCT(Calc!$K$3:$K$22*(Calc!$G$3:$G$22&gt;A1976)*(Calc!$G$3:$G$22-A1976)^2)</f>
        <v/>
      </c>
      <c r="J1976">
        <f>SUMPRODUCT(Calc!$K$3:$K$22*(Calc!$G$3:$G$22&gt;B1976)*(Calc!$G$3:$G$22-B1976)^2)</f>
        <v/>
      </c>
      <c r="K1976">
        <f>SUMPRODUCT(Calc!$K$3:$K$22*(Calc!$G$3:$G$22&gt;A1976)*(Calc!$G$3:$G$22-A1976)*(Calc!$G$3:$G$22&gt;B1976)*(Calc!$G$3:$G$22-B1976))</f>
        <v/>
      </c>
      <c r="L1976">
        <f>SUMPRODUCT(Calc!$K$3:$K$22*(Calc!$G$3:$G$22&gt;A1976)*(Calc!$G$3:$G$22-A1976)*Calc!$G$3:$G$22)</f>
        <v/>
      </c>
      <c r="M1976">
        <f>SUMPRODUCT(Calc!$K$3:$K$22*(Calc!$G$3:$G$22&gt;B1976)*(Calc!$G$3:$G$22-B1976)*Calc!$G$3:$G$22)</f>
        <v/>
      </c>
      <c r="N1976">
        <f>SUMPRODUCT(Calc!$K$3:$K$22*(Calc!$G$3:$G$22&gt;A1976)*(Calc!$G$3:$G$22-A1976)*Calc!$I$3:$I$22)</f>
        <v/>
      </c>
      <c r="O1976">
        <f>SUMPRODUCT(Calc!$K$3:$K$22*(Calc!$G$3:$G$22&gt;B1976)*(Calc!$G$3:$G$22-B1976)*Calc!$I$3:$I$22)</f>
        <v/>
      </c>
      <c r="P1976">
        <f>I1976-G1976^2/k_n</f>
        <v/>
      </c>
      <c r="Q1976">
        <f>J1976-H1976^2/k_n</f>
        <v/>
      </c>
      <c r="R1976">
        <f>K1976-G1976*H1976/k_n</f>
        <v/>
      </c>
      <c r="S1976">
        <f>L1976-LTP3!$D$3*G1976/k_n</f>
        <v/>
      </c>
      <c r="T1976">
        <f>M1976-LTP3!$D$3*H1976/k_n</f>
        <v/>
      </c>
      <c r="U1976">
        <f>N1976-G1976*LTP3!$D$4/k_n</f>
        <v/>
      </c>
      <c r="V1976">
        <f>O1976-H1976*LTP3!$D$4/k_n</f>
        <v/>
      </c>
      <c r="W1976">
        <f>((LTP3!$D$5)*((P1976)*(Q1976)-(R1976)*(R1976))-(S1976)*((S1976)*(Q1976)-(R1976)*(T1976))+(T1976)*((S1976)*(R1976)-(P1976)*(T1976)))</f>
        <v/>
      </c>
      <c r="X1976">
        <f>IF(ABS(W1976)&gt;1E-12,((LTP3!$D$6)*((P1976)*(Q1976)-(R1976)*(R1976))-(S1976)*((U1976)*(Q1976)-(R1976)*(V1976))+(T1976)*((U1976)*(R1976)-(P1976)*(V1976)))/W1976,0)</f>
        <v/>
      </c>
      <c r="Y1976">
        <f>IF(ABS(W1976)&gt;1E-12,((LTP3!$D$5)*((U1976)*(Q1976)-(R1976)*(V1976))-(LTP3!$D$6)*((S1976)*(Q1976)-(R1976)*(T1976))+(T1976)*((S1976)*(V1976)-(U1976)*(T1976)))/W1976,0)</f>
        <v/>
      </c>
      <c r="Z1976">
        <f>IF(ABS(W1976)&gt;1E-12,((LTP3!$D$5)*((P1976)*(V1976)-(U1976)*(R1976))-(S1976)*((S1976)*(V1976)-(U1976)*(T1976))+(LTP3!$D$6)*((S1976)*(R1976)-(P1976)*(T1976)))/W1976,0)</f>
        <v/>
      </c>
      <c r="AA1976">
        <f>LTP3!$D$7-X1976*LTP3!$D$6-Y1976*U1976-Z1976*V1976</f>
        <v/>
      </c>
      <c r="AB1976">
        <f>IF(AND(F1976,ABS(W1976)&gt;1E-12,Y1976&gt;0,Z1976&gt;0),AA1976,1E+300)</f>
        <v/>
      </c>
    </row>
    <row r="1977">
      <c r="A1977">
        <f>$B$3+$B$5*32</f>
        <v/>
      </c>
      <c r="B1977">
        <f>$B$3+$B$5*13</f>
        <v/>
      </c>
      <c r="C1977">
        <f>SUMPRODUCT(Calc!$K$3:$K$22*(Calc!$G$3:$G$22&lt;=A1977))</f>
        <v/>
      </c>
      <c r="D1977">
        <f>SUMPRODUCT(Calc!$K$3:$K$22*(Calc!$G$3:$G$22&gt;A1977)*(Calc!$G$3:$G$22&lt;B1977))</f>
        <v/>
      </c>
      <c r="E1977">
        <f>SUMPRODUCT(Calc!$K$3:$K$22*(Calc!$G$3:$G$22&gt;=B1977))</f>
        <v/>
      </c>
      <c r="F1977">
        <f>AND(k_n&gt;=5,B1977&gt;A1977+1E-9,C1977&gt;=2,D1977&gt;=1,E1977&gt;=2)</f>
        <v/>
      </c>
      <c r="G1977">
        <f>SUMPRODUCT(Calc!$K$3:$K$22*(Calc!$G$3:$G$22&gt;A1977)*(Calc!$G$3:$G$22-A1977))</f>
        <v/>
      </c>
      <c r="H1977">
        <f>SUMPRODUCT(Calc!$K$3:$K$22*(Calc!$G$3:$G$22&gt;B1977)*(Calc!$G$3:$G$22-B1977))</f>
        <v/>
      </c>
      <c r="I1977">
        <f>SUMPRODUCT(Calc!$K$3:$K$22*(Calc!$G$3:$G$22&gt;A1977)*(Calc!$G$3:$G$22-A1977)^2)</f>
        <v/>
      </c>
      <c r="J1977">
        <f>SUMPRODUCT(Calc!$K$3:$K$22*(Calc!$G$3:$G$22&gt;B1977)*(Calc!$G$3:$G$22-B1977)^2)</f>
        <v/>
      </c>
      <c r="K1977">
        <f>SUMPRODUCT(Calc!$K$3:$K$22*(Calc!$G$3:$G$22&gt;A1977)*(Calc!$G$3:$G$22-A1977)*(Calc!$G$3:$G$22&gt;B1977)*(Calc!$G$3:$G$22-B1977))</f>
        <v/>
      </c>
      <c r="L1977">
        <f>SUMPRODUCT(Calc!$K$3:$K$22*(Calc!$G$3:$G$22&gt;A1977)*(Calc!$G$3:$G$22-A1977)*Calc!$G$3:$G$22)</f>
        <v/>
      </c>
      <c r="M1977">
        <f>SUMPRODUCT(Calc!$K$3:$K$22*(Calc!$G$3:$G$22&gt;B1977)*(Calc!$G$3:$G$22-B1977)*Calc!$G$3:$G$22)</f>
        <v/>
      </c>
      <c r="N1977">
        <f>SUMPRODUCT(Calc!$K$3:$K$22*(Calc!$G$3:$G$22&gt;A1977)*(Calc!$G$3:$G$22-A1977)*Calc!$I$3:$I$22)</f>
        <v/>
      </c>
      <c r="O1977">
        <f>SUMPRODUCT(Calc!$K$3:$K$22*(Calc!$G$3:$G$22&gt;B1977)*(Calc!$G$3:$G$22-B1977)*Calc!$I$3:$I$22)</f>
        <v/>
      </c>
      <c r="P1977">
        <f>I1977-G1977^2/k_n</f>
        <v/>
      </c>
      <c r="Q1977">
        <f>J1977-H1977^2/k_n</f>
        <v/>
      </c>
      <c r="R1977">
        <f>K1977-G1977*H1977/k_n</f>
        <v/>
      </c>
      <c r="S1977">
        <f>L1977-LTP3!$D$3*G1977/k_n</f>
        <v/>
      </c>
      <c r="T1977">
        <f>M1977-LTP3!$D$3*H1977/k_n</f>
        <v/>
      </c>
      <c r="U1977">
        <f>N1977-G1977*LTP3!$D$4/k_n</f>
        <v/>
      </c>
      <c r="V1977">
        <f>O1977-H1977*LTP3!$D$4/k_n</f>
        <v/>
      </c>
      <c r="W1977">
        <f>((LTP3!$D$5)*((P1977)*(Q1977)-(R1977)*(R1977))-(S1977)*((S1977)*(Q1977)-(R1977)*(T1977))+(T1977)*((S1977)*(R1977)-(P1977)*(T1977)))</f>
        <v/>
      </c>
      <c r="X1977">
        <f>IF(ABS(W1977)&gt;1E-12,((LTP3!$D$6)*((P1977)*(Q1977)-(R1977)*(R1977))-(S1977)*((U1977)*(Q1977)-(R1977)*(V1977))+(T1977)*((U1977)*(R1977)-(P1977)*(V1977)))/W1977,0)</f>
        <v/>
      </c>
      <c r="Y1977">
        <f>IF(ABS(W1977)&gt;1E-12,((LTP3!$D$5)*((U1977)*(Q1977)-(R1977)*(V1977))-(LTP3!$D$6)*((S1977)*(Q1977)-(R1977)*(T1977))+(T1977)*((S1977)*(V1977)-(U1977)*(T1977)))/W1977,0)</f>
        <v/>
      </c>
      <c r="Z1977">
        <f>IF(ABS(W1977)&gt;1E-12,((LTP3!$D$5)*((P1977)*(V1977)-(U1977)*(R1977))-(S1977)*((S1977)*(V1977)-(U1977)*(T1977))+(LTP3!$D$6)*((S1977)*(R1977)-(P1977)*(T1977)))/W1977,0)</f>
        <v/>
      </c>
      <c r="AA1977">
        <f>LTP3!$D$7-X1977*LTP3!$D$6-Y1977*U1977-Z1977*V1977</f>
        <v/>
      </c>
      <c r="AB1977">
        <f>IF(AND(F1977,ABS(W1977)&gt;1E-12,Y1977&gt;0,Z1977&gt;0),AA1977,1E+300)</f>
        <v/>
      </c>
    </row>
    <row r="1978">
      <c r="A1978">
        <f>$B$3+$B$5*32</f>
        <v/>
      </c>
      <c r="B1978">
        <f>$B$3+$B$5*14</f>
        <v/>
      </c>
      <c r="C1978">
        <f>SUMPRODUCT(Calc!$K$3:$K$22*(Calc!$G$3:$G$22&lt;=A1978))</f>
        <v/>
      </c>
      <c r="D1978">
        <f>SUMPRODUCT(Calc!$K$3:$K$22*(Calc!$G$3:$G$22&gt;A1978)*(Calc!$G$3:$G$22&lt;B1978))</f>
        <v/>
      </c>
      <c r="E1978">
        <f>SUMPRODUCT(Calc!$K$3:$K$22*(Calc!$G$3:$G$22&gt;=B1978))</f>
        <v/>
      </c>
      <c r="F1978">
        <f>AND(k_n&gt;=5,B1978&gt;A1978+1E-9,C1978&gt;=2,D1978&gt;=1,E1978&gt;=2)</f>
        <v/>
      </c>
      <c r="G1978">
        <f>SUMPRODUCT(Calc!$K$3:$K$22*(Calc!$G$3:$G$22&gt;A1978)*(Calc!$G$3:$G$22-A1978))</f>
        <v/>
      </c>
      <c r="H1978">
        <f>SUMPRODUCT(Calc!$K$3:$K$22*(Calc!$G$3:$G$22&gt;B1978)*(Calc!$G$3:$G$22-B1978))</f>
        <v/>
      </c>
      <c r="I1978">
        <f>SUMPRODUCT(Calc!$K$3:$K$22*(Calc!$G$3:$G$22&gt;A1978)*(Calc!$G$3:$G$22-A1978)^2)</f>
        <v/>
      </c>
      <c r="J1978">
        <f>SUMPRODUCT(Calc!$K$3:$K$22*(Calc!$G$3:$G$22&gt;B1978)*(Calc!$G$3:$G$22-B1978)^2)</f>
        <v/>
      </c>
      <c r="K1978">
        <f>SUMPRODUCT(Calc!$K$3:$K$22*(Calc!$G$3:$G$22&gt;A1978)*(Calc!$G$3:$G$22-A1978)*(Calc!$G$3:$G$22&gt;B1978)*(Calc!$G$3:$G$22-B1978))</f>
        <v/>
      </c>
      <c r="L1978">
        <f>SUMPRODUCT(Calc!$K$3:$K$22*(Calc!$G$3:$G$22&gt;A1978)*(Calc!$G$3:$G$22-A1978)*Calc!$G$3:$G$22)</f>
        <v/>
      </c>
      <c r="M1978">
        <f>SUMPRODUCT(Calc!$K$3:$K$22*(Calc!$G$3:$G$22&gt;B1978)*(Calc!$G$3:$G$22-B1978)*Calc!$G$3:$G$22)</f>
        <v/>
      </c>
      <c r="N1978">
        <f>SUMPRODUCT(Calc!$K$3:$K$22*(Calc!$G$3:$G$22&gt;A1978)*(Calc!$G$3:$G$22-A1978)*Calc!$I$3:$I$22)</f>
        <v/>
      </c>
      <c r="O1978">
        <f>SUMPRODUCT(Calc!$K$3:$K$22*(Calc!$G$3:$G$22&gt;B1978)*(Calc!$G$3:$G$22-B1978)*Calc!$I$3:$I$22)</f>
        <v/>
      </c>
      <c r="P1978">
        <f>I1978-G1978^2/k_n</f>
        <v/>
      </c>
      <c r="Q1978">
        <f>J1978-H1978^2/k_n</f>
        <v/>
      </c>
      <c r="R1978">
        <f>K1978-G1978*H1978/k_n</f>
        <v/>
      </c>
      <c r="S1978">
        <f>L1978-LTP3!$D$3*G1978/k_n</f>
        <v/>
      </c>
      <c r="T1978">
        <f>M1978-LTP3!$D$3*H1978/k_n</f>
        <v/>
      </c>
      <c r="U1978">
        <f>N1978-G1978*LTP3!$D$4/k_n</f>
        <v/>
      </c>
      <c r="V1978">
        <f>O1978-H1978*LTP3!$D$4/k_n</f>
        <v/>
      </c>
      <c r="W1978">
        <f>((LTP3!$D$5)*((P1978)*(Q1978)-(R1978)*(R1978))-(S1978)*((S1978)*(Q1978)-(R1978)*(T1978))+(T1978)*((S1978)*(R1978)-(P1978)*(T1978)))</f>
        <v/>
      </c>
      <c r="X1978">
        <f>IF(ABS(W1978)&gt;1E-12,((LTP3!$D$6)*((P1978)*(Q1978)-(R1978)*(R1978))-(S1978)*((U1978)*(Q1978)-(R1978)*(V1978))+(T1978)*((U1978)*(R1978)-(P1978)*(V1978)))/W1978,0)</f>
        <v/>
      </c>
      <c r="Y1978">
        <f>IF(ABS(W1978)&gt;1E-12,((LTP3!$D$5)*((U1978)*(Q1978)-(R1978)*(V1978))-(LTP3!$D$6)*((S1978)*(Q1978)-(R1978)*(T1978))+(T1978)*((S1978)*(V1978)-(U1978)*(T1978)))/W1978,0)</f>
        <v/>
      </c>
      <c r="Z1978">
        <f>IF(ABS(W1978)&gt;1E-12,((LTP3!$D$5)*((P1978)*(V1978)-(U1978)*(R1978))-(S1978)*((S1978)*(V1978)-(U1978)*(T1978))+(LTP3!$D$6)*((S1978)*(R1978)-(P1978)*(T1978)))/W1978,0)</f>
        <v/>
      </c>
      <c r="AA1978">
        <f>LTP3!$D$7-X1978*LTP3!$D$6-Y1978*U1978-Z1978*V1978</f>
        <v/>
      </c>
      <c r="AB1978">
        <f>IF(AND(F1978,ABS(W1978)&gt;1E-12,Y1978&gt;0,Z1978&gt;0),AA1978,1E+300)</f>
        <v/>
      </c>
    </row>
    <row r="1979">
      <c r="A1979">
        <f>$B$3+$B$5*32</f>
        <v/>
      </c>
      <c r="B1979">
        <f>$B$3+$B$5*15</f>
        <v/>
      </c>
      <c r="C1979">
        <f>SUMPRODUCT(Calc!$K$3:$K$22*(Calc!$G$3:$G$22&lt;=A1979))</f>
        <v/>
      </c>
      <c r="D1979">
        <f>SUMPRODUCT(Calc!$K$3:$K$22*(Calc!$G$3:$G$22&gt;A1979)*(Calc!$G$3:$G$22&lt;B1979))</f>
        <v/>
      </c>
      <c r="E1979">
        <f>SUMPRODUCT(Calc!$K$3:$K$22*(Calc!$G$3:$G$22&gt;=B1979))</f>
        <v/>
      </c>
      <c r="F1979">
        <f>AND(k_n&gt;=5,B1979&gt;A1979+1E-9,C1979&gt;=2,D1979&gt;=1,E1979&gt;=2)</f>
        <v/>
      </c>
      <c r="G1979">
        <f>SUMPRODUCT(Calc!$K$3:$K$22*(Calc!$G$3:$G$22&gt;A1979)*(Calc!$G$3:$G$22-A1979))</f>
        <v/>
      </c>
      <c r="H1979">
        <f>SUMPRODUCT(Calc!$K$3:$K$22*(Calc!$G$3:$G$22&gt;B1979)*(Calc!$G$3:$G$22-B1979))</f>
        <v/>
      </c>
      <c r="I1979">
        <f>SUMPRODUCT(Calc!$K$3:$K$22*(Calc!$G$3:$G$22&gt;A1979)*(Calc!$G$3:$G$22-A1979)^2)</f>
        <v/>
      </c>
      <c r="J1979">
        <f>SUMPRODUCT(Calc!$K$3:$K$22*(Calc!$G$3:$G$22&gt;B1979)*(Calc!$G$3:$G$22-B1979)^2)</f>
        <v/>
      </c>
      <c r="K1979">
        <f>SUMPRODUCT(Calc!$K$3:$K$22*(Calc!$G$3:$G$22&gt;A1979)*(Calc!$G$3:$G$22-A1979)*(Calc!$G$3:$G$22&gt;B1979)*(Calc!$G$3:$G$22-B1979))</f>
        <v/>
      </c>
      <c r="L1979">
        <f>SUMPRODUCT(Calc!$K$3:$K$22*(Calc!$G$3:$G$22&gt;A1979)*(Calc!$G$3:$G$22-A1979)*Calc!$G$3:$G$22)</f>
        <v/>
      </c>
      <c r="M1979">
        <f>SUMPRODUCT(Calc!$K$3:$K$22*(Calc!$G$3:$G$22&gt;B1979)*(Calc!$G$3:$G$22-B1979)*Calc!$G$3:$G$22)</f>
        <v/>
      </c>
      <c r="N1979">
        <f>SUMPRODUCT(Calc!$K$3:$K$22*(Calc!$G$3:$G$22&gt;A1979)*(Calc!$G$3:$G$22-A1979)*Calc!$I$3:$I$22)</f>
        <v/>
      </c>
      <c r="O1979">
        <f>SUMPRODUCT(Calc!$K$3:$K$22*(Calc!$G$3:$G$22&gt;B1979)*(Calc!$G$3:$G$22-B1979)*Calc!$I$3:$I$22)</f>
        <v/>
      </c>
      <c r="P1979">
        <f>I1979-G1979^2/k_n</f>
        <v/>
      </c>
      <c r="Q1979">
        <f>J1979-H1979^2/k_n</f>
        <v/>
      </c>
      <c r="R1979">
        <f>K1979-G1979*H1979/k_n</f>
        <v/>
      </c>
      <c r="S1979">
        <f>L1979-LTP3!$D$3*G1979/k_n</f>
        <v/>
      </c>
      <c r="T1979">
        <f>M1979-LTP3!$D$3*H1979/k_n</f>
        <v/>
      </c>
      <c r="U1979">
        <f>N1979-G1979*LTP3!$D$4/k_n</f>
        <v/>
      </c>
      <c r="V1979">
        <f>O1979-H1979*LTP3!$D$4/k_n</f>
        <v/>
      </c>
      <c r="W1979">
        <f>((LTP3!$D$5)*((P1979)*(Q1979)-(R1979)*(R1979))-(S1979)*((S1979)*(Q1979)-(R1979)*(T1979))+(T1979)*((S1979)*(R1979)-(P1979)*(T1979)))</f>
        <v/>
      </c>
      <c r="X1979">
        <f>IF(ABS(W1979)&gt;1E-12,((LTP3!$D$6)*((P1979)*(Q1979)-(R1979)*(R1979))-(S1979)*((U1979)*(Q1979)-(R1979)*(V1979))+(T1979)*((U1979)*(R1979)-(P1979)*(V1979)))/W1979,0)</f>
        <v/>
      </c>
      <c r="Y1979">
        <f>IF(ABS(W1979)&gt;1E-12,((LTP3!$D$5)*((U1979)*(Q1979)-(R1979)*(V1979))-(LTP3!$D$6)*((S1979)*(Q1979)-(R1979)*(T1979))+(T1979)*((S1979)*(V1979)-(U1979)*(T1979)))/W1979,0)</f>
        <v/>
      </c>
      <c r="Z1979">
        <f>IF(ABS(W1979)&gt;1E-12,((LTP3!$D$5)*((P1979)*(V1979)-(U1979)*(R1979))-(S1979)*((S1979)*(V1979)-(U1979)*(T1979))+(LTP3!$D$6)*((S1979)*(R1979)-(P1979)*(T1979)))/W1979,0)</f>
        <v/>
      </c>
      <c r="AA1979">
        <f>LTP3!$D$7-X1979*LTP3!$D$6-Y1979*U1979-Z1979*V1979</f>
        <v/>
      </c>
      <c r="AB1979">
        <f>IF(AND(F1979,ABS(W1979)&gt;1E-12,Y1979&gt;0,Z1979&gt;0),AA1979,1E+300)</f>
        <v/>
      </c>
    </row>
    <row r="1980">
      <c r="A1980">
        <f>$B$3+$B$5*32</f>
        <v/>
      </c>
      <c r="B1980">
        <f>$B$3+$B$5*16</f>
        <v/>
      </c>
      <c r="C1980">
        <f>SUMPRODUCT(Calc!$K$3:$K$22*(Calc!$G$3:$G$22&lt;=A1980))</f>
        <v/>
      </c>
      <c r="D1980">
        <f>SUMPRODUCT(Calc!$K$3:$K$22*(Calc!$G$3:$G$22&gt;A1980)*(Calc!$G$3:$G$22&lt;B1980))</f>
        <v/>
      </c>
      <c r="E1980">
        <f>SUMPRODUCT(Calc!$K$3:$K$22*(Calc!$G$3:$G$22&gt;=B1980))</f>
        <v/>
      </c>
      <c r="F1980">
        <f>AND(k_n&gt;=5,B1980&gt;A1980+1E-9,C1980&gt;=2,D1980&gt;=1,E1980&gt;=2)</f>
        <v/>
      </c>
      <c r="G1980">
        <f>SUMPRODUCT(Calc!$K$3:$K$22*(Calc!$G$3:$G$22&gt;A1980)*(Calc!$G$3:$G$22-A1980))</f>
        <v/>
      </c>
      <c r="H1980">
        <f>SUMPRODUCT(Calc!$K$3:$K$22*(Calc!$G$3:$G$22&gt;B1980)*(Calc!$G$3:$G$22-B1980))</f>
        <v/>
      </c>
      <c r="I1980">
        <f>SUMPRODUCT(Calc!$K$3:$K$22*(Calc!$G$3:$G$22&gt;A1980)*(Calc!$G$3:$G$22-A1980)^2)</f>
        <v/>
      </c>
      <c r="J1980">
        <f>SUMPRODUCT(Calc!$K$3:$K$22*(Calc!$G$3:$G$22&gt;B1980)*(Calc!$G$3:$G$22-B1980)^2)</f>
        <v/>
      </c>
      <c r="K1980">
        <f>SUMPRODUCT(Calc!$K$3:$K$22*(Calc!$G$3:$G$22&gt;A1980)*(Calc!$G$3:$G$22-A1980)*(Calc!$G$3:$G$22&gt;B1980)*(Calc!$G$3:$G$22-B1980))</f>
        <v/>
      </c>
      <c r="L1980">
        <f>SUMPRODUCT(Calc!$K$3:$K$22*(Calc!$G$3:$G$22&gt;A1980)*(Calc!$G$3:$G$22-A1980)*Calc!$G$3:$G$22)</f>
        <v/>
      </c>
      <c r="M1980">
        <f>SUMPRODUCT(Calc!$K$3:$K$22*(Calc!$G$3:$G$22&gt;B1980)*(Calc!$G$3:$G$22-B1980)*Calc!$G$3:$G$22)</f>
        <v/>
      </c>
      <c r="N1980">
        <f>SUMPRODUCT(Calc!$K$3:$K$22*(Calc!$G$3:$G$22&gt;A1980)*(Calc!$G$3:$G$22-A1980)*Calc!$I$3:$I$22)</f>
        <v/>
      </c>
      <c r="O1980">
        <f>SUMPRODUCT(Calc!$K$3:$K$22*(Calc!$G$3:$G$22&gt;B1980)*(Calc!$G$3:$G$22-B1980)*Calc!$I$3:$I$22)</f>
        <v/>
      </c>
      <c r="P1980">
        <f>I1980-G1980^2/k_n</f>
        <v/>
      </c>
      <c r="Q1980">
        <f>J1980-H1980^2/k_n</f>
        <v/>
      </c>
      <c r="R1980">
        <f>K1980-G1980*H1980/k_n</f>
        <v/>
      </c>
      <c r="S1980">
        <f>L1980-LTP3!$D$3*G1980/k_n</f>
        <v/>
      </c>
      <c r="T1980">
        <f>M1980-LTP3!$D$3*H1980/k_n</f>
        <v/>
      </c>
      <c r="U1980">
        <f>N1980-G1980*LTP3!$D$4/k_n</f>
        <v/>
      </c>
      <c r="V1980">
        <f>O1980-H1980*LTP3!$D$4/k_n</f>
        <v/>
      </c>
      <c r="W1980">
        <f>((LTP3!$D$5)*((P1980)*(Q1980)-(R1980)*(R1980))-(S1980)*((S1980)*(Q1980)-(R1980)*(T1980))+(T1980)*((S1980)*(R1980)-(P1980)*(T1980)))</f>
        <v/>
      </c>
      <c r="X1980">
        <f>IF(ABS(W1980)&gt;1E-12,((LTP3!$D$6)*((P1980)*(Q1980)-(R1980)*(R1980))-(S1980)*((U1980)*(Q1980)-(R1980)*(V1980))+(T1980)*((U1980)*(R1980)-(P1980)*(V1980)))/W1980,0)</f>
        <v/>
      </c>
      <c r="Y1980">
        <f>IF(ABS(W1980)&gt;1E-12,((LTP3!$D$5)*((U1980)*(Q1980)-(R1980)*(V1980))-(LTP3!$D$6)*((S1980)*(Q1980)-(R1980)*(T1980))+(T1980)*((S1980)*(V1980)-(U1980)*(T1980)))/W1980,0)</f>
        <v/>
      </c>
      <c r="Z1980">
        <f>IF(ABS(W1980)&gt;1E-12,((LTP3!$D$5)*((P1980)*(V1980)-(U1980)*(R1980))-(S1980)*((S1980)*(V1980)-(U1980)*(T1980))+(LTP3!$D$6)*((S1980)*(R1980)-(P1980)*(T1980)))/W1980,0)</f>
        <v/>
      </c>
      <c r="AA1980">
        <f>LTP3!$D$7-X1980*LTP3!$D$6-Y1980*U1980-Z1980*V1980</f>
        <v/>
      </c>
      <c r="AB1980">
        <f>IF(AND(F1980,ABS(W1980)&gt;1E-12,Y1980&gt;0,Z1980&gt;0),AA1980,1E+300)</f>
        <v/>
      </c>
    </row>
    <row r="1981">
      <c r="A1981">
        <f>$B$3+$B$5*32</f>
        <v/>
      </c>
      <c r="B1981">
        <f>$B$3+$B$5*17</f>
        <v/>
      </c>
      <c r="C1981">
        <f>SUMPRODUCT(Calc!$K$3:$K$22*(Calc!$G$3:$G$22&lt;=A1981))</f>
        <v/>
      </c>
      <c r="D1981">
        <f>SUMPRODUCT(Calc!$K$3:$K$22*(Calc!$G$3:$G$22&gt;A1981)*(Calc!$G$3:$G$22&lt;B1981))</f>
        <v/>
      </c>
      <c r="E1981">
        <f>SUMPRODUCT(Calc!$K$3:$K$22*(Calc!$G$3:$G$22&gt;=B1981))</f>
        <v/>
      </c>
      <c r="F1981">
        <f>AND(k_n&gt;=5,B1981&gt;A1981+1E-9,C1981&gt;=2,D1981&gt;=1,E1981&gt;=2)</f>
        <v/>
      </c>
      <c r="G1981">
        <f>SUMPRODUCT(Calc!$K$3:$K$22*(Calc!$G$3:$G$22&gt;A1981)*(Calc!$G$3:$G$22-A1981))</f>
        <v/>
      </c>
      <c r="H1981">
        <f>SUMPRODUCT(Calc!$K$3:$K$22*(Calc!$G$3:$G$22&gt;B1981)*(Calc!$G$3:$G$22-B1981))</f>
        <v/>
      </c>
      <c r="I1981">
        <f>SUMPRODUCT(Calc!$K$3:$K$22*(Calc!$G$3:$G$22&gt;A1981)*(Calc!$G$3:$G$22-A1981)^2)</f>
        <v/>
      </c>
      <c r="J1981">
        <f>SUMPRODUCT(Calc!$K$3:$K$22*(Calc!$G$3:$G$22&gt;B1981)*(Calc!$G$3:$G$22-B1981)^2)</f>
        <v/>
      </c>
      <c r="K1981">
        <f>SUMPRODUCT(Calc!$K$3:$K$22*(Calc!$G$3:$G$22&gt;A1981)*(Calc!$G$3:$G$22-A1981)*(Calc!$G$3:$G$22&gt;B1981)*(Calc!$G$3:$G$22-B1981))</f>
        <v/>
      </c>
      <c r="L1981">
        <f>SUMPRODUCT(Calc!$K$3:$K$22*(Calc!$G$3:$G$22&gt;A1981)*(Calc!$G$3:$G$22-A1981)*Calc!$G$3:$G$22)</f>
        <v/>
      </c>
      <c r="M1981">
        <f>SUMPRODUCT(Calc!$K$3:$K$22*(Calc!$G$3:$G$22&gt;B1981)*(Calc!$G$3:$G$22-B1981)*Calc!$G$3:$G$22)</f>
        <v/>
      </c>
      <c r="N1981">
        <f>SUMPRODUCT(Calc!$K$3:$K$22*(Calc!$G$3:$G$22&gt;A1981)*(Calc!$G$3:$G$22-A1981)*Calc!$I$3:$I$22)</f>
        <v/>
      </c>
      <c r="O1981">
        <f>SUMPRODUCT(Calc!$K$3:$K$22*(Calc!$G$3:$G$22&gt;B1981)*(Calc!$G$3:$G$22-B1981)*Calc!$I$3:$I$22)</f>
        <v/>
      </c>
      <c r="P1981">
        <f>I1981-G1981^2/k_n</f>
        <v/>
      </c>
      <c r="Q1981">
        <f>J1981-H1981^2/k_n</f>
        <v/>
      </c>
      <c r="R1981">
        <f>K1981-G1981*H1981/k_n</f>
        <v/>
      </c>
      <c r="S1981">
        <f>L1981-LTP3!$D$3*G1981/k_n</f>
        <v/>
      </c>
      <c r="T1981">
        <f>M1981-LTP3!$D$3*H1981/k_n</f>
        <v/>
      </c>
      <c r="U1981">
        <f>N1981-G1981*LTP3!$D$4/k_n</f>
        <v/>
      </c>
      <c r="V1981">
        <f>O1981-H1981*LTP3!$D$4/k_n</f>
        <v/>
      </c>
      <c r="W1981">
        <f>((LTP3!$D$5)*((P1981)*(Q1981)-(R1981)*(R1981))-(S1981)*((S1981)*(Q1981)-(R1981)*(T1981))+(T1981)*((S1981)*(R1981)-(P1981)*(T1981)))</f>
        <v/>
      </c>
      <c r="X1981">
        <f>IF(ABS(W1981)&gt;1E-12,((LTP3!$D$6)*((P1981)*(Q1981)-(R1981)*(R1981))-(S1981)*((U1981)*(Q1981)-(R1981)*(V1981))+(T1981)*((U1981)*(R1981)-(P1981)*(V1981)))/W1981,0)</f>
        <v/>
      </c>
      <c r="Y1981">
        <f>IF(ABS(W1981)&gt;1E-12,((LTP3!$D$5)*((U1981)*(Q1981)-(R1981)*(V1981))-(LTP3!$D$6)*((S1981)*(Q1981)-(R1981)*(T1981))+(T1981)*((S1981)*(V1981)-(U1981)*(T1981)))/W1981,0)</f>
        <v/>
      </c>
      <c r="Z1981">
        <f>IF(ABS(W1981)&gt;1E-12,((LTP3!$D$5)*((P1981)*(V1981)-(U1981)*(R1981))-(S1981)*((S1981)*(V1981)-(U1981)*(T1981))+(LTP3!$D$6)*((S1981)*(R1981)-(P1981)*(T1981)))/W1981,0)</f>
        <v/>
      </c>
      <c r="AA1981">
        <f>LTP3!$D$7-X1981*LTP3!$D$6-Y1981*U1981-Z1981*V1981</f>
        <v/>
      </c>
      <c r="AB1981">
        <f>IF(AND(F1981,ABS(W1981)&gt;1E-12,Y1981&gt;0,Z1981&gt;0),AA1981,1E+300)</f>
        <v/>
      </c>
    </row>
    <row r="1982">
      <c r="A1982">
        <f>$B$3+$B$5*32</f>
        <v/>
      </c>
      <c r="B1982">
        <f>$B$3+$B$5*18</f>
        <v/>
      </c>
      <c r="C1982">
        <f>SUMPRODUCT(Calc!$K$3:$K$22*(Calc!$G$3:$G$22&lt;=A1982))</f>
        <v/>
      </c>
      <c r="D1982">
        <f>SUMPRODUCT(Calc!$K$3:$K$22*(Calc!$G$3:$G$22&gt;A1982)*(Calc!$G$3:$G$22&lt;B1982))</f>
        <v/>
      </c>
      <c r="E1982">
        <f>SUMPRODUCT(Calc!$K$3:$K$22*(Calc!$G$3:$G$22&gt;=B1982))</f>
        <v/>
      </c>
      <c r="F1982">
        <f>AND(k_n&gt;=5,B1982&gt;A1982+1E-9,C1982&gt;=2,D1982&gt;=1,E1982&gt;=2)</f>
        <v/>
      </c>
      <c r="G1982">
        <f>SUMPRODUCT(Calc!$K$3:$K$22*(Calc!$G$3:$G$22&gt;A1982)*(Calc!$G$3:$G$22-A1982))</f>
        <v/>
      </c>
      <c r="H1982">
        <f>SUMPRODUCT(Calc!$K$3:$K$22*(Calc!$G$3:$G$22&gt;B1982)*(Calc!$G$3:$G$22-B1982))</f>
        <v/>
      </c>
      <c r="I1982">
        <f>SUMPRODUCT(Calc!$K$3:$K$22*(Calc!$G$3:$G$22&gt;A1982)*(Calc!$G$3:$G$22-A1982)^2)</f>
        <v/>
      </c>
      <c r="J1982">
        <f>SUMPRODUCT(Calc!$K$3:$K$22*(Calc!$G$3:$G$22&gt;B1982)*(Calc!$G$3:$G$22-B1982)^2)</f>
        <v/>
      </c>
      <c r="K1982">
        <f>SUMPRODUCT(Calc!$K$3:$K$22*(Calc!$G$3:$G$22&gt;A1982)*(Calc!$G$3:$G$22-A1982)*(Calc!$G$3:$G$22&gt;B1982)*(Calc!$G$3:$G$22-B1982))</f>
        <v/>
      </c>
      <c r="L1982">
        <f>SUMPRODUCT(Calc!$K$3:$K$22*(Calc!$G$3:$G$22&gt;A1982)*(Calc!$G$3:$G$22-A1982)*Calc!$G$3:$G$22)</f>
        <v/>
      </c>
      <c r="M1982">
        <f>SUMPRODUCT(Calc!$K$3:$K$22*(Calc!$G$3:$G$22&gt;B1982)*(Calc!$G$3:$G$22-B1982)*Calc!$G$3:$G$22)</f>
        <v/>
      </c>
      <c r="N1982">
        <f>SUMPRODUCT(Calc!$K$3:$K$22*(Calc!$G$3:$G$22&gt;A1982)*(Calc!$G$3:$G$22-A1982)*Calc!$I$3:$I$22)</f>
        <v/>
      </c>
      <c r="O1982">
        <f>SUMPRODUCT(Calc!$K$3:$K$22*(Calc!$G$3:$G$22&gt;B1982)*(Calc!$G$3:$G$22-B1982)*Calc!$I$3:$I$22)</f>
        <v/>
      </c>
      <c r="P1982">
        <f>I1982-G1982^2/k_n</f>
        <v/>
      </c>
      <c r="Q1982">
        <f>J1982-H1982^2/k_n</f>
        <v/>
      </c>
      <c r="R1982">
        <f>K1982-G1982*H1982/k_n</f>
        <v/>
      </c>
      <c r="S1982">
        <f>L1982-LTP3!$D$3*G1982/k_n</f>
        <v/>
      </c>
      <c r="T1982">
        <f>M1982-LTP3!$D$3*H1982/k_n</f>
        <v/>
      </c>
      <c r="U1982">
        <f>N1982-G1982*LTP3!$D$4/k_n</f>
        <v/>
      </c>
      <c r="V1982">
        <f>O1982-H1982*LTP3!$D$4/k_n</f>
        <v/>
      </c>
      <c r="W1982">
        <f>((LTP3!$D$5)*((P1982)*(Q1982)-(R1982)*(R1982))-(S1982)*((S1982)*(Q1982)-(R1982)*(T1982))+(T1982)*((S1982)*(R1982)-(P1982)*(T1982)))</f>
        <v/>
      </c>
      <c r="X1982">
        <f>IF(ABS(W1982)&gt;1E-12,((LTP3!$D$6)*((P1982)*(Q1982)-(R1982)*(R1982))-(S1982)*((U1982)*(Q1982)-(R1982)*(V1982))+(T1982)*((U1982)*(R1982)-(P1982)*(V1982)))/W1982,0)</f>
        <v/>
      </c>
      <c r="Y1982">
        <f>IF(ABS(W1982)&gt;1E-12,((LTP3!$D$5)*((U1982)*(Q1982)-(R1982)*(V1982))-(LTP3!$D$6)*((S1982)*(Q1982)-(R1982)*(T1982))+(T1982)*((S1982)*(V1982)-(U1982)*(T1982)))/W1982,0)</f>
        <v/>
      </c>
      <c r="Z1982">
        <f>IF(ABS(W1982)&gt;1E-12,((LTP3!$D$5)*((P1982)*(V1982)-(U1982)*(R1982))-(S1982)*((S1982)*(V1982)-(U1982)*(T1982))+(LTP3!$D$6)*((S1982)*(R1982)-(P1982)*(T1982)))/W1982,0)</f>
        <v/>
      </c>
      <c r="AA1982">
        <f>LTP3!$D$7-X1982*LTP3!$D$6-Y1982*U1982-Z1982*V1982</f>
        <v/>
      </c>
      <c r="AB1982">
        <f>IF(AND(F1982,ABS(W1982)&gt;1E-12,Y1982&gt;0,Z1982&gt;0),AA1982,1E+300)</f>
        <v/>
      </c>
    </row>
    <row r="1983">
      <c r="A1983">
        <f>$B$3+$B$5*32</f>
        <v/>
      </c>
      <c r="B1983">
        <f>$B$3+$B$5*19</f>
        <v/>
      </c>
      <c r="C1983">
        <f>SUMPRODUCT(Calc!$K$3:$K$22*(Calc!$G$3:$G$22&lt;=A1983))</f>
        <v/>
      </c>
      <c r="D1983">
        <f>SUMPRODUCT(Calc!$K$3:$K$22*(Calc!$G$3:$G$22&gt;A1983)*(Calc!$G$3:$G$22&lt;B1983))</f>
        <v/>
      </c>
      <c r="E1983">
        <f>SUMPRODUCT(Calc!$K$3:$K$22*(Calc!$G$3:$G$22&gt;=B1983))</f>
        <v/>
      </c>
      <c r="F1983">
        <f>AND(k_n&gt;=5,B1983&gt;A1983+1E-9,C1983&gt;=2,D1983&gt;=1,E1983&gt;=2)</f>
        <v/>
      </c>
      <c r="G1983">
        <f>SUMPRODUCT(Calc!$K$3:$K$22*(Calc!$G$3:$G$22&gt;A1983)*(Calc!$G$3:$G$22-A1983))</f>
        <v/>
      </c>
      <c r="H1983">
        <f>SUMPRODUCT(Calc!$K$3:$K$22*(Calc!$G$3:$G$22&gt;B1983)*(Calc!$G$3:$G$22-B1983))</f>
        <v/>
      </c>
      <c r="I1983">
        <f>SUMPRODUCT(Calc!$K$3:$K$22*(Calc!$G$3:$G$22&gt;A1983)*(Calc!$G$3:$G$22-A1983)^2)</f>
        <v/>
      </c>
      <c r="J1983">
        <f>SUMPRODUCT(Calc!$K$3:$K$22*(Calc!$G$3:$G$22&gt;B1983)*(Calc!$G$3:$G$22-B1983)^2)</f>
        <v/>
      </c>
      <c r="K1983">
        <f>SUMPRODUCT(Calc!$K$3:$K$22*(Calc!$G$3:$G$22&gt;A1983)*(Calc!$G$3:$G$22-A1983)*(Calc!$G$3:$G$22&gt;B1983)*(Calc!$G$3:$G$22-B1983))</f>
        <v/>
      </c>
      <c r="L1983">
        <f>SUMPRODUCT(Calc!$K$3:$K$22*(Calc!$G$3:$G$22&gt;A1983)*(Calc!$G$3:$G$22-A1983)*Calc!$G$3:$G$22)</f>
        <v/>
      </c>
      <c r="M1983">
        <f>SUMPRODUCT(Calc!$K$3:$K$22*(Calc!$G$3:$G$22&gt;B1983)*(Calc!$G$3:$G$22-B1983)*Calc!$G$3:$G$22)</f>
        <v/>
      </c>
      <c r="N1983">
        <f>SUMPRODUCT(Calc!$K$3:$K$22*(Calc!$G$3:$G$22&gt;A1983)*(Calc!$G$3:$G$22-A1983)*Calc!$I$3:$I$22)</f>
        <v/>
      </c>
      <c r="O1983">
        <f>SUMPRODUCT(Calc!$K$3:$K$22*(Calc!$G$3:$G$22&gt;B1983)*(Calc!$G$3:$G$22-B1983)*Calc!$I$3:$I$22)</f>
        <v/>
      </c>
      <c r="P1983">
        <f>I1983-G1983^2/k_n</f>
        <v/>
      </c>
      <c r="Q1983">
        <f>J1983-H1983^2/k_n</f>
        <v/>
      </c>
      <c r="R1983">
        <f>K1983-G1983*H1983/k_n</f>
        <v/>
      </c>
      <c r="S1983">
        <f>L1983-LTP3!$D$3*G1983/k_n</f>
        <v/>
      </c>
      <c r="T1983">
        <f>M1983-LTP3!$D$3*H1983/k_n</f>
        <v/>
      </c>
      <c r="U1983">
        <f>N1983-G1983*LTP3!$D$4/k_n</f>
        <v/>
      </c>
      <c r="V1983">
        <f>O1983-H1983*LTP3!$D$4/k_n</f>
        <v/>
      </c>
      <c r="W1983">
        <f>((LTP3!$D$5)*((P1983)*(Q1983)-(R1983)*(R1983))-(S1983)*((S1983)*(Q1983)-(R1983)*(T1983))+(T1983)*((S1983)*(R1983)-(P1983)*(T1983)))</f>
        <v/>
      </c>
      <c r="X1983">
        <f>IF(ABS(W1983)&gt;1E-12,((LTP3!$D$6)*((P1983)*(Q1983)-(R1983)*(R1983))-(S1983)*((U1983)*(Q1983)-(R1983)*(V1983))+(T1983)*((U1983)*(R1983)-(P1983)*(V1983)))/W1983,0)</f>
        <v/>
      </c>
      <c r="Y1983">
        <f>IF(ABS(W1983)&gt;1E-12,((LTP3!$D$5)*((U1983)*(Q1983)-(R1983)*(V1983))-(LTP3!$D$6)*((S1983)*(Q1983)-(R1983)*(T1983))+(T1983)*((S1983)*(V1983)-(U1983)*(T1983)))/W1983,0)</f>
        <v/>
      </c>
      <c r="Z1983">
        <f>IF(ABS(W1983)&gt;1E-12,((LTP3!$D$5)*((P1983)*(V1983)-(U1983)*(R1983))-(S1983)*((S1983)*(V1983)-(U1983)*(T1983))+(LTP3!$D$6)*((S1983)*(R1983)-(P1983)*(T1983)))/W1983,0)</f>
        <v/>
      </c>
      <c r="AA1983">
        <f>LTP3!$D$7-X1983*LTP3!$D$6-Y1983*U1983-Z1983*V1983</f>
        <v/>
      </c>
      <c r="AB1983">
        <f>IF(AND(F1983,ABS(W1983)&gt;1E-12,Y1983&gt;0,Z1983&gt;0),AA1983,1E+300)</f>
        <v/>
      </c>
    </row>
    <row r="1984">
      <c r="A1984">
        <f>$B$3+$B$5*32</f>
        <v/>
      </c>
      <c r="B1984">
        <f>$B$3+$B$5*20</f>
        <v/>
      </c>
      <c r="C1984">
        <f>SUMPRODUCT(Calc!$K$3:$K$22*(Calc!$G$3:$G$22&lt;=A1984))</f>
        <v/>
      </c>
      <c r="D1984">
        <f>SUMPRODUCT(Calc!$K$3:$K$22*(Calc!$G$3:$G$22&gt;A1984)*(Calc!$G$3:$G$22&lt;B1984))</f>
        <v/>
      </c>
      <c r="E1984">
        <f>SUMPRODUCT(Calc!$K$3:$K$22*(Calc!$G$3:$G$22&gt;=B1984))</f>
        <v/>
      </c>
      <c r="F1984">
        <f>AND(k_n&gt;=5,B1984&gt;A1984+1E-9,C1984&gt;=2,D1984&gt;=1,E1984&gt;=2)</f>
        <v/>
      </c>
      <c r="G1984">
        <f>SUMPRODUCT(Calc!$K$3:$K$22*(Calc!$G$3:$G$22&gt;A1984)*(Calc!$G$3:$G$22-A1984))</f>
        <v/>
      </c>
      <c r="H1984">
        <f>SUMPRODUCT(Calc!$K$3:$K$22*(Calc!$G$3:$G$22&gt;B1984)*(Calc!$G$3:$G$22-B1984))</f>
        <v/>
      </c>
      <c r="I1984">
        <f>SUMPRODUCT(Calc!$K$3:$K$22*(Calc!$G$3:$G$22&gt;A1984)*(Calc!$G$3:$G$22-A1984)^2)</f>
        <v/>
      </c>
      <c r="J1984">
        <f>SUMPRODUCT(Calc!$K$3:$K$22*(Calc!$G$3:$G$22&gt;B1984)*(Calc!$G$3:$G$22-B1984)^2)</f>
        <v/>
      </c>
      <c r="K1984">
        <f>SUMPRODUCT(Calc!$K$3:$K$22*(Calc!$G$3:$G$22&gt;A1984)*(Calc!$G$3:$G$22-A1984)*(Calc!$G$3:$G$22&gt;B1984)*(Calc!$G$3:$G$22-B1984))</f>
        <v/>
      </c>
      <c r="L1984">
        <f>SUMPRODUCT(Calc!$K$3:$K$22*(Calc!$G$3:$G$22&gt;A1984)*(Calc!$G$3:$G$22-A1984)*Calc!$G$3:$G$22)</f>
        <v/>
      </c>
      <c r="M1984">
        <f>SUMPRODUCT(Calc!$K$3:$K$22*(Calc!$G$3:$G$22&gt;B1984)*(Calc!$G$3:$G$22-B1984)*Calc!$G$3:$G$22)</f>
        <v/>
      </c>
      <c r="N1984">
        <f>SUMPRODUCT(Calc!$K$3:$K$22*(Calc!$G$3:$G$22&gt;A1984)*(Calc!$G$3:$G$22-A1984)*Calc!$I$3:$I$22)</f>
        <v/>
      </c>
      <c r="O1984">
        <f>SUMPRODUCT(Calc!$K$3:$K$22*(Calc!$G$3:$G$22&gt;B1984)*(Calc!$G$3:$G$22-B1984)*Calc!$I$3:$I$22)</f>
        <v/>
      </c>
      <c r="P1984">
        <f>I1984-G1984^2/k_n</f>
        <v/>
      </c>
      <c r="Q1984">
        <f>J1984-H1984^2/k_n</f>
        <v/>
      </c>
      <c r="R1984">
        <f>K1984-G1984*H1984/k_n</f>
        <v/>
      </c>
      <c r="S1984">
        <f>L1984-LTP3!$D$3*G1984/k_n</f>
        <v/>
      </c>
      <c r="T1984">
        <f>M1984-LTP3!$D$3*H1984/k_n</f>
        <v/>
      </c>
      <c r="U1984">
        <f>N1984-G1984*LTP3!$D$4/k_n</f>
        <v/>
      </c>
      <c r="V1984">
        <f>O1984-H1984*LTP3!$D$4/k_n</f>
        <v/>
      </c>
      <c r="W1984">
        <f>((LTP3!$D$5)*((P1984)*(Q1984)-(R1984)*(R1984))-(S1984)*((S1984)*(Q1984)-(R1984)*(T1984))+(T1984)*((S1984)*(R1984)-(P1984)*(T1984)))</f>
        <v/>
      </c>
      <c r="X1984">
        <f>IF(ABS(W1984)&gt;1E-12,((LTP3!$D$6)*((P1984)*(Q1984)-(R1984)*(R1984))-(S1984)*((U1984)*(Q1984)-(R1984)*(V1984))+(T1984)*((U1984)*(R1984)-(P1984)*(V1984)))/W1984,0)</f>
        <v/>
      </c>
      <c r="Y1984">
        <f>IF(ABS(W1984)&gt;1E-12,((LTP3!$D$5)*((U1984)*(Q1984)-(R1984)*(V1984))-(LTP3!$D$6)*((S1984)*(Q1984)-(R1984)*(T1984))+(T1984)*((S1984)*(V1984)-(U1984)*(T1984)))/W1984,0)</f>
        <v/>
      </c>
      <c r="Z1984">
        <f>IF(ABS(W1984)&gt;1E-12,((LTP3!$D$5)*((P1984)*(V1984)-(U1984)*(R1984))-(S1984)*((S1984)*(V1984)-(U1984)*(T1984))+(LTP3!$D$6)*((S1984)*(R1984)-(P1984)*(T1984)))/W1984,0)</f>
        <v/>
      </c>
      <c r="AA1984">
        <f>LTP3!$D$7-X1984*LTP3!$D$6-Y1984*U1984-Z1984*V1984</f>
        <v/>
      </c>
      <c r="AB1984">
        <f>IF(AND(F1984,ABS(W1984)&gt;1E-12,Y1984&gt;0,Z1984&gt;0),AA1984,1E+300)</f>
        <v/>
      </c>
    </row>
    <row r="1985">
      <c r="A1985">
        <f>$B$3+$B$5*32</f>
        <v/>
      </c>
      <c r="B1985">
        <f>$B$3+$B$5*21</f>
        <v/>
      </c>
      <c r="C1985">
        <f>SUMPRODUCT(Calc!$K$3:$K$22*(Calc!$G$3:$G$22&lt;=A1985))</f>
        <v/>
      </c>
      <c r="D1985">
        <f>SUMPRODUCT(Calc!$K$3:$K$22*(Calc!$G$3:$G$22&gt;A1985)*(Calc!$G$3:$G$22&lt;B1985))</f>
        <v/>
      </c>
      <c r="E1985">
        <f>SUMPRODUCT(Calc!$K$3:$K$22*(Calc!$G$3:$G$22&gt;=B1985))</f>
        <v/>
      </c>
      <c r="F1985">
        <f>AND(k_n&gt;=5,B1985&gt;A1985+1E-9,C1985&gt;=2,D1985&gt;=1,E1985&gt;=2)</f>
        <v/>
      </c>
      <c r="G1985">
        <f>SUMPRODUCT(Calc!$K$3:$K$22*(Calc!$G$3:$G$22&gt;A1985)*(Calc!$G$3:$G$22-A1985))</f>
        <v/>
      </c>
      <c r="H1985">
        <f>SUMPRODUCT(Calc!$K$3:$K$22*(Calc!$G$3:$G$22&gt;B1985)*(Calc!$G$3:$G$22-B1985))</f>
        <v/>
      </c>
      <c r="I1985">
        <f>SUMPRODUCT(Calc!$K$3:$K$22*(Calc!$G$3:$G$22&gt;A1985)*(Calc!$G$3:$G$22-A1985)^2)</f>
        <v/>
      </c>
      <c r="J1985">
        <f>SUMPRODUCT(Calc!$K$3:$K$22*(Calc!$G$3:$G$22&gt;B1985)*(Calc!$G$3:$G$22-B1985)^2)</f>
        <v/>
      </c>
      <c r="K1985">
        <f>SUMPRODUCT(Calc!$K$3:$K$22*(Calc!$G$3:$G$22&gt;A1985)*(Calc!$G$3:$G$22-A1985)*(Calc!$G$3:$G$22&gt;B1985)*(Calc!$G$3:$G$22-B1985))</f>
        <v/>
      </c>
      <c r="L1985">
        <f>SUMPRODUCT(Calc!$K$3:$K$22*(Calc!$G$3:$G$22&gt;A1985)*(Calc!$G$3:$G$22-A1985)*Calc!$G$3:$G$22)</f>
        <v/>
      </c>
      <c r="M1985">
        <f>SUMPRODUCT(Calc!$K$3:$K$22*(Calc!$G$3:$G$22&gt;B1985)*(Calc!$G$3:$G$22-B1985)*Calc!$G$3:$G$22)</f>
        <v/>
      </c>
      <c r="N1985">
        <f>SUMPRODUCT(Calc!$K$3:$K$22*(Calc!$G$3:$G$22&gt;A1985)*(Calc!$G$3:$G$22-A1985)*Calc!$I$3:$I$22)</f>
        <v/>
      </c>
      <c r="O1985">
        <f>SUMPRODUCT(Calc!$K$3:$K$22*(Calc!$G$3:$G$22&gt;B1985)*(Calc!$G$3:$G$22-B1985)*Calc!$I$3:$I$22)</f>
        <v/>
      </c>
      <c r="P1985">
        <f>I1985-G1985^2/k_n</f>
        <v/>
      </c>
      <c r="Q1985">
        <f>J1985-H1985^2/k_n</f>
        <v/>
      </c>
      <c r="R1985">
        <f>K1985-G1985*H1985/k_n</f>
        <v/>
      </c>
      <c r="S1985">
        <f>L1985-LTP3!$D$3*G1985/k_n</f>
        <v/>
      </c>
      <c r="T1985">
        <f>M1985-LTP3!$D$3*H1985/k_n</f>
        <v/>
      </c>
      <c r="U1985">
        <f>N1985-G1985*LTP3!$D$4/k_n</f>
        <v/>
      </c>
      <c r="V1985">
        <f>O1985-H1985*LTP3!$D$4/k_n</f>
        <v/>
      </c>
      <c r="W1985">
        <f>((LTP3!$D$5)*((P1985)*(Q1985)-(R1985)*(R1985))-(S1985)*((S1985)*(Q1985)-(R1985)*(T1985))+(T1985)*((S1985)*(R1985)-(P1985)*(T1985)))</f>
        <v/>
      </c>
      <c r="X1985">
        <f>IF(ABS(W1985)&gt;1E-12,((LTP3!$D$6)*((P1985)*(Q1985)-(R1985)*(R1985))-(S1985)*((U1985)*(Q1985)-(R1985)*(V1985))+(T1985)*((U1985)*(R1985)-(P1985)*(V1985)))/W1985,0)</f>
        <v/>
      </c>
      <c r="Y1985">
        <f>IF(ABS(W1985)&gt;1E-12,((LTP3!$D$5)*((U1985)*(Q1985)-(R1985)*(V1985))-(LTP3!$D$6)*((S1985)*(Q1985)-(R1985)*(T1985))+(T1985)*((S1985)*(V1985)-(U1985)*(T1985)))/W1985,0)</f>
        <v/>
      </c>
      <c r="Z1985">
        <f>IF(ABS(W1985)&gt;1E-12,((LTP3!$D$5)*((P1985)*(V1985)-(U1985)*(R1985))-(S1985)*((S1985)*(V1985)-(U1985)*(T1985))+(LTP3!$D$6)*((S1985)*(R1985)-(P1985)*(T1985)))/W1985,0)</f>
        <v/>
      </c>
      <c r="AA1985">
        <f>LTP3!$D$7-X1985*LTP3!$D$6-Y1985*U1985-Z1985*V1985</f>
        <v/>
      </c>
      <c r="AB1985">
        <f>IF(AND(F1985,ABS(W1985)&gt;1E-12,Y1985&gt;0,Z1985&gt;0),AA1985,1E+300)</f>
        <v/>
      </c>
    </row>
    <row r="1986">
      <c r="A1986">
        <f>$B$3+$B$5*32</f>
        <v/>
      </c>
      <c r="B1986">
        <f>$B$3+$B$5*22</f>
        <v/>
      </c>
      <c r="C1986">
        <f>SUMPRODUCT(Calc!$K$3:$K$22*(Calc!$G$3:$G$22&lt;=A1986))</f>
        <v/>
      </c>
      <c r="D1986">
        <f>SUMPRODUCT(Calc!$K$3:$K$22*(Calc!$G$3:$G$22&gt;A1986)*(Calc!$G$3:$G$22&lt;B1986))</f>
        <v/>
      </c>
      <c r="E1986">
        <f>SUMPRODUCT(Calc!$K$3:$K$22*(Calc!$G$3:$G$22&gt;=B1986))</f>
        <v/>
      </c>
      <c r="F1986">
        <f>AND(k_n&gt;=5,B1986&gt;A1986+1E-9,C1986&gt;=2,D1986&gt;=1,E1986&gt;=2)</f>
        <v/>
      </c>
      <c r="G1986">
        <f>SUMPRODUCT(Calc!$K$3:$K$22*(Calc!$G$3:$G$22&gt;A1986)*(Calc!$G$3:$G$22-A1986))</f>
        <v/>
      </c>
      <c r="H1986">
        <f>SUMPRODUCT(Calc!$K$3:$K$22*(Calc!$G$3:$G$22&gt;B1986)*(Calc!$G$3:$G$22-B1986))</f>
        <v/>
      </c>
      <c r="I1986">
        <f>SUMPRODUCT(Calc!$K$3:$K$22*(Calc!$G$3:$G$22&gt;A1986)*(Calc!$G$3:$G$22-A1986)^2)</f>
        <v/>
      </c>
      <c r="J1986">
        <f>SUMPRODUCT(Calc!$K$3:$K$22*(Calc!$G$3:$G$22&gt;B1986)*(Calc!$G$3:$G$22-B1986)^2)</f>
        <v/>
      </c>
      <c r="K1986">
        <f>SUMPRODUCT(Calc!$K$3:$K$22*(Calc!$G$3:$G$22&gt;A1986)*(Calc!$G$3:$G$22-A1986)*(Calc!$G$3:$G$22&gt;B1986)*(Calc!$G$3:$G$22-B1986))</f>
        <v/>
      </c>
      <c r="L1986">
        <f>SUMPRODUCT(Calc!$K$3:$K$22*(Calc!$G$3:$G$22&gt;A1986)*(Calc!$G$3:$G$22-A1986)*Calc!$G$3:$G$22)</f>
        <v/>
      </c>
      <c r="M1986">
        <f>SUMPRODUCT(Calc!$K$3:$K$22*(Calc!$G$3:$G$22&gt;B1986)*(Calc!$G$3:$G$22-B1986)*Calc!$G$3:$G$22)</f>
        <v/>
      </c>
      <c r="N1986">
        <f>SUMPRODUCT(Calc!$K$3:$K$22*(Calc!$G$3:$G$22&gt;A1986)*(Calc!$G$3:$G$22-A1986)*Calc!$I$3:$I$22)</f>
        <v/>
      </c>
      <c r="O1986">
        <f>SUMPRODUCT(Calc!$K$3:$K$22*(Calc!$G$3:$G$22&gt;B1986)*(Calc!$G$3:$G$22-B1986)*Calc!$I$3:$I$22)</f>
        <v/>
      </c>
      <c r="P1986">
        <f>I1986-G1986^2/k_n</f>
        <v/>
      </c>
      <c r="Q1986">
        <f>J1986-H1986^2/k_n</f>
        <v/>
      </c>
      <c r="R1986">
        <f>K1986-G1986*H1986/k_n</f>
        <v/>
      </c>
      <c r="S1986">
        <f>L1986-LTP3!$D$3*G1986/k_n</f>
        <v/>
      </c>
      <c r="T1986">
        <f>M1986-LTP3!$D$3*H1986/k_n</f>
        <v/>
      </c>
      <c r="U1986">
        <f>N1986-G1986*LTP3!$D$4/k_n</f>
        <v/>
      </c>
      <c r="V1986">
        <f>O1986-H1986*LTP3!$D$4/k_n</f>
        <v/>
      </c>
      <c r="W1986">
        <f>((LTP3!$D$5)*((P1986)*(Q1986)-(R1986)*(R1986))-(S1986)*((S1986)*(Q1986)-(R1986)*(T1986))+(T1986)*((S1986)*(R1986)-(P1986)*(T1986)))</f>
        <v/>
      </c>
      <c r="X1986">
        <f>IF(ABS(W1986)&gt;1E-12,((LTP3!$D$6)*((P1986)*(Q1986)-(R1986)*(R1986))-(S1986)*((U1986)*(Q1986)-(R1986)*(V1986))+(T1986)*((U1986)*(R1986)-(P1986)*(V1986)))/W1986,0)</f>
        <v/>
      </c>
      <c r="Y1986">
        <f>IF(ABS(W1986)&gt;1E-12,((LTP3!$D$5)*((U1986)*(Q1986)-(R1986)*(V1986))-(LTP3!$D$6)*((S1986)*(Q1986)-(R1986)*(T1986))+(T1986)*((S1986)*(V1986)-(U1986)*(T1986)))/W1986,0)</f>
        <v/>
      </c>
      <c r="Z1986">
        <f>IF(ABS(W1986)&gt;1E-12,((LTP3!$D$5)*((P1986)*(V1986)-(U1986)*(R1986))-(S1986)*((S1986)*(V1986)-(U1986)*(T1986))+(LTP3!$D$6)*((S1986)*(R1986)-(P1986)*(T1986)))/W1986,0)</f>
        <v/>
      </c>
      <c r="AA1986">
        <f>LTP3!$D$7-X1986*LTP3!$D$6-Y1986*U1986-Z1986*V1986</f>
        <v/>
      </c>
      <c r="AB1986">
        <f>IF(AND(F1986,ABS(W1986)&gt;1E-12,Y1986&gt;0,Z1986&gt;0),AA1986,1E+300)</f>
        <v/>
      </c>
    </row>
    <row r="1987">
      <c r="A1987">
        <f>$B$3+$B$5*32</f>
        <v/>
      </c>
      <c r="B1987">
        <f>$B$3+$B$5*23</f>
        <v/>
      </c>
      <c r="C1987">
        <f>SUMPRODUCT(Calc!$K$3:$K$22*(Calc!$G$3:$G$22&lt;=A1987))</f>
        <v/>
      </c>
      <c r="D1987">
        <f>SUMPRODUCT(Calc!$K$3:$K$22*(Calc!$G$3:$G$22&gt;A1987)*(Calc!$G$3:$G$22&lt;B1987))</f>
        <v/>
      </c>
      <c r="E1987">
        <f>SUMPRODUCT(Calc!$K$3:$K$22*(Calc!$G$3:$G$22&gt;=B1987))</f>
        <v/>
      </c>
      <c r="F1987">
        <f>AND(k_n&gt;=5,B1987&gt;A1987+1E-9,C1987&gt;=2,D1987&gt;=1,E1987&gt;=2)</f>
        <v/>
      </c>
      <c r="G1987">
        <f>SUMPRODUCT(Calc!$K$3:$K$22*(Calc!$G$3:$G$22&gt;A1987)*(Calc!$G$3:$G$22-A1987))</f>
        <v/>
      </c>
      <c r="H1987">
        <f>SUMPRODUCT(Calc!$K$3:$K$22*(Calc!$G$3:$G$22&gt;B1987)*(Calc!$G$3:$G$22-B1987))</f>
        <v/>
      </c>
      <c r="I1987">
        <f>SUMPRODUCT(Calc!$K$3:$K$22*(Calc!$G$3:$G$22&gt;A1987)*(Calc!$G$3:$G$22-A1987)^2)</f>
        <v/>
      </c>
      <c r="J1987">
        <f>SUMPRODUCT(Calc!$K$3:$K$22*(Calc!$G$3:$G$22&gt;B1987)*(Calc!$G$3:$G$22-B1987)^2)</f>
        <v/>
      </c>
      <c r="K1987">
        <f>SUMPRODUCT(Calc!$K$3:$K$22*(Calc!$G$3:$G$22&gt;A1987)*(Calc!$G$3:$G$22-A1987)*(Calc!$G$3:$G$22&gt;B1987)*(Calc!$G$3:$G$22-B1987))</f>
        <v/>
      </c>
      <c r="L1987">
        <f>SUMPRODUCT(Calc!$K$3:$K$22*(Calc!$G$3:$G$22&gt;A1987)*(Calc!$G$3:$G$22-A1987)*Calc!$G$3:$G$22)</f>
        <v/>
      </c>
      <c r="M1987">
        <f>SUMPRODUCT(Calc!$K$3:$K$22*(Calc!$G$3:$G$22&gt;B1987)*(Calc!$G$3:$G$22-B1987)*Calc!$G$3:$G$22)</f>
        <v/>
      </c>
      <c r="N1987">
        <f>SUMPRODUCT(Calc!$K$3:$K$22*(Calc!$G$3:$G$22&gt;A1987)*(Calc!$G$3:$G$22-A1987)*Calc!$I$3:$I$22)</f>
        <v/>
      </c>
      <c r="O1987">
        <f>SUMPRODUCT(Calc!$K$3:$K$22*(Calc!$G$3:$G$22&gt;B1987)*(Calc!$G$3:$G$22-B1987)*Calc!$I$3:$I$22)</f>
        <v/>
      </c>
      <c r="P1987">
        <f>I1987-G1987^2/k_n</f>
        <v/>
      </c>
      <c r="Q1987">
        <f>J1987-H1987^2/k_n</f>
        <v/>
      </c>
      <c r="R1987">
        <f>K1987-G1987*H1987/k_n</f>
        <v/>
      </c>
      <c r="S1987">
        <f>L1987-LTP3!$D$3*G1987/k_n</f>
        <v/>
      </c>
      <c r="T1987">
        <f>M1987-LTP3!$D$3*H1987/k_n</f>
        <v/>
      </c>
      <c r="U1987">
        <f>N1987-G1987*LTP3!$D$4/k_n</f>
        <v/>
      </c>
      <c r="V1987">
        <f>O1987-H1987*LTP3!$D$4/k_n</f>
        <v/>
      </c>
      <c r="W1987">
        <f>((LTP3!$D$5)*((P1987)*(Q1987)-(R1987)*(R1987))-(S1987)*((S1987)*(Q1987)-(R1987)*(T1987))+(T1987)*((S1987)*(R1987)-(P1987)*(T1987)))</f>
        <v/>
      </c>
      <c r="X1987">
        <f>IF(ABS(W1987)&gt;1E-12,((LTP3!$D$6)*((P1987)*(Q1987)-(R1987)*(R1987))-(S1987)*((U1987)*(Q1987)-(R1987)*(V1987))+(T1987)*((U1987)*(R1987)-(P1987)*(V1987)))/W1987,0)</f>
        <v/>
      </c>
      <c r="Y1987">
        <f>IF(ABS(W1987)&gt;1E-12,((LTP3!$D$5)*((U1987)*(Q1987)-(R1987)*(V1987))-(LTP3!$D$6)*((S1987)*(Q1987)-(R1987)*(T1987))+(T1987)*((S1987)*(V1987)-(U1987)*(T1987)))/W1987,0)</f>
        <v/>
      </c>
      <c r="Z1987">
        <f>IF(ABS(W1987)&gt;1E-12,((LTP3!$D$5)*((P1987)*(V1987)-(U1987)*(R1987))-(S1987)*((S1987)*(V1987)-(U1987)*(T1987))+(LTP3!$D$6)*((S1987)*(R1987)-(P1987)*(T1987)))/W1987,0)</f>
        <v/>
      </c>
      <c r="AA1987">
        <f>LTP3!$D$7-X1987*LTP3!$D$6-Y1987*U1987-Z1987*V1987</f>
        <v/>
      </c>
      <c r="AB1987">
        <f>IF(AND(F1987,ABS(W1987)&gt;1E-12,Y1987&gt;0,Z1987&gt;0),AA1987,1E+300)</f>
        <v/>
      </c>
    </row>
    <row r="1988">
      <c r="A1988">
        <f>$B$3+$B$5*32</f>
        <v/>
      </c>
      <c r="B1988">
        <f>$B$3+$B$5*24</f>
        <v/>
      </c>
      <c r="C1988">
        <f>SUMPRODUCT(Calc!$K$3:$K$22*(Calc!$G$3:$G$22&lt;=A1988))</f>
        <v/>
      </c>
      <c r="D1988">
        <f>SUMPRODUCT(Calc!$K$3:$K$22*(Calc!$G$3:$G$22&gt;A1988)*(Calc!$G$3:$G$22&lt;B1988))</f>
        <v/>
      </c>
      <c r="E1988">
        <f>SUMPRODUCT(Calc!$K$3:$K$22*(Calc!$G$3:$G$22&gt;=B1988))</f>
        <v/>
      </c>
      <c r="F1988">
        <f>AND(k_n&gt;=5,B1988&gt;A1988+1E-9,C1988&gt;=2,D1988&gt;=1,E1988&gt;=2)</f>
        <v/>
      </c>
      <c r="G1988">
        <f>SUMPRODUCT(Calc!$K$3:$K$22*(Calc!$G$3:$G$22&gt;A1988)*(Calc!$G$3:$G$22-A1988))</f>
        <v/>
      </c>
      <c r="H1988">
        <f>SUMPRODUCT(Calc!$K$3:$K$22*(Calc!$G$3:$G$22&gt;B1988)*(Calc!$G$3:$G$22-B1988))</f>
        <v/>
      </c>
      <c r="I1988">
        <f>SUMPRODUCT(Calc!$K$3:$K$22*(Calc!$G$3:$G$22&gt;A1988)*(Calc!$G$3:$G$22-A1988)^2)</f>
        <v/>
      </c>
      <c r="J1988">
        <f>SUMPRODUCT(Calc!$K$3:$K$22*(Calc!$G$3:$G$22&gt;B1988)*(Calc!$G$3:$G$22-B1988)^2)</f>
        <v/>
      </c>
      <c r="K1988">
        <f>SUMPRODUCT(Calc!$K$3:$K$22*(Calc!$G$3:$G$22&gt;A1988)*(Calc!$G$3:$G$22-A1988)*(Calc!$G$3:$G$22&gt;B1988)*(Calc!$G$3:$G$22-B1988))</f>
        <v/>
      </c>
      <c r="L1988">
        <f>SUMPRODUCT(Calc!$K$3:$K$22*(Calc!$G$3:$G$22&gt;A1988)*(Calc!$G$3:$G$22-A1988)*Calc!$G$3:$G$22)</f>
        <v/>
      </c>
      <c r="M1988">
        <f>SUMPRODUCT(Calc!$K$3:$K$22*(Calc!$G$3:$G$22&gt;B1988)*(Calc!$G$3:$G$22-B1988)*Calc!$G$3:$G$22)</f>
        <v/>
      </c>
      <c r="N1988">
        <f>SUMPRODUCT(Calc!$K$3:$K$22*(Calc!$G$3:$G$22&gt;A1988)*(Calc!$G$3:$G$22-A1988)*Calc!$I$3:$I$22)</f>
        <v/>
      </c>
      <c r="O1988">
        <f>SUMPRODUCT(Calc!$K$3:$K$22*(Calc!$G$3:$G$22&gt;B1988)*(Calc!$G$3:$G$22-B1988)*Calc!$I$3:$I$22)</f>
        <v/>
      </c>
      <c r="P1988">
        <f>I1988-G1988^2/k_n</f>
        <v/>
      </c>
      <c r="Q1988">
        <f>J1988-H1988^2/k_n</f>
        <v/>
      </c>
      <c r="R1988">
        <f>K1988-G1988*H1988/k_n</f>
        <v/>
      </c>
      <c r="S1988">
        <f>L1988-LTP3!$D$3*G1988/k_n</f>
        <v/>
      </c>
      <c r="T1988">
        <f>M1988-LTP3!$D$3*H1988/k_n</f>
        <v/>
      </c>
      <c r="U1988">
        <f>N1988-G1988*LTP3!$D$4/k_n</f>
        <v/>
      </c>
      <c r="V1988">
        <f>O1988-H1988*LTP3!$D$4/k_n</f>
        <v/>
      </c>
      <c r="W1988">
        <f>((LTP3!$D$5)*((P1988)*(Q1988)-(R1988)*(R1988))-(S1988)*((S1988)*(Q1988)-(R1988)*(T1988))+(T1988)*((S1988)*(R1988)-(P1988)*(T1988)))</f>
        <v/>
      </c>
      <c r="X1988">
        <f>IF(ABS(W1988)&gt;1E-12,((LTP3!$D$6)*((P1988)*(Q1988)-(R1988)*(R1988))-(S1988)*((U1988)*(Q1988)-(R1988)*(V1988))+(T1988)*((U1988)*(R1988)-(P1988)*(V1988)))/W1988,0)</f>
        <v/>
      </c>
      <c r="Y1988">
        <f>IF(ABS(W1988)&gt;1E-12,((LTP3!$D$5)*((U1988)*(Q1988)-(R1988)*(V1988))-(LTP3!$D$6)*((S1988)*(Q1988)-(R1988)*(T1988))+(T1988)*((S1988)*(V1988)-(U1988)*(T1988)))/W1988,0)</f>
        <v/>
      </c>
      <c r="Z1988">
        <f>IF(ABS(W1988)&gt;1E-12,((LTP3!$D$5)*((P1988)*(V1988)-(U1988)*(R1988))-(S1988)*((S1988)*(V1988)-(U1988)*(T1988))+(LTP3!$D$6)*((S1988)*(R1988)-(P1988)*(T1988)))/W1988,0)</f>
        <v/>
      </c>
      <c r="AA1988">
        <f>LTP3!$D$7-X1988*LTP3!$D$6-Y1988*U1988-Z1988*V1988</f>
        <v/>
      </c>
      <c r="AB1988">
        <f>IF(AND(F1988,ABS(W1988)&gt;1E-12,Y1988&gt;0,Z1988&gt;0),AA1988,1E+300)</f>
        <v/>
      </c>
    </row>
    <row r="1989">
      <c r="A1989">
        <f>$B$3+$B$5*32</f>
        <v/>
      </c>
      <c r="B1989">
        <f>$B$3+$B$5*25</f>
        <v/>
      </c>
      <c r="C1989">
        <f>SUMPRODUCT(Calc!$K$3:$K$22*(Calc!$G$3:$G$22&lt;=A1989))</f>
        <v/>
      </c>
      <c r="D1989">
        <f>SUMPRODUCT(Calc!$K$3:$K$22*(Calc!$G$3:$G$22&gt;A1989)*(Calc!$G$3:$G$22&lt;B1989))</f>
        <v/>
      </c>
      <c r="E1989">
        <f>SUMPRODUCT(Calc!$K$3:$K$22*(Calc!$G$3:$G$22&gt;=B1989))</f>
        <v/>
      </c>
      <c r="F1989">
        <f>AND(k_n&gt;=5,B1989&gt;A1989+1E-9,C1989&gt;=2,D1989&gt;=1,E1989&gt;=2)</f>
        <v/>
      </c>
      <c r="G1989">
        <f>SUMPRODUCT(Calc!$K$3:$K$22*(Calc!$G$3:$G$22&gt;A1989)*(Calc!$G$3:$G$22-A1989))</f>
        <v/>
      </c>
      <c r="H1989">
        <f>SUMPRODUCT(Calc!$K$3:$K$22*(Calc!$G$3:$G$22&gt;B1989)*(Calc!$G$3:$G$22-B1989))</f>
        <v/>
      </c>
      <c r="I1989">
        <f>SUMPRODUCT(Calc!$K$3:$K$22*(Calc!$G$3:$G$22&gt;A1989)*(Calc!$G$3:$G$22-A1989)^2)</f>
        <v/>
      </c>
      <c r="J1989">
        <f>SUMPRODUCT(Calc!$K$3:$K$22*(Calc!$G$3:$G$22&gt;B1989)*(Calc!$G$3:$G$22-B1989)^2)</f>
        <v/>
      </c>
      <c r="K1989">
        <f>SUMPRODUCT(Calc!$K$3:$K$22*(Calc!$G$3:$G$22&gt;A1989)*(Calc!$G$3:$G$22-A1989)*(Calc!$G$3:$G$22&gt;B1989)*(Calc!$G$3:$G$22-B1989))</f>
        <v/>
      </c>
      <c r="L1989">
        <f>SUMPRODUCT(Calc!$K$3:$K$22*(Calc!$G$3:$G$22&gt;A1989)*(Calc!$G$3:$G$22-A1989)*Calc!$G$3:$G$22)</f>
        <v/>
      </c>
      <c r="M1989">
        <f>SUMPRODUCT(Calc!$K$3:$K$22*(Calc!$G$3:$G$22&gt;B1989)*(Calc!$G$3:$G$22-B1989)*Calc!$G$3:$G$22)</f>
        <v/>
      </c>
      <c r="N1989">
        <f>SUMPRODUCT(Calc!$K$3:$K$22*(Calc!$G$3:$G$22&gt;A1989)*(Calc!$G$3:$G$22-A1989)*Calc!$I$3:$I$22)</f>
        <v/>
      </c>
      <c r="O1989">
        <f>SUMPRODUCT(Calc!$K$3:$K$22*(Calc!$G$3:$G$22&gt;B1989)*(Calc!$G$3:$G$22-B1989)*Calc!$I$3:$I$22)</f>
        <v/>
      </c>
      <c r="P1989">
        <f>I1989-G1989^2/k_n</f>
        <v/>
      </c>
      <c r="Q1989">
        <f>J1989-H1989^2/k_n</f>
        <v/>
      </c>
      <c r="R1989">
        <f>K1989-G1989*H1989/k_n</f>
        <v/>
      </c>
      <c r="S1989">
        <f>L1989-LTP3!$D$3*G1989/k_n</f>
        <v/>
      </c>
      <c r="T1989">
        <f>M1989-LTP3!$D$3*H1989/k_n</f>
        <v/>
      </c>
      <c r="U1989">
        <f>N1989-G1989*LTP3!$D$4/k_n</f>
        <v/>
      </c>
      <c r="V1989">
        <f>O1989-H1989*LTP3!$D$4/k_n</f>
        <v/>
      </c>
      <c r="W1989">
        <f>((LTP3!$D$5)*((P1989)*(Q1989)-(R1989)*(R1989))-(S1989)*((S1989)*(Q1989)-(R1989)*(T1989))+(T1989)*((S1989)*(R1989)-(P1989)*(T1989)))</f>
        <v/>
      </c>
      <c r="X1989">
        <f>IF(ABS(W1989)&gt;1E-12,((LTP3!$D$6)*((P1989)*(Q1989)-(R1989)*(R1989))-(S1989)*((U1989)*(Q1989)-(R1989)*(V1989))+(T1989)*((U1989)*(R1989)-(P1989)*(V1989)))/W1989,0)</f>
        <v/>
      </c>
      <c r="Y1989">
        <f>IF(ABS(W1989)&gt;1E-12,((LTP3!$D$5)*((U1989)*(Q1989)-(R1989)*(V1989))-(LTP3!$D$6)*((S1989)*(Q1989)-(R1989)*(T1989))+(T1989)*((S1989)*(V1989)-(U1989)*(T1989)))/W1989,0)</f>
        <v/>
      </c>
      <c r="Z1989">
        <f>IF(ABS(W1989)&gt;1E-12,((LTP3!$D$5)*((P1989)*(V1989)-(U1989)*(R1989))-(S1989)*((S1989)*(V1989)-(U1989)*(T1989))+(LTP3!$D$6)*((S1989)*(R1989)-(P1989)*(T1989)))/W1989,0)</f>
        <v/>
      </c>
      <c r="AA1989">
        <f>LTP3!$D$7-X1989*LTP3!$D$6-Y1989*U1989-Z1989*V1989</f>
        <v/>
      </c>
      <c r="AB1989">
        <f>IF(AND(F1989,ABS(W1989)&gt;1E-12,Y1989&gt;0,Z1989&gt;0),AA1989,1E+300)</f>
        <v/>
      </c>
    </row>
    <row r="1990">
      <c r="A1990">
        <f>$B$3+$B$5*32</f>
        <v/>
      </c>
      <c r="B1990">
        <f>$B$3+$B$5*26</f>
        <v/>
      </c>
      <c r="C1990">
        <f>SUMPRODUCT(Calc!$K$3:$K$22*(Calc!$G$3:$G$22&lt;=A1990))</f>
        <v/>
      </c>
      <c r="D1990">
        <f>SUMPRODUCT(Calc!$K$3:$K$22*(Calc!$G$3:$G$22&gt;A1990)*(Calc!$G$3:$G$22&lt;B1990))</f>
        <v/>
      </c>
      <c r="E1990">
        <f>SUMPRODUCT(Calc!$K$3:$K$22*(Calc!$G$3:$G$22&gt;=B1990))</f>
        <v/>
      </c>
      <c r="F1990">
        <f>AND(k_n&gt;=5,B1990&gt;A1990+1E-9,C1990&gt;=2,D1990&gt;=1,E1990&gt;=2)</f>
        <v/>
      </c>
      <c r="G1990">
        <f>SUMPRODUCT(Calc!$K$3:$K$22*(Calc!$G$3:$G$22&gt;A1990)*(Calc!$G$3:$G$22-A1990))</f>
        <v/>
      </c>
      <c r="H1990">
        <f>SUMPRODUCT(Calc!$K$3:$K$22*(Calc!$G$3:$G$22&gt;B1990)*(Calc!$G$3:$G$22-B1990))</f>
        <v/>
      </c>
      <c r="I1990">
        <f>SUMPRODUCT(Calc!$K$3:$K$22*(Calc!$G$3:$G$22&gt;A1990)*(Calc!$G$3:$G$22-A1990)^2)</f>
        <v/>
      </c>
      <c r="J1990">
        <f>SUMPRODUCT(Calc!$K$3:$K$22*(Calc!$G$3:$G$22&gt;B1990)*(Calc!$G$3:$G$22-B1990)^2)</f>
        <v/>
      </c>
      <c r="K1990">
        <f>SUMPRODUCT(Calc!$K$3:$K$22*(Calc!$G$3:$G$22&gt;A1990)*(Calc!$G$3:$G$22-A1990)*(Calc!$G$3:$G$22&gt;B1990)*(Calc!$G$3:$G$22-B1990))</f>
        <v/>
      </c>
      <c r="L1990">
        <f>SUMPRODUCT(Calc!$K$3:$K$22*(Calc!$G$3:$G$22&gt;A1990)*(Calc!$G$3:$G$22-A1990)*Calc!$G$3:$G$22)</f>
        <v/>
      </c>
      <c r="M1990">
        <f>SUMPRODUCT(Calc!$K$3:$K$22*(Calc!$G$3:$G$22&gt;B1990)*(Calc!$G$3:$G$22-B1990)*Calc!$G$3:$G$22)</f>
        <v/>
      </c>
      <c r="N1990">
        <f>SUMPRODUCT(Calc!$K$3:$K$22*(Calc!$G$3:$G$22&gt;A1990)*(Calc!$G$3:$G$22-A1990)*Calc!$I$3:$I$22)</f>
        <v/>
      </c>
      <c r="O1990">
        <f>SUMPRODUCT(Calc!$K$3:$K$22*(Calc!$G$3:$G$22&gt;B1990)*(Calc!$G$3:$G$22-B1990)*Calc!$I$3:$I$22)</f>
        <v/>
      </c>
      <c r="P1990">
        <f>I1990-G1990^2/k_n</f>
        <v/>
      </c>
      <c r="Q1990">
        <f>J1990-H1990^2/k_n</f>
        <v/>
      </c>
      <c r="R1990">
        <f>K1990-G1990*H1990/k_n</f>
        <v/>
      </c>
      <c r="S1990">
        <f>L1990-LTP3!$D$3*G1990/k_n</f>
        <v/>
      </c>
      <c r="T1990">
        <f>M1990-LTP3!$D$3*H1990/k_n</f>
        <v/>
      </c>
      <c r="U1990">
        <f>N1990-G1990*LTP3!$D$4/k_n</f>
        <v/>
      </c>
      <c r="V1990">
        <f>O1990-H1990*LTP3!$D$4/k_n</f>
        <v/>
      </c>
      <c r="W1990">
        <f>((LTP3!$D$5)*((P1990)*(Q1990)-(R1990)*(R1990))-(S1990)*((S1990)*(Q1990)-(R1990)*(T1990))+(T1990)*((S1990)*(R1990)-(P1990)*(T1990)))</f>
        <v/>
      </c>
      <c r="X1990">
        <f>IF(ABS(W1990)&gt;1E-12,((LTP3!$D$6)*((P1990)*(Q1990)-(R1990)*(R1990))-(S1990)*((U1990)*(Q1990)-(R1990)*(V1990))+(T1990)*((U1990)*(R1990)-(P1990)*(V1990)))/W1990,0)</f>
        <v/>
      </c>
      <c r="Y1990">
        <f>IF(ABS(W1990)&gt;1E-12,((LTP3!$D$5)*((U1990)*(Q1990)-(R1990)*(V1990))-(LTP3!$D$6)*((S1990)*(Q1990)-(R1990)*(T1990))+(T1990)*((S1990)*(V1990)-(U1990)*(T1990)))/W1990,0)</f>
        <v/>
      </c>
      <c r="Z1990">
        <f>IF(ABS(W1990)&gt;1E-12,((LTP3!$D$5)*((P1990)*(V1990)-(U1990)*(R1990))-(S1990)*((S1990)*(V1990)-(U1990)*(T1990))+(LTP3!$D$6)*((S1990)*(R1990)-(P1990)*(T1990)))/W1990,0)</f>
        <v/>
      </c>
      <c r="AA1990">
        <f>LTP3!$D$7-X1990*LTP3!$D$6-Y1990*U1990-Z1990*V1990</f>
        <v/>
      </c>
      <c r="AB1990">
        <f>IF(AND(F1990,ABS(W1990)&gt;1E-12,Y1990&gt;0,Z1990&gt;0),AA1990,1E+300)</f>
        <v/>
      </c>
    </row>
    <row r="1991">
      <c r="A1991">
        <f>$B$3+$B$5*32</f>
        <v/>
      </c>
      <c r="B1991">
        <f>$B$3+$B$5*27</f>
        <v/>
      </c>
      <c r="C1991">
        <f>SUMPRODUCT(Calc!$K$3:$K$22*(Calc!$G$3:$G$22&lt;=A1991))</f>
        <v/>
      </c>
      <c r="D1991">
        <f>SUMPRODUCT(Calc!$K$3:$K$22*(Calc!$G$3:$G$22&gt;A1991)*(Calc!$G$3:$G$22&lt;B1991))</f>
        <v/>
      </c>
      <c r="E1991">
        <f>SUMPRODUCT(Calc!$K$3:$K$22*(Calc!$G$3:$G$22&gt;=B1991))</f>
        <v/>
      </c>
      <c r="F1991">
        <f>AND(k_n&gt;=5,B1991&gt;A1991+1E-9,C1991&gt;=2,D1991&gt;=1,E1991&gt;=2)</f>
        <v/>
      </c>
      <c r="G1991">
        <f>SUMPRODUCT(Calc!$K$3:$K$22*(Calc!$G$3:$G$22&gt;A1991)*(Calc!$G$3:$G$22-A1991))</f>
        <v/>
      </c>
      <c r="H1991">
        <f>SUMPRODUCT(Calc!$K$3:$K$22*(Calc!$G$3:$G$22&gt;B1991)*(Calc!$G$3:$G$22-B1991))</f>
        <v/>
      </c>
      <c r="I1991">
        <f>SUMPRODUCT(Calc!$K$3:$K$22*(Calc!$G$3:$G$22&gt;A1991)*(Calc!$G$3:$G$22-A1991)^2)</f>
        <v/>
      </c>
      <c r="J1991">
        <f>SUMPRODUCT(Calc!$K$3:$K$22*(Calc!$G$3:$G$22&gt;B1991)*(Calc!$G$3:$G$22-B1991)^2)</f>
        <v/>
      </c>
      <c r="K1991">
        <f>SUMPRODUCT(Calc!$K$3:$K$22*(Calc!$G$3:$G$22&gt;A1991)*(Calc!$G$3:$G$22-A1991)*(Calc!$G$3:$G$22&gt;B1991)*(Calc!$G$3:$G$22-B1991))</f>
        <v/>
      </c>
      <c r="L1991">
        <f>SUMPRODUCT(Calc!$K$3:$K$22*(Calc!$G$3:$G$22&gt;A1991)*(Calc!$G$3:$G$22-A1991)*Calc!$G$3:$G$22)</f>
        <v/>
      </c>
      <c r="M1991">
        <f>SUMPRODUCT(Calc!$K$3:$K$22*(Calc!$G$3:$G$22&gt;B1991)*(Calc!$G$3:$G$22-B1991)*Calc!$G$3:$G$22)</f>
        <v/>
      </c>
      <c r="N1991">
        <f>SUMPRODUCT(Calc!$K$3:$K$22*(Calc!$G$3:$G$22&gt;A1991)*(Calc!$G$3:$G$22-A1991)*Calc!$I$3:$I$22)</f>
        <v/>
      </c>
      <c r="O1991">
        <f>SUMPRODUCT(Calc!$K$3:$K$22*(Calc!$G$3:$G$22&gt;B1991)*(Calc!$G$3:$G$22-B1991)*Calc!$I$3:$I$22)</f>
        <v/>
      </c>
      <c r="P1991">
        <f>I1991-G1991^2/k_n</f>
        <v/>
      </c>
      <c r="Q1991">
        <f>J1991-H1991^2/k_n</f>
        <v/>
      </c>
      <c r="R1991">
        <f>K1991-G1991*H1991/k_n</f>
        <v/>
      </c>
      <c r="S1991">
        <f>L1991-LTP3!$D$3*G1991/k_n</f>
        <v/>
      </c>
      <c r="T1991">
        <f>M1991-LTP3!$D$3*H1991/k_n</f>
        <v/>
      </c>
      <c r="U1991">
        <f>N1991-G1991*LTP3!$D$4/k_n</f>
        <v/>
      </c>
      <c r="V1991">
        <f>O1991-H1991*LTP3!$D$4/k_n</f>
        <v/>
      </c>
      <c r="W1991">
        <f>((LTP3!$D$5)*((P1991)*(Q1991)-(R1991)*(R1991))-(S1991)*((S1991)*(Q1991)-(R1991)*(T1991))+(T1991)*((S1991)*(R1991)-(P1991)*(T1991)))</f>
        <v/>
      </c>
      <c r="X1991">
        <f>IF(ABS(W1991)&gt;1E-12,((LTP3!$D$6)*((P1991)*(Q1991)-(R1991)*(R1991))-(S1991)*((U1991)*(Q1991)-(R1991)*(V1991))+(T1991)*((U1991)*(R1991)-(P1991)*(V1991)))/W1991,0)</f>
        <v/>
      </c>
      <c r="Y1991">
        <f>IF(ABS(W1991)&gt;1E-12,((LTP3!$D$5)*((U1991)*(Q1991)-(R1991)*(V1991))-(LTP3!$D$6)*((S1991)*(Q1991)-(R1991)*(T1991))+(T1991)*((S1991)*(V1991)-(U1991)*(T1991)))/W1991,0)</f>
        <v/>
      </c>
      <c r="Z1991">
        <f>IF(ABS(W1991)&gt;1E-12,((LTP3!$D$5)*((P1991)*(V1991)-(U1991)*(R1991))-(S1991)*((S1991)*(V1991)-(U1991)*(T1991))+(LTP3!$D$6)*((S1991)*(R1991)-(P1991)*(T1991)))/W1991,0)</f>
        <v/>
      </c>
      <c r="AA1991">
        <f>LTP3!$D$7-X1991*LTP3!$D$6-Y1991*U1991-Z1991*V1991</f>
        <v/>
      </c>
      <c r="AB1991">
        <f>IF(AND(F1991,ABS(W1991)&gt;1E-12,Y1991&gt;0,Z1991&gt;0),AA1991,1E+300)</f>
        <v/>
      </c>
    </row>
    <row r="1992">
      <c r="A1992">
        <f>$B$3+$B$5*32</f>
        <v/>
      </c>
      <c r="B1992">
        <f>$B$3+$B$5*28</f>
        <v/>
      </c>
      <c r="C1992">
        <f>SUMPRODUCT(Calc!$K$3:$K$22*(Calc!$G$3:$G$22&lt;=A1992))</f>
        <v/>
      </c>
      <c r="D1992">
        <f>SUMPRODUCT(Calc!$K$3:$K$22*(Calc!$G$3:$G$22&gt;A1992)*(Calc!$G$3:$G$22&lt;B1992))</f>
        <v/>
      </c>
      <c r="E1992">
        <f>SUMPRODUCT(Calc!$K$3:$K$22*(Calc!$G$3:$G$22&gt;=B1992))</f>
        <v/>
      </c>
      <c r="F1992">
        <f>AND(k_n&gt;=5,B1992&gt;A1992+1E-9,C1992&gt;=2,D1992&gt;=1,E1992&gt;=2)</f>
        <v/>
      </c>
      <c r="G1992">
        <f>SUMPRODUCT(Calc!$K$3:$K$22*(Calc!$G$3:$G$22&gt;A1992)*(Calc!$G$3:$G$22-A1992))</f>
        <v/>
      </c>
      <c r="H1992">
        <f>SUMPRODUCT(Calc!$K$3:$K$22*(Calc!$G$3:$G$22&gt;B1992)*(Calc!$G$3:$G$22-B1992))</f>
        <v/>
      </c>
      <c r="I1992">
        <f>SUMPRODUCT(Calc!$K$3:$K$22*(Calc!$G$3:$G$22&gt;A1992)*(Calc!$G$3:$G$22-A1992)^2)</f>
        <v/>
      </c>
      <c r="J1992">
        <f>SUMPRODUCT(Calc!$K$3:$K$22*(Calc!$G$3:$G$22&gt;B1992)*(Calc!$G$3:$G$22-B1992)^2)</f>
        <v/>
      </c>
      <c r="K1992">
        <f>SUMPRODUCT(Calc!$K$3:$K$22*(Calc!$G$3:$G$22&gt;A1992)*(Calc!$G$3:$G$22-A1992)*(Calc!$G$3:$G$22&gt;B1992)*(Calc!$G$3:$G$22-B1992))</f>
        <v/>
      </c>
      <c r="L1992">
        <f>SUMPRODUCT(Calc!$K$3:$K$22*(Calc!$G$3:$G$22&gt;A1992)*(Calc!$G$3:$G$22-A1992)*Calc!$G$3:$G$22)</f>
        <v/>
      </c>
      <c r="M1992">
        <f>SUMPRODUCT(Calc!$K$3:$K$22*(Calc!$G$3:$G$22&gt;B1992)*(Calc!$G$3:$G$22-B1992)*Calc!$G$3:$G$22)</f>
        <v/>
      </c>
      <c r="N1992">
        <f>SUMPRODUCT(Calc!$K$3:$K$22*(Calc!$G$3:$G$22&gt;A1992)*(Calc!$G$3:$G$22-A1992)*Calc!$I$3:$I$22)</f>
        <v/>
      </c>
      <c r="O1992">
        <f>SUMPRODUCT(Calc!$K$3:$K$22*(Calc!$G$3:$G$22&gt;B1992)*(Calc!$G$3:$G$22-B1992)*Calc!$I$3:$I$22)</f>
        <v/>
      </c>
      <c r="P1992">
        <f>I1992-G1992^2/k_n</f>
        <v/>
      </c>
      <c r="Q1992">
        <f>J1992-H1992^2/k_n</f>
        <v/>
      </c>
      <c r="R1992">
        <f>K1992-G1992*H1992/k_n</f>
        <v/>
      </c>
      <c r="S1992">
        <f>L1992-LTP3!$D$3*G1992/k_n</f>
        <v/>
      </c>
      <c r="T1992">
        <f>M1992-LTP3!$D$3*H1992/k_n</f>
        <v/>
      </c>
      <c r="U1992">
        <f>N1992-G1992*LTP3!$D$4/k_n</f>
        <v/>
      </c>
      <c r="V1992">
        <f>O1992-H1992*LTP3!$D$4/k_n</f>
        <v/>
      </c>
      <c r="W1992">
        <f>((LTP3!$D$5)*((P1992)*(Q1992)-(R1992)*(R1992))-(S1992)*((S1992)*(Q1992)-(R1992)*(T1992))+(T1992)*((S1992)*(R1992)-(P1992)*(T1992)))</f>
        <v/>
      </c>
      <c r="X1992">
        <f>IF(ABS(W1992)&gt;1E-12,((LTP3!$D$6)*((P1992)*(Q1992)-(R1992)*(R1992))-(S1992)*((U1992)*(Q1992)-(R1992)*(V1992))+(T1992)*((U1992)*(R1992)-(P1992)*(V1992)))/W1992,0)</f>
        <v/>
      </c>
      <c r="Y1992">
        <f>IF(ABS(W1992)&gt;1E-12,((LTP3!$D$5)*((U1992)*(Q1992)-(R1992)*(V1992))-(LTP3!$D$6)*((S1992)*(Q1992)-(R1992)*(T1992))+(T1992)*((S1992)*(V1992)-(U1992)*(T1992)))/W1992,0)</f>
        <v/>
      </c>
      <c r="Z1992">
        <f>IF(ABS(W1992)&gt;1E-12,((LTP3!$D$5)*((P1992)*(V1992)-(U1992)*(R1992))-(S1992)*((S1992)*(V1992)-(U1992)*(T1992))+(LTP3!$D$6)*((S1992)*(R1992)-(P1992)*(T1992)))/W1992,0)</f>
        <v/>
      </c>
      <c r="AA1992">
        <f>LTP3!$D$7-X1992*LTP3!$D$6-Y1992*U1992-Z1992*V1992</f>
        <v/>
      </c>
      <c r="AB1992">
        <f>IF(AND(F1992,ABS(W1992)&gt;1E-12,Y1992&gt;0,Z1992&gt;0),AA1992,1E+300)</f>
        <v/>
      </c>
    </row>
    <row r="1993">
      <c r="A1993">
        <f>$B$3+$B$5*32</f>
        <v/>
      </c>
      <c r="B1993">
        <f>$B$3+$B$5*29</f>
        <v/>
      </c>
      <c r="C1993">
        <f>SUMPRODUCT(Calc!$K$3:$K$22*(Calc!$G$3:$G$22&lt;=A1993))</f>
        <v/>
      </c>
      <c r="D1993">
        <f>SUMPRODUCT(Calc!$K$3:$K$22*(Calc!$G$3:$G$22&gt;A1993)*(Calc!$G$3:$G$22&lt;B1993))</f>
        <v/>
      </c>
      <c r="E1993">
        <f>SUMPRODUCT(Calc!$K$3:$K$22*(Calc!$G$3:$G$22&gt;=B1993))</f>
        <v/>
      </c>
      <c r="F1993">
        <f>AND(k_n&gt;=5,B1993&gt;A1993+1E-9,C1993&gt;=2,D1993&gt;=1,E1993&gt;=2)</f>
        <v/>
      </c>
      <c r="G1993">
        <f>SUMPRODUCT(Calc!$K$3:$K$22*(Calc!$G$3:$G$22&gt;A1993)*(Calc!$G$3:$G$22-A1993))</f>
        <v/>
      </c>
      <c r="H1993">
        <f>SUMPRODUCT(Calc!$K$3:$K$22*(Calc!$G$3:$G$22&gt;B1993)*(Calc!$G$3:$G$22-B1993))</f>
        <v/>
      </c>
      <c r="I1993">
        <f>SUMPRODUCT(Calc!$K$3:$K$22*(Calc!$G$3:$G$22&gt;A1993)*(Calc!$G$3:$G$22-A1993)^2)</f>
        <v/>
      </c>
      <c r="J1993">
        <f>SUMPRODUCT(Calc!$K$3:$K$22*(Calc!$G$3:$G$22&gt;B1993)*(Calc!$G$3:$G$22-B1993)^2)</f>
        <v/>
      </c>
      <c r="K1993">
        <f>SUMPRODUCT(Calc!$K$3:$K$22*(Calc!$G$3:$G$22&gt;A1993)*(Calc!$G$3:$G$22-A1993)*(Calc!$G$3:$G$22&gt;B1993)*(Calc!$G$3:$G$22-B1993))</f>
        <v/>
      </c>
      <c r="L1993">
        <f>SUMPRODUCT(Calc!$K$3:$K$22*(Calc!$G$3:$G$22&gt;A1993)*(Calc!$G$3:$G$22-A1993)*Calc!$G$3:$G$22)</f>
        <v/>
      </c>
      <c r="M1993">
        <f>SUMPRODUCT(Calc!$K$3:$K$22*(Calc!$G$3:$G$22&gt;B1993)*(Calc!$G$3:$G$22-B1993)*Calc!$G$3:$G$22)</f>
        <v/>
      </c>
      <c r="N1993">
        <f>SUMPRODUCT(Calc!$K$3:$K$22*(Calc!$G$3:$G$22&gt;A1993)*(Calc!$G$3:$G$22-A1993)*Calc!$I$3:$I$22)</f>
        <v/>
      </c>
      <c r="O1993">
        <f>SUMPRODUCT(Calc!$K$3:$K$22*(Calc!$G$3:$G$22&gt;B1993)*(Calc!$G$3:$G$22-B1993)*Calc!$I$3:$I$22)</f>
        <v/>
      </c>
      <c r="P1993">
        <f>I1993-G1993^2/k_n</f>
        <v/>
      </c>
      <c r="Q1993">
        <f>J1993-H1993^2/k_n</f>
        <v/>
      </c>
      <c r="R1993">
        <f>K1993-G1993*H1993/k_n</f>
        <v/>
      </c>
      <c r="S1993">
        <f>L1993-LTP3!$D$3*G1993/k_n</f>
        <v/>
      </c>
      <c r="T1993">
        <f>M1993-LTP3!$D$3*H1993/k_n</f>
        <v/>
      </c>
      <c r="U1993">
        <f>N1993-G1993*LTP3!$D$4/k_n</f>
        <v/>
      </c>
      <c r="V1993">
        <f>O1993-H1993*LTP3!$D$4/k_n</f>
        <v/>
      </c>
      <c r="W1993">
        <f>((LTP3!$D$5)*((P1993)*(Q1993)-(R1993)*(R1993))-(S1993)*((S1993)*(Q1993)-(R1993)*(T1993))+(T1993)*((S1993)*(R1993)-(P1993)*(T1993)))</f>
        <v/>
      </c>
      <c r="X1993">
        <f>IF(ABS(W1993)&gt;1E-12,((LTP3!$D$6)*((P1993)*(Q1993)-(R1993)*(R1993))-(S1993)*((U1993)*(Q1993)-(R1993)*(V1993))+(T1993)*((U1993)*(R1993)-(P1993)*(V1993)))/W1993,0)</f>
        <v/>
      </c>
      <c r="Y1993">
        <f>IF(ABS(W1993)&gt;1E-12,((LTP3!$D$5)*((U1993)*(Q1993)-(R1993)*(V1993))-(LTP3!$D$6)*((S1993)*(Q1993)-(R1993)*(T1993))+(T1993)*((S1993)*(V1993)-(U1993)*(T1993)))/W1993,0)</f>
        <v/>
      </c>
      <c r="Z1993">
        <f>IF(ABS(W1993)&gt;1E-12,((LTP3!$D$5)*((P1993)*(V1993)-(U1993)*(R1993))-(S1993)*((S1993)*(V1993)-(U1993)*(T1993))+(LTP3!$D$6)*((S1993)*(R1993)-(P1993)*(T1993)))/W1993,0)</f>
        <v/>
      </c>
      <c r="AA1993">
        <f>LTP3!$D$7-X1993*LTP3!$D$6-Y1993*U1993-Z1993*V1993</f>
        <v/>
      </c>
      <c r="AB1993">
        <f>IF(AND(F1993,ABS(W1993)&gt;1E-12,Y1993&gt;0,Z1993&gt;0),AA1993,1E+300)</f>
        <v/>
      </c>
    </row>
    <row r="1994">
      <c r="A1994">
        <f>$B$3+$B$5*32</f>
        <v/>
      </c>
      <c r="B1994">
        <f>$B$3+$B$5*30</f>
        <v/>
      </c>
      <c r="C1994">
        <f>SUMPRODUCT(Calc!$K$3:$K$22*(Calc!$G$3:$G$22&lt;=A1994))</f>
        <v/>
      </c>
      <c r="D1994">
        <f>SUMPRODUCT(Calc!$K$3:$K$22*(Calc!$G$3:$G$22&gt;A1994)*(Calc!$G$3:$G$22&lt;B1994))</f>
        <v/>
      </c>
      <c r="E1994">
        <f>SUMPRODUCT(Calc!$K$3:$K$22*(Calc!$G$3:$G$22&gt;=B1994))</f>
        <v/>
      </c>
      <c r="F1994">
        <f>AND(k_n&gt;=5,B1994&gt;A1994+1E-9,C1994&gt;=2,D1994&gt;=1,E1994&gt;=2)</f>
        <v/>
      </c>
      <c r="G1994">
        <f>SUMPRODUCT(Calc!$K$3:$K$22*(Calc!$G$3:$G$22&gt;A1994)*(Calc!$G$3:$G$22-A1994))</f>
        <v/>
      </c>
      <c r="H1994">
        <f>SUMPRODUCT(Calc!$K$3:$K$22*(Calc!$G$3:$G$22&gt;B1994)*(Calc!$G$3:$G$22-B1994))</f>
        <v/>
      </c>
      <c r="I1994">
        <f>SUMPRODUCT(Calc!$K$3:$K$22*(Calc!$G$3:$G$22&gt;A1994)*(Calc!$G$3:$G$22-A1994)^2)</f>
        <v/>
      </c>
      <c r="J1994">
        <f>SUMPRODUCT(Calc!$K$3:$K$22*(Calc!$G$3:$G$22&gt;B1994)*(Calc!$G$3:$G$22-B1994)^2)</f>
        <v/>
      </c>
      <c r="K1994">
        <f>SUMPRODUCT(Calc!$K$3:$K$22*(Calc!$G$3:$G$22&gt;A1994)*(Calc!$G$3:$G$22-A1994)*(Calc!$G$3:$G$22&gt;B1994)*(Calc!$G$3:$G$22-B1994))</f>
        <v/>
      </c>
      <c r="L1994">
        <f>SUMPRODUCT(Calc!$K$3:$K$22*(Calc!$G$3:$G$22&gt;A1994)*(Calc!$G$3:$G$22-A1994)*Calc!$G$3:$G$22)</f>
        <v/>
      </c>
      <c r="M1994">
        <f>SUMPRODUCT(Calc!$K$3:$K$22*(Calc!$G$3:$G$22&gt;B1994)*(Calc!$G$3:$G$22-B1994)*Calc!$G$3:$G$22)</f>
        <v/>
      </c>
      <c r="N1994">
        <f>SUMPRODUCT(Calc!$K$3:$K$22*(Calc!$G$3:$G$22&gt;A1994)*(Calc!$G$3:$G$22-A1994)*Calc!$I$3:$I$22)</f>
        <v/>
      </c>
      <c r="O1994">
        <f>SUMPRODUCT(Calc!$K$3:$K$22*(Calc!$G$3:$G$22&gt;B1994)*(Calc!$G$3:$G$22-B1994)*Calc!$I$3:$I$22)</f>
        <v/>
      </c>
      <c r="P1994">
        <f>I1994-G1994^2/k_n</f>
        <v/>
      </c>
      <c r="Q1994">
        <f>J1994-H1994^2/k_n</f>
        <v/>
      </c>
      <c r="R1994">
        <f>K1994-G1994*H1994/k_n</f>
        <v/>
      </c>
      <c r="S1994">
        <f>L1994-LTP3!$D$3*G1994/k_n</f>
        <v/>
      </c>
      <c r="T1994">
        <f>M1994-LTP3!$D$3*H1994/k_n</f>
        <v/>
      </c>
      <c r="U1994">
        <f>N1994-G1994*LTP3!$D$4/k_n</f>
        <v/>
      </c>
      <c r="V1994">
        <f>O1994-H1994*LTP3!$D$4/k_n</f>
        <v/>
      </c>
      <c r="W1994">
        <f>((LTP3!$D$5)*((P1994)*(Q1994)-(R1994)*(R1994))-(S1994)*((S1994)*(Q1994)-(R1994)*(T1994))+(T1994)*((S1994)*(R1994)-(P1994)*(T1994)))</f>
        <v/>
      </c>
      <c r="X1994">
        <f>IF(ABS(W1994)&gt;1E-12,((LTP3!$D$6)*((P1994)*(Q1994)-(R1994)*(R1994))-(S1994)*((U1994)*(Q1994)-(R1994)*(V1994))+(T1994)*((U1994)*(R1994)-(P1994)*(V1994)))/W1994,0)</f>
        <v/>
      </c>
      <c r="Y1994">
        <f>IF(ABS(W1994)&gt;1E-12,((LTP3!$D$5)*((U1994)*(Q1994)-(R1994)*(V1994))-(LTP3!$D$6)*((S1994)*(Q1994)-(R1994)*(T1994))+(T1994)*((S1994)*(V1994)-(U1994)*(T1994)))/W1994,0)</f>
        <v/>
      </c>
      <c r="Z1994">
        <f>IF(ABS(W1994)&gt;1E-12,((LTP3!$D$5)*((P1994)*(V1994)-(U1994)*(R1994))-(S1994)*((S1994)*(V1994)-(U1994)*(T1994))+(LTP3!$D$6)*((S1994)*(R1994)-(P1994)*(T1994)))/W1994,0)</f>
        <v/>
      </c>
      <c r="AA1994">
        <f>LTP3!$D$7-X1994*LTP3!$D$6-Y1994*U1994-Z1994*V1994</f>
        <v/>
      </c>
      <c r="AB1994">
        <f>IF(AND(F1994,ABS(W1994)&gt;1E-12,Y1994&gt;0,Z1994&gt;0),AA1994,1E+300)</f>
        <v/>
      </c>
    </row>
    <row r="1995">
      <c r="A1995">
        <f>$B$3+$B$5*32</f>
        <v/>
      </c>
      <c r="B1995">
        <f>$B$3+$B$5*31</f>
        <v/>
      </c>
      <c r="C1995">
        <f>SUMPRODUCT(Calc!$K$3:$K$22*(Calc!$G$3:$G$22&lt;=A1995))</f>
        <v/>
      </c>
      <c r="D1995">
        <f>SUMPRODUCT(Calc!$K$3:$K$22*(Calc!$G$3:$G$22&gt;A1995)*(Calc!$G$3:$G$22&lt;B1995))</f>
        <v/>
      </c>
      <c r="E1995">
        <f>SUMPRODUCT(Calc!$K$3:$K$22*(Calc!$G$3:$G$22&gt;=B1995))</f>
        <v/>
      </c>
      <c r="F1995">
        <f>AND(k_n&gt;=5,B1995&gt;A1995+1E-9,C1995&gt;=2,D1995&gt;=1,E1995&gt;=2)</f>
        <v/>
      </c>
      <c r="G1995">
        <f>SUMPRODUCT(Calc!$K$3:$K$22*(Calc!$G$3:$G$22&gt;A1995)*(Calc!$G$3:$G$22-A1995))</f>
        <v/>
      </c>
      <c r="H1995">
        <f>SUMPRODUCT(Calc!$K$3:$K$22*(Calc!$G$3:$G$22&gt;B1995)*(Calc!$G$3:$G$22-B1995))</f>
        <v/>
      </c>
      <c r="I1995">
        <f>SUMPRODUCT(Calc!$K$3:$K$22*(Calc!$G$3:$G$22&gt;A1995)*(Calc!$G$3:$G$22-A1995)^2)</f>
        <v/>
      </c>
      <c r="J1995">
        <f>SUMPRODUCT(Calc!$K$3:$K$22*(Calc!$G$3:$G$22&gt;B1995)*(Calc!$G$3:$G$22-B1995)^2)</f>
        <v/>
      </c>
      <c r="K1995">
        <f>SUMPRODUCT(Calc!$K$3:$K$22*(Calc!$G$3:$G$22&gt;A1995)*(Calc!$G$3:$G$22-A1995)*(Calc!$G$3:$G$22&gt;B1995)*(Calc!$G$3:$G$22-B1995))</f>
        <v/>
      </c>
      <c r="L1995">
        <f>SUMPRODUCT(Calc!$K$3:$K$22*(Calc!$G$3:$G$22&gt;A1995)*(Calc!$G$3:$G$22-A1995)*Calc!$G$3:$G$22)</f>
        <v/>
      </c>
      <c r="M1995">
        <f>SUMPRODUCT(Calc!$K$3:$K$22*(Calc!$G$3:$G$22&gt;B1995)*(Calc!$G$3:$G$22-B1995)*Calc!$G$3:$G$22)</f>
        <v/>
      </c>
      <c r="N1995">
        <f>SUMPRODUCT(Calc!$K$3:$K$22*(Calc!$G$3:$G$22&gt;A1995)*(Calc!$G$3:$G$22-A1995)*Calc!$I$3:$I$22)</f>
        <v/>
      </c>
      <c r="O1995">
        <f>SUMPRODUCT(Calc!$K$3:$K$22*(Calc!$G$3:$G$22&gt;B1995)*(Calc!$G$3:$G$22-B1995)*Calc!$I$3:$I$22)</f>
        <v/>
      </c>
      <c r="P1995">
        <f>I1995-G1995^2/k_n</f>
        <v/>
      </c>
      <c r="Q1995">
        <f>J1995-H1995^2/k_n</f>
        <v/>
      </c>
      <c r="R1995">
        <f>K1995-G1995*H1995/k_n</f>
        <v/>
      </c>
      <c r="S1995">
        <f>L1995-LTP3!$D$3*G1995/k_n</f>
        <v/>
      </c>
      <c r="T1995">
        <f>M1995-LTP3!$D$3*H1995/k_n</f>
        <v/>
      </c>
      <c r="U1995">
        <f>N1995-G1995*LTP3!$D$4/k_n</f>
        <v/>
      </c>
      <c r="V1995">
        <f>O1995-H1995*LTP3!$D$4/k_n</f>
        <v/>
      </c>
      <c r="W1995">
        <f>((LTP3!$D$5)*((P1995)*(Q1995)-(R1995)*(R1995))-(S1995)*((S1995)*(Q1995)-(R1995)*(T1995))+(T1995)*((S1995)*(R1995)-(P1995)*(T1995)))</f>
        <v/>
      </c>
      <c r="X1995">
        <f>IF(ABS(W1995)&gt;1E-12,((LTP3!$D$6)*((P1995)*(Q1995)-(R1995)*(R1995))-(S1995)*((U1995)*(Q1995)-(R1995)*(V1995))+(T1995)*((U1995)*(R1995)-(P1995)*(V1995)))/W1995,0)</f>
        <v/>
      </c>
      <c r="Y1995">
        <f>IF(ABS(W1995)&gt;1E-12,((LTP3!$D$5)*((U1995)*(Q1995)-(R1995)*(V1995))-(LTP3!$D$6)*((S1995)*(Q1995)-(R1995)*(T1995))+(T1995)*((S1995)*(V1995)-(U1995)*(T1995)))/W1995,0)</f>
        <v/>
      </c>
      <c r="Z1995">
        <f>IF(ABS(W1995)&gt;1E-12,((LTP3!$D$5)*((P1995)*(V1995)-(U1995)*(R1995))-(S1995)*((S1995)*(V1995)-(U1995)*(T1995))+(LTP3!$D$6)*((S1995)*(R1995)-(P1995)*(T1995)))/W1995,0)</f>
        <v/>
      </c>
      <c r="AA1995">
        <f>LTP3!$D$7-X1995*LTP3!$D$6-Y1995*U1995-Z1995*V1995</f>
        <v/>
      </c>
      <c r="AB1995">
        <f>IF(AND(F1995,ABS(W1995)&gt;1E-12,Y1995&gt;0,Z1995&gt;0),AA1995,1E+300)</f>
        <v/>
      </c>
    </row>
    <row r="1996">
      <c r="A1996">
        <f>$B$3+$B$5*32</f>
        <v/>
      </c>
      <c r="B1996">
        <f>$B$3+$B$5*32</f>
        <v/>
      </c>
      <c r="C1996">
        <f>SUMPRODUCT(Calc!$K$3:$K$22*(Calc!$G$3:$G$22&lt;=A1996))</f>
        <v/>
      </c>
      <c r="D1996">
        <f>SUMPRODUCT(Calc!$K$3:$K$22*(Calc!$G$3:$G$22&gt;A1996)*(Calc!$G$3:$G$22&lt;B1996))</f>
        <v/>
      </c>
      <c r="E1996">
        <f>SUMPRODUCT(Calc!$K$3:$K$22*(Calc!$G$3:$G$22&gt;=B1996))</f>
        <v/>
      </c>
      <c r="F1996">
        <f>AND(k_n&gt;=5,B1996&gt;A1996+1E-9,C1996&gt;=2,D1996&gt;=1,E1996&gt;=2)</f>
        <v/>
      </c>
      <c r="G1996">
        <f>SUMPRODUCT(Calc!$K$3:$K$22*(Calc!$G$3:$G$22&gt;A1996)*(Calc!$G$3:$G$22-A1996))</f>
        <v/>
      </c>
      <c r="H1996">
        <f>SUMPRODUCT(Calc!$K$3:$K$22*(Calc!$G$3:$G$22&gt;B1996)*(Calc!$G$3:$G$22-B1996))</f>
        <v/>
      </c>
      <c r="I1996">
        <f>SUMPRODUCT(Calc!$K$3:$K$22*(Calc!$G$3:$G$22&gt;A1996)*(Calc!$G$3:$G$22-A1996)^2)</f>
        <v/>
      </c>
      <c r="J1996">
        <f>SUMPRODUCT(Calc!$K$3:$K$22*(Calc!$G$3:$G$22&gt;B1996)*(Calc!$G$3:$G$22-B1996)^2)</f>
        <v/>
      </c>
      <c r="K1996">
        <f>SUMPRODUCT(Calc!$K$3:$K$22*(Calc!$G$3:$G$22&gt;A1996)*(Calc!$G$3:$G$22-A1996)*(Calc!$G$3:$G$22&gt;B1996)*(Calc!$G$3:$G$22-B1996))</f>
        <v/>
      </c>
      <c r="L1996">
        <f>SUMPRODUCT(Calc!$K$3:$K$22*(Calc!$G$3:$G$22&gt;A1996)*(Calc!$G$3:$G$22-A1996)*Calc!$G$3:$G$22)</f>
        <v/>
      </c>
      <c r="M1996">
        <f>SUMPRODUCT(Calc!$K$3:$K$22*(Calc!$G$3:$G$22&gt;B1996)*(Calc!$G$3:$G$22-B1996)*Calc!$G$3:$G$22)</f>
        <v/>
      </c>
      <c r="N1996">
        <f>SUMPRODUCT(Calc!$K$3:$K$22*(Calc!$G$3:$G$22&gt;A1996)*(Calc!$G$3:$G$22-A1996)*Calc!$I$3:$I$22)</f>
        <v/>
      </c>
      <c r="O1996">
        <f>SUMPRODUCT(Calc!$K$3:$K$22*(Calc!$G$3:$G$22&gt;B1996)*(Calc!$G$3:$G$22-B1996)*Calc!$I$3:$I$22)</f>
        <v/>
      </c>
      <c r="P1996">
        <f>I1996-G1996^2/k_n</f>
        <v/>
      </c>
      <c r="Q1996">
        <f>J1996-H1996^2/k_n</f>
        <v/>
      </c>
      <c r="R1996">
        <f>K1996-G1996*H1996/k_n</f>
        <v/>
      </c>
      <c r="S1996">
        <f>L1996-LTP3!$D$3*G1996/k_n</f>
        <v/>
      </c>
      <c r="T1996">
        <f>M1996-LTP3!$D$3*H1996/k_n</f>
        <v/>
      </c>
      <c r="U1996">
        <f>N1996-G1996*LTP3!$D$4/k_n</f>
        <v/>
      </c>
      <c r="V1996">
        <f>O1996-H1996*LTP3!$D$4/k_n</f>
        <v/>
      </c>
      <c r="W1996">
        <f>((LTP3!$D$5)*((P1996)*(Q1996)-(R1996)*(R1996))-(S1996)*((S1996)*(Q1996)-(R1996)*(T1996))+(T1996)*((S1996)*(R1996)-(P1996)*(T1996)))</f>
        <v/>
      </c>
      <c r="X1996">
        <f>IF(ABS(W1996)&gt;1E-12,((LTP3!$D$6)*((P1996)*(Q1996)-(R1996)*(R1996))-(S1996)*((U1996)*(Q1996)-(R1996)*(V1996))+(T1996)*((U1996)*(R1996)-(P1996)*(V1996)))/W1996,0)</f>
        <v/>
      </c>
      <c r="Y1996">
        <f>IF(ABS(W1996)&gt;1E-12,((LTP3!$D$5)*((U1996)*(Q1996)-(R1996)*(V1996))-(LTP3!$D$6)*((S1996)*(Q1996)-(R1996)*(T1996))+(T1996)*((S1996)*(V1996)-(U1996)*(T1996)))/W1996,0)</f>
        <v/>
      </c>
      <c r="Z1996">
        <f>IF(ABS(W1996)&gt;1E-12,((LTP3!$D$5)*((P1996)*(V1996)-(U1996)*(R1996))-(S1996)*((S1996)*(V1996)-(U1996)*(T1996))+(LTP3!$D$6)*((S1996)*(R1996)-(P1996)*(T1996)))/W1996,0)</f>
        <v/>
      </c>
      <c r="AA1996">
        <f>LTP3!$D$7-X1996*LTP3!$D$6-Y1996*U1996-Z1996*V1996</f>
        <v/>
      </c>
      <c r="AB1996">
        <f>IF(AND(F1996,ABS(W1996)&gt;1E-12,Y1996&gt;0,Z1996&gt;0),AA1996,1E+300)</f>
        <v/>
      </c>
    </row>
    <row r="1997">
      <c r="A1997">
        <f>$B$3+$B$5*32</f>
        <v/>
      </c>
      <c r="B1997">
        <f>$B$3+$B$5*33</f>
        <v/>
      </c>
      <c r="C1997">
        <f>SUMPRODUCT(Calc!$K$3:$K$22*(Calc!$G$3:$G$22&lt;=A1997))</f>
        <v/>
      </c>
      <c r="D1997">
        <f>SUMPRODUCT(Calc!$K$3:$K$22*(Calc!$G$3:$G$22&gt;A1997)*(Calc!$G$3:$G$22&lt;B1997))</f>
        <v/>
      </c>
      <c r="E1997">
        <f>SUMPRODUCT(Calc!$K$3:$K$22*(Calc!$G$3:$G$22&gt;=B1997))</f>
        <v/>
      </c>
      <c r="F1997">
        <f>AND(k_n&gt;=5,B1997&gt;A1997+1E-9,C1997&gt;=2,D1997&gt;=1,E1997&gt;=2)</f>
        <v/>
      </c>
      <c r="G1997">
        <f>SUMPRODUCT(Calc!$K$3:$K$22*(Calc!$G$3:$G$22&gt;A1997)*(Calc!$G$3:$G$22-A1997))</f>
        <v/>
      </c>
      <c r="H1997">
        <f>SUMPRODUCT(Calc!$K$3:$K$22*(Calc!$G$3:$G$22&gt;B1997)*(Calc!$G$3:$G$22-B1997))</f>
        <v/>
      </c>
      <c r="I1997">
        <f>SUMPRODUCT(Calc!$K$3:$K$22*(Calc!$G$3:$G$22&gt;A1997)*(Calc!$G$3:$G$22-A1997)^2)</f>
        <v/>
      </c>
      <c r="J1997">
        <f>SUMPRODUCT(Calc!$K$3:$K$22*(Calc!$G$3:$G$22&gt;B1997)*(Calc!$G$3:$G$22-B1997)^2)</f>
        <v/>
      </c>
      <c r="K1997">
        <f>SUMPRODUCT(Calc!$K$3:$K$22*(Calc!$G$3:$G$22&gt;A1997)*(Calc!$G$3:$G$22-A1997)*(Calc!$G$3:$G$22&gt;B1997)*(Calc!$G$3:$G$22-B1997))</f>
        <v/>
      </c>
      <c r="L1997">
        <f>SUMPRODUCT(Calc!$K$3:$K$22*(Calc!$G$3:$G$22&gt;A1997)*(Calc!$G$3:$G$22-A1997)*Calc!$G$3:$G$22)</f>
        <v/>
      </c>
      <c r="M1997">
        <f>SUMPRODUCT(Calc!$K$3:$K$22*(Calc!$G$3:$G$22&gt;B1997)*(Calc!$G$3:$G$22-B1997)*Calc!$G$3:$G$22)</f>
        <v/>
      </c>
      <c r="N1997">
        <f>SUMPRODUCT(Calc!$K$3:$K$22*(Calc!$G$3:$G$22&gt;A1997)*(Calc!$G$3:$G$22-A1997)*Calc!$I$3:$I$22)</f>
        <v/>
      </c>
      <c r="O1997">
        <f>SUMPRODUCT(Calc!$K$3:$K$22*(Calc!$G$3:$G$22&gt;B1997)*(Calc!$G$3:$G$22-B1997)*Calc!$I$3:$I$22)</f>
        <v/>
      </c>
      <c r="P1997">
        <f>I1997-G1997^2/k_n</f>
        <v/>
      </c>
      <c r="Q1997">
        <f>J1997-H1997^2/k_n</f>
        <v/>
      </c>
      <c r="R1997">
        <f>K1997-G1997*H1997/k_n</f>
        <v/>
      </c>
      <c r="S1997">
        <f>L1997-LTP3!$D$3*G1997/k_n</f>
        <v/>
      </c>
      <c r="T1997">
        <f>M1997-LTP3!$D$3*H1997/k_n</f>
        <v/>
      </c>
      <c r="U1997">
        <f>N1997-G1997*LTP3!$D$4/k_n</f>
        <v/>
      </c>
      <c r="V1997">
        <f>O1997-H1997*LTP3!$D$4/k_n</f>
        <v/>
      </c>
      <c r="W1997">
        <f>((LTP3!$D$5)*((P1997)*(Q1997)-(R1997)*(R1997))-(S1997)*((S1997)*(Q1997)-(R1997)*(T1997))+(T1997)*((S1997)*(R1997)-(P1997)*(T1997)))</f>
        <v/>
      </c>
      <c r="X1997">
        <f>IF(ABS(W1997)&gt;1E-12,((LTP3!$D$6)*((P1997)*(Q1997)-(R1997)*(R1997))-(S1997)*((U1997)*(Q1997)-(R1997)*(V1997))+(T1997)*((U1997)*(R1997)-(P1997)*(V1997)))/W1997,0)</f>
        <v/>
      </c>
      <c r="Y1997">
        <f>IF(ABS(W1997)&gt;1E-12,((LTP3!$D$5)*((U1997)*(Q1997)-(R1997)*(V1997))-(LTP3!$D$6)*((S1997)*(Q1997)-(R1997)*(T1997))+(T1997)*((S1997)*(V1997)-(U1997)*(T1997)))/W1997,0)</f>
        <v/>
      </c>
      <c r="Z1997">
        <f>IF(ABS(W1997)&gt;1E-12,((LTP3!$D$5)*((P1997)*(V1997)-(U1997)*(R1997))-(S1997)*((S1997)*(V1997)-(U1997)*(T1997))+(LTP3!$D$6)*((S1997)*(R1997)-(P1997)*(T1997)))/W1997,0)</f>
        <v/>
      </c>
      <c r="AA1997">
        <f>LTP3!$D$7-X1997*LTP3!$D$6-Y1997*U1997-Z1997*V1997</f>
        <v/>
      </c>
      <c r="AB1997">
        <f>IF(AND(F1997,ABS(W1997)&gt;1E-12,Y1997&gt;0,Z1997&gt;0),AA1997,1E+300)</f>
        <v/>
      </c>
    </row>
    <row r="1998">
      <c r="A1998">
        <f>$B$3+$B$5*32</f>
        <v/>
      </c>
      <c r="B1998">
        <f>$B$3+$B$5*34</f>
        <v/>
      </c>
      <c r="C1998">
        <f>SUMPRODUCT(Calc!$K$3:$K$22*(Calc!$G$3:$G$22&lt;=A1998))</f>
        <v/>
      </c>
      <c r="D1998">
        <f>SUMPRODUCT(Calc!$K$3:$K$22*(Calc!$G$3:$G$22&gt;A1998)*(Calc!$G$3:$G$22&lt;B1998))</f>
        <v/>
      </c>
      <c r="E1998">
        <f>SUMPRODUCT(Calc!$K$3:$K$22*(Calc!$G$3:$G$22&gt;=B1998))</f>
        <v/>
      </c>
      <c r="F1998">
        <f>AND(k_n&gt;=5,B1998&gt;A1998+1E-9,C1998&gt;=2,D1998&gt;=1,E1998&gt;=2)</f>
        <v/>
      </c>
      <c r="G1998">
        <f>SUMPRODUCT(Calc!$K$3:$K$22*(Calc!$G$3:$G$22&gt;A1998)*(Calc!$G$3:$G$22-A1998))</f>
        <v/>
      </c>
      <c r="H1998">
        <f>SUMPRODUCT(Calc!$K$3:$K$22*(Calc!$G$3:$G$22&gt;B1998)*(Calc!$G$3:$G$22-B1998))</f>
        <v/>
      </c>
      <c r="I1998">
        <f>SUMPRODUCT(Calc!$K$3:$K$22*(Calc!$G$3:$G$22&gt;A1998)*(Calc!$G$3:$G$22-A1998)^2)</f>
        <v/>
      </c>
      <c r="J1998">
        <f>SUMPRODUCT(Calc!$K$3:$K$22*(Calc!$G$3:$G$22&gt;B1998)*(Calc!$G$3:$G$22-B1998)^2)</f>
        <v/>
      </c>
      <c r="K1998">
        <f>SUMPRODUCT(Calc!$K$3:$K$22*(Calc!$G$3:$G$22&gt;A1998)*(Calc!$G$3:$G$22-A1998)*(Calc!$G$3:$G$22&gt;B1998)*(Calc!$G$3:$G$22-B1998))</f>
        <v/>
      </c>
      <c r="L1998">
        <f>SUMPRODUCT(Calc!$K$3:$K$22*(Calc!$G$3:$G$22&gt;A1998)*(Calc!$G$3:$G$22-A1998)*Calc!$G$3:$G$22)</f>
        <v/>
      </c>
      <c r="M1998">
        <f>SUMPRODUCT(Calc!$K$3:$K$22*(Calc!$G$3:$G$22&gt;B1998)*(Calc!$G$3:$G$22-B1998)*Calc!$G$3:$G$22)</f>
        <v/>
      </c>
      <c r="N1998">
        <f>SUMPRODUCT(Calc!$K$3:$K$22*(Calc!$G$3:$G$22&gt;A1998)*(Calc!$G$3:$G$22-A1998)*Calc!$I$3:$I$22)</f>
        <v/>
      </c>
      <c r="O1998">
        <f>SUMPRODUCT(Calc!$K$3:$K$22*(Calc!$G$3:$G$22&gt;B1998)*(Calc!$G$3:$G$22-B1998)*Calc!$I$3:$I$22)</f>
        <v/>
      </c>
      <c r="P1998">
        <f>I1998-G1998^2/k_n</f>
        <v/>
      </c>
      <c r="Q1998">
        <f>J1998-H1998^2/k_n</f>
        <v/>
      </c>
      <c r="R1998">
        <f>K1998-G1998*H1998/k_n</f>
        <v/>
      </c>
      <c r="S1998">
        <f>L1998-LTP3!$D$3*G1998/k_n</f>
        <v/>
      </c>
      <c r="T1998">
        <f>M1998-LTP3!$D$3*H1998/k_n</f>
        <v/>
      </c>
      <c r="U1998">
        <f>N1998-G1998*LTP3!$D$4/k_n</f>
        <v/>
      </c>
      <c r="V1998">
        <f>O1998-H1998*LTP3!$D$4/k_n</f>
        <v/>
      </c>
      <c r="W1998">
        <f>((LTP3!$D$5)*((P1998)*(Q1998)-(R1998)*(R1998))-(S1998)*((S1998)*(Q1998)-(R1998)*(T1998))+(T1998)*((S1998)*(R1998)-(P1998)*(T1998)))</f>
        <v/>
      </c>
      <c r="X1998">
        <f>IF(ABS(W1998)&gt;1E-12,((LTP3!$D$6)*((P1998)*(Q1998)-(R1998)*(R1998))-(S1998)*((U1998)*(Q1998)-(R1998)*(V1998))+(T1998)*((U1998)*(R1998)-(P1998)*(V1998)))/W1998,0)</f>
        <v/>
      </c>
      <c r="Y1998">
        <f>IF(ABS(W1998)&gt;1E-12,((LTP3!$D$5)*((U1998)*(Q1998)-(R1998)*(V1998))-(LTP3!$D$6)*((S1998)*(Q1998)-(R1998)*(T1998))+(T1998)*((S1998)*(V1998)-(U1998)*(T1998)))/W1998,0)</f>
        <v/>
      </c>
      <c r="Z1998">
        <f>IF(ABS(W1998)&gt;1E-12,((LTP3!$D$5)*((P1998)*(V1998)-(U1998)*(R1998))-(S1998)*((S1998)*(V1998)-(U1998)*(T1998))+(LTP3!$D$6)*((S1998)*(R1998)-(P1998)*(T1998)))/W1998,0)</f>
        <v/>
      </c>
      <c r="AA1998">
        <f>LTP3!$D$7-X1998*LTP3!$D$6-Y1998*U1998-Z1998*V1998</f>
        <v/>
      </c>
      <c r="AB1998">
        <f>IF(AND(F1998,ABS(W1998)&gt;1E-12,Y1998&gt;0,Z1998&gt;0),AA1998,1E+300)</f>
        <v/>
      </c>
    </row>
    <row r="1999">
      <c r="A1999">
        <f>$B$3+$B$5*32</f>
        <v/>
      </c>
      <c r="B1999">
        <f>$B$3+$B$5*35</f>
        <v/>
      </c>
      <c r="C1999">
        <f>SUMPRODUCT(Calc!$K$3:$K$22*(Calc!$G$3:$G$22&lt;=A1999))</f>
        <v/>
      </c>
      <c r="D1999">
        <f>SUMPRODUCT(Calc!$K$3:$K$22*(Calc!$G$3:$G$22&gt;A1999)*(Calc!$G$3:$G$22&lt;B1999))</f>
        <v/>
      </c>
      <c r="E1999">
        <f>SUMPRODUCT(Calc!$K$3:$K$22*(Calc!$G$3:$G$22&gt;=B1999))</f>
        <v/>
      </c>
      <c r="F1999">
        <f>AND(k_n&gt;=5,B1999&gt;A1999+1E-9,C1999&gt;=2,D1999&gt;=1,E1999&gt;=2)</f>
        <v/>
      </c>
      <c r="G1999">
        <f>SUMPRODUCT(Calc!$K$3:$K$22*(Calc!$G$3:$G$22&gt;A1999)*(Calc!$G$3:$G$22-A1999))</f>
        <v/>
      </c>
      <c r="H1999">
        <f>SUMPRODUCT(Calc!$K$3:$K$22*(Calc!$G$3:$G$22&gt;B1999)*(Calc!$G$3:$G$22-B1999))</f>
        <v/>
      </c>
      <c r="I1999">
        <f>SUMPRODUCT(Calc!$K$3:$K$22*(Calc!$G$3:$G$22&gt;A1999)*(Calc!$G$3:$G$22-A1999)^2)</f>
        <v/>
      </c>
      <c r="J1999">
        <f>SUMPRODUCT(Calc!$K$3:$K$22*(Calc!$G$3:$G$22&gt;B1999)*(Calc!$G$3:$G$22-B1999)^2)</f>
        <v/>
      </c>
      <c r="K1999">
        <f>SUMPRODUCT(Calc!$K$3:$K$22*(Calc!$G$3:$G$22&gt;A1999)*(Calc!$G$3:$G$22-A1999)*(Calc!$G$3:$G$22&gt;B1999)*(Calc!$G$3:$G$22-B1999))</f>
        <v/>
      </c>
      <c r="L1999">
        <f>SUMPRODUCT(Calc!$K$3:$K$22*(Calc!$G$3:$G$22&gt;A1999)*(Calc!$G$3:$G$22-A1999)*Calc!$G$3:$G$22)</f>
        <v/>
      </c>
      <c r="M1999">
        <f>SUMPRODUCT(Calc!$K$3:$K$22*(Calc!$G$3:$G$22&gt;B1999)*(Calc!$G$3:$G$22-B1999)*Calc!$G$3:$G$22)</f>
        <v/>
      </c>
      <c r="N1999">
        <f>SUMPRODUCT(Calc!$K$3:$K$22*(Calc!$G$3:$G$22&gt;A1999)*(Calc!$G$3:$G$22-A1999)*Calc!$I$3:$I$22)</f>
        <v/>
      </c>
      <c r="O1999">
        <f>SUMPRODUCT(Calc!$K$3:$K$22*(Calc!$G$3:$G$22&gt;B1999)*(Calc!$G$3:$G$22-B1999)*Calc!$I$3:$I$22)</f>
        <v/>
      </c>
      <c r="P1999">
        <f>I1999-G1999^2/k_n</f>
        <v/>
      </c>
      <c r="Q1999">
        <f>J1999-H1999^2/k_n</f>
        <v/>
      </c>
      <c r="R1999">
        <f>K1999-G1999*H1999/k_n</f>
        <v/>
      </c>
      <c r="S1999">
        <f>L1999-LTP3!$D$3*G1999/k_n</f>
        <v/>
      </c>
      <c r="T1999">
        <f>M1999-LTP3!$D$3*H1999/k_n</f>
        <v/>
      </c>
      <c r="U1999">
        <f>N1999-G1999*LTP3!$D$4/k_n</f>
        <v/>
      </c>
      <c r="V1999">
        <f>O1999-H1999*LTP3!$D$4/k_n</f>
        <v/>
      </c>
      <c r="W1999">
        <f>((LTP3!$D$5)*((P1999)*(Q1999)-(R1999)*(R1999))-(S1999)*((S1999)*(Q1999)-(R1999)*(T1999))+(T1999)*((S1999)*(R1999)-(P1999)*(T1999)))</f>
        <v/>
      </c>
      <c r="X1999">
        <f>IF(ABS(W1999)&gt;1E-12,((LTP3!$D$6)*((P1999)*(Q1999)-(R1999)*(R1999))-(S1999)*((U1999)*(Q1999)-(R1999)*(V1999))+(T1999)*((U1999)*(R1999)-(P1999)*(V1999)))/W1999,0)</f>
        <v/>
      </c>
      <c r="Y1999">
        <f>IF(ABS(W1999)&gt;1E-12,((LTP3!$D$5)*((U1999)*(Q1999)-(R1999)*(V1999))-(LTP3!$D$6)*((S1999)*(Q1999)-(R1999)*(T1999))+(T1999)*((S1999)*(V1999)-(U1999)*(T1999)))/W1999,0)</f>
        <v/>
      </c>
      <c r="Z1999">
        <f>IF(ABS(W1999)&gt;1E-12,((LTP3!$D$5)*((P1999)*(V1999)-(U1999)*(R1999))-(S1999)*((S1999)*(V1999)-(U1999)*(T1999))+(LTP3!$D$6)*((S1999)*(R1999)-(P1999)*(T1999)))/W1999,0)</f>
        <v/>
      </c>
      <c r="AA1999">
        <f>LTP3!$D$7-X1999*LTP3!$D$6-Y1999*U1999-Z1999*V1999</f>
        <v/>
      </c>
      <c r="AB1999">
        <f>IF(AND(F1999,ABS(W1999)&gt;1E-12,Y1999&gt;0,Z1999&gt;0),AA1999,1E+300)</f>
        <v/>
      </c>
    </row>
    <row r="2000">
      <c r="A2000">
        <f>$B$3+$B$5*32</f>
        <v/>
      </c>
      <c r="B2000">
        <f>$B$3+$B$5*36</f>
        <v/>
      </c>
      <c r="C2000">
        <f>SUMPRODUCT(Calc!$K$3:$K$22*(Calc!$G$3:$G$22&lt;=A2000))</f>
        <v/>
      </c>
      <c r="D2000">
        <f>SUMPRODUCT(Calc!$K$3:$K$22*(Calc!$G$3:$G$22&gt;A2000)*(Calc!$G$3:$G$22&lt;B2000))</f>
        <v/>
      </c>
      <c r="E2000">
        <f>SUMPRODUCT(Calc!$K$3:$K$22*(Calc!$G$3:$G$22&gt;=B2000))</f>
        <v/>
      </c>
      <c r="F2000">
        <f>AND(k_n&gt;=5,B2000&gt;A2000+1E-9,C2000&gt;=2,D2000&gt;=1,E2000&gt;=2)</f>
        <v/>
      </c>
      <c r="G2000">
        <f>SUMPRODUCT(Calc!$K$3:$K$22*(Calc!$G$3:$G$22&gt;A2000)*(Calc!$G$3:$G$22-A2000))</f>
        <v/>
      </c>
      <c r="H2000">
        <f>SUMPRODUCT(Calc!$K$3:$K$22*(Calc!$G$3:$G$22&gt;B2000)*(Calc!$G$3:$G$22-B2000))</f>
        <v/>
      </c>
      <c r="I2000">
        <f>SUMPRODUCT(Calc!$K$3:$K$22*(Calc!$G$3:$G$22&gt;A2000)*(Calc!$G$3:$G$22-A2000)^2)</f>
        <v/>
      </c>
      <c r="J2000">
        <f>SUMPRODUCT(Calc!$K$3:$K$22*(Calc!$G$3:$G$22&gt;B2000)*(Calc!$G$3:$G$22-B2000)^2)</f>
        <v/>
      </c>
      <c r="K2000">
        <f>SUMPRODUCT(Calc!$K$3:$K$22*(Calc!$G$3:$G$22&gt;A2000)*(Calc!$G$3:$G$22-A2000)*(Calc!$G$3:$G$22&gt;B2000)*(Calc!$G$3:$G$22-B2000))</f>
        <v/>
      </c>
      <c r="L2000">
        <f>SUMPRODUCT(Calc!$K$3:$K$22*(Calc!$G$3:$G$22&gt;A2000)*(Calc!$G$3:$G$22-A2000)*Calc!$G$3:$G$22)</f>
        <v/>
      </c>
      <c r="M2000">
        <f>SUMPRODUCT(Calc!$K$3:$K$22*(Calc!$G$3:$G$22&gt;B2000)*(Calc!$G$3:$G$22-B2000)*Calc!$G$3:$G$22)</f>
        <v/>
      </c>
      <c r="N2000">
        <f>SUMPRODUCT(Calc!$K$3:$K$22*(Calc!$G$3:$G$22&gt;A2000)*(Calc!$G$3:$G$22-A2000)*Calc!$I$3:$I$22)</f>
        <v/>
      </c>
      <c r="O2000">
        <f>SUMPRODUCT(Calc!$K$3:$K$22*(Calc!$G$3:$G$22&gt;B2000)*(Calc!$G$3:$G$22-B2000)*Calc!$I$3:$I$22)</f>
        <v/>
      </c>
      <c r="P2000">
        <f>I2000-G2000^2/k_n</f>
        <v/>
      </c>
      <c r="Q2000">
        <f>J2000-H2000^2/k_n</f>
        <v/>
      </c>
      <c r="R2000">
        <f>K2000-G2000*H2000/k_n</f>
        <v/>
      </c>
      <c r="S2000">
        <f>L2000-LTP3!$D$3*G2000/k_n</f>
        <v/>
      </c>
      <c r="T2000">
        <f>M2000-LTP3!$D$3*H2000/k_n</f>
        <v/>
      </c>
      <c r="U2000">
        <f>N2000-G2000*LTP3!$D$4/k_n</f>
        <v/>
      </c>
      <c r="V2000">
        <f>O2000-H2000*LTP3!$D$4/k_n</f>
        <v/>
      </c>
      <c r="W2000">
        <f>((LTP3!$D$5)*((P2000)*(Q2000)-(R2000)*(R2000))-(S2000)*((S2000)*(Q2000)-(R2000)*(T2000))+(T2000)*((S2000)*(R2000)-(P2000)*(T2000)))</f>
        <v/>
      </c>
      <c r="X2000">
        <f>IF(ABS(W2000)&gt;1E-12,((LTP3!$D$6)*((P2000)*(Q2000)-(R2000)*(R2000))-(S2000)*((U2000)*(Q2000)-(R2000)*(V2000))+(T2000)*((U2000)*(R2000)-(P2000)*(V2000)))/W2000,0)</f>
        <v/>
      </c>
      <c r="Y2000">
        <f>IF(ABS(W2000)&gt;1E-12,((LTP3!$D$5)*((U2000)*(Q2000)-(R2000)*(V2000))-(LTP3!$D$6)*((S2000)*(Q2000)-(R2000)*(T2000))+(T2000)*((S2000)*(V2000)-(U2000)*(T2000)))/W2000,0)</f>
        <v/>
      </c>
      <c r="Z2000">
        <f>IF(ABS(W2000)&gt;1E-12,((LTP3!$D$5)*((P2000)*(V2000)-(U2000)*(R2000))-(S2000)*((S2000)*(V2000)-(U2000)*(T2000))+(LTP3!$D$6)*((S2000)*(R2000)-(P2000)*(T2000)))/W2000,0)</f>
        <v/>
      </c>
      <c r="AA2000">
        <f>LTP3!$D$7-X2000*LTP3!$D$6-Y2000*U2000-Z2000*V2000</f>
        <v/>
      </c>
      <c r="AB2000">
        <f>IF(AND(F2000,ABS(W2000)&gt;1E-12,Y2000&gt;0,Z2000&gt;0),AA2000,1E+300)</f>
        <v/>
      </c>
    </row>
    <row r="2001">
      <c r="A2001">
        <f>$B$3+$B$5*32</f>
        <v/>
      </c>
      <c r="B2001">
        <f>$B$3+$B$5*37</f>
        <v/>
      </c>
      <c r="C2001">
        <f>SUMPRODUCT(Calc!$K$3:$K$22*(Calc!$G$3:$G$22&lt;=A2001))</f>
        <v/>
      </c>
      <c r="D2001">
        <f>SUMPRODUCT(Calc!$K$3:$K$22*(Calc!$G$3:$G$22&gt;A2001)*(Calc!$G$3:$G$22&lt;B2001))</f>
        <v/>
      </c>
      <c r="E2001">
        <f>SUMPRODUCT(Calc!$K$3:$K$22*(Calc!$G$3:$G$22&gt;=B2001))</f>
        <v/>
      </c>
      <c r="F2001">
        <f>AND(k_n&gt;=5,B2001&gt;A2001+1E-9,C2001&gt;=2,D2001&gt;=1,E2001&gt;=2)</f>
        <v/>
      </c>
      <c r="G2001">
        <f>SUMPRODUCT(Calc!$K$3:$K$22*(Calc!$G$3:$G$22&gt;A2001)*(Calc!$G$3:$G$22-A2001))</f>
        <v/>
      </c>
      <c r="H2001">
        <f>SUMPRODUCT(Calc!$K$3:$K$22*(Calc!$G$3:$G$22&gt;B2001)*(Calc!$G$3:$G$22-B2001))</f>
        <v/>
      </c>
      <c r="I2001">
        <f>SUMPRODUCT(Calc!$K$3:$K$22*(Calc!$G$3:$G$22&gt;A2001)*(Calc!$G$3:$G$22-A2001)^2)</f>
        <v/>
      </c>
      <c r="J2001">
        <f>SUMPRODUCT(Calc!$K$3:$K$22*(Calc!$G$3:$G$22&gt;B2001)*(Calc!$G$3:$G$22-B2001)^2)</f>
        <v/>
      </c>
      <c r="K2001">
        <f>SUMPRODUCT(Calc!$K$3:$K$22*(Calc!$G$3:$G$22&gt;A2001)*(Calc!$G$3:$G$22-A2001)*(Calc!$G$3:$G$22&gt;B2001)*(Calc!$G$3:$G$22-B2001))</f>
        <v/>
      </c>
      <c r="L2001">
        <f>SUMPRODUCT(Calc!$K$3:$K$22*(Calc!$G$3:$G$22&gt;A2001)*(Calc!$G$3:$G$22-A2001)*Calc!$G$3:$G$22)</f>
        <v/>
      </c>
      <c r="M2001">
        <f>SUMPRODUCT(Calc!$K$3:$K$22*(Calc!$G$3:$G$22&gt;B2001)*(Calc!$G$3:$G$22-B2001)*Calc!$G$3:$G$22)</f>
        <v/>
      </c>
      <c r="N2001">
        <f>SUMPRODUCT(Calc!$K$3:$K$22*(Calc!$G$3:$G$22&gt;A2001)*(Calc!$G$3:$G$22-A2001)*Calc!$I$3:$I$22)</f>
        <v/>
      </c>
      <c r="O2001">
        <f>SUMPRODUCT(Calc!$K$3:$K$22*(Calc!$G$3:$G$22&gt;B2001)*(Calc!$G$3:$G$22-B2001)*Calc!$I$3:$I$22)</f>
        <v/>
      </c>
      <c r="P2001">
        <f>I2001-G2001^2/k_n</f>
        <v/>
      </c>
      <c r="Q2001">
        <f>J2001-H2001^2/k_n</f>
        <v/>
      </c>
      <c r="R2001">
        <f>K2001-G2001*H2001/k_n</f>
        <v/>
      </c>
      <c r="S2001">
        <f>L2001-LTP3!$D$3*G2001/k_n</f>
        <v/>
      </c>
      <c r="T2001">
        <f>M2001-LTP3!$D$3*H2001/k_n</f>
        <v/>
      </c>
      <c r="U2001">
        <f>N2001-G2001*LTP3!$D$4/k_n</f>
        <v/>
      </c>
      <c r="V2001">
        <f>O2001-H2001*LTP3!$D$4/k_n</f>
        <v/>
      </c>
      <c r="W2001">
        <f>((LTP3!$D$5)*((P2001)*(Q2001)-(R2001)*(R2001))-(S2001)*((S2001)*(Q2001)-(R2001)*(T2001))+(T2001)*((S2001)*(R2001)-(P2001)*(T2001)))</f>
        <v/>
      </c>
      <c r="X2001">
        <f>IF(ABS(W2001)&gt;1E-12,((LTP3!$D$6)*((P2001)*(Q2001)-(R2001)*(R2001))-(S2001)*((U2001)*(Q2001)-(R2001)*(V2001))+(T2001)*((U2001)*(R2001)-(P2001)*(V2001)))/W2001,0)</f>
        <v/>
      </c>
      <c r="Y2001">
        <f>IF(ABS(W2001)&gt;1E-12,((LTP3!$D$5)*((U2001)*(Q2001)-(R2001)*(V2001))-(LTP3!$D$6)*((S2001)*(Q2001)-(R2001)*(T2001))+(T2001)*((S2001)*(V2001)-(U2001)*(T2001)))/W2001,0)</f>
        <v/>
      </c>
      <c r="Z2001">
        <f>IF(ABS(W2001)&gt;1E-12,((LTP3!$D$5)*((P2001)*(V2001)-(U2001)*(R2001))-(S2001)*((S2001)*(V2001)-(U2001)*(T2001))+(LTP3!$D$6)*((S2001)*(R2001)-(P2001)*(T2001)))/W2001,0)</f>
        <v/>
      </c>
      <c r="AA2001">
        <f>LTP3!$D$7-X2001*LTP3!$D$6-Y2001*U2001-Z2001*V2001</f>
        <v/>
      </c>
      <c r="AB2001">
        <f>IF(AND(F2001,ABS(W2001)&gt;1E-12,Y2001&gt;0,Z2001&gt;0),AA2001,1E+300)</f>
        <v/>
      </c>
    </row>
    <row r="2002">
      <c r="A2002">
        <f>$B$3+$B$5*32</f>
        <v/>
      </c>
      <c r="B2002">
        <f>$B$3+$B$5*38</f>
        <v/>
      </c>
      <c r="C2002">
        <f>SUMPRODUCT(Calc!$K$3:$K$22*(Calc!$G$3:$G$22&lt;=A2002))</f>
        <v/>
      </c>
      <c r="D2002">
        <f>SUMPRODUCT(Calc!$K$3:$K$22*(Calc!$G$3:$G$22&gt;A2002)*(Calc!$G$3:$G$22&lt;B2002))</f>
        <v/>
      </c>
      <c r="E2002">
        <f>SUMPRODUCT(Calc!$K$3:$K$22*(Calc!$G$3:$G$22&gt;=B2002))</f>
        <v/>
      </c>
      <c r="F2002">
        <f>AND(k_n&gt;=5,B2002&gt;A2002+1E-9,C2002&gt;=2,D2002&gt;=1,E2002&gt;=2)</f>
        <v/>
      </c>
      <c r="G2002">
        <f>SUMPRODUCT(Calc!$K$3:$K$22*(Calc!$G$3:$G$22&gt;A2002)*(Calc!$G$3:$G$22-A2002))</f>
        <v/>
      </c>
      <c r="H2002">
        <f>SUMPRODUCT(Calc!$K$3:$K$22*(Calc!$G$3:$G$22&gt;B2002)*(Calc!$G$3:$G$22-B2002))</f>
        <v/>
      </c>
      <c r="I2002">
        <f>SUMPRODUCT(Calc!$K$3:$K$22*(Calc!$G$3:$G$22&gt;A2002)*(Calc!$G$3:$G$22-A2002)^2)</f>
        <v/>
      </c>
      <c r="J2002">
        <f>SUMPRODUCT(Calc!$K$3:$K$22*(Calc!$G$3:$G$22&gt;B2002)*(Calc!$G$3:$G$22-B2002)^2)</f>
        <v/>
      </c>
      <c r="K2002">
        <f>SUMPRODUCT(Calc!$K$3:$K$22*(Calc!$G$3:$G$22&gt;A2002)*(Calc!$G$3:$G$22-A2002)*(Calc!$G$3:$G$22&gt;B2002)*(Calc!$G$3:$G$22-B2002))</f>
        <v/>
      </c>
      <c r="L2002">
        <f>SUMPRODUCT(Calc!$K$3:$K$22*(Calc!$G$3:$G$22&gt;A2002)*(Calc!$G$3:$G$22-A2002)*Calc!$G$3:$G$22)</f>
        <v/>
      </c>
      <c r="M2002">
        <f>SUMPRODUCT(Calc!$K$3:$K$22*(Calc!$G$3:$G$22&gt;B2002)*(Calc!$G$3:$G$22-B2002)*Calc!$G$3:$G$22)</f>
        <v/>
      </c>
      <c r="N2002">
        <f>SUMPRODUCT(Calc!$K$3:$K$22*(Calc!$G$3:$G$22&gt;A2002)*(Calc!$G$3:$G$22-A2002)*Calc!$I$3:$I$22)</f>
        <v/>
      </c>
      <c r="O2002">
        <f>SUMPRODUCT(Calc!$K$3:$K$22*(Calc!$G$3:$G$22&gt;B2002)*(Calc!$G$3:$G$22-B2002)*Calc!$I$3:$I$22)</f>
        <v/>
      </c>
      <c r="P2002">
        <f>I2002-G2002^2/k_n</f>
        <v/>
      </c>
      <c r="Q2002">
        <f>J2002-H2002^2/k_n</f>
        <v/>
      </c>
      <c r="R2002">
        <f>K2002-G2002*H2002/k_n</f>
        <v/>
      </c>
      <c r="S2002">
        <f>L2002-LTP3!$D$3*G2002/k_n</f>
        <v/>
      </c>
      <c r="T2002">
        <f>M2002-LTP3!$D$3*H2002/k_n</f>
        <v/>
      </c>
      <c r="U2002">
        <f>N2002-G2002*LTP3!$D$4/k_n</f>
        <v/>
      </c>
      <c r="V2002">
        <f>O2002-H2002*LTP3!$D$4/k_n</f>
        <v/>
      </c>
      <c r="W2002">
        <f>((LTP3!$D$5)*((P2002)*(Q2002)-(R2002)*(R2002))-(S2002)*((S2002)*(Q2002)-(R2002)*(T2002))+(T2002)*((S2002)*(R2002)-(P2002)*(T2002)))</f>
        <v/>
      </c>
      <c r="X2002">
        <f>IF(ABS(W2002)&gt;1E-12,((LTP3!$D$6)*((P2002)*(Q2002)-(R2002)*(R2002))-(S2002)*((U2002)*(Q2002)-(R2002)*(V2002))+(T2002)*((U2002)*(R2002)-(P2002)*(V2002)))/W2002,0)</f>
        <v/>
      </c>
      <c r="Y2002">
        <f>IF(ABS(W2002)&gt;1E-12,((LTP3!$D$5)*((U2002)*(Q2002)-(R2002)*(V2002))-(LTP3!$D$6)*((S2002)*(Q2002)-(R2002)*(T2002))+(T2002)*((S2002)*(V2002)-(U2002)*(T2002)))/W2002,0)</f>
        <v/>
      </c>
      <c r="Z2002">
        <f>IF(ABS(W2002)&gt;1E-12,((LTP3!$D$5)*((P2002)*(V2002)-(U2002)*(R2002))-(S2002)*((S2002)*(V2002)-(U2002)*(T2002))+(LTP3!$D$6)*((S2002)*(R2002)-(P2002)*(T2002)))/W2002,0)</f>
        <v/>
      </c>
      <c r="AA2002">
        <f>LTP3!$D$7-X2002*LTP3!$D$6-Y2002*U2002-Z2002*V2002</f>
        <v/>
      </c>
      <c r="AB2002">
        <f>IF(AND(F2002,ABS(W2002)&gt;1E-12,Y2002&gt;0,Z2002&gt;0),AA2002,1E+300)</f>
        <v/>
      </c>
    </row>
    <row r="2003">
      <c r="A2003">
        <f>$B$3+$B$5*32</f>
        <v/>
      </c>
      <c r="B2003">
        <f>$B$3+$B$5*39</f>
        <v/>
      </c>
      <c r="C2003">
        <f>SUMPRODUCT(Calc!$K$3:$K$22*(Calc!$G$3:$G$22&lt;=A2003))</f>
        <v/>
      </c>
      <c r="D2003">
        <f>SUMPRODUCT(Calc!$K$3:$K$22*(Calc!$G$3:$G$22&gt;A2003)*(Calc!$G$3:$G$22&lt;B2003))</f>
        <v/>
      </c>
      <c r="E2003">
        <f>SUMPRODUCT(Calc!$K$3:$K$22*(Calc!$G$3:$G$22&gt;=B2003))</f>
        <v/>
      </c>
      <c r="F2003">
        <f>AND(k_n&gt;=5,B2003&gt;A2003+1E-9,C2003&gt;=2,D2003&gt;=1,E2003&gt;=2)</f>
        <v/>
      </c>
      <c r="G2003">
        <f>SUMPRODUCT(Calc!$K$3:$K$22*(Calc!$G$3:$G$22&gt;A2003)*(Calc!$G$3:$G$22-A2003))</f>
        <v/>
      </c>
      <c r="H2003">
        <f>SUMPRODUCT(Calc!$K$3:$K$22*(Calc!$G$3:$G$22&gt;B2003)*(Calc!$G$3:$G$22-B2003))</f>
        <v/>
      </c>
      <c r="I2003">
        <f>SUMPRODUCT(Calc!$K$3:$K$22*(Calc!$G$3:$G$22&gt;A2003)*(Calc!$G$3:$G$22-A2003)^2)</f>
        <v/>
      </c>
      <c r="J2003">
        <f>SUMPRODUCT(Calc!$K$3:$K$22*(Calc!$G$3:$G$22&gt;B2003)*(Calc!$G$3:$G$22-B2003)^2)</f>
        <v/>
      </c>
      <c r="K2003">
        <f>SUMPRODUCT(Calc!$K$3:$K$22*(Calc!$G$3:$G$22&gt;A2003)*(Calc!$G$3:$G$22-A2003)*(Calc!$G$3:$G$22&gt;B2003)*(Calc!$G$3:$G$22-B2003))</f>
        <v/>
      </c>
      <c r="L2003">
        <f>SUMPRODUCT(Calc!$K$3:$K$22*(Calc!$G$3:$G$22&gt;A2003)*(Calc!$G$3:$G$22-A2003)*Calc!$G$3:$G$22)</f>
        <v/>
      </c>
      <c r="M2003">
        <f>SUMPRODUCT(Calc!$K$3:$K$22*(Calc!$G$3:$G$22&gt;B2003)*(Calc!$G$3:$G$22-B2003)*Calc!$G$3:$G$22)</f>
        <v/>
      </c>
      <c r="N2003">
        <f>SUMPRODUCT(Calc!$K$3:$K$22*(Calc!$G$3:$G$22&gt;A2003)*(Calc!$G$3:$G$22-A2003)*Calc!$I$3:$I$22)</f>
        <v/>
      </c>
      <c r="O2003">
        <f>SUMPRODUCT(Calc!$K$3:$K$22*(Calc!$G$3:$G$22&gt;B2003)*(Calc!$G$3:$G$22-B2003)*Calc!$I$3:$I$22)</f>
        <v/>
      </c>
      <c r="P2003">
        <f>I2003-G2003^2/k_n</f>
        <v/>
      </c>
      <c r="Q2003">
        <f>J2003-H2003^2/k_n</f>
        <v/>
      </c>
      <c r="R2003">
        <f>K2003-G2003*H2003/k_n</f>
        <v/>
      </c>
      <c r="S2003">
        <f>L2003-LTP3!$D$3*G2003/k_n</f>
        <v/>
      </c>
      <c r="T2003">
        <f>M2003-LTP3!$D$3*H2003/k_n</f>
        <v/>
      </c>
      <c r="U2003">
        <f>N2003-G2003*LTP3!$D$4/k_n</f>
        <v/>
      </c>
      <c r="V2003">
        <f>O2003-H2003*LTP3!$D$4/k_n</f>
        <v/>
      </c>
      <c r="W2003">
        <f>((LTP3!$D$5)*((P2003)*(Q2003)-(R2003)*(R2003))-(S2003)*((S2003)*(Q2003)-(R2003)*(T2003))+(T2003)*((S2003)*(R2003)-(P2003)*(T2003)))</f>
        <v/>
      </c>
      <c r="X2003">
        <f>IF(ABS(W2003)&gt;1E-12,((LTP3!$D$6)*((P2003)*(Q2003)-(R2003)*(R2003))-(S2003)*((U2003)*(Q2003)-(R2003)*(V2003))+(T2003)*((U2003)*(R2003)-(P2003)*(V2003)))/W2003,0)</f>
        <v/>
      </c>
      <c r="Y2003">
        <f>IF(ABS(W2003)&gt;1E-12,((LTP3!$D$5)*((U2003)*(Q2003)-(R2003)*(V2003))-(LTP3!$D$6)*((S2003)*(Q2003)-(R2003)*(T2003))+(T2003)*((S2003)*(V2003)-(U2003)*(T2003)))/W2003,0)</f>
        <v/>
      </c>
      <c r="Z2003">
        <f>IF(ABS(W2003)&gt;1E-12,((LTP3!$D$5)*((P2003)*(V2003)-(U2003)*(R2003))-(S2003)*((S2003)*(V2003)-(U2003)*(T2003))+(LTP3!$D$6)*((S2003)*(R2003)-(P2003)*(T2003)))/W2003,0)</f>
        <v/>
      </c>
      <c r="AA2003">
        <f>LTP3!$D$7-X2003*LTP3!$D$6-Y2003*U2003-Z2003*V2003</f>
        <v/>
      </c>
      <c r="AB2003">
        <f>IF(AND(F2003,ABS(W2003)&gt;1E-12,Y2003&gt;0,Z2003&gt;0),AA2003,1E+300)</f>
        <v/>
      </c>
    </row>
    <row r="2004">
      <c r="A2004">
        <f>$B$3+$B$5*32</f>
        <v/>
      </c>
      <c r="B2004">
        <f>$B$3+$B$5*40</f>
        <v/>
      </c>
      <c r="C2004">
        <f>SUMPRODUCT(Calc!$K$3:$K$22*(Calc!$G$3:$G$22&lt;=A2004))</f>
        <v/>
      </c>
      <c r="D2004">
        <f>SUMPRODUCT(Calc!$K$3:$K$22*(Calc!$G$3:$G$22&gt;A2004)*(Calc!$G$3:$G$22&lt;B2004))</f>
        <v/>
      </c>
      <c r="E2004">
        <f>SUMPRODUCT(Calc!$K$3:$K$22*(Calc!$G$3:$G$22&gt;=B2004))</f>
        <v/>
      </c>
      <c r="F2004">
        <f>AND(k_n&gt;=5,B2004&gt;A2004+1E-9,C2004&gt;=2,D2004&gt;=1,E2004&gt;=2)</f>
        <v/>
      </c>
      <c r="G2004">
        <f>SUMPRODUCT(Calc!$K$3:$K$22*(Calc!$G$3:$G$22&gt;A2004)*(Calc!$G$3:$G$22-A2004))</f>
        <v/>
      </c>
      <c r="H2004">
        <f>SUMPRODUCT(Calc!$K$3:$K$22*(Calc!$G$3:$G$22&gt;B2004)*(Calc!$G$3:$G$22-B2004))</f>
        <v/>
      </c>
      <c r="I2004">
        <f>SUMPRODUCT(Calc!$K$3:$K$22*(Calc!$G$3:$G$22&gt;A2004)*(Calc!$G$3:$G$22-A2004)^2)</f>
        <v/>
      </c>
      <c r="J2004">
        <f>SUMPRODUCT(Calc!$K$3:$K$22*(Calc!$G$3:$G$22&gt;B2004)*(Calc!$G$3:$G$22-B2004)^2)</f>
        <v/>
      </c>
      <c r="K2004">
        <f>SUMPRODUCT(Calc!$K$3:$K$22*(Calc!$G$3:$G$22&gt;A2004)*(Calc!$G$3:$G$22-A2004)*(Calc!$G$3:$G$22&gt;B2004)*(Calc!$G$3:$G$22-B2004))</f>
        <v/>
      </c>
      <c r="L2004">
        <f>SUMPRODUCT(Calc!$K$3:$K$22*(Calc!$G$3:$G$22&gt;A2004)*(Calc!$G$3:$G$22-A2004)*Calc!$G$3:$G$22)</f>
        <v/>
      </c>
      <c r="M2004">
        <f>SUMPRODUCT(Calc!$K$3:$K$22*(Calc!$G$3:$G$22&gt;B2004)*(Calc!$G$3:$G$22-B2004)*Calc!$G$3:$G$22)</f>
        <v/>
      </c>
      <c r="N2004">
        <f>SUMPRODUCT(Calc!$K$3:$K$22*(Calc!$G$3:$G$22&gt;A2004)*(Calc!$G$3:$G$22-A2004)*Calc!$I$3:$I$22)</f>
        <v/>
      </c>
      <c r="O2004">
        <f>SUMPRODUCT(Calc!$K$3:$K$22*(Calc!$G$3:$G$22&gt;B2004)*(Calc!$G$3:$G$22-B2004)*Calc!$I$3:$I$22)</f>
        <v/>
      </c>
      <c r="P2004">
        <f>I2004-G2004^2/k_n</f>
        <v/>
      </c>
      <c r="Q2004">
        <f>J2004-H2004^2/k_n</f>
        <v/>
      </c>
      <c r="R2004">
        <f>K2004-G2004*H2004/k_n</f>
        <v/>
      </c>
      <c r="S2004">
        <f>L2004-LTP3!$D$3*G2004/k_n</f>
        <v/>
      </c>
      <c r="T2004">
        <f>M2004-LTP3!$D$3*H2004/k_n</f>
        <v/>
      </c>
      <c r="U2004">
        <f>N2004-G2004*LTP3!$D$4/k_n</f>
        <v/>
      </c>
      <c r="V2004">
        <f>O2004-H2004*LTP3!$D$4/k_n</f>
        <v/>
      </c>
      <c r="W2004">
        <f>((LTP3!$D$5)*((P2004)*(Q2004)-(R2004)*(R2004))-(S2004)*((S2004)*(Q2004)-(R2004)*(T2004))+(T2004)*((S2004)*(R2004)-(P2004)*(T2004)))</f>
        <v/>
      </c>
      <c r="X2004">
        <f>IF(ABS(W2004)&gt;1E-12,((LTP3!$D$6)*((P2004)*(Q2004)-(R2004)*(R2004))-(S2004)*((U2004)*(Q2004)-(R2004)*(V2004))+(T2004)*((U2004)*(R2004)-(P2004)*(V2004)))/W2004,0)</f>
        <v/>
      </c>
      <c r="Y2004">
        <f>IF(ABS(W2004)&gt;1E-12,((LTP3!$D$5)*((U2004)*(Q2004)-(R2004)*(V2004))-(LTP3!$D$6)*((S2004)*(Q2004)-(R2004)*(T2004))+(T2004)*((S2004)*(V2004)-(U2004)*(T2004)))/W2004,0)</f>
        <v/>
      </c>
      <c r="Z2004">
        <f>IF(ABS(W2004)&gt;1E-12,((LTP3!$D$5)*((P2004)*(V2004)-(U2004)*(R2004))-(S2004)*((S2004)*(V2004)-(U2004)*(T2004))+(LTP3!$D$6)*((S2004)*(R2004)-(P2004)*(T2004)))/W2004,0)</f>
        <v/>
      </c>
      <c r="AA2004">
        <f>LTP3!$D$7-X2004*LTP3!$D$6-Y2004*U2004-Z2004*V2004</f>
        <v/>
      </c>
      <c r="AB2004">
        <f>IF(AND(F2004,ABS(W2004)&gt;1E-12,Y2004&gt;0,Z2004&gt;0),AA2004,1E+300)</f>
        <v/>
      </c>
    </row>
    <row r="2005">
      <c r="A2005">
        <f>$B$3+$B$5*32</f>
        <v/>
      </c>
      <c r="B2005">
        <f>$B$3+$B$5*41</f>
        <v/>
      </c>
      <c r="C2005">
        <f>SUMPRODUCT(Calc!$K$3:$K$22*(Calc!$G$3:$G$22&lt;=A2005))</f>
        <v/>
      </c>
      <c r="D2005">
        <f>SUMPRODUCT(Calc!$K$3:$K$22*(Calc!$G$3:$G$22&gt;A2005)*(Calc!$G$3:$G$22&lt;B2005))</f>
        <v/>
      </c>
      <c r="E2005">
        <f>SUMPRODUCT(Calc!$K$3:$K$22*(Calc!$G$3:$G$22&gt;=B2005))</f>
        <v/>
      </c>
      <c r="F2005">
        <f>AND(k_n&gt;=5,B2005&gt;A2005+1E-9,C2005&gt;=2,D2005&gt;=1,E2005&gt;=2)</f>
        <v/>
      </c>
      <c r="G2005">
        <f>SUMPRODUCT(Calc!$K$3:$K$22*(Calc!$G$3:$G$22&gt;A2005)*(Calc!$G$3:$G$22-A2005))</f>
        <v/>
      </c>
      <c r="H2005">
        <f>SUMPRODUCT(Calc!$K$3:$K$22*(Calc!$G$3:$G$22&gt;B2005)*(Calc!$G$3:$G$22-B2005))</f>
        <v/>
      </c>
      <c r="I2005">
        <f>SUMPRODUCT(Calc!$K$3:$K$22*(Calc!$G$3:$G$22&gt;A2005)*(Calc!$G$3:$G$22-A2005)^2)</f>
        <v/>
      </c>
      <c r="J2005">
        <f>SUMPRODUCT(Calc!$K$3:$K$22*(Calc!$G$3:$G$22&gt;B2005)*(Calc!$G$3:$G$22-B2005)^2)</f>
        <v/>
      </c>
      <c r="K2005">
        <f>SUMPRODUCT(Calc!$K$3:$K$22*(Calc!$G$3:$G$22&gt;A2005)*(Calc!$G$3:$G$22-A2005)*(Calc!$G$3:$G$22&gt;B2005)*(Calc!$G$3:$G$22-B2005))</f>
        <v/>
      </c>
      <c r="L2005">
        <f>SUMPRODUCT(Calc!$K$3:$K$22*(Calc!$G$3:$G$22&gt;A2005)*(Calc!$G$3:$G$22-A2005)*Calc!$G$3:$G$22)</f>
        <v/>
      </c>
      <c r="M2005">
        <f>SUMPRODUCT(Calc!$K$3:$K$22*(Calc!$G$3:$G$22&gt;B2005)*(Calc!$G$3:$G$22-B2005)*Calc!$G$3:$G$22)</f>
        <v/>
      </c>
      <c r="N2005">
        <f>SUMPRODUCT(Calc!$K$3:$K$22*(Calc!$G$3:$G$22&gt;A2005)*(Calc!$G$3:$G$22-A2005)*Calc!$I$3:$I$22)</f>
        <v/>
      </c>
      <c r="O2005">
        <f>SUMPRODUCT(Calc!$K$3:$K$22*(Calc!$G$3:$G$22&gt;B2005)*(Calc!$G$3:$G$22-B2005)*Calc!$I$3:$I$22)</f>
        <v/>
      </c>
      <c r="P2005">
        <f>I2005-G2005^2/k_n</f>
        <v/>
      </c>
      <c r="Q2005">
        <f>J2005-H2005^2/k_n</f>
        <v/>
      </c>
      <c r="R2005">
        <f>K2005-G2005*H2005/k_n</f>
        <v/>
      </c>
      <c r="S2005">
        <f>L2005-LTP3!$D$3*G2005/k_n</f>
        <v/>
      </c>
      <c r="T2005">
        <f>M2005-LTP3!$D$3*H2005/k_n</f>
        <v/>
      </c>
      <c r="U2005">
        <f>N2005-G2005*LTP3!$D$4/k_n</f>
        <v/>
      </c>
      <c r="V2005">
        <f>O2005-H2005*LTP3!$D$4/k_n</f>
        <v/>
      </c>
      <c r="W2005">
        <f>((LTP3!$D$5)*((P2005)*(Q2005)-(R2005)*(R2005))-(S2005)*((S2005)*(Q2005)-(R2005)*(T2005))+(T2005)*((S2005)*(R2005)-(P2005)*(T2005)))</f>
        <v/>
      </c>
      <c r="X2005">
        <f>IF(ABS(W2005)&gt;1E-12,((LTP3!$D$6)*((P2005)*(Q2005)-(R2005)*(R2005))-(S2005)*((U2005)*(Q2005)-(R2005)*(V2005))+(T2005)*((U2005)*(R2005)-(P2005)*(V2005)))/W2005,0)</f>
        <v/>
      </c>
      <c r="Y2005">
        <f>IF(ABS(W2005)&gt;1E-12,((LTP3!$D$5)*((U2005)*(Q2005)-(R2005)*(V2005))-(LTP3!$D$6)*((S2005)*(Q2005)-(R2005)*(T2005))+(T2005)*((S2005)*(V2005)-(U2005)*(T2005)))/W2005,0)</f>
        <v/>
      </c>
      <c r="Z2005">
        <f>IF(ABS(W2005)&gt;1E-12,((LTP3!$D$5)*((P2005)*(V2005)-(U2005)*(R2005))-(S2005)*((S2005)*(V2005)-(U2005)*(T2005))+(LTP3!$D$6)*((S2005)*(R2005)-(P2005)*(T2005)))/W2005,0)</f>
        <v/>
      </c>
      <c r="AA2005">
        <f>LTP3!$D$7-X2005*LTP3!$D$6-Y2005*U2005-Z2005*V2005</f>
        <v/>
      </c>
      <c r="AB2005">
        <f>IF(AND(F2005,ABS(W2005)&gt;1E-12,Y2005&gt;0,Z2005&gt;0),AA2005,1E+300)</f>
        <v/>
      </c>
    </row>
    <row r="2006">
      <c r="A2006">
        <f>$B$3+$B$5*32</f>
        <v/>
      </c>
      <c r="B2006">
        <f>$B$3+$B$5*42</f>
        <v/>
      </c>
      <c r="C2006">
        <f>SUMPRODUCT(Calc!$K$3:$K$22*(Calc!$G$3:$G$22&lt;=A2006))</f>
        <v/>
      </c>
      <c r="D2006">
        <f>SUMPRODUCT(Calc!$K$3:$K$22*(Calc!$G$3:$G$22&gt;A2006)*(Calc!$G$3:$G$22&lt;B2006))</f>
        <v/>
      </c>
      <c r="E2006">
        <f>SUMPRODUCT(Calc!$K$3:$K$22*(Calc!$G$3:$G$22&gt;=B2006))</f>
        <v/>
      </c>
      <c r="F2006">
        <f>AND(k_n&gt;=5,B2006&gt;A2006+1E-9,C2006&gt;=2,D2006&gt;=1,E2006&gt;=2)</f>
        <v/>
      </c>
      <c r="G2006">
        <f>SUMPRODUCT(Calc!$K$3:$K$22*(Calc!$G$3:$G$22&gt;A2006)*(Calc!$G$3:$G$22-A2006))</f>
        <v/>
      </c>
      <c r="H2006">
        <f>SUMPRODUCT(Calc!$K$3:$K$22*(Calc!$G$3:$G$22&gt;B2006)*(Calc!$G$3:$G$22-B2006))</f>
        <v/>
      </c>
      <c r="I2006">
        <f>SUMPRODUCT(Calc!$K$3:$K$22*(Calc!$G$3:$G$22&gt;A2006)*(Calc!$G$3:$G$22-A2006)^2)</f>
        <v/>
      </c>
      <c r="J2006">
        <f>SUMPRODUCT(Calc!$K$3:$K$22*(Calc!$G$3:$G$22&gt;B2006)*(Calc!$G$3:$G$22-B2006)^2)</f>
        <v/>
      </c>
      <c r="K2006">
        <f>SUMPRODUCT(Calc!$K$3:$K$22*(Calc!$G$3:$G$22&gt;A2006)*(Calc!$G$3:$G$22-A2006)*(Calc!$G$3:$G$22&gt;B2006)*(Calc!$G$3:$G$22-B2006))</f>
        <v/>
      </c>
      <c r="L2006">
        <f>SUMPRODUCT(Calc!$K$3:$K$22*(Calc!$G$3:$G$22&gt;A2006)*(Calc!$G$3:$G$22-A2006)*Calc!$G$3:$G$22)</f>
        <v/>
      </c>
      <c r="M2006">
        <f>SUMPRODUCT(Calc!$K$3:$K$22*(Calc!$G$3:$G$22&gt;B2006)*(Calc!$G$3:$G$22-B2006)*Calc!$G$3:$G$22)</f>
        <v/>
      </c>
      <c r="N2006">
        <f>SUMPRODUCT(Calc!$K$3:$K$22*(Calc!$G$3:$G$22&gt;A2006)*(Calc!$G$3:$G$22-A2006)*Calc!$I$3:$I$22)</f>
        <v/>
      </c>
      <c r="O2006">
        <f>SUMPRODUCT(Calc!$K$3:$K$22*(Calc!$G$3:$G$22&gt;B2006)*(Calc!$G$3:$G$22-B2006)*Calc!$I$3:$I$22)</f>
        <v/>
      </c>
      <c r="P2006">
        <f>I2006-G2006^2/k_n</f>
        <v/>
      </c>
      <c r="Q2006">
        <f>J2006-H2006^2/k_n</f>
        <v/>
      </c>
      <c r="R2006">
        <f>K2006-G2006*H2006/k_n</f>
        <v/>
      </c>
      <c r="S2006">
        <f>L2006-LTP3!$D$3*G2006/k_n</f>
        <v/>
      </c>
      <c r="T2006">
        <f>M2006-LTP3!$D$3*H2006/k_n</f>
        <v/>
      </c>
      <c r="U2006">
        <f>N2006-G2006*LTP3!$D$4/k_n</f>
        <v/>
      </c>
      <c r="V2006">
        <f>O2006-H2006*LTP3!$D$4/k_n</f>
        <v/>
      </c>
      <c r="W2006">
        <f>((LTP3!$D$5)*((P2006)*(Q2006)-(R2006)*(R2006))-(S2006)*((S2006)*(Q2006)-(R2006)*(T2006))+(T2006)*((S2006)*(R2006)-(P2006)*(T2006)))</f>
        <v/>
      </c>
      <c r="X2006">
        <f>IF(ABS(W2006)&gt;1E-12,((LTP3!$D$6)*((P2006)*(Q2006)-(R2006)*(R2006))-(S2006)*((U2006)*(Q2006)-(R2006)*(V2006))+(T2006)*((U2006)*(R2006)-(P2006)*(V2006)))/W2006,0)</f>
        <v/>
      </c>
      <c r="Y2006">
        <f>IF(ABS(W2006)&gt;1E-12,((LTP3!$D$5)*((U2006)*(Q2006)-(R2006)*(V2006))-(LTP3!$D$6)*((S2006)*(Q2006)-(R2006)*(T2006))+(T2006)*((S2006)*(V2006)-(U2006)*(T2006)))/W2006,0)</f>
        <v/>
      </c>
      <c r="Z2006">
        <f>IF(ABS(W2006)&gt;1E-12,((LTP3!$D$5)*((P2006)*(V2006)-(U2006)*(R2006))-(S2006)*((S2006)*(V2006)-(U2006)*(T2006))+(LTP3!$D$6)*((S2006)*(R2006)-(P2006)*(T2006)))/W2006,0)</f>
        <v/>
      </c>
      <c r="AA2006">
        <f>LTP3!$D$7-X2006*LTP3!$D$6-Y2006*U2006-Z2006*V2006</f>
        <v/>
      </c>
      <c r="AB2006">
        <f>IF(AND(F2006,ABS(W2006)&gt;1E-12,Y2006&gt;0,Z2006&gt;0),AA2006,1E+300)</f>
        <v/>
      </c>
    </row>
    <row r="2007">
      <c r="A2007">
        <f>$B$3+$B$5*32</f>
        <v/>
      </c>
      <c r="B2007">
        <f>$B$3+$B$5*43</f>
        <v/>
      </c>
      <c r="C2007">
        <f>SUMPRODUCT(Calc!$K$3:$K$22*(Calc!$G$3:$G$22&lt;=A2007))</f>
        <v/>
      </c>
      <c r="D2007">
        <f>SUMPRODUCT(Calc!$K$3:$K$22*(Calc!$G$3:$G$22&gt;A2007)*(Calc!$G$3:$G$22&lt;B2007))</f>
        <v/>
      </c>
      <c r="E2007">
        <f>SUMPRODUCT(Calc!$K$3:$K$22*(Calc!$G$3:$G$22&gt;=B2007))</f>
        <v/>
      </c>
      <c r="F2007">
        <f>AND(k_n&gt;=5,B2007&gt;A2007+1E-9,C2007&gt;=2,D2007&gt;=1,E2007&gt;=2)</f>
        <v/>
      </c>
      <c r="G2007">
        <f>SUMPRODUCT(Calc!$K$3:$K$22*(Calc!$G$3:$G$22&gt;A2007)*(Calc!$G$3:$G$22-A2007))</f>
        <v/>
      </c>
      <c r="H2007">
        <f>SUMPRODUCT(Calc!$K$3:$K$22*(Calc!$G$3:$G$22&gt;B2007)*(Calc!$G$3:$G$22-B2007))</f>
        <v/>
      </c>
      <c r="I2007">
        <f>SUMPRODUCT(Calc!$K$3:$K$22*(Calc!$G$3:$G$22&gt;A2007)*(Calc!$G$3:$G$22-A2007)^2)</f>
        <v/>
      </c>
      <c r="J2007">
        <f>SUMPRODUCT(Calc!$K$3:$K$22*(Calc!$G$3:$G$22&gt;B2007)*(Calc!$G$3:$G$22-B2007)^2)</f>
        <v/>
      </c>
      <c r="K2007">
        <f>SUMPRODUCT(Calc!$K$3:$K$22*(Calc!$G$3:$G$22&gt;A2007)*(Calc!$G$3:$G$22-A2007)*(Calc!$G$3:$G$22&gt;B2007)*(Calc!$G$3:$G$22-B2007))</f>
        <v/>
      </c>
      <c r="L2007">
        <f>SUMPRODUCT(Calc!$K$3:$K$22*(Calc!$G$3:$G$22&gt;A2007)*(Calc!$G$3:$G$22-A2007)*Calc!$G$3:$G$22)</f>
        <v/>
      </c>
      <c r="M2007">
        <f>SUMPRODUCT(Calc!$K$3:$K$22*(Calc!$G$3:$G$22&gt;B2007)*(Calc!$G$3:$G$22-B2007)*Calc!$G$3:$G$22)</f>
        <v/>
      </c>
      <c r="N2007">
        <f>SUMPRODUCT(Calc!$K$3:$K$22*(Calc!$G$3:$G$22&gt;A2007)*(Calc!$G$3:$G$22-A2007)*Calc!$I$3:$I$22)</f>
        <v/>
      </c>
      <c r="O2007">
        <f>SUMPRODUCT(Calc!$K$3:$K$22*(Calc!$G$3:$G$22&gt;B2007)*(Calc!$G$3:$G$22-B2007)*Calc!$I$3:$I$22)</f>
        <v/>
      </c>
      <c r="P2007">
        <f>I2007-G2007^2/k_n</f>
        <v/>
      </c>
      <c r="Q2007">
        <f>J2007-H2007^2/k_n</f>
        <v/>
      </c>
      <c r="R2007">
        <f>K2007-G2007*H2007/k_n</f>
        <v/>
      </c>
      <c r="S2007">
        <f>L2007-LTP3!$D$3*G2007/k_n</f>
        <v/>
      </c>
      <c r="T2007">
        <f>M2007-LTP3!$D$3*H2007/k_n</f>
        <v/>
      </c>
      <c r="U2007">
        <f>N2007-G2007*LTP3!$D$4/k_n</f>
        <v/>
      </c>
      <c r="V2007">
        <f>O2007-H2007*LTP3!$D$4/k_n</f>
        <v/>
      </c>
      <c r="W2007">
        <f>((LTP3!$D$5)*((P2007)*(Q2007)-(R2007)*(R2007))-(S2007)*((S2007)*(Q2007)-(R2007)*(T2007))+(T2007)*((S2007)*(R2007)-(P2007)*(T2007)))</f>
        <v/>
      </c>
      <c r="X2007">
        <f>IF(ABS(W2007)&gt;1E-12,((LTP3!$D$6)*((P2007)*(Q2007)-(R2007)*(R2007))-(S2007)*((U2007)*(Q2007)-(R2007)*(V2007))+(T2007)*((U2007)*(R2007)-(P2007)*(V2007)))/W2007,0)</f>
        <v/>
      </c>
      <c r="Y2007">
        <f>IF(ABS(W2007)&gt;1E-12,((LTP3!$D$5)*((U2007)*(Q2007)-(R2007)*(V2007))-(LTP3!$D$6)*((S2007)*(Q2007)-(R2007)*(T2007))+(T2007)*((S2007)*(V2007)-(U2007)*(T2007)))/W2007,0)</f>
        <v/>
      </c>
      <c r="Z2007">
        <f>IF(ABS(W2007)&gt;1E-12,((LTP3!$D$5)*((P2007)*(V2007)-(U2007)*(R2007))-(S2007)*((S2007)*(V2007)-(U2007)*(T2007))+(LTP3!$D$6)*((S2007)*(R2007)-(P2007)*(T2007)))/W2007,0)</f>
        <v/>
      </c>
      <c r="AA2007">
        <f>LTP3!$D$7-X2007*LTP3!$D$6-Y2007*U2007-Z2007*V2007</f>
        <v/>
      </c>
      <c r="AB2007">
        <f>IF(AND(F2007,ABS(W2007)&gt;1E-12,Y2007&gt;0,Z2007&gt;0),AA2007,1E+300)</f>
        <v/>
      </c>
    </row>
    <row r="2008">
      <c r="A2008">
        <f>$B$3+$B$5*32</f>
        <v/>
      </c>
      <c r="B2008">
        <f>$B$3+$B$5*44</f>
        <v/>
      </c>
      <c r="C2008">
        <f>SUMPRODUCT(Calc!$K$3:$K$22*(Calc!$G$3:$G$22&lt;=A2008))</f>
        <v/>
      </c>
      <c r="D2008">
        <f>SUMPRODUCT(Calc!$K$3:$K$22*(Calc!$G$3:$G$22&gt;A2008)*(Calc!$G$3:$G$22&lt;B2008))</f>
        <v/>
      </c>
      <c r="E2008">
        <f>SUMPRODUCT(Calc!$K$3:$K$22*(Calc!$G$3:$G$22&gt;=B2008))</f>
        <v/>
      </c>
      <c r="F2008">
        <f>AND(k_n&gt;=5,B2008&gt;A2008+1E-9,C2008&gt;=2,D2008&gt;=1,E2008&gt;=2)</f>
        <v/>
      </c>
      <c r="G2008">
        <f>SUMPRODUCT(Calc!$K$3:$K$22*(Calc!$G$3:$G$22&gt;A2008)*(Calc!$G$3:$G$22-A2008))</f>
        <v/>
      </c>
      <c r="H2008">
        <f>SUMPRODUCT(Calc!$K$3:$K$22*(Calc!$G$3:$G$22&gt;B2008)*(Calc!$G$3:$G$22-B2008))</f>
        <v/>
      </c>
      <c r="I2008">
        <f>SUMPRODUCT(Calc!$K$3:$K$22*(Calc!$G$3:$G$22&gt;A2008)*(Calc!$G$3:$G$22-A2008)^2)</f>
        <v/>
      </c>
      <c r="J2008">
        <f>SUMPRODUCT(Calc!$K$3:$K$22*(Calc!$G$3:$G$22&gt;B2008)*(Calc!$G$3:$G$22-B2008)^2)</f>
        <v/>
      </c>
      <c r="K2008">
        <f>SUMPRODUCT(Calc!$K$3:$K$22*(Calc!$G$3:$G$22&gt;A2008)*(Calc!$G$3:$G$22-A2008)*(Calc!$G$3:$G$22&gt;B2008)*(Calc!$G$3:$G$22-B2008))</f>
        <v/>
      </c>
      <c r="L2008">
        <f>SUMPRODUCT(Calc!$K$3:$K$22*(Calc!$G$3:$G$22&gt;A2008)*(Calc!$G$3:$G$22-A2008)*Calc!$G$3:$G$22)</f>
        <v/>
      </c>
      <c r="M2008">
        <f>SUMPRODUCT(Calc!$K$3:$K$22*(Calc!$G$3:$G$22&gt;B2008)*(Calc!$G$3:$G$22-B2008)*Calc!$G$3:$G$22)</f>
        <v/>
      </c>
      <c r="N2008">
        <f>SUMPRODUCT(Calc!$K$3:$K$22*(Calc!$G$3:$G$22&gt;A2008)*(Calc!$G$3:$G$22-A2008)*Calc!$I$3:$I$22)</f>
        <v/>
      </c>
      <c r="O2008">
        <f>SUMPRODUCT(Calc!$K$3:$K$22*(Calc!$G$3:$G$22&gt;B2008)*(Calc!$G$3:$G$22-B2008)*Calc!$I$3:$I$22)</f>
        <v/>
      </c>
      <c r="P2008">
        <f>I2008-G2008^2/k_n</f>
        <v/>
      </c>
      <c r="Q2008">
        <f>J2008-H2008^2/k_n</f>
        <v/>
      </c>
      <c r="R2008">
        <f>K2008-G2008*H2008/k_n</f>
        <v/>
      </c>
      <c r="S2008">
        <f>L2008-LTP3!$D$3*G2008/k_n</f>
        <v/>
      </c>
      <c r="T2008">
        <f>M2008-LTP3!$D$3*H2008/k_n</f>
        <v/>
      </c>
      <c r="U2008">
        <f>N2008-G2008*LTP3!$D$4/k_n</f>
        <v/>
      </c>
      <c r="V2008">
        <f>O2008-H2008*LTP3!$D$4/k_n</f>
        <v/>
      </c>
      <c r="W2008">
        <f>((LTP3!$D$5)*((P2008)*(Q2008)-(R2008)*(R2008))-(S2008)*((S2008)*(Q2008)-(R2008)*(T2008))+(T2008)*((S2008)*(R2008)-(P2008)*(T2008)))</f>
        <v/>
      </c>
      <c r="X2008">
        <f>IF(ABS(W2008)&gt;1E-12,((LTP3!$D$6)*((P2008)*(Q2008)-(R2008)*(R2008))-(S2008)*((U2008)*(Q2008)-(R2008)*(V2008))+(T2008)*((U2008)*(R2008)-(P2008)*(V2008)))/W2008,0)</f>
        <v/>
      </c>
      <c r="Y2008">
        <f>IF(ABS(W2008)&gt;1E-12,((LTP3!$D$5)*((U2008)*(Q2008)-(R2008)*(V2008))-(LTP3!$D$6)*((S2008)*(Q2008)-(R2008)*(T2008))+(T2008)*((S2008)*(V2008)-(U2008)*(T2008)))/W2008,0)</f>
        <v/>
      </c>
      <c r="Z2008">
        <f>IF(ABS(W2008)&gt;1E-12,((LTP3!$D$5)*((P2008)*(V2008)-(U2008)*(R2008))-(S2008)*((S2008)*(V2008)-(U2008)*(T2008))+(LTP3!$D$6)*((S2008)*(R2008)-(P2008)*(T2008)))/W2008,0)</f>
        <v/>
      </c>
      <c r="AA2008">
        <f>LTP3!$D$7-X2008*LTP3!$D$6-Y2008*U2008-Z2008*V2008</f>
        <v/>
      </c>
      <c r="AB2008">
        <f>IF(AND(F2008,ABS(W2008)&gt;1E-12,Y2008&gt;0,Z2008&gt;0),AA2008,1E+300)</f>
        <v/>
      </c>
    </row>
    <row r="2009">
      <c r="A2009">
        <f>$B$3+$B$5*32</f>
        <v/>
      </c>
      <c r="B2009">
        <f>$B$3+$B$5*45</f>
        <v/>
      </c>
      <c r="C2009">
        <f>SUMPRODUCT(Calc!$K$3:$K$22*(Calc!$G$3:$G$22&lt;=A2009))</f>
        <v/>
      </c>
      <c r="D2009">
        <f>SUMPRODUCT(Calc!$K$3:$K$22*(Calc!$G$3:$G$22&gt;A2009)*(Calc!$G$3:$G$22&lt;B2009))</f>
        <v/>
      </c>
      <c r="E2009">
        <f>SUMPRODUCT(Calc!$K$3:$K$22*(Calc!$G$3:$G$22&gt;=B2009))</f>
        <v/>
      </c>
      <c r="F2009">
        <f>AND(k_n&gt;=5,B2009&gt;A2009+1E-9,C2009&gt;=2,D2009&gt;=1,E2009&gt;=2)</f>
        <v/>
      </c>
      <c r="G2009">
        <f>SUMPRODUCT(Calc!$K$3:$K$22*(Calc!$G$3:$G$22&gt;A2009)*(Calc!$G$3:$G$22-A2009))</f>
        <v/>
      </c>
      <c r="H2009">
        <f>SUMPRODUCT(Calc!$K$3:$K$22*(Calc!$G$3:$G$22&gt;B2009)*(Calc!$G$3:$G$22-B2009))</f>
        <v/>
      </c>
      <c r="I2009">
        <f>SUMPRODUCT(Calc!$K$3:$K$22*(Calc!$G$3:$G$22&gt;A2009)*(Calc!$G$3:$G$22-A2009)^2)</f>
        <v/>
      </c>
      <c r="J2009">
        <f>SUMPRODUCT(Calc!$K$3:$K$22*(Calc!$G$3:$G$22&gt;B2009)*(Calc!$G$3:$G$22-B2009)^2)</f>
        <v/>
      </c>
      <c r="K2009">
        <f>SUMPRODUCT(Calc!$K$3:$K$22*(Calc!$G$3:$G$22&gt;A2009)*(Calc!$G$3:$G$22-A2009)*(Calc!$G$3:$G$22&gt;B2009)*(Calc!$G$3:$G$22-B2009))</f>
        <v/>
      </c>
      <c r="L2009">
        <f>SUMPRODUCT(Calc!$K$3:$K$22*(Calc!$G$3:$G$22&gt;A2009)*(Calc!$G$3:$G$22-A2009)*Calc!$G$3:$G$22)</f>
        <v/>
      </c>
      <c r="M2009">
        <f>SUMPRODUCT(Calc!$K$3:$K$22*(Calc!$G$3:$G$22&gt;B2009)*(Calc!$G$3:$G$22-B2009)*Calc!$G$3:$G$22)</f>
        <v/>
      </c>
      <c r="N2009">
        <f>SUMPRODUCT(Calc!$K$3:$K$22*(Calc!$G$3:$G$22&gt;A2009)*(Calc!$G$3:$G$22-A2009)*Calc!$I$3:$I$22)</f>
        <v/>
      </c>
      <c r="O2009">
        <f>SUMPRODUCT(Calc!$K$3:$K$22*(Calc!$G$3:$G$22&gt;B2009)*(Calc!$G$3:$G$22-B2009)*Calc!$I$3:$I$22)</f>
        <v/>
      </c>
      <c r="P2009">
        <f>I2009-G2009^2/k_n</f>
        <v/>
      </c>
      <c r="Q2009">
        <f>J2009-H2009^2/k_n</f>
        <v/>
      </c>
      <c r="R2009">
        <f>K2009-G2009*H2009/k_n</f>
        <v/>
      </c>
      <c r="S2009">
        <f>L2009-LTP3!$D$3*G2009/k_n</f>
        <v/>
      </c>
      <c r="T2009">
        <f>M2009-LTP3!$D$3*H2009/k_n</f>
        <v/>
      </c>
      <c r="U2009">
        <f>N2009-G2009*LTP3!$D$4/k_n</f>
        <v/>
      </c>
      <c r="V2009">
        <f>O2009-H2009*LTP3!$D$4/k_n</f>
        <v/>
      </c>
      <c r="W2009">
        <f>((LTP3!$D$5)*((P2009)*(Q2009)-(R2009)*(R2009))-(S2009)*((S2009)*(Q2009)-(R2009)*(T2009))+(T2009)*((S2009)*(R2009)-(P2009)*(T2009)))</f>
        <v/>
      </c>
      <c r="X2009">
        <f>IF(ABS(W2009)&gt;1E-12,((LTP3!$D$6)*((P2009)*(Q2009)-(R2009)*(R2009))-(S2009)*((U2009)*(Q2009)-(R2009)*(V2009))+(T2009)*((U2009)*(R2009)-(P2009)*(V2009)))/W2009,0)</f>
        <v/>
      </c>
      <c r="Y2009">
        <f>IF(ABS(W2009)&gt;1E-12,((LTP3!$D$5)*((U2009)*(Q2009)-(R2009)*(V2009))-(LTP3!$D$6)*((S2009)*(Q2009)-(R2009)*(T2009))+(T2009)*((S2009)*(V2009)-(U2009)*(T2009)))/W2009,0)</f>
        <v/>
      </c>
      <c r="Z2009">
        <f>IF(ABS(W2009)&gt;1E-12,((LTP3!$D$5)*((P2009)*(V2009)-(U2009)*(R2009))-(S2009)*((S2009)*(V2009)-(U2009)*(T2009))+(LTP3!$D$6)*((S2009)*(R2009)-(P2009)*(T2009)))/W2009,0)</f>
        <v/>
      </c>
      <c r="AA2009">
        <f>LTP3!$D$7-X2009*LTP3!$D$6-Y2009*U2009-Z2009*V2009</f>
        <v/>
      </c>
      <c r="AB2009">
        <f>IF(AND(F2009,ABS(W2009)&gt;1E-12,Y2009&gt;0,Z2009&gt;0),AA2009,1E+300)</f>
        <v/>
      </c>
    </row>
    <row r="2010">
      <c r="A2010">
        <f>$B$3+$B$5*32</f>
        <v/>
      </c>
      <c r="B2010">
        <f>$B$3+$B$5*46</f>
        <v/>
      </c>
      <c r="C2010">
        <f>SUMPRODUCT(Calc!$K$3:$K$22*(Calc!$G$3:$G$22&lt;=A2010))</f>
        <v/>
      </c>
      <c r="D2010">
        <f>SUMPRODUCT(Calc!$K$3:$K$22*(Calc!$G$3:$G$22&gt;A2010)*(Calc!$G$3:$G$22&lt;B2010))</f>
        <v/>
      </c>
      <c r="E2010">
        <f>SUMPRODUCT(Calc!$K$3:$K$22*(Calc!$G$3:$G$22&gt;=B2010))</f>
        <v/>
      </c>
      <c r="F2010">
        <f>AND(k_n&gt;=5,B2010&gt;A2010+1E-9,C2010&gt;=2,D2010&gt;=1,E2010&gt;=2)</f>
        <v/>
      </c>
      <c r="G2010">
        <f>SUMPRODUCT(Calc!$K$3:$K$22*(Calc!$G$3:$G$22&gt;A2010)*(Calc!$G$3:$G$22-A2010))</f>
        <v/>
      </c>
      <c r="H2010">
        <f>SUMPRODUCT(Calc!$K$3:$K$22*(Calc!$G$3:$G$22&gt;B2010)*(Calc!$G$3:$G$22-B2010))</f>
        <v/>
      </c>
      <c r="I2010">
        <f>SUMPRODUCT(Calc!$K$3:$K$22*(Calc!$G$3:$G$22&gt;A2010)*(Calc!$G$3:$G$22-A2010)^2)</f>
        <v/>
      </c>
      <c r="J2010">
        <f>SUMPRODUCT(Calc!$K$3:$K$22*(Calc!$G$3:$G$22&gt;B2010)*(Calc!$G$3:$G$22-B2010)^2)</f>
        <v/>
      </c>
      <c r="K2010">
        <f>SUMPRODUCT(Calc!$K$3:$K$22*(Calc!$G$3:$G$22&gt;A2010)*(Calc!$G$3:$G$22-A2010)*(Calc!$G$3:$G$22&gt;B2010)*(Calc!$G$3:$G$22-B2010))</f>
        <v/>
      </c>
      <c r="L2010">
        <f>SUMPRODUCT(Calc!$K$3:$K$22*(Calc!$G$3:$G$22&gt;A2010)*(Calc!$G$3:$G$22-A2010)*Calc!$G$3:$G$22)</f>
        <v/>
      </c>
      <c r="M2010">
        <f>SUMPRODUCT(Calc!$K$3:$K$22*(Calc!$G$3:$G$22&gt;B2010)*(Calc!$G$3:$G$22-B2010)*Calc!$G$3:$G$22)</f>
        <v/>
      </c>
      <c r="N2010">
        <f>SUMPRODUCT(Calc!$K$3:$K$22*(Calc!$G$3:$G$22&gt;A2010)*(Calc!$G$3:$G$22-A2010)*Calc!$I$3:$I$22)</f>
        <v/>
      </c>
      <c r="O2010">
        <f>SUMPRODUCT(Calc!$K$3:$K$22*(Calc!$G$3:$G$22&gt;B2010)*(Calc!$G$3:$G$22-B2010)*Calc!$I$3:$I$22)</f>
        <v/>
      </c>
      <c r="P2010">
        <f>I2010-G2010^2/k_n</f>
        <v/>
      </c>
      <c r="Q2010">
        <f>J2010-H2010^2/k_n</f>
        <v/>
      </c>
      <c r="R2010">
        <f>K2010-G2010*H2010/k_n</f>
        <v/>
      </c>
      <c r="S2010">
        <f>L2010-LTP3!$D$3*G2010/k_n</f>
        <v/>
      </c>
      <c r="T2010">
        <f>M2010-LTP3!$D$3*H2010/k_n</f>
        <v/>
      </c>
      <c r="U2010">
        <f>N2010-G2010*LTP3!$D$4/k_n</f>
        <v/>
      </c>
      <c r="V2010">
        <f>O2010-H2010*LTP3!$D$4/k_n</f>
        <v/>
      </c>
      <c r="W2010">
        <f>((LTP3!$D$5)*((P2010)*(Q2010)-(R2010)*(R2010))-(S2010)*((S2010)*(Q2010)-(R2010)*(T2010))+(T2010)*((S2010)*(R2010)-(P2010)*(T2010)))</f>
        <v/>
      </c>
      <c r="X2010">
        <f>IF(ABS(W2010)&gt;1E-12,((LTP3!$D$6)*((P2010)*(Q2010)-(R2010)*(R2010))-(S2010)*((U2010)*(Q2010)-(R2010)*(V2010))+(T2010)*((U2010)*(R2010)-(P2010)*(V2010)))/W2010,0)</f>
        <v/>
      </c>
      <c r="Y2010">
        <f>IF(ABS(W2010)&gt;1E-12,((LTP3!$D$5)*((U2010)*(Q2010)-(R2010)*(V2010))-(LTP3!$D$6)*((S2010)*(Q2010)-(R2010)*(T2010))+(T2010)*((S2010)*(V2010)-(U2010)*(T2010)))/W2010,0)</f>
        <v/>
      </c>
      <c r="Z2010">
        <f>IF(ABS(W2010)&gt;1E-12,((LTP3!$D$5)*((P2010)*(V2010)-(U2010)*(R2010))-(S2010)*((S2010)*(V2010)-(U2010)*(T2010))+(LTP3!$D$6)*((S2010)*(R2010)-(P2010)*(T2010)))/W2010,0)</f>
        <v/>
      </c>
      <c r="AA2010">
        <f>LTP3!$D$7-X2010*LTP3!$D$6-Y2010*U2010-Z2010*V2010</f>
        <v/>
      </c>
      <c r="AB2010">
        <f>IF(AND(F2010,ABS(W2010)&gt;1E-12,Y2010&gt;0,Z2010&gt;0),AA2010,1E+300)</f>
        <v/>
      </c>
    </row>
    <row r="2011">
      <c r="A2011">
        <f>$B$3+$B$5*32</f>
        <v/>
      </c>
      <c r="B2011">
        <f>$B$3+$B$5*47</f>
        <v/>
      </c>
      <c r="C2011">
        <f>SUMPRODUCT(Calc!$K$3:$K$22*(Calc!$G$3:$G$22&lt;=A2011))</f>
        <v/>
      </c>
      <c r="D2011">
        <f>SUMPRODUCT(Calc!$K$3:$K$22*(Calc!$G$3:$G$22&gt;A2011)*(Calc!$G$3:$G$22&lt;B2011))</f>
        <v/>
      </c>
      <c r="E2011">
        <f>SUMPRODUCT(Calc!$K$3:$K$22*(Calc!$G$3:$G$22&gt;=B2011))</f>
        <v/>
      </c>
      <c r="F2011">
        <f>AND(k_n&gt;=5,B2011&gt;A2011+1E-9,C2011&gt;=2,D2011&gt;=1,E2011&gt;=2)</f>
        <v/>
      </c>
      <c r="G2011">
        <f>SUMPRODUCT(Calc!$K$3:$K$22*(Calc!$G$3:$G$22&gt;A2011)*(Calc!$G$3:$G$22-A2011))</f>
        <v/>
      </c>
      <c r="H2011">
        <f>SUMPRODUCT(Calc!$K$3:$K$22*(Calc!$G$3:$G$22&gt;B2011)*(Calc!$G$3:$G$22-B2011))</f>
        <v/>
      </c>
      <c r="I2011">
        <f>SUMPRODUCT(Calc!$K$3:$K$22*(Calc!$G$3:$G$22&gt;A2011)*(Calc!$G$3:$G$22-A2011)^2)</f>
        <v/>
      </c>
      <c r="J2011">
        <f>SUMPRODUCT(Calc!$K$3:$K$22*(Calc!$G$3:$G$22&gt;B2011)*(Calc!$G$3:$G$22-B2011)^2)</f>
        <v/>
      </c>
      <c r="K2011">
        <f>SUMPRODUCT(Calc!$K$3:$K$22*(Calc!$G$3:$G$22&gt;A2011)*(Calc!$G$3:$G$22-A2011)*(Calc!$G$3:$G$22&gt;B2011)*(Calc!$G$3:$G$22-B2011))</f>
        <v/>
      </c>
      <c r="L2011">
        <f>SUMPRODUCT(Calc!$K$3:$K$22*(Calc!$G$3:$G$22&gt;A2011)*(Calc!$G$3:$G$22-A2011)*Calc!$G$3:$G$22)</f>
        <v/>
      </c>
      <c r="M2011">
        <f>SUMPRODUCT(Calc!$K$3:$K$22*(Calc!$G$3:$G$22&gt;B2011)*(Calc!$G$3:$G$22-B2011)*Calc!$G$3:$G$22)</f>
        <v/>
      </c>
      <c r="N2011">
        <f>SUMPRODUCT(Calc!$K$3:$K$22*(Calc!$G$3:$G$22&gt;A2011)*(Calc!$G$3:$G$22-A2011)*Calc!$I$3:$I$22)</f>
        <v/>
      </c>
      <c r="O2011">
        <f>SUMPRODUCT(Calc!$K$3:$K$22*(Calc!$G$3:$G$22&gt;B2011)*(Calc!$G$3:$G$22-B2011)*Calc!$I$3:$I$22)</f>
        <v/>
      </c>
      <c r="P2011">
        <f>I2011-G2011^2/k_n</f>
        <v/>
      </c>
      <c r="Q2011">
        <f>J2011-H2011^2/k_n</f>
        <v/>
      </c>
      <c r="R2011">
        <f>K2011-G2011*H2011/k_n</f>
        <v/>
      </c>
      <c r="S2011">
        <f>L2011-LTP3!$D$3*G2011/k_n</f>
        <v/>
      </c>
      <c r="T2011">
        <f>M2011-LTP3!$D$3*H2011/k_n</f>
        <v/>
      </c>
      <c r="U2011">
        <f>N2011-G2011*LTP3!$D$4/k_n</f>
        <v/>
      </c>
      <c r="V2011">
        <f>O2011-H2011*LTP3!$D$4/k_n</f>
        <v/>
      </c>
      <c r="W2011">
        <f>((LTP3!$D$5)*((P2011)*(Q2011)-(R2011)*(R2011))-(S2011)*((S2011)*(Q2011)-(R2011)*(T2011))+(T2011)*((S2011)*(R2011)-(P2011)*(T2011)))</f>
        <v/>
      </c>
      <c r="X2011">
        <f>IF(ABS(W2011)&gt;1E-12,((LTP3!$D$6)*((P2011)*(Q2011)-(R2011)*(R2011))-(S2011)*((U2011)*(Q2011)-(R2011)*(V2011))+(T2011)*((U2011)*(R2011)-(P2011)*(V2011)))/W2011,0)</f>
        <v/>
      </c>
      <c r="Y2011">
        <f>IF(ABS(W2011)&gt;1E-12,((LTP3!$D$5)*((U2011)*(Q2011)-(R2011)*(V2011))-(LTP3!$D$6)*((S2011)*(Q2011)-(R2011)*(T2011))+(T2011)*((S2011)*(V2011)-(U2011)*(T2011)))/W2011,0)</f>
        <v/>
      </c>
      <c r="Z2011">
        <f>IF(ABS(W2011)&gt;1E-12,((LTP3!$D$5)*((P2011)*(V2011)-(U2011)*(R2011))-(S2011)*((S2011)*(V2011)-(U2011)*(T2011))+(LTP3!$D$6)*((S2011)*(R2011)-(P2011)*(T2011)))/W2011,0)</f>
        <v/>
      </c>
      <c r="AA2011">
        <f>LTP3!$D$7-X2011*LTP3!$D$6-Y2011*U2011-Z2011*V2011</f>
        <v/>
      </c>
      <c r="AB2011">
        <f>IF(AND(F2011,ABS(W2011)&gt;1E-12,Y2011&gt;0,Z2011&gt;0),AA2011,1E+300)</f>
        <v/>
      </c>
    </row>
    <row r="2012">
      <c r="A2012">
        <f>$B$3+$B$5*32</f>
        <v/>
      </c>
      <c r="B2012">
        <f>$B$3+$B$5*48</f>
        <v/>
      </c>
      <c r="C2012">
        <f>SUMPRODUCT(Calc!$K$3:$K$22*(Calc!$G$3:$G$22&lt;=A2012))</f>
        <v/>
      </c>
      <c r="D2012">
        <f>SUMPRODUCT(Calc!$K$3:$K$22*(Calc!$G$3:$G$22&gt;A2012)*(Calc!$G$3:$G$22&lt;B2012))</f>
        <v/>
      </c>
      <c r="E2012">
        <f>SUMPRODUCT(Calc!$K$3:$K$22*(Calc!$G$3:$G$22&gt;=B2012))</f>
        <v/>
      </c>
      <c r="F2012">
        <f>AND(k_n&gt;=5,B2012&gt;A2012+1E-9,C2012&gt;=2,D2012&gt;=1,E2012&gt;=2)</f>
        <v/>
      </c>
      <c r="G2012">
        <f>SUMPRODUCT(Calc!$K$3:$K$22*(Calc!$G$3:$G$22&gt;A2012)*(Calc!$G$3:$G$22-A2012))</f>
        <v/>
      </c>
      <c r="H2012">
        <f>SUMPRODUCT(Calc!$K$3:$K$22*(Calc!$G$3:$G$22&gt;B2012)*(Calc!$G$3:$G$22-B2012))</f>
        <v/>
      </c>
      <c r="I2012">
        <f>SUMPRODUCT(Calc!$K$3:$K$22*(Calc!$G$3:$G$22&gt;A2012)*(Calc!$G$3:$G$22-A2012)^2)</f>
        <v/>
      </c>
      <c r="J2012">
        <f>SUMPRODUCT(Calc!$K$3:$K$22*(Calc!$G$3:$G$22&gt;B2012)*(Calc!$G$3:$G$22-B2012)^2)</f>
        <v/>
      </c>
      <c r="K2012">
        <f>SUMPRODUCT(Calc!$K$3:$K$22*(Calc!$G$3:$G$22&gt;A2012)*(Calc!$G$3:$G$22-A2012)*(Calc!$G$3:$G$22&gt;B2012)*(Calc!$G$3:$G$22-B2012))</f>
        <v/>
      </c>
      <c r="L2012">
        <f>SUMPRODUCT(Calc!$K$3:$K$22*(Calc!$G$3:$G$22&gt;A2012)*(Calc!$G$3:$G$22-A2012)*Calc!$G$3:$G$22)</f>
        <v/>
      </c>
      <c r="M2012">
        <f>SUMPRODUCT(Calc!$K$3:$K$22*(Calc!$G$3:$G$22&gt;B2012)*(Calc!$G$3:$G$22-B2012)*Calc!$G$3:$G$22)</f>
        <v/>
      </c>
      <c r="N2012">
        <f>SUMPRODUCT(Calc!$K$3:$K$22*(Calc!$G$3:$G$22&gt;A2012)*(Calc!$G$3:$G$22-A2012)*Calc!$I$3:$I$22)</f>
        <v/>
      </c>
      <c r="O2012">
        <f>SUMPRODUCT(Calc!$K$3:$K$22*(Calc!$G$3:$G$22&gt;B2012)*(Calc!$G$3:$G$22-B2012)*Calc!$I$3:$I$22)</f>
        <v/>
      </c>
      <c r="P2012">
        <f>I2012-G2012^2/k_n</f>
        <v/>
      </c>
      <c r="Q2012">
        <f>J2012-H2012^2/k_n</f>
        <v/>
      </c>
      <c r="R2012">
        <f>K2012-G2012*H2012/k_n</f>
        <v/>
      </c>
      <c r="S2012">
        <f>L2012-LTP3!$D$3*G2012/k_n</f>
        <v/>
      </c>
      <c r="T2012">
        <f>M2012-LTP3!$D$3*H2012/k_n</f>
        <v/>
      </c>
      <c r="U2012">
        <f>N2012-G2012*LTP3!$D$4/k_n</f>
        <v/>
      </c>
      <c r="V2012">
        <f>O2012-H2012*LTP3!$D$4/k_n</f>
        <v/>
      </c>
      <c r="W2012">
        <f>((LTP3!$D$5)*((P2012)*(Q2012)-(R2012)*(R2012))-(S2012)*((S2012)*(Q2012)-(R2012)*(T2012))+(T2012)*((S2012)*(R2012)-(P2012)*(T2012)))</f>
        <v/>
      </c>
      <c r="X2012">
        <f>IF(ABS(W2012)&gt;1E-12,((LTP3!$D$6)*((P2012)*(Q2012)-(R2012)*(R2012))-(S2012)*((U2012)*(Q2012)-(R2012)*(V2012))+(T2012)*((U2012)*(R2012)-(P2012)*(V2012)))/W2012,0)</f>
        <v/>
      </c>
      <c r="Y2012">
        <f>IF(ABS(W2012)&gt;1E-12,((LTP3!$D$5)*((U2012)*(Q2012)-(R2012)*(V2012))-(LTP3!$D$6)*((S2012)*(Q2012)-(R2012)*(T2012))+(T2012)*((S2012)*(V2012)-(U2012)*(T2012)))/W2012,0)</f>
        <v/>
      </c>
      <c r="Z2012">
        <f>IF(ABS(W2012)&gt;1E-12,((LTP3!$D$5)*((P2012)*(V2012)-(U2012)*(R2012))-(S2012)*((S2012)*(V2012)-(U2012)*(T2012))+(LTP3!$D$6)*((S2012)*(R2012)-(P2012)*(T2012)))/W2012,0)</f>
        <v/>
      </c>
      <c r="AA2012">
        <f>LTP3!$D$7-X2012*LTP3!$D$6-Y2012*U2012-Z2012*V2012</f>
        <v/>
      </c>
      <c r="AB2012">
        <f>IF(AND(F2012,ABS(W2012)&gt;1E-12,Y2012&gt;0,Z2012&gt;0),AA2012,1E+300)</f>
        <v/>
      </c>
    </row>
    <row r="2013">
      <c r="A2013">
        <f>$B$3+$B$5*32</f>
        <v/>
      </c>
      <c r="B2013">
        <f>$B$3+$B$5*49</f>
        <v/>
      </c>
      <c r="C2013">
        <f>SUMPRODUCT(Calc!$K$3:$K$22*(Calc!$G$3:$G$22&lt;=A2013))</f>
        <v/>
      </c>
      <c r="D2013">
        <f>SUMPRODUCT(Calc!$K$3:$K$22*(Calc!$G$3:$G$22&gt;A2013)*(Calc!$G$3:$G$22&lt;B2013))</f>
        <v/>
      </c>
      <c r="E2013">
        <f>SUMPRODUCT(Calc!$K$3:$K$22*(Calc!$G$3:$G$22&gt;=B2013))</f>
        <v/>
      </c>
      <c r="F2013">
        <f>AND(k_n&gt;=5,B2013&gt;A2013+1E-9,C2013&gt;=2,D2013&gt;=1,E2013&gt;=2)</f>
        <v/>
      </c>
      <c r="G2013">
        <f>SUMPRODUCT(Calc!$K$3:$K$22*(Calc!$G$3:$G$22&gt;A2013)*(Calc!$G$3:$G$22-A2013))</f>
        <v/>
      </c>
      <c r="H2013">
        <f>SUMPRODUCT(Calc!$K$3:$K$22*(Calc!$G$3:$G$22&gt;B2013)*(Calc!$G$3:$G$22-B2013))</f>
        <v/>
      </c>
      <c r="I2013">
        <f>SUMPRODUCT(Calc!$K$3:$K$22*(Calc!$G$3:$G$22&gt;A2013)*(Calc!$G$3:$G$22-A2013)^2)</f>
        <v/>
      </c>
      <c r="J2013">
        <f>SUMPRODUCT(Calc!$K$3:$K$22*(Calc!$G$3:$G$22&gt;B2013)*(Calc!$G$3:$G$22-B2013)^2)</f>
        <v/>
      </c>
      <c r="K2013">
        <f>SUMPRODUCT(Calc!$K$3:$K$22*(Calc!$G$3:$G$22&gt;A2013)*(Calc!$G$3:$G$22-A2013)*(Calc!$G$3:$G$22&gt;B2013)*(Calc!$G$3:$G$22-B2013))</f>
        <v/>
      </c>
      <c r="L2013">
        <f>SUMPRODUCT(Calc!$K$3:$K$22*(Calc!$G$3:$G$22&gt;A2013)*(Calc!$G$3:$G$22-A2013)*Calc!$G$3:$G$22)</f>
        <v/>
      </c>
      <c r="M2013">
        <f>SUMPRODUCT(Calc!$K$3:$K$22*(Calc!$G$3:$G$22&gt;B2013)*(Calc!$G$3:$G$22-B2013)*Calc!$G$3:$G$22)</f>
        <v/>
      </c>
      <c r="N2013">
        <f>SUMPRODUCT(Calc!$K$3:$K$22*(Calc!$G$3:$G$22&gt;A2013)*(Calc!$G$3:$G$22-A2013)*Calc!$I$3:$I$22)</f>
        <v/>
      </c>
      <c r="O2013">
        <f>SUMPRODUCT(Calc!$K$3:$K$22*(Calc!$G$3:$G$22&gt;B2013)*(Calc!$G$3:$G$22-B2013)*Calc!$I$3:$I$22)</f>
        <v/>
      </c>
      <c r="P2013">
        <f>I2013-G2013^2/k_n</f>
        <v/>
      </c>
      <c r="Q2013">
        <f>J2013-H2013^2/k_n</f>
        <v/>
      </c>
      <c r="R2013">
        <f>K2013-G2013*H2013/k_n</f>
        <v/>
      </c>
      <c r="S2013">
        <f>L2013-LTP3!$D$3*G2013/k_n</f>
        <v/>
      </c>
      <c r="T2013">
        <f>M2013-LTP3!$D$3*H2013/k_n</f>
        <v/>
      </c>
      <c r="U2013">
        <f>N2013-G2013*LTP3!$D$4/k_n</f>
        <v/>
      </c>
      <c r="V2013">
        <f>O2013-H2013*LTP3!$D$4/k_n</f>
        <v/>
      </c>
      <c r="W2013">
        <f>((LTP3!$D$5)*((P2013)*(Q2013)-(R2013)*(R2013))-(S2013)*((S2013)*(Q2013)-(R2013)*(T2013))+(T2013)*((S2013)*(R2013)-(P2013)*(T2013)))</f>
        <v/>
      </c>
      <c r="X2013">
        <f>IF(ABS(W2013)&gt;1E-12,((LTP3!$D$6)*((P2013)*(Q2013)-(R2013)*(R2013))-(S2013)*((U2013)*(Q2013)-(R2013)*(V2013))+(T2013)*((U2013)*(R2013)-(P2013)*(V2013)))/W2013,0)</f>
        <v/>
      </c>
      <c r="Y2013">
        <f>IF(ABS(W2013)&gt;1E-12,((LTP3!$D$5)*((U2013)*(Q2013)-(R2013)*(V2013))-(LTP3!$D$6)*((S2013)*(Q2013)-(R2013)*(T2013))+(T2013)*((S2013)*(V2013)-(U2013)*(T2013)))/W2013,0)</f>
        <v/>
      </c>
      <c r="Z2013">
        <f>IF(ABS(W2013)&gt;1E-12,((LTP3!$D$5)*((P2013)*(V2013)-(U2013)*(R2013))-(S2013)*((S2013)*(V2013)-(U2013)*(T2013))+(LTP3!$D$6)*((S2013)*(R2013)-(P2013)*(T2013)))/W2013,0)</f>
        <v/>
      </c>
      <c r="AA2013">
        <f>LTP3!$D$7-X2013*LTP3!$D$6-Y2013*U2013-Z2013*V2013</f>
        <v/>
      </c>
      <c r="AB2013">
        <f>IF(AND(F2013,ABS(W2013)&gt;1E-12,Y2013&gt;0,Z2013&gt;0),AA2013,1E+300)</f>
        <v/>
      </c>
    </row>
    <row r="2014">
      <c r="A2014">
        <f>$B$3+$B$5*32</f>
        <v/>
      </c>
      <c r="B2014">
        <f>$B$3+$B$5*50</f>
        <v/>
      </c>
      <c r="C2014">
        <f>SUMPRODUCT(Calc!$K$3:$K$22*(Calc!$G$3:$G$22&lt;=A2014))</f>
        <v/>
      </c>
      <c r="D2014">
        <f>SUMPRODUCT(Calc!$K$3:$K$22*(Calc!$G$3:$G$22&gt;A2014)*(Calc!$G$3:$G$22&lt;B2014))</f>
        <v/>
      </c>
      <c r="E2014">
        <f>SUMPRODUCT(Calc!$K$3:$K$22*(Calc!$G$3:$G$22&gt;=B2014))</f>
        <v/>
      </c>
      <c r="F2014">
        <f>AND(k_n&gt;=5,B2014&gt;A2014+1E-9,C2014&gt;=2,D2014&gt;=1,E2014&gt;=2)</f>
        <v/>
      </c>
      <c r="G2014">
        <f>SUMPRODUCT(Calc!$K$3:$K$22*(Calc!$G$3:$G$22&gt;A2014)*(Calc!$G$3:$G$22-A2014))</f>
        <v/>
      </c>
      <c r="H2014">
        <f>SUMPRODUCT(Calc!$K$3:$K$22*(Calc!$G$3:$G$22&gt;B2014)*(Calc!$G$3:$G$22-B2014))</f>
        <v/>
      </c>
      <c r="I2014">
        <f>SUMPRODUCT(Calc!$K$3:$K$22*(Calc!$G$3:$G$22&gt;A2014)*(Calc!$G$3:$G$22-A2014)^2)</f>
        <v/>
      </c>
      <c r="J2014">
        <f>SUMPRODUCT(Calc!$K$3:$K$22*(Calc!$G$3:$G$22&gt;B2014)*(Calc!$G$3:$G$22-B2014)^2)</f>
        <v/>
      </c>
      <c r="K2014">
        <f>SUMPRODUCT(Calc!$K$3:$K$22*(Calc!$G$3:$G$22&gt;A2014)*(Calc!$G$3:$G$22-A2014)*(Calc!$G$3:$G$22&gt;B2014)*(Calc!$G$3:$G$22-B2014))</f>
        <v/>
      </c>
      <c r="L2014">
        <f>SUMPRODUCT(Calc!$K$3:$K$22*(Calc!$G$3:$G$22&gt;A2014)*(Calc!$G$3:$G$22-A2014)*Calc!$G$3:$G$22)</f>
        <v/>
      </c>
      <c r="M2014">
        <f>SUMPRODUCT(Calc!$K$3:$K$22*(Calc!$G$3:$G$22&gt;B2014)*(Calc!$G$3:$G$22-B2014)*Calc!$G$3:$G$22)</f>
        <v/>
      </c>
      <c r="N2014">
        <f>SUMPRODUCT(Calc!$K$3:$K$22*(Calc!$G$3:$G$22&gt;A2014)*(Calc!$G$3:$G$22-A2014)*Calc!$I$3:$I$22)</f>
        <v/>
      </c>
      <c r="O2014">
        <f>SUMPRODUCT(Calc!$K$3:$K$22*(Calc!$G$3:$G$22&gt;B2014)*(Calc!$G$3:$G$22-B2014)*Calc!$I$3:$I$22)</f>
        <v/>
      </c>
      <c r="P2014">
        <f>I2014-G2014^2/k_n</f>
        <v/>
      </c>
      <c r="Q2014">
        <f>J2014-H2014^2/k_n</f>
        <v/>
      </c>
      <c r="R2014">
        <f>K2014-G2014*H2014/k_n</f>
        <v/>
      </c>
      <c r="S2014">
        <f>L2014-LTP3!$D$3*G2014/k_n</f>
        <v/>
      </c>
      <c r="T2014">
        <f>M2014-LTP3!$D$3*H2014/k_n</f>
        <v/>
      </c>
      <c r="U2014">
        <f>N2014-G2014*LTP3!$D$4/k_n</f>
        <v/>
      </c>
      <c r="V2014">
        <f>O2014-H2014*LTP3!$D$4/k_n</f>
        <v/>
      </c>
      <c r="W2014">
        <f>((LTP3!$D$5)*((P2014)*(Q2014)-(R2014)*(R2014))-(S2014)*((S2014)*(Q2014)-(R2014)*(T2014))+(T2014)*((S2014)*(R2014)-(P2014)*(T2014)))</f>
        <v/>
      </c>
      <c r="X2014">
        <f>IF(ABS(W2014)&gt;1E-12,((LTP3!$D$6)*((P2014)*(Q2014)-(R2014)*(R2014))-(S2014)*((U2014)*(Q2014)-(R2014)*(V2014))+(T2014)*((U2014)*(R2014)-(P2014)*(V2014)))/W2014,0)</f>
        <v/>
      </c>
      <c r="Y2014">
        <f>IF(ABS(W2014)&gt;1E-12,((LTP3!$D$5)*((U2014)*(Q2014)-(R2014)*(V2014))-(LTP3!$D$6)*((S2014)*(Q2014)-(R2014)*(T2014))+(T2014)*((S2014)*(V2014)-(U2014)*(T2014)))/W2014,0)</f>
        <v/>
      </c>
      <c r="Z2014">
        <f>IF(ABS(W2014)&gt;1E-12,((LTP3!$D$5)*((P2014)*(V2014)-(U2014)*(R2014))-(S2014)*((S2014)*(V2014)-(U2014)*(T2014))+(LTP3!$D$6)*((S2014)*(R2014)-(P2014)*(T2014)))/W2014,0)</f>
        <v/>
      </c>
      <c r="AA2014">
        <f>LTP3!$D$7-X2014*LTP3!$D$6-Y2014*U2014-Z2014*V2014</f>
        <v/>
      </c>
      <c r="AB2014">
        <f>IF(AND(F2014,ABS(W2014)&gt;1E-12,Y2014&gt;0,Z2014&gt;0),AA2014,1E+300)</f>
        <v/>
      </c>
    </row>
    <row r="2015">
      <c r="A2015">
        <f>$B$3+$B$5*32</f>
        <v/>
      </c>
      <c r="B2015">
        <f>$B$3+$B$5*51</f>
        <v/>
      </c>
      <c r="C2015">
        <f>SUMPRODUCT(Calc!$K$3:$K$22*(Calc!$G$3:$G$22&lt;=A2015))</f>
        <v/>
      </c>
      <c r="D2015">
        <f>SUMPRODUCT(Calc!$K$3:$K$22*(Calc!$G$3:$G$22&gt;A2015)*(Calc!$G$3:$G$22&lt;B2015))</f>
        <v/>
      </c>
      <c r="E2015">
        <f>SUMPRODUCT(Calc!$K$3:$K$22*(Calc!$G$3:$G$22&gt;=B2015))</f>
        <v/>
      </c>
      <c r="F2015">
        <f>AND(k_n&gt;=5,B2015&gt;A2015+1E-9,C2015&gt;=2,D2015&gt;=1,E2015&gt;=2)</f>
        <v/>
      </c>
      <c r="G2015">
        <f>SUMPRODUCT(Calc!$K$3:$K$22*(Calc!$G$3:$G$22&gt;A2015)*(Calc!$G$3:$G$22-A2015))</f>
        <v/>
      </c>
      <c r="H2015">
        <f>SUMPRODUCT(Calc!$K$3:$K$22*(Calc!$G$3:$G$22&gt;B2015)*(Calc!$G$3:$G$22-B2015))</f>
        <v/>
      </c>
      <c r="I2015">
        <f>SUMPRODUCT(Calc!$K$3:$K$22*(Calc!$G$3:$G$22&gt;A2015)*(Calc!$G$3:$G$22-A2015)^2)</f>
        <v/>
      </c>
      <c r="J2015">
        <f>SUMPRODUCT(Calc!$K$3:$K$22*(Calc!$G$3:$G$22&gt;B2015)*(Calc!$G$3:$G$22-B2015)^2)</f>
        <v/>
      </c>
      <c r="K2015">
        <f>SUMPRODUCT(Calc!$K$3:$K$22*(Calc!$G$3:$G$22&gt;A2015)*(Calc!$G$3:$G$22-A2015)*(Calc!$G$3:$G$22&gt;B2015)*(Calc!$G$3:$G$22-B2015))</f>
        <v/>
      </c>
      <c r="L2015">
        <f>SUMPRODUCT(Calc!$K$3:$K$22*(Calc!$G$3:$G$22&gt;A2015)*(Calc!$G$3:$G$22-A2015)*Calc!$G$3:$G$22)</f>
        <v/>
      </c>
      <c r="M2015">
        <f>SUMPRODUCT(Calc!$K$3:$K$22*(Calc!$G$3:$G$22&gt;B2015)*(Calc!$G$3:$G$22-B2015)*Calc!$G$3:$G$22)</f>
        <v/>
      </c>
      <c r="N2015">
        <f>SUMPRODUCT(Calc!$K$3:$K$22*(Calc!$G$3:$G$22&gt;A2015)*(Calc!$G$3:$G$22-A2015)*Calc!$I$3:$I$22)</f>
        <v/>
      </c>
      <c r="O2015">
        <f>SUMPRODUCT(Calc!$K$3:$K$22*(Calc!$G$3:$G$22&gt;B2015)*(Calc!$G$3:$G$22-B2015)*Calc!$I$3:$I$22)</f>
        <v/>
      </c>
      <c r="P2015">
        <f>I2015-G2015^2/k_n</f>
        <v/>
      </c>
      <c r="Q2015">
        <f>J2015-H2015^2/k_n</f>
        <v/>
      </c>
      <c r="R2015">
        <f>K2015-G2015*H2015/k_n</f>
        <v/>
      </c>
      <c r="S2015">
        <f>L2015-LTP3!$D$3*G2015/k_n</f>
        <v/>
      </c>
      <c r="T2015">
        <f>M2015-LTP3!$D$3*H2015/k_n</f>
        <v/>
      </c>
      <c r="U2015">
        <f>N2015-G2015*LTP3!$D$4/k_n</f>
        <v/>
      </c>
      <c r="V2015">
        <f>O2015-H2015*LTP3!$D$4/k_n</f>
        <v/>
      </c>
      <c r="W2015">
        <f>((LTP3!$D$5)*((P2015)*(Q2015)-(R2015)*(R2015))-(S2015)*((S2015)*(Q2015)-(R2015)*(T2015))+(T2015)*((S2015)*(R2015)-(P2015)*(T2015)))</f>
        <v/>
      </c>
      <c r="X2015">
        <f>IF(ABS(W2015)&gt;1E-12,((LTP3!$D$6)*((P2015)*(Q2015)-(R2015)*(R2015))-(S2015)*((U2015)*(Q2015)-(R2015)*(V2015))+(T2015)*((U2015)*(R2015)-(P2015)*(V2015)))/W2015,0)</f>
        <v/>
      </c>
      <c r="Y2015">
        <f>IF(ABS(W2015)&gt;1E-12,((LTP3!$D$5)*((U2015)*(Q2015)-(R2015)*(V2015))-(LTP3!$D$6)*((S2015)*(Q2015)-(R2015)*(T2015))+(T2015)*((S2015)*(V2015)-(U2015)*(T2015)))/W2015,0)</f>
        <v/>
      </c>
      <c r="Z2015">
        <f>IF(ABS(W2015)&gt;1E-12,((LTP3!$D$5)*((P2015)*(V2015)-(U2015)*(R2015))-(S2015)*((S2015)*(V2015)-(U2015)*(T2015))+(LTP3!$D$6)*((S2015)*(R2015)-(P2015)*(T2015)))/W2015,0)</f>
        <v/>
      </c>
      <c r="AA2015">
        <f>LTP3!$D$7-X2015*LTP3!$D$6-Y2015*U2015-Z2015*V2015</f>
        <v/>
      </c>
      <c r="AB2015">
        <f>IF(AND(F2015,ABS(W2015)&gt;1E-12,Y2015&gt;0,Z2015&gt;0),AA2015,1E+300)</f>
        <v/>
      </c>
    </row>
    <row r="2016">
      <c r="A2016">
        <f>$B$3+$B$5*32</f>
        <v/>
      </c>
      <c r="B2016">
        <f>$B$3+$B$5*52</f>
        <v/>
      </c>
      <c r="C2016">
        <f>SUMPRODUCT(Calc!$K$3:$K$22*(Calc!$G$3:$G$22&lt;=A2016))</f>
        <v/>
      </c>
      <c r="D2016">
        <f>SUMPRODUCT(Calc!$K$3:$K$22*(Calc!$G$3:$G$22&gt;A2016)*(Calc!$G$3:$G$22&lt;B2016))</f>
        <v/>
      </c>
      <c r="E2016">
        <f>SUMPRODUCT(Calc!$K$3:$K$22*(Calc!$G$3:$G$22&gt;=B2016))</f>
        <v/>
      </c>
      <c r="F2016">
        <f>AND(k_n&gt;=5,B2016&gt;A2016+1E-9,C2016&gt;=2,D2016&gt;=1,E2016&gt;=2)</f>
        <v/>
      </c>
      <c r="G2016">
        <f>SUMPRODUCT(Calc!$K$3:$K$22*(Calc!$G$3:$G$22&gt;A2016)*(Calc!$G$3:$G$22-A2016))</f>
        <v/>
      </c>
      <c r="H2016">
        <f>SUMPRODUCT(Calc!$K$3:$K$22*(Calc!$G$3:$G$22&gt;B2016)*(Calc!$G$3:$G$22-B2016))</f>
        <v/>
      </c>
      <c r="I2016">
        <f>SUMPRODUCT(Calc!$K$3:$K$22*(Calc!$G$3:$G$22&gt;A2016)*(Calc!$G$3:$G$22-A2016)^2)</f>
        <v/>
      </c>
      <c r="J2016">
        <f>SUMPRODUCT(Calc!$K$3:$K$22*(Calc!$G$3:$G$22&gt;B2016)*(Calc!$G$3:$G$22-B2016)^2)</f>
        <v/>
      </c>
      <c r="K2016">
        <f>SUMPRODUCT(Calc!$K$3:$K$22*(Calc!$G$3:$G$22&gt;A2016)*(Calc!$G$3:$G$22-A2016)*(Calc!$G$3:$G$22&gt;B2016)*(Calc!$G$3:$G$22-B2016))</f>
        <v/>
      </c>
      <c r="L2016">
        <f>SUMPRODUCT(Calc!$K$3:$K$22*(Calc!$G$3:$G$22&gt;A2016)*(Calc!$G$3:$G$22-A2016)*Calc!$G$3:$G$22)</f>
        <v/>
      </c>
      <c r="M2016">
        <f>SUMPRODUCT(Calc!$K$3:$K$22*(Calc!$G$3:$G$22&gt;B2016)*(Calc!$G$3:$G$22-B2016)*Calc!$G$3:$G$22)</f>
        <v/>
      </c>
      <c r="N2016">
        <f>SUMPRODUCT(Calc!$K$3:$K$22*(Calc!$G$3:$G$22&gt;A2016)*(Calc!$G$3:$G$22-A2016)*Calc!$I$3:$I$22)</f>
        <v/>
      </c>
      <c r="O2016">
        <f>SUMPRODUCT(Calc!$K$3:$K$22*(Calc!$G$3:$G$22&gt;B2016)*(Calc!$G$3:$G$22-B2016)*Calc!$I$3:$I$22)</f>
        <v/>
      </c>
      <c r="P2016">
        <f>I2016-G2016^2/k_n</f>
        <v/>
      </c>
      <c r="Q2016">
        <f>J2016-H2016^2/k_n</f>
        <v/>
      </c>
      <c r="R2016">
        <f>K2016-G2016*H2016/k_n</f>
        <v/>
      </c>
      <c r="S2016">
        <f>L2016-LTP3!$D$3*G2016/k_n</f>
        <v/>
      </c>
      <c r="T2016">
        <f>M2016-LTP3!$D$3*H2016/k_n</f>
        <v/>
      </c>
      <c r="U2016">
        <f>N2016-G2016*LTP3!$D$4/k_n</f>
        <v/>
      </c>
      <c r="V2016">
        <f>O2016-H2016*LTP3!$D$4/k_n</f>
        <v/>
      </c>
      <c r="W2016">
        <f>((LTP3!$D$5)*((P2016)*(Q2016)-(R2016)*(R2016))-(S2016)*((S2016)*(Q2016)-(R2016)*(T2016))+(T2016)*((S2016)*(R2016)-(P2016)*(T2016)))</f>
        <v/>
      </c>
      <c r="X2016">
        <f>IF(ABS(W2016)&gt;1E-12,((LTP3!$D$6)*((P2016)*(Q2016)-(R2016)*(R2016))-(S2016)*((U2016)*(Q2016)-(R2016)*(V2016))+(T2016)*((U2016)*(R2016)-(P2016)*(V2016)))/W2016,0)</f>
        <v/>
      </c>
      <c r="Y2016">
        <f>IF(ABS(W2016)&gt;1E-12,((LTP3!$D$5)*((U2016)*(Q2016)-(R2016)*(V2016))-(LTP3!$D$6)*((S2016)*(Q2016)-(R2016)*(T2016))+(T2016)*((S2016)*(V2016)-(U2016)*(T2016)))/W2016,0)</f>
        <v/>
      </c>
      <c r="Z2016">
        <f>IF(ABS(W2016)&gt;1E-12,((LTP3!$D$5)*((P2016)*(V2016)-(U2016)*(R2016))-(S2016)*((S2016)*(V2016)-(U2016)*(T2016))+(LTP3!$D$6)*((S2016)*(R2016)-(P2016)*(T2016)))/W2016,0)</f>
        <v/>
      </c>
      <c r="AA2016">
        <f>LTP3!$D$7-X2016*LTP3!$D$6-Y2016*U2016-Z2016*V2016</f>
        <v/>
      </c>
      <c r="AB2016">
        <f>IF(AND(F2016,ABS(W2016)&gt;1E-12,Y2016&gt;0,Z2016&gt;0),AA2016,1E+300)</f>
        <v/>
      </c>
    </row>
    <row r="2017">
      <c r="A2017">
        <f>$B$3+$B$5*32</f>
        <v/>
      </c>
      <c r="B2017">
        <f>$B$3+$B$5*53</f>
        <v/>
      </c>
      <c r="C2017">
        <f>SUMPRODUCT(Calc!$K$3:$K$22*(Calc!$G$3:$G$22&lt;=A2017))</f>
        <v/>
      </c>
      <c r="D2017">
        <f>SUMPRODUCT(Calc!$K$3:$K$22*(Calc!$G$3:$G$22&gt;A2017)*(Calc!$G$3:$G$22&lt;B2017))</f>
        <v/>
      </c>
      <c r="E2017">
        <f>SUMPRODUCT(Calc!$K$3:$K$22*(Calc!$G$3:$G$22&gt;=B2017))</f>
        <v/>
      </c>
      <c r="F2017">
        <f>AND(k_n&gt;=5,B2017&gt;A2017+1E-9,C2017&gt;=2,D2017&gt;=1,E2017&gt;=2)</f>
        <v/>
      </c>
      <c r="G2017">
        <f>SUMPRODUCT(Calc!$K$3:$K$22*(Calc!$G$3:$G$22&gt;A2017)*(Calc!$G$3:$G$22-A2017))</f>
        <v/>
      </c>
      <c r="H2017">
        <f>SUMPRODUCT(Calc!$K$3:$K$22*(Calc!$G$3:$G$22&gt;B2017)*(Calc!$G$3:$G$22-B2017))</f>
        <v/>
      </c>
      <c r="I2017">
        <f>SUMPRODUCT(Calc!$K$3:$K$22*(Calc!$G$3:$G$22&gt;A2017)*(Calc!$G$3:$G$22-A2017)^2)</f>
        <v/>
      </c>
      <c r="J2017">
        <f>SUMPRODUCT(Calc!$K$3:$K$22*(Calc!$G$3:$G$22&gt;B2017)*(Calc!$G$3:$G$22-B2017)^2)</f>
        <v/>
      </c>
      <c r="K2017">
        <f>SUMPRODUCT(Calc!$K$3:$K$22*(Calc!$G$3:$G$22&gt;A2017)*(Calc!$G$3:$G$22-A2017)*(Calc!$G$3:$G$22&gt;B2017)*(Calc!$G$3:$G$22-B2017))</f>
        <v/>
      </c>
      <c r="L2017">
        <f>SUMPRODUCT(Calc!$K$3:$K$22*(Calc!$G$3:$G$22&gt;A2017)*(Calc!$G$3:$G$22-A2017)*Calc!$G$3:$G$22)</f>
        <v/>
      </c>
      <c r="M2017">
        <f>SUMPRODUCT(Calc!$K$3:$K$22*(Calc!$G$3:$G$22&gt;B2017)*(Calc!$G$3:$G$22-B2017)*Calc!$G$3:$G$22)</f>
        <v/>
      </c>
      <c r="N2017">
        <f>SUMPRODUCT(Calc!$K$3:$K$22*(Calc!$G$3:$G$22&gt;A2017)*(Calc!$G$3:$G$22-A2017)*Calc!$I$3:$I$22)</f>
        <v/>
      </c>
      <c r="O2017">
        <f>SUMPRODUCT(Calc!$K$3:$K$22*(Calc!$G$3:$G$22&gt;B2017)*(Calc!$G$3:$G$22-B2017)*Calc!$I$3:$I$22)</f>
        <v/>
      </c>
      <c r="P2017">
        <f>I2017-G2017^2/k_n</f>
        <v/>
      </c>
      <c r="Q2017">
        <f>J2017-H2017^2/k_n</f>
        <v/>
      </c>
      <c r="R2017">
        <f>K2017-G2017*H2017/k_n</f>
        <v/>
      </c>
      <c r="S2017">
        <f>L2017-LTP3!$D$3*G2017/k_n</f>
        <v/>
      </c>
      <c r="T2017">
        <f>M2017-LTP3!$D$3*H2017/k_n</f>
        <v/>
      </c>
      <c r="U2017">
        <f>N2017-G2017*LTP3!$D$4/k_n</f>
        <v/>
      </c>
      <c r="V2017">
        <f>O2017-H2017*LTP3!$D$4/k_n</f>
        <v/>
      </c>
      <c r="W2017">
        <f>((LTP3!$D$5)*((P2017)*(Q2017)-(R2017)*(R2017))-(S2017)*((S2017)*(Q2017)-(R2017)*(T2017))+(T2017)*((S2017)*(R2017)-(P2017)*(T2017)))</f>
        <v/>
      </c>
      <c r="X2017">
        <f>IF(ABS(W2017)&gt;1E-12,((LTP3!$D$6)*((P2017)*(Q2017)-(R2017)*(R2017))-(S2017)*((U2017)*(Q2017)-(R2017)*(V2017))+(T2017)*((U2017)*(R2017)-(P2017)*(V2017)))/W2017,0)</f>
        <v/>
      </c>
      <c r="Y2017">
        <f>IF(ABS(W2017)&gt;1E-12,((LTP3!$D$5)*((U2017)*(Q2017)-(R2017)*(V2017))-(LTP3!$D$6)*((S2017)*(Q2017)-(R2017)*(T2017))+(T2017)*((S2017)*(V2017)-(U2017)*(T2017)))/W2017,0)</f>
        <v/>
      </c>
      <c r="Z2017">
        <f>IF(ABS(W2017)&gt;1E-12,((LTP3!$D$5)*((P2017)*(V2017)-(U2017)*(R2017))-(S2017)*((S2017)*(V2017)-(U2017)*(T2017))+(LTP3!$D$6)*((S2017)*(R2017)-(P2017)*(T2017)))/W2017,0)</f>
        <v/>
      </c>
      <c r="AA2017">
        <f>LTP3!$D$7-X2017*LTP3!$D$6-Y2017*U2017-Z2017*V2017</f>
        <v/>
      </c>
      <c r="AB2017">
        <f>IF(AND(F2017,ABS(W2017)&gt;1E-12,Y2017&gt;0,Z2017&gt;0),AA2017,1E+300)</f>
        <v/>
      </c>
    </row>
    <row r="2018">
      <c r="A2018">
        <f>$B$3+$B$5*32</f>
        <v/>
      </c>
      <c r="B2018">
        <f>$B$3+$B$5*54</f>
        <v/>
      </c>
      <c r="C2018">
        <f>SUMPRODUCT(Calc!$K$3:$K$22*(Calc!$G$3:$G$22&lt;=A2018))</f>
        <v/>
      </c>
      <c r="D2018">
        <f>SUMPRODUCT(Calc!$K$3:$K$22*(Calc!$G$3:$G$22&gt;A2018)*(Calc!$G$3:$G$22&lt;B2018))</f>
        <v/>
      </c>
      <c r="E2018">
        <f>SUMPRODUCT(Calc!$K$3:$K$22*(Calc!$G$3:$G$22&gt;=B2018))</f>
        <v/>
      </c>
      <c r="F2018">
        <f>AND(k_n&gt;=5,B2018&gt;A2018+1E-9,C2018&gt;=2,D2018&gt;=1,E2018&gt;=2)</f>
        <v/>
      </c>
      <c r="G2018">
        <f>SUMPRODUCT(Calc!$K$3:$K$22*(Calc!$G$3:$G$22&gt;A2018)*(Calc!$G$3:$G$22-A2018))</f>
        <v/>
      </c>
      <c r="H2018">
        <f>SUMPRODUCT(Calc!$K$3:$K$22*(Calc!$G$3:$G$22&gt;B2018)*(Calc!$G$3:$G$22-B2018))</f>
        <v/>
      </c>
      <c r="I2018">
        <f>SUMPRODUCT(Calc!$K$3:$K$22*(Calc!$G$3:$G$22&gt;A2018)*(Calc!$G$3:$G$22-A2018)^2)</f>
        <v/>
      </c>
      <c r="J2018">
        <f>SUMPRODUCT(Calc!$K$3:$K$22*(Calc!$G$3:$G$22&gt;B2018)*(Calc!$G$3:$G$22-B2018)^2)</f>
        <v/>
      </c>
      <c r="K2018">
        <f>SUMPRODUCT(Calc!$K$3:$K$22*(Calc!$G$3:$G$22&gt;A2018)*(Calc!$G$3:$G$22-A2018)*(Calc!$G$3:$G$22&gt;B2018)*(Calc!$G$3:$G$22-B2018))</f>
        <v/>
      </c>
      <c r="L2018">
        <f>SUMPRODUCT(Calc!$K$3:$K$22*(Calc!$G$3:$G$22&gt;A2018)*(Calc!$G$3:$G$22-A2018)*Calc!$G$3:$G$22)</f>
        <v/>
      </c>
      <c r="M2018">
        <f>SUMPRODUCT(Calc!$K$3:$K$22*(Calc!$G$3:$G$22&gt;B2018)*(Calc!$G$3:$G$22-B2018)*Calc!$G$3:$G$22)</f>
        <v/>
      </c>
      <c r="N2018">
        <f>SUMPRODUCT(Calc!$K$3:$K$22*(Calc!$G$3:$G$22&gt;A2018)*(Calc!$G$3:$G$22-A2018)*Calc!$I$3:$I$22)</f>
        <v/>
      </c>
      <c r="O2018">
        <f>SUMPRODUCT(Calc!$K$3:$K$22*(Calc!$G$3:$G$22&gt;B2018)*(Calc!$G$3:$G$22-B2018)*Calc!$I$3:$I$22)</f>
        <v/>
      </c>
      <c r="P2018">
        <f>I2018-G2018^2/k_n</f>
        <v/>
      </c>
      <c r="Q2018">
        <f>J2018-H2018^2/k_n</f>
        <v/>
      </c>
      <c r="R2018">
        <f>K2018-G2018*H2018/k_n</f>
        <v/>
      </c>
      <c r="S2018">
        <f>L2018-LTP3!$D$3*G2018/k_n</f>
        <v/>
      </c>
      <c r="T2018">
        <f>M2018-LTP3!$D$3*H2018/k_n</f>
        <v/>
      </c>
      <c r="U2018">
        <f>N2018-G2018*LTP3!$D$4/k_n</f>
        <v/>
      </c>
      <c r="V2018">
        <f>O2018-H2018*LTP3!$D$4/k_n</f>
        <v/>
      </c>
      <c r="W2018">
        <f>((LTP3!$D$5)*((P2018)*(Q2018)-(R2018)*(R2018))-(S2018)*((S2018)*(Q2018)-(R2018)*(T2018))+(T2018)*((S2018)*(R2018)-(P2018)*(T2018)))</f>
        <v/>
      </c>
      <c r="X2018">
        <f>IF(ABS(W2018)&gt;1E-12,((LTP3!$D$6)*((P2018)*(Q2018)-(R2018)*(R2018))-(S2018)*((U2018)*(Q2018)-(R2018)*(V2018))+(T2018)*((U2018)*(R2018)-(P2018)*(V2018)))/W2018,0)</f>
        <v/>
      </c>
      <c r="Y2018">
        <f>IF(ABS(W2018)&gt;1E-12,((LTP3!$D$5)*((U2018)*(Q2018)-(R2018)*(V2018))-(LTP3!$D$6)*((S2018)*(Q2018)-(R2018)*(T2018))+(T2018)*((S2018)*(V2018)-(U2018)*(T2018)))/W2018,0)</f>
        <v/>
      </c>
      <c r="Z2018">
        <f>IF(ABS(W2018)&gt;1E-12,((LTP3!$D$5)*((P2018)*(V2018)-(U2018)*(R2018))-(S2018)*((S2018)*(V2018)-(U2018)*(T2018))+(LTP3!$D$6)*((S2018)*(R2018)-(P2018)*(T2018)))/W2018,0)</f>
        <v/>
      </c>
      <c r="AA2018">
        <f>LTP3!$D$7-X2018*LTP3!$D$6-Y2018*U2018-Z2018*V2018</f>
        <v/>
      </c>
      <c r="AB2018">
        <f>IF(AND(F2018,ABS(W2018)&gt;1E-12,Y2018&gt;0,Z2018&gt;0),AA2018,1E+300)</f>
        <v/>
      </c>
    </row>
    <row r="2019">
      <c r="A2019">
        <f>$B$3+$B$5*32</f>
        <v/>
      </c>
      <c r="B2019">
        <f>$B$3+$B$5*55</f>
        <v/>
      </c>
      <c r="C2019">
        <f>SUMPRODUCT(Calc!$K$3:$K$22*(Calc!$G$3:$G$22&lt;=A2019))</f>
        <v/>
      </c>
      <c r="D2019">
        <f>SUMPRODUCT(Calc!$K$3:$K$22*(Calc!$G$3:$G$22&gt;A2019)*(Calc!$G$3:$G$22&lt;B2019))</f>
        <v/>
      </c>
      <c r="E2019">
        <f>SUMPRODUCT(Calc!$K$3:$K$22*(Calc!$G$3:$G$22&gt;=B2019))</f>
        <v/>
      </c>
      <c r="F2019">
        <f>AND(k_n&gt;=5,B2019&gt;A2019+1E-9,C2019&gt;=2,D2019&gt;=1,E2019&gt;=2)</f>
        <v/>
      </c>
      <c r="G2019">
        <f>SUMPRODUCT(Calc!$K$3:$K$22*(Calc!$G$3:$G$22&gt;A2019)*(Calc!$G$3:$G$22-A2019))</f>
        <v/>
      </c>
      <c r="H2019">
        <f>SUMPRODUCT(Calc!$K$3:$K$22*(Calc!$G$3:$G$22&gt;B2019)*(Calc!$G$3:$G$22-B2019))</f>
        <v/>
      </c>
      <c r="I2019">
        <f>SUMPRODUCT(Calc!$K$3:$K$22*(Calc!$G$3:$G$22&gt;A2019)*(Calc!$G$3:$G$22-A2019)^2)</f>
        <v/>
      </c>
      <c r="J2019">
        <f>SUMPRODUCT(Calc!$K$3:$K$22*(Calc!$G$3:$G$22&gt;B2019)*(Calc!$G$3:$G$22-B2019)^2)</f>
        <v/>
      </c>
      <c r="K2019">
        <f>SUMPRODUCT(Calc!$K$3:$K$22*(Calc!$G$3:$G$22&gt;A2019)*(Calc!$G$3:$G$22-A2019)*(Calc!$G$3:$G$22&gt;B2019)*(Calc!$G$3:$G$22-B2019))</f>
        <v/>
      </c>
      <c r="L2019">
        <f>SUMPRODUCT(Calc!$K$3:$K$22*(Calc!$G$3:$G$22&gt;A2019)*(Calc!$G$3:$G$22-A2019)*Calc!$G$3:$G$22)</f>
        <v/>
      </c>
      <c r="M2019">
        <f>SUMPRODUCT(Calc!$K$3:$K$22*(Calc!$G$3:$G$22&gt;B2019)*(Calc!$G$3:$G$22-B2019)*Calc!$G$3:$G$22)</f>
        <v/>
      </c>
      <c r="N2019">
        <f>SUMPRODUCT(Calc!$K$3:$K$22*(Calc!$G$3:$G$22&gt;A2019)*(Calc!$G$3:$G$22-A2019)*Calc!$I$3:$I$22)</f>
        <v/>
      </c>
      <c r="O2019">
        <f>SUMPRODUCT(Calc!$K$3:$K$22*(Calc!$G$3:$G$22&gt;B2019)*(Calc!$G$3:$G$22-B2019)*Calc!$I$3:$I$22)</f>
        <v/>
      </c>
      <c r="P2019">
        <f>I2019-G2019^2/k_n</f>
        <v/>
      </c>
      <c r="Q2019">
        <f>J2019-H2019^2/k_n</f>
        <v/>
      </c>
      <c r="R2019">
        <f>K2019-G2019*H2019/k_n</f>
        <v/>
      </c>
      <c r="S2019">
        <f>L2019-LTP3!$D$3*G2019/k_n</f>
        <v/>
      </c>
      <c r="T2019">
        <f>M2019-LTP3!$D$3*H2019/k_n</f>
        <v/>
      </c>
      <c r="U2019">
        <f>N2019-G2019*LTP3!$D$4/k_n</f>
        <v/>
      </c>
      <c r="V2019">
        <f>O2019-H2019*LTP3!$D$4/k_n</f>
        <v/>
      </c>
      <c r="W2019">
        <f>((LTP3!$D$5)*((P2019)*(Q2019)-(R2019)*(R2019))-(S2019)*((S2019)*(Q2019)-(R2019)*(T2019))+(T2019)*((S2019)*(R2019)-(P2019)*(T2019)))</f>
        <v/>
      </c>
      <c r="X2019">
        <f>IF(ABS(W2019)&gt;1E-12,((LTP3!$D$6)*((P2019)*(Q2019)-(R2019)*(R2019))-(S2019)*((U2019)*(Q2019)-(R2019)*(V2019))+(T2019)*((U2019)*(R2019)-(P2019)*(V2019)))/W2019,0)</f>
        <v/>
      </c>
      <c r="Y2019">
        <f>IF(ABS(W2019)&gt;1E-12,((LTP3!$D$5)*((U2019)*(Q2019)-(R2019)*(V2019))-(LTP3!$D$6)*((S2019)*(Q2019)-(R2019)*(T2019))+(T2019)*((S2019)*(V2019)-(U2019)*(T2019)))/W2019,0)</f>
        <v/>
      </c>
      <c r="Z2019">
        <f>IF(ABS(W2019)&gt;1E-12,((LTP3!$D$5)*((P2019)*(V2019)-(U2019)*(R2019))-(S2019)*((S2019)*(V2019)-(U2019)*(T2019))+(LTP3!$D$6)*((S2019)*(R2019)-(P2019)*(T2019)))/W2019,0)</f>
        <v/>
      </c>
      <c r="AA2019">
        <f>LTP3!$D$7-X2019*LTP3!$D$6-Y2019*U2019-Z2019*V2019</f>
        <v/>
      </c>
      <c r="AB2019">
        <f>IF(AND(F2019,ABS(W2019)&gt;1E-12,Y2019&gt;0,Z2019&gt;0),AA2019,1E+300)</f>
        <v/>
      </c>
    </row>
    <row r="2020">
      <c r="A2020">
        <f>$B$3+$B$5*32</f>
        <v/>
      </c>
      <c r="B2020">
        <f>$B$3+$B$5*56</f>
        <v/>
      </c>
      <c r="C2020">
        <f>SUMPRODUCT(Calc!$K$3:$K$22*(Calc!$G$3:$G$22&lt;=A2020))</f>
        <v/>
      </c>
      <c r="D2020">
        <f>SUMPRODUCT(Calc!$K$3:$K$22*(Calc!$G$3:$G$22&gt;A2020)*(Calc!$G$3:$G$22&lt;B2020))</f>
        <v/>
      </c>
      <c r="E2020">
        <f>SUMPRODUCT(Calc!$K$3:$K$22*(Calc!$G$3:$G$22&gt;=B2020))</f>
        <v/>
      </c>
      <c r="F2020">
        <f>AND(k_n&gt;=5,B2020&gt;A2020+1E-9,C2020&gt;=2,D2020&gt;=1,E2020&gt;=2)</f>
        <v/>
      </c>
      <c r="G2020">
        <f>SUMPRODUCT(Calc!$K$3:$K$22*(Calc!$G$3:$G$22&gt;A2020)*(Calc!$G$3:$G$22-A2020))</f>
        <v/>
      </c>
      <c r="H2020">
        <f>SUMPRODUCT(Calc!$K$3:$K$22*(Calc!$G$3:$G$22&gt;B2020)*(Calc!$G$3:$G$22-B2020))</f>
        <v/>
      </c>
      <c r="I2020">
        <f>SUMPRODUCT(Calc!$K$3:$K$22*(Calc!$G$3:$G$22&gt;A2020)*(Calc!$G$3:$G$22-A2020)^2)</f>
        <v/>
      </c>
      <c r="J2020">
        <f>SUMPRODUCT(Calc!$K$3:$K$22*(Calc!$G$3:$G$22&gt;B2020)*(Calc!$G$3:$G$22-B2020)^2)</f>
        <v/>
      </c>
      <c r="K2020">
        <f>SUMPRODUCT(Calc!$K$3:$K$22*(Calc!$G$3:$G$22&gt;A2020)*(Calc!$G$3:$G$22-A2020)*(Calc!$G$3:$G$22&gt;B2020)*(Calc!$G$3:$G$22-B2020))</f>
        <v/>
      </c>
      <c r="L2020">
        <f>SUMPRODUCT(Calc!$K$3:$K$22*(Calc!$G$3:$G$22&gt;A2020)*(Calc!$G$3:$G$22-A2020)*Calc!$G$3:$G$22)</f>
        <v/>
      </c>
      <c r="M2020">
        <f>SUMPRODUCT(Calc!$K$3:$K$22*(Calc!$G$3:$G$22&gt;B2020)*(Calc!$G$3:$G$22-B2020)*Calc!$G$3:$G$22)</f>
        <v/>
      </c>
      <c r="N2020">
        <f>SUMPRODUCT(Calc!$K$3:$K$22*(Calc!$G$3:$G$22&gt;A2020)*(Calc!$G$3:$G$22-A2020)*Calc!$I$3:$I$22)</f>
        <v/>
      </c>
      <c r="O2020">
        <f>SUMPRODUCT(Calc!$K$3:$K$22*(Calc!$G$3:$G$22&gt;B2020)*(Calc!$G$3:$G$22-B2020)*Calc!$I$3:$I$22)</f>
        <v/>
      </c>
      <c r="P2020">
        <f>I2020-G2020^2/k_n</f>
        <v/>
      </c>
      <c r="Q2020">
        <f>J2020-H2020^2/k_n</f>
        <v/>
      </c>
      <c r="R2020">
        <f>K2020-G2020*H2020/k_n</f>
        <v/>
      </c>
      <c r="S2020">
        <f>L2020-LTP3!$D$3*G2020/k_n</f>
        <v/>
      </c>
      <c r="T2020">
        <f>M2020-LTP3!$D$3*H2020/k_n</f>
        <v/>
      </c>
      <c r="U2020">
        <f>N2020-G2020*LTP3!$D$4/k_n</f>
        <v/>
      </c>
      <c r="V2020">
        <f>O2020-H2020*LTP3!$D$4/k_n</f>
        <v/>
      </c>
      <c r="W2020">
        <f>((LTP3!$D$5)*((P2020)*(Q2020)-(R2020)*(R2020))-(S2020)*((S2020)*(Q2020)-(R2020)*(T2020))+(T2020)*((S2020)*(R2020)-(P2020)*(T2020)))</f>
        <v/>
      </c>
      <c r="X2020">
        <f>IF(ABS(W2020)&gt;1E-12,((LTP3!$D$6)*((P2020)*(Q2020)-(R2020)*(R2020))-(S2020)*((U2020)*(Q2020)-(R2020)*(V2020))+(T2020)*((U2020)*(R2020)-(P2020)*(V2020)))/W2020,0)</f>
        <v/>
      </c>
      <c r="Y2020">
        <f>IF(ABS(W2020)&gt;1E-12,((LTP3!$D$5)*((U2020)*(Q2020)-(R2020)*(V2020))-(LTP3!$D$6)*((S2020)*(Q2020)-(R2020)*(T2020))+(T2020)*((S2020)*(V2020)-(U2020)*(T2020)))/W2020,0)</f>
        <v/>
      </c>
      <c r="Z2020">
        <f>IF(ABS(W2020)&gt;1E-12,((LTP3!$D$5)*((P2020)*(V2020)-(U2020)*(R2020))-(S2020)*((S2020)*(V2020)-(U2020)*(T2020))+(LTP3!$D$6)*((S2020)*(R2020)-(P2020)*(T2020)))/W2020,0)</f>
        <v/>
      </c>
      <c r="AA2020">
        <f>LTP3!$D$7-X2020*LTP3!$D$6-Y2020*U2020-Z2020*V2020</f>
        <v/>
      </c>
      <c r="AB2020">
        <f>IF(AND(F2020,ABS(W2020)&gt;1E-12,Y2020&gt;0,Z2020&gt;0),AA2020,1E+300)</f>
        <v/>
      </c>
    </row>
    <row r="2021">
      <c r="A2021">
        <f>$B$3+$B$5*32</f>
        <v/>
      </c>
      <c r="B2021">
        <f>$B$3+$B$5*57</f>
        <v/>
      </c>
      <c r="C2021">
        <f>SUMPRODUCT(Calc!$K$3:$K$22*(Calc!$G$3:$G$22&lt;=A2021))</f>
        <v/>
      </c>
      <c r="D2021">
        <f>SUMPRODUCT(Calc!$K$3:$K$22*(Calc!$G$3:$G$22&gt;A2021)*(Calc!$G$3:$G$22&lt;B2021))</f>
        <v/>
      </c>
      <c r="E2021">
        <f>SUMPRODUCT(Calc!$K$3:$K$22*(Calc!$G$3:$G$22&gt;=B2021))</f>
        <v/>
      </c>
      <c r="F2021">
        <f>AND(k_n&gt;=5,B2021&gt;A2021+1E-9,C2021&gt;=2,D2021&gt;=1,E2021&gt;=2)</f>
        <v/>
      </c>
      <c r="G2021">
        <f>SUMPRODUCT(Calc!$K$3:$K$22*(Calc!$G$3:$G$22&gt;A2021)*(Calc!$G$3:$G$22-A2021))</f>
        <v/>
      </c>
      <c r="H2021">
        <f>SUMPRODUCT(Calc!$K$3:$K$22*(Calc!$G$3:$G$22&gt;B2021)*(Calc!$G$3:$G$22-B2021))</f>
        <v/>
      </c>
      <c r="I2021">
        <f>SUMPRODUCT(Calc!$K$3:$K$22*(Calc!$G$3:$G$22&gt;A2021)*(Calc!$G$3:$G$22-A2021)^2)</f>
        <v/>
      </c>
      <c r="J2021">
        <f>SUMPRODUCT(Calc!$K$3:$K$22*(Calc!$G$3:$G$22&gt;B2021)*(Calc!$G$3:$G$22-B2021)^2)</f>
        <v/>
      </c>
      <c r="K2021">
        <f>SUMPRODUCT(Calc!$K$3:$K$22*(Calc!$G$3:$G$22&gt;A2021)*(Calc!$G$3:$G$22-A2021)*(Calc!$G$3:$G$22&gt;B2021)*(Calc!$G$3:$G$22-B2021))</f>
        <v/>
      </c>
      <c r="L2021">
        <f>SUMPRODUCT(Calc!$K$3:$K$22*(Calc!$G$3:$G$22&gt;A2021)*(Calc!$G$3:$G$22-A2021)*Calc!$G$3:$G$22)</f>
        <v/>
      </c>
      <c r="M2021">
        <f>SUMPRODUCT(Calc!$K$3:$K$22*(Calc!$G$3:$G$22&gt;B2021)*(Calc!$G$3:$G$22-B2021)*Calc!$G$3:$G$22)</f>
        <v/>
      </c>
      <c r="N2021">
        <f>SUMPRODUCT(Calc!$K$3:$K$22*(Calc!$G$3:$G$22&gt;A2021)*(Calc!$G$3:$G$22-A2021)*Calc!$I$3:$I$22)</f>
        <v/>
      </c>
      <c r="O2021">
        <f>SUMPRODUCT(Calc!$K$3:$K$22*(Calc!$G$3:$G$22&gt;B2021)*(Calc!$G$3:$G$22-B2021)*Calc!$I$3:$I$22)</f>
        <v/>
      </c>
      <c r="P2021">
        <f>I2021-G2021^2/k_n</f>
        <v/>
      </c>
      <c r="Q2021">
        <f>J2021-H2021^2/k_n</f>
        <v/>
      </c>
      <c r="R2021">
        <f>K2021-G2021*H2021/k_n</f>
        <v/>
      </c>
      <c r="S2021">
        <f>L2021-LTP3!$D$3*G2021/k_n</f>
        <v/>
      </c>
      <c r="T2021">
        <f>M2021-LTP3!$D$3*H2021/k_n</f>
        <v/>
      </c>
      <c r="U2021">
        <f>N2021-G2021*LTP3!$D$4/k_n</f>
        <v/>
      </c>
      <c r="V2021">
        <f>O2021-H2021*LTP3!$D$4/k_n</f>
        <v/>
      </c>
      <c r="W2021">
        <f>((LTP3!$D$5)*((P2021)*(Q2021)-(R2021)*(R2021))-(S2021)*((S2021)*(Q2021)-(R2021)*(T2021))+(T2021)*((S2021)*(R2021)-(P2021)*(T2021)))</f>
        <v/>
      </c>
      <c r="X2021">
        <f>IF(ABS(W2021)&gt;1E-12,((LTP3!$D$6)*((P2021)*(Q2021)-(R2021)*(R2021))-(S2021)*((U2021)*(Q2021)-(R2021)*(V2021))+(T2021)*((U2021)*(R2021)-(P2021)*(V2021)))/W2021,0)</f>
        <v/>
      </c>
      <c r="Y2021">
        <f>IF(ABS(W2021)&gt;1E-12,((LTP3!$D$5)*((U2021)*(Q2021)-(R2021)*(V2021))-(LTP3!$D$6)*((S2021)*(Q2021)-(R2021)*(T2021))+(T2021)*((S2021)*(V2021)-(U2021)*(T2021)))/W2021,0)</f>
        <v/>
      </c>
      <c r="Z2021">
        <f>IF(ABS(W2021)&gt;1E-12,((LTP3!$D$5)*((P2021)*(V2021)-(U2021)*(R2021))-(S2021)*((S2021)*(V2021)-(U2021)*(T2021))+(LTP3!$D$6)*((S2021)*(R2021)-(P2021)*(T2021)))/W2021,0)</f>
        <v/>
      </c>
      <c r="AA2021">
        <f>LTP3!$D$7-X2021*LTP3!$D$6-Y2021*U2021-Z2021*V2021</f>
        <v/>
      </c>
      <c r="AB2021">
        <f>IF(AND(F2021,ABS(W2021)&gt;1E-12,Y2021&gt;0,Z2021&gt;0),AA2021,1E+300)</f>
        <v/>
      </c>
    </row>
    <row r="2022">
      <c r="A2022">
        <f>$B$3+$B$5*32</f>
        <v/>
      </c>
      <c r="B2022">
        <f>$B$3+$B$5*58</f>
        <v/>
      </c>
      <c r="C2022">
        <f>SUMPRODUCT(Calc!$K$3:$K$22*(Calc!$G$3:$G$22&lt;=A2022))</f>
        <v/>
      </c>
      <c r="D2022">
        <f>SUMPRODUCT(Calc!$K$3:$K$22*(Calc!$G$3:$G$22&gt;A2022)*(Calc!$G$3:$G$22&lt;B2022))</f>
        <v/>
      </c>
      <c r="E2022">
        <f>SUMPRODUCT(Calc!$K$3:$K$22*(Calc!$G$3:$G$22&gt;=B2022))</f>
        <v/>
      </c>
      <c r="F2022">
        <f>AND(k_n&gt;=5,B2022&gt;A2022+1E-9,C2022&gt;=2,D2022&gt;=1,E2022&gt;=2)</f>
        <v/>
      </c>
      <c r="G2022">
        <f>SUMPRODUCT(Calc!$K$3:$K$22*(Calc!$G$3:$G$22&gt;A2022)*(Calc!$G$3:$G$22-A2022))</f>
        <v/>
      </c>
      <c r="H2022">
        <f>SUMPRODUCT(Calc!$K$3:$K$22*(Calc!$G$3:$G$22&gt;B2022)*(Calc!$G$3:$G$22-B2022))</f>
        <v/>
      </c>
      <c r="I2022">
        <f>SUMPRODUCT(Calc!$K$3:$K$22*(Calc!$G$3:$G$22&gt;A2022)*(Calc!$G$3:$G$22-A2022)^2)</f>
        <v/>
      </c>
      <c r="J2022">
        <f>SUMPRODUCT(Calc!$K$3:$K$22*(Calc!$G$3:$G$22&gt;B2022)*(Calc!$G$3:$G$22-B2022)^2)</f>
        <v/>
      </c>
      <c r="K2022">
        <f>SUMPRODUCT(Calc!$K$3:$K$22*(Calc!$G$3:$G$22&gt;A2022)*(Calc!$G$3:$G$22-A2022)*(Calc!$G$3:$G$22&gt;B2022)*(Calc!$G$3:$G$22-B2022))</f>
        <v/>
      </c>
      <c r="L2022">
        <f>SUMPRODUCT(Calc!$K$3:$K$22*(Calc!$G$3:$G$22&gt;A2022)*(Calc!$G$3:$G$22-A2022)*Calc!$G$3:$G$22)</f>
        <v/>
      </c>
      <c r="M2022">
        <f>SUMPRODUCT(Calc!$K$3:$K$22*(Calc!$G$3:$G$22&gt;B2022)*(Calc!$G$3:$G$22-B2022)*Calc!$G$3:$G$22)</f>
        <v/>
      </c>
      <c r="N2022">
        <f>SUMPRODUCT(Calc!$K$3:$K$22*(Calc!$G$3:$G$22&gt;A2022)*(Calc!$G$3:$G$22-A2022)*Calc!$I$3:$I$22)</f>
        <v/>
      </c>
      <c r="O2022">
        <f>SUMPRODUCT(Calc!$K$3:$K$22*(Calc!$G$3:$G$22&gt;B2022)*(Calc!$G$3:$G$22-B2022)*Calc!$I$3:$I$22)</f>
        <v/>
      </c>
      <c r="P2022">
        <f>I2022-G2022^2/k_n</f>
        <v/>
      </c>
      <c r="Q2022">
        <f>J2022-H2022^2/k_n</f>
        <v/>
      </c>
      <c r="R2022">
        <f>K2022-G2022*H2022/k_n</f>
        <v/>
      </c>
      <c r="S2022">
        <f>L2022-LTP3!$D$3*G2022/k_n</f>
        <v/>
      </c>
      <c r="T2022">
        <f>M2022-LTP3!$D$3*H2022/k_n</f>
        <v/>
      </c>
      <c r="U2022">
        <f>N2022-G2022*LTP3!$D$4/k_n</f>
        <v/>
      </c>
      <c r="V2022">
        <f>O2022-H2022*LTP3!$D$4/k_n</f>
        <v/>
      </c>
      <c r="W2022">
        <f>((LTP3!$D$5)*((P2022)*(Q2022)-(R2022)*(R2022))-(S2022)*((S2022)*(Q2022)-(R2022)*(T2022))+(T2022)*((S2022)*(R2022)-(P2022)*(T2022)))</f>
        <v/>
      </c>
      <c r="X2022">
        <f>IF(ABS(W2022)&gt;1E-12,((LTP3!$D$6)*((P2022)*(Q2022)-(R2022)*(R2022))-(S2022)*((U2022)*(Q2022)-(R2022)*(V2022))+(T2022)*((U2022)*(R2022)-(P2022)*(V2022)))/W2022,0)</f>
        <v/>
      </c>
      <c r="Y2022">
        <f>IF(ABS(W2022)&gt;1E-12,((LTP3!$D$5)*((U2022)*(Q2022)-(R2022)*(V2022))-(LTP3!$D$6)*((S2022)*(Q2022)-(R2022)*(T2022))+(T2022)*((S2022)*(V2022)-(U2022)*(T2022)))/W2022,0)</f>
        <v/>
      </c>
      <c r="Z2022">
        <f>IF(ABS(W2022)&gt;1E-12,((LTP3!$D$5)*((P2022)*(V2022)-(U2022)*(R2022))-(S2022)*((S2022)*(V2022)-(U2022)*(T2022))+(LTP3!$D$6)*((S2022)*(R2022)-(P2022)*(T2022)))/W2022,0)</f>
        <v/>
      </c>
      <c r="AA2022">
        <f>LTP3!$D$7-X2022*LTP3!$D$6-Y2022*U2022-Z2022*V2022</f>
        <v/>
      </c>
      <c r="AB2022">
        <f>IF(AND(F2022,ABS(W2022)&gt;1E-12,Y2022&gt;0,Z2022&gt;0),AA2022,1E+300)</f>
        <v/>
      </c>
    </row>
    <row r="2023">
      <c r="A2023">
        <f>$B$3+$B$5*32</f>
        <v/>
      </c>
      <c r="B2023">
        <f>$B$3+$B$5*59</f>
        <v/>
      </c>
      <c r="C2023">
        <f>SUMPRODUCT(Calc!$K$3:$K$22*(Calc!$G$3:$G$22&lt;=A2023))</f>
        <v/>
      </c>
      <c r="D2023">
        <f>SUMPRODUCT(Calc!$K$3:$K$22*(Calc!$G$3:$G$22&gt;A2023)*(Calc!$G$3:$G$22&lt;B2023))</f>
        <v/>
      </c>
      <c r="E2023">
        <f>SUMPRODUCT(Calc!$K$3:$K$22*(Calc!$G$3:$G$22&gt;=B2023))</f>
        <v/>
      </c>
      <c r="F2023">
        <f>AND(k_n&gt;=5,B2023&gt;A2023+1E-9,C2023&gt;=2,D2023&gt;=1,E2023&gt;=2)</f>
        <v/>
      </c>
      <c r="G2023">
        <f>SUMPRODUCT(Calc!$K$3:$K$22*(Calc!$G$3:$G$22&gt;A2023)*(Calc!$G$3:$G$22-A2023))</f>
        <v/>
      </c>
      <c r="H2023">
        <f>SUMPRODUCT(Calc!$K$3:$K$22*(Calc!$G$3:$G$22&gt;B2023)*(Calc!$G$3:$G$22-B2023))</f>
        <v/>
      </c>
      <c r="I2023">
        <f>SUMPRODUCT(Calc!$K$3:$K$22*(Calc!$G$3:$G$22&gt;A2023)*(Calc!$G$3:$G$22-A2023)^2)</f>
        <v/>
      </c>
      <c r="J2023">
        <f>SUMPRODUCT(Calc!$K$3:$K$22*(Calc!$G$3:$G$22&gt;B2023)*(Calc!$G$3:$G$22-B2023)^2)</f>
        <v/>
      </c>
      <c r="K2023">
        <f>SUMPRODUCT(Calc!$K$3:$K$22*(Calc!$G$3:$G$22&gt;A2023)*(Calc!$G$3:$G$22-A2023)*(Calc!$G$3:$G$22&gt;B2023)*(Calc!$G$3:$G$22-B2023))</f>
        <v/>
      </c>
      <c r="L2023">
        <f>SUMPRODUCT(Calc!$K$3:$K$22*(Calc!$G$3:$G$22&gt;A2023)*(Calc!$G$3:$G$22-A2023)*Calc!$G$3:$G$22)</f>
        <v/>
      </c>
      <c r="M2023">
        <f>SUMPRODUCT(Calc!$K$3:$K$22*(Calc!$G$3:$G$22&gt;B2023)*(Calc!$G$3:$G$22-B2023)*Calc!$G$3:$G$22)</f>
        <v/>
      </c>
      <c r="N2023">
        <f>SUMPRODUCT(Calc!$K$3:$K$22*(Calc!$G$3:$G$22&gt;A2023)*(Calc!$G$3:$G$22-A2023)*Calc!$I$3:$I$22)</f>
        <v/>
      </c>
      <c r="O2023">
        <f>SUMPRODUCT(Calc!$K$3:$K$22*(Calc!$G$3:$G$22&gt;B2023)*(Calc!$G$3:$G$22-B2023)*Calc!$I$3:$I$22)</f>
        <v/>
      </c>
      <c r="P2023">
        <f>I2023-G2023^2/k_n</f>
        <v/>
      </c>
      <c r="Q2023">
        <f>J2023-H2023^2/k_n</f>
        <v/>
      </c>
      <c r="R2023">
        <f>K2023-G2023*H2023/k_n</f>
        <v/>
      </c>
      <c r="S2023">
        <f>L2023-LTP3!$D$3*G2023/k_n</f>
        <v/>
      </c>
      <c r="T2023">
        <f>M2023-LTP3!$D$3*H2023/k_n</f>
        <v/>
      </c>
      <c r="U2023">
        <f>N2023-G2023*LTP3!$D$4/k_n</f>
        <v/>
      </c>
      <c r="V2023">
        <f>O2023-H2023*LTP3!$D$4/k_n</f>
        <v/>
      </c>
      <c r="W2023">
        <f>((LTP3!$D$5)*((P2023)*(Q2023)-(R2023)*(R2023))-(S2023)*((S2023)*(Q2023)-(R2023)*(T2023))+(T2023)*((S2023)*(R2023)-(P2023)*(T2023)))</f>
        <v/>
      </c>
      <c r="X2023">
        <f>IF(ABS(W2023)&gt;1E-12,((LTP3!$D$6)*((P2023)*(Q2023)-(R2023)*(R2023))-(S2023)*((U2023)*(Q2023)-(R2023)*(V2023))+(T2023)*((U2023)*(R2023)-(P2023)*(V2023)))/W2023,0)</f>
        <v/>
      </c>
      <c r="Y2023">
        <f>IF(ABS(W2023)&gt;1E-12,((LTP3!$D$5)*((U2023)*(Q2023)-(R2023)*(V2023))-(LTP3!$D$6)*((S2023)*(Q2023)-(R2023)*(T2023))+(T2023)*((S2023)*(V2023)-(U2023)*(T2023)))/W2023,0)</f>
        <v/>
      </c>
      <c r="Z2023">
        <f>IF(ABS(W2023)&gt;1E-12,((LTP3!$D$5)*((P2023)*(V2023)-(U2023)*(R2023))-(S2023)*((S2023)*(V2023)-(U2023)*(T2023))+(LTP3!$D$6)*((S2023)*(R2023)-(P2023)*(T2023)))/W2023,0)</f>
        <v/>
      </c>
      <c r="AA2023">
        <f>LTP3!$D$7-X2023*LTP3!$D$6-Y2023*U2023-Z2023*V2023</f>
        <v/>
      </c>
      <c r="AB2023">
        <f>IF(AND(F2023,ABS(W2023)&gt;1E-12,Y2023&gt;0,Z2023&gt;0),AA2023,1E+300)</f>
        <v/>
      </c>
    </row>
    <row r="2024">
      <c r="A2024">
        <f>$B$3+$B$5*32</f>
        <v/>
      </c>
      <c r="B2024">
        <f>$B$3+$B$5*60</f>
        <v/>
      </c>
      <c r="C2024">
        <f>SUMPRODUCT(Calc!$K$3:$K$22*(Calc!$G$3:$G$22&lt;=A2024))</f>
        <v/>
      </c>
      <c r="D2024">
        <f>SUMPRODUCT(Calc!$K$3:$K$22*(Calc!$G$3:$G$22&gt;A2024)*(Calc!$G$3:$G$22&lt;B2024))</f>
        <v/>
      </c>
      <c r="E2024">
        <f>SUMPRODUCT(Calc!$K$3:$K$22*(Calc!$G$3:$G$22&gt;=B2024))</f>
        <v/>
      </c>
      <c r="F2024">
        <f>AND(k_n&gt;=5,B2024&gt;A2024+1E-9,C2024&gt;=2,D2024&gt;=1,E2024&gt;=2)</f>
        <v/>
      </c>
      <c r="G2024">
        <f>SUMPRODUCT(Calc!$K$3:$K$22*(Calc!$G$3:$G$22&gt;A2024)*(Calc!$G$3:$G$22-A2024))</f>
        <v/>
      </c>
      <c r="H2024">
        <f>SUMPRODUCT(Calc!$K$3:$K$22*(Calc!$G$3:$G$22&gt;B2024)*(Calc!$G$3:$G$22-B2024))</f>
        <v/>
      </c>
      <c r="I2024">
        <f>SUMPRODUCT(Calc!$K$3:$K$22*(Calc!$G$3:$G$22&gt;A2024)*(Calc!$G$3:$G$22-A2024)^2)</f>
        <v/>
      </c>
      <c r="J2024">
        <f>SUMPRODUCT(Calc!$K$3:$K$22*(Calc!$G$3:$G$22&gt;B2024)*(Calc!$G$3:$G$22-B2024)^2)</f>
        <v/>
      </c>
      <c r="K2024">
        <f>SUMPRODUCT(Calc!$K$3:$K$22*(Calc!$G$3:$G$22&gt;A2024)*(Calc!$G$3:$G$22-A2024)*(Calc!$G$3:$G$22&gt;B2024)*(Calc!$G$3:$G$22-B2024))</f>
        <v/>
      </c>
      <c r="L2024">
        <f>SUMPRODUCT(Calc!$K$3:$K$22*(Calc!$G$3:$G$22&gt;A2024)*(Calc!$G$3:$G$22-A2024)*Calc!$G$3:$G$22)</f>
        <v/>
      </c>
      <c r="M2024">
        <f>SUMPRODUCT(Calc!$K$3:$K$22*(Calc!$G$3:$G$22&gt;B2024)*(Calc!$G$3:$G$22-B2024)*Calc!$G$3:$G$22)</f>
        <v/>
      </c>
      <c r="N2024">
        <f>SUMPRODUCT(Calc!$K$3:$K$22*(Calc!$G$3:$G$22&gt;A2024)*(Calc!$G$3:$G$22-A2024)*Calc!$I$3:$I$22)</f>
        <v/>
      </c>
      <c r="O2024">
        <f>SUMPRODUCT(Calc!$K$3:$K$22*(Calc!$G$3:$G$22&gt;B2024)*(Calc!$G$3:$G$22-B2024)*Calc!$I$3:$I$22)</f>
        <v/>
      </c>
      <c r="P2024">
        <f>I2024-G2024^2/k_n</f>
        <v/>
      </c>
      <c r="Q2024">
        <f>J2024-H2024^2/k_n</f>
        <v/>
      </c>
      <c r="R2024">
        <f>K2024-G2024*H2024/k_n</f>
        <v/>
      </c>
      <c r="S2024">
        <f>L2024-LTP3!$D$3*G2024/k_n</f>
        <v/>
      </c>
      <c r="T2024">
        <f>M2024-LTP3!$D$3*H2024/k_n</f>
        <v/>
      </c>
      <c r="U2024">
        <f>N2024-G2024*LTP3!$D$4/k_n</f>
        <v/>
      </c>
      <c r="V2024">
        <f>O2024-H2024*LTP3!$D$4/k_n</f>
        <v/>
      </c>
      <c r="W2024">
        <f>((LTP3!$D$5)*((P2024)*(Q2024)-(R2024)*(R2024))-(S2024)*((S2024)*(Q2024)-(R2024)*(T2024))+(T2024)*((S2024)*(R2024)-(P2024)*(T2024)))</f>
        <v/>
      </c>
      <c r="X2024">
        <f>IF(ABS(W2024)&gt;1E-12,((LTP3!$D$6)*((P2024)*(Q2024)-(R2024)*(R2024))-(S2024)*((U2024)*(Q2024)-(R2024)*(V2024))+(T2024)*((U2024)*(R2024)-(P2024)*(V2024)))/W2024,0)</f>
        <v/>
      </c>
      <c r="Y2024">
        <f>IF(ABS(W2024)&gt;1E-12,((LTP3!$D$5)*((U2024)*(Q2024)-(R2024)*(V2024))-(LTP3!$D$6)*((S2024)*(Q2024)-(R2024)*(T2024))+(T2024)*((S2024)*(V2024)-(U2024)*(T2024)))/W2024,0)</f>
        <v/>
      </c>
      <c r="Z2024">
        <f>IF(ABS(W2024)&gt;1E-12,((LTP3!$D$5)*((P2024)*(V2024)-(U2024)*(R2024))-(S2024)*((S2024)*(V2024)-(U2024)*(T2024))+(LTP3!$D$6)*((S2024)*(R2024)-(P2024)*(T2024)))/W2024,0)</f>
        <v/>
      </c>
      <c r="AA2024">
        <f>LTP3!$D$7-X2024*LTP3!$D$6-Y2024*U2024-Z2024*V2024</f>
        <v/>
      </c>
      <c r="AB2024">
        <f>IF(AND(F2024,ABS(W2024)&gt;1E-12,Y2024&gt;0,Z2024&gt;0),AA2024,1E+300)</f>
        <v/>
      </c>
    </row>
    <row r="2025">
      <c r="A2025">
        <f>$B$3+$B$5*33</f>
        <v/>
      </c>
      <c r="B2025">
        <f>$B$3+$B$5*0</f>
        <v/>
      </c>
      <c r="C2025">
        <f>SUMPRODUCT(Calc!$K$3:$K$22*(Calc!$G$3:$G$22&lt;=A2025))</f>
        <v/>
      </c>
      <c r="D2025">
        <f>SUMPRODUCT(Calc!$K$3:$K$22*(Calc!$G$3:$G$22&gt;A2025)*(Calc!$G$3:$G$22&lt;B2025))</f>
        <v/>
      </c>
      <c r="E2025">
        <f>SUMPRODUCT(Calc!$K$3:$K$22*(Calc!$G$3:$G$22&gt;=B2025))</f>
        <v/>
      </c>
      <c r="F2025">
        <f>AND(k_n&gt;=5,B2025&gt;A2025+1E-9,C2025&gt;=2,D2025&gt;=1,E2025&gt;=2)</f>
        <v/>
      </c>
      <c r="G2025">
        <f>SUMPRODUCT(Calc!$K$3:$K$22*(Calc!$G$3:$G$22&gt;A2025)*(Calc!$G$3:$G$22-A2025))</f>
        <v/>
      </c>
      <c r="H2025">
        <f>SUMPRODUCT(Calc!$K$3:$K$22*(Calc!$G$3:$G$22&gt;B2025)*(Calc!$G$3:$G$22-B2025))</f>
        <v/>
      </c>
      <c r="I2025">
        <f>SUMPRODUCT(Calc!$K$3:$K$22*(Calc!$G$3:$G$22&gt;A2025)*(Calc!$G$3:$G$22-A2025)^2)</f>
        <v/>
      </c>
      <c r="J2025">
        <f>SUMPRODUCT(Calc!$K$3:$K$22*(Calc!$G$3:$G$22&gt;B2025)*(Calc!$G$3:$G$22-B2025)^2)</f>
        <v/>
      </c>
      <c r="K2025">
        <f>SUMPRODUCT(Calc!$K$3:$K$22*(Calc!$G$3:$G$22&gt;A2025)*(Calc!$G$3:$G$22-A2025)*(Calc!$G$3:$G$22&gt;B2025)*(Calc!$G$3:$G$22-B2025))</f>
        <v/>
      </c>
      <c r="L2025">
        <f>SUMPRODUCT(Calc!$K$3:$K$22*(Calc!$G$3:$G$22&gt;A2025)*(Calc!$G$3:$G$22-A2025)*Calc!$G$3:$G$22)</f>
        <v/>
      </c>
      <c r="M2025">
        <f>SUMPRODUCT(Calc!$K$3:$K$22*(Calc!$G$3:$G$22&gt;B2025)*(Calc!$G$3:$G$22-B2025)*Calc!$G$3:$G$22)</f>
        <v/>
      </c>
      <c r="N2025">
        <f>SUMPRODUCT(Calc!$K$3:$K$22*(Calc!$G$3:$G$22&gt;A2025)*(Calc!$G$3:$G$22-A2025)*Calc!$I$3:$I$22)</f>
        <v/>
      </c>
      <c r="O2025">
        <f>SUMPRODUCT(Calc!$K$3:$K$22*(Calc!$G$3:$G$22&gt;B2025)*(Calc!$G$3:$G$22-B2025)*Calc!$I$3:$I$22)</f>
        <v/>
      </c>
      <c r="P2025">
        <f>I2025-G2025^2/k_n</f>
        <v/>
      </c>
      <c r="Q2025">
        <f>J2025-H2025^2/k_n</f>
        <v/>
      </c>
      <c r="R2025">
        <f>K2025-G2025*H2025/k_n</f>
        <v/>
      </c>
      <c r="S2025">
        <f>L2025-LTP3!$D$3*G2025/k_n</f>
        <v/>
      </c>
      <c r="T2025">
        <f>M2025-LTP3!$D$3*H2025/k_n</f>
        <v/>
      </c>
      <c r="U2025">
        <f>N2025-G2025*LTP3!$D$4/k_n</f>
        <v/>
      </c>
      <c r="V2025">
        <f>O2025-H2025*LTP3!$D$4/k_n</f>
        <v/>
      </c>
      <c r="W2025">
        <f>((LTP3!$D$5)*((P2025)*(Q2025)-(R2025)*(R2025))-(S2025)*((S2025)*(Q2025)-(R2025)*(T2025))+(T2025)*((S2025)*(R2025)-(P2025)*(T2025)))</f>
        <v/>
      </c>
      <c r="X2025">
        <f>IF(ABS(W2025)&gt;1E-12,((LTP3!$D$6)*((P2025)*(Q2025)-(R2025)*(R2025))-(S2025)*((U2025)*(Q2025)-(R2025)*(V2025))+(T2025)*((U2025)*(R2025)-(P2025)*(V2025)))/W2025,0)</f>
        <v/>
      </c>
      <c r="Y2025">
        <f>IF(ABS(W2025)&gt;1E-12,((LTP3!$D$5)*((U2025)*(Q2025)-(R2025)*(V2025))-(LTP3!$D$6)*((S2025)*(Q2025)-(R2025)*(T2025))+(T2025)*((S2025)*(V2025)-(U2025)*(T2025)))/W2025,0)</f>
        <v/>
      </c>
      <c r="Z2025">
        <f>IF(ABS(W2025)&gt;1E-12,((LTP3!$D$5)*((P2025)*(V2025)-(U2025)*(R2025))-(S2025)*((S2025)*(V2025)-(U2025)*(T2025))+(LTP3!$D$6)*((S2025)*(R2025)-(P2025)*(T2025)))/W2025,0)</f>
        <v/>
      </c>
      <c r="AA2025">
        <f>LTP3!$D$7-X2025*LTP3!$D$6-Y2025*U2025-Z2025*V2025</f>
        <v/>
      </c>
      <c r="AB2025">
        <f>IF(AND(F2025,ABS(W2025)&gt;1E-12,Y2025&gt;0,Z2025&gt;0),AA2025,1E+300)</f>
        <v/>
      </c>
    </row>
    <row r="2026">
      <c r="A2026">
        <f>$B$3+$B$5*33</f>
        <v/>
      </c>
      <c r="B2026">
        <f>$B$3+$B$5*1</f>
        <v/>
      </c>
      <c r="C2026">
        <f>SUMPRODUCT(Calc!$K$3:$K$22*(Calc!$G$3:$G$22&lt;=A2026))</f>
        <v/>
      </c>
      <c r="D2026">
        <f>SUMPRODUCT(Calc!$K$3:$K$22*(Calc!$G$3:$G$22&gt;A2026)*(Calc!$G$3:$G$22&lt;B2026))</f>
        <v/>
      </c>
      <c r="E2026">
        <f>SUMPRODUCT(Calc!$K$3:$K$22*(Calc!$G$3:$G$22&gt;=B2026))</f>
        <v/>
      </c>
      <c r="F2026">
        <f>AND(k_n&gt;=5,B2026&gt;A2026+1E-9,C2026&gt;=2,D2026&gt;=1,E2026&gt;=2)</f>
        <v/>
      </c>
      <c r="G2026">
        <f>SUMPRODUCT(Calc!$K$3:$K$22*(Calc!$G$3:$G$22&gt;A2026)*(Calc!$G$3:$G$22-A2026))</f>
        <v/>
      </c>
      <c r="H2026">
        <f>SUMPRODUCT(Calc!$K$3:$K$22*(Calc!$G$3:$G$22&gt;B2026)*(Calc!$G$3:$G$22-B2026))</f>
        <v/>
      </c>
      <c r="I2026">
        <f>SUMPRODUCT(Calc!$K$3:$K$22*(Calc!$G$3:$G$22&gt;A2026)*(Calc!$G$3:$G$22-A2026)^2)</f>
        <v/>
      </c>
      <c r="J2026">
        <f>SUMPRODUCT(Calc!$K$3:$K$22*(Calc!$G$3:$G$22&gt;B2026)*(Calc!$G$3:$G$22-B2026)^2)</f>
        <v/>
      </c>
      <c r="K2026">
        <f>SUMPRODUCT(Calc!$K$3:$K$22*(Calc!$G$3:$G$22&gt;A2026)*(Calc!$G$3:$G$22-A2026)*(Calc!$G$3:$G$22&gt;B2026)*(Calc!$G$3:$G$22-B2026))</f>
        <v/>
      </c>
      <c r="L2026">
        <f>SUMPRODUCT(Calc!$K$3:$K$22*(Calc!$G$3:$G$22&gt;A2026)*(Calc!$G$3:$G$22-A2026)*Calc!$G$3:$G$22)</f>
        <v/>
      </c>
      <c r="M2026">
        <f>SUMPRODUCT(Calc!$K$3:$K$22*(Calc!$G$3:$G$22&gt;B2026)*(Calc!$G$3:$G$22-B2026)*Calc!$G$3:$G$22)</f>
        <v/>
      </c>
      <c r="N2026">
        <f>SUMPRODUCT(Calc!$K$3:$K$22*(Calc!$G$3:$G$22&gt;A2026)*(Calc!$G$3:$G$22-A2026)*Calc!$I$3:$I$22)</f>
        <v/>
      </c>
      <c r="O2026">
        <f>SUMPRODUCT(Calc!$K$3:$K$22*(Calc!$G$3:$G$22&gt;B2026)*(Calc!$G$3:$G$22-B2026)*Calc!$I$3:$I$22)</f>
        <v/>
      </c>
      <c r="P2026">
        <f>I2026-G2026^2/k_n</f>
        <v/>
      </c>
      <c r="Q2026">
        <f>J2026-H2026^2/k_n</f>
        <v/>
      </c>
      <c r="R2026">
        <f>K2026-G2026*H2026/k_n</f>
        <v/>
      </c>
      <c r="S2026">
        <f>L2026-LTP3!$D$3*G2026/k_n</f>
        <v/>
      </c>
      <c r="T2026">
        <f>M2026-LTP3!$D$3*H2026/k_n</f>
        <v/>
      </c>
      <c r="U2026">
        <f>N2026-G2026*LTP3!$D$4/k_n</f>
        <v/>
      </c>
      <c r="V2026">
        <f>O2026-H2026*LTP3!$D$4/k_n</f>
        <v/>
      </c>
      <c r="W2026">
        <f>((LTP3!$D$5)*((P2026)*(Q2026)-(R2026)*(R2026))-(S2026)*((S2026)*(Q2026)-(R2026)*(T2026))+(T2026)*((S2026)*(R2026)-(P2026)*(T2026)))</f>
        <v/>
      </c>
      <c r="X2026">
        <f>IF(ABS(W2026)&gt;1E-12,((LTP3!$D$6)*((P2026)*(Q2026)-(R2026)*(R2026))-(S2026)*((U2026)*(Q2026)-(R2026)*(V2026))+(T2026)*((U2026)*(R2026)-(P2026)*(V2026)))/W2026,0)</f>
        <v/>
      </c>
      <c r="Y2026">
        <f>IF(ABS(W2026)&gt;1E-12,((LTP3!$D$5)*((U2026)*(Q2026)-(R2026)*(V2026))-(LTP3!$D$6)*((S2026)*(Q2026)-(R2026)*(T2026))+(T2026)*((S2026)*(V2026)-(U2026)*(T2026)))/W2026,0)</f>
        <v/>
      </c>
      <c r="Z2026">
        <f>IF(ABS(W2026)&gt;1E-12,((LTP3!$D$5)*((P2026)*(V2026)-(U2026)*(R2026))-(S2026)*((S2026)*(V2026)-(U2026)*(T2026))+(LTP3!$D$6)*((S2026)*(R2026)-(P2026)*(T2026)))/W2026,0)</f>
        <v/>
      </c>
      <c r="AA2026">
        <f>LTP3!$D$7-X2026*LTP3!$D$6-Y2026*U2026-Z2026*V2026</f>
        <v/>
      </c>
      <c r="AB2026">
        <f>IF(AND(F2026,ABS(W2026)&gt;1E-12,Y2026&gt;0,Z2026&gt;0),AA2026,1E+300)</f>
        <v/>
      </c>
    </row>
    <row r="2027">
      <c r="A2027">
        <f>$B$3+$B$5*33</f>
        <v/>
      </c>
      <c r="B2027">
        <f>$B$3+$B$5*2</f>
        <v/>
      </c>
      <c r="C2027">
        <f>SUMPRODUCT(Calc!$K$3:$K$22*(Calc!$G$3:$G$22&lt;=A2027))</f>
        <v/>
      </c>
      <c r="D2027">
        <f>SUMPRODUCT(Calc!$K$3:$K$22*(Calc!$G$3:$G$22&gt;A2027)*(Calc!$G$3:$G$22&lt;B2027))</f>
        <v/>
      </c>
      <c r="E2027">
        <f>SUMPRODUCT(Calc!$K$3:$K$22*(Calc!$G$3:$G$22&gt;=B2027))</f>
        <v/>
      </c>
      <c r="F2027">
        <f>AND(k_n&gt;=5,B2027&gt;A2027+1E-9,C2027&gt;=2,D2027&gt;=1,E2027&gt;=2)</f>
        <v/>
      </c>
      <c r="G2027">
        <f>SUMPRODUCT(Calc!$K$3:$K$22*(Calc!$G$3:$G$22&gt;A2027)*(Calc!$G$3:$G$22-A2027))</f>
        <v/>
      </c>
      <c r="H2027">
        <f>SUMPRODUCT(Calc!$K$3:$K$22*(Calc!$G$3:$G$22&gt;B2027)*(Calc!$G$3:$G$22-B2027))</f>
        <v/>
      </c>
      <c r="I2027">
        <f>SUMPRODUCT(Calc!$K$3:$K$22*(Calc!$G$3:$G$22&gt;A2027)*(Calc!$G$3:$G$22-A2027)^2)</f>
        <v/>
      </c>
      <c r="J2027">
        <f>SUMPRODUCT(Calc!$K$3:$K$22*(Calc!$G$3:$G$22&gt;B2027)*(Calc!$G$3:$G$22-B2027)^2)</f>
        <v/>
      </c>
      <c r="K2027">
        <f>SUMPRODUCT(Calc!$K$3:$K$22*(Calc!$G$3:$G$22&gt;A2027)*(Calc!$G$3:$G$22-A2027)*(Calc!$G$3:$G$22&gt;B2027)*(Calc!$G$3:$G$22-B2027))</f>
        <v/>
      </c>
      <c r="L2027">
        <f>SUMPRODUCT(Calc!$K$3:$K$22*(Calc!$G$3:$G$22&gt;A2027)*(Calc!$G$3:$G$22-A2027)*Calc!$G$3:$G$22)</f>
        <v/>
      </c>
      <c r="M2027">
        <f>SUMPRODUCT(Calc!$K$3:$K$22*(Calc!$G$3:$G$22&gt;B2027)*(Calc!$G$3:$G$22-B2027)*Calc!$G$3:$G$22)</f>
        <v/>
      </c>
      <c r="N2027">
        <f>SUMPRODUCT(Calc!$K$3:$K$22*(Calc!$G$3:$G$22&gt;A2027)*(Calc!$G$3:$G$22-A2027)*Calc!$I$3:$I$22)</f>
        <v/>
      </c>
      <c r="O2027">
        <f>SUMPRODUCT(Calc!$K$3:$K$22*(Calc!$G$3:$G$22&gt;B2027)*(Calc!$G$3:$G$22-B2027)*Calc!$I$3:$I$22)</f>
        <v/>
      </c>
      <c r="P2027">
        <f>I2027-G2027^2/k_n</f>
        <v/>
      </c>
      <c r="Q2027">
        <f>J2027-H2027^2/k_n</f>
        <v/>
      </c>
      <c r="R2027">
        <f>K2027-G2027*H2027/k_n</f>
        <v/>
      </c>
      <c r="S2027">
        <f>L2027-LTP3!$D$3*G2027/k_n</f>
        <v/>
      </c>
      <c r="T2027">
        <f>M2027-LTP3!$D$3*H2027/k_n</f>
        <v/>
      </c>
      <c r="U2027">
        <f>N2027-G2027*LTP3!$D$4/k_n</f>
        <v/>
      </c>
      <c r="V2027">
        <f>O2027-H2027*LTP3!$D$4/k_n</f>
        <v/>
      </c>
      <c r="W2027">
        <f>((LTP3!$D$5)*((P2027)*(Q2027)-(R2027)*(R2027))-(S2027)*((S2027)*(Q2027)-(R2027)*(T2027))+(T2027)*((S2027)*(R2027)-(P2027)*(T2027)))</f>
        <v/>
      </c>
      <c r="X2027">
        <f>IF(ABS(W2027)&gt;1E-12,((LTP3!$D$6)*((P2027)*(Q2027)-(R2027)*(R2027))-(S2027)*((U2027)*(Q2027)-(R2027)*(V2027))+(T2027)*((U2027)*(R2027)-(P2027)*(V2027)))/W2027,0)</f>
        <v/>
      </c>
      <c r="Y2027">
        <f>IF(ABS(W2027)&gt;1E-12,((LTP3!$D$5)*((U2027)*(Q2027)-(R2027)*(V2027))-(LTP3!$D$6)*((S2027)*(Q2027)-(R2027)*(T2027))+(T2027)*((S2027)*(V2027)-(U2027)*(T2027)))/W2027,0)</f>
        <v/>
      </c>
      <c r="Z2027">
        <f>IF(ABS(W2027)&gt;1E-12,((LTP3!$D$5)*((P2027)*(V2027)-(U2027)*(R2027))-(S2027)*((S2027)*(V2027)-(U2027)*(T2027))+(LTP3!$D$6)*((S2027)*(R2027)-(P2027)*(T2027)))/W2027,0)</f>
        <v/>
      </c>
      <c r="AA2027">
        <f>LTP3!$D$7-X2027*LTP3!$D$6-Y2027*U2027-Z2027*V2027</f>
        <v/>
      </c>
      <c r="AB2027">
        <f>IF(AND(F2027,ABS(W2027)&gt;1E-12,Y2027&gt;0,Z2027&gt;0),AA2027,1E+300)</f>
        <v/>
      </c>
    </row>
    <row r="2028">
      <c r="A2028">
        <f>$B$3+$B$5*33</f>
        <v/>
      </c>
      <c r="B2028">
        <f>$B$3+$B$5*3</f>
        <v/>
      </c>
      <c r="C2028">
        <f>SUMPRODUCT(Calc!$K$3:$K$22*(Calc!$G$3:$G$22&lt;=A2028))</f>
        <v/>
      </c>
      <c r="D2028">
        <f>SUMPRODUCT(Calc!$K$3:$K$22*(Calc!$G$3:$G$22&gt;A2028)*(Calc!$G$3:$G$22&lt;B2028))</f>
        <v/>
      </c>
      <c r="E2028">
        <f>SUMPRODUCT(Calc!$K$3:$K$22*(Calc!$G$3:$G$22&gt;=B2028))</f>
        <v/>
      </c>
      <c r="F2028">
        <f>AND(k_n&gt;=5,B2028&gt;A2028+1E-9,C2028&gt;=2,D2028&gt;=1,E2028&gt;=2)</f>
        <v/>
      </c>
      <c r="G2028">
        <f>SUMPRODUCT(Calc!$K$3:$K$22*(Calc!$G$3:$G$22&gt;A2028)*(Calc!$G$3:$G$22-A2028))</f>
        <v/>
      </c>
      <c r="H2028">
        <f>SUMPRODUCT(Calc!$K$3:$K$22*(Calc!$G$3:$G$22&gt;B2028)*(Calc!$G$3:$G$22-B2028))</f>
        <v/>
      </c>
      <c r="I2028">
        <f>SUMPRODUCT(Calc!$K$3:$K$22*(Calc!$G$3:$G$22&gt;A2028)*(Calc!$G$3:$G$22-A2028)^2)</f>
        <v/>
      </c>
      <c r="J2028">
        <f>SUMPRODUCT(Calc!$K$3:$K$22*(Calc!$G$3:$G$22&gt;B2028)*(Calc!$G$3:$G$22-B2028)^2)</f>
        <v/>
      </c>
      <c r="K2028">
        <f>SUMPRODUCT(Calc!$K$3:$K$22*(Calc!$G$3:$G$22&gt;A2028)*(Calc!$G$3:$G$22-A2028)*(Calc!$G$3:$G$22&gt;B2028)*(Calc!$G$3:$G$22-B2028))</f>
        <v/>
      </c>
      <c r="L2028">
        <f>SUMPRODUCT(Calc!$K$3:$K$22*(Calc!$G$3:$G$22&gt;A2028)*(Calc!$G$3:$G$22-A2028)*Calc!$G$3:$G$22)</f>
        <v/>
      </c>
      <c r="M2028">
        <f>SUMPRODUCT(Calc!$K$3:$K$22*(Calc!$G$3:$G$22&gt;B2028)*(Calc!$G$3:$G$22-B2028)*Calc!$G$3:$G$22)</f>
        <v/>
      </c>
      <c r="N2028">
        <f>SUMPRODUCT(Calc!$K$3:$K$22*(Calc!$G$3:$G$22&gt;A2028)*(Calc!$G$3:$G$22-A2028)*Calc!$I$3:$I$22)</f>
        <v/>
      </c>
      <c r="O2028">
        <f>SUMPRODUCT(Calc!$K$3:$K$22*(Calc!$G$3:$G$22&gt;B2028)*(Calc!$G$3:$G$22-B2028)*Calc!$I$3:$I$22)</f>
        <v/>
      </c>
      <c r="P2028">
        <f>I2028-G2028^2/k_n</f>
        <v/>
      </c>
      <c r="Q2028">
        <f>J2028-H2028^2/k_n</f>
        <v/>
      </c>
      <c r="R2028">
        <f>K2028-G2028*H2028/k_n</f>
        <v/>
      </c>
      <c r="S2028">
        <f>L2028-LTP3!$D$3*G2028/k_n</f>
        <v/>
      </c>
      <c r="T2028">
        <f>M2028-LTP3!$D$3*H2028/k_n</f>
        <v/>
      </c>
      <c r="U2028">
        <f>N2028-G2028*LTP3!$D$4/k_n</f>
        <v/>
      </c>
      <c r="V2028">
        <f>O2028-H2028*LTP3!$D$4/k_n</f>
        <v/>
      </c>
      <c r="W2028">
        <f>((LTP3!$D$5)*((P2028)*(Q2028)-(R2028)*(R2028))-(S2028)*((S2028)*(Q2028)-(R2028)*(T2028))+(T2028)*((S2028)*(R2028)-(P2028)*(T2028)))</f>
        <v/>
      </c>
      <c r="X2028">
        <f>IF(ABS(W2028)&gt;1E-12,((LTP3!$D$6)*((P2028)*(Q2028)-(R2028)*(R2028))-(S2028)*((U2028)*(Q2028)-(R2028)*(V2028))+(T2028)*((U2028)*(R2028)-(P2028)*(V2028)))/W2028,0)</f>
        <v/>
      </c>
      <c r="Y2028">
        <f>IF(ABS(W2028)&gt;1E-12,((LTP3!$D$5)*((U2028)*(Q2028)-(R2028)*(V2028))-(LTP3!$D$6)*((S2028)*(Q2028)-(R2028)*(T2028))+(T2028)*((S2028)*(V2028)-(U2028)*(T2028)))/W2028,0)</f>
        <v/>
      </c>
      <c r="Z2028">
        <f>IF(ABS(W2028)&gt;1E-12,((LTP3!$D$5)*((P2028)*(V2028)-(U2028)*(R2028))-(S2028)*((S2028)*(V2028)-(U2028)*(T2028))+(LTP3!$D$6)*((S2028)*(R2028)-(P2028)*(T2028)))/W2028,0)</f>
        <v/>
      </c>
      <c r="AA2028">
        <f>LTP3!$D$7-X2028*LTP3!$D$6-Y2028*U2028-Z2028*V2028</f>
        <v/>
      </c>
      <c r="AB2028">
        <f>IF(AND(F2028,ABS(W2028)&gt;1E-12,Y2028&gt;0,Z2028&gt;0),AA2028,1E+300)</f>
        <v/>
      </c>
    </row>
    <row r="2029">
      <c r="A2029">
        <f>$B$3+$B$5*33</f>
        <v/>
      </c>
      <c r="B2029">
        <f>$B$3+$B$5*4</f>
        <v/>
      </c>
      <c r="C2029">
        <f>SUMPRODUCT(Calc!$K$3:$K$22*(Calc!$G$3:$G$22&lt;=A2029))</f>
        <v/>
      </c>
      <c r="D2029">
        <f>SUMPRODUCT(Calc!$K$3:$K$22*(Calc!$G$3:$G$22&gt;A2029)*(Calc!$G$3:$G$22&lt;B2029))</f>
        <v/>
      </c>
      <c r="E2029">
        <f>SUMPRODUCT(Calc!$K$3:$K$22*(Calc!$G$3:$G$22&gt;=B2029))</f>
        <v/>
      </c>
      <c r="F2029">
        <f>AND(k_n&gt;=5,B2029&gt;A2029+1E-9,C2029&gt;=2,D2029&gt;=1,E2029&gt;=2)</f>
        <v/>
      </c>
      <c r="G2029">
        <f>SUMPRODUCT(Calc!$K$3:$K$22*(Calc!$G$3:$G$22&gt;A2029)*(Calc!$G$3:$G$22-A2029))</f>
        <v/>
      </c>
      <c r="H2029">
        <f>SUMPRODUCT(Calc!$K$3:$K$22*(Calc!$G$3:$G$22&gt;B2029)*(Calc!$G$3:$G$22-B2029))</f>
        <v/>
      </c>
      <c r="I2029">
        <f>SUMPRODUCT(Calc!$K$3:$K$22*(Calc!$G$3:$G$22&gt;A2029)*(Calc!$G$3:$G$22-A2029)^2)</f>
        <v/>
      </c>
      <c r="J2029">
        <f>SUMPRODUCT(Calc!$K$3:$K$22*(Calc!$G$3:$G$22&gt;B2029)*(Calc!$G$3:$G$22-B2029)^2)</f>
        <v/>
      </c>
      <c r="K2029">
        <f>SUMPRODUCT(Calc!$K$3:$K$22*(Calc!$G$3:$G$22&gt;A2029)*(Calc!$G$3:$G$22-A2029)*(Calc!$G$3:$G$22&gt;B2029)*(Calc!$G$3:$G$22-B2029))</f>
        <v/>
      </c>
      <c r="L2029">
        <f>SUMPRODUCT(Calc!$K$3:$K$22*(Calc!$G$3:$G$22&gt;A2029)*(Calc!$G$3:$G$22-A2029)*Calc!$G$3:$G$22)</f>
        <v/>
      </c>
      <c r="M2029">
        <f>SUMPRODUCT(Calc!$K$3:$K$22*(Calc!$G$3:$G$22&gt;B2029)*(Calc!$G$3:$G$22-B2029)*Calc!$G$3:$G$22)</f>
        <v/>
      </c>
      <c r="N2029">
        <f>SUMPRODUCT(Calc!$K$3:$K$22*(Calc!$G$3:$G$22&gt;A2029)*(Calc!$G$3:$G$22-A2029)*Calc!$I$3:$I$22)</f>
        <v/>
      </c>
      <c r="O2029">
        <f>SUMPRODUCT(Calc!$K$3:$K$22*(Calc!$G$3:$G$22&gt;B2029)*(Calc!$G$3:$G$22-B2029)*Calc!$I$3:$I$22)</f>
        <v/>
      </c>
      <c r="P2029">
        <f>I2029-G2029^2/k_n</f>
        <v/>
      </c>
      <c r="Q2029">
        <f>J2029-H2029^2/k_n</f>
        <v/>
      </c>
      <c r="R2029">
        <f>K2029-G2029*H2029/k_n</f>
        <v/>
      </c>
      <c r="S2029">
        <f>L2029-LTP3!$D$3*G2029/k_n</f>
        <v/>
      </c>
      <c r="T2029">
        <f>M2029-LTP3!$D$3*H2029/k_n</f>
        <v/>
      </c>
      <c r="U2029">
        <f>N2029-G2029*LTP3!$D$4/k_n</f>
        <v/>
      </c>
      <c r="V2029">
        <f>O2029-H2029*LTP3!$D$4/k_n</f>
        <v/>
      </c>
      <c r="W2029">
        <f>((LTP3!$D$5)*((P2029)*(Q2029)-(R2029)*(R2029))-(S2029)*((S2029)*(Q2029)-(R2029)*(T2029))+(T2029)*((S2029)*(R2029)-(P2029)*(T2029)))</f>
        <v/>
      </c>
      <c r="X2029">
        <f>IF(ABS(W2029)&gt;1E-12,((LTP3!$D$6)*((P2029)*(Q2029)-(R2029)*(R2029))-(S2029)*((U2029)*(Q2029)-(R2029)*(V2029))+(T2029)*((U2029)*(R2029)-(P2029)*(V2029)))/W2029,0)</f>
        <v/>
      </c>
      <c r="Y2029">
        <f>IF(ABS(W2029)&gt;1E-12,((LTP3!$D$5)*((U2029)*(Q2029)-(R2029)*(V2029))-(LTP3!$D$6)*((S2029)*(Q2029)-(R2029)*(T2029))+(T2029)*((S2029)*(V2029)-(U2029)*(T2029)))/W2029,0)</f>
        <v/>
      </c>
      <c r="Z2029">
        <f>IF(ABS(W2029)&gt;1E-12,((LTP3!$D$5)*((P2029)*(V2029)-(U2029)*(R2029))-(S2029)*((S2029)*(V2029)-(U2029)*(T2029))+(LTP3!$D$6)*((S2029)*(R2029)-(P2029)*(T2029)))/W2029,0)</f>
        <v/>
      </c>
      <c r="AA2029">
        <f>LTP3!$D$7-X2029*LTP3!$D$6-Y2029*U2029-Z2029*V2029</f>
        <v/>
      </c>
      <c r="AB2029">
        <f>IF(AND(F2029,ABS(W2029)&gt;1E-12,Y2029&gt;0,Z2029&gt;0),AA2029,1E+300)</f>
        <v/>
      </c>
    </row>
    <row r="2030">
      <c r="A2030">
        <f>$B$3+$B$5*33</f>
        <v/>
      </c>
      <c r="B2030">
        <f>$B$3+$B$5*5</f>
        <v/>
      </c>
      <c r="C2030">
        <f>SUMPRODUCT(Calc!$K$3:$K$22*(Calc!$G$3:$G$22&lt;=A2030))</f>
        <v/>
      </c>
      <c r="D2030">
        <f>SUMPRODUCT(Calc!$K$3:$K$22*(Calc!$G$3:$G$22&gt;A2030)*(Calc!$G$3:$G$22&lt;B2030))</f>
        <v/>
      </c>
      <c r="E2030">
        <f>SUMPRODUCT(Calc!$K$3:$K$22*(Calc!$G$3:$G$22&gt;=B2030))</f>
        <v/>
      </c>
      <c r="F2030">
        <f>AND(k_n&gt;=5,B2030&gt;A2030+1E-9,C2030&gt;=2,D2030&gt;=1,E2030&gt;=2)</f>
        <v/>
      </c>
      <c r="G2030">
        <f>SUMPRODUCT(Calc!$K$3:$K$22*(Calc!$G$3:$G$22&gt;A2030)*(Calc!$G$3:$G$22-A2030))</f>
        <v/>
      </c>
      <c r="H2030">
        <f>SUMPRODUCT(Calc!$K$3:$K$22*(Calc!$G$3:$G$22&gt;B2030)*(Calc!$G$3:$G$22-B2030))</f>
        <v/>
      </c>
      <c r="I2030">
        <f>SUMPRODUCT(Calc!$K$3:$K$22*(Calc!$G$3:$G$22&gt;A2030)*(Calc!$G$3:$G$22-A2030)^2)</f>
        <v/>
      </c>
      <c r="J2030">
        <f>SUMPRODUCT(Calc!$K$3:$K$22*(Calc!$G$3:$G$22&gt;B2030)*(Calc!$G$3:$G$22-B2030)^2)</f>
        <v/>
      </c>
      <c r="K2030">
        <f>SUMPRODUCT(Calc!$K$3:$K$22*(Calc!$G$3:$G$22&gt;A2030)*(Calc!$G$3:$G$22-A2030)*(Calc!$G$3:$G$22&gt;B2030)*(Calc!$G$3:$G$22-B2030))</f>
        <v/>
      </c>
      <c r="L2030">
        <f>SUMPRODUCT(Calc!$K$3:$K$22*(Calc!$G$3:$G$22&gt;A2030)*(Calc!$G$3:$G$22-A2030)*Calc!$G$3:$G$22)</f>
        <v/>
      </c>
      <c r="M2030">
        <f>SUMPRODUCT(Calc!$K$3:$K$22*(Calc!$G$3:$G$22&gt;B2030)*(Calc!$G$3:$G$22-B2030)*Calc!$G$3:$G$22)</f>
        <v/>
      </c>
      <c r="N2030">
        <f>SUMPRODUCT(Calc!$K$3:$K$22*(Calc!$G$3:$G$22&gt;A2030)*(Calc!$G$3:$G$22-A2030)*Calc!$I$3:$I$22)</f>
        <v/>
      </c>
      <c r="O2030">
        <f>SUMPRODUCT(Calc!$K$3:$K$22*(Calc!$G$3:$G$22&gt;B2030)*(Calc!$G$3:$G$22-B2030)*Calc!$I$3:$I$22)</f>
        <v/>
      </c>
      <c r="P2030">
        <f>I2030-G2030^2/k_n</f>
        <v/>
      </c>
      <c r="Q2030">
        <f>J2030-H2030^2/k_n</f>
        <v/>
      </c>
      <c r="R2030">
        <f>K2030-G2030*H2030/k_n</f>
        <v/>
      </c>
      <c r="S2030">
        <f>L2030-LTP3!$D$3*G2030/k_n</f>
        <v/>
      </c>
      <c r="T2030">
        <f>M2030-LTP3!$D$3*H2030/k_n</f>
        <v/>
      </c>
      <c r="U2030">
        <f>N2030-G2030*LTP3!$D$4/k_n</f>
        <v/>
      </c>
      <c r="V2030">
        <f>O2030-H2030*LTP3!$D$4/k_n</f>
        <v/>
      </c>
      <c r="W2030">
        <f>((LTP3!$D$5)*((P2030)*(Q2030)-(R2030)*(R2030))-(S2030)*((S2030)*(Q2030)-(R2030)*(T2030))+(T2030)*((S2030)*(R2030)-(P2030)*(T2030)))</f>
        <v/>
      </c>
      <c r="X2030">
        <f>IF(ABS(W2030)&gt;1E-12,((LTP3!$D$6)*((P2030)*(Q2030)-(R2030)*(R2030))-(S2030)*((U2030)*(Q2030)-(R2030)*(V2030))+(T2030)*((U2030)*(R2030)-(P2030)*(V2030)))/W2030,0)</f>
        <v/>
      </c>
      <c r="Y2030">
        <f>IF(ABS(W2030)&gt;1E-12,((LTP3!$D$5)*((U2030)*(Q2030)-(R2030)*(V2030))-(LTP3!$D$6)*((S2030)*(Q2030)-(R2030)*(T2030))+(T2030)*((S2030)*(V2030)-(U2030)*(T2030)))/W2030,0)</f>
        <v/>
      </c>
      <c r="Z2030">
        <f>IF(ABS(W2030)&gt;1E-12,((LTP3!$D$5)*((P2030)*(V2030)-(U2030)*(R2030))-(S2030)*((S2030)*(V2030)-(U2030)*(T2030))+(LTP3!$D$6)*((S2030)*(R2030)-(P2030)*(T2030)))/W2030,0)</f>
        <v/>
      </c>
      <c r="AA2030">
        <f>LTP3!$D$7-X2030*LTP3!$D$6-Y2030*U2030-Z2030*V2030</f>
        <v/>
      </c>
      <c r="AB2030">
        <f>IF(AND(F2030,ABS(W2030)&gt;1E-12,Y2030&gt;0,Z2030&gt;0),AA2030,1E+300)</f>
        <v/>
      </c>
    </row>
    <row r="2031">
      <c r="A2031">
        <f>$B$3+$B$5*33</f>
        <v/>
      </c>
      <c r="B2031">
        <f>$B$3+$B$5*6</f>
        <v/>
      </c>
      <c r="C2031">
        <f>SUMPRODUCT(Calc!$K$3:$K$22*(Calc!$G$3:$G$22&lt;=A2031))</f>
        <v/>
      </c>
      <c r="D2031">
        <f>SUMPRODUCT(Calc!$K$3:$K$22*(Calc!$G$3:$G$22&gt;A2031)*(Calc!$G$3:$G$22&lt;B2031))</f>
        <v/>
      </c>
      <c r="E2031">
        <f>SUMPRODUCT(Calc!$K$3:$K$22*(Calc!$G$3:$G$22&gt;=B2031))</f>
        <v/>
      </c>
      <c r="F2031">
        <f>AND(k_n&gt;=5,B2031&gt;A2031+1E-9,C2031&gt;=2,D2031&gt;=1,E2031&gt;=2)</f>
        <v/>
      </c>
      <c r="G2031">
        <f>SUMPRODUCT(Calc!$K$3:$K$22*(Calc!$G$3:$G$22&gt;A2031)*(Calc!$G$3:$G$22-A2031))</f>
        <v/>
      </c>
      <c r="H2031">
        <f>SUMPRODUCT(Calc!$K$3:$K$22*(Calc!$G$3:$G$22&gt;B2031)*(Calc!$G$3:$G$22-B2031))</f>
        <v/>
      </c>
      <c r="I2031">
        <f>SUMPRODUCT(Calc!$K$3:$K$22*(Calc!$G$3:$G$22&gt;A2031)*(Calc!$G$3:$G$22-A2031)^2)</f>
        <v/>
      </c>
      <c r="J2031">
        <f>SUMPRODUCT(Calc!$K$3:$K$22*(Calc!$G$3:$G$22&gt;B2031)*(Calc!$G$3:$G$22-B2031)^2)</f>
        <v/>
      </c>
      <c r="K2031">
        <f>SUMPRODUCT(Calc!$K$3:$K$22*(Calc!$G$3:$G$22&gt;A2031)*(Calc!$G$3:$G$22-A2031)*(Calc!$G$3:$G$22&gt;B2031)*(Calc!$G$3:$G$22-B2031))</f>
        <v/>
      </c>
      <c r="L2031">
        <f>SUMPRODUCT(Calc!$K$3:$K$22*(Calc!$G$3:$G$22&gt;A2031)*(Calc!$G$3:$G$22-A2031)*Calc!$G$3:$G$22)</f>
        <v/>
      </c>
      <c r="M2031">
        <f>SUMPRODUCT(Calc!$K$3:$K$22*(Calc!$G$3:$G$22&gt;B2031)*(Calc!$G$3:$G$22-B2031)*Calc!$G$3:$G$22)</f>
        <v/>
      </c>
      <c r="N2031">
        <f>SUMPRODUCT(Calc!$K$3:$K$22*(Calc!$G$3:$G$22&gt;A2031)*(Calc!$G$3:$G$22-A2031)*Calc!$I$3:$I$22)</f>
        <v/>
      </c>
      <c r="O2031">
        <f>SUMPRODUCT(Calc!$K$3:$K$22*(Calc!$G$3:$G$22&gt;B2031)*(Calc!$G$3:$G$22-B2031)*Calc!$I$3:$I$22)</f>
        <v/>
      </c>
      <c r="P2031">
        <f>I2031-G2031^2/k_n</f>
        <v/>
      </c>
      <c r="Q2031">
        <f>J2031-H2031^2/k_n</f>
        <v/>
      </c>
      <c r="R2031">
        <f>K2031-G2031*H2031/k_n</f>
        <v/>
      </c>
      <c r="S2031">
        <f>L2031-LTP3!$D$3*G2031/k_n</f>
        <v/>
      </c>
      <c r="T2031">
        <f>M2031-LTP3!$D$3*H2031/k_n</f>
        <v/>
      </c>
      <c r="U2031">
        <f>N2031-G2031*LTP3!$D$4/k_n</f>
        <v/>
      </c>
      <c r="V2031">
        <f>O2031-H2031*LTP3!$D$4/k_n</f>
        <v/>
      </c>
      <c r="W2031">
        <f>((LTP3!$D$5)*((P2031)*(Q2031)-(R2031)*(R2031))-(S2031)*((S2031)*(Q2031)-(R2031)*(T2031))+(T2031)*((S2031)*(R2031)-(P2031)*(T2031)))</f>
        <v/>
      </c>
      <c r="X2031">
        <f>IF(ABS(W2031)&gt;1E-12,((LTP3!$D$6)*((P2031)*(Q2031)-(R2031)*(R2031))-(S2031)*((U2031)*(Q2031)-(R2031)*(V2031))+(T2031)*((U2031)*(R2031)-(P2031)*(V2031)))/W2031,0)</f>
        <v/>
      </c>
      <c r="Y2031">
        <f>IF(ABS(W2031)&gt;1E-12,((LTP3!$D$5)*((U2031)*(Q2031)-(R2031)*(V2031))-(LTP3!$D$6)*((S2031)*(Q2031)-(R2031)*(T2031))+(T2031)*((S2031)*(V2031)-(U2031)*(T2031)))/W2031,0)</f>
        <v/>
      </c>
      <c r="Z2031">
        <f>IF(ABS(W2031)&gt;1E-12,((LTP3!$D$5)*((P2031)*(V2031)-(U2031)*(R2031))-(S2031)*((S2031)*(V2031)-(U2031)*(T2031))+(LTP3!$D$6)*((S2031)*(R2031)-(P2031)*(T2031)))/W2031,0)</f>
        <v/>
      </c>
      <c r="AA2031">
        <f>LTP3!$D$7-X2031*LTP3!$D$6-Y2031*U2031-Z2031*V2031</f>
        <v/>
      </c>
      <c r="AB2031">
        <f>IF(AND(F2031,ABS(W2031)&gt;1E-12,Y2031&gt;0,Z2031&gt;0),AA2031,1E+300)</f>
        <v/>
      </c>
    </row>
    <row r="2032">
      <c r="A2032">
        <f>$B$3+$B$5*33</f>
        <v/>
      </c>
      <c r="B2032">
        <f>$B$3+$B$5*7</f>
        <v/>
      </c>
      <c r="C2032">
        <f>SUMPRODUCT(Calc!$K$3:$K$22*(Calc!$G$3:$G$22&lt;=A2032))</f>
        <v/>
      </c>
      <c r="D2032">
        <f>SUMPRODUCT(Calc!$K$3:$K$22*(Calc!$G$3:$G$22&gt;A2032)*(Calc!$G$3:$G$22&lt;B2032))</f>
        <v/>
      </c>
      <c r="E2032">
        <f>SUMPRODUCT(Calc!$K$3:$K$22*(Calc!$G$3:$G$22&gt;=B2032))</f>
        <v/>
      </c>
      <c r="F2032">
        <f>AND(k_n&gt;=5,B2032&gt;A2032+1E-9,C2032&gt;=2,D2032&gt;=1,E2032&gt;=2)</f>
        <v/>
      </c>
      <c r="G2032">
        <f>SUMPRODUCT(Calc!$K$3:$K$22*(Calc!$G$3:$G$22&gt;A2032)*(Calc!$G$3:$G$22-A2032))</f>
        <v/>
      </c>
      <c r="H2032">
        <f>SUMPRODUCT(Calc!$K$3:$K$22*(Calc!$G$3:$G$22&gt;B2032)*(Calc!$G$3:$G$22-B2032))</f>
        <v/>
      </c>
      <c r="I2032">
        <f>SUMPRODUCT(Calc!$K$3:$K$22*(Calc!$G$3:$G$22&gt;A2032)*(Calc!$G$3:$G$22-A2032)^2)</f>
        <v/>
      </c>
      <c r="J2032">
        <f>SUMPRODUCT(Calc!$K$3:$K$22*(Calc!$G$3:$G$22&gt;B2032)*(Calc!$G$3:$G$22-B2032)^2)</f>
        <v/>
      </c>
      <c r="K2032">
        <f>SUMPRODUCT(Calc!$K$3:$K$22*(Calc!$G$3:$G$22&gt;A2032)*(Calc!$G$3:$G$22-A2032)*(Calc!$G$3:$G$22&gt;B2032)*(Calc!$G$3:$G$22-B2032))</f>
        <v/>
      </c>
      <c r="L2032">
        <f>SUMPRODUCT(Calc!$K$3:$K$22*(Calc!$G$3:$G$22&gt;A2032)*(Calc!$G$3:$G$22-A2032)*Calc!$G$3:$G$22)</f>
        <v/>
      </c>
      <c r="M2032">
        <f>SUMPRODUCT(Calc!$K$3:$K$22*(Calc!$G$3:$G$22&gt;B2032)*(Calc!$G$3:$G$22-B2032)*Calc!$G$3:$G$22)</f>
        <v/>
      </c>
      <c r="N2032">
        <f>SUMPRODUCT(Calc!$K$3:$K$22*(Calc!$G$3:$G$22&gt;A2032)*(Calc!$G$3:$G$22-A2032)*Calc!$I$3:$I$22)</f>
        <v/>
      </c>
      <c r="O2032">
        <f>SUMPRODUCT(Calc!$K$3:$K$22*(Calc!$G$3:$G$22&gt;B2032)*(Calc!$G$3:$G$22-B2032)*Calc!$I$3:$I$22)</f>
        <v/>
      </c>
      <c r="P2032">
        <f>I2032-G2032^2/k_n</f>
        <v/>
      </c>
      <c r="Q2032">
        <f>J2032-H2032^2/k_n</f>
        <v/>
      </c>
      <c r="R2032">
        <f>K2032-G2032*H2032/k_n</f>
        <v/>
      </c>
      <c r="S2032">
        <f>L2032-LTP3!$D$3*G2032/k_n</f>
        <v/>
      </c>
      <c r="T2032">
        <f>M2032-LTP3!$D$3*H2032/k_n</f>
        <v/>
      </c>
      <c r="U2032">
        <f>N2032-G2032*LTP3!$D$4/k_n</f>
        <v/>
      </c>
      <c r="V2032">
        <f>O2032-H2032*LTP3!$D$4/k_n</f>
        <v/>
      </c>
      <c r="W2032">
        <f>((LTP3!$D$5)*((P2032)*(Q2032)-(R2032)*(R2032))-(S2032)*((S2032)*(Q2032)-(R2032)*(T2032))+(T2032)*((S2032)*(R2032)-(P2032)*(T2032)))</f>
        <v/>
      </c>
      <c r="X2032">
        <f>IF(ABS(W2032)&gt;1E-12,((LTP3!$D$6)*((P2032)*(Q2032)-(R2032)*(R2032))-(S2032)*((U2032)*(Q2032)-(R2032)*(V2032))+(T2032)*((U2032)*(R2032)-(P2032)*(V2032)))/W2032,0)</f>
        <v/>
      </c>
      <c r="Y2032">
        <f>IF(ABS(W2032)&gt;1E-12,((LTP3!$D$5)*((U2032)*(Q2032)-(R2032)*(V2032))-(LTP3!$D$6)*((S2032)*(Q2032)-(R2032)*(T2032))+(T2032)*((S2032)*(V2032)-(U2032)*(T2032)))/W2032,0)</f>
        <v/>
      </c>
      <c r="Z2032">
        <f>IF(ABS(W2032)&gt;1E-12,((LTP3!$D$5)*((P2032)*(V2032)-(U2032)*(R2032))-(S2032)*((S2032)*(V2032)-(U2032)*(T2032))+(LTP3!$D$6)*((S2032)*(R2032)-(P2032)*(T2032)))/W2032,0)</f>
        <v/>
      </c>
      <c r="AA2032">
        <f>LTP3!$D$7-X2032*LTP3!$D$6-Y2032*U2032-Z2032*V2032</f>
        <v/>
      </c>
      <c r="AB2032">
        <f>IF(AND(F2032,ABS(W2032)&gt;1E-12,Y2032&gt;0,Z2032&gt;0),AA2032,1E+300)</f>
        <v/>
      </c>
    </row>
    <row r="2033">
      <c r="A2033">
        <f>$B$3+$B$5*33</f>
        <v/>
      </c>
      <c r="B2033">
        <f>$B$3+$B$5*8</f>
        <v/>
      </c>
      <c r="C2033">
        <f>SUMPRODUCT(Calc!$K$3:$K$22*(Calc!$G$3:$G$22&lt;=A2033))</f>
        <v/>
      </c>
      <c r="D2033">
        <f>SUMPRODUCT(Calc!$K$3:$K$22*(Calc!$G$3:$G$22&gt;A2033)*(Calc!$G$3:$G$22&lt;B2033))</f>
        <v/>
      </c>
      <c r="E2033">
        <f>SUMPRODUCT(Calc!$K$3:$K$22*(Calc!$G$3:$G$22&gt;=B2033))</f>
        <v/>
      </c>
      <c r="F2033">
        <f>AND(k_n&gt;=5,B2033&gt;A2033+1E-9,C2033&gt;=2,D2033&gt;=1,E2033&gt;=2)</f>
        <v/>
      </c>
      <c r="G2033">
        <f>SUMPRODUCT(Calc!$K$3:$K$22*(Calc!$G$3:$G$22&gt;A2033)*(Calc!$G$3:$G$22-A2033))</f>
        <v/>
      </c>
      <c r="H2033">
        <f>SUMPRODUCT(Calc!$K$3:$K$22*(Calc!$G$3:$G$22&gt;B2033)*(Calc!$G$3:$G$22-B2033))</f>
        <v/>
      </c>
      <c r="I2033">
        <f>SUMPRODUCT(Calc!$K$3:$K$22*(Calc!$G$3:$G$22&gt;A2033)*(Calc!$G$3:$G$22-A2033)^2)</f>
        <v/>
      </c>
      <c r="J2033">
        <f>SUMPRODUCT(Calc!$K$3:$K$22*(Calc!$G$3:$G$22&gt;B2033)*(Calc!$G$3:$G$22-B2033)^2)</f>
        <v/>
      </c>
      <c r="K2033">
        <f>SUMPRODUCT(Calc!$K$3:$K$22*(Calc!$G$3:$G$22&gt;A2033)*(Calc!$G$3:$G$22-A2033)*(Calc!$G$3:$G$22&gt;B2033)*(Calc!$G$3:$G$22-B2033))</f>
        <v/>
      </c>
      <c r="L2033">
        <f>SUMPRODUCT(Calc!$K$3:$K$22*(Calc!$G$3:$G$22&gt;A2033)*(Calc!$G$3:$G$22-A2033)*Calc!$G$3:$G$22)</f>
        <v/>
      </c>
      <c r="M2033">
        <f>SUMPRODUCT(Calc!$K$3:$K$22*(Calc!$G$3:$G$22&gt;B2033)*(Calc!$G$3:$G$22-B2033)*Calc!$G$3:$G$22)</f>
        <v/>
      </c>
      <c r="N2033">
        <f>SUMPRODUCT(Calc!$K$3:$K$22*(Calc!$G$3:$G$22&gt;A2033)*(Calc!$G$3:$G$22-A2033)*Calc!$I$3:$I$22)</f>
        <v/>
      </c>
      <c r="O2033">
        <f>SUMPRODUCT(Calc!$K$3:$K$22*(Calc!$G$3:$G$22&gt;B2033)*(Calc!$G$3:$G$22-B2033)*Calc!$I$3:$I$22)</f>
        <v/>
      </c>
      <c r="P2033">
        <f>I2033-G2033^2/k_n</f>
        <v/>
      </c>
      <c r="Q2033">
        <f>J2033-H2033^2/k_n</f>
        <v/>
      </c>
      <c r="R2033">
        <f>K2033-G2033*H2033/k_n</f>
        <v/>
      </c>
      <c r="S2033">
        <f>L2033-LTP3!$D$3*G2033/k_n</f>
        <v/>
      </c>
      <c r="T2033">
        <f>M2033-LTP3!$D$3*H2033/k_n</f>
        <v/>
      </c>
      <c r="U2033">
        <f>N2033-G2033*LTP3!$D$4/k_n</f>
        <v/>
      </c>
      <c r="V2033">
        <f>O2033-H2033*LTP3!$D$4/k_n</f>
        <v/>
      </c>
      <c r="W2033">
        <f>((LTP3!$D$5)*((P2033)*(Q2033)-(R2033)*(R2033))-(S2033)*((S2033)*(Q2033)-(R2033)*(T2033))+(T2033)*((S2033)*(R2033)-(P2033)*(T2033)))</f>
        <v/>
      </c>
      <c r="X2033">
        <f>IF(ABS(W2033)&gt;1E-12,((LTP3!$D$6)*((P2033)*(Q2033)-(R2033)*(R2033))-(S2033)*((U2033)*(Q2033)-(R2033)*(V2033))+(T2033)*((U2033)*(R2033)-(P2033)*(V2033)))/W2033,0)</f>
        <v/>
      </c>
      <c r="Y2033">
        <f>IF(ABS(W2033)&gt;1E-12,((LTP3!$D$5)*((U2033)*(Q2033)-(R2033)*(V2033))-(LTP3!$D$6)*((S2033)*(Q2033)-(R2033)*(T2033))+(T2033)*((S2033)*(V2033)-(U2033)*(T2033)))/W2033,0)</f>
        <v/>
      </c>
      <c r="Z2033">
        <f>IF(ABS(W2033)&gt;1E-12,((LTP3!$D$5)*((P2033)*(V2033)-(U2033)*(R2033))-(S2033)*((S2033)*(V2033)-(U2033)*(T2033))+(LTP3!$D$6)*((S2033)*(R2033)-(P2033)*(T2033)))/W2033,0)</f>
        <v/>
      </c>
      <c r="AA2033">
        <f>LTP3!$D$7-X2033*LTP3!$D$6-Y2033*U2033-Z2033*V2033</f>
        <v/>
      </c>
      <c r="AB2033">
        <f>IF(AND(F2033,ABS(W2033)&gt;1E-12,Y2033&gt;0,Z2033&gt;0),AA2033,1E+300)</f>
        <v/>
      </c>
    </row>
    <row r="2034">
      <c r="A2034">
        <f>$B$3+$B$5*33</f>
        <v/>
      </c>
      <c r="B2034">
        <f>$B$3+$B$5*9</f>
        <v/>
      </c>
      <c r="C2034">
        <f>SUMPRODUCT(Calc!$K$3:$K$22*(Calc!$G$3:$G$22&lt;=A2034))</f>
        <v/>
      </c>
      <c r="D2034">
        <f>SUMPRODUCT(Calc!$K$3:$K$22*(Calc!$G$3:$G$22&gt;A2034)*(Calc!$G$3:$G$22&lt;B2034))</f>
        <v/>
      </c>
      <c r="E2034">
        <f>SUMPRODUCT(Calc!$K$3:$K$22*(Calc!$G$3:$G$22&gt;=B2034))</f>
        <v/>
      </c>
      <c r="F2034">
        <f>AND(k_n&gt;=5,B2034&gt;A2034+1E-9,C2034&gt;=2,D2034&gt;=1,E2034&gt;=2)</f>
        <v/>
      </c>
      <c r="G2034">
        <f>SUMPRODUCT(Calc!$K$3:$K$22*(Calc!$G$3:$G$22&gt;A2034)*(Calc!$G$3:$G$22-A2034))</f>
        <v/>
      </c>
      <c r="H2034">
        <f>SUMPRODUCT(Calc!$K$3:$K$22*(Calc!$G$3:$G$22&gt;B2034)*(Calc!$G$3:$G$22-B2034))</f>
        <v/>
      </c>
      <c r="I2034">
        <f>SUMPRODUCT(Calc!$K$3:$K$22*(Calc!$G$3:$G$22&gt;A2034)*(Calc!$G$3:$G$22-A2034)^2)</f>
        <v/>
      </c>
      <c r="J2034">
        <f>SUMPRODUCT(Calc!$K$3:$K$22*(Calc!$G$3:$G$22&gt;B2034)*(Calc!$G$3:$G$22-B2034)^2)</f>
        <v/>
      </c>
      <c r="K2034">
        <f>SUMPRODUCT(Calc!$K$3:$K$22*(Calc!$G$3:$G$22&gt;A2034)*(Calc!$G$3:$G$22-A2034)*(Calc!$G$3:$G$22&gt;B2034)*(Calc!$G$3:$G$22-B2034))</f>
        <v/>
      </c>
      <c r="L2034">
        <f>SUMPRODUCT(Calc!$K$3:$K$22*(Calc!$G$3:$G$22&gt;A2034)*(Calc!$G$3:$G$22-A2034)*Calc!$G$3:$G$22)</f>
        <v/>
      </c>
      <c r="M2034">
        <f>SUMPRODUCT(Calc!$K$3:$K$22*(Calc!$G$3:$G$22&gt;B2034)*(Calc!$G$3:$G$22-B2034)*Calc!$G$3:$G$22)</f>
        <v/>
      </c>
      <c r="N2034">
        <f>SUMPRODUCT(Calc!$K$3:$K$22*(Calc!$G$3:$G$22&gt;A2034)*(Calc!$G$3:$G$22-A2034)*Calc!$I$3:$I$22)</f>
        <v/>
      </c>
      <c r="O2034">
        <f>SUMPRODUCT(Calc!$K$3:$K$22*(Calc!$G$3:$G$22&gt;B2034)*(Calc!$G$3:$G$22-B2034)*Calc!$I$3:$I$22)</f>
        <v/>
      </c>
      <c r="P2034">
        <f>I2034-G2034^2/k_n</f>
        <v/>
      </c>
      <c r="Q2034">
        <f>J2034-H2034^2/k_n</f>
        <v/>
      </c>
      <c r="R2034">
        <f>K2034-G2034*H2034/k_n</f>
        <v/>
      </c>
      <c r="S2034">
        <f>L2034-LTP3!$D$3*G2034/k_n</f>
        <v/>
      </c>
      <c r="T2034">
        <f>M2034-LTP3!$D$3*H2034/k_n</f>
        <v/>
      </c>
      <c r="U2034">
        <f>N2034-G2034*LTP3!$D$4/k_n</f>
        <v/>
      </c>
      <c r="V2034">
        <f>O2034-H2034*LTP3!$D$4/k_n</f>
        <v/>
      </c>
      <c r="W2034">
        <f>((LTP3!$D$5)*((P2034)*(Q2034)-(R2034)*(R2034))-(S2034)*((S2034)*(Q2034)-(R2034)*(T2034))+(T2034)*((S2034)*(R2034)-(P2034)*(T2034)))</f>
        <v/>
      </c>
      <c r="X2034">
        <f>IF(ABS(W2034)&gt;1E-12,((LTP3!$D$6)*((P2034)*(Q2034)-(R2034)*(R2034))-(S2034)*((U2034)*(Q2034)-(R2034)*(V2034))+(T2034)*((U2034)*(R2034)-(P2034)*(V2034)))/W2034,0)</f>
        <v/>
      </c>
      <c r="Y2034">
        <f>IF(ABS(W2034)&gt;1E-12,((LTP3!$D$5)*((U2034)*(Q2034)-(R2034)*(V2034))-(LTP3!$D$6)*((S2034)*(Q2034)-(R2034)*(T2034))+(T2034)*((S2034)*(V2034)-(U2034)*(T2034)))/W2034,0)</f>
        <v/>
      </c>
      <c r="Z2034">
        <f>IF(ABS(W2034)&gt;1E-12,((LTP3!$D$5)*((P2034)*(V2034)-(U2034)*(R2034))-(S2034)*((S2034)*(V2034)-(U2034)*(T2034))+(LTP3!$D$6)*((S2034)*(R2034)-(P2034)*(T2034)))/W2034,0)</f>
        <v/>
      </c>
      <c r="AA2034">
        <f>LTP3!$D$7-X2034*LTP3!$D$6-Y2034*U2034-Z2034*V2034</f>
        <v/>
      </c>
      <c r="AB2034">
        <f>IF(AND(F2034,ABS(W2034)&gt;1E-12,Y2034&gt;0,Z2034&gt;0),AA2034,1E+300)</f>
        <v/>
      </c>
    </row>
    <row r="2035">
      <c r="A2035">
        <f>$B$3+$B$5*33</f>
        <v/>
      </c>
      <c r="B2035">
        <f>$B$3+$B$5*10</f>
        <v/>
      </c>
      <c r="C2035">
        <f>SUMPRODUCT(Calc!$K$3:$K$22*(Calc!$G$3:$G$22&lt;=A2035))</f>
        <v/>
      </c>
      <c r="D2035">
        <f>SUMPRODUCT(Calc!$K$3:$K$22*(Calc!$G$3:$G$22&gt;A2035)*(Calc!$G$3:$G$22&lt;B2035))</f>
        <v/>
      </c>
      <c r="E2035">
        <f>SUMPRODUCT(Calc!$K$3:$K$22*(Calc!$G$3:$G$22&gt;=B2035))</f>
        <v/>
      </c>
      <c r="F2035">
        <f>AND(k_n&gt;=5,B2035&gt;A2035+1E-9,C2035&gt;=2,D2035&gt;=1,E2035&gt;=2)</f>
        <v/>
      </c>
      <c r="G2035">
        <f>SUMPRODUCT(Calc!$K$3:$K$22*(Calc!$G$3:$G$22&gt;A2035)*(Calc!$G$3:$G$22-A2035))</f>
        <v/>
      </c>
      <c r="H2035">
        <f>SUMPRODUCT(Calc!$K$3:$K$22*(Calc!$G$3:$G$22&gt;B2035)*(Calc!$G$3:$G$22-B2035))</f>
        <v/>
      </c>
      <c r="I2035">
        <f>SUMPRODUCT(Calc!$K$3:$K$22*(Calc!$G$3:$G$22&gt;A2035)*(Calc!$G$3:$G$22-A2035)^2)</f>
        <v/>
      </c>
      <c r="J2035">
        <f>SUMPRODUCT(Calc!$K$3:$K$22*(Calc!$G$3:$G$22&gt;B2035)*(Calc!$G$3:$G$22-B2035)^2)</f>
        <v/>
      </c>
      <c r="K2035">
        <f>SUMPRODUCT(Calc!$K$3:$K$22*(Calc!$G$3:$G$22&gt;A2035)*(Calc!$G$3:$G$22-A2035)*(Calc!$G$3:$G$22&gt;B2035)*(Calc!$G$3:$G$22-B2035))</f>
        <v/>
      </c>
      <c r="L2035">
        <f>SUMPRODUCT(Calc!$K$3:$K$22*(Calc!$G$3:$G$22&gt;A2035)*(Calc!$G$3:$G$22-A2035)*Calc!$G$3:$G$22)</f>
        <v/>
      </c>
      <c r="M2035">
        <f>SUMPRODUCT(Calc!$K$3:$K$22*(Calc!$G$3:$G$22&gt;B2035)*(Calc!$G$3:$G$22-B2035)*Calc!$G$3:$G$22)</f>
        <v/>
      </c>
      <c r="N2035">
        <f>SUMPRODUCT(Calc!$K$3:$K$22*(Calc!$G$3:$G$22&gt;A2035)*(Calc!$G$3:$G$22-A2035)*Calc!$I$3:$I$22)</f>
        <v/>
      </c>
      <c r="O2035">
        <f>SUMPRODUCT(Calc!$K$3:$K$22*(Calc!$G$3:$G$22&gt;B2035)*(Calc!$G$3:$G$22-B2035)*Calc!$I$3:$I$22)</f>
        <v/>
      </c>
      <c r="P2035">
        <f>I2035-G2035^2/k_n</f>
        <v/>
      </c>
      <c r="Q2035">
        <f>J2035-H2035^2/k_n</f>
        <v/>
      </c>
      <c r="R2035">
        <f>K2035-G2035*H2035/k_n</f>
        <v/>
      </c>
      <c r="S2035">
        <f>L2035-LTP3!$D$3*G2035/k_n</f>
        <v/>
      </c>
      <c r="T2035">
        <f>M2035-LTP3!$D$3*H2035/k_n</f>
        <v/>
      </c>
      <c r="U2035">
        <f>N2035-G2035*LTP3!$D$4/k_n</f>
        <v/>
      </c>
      <c r="V2035">
        <f>O2035-H2035*LTP3!$D$4/k_n</f>
        <v/>
      </c>
      <c r="W2035">
        <f>((LTP3!$D$5)*((P2035)*(Q2035)-(R2035)*(R2035))-(S2035)*((S2035)*(Q2035)-(R2035)*(T2035))+(T2035)*((S2035)*(R2035)-(P2035)*(T2035)))</f>
        <v/>
      </c>
      <c r="X2035">
        <f>IF(ABS(W2035)&gt;1E-12,((LTP3!$D$6)*((P2035)*(Q2035)-(R2035)*(R2035))-(S2035)*((U2035)*(Q2035)-(R2035)*(V2035))+(T2035)*((U2035)*(R2035)-(P2035)*(V2035)))/W2035,0)</f>
        <v/>
      </c>
      <c r="Y2035">
        <f>IF(ABS(W2035)&gt;1E-12,((LTP3!$D$5)*((U2035)*(Q2035)-(R2035)*(V2035))-(LTP3!$D$6)*((S2035)*(Q2035)-(R2035)*(T2035))+(T2035)*((S2035)*(V2035)-(U2035)*(T2035)))/W2035,0)</f>
        <v/>
      </c>
      <c r="Z2035">
        <f>IF(ABS(W2035)&gt;1E-12,((LTP3!$D$5)*((P2035)*(V2035)-(U2035)*(R2035))-(S2035)*((S2035)*(V2035)-(U2035)*(T2035))+(LTP3!$D$6)*((S2035)*(R2035)-(P2035)*(T2035)))/W2035,0)</f>
        <v/>
      </c>
      <c r="AA2035">
        <f>LTP3!$D$7-X2035*LTP3!$D$6-Y2035*U2035-Z2035*V2035</f>
        <v/>
      </c>
      <c r="AB2035">
        <f>IF(AND(F2035,ABS(W2035)&gt;1E-12,Y2035&gt;0,Z2035&gt;0),AA2035,1E+300)</f>
        <v/>
      </c>
    </row>
    <row r="2036">
      <c r="A2036">
        <f>$B$3+$B$5*33</f>
        <v/>
      </c>
      <c r="B2036">
        <f>$B$3+$B$5*11</f>
        <v/>
      </c>
      <c r="C2036">
        <f>SUMPRODUCT(Calc!$K$3:$K$22*(Calc!$G$3:$G$22&lt;=A2036))</f>
        <v/>
      </c>
      <c r="D2036">
        <f>SUMPRODUCT(Calc!$K$3:$K$22*(Calc!$G$3:$G$22&gt;A2036)*(Calc!$G$3:$G$22&lt;B2036))</f>
        <v/>
      </c>
      <c r="E2036">
        <f>SUMPRODUCT(Calc!$K$3:$K$22*(Calc!$G$3:$G$22&gt;=B2036))</f>
        <v/>
      </c>
      <c r="F2036">
        <f>AND(k_n&gt;=5,B2036&gt;A2036+1E-9,C2036&gt;=2,D2036&gt;=1,E2036&gt;=2)</f>
        <v/>
      </c>
      <c r="G2036">
        <f>SUMPRODUCT(Calc!$K$3:$K$22*(Calc!$G$3:$G$22&gt;A2036)*(Calc!$G$3:$G$22-A2036))</f>
        <v/>
      </c>
      <c r="H2036">
        <f>SUMPRODUCT(Calc!$K$3:$K$22*(Calc!$G$3:$G$22&gt;B2036)*(Calc!$G$3:$G$22-B2036))</f>
        <v/>
      </c>
      <c r="I2036">
        <f>SUMPRODUCT(Calc!$K$3:$K$22*(Calc!$G$3:$G$22&gt;A2036)*(Calc!$G$3:$G$22-A2036)^2)</f>
        <v/>
      </c>
      <c r="J2036">
        <f>SUMPRODUCT(Calc!$K$3:$K$22*(Calc!$G$3:$G$22&gt;B2036)*(Calc!$G$3:$G$22-B2036)^2)</f>
        <v/>
      </c>
      <c r="K2036">
        <f>SUMPRODUCT(Calc!$K$3:$K$22*(Calc!$G$3:$G$22&gt;A2036)*(Calc!$G$3:$G$22-A2036)*(Calc!$G$3:$G$22&gt;B2036)*(Calc!$G$3:$G$22-B2036))</f>
        <v/>
      </c>
      <c r="L2036">
        <f>SUMPRODUCT(Calc!$K$3:$K$22*(Calc!$G$3:$G$22&gt;A2036)*(Calc!$G$3:$G$22-A2036)*Calc!$G$3:$G$22)</f>
        <v/>
      </c>
      <c r="M2036">
        <f>SUMPRODUCT(Calc!$K$3:$K$22*(Calc!$G$3:$G$22&gt;B2036)*(Calc!$G$3:$G$22-B2036)*Calc!$G$3:$G$22)</f>
        <v/>
      </c>
      <c r="N2036">
        <f>SUMPRODUCT(Calc!$K$3:$K$22*(Calc!$G$3:$G$22&gt;A2036)*(Calc!$G$3:$G$22-A2036)*Calc!$I$3:$I$22)</f>
        <v/>
      </c>
      <c r="O2036">
        <f>SUMPRODUCT(Calc!$K$3:$K$22*(Calc!$G$3:$G$22&gt;B2036)*(Calc!$G$3:$G$22-B2036)*Calc!$I$3:$I$22)</f>
        <v/>
      </c>
      <c r="P2036">
        <f>I2036-G2036^2/k_n</f>
        <v/>
      </c>
      <c r="Q2036">
        <f>J2036-H2036^2/k_n</f>
        <v/>
      </c>
      <c r="R2036">
        <f>K2036-G2036*H2036/k_n</f>
        <v/>
      </c>
      <c r="S2036">
        <f>L2036-LTP3!$D$3*G2036/k_n</f>
        <v/>
      </c>
      <c r="T2036">
        <f>M2036-LTP3!$D$3*H2036/k_n</f>
        <v/>
      </c>
      <c r="U2036">
        <f>N2036-G2036*LTP3!$D$4/k_n</f>
        <v/>
      </c>
      <c r="V2036">
        <f>O2036-H2036*LTP3!$D$4/k_n</f>
        <v/>
      </c>
      <c r="W2036">
        <f>((LTP3!$D$5)*((P2036)*(Q2036)-(R2036)*(R2036))-(S2036)*((S2036)*(Q2036)-(R2036)*(T2036))+(T2036)*((S2036)*(R2036)-(P2036)*(T2036)))</f>
        <v/>
      </c>
      <c r="X2036">
        <f>IF(ABS(W2036)&gt;1E-12,((LTP3!$D$6)*((P2036)*(Q2036)-(R2036)*(R2036))-(S2036)*((U2036)*(Q2036)-(R2036)*(V2036))+(T2036)*((U2036)*(R2036)-(P2036)*(V2036)))/W2036,0)</f>
        <v/>
      </c>
      <c r="Y2036">
        <f>IF(ABS(W2036)&gt;1E-12,((LTP3!$D$5)*((U2036)*(Q2036)-(R2036)*(V2036))-(LTP3!$D$6)*((S2036)*(Q2036)-(R2036)*(T2036))+(T2036)*((S2036)*(V2036)-(U2036)*(T2036)))/W2036,0)</f>
        <v/>
      </c>
      <c r="Z2036">
        <f>IF(ABS(W2036)&gt;1E-12,((LTP3!$D$5)*((P2036)*(V2036)-(U2036)*(R2036))-(S2036)*((S2036)*(V2036)-(U2036)*(T2036))+(LTP3!$D$6)*((S2036)*(R2036)-(P2036)*(T2036)))/W2036,0)</f>
        <v/>
      </c>
      <c r="AA2036">
        <f>LTP3!$D$7-X2036*LTP3!$D$6-Y2036*U2036-Z2036*V2036</f>
        <v/>
      </c>
      <c r="AB2036">
        <f>IF(AND(F2036,ABS(W2036)&gt;1E-12,Y2036&gt;0,Z2036&gt;0),AA2036,1E+300)</f>
        <v/>
      </c>
    </row>
    <row r="2037">
      <c r="A2037">
        <f>$B$3+$B$5*33</f>
        <v/>
      </c>
      <c r="B2037">
        <f>$B$3+$B$5*12</f>
        <v/>
      </c>
      <c r="C2037">
        <f>SUMPRODUCT(Calc!$K$3:$K$22*(Calc!$G$3:$G$22&lt;=A2037))</f>
        <v/>
      </c>
      <c r="D2037">
        <f>SUMPRODUCT(Calc!$K$3:$K$22*(Calc!$G$3:$G$22&gt;A2037)*(Calc!$G$3:$G$22&lt;B2037))</f>
        <v/>
      </c>
      <c r="E2037">
        <f>SUMPRODUCT(Calc!$K$3:$K$22*(Calc!$G$3:$G$22&gt;=B2037))</f>
        <v/>
      </c>
      <c r="F2037">
        <f>AND(k_n&gt;=5,B2037&gt;A2037+1E-9,C2037&gt;=2,D2037&gt;=1,E2037&gt;=2)</f>
        <v/>
      </c>
      <c r="G2037">
        <f>SUMPRODUCT(Calc!$K$3:$K$22*(Calc!$G$3:$G$22&gt;A2037)*(Calc!$G$3:$G$22-A2037))</f>
        <v/>
      </c>
      <c r="H2037">
        <f>SUMPRODUCT(Calc!$K$3:$K$22*(Calc!$G$3:$G$22&gt;B2037)*(Calc!$G$3:$G$22-B2037))</f>
        <v/>
      </c>
      <c r="I2037">
        <f>SUMPRODUCT(Calc!$K$3:$K$22*(Calc!$G$3:$G$22&gt;A2037)*(Calc!$G$3:$G$22-A2037)^2)</f>
        <v/>
      </c>
      <c r="J2037">
        <f>SUMPRODUCT(Calc!$K$3:$K$22*(Calc!$G$3:$G$22&gt;B2037)*(Calc!$G$3:$G$22-B2037)^2)</f>
        <v/>
      </c>
      <c r="K2037">
        <f>SUMPRODUCT(Calc!$K$3:$K$22*(Calc!$G$3:$G$22&gt;A2037)*(Calc!$G$3:$G$22-A2037)*(Calc!$G$3:$G$22&gt;B2037)*(Calc!$G$3:$G$22-B2037))</f>
        <v/>
      </c>
      <c r="L2037">
        <f>SUMPRODUCT(Calc!$K$3:$K$22*(Calc!$G$3:$G$22&gt;A2037)*(Calc!$G$3:$G$22-A2037)*Calc!$G$3:$G$22)</f>
        <v/>
      </c>
      <c r="M2037">
        <f>SUMPRODUCT(Calc!$K$3:$K$22*(Calc!$G$3:$G$22&gt;B2037)*(Calc!$G$3:$G$22-B2037)*Calc!$G$3:$G$22)</f>
        <v/>
      </c>
      <c r="N2037">
        <f>SUMPRODUCT(Calc!$K$3:$K$22*(Calc!$G$3:$G$22&gt;A2037)*(Calc!$G$3:$G$22-A2037)*Calc!$I$3:$I$22)</f>
        <v/>
      </c>
      <c r="O2037">
        <f>SUMPRODUCT(Calc!$K$3:$K$22*(Calc!$G$3:$G$22&gt;B2037)*(Calc!$G$3:$G$22-B2037)*Calc!$I$3:$I$22)</f>
        <v/>
      </c>
      <c r="P2037">
        <f>I2037-G2037^2/k_n</f>
        <v/>
      </c>
      <c r="Q2037">
        <f>J2037-H2037^2/k_n</f>
        <v/>
      </c>
      <c r="R2037">
        <f>K2037-G2037*H2037/k_n</f>
        <v/>
      </c>
      <c r="S2037">
        <f>L2037-LTP3!$D$3*G2037/k_n</f>
        <v/>
      </c>
      <c r="T2037">
        <f>M2037-LTP3!$D$3*H2037/k_n</f>
        <v/>
      </c>
      <c r="U2037">
        <f>N2037-G2037*LTP3!$D$4/k_n</f>
        <v/>
      </c>
      <c r="V2037">
        <f>O2037-H2037*LTP3!$D$4/k_n</f>
        <v/>
      </c>
      <c r="W2037">
        <f>((LTP3!$D$5)*((P2037)*(Q2037)-(R2037)*(R2037))-(S2037)*((S2037)*(Q2037)-(R2037)*(T2037))+(T2037)*((S2037)*(R2037)-(P2037)*(T2037)))</f>
        <v/>
      </c>
      <c r="X2037">
        <f>IF(ABS(W2037)&gt;1E-12,((LTP3!$D$6)*((P2037)*(Q2037)-(R2037)*(R2037))-(S2037)*((U2037)*(Q2037)-(R2037)*(V2037))+(T2037)*((U2037)*(R2037)-(P2037)*(V2037)))/W2037,0)</f>
        <v/>
      </c>
      <c r="Y2037">
        <f>IF(ABS(W2037)&gt;1E-12,((LTP3!$D$5)*((U2037)*(Q2037)-(R2037)*(V2037))-(LTP3!$D$6)*((S2037)*(Q2037)-(R2037)*(T2037))+(T2037)*((S2037)*(V2037)-(U2037)*(T2037)))/W2037,0)</f>
        <v/>
      </c>
      <c r="Z2037">
        <f>IF(ABS(W2037)&gt;1E-12,((LTP3!$D$5)*((P2037)*(V2037)-(U2037)*(R2037))-(S2037)*((S2037)*(V2037)-(U2037)*(T2037))+(LTP3!$D$6)*((S2037)*(R2037)-(P2037)*(T2037)))/W2037,0)</f>
        <v/>
      </c>
      <c r="AA2037">
        <f>LTP3!$D$7-X2037*LTP3!$D$6-Y2037*U2037-Z2037*V2037</f>
        <v/>
      </c>
      <c r="AB2037">
        <f>IF(AND(F2037,ABS(W2037)&gt;1E-12,Y2037&gt;0,Z2037&gt;0),AA2037,1E+300)</f>
        <v/>
      </c>
    </row>
    <row r="2038">
      <c r="A2038">
        <f>$B$3+$B$5*33</f>
        <v/>
      </c>
      <c r="B2038">
        <f>$B$3+$B$5*13</f>
        <v/>
      </c>
      <c r="C2038">
        <f>SUMPRODUCT(Calc!$K$3:$K$22*(Calc!$G$3:$G$22&lt;=A2038))</f>
        <v/>
      </c>
      <c r="D2038">
        <f>SUMPRODUCT(Calc!$K$3:$K$22*(Calc!$G$3:$G$22&gt;A2038)*(Calc!$G$3:$G$22&lt;B2038))</f>
        <v/>
      </c>
      <c r="E2038">
        <f>SUMPRODUCT(Calc!$K$3:$K$22*(Calc!$G$3:$G$22&gt;=B2038))</f>
        <v/>
      </c>
      <c r="F2038">
        <f>AND(k_n&gt;=5,B2038&gt;A2038+1E-9,C2038&gt;=2,D2038&gt;=1,E2038&gt;=2)</f>
        <v/>
      </c>
      <c r="G2038">
        <f>SUMPRODUCT(Calc!$K$3:$K$22*(Calc!$G$3:$G$22&gt;A2038)*(Calc!$G$3:$G$22-A2038))</f>
        <v/>
      </c>
      <c r="H2038">
        <f>SUMPRODUCT(Calc!$K$3:$K$22*(Calc!$G$3:$G$22&gt;B2038)*(Calc!$G$3:$G$22-B2038))</f>
        <v/>
      </c>
      <c r="I2038">
        <f>SUMPRODUCT(Calc!$K$3:$K$22*(Calc!$G$3:$G$22&gt;A2038)*(Calc!$G$3:$G$22-A2038)^2)</f>
        <v/>
      </c>
      <c r="J2038">
        <f>SUMPRODUCT(Calc!$K$3:$K$22*(Calc!$G$3:$G$22&gt;B2038)*(Calc!$G$3:$G$22-B2038)^2)</f>
        <v/>
      </c>
      <c r="K2038">
        <f>SUMPRODUCT(Calc!$K$3:$K$22*(Calc!$G$3:$G$22&gt;A2038)*(Calc!$G$3:$G$22-A2038)*(Calc!$G$3:$G$22&gt;B2038)*(Calc!$G$3:$G$22-B2038))</f>
        <v/>
      </c>
      <c r="L2038">
        <f>SUMPRODUCT(Calc!$K$3:$K$22*(Calc!$G$3:$G$22&gt;A2038)*(Calc!$G$3:$G$22-A2038)*Calc!$G$3:$G$22)</f>
        <v/>
      </c>
      <c r="M2038">
        <f>SUMPRODUCT(Calc!$K$3:$K$22*(Calc!$G$3:$G$22&gt;B2038)*(Calc!$G$3:$G$22-B2038)*Calc!$G$3:$G$22)</f>
        <v/>
      </c>
      <c r="N2038">
        <f>SUMPRODUCT(Calc!$K$3:$K$22*(Calc!$G$3:$G$22&gt;A2038)*(Calc!$G$3:$G$22-A2038)*Calc!$I$3:$I$22)</f>
        <v/>
      </c>
      <c r="O2038">
        <f>SUMPRODUCT(Calc!$K$3:$K$22*(Calc!$G$3:$G$22&gt;B2038)*(Calc!$G$3:$G$22-B2038)*Calc!$I$3:$I$22)</f>
        <v/>
      </c>
      <c r="P2038">
        <f>I2038-G2038^2/k_n</f>
        <v/>
      </c>
      <c r="Q2038">
        <f>J2038-H2038^2/k_n</f>
        <v/>
      </c>
      <c r="R2038">
        <f>K2038-G2038*H2038/k_n</f>
        <v/>
      </c>
      <c r="S2038">
        <f>L2038-LTP3!$D$3*G2038/k_n</f>
        <v/>
      </c>
      <c r="T2038">
        <f>M2038-LTP3!$D$3*H2038/k_n</f>
        <v/>
      </c>
      <c r="U2038">
        <f>N2038-G2038*LTP3!$D$4/k_n</f>
        <v/>
      </c>
      <c r="V2038">
        <f>O2038-H2038*LTP3!$D$4/k_n</f>
        <v/>
      </c>
      <c r="W2038">
        <f>((LTP3!$D$5)*((P2038)*(Q2038)-(R2038)*(R2038))-(S2038)*((S2038)*(Q2038)-(R2038)*(T2038))+(T2038)*((S2038)*(R2038)-(P2038)*(T2038)))</f>
        <v/>
      </c>
      <c r="X2038">
        <f>IF(ABS(W2038)&gt;1E-12,((LTP3!$D$6)*((P2038)*(Q2038)-(R2038)*(R2038))-(S2038)*((U2038)*(Q2038)-(R2038)*(V2038))+(T2038)*((U2038)*(R2038)-(P2038)*(V2038)))/W2038,0)</f>
        <v/>
      </c>
      <c r="Y2038">
        <f>IF(ABS(W2038)&gt;1E-12,((LTP3!$D$5)*((U2038)*(Q2038)-(R2038)*(V2038))-(LTP3!$D$6)*((S2038)*(Q2038)-(R2038)*(T2038))+(T2038)*((S2038)*(V2038)-(U2038)*(T2038)))/W2038,0)</f>
        <v/>
      </c>
      <c r="Z2038">
        <f>IF(ABS(W2038)&gt;1E-12,((LTP3!$D$5)*((P2038)*(V2038)-(U2038)*(R2038))-(S2038)*((S2038)*(V2038)-(U2038)*(T2038))+(LTP3!$D$6)*((S2038)*(R2038)-(P2038)*(T2038)))/W2038,0)</f>
        <v/>
      </c>
      <c r="AA2038">
        <f>LTP3!$D$7-X2038*LTP3!$D$6-Y2038*U2038-Z2038*V2038</f>
        <v/>
      </c>
      <c r="AB2038">
        <f>IF(AND(F2038,ABS(W2038)&gt;1E-12,Y2038&gt;0,Z2038&gt;0),AA2038,1E+300)</f>
        <v/>
      </c>
    </row>
    <row r="2039">
      <c r="A2039">
        <f>$B$3+$B$5*33</f>
        <v/>
      </c>
      <c r="B2039">
        <f>$B$3+$B$5*14</f>
        <v/>
      </c>
      <c r="C2039">
        <f>SUMPRODUCT(Calc!$K$3:$K$22*(Calc!$G$3:$G$22&lt;=A2039))</f>
        <v/>
      </c>
      <c r="D2039">
        <f>SUMPRODUCT(Calc!$K$3:$K$22*(Calc!$G$3:$G$22&gt;A2039)*(Calc!$G$3:$G$22&lt;B2039))</f>
        <v/>
      </c>
      <c r="E2039">
        <f>SUMPRODUCT(Calc!$K$3:$K$22*(Calc!$G$3:$G$22&gt;=B2039))</f>
        <v/>
      </c>
      <c r="F2039">
        <f>AND(k_n&gt;=5,B2039&gt;A2039+1E-9,C2039&gt;=2,D2039&gt;=1,E2039&gt;=2)</f>
        <v/>
      </c>
      <c r="G2039">
        <f>SUMPRODUCT(Calc!$K$3:$K$22*(Calc!$G$3:$G$22&gt;A2039)*(Calc!$G$3:$G$22-A2039))</f>
        <v/>
      </c>
      <c r="H2039">
        <f>SUMPRODUCT(Calc!$K$3:$K$22*(Calc!$G$3:$G$22&gt;B2039)*(Calc!$G$3:$G$22-B2039))</f>
        <v/>
      </c>
      <c r="I2039">
        <f>SUMPRODUCT(Calc!$K$3:$K$22*(Calc!$G$3:$G$22&gt;A2039)*(Calc!$G$3:$G$22-A2039)^2)</f>
        <v/>
      </c>
      <c r="J2039">
        <f>SUMPRODUCT(Calc!$K$3:$K$22*(Calc!$G$3:$G$22&gt;B2039)*(Calc!$G$3:$G$22-B2039)^2)</f>
        <v/>
      </c>
      <c r="K2039">
        <f>SUMPRODUCT(Calc!$K$3:$K$22*(Calc!$G$3:$G$22&gt;A2039)*(Calc!$G$3:$G$22-A2039)*(Calc!$G$3:$G$22&gt;B2039)*(Calc!$G$3:$G$22-B2039))</f>
        <v/>
      </c>
      <c r="L2039">
        <f>SUMPRODUCT(Calc!$K$3:$K$22*(Calc!$G$3:$G$22&gt;A2039)*(Calc!$G$3:$G$22-A2039)*Calc!$G$3:$G$22)</f>
        <v/>
      </c>
      <c r="M2039">
        <f>SUMPRODUCT(Calc!$K$3:$K$22*(Calc!$G$3:$G$22&gt;B2039)*(Calc!$G$3:$G$22-B2039)*Calc!$G$3:$G$22)</f>
        <v/>
      </c>
      <c r="N2039">
        <f>SUMPRODUCT(Calc!$K$3:$K$22*(Calc!$G$3:$G$22&gt;A2039)*(Calc!$G$3:$G$22-A2039)*Calc!$I$3:$I$22)</f>
        <v/>
      </c>
      <c r="O2039">
        <f>SUMPRODUCT(Calc!$K$3:$K$22*(Calc!$G$3:$G$22&gt;B2039)*(Calc!$G$3:$G$22-B2039)*Calc!$I$3:$I$22)</f>
        <v/>
      </c>
      <c r="P2039">
        <f>I2039-G2039^2/k_n</f>
        <v/>
      </c>
      <c r="Q2039">
        <f>J2039-H2039^2/k_n</f>
        <v/>
      </c>
      <c r="R2039">
        <f>K2039-G2039*H2039/k_n</f>
        <v/>
      </c>
      <c r="S2039">
        <f>L2039-LTP3!$D$3*G2039/k_n</f>
        <v/>
      </c>
      <c r="T2039">
        <f>M2039-LTP3!$D$3*H2039/k_n</f>
        <v/>
      </c>
      <c r="U2039">
        <f>N2039-G2039*LTP3!$D$4/k_n</f>
        <v/>
      </c>
      <c r="V2039">
        <f>O2039-H2039*LTP3!$D$4/k_n</f>
        <v/>
      </c>
      <c r="W2039">
        <f>((LTP3!$D$5)*((P2039)*(Q2039)-(R2039)*(R2039))-(S2039)*((S2039)*(Q2039)-(R2039)*(T2039))+(T2039)*((S2039)*(R2039)-(P2039)*(T2039)))</f>
        <v/>
      </c>
      <c r="X2039">
        <f>IF(ABS(W2039)&gt;1E-12,((LTP3!$D$6)*((P2039)*(Q2039)-(R2039)*(R2039))-(S2039)*((U2039)*(Q2039)-(R2039)*(V2039))+(T2039)*((U2039)*(R2039)-(P2039)*(V2039)))/W2039,0)</f>
        <v/>
      </c>
      <c r="Y2039">
        <f>IF(ABS(W2039)&gt;1E-12,((LTP3!$D$5)*((U2039)*(Q2039)-(R2039)*(V2039))-(LTP3!$D$6)*((S2039)*(Q2039)-(R2039)*(T2039))+(T2039)*((S2039)*(V2039)-(U2039)*(T2039)))/W2039,0)</f>
        <v/>
      </c>
      <c r="Z2039">
        <f>IF(ABS(W2039)&gt;1E-12,((LTP3!$D$5)*((P2039)*(V2039)-(U2039)*(R2039))-(S2039)*((S2039)*(V2039)-(U2039)*(T2039))+(LTP3!$D$6)*((S2039)*(R2039)-(P2039)*(T2039)))/W2039,0)</f>
        <v/>
      </c>
      <c r="AA2039">
        <f>LTP3!$D$7-X2039*LTP3!$D$6-Y2039*U2039-Z2039*V2039</f>
        <v/>
      </c>
      <c r="AB2039">
        <f>IF(AND(F2039,ABS(W2039)&gt;1E-12,Y2039&gt;0,Z2039&gt;0),AA2039,1E+300)</f>
        <v/>
      </c>
    </row>
    <row r="2040">
      <c r="A2040">
        <f>$B$3+$B$5*33</f>
        <v/>
      </c>
      <c r="B2040">
        <f>$B$3+$B$5*15</f>
        <v/>
      </c>
      <c r="C2040">
        <f>SUMPRODUCT(Calc!$K$3:$K$22*(Calc!$G$3:$G$22&lt;=A2040))</f>
        <v/>
      </c>
      <c r="D2040">
        <f>SUMPRODUCT(Calc!$K$3:$K$22*(Calc!$G$3:$G$22&gt;A2040)*(Calc!$G$3:$G$22&lt;B2040))</f>
        <v/>
      </c>
      <c r="E2040">
        <f>SUMPRODUCT(Calc!$K$3:$K$22*(Calc!$G$3:$G$22&gt;=B2040))</f>
        <v/>
      </c>
      <c r="F2040">
        <f>AND(k_n&gt;=5,B2040&gt;A2040+1E-9,C2040&gt;=2,D2040&gt;=1,E2040&gt;=2)</f>
        <v/>
      </c>
      <c r="G2040">
        <f>SUMPRODUCT(Calc!$K$3:$K$22*(Calc!$G$3:$G$22&gt;A2040)*(Calc!$G$3:$G$22-A2040))</f>
        <v/>
      </c>
      <c r="H2040">
        <f>SUMPRODUCT(Calc!$K$3:$K$22*(Calc!$G$3:$G$22&gt;B2040)*(Calc!$G$3:$G$22-B2040))</f>
        <v/>
      </c>
      <c r="I2040">
        <f>SUMPRODUCT(Calc!$K$3:$K$22*(Calc!$G$3:$G$22&gt;A2040)*(Calc!$G$3:$G$22-A2040)^2)</f>
        <v/>
      </c>
      <c r="J2040">
        <f>SUMPRODUCT(Calc!$K$3:$K$22*(Calc!$G$3:$G$22&gt;B2040)*(Calc!$G$3:$G$22-B2040)^2)</f>
        <v/>
      </c>
      <c r="K2040">
        <f>SUMPRODUCT(Calc!$K$3:$K$22*(Calc!$G$3:$G$22&gt;A2040)*(Calc!$G$3:$G$22-A2040)*(Calc!$G$3:$G$22&gt;B2040)*(Calc!$G$3:$G$22-B2040))</f>
        <v/>
      </c>
      <c r="L2040">
        <f>SUMPRODUCT(Calc!$K$3:$K$22*(Calc!$G$3:$G$22&gt;A2040)*(Calc!$G$3:$G$22-A2040)*Calc!$G$3:$G$22)</f>
        <v/>
      </c>
      <c r="M2040">
        <f>SUMPRODUCT(Calc!$K$3:$K$22*(Calc!$G$3:$G$22&gt;B2040)*(Calc!$G$3:$G$22-B2040)*Calc!$G$3:$G$22)</f>
        <v/>
      </c>
      <c r="N2040">
        <f>SUMPRODUCT(Calc!$K$3:$K$22*(Calc!$G$3:$G$22&gt;A2040)*(Calc!$G$3:$G$22-A2040)*Calc!$I$3:$I$22)</f>
        <v/>
      </c>
      <c r="O2040">
        <f>SUMPRODUCT(Calc!$K$3:$K$22*(Calc!$G$3:$G$22&gt;B2040)*(Calc!$G$3:$G$22-B2040)*Calc!$I$3:$I$22)</f>
        <v/>
      </c>
      <c r="P2040">
        <f>I2040-G2040^2/k_n</f>
        <v/>
      </c>
      <c r="Q2040">
        <f>J2040-H2040^2/k_n</f>
        <v/>
      </c>
      <c r="R2040">
        <f>K2040-G2040*H2040/k_n</f>
        <v/>
      </c>
      <c r="S2040">
        <f>L2040-LTP3!$D$3*G2040/k_n</f>
        <v/>
      </c>
      <c r="T2040">
        <f>M2040-LTP3!$D$3*H2040/k_n</f>
        <v/>
      </c>
      <c r="U2040">
        <f>N2040-G2040*LTP3!$D$4/k_n</f>
        <v/>
      </c>
      <c r="V2040">
        <f>O2040-H2040*LTP3!$D$4/k_n</f>
        <v/>
      </c>
      <c r="W2040">
        <f>((LTP3!$D$5)*((P2040)*(Q2040)-(R2040)*(R2040))-(S2040)*((S2040)*(Q2040)-(R2040)*(T2040))+(T2040)*((S2040)*(R2040)-(P2040)*(T2040)))</f>
        <v/>
      </c>
      <c r="X2040">
        <f>IF(ABS(W2040)&gt;1E-12,((LTP3!$D$6)*((P2040)*(Q2040)-(R2040)*(R2040))-(S2040)*((U2040)*(Q2040)-(R2040)*(V2040))+(T2040)*((U2040)*(R2040)-(P2040)*(V2040)))/W2040,0)</f>
        <v/>
      </c>
      <c r="Y2040">
        <f>IF(ABS(W2040)&gt;1E-12,((LTP3!$D$5)*((U2040)*(Q2040)-(R2040)*(V2040))-(LTP3!$D$6)*((S2040)*(Q2040)-(R2040)*(T2040))+(T2040)*((S2040)*(V2040)-(U2040)*(T2040)))/W2040,0)</f>
        <v/>
      </c>
      <c r="Z2040">
        <f>IF(ABS(W2040)&gt;1E-12,((LTP3!$D$5)*((P2040)*(V2040)-(U2040)*(R2040))-(S2040)*((S2040)*(V2040)-(U2040)*(T2040))+(LTP3!$D$6)*((S2040)*(R2040)-(P2040)*(T2040)))/W2040,0)</f>
        <v/>
      </c>
      <c r="AA2040">
        <f>LTP3!$D$7-X2040*LTP3!$D$6-Y2040*U2040-Z2040*V2040</f>
        <v/>
      </c>
      <c r="AB2040">
        <f>IF(AND(F2040,ABS(W2040)&gt;1E-12,Y2040&gt;0,Z2040&gt;0),AA2040,1E+300)</f>
        <v/>
      </c>
    </row>
    <row r="2041">
      <c r="A2041">
        <f>$B$3+$B$5*33</f>
        <v/>
      </c>
      <c r="B2041">
        <f>$B$3+$B$5*16</f>
        <v/>
      </c>
      <c r="C2041">
        <f>SUMPRODUCT(Calc!$K$3:$K$22*(Calc!$G$3:$G$22&lt;=A2041))</f>
        <v/>
      </c>
      <c r="D2041">
        <f>SUMPRODUCT(Calc!$K$3:$K$22*(Calc!$G$3:$G$22&gt;A2041)*(Calc!$G$3:$G$22&lt;B2041))</f>
        <v/>
      </c>
      <c r="E2041">
        <f>SUMPRODUCT(Calc!$K$3:$K$22*(Calc!$G$3:$G$22&gt;=B2041))</f>
        <v/>
      </c>
      <c r="F2041">
        <f>AND(k_n&gt;=5,B2041&gt;A2041+1E-9,C2041&gt;=2,D2041&gt;=1,E2041&gt;=2)</f>
        <v/>
      </c>
      <c r="G2041">
        <f>SUMPRODUCT(Calc!$K$3:$K$22*(Calc!$G$3:$G$22&gt;A2041)*(Calc!$G$3:$G$22-A2041))</f>
        <v/>
      </c>
      <c r="H2041">
        <f>SUMPRODUCT(Calc!$K$3:$K$22*(Calc!$G$3:$G$22&gt;B2041)*(Calc!$G$3:$G$22-B2041))</f>
        <v/>
      </c>
      <c r="I2041">
        <f>SUMPRODUCT(Calc!$K$3:$K$22*(Calc!$G$3:$G$22&gt;A2041)*(Calc!$G$3:$G$22-A2041)^2)</f>
        <v/>
      </c>
      <c r="J2041">
        <f>SUMPRODUCT(Calc!$K$3:$K$22*(Calc!$G$3:$G$22&gt;B2041)*(Calc!$G$3:$G$22-B2041)^2)</f>
        <v/>
      </c>
      <c r="K2041">
        <f>SUMPRODUCT(Calc!$K$3:$K$22*(Calc!$G$3:$G$22&gt;A2041)*(Calc!$G$3:$G$22-A2041)*(Calc!$G$3:$G$22&gt;B2041)*(Calc!$G$3:$G$22-B2041))</f>
        <v/>
      </c>
      <c r="L2041">
        <f>SUMPRODUCT(Calc!$K$3:$K$22*(Calc!$G$3:$G$22&gt;A2041)*(Calc!$G$3:$G$22-A2041)*Calc!$G$3:$G$22)</f>
        <v/>
      </c>
      <c r="M2041">
        <f>SUMPRODUCT(Calc!$K$3:$K$22*(Calc!$G$3:$G$22&gt;B2041)*(Calc!$G$3:$G$22-B2041)*Calc!$G$3:$G$22)</f>
        <v/>
      </c>
      <c r="N2041">
        <f>SUMPRODUCT(Calc!$K$3:$K$22*(Calc!$G$3:$G$22&gt;A2041)*(Calc!$G$3:$G$22-A2041)*Calc!$I$3:$I$22)</f>
        <v/>
      </c>
      <c r="O2041">
        <f>SUMPRODUCT(Calc!$K$3:$K$22*(Calc!$G$3:$G$22&gt;B2041)*(Calc!$G$3:$G$22-B2041)*Calc!$I$3:$I$22)</f>
        <v/>
      </c>
      <c r="P2041">
        <f>I2041-G2041^2/k_n</f>
        <v/>
      </c>
      <c r="Q2041">
        <f>J2041-H2041^2/k_n</f>
        <v/>
      </c>
      <c r="R2041">
        <f>K2041-G2041*H2041/k_n</f>
        <v/>
      </c>
      <c r="S2041">
        <f>L2041-LTP3!$D$3*G2041/k_n</f>
        <v/>
      </c>
      <c r="T2041">
        <f>M2041-LTP3!$D$3*H2041/k_n</f>
        <v/>
      </c>
      <c r="U2041">
        <f>N2041-G2041*LTP3!$D$4/k_n</f>
        <v/>
      </c>
      <c r="V2041">
        <f>O2041-H2041*LTP3!$D$4/k_n</f>
        <v/>
      </c>
      <c r="W2041">
        <f>((LTP3!$D$5)*((P2041)*(Q2041)-(R2041)*(R2041))-(S2041)*((S2041)*(Q2041)-(R2041)*(T2041))+(T2041)*((S2041)*(R2041)-(P2041)*(T2041)))</f>
        <v/>
      </c>
      <c r="X2041">
        <f>IF(ABS(W2041)&gt;1E-12,((LTP3!$D$6)*((P2041)*(Q2041)-(R2041)*(R2041))-(S2041)*((U2041)*(Q2041)-(R2041)*(V2041))+(T2041)*((U2041)*(R2041)-(P2041)*(V2041)))/W2041,0)</f>
        <v/>
      </c>
      <c r="Y2041">
        <f>IF(ABS(W2041)&gt;1E-12,((LTP3!$D$5)*((U2041)*(Q2041)-(R2041)*(V2041))-(LTP3!$D$6)*((S2041)*(Q2041)-(R2041)*(T2041))+(T2041)*((S2041)*(V2041)-(U2041)*(T2041)))/W2041,0)</f>
        <v/>
      </c>
      <c r="Z2041">
        <f>IF(ABS(W2041)&gt;1E-12,((LTP3!$D$5)*((P2041)*(V2041)-(U2041)*(R2041))-(S2041)*((S2041)*(V2041)-(U2041)*(T2041))+(LTP3!$D$6)*((S2041)*(R2041)-(P2041)*(T2041)))/W2041,0)</f>
        <v/>
      </c>
      <c r="AA2041">
        <f>LTP3!$D$7-X2041*LTP3!$D$6-Y2041*U2041-Z2041*V2041</f>
        <v/>
      </c>
      <c r="AB2041">
        <f>IF(AND(F2041,ABS(W2041)&gt;1E-12,Y2041&gt;0,Z2041&gt;0),AA2041,1E+300)</f>
        <v/>
      </c>
    </row>
    <row r="2042">
      <c r="A2042">
        <f>$B$3+$B$5*33</f>
        <v/>
      </c>
      <c r="B2042">
        <f>$B$3+$B$5*17</f>
        <v/>
      </c>
      <c r="C2042">
        <f>SUMPRODUCT(Calc!$K$3:$K$22*(Calc!$G$3:$G$22&lt;=A2042))</f>
        <v/>
      </c>
      <c r="D2042">
        <f>SUMPRODUCT(Calc!$K$3:$K$22*(Calc!$G$3:$G$22&gt;A2042)*(Calc!$G$3:$G$22&lt;B2042))</f>
        <v/>
      </c>
      <c r="E2042">
        <f>SUMPRODUCT(Calc!$K$3:$K$22*(Calc!$G$3:$G$22&gt;=B2042))</f>
        <v/>
      </c>
      <c r="F2042">
        <f>AND(k_n&gt;=5,B2042&gt;A2042+1E-9,C2042&gt;=2,D2042&gt;=1,E2042&gt;=2)</f>
        <v/>
      </c>
      <c r="G2042">
        <f>SUMPRODUCT(Calc!$K$3:$K$22*(Calc!$G$3:$G$22&gt;A2042)*(Calc!$G$3:$G$22-A2042))</f>
        <v/>
      </c>
      <c r="H2042">
        <f>SUMPRODUCT(Calc!$K$3:$K$22*(Calc!$G$3:$G$22&gt;B2042)*(Calc!$G$3:$G$22-B2042))</f>
        <v/>
      </c>
      <c r="I2042">
        <f>SUMPRODUCT(Calc!$K$3:$K$22*(Calc!$G$3:$G$22&gt;A2042)*(Calc!$G$3:$G$22-A2042)^2)</f>
        <v/>
      </c>
      <c r="J2042">
        <f>SUMPRODUCT(Calc!$K$3:$K$22*(Calc!$G$3:$G$22&gt;B2042)*(Calc!$G$3:$G$22-B2042)^2)</f>
        <v/>
      </c>
      <c r="K2042">
        <f>SUMPRODUCT(Calc!$K$3:$K$22*(Calc!$G$3:$G$22&gt;A2042)*(Calc!$G$3:$G$22-A2042)*(Calc!$G$3:$G$22&gt;B2042)*(Calc!$G$3:$G$22-B2042))</f>
        <v/>
      </c>
      <c r="L2042">
        <f>SUMPRODUCT(Calc!$K$3:$K$22*(Calc!$G$3:$G$22&gt;A2042)*(Calc!$G$3:$G$22-A2042)*Calc!$G$3:$G$22)</f>
        <v/>
      </c>
      <c r="M2042">
        <f>SUMPRODUCT(Calc!$K$3:$K$22*(Calc!$G$3:$G$22&gt;B2042)*(Calc!$G$3:$G$22-B2042)*Calc!$G$3:$G$22)</f>
        <v/>
      </c>
      <c r="N2042">
        <f>SUMPRODUCT(Calc!$K$3:$K$22*(Calc!$G$3:$G$22&gt;A2042)*(Calc!$G$3:$G$22-A2042)*Calc!$I$3:$I$22)</f>
        <v/>
      </c>
      <c r="O2042">
        <f>SUMPRODUCT(Calc!$K$3:$K$22*(Calc!$G$3:$G$22&gt;B2042)*(Calc!$G$3:$G$22-B2042)*Calc!$I$3:$I$22)</f>
        <v/>
      </c>
      <c r="P2042">
        <f>I2042-G2042^2/k_n</f>
        <v/>
      </c>
      <c r="Q2042">
        <f>J2042-H2042^2/k_n</f>
        <v/>
      </c>
      <c r="R2042">
        <f>K2042-G2042*H2042/k_n</f>
        <v/>
      </c>
      <c r="S2042">
        <f>L2042-LTP3!$D$3*G2042/k_n</f>
        <v/>
      </c>
      <c r="T2042">
        <f>M2042-LTP3!$D$3*H2042/k_n</f>
        <v/>
      </c>
      <c r="U2042">
        <f>N2042-G2042*LTP3!$D$4/k_n</f>
        <v/>
      </c>
      <c r="V2042">
        <f>O2042-H2042*LTP3!$D$4/k_n</f>
        <v/>
      </c>
      <c r="W2042">
        <f>((LTP3!$D$5)*((P2042)*(Q2042)-(R2042)*(R2042))-(S2042)*((S2042)*(Q2042)-(R2042)*(T2042))+(T2042)*((S2042)*(R2042)-(P2042)*(T2042)))</f>
        <v/>
      </c>
      <c r="X2042">
        <f>IF(ABS(W2042)&gt;1E-12,((LTP3!$D$6)*((P2042)*(Q2042)-(R2042)*(R2042))-(S2042)*((U2042)*(Q2042)-(R2042)*(V2042))+(T2042)*((U2042)*(R2042)-(P2042)*(V2042)))/W2042,0)</f>
        <v/>
      </c>
      <c r="Y2042">
        <f>IF(ABS(W2042)&gt;1E-12,((LTP3!$D$5)*((U2042)*(Q2042)-(R2042)*(V2042))-(LTP3!$D$6)*((S2042)*(Q2042)-(R2042)*(T2042))+(T2042)*((S2042)*(V2042)-(U2042)*(T2042)))/W2042,0)</f>
        <v/>
      </c>
      <c r="Z2042">
        <f>IF(ABS(W2042)&gt;1E-12,((LTP3!$D$5)*((P2042)*(V2042)-(U2042)*(R2042))-(S2042)*((S2042)*(V2042)-(U2042)*(T2042))+(LTP3!$D$6)*((S2042)*(R2042)-(P2042)*(T2042)))/W2042,0)</f>
        <v/>
      </c>
      <c r="AA2042">
        <f>LTP3!$D$7-X2042*LTP3!$D$6-Y2042*U2042-Z2042*V2042</f>
        <v/>
      </c>
      <c r="AB2042">
        <f>IF(AND(F2042,ABS(W2042)&gt;1E-12,Y2042&gt;0,Z2042&gt;0),AA2042,1E+300)</f>
        <v/>
      </c>
    </row>
    <row r="2043">
      <c r="A2043">
        <f>$B$3+$B$5*33</f>
        <v/>
      </c>
      <c r="B2043">
        <f>$B$3+$B$5*18</f>
        <v/>
      </c>
      <c r="C2043">
        <f>SUMPRODUCT(Calc!$K$3:$K$22*(Calc!$G$3:$G$22&lt;=A2043))</f>
        <v/>
      </c>
      <c r="D2043">
        <f>SUMPRODUCT(Calc!$K$3:$K$22*(Calc!$G$3:$G$22&gt;A2043)*(Calc!$G$3:$G$22&lt;B2043))</f>
        <v/>
      </c>
      <c r="E2043">
        <f>SUMPRODUCT(Calc!$K$3:$K$22*(Calc!$G$3:$G$22&gt;=B2043))</f>
        <v/>
      </c>
      <c r="F2043">
        <f>AND(k_n&gt;=5,B2043&gt;A2043+1E-9,C2043&gt;=2,D2043&gt;=1,E2043&gt;=2)</f>
        <v/>
      </c>
      <c r="G2043">
        <f>SUMPRODUCT(Calc!$K$3:$K$22*(Calc!$G$3:$G$22&gt;A2043)*(Calc!$G$3:$G$22-A2043))</f>
        <v/>
      </c>
      <c r="H2043">
        <f>SUMPRODUCT(Calc!$K$3:$K$22*(Calc!$G$3:$G$22&gt;B2043)*(Calc!$G$3:$G$22-B2043))</f>
        <v/>
      </c>
      <c r="I2043">
        <f>SUMPRODUCT(Calc!$K$3:$K$22*(Calc!$G$3:$G$22&gt;A2043)*(Calc!$G$3:$G$22-A2043)^2)</f>
        <v/>
      </c>
      <c r="J2043">
        <f>SUMPRODUCT(Calc!$K$3:$K$22*(Calc!$G$3:$G$22&gt;B2043)*(Calc!$G$3:$G$22-B2043)^2)</f>
        <v/>
      </c>
      <c r="K2043">
        <f>SUMPRODUCT(Calc!$K$3:$K$22*(Calc!$G$3:$G$22&gt;A2043)*(Calc!$G$3:$G$22-A2043)*(Calc!$G$3:$G$22&gt;B2043)*(Calc!$G$3:$G$22-B2043))</f>
        <v/>
      </c>
      <c r="L2043">
        <f>SUMPRODUCT(Calc!$K$3:$K$22*(Calc!$G$3:$G$22&gt;A2043)*(Calc!$G$3:$G$22-A2043)*Calc!$G$3:$G$22)</f>
        <v/>
      </c>
      <c r="M2043">
        <f>SUMPRODUCT(Calc!$K$3:$K$22*(Calc!$G$3:$G$22&gt;B2043)*(Calc!$G$3:$G$22-B2043)*Calc!$G$3:$G$22)</f>
        <v/>
      </c>
      <c r="N2043">
        <f>SUMPRODUCT(Calc!$K$3:$K$22*(Calc!$G$3:$G$22&gt;A2043)*(Calc!$G$3:$G$22-A2043)*Calc!$I$3:$I$22)</f>
        <v/>
      </c>
      <c r="O2043">
        <f>SUMPRODUCT(Calc!$K$3:$K$22*(Calc!$G$3:$G$22&gt;B2043)*(Calc!$G$3:$G$22-B2043)*Calc!$I$3:$I$22)</f>
        <v/>
      </c>
      <c r="P2043">
        <f>I2043-G2043^2/k_n</f>
        <v/>
      </c>
      <c r="Q2043">
        <f>J2043-H2043^2/k_n</f>
        <v/>
      </c>
      <c r="R2043">
        <f>K2043-G2043*H2043/k_n</f>
        <v/>
      </c>
      <c r="S2043">
        <f>L2043-LTP3!$D$3*G2043/k_n</f>
        <v/>
      </c>
      <c r="T2043">
        <f>M2043-LTP3!$D$3*H2043/k_n</f>
        <v/>
      </c>
      <c r="U2043">
        <f>N2043-G2043*LTP3!$D$4/k_n</f>
        <v/>
      </c>
      <c r="V2043">
        <f>O2043-H2043*LTP3!$D$4/k_n</f>
        <v/>
      </c>
      <c r="W2043">
        <f>((LTP3!$D$5)*((P2043)*(Q2043)-(R2043)*(R2043))-(S2043)*((S2043)*(Q2043)-(R2043)*(T2043))+(T2043)*((S2043)*(R2043)-(P2043)*(T2043)))</f>
        <v/>
      </c>
      <c r="X2043">
        <f>IF(ABS(W2043)&gt;1E-12,((LTP3!$D$6)*((P2043)*(Q2043)-(R2043)*(R2043))-(S2043)*((U2043)*(Q2043)-(R2043)*(V2043))+(T2043)*((U2043)*(R2043)-(P2043)*(V2043)))/W2043,0)</f>
        <v/>
      </c>
      <c r="Y2043">
        <f>IF(ABS(W2043)&gt;1E-12,((LTP3!$D$5)*((U2043)*(Q2043)-(R2043)*(V2043))-(LTP3!$D$6)*((S2043)*(Q2043)-(R2043)*(T2043))+(T2043)*((S2043)*(V2043)-(U2043)*(T2043)))/W2043,0)</f>
        <v/>
      </c>
      <c r="Z2043">
        <f>IF(ABS(W2043)&gt;1E-12,((LTP3!$D$5)*((P2043)*(V2043)-(U2043)*(R2043))-(S2043)*((S2043)*(V2043)-(U2043)*(T2043))+(LTP3!$D$6)*((S2043)*(R2043)-(P2043)*(T2043)))/W2043,0)</f>
        <v/>
      </c>
      <c r="AA2043">
        <f>LTP3!$D$7-X2043*LTP3!$D$6-Y2043*U2043-Z2043*V2043</f>
        <v/>
      </c>
      <c r="AB2043">
        <f>IF(AND(F2043,ABS(W2043)&gt;1E-12,Y2043&gt;0,Z2043&gt;0),AA2043,1E+300)</f>
        <v/>
      </c>
    </row>
    <row r="2044">
      <c r="A2044">
        <f>$B$3+$B$5*33</f>
        <v/>
      </c>
      <c r="B2044">
        <f>$B$3+$B$5*19</f>
        <v/>
      </c>
      <c r="C2044">
        <f>SUMPRODUCT(Calc!$K$3:$K$22*(Calc!$G$3:$G$22&lt;=A2044))</f>
        <v/>
      </c>
      <c r="D2044">
        <f>SUMPRODUCT(Calc!$K$3:$K$22*(Calc!$G$3:$G$22&gt;A2044)*(Calc!$G$3:$G$22&lt;B2044))</f>
        <v/>
      </c>
      <c r="E2044">
        <f>SUMPRODUCT(Calc!$K$3:$K$22*(Calc!$G$3:$G$22&gt;=B2044))</f>
        <v/>
      </c>
      <c r="F2044">
        <f>AND(k_n&gt;=5,B2044&gt;A2044+1E-9,C2044&gt;=2,D2044&gt;=1,E2044&gt;=2)</f>
        <v/>
      </c>
      <c r="G2044">
        <f>SUMPRODUCT(Calc!$K$3:$K$22*(Calc!$G$3:$G$22&gt;A2044)*(Calc!$G$3:$G$22-A2044))</f>
        <v/>
      </c>
      <c r="H2044">
        <f>SUMPRODUCT(Calc!$K$3:$K$22*(Calc!$G$3:$G$22&gt;B2044)*(Calc!$G$3:$G$22-B2044))</f>
        <v/>
      </c>
      <c r="I2044">
        <f>SUMPRODUCT(Calc!$K$3:$K$22*(Calc!$G$3:$G$22&gt;A2044)*(Calc!$G$3:$G$22-A2044)^2)</f>
        <v/>
      </c>
      <c r="J2044">
        <f>SUMPRODUCT(Calc!$K$3:$K$22*(Calc!$G$3:$G$22&gt;B2044)*(Calc!$G$3:$G$22-B2044)^2)</f>
        <v/>
      </c>
      <c r="K2044">
        <f>SUMPRODUCT(Calc!$K$3:$K$22*(Calc!$G$3:$G$22&gt;A2044)*(Calc!$G$3:$G$22-A2044)*(Calc!$G$3:$G$22&gt;B2044)*(Calc!$G$3:$G$22-B2044))</f>
        <v/>
      </c>
      <c r="L2044">
        <f>SUMPRODUCT(Calc!$K$3:$K$22*(Calc!$G$3:$G$22&gt;A2044)*(Calc!$G$3:$G$22-A2044)*Calc!$G$3:$G$22)</f>
        <v/>
      </c>
      <c r="M2044">
        <f>SUMPRODUCT(Calc!$K$3:$K$22*(Calc!$G$3:$G$22&gt;B2044)*(Calc!$G$3:$G$22-B2044)*Calc!$G$3:$G$22)</f>
        <v/>
      </c>
      <c r="N2044">
        <f>SUMPRODUCT(Calc!$K$3:$K$22*(Calc!$G$3:$G$22&gt;A2044)*(Calc!$G$3:$G$22-A2044)*Calc!$I$3:$I$22)</f>
        <v/>
      </c>
      <c r="O2044">
        <f>SUMPRODUCT(Calc!$K$3:$K$22*(Calc!$G$3:$G$22&gt;B2044)*(Calc!$G$3:$G$22-B2044)*Calc!$I$3:$I$22)</f>
        <v/>
      </c>
      <c r="P2044">
        <f>I2044-G2044^2/k_n</f>
        <v/>
      </c>
      <c r="Q2044">
        <f>J2044-H2044^2/k_n</f>
        <v/>
      </c>
      <c r="R2044">
        <f>K2044-G2044*H2044/k_n</f>
        <v/>
      </c>
      <c r="S2044">
        <f>L2044-LTP3!$D$3*G2044/k_n</f>
        <v/>
      </c>
      <c r="T2044">
        <f>M2044-LTP3!$D$3*H2044/k_n</f>
        <v/>
      </c>
      <c r="U2044">
        <f>N2044-G2044*LTP3!$D$4/k_n</f>
        <v/>
      </c>
      <c r="V2044">
        <f>O2044-H2044*LTP3!$D$4/k_n</f>
        <v/>
      </c>
      <c r="W2044">
        <f>((LTP3!$D$5)*((P2044)*(Q2044)-(R2044)*(R2044))-(S2044)*((S2044)*(Q2044)-(R2044)*(T2044))+(T2044)*((S2044)*(R2044)-(P2044)*(T2044)))</f>
        <v/>
      </c>
      <c r="X2044">
        <f>IF(ABS(W2044)&gt;1E-12,((LTP3!$D$6)*((P2044)*(Q2044)-(R2044)*(R2044))-(S2044)*((U2044)*(Q2044)-(R2044)*(V2044))+(T2044)*((U2044)*(R2044)-(P2044)*(V2044)))/W2044,0)</f>
        <v/>
      </c>
      <c r="Y2044">
        <f>IF(ABS(W2044)&gt;1E-12,((LTP3!$D$5)*((U2044)*(Q2044)-(R2044)*(V2044))-(LTP3!$D$6)*((S2044)*(Q2044)-(R2044)*(T2044))+(T2044)*((S2044)*(V2044)-(U2044)*(T2044)))/W2044,0)</f>
        <v/>
      </c>
      <c r="Z2044">
        <f>IF(ABS(W2044)&gt;1E-12,((LTP3!$D$5)*((P2044)*(V2044)-(U2044)*(R2044))-(S2044)*((S2044)*(V2044)-(U2044)*(T2044))+(LTP3!$D$6)*((S2044)*(R2044)-(P2044)*(T2044)))/W2044,0)</f>
        <v/>
      </c>
      <c r="AA2044">
        <f>LTP3!$D$7-X2044*LTP3!$D$6-Y2044*U2044-Z2044*V2044</f>
        <v/>
      </c>
      <c r="AB2044">
        <f>IF(AND(F2044,ABS(W2044)&gt;1E-12,Y2044&gt;0,Z2044&gt;0),AA2044,1E+300)</f>
        <v/>
      </c>
    </row>
    <row r="2045">
      <c r="A2045">
        <f>$B$3+$B$5*33</f>
        <v/>
      </c>
      <c r="B2045">
        <f>$B$3+$B$5*20</f>
        <v/>
      </c>
      <c r="C2045">
        <f>SUMPRODUCT(Calc!$K$3:$K$22*(Calc!$G$3:$G$22&lt;=A2045))</f>
        <v/>
      </c>
      <c r="D2045">
        <f>SUMPRODUCT(Calc!$K$3:$K$22*(Calc!$G$3:$G$22&gt;A2045)*(Calc!$G$3:$G$22&lt;B2045))</f>
        <v/>
      </c>
      <c r="E2045">
        <f>SUMPRODUCT(Calc!$K$3:$K$22*(Calc!$G$3:$G$22&gt;=B2045))</f>
        <v/>
      </c>
      <c r="F2045">
        <f>AND(k_n&gt;=5,B2045&gt;A2045+1E-9,C2045&gt;=2,D2045&gt;=1,E2045&gt;=2)</f>
        <v/>
      </c>
      <c r="G2045">
        <f>SUMPRODUCT(Calc!$K$3:$K$22*(Calc!$G$3:$G$22&gt;A2045)*(Calc!$G$3:$G$22-A2045))</f>
        <v/>
      </c>
      <c r="H2045">
        <f>SUMPRODUCT(Calc!$K$3:$K$22*(Calc!$G$3:$G$22&gt;B2045)*(Calc!$G$3:$G$22-B2045))</f>
        <v/>
      </c>
      <c r="I2045">
        <f>SUMPRODUCT(Calc!$K$3:$K$22*(Calc!$G$3:$G$22&gt;A2045)*(Calc!$G$3:$G$22-A2045)^2)</f>
        <v/>
      </c>
      <c r="J2045">
        <f>SUMPRODUCT(Calc!$K$3:$K$22*(Calc!$G$3:$G$22&gt;B2045)*(Calc!$G$3:$G$22-B2045)^2)</f>
        <v/>
      </c>
      <c r="K2045">
        <f>SUMPRODUCT(Calc!$K$3:$K$22*(Calc!$G$3:$G$22&gt;A2045)*(Calc!$G$3:$G$22-A2045)*(Calc!$G$3:$G$22&gt;B2045)*(Calc!$G$3:$G$22-B2045))</f>
        <v/>
      </c>
      <c r="L2045">
        <f>SUMPRODUCT(Calc!$K$3:$K$22*(Calc!$G$3:$G$22&gt;A2045)*(Calc!$G$3:$G$22-A2045)*Calc!$G$3:$G$22)</f>
        <v/>
      </c>
      <c r="M2045">
        <f>SUMPRODUCT(Calc!$K$3:$K$22*(Calc!$G$3:$G$22&gt;B2045)*(Calc!$G$3:$G$22-B2045)*Calc!$G$3:$G$22)</f>
        <v/>
      </c>
      <c r="N2045">
        <f>SUMPRODUCT(Calc!$K$3:$K$22*(Calc!$G$3:$G$22&gt;A2045)*(Calc!$G$3:$G$22-A2045)*Calc!$I$3:$I$22)</f>
        <v/>
      </c>
      <c r="O2045">
        <f>SUMPRODUCT(Calc!$K$3:$K$22*(Calc!$G$3:$G$22&gt;B2045)*(Calc!$G$3:$G$22-B2045)*Calc!$I$3:$I$22)</f>
        <v/>
      </c>
      <c r="P2045">
        <f>I2045-G2045^2/k_n</f>
        <v/>
      </c>
      <c r="Q2045">
        <f>J2045-H2045^2/k_n</f>
        <v/>
      </c>
      <c r="R2045">
        <f>K2045-G2045*H2045/k_n</f>
        <v/>
      </c>
      <c r="S2045">
        <f>L2045-LTP3!$D$3*G2045/k_n</f>
        <v/>
      </c>
      <c r="T2045">
        <f>M2045-LTP3!$D$3*H2045/k_n</f>
        <v/>
      </c>
      <c r="U2045">
        <f>N2045-G2045*LTP3!$D$4/k_n</f>
        <v/>
      </c>
      <c r="V2045">
        <f>O2045-H2045*LTP3!$D$4/k_n</f>
        <v/>
      </c>
      <c r="W2045">
        <f>((LTP3!$D$5)*((P2045)*(Q2045)-(R2045)*(R2045))-(S2045)*((S2045)*(Q2045)-(R2045)*(T2045))+(T2045)*((S2045)*(R2045)-(P2045)*(T2045)))</f>
        <v/>
      </c>
      <c r="X2045">
        <f>IF(ABS(W2045)&gt;1E-12,((LTP3!$D$6)*((P2045)*(Q2045)-(R2045)*(R2045))-(S2045)*((U2045)*(Q2045)-(R2045)*(V2045))+(T2045)*((U2045)*(R2045)-(P2045)*(V2045)))/W2045,0)</f>
        <v/>
      </c>
      <c r="Y2045">
        <f>IF(ABS(W2045)&gt;1E-12,((LTP3!$D$5)*((U2045)*(Q2045)-(R2045)*(V2045))-(LTP3!$D$6)*((S2045)*(Q2045)-(R2045)*(T2045))+(T2045)*((S2045)*(V2045)-(U2045)*(T2045)))/W2045,0)</f>
        <v/>
      </c>
      <c r="Z2045">
        <f>IF(ABS(W2045)&gt;1E-12,((LTP3!$D$5)*((P2045)*(V2045)-(U2045)*(R2045))-(S2045)*((S2045)*(V2045)-(U2045)*(T2045))+(LTP3!$D$6)*((S2045)*(R2045)-(P2045)*(T2045)))/W2045,0)</f>
        <v/>
      </c>
      <c r="AA2045">
        <f>LTP3!$D$7-X2045*LTP3!$D$6-Y2045*U2045-Z2045*V2045</f>
        <v/>
      </c>
      <c r="AB2045">
        <f>IF(AND(F2045,ABS(W2045)&gt;1E-12,Y2045&gt;0,Z2045&gt;0),AA2045,1E+300)</f>
        <v/>
      </c>
    </row>
    <row r="2046">
      <c r="A2046">
        <f>$B$3+$B$5*33</f>
        <v/>
      </c>
      <c r="B2046">
        <f>$B$3+$B$5*21</f>
        <v/>
      </c>
      <c r="C2046">
        <f>SUMPRODUCT(Calc!$K$3:$K$22*(Calc!$G$3:$G$22&lt;=A2046))</f>
        <v/>
      </c>
      <c r="D2046">
        <f>SUMPRODUCT(Calc!$K$3:$K$22*(Calc!$G$3:$G$22&gt;A2046)*(Calc!$G$3:$G$22&lt;B2046))</f>
        <v/>
      </c>
      <c r="E2046">
        <f>SUMPRODUCT(Calc!$K$3:$K$22*(Calc!$G$3:$G$22&gt;=B2046))</f>
        <v/>
      </c>
      <c r="F2046">
        <f>AND(k_n&gt;=5,B2046&gt;A2046+1E-9,C2046&gt;=2,D2046&gt;=1,E2046&gt;=2)</f>
        <v/>
      </c>
      <c r="G2046">
        <f>SUMPRODUCT(Calc!$K$3:$K$22*(Calc!$G$3:$G$22&gt;A2046)*(Calc!$G$3:$G$22-A2046))</f>
        <v/>
      </c>
      <c r="H2046">
        <f>SUMPRODUCT(Calc!$K$3:$K$22*(Calc!$G$3:$G$22&gt;B2046)*(Calc!$G$3:$G$22-B2046))</f>
        <v/>
      </c>
      <c r="I2046">
        <f>SUMPRODUCT(Calc!$K$3:$K$22*(Calc!$G$3:$G$22&gt;A2046)*(Calc!$G$3:$G$22-A2046)^2)</f>
        <v/>
      </c>
      <c r="J2046">
        <f>SUMPRODUCT(Calc!$K$3:$K$22*(Calc!$G$3:$G$22&gt;B2046)*(Calc!$G$3:$G$22-B2046)^2)</f>
        <v/>
      </c>
      <c r="K2046">
        <f>SUMPRODUCT(Calc!$K$3:$K$22*(Calc!$G$3:$G$22&gt;A2046)*(Calc!$G$3:$G$22-A2046)*(Calc!$G$3:$G$22&gt;B2046)*(Calc!$G$3:$G$22-B2046))</f>
        <v/>
      </c>
      <c r="L2046">
        <f>SUMPRODUCT(Calc!$K$3:$K$22*(Calc!$G$3:$G$22&gt;A2046)*(Calc!$G$3:$G$22-A2046)*Calc!$G$3:$G$22)</f>
        <v/>
      </c>
      <c r="M2046">
        <f>SUMPRODUCT(Calc!$K$3:$K$22*(Calc!$G$3:$G$22&gt;B2046)*(Calc!$G$3:$G$22-B2046)*Calc!$G$3:$G$22)</f>
        <v/>
      </c>
      <c r="N2046">
        <f>SUMPRODUCT(Calc!$K$3:$K$22*(Calc!$G$3:$G$22&gt;A2046)*(Calc!$G$3:$G$22-A2046)*Calc!$I$3:$I$22)</f>
        <v/>
      </c>
      <c r="O2046">
        <f>SUMPRODUCT(Calc!$K$3:$K$22*(Calc!$G$3:$G$22&gt;B2046)*(Calc!$G$3:$G$22-B2046)*Calc!$I$3:$I$22)</f>
        <v/>
      </c>
      <c r="P2046">
        <f>I2046-G2046^2/k_n</f>
        <v/>
      </c>
      <c r="Q2046">
        <f>J2046-H2046^2/k_n</f>
        <v/>
      </c>
      <c r="R2046">
        <f>K2046-G2046*H2046/k_n</f>
        <v/>
      </c>
      <c r="S2046">
        <f>L2046-LTP3!$D$3*G2046/k_n</f>
        <v/>
      </c>
      <c r="T2046">
        <f>M2046-LTP3!$D$3*H2046/k_n</f>
        <v/>
      </c>
      <c r="U2046">
        <f>N2046-G2046*LTP3!$D$4/k_n</f>
        <v/>
      </c>
      <c r="V2046">
        <f>O2046-H2046*LTP3!$D$4/k_n</f>
        <v/>
      </c>
      <c r="W2046">
        <f>((LTP3!$D$5)*((P2046)*(Q2046)-(R2046)*(R2046))-(S2046)*((S2046)*(Q2046)-(R2046)*(T2046))+(T2046)*((S2046)*(R2046)-(P2046)*(T2046)))</f>
        <v/>
      </c>
      <c r="X2046">
        <f>IF(ABS(W2046)&gt;1E-12,((LTP3!$D$6)*((P2046)*(Q2046)-(R2046)*(R2046))-(S2046)*((U2046)*(Q2046)-(R2046)*(V2046))+(T2046)*((U2046)*(R2046)-(P2046)*(V2046)))/W2046,0)</f>
        <v/>
      </c>
      <c r="Y2046">
        <f>IF(ABS(W2046)&gt;1E-12,((LTP3!$D$5)*((U2046)*(Q2046)-(R2046)*(V2046))-(LTP3!$D$6)*((S2046)*(Q2046)-(R2046)*(T2046))+(T2046)*((S2046)*(V2046)-(U2046)*(T2046)))/W2046,0)</f>
        <v/>
      </c>
      <c r="Z2046">
        <f>IF(ABS(W2046)&gt;1E-12,((LTP3!$D$5)*((P2046)*(V2046)-(U2046)*(R2046))-(S2046)*((S2046)*(V2046)-(U2046)*(T2046))+(LTP3!$D$6)*((S2046)*(R2046)-(P2046)*(T2046)))/W2046,0)</f>
        <v/>
      </c>
      <c r="AA2046">
        <f>LTP3!$D$7-X2046*LTP3!$D$6-Y2046*U2046-Z2046*V2046</f>
        <v/>
      </c>
      <c r="AB2046">
        <f>IF(AND(F2046,ABS(W2046)&gt;1E-12,Y2046&gt;0,Z2046&gt;0),AA2046,1E+300)</f>
        <v/>
      </c>
    </row>
    <row r="2047">
      <c r="A2047">
        <f>$B$3+$B$5*33</f>
        <v/>
      </c>
      <c r="B2047">
        <f>$B$3+$B$5*22</f>
        <v/>
      </c>
      <c r="C2047">
        <f>SUMPRODUCT(Calc!$K$3:$K$22*(Calc!$G$3:$G$22&lt;=A2047))</f>
        <v/>
      </c>
      <c r="D2047">
        <f>SUMPRODUCT(Calc!$K$3:$K$22*(Calc!$G$3:$G$22&gt;A2047)*(Calc!$G$3:$G$22&lt;B2047))</f>
        <v/>
      </c>
      <c r="E2047">
        <f>SUMPRODUCT(Calc!$K$3:$K$22*(Calc!$G$3:$G$22&gt;=B2047))</f>
        <v/>
      </c>
      <c r="F2047">
        <f>AND(k_n&gt;=5,B2047&gt;A2047+1E-9,C2047&gt;=2,D2047&gt;=1,E2047&gt;=2)</f>
        <v/>
      </c>
      <c r="G2047">
        <f>SUMPRODUCT(Calc!$K$3:$K$22*(Calc!$G$3:$G$22&gt;A2047)*(Calc!$G$3:$G$22-A2047))</f>
        <v/>
      </c>
      <c r="H2047">
        <f>SUMPRODUCT(Calc!$K$3:$K$22*(Calc!$G$3:$G$22&gt;B2047)*(Calc!$G$3:$G$22-B2047))</f>
        <v/>
      </c>
      <c r="I2047">
        <f>SUMPRODUCT(Calc!$K$3:$K$22*(Calc!$G$3:$G$22&gt;A2047)*(Calc!$G$3:$G$22-A2047)^2)</f>
        <v/>
      </c>
      <c r="J2047">
        <f>SUMPRODUCT(Calc!$K$3:$K$22*(Calc!$G$3:$G$22&gt;B2047)*(Calc!$G$3:$G$22-B2047)^2)</f>
        <v/>
      </c>
      <c r="K2047">
        <f>SUMPRODUCT(Calc!$K$3:$K$22*(Calc!$G$3:$G$22&gt;A2047)*(Calc!$G$3:$G$22-A2047)*(Calc!$G$3:$G$22&gt;B2047)*(Calc!$G$3:$G$22-B2047))</f>
        <v/>
      </c>
      <c r="L2047">
        <f>SUMPRODUCT(Calc!$K$3:$K$22*(Calc!$G$3:$G$22&gt;A2047)*(Calc!$G$3:$G$22-A2047)*Calc!$G$3:$G$22)</f>
        <v/>
      </c>
      <c r="M2047">
        <f>SUMPRODUCT(Calc!$K$3:$K$22*(Calc!$G$3:$G$22&gt;B2047)*(Calc!$G$3:$G$22-B2047)*Calc!$G$3:$G$22)</f>
        <v/>
      </c>
      <c r="N2047">
        <f>SUMPRODUCT(Calc!$K$3:$K$22*(Calc!$G$3:$G$22&gt;A2047)*(Calc!$G$3:$G$22-A2047)*Calc!$I$3:$I$22)</f>
        <v/>
      </c>
      <c r="O2047">
        <f>SUMPRODUCT(Calc!$K$3:$K$22*(Calc!$G$3:$G$22&gt;B2047)*(Calc!$G$3:$G$22-B2047)*Calc!$I$3:$I$22)</f>
        <v/>
      </c>
      <c r="P2047">
        <f>I2047-G2047^2/k_n</f>
        <v/>
      </c>
      <c r="Q2047">
        <f>J2047-H2047^2/k_n</f>
        <v/>
      </c>
      <c r="R2047">
        <f>K2047-G2047*H2047/k_n</f>
        <v/>
      </c>
      <c r="S2047">
        <f>L2047-LTP3!$D$3*G2047/k_n</f>
        <v/>
      </c>
      <c r="T2047">
        <f>M2047-LTP3!$D$3*H2047/k_n</f>
        <v/>
      </c>
      <c r="U2047">
        <f>N2047-G2047*LTP3!$D$4/k_n</f>
        <v/>
      </c>
      <c r="V2047">
        <f>O2047-H2047*LTP3!$D$4/k_n</f>
        <v/>
      </c>
      <c r="W2047">
        <f>((LTP3!$D$5)*((P2047)*(Q2047)-(R2047)*(R2047))-(S2047)*((S2047)*(Q2047)-(R2047)*(T2047))+(T2047)*((S2047)*(R2047)-(P2047)*(T2047)))</f>
        <v/>
      </c>
      <c r="X2047">
        <f>IF(ABS(W2047)&gt;1E-12,((LTP3!$D$6)*((P2047)*(Q2047)-(R2047)*(R2047))-(S2047)*((U2047)*(Q2047)-(R2047)*(V2047))+(T2047)*((U2047)*(R2047)-(P2047)*(V2047)))/W2047,0)</f>
        <v/>
      </c>
      <c r="Y2047">
        <f>IF(ABS(W2047)&gt;1E-12,((LTP3!$D$5)*((U2047)*(Q2047)-(R2047)*(V2047))-(LTP3!$D$6)*((S2047)*(Q2047)-(R2047)*(T2047))+(T2047)*((S2047)*(V2047)-(U2047)*(T2047)))/W2047,0)</f>
        <v/>
      </c>
      <c r="Z2047">
        <f>IF(ABS(W2047)&gt;1E-12,((LTP3!$D$5)*((P2047)*(V2047)-(U2047)*(R2047))-(S2047)*((S2047)*(V2047)-(U2047)*(T2047))+(LTP3!$D$6)*((S2047)*(R2047)-(P2047)*(T2047)))/W2047,0)</f>
        <v/>
      </c>
      <c r="AA2047">
        <f>LTP3!$D$7-X2047*LTP3!$D$6-Y2047*U2047-Z2047*V2047</f>
        <v/>
      </c>
      <c r="AB2047">
        <f>IF(AND(F2047,ABS(W2047)&gt;1E-12,Y2047&gt;0,Z2047&gt;0),AA2047,1E+300)</f>
        <v/>
      </c>
    </row>
    <row r="2048">
      <c r="A2048">
        <f>$B$3+$B$5*33</f>
        <v/>
      </c>
      <c r="B2048">
        <f>$B$3+$B$5*23</f>
        <v/>
      </c>
      <c r="C2048">
        <f>SUMPRODUCT(Calc!$K$3:$K$22*(Calc!$G$3:$G$22&lt;=A2048))</f>
        <v/>
      </c>
      <c r="D2048">
        <f>SUMPRODUCT(Calc!$K$3:$K$22*(Calc!$G$3:$G$22&gt;A2048)*(Calc!$G$3:$G$22&lt;B2048))</f>
        <v/>
      </c>
      <c r="E2048">
        <f>SUMPRODUCT(Calc!$K$3:$K$22*(Calc!$G$3:$G$22&gt;=B2048))</f>
        <v/>
      </c>
      <c r="F2048">
        <f>AND(k_n&gt;=5,B2048&gt;A2048+1E-9,C2048&gt;=2,D2048&gt;=1,E2048&gt;=2)</f>
        <v/>
      </c>
      <c r="G2048">
        <f>SUMPRODUCT(Calc!$K$3:$K$22*(Calc!$G$3:$G$22&gt;A2048)*(Calc!$G$3:$G$22-A2048))</f>
        <v/>
      </c>
      <c r="H2048">
        <f>SUMPRODUCT(Calc!$K$3:$K$22*(Calc!$G$3:$G$22&gt;B2048)*(Calc!$G$3:$G$22-B2048))</f>
        <v/>
      </c>
      <c r="I2048">
        <f>SUMPRODUCT(Calc!$K$3:$K$22*(Calc!$G$3:$G$22&gt;A2048)*(Calc!$G$3:$G$22-A2048)^2)</f>
        <v/>
      </c>
      <c r="J2048">
        <f>SUMPRODUCT(Calc!$K$3:$K$22*(Calc!$G$3:$G$22&gt;B2048)*(Calc!$G$3:$G$22-B2048)^2)</f>
        <v/>
      </c>
      <c r="K2048">
        <f>SUMPRODUCT(Calc!$K$3:$K$22*(Calc!$G$3:$G$22&gt;A2048)*(Calc!$G$3:$G$22-A2048)*(Calc!$G$3:$G$22&gt;B2048)*(Calc!$G$3:$G$22-B2048))</f>
        <v/>
      </c>
      <c r="L2048">
        <f>SUMPRODUCT(Calc!$K$3:$K$22*(Calc!$G$3:$G$22&gt;A2048)*(Calc!$G$3:$G$22-A2048)*Calc!$G$3:$G$22)</f>
        <v/>
      </c>
      <c r="M2048">
        <f>SUMPRODUCT(Calc!$K$3:$K$22*(Calc!$G$3:$G$22&gt;B2048)*(Calc!$G$3:$G$22-B2048)*Calc!$G$3:$G$22)</f>
        <v/>
      </c>
      <c r="N2048">
        <f>SUMPRODUCT(Calc!$K$3:$K$22*(Calc!$G$3:$G$22&gt;A2048)*(Calc!$G$3:$G$22-A2048)*Calc!$I$3:$I$22)</f>
        <v/>
      </c>
      <c r="O2048">
        <f>SUMPRODUCT(Calc!$K$3:$K$22*(Calc!$G$3:$G$22&gt;B2048)*(Calc!$G$3:$G$22-B2048)*Calc!$I$3:$I$22)</f>
        <v/>
      </c>
      <c r="P2048">
        <f>I2048-G2048^2/k_n</f>
        <v/>
      </c>
      <c r="Q2048">
        <f>J2048-H2048^2/k_n</f>
        <v/>
      </c>
      <c r="R2048">
        <f>K2048-G2048*H2048/k_n</f>
        <v/>
      </c>
      <c r="S2048">
        <f>L2048-LTP3!$D$3*G2048/k_n</f>
        <v/>
      </c>
      <c r="T2048">
        <f>M2048-LTP3!$D$3*H2048/k_n</f>
        <v/>
      </c>
      <c r="U2048">
        <f>N2048-G2048*LTP3!$D$4/k_n</f>
        <v/>
      </c>
      <c r="V2048">
        <f>O2048-H2048*LTP3!$D$4/k_n</f>
        <v/>
      </c>
      <c r="W2048">
        <f>((LTP3!$D$5)*((P2048)*(Q2048)-(R2048)*(R2048))-(S2048)*((S2048)*(Q2048)-(R2048)*(T2048))+(T2048)*((S2048)*(R2048)-(P2048)*(T2048)))</f>
        <v/>
      </c>
      <c r="X2048">
        <f>IF(ABS(W2048)&gt;1E-12,((LTP3!$D$6)*((P2048)*(Q2048)-(R2048)*(R2048))-(S2048)*((U2048)*(Q2048)-(R2048)*(V2048))+(T2048)*((U2048)*(R2048)-(P2048)*(V2048)))/W2048,0)</f>
        <v/>
      </c>
      <c r="Y2048">
        <f>IF(ABS(W2048)&gt;1E-12,((LTP3!$D$5)*((U2048)*(Q2048)-(R2048)*(V2048))-(LTP3!$D$6)*((S2048)*(Q2048)-(R2048)*(T2048))+(T2048)*((S2048)*(V2048)-(U2048)*(T2048)))/W2048,0)</f>
        <v/>
      </c>
      <c r="Z2048">
        <f>IF(ABS(W2048)&gt;1E-12,((LTP3!$D$5)*((P2048)*(V2048)-(U2048)*(R2048))-(S2048)*((S2048)*(V2048)-(U2048)*(T2048))+(LTP3!$D$6)*((S2048)*(R2048)-(P2048)*(T2048)))/W2048,0)</f>
        <v/>
      </c>
      <c r="AA2048">
        <f>LTP3!$D$7-X2048*LTP3!$D$6-Y2048*U2048-Z2048*V2048</f>
        <v/>
      </c>
      <c r="AB2048">
        <f>IF(AND(F2048,ABS(W2048)&gt;1E-12,Y2048&gt;0,Z2048&gt;0),AA2048,1E+300)</f>
        <v/>
      </c>
    </row>
    <row r="2049">
      <c r="A2049">
        <f>$B$3+$B$5*33</f>
        <v/>
      </c>
      <c r="B2049">
        <f>$B$3+$B$5*24</f>
        <v/>
      </c>
      <c r="C2049">
        <f>SUMPRODUCT(Calc!$K$3:$K$22*(Calc!$G$3:$G$22&lt;=A2049))</f>
        <v/>
      </c>
      <c r="D2049">
        <f>SUMPRODUCT(Calc!$K$3:$K$22*(Calc!$G$3:$G$22&gt;A2049)*(Calc!$G$3:$G$22&lt;B2049))</f>
        <v/>
      </c>
      <c r="E2049">
        <f>SUMPRODUCT(Calc!$K$3:$K$22*(Calc!$G$3:$G$22&gt;=B2049))</f>
        <v/>
      </c>
      <c r="F2049">
        <f>AND(k_n&gt;=5,B2049&gt;A2049+1E-9,C2049&gt;=2,D2049&gt;=1,E2049&gt;=2)</f>
        <v/>
      </c>
      <c r="G2049">
        <f>SUMPRODUCT(Calc!$K$3:$K$22*(Calc!$G$3:$G$22&gt;A2049)*(Calc!$G$3:$G$22-A2049))</f>
        <v/>
      </c>
      <c r="H2049">
        <f>SUMPRODUCT(Calc!$K$3:$K$22*(Calc!$G$3:$G$22&gt;B2049)*(Calc!$G$3:$G$22-B2049))</f>
        <v/>
      </c>
      <c r="I2049">
        <f>SUMPRODUCT(Calc!$K$3:$K$22*(Calc!$G$3:$G$22&gt;A2049)*(Calc!$G$3:$G$22-A2049)^2)</f>
        <v/>
      </c>
      <c r="J2049">
        <f>SUMPRODUCT(Calc!$K$3:$K$22*(Calc!$G$3:$G$22&gt;B2049)*(Calc!$G$3:$G$22-B2049)^2)</f>
        <v/>
      </c>
      <c r="K2049">
        <f>SUMPRODUCT(Calc!$K$3:$K$22*(Calc!$G$3:$G$22&gt;A2049)*(Calc!$G$3:$G$22-A2049)*(Calc!$G$3:$G$22&gt;B2049)*(Calc!$G$3:$G$22-B2049))</f>
        <v/>
      </c>
      <c r="L2049">
        <f>SUMPRODUCT(Calc!$K$3:$K$22*(Calc!$G$3:$G$22&gt;A2049)*(Calc!$G$3:$G$22-A2049)*Calc!$G$3:$G$22)</f>
        <v/>
      </c>
      <c r="M2049">
        <f>SUMPRODUCT(Calc!$K$3:$K$22*(Calc!$G$3:$G$22&gt;B2049)*(Calc!$G$3:$G$22-B2049)*Calc!$G$3:$G$22)</f>
        <v/>
      </c>
      <c r="N2049">
        <f>SUMPRODUCT(Calc!$K$3:$K$22*(Calc!$G$3:$G$22&gt;A2049)*(Calc!$G$3:$G$22-A2049)*Calc!$I$3:$I$22)</f>
        <v/>
      </c>
      <c r="O2049">
        <f>SUMPRODUCT(Calc!$K$3:$K$22*(Calc!$G$3:$G$22&gt;B2049)*(Calc!$G$3:$G$22-B2049)*Calc!$I$3:$I$22)</f>
        <v/>
      </c>
      <c r="P2049">
        <f>I2049-G2049^2/k_n</f>
        <v/>
      </c>
      <c r="Q2049">
        <f>J2049-H2049^2/k_n</f>
        <v/>
      </c>
      <c r="R2049">
        <f>K2049-G2049*H2049/k_n</f>
        <v/>
      </c>
      <c r="S2049">
        <f>L2049-LTP3!$D$3*G2049/k_n</f>
        <v/>
      </c>
      <c r="T2049">
        <f>M2049-LTP3!$D$3*H2049/k_n</f>
        <v/>
      </c>
      <c r="U2049">
        <f>N2049-G2049*LTP3!$D$4/k_n</f>
        <v/>
      </c>
      <c r="V2049">
        <f>O2049-H2049*LTP3!$D$4/k_n</f>
        <v/>
      </c>
      <c r="W2049">
        <f>((LTP3!$D$5)*((P2049)*(Q2049)-(R2049)*(R2049))-(S2049)*((S2049)*(Q2049)-(R2049)*(T2049))+(T2049)*((S2049)*(R2049)-(P2049)*(T2049)))</f>
        <v/>
      </c>
      <c r="X2049">
        <f>IF(ABS(W2049)&gt;1E-12,((LTP3!$D$6)*((P2049)*(Q2049)-(R2049)*(R2049))-(S2049)*((U2049)*(Q2049)-(R2049)*(V2049))+(T2049)*((U2049)*(R2049)-(P2049)*(V2049)))/W2049,0)</f>
        <v/>
      </c>
      <c r="Y2049">
        <f>IF(ABS(W2049)&gt;1E-12,((LTP3!$D$5)*((U2049)*(Q2049)-(R2049)*(V2049))-(LTP3!$D$6)*((S2049)*(Q2049)-(R2049)*(T2049))+(T2049)*((S2049)*(V2049)-(U2049)*(T2049)))/W2049,0)</f>
        <v/>
      </c>
      <c r="Z2049">
        <f>IF(ABS(W2049)&gt;1E-12,((LTP3!$D$5)*((P2049)*(V2049)-(U2049)*(R2049))-(S2049)*((S2049)*(V2049)-(U2049)*(T2049))+(LTP3!$D$6)*((S2049)*(R2049)-(P2049)*(T2049)))/W2049,0)</f>
        <v/>
      </c>
      <c r="AA2049">
        <f>LTP3!$D$7-X2049*LTP3!$D$6-Y2049*U2049-Z2049*V2049</f>
        <v/>
      </c>
      <c r="AB2049">
        <f>IF(AND(F2049,ABS(W2049)&gt;1E-12,Y2049&gt;0,Z2049&gt;0),AA2049,1E+300)</f>
        <v/>
      </c>
    </row>
    <row r="2050">
      <c r="A2050">
        <f>$B$3+$B$5*33</f>
        <v/>
      </c>
      <c r="B2050">
        <f>$B$3+$B$5*25</f>
        <v/>
      </c>
      <c r="C2050">
        <f>SUMPRODUCT(Calc!$K$3:$K$22*(Calc!$G$3:$G$22&lt;=A2050))</f>
        <v/>
      </c>
      <c r="D2050">
        <f>SUMPRODUCT(Calc!$K$3:$K$22*(Calc!$G$3:$G$22&gt;A2050)*(Calc!$G$3:$G$22&lt;B2050))</f>
        <v/>
      </c>
      <c r="E2050">
        <f>SUMPRODUCT(Calc!$K$3:$K$22*(Calc!$G$3:$G$22&gt;=B2050))</f>
        <v/>
      </c>
      <c r="F2050">
        <f>AND(k_n&gt;=5,B2050&gt;A2050+1E-9,C2050&gt;=2,D2050&gt;=1,E2050&gt;=2)</f>
        <v/>
      </c>
      <c r="G2050">
        <f>SUMPRODUCT(Calc!$K$3:$K$22*(Calc!$G$3:$G$22&gt;A2050)*(Calc!$G$3:$G$22-A2050))</f>
        <v/>
      </c>
      <c r="H2050">
        <f>SUMPRODUCT(Calc!$K$3:$K$22*(Calc!$G$3:$G$22&gt;B2050)*(Calc!$G$3:$G$22-B2050))</f>
        <v/>
      </c>
      <c r="I2050">
        <f>SUMPRODUCT(Calc!$K$3:$K$22*(Calc!$G$3:$G$22&gt;A2050)*(Calc!$G$3:$G$22-A2050)^2)</f>
        <v/>
      </c>
      <c r="J2050">
        <f>SUMPRODUCT(Calc!$K$3:$K$22*(Calc!$G$3:$G$22&gt;B2050)*(Calc!$G$3:$G$22-B2050)^2)</f>
        <v/>
      </c>
      <c r="K2050">
        <f>SUMPRODUCT(Calc!$K$3:$K$22*(Calc!$G$3:$G$22&gt;A2050)*(Calc!$G$3:$G$22-A2050)*(Calc!$G$3:$G$22&gt;B2050)*(Calc!$G$3:$G$22-B2050))</f>
        <v/>
      </c>
      <c r="L2050">
        <f>SUMPRODUCT(Calc!$K$3:$K$22*(Calc!$G$3:$G$22&gt;A2050)*(Calc!$G$3:$G$22-A2050)*Calc!$G$3:$G$22)</f>
        <v/>
      </c>
      <c r="M2050">
        <f>SUMPRODUCT(Calc!$K$3:$K$22*(Calc!$G$3:$G$22&gt;B2050)*(Calc!$G$3:$G$22-B2050)*Calc!$G$3:$G$22)</f>
        <v/>
      </c>
      <c r="N2050">
        <f>SUMPRODUCT(Calc!$K$3:$K$22*(Calc!$G$3:$G$22&gt;A2050)*(Calc!$G$3:$G$22-A2050)*Calc!$I$3:$I$22)</f>
        <v/>
      </c>
      <c r="O2050">
        <f>SUMPRODUCT(Calc!$K$3:$K$22*(Calc!$G$3:$G$22&gt;B2050)*(Calc!$G$3:$G$22-B2050)*Calc!$I$3:$I$22)</f>
        <v/>
      </c>
      <c r="P2050">
        <f>I2050-G2050^2/k_n</f>
        <v/>
      </c>
      <c r="Q2050">
        <f>J2050-H2050^2/k_n</f>
        <v/>
      </c>
      <c r="R2050">
        <f>K2050-G2050*H2050/k_n</f>
        <v/>
      </c>
      <c r="S2050">
        <f>L2050-LTP3!$D$3*G2050/k_n</f>
        <v/>
      </c>
      <c r="T2050">
        <f>M2050-LTP3!$D$3*H2050/k_n</f>
        <v/>
      </c>
      <c r="U2050">
        <f>N2050-G2050*LTP3!$D$4/k_n</f>
        <v/>
      </c>
      <c r="V2050">
        <f>O2050-H2050*LTP3!$D$4/k_n</f>
        <v/>
      </c>
      <c r="W2050">
        <f>((LTP3!$D$5)*((P2050)*(Q2050)-(R2050)*(R2050))-(S2050)*((S2050)*(Q2050)-(R2050)*(T2050))+(T2050)*((S2050)*(R2050)-(P2050)*(T2050)))</f>
        <v/>
      </c>
      <c r="X2050">
        <f>IF(ABS(W2050)&gt;1E-12,((LTP3!$D$6)*((P2050)*(Q2050)-(R2050)*(R2050))-(S2050)*((U2050)*(Q2050)-(R2050)*(V2050))+(T2050)*((U2050)*(R2050)-(P2050)*(V2050)))/W2050,0)</f>
        <v/>
      </c>
      <c r="Y2050">
        <f>IF(ABS(W2050)&gt;1E-12,((LTP3!$D$5)*((U2050)*(Q2050)-(R2050)*(V2050))-(LTP3!$D$6)*((S2050)*(Q2050)-(R2050)*(T2050))+(T2050)*((S2050)*(V2050)-(U2050)*(T2050)))/W2050,0)</f>
        <v/>
      </c>
      <c r="Z2050">
        <f>IF(ABS(W2050)&gt;1E-12,((LTP3!$D$5)*((P2050)*(V2050)-(U2050)*(R2050))-(S2050)*((S2050)*(V2050)-(U2050)*(T2050))+(LTP3!$D$6)*((S2050)*(R2050)-(P2050)*(T2050)))/W2050,0)</f>
        <v/>
      </c>
      <c r="AA2050">
        <f>LTP3!$D$7-X2050*LTP3!$D$6-Y2050*U2050-Z2050*V2050</f>
        <v/>
      </c>
      <c r="AB2050">
        <f>IF(AND(F2050,ABS(W2050)&gt;1E-12,Y2050&gt;0,Z2050&gt;0),AA2050,1E+300)</f>
        <v/>
      </c>
    </row>
    <row r="2051">
      <c r="A2051">
        <f>$B$3+$B$5*33</f>
        <v/>
      </c>
      <c r="B2051">
        <f>$B$3+$B$5*26</f>
        <v/>
      </c>
      <c r="C2051">
        <f>SUMPRODUCT(Calc!$K$3:$K$22*(Calc!$G$3:$G$22&lt;=A2051))</f>
        <v/>
      </c>
      <c r="D2051">
        <f>SUMPRODUCT(Calc!$K$3:$K$22*(Calc!$G$3:$G$22&gt;A2051)*(Calc!$G$3:$G$22&lt;B2051))</f>
        <v/>
      </c>
      <c r="E2051">
        <f>SUMPRODUCT(Calc!$K$3:$K$22*(Calc!$G$3:$G$22&gt;=B2051))</f>
        <v/>
      </c>
      <c r="F2051">
        <f>AND(k_n&gt;=5,B2051&gt;A2051+1E-9,C2051&gt;=2,D2051&gt;=1,E2051&gt;=2)</f>
        <v/>
      </c>
      <c r="G2051">
        <f>SUMPRODUCT(Calc!$K$3:$K$22*(Calc!$G$3:$G$22&gt;A2051)*(Calc!$G$3:$G$22-A2051))</f>
        <v/>
      </c>
      <c r="H2051">
        <f>SUMPRODUCT(Calc!$K$3:$K$22*(Calc!$G$3:$G$22&gt;B2051)*(Calc!$G$3:$G$22-B2051))</f>
        <v/>
      </c>
      <c r="I2051">
        <f>SUMPRODUCT(Calc!$K$3:$K$22*(Calc!$G$3:$G$22&gt;A2051)*(Calc!$G$3:$G$22-A2051)^2)</f>
        <v/>
      </c>
      <c r="J2051">
        <f>SUMPRODUCT(Calc!$K$3:$K$22*(Calc!$G$3:$G$22&gt;B2051)*(Calc!$G$3:$G$22-B2051)^2)</f>
        <v/>
      </c>
      <c r="K2051">
        <f>SUMPRODUCT(Calc!$K$3:$K$22*(Calc!$G$3:$G$22&gt;A2051)*(Calc!$G$3:$G$22-A2051)*(Calc!$G$3:$G$22&gt;B2051)*(Calc!$G$3:$G$22-B2051))</f>
        <v/>
      </c>
      <c r="L2051">
        <f>SUMPRODUCT(Calc!$K$3:$K$22*(Calc!$G$3:$G$22&gt;A2051)*(Calc!$G$3:$G$22-A2051)*Calc!$G$3:$G$22)</f>
        <v/>
      </c>
      <c r="M2051">
        <f>SUMPRODUCT(Calc!$K$3:$K$22*(Calc!$G$3:$G$22&gt;B2051)*(Calc!$G$3:$G$22-B2051)*Calc!$G$3:$G$22)</f>
        <v/>
      </c>
      <c r="N2051">
        <f>SUMPRODUCT(Calc!$K$3:$K$22*(Calc!$G$3:$G$22&gt;A2051)*(Calc!$G$3:$G$22-A2051)*Calc!$I$3:$I$22)</f>
        <v/>
      </c>
      <c r="O2051">
        <f>SUMPRODUCT(Calc!$K$3:$K$22*(Calc!$G$3:$G$22&gt;B2051)*(Calc!$G$3:$G$22-B2051)*Calc!$I$3:$I$22)</f>
        <v/>
      </c>
      <c r="P2051">
        <f>I2051-G2051^2/k_n</f>
        <v/>
      </c>
      <c r="Q2051">
        <f>J2051-H2051^2/k_n</f>
        <v/>
      </c>
      <c r="R2051">
        <f>K2051-G2051*H2051/k_n</f>
        <v/>
      </c>
      <c r="S2051">
        <f>L2051-LTP3!$D$3*G2051/k_n</f>
        <v/>
      </c>
      <c r="T2051">
        <f>M2051-LTP3!$D$3*H2051/k_n</f>
        <v/>
      </c>
      <c r="U2051">
        <f>N2051-G2051*LTP3!$D$4/k_n</f>
        <v/>
      </c>
      <c r="V2051">
        <f>O2051-H2051*LTP3!$D$4/k_n</f>
        <v/>
      </c>
      <c r="W2051">
        <f>((LTP3!$D$5)*((P2051)*(Q2051)-(R2051)*(R2051))-(S2051)*((S2051)*(Q2051)-(R2051)*(T2051))+(T2051)*((S2051)*(R2051)-(P2051)*(T2051)))</f>
        <v/>
      </c>
      <c r="X2051">
        <f>IF(ABS(W2051)&gt;1E-12,((LTP3!$D$6)*((P2051)*(Q2051)-(R2051)*(R2051))-(S2051)*((U2051)*(Q2051)-(R2051)*(V2051))+(T2051)*((U2051)*(R2051)-(P2051)*(V2051)))/W2051,0)</f>
        <v/>
      </c>
      <c r="Y2051">
        <f>IF(ABS(W2051)&gt;1E-12,((LTP3!$D$5)*((U2051)*(Q2051)-(R2051)*(V2051))-(LTP3!$D$6)*((S2051)*(Q2051)-(R2051)*(T2051))+(T2051)*((S2051)*(V2051)-(U2051)*(T2051)))/W2051,0)</f>
        <v/>
      </c>
      <c r="Z2051">
        <f>IF(ABS(W2051)&gt;1E-12,((LTP3!$D$5)*((P2051)*(V2051)-(U2051)*(R2051))-(S2051)*((S2051)*(V2051)-(U2051)*(T2051))+(LTP3!$D$6)*((S2051)*(R2051)-(P2051)*(T2051)))/W2051,0)</f>
        <v/>
      </c>
      <c r="AA2051">
        <f>LTP3!$D$7-X2051*LTP3!$D$6-Y2051*U2051-Z2051*V2051</f>
        <v/>
      </c>
      <c r="AB2051">
        <f>IF(AND(F2051,ABS(W2051)&gt;1E-12,Y2051&gt;0,Z2051&gt;0),AA2051,1E+300)</f>
        <v/>
      </c>
    </row>
    <row r="2052">
      <c r="A2052">
        <f>$B$3+$B$5*33</f>
        <v/>
      </c>
      <c r="B2052">
        <f>$B$3+$B$5*27</f>
        <v/>
      </c>
      <c r="C2052">
        <f>SUMPRODUCT(Calc!$K$3:$K$22*(Calc!$G$3:$G$22&lt;=A2052))</f>
        <v/>
      </c>
      <c r="D2052">
        <f>SUMPRODUCT(Calc!$K$3:$K$22*(Calc!$G$3:$G$22&gt;A2052)*(Calc!$G$3:$G$22&lt;B2052))</f>
        <v/>
      </c>
      <c r="E2052">
        <f>SUMPRODUCT(Calc!$K$3:$K$22*(Calc!$G$3:$G$22&gt;=B2052))</f>
        <v/>
      </c>
      <c r="F2052">
        <f>AND(k_n&gt;=5,B2052&gt;A2052+1E-9,C2052&gt;=2,D2052&gt;=1,E2052&gt;=2)</f>
        <v/>
      </c>
      <c r="G2052">
        <f>SUMPRODUCT(Calc!$K$3:$K$22*(Calc!$G$3:$G$22&gt;A2052)*(Calc!$G$3:$G$22-A2052))</f>
        <v/>
      </c>
      <c r="H2052">
        <f>SUMPRODUCT(Calc!$K$3:$K$22*(Calc!$G$3:$G$22&gt;B2052)*(Calc!$G$3:$G$22-B2052))</f>
        <v/>
      </c>
      <c r="I2052">
        <f>SUMPRODUCT(Calc!$K$3:$K$22*(Calc!$G$3:$G$22&gt;A2052)*(Calc!$G$3:$G$22-A2052)^2)</f>
        <v/>
      </c>
      <c r="J2052">
        <f>SUMPRODUCT(Calc!$K$3:$K$22*(Calc!$G$3:$G$22&gt;B2052)*(Calc!$G$3:$G$22-B2052)^2)</f>
        <v/>
      </c>
      <c r="K2052">
        <f>SUMPRODUCT(Calc!$K$3:$K$22*(Calc!$G$3:$G$22&gt;A2052)*(Calc!$G$3:$G$22-A2052)*(Calc!$G$3:$G$22&gt;B2052)*(Calc!$G$3:$G$22-B2052))</f>
        <v/>
      </c>
      <c r="L2052">
        <f>SUMPRODUCT(Calc!$K$3:$K$22*(Calc!$G$3:$G$22&gt;A2052)*(Calc!$G$3:$G$22-A2052)*Calc!$G$3:$G$22)</f>
        <v/>
      </c>
      <c r="M2052">
        <f>SUMPRODUCT(Calc!$K$3:$K$22*(Calc!$G$3:$G$22&gt;B2052)*(Calc!$G$3:$G$22-B2052)*Calc!$G$3:$G$22)</f>
        <v/>
      </c>
      <c r="N2052">
        <f>SUMPRODUCT(Calc!$K$3:$K$22*(Calc!$G$3:$G$22&gt;A2052)*(Calc!$G$3:$G$22-A2052)*Calc!$I$3:$I$22)</f>
        <v/>
      </c>
      <c r="O2052">
        <f>SUMPRODUCT(Calc!$K$3:$K$22*(Calc!$G$3:$G$22&gt;B2052)*(Calc!$G$3:$G$22-B2052)*Calc!$I$3:$I$22)</f>
        <v/>
      </c>
      <c r="P2052">
        <f>I2052-G2052^2/k_n</f>
        <v/>
      </c>
      <c r="Q2052">
        <f>J2052-H2052^2/k_n</f>
        <v/>
      </c>
      <c r="R2052">
        <f>K2052-G2052*H2052/k_n</f>
        <v/>
      </c>
      <c r="S2052">
        <f>L2052-LTP3!$D$3*G2052/k_n</f>
        <v/>
      </c>
      <c r="T2052">
        <f>M2052-LTP3!$D$3*H2052/k_n</f>
        <v/>
      </c>
      <c r="U2052">
        <f>N2052-G2052*LTP3!$D$4/k_n</f>
        <v/>
      </c>
      <c r="V2052">
        <f>O2052-H2052*LTP3!$D$4/k_n</f>
        <v/>
      </c>
      <c r="W2052">
        <f>((LTP3!$D$5)*((P2052)*(Q2052)-(R2052)*(R2052))-(S2052)*((S2052)*(Q2052)-(R2052)*(T2052))+(T2052)*((S2052)*(R2052)-(P2052)*(T2052)))</f>
        <v/>
      </c>
      <c r="X2052">
        <f>IF(ABS(W2052)&gt;1E-12,((LTP3!$D$6)*((P2052)*(Q2052)-(R2052)*(R2052))-(S2052)*((U2052)*(Q2052)-(R2052)*(V2052))+(T2052)*((U2052)*(R2052)-(P2052)*(V2052)))/W2052,0)</f>
        <v/>
      </c>
      <c r="Y2052">
        <f>IF(ABS(W2052)&gt;1E-12,((LTP3!$D$5)*((U2052)*(Q2052)-(R2052)*(V2052))-(LTP3!$D$6)*((S2052)*(Q2052)-(R2052)*(T2052))+(T2052)*((S2052)*(V2052)-(U2052)*(T2052)))/W2052,0)</f>
        <v/>
      </c>
      <c r="Z2052">
        <f>IF(ABS(W2052)&gt;1E-12,((LTP3!$D$5)*((P2052)*(V2052)-(U2052)*(R2052))-(S2052)*((S2052)*(V2052)-(U2052)*(T2052))+(LTP3!$D$6)*((S2052)*(R2052)-(P2052)*(T2052)))/W2052,0)</f>
        <v/>
      </c>
      <c r="AA2052">
        <f>LTP3!$D$7-X2052*LTP3!$D$6-Y2052*U2052-Z2052*V2052</f>
        <v/>
      </c>
      <c r="AB2052">
        <f>IF(AND(F2052,ABS(W2052)&gt;1E-12,Y2052&gt;0,Z2052&gt;0),AA2052,1E+300)</f>
        <v/>
      </c>
    </row>
    <row r="2053">
      <c r="A2053">
        <f>$B$3+$B$5*33</f>
        <v/>
      </c>
      <c r="B2053">
        <f>$B$3+$B$5*28</f>
        <v/>
      </c>
      <c r="C2053">
        <f>SUMPRODUCT(Calc!$K$3:$K$22*(Calc!$G$3:$G$22&lt;=A2053))</f>
        <v/>
      </c>
      <c r="D2053">
        <f>SUMPRODUCT(Calc!$K$3:$K$22*(Calc!$G$3:$G$22&gt;A2053)*(Calc!$G$3:$G$22&lt;B2053))</f>
        <v/>
      </c>
      <c r="E2053">
        <f>SUMPRODUCT(Calc!$K$3:$K$22*(Calc!$G$3:$G$22&gt;=B2053))</f>
        <v/>
      </c>
      <c r="F2053">
        <f>AND(k_n&gt;=5,B2053&gt;A2053+1E-9,C2053&gt;=2,D2053&gt;=1,E2053&gt;=2)</f>
        <v/>
      </c>
      <c r="G2053">
        <f>SUMPRODUCT(Calc!$K$3:$K$22*(Calc!$G$3:$G$22&gt;A2053)*(Calc!$G$3:$G$22-A2053))</f>
        <v/>
      </c>
      <c r="H2053">
        <f>SUMPRODUCT(Calc!$K$3:$K$22*(Calc!$G$3:$G$22&gt;B2053)*(Calc!$G$3:$G$22-B2053))</f>
        <v/>
      </c>
      <c r="I2053">
        <f>SUMPRODUCT(Calc!$K$3:$K$22*(Calc!$G$3:$G$22&gt;A2053)*(Calc!$G$3:$G$22-A2053)^2)</f>
        <v/>
      </c>
      <c r="J2053">
        <f>SUMPRODUCT(Calc!$K$3:$K$22*(Calc!$G$3:$G$22&gt;B2053)*(Calc!$G$3:$G$22-B2053)^2)</f>
        <v/>
      </c>
      <c r="K2053">
        <f>SUMPRODUCT(Calc!$K$3:$K$22*(Calc!$G$3:$G$22&gt;A2053)*(Calc!$G$3:$G$22-A2053)*(Calc!$G$3:$G$22&gt;B2053)*(Calc!$G$3:$G$22-B2053))</f>
        <v/>
      </c>
      <c r="L2053">
        <f>SUMPRODUCT(Calc!$K$3:$K$22*(Calc!$G$3:$G$22&gt;A2053)*(Calc!$G$3:$G$22-A2053)*Calc!$G$3:$G$22)</f>
        <v/>
      </c>
      <c r="M2053">
        <f>SUMPRODUCT(Calc!$K$3:$K$22*(Calc!$G$3:$G$22&gt;B2053)*(Calc!$G$3:$G$22-B2053)*Calc!$G$3:$G$22)</f>
        <v/>
      </c>
      <c r="N2053">
        <f>SUMPRODUCT(Calc!$K$3:$K$22*(Calc!$G$3:$G$22&gt;A2053)*(Calc!$G$3:$G$22-A2053)*Calc!$I$3:$I$22)</f>
        <v/>
      </c>
      <c r="O2053">
        <f>SUMPRODUCT(Calc!$K$3:$K$22*(Calc!$G$3:$G$22&gt;B2053)*(Calc!$G$3:$G$22-B2053)*Calc!$I$3:$I$22)</f>
        <v/>
      </c>
      <c r="P2053">
        <f>I2053-G2053^2/k_n</f>
        <v/>
      </c>
      <c r="Q2053">
        <f>J2053-H2053^2/k_n</f>
        <v/>
      </c>
      <c r="R2053">
        <f>K2053-G2053*H2053/k_n</f>
        <v/>
      </c>
      <c r="S2053">
        <f>L2053-LTP3!$D$3*G2053/k_n</f>
        <v/>
      </c>
      <c r="T2053">
        <f>M2053-LTP3!$D$3*H2053/k_n</f>
        <v/>
      </c>
      <c r="U2053">
        <f>N2053-G2053*LTP3!$D$4/k_n</f>
        <v/>
      </c>
      <c r="V2053">
        <f>O2053-H2053*LTP3!$D$4/k_n</f>
        <v/>
      </c>
      <c r="W2053">
        <f>((LTP3!$D$5)*((P2053)*(Q2053)-(R2053)*(R2053))-(S2053)*((S2053)*(Q2053)-(R2053)*(T2053))+(T2053)*((S2053)*(R2053)-(P2053)*(T2053)))</f>
        <v/>
      </c>
      <c r="X2053">
        <f>IF(ABS(W2053)&gt;1E-12,((LTP3!$D$6)*((P2053)*(Q2053)-(R2053)*(R2053))-(S2053)*((U2053)*(Q2053)-(R2053)*(V2053))+(T2053)*((U2053)*(R2053)-(P2053)*(V2053)))/W2053,0)</f>
        <v/>
      </c>
      <c r="Y2053">
        <f>IF(ABS(W2053)&gt;1E-12,((LTP3!$D$5)*((U2053)*(Q2053)-(R2053)*(V2053))-(LTP3!$D$6)*((S2053)*(Q2053)-(R2053)*(T2053))+(T2053)*((S2053)*(V2053)-(U2053)*(T2053)))/W2053,0)</f>
        <v/>
      </c>
      <c r="Z2053">
        <f>IF(ABS(W2053)&gt;1E-12,((LTP3!$D$5)*((P2053)*(V2053)-(U2053)*(R2053))-(S2053)*((S2053)*(V2053)-(U2053)*(T2053))+(LTP3!$D$6)*((S2053)*(R2053)-(P2053)*(T2053)))/W2053,0)</f>
        <v/>
      </c>
      <c r="AA2053">
        <f>LTP3!$D$7-X2053*LTP3!$D$6-Y2053*U2053-Z2053*V2053</f>
        <v/>
      </c>
      <c r="AB2053">
        <f>IF(AND(F2053,ABS(W2053)&gt;1E-12,Y2053&gt;0,Z2053&gt;0),AA2053,1E+300)</f>
        <v/>
      </c>
    </row>
    <row r="2054">
      <c r="A2054">
        <f>$B$3+$B$5*33</f>
        <v/>
      </c>
      <c r="B2054">
        <f>$B$3+$B$5*29</f>
        <v/>
      </c>
      <c r="C2054">
        <f>SUMPRODUCT(Calc!$K$3:$K$22*(Calc!$G$3:$G$22&lt;=A2054))</f>
        <v/>
      </c>
      <c r="D2054">
        <f>SUMPRODUCT(Calc!$K$3:$K$22*(Calc!$G$3:$G$22&gt;A2054)*(Calc!$G$3:$G$22&lt;B2054))</f>
        <v/>
      </c>
      <c r="E2054">
        <f>SUMPRODUCT(Calc!$K$3:$K$22*(Calc!$G$3:$G$22&gt;=B2054))</f>
        <v/>
      </c>
      <c r="F2054">
        <f>AND(k_n&gt;=5,B2054&gt;A2054+1E-9,C2054&gt;=2,D2054&gt;=1,E2054&gt;=2)</f>
        <v/>
      </c>
      <c r="G2054">
        <f>SUMPRODUCT(Calc!$K$3:$K$22*(Calc!$G$3:$G$22&gt;A2054)*(Calc!$G$3:$G$22-A2054))</f>
        <v/>
      </c>
      <c r="H2054">
        <f>SUMPRODUCT(Calc!$K$3:$K$22*(Calc!$G$3:$G$22&gt;B2054)*(Calc!$G$3:$G$22-B2054))</f>
        <v/>
      </c>
      <c r="I2054">
        <f>SUMPRODUCT(Calc!$K$3:$K$22*(Calc!$G$3:$G$22&gt;A2054)*(Calc!$G$3:$G$22-A2054)^2)</f>
        <v/>
      </c>
      <c r="J2054">
        <f>SUMPRODUCT(Calc!$K$3:$K$22*(Calc!$G$3:$G$22&gt;B2054)*(Calc!$G$3:$G$22-B2054)^2)</f>
        <v/>
      </c>
      <c r="K2054">
        <f>SUMPRODUCT(Calc!$K$3:$K$22*(Calc!$G$3:$G$22&gt;A2054)*(Calc!$G$3:$G$22-A2054)*(Calc!$G$3:$G$22&gt;B2054)*(Calc!$G$3:$G$22-B2054))</f>
        <v/>
      </c>
      <c r="L2054">
        <f>SUMPRODUCT(Calc!$K$3:$K$22*(Calc!$G$3:$G$22&gt;A2054)*(Calc!$G$3:$G$22-A2054)*Calc!$G$3:$G$22)</f>
        <v/>
      </c>
      <c r="M2054">
        <f>SUMPRODUCT(Calc!$K$3:$K$22*(Calc!$G$3:$G$22&gt;B2054)*(Calc!$G$3:$G$22-B2054)*Calc!$G$3:$G$22)</f>
        <v/>
      </c>
      <c r="N2054">
        <f>SUMPRODUCT(Calc!$K$3:$K$22*(Calc!$G$3:$G$22&gt;A2054)*(Calc!$G$3:$G$22-A2054)*Calc!$I$3:$I$22)</f>
        <v/>
      </c>
      <c r="O2054">
        <f>SUMPRODUCT(Calc!$K$3:$K$22*(Calc!$G$3:$G$22&gt;B2054)*(Calc!$G$3:$G$22-B2054)*Calc!$I$3:$I$22)</f>
        <v/>
      </c>
      <c r="P2054">
        <f>I2054-G2054^2/k_n</f>
        <v/>
      </c>
      <c r="Q2054">
        <f>J2054-H2054^2/k_n</f>
        <v/>
      </c>
      <c r="R2054">
        <f>K2054-G2054*H2054/k_n</f>
        <v/>
      </c>
      <c r="S2054">
        <f>L2054-LTP3!$D$3*G2054/k_n</f>
        <v/>
      </c>
      <c r="T2054">
        <f>M2054-LTP3!$D$3*H2054/k_n</f>
        <v/>
      </c>
      <c r="U2054">
        <f>N2054-G2054*LTP3!$D$4/k_n</f>
        <v/>
      </c>
      <c r="V2054">
        <f>O2054-H2054*LTP3!$D$4/k_n</f>
        <v/>
      </c>
      <c r="W2054">
        <f>((LTP3!$D$5)*((P2054)*(Q2054)-(R2054)*(R2054))-(S2054)*((S2054)*(Q2054)-(R2054)*(T2054))+(T2054)*((S2054)*(R2054)-(P2054)*(T2054)))</f>
        <v/>
      </c>
      <c r="X2054">
        <f>IF(ABS(W2054)&gt;1E-12,((LTP3!$D$6)*((P2054)*(Q2054)-(R2054)*(R2054))-(S2054)*((U2054)*(Q2054)-(R2054)*(V2054))+(T2054)*((U2054)*(R2054)-(P2054)*(V2054)))/W2054,0)</f>
        <v/>
      </c>
      <c r="Y2054">
        <f>IF(ABS(W2054)&gt;1E-12,((LTP3!$D$5)*((U2054)*(Q2054)-(R2054)*(V2054))-(LTP3!$D$6)*((S2054)*(Q2054)-(R2054)*(T2054))+(T2054)*((S2054)*(V2054)-(U2054)*(T2054)))/W2054,0)</f>
        <v/>
      </c>
      <c r="Z2054">
        <f>IF(ABS(W2054)&gt;1E-12,((LTP3!$D$5)*((P2054)*(V2054)-(U2054)*(R2054))-(S2054)*((S2054)*(V2054)-(U2054)*(T2054))+(LTP3!$D$6)*((S2054)*(R2054)-(P2054)*(T2054)))/W2054,0)</f>
        <v/>
      </c>
      <c r="AA2054">
        <f>LTP3!$D$7-X2054*LTP3!$D$6-Y2054*U2054-Z2054*V2054</f>
        <v/>
      </c>
      <c r="AB2054">
        <f>IF(AND(F2054,ABS(W2054)&gt;1E-12,Y2054&gt;0,Z2054&gt;0),AA2054,1E+300)</f>
        <v/>
      </c>
    </row>
    <row r="2055">
      <c r="A2055">
        <f>$B$3+$B$5*33</f>
        <v/>
      </c>
      <c r="B2055">
        <f>$B$3+$B$5*30</f>
        <v/>
      </c>
      <c r="C2055">
        <f>SUMPRODUCT(Calc!$K$3:$K$22*(Calc!$G$3:$G$22&lt;=A2055))</f>
        <v/>
      </c>
      <c r="D2055">
        <f>SUMPRODUCT(Calc!$K$3:$K$22*(Calc!$G$3:$G$22&gt;A2055)*(Calc!$G$3:$G$22&lt;B2055))</f>
        <v/>
      </c>
      <c r="E2055">
        <f>SUMPRODUCT(Calc!$K$3:$K$22*(Calc!$G$3:$G$22&gt;=B2055))</f>
        <v/>
      </c>
      <c r="F2055">
        <f>AND(k_n&gt;=5,B2055&gt;A2055+1E-9,C2055&gt;=2,D2055&gt;=1,E2055&gt;=2)</f>
        <v/>
      </c>
      <c r="G2055">
        <f>SUMPRODUCT(Calc!$K$3:$K$22*(Calc!$G$3:$G$22&gt;A2055)*(Calc!$G$3:$G$22-A2055))</f>
        <v/>
      </c>
      <c r="H2055">
        <f>SUMPRODUCT(Calc!$K$3:$K$22*(Calc!$G$3:$G$22&gt;B2055)*(Calc!$G$3:$G$22-B2055))</f>
        <v/>
      </c>
      <c r="I2055">
        <f>SUMPRODUCT(Calc!$K$3:$K$22*(Calc!$G$3:$G$22&gt;A2055)*(Calc!$G$3:$G$22-A2055)^2)</f>
        <v/>
      </c>
      <c r="J2055">
        <f>SUMPRODUCT(Calc!$K$3:$K$22*(Calc!$G$3:$G$22&gt;B2055)*(Calc!$G$3:$G$22-B2055)^2)</f>
        <v/>
      </c>
      <c r="K2055">
        <f>SUMPRODUCT(Calc!$K$3:$K$22*(Calc!$G$3:$G$22&gt;A2055)*(Calc!$G$3:$G$22-A2055)*(Calc!$G$3:$G$22&gt;B2055)*(Calc!$G$3:$G$22-B2055))</f>
        <v/>
      </c>
      <c r="L2055">
        <f>SUMPRODUCT(Calc!$K$3:$K$22*(Calc!$G$3:$G$22&gt;A2055)*(Calc!$G$3:$G$22-A2055)*Calc!$G$3:$G$22)</f>
        <v/>
      </c>
      <c r="M2055">
        <f>SUMPRODUCT(Calc!$K$3:$K$22*(Calc!$G$3:$G$22&gt;B2055)*(Calc!$G$3:$G$22-B2055)*Calc!$G$3:$G$22)</f>
        <v/>
      </c>
      <c r="N2055">
        <f>SUMPRODUCT(Calc!$K$3:$K$22*(Calc!$G$3:$G$22&gt;A2055)*(Calc!$G$3:$G$22-A2055)*Calc!$I$3:$I$22)</f>
        <v/>
      </c>
      <c r="O2055">
        <f>SUMPRODUCT(Calc!$K$3:$K$22*(Calc!$G$3:$G$22&gt;B2055)*(Calc!$G$3:$G$22-B2055)*Calc!$I$3:$I$22)</f>
        <v/>
      </c>
      <c r="P2055">
        <f>I2055-G2055^2/k_n</f>
        <v/>
      </c>
      <c r="Q2055">
        <f>J2055-H2055^2/k_n</f>
        <v/>
      </c>
      <c r="R2055">
        <f>K2055-G2055*H2055/k_n</f>
        <v/>
      </c>
      <c r="S2055">
        <f>L2055-LTP3!$D$3*G2055/k_n</f>
        <v/>
      </c>
      <c r="T2055">
        <f>M2055-LTP3!$D$3*H2055/k_n</f>
        <v/>
      </c>
      <c r="U2055">
        <f>N2055-G2055*LTP3!$D$4/k_n</f>
        <v/>
      </c>
      <c r="V2055">
        <f>O2055-H2055*LTP3!$D$4/k_n</f>
        <v/>
      </c>
      <c r="W2055">
        <f>((LTP3!$D$5)*((P2055)*(Q2055)-(R2055)*(R2055))-(S2055)*((S2055)*(Q2055)-(R2055)*(T2055))+(T2055)*((S2055)*(R2055)-(P2055)*(T2055)))</f>
        <v/>
      </c>
      <c r="X2055">
        <f>IF(ABS(W2055)&gt;1E-12,((LTP3!$D$6)*((P2055)*(Q2055)-(R2055)*(R2055))-(S2055)*((U2055)*(Q2055)-(R2055)*(V2055))+(T2055)*((U2055)*(R2055)-(P2055)*(V2055)))/W2055,0)</f>
        <v/>
      </c>
      <c r="Y2055">
        <f>IF(ABS(W2055)&gt;1E-12,((LTP3!$D$5)*((U2055)*(Q2055)-(R2055)*(V2055))-(LTP3!$D$6)*((S2055)*(Q2055)-(R2055)*(T2055))+(T2055)*((S2055)*(V2055)-(U2055)*(T2055)))/W2055,0)</f>
        <v/>
      </c>
      <c r="Z2055">
        <f>IF(ABS(W2055)&gt;1E-12,((LTP3!$D$5)*((P2055)*(V2055)-(U2055)*(R2055))-(S2055)*((S2055)*(V2055)-(U2055)*(T2055))+(LTP3!$D$6)*((S2055)*(R2055)-(P2055)*(T2055)))/W2055,0)</f>
        <v/>
      </c>
      <c r="AA2055">
        <f>LTP3!$D$7-X2055*LTP3!$D$6-Y2055*U2055-Z2055*V2055</f>
        <v/>
      </c>
      <c r="AB2055">
        <f>IF(AND(F2055,ABS(W2055)&gt;1E-12,Y2055&gt;0,Z2055&gt;0),AA2055,1E+300)</f>
        <v/>
      </c>
    </row>
    <row r="2056">
      <c r="A2056">
        <f>$B$3+$B$5*33</f>
        <v/>
      </c>
      <c r="B2056">
        <f>$B$3+$B$5*31</f>
        <v/>
      </c>
      <c r="C2056">
        <f>SUMPRODUCT(Calc!$K$3:$K$22*(Calc!$G$3:$G$22&lt;=A2056))</f>
        <v/>
      </c>
      <c r="D2056">
        <f>SUMPRODUCT(Calc!$K$3:$K$22*(Calc!$G$3:$G$22&gt;A2056)*(Calc!$G$3:$G$22&lt;B2056))</f>
        <v/>
      </c>
      <c r="E2056">
        <f>SUMPRODUCT(Calc!$K$3:$K$22*(Calc!$G$3:$G$22&gt;=B2056))</f>
        <v/>
      </c>
      <c r="F2056">
        <f>AND(k_n&gt;=5,B2056&gt;A2056+1E-9,C2056&gt;=2,D2056&gt;=1,E2056&gt;=2)</f>
        <v/>
      </c>
      <c r="G2056">
        <f>SUMPRODUCT(Calc!$K$3:$K$22*(Calc!$G$3:$G$22&gt;A2056)*(Calc!$G$3:$G$22-A2056))</f>
        <v/>
      </c>
      <c r="H2056">
        <f>SUMPRODUCT(Calc!$K$3:$K$22*(Calc!$G$3:$G$22&gt;B2056)*(Calc!$G$3:$G$22-B2056))</f>
        <v/>
      </c>
      <c r="I2056">
        <f>SUMPRODUCT(Calc!$K$3:$K$22*(Calc!$G$3:$G$22&gt;A2056)*(Calc!$G$3:$G$22-A2056)^2)</f>
        <v/>
      </c>
      <c r="J2056">
        <f>SUMPRODUCT(Calc!$K$3:$K$22*(Calc!$G$3:$G$22&gt;B2056)*(Calc!$G$3:$G$22-B2056)^2)</f>
        <v/>
      </c>
      <c r="K2056">
        <f>SUMPRODUCT(Calc!$K$3:$K$22*(Calc!$G$3:$G$22&gt;A2056)*(Calc!$G$3:$G$22-A2056)*(Calc!$G$3:$G$22&gt;B2056)*(Calc!$G$3:$G$22-B2056))</f>
        <v/>
      </c>
      <c r="L2056">
        <f>SUMPRODUCT(Calc!$K$3:$K$22*(Calc!$G$3:$G$22&gt;A2056)*(Calc!$G$3:$G$22-A2056)*Calc!$G$3:$G$22)</f>
        <v/>
      </c>
      <c r="M2056">
        <f>SUMPRODUCT(Calc!$K$3:$K$22*(Calc!$G$3:$G$22&gt;B2056)*(Calc!$G$3:$G$22-B2056)*Calc!$G$3:$G$22)</f>
        <v/>
      </c>
      <c r="N2056">
        <f>SUMPRODUCT(Calc!$K$3:$K$22*(Calc!$G$3:$G$22&gt;A2056)*(Calc!$G$3:$G$22-A2056)*Calc!$I$3:$I$22)</f>
        <v/>
      </c>
      <c r="O2056">
        <f>SUMPRODUCT(Calc!$K$3:$K$22*(Calc!$G$3:$G$22&gt;B2056)*(Calc!$G$3:$G$22-B2056)*Calc!$I$3:$I$22)</f>
        <v/>
      </c>
      <c r="P2056">
        <f>I2056-G2056^2/k_n</f>
        <v/>
      </c>
      <c r="Q2056">
        <f>J2056-H2056^2/k_n</f>
        <v/>
      </c>
      <c r="R2056">
        <f>K2056-G2056*H2056/k_n</f>
        <v/>
      </c>
      <c r="S2056">
        <f>L2056-LTP3!$D$3*G2056/k_n</f>
        <v/>
      </c>
      <c r="T2056">
        <f>M2056-LTP3!$D$3*H2056/k_n</f>
        <v/>
      </c>
      <c r="U2056">
        <f>N2056-G2056*LTP3!$D$4/k_n</f>
        <v/>
      </c>
      <c r="V2056">
        <f>O2056-H2056*LTP3!$D$4/k_n</f>
        <v/>
      </c>
      <c r="W2056">
        <f>((LTP3!$D$5)*((P2056)*(Q2056)-(R2056)*(R2056))-(S2056)*((S2056)*(Q2056)-(R2056)*(T2056))+(T2056)*((S2056)*(R2056)-(P2056)*(T2056)))</f>
        <v/>
      </c>
      <c r="X2056">
        <f>IF(ABS(W2056)&gt;1E-12,((LTP3!$D$6)*((P2056)*(Q2056)-(R2056)*(R2056))-(S2056)*((U2056)*(Q2056)-(R2056)*(V2056))+(T2056)*((U2056)*(R2056)-(P2056)*(V2056)))/W2056,0)</f>
        <v/>
      </c>
      <c r="Y2056">
        <f>IF(ABS(W2056)&gt;1E-12,((LTP3!$D$5)*((U2056)*(Q2056)-(R2056)*(V2056))-(LTP3!$D$6)*((S2056)*(Q2056)-(R2056)*(T2056))+(T2056)*((S2056)*(V2056)-(U2056)*(T2056)))/W2056,0)</f>
        <v/>
      </c>
      <c r="Z2056">
        <f>IF(ABS(W2056)&gt;1E-12,((LTP3!$D$5)*((P2056)*(V2056)-(U2056)*(R2056))-(S2056)*((S2056)*(V2056)-(U2056)*(T2056))+(LTP3!$D$6)*((S2056)*(R2056)-(P2056)*(T2056)))/W2056,0)</f>
        <v/>
      </c>
      <c r="AA2056">
        <f>LTP3!$D$7-X2056*LTP3!$D$6-Y2056*U2056-Z2056*V2056</f>
        <v/>
      </c>
      <c r="AB2056">
        <f>IF(AND(F2056,ABS(W2056)&gt;1E-12,Y2056&gt;0,Z2056&gt;0),AA2056,1E+300)</f>
        <v/>
      </c>
    </row>
    <row r="2057">
      <c r="A2057">
        <f>$B$3+$B$5*33</f>
        <v/>
      </c>
      <c r="B2057">
        <f>$B$3+$B$5*32</f>
        <v/>
      </c>
      <c r="C2057">
        <f>SUMPRODUCT(Calc!$K$3:$K$22*(Calc!$G$3:$G$22&lt;=A2057))</f>
        <v/>
      </c>
      <c r="D2057">
        <f>SUMPRODUCT(Calc!$K$3:$K$22*(Calc!$G$3:$G$22&gt;A2057)*(Calc!$G$3:$G$22&lt;B2057))</f>
        <v/>
      </c>
      <c r="E2057">
        <f>SUMPRODUCT(Calc!$K$3:$K$22*(Calc!$G$3:$G$22&gt;=B2057))</f>
        <v/>
      </c>
      <c r="F2057">
        <f>AND(k_n&gt;=5,B2057&gt;A2057+1E-9,C2057&gt;=2,D2057&gt;=1,E2057&gt;=2)</f>
        <v/>
      </c>
      <c r="G2057">
        <f>SUMPRODUCT(Calc!$K$3:$K$22*(Calc!$G$3:$G$22&gt;A2057)*(Calc!$G$3:$G$22-A2057))</f>
        <v/>
      </c>
      <c r="H2057">
        <f>SUMPRODUCT(Calc!$K$3:$K$22*(Calc!$G$3:$G$22&gt;B2057)*(Calc!$G$3:$G$22-B2057))</f>
        <v/>
      </c>
      <c r="I2057">
        <f>SUMPRODUCT(Calc!$K$3:$K$22*(Calc!$G$3:$G$22&gt;A2057)*(Calc!$G$3:$G$22-A2057)^2)</f>
        <v/>
      </c>
      <c r="J2057">
        <f>SUMPRODUCT(Calc!$K$3:$K$22*(Calc!$G$3:$G$22&gt;B2057)*(Calc!$G$3:$G$22-B2057)^2)</f>
        <v/>
      </c>
      <c r="K2057">
        <f>SUMPRODUCT(Calc!$K$3:$K$22*(Calc!$G$3:$G$22&gt;A2057)*(Calc!$G$3:$G$22-A2057)*(Calc!$G$3:$G$22&gt;B2057)*(Calc!$G$3:$G$22-B2057))</f>
        <v/>
      </c>
      <c r="L2057">
        <f>SUMPRODUCT(Calc!$K$3:$K$22*(Calc!$G$3:$G$22&gt;A2057)*(Calc!$G$3:$G$22-A2057)*Calc!$G$3:$G$22)</f>
        <v/>
      </c>
      <c r="M2057">
        <f>SUMPRODUCT(Calc!$K$3:$K$22*(Calc!$G$3:$G$22&gt;B2057)*(Calc!$G$3:$G$22-B2057)*Calc!$G$3:$G$22)</f>
        <v/>
      </c>
      <c r="N2057">
        <f>SUMPRODUCT(Calc!$K$3:$K$22*(Calc!$G$3:$G$22&gt;A2057)*(Calc!$G$3:$G$22-A2057)*Calc!$I$3:$I$22)</f>
        <v/>
      </c>
      <c r="O2057">
        <f>SUMPRODUCT(Calc!$K$3:$K$22*(Calc!$G$3:$G$22&gt;B2057)*(Calc!$G$3:$G$22-B2057)*Calc!$I$3:$I$22)</f>
        <v/>
      </c>
      <c r="P2057">
        <f>I2057-G2057^2/k_n</f>
        <v/>
      </c>
      <c r="Q2057">
        <f>J2057-H2057^2/k_n</f>
        <v/>
      </c>
      <c r="R2057">
        <f>K2057-G2057*H2057/k_n</f>
        <v/>
      </c>
      <c r="S2057">
        <f>L2057-LTP3!$D$3*G2057/k_n</f>
        <v/>
      </c>
      <c r="T2057">
        <f>M2057-LTP3!$D$3*H2057/k_n</f>
        <v/>
      </c>
      <c r="U2057">
        <f>N2057-G2057*LTP3!$D$4/k_n</f>
        <v/>
      </c>
      <c r="V2057">
        <f>O2057-H2057*LTP3!$D$4/k_n</f>
        <v/>
      </c>
      <c r="W2057">
        <f>((LTP3!$D$5)*((P2057)*(Q2057)-(R2057)*(R2057))-(S2057)*((S2057)*(Q2057)-(R2057)*(T2057))+(T2057)*((S2057)*(R2057)-(P2057)*(T2057)))</f>
        <v/>
      </c>
      <c r="X2057">
        <f>IF(ABS(W2057)&gt;1E-12,((LTP3!$D$6)*((P2057)*(Q2057)-(R2057)*(R2057))-(S2057)*((U2057)*(Q2057)-(R2057)*(V2057))+(T2057)*((U2057)*(R2057)-(P2057)*(V2057)))/W2057,0)</f>
        <v/>
      </c>
      <c r="Y2057">
        <f>IF(ABS(W2057)&gt;1E-12,((LTP3!$D$5)*((U2057)*(Q2057)-(R2057)*(V2057))-(LTP3!$D$6)*((S2057)*(Q2057)-(R2057)*(T2057))+(T2057)*((S2057)*(V2057)-(U2057)*(T2057)))/W2057,0)</f>
        <v/>
      </c>
      <c r="Z2057">
        <f>IF(ABS(W2057)&gt;1E-12,((LTP3!$D$5)*((P2057)*(V2057)-(U2057)*(R2057))-(S2057)*((S2057)*(V2057)-(U2057)*(T2057))+(LTP3!$D$6)*((S2057)*(R2057)-(P2057)*(T2057)))/W2057,0)</f>
        <v/>
      </c>
      <c r="AA2057">
        <f>LTP3!$D$7-X2057*LTP3!$D$6-Y2057*U2057-Z2057*V2057</f>
        <v/>
      </c>
      <c r="AB2057">
        <f>IF(AND(F2057,ABS(W2057)&gt;1E-12,Y2057&gt;0,Z2057&gt;0),AA2057,1E+300)</f>
        <v/>
      </c>
    </row>
    <row r="2058">
      <c r="A2058">
        <f>$B$3+$B$5*33</f>
        <v/>
      </c>
      <c r="B2058">
        <f>$B$3+$B$5*33</f>
        <v/>
      </c>
      <c r="C2058">
        <f>SUMPRODUCT(Calc!$K$3:$K$22*(Calc!$G$3:$G$22&lt;=A2058))</f>
        <v/>
      </c>
      <c r="D2058">
        <f>SUMPRODUCT(Calc!$K$3:$K$22*(Calc!$G$3:$G$22&gt;A2058)*(Calc!$G$3:$G$22&lt;B2058))</f>
        <v/>
      </c>
      <c r="E2058">
        <f>SUMPRODUCT(Calc!$K$3:$K$22*(Calc!$G$3:$G$22&gt;=B2058))</f>
        <v/>
      </c>
      <c r="F2058">
        <f>AND(k_n&gt;=5,B2058&gt;A2058+1E-9,C2058&gt;=2,D2058&gt;=1,E2058&gt;=2)</f>
        <v/>
      </c>
      <c r="G2058">
        <f>SUMPRODUCT(Calc!$K$3:$K$22*(Calc!$G$3:$G$22&gt;A2058)*(Calc!$G$3:$G$22-A2058))</f>
        <v/>
      </c>
      <c r="H2058">
        <f>SUMPRODUCT(Calc!$K$3:$K$22*(Calc!$G$3:$G$22&gt;B2058)*(Calc!$G$3:$G$22-B2058))</f>
        <v/>
      </c>
      <c r="I2058">
        <f>SUMPRODUCT(Calc!$K$3:$K$22*(Calc!$G$3:$G$22&gt;A2058)*(Calc!$G$3:$G$22-A2058)^2)</f>
        <v/>
      </c>
      <c r="J2058">
        <f>SUMPRODUCT(Calc!$K$3:$K$22*(Calc!$G$3:$G$22&gt;B2058)*(Calc!$G$3:$G$22-B2058)^2)</f>
        <v/>
      </c>
      <c r="K2058">
        <f>SUMPRODUCT(Calc!$K$3:$K$22*(Calc!$G$3:$G$22&gt;A2058)*(Calc!$G$3:$G$22-A2058)*(Calc!$G$3:$G$22&gt;B2058)*(Calc!$G$3:$G$22-B2058))</f>
        <v/>
      </c>
      <c r="L2058">
        <f>SUMPRODUCT(Calc!$K$3:$K$22*(Calc!$G$3:$G$22&gt;A2058)*(Calc!$G$3:$G$22-A2058)*Calc!$G$3:$G$22)</f>
        <v/>
      </c>
      <c r="M2058">
        <f>SUMPRODUCT(Calc!$K$3:$K$22*(Calc!$G$3:$G$22&gt;B2058)*(Calc!$G$3:$G$22-B2058)*Calc!$G$3:$G$22)</f>
        <v/>
      </c>
      <c r="N2058">
        <f>SUMPRODUCT(Calc!$K$3:$K$22*(Calc!$G$3:$G$22&gt;A2058)*(Calc!$G$3:$G$22-A2058)*Calc!$I$3:$I$22)</f>
        <v/>
      </c>
      <c r="O2058">
        <f>SUMPRODUCT(Calc!$K$3:$K$22*(Calc!$G$3:$G$22&gt;B2058)*(Calc!$G$3:$G$22-B2058)*Calc!$I$3:$I$22)</f>
        <v/>
      </c>
      <c r="P2058">
        <f>I2058-G2058^2/k_n</f>
        <v/>
      </c>
      <c r="Q2058">
        <f>J2058-H2058^2/k_n</f>
        <v/>
      </c>
      <c r="R2058">
        <f>K2058-G2058*H2058/k_n</f>
        <v/>
      </c>
      <c r="S2058">
        <f>L2058-LTP3!$D$3*G2058/k_n</f>
        <v/>
      </c>
      <c r="T2058">
        <f>M2058-LTP3!$D$3*H2058/k_n</f>
        <v/>
      </c>
      <c r="U2058">
        <f>N2058-G2058*LTP3!$D$4/k_n</f>
        <v/>
      </c>
      <c r="V2058">
        <f>O2058-H2058*LTP3!$D$4/k_n</f>
        <v/>
      </c>
      <c r="W2058">
        <f>((LTP3!$D$5)*((P2058)*(Q2058)-(R2058)*(R2058))-(S2058)*((S2058)*(Q2058)-(R2058)*(T2058))+(T2058)*((S2058)*(R2058)-(P2058)*(T2058)))</f>
        <v/>
      </c>
      <c r="X2058">
        <f>IF(ABS(W2058)&gt;1E-12,((LTP3!$D$6)*((P2058)*(Q2058)-(R2058)*(R2058))-(S2058)*((U2058)*(Q2058)-(R2058)*(V2058))+(T2058)*((U2058)*(R2058)-(P2058)*(V2058)))/W2058,0)</f>
        <v/>
      </c>
      <c r="Y2058">
        <f>IF(ABS(W2058)&gt;1E-12,((LTP3!$D$5)*((U2058)*(Q2058)-(R2058)*(V2058))-(LTP3!$D$6)*((S2058)*(Q2058)-(R2058)*(T2058))+(T2058)*((S2058)*(V2058)-(U2058)*(T2058)))/W2058,0)</f>
        <v/>
      </c>
      <c r="Z2058">
        <f>IF(ABS(W2058)&gt;1E-12,((LTP3!$D$5)*((P2058)*(V2058)-(U2058)*(R2058))-(S2058)*((S2058)*(V2058)-(U2058)*(T2058))+(LTP3!$D$6)*((S2058)*(R2058)-(P2058)*(T2058)))/W2058,0)</f>
        <v/>
      </c>
      <c r="AA2058">
        <f>LTP3!$D$7-X2058*LTP3!$D$6-Y2058*U2058-Z2058*V2058</f>
        <v/>
      </c>
      <c r="AB2058">
        <f>IF(AND(F2058,ABS(W2058)&gt;1E-12,Y2058&gt;0,Z2058&gt;0),AA2058,1E+300)</f>
        <v/>
      </c>
    </row>
    <row r="2059">
      <c r="A2059">
        <f>$B$3+$B$5*33</f>
        <v/>
      </c>
      <c r="B2059">
        <f>$B$3+$B$5*34</f>
        <v/>
      </c>
      <c r="C2059">
        <f>SUMPRODUCT(Calc!$K$3:$K$22*(Calc!$G$3:$G$22&lt;=A2059))</f>
        <v/>
      </c>
      <c r="D2059">
        <f>SUMPRODUCT(Calc!$K$3:$K$22*(Calc!$G$3:$G$22&gt;A2059)*(Calc!$G$3:$G$22&lt;B2059))</f>
        <v/>
      </c>
      <c r="E2059">
        <f>SUMPRODUCT(Calc!$K$3:$K$22*(Calc!$G$3:$G$22&gt;=B2059))</f>
        <v/>
      </c>
      <c r="F2059">
        <f>AND(k_n&gt;=5,B2059&gt;A2059+1E-9,C2059&gt;=2,D2059&gt;=1,E2059&gt;=2)</f>
        <v/>
      </c>
      <c r="G2059">
        <f>SUMPRODUCT(Calc!$K$3:$K$22*(Calc!$G$3:$G$22&gt;A2059)*(Calc!$G$3:$G$22-A2059))</f>
        <v/>
      </c>
      <c r="H2059">
        <f>SUMPRODUCT(Calc!$K$3:$K$22*(Calc!$G$3:$G$22&gt;B2059)*(Calc!$G$3:$G$22-B2059))</f>
        <v/>
      </c>
      <c r="I2059">
        <f>SUMPRODUCT(Calc!$K$3:$K$22*(Calc!$G$3:$G$22&gt;A2059)*(Calc!$G$3:$G$22-A2059)^2)</f>
        <v/>
      </c>
      <c r="J2059">
        <f>SUMPRODUCT(Calc!$K$3:$K$22*(Calc!$G$3:$G$22&gt;B2059)*(Calc!$G$3:$G$22-B2059)^2)</f>
        <v/>
      </c>
      <c r="K2059">
        <f>SUMPRODUCT(Calc!$K$3:$K$22*(Calc!$G$3:$G$22&gt;A2059)*(Calc!$G$3:$G$22-A2059)*(Calc!$G$3:$G$22&gt;B2059)*(Calc!$G$3:$G$22-B2059))</f>
        <v/>
      </c>
      <c r="L2059">
        <f>SUMPRODUCT(Calc!$K$3:$K$22*(Calc!$G$3:$G$22&gt;A2059)*(Calc!$G$3:$G$22-A2059)*Calc!$G$3:$G$22)</f>
        <v/>
      </c>
      <c r="M2059">
        <f>SUMPRODUCT(Calc!$K$3:$K$22*(Calc!$G$3:$G$22&gt;B2059)*(Calc!$G$3:$G$22-B2059)*Calc!$G$3:$G$22)</f>
        <v/>
      </c>
      <c r="N2059">
        <f>SUMPRODUCT(Calc!$K$3:$K$22*(Calc!$G$3:$G$22&gt;A2059)*(Calc!$G$3:$G$22-A2059)*Calc!$I$3:$I$22)</f>
        <v/>
      </c>
      <c r="O2059">
        <f>SUMPRODUCT(Calc!$K$3:$K$22*(Calc!$G$3:$G$22&gt;B2059)*(Calc!$G$3:$G$22-B2059)*Calc!$I$3:$I$22)</f>
        <v/>
      </c>
      <c r="P2059">
        <f>I2059-G2059^2/k_n</f>
        <v/>
      </c>
      <c r="Q2059">
        <f>J2059-H2059^2/k_n</f>
        <v/>
      </c>
      <c r="R2059">
        <f>K2059-G2059*H2059/k_n</f>
        <v/>
      </c>
      <c r="S2059">
        <f>L2059-LTP3!$D$3*G2059/k_n</f>
        <v/>
      </c>
      <c r="T2059">
        <f>M2059-LTP3!$D$3*H2059/k_n</f>
        <v/>
      </c>
      <c r="U2059">
        <f>N2059-G2059*LTP3!$D$4/k_n</f>
        <v/>
      </c>
      <c r="V2059">
        <f>O2059-H2059*LTP3!$D$4/k_n</f>
        <v/>
      </c>
      <c r="W2059">
        <f>((LTP3!$D$5)*((P2059)*(Q2059)-(R2059)*(R2059))-(S2059)*((S2059)*(Q2059)-(R2059)*(T2059))+(T2059)*((S2059)*(R2059)-(P2059)*(T2059)))</f>
        <v/>
      </c>
      <c r="X2059">
        <f>IF(ABS(W2059)&gt;1E-12,((LTP3!$D$6)*((P2059)*(Q2059)-(R2059)*(R2059))-(S2059)*((U2059)*(Q2059)-(R2059)*(V2059))+(T2059)*((U2059)*(R2059)-(P2059)*(V2059)))/W2059,0)</f>
        <v/>
      </c>
      <c r="Y2059">
        <f>IF(ABS(W2059)&gt;1E-12,((LTP3!$D$5)*((U2059)*(Q2059)-(R2059)*(V2059))-(LTP3!$D$6)*((S2059)*(Q2059)-(R2059)*(T2059))+(T2059)*((S2059)*(V2059)-(U2059)*(T2059)))/W2059,0)</f>
        <v/>
      </c>
      <c r="Z2059">
        <f>IF(ABS(W2059)&gt;1E-12,((LTP3!$D$5)*((P2059)*(V2059)-(U2059)*(R2059))-(S2059)*((S2059)*(V2059)-(U2059)*(T2059))+(LTP3!$D$6)*((S2059)*(R2059)-(P2059)*(T2059)))/W2059,0)</f>
        <v/>
      </c>
      <c r="AA2059">
        <f>LTP3!$D$7-X2059*LTP3!$D$6-Y2059*U2059-Z2059*V2059</f>
        <v/>
      </c>
      <c r="AB2059">
        <f>IF(AND(F2059,ABS(W2059)&gt;1E-12,Y2059&gt;0,Z2059&gt;0),AA2059,1E+300)</f>
        <v/>
      </c>
    </row>
    <row r="2060">
      <c r="A2060">
        <f>$B$3+$B$5*33</f>
        <v/>
      </c>
      <c r="B2060">
        <f>$B$3+$B$5*35</f>
        <v/>
      </c>
      <c r="C2060">
        <f>SUMPRODUCT(Calc!$K$3:$K$22*(Calc!$G$3:$G$22&lt;=A2060))</f>
        <v/>
      </c>
      <c r="D2060">
        <f>SUMPRODUCT(Calc!$K$3:$K$22*(Calc!$G$3:$G$22&gt;A2060)*(Calc!$G$3:$G$22&lt;B2060))</f>
        <v/>
      </c>
      <c r="E2060">
        <f>SUMPRODUCT(Calc!$K$3:$K$22*(Calc!$G$3:$G$22&gt;=B2060))</f>
        <v/>
      </c>
      <c r="F2060">
        <f>AND(k_n&gt;=5,B2060&gt;A2060+1E-9,C2060&gt;=2,D2060&gt;=1,E2060&gt;=2)</f>
        <v/>
      </c>
      <c r="G2060">
        <f>SUMPRODUCT(Calc!$K$3:$K$22*(Calc!$G$3:$G$22&gt;A2060)*(Calc!$G$3:$G$22-A2060))</f>
        <v/>
      </c>
      <c r="H2060">
        <f>SUMPRODUCT(Calc!$K$3:$K$22*(Calc!$G$3:$G$22&gt;B2060)*(Calc!$G$3:$G$22-B2060))</f>
        <v/>
      </c>
      <c r="I2060">
        <f>SUMPRODUCT(Calc!$K$3:$K$22*(Calc!$G$3:$G$22&gt;A2060)*(Calc!$G$3:$G$22-A2060)^2)</f>
        <v/>
      </c>
      <c r="J2060">
        <f>SUMPRODUCT(Calc!$K$3:$K$22*(Calc!$G$3:$G$22&gt;B2060)*(Calc!$G$3:$G$22-B2060)^2)</f>
        <v/>
      </c>
      <c r="K2060">
        <f>SUMPRODUCT(Calc!$K$3:$K$22*(Calc!$G$3:$G$22&gt;A2060)*(Calc!$G$3:$G$22-A2060)*(Calc!$G$3:$G$22&gt;B2060)*(Calc!$G$3:$G$22-B2060))</f>
        <v/>
      </c>
      <c r="L2060">
        <f>SUMPRODUCT(Calc!$K$3:$K$22*(Calc!$G$3:$G$22&gt;A2060)*(Calc!$G$3:$G$22-A2060)*Calc!$G$3:$G$22)</f>
        <v/>
      </c>
      <c r="M2060">
        <f>SUMPRODUCT(Calc!$K$3:$K$22*(Calc!$G$3:$G$22&gt;B2060)*(Calc!$G$3:$G$22-B2060)*Calc!$G$3:$G$22)</f>
        <v/>
      </c>
      <c r="N2060">
        <f>SUMPRODUCT(Calc!$K$3:$K$22*(Calc!$G$3:$G$22&gt;A2060)*(Calc!$G$3:$G$22-A2060)*Calc!$I$3:$I$22)</f>
        <v/>
      </c>
      <c r="O2060">
        <f>SUMPRODUCT(Calc!$K$3:$K$22*(Calc!$G$3:$G$22&gt;B2060)*(Calc!$G$3:$G$22-B2060)*Calc!$I$3:$I$22)</f>
        <v/>
      </c>
      <c r="P2060">
        <f>I2060-G2060^2/k_n</f>
        <v/>
      </c>
      <c r="Q2060">
        <f>J2060-H2060^2/k_n</f>
        <v/>
      </c>
      <c r="R2060">
        <f>K2060-G2060*H2060/k_n</f>
        <v/>
      </c>
      <c r="S2060">
        <f>L2060-LTP3!$D$3*G2060/k_n</f>
        <v/>
      </c>
      <c r="T2060">
        <f>M2060-LTP3!$D$3*H2060/k_n</f>
        <v/>
      </c>
      <c r="U2060">
        <f>N2060-G2060*LTP3!$D$4/k_n</f>
        <v/>
      </c>
      <c r="V2060">
        <f>O2060-H2060*LTP3!$D$4/k_n</f>
        <v/>
      </c>
      <c r="W2060">
        <f>((LTP3!$D$5)*((P2060)*(Q2060)-(R2060)*(R2060))-(S2060)*((S2060)*(Q2060)-(R2060)*(T2060))+(T2060)*((S2060)*(R2060)-(P2060)*(T2060)))</f>
        <v/>
      </c>
      <c r="X2060">
        <f>IF(ABS(W2060)&gt;1E-12,((LTP3!$D$6)*((P2060)*(Q2060)-(R2060)*(R2060))-(S2060)*((U2060)*(Q2060)-(R2060)*(V2060))+(T2060)*((U2060)*(R2060)-(P2060)*(V2060)))/W2060,0)</f>
        <v/>
      </c>
      <c r="Y2060">
        <f>IF(ABS(W2060)&gt;1E-12,((LTP3!$D$5)*((U2060)*(Q2060)-(R2060)*(V2060))-(LTP3!$D$6)*((S2060)*(Q2060)-(R2060)*(T2060))+(T2060)*((S2060)*(V2060)-(U2060)*(T2060)))/W2060,0)</f>
        <v/>
      </c>
      <c r="Z2060">
        <f>IF(ABS(W2060)&gt;1E-12,((LTP3!$D$5)*((P2060)*(V2060)-(U2060)*(R2060))-(S2060)*((S2060)*(V2060)-(U2060)*(T2060))+(LTP3!$D$6)*((S2060)*(R2060)-(P2060)*(T2060)))/W2060,0)</f>
        <v/>
      </c>
      <c r="AA2060">
        <f>LTP3!$D$7-X2060*LTP3!$D$6-Y2060*U2060-Z2060*V2060</f>
        <v/>
      </c>
      <c r="AB2060">
        <f>IF(AND(F2060,ABS(W2060)&gt;1E-12,Y2060&gt;0,Z2060&gt;0),AA2060,1E+300)</f>
        <v/>
      </c>
    </row>
    <row r="2061">
      <c r="A2061">
        <f>$B$3+$B$5*33</f>
        <v/>
      </c>
      <c r="B2061">
        <f>$B$3+$B$5*36</f>
        <v/>
      </c>
      <c r="C2061">
        <f>SUMPRODUCT(Calc!$K$3:$K$22*(Calc!$G$3:$G$22&lt;=A2061))</f>
        <v/>
      </c>
      <c r="D2061">
        <f>SUMPRODUCT(Calc!$K$3:$K$22*(Calc!$G$3:$G$22&gt;A2061)*(Calc!$G$3:$G$22&lt;B2061))</f>
        <v/>
      </c>
      <c r="E2061">
        <f>SUMPRODUCT(Calc!$K$3:$K$22*(Calc!$G$3:$G$22&gt;=B2061))</f>
        <v/>
      </c>
      <c r="F2061">
        <f>AND(k_n&gt;=5,B2061&gt;A2061+1E-9,C2061&gt;=2,D2061&gt;=1,E2061&gt;=2)</f>
        <v/>
      </c>
      <c r="G2061">
        <f>SUMPRODUCT(Calc!$K$3:$K$22*(Calc!$G$3:$G$22&gt;A2061)*(Calc!$G$3:$G$22-A2061))</f>
        <v/>
      </c>
      <c r="H2061">
        <f>SUMPRODUCT(Calc!$K$3:$K$22*(Calc!$G$3:$G$22&gt;B2061)*(Calc!$G$3:$G$22-B2061))</f>
        <v/>
      </c>
      <c r="I2061">
        <f>SUMPRODUCT(Calc!$K$3:$K$22*(Calc!$G$3:$G$22&gt;A2061)*(Calc!$G$3:$G$22-A2061)^2)</f>
        <v/>
      </c>
      <c r="J2061">
        <f>SUMPRODUCT(Calc!$K$3:$K$22*(Calc!$G$3:$G$22&gt;B2061)*(Calc!$G$3:$G$22-B2061)^2)</f>
        <v/>
      </c>
      <c r="K2061">
        <f>SUMPRODUCT(Calc!$K$3:$K$22*(Calc!$G$3:$G$22&gt;A2061)*(Calc!$G$3:$G$22-A2061)*(Calc!$G$3:$G$22&gt;B2061)*(Calc!$G$3:$G$22-B2061))</f>
        <v/>
      </c>
      <c r="L2061">
        <f>SUMPRODUCT(Calc!$K$3:$K$22*(Calc!$G$3:$G$22&gt;A2061)*(Calc!$G$3:$G$22-A2061)*Calc!$G$3:$G$22)</f>
        <v/>
      </c>
      <c r="M2061">
        <f>SUMPRODUCT(Calc!$K$3:$K$22*(Calc!$G$3:$G$22&gt;B2061)*(Calc!$G$3:$G$22-B2061)*Calc!$G$3:$G$22)</f>
        <v/>
      </c>
      <c r="N2061">
        <f>SUMPRODUCT(Calc!$K$3:$K$22*(Calc!$G$3:$G$22&gt;A2061)*(Calc!$G$3:$G$22-A2061)*Calc!$I$3:$I$22)</f>
        <v/>
      </c>
      <c r="O2061">
        <f>SUMPRODUCT(Calc!$K$3:$K$22*(Calc!$G$3:$G$22&gt;B2061)*(Calc!$G$3:$G$22-B2061)*Calc!$I$3:$I$22)</f>
        <v/>
      </c>
      <c r="P2061">
        <f>I2061-G2061^2/k_n</f>
        <v/>
      </c>
      <c r="Q2061">
        <f>J2061-H2061^2/k_n</f>
        <v/>
      </c>
      <c r="R2061">
        <f>K2061-G2061*H2061/k_n</f>
        <v/>
      </c>
      <c r="S2061">
        <f>L2061-LTP3!$D$3*G2061/k_n</f>
        <v/>
      </c>
      <c r="T2061">
        <f>M2061-LTP3!$D$3*H2061/k_n</f>
        <v/>
      </c>
      <c r="U2061">
        <f>N2061-G2061*LTP3!$D$4/k_n</f>
        <v/>
      </c>
      <c r="V2061">
        <f>O2061-H2061*LTP3!$D$4/k_n</f>
        <v/>
      </c>
      <c r="W2061">
        <f>((LTP3!$D$5)*((P2061)*(Q2061)-(R2061)*(R2061))-(S2061)*((S2061)*(Q2061)-(R2061)*(T2061))+(T2061)*((S2061)*(R2061)-(P2061)*(T2061)))</f>
        <v/>
      </c>
      <c r="X2061">
        <f>IF(ABS(W2061)&gt;1E-12,((LTP3!$D$6)*((P2061)*(Q2061)-(R2061)*(R2061))-(S2061)*((U2061)*(Q2061)-(R2061)*(V2061))+(T2061)*((U2061)*(R2061)-(P2061)*(V2061)))/W2061,0)</f>
        <v/>
      </c>
      <c r="Y2061">
        <f>IF(ABS(W2061)&gt;1E-12,((LTP3!$D$5)*((U2061)*(Q2061)-(R2061)*(V2061))-(LTP3!$D$6)*((S2061)*(Q2061)-(R2061)*(T2061))+(T2061)*((S2061)*(V2061)-(U2061)*(T2061)))/W2061,0)</f>
        <v/>
      </c>
      <c r="Z2061">
        <f>IF(ABS(W2061)&gt;1E-12,((LTP3!$D$5)*((P2061)*(V2061)-(U2061)*(R2061))-(S2061)*((S2061)*(V2061)-(U2061)*(T2061))+(LTP3!$D$6)*((S2061)*(R2061)-(P2061)*(T2061)))/W2061,0)</f>
        <v/>
      </c>
      <c r="AA2061">
        <f>LTP3!$D$7-X2061*LTP3!$D$6-Y2061*U2061-Z2061*V2061</f>
        <v/>
      </c>
      <c r="AB2061">
        <f>IF(AND(F2061,ABS(W2061)&gt;1E-12,Y2061&gt;0,Z2061&gt;0),AA2061,1E+300)</f>
        <v/>
      </c>
    </row>
    <row r="2062">
      <c r="A2062">
        <f>$B$3+$B$5*33</f>
        <v/>
      </c>
      <c r="B2062">
        <f>$B$3+$B$5*37</f>
        <v/>
      </c>
      <c r="C2062">
        <f>SUMPRODUCT(Calc!$K$3:$K$22*(Calc!$G$3:$G$22&lt;=A2062))</f>
        <v/>
      </c>
      <c r="D2062">
        <f>SUMPRODUCT(Calc!$K$3:$K$22*(Calc!$G$3:$G$22&gt;A2062)*(Calc!$G$3:$G$22&lt;B2062))</f>
        <v/>
      </c>
      <c r="E2062">
        <f>SUMPRODUCT(Calc!$K$3:$K$22*(Calc!$G$3:$G$22&gt;=B2062))</f>
        <v/>
      </c>
      <c r="F2062">
        <f>AND(k_n&gt;=5,B2062&gt;A2062+1E-9,C2062&gt;=2,D2062&gt;=1,E2062&gt;=2)</f>
        <v/>
      </c>
      <c r="G2062">
        <f>SUMPRODUCT(Calc!$K$3:$K$22*(Calc!$G$3:$G$22&gt;A2062)*(Calc!$G$3:$G$22-A2062))</f>
        <v/>
      </c>
      <c r="H2062">
        <f>SUMPRODUCT(Calc!$K$3:$K$22*(Calc!$G$3:$G$22&gt;B2062)*(Calc!$G$3:$G$22-B2062))</f>
        <v/>
      </c>
      <c r="I2062">
        <f>SUMPRODUCT(Calc!$K$3:$K$22*(Calc!$G$3:$G$22&gt;A2062)*(Calc!$G$3:$G$22-A2062)^2)</f>
        <v/>
      </c>
      <c r="J2062">
        <f>SUMPRODUCT(Calc!$K$3:$K$22*(Calc!$G$3:$G$22&gt;B2062)*(Calc!$G$3:$G$22-B2062)^2)</f>
        <v/>
      </c>
      <c r="K2062">
        <f>SUMPRODUCT(Calc!$K$3:$K$22*(Calc!$G$3:$G$22&gt;A2062)*(Calc!$G$3:$G$22-A2062)*(Calc!$G$3:$G$22&gt;B2062)*(Calc!$G$3:$G$22-B2062))</f>
        <v/>
      </c>
      <c r="L2062">
        <f>SUMPRODUCT(Calc!$K$3:$K$22*(Calc!$G$3:$G$22&gt;A2062)*(Calc!$G$3:$G$22-A2062)*Calc!$G$3:$G$22)</f>
        <v/>
      </c>
      <c r="M2062">
        <f>SUMPRODUCT(Calc!$K$3:$K$22*(Calc!$G$3:$G$22&gt;B2062)*(Calc!$G$3:$G$22-B2062)*Calc!$G$3:$G$22)</f>
        <v/>
      </c>
      <c r="N2062">
        <f>SUMPRODUCT(Calc!$K$3:$K$22*(Calc!$G$3:$G$22&gt;A2062)*(Calc!$G$3:$G$22-A2062)*Calc!$I$3:$I$22)</f>
        <v/>
      </c>
      <c r="O2062">
        <f>SUMPRODUCT(Calc!$K$3:$K$22*(Calc!$G$3:$G$22&gt;B2062)*(Calc!$G$3:$G$22-B2062)*Calc!$I$3:$I$22)</f>
        <v/>
      </c>
      <c r="P2062">
        <f>I2062-G2062^2/k_n</f>
        <v/>
      </c>
      <c r="Q2062">
        <f>J2062-H2062^2/k_n</f>
        <v/>
      </c>
      <c r="R2062">
        <f>K2062-G2062*H2062/k_n</f>
        <v/>
      </c>
      <c r="S2062">
        <f>L2062-LTP3!$D$3*G2062/k_n</f>
        <v/>
      </c>
      <c r="T2062">
        <f>M2062-LTP3!$D$3*H2062/k_n</f>
        <v/>
      </c>
      <c r="U2062">
        <f>N2062-G2062*LTP3!$D$4/k_n</f>
        <v/>
      </c>
      <c r="V2062">
        <f>O2062-H2062*LTP3!$D$4/k_n</f>
        <v/>
      </c>
      <c r="W2062">
        <f>((LTP3!$D$5)*((P2062)*(Q2062)-(R2062)*(R2062))-(S2062)*((S2062)*(Q2062)-(R2062)*(T2062))+(T2062)*((S2062)*(R2062)-(P2062)*(T2062)))</f>
        <v/>
      </c>
      <c r="X2062">
        <f>IF(ABS(W2062)&gt;1E-12,((LTP3!$D$6)*((P2062)*(Q2062)-(R2062)*(R2062))-(S2062)*((U2062)*(Q2062)-(R2062)*(V2062))+(T2062)*((U2062)*(R2062)-(P2062)*(V2062)))/W2062,0)</f>
        <v/>
      </c>
      <c r="Y2062">
        <f>IF(ABS(W2062)&gt;1E-12,((LTP3!$D$5)*((U2062)*(Q2062)-(R2062)*(V2062))-(LTP3!$D$6)*((S2062)*(Q2062)-(R2062)*(T2062))+(T2062)*((S2062)*(V2062)-(U2062)*(T2062)))/W2062,0)</f>
        <v/>
      </c>
      <c r="Z2062">
        <f>IF(ABS(W2062)&gt;1E-12,((LTP3!$D$5)*((P2062)*(V2062)-(U2062)*(R2062))-(S2062)*((S2062)*(V2062)-(U2062)*(T2062))+(LTP3!$D$6)*((S2062)*(R2062)-(P2062)*(T2062)))/W2062,0)</f>
        <v/>
      </c>
      <c r="AA2062">
        <f>LTP3!$D$7-X2062*LTP3!$D$6-Y2062*U2062-Z2062*V2062</f>
        <v/>
      </c>
      <c r="AB2062">
        <f>IF(AND(F2062,ABS(W2062)&gt;1E-12,Y2062&gt;0,Z2062&gt;0),AA2062,1E+300)</f>
        <v/>
      </c>
    </row>
    <row r="2063">
      <c r="A2063">
        <f>$B$3+$B$5*33</f>
        <v/>
      </c>
      <c r="B2063">
        <f>$B$3+$B$5*38</f>
        <v/>
      </c>
      <c r="C2063">
        <f>SUMPRODUCT(Calc!$K$3:$K$22*(Calc!$G$3:$G$22&lt;=A2063))</f>
        <v/>
      </c>
      <c r="D2063">
        <f>SUMPRODUCT(Calc!$K$3:$K$22*(Calc!$G$3:$G$22&gt;A2063)*(Calc!$G$3:$G$22&lt;B2063))</f>
        <v/>
      </c>
      <c r="E2063">
        <f>SUMPRODUCT(Calc!$K$3:$K$22*(Calc!$G$3:$G$22&gt;=B2063))</f>
        <v/>
      </c>
      <c r="F2063">
        <f>AND(k_n&gt;=5,B2063&gt;A2063+1E-9,C2063&gt;=2,D2063&gt;=1,E2063&gt;=2)</f>
        <v/>
      </c>
      <c r="G2063">
        <f>SUMPRODUCT(Calc!$K$3:$K$22*(Calc!$G$3:$G$22&gt;A2063)*(Calc!$G$3:$G$22-A2063))</f>
        <v/>
      </c>
      <c r="H2063">
        <f>SUMPRODUCT(Calc!$K$3:$K$22*(Calc!$G$3:$G$22&gt;B2063)*(Calc!$G$3:$G$22-B2063))</f>
        <v/>
      </c>
      <c r="I2063">
        <f>SUMPRODUCT(Calc!$K$3:$K$22*(Calc!$G$3:$G$22&gt;A2063)*(Calc!$G$3:$G$22-A2063)^2)</f>
        <v/>
      </c>
      <c r="J2063">
        <f>SUMPRODUCT(Calc!$K$3:$K$22*(Calc!$G$3:$G$22&gt;B2063)*(Calc!$G$3:$G$22-B2063)^2)</f>
        <v/>
      </c>
      <c r="K2063">
        <f>SUMPRODUCT(Calc!$K$3:$K$22*(Calc!$G$3:$G$22&gt;A2063)*(Calc!$G$3:$G$22-A2063)*(Calc!$G$3:$G$22&gt;B2063)*(Calc!$G$3:$G$22-B2063))</f>
        <v/>
      </c>
      <c r="L2063">
        <f>SUMPRODUCT(Calc!$K$3:$K$22*(Calc!$G$3:$G$22&gt;A2063)*(Calc!$G$3:$G$22-A2063)*Calc!$G$3:$G$22)</f>
        <v/>
      </c>
      <c r="M2063">
        <f>SUMPRODUCT(Calc!$K$3:$K$22*(Calc!$G$3:$G$22&gt;B2063)*(Calc!$G$3:$G$22-B2063)*Calc!$G$3:$G$22)</f>
        <v/>
      </c>
      <c r="N2063">
        <f>SUMPRODUCT(Calc!$K$3:$K$22*(Calc!$G$3:$G$22&gt;A2063)*(Calc!$G$3:$G$22-A2063)*Calc!$I$3:$I$22)</f>
        <v/>
      </c>
      <c r="O2063">
        <f>SUMPRODUCT(Calc!$K$3:$K$22*(Calc!$G$3:$G$22&gt;B2063)*(Calc!$G$3:$G$22-B2063)*Calc!$I$3:$I$22)</f>
        <v/>
      </c>
      <c r="P2063">
        <f>I2063-G2063^2/k_n</f>
        <v/>
      </c>
      <c r="Q2063">
        <f>J2063-H2063^2/k_n</f>
        <v/>
      </c>
      <c r="R2063">
        <f>K2063-G2063*H2063/k_n</f>
        <v/>
      </c>
      <c r="S2063">
        <f>L2063-LTP3!$D$3*G2063/k_n</f>
        <v/>
      </c>
      <c r="T2063">
        <f>M2063-LTP3!$D$3*H2063/k_n</f>
        <v/>
      </c>
      <c r="U2063">
        <f>N2063-G2063*LTP3!$D$4/k_n</f>
        <v/>
      </c>
      <c r="V2063">
        <f>O2063-H2063*LTP3!$D$4/k_n</f>
        <v/>
      </c>
      <c r="W2063">
        <f>((LTP3!$D$5)*((P2063)*(Q2063)-(R2063)*(R2063))-(S2063)*((S2063)*(Q2063)-(R2063)*(T2063))+(T2063)*((S2063)*(R2063)-(P2063)*(T2063)))</f>
        <v/>
      </c>
      <c r="X2063">
        <f>IF(ABS(W2063)&gt;1E-12,((LTP3!$D$6)*((P2063)*(Q2063)-(R2063)*(R2063))-(S2063)*((U2063)*(Q2063)-(R2063)*(V2063))+(T2063)*((U2063)*(R2063)-(P2063)*(V2063)))/W2063,0)</f>
        <v/>
      </c>
      <c r="Y2063">
        <f>IF(ABS(W2063)&gt;1E-12,((LTP3!$D$5)*((U2063)*(Q2063)-(R2063)*(V2063))-(LTP3!$D$6)*((S2063)*(Q2063)-(R2063)*(T2063))+(T2063)*((S2063)*(V2063)-(U2063)*(T2063)))/W2063,0)</f>
        <v/>
      </c>
      <c r="Z2063">
        <f>IF(ABS(W2063)&gt;1E-12,((LTP3!$D$5)*((P2063)*(V2063)-(U2063)*(R2063))-(S2063)*((S2063)*(V2063)-(U2063)*(T2063))+(LTP3!$D$6)*((S2063)*(R2063)-(P2063)*(T2063)))/W2063,0)</f>
        <v/>
      </c>
      <c r="AA2063">
        <f>LTP3!$D$7-X2063*LTP3!$D$6-Y2063*U2063-Z2063*V2063</f>
        <v/>
      </c>
      <c r="AB2063">
        <f>IF(AND(F2063,ABS(W2063)&gt;1E-12,Y2063&gt;0,Z2063&gt;0),AA2063,1E+300)</f>
        <v/>
      </c>
    </row>
    <row r="2064">
      <c r="A2064">
        <f>$B$3+$B$5*33</f>
        <v/>
      </c>
      <c r="B2064">
        <f>$B$3+$B$5*39</f>
        <v/>
      </c>
      <c r="C2064">
        <f>SUMPRODUCT(Calc!$K$3:$K$22*(Calc!$G$3:$G$22&lt;=A2064))</f>
        <v/>
      </c>
      <c r="D2064">
        <f>SUMPRODUCT(Calc!$K$3:$K$22*(Calc!$G$3:$G$22&gt;A2064)*(Calc!$G$3:$G$22&lt;B2064))</f>
        <v/>
      </c>
      <c r="E2064">
        <f>SUMPRODUCT(Calc!$K$3:$K$22*(Calc!$G$3:$G$22&gt;=B2064))</f>
        <v/>
      </c>
      <c r="F2064">
        <f>AND(k_n&gt;=5,B2064&gt;A2064+1E-9,C2064&gt;=2,D2064&gt;=1,E2064&gt;=2)</f>
        <v/>
      </c>
      <c r="G2064">
        <f>SUMPRODUCT(Calc!$K$3:$K$22*(Calc!$G$3:$G$22&gt;A2064)*(Calc!$G$3:$G$22-A2064))</f>
        <v/>
      </c>
      <c r="H2064">
        <f>SUMPRODUCT(Calc!$K$3:$K$22*(Calc!$G$3:$G$22&gt;B2064)*(Calc!$G$3:$G$22-B2064))</f>
        <v/>
      </c>
      <c r="I2064">
        <f>SUMPRODUCT(Calc!$K$3:$K$22*(Calc!$G$3:$G$22&gt;A2064)*(Calc!$G$3:$G$22-A2064)^2)</f>
        <v/>
      </c>
      <c r="J2064">
        <f>SUMPRODUCT(Calc!$K$3:$K$22*(Calc!$G$3:$G$22&gt;B2064)*(Calc!$G$3:$G$22-B2064)^2)</f>
        <v/>
      </c>
      <c r="K2064">
        <f>SUMPRODUCT(Calc!$K$3:$K$22*(Calc!$G$3:$G$22&gt;A2064)*(Calc!$G$3:$G$22-A2064)*(Calc!$G$3:$G$22&gt;B2064)*(Calc!$G$3:$G$22-B2064))</f>
        <v/>
      </c>
      <c r="L2064">
        <f>SUMPRODUCT(Calc!$K$3:$K$22*(Calc!$G$3:$G$22&gt;A2064)*(Calc!$G$3:$G$22-A2064)*Calc!$G$3:$G$22)</f>
        <v/>
      </c>
      <c r="M2064">
        <f>SUMPRODUCT(Calc!$K$3:$K$22*(Calc!$G$3:$G$22&gt;B2064)*(Calc!$G$3:$G$22-B2064)*Calc!$G$3:$G$22)</f>
        <v/>
      </c>
      <c r="N2064">
        <f>SUMPRODUCT(Calc!$K$3:$K$22*(Calc!$G$3:$G$22&gt;A2064)*(Calc!$G$3:$G$22-A2064)*Calc!$I$3:$I$22)</f>
        <v/>
      </c>
      <c r="O2064">
        <f>SUMPRODUCT(Calc!$K$3:$K$22*(Calc!$G$3:$G$22&gt;B2064)*(Calc!$G$3:$G$22-B2064)*Calc!$I$3:$I$22)</f>
        <v/>
      </c>
      <c r="P2064">
        <f>I2064-G2064^2/k_n</f>
        <v/>
      </c>
      <c r="Q2064">
        <f>J2064-H2064^2/k_n</f>
        <v/>
      </c>
      <c r="R2064">
        <f>K2064-G2064*H2064/k_n</f>
        <v/>
      </c>
      <c r="S2064">
        <f>L2064-LTP3!$D$3*G2064/k_n</f>
        <v/>
      </c>
      <c r="T2064">
        <f>M2064-LTP3!$D$3*H2064/k_n</f>
        <v/>
      </c>
      <c r="U2064">
        <f>N2064-G2064*LTP3!$D$4/k_n</f>
        <v/>
      </c>
      <c r="V2064">
        <f>O2064-H2064*LTP3!$D$4/k_n</f>
        <v/>
      </c>
      <c r="W2064">
        <f>((LTP3!$D$5)*((P2064)*(Q2064)-(R2064)*(R2064))-(S2064)*((S2064)*(Q2064)-(R2064)*(T2064))+(T2064)*((S2064)*(R2064)-(P2064)*(T2064)))</f>
        <v/>
      </c>
      <c r="X2064">
        <f>IF(ABS(W2064)&gt;1E-12,((LTP3!$D$6)*((P2064)*(Q2064)-(R2064)*(R2064))-(S2064)*((U2064)*(Q2064)-(R2064)*(V2064))+(T2064)*((U2064)*(R2064)-(P2064)*(V2064)))/W2064,0)</f>
        <v/>
      </c>
      <c r="Y2064">
        <f>IF(ABS(W2064)&gt;1E-12,((LTP3!$D$5)*((U2064)*(Q2064)-(R2064)*(V2064))-(LTP3!$D$6)*((S2064)*(Q2064)-(R2064)*(T2064))+(T2064)*((S2064)*(V2064)-(U2064)*(T2064)))/W2064,0)</f>
        <v/>
      </c>
      <c r="Z2064">
        <f>IF(ABS(W2064)&gt;1E-12,((LTP3!$D$5)*((P2064)*(V2064)-(U2064)*(R2064))-(S2064)*((S2064)*(V2064)-(U2064)*(T2064))+(LTP3!$D$6)*((S2064)*(R2064)-(P2064)*(T2064)))/W2064,0)</f>
        <v/>
      </c>
      <c r="AA2064">
        <f>LTP3!$D$7-X2064*LTP3!$D$6-Y2064*U2064-Z2064*V2064</f>
        <v/>
      </c>
      <c r="AB2064">
        <f>IF(AND(F2064,ABS(W2064)&gt;1E-12,Y2064&gt;0,Z2064&gt;0),AA2064,1E+300)</f>
        <v/>
      </c>
    </row>
    <row r="2065">
      <c r="A2065">
        <f>$B$3+$B$5*33</f>
        <v/>
      </c>
      <c r="B2065">
        <f>$B$3+$B$5*40</f>
        <v/>
      </c>
      <c r="C2065">
        <f>SUMPRODUCT(Calc!$K$3:$K$22*(Calc!$G$3:$G$22&lt;=A2065))</f>
        <v/>
      </c>
      <c r="D2065">
        <f>SUMPRODUCT(Calc!$K$3:$K$22*(Calc!$G$3:$G$22&gt;A2065)*(Calc!$G$3:$G$22&lt;B2065))</f>
        <v/>
      </c>
      <c r="E2065">
        <f>SUMPRODUCT(Calc!$K$3:$K$22*(Calc!$G$3:$G$22&gt;=B2065))</f>
        <v/>
      </c>
      <c r="F2065">
        <f>AND(k_n&gt;=5,B2065&gt;A2065+1E-9,C2065&gt;=2,D2065&gt;=1,E2065&gt;=2)</f>
        <v/>
      </c>
      <c r="G2065">
        <f>SUMPRODUCT(Calc!$K$3:$K$22*(Calc!$G$3:$G$22&gt;A2065)*(Calc!$G$3:$G$22-A2065))</f>
        <v/>
      </c>
      <c r="H2065">
        <f>SUMPRODUCT(Calc!$K$3:$K$22*(Calc!$G$3:$G$22&gt;B2065)*(Calc!$G$3:$G$22-B2065))</f>
        <v/>
      </c>
      <c r="I2065">
        <f>SUMPRODUCT(Calc!$K$3:$K$22*(Calc!$G$3:$G$22&gt;A2065)*(Calc!$G$3:$G$22-A2065)^2)</f>
        <v/>
      </c>
      <c r="J2065">
        <f>SUMPRODUCT(Calc!$K$3:$K$22*(Calc!$G$3:$G$22&gt;B2065)*(Calc!$G$3:$G$22-B2065)^2)</f>
        <v/>
      </c>
      <c r="K2065">
        <f>SUMPRODUCT(Calc!$K$3:$K$22*(Calc!$G$3:$G$22&gt;A2065)*(Calc!$G$3:$G$22-A2065)*(Calc!$G$3:$G$22&gt;B2065)*(Calc!$G$3:$G$22-B2065))</f>
        <v/>
      </c>
      <c r="L2065">
        <f>SUMPRODUCT(Calc!$K$3:$K$22*(Calc!$G$3:$G$22&gt;A2065)*(Calc!$G$3:$G$22-A2065)*Calc!$G$3:$G$22)</f>
        <v/>
      </c>
      <c r="M2065">
        <f>SUMPRODUCT(Calc!$K$3:$K$22*(Calc!$G$3:$G$22&gt;B2065)*(Calc!$G$3:$G$22-B2065)*Calc!$G$3:$G$22)</f>
        <v/>
      </c>
      <c r="N2065">
        <f>SUMPRODUCT(Calc!$K$3:$K$22*(Calc!$G$3:$G$22&gt;A2065)*(Calc!$G$3:$G$22-A2065)*Calc!$I$3:$I$22)</f>
        <v/>
      </c>
      <c r="O2065">
        <f>SUMPRODUCT(Calc!$K$3:$K$22*(Calc!$G$3:$G$22&gt;B2065)*(Calc!$G$3:$G$22-B2065)*Calc!$I$3:$I$22)</f>
        <v/>
      </c>
      <c r="P2065">
        <f>I2065-G2065^2/k_n</f>
        <v/>
      </c>
      <c r="Q2065">
        <f>J2065-H2065^2/k_n</f>
        <v/>
      </c>
      <c r="R2065">
        <f>K2065-G2065*H2065/k_n</f>
        <v/>
      </c>
      <c r="S2065">
        <f>L2065-LTP3!$D$3*G2065/k_n</f>
        <v/>
      </c>
      <c r="T2065">
        <f>M2065-LTP3!$D$3*H2065/k_n</f>
        <v/>
      </c>
      <c r="U2065">
        <f>N2065-G2065*LTP3!$D$4/k_n</f>
        <v/>
      </c>
      <c r="V2065">
        <f>O2065-H2065*LTP3!$D$4/k_n</f>
        <v/>
      </c>
      <c r="W2065">
        <f>((LTP3!$D$5)*((P2065)*(Q2065)-(R2065)*(R2065))-(S2065)*((S2065)*(Q2065)-(R2065)*(T2065))+(T2065)*((S2065)*(R2065)-(P2065)*(T2065)))</f>
        <v/>
      </c>
      <c r="X2065">
        <f>IF(ABS(W2065)&gt;1E-12,((LTP3!$D$6)*((P2065)*(Q2065)-(R2065)*(R2065))-(S2065)*((U2065)*(Q2065)-(R2065)*(V2065))+(T2065)*((U2065)*(R2065)-(P2065)*(V2065)))/W2065,0)</f>
        <v/>
      </c>
      <c r="Y2065">
        <f>IF(ABS(W2065)&gt;1E-12,((LTP3!$D$5)*((U2065)*(Q2065)-(R2065)*(V2065))-(LTP3!$D$6)*((S2065)*(Q2065)-(R2065)*(T2065))+(T2065)*((S2065)*(V2065)-(U2065)*(T2065)))/W2065,0)</f>
        <v/>
      </c>
      <c r="Z2065">
        <f>IF(ABS(W2065)&gt;1E-12,((LTP3!$D$5)*((P2065)*(V2065)-(U2065)*(R2065))-(S2065)*((S2065)*(V2065)-(U2065)*(T2065))+(LTP3!$D$6)*((S2065)*(R2065)-(P2065)*(T2065)))/W2065,0)</f>
        <v/>
      </c>
      <c r="AA2065">
        <f>LTP3!$D$7-X2065*LTP3!$D$6-Y2065*U2065-Z2065*V2065</f>
        <v/>
      </c>
      <c r="AB2065">
        <f>IF(AND(F2065,ABS(W2065)&gt;1E-12,Y2065&gt;0,Z2065&gt;0),AA2065,1E+300)</f>
        <v/>
      </c>
    </row>
    <row r="2066">
      <c r="A2066">
        <f>$B$3+$B$5*33</f>
        <v/>
      </c>
      <c r="B2066">
        <f>$B$3+$B$5*41</f>
        <v/>
      </c>
      <c r="C2066">
        <f>SUMPRODUCT(Calc!$K$3:$K$22*(Calc!$G$3:$G$22&lt;=A2066))</f>
        <v/>
      </c>
      <c r="D2066">
        <f>SUMPRODUCT(Calc!$K$3:$K$22*(Calc!$G$3:$G$22&gt;A2066)*(Calc!$G$3:$G$22&lt;B2066))</f>
        <v/>
      </c>
      <c r="E2066">
        <f>SUMPRODUCT(Calc!$K$3:$K$22*(Calc!$G$3:$G$22&gt;=B2066))</f>
        <v/>
      </c>
      <c r="F2066">
        <f>AND(k_n&gt;=5,B2066&gt;A2066+1E-9,C2066&gt;=2,D2066&gt;=1,E2066&gt;=2)</f>
        <v/>
      </c>
      <c r="G2066">
        <f>SUMPRODUCT(Calc!$K$3:$K$22*(Calc!$G$3:$G$22&gt;A2066)*(Calc!$G$3:$G$22-A2066))</f>
        <v/>
      </c>
      <c r="H2066">
        <f>SUMPRODUCT(Calc!$K$3:$K$22*(Calc!$G$3:$G$22&gt;B2066)*(Calc!$G$3:$G$22-B2066))</f>
        <v/>
      </c>
      <c r="I2066">
        <f>SUMPRODUCT(Calc!$K$3:$K$22*(Calc!$G$3:$G$22&gt;A2066)*(Calc!$G$3:$G$22-A2066)^2)</f>
        <v/>
      </c>
      <c r="J2066">
        <f>SUMPRODUCT(Calc!$K$3:$K$22*(Calc!$G$3:$G$22&gt;B2066)*(Calc!$G$3:$G$22-B2066)^2)</f>
        <v/>
      </c>
      <c r="K2066">
        <f>SUMPRODUCT(Calc!$K$3:$K$22*(Calc!$G$3:$G$22&gt;A2066)*(Calc!$G$3:$G$22-A2066)*(Calc!$G$3:$G$22&gt;B2066)*(Calc!$G$3:$G$22-B2066))</f>
        <v/>
      </c>
      <c r="L2066">
        <f>SUMPRODUCT(Calc!$K$3:$K$22*(Calc!$G$3:$G$22&gt;A2066)*(Calc!$G$3:$G$22-A2066)*Calc!$G$3:$G$22)</f>
        <v/>
      </c>
      <c r="M2066">
        <f>SUMPRODUCT(Calc!$K$3:$K$22*(Calc!$G$3:$G$22&gt;B2066)*(Calc!$G$3:$G$22-B2066)*Calc!$G$3:$G$22)</f>
        <v/>
      </c>
      <c r="N2066">
        <f>SUMPRODUCT(Calc!$K$3:$K$22*(Calc!$G$3:$G$22&gt;A2066)*(Calc!$G$3:$G$22-A2066)*Calc!$I$3:$I$22)</f>
        <v/>
      </c>
      <c r="O2066">
        <f>SUMPRODUCT(Calc!$K$3:$K$22*(Calc!$G$3:$G$22&gt;B2066)*(Calc!$G$3:$G$22-B2066)*Calc!$I$3:$I$22)</f>
        <v/>
      </c>
      <c r="P2066">
        <f>I2066-G2066^2/k_n</f>
        <v/>
      </c>
      <c r="Q2066">
        <f>J2066-H2066^2/k_n</f>
        <v/>
      </c>
      <c r="R2066">
        <f>K2066-G2066*H2066/k_n</f>
        <v/>
      </c>
      <c r="S2066">
        <f>L2066-LTP3!$D$3*G2066/k_n</f>
        <v/>
      </c>
      <c r="T2066">
        <f>M2066-LTP3!$D$3*H2066/k_n</f>
        <v/>
      </c>
      <c r="U2066">
        <f>N2066-G2066*LTP3!$D$4/k_n</f>
        <v/>
      </c>
      <c r="V2066">
        <f>O2066-H2066*LTP3!$D$4/k_n</f>
        <v/>
      </c>
      <c r="W2066">
        <f>((LTP3!$D$5)*((P2066)*(Q2066)-(R2066)*(R2066))-(S2066)*((S2066)*(Q2066)-(R2066)*(T2066))+(T2066)*((S2066)*(R2066)-(P2066)*(T2066)))</f>
        <v/>
      </c>
      <c r="X2066">
        <f>IF(ABS(W2066)&gt;1E-12,((LTP3!$D$6)*((P2066)*(Q2066)-(R2066)*(R2066))-(S2066)*((U2066)*(Q2066)-(R2066)*(V2066))+(T2066)*((U2066)*(R2066)-(P2066)*(V2066)))/W2066,0)</f>
        <v/>
      </c>
      <c r="Y2066">
        <f>IF(ABS(W2066)&gt;1E-12,((LTP3!$D$5)*((U2066)*(Q2066)-(R2066)*(V2066))-(LTP3!$D$6)*((S2066)*(Q2066)-(R2066)*(T2066))+(T2066)*((S2066)*(V2066)-(U2066)*(T2066)))/W2066,0)</f>
        <v/>
      </c>
      <c r="Z2066">
        <f>IF(ABS(W2066)&gt;1E-12,((LTP3!$D$5)*((P2066)*(V2066)-(U2066)*(R2066))-(S2066)*((S2066)*(V2066)-(U2066)*(T2066))+(LTP3!$D$6)*((S2066)*(R2066)-(P2066)*(T2066)))/W2066,0)</f>
        <v/>
      </c>
      <c r="AA2066">
        <f>LTP3!$D$7-X2066*LTP3!$D$6-Y2066*U2066-Z2066*V2066</f>
        <v/>
      </c>
      <c r="AB2066">
        <f>IF(AND(F2066,ABS(W2066)&gt;1E-12,Y2066&gt;0,Z2066&gt;0),AA2066,1E+300)</f>
        <v/>
      </c>
    </row>
    <row r="2067">
      <c r="A2067">
        <f>$B$3+$B$5*33</f>
        <v/>
      </c>
      <c r="B2067">
        <f>$B$3+$B$5*42</f>
        <v/>
      </c>
      <c r="C2067">
        <f>SUMPRODUCT(Calc!$K$3:$K$22*(Calc!$G$3:$G$22&lt;=A2067))</f>
        <v/>
      </c>
      <c r="D2067">
        <f>SUMPRODUCT(Calc!$K$3:$K$22*(Calc!$G$3:$G$22&gt;A2067)*(Calc!$G$3:$G$22&lt;B2067))</f>
        <v/>
      </c>
      <c r="E2067">
        <f>SUMPRODUCT(Calc!$K$3:$K$22*(Calc!$G$3:$G$22&gt;=B2067))</f>
        <v/>
      </c>
      <c r="F2067">
        <f>AND(k_n&gt;=5,B2067&gt;A2067+1E-9,C2067&gt;=2,D2067&gt;=1,E2067&gt;=2)</f>
        <v/>
      </c>
      <c r="G2067">
        <f>SUMPRODUCT(Calc!$K$3:$K$22*(Calc!$G$3:$G$22&gt;A2067)*(Calc!$G$3:$G$22-A2067))</f>
        <v/>
      </c>
      <c r="H2067">
        <f>SUMPRODUCT(Calc!$K$3:$K$22*(Calc!$G$3:$G$22&gt;B2067)*(Calc!$G$3:$G$22-B2067))</f>
        <v/>
      </c>
      <c r="I2067">
        <f>SUMPRODUCT(Calc!$K$3:$K$22*(Calc!$G$3:$G$22&gt;A2067)*(Calc!$G$3:$G$22-A2067)^2)</f>
        <v/>
      </c>
      <c r="J2067">
        <f>SUMPRODUCT(Calc!$K$3:$K$22*(Calc!$G$3:$G$22&gt;B2067)*(Calc!$G$3:$G$22-B2067)^2)</f>
        <v/>
      </c>
      <c r="K2067">
        <f>SUMPRODUCT(Calc!$K$3:$K$22*(Calc!$G$3:$G$22&gt;A2067)*(Calc!$G$3:$G$22-A2067)*(Calc!$G$3:$G$22&gt;B2067)*(Calc!$G$3:$G$22-B2067))</f>
        <v/>
      </c>
      <c r="L2067">
        <f>SUMPRODUCT(Calc!$K$3:$K$22*(Calc!$G$3:$G$22&gt;A2067)*(Calc!$G$3:$G$22-A2067)*Calc!$G$3:$G$22)</f>
        <v/>
      </c>
      <c r="M2067">
        <f>SUMPRODUCT(Calc!$K$3:$K$22*(Calc!$G$3:$G$22&gt;B2067)*(Calc!$G$3:$G$22-B2067)*Calc!$G$3:$G$22)</f>
        <v/>
      </c>
      <c r="N2067">
        <f>SUMPRODUCT(Calc!$K$3:$K$22*(Calc!$G$3:$G$22&gt;A2067)*(Calc!$G$3:$G$22-A2067)*Calc!$I$3:$I$22)</f>
        <v/>
      </c>
      <c r="O2067">
        <f>SUMPRODUCT(Calc!$K$3:$K$22*(Calc!$G$3:$G$22&gt;B2067)*(Calc!$G$3:$G$22-B2067)*Calc!$I$3:$I$22)</f>
        <v/>
      </c>
      <c r="P2067">
        <f>I2067-G2067^2/k_n</f>
        <v/>
      </c>
      <c r="Q2067">
        <f>J2067-H2067^2/k_n</f>
        <v/>
      </c>
      <c r="R2067">
        <f>K2067-G2067*H2067/k_n</f>
        <v/>
      </c>
      <c r="S2067">
        <f>L2067-LTP3!$D$3*G2067/k_n</f>
        <v/>
      </c>
      <c r="T2067">
        <f>M2067-LTP3!$D$3*H2067/k_n</f>
        <v/>
      </c>
      <c r="U2067">
        <f>N2067-G2067*LTP3!$D$4/k_n</f>
        <v/>
      </c>
      <c r="V2067">
        <f>O2067-H2067*LTP3!$D$4/k_n</f>
        <v/>
      </c>
      <c r="W2067">
        <f>((LTP3!$D$5)*((P2067)*(Q2067)-(R2067)*(R2067))-(S2067)*((S2067)*(Q2067)-(R2067)*(T2067))+(T2067)*((S2067)*(R2067)-(P2067)*(T2067)))</f>
        <v/>
      </c>
      <c r="X2067">
        <f>IF(ABS(W2067)&gt;1E-12,((LTP3!$D$6)*((P2067)*(Q2067)-(R2067)*(R2067))-(S2067)*((U2067)*(Q2067)-(R2067)*(V2067))+(T2067)*((U2067)*(R2067)-(P2067)*(V2067)))/W2067,0)</f>
        <v/>
      </c>
      <c r="Y2067">
        <f>IF(ABS(W2067)&gt;1E-12,((LTP3!$D$5)*((U2067)*(Q2067)-(R2067)*(V2067))-(LTP3!$D$6)*((S2067)*(Q2067)-(R2067)*(T2067))+(T2067)*((S2067)*(V2067)-(U2067)*(T2067)))/W2067,0)</f>
        <v/>
      </c>
      <c r="Z2067">
        <f>IF(ABS(W2067)&gt;1E-12,((LTP3!$D$5)*((P2067)*(V2067)-(U2067)*(R2067))-(S2067)*((S2067)*(V2067)-(U2067)*(T2067))+(LTP3!$D$6)*((S2067)*(R2067)-(P2067)*(T2067)))/W2067,0)</f>
        <v/>
      </c>
      <c r="AA2067">
        <f>LTP3!$D$7-X2067*LTP3!$D$6-Y2067*U2067-Z2067*V2067</f>
        <v/>
      </c>
      <c r="AB2067">
        <f>IF(AND(F2067,ABS(W2067)&gt;1E-12,Y2067&gt;0,Z2067&gt;0),AA2067,1E+300)</f>
        <v/>
      </c>
    </row>
    <row r="2068">
      <c r="A2068">
        <f>$B$3+$B$5*33</f>
        <v/>
      </c>
      <c r="B2068">
        <f>$B$3+$B$5*43</f>
        <v/>
      </c>
      <c r="C2068">
        <f>SUMPRODUCT(Calc!$K$3:$K$22*(Calc!$G$3:$G$22&lt;=A2068))</f>
        <v/>
      </c>
      <c r="D2068">
        <f>SUMPRODUCT(Calc!$K$3:$K$22*(Calc!$G$3:$G$22&gt;A2068)*(Calc!$G$3:$G$22&lt;B2068))</f>
        <v/>
      </c>
      <c r="E2068">
        <f>SUMPRODUCT(Calc!$K$3:$K$22*(Calc!$G$3:$G$22&gt;=B2068))</f>
        <v/>
      </c>
      <c r="F2068">
        <f>AND(k_n&gt;=5,B2068&gt;A2068+1E-9,C2068&gt;=2,D2068&gt;=1,E2068&gt;=2)</f>
        <v/>
      </c>
      <c r="G2068">
        <f>SUMPRODUCT(Calc!$K$3:$K$22*(Calc!$G$3:$G$22&gt;A2068)*(Calc!$G$3:$G$22-A2068))</f>
        <v/>
      </c>
      <c r="H2068">
        <f>SUMPRODUCT(Calc!$K$3:$K$22*(Calc!$G$3:$G$22&gt;B2068)*(Calc!$G$3:$G$22-B2068))</f>
        <v/>
      </c>
      <c r="I2068">
        <f>SUMPRODUCT(Calc!$K$3:$K$22*(Calc!$G$3:$G$22&gt;A2068)*(Calc!$G$3:$G$22-A2068)^2)</f>
        <v/>
      </c>
      <c r="J2068">
        <f>SUMPRODUCT(Calc!$K$3:$K$22*(Calc!$G$3:$G$22&gt;B2068)*(Calc!$G$3:$G$22-B2068)^2)</f>
        <v/>
      </c>
      <c r="K2068">
        <f>SUMPRODUCT(Calc!$K$3:$K$22*(Calc!$G$3:$G$22&gt;A2068)*(Calc!$G$3:$G$22-A2068)*(Calc!$G$3:$G$22&gt;B2068)*(Calc!$G$3:$G$22-B2068))</f>
        <v/>
      </c>
      <c r="L2068">
        <f>SUMPRODUCT(Calc!$K$3:$K$22*(Calc!$G$3:$G$22&gt;A2068)*(Calc!$G$3:$G$22-A2068)*Calc!$G$3:$G$22)</f>
        <v/>
      </c>
      <c r="M2068">
        <f>SUMPRODUCT(Calc!$K$3:$K$22*(Calc!$G$3:$G$22&gt;B2068)*(Calc!$G$3:$G$22-B2068)*Calc!$G$3:$G$22)</f>
        <v/>
      </c>
      <c r="N2068">
        <f>SUMPRODUCT(Calc!$K$3:$K$22*(Calc!$G$3:$G$22&gt;A2068)*(Calc!$G$3:$G$22-A2068)*Calc!$I$3:$I$22)</f>
        <v/>
      </c>
      <c r="O2068">
        <f>SUMPRODUCT(Calc!$K$3:$K$22*(Calc!$G$3:$G$22&gt;B2068)*(Calc!$G$3:$G$22-B2068)*Calc!$I$3:$I$22)</f>
        <v/>
      </c>
      <c r="P2068">
        <f>I2068-G2068^2/k_n</f>
        <v/>
      </c>
      <c r="Q2068">
        <f>J2068-H2068^2/k_n</f>
        <v/>
      </c>
      <c r="R2068">
        <f>K2068-G2068*H2068/k_n</f>
        <v/>
      </c>
      <c r="S2068">
        <f>L2068-LTP3!$D$3*G2068/k_n</f>
        <v/>
      </c>
      <c r="T2068">
        <f>M2068-LTP3!$D$3*H2068/k_n</f>
        <v/>
      </c>
      <c r="U2068">
        <f>N2068-G2068*LTP3!$D$4/k_n</f>
        <v/>
      </c>
      <c r="V2068">
        <f>O2068-H2068*LTP3!$D$4/k_n</f>
        <v/>
      </c>
      <c r="W2068">
        <f>((LTP3!$D$5)*((P2068)*(Q2068)-(R2068)*(R2068))-(S2068)*((S2068)*(Q2068)-(R2068)*(T2068))+(T2068)*((S2068)*(R2068)-(P2068)*(T2068)))</f>
        <v/>
      </c>
      <c r="X2068">
        <f>IF(ABS(W2068)&gt;1E-12,((LTP3!$D$6)*((P2068)*(Q2068)-(R2068)*(R2068))-(S2068)*((U2068)*(Q2068)-(R2068)*(V2068))+(T2068)*((U2068)*(R2068)-(P2068)*(V2068)))/W2068,0)</f>
        <v/>
      </c>
      <c r="Y2068">
        <f>IF(ABS(W2068)&gt;1E-12,((LTP3!$D$5)*((U2068)*(Q2068)-(R2068)*(V2068))-(LTP3!$D$6)*((S2068)*(Q2068)-(R2068)*(T2068))+(T2068)*((S2068)*(V2068)-(U2068)*(T2068)))/W2068,0)</f>
        <v/>
      </c>
      <c r="Z2068">
        <f>IF(ABS(W2068)&gt;1E-12,((LTP3!$D$5)*((P2068)*(V2068)-(U2068)*(R2068))-(S2068)*((S2068)*(V2068)-(U2068)*(T2068))+(LTP3!$D$6)*((S2068)*(R2068)-(P2068)*(T2068)))/W2068,0)</f>
        <v/>
      </c>
      <c r="AA2068">
        <f>LTP3!$D$7-X2068*LTP3!$D$6-Y2068*U2068-Z2068*V2068</f>
        <v/>
      </c>
      <c r="AB2068">
        <f>IF(AND(F2068,ABS(W2068)&gt;1E-12,Y2068&gt;0,Z2068&gt;0),AA2068,1E+300)</f>
        <v/>
      </c>
    </row>
    <row r="2069">
      <c r="A2069">
        <f>$B$3+$B$5*33</f>
        <v/>
      </c>
      <c r="B2069">
        <f>$B$3+$B$5*44</f>
        <v/>
      </c>
      <c r="C2069">
        <f>SUMPRODUCT(Calc!$K$3:$K$22*(Calc!$G$3:$G$22&lt;=A2069))</f>
        <v/>
      </c>
      <c r="D2069">
        <f>SUMPRODUCT(Calc!$K$3:$K$22*(Calc!$G$3:$G$22&gt;A2069)*(Calc!$G$3:$G$22&lt;B2069))</f>
        <v/>
      </c>
      <c r="E2069">
        <f>SUMPRODUCT(Calc!$K$3:$K$22*(Calc!$G$3:$G$22&gt;=B2069))</f>
        <v/>
      </c>
      <c r="F2069">
        <f>AND(k_n&gt;=5,B2069&gt;A2069+1E-9,C2069&gt;=2,D2069&gt;=1,E2069&gt;=2)</f>
        <v/>
      </c>
      <c r="G2069">
        <f>SUMPRODUCT(Calc!$K$3:$K$22*(Calc!$G$3:$G$22&gt;A2069)*(Calc!$G$3:$G$22-A2069))</f>
        <v/>
      </c>
      <c r="H2069">
        <f>SUMPRODUCT(Calc!$K$3:$K$22*(Calc!$G$3:$G$22&gt;B2069)*(Calc!$G$3:$G$22-B2069))</f>
        <v/>
      </c>
      <c r="I2069">
        <f>SUMPRODUCT(Calc!$K$3:$K$22*(Calc!$G$3:$G$22&gt;A2069)*(Calc!$G$3:$G$22-A2069)^2)</f>
        <v/>
      </c>
      <c r="J2069">
        <f>SUMPRODUCT(Calc!$K$3:$K$22*(Calc!$G$3:$G$22&gt;B2069)*(Calc!$G$3:$G$22-B2069)^2)</f>
        <v/>
      </c>
      <c r="K2069">
        <f>SUMPRODUCT(Calc!$K$3:$K$22*(Calc!$G$3:$G$22&gt;A2069)*(Calc!$G$3:$G$22-A2069)*(Calc!$G$3:$G$22&gt;B2069)*(Calc!$G$3:$G$22-B2069))</f>
        <v/>
      </c>
      <c r="L2069">
        <f>SUMPRODUCT(Calc!$K$3:$K$22*(Calc!$G$3:$G$22&gt;A2069)*(Calc!$G$3:$G$22-A2069)*Calc!$G$3:$G$22)</f>
        <v/>
      </c>
      <c r="M2069">
        <f>SUMPRODUCT(Calc!$K$3:$K$22*(Calc!$G$3:$G$22&gt;B2069)*(Calc!$G$3:$G$22-B2069)*Calc!$G$3:$G$22)</f>
        <v/>
      </c>
      <c r="N2069">
        <f>SUMPRODUCT(Calc!$K$3:$K$22*(Calc!$G$3:$G$22&gt;A2069)*(Calc!$G$3:$G$22-A2069)*Calc!$I$3:$I$22)</f>
        <v/>
      </c>
      <c r="O2069">
        <f>SUMPRODUCT(Calc!$K$3:$K$22*(Calc!$G$3:$G$22&gt;B2069)*(Calc!$G$3:$G$22-B2069)*Calc!$I$3:$I$22)</f>
        <v/>
      </c>
      <c r="P2069">
        <f>I2069-G2069^2/k_n</f>
        <v/>
      </c>
      <c r="Q2069">
        <f>J2069-H2069^2/k_n</f>
        <v/>
      </c>
      <c r="R2069">
        <f>K2069-G2069*H2069/k_n</f>
        <v/>
      </c>
      <c r="S2069">
        <f>L2069-LTP3!$D$3*G2069/k_n</f>
        <v/>
      </c>
      <c r="T2069">
        <f>M2069-LTP3!$D$3*H2069/k_n</f>
        <v/>
      </c>
      <c r="U2069">
        <f>N2069-G2069*LTP3!$D$4/k_n</f>
        <v/>
      </c>
      <c r="V2069">
        <f>O2069-H2069*LTP3!$D$4/k_n</f>
        <v/>
      </c>
      <c r="W2069">
        <f>((LTP3!$D$5)*((P2069)*(Q2069)-(R2069)*(R2069))-(S2069)*((S2069)*(Q2069)-(R2069)*(T2069))+(T2069)*((S2069)*(R2069)-(P2069)*(T2069)))</f>
        <v/>
      </c>
      <c r="X2069">
        <f>IF(ABS(W2069)&gt;1E-12,((LTP3!$D$6)*((P2069)*(Q2069)-(R2069)*(R2069))-(S2069)*((U2069)*(Q2069)-(R2069)*(V2069))+(T2069)*((U2069)*(R2069)-(P2069)*(V2069)))/W2069,0)</f>
        <v/>
      </c>
      <c r="Y2069">
        <f>IF(ABS(W2069)&gt;1E-12,((LTP3!$D$5)*((U2069)*(Q2069)-(R2069)*(V2069))-(LTP3!$D$6)*((S2069)*(Q2069)-(R2069)*(T2069))+(T2069)*((S2069)*(V2069)-(U2069)*(T2069)))/W2069,0)</f>
        <v/>
      </c>
      <c r="Z2069">
        <f>IF(ABS(W2069)&gt;1E-12,((LTP3!$D$5)*((P2069)*(V2069)-(U2069)*(R2069))-(S2069)*((S2069)*(V2069)-(U2069)*(T2069))+(LTP3!$D$6)*((S2069)*(R2069)-(P2069)*(T2069)))/W2069,0)</f>
        <v/>
      </c>
      <c r="AA2069">
        <f>LTP3!$D$7-X2069*LTP3!$D$6-Y2069*U2069-Z2069*V2069</f>
        <v/>
      </c>
      <c r="AB2069">
        <f>IF(AND(F2069,ABS(W2069)&gt;1E-12,Y2069&gt;0,Z2069&gt;0),AA2069,1E+300)</f>
        <v/>
      </c>
    </row>
    <row r="2070">
      <c r="A2070">
        <f>$B$3+$B$5*33</f>
        <v/>
      </c>
      <c r="B2070">
        <f>$B$3+$B$5*45</f>
        <v/>
      </c>
      <c r="C2070">
        <f>SUMPRODUCT(Calc!$K$3:$K$22*(Calc!$G$3:$G$22&lt;=A2070))</f>
        <v/>
      </c>
      <c r="D2070">
        <f>SUMPRODUCT(Calc!$K$3:$K$22*(Calc!$G$3:$G$22&gt;A2070)*(Calc!$G$3:$G$22&lt;B2070))</f>
        <v/>
      </c>
      <c r="E2070">
        <f>SUMPRODUCT(Calc!$K$3:$K$22*(Calc!$G$3:$G$22&gt;=B2070))</f>
        <v/>
      </c>
      <c r="F2070">
        <f>AND(k_n&gt;=5,B2070&gt;A2070+1E-9,C2070&gt;=2,D2070&gt;=1,E2070&gt;=2)</f>
        <v/>
      </c>
      <c r="G2070">
        <f>SUMPRODUCT(Calc!$K$3:$K$22*(Calc!$G$3:$G$22&gt;A2070)*(Calc!$G$3:$G$22-A2070))</f>
        <v/>
      </c>
      <c r="H2070">
        <f>SUMPRODUCT(Calc!$K$3:$K$22*(Calc!$G$3:$G$22&gt;B2070)*(Calc!$G$3:$G$22-B2070))</f>
        <v/>
      </c>
      <c r="I2070">
        <f>SUMPRODUCT(Calc!$K$3:$K$22*(Calc!$G$3:$G$22&gt;A2070)*(Calc!$G$3:$G$22-A2070)^2)</f>
        <v/>
      </c>
      <c r="J2070">
        <f>SUMPRODUCT(Calc!$K$3:$K$22*(Calc!$G$3:$G$22&gt;B2070)*(Calc!$G$3:$G$22-B2070)^2)</f>
        <v/>
      </c>
      <c r="K2070">
        <f>SUMPRODUCT(Calc!$K$3:$K$22*(Calc!$G$3:$G$22&gt;A2070)*(Calc!$G$3:$G$22-A2070)*(Calc!$G$3:$G$22&gt;B2070)*(Calc!$G$3:$G$22-B2070))</f>
        <v/>
      </c>
      <c r="L2070">
        <f>SUMPRODUCT(Calc!$K$3:$K$22*(Calc!$G$3:$G$22&gt;A2070)*(Calc!$G$3:$G$22-A2070)*Calc!$G$3:$G$22)</f>
        <v/>
      </c>
      <c r="M2070">
        <f>SUMPRODUCT(Calc!$K$3:$K$22*(Calc!$G$3:$G$22&gt;B2070)*(Calc!$G$3:$G$22-B2070)*Calc!$G$3:$G$22)</f>
        <v/>
      </c>
      <c r="N2070">
        <f>SUMPRODUCT(Calc!$K$3:$K$22*(Calc!$G$3:$G$22&gt;A2070)*(Calc!$G$3:$G$22-A2070)*Calc!$I$3:$I$22)</f>
        <v/>
      </c>
      <c r="O2070">
        <f>SUMPRODUCT(Calc!$K$3:$K$22*(Calc!$G$3:$G$22&gt;B2070)*(Calc!$G$3:$G$22-B2070)*Calc!$I$3:$I$22)</f>
        <v/>
      </c>
      <c r="P2070">
        <f>I2070-G2070^2/k_n</f>
        <v/>
      </c>
      <c r="Q2070">
        <f>J2070-H2070^2/k_n</f>
        <v/>
      </c>
      <c r="R2070">
        <f>K2070-G2070*H2070/k_n</f>
        <v/>
      </c>
      <c r="S2070">
        <f>L2070-LTP3!$D$3*G2070/k_n</f>
        <v/>
      </c>
      <c r="T2070">
        <f>M2070-LTP3!$D$3*H2070/k_n</f>
        <v/>
      </c>
      <c r="U2070">
        <f>N2070-G2070*LTP3!$D$4/k_n</f>
        <v/>
      </c>
      <c r="V2070">
        <f>O2070-H2070*LTP3!$D$4/k_n</f>
        <v/>
      </c>
      <c r="W2070">
        <f>((LTP3!$D$5)*((P2070)*(Q2070)-(R2070)*(R2070))-(S2070)*((S2070)*(Q2070)-(R2070)*(T2070))+(T2070)*((S2070)*(R2070)-(P2070)*(T2070)))</f>
        <v/>
      </c>
      <c r="X2070">
        <f>IF(ABS(W2070)&gt;1E-12,((LTP3!$D$6)*((P2070)*(Q2070)-(R2070)*(R2070))-(S2070)*((U2070)*(Q2070)-(R2070)*(V2070))+(T2070)*((U2070)*(R2070)-(P2070)*(V2070)))/W2070,0)</f>
        <v/>
      </c>
      <c r="Y2070">
        <f>IF(ABS(W2070)&gt;1E-12,((LTP3!$D$5)*((U2070)*(Q2070)-(R2070)*(V2070))-(LTP3!$D$6)*((S2070)*(Q2070)-(R2070)*(T2070))+(T2070)*((S2070)*(V2070)-(U2070)*(T2070)))/W2070,0)</f>
        <v/>
      </c>
      <c r="Z2070">
        <f>IF(ABS(W2070)&gt;1E-12,((LTP3!$D$5)*((P2070)*(V2070)-(U2070)*(R2070))-(S2070)*((S2070)*(V2070)-(U2070)*(T2070))+(LTP3!$D$6)*((S2070)*(R2070)-(P2070)*(T2070)))/W2070,0)</f>
        <v/>
      </c>
      <c r="AA2070">
        <f>LTP3!$D$7-X2070*LTP3!$D$6-Y2070*U2070-Z2070*V2070</f>
        <v/>
      </c>
      <c r="AB2070">
        <f>IF(AND(F2070,ABS(W2070)&gt;1E-12,Y2070&gt;0,Z2070&gt;0),AA2070,1E+300)</f>
        <v/>
      </c>
    </row>
    <row r="2071">
      <c r="A2071">
        <f>$B$3+$B$5*33</f>
        <v/>
      </c>
      <c r="B2071">
        <f>$B$3+$B$5*46</f>
        <v/>
      </c>
      <c r="C2071">
        <f>SUMPRODUCT(Calc!$K$3:$K$22*(Calc!$G$3:$G$22&lt;=A2071))</f>
        <v/>
      </c>
      <c r="D2071">
        <f>SUMPRODUCT(Calc!$K$3:$K$22*(Calc!$G$3:$G$22&gt;A2071)*(Calc!$G$3:$G$22&lt;B2071))</f>
        <v/>
      </c>
      <c r="E2071">
        <f>SUMPRODUCT(Calc!$K$3:$K$22*(Calc!$G$3:$G$22&gt;=B2071))</f>
        <v/>
      </c>
      <c r="F2071">
        <f>AND(k_n&gt;=5,B2071&gt;A2071+1E-9,C2071&gt;=2,D2071&gt;=1,E2071&gt;=2)</f>
        <v/>
      </c>
      <c r="G2071">
        <f>SUMPRODUCT(Calc!$K$3:$K$22*(Calc!$G$3:$G$22&gt;A2071)*(Calc!$G$3:$G$22-A2071))</f>
        <v/>
      </c>
      <c r="H2071">
        <f>SUMPRODUCT(Calc!$K$3:$K$22*(Calc!$G$3:$G$22&gt;B2071)*(Calc!$G$3:$G$22-B2071))</f>
        <v/>
      </c>
      <c r="I2071">
        <f>SUMPRODUCT(Calc!$K$3:$K$22*(Calc!$G$3:$G$22&gt;A2071)*(Calc!$G$3:$G$22-A2071)^2)</f>
        <v/>
      </c>
      <c r="J2071">
        <f>SUMPRODUCT(Calc!$K$3:$K$22*(Calc!$G$3:$G$22&gt;B2071)*(Calc!$G$3:$G$22-B2071)^2)</f>
        <v/>
      </c>
      <c r="K2071">
        <f>SUMPRODUCT(Calc!$K$3:$K$22*(Calc!$G$3:$G$22&gt;A2071)*(Calc!$G$3:$G$22-A2071)*(Calc!$G$3:$G$22&gt;B2071)*(Calc!$G$3:$G$22-B2071))</f>
        <v/>
      </c>
      <c r="L2071">
        <f>SUMPRODUCT(Calc!$K$3:$K$22*(Calc!$G$3:$G$22&gt;A2071)*(Calc!$G$3:$G$22-A2071)*Calc!$G$3:$G$22)</f>
        <v/>
      </c>
      <c r="M2071">
        <f>SUMPRODUCT(Calc!$K$3:$K$22*(Calc!$G$3:$G$22&gt;B2071)*(Calc!$G$3:$G$22-B2071)*Calc!$G$3:$G$22)</f>
        <v/>
      </c>
      <c r="N2071">
        <f>SUMPRODUCT(Calc!$K$3:$K$22*(Calc!$G$3:$G$22&gt;A2071)*(Calc!$G$3:$G$22-A2071)*Calc!$I$3:$I$22)</f>
        <v/>
      </c>
      <c r="O2071">
        <f>SUMPRODUCT(Calc!$K$3:$K$22*(Calc!$G$3:$G$22&gt;B2071)*(Calc!$G$3:$G$22-B2071)*Calc!$I$3:$I$22)</f>
        <v/>
      </c>
      <c r="P2071">
        <f>I2071-G2071^2/k_n</f>
        <v/>
      </c>
      <c r="Q2071">
        <f>J2071-H2071^2/k_n</f>
        <v/>
      </c>
      <c r="R2071">
        <f>K2071-G2071*H2071/k_n</f>
        <v/>
      </c>
      <c r="S2071">
        <f>L2071-LTP3!$D$3*G2071/k_n</f>
        <v/>
      </c>
      <c r="T2071">
        <f>M2071-LTP3!$D$3*H2071/k_n</f>
        <v/>
      </c>
      <c r="U2071">
        <f>N2071-G2071*LTP3!$D$4/k_n</f>
        <v/>
      </c>
      <c r="V2071">
        <f>O2071-H2071*LTP3!$D$4/k_n</f>
        <v/>
      </c>
      <c r="W2071">
        <f>((LTP3!$D$5)*((P2071)*(Q2071)-(R2071)*(R2071))-(S2071)*((S2071)*(Q2071)-(R2071)*(T2071))+(T2071)*((S2071)*(R2071)-(P2071)*(T2071)))</f>
        <v/>
      </c>
      <c r="X2071">
        <f>IF(ABS(W2071)&gt;1E-12,((LTP3!$D$6)*((P2071)*(Q2071)-(R2071)*(R2071))-(S2071)*((U2071)*(Q2071)-(R2071)*(V2071))+(T2071)*((U2071)*(R2071)-(P2071)*(V2071)))/W2071,0)</f>
        <v/>
      </c>
      <c r="Y2071">
        <f>IF(ABS(W2071)&gt;1E-12,((LTP3!$D$5)*((U2071)*(Q2071)-(R2071)*(V2071))-(LTP3!$D$6)*((S2071)*(Q2071)-(R2071)*(T2071))+(T2071)*((S2071)*(V2071)-(U2071)*(T2071)))/W2071,0)</f>
        <v/>
      </c>
      <c r="Z2071">
        <f>IF(ABS(W2071)&gt;1E-12,((LTP3!$D$5)*((P2071)*(V2071)-(U2071)*(R2071))-(S2071)*((S2071)*(V2071)-(U2071)*(T2071))+(LTP3!$D$6)*((S2071)*(R2071)-(P2071)*(T2071)))/W2071,0)</f>
        <v/>
      </c>
      <c r="AA2071">
        <f>LTP3!$D$7-X2071*LTP3!$D$6-Y2071*U2071-Z2071*V2071</f>
        <v/>
      </c>
      <c r="AB2071">
        <f>IF(AND(F2071,ABS(W2071)&gt;1E-12,Y2071&gt;0,Z2071&gt;0),AA2071,1E+300)</f>
        <v/>
      </c>
    </row>
    <row r="2072">
      <c r="A2072">
        <f>$B$3+$B$5*33</f>
        <v/>
      </c>
      <c r="B2072">
        <f>$B$3+$B$5*47</f>
        <v/>
      </c>
      <c r="C2072">
        <f>SUMPRODUCT(Calc!$K$3:$K$22*(Calc!$G$3:$G$22&lt;=A2072))</f>
        <v/>
      </c>
      <c r="D2072">
        <f>SUMPRODUCT(Calc!$K$3:$K$22*(Calc!$G$3:$G$22&gt;A2072)*(Calc!$G$3:$G$22&lt;B2072))</f>
        <v/>
      </c>
      <c r="E2072">
        <f>SUMPRODUCT(Calc!$K$3:$K$22*(Calc!$G$3:$G$22&gt;=B2072))</f>
        <v/>
      </c>
      <c r="F2072">
        <f>AND(k_n&gt;=5,B2072&gt;A2072+1E-9,C2072&gt;=2,D2072&gt;=1,E2072&gt;=2)</f>
        <v/>
      </c>
      <c r="G2072">
        <f>SUMPRODUCT(Calc!$K$3:$K$22*(Calc!$G$3:$G$22&gt;A2072)*(Calc!$G$3:$G$22-A2072))</f>
        <v/>
      </c>
      <c r="H2072">
        <f>SUMPRODUCT(Calc!$K$3:$K$22*(Calc!$G$3:$G$22&gt;B2072)*(Calc!$G$3:$G$22-B2072))</f>
        <v/>
      </c>
      <c r="I2072">
        <f>SUMPRODUCT(Calc!$K$3:$K$22*(Calc!$G$3:$G$22&gt;A2072)*(Calc!$G$3:$G$22-A2072)^2)</f>
        <v/>
      </c>
      <c r="J2072">
        <f>SUMPRODUCT(Calc!$K$3:$K$22*(Calc!$G$3:$G$22&gt;B2072)*(Calc!$G$3:$G$22-B2072)^2)</f>
        <v/>
      </c>
      <c r="K2072">
        <f>SUMPRODUCT(Calc!$K$3:$K$22*(Calc!$G$3:$G$22&gt;A2072)*(Calc!$G$3:$G$22-A2072)*(Calc!$G$3:$G$22&gt;B2072)*(Calc!$G$3:$G$22-B2072))</f>
        <v/>
      </c>
      <c r="L2072">
        <f>SUMPRODUCT(Calc!$K$3:$K$22*(Calc!$G$3:$G$22&gt;A2072)*(Calc!$G$3:$G$22-A2072)*Calc!$G$3:$G$22)</f>
        <v/>
      </c>
      <c r="M2072">
        <f>SUMPRODUCT(Calc!$K$3:$K$22*(Calc!$G$3:$G$22&gt;B2072)*(Calc!$G$3:$G$22-B2072)*Calc!$G$3:$G$22)</f>
        <v/>
      </c>
      <c r="N2072">
        <f>SUMPRODUCT(Calc!$K$3:$K$22*(Calc!$G$3:$G$22&gt;A2072)*(Calc!$G$3:$G$22-A2072)*Calc!$I$3:$I$22)</f>
        <v/>
      </c>
      <c r="O2072">
        <f>SUMPRODUCT(Calc!$K$3:$K$22*(Calc!$G$3:$G$22&gt;B2072)*(Calc!$G$3:$G$22-B2072)*Calc!$I$3:$I$22)</f>
        <v/>
      </c>
      <c r="P2072">
        <f>I2072-G2072^2/k_n</f>
        <v/>
      </c>
      <c r="Q2072">
        <f>J2072-H2072^2/k_n</f>
        <v/>
      </c>
      <c r="R2072">
        <f>K2072-G2072*H2072/k_n</f>
        <v/>
      </c>
      <c r="S2072">
        <f>L2072-LTP3!$D$3*G2072/k_n</f>
        <v/>
      </c>
      <c r="T2072">
        <f>M2072-LTP3!$D$3*H2072/k_n</f>
        <v/>
      </c>
      <c r="U2072">
        <f>N2072-G2072*LTP3!$D$4/k_n</f>
        <v/>
      </c>
      <c r="V2072">
        <f>O2072-H2072*LTP3!$D$4/k_n</f>
        <v/>
      </c>
      <c r="W2072">
        <f>((LTP3!$D$5)*((P2072)*(Q2072)-(R2072)*(R2072))-(S2072)*((S2072)*(Q2072)-(R2072)*(T2072))+(T2072)*((S2072)*(R2072)-(P2072)*(T2072)))</f>
        <v/>
      </c>
      <c r="X2072">
        <f>IF(ABS(W2072)&gt;1E-12,((LTP3!$D$6)*((P2072)*(Q2072)-(R2072)*(R2072))-(S2072)*((U2072)*(Q2072)-(R2072)*(V2072))+(T2072)*((U2072)*(R2072)-(P2072)*(V2072)))/W2072,0)</f>
        <v/>
      </c>
      <c r="Y2072">
        <f>IF(ABS(W2072)&gt;1E-12,((LTP3!$D$5)*((U2072)*(Q2072)-(R2072)*(V2072))-(LTP3!$D$6)*((S2072)*(Q2072)-(R2072)*(T2072))+(T2072)*((S2072)*(V2072)-(U2072)*(T2072)))/W2072,0)</f>
        <v/>
      </c>
      <c r="Z2072">
        <f>IF(ABS(W2072)&gt;1E-12,((LTP3!$D$5)*((P2072)*(V2072)-(U2072)*(R2072))-(S2072)*((S2072)*(V2072)-(U2072)*(T2072))+(LTP3!$D$6)*((S2072)*(R2072)-(P2072)*(T2072)))/W2072,0)</f>
        <v/>
      </c>
      <c r="AA2072">
        <f>LTP3!$D$7-X2072*LTP3!$D$6-Y2072*U2072-Z2072*V2072</f>
        <v/>
      </c>
      <c r="AB2072">
        <f>IF(AND(F2072,ABS(W2072)&gt;1E-12,Y2072&gt;0,Z2072&gt;0),AA2072,1E+300)</f>
        <v/>
      </c>
    </row>
    <row r="2073">
      <c r="A2073">
        <f>$B$3+$B$5*33</f>
        <v/>
      </c>
      <c r="B2073">
        <f>$B$3+$B$5*48</f>
        <v/>
      </c>
      <c r="C2073">
        <f>SUMPRODUCT(Calc!$K$3:$K$22*(Calc!$G$3:$G$22&lt;=A2073))</f>
        <v/>
      </c>
      <c r="D2073">
        <f>SUMPRODUCT(Calc!$K$3:$K$22*(Calc!$G$3:$G$22&gt;A2073)*(Calc!$G$3:$G$22&lt;B2073))</f>
        <v/>
      </c>
      <c r="E2073">
        <f>SUMPRODUCT(Calc!$K$3:$K$22*(Calc!$G$3:$G$22&gt;=B2073))</f>
        <v/>
      </c>
      <c r="F2073">
        <f>AND(k_n&gt;=5,B2073&gt;A2073+1E-9,C2073&gt;=2,D2073&gt;=1,E2073&gt;=2)</f>
        <v/>
      </c>
      <c r="G2073">
        <f>SUMPRODUCT(Calc!$K$3:$K$22*(Calc!$G$3:$G$22&gt;A2073)*(Calc!$G$3:$G$22-A2073))</f>
        <v/>
      </c>
      <c r="H2073">
        <f>SUMPRODUCT(Calc!$K$3:$K$22*(Calc!$G$3:$G$22&gt;B2073)*(Calc!$G$3:$G$22-B2073))</f>
        <v/>
      </c>
      <c r="I2073">
        <f>SUMPRODUCT(Calc!$K$3:$K$22*(Calc!$G$3:$G$22&gt;A2073)*(Calc!$G$3:$G$22-A2073)^2)</f>
        <v/>
      </c>
      <c r="J2073">
        <f>SUMPRODUCT(Calc!$K$3:$K$22*(Calc!$G$3:$G$22&gt;B2073)*(Calc!$G$3:$G$22-B2073)^2)</f>
        <v/>
      </c>
      <c r="K2073">
        <f>SUMPRODUCT(Calc!$K$3:$K$22*(Calc!$G$3:$G$22&gt;A2073)*(Calc!$G$3:$G$22-A2073)*(Calc!$G$3:$G$22&gt;B2073)*(Calc!$G$3:$G$22-B2073))</f>
        <v/>
      </c>
      <c r="L2073">
        <f>SUMPRODUCT(Calc!$K$3:$K$22*(Calc!$G$3:$G$22&gt;A2073)*(Calc!$G$3:$G$22-A2073)*Calc!$G$3:$G$22)</f>
        <v/>
      </c>
      <c r="M2073">
        <f>SUMPRODUCT(Calc!$K$3:$K$22*(Calc!$G$3:$G$22&gt;B2073)*(Calc!$G$3:$G$22-B2073)*Calc!$G$3:$G$22)</f>
        <v/>
      </c>
      <c r="N2073">
        <f>SUMPRODUCT(Calc!$K$3:$K$22*(Calc!$G$3:$G$22&gt;A2073)*(Calc!$G$3:$G$22-A2073)*Calc!$I$3:$I$22)</f>
        <v/>
      </c>
      <c r="O2073">
        <f>SUMPRODUCT(Calc!$K$3:$K$22*(Calc!$G$3:$G$22&gt;B2073)*(Calc!$G$3:$G$22-B2073)*Calc!$I$3:$I$22)</f>
        <v/>
      </c>
      <c r="P2073">
        <f>I2073-G2073^2/k_n</f>
        <v/>
      </c>
      <c r="Q2073">
        <f>J2073-H2073^2/k_n</f>
        <v/>
      </c>
      <c r="R2073">
        <f>K2073-G2073*H2073/k_n</f>
        <v/>
      </c>
      <c r="S2073">
        <f>L2073-LTP3!$D$3*G2073/k_n</f>
        <v/>
      </c>
      <c r="T2073">
        <f>M2073-LTP3!$D$3*H2073/k_n</f>
        <v/>
      </c>
      <c r="U2073">
        <f>N2073-G2073*LTP3!$D$4/k_n</f>
        <v/>
      </c>
      <c r="V2073">
        <f>O2073-H2073*LTP3!$D$4/k_n</f>
        <v/>
      </c>
      <c r="W2073">
        <f>((LTP3!$D$5)*((P2073)*(Q2073)-(R2073)*(R2073))-(S2073)*((S2073)*(Q2073)-(R2073)*(T2073))+(T2073)*((S2073)*(R2073)-(P2073)*(T2073)))</f>
        <v/>
      </c>
      <c r="X2073">
        <f>IF(ABS(W2073)&gt;1E-12,((LTP3!$D$6)*((P2073)*(Q2073)-(R2073)*(R2073))-(S2073)*((U2073)*(Q2073)-(R2073)*(V2073))+(T2073)*((U2073)*(R2073)-(P2073)*(V2073)))/W2073,0)</f>
        <v/>
      </c>
      <c r="Y2073">
        <f>IF(ABS(W2073)&gt;1E-12,((LTP3!$D$5)*((U2073)*(Q2073)-(R2073)*(V2073))-(LTP3!$D$6)*((S2073)*(Q2073)-(R2073)*(T2073))+(T2073)*((S2073)*(V2073)-(U2073)*(T2073)))/W2073,0)</f>
        <v/>
      </c>
      <c r="Z2073">
        <f>IF(ABS(W2073)&gt;1E-12,((LTP3!$D$5)*((P2073)*(V2073)-(U2073)*(R2073))-(S2073)*((S2073)*(V2073)-(U2073)*(T2073))+(LTP3!$D$6)*((S2073)*(R2073)-(P2073)*(T2073)))/W2073,0)</f>
        <v/>
      </c>
      <c r="AA2073">
        <f>LTP3!$D$7-X2073*LTP3!$D$6-Y2073*U2073-Z2073*V2073</f>
        <v/>
      </c>
      <c r="AB2073">
        <f>IF(AND(F2073,ABS(W2073)&gt;1E-12,Y2073&gt;0,Z2073&gt;0),AA2073,1E+300)</f>
        <v/>
      </c>
    </row>
    <row r="2074">
      <c r="A2074">
        <f>$B$3+$B$5*33</f>
        <v/>
      </c>
      <c r="B2074">
        <f>$B$3+$B$5*49</f>
        <v/>
      </c>
      <c r="C2074">
        <f>SUMPRODUCT(Calc!$K$3:$K$22*(Calc!$G$3:$G$22&lt;=A2074))</f>
        <v/>
      </c>
      <c r="D2074">
        <f>SUMPRODUCT(Calc!$K$3:$K$22*(Calc!$G$3:$G$22&gt;A2074)*(Calc!$G$3:$G$22&lt;B2074))</f>
        <v/>
      </c>
      <c r="E2074">
        <f>SUMPRODUCT(Calc!$K$3:$K$22*(Calc!$G$3:$G$22&gt;=B2074))</f>
        <v/>
      </c>
      <c r="F2074">
        <f>AND(k_n&gt;=5,B2074&gt;A2074+1E-9,C2074&gt;=2,D2074&gt;=1,E2074&gt;=2)</f>
        <v/>
      </c>
      <c r="G2074">
        <f>SUMPRODUCT(Calc!$K$3:$K$22*(Calc!$G$3:$G$22&gt;A2074)*(Calc!$G$3:$G$22-A2074))</f>
        <v/>
      </c>
      <c r="H2074">
        <f>SUMPRODUCT(Calc!$K$3:$K$22*(Calc!$G$3:$G$22&gt;B2074)*(Calc!$G$3:$G$22-B2074))</f>
        <v/>
      </c>
      <c r="I2074">
        <f>SUMPRODUCT(Calc!$K$3:$K$22*(Calc!$G$3:$G$22&gt;A2074)*(Calc!$G$3:$G$22-A2074)^2)</f>
        <v/>
      </c>
      <c r="J2074">
        <f>SUMPRODUCT(Calc!$K$3:$K$22*(Calc!$G$3:$G$22&gt;B2074)*(Calc!$G$3:$G$22-B2074)^2)</f>
        <v/>
      </c>
      <c r="K2074">
        <f>SUMPRODUCT(Calc!$K$3:$K$22*(Calc!$G$3:$G$22&gt;A2074)*(Calc!$G$3:$G$22-A2074)*(Calc!$G$3:$G$22&gt;B2074)*(Calc!$G$3:$G$22-B2074))</f>
        <v/>
      </c>
      <c r="L2074">
        <f>SUMPRODUCT(Calc!$K$3:$K$22*(Calc!$G$3:$G$22&gt;A2074)*(Calc!$G$3:$G$22-A2074)*Calc!$G$3:$G$22)</f>
        <v/>
      </c>
      <c r="M2074">
        <f>SUMPRODUCT(Calc!$K$3:$K$22*(Calc!$G$3:$G$22&gt;B2074)*(Calc!$G$3:$G$22-B2074)*Calc!$G$3:$G$22)</f>
        <v/>
      </c>
      <c r="N2074">
        <f>SUMPRODUCT(Calc!$K$3:$K$22*(Calc!$G$3:$G$22&gt;A2074)*(Calc!$G$3:$G$22-A2074)*Calc!$I$3:$I$22)</f>
        <v/>
      </c>
      <c r="O2074">
        <f>SUMPRODUCT(Calc!$K$3:$K$22*(Calc!$G$3:$G$22&gt;B2074)*(Calc!$G$3:$G$22-B2074)*Calc!$I$3:$I$22)</f>
        <v/>
      </c>
      <c r="P2074">
        <f>I2074-G2074^2/k_n</f>
        <v/>
      </c>
      <c r="Q2074">
        <f>J2074-H2074^2/k_n</f>
        <v/>
      </c>
      <c r="R2074">
        <f>K2074-G2074*H2074/k_n</f>
        <v/>
      </c>
      <c r="S2074">
        <f>L2074-LTP3!$D$3*G2074/k_n</f>
        <v/>
      </c>
      <c r="T2074">
        <f>M2074-LTP3!$D$3*H2074/k_n</f>
        <v/>
      </c>
      <c r="U2074">
        <f>N2074-G2074*LTP3!$D$4/k_n</f>
        <v/>
      </c>
      <c r="V2074">
        <f>O2074-H2074*LTP3!$D$4/k_n</f>
        <v/>
      </c>
      <c r="W2074">
        <f>((LTP3!$D$5)*((P2074)*(Q2074)-(R2074)*(R2074))-(S2074)*((S2074)*(Q2074)-(R2074)*(T2074))+(T2074)*((S2074)*(R2074)-(P2074)*(T2074)))</f>
        <v/>
      </c>
      <c r="X2074">
        <f>IF(ABS(W2074)&gt;1E-12,((LTP3!$D$6)*((P2074)*(Q2074)-(R2074)*(R2074))-(S2074)*((U2074)*(Q2074)-(R2074)*(V2074))+(T2074)*((U2074)*(R2074)-(P2074)*(V2074)))/W2074,0)</f>
        <v/>
      </c>
      <c r="Y2074">
        <f>IF(ABS(W2074)&gt;1E-12,((LTP3!$D$5)*((U2074)*(Q2074)-(R2074)*(V2074))-(LTP3!$D$6)*((S2074)*(Q2074)-(R2074)*(T2074))+(T2074)*((S2074)*(V2074)-(U2074)*(T2074)))/W2074,0)</f>
        <v/>
      </c>
      <c r="Z2074">
        <f>IF(ABS(W2074)&gt;1E-12,((LTP3!$D$5)*((P2074)*(V2074)-(U2074)*(R2074))-(S2074)*((S2074)*(V2074)-(U2074)*(T2074))+(LTP3!$D$6)*((S2074)*(R2074)-(P2074)*(T2074)))/W2074,0)</f>
        <v/>
      </c>
      <c r="AA2074">
        <f>LTP3!$D$7-X2074*LTP3!$D$6-Y2074*U2074-Z2074*V2074</f>
        <v/>
      </c>
      <c r="AB2074">
        <f>IF(AND(F2074,ABS(W2074)&gt;1E-12,Y2074&gt;0,Z2074&gt;0),AA2074,1E+300)</f>
        <v/>
      </c>
    </row>
    <row r="2075">
      <c r="A2075">
        <f>$B$3+$B$5*33</f>
        <v/>
      </c>
      <c r="B2075">
        <f>$B$3+$B$5*50</f>
        <v/>
      </c>
      <c r="C2075">
        <f>SUMPRODUCT(Calc!$K$3:$K$22*(Calc!$G$3:$G$22&lt;=A2075))</f>
        <v/>
      </c>
      <c r="D2075">
        <f>SUMPRODUCT(Calc!$K$3:$K$22*(Calc!$G$3:$G$22&gt;A2075)*(Calc!$G$3:$G$22&lt;B2075))</f>
        <v/>
      </c>
      <c r="E2075">
        <f>SUMPRODUCT(Calc!$K$3:$K$22*(Calc!$G$3:$G$22&gt;=B2075))</f>
        <v/>
      </c>
      <c r="F2075">
        <f>AND(k_n&gt;=5,B2075&gt;A2075+1E-9,C2075&gt;=2,D2075&gt;=1,E2075&gt;=2)</f>
        <v/>
      </c>
      <c r="G2075">
        <f>SUMPRODUCT(Calc!$K$3:$K$22*(Calc!$G$3:$G$22&gt;A2075)*(Calc!$G$3:$G$22-A2075))</f>
        <v/>
      </c>
      <c r="H2075">
        <f>SUMPRODUCT(Calc!$K$3:$K$22*(Calc!$G$3:$G$22&gt;B2075)*(Calc!$G$3:$G$22-B2075))</f>
        <v/>
      </c>
      <c r="I2075">
        <f>SUMPRODUCT(Calc!$K$3:$K$22*(Calc!$G$3:$G$22&gt;A2075)*(Calc!$G$3:$G$22-A2075)^2)</f>
        <v/>
      </c>
      <c r="J2075">
        <f>SUMPRODUCT(Calc!$K$3:$K$22*(Calc!$G$3:$G$22&gt;B2075)*(Calc!$G$3:$G$22-B2075)^2)</f>
        <v/>
      </c>
      <c r="K2075">
        <f>SUMPRODUCT(Calc!$K$3:$K$22*(Calc!$G$3:$G$22&gt;A2075)*(Calc!$G$3:$G$22-A2075)*(Calc!$G$3:$G$22&gt;B2075)*(Calc!$G$3:$G$22-B2075))</f>
        <v/>
      </c>
      <c r="L2075">
        <f>SUMPRODUCT(Calc!$K$3:$K$22*(Calc!$G$3:$G$22&gt;A2075)*(Calc!$G$3:$G$22-A2075)*Calc!$G$3:$G$22)</f>
        <v/>
      </c>
      <c r="M2075">
        <f>SUMPRODUCT(Calc!$K$3:$K$22*(Calc!$G$3:$G$22&gt;B2075)*(Calc!$G$3:$G$22-B2075)*Calc!$G$3:$G$22)</f>
        <v/>
      </c>
      <c r="N2075">
        <f>SUMPRODUCT(Calc!$K$3:$K$22*(Calc!$G$3:$G$22&gt;A2075)*(Calc!$G$3:$G$22-A2075)*Calc!$I$3:$I$22)</f>
        <v/>
      </c>
      <c r="O2075">
        <f>SUMPRODUCT(Calc!$K$3:$K$22*(Calc!$G$3:$G$22&gt;B2075)*(Calc!$G$3:$G$22-B2075)*Calc!$I$3:$I$22)</f>
        <v/>
      </c>
      <c r="P2075">
        <f>I2075-G2075^2/k_n</f>
        <v/>
      </c>
      <c r="Q2075">
        <f>J2075-H2075^2/k_n</f>
        <v/>
      </c>
      <c r="R2075">
        <f>K2075-G2075*H2075/k_n</f>
        <v/>
      </c>
      <c r="S2075">
        <f>L2075-LTP3!$D$3*G2075/k_n</f>
        <v/>
      </c>
      <c r="T2075">
        <f>M2075-LTP3!$D$3*H2075/k_n</f>
        <v/>
      </c>
      <c r="U2075">
        <f>N2075-G2075*LTP3!$D$4/k_n</f>
        <v/>
      </c>
      <c r="V2075">
        <f>O2075-H2075*LTP3!$D$4/k_n</f>
        <v/>
      </c>
      <c r="W2075">
        <f>((LTP3!$D$5)*((P2075)*(Q2075)-(R2075)*(R2075))-(S2075)*((S2075)*(Q2075)-(R2075)*(T2075))+(T2075)*((S2075)*(R2075)-(P2075)*(T2075)))</f>
        <v/>
      </c>
      <c r="X2075">
        <f>IF(ABS(W2075)&gt;1E-12,((LTP3!$D$6)*((P2075)*(Q2075)-(R2075)*(R2075))-(S2075)*((U2075)*(Q2075)-(R2075)*(V2075))+(T2075)*((U2075)*(R2075)-(P2075)*(V2075)))/W2075,0)</f>
        <v/>
      </c>
      <c r="Y2075">
        <f>IF(ABS(W2075)&gt;1E-12,((LTP3!$D$5)*((U2075)*(Q2075)-(R2075)*(V2075))-(LTP3!$D$6)*((S2075)*(Q2075)-(R2075)*(T2075))+(T2075)*((S2075)*(V2075)-(U2075)*(T2075)))/W2075,0)</f>
        <v/>
      </c>
      <c r="Z2075">
        <f>IF(ABS(W2075)&gt;1E-12,((LTP3!$D$5)*((P2075)*(V2075)-(U2075)*(R2075))-(S2075)*((S2075)*(V2075)-(U2075)*(T2075))+(LTP3!$D$6)*((S2075)*(R2075)-(P2075)*(T2075)))/W2075,0)</f>
        <v/>
      </c>
      <c r="AA2075">
        <f>LTP3!$D$7-X2075*LTP3!$D$6-Y2075*U2075-Z2075*V2075</f>
        <v/>
      </c>
      <c r="AB2075">
        <f>IF(AND(F2075,ABS(W2075)&gt;1E-12,Y2075&gt;0,Z2075&gt;0),AA2075,1E+300)</f>
        <v/>
      </c>
    </row>
    <row r="2076">
      <c r="A2076">
        <f>$B$3+$B$5*33</f>
        <v/>
      </c>
      <c r="B2076">
        <f>$B$3+$B$5*51</f>
        <v/>
      </c>
      <c r="C2076">
        <f>SUMPRODUCT(Calc!$K$3:$K$22*(Calc!$G$3:$G$22&lt;=A2076))</f>
        <v/>
      </c>
      <c r="D2076">
        <f>SUMPRODUCT(Calc!$K$3:$K$22*(Calc!$G$3:$G$22&gt;A2076)*(Calc!$G$3:$G$22&lt;B2076))</f>
        <v/>
      </c>
      <c r="E2076">
        <f>SUMPRODUCT(Calc!$K$3:$K$22*(Calc!$G$3:$G$22&gt;=B2076))</f>
        <v/>
      </c>
      <c r="F2076">
        <f>AND(k_n&gt;=5,B2076&gt;A2076+1E-9,C2076&gt;=2,D2076&gt;=1,E2076&gt;=2)</f>
        <v/>
      </c>
      <c r="G2076">
        <f>SUMPRODUCT(Calc!$K$3:$K$22*(Calc!$G$3:$G$22&gt;A2076)*(Calc!$G$3:$G$22-A2076))</f>
        <v/>
      </c>
      <c r="H2076">
        <f>SUMPRODUCT(Calc!$K$3:$K$22*(Calc!$G$3:$G$22&gt;B2076)*(Calc!$G$3:$G$22-B2076))</f>
        <v/>
      </c>
      <c r="I2076">
        <f>SUMPRODUCT(Calc!$K$3:$K$22*(Calc!$G$3:$G$22&gt;A2076)*(Calc!$G$3:$G$22-A2076)^2)</f>
        <v/>
      </c>
      <c r="J2076">
        <f>SUMPRODUCT(Calc!$K$3:$K$22*(Calc!$G$3:$G$22&gt;B2076)*(Calc!$G$3:$G$22-B2076)^2)</f>
        <v/>
      </c>
      <c r="K2076">
        <f>SUMPRODUCT(Calc!$K$3:$K$22*(Calc!$G$3:$G$22&gt;A2076)*(Calc!$G$3:$G$22-A2076)*(Calc!$G$3:$G$22&gt;B2076)*(Calc!$G$3:$G$22-B2076))</f>
        <v/>
      </c>
      <c r="L2076">
        <f>SUMPRODUCT(Calc!$K$3:$K$22*(Calc!$G$3:$G$22&gt;A2076)*(Calc!$G$3:$G$22-A2076)*Calc!$G$3:$G$22)</f>
        <v/>
      </c>
      <c r="M2076">
        <f>SUMPRODUCT(Calc!$K$3:$K$22*(Calc!$G$3:$G$22&gt;B2076)*(Calc!$G$3:$G$22-B2076)*Calc!$G$3:$G$22)</f>
        <v/>
      </c>
      <c r="N2076">
        <f>SUMPRODUCT(Calc!$K$3:$K$22*(Calc!$G$3:$G$22&gt;A2076)*(Calc!$G$3:$G$22-A2076)*Calc!$I$3:$I$22)</f>
        <v/>
      </c>
      <c r="O2076">
        <f>SUMPRODUCT(Calc!$K$3:$K$22*(Calc!$G$3:$G$22&gt;B2076)*(Calc!$G$3:$G$22-B2076)*Calc!$I$3:$I$22)</f>
        <v/>
      </c>
      <c r="P2076">
        <f>I2076-G2076^2/k_n</f>
        <v/>
      </c>
      <c r="Q2076">
        <f>J2076-H2076^2/k_n</f>
        <v/>
      </c>
      <c r="R2076">
        <f>K2076-G2076*H2076/k_n</f>
        <v/>
      </c>
      <c r="S2076">
        <f>L2076-LTP3!$D$3*G2076/k_n</f>
        <v/>
      </c>
      <c r="T2076">
        <f>M2076-LTP3!$D$3*H2076/k_n</f>
        <v/>
      </c>
      <c r="U2076">
        <f>N2076-G2076*LTP3!$D$4/k_n</f>
        <v/>
      </c>
      <c r="V2076">
        <f>O2076-H2076*LTP3!$D$4/k_n</f>
        <v/>
      </c>
      <c r="W2076">
        <f>((LTP3!$D$5)*((P2076)*(Q2076)-(R2076)*(R2076))-(S2076)*((S2076)*(Q2076)-(R2076)*(T2076))+(T2076)*((S2076)*(R2076)-(P2076)*(T2076)))</f>
        <v/>
      </c>
      <c r="X2076">
        <f>IF(ABS(W2076)&gt;1E-12,((LTP3!$D$6)*((P2076)*(Q2076)-(R2076)*(R2076))-(S2076)*((U2076)*(Q2076)-(R2076)*(V2076))+(T2076)*((U2076)*(R2076)-(P2076)*(V2076)))/W2076,0)</f>
        <v/>
      </c>
      <c r="Y2076">
        <f>IF(ABS(W2076)&gt;1E-12,((LTP3!$D$5)*((U2076)*(Q2076)-(R2076)*(V2076))-(LTP3!$D$6)*((S2076)*(Q2076)-(R2076)*(T2076))+(T2076)*((S2076)*(V2076)-(U2076)*(T2076)))/W2076,0)</f>
        <v/>
      </c>
      <c r="Z2076">
        <f>IF(ABS(W2076)&gt;1E-12,((LTP3!$D$5)*((P2076)*(V2076)-(U2076)*(R2076))-(S2076)*((S2076)*(V2076)-(U2076)*(T2076))+(LTP3!$D$6)*((S2076)*(R2076)-(P2076)*(T2076)))/W2076,0)</f>
        <v/>
      </c>
      <c r="AA2076">
        <f>LTP3!$D$7-X2076*LTP3!$D$6-Y2076*U2076-Z2076*V2076</f>
        <v/>
      </c>
      <c r="AB2076">
        <f>IF(AND(F2076,ABS(W2076)&gt;1E-12,Y2076&gt;0,Z2076&gt;0),AA2076,1E+300)</f>
        <v/>
      </c>
    </row>
    <row r="2077">
      <c r="A2077">
        <f>$B$3+$B$5*33</f>
        <v/>
      </c>
      <c r="B2077">
        <f>$B$3+$B$5*52</f>
        <v/>
      </c>
      <c r="C2077">
        <f>SUMPRODUCT(Calc!$K$3:$K$22*(Calc!$G$3:$G$22&lt;=A2077))</f>
        <v/>
      </c>
      <c r="D2077">
        <f>SUMPRODUCT(Calc!$K$3:$K$22*(Calc!$G$3:$G$22&gt;A2077)*(Calc!$G$3:$G$22&lt;B2077))</f>
        <v/>
      </c>
      <c r="E2077">
        <f>SUMPRODUCT(Calc!$K$3:$K$22*(Calc!$G$3:$G$22&gt;=B2077))</f>
        <v/>
      </c>
      <c r="F2077">
        <f>AND(k_n&gt;=5,B2077&gt;A2077+1E-9,C2077&gt;=2,D2077&gt;=1,E2077&gt;=2)</f>
        <v/>
      </c>
      <c r="G2077">
        <f>SUMPRODUCT(Calc!$K$3:$K$22*(Calc!$G$3:$G$22&gt;A2077)*(Calc!$G$3:$G$22-A2077))</f>
        <v/>
      </c>
      <c r="H2077">
        <f>SUMPRODUCT(Calc!$K$3:$K$22*(Calc!$G$3:$G$22&gt;B2077)*(Calc!$G$3:$G$22-B2077))</f>
        <v/>
      </c>
      <c r="I2077">
        <f>SUMPRODUCT(Calc!$K$3:$K$22*(Calc!$G$3:$G$22&gt;A2077)*(Calc!$G$3:$G$22-A2077)^2)</f>
        <v/>
      </c>
      <c r="J2077">
        <f>SUMPRODUCT(Calc!$K$3:$K$22*(Calc!$G$3:$G$22&gt;B2077)*(Calc!$G$3:$G$22-B2077)^2)</f>
        <v/>
      </c>
      <c r="K2077">
        <f>SUMPRODUCT(Calc!$K$3:$K$22*(Calc!$G$3:$G$22&gt;A2077)*(Calc!$G$3:$G$22-A2077)*(Calc!$G$3:$G$22&gt;B2077)*(Calc!$G$3:$G$22-B2077))</f>
        <v/>
      </c>
      <c r="L2077">
        <f>SUMPRODUCT(Calc!$K$3:$K$22*(Calc!$G$3:$G$22&gt;A2077)*(Calc!$G$3:$G$22-A2077)*Calc!$G$3:$G$22)</f>
        <v/>
      </c>
      <c r="M2077">
        <f>SUMPRODUCT(Calc!$K$3:$K$22*(Calc!$G$3:$G$22&gt;B2077)*(Calc!$G$3:$G$22-B2077)*Calc!$G$3:$G$22)</f>
        <v/>
      </c>
      <c r="N2077">
        <f>SUMPRODUCT(Calc!$K$3:$K$22*(Calc!$G$3:$G$22&gt;A2077)*(Calc!$G$3:$G$22-A2077)*Calc!$I$3:$I$22)</f>
        <v/>
      </c>
      <c r="O2077">
        <f>SUMPRODUCT(Calc!$K$3:$K$22*(Calc!$G$3:$G$22&gt;B2077)*(Calc!$G$3:$G$22-B2077)*Calc!$I$3:$I$22)</f>
        <v/>
      </c>
      <c r="P2077">
        <f>I2077-G2077^2/k_n</f>
        <v/>
      </c>
      <c r="Q2077">
        <f>J2077-H2077^2/k_n</f>
        <v/>
      </c>
      <c r="R2077">
        <f>K2077-G2077*H2077/k_n</f>
        <v/>
      </c>
      <c r="S2077">
        <f>L2077-LTP3!$D$3*G2077/k_n</f>
        <v/>
      </c>
      <c r="T2077">
        <f>M2077-LTP3!$D$3*H2077/k_n</f>
        <v/>
      </c>
      <c r="U2077">
        <f>N2077-G2077*LTP3!$D$4/k_n</f>
        <v/>
      </c>
      <c r="V2077">
        <f>O2077-H2077*LTP3!$D$4/k_n</f>
        <v/>
      </c>
      <c r="W2077">
        <f>((LTP3!$D$5)*((P2077)*(Q2077)-(R2077)*(R2077))-(S2077)*((S2077)*(Q2077)-(R2077)*(T2077))+(T2077)*((S2077)*(R2077)-(P2077)*(T2077)))</f>
        <v/>
      </c>
      <c r="X2077">
        <f>IF(ABS(W2077)&gt;1E-12,((LTP3!$D$6)*((P2077)*(Q2077)-(R2077)*(R2077))-(S2077)*((U2077)*(Q2077)-(R2077)*(V2077))+(T2077)*((U2077)*(R2077)-(P2077)*(V2077)))/W2077,0)</f>
        <v/>
      </c>
      <c r="Y2077">
        <f>IF(ABS(W2077)&gt;1E-12,((LTP3!$D$5)*((U2077)*(Q2077)-(R2077)*(V2077))-(LTP3!$D$6)*((S2077)*(Q2077)-(R2077)*(T2077))+(T2077)*((S2077)*(V2077)-(U2077)*(T2077)))/W2077,0)</f>
        <v/>
      </c>
      <c r="Z2077">
        <f>IF(ABS(W2077)&gt;1E-12,((LTP3!$D$5)*((P2077)*(V2077)-(U2077)*(R2077))-(S2077)*((S2077)*(V2077)-(U2077)*(T2077))+(LTP3!$D$6)*((S2077)*(R2077)-(P2077)*(T2077)))/W2077,0)</f>
        <v/>
      </c>
      <c r="AA2077">
        <f>LTP3!$D$7-X2077*LTP3!$D$6-Y2077*U2077-Z2077*V2077</f>
        <v/>
      </c>
      <c r="AB2077">
        <f>IF(AND(F2077,ABS(W2077)&gt;1E-12,Y2077&gt;0,Z2077&gt;0),AA2077,1E+300)</f>
        <v/>
      </c>
    </row>
    <row r="2078">
      <c r="A2078">
        <f>$B$3+$B$5*33</f>
        <v/>
      </c>
      <c r="B2078">
        <f>$B$3+$B$5*53</f>
        <v/>
      </c>
      <c r="C2078">
        <f>SUMPRODUCT(Calc!$K$3:$K$22*(Calc!$G$3:$G$22&lt;=A2078))</f>
        <v/>
      </c>
      <c r="D2078">
        <f>SUMPRODUCT(Calc!$K$3:$K$22*(Calc!$G$3:$G$22&gt;A2078)*(Calc!$G$3:$G$22&lt;B2078))</f>
        <v/>
      </c>
      <c r="E2078">
        <f>SUMPRODUCT(Calc!$K$3:$K$22*(Calc!$G$3:$G$22&gt;=B2078))</f>
        <v/>
      </c>
      <c r="F2078">
        <f>AND(k_n&gt;=5,B2078&gt;A2078+1E-9,C2078&gt;=2,D2078&gt;=1,E2078&gt;=2)</f>
        <v/>
      </c>
      <c r="G2078">
        <f>SUMPRODUCT(Calc!$K$3:$K$22*(Calc!$G$3:$G$22&gt;A2078)*(Calc!$G$3:$G$22-A2078))</f>
        <v/>
      </c>
      <c r="H2078">
        <f>SUMPRODUCT(Calc!$K$3:$K$22*(Calc!$G$3:$G$22&gt;B2078)*(Calc!$G$3:$G$22-B2078))</f>
        <v/>
      </c>
      <c r="I2078">
        <f>SUMPRODUCT(Calc!$K$3:$K$22*(Calc!$G$3:$G$22&gt;A2078)*(Calc!$G$3:$G$22-A2078)^2)</f>
        <v/>
      </c>
      <c r="J2078">
        <f>SUMPRODUCT(Calc!$K$3:$K$22*(Calc!$G$3:$G$22&gt;B2078)*(Calc!$G$3:$G$22-B2078)^2)</f>
        <v/>
      </c>
      <c r="K2078">
        <f>SUMPRODUCT(Calc!$K$3:$K$22*(Calc!$G$3:$G$22&gt;A2078)*(Calc!$G$3:$G$22-A2078)*(Calc!$G$3:$G$22&gt;B2078)*(Calc!$G$3:$G$22-B2078))</f>
        <v/>
      </c>
      <c r="L2078">
        <f>SUMPRODUCT(Calc!$K$3:$K$22*(Calc!$G$3:$G$22&gt;A2078)*(Calc!$G$3:$G$22-A2078)*Calc!$G$3:$G$22)</f>
        <v/>
      </c>
      <c r="M2078">
        <f>SUMPRODUCT(Calc!$K$3:$K$22*(Calc!$G$3:$G$22&gt;B2078)*(Calc!$G$3:$G$22-B2078)*Calc!$G$3:$G$22)</f>
        <v/>
      </c>
      <c r="N2078">
        <f>SUMPRODUCT(Calc!$K$3:$K$22*(Calc!$G$3:$G$22&gt;A2078)*(Calc!$G$3:$G$22-A2078)*Calc!$I$3:$I$22)</f>
        <v/>
      </c>
      <c r="O2078">
        <f>SUMPRODUCT(Calc!$K$3:$K$22*(Calc!$G$3:$G$22&gt;B2078)*(Calc!$G$3:$G$22-B2078)*Calc!$I$3:$I$22)</f>
        <v/>
      </c>
      <c r="P2078">
        <f>I2078-G2078^2/k_n</f>
        <v/>
      </c>
      <c r="Q2078">
        <f>J2078-H2078^2/k_n</f>
        <v/>
      </c>
      <c r="R2078">
        <f>K2078-G2078*H2078/k_n</f>
        <v/>
      </c>
      <c r="S2078">
        <f>L2078-LTP3!$D$3*G2078/k_n</f>
        <v/>
      </c>
      <c r="T2078">
        <f>M2078-LTP3!$D$3*H2078/k_n</f>
        <v/>
      </c>
      <c r="U2078">
        <f>N2078-G2078*LTP3!$D$4/k_n</f>
        <v/>
      </c>
      <c r="V2078">
        <f>O2078-H2078*LTP3!$D$4/k_n</f>
        <v/>
      </c>
      <c r="W2078">
        <f>((LTP3!$D$5)*((P2078)*(Q2078)-(R2078)*(R2078))-(S2078)*((S2078)*(Q2078)-(R2078)*(T2078))+(T2078)*((S2078)*(R2078)-(P2078)*(T2078)))</f>
        <v/>
      </c>
      <c r="X2078">
        <f>IF(ABS(W2078)&gt;1E-12,((LTP3!$D$6)*((P2078)*(Q2078)-(R2078)*(R2078))-(S2078)*((U2078)*(Q2078)-(R2078)*(V2078))+(T2078)*((U2078)*(R2078)-(P2078)*(V2078)))/W2078,0)</f>
        <v/>
      </c>
      <c r="Y2078">
        <f>IF(ABS(W2078)&gt;1E-12,((LTP3!$D$5)*((U2078)*(Q2078)-(R2078)*(V2078))-(LTP3!$D$6)*((S2078)*(Q2078)-(R2078)*(T2078))+(T2078)*((S2078)*(V2078)-(U2078)*(T2078)))/W2078,0)</f>
        <v/>
      </c>
      <c r="Z2078">
        <f>IF(ABS(W2078)&gt;1E-12,((LTP3!$D$5)*((P2078)*(V2078)-(U2078)*(R2078))-(S2078)*((S2078)*(V2078)-(U2078)*(T2078))+(LTP3!$D$6)*((S2078)*(R2078)-(P2078)*(T2078)))/W2078,0)</f>
        <v/>
      </c>
      <c r="AA2078">
        <f>LTP3!$D$7-X2078*LTP3!$D$6-Y2078*U2078-Z2078*V2078</f>
        <v/>
      </c>
      <c r="AB2078">
        <f>IF(AND(F2078,ABS(W2078)&gt;1E-12,Y2078&gt;0,Z2078&gt;0),AA2078,1E+300)</f>
        <v/>
      </c>
    </row>
    <row r="2079">
      <c r="A2079">
        <f>$B$3+$B$5*33</f>
        <v/>
      </c>
      <c r="B2079">
        <f>$B$3+$B$5*54</f>
        <v/>
      </c>
      <c r="C2079">
        <f>SUMPRODUCT(Calc!$K$3:$K$22*(Calc!$G$3:$G$22&lt;=A2079))</f>
        <v/>
      </c>
      <c r="D2079">
        <f>SUMPRODUCT(Calc!$K$3:$K$22*(Calc!$G$3:$G$22&gt;A2079)*(Calc!$G$3:$G$22&lt;B2079))</f>
        <v/>
      </c>
      <c r="E2079">
        <f>SUMPRODUCT(Calc!$K$3:$K$22*(Calc!$G$3:$G$22&gt;=B2079))</f>
        <v/>
      </c>
      <c r="F2079">
        <f>AND(k_n&gt;=5,B2079&gt;A2079+1E-9,C2079&gt;=2,D2079&gt;=1,E2079&gt;=2)</f>
        <v/>
      </c>
      <c r="G2079">
        <f>SUMPRODUCT(Calc!$K$3:$K$22*(Calc!$G$3:$G$22&gt;A2079)*(Calc!$G$3:$G$22-A2079))</f>
        <v/>
      </c>
      <c r="H2079">
        <f>SUMPRODUCT(Calc!$K$3:$K$22*(Calc!$G$3:$G$22&gt;B2079)*(Calc!$G$3:$G$22-B2079))</f>
        <v/>
      </c>
      <c r="I2079">
        <f>SUMPRODUCT(Calc!$K$3:$K$22*(Calc!$G$3:$G$22&gt;A2079)*(Calc!$G$3:$G$22-A2079)^2)</f>
        <v/>
      </c>
      <c r="J2079">
        <f>SUMPRODUCT(Calc!$K$3:$K$22*(Calc!$G$3:$G$22&gt;B2079)*(Calc!$G$3:$G$22-B2079)^2)</f>
        <v/>
      </c>
      <c r="K2079">
        <f>SUMPRODUCT(Calc!$K$3:$K$22*(Calc!$G$3:$G$22&gt;A2079)*(Calc!$G$3:$G$22-A2079)*(Calc!$G$3:$G$22&gt;B2079)*(Calc!$G$3:$G$22-B2079))</f>
        <v/>
      </c>
      <c r="L2079">
        <f>SUMPRODUCT(Calc!$K$3:$K$22*(Calc!$G$3:$G$22&gt;A2079)*(Calc!$G$3:$G$22-A2079)*Calc!$G$3:$G$22)</f>
        <v/>
      </c>
      <c r="M2079">
        <f>SUMPRODUCT(Calc!$K$3:$K$22*(Calc!$G$3:$G$22&gt;B2079)*(Calc!$G$3:$G$22-B2079)*Calc!$G$3:$G$22)</f>
        <v/>
      </c>
      <c r="N2079">
        <f>SUMPRODUCT(Calc!$K$3:$K$22*(Calc!$G$3:$G$22&gt;A2079)*(Calc!$G$3:$G$22-A2079)*Calc!$I$3:$I$22)</f>
        <v/>
      </c>
      <c r="O2079">
        <f>SUMPRODUCT(Calc!$K$3:$K$22*(Calc!$G$3:$G$22&gt;B2079)*(Calc!$G$3:$G$22-B2079)*Calc!$I$3:$I$22)</f>
        <v/>
      </c>
      <c r="P2079">
        <f>I2079-G2079^2/k_n</f>
        <v/>
      </c>
      <c r="Q2079">
        <f>J2079-H2079^2/k_n</f>
        <v/>
      </c>
      <c r="R2079">
        <f>K2079-G2079*H2079/k_n</f>
        <v/>
      </c>
      <c r="S2079">
        <f>L2079-LTP3!$D$3*G2079/k_n</f>
        <v/>
      </c>
      <c r="T2079">
        <f>M2079-LTP3!$D$3*H2079/k_n</f>
        <v/>
      </c>
      <c r="U2079">
        <f>N2079-G2079*LTP3!$D$4/k_n</f>
        <v/>
      </c>
      <c r="V2079">
        <f>O2079-H2079*LTP3!$D$4/k_n</f>
        <v/>
      </c>
      <c r="W2079">
        <f>((LTP3!$D$5)*((P2079)*(Q2079)-(R2079)*(R2079))-(S2079)*((S2079)*(Q2079)-(R2079)*(T2079))+(T2079)*((S2079)*(R2079)-(P2079)*(T2079)))</f>
        <v/>
      </c>
      <c r="X2079">
        <f>IF(ABS(W2079)&gt;1E-12,((LTP3!$D$6)*((P2079)*(Q2079)-(R2079)*(R2079))-(S2079)*((U2079)*(Q2079)-(R2079)*(V2079))+(T2079)*((U2079)*(R2079)-(P2079)*(V2079)))/W2079,0)</f>
        <v/>
      </c>
      <c r="Y2079">
        <f>IF(ABS(W2079)&gt;1E-12,((LTP3!$D$5)*((U2079)*(Q2079)-(R2079)*(V2079))-(LTP3!$D$6)*((S2079)*(Q2079)-(R2079)*(T2079))+(T2079)*((S2079)*(V2079)-(U2079)*(T2079)))/W2079,0)</f>
        <v/>
      </c>
      <c r="Z2079">
        <f>IF(ABS(W2079)&gt;1E-12,((LTP3!$D$5)*((P2079)*(V2079)-(U2079)*(R2079))-(S2079)*((S2079)*(V2079)-(U2079)*(T2079))+(LTP3!$D$6)*((S2079)*(R2079)-(P2079)*(T2079)))/W2079,0)</f>
        <v/>
      </c>
      <c r="AA2079">
        <f>LTP3!$D$7-X2079*LTP3!$D$6-Y2079*U2079-Z2079*V2079</f>
        <v/>
      </c>
      <c r="AB2079">
        <f>IF(AND(F2079,ABS(W2079)&gt;1E-12,Y2079&gt;0,Z2079&gt;0),AA2079,1E+300)</f>
        <v/>
      </c>
    </row>
    <row r="2080">
      <c r="A2080">
        <f>$B$3+$B$5*33</f>
        <v/>
      </c>
      <c r="B2080">
        <f>$B$3+$B$5*55</f>
        <v/>
      </c>
      <c r="C2080">
        <f>SUMPRODUCT(Calc!$K$3:$K$22*(Calc!$G$3:$G$22&lt;=A2080))</f>
        <v/>
      </c>
      <c r="D2080">
        <f>SUMPRODUCT(Calc!$K$3:$K$22*(Calc!$G$3:$G$22&gt;A2080)*(Calc!$G$3:$G$22&lt;B2080))</f>
        <v/>
      </c>
      <c r="E2080">
        <f>SUMPRODUCT(Calc!$K$3:$K$22*(Calc!$G$3:$G$22&gt;=B2080))</f>
        <v/>
      </c>
      <c r="F2080">
        <f>AND(k_n&gt;=5,B2080&gt;A2080+1E-9,C2080&gt;=2,D2080&gt;=1,E2080&gt;=2)</f>
        <v/>
      </c>
      <c r="G2080">
        <f>SUMPRODUCT(Calc!$K$3:$K$22*(Calc!$G$3:$G$22&gt;A2080)*(Calc!$G$3:$G$22-A2080))</f>
        <v/>
      </c>
      <c r="H2080">
        <f>SUMPRODUCT(Calc!$K$3:$K$22*(Calc!$G$3:$G$22&gt;B2080)*(Calc!$G$3:$G$22-B2080))</f>
        <v/>
      </c>
      <c r="I2080">
        <f>SUMPRODUCT(Calc!$K$3:$K$22*(Calc!$G$3:$G$22&gt;A2080)*(Calc!$G$3:$G$22-A2080)^2)</f>
        <v/>
      </c>
      <c r="J2080">
        <f>SUMPRODUCT(Calc!$K$3:$K$22*(Calc!$G$3:$G$22&gt;B2080)*(Calc!$G$3:$G$22-B2080)^2)</f>
        <v/>
      </c>
      <c r="K2080">
        <f>SUMPRODUCT(Calc!$K$3:$K$22*(Calc!$G$3:$G$22&gt;A2080)*(Calc!$G$3:$G$22-A2080)*(Calc!$G$3:$G$22&gt;B2080)*(Calc!$G$3:$G$22-B2080))</f>
        <v/>
      </c>
      <c r="L2080">
        <f>SUMPRODUCT(Calc!$K$3:$K$22*(Calc!$G$3:$G$22&gt;A2080)*(Calc!$G$3:$G$22-A2080)*Calc!$G$3:$G$22)</f>
        <v/>
      </c>
      <c r="M2080">
        <f>SUMPRODUCT(Calc!$K$3:$K$22*(Calc!$G$3:$G$22&gt;B2080)*(Calc!$G$3:$G$22-B2080)*Calc!$G$3:$G$22)</f>
        <v/>
      </c>
      <c r="N2080">
        <f>SUMPRODUCT(Calc!$K$3:$K$22*(Calc!$G$3:$G$22&gt;A2080)*(Calc!$G$3:$G$22-A2080)*Calc!$I$3:$I$22)</f>
        <v/>
      </c>
      <c r="O2080">
        <f>SUMPRODUCT(Calc!$K$3:$K$22*(Calc!$G$3:$G$22&gt;B2080)*(Calc!$G$3:$G$22-B2080)*Calc!$I$3:$I$22)</f>
        <v/>
      </c>
      <c r="P2080">
        <f>I2080-G2080^2/k_n</f>
        <v/>
      </c>
      <c r="Q2080">
        <f>J2080-H2080^2/k_n</f>
        <v/>
      </c>
      <c r="R2080">
        <f>K2080-G2080*H2080/k_n</f>
        <v/>
      </c>
      <c r="S2080">
        <f>L2080-LTP3!$D$3*G2080/k_n</f>
        <v/>
      </c>
      <c r="T2080">
        <f>M2080-LTP3!$D$3*H2080/k_n</f>
        <v/>
      </c>
      <c r="U2080">
        <f>N2080-G2080*LTP3!$D$4/k_n</f>
        <v/>
      </c>
      <c r="V2080">
        <f>O2080-H2080*LTP3!$D$4/k_n</f>
        <v/>
      </c>
      <c r="W2080">
        <f>((LTP3!$D$5)*((P2080)*(Q2080)-(R2080)*(R2080))-(S2080)*((S2080)*(Q2080)-(R2080)*(T2080))+(T2080)*((S2080)*(R2080)-(P2080)*(T2080)))</f>
        <v/>
      </c>
      <c r="X2080">
        <f>IF(ABS(W2080)&gt;1E-12,((LTP3!$D$6)*((P2080)*(Q2080)-(R2080)*(R2080))-(S2080)*((U2080)*(Q2080)-(R2080)*(V2080))+(T2080)*((U2080)*(R2080)-(P2080)*(V2080)))/W2080,0)</f>
        <v/>
      </c>
      <c r="Y2080">
        <f>IF(ABS(W2080)&gt;1E-12,((LTP3!$D$5)*((U2080)*(Q2080)-(R2080)*(V2080))-(LTP3!$D$6)*((S2080)*(Q2080)-(R2080)*(T2080))+(T2080)*((S2080)*(V2080)-(U2080)*(T2080)))/W2080,0)</f>
        <v/>
      </c>
      <c r="Z2080">
        <f>IF(ABS(W2080)&gt;1E-12,((LTP3!$D$5)*((P2080)*(V2080)-(U2080)*(R2080))-(S2080)*((S2080)*(V2080)-(U2080)*(T2080))+(LTP3!$D$6)*((S2080)*(R2080)-(P2080)*(T2080)))/W2080,0)</f>
        <v/>
      </c>
      <c r="AA2080">
        <f>LTP3!$D$7-X2080*LTP3!$D$6-Y2080*U2080-Z2080*V2080</f>
        <v/>
      </c>
      <c r="AB2080">
        <f>IF(AND(F2080,ABS(W2080)&gt;1E-12,Y2080&gt;0,Z2080&gt;0),AA2080,1E+300)</f>
        <v/>
      </c>
    </row>
    <row r="2081">
      <c r="A2081">
        <f>$B$3+$B$5*33</f>
        <v/>
      </c>
      <c r="B2081">
        <f>$B$3+$B$5*56</f>
        <v/>
      </c>
      <c r="C2081">
        <f>SUMPRODUCT(Calc!$K$3:$K$22*(Calc!$G$3:$G$22&lt;=A2081))</f>
        <v/>
      </c>
      <c r="D2081">
        <f>SUMPRODUCT(Calc!$K$3:$K$22*(Calc!$G$3:$G$22&gt;A2081)*(Calc!$G$3:$G$22&lt;B2081))</f>
        <v/>
      </c>
      <c r="E2081">
        <f>SUMPRODUCT(Calc!$K$3:$K$22*(Calc!$G$3:$G$22&gt;=B2081))</f>
        <v/>
      </c>
      <c r="F2081">
        <f>AND(k_n&gt;=5,B2081&gt;A2081+1E-9,C2081&gt;=2,D2081&gt;=1,E2081&gt;=2)</f>
        <v/>
      </c>
      <c r="G2081">
        <f>SUMPRODUCT(Calc!$K$3:$K$22*(Calc!$G$3:$G$22&gt;A2081)*(Calc!$G$3:$G$22-A2081))</f>
        <v/>
      </c>
      <c r="H2081">
        <f>SUMPRODUCT(Calc!$K$3:$K$22*(Calc!$G$3:$G$22&gt;B2081)*(Calc!$G$3:$G$22-B2081))</f>
        <v/>
      </c>
      <c r="I2081">
        <f>SUMPRODUCT(Calc!$K$3:$K$22*(Calc!$G$3:$G$22&gt;A2081)*(Calc!$G$3:$G$22-A2081)^2)</f>
        <v/>
      </c>
      <c r="J2081">
        <f>SUMPRODUCT(Calc!$K$3:$K$22*(Calc!$G$3:$G$22&gt;B2081)*(Calc!$G$3:$G$22-B2081)^2)</f>
        <v/>
      </c>
      <c r="K2081">
        <f>SUMPRODUCT(Calc!$K$3:$K$22*(Calc!$G$3:$G$22&gt;A2081)*(Calc!$G$3:$G$22-A2081)*(Calc!$G$3:$G$22&gt;B2081)*(Calc!$G$3:$G$22-B2081))</f>
        <v/>
      </c>
      <c r="L2081">
        <f>SUMPRODUCT(Calc!$K$3:$K$22*(Calc!$G$3:$G$22&gt;A2081)*(Calc!$G$3:$G$22-A2081)*Calc!$G$3:$G$22)</f>
        <v/>
      </c>
      <c r="M2081">
        <f>SUMPRODUCT(Calc!$K$3:$K$22*(Calc!$G$3:$G$22&gt;B2081)*(Calc!$G$3:$G$22-B2081)*Calc!$G$3:$G$22)</f>
        <v/>
      </c>
      <c r="N2081">
        <f>SUMPRODUCT(Calc!$K$3:$K$22*(Calc!$G$3:$G$22&gt;A2081)*(Calc!$G$3:$G$22-A2081)*Calc!$I$3:$I$22)</f>
        <v/>
      </c>
      <c r="O2081">
        <f>SUMPRODUCT(Calc!$K$3:$K$22*(Calc!$G$3:$G$22&gt;B2081)*(Calc!$G$3:$G$22-B2081)*Calc!$I$3:$I$22)</f>
        <v/>
      </c>
      <c r="P2081">
        <f>I2081-G2081^2/k_n</f>
        <v/>
      </c>
      <c r="Q2081">
        <f>J2081-H2081^2/k_n</f>
        <v/>
      </c>
      <c r="R2081">
        <f>K2081-G2081*H2081/k_n</f>
        <v/>
      </c>
      <c r="S2081">
        <f>L2081-LTP3!$D$3*G2081/k_n</f>
        <v/>
      </c>
      <c r="T2081">
        <f>M2081-LTP3!$D$3*H2081/k_n</f>
        <v/>
      </c>
      <c r="U2081">
        <f>N2081-G2081*LTP3!$D$4/k_n</f>
        <v/>
      </c>
      <c r="V2081">
        <f>O2081-H2081*LTP3!$D$4/k_n</f>
        <v/>
      </c>
      <c r="W2081">
        <f>((LTP3!$D$5)*((P2081)*(Q2081)-(R2081)*(R2081))-(S2081)*((S2081)*(Q2081)-(R2081)*(T2081))+(T2081)*((S2081)*(R2081)-(P2081)*(T2081)))</f>
        <v/>
      </c>
      <c r="X2081">
        <f>IF(ABS(W2081)&gt;1E-12,((LTP3!$D$6)*((P2081)*(Q2081)-(R2081)*(R2081))-(S2081)*((U2081)*(Q2081)-(R2081)*(V2081))+(T2081)*((U2081)*(R2081)-(P2081)*(V2081)))/W2081,0)</f>
        <v/>
      </c>
      <c r="Y2081">
        <f>IF(ABS(W2081)&gt;1E-12,((LTP3!$D$5)*((U2081)*(Q2081)-(R2081)*(V2081))-(LTP3!$D$6)*((S2081)*(Q2081)-(R2081)*(T2081))+(T2081)*((S2081)*(V2081)-(U2081)*(T2081)))/W2081,0)</f>
        <v/>
      </c>
      <c r="Z2081">
        <f>IF(ABS(W2081)&gt;1E-12,((LTP3!$D$5)*((P2081)*(V2081)-(U2081)*(R2081))-(S2081)*((S2081)*(V2081)-(U2081)*(T2081))+(LTP3!$D$6)*((S2081)*(R2081)-(P2081)*(T2081)))/W2081,0)</f>
        <v/>
      </c>
      <c r="AA2081">
        <f>LTP3!$D$7-X2081*LTP3!$D$6-Y2081*U2081-Z2081*V2081</f>
        <v/>
      </c>
      <c r="AB2081">
        <f>IF(AND(F2081,ABS(W2081)&gt;1E-12,Y2081&gt;0,Z2081&gt;0),AA2081,1E+300)</f>
        <v/>
      </c>
    </row>
    <row r="2082">
      <c r="A2082">
        <f>$B$3+$B$5*33</f>
        <v/>
      </c>
      <c r="B2082">
        <f>$B$3+$B$5*57</f>
        <v/>
      </c>
      <c r="C2082">
        <f>SUMPRODUCT(Calc!$K$3:$K$22*(Calc!$G$3:$G$22&lt;=A2082))</f>
        <v/>
      </c>
      <c r="D2082">
        <f>SUMPRODUCT(Calc!$K$3:$K$22*(Calc!$G$3:$G$22&gt;A2082)*(Calc!$G$3:$G$22&lt;B2082))</f>
        <v/>
      </c>
      <c r="E2082">
        <f>SUMPRODUCT(Calc!$K$3:$K$22*(Calc!$G$3:$G$22&gt;=B2082))</f>
        <v/>
      </c>
      <c r="F2082">
        <f>AND(k_n&gt;=5,B2082&gt;A2082+1E-9,C2082&gt;=2,D2082&gt;=1,E2082&gt;=2)</f>
        <v/>
      </c>
      <c r="G2082">
        <f>SUMPRODUCT(Calc!$K$3:$K$22*(Calc!$G$3:$G$22&gt;A2082)*(Calc!$G$3:$G$22-A2082))</f>
        <v/>
      </c>
      <c r="H2082">
        <f>SUMPRODUCT(Calc!$K$3:$K$22*(Calc!$G$3:$G$22&gt;B2082)*(Calc!$G$3:$G$22-B2082))</f>
        <v/>
      </c>
      <c r="I2082">
        <f>SUMPRODUCT(Calc!$K$3:$K$22*(Calc!$G$3:$G$22&gt;A2082)*(Calc!$G$3:$G$22-A2082)^2)</f>
        <v/>
      </c>
      <c r="J2082">
        <f>SUMPRODUCT(Calc!$K$3:$K$22*(Calc!$G$3:$G$22&gt;B2082)*(Calc!$G$3:$G$22-B2082)^2)</f>
        <v/>
      </c>
      <c r="K2082">
        <f>SUMPRODUCT(Calc!$K$3:$K$22*(Calc!$G$3:$G$22&gt;A2082)*(Calc!$G$3:$G$22-A2082)*(Calc!$G$3:$G$22&gt;B2082)*(Calc!$G$3:$G$22-B2082))</f>
        <v/>
      </c>
      <c r="L2082">
        <f>SUMPRODUCT(Calc!$K$3:$K$22*(Calc!$G$3:$G$22&gt;A2082)*(Calc!$G$3:$G$22-A2082)*Calc!$G$3:$G$22)</f>
        <v/>
      </c>
      <c r="M2082">
        <f>SUMPRODUCT(Calc!$K$3:$K$22*(Calc!$G$3:$G$22&gt;B2082)*(Calc!$G$3:$G$22-B2082)*Calc!$G$3:$G$22)</f>
        <v/>
      </c>
      <c r="N2082">
        <f>SUMPRODUCT(Calc!$K$3:$K$22*(Calc!$G$3:$G$22&gt;A2082)*(Calc!$G$3:$G$22-A2082)*Calc!$I$3:$I$22)</f>
        <v/>
      </c>
      <c r="O2082">
        <f>SUMPRODUCT(Calc!$K$3:$K$22*(Calc!$G$3:$G$22&gt;B2082)*(Calc!$G$3:$G$22-B2082)*Calc!$I$3:$I$22)</f>
        <v/>
      </c>
      <c r="P2082">
        <f>I2082-G2082^2/k_n</f>
        <v/>
      </c>
      <c r="Q2082">
        <f>J2082-H2082^2/k_n</f>
        <v/>
      </c>
      <c r="R2082">
        <f>K2082-G2082*H2082/k_n</f>
        <v/>
      </c>
      <c r="S2082">
        <f>L2082-LTP3!$D$3*G2082/k_n</f>
        <v/>
      </c>
      <c r="T2082">
        <f>M2082-LTP3!$D$3*H2082/k_n</f>
        <v/>
      </c>
      <c r="U2082">
        <f>N2082-G2082*LTP3!$D$4/k_n</f>
        <v/>
      </c>
      <c r="V2082">
        <f>O2082-H2082*LTP3!$D$4/k_n</f>
        <v/>
      </c>
      <c r="W2082">
        <f>((LTP3!$D$5)*((P2082)*(Q2082)-(R2082)*(R2082))-(S2082)*((S2082)*(Q2082)-(R2082)*(T2082))+(T2082)*((S2082)*(R2082)-(P2082)*(T2082)))</f>
        <v/>
      </c>
      <c r="X2082">
        <f>IF(ABS(W2082)&gt;1E-12,((LTP3!$D$6)*((P2082)*(Q2082)-(R2082)*(R2082))-(S2082)*((U2082)*(Q2082)-(R2082)*(V2082))+(T2082)*((U2082)*(R2082)-(P2082)*(V2082)))/W2082,0)</f>
        <v/>
      </c>
      <c r="Y2082">
        <f>IF(ABS(W2082)&gt;1E-12,((LTP3!$D$5)*((U2082)*(Q2082)-(R2082)*(V2082))-(LTP3!$D$6)*((S2082)*(Q2082)-(R2082)*(T2082))+(T2082)*((S2082)*(V2082)-(U2082)*(T2082)))/W2082,0)</f>
        <v/>
      </c>
      <c r="Z2082">
        <f>IF(ABS(W2082)&gt;1E-12,((LTP3!$D$5)*((P2082)*(V2082)-(U2082)*(R2082))-(S2082)*((S2082)*(V2082)-(U2082)*(T2082))+(LTP3!$D$6)*((S2082)*(R2082)-(P2082)*(T2082)))/W2082,0)</f>
        <v/>
      </c>
      <c r="AA2082">
        <f>LTP3!$D$7-X2082*LTP3!$D$6-Y2082*U2082-Z2082*V2082</f>
        <v/>
      </c>
      <c r="AB2082">
        <f>IF(AND(F2082,ABS(W2082)&gt;1E-12,Y2082&gt;0,Z2082&gt;0),AA2082,1E+300)</f>
        <v/>
      </c>
    </row>
    <row r="2083">
      <c r="A2083">
        <f>$B$3+$B$5*33</f>
        <v/>
      </c>
      <c r="B2083">
        <f>$B$3+$B$5*58</f>
        <v/>
      </c>
      <c r="C2083">
        <f>SUMPRODUCT(Calc!$K$3:$K$22*(Calc!$G$3:$G$22&lt;=A2083))</f>
        <v/>
      </c>
      <c r="D2083">
        <f>SUMPRODUCT(Calc!$K$3:$K$22*(Calc!$G$3:$G$22&gt;A2083)*(Calc!$G$3:$G$22&lt;B2083))</f>
        <v/>
      </c>
      <c r="E2083">
        <f>SUMPRODUCT(Calc!$K$3:$K$22*(Calc!$G$3:$G$22&gt;=B2083))</f>
        <v/>
      </c>
      <c r="F2083">
        <f>AND(k_n&gt;=5,B2083&gt;A2083+1E-9,C2083&gt;=2,D2083&gt;=1,E2083&gt;=2)</f>
        <v/>
      </c>
      <c r="G2083">
        <f>SUMPRODUCT(Calc!$K$3:$K$22*(Calc!$G$3:$G$22&gt;A2083)*(Calc!$G$3:$G$22-A2083))</f>
        <v/>
      </c>
      <c r="H2083">
        <f>SUMPRODUCT(Calc!$K$3:$K$22*(Calc!$G$3:$G$22&gt;B2083)*(Calc!$G$3:$G$22-B2083))</f>
        <v/>
      </c>
      <c r="I2083">
        <f>SUMPRODUCT(Calc!$K$3:$K$22*(Calc!$G$3:$G$22&gt;A2083)*(Calc!$G$3:$G$22-A2083)^2)</f>
        <v/>
      </c>
      <c r="J2083">
        <f>SUMPRODUCT(Calc!$K$3:$K$22*(Calc!$G$3:$G$22&gt;B2083)*(Calc!$G$3:$G$22-B2083)^2)</f>
        <v/>
      </c>
      <c r="K2083">
        <f>SUMPRODUCT(Calc!$K$3:$K$22*(Calc!$G$3:$G$22&gt;A2083)*(Calc!$G$3:$G$22-A2083)*(Calc!$G$3:$G$22&gt;B2083)*(Calc!$G$3:$G$22-B2083))</f>
        <v/>
      </c>
      <c r="L2083">
        <f>SUMPRODUCT(Calc!$K$3:$K$22*(Calc!$G$3:$G$22&gt;A2083)*(Calc!$G$3:$G$22-A2083)*Calc!$G$3:$G$22)</f>
        <v/>
      </c>
      <c r="M2083">
        <f>SUMPRODUCT(Calc!$K$3:$K$22*(Calc!$G$3:$G$22&gt;B2083)*(Calc!$G$3:$G$22-B2083)*Calc!$G$3:$G$22)</f>
        <v/>
      </c>
      <c r="N2083">
        <f>SUMPRODUCT(Calc!$K$3:$K$22*(Calc!$G$3:$G$22&gt;A2083)*(Calc!$G$3:$G$22-A2083)*Calc!$I$3:$I$22)</f>
        <v/>
      </c>
      <c r="O2083">
        <f>SUMPRODUCT(Calc!$K$3:$K$22*(Calc!$G$3:$G$22&gt;B2083)*(Calc!$G$3:$G$22-B2083)*Calc!$I$3:$I$22)</f>
        <v/>
      </c>
      <c r="P2083">
        <f>I2083-G2083^2/k_n</f>
        <v/>
      </c>
      <c r="Q2083">
        <f>J2083-H2083^2/k_n</f>
        <v/>
      </c>
      <c r="R2083">
        <f>K2083-G2083*H2083/k_n</f>
        <v/>
      </c>
      <c r="S2083">
        <f>L2083-LTP3!$D$3*G2083/k_n</f>
        <v/>
      </c>
      <c r="T2083">
        <f>M2083-LTP3!$D$3*H2083/k_n</f>
        <v/>
      </c>
      <c r="U2083">
        <f>N2083-G2083*LTP3!$D$4/k_n</f>
        <v/>
      </c>
      <c r="V2083">
        <f>O2083-H2083*LTP3!$D$4/k_n</f>
        <v/>
      </c>
      <c r="W2083">
        <f>((LTP3!$D$5)*((P2083)*(Q2083)-(R2083)*(R2083))-(S2083)*((S2083)*(Q2083)-(R2083)*(T2083))+(T2083)*((S2083)*(R2083)-(P2083)*(T2083)))</f>
        <v/>
      </c>
      <c r="X2083">
        <f>IF(ABS(W2083)&gt;1E-12,((LTP3!$D$6)*((P2083)*(Q2083)-(R2083)*(R2083))-(S2083)*((U2083)*(Q2083)-(R2083)*(V2083))+(T2083)*((U2083)*(R2083)-(P2083)*(V2083)))/W2083,0)</f>
        <v/>
      </c>
      <c r="Y2083">
        <f>IF(ABS(W2083)&gt;1E-12,((LTP3!$D$5)*((U2083)*(Q2083)-(R2083)*(V2083))-(LTP3!$D$6)*((S2083)*(Q2083)-(R2083)*(T2083))+(T2083)*((S2083)*(V2083)-(U2083)*(T2083)))/W2083,0)</f>
        <v/>
      </c>
      <c r="Z2083">
        <f>IF(ABS(W2083)&gt;1E-12,((LTP3!$D$5)*((P2083)*(V2083)-(U2083)*(R2083))-(S2083)*((S2083)*(V2083)-(U2083)*(T2083))+(LTP3!$D$6)*((S2083)*(R2083)-(P2083)*(T2083)))/W2083,0)</f>
        <v/>
      </c>
      <c r="AA2083">
        <f>LTP3!$D$7-X2083*LTP3!$D$6-Y2083*U2083-Z2083*V2083</f>
        <v/>
      </c>
      <c r="AB2083">
        <f>IF(AND(F2083,ABS(W2083)&gt;1E-12,Y2083&gt;0,Z2083&gt;0),AA2083,1E+300)</f>
        <v/>
      </c>
    </row>
    <row r="2084">
      <c r="A2084">
        <f>$B$3+$B$5*33</f>
        <v/>
      </c>
      <c r="B2084">
        <f>$B$3+$B$5*59</f>
        <v/>
      </c>
      <c r="C2084">
        <f>SUMPRODUCT(Calc!$K$3:$K$22*(Calc!$G$3:$G$22&lt;=A2084))</f>
        <v/>
      </c>
      <c r="D2084">
        <f>SUMPRODUCT(Calc!$K$3:$K$22*(Calc!$G$3:$G$22&gt;A2084)*(Calc!$G$3:$G$22&lt;B2084))</f>
        <v/>
      </c>
      <c r="E2084">
        <f>SUMPRODUCT(Calc!$K$3:$K$22*(Calc!$G$3:$G$22&gt;=B2084))</f>
        <v/>
      </c>
      <c r="F2084">
        <f>AND(k_n&gt;=5,B2084&gt;A2084+1E-9,C2084&gt;=2,D2084&gt;=1,E2084&gt;=2)</f>
        <v/>
      </c>
      <c r="G2084">
        <f>SUMPRODUCT(Calc!$K$3:$K$22*(Calc!$G$3:$G$22&gt;A2084)*(Calc!$G$3:$G$22-A2084))</f>
        <v/>
      </c>
      <c r="H2084">
        <f>SUMPRODUCT(Calc!$K$3:$K$22*(Calc!$G$3:$G$22&gt;B2084)*(Calc!$G$3:$G$22-B2084))</f>
        <v/>
      </c>
      <c r="I2084">
        <f>SUMPRODUCT(Calc!$K$3:$K$22*(Calc!$G$3:$G$22&gt;A2084)*(Calc!$G$3:$G$22-A2084)^2)</f>
        <v/>
      </c>
      <c r="J2084">
        <f>SUMPRODUCT(Calc!$K$3:$K$22*(Calc!$G$3:$G$22&gt;B2084)*(Calc!$G$3:$G$22-B2084)^2)</f>
        <v/>
      </c>
      <c r="K2084">
        <f>SUMPRODUCT(Calc!$K$3:$K$22*(Calc!$G$3:$G$22&gt;A2084)*(Calc!$G$3:$G$22-A2084)*(Calc!$G$3:$G$22&gt;B2084)*(Calc!$G$3:$G$22-B2084))</f>
        <v/>
      </c>
      <c r="L2084">
        <f>SUMPRODUCT(Calc!$K$3:$K$22*(Calc!$G$3:$G$22&gt;A2084)*(Calc!$G$3:$G$22-A2084)*Calc!$G$3:$G$22)</f>
        <v/>
      </c>
      <c r="M2084">
        <f>SUMPRODUCT(Calc!$K$3:$K$22*(Calc!$G$3:$G$22&gt;B2084)*(Calc!$G$3:$G$22-B2084)*Calc!$G$3:$G$22)</f>
        <v/>
      </c>
      <c r="N2084">
        <f>SUMPRODUCT(Calc!$K$3:$K$22*(Calc!$G$3:$G$22&gt;A2084)*(Calc!$G$3:$G$22-A2084)*Calc!$I$3:$I$22)</f>
        <v/>
      </c>
      <c r="O2084">
        <f>SUMPRODUCT(Calc!$K$3:$K$22*(Calc!$G$3:$G$22&gt;B2084)*(Calc!$G$3:$G$22-B2084)*Calc!$I$3:$I$22)</f>
        <v/>
      </c>
      <c r="P2084">
        <f>I2084-G2084^2/k_n</f>
        <v/>
      </c>
      <c r="Q2084">
        <f>J2084-H2084^2/k_n</f>
        <v/>
      </c>
      <c r="R2084">
        <f>K2084-G2084*H2084/k_n</f>
        <v/>
      </c>
      <c r="S2084">
        <f>L2084-LTP3!$D$3*G2084/k_n</f>
        <v/>
      </c>
      <c r="T2084">
        <f>M2084-LTP3!$D$3*H2084/k_n</f>
        <v/>
      </c>
      <c r="U2084">
        <f>N2084-G2084*LTP3!$D$4/k_n</f>
        <v/>
      </c>
      <c r="V2084">
        <f>O2084-H2084*LTP3!$D$4/k_n</f>
        <v/>
      </c>
      <c r="W2084">
        <f>((LTP3!$D$5)*((P2084)*(Q2084)-(R2084)*(R2084))-(S2084)*((S2084)*(Q2084)-(R2084)*(T2084))+(T2084)*((S2084)*(R2084)-(P2084)*(T2084)))</f>
        <v/>
      </c>
      <c r="X2084">
        <f>IF(ABS(W2084)&gt;1E-12,((LTP3!$D$6)*((P2084)*(Q2084)-(R2084)*(R2084))-(S2084)*((U2084)*(Q2084)-(R2084)*(V2084))+(T2084)*((U2084)*(R2084)-(P2084)*(V2084)))/W2084,0)</f>
        <v/>
      </c>
      <c r="Y2084">
        <f>IF(ABS(W2084)&gt;1E-12,((LTP3!$D$5)*((U2084)*(Q2084)-(R2084)*(V2084))-(LTP3!$D$6)*((S2084)*(Q2084)-(R2084)*(T2084))+(T2084)*((S2084)*(V2084)-(U2084)*(T2084)))/W2084,0)</f>
        <v/>
      </c>
      <c r="Z2084">
        <f>IF(ABS(W2084)&gt;1E-12,((LTP3!$D$5)*((P2084)*(V2084)-(U2084)*(R2084))-(S2084)*((S2084)*(V2084)-(U2084)*(T2084))+(LTP3!$D$6)*((S2084)*(R2084)-(P2084)*(T2084)))/W2084,0)</f>
        <v/>
      </c>
      <c r="AA2084">
        <f>LTP3!$D$7-X2084*LTP3!$D$6-Y2084*U2084-Z2084*V2084</f>
        <v/>
      </c>
      <c r="AB2084">
        <f>IF(AND(F2084,ABS(W2084)&gt;1E-12,Y2084&gt;0,Z2084&gt;0),AA2084,1E+300)</f>
        <v/>
      </c>
    </row>
    <row r="2085">
      <c r="A2085">
        <f>$B$3+$B$5*33</f>
        <v/>
      </c>
      <c r="B2085">
        <f>$B$3+$B$5*60</f>
        <v/>
      </c>
      <c r="C2085">
        <f>SUMPRODUCT(Calc!$K$3:$K$22*(Calc!$G$3:$G$22&lt;=A2085))</f>
        <v/>
      </c>
      <c r="D2085">
        <f>SUMPRODUCT(Calc!$K$3:$K$22*(Calc!$G$3:$G$22&gt;A2085)*(Calc!$G$3:$G$22&lt;B2085))</f>
        <v/>
      </c>
      <c r="E2085">
        <f>SUMPRODUCT(Calc!$K$3:$K$22*(Calc!$G$3:$G$22&gt;=B2085))</f>
        <v/>
      </c>
      <c r="F2085">
        <f>AND(k_n&gt;=5,B2085&gt;A2085+1E-9,C2085&gt;=2,D2085&gt;=1,E2085&gt;=2)</f>
        <v/>
      </c>
      <c r="G2085">
        <f>SUMPRODUCT(Calc!$K$3:$K$22*(Calc!$G$3:$G$22&gt;A2085)*(Calc!$G$3:$G$22-A2085))</f>
        <v/>
      </c>
      <c r="H2085">
        <f>SUMPRODUCT(Calc!$K$3:$K$22*(Calc!$G$3:$G$22&gt;B2085)*(Calc!$G$3:$G$22-B2085))</f>
        <v/>
      </c>
      <c r="I2085">
        <f>SUMPRODUCT(Calc!$K$3:$K$22*(Calc!$G$3:$G$22&gt;A2085)*(Calc!$G$3:$G$22-A2085)^2)</f>
        <v/>
      </c>
      <c r="J2085">
        <f>SUMPRODUCT(Calc!$K$3:$K$22*(Calc!$G$3:$G$22&gt;B2085)*(Calc!$G$3:$G$22-B2085)^2)</f>
        <v/>
      </c>
      <c r="K2085">
        <f>SUMPRODUCT(Calc!$K$3:$K$22*(Calc!$G$3:$G$22&gt;A2085)*(Calc!$G$3:$G$22-A2085)*(Calc!$G$3:$G$22&gt;B2085)*(Calc!$G$3:$G$22-B2085))</f>
        <v/>
      </c>
      <c r="L2085">
        <f>SUMPRODUCT(Calc!$K$3:$K$22*(Calc!$G$3:$G$22&gt;A2085)*(Calc!$G$3:$G$22-A2085)*Calc!$G$3:$G$22)</f>
        <v/>
      </c>
      <c r="M2085">
        <f>SUMPRODUCT(Calc!$K$3:$K$22*(Calc!$G$3:$G$22&gt;B2085)*(Calc!$G$3:$G$22-B2085)*Calc!$G$3:$G$22)</f>
        <v/>
      </c>
      <c r="N2085">
        <f>SUMPRODUCT(Calc!$K$3:$K$22*(Calc!$G$3:$G$22&gt;A2085)*(Calc!$G$3:$G$22-A2085)*Calc!$I$3:$I$22)</f>
        <v/>
      </c>
      <c r="O2085">
        <f>SUMPRODUCT(Calc!$K$3:$K$22*(Calc!$G$3:$G$22&gt;B2085)*(Calc!$G$3:$G$22-B2085)*Calc!$I$3:$I$22)</f>
        <v/>
      </c>
      <c r="P2085">
        <f>I2085-G2085^2/k_n</f>
        <v/>
      </c>
      <c r="Q2085">
        <f>J2085-H2085^2/k_n</f>
        <v/>
      </c>
      <c r="R2085">
        <f>K2085-G2085*H2085/k_n</f>
        <v/>
      </c>
      <c r="S2085">
        <f>L2085-LTP3!$D$3*G2085/k_n</f>
        <v/>
      </c>
      <c r="T2085">
        <f>M2085-LTP3!$D$3*H2085/k_n</f>
        <v/>
      </c>
      <c r="U2085">
        <f>N2085-G2085*LTP3!$D$4/k_n</f>
        <v/>
      </c>
      <c r="V2085">
        <f>O2085-H2085*LTP3!$D$4/k_n</f>
        <v/>
      </c>
      <c r="W2085">
        <f>((LTP3!$D$5)*((P2085)*(Q2085)-(R2085)*(R2085))-(S2085)*((S2085)*(Q2085)-(R2085)*(T2085))+(T2085)*((S2085)*(R2085)-(P2085)*(T2085)))</f>
        <v/>
      </c>
      <c r="X2085">
        <f>IF(ABS(W2085)&gt;1E-12,((LTP3!$D$6)*((P2085)*(Q2085)-(R2085)*(R2085))-(S2085)*((U2085)*(Q2085)-(R2085)*(V2085))+(T2085)*((U2085)*(R2085)-(P2085)*(V2085)))/W2085,0)</f>
        <v/>
      </c>
      <c r="Y2085">
        <f>IF(ABS(W2085)&gt;1E-12,((LTP3!$D$5)*((U2085)*(Q2085)-(R2085)*(V2085))-(LTP3!$D$6)*((S2085)*(Q2085)-(R2085)*(T2085))+(T2085)*((S2085)*(V2085)-(U2085)*(T2085)))/W2085,0)</f>
        <v/>
      </c>
      <c r="Z2085">
        <f>IF(ABS(W2085)&gt;1E-12,((LTP3!$D$5)*((P2085)*(V2085)-(U2085)*(R2085))-(S2085)*((S2085)*(V2085)-(U2085)*(T2085))+(LTP3!$D$6)*((S2085)*(R2085)-(P2085)*(T2085)))/W2085,0)</f>
        <v/>
      </c>
      <c r="AA2085">
        <f>LTP3!$D$7-X2085*LTP3!$D$6-Y2085*U2085-Z2085*V2085</f>
        <v/>
      </c>
      <c r="AB2085">
        <f>IF(AND(F2085,ABS(W2085)&gt;1E-12,Y2085&gt;0,Z2085&gt;0),AA2085,1E+300)</f>
        <v/>
      </c>
    </row>
    <row r="2086">
      <c r="A2086">
        <f>$B$3+$B$5*34</f>
        <v/>
      </c>
      <c r="B2086">
        <f>$B$3+$B$5*0</f>
        <v/>
      </c>
      <c r="C2086">
        <f>SUMPRODUCT(Calc!$K$3:$K$22*(Calc!$G$3:$G$22&lt;=A2086))</f>
        <v/>
      </c>
      <c r="D2086">
        <f>SUMPRODUCT(Calc!$K$3:$K$22*(Calc!$G$3:$G$22&gt;A2086)*(Calc!$G$3:$G$22&lt;B2086))</f>
        <v/>
      </c>
      <c r="E2086">
        <f>SUMPRODUCT(Calc!$K$3:$K$22*(Calc!$G$3:$G$22&gt;=B2086))</f>
        <v/>
      </c>
      <c r="F2086">
        <f>AND(k_n&gt;=5,B2086&gt;A2086+1E-9,C2086&gt;=2,D2086&gt;=1,E2086&gt;=2)</f>
        <v/>
      </c>
      <c r="G2086">
        <f>SUMPRODUCT(Calc!$K$3:$K$22*(Calc!$G$3:$G$22&gt;A2086)*(Calc!$G$3:$G$22-A2086))</f>
        <v/>
      </c>
      <c r="H2086">
        <f>SUMPRODUCT(Calc!$K$3:$K$22*(Calc!$G$3:$G$22&gt;B2086)*(Calc!$G$3:$G$22-B2086))</f>
        <v/>
      </c>
      <c r="I2086">
        <f>SUMPRODUCT(Calc!$K$3:$K$22*(Calc!$G$3:$G$22&gt;A2086)*(Calc!$G$3:$G$22-A2086)^2)</f>
        <v/>
      </c>
      <c r="J2086">
        <f>SUMPRODUCT(Calc!$K$3:$K$22*(Calc!$G$3:$G$22&gt;B2086)*(Calc!$G$3:$G$22-B2086)^2)</f>
        <v/>
      </c>
      <c r="K2086">
        <f>SUMPRODUCT(Calc!$K$3:$K$22*(Calc!$G$3:$G$22&gt;A2086)*(Calc!$G$3:$G$22-A2086)*(Calc!$G$3:$G$22&gt;B2086)*(Calc!$G$3:$G$22-B2086))</f>
        <v/>
      </c>
      <c r="L2086">
        <f>SUMPRODUCT(Calc!$K$3:$K$22*(Calc!$G$3:$G$22&gt;A2086)*(Calc!$G$3:$G$22-A2086)*Calc!$G$3:$G$22)</f>
        <v/>
      </c>
      <c r="M2086">
        <f>SUMPRODUCT(Calc!$K$3:$K$22*(Calc!$G$3:$G$22&gt;B2086)*(Calc!$G$3:$G$22-B2086)*Calc!$G$3:$G$22)</f>
        <v/>
      </c>
      <c r="N2086">
        <f>SUMPRODUCT(Calc!$K$3:$K$22*(Calc!$G$3:$G$22&gt;A2086)*(Calc!$G$3:$G$22-A2086)*Calc!$I$3:$I$22)</f>
        <v/>
      </c>
      <c r="O2086">
        <f>SUMPRODUCT(Calc!$K$3:$K$22*(Calc!$G$3:$G$22&gt;B2086)*(Calc!$G$3:$G$22-B2086)*Calc!$I$3:$I$22)</f>
        <v/>
      </c>
      <c r="P2086">
        <f>I2086-G2086^2/k_n</f>
        <v/>
      </c>
      <c r="Q2086">
        <f>J2086-H2086^2/k_n</f>
        <v/>
      </c>
      <c r="R2086">
        <f>K2086-G2086*H2086/k_n</f>
        <v/>
      </c>
      <c r="S2086">
        <f>L2086-LTP3!$D$3*G2086/k_n</f>
        <v/>
      </c>
      <c r="T2086">
        <f>M2086-LTP3!$D$3*H2086/k_n</f>
        <v/>
      </c>
      <c r="U2086">
        <f>N2086-G2086*LTP3!$D$4/k_n</f>
        <v/>
      </c>
      <c r="V2086">
        <f>O2086-H2086*LTP3!$D$4/k_n</f>
        <v/>
      </c>
      <c r="W2086">
        <f>((LTP3!$D$5)*((P2086)*(Q2086)-(R2086)*(R2086))-(S2086)*((S2086)*(Q2086)-(R2086)*(T2086))+(T2086)*((S2086)*(R2086)-(P2086)*(T2086)))</f>
        <v/>
      </c>
      <c r="X2086">
        <f>IF(ABS(W2086)&gt;1E-12,((LTP3!$D$6)*((P2086)*(Q2086)-(R2086)*(R2086))-(S2086)*((U2086)*(Q2086)-(R2086)*(V2086))+(T2086)*((U2086)*(R2086)-(P2086)*(V2086)))/W2086,0)</f>
        <v/>
      </c>
      <c r="Y2086">
        <f>IF(ABS(W2086)&gt;1E-12,((LTP3!$D$5)*((U2086)*(Q2086)-(R2086)*(V2086))-(LTP3!$D$6)*((S2086)*(Q2086)-(R2086)*(T2086))+(T2086)*((S2086)*(V2086)-(U2086)*(T2086)))/W2086,0)</f>
        <v/>
      </c>
      <c r="Z2086">
        <f>IF(ABS(W2086)&gt;1E-12,((LTP3!$D$5)*((P2086)*(V2086)-(U2086)*(R2086))-(S2086)*((S2086)*(V2086)-(U2086)*(T2086))+(LTP3!$D$6)*((S2086)*(R2086)-(P2086)*(T2086)))/W2086,0)</f>
        <v/>
      </c>
      <c r="AA2086">
        <f>LTP3!$D$7-X2086*LTP3!$D$6-Y2086*U2086-Z2086*V2086</f>
        <v/>
      </c>
      <c r="AB2086">
        <f>IF(AND(F2086,ABS(W2086)&gt;1E-12,Y2086&gt;0,Z2086&gt;0),AA2086,1E+300)</f>
        <v/>
      </c>
    </row>
    <row r="2087">
      <c r="A2087">
        <f>$B$3+$B$5*34</f>
        <v/>
      </c>
      <c r="B2087">
        <f>$B$3+$B$5*1</f>
        <v/>
      </c>
      <c r="C2087">
        <f>SUMPRODUCT(Calc!$K$3:$K$22*(Calc!$G$3:$G$22&lt;=A2087))</f>
        <v/>
      </c>
      <c r="D2087">
        <f>SUMPRODUCT(Calc!$K$3:$K$22*(Calc!$G$3:$G$22&gt;A2087)*(Calc!$G$3:$G$22&lt;B2087))</f>
        <v/>
      </c>
      <c r="E2087">
        <f>SUMPRODUCT(Calc!$K$3:$K$22*(Calc!$G$3:$G$22&gt;=B2087))</f>
        <v/>
      </c>
      <c r="F2087">
        <f>AND(k_n&gt;=5,B2087&gt;A2087+1E-9,C2087&gt;=2,D2087&gt;=1,E2087&gt;=2)</f>
        <v/>
      </c>
      <c r="G2087">
        <f>SUMPRODUCT(Calc!$K$3:$K$22*(Calc!$G$3:$G$22&gt;A2087)*(Calc!$G$3:$G$22-A2087))</f>
        <v/>
      </c>
      <c r="H2087">
        <f>SUMPRODUCT(Calc!$K$3:$K$22*(Calc!$G$3:$G$22&gt;B2087)*(Calc!$G$3:$G$22-B2087))</f>
        <v/>
      </c>
      <c r="I2087">
        <f>SUMPRODUCT(Calc!$K$3:$K$22*(Calc!$G$3:$G$22&gt;A2087)*(Calc!$G$3:$G$22-A2087)^2)</f>
        <v/>
      </c>
      <c r="J2087">
        <f>SUMPRODUCT(Calc!$K$3:$K$22*(Calc!$G$3:$G$22&gt;B2087)*(Calc!$G$3:$G$22-B2087)^2)</f>
        <v/>
      </c>
      <c r="K2087">
        <f>SUMPRODUCT(Calc!$K$3:$K$22*(Calc!$G$3:$G$22&gt;A2087)*(Calc!$G$3:$G$22-A2087)*(Calc!$G$3:$G$22&gt;B2087)*(Calc!$G$3:$G$22-B2087))</f>
        <v/>
      </c>
      <c r="L2087">
        <f>SUMPRODUCT(Calc!$K$3:$K$22*(Calc!$G$3:$G$22&gt;A2087)*(Calc!$G$3:$G$22-A2087)*Calc!$G$3:$G$22)</f>
        <v/>
      </c>
      <c r="M2087">
        <f>SUMPRODUCT(Calc!$K$3:$K$22*(Calc!$G$3:$G$22&gt;B2087)*(Calc!$G$3:$G$22-B2087)*Calc!$G$3:$G$22)</f>
        <v/>
      </c>
      <c r="N2087">
        <f>SUMPRODUCT(Calc!$K$3:$K$22*(Calc!$G$3:$G$22&gt;A2087)*(Calc!$G$3:$G$22-A2087)*Calc!$I$3:$I$22)</f>
        <v/>
      </c>
      <c r="O2087">
        <f>SUMPRODUCT(Calc!$K$3:$K$22*(Calc!$G$3:$G$22&gt;B2087)*(Calc!$G$3:$G$22-B2087)*Calc!$I$3:$I$22)</f>
        <v/>
      </c>
      <c r="P2087">
        <f>I2087-G2087^2/k_n</f>
        <v/>
      </c>
      <c r="Q2087">
        <f>J2087-H2087^2/k_n</f>
        <v/>
      </c>
      <c r="R2087">
        <f>K2087-G2087*H2087/k_n</f>
        <v/>
      </c>
      <c r="S2087">
        <f>L2087-LTP3!$D$3*G2087/k_n</f>
        <v/>
      </c>
      <c r="T2087">
        <f>M2087-LTP3!$D$3*H2087/k_n</f>
        <v/>
      </c>
      <c r="U2087">
        <f>N2087-G2087*LTP3!$D$4/k_n</f>
        <v/>
      </c>
      <c r="V2087">
        <f>O2087-H2087*LTP3!$D$4/k_n</f>
        <v/>
      </c>
      <c r="W2087">
        <f>((LTP3!$D$5)*((P2087)*(Q2087)-(R2087)*(R2087))-(S2087)*((S2087)*(Q2087)-(R2087)*(T2087))+(T2087)*((S2087)*(R2087)-(P2087)*(T2087)))</f>
        <v/>
      </c>
      <c r="X2087">
        <f>IF(ABS(W2087)&gt;1E-12,((LTP3!$D$6)*((P2087)*(Q2087)-(R2087)*(R2087))-(S2087)*((U2087)*(Q2087)-(R2087)*(V2087))+(T2087)*((U2087)*(R2087)-(P2087)*(V2087)))/W2087,0)</f>
        <v/>
      </c>
      <c r="Y2087">
        <f>IF(ABS(W2087)&gt;1E-12,((LTP3!$D$5)*((U2087)*(Q2087)-(R2087)*(V2087))-(LTP3!$D$6)*((S2087)*(Q2087)-(R2087)*(T2087))+(T2087)*((S2087)*(V2087)-(U2087)*(T2087)))/W2087,0)</f>
        <v/>
      </c>
      <c r="Z2087">
        <f>IF(ABS(W2087)&gt;1E-12,((LTP3!$D$5)*((P2087)*(V2087)-(U2087)*(R2087))-(S2087)*((S2087)*(V2087)-(U2087)*(T2087))+(LTP3!$D$6)*((S2087)*(R2087)-(P2087)*(T2087)))/W2087,0)</f>
        <v/>
      </c>
      <c r="AA2087">
        <f>LTP3!$D$7-X2087*LTP3!$D$6-Y2087*U2087-Z2087*V2087</f>
        <v/>
      </c>
      <c r="AB2087">
        <f>IF(AND(F2087,ABS(W2087)&gt;1E-12,Y2087&gt;0,Z2087&gt;0),AA2087,1E+300)</f>
        <v/>
      </c>
    </row>
    <row r="2088">
      <c r="A2088">
        <f>$B$3+$B$5*34</f>
        <v/>
      </c>
      <c r="B2088">
        <f>$B$3+$B$5*2</f>
        <v/>
      </c>
      <c r="C2088">
        <f>SUMPRODUCT(Calc!$K$3:$K$22*(Calc!$G$3:$G$22&lt;=A2088))</f>
        <v/>
      </c>
      <c r="D2088">
        <f>SUMPRODUCT(Calc!$K$3:$K$22*(Calc!$G$3:$G$22&gt;A2088)*(Calc!$G$3:$G$22&lt;B2088))</f>
        <v/>
      </c>
      <c r="E2088">
        <f>SUMPRODUCT(Calc!$K$3:$K$22*(Calc!$G$3:$G$22&gt;=B2088))</f>
        <v/>
      </c>
      <c r="F2088">
        <f>AND(k_n&gt;=5,B2088&gt;A2088+1E-9,C2088&gt;=2,D2088&gt;=1,E2088&gt;=2)</f>
        <v/>
      </c>
      <c r="G2088">
        <f>SUMPRODUCT(Calc!$K$3:$K$22*(Calc!$G$3:$G$22&gt;A2088)*(Calc!$G$3:$G$22-A2088))</f>
        <v/>
      </c>
      <c r="H2088">
        <f>SUMPRODUCT(Calc!$K$3:$K$22*(Calc!$G$3:$G$22&gt;B2088)*(Calc!$G$3:$G$22-B2088))</f>
        <v/>
      </c>
      <c r="I2088">
        <f>SUMPRODUCT(Calc!$K$3:$K$22*(Calc!$G$3:$G$22&gt;A2088)*(Calc!$G$3:$G$22-A2088)^2)</f>
        <v/>
      </c>
      <c r="J2088">
        <f>SUMPRODUCT(Calc!$K$3:$K$22*(Calc!$G$3:$G$22&gt;B2088)*(Calc!$G$3:$G$22-B2088)^2)</f>
        <v/>
      </c>
      <c r="K2088">
        <f>SUMPRODUCT(Calc!$K$3:$K$22*(Calc!$G$3:$G$22&gt;A2088)*(Calc!$G$3:$G$22-A2088)*(Calc!$G$3:$G$22&gt;B2088)*(Calc!$G$3:$G$22-B2088))</f>
        <v/>
      </c>
      <c r="L2088">
        <f>SUMPRODUCT(Calc!$K$3:$K$22*(Calc!$G$3:$G$22&gt;A2088)*(Calc!$G$3:$G$22-A2088)*Calc!$G$3:$G$22)</f>
        <v/>
      </c>
      <c r="M2088">
        <f>SUMPRODUCT(Calc!$K$3:$K$22*(Calc!$G$3:$G$22&gt;B2088)*(Calc!$G$3:$G$22-B2088)*Calc!$G$3:$G$22)</f>
        <v/>
      </c>
      <c r="N2088">
        <f>SUMPRODUCT(Calc!$K$3:$K$22*(Calc!$G$3:$G$22&gt;A2088)*(Calc!$G$3:$G$22-A2088)*Calc!$I$3:$I$22)</f>
        <v/>
      </c>
      <c r="O2088">
        <f>SUMPRODUCT(Calc!$K$3:$K$22*(Calc!$G$3:$G$22&gt;B2088)*(Calc!$G$3:$G$22-B2088)*Calc!$I$3:$I$22)</f>
        <v/>
      </c>
      <c r="P2088">
        <f>I2088-G2088^2/k_n</f>
        <v/>
      </c>
      <c r="Q2088">
        <f>J2088-H2088^2/k_n</f>
        <v/>
      </c>
      <c r="R2088">
        <f>K2088-G2088*H2088/k_n</f>
        <v/>
      </c>
      <c r="S2088">
        <f>L2088-LTP3!$D$3*G2088/k_n</f>
        <v/>
      </c>
      <c r="T2088">
        <f>M2088-LTP3!$D$3*H2088/k_n</f>
        <v/>
      </c>
      <c r="U2088">
        <f>N2088-G2088*LTP3!$D$4/k_n</f>
        <v/>
      </c>
      <c r="V2088">
        <f>O2088-H2088*LTP3!$D$4/k_n</f>
        <v/>
      </c>
      <c r="W2088">
        <f>((LTP3!$D$5)*((P2088)*(Q2088)-(R2088)*(R2088))-(S2088)*((S2088)*(Q2088)-(R2088)*(T2088))+(T2088)*((S2088)*(R2088)-(P2088)*(T2088)))</f>
        <v/>
      </c>
      <c r="X2088">
        <f>IF(ABS(W2088)&gt;1E-12,((LTP3!$D$6)*((P2088)*(Q2088)-(R2088)*(R2088))-(S2088)*((U2088)*(Q2088)-(R2088)*(V2088))+(T2088)*((U2088)*(R2088)-(P2088)*(V2088)))/W2088,0)</f>
        <v/>
      </c>
      <c r="Y2088">
        <f>IF(ABS(W2088)&gt;1E-12,((LTP3!$D$5)*((U2088)*(Q2088)-(R2088)*(V2088))-(LTP3!$D$6)*((S2088)*(Q2088)-(R2088)*(T2088))+(T2088)*((S2088)*(V2088)-(U2088)*(T2088)))/W2088,0)</f>
        <v/>
      </c>
      <c r="Z2088">
        <f>IF(ABS(W2088)&gt;1E-12,((LTP3!$D$5)*((P2088)*(V2088)-(U2088)*(R2088))-(S2088)*((S2088)*(V2088)-(U2088)*(T2088))+(LTP3!$D$6)*((S2088)*(R2088)-(P2088)*(T2088)))/W2088,0)</f>
        <v/>
      </c>
      <c r="AA2088">
        <f>LTP3!$D$7-X2088*LTP3!$D$6-Y2088*U2088-Z2088*V2088</f>
        <v/>
      </c>
      <c r="AB2088">
        <f>IF(AND(F2088,ABS(W2088)&gt;1E-12,Y2088&gt;0,Z2088&gt;0),AA2088,1E+300)</f>
        <v/>
      </c>
    </row>
    <row r="2089">
      <c r="A2089">
        <f>$B$3+$B$5*34</f>
        <v/>
      </c>
      <c r="B2089">
        <f>$B$3+$B$5*3</f>
        <v/>
      </c>
      <c r="C2089">
        <f>SUMPRODUCT(Calc!$K$3:$K$22*(Calc!$G$3:$G$22&lt;=A2089))</f>
        <v/>
      </c>
      <c r="D2089">
        <f>SUMPRODUCT(Calc!$K$3:$K$22*(Calc!$G$3:$G$22&gt;A2089)*(Calc!$G$3:$G$22&lt;B2089))</f>
        <v/>
      </c>
      <c r="E2089">
        <f>SUMPRODUCT(Calc!$K$3:$K$22*(Calc!$G$3:$G$22&gt;=B2089))</f>
        <v/>
      </c>
      <c r="F2089">
        <f>AND(k_n&gt;=5,B2089&gt;A2089+1E-9,C2089&gt;=2,D2089&gt;=1,E2089&gt;=2)</f>
        <v/>
      </c>
      <c r="G2089">
        <f>SUMPRODUCT(Calc!$K$3:$K$22*(Calc!$G$3:$G$22&gt;A2089)*(Calc!$G$3:$G$22-A2089))</f>
        <v/>
      </c>
      <c r="H2089">
        <f>SUMPRODUCT(Calc!$K$3:$K$22*(Calc!$G$3:$G$22&gt;B2089)*(Calc!$G$3:$G$22-B2089))</f>
        <v/>
      </c>
      <c r="I2089">
        <f>SUMPRODUCT(Calc!$K$3:$K$22*(Calc!$G$3:$G$22&gt;A2089)*(Calc!$G$3:$G$22-A2089)^2)</f>
        <v/>
      </c>
      <c r="J2089">
        <f>SUMPRODUCT(Calc!$K$3:$K$22*(Calc!$G$3:$G$22&gt;B2089)*(Calc!$G$3:$G$22-B2089)^2)</f>
        <v/>
      </c>
      <c r="K2089">
        <f>SUMPRODUCT(Calc!$K$3:$K$22*(Calc!$G$3:$G$22&gt;A2089)*(Calc!$G$3:$G$22-A2089)*(Calc!$G$3:$G$22&gt;B2089)*(Calc!$G$3:$G$22-B2089))</f>
        <v/>
      </c>
      <c r="L2089">
        <f>SUMPRODUCT(Calc!$K$3:$K$22*(Calc!$G$3:$G$22&gt;A2089)*(Calc!$G$3:$G$22-A2089)*Calc!$G$3:$G$22)</f>
        <v/>
      </c>
      <c r="M2089">
        <f>SUMPRODUCT(Calc!$K$3:$K$22*(Calc!$G$3:$G$22&gt;B2089)*(Calc!$G$3:$G$22-B2089)*Calc!$G$3:$G$22)</f>
        <v/>
      </c>
      <c r="N2089">
        <f>SUMPRODUCT(Calc!$K$3:$K$22*(Calc!$G$3:$G$22&gt;A2089)*(Calc!$G$3:$G$22-A2089)*Calc!$I$3:$I$22)</f>
        <v/>
      </c>
      <c r="O2089">
        <f>SUMPRODUCT(Calc!$K$3:$K$22*(Calc!$G$3:$G$22&gt;B2089)*(Calc!$G$3:$G$22-B2089)*Calc!$I$3:$I$22)</f>
        <v/>
      </c>
      <c r="P2089">
        <f>I2089-G2089^2/k_n</f>
        <v/>
      </c>
      <c r="Q2089">
        <f>J2089-H2089^2/k_n</f>
        <v/>
      </c>
      <c r="R2089">
        <f>K2089-G2089*H2089/k_n</f>
        <v/>
      </c>
      <c r="S2089">
        <f>L2089-LTP3!$D$3*G2089/k_n</f>
        <v/>
      </c>
      <c r="T2089">
        <f>M2089-LTP3!$D$3*H2089/k_n</f>
        <v/>
      </c>
      <c r="U2089">
        <f>N2089-G2089*LTP3!$D$4/k_n</f>
        <v/>
      </c>
      <c r="V2089">
        <f>O2089-H2089*LTP3!$D$4/k_n</f>
        <v/>
      </c>
      <c r="W2089">
        <f>((LTP3!$D$5)*((P2089)*(Q2089)-(R2089)*(R2089))-(S2089)*((S2089)*(Q2089)-(R2089)*(T2089))+(T2089)*((S2089)*(R2089)-(P2089)*(T2089)))</f>
        <v/>
      </c>
      <c r="X2089">
        <f>IF(ABS(W2089)&gt;1E-12,((LTP3!$D$6)*((P2089)*(Q2089)-(R2089)*(R2089))-(S2089)*((U2089)*(Q2089)-(R2089)*(V2089))+(T2089)*((U2089)*(R2089)-(P2089)*(V2089)))/W2089,0)</f>
        <v/>
      </c>
      <c r="Y2089">
        <f>IF(ABS(W2089)&gt;1E-12,((LTP3!$D$5)*((U2089)*(Q2089)-(R2089)*(V2089))-(LTP3!$D$6)*((S2089)*(Q2089)-(R2089)*(T2089))+(T2089)*((S2089)*(V2089)-(U2089)*(T2089)))/W2089,0)</f>
        <v/>
      </c>
      <c r="Z2089">
        <f>IF(ABS(W2089)&gt;1E-12,((LTP3!$D$5)*((P2089)*(V2089)-(U2089)*(R2089))-(S2089)*((S2089)*(V2089)-(U2089)*(T2089))+(LTP3!$D$6)*((S2089)*(R2089)-(P2089)*(T2089)))/W2089,0)</f>
        <v/>
      </c>
      <c r="AA2089">
        <f>LTP3!$D$7-X2089*LTP3!$D$6-Y2089*U2089-Z2089*V2089</f>
        <v/>
      </c>
      <c r="AB2089">
        <f>IF(AND(F2089,ABS(W2089)&gt;1E-12,Y2089&gt;0,Z2089&gt;0),AA2089,1E+300)</f>
        <v/>
      </c>
    </row>
    <row r="2090">
      <c r="A2090">
        <f>$B$3+$B$5*34</f>
        <v/>
      </c>
      <c r="B2090">
        <f>$B$3+$B$5*4</f>
        <v/>
      </c>
      <c r="C2090">
        <f>SUMPRODUCT(Calc!$K$3:$K$22*(Calc!$G$3:$G$22&lt;=A2090))</f>
        <v/>
      </c>
      <c r="D2090">
        <f>SUMPRODUCT(Calc!$K$3:$K$22*(Calc!$G$3:$G$22&gt;A2090)*(Calc!$G$3:$G$22&lt;B2090))</f>
        <v/>
      </c>
      <c r="E2090">
        <f>SUMPRODUCT(Calc!$K$3:$K$22*(Calc!$G$3:$G$22&gt;=B2090))</f>
        <v/>
      </c>
      <c r="F2090">
        <f>AND(k_n&gt;=5,B2090&gt;A2090+1E-9,C2090&gt;=2,D2090&gt;=1,E2090&gt;=2)</f>
        <v/>
      </c>
      <c r="G2090">
        <f>SUMPRODUCT(Calc!$K$3:$K$22*(Calc!$G$3:$G$22&gt;A2090)*(Calc!$G$3:$G$22-A2090))</f>
        <v/>
      </c>
      <c r="H2090">
        <f>SUMPRODUCT(Calc!$K$3:$K$22*(Calc!$G$3:$G$22&gt;B2090)*(Calc!$G$3:$G$22-B2090))</f>
        <v/>
      </c>
      <c r="I2090">
        <f>SUMPRODUCT(Calc!$K$3:$K$22*(Calc!$G$3:$G$22&gt;A2090)*(Calc!$G$3:$G$22-A2090)^2)</f>
        <v/>
      </c>
      <c r="J2090">
        <f>SUMPRODUCT(Calc!$K$3:$K$22*(Calc!$G$3:$G$22&gt;B2090)*(Calc!$G$3:$G$22-B2090)^2)</f>
        <v/>
      </c>
      <c r="K2090">
        <f>SUMPRODUCT(Calc!$K$3:$K$22*(Calc!$G$3:$G$22&gt;A2090)*(Calc!$G$3:$G$22-A2090)*(Calc!$G$3:$G$22&gt;B2090)*(Calc!$G$3:$G$22-B2090))</f>
        <v/>
      </c>
      <c r="L2090">
        <f>SUMPRODUCT(Calc!$K$3:$K$22*(Calc!$G$3:$G$22&gt;A2090)*(Calc!$G$3:$G$22-A2090)*Calc!$G$3:$G$22)</f>
        <v/>
      </c>
      <c r="M2090">
        <f>SUMPRODUCT(Calc!$K$3:$K$22*(Calc!$G$3:$G$22&gt;B2090)*(Calc!$G$3:$G$22-B2090)*Calc!$G$3:$G$22)</f>
        <v/>
      </c>
      <c r="N2090">
        <f>SUMPRODUCT(Calc!$K$3:$K$22*(Calc!$G$3:$G$22&gt;A2090)*(Calc!$G$3:$G$22-A2090)*Calc!$I$3:$I$22)</f>
        <v/>
      </c>
      <c r="O2090">
        <f>SUMPRODUCT(Calc!$K$3:$K$22*(Calc!$G$3:$G$22&gt;B2090)*(Calc!$G$3:$G$22-B2090)*Calc!$I$3:$I$22)</f>
        <v/>
      </c>
      <c r="P2090">
        <f>I2090-G2090^2/k_n</f>
        <v/>
      </c>
      <c r="Q2090">
        <f>J2090-H2090^2/k_n</f>
        <v/>
      </c>
      <c r="R2090">
        <f>K2090-G2090*H2090/k_n</f>
        <v/>
      </c>
      <c r="S2090">
        <f>L2090-LTP3!$D$3*G2090/k_n</f>
        <v/>
      </c>
      <c r="T2090">
        <f>M2090-LTP3!$D$3*H2090/k_n</f>
        <v/>
      </c>
      <c r="U2090">
        <f>N2090-G2090*LTP3!$D$4/k_n</f>
        <v/>
      </c>
      <c r="V2090">
        <f>O2090-H2090*LTP3!$D$4/k_n</f>
        <v/>
      </c>
      <c r="W2090">
        <f>((LTP3!$D$5)*((P2090)*(Q2090)-(R2090)*(R2090))-(S2090)*((S2090)*(Q2090)-(R2090)*(T2090))+(T2090)*((S2090)*(R2090)-(P2090)*(T2090)))</f>
        <v/>
      </c>
      <c r="X2090">
        <f>IF(ABS(W2090)&gt;1E-12,((LTP3!$D$6)*((P2090)*(Q2090)-(R2090)*(R2090))-(S2090)*((U2090)*(Q2090)-(R2090)*(V2090))+(T2090)*((U2090)*(R2090)-(P2090)*(V2090)))/W2090,0)</f>
        <v/>
      </c>
      <c r="Y2090">
        <f>IF(ABS(W2090)&gt;1E-12,((LTP3!$D$5)*((U2090)*(Q2090)-(R2090)*(V2090))-(LTP3!$D$6)*((S2090)*(Q2090)-(R2090)*(T2090))+(T2090)*((S2090)*(V2090)-(U2090)*(T2090)))/W2090,0)</f>
        <v/>
      </c>
      <c r="Z2090">
        <f>IF(ABS(W2090)&gt;1E-12,((LTP3!$D$5)*((P2090)*(V2090)-(U2090)*(R2090))-(S2090)*((S2090)*(V2090)-(U2090)*(T2090))+(LTP3!$D$6)*((S2090)*(R2090)-(P2090)*(T2090)))/W2090,0)</f>
        <v/>
      </c>
      <c r="AA2090">
        <f>LTP3!$D$7-X2090*LTP3!$D$6-Y2090*U2090-Z2090*V2090</f>
        <v/>
      </c>
      <c r="AB2090">
        <f>IF(AND(F2090,ABS(W2090)&gt;1E-12,Y2090&gt;0,Z2090&gt;0),AA2090,1E+300)</f>
        <v/>
      </c>
    </row>
    <row r="2091">
      <c r="A2091">
        <f>$B$3+$B$5*34</f>
        <v/>
      </c>
      <c r="B2091">
        <f>$B$3+$B$5*5</f>
        <v/>
      </c>
      <c r="C2091">
        <f>SUMPRODUCT(Calc!$K$3:$K$22*(Calc!$G$3:$G$22&lt;=A2091))</f>
        <v/>
      </c>
      <c r="D2091">
        <f>SUMPRODUCT(Calc!$K$3:$K$22*(Calc!$G$3:$G$22&gt;A2091)*(Calc!$G$3:$G$22&lt;B2091))</f>
        <v/>
      </c>
      <c r="E2091">
        <f>SUMPRODUCT(Calc!$K$3:$K$22*(Calc!$G$3:$G$22&gt;=B2091))</f>
        <v/>
      </c>
      <c r="F2091">
        <f>AND(k_n&gt;=5,B2091&gt;A2091+1E-9,C2091&gt;=2,D2091&gt;=1,E2091&gt;=2)</f>
        <v/>
      </c>
      <c r="G2091">
        <f>SUMPRODUCT(Calc!$K$3:$K$22*(Calc!$G$3:$G$22&gt;A2091)*(Calc!$G$3:$G$22-A2091))</f>
        <v/>
      </c>
      <c r="H2091">
        <f>SUMPRODUCT(Calc!$K$3:$K$22*(Calc!$G$3:$G$22&gt;B2091)*(Calc!$G$3:$G$22-B2091))</f>
        <v/>
      </c>
      <c r="I2091">
        <f>SUMPRODUCT(Calc!$K$3:$K$22*(Calc!$G$3:$G$22&gt;A2091)*(Calc!$G$3:$G$22-A2091)^2)</f>
        <v/>
      </c>
      <c r="J2091">
        <f>SUMPRODUCT(Calc!$K$3:$K$22*(Calc!$G$3:$G$22&gt;B2091)*(Calc!$G$3:$G$22-B2091)^2)</f>
        <v/>
      </c>
      <c r="K2091">
        <f>SUMPRODUCT(Calc!$K$3:$K$22*(Calc!$G$3:$G$22&gt;A2091)*(Calc!$G$3:$G$22-A2091)*(Calc!$G$3:$G$22&gt;B2091)*(Calc!$G$3:$G$22-B2091))</f>
        <v/>
      </c>
      <c r="L2091">
        <f>SUMPRODUCT(Calc!$K$3:$K$22*(Calc!$G$3:$G$22&gt;A2091)*(Calc!$G$3:$G$22-A2091)*Calc!$G$3:$G$22)</f>
        <v/>
      </c>
      <c r="M2091">
        <f>SUMPRODUCT(Calc!$K$3:$K$22*(Calc!$G$3:$G$22&gt;B2091)*(Calc!$G$3:$G$22-B2091)*Calc!$G$3:$G$22)</f>
        <v/>
      </c>
      <c r="N2091">
        <f>SUMPRODUCT(Calc!$K$3:$K$22*(Calc!$G$3:$G$22&gt;A2091)*(Calc!$G$3:$G$22-A2091)*Calc!$I$3:$I$22)</f>
        <v/>
      </c>
      <c r="O2091">
        <f>SUMPRODUCT(Calc!$K$3:$K$22*(Calc!$G$3:$G$22&gt;B2091)*(Calc!$G$3:$G$22-B2091)*Calc!$I$3:$I$22)</f>
        <v/>
      </c>
      <c r="P2091">
        <f>I2091-G2091^2/k_n</f>
        <v/>
      </c>
      <c r="Q2091">
        <f>J2091-H2091^2/k_n</f>
        <v/>
      </c>
      <c r="R2091">
        <f>K2091-G2091*H2091/k_n</f>
        <v/>
      </c>
      <c r="S2091">
        <f>L2091-LTP3!$D$3*G2091/k_n</f>
        <v/>
      </c>
      <c r="T2091">
        <f>M2091-LTP3!$D$3*H2091/k_n</f>
        <v/>
      </c>
      <c r="U2091">
        <f>N2091-G2091*LTP3!$D$4/k_n</f>
        <v/>
      </c>
      <c r="V2091">
        <f>O2091-H2091*LTP3!$D$4/k_n</f>
        <v/>
      </c>
      <c r="W2091">
        <f>((LTP3!$D$5)*((P2091)*(Q2091)-(R2091)*(R2091))-(S2091)*((S2091)*(Q2091)-(R2091)*(T2091))+(T2091)*((S2091)*(R2091)-(P2091)*(T2091)))</f>
        <v/>
      </c>
      <c r="X2091">
        <f>IF(ABS(W2091)&gt;1E-12,((LTP3!$D$6)*((P2091)*(Q2091)-(R2091)*(R2091))-(S2091)*((U2091)*(Q2091)-(R2091)*(V2091))+(T2091)*((U2091)*(R2091)-(P2091)*(V2091)))/W2091,0)</f>
        <v/>
      </c>
      <c r="Y2091">
        <f>IF(ABS(W2091)&gt;1E-12,((LTP3!$D$5)*((U2091)*(Q2091)-(R2091)*(V2091))-(LTP3!$D$6)*((S2091)*(Q2091)-(R2091)*(T2091))+(T2091)*((S2091)*(V2091)-(U2091)*(T2091)))/W2091,0)</f>
        <v/>
      </c>
      <c r="Z2091">
        <f>IF(ABS(W2091)&gt;1E-12,((LTP3!$D$5)*((P2091)*(V2091)-(U2091)*(R2091))-(S2091)*((S2091)*(V2091)-(U2091)*(T2091))+(LTP3!$D$6)*((S2091)*(R2091)-(P2091)*(T2091)))/W2091,0)</f>
        <v/>
      </c>
      <c r="AA2091">
        <f>LTP3!$D$7-X2091*LTP3!$D$6-Y2091*U2091-Z2091*V2091</f>
        <v/>
      </c>
      <c r="AB2091">
        <f>IF(AND(F2091,ABS(W2091)&gt;1E-12,Y2091&gt;0,Z2091&gt;0),AA2091,1E+300)</f>
        <v/>
      </c>
    </row>
    <row r="2092">
      <c r="A2092">
        <f>$B$3+$B$5*34</f>
        <v/>
      </c>
      <c r="B2092">
        <f>$B$3+$B$5*6</f>
        <v/>
      </c>
      <c r="C2092">
        <f>SUMPRODUCT(Calc!$K$3:$K$22*(Calc!$G$3:$G$22&lt;=A2092))</f>
        <v/>
      </c>
      <c r="D2092">
        <f>SUMPRODUCT(Calc!$K$3:$K$22*(Calc!$G$3:$G$22&gt;A2092)*(Calc!$G$3:$G$22&lt;B2092))</f>
        <v/>
      </c>
      <c r="E2092">
        <f>SUMPRODUCT(Calc!$K$3:$K$22*(Calc!$G$3:$G$22&gt;=B2092))</f>
        <v/>
      </c>
      <c r="F2092">
        <f>AND(k_n&gt;=5,B2092&gt;A2092+1E-9,C2092&gt;=2,D2092&gt;=1,E2092&gt;=2)</f>
        <v/>
      </c>
      <c r="G2092">
        <f>SUMPRODUCT(Calc!$K$3:$K$22*(Calc!$G$3:$G$22&gt;A2092)*(Calc!$G$3:$G$22-A2092))</f>
        <v/>
      </c>
      <c r="H2092">
        <f>SUMPRODUCT(Calc!$K$3:$K$22*(Calc!$G$3:$G$22&gt;B2092)*(Calc!$G$3:$G$22-B2092))</f>
        <v/>
      </c>
      <c r="I2092">
        <f>SUMPRODUCT(Calc!$K$3:$K$22*(Calc!$G$3:$G$22&gt;A2092)*(Calc!$G$3:$G$22-A2092)^2)</f>
        <v/>
      </c>
      <c r="J2092">
        <f>SUMPRODUCT(Calc!$K$3:$K$22*(Calc!$G$3:$G$22&gt;B2092)*(Calc!$G$3:$G$22-B2092)^2)</f>
        <v/>
      </c>
      <c r="K2092">
        <f>SUMPRODUCT(Calc!$K$3:$K$22*(Calc!$G$3:$G$22&gt;A2092)*(Calc!$G$3:$G$22-A2092)*(Calc!$G$3:$G$22&gt;B2092)*(Calc!$G$3:$G$22-B2092))</f>
        <v/>
      </c>
      <c r="L2092">
        <f>SUMPRODUCT(Calc!$K$3:$K$22*(Calc!$G$3:$G$22&gt;A2092)*(Calc!$G$3:$G$22-A2092)*Calc!$G$3:$G$22)</f>
        <v/>
      </c>
      <c r="M2092">
        <f>SUMPRODUCT(Calc!$K$3:$K$22*(Calc!$G$3:$G$22&gt;B2092)*(Calc!$G$3:$G$22-B2092)*Calc!$G$3:$G$22)</f>
        <v/>
      </c>
      <c r="N2092">
        <f>SUMPRODUCT(Calc!$K$3:$K$22*(Calc!$G$3:$G$22&gt;A2092)*(Calc!$G$3:$G$22-A2092)*Calc!$I$3:$I$22)</f>
        <v/>
      </c>
      <c r="O2092">
        <f>SUMPRODUCT(Calc!$K$3:$K$22*(Calc!$G$3:$G$22&gt;B2092)*(Calc!$G$3:$G$22-B2092)*Calc!$I$3:$I$22)</f>
        <v/>
      </c>
      <c r="P2092">
        <f>I2092-G2092^2/k_n</f>
        <v/>
      </c>
      <c r="Q2092">
        <f>J2092-H2092^2/k_n</f>
        <v/>
      </c>
      <c r="R2092">
        <f>K2092-G2092*H2092/k_n</f>
        <v/>
      </c>
      <c r="S2092">
        <f>L2092-LTP3!$D$3*G2092/k_n</f>
        <v/>
      </c>
      <c r="T2092">
        <f>M2092-LTP3!$D$3*H2092/k_n</f>
        <v/>
      </c>
      <c r="U2092">
        <f>N2092-G2092*LTP3!$D$4/k_n</f>
        <v/>
      </c>
      <c r="V2092">
        <f>O2092-H2092*LTP3!$D$4/k_n</f>
        <v/>
      </c>
      <c r="W2092">
        <f>((LTP3!$D$5)*((P2092)*(Q2092)-(R2092)*(R2092))-(S2092)*((S2092)*(Q2092)-(R2092)*(T2092))+(T2092)*((S2092)*(R2092)-(P2092)*(T2092)))</f>
        <v/>
      </c>
      <c r="X2092">
        <f>IF(ABS(W2092)&gt;1E-12,((LTP3!$D$6)*((P2092)*(Q2092)-(R2092)*(R2092))-(S2092)*((U2092)*(Q2092)-(R2092)*(V2092))+(T2092)*((U2092)*(R2092)-(P2092)*(V2092)))/W2092,0)</f>
        <v/>
      </c>
      <c r="Y2092">
        <f>IF(ABS(W2092)&gt;1E-12,((LTP3!$D$5)*((U2092)*(Q2092)-(R2092)*(V2092))-(LTP3!$D$6)*((S2092)*(Q2092)-(R2092)*(T2092))+(T2092)*((S2092)*(V2092)-(U2092)*(T2092)))/W2092,0)</f>
        <v/>
      </c>
      <c r="Z2092">
        <f>IF(ABS(W2092)&gt;1E-12,((LTP3!$D$5)*((P2092)*(V2092)-(U2092)*(R2092))-(S2092)*((S2092)*(V2092)-(U2092)*(T2092))+(LTP3!$D$6)*((S2092)*(R2092)-(P2092)*(T2092)))/W2092,0)</f>
        <v/>
      </c>
      <c r="AA2092">
        <f>LTP3!$D$7-X2092*LTP3!$D$6-Y2092*U2092-Z2092*V2092</f>
        <v/>
      </c>
      <c r="AB2092">
        <f>IF(AND(F2092,ABS(W2092)&gt;1E-12,Y2092&gt;0,Z2092&gt;0),AA2092,1E+300)</f>
        <v/>
      </c>
    </row>
    <row r="2093">
      <c r="A2093">
        <f>$B$3+$B$5*34</f>
        <v/>
      </c>
      <c r="B2093">
        <f>$B$3+$B$5*7</f>
        <v/>
      </c>
      <c r="C2093">
        <f>SUMPRODUCT(Calc!$K$3:$K$22*(Calc!$G$3:$G$22&lt;=A2093))</f>
        <v/>
      </c>
      <c r="D2093">
        <f>SUMPRODUCT(Calc!$K$3:$K$22*(Calc!$G$3:$G$22&gt;A2093)*(Calc!$G$3:$G$22&lt;B2093))</f>
        <v/>
      </c>
      <c r="E2093">
        <f>SUMPRODUCT(Calc!$K$3:$K$22*(Calc!$G$3:$G$22&gt;=B2093))</f>
        <v/>
      </c>
      <c r="F2093">
        <f>AND(k_n&gt;=5,B2093&gt;A2093+1E-9,C2093&gt;=2,D2093&gt;=1,E2093&gt;=2)</f>
        <v/>
      </c>
      <c r="G2093">
        <f>SUMPRODUCT(Calc!$K$3:$K$22*(Calc!$G$3:$G$22&gt;A2093)*(Calc!$G$3:$G$22-A2093))</f>
        <v/>
      </c>
      <c r="H2093">
        <f>SUMPRODUCT(Calc!$K$3:$K$22*(Calc!$G$3:$G$22&gt;B2093)*(Calc!$G$3:$G$22-B2093))</f>
        <v/>
      </c>
      <c r="I2093">
        <f>SUMPRODUCT(Calc!$K$3:$K$22*(Calc!$G$3:$G$22&gt;A2093)*(Calc!$G$3:$G$22-A2093)^2)</f>
        <v/>
      </c>
      <c r="J2093">
        <f>SUMPRODUCT(Calc!$K$3:$K$22*(Calc!$G$3:$G$22&gt;B2093)*(Calc!$G$3:$G$22-B2093)^2)</f>
        <v/>
      </c>
      <c r="K2093">
        <f>SUMPRODUCT(Calc!$K$3:$K$22*(Calc!$G$3:$G$22&gt;A2093)*(Calc!$G$3:$G$22-A2093)*(Calc!$G$3:$G$22&gt;B2093)*(Calc!$G$3:$G$22-B2093))</f>
        <v/>
      </c>
      <c r="L2093">
        <f>SUMPRODUCT(Calc!$K$3:$K$22*(Calc!$G$3:$G$22&gt;A2093)*(Calc!$G$3:$G$22-A2093)*Calc!$G$3:$G$22)</f>
        <v/>
      </c>
      <c r="M2093">
        <f>SUMPRODUCT(Calc!$K$3:$K$22*(Calc!$G$3:$G$22&gt;B2093)*(Calc!$G$3:$G$22-B2093)*Calc!$G$3:$G$22)</f>
        <v/>
      </c>
      <c r="N2093">
        <f>SUMPRODUCT(Calc!$K$3:$K$22*(Calc!$G$3:$G$22&gt;A2093)*(Calc!$G$3:$G$22-A2093)*Calc!$I$3:$I$22)</f>
        <v/>
      </c>
      <c r="O2093">
        <f>SUMPRODUCT(Calc!$K$3:$K$22*(Calc!$G$3:$G$22&gt;B2093)*(Calc!$G$3:$G$22-B2093)*Calc!$I$3:$I$22)</f>
        <v/>
      </c>
      <c r="P2093">
        <f>I2093-G2093^2/k_n</f>
        <v/>
      </c>
      <c r="Q2093">
        <f>J2093-H2093^2/k_n</f>
        <v/>
      </c>
      <c r="R2093">
        <f>K2093-G2093*H2093/k_n</f>
        <v/>
      </c>
      <c r="S2093">
        <f>L2093-LTP3!$D$3*G2093/k_n</f>
        <v/>
      </c>
      <c r="T2093">
        <f>M2093-LTP3!$D$3*H2093/k_n</f>
        <v/>
      </c>
      <c r="U2093">
        <f>N2093-G2093*LTP3!$D$4/k_n</f>
        <v/>
      </c>
      <c r="V2093">
        <f>O2093-H2093*LTP3!$D$4/k_n</f>
        <v/>
      </c>
      <c r="W2093">
        <f>((LTP3!$D$5)*((P2093)*(Q2093)-(R2093)*(R2093))-(S2093)*((S2093)*(Q2093)-(R2093)*(T2093))+(T2093)*((S2093)*(R2093)-(P2093)*(T2093)))</f>
        <v/>
      </c>
      <c r="X2093">
        <f>IF(ABS(W2093)&gt;1E-12,((LTP3!$D$6)*((P2093)*(Q2093)-(R2093)*(R2093))-(S2093)*((U2093)*(Q2093)-(R2093)*(V2093))+(T2093)*((U2093)*(R2093)-(P2093)*(V2093)))/W2093,0)</f>
        <v/>
      </c>
      <c r="Y2093">
        <f>IF(ABS(W2093)&gt;1E-12,((LTP3!$D$5)*((U2093)*(Q2093)-(R2093)*(V2093))-(LTP3!$D$6)*((S2093)*(Q2093)-(R2093)*(T2093))+(T2093)*((S2093)*(V2093)-(U2093)*(T2093)))/W2093,0)</f>
        <v/>
      </c>
      <c r="Z2093">
        <f>IF(ABS(W2093)&gt;1E-12,((LTP3!$D$5)*((P2093)*(V2093)-(U2093)*(R2093))-(S2093)*((S2093)*(V2093)-(U2093)*(T2093))+(LTP3!$D$6)*((S2093)*(R2093)-(P2093)*(T2093)))/W2093,0)</f>
        <v/>
      </c>
      <c r="AA2093">
        <f>LTP3!$D$7-X2093*LTP3!$D$6-Y2093*U2093-Z2093*V2093</f>
        <v/>
      </c>
      <c r="AB2093">
        <f>IF(AND(F2093,ABS(W2093)&gt;1E-12,Y2093&gt;0,Z2093&gt;0),AA2093,1E+300)</f>
        <v/>
      </c>
    </row>
    <row r="2094">
      <c r="A2094">
        <f>$B$3+$B$5*34</f>
        <v/>
      </c>
      <c r="B2094">
        <f>$B$3+$B$5*8</f>
        <v/>
      </c>
      <c r="C2094">
        <f>SUMPRODUCT(Calc!$K$3:$K$22*(Calc!$G$3:$G$22&lt;=A2094))</f>
        <v/>
      </c>
      <c r="D2094">
        <f>SUMPRODUCT(Calc!$K$3:$K$22*(Calc!$G$3:$G$22&gt;A2094)*(Calc!$G$3:$G$22&lt;B2094))</f>
        <v/>
      </c>
      <c r="E2094">
        <f>SUMPRODUCT(Calc!$K$3:$K$22*(Calc!$G$3:$G$22&gt;=B2094))</f>
        <v/>
      </c>
      <c r="F2094">
        <f>AND(k_n&gt;=5,B2094&gt;A2094+1E-9,C2094&gt;=2,D2094&gt;=1,E2094&gt;=2)</f>
        <v/>
      </c>
      <c r="G2094">
        <f>SUMPRODUCT(Calc!$K$3:$K$22*(Calc!$G$3:$G$22&gt;A2094)*(Calc!$G$3:$G$22-A2094))</f>
        <v/>
      </c>
      <c r="H2094">
        <f>SUMPRODUCT(Calc!$K$3:$K$22*(Calc!$G$3:$G$22&gt;B2094)*(Calc!$G$3:$G$22-B2094))</f>
        <v/>
      </c>
      <c r="I2094">
        <f>SUMPRODUCT(Calc!$K$3:$K$22*(Calc!$G$3:$G$22&gt;A2094)*(Calc!$G$3:$G$22-A2094)^2)</f>
        <v/>
      </c>
      <c r="J2094">
        <f>SUMPRODUCT(Calc!$K$3:$K$22*(Calc!$G$3:$G$22&gt;B2094)*(Calc!$G$3:$G$22-B2094)^2)</f>
        <v/>
      </c>
      <c r="K2094">
        <f>SUMPRODUCT(Calc!$K$3:$K$22*(Calc!$G$3:$G$22&gt;A2094)*(Calc!$G$3:$G$22-A2094)*(Calc!$G$3:$G$22&gt;B2094)*(Calc!$G$3:$G$22-B2094))</f>
        <v/>
      </c>
      <c r="L2094">
        <f>SUMPRODUCT(Calc!$K$3:$K$22*(Calc!$G$3:$G$22&gt;A2094)*(Calc!$G$3:$G$22-A2094)*Calc!$G$3:$G$22)</f>
        <v/>
      </c>
      <c r="M2094">
        <f>SUMPRODUCT(Calc!$K$3:$K$22*(Calc!$G$3:$G$22&gt;B2094)*(Calc!$G$3:$G$22-B2094)*Calc!$G$3:$G$22)</f>
        <v/>
      </c>
      <c r="N2094">
        <f>SUMPRODUCT(Calc!$K$3:$K$22*(Calc!$G$3:$G$22&gt;A2094)*(Calc!$G$3:$G$22-A2094)*Calc!$I$3:$I$22)</f>
        <v/>
      </c>
      <c r="O2094">
        <f>SUMPRODUCT(Calc!$K$3:$K$22*(Calc!$G$3:$G$22&gt;B2094)*(Calc!$G$3:$G$22-B2094)*Calc!$I$3:$I$22)</f>
        <v/>
      </c>
      <c r="P2094">
        <f>I2094-G2094^2/k_n</f>
        <v/>
      </c>
      <c r="Q2094">
        <f>J2094-H2094^2/k_n</f>
        <v/>
      </c>
      <c r="R2094">
        <f>K2094-G2094*H2094/k_n</f>
        <v/>
      </c>
      <c r="S2094">
        <f>L2094-LTP3!$D$3*G2094/k_n</f>
        <v/>
      </c>
      <c r="T2094">
        <f>M2094-LTP3!$D$3*H2094/k_n</f>
        <v/>
      </c>
      <c r="U2094">
        <f>N2094-G2094*LTP3!$D$4/k_n</f>
        <v/>
      </c>
      <c r="V2094">
        <f>O2094-H2094*LTP3!$D$4/k_n</f>
        <v/>
      </c>
      <c r="W2094">
        <f>((LTP3!$D$5)*((P2094)*(Q2094)-(R2094)*(R2094))-(S2094)*((S2094)*(Q2094)-(R2094)*(T2094))+(T2094)*((S2094)*(R2094)-(P2094)*(T2094)))</f>
        <v/>
      </c>
      <c r="X2094">
        <f>IF(ABS(W2094)&gt;1E-12,((LTP3!$D$6)*((P2094)*(Q2094)-(R2094)*(R2094))-(S2094)*((U2094)*(Q2094)-(R2094)*(V2094))+(T2094)*((U2094)*(R2094)-(P2094)*(V2094)))/W2094,0)</f>
        <v/>
      </c>
      <c r="Y2094">
        <f>IF(ABS(W2094)&gt;1E-12,((LTP3!$D$5)*((U2094)*(Q2094)-(R2094)*(V2094))-(LTP3!$D$6)*((S2094)*(Q2094)-(R2094)*(T2094))+(T2094)*((S2094)*(V2094)-(U2094)*(T2094)))/W2094,0)</f>
        <v/>
      </c>
      <c r="Z2094">
        <f>IF(ABS(W2094)&gt;1E-12,((LTP3!$D$5)*((P2094)*(V2094)-(U2094)*(R2094))-(S2094)*((S2094)*(V2094)-(U2094)*(T2094))+(LTP3!$D$6)*((S2094)*(R2094)-(P2094)*(T2094)))/W2094,0)</f>
        <v/>
      </c>
      <c r="AA2094">
        <f>LTP3!$D$7-X2094*LTP3!$D$6-Y2094*U2094-Z2094*V2094</f>
        <v/>
      </c>
      <c r="AB2094">
        <f>IF(AND(F2094,ABS(W2094)&gt;1E-12,Y2094&gt;0,Z2094&gt;0),AA2094,1E+300)</f>
        <v/>
      </c>
    </row>
    <row r="2095">
      <c r="A2095">
        <f>$B$3+$B$5*34</f>
        <v/>
      </c>
      <c r="B2095">
        <f>$B$3+$B$5*9</f>
        <v/>
      </c>
      <c r="C2095">
        <f>SUMPRODUCT(Calc!$K$3:$K$22*(Calc!$G$3:$G$22&lt;=A2095))</f>
        <v/>
      </c>
      <c r="D2095">
        <f>SUMPRODUCT(Calc!$K$3:$K$22*(Calc!$G$3:$G$22&gt;A2095)*(Calc!$G$3:$G$22&lt;B2095))</f>
        <v/>
      </c>
      <c r="E2095">
        <f>SUMPRODUCT(Calc!$K$3:$K$22*(Calc!$G$3:$G$22&gt;=B2095))</f>
        <v/>
      </c>
      <c r="F2095">
        <f>AND(k_n&gt;=5,B2095&gt;A2095+1E-9,C2095&gt;=2,D2095&gt;=1,E2095&gt;=2)</f>
        <v/>
      </c>
      <c r="G2095">
        <f>SUMPRODUCT(Calc!$K$3:$K$22*(Calc!$G$3:$G$22&gt;A2095)*(Calc!$G$3:$G$22-A2095))</f>
        <v/>
      </c>
      <c r="H2095">
        <f>SUMPRODUCT(Calc!$K$3:$K$22*(Calc!$G$3:$G$22&gt;B2095)*(Calc!$G$3:$G$22-B2095))</f>
        <v/>
      </c>
      <c r="I2095">
        <f>SUMPRODUCT(Calc!$K$3:$K$22*(Calc!$G$3:$G$22&gt;A2095)*(Calc!$G$3:$G$22-A2095)^2)</f>
        <v/>
      </c>
      <c r="J2095">
        <f>SUMPRODUCT(Calc!$K$3:$K$22*(Calc!$G$3:$G$22&gt;B2095)*(Calc!$G$3:$G$22-B2095)^2)</f>
        <v/>
      </c>
      <c r="K2095">
        <f>SUMPRODUCT(Calc!$K$3:$K$22*(Calc!$G$3:$G$22&gt;A2095)*(Calc!$G$3:$G$22-A2095)*(Calc!$G$3:$G$22&gt;B2095)*(Calc!$G$3:$G$22-B2095))</f>
        <v/>
      </c>
      <c r="L2095">
        <f>SUMPRODUCT(Calc!$K$3:$K$22*(Calc!$G$3:$G$22&gt;A2095)*(Calc!$G$3:$G$22-A2095)*Calc!$G$3:$G$22)</f>
        <v/>
      </c>
      <c r="M2095">
        <f>SUMPRODUCT(Calc!$K$3:$K$22*(Calc!$G$3:$G$22&gt;B2095)*(Calc!$G$3:$G$22-B2095)*Calc!$G$3:$G$22)</f>
        <v/>
      </c>
      <c r="N2095">
        <f>SUMPRODUCT(Calc!$K$3:$K$22*(Calc!$G$3:$G$22&gt;A2095)*(Calc!$G$3:$G$22-A2095)*Calc!$I$3:$I$22)</f>
        <v/>
      </c>
      <c r="O2095">
        <f>SUMPRODUCT(Calc!$K$3:$K$22*(Calc!$G$3:$G$22&gt;B2095)*(Calc!$G$3:$G$22-B2095)*Calc!$I$3:$I$22)</f>
        <v/>
      </c>
      <c r="P2095">
        <f>I2095-G2095^2/k_n</f>
        <v/>
      </c>
      <c r="Q2095">
        <f>J2095-H2095^2/k_n</f>
        <v/>
      </c>
      <c r="R2095">
        <f>K2095-G2095*H2095/k_n</f>
        <v/>
      </c>
      <c r="S2095">
        <f>L2095-LTP3!$D$3*G2095/k_n</f>
        <v/>
      </c>
      <c r="T2095">
        <f>M2095-LTP3!$D$3*H2095/k_n</f>
        <v/>
      </c>
      <c r="U2095">
        <f>N2095-G2095*LTP3!$D$4/k_n</f>
        <v/>
      </c>
      <c r="V2095">
        <f>O2095-H2095*LTP3!$D$4/k_n</f>
        <v/>
      </c>
      <c r="W2095">
        <f>((LTP3!$D$5)*((P2095)*(Q2095)-(R2095)*(R2095))-(S2095)*((S2095)*(Q2095)-(R2095)*(T2095))+(T2095)*((S2095)*(R2095)-(P2095)*(T2095)))</f>
        <v/>
      </c>
      <c r="X2095">
        <f>IF(ABS(W2095)&gt;1E-12,((LTP3!$D$6)*((P2095)*(Q2095)-(R2095)*(R2095))-(S2095)*((U2095)*(Q2095)-(R2095)*(V2095))+(T2095)*((U2095)*(R2095)-(P2095)*(V2095)))/W2095,0)</f>
        <v/>
      </c>
      <c r="Y2095">
        <f>IF(ABS(W2095)&gt;1E-12,((LTP3!$D$5)*((U2095)*(Q2095)-(R2095)*(V2095))-(LTP3!$D$6)*((S2095)*(Q2095)-(R2095)*(T2095))+(T2095)*((S2095)*(V2095)-(U2095)*(T2095)))/W2095,0)</f>
        <v/>
      </c>
      <c r="Z2095">
        <f>IF(ABS(W2095)&gt;1E-12,((LTP3!$D$5)*((P2095)*(V2095)-(U2095)*(R2095))-(S2095)*((S2095)*(V2095)-(U2095)*(T2095))+(LTP3!$D$6)*((S2095)*(R2095)-(P2095)*(T2095)))/W2095,0)</f>
        <v/>
      </c>
      <c r="AA2095">
        <f>LTP3!$D$7-X2095*LTP3!$D$6-Y2095*U2095-Z2095*V2095</f>
        <v/>
      </c>
      <c r="AB2095">
        <f>IF(AND(F2095,ABS(W2095)&gt;1E-12,Y2095&gt;0,Z2095&gt;0),AA2095,1E+300)</f>
        <v/>
      </c>
    </row>
    <row r="2096">
      <c r="A2096">
        <f>$B$3+$B$5*34</f>
        <v/>
      </c>
      <c r="B2096">
        <f>$B$3+$B$5*10</f>
        <v/>
      </c>
      <c r="C2096">
        <f>SUMPRODUCT(Calc!$K$3:$K$22*(Calc!$G$3:$G$22&lt;=A2096))</f>
        <v/>
      </c>
      <c r="D2096">
        <f>SUMPRODUCT(Calc!$K$3:$K$22*(Calc!$G$3:$G$22&gt;A2096)*(Calc!$G$3:$G$22&lt;B2096))</f>
        <v/>
      </c>
      <c r="E2096">
        <f>SUMPRODUCT(Calc!$K$3:$K$22*(Calc!$G$3:$G$22&gt;=B2096))</f>
        <v/>
      </c>
      <c r="F2096">
        <f>AND(k_n&gt;=5,B2096&gt;A2096+1E-9,C2096&gt;=2,D2096&gt;=1,E2096&gt;=2)</f>
        <v/>
      </c>
      <c r="G2096">
        <f>SUMPRODUCT(Calc!$K$3:$K$22*(Calc!$G$3:$G$22&gt;A2096)*(Calc!$G$3:$G$22-A2096))</f>
        <v/>
      </c>
      <c r="H2096">
        <f>SUMPRODUCT(Calc!$K$3:$K$22*(Calc!$G$3:$G$22&gt;B2096)*(Calc!$G$3:$G$22-B2096))</f>
        <v/>
      </c>
      <c r="I2096">
        <f>SUMPRODUCT(Calc!$K$3:$K$22*(Calc!$G$3:$G$22&gt;A2096)*(Calc!$G$3:$G$22-A2096)^2)</f>
        <v/>
      </c>
      <c r="J2096">
        <f>SUMPRODUCT(Calc!$K$3:$K$22*(Calc!$G$3:$G$22&gt;B2096)*(Calc!$G$3:$G$22-B2096)^2)</f>
        <v/>
      </c>
      <c r="K2096">
        <f>SUMPRODUCT(Calc!$K$3:$K$22*(Calc!$G$3:$G$22&gt;A2096)*(Calc!$G$3:$G$22-A2096)*(Calc!$G$3:$G$22&gt;B2096)*(Calc!$G$3:$G$22-B2096))</f>
        <v/>
      </c>
      <c r="L2096">
        <f>SUMPRODUCT(Calc!$K$3:$K$22*(Calc!$G$3:$G$22&gt;A2096)*(Calc!$G$3:$G$22-A2096)*Calc!$G$3:$G$22)</f>
        <v/>
      </c>
      <c r="M2096">
        <f>SUMPRODUCT(Calc!$K$3:$K$22*(Calc!$G$3:$G$22&gt;B2096)*(Calc!$G$3:$G$22-B2096)*Calc!$G$3:$G$22)</f>
        <v/>
      </c>
      <c r="N2096">
        <f>SUMPRODUCT(Calc!$K$3:$K$22*(Calc!$G$3:$G$22&gt;A2096)*(Calc!$G$3:$G$22-A2096)*Calc!$I$3:$I$22)</f>
        <v/>
      </c>
      <c r="O2096">
        <f>SUMPRODUCT(Calc!$K$3:$K$22*(Calc!$G$3:$G$22&gt;B2096)*(Calc!$G$3:$G$22-B2096)*Calc!$I$3:$I$22)</f>
        <v/>
      </c>
      <c r="P2096">
        <f>I2096-G2096^2/k_n</f>
        <v/>
      </c>
      <c r="Q2096">
        <f>J2096-H2096^2/k_n</f>
        <v/>
      </c>
      <c r="R2096">
        <f>K2096-G2096*H2096/k_n</f>
        <v/>
      </c>
      <c r="S2096">
        <f>L2096-LTP3!$D$3*G2096/k_n</f>
        <v/>
      </c>
      <c r="T2096">
        <f>M2096-LTP3!$D$3*H2096/k_n</f>
        <v/>
      </c>
      <c r="U2096">
        <f>N2096-G2096*LTP3!$D$4/k_n</f>
        <v/>
      </c>
      <c r="V2096">
        <f>O2096-H2096*LTP3!$D$4/k_n</f>
        <v/>
      </c>
      <c r="W2096">
        <f>((LTP3!$D$5)*((P2096)*(Q2096)-(R2096)*(R2096))-(S2096)*((S2096)*(Q2096)-(R2096)*(T2096))+(T2096)*((S2096)*(R2096)-(P2096)*(T2096)))</f>
        <v/>
      </c>
      <c r="X2096">
        <f>IF(ABS(W2096)&gt;1E-12,((LTP3!$D$6)*((P2096)*(Q2096)-(R2096)*(R2096))-(S2096)*((U2096)*(Q2096)-(R2096)*(V2096))+(T2096)*((U2096)*(R2096)-(P2096)*(V2096)))/W2096,0)</f>
        <v/>
      </c>
      <c r="Y2096">
        <f>IF(ABS(W2096)&gt;1E-12,((LTP3!$D$5)*((U2096)*(Q2096)-(R2096)*(V2096))-(LTP3!$D$6)*((S2096)*(Q2096)-(R2096)*(T2096))+(T2096)*((S2096)*(V2096)-(U2096)*(T2096)))/W2096,0)</f>
        <v/>
      </c>
      <c r="Z2096">
        <f>IF(ABS(W2096)&gt;1E-12,((LTP3!$D$5)*((P2096)*(V2096)-(U2096)*(R2096))-(S2096)*((S2096)*(V2096)-(U2096)*(T2096))+(LTP3!$D$6)*((S2096)*(R2096)-(P2096)*(T2096)))/W2096,0)</f>
        <v/>
      </c>
      <c r="AA2096">
        <f>LTP3!$D$7-X2096*LTP3!$D$6-Y2096*U2096-Z2096*V2096</f>
        <v/>
      </c>
      <c r="AB2096">
        <f>IF(AND(F2096,ABS(W2096)&gt;1E-12,Y2096&gt;0,Z2096&gt;0),AA2096,1E+300)</f>
        <v/>
      </c>
    </row>
    <row r="2097">
      <c r="A2097">
        <f>$B$3+$B$5*34</f>
        <v/>
      </c>
      <c r="B2097">
        <f>$B$3+$B$5*11</f>
        <v/>
      </c>
      <c r="C2097">
        <f>SUMPRODUCT(Calc!$K$3:$K$22*(Calc!$G$3:$G$22&lt;=A2097))</f>
        <v/>
      </c>
      <c r="D2097">
        <f>SUMPRODUCT(Calc!$K$3:$K$22*(Calc!$G$3:$G$22&gt;A2097)*(Calc!$G$3:$G$22&lt;B2097))</f>
        <v/>
      </c>
      <c r="E2097">
        <f>SUMPRODUCT(Calc!$K$3:$K$22*(Calc!$G$3:$G$22&gt;=B2097))</f>
        <v/>
      </c>
      <c r="F2097">
        <f>AND(k_n&gt;=5,B2097&gt;A2097+1E-9,C2097&gt;=2,D2097&gt;=1,E2097&gt;=2)</f>
        <v/>
      </c>
      <c r="G2097">
        <f>SUMPRODUCT(Calc!$K$3:$K$22*(Calc!$G$3:$G$22&gt;A2097)*(Calc!$G$3:$G$22-A2097))</f>
        <v/>
      </c>
      <c r="H2097">
        <f>SUMPRODUCT(Calc!$K$3:$K$22*(Calc!$G$3:$G$22&gt;B2097)*(Calc!$G$3:$G$22-B2097))</f>
        <v/>
      </c>
      <c r="I2097">
        <f>SUMPRODUCT(Calc!$K$3:$K$22*(Calc!$G$3:$G$22&gt;A2097)*(Calc!$G$3:$G$22-A2097)^2)</f>
        <v/>
      </c>
      <c r="J2097">
        <f>SUMPRODUCT(Calc!$K$3:$K$22*(Calc!$G$3:$G$22&gt;B2097)*(Calc!$G$3:$G$22-B2097)^2)</f>
        <v/>
      </c>
      <c r="K2097">
        <f>SUMPRODUCT(Calc!$K$3:$K$22*(Calc!$G$3:$G$22&gt;A2097)*(Calc!$G$3:$G$22-A2097)*(Calc!$G$3:$G$22&gt;B2097)*(Calc!$G$3:$G$22-B2097))</f>
        <v/>
      </c>
      <c r="L2097">
        <f>SUMPRODUCT(Calc!$K$3:$K$22*(Calc!$G$3:$G$22&gt;A2097)*(Calc!$G$3:$G$22-A2097)*Calc!$G$3:$G$22)</f>
        <v/>
      </c>
      <c r="M2097">
        <f>SUMPRODUCT(Calc!$K$3:$K$22*(Calc!$G$3:$G$22&gt;B2097)*(Calc!$G$3:$G$22-B2097)*Calc!$G$3:$G$22)</f>
        <v/>
      </c>
      <c r="N2097">
        <f>SUMPRODUCT(Calc!$K$3:$K$22*(Calc!$G$3:$G$22&gt;A2097)*(Calc!$G$3:$G$22-A2097)*Calc!$I$3:$I$22)</f>
        <v/>
      </c>
      <c r="O2097">
        <f>SUMPRODUCT(Calc!$K$3:$K$22*(Calc!$G$3:$G$22&gt;B2097)*(Calc!$G$3:$G$22-B2097)*Calc!$I$3:$I$22)</f>
        <v/>
      </c>
      <c r="P2097">
        <f>I2097-G2097^2/k_n</f>
        <v/>
      </c>
      <c r="Q2097">
        <f>J2097-H2097^2/k_n</f>
        <v/>
      </c>
      <c r="R2097">
        <f>K2097-G2097*H2097/k_n</f>
        <v/>
      </c>
      <c r="S2097">
        <f>L2097-LTP3!$D$3*G2097/k_n</f>
        <v/>
      </c>
      <c r="T2097">
        <f>M2097-LTP3!$D$3*H2097/k_n</f>
        <v/>
      </c>
      <c r="U2097">
        <f>N2097-G2097*LTP3!$D$4/k_n</f>
        <v/>
      </c>
      <c r="V2097">
        <f>O2097-H2097*LTP3!$D$4/k_n</f>
        <v/>
      </c>
      <c r="W2097">
        <f>((LTP3!$D$5)*((P2097)*(Q2097)-(R2097)*(R2097))-(S2097)*((S2097)*(Q2097)-(R2097)*(T2097))+(T2097)*((S2097)*(R2097)-(P2097)*(T2097)))</f>
        <v/>
      </c>
      <c r="X2097">
        <f>IF(ABS(W2097)&gt;1E-12,((LTP3!$D$6)*((P2097)*(Q2097)-(R2097)*(R2097))-(S2097)*((U2097)*(Q2097)-(R2097)*(V2097))+(T2097)*((U2097)*(R2097)-(P2097)*(V2097)))/W2097,0)</f>
        <v/>
      </c>
      <c r="Y2097">
        <f>IF(ABS(W2097)&gt;1E-12,((LTP3!$D$5)*((U2097)*(Q2097)-(R2097)*(V2097))-(LTP3!$D$6)*((S2097)*(Q2097)-(R2097)*(T2097))+(T2097)*((S2097)*(V2097)-(U2097)*(T2097)))/W2097,0)</f>
        <v/>
      </c>
      <c r="Z2097">
        <f>IF(ABS(W2097)&gt;1E-12,((LTP3!$D$5)*((P2097)*(V2097)-(U2097)*(R2097))-(S2097)*((S2097)*(V2097)-(U2097)*(T2097))+(LTP3!$D$6)*((S2097)*(R2097)-(P2097)*(T2097)))/W2097,0)</f>
        <v/>
      </c>
      <c r="AA2097">
        <f>LTP3!$D$7-X2097*LTP3!$D$6-Y2097*U2097-Z2097*V2097</f>
        <v/>
      </c>
      <c r="AB2097">
        <f>IF(AND(F2097,ABS(W2097)&gt;1E-12,Y2097&gt;0,Z2097&gt;0),AA2097,1E+300)</f>
        <v/>
      </c>
    </row>
    <row r="2098">
      <c r="A2098">
        <f>$B$3+$B$5*34</f>
        <v/>
      </c>
      <c r="B2098">
        <f>$B$3+$B$5*12</f>
        <v/>
      </c>
      <c r="C2098">
        <f>SUMPRODUCT(Calc!$K$3:$K$22*(Calc!$G$3:$G$22&lt;=A2098))</f>
        <v/>
      </c>
      <c r="D2098">
        <f>SUMPRODUCT(Calc!$K$3:$K$22*(Calc!$G$3:$G$22&gt;A2098)*(Calc!$G$3:$G$22&lt;B2098))</f>
        <v/>
      </c>
      <c r="E2098">
        <f>SUMPRODUCT(Calc!$K$3:$K$22*(Calc!$G$3:$G$22&gt;=B2098))</f>
        <v/>
      </c>
      <c r="F2098">
        <f>AND(k_n&gt;=5,B2098&gt;A2098+1E-9,C2098&gt;=2,D2098&gt;=1,E2098&gt;=2)</f>
        <v/>
      </c>
      <c r="G2098">
        <f>SUMPRODUCT(Calc!$K$3:$K$22*(Calc!$G$3:$G$22&gt;A2098)*(Calc!$G$3:$G$22-A2098))</f>
        <v/>
      </c>
      <c r="H2098">
        <f>SUMPRODUCT(Calc!$K$3:$K$22*(Calc!$G$3:$G$22&gt;B2098)*(Calc!$G$3:$G$22-B2098))</f>
        <v/>
      </c>
      <c r="I2098">
        <f>SUMPRODUCT(Calc!$K$3:$K$22*(Calc!$G$3:$G$22&gt;A2098)*(Calc!$G$3:$G$22-A2098)^2)</f>
        <v/>
      </c>
      <c r="J2098">
        <f>SUMPRODUCT(Calc!$K$3:$K$22*(Calc!$G$3:$G$22&gt;B2098)*(Calc!$G$3:$G$22-B2098)^2)</f>
        <v/>
      </c>
      <c r="K2098">
        <f>SUMPRODUCT(Calc!$K$3:$K$22*(Calc!$G$3:$G$22&gt;A2098)*(Calc!$G$3:$G$22-A2098)*(Calc!$G$3:$G$22&gt;B2098)*(Calc!$G$3:$G$22-B2098))</f>
        <v/>
      </c>
      <c r="L2098">
        <f>SUMPRODUCT(Calc!$K$3:$K$22*(Calc!$G$3:$G$22&gt;A2098)*(Calc!$G$3:$G$22-A2098)*Calc!$G$3:$G$22)</f>
        <v/>
      </c>
      <c r="M2098">
        <f>SUMPRODUCT(Calc!$K$3:$K$22*(Calc!$G$3:$G$22&gt;B2098)*(Calc!$G$3:$G$22-B2098)*Calc!$G$3:$G$22)</f>
        <v/>
      </c>
      <c r="N2098">
        <f>SUMPRODUCT(Calc!$K$3:$K$22*(Calc!$G$3:$G$22&gt;A2098)*(Calc!$G$3:$G$22-A2098)*Calc!$I$3:$I$22)</f>
        <v/>
      </c>
      <c r="O2098">
        <f>SUMPRODUCT(Calc!$K$3:$K$22*(Calc!$G$3:$G$22&gt;B2098)*(Calc!$G$3:$G$22-B2098)*Calc!$I$3:$I$22)</f>
        <v/>
      </c>
      <c r="P2098">
        <f>I2098-G2098^2/k_n</f>
        <v/>
      </c>
      <c r="Q2098">
        <f>J2098-H2098^2/k_n</f>
        <v/>
      </c>
      <c r="R2098">
        <f>K2098-G2098*H2098/k_n</f>
        <v/>
      </c>
      <c r="S2098">
        <f>L2098-LTP3!$D$3*G2098/k_n</f>
        <v/>
      </c>
      <c r="T2098">
        <f>M2098-LTP3!$D$3*H2098/k_n</f>
        <v/>
      </c>
      <c r="U2098">
        <f>N2098-G2098*LTP3!$D$4/k_n</f>
        <v/>
      </c>
      <c r="V2098">
        <f>O2098-H2098*LTP3!$D$4/k_n</f>
        <v/>
      </c>
      <c r="W2098">
        <f>((LTP3!$D$5)*((P2098)*(Q2098)-(R2098)*(R2098))-(S2098)*((S2098)*(Q2098)-(R2098)*(T2098))+(T2098)*((S2098)*(R2098)-(P2098)*(T2098)))</f>
        <v/>
      </c>
      <c r="X2098">
        <f>IF(ABS(W2098)&gt;1E-12,((LTP3!$D$6)*((P2098)*(Q2098)-(R2098)*(R2098))-(S2098)*((U2098)*(Q2098)-(R2098)*(V2098))+(T2098)*((U2098)*(R2098)-(P2098)*(V2098)))/W2098,0)</f>
        <v/>
      </c>
      <c r="Y2098">
        <f>IF(ABS(W2098)&gt;1E-12,((LTP3!$D$5)*((U2098)*(Q2098)-(R2098)*(V2098))-(LTP3!$D$6)*((S2098)*(Q2098)-(R2098)*(T2098))+(T2098)*((S2098)*(V2098)-(U2098)*(T2098)))/W2098,0)</f>
        <v/>
      </c>
      <c r="Z2098">
        <f>IF(ABS(W2098)&gt;1E-12,((LTP3!$D$5)*((P2098)*(V2098)-(U2098)*(R2098))-(S2098)*((S2098)*(V2098)-(U2098)*(T2098))+(LTP3!$D$6)*((S2098)*(R2098)-(P2098)*(T2098)))/W2098,0)</f>
        <v/>
      </c>
      <c r="AA2098">
        <f>LTP3!$D$7-X2098*LTP3!$D$6-Y2098*U2098-Z2098*V2098</f>
        <v/>
      </c>
      <c r="AB2098">
        <f>IF(AND(F2098,ABS(W2098)&gt;1E-12,Y2098&gt;0,Z2098&gt;0),AA2098,1E+300)</f>
        <v/>
      </c>
    </row>
    <row r="2099">
      <c r="A2099">
        <f>$B$3+$B$5*34</f>
        <v/>
      </c>
      <c r="B2099">
        <f>$B$3+$B$5*13</f>
        <v/>
      </c>
      <c r="C2099">
        <f>SUMPRODUCT(Calc!$K$3:$K$22*(Calc!$G$3:$G$22&lt;=A2099))</f>
        <v/>
      </c>
      <c r="D2099">
        <f>SUMPRODUCT(Calc!$K$3:$K$22*(Calc!$G$3:$G$22&gt;A2099)*(Calc!$G$3:$G$22&lt;B2099))</f>
        <v/>
      </c>
      <c r="E2099">
        <f>SUMPRODUCT(Calc!$K$3:$K$22*(Calc!$G$3:$G$22&gt;=B2099))</f>
        <v/>
      </c>
      <c r="F2099">
        <f>AND(k_n&gt;=5,B2099&gt;A2099+1E-9,C2099&gt;=2,D2099&gt;=1,E2099&gt;=2)</f>
        <v/>
      </c>
      <c r="G2099">
        <f>SUMPRODUCT(Calc!$K$3:$K$22*(Calc!$G$3:$G$22&gt;A2099)*(Calc!$G$3:$G$22-A2099))</f>
        <v/>
      </c>
      <c r="H2099">
        <f>SUMPRODUCT(Calc!$K$3:$K$22*(Calc!$G$3:$G$22&gt;B2099)*(Calc!$G$3:$G$22-B2099))</f>
        <v/>
      </c>
      <c r="I2099">
        <f>SUMPRODUCT(Calc!$K$3:$K$22*(Calc!$G$3:$G$22&gt;A2099)*(Calc!$G$3:$G$22-A2099)^2)</f>
        <v/>
      </c>
      <c r="J2099">
        <f>SUMPRODUCT(Calc!$K$3:$K$22*(Calc!$G$3:$G$22&gt;B2099)*(Calc!$G$3:$G$22-B2099)^2)</f>
        <v/>
      </c>
      <c r="K2099">
        <f>SUMPRODUCT(Calc!$K$3:$K$22*(Calc!$G$3:$G$22&gt;A2099)*(Calc!$G$3:$G$22-A2099)*(Calc!$G$3:$G$22&gt;B2099)*(Calc!$G$3:$G$22-B2099))</f>
        <v/>
      </c>
      <c r="L2099">
        <f>SUMPRODUCT(Calc!$K$3:$K$22*(Calc!$G$3:$G$22&gt;A2099)*(Calc!$G$3:$G$22-A2099)*Calc!$G$3:$G$22)</f>
        <v/>
      </c>
      <c r="M2099">
        <f>SUMPRODUCT(Calc!$K$3:$K$22*(Calc!$G$3:$G$22&gt;B2099)*(Calc!$G$3:$G$22-B2099)*Calc!$G$3:$G$22)</f>
        <v/>
      </c>
      <c r="N2099">
        <f>SUMPRODUCT(Calc!$K$3:$K$22*(Calc!$G$3:$G$22&gt;A2099)*(Calc!$G$3:$G$22-A2099)*Calc!$I$3:$I$22)</f>
        <v/>
      </c>
      <c r="O2099">
        <f>SUMPRODUCT(Calc!$K$3:$K$22*(Calc!$G$3:$G$22&gt;B2099)*(Calc!$G$3:$G$22-B2099)*Calc!$I$3:$I$22)</f>
        <v/>
      </c>
      <c r="P2099">
        <f>I2099-G2099^2/k_n</f>
        <v/>
      </c>
      <c r="Q2099">
        <f>J2099-H2099^2/k_n</f>
        <v/>
      </c>
      <c r="R2099">
        <f>K2099-G2099*H2099/k_n</f>
        <v/>
      </c>
      <c r="S2099">
        <f>L2099-LTP3!$D$3*G2099/k_n</f>
        <v/>
      </c>
      <c r="T2099">
        <f>M2099-LTP3!$D$3*H2099/k_n</f>
        <v/>
      </c>
      <c r="U2099">
        <f>N2099-G2099*LTP3!$D$4/k_n</f>
        <v/>
      </c>
      <c r="V2099">
        <f>O2099-H2099*LTP3!$D$4/k_n</f>
        <v/>
      </c>
      <c r="W2099">
        <f>((LTP3!$D$5)*((P2099)*(Q2099)-(R2099)*(R2099))-(S2099)*((S2099)*(Q2099)-(R2099)*(T2099))+(T2099)*((S2099)*(R2099)-(P2099)*(T2099)))</f>
        <v/>
      </c>
      <c r="X2099">
        <f>IF(ABS(W2099)&gt;1E-12,((LTP3!$D$6)*((P2099)*(Q2099)-(R2099)*(R2099))-(S2099)*((U2099)*(Q2099)-(R2099)*(V2099))+(T2099)*((U2099)*(R2099)-(P2099)*(V2099)))/W2099,0)</f>
        <v/>
      </c>
      <c r="Y2099">
        <f>IF(ABS(W2099)&gt;1E-12,((LTP3!$D$5)*((U2099)*(Q2099)-(R2099)*(V2099))-(LTP3!$D$6)*((S2099)*(Q2099)-(R2099)*(T2099))+(T2099)*((S2099)*(V2099)-(U2099)*(T2099)))/W2099,0)</f>
        <v/>
      </c>
      <c r="Z2099">
        <f>IF(ABS(W2099)&gt;1E-12,((LTP3!$D$5)*((P2099)*(V2099)-(U2099)*(R2099))-(S2099)*((S2099)*(V2099)-(U2099)*(T2099))+(LTP3!$D$6)*((S2099)*(R2099)-(P2099)*(T2099)))/W2099,0)</f>
        <v/>
      </c>
      <c r="AA2099">
        <f>LTP3!$D$7-X2099*LTP3!$D$6-Y2099*U2099-Z2099*V2099</f>
        <v/>
      </c>
      <c r="AB2099">
        <f>IF(AND(F2099,ABS(W2099)&gt;1E-12,Y2099&gt;0,Z2099&gt;0),AA2099,1E+300)</f>
        <v/>
      </c>
    </row>
    <row r="2100">
      <c r="A2100">
        <f>$B$3+$B$5*34</f>
        <v/>
      </c>
      <c r="B2100">
        <f>$B$3+$B$5*14</f>
        <v/>
      </c>
      <c r="C2100">
        <f>SUMPRODUCT(Calc!$K$3:$K$22*(Calc!$G$3:$G$22&lt;=A2100))</f>
        <v/>
      </c>
      <c r="D2100">
        <f>SUMPRODUCT(Calc!$K$3:$K$22*(Calc!$G$3:$G$22&gt;A2100)*(Calc!$G$3:$G$22&lt;B2100))</f>
        <v/>
      </c>
      <c r="E2100">
        <f>SUMPRODUCT(Calc!$K$3:$K$22*(Calc!$G$3:$G$22&gt;=B2100))</f>
        <v/>
      </c>
      <c r="F2100">
        <f>AND(k_n&gt;=5,B2100&gt;A2100+1E-9,C2100&gt;=2,D2100&gt;=1,E2100&gt;=2)</f>
        <v/>
      </c>
      <c r="G2100">
        <f>SUMPRODUCT(Calc!$K$3:$K$22*(Calc!$G$3:$G$22&gt;A2100)*(Calc!$G$3:$G$22-A2100))</f>
        <v/>
      </c>
      <c r="H2100">
        <f>SUMPRODUCT(Calc!$K$3:$K$22*(Calc!$G$3:$G$22&gt;B2100)*(Calc!$G$3:$G$22-B2100))</f>
        <v/>
      </c>
      <c r="I2100">
        <f>SUMPRODUCT(Calc!$K$3:$K$22*(Calc!$G$3:$G$22&gt;A2100)*(Calc!$G$3:$G$22-A2100)^2)</f>
        <v/>
      </c>
      <c r="J2100">
        <f>SUMPRODUCT(Calc!$K$3:$K$22*(Calc!$G$3:$G$22&gt;B2100)*(Calc!$G$3:$G$22-B2100)^2)</f>
        <v/>
      </c>
      <c r="K2100">
        <f>SUMPRODUCT(Calc!$K$3:$K$22*(Calc!$G$3:$G$22&gt;A2100)*(Calc!$G$3:$G$22-A2100)*(Calc!$G$3:$G$22&gt;B2100)*(Calc!$G$3:$G$22-B2100))</f>
        <v/>
      </c>
      <c r="L2100">
        <f>SUMPRODUCT(Calc!$K$3:$K$22*(Calc!$G$3:$G$22&gt;A2100)*(Calc!$G$3:$G$22-A2100)*Calc!$G$3:$G$22)</f>
        <v/>
      </c>
      <c r="M2100">
        <f>SUMPRODUCT(Calc!$K$3:$K$22*(Calc!$G$3:$G$22&gt;B2100)*(Calc!$G$3:$G$22-B2100)*Calc!$G$3:$G$22)</f>
        <v/>
      </c>
      <c r="N2100">
        <f>SUMPRODUCT(Calc!$K$3:$K$22*(Calc!$G$3:$G$22&gt;A2100)*(Calc!$G$3:$G$22-A2100)*Calc!$I$3:$I$22)</f>
        <v/>
      </c>
      <c r="O2100">
        <f>SUMPRODUCT(Calc!$K$3:$K$22*(Calc!$G$3:$G$22&gt;B2100)*(Calc!$G$3:$G$22-B2100)*Calc!$I$3:$I$22)</f>
        <v/>
      </c>
      <c r="P2100">
        <f>I2100-G2100^2/k_n</f>
        <v/>
      </c>
      <c r="Q2100">
        <f>J2100-H2100^2/k_n</f>
        <v/>
      </c>
      <c r="R2100">
        <f>K2100-G2100*H2100/k_n</f>
        <v/>
      </c>
      <c r="S2100">
        <f>L2100-LTP3!$D$3*G2100/k_n</f>
        <v/>
      </c>
      <c r="T2100">
        <f>M2100-LTP3!$D$3*H2100/k_n</f>
        <v/>
      </c>
      <c r="U2100">
        <f>N2100-G2100*LTP3!$D$4/k_n</f>
        <v/>
      </c>
      <c r="V2100">
        <f>O2100-H2100*LTP3!$D$4/k_n</f>
        <v/>
      </c>
      <c r="W2100">
        <f>((LTP3!$D$5)*((P2100)*(Q2100)-(R2100)*(R2100))-(S2100)*((S2100)*(Q2100)-(R2100)*(T2100))+(T2100)*((S2100)*(R2100)-(P2100)*(T2100)))</f>
        <v/>
      </c>
      <c r="X2100">
        <f>IF(ABS(W2100)&gt;1E-12,((LTP3!$D$6)*((P2100)*(Q2100)-(R2100)*(R2100))-(S2100)*((U2100)*(Q2100)-(R2100)*(V2100))+(T2100)*((U2100)*(R2100)-(P2100)*(V2100)))/W2100,0)</f>
        <v/>
      </c>
      <c r="Y2100">
        <f>IF(ABS(W2100)&gt;1E-12,((LTP3!$D$5)*((U2100)*(Q2100)-(R2100)*(V2100))-(LTP3!$D$6)*((S2100)*(Q2100)-(R2100)*(T2100))+(T2100)*((S2100)*(V2100)-(U2100)*(T2100)))/W2100,0)</f>
        <v/>
      </c>
      <c r="Z2100">
        <f>IF(ABS(W2100)&gt;1E-12,((LTP3!$D$5)*((P2100)*(V2100)-(U2100)*(R2100))-(S2100)*((S2100)*(V2100)-(U2100)*(T2100))+(LTP3!$D$6)*((S2100)*(R2100)-(P2100)*(T2100)))/W2100,0)</f>
        <v/>
      </c>
      <c r="AA2100">
        <f>LTP3!$D$7-X2100*LTP3!$D$6-Y2100*U2100-Z2100*V2100</f>
        <v/>
      </c>
      <c r="AB2100">
        <f>IF(AND(F2100,ABS(W2100)&gt;1E-12,Y2100&gt;0,Z2100&gt;0),AA2100,1E+300)</f>
        <v/>
      </c>
    </row>
    <row r="2101">
      <c r="A2101">
        <f>$B$3+$B$5*34</f>
        <v/>
      </c>
      <c r="B2101">
        <f>$B$3+$B$5*15</f>
        <v/>
      </c>
      <c r="C2101">
        <f>SUMPRODUCT(Calc!$K$3:$K$22*(Calc!$G$3:$G$22&lt;=A2101))</f>
        <v/>
      </c>
      <c r="D2101">
        <f>SUMPRODUCT(Calc!$K$3:$K$22*(Calc!$G$3:$G$22&gt;A2101)*(Calc!$G$3:$G$22&lt;B2101))</f>
        <v/>
      </c>
      <c r="E2101">
        <f>SUMPRODUCT(Calc!$K$3:$K$22*(Calc!$G$3:$G$22&gt;=B2101))</f>
        <v/>
      </c>
      <c r="F2101">
        <f>AND(k_n&gt;=5,B2101&gt;A2101+1E-9,C2101&gt;=2,D2101&gt;=1,E2101&gt;=2)</f>
        <v/>
      </c>
      <c r="G2101">
        <f>SUMPRODUCT(Calc!$K$3:$K$22*(Calc!$G$3:$G$22&gt;A2101)*(Calc!$G$3:$G$22-A2101))</f>
        <v/>
      </c>
      <c r="H2101">
        <f>SUMPRODUCT(Calc!$K$3:$K$22*(Calc!$G$3:$G$22&gt;B2101)*(Calc!$G$3:$G$22-B2101))</f>
        <v/>
      </c>
      <c r="I2101">
        <f>SUMPRODUCT(Calc!$K$3:$K$22*(Calc!$G$3:$G$22&gt;A2101)*(Calc!$G$3:$G$22-A2101)^2)</f>
        <v/>
      </c>
      <c r="J2101">
        <f>SUMPRODUCT(Calc!$K$3:$K$22*(Calc!$G$3:$G$22&gt;B2101)*(Calc!$G$3:$G$22-B2101)^2)</f>
        <v/>
      </c>
      <c r="K2101">
        <f>SUMPRODUCT(Calc!$K$3:$K$22*(Calc!$G$3:$G$22&gt;A2101)*(Calc!$G$3:$G$22-A2101)*(Calc!$G$3:$G$22&gt;B2101)*(Calc!$G$3:$G$22-B2101))</f>
        <v/>
      </c>
      <c r="L2101">
        <f>SUMPRODUCT(Calc!$K$3:$K$22*(Calc!$G$3:$G$22&gt;A2101)*(Calc!$G$3:$G$22-A2101)*Calc!$G$3:$G$22)</f>
        <v/>
      </c>
      <c r="M2101">
        <f>SUMPRODUCT(Calc!$K$3:$K$22*(Calc!$G$3:$G$22&gt;B2101)*(Calc!$G$3:$G$22-B2101)*Calc!$G$3:$G$22)</f>
        <v/>
      </c>
      <c r="N2101">
        <f>SUMPRODUCT(Calc!$K$3:$K$22*(Calc!$G$3:$G$22&gt;A2101)*(Calc!$G$3:$G$22-A2101)*Calc!$I$3:$I$22)</f>
        <v/>
      </c>
      <c r="O2101">
        <f>SUMPRODUCT(Calc!$K$3:$K$22*(Calc!$G$3:$G$22&gt;B2101)*(Calc!$G$3:$G$22-B2101)*Calc!$I$3:$I$22)</f>
        <v/>
      </c>
      <c r="P2101">
        <f>I2101-G2101^2/k_n</f>
        <v/>
      </c>
      <c r="Q2101">
        <f>J2101-H2101^2/k_n</f>
        <v/>
      </c>
      <c r="R2101">
        <f>K2101-G2101*H2101/k_n</f>
        <v/>
      </c>
      <c r="S2101">
        <f>L2101-LTP3!$D$3*G2101/k_n</f>
        <v/>
      </c>
      <c r="T2101">
        <f>M2101-LTP3!$D$3*H2101/k_n</f>
        <v/>
      </c>
      <c r="U2101">
        <f>N2101-G2101*LTP3!$D$4/k_n</f>
        <v/>
      </c>
      <c r="V2101">
        <f>O2101-H2101*LTP3!$D$4/k_n</f>
        <v/>
      </c>
      <c r="W2101">
        <f>((LTP3!$D$5)*((P2101)*(Q2101)-(R2101)*(R2101))-(S2101)*((S2101)*(Q2101)-(R2101)*(T2101))+(T2101)*((S2101)*(R2101)-(P2101)*(T2101)))</f>
        <v/>
      </c>
      <c r="X2101">
        <f>IF(ABS(W2101)&gt;1E-12,((LTP3!$D$6)*((P2101)*(Q2101)-(R2101)*(R2101))-(S2101)*((U2101)*(Q2101)-(R2101)*(V2101))+(T2101)*((U2101)*(R2101)-(P2101)*(V2101)))/W2101,0)</f>
        <v/>
      </c>
      <c r="Y2101">
        <f>IF(ABS(W2101)&gt;1E-12,((LTP3!$D$5)*((U2101)*(Q2101)-(R2101)*(V2101))-(LTP3!$D$6)*((S2101)*(Q2101)-(R2101)*(T2101))+(T2101)*((S2101)*(V2101)-(U2101)*(T2101)))/W2101,0)</f>
        <v/>
      </c>
      <c r="Z2101">
        <f>IF(ABS(W2101)&gt;1E-12,((LTP3!$D$5)*((P2101)*(V2101)-(U2101)*(R2101))-(S2101)*((S2101)*(V2101)-(U2101)*(T2101))+(LTP3!$D$6)*((S2101)*(R2101)-(P2101)*(T2101)))/W2101,0)</f>
        <v/>
      </c>
      <c r="AA2101">
        <f>LTP3!$D$7-X2101*LTP3!$D$6-Y2101*U2101-Z2101*V2101</f>
        <v/>
      </c>
      <c r="AB2101">
        <f>IF(AND(F2101,ABS(W2101)&gt;1E-12,Y2101&gt;0,Z2101&gt;0),AA2101,1E+300)</f>
        <v/>
      </c>
    </row>
    <row r="2102">
      <c r="A2102">
        <f>$B$3+$B$5*34</f>
        <v/>
      </c>
      <c r="B2102">
        <f>$B$3+$B$5*16</f>
        <v/>
      </c>
      <c r="C2102">
        <f>SUMPRODUCT(Calc!$K$3:$K$22*(Calc!$G$3:$G$22&lt;=A2102))</f>
        <v/>
      </c>
      <c r="D2102">
        <f>SUMPRODUCT(Calc!$K$3:$K$22*(Calc!$G$3:$G$22&gt;A2102)*(Calc!$G$3:$G$22&lt;B2102))</f>
        <v/>
      </c>
      <c r="E2102">
        <f>SUMPRODUCT(Calc!$K$3:$K$22*(Calc!$G$3:$G$22&gt;=B2102))</f>
        <v/>
      </c>
      <c r="F2102">
        <f>AND(k_n&gt;=5,B2102&gt;A2102+1E-9,C2102&gt;=2,D2102&gt;=1,E2102&gt;=2)</f>
        <v/>
      </c>
      <c r="G2102">
        <f>SUMPRODUCT(Calc!$K$3:$K$22*(Calc!$G$3:$G$22&gt;A2102)*(Calc!$G$3:$G$22-A2102))</f>
        <v/>
      </c>
      <c r="H2102">
        <f>SUMPRODUCT(Calc!$K$3:$K$22*(Calc!$G$3:$G$22&gt;B2102)*(Calc!$G$3:$G$22-B2102))</f>
        <v/>
      </c>
      <c r="I2102">
        <f>SUMPRODUCT(Calc!$K$3:$K$22*(Calc!$G$3:$G$22&gt;A2102)*(Calc!$G$3:$G$22-A2102)^2)</f>
        <v/>
      </c>
      <c r="J2102">
        <f>SUMPRODUCT(Calc!$K$3:$K$22*(Calc!$G$3:$G$22&gt;B2102)*(Calc!$G$3:$G$22-B2102)^2)</f>
        <v/>
      </c>
      <c r="K2102">
        <f>SUMPRODUCT(Calc!$K$3:$K$22*(Calc!$G$3:$G$22&gt;A2102)*(Calc!$G$3:$G$22-A2102)*(Calc!$G$3:$G$22&gt;B2102)*(Calc!$G$3:$G$22-B2102))</f>
        <v/>
      </c>
      <c r="L2102">
        <f>SUMPRODUCT(Calc!$K$3:$K$22*(Calc!$G$3:$G$22&gt;A2102)*(Calc!$G$3:$G$22-A2102)*Calc!$G$3:$G$22)</f>
        <v/>
      </c>
      <c r="M2102">
        <f>SUMPRODUCT(Calc!$K$3:$K$22*(Calc!$G$3:$G$22&gt;B2102)*(Calc!$G$3:$G$22-B2102)*Calc!$G$3:$G$22)</f>
        <v/>
      </c>
      <c r="N2102">
        <f>SUMPRODUCT(Calc!$K$3:$K$22*(Calc!$G$3:$G$22&gt;A2102)*(Calc!$G$3:$G$22-A2102)*Calc!$I$3:$I$22)</f>
        <v/>
      </c>
      <c r="O2102">
        <f>SUMPRODUCT(Calc!$K$3:$K$22*(Calc!$G$3:$G$22&gt;B2102)*(Calc!$G$3:$G$22-B2102)*Calc!$I$3:$I$22)</f>
        <v/>
      </c>
      <c r="P2102">
        <f>I2102-G2102^2/k_n</f>
        <v/>
      </c>
      <c r="Q2102">
        <f>J2102-H2102^2/k_n</f>
        <v/>
      </c>
      <c r="R2102">
        <f>K2102-G2102*H2102/k_n</f>
        <v/>
      </c>
      <c r="S2102">
        <f>L2102-LTP3!$D$3*G2102/k_n</f>
        <v/>
      </c>
      <c r="T2102">
        <f>M2102-LTP3!$D$3*H2102/k_n</f>
        <v/>
      </c>
      <c r="U2102">
        <f>N2102-G2102*LTP3!$D$4/k_n</f>
        <v/>
      </c>
      <c r="V2102">
        <f>O2102-H2102*LTP3!$D$4/k_n</f>
        <v/>
      </c>
      <c r="W2102">
        <f>((LTP3!$D$5)*((P2102)*(Q2102)-(R2102)*(R2102))-(S2102)*((S2102)*(Q2102)-(R2102)*(T2102))+(T2102)*((S2102)*(R2102)-(P2102)*(T2102)))</f>
        <v/>
      </c>
      <c r="X2102">
        <f>IF(ABS(W2102)&gt;1E-12,((LTP3!$D$6)*((P2102)*(Q2102)-(R2102)*(R2102))-(S2102)*((U2102)*(Q2102)-(R2102)*(V2102))+(T2102)*((U2102)*(R2102)-(P2102)*(V2102)))/W2102,0)</f>
        <v/>
      </c>
      <c r="Y2102">
        <f>IF(ABS(W2102)&gt;1E-12,((LTP3!$D$5)*((U2102)*(Q2102)-(R2102)*(V2102))-(LTP3!$D$6)*((S2102)*(Q2102)-(R2102)*(T2102))+(T2102)*((S2102)*(V2102)-(U2102)*(T2102)))/W2102,0)</f>
        <v/>
      </c>
      <c r="Z2102">
        <f>IF(ABS(W2102)&gt;1E-12,((LTP3!$D$5)*((P2102)*(V2102)-(U2102)*(R2102))-(S2102)*((S2102)*(V2102)-(U2102)*(T2102))+(LTP3!$D$6)*((S2102)*(R2102)-(P2102)*(T2102)))/W2102,0)</f>
        <v/>
      </c>
      <c r="AA2102">
        <f>LTP3!$D$7-X2102*LTP3!$D$6-Y2102*U2102-Z2102*V2102</f>
        <v/>
      </c>
      <c r="AB2102">
        <f>IF(AND(F2102,ABS(W2102)&gt;1E-12,Y2102&gt;0,Z2102&gt;0),AA2102,1E+300)</f>
        <v/>
      </c>
    </row>
    <row r="2103">
      <c r="A2103">
        <f>$B$3+$B$5*34</f>
        <v/>
      </c>
      <c r="B2103">
        <f>$B$3+$B$5*17</f>
        <v/>
      </c>
      <c r="C2103">
        <f>SUMPRODUCT(Calc!$K$3:$K$22*(Calc!$G$3:$G$22&lt;=A2103))</f>
        <v/>
      </c>
      <c r="D2103">
        <f>SUMPRODUCT(Calc!$K$3:$K$22*(Calc!$G$3:$G$22&gt;A2103)*(Calc!$G$3:$G$22&lt;B2103))</f>
        <v/>
      </c>
      <c r="E2103">
        <f>SUMPRODUCT(Calc!$K$3:$K$22*(Calc!$G$3:$G$22&gt;=B2103))</f>
        <v/>
      </c>
      <c r="F2103">
        <f>AND(k_n&gt;=5,B2103&gt;A2103+1E-9,C2103&gt;=2,D2103&gt;=1,E2103&gt;=2)</f>
        <v/>
      </c>
      <c r="G2103">
        <f>SUMPRODUCT(Calc!$K$3:$K$22*(Calc!$G$3:$G$22&gt;A2103)*(Calc!$G$3:$G$22-A2103))</f>
        <v/>
      </c>
      <c r="H2103">
        <f>SUMPRODUCT(Calc!$K$3:$K$22*(Calc!$G$3:$G$22&gt;B2103)*(Calc!$G$3:$G$22-B2103))</f>
        <v/>
      </c>
      <c r="I2103">
        <f>SUMPRODUCT(Calc!$K$3:$K$22*(Calc!$G$3:$G$22&gt;A2103)*(Calc!$G$3:$G$22-A2103)^2)</f>
        <v/>
      </c>
      <c r="J2103">
        <f>SUMPRODUCT(Calc!$K$3:$K$22*(Calc!$G$3:$G$22&gt;B2103)*(Calc!$G$3:$G$22-B2103)^2)</f>
        <v/>
      </c>
      <c r="K2103">
        <f>SUMPRODUCT(Calc!$K$3:$K$22*(Calc!$G$3:$G$22&gt;A2103)*(Calc!$G$3:$G$22-A2103)*(Calc!$G$3:$G$22&gt;B2103)*(Calc!$G$3:$G$22-B2103))</f>
        <v/>
      </c>
      <c r="L2103">
        <f>SUMPRODUCT(Calc!$K$3:$K$22*(Calc!$G$3:$G$22&gt;A2103)*(Calc!$G$3:$G$22-A2103)*Calc!$G$3:$G$22)</f>
        <v/>
      </c>
      <c r="M2103">
        <f>SUMPRODUCT(Calc!$K$3:$K$22*(Calc!$G$3:$G$22&gt;B2103)*(Calc!$G$3:$G$22-B2103)*Calc!$G$3:$G$22)</f>
        <v/>
      </c>
      <c r="N2103">
        <f>SUMPRODUCT(Calc!$K$3:$K$22*(Calc!$G$3:$G$22&gt;A2103)*(Calc!$G$3:$G$22-A2103)*Calc!$I$3:$I$22)</f>
        <v/>
      </c>
      <c r="O2103">
        <f>SUMPRODUCT(Calc!$K$3:$K$22*(Calc!$G$3:$G$22&gt;B2103)*(Calc!$G$3:$G$22-B2103)*Calc!$I$3:$I$22)</f>
        <v/>
      </c>
      <c r="P2103">
        <f>I2103-G2103^2/k_n</f>
        <v/>
      </c>
      <c r="Q2103">
        <f>J2103-H2103^2/k_n</f>
        <v/>
      </c>
      <c r="R2103">
        <f>K2103-G2103*H2103/k_n</f>
        <v/>
      </c>
      <c r="S2103">
        <f>L2103-LTP3!$D$3*G2103/k_n</f>
        <v/>
      </c>
      <c r="T2103">
        <f>M2103-LTP3!$D$3*H2103/k_n</f>
        <v/>
      </c>
      <c r="U2103">
        <f>N2103-G2103*LTP3!$D$4/k_n</f>
        <v/>
      </c>
      <c r="V2103">
        <f>O2103-H2103*LTP3!$D$4/k_n</f>
        <v/>
      </c>
      <c r="W2103">
        <f>((LTP3!$D$5)*((P2103)*(Q2103)-(R2103)*(R2103))-(S2103)*((S2103)*(Q2103)-(R2103)*(T2103))+(T2103)*((S2103)*(R2103)-(P2103)*(T2103)))</f>
        <v/>
      </c>
      <c r="X2103">
        <f>IF(ABS(W2103)&gt;1E-12,((LTP3!$D$6)*((P2103)*(Q2103)-(R2103)*(R2103))-(S2103)*((U2103)*(Q2103)-(R2103)*(V2103))+(T2103)*((U2103)*(R2103)-(P2103)*(V2103)))/W2103,0)</f>
        <v/>
      </c>
      <c r="Y2103">
        <f>IF(ABS(W2103)&gt;1E-12,((LTP3!$D$5)*((U2103)*(Q2103)-(R2103)*(V2103))-(LTP3!$D$6)*((S2103)*(Q2103)-(R2103)*(T2103))+(T2103)*((S2103)*(V2103)-(U2103)*(T2103)))/W2103,0)</f>
        <v/>
      </c>
      <c r="Z2103">
        <f>IF(ABS(W2103)&gt;1E-12,((LTP3!$D$5)*((P2103)*(V2103)-(U2103)*(R2103))-(S2103)*((S2103)*(V2103)-(U2103)*(T2103))+(LTP3!$D$6)*((S2103)*(R2103)-(P2103)*(T2103)))/W2103,0)</f>
        <v/>
      </c>
      <c r="AA2103">
        <f>LTP3!$D$7-X2103*LTP3!$D$6-Y2103*U2103-Z2103*V2103</f>
        <v/>
      </c>
      <c r="AB2103">
        <f>IF(AND(F2103,ABS(W2103)&gt;1E-12,Y2103&gt;0,Z2103&gt;0),AA2103,1E+300)</f>
        <v/>
      </c>
    </row>
    <row r="2104">
      <c r="A2104">
        <f>$B$3+$B$5*34</f>
        <v/>
      </c>
      <c r="B2104">
        <f>$B$3+$B$5*18</f>
        <v/>
      </c>
      <c r="C2104">
        <f>SUMPRODUCT(Calc!$K$3:$K$22*(Calc!$G$3:$G$22&lt;=A2104))</f>
        <v/>
      </c>
      <c r="D2104">
        <f>SUMPRODUCT(Calc!$K$3:$K$22*(Calc!$G$3:$G$22&gt;A2104)*(Calc!$G$3:$G$22&lt;B2104))</f>
        <v/>
      </c>
      <c r="E2104">
        <f>SUMPRODUCT(Calc!$K$3:$K$22*(Calc!$G$3:$G$22&gt;=B2104))</f>
        <v/>
      </c>
      <c r="F2104">
        <f>AND(k_n&gt;=5,B2104&gt;A2104+1E-9,C2104&gt;=2,D2104&gt;=1,E2104&gt;=2)</f>
        <v/>
      </c>
      <c r="G2104">
        <f>SUMPRODUCT(Calc!$K$3:$K$22*(Calc!$G$3:$G$22&gt;A2104)*(Calc!$G$3:$G$22-A2104))</f>
        <v/>
      </c>
      <c r="H2104">
        <f>SUMPRODUCT(Calc!$K$3:$K$22*(Calc!$G$3:$G$22&gt;B2104)*(Calc!$G$3:$G$22-B2104))</f>
        <v/>
      </c>
      <c r="I2104">
        <f>SUMPRODUCT(Calc!$K$3:$K$22*(Calc!$G$3:$G$22&gt;A2104)*(Calc!$G$3:$G$22-A2104)^2)</f>
        <v/>
      </c>
      <c r="J2104">
        <f>SUMPRODUCT(Calc!$K$3:$K$22*(Calc!$G$3:$G$22&gt;B2104)*(Calc!$G$3:$G$22-B2104)^2)</f>
        <v/>
      </c>
      <c r="K2104">
        <f>SUMPRODUCT(Calc!$K$3:$K$22*(Calc!$G$3:$G$22&gt;A2104)*(Calc!$G$3:$G$22-A2104)*(Calc!$G$3:$G$22&gt;B2104)*(Calc!$G$3:$G$22-B2104))</f>
        <v/>
      </c>
      <c r="L2104">
        <f>SUMPRODUCT(Calc!$K$3:$K$22*(Calc!$G$3:$G$22&gt;A2104)*(Calc!$G$3:$G$22-A2104)*Calc!$G$3:$G$22)</f>
        <v/>
      </c>
      <c r="M2104">
        <f>SUMPRODUCT(Calc!$K$3:$K$22*(Calc!$G$3:$G$22&gt;B2104)*(Calc!$G$3:$G$22-B2104)*Calc!$G$3:$G$22)</f>
        <v/>
      </c>
      <c r="N2104">
        <f>SUMPRODUCT(Calc!$K$3:$K$22*(Calc!$G$3:$G$22&gt;A2104)*(Calc!$G$3:$G$22-A2104)*Calc!$I$3:$I$22)</f>
        <v/>
      </c>
      <c r="O2104">
        <f>SUMPRODUCT(Calc!$K$3:$K$22*(Calc!$G$3:$G$22&gt;B2104)*(Calc!$G$3:$G$22-B2104)*Calc!$I$3:$I$22)</f>
        <v/>
      </c>
      <c r="P2104">
        <f>I2104-G2104^2/k_n</f>
        <v/>
      </c>
      <c r="Q2104">
        <f>J2104-H2104^2/k_n</f>
        <v/>
      </c>
      <c r="R2104">
        <f>K2104-G2104*H2104/k_n</f>
        <v/>
      </c>
      <c r="S2104">
        <f>L2104-LTP3!$D$3*G2104/k_n</f>
        <v/>
      </c>
      <c r="T2104">
        <f>M2104-LTP3!$D$3*H2104/k_n</f>
        <v/>
      </c>
      <c r="U2104">
        <f>N2104-G2104*LTP3!$D$4/k_n</f>
        <v/>
      </c>
      <c r="V2104">
        <f>O2104-H2104*LTP3!$D$4/k_n</f>
        <v/>
      </c>
      <c r="W2104">
        <f>((LTP3!$D$5)*((P2104)*(Q2104)-(R2104)*(R2104))-(S2104)*((S2104)*(Q2104)-(R2104)*(T2104))+(T2104)*((S2104)*(R2104)-(P2104)*(T2104)))</f>
        <v/>
      </c>
      <c r="X2104">
        <f>IF(ABS(W2104)&gt;1E-12,((LTP3!$D$6)*((P2104)*(Q2104)-(R2104)*(R2104))-(S2104)*((U2104)*(Q2104)-(R2104)*(V2104))+(T2104)*((U2104)*(R2104)-(P2104)*(V2104)))/W2104,0)</f>
        <v/>
      </c>
      <c r="Y2104">
        <f>IF(ABS(W2104)&gt;1E-12,((LTP3!$D$5)*((U2104)*(Q2104)-(R2104)*(V2104))-(LTP3!$D$6)*((S2104)*(Q2104)-(R2104)*(T2104))+(T2104)*((S2104)*(V2104)-(U2104)*(T2104)))/W2104,0)</f>
        <v/>
      </c>
      <c r="Z2104">
        <f>IF(ABS(W2104)&gt;1E-12,((LTP3!$D$5)*((P2104)*(V2104)-(U2104)*(R2104))-(S2104)*((S2104)*(V2104)-(U2104)*(T2104))+(LTP3!$D$6)*((S2104)*(R2104)-(P2104)*(T2104)))/W2104,0)</f>
        <v/>
      </c>
      <c r="AA2104">
        <f>LTP3!$D$7-X2104*LTP3!$D$6-Y2104*U2104-Z2104*V2104</f>
        <v/>
      </c>
      <c r="AB2104">
        <f>IF(AND(F2104,ABS(W2104)&gt;1E-12,Y2104&gt;0,Z2104&gt;0),AA2104,1E+300)</f>
        <v/>
      </c>
    </row>
    <row r="2105">
      <c r="A2105">
        <f>$B$3+$B$5*34</f>
        <v/>
      </c>
      <c r="B2105">
        <f>$B$3+$B$5*19</f>
        <v/>
      </c>
      <c r="C2105">
        <f>SUMPRODUCT(Calc!$K$3:$K$22*(Calc!$G$3:$G$22&lt;=A2105))</f>
        <v/>
      </c>
      <c r="D2105">
        <f>SUMPRODUCT(Calc!$K$3:$K$22*(Calc!$G$3:$G$22&gt;A2105)*(Calc!$G$3:$G$22&lt;B2105))</f>
        <v/>
      </c>
      <c r="E2105">
        <f>SUMPRODUCT(Calc!$K$3:$K$22*(Calc!$G$3:$G$22&gt;=B2105))</f>
        <v/>
      </c>
      <c r="F2105">
        <f>AND(k_n&gt;=5,B2105&gt;A2105+1E-9,C2105&gt;=2,D2105&gt;=1,E2105&gt;=2)</f>
        <v/>
      </c>
      <c r="G2105">
        <f>SUMPRODUCT(Calc!$K$3:$K$22*(Calc!$G$3:$G$22&gt;A2105)*(Calc!$G$3:$G$22-A2105))</f>
        <v/>
      </c>
      <c r="H2105">
        <f>SUMPRODUCT(Calc!$K$3:$K$22*(Calc!$G$3:$G$22&gt;B2105)*(Calc!$G$3:$G$22-B2105))</f>
        <v/>
      </c>
      <c r="I2105">
        <f>SUMPRODUCT(Calc!$K$3:$K$22*(Calc!$G$3:$G$22&gt;A2105)*(Calc!$G$3:$G$22-A2105)^2)</f>
        <v/>
      </c>
      <c r="J2105">
        <f>SUMPRODUCT(Calc!$K$3:$K$22*(Calc!$G$3:$G$22&gt;B2105)*(Calc!$G$3:$G$22-B2105)^2)</f>
        <v/>
      </c>
      <c r="K2105">
        <f>SUMPRODUCT(Calc!$K$3:$K$22*(Calc!$G$3:$G$22&gt;A2105)*(Calc!$G$3:$G$22-A2105)*(Calc!$G$3:$G$22&gt;B2105)*(Calc!$G$3:$G$22-B2105))</f>
        <v/>
      </c>
      <c r="L2105">
        <f>SUMPRODUCT(Calc!$K$3:$K$22*(Calc!$G$3:$G$22&gt;A2105)*(Calc!$G$3:$G$22-A2105)*Calc!$G$3:$G$22)</f>
        <v/>
      </c>
      <c r="M2105">
        <f>SUMPRODUCT(Calc!$K$3:$K$22*(Calc!$G$3:$G$22&gt;B2105)*(Calc!$G$3:$G$22-B2105)*Calc!$G$3:$G$22)</f>
        <v/>
      </c>
      <c r="N2105">
        <f>SUMPRODUCT(Calc!$K$3:$K$22*(Calc!$G$3:$G$22&gt;A2105)*(Calc!$G$3:$G$22-A2105)*Calc!$I$3:$I$22)</f>
        <v/>
      </c>
      <c r="O2105">
        <f>SUMPRODUCT(Calc!$K$3:$K$22*(Calc!$G$3:$G$22&gt;B2105)*(Calc!$G$3:$G$22-B2105)*Calc!$I$3:$I$22)</f>
        <v/>
      </c>
      <c r="P2105">
        <f>I2105-G2105^2/k_n</f>
        <v/>
      </c>
      <c r="Q2105">
        <f>J2105-H2105^2/k_n</f>
        <v/>
      </c>
      <c r="R2105">
        <f>K2105-G2105*H2105/k_n</f>
        <v/>
      </c>
      <c r="S2105">
        <f>L2105-LTP3!$D$3*G2105/k_n</f>
        <v/>
      </c>
      <c r="T2105">
        <f>M2105-LTP3!$D$3*H2105/k_n</f>
        <v/>
      </c>
      <c r="U2105">
        <f>N2105-G2105*LTP3!$D$4/k_n</f>
        <v/>
      </c>
      <c r="V2105">
        <f>O2105-H2105*LTP3!$D$4/k_n</f>
        <v/>
      </c>
      <c r="W2105">
        <f>((LTP3!$D$5)*((P2105)*(Q2105)-(R2105)*(R2105))-(S2105)*((S2105)*(Q2105)-(R2105)*(T2105))+(T2105)*((S2105)*(R2105)-(P2105)*(T2105)))</f>
        <v/>
      </c>
      <c r="X2105">
        <f>IF(ABS(W2105)&gt;1E-12,((LTP3!$D$6)*((P2105)*(Q2105)-(R2105)*(R2105))-(S2105)*((U2105)*(Q2105)-(R2105)*(V2105))+(T2105)*((U2105)*(R2105)-(P2105)*(V2105)))/W2105,0)</f>
        <v/>
      </c>
      <c r="Y2105">
        <f>IF(ABS(W2105)&gt;1E-12,((LTP3!$D$5)*((U2105)*(Q2105)-(R2105)*(V2105))-(LTP3!$D$6)*((S2105)*(Q2105)-(R2105)*(T2105))+(T2105)*((S2105)*(V2105)-(U2105)*(T2105)))/W2105,0)</f>
        <v/>
      </c>
      <c r="Z2105">
        <f>IF(ABS(W2105)&gt;1E-12,((LTP3!$D$5)*((P2105)*(V2105)-(U2105)*(R2105))-(S2105)*((S2105)*(V2105)-(U2105)*(T2105))+(LTP3!$D$6)*((S2105)*(R2105)-(P2105)*(T2105)))/W2105,0)</f>
        <v/>
      </c>
      <c r="AA2105">
        <f>LTP3!$D$7-X2105*LTP3!$D$6-Y2105*U2105-Z2105*V2105</f>
        <v/>
      </c>
      <c r="AB2105">
        <f>IF(AND(F2105,ABS(W2105)&gt;1E-12,Y2105&gt;0,Z2105&gt;0),AA2105,1E+300)</f>
        <v/>
      </c>
    </row>
    <row r="2106">
      <c r="A2106">
        <f>$B$3+$B$5*34</f>
        <v/>
      </c>
      <c r="B2106">
        <f>$B$3+$B$5*20</f>
        <v/>
      </c>
      <c r="C2106">
        <f>SUMPRODUCT(Calc!$K$3:$K$22*(Calc!$G$3:$G$22&lt;=A2106))</f>
        <v/>
      </c>
      <c r="D2106">
        <f>SUMPRODUCT(Calc!$K$3:$K$22*(Calc!$G$3:$G$22&gt;A2106)*(Calc!$G$3:$G$22&lt;B2106))</f>
        <v/>
      </c>
      <c r="E2106">
        <f>SUMPRODUCT(Calc!$K$3:$K$22*(Calc!$G$3:$G$22&gt;=B2106))</f>
        <v/>
      </c>
      <c r="F2106">
        <f>AND(k_n&gt;=5,B2106&gt;A2106+1E-9,C2106&gt;=2,D2106&gt;=1,E2106&gt;=2)</f>
        <v/>
      </c>
      <c r="G2106">
        <f>SUMPRODUCT(Calc!$K$3:$K$22*(Calc!$G$3:$G$22&gt;A2106)*(Calc!$G$3:$G$22-A2106))</f>
        <v/>
      </c>
      <c r="H2106">
        <f>SUMPRODUCT(Calc!$K$3:$K$22*(Calc!$G$3:$G$22&gt;B2106)*(Calc!$G$3:$G$22-B2106))</f>
        <v/>
      </c>
      <c r="I2106">
        <f>SUMPRODUCT(Calc!$K$3:$K$22*(Calc!$G$3:$G$22&gt;A2106)*(Calc!$G$3:$G$22-A2106)^2)</f>
        <v/>
      </c>
      <c r="J2106">
        <f>SUMPRODUCT(Calc!$K$3:$K$22*(Calc!$G$3:$G$22&gt;B2106)*(Calc!$G$3:$G$22-B2106)^2)</f>
        <v/>
      </c>
      <c r="K2106">
        <f>SUMPRODUCT(Calc!$K$3:$K$22*(Calc!$G$3:$G$22&gt;A2106)*(Calc!$G$3:$G$22-A2106)*(Calc!$G$3:$G$22&gt;B2106)*(Calc!$G$3:$G$22-B2106))</f>
        <v/>
      </c>
      <c r="L2106">
        <f>SUMPRODUCT(Calc!$K$3:$K$22*(Calc!$G$3:$G$22&gt;A2106)*(Calc!$G$3:$G$22-A2106)*Calc!$G$3:$G$22)</f>
        <v/>
      </c>
      <c r="M2106">
        <f>SUMPRODUCT(Calc!$K$3:$K$22*(Calc!$G$3:$G$22&gt;B2106)*(Calc!$G$3:$G$22-B2106)*Calc!$G$3:$G$22)</f>
        <v/>
      </c>
      <c r="N2106">
        <f>SUMPRODUCT(Calc!$K$3:$K$22*(Calc!$G$3:$G$22&gt;A2106)*(Calc!$G$3:$G$22-A2106)*Calc!$I$3:$I$22)</f>
        <v/>
      </c>
      <c r="O2106">
        <f>SUMPRODUCT(Calc!$K$3:$K$22*(Calc!$G$3:$G$22&gt;B2106)*(Calc!$G$3:$G$22-B2106)*Calc!$I$3:$I$22)</f>
        <v/>
      </c>
      <c r="P2106">
        <f>I2106-G2106^2/k_n</f>
        <v/>
      </c>
      <c r="Q2106">
        <f>J2106-H2106^2/k_n</f>
        <v/>
      </c>
      <c r="R2106">
        <f>K2106-G2106*H2106/k_n</f>
        <v/>
      </c>
      <c r="S2106">
        <f>L2106-LTP3!$D$3*G2106/k_n</f>
        <v/>
      </c>
      <c r="T2106">
        <f>M2106-LTP3!$D$3*H2106/k_n</f>
        <v/>
      </c>
      <c r="U2106">
        <f>N2106-G2106*LTP3!$D$4/k_n</f>
        <v/>
      </c>
      <c r="V2106">
        <f>O2106-H2106*LTP3!$D$4/k_n</f>
        <v/>
      </c>
      <c r="W2106">
        <f>((LTP3!$D$5)*((P2106)*(Q2106)-(R2106)*(R2106))-(S2106)*((S2106)*(Q2106)-(R2106)*(T2106))+(T2106)*((S2106)*(R2106)-(P2106)*(T2106)))</f>
        <v/>
      </c>
      <c r="X2106">
        <f>IF(ABS(W2106)&gt;1E-12,((LTP3!$D$6)*((P2106)*(Q2106)-(R2106)*(R2106))-(S2106)*((U2106)*(Q2106)-(R2106)*(V2106))+(T2106)*((U2106)*(R2106)-(P2106)*(V2106)))/W2106,0)</f>
        <v/>
      </c>
      <c r="Y2106">
        <f>IF(ABS(W2106)&gt;1E-12,((LTP3!$D$5)*((U2106)*(Q2106)-(R2106)*(V2106))-(LTP3!$D$6)*((S2106)*(Q2106)-(R2106)*(T2106))+(T2106)*((S2106)*(V2106)-(U2106)*(T2106)))/W2106,0)</f>
        <v/>
      </c>
      <c r="Z2106">
        <f>IF(ABS(W2106)&gt;1E-12,((LTP3!$D$5)*((P2106)*(V2106)-(U2106)*(R2106))-(S2106)*((S2106)*(V2106)-(U2106)*(T2106))+(LTP3!$D$6)*((S2106)*(R2106)-(P2106)*(T2106)))/W2106,0)</f>
        <v/>
      </c>
      <c r="AA2106">
        <f>LTP3!$D$7-X2106*LTP3!$D$6-Y2106*U2106-Z2106*V2106</f>
        <v/>
      </c>
      <c r="AB2106">
        <f>IF(AND(F2106,ABS(W2106)&gt;1E-12,Y2106&gt;0,Z2106&gt;0),AA2106,1E+300)</f>
        <v/>
      </c>
    </row>
    <row r="2107">
      <c r="A2107">
        <f>$B$3+$B$5*34</f>
        <v/>
      </c>
      <c r="B2107">
        <f>$B$3+$B$5*21</f>
        <v/>
      </c>
      <c r="C2107">
        <f>SUMPRODUCT(Calc!$K$3:$K$22*(Calc!$G$3:$G$22&lt;=A2107))</f>
        <v/>
      </c>
      <c r="D2107">
        <f>SUMPRODUCT(Calc!$K$3:$K$22*(Calc!$G$3:$G$22&gt;A2107)*(Calc!$G$3:$G$22&lt;B2107))</f>
        <v/>
      </c>
      <c r="E2107">
        <f>SUMPRODUCT(Calc!$K$3:$K$22*(Calc!$G$3:$G$22&gt;=B2107))</f>
        <v/>
      </c>
      <c r="F2107">
        <f>AND(k_n&gt;=5,B2107&gt;A2107+1E-9,C2107&gt;=2,D2107&gt;=1,E2107&gt;=2)</f>
        <v/>
      </c>
      <c r="G2107">
        <f>SUMPRODUCT(Calc!$K$3:$K$22*(Calc!$G$3:$G$22&gt;A2107)*(Calc!$G$3:$G$22-A2107))</f>
        <v/>
      </c>
      <c r="H2107">
        <f>SUMPRODUCT(Calc!$K$3:$K$22*(Calc!$G$3:$G$22&gt;B2107)*(Calc!$G$3:$G$22-B2107))</f>
        <v/>
      </c>
      <c r="I2107">
        <f>SUMPRODUCT(Calc!$K$3:$K$22*(Calc!$G$3:$G$22&gt;A2107)*(Calc!$G$3:$G$22-A2107)^2)</f>
        <v/>
      </c>
      <c r="J2107">
        <f>SUMPRODUCT(Calc!$K$3:$K$22*(Calc!$G$3:$G$22&gt;B2107)*(Calc!$G$3:$G$22-B2107)^2)</f>
        <v/>
      </c>
      <c r="K2107">
        <f>SUMPRODUCT(Calc!$K$3:$K$22*(Calc!$G$3:$G$22&gt;A2107)*(Calc!$G$3:$G$22-A2107)*(Calc!$G$3:$G$22&gt;B2107)*(Calc!$G$3:$G$22-B2107))</f>
        <v/>
      </c>
      <c r="L2107">
        <f>SUMPRODUCT(Calc!$K$3:$K$22*(Calc!$G$3:$G$22&gt;A2107)*(Calc!$G$3:$G$22-A2107)*Calc!$G$3:$G$22)</f>
        <v/>
      </c>
      <c r="M2107">
        <f>SUMPRODUCT(Calc!$K$3:$K$22*(Calc!$G$3:$G$22&gt;B2107)*(Calc!$G$3:$G$22-B2107)*Calc!$G$3:$G$22)</f>
        <v/>
      </c>
      <c r="N2107">
        <f>SUMPRODUCT(Calc!$K$3:$K$22*(Calc!$G$3:$G$22&gt;A2107)*(Calc!$G$3:$G$22-A2107)*Calc!$I$3:$I$22)</f>
        <v/>
      </c>
      <c r="O2107">
        <f>SUMPRODUCT(Calc!$K$3:$K$22*(Calc!$G$3:$G$22&gt;B2107)*(Calc!$G$3:$G$22-B2107)*Calc!$I$3:$I$22)</f>
        <v/>
      </c>
      <c r="P2107">
        <f>I2107-G2107^2/k_n</f>
        <v/>
      </c>
      <c r="Q2107">
        <f>J2107-H2107^2/k_n</f>
        <v/>
      </c>
      <c r="R2107">
        <f>K2107-G2107*H2107/k_n</f>
        <v/>
      </c>
      <c r="S2107">
        <f>L2107-LTP3!$D$3*G2107/k_n</f>
        <v/>
      </c>
      <c r="T2107">
        <f>M2107-LTP3!$D$3*H2107/k_n</f>
        <v/>
      </c>
      <c r="U2107">
        <f>N2107-G2107*LTP3!$D$4/k_n</f>
        <v/>
      </c>
      <c r="V2107">
        <f>O2107-H2107*LTP3!$D$4/k_n</f>
        <v/>
      </c>
      <c r="W2107">
        <f>((LTP3!$D$5)*((P2107)*(Q2107)-(R2107)*(R2107))-(S2107)*((S2107)*(Q2107)-(R2107)*(T2107))+(T2107)*((S2107)*(R2107)-(P2107)*(T2107)))</f>
        <v/>
      </c>
      <c r="X2107">
        <f>IF(ABS(W2107)&gt;1E-12,((LTP3!$D$6)*((P2107)*(Q2107)-(R2107)*(R2107))-(S2107)*((U2107)*(Q2107)-(R2107)*(V2107))+(T2107)*((U2107)*(R2107)-(P2107)*(V2107)))/W2107,0)</f>
        <v/>
      </c>
      <c r="Y2107">
        <f>IF(ABS(W2107)&gt;1E-12,((LTP3!$D$5)*((U2107)*(Q2107)-(R2107)*(V2107))-(LTP3!$D$6)*((S2107)*(Q2107)-(R2107)*(T2107))+(T2107)*((S2107)*(V2107)-(U2107)*(T2107)))/W2107,0)</f>
        <v/>
      </c>
      <c r="Z2107">
        <f>IF(ABS(W2107)&gt;1E-12,((LTP3!$D$5)*((P2107)*(V2107)-(U2107)*(R2107))-(S2107)*((S2107)*(V2107)-(U2107)*(T2107))+(LTP3!$D$6)*((S2107)*(R2107)-(P2107)*(T2107)))/W2107,0)</f>
        <v/>
      </c>
      <c r="AA2107">
        <f>LTP3!$D$7-X2107*LTP3!$D$6-Y2107*U2107-Z2107*V2107</f>
        <v/>
      </c>
      <c r="AB2107">
        <f>IF(AND(F2107,ABS(W2107)&gt;1E-12,Y2107&gt;0,Z2107&gt;0),AA2107,1E+300)</f>
        <v/>
      </c>
    </row>
    <row r="2108">
      <c r="A2108">
        <f>$B$3+$B$5*34</f>
        <v/>
      </c>
      <c r="B2108">
        <f>$B$3+$B$5*22</f>
        <v/>
      </c>
      <c r="C2108">
        <f>SUMPRODUCT(Calc!$K$3:$K$22*(Calc!$G$3:$G$22&lt;=A2108))</f>
        <v/>
      </c>
      <c r="D2108">
        <f>SUMPRODUCT(Calc!$K$3:$K$22*(Calc!$G$3:$G$22&gt;A2108)*(Calc!$G$3:$G$22&lt;B2108))</f>
        <v/>
      </c>
      <c r="E2108">
        <f>SUMPRODUCT(Calc!$K$3:$K$22*(Calc!$G$3:$G$22&gt;=B2108))</f>
        <v/>
      </c>
      <c r="F2108">
        <f>AND(k_n&gt;=5,B2108&gt;A2108+1E-9,C2108&gt;=2,D2108&gt;=1,E2108&gt;=2)</f>
        <v/>
      </c>
      <c r="G2108">
        <f>SUMPRODUCT(Calc!$K$3:$K$22*(Calc!$G$3:$G$22&gt;A2108)*(Calc!$G$3:$G$22-A2108))</f>
        <v/>
      </c>
      <c r="H2108">
        <f>SUMPRODUCT(Calc!$K$3:$K$22*(Calc!$G$3:$G$22&gt;B2108)*(Calc!$G$3:$G$22-B2108))</f>
        <v/>
      </c>
      <c r="I2108">
        <f>SUMPRODUCT(Calc!$K$3:$K$22*(Calc!$G$3:$G$22&gt;A2108)*(Calc!$G$3:$G$22-A2108)^2)</f>
        <v/>
      </c>
      <c r="J2108">
        <f>SUMPRODUCT(Calc!$K$3:$K$22*(Calc!$G$3:$G$22&gt;B2108)*(Calc!$G$3:$G$22-B2108)^2)</f>
        <v/>
      </c>
      <c r="K2108">
        <f>SUMPRODUCT(Calc!$K$3:$K$22*(Calc!$G$3:$G$22&gt;A2108)*(Calc!$G$3:$G$22-A2108)*(Calc!$G$3:$G$22&gt;B2108)*(Calc!$G$3:$G$22-B2108))</f>
        <v/>
      </c>
      <c r="L2108">
        <f>SUMPRODUCT(Calc!$K$3:$K$22*(Calc!$G$3:$G$22&gt;A2108)*(Calc!$G$3:$G$22-A2108)*Calc!$G$3:$G$22)</f>
        <v/>
      </c>
      <c r="M2108">
        <f>SUMPRODUCT(Calc!$K$3:$K$22*(Calc!$G$3:$G$22&gt;B2108)*(Calc!$G$3:$G$22-B2108)*Calc!$G$3:$G$22)</f>
        <v/>
      </c>
      <c r="N2108">
        <f>SUMPRODUCT(Calc!$K$3:$K$22*(Calc!$G$3:$G$22&gt;A2108)*(Calc!$G$3:$G$22-A2108)*Calc!$I$3:$I$22)</f>
        <v/>
      </c>
      <c r="O2108">
        <f>SUMPRODUCT(Calc!$K$3:$K$22*(Calc!$G$3:$G$22&gt;B2108)*(Calc!$G$3:$G$22-B2108)*Calc!$I$3:$I$22)</f>
        <v/>
      </c>
      <c r="P2108">
        <f>I2108-G2108^2/k_n</f>
        <v/>
      </c>
      <c r="Q2108">
        <f>J2108-H2108^2/k_n</f>
        <v/>
      </c>
      <c r="R2108">
        <f>K2108-G2108*H2108/k_n</f>
        <v/>
      </c>
      <c r="S2108">
        <f>L2108-LTP3!$D$3*G2108/k_n</f>
        <v/>
      </c>
      <c r="T2108">
        <f>M2108-LTP3!$D$3*H2108/k_n</f>
        <v/>
      </c>
      <c r="U2108">
        <f>N2108-G2108*LTP3!$D$4/k_n</f>
        <v/>
      </c>
      <c r="V2108">
        <f>O2108-H2108*LTP3!$D$4/k_n</f>
        <v/>
      </c>
      <c r="W2108">
        <f>((LTP3!$D$5)*((P2108)*(Q2108)-(R2108)*(R2108))-(S2108)*((S2108)*(Q2108)-(R2108)*(T2108))+(T2108)*((S2108)*(R2108)-(P2108)*(T2108)))</f>
        <v/>
      </c>
      <c r="X2108">
        <f>IF(ABS(W2108)&gt;1E-12,((LTP3!$D$6)*((P2108)*(Q2108)-(R2108)*(R2108))-(S2108)*((U2108)*(Q2108)-(R2108)*(V2108))+(T2108)*((U2108)*(R2108)-(P2108)*(V2108)))/W2108,0)</f>
        <v/>
      </c>
      <c r="Y2108">
        <f>IF(ABS(W2108)&gt;1E-12,((LTP3!$D$5)*((U2108)*(Q2108)-(R2108)*(V2108))-(LTP3!$D$6)*((S2108)*(Q2108)-(R2108)*(T2108))+(T2108)*((S2108)*(V2108)-(U2108)*(T2108)))/W2108,0)</f>
        <v/>
      </c>
      <c r="Z2108">
        <f>IF(ABS(W2108)&gt;1E-12,((LTP3!$D$5)*((P2108)*(V2108)-(U2108)*(R2108))-(S2108)*((S2108)*(V2108)-(U2108)*(T2108))+(LTP3!$D$6)*((S2108)*(R2108)-(P2108)*(T2108)))/W2108,0)</f>
        <v/>
      </c>
      <c r="AA2108">
        <f>LTP3!$D$7-X2108*LTP3!$D$6-Y2108*U2108-Z2108*V2108</f>
        <v/>
      </c>
      <c r="AB2108">
        <f>IF(AND(F2108,ABS(W2108)&gt;1E-12,Y2108&gt;0,Z2108&gt;0),AA2108,1E+300)</f>
        <v/>
      </c>
    </row>
    <row r="2109">
      <c r="A2109">
        <f>$B$3+$B$5*34</f>
        <v/>
      </c>
      <c r="B2109">
        <f>$B$3+$B$5*23</f>
        <v/>
      </c>
      <c r="C2109">
        <f>SUMPRODUCT(Calc!$K$3:$K$22*(Calc!$G$3:$G$22&lt;=A2109))</f>
        <v/>
      </c>
      <c r="D2109">
        <f>SUMPRODUCT(Calc!$K$3:$K$22*(Calc!$G$3:$G$22&gt;A2109)*(Calc!$G$3:$G$22&lt;B2109))</f>
        <v/>
      </c>
      <c r="E2109">
        <f>SUMPRODUCT(Calc!$K$3:$K$22*(Calc!$G$3:$G$22&gt;=B2109))</f>
        <v/>
      </c>
      <c r="F2109">
        <f>AND(k_n&gt;=5,B2109&gt;A2109+1E-9,C2109&gt;=2,D2109&gt;=1,E2109&gt;=2)</f>
        <v/>
      </c>
      <c r="G2109">
        <f>SUMPRODUCT(Calc!$K$3:$K$22*(Calc!$G$3:$G$22&gt;A2109)*(Calc!$G$3:$G$22-A2109))</f>
        <v/>
      </c>
      <c r="H2109">
        <f>SUMPRODUCT(Calc!$K$3:$K$22*(Calc!$G$3:$G$22&gt;B2109)*(Calc!$G$3:$G$22-B2109))</f>
        <v/>
      </c>
      <c r="I2109">
        <f>SUMPRODUCT(Calc!$K$3:$K$22*(Calc!$G$3:$G$22&gt;A2109)*(Calc!$G$3:$G$22-A2109)^2)</f>
        <v/>
      </c>
      <c r="J2109">
        <f>SUMPRODUCT(Calc!$K$3:$K$22*(Calc!$G$3:$G$22&gt;B2109)*(Calc!$G$3:$G$22-B2109)^2)</f>
        <v/>
      </c>
      <c r="K2109">
        <f>SUMPRODUCT(Calc!$K$3:$K$22*(Calc!$G$3:$G$22&gt;A2109)*(Calc!$G$3:$G$22-A2109)*(Calc!$G$3:$G$22&gt;B2109)*(Calc!$G$3:$G$22-B2109))</f>
        <v/>
      </c>
      <c r="L2109">
        <f>SUMPRODUCT(Calc!$K$3:$K$22*(Calc!$G$3:$G$22&gt;A2109)*(Calc!$G$3:$G$22-A2109)*Calc!$G$3:$G$22)</f>
        <v/>
      </c>
      <c r="M2109">
        <f>SUMPRODUCT(Calc!$K$3:$K$22*(Calc!$G$3:$G$22&gt;B2109)*(Calc!$G$3:$G$22-B2109)*Calc!$G$3:$G$22)</f>
        <v/>
      </c>
      <c r="N2109">
        <f>SUMPRODUCT(Calc!$K$3:$K$22*(Calc!$G$3:$G$22&gt;A2109)*(Calc!$G$3:$G$22-A2109)*Calc!$I$3:$I$22)</f>
        <v/>
      </c>
      <c r="O2109">
        <f>SUMPRODUCT(Calc!$K$3:$K$22*(Calc!$G$3:$G$22&gt;B2109)*(Calc!$G$3:$G$22-B2109)*Calc!$I$3:$I$22)</f>
        <v/>
      </c>
      <c r="P2109">
        <f>I2109-G2109^2/k_n</f>
        <v/>
      </c>
      <c r="Q2109">
        <f>J2109-H2109^2/k_n</f>
        <v/>
      </c>
      <c r="R2109">
        <f>K2109-G2109*H2109/k_n</f>
        <v/>
      </c>
      <c r="S2109">
        <f>L2109-LTP3!$D$3*G2109/k_n</f>
        <v/>
      </c>
      <c r="T2109">
        <f>M2109-LTP3!$D$3*H2109/k_n</f>
        <v/>
      </c>
      <c r="U2109">
        <f>N2109-G2109*LTP3!$D$4/k_n</f>
        <v/>
      </c>
      <c r="V2109">
        <f>O2109-H2109*LTP3!$D$4/k_n</f>
        <v/>
      </c>
      <c r="W2109">
        <f>((LTP3!$D$5)*((P2109)*(Q2109)-(R2109)*(R2109))-(S2109)*((S2109)*(Q2109)-(R2109)*(T2109))+(T2109)*((S2109)*(R2109)-(P2109)*(T2109)))</f>
        <v/>
      </c>
      <c r="X2109">
        <f>IF(ABS(W2109)&gt;1E-12,((LTP3!$D$6)*((P2109)*(Q2109)-(R2109)*(R2109))-(S2109)*((U2109)*(Q2109)-(R2109)*(V2109))+(T2109)*((U2109)*(R2109)-(P2109)*(V2109)))/W2109,0)</f>
        <v/>
      </c>
      <c r="Y2109">
        <f>IF(ABS(W2109)&gt;1E-12,((LTP3!$D$5)*((U2109)*(Q2109)-(R2109)*(V2109))-(LTP3!$D$6)*((S2109)*(Q2109)-(R2109)*(T2109))+(T2109)*((S2109)*(V2109)-(U2109)*(T2109)))/W2109,0)</f>
        <v/>
      </c>
      <c r="Z2109">
        <f>IF(ABS(W2109)&gt;1E-12,((LTP3!$D$5)*((P2109)*(V2109)-(U2109)*(R2109))-(S2109)*((S2109)*(V2109)-(U2109)*(T2109))+(LTP3!$D$6)*((S2109)*(R2109)-(P2109)*(T2109)))/W2109,0)</f>
        <v/>
      </c>
      <c r="AA2109">
        <f>LTP3!$D$7-X2109*LTP3!$D$6-Y2109*U2109-Z2109*V2109</f>
        <v/>
      </c>
      <c r="AB2109">
        <f>IF(AND(F2109,ABS(W2109)&gt;1E-12,Y2109&gt;0,Z2109&gt;0),AA2109,1E+300)</f>
        <v/>
      </c>
    </row>
    <row r="2110">
      <c r="A2110">
        <f>$B$3+$B$5*34</f>
        <v/>
      </c>
      <c r="B2110">
        <f>$B$3+$B$5*24</f>
        <v/>
      </c>
      <c r="C2110">
        <f>SUMPRODUCT(Calc!$K$3:$K$22*(Calc!$G$3:$G$22&lt;=A2110))</f>
        <v/>
      </c>
      <c r="D2110">
        <f>SUMPRODUCT(Calc!$K$3:$K$22*(Calc!$G$3:$G$22&gt;A2110)*(Calc!$G$3:$G$22&lt;B2110))</f>
        <v/>
      </c>
      <c r="E2110">
        <f>SUMPRODUCT(Calc!$K$3:$K$22*(Calc!$G$3:$G$22&gt;=B2110))</f>
        <v/>
      </c>
      <c r="F2110">
        <f>AND(k_n&gt;=5,B2110&gt;A2110+1E-9,C2110&gt;=2,D2110&gt;=1,E2110&gt;=2)</f>
        <v/>
      </c>
      <c r="G2110">
        <f>SUMPRODUCT(Calc!$K$3:$K$22*(Calc!$G$3:$G$22&gt;A2110)*(Calc!$G$3:$G$22-A2110))</f>
        <v/>
      </c>
      <c r="H2110">
        <f>SUMPRODUCT(Calc!$K$3:$K$22*(Calc!$G$3:$G$22&gt;B2110)*(Calc!$G$3:$G$22-B2110))</f>
        <v/>
      </c>
      <c r="I2110">
        <f>SUMPRODUCT(Calc!$K$3:$K$22*(Calc!$G$3:$G$22&gt;A2110)*(Calc!$G$3:$G$22-A2110)^2)</f>
        <v/>
      </c>
      <c r="J2110">
        <f>SUMPRODUCT(Calc!$K$3:$K$22*(Calc!$G$3:$G$22&gt;B2110)*(Calc!$G$3:$G$22-B2110)^2)</f>
        <v/>
      </c>
      <c r="K2110">
        <f>SUMPRODUCT(Calc!$K$3:$K$22*(Calc!$G$3:$G$22&gt;A2110)*(Calc!$G$3:$G$22-A2110)*(Calc!$G$3:$G$22&gt;B2110)*(Calc!$G$3:$G$22-B2110))</f>
        <v/>
      </c>
      <c r="L2110">
        <f>SUMPRODUCT(Calc!$K$3:$K$22*(Calc!$G$3:$G$22&gt;A2110)*(Calc!$G$3:$G$22-A2110)*Calc!$G$3:$G$22)</f>
        <v/>
      </c>
      <c r="M2110">
        <f>SUMPRODUCT(Calc!$K$3:$K$22*(Calc!$G$3:$G$22&gt;B2110)*(Calc!$G$3:$G$22-B2110)*Calc!$G$3:$G$22)</f>
        <v/>
      </c>
      <c r="N2110">
        <f>SUMPRODUCT(Calc!$K$3:$K$22*(Calc!$G$3:$G$22&gt;A2110)*(Calc!$G$3:$G$22-A2110)*Calc!$I$3:$I$22)</f>
        <v/>
      </c>
      <c r="O2110">
        <f>SUMPRODUCT(Calc!$K$3:$K$22*(Calc!$G$3:$G$22&gt;B2110)*(Calc!$G$3:$G$22-B2110)*Calc!$I$3:$I$22)</f>
        <v/>
      </c>
      <c r="P2110">
        <f>I2110-G2110^2/k_n</f>
        <v/>
      </c>
      <c r="Q2110">
        <f>J2110-H2110^2/k_n</f>
        <v/>
      </c>
      <c r="R2110">
        <f>K2110-G2110*H2110/k_n</f>
        <v/>
      </c>
      <c r="S2110">
        <f>L2110-LTP3!$D$3*G2110/k_n</f>
        <v/>
      </c>
      <c r="T2110">
        <f>M2110-LTP3!$D$3*H2110/k_n</f>
        <v/>
      </c>
      <c r="U2110">
        <f>N2110-G2110*LTP3!$D$4/k_n</f>
        <v/>
      </c>
      <c r="V2110">
        <f>O2110-H2110*LTP3!$D$4/k_n</f>
        <v/>
      </c>
      <c r="W2110">
        <f>((LTP3!$D$5)*((P2110)*(Q2110)-(R2110)*(R2110))-(S2110)*((S2110)*(Q2110)-(R2110)*(T2110))+(T2110)*((S2110)*(R2110)-(P2110)*(T2110)))</f>
        <v/>
      </c>
      <c r="X2110">
        <f>IF(ABS(W2110)&gt;1E-12,((LTP3!$D$6)*((P2110)*(Q2110)-(R2110)*(R2110))-(S2110)*((U2110)*(Q2110)-(R2110)*(V2110))+(T2110)*((U2110)*(R2110)-(P2110)*(V2110)))/W2110,0)</f>
        <v/>
      </c>
      <c r="Y2110">
        <f>IF(ABS(W2110)&gt;1E-12,((LTP3!$D$5)*((U2110)*(Q2110)-(R2110)*(V2110))-(LTP3!$D$6)*((S2110)*(Q2110)-(R2110)*(T2110))+(T2110)*((S2110)*(V2110)-(U2110)*(T2110)))/W2110,0)</f>
        <v/>
      </c>
      <c r="Z2110">
        <f>IF(ABS(W2110)&gt;1E-12,((LTP3!$D$5)*((P2110)*(V2110)-(U2110)*(R2110))-(S2110)*((S2110)*(V2110)-(U2110)*(T2110))+(LTP3!$D$6)*((S2110)*(R2110)-(P2110)*(T2110)))/W2110,0)</f>
        <v/>
      </c>
      <c r="AA2110">
        <f>LTP3!$D$7-X2110*LTP3!$D$6-Y2110*U2110-Z2110*V2110</f>
        <v/>
      </c>
      <c r="AB2110">
        <f>IF(AND(F2110,ABS(W2110)&gt;1E-12,Y2110&gt;0,Z2110&gt;0),AA2110,1E+300)</f>
        <v/>
      </c>
    </row>
    <row r="2111">
      <c r="A2111">
        <f>$B$3+$B$5*34</f>
        <v/>
      </c>
      <c r="B2111">
        <f>$B$3+$B$5*25</f>
        <v/>
      </c>
      <c r="C2111">
        <f>SUMPRODUCT(Calc!$K$3:$K$22*(Calc!$G$3:$G$22&lt;=A2111))</f>
        <v/>
      </c>
      <c r="D2111">
        <f>SUMPRODUCT(Calc!$K$3:$K$22*(Calc!$G$3:$G$22&gt;A2111)*(Calc!$G$3:$G$22&lt;B2111))</f>
        <v/>
      </c>
      <c r="E2111">
        <f>SUMPRODUCT(Calc!$K$3:$K$22*(Calc!$G$3:$G$22&gt;=B2111))</f>
        <v/>
      </c>
      <c r="F2111">
        <f>AND(k_n&gt;=5,B2111&gt;A2111+1E-9,C2111&gt;=2,D2111&gt;=1,E2111&gt;=2)</f>
        <v/>
      </c>
      <c r="G2111">
        <f>SUMPRODUCT(Calc!$K$3:$K$22*(Calc!$G$3:$G$22&gt;A2111)*(Calc!$G$3:$G$22-A2111))</f>
        <v/>
      </c>
      <c r="H2111">
        <f>SUMPRODUCT(Calc!$K$3:$K$22*(Calc!$G$3:$G$22&gt;B2111)*(Calc!$G$3:$G$22-B2111))</f>
        <v/>
      </c>
      <c r="I2111">
        <f>SUMPRODUCT(Calc!$K$3:$K$22*(Calc!$G$3:$G$22&gt;A2111)*(Calc!$G$3:$G$22-A2111)^2)</f>
        <v/>
      </c>
      <c r="J2111">
        <f>SUMPRODUCT(Calc!$K$3:$K$22*(Calc!$G$3:$G$22&gt;B2111)*(Calc!$G$3:$G$22-B2111)^2)</f>
        <v/>
      </c>
      <c r="K2111">
        <f>SUMPRODUCT(Calc!$K$3:$K$22*(Calc!$G$3:$G$22&gt;A2111)*(Calc!$G$3:$G$22-A2111)*(Calc!$G$3:$G$22&gt;B2111)*(Calc!$G$3:$G$22-B2111))</f>
        <v/>
      </c>
      <c r="L2111">
        <f>SUMPRODUCT(Calc!$K$3:$K$22*(Calc!$G$3:$G$22&gt;A2111)*(Calc!$G$3:$G$22-A2111)*Calc!$G$3:$G$22)</f>
        <v/>
      </c>
      <c r="M2111">
        <f>SUMPRODUCT(Calc!$K$3:$K$22*(Calc!$G$3:$G$22&gt;B2111)*(Calc!$G$3:$G$22-B2111)*Calc!$G$3:$G$22)</f>
        <v/>
      </c>
      <c r="N2111">
        <f>SUMPRODUCT(Calc!$K$3:$K$22*(Calc!$G$3:$G$22&gt;A2111)*(Calc!$G$3:$G$22-A2111)*Calc!$I$3:$I$22)</f>
        <v/>
      </c>
      <c r="O2111">
        <f>SUMPRODUCT(Calc!$K$3:$K$22*(Calc!$G$3:$G$22&gt;B2111)*(Calc!$G$3:$G$22-B2111)*Calc!$I$3:$I$22)</f>
        <v/>
      </c>
      <c r="P2111">
        <f>I2111-G2111^2/k_n</f>
        <v/>
      </c>
      <c r="Q2111">
        <f>J2111-H2111^2/k_n</f>
        <v/>
      </c>
      <c r="R2111">
        <f>K2111-G2111*H2111/k_n</f>
        <v/>
      </c>
      <c r="S2111">
        <f>L2111-LTP3!$D$3*G2111/k_n</f>
        <v/>
      </c>
      <c r="T2111">
        <f>M2111-LTP3!$D$3*H2111/k_n</f>
        <v/>
      </c>
      <c r="U2111">
        <f>N2111-G2111*LTP3!$D$4/k_n</f>
        <v/>
      </c>
      <c r="V2111">
        <f>O2111-H2111*LTP3!$D$4/k_n</f>
        <v/>
      </c>
      <c r="W2111">
        <f>((LTP3!$D$5)*((P2111)*(Q2111)-(R2111)*(R2111))-(S2111)*((S2111)*(Q2111)-(R2111)*(T2111))+(T2111)*((S2111)*(R2111)-(P2111)*(T2111)))</f>
        <v/>
      </c>
      <c r="X2111">
        <f>IF(ABS(W2111)&gt;1E-12,((LTP3!$D$6)*((P2111)*(Q2111)-(R2111)*(R2111))-(S2111)*((U2111)*(Q2111)-(R2111)*(V2111))+(T2111)*((U2111)*(R2111)-(P2111)*(V2111)))/W2111,0)</f>
        <v/>
      </c>
      <c r="Y2111">
        <f>IF(ABS(W2111)&gt;1E-12,((LTP3!$D$5)*((U2111)*(Q2111)-(R2111)*(V2111))-(LTP3!$D$6)*((S2111)*(Q2111)-(R2111)*(T2111))+(T2111)*((S2111)*(V2111)-(U2111)*(T2111)))/W2111,0)</f>
        <v/>
      </c>
      <c r="Z2111">
        <f>IF(ABS(W2111)&gt;1E-12,((LTP3!$D$5)*((P2111)*(V2111)-(U2111)*(R2111))-(S2111)*((S2111)*(V2111)-(U2111)*(T2111))+(LTP3!$D$6)*((S2111)*(R2111)-(P2111)*(T2111)))/W2111,0)</f>
        <v/>
      </c>
      <c r="AA2111">
        <f>LTP3!$D$7-X2111*LTP3!$D$6-Y2111*U2111-Z2111*V2111</f>
        <v/>
      </c>
      <c r="AB2111">
        <f>IF(AND(F2111,ABS(W2111)&gt;1E-12,Y2111&gt;0,Z2111&gt;0),AA2111,1E+300)</f>
        <v/>
      </c>
    </row>
    <row r="2112">
      <c r="A2112">
        <f>$B$3+$B$5*34</f>
        <v/>
      </c>
      <c r="B2112">
        <f>$B$3+$B$5*26</f>
        <v/>
      </c>
      <c r="C2112">
        <f>SUMPRODUCT(Calc!$K$3:$K$22*(Calc!$G$3:$G$22&lt;=A2112))</f>
        <v/>
      </c>
      <c r="D2112">
        <f>SUMPRODUCT(Calc!$K$3:$K$22*(Calc!$G$3:$G$22&gt;A2112)*(Calc!$G$3:$G$22&lt;B2112))</f>
        <v/>
      </c>
      <c r="E2112">
        <f>SUMPRODUCT(Calc!$K$3:$K$22*(Calc!$G$3:$G$22&gt;=B2112))</f>
        <v/>
      </c>
      <c r="F2112">
        <f>AND(k_n&gt;=5,B2112&gt;A2112+1E-9,C2112&gt;=2,D2112&gt;=1,E2112&gt;=2)</f>
        <v/>
      </c>
      <c r="G2112">
        <f>SUMPRODUCT(Calc!$K$3:$K$22*(Calc!$G$3:$G$22&gt;A2112)*(Calc!$G$3:$G$22-A2112))</f>
        <v/>
      </c>
      <c r="H2112">
        <f>SUMPRODUCT(Calc!$K$3:$K$22*(Calc!$G$3:$G$22&gt;B2112)*(Calc!$G$3:$G$22-B2112))</f>
        <v/>
      </c>
      <c r="I2112">
        <f>SUMPRODUCT(Calc!$K$3:$K$22*(Calc!$G$3:$G$22&gt;A2112)*(Calc!$G$3:$G$22-A2112)^2)</f>
        <v/>
      </c>
      <c r="J2112">
        <f>SUMPRODUCT(Calc!$K$3:$K$22*(Calc!$G$3:$G$22&gt;B2112)*(Calc!$G$3:$G$22-B2112)^2)</f>
        <v/>
      </c>
      <c r="K2112">
        <f>SUMPRODUCT(Calc!$K$3:$K$22*(Calc!$G$3:$G$22&gt;A2112)*(Calc!$G$3:$G$22-A2112)*(Calc!$G$3:$G$22&gt;B2112)*(Calc!$G$3:$G$22-B2112))</f>
        <v/>
      </c>
      <c r="L2112">
        <f>SUMPRODUCT(Calc!$K$3:$K$22*(Calc!$G$3:$G$22&gt;A2112)*(Calc!$G$3:$G$22-A2112)*Calc!$G$3:$G$22)</f>
        <v/>
      </c>
      <c r="M2112">
        <f>SUMPRODUCT(Calc!$K$3:$K$22*(Calc!$G$3:$G$22&gt;B2112)*(Calc!$G$3:$G$22-B2112)*Calc!$G$3:$G$22)</f>
        <v/>
      </c>
      <c r="N2112">
        <f>SUMPRODUCT(Calc!$K$3:$K$22*(Calc!$G$3:$G$22&gt;A2112)*(Calc!$G$3:$G$22-A2112)*Calc!$I$3:$I$22)</f>
        <v/>
      </c>
      <c r="O2112">
        <f>SUMPRODUCT(Calc!$K$3:$K$22*(Calc!$G$3:$G$22&gt;B2112)*(Calc!$G$3:$G$22-B2112)*Calc!$I$3:$I$22)</f>
        <v/>
      </c>
      <c r="P2112">
        <f>I2112-G2112^2/k_n</f>
        <v/>
      </c>
      <c r="Q2112">
        <f>J2112-H2112^2/k_n</f>
        <v/>
      </c>
      <c r="R2112">
        <f>K2112-G2112*H2112/k_n</f>
        <v/>
      </c>
      <c r="S2112">
        <f>L2112-LTP3!$D$3*G2112/k_n</f>
        <v/>
      </c>
      <c r="T2112">
        <f>M2112-LTP3!$D$3*H2112/k_n</f>
        <v/>
      </c>
      <c r="U2112">
        <f>N2112-G2112*LTP3!$D$4/k_n</f>
        <v/>
      </c>
      <c r="V2112">
        <f>O2112-H2112*LTP3!$D$4/k_n</f>
        <v/>
      </c>
      <c r="W2112">
        <f>((LTP3!$D$5)*((P2112)*(Q2112)-(R2112)*(R2112))-(S2112)*((S2112)*(Q2112)-(R2112)*(T2112))+(T2112)*((S2112)*(R2112)-(P2112)*(T2112)))</f>
        <v/>
      </c>
      <c r="X2112">
        <f>IF(ABS(W2112)&gt;1E-12,((LTP3!$D$6)*((P2112)*(Q2112)-(R2112)*(R2112))-(S2112)*((U2112)*(Q2112)-(R2112)*(V2112))+(T2112)*((U2112)*(R2112)-(P2112)*(V2112)))/W2112,0)</f>
        <v/>
      </c>
      <c r="Y2112">
        <f>IF(ABS(W2112)&gt;1E-12,((LTP3!$D$5)*((U2112)*(Q2112)-(R2112)*(V2112))-(LTP3!$D$6)*((S2112)*(Q2112)-(R2112)*(T2112))+(T2112)*((S2112)*(V2112)-(U2112)*(T2112)))/W2112,0)</f>
        <v/>
      </c>
      <c r="Z2112">
        <f>IF(ABS(W2112)&gt;1E-12,((LTP3!$D$5)*((P2112)*(V2112)-(U2112)*(R2112))-(S2112)*((S2112)*(V2112)-(U2112)*(T2112))+(LTP3!$D$6)*((S2112)*(R2112)-(P2112)*(T2112)))/W2112,0)</f>
        <v/>
      </c>
      <c r="AA2112">
        <f>LTP3!$D$7-X2112*LTP3!$D$6-Y2112*U2112-Z2112*V2112</f>
        <v/>
      </c>
      <c r="AB2112">
        <f>IF(AND(F2112,ABS(W2112)&gt;1E-12,Y2112&gt;0,Z2112&gt;0),AA2112,1E+300)</f>
        <v/>
      </c>
    </row>
    <row r="2113">
      <c r="A2113">
        <f>$B$3+$B$5*34</f>
        <v/>
      </c>
      <c r="B2113">
        <f>$B$3+$B$5*27</f>
        <v/>
      </c>
      <c r="C2113">
        <f>SUMPRODUCT(Calc!$K$3:$K$22*(Calc!$G$3:$G$22&lt;=A2113))</f>
        <v/>
      </c>
      <c r="D2113">
        <f>SUMPRODUCT(Calc!$K$3:$K$22*(Calc!$G$3:$G$22&gt;A2113)*(Calc!$G$3:$G$22&lt;B2113))</f>
        <v/>
      </c>
      <c r="E2113">
        <f>SUMPRODUCT(Calc!$K$3:$K$22*(Calc!$G$3:$G$22&gt;=B2113))</f>
        <v/>
      </c>
      <c r="F2113">
        <f>AND(k_n&gt;=5,B2113&gt;A2113+1E-9,C2113&gt;=2,D2113&gt;=1,E2113&gt;=2)</f>
        <v/>
      </c>
      <c r="G2113">
        <f>SUMPRODUCT(Calc!$K$3:$K$22*(Calc!$G$3:$G$22&gt;A2113)*(Calc!$G$3:$G$22-A2113))</f>
        <v/>
      </c>
      <c r="H2113">
        <f>SUMPRODUCT(Calc!$K$3:$K$22*(Calc!$G$3:$G$22&gt;B2113)*(Calc!$G$3:$G$22-B2113))</f>
        <v/>
      </c>
      <c r="I2113">
        <f>SUMPRODUCT(Calc!$K$3:$K$22*(Calc!$G$3:$G$22&gt;A2113)*(Calc!$G$3:$G$22-A2113)^2)</f>
        <v/>
      </c>
      <c r="J2113">
        <f>SUMPRODUCT(Calc!$K$3:$K$22*(Calc!$G$3:$G$22&gt;B2113)*(Calc!$G$3:$G$22-B2113)^2)</f>
        <v/>
      </c>
      <c r="K2113">
        <f>SUMPRODUCT(Calc!$K$3:$K$22*(Calc!$G$3:$G$22&gt;A2113)*(Calc!$G$3:$G$22-A2113)*(Calc!$G$3:$G$22&gt;B2113)*(Calc!$G$3:$G$22-B2113))</f>
        <v/>
      </c>
      <c r="L2113">
        <f>SUMPRODUCT(Calc!$K$3:$K$22*(Calc!$G$3:$G$22&gt;A2113)*(Calc!$G$3:$G$22-A2113)*Calc!$G$3:$G$22)</f>
        <v/>
      </c>
      <c r="M2113">
        <f>SUMPRODUCT(Calc!$K$3:$K$22*(Calc!$G$3:$G$22&gt;B2113)*(Calc!$G$3:$G$22-B2113)*Calc!$G$3:$G$22)</f>
        <v/>
      </c>
      <c r="N2113">
        <f>SUMPRODUCT(Calc!$K$3:$K$22*(Calc!$G$3:$G$22&gt;A2113)*(Calc!$G$3:$G$22-A2113)*Calc!$I$3:$I$22)</f>
        <v/>
      </c>
      <c r="O2113">
        <f>SUMPRODUCT(Calc!$K$3:$K$22*(Calc!$G$3:$G$22&gt;B2113)*(Calc!$G$3:$G$22-B2113)*Calc!$I$3:$I$22)</f>
        <v/>
      </c>
      <c r="P2113">
        <f>I2113-G2113^2/k_n</f>
        <v/>
      </c>
      <c r="Q2113">
        <f>J2113-H2113^2/k_n</f>
        <v/>
      </c>
      <c r="R2113">
        <f>K2113-G2113*H2113/k_n</f>
        <v/>
      </c>
      <c r="S2113">
        <f>L2113-LTP3!$D$3*G2113/k_n</f>
        <v/>
      </c>
      <c r="T2113">
        <f>M2113-LTP3!$D$3*H2113/k_n</f>
        <v/>
      </c>
      <c r="U2113">
        <f>N2113-G2113*LTP3!$D$4/k_n</f>
        <v/>
      </c>
      <c r="V2113">
        <f>O2113-H2113*LTP3!$D$4/k_n</f>
        <v/>
      </c>
      <c r="W2113">
        <f>((LTP3!$D$5)*((P2113)*(Q2113)-(R2113)*(R2113))-(S2113)*((S2113)*(Q2113)-(R2113)*(T2113))+(T2113)*((S2113)*(R2113)-(P2113)*(T2113)))</f>
        <v/>
      </c>
      <c r="X2113">
        <f>IF(ABS(W2113)&gt;1E-12,((LTP3!$D$6)*((P2113)*(Q2113)-(R2113)*(R2113))-(S2113)*((U2113)*(Q2113)-(R2113)*(V2113))+(T2113)*((U2113)*(R2113)-(P2113)*(V2113)))/W2113,0)</f>
        <v/>
      </c>
      <c r="Y2113">
        <f>IF(ABS(W2113)&gt;1E-12,((LTP3!$D$5)*((U2113)*(Q2113)-(R2113)*(V2113))-(LTP3!$D$6)*((S2113)*(Q2113)-(R2113)*(T2113))+(T2113)*((S2113)*(V2113)-(U2113)*(T2113)))/W2113,0)</f>
        <v/>
      </c>
      <c r="Z2113">
        <f>IF(ABS(W2113)&gt;1E-12,((LTP3!$D$5)*((P2113)*(V2113)-(U2113)*(R2113))-(S2113)*((S2113)*(V2113)-(U2113)*(T2113))+(LTP3!$D$6)*((S2113)*(R2113)-(P2113)*(T2113)))/W2113,0)</f>
        <v/>
      </c>
      <c r="AA2113">
        <f>LTP3!$D$7-X2113*LTP3!$D$6-Y2113*U2113-Z2113*V2113</f>
        <v/>
      </c>
      <c r="AB2113">
        <f>IF(AND(F2113,ABS(W2113)&gt;1E-12,Y2113&gt;0,Z2113&gt;0),AA2113,1E+300)</f>
        <v/>
      </c>
    </row>
    <row r="2114">
      <c r="A2114">
        <f>$B$3+$B$5*34</f>
        <v/>
      </c>
      <c r="B2114">
        <f>$B$3+$B$5*28</f>
        <v/>
      </c>
      <c r="C2114">
        <f>SUMPRODUCT(Calc!$K$3:$K$22*(Calc!$G$3:$G$22&lt;=A2114))</f>
        <v/>
      </c>
      <c r="D2114">
        <f>SUMPRODUCT(Calc!$K$3:$K$22*(Calc!$G$3:$G$22&gt;A2114)*(Calc!$G$3:$G$22&lt;B2114))</f>
        <v/>
      </c>
      <c r="E2114">
        <f>SUMPRODUCT(Calc!$K$3:$K$22*(Calc!$G$3:$G$22&gt;=B2114))</f>
        <v/>
      </c>
      <c r="F2114">
        <f>AND(k_n&gt;=5,B2114&gt;A2114+1E-9,C2114&gt;=2,D2114&gt;=1,E2114&gt;=2)</f>
        <v/>
      </c>
      <c r="G2114">
        <f>SUMPRODUCT(Calc!$K$3:$K$22*(Calc!$G$3:$G$22&gt;A2114)*(Calc!$G$3:$G$22-A2114))</f>
        <v/>
      </c>
      <c r="H2114">
        <f>SUMPRODUCT(Calc!$K$3:$K$22*(Calc!$G$3:$G$22&gt;B2114)*(Calc!$G$3:$G$22-B2114))</f>
        <v/>
      </c>
      <c r="I2114">
        <f>SUMPRODUCT(Calc!$K$3:$K$22*(Calc!$G$3:$G$22&gt;A2114)*(Calc!$G$3:$G$22-A2114)^2)</f>
        <v/>
      </c>
      <c r="J2114">
        <f>SUMPRODUCT(Calc!$K$3:$K$22*(Calc!$G$3:$G$22&gt;B2114)*(Calc!$G$3:$G$22-B2114)^2)</f>
        <v/>
      </c>
      <c r="K2114">
        <f>SUMPRODUCT(Calc!$K$3:$K$22*(Calc!$G$3:$G$22&gt;A2114)*(Calc!$G$3:$G$22-A2114)*(Calc!$G$3:$G$22&gt;B2114)*(Calc!$G$3:$G$22-B2114))</f>
        <v/>
      </c>
      <c r="L2114">
        <f>SUMPRODUCT(Calc!$K$3:$K$22*(Calc!$G$3:$G$22&gt;A2114)*(Calc!$G$3:$G$22-A2114)*Calc!$G$3:$G$22)</f>
        <v/>
      </c>
      <c r="M2114">
        <f>SUMPRODUCT(Calc!$K$3:$K$22*(Calc!$G$3:$G$22&gt;B2114)*(Calc!$G$3:$G$22-B2114)*Calc!$G$3:$G$22)</f>
        <v/>
      </c>
      <c r="N2114">
        <f>SUMPRODUCT(Calc!$K$3:$K$22*(Calc!$G$3:$G$22&gt;A2114)*(Calc!$G$3:$G$22-A2114)*Calc!$I$3:$I$22)</f>
        <v/>
      </c>
      <c r="O2114">
        <f>SUMPRODUCT(Calc!$K$3:$K$22*(Calc!$G$3:$G$22&gt;B2114)*(Calc!$G$3:$G$22-B2114)*Calc!$I$3:$I$22)</f>
        <v/>
      </c>
      <c r="P2114">
        <f>I2114-G2114^2/k_n</f>
        <v/>
      </c>
      <c r="Q2114">
        <f>J2114-H2114^2/k_n</f>
        <v/>
      </c>
      <c r="R2114">
        <f>K2114-G2114*H2114/k_n</f>
        <v/>
      </c>
      <c r="S2114">
        <f>L2114-LTP3!$D$3*G2114/k_n</f>
        <v/>
      </c>
      <c r="T2114">
        <f>M2114-LTP3!$D$3*H2114/k_n</f>
        <v/>
      </c>
      <c r="U2114">
        <f>N2114-G2114*LTP3!$D$4/k_n</f>
        <v/>
      </c>
      <c r="V2114">
        <f>O2114-H2114*LTP3!$D$4/k_n</f>
        <v/>
      </c>
      <c r="W2114">
        <f>((LTP3!$D$5)*((P2114)*(Q2114)-(R2114)*(R2114))-(S2114)*((S2114)*(Q2114)-(R2114)*(T2114))+(T2114)*((S2114)*(R2114)-(P2114)*(T2114)))</f>
        <v/>
      </c>
      <c r="X2114">
        <f>IF(ABS(W2114)&gt;1E-12,((LTP3!$D$6)*((P2114)*(Q2114)-(R2114)*(R2114))-(S2114)*((U2114)*(Q2114)-(R2114)*(V2114))+(T2114)*((U2114)*(R2114)-(P2114)*(V2114)))/W2114,0)</f>
        <v/>
      </c>
      <c r="Y2114">
        <f>IF(ABS(W2114)&gt;1E-12,((LTP3!$D$5)*((U2114)*(Q2114)-(R2114)*(V2114))-(LTP3!$D$6)*((S2114)*(Q2114)-(R2114)*(T2114))+(T2114)*((S2114)*(V2114)-(U2114)*(T2114)))/W2114,0)</f>
        <v/>
      </c>
      <c r="Z2114">
        <f>IF(ABS(W2114)&gt;1E-12,((LTP3!$D$5)*((P2114)*(V2114)-(U2114)*(R2114))-(S2114)*((S2114)*(V2114)-(U2114)*(T2114))+(LTP3!$D$6)*((S2114)*(R2114)-(P2114)*(T2114)))/W2114,0)</f>
        <v/>
      </c>
      <c r="AA2114">
        <f>LTP3!$D$7-X2114*LTP3!$D$6-Y2114*U2114-Z2114*V2114</f>
        <v/>
      </c>
      <c r="AB2114">
        <f>IF(AND(F2114,ABS(W2114)&gt;1E-12,Y2114&gt;0,Z2114&gt;0),AA2114,1E+300)</f>
        <v/>
      </c>
    </row>
    <row r="2115">
      <c r="A2115">
        <f>$B$3+$B$5*34</f>
        <v/>
      </c>
      <c r="B2115">
        <f>$B$3+$B$5*29</f>
        <v/>
      </c>
      <c r="C2115">
        <f>SUMPRODUCT(Calc!$K$3:$K$22*(Calc!$G$3:$G$22&lt;=A2115))</f>
        <v/>
      </c>
      <c r="D2115">
        <f>SUMPRODUCT(Calc!$K$3:$K$22*(Calc!$G$3:$G$22&gt;A2115)*(Calc!$G$3:$G$22&lt;B2115))</f>
        <v/>
      </c>
      <c r="E2115">
        <f>SUMPRODUCT(Calc!$K$3:$K$22*(Calc!$G$3:$G$22&gt;=B2115))</f>
        <v/>
      </c>
      <c r="F2115">
        <f>AND(k_n&gt;=5,B2115&gt;A2115+1E-9,C2115&gt;=2,D2115&gt;=1,E2115&gt;=2)</f>
        <v/>
      </c>
      <c r="G2115">
        <f>SUMPRODUCT(Calc!$K$3:$K$22*(Calc!$G$3:$G$22&gt;A2115)*(Calc!$G$3:$G$22-A2115))</f>
        <v/>
      </c>
      <c r="H2115">
        <f>SUMPRODUCT(Calc!$K$3:$K$22*(Calc!$G$3:$G$22&gt;B2115)*(Calc!$G$3:$G$22-B2115))</f>
        <v/>
      </c>
      <c r="I2115">
        <f>SUMPRODUCT(Calc!$K$3:$K$22*(Calc!$G$3:$G$22&gt;A2115)*(Calc!$G$3:$G$22-A2115)^2)</f>
        <v/>
      </c>
      <c r="J2115">
        <f>SUMPRODUCT(Calc!$K$3:$K$22*(Calc!$G$3:$G$22&gt;B2115)*(Calc!$G$3:$G$22-B2115)^2)</f>
        <v/>
      </c>
      <c r="K2115">
        <f>SUMPRODUCT(Calc!$K$3:$K$22*(Calc!$G$3:$G$22&gt;A2115)*(Calc!$G$3:$G$22-A2115)*(Calc!$G$3:$G$22&gt;B2115)*(Calc!$G$3:$G$22-B2115))</f>
        <v/>
      </c>
      <c r="L2115">
        <f>SUMPRODUCT(Calc!$K$3:$K$22*(Calc!$G$3:$G$22&gt;A2115)*(Calc!$G$3:$G$22-A2115)*Calc!$G$3:$G$22)</f>
        <v/>
      </c>
      <c r="M2115">
        <f>SUMPRODUCT(Calc!$K$3:$K$22*(Calc!$G$3:$G$22&gt;B2115)*(Calc!$G$3:$G$22-B2115)*Calc!$G$3:$G$22)</f>
        <v/>
      </c>
      <c r="N2115">
        <f>SUMPRODUCT(Calc!$K$3:$K$22*(Calc!$G$3:$G$22&gt;A2115)*(Calc!$G$3:$G$22-A2115)*Calc!$I$3:$I$22)</f>
        <v/>
      </c>
      <c r="O2115">
        <f>SUMPRODUCT(Calc!$K$3:$K$22*(Calc!$G$3:$G$22&gt;B2115)*(Calc!$G$3:$G$22-B2115)*Calc!$I$3:$I$22)</f>
        <v/>
      </c>
      <c r="P2115">
        <f>I2115-G2115^2/k_n</f>
        <v/>
      </c>
      <c r="Q2115">
        <f>J2115-H2115^2/k_n</f>
        <v/>
      </c>
      <c r="R2115">
        <f>K2115-G2115*H2115/k_n</f>
        <v/>
      </c>
      <c r="S2115">
        <f>L2115-LTP3!$D$3*G2115/k_n</f>
        <v/>
      </c>
      <c r="T2115">
        <f>M2115-LTP3!$D$3*H2115/k_n</f>
        <v/>
      </c>
      <c r="U2115">
        <f>N2115-G2115*LTP3!$D$4/k_n</f>
        <v/>
      </c>
      <c r="V2115">
        <f>O2115-H2115*LTP3!$D$4/k_n</f>
        <v/>
      </c>
      <c r="W2115">
        <f>((LTP3!$D$5)*((P2115)*(Q2115)-(R2115)*(R2115))-(S2115)*((S2115)*(Q2115)-(R2115)*(T2115))+(T2115)*((S2115)*(R2115)-(P2115)*(T2115)))</f>
        <v/>
      </c>
      <c r="X2115">
        <f>IF(ABS(W2115)&gt;1E-12,((LTP3!$D$6)*((P2115)*(Q2115)-(R2115)*(R2115))-(S2115)*((U2115)*(Q2115)-(R2115)*(V2115))+(T2115)*((U2115)*(R2115)-(P2115)*(V2115)))/W2115,0)</f>
        <v/>
      </c>
      <c r="Y2115">
        <f>IF(ABS(W2115)&gt;1E-12,((LTP3!$D$5)*((U2115)*(Q2115)-(R2115)*(V2115))-(LTP3!$D$6)*((S2115)*(Q2115)-(R2115)*(T2115))+(T2115)*((S2115)*(V2115)-(U2115)*(T2115)))/W2115,0)</f>
        <v/>
      </c>
      <c r="Z2115">
        <f>IF(ABS(W2115)&gt;1E-12,((LTP3!$D$5)*((P2115)*(V2115)-(U2115)*(R2115))-(S2115)*((S2115)*(V2115)-(U2115)*(T2115))+(LTP3!$D$6)*((S2115)*(R2115)-(P2115)*(T2115)))/W2115,0)</f>
        <v/>
      </c>
      <c r="AA2115">
        <f>LTP3!$D$7-X2115*LTP3!$D$6-Y2115*U2115-Z2115*V2115</f>
        <v/>
      </c>
      <c r="AB2115">
        <f>IF(AND(F2115,ABS(W2115)&gt;1E-12,Y2115&gt;0,Z2115&gt;0),AA2115,1E+300)</f>
        <v/>
      </c>
    </row>
    <row r="2116">
      <c r="A2116">
        <f>$B$3+$B$5*34</f>
        <v/>
      </c>
      <c r="B2116">
        <f>$B$3+$B$5*30</f>
        <v/>
      </c>
      <c r="C2116">
        <f>SUMPRODUCT(Calc!$K$3:$K$22*(Calc!$G$3:$G$22&lt;=A2116))</f>
        <v/>
      </c>
      <c r="D2116">
        <f>SUMPRODUCT(Calc!$K$3:$K$22*(Calc!$G$3:$G$22&gt;A2116)*(Calc!$G$3:$G$22&lt;B2116))</f>
        <v/>
      </c>
      <c r="E2116">
        <f>SUMPRODUCT(Calc!$K$3:$K$22*(Calc!$G$3:$G$22&gt;=B2116))</f>
        <v/>
      </c>
      <c r="F2116">
        <f>AND(k_n&gt;=5,B2116&gt;A2116+1E-9,C2116&gt;=2,D2116&gt;=1,E2116&gt;=2)</f>
        <v/>
      </c>
      <c r="G2116">
        <f>SUMPRODUCT(Calc!$K$3:$K$22*(Calc!$G$3:$G$22&gt;A2116)*(Calc!$G$3:$G$22-A2116))</f>
        <v/>
      </c>
      <c r="H2116">
        <f>SUMPRODUCT(Calc!$K$3:$K$22*(Calc!$G$3:$G$22&gt;B2116)*(Calc!$G$3:$G$22-B2116))</f>
        <v/>
      </c>
      <c r="I2116">
        <f>SUMPRODUCT(Calc!$K$3:$K$22*(Calc!$G$3:$G$22&gt;A2116)*(Calc!$G$3:$G$22-A2116)^2)</f>
        <v/>
      </c>
      <c r="J2116">
        <f>SUMPRODUCT(Calc!$K$3:$K$22*(Calc!$G$3:$G$22&gt;B2116)*(Calc!$G$3:$G$22-B2116)^2)</f>
        <v/>
      </c>
      <c r="K2116">
        <f>SUMPRODUCT(Calc!$K$3:$K$22*(Calc!$G$3:$G$22&gt;A2116)*(Calc!$G$3:$G$22-A2116)*(Calc!$G$3:$G$22&gt;B2116)*(Calc!$G$3:$G$22-B2116))</f>
        <v/>
      </c>
      <c r="L2116">
        <f>SUMPRODUCT(Calc!$K$3:$K$22*(Calc!$G$3:$G$22&gt;A2116)*(Calc!$G$3:$G$22-A2116)*Calc!$G$3:$G$22)</f>
        <v/>
      </c>
      <c r="M2116">
        <f>SUMPRODUCT(Calc!$K$3:$K$22*(Calc!$G$3:$G$22&gt;B2116)*(Calc!$G$3:$G$22-B2116)*Calc!$G$3:$G$22)</f>
        <v/>
      </c>
      <c r="N2116">
        <f>SUMPRODUCT(Calc!$K$3:$K$22*(Calc!$G$3:$G$22&gt;A2116)*(Calc!$G$3:$G$22-A2116)*Calc!$I$3:$I$22)</f>
        <v/>
      </c>
      <c r="O2116">
        <f>SUMPRODUCT(Calc!$K$3:$K$22*(Calc!$G$3:$G$22&gt;B2116)*(Calc!$G$3:$G$22-B2116)*Calc!$I$3:$I$22)</f>
        <v/>
      </c>
      <c r="P2116">
        <f>I2116-G2116^2/k_n</f>
        <v/>
      </c>
      <c r="Q2116">
        <f>J2116-H2116^2/k_n</f>
        <v/>
      </c>
      <c r="R2116">
        <f>K2116-G2116*H2116/k_n</f>
        <v/>
      </c>
      <c r="S2116">
        <f>L2116-LTP3!$D$3*G2116/k_n</f>
        <v/>
      </c>
      <c r="T2116">
        <f>M2116-LTP3!$D$3*H2116/k_n</f>
        <v/>
      </c>
      <c r="U2116">
        <f>N2116-G2116*LTP3!$D$4/k_n</f>
        <v/>
      </c>
      <c r="V2116">
        <f>O2116-H2116*LTP3!$D$4/k_n</f>
        <v/>
      </c>
      <c r="W2116">
        <f>((LTP3!$D$5)*((P2116)*(Q2116)-(R2116)*(R2116))-(S2116)*((S2116)*(Q2116)-(R2116)*(T2116))+(T2116)*((S2116)*(R2116)-(P2116)*(T2116)))</f>
        <v/>
      </c>
      <c r="X2116">
        <f>IF(ABS(W2116)&gt;1E-12,((LTP3!$D$6)*((P2116)*(Q2116)-(R2116)*(R2116))-(S2116)*((U2116)*(Q2116)-(R2116)*(V2116))+(T2116)*((U2116)*(R2116)-(P2116)*(V2116)))/W2116,0)</f>
        <v/>
      </c>
      <c r="Y2116">
        <f>IF(ABS(W2116)&gt;1E-12,((LTP3!$D$5)*((U2116)*(Q2116)-(R2116)*(V2116))-(LTP3!$D$6)*((S2116)*(Q2116)-(R2116)*(T2116))+(T2116)*((S2116)*(V2116)-(U2116)*(T2116)))/W2116,0)</f>
        <v/>
      </c>
      <c r="Z2116">
        <f>IF(ABS(W2116)&gt;1E-12,((LTP3!$D$5)*((P2116)*(V2116)-(U2116)*(R2116))-(S2116)*((S2116)*(V2116)-(U2116)*(T2116))+(LTP3!$D$6)*((S2116)*(R2116)-(P2116)*(T2116)))/W2116,0)</f>
        <v/>
      </c>
      <c r="AA2116">
        <f>LTP3!$D$7-X2116*LTP3!$D$6-Y2116*U2116-Z2116*V2116</f>
        <v/>
      </c>
      <c r="AB2116">
        <f>IF(AND(F2116,ABS(W2116)&gt;1E-12,Y2116&gt;0,Z2116&gt;0),AA2116,1E+300)</f>
        <v/>
      </c>
    </row>
    <row r="2117">
      <c r="A2117">
        <f>$B$3+$B$5*34</f>
        <v/>
      </c>
      <c r="B2117">
        <f>$B$3+$B$5*31</f>
        <v/>
      </c>
      <c r="C2117">
        <f>SUMPRODUCT(Calc!$K$3:$K$22*(Calc!$G$3:$G$22&lt;=A2117))</f>
        <v/>
      </c>
      <c r="D2117">
        <f>SUMPRODUCT(Calc!$K$3:$K$22*(Calc!$G$3:$G$22&gt;A2117)*(Calc!$G$3:$G$22&lt;B2117))</f>
        <v/>
      </c>
      <c r="E2117">
        <f>SUMPRODUCT(Calc!$K$3:$K$22*(Calc!$G$3:$G$22&gt;=B2117))</f>
        <v/>
      </c>
      <c r="F2117">
        <f>AND(k_n&gt;=5,B2117&gt;A2117+1E-9,C2117&gt;=2,D2117&gt;=1,E2117&gt;=2)</f>
        <v/>
      </c>
      <c r="G2117">
        <f>SUMPRODUCT(Calc!$K$3:$K$22*(Calc!$G$3:$G$22&gt;A2117)*(Calc!$G$3:$G$22-A2117))</f>
        <v/>
      </c>
      <c r="H2117">
        <f>SUMPRODUCT(Calc!$K$3:$K$22*(Calc!$G$3:$G$22&gt;B2117)*(Calc!$G$3:$G$22-B2117))</f>
        <v/>
      </c>
      <c r="I2117">
        <f>SUMPRODUCT(Calc!$K$3:$K$22*(Calc!$G$3:$G$22&gt;A2117)*(Calc!$G$3:$G$22-A2117)^2)</f>
        <v/>
      </c>
      <c r="J2117">
        <f>SUMPRODUCT(Calc!$K$3:$K$22*(Calc!$G$3:$G$22&gt;B2117)*(Calc!$G$3:$G$22-B2117)^2)</f>
        <v/>
      </c>
      <c r="K2117">
        <f>SUMPRODUCT(Calc!$K$3:$K$22*(Calc!$G$3:$G$22&gt;A2117)*(Calc!$G$3:$G$22-A2117)*(Calc!$G$3:$G$22&gt;B2117)*(Calc!$G$3:$G$22-B2117))</f>
        <v/>
      </c>
      <c r="L2117">
        <f>SUMPRODUCT(Calc!$K$3:$K$22*(Calc!$G$3:$G$22&gt;A2117)*(Calc!$G$3:$G$22-A2117)*Calc!$G$3:$G$22)</f>
        <v/>
      </c>
      <c r="M2117">
        <f>SUMPRODUCT(Calc!$K$3:$K$22*(Calc!$G$3:$G$22&gt;B2117)*(Calc!$G$3:$G$22-B2117)*Calc!$G$3:$G$22)</f>
        <v/>
      </c>
      <c r="N2117">
        <f>SUMPRODUCT(Calc!$K$3:$K$22*(Calc!$G$3:$G$22&gt;A2117)*(Calc!$G$3:$G$22-A2117)*Calc!$I$3:$I$22)</f>
        <v/>
      </c>
      <c r="O2117">
        <f>SUMPRODUCT(Calc!$K$3:$K$22*(Calc!$G$3:$G$22&gt;B2117)*(Calc!$G$3:$G$22-B2117)*Calc!$I$3:$I$22)</f>
        <v/>
      </c>
      <c r="P2117">
        <f>I2117-G2117^2/k_n</f>
        <v/>
      </c>
      <c r="Q2117">
        <f>J2117-H2117^2/k_n</f>
        <v/>
      </c>
      <c r="R2117">
        <f>K2117-G2117*H2117/k_n</f>
        <v/>
      </c>
      <c r="S2117">
        <f>L2117-LTP3!$D$3*G2117/k_n</f>
        <v/>
      </c>
      <c r="T2117">
        <f>M2117-LTP3!$D$3*H2117/k_n</f>
        <v/>
      </c>
      <c r="U2117">
        <f>N2117-G2117*LTP3!$D$4/k_n</f>
        <v/>
      </c>
      <c r="V2117">
        <f>O2117-H2117*LTP3!$D$4/k_n</f>
        <v/>
      </c>
      <c r="W2117">
        <f>((LTP3!$D$5)*((P2117)*(Q2117)-(R2117)*(R2117))-(S2117)*((S2117)*(Q2117)-(R2117)*(T2117))+(T2117)*((S2117)*(R2117)-(P2117)*(T2117)))</f>
        <v/>
      </c>
      <c r="X2117">
        <f>IF(ABS(W2117)&gt;1E-12,((LTP3!$D$6)*((P2117)*(Q2117)-(R2117)*(R2117))-(S2117)*((U2117)*(Q2117)-(R2117)*(V2117))+(T2117)*((U2117)*(R2117)-(P2117)*(V2117)))/W2117,0)</f>
        <v/>
      </c>
      <c r="Y2117">
        <f>IF(ABS(W2117)&gt;1E-12,((LTP3!$D$5)*((U2117)*(Q2117)-(R2117)*(V2117))-(LTP3!$D$6)*((S2117)*(Q2117)-(R2117)*(T2117))+(T2117)*((S2117)*(V2117)-(U2117)*(T2117)))/W2117,0)</f>
        <v/>
      </c>
      <c r="Z2117">
        <f>IF(ABS(W2117)&gt;1E-12,((LTP3!$D$5)*((P2117)*(V2117)-(U2117)*(R2117))-(S2117)*((S2117)*(V2117)-(U2117)*(T2117))+(LTP3!$D$6)*((S2117)*(R2117)-(P2117)*(T2117)))/W2117,0)</f>
        <v/>
      </c>
      <c r="AA2117">
        <f>LTP3!$D$7-X2117*LTP3!$D$6-Y2117*U2117-Z2117*V2117</f>
        <v/>
      </c>
      <c r="AB2117">
        <f>IF(AND(F2117,ABS(W2117)&gt;1E-12,Y2117&gt;0,Z2117&gt;0),AA2117,1E+300)</f>
        <v/>
      </c>
    </row>
    <row r="2118">
      <c r="A2118">
        <f>$B$3+$B$5*34</f>
        <v/>
      </c>
      <c r="B2118">
        <f>$B$3+$B$5*32</f>
        <v/>
      </c>
      <c r="C2118">
        <f>SUMPRODUCT(Calc!$K$3:$K$22*(Calc!$G$3:$G$22&lt;=A2118))</f>
        <v/>
      </c>
      <c r="D2118">
        <f>SUMPRODUCT(Calc!$K$3:$K$22*(Calc!$G$3:$G$22&gt;A2118)*(Calc!$G$3:$G$22&lt;B2118))</f>
        <v/>
      </c>
      <c r="E2118">
        <f>SUMPRODUCT(Calc!$K$3:$K$22*(Calc!$G$3:$G$22&gt;=B2118))</f>
        <v/>
      </c>
      <c r="F2118">
        <f>AND(k_n&gt;=5,B2118&gt;A2118+1E-9,C2118&gt;=2,D2118&gt;=1,E2118&gt;=2)</f>
        <v/>
      </c>
      <c r="G2118">
        <f>SUMPRODUCT(Calc!$K$3:$K$22*(Calc!$G$3:$G$22&gt;A2118)*(Calc!$G$3:$G$22-A2118))</f>
        <v/>
      </c>
      <c r="H2118">
        <f>SUMPRODUCT(Calc!$K$3:$K$22*(Calc!$G$3:$G$22&gt;B2118)*(Calc!$G$3:$G$22-B2118))</f>
        <v/>
      </c>
      <c r="I2118">
        <f>SUMPRODUCT(Calc!$K$3:$K$22*(Calc!$G$3:$G$22&gt;A2118)*(Calc!$G$3:$G$22-A2118)^2)</f>
        <v/>
      </c>
      <c r="J2118">
        <f>SUMPRODUCT(Calc!$K$3:$K$22*(Calc!$G$3:$G$22&gt;B2118)*(Calc!$G$3:$G$22-B2118)^2)</f>
        <v/>
      </c>
      <c r="K2118">
        <f>SUMPRODUCT(Calc!$K$3:$K$22*(Calc!$G$3:$G$22&gt;A2118)*(Calc!$G$3:$G$22-A2118)*(Calc!$G$3:$G$22&gt;B2118)*(Calc!$G$3:$G$22-B2118))</f>
        <v/>
      </c>
      <c r="L2118">
        <f>SUMPRODUCT(Calc!$K$3:$K$22*(Calc!$G$3:$G$22&gt;A2118)*(Calc!$G$3:$G$22-A2118)*Calc!$G$3:$G$22)</f>
        <v/>
      </c>
      <c r="M2118">
        <f>SUMPRODUCT(Calc!$K$3:$K$22*(Calc!$G$3:$G$22&gt;B2118)*(Calc!$G$3:$G$22-B2118)*Calc!$G$3:$G$22)</f>
        <v/>
      </c>
      <c r="N2118">
        <f>SUMPRODUCT(Calc!$K$3:$K$22*(Calc!$G$3:$G$22&gt;A2118)*(Calc!$G$3:$G$22-A2118)*Calc!$I$3:$I$22)</f>
        <v/>
      </c>
      <c r="O2118">
        <f>SUMPRODUCT(Calc!$K$3:$K$22*(Calc!$G$3:$G$22&gt;B2118)*(Calc!$G$3:$G$22-B2118)*Calc!$I$3:$I$22)</f>
        <v/>
      </c>
      <c r="P2118">
        <f>I2118-G2118^2/k_n</f>
        <v/>
      </c>
      <c r="Q2118">
        <f>J2118-H2118^2/k_n</f>
        <v/>
      </c>
      <c r="R2118">
        <f>K2118-G2118*H2118/k_n</f>
        <v/>
      </c>
      <c r="S2118">
        <f>L2118-LTP3!$D$3*G2118/k_n</f>
        <v/>
      </c>
      <c r="T2118">
        <f>M2118-LTP3!$D$3*H2118/k_n</f>
        <v/>
      </c>
      <c r="U2118">
        <f>N2118-G2118*LTP3!$D$4/k_n</f>
        <v/>
      </c>
      <c r="V2118">
        <f>O2118-H2118*LTP3!$D$4/k_n</f>
        <v/>
      </c>
      <c r="W2118">
        <f>((LTP3!$D$5)*((P2118)*(Q2118)-(R2118)*(R2118))-(S2118)*((S2118)*(Q2118)-(R2118)*(T2118))+(T2118)*((S2118)*(R2118)-(P2118)*(T2118)))</f>
        <v/>
      </c>
      <c r="X2118">
        <f>IF(ABS(W2118)&gt;1E-12,((LTP3!$D$6)*((P2118)*(Q2118)-(R2118)*(R2118))-(S2118)*((U2118)*(Q2118)-(R2118)*(V2118))+(T2118)*((U2118)*(R2118)-(P2118)*(V2118)))/W2118,0)</f>
        <v/>
      </c>
      <c r="Y2118">
        <f>IF(ABS(W2118)&gt;1E-12,((LTP3!$D$5)*((U2118)*(Q2118)-(R2118)*(V2118))-(LTP3!$D$6)*((S2118)*(Q2118)-(R2118)*(T2118))+(T2118)*((S2118)*(V2118)-(U2118)*(T2118)))/W2118,0)</f>
        <v/>
      </c>
      <c r="Z2118">
        <f>IF(ABS(W2118)&gt;1E-12,((LTP3!$D$5)*((P2118)*(V2118)-(U2118)*(R2118))-(S2118)*((S2118)*(V2118)-(U2118)*(T2118))+(LTP3!$D$6)*((S2118)*(R2118)-(P2118)*(T2118)))/W2118,0)</f>
        <v/>
      </c>
      <c r="AA2118">
        <f>LTP3!$D$7-X2118*LTP3!$D$6-Y2118*U2118-Z2118*V2118</f>
        <v/>
      </c>
      <c r="AB2118">
        <f>IF(AND(F2118,ABS(W2118)&gt;1E-12,Y2118&gt;0,Z2118&gt;0),AA2118,1E+300)</f>
        <v/>
      </c>
    </row>
    <row r="2119">
      <c r="A2119">
        <f>$B$3+$B$5*34</f>
        <v/>
      </c>
      <c r="B2119">
        <f>$B$3+$B$5*33</f>
        <v/>
      </c>
      <c r="C2119">
        <f>SUMPRODUCT(Calc!$K$3:$K$22*(Calc!$G$3:$G$22&lt;=A2119))</f>
        <v/>
      </c>
      <c r="D2119">
        <f>SUMPRODUCT(Calc!$K$3:$K$22*(Calc!$G$3:$G$22&gt;A2119)*(Calc!$G$3:$G$22&lt;B2119))</f>
        <v/>
      </c>
      <c r="E2119">
        <f>SUMPRODUCT(Calc!$K$3:$K$22*(Calc!$G$3:$G$22&gt;=B2119))</f>
        <v/>
      </c>
      <c r="F2119">
        <f>AND(k_n&gt;=5,B2119&gt;A2119+1E-9,C2119&gt;=2,D2119&gt;=1,E2119&gt;=2)</f>
        <v/>
      </c>
      <c r="G2119">
        <f>SUMPRODUCT(Calc!$K$3:$K$22*(Calc!$G$3:$G$22&gt;A2119)*(Calc!$G$3:$G$22-A2119))</f>
        <v/>
      </c>
      <c r="H2119">
        <f>SUMPRODUCT(Calc!$K$3:$K$22*(Calc!$G$3:$G$22&gt;B2119)*(Calc!$G$3:$G$22-B2119))</f>
        <v/>
      </c>
      <c r="I2119">
        <f>SUMPRODUCT(Calc!$K$3:$K$22*(Calc!$G$3:$G$22&gt;A2119)*(Calc!$G$3:$G$22-A2119)^2)</f>
        <v/>
      </c>
      <c r="J2119">
        <f>SUMPRODUCT(Calc!$K$3:$K$22*(Calc!$G$3:$G$22&gt;B2119)*(Calc!$G$3:$G$22-B2119)^2)</f>
        <v/>
      </c>
      <c r="K2119">
        <f>SUMPRODUCT(Calc!$K$3:$K$22*(Calc!$G$3:$G$22&gt;A2119)*(Calc!$G$3:$G$22-A2119)*(Calc!$G$3:$G$22&gt;B2119)*(Calc!$G$3:$G$22-B2119))</f>
        <v/>
      </c>
      <c r="L2119">
        <f>SUMPRODUCT(Calc!$K$3:$K$22*(Calc!$G$3:$G$22&gt;A2119)*(Calc!$G$3:$G$22-A2119)*Calc!$G$3:$G$22)</f>
        <v/>
      </c>
      <c r="M2119">
        <f>SUMPRODUCT(Calc!$K$3:$K$22*(Calc!$G$3:$G$22&gt;B2119)*(Calc!$G$3:$G$22-B2119)*Calc!$G$3:$G$22)</f>
        <v/>
      </c>
      <c r="N2119">
        <f>SUMPRODUCT(Calc!$K$3:$K$22*(Calc!$G$3:$G$22&gt;A2119)*(Calc!$G$3:$G$22-A2119)*Calc!$I$3:$I$22)</f>
        <v/>
      </c>
      <c r="O2119">
        <f>SUMPRODUCT(Calc!$K$3:$K$22*(Calc!$G$3:$G$22&gt;B2119)*(Calc!$G$3:$G$22-B2119)*Calc!$I$3:$I$22)</f>
        <v/>
      </c>
      <c r="P2119">
        <f>I2119-G2119^2/k_n</f>
        <v/>
      </c>
      <c r="Q2119">
        <f>J2119-H2119^2/k_n</f>
        <v/>
      </c>
      <c r="R2119">
        <f>K2119-G2119*H2119/k_n</f>
        <v/>
      </c>
      <c r="S2119">
        <f>L2119-LTP3!$D$3*G2119/k_n</f>
        <v/>
      </c>
      <c r="T2119">
        <f>M2119-LTP3!$D$3*H2119/k_n</f>
        <v/>
      </c>
      <c r="U2119">
        <f>N2119-G2119*LTP3!$D$4/k_n</f>
        <v/>
      </c>
      <c r="V2119">
        <f>O2119-H2119*LTP3!$D$4/k_n</f>
        <v/>
      </c>
      <c r="W2119">
        <f>((LTP3!$D$5)*((P2119)*(Q2119)-(R2119)*(R2119))-(S2119)*((S2119)*(Q2119)-(R2119)*(T2119))+(T2119)*((S2119)*(R2119)-(P2119)*(T2119)))</f>
        <v/>
      </c>
      <c r="X2119">
        <f>IF(ABS(W2119)&gt;1E-12,((LTP3!$D$6)*((P2119)*(Q2119)-(R2119)*(R2119))-(S2119)*((U2119)*(Q2119)-(R2119)*(V2119))+(T2119)*((U2119)*(R2119)-(P2119)*(V2119)))/W2119,0)</f>
        <v/>
      </c>
      <c r="Y2119">
        <f>IF(ABS(W2119)&gt;1E-12,((LTP3!$D$5)*((U2119)*(Q2119)-(R2119)*(V2119))-(LTP3!$D$6)*((S2119)*(Q2119)-(R2119)*(T2119))+(T2119)*((S2119)*(V2119)-(U2119)*(T2119)))/W2119,0)</f>
        <v/>
      </c>
      <c r="Z2119">
        <f>IF(ABS(W2119)&gt;1E-12,((LTP3!$D$5)*((P2119)*(V2119)-(U2119)*(R2119))-(S2119)*((S2119)*(V2119)-(U2119)*(T2119))+(LTP3!$D$6)*((S2119)*(R2119)-(P2119)*(T2119)))/W2119,0)</f>
        <v/>
      </c>
      <c r="AA2119">
        <f>LTP3!$D$7-X2119*LTP3!$D$6-Y2119*U2119-Z2119*V2119</f>
        <v/>
      </c>
      <c r="AB2119">
        <f>IF(AND(F2119,ABS(W2119)&gt;1E-12,Y2119&gt;0,Z2119&gt;0),AA2119,1E+300)</f>
        <v/>
      </c>
    </row>
    <row r="2120">
      <c r="A2120">
        <f>$B$3+$B$5*34</f>
        <v/>
      </c>
      <c r="B2120">
        <f>$B$3+$B$5*34</f>
        <v/>
      </c>
      <c r="C2120">
        <f>SUMPRODUCT(Calc!$K$3:$K$22*(Calc!$G$3:$G$22&lt;=A2120))</f>
        <v/>
      </c>
      <c r="D2120">
        <f>SUMPRODUCT(Calc!$K$3:$K$22*(Calc!$G$3:$G$22&gt;A2120)*(Calc!$G$3:$G$22&lt;B2120))</f>
        <v/>
      </c>
      <c r="E2120">
        <f>SUMPRODUCT(Calc!$K$3:$K$22*(Calc!$G$3:$G$22&gt;=B2120))</f>
        <v/>
      </c>
      <c r="F2120">
        <f>AND(k_n&gt;=5,B2120&gt;A2120+1E-9,C2120&gt;=2,D2120&gt;=1,E2120&gt;=2)</f>
        <v/>
      </c>
      <c r="G2120">
        <f>SUMPRODUCT(Calc!$K$3:$K$22*(Calc!$G$3:$G$22&gt;A2120)*(Calc!$G$3:$G$22-A2120))</f>
        <v/>
      </c>
      <c r="H2120">
        <f>SUMPRODUCT(Calc!$K$3:$K$22*(Calc!$G$3:$G$22&gt;B2120)*(Calc!$G$3:$G$22-B2120))</f>
        <v/>
      </c>
      <c r="I2120">
        <f>SUMPRODUCT(Calc!$K$3:$K$22*(Calc!$G$3:$G$22&gt;A2120)*(Calc!$G$3:$G$22-A2120)^2)</f>
        <v/>
      </c>
      <c r="J2120">
        <f>SUMPRODUCT(Calc!$K$3:$K$22*(Calc!$G$3:$G$22&gt;B2120)*(Calc!$G$3:$G$22-B2120)^2)</f>
        <v/>
      </c>
      <c r="K2120">
        <f>SUMPRODUCT(Calc!$K$3:$K$22*(Calc!$G$3:$G$22&gt;A2120)*(Calc!$G$3:$G$22-A2120)*(Calc!$G$3:$G$22&gt;B2120)*(Calc!$G$3:$G$22-B2120))</f>
        <v/>
      </c>
      <c r="L2120">
        <f>SUMPRODUCT(Calc!$K$3:$K$22*(Calc!$G$3:$G$22&gt;A2120)*(Calc!$G$3:$G$22-A2120)*Calc!$G$3:$G$22)</f>
        <v/>
      </c>
      <c r="M2120">
        <f>SUMPRODUCT(Calc!$K$3:$K$22*(Calc!$G$3:$G$22&gt;B2120)*(Calc!$G$3:$G$22-B2120)*Calc!$G$3:$G$22)</f>
        <v/>
      </c>
      <c r="N2120">
        <f>SUMPRODUCT(Calc!$K$3:$K$22*(Calc!$G$3:$G$22&gt;A2120)*(Calc!$G$3:$G$22-A2120)*Calc!$I$3:$I$22)</f>
        <v/>
      </c>
      <c r="O2120">
        <f>SUMPRODUCT(Calc!$K$3:$K$22*(Calc!$G$3:$G$22&gt;B2120)*(Calc!$G$3:$G$22-B2120)*Calc!$I$3:$I$22)</f>
        <v/>
      </c>
      <c r="P2120">
        <f>I2120-G2120^2/k_n</f>
        <v/>
      </c>
      <c r="Q2120">
        <f>J2120-H2120^2/k_n</f>
        <v/>
      </c>
      <c r="R2120">
        <f>K2120-G2120*H2120/k_n</f>
        <v/>
      </c>
      <c r="S2120">
        <f>L2120-LTP3!$D$3*G2120/k_n</f>
        <v/>
      </c>
      <c r="T2120">
        <f>M2120-LTP3!$D$3*H2120/k_n</f>
        <v/>
      </c>
      <c r="U2120">
        <f>N2120-G2120*LTP3!$D$4/k_n</f>
        <v/>
      </c>
      <c r="V2120">
        <f>O2120-H2120*LTP3!$D$4/k_n</f>
        <v/>
      </c>
      <c r="W2120">
        <f>((LTP3!$D$5)*((P2120)*(Q2120)-(R2120)*(R2120))-(S2120)*((S2120)*(Q2120)-(R2120)*(T2120))+(T2120)*((S2120)*(R2120)-(P2120)*(T2120)))</f>
        <v/>
      </c>
      <c r="X2120">
        <f>IF(ABS(W2120)&gt;1E-12,((LTP3!$D$6)*((P2120)*(Q2120)-(R2120)*(R2120))-(S2120)*((U2120)*(Q2120)-(R2120)*(V2120))+(T2120)*((U2120)*(R2120)-(P2120)*(V2120)))/W2120,0)</f>
        <v/>
      </c>
      <c r="Y2120">
        <f>IF(ABS(W2120)&gt;1E-12,((LTP3!$D$5)*((U2120)*(Q2120)-(R2120)*(V2120))-(LTP3!$D$6)*((S2120)*(Q2120)-(R2120)*(T2120))+(T2120)*((S2120)*(V2120)-(U2120)*(T2120)))/W2120,0)</f>
        <v/>
      </c>
      <c r="Z2120">
        <f>IF(ABS(W2120)&gt;1E-12,((LTP3!$D$5)*((P2120)*(V2120)-(U2120)*(R2120))-(S2120)*((S2120)*(V2120)-(U2120)*(T2120))+(LTP3!$D$6)*((S2120)*(R2120)-(P2120)*(T2120)))/W2120,0)</f>
        <v/>
      </c>
      <c r="AA2120">
        <f>LTP3!$D$7-X2120*LTP3!$D$6-Y2120*U2120-Z2120*V2120</f>
        <v/>
      </c>
      <c r="AB2120">
        <f>IF(AND(F2120,ABS(W2120)&gt;1E-12,Y2120&gt;0,Z2120&gt;0),AA2120,1E+300)</f>
        <v/>
      </c>
    </row>
    <row r="2121">
      <c r="A2121">
        <f>$B$3+$B$5*34</f>
        <v/>
      </c>
      <c r="B2121">
        <f>$B$3+$B$5*35</f>
        <v/>
      </c>
      <c r="C2121">
        <f>SUMPRODUCT(Calc!$K$3:$K$22*(Calc!$G$3:$G$22&lt;=A2121))</f>
        <v/>
      </c>
      <c r="D2121">
        <f>SUMPRODUCT(Calc!$K$3:$K$22*(Calc!$G$3:$G$22&gt;A2121)*(Calc!$G$3:$G$22&lt;B2121))</f>
        <v/>
      </c>
      <c r="E2121">
        <f>SUMPRODUCT(Calc!$K$3:$K$22*(Calc!$G$3:$G$22&gt;=B2121))</f>
        <v/>
      </c>
      <c r="F2121">
        <f>AND(k_n&gt;=5,B2121&gt;A2121+1E-9,C2121&gt;=2,D2121&gt;=1,E2121&gt;=2)</f>
        <v/>
      </c>
      <c r="G2121">
        <f>SUMPRODUCT(Calc!$K$3:$K$22*(Calc!$G$3:$G$22&gt;A2121)*(Calc!$G$3:$G$22-A2121))</f>
        <v/>
      </c>
      <c r="H2121">
        <f>SUMPRODUCT(Calc!$K$3:$K$22*(Calc!$G$3:$G$22&gt;B2121)*(Calc!$G$3:$G$22-B2121))</f>
        <v/>
      </c>
      <c r="I2121">
        <f>SUMPRODUCT(Calc!$K$3:$K$22*(Calc!$G$3:$G$22&gt;A2121)*(Calc!$G$3:$G$22-A2121)^2)</f>
        <v/>
      </c>
      <c r="J2121">
        <f>SUMPRODUCT(Calc!$K$3:$K$22*(Calc!$G$3:$G$22&gt;B2121)*(Calc!$G$3:$G$22-B2121)^2)</f>
        <v/>
      </c>
      <c r="K2121">
        <f>SUMPRODUCT(Calc!$K$3:$K$22*(Calc!$G$3:$G$22&gt;A2121)*(Calc!$G$3:$G$22-A2121)*(Calc!$G$3:$G$22&gt;B2121)*(Calc!$G$3:$G$22-B2121))</f>
        <v/>
      </c>
      <c r="L2121">
        <f>SUMPRODUCT(Calc!$K$3:$K$22*(Calc!$G$3:$G$22&gt;A2121)*(Calc!$G$3:$G$22-A2121)*Calc!$G$3:$G$22)</f>
        <v/>
      </c>
      <c r="M2121">
        <f>SUMPRODUCT(Calc!$K$3:$K$22*(Calc!$G$3:$G$22&gt;B2121)*(Calc!$G$3:$G$22-B2121)*Calc!$G$3:$G$22)</f>
        <v/>
      </c>
      <c r="N2121">
        <f>SUMPRODUCT(Calc!$K$3:$K$22*(Calc!$G$3:$G$22&gt;A2121)*(Calc!$G$3:$G$22-A2121)*Calc!$I$3:$I$22)</f>
        <v/>
      </c>
      <c r="O2121">
        <f>SUMPRODUCT(Calc!$K$3:$K$22*(Calc!$G$3:$G$22&gt;B2121)*(Calc!$G$3:$G$22-B2121)*Calc!$I$3:$I$22)</f>
        <v/>
      </c>
      <c r="P2121">
        <f>I2121-G2121^2/k_n</f>
        <v/>
      </c>
      <c r="Q2121">
        <f>J2121-H2121^2/k_n</f>
        <v/>
      </c>
      <c r="R2121">
        <f>K2121-G2121*H2121/k_n</f>
        <v/>
      </c>
      <c r="S2121">
        <f>L2121-LTP3!$D$3*G2121/k_n</f>
        <v/>
      </c>
      <c r="T2121">
        <f>M2121-LTP3!$D$3*H2121/k_n</f>
        <v/>
      </c>
      <c r="U2121">
        <f>N2121-G2121*LTP3!$D$4/k_n</f>
        <v/>
      </c>
      <c r="V2121">
        <f>O2121-H2121*LTP3!$D$4/k_n</f>
        <v/>
      </c>
      <c r="W2121">
        <f>((LTP3!$D$5)*((P2121)*(Q2121)-(R2121)*(R2121))-(S2121)*((S2121)*(Q2121)-(R2121)*(T2121))+(T2121)*((S2121)*(R2121)-(P2121)*(T2121)))</f>
        <v/>
      </c>
      <c r="X2121">
        <f>IF(ABS(W2121)&gt;1E-12,((LTP3!$D$6)*((P2121)*(Q2121)-(R2121)*(R2121))-(S2121)*((U2121)*(Q2121)-(R2121)*(V2121))+(T2121)*((U2121)*(R2121)-(P2121)*(V2121)))/W2121,0)</f>
        <v/>
      </c>
      <c r="Y2121">
        <f>IF(ABS(W2121)&gt;1E-12,((LTP3!$D$5)*((U2121)*(Q2121)-(R2121)*(V2121))-(LTP3!$D$6)*((S2121)*(Q2121)-(R2121)*(T2121))+(T2121)*((S2121)*(V2121)-(U2121)*(T2121)))/W2121,0)</f>
        <v/>
      </c>
      <c r="Z2121">
        <f>IF(ABS(W2121)&gt;1E-12,((LTP3!$D$5)*((P2121)*(V2121)-(U2121)*(R2121))-(S2121)*((S2121)*(V2121)-(U2121)*(T2121))+(LTP3!$D$6)*((S2121)*(R2121)-(P2121)*(T2121)))/W2121,0)</f>
        <v/>
      </c>
      <c r="AA2121">
        <f>LTP3!$D$7-X2121*LTP3!$D$6-Y2121*U2121-Z2121*V2121</f>
        <v/>
      </c>
      <c r="AB2121">
        <f>IF(AND(F2121,ABS(W2121)&gt;1E-12,Y2121&gt;0,Z2121&gt;0),AA2121,1E+300)</f>
        <v/>
      </c>
    </row>
    <row r="2122">
      <c r="A2122">
        <f>$B$3+$B$5*34</f>
        <v/>
      </c>
      <c r="B2122">
        <f>$B$3+$B$5*36</f>
        <v/>
      </c>
      <c r="C2122">
        <f>SUMPRODUCT(Calc!$K$3:$K$22*(Calc!$G$3:$G$22&lt;=A2122))</f>
        <v/>
      </c>
      <c r="D2122">
        <f>SUMPRODUCT(Calc!$K$3:$K$22*(Calc!$G$3:$G$22&gt;A2122)*(Calc!$G$3:$G$22&lt;B2122))</f>
        <v/>
      </c>
      <c r="E2122">
        <f>SUMPRODUCT(Calc!$K$3:$K$22*(Calc!$G$3:$G$22&gt;=B2122))</f>
        <v/>
      </c>
      <c r="F2122">
        <f>AND(k_n&gt;=5,B2122&gt;A2122+1E-9,C2122&gt;=2,D2122&gt;=1,E2122&gt;=2)</f>
        <v/>
      </c>
      <c r="G2122">
        <f>SUMPRODUCT(Calc!$K$3:$K$22*(Calc!$G$3:$G$22&gt;A2122)*(Calc!$G$3:$G$22-A2122))</f>
        <v/>
      </c>
      <c r="H2122">
        <f>SUMPRODUCT(Calc!$K$3:$K$22*(Calc!$G$3:$G$22&gt;B2122)*(Calc!$G$3:$G$22-B2122))</f>
        <v/>
      </c>
      <c r="I2122">
        <f>SUMPRODUCT(Calc!$K$3:$K$22*(Calc!$G$3:$G$22&gt;A2122)*(Calc!$G$3:$G$22-A2122)^2)</f>
        <v/>
      </c>
      <c r="J2122">
        <f>SUMPRODUCT(Calc!$K$3:$K$22*(Calc!$G$3:$G$22&gt;B2122)*(Calc!$G$3:$G$22-B2122)^2)</f>
        <v/>
      </c>
      <c r="K2122">
        <f>SUMPRODUCT(Calc!$K$3:$K$22*(Calc!$G$3:$G$22&gt;A2122)*(Calc!$G$3:$G$22-A2122)*(Calc!$G$3:$G$22&gt;B2122)*(Calc!$G$3:$G$22-B2122))</f>
        <v/>
      </c>
      <c r="L2122">
        <f>SUMPRODUCT(Calc!$K$3:$K$22*(Calc!$G$3:$G$22&gt;A2122)*(Calc!$G$3:$G$22-A2122)*Calc!$G$3:$G$22)</f>
        <v/>
      </c>
      <c r="M2122">
        <f>SUMPRODUCT(Calc!$K$3:$K$22*(Calc!$G$3:$G$22&gt;B2122)*(Calc!$G$3:$G$22-B2122)*Calc!$G$3:$G$22)</f>
        <v/>
      </c>
      <c r="N2122">
        <f>SUMPRODUCT(Calc!$K$3:$K$22*(Calc!$G$3:$G$22&gt;A2122)*(Calc!$G$3:$G$22-A2122)*Calc!$I$3:$I$22)</f>
        <v/>
      </c>
      <c r="O2122">
        <f>SUMPRODUCT(Calc!$K$3:$K$22*(Calc!$G$3:$G$22&gt;B2122)*(Calc!$G$3:$G$22-B2122)*Calc!$I$3:$I$22)</f>
        <v/>
      </c>
      <c r="P2122">
        <f>I2122-G2122^2/k_n</f>
        <v/>
      </c>
      <c r="Q2122">
        <f>J2122-H2122^2/k_n</f>
        <v/>
      </c>
      <c r="R2122">
        <f>K2122-G2122*H2122/k_n</f>
        <v/>
      </c>
      <c r="S2122">
        <f>L2122-LTP3!$D$3*G2122/k_n</f>
        <v/>
      </c>
      <c r="T2122">
        <f>M2122-LTP3!$D$3*H2122/k_n</f>
        <v/>
      </c>
      <c r="U2122">
        <f>N2122-G2122*LTP3!$D$4/k_n</f>
        <v/>
      </c>
      <c r="V2122">
        <f>O2122-H2122*LTP3!$D$4/k_n</f>
        <v/>
      </c>
      <c r="W2122">
        <f>((LTP3!$D$5)*((P2122)*(Q2122)-(R2122)*(R2122))-(S2122)*((S2122)*(Q2122)-(R2122)*(T2122))+(T2122)*((S2122)*(R2122)-(P2122)*(T2122)))</f>
        <v/>
      </c>
      <c r="X2122">
        <f>IF(ABS(W2122)&gt;1E-12,((LTP3!$D$6)*((P2122)*(Q2122)-(R2122)*(R2122))-(S2122)*((U2122)*(Q2122)-(R2122)*(V2122))+(T2122)*((U2122)*(R2122)-(P2122)*(V2122)))/W2122,0)</f>
        <v/>
      </c>
      <c r="Y2122">
        <f>IF(ABS(W2122)&gt;1E-12,((LTP3!$D$5)*((U2122)*(Q2122)-(R2122)*(V2122))-(LTP3!$D$6)*((S2122)*(Q2122)-(R2122)*(T2122))+(T2122)*((S2122)*(V2122)-(U2122)*(T2122)))/W2122,0)</f>
        <v/>
      </c>
      <c r="Z2122">
        <f>IF(ABS(W2122)&gt;1E-12,((LTP3!$D$5)*((P2122)*(V2122)-(U2122)*(R2122))-(S2122)*((S2122)*(V2122)-(U2122)*(T2122))+(LTP3!$D$6)*((S2122)*(R2122)-(P2122)*(T2122)))/W2122,0)</f>
        <v/>
      </c>
      <c r="AA2122">
        <f>LTP3!$D$7-X2122*LTP3!$D$6-Y2122*U2122-Z2122*V2122</f>
        <v/>
      </c>
      <c r="AB2122">
        <f>IF(AND(F2122,ABS(W2122)&gt;1E-12,Y2122&gt;0,Z2122&gt;0),AA2122,1E+300)</f>
        <v/>
      </c>
    </row>
    <row r="2123">
      <c r="A2123">
        <f>$B$3+$B$5*34</f>
        <v/>
      </c>
      <c r="B2123">
        <f>$B$3+$B$5*37</f>
        <v/>
      </c>
      <c r="C2123">
        <f>SUMPRODUCT(Calc!$K$3:$K$22*(Calc!$G$3:$G$22&lt;=A2123))</f>
        <v/>
      </c>
      <c r="D2123">
        <f>SUMPRODUCT(Calc!$K$3:$K$22*(Calc!$G$3:$G$22&gt;A2123)*(Calc!$G$3:$G$22&lt;B2123))</f>
        <v/>
      </c>
      <c r="E2123">
        <f>SUMPRODUCT(Calc!$K$3:$K$22*(Calc!$G$3:$G$22&gt;=B2123))</f>
        <v/>
      </c>
      <c r="F2123">
        <f>AND(k_n&gt;=5,B2123&gt;A2123+1E-9,C2123&gt;=2,D2123&gt;=1,E2123&gt;=2)</f>
        <v/>
      </c>
      <c r="G2123">
        <f>SUMPRODUCT(Calc!$K$3:$K$22*(Calc!$G$3:$G$22&gt;A2123)*(Calc!$G$3:$G$22-A2123))</f>
        <v/>
      </c>
      <c r="H2123">
        <f>SUMPRODUCT(Calc!$K$3:$K$22*(Calc!$G$3:$G$22&gt;B2123)*(Calc!$G$3:$G$22-B2123))</f>
        <v/>
      </c>
      <c r="I2123">
        <f>SUMPRODUCT(Calc!$K$3:$K$22*(Calc!$G$3:$G$22&gt;A2123)*(Calc!$G$3:$G$22-A2123)^2)</f>
        <v/>
      </c>
      <c r="J2123">
        <f>SUMPRODUCT(Calc!$K$3:$K$22*(Calc!$G$3:$G$22&gt;B2123)*(Calc!$G$3:$G$22-B2123)^2)</f>
        <v/>
      </c>
      <c r="K2123">
        <f>SUMPRODUCT(Calc!$K$3:$K$22*(Calc!$G$3:$G$22&gt;A2123)*(Calc!$G$3:$G$22-A2123)*(Calc!$G$3:$G$22&gt;B2123)*(Calc!$G$3:$G$22-B2123))</f>
        <v/>
      </c>
      <c r="L2123">
        <f>SUMPRODUCT(Calc!$K$3:$K$22*(Calc!$G$3:$G$22&gt;A2123)*(Calc!$G$3:$G$22-A2123)*Calc!$G$3:$G$22)</f>
        <v/>
      </c>
      <c r="M2123">
        <f>SUMPRODUCT(Calc!$K$3:$K$22*(Calc!$G$3:$G$22&gt;B2123)*(Calc!$G$3:$G$22-B2123)*Calc!$G$3:$G$22)</f>
        <v/>
      </c>
      <c r="N2123">
        <f>SUMPRODUCT(Calc!$K$3:$K$22*(Calc!$G$3:$G$22&gt;A2123)*(Calc!$G$3:$G$22-A2123)*Calc!$I$3:$I$22)</f>
        <v/>
      </c>
      <c r="O2123">
        <f>SUMPRODUCT(Calc!$K$3:$K$22*(Calc!$G$3:$G$22&gt;B2123)*(Calc!$G$3:$G$22-B2123)*Calc!$I$3:$I$22)</f>
        <v/>
      </c>
      <c r="P2123">
        <f>I2123-G2123^2/k_n</f>
        <v/>
      </c>
      <c r="Q2123">
        <f>J2123-H2123^2/k_n</f>
        <v/>
      </c>
      <c r="R2123">
        <f>K2123-G2123*H2123/k_n</f>
        <v/>
      </c>
      <c r="S2123">
        <f>L2123-LTP3!$D$3*G2123/k_n</f>
        <v/>
      </c>
      <c r="T2123">
        <f>M2123-LTP3!$D$3*H2123/k_n</f>
        <v/>
      </c>
      <c r="U2123">
        <f>N2123-G2123*LTP3!$D$4/k_n</f>
        <v/>
      </c>
      <c r="V2123">
        <f>O2123-H2123*LTP3!$D$4/k_n</f>
        <v/>
      </c>
      <c r="W2123">
        <f>((LTP3!$D$5)*((P2123)*(Q2123)-(R2123)*(R2123))-(S2123)*((S2123)*(Q2123)-(R2123)*(T2123))+(T2123)*((S2123)*(R2123)-(P2123)*(T2123)))</f>
        <v/>
      </c>
      <c r="X2123">
        <f>IF(ABS(W2123)&gt;1E-12,((LTP3!$D$6)*((P2123)*(Q2123)-(R2123)*(R2123))-(S2123)*((U2123)*(Q2123)-(R2123)*(V2123))+(T2123)*((U2123)*(R2123)-(P2123)*(V2123)))/W2123,0)</f>
        <v/>
      </c>
      <c r="Y2123">
        <f>IF(ABS(W2123)&gt;1E-12,((LTP3!$D$5)*((U2123)*(Q2123)-(R2123)*(V2123))-(LTP3!$D$6)*((S2123)*(Q2123)-(R2123)*(T2123))+(T2123)*((S2123)*(V2123)-(U2123)*(T2123)))/W2123,0)</f>
        <v/>
      </c>
      <c r="Z2123">
        <f>IF(ABS(W2123)&gt;1E-12,((LTP3!$D$5)*((P2123)*(V2123)-(U2123)*(R2123))-(S2123)*((S2123)*(V2123)-(U2123)*(T2123))+(LTP3!$D$6)*((S2123)*(R2123)-(P2123)*(T2123)))/W2123,0)</f>
        <v/>
      </c>
      <c r="AA2123">
        <f>LTP3!$D$7-X2123*LTP3!$D$6-Y2123*U2123-Z2123*V2123</f>
        <v/>
      </c>
      <c r="AB2123">
        <f>IF(AND(F2123,ABS(W2123)&gt;1E-12,Y2123&gt;0,Z2123&gt;0),AA2123,1E+300)</f>
        <v/>
      </c>
    </row>
    <row r="2124">
      <c r="A2124">
        <f>$B$3+$B$5*34</f>
        <v/>
      </c>
      <c r="B2124">
        <f>$B$3+$B$5*38</f>
        <v/>
      </c>
      <c r="C2124">
        <f>SUMPRODUCT(Calc!$K$3:$K$22*(Calc!$G$3:$G$22&lt;=A2124))</f>
        <v/>
      </c>
      <c r="D2124">
        <f>SUMPRODUCT(Calc!$K$3:$K$22*(Calc!$G$3:$G$22&gt;A2124)*(Calc!$G$3:$G$22&lt;B2124))</f>
        <v/>
      </c>
      <c r="E2124">
        <f>SUMPRODUCT(Calc!$K$3:$K$22*(Calc!$G$3:$G$22&gt;=B2124))</f>
        <v/>
      </c>
      <c r="F2124">
        <f>AND(k_n&gt;=5,B2124&gt;A2124+1E-9,C2124&gt;=2,D2124&gt;=1,E2124&gt;=2)</f>
        <v/>
      </c>
      <c r="G2124">
        <f>SUMPRODUCT(Calc!$K$3:$K$22*(Calc!$G$3:$G$22&gt;A2124)*(Calc!$G$3:$G$22-A2124))</f>
        <v/>
      </c>
      <c r="H2124">
        <f>SUMPRODUCT(Calc!$K$3:$K$22*(Calc!$G$3:$G$22&gt;B2124)*(Calc!$G$3:$G$22-B2124))</f>
        <v/>
      </c>
      <c r="I2124">
        <f>SUMPRODUCT(Calc!$K$3:$K$22*(Calc!$G$3:$G$22&gt;A2124)*(Calc!$G$3:$G$22-A2124)^2)</f>
        <v/>
      </c>
      <c r="J2124">
        <f>SUMPRODUCT(Calc!$K$3:$K$22*(Calc!$G$3:$G$22&gt;B2124)*(Calc!$G$3:$G$22-B2124)^2)</f>
        <v/>
      </c>
      <c r="K2124">
        <f>SUMPRODUCT(Calc!$K$3:$K$22*(Calc!$G$3:$G$22&gt;A2124)*(Calc!$G$3:$G$22-A2124)*(Calc!$G$3:$G$22&gt;B2124)*(Calc!$G$3:$G$22-B2124))</f>
        <v/>
      </c>
      <c r="L2124">
        <f>SUMPRODUCT(Calc!$K$3:$K$22*(Calc!$G$3:$G$22&gt;A2124)*(Calc!$G$3:$G$22-A2124)*Calc!$G$3:$G$22)</f>
        <v/>
      </c>
      <c r="M2124">
        <f>SUMPRODUCT(Calc!$K$3:$K$22*(Calc!$G$3:$G$22&gt;B2124)*(Calc!$G$3:$G$22-B2124)*Calc!$G$3:$G$22)</f>
        <v/>
      </c>
      <c r="N2124">
        <f>SUMPRODUCT(Calc!$K$3:$K$22*(Calc!$G$3:$G$22&gt;A2124)*(Calc!$G$3:$G$22-A2124)*Calc!$I$3:$I$22)</f>
        <v/>
      </c>
      <c r="O2124">
        <f>SUMPRODUCT(Calc!$K$3:$K$22*(Calc!$G$3:$G$22&gt;B2124)*(Calc!$G$3:$G$22-B2124)*Calc!$I$3:$I$22)</f>
        <v/>
      </c>
      <c r="P2124">
        <f>I2124-G2124^2/k_n</f>
        <v/>
      </c>
      <c r="Q2124">
        <f>J2124-H2124^2/k_n</f>
        <v/>
      </c>
      <c r="R2124">
        <f>K2124-G2124*H2124/k_n</f>
        <v/>
      </c>
      <c r="S2124">
        <f>L2124-LTP3!$D$3*G2124/k_n</f>
        <v/>
      </c>
      <c r="T2124">
        <f>M2124-LTP3!$D$3*H2124/k_n</f>
        <v/>
      </c>
      <c r="U2124">
        <f>N2124-G2124*LTP3!$D$4/k_n</f>
        <v/>
      </c>
      <c r="V2124">
        <f>O2124-H2124*LTP3!$D$4/k_n</f>
        <v/>
      </c>
      <c r="W2124">
        <f>((LTP3!$D$5)*((P2124)*(Q2124)-(R2124)*(R2124))-(S2124)*((S2124)*(Q2124)-(R2124)*(T2124))+(T2124)*((S2124)*(R2124)-(P2124)*(T2124)))</f>
        <v/>
      </c>
      <c r="X2124">
        <f>IF(ABS(W2124)&gt;1E-12,((LTP3!$D$6)*((P2124)*(Q2124)-(R2124)*(R2124))-(S2124)*((U2124)*(Q2124)-(R2124)*(V2124))+(T2124)*((U2124)*(R2124)-(P2124)*(V2124)))/W2124,0)</f>
        <v/>
      </c>
      <c r="Y2124">
        <f>IF(ABS(W2124)&gt;1E-12,((LTP3!$D$5)*((U2124)*(Q2124)-(R2124)*(V2124))-(LTP3!$D$6)*((S2124)*(Q2124)-(R2124)*(T2124))+(T2124)*((S2124)*(V2124)-(U2124)*(T2124)))/W2124,0)</f>
        <v/>
      </c>
      <c r="Z2124">
        <f>IF(ABS(W2124)&gt;1E-12,((LTP3!$D$5)*((P2124)*(V2124)-(U2124)*(R2124))-(S2124)*((S2124)*(V2124)-(U2124)*(T2124))+(LTP3!$D$6)*((S2124)*(R2124)-(P2124)*(T2124)))/W2124,0)</f>
        <v/>
      </c>
      <c r="AA2124">
        <f>LTP3!$D$7-X2124*LTP3!$D$6-Y2124*U2124-Z2124*V2124</f>
        <v/>
      </c>
      <c r="AB2124">
        <f>IF(AND(F2124,ABS(W2124)&gt;1E-12,Y2124&gt;0,Z2124&gt;0),AA2124,1E+300)</f>
        <v/>
      </c>
    </row>
    <row r="2125">
      <c r="A2125">
        <f>$B$3+$B$5*34</f>
        <v/>
      </c>
      <c r="B2125">
        <f>$B$3+$B$5*39</f>
        <v/>
      </c>
      <c r="C2125">
        <f>SUMPRODUCT(Calc!$K$3:$K$22*(Calc!$G$3:$G$22&lt;=A2125))</f>
        <v/>
      </c>
      <c r="D2125">
        <f>SUMPRODUCT(Calc!$K$3:$K$22*(Calc!$G$3:$G$22&gt;A2125)*(Calc!$G$3:$G$22&lt;B2125))</f>
        <v/>
      </c>
      <c r="E2125">
        <f>SUMPRODUCT(Calc!$K$3:$K$22*(Calc!$G$3:$G$22&gt;=B2125))</f>
        <v/>
      </c>
      <c r="F2125">
        <f>AND(k_n&gt;=5,B2125&gt;A2125+1E-9,C2125&gt;=2,D2125&gt;=1,E2125&gt;=2)</f>
        <v/>
      </c>
      <c r="G2125">
        <f>SUMPRODUCT(Calc!$K$3:$K$22*(Calc!$G$3:$G$22&gt;A2125)*(Calc!$G$3:$G$22-A2125))</f>
        <v/>
      </c>
      <c r="H2125">
        <f>SUMPRODUCT(Calc!$K$3:$K$22*(Calc!$G$3:$G$22&gt;B2125)*(Calc!$G$3:$G$22-B2125))</f>
        <v/>
      </c>
      <c r="I2125">
        <f>SUMPRODUCT(Calc!$K$3:$K$22*(Calc!$G$3:$G$22&gt;A2125)*(Calc!$G$3:$G$22-A2125)^2)</f>
        <v/>
      </c>
      <c r="J2125">
        <f>SUMPRODUCT(Calc!$K$3:$K$22*(Calc!$G$3:$G$22&gt;B2125)*(Calc!$G$3:$G$22-B2125)^2)</f>
        <v/>
      </c>
      <c r="K2125">
        <f>SUMPRODUCT(Calc!$K$3:$K$22*(Calc!$G$3:$G$22&gt;A2125)*(Calc!$G$3:$G$22-A2125)*(Calc!$G$3:$G$22&gt;B2125)*(Calc!$G$3:$G$22-B2125))</f>
        <v/>
      </c>
      <c r="L2125">
        <f>SUMPRODUCT(Calc!$K$3:$K$22*(Calc!$G$3:$G$22&gt;A2125)*(Calc!$G$3:$G$22-A2125)*Calc!$G$3:$G$22)</f>
        <v/>
      </c>
      <c r="M2125">
        <f>SUMPRODUCT(Calc!$K$3:$K$22*(Calc!$G$3:$G$22&gt;B2125)*(Calc!$G$3:$G$22-B2125)*Calc!$G$3:$G$22)</f>
        <v/>
      </c>
      <c r="N2125">
        <f>SUMPRODUCT(Calc!$K$3:$K$22*(Calc!$G$3:$G$22&gt;A2125)*(Calc!$G$3:$G$22-A2125)*Calc!$I$3:$I$22)</f>
        <v/>
      </c>
      <c r="O2125">
        <f>SUMPRODUCT(Calc!$K$3:$K$22*(Calc!$G$3:$G$22&gt;B2125)*(Calc!$G$3:$G$22-B2125)*Calc!$I$3:$I$22)</f>
        <v/>
      </c>
      <c r="P2125">
        <f>I2125-G2125^2/k_n</f>
        <v/>
      </c>
      <c r="Q2125">
        <f>J2125-H2125^2/k_n</f>
        <v/>
      </c>
      <c r="R2125">
        <f>K2125-G2125*H2125/k_n</f>
        <v/>
      </c>
      <c r="S2125">
        <f>L2125-LTP3!$D$3*G2125/k_n</f>
        <v/>
      </c>
      <c r="T2125">
        <f>M2125-LTP3!$D$3*H2125/k_n</f>
        <v/>
      </c>
      <c r="U2125">
        <f>N2125-G2125*LTP3!$D$4/k_n</f>
        <v/>
      </c>
      <c r="V2125">
        <f>O2125-H2125*LTP3!$D$4/k_n</f>
        <v/>
      </c>
      <c r="W2125">
        <f>((LTP3!$D$5)*((P2125)*(Q2125)-(R2125)*(R2125))-(S2125)*((S2125)*(Q2125)-(R2125)*(T2125))+(T2125)*((S2125)*(R2125)-(P2125)*(T2125)))</f>
        <v/>
      </c>
      <c r="X2125">
        <f>IF(ABS(W2125)&gt;1E-12,((LTP3!$D$6)*((P2125)*(Q2125)-(R2125)*(R2125))-(S2125)*((U2125)*(Q2125)-(R2125)*(V2125))+(T2125)*((U2125)*(R2125)-(P2125)*(V2125)))/W2125,0)</f>
        <v/>
      </c>
      <c r="Y2125">
        <f>IF(ABS(W2125)&gt;1E-12,((LTP3!$D$5)*((U2125)*(Q2125)-(R2125)*(V2125))-(LTP3!$D$6)*((S2125)*(Q2125)-(R2125)*(T2125))+(T2125)*((S2125)*(V2125)-(U2125)*(T2125)))/W2125,0)</f>
        <v/>
      </c>
      <c r="Z2125">
        <f>IF(ABS(W2125)&gt;1E-12,((LTP3!$D$5)*((P2125)*(V2125)-(U2125)*(R2125))-(S2125)*((S2125)*(V2125)-(U2125)*(T2125))+(LTP3!$D$6)*((S2125)*(R2125)-(P2125)*(T2125)))/W2125,0)</f>
        <v/>
      </c>
      <c r="AA2125">
        <f>LTP3!$D$7-X2125*LTP3!$D$6-Y2125*U2125-Z2125*V2125</f>
        <v/>
      </c>
      <c r="AB2125">
        <f>IF(AND(F2125,ABS(W2125)&gt;1E-12,Y2125&gt;0,Z2125&gt;0),AA2125,1E+300)</f>
        <v/>
      </c>
    </row>
    <row r="2126">
      <c r="A2126">
        <f>$B$3+$B$5*34</f>
        <v/>
      </c>
      <c r="B2126">
        <f>$B$3+$B$5*40</f>
        <v/>
      </c>
      <c r="C2126">
        <f>SUMPRODUCT(Calc!$K$3:$K$22*(Calc!$G$3:$G$22&lt;=A2126))</f>
        <v/>
      </c>
      <c r="D2126">
        <f>SUMPRODUCT(Calc!$K$3:$K$22*(Calc!$G$3:$G$22&gt;A2126)*(Calc!$G$3:$G$22&lt;B2126))</f>
        <v/>
      </c>
      <c r="E2126">
        <f>SUMPRODUCT(Calc!$K$3:$K$22*(Calc!$G$3:$G$22&gt;=B2126))</f>
        <v/>
      </c>
      <c r="F2126">
        <f>AND(k_n&gt;=5,B2126&gt;A2126+1E-9,C2126&gt;=2,D2126&gt;=1,E2126&gt;=2)</f>
        <v/>
      </c>
      <c r="G2126">
        <f>SUMPRODUCT(Calc!$K$3:$K$22*(Calc!$G$3:$G$22&gt;A2126)*(Calc!$G$3:$G$22-A2126))</f>
        <v/>
      </c>
      <c r="H2126">
        <f>SUMPRODUCT(Calc!$K$3:$K$22*(Calc!$G$3:$G$22&gt;B2126)*(Calc!$G$3:$G$22-B2126))</f>
        <v/>
      </c>
      <c r="I2126">
        <f>SUMPRODUCT(Calc!$K$3:$K$22*(Calc!$G$3:$G$22&gt;A2126)*(Calc!$G$3:$G$22-A2126)^2)</f>
        <v/>
      </c>
      <c r="J2126">
        <f>SUMPRODUCT(Calc!$K$3:$K$22*(Calc!$G$3:$G$22&gt;B2126)*(Calc!$G$3:$G$22-B2126)^2)</f>
        <v/>
      </c>
      <c r="K2126">
        <f>SUMPRODUCT(Calc!$K$3:$K$22*(Calc!$G$3:$G$22&gt;A2126)*(Calc!$G$3:$G$22-A2126)*(Calc!$G$3:$G$22&gt;B2126)*(Calc!$G$3:$G$22-B2126))</f>
        <v/>
      </c>
      <c r="L2126">
        <f>SUMPRODUCT(Calc!$K$3:$K$22*(Calc!$G$3:$G$22&gt;A2126)*(Calc!$G$3:$G$22-A2126)*Calc!$G$3:$G$22)</f>
        <v/>
      </c>
      <c r="M2126">
        <f>SUMPRODUCT(Calc!$K$3:$K$22*(Calc!$G$3:$G$22&gt;B2126)*(Calc!$G$3:$G$22-B2126)*Calc!$G$3:$G$22)</f>
        <v/>
      </c>
      <c r="N2126">
        <f>SUMPRODUCT(Calc!$K$3:$K$22*(Calc!$G$3:$G$22&gt;A2126)*(Calc!$G$3:$G$22-A2126)*Calc!$I$3:$I$22)</f>
        <v/>
      </c>
      <c r="O2126">
        <f>SUMPRODUCT(Calc!$K$3:$K$22*(Calc!$G$3:$G$22&gt;B2126)*(Calc!$G$3:$G$22-B2126)*Calc!$I$3:$I$22)</f>
        <v/>
      </c>
      <c r="P2126">
        <f>I2126-G2126^2/k_n</f>
        <v/>
      </c>
      <c r="Q2126">
        <f>J2126-H2126^2/k_n</f>
        <v/>
      </c>
      <c r="R2126">
        <f>K2126-G2126*H2126/k_n</f>
        <v/>
      </c>
      <c r="S2126">
        <f>L2126-LTP3!$D$3*G2126/k_n</f>
        <v/>
      </c>
      <c r="T2126">
        <f>M2126-LTP3!$D$3*H2126/k_n</f>
        <v/>
      </c>
      <c r="U2126">
        <f>N2126-G2126*LTP3!$D$4/k_n</f>
        <v/>
      </c>
      <c r="V2126">
        <f>O2126-H2126*LTP3!$D$4/k_n</f>
        <v/>
      </c>
      <c r="W2126">
        <f>((LTP3!$D$5)*((P2126)*(Q2126)-(R2126)*(R2126))-(S2126)*((S2126)*(Q2126)-(R2126)*(T2126))+(T2126)*((S2126)*(R2126)-(P2126)*(T2126)))</f>
        <v/>
      </c>
      <c r="X2126">
        <f>IF(ABS(W2126)&gt;1E-12,((LTP3!$D$6)*((P2126)*(Q2126)-(R2126)*(R2126))-(S2126)*((U2126)*(Q2126)-(R2126)*(V2126))+(T2126)*((U2126)*(R2126)-(P2126)*(V2126)))/W2126,0)</f>
        <v/>
      </c>
      <c r="Y2126">
        <f>IF(ABS(W2126)&gt;1E-12,((LTP3!$D$5)*((U2126)*(Q2126)-(R2126)*(V2126))-(LTP3!$D$6)*((S2126)*(Q2126)-(R2126)*(T2126))+(T2126)*((S2126)*(V2126)-(U2126)*(T2126)))/W2126,0)</f>
        <v/>
      </c>
      <c r="Z2126">
        <f>IF(ABS(W2126)&gt;1E-12,((LTP3!$D$5)*((P2126)*(V2126)-(U2126)*(R2126))-(S2126)*((S2126)*(V2126)-(U2126)*(T2126))+(LTP3!$D$6)*((S2126)*(R2126)-(P2126)*(T2126)))/W2126,0)</f>
        <v/>
      </c>
      <c r="AA2126">
        <f>LTP3!$D$7-X2126*LTP3!$D$6-Y2126*U2126-Z2126*V2126</f>
        <v/>
      </c>
      <c r="AB2126">
        <f>IF(AND(F2126,ABS(W2126)&gt;1E-12,Y2126&gt;0,Z2126&gt;0),AA2126,1E+300)</f>
        <v/>
      </c>
    </row>
    <row r="2127">
      <c r="A2127">
        <f>$B$3+$B$5*34</f>
        <v/>
      </c>
      <c r="B2127">
        <f>$B$3+$B$5*41</f>
        <v/>
      </c>
      <c r="C2127">
        <f>SUMPRODUCT(Calc!$K$3:$K$22*(Calc!$G$3:$G$22&lt;=A2127))</f>
        <v/>
      </c>
      <c r="D2127">
        <f>SUMPRODUCT(Calc!$K$3:$K$22*(Calc!$G$3:$G$22&gt;A2127)*(Calc!$G$3:$G$22&lt;B2127))</f>
        <v/>
      </c>
      <c r="E2127">
        <f>SUMPRODUCT(Calc!$K$3:$K$22*(Calc!$G$3:$G$22&gt;=B2127))</f>
        <v/>
      </c>
      <c r="F2127">
        <f>AND(k_n&gt;=5,B2127&gt;A2127+1E-9,C2127&gt;=2,D2127&gt;=1,E2127&gt;=2)</f>
        <v/>
      </c>
      <c r="G2127">
        <f>SUMPRODUCT(Calc!$K$3:$K$22*(Calc!$G$3:$G$22&gt;A2127)*(Calc!$G$3:$G$22-A2127))</f>
        <v/>
      </c>
      <c r="H2127">
        <f>SUMPRODUCT(Calc!$K$3:$K$22*(Calc!$G$3:$G$22&gt;B2127)*(Calc!$G$3:$G$22-B2127))</f>
        <v/>
      </c>
      <c r="I2127">
        <f>SUMPRODUCT(Calc!$K$3:$K$22*(Calc!$G$3:$G$22&gt;A2127)*(Calc!$G$3:$G$22-A2127)^2)</f>
        <v/>
      </c>
      <c r="J2127">
        <f>SUMPRODUCT(Calc!$K$3:$K$22*(Calc!$G$3:$G$22&gt;B2127)*(Calc!$G$3:$G$22-B2127)^2)</f>
        <v/>
      </c>
      <c r="K2127">
        <f>SUMPRODUCT(Calc!$K$3:$K$22*(Calc!$G$3:$G$22&gt;A2127)*(Calc!$G$3:$G$22-A2127)*(Calc!$G$3:$G$22&gt;B2127)*(Calc!$G$3:$G$22-B2127))</f>
        <v/>
      </c>
      <c r="L2127">
        <f>SUMPRODUCT(Calc!$K$3:$K$22*(Calc!$G$3:$G$22&gt;A2127)*(Calc!$G$3:$G$22-A2127)*Calc!$G$3:$G$22)</f>
        <v/>
      </c>
      <c r="M2127">
        <f>SUMPRODUCT(Calc!$K$3:$K$22*(Calc!$G$3:$G$22&gt;B2127)*(Calc!$G$3:$G$22-B2127)*Calc!$G$3:$G$22)</f>
        <v/>
      </c>
      <c r="N2127">
        <f>SUMPRODUCT(Calc!$K$3:$K$22*(Calc!$G$3:$G$22&gt;A2127)*(Calc!$G$3:$G$22-A2127)*Calc!$I$3:$I$22)</f>
        <v/>
      </c>
      <c r="O2127">
        <f>SUMPRODUCT(Calc!$K$3:$K$22*(Calc!$G$3:$G$22&gt;B2127)*(Calc!$G$3:$G$22-B2127)*Calc!$I$3:$I$22)</f>
        <v/>
      </c>
      <c r="P2127">
        <f>I2127-G2127^2/k_n</f>
        <v/>
      </c>
      <c r="Q2127">
        <f>J2127-H2127^2/k_n</f>
        <v/>
      </c>
      <c r="R2127">
        <f>K2127-G2127*H2127/k_n</f>
        <v/>
      </c>
      <c r="S2127">
        <f>L2127-LTP3!$D$3*G2127/k_n</f>
        <v/>
      </c>
      <c r="T2127">
        <f>M2127-LTP3!$D$3*H2127/k_n</f>
        <v/>
      </c>
      <c r="U2127">
        <f>N2127-G2127*LTP3!$D$4/k_n</f>
        <v/>
      </c>
      <c r="V2127">
        <f>O2127-H2127*LTP3!$D$4/k_n</f>
        <v/>
      </c>
      <c r="W2127">
        <f>((LTP3!$D$5)*((P2127)*(Q2127)-(R2127)*(R2127))-(S2127)*((S2127)*(Q2127)-(R2127)*(T2127))+(T2127)*((S2127)*(R2127)-(P2127)*(T2127)))</f>
        <v/>
      </c>
      <c r="X2127">
        <f>IF(ABS(W2127)&gt;1E-12,((LTP3!$D$6)*((P2127)*(Q2127)-(R2127)*(R2127))-(S2127)*((U2127)*(Q2127)-(R2127)*(V2127))+(T2127)*((U2127)*(R2127)-(P2127)*(V2127)))/W2127,0)</f>
        <v/>
      </c>
      <c r="Y2127">
        <f>IF(ABS(W2127)&gt;1E-12,((LTP3!$D$5)*((U2127)*(Q2127)-(R2127)*(V2127))-(LTP3!$D$6)*((S2127)*(Q2127)-(R2127)*(T2127))+(T2127)*((S2127)*(V2127)-(U2127)*(T2127)))/W2127,0)</f>
        <v/>
      </c>
      <c r="Z2127">
        <f>IF(ABS(W2127)&gt;1E-12,((LTP3!$D$5)*((P2127)*(V2127)-(U2127)*(R2127))-(S2127)*((S2127)*(V2127)-(U2127)*(T2127))+(LTP3!$D$6)*((S2127)*(R2127)-(P2127)*(T2127)))/W2127,0)</f>
        <v/>
      </c>
      <c r="AA2127">
        <f>LTP3!$D$7-X2127*LTP3!$D$6-Y2127*U2127-Z2127*V2127</f>
        <v/>
      </c>
      <c r="AB2127">
        <f>IF(AND(F2127,ABS(W2127)&gt;1E-12,Y2127&gt;0,Z2127&gt;0),AA2127,1E+300)</f>
        <v/>
      </c>
    </row>
    <row r="2128">
      <c r="A2128">
        <f>$B$3+$B$5*34</f>
        <v/>
      </c>
      <c r="B2128">
        <f>$B$3+$B$5*42</f>
        <v/>
      </c>
      <c r="C2128">
        <f>SUMPRODUCT(Calc!$K$3:$K$22*(Calc!$G$3:$G$22&lt;=A2128))</f>
        <v/>
      </c>
      <c r="D2128">
        <f>SUMPRODUCT(Calc!$K$3:$K$22*(Calc!$G$3:$G$22&gt;A2128)*(Calc!$G$3:$G$22&lt;B2128))</f>
        <v/>
      </c>
      <c r="E2128">
        <f>SUMPRODUCT(Calc!$K$3:$K$22*(Calc!$G$3:$G$22&gt;=B2128))</f>
        <v/>
      </c>
      <c r="F2128">
        <f>AND(k_n&gt;=5,B2128&gt;A2128+1E-9,C2128&gt;=2,D2128&gt;=1,E2128&gt;=2)</f>
        <v/>
      </c>
      <c r="G2128">
        <f>SUMPRODUCT(Calc!$K$3:$K$22*(Calc!$G$3:$G$22&gt;A2128)*(Calc!$G$3:$G$22-A2128))</f>
        <v/>
      </c>
      <c r="H2128">
        <f>SUMPRODUCT(Calc!$K$3:$K$22*(Calc!$G$3:$G$22&gt;B2128)*(Calc!$G$3:$G$22-B2128))</f>
        <v/>
      </c>
      <c r="I2128">
        <f>SUMPRODUCT(Calc!$K$3:$K$22*(Calc!$G$3:$G$22&gt;A2128)*(Calc!$G$3:$G$22-A2128)^2)</f>
        <v/>
      </c>
      <c r="J2128">
        <f>SUMPRODUCT(Calc!$K$3:$K$22*(Calc!$G$3:$G$22&gt;B2128)*(Calc!$G$3:$G$22-B2128)^2)</f>
        <v/>
      </c>
      <c r="K2128">
        <f>SUMPRODUCT(Calc!$K$3:$K$22*(Calc!$G$3:$G$22&gt;A2128)*(Calc!$G$3:$G$22-A2128)*(Calc!$G$3:$G$22&gt;B2128)*(Calc!$G$3:$G$22-B2128))</f>
        <v/>
      </c>
      <c r="L2128">
        <f>SUMPRODUCT(Calc!$K$3:$K$22*(Calc!$G$3:$G$22&gt;A2128)*(Calc!$G$3:$G$22-A2128)*Calc!$G$3:$G$22)</f>
        <v/>
      </c>
      <c r="M2128">
        <f>SUMPRODUCT(Calc!$K$3:$K$22*(Calc!$G$3:$G$22&gt;B2128)*(Calc!$G$3:$G$22-B2128)*Calc!$G$3:$G$22)</f>
        <v/>
      </c>
      <c r="N2128">
        <f>SUMPRODUCT(Calc!$K$3:$K$22*(Calc!$G$3:$G$22&gt;A2128)*(Calc!$G$3:$G$22-A2128)*Calc!$I$3:$I$22)</f>
        <v/>
      </c>
      <c r="O2128">
        <f>SUMPRODUCT(Calc!$K$3:$K$22*(Calc!$G$3:$G$22&gt;B2128)*(Calc!$G$3:$G$22-B2128)*Calc!$I$3:$I$22)</f>
        <v/>
      </c>
      <c r="P2128">
        <f>I2128-G2128^2/k_n</f>
        <v/>
      </c>
      <c r="Q2128">
        <f>J2128-H2128^2/k_n</f>
        <v/>
      </c>
      <c r="R2128">
        <f>K2128-G2128*H2128/k_n</f>
        <v/>
      </c>
      <c r="S2128">
        <f>L2128-LTP3!$D$3*G2128/k_n</f>
        <v/>
      </c>
      <c r="T2128">
        <f>M2128-LTP3!$D$3*H2128/k_n</f>
        <v/>
      </c>
      <c r="U2128">
        <f>N2128-G2128*LTP3!$D$4/k_n</f>
        <v/>
      </c>
      <c r="V2128">
        <f>O2128-H2128*LTP3!$D$4/k_n</f>
        <v/>
      </c>
      <c r="W2128">
        <f>((LTP3!$D$5)*((P2128)*(Q2128)-(R2128)*(R2128))-(S2128)*((S2128)*(Q2128)-(R2128)*(T2128))+(T2128)*((S2128)*(R2128)-(P2128)*(T2128)))</f>
        <v/>
      </c>
      <c r="X2128">
        <f>IF(ABS(W2128)&gt;1E-12,((LTP3!$D$6)*((P2128)*(Q2128)-(R2128)*(R2128))-(S2128)*((U2128)*(Q2128)-(R2128)*(V2128))+(T2128)*((U2128)*(R2128)-(P2128)*(V2128)))/W2128,0)</f>
        <v/>
      </c>
      <c r="Y2128">
        <f>IF(ABS(W2128)&gt;1E-12,((LTP3!$D$5)*((U2128)*(Q2128)-(R2128)*(V2128))-(LTP3!$D$6)*((S2128)*(Q2128)-(R2128)*(T2128))+(T2128)*((S2128)*(V2128)-(U2128)*(T2128)))/W2128,0)</f>
        <v/>
      </c>
      <c r="Z2128">
        <f>IF(ABS(W2128)&gt;1E-12,((LTP3!$D$5)*((P2128)*(V2128)-(U2128)*(R2128))-(S2128)*((S2128)*(V2128)-(U2128)*(T2128))+(LTP3!$D$6)*((S2128)*(R2128)-(P2128)*(T2128)))/W2128,0)</f>
        <v/>
      </c>
      <c r="AA2128">
        <f>LTP3!$D$7-X2128*LTP3!$D$6-Y2128*U2128-Z2128*V2128</f>
        <v/>
      </c>
      <c r="AB2128">
        <f>IF(AND(F2128,ABS(W2128)&gt;1E-12,Y2128&gt;0,Z2128&gt;0),AA2128,1E+300)</f>
        <v/>
      </c>
    </row>
    <row r="2129">
      <c r="A2129">
        <f>$B$3+$B$5*34</f>
        <v/>
      </c>
      <c r="B2129">
        <f>$B$3+$B$5*43</f>
        <v/>
      </c>
      <c r="C2129">
        <f>SUMPRODUCT(Calc!$K$3:$K$22*(Calc!$G$3:$G$22&lt;=A2129))</f>
        <v/>
      </c>
      <c r="D2129">
        <f>SUMPRODUCT(Calc!$K$3:$K$22*(Calc!$G$3:$G$22&gt;A2129)*(Calc!$G$3:$G$22&lt;B2129))</f>
        <v/>
      </c>
      <c r="E2129">
        <f>SUMPRODUCT(Calc!$K$3:$K$22*(Calc!$G$3:$G$22&gt;=B2129))</f>
        <v/>
      </c>
      <c r="F2129">
        <f>AND(k_n&gt;=5,B2129&gt;A2129+1E-9,C2129&gt;=2,D2129&gt;=1,E2129&gt;=2)</f>
        <v/>
      </c>
      <c r="G2129">
        <f>SUMPRODUCT(Calc!$K$3:$K$22*(Calc!$G$3:$G$22&gt;A2129)*(Calc!$G$3:$G$22-A2129))</f>
        <v/>
      </c>
      <c r="H2129">
        <f>SUMPRODUCT(Calc!$K$3:$K$22*(Calc!$G$3:$G$22&gt;B2129)*(Calc!$G$3:$G$22-B2129))</f>
        <v/>
      </c>
      <c r="I2129">
        <f>SUMPRODUCT(Calc!$K$3:$K$22*(Calc!$G$3:$G$22&gt;A2129)*(Calc!$G$3:$G$22-A2129)^2)</f>
        <v/>
      </c>
      <c r="J2129">
        <f>SUMPRODUCT(Calc!$K$3:$K$22*(Calc!$G$3:$G$22&gt;B2129)*(Calc!$G$3:$G$22-B2129)^2)</f>
        <v/>
      </c>
      <c r="K2129">
        <f>SUMPRODUCT(Calc!$K$3:$K$22*(Calc!$G$3:$G$22&gt;A2129)*(Calc!$G$3:$G$22-A2129)*(Calc!$G$3:$G$22&gt;B2129)*(Calc!$G$3:$G$22-B2129))</f>
        <v/>
      </c>
      <c r="L2129">
        <f>SUMPRODUCT(Calc!$K$3:$K$22*(Calc!$G$3:$G$22&gt;A2129)*(Calc!$G$3:$G$22-A2129)*Calc!$G$3:$G$22)</f>
        <v/>
      </c>
      <c r="M2129">
        <f>SUMPRODUCT(Calc!$K$3:$K$22*(Calc!$G$3:$G$22&gt;B2129)*(Calc!$G$3:$G$22-B2129)*Calc!$G$3:$G$22)</f>
        <v/>
      </c>
      <c r="N2129">
        <f>SUMPRODUCT(Calc!$K$3:$K$22*(Calc!$G$3:$G$22&gt;A2129)*(Calc!$G$3:$G$22-A2129)*Calc!$I$3:$I$22)</f>
        <v/>
      </c>
      <c r="O2129">
        <f>SUMPRODUCT(Calc!$K$3:$K$22*(Calc!$G$3:$G$22&gt;B2129)*(Calc!$G$3:$G$22-B2129)*Calc!$I$3:$I$22)</f>
        <v/>
      </c>
      <c r="P2129">
        <f>I2129-G2129^2/k_n</f>
        <v/>
      </c>
      <c r="Q2129">
        <f>J2129-H2129^2/k_n</f>
        <v/>
      </c>
      <c r="R2129">
        <f>K2129-G2129*H2129/k_n</f>
        <v/>
      </c>
      <c r="S2129">
        <f>L2129-LTP3!$D$3*G2129/k_n</f>
        <v/>
      </c>
      <c r="T2129">
        <f>M2129-LTP3!$D$3*H2129/k_n</f>
        <v/>
      </c>
      <c r="U2129">
        <f>N2129-G2129*LTP3!$D$4/k_n</f>
        <v/>
      </c>
      <c r="V2129">
        <f>O2129-H2129*LTP3!$D$4/k_n</f>
        <v/>
      </c>
      <c r="W2129">
        <f>((LTP3!$D$5)*((P2129)*(Q2129)-(R2129)*(R2129))-(S2129)*((S2129)*(Q2129)-(R2129)*(T2129))+(T2129)*((S2129)*(R2129)-(P2129)*(T2129)))</f>
        <v/>
      </c>
      <c r="X2129">
        <f>IF(ABS(W2129)&gt;1E-12,((LTP3!$D$6)*((P2129)*(Q2129)-(R2129)*(R2129))-(S2129)*((U2129)*(Q2129)-(R2129)*(V2129))+(T2129)*((U2129)*(R2129)-(P2129)*(V2129)))/W2129,0)</f>
        <v/>
      </c>
      <c r="Y2129">
        <f>IF(ABS(W2129)&gt;1E-12,((LTP3!$D$5)*((U2129)*(Q2129)-(R2129)*(V2129))-(LTP3!$D$6)*((S2129)*(Q2129)-(R2129)*(T2129))+(T2129)*((S2129)*(V2129)-(U2129)*(T2129)))/W2129,0)</f>
        <v/>
      </c>
      <c r="Z2129">
        <f>IF(ABS(W2129)&gt;1E-12,((LTP3!$D$5)*((P2129)*(V2129)-(U2129)*(R2129))-(S2129)*((S2129)*(V2129)-(U2129)*(T2129))+(LTP3!$D$6)*((S2129)*(R2129)-(P2129)*(T2129)))/W2129,0)</f>
        <v/>
      </c>
      <c r="AA2129">
        <f>LTP3!$D$7-X2129*LTP3!$D$6-Y2129*U2129-Z2129*V2129</f>
        <v/>
      </c>
      <c r="AB2129">
        <f>IF(AND(F2129,ABS(W2129)&gt;1E-12,Y2129&gt;0,Z2129&gt;0),AA2129,1E+300)</f>
        <v/>
      </c>
    </row>
    <row r="2130">
      <c r="A2130">
        <f>$B$3+$B$5*34</f>
        <v/>
      </c>
      <c r="B2130">
        <f>$B$3+$B$5*44</f>
        <v/>
      </c>
      <c r="C2130">
        <f>SUMPRODUCT(Calc!$K$3:$K$22*(Calc!$G$3:$G$22&lt;=A2130))</f>
        <v/>
      </c>
      <c r="D2130">
        <f>SUMPRODUCT(Calc!$K$3:$K$22*(Calc!$G$3:$G$22&gt;A2130)*(Calc!$G$3:$G$22&lt;B2130))</f>
        <v/>
      </c>
      <c r="E2130">
        <f>SUMPRODUCT(Calc!$K$3:$K$22*(Calc!$G$3:$G$22&gt;=B2130))</f>
        <v/>
      </c>
      <c r="F2130">
        <f>AND(k_n&gt;=5,B2130&gt;A2130+1E-9,C2130&gt;=2,D2130&gt;=1,E2130&gt;=2)</f>
        <v/>
      </c>
      <c r="G2130">
        <f>SUMPRODUCT(Calc!$K$3:$K$22*(Calc!$G$3:$G$22&gt;A2130)*(Calc!$G$3:$G$22-A2130))</f>
        <v/>
      </c>
      <c r="H2130">
        <f>SUMPRODUCT(Calc!$K$3:$K$22*(Calc!$G$3:$G$22&gt;B2130)*(Calc!$G$3:$G$22-B2130))</f>
        <v/>
      </c>
      <c r="I2130">
        <f>SUMPRODUCT(Calc!$K$3:$K$22*(Calc!$G$3:$G$22&gt;A2130)*(Calc!$G$3:$G$22-A2130)^2)</f>
        <v/>
      </c>
      <c r="J2130">
        <f>SUMPRODUCT(Calc!$K$3:$K$22*(Calc!$G$3:$G$22&gt;B2130)*(Calc!$G$3:$G$22-B2130)^2)</f>
        <v/>
      </c>
      <c r="K2130">
        <f>SUMPRODUCT(Calc!$K$3:$K$22*(Calc!$G$3:$G$22&gt;A2130)*(Calc!$G$3:$G$22-A2130)*(Calc!$G$3:$G$22&gt;B2130)*(Calc!$G$3:$G$22-B2130))</f>
        <v/>
      </c>
      <c r="L2130">
        <f>SUMPRODUCT(Calc!$K$3:$K$22*(Calc!$G$3:$G$22&gt;A2130)*(Calc!$G$3:$G$22-A2130)*Calc!$G$3:$G$22)</f>
        <v/>
      </c>
      <c r="M2130">
        <f>SUMPRODUCT(Calc!$K$3:$K$22*(Calc!$G$3:$G$22&gt;B2130)*(Calc!$G$3:$G$22-B2130)*Calc!$G$3:$G$22)</f>
        <v/>
      </c>
      <c r="N2130">
        <f>SUMPRODUCT(Calc!$K$3:$K$22*(Calc!$G$3:$G$22&gt;A2130)*(Calc!$G$3:$G$22-A2130)*Calc!$I$3:$I$22)</f>
        <v/>
      </c>
      <c r="O2130">
        <f>SUMPRODUCT(Calc!$K$3:$K$22*(Calc!$G$3:$G$22&gt;B2130)*(Calc!$G$3:$G$22-B2130)*Calc!$I$3:$I$22)</f>
        <v/>
      </c>
      <c r="P2130">
        <f>I2130-G2130^2/k_n</f>
        <v/>
      </c>
      <c r="Q2130">
        <f>J2130-H2130^2/k_n</f>
        <v/>
      </c>
      <c r="R2130">
        <f>K2130-G2130*H2130/k_n</f>
        <v/>
      </c>
      <c r="S2130">
        <f>L2130-LTP3!$D$3*G2130/k_n</f>
        <v/>
      </c>
      <c r="T2130">
        <f>M2130-LTP3!$D$3*H2130/k_n</f>
        <v/>
      </c>
      <c r="U2130">
        <f>N2130-G2130*LTP3!$D$4/k_n</f>
        <v/>
      </c>
      <c r="V2130">
        <f>O2130-H2130*LTP3!$D$4/k_n</f>
        <v/>
      </c>
      <c r="W2130">
        <f>((LTP3!$D$5)*((P2130)*(Q2130)-(R2130)*(R2130))-(S2130)*((S2130)*(Q2130)-(R2130)*(T2130))+(T2130)*((S2130)*(R2130)-(P2130)*(T2130)))</f>
        <v/>
      </c>
      <c r="X2130">
        <f>IF(ABS(W2130)&gt;1E-12,((LTP3!$D$6)*((P2130)*(Q2130)-(R2130)*(R2130))-(S2130)*((U2130)*(Q2130)-(R2130)*(V2130))+(T2130)*((U2130)*(R2130)-(P2130)*(V2130)))/W2130,0)</f>
        <v/>
      </c>
      <c r="Y2130">
        <f>IF(ABS(W2130)&gt;1E-12,((LTP3!$D$5)*((U2130)*(Q2130)-(R2130)*(V2130))-(LTP3!$D$6)*((S2130)*(Q2130)-(R2130)*(T2130))+(T2130)*((S2130)*(V2130)-(U2130)*(T2130)))/W2130,0)</f>
        <v/>
      </c>
      <c r="Z2130">
        <f>IF(ABS(W2130)&gt;1E-12,((LTP3!$D$5)*((P2130)*(V2130)-(U2130)*(R2130))-(S2130)*((S2130)*(V2130)-(U2130)*(T2130))+(LTP3!$D$6)*((S2130)*(R2130)-(P2130)*(T2130)))/W2130,0)</f>
        <v/>
      </c>
      <c r="AA2130">
        <f>LTP3!$D$7-X2130*LTP3!$D$6-Y2130*U2130-Z2130*V2130</f>
        <v/>
      </c>
      <c r="AB2130">
        <f>IF(AND(F2130,ABS(W2130)&gt;1E-12,Y2130&gt;0,Z2130&gt;0),AA2130,1E+300)</f>
        <v/>
      </c>
    </row>
    <row r="2131">
      <c r="A2131">
        <f>$B$3+$B$5*34</f>
        <v/>
      </c>
      <c r="B2131">
        <f>$B$3+$B$5*45</f>
        <v/>
      </c>
      <c r="C2131">
        <f>SUMPRODUCT(Calc!$K$3:$K$22*(Calc!$G$3:$G$22&lt;=A2131))</f>
        <v/>
      </c>
      <c r="D2131">
        <f>SUMPRODUCT(Calc!$K$3:$K$22*(Calc!$G$3:$G$22&gt;A2131)*(Calc!$G$3:$G$22&lt;B2131))</f>
        <v/>
      </c>
      <c r="E2131">
        <f>SUMPRODUCT(Calc!$K$3:$K$22*(Calc!$G$3:$G$22&gt;=B2131))</f>
        <v/>
      </c>
      <c r="F2131">
        <f>AND(k_n&gt;=5,B2131&gt;A2131+1E-9,C2131&gt;=2,D2131&gt;=1,E2131&gt;=2)</f>
        <v/>
      </c>
      <c r="G2131">
        <f>SUMPRODUCT(Calc!$K$3:$K$22*(Calc!$G$3:$G$22&gt;A2131)*(Calc!$G$3:$G$22-A2131))</f>
        <v/>
      </c>
      <c r="H2131">
        <f>SUMPRODUCT(Calc!$K$3:$K$22*(Calc!$G$3:$G$22&gt;B2131)*(Calc!$G$3:$G$22-B2131))</f>
        <v/>
      </c>
      <c r="I2131">
        <f>SUMPRODUCT(Calc!$K$3:$K$22*(Calc!$G$3:$G$22&gt;A2131)*(Calc!$G$3:$G$22-A2131)^2)</f>
        <v/>
      </c>
      <c r="J2131">
        <f>SUMPRODUCT(Calc!$K$3:$K$22*(Calc!$G$3:$G$22&gt;B2131)*(Calc!$G$3:$G$22-B2131)^2)</f>
        <v/>
      </c>
      <c r="K2131">
        <f>SUMPRODUCT(Calc!$K$3:$K$22*(Calc!$G$3:$G$22&gt;A2131)*(Calc!$G$3:$G$22-A2131)*(Calc!$G$3:$G$22&gt;B2131)*(Calc!$G$3:$G$22-B2131))</f>
        <v/>
      </c>
      <c r="L2131">
        <f>SUMPRODUCT(Calc!$K$3:$K$22*(Calc!$G$3:$G$22&gt;A2131)*(Calc!$G$3:$G$22-A2131)*Calc!$G$3:$G$22)</f>
        <v/>
      </c>
      <c r="M2131">
        <f>SUMPRODUCT(Calc!$K$3:$K$22*(Calc!$G$3:$G$22&gt;B2131)*(Calc!$G$3:$G$22-B2131)*Calc!$G$3:$G$22)</f>
        <v/>
      </c>
      <c r="N2131">
        <f>SUMPRODUCT(Calc!$K$3:$K$22*(Calc!$G$3:$G$22&gt;A2131)*(Calc!$G$3:$G$22-A2131)*Calc!$I$3:$I$22)</f>
        <v/>
      </c>
      <c r="O2131">
        <f>SUMPRODUCT(Calc!$K$3:$K$22*(Calc!$G$3:$G$22&gt;B2131)*(Calc!$G$3:$G$22-B2131)*Calc!$I$3:$I$22)</f>
        <v/>
      </c>
      <c r="P2131">
        <f>I2131-G2131^2/k_n</f>
        <v/>
      </c>
      <c r="Q2131">
        <f>J2131-H2131^2/k_n</f>
        <v/>
      </c>
      <c r="R2131">
        <f>K2131-G2131*H2131/k_n</f>
        <v/>
      </c>
      <c r="S2131">
        <f>L2131-LTP3!$D$3*G2131/k_n</f>
        <v/>
      </c>
      <c r="T2131">
        <f>M2131-LTP3!$D$3*H2131/k_n</f>
        <v/>
      </c>
      <c r="U2131">
        <f>N2131-G2131*LTP3!$D$4/k_n</f>
        <v/>
      </c>
      <c r="V2131">
        <f>O2131-H2131*LTP3!$D$4/k_n</f>
        <v/>
      </c>
      <c r="W2131">
        <f>((LTP3!$D$5)*((P2131)*(Q2131)-(R2131)*(R2131))-(S2131)*((S2131)*(Q2131)-(R2131)*(T2131))+(T2131)*((S2131)*(R2131)-(P2131)*(T2131)))</f>
        <v/>
      </c>
      <c r="X2131">
        <f>IF(ABS(W2131)&gt;1E-12,((LTP3!$D$6)*((P2131)*(Q2131)-(R2131)*(R2131))-(S2131)*((U2131)*(Q2131)-(R2131)*(V2131))+(T2131)*((U2131)*(R2131)-(P2131)*(V2131)))/W2131,0)</f>
        <v/>
      </c>
      <c r="Y2131">
        <f>IF(ABS(W2131)&gt;1E-12,((LTP3!$D$5)*((U2131)*(Q2131)-(R2131)*(V2131))-(LTP3!$D$6)*((S2131)*(Q2131)-(R2131)*(T2131))+(T2131)*((S2131)*(V2131)-(U2131)*(T2131)))/W2131,0)</f>
        <v/>
      </c>
      <c r="Z2131">
        <f>IF(ABS(W2131)&gt;1E-12,((LTP3!$D$5)*((P2131)*(V2131)-(U2131)*(R2131))-(S2131)*((S2131)*(V2131)-(U2131)*(T2131))+(LTP3!$D$6)*((S2131)*(R2131)-(P2131)*(T2131)))/W2131,0)</f>
        <v/>
      </c>
      <c r="AA2131">
        <f>LTP3!$D$7-X2131*LTP3!$D$6-Y2131*U2131-Z2131*V2131</f>
        <v/>
      </c>
      <c r="AB2131">
        <f>IF(AND(F2131,ABS(W2131)&gt;1E-12,Y2131&gt;0,Z2131&gt;0),AA2131,1E+300)</f>
        <v/>
      </c>
    </row>
    <row r="2132">
      <c r="A2132">
        <f>$B$3+$B$5*34</f>
        <v/>
      </c>
      <c r="B2132">
        <f>$B$3+$B$5*46</f>
        <v/>
      </c>
      <c r="C2132">
        <f>SUMPRODUCT(Calc!$K$3:$K$22*(Calc!$G$3:$G$22&lt;=A2132))</f>
        <v/>
      </c>
      <c r="D2132">
        <f>SUMPRODUCT(Calc!$K$3:$K$22*(Calc!$G$3:$G$22&gt;A2132)*(Calc!$G$3:$G$22&lt;B2132))</f>
        <v/>
      </c>
      <c r="E2132">
        <f>SUMPRODUCT(Calc!$K$3:$K$22*(Calc!$G$3:$G$22&gt;=B2132))</f>
        <v/>
      </c>
      <c r="F2132">
        <f>AND(k_n&gt;=5,B2132&gt;A2132+1E-9,C2132&gt;=2,D2132&gt;=1,E2132&gt;=2)</f>
        <v/>
      </c>
      <c r="G2132">
        <f>SUMPRODUCT(Calc!$K$3:$K$22*(Calc!$G$3:$G$22&gt;A2132)*(Calc!$G$3:$G$22-A2132))</f>
        <v/>
      </c>
      <c r="H2132">
        <f>SUMPRODUCT(Calc!$K$3:$K$22*(Calc!$G$3:$G$22&gt;B2132)*(Calc!$G$3:$G$22-B2132))</f>
        <v/>
      </c>
      <c r="I2132">
        <f>SUMPRODUCT(Calc!$K$3:$K$22*(Calc!$G$3:$G$22&gt;A2132)*(Calc!$G$3:$G$22-A2132)^2)</f>
        <v/>
      </c>
      <c r="J2132">
        <f>SUMPRODUCT(Calc!$K$3:$K$22*(Calc!$G$3:$G$22&gt;B2132)*(Calc!$G$3:$G$22-B2132)^2)</f>
        <v/>
      </c>
      <c r="K2132">
        <f>SUMPRODUCT(Calc!$K$3:$K$22*(Calc!$G$3:$G$22&gt;A2132)*(Calc!$G$3:$G$22-A2132)*(Calc!$G$3:$G$22&gt;B2132)*(Calc!$G$3:$G$22-B2132))</f>
        <v/>
      </c>
      <c r="L2132">
        <f>SUMPRODUCT(Calc!$K$3:$K$22*(Calc!$G$3:$G$22&gt;A2132)*(Calc!$G$3:$G$22-A2132)*Calc!$G$3:$G$22)</f>
        <v/>
      </c>
      <c r="M2132">
        <f>SUMPRODUCT(Calc!$K$3:$K$22*(Calc!$G$3:$G$22&gt;B2132)*(Calc!$G$3:$G$22-B2132)*Calc!$G$3:$G$22)</f>
        <v/>
      </c>
      <c r="N2132">
        <f>SUMPRODUCT(Calc!$K$3:$K$22*(Calc!$G$3:$G$22&gt;A2132)*(Calc!$G$3:$G$22-A2132)*Calc!$I$3:$I$22)</f>
        <v/>
      </c>
      <c r="O2132">
        <f>SUMPRODUCT(Calc!$K$3:$K$22*(Calc!$G$3:$G$22&gt;B2132)*(Calc!$G$3:$G$22-B2132)*Calc!$I$3:$I$22)</f>
        <v/>
      </c>
      <c r="P2132">
        <f>I2132-G2132^2/k_n</f>
        <v/>
      </c>
      <c r="Q2132">
        <f>J2132-H2132^2/k_n</f>
        <v/>
      </c>
      <c r="R2132">
        <f>K2132-G2132*H2132/k_n</f>
        <v/>
      </c>
      <c r="S2132">
        <f>L2132-LTP3!$D$3*G2132/k_n</f>
        <v/>
      </c>
      <c r="T2132">
        <f>M2132-LTP3!$D$3*H2132/k_n</f>
        <v/>
      </c>
      <c r="U2132">
        <f>N2132-G2132*LTP3!$D$4/k_n</f>
        <v/>
      </c>
      <c r="V2132">
        <f>O2132-H2132*LTP3!$D$4/k_n</f>
        <v/>
      </c>
      <c r="W2132">
        <f>((LTP3!$D$5)*((P2132)*(Q2132)-(R2132)*(R2132))-(S2132)*((S2132)*(Q2132)-(R2132)*(T2132))+(T2132)*((S2132)*(R2132)-(P2132)*(T2132)))</f>
        <v/>
      </c>
      <c r="X2132">
        <f>IF(ABS(W2132)&gt;1E-12,((LTP3!$D$6)*((P2132)*(Q2132)-(R2132)*(R2132))-(S2132)*((U2132)*(Q2132)-(R2132)*(V2132))+(T2132)*((U2132)*(R2132)-(P2132)*(V2132)))/W2132,0)</f>
        <v/>
      </c>
      <c r="Y2132">
        <f>IF(ABS(W2132)&gt;1E-12,((LTP3!$D$5)*((U2132)*(Q2132)-(R2132)*(V2132))-(LTP3!$D$6)*((S2132)*(Q2132)-(R2132)*(T2132))+(T2132)*((S2132)*(V2132)-(U2132)*(T2132)))/W2132,0)</f>
        <v/>
      </c>
      <c r="Z2132">
        <f>IF(ABS(W2132)&gt;1E-12,((LTP3!$D$5)*((P2132)*(V2132)-(U2132)*(R2132))-(S2132)*((S2132)*(V2132)-(U2132)*(T2132))+(LTP3!$D$6)*((S2132)*(R2132)-(P2132)*(T2132)))/W2132,0)</f>
        <v/>
      </c>
      <c r="AA2132">
        <f>LTP3!$D$7-X2132*LTP3!$D$6-Y2132*U2132-Z2132*V2132</f>
        <v/>
      </c>
      <c r="AB2132">
        <f>IF(AND(F2132,ABS(W2132)&gt;1E-12,Y2132&gt;0,Z2132&gt;0),AA2132,1E+300)</f>
        <v/>
      </c>
    </row>
    <row r="2133">
      <c r="A2133">
        <f>$B$3+$B$5*34</f>
        <v/>
      </c>
      <c r="B2133">
        <f>$B$3+$B$5*47</f>
        <v/>
      </c>
      <c r="C2133">
        <f>SUMPRODUCT(Calc!$K$3:$K$22*(Calc!$G$3:$G$22&lt;=A2133))</f>
        <v/>
      </c>
      <c r="D2133">
        <f>SUMPRODUCT(Calc!$K$3:$K$22*(Calc!$G$3:$G$22&gt;A2133)*(Calc!$G$3:$G$22&lt;B2133))</f>
        <v/>
      </c>
      <c r="E2133">
        <f>SUMPRODUCT(Calc!$K$3:$K$22*(Calc!$G$3:$G$22&gt;=B2133))</f>
        <v/>
      </c>
      <c r="F2133">
        <f>AND(k_n&gt;=5,B2133&gt;A2133+1E-9,C2133&gt;=2,D2133&gt;=1,E2133&gt;=2)</f>
        <v/>
      </c>
      <c r="G2133">
        <f>SUMPRODUCT(Calc!$K$3:$K$22*(Calc!$G$3:$G$22&gt;A2133)*(Calc!$G$3:$G$22-A2133))</f>
        <v/>
      </c>
      <c r="H2133">
        <f>SUMPRODUCT(Calc!$K$3:$K$22*(Calc!$G$3:$G$22&gt;B2133)*(Calc!$G$3:$G$22-B2133))</f>
        <v/>
      </c>
      <c r="I2133">
        <f>SUMPRODUCT(Calc!$K$3:$K$22*(Calc!$G$3:$G$22&gt;A2133)*(Calc!$G$3:$G$22-A2133)^2)</f>
        <v/>
      </c>
      <c r="J2133">
        <f>SUMPRODUCT(Calc!$K$3:$K$22*(Calc!$G$3:$G$22&gt;B2133)*(Calc!$G$3:$G$22-B2133)^2)</f>
        <v/>
      </c>
      <c r="K2133">
        <f>SUMPRODUCT(Calc!$K$3:$K$22*(Calc!$G$3:$G$22&gt;A2133)*(Calc!$G$3:$G$22-A2133)*(Calc!$G$3:$G$22&gt;B2133)*(Calc!$G$3:$G$22-B2133))</f>
        <v/>
      </c>
      <c r="L2133">
        <f>SUMPRODUCT(Calc!$K$3:$K$22*(Calc!$G$3:$G$22&gt;A2133)*(Calc!$G$3:$G$22-A2133)*Calc!$G$3:$G$22)</f>
        <v/>
      </c>
      <c r="M2133">
        <f>SUMPRODUCT(Calc!$K$3:$K$22*(Calc!$G$3:$G$22&gt;B2133)*(Calc!$G$3:$G$22-B2133)*Calc!$G$3:$G$22)</f>
        <v/>
      </c>
      <c r="N2133">
        <f>SUMPRODUCT(Calc!$K$3:$K$22*(Calc!$G$3:$G$22&gt;A2133)*(Calc!$G$3:$G$22-A2133)*Calc!$I$3:$I$22)</f>
        <v/>
      </c>
      <c r="O2133">
        <f>SUMPRODUCT(Calc!$K$3:$K$22*(Calc!$G$3:$G$22&gt;B2133)*(Calc!$G$3:$G$22-B2133)*Calc!$I$3:$I$22)</f>
        <v/>
      </c>
      <c r="P2133">
        <f>I2133-G2133^2/k_n</f>
        <v/>
      </c>
      <c r="Q2133">
        <f>J2133-H2133^2/k_n</f>
        <v/>
      </c>
      <c r="R2133">
        <f>K2133-G2133*H2133/k_n</f>
        <v/>
      </c>
      <c r="S2133">
        <f>L2133-LTP3!$D$3*G2133/k_n</f>
        <v/>
      </c>
      <c r="T2133">
        <f>M2133-LTP3!$D$3*H2133/k_n</f>
        <v/>
      </c>
      <c r="U2133">
        <f>N2133-G2133*LTP3!$D$4/k_n</f>
        <v/>
      </c>
      <c r="V2133">
        <f>O2133-H2133*LTP3!$D$4/k_n</f>
        <v/>
      </c>
      <c r="W2133">
        <f>((LTP3!$D$5)*((P2133)*(Q2133)-(R2133)*(R2133))-(S2133)*((S2133)*(Q2133)-(R2133)*(T2133))+(T2133)*((S2133)*(R2133)-(P2133)*(T2133)))</f>
        <v/>
      </c>
      <c r="X2133">
        <f>IF(ABS(W2133)&gt;1E-12,((LTP3!$D$6)*((P2133)*(Q2133)-(R2133)*(R2133))-(S2133)*((U2133)*(Q2133)-(R2133)*(V2133))+(T2133)*((U2133)*(R2133)-(P2133)*(V2133)))/W2133,0)</f>
        <v/>
      </c>
      <c r="Y2133">
        <f>IF(ABS(W2133)&gt;1E-12,((LTP3!$D$5)*((U2133)*(Q2133)-(R2133)*(V2133))-(LTP3!$D$6)*((S2133)*(Q2133)-(R2133)*(T2133))+(T2133)*((S2133)*(V2133)-(U2133)*(T2133)))/W2133,0)</f>
        <v/>
      </c>
      <c r="Z2133">
        <f>IF(ABS(W2133)&gt;1E-12,((LTP3!$D$5)*((P2133)*(V2133)-(U2133)*(R2133))-(S2133)*((S2133)*(V2133)-(U2133)*(T2133))+(LTP3!$D$6)*((S2133)*(R2133)-(P2133)*(T2133)))/W2133,0)</f>
        <v/>
      </c>
      <c r="AA2133">
        <f>LTP3!$D$7-X2133*LTP3!$D$6-Y2133*U2133-Z2133*V2133</f>
        <v/>
      </c>
      <c r="AB2133">
        <f>IF(AND(F2133,ABS(W2133)&gt;1E-12,Y2133&gt;0,Z2133&gt;0),AA2133,1E+300)</f>
        <v/>
      </c>
    </row>
    <row r="2134">
      <c r="A2134">
        <f>$B$3+$B$5*34</f>
        <v/>
      </c>
      <c r="B2134">
        <f>$B$3+$B$5*48</f>
        <v/>
      </c>
      <c r="C2134">
        <f>SUMPRODUCT(Calc!$K$3:$K$22*(Calc!$G$3:$G$22&lt;=A2134))</f>
        <v/>
      </c>
      <c r="D2134">
        <f>SUMPRODUCT(Calc!$K$3:$K$22*(Calc!$G$3:$G$22&gt;A2134)*(Calc!$G$3:$G$22&lt;B2134))</f>
        <v/>
      </c>
      <c r="E2134">
        <f>SUMPRODUCT(Calc!$K$3:$K$22*(Calc!$G$3:$G$22&gt;=B2134))</f>
        <v/>
      </c>
      <c r="F2134">
        <f>AND(k_n&gt;=5,B2134&gt;A2134+1E-9,C2134&gt;=2,D2134&gt;=1,E2134&gt;=2)</f>
        <v/>
      </c>
      <c r="G2134">
        <f>SUMPRODUCT(Calc!$K$3:$K$22*(Calc!$G$3:$G$22&gt;A2134)*(Calc!$G$3:$G$22-A2134))</f>
        <v/>
      </c>
      <c r="H2134">
        <f>SUMPRODUCT(Calc!$K$3:$K$22*(Calc!$G$3:$G$22&gt;B2134)*(Calc!$G$3:$G$22-B2134))</f>
        <v/>
      </c>
      <c r="I2134">
        <f>SUMPRODUCT(Calc!$K$3:$K$22*(Calc!$G$3:$G$22&gt;A2134)*(Calc!$G$3:$G$22-A2134)^2)</f>
        <v/>
      </c>
      <c r="J2134">
        <f>SUMPRODUCT(Calc!$K$3:$K$22*(Calc!$G$3:$G$22&gt;B2134)*(Calc!$G$3:$G$22-B2134)^2)</f>
        <v/>
      </c>
      <c r="K2134">
        <f>SUMPRODUCT(Calc!$K$3:$K$22*(Calc!$G$3:$G$22&gt;A2134)*(Calc!$G$3:$G$22-A2134)*(Calc!$G$3:$G$22&gt;B2134)*(Calc!$G$3:$G$22-B2134))</f>
        <v/>
      </c>
      <c r="L2134">
        <f>SUMPRODUCT(Calc!$K$3:$K$22*(Calc!$G$3:$G$22&gt;A2134)*(Calc!$G$3:$G$22-A2134)*Calc!$G$3:$G$22)</f>
        <v/>
      </c>
      <c r="M2134">
        <f>SUMPRODUCT(Calc!$K$3:$K$22*(Calc!$G$3:$G$22&gt;B2134)*(Calc!$G$3:$G$22-B2134)*Calc!$G$3:$G$22)</f>
        <v/>
      </c>
      <c r="N2134">
        <f>SUMPRODUCT(Calc!$K$3:$K$22*(Calc!$G$3:$G$22&gt;A2134)*(Calc!$G$3:$G$22-A2134)*Calc!$I$3:$I$22)</f>
        <v/>
      </c>
      <c r="O2134">
        <f>SUMPRODUCT(Calc!$K$3:$K$22*(Calc!$G$3:$G$22&gt;B2134)*(Calc!$G$3:$G$22-B2134)*Calc!$I$3:$I$22)</f>
        <v/>
      </c>
      <c r="P2134">
        <f>I2134-G2134^2/k_n</f>
        <v/>
      </c>
      <c r="Q2134">
        <f>J2134-H2134^2/k_n</f>
        <v/>
      </c>
      <c r="R2134">
        <f>K2134-G2134*H2134/k_n</f>
        <v/>
      </c>
      <c r="S2134">
        <f>L2134-LTP3!$D$3*G2134/k_n</f>
        <v/>
      </c>
      <c r="T2134">
        <f>M2134-LTP3!$D$3*H2134/k_n</f>
        <v/>
      </c>
      <c r="U2134">
        <f>N2134-G2134*LTP3!$D$4/k_n</f>
        <v/>
      </c>
      <c r="V2134">
        <f>O2134-H2134*LTP3!$D$4/k_n</f>
        <v/>
      </c>
      <c r="W2134">
        <f>((LTP3!$D$5)*((P2134)*(Q2134)-(R2134)*(R2134))-(S2134)*((S2134)*(Q2134)-(R2134)*(T2134))+(T2134)*((S2134)*(R2134)-(P2134)*(T2134)))</f>
        <v/>
      </c>
      <c r="X2134">
        <f>IF(ABS(W2134)&gt;1E-12,((LTP3!$D$6)*((P2134)*(Q2134)-(R2134)*(R2134))-(S2134)*((U2134)*(Q2134)-(R2134)*(V2134))+(T2134)*((U2134)*(R2134)-(P2134)*(V2134)))/W2134,0)</f>
        <v/>
      </c>
      <c r="Y2134">
        <f>IF(ABS(W2134)&gt;1E-12,((LTP3!$D$5)*((U2134)*(Q2134)-(R2134)*(V2134))-(LTP3!$D$6)*((S2134)*(Q2134)-(R2134)*(T2134))+(T2134)*((S2134)*(V2134)-(U2134)*(T2134)))/W2134,0)</f>
        <v/>
      </c>
      <c r="Z2134">
        <f>IF(ABS(W2134)&gt;1E-12,((LTP3!$D$5)*((P2134)*(V2134)-(U2134)*(R2134))-(S2134)*((S2134)*(V2134)-(U2134)*(T2134))+(LTP3!$D$6)*((S2134)*(R2134)-(P2134)*(T2134)))/W2134,0)</f>
        <v/>
      </c>
      <c r="AA2134">
        <f>LTP3!$D$7-X2134*LTP3!$D$6-Y2134*U2134-Z2134*V2134</f>
        <v/>
      </c>
      <c r="AB2134">
        <f>IF(AND(F2134,ABS(W2134)&gt;1E-12,Y2134&gt;0,Z2134&gt;0),AA2134,1E+300)</f>
        <v/>
      </c>
    </row>
    <row r="2135">
      <c r="A2135">
        <f>$B$3+$B$5*34</f>
        <v/>
      </c>
      <c r="B2135">
        <f>$B$3+$B$5*49</f>
        <v/>
      </c>
      <c r="C2135">
        <f>SUMPRODUCT(Calc!$K$3:$K$22*(Calc!$G$3:$G$22&lt;=A2135))</f>
        <v/>
      </c>
      <c r="D2135">
        <f>SUMPRODUCT(Calc!$K$3:$K$22*(Calc!$G$3:$G$22&gt;A2135)*(Calc!$G$3:$G$22&lt;B2135))</f>
        <v/>
      </c>
      <c r="E2135">
        <f>SUMPRODUCT(Calc!$K$3:$K$22*(Calc!$G$3:$G$22&gt;=B2135))</f>
        <v/>
      </c>
      <c r="F2135">
        <f>AND(k_n&gt;=5,B2135&gt;A2135+1E-9,C2135&gt;=2,D2135&gt;=1,E2135&gt;=2)</f>
        <v/>
      </c>
      <c r="G2135">
        <f>SUMPRODUCT(Calc!$K$3:$K$22*(Calc!$G$3:$G$22&gt;A2135)*(Calc!$G$3:$G$22-A2135))</f>
        <v/>
      </c>
      <c r="H2135">
        <f>SUMPRODUCT(Calc!$K$3:$K$22*(Calc!$G$3:$G$22&gt;B2135)*(Calc!$G$3:$G$22-B2135))</f>
        <v/>
      </c>
      <c r="I2135">
        <f>SUMPRODUCT(Calc!$K$3:$K$22*(Calc!$G$3:$G$22&gt;A2135)*(Calc!$G$3:$G$22-A2135)^2)</f>
        <v/>
      </c>
      <c r="J2135">
        <f>SUMPRODUCT(Calc!$K$3:$K$22*(Calc!$G$3:$G$22&gt;B2135)*(Calc!$G$3:$G$22-B2135)^2)</f>
        <v/>
      </c>
      <c r="K2135">
        <f>SUMPRODUCT(Calc!$K$3:$K$22*(Calc!$G$3:$G$22&gt;A2135)*(Calc!$G$3:$G$22-A2135)*(Calc!$G$3:$G$22&gt;B2135)*(Calc!$G$3:$G$22-B2135))</f>
        <v/>
      </c>
      <c r="L2135">
        <f>SUMPRODUCT(Calc!$K$3:$K$22*(Calc!$G$3:$G$22&gt;A2135)*(Calc!$G$3:$G$22-A2135)*Calc!$G$3:$G$22)</f>
        <v/>
      </c>
      <c r="M2135">
        <f>SUMPRODUCT(Calc!$K$3:$K$22*(Calc!$G$3:$G$22&gt;B2135)*(Calc!$G$3:$G$22-B2135)*Calc!$G$3:$G$22)</f>
        <v/>
      </c>
      <c r="N2135">
        <f>SUMPRODUCT(Calc!$K$3:$K$22*(Calc!$G$3:$G$22&gt;A2135)*(Calc!$G$3:$G$22-A2135)*Calc!$I$3:$I$22)</f>
        <v/>
      </c>
      <c r="O2135">
        <f>SUMPRODUCT(Calc!$K$3:$K$22*(Calc!$G$3:$G$22&gt;B2135)*(Calc!$G$3:$G$22-B2135)*Calc!$I$3:$I$22)</f>
        <v/>
      </c>
      <c r="P2135">
        <f>I2135-G2135^2/k_n</f>
        <v/>
      </c>
      <c r="Q2135">
        <f>J2135-H2135^2/k_n</f>
        <v/>
      </c>
      <c r="R2135">
        <f>K2135-G2135*H2135/k_n</f>
        <v/>
      </c>
      <c r="S2135">
        <f>L2135-LTP3!$D$3*G2135/k_n</f>
        <v/>
      </c>
      <c r="T2135">
        <f>M2135-LTP3!$D$3*H2135/k_n</f>
        <v/>
      </c>
      <c r="U2135">
        <f>N2135-G2135*LTP3!$D$4/k_n</f>
        <v/>
      </c>
      <c r="V2135">
        <f>O2135-H2135*LTP3!$D$4/k_n</f>
        <v/>
      </c>
      <c r="W2135">
        <f>((LTP3!$D$5)*((P2135)*(Q2135)-(R2135)*(R2135))-(S2135)*((S2135)*(Q2135)-(R2135)*(T2135))+(T2135)*((S2135)*(R2135)-(P2135)*(T2135)))</f>
        <v/>
      </c>
      <c r="X2135">
        <f>IF(ABS(W2135)&gt;1E-12,((LTP3!$D$6)*((P2135)*(Q2135)-(R2135)*(R2135))-(S2135)*((U2135)*(Q2135)-(R2135)*(V2135))+(T2135)*((U2135)*(R2135)-(P2135)*(V2135)))/W2135,0)</f>
        <v/>
      </c>
      <c r="Y2135">
        <f>IF(ABS(W2135)&gt;1E-12,((LTP3!$D$5)*((U2135)*(Q2135)-(R2135)*(V2135))-(LTP3!$D$6)*((S2135)*(Q2135)-(R2135)*(T2135))+(T2135)*((S2135)*(V2135)-(U2135)*(T2135)))/W2135,0)</f>
        <v/>
      </c>
      <c r="Z2135">
        <f>IF(ABS(W2135)&gt;1E-12,((LTP3!$D$5)*((P2135)*(V2135)-(U2135)*(R2135))-(S2135)*((S2135)*(V2135)-(U2135)*(T2135))+(LTP3!$D$6)*((S2135)*(R2135)-(P2135)*(T2135)))/W2135,0)</f>
        <v/>
      </c>
      <c r="AA2135">
        <f>LTP3!$D$7-X2135*LTP3!$D$6-Y2135*U2135-Z2135*V2135</f>
        <v/>
      </c>
      <c r="AB2135">
        <f>IF(AND(F2135,ABS(W2135)&gt;1E-12,Y2135&gt;0,Z2135&gt;0),AA2135,1E+300)</f>
        <v/>
      </c>
    </row>
    <row r="2136">
      <c r="A2136">
        <f>$B$3+$B$5*34</f>
        <v/>
      </c>
      <c r="B2136">
        <f>$B$3+$B$5*50</f>
        <v/>
      </c>
      <c r="C2136">
        <f>SUMPRODUCT(Calc!$K$3:$K$22*(Calc!$G$3:$G$22&lt;=A2136))</f>
        <v/>
      </c>
      <c r="D2136">
        <f>SUMPRODUCT(Calc!$K$3:$K$22*(Calc!$G$3:$G$22&gt;A2136)*(Calc!$G$3:$G$22&lt;B2136))</f>
        <v/>
      </c>
      <c r="E2136">
        <f>SUMPRODUCT(Calc!$K$3:$K$22*(Calc!$G$3:$G$22&gt;=B2136))</f>
        <v/>
      </c>
      <c r="F2136">
        <f>AND(k_n&gt;=5,B2136&gt;A2136+1E-9,C2136&gt;=2,D2136&gt;=1,E2136&gt;=2)</f>
        <v/>
      </c>
      <c r="G2136">
        <f>SUMPRODUCT(Calc!$K$3:$K$22*(Calc!$G$3:$G$22&gt;A2136)*(Calc!$G$3:$G$22-A2136))</f>
        <v/>
      </c>
      <c r="H2136">
        <f>SUMPRODUCT(Calc!$K$3:$K$22*(Calc!$G$3:$G$22&gt;B2136)*(Calc!$G$3:$G$22-B2136))</f>
        <v/>
      </c>
      <c r="I2136">
        <f>SUMPRODUCT(Calc!$K$3:$K$22*(Calc!$G$3:$G$22&gt;A2136)*(Calc!$G$3:$G$22-A2136)^2)</f>
        <v/>
      </c>
      <c r="J2136">
        <f>SUMPRODUCT(Calc!$K$3:$K$22*(Calc!$G$3:$G$22&gt;B2136)*(Calc!$G$3:$G$22-B2136)^2)</f>
        <v/>
      </c>
      <c r="K2136">
        <f>SUMPRODUCT(Calc!$K$3:$K$22*(Calc!$G$3:$G$22&gt;A2136)*(Calc!$G$3:$G$22-A2136)*(Calc!$G$3:$G$22&gt;B2136)*(Calc!$G$3:$G$22-B2136))</f>
        <v/>
      </c>
      <c r="L2136">
        <f>SUMPRODUCT(Calc!$K$3:$K$22*(Calc!$G$3:$G$22&gt;A2136)*(Calc!$G$3:$G$22-A2136)*Calc!$G$3:$G$22)</f>
        <v/>
      </c>
      <c r="M2136">
        <f>SUMPRODUCT(Calc!$K$3:$K$22*(Calc!$G$3:$G$22&gt;B2136)*(Calc!$G$3:$G$22-B2136)*Calc!$G$3:$G$22)</f>
        <v/>
      </c>
      <c r="N2136">
        <f>SUMPRODUCT(Calc!$K$3:$K$22*(Calc!$G$3:$G$22&gt;A2136)*(Calc!$G$3:$G$22-A2136)*Calc!$I$3:$I$22)</f>
        <v/>
      </c>
      <c r="O2136">
        <f>SUMPRODUCT(Calc!$K$3:$K$22*(Calc!$G$3:$G$22&gt;B2136)*(Calc!$G$3:$G$22-B2136)*Calc!$I$3:$I$22)</f>
        <v/>
      </c>
      <c r="P2136">
        <f>I2136-G2136^2/k_n</f>
        <v/>
      </c>
      <c r="Q2136">
        <f>J2136-H2136^2/k_n</f>
        <v/>
      </c>
      <c r="R2136">
        <f>K2136-G2136*H2136/k_n</f>
        <v/>
      </c>
      <c r="S2136">
        <f>L2136-LTP3!$D$3*G2136/k_n</f>
        <v/>
      </c>
      <c r="T2136">
        <f>M2136-LTP3!$D$3*H2136/k_n</f>
        <v/>
      </c>
      <c r="U2136">
        <f>N2136-G2136*LTP3!$D$4/k_n</f>
        <v/>
      </c>
      <c r="V2136">
        <f>O2136-H2136*LTP3!$D$4/k_n</f>
        <v/>
      </c>
      <c r="W2136">
        <f>((LTP3!$D$5)*((P2136)*(Q2136)-(R2136)*(R2136))-(S2136)*((S2136)*(Q2136)-(R2136)*(T2136))+(T2136)*((S2136)*(R2136)-(P2136)*(T2136)))</f>
        <v/>
      </c>
      <c r="X2136">
        <f>IF(ABS(W2136)&gt;1E-12,((LTP3!$D$6)*((P2136)*(Q2136)-(R2136)*(R2136))-(S2136)*((U2136)*(Q2136)-(R2136)*(V2136))+(T2136)*((U2136)*(R2136)-(P2136)*(V2136)))/W2136,0)</f>
        <v/>
      </c>
      <c r="Y2136">
        <f>IF(ABS(W2136)&gt;1E-12,((LTP3!$D$5)*((U2136)*(Q2136)-(R2136)*(V2136))-(LTP3!$D$6)*((S2136)*(Q2136)-(R2136)*(T2136))+(T2136)*((S2136)*(V2136)-(U2136)*(T2136)))/W2136,0)</f>
        <v/>
      </c>
      <c r="Z2136">
        <f>IF(ABS(W2136)&gt;1E-12,((LTP3!$D$5)*((P2136)*(V2136)-(U2136)*(R2136))-(S2136)*((S2136)*(V2136)-(U2136)*(T2136))+(LTP3!$D$6)*((S2136)*(R2136)-(P2136)*(T2136)))/W2136,0)</f>
        <v/>
      </c>
      <c r="AA2136">
        <f>LTP3!$D$7-X2136*LTP3!$D$6-Y2136*U2136-Z2136*V2136</f>
        <v/>
      </c>
      <c r="AB2136">
        <f>IF(AND(F2136,ABS(W2136)&gt;1E-12,Y2136&gt;0,Z2136&gt;0),AA2136,1E+300)</f>
        <v/>
      </c>
    </row>
    <row r="2137">
      <c r="A2137">
        <f>$B$3+$B$5*34</f>
        <v/>
      </c>
      <c r="B2137">
        <f>$B$3+$B$5*51</f>
        <v/>
      </c>
      <c r="C2137">
        <f>SUMPRODUCT(Calc!$K$3:$K$22*(Calc!$G$3:$G$22&lt;=A2137))</f>
        <v/>
      </c>
      <c r="D2137">
        <f>SUMPRODUCT(Calc!$K$3:$K$22*(Calc!$G$3:$G$22&gt;A2137)*(Calc!$G$3:$G$22&lt;B2137))</f>
        <v/>
      </c>
      <c r="E2137">
        <f>SUMPRODUCT(Calc!$K$3:$K$22*(Calc!$G$3:$G$22&gt;=B2137))</f>
        <v/>
      </c>
      <c r="F2137">
        <f>AND(k_n&gt;=5,B2137&gt;A2137+1E-9,C2137&gt;=2,D2137&gt;=1,E2137&gt;=2)</f>
        <v/>
      </c>
      <c r="G2137">
        <f>SUMPRODUCT(Calc!$K$3:$K$22*(Calc!$G$3:$G$22&gt;A2137)*(Calc!$G$3:$G$22-A2137))</f>
        <v/>
      </c>
      <c r="H2137">
        <f>SUMPRODUCT(Calc!$K$3:$K$22*(Calc!$G$3:$G$22&gt;B2137)*(Calc!$G$3:$G$22-B2137))</f>
        <v/>
      </c>
      <c r="I2137">
        <f>SUMPRODUCT(Calc!$K$3:$K$22*(Calc!$G$3:$G$22&gt;A2137)*(Calc!$G$3:$G$22-A2137)^2)</f>
        <v/>
      </c>
      <c r="J2137">
        <f>SUMPRODUCT(Calc!$K$3:$K$22*(Calc!$G$3:$G$22&gt;B2137)*(Calc!$G$3:$G$22-B2137)^2)</f>
        <v/>
      </c>
      <c r="K2137">
        <f>SUMPRODUCT(Calc!$K$3:$K$22*(Calc!$G$3:$G$22&gt;A2137)*(Calc!$G$3:$G$22-A2137)*(Calc!$G$3:$G$22&gt;B2137)*(Calc!$G$3:$G$22-B2137))</f>
        <v/>
      </c>
      <c r="L2137">
        <f>SUMPRODUCT(Calc!$K$3:$K$22*(Calc!$G$3:$G$22&gt;A2137)*(Calc!$G$3:$G$22-A2137)*Calc!$G$3:$G$22)</f>
        <v/>
      </c>
      <c r="M2137">
        <f>SUMPRODUCT(Calc!$K$3:$K$22*(Calc!$G$3:$G$22&gt;B2137)*(Calc!$G$3:$G$22-B2137)*Calc!$G$3:$G$22)</f>
        <v/>
      </c>
      <c r="N2137">
        <f>SUMPRODUCT(Calc!$K$3:$K$22*(Calc!$G$3:$G$22&gt;A2137)*(Calc!$G$3:$G$22-A2137)*Calc!$I$3:$I$22)</f>
        <v/>
      </c>
      <c r="O2137">
        <f>SUMPRODUCT(Calc!$K$3:$K$22*(Calc!$G$3:$G$22&gt;B2137)*(Calc!$G$3:$G$22-B2137)*Calc!$I$3:$I$22)</f>
        <v/>
      </c>
      <c r="P2137">
        <f>I2137-G2137^2/k_n</f>
        <v/>
      </c>
      <c r="Q2137">
        <f>J2137-H2137^2/k_n</f>
        <v/>
      </c>
      <c r="R2137">
        <f>K2137-G2137*H2137/k_n</f>
        <v/>
      </c>
      <c r="S2137">
        <f>L2137-LTP3!$D$3*G2137/k_n</f>
        <v/>
      </c>
      <c r="T2137">
        <f>M2137-LTP3!$D$3*H2137/k_n</f>
        <v/>
      </c>
      <c r="U2137">
        <f>N2137-G2137*LTP3!$D$4/k_n</f>
        <v/>
      </c>
      <c r="V2137">
        <f>O2137-H2137*LTP3!$D$4/k_n</f>
        <v/>
      </c>
      <c r="W2137">
        <f>((LTP3!$D$5)*((P2137)*(Q2137)-(R2137)*(R2137))-(S2137)*((S2137)*(Q2137)-(R2137)*(T2137))+(T2137)*((S2137)*(R2137)-(P2137)*(T2137)))</f>
        <v/>
      </c>
      <c r="X2137">
        <f>IF(ABS(W2137)&gt;1E-12,((LTP3!$D$6)*((P2137)*(Q2137)-(R2137)*(R2137))-(S2137)*((U2137)*(Q2137)-(R2137)*(V2137))+(T2137)*((U2137)*(R2137)-(P2137)*(V2137)))/W2137,0)</f>
        <v/>
      </c>
      <c r="Y2137">
        <f>IF(ABS(W2137)&gt;1E-12,((LTP3!$D$5)*((U2137)*(Q2137)-(R2137)*(V2137))-(LTP3!$D$6)*((S2137)*(Q2137)-(R2137)*(T2137))+(T2137)*((S2137)*(V2137)-(U2137)*(T2137)))/W2137,0)</f>
        <v/>
      </c>
      <c r="Z2137">
        <f>IF(ABS(W2137)&gt;1E-12,((LTP3!$D$5)*((P2137)*(V2137)-(U2137)*(R2137))-(S2137)*((S2137)*(V2137)-(U2137)*(T2137))+(LTP3!$D$6)*((S2137)*(R2137)-(P2137)*(T2137)))/W2137,0)</f>
        <v/>
      </c>
      <c r="AA2137">
        <f>LTP3!$D$7-X2137*LTP3!$D$6-Y2137*U2137-Z2137*V2137</f>
        <v/>
      </c>
      <c r="AB2137">
        <f>IF(AND(F2137,ABS(W2137)&gt;1E-12,Y2137&gt;0,Z2137&gt;0),AA2137,1E+300)</f>
        <v/>
      </c>
    </row>
    <row r="2138">
      <c r="A2138">
        <f>$B$3+$B$5*34</f>
        <v/>
      </c>
      <c r="B2138">
        <f>$B$3+$B$5*52</f>
        <v/>
      </c>
      <c r="C2138">
        <f>SUMPRODUCT(Calc!$K$3:$K$22*(Calc!$G$3:$G$22&lt;=A2138))</f>
        <v/>
      </c>
      <c r="D2138">
        <f>SUMPRODUCT(Calc!$K$3:$K$22*(Calc!$G$3:$G$22&gt;A2138)*(Calc!$G$3:$G$22&lt;B2138))</f>
        <v/>
      </c>
      <c r="E2138">
        <f>SUMPRODUCT(Calc!$K$3:$K$22*(Calc!$G$3:$G$22&gt;=B2138))</f>
        <v/>
      </c>
      <c r="F2138">
        <f>AND(k_n&gt;=5,B2138&gt;A2138+1E-9,C2138&gt;=2,D2138&gt;=1,E2138&gt;=2)</f>
        <v/>
      </c>
      <c r="G2138">
        <f>SUMPRODUCT(Calc!$K$3:$K$22*(Calc!$G$3:$G$22&gt;A2138)*(Calc!$G$3:$G$22-A2138))</f>
        <v/>
      </c>
      <c r="H2138">
        <f>SUMPRODUCT(Calc!$K$3:$K$22*(Calc!$G$3:$G$22&gt;B2138)*(Calc!$G$3:$G$22-B2138))</f>
        <v/>
      </c>
      <c r="I2138">
        <f>SUMPRODUCT(Calc!$K$3:$K$22*(Calc!$G$3:$G$22&gt;A2138)*(Calc!$G$3:$G$22-A2138)^2)</f>
        <v/>
      </c>
      <c r="J2138">
        <f>SUMPRODUCT(Calc!$K$3:$K$22*(Calc!$G$3:$G$22&gt;B2138)*(Calc!$G$3:$G$22-B2138)^2)</f>
        <v/>
      </c>
      <c r="K2138">
        <f>SUMPRODUCT(Calc!$K$3:$K$22*(Calc!$G$3:$G$22&gt;A2138)*(Calc!$G$3:$G$22-A2138)*(Calc!$G$3:$G$22&gt;B2138)*(Calc!$G$3:$G$22-B2138))</f>
        <v/>
      </c>
      <c r="L2138">
        <f>SUMPRODUCT(Calc!$K$3:$K$22*(Calc!$G$3:$G$22&gt;A2138)*(Calc!$G$3:$G$22-A2138)*Calc!$G$3:$G$22)</f>
        <v/>
      </c>
      <c r="M2138">
        <f>SUMPRODUCT(Calc!$K$3:$K$22*(Calc!$G$3:$G$22&gt;B2138)*(Calc!$G$3:$G$22-B2138)*Calc!$G$3:$G$22)</f>
        <v/>
      </c>
      <c r="N2138">
        <f>SUMPRODUCT(Calc!$K$3:$K$22*(Calc!$G$3:$G$22&gt;A2138)*(Calc!$G$3:$G$22-A2138)*Calc!$I$3:$I$22)</f>
        <v/>
      </c>
      <c r="O2138">
        <f>SUMPRODUCT(Calc!$K$3:$K$22*(Calc!$G$3:$G$22&gt;B2138)*(Calc!$G$3:$G$22-B2138)*Calc!$I$3:$I$22)</f>
        <v/>
      </c>
      <c r="P2138">
        <f>I2138-G2138^2/k_n</f>
        <v/>
      </c>
      <c r="Q2138">
        <f>J2138-H2138^2/k_n</f>
        <v/>
      </c>
      <c r="R2138">
        <f>K2138-G2138*H2138/k_n</f>
        <v/>
      </c>
      <c r="S2138">
        <f>L2138-LTP3!$D$3*G2138/k_n</f>
        <v/>
      </c>
      <c r="T2138">
        <f>M2138-LTP3!$D$3*H2138/k_n</f>
        <v/>
      </c>
      <c r="U2138">
        <f>N2138-G2138*LTP3!$D$4/k_n</f>
        <v/>
      </c>
      <c r="V2138">
        <f>O2138-H2138*LTP3!$D$4/k_n</f>
        <v/>
      </c>
      <c r="W2138">
        <f>((LTP3!$D$5)*((P2138)*(Q2138)-(R2138)*(R2138))-(S2138)*((S2138)*(Q2138)-(R2138)*(T2138))+(T2138)*((S2138)*(R2138)-(P2138)*(T2138)))</f>
        <v/>
      </c>
      <c r="X2138">
        <f>IF(ABS(W2138)&gt;1E-12,((LTP3!$D$6)*((P2138)*(Q2138)-(R2138)*(R2138))-(S2138)*((U2138)*(Q2138)-(R2138)*(V2138))+(T2138)*((U2138)*(R2138)-(P2138)*(V2138)))/W2138,0)</f>
        <v/>
      </c>
      <c r="Y2138">
        <f>IF(ABS(W2138)&gt;1E-12,((LTP3!$D$5)*((U2138)*(Q2138)-(R2138)*(V2138))-(LTP3!$D$6)*((S2138)*(Q2138)-(R2138)*(T2138))+(T2138)*((S2138)*(V2138)-(U2138)*(T2138)))/W2138,0)</f>
        <v/>
      </c>
      <c r="Z2138">
        <f>IF(ABS(W2138)&gt;1E-12,((LTP3!$D$5)*((P2138)*(V2138)-(U2138)*(R2138))-(S2138)*((S2138)*(V2138)-(U2138)*(T2138))+(LTP3!$D$6)*((S2138)*(R2138)-(P2138)*(T2138)))/W2138,0)</f>
        <v/>
      </c>
      <c r="AA2138">
        <f>LTP3!$D$7-X2138*LTP3!$D$6-Y2138*U2138-Z2138*V2138</f>
        <v/>
      </c>
      <c r="AB2138">
        <f>IF(AND(F2138,ABS(W2138)&gt;1E-12,Y2138&gt;0,Z2138&gt;0),AA2138,1E+300)</f>
        <v/>
      </c>
    </row>
    <row r="2139">
      <c r="A2139">
        <f>$B$3+$B$5*34</f>
        <v/>
      </c>
      <c r="B2139">
        <f>$B$3+$B$5*53</f>
        <v/>
      </c>
      <c r="C2139">
        <f>SUMPRODUCT(Calc!$K$3:$K$22*(Calc!$G$3:$G$22&lt;=A2139))</f>
        <v/>
      </c>
      <c r="D2139">
        <f>SUMPRODUCT(Calc!$K$3:$K$22*(Calc!$G$3:$G$22&gt;A2139)*(Calc!$G$3:$G$22&lt;B2139))</f>
        <v/>
      </c>
      <c r="E2139">
        <f>SUMPRODUCT(Calc!$K$3:$K$22*(Calc!$G$3:$G$22&gt;=B2139))</f>
        <v/>
      </c>
      <c r="F2139">
        <f>AND(k_n&gt;=5,B2139&gt;A2139+1E-9,C2139&gt;=2,D2139&gt;=1,E2139&gt;=2)</f>
        <v/>
      </c>
      <c r="G2139">
        <f>SUMPRODUCT(Calc!$K$3:$K$22*(Calc!$G$3:$G$22&gt;A2139)*(Calc!$G$3:$G$22-A2139))</f>
        <v/>
      </c>
      <c r="H2139">
        <f>SUMPRODUCT(Calc!$K$3:$K$22*(Calc!$G$3:$G$22&gt;B2139)*(Calc!$G$3:$G$22-B2139))</f>
        <v/>
      </c>
      <c r="I2139">
        <f>SUMPRODUCT(Calc!$K$3:$K$22*(Calc!$G$3:$G$22&gt;A2139)*(Calc!$G$3:$G$22-A2139)^2)</f>
        <v/>
      </c>
      <c r="J2139">
        <f>SUMPRODUCT(Calc!$K$3:$K$22*(Calc!$G$3:$G$22&gt;B2139)*(Calc!$G$3:$G$22-B2139)^2)</f>
        <v/>
      </c>
      <c r="K2139">
        <f>SUMPRODUCT(Calc!$K$3:$K$22*(Calc!$G$3:$G$22&gt;A2139)*(Calc!$G$3:$G$22-A2139)*(Calc!$G$3:$G$22&gt;B2139)*(Calc!$G$3:$G$22-B2139))</f>
        <v/>
      </c>
      <c r="L2139">
        <f>SUMPRODUCT(Calc!$K$3:$K$22*(Calc!$G$3:$G$22&gt;A2139)*(Calc!$G$3:$G$22-A2139)*Calc!$G$3:$G$22)</f>
        <v/>
      </c>
      <c r="M2139">
        <f>SUMPRODUCT(Calc!$K$3:$K$22*(Calc!$G$3:$G$22&gt;B2139)*(Calc!$G$3:$G$22-B2139)*Calc!$G$3:$G$22)</f>
        <v/>
      </c>
      <c r="N2139">
        <f>SUMPRODUCT(Calc!$K$3:$K$22*(Calc!$G$3:$G$22&gt;A2139)*(Calc!$G$3:$G$22-A2139)*Calc!$I$3:$I$22)</f>
        <v/>
      </c>
      <c r="O2139">
        <f>SUMPRODUCT(Calc!$K$3:$K$22*(Calc!$G$3:$G$22&gt;B2139)*(Calc!$G$3:$G$22-B2139)*Calc!$I$3:$I$22)</f>
        <v/>
      </c>
      <c r="P2139">
        <f>I2139-G2139^2/k_n</f>
        <v/>
      </c>
      <c r="Q2139">
        <f>J2139-H2139^2/k_n</f>
        <v/>
      </c>
      <c r="R2139">
        <f>K2139-G2139*H2139/k_n</f>
        <v/>
      </c>
      <c r="S2139">
        <f>L2139-LTP3!$D$3*G2139/k_n</f>
        <v/>
      </c>
      <c r="T2139">
        <f>M2139-LTP3!$D$3*H2139/k_n</f>
        <v/>
      </c>
      <c r="U2139">
        <f>N2139-G2139*LTP3!$D$4/k_n</f>
        <v/>
      </c>
      <c r="V2139">
        <f>O2139-H2139*LTP3!$D$4/k_n</f>
        <v/>
      </c>
      <c r="W2139">
        <f>((LTP3!$D$5)*((P2139)*(Q2139)-(R2139)*(R2139))-(S2139)*((S2139)*(Q2139)-(R2139)*(T2139))+(T2139)*((S2139)*(R2139)-(P2139)*(T2139)))</f>
        <v/>
      </c>
      <c r="X2139">
        <f>IF(ABS(W2139)&gt;1E-12,((LTP3!$D$6)*((P2139)*(Q2139)-(R2139)*(R2139))-(S2139)*((U2139)*(Q2139)-(R2139)*(V2139))+(T2139)*((U2139)*(R2139)-(P2139)*(V2139)))/W2139,0)</f>
        <v/>
      </c>
      <c r="Y2139">
        <f>IF(ABS(W2139)&gt;1E-12,((LTP3!$D$5)*((U2139)*(Q2139)-(R2139)*(V2139))-(LTP3!$D$6)*((S2139)*(Q2139)-(R2139)*(T2139))+(T2139)*((S2139)*(V2139)-(U2139)*(T2139)))/W2139,0)</f>
        <v/>
      </c>
      <c r="Z2139">
        <f>IF(ABS(W2139)&gt;1E-12,((LTP3!$D$5)*((P2139)*(V2139)-(U2139)*(R2139))-(S2139)*((S2139)*(V2139)-(U2139)*(T2139))+(LTP3!$D$6)*((S2139)*(R2139)-(P2139)*(T2139)))/W2139,0)</f>
        <v/>
      </c>
      <c r="AA2139">
        <f>LTP3!$D$7-X2139*LTP3!$D$6-Y2139*U2139-Z2139*V2139</f>
        <v/>
      </c>
      <c r="AB2139">
        <f>IF(AND(F2139,ABS(W2139)&gt;1E-12,Y2139&gt;0,Z2139&gt;0),AA2139,1E+300)</f>
        <v/>
      </c>
    </row>
    <row r="2140">
      <c r="A2140">
        <f>$B$3+$B$5*34</f>
        <v/>
      </c>
      <c r="B2140">
        <f>$B$3+$B$5*54</f>
        <v/>
      </c>
      <c r="C2140">
        <f>SUMPRODUCT(Calc!$K$3:$K$22*(Calc!$G$3:$G$22&lt;=A2140))</f>
        <v/>
      </c>
      <c r="D2140">
        <f>SUMPRODUCT(Calc!$K$3:$K$22*(Calc!$G$3:$G$22&gt;A2140)*(Calc!$G$3:$G$22&lt;B2140))</f>
        <v/>
      </c>
      <c r="E2140">
        <f>SUMPRODUCT(Calc!$K$3:$K$22*(Calc!$G$3:$G$22&gt;=B2140))</f>
        <v/>
      </c>
      <c r="F2140">
        <f>AND(k_n&gt;=5,B2140&gt;A2140+1E-9,C2140&gt;=2,D2140&gt;=1,E2140&gt;=2)</f>
        <v/>
      </c>
      <c r="G2140">
        <f>SUMPRODUCT(Calc!$K$3:$K$22*(Calc!$G$3:$G$22&gt;A2140)*(Calc!$G$3:$G$22-A2140))</f>
        <v/>
      </c>
      <c r="H2140">
        <f>SUMPRODUCT(Calc!$K$3:$K$22*(Calc!$G$3:$G$22&gt;B2140)*(Calc!$G$3:$G$22-B2140))</f>
        <v/>
      </c>
      <c r="I2140">
        <f>SUMPRODUCT(Calc!$K$3:$K$22*(Calc!$G$3:$G$22&gt;A2140)*(Calc!$G$3:$G$22-A2140)^2)</f>
        <v/>
      </c>
      <c r="J2140">
        <f>SUMPRODUCT(Calc!$K$3:$K$22*(Calc!$G$3:$G$22&gt;B2140)*(Calc!$G$3:$G$22-B2140)^2)</f>
        <v/>
      </c>
      <c r="K2140">
        <f>SUMPRODUCT(Calc!$K$3:$K$22*(Calc!$G$3:$G$22&gt;A2140)*(Calc!$G$3:$G$22-A2140)*(Calc!$G$3:$G$22&gt;B2140)*(Calc!$G$3:$G$22-B2140))</f>
        <v/>
      </c>
      <c r="L2140">
        <f>SUMPRODUCT(Calc!$K$3:$K$22*(Calc!$G$3:$G$22&gt;A2140)*(Calc!$G$3:$G$22-A2140)*Calc!$G$3:$G$22)</f>
        <v/>
      </c>
      <c r="M2140">
        <f>SUMPRODUCT(Calc!$K$3:$K$22*(Calc!$G$3:$G$22&gt;B2140)*(Calc!$G$3:$G$22-B2140)*Calc!$G$3:$G$22)</f>
        <v/>
      </c>
      <c r="N2140">
        <f>SUMPRODUCT(Calc!$K$3:$K$22*(Calc!$G$3:$G$22&gt;A2140)*(Calc!$G$3:$G$22-A2140)*Calc!$I$3:$I$22)</f>
        <v/>
      </c>
      <c r="O2140">
        <f>SUMPRODUCT(Calc!$K$3:$K$22*(Calc!$G$3:$G$22&gt;B2140)*(Calc!$G$3:$G$22-B2140)*Calc!$I$3:$I$22)</f>
        <v/>
      </c>
      <c r="P2140">
        <f>I2140-G2140^2/k_n</f>
        <v/>
      </c>
      <c r="Q2140">
        <f>J2140-H2140^2/k_n</f>
        <v/>
      </c>
      <c r="R2140">
        <f>K2140-G2140*H2140/k_n</f>
        <v/>
      </c>
      <c r="S2140">
        <f>L2140-LTP3!$D$3*G2140/k_n</f>
        <v/>
      </c>
      <c r="T2140">
        <f>M2140-LTP3!$D$3*H2140/k_n</f>
        <v/>
      </c>
      <c r="U2140">
        <f>N2140-G2140*LTP3!$D$4/k_n</f>
        <v/>
      </c>
      <c r="V2140">
        <f>O2140-H2140*LTP3!$D$4/k_n</f>
        <v/>
      </c>
      <c r="W2140">
        <f>((LTP3!$D$5)*((P2140)*(Q2140)-(R2140)*(R2140))-(S2140)*((S2140)*(Q2140)-(R2140)*(T2140))+(T2140)*((S2140)*(R2140)-(P2140)*(T2140)))</f>
        <v/>
      </c>
      <c r="X2140">
        <f>IF(ABS(W2140)&gt;1E-12,((LTP3!$D$6)*((P2140)*(Q2140)-(R2140)*(R2140))-(S2140)*((U2140)*(Q2140)-(R2140)*(V2140))+(T2140)*((U2140)*(R2140)-(P2140)*(V2140)))/W2140,0)</f>
        <v/>
      </c>
      <c r="Y2140">
        <f>IF(ABS(W2140)&gt;1E-12,((LTP3!$D$5)*((U2140)*(Q2140)-(R2140)*(V2140))-(LTP3!$D$6)*((S2140)*(Q2140)-(R2140)*(T2140))+(T2140)*((S2140)*(V2140)-(U2140)*(T2140)))/W2140,0)</f>
        <v/>
      </c>
      <c r="Z2140">
        <f>IF(ABS(W2140)&gt;1E-12,((LTP3!$D$5)*((P2140)*(V2140)-(U2140)*(R2140))-(S2140)*((S2140)*(V2140)-(U2140)*(T2140))+(LTP3!$D$6)*((S2140)*(R2140)-(P2140)*(T2140)))/W2140,0)</f>
        <v/>
      </c>
      <c r="AA2140">
        <f>LTP3!$D$7-X2140*LTP3!$D$6-Y2140*U2140-Z2140*V2140</f>
        <v/>
      </c>
      <c r="AB2140">
        <f>IF(AND(F2140,ABS(W2140)&gt;1E-12,Y2140&gt;0,Z2140&gt;0),AA2140,1E+300)</f>
        <v/>
      </c>
    </row>
    <row r="2141">
      <c r="A2141">
        <f>$B$3+$B$5*34</f>
        <v/>
      </c>
      <c r="B2141">
        <f>$B$3+$B$5*55</f>
        <v/>
      </c>
      <c r="C2141">
        <f>SUMPRODUCT(Calc!$K$3:$K$22*(Calc!$G$3:$G$22&lt;=A2141))</f>
        <v/>
      </c>
      <c r="D2141">
        <f>SUMPRODUCT(Calc!$K$3:$K$22*(Calc!$G$3:$G$22&gt;A2141)*(Calc!$G$3:$G$22&lt;B2141))</f>
        <v/>
      </c>
      <c r="E2141">
        <f>SUMPRODUCT(Calc!$K$3:$K$22*(Calc!$G$3:$G$22&gt;=B2141))</f>
        <v/>
      </c>
      <c r="F2141">
        <f>AND(k_n&gt;=5,B2141&gt;A2141+1E-9,C2141&gt;=2,D2141&gt;=1,E2141&gt;=2)</f>
        <v/>
      </c>
      <c r="G2141">
        <f>SUMPRODUCT(Calc!$K$3:$K$22*(Calc!$G$3:$G$22&gt;A2141)*(Calc!$G$3:$G$22-A2141))</f>
        <v/>
      </c>
      <c r="H2141">
        <f>SUMPRODUCT(Calc!$K$3:$K$22*(Calc!$G$3:$G$22&gt;B2141)*(Calc!$G$3:$G$22-B2141))</f>
        <v/>
      </c>
      <c r="I2141">
        <f>SUMPRODUCT(Calc!$K$3:$K$22*(Calc!$G$3:$G$22&gt;A2141)*(Calc!$G$3:$G$22-A2141)^2)</f>
        <v/>
      </c>
      <c r="J2141">
        <f>SUMPRODUCT(Calc!$K$3:$K$22*(Calc!$G$3:$G$22&gt;B2141)*(Calc!$G$3:$G$22-B2141)^2)</f>
        <v/>
      </c>
      <c r="K2141">
        <f>SUMPRODUCT(Calc!$K$3:$K$22*(Calc!$G$3:$G$22&gt;A2141)*(Calc!$G$3:$G$22-A2141)*(Calc!$G$3:$G$22&gt;B2141)*(Calc!$G$3:$G$22-B2141))</f>
        <v/>
      </c>
      <c r="L2141">
        <f>SUMPRODUCT(Calc!$K$3:$K$22*(Calc!$G$3:$G$22&gt;A2141)*(Calc!$G$3:$G$22-A2141)*Calc!$G$3:$G$22)</f>
        <v/>
      </c>
      <c r="M2141">
        <f>SUMPRODUCT(Calc!$K$3:$K$22*(Calc!$G$3:$G$22&gt;B2141)*(Calc!$G$3:$G$22-B2141)*Calc!$G$3:$G$22)</f>
        <v/>
      </c>
      <c r="N2141">
        <f>SUMPRODUCT(Calc!$K$3:$K$22*(Calc!$G$3:$G$22&gt;A2141)*(Calc!$G$3:$G$22-A2141)*Calc!$I$3:$I$22)</f>
        <v/>
      </c>
      <c r="O2141">
        <f>SUMPRODUCT(Calc!$K$3:$K$22*(Calc!$G$3:$G$22&gt;B2141)*(Calc!$G$3:$G$22-B2141)*Calc!$I$3:$I$22)</f>
        <v/>
      </c>
      <c r="P2141">
        <f>I2141-G2141^2/k_n</f>
        <v/>
      </c>
      <c r="Q2141">
        <f>J2141-H2141^2/k_n</f>
        <v/>
      </c>
      <c r="R2141">
        <f>K2141-G2141*H2141/k_n</f>
        <v/>
      </c>
      <c r="S2141">
        <f>L2141-LTP3!$D$3*G2141/k_n</f>
        <v/>
      </c>
      <c r="T2141">
        <f>M2141-LTP3!$D$3*H2141/k_n</f>
        <v/>
      </c>
      <c r="U2141">
        <f>N2141-G2141*LTP3!$D$4/k_n</f>
        <v/>
      </c>
      <c r="V2141">
        <f>O2141-H2141*LTP3!$D$4/k_n</f>
        <v/>
      </c>
      <c r="W2141">
        <f>((LTP3!$D$5)*((P2141)*(Q2141)-(R2141)*(R2141))-(S2141)*((S2141)*(Q2141)-(R2141)*(T2141))+(T2141)*((S2141)*(R2141)-(P2141)*(T2141)))</f>
        <v/>
      </c>
      <c r="X2141">
        <f>IF(ABS(W2141)&gt;1E-12,((LTP3!$D$6)*((P2141)*(Q2141)-(R2141)*(R2141))-(S2141)*((U2141)*(Q2141)-(R2141)*(V2141))+(T2141)*((U2141)*(R2141)-(P2141)*(V2141)))/W2141,0)</f>
        <v/>
      </c>
      <c r="Y2141">
        <f>IF(ABS(W2141)&gt;1E-12,((LTP3!$D$5)*((U2141)*(Q2141)-(R2141)*(V2141))-(LTP3!$D$6)*((S2141)*(Q2141)-(R2141)*(T2141))+(T2141)*((S2141)*(V2141)-(U2141)*(T2141)))/W2141,0)</f>
        <v/>
      </c>
      <c r="Z2141">
        <f>IF(ABS(W2141)&gt;1E-12,((LTP3!$D$5)*((P2141)*(V2141)-(U2141)*(R2141))-(S2141)*((S2141)*(V2141)-(U2141)*(T2141))+(LTP3!$D$6)*((S2141)*(R2141)-(P2141)*(T2141)))/W2141,0)</f>
        <v/>
      </c>
      <c r="AA2141">
        <f>LTP3!$D$7-X2141*LTP3!$D$6-Y2141*U2141-Z2141*V2141</f>
        <v/>
      </c>
      <c r="AB2141">
        <f>IF(AND(F2141,ABS(W2141)&gt;1E-12,Y2141&gt;0,Z2141&gt;0),AA2141,1E+300)</f>
        <v/>
      </c>
    </row>
    <row r="2142">
      <c r="A2142">
        <f>$B$3+$B$5*34</f>
        <v/>
      </c>
      <c r="B2142">
        <f>$B$3+$B$5*56</f>
        <v/>
      </c>
      <c r="C2142">
        <f>SUMPRODUCT(Calc!$K$3:$K$22*(Calc!$G$3:$G$22&lt;=A2142))</f>
        <v/>
      </c>
      <c r="D2142">
        <f>SUMPRODUCT(Calc!$K$3:$K$22*(Calc!$G$3:$G$22&gt;A2142)*(Calc!$G$3:$G$22&lt;B2142))</f>
        <v/>
      </c>
      <c r="E2142">
        <f>SUMPRODUCT(Calc!$K$3:$K$22*(Calc!$G$3:$G$22&gt;=B2142))</f>
        <v/>
      </c>
      <c r="F2142">
        <f>AND(k_n&gt;=5,B2142&gt;A2142+1E-9,C2142&gt;=2,D2142&gt;=1,E2142&gt;=2)</f>
        <v/>
      </c>
      <c r="G2142">
        <f>SUMPRODUCT(Calc!$K$3:$K$22*(Calc!$G$3:$G$22&gt;A2142)*(Calc!$G$3:$G$22-A2142))</f>
        <v/>
      </c>
      <c r="H2142">
        <f>SUMPRODUCT(Calc!$K$3:$K$22*(Calc!$G$3:$G$22&gt;B2142)*(Calc!$G$3:$G$22-B2142))</f>
        <v/>
      </c>
      <c r="I2142">
        <f>SUMPRODUCT(Calc!$K$3:$K$22*(Calc!$G$3:$G$22&gt;A2142)*(Calc!$G$3:$G$22-A2142)^2)</f>
        <v/>
      </c>
      <c r="J2142">
        <f>SUMPRODUCT(Calc!$K$3:$K$22*(Calc!$G$3:$G$22&gt;B2142)*(Calc!$G$3:$G$22-B2142)^2)</f>
        <v/>
      </c>
      <c r="K2142">
        <f>SUMPRODUCT(Calc!$K$3:$K$22*(Calc!$G$3:$G$22&gt;A2142)*(Calc!$G$3:$G$22-A2142)*(Calc!$G$3:$G$22&gt;B2142)*(Calc!$G$3:$G$22-B2142))</f>
        <v/>
      </c>
      <c r="L2142">
        <f>SUMPRODUCT(Calc!$K$3:$K$22*(Calc!$G$3:$G$22&gt;A2142)*(Calc!$G$3:$G$22-A2142)*Calc!$G$3:$G$22)</f>
        <v/>
      </c>
      <c r="M2142">
        <f>SUMPRODUCT(Calc!$K$3:$K$22*(Calc!$G$3:$G$22&gt;B2142)*(Calc!$G$3:$G$22-B2142)*Calc!$G$3:$G$22)</f>
        <v/>
      </c>
      <c r="N2142">
        <f>SUMPRODUCT(Calc!$K$3:$K$22*(Calc!$G$3:$G$22&gt;A2142)*(Calc!$G$3:$G$22-A2142)*Calc!$I$3:$I$22)</f>
        <v/>
      </c>
      <c r="O2142">
        <f>SUMPRODUCT(Calc!$K$3:$K$22*(Calc!$G$3:$G$22&gt;B2142)*(Calc!$G$3:$G$22-B2142)*Calc!$I$3:$I$22)</f>
        <v/>
      </c>
      <c r="P2142">
        <f>I2142-G2142^2/k_n</f>
        <v/>
      </c>
      <c r="Q2142">
        <f>J2142-H2142^2/k_n</f>
        <v/>
      </c>
      <c r="R2142">
        <f>K2142-G2142*H2142/k_n</f>
        <v/>
      </c>
      <c r="S2142">
        <f>L2142-LTP3!$D$3*G2142/k_n</f>
        <v/>
      </c>
      <c r="T2142">
        <f>M2142-LTP3!$D$3*H2142/k_n</f>
        <v/>
      </c>
      <c r="U2142">
        <f>N2142-G2142*LTP3!$D$4/k_n</f>
        <v/>
      </c>
      <c r="V2142">
        <f>O2142-H2142*LTP3!$D$4/k_n</f>
        <v/>
      </c>
      <c r="W2142">
        <f>((LTP3!$D$5)*((P2142)*(Q2142)-(R2142)*(R2142))-(S2142)*((S2142)*(Q2142)-(R2142)*(T2142))+(T2142)*((S2142)*(R2142)-(P2142)*(T2142)))</f>
        <v/>
      </c>
      <c r="X2142">
        <f>IF(ABS(W2142)&gt;1E-12,((LTP3!$D$6)*((P2142)*(Q2142)-(R2142)*(R2142))-(S2142)*((U2142)*(Q2142)-(R2142)*(V2142))+(T2142)*((U2142)*(R2142)-(P2142)*(V2142)))/W2142,0)</f>
        <v/>
      </c>
      <c r="Y2142">
        <f>IF(ABS(W2142)&gt;1E-12,((LTP3!$D$5)*((U2142)*(Q2142)-(R2142)*(V2142))-(LTP3!$D$6)*((S2142)*(Q2142)-(R2142)*(T2142))+(T2142)*((S2142)*(V2142)-(U2142)*(T2142)))/W2142,0)</f>
        <v/>
      </c>
      <c r="Z2142">
        <f>IF(ABS(W2142)&gt;1E-12,((LTP3!$D$5)*((P2142)*(V2142)-(U2142)*(R2142))-(S2142)*((S2142)*(V2142)-(U2142)*(T2142))+(LTP3!$D$6)*((S2142)*(R2142)-(P2142)*(T2142)))/W2142,0)</f>
        <v/>
      </c>
      <c r="AA2142">
        <f>LTP3!$D$7-X2142*LTP3!$D$6-Y2142*U2142-Z2142*V2142</f>
        <v/>
      </c>
      <c r="AB2142">
        <f>IF(AND(F2142,ABS(W2142)&gt;1E-12,Y2142&gt;0,Z2142&gt;0),AA2142,1E+300)</f>
        <v/>
      </c>
    </row>
    <row r="2143">
      <c r="A2143">
        <f>$B$3+$B$5*34</f>
        <v/>
      </c>
      <c r="B2143">
        <f>$B$3+$B$5*57</f>
        <v/>
      </c>
      <c r="C2143">
        <f>SUMPRODUCT(Calc!$K$3:$K$22*(Calc!$G$3:$G$22&lt;=A2143))</f>
        <v/>
      </c>
      <c r="D2143">
        <f>SUMPRODUCT(Calc!$K$3:$K$22*(Calc!$G$3:$G$22&gt;A2143)*(Calc!$G$3:$G$22&lt;B2143))</f>
        <v/>
      </c>
      <c r="E2143">
        <f>SUMPRODUCT(Calc!$K$3:$K$22*(Calc!$G$3:$G$22&gt;=B2143))</f>
        <v/>
      </c>
      <c r="F2143">
        <f>AND(k_n&gt;=5,B2143&gt;A2143+1E-9,C2143&gt;=2,D2143&gt;=1,E2143&gt;=2)</f>
        <v/>
      </c>
      <c r="G2143">
        <f>SUMPRODUCT(Calc!$K$3:$K$22*(Calc!$G$3:$G$22&gt;A2143)*(Calc!$G$3:$G$22-A2143))</f>
        <v/>
      </c>
      <c r="H2143">
        <f>SUMPRODUCT(Calc!$K$3:$K$22*(Calc!$G$3:$G$22&gt;B2143)*(Calc!$G$3:$G$22-B2143))</f>
        <v/>
      </c>
      <c r="I2143">
        <f>SUMPRODUCT(Calc!$K$3:$K$22*(Calc!$G$3:$G$22&gt;A2143)*(Calc!$G$3:$G$22-A2143)^2)</f>
        <v/>
      </c>
      <c r="J2143">
        <f>SUMPRODUCT(Calc!$K$3:$K$22*(Calc!$G$3:$G$22&gt;B2143)*(Calc!$G$3:$G$22-B2143)^2)</f>
        <v/>
      </c>
      <c r="K2143">
        <f>SUMPRODUCT(Calc!$K$3:$K$22*(Calc!$G$3:$G$22&gt;A2143)*(Calc!$G$3:$G$22-A2143)*(Calc!$G$3:$G$22&gt;B2143)*(Calc!$G$3:$G$22-B2143))</f>
        <v/>
      </c>
      <c r="L2143">
        <f>SUMPRODUCT(Calc!$K$3:$K$22*(Calc!$G$3:$G$22&gt;A2143)*(Calc!$G$3:$G$22-A2143)*Calc!$G$3:$G$22)</f>
        <v/>
      </c>
      <c r="M2143">
        <f>SUMPRODUCT(Calc!$K$3:$K$22*(Calc!$G$3:$G$22&gt;B2143)*(Calc!$G$3:$G$22-B2143)*Calc!$G$3:$G$22)</f>
        <v/>
      </c>
      <c r="N2143">
        <f>SUMPRODUCT(Calc!$K$3:$K$22*(Calc!$G$3:$G$22&gt;A2143)*(Calc!$G$3:$G$22-A2143)*Calc!$I$3:$I$22)</f>
        <v/>
      </c>
      <c r="O2143">
        <f>SUMPRODUCT(Calc!$K$3:$K$22*(Calc!$G$3:$G$22&gt;B2143)*(Calc!$G$3:$G$22-B2143)*Calc!$I$3:$I$22)</f>
        <v/>
      </c>
      <c r="P2143">
        <f>I2143-G2143^2/k_n</f>
        <v/>
      </c>
      <c r="Q2143">
        <f>J2143-H2143^2/k_n</f>
        <v/>
      </c>
      <c r="R2143">
        <f>K2143-G2143*H2143/k_n</f>
        <v/>
      </c>
      <c r="S2143">
        <f>L2143-LTP3!$D$3*G2143/k_n</f>
        <v/>
      </c>
      <c r="T2143">
        <f>M2143-LTP3!$D$3*H2143/k_n</f>
        <v/>
      </c>
      <c r="U2143">
        <f>N2143-G2143*LTP3!$D$4/k_n</f>
        <v/>
      </c>
      <c r="V2143">
        <f>O2143-H2143*LTP3!$D$4/k_n</f>
        <v/>
      </c>
      <c r="W2143">
        <f>((LTP3!$D$5)*((P2143)*(Q2143)-(R2143)*(R2143))-(S2143)*((S2143)*(Q2143)-(R2143)*(T2143))+(T2143)*((S2143)*(R2143)-(P2143)*(T2143)))</f>
        <v/>
      </c>
      <c r="X2143">
        <f>IF(ABS(W2143)&gt;1E-12,((LTP3!$D$6)*((P2143)*(Q2143)-(R2143)*(R2143))-(S2143)*((U2143)*(Q2143)-(R2143)*(V2143))+(T2143)*((U2143)*(R2143)-(P2143)*(V2143)))/W2143,0)</f>
        <v/>
      </c>
      <c r="Y2143">
        <f>IF(ABS(W2143)&gt;1E-12,((LTP3!$D$5)*((U2143)*(Q2143)-(R2143)*(V2143))-(LTP3!$D$6)*((S2143)*(Q2143)-(R2143)*(T2143))+(T2143)*((S2143)*(V2143)-(U2143)*(T2143)))/W2143,0)</f>
        <v/>
      </c>
      <c r="Z2143">
        <f>IF(ABS(W2143)&gt;1E-12,((LTP3!$D$5)*((P2143)*(V2143)-(U2143)*(R2143))-(S2143)*((S2143)*(V2143)-(U2143)*(T2143))+(LTP3!$D$6)*((S2143)*(R2143)-(P2143)*(T2143)))/W2143,0)</f>
        <v/>
      </c>
      <c r="AA2143">
        <f>LTP3!$D$7-X2143*LTP3!$D$6-Y2143*U2143-Z2143*V2143</f>
        <v/>
      </c>
      <c r="AB2143">
        <f>IF(AND(F2143,ABS(W2143)&gt;1E-12,Y2143&gt;0,Z2143&gt;0),AA2143,1E+300)</f>
        <v/>
      </c>
    </row>
    <row r="2144">
      <c r="A2144">
        <f>$B$3+$B$5*34</f>
        <v/>
      </c>
      <c r="B2144">
        <f>$B$3+$B$5*58</f>
        <v/>
      </c>
      <c r="C2144">
        <f>SUMPRODUCT(Calc!$K$3:$K$22*(Calc!$G$3:$G$22&lt;=A2144))</f>
        <v/>
      </c>
      <c r="D2144">
        <f>SUMPRODUCT(Calc!$K$3:$K$22*(Calc!$G$3:$G$22&gt;A2144)*(Calc!$G$3:$G$22&lt;B2144))</f>
        <v/>
      </c>
      <c r="E2144">
        <f>SUMPRODUCT(Calc!$K$3:$K$22*(Calc!$G$3:$G$22&gt;=B2144))</f>
        <v/>
      </c>
      <c r="F2144">
        <f>AND(k_n&gt;=5,B2144&gt;A2144+1E-9,C2144&gt;=2,D2144&gt;=1,E2144&gt;=2)</f>
        <v/>
      </c>
      <c r="G2144">
        <f>SUMPRODUCT(Calc!$K$3:$K$22*(Calc!$G$3:$G$22&gt;A2144)*(Calc!$G$3:$G$22-A2144))</f>
        <v/>
      </c>
      <c r="H2144">
        <f>SUMPRODUCT(Calc!$K$3:$K$22*(Calc!$G$3:$G$22&gt;B2144)*(Calc!$G$3:$G$22-B2144))</f>
        <v/>
      </c>
      <c r="I2144">
        <f>SUMPRODUCT(Calc!$K$3:$K$22*(Calc!$G$3:$G$22&gt;A2144)*(Calc!$G$3:$G$22-A2144)^2)</f>
        <v/>
      </c>
      <c r="J2144">
        <f>SUMPRODUCT(Calc!$K$3:$K$22*(Calc!$G$3:$G$22&gt;B2144)*(Calc!$G$3:$G$22-B2144)^2)</f>
        <v/>
      </c>
      <c r="K2144">
        <f>SUMPRODUCT(Calc!$K$3:$K$22*(Calc!$G$3:$G$22&gt;A2144)*(Calc!$G$3:$G$22-A2144)*(Calc!$G$3:$G$22&gt;B2144)*(Calc!$G$3:$G$22-B2144))</f>
        <v/>
      </c>
      <c r="L2144">
        <f>SUMPRODUCT(Calc!$K$3:$K$22*(Calc!$G$3:$G$22&gt;A2144)*(Calc!$G$3:$G$22-A2144)*Calc!$G$3:$G$22)</f>
        <v/>
      </c>
      <c r="M2144">
        <f>SUMPRODUCT(Calc!$K$3:$K$22*(Calc!$G$3:$G$22&gt;B2144)*(Calc!$G$3:$G$22-B2144)*Calc!$G$3:$G$22)</f>
        <v/>
      </c>
      <c r="N2144">
        <f>SUMPRODUCT(Calc!$K$3:$K$22*(Calc!$G$3:$G$22&gt;A2144)*(Calc!$G$3:$G$22-A2144)*Calc!$I$3:$I$22)</f>
        <v/>
      </c>
      <c r="O2144">
        <f>SUMPRODUCT(Calc!$K$3:$K$22*(Calc!$G$3:$G$22&gt;B2144)*(Calc!$G$3:$G$22-B2144)*Calc!$I$3:$I$22)</f>
        <v/>
      </c>
      <c r="P2144">
        <f>I2144-G2144^2/k_n</f>
        <v/>
      </c>
      <c r="Q2144">
        <f>J2144-H2144^2/k_n</f>
        <v/>
      </c>
      <c r="R2144">
        <f>K2144-G2144*H2144/k_n</f>
        <v/>
      </c>
      <c r="S2144">
        <f>L2144-LTP3!$D$3*G2144/k_n</f>
        <v/>
      </c>
      <c r="T2144">
        <f>M2144-LTP3!$D$3*H2144/k_n</f>
        <v/>
      </c>
      <c r="U2144">
        <f>N2144-G2144*LTP3!$D$4/k_n</f>
        <v/>
      </c>
      <c r="V2144">
        <f>O2144-H2144*LTP3!$D$4/k_n</f>
        <v/>
      </c>
      <c r="W2144">
        <f>((LTP3!$D$5)*((P2144)*(Q2144)-(R2144)*(R2144))-(S2144)*((S2144)*(Q2144)-(R2144)*(T2144))+(T2144)*((S2144)*(R2144)-(P2144)*(T2144)))</f>
        <v/>
      </c>
      <c r="X2144">
        <f>IF(ABS(W2144)&gt;1E-12,((LTP3!$D$6)*((P2144)*(Q2144)-(R2144)*(R2144))-(S2144)*((U2144)*(Q2144)-(R2144)*(V2144))+(T2144)*((U2144)*(R2144)-(P2144)*(V2144)))/W2144,0)</f>
        <v/>
      </c>
      <c r="Y2144">
        <f>IF(ABS(W2144)&gt;1E-12,((LTP3!$D$5)*((U2144)*(Q2144)-(R2144)*(V2144))-(LTP3!$D$6)*((S2144)*(Q2144)-(R2144)*(T2144))+(T2144)*((S2144)*(V2144)-(U2144)*(T2144)))/W2144,0)</f>
        <v/>
      </c>
      <c r="Z2144">
        <f>IF(ABS(W2144)&gt;1E-12,((LTP3!$D$5)*((P2144)*(V2144)-(U2144)*(R2144))-(S2144)*((S2144)*(V2144)-(U2144)*(T2144))+(LTP3!$D$6)*((S2144)*(R2144)-(P2144)*(T2144)))/W2144,0)</f>
        <v/>
      </c>
      <c r="AA2144">
        <f>LTP3!$D$7-X2144*LTP3!$D$6-Y2144*U2144-Z2144*V2144</f>
        <v/>
      </c>
      <c r="AB2144">
        <f>IF(AND(F2144,ABS(W2144)&gt;1E-12,Y2144&gt;0,Z2144&gt;0),AA2144,1E+300)</f>
        <v/>
      </c>
    </row>
    <row r="2145">
      <c r="A2145">
        <f>$B$3+$B$5*34</f>
        <v/>
      </c>
      <c r="B2145">
        <f>$B$3+$B$5*59</f>
        <v/>
      </c>
      <c r="C2145">
        <f>SUMPRODUCT(Calc!$K$3:$K$22*(Calc!$G$3:$G$22&lt;=A2145))</f>
        <v/>
      </c>
      <c r="D2145">
        <f>SUMPRODUCT(Calc!$K$3:$K$22*(Calc!$G$3:$G$22&gt;A2145)*(Calc!$G$3:$G$22&lt;B2145))</f>
        <v/>
      </c>
      <c r="E2145">
        <f>SUMPRODUCT(Calc!$K$3:$K$22*(Calc!$G$3:$G$22&gt;=B2145))</f>
        <v/>
      </c>
      <c r="F2145">
        <f>AND(k_n&gt;=5,B2145&gt;A2145+1E-9,C2145&gt;=2,D2145&gt;=1,E2145&gt;=2)</f>
        <v/>
      </c>
      <c r="G2145">
        <f>SUMPRODUCT(Calc!$K$3:$K$22*(Calc!$G$3:$G$22&gt;A2145)*(Calc!$G$3:$G$22-A2145))</f>
        <v/>
      </c>
      <c r="H2145">
        <f>SUMPRODUCT(Calc!$K$3:$K$22*(Calc!$G$3:$G$22&gt;B2145)*(Calc!$G$3:$G$22-B2145))</f>
        <v/>
      </c>
      <c r="I2145">
        <f>SUMPRODUCT(Calc!$K$3:$K$22*(Calc!$G$3:$G$22&gt;A2145)*(Calc!$G$3:$G$22-A2145)^2)</f>
        <v/>
      </c>
      <c r="J2145">
        <f>SUMPRODUCT(Calc!$K$3:$K$22*(Calc!$G$3:$G$22&gt;B2145)*(Calc!$G$3:$G$22-B2145)^2)</f>
        <v/>
      </c>
      <c r="K2145">
        <f>SUMPRODUCT(Calc!$K$3:$K$22*(Calc!$G$3:$G$22&gt;A2145)*(Calc!$G$3:$G$22-A2145)*(Calc!$G$3:$G$22&gt;B2145)*(Calc!$G$3:$G$22-B2145))</f>
        <v/>
      </c>
      <c r="L2145">
        <f>SUMPRODUCT(Calc!$K$3:$K$22*(Calc!$G$3:$G$22&gt;A2145)*(Calc!$G$3:$G$22-A2145)*Calc!$G$3:$G$22)</f>
        <v/>
      </c>
      <c r="M2145">
        <f>SUMPRODUCT(Calc!$K$3:$K$22*(Calc!$G$3:$G$22&gt;B2145)*(Calc!$G$3:$G$22-B2145)*Calc!$G$3:$G$22)</f>
        <v/>
      </c>
      <c r="N2145">
        <f>SUMPRODUCT(Calc!$K$3:$K$22*(Calc!$G$3:$G$22&gt;A2145)*(Calc!$G$3:$G$22-A2145)*Calc!$I$3:$I$22)</f>
        <v/>
      </c>
      <c r="O2145">
        <f>SUMPRODUCT(Calc!$K$3:$K$22*(Calc!$G$3:$G$22&gt;B2145)*(Calc!$G$3:$G$22-B2145)*Calc!$I$3:$I$22)</f>
        <v/>
      </c>
      <c r="P2145">
        <f>I2145-G2145^2/k_n</f>
        <v/>
      </c>
      <c r="Q2145">
        <f>J2145-H2145^2/k_n</f>
        <v/>
      </c>
      <c r="R2145">
        <f>K2145-G2145*H2145/k_n</f>
        <v/>
      </c>
      <c r="S2145">
        <f>L2145-LTP3!$D$3*G2145/k_n</f>
        <v/>
      </c>
      <c r="T2145">
        <f>M2145-LTP3!$D$3*H2145/k_n</f>
        <v/>
      </c>
      <c r="U2145">
        <f>N2145-G2145*LTP3!$D$4/k_n</f>
        <v/>
      </c>
      <c r="V2145">
        <f>O2145-H2145*LTP3!$D$4/k_n</f>
        <v/>
      </c>
      <c r="W2145">
        <f>((LTP3!$D$5)*((P2145)*(Q2145)-(R2145)*(R2145))-(S2145)*((S2145)*(Q2145)-(R2145)*(T2145))+(T2145)*((S2145)*(R2145)-(P2145)*(T2145)))</f>
        <v/>
      </c>
      <c r="X2145">
        <f>IF(ABS(W2145)&gt;1E-12,((LTP3!$D$6)*((P2145)*(Q2145)-(R2145)*(R2145))-(S2145)*((U2145)*(Q2145)-(R2145)*(V2145))+(T2145)*((U2145)*(R2145)-(P2145)*(V2145)))/W2145,0)</f>
        <v/>
      </c>
      <c r="Y2145">
        <f>IF(ABS(W2145)&gt;1E-12,((LTP3!$D$5)*((U2145)*(Q2145)-(R2145)*(V2145))-(LTP3!$D$6)*((S2145)*(Q2145)-(R2145)*(T2145))+(T2145)*((S2145)*(V2145)-(U2145)*(T2145)))/W2145,0)</f>
        <v/>
      </c>
      <c r="Z2145">
        <f>IF(ABS(W2145)&gt;1E-12,((LTP3!$D$5)*((P2145)*(V2145)-(U2145)*(R2145))-(S2145)*((S2145)*(V2145)-(U2145)*(T2145))+(LTP3!$D$6)*((S2145)*(R2145)-(P2145)*(T2145)))/W2145,0)</f>
        <v/>
      </c>
      <c r="AA2145">
        <f>LTP3!$D$7-X2145*LTP3!$D$6-Y2145*U2145-Z2145*V2145</f>
        <v/>
      </c>
      <c r="AB2145">
        <f>IF(AND(F2145,ABS(W2145)&gt;1E-12,Y2145&gt;0,Z2145&gt;0),AA2145,1E+300)</f>
        <v/>
      </c>
    </row>
    <row r="2146">
      <c r="A2146">
        <f>$B$3+$B$5*34</f>
        <v/>
      </c>
      <c r="B2146">
        <f>$B$3+$B$5*60</f>
        <v/>
      </c>
      <c r="C2146">
        <f>SUMPRODUCT(Calc!$K$3:$K$22*(Calc!$G$3:$G$22&lt;=A2146))</f>
        <v/>
      </c>
      <c r="D2146">
        <f>SUMPRODUCT(Calc!$K$3:$K$22*(Calc!$G$3:$G$22&gt;A2146)*(Calc!$G$3:$G$22&lt;B2146))</f>
        <v/>
      </c>
      <c r="E2146">
        <f>SUMPRODUCT(Calc!$K$3:$K$22*(Calc!$G$3:$G$22&gt;=B2146))</f>
        <v/>
      </c>
      <c r="F2146">
        <f>AND(k_n&gt;=5,B2146&gt;A2146+1E-9,C2146&gt;=2,D2146&gt;=1,E2146&gt;=2)</f>
        <v/>
      </c>
      <c r="G2146">
        <f>SUMPRODUCT(Calc!$K$3:$K$22*(Calc!$G$3:$G$22&gt;A2146)*(Calc!$G$3:$G$22-A2146))</f>
        <v/>
      </c>
      <c r="H2146">
        <f>SUMPRODUCT(Calc!$K$3:$K$22*(Calc!$G$3:$G$22&gt;B2146)*(Calc!$G$3:$G$22-B2146))</f>
        <v/>
      </c>
      <c r="I2146">
        <f>SUMPRODUCT(Calc!$K$3:$K$22*(Calc!$G$3:$G$22&gt;A2146)*(Calc!$G$3:$G$22-A2146)^2)</f>
        <v/>
      </c>
      <c r="J2146">
        <f>SUMPRODUCT(Calc!$K$3:$K$22*(Calc!$G$3:$G$22&gt;B2146)*(Calc!$G$3:$G$22-B2146)^2)</f>
        <v/>
      </c>
      <c r="K2146">
        <f>SUMPRODUCT(Calc!$K$3:$K$22*(Calc!$G$3:$G$22&gt;A2146)*(Calc!$G$3:$G$22-A2146)*(Calc!$G$3:$G$22&gt;B2146)*(Calc!$G$3:$G$22-B2146))</f>
        <v/>
      </c>
      <c r="L2146">
        <f>SUMPRODUCT(Calc!$K$3:$K$22*(Calc!$G$3:$G$22&gt;A2146)*(Calc!$G$3:$G$22-A2146)*Calc!$G$3:$G$22)</f>
        <v/>
      </c>
      <c r="M2146">
        <f>SUMPRODUCT(Calc!$K$3:$K$22*(Calc!$G$3:$G$22&gt;B2146)*(Calc!$G$3:$G$22-B2146)*Calc!$G$3:$G$22)</f>
        <v/>
      </c>
      <c r="N2146">
        <f>SUMPRODUCT(Calc!$K$3:$K$22*(Calc!$G$3:$G$22&gt;A2146)*(Calc!$G$3:$G$22-A2146)*Calc!$I$3:$I$22)</f>
        <v/>
      </c>
      <c r="O2146">
        <f>SUMPRODUCT(Calc!$K$3:$K$22*(Calc!$G$3:$G$22&gt;B2146)*(Calc!$G$3:$G$22-B2146)*Calc!$I$3:$I$22)</f>
        <v/>
      </c>
      <c r="P2146">
        <f>I2146-G2146^2/k_n</f>
        <v/>
      </c>
      <c r="Q2146">
        <f>J2146-H2146^2/k_n</f>
        <v/>
      </c>
      <c r="R2146">
        <f>K2146-G2146*H2146/k_n</f>
        <v/>
      </c>
      <c r="S2146">
        <f>L2146-LTP3!$D$3*G2146/k_n</f>
        <v/>
      </c>
      <c r="T2146">
        <f>M2146-LTP3!$D$3*H2146/k_n</f>
        <v/>
      </c>
      <c r="U2146">
        <f>N2146-G2146*LTP3!$D$4/k_n</f>
        <v/>
      </c>
      <c r="V2146">
        <f>O2146-H2146*LTP3!$D$4/k_n</f>
        <v/>
      </c>
      <c r="W2146">
        <f>((LTP3!$D$5)*((P2146)*(Q2146)-(R2146)*(R2146))-(S2146)*((S2146)*(Q2146)-(R2146)*(T2146))+(T2146)*((S2146)*(R2146)-(P2146)*(T2146)))</f>
        <v/>
      </c>
      <c r="X2146">
        <f>IF(ABS(W2146)&gt;1E-12,((LTP3!$D$6)*((P2146)*(Q2146)-(R2146)*(R2146))-(S2146)*((U2146)*(Q2146)-(R2146)*(V2146))+(T2146)*((U2146)*(R2146)-(P2146)*(V2146)))/W2146,0)</f>
        <v/>
      </c>
      <c r="Y2146">
        <f>IF(ABS(W2146)&gt;1E-12,((LTP3!$D$5)*((U2146)*(Q2146)-(R2146)*(V2146))-(LTP3!$D$6)*((S2146)*(Q2146)-(R2146)*(T2146))+(T2146)*((S2146)*(V2146)-(U2146)*(T2146)))/W2146,0)</f>
        <v/>
      </c>
      <c r="Z2146">
        <f>IF(ABS(W2146)&gt;1E-12,((LTP3!$D$5)*((P2146)*(V2146)-(U2146)*(R2146))-(S2146)*((S2146)*(V2146)-(U2146)*(T2146))+(LTP3!$D$6)*((S2146)*(R2146)-(P2146)*(T2146)))/W2146,0)</f>
        <v/>
      </c>
      <c r="AA2146">
        <f>LTP3!$D$7-X2146*LTP3!$D$6-Y2146*U2146-Z2146*V2146</f>
        <v/>
      </c>
      <c r="AB2146">
        <f>IF(AND(F2146,ABS(W2146)&gt;1E-12,Y2146&gt;0,Z2146&gt;0),AA2146,1E+300)</f>
        <v/>
      </c>
    </row>
    <row r="2147">
      <c r="A2147">
        <f>$B$3+$B$5*35</f>
        <v/>
      </c>
      <c r="B2147">
        <f>$B$3+$B$5*0</f>
        <v/>
      </c>
      <c r="C2147">
        <f>SUMPRODUCT(Calc!$K$3:$K$22*(Calc!$G$3:$G$22&lt;=A2147))</f>
        <v/>
      </c>
      <c r="D2147">
        <f>SUMPRODUCT(Calc!$K$3:$K$22*(Calc!$G$3:$G$22&gt;A2147)*(Calc!$G$3:$G$22&lt;B2147))</f>
        <v/>
      </c>
      <c r="E2147">
        <f>SUMPRODUCT(Calc!$K$3:$K$22*(Calc!$G$3:$G$22&gt;=B2147))</f>
        <v/>
      </c>
      <c r="F2147">
        <f>AND(k_n&gt;=5,B2147&gt;A2147+1E-9,C2147&gt;=2,D2147&gt;=1,E2147&gt;=2)</f>
        <v/>
      </c>
      <c r="G2147">
        <f>SUMPRODUCT(Calc!$K$3:$K$22*(Calc!$G$3:$G$22&gt;A2147)*(Calc!$G$3:$G$22-A2147))</f>
        <v/>
      </c>
      <c r="H2147">
        <f>SUMPRODUCT(Calc!$K$3:$K$22*(Calc!$G$3:$G$22&gt;B2147)*(Calc!$G$3:$G$22-B2147))</f>
        <v/>
      </c>
      <c r="I2147">
        <f>SUMPRODUCT(Calc!$K$3:$K$22*(Calc!$G$3:$G$22&gt;A2147)*(Calc!$G$3:$G$22-A2147)^2)</f>
        <v/>
      </c>
      <c r="J2147">
        <f>SUMPRODUCT(Calc!$K$3:$K$22*(Calc!$G$3:$G$22&gt;B2147)*(Calc!$G$3:$G$22-B2147)^2)</f>
        <v/>
      </c>
      <c r="K2147">
        <f>SUMPRODUCT(Calc!$K$3:$K$22*(Calc!$G$3:$G$22&gt;A2147)*(Calc!$G$3:$G$22-A2147)*(Calc!$G$3:$G$22&gt;B2147)*(Calc!$G$3:$G$22-B2147))</f>
        <v/>
      </c>
      <c r="L2147">
        <f>SUMPRODUCT(Calc!$K$3:$K$22*(Calc!$G$3:$G$22&gt;A2147)*(Calc!$G$3:$G$22-A2147)*Calc!$G$3:$G$22)</f>
        <v/>
      </c>
      <c r="M2147">
        <f>SUMPRODUCT(Calc!$K$3:$K$22*(Calc!$G$3:$G$22&gt;B2147)*(Calc!$G$3:$G$22-B2147)*Calc!$G$3:$G$22)</f>
        <v/>
      </c>
      <c r="N2147">
        <f>SUMPRODUCT(Calc!$K$3:$K$22*(Calc!$G$3:$G$22&gt;A2147)*(Calc!$G$3:$G$22-A2147)*Calc!$I$3:$I$22)</f>
        <v/>
      </c>
      <c r="O2147">
        <f>SUMPRODUCT(Calc!$K$3:$K$22*(Calc!$G$3:$G$22&gt;B2147)*(Calc!$G$3:$G$22-B2147)*Calc!$I$3:$I$22)</f>
        <v/>
      </c>
      <c r="P2147">
        <f>I2147-G2147^2/k_n</f>
        <v/>
      </c>
      <c r="Q2147">
        <f>J2147-H2147^2/k_n</f>
        <v/>
      </c>
      <c r="R2147">
        <f>K2147-G2147*H2147/k_n</f>
        <v/>
      </c>
      <c r="S2147">
        <f>L2147-LTP3!$D$3*G2147/k_n</f>
        <v/>
      </c>
      <c r="T2147">
        <f>M2147-LTP3!$D$3*H2147/k_n</f>
        <v/>
      </c>
      <c r="U2147">
        <f>N2147-G2147*LTP3!$D$4/k_n</f>
        <v/>
      </c>
      <c r="V2147">
        <f>O2147-H2147*LTP3!$D$4/k_n</f>
        <v/>
      </c>
      <c r="W2147">
        <f>((LTP3!$D$5)*((P2147)*(Q2147)-(R2147)*(R2147))-(S2147)*((S2147)*(Q2147)-(R2147)*(T2147))+(T2147)*((S2147)*(R2147)-(P2147)*(T2147)))</f>
        <v/>
      </c>
      <c r="X2147">
        <f>IF(ABS(W2147)&gt;1E-12,((LTP3!$D$6)*((P2147)*(Q2147)-(R2147)*(R2147))-(S2147)*((U2147)*(Q2147)-(R2147)*(V2147))+(T2147)*((U2147)*(R2147)-(P2147)*(V2147)))/W2147,0)</f>
        <v/>
      </c>
      <c r="Y2147">
        <f>IF(ABS(W2147)&gt;1E-12,((LTP3!$D$5)*((U2147)*(Q2147)-(R2147)*(V2147))-(LTP3!$D$6)*((S2147)*(Q2147)-(R2147)*(T2147))+(T2147)*((S2147)*(V2147)-(U2147)*(T2147)))/W2147,0)</f>
        <v/>
      </c>
      <c r="Z2147">
        <f>IF(ABS(W2147)&gt;1E-12,((LTP3!$D$5)*((P2147)*(V2147)-(U2147)*(R2147))-(S2147)*((S2147)*(V2147)-(U2147)*(T2147))+(LTP3!$D$6)*((S2147)*(R2147)-(P2147)*(T2147)))/W2147,0)</f>
        <v/>
      </c>
      <c r="AA2147">
        <f>LTP3!$D$7-X2147*LTP3!$D$6-Y2147*U2147-Z2147*V2147</f>
        <v/>
      </c>
      <c r="AB2147">
        <f>IF(AND(F2147,ABS(W2147)&gt;1E-12,Y2147&gt;0,Z2147&gt;0),AA2147,1E+300)</f>
        <v/>
      </c>
    </row>
    <row r="2148">
      <c r="A2148">
        <f>$B$3+$B$5*35</f>
        <v/>
      </c>
      <c r="B2148">
        <f>$B$3+$B$5*1</f>
        <v/>
      </c>
      <c r="C2148">
        <f>SUMPRODUCT(Calc!$K$3:$K$22*(Calc!$G$3:$G$22&lt;=A2148))</f>
        <v/>
      </c>
      <c r="D2148">
        <f>SUMPRODUCT(Calc!$K$3:$K$22*(Calc!$G$3:$G$22&gt;A2148)*(Calc!$G$3:$G$22&lt;B2148))</f>
        <v/>
      </c>
      <c r="E2148">
        <f>SUMPRODUCT(Calc!$K$3:$K$22*(Calc!$G$3:$G$22&gt;=B2148))</f>
        <v/>
      </c>
      <c r="F2148">
        <f>AND(k_n&gt;=5,B2148&gt;A2148+1E-9,C2148&gt;=2,D2148&gt;=1,E2148&gt;=2)</f>
        <v/>
      </c>
      <c r="G2148">
        <f>SUMPRODUCT(Calc!$K$3:$K$22*(Calc!$G$3:$G$22&gt;A2148)*(Calc!$G$3:$G$22-A2148))</f>
        <v/>
      </c>
      <c r="H2148">
        <f>SUMPRODUCT(Calc!$K$3:$K$22*(Calc!$G$3:$G$22&gt;B2148)*(Calc!$G$3:$G$22-B2148))</f>
        <v/>
      </c>
      <c r="I2148">
        <f>SUMPRODUCT(Calc!$K$3:$K$22*(Calc!$G$3:$G$22&gt;A2148)*(Calc!$G$3:$G$22-A2148)^2)</f>
        <v/>
      </c>
      <c r="J2148">
        <f>SUMPRODUCT(Calc!$K$3:$K$22*(Calc!$G$3:$G$22&gt;B2148)*(Calc!$G$3:$G$22-B2148)^2)</f>
        <v/>
      </c>
      <c r="K2148">
        <f>SUMPRODUCT(Calc!$K$3:$K$22*(Calc!$G$3:$G$22&gt;A2148)*(Calc!$G$3:$G$22-A2148)*(Calc!$G$3:$G$22&gt;B2148)*(Calc!$G$3:$G$22-B2148))</f>
        <v/>
      </c>
      <c r="L2148">
        <f>SUMPRODUCT(Calc!$K$3:$K$22*(Calc!$G$3:$G$22&gt;A2148)*(Calc!$G$3:$G$22-A2148)*Calc!$G$3:$G$22)</f>
        <v/>
      </c>
      <c r="M2148">
        <f>SUMPRODUCT(Calc!$K$3:$K$22*(Calc!$G$3:$G$22&gt;B2148)*(Calc!$G$3:$G$22-B2148)*Calc!$G$3:$G$22)</f>
        <v/>
      </c>
      <c r="N2148">
        <f>SUMPRODUCT(Calc!$K$3:$K$22*(Calc!$G$3:$G$22&gt;A2148)*(Calc!$G$3:$G$22-A2148)*Calc!$I$3:$I$22)</f>
        <v/>
      </c>
      <c r="O2148">
        <f>SUMPRODUCT(Calc!$K$3:$K$22*(Calc!$G$3:$G$22&gt;B2148)*(Calc!$G$3:$G$22-B2148)*Calc!$I$3:$I$22)</f>
        <v/>
      </c>
      <c r="P2148">
        <f>I2148-G2148^2/k_n</f>
        <v/>
      </c>
      <c r="Q2148">
        <f>J2148-H2148^2/k_n</f>
        <v/>
      </c>
      <c r="R2148">
        <f>K2148-G2148*H2148/k_n</f>
        <v/>
      </c>
      <c r="S2148">
        <f>L2148-LTP3!$D$3*G2148/k_n</f>
        <v/>
      </c>
      <c r="T2148">
        <f>M2148-LTP3!$D$3*H2148/k_n</f>
        <v/>
      </c>
      <c r="U2148">
        <f>N2148-G2148*LTP3!$D$4/k_n</f>
        <v/>
      </c>
      <c r="V2148">
        <f>O2148-H2148*LTP3!$D$4/k_n</f>
        <v/>
      </c>
      <c r="W2148">
        <f>((LTP3!$D$5)*((P2148)*(Q2148)-(R2148)*(R2148))-(S2148)*((S2148)*(Q2148)-(R2148)*(T2148))+(T2148)*((S2148)*(R2148)-(P2148)*(T2148)))</f>
        <v/>
      </c>
      <c r="X2148">
        <f>IF(ABS(W2148)&gt;1E-12,((LTP3!$D$6)*((P2148)*(Q2148)-(R2148)*(R2148))-(S2148)*((U2148)*(Q2148)-(R2148)*(V2148))+(T2148)*((U2148)*(R2148)-(P2148)*(V2148)))/W2148,0)</f>
        <v/>
      </c>
      <c r="Y2148">
        <f>IF(ABS(W2148)&gt;1E-12,((LTP3!$D$5)*((U2148)*(Q2148)-(R2148)*(V2148))-(LTP3!$D$6)*((S2148)*(Q2148)-(R2148)*(T2148))+(T2148)*((S2148)*(V2148)-(U2148)*(T2148)))/W2148,0)</f>
        <v/>
      </c>
      <c r="Z2148">
        <f>IF(ABS(W2148)&gt;1E-12,((LTP3!$D$5)*((P2148)*(V2148)-(U2148)*(R2148))-(S2148)*((S2148)*(V2148)-(U2148)*(T2148))+(LTP3!$D$6)*((S2148)*(R2148)-(P2148)*(T2148)))/W2148,0)</f>
        <v/>
      </c>
      <c r="AA2148">
        <f>LTP3!$D$7-X2148*LTP3!$D$6-Y2148*U2148-Z2148*V2148</f>
        <v/>
      </c>
      <c r="AB2148">
        <f>IF(AND(F2148,ABS(W2148)&gt;1E-12,Y2148&gt;0,Z2148&gt;0),AA2148,1E+300)</f>
        <v/>
      </c>
    </row>
    <row r="2149">
      <c r="A2149">
        <f>$B$3+$B$5*35</f>
        <v/>
      </c>
      <c r="B2149">
        <f>$B$3+$B$5*2</f>
        <v/>
      </c>
      <c r="C2149">
        <f>SUMPRODUCT(Calc!$K$3:$K$22*(Calc!$G$3:$G$22&lt;=A2149))</f>
        <v/>
      </c>
      <c r="D2149">
        <f>SUMPRODUCT(Calc!$K$3:$K$22*(Calc!$G$3:$G$22&gt;A2149)*(Calc!$G$3:$G$22&lt;B2149))</f>
        <v/>
      </c>
      <c r="E2149">
        <f>SUMPRODUCT(Calc!$K$3:$K$22*(Calc!$G$3:$G$22&gt;=B2149))</f>
        <v/>
      </c>
      <c r="F2149">
        <f>AND(k_n&gt;=5,B2149&gt;A2149+1E-9,C2149&gt;=2,D2149&gt;=1,E2149&gt;=2)</f>
        <v/>
      </c>
      <c r="G2149">
        <f>SUMPRODUCT(Calc!$K$3:$K$22*(Calc!$G$3:$G$22&gt;A2149)*(Calc!$G$3:$G$22-A2149))</f>
        <v/>
      </c>
      <c r="H2149">
        <f>SUMPRODUCT(Calc!$K$3:$K$22*(Calc!$G$3:$G$22&gt;B2149)*(Calc!$G$3:$G$22-B2149))</f>
        <v/>
      </c>
      <c r="I2149">
        <f>SUMPRODUCT(Calc!$K$3:$K$22*(Calc!$G$3:$G$22&gt;A2149)*(Calc!$G$3:$G$22-A2149)^2)</f>
        <v/>
      </c>
      <c r="J2149">
        <f>SUMPRODUCT(Calc!$K$3:$K$22*(Calc!$G$3:$G$22&gt;B2149)*(Calc!$G$3:$G$22-B2149)^2)</f>
        <v/>
      </c>
      <c r="K2149">
        <f>SUMPRODUCT(Calc!$K$3:$K$22*(Calc!$G$3:$G$22&gt;A2149)*(Calc!$G$3:$G$22-A2149)*(Calc!$G$3:$G$22&gt;B2149)*(Calc!$G$3:$G$22-B2149))</f>
        <v/>
      </c>
      <c r="L2149">
        <f>SUMPRODUCT(Calc!$K$3:$K$22*(Calc!$G$3:$G$22&gt;A2149)*(Calc!$G$3:$G$22-A2149)*Calc!$G$3:$G$22)</f>
        <v/>
      </c>
      <c r="M2149">
        <f>SUMPRODUCT(Calc!$K$3:$K$22*(Calc!$G$3:$G$22&gt;B2149)*(Calc!$G$3:$G$22-B2149)*Calc!$G$3:$G$22)</f>
        <v/>
      </c>
      <c r="N2149">
        <f>SUMPRODUCT(Calc!$K$3:$K$22*(Calc!$G$3:$G$22&gt;A2149)*(Calc!$G$3:$G$22-A2149)*Calc!$I$3:$I$22)</f>
        <v/>
      </c>
      <c r="O2149">
        <f>SUMPRODUCT(Calc!$K$3:$K$22*(Calc!$G$3:$G$22&gt;B2149)*(Calc!$G$3:$G$22-B2149)*Calc!$I$3:$I$22)</f>
        <v/>
      </c>
      <c r="P2149">
        <f>I2149-G2149^2/k_n</f>
        <v/>
      </c>
      <c r="Q2149">
        <f>J2149-H2149^2/k_n</f>
        <v/>
      </c>
      <c r="R2149">
        <f>K2149-G2149*H2149/k_n</f>
        <v/>
      </c>
      <c r="S2149">
        <f>L2149-LTP3!$D$3*G2149/k_n</f>
        <v/>
      </c>
      <c r="T2149">
        <f>M2149-LTP3!$D$3*H2149/k_n</f>
        <v/>
      </c>
      <c r="U2149">
        <f>N2149-G2149*LTP3!$D$4/k_n</f>
        <v/>
      </c>
      <c r="V2149">
        <f>O2149-H2149*LTP3!$D$4/k_n</f>
        <v/>
      </c>
      <c r="W2149">
        <f>((LTP3!$D$5)*((P2149)*(Q2149)-(R2149)*(R2149))-(S2149)*((S2149)*(Q2149)-(R2149)*(T2149))+(T2149)*((S2149)*(R2149)-(P2149)*(T2149)))</f>
        <v/>
      </c>
      <c r="X2149">
        <f>IF(ABS(W2149)&gt;1E-12,((LTP3!$D$6)*((P2149)*(Q2149)-(R2149)*(R2149))-(S2149)*((U2149)*(Q2149)-(R2149)*(V2149))+(T2149)*((U2149)*(R2149)-(P2149)*(V2149)))/W2149,0)</f>
        <v/>
      </c>
      <c r="Y2149">
        <f>IF(ABS(W2149)&gt;1E-12,((LTP3!$D$5)*((U2149)*(Q2149)-(R2149)*(V2149))-(LTP3!$D$6)*((S2149)*(Q2149)-(R2149)*(T2149))+(T2149)*((S2149)*(V2149)-(U2149)*(T2149)))/W2149,0)</f>
        <v/>
      </c>
      <c r="Z2149">
        <f>IF(ABS(W2149)&gt;1E-12,((LTP3!$D$5)*((P2149)*(V2149)-(U2149)*(R2149))-(S2149)*((S2149)*(V2149)-(U2149)*(T2149))+(LTP3!$D$6)*((S2149)*(R2149)-(P2149)*(T2149)))/W2149,0)</f>
        <v/>
      </c>
      <c r="AA2149">
        <f>LTP3!$D$7-X2149*LTP3!$D$6-Y2149*U2149-Z2149*V2149</f>
        <v/>
      </c>
      <c r="AB2149">
        <f>IF(AND(F2149,ABS(W2149)&gt;1E-12,Y2149&gt;0,Z2149&gt;0),AA2149,1E+300)</f>
        <v/>
      </c>
    </row>
    <row r="2150">
      <c r="A2150">
        <f>$B$3+$B$5*35</f>
        <v/>
      </c>
      <c r="B2150">
        <f>$B$3+$B$5*3</f>
        <v/>
      </c>
      <c r="C2150">
        <f>SUMPRODUCT(Calc!$K$3:$K$22*(Calc!$G$3:$G$22&lt;=A2150))</f>
        <v/>
      </c>
      <c r="D2150">
        <f>SUMPRODUCT(Calc!$K$3:$K$22*(Calc!$G$3:$G$22&gt;A2150)*(Calc!$G$3:$G$22&lt;B2150))</f>
        <v/>
      </c>
      <c r="E2150">
        <f>SUMPRODUCT(Calc!$K$3:$K$22*(Calc!$G$3:$G$22&gt;=B2150))</f>
        <v/>
      </c>
      <c r="F2150">
        <f>AND(k_n&gt;=5,B2150&gt;A2150+1E-9,C2150&gt;=2,D2150&gt;=1,E2150&gt;=2)</f>
        <v/>
      </c>
      <c r="G2150">
        <f>SUMPRODUCT(Calc!$K$3:$K$22*(Calc!$G$3:$G$22&gt;A2150)*(Calc!$G$3:$G$22-A2150))</f>
        <v/>
      </c>
      <c r="H2150">
        <f>SUMPRODUCT(Calc!$K$3:$K$22*(Calc!$G$3:$G$22&gt;B2150)*(Calc!$G$3:$G$22-B2150))</f>
        <v/>
      </c>
      <c r="I2150">
        <f>SUMPRODUCT(Calc!$K$3:$K$22*(Calc!$G$3:$G$22&gt;A2150)*(Calc!$G$3:$G$22-A2150)^2)</f>
        <v/>
      </c>
      <c r="J2150">
        <f>SUMPRODUCT(Calc!$K$3:$K$22*(Calc!$G$3:$G$22&gt;B2150)*(Calc!$G$3:$G$22-B2150)^2)</f>
        <v/>
      </c>
      <c r="K2150">
        <f>SUMPRODUCT(Calc!$K$3:$K$22*(Calc!$G$3:$G$22&gt;A2150)*(Calc!$G$3:$G$22-A2150)*(Calc!$G$3:$G$22&gt;B2150)*(Calc!$G$3:$G$22-B2150))</f>
        <v/>
      </c>
      <c r="L2150">
        <f>SUMPRODUCT(Calc!$K$3:$K$22*(Calc!$G$3:$G$22&gt;A2150)*(Calc!$G$3:$G$22-A2150)*Calc!$G$3:$G$22)</f>
        <v/>
      </c>
      <c r="M2150">
        <f>SUMPRODUCT(Calc!$K$3:$K$22*(Calc!$G$3:$G$22&gt;B2150)*(Calc!$G$3:$G$22-B2150)*Calc!$G$3:$G$22)</f>
        <v/>
      </c>
      <c r="N2150">
        <f>SUMPRODUCT(Calc!$K$3:$K$22*(Calc!$G$3:$G$22&gt;A2150)*(Calc!$G$3:$G$22-A2150)*Calc!$I$3:$I$22)</f>
        <v/>
      </c>
      <c r="O2150">
        <f>SUMPRODUCT(Calc!$K$3:$K$22*(Calc!$G$3:$G$22&gt;B2150)*(Calc!$G$3:$G$22-B2150)*Calc!$I$3:$I$22)</f>
        <v/>
      </c>
      <c r="P2150">
        <f>I2150-G2150^2/k_n</f>
        <v/>
      </c>
      <c r="Q2150">
        <f>J2150-H2150^2/k_n</f>
        <v/>
      </c>
      <c r="R2150">
        <f>K2150-G2150*H2150/k_n</f>
        <v/>
      </c>
      <c r="S2150">
        <f>L2150-LTP3!$D$3*G2150/k_n</f>
        <v/>
      </c>
      <c r="T2150">
        <f>M2150-LTP3!$D$3*H2150/k_n</f>
        <v/>
      </c>
      <c r="U2150">
        <f>N2150-G2150*LTP3!$D$4/k_n</f>
        <v/>
      </c>
      <c r="V2150">
        <f>O2150-H2150*LTP3!$D$4/k_n</f>
        <v/>
      </c>
      <c r="W2150">
        <f>((LTP3!$D$5)*((P2150)*(Q2150)-(R2150)*(R2150))-(S2150)*((S2150)*(Q2150)-(R2150)*(T2150))+(T2150)*((S2150)*(R2150)-(P2150)*(T2150)))</f>
        <v/>
      </c>
      <c r="X2150">
        <f>IF(ABS(W2150)&gt;1E-12,((LTP3!$D$6)*((P2150)*(Q2150)-(R2150)*(R2150))-(S2150)*((U2150)*(Q2150)-(R2150)*(V2150))+(T2150)*((U2150)*(R2150)-(P2150)*(V2150)))/W2150,0)</f>
        <v/>
      </c>
      <c r="Y2150">
        <f>IF(ABS(W2150)&gt;1E-12,((LTP3!$D$5)*((U2150)*(Q2150)-(R2150)*(V2150))-(LTP3!$D$6)*((S2150)*(Q2150)-(R2150)*(T2150))+(T2150)*((S2150)*(V2150)-(U2150)*(T2150)))/W2150,0)</f>
        <v/>
      </c>
      <c r="Z2150">
        <f>IF(ABS(W2150)&gt;1E-12,((LTP3!$D$5)*((P2150)*(V2150)-(U2150)*(R2150))-(S2150)*((S2150)*(V2150)-(U2150)*(T2150))+(LTP3!$D$6)*((S2150)*(R2150)-(P2150)*(T2150)))/W2150,0)</f>
        <v/>
      </c>
      <c r="AA2150">
        <f>LTP3!$D$7-X2150*LTP3!$D$6-Y2150*U2150-Z2150*V2150</f>
        <v/>
      </c>
      <c r="AB2150">
        <f>IF(AND(F2150,ABS(W2150)&gt;1E-12,Y2150&gt;0,Z2150&gt;0),AA2150,1E+300)</f>
        <v/>
      </c>
    </row>
    <row r="2151">
      <c r="A2151">
        <f>$B$3+$B$5*35</f>
        <v/>
      </c>
      <c r="B2151">
        <f>$B$3+$B$5*4</f>
        <v/>
      </c>
      <c r="C2151">
        <f>SUMPRODUCT(Calc!$K$3:$K$22*(Calc!$G$3:$G$22&lt;=A2151))</f>
        <v/>
      </c>
      <c r="D2151">
        <f>SUMPRODUCT(Calc!$K$3:$K$22*(Calc!$G$3:$G$22&gt;A2151)*(Calc!$G$3:$G$22&lt;B2151))</f>
        <v/>
      </c>
      <c r="E2151">
        <f>SUMPRODUCT(Calc!$K$3:$K$22*(Calc!$G$3:$G$22&gt;=B2151))</f>
        <v/>
      </c>
      <c r="F2151">
        <f>AND(k_n&gt;=5,B2151&gt;A2151+1E-9,C2151&gt;=2,D2151&gt;=1,E2151&gt;=2)</f>
        <v/>
      </c>
      <c r="G2151">
        <f>SUMPRODUCT(Calc!$K$3:$K$22*(Calc!$G$3:$G$22&gt;A2151)*(Calc!$G$3:$G$22-A2151))</f>
        <v/>
      </c>
      <c r="H2151">
        <f>SUMPRODUCT(Calc!$K$3:$K$22*(Calc!$G$3:$G$22&gt;B2151)*(Calc!$G$3:$G$22-B2151))</f>
        <v/>
      </c>
      <c r="I2151">
        <f>SUMPRODUCT(Calc!$K$3:$K$22*(Calc!$G$3:$G$22&gt;A2151)*(Calc!$G$3:$G$22-A2151)^2)</f>
        <v/>
      </c>
      <c r="J2151">
        <f>SUMPRODUCT(Calc!$K$3:$K$22*(Calc!$G$3:$G$22&gt;B2151)*(Calc!$G$3:$G$22-B2151)^2)</f>
        <v/>
      </c>
      <c r="K2151">
        <f>SUMPRODUCT(Calc!$K$3:$K$22*(Calc!$G$3:$G$22&gt;A2151)*(Calc!$G$3:$G$22-A2151)*(Calc!$G$3:$G$22&gt;B2151)*(Calc!$G$3:$G$22-B2151))</f>
        <v/>
      </c>
      <c r="L2151">
        <f>SUMPRODUCT(Calc!$K$3:$K$22*(Calc!$G$3:$G$22&gt;A2151)*(Calc!$G$3:$G$22-A2151)*Calc!$G$3:$G$22)</f>
        <v/>
      </c>
      <c r="M2151">
        <f>SUMPRODUCT(Calc!$K$3:$K$22*(Calc!$G$3:$G$22&gt;B2151)*(Calc!$G$3:$G$22-B2151)*Calc!$G$3:$G$22)</f>
        <v/>
      </c>
      <c r="N2151">
        <f>SUMPRODUCT(Calc!$K$3:$K$22*(Calc!$G$3:$G$22&gt;A2151)*(Calc!$G$3:$G$22-A2151)*Calc!$I$3:$I$22)</f>
        <v/>
      </c>
      <c r="O2151">
        <f>SUMPRODUCT(Calc!$K$3:$K$22*(Calc!$G$3:$G$22&gt;B2151)*(Calc!$G$3:$G$22-B2151)*Calc!$I$3:$I$22)</f>
        <v/>
      </c>
      <c r="P2151">
        <f>I2151-G2151^2/k_n</f>
        <v/>
      </c>
      <c r="Q2151">
        <f>J2151-H2151^2/k_n</f>
        <v/>
      </c>
      <c r="R2151">
        <f>K2151-G2151*H2151/k_n</f>
        <v/>
      </c>
      <c r="S2151">
        <f>L2151-LTP3!$D$3*G2151/k_n</f>
        <v/>
      </c>
      <c r="T2151">
        <f>M2151-LTP3!$D$3*H2151/k_n</f>
        <v/>
      </c>
      <c r="U2151">
        <f>N2151-G2151*LTP3!$D$4/k_n</f>
        <v/>
      </c>
      <c r="V2151">
        <f>O2151-H2151*LTP3!$D$4/k_n</f>
        <v/>
      </c>
      <c r="W2151">
        <f>((LTP3!$D$5)*((P2151)*(Q2151)-(R2151)*(R2151))-(S2151)*((S2151)*(Q2151)-(R2151)*(T2151))+(T2151)*((S2151)*(R2151)-(P2151)*(T2151)))</f>
        <v/>
      </c>
      <c r="X2151">
        <f>IF(ABS(W2151)&gt;1E-12,((LTP3!$D$6)*((P2151)*(Q2151)-(R2151)*(R2151))-(S2151)*((U2151)*(Q2151)-(R2151)*(V2151))+(T2151)*((U2151)*(R2151)-(P2151)*(V2151)))/W2151,0)</f>
        <v/>
      </c>
      <c r="Y2151">
        <f>IF(ABS(W2151)&gt;1E-12,((LTP3!$D$5)*((U2151)*(Q2151)-(R2151)*(V2151))-(LTP3!$D$6)*((S2151)*(Q2151)-(R2151)*(T2151))+(T2151)*((S2151)*(V2151)-(U2151)*(T2151)))/W2151,0)</f>
        <v/>
      </c>
      <c r="Z2151">
        <f>IF(ABS(W2151)&gt;1E-12,((LTP3!$D$5)*((P2151)*(V2151)-(U2151)*(R2151))-(S2151)*((S2151)*(V2151)-(U2151)*(T2151))+(LTP3!$D$6)*((S2151)*(R2151)-(P2151)*(T2151)))/W2151,0)</f>
        <v/>
      </c>
      <c r="AA2151">
        <f>LTP3!$D$7-X2151*LTP3!$D$6-Y2151*U2151-Z2151*V2151</f>
        <v/>
      </c>
      <c r="AB2151">
        <f>IF(AND(F2151,ABS(W2151)&gt;1E-12,Y2151&gt;0,Z2151&gt;0),AA2151,1E+300)</f>
        <v/>
      </c>
    </row>
    <row r="2152">
      <c r="A2152">
        <f>$B$3+$B$5*35</f>
        <v/>
      </c>
      <c r="B2152">
        <f>$B$3+$B$5*5</f>
        <v/>
      </c>
      <c r="C2152">
        <f>SUMPRODUCT(Calc!$K$3:$K$22*(Calc!$G$3:$G$22&lt;=A2152))</f>
        <v/>
      </c>
      <c r="D2152">
        <f>SUMPRODUCT(Calc!$K$3:$K$22*(Calc!$G$3:$G$22&gt;A2152)*(Calc!$G$3:$G$22&lt;B2152))</f>
        <v/>
      </c>
      <c r="E2152">
        <f>SUMPRODUCT(Calc!$K$3:$K$22*(Calc!$G$3:$G$22&gt;=B2152))</f>
        <v/>
      </c>
      <c r="F2152">
        <f>AND(k_n&gt;=5,B2152&gt;A2152+1E-9,C2152&gt;=2,D2152&gt;=1,E2152&gt;=2)</f>
        <v/>
      </c>
      <c r="G2152">
        <f>SUMPRODUCT(Calc!$K$3:$K$22*(Calc!$G$3:$G$22&gt;A2152)*(Calc!$G$3:$G$22-A2152))</f>
        <v/>
      </c>
      <c r="H2152">
        <f>SUMPRODUCT(Calc!$K$3:$K$22*(Calc!$G$3:$G$22&gt;B2152)*(Calc!$G$3:$G$22-B2152))</f>
        <v/>
      </c>
      <c r="I2152">
        <f>SUMPRODUCT(Calc!$K$3:$K$22*(Calc!$G$3:$G$22&gt;A2152)*(Calc!$G$3:$G$22-A2152)^2)</f>
        <v/>
      </c>
      <c r="J2152">
        <f>SUMPRODUCT(Calc!$K$3:$K$22*(Calc!$G$3:$G$22&gt;B2152)*(Calc!$G$3:$G$22-B2152)^2)</f>
        <v/>
      </c>
      <c r="K2152">
        <f>SUMPRODUCT(Calc!$K$3:$K$22*(Calc!$G$3:$G$22&gt;A2152)*(Calc!$G$3:$G$22-A2152)*(Calc!$G$3:$G$22&gt;B2152)*(Calc!$G$3:$G$22-B2152))</f>
        <v/>
      </c>
      <c r="L2152">
        <f>SUMPRODUCT(Calc!$K$3:$K$22*(Calc!$G$3:$G$22&gt;A2152)*(Calc!$G$3:$G$22-A2152)*Calc!$G$3:$G$22)</f>
        <v/>
      </c>
      <c r="M2152">
        <f>SUMPRODUCT(Calc!$K$3:$K$22*(Calc!$G$3:$G$22&gt;B2152)*(Calc!$G$3:$G$22-B2152)*Calc!$G$3:$G$22)</f>
        <v/>
      </c>
      <c r="N2152">
        <f>SUMPRODUCT(Calc!$K$3:$K$22*(Calc!$G$3:$G$22&gt;A2152)*(Calc!$G$3:$G$22-A2152)*Calc!$I$3:$I$22)</f>
        <v/>
      </c>
      <c r="O2152">
        <f>SUMPRODUCT(Calc!$K$3:$K$22*(Calc!$G$3:$G$22&gt;B2152)*(Calc!$G$3:$G$22-B2152)*Calc!$I$3:$I$22)</f>
        <v/>
      </c>
      <c r="P2152">
        <f>I2152-G2152^2/k_n</f>
        <v/>
      </c>
      <c r="Q2152">
        <f>J2152-H2152^2/k_n</f>
        <v/>
      </c>
      <c r="R2152">
        <f>K2152-G2152*H2152/k_n</f>
        <v/>
      </c>
      <c r="S2152">
        <f>L2152-LTP3!$D$3*G2152/k_n</f>
        <v/>
      </c>
      <c r="T2152">
        <f>M2152-LTP3!$D$3*H2152/k_n</f>
        <v/>
      </c>
      <c r="U2152">
        <f>N2152-G2152*LTP3!$D$4/k_n</f>
        <v/>
      </c>
      <c r="V2152">
        <f>O2152-H2152*LTP3!$D$4/k_n</f>
        <v/>
      </c>
      <c r="W2152">
        <f>((LTP3!$D$5)*((P2152)*(Q2152)-(R2152)*(R2152))-(S2152)*((S2152)*(Q2152)-(R2152)*(T2152))+(T2152)*((S2152)*(R2152)-(P2152)*(T2152)))</f>
        <v/>
      </c>
      <c r="X2152">
        <f>IF(ABS(W2152)&gt;1E-12,((LTP3!$D$6)*((P2152)*(Q2152)-(R2152)*(R2152))-(S2152)*((U2152)*(Q2152)-(R2152)*(V2152))+(T2152)*((U2152)*(R2152)-(P2152)*(V2152)))/W2152,0)</f>
        <v/>
      </c>
      <c r="Y2152">
        <f>IF(ABS(W2152)&gt;1E-12,((LTP3!$D$5)*((U2152)*(Q2152)-(R2152)*(V2152))-(LTP3!$D$6)*((S2152)*(Q2152)-(R2152)*(T2152))+(T2152)*((S2152)*(V2152)-(U2152)*(T2152)))/W2152,0)</f>
        <v/>
      </c>
      <c r="Z2152">
        <f>IF(ABS(W2152)&gt;1E-12,((LTP3!$D$5)*((P2152)*(V2152)-(U2152)*(R2152))-(S2152)*((S2152)*(V2152)-(U2152)*(T2152))+(LTP3!$D$6)*((S2152)*(R2152)-(P2152)*(T2152)))/W2152,0)</f>
        <v/>
      </c>
      <c r="AA2152">
        <f>LTP3!$D$7-X2152*LTP3!$D$6-Y2152*U2152-Z2152*V2152</f>
        <v/>
      </c>
      <c r="AB2152">
        <f>IF(AND(F2152,ABS(W2152)&gt;1E-12,Y2152&gt;0,Z2152&gt;0),AA2152,1E+300)</f>
        <v/>
      </c>
    </row>
    <row r="2153">
      <c r="A2153">
        <f>$B$3+$B$5*35</f>
        <v/>
      </c>
      <c r="B2153">
        <f>$B$3+$B$5*6</f>
        <v/>
      </c>
      <c r="C2153">
        <f>SUMPRODUCT(Calc!$K$3:$K$22*(Calc!$G$3:$G$22&lt;=A2153))</f>
        <v/>
      </c>
      <c r="D2153">
        <f>SUMPRODUCT(Calc!$K$3:$K$22*(Calc!$G$3:$G$22&gt;A2153)*(Calc!$G$3:$G$22&lt;B2153))</f>
        <v/>
      </c>
      <c r="E2153">
        <f>SUMPRODUCT(Calc!$K$3:$K$22*(Calc!$G$3:$G$22&gt;=B2153))</f>
        <v/>
      </c>
      <c r="F2153">
        <f>AND(k_n&gt;=5,B2153&gt;A2153+1E-9,C2153&gt;=2,D2153&gt;=1,E2153&gt;=2)</f>
        <v/>
      </c>
      <c r="G2153">
        <f>SUMPRODUCT(Calc!$K$3:$K$22*(Calc!$G$3:$G$22&gt;A2153)*(Calc!$G$3:$G$22-A2153))</f>
        <v/>
      </c>
      <c r="H2153">
        <f>SUMPRODUCT(Calc!$K$3:$K$22*(Calc!$G$3:$G$22&gt;B2153)*(Calc!$G$3:$G$22-B2153))</f>
        <v/>
      </c>
      <c r="I2153">
        <f>SUMPRODUCT(Calc!$K$3:$K$22*(Calc!$G$3:$G$22&gt;A2153)*(Calc!$G$3:$G$22-A2153)^2)</f>
        <v/>
      </c>
      <c r="J2153">
        <f>SUMPRODUCT(Calc!$K$3:$K$22*(Calc!$G$3:$G$22&gt;B2153)*(Calc!$G$3:$G$22-B2153)^2)</f>
        <v/>
      </c>
      <c r="K2153">
        <f>SUMPRODUCT(Calc!$K$3:$K$22*(Calc!$G$3:$G$22&gt;A2153)*(Calc!$G$3:$G$22-A2153)*(Calc!$G$3:$G$22&gt;B2153)*(Calc!$G$3:$G$22-B2153))</f>
        <v/>
      </c>
      <c r="L2153">
        <f>SUMPRODUCT(Calc!$K$3:$K$22*(Calc!$G$3:$G$22&gt;A2153)*(Calc!$G$3:$G$22-A2153)*Calc!$G$3:$G$22)</f>
        <v/>
      </c>
      <c r="M2153">
        <f>SUMPRODUCT(Calc!$K$3:$K$22*(Calc!$G$3:$G$22&gt;B2153)*(Calc!$G$3:$G$22-B2153)*Calc!$G$3:$G$22)</f>
        <v/>
      </c>
      <c r="N2153">
        <f>SUMPRODUCT(Calc!$K$3:$K$22*(Calc!$G$3:$G$22&gt;A2153)*(Calc!$G$3:$G$22-A2153)*Calc!$I$3:$I$22)</f>
        <v/>
      </c>
      <c r="O2153">
        <f>SUMPRODUCT(Calc!$K$3:$K$22*(Calc!$G$3:$G$22&gt;B2153)*(Calc!$G$3:$G$22-B2153)*Calc!$I$3:$I$22)</f>
        <v/>
      </c>
      <c r="P2153">
        <f>I2153-G2153^2/k_n</f>
        <v/>
      </c>
      <c r="Q2153">
        <f>J2153-H2153^2/k_n</f>
        <v/>
      </c>
      <c r="R2153">
        <f>K2153-G2153*H2153/k_n</f>
        <v/>
      </c>
      <c r="S2153">
        <f>L2153-LTP3!$D$3*G2153/k_n</f>
        <v/>
      </c>
      <c r="T2153">
        <f>M2153-LTP3!$D$3*H2153/k_n</f>
        <v/>
      </c>
      <c r="U2153">
        <f>N2153-G2153*LTP3!$D$4/k_n</f>
        <v/>
      </c>
      <c r="V2153">
        <f>O2153-H2153*LTP3!$D$4/k_n</f>
        <v/>
      </c>
      <c r="W2153">
        <f>((LTP3!$D$5)*((P2153)*(Q2153)-(R2153)*(R2153))-(S2153)*((S2153)*(Q2153)-(R2153)*(T2153))+(T2153)*((S2153)*(R2153)-(P2153)*(T2153)))</f>
        <v/>
      </c>
      <c r="X2153">
        <f>IF(ABS(W2153)&gt;1E-12,((LTP3!$D$6)*((P2153)*(Q2153)-(R2153)*(R2153))-(S2153)*((U2153)*(Q2153)-(R2153)*(V2153))+(T2153)*((U2153)*(R2153)-(P2153)*(V2153)))/W2153,0)</f>
        <v/>
      </c>
      <c r="Y2153">
        <f>IF(ABS(W2153)&gt;1E-12,((LTP3!$D$5)*((U2153)*(Q2153)-(R2153)*(V2153))-(LTP3!$D$6)*((S2153)*(Q2153)-(R2153)*(T2153))+(T2153)*((S2153)*(V2153)-(U2153)*(T2153)))/W2153,0)</f>
        <v/>
      </c>
      <c r="Z2153">
        <f>IF(ABS(W2153)&gt;1E-12,((LTP3!$D$5)*((P2153)*(V2153)-(U2153)*(R2153))-(S2153)*((S2153)*(V2153)-(U2153)*(T2153))+(LTP3!$D$6)*((S2153)*(R2153)-(P2153)*(T2153)))/W2153,0)</f>
        <v/>
      </c>
      <c r="AA2153">
        <f>LTP3!$D$7-X2153*LTP3!$D$6-Y2153*U2153-Z2153*V2153</f>
        <v/>
      </c>
      <c r="AB2153">
        <f>IF(AND(F2153,ABS(W2153)&gt;1E-12,Y2153&gt;0,Z2153&gt;0),AA2153,1E+300)</f>
        <v/>
      </c>
    </row>
    <row r="2154">
      <c r="A2154">
        <f>$B$3+$B$5*35</f>
        <v/>
      </c>
      <c r="B2154">
        <f>$B$3+$B$5*7</f>
        <v/>
      </c>
      <c r="C2154">
        <f>SUMPRODUCT(Calc!$K$3:$K$22*(Calc!$G$3:$G$22&lt;=A2154))</f>
        <v/>
      </c>
      <c r="D2154">
        <f>SUMPRODUCT(Calc!$K$3:$K$22*(Calc!$G$3:$G$22&gt;A2154)*(Calc!$G$3:$G$22&lt;B2154))</f>
        <v/>
      </c>
      <c r="E2154">
        <f>SUMPRODUCT(Calc!$K$3:$K$22*(Calc!$G$3:$G$22&gt;=B2154))</f>
        <v/>
      </c>
      <c r="F2154">
        <f>AND(k_n&gt;=5,B2154&gt;A2154+1E-9,C2154&gt;=2,D2154&gt;=1,E2154&gt;=2)</f>
        <v/>
      </c>
      <c r="G2154">
        <f>SUMPRODUCT(Calc!$K$3:$K$22*(Calc!$G$3:$G$22&gt;A2154)*(Calc!$G$3:$G$22-A2154))</f>
        <v/>
      </c>
      <c r="H2154">
        <f>SUMPRODUCT(Calc!$K$3:$K$22*(Calc!$G$3:$G$22&gt;B2154)*(Calc!$G$3:$G$22-B2154))</f>
        <v/>
      </c>
      <c r="I2154">
        <f>SUMPRODUCT(Calc!$K$3:$K$22*(Calc!$G$3:$G$22&gt;A2154)*(Calc!$G$3:$G$22-A2154)^2)</f>
        <v/>
      </c>
      <c r="J2154">
        <f>SUMPRODUCT(Calc!$K$3:$K$22*(Calc!$G$3:$G$22&gt;B2154)*(Calc!$G$3:$G$22-B2154)^2)</f>
        <v/>
      </c>
      <c r="K2154">
        <f>SUMPRODUCT(Calc!$K$3:$K$22*(Calc!$G$3:$G$22&gt;A2154)*(Calc!$G$3:$G$22-A2154)*(Calc!$G$3:$G$22&gt;B2154)*(Calc!$G$3:$G$22-B2154))</f>
        <v/>
      </c>
      <c r="L2154">
        <f>SUMPRODUCT(Calc!$K$3:$K$22*(Calc!$G$3:$G$22&gt;A2154)*(Calc!$G$3:$G$22-A2154)*Calc!$G$3:$G$22)</f>
        <v/>
      </c>
      <c r="M2154">
        <f>SUMPRODUCT(Calc!$K$3:$K$22*(Calc!$G$3:$G$22&gt;B2154)*(Calc!$G$3:$G$22-B2154)*Calc!$G$3:$G$22)</f>
        <v/>
      </c>
      <c r="N2154">
        <f>SUMPRODUCT(Calc!$K$3:$K$22*(Calc!$G$3:$G$22&gt;A2154)*(Calc!$G$3:$G$22-A2154)*Calc!$I$3:$I$22)</f>
        <v/>
      </c>
      <c r="O2154">
        <f>SUMPRODUCT(Calc!$K$3:$K$22*(Calc!$G$3:$G$22&gt;B2154)*(Calc!$G$3:$G$22-B2154)*Calc!$I$3:$I$22)</f>
        <v/>
      </c>
      <c r="P2154">
        <f>I2154-G2154^2/k_n</f>
        <v/>
      </c>
      <c r="Q2154">
        <f>J2154-H2154^2/k_n</f>
        <v/>
      </c>
      <c r="R2154">
        <f>K2154-G2154*H2154/k_n</f>
        <v/>
      </c>
      <c r="S2154">
        <f>L2154-LTP3!$D$3*G2154/k_n</f>
        <v/>
      </c>
      <c r="T2154">
        <f>M2154-LTP3!$D$3*H2154/k_n</f>
        <v/>
      </c>
      <c r="U2154">
        <f>N2154-G2154*LTP3!$D$4/k_n</f>
        <v/>
      </c>
      <c r="V2154">
        <f>O2154-H2154*LTP3!$D$4/k_n</f>
        <v/>
      </c>
      <c r="W2154">
        <f>((LTP3!$D$5)*((P2154)*(Q2154)-(R2154)*(R2154))-(S2154)*((S2154)*(Q2154)-(R2154)*(T2154))+(T2154)*((S2154)*(R2154)-(P2154)*(T2154)))</f>
        <v/>
      </c>
      <c r="X2154">
        <f>IF(ABS(W2154)&gt;1E-12,((LTP3!$D$6)*((P2154)*(Q2154)-(R2154)*(R2154))-(S2154)*((U2154)*(Q2154)-(R2154)*(V2154))+(T2154)*((U2154)*(R2154)-(P2154)*(V2154)))/W2154,0)</f>
        <v/>
      </c>
      <c r="Y2154">
        <f>IF(ABS(W2154)&gt;1E-12,((LTP3!$D$5)*((U2154)*(Q2154)-(R2154)*(V2154))-(LTP3!$D$6)*((S2154)*(Q2154)-(R2154)*(T2154))+(T2154)*((S2154)*(V2154)-(U2154)*(T2154)))/W2154,0)</f>
        <v/>
      </c>
      <c r="Z2154">
        <f>IF(ABS(W2154)&gt;1E-12,((LTP3!$D$5)*((P2154)*(V2154)-(U2154)*(R2154))-(S2154)*((S2154)*(V2154)-(U2154)*(T2154))+(LTP3!$D$6)*((S2154)*(R2154)-(P2154)*(T2154)))/W2154,0)</f>
        <v/>
      </c>
      <c r="AA2154">
        <f>LTP3!$D$7-X2154*LTP3!$D$6-Y2154*U2154-Z2154*V2154</f>
        <v/>
      </c>
      <c r="AB2154">
        <f>IF(AND(F2154,ABS(W2154)&gt;1E-12,Y2154&gt;0,Z2154&gt;0),AA2154,1E+300)</f>
        <v/>
      </c>
    </row>
    <row r="2155">
      <c r="A2155">
        <f>$B$3+$B$5*35</f>
        <v/>
      </c>
      <c r="B2155">
        <f>$B$3+$B$5*8</f>
        <v/>
      </c>
      <c r="C2155">
        <f>SUMPRODUCT(Calc!$K$3:$K$22*(Calc!$G$3:$G$22&lt;=A2155))</f>
        <v/>
      </c>
      <c r="D2155">
        <f>SUMPRODUCT(Calc!$K$3:$K$22*(Calc!$G$3:$G$22&gt;A2155)*(Calc!$G$3:$G$22&lt;B2155))</f>
        <v/>
      </c>
      <c r="E2155">
        <f>SUMPRODUCT(Calc!$K$3:$K$22*(Calc!$G$3:$G$22&gt;=B2155))</f>
        <v/>
      </c>
      <c r="F2155">
        <f>AND(k_n&gt;=5,B2155&gt;A2155+1E-9,C2155&gt;=2,D2155&gt;=1,E2155&gt;=2)</f>
        <v/>
      </c>
      <c r="G2155">
        <f>SUMPRODUCT(Calc!$K$3:$K$22*(Calc!$G$3:$G$22&gt;A2155)*(Calc!$G$3:$G$22-A2155))</f>
        <v/>
      </c>
      <c r="H2155">
        <f>SUMPRODUCT(Calc!$K$3:$K$22*(Calc!$G$3:$G$22&gt;B2155)*(Calc!$G$3:$G$22-B2155))</f>
        <v/>
      </c>
      <c r="I2155">
        <f>SUMPRODUCT(Calc!$K$3:$K$22*(Calc!$G$3:$G$22&gt;A2155)*(Calc!$G$3:$G$22-A2155)^2)</f>
        <v/>
      </c>
      <c r="J2155">
        <f>SUMPRODUCT(Calc!$K$3:$K$22*(Calc!$G$3:$G$22&gt;B2155)*(Calc!$G$3:$G$22-B2155)^2)</f>
        <v/>
      </c>
      <c r="K2155">
        <f>SUMPRODUCT(Calc!$K$3:$K$22*(Calc!$G$3:$G$22&gt;A2155)*(Calc!$G$3:$G$22-A2155)*(Calc!$G$3:$G$22&gt;B2155)*(Calc!$G$3:$G$22-B2155))</f>
        <v/>
      </c>
      <c r="L2155">
        <f>SUMPRODUCT(Calc!$K$3:$K$22*(Calc!$G$3:$G$22&gt;A2155)*(Calc!$G$3:$G$22-A2155)*Calc!$G$3:$G$22)</f>
        <v/>
      </c>
      <c r="M2155">
        <f>SUMPRODUCT(Calc!$K$3:$K$22*(Calc!$G$3:$G$22&gt;B2155)*(Calc!$G$3:$G$22-B2155)*Calc!$G$3:$G$22)</f>
        <v/>
      </c>
      <c r="N2155">
        <f>SUMPRODUCT(Calc!$K$3:$K$22*(Calc!$G$3:$G$22&gt;A2155)*(Calc!$G$3:$G$22-A2155)*Calc!$I$3:$I$22)</f>
        <v/>
      </c>
      <c r="O2155">
        <f>SUMPRODUCT(Calc!$K$3:$K$22*(Calc!$G$3:$G$22&gt;B2155)*(Calc!$G$3:$G$22-B2155)*Calc!$I$3:$I$22)</f>
        <v/>
      </c>
      <c r="P2155">
        <f>I2155-G2155^2/k_n</f>
        <v/>
      </c>
      <c r="Q2155">
        <f>J2155-H2155^2/k_n</f>
        <v/>
      </c>
      <c r="R2155">
        <f>K2155-G2155*H2155/k_n</f>
        <v/>
      </c>
      <c r="S2155">
        <f>L2155-LTP3!$D$3*G2155/k_n</f>
        <v/>
      </c>
      <c r="T2155">
        <f>M2155-LTP3!$D$3*H2155/k_n</f>
        <v/>
      </c>
      <c r="U2155">
        <f>N2155-G2155*LTP3!$D$4/k_n</f>
        <v/>
      </c>
      <c r="V2155">
        <f>O2155-H2155*LTP3!$D$4/k_n</f>
        <v/>
      </c>
      <c r="W2155">
        <f>((LTP3!$D$5)*((P2155)*(Q2155)-(R2155)*(R2155))-(S2155)*((S2155)*(Q2155)-(R2155)*(T2155))+(T2155)*((S2155)*(R2155)-(P2155)*(T2155)))</f>
        <v/>
      </c>
      <c r="X2155">
        <f>IF(ABS(W2155)&gt;1E-12,((LTP3!$D$6)*((P2155)*(Q2155)-(R2155)*(R2155))-(S2155)*((U2155)*(Q2155)-(R2155)*(V2155))+(T2155)*((U2155)*(R2155)-(P2155)*(V2155)))/W2155,0)</f>
        <v/>
      </c>
      <c r="Y2155">
        <f>IF(ABS(W2155)&gt;1E-12,((LTP3!$D$5)*((U2155)*(Q2155)-(R2155)*(V2155))-(LTP3!$D$6)*((S2155)*(Q2155)-(R2155)*(T2155))+(T2155)*((S2155)*(V2155)-(U2155)*(T2155)))/W2155,0)</f>
        <v/>
      </c>
      <c r="Z2155">
        <f>IF(ABS(W2155)&gt;1E-12,((LTP3!$D$5)*((P2155)*(V2155)-(U2155)*(R2155))-(S2155)*((S2155)*(V2155)-(U2155)*(T2155))+(LTP3!$D$6)*((S2155)*(R2155)-(P2155)*(T2155)))/W2155,0)</f>
        <v/>
      </c>
      <c r="AA2155">
        <f>LTP3!$D$7-X2155*LTP3!$D$6-Y2155*U2155-Z2155*V2155</f>
        <v/>
      </c>
      <c r="AB2155">
        <f>IF(AND(F2155,ABS(W2155)&gt;1E-12,Y2155&gt;0,Z2155&gt;0),AA2155,1E+300)</f>
        <v/>
      </c>
    </row>
    <row r="2156">
      <c r="A2156">
        <f>$B$3+$B$5*35</f>
        <v/>
      </c>
      <c r="B2156">
        <f>$B$3+$B$5*9</f>
        <v/>
      </c>
      <c r="C2156">
        <f>SUMPRODUCT(Calc!$K$3:$K$22*(Calc!$G$3:$G$22&lt;=A2156))</f>
        <v/>
      </c>
      <c r="D2156">
        <f>SUMPRODUCT(Calc!$K$3:$K$22*(Calc!$G$3:$G$22&gt;A2156)*(Calc!$G$3:$G$22&lt;B2156))</f>
        <v/>
      </c>
      <c r="E2156">
        <f>SUMPRODUCT(Calc!$K$3:$K$22*(Calc!$G$3:$G$22&gt;=B2156))</f>
        <v/>
      </c>
      <c r="F2156">
        <f>AND(k_n&gt;=5,B2156&gt;A2156+1E-9,C2156&gt;=2,D2156&gt;=1,E2156&gt;=2)</f>
        <v/>
      </c>
      <c r="G2156">
        <f>SUMPRODUCT(Calc!$K$3:$K$22*(Calc!$G$3:$G$22&gt;A2156)*(Calc!$G$3:$G$22-A2156))</f>
        <v/>
      </c>
      <c r="H2156">
        <f>SUMPRODUCT(Calc!$K$3:$K$22*(Calc!$G$3:$G$22&gt;B2156)*(Calc!$G$3:$G$22-B2156))</f>
        <v/>
      </c>
      <c r="I2156">
        <f>SUMPRODUCT(Calc!$K$3:$K$22*(Calc!$G$3:$G$22&gt;A2156)*(Calc!$G$3:$G$22-A2156)^2)</f>
        <v/>
      </c>
      <c r="J2156">
        <f>SUMPRODUCT(Calc!$K$3:$K$22*(Calc!$G$3:$G$22&gt;B2156)*(Calc!$G$3:$G$22-B2156)^2)</f>
        <v/>
      </c>
      <c r="K2156">
        <f>SUMPRODUCT(Calc!$K$3:$K$22*(Calc!$G$3:$G$22&gt;A2156)*(Calc!$G$3:$G$22-A2156)*(Calc!$G$3:$G$22&gt;B2156)*(Calc!$G$3:$G$22-B2156))</f>
        <v/>
      </c>
      <c r="L2156">
        <f>SUMPRODUCT(Calc!$K$3:$K$22*(Calc!$G$3:$G$22&gt;A2156)*(Calc!$G$3:$G$22-A2156)*Calc!$G$3:$G$22)</f>
        <v/>
      </c>
      <c r="M2156">
        <f>SUMPRODUCT(Calc!$K$3:$K$22*(Calc!$G$3:$G$22&gt;B2156)*(Calc!$G$3:$G$22-B2156)*Calc!$G$3:$G$22)</f>
        <v/>
      </c>
      <c r="N2156">
        <f>SUMPRODUCT(Calc!$K$3:$K$22*(Calc!$G$3:$G$22&gt;A2156)*(Calc!$G$3:$G$22-A2156)*Calc!$I$3:$I$22)</f>
        <v/>
      </c>
      <c r="O2156">
        <f>SUMPRODUCT(Calc!$K$3:$K$22*(Calc!$G$3:$G$22&gt;B2156)*(Calc!$G$3:$G$22-B2156)*Calc!$I$3:$I$22)</f>
        <v/>
      </c>
      <c r="P2156">
        <f>I2156-G2156^2/k_n</f>
        <v/>
      </c>
      <c r="Q2156">
        <f>J2156-H2156^2/k_n</f>
        <v/>
      </c>
      <c r="R2156">
        <f>K2156-G2156*H2156/k_n</f>
        <v/>
      </c>
      <c r="S2156">
        <f>L2156-LTP3!$D$3*G2156/k_n</f>
        <v/>
      </c>
      <c r="T2156">
        <f>M2156-LTP3!$D$3*H2156/k_n</f>
        <v/>
      </c>
      <c r="U2156">
        <f>N2156-G2156*LTP3!$D$4/k_n</f>
        <v/>
      </c>
      <c r="V2156">
        <f>O2156-H2156*LTP3!$D$4/k_n</f>
        <v/>
      </c>
      <c r="W2156">
        <f>((LTP3!$D$5)*((P2156)*(Q2156)-(R2156)*(R2156))-(S2156)*((S2156)*(Q2156)-(R2156)*(T2156))+(T2156)*((S2156)*(R2156)-(P2156)*(T2156)))</f>
        <v/>
      </c>
      <c r="X2156">
        <f>IF(ABS(W2156)&gt;1E-12,((LTP3!$D$6)*((P2156)*(Q2156)-(R2156)*(R2156))-(S2156)*((U2156)*(Q2156)-(R2156)*(V2156))+(T2156)*((U2156)*(R2156)-(P2156)*(V2156)))/W2156,0)</f>
        <v/>
      </c>
      <c r="Y2156">
        <f>IF(ABS(W2156)&gt;1E-12,((LTP3!$D$5)*((U2156)*(Q2156)-(R2156)*(V2156))-(LTP3!$D$6)*((S2156)*(Q2156)-(R2156)*(T2156))+(T2156)*((S2156)*(V2156)-(U2156)*(T2156)))/W2156,0)</f>
        <v/>
      </c>
      <c r="Z2156">
        <f>IF(ABS(W2156)&gt;1E-12,((LTP3!$D$5)*((P2156)*(V2156)-(U2156)*(R2156))-(S2156)*((S2156)*(V2156)-(U2156)*(T2156))+(LTP3!$D$6)*((S2156)*(R2156)-(P2156)*(T2156)))/W2156,0)</f>
        <v/>
      </c>
      <c r="AA2156">
        <f>LTP3!$D$7-X2156*LTP3!$D$6-Y2156*U2156-Z2156*V2156</f>
        <v/>
      </c>
      <c r="AB2156">
        <f>IF(AND(F2156,ABS(W2156)&gt;1E-12,Y2156&gt;0,Z2156&gt;0),AA2156,1E+300)</f>
        <v/>
      </c>
    </row>
    <row r="2157">
      <c r="A2157">
        <f>$B$3+$B$5*35</f>
        <v/>
      </c>
      <c r="B2157">
        <f>$B$3+$B$5*10</f>
        <v/>
      </c>
      <c r="C2157">
        <f>SUMPRODUCT(Calc!$K$3:$K$22*(Calc!$G$3:$G$22&lt;=A2157))</f>
        <v/>
      </c>
      <c r="D2157">
        <f>SUMPRODUCT(Calc!$K$3:$K$22*(Calc!$G$3:$G$22&gt;A2157)*(Calc!$G$3:$G$22&lt;B2157))</f>
        <v/>
      </c>
      <c r="E2157">
        <f>SUMPRODUCT(Calc!$K$3:$K$22*(Calc!$G$3:$G$22&gt;=B2157))</f>
        <v/>
      </c>
      <c r="F2157">
        <f>AND(k_n&gt;=5,B2157&gt;A2157+1E-9,C2157&gt;=2,D2157&gt;=1,E2157&gt;=2)</f>
        <v/>
      </c>
      <c r="G2157">
        <f>SUMPRODUCT(Calc!$K$3:$K$22*(Calc!$G$3:$G$22&gt;A2157)*(Calc!$G$3:$G$22-A2157))</f>
        <v/>
      </c>
      <c r="H2157">
        <f>SUMPRODUCT(Calc!$K$3:$K$22*(Calc!$G$3:$G$22&gt;B2157)*(Calc!$G$3:$G$22-B2157))</f>
        <v/>
      </c>
      <c r="I2157">
        <f>SUMPRODUCT(Calc!$K$3:$K$22*(Calc!$G$3:$G$22&gt;A2157)*(Calc!$G$3:$G$22-A2157)^2)</f>
        <v/>
      </c>
      <c r="J2157">
        <f>SUMPRODUCT(Calc!$K$3:$K$22*(Calc!$G$3:$G$22&gt;B2157)*(Calc!$G$3:$G$22-B2157)^2)</f>
        <v/>
      </c>
      <c r="K2157">
        <f>SUMPRODUCT(Calc!$K$3:$K$22*(Calc!$G$3:$G$22&gt;A2157)*(Calc!$G$3:$G$22-A2157)*(Calc!$G$3:$G$22&gt;B2157)*(Calc!$G$3:$G$22-B2157))</f>
        <v/>
      </c>
      <c r="L2157">
        <f>SUMPRODUCT(Calc!$K$3:$K$22*(Calc!$G$3:$G$22&gt;A2157)*(Calc!$G$3:$G$22-A2157)*Calc!$G$3:$G$22)</f>
        <v/>
      </c>
      <c r="M2157">
        <f>SUMPRODUCT(Calc!$K$3:$K$22*(Calc!$G$3:$G$22&gt;B2157)*(Calc!$G$3:$G$22-B2157)*Calc!$G$3:$G$22)</f>
        <v/>
      </c>
      <c r="N2157">
        <f>SUMPRODUCT(Calc!$K$3:$K$22*(Calc!$G$3:$G$22&gt;A2157)*(Calc!$G$3:$G$22-A2157)*Calc!$I$3:$I$22)</f>
        <v/>
      </c>
      <c r="O2157">
        <f>SUMPRODUCT(Calc!$K$3:$K$22*(Calc!$G$3:$G$22&gt;B2157)*(Calc!$G$3:$G$22-B2157)*Calc!$I$3:$I$22)</f>
        <v/>
      </c>
      <c r="P2157">
        <f>I2157-G2157^2/k_n</f>
        <v/>
      </c>
      <c r="Q2157">
        <f>J2157-H2157^2/k_n</f>
        <v/>
      </c>
      <c r="R2157">
        <f>K2157-G2157*H2157/k_n</f>
        <v/>
      </c>
      <c r="S2157">
        <f>L2157-LTP3!$D$3*G2157/k_n</f>
        <v/>
      </c>
      <c r="T2157">
        <f>M2157-LTP3!$D$3*H2157/k_n</f>
        <v/>
      </c>
      <c r="U2157">
        <f>N2157-G2157*LTP3!$D$4/k_n</f>
        <v/>
      </c>
      <c r="V2157">
        <f>O2157-H2157*LTP3!$D$4/k_n</f>
        <v/>
      </c>
      <c r="W2157">
        <f>((LTP3!$D$5)*((P2157)*(Q2157)-(R2157)*(R2157))-(S2157)*((S2157)*(Q2157)-(R2157)*(T2157))+(T2157)*((S2157)*(R2157)-(P2157)*(T2157)))</f>
        <v/>
      </c>
      <c r="X2157">
        <f>IF(ABS(W2157)&gt;1E-12,((LTP3!$D$6)*((P2157)*(Q2157)-(R2157)*(R2157))-(S2157)*((U2157)*(Q2157)-(R2157)*(V2157))+(T2157)*((U2157)*(R2157)-(P2157)*(V2157)))/W2157,0)</f>
        <v/>
      </c>
      <c r="Y2157">
        <f>IF(ABS(W2157)&gt;1E-12,((LTP3!$D$5)*((U2157)*(Q2157)-(R2157)*(V2157))-(LTP3!$D$6)*((S2157)*(Q2157)-(R2157)*(T2157))+(T2157)*((S2157)*(V2157)-(U2157)*(T2157)))/W2157,0)</f>
        <v/>
      </c>
      <c r="Z2157">
        <f>IF(ABS(W2157)&gt;1E-12,((LTP3!$D$5)*((P2157)*(V2157)-(U2157)*(R2157))-(S2157)*((S2157)*(V2157)-(U2157)*(T2157))+(LTP3!$D$6)*((S2157)*(R2157)-(P2157)*(T2157)))/W2157,0)</f>
        <v/>
      </c>
      <c r="AA2157">
        <f>LTP3!$D$7-X2157*LTP3!$D$6-Y2157*U2157-Z2157*V2157</f>
        <v/>
      </c>
      <c r="AB2157">
        <f>IF(AND(F2157,ABS(W2157)&gt;1E-12,Y2157&gt;0,Z2157&gt;0),AA2157,1E+300)</f>
        <v/>
      </c>
    </row>
    <row r="2158">
      <c r="A2158">
        <f>$B$3+$B$5*35</f>
        <v/>
      </c>
      <c r="B2158">
        <f>$B$3+$B$5*11</f>
        <v/>
      </c>
      <c r="C2158">
        <f>SUMPRODUCT(Calc!$K$3:$K$22*(Calc!$G$3:$G$22&lt;=A2158))</f>
        <v/>
      </c>
      <c r="D2158">
        <f>SUMPRODUCT(Calc!$K$3:$K$22*(Calc!$G$3:$G$22&gt;A2158)*(Calc!$G$3:$G$22&lt;B2158))</f>
        <v/>
      </c>
      <c r="E2158">
        <f>SUMPRODUCT(Calc!$K$3:$K$22*(Calc!$G$3:$G$22&gt;=B2158))</f>
        <v/>
      </c>
      <c r="F2158">
        <f>AND(k_n&gt;=5,B2158&gt;A2158+1E-9,C2158&gt;=2,D2158&gt;=1,E2158&gt;=2)</f>
        <v/>
      </c>
      <c r="G2158">
        <f>SUMPRODUCT(Calc!$K$3:$K$22*(Calc!$G$3:$G$22&gt;A2158)*(Calc!$G$3:$G$22-A2158))</f>
        <v/>
      </c>
      <c r="H2158">
        <f>SUMPRODUCT(Calc!$K$3:$K$22*(Calc!$G$3:$G$22&gt;B2158)*(Calc!$G$3:$G$22-B2158))</f>
        <v/>
      </c>
      <c r="I2158">
        <f>SUMPRODUCT(Calc!$K$3:$K$22*(Calc!$G$3:$G$22&gt;A2158)*(Calc!$G$3:$G$22-A2158)^2)</f>
        <v/>
      </c>
      <c r="J2158">
        <f>SUMPRODUCT(Calc!$K$3:$K$22*(Calc!$G$3:$G$22&gt;B2158)*(Calc!$G$3:$G$22-B2158)^2)</f>
        <v/>
      </c>
      <c r="K2158">
        <f>SUMPRODUCT(Calc!$K$3:$K$22*(Calc!$G$3:$G$22&gt;A2158)*(Calc!$G$3:$G$22-A2158)*(Calc!$G$3:$G$22&gt;B2158)*(Calc!$G$3:$G$22-B2158))</f>
        <v/>
      </c>
      <c r="L2158">
        <f>SUMPRODUCT(Calc!$K$3:$K$22*(Calc!$G$3:$G$22&gt;A2158)*(Calc!$G$3:$G$22-A2158)*Calc!$G$3:$G$22)</f>
        <v/>
      </c>
      <c r="M2158">
        <f>SUMPRODUCT(Calc!$K$3:$K$22*(Calc!$G$3:$G$22&gt;B2158)*(Calc!$G$3:$G$22-B2158)*Calc!$G$3:$G$22)</f>
        <v/>
      </c>
      <c r="N2158">
        <f>SUMPRODUCT(Calc!$K$3:$K$22*(Calc!$G$3:$G$22&gt;A2158)*(Calc!$G$3:$G$22-A2158)*Calc!$I$3:$I$22)</f>
        <v/>
      </c>
      <c r="O2158">
        <f>SUMPRODUCT(Calc!$K$3:$K$22*(Calc!$G$3:$G$22&gt;B2158)*(Calc!$G$3:$G$22-B2158)*Calc!$I$3:$I$22)</f>
        <v/>
      </c>
      <c r="P2158">
        <f>I2158-G2158^2/k_n</f>
        <v/>
      </c>
      <c r="Q2158">
        <f>J2158-H2158^2/k_n</f>
        <v/>
      </c>
      <c r="R2158">
        <f>K2158-G2158*H2158/k_n</f>
        <v/>
      </c>
      <c r="S2158">
        <f>L2158-LTP3!$D$3*G2158/k_n</f>
        <v/>
      </c>
      <c r="T2158">
        <f>M2158-LTP3!$D$3*H2158/k_n</f>
        <v/>
      </c>
      <c r="U2158">
        <f>N2158-G2158*LTP3!$D$4/k_n</f>
        <v/>
      </c>
      <c r="V2158">
        <f>O2158-H2158*LTP3!$D$4/k_n</f>
        <v/>
      </c>
      <c r="W2158">
        <f>((LTP3!$D$5)*((P2158)*(Q2158)-(R2158)*(R2158))-(S2158)*((S2158)*(Q2158)-(R2158)*(T2158))+(T2158)*((S2158)*(R2158)-(P2158)*(T2158)))</f>
        <v/>
      </c>
      <c r="X2158">
        <f>IF(ABS(W2158)&gt;1E-12,((LTP3!$D$6)*((P2158)*(Q2158)-(R2158)*(R2158))-(S2158)*((U2158)*(Q2158)-(R2158)*(V2158))+(T2158)*((U2158)*(R2158)-(P2158)*(V2158)))/W2158,0)</f>
        <v/>
      </c>
      <c r="Y2158">
        <f>IF(ABS(W2158)&gt;1E-12,((LTP3!$D$5)*((U2158)*(Q2158)-(R2158)*(V2158))-(LTP3!$D$6)*((S2158)*(Q2158)-(R2158)*(T2158))+(T2158)*((S2158)*(V2158)-(U2158)*(T2158)))/W2158,0)</f>
        <v/>
      </c>
      <c r="Z2158">
        <f>IF(ABS(W2158)&gt;1E-12,((LTP3!$D$5)*((P2158)*(V2158)-(U2158)*(R2158))-(S2158)*((S2158)*(V2158)-(U2158)*(T2158))+(LTP3!$D$6)*((S2158)*(R2158)-(P2158)*(T2158)))/W2158,0)</f>
        <v/>
      </c>
      <c r="AA2158">
        <f>LTP3!$D$7-X2158*LTP3!$D$6-Y2158*U2158-Z2158*V2158</f>
        <v/>
      </c>
      <c r="AB2158">
        <f>IF(AND(F2158,ABS(W2158)&gt;1E-12,Y2158&gt;0,Z2158&gt;0),AA2158,1E+300)</f>
        <v/>
      </c>
    </row>
    <row r="2159">
      <c r="A2159">
        <f>$B$3+$B$5*35</f>
        <v/>
      </c>
      <c r="B2159">
        <f>$B$3+$B$5*12</f>
        <v/>
      </c>
      <c r="C2159">
        <f>SUMPRODUCT(Calc!$K$3:$K$22*(Calc!$G$3:$G$22&lt;=A2159))</f>
        <v/>
      </c>
      <c r="D2159">
        <f>SUMPRODUCT(Calc!$K$3:$K$22*(Calc!$G$3:$G$22&gt;A2159)*(Calc!$G$3:$G$22&lt;B2159))</f>
        <v/>
      </c>
      <c r="E2159">
        <f>SUMPRODUCT(Calc!$K$3:$K$22*(Calc!$G$3:$G$22&gt;=B2159))</f>
        <v/>
      </c>
      <c r="F2159">
        <f>AND(k_n&gt;=5,B2159&gt;A2159+1E-9,C2159&gt;=2,D2159&gt;=1,E2159&gt;=2)</f>
        <v/>
      </c>
      <c r="G2159">
        <f>SUMPRODUCT(Calc!$K$3:$K$22*(Calc!$G$3:$G$22&gt;A2159)*(Calc!$G$3:$G$22-A2159))</f>
        <v/>
      </c>
      <c r="H2159">
        <f>SUMPRODUCT(Calc!$K$3:$K$22*(Calc!$G$3:$G$22&gt;B2159)*(Calc!$G$3:$G$22-B2159))</f>
        <v/>
      </c>
      <c r="I2159">
        <f>SUMPRODUCT(Calc!$K$3:$K$22*(Calc!$G$3:$G$22&gt;A2159)*(Calc!$G$3:$G$22-A2159)^2)</f>
        <v/>
      </c>
      <c r="J2159">
        <f>SUMPRODUCT(Calc!$K$3:$K$22*(Calc!$G$3:$G$22&gt;B2159)*(Calc!$G$3:$G$22-B2159)^2)</f>
        <v/>
      </c>
      <c r="K2159">
        <f>SUMPRODUCT(Calc!$K$3:$K$22*(Calc!$G$3:$G$22&gt;A2159)*(Calc!$G$3:$G$22-A2159)*(Calc!$G$3:$G$22&gt;B2159)*(Calc!$G$3:$G$22-B2159))</f>
        <v/>
      </c>
      <c r="L2159">
        <f>SUMPRODUCT(Calc!$K$3:$K$22*(Calc!$G$3:$G$22&gt;A2159)*(Calc!$G$3:$G$22-A2159)*Calc!$G$3:$G$22)</f>
        <v/>
      </c>
      <c r="M2159">
        <f>SUMPRODUCT(Calc!$K$3:$K$22*(Calc!$G$3:$G$22&gt;B2159)*(Calc!$G$3:$G$22-B2159)*Calc!$G$3:$G$22)</f>
        <v/>
      </c>
      <c r="N2159">
        <f>SUMPRODUCT(Calc!$K$3:$K$22*(Calc!$G$3:$G$22&gt;A2159)*(Calc!$G$3:$G$22-A2159)*Calc!$I$3:$I$22)</f>
        <v/>
      </c>
      <c r="O2159">
        <f>SUMPRODUCT(Calc!$K$3:$K$22*(Calc!$G$3:$G$22&gt;B2159)*(Calc!$G$3:$G$22-B2159)*Calc!$I$3:$I$22)</f>
        <v/>
      </c>
      <c r="P2159">
        <f>I2159-G2159^2/k_n</f>
        <v/>
      </c>
      <c r="Q2159">
        <f>J2159-H2159^2/k_n</f>
        <v/>
      </c>
      <c r="R2159">
        <f>K2159-G2159*H2159/k_n</f>
        <v/>
      </c>
      <c r="S2159">
        <f>L2159-LTP3!$D$3*G2159/k_n</f>
        <v/>
      </c>
      <c r="T2159">
        <f>M2159-LTP3!$D$3*H2159/k_n</f>
        <v/>
      </c>
      <c r="U2159">
        <f>N2159-G2159*LTP3!$D$4/k_n</f>
        <v/>
      </c>
      <c r="V2159">
        <f>O2159-H2159*LTP3!$D$4/k_n</f>
        <v/>
      </c>
      <c r="W2159">
        <f>((LTP3!$D$5)*((P2159)*(Q2159)-(R2159)*(R2159))-(S2159)*((S2159)*(Q2159)-(R2159)*(T2159))+(T2159)*((S2159)*(R2159)-(P2159)*(T2159)))</f>
        <v/>
      </c>
      <c r="X2159">
        <f>IF(ABS(W2159)&gt;1E-12,((LTP3!$D$6)*((P2159)*(Q2159)-(R2159)*(R2159))-(S2159)*((U2159)*(Q2159)-(R2159)*(V2159))+(T2159)*((U2159)*(R2159)-(P2159)*(V2159)))/W2159,0)</f>
        <v/>
      </c>
      <c r="Y2159">
        <f>IF(ABS(W2159)&gt;1E-12,((LTP3!$D$5)*((U2159)*(Q2159)-(R2159)*(V2159))-(LTP3!$D$6)*((S2159)*(Q2159)-(R2159)*(T2159))+(T2159)*((S2159)*(V2159)-(U2159)*(T2159)))/W2159,0)</f>
        <v/>
      </c>
      <c r="Z2159">
        <f>IF(ABS(W2159)&gt;1E-12,((LTP3!$D$5)*((P2159)*(V2159)-(U2159)*(R2159))-(S2159)*((S2159)*(V2159)-(U2159)*(T2159))+(LTP3!$D$6)*((S2159)*(R2159)-(P2159)*(T2159)))/W2159,0)</f>
        <v/>
      </c>
      <c r="AA2159">
        <f>LTP3!$D$7-X2159*LTP3!$D$6-Y2159*U2159-Z2159*V2159</f>
        <v/>
      </c>
      <c r="AB2159">
        <f>IF(AND(F2159,ABS(W2159)&gt;1E-12,Y2159&gt;0,Z2159&gt;0),AA2159,1E+300)</f>
        <v/>
      </c>
    </row>
    <row r="2160">
      <c r="A2160">
        <f>$B$3+$B$5*35</f>
        <v/>
      </c>
      <c r="B2160">
        <f>$B$3+$B$5*13</f>
        <v/>
      </c>
      <c r="C2160">
        <f>SUMPRODUCT(Calc!$K$3:$K$22*(Calc!$G$3:$G$22&lt;=A2160))</f>
        <v/>
      </c>
      <c r="D2160">
        <f>SUMPRODUCT(Calc!$K$3:$K$22*(Calc!$G$3:$G$22&gt;A2160)*(Calc!$G$3:$G$22&lt;B2160))</f>
        <v/>
      </c>
      <c r="E2160">
        <f>SUMPRODUCT(Calc!$K$3:$K$22*(Calc!$G$3:$G$22&gt;=B2160))</f>
        <v/>
      </c>
      <c r="F2160">
        <f>AND(k_n&gt;=5,B2160&gt;A2160+1E-9,C2160&gt;=2,D2160&gt;=1,E2160&gt;=2)</f>
        <v/>
      </c>
      <c r="G2160">
        <f>SUMPRODUCT(Calc!$K$3:$K$22*(Calc!$G$3:$G$22&gt;A2160)*(Calc!$G$3:$G$22-A2160))</f>
        <v/>
      </c>
      <c r="H2160">
        <f>SUMPRODUCT(Calc!$K$3:$K$22*(Calc!$G$3:$G$22&gt;B2160)*(Calc!$G$3:$G$22-B2160))</f>
        <v/>
      </c>
      <c r="I2160">
        <f>SUMPRODUCT(Calc!$K$3:$K$22*(Calc!$G$3:$G$22&gt;A2160)*(Calc!$G$3:$G$22-A2160)^2)</f>
        <v/>
      </c>
      <c r="J2160">
        <f>SUMPRODUCT(Calc!$K$3:$K$22*(Calc!$G$3:$G$22&gt;B2160)*(Calc!$G$3:$G$22-B2160)^2)</f>
        <v/>
      </c>
      <c r="K2160">
        <f>SUMPRODUCT(Calc!$K$3:$K$22*(Calc!$G$3:$G$22&gt;A2160)*(Calc!$G$3:$G$22-A2160)*(Calc!$G$3:$G$22&gt;B2160)*(Calc!$G$3:$G$22-B2160))</f>
        <v/>
      </c>
      <c r="L2160">
        <f>SUMPRODUCT(Calc!$K$3:$K$22*(Calc!$G$3:$G$22&gt;A2160)*(Calc!$G$3:$G$22-A2160)*Calc!$G$3:$G$22)</f>
        <v/>
      </c>
      <c r="M2160">
        <f>SUMPRODUCT(Calc!$K$3:$K$22*(Calc!$G$3:$G$22&gt;B2160)*(Calc!$G$3:$G$22-B2160)*Calc!$G$3:$G$22)</f>
        <v/>
      </c>
      <c r="N2160">
        <f>SUMPRODUCT(Calc!$K$3:$K$22*(Calc!$G$3:$G$22&gt;A2160)*(Calc!$G$3:$G$22-A2160)*Calc!$I$3:$I$22)</f>
        <v/>
      </c>
      <c r="O2160">
        <f>SUMPRODUCT(Calc!$K$3:$K$22*(Calc!$G$3:$G$22&gt;B2160)*(Calc!$G$3:$G$22-B2160)*Calc!$I$3:$I$22)</f>
        <v/>
      </c>
      <c r="P2160">
        <f>I2160-G2160^2/k_n</f>
        <v/>
      </c>
      <c r="Q2160">
        <f>J2160-H2160^2/k_n</f>
        <v/>
      </c>
      <c r="R2160">
        <f>K2160-G2160*H2160/k_n</f>
        <v/>
      </c>
      <c r="S2160">
        <f>L2160-LTP3!$D$3*G2160/k_n</f>
        <v/>
      </c>
      <c r="T2160">
        <f>M2160-LTP3!$D$3*H2160/k_n</f>
        <v/>
      </c>
      <c r="U2160">
        <f>N2160-G2160*LTP3!$D$4/k_n</f>
        <v/>
      </c>
      <c r="V2160">
        <f>O2160-H2160*LTP3!$D$4/k_n</f>
        <v/>
      </c>
      <c r="W2160">
        <f>((LTP3!$D$5)*((P2160)*(Q2160)-(R2160)*(R2160))-(S2160)*((S2160)*(Q2160)-(R2160)*(T2160))+(T2160)*((S2160)*(R2160)-(P2160)*(T2160)))</f>
        <v/>
      </c>
      <c r="X2160">
        <f>IF(ABS(W2160)&gt;1E-12,((LTP3!$D$6)*((P2160)*(Q2160)-(R2160)*(R2160))-(S2160)*((U2160)*(Q2160)-(R2160)*(V2160))+(T2160)*((U2160)*(R2160)-(P2160)*(V2160)))/W2160,0)</f>
        <v/>
      </c>
      <c r="Y2160">
        <f>IF(ABS(W2160)&gt;1E-12,((LTP3!$D$5)*((U2160)*(Q2160)-(R2160)*(V2160))-(LTP3!$D$6)*((S2160)*(Q2160)-(R2160)*(T2160))+(T2160)*((S2160)*(V2160)-(U2160)*(T2160)))/W2160,0)</f>
        <v/>
      </c>
      <c r="Z2160">
        <f>IF(ABS(W2160)&gt;1E-12,((LTP3!$D$5)*((P2160)*(V2160)-(U2160)*(R2160))-(S2160)*((S2160)*(V2160)-(U2160)*(T2160))+(LTP3!$D$6)*((S2160)*(R2160)-(P2160)*(T2160)))/W2160,0)</f>
        <v/>
      </c>
      <c r="AA2160">
        <f>LTP3!$D$7-X2160*LTP3!$D$6-Y2160*U2160-Z2160*V2160</f>
        <v/>
      </c>
      <c r="AB2160">
        <f>IF(AND(F2160,ABS(W2160)&gt;1E-12,Y2160&gt;0,Z2160&gt;0),AA2160,1E+300)</f>
        <v/>
      </c>
    </row>
    <row r="2161">
      <c r="A2161">
        <f>$B$3+$B$5*35</f>
        <v/>
      </c>
      <c r="B2161">
        <f>$B$3+$B$5*14</f>
        <v/>
      </c>
      <c r="C2161">
        <f>SUMPRODUCT(Calc!$K$3:$K$22*(Calc!$G$3:$G$22&lt;=A2161))</f>
        <v/>
      </c>
      <c r="D2161">
        <f>SUMPRODUCT(Calc!$K$3:$K$22*(Calc!$G$3:$G$22&gt;A2161)*(Calc!$G$3:$G$22&lt;B2161))</f>
        <v/>
      </c>
      <c r="E2161">
        <f>SUMPRODUCT(Calc!$K$3:$K$22*(Calc!$G$3:$G$22&gt;=B2161))</f>
        <v/>
      </c>
      <c r="F2161">
        <f>AND(k_n&gt;=5,B2161&gt;A2161+1E-9,C2161&gt;=2,D2161&gt;=1,E2161&gt;=2)</f>
        <v/>
      </c>
      <c r="G2161">
        <f>SUMPRODUCT(Calc!$K$3:$K$22*(Calc!$G$3:$G$22&gt;A2161)*(Calc!$G$3:$G$22-A2161))</f>
        <v/>
      </c>
      <c r="H2161">
        <f>SUMPRODUCT(Calc!$K$3:$K$22*(Calc!$G$3:$G$22&gt;B2161)*(Calc!$G$3:$G$22-B2161))</f>
        <v/>
      </c>
      <c r="I2161">
        <f>SUMPRODUCT(Calc!$K$3:$K$22*(Calc!$G$3:$G$22&gt;A2161)*(Calc!$G$3:$G$22-A2161)^2)</f>
        <v/>
      </c>
      <c r="J2161">
        <f>SUMPRODUCT(Calc!$K$3:$K$22*(Calc!$G$3:$G$22&gt;B2161)*(Calc!$G$3:$G$22-B2161)^2)</f>
        <v/>
      </c>
      <c r="K2161">
        <f>SUMPRODUCT(Calc!$K$3:$K$22*(Calc!$G$3:$G$22&gt;A2161)*(Calc!$G$3:$G$22-A2161)*(Calc!$G$3:$G$22&gt;B2161)*(Calc!$G$3:$G$22-B2161))</f>
        <v/>
      </c>
      <c r="L2161">
        <f>SUMPRODUCT(Calc!$K$3:$K$22*(Calc!$G$3:$G$22&gt;A2161)*(Calc!$G$3:$G$22-A2161)*Calc!$G$3:$G$22)</f>
        <v/>
      </c>
      <c r="M2161">
        <f>SUMPRODUCT(Calc!$K$3:$K$22*(Calc!$G$3:$G$22&gt;B2161)*(Calc!$G$3:$G$22-B2161)*Calc!$G$3:$G$22)</f>
        <v/>
      </c>
      <c r="N2161">
        <f>SUMPRODUCT(Calc!$K$3:$K$22*(Calc!$G$3:$G$22&gt;A2161)*(Calc!$G$3:$G$22-A2161)*Calc!$I$3:$I$22)</f>
        <v/>
      </c>
      <c r="O2161">
        <f>SUMPRODUCT(Calc!$K$3:$K$22*(Calc!$G$3:$G$22&gt;B2161)*(Calc!$G$3:$G$22-B2161)*Calc!$I$3:$I$22)</f>
        <v/>
      </c>
      <c r="P2161">
        <f>I2161-G2161^2/k_n</f>
        <v/>
      </c>
      <c r="Q2161">
        <f>J2161-H2161^2/k_n</f>
        <v/>
      </c>
      <c r="R2161">
        <f>K2161-G2161*H2161/k_n</f>
        <v/>
      </c>
      <c r="S2161">
        <f>L2161-LTP3!$D$3*G2161/k_n</f>
        <v/>
      </c>
      <c r="T2161">
        <f>M2161-LTP3!$D$3*H2161/k_n</f>
        <v/>
      </c>
      <c r="U2161">
        <f>N2161-G2161*LTP3!$D$4/k_n</f>
        <v/>
      </c>
      <c r="V2161">
        <f>O2161-H2161*LTP3!$D$4/k_n</f>
        <v/>
      </c>
      <c r="W2161">
        <f>((LTP3!$D$5)*((P2161)*(Q2161)-(R2161)*(R2161))-(S2161)*((S2161)*(Q2161)-(R2161)*(T2161))+(T2161)*((S2161)*(R2161)-(P2161)*(T2161)))</f>
        <v/>
      </c>
      <c r="X2161">
        <f>IF(ABS(W2161)&gt;1E-12,((LTP3!$D$6)*((P2161)*(Q2161)-(R2161)*(R2161))-(S2161)*((U2161)*(Q2161)-(R2161)*(V2161))+(T2161)*((U2161)*(R2161)-(P2161)*(V2161)))/W2161,0)</f>
        <v/>
      </c>
      <c r="Y2161">
        <f>IF(ABS(W2161)&gt;1E-12,((LTP3!$D$5)*((U2161)*(Q2161)-(R2161)*(V2161))-(LTP3!$D$6)*((S2161)*(Q2161)-(R2161)*(T2161))+(T2161)*((S2161)*(V2161)-(U2161)*(T2161)))/W2161,0)</f>
        <v/>
      </c>
      <c r="Z2161">
        <f>IF(ABS(W2161)&gt;1E-12,((LTP3!$D$5)*((P2161)*(V2161)-(U2161)*(R2161))-(S2161)*((S2161)*(V2161)-(U2161)*(T2161))+(LTP3!$D$6)*((S2161)*(R2161)-(P2161)*(T2161)))/W2161,0)</f>
        <v/>
      </c>
      <c r="AA2161">
        <f>LTP3!$D$7-X2161*LTP3!$D$6-Y2161*U2161-Z2161*V2161</f>
        <v/>
      </c>
      <c r="AB2161">
        <f>IF(AND(F2161,ABS(W2161)&gt;1E-12,Y2161&gt;0,Z2161&gt;0),AA2161,1E+300)</f>
        <v/>
      </c>
    </row>
    <row r="2162">
      <c r="A2162">
        <f>$B$3+$B$5*35</f>
        <v/>
      </c>
      <c r="B2162">
        <f>$B$3+$B$5*15</f>
        <v/>
      </c>
      <c r="C2162">
        <f>SUMPRODUCT(Calc!$K$3:$K$22*(Calc!$G$3:$G$22&lt;=A2162))</f>
        <v/>
      </c>
      <c r="D2162">
        <f>SUMPRODUCT(Calc!$K$3:$K$22*(Calc!$G$3:$G$22&gt;A2162)*(Calc!$G$3:$G$22&lt;B2162))</f>
        <v/>
      </c>
      <c r="E2162">
        <f>SUMPRODUCT(Calc!$K$3:$K$22*(Calc!$G$3:$G$22&gt;=B2162))</f>
        <v/>
      </c>
      <c r="F2162">
        <f>AND(k_n&gt;=5,B2162&gt;A2162+1E-9,C2162&gt;=2,D2162&gt;=1,E2162&gt;=2)</f>
        <v/>
      </c>
      <c r="G2162">
        <f>SUMPRODUCT(Calc!$K$3:$K$22*(Calc!$G$3:$G$22&gt;A2162)*(Calc!$G$3:$G$22-A2162))</f>
        <v/>
      </c>
      <c r="H2162">
        <f>SUMPRODUCT(Calc!$K$3:$K$22*(Calc!$G$3:$G$22&gt;B2162)*(Calc!$G$3:$G$22-B2162))</f>
        <v/>
      </c>
      <c r="I2162">
        <f>SUMPRODUCT(Calc!$K$3:$K$22*(Calc!$G$3:$G$22&gt;A2162)*(Calc!$G$3:$G$22-A2162)^2)</f>
        <v/>
      </c>
      <c r="J2162">
        <f>SUMPRODUCT(Calc!$K$3:$K$22*(Calc!$G$3:$G$22&gt;B2162)*(Calc!$G$3:$G$22-B2162)^2)</f>
        <v/>
      </c>
      <c r="K2162">
        <f>SUMPRODUCT(Calc!$K$3:$K$22*(Calc!$G$3:$G$22&gt;A2162)*(Calc!$G$3:$G$22-A2162)*(Calc!$G$3:$G$22&gt;B2162)*(Calc!$G$3:$G$22-B2162))</f>
        <v/>
      </c>
      <c r="L2162">
        <f>SUMPRODUCT(Calc!$K$3:$K$22*(Calc!$G$3:$G$22&gt;A2162)*(Calc!$G$3:$G$22-A2162)*Calc!$G$3:$G$22)</f>
        <v/>
      </c>
      <c r="M2162">
        <f>SUMPRODUCT(Calc!$K$3:$K$22*(Calc!$G$3:$G$22&gt;B2162)*(Calc!$G$3:$G$22-B2162)*Calc!$G$3:$G$22)</f>
        <v/>
      </c>
      <c r="N2162">
        <f>SUMPRODUCT(Calc!$K$3:$K$22*(Calc!$G$3:$G$22&gt;A2162)*(Calc!$G$3:$G$22-A2162)*Calc!$I$3:$I$22)</f>
        <v/>
      </c>
      <c r="O2162">
        <f>SUMPRODUCT(Calc!$K$3:$K$22*(Calc!$G$3:$G$22&gt;B2162)*(Calc!$G$3:$G$22-B2162)*Calc!$I$3:$I$22)</f>
        <v/>
      </c>
      <c r="P2162">
        <f>I2162-G2162^2/k_n</f>
        <v/>
      </c>
      <c r="Q2162">
        <f>J2162-H2162^2/k_n</f>
        <v/>
      </c>
      <c r="R2162">
        <f>K2162-G2162*H2162/k_n</f>
        <v/>
      </c>
      <c r="S2162">
        <f>L2162-LTP3!$D$3*G2162/k_n</f>
        <v/>
      </c>
      <c r="T2162">
        <f>M2162-LTP3!$D$3*H2162/k_n</f>
        <v/>
      </c>
      <c r="U2162">
        <f>N2162-G2162*LTP3!$D$4/k_n</f>
        <v/>
      </c>
      <c r="V2162">
        <f>O2162-H2162*LTP3!$D$4/k_n</f>
        <v/>
      </c>
      <c r="W2162">
        <f>((LTP3!$D$5)*((P2162)*(Q2162)-(R2162)*(R2162))-(S2162)*((S2162)*(Q2162)-(R2162)*(T2162))+(T2162)*((S2162)*(R2162)-(P2162)*(T2162)))</f>
        <v/>
      </c>
      <c r="X2162">
        <f>IF(ABS(W2162)&gt;1E-12,((LTP3!$D$6)*((P2162)*(Q2162)-(R2162)*(R2162))-(S2162)*((U2162)*(Q2162)-(R2162)*(V2162))+(T2162)*((U2162)*(R2162)-(P2162)*(V2162)))/W2162,0)</f>
        <v/>
      </c>
      <c r="Y2162">
        <f>IF(ABS(W2162)&gt;1E-12,((LTP3!$D$5)*((U2162)*(Q2162)-(R2162)*(V2162))-(LTP3!$D$6)*((S2162)*(Q2162)-(R2162)*(T2162))+(T2162)*((S2162)*(V2162)-(U2162)*(T2162)))/W2162,0)</f>
        <v/>
      </c>
      <c r="Z2162">
        <f>IF(ABS(W2162)&gt;1E-12,((LTP3!$D$5)*((P2162)*(V2162)-(U2162)*(R2162))-(S2162)*((S2162)*(V2162)-(U2162)*(T2162))+(LTP3!$D$6)*((S2162)*(R2162)-(P2162)*(T2162)))/W2162,0)</f>
        <v/>
      </c>
      <c r="AA2162">
        <f>LTP3!$D$7-X2162*LTP3!$D$6-Y2162*U2162-Z2162*V2162</f>
        <v/>
      </c>
      <c r="AB2162">
        <f>IF(AND(F2162,ABS(W2162)&gt;1E-12,Y2162&gt;0,Z2162&gt;0),AA2162,1E+300)</f>
        <v/>
      </c>
    </row>
    <row r="2163">
      <c r="A2163">
        <f>$B$3+$B$5*35</f>
        <v/>
      </c>
      <c r="B2163">
        <f>$B$3+$B$5*16</f>
        <v/>
      </c>
      <c r="C2163">
        <f>SUMPRODUCT(Calc!$K$3:$K$22*(Calc!$G$3:$G$22&lt;=A2163))</f>
        <v/>
      </c>
      <c r="D2163">
        <f>SUMPRODUCT(Calc!$K$3:$K$22*(Calc!$G$3:$G$22&gt;A2163)*(Calc!$G$3:$G$22&lt;B2163))</f>
        <v/>
      </c>
      <c r="E2163">
        <f>SUMPRODUCT(Calc!$K$3:$K$22*(Calc!$G$3:$G$22&gt;=B2163))</f>
        <v/>
      </c>
      <c r="F2163">
        <f>AND(k_n&gt;=5,B2163&gt;A2163+1E-9,C2163&gt;=2,D2163&gt;=1,E2163&gt;=2)</f>
        <v/>
      </c>
      <c r="G2163">
        <f>SUMPRODUCT(Calc!$K$3:$K$22*(Calc!$G$3:$G$22&gt;A2163)*(Calc!$G$3:$G$22-A2163))</f>
        <v/>
      </c>
      <c r="H2163">
        <f>SUMPRODUCT(Calc!$K$3:$K$22*(Calc!$G$3:$G$22&gt;B2163)*(Calc!$G$3:$G$22-B2163))</f>
        <v/>
      </c>
      <c r="I2163">
        <f>SUMPRODUCT(Calc!$K$3:$K$22*(Calc!$G$3:$G$22&gt;A2163)*(Calc!$G$3:$G$22-A2163)^2)</f>
        <v/>
      </c>
      <c r="J2163">
        <f>SUMPRODUCT(Calc!$K$3:$K$22*(Calc!$G$3:$G$22&gt;B2163)*(Calc!$G$3:$G$22-B2163)^2)</f>
        <v/>
      </c>
      <c r="K2163">
        <f>SUMPRODUCT(Calc!$K$3:$K$22*(Calc!$G$3:$G$22&gt;A2163)*(Calc!$G$3:$G$22-A2163)*(Calc!$G$3:$G$22&gt;B2163)*(Calc!$G$3:$G$22-B2163))</f>
        <v/>
      </c>
      <c r="L2163">
        <f>SUMPRODUCT(Calc!$K$3:$K$22*(Calc!$G$3:$G$22&gt;A2163)*(Calc!$G$3:$G$22-A2163)*Calc!$G$3:$G$22)</f>
        <v/>
      </c>
      <c r="M2163">
        <f>SUMPRODUCT(Calc!$K$3:$K$22*(Calc!$G$3:$G$22&gt;B2163)*(Calc!$G$3:$G$22-B2163)*Calc!$G$3:$G$22)</f>
        <v/>
      </c>
      <c r="N2163">
        <f>SUMPRODUCT(Calc!$K$3:$K$22*(Calc!$G$3:$G$22&gt;A2163)*(Calc!$G$3:$G$22-A2163)*Calc!$I$3:$I$22)</f>
        <v/>
      </c>
      <c r="O2163">
        <f>SUMPRODUCT(Calc!$K$3:$K$22*(Calc!$G$3:$G$22&gt;B2163)*(Calc!$G$3:$G$22-B2163)*Calc!$I$3:$I$22)</f>
        <v/>
      </c>
      <c r="P2163">
        <f>I2163-G2163^2/k_n</f>
        <v/>
      </c>
      <c r="Q2163">
        <f>J2163-H2163^2/k_n</f>
        <v/>
      </c>
      <c r="R2163">
        <f>K2163-G2163*H2163/k_n</f>
        <v/>
      </c>
      <c r="S2163">
        <f>L2163-LTP3!$D$3*G2163/k_n</f>
        <v/>
      </c>
      <c r="T2163">
        <f>M2163-LTP3!$D$3*H2163/k_n</f>
        <v/>
      </c>
      <c r="U2163">
        <f>N2163-G2163*LTP3!$D$4/k_n</f>
        <v/>
      </c>
      <c r="V2163">
        <f>O2163-H2163*LTP3!$D$4/k_n</f>
        <v/>
      </c>
      <c r="W2163">
        <f>((LTP3!$D$5)*((P2163)*(Q2163)-(R2163)*(R2163))-(S2163)*((S2163)*(Q2163)-(R2163)*(T2163))+(T2163)*((S2163)*(R2163)-(P2163)*(T2163)))</f>
        <v/>
      </c>
      <c r="X2163">
        <f>IF(ABS(W2163)&gt;1E-12,((LTP3!$D$6)*((P2163)*(Q2163)-(R2163)*(R2163))-(S2163)*((U2163)*(Q2163)-(R2163)*(V2163))+(T2163)*((U2163)*(R2163)-(P2163)*(V2163)))/W2163,0)</f>
        <v/>
      </c>
      <c r="Y2163">
        <f>IF(ABS(W2163)&gt;1E-12,((LTP3!$D$5)*((U2163)*(Q2163)-(R2163)*(V2163))-(LTP3!$D$6)*((S2163)*(Q2163)-(R2163)*(T2163))+(T2163)*((S2163)*(V2163)-(U2163)*(T2163)))/W2163,0)</f>
        <v/>
      </c>
      <c r="Z2163">
        <f>IF(ABS(W2163)&gt;1E-12,((LTP3!$D$5)*((P2163)*(V2163)-(U2163)*(R2163))-(S2163)*((S2163)*(V2163)-(U2163)*(T2163))+(LTP3!$D$6)*((S2163)*(R2163)-(P2163)*(T2163)))/W2163,0)</f>
        <v/>
      </c>
      <c r="AA2163">
        <f>LTP3!$D$7-X2163*LTP3!$D$6-Y2163*U2163-Z2163*V2163</f>
        <v/>
      </c>
      <c r="AB2163">
        <f>IF(AND(F2163,ABS(W2163)&gt;1E-12,Y2163&gt;0,Z2163&gt;0),AA2163,1E+300)</f>
        <v/>
      </c>
    </row>
    <row r="2164">
      <c r="A2164">
        <f>$B$3+$B$5*35</f>
        <v/>
      </c>
      <c r="B2164">
        <f>$B$3+$B$5*17</f>
        <v/>
      </c>
      <c r="C2164">
        <f>SUMPRODUCT(Calc!$K$3:$K$22*(Calc!$G$3:$G$22&lt;=A2164))</f>
        <v/>
      </c>
      <c r="D2164">
        <f>SUMPRODUCT(Calc!$K$3:$K$22*(Calc!$G$3:$G$22&gt;A2164)*(Calc!$G$3:$G$22&lt;B2164))</f>
        <v/>
      </c>
      <c r="E2164">
        <f>SUMPRODUCT(Calc!$K$3:$K$22*(Calc!$G$3:$G$22&gt;=B2164))</f>
        <v/>
      </c>
      <c r="F2164">
        <f>AND(k_n&gt;=5,B2164&gt;A2164+1E-9,C2164&gt;=2,D2164&gt;=1,E2164&gt;=2)</f>
        <v/>
      </c>
      <c r="G2164">
        <f>SUMPRODUCT(Calc!$K$3:$K$22*(Calc!$G$3:$G$22&gt;A2164)*(Calc!$G$3:$G$22-A2164))</f>
        <v/>
      </c>
      <c r="H2164">
        <f>SUMPRODUCT(Calc!$K$3:$K$22*(Calc!$G$3:$G$22&gt;B2164)*(Calc!$G$3:$G$22-B2164))</f>
        <v/>
      </c>
      <c r="I2164">
        <f>SUMPRODUCT(Calc!$K$3:$K$22*(Calc!$G$3:$G$22&gt;A2164)*(Calc!$G$3:$G$22-A2164)^2)</f>
        <v/>
      </c>
      <c r="J2164">
        <f>SUMPRODUCT(Calc!$K$3:$K$22*(Calc!$G$3:$G$22&gt;B2164)*(Calc!$G$3:$G$22-B2164)^2)</f>
        <v/>
      </c>
      <c r="K2164">
        <f>SUMPRODUCT(Calc!$K$3:$K$22*(Calc!$G$3:$G$22&gt;A2164)*(Calc!$G$3:$G$22-A2164)*(Calc!$G$3:$G$22&gt;B2164)*(Calc!$G$3:$G$22-B2164))</f>
        <v/>
      </c>
      <c r="L2164">
        <f>SUMPRODUCT(Calc!$K$3:$K$22*(Calc!$G$3:$G$22&gt;A2164)*(Calc!$G$3:$G$22-A2164)*Calc!$G$3:$G$22)</f>
        <v/>
      </c>
      <c r="M2164">
        <f>SUMPRODUCT(Calc!$K$3:$K$22*(Calc!$G$3:$G$22&gt;B2164)*(Calc!$G$3:$G$22-B2164)*Calc!$G$3:$G$22)</f>
        <v/>
      </c>
      <c r="N2164">
        <f>SUMPRODUCT(Calc!$K$3:$K$22*(Calc!$G$3:$G$22&gt;A2164)*(Calc!$G$3:$G$22-A2164)*Calc!$I$3:$I$22)</f>
        <v/>
      </c>
      <c r="O2164">
        <f>SUMPRODUCT(Calc!$K$3:$K$22*(Calc!$G$3:$G$22&gt;B2164)*(Calc!$G$3:$G$22-B2164)*Calc!$I$3:$I$22)</f>
        <v/>
      </c>
      <c r="P2164">
        <f>I2164-G2164^2/k_n</f>
        <v/>
      </c>
      <c r="Q2164">
        <f>J2164-H2164^2/k_n</f>
        <v/>
      </c>
      <c r="R2164">
        <f>K2164-G2164*H2164/k_n</f>
        <v/>
      </c>
      <c r="S2164">
        <f>L2164-LTP3!$D$3*G2164/k_n</f>
        <v/>
      </c>
      <c r="T2164">
        <f>M2164-LTP3!$D$3*H2164/k_n</f>
        <v/>
      </c>
      <c r="U2164">
        <f>N2164-G2164*LTP3!$D$4/k_n</f>
        <v/>
      </c>
      <c r="V2164">
        <f>O2164-H2164*LTP3!$D$4/k_n</f>
        <v/>
      </c>
      <c r="W2164">
        <f>((LTP3!$D$5)*((P2164)*(Q2164)-(R2164)*(R2164))-(S2164)*((S2164)*(Q2164)-(R2164)*(T2164))+(T2164)*((S2164)*(R2164)-(P2164)*(T2164)))</f>
        <v/>
      </c>
      <c r="X2164">
        <f>IF(ABS(W2164)&gt;1E-12,((LTP3!$D$6)*((P2164)*(Q2164)-(R2164)*(R2164))-(S2164)*((U2164)*(Q2164)-(R2164)*(V2164))+(T2164)*((U2164)*(R2164)-(P2164)*(V2164)))/W2164,0)</f>
        <v/>
      </c>
      <c r="Y2164">
        <f>IF(ABS(W2164)&gt;1E-12,((LTP3!$D$5)*((U2164)*(Q2164)-(R2164)*(V2164))-(LTP3!$D$6)*((S2164)*(Q2164)-(R2164)*(T2164))+(T2164)*((S2164)*(V2164)-(U2164)*(T2164)))/W2164,0)</f>
        <v/>
      </c>
      <c r="Z2164">
        <f>IF(ABS(W2164)&gt;1E-12,((LTP3!$D$5)*((P2164)*(V2164)-(U2164)*(R2164))-(S2164)*((S2164)*(V2164)-(U2164)*(T2164))+(LTP3!$D$6)*((S2164)*(R2164)-(P2164)*(T2164)))/W2164,0)</f>
        <v/>
      </c>
      <c r="AA2164">
        <f>LTP3!$D$7-X2164*LTP3!$D$6-Y2164*U2164-Z2164*V2164</f>
        <v/>
      </c>
      <c r="AB2164">
        <f>IF(AND(F2164,ABS(W2164)&gt;1E-12,Y2164&gt;0,Z2164&gt;0),AA2164,1E+300)</f>
        <v/>
      </c>
    </row>
    <row r="2165">
      <c r="A2165">
        <f>$B$3+$B$5*35</f>
        <v/>
      </c>
      <c r="B2165">
        <f>$B$3+$B$5*18</f>
        <v/>
      </c>
      <c r="C2165">
        <f>SUMPRODUCT(Calc!$K$3:$K$22*(Calc!$G$3:$G$22&lt;=A2165))</f>
        <v/>
      </c>
      <c r="D2165">
        <f>SUMPRODUCT(Calc!$K$3:$K$22*(Calc!$G$3:$G$22&gt;A2165)*(Calc!$G$3:$G$22&lt;B2165))</f>
        <v/>
      </c>
      <c r="E2165">
        <f>SUMPRODUCT(Calc!$K$3:$K$22*(Calc!$G$3:$G$22&gt;=B2165))</f>
        <v/>
      </c>
      <c r="F2165">
        <f>AND(k_n&gt;=5,B2165&gt;A2165+1E-9,C2165&gt;=2,D2165&gt;=1,E2165&gt;=2)</f>
        <v/>
      </c>
      <c r="G2165">
        <f>SUMPRODUCT(Calc!$K$3:$K$22*(Calc!$G$3:$G$22&gt;A2165)*(Calc!$G$3:$G$22-A2165))</f>
        <v/>
      </c>
      <c r="H2165">
        <f>SUMPRODUCT(Calc!$K$3:$K$22*(Calc!$G$3:$G$22&gt;B2165)*(Calc!$G$3:$G$22-B2165))</f>
        <v/>
      </c>
      <c r="I2165">
        <f>SUMPRODUCT(Calc!$K$3:$K$22*(Calc!$G$3:$G$22&gt;A2165)*(Calc!$G$3:$G$22-A2165)^2)</f>
        <v/>
      </c>
      <c r="J2165">
        <f>SUMPRODUCT(Calc!$K$3:$K$22*(Calc!$G$3:$G$22&gt;B2165)*(Calc!$G$3:$G$22-B2165)^2)</f>
        <v/>
      </c>
      <c r="K2165">
        <f>SUMPRODUCT(Calc!$K$3:$K$22*(Calc!$G$3:$G$22&gt;A2165)*(Calc!$G$3:$G$22-A2165)*(Calc!$G$3:$G$22&gt;B2165)*(Calc!$G$3:$G$22-B2165))</f>
        <v/>
      </c>
      <c r="L2165">
        <f>SUMPRODUCT(Calc!$K$3:$K$22*(Calc!$G$3:$G$22&gt;A2165)*(Calc!$G$3:$G$22-A2165)*Calc!$G$3:$G$22)</f>
        <v/>
      </c>
      <c r="M2165">
        <f>SUMPRODUCT(Calc!$K$3:$K$22*(Calc!$G$3:$G$22&gt;B2165)*(Calc!$G$3:$G$22-B2165)*Calc!$G$3:$G$22)</f>
        <v/>
      </c>
      <c r="N2165">
        <f>SUMPRODUCT(Calc!$K$3:$K$22*(Calc!$G$3:$G$22&gt;A2165)*(Calc!$G$3:$G$22-A2165)*Calc!$I$3:$I$22)</f>
        <v/>
      </c>
      <c r="O2165">
        <f>SUMPRODUCT(Calc!$K$3:$K$22*(Calc!$G$3:$G$22&gt;B2165)*(Calc!$G$3:$G$22-B2165)*Calc!$I$3:$I$22)</f>
        <v/>
      </c>
      <c r="P2165">
        <f>I2165-G2165^2/k_n</f>
        <v/>
      </c>
      <c r="Q2165">
        <f>J2165-H2165^2/k_n</f>
        <v/>
      </c>
      <c r="R2165">
        <f>K2165-G2165*H2165/k_n</f>
        <v/>
      </c>
      <c r="S2165">
        <f>L2165-LTP3!$D$3*G2165/k_n</f>
        <v/>
      </c>
      <c r="T2165">
        <f>M2165-LTP3!$D$3*H2165/k_n</f>
        <v/>
      </c>
      <c r="U2165">
        <f>N2165-G2165*LTP3!$D$4/k_n</f>
        <v/>
      </c>
      <c r="V2165">
        <f>O2165-H2165*LTP3!$D$4/k_n</f>
        <v/>
      </c>
      <c r="W2165">
        <f>((LTP3!$D$5)*((P2165)*(Q2165)-(R2165)*(R2165))-(S2165)*((S2165)*(Q2165)-(R2165)*(T2165))+(T2165)*((S2165)*(R2165)-(P2165)*(T2165)))</f>
        <v/>
      </c>
      <c r="X2165">
        <f>IF(ABS(W2165)&gt;1E-12,((LTP3!$D$6)*((P2165)*(Q2165)-(R2165)*(R2165))-(S2165)*((U2165)*(Q2165)-(R2165)*(V2165))+(T2165)*((U2165)*(R2165)-(P2165)*(V2165)))/W2165,0)</f>
        <v/>
      </c>
      <c r="Y2165">
        <f>IF(ABS(W2165)&gt;1E-12,((LTP3!$D$5)*((U2165)*(Q2165)-(R2165)*(V2165))-(LTP3!$D$6)*((S2165)*(Q2165)-(R2165)*(T2165))+(T2165)*((S2165)*(V2165)-(U2165)*(T2165)))/W2165,0)</f>
        <v/>
      </c>
      <c r="Z2165">
        <f>IF(ABS(W2165)&gt;1E-12,((LTP3!$D$5)*((P2165)*(V2165)-(U2165)*(R2165))-(S2165)*((S2165)*(V2165)-(U2165)*(T2165))+(LTP3!$D$6)*((S2165)*(R2165)-(P2165)*(T2165)))/W2165,0)</f>
        <v/>
      </c>
      <c r="AA2165">
        <f>LTP3!$D$7-X2165*LTP3!$D$6-Y2165*U2165-Z2165*V2165</f>
        <v/>
      </c>
      <c r="AB2165">
        <f>IF(AND(F2165,ABS(W2165)&gt;1E-12,Y2165&gt;0,Z2165&gt;0),AA2165,1E+300)</f>
        <v/>
      </c>
    </row>
    <row r="2166">
      <c r="A2166">
        <f>$B$3+$B$5*35</f>
        <v/>
      </c>
      <c r="B2166">
        <f>$B$3+$B$5*19</f>
        <v/>
      </c>
      <c r="C2166">
        <f>SUMPRODUCT(Calc!$K$3:$K$22*(Calc!$G$3:$G$22&lt;=A2166))</f>
        <v/>
      </c>
      <c r="D2166">
        <f>SUMPRODUCT(Calc!$K$3:$K$22*(Calc!$G$3:$G$22&gt;A2166)*(Calc!$G$3:$G$22&lt;B2166))</f>
        <v/>
      </c>
      <c r="E2166">
        <f>SUMPRODUCT(Calc!$K$3:$K$22*(Calc!$G$3:$G$22&gt;=B2166))</f>
        <v/>
      </c>
      <c r="F2166">
        <f>AND(k_n&gt;=5,B2166&gt;A2166+1E-9,C2166&gt;=2,D2166&gt;=1,E2166&gt;=2)</f>
        <v/>
      </c>
      <c r="G2166">
        <f>SUMPRODUCT(Calc!$K$3:$K$22*(Calc!$G$3:$G$22&gt;A2166)*(Calc!$G$3:$G$22-A2166))</f>
        <v/>
      </c>
      <c r="H2166">
        <f>SUMPRODUCT(Calc!$K$3:$K$22*(Calc!$G$3:$G$22&gt;B2166)*(Calc!$G$3:$G$22-B2166))</f>
        <v/>
      </c>
      <c r="I2166">
        <f>SUMPRODUCT(Calc!$K$3:$K$22*(Calc!$G$3:$G$22&gt;A2166)*(Calc!$G$3:$G$22-A2166)^2)</f>
        <v/>
      </c>
      <c r="J2166">
        <f>SUMPRODUCT(Calc!$K$3:$K$22*(Calc!$G$3:$G$22&gt;B2166)*(Calc!$G$3:$G$22-B2166)^2)</f>
        <v/>
      </c>
      <c r="K2166">
        <f>SUMPRODUCT(Calc!$K$3:$K$22*(Calc!$G$3:$G$22&gt;A2166)*(Calc!$G$3:$G$22-A2166)*(Calc!$G$3:$G$22&gt;B2166)*(Calc!$G$3:$G$22-B2166))</f>
        <v/>
      </c>
      <c r="L2166">
        <f>SUMPRODUCT(Calc!$K$3:$K$22*(Calc!$G$3:$G$22&gt;A2166)*(Calc!$G$3:$G$22-A2166)*Calc!$G$3:$G$22)</f>
        <v/>
      </c>
      <c r="M2166">
        <f>SUMPRODUCT(Calc!$K$3:$K$22*(Calc!$G$3:$G$22&gt;B2166)*(Calc!$G$3:$G$22-B2166)*Calc!$G$3:$G$22)</f>
        <v/>
      </c>
      <c r="N2166">
        <f>SUMPRODUCT(Calc!$K$3:$K$22*(Calc!$G$3:$G$22&gt;A2166)*(Calc!$G$3:$G$22-A2166)*Calc!$I$3:$I$22)</f>
        <v/>
      </c>
      <c r="O2166">
        <f>SUMPRODUCT(Calc!$K$3:$K$22*(Calc!$G$3:$G$22&gt;B2166)*(Calc!$G$3:$G$22-B2166)*Calc!$I$3:$I$22)</f>
        <v/>
      </c>
      <c r="P2166">
        <f>I2166-G2166^2/k_n</f>
        <v/>
      </c>
      <c r="Q2166">
        <f>J2166-H2166^2/k_n</f>
        <v/>
      </c>
      <c r="R2166">
        <f>K2166-G2166*H2166/k_n</f>
        <v/>
      </c>
      <c r="S2166">
        <f>L2166-LTP3!$D$3*G2166/k_n</f>
        <v/>
      </c>
      <c r="T2166">
        <f>M2166-LTP3!$D$3*H2166/k_n</f>
        <v/>
      </c>
      <c r="U2166">
        <f>N2166-G2166*LTP3!$D$4/k_n</f>
        <v/>
      </c>
      <c r="V2166">
        <f>O2166-H2166*LTP3!$D$4/k_n</f>
        <v/>
      </c>
      <c r="W2166">
        <f>((LTP3!$D$5)*((P2166)*(Q2166)-(R2166)*(R2166))-(S2166)*((S2166)*(Q2166)-(R2166)*(T2166))+(T2166)*((S2166)*(R2166)-(P2166)*(T2166)))</f>
        <v/>
      </c>
      <c r="X2166">
        <f>IF(ABS(W2166)&gt;1E-12,((LTP3!$D$6)*((P2166)*(Q2166)-(R2166)*(R2166))-(S2166)*((U2166)*(Q2166)-(R2166)*(V2166))+(T2166)*((U2166)*(R2166)-(P2166)*(V2166)))/W2166,0)</f>
        <v/>
      </c>
      <c r="Y2166">
        <f>IF(ABS(W2166)&gt;1E-12,((LTP3!$D$5)*((U2166)*(Q2166)-(R2166)*(V2166))-(LTP3!$D$6)*((S2166)*(Q2166)-(R2166)*(T2166))+(T2166)*((S2166)*(V2166)-(U2166)*(T2166)))/W2166,0)</f>
        <v/>
      </c>
      <c r="Z2166">
        <f>IF(ABS(W2166)&gt;1E-12,((LTP3!$D$5)*((P2166)*(V2166)-(U2166)*(R2166))-(S2166)*((S2166)*(V2166)-(U2166)*(T2166))+(LTP3!$D$6)*((S2166)*(R2166)-(P2166)*(T2166)))/W2166,0)</f>
        <v/>
      </c>
      <c r="AA2166">
        <f>LTP3!$D$7-X2166*LTP3!$D$6-Y2166*U2166-Z2166*V2166</f>
        <v/>
      </c>
      <c r="AB2166">
        <f>IF(AND(F2166,ABS(W2166)&gt;1E-12,Y2166&gt;0,Z2166&gt;0),AA2166,1E+300)</f>
        <v/>
      </c>
    </row>
    <row r="2167">
      <c r="A2167">
        <f>$B$3+$B$5*35</f>
        <v/>
      </c>
      <c r="B2167">
        <f>$B$3+$B$5*20</f>
        <v/>
      </c>
      <c r="C2167">
        <f>SUMPRODUCT(Calc!$K$3:$K$22*(Calc!$G$3:$G$22&lt;=A2167))</f>
        <v/>
      </c>
      <c r="D2167">
        <f>SUMPRODUCT(Calc!$K$3:$K$22*(Calc!$G$3:$G$22&gt;A2167)*(Calc!$G$3:$G$22&lt;B2167))</f>
        <v/>
      </c>
      <c r="E2167">
        <f>SUMPRODUCT(Calc!$K$3:$K$22*(Calc!$G$3:$G$22&gt;=B2167))</f>
        <v/>
      </c>
      <c r="F2167">
        <f>AND(k_n&gt;=5,B2167&gt;A2167+1E-9,C2167&gt;=2,D2167&gt;=1,E2167&gt;=2)</f>
        <v/>
      </c>
      <c r="G2167">
        <f>SUMPRODUCT(Calc!$K$3:$K$22*(Calc!$G$3:$G$22&gt;A2167)*(Calc!$G$3:$G$22-A2167))</f>
        <v/>
      </c>
      <c r="H2167">
        <f>SUMPRODUCT(Calc!$K$3:$K$22*(Calc!$G$3:$G$22&gt;B2167)*(Calc!$G$3:$G$22-B2167))</f>
        <v/>
      </c>
      <c r="I2167">
        <f>SUMPRODUCT(Calc!$K$3:$K$22*(Calc!$G$3:$G$22&gt;A2167)*(Calc!$G$3:$G$22-A2167)^2)</f>
        <v/>
      </c>
      <c r="J2167">
        <f>SUMPRODUCT(Calc!$K$3:$K$22*(Calc!$G$3:$G$22&gt;B2167)*(Calc!$G$3:$G$22-B2167)^2)</f>
        <v/>
      </c>
      <c r="K2167">
        <f>SUMPRODUCT(Calc!$K$3:$K$22*(Calc!$G$3:$G$22&gt;A2167)*(Calc!$G$3:$G$22-A2167)*(Calc!$G$3:$G$22&gt;B2167)*(Calc!$G$3:$G$22-B2167))</f>
        <v/>
      </c>
      <c r="L2167">
        <f>SUMPRODUCT(Calc!$K$3:$K$22*(Calc!$G$3:$G$22&gt;A2167)*(Calc!$G$3:$G$22-A2167)*Calc!$G$3:$G$22)</f>
        <v/>
      </c>
      <c r="M2167">
        <f>SUMPRODUCT(Calc!$K$3:$K$22*(Calc!$G$3:$G$22&gt;B2167)*(Calc!$G$3:$G$22-B2167)*Calc!$G$3:$G$22)</f>
        <v/>
      </c>
      <c r="N2167">
        <f>SUMPRODUCT(Calc!$K$3:$K$22*(Calc!$G$3:$G$22&gt;A2167)*(Calc!$G$3:$G$22-A2167)*Calc!$I$3:$I$22)</f>
        <v/>
      </c>
      <c r="O2167">
        <f>SUMPRODUCT(Calc!$K$3:$K$22*(Calc!$G$3:$G$22&gt;B2167)*(Calc!$G$3:$G$22-B2167)*Calc!$I$3:$I$22)</f>
        <v/>
      </c>
      <c r="P2167">
        <f>I2167-G2167^2/k_n</f>
        <v/>
      </c>
      <c r="Q2167">
        <f>J2167-H2167^2/k_n</f>
        <v/>
      </c>
      <c r="R2167">
        <f>K2167-G2167*H2167/k_n</f>
        <v/>
      </c>
      <c r="S2167">
        <f>L2167-LTP3!$D$3*G2167/k_n</f>
        <v/>
      </c>
      <c r="T2167">
        <f>M2167-LTP3!$D$3*H2167/k_n</f>
        <v/>
      </c>
      <c r="U2167">
        <f>N2167-G2167*LTP3!$D$4/k_n</f>
        <v/>
      </c>
      <c r="V2167">
        <f>O2167-H2167*LTP3!$D$4/k_n</f>
        <v/>
      </c>
      <c r="W2167">
        <f>((LTP3!$D$5)*((P2167)*(Q2167)-(R2167)*(R2167))-(S2167)*((S2167)*(Q2167)-(R2167)*(T2167))+(T2167)*((S2167)*(R2167)-(P2167)*(T2167)))</f>
        <v/>
      </c>
      <c r="X2167">
        <f>IF(ABS(W2167)&gt;1E-12,((LTP3!$D$6)*((P2167)*(Q2167)-(R2167)*(R2167))-(S2167)*((U2167)*(Q2167)-(R2167)*(V2167))+(T2167)*((U2167)*(R2167)-(P2167)*(V2167)))/W2167,0)</f>
        <v/>
      </c>
      <c r="Y2167">
        <f>IF(ABS(W2167)&gt;1E-12,((LTP3!$D$5)*((U2167)*(Q2167)-(R2167)*(V2167))-(LTP3!$D$6)*((S2167)*(Q2167)-(R2167)*(T2167))+(T2167)*((S2167)*(V2167)-(U2167)*(T2167)))/W2167,0)</f>
        <v/>
      </c>
      <c r="Z2167">
        <f>IF(ABS(W2167)&gt;1E-12,((LTP3!$D$5)*((P2167)*(V2167)-(U2167)*(R2167))-(S2167)*((S2167)*(V2167)-(U2167)*(T2167))+(LTP3!$D$6)*((S2167)*(R2167)-(P2167)*(T2167)))/W2167,0)</f>
        <v/>
      </c>
      <c r="AA2167">
        <f>LTP3!$D$7-X2167*LTP3!$D$6-Y2167*U2167-Z2167*V2167</f>
        <v/>
      </c>
      <c r="AB2167">
        <f>IF(AND(F2167,ABS(W2167)&gt;1E-12,Y2167&gt;0,Z2167&gt;0),AA2167,1E+300)</f>
        <v/>
      </c>
    </row>
    <row r="2168">
      <c r="A2168">
        <f>$B$3+$B$5*35</f>
        <v/>
      </c>
      <c r="B2168">
        <f>$B$3+$B$5*21</f>
        <v/>
      </c>
      <c r="C2168">
        <f>SUMPRODUCT(Calc!$K$3:$K$22*(Calc!$G$3:$G$22&lt;=A2168))</f>
        <v/>
      </c>
      <c r="D2168">
        <f>SUMPRODUCT(Calc!$K$3:$K$22*(Calc!$G$3:$G$22&gt;A2168)*(Calc!$G$3:$G$22&lt;B2168))</f>
        <v/>
      </c>
      <c r="E2168">
        <f>SUMPRODUCT(Calc!$K$3:$K$22*(Calc!$G$3:$G$22&gt;=B2168))</f>
        <v/>
      </c>
      <c r="F2168">
        <f>AND(k_n&gt;=5,B2168&gt;A2168+1E-9,C2168&gt;=2,D2168&gt;=1,E2168&gt;=2)</f>
        <v/>
      </c>
      <c r="G2168">
        <f>SUMPRODUCT(Calc!$K$3:$K$22*(Calc!$G$3:$G$22&gt;A2168)*(Calc!$G$3:$G$22-A2168))</f>
        <v/>
      </c>
      <c r="H2168">
        <f>SUMPRODUCT(Calc!$K$3:$K$22*(Calc!$G$3:$G$22&gt;B2168)*(Calc!$G$3:$G$22-B2168))</f>
        <v/>
      </c>
      <c r="I2168">
        <f>SUMPRODUCT(Calc!$K$3:$K$22*(Calc!$G$3:$G$22&gt;A2168)*(Calc!$G$3:$G$22-A2168)^2)</f>
        <v/>
      </c>
      <c r="J2168">
        <f>SUMPRODUCT(Calc!$K$3:$K$22*(Calc!$G$3:$G$22&gt;B2168)*(Calc!$G$3:$G$22-B2168)^2)</f>
        <v/>
      </c>
      <c r="K2168">
        <f>SUMPRODUCT(Calc!$K$3:$K$22*(Calc!$G$3:$G$22&gt;A2168)*(Calc!$G$3:$G$22-A2168)*(Calc!$G$3:$G$22&gt;B2168)*(Calc!$G$3:$G$22-B2168))</f>
        <v/>
      </c>
      <c r="L2168">
        <f>SUMPRODUCT(Calc!$K$3:$K$22*(Calc!$G$3:$G$22&gt;A2168)*(Calc!$G$3:$G$22-A2168)*Calc!$G$3:$G$22)</f>
        <v/>
      </c>
      <c r="M2168">
        <f>SUMPRODUCT(Calc!$K$3:$K$22*(Calc!$G$3:$G$22&gt;B2168)*(Calc!$G$3:$G$22-B2168)*Calc!$G$3:$G$22)</f>
        <v/>
      </c>
      <c r="N2168">
        <f>SUMPRODUCT(Calc!$K$3:$K$22*(Calc!$G$3:$G$22&gt;A2168)*(Calc!$G$3:$G$22-A2168)*Calc!$I$3:$I$22)</f>
        <v/>
      </c>
      <c r="O2168">
        <f>SUMPRODUCT(Calc!$K$3:$K$22*(Calc!$G$3:$G$22&gt;B2168)*(Calc!$G$3:$G$22-B2168)*Calc!$I$3:$I$22)</f>
        <v/>
      </c>
      <c r="P2168">
        <f>I2168-G2168^2/k_n</f>
        <v/>
      </c>
      <c r="Q2168">
        <f>J2168-H2168^2/k_n</f>
        <v/>
      </c>
      <c r="R2168">
        <f>K2168-G2168*H2168/k_n</f>
        <v/>
      </c>
      <c r="S2168">
        <f>L2168-LTP3!$D$3*G2168/k_n</f>
        <v/>
      </c>
      <c r="T2168">
        <f>M2168-LTP3!$D$3*H2168/k_n</f>
        <v/>
      </c>
      <c r="U2168">
        <f>N2168-G2168*LTP3!$D$4/k_n</f>
        <v/>
      </c>
      <c r="V2168">
        <f>O2168-H2168*LTP3!$D$4/k_n</f>
        <v/>
      </c>
      <c r="W2168">
        <f>((LTP3!$D$5)*((P2168)*(Q2168)-(R2168)*(R2168))-(S2168)*((S2168)*(Q2168)-(R2168)*(T2168))+(T2168)*((S2168)*(R2168)-(P2168)*(T2168)))</f>
        <v/>
      </c>
      <c r="X2168">
        <f>IF(ABS(W2168)&gt;1E-12,((LTP3!$D$6)*((P2168)*(Q2168)-(R2168)*(R2168))-(S2168)*((U2168)*(Q2168)-(R2168)*(V2168))+(T2168)*((U2168)*(R2168)-(P2168)*(V2168)))/W2168,0)</f>
        <v/>
      </c>
      <c r="Y2168">
        <f>IF(ABS(W2168)&gt;1E-12,((LTP3!$D$5)*((U2168)*(Q2168)-(R2168)*(V2168))-(LTP3!$D$6)*((S2168)*(Q2168)-(R2168)*(T2168))+(T2168)*((S2168)*(V2168)-(U2168)*(T2168)))/W2168,0)</f>
        <v/>
      </c>
      <c r="Z2168">
        <f>IF(ABS(W2168)&gt;1E-12,((LTP3!$D$5)*((P2168)*(V2168)-(U2168)*(R2168))-(S2168)*((S2168)*(V2168)-(U2168)*(T2168))+(LTP3!$D$6)*((S2168)*(R2168)-(P2168)*(T2168)))/W2168,0)</f>
        <v/>
      </c>
      <c r="AA2168">
        <f>LTP3!$D$7-X2168*LTP3!$D$6-Y2168*U2168-Z2168*V2168</f>
        <v/>
      </c>
      <c r="AB2168">
        <f>IF(AND(F2168,ABS(W2168)&gt;1E-12,Y2168&gt;0,Z2168&gt;0),AA2168,1E+300)</f>
        <v/>
      </c>
    </row>
    <row r="2169">
      <c r="A2169">
        <f>$B$3+$B$5*35</f>
        <v/>
      </c>
      <c r="B2169">
        <f>$B$3+$B$5*22</f>
        <v/>
      </c>
      <c r="C2169">
        <f>SUMPRODUCT(Calc!$K$3:$K$22*(Calc!$G$3:$G$22&lt;=A2169))</f>
        <v/>
      </c>
      <c r="D2169">
        <f>SUMPRODUCT(Calc!$K$3:$K$22*(Calc!$G$3:$G$22&gt;A2169)*(Calc!$G$3:$G$22&lt;B2169))</f>
        <v/>
      </c>
      <c r="E2169">
        <f>SUMPRODUCT(Calc!$K$3:$K$22*(Calc!$G$3:$G$22&gt;=B2169))</f>
        <v/>
      </c>
      <c r="F2169">
        <f>AND(k_n&gt;=5,B2169&gt;A2169+1E-9,C2169&gt;=2,D2169&gt;=1,E2169&gt;=2)</f>
        <v/>
      </c>
      <c r="G2169">
        <f>SUMPRODUCT(Calc!$K$3:$K$22*(Calc!$G$3:$G$22&gt;A2169)*(Calc!$G$3:$G$22-A2169))</f>
        <v/>
      </c>
      <c r="H2169">
        <f>SUMPRODUCT(Calc!$K$3:$K$22*(Calc!$G$3:$G$22&gt;B2169)*(Calc!$G$3:$G$22-B2169))</f>
        <v/>
      </c>
      <c r="I2169">
        <f>SUMPRODUCT(Calc!$K$3:$K$22*(Calc!$G$3:$G$22&gt;A2169)*(Calc!$G$3:$G$22-A2169)^2)</f>
        <v/>
      </c>
      <c r="J2169">
        <f>SUMPRODUCT(Calc!$K$3:$K$22*(Calc!$G$3:$G$22&gt;B2169)*(Calc!$G$3:$G$22-B2169)^2)</f>
        <v/>
      </c>
      <c r="K2169">
        <f>SUMPRODUCT(Calc!$K$3:$K$22*(Calc!$G$3:$G$22&gt;A2169)*(Calc!$G$3:$G$22-A2169)*(Calc!$G$3:$G$22&gt;B2169)*(Calc!$G$3:$G$22-B2169))</f>
        <v/>
      </c>
      <c r="L2169">
        <f>SUMPRODUCT(Calc!$K$3:$K$22*(Calc!$G$3:$G$22&gt;A2169)*(Calc!$G$3:$G$22-A2169)*Calc!$G$3:$G$22)</f>
        <v/>
      </c>
      <c r="M2169">
        <f>SUMPRODUCT(Calc!$K$3:$K$22*(Calc!$G$3:$G$22&gt;B2169)*(Calc!$G$3:$G$22-B2169)*Calc!$G$3:$G$22)</f>
        <v/>
      </c>
      <c r="N2169">
        <f>SUMPRODUCT(Calc!$K$3:$K$22*(Calc!$G$3:$G$22&gt;A2169)*(Calc!$G$3:$G$22-A2169)*Calc!$I$3:$I$22)</f>
        <v/>
      </c>
      <c r="O2169">
        <f>SUMPRODUCT(Calc!$K$3:$K$22*(Calc!$G$3:$G$22&gt;B2169)*(Calc!$G$3:$G$22-B2169)*Calc!$I$3:$I$22)</f>
        <v/>
      </c>
      <c r="P2169">
        <f>I2169-G2169^2/k_n</f>
        <v/>
      </c>
      <c r="Q2169">
        <f>J2169-H2169^2/k_n</f>
        <v/>
      </c>
      <c r="R2169">
        <f>K2169-G2169*H2169/k_n</f>
        <v/>
      </c>
      <c r="S2169">
        <f>L2169-LTP3!$D$3*G2169/k_n</f>
        <v/>
      </c>
      <c r="T2169">
        <f>M2169-LTP3!$D$3*H2169/k_n</f>
        <v/>
      </c>
      <c r="U2169">
        <f>N2169-G2169*LTP3!$D$4/k_n</f>
        <v/>
      </c>
      <c r="V2169">
        <f>O2169-H2169*LTP3!$D$4/k_n</f>
        <v/>
      </c>
      <c r="W2169">
        <f>((LTP3!$D$5)*((P2169)*(Q2169)-(R2169)*(R2169))-(S2169)*((S2169)*(Q2169)-(R2169)*(T2169))+(T2169)*((S2169)*(R2169)-(P2169)*(T2169)))</f>
        <v/>
      </c>
      <c r="X2169">
        <f>IF(ABS(W2169)&gt;1E-12,((LTP3!$D$6)*((P2169)*(Q2169)-(R2169)*(R2169))-(S2169)*((U2169)*(Q2169)-(R2169)*(V2169))+(T2169)*((U2169)*(R2169)-(P2169)*(V2169)))/W2169,0)</f>
        <v/>
      </c>
      <c r="Y2169">
        <f>IF(ABS(W2169)&gt;1E-12,((LTP3!$D$5)*((U2169)*(Q2169)-(R2169)*(V2169))-(LTP3!$D$6)*((S2169)*(Q2169)-(R2169)*(T2169))+(T2169)*((S2169)*(V2169)-(U2169)*(T2169)))/W2169,0)</f>
        <v/>
      </c>
      <c r="Z2169">
        <f>IF(ABS(W2169)&gt;1E-12,((LTP3!$D$5)*((P2169)*(V2169)-(U2169)*(R2169))-(S2169)*((S2169)*(V2169)-(U2169)*(T2169))+(LTP3!$D$6)*((S2169)*(R2169)-(P2169)*(T2169)))/W2169,0)</f>
        <v/>
      </c>
      <c r="AA2169">
        <f>LTP3!$D$7-X2169*LTP3!$D$6-Y2169*U2169-Z2169*V2169</f>
        <v/>
      </c>
      <c r="AB2169">
        <f>IF(AND(F2169,ABS(W2169)&gt;1E-12,Y2169&gt;0,Z2169&gt;0),AA2169,1E+300)</f>
        <v/>
      </c>
    </row>
    <row r="2170">
      <c r="A2170">
        <f>$B$3+$B$5*35</f>
        <v/>
      </c>
      <c r="B2170">
        <f>$B$3+$B$5*23</f>
        <v/>
      </c>
      <c r="C2170">
        <f>SUMPRODUCT(Calc!$K$3:$K$22*(Calc!$G$3:$G$22&lt;=A2170))</f>
        <v/>
      </c>
      <c r="D2170">
        <f>SUMPRODUCT(Calc!$K$3:$K$22*(Calc!$G$3:$G$22&gt;A2170)*(Calc!$G$3:$G$22&lt;B2170))</f>
        <v/>
      </c>
      <c r="E2170">
        <f>SUMPRODUCT(Calc!$K$3:$K$22*(Calc!$G$3:$G$22&gt;=B2170))</f>
        <v/>
      </c>
      <c r="F2170">
        <f>AND(k_n&gt;=5,B2170&gt;A2170+1E-9,C2170&gt;=2,D2170&gt;=1,E2170&gt;=2)</f>
        <v/>
      </c>
      <c r="G2170">
        <f>SUMPRODUCT(Calc!$K$3:$K$22*(Calc!$G$3:$G$22&gt;A2170)*(Calc!$G$3:$G$22-A2170))</f>
        <v/>
      </c>
      <c r="H2170">
        <f>SUMPRODUCT(Calc!$K$3:$K$22*(Calc!$G$3:$G$22&gt;B2170)*(Calc!$G$3:$G$22-B2170))</f>
        <v/>
      </c>
      <c r="I2170">
        <f>SUMPRODUCT(Calc!$K$3:$K$22*(Calc!$G$3:$G$22&gt;A2170)*(Calc!$G$3:$G$22-A2170)^2)</f>
        <v/>
      </c>
      <c r="J2170">
        <f>SUMPRODUCT(Calc!$K$3:$K$22*(Calc!$G$3:$G$22&gt;B2170)*(Calc!$G$3:$G$22-B2170)^2)</f>
        <v/>
      </c>
      <c r="K2170">
        <f>SUMPRODUCT(Calc!$K$3:$K$22*(Calc!$G$3:$G$22&gt;A2170)*(Calc!$G$3:$G$22-A2170)*(Calc!$G$3:$G$22&gt;B2170)*(Calc!$G$3:$G$22-B2170))</f>
        <v/>
      </c>
      <c r="L2170">
        <f>SUMPRODUCT(Calc!$K$3:$K$22*(Calc!$G$3:$G$22&gt;A2170)*(Calc!$G$3:$G$22-A2170)*Calc!$G$3:$G$22)</f>
        <v/>
      </c>
      <c r="M2170">
        <f>SUMPRODUCT(Calc!$K$3:$K$22*(Calc!$G$3:$G$22&gt;B2170)*(Calc!$G$3:$G$22-B2170)*Calc!$G$3:$G$22)</f>
        <v/>
      </c>
      <c r="N2170">
        <f>SUMPRODUCT(Calc!$K$3:$K$22*(Calc!$G$3:$G$22&gt;A2170)*(Calc!$G$3:$G$22-A2170)*Calc!$I$3:$I$22)</f>
        <v/>
      </c>
      <c r="O2170">
        <f>SUMPRODUCT(Calc!$K$3:$K$22*(Calc!$G$3:$G$22&gt;B2170)*(Calc!$G$3:$G$22-B2170)*Calc!$I$3:$I$22)</f>
        <v/>
      </c>
      <c r="P2170">
        <f>I2170-G2170^2/k_n</f>
        <v/>
      </c>
      <c r="Q2170">
        <f>J2170-H2170^2/k_n</f>
        <v/>
      </c>
      <c r="R2170">
        <f>K2170-G2170*H2170/k_n</f>
        <v/>
      </c>
      <c r="S2170">
        <f>L2170-LTP3!$D$3*G2170/k_n</f>
        <v/>
      </c>
      <c r="T2170">
        <f>M2170-LTP3!$D$3*H2170/k_n</f>
        <v/>
      </c>
      <c r="U2170">
        <f>N2170-G2170*LTP3!$D$4/k_n</f>
        <v/>
      </c>
      <c r="V2170">
        <f>O2170-H2170*LTP3!$D$4/k_n</f>
        <v/>
      </c>
      <c r="W2170">
        <f>((LTP3!$D$5)*((P2170)*(Q2170)-(R2170)*(R2170))-(S2170)*((S2170)*(Q2170)-(R2170)*(T2170))+(T2170)*((S2170)*(R2170)-(P2170)*(T2170)))</f>
        <v/>
      </c>
      <c r="X2170">
        <f>IF(ABS(W2170)&gt;1E-12,((LTP3!$D$6)*((P2170)*(Q2170)-(R2170)*(R2170))-(S2170)*((U2170)*(Q2170)-(R2170)*(V2170))+(T2170)*((U2170)*(R2170)-(P2170)*(V2170)))/W2170,0)</f>
        <v/>
      </c>
      <c r="Y2170">
        <f>IF(ABS(W2170)&gt;1E-12,((LTP3!$D$5)*((U2170)*(Q2170)-(R2170)*(V2170))-(LTP3!$D$6)*((S2170)*(Q2170)-(R2170)*(T2170))+(T2170)*((S2170)*(V2170)-(U2170)*(T2170)))/W2170,0)</f>
        <v/>
      </c>
      <c r="Z2170">
        <f>IF(ABS(W2170)&gt;1E-12,((LTP3!$D$5)*((P2170)*(V2170)-(U2170)*(R2170))-(S2170)*((S2170)*(V2170)-(U2170)*(T2170))+(LTP3!$D$6)*((S2170)*(R2170)-(P2170)*(T2170)))/W2170,0)</f>
        <v/>
      </c>
      <c r="AA2170">
        <f>LTP3!$D$7-X2170*LTP3!$D$6-Y2170*U2170-Z2170*V2170</f>
        <v/>
      </c>
      <c r="AB2170">
        <f>IF(AND(F2170,ABS(W2170)&gt;1E-12,Y2170&gt;0,Z2170&gt;0),AA2170,1E+300)</f>
        <v/>
      </c>
    </row>
    <row r="2171">
      <c r="A2171">
        <f>$B$3+$B$5*35</f>
        <v/>
      </c>
      <c r="B2171">
        <f>$B$3+$B$5*24</f>
        <v/>
      </c>
      <c r="C2171">
        <f>SUMPRODUCT(Calc!$K$3:$K$22*(Calc!$G$3:$G$22&lt;=A2171))</f>
        <v/>
      </c>
      <c r="D2171">
        <f>SUMPRODUCT(Calc!$K$3:$K$22*(Calc!$G$3:$G$22&gt;A2171)*(Calc!$G$3:$G$22&lt;B2171))</f>
        <v/>
      </c>
      <c r="E2171">
        <f>SUMPRODUCT(Calc!$K$3:$K$22*(Calc!$G$3:$G$22&gt;=B2171))</f>
        <v/>
      </c>
      <c r="F2171">
        <f>AND(k_n&gt;=5,B2171&gt;A2171+1E-9,C2171&gt;=2,D2171&gt;=1,E2171&gt;=2)</f>
        <v/>
      </c>
      <c r="G2171">
        <f>SUMPRODUCT(Calc!$K$3:$K$22*(Calc!$G$3:$G$22&gt;A2171)*(Calc!$G$3:$G$22-A2171))</f>
        <v/>
      </c>
      <c r="H2171">
        <f>SUMPRODUCT(Calc!$K$3:$K$22*(Calc!$G$3:$G$22&gt;B2171)*(Calc!$G$3:$G$22-B2171))</f>
        <v/>
      </c>
      <c r="I2171">
        <f>SUMPRODUCT(Calc!$K$3:$K$22*(Calc!$G$3:$G$22&gt;A2171)*(Calc!$G$3:$G$22-A2171)^2)</f>
        <v/>
      </c>
      <c r="J2171">
        <f>SUMPRODUCT(Calc!$K$3:$K$22*(Calc!$G$3:$G$22&gt;B2171)*(Calc!$G$3:$G$22-B2171)^2)</f>
        <v/>
      </c>
      <c r="K2171">
        <f>SUMPRODUCT(Calc!$K$3:$K$22*(Calc!$G$3:$G$22&gt;A2171)*(Calc!$G$3:$G$22-A2171)*(Calc!$G$3:$G$22&gt;B2171)*(Calc!$G$3:$G$22-B2171))</f>
        <v/>
      </c>
      <c r="L2171">
        <f>SUMPRODUCT(Calc!$K$3:$K$22*(Calc!$G$3:$G$22&gt;A2171)*(Calc!$G$3:$G$22-A2171)*Calc!$G$3:$G$22)</f>
        <v/>
      </c>
      <c r="M2171">
        <f>SUMPRODUCT(Calc!$K$3:$K$22*(Calc!$G$3:$G$22&gt;B2171)*(Calc!$G$3:$G$22-B2171)*Calc!$G$3:$G$22)</f>
        <v/>
      </c>
      <c r="N2171">
        <f>SUMPRODUCT(Calc!$K$3:$K$22*(Calc!$G$3:$G$22&gt;A2171)*(Calc!$G$3:$G$22-A2171)*Calc!$I$3:$I$22)</f>
        <v/>
      </c>
      <c r="O2171">
        <f>SUMPRODUCT(Calc!$K$3:$K$22*(Calc!$G$3:$G$22&gt;B2171)*(Calc!$G$3:$G$22-B2171)*Calc!$I$3:$I$22)</f>
        <v/>
      </c>
      <c r="P2171">
        <f>I2171-G2171^2/k_n</f>
        <v/>
      </c>
      <c r="Q2171">
        <f>J2171-H2171^2/k_n</f>
        <v/>
      </c>
      <c r="R2171">
        <f>K2171-G2171*H2171/k_n</f>
        <v/>
      </c>
      <c r="S2171">
        <f>L2171-LTP3!$D$3*G2171/k_n</f>
        <v/>
      </c>
      <c r="T2171">
        <f>M2171-LTP3!$D$3*H2171/k_n</f>
        <v/>
      </c>
      <c r="U2171">
        <f>N2171-G2171*LTP3!$D$4/k_n</f>
        <v/>
      </c>
      <c r="V2171">
        <f>O2171-H2171*LTP3!$D$4/k_n</f>
        <v/>
      </c>
      <c r="W2171">
        <f>((LTP3!$D$5)*((P2171)*(Q2171)-(R2171)*(R2171))-(S2171)*((S2171)*(Q2171)-(R2171)*(T2171))+(T2171)*((S2171)*(R2171)-(P2171)*(T2171)))</f>
        <v/>
      </c>
      <c r="X2171">
        <f>IF(ABS(W2171)&gt;1E-12,((LTP3!$D$6)*((P2171)*(Q2171)-(R2171)*(R2171))-(S2171)*((U2171)*(Q2171)-(R2171)*(V2171))+(T2171)*((U2171)*(R2171)-(P2171)*(V2171)))/W2171,0)</f>
        <v/>
      </c>
      <c r="Y2171">
        <f>IF(ABS(W2171)&gt;1E-12,((LTP3!$D$5)*((U2171)*(Q2171)-(R2171)*(V2171))-(LTP3!$D$6)*((S2171)*(Q2171)-(R2171)*(T2171))+(T2171)*((S2171)*(V2171)-(U2171)*(T2171)))/W2171,0)</f>
        <v/>
      </c>
      <c r="Z2171">
        <f>IF(ABS(W2171)&gt;1E-12,((LTP3!$D$5)*((P2171)*(V2171)-(U2171)*(R2171))-(S2171)*((S2171)*(V2171)-(U2171)*(T2171))+(LTP3!$D$6)*((S2171)*(R2171)-(P2171)*(T2171)))/W2171,0)</f>
        <v/>
      </c>
      <c r="AA2171">
        <f>LTP3!$D$7-X2171*LTP3!$D$6-Y2171*U2171-Z2171*V2171</f>
        <v/>
      </c>
      <c r="AB2171">
        <f>IF(AND(F2171,ABS(W2171)&gt;1E-12,Y2171&gt;0,Z2171&gt;0),AA2171,1E+300)</f>
        <v/>
      </c>
    </row>
    <row r="2172">
      <c r="A2172">
        <f>$B$3+$B$5*35</f>
        <v/>
      </c>
      <c r="B2172">
        <f>$B$3+$B$5*25</f>
        <v/>
      </c>
      <c r="C2172">
        <f>SUMPRODUCT(Calc!$K$3:$K$22*(Calc!$G$3:$G$22&lt;=A2172))</f>
        <v/>
      </c>
      <c r="D2172">
        <f>SUMPRODUCT(Calc!$K$3:$K$22*(Calc!$G$3:$G$22&gt;A2172)*(Calc!$G$3:$G$22&lt;B2172))</f>
        <v/>
      </c>
      <c r="E2172">
        <f>SUMPRODUCT(Calc!$K$3:$K$22*(Calc!$G$3:$G$22&gt;=B2172))</f>
        <v/>
      </c>
      <c r="F2172">
        <f>AND(k_n&gt;=5,B2172&gt;A2172+1E-9,C2172&gt;=2,D2172&gt;=1,E2172&gt;=2)</f>
        <v/>
      </c>
      <c r="G2172">
        <f>SUMPRODUCT(Calc!$K$3:$K$22*(Calc!$G$3:$G$22&gt;A2172)*(Calc!$G$3:$G$22-A2172))</f>
        <v/>
      </c>
      <c r="H2172">
        <f>SUMPRODUCT(Calc!$K$3:$K$22*(Calc!$G$3:$G$22&gt;B2172)*(Calc!$G$3:$G$22-B2172))</f>
        <v/>
      </c>
      <c r="I2172">
        <f>SUMPRODUCT(Calc!$K$3:$K$22*(Calc!$G$3:$G$22&gt;A2172)*(Calc!$G$3:$G$22-A2172)^2)</f>
        <v/>
      </c>
      <c r="J2172">
        <f>SUMPRODUCT(Calc!$K$3:$K$22*(Calc!$G$3:$G$22&gt;B2172)*(Calc!$G$3:$G$22-B2172)^2)</f>
        <v/>
      </c>
      <c r="K2172">
        <f>SUMPRODUCT(Calc!$K$3:$K$22*(Calc!$G$3:$G$22&gt;A2172)*(Calc!$G$3:$G$22-A2172)*(Calc!$G$3:$G$22&gt;B2172)*(Calc!$G$3:$G$22-B2172))</f>
        <v/>
      </c>
      <c r="L2172">
        <f>SUMPRODUCT(Calc!$K$3:$K$22*(Calc!$G$3:$G$22&gt;A2172)*(Calc!$G$3:$G$22-A2172)*Calc!$G$3:$G$22)</f>
        <v/>
      </c>
      <c r="M2172">
        <f>SUMPRODUCT(Calc!$K$3:$K$22*(Calc!$G$3:$G$22&gt;B2172)*(Calc!$G$3:$G$22-B2172)*Calc!$G$3:$G$22)</f>
        <v/>
      </c>
      <c r="N2172">
        <f>SUMPRODUCT(Calc!$K$3:$K$22*(Calc!$G$3:$G$22&gt;A2172)*(Calc!$G$3:$G$22-A2172)*Calc!$I$3:$I$22)</f>
        <v/>
      </c>
      <c r="O2172">
        <f>SUMPRODUCT(Calc!$K$3:$K$22*(Calc!$G$3:$G$22&gt;B2172)*(Calc!$G$3:$G$22-B2172)*Calc!$I$3:$I$22)</f>
        <v/>
      </c>
      <c r="P2172">
        <f>I2172-G2172^2/k_n</f>
        <v/>
      </c>
      <c r="Q2172">
        <f>J2172-H2172^2/k_n</f>
        <v/>
      </c>
      <c r="R2172">
        <f>K2172-G2172*H2172/k_n</f>
        <v/>
      </c>
      <c r="S2172">
        <f>L2172-LTP3!$D$3*G2172/k_n</f>
        <v/>
      </c>
      <c r="T2172">
        <f>M2172-LTP3!$D$3*H2172/k_n</f>
        <v/>
      </c>
      <c r="U2172">
        <f>N2172-G2172*LTP3!$D$4/k_n</f>
        <v/>
      </c>
      <c r="V2172">
        <f>O2172-H2172*LTP3!$D$4/k_n</f>
        <v/>
      </c>
      <c r="W2172">
        <f>((LTP3!$D$5)*((P2172)*(Q2172)-(R2172)*(R2172))-(S2172)*((S2172)*(Q2172)-(R2172)*(T2172))+(T2172)*((S2172)*(R2172)-(P2172)*(T2172)))</f>
        <v/>
      </c>
      <c r="X2172">
        <f>IF(ABS(W2172)&gt;1E-12,((LTP3!$D$6)*((P2172)*(Q2172)-(R2172)*(R2172))-(S2172)*((U2172)*(Q2172)-(R2172)*(V2172))+(T2172)*((U2172)*(R2172)-(P2172)*(V2172)))/W2172,0)</f>
        <v/>
      </c>
      <c r="Y2172">
        <f>IF(ABS(W2172)&gt;1E-12,((LTP3!$D$5)*((U2172)*(Q2172)-(R2172)*(V2172))-(LTP3!$D$6)*((S2172)*(Q2172)-(R2172)*(T2172))+(T2172)*((S2172)*(V2172)-(U2172)*(T2172)))/W2172,0)</f>
        <v/>
      </c>
      <c r="Z2172">
        <f>IF(ABS(W2172)&gt;1E-12,((LTP3!$D$5)*((P2172)*(V2172)-(U2172)*(R2172))-(S2172)*((S2172)*(V2172)-(U2172)*(T2172))+(LTP3!$D$6)*((S2172)*(R2172)-(P2172)*(T2172)))/W2172,0)</f>
        <v/>
      </c>
      <c r="AA2172">
        <f>LTP3!$D$7-X2172*LTP3!$D$6-Y2172*U2172-Z2172*V2172</f>
        <v/>
      </c>
      <c r="AB2172">
        <f>IF(AND(F2172,ABS(W2172)&gt;1E-12,Y2172&gt;0,Z2172&gt;0),AA2172,1E+300)</f>
        <v/>
      </c>
    </row>
    <row r="2173">
      <c r="A2173">
        <f>$B$3+$B$5*35</f>
        <v/>
      </c>
      <c r="B2173">
        <f>$B$3+$B$5*26</f>
        <v/>
      </c>
      <c r="C2173">
        <f>SUMPRODUCT(Calc!$K$3:$K$22*(Calc!$G$3:$G$22&lt;=A2173))</f>
        <v/>
      </c>
      <c r="D2173">
        <f>SUMPRODUCT(Calc!$K$3:$K$22*(Calc!$G$3:$G$22&gt;A2173)*(Calc!$G$3:$G$22&lt;B2173))</f>
        <v/>
      </c>
      <c r="E2173">
        <f>SUMPRODUCT(Calc!$K$3:$K$22*(Calc!$G$3:$G$22&gt;=B2173))</f>
        <v/>
      </c>
      <c r="F2173">
        <f>AND(k_n&gt;=5,B2173&gt;A2173+1E-9,C2173&gt;=2,D2173&gt;=1,E2173&gt;=2)</f>
        <v/>
      </c>
      <c r="G2173">
        <f>SUMPRODUCT(Calc!$K$3:$K$22*(Calc!$G$3:$G$22&gt;A2173)*(Calc!$G$3:$G$22-A2173))</f>
        <v/>
      </c>
      <c r="H2173">
        <f>SUMPRODUCT(Calc!$K$3:$K$22*(Calc!$G$3:$G$22&gt;B2173)*(Calc!$G$3:$G$22-B2173))</f>
        <v/>
      </c>
      <c r="I2173">
        <f>SUMPRODUCT(Calc!$K$3:$K$22*(Calc!$G$3:$G$22&gt;A2173)*(Calc!$G$3:$G$22-A2173)^2)</f>
        <v/>
      </c>
      <c r="J2173">
        <f>SUMPRODUCT(Calc!$K$3:$K$22*(Calc!$G$3:$G$22&gt;B2173)*(Calc!$G$3:$G$22-B2173)^2)</f>
        <v/>
      </c>
      <c r="K2173">
        <f>SUMPRODUCT(Calc!$K$3:$K$22*(Calc!$G$3:$G$22&gt;A2173)*(Calc!$G$3:$G$22-A2173)*(Calc!$G$3:$G$22&gt;B2173)*(Calc!$G$3:$G$22-B2173))</f>
        <v/>
      </c>
      <c r="L2173">
        <f>SUMPRODUCT(Calc!$K$3:$K$22*(Calc!$G$3:$G$22&gt;A2173)*(Calc!$G$3:$G$22-A2173)*Calc!$G$3:$G$22)</f>
        <v/>
      </c>
      <c r="M2173">
        <f>SUMPRODUCT(Calc!$K$3:$K$22*(Calc!$G$3:$G$22&gt;B2173)*(Calc!$G$3:$G$22-B2173)*Calc!$G$3:$G$22)</f>
        <v/>
      </c>
      <c r="N2173">
        <f>SUMPRODUCT(Calc!$K$3:$K$22*(Calc!$G$3:$G$22&gt;A2173)*(Calc!$G$3:$G$22-A2173)*Calc!$I$3:$I$22)</f>
        <v/>
      </c>
      <c r="O2173">
        <f>SUMPRODUCT(Calc!$K$3:$K$22*(Calc!$G$3:$G$22&gt;B2173)*(Calc!$G$3:$G$22-B2173)*Calc!$I$3:$I$22)</f>
        <v/>
      </c>
      <c r="P2173">
        <f>I2173-G2173^2/k_n</f>
        <v/>
      </c>
      <c r="Q2173">
        <f>J2173-H2173^2/k_n</f>
        <v/>
      </c>
      <c r="R2173">
        <f>K2173-G2173*H2173/k_n</f>
        <v/>
      </c>
      <c r="S2173">
        <f>L2173-LTP3!$D$3*G2173/k_n</f>
        <v/>
      </c>
      <c r="T2173">
        <f>M2173-LTP3!$D$3*H2173/k_n</f>
        <v/>
      </c>
      <c r="U2173">
        <f>N2173-G2173*LTP3!$D$4/k_n</f>
        <v/>
      </c>
      <c r="V2173">
        <f>O2173-H2173*LTP3!$D$4/k_n</f>
        <v/>
      </c>
      <c r="W2173">
        <f>((LTP3!$D$5)*((P2173)*(Q2173)-(R2173)*(R2173))-(S2173)*((S2173)*(Q2173)-(R2173)*(T2173))+(T2173)*((S2173)*(R2173)-(P2173)*(T2173)))</f>
        <v/>
      </c>
      <c r="X2173">
        <f>IF(ABS(W2173)&gt;1E-12,((LTP3!$D$6)*((P2173)*(Q2173)-(R2173)*(R2173))-(S2173)*((U2173)*(Q2173)-(R2173)*(V2173))+(T2173)*((U2173)*(R2173)-(P2173)*(V2173)))/W2173,0)</f>
        <v/>
      </c>
      <c r="Y2173">
        <f>IF(ABS(W2173)&gt;1E-12,((LTP3!$D$5)*((U2173)*(Q2173)-(R2173)*(V2173))-(LTP3!$D$6)*((S2173)*(Q2173)-(R2173)*(T2173))+(T2173)*((S2173)*(V2173)-(U2173)*(T2173)))/W2173,0)</f>
        <v/>
      </c>
      <c r="Z2173">
        <f>IF(ABS(W2173)&gt;1E-12,((LTP3!$D$5)*((P2173)*(V2173)-(U2173)*(R2173))-(S2173)*((S2173)*(V2173)-(U2173)*(T2173))+(LTP3!$D$6)*((S2173)*(R2173)-(P2173)*(T2173)))/W2173,0)</f>
        <v/>
      </c>
      <c r="AA2173">
        <f>LTP3!$D$7-X2173*LTP3!$D$6-Y2173*U2173-Z2173*V2173</f>
        <v/>
      </c>
      <c r="AB2173">
        <f>IF(AND(F2173,ABS(W2173)&gt;1E-12,Y2173&gt;0,Z2173&gt;0),AA2173,1E+300)</f>
        <v/>
      </c>
    </row>
    <row r="2174">
      <c r="A2174">
        <f>$B$3+$B$5*35</f>
        <v/>
      </c>
      <c r="B2174">
        <f>$B$3+$B$5*27</f>
        <v/>
      </c>
      <c r="C2174">
        <f>SUMPRODUCT(Calc!$K$3:$K$22*(Calc!$G$3:$G$22&lt;=A2174))</f>
        <v/>
      </c>
      <c r="D2174">
        <f>SUMPRODUCT(Calc!$K$3:$K$22*(Calc!$G$3:$G$22&gt;A2174)*(Calc!$G$3:$G$22&lt;B2174))</f>
        <v/>
      </c>
      <c r="E2174">
        <f>SUMPRODUCT(Calc!$K$3:$K$22*(Calc!$G$3:$G$22&gt;=B2174))</f>
        <v/>
      </c>
      <c r="F2174">
        <f>AND(k_n&gt;=5,B2174&gt;A2174+1E-9,C2174&gt;=2,D2174&gt;=1,E2174&gt;=2)</f>
        <v/>
      </c>
      <c r="G2174">
        <f>SUMPRODUCT(Calc!$K$3:$K$22*(Calc!$G$3:$G$22&gt;A2174)*(Calc!$G$3:$G$22-A2174))</f>
        <v/>
      </c>
      <c r="H2174">
        <f>SUMPRODUCT(Calc!$K$3:$K$22*(Calc!$G$3:$G$22&gt;B2174)*(Calc!$G$3:$G$22-B2174))</f>
        <v/>
      </c>
      <c r="I2174">
        <f>SUMPRODUCT(Calc!$K$3:$K$22*(Calc!$G$3:$G$22&gt;A2174)*(Calc!$G$3:$G$22-A2174)^2)</f>
        <v/>
      </c>
      <c r="J2174">
        <f>SUMPRODUCT(Calc!$K$3:$K$22*(Calc!$G$3:$G$22&gt;B2174)*(Calc!$G$3:$G$22-B2174)^2)</f>
        <v/>
      </c>
      <c r="K2174">
        <f>SUMPRODUCT(Calc!$K$3:$K$22*(Calc!$G$3:$G$22&gt;A2174)*(Calc!$G$3:$G$22-A2174)*(Calc!$G$3:$G$22&gt;B2174)*(Calc!$G$3:$G$22-B2174))</f>
        <v/>
      </c>
      <c r="L2174">
        <f>SUMPRODUCT(Calc!$K$3:$K$22*(Calc!$G$3:$G$22&gt;A2174)*(Calc!$G$3:$G$22-A2174)*Calc!$G$3:$G$22)</f>
        <v/>
      </c>
      <c r="M2174">
        <f>SUMPRODUCT(Calc!$K$3:$K$22*(Calc!$G$3:$G$22&gt;B2174)*(Calc!$G$3:$G$22-B2174)*Calc!$G$3:$G$22)</f>
        <v/>
      </c>
      <c r="N2174">
        <f>SUMPRODUCT(Calc!$K$3:$K$22*(Calc!$G$3:$G$22&gt;A2174)*(Calc!$G$3:$G$22-A2174)*Calc!$I$3:$I$22)</f>
        <v/>
      </c>
      <c r="O2174">
        <f>SUMPRODUCT(Calc!$K$3:$K$22*(Calc!$G$3:$G$22&gt;B2174)*(Calc!$G$3:$G$22-B2174)*Calc!$I$3:$I$22)</f>
        <v/>
      </c>
      <c r="P2174">
        <f>I2174-G2174^2/k_n</f>
        <v/>
      </c>
      <c r="Q2174">
        <f>J2174-H2174^2/k_n</f>
        <v/>
      </c>
      <c r="R2174">
        <f>K2174-G2174*H2174/k_n</f>
        <v/>
      </c>
      <c r="S2174">
        <f>L2174-LTP3!$D$3*G2174/k_n</f>
        <v/>
      </c>
      <c r="T2174">
        <f>M2174-LTP3!$D$3*H2174/k_n</f>
        <v/>
      </c>
      <c r="U2174">
        <f>N2174-G2174*LTP3!$D$4/k_n</f>
        <v/>
      </c>
      <c r="V2174">
        <f>O2174-H2174*LTP3!$D$4/k_n</f>
        <v/>
      </c>
      <c r="W2174">
        <f>((LTP3!$D$5)*((P2174)*(Q2174)-(R2174)*(R2174))-(S2174)*((S2174)*(Q2174)-(R2174)*(T2174))+(T2174)*((S2174)*(R2174)-(P2174)*(T2174)))</f>
        <v/>
      </c>
      <c r="X2174">
        <f>IF(ABS(W2174)&gt;1E-12,((LTP3!$D$6)*((P2174)*(Q2174)-(R2174)*(R2174))-(S2174)*((U2174)*(Q2174)-(R2174)*(V2174))+(T2174)*((U2174)*(R2174)-(P2174)*(V2174)))/W2174,0)</f>
        <v/>
      </c>
      <c r="Y2174">
        <f>IF(ABS(W2174)&gt;1E-12,((LTP3!$D$5)*((U2174)*(Q2174)-(R2174)*(V2174))-(LTP3!$D$6)*((S2174)*(Q2174)-(R2174)*(T2174))+(T2174)*((S2174)*(V2174)-(U2174)*(T2174)))/W2174,0)</f>
        <v/>
      </c>
      <c r="Z2174">
        <f>IF(ABS(W2174)&gt;1E-12,((LTP3!$D$5)*((P2174)*(V2174)-(U2174)*(R2174))-(S2174)*((S2174)*(V2174)-(U2174)*(T2174))+(LTP3!$D$6)*((S2174)*(R2174)-(P2174)*(T2174)))/W2174,0)</f>
        <v/>
      </c>
      <c r="AA2174">
        <f>LTP3!$D$7-X2174*LTP3!$D$6-Y2174*U2174-Z2174*V2174</f>
        <v/>
      </c>
      <c r="AB2174">
        <f>IF(AND(F2174,ABS(W2174)&gt;1E-12,Y2174&gt;0,Z2174&gt;0),AA2174,1E+300)</f>
        <v/>
      </c>
    </row>
    <row r="2175">
      <c r="A2175">
        <f>$B$3+$B$5*35</f>
        <v/>
      </c>
      <c r="B2175">
        <f>$B$3+$B$5*28</f>
        <v/>
      </c>
      <c r="C2175">
        <f>SUMPRODUCT(Calc!$K$3:$K$22*(Calc!$G$3:$G$22&lt;=A2175))</f>
        <v/>
      </c>
      <c r="D2175">
        <f>SUMPRODUCT(Calc!$K$3:$K$22*(Calc!$G$3:$G$22&gt;A2175)*(Calc!$G$3:$G$22&lt;B2175))</f>
        <v/>
      </c>
      <c r="E2175">
        <f>SUMPRODUCT(Calc!$K$3:$K$22*(Calc!$G$3:$G$22&gt;=B2175))</f>
        <v/>
      </c>
      <c r="F2175">
        <f>AND(k_n&gt;=5,B2175&gt;A2175+1E-9,C2175&gt;=2,D2175&gt;=1,E2175&gt;=2)</f>
        <v/>
      </c>
      <c r="G2175">
        <f>SUMPRODUCT(Calc!$K$3:$K$22*(Calc!$G$3:$G$22&gt;A2175)*(Calc!$G$3:$G$22-A2175))</f>
        <v/>
      </c>
      <c r="H2175">
        <f>SUMPRODUCT(Calc!$K$3:$K$22*(Calc!$G$3:$G$22&gt;B2175)*(Calc!$G$3:$G$22-B2175))</f>
        <v/>
      </c>
      <c r="I2175">
        <f>SUMPRODUCT(Calc!$K$3:$K$22*(Calc!$G$3:$G$22&gt;A2175)*(Calc!$G$3:$G$22-A2175)^2)</f>
        <v/>
      </c>
      <c r="J2175">
        <f>SUMPRODUCT(Calc!$K$3:$K$22*(Calc!$G$3:$G$22&gt;B2175)*(Calc!$G$3:$G$22-B2175)^2)</f>
        <v/>
      </c>
      <c r="K2175">
        <f>SUMPRODUCT(Calc!$K$3:$K$22*(Calc!$G$3:$G$22&gt;A2175)*(Calc!$G$3:$G$22-A2175)*(Calc!$G$3:$G$22&gt;B2175)*(Calc!$G$3:$G$22-B2175))</f>
        <v/>
      </c>
      <c r="L2175">
        <f>SUMPRODUCT(Calc!$K$3:$K$22*(Calc!$G$3:$G$22&gt;A2175)*(Calc!$G$3:$G$22-A2175)*Calc!$G$3:$G$22)</f>
        <v/>
      </c>
      <c r="M2175">
        <f>SUMPRODUCT(Calc!$K$3:$K$22*(Calc!$G$3:$G$22&gt;B2175)*(Calc!$G$3:$G$22-B2175)*Calc!$G$3:$G$22)</f>
        <v/>
      </c>
      <c r="N2175">
        <f>SUMPRODUCT(Calc!$K$3:$K$22*(Calc!$G$3:$G$22&gt;A2175)*(Calc!$G$3:$G$22-A2175)*Calc!$I$3:$I$22)</f>
        <v/>
      </c>
      <c r="O2175">
        <f>SUMPRODUCT(Calc!$K$3:$K$22*(Calc!$G$3:$G$22&gt;B2175)*(Calc!$G$3:$G$22-B2175)*Calc!$I$3:$I$22)</f>
        <v/>
      </c>
      <c r="P2175">
        <f>I2175-G2175^2/k_n</f>
        <v/>
      </c>
      <c r="Q2175">
        <f>J2175-H2175^2/k_n</f>
        <v/>
      </c>
      <c r="R2175">
        <f>K2175-G2175*H2175/k_n</f>
        <v/>
      </c>
      <c r="S2175">
        <f>L2175-LTP3!$D$3*G2175/k_n</f>
        <v/>
      </c>
      <c r="T2175">
        <f>M2175-LTP3!$D$3*H2175/k_n</f>
        <v/>
      </c>
      <c r="U2175">
        <f>N2175-G2175*LTP3!$D$4/k_n</f>
        <v/>
      </c>
      <c r="V2175">
        <f>O2175-H2175*LTP3!$D$4/k_n</f>
        <v/>
      </c>
      <c r="W2175">
        <f>((LTP3!$D$5)*((P2175)*(Q2175)-(R2175)*(R2175))-(S2175)*((S2175)*(Q2175)-(R2175)*(T2175))+(T2175)*((S2175)*(R2175)-(P2175)*(T2175)))</f>
        <v/>
      </c>
      <c r="X2175">
        <f>IF(ABS(W2175)&gt;1E-12,((LTP3!$D$6)*((P2175)*(Q2175)-(R2175)*(R2175))-(S2175)*((U2175)*(Q2175)-(R2175)*(V2175))+(T2175)*((U2175)*(R2175)-(P2175)*(V2175)))/W2175,0)</f>
        <v/>
      </c>
      <c r="Y2175">
        <f>IF(ABS(W2175)&gt;1E-12,((LTP3!$D$5)*((U2175)*(Q2175)-(R2175)*(V2175))-(LTP3!$D$6)*((S2175)*(Q2175)-(R2175)*(T2175))+(T2175)*((S2175)*(V2175)-(U2175)*(T2175)))/W2175,0)</f>
        <v/>
      </c>
      <c r="Z2175">
        <f>IF(ABS(W2175)&gt;1E-12,((LTP3!$D$5)*((P2175)*(V2175)-(U2175)*(R2175))-(S2175)*((S2175)*(V2175)-(U2175)*(T2175))+(LTP3!$D$6)*((S2175)*(R2175)-(P2175)*(T2175)))/W2175,0)</f>
        <v/>
      </c>
      <c r="AA2175">
        <f>LTP3!$D$7-X2175*LTP3!$D$6-Y2175*U2175-Z2175*V2175</f>
        <v/>
      </c>
      <c r="AB2175">
        <f>IF(AND(F2175,ABS(W2175)&gt;1E-12,Y2175&gt;0,Z2175&gt;0),AA2175,1E+300)</f>
        <v/>
      </c>
    </row>
    <row r="2176">
      <c r="A2176">
        <f>$B$3+$B$5*35</f>
        <v/>
      </c>
      <c r="B2176">
        <f>$B$3+$B$5*29</f>
        <v/>
      </c>
      <c r="C2176">
        <f>SUMPRODUCT(Calc!$K$3:$K$22*(Calc!$G$3:$G$22&lt;=A2176))</f>
        <v/>
      </c>
      <c r="D2176">
        <f>SUMPRODUCT(Calc!$K$3:$K$22*(Calc!$G$3:$G$22&gt;A2176)*(Calc!$G$3:$G$22&lt;B2176))</f>
        <v/>
      </c>
      <c r="E2176">
        <f>SUMPRODUCT(Calc!$K$3:$K$22*(Calc!$G$3:$G$22&gt;=B2176))</f>
        <v/>
      </c>
      <c r="F2176">
        <f>AND(k_n&gt;=5,B2176&gt;A2176+1E-9,C2176&gt;=2,D2176&gt;=1,E2176&gt;=2)</f>
        <v/>
      </c>
      <c r="G2176">
        <f>SUMPRODUCT(Calc!$K$3:$K$22*(Calc!$G$3:$G$22&gt;A2176)*(Calc!$G$3:$G$22-A2176))</f>
        <v/>
      </c>
      <c r="H2176">
        <f>SUMPRODUCT(Calc!$K$3:$K$22*(Calc!$G$3:$G$22&gt;B2176)*(Calc!$G$3:$G$22-B2176))</f>
        <v/>
      </c>
      <c r="I2176">
        <f>SUMPRODUCT(Calc!$K$3:$K$22*(Calc!$G$3:$G$22&gt;A2176)*(Calc!$G$3:$G$22-A2176)^2)</f>
        <v/>
      </c>
      <c r="J2176">
        <f>SUMPRODUCT(Calc!$K$3:$K$22*(Calc!$G$3:$G$22&gt;B2176)*(Calc!$G$3:$G$22-B2176)^2)</f>
        <v/>
      </c>
      <c r="K2176">
        <f>SUMPRODUCT(Calc!$K$3:$K$22*(Calc!$G$3:$G$22&gt;A2176)*(Calc!$G$3:$G$22-A2176)*(Calc!$G$3:$G$22&gt;B2176)*(Calc!$G$3:$G$22-B2176))</f>
        <v/>
      </c>
      <c r="L2176">
        <f>SUMPRODUCT(Calc!$K$3:$K$22*(Calc!$G$3:$G$22&gt;A2176)*(Calc!$G$3:$G$22-A2176)*Calc!$G$3:$G$22)</f>
        <v/>
      </c>
      <c r="M2176">
        <f>SUMPRODUCT(Calc!$K$3:$K$22*(Calc!$G$3:$G$22&gt;B2176)*(Calc!$G$3:$G$22-B2176)*Calc!$G$3:$G$22)</f>
        <v/>
      </c>
      <c r="N2176">
        <f>SUMPRODUCT(Calc!$K$3:$K$22*(Calc!$G$3:$G$22&gt;A2176)*(Calc!$G$3:$G$22-A2176)*Calc!$I$3:$I$22)</f>
        <v/>
      </c>
      <c r="O2176">
        <f>SUMPRODUCT(Calc!$K$3:$K$22*(Calc!$G$3:$G$22&gt;B2176)*(Calc!$G$3:$G$22-B2176)*Calc!$I$3:$I$22)</f>
        <v/>
      </c>
      <c r="P2176">
        <f>I2176-G2176^2/k_n</f>
        <v/>
      </c>
      <c r="Q2176">
        <f>J2176-H2176^2/k_n</f>
        <v/>
      </c>
      <c r="R2176">
        <f>K2176-G2176*H2176/k_n</f>
        <v/>
      </c>
      <c r="S2176">
        <f>L2176-LTP3!$D$3*G2176/k_n</f>
        <v/>
      </c>
      <c r="T2176">
        <f>M2176-LTP3!$D$3*H2176/k_n</f>
        <v/>
      </c>
      <c r="U2176">
        <f>N2176-G2176*LTP3!$D$4/k_n</f>
        <v/>
      </c>
      <c r="V2176">
        <f>O2176-H2176*LTP3!$D$4/k_n</f>
        <v/>
      </c>
      <c r="W2176">
        <f>((LTP3!$D$5)*((P2176)*(Q2176)-(R2176)*(R2176))-(S2176)*((S2176)*(Q2176)-(R2176)*(T2176))+(T2176)*((S2176)*(R2176)-(P2176)*(T2176)))</f>
        <v/>
      </c>
      <c r="X2176">
        <f>IF(ABS(W2176)&gt;1E-12,((LTP3!$D$6)*((P2176)*(Q2176)-(R2176)*(R2176))-(S2176)*((U2176)*(Q2176)-(R2176)*(V2176))+(T2176)*((U2176)*(R2176)-(P2176)*(V2176)))/W2176,0)</f>
        <v/>
      </c>
      <c r="Y2176">
        <f>IF(ABS(W2176)&gt;1E-12,((LTP3!$D$5)*((U2176)*(Q2176)-(R2176)*(V2176))-(LTP3!$D$6)*((S2176)*(Q2176)-(R2176)*(T2176))+(T2176)*((S2176)*(V2176)-(U2176)*(T2176)))/W2176,0)</f>
        <v/>
      </c>
      <c r="Z2176">
        <f>IF(ABS(W2176)&gt;1E-12,((LTP3!$D$5)*((P2176)*(V2176)-(U2176)*(R2176))-(S2176)*((S2176)*(V2176)-(U2176)*(T2176))+(LTP3!$D$6)*((S2176)*(R2176)-(P2176)*(T2176)))/W2176,0)</f>
        <v/>
      </c>
      <c r="AA2176">
        <f>LTP3!$D$7-X2176*LTP3!$D$6-Y2176*U2176-Z2176*V2176</f>
        <v/>
      </c>
      <c r="AB2176">
        <f>IF(AND(F2176,ABS(W2176)&gt;1E-12,Y2176&gt;0,Z2176&gt;0),AA2176,1E+300)</f>
        <v/>
      </c>
    </row>
    <row r="2177">
      <c r="A2177">
        <f>$B$3+$B$5*35</f>
        <v/>
      </c>
      <c r="B2177">
        <f>$B$3+$B$5*30</f>
        <v/>
      </c>
      <c r="C2177">
        <f>SUMPRODUCT(Calc!$K$3:$K$22*(Calc!$G$3:$G$22&lt;=A2177))</f>
        <v/>
      </c>
      <c r="D2177">
        <f>SUMPRODUCT(Calc!$K$3:$K$22*(Calc!$G$3:$G$22&gt;A2177)*(Calc!$G$3:$G$22&lt;B2177))</f>
        <v/>
      </c>
      <c r="E2177">
        <f>SUMPRODUCT(Calc!$K$3:$K$22*(Calc!$G$3:$G$22&gt;=B2177))</f>
        <v/>
      </c>
      <c r="F2177">
        <f>AND(k_n&gt;=5,B2177&gt;A2177+1E-9,C2177&gt;=2,D2177&gt;=1,E2177&gt;=2)</f>
        <v/>
      </c>
      <c r="G2177">
        <f>SUMPRODUCT(Calc!$K$3:$K$22*(Calc!$G$3:$G$22&gt;A2177)*(Calc!$G$3:$G$22-A2177))</f>
        <v/>
      </c>
      <c r="H2177">
        <f>SUMPRODUCT(Calc!$K$3:$K$22*(Calc!$G$3:$G$22&gt;B2177)*(Calc!$G$3:$G$22-B2177))</f>
        <v/>
      </c>
      <c r="I2177">
        <f>SUMPRODUCT(Calc!$K$3:$K$22*(Calc!$G$3:$G$22&gt;A2177)*(Calc!$G$3:$G$22-A2177)^2)</f>
        <v/>
      </c>
      <c r="J2177">
        <f>SUMPRODUCT(Calc!$K$3:$K$22*(Calc!$G$3:$G$22&gt;B2177)*(Calc!$G$3:$G$22-B2177)^2)</f>
        <v/>
      </c>
      <c r="K2177">
        <f>SUMPRODUCT(Calc!$K$3:$K$22*(Calc!$G$3:$G$22&gt;A2177)*(Calc!$G$3:$G$22-A2177)*(Calc!$G$3:$G$22&gt;B2177)*(Calc!$G$3:$G$22-B2177))</f>
        <v/>
      </c>
      <c r="L2177">
        <f>SUMPRODUCT(Calc!$K$3:$K$22*(Calc!$G$3:$G$22&gt;A2177)*(Calc!$G$3:$G$22-A2177)*Calc!$G$3:$G$22)</f>
        <v/>
      </c>
      <c r="M2177">
        <f>SUMPRODUCT(Calc!$K$3:$K$22*(Calc!$G$3:$G$22&gt;B2177)*(Calc!$G$3:$G$22-B2177)*Calc!$G$3:$G$22)</f>
        <v/>
      </c>
      <c r="N2177">
        <f>SUMPRODUCT(Calc!$K$3:$K$22*(Calc!$G$3:$G$22&gt;A2177)*(Calc!$G$3:$G$22-A2177)*Calc!$I$3:$I$22)</f>
        <v/>
      </c>
      <c r="O2177">
        <f>SUMPRODUCT(Calc!$K$3:$K$22*(Calc!$G$3:$G$22&gt;B2177)*(Calc!$G$3:$G$22-B2177)*Calc!$I$3:$I$22)</f>
        <v/>
      </c>
      <c r="P2177">
        <f>I2177-G2177^2/k_n</f>
        <v/>
      </c>
      <c r="Q2177">
        <f>J2177-H2177^2/k_n</f>
        <v/>
      </c>
      <c r="R2177">
        <f>K2177-G2177*H2177/k_n</f>
        <v/>
      </c>
      <c r="S2177">
        <f>L2177-LTP3!$D$3*G2177/k_n</f>
        <v/>
      </c>
      <c r="T2177">
        <f>M2177-LTP3!$D$3*H2177/k_n</f>
        <v/>
      </c>
      <c r="U2177">
        <f>N2177-G2177*LTP3!$D$4/k_n</f>
        <v/>
      </c>
      <c r="V2177">
        <f>O2177-H2177*LTP3!$D$4/k_n</f>
        <v/>
      </c>
      <c r="W2177">
        <f>((LTP3!$D$5)*((P2177)*(Q2177)-(R2177)*(R2177))-(S2177)*((S2177)*(Q2177)-(R2177)*(T2177))+(T2177)*((S2177)*(R2177)-(P2177)*(T2177)))</f>
        <v/>
      </c>
      <c r="X2177">
        <f>IF(ABS(W2177)&gt;1E-12,((LTP3!$D$6)*((P2177)*(Q2177)-(R2177)*(R2177))-(S2177)*((U2177)*(Q2177)-(R2177)*(V2177))+(T2177)*((U2177)*(R2177)-(P2177)*(V2177)))/W2177,0)</f>
        <v/>
      </c>
      <c r="Y2177">
        <f>IF(ABS(W2177)&gt;1E-12,((LTP3!$D$5)*((U2177)*(Q2177)-(R2177)*(V2177))-(LTP3!$D$6)*((S2177)*(Q2177)-(R2177)*(T2177))+(T2177)*((S2177)*(V2177)-(U2177)*(T2177)))/W2177,0)</f>
        <v/>
      </c>
      <c r="Z2177">
        <f>IF(ABS(W2177)&gt;1E-12,((LTP3!$D$5)*((P2177)*(V2177)-(U2177)*(R2177))-(S2177)*((S2177)*(V2177)-(U2177)*(T2177))+(LTP3!$D$6)*((S2177)*(R2177)-(P2177)*(T2177)))/W2177,0)</f>
        <v/>
      </c>
      <c r="AA2177">
        <f>LTP3!$D$7-X2177*LTP3!$D$6-Y2177*U2177-Z2177*V2177</f>
        <v/>
      </c>
      <c r="AB2177">
        <f>IF(AND(F2177,ABS(W2177)&gt;1E-12,Y2177&gt;0,Z2177&gt;0),AA2177,1E+300)</f>
        <v/>
      </c>
    </row>
    <row r="2178">
      <c r="A2178">
        <f>$B$3+$B$5*35</f>
        <v/>
      </c>
      <c r="B2178">
        <f>$B$3+$B$5*31</f>
        <v/>
      </c>
      <c r="C2178">
        <f>SUMPRODUCT(Calc!$K$3:$K$22*(Calc!$G$3:$G$22&lt;=A2178))</f>
        <v/>
      </c>
      <c r="D2178">
        <f>SUMPRODUCT(Calc!$K$3:$K$22*(Calc!$G$3:$G$22&gt;A2178)*(Calc!$G$3:$G$22&lt;B2178))</f>
        <v/>
      </c>
      <c r="E2178">
        <f>SUMPRODUCT(Calc!$K$3:$K$22*(Calc!$G$3:$G$22&gt;=B2178))</f>
        <v/>
      </c>
      <c r="F2178">
        <f>AND(k_n&gt;=5,B2178&gt;A2178+1E-9,C2178&gt;=2,D2178&gt;=1,E2178&gt;=2)</f>
        <v/>
      </c>
      <c r="G2178">
        <f>SUMPRODUCT(Calc!$K$3:$K$22*(Calc!$G$3:$G$22&gt;A2178)*(Calc!$G$3:$G$22-A2178))</f>
        <v/>
      </c>
      <c r="H2178">
        <f>SUMPRODUCT(Calc!$K$3:$K$22*(Calc!$G$3:$G$22&gt;B2178)*(Calc!$G$3:$G$22-B2178))</f>
        <v/>
      </c>
      <c r="I2178">
        <f>SUMPRODUCT(Calc!$K$3:$K$22*(Calc!$G$3:$G$22&gt;A2178)*(Calc!$G$3:$G$22-A2178)^2)</f>
        <v/>
      </c>
      <c r="J2178">
        <f>SUMPRODUCT(Calc!$K$3:$K$22*(Calc!$G$3:$G$22&gt;B2178)*(Calc!$G$3:$G$22-B2178)^2)</f>
        <v/>
      </c>
      <c r="K2178">
        <f>SUMPRODUCT(Calc!$K$3:$K$22*(Calc!$G$3:$G$22&gt;A2178)*(Calc!$G$3:$G$22-A2178)*(Calc!$G$3:$G$22&gt;B2178)*(Calc!$G$3:$G$22-B2178))</f>
        <v/>
      </c>
      <c r="L2178">
        <f>SUMPRODUCT(Calc!$K$3:$K$22*(Calc!$G$3:$G$22&gt;A2178)*(Calc!$G$3:$G$22-A2178)*Calc!$G$3:$G$22)</f>
        <v/>
      </c>
      <c r="M2178">
        <f>SUMPRODUCT(Calc!$K$3:$K$22*(Calc!$G$3:$G$22&gt;B2178)*(Calc!$G$3:$G$22-B2178)*Calc!$G$3:$G$22)</f>
        <v/>
      </c>
      <c r="N2178">
        <f>SUMPRODUCT(Calc!$K$3:$K$22*(Calc!$G$3:$G$22&gt;A2178)*(Calc!$G$3:$G$22-A2178)*Calc!$I$3:$I$22)</f>
        <v/>
      </c>
      <c r="O2178">
        <f>SUMPRODUCT(Calc!$K$3:$K$22*(Calc!$G$3:$G$22&gt;B2178)*(Calc!$G$3:$G$22-B2178)*Calc!$I$3:$I$22)</f>
        <v/>
      </c>
      <c r="P2178">
        <f>I2178-G2178^2/k_n</f>
        <v/>
      </c>
      <c r="Q2178">
        <f>J2178-H2178^2/k_n</f>
        <v/>
      </c>
      <c r="R2178">
        <f>K2178-G2178*H2178/k_n</f>
        <v/>
      </c>
      <c r="S2178">
        <f>L2178-LTP3!$D$3*G2178/k_n</f>
        <v/>
      </c>
      <c r="T2178">
        <f>M2178-LTP3!$D$3*H2178/k_n</f>
        <v/>
      </c>
      <c r="U2178">
        <f>N2178-G2178*LTP3!$D$4/k_n</f>
        <v/>
      </c>
      <c r="V2178">
        <f>O2178-H2178*LTP3!$D$4/k_n</f>
        <v/>
      </c>
      <c r="W2178">
        <f>((LTP3!$D$5)*((P2178)*(Q2178)-(R2178)*(R2178))-(S2178)*((S2178)*(Q2178)-(R2178)*(T2178))+(T2178)*((S2178)*(R2178)-(P2178)*(T2178)))</f>
        <v/>
      </c>
      <c r="X2178">
        <f>IF(ABS(W2178)&gt;1E-12,((LTP3!$D$6)*((P2178)*(Q2178)-(R2178)*(R2178))-(S2178)*((U2178)*(Q2178)-(R2178)*(V2178))+(T2178)*((U2178)*(R2178)-(P2178)*(V2178)))/W2178,0)</f>
        <v/>
      </c>
      <c r="Y2178">
        <f>IF(ABS(W2178)&gt;1E-12,((LTP3!$D$5)*((U2178)*(Q2178)-(R2178)*(V2178))-(LTP3!$D$6)*((S2178)*(Q2178)-(R2178)*(T2178))+(T2178)*((S2178)*(V2178)-(U2178)*(T2178)))/W2178,0)</f>
        <v/>
      </c>
      <c r="Z2178">
        <f>IF(ABS(W2178)&gt;1E-12,((LTP3!$D$5)*((P2178)*(V2178)-(U2178)*(R2178))-(S2178)*((S2178)*(V2178)-(U2178)*(T2178))+(LTP3!$D$6)*((S2178)*(R2178)-(P2178)*(T2178)))/W2178,0)</f>
        <v/>
      </c>
      <c r="AA2178">
        <f>LTP3!$D$7-X2178*LTP3!$D$6-Y2178*U2178-Z2178*V2178</f>
        <v/>
      </c>
      <c r="AB2178">
        <f>IF(AND(F2178,ABS(W2178)&gt;1E-12,Y2178&gt;0,Z2178&gt;0),AA2178,1E+300)</f>
        <v/>
      </c>
    </row>
    <row r="2179">
      <c r="A2179">
        <f>$B$3+$B$5*35</f>
        <v/>
      </c>
      <c r="B2179">
        <f>$B$3+$B$5*32</f>
        <v/>
      </c>
      <c r="C2179">
        <f>SUMPRODUCT(Calc!$K$3:$K$22*(Calc!$G$3:$G$22&lt;=A2179))</f>
        <v/>
      </c>
      <c r="D2179">
        <f>SUMPRODUCT(Calc!$K$3:$K$22*(Calc!$G$3:$G$22&gt;A2179)*(Calc!$G$3:$G$22&lt;B2179))</f>
        <v/>
      </c>
      <c r="E2179">
        <f>SUMPRODUCT(Calc!$K$3:$K$22*(Calc!$G$3:$G$22&gt;=B2179))</f>
        <v/>
      </c>
      <c r="F2179">
        <f>AND(k_n&gt;=5,B2179&gt;A2179+1E-9,C2179&gt;=2,D2179&gt;=1,E2179&gt;=2)</f>
        <v/>
      </c>
      <c r="G2179">
        <f>SUMPRODUCT(Calc!$K$3:$K$22*(Calc!$G$3:$G$22&gt;A2179)*(Calc!$G$3:$G$22-A2179))</f>
        <v/>
      </c>
      <c r="H2179">
        <f>SUMPRODUCT(Calc!$K$3:$K$22*(Calc!$G$3:$G$22&gt;B2179)*(Calc!$G$3:$G$22-B2179))</f>
        <v/>
      </c>
      <c r="I2179">
        <f>SUMPRODUCT(Calc!$K$3:$K$22*(Calc!$G$3:$G$22&gt;A2179)*(Calc!$G$3:$G$22-A2179)^2)</f>
        <v/>
      </c>
      <c r="J2179">
        <f>SUMPRODUCT(Calc!$K$3:$K$22*(Calc!$G$3:$G$22&gt;B2179)*(Calc!$G$3:$G$22-B2179)^2)</f>
        <v/>
      </c>
      <c r="K2179">
        <f>SUMPRODUCT(Calc!$K$3:$K$22*(Calc!$G$3:$G$22&gt;A2179)*(Calc!$G$3:$G$22-A2179)*(Calc!$G$3:$G$22&gt;B2179)*(Calc!$G$3:$G$22-B2179))</f>
        <v/>
      </c>
      <c r="L2179">
        <f>SUMPRODUCT(Calc!$K$3:$K$22*(Calc!$G$3:$G$22&gt;A2179)*(Calc!$G$3:$G$22-A2179)*Calc!$G$3:$G$22)</f>
        <v/>
      </c>
      <c r="M2179">
        <f>SUMPRODUCT(Calc!$K$3:$K$22*(Calc!$G$3:$G$22&gt;B2179)*(Calc!$G$3:$G$22-B2179)*Calc!$G$3:$G$22)</f>
        <v/>
      </c>
      <c r="N2179">
        <f>SUMPRODUCT(Calc!$K$3:$K$22*(Calc!$G$3:$G$22&gt;A2179)*(Calc!$G$3:$G$22-A2179)*Calc!$I$3:$I$22)</f>
        <v/>
      </c>
      <c r="O2179">
        <f>SUMPRODUCT(Calc!$K$3:$K$22*(Calc!$G$3:$G$22&gt;B2179)*(Calc!$G$3:$G$22-B2179)*Calc!$I$3:$I$22)</f>
        <v/>
      </c>
      <c r="P2179">
        <f>I2179-G2179^2/k_n</f>
        <v/>
      </c>
      <c r="Q2179">
        <f>J2179-H2179^2/k_n</f>
        <v/>
      </c>
      <c r="R2179">
        <f>K2179-G2179*H2179/k_n</f>
        <v/>
      </c>
      <c r="S2179">
        <f>L2179-LTP3!$D$3*G2179/k_n</f>
        <v/>
      </c>
      <c r="T2179">
        <f>M2179-LTP3!$D$3*H2179/k_n</f>
        <v/>
      </c>
      <c r="U2179">
        <f>N2179-G2179*LTP3!$D$4/k_n</f>
        <v/>
      </c>
      <c r="V2179">
        <f>O2179-H2179*LTP3!$D$4/k_n</f>
        <v/>
      </c>
      <c r="W2179">
        <f>((LTP3!$D$5)*((P2179)*(Q2179)-(R2179)*(R2179))-(S2179)*((S2179)*(Q2179)-(R2179)*(T2179))+(T2179)*((S2179)*(R2179)-(P2179)*(T2179)))</f>
        <v/>
      </c>
      <c r="X2179">
        <f>IF(ABS(W2179)&gt;1E-12,((LTP3!$D$6)*((P2179)*(Q2179)-(R2179)*(R2179))-(S2179)*((U2179)*(Q2179)-(R2179)*(V2179))+(T2179)*((U2179)*(R2179)-(P2179)*(V2179)))/W2179,0)</f>
        <v/>
      </c>
      <c r="Y2179">
        <f>IF(ABS(W2179)&gt;1E-12,((LTP3!$D$5)*((U2179)*(Q2179)-(R2179)*(V2179))-(LTP3!$D$6)*((S2179)*(Q2179)-(R2179)*(T2179))+(T2179)*((S2179)*(V2179)-(U2179)*(T2179)))/W2179,0)</f>
        <v/>
      </c>
      <c r="Z2179">
        <f>IF(ABS(W2179)&gt;1E-12,((LTP3!$D$5)*((P2179)*(V2179)-(U2179)*(R2179))-(S2179)*((S2179)*(V2179)-(U2179)*(T2179))+(LTP3!$D$6)*((S2179)*(R2179)-(P2179)*(T2179)))/W2179,0)</f>
        <v/>
      </c>
      <c r="AA2179">
        <f>LTP3!$D$7-X2179*LTP3!$D$6-Y2179*U2179-Z2179*V2179</f>
        <v/>
      </c>
      <c r="AB2179">
        <f>IF(AND(F2179,ABS(W2179)&gt;1E-12,Y2179&gt;0,Z2179&gt;0),AA2179,1E+300)</f>
        <v/>
      </c>
    </row>
    <row r="2180">
      <c r="A2180">
        <f>$B$3+$B$5*35</f>
        <v/>
      </c>
      <c r="B2180">
        <f>$B$3+$B$5*33</f>
        <v/>
      </c>
      <c r="C2180">
        <f>SUMPRODUCT(Calc!$K$3:$K$22*(Calc!$G$3:$G$22&lt;=A2180))</f>
        <v/>
      </c>
      <c r="D2180">
        <f>SUMPRODUCT(Calc!$K$3:$K$22*(Calc!$G$3:$G$22&gt;A2180)*(Calc!$G$3:$G$22&lt;B2180))</f>
        <v/>
      </c>
      <c r="E2180">
        <f>SUMPRODUCT(Calc!$K$3:$K$22*(Calc!$G$3:$G$22&gt;=B2180))</f>
        <v/>
      </c>
      <c r="F2180">
        <f>AND(k_n&gt;=5,B2180&gt;A2180+1E-9,C2180&gt;=2,D2180&gt;=1,E2180&gt;=2)</f>
        <v/>
      </c>
      <c r="G2180">
        <f>SUMPRODUCT(Calc!$K$3:$K$22*(Calc!$G$3:$G$22&gt;A2180)*(Calc!$G$3:$G$22-A2180))</f>
        <v/>
      </c>
      <c r="H2180">
        <f>SUMPRODUCT(Calc!$K$3:$K$22*(Calc!$G$3:$G$22&gt;B2180)*(Calc!$G$3:$G$22-B2180))</f>
        <v/>
      </c>
      <c r="I2180">
        <f>SUMPRODUCT(Calc!$K$3:$K$22*(Calc!$G$3:$G$22&gt;A2180)*(Calc!$G$3:$G$22-A2180)^2)</f>
        <v/>
      </c>
      <c r="J2180">
        <f>SUMPRODUCT(Calc!$K$3:$K$22*(Calc!$G$3:$G$22&gt;B2180)*(Calc!$G$3:$G$22-B2180)^2)</f>
        <v/>
      </c>
      <c r="K2180">
        <f>SUMPRODUCT(Calc!$K$3:$K$22*(Calc!$G$3:$G$22&gt;A2180)*(Calc!$G$3:$G$22-A2180)*(Calc!$G$3:$G$22&gt;B2180)*(Calc!$G$3:$G$22-B2180))</f>
        <v/>
      </c>
      <c r="L2180">
        <f>SUMPRODUCT(Calc!$K$3:$K$22*(Calc!$G$3:$G$22&gt;A2180)*(Calc!$G$3:$G$22-A2180)*Calc!$G$3:$G$22)</f>
        <v/>
      </c>
      <c r="M2180">
        <f>SUMPRODUCT(Calc!$K$3:$K$22*(Calc!$G$3:$G$22&gt;B2180)*(Calc!$G$3:$G$22-B2180)*Calc!$G$3:$G$22)</f>
        <v/>
      </c>
      <c r="N2180">
        <f>SUMPRODUCT(Calc!$K$3:$K$22*(Calc!$G$3:$G$22&gt;A2180)*(Calc!$G$3:$G$22-A2180)*Calc!$I$3:$I$22)</f>
        <v/>
      </c>
      <c r="O2180">
        <f>SUMPRODUCT(Calc!$K$3:$K$22*(Calc!$G$3:$G$22&gt;B2180)*(Calc!$G$3:$G$22-B2180)*Calc!$I$3:$I$22)</f>
        <v/>
      </c>
      <c r="P2180">
        <f>I2180-G2180^2/k_n</f>
        <v/>
      </c>
      <c r="Q2180">
        <f>J2180-H2180^2/k_n</f>
        <v/>
      </c>
      <c r="R2180">
        <f>K2180-G2180*H2180/k_n</f>
        <v/>
      </c>
      <c r="S2180">
        <f>L2180-LTP3!$D$3*G2180/k_n</f>
        <v/>
      </c>
      <c r="T2180">
        <f>M2180-LTP3!$D$3*H2180/k_n</f>
        <v/>
      </c>
      <c r="U2180">
        <f>N2180-G2180*LTP3!$D$4/k_n</f>
        <v/>
      </c>
      <c r="V2180">
        <f>O2180-H2180*LTP3!$D$4/k_n</f>
        <v/>
      </c>
      <c r="W2180">
        <f>((LTP3!$D$5)*((P2180)*(Q2180)-(R2180)*(R2180))-(S2180)*((S2180)*(Q2180)-(R2180)*(T2180))+(T2180)*((S2180)*(R2180)-(P2180)*(T2180)))</f>
        <v/>
      </c>
      <c r="X2180">
        <f>IF(ABS(W2180)&gt;1E-12,((LTP3!$D$6)*((P2180)*(Q2180)-(R2180)*(R2180))-(S2180)*((U2180)*(Q2180)-(R2180)*(V2180))+(T2180)*((U2180)*(R2180)-(P2180)*(V2180)))/W2180,0)</f>
        <v/>
      </c>
      <c r="Y2180">
        <f>IF(ABS(W2180)&gt;1E-12,((LTP3!$D$5)*((U2180)*(Q2180)-(R2180)*(V2180))-(LTP3!$D$6)*((S2180)*(Q2180)-(R2180)*(T2180))+(T2180)*((S2180)*(V2180)-(U2180)*(T2180)))/W2180,0)</f>
        <v/>
      </c>
      <c r="Z2180">
        <f>IF(ABS(W2180)&gt;1E-12,((LTP3!$D$5)*((P2180)*(V2180)-(U2180)*(R2180))-(S2180)*((S2180)*(V2180)-(U2180)*(T2180))+(LTP3!$D$6)*((S2180)*(R2180)-(P2180)*(T2180)))/W2180,0)</f>
        <v/>
      </c>
      <c r="AA2180">
        <f>LTP3!$D$7-X2180*LTP3!$D$6-Y2180*U2180-Z2180*V2180</f>
        <v/>
      </c>
      <c r="AB2180">
        <f>IF(AND(F2180,ABS(W2180)&gt;1E-12,Y2180&gt;0,Z2180&gt;0),AA2180,1E+300)</f>
        <v/>
      </c>
    </row>
    <row r="2181">
      <c r="A2181">
        <f>$B$3+$B$5*35</f>
        <v/>
      </c>
      <c r="B2181">
        <f>$B$3+$B$5*34</f>
        <v/>
      </c>
      <c r="C2181">
        <f>SUMPRODUCT(Calc!$K$3:$K$22*(Calc!$G$3:$G$22&lt;=A2181))</f>
        <v/>
      </c>
      <c r="D2181">
        <f>SUMPRODUCT(Calc!$K$3:$K$22*(Calc!$G$3:$G$22&gt;A2181)*(Calc!$G$3:$G$22&lt;B2181))</f>
        <v/>
      </c>
      <c r="E2181">
        <f>SUMPRODUCT(Calc!$K$3:$K$22*(Calc!$G$3:$G$22&gt;=B2181))</f>
        <v/>
      </c>
      <c r="F2181">
        <f>AND(k_n&gt;=5,B2181&gt;A2181+1E-9,C2181&gt;=2,D2181&gt;=1,E2181&gt;=2)</f>
        <v/>
      </c>
      <c r="G2181">
        <f>SUMPRODUCT(Calc!$K$3:$K$22*(Calc!$G$3:$G$22&gt;A2181)*(Calc!$G$3:$G$22-A2181))</f>
        <v/>
      </c>
      <c r="H2181">
        <f>SUMPRODUCT(Calc!$K$3:$K$22*(Calc!$G$3:$G$22&gt;B2181)*(Calc!$G$3:$G$22-B2181))</f>
        <v/>
      </c>
      <c r="I2181">
        <f>SUMPRODUCT(Calc!$K$3:$K$22*(Calc!$G$3:$G$22&gt;A2181)*(Calc!$G$3:$G$22-A2181)^2)</f>
        <v/>
      </c>
      <c r="J2181">
        <f>SUMPRODUCT(Calc!$K$3:$K$22*(Calc!$G$3:$G$22&gt;B2181)*(Calc!$G$3:$G$22-B2181)^2)</f>
        <v/>
      </c>
      <c r="K2181">
        <f>SUMPRODUCT(Calc!$K$3:$K$22*(Calc!$G$3:$G$22&gt;A2181)*(Calc!$G$3:$G$22-A2181)*(Calc!$G$3:$G$22&gt;B2181)*(Calc!$G$3:$G$22-B2181))</f>
        <v/>
      </c>
      <c r="L2181">
        <f>SUMPRODUCT(Calc!$K$3:$K$22*(Calc!$G$3:$G$22&gt;A2181)*(Calc!$G$3:$G$22-A2181)*Calc!$G$3:$G$22)</f>
        <v/>
      </c>
      <c r="M2181">
        <f>SUMPRODUCT(Calc!$K$3:$K$22*(Calc!$G$3:$G$22&gt;B2181)*(Calc!$G$3:$G$22-B2181)*Calc!$G$3:$G$22)</f>
        <v/>
      </c>
      <c r="N2181">
        <f>SUMPRODUCT(Calc!$K$3:$K$22*(Calc!$G$3:$G$22&gt;A2181)*(Calc!$G$3:$G$22-A2181)*Calc!$I$3:$I$22)</f>
        <v/>
      </c>
      <c r="O2181">
        <f>SUMPRODUCT(Calc!$K$3:$K$22*(Calc!$G$3:$G$22&gt;B2181)*(Calc!$G$3:$G$22-B2181)*Calc!$I$3:$I$22)</f>
        <v/>
      </c>
      <c r="P2181">
        <f>I2181-G2181^2/k_n</f>
        <v/>
      </c>
      <c r="Q2181">
        <f>J2181-H2181^2/k_n</f>
        <v/>
      </c>
      <c r="R2181">
        <f>K2181-G2181*H2181/k_n</f>
        <v/>
      </c>
      <c r="S2181">
        <f>L2181-LTP3!$D$3*G2181/k_n</f>
        <v/>
      </c>
      <c r="T2181">
        <f>M2181-LTP3!$D$3*H2181/k_n</f>
        <v/>
      </c>
      <c r="U2181">
        <f>N2181-G2181*LTP3!$D$4/k_n</f>
        <v/>
      </c>
      <c r="V2181">
        <f>O2181-H2181*LTP3!$D$4/k_n</f>
        <v/>
      </c>
      <c r="W2181">
        <f>((LTP3!$D$5)*((P2181)*(Q2181)-(R2181)*(R2181))-(S2181)*((S2181)*(Q2181)-(R2181)*(T2181))+(T2181)*((S2181)*(R2181)-(P2181)*(T2181)))</f>
        <v/>
      </c>
      <c r="X2181">
        <f>IF(ABS(W2181)&gt;1E-12,((LTP3!$D$6)*((P2181)*(Q2181)-(R2181)*(R2181))-(S2181)*((U2181)*(Q2181)-(R2181)*(V2181))+(T2181)*((U2181)*(R2181)-(P2181)*(V2181)))/W2181,0)</f>
        <v/>
      </c>
      <c r="Y2181">
        <f>IF(ABS(W2181)&gt;1E-12,((LTP3!$D$5)*((U2181)*(Q2181)-(R2181)*(V2181))-(LTP3!$D$6)*((S2181)*(Q2181)-(R2181)*(T2181))+(T2181)*((S2181)*(V2181)-(U2181)*(T2181)))/W2181,0)</f>
        <v/>
      </c>
      <c r="Z2181">
        <f>IF(ABS(W2181)&gt;1E-12,((LTP3!$D$5)*((P2181)*(V2181)-(U2181)*(R2181))-(S2181)*((S2181)*(V2181)-(U2181)*(T2181))+(LTP3!$D$6)*((S2181)*(R2181)-(P2181)*(T2181)))/W2181,0)</f>
        <v/>
      </c>
      <c r="AA2181">
        <f>LTP3!$D$7-X2181*LTP3!$D$6-Y2181*U2181-Z2181*V2181</f>
        <v/>
      </c>
      <c r="AB2181">
        <f>IF(AND(F2181,ABS(W2181)&gt;1E-12,Y2181&gt;0,Z2181&gt;0),AA2181,1E+300)</f>
        <v/>
      </c>
    </row>
    <row r="2182">
      <c r="A2182">
        <f>$B$3+$B$5*35</f>
        <v/>
      </c>
      <c r="B2182">
        <f>$B$3+$B$5*35</f>
        <v/>
      </c>
      <c r="C2182">
        <f>SUMPRODUCT(Calc!$K$3:$K$22*(Calc!$G$3:$G$22&lt;=A2182))</f>
        <v/>
      </c>
      <c r="D2182">
        <f>SUMPRODUCT(Calc!$K$3:$K$22*(Calc!$G$3:$G$22&gt;A2182)*(Calc!$G$3:$G$22&lt;B2182))</f>
        <v/>
      </c>
      <c r="E2182">
        <f>SUMPRODUCT(Calc!$K$3:$K$22*(Calc!$G$3:$G$22&gt;=B2182))</f>
        <v/>
      </c>
      <c r="F2182">
        <f>AND(k_n&gt;=5,B2182&gt;A2182+1E-9,C2182&gt;=2,D2182&gt;=1,E2182&gt;=2)</f>
        <v/>
      </c>
      <c r="G2182">
        <f>SUMPRODUCT(Calc!$K$3:$K$22*(Calc!$G$3:$G$22&gt;A2182)*(Calc!$G$3:$G$22-A2182))</f>
        <v/>
      </c>
      <c r="H2182">
        <f>SUMPRODUCT(Calc!$K$3:$K$22*(Calc!$G$3:$G$22&gt;B2182)*(Calc!$G$3:$G$22-B2182))</f>
        <v/>
      </c>
      <c r="I2182">
        <f>SUMPRODUCT(Calc!$K$3:$K$22*(Calc!$G$3:$G$22&gt;A2182)*(Calc!$G$3:$G$22-A2182)^2)</f>
        <v/>
      </c>
      <c r="J2182">
        <f>SUMPRODUCT(Calc!$K$3:$K$22*(Calc!$G$3:$G$22&gt;B2182)*(Calc!$G$3:$G$22-B2182)^2)</f>
        <v/>
      </c>
      <c r="K2182">
        <f>SUMPRODUCT(Calc!$K$3:$K$22*(Calc!$G$3:$G$22&gt;A2182)*(Calc!$G$3:$G$22-A2182)*(Calc!$G$3:$G$22&gt;B2182)*(Calc!$G$3:$G$22-B2182))</f>
        <v/>
      </c>
      <c r="L2182">
        <f>SUMPRODUCT(Calc!$K$3:$K$22*(Calc!$G$3:$G$22&gt;A2182)*(Calc!$G$3:$G$22-A2182)*Calc!$G$3:$G$22)</f>
        <v/>
      </c>
      <c r="M2182">
        <f>SUMPRODUCT(Calc!$K$3:$K$22*(Calc!$G$3:$G$22&gt;B2182)*(Calc!$G$3:$G$22-B2182)*Calc!$G$3:$G$22)</f>
        <v/>
      </c>
      <c r="N2182">
        <f>SUMPRODUCT(Calc!$K$3:$K$22*(Calc!$G$3:$G$22&gt;A2182)*(Calc!$G$3:$G$22-A2182)*Calc!$I$3:$I$22)</f>
        <v/>
      </c>
      <c r="O2182">
        <f>SUMPRODUCT(Calc!$K$3:$K$22*(Calc!$G$3:$G$22&gt;B2182)*(Calc!$G$3:$G$22-B2182)*Calc!$I$3:$I$22)</f>
        <v/>
      </c>
      <c r="P2182">
        <f>I2182-G2182^2/k_n</f>
        <v/>
      </c>
      <c r="Q2182">
        <f>J2182-H2182^2/k_n</f>
        <v/>
      </c>
      <c r="R2182">
        <f>K2182-G2182*H2182/k_n</f>
        <v/>
      </c>
      <c r="S2182">
        <f>L2182-LTP3!$D$3*G2182/k_n</f>
        <v/>
      </c>
      <c r="T2182">
        <f>M2182-LTP3!$D$3*H2182/k_n</f>
        <v/>
      </c>
      <c r="U2182">
        <f>N2182-G2182*LTP3!$D$4/k_n</f>
        <v/>
      </c>
      <c r="V2182">
        <f>O2182-H2182*LTP3!$D$4/k_n</f>
        <v/>
      </c>
      <c r="W2182">
        <f>((LTP3!$D$5)*((P2182)*(Q2182)-(R2182)*(R2182))-(S2182)*((S2182)*(Q2182)-(R2182)*(T2182))+(T2182)*((S2182)*(R2182)-(P2182)*(T2182)))</f>
        <v/>
      </c>
      <c r="X2182">
        <f>IF(ABS(W2182)&gt;1E-12,((LTP3!$D$6)*((P2182)*(Q2182)-(R2182)*(R2182))-(S2182)*((U2182)*(Q2182)-(R2182)*(V2182))+(T2182)*((U2182)*(R2182)-(P2182)*(V2182)))/W2182,0)</f>
        <v/>
      </c>
      <c r="Y2182">
        <f>IF(ABS(W2182)&gt;1E-12,((LTP3!$D$5)*((U2182)*(Q2182)-(R2182)*(V2182))-(LTP3!$D$6)*((S2182)*(Q2182)-(R2182)*(T2182))+(T2182)*((S2182)*(V2182)-(U2182)*(T2182)))/W2182,0)</f>
        <v/>
      </c>
      <c r="Z2182">
        <f>IF(ABS(W2182)&gt;1E-12,((LTP3!$D$5)*((P2182)*(V2182)-(U2182)*(R2182))-(S2182)*((S2182)*(V2182)-(U2182)*(T2182))+(LTP3!$D$6)*((S2182)*(R2182)-(P2182)*(T2182)))/W2182,0)</f>
        <v/>
      </c>
      <c r="AA2182">
        <f>LTP3!$D$7-X2182*LTP3!$D$6-Y2182*U2182-Z2182*V2182</f>
        <v/>
      </c>
      <c r="AB2182">
        <f>IF(AND(F2182,ABS(W2182)&gt;1E-12,Y2182&gt;0,Z2182&gt;0),AA2182,1E+300)</f>
        <v/>
      </c>
    </row>
    <row r="2183">
      <c r="A2183">
        <f>$B$3+$B$5*35</f>
        <v/>
      </c>
      <c r="B2183">
        <f>$B$3+$B$5*36</f>
        <v/>
      </c>
      <c r="C2183">
        <f>SUMPRODUCT(Calc!$K$3:$K$22*(Calc!$G$3:$G$22&lt;=A2183))</f>
        <v/>
      </c>
      <c r="D2183">
        <f>SUMPRODUCT(Calc!$K$3:$K$22*(Calc!$G$3:$G$22&gt;A2183)*(Calc!$G$3:$G$22&lt;B2183))</f>
        <v/>
      </c>
      <c r="E2183">
        <f>SUMPRODUCT(Calc!$K$3:$K$22*(Calc!$G$3:$G$22&gt;=B2183))</f>
        <v/>
      </c>
      <c r="F2183">
        <f>AND(k_n&gt;=5,B2183&gt;A2183+1E-9,C2183&gt;=2,D2183&gt;=1,E2183&gt;=2)</f>
        <v/>
      </c>
      <c r="G2183">
        <f>SUMPRODUCT(Calc!$K$3:$K$22*(Calc!$G$3:$G$22&gt;A2183)*(Calc!$G$3:$G$22-A2183))</f>
        <v/>
      </c>
      <c r="H2183">
        <f>SUMPRODUCT(Calc!$K$3:$K$22*(Calc!$G$3:$G$22&gt;B2183)*(Calc!$G$3:$G$22-B2183))</f>
        <v/>
      </c>
      <c r="I2183">
        <f>SUMPRODUCT(Calc!$K$3:$K$22*(Calc!$G$3:$G$22&gt;A2183)*(Calc!$G$3:$G$22-A2183)^2)</f>
        <v/>
      </c>
      <c r="J2183">
        <f>SUMPRODUCT(Calc!$K$3:$K$22*(Calc!$G$3:$G$22&gt;B2183)*(Calc!$G$3:$G$22-B2183)^2)</f>
        <v/>
      </c>
      <c r="K2183">
        <f>SUMPRODUCT(Calc!$K$3:$K$22*(Calc!$G$3:$G$22&gt;A2183)*(Calc!$G$3:$G$22-A2183)*(Calc!$G$3:$G$22&gt;B2183)*(Calc!$G$3:$G$22-B2183))</f>
        <v/>
      </c>
      <c r="L2183">
        <f>SUMPRODUCT(Calc!$K$3:$K$22*(Calc!$G$3:$G$22&gt;A2183)*(Calc!$G$3:$G$22-A2183)*Calc!$G$3:$G$22)</f>
        <v/>
      </c>
      <c r="M2183">
        <f>SUMPRODUCT(Calc!$K$3:$K$22*(Calc!$G$3:$G$22&gt;B2183)*(Calc!$G$3:$G$22-B2183)*Calc!$G$3:$G$22)</f>
        <v/>
      </c>
      <c r="N2183">
        <f>SUMPRODUCT(Calc!$K$3:$K$22*(Calc!$G$3:$G$22&gt;A2183)*(Calc!$G$3:$G$22-A2183)*Calc!$I$3:$I$22)</f>
        <v/>
      </c>
      <c r="O2183">
        <f>SUMPRODUCT(Calc!$K$3:$K$22*(Calc!$G$3:$G$22&gt;B2183)*(Calc!$G$3:$G$22-B2183)*Calc!$I$3:$I$22)</f>
        <v/>
      </c>
      <c r="P2183">
        <f>I2183-G2183^2/k_n</f>
        <v/>
      </c>
      <c r="Q2183">
        <f>J2183-H2183^2/k_n</f>
        <v/>
      </c>
      <c r="R2183">
        <f>K2183-G2183*H2183/k_n</f>
        <v/>
      </c>
      <c r="S2183">
        <f>L2183-LTP3!$D$3*G2183/k_n</f>
        <v/>
      </c>
      <c r="T2183">
        <f>M2183-LTP3!$D$3*H2183/k_n</f>
        <v/>
      </c>
      <c r="U2183">
        <f>N2183-G2183*LTP3!$D$4/k_n</f>
        <v/>
      </c>
      <c r="V2183">
        <f>O2183-H2183*LTP3!$D$4/k_n</f>
        <v/>
      </c>
      <c r="W2183">
        <f>((LTP3!$D$5)*((P2183)*(Q2183)-(R2183)*(R2183))-(S2183)*((S2183)*(Q2183)-(R2183)*(T2183))+(T2183)*((S2183)*(R2183)-(P2183)*(T2183)))</f>
        <v/>
      </c>
      <c r="X2183">
        <f>IF(ABS(W2183)&gt;1E-12,((LTP3!$D$6)*((P2183)*(Q2183)-(R2183)*(R2183))-(S2183)*((U2183)*(Q2183)-(R2183)*(V2183))+(T2183)*((U2183)*(R2183)-(P2183)*(V2183)))/W2183,0)</f>
        <v/>
      </c>
      <c r="Y2183">
        <f>IF(ABS(W2183)&gt;1E-12,((LTP3!$D$5)*((U2183)*(Q2183)-(R2183)*(V2183))-(LTP3!$D$6)*((S2183)*(Q2183)-(R2183)*(T2183))+(T2183)*((S2183)*(V2183)-(U2183)*(T2183)))/W2183,0)</f>
        <v/>
      </c>
      <c r="Z2183">
        <f>IF(ABS(W2183)&gt;1E-12,((LTP3!$D$5)*((P2183)*(V2183)-(U2183)*(R2183))-(S2183)*((S2183)*(V2183)-(U2183)*(T2183))+(LTP3!$D$6)*((S2183)*(R2183)-(P2183)*(T2183)))/W2183,0)</f>
        <v/>
      </c>
      <c r="AA2183">
        <f>LTP3!$D$7-X2183*LTP3!$D$6-Y2183*U2183-Z2183*V2183</f>
        <v/>
      </c>
      <c r="AB2183">
        <f>IF(AND(F2183,ABS(W2183)&gt;1E-12,Y2183&gt;0,Z2183&gt;0),AA2183,1E+300)</f>
        <v/>
      </c>
    </row>
    <row r="2184">
      <c r="A2184">
        <f>$B$3+$B$5*35</f>
        <v/>
      </c>
      <c r="B2184">
        <f>$B$3+$B$5*37</f>
        <v/>
      </c>
      <c r="C2184">
        <f>SUMPRODUCT(Calc!$K$3:$K$22*(Calc!$G$3:$G$22&lt;=A2184))</f>
        <v/>
      </c>
      <c r="D2184">
        <f>SUMPRODUCT(Calc!$K$3:$K$22*(Calc!$G$3:$G$22&gt;A2184)*(Calc!$G$3:$G$22&lt;B2184))</f>
        <v/>
      </c>
      <c r="E2184">
        <f>SUMPRODUCT(Calc!$K$3:$K$22*(Calc!$G$3:$G$22&gt;=B2184))</f>
        <v/>
      </c>
      <c r="F2184">
        <f>AND(k_n&gt;=5,B2184&gt;A2184+1E-9,C2184&gt;=2,D2184&gt;=1,E2184&gt;=2)</f>
        <v/>
      </c>
      <c r="G2184">
        <f>SUMPRODUCT(Calc!$K$3:$K$22*(Calc!$G$3:$G$22&gt;A2184)*(Calc!$G$3:$G$22-A2184))</f>
        <v/>
      </c>
      <c r="H2184">
        <f>SUMPRODUCT(Calc!$K$3:$K$22*(Calc!$G$3:$G$22&gt;B2184)*(Calc!$G$3:$G$22-B2184))</f>
        <v/>
      </c>
      <c r="I2184">
        <f>SUMPRODUCT(Calc!$K$3:$K$22*(Calc!$G$3:$G$22&gt;A2184)*(Calc!$G$3:$G$22-A2184)^2)</f>
        <v/>
      </c>
      <c r="J2184">
        <f>SUMPRODUCT(Calc!$K$3:$K$22*(Calc!$G$3:$G$22&gt;B2184)*(Calc!$G$3:$G$22-B2184)^2)</f>
        <v/>
      </c>
      <c r="K2184">
        <f>SUMPRODUCT(Calc!$K$3:$K$22*(Calc!$G$3:$G$22&gt;A2184)*(Calc!$G$3:$G$22-A2184)*(Calc!$G$3:$G$22&gt;B2184)*(Calc!$G$3:$G$22-B2184))</f>
        <v/>
      </c>
      <c r="L2184">
        <f>SUMPRODUCT(Calc!$K$3:$K$22*(Calc!$G$3:$G$22&gt;A2184)*(Calc!$G$3:$G$22-A2184)*Calc!$G$3:$G$22)</f>
        <v/>
      </c>
      <c r="M2184">
        <f>SUMPRODUCT(Calc!$K$3:$K$22*(Calc!$G$3:$G$22&gt;B2184)*(Calc!$G$3:$G$22-B2184)*Calc!$G$3:$G$22)</f>
        <v/>
      </c>
      <c r="N2184">
        <f>SUMPRODUCT(Calc!$K$3:$K$22*(Calc!$G$3:$G$22&gt;A2184)*(Calc!$G$3:$G$22-A2184)*Calc!$I$3:$I$22)</f>
        <v/>
      </c>
      <c r="O2184">
        <f>SUMPRODUCT(Calc!$K$3:$K$22*(Calc!$G$3:$G$22&gt;B2184)*(Calc!$G$3:$G$22-B2184)*Calc!$I$3:$I$22)</f>
        <v/>
      </c>
      <c r="P2184">
        <f>I2184-G2184^2/k_n</f>
        <v/>
      </c>
      <c r="Q2184">
        <f>J2184-H2184^2/k_n</f>
        <v/>
      </c>
      <c r="R2184">
        <f>K2184-G2184*H2184/k_n</f>
        <v/>
      </c>
      <c r="S2184">
        <f>L2184-LTP3!$D$3*G2184/k_n</f>
        <v/>
      </c>
      <c r="T2184">
        <f>M2184-LTP3!$D$3*H2184/k_n</f>
        <v/>
      </c>
      <c r="U2184">
        <f>N2184-G2184*LTP3!$D$4/k_n</f>
        <v/>
      </c>
      <c r="V2184">
        <f>O2184-H2184*LTP3!$D$4/k_n</f>
        <v/>
      </c>
      <c r="W2184">
        <f>((LTP3!$D$5)*((P2184)*(Q2184)-(R2184)*(R2184))-(S2184)*((S2184)*(Q2184)-(R2184)*(T2184))+(T2184)*((S2184)*(R2184)-(P2184)*(T2184)))</f>
        <v/>
      </c>
      <c r="X2184">
        <f>IF(ABS(W2184)&gt;1E-12,((LTP3!$D$6)*((P2184)*(Q2184)-(R2184)*(R2184))-(S2184)*((U2184)*(Q2184)-(R2184)*(V2184))+(T2184)*((U2184)*(R2184)-(P2184)*(V2184)))/W2184,0)</f>
        <v/>
      </c>
      <c r="Y2184">
        <f>IF(ABS(W2184)&gt;1E-12,((LTP3!$D$5)*((U2184)*(Q2184)-(R2184)*(V2184))-(LTP3!$D$6)*((S2184)*(Q2184)-(R2184)*(T2184))+(T2184)*((S2184)*(V2184)-(U2184)*(T2184)))/W2184,0)</f>
        <v/>
      </c>
      <c r="Z2184">
        <f>IF(ABS(W2184)&gt;1E-12,((LTP3!$D$5)*((P2184)*(V2184)-(U2184)*(R2184))-(S2184)*((S2184)*(V2184)-(U2184)*(T2184))+(LTP3!$D$6)*((S2184)*(R2184)-(P2184)*(T2184)))/W2184,0)</f>
        <v/>
      </c>
      <c r="AA2184">
        <f>LTP3!$D$7-X2184*LTP3!$D$6-Y2184*U2184-Z2184*V2184</f>
        <v/>
      </c>
      <c r="AB2184">
        <f>IF(AND(F2184,ABS(W2184)&gt;1E-12,Y2184&gt;0,Z2184&gt;0),AA2184,1E+300)</f>
        <v/>
      </c>
    </row>
    <row r="2185">
      <c r="A2185">
        <f>$B$3+$B$5*35</f>
        <v/>
      </c>
      <c r="B2185">
        <f>$B$3+$B$5*38</f>
        <v/>
      </c>
      <c r="C2185">
        <f>SUMPRODUCT(Calc!$K$3:$K$22*(Calc!$G$3:$G$22&lt;=A2185))</f>
        <v/>
      </c>
      <c r="D2185">
        <f>SUMPRODUCT(Calc!$K$3:$K$22*(Calc!$G$3:$G$22&gt;A2185)*(Calc!$G$3:$G$22&lt;B2185))</f>
        <v/>
      </c>
      <c r="E2185">
        <f>SUMPRODUCT(Calc!$K$3:$K$22*(Calc!$G$3:$G$22&gt;=B2185))</f>
        <v/>
      </c>
      <c r="F2185">
        <f>AND(k_n&gt;=5,B2185&gt;A2185+1E-9,C2185&gt;=2,D2185&gt;=1,E2185&gt;=2)</f>
        <v/>
      </c>
      <c r="G2185">
        <f>SUMPRODUCT(Calc!$K$3:$K$22*(Calc!$G$3:$G$22&gt;A2185)*(Calc!$G$3:$G$22-A2185))</f>
        <v/>
      </c>
      <c r="H2185">
        <f>SUMPRODUCT(Calc!$K$3:$K$22*(Calc!$G$3:$G$22&gt;B2185)*(Calc!$G$3:$G$22-B2185))</f>
        <v/>
      </c>
      <c r="I2185">
        <f>SUMPRODUCT(Calc!$K$3:$K$22*(Calc!$G$3:$G$22&gt;A2185)*(Calc!$G$3:$G$22-A2185)^2)</f>
        <v/>
      </c>
      <c r="J2185">
        <f>SUMPRODUCT(Calc!$K$3:$K$22*(Calc!$G$3:$G$22&gt;B2185)*(Calc!$G$3:$G$22-B2185)^2)</f>
        <v/>
      </c>
      <c r="K2185">
        <f>SUMPRODUCT(Calc!$K$3:$K$22*(Calc!$G$3:$G$22&gt;A2185)*(Calc!$G$3:$G$22-A2185)*(Calc!$G$3:$G$22&gt;B2185)*(Calc!$G$3:$G$22-B2185))</f>
        <v/>
      </c>
      <c r="L2185">
        <f>SUMPRODUCT(Calc!$K$3:$K$22*(Calc!$G$3:$G$22&gt;A2185)*(Calc!$G$3:$G$22-A2185)*Calc!$G$3:$G$22)</f>
        <v/>
      </c>
      <c r="M2185">
        <f>SUMPRODUCT(Calc!$K$3:$K$22*(Calc!$G$3:$G$22&gt;B2185)*(Calc!$G$3:$G$22-B2185)*Calc!$G$3:$G$22)</f>
        <v/>
      </c>
      <c r="N2185">
        <f>SUMPRODUCT(Calc!$K$3:$K$22*(Calc!$G$3:$G$22&gt;A2185)*(Calc!$G$3:$G$22-A2185)*Calc!$I$3:$I$22)</f>
        <v/>
      </c>
      <c r="O2185">
        <f>SUMPRODUCT(Calc!$K$3:$K$22*(Calc!$G$3:$G$22&gt;B2185)*(Calc!$G$3:$G$22-B2185)*Calc!$I$3:$I$22)</f>
        <v/>
      </c>
      <c r="P2185">
        <f>I2185-G2185^2/k_n</f>
        <v/>
      </c>
      <c r="Q2185">
        <f>J2185-H2185^2/k_n</f>
        <v/>
      </c>
      <c r="R2185">
        <f>K2185-G2185*H2185/k_n</f>
        <v/>
      </c>
      <c r="S2185">
        <f>L2185-LTP3!$D$3*G2185/k_n</f>
        <v/>
      </c>
      <c r="T2185">
        <f>M2185-LTP3!$D$3*H2185/k_n</f>
        <v/>
      </c>
      <c r="U2185">
        <f>N2185-G2185*LTP3!$D$4/k_n</f>
        <v/>
      </c>
      <c r="V2185">
        <f>O2185-H2185*LTP3!$D$4/k_n</f>
        <v/>
      </c>
      <c r="W2185">
        <f>((LTP3!$D$5)*((P2185)*(Q2185)-(R2185)*(R2185))-(S2185)*((S2185)*(Q2185)-(R2185)*(T2185))+(T2185)*((S2185)*(R2185)-(P2185)*(T2185)))</f>
        <v/>
      </c>
      <c r="X2185">
        <f>IF(ABS(W2185)&gt;1E-12,((LTP3!$D$6)*((P2185)*(Q2185)-(R2185)*(R2185))-(S2185)*((U2185)*(Q2185)-(R2185)*(V2185))+(T2185)*((U2185)*(R2185)-(P2185)*(V2185)))/W2185,0)</f>
        <v/>
      </c>
      <c r="Y2185">
        <f>IF(ABS(W2185)&gt;1E-12,((LTP3!$D$5)*((U2185)*(Q2185)-(R2185)*(V2185))-(LTP3!$D$6)*((S2185)*(Q2185)-(R2185)*(T2185))+(T2185)*((S2185)*(V2185)-(U2185)*(T2185)))/W2185,0)</f>
        <v/>
      </c>
      <c r="Z2185">
        <f>IF(ABS(W2185)&gt;1E-12,((LTP3!$D$5)*((P2185)*(V2185)-(U2185)*(R2185))-(S2185)*((S2185)*(V2185)-(U2185)*(T2185))+(LTP3!$D$6)*((S2185)*(R2185)-(P2185)*(T2185)))/W2185,0)</f>
        <v/>
      </c>
      <c r="AA2185">
        <f>LTP3!$D$7-X2185*LTP3!$D$6-Y2185*U2185-Z2185*V2185</f>
        <v/>
      </c>
      <c r="AB2185">
        <f>IF(AND(F2185,ABS(W2185)&gt;1E-12,Y2185&gt;0,Z2185&gt;0),AA2185,1E+300)</f>
        <v/>
      </c>
    </row>
    <row r="2186">
      <c r="A2186">
        <f>$B$3+$B$5*35</f>
        <v/>
      </c>
      <c r="B2186">
        <f>$B$3+$B$5*39</f>
        <v/>
      </c>
      <c r="C2186">
        <f>SUMPRODUCT(Calc!$K$3:$K$22*(Calc!$G$3:$G$22&lt;=A2186))</f>
        <v/>
      </c>
      <c r="D2186">
        <f>SUMPRODUCT(Calc!$K$3:$K$22*(Calc!$G$3:$G$22&gt;A2186)*(Calc!$G$3:$G$22&lt;B2186))</f>
        <v/>
      </c>
      <c r="E2186">
        <f>SUMPRODUCT(Calc!$K$3:$K$22*(Calc!$G$3:$G$22&gt;=B2186))</f>
        <v/>
      </c>
      <c r="F2186">
        <f>AND(k_n&gt;=5,B2186&gt;A2186+1E-9,C2186&gt;=2,D2186&gt;=1,E2186&gt;=2)</f>
        <v/>
      </c>
      <c r="G2186">
        <f>SUMPRODUCT(Calc!$K$3:$K$22*(Calc!$G$3:$G$22&gt;A2186)*(Calc!$G$3:$G$22-A2186))</f>
        <v/>
      </c>
      <c r="H2186">
        <f>SUMPRODUCT(Calc!$K$3:$K$22*(Calc!$G$3:$G$22&gt;B2186)*(Calc!$G$3:$G$22-B2186))</f>
        <v/>
      </c>
      <c r="I2186">
        <f>SUMPRODUCT(Calc!$K$3:$K$22*(Calc!$G$3:$G$22&gt;A2186)*(Calc!$G$3:$G$22-A2186)^2)</f>
        <v/>
      </c>
      <c r="J2186">
        <f>SUMPRODUCT(Calc!$K$3:$K$22*(Calc!$G$3:$G$22&gt;B2186)*(Calc!$G$3:$G$22-B2186)^2)</f>
        <v/>
      </c>
      <c r="K2186">
        <f>SUMPRODUCT(Calc!$K$3:$K$22*(Calc!$G$3:$G$22&gt;A2186)*(Calc!$G$3:$G$22-A2186)*(Calc!$G$3:$G$22&gt;B2186)*(Calc!$G$3:$G$22-B2186))</f>
        <v/>
      </c>
      <c r="L2186">
        <f>SUMPRODUCT(Calc!$K$3:$K$22*(Calc!$G$3:$G$22&gt;A2186)*(Calc!$G$3:$G$22-A2186)*Calc!$G$3:$G$22)</f>
        <v/>
      </c>
      <c r="M2186">
        <f>SUMPRODUCT(Calc!$K$3:$K$22*(Calc!$G$3:$G$22&gt;B2186)*(Calc!$G$3:$G$22-B2186)*Calc!$G$3:$G$22)</f>
        <v/>
      </c>
      <c r="N2186">
        <f>SUMPRODUCT(Calc!$K$3:$K$22*(Calc!$G$3:$G$22&gt;A2186)*(Calc!$G$3:$G$22-A2186)*Calc!$I$3:$I$22)</f>
        <v/>
      </c>
      <c r="O2186">
        <f>SUMPRODUCT(Calc!$K$3:$K$22*(Calc!$G$3:$G$22&gt;B2186)*(Calc!$G$3:$G$22-B2186)*Calc!$I$3:$I$22)</f>
        <v/>
      </c>
      <c r="P2186">
        <f>I2186-G2186^2/k_n</f>
        <v/>
      </c>
      <c r="Q2186">
        <f>J2186-H2186^2/k_n</f>
        <v/>
      </c>
      <c r="R2186">
        <f>K2186-G2186*H2186/k_n</f>
        <v/>
      </c>
      <c r="S2186">
        <f>L2186-LTP3!$D$3*G2186/k_n</f>
        <v/>
      </c>
      <c r="T2186">
        <f>M2186-LTP3!$D$3*H2186/k_n</f>
        <v/>
      </c>
      <c r="U2186">
        <f>N2186-G2186*LTP3!$D$4/k_n</f>
        <v/>
      </c>
      <c r="V2186">
        <f>O2186-H2186*LTP3!$D$4/k_n</f>
        <v/>
      </c>
      <c r="W2186">
        <f>((LTP3!$D$5)*((P2186)*(Q2186)-(R2186)*(R2186))-(S2186)*((S2186)*(Q2186)-(R2186)*(T2186))+(T2186)*((S2186)*(R2186)-(P2186)*(T2186)))</f>
        <v/>
      </c>
      <c r="X2186">
        <f>IF(ABS(W2186)&gt;1E-12,((LTP3!$D$6)*((P2186)*(Q2186)-(R2186)*(R2186))-(S2186)*((U2186)*(Q2186)-(R2186)*(V2186))+(T2186)*((U2186)*(R2186)-(P2186)*(V2186)))/W2186,0)</f>
        <v/>
      </c>
      <c r="Y2186">
        <f>IF(ABS(W2186)&gt;1E-12,((LTP3!$D$5)*((U2186)*(Q2186)-(R2186)*(V2186))-(LTP3!$D$6)*((S2186)*(Q2186)-(R2186)*(T2186))+(T2186)*((S2186)*(V2186)-(U2186)*(T2186)))/W2186,0)</f>
        <v/>
      </c>
      <c r="Z2186">
        <f>IF(ABS(W2186)&gt;1E-12,((LTP3!$D$5)*((P2186)*(V2186)-(U2186)*(R2186))-(S2186)*((S2186)*(V2186)-(U2186)*(T2186))+(LTP3!$D$6)*((S2186)*(R2186)-(P2186)*(T2186)))/W2186,0)</f>
        <v/>
      </c>
      <c r="AA2186">
        <f>LTP3!$D$7-X2186*LTP3!$D$6-Y2186*U2186-Z2186*V2186</f>
        <v/>
      </c>
      <c r="AB2186">
        <f>IF(AND(F2186,ABS(W2186)&gt;1E-12,Y2186&gt;0,Z2186&gt;0),AA2186,1E+300)</f>
        <v/>
      </c>
    </row>
    <row r="2187">
      <c r="A2187">
        <f>$B$3+$B$5*35</f>
        <v/>
      </c>
      <c r="B2187">
        <f>$B$3+$B$5*40</f>
        <v/>
      </c>
      <c r="C2187">
        <f>SUMPRODUCT(Calc!$K$3:$K$22*(Calc!$G$3:$G$22&lt;=A2187))</f>
        <v/>
      </c>
      <c r="D2187">
        <f>SUMPRODUCT(Calc!$K$3:$K$22*(Calc!$G$3:$G$22&gt;A2187)*(Calc!$G$3:$G$22&lt;B2187))</f>
        <v/>
      </c>
      <c r="E2187">
        <f>SUMPRODUCT(Calc!$K$3:$K$22*(Calc!$G$3:$G$22&gt;=B2187))</f>
        <v/>
      </c>
      <c r="F2187">
        <f>AND(k_n&gt;=5,B2187&gt;A2187+1E-9,C2187&gt;=2,D2187&gt;=1,E2187&gt;=2)</f>
        <v/>
      </c>
      <c r="G2187">
        <f>SUMPRODUCT(Calc!$K$3:$K$22*(Calc!$G$3:$G$22&gt;A2187)*(Calc!$G$3:$G$22-A2187))</f>
        <v/>
      </c>
      <c r="H2187">
        <f>SUMPRODUCT(Calc!$K$3:$K$22*(Calc!$G$3:$G$22&gt;B2187)*(Calc!$G$3:$G$22-B2187))</f>
        <v/>
      </c>
      <c r="I2187">
        <f>SUMPRODUCT(Calc!$K$3:$K$22*(Calc!$G$3:$G$22&gt;A2187)*(Calc!$G$3:$G$22-A2187)^2)</f>
        <v/>
      </c>
      <c r="J2187">
        <f>SUMPRODUCT(Calc!$K$3:$K$22*(Calc!$G$3:$G$22&gt;B2187)*(Calc!$G$3:$G$22-B2187)^2)</f>
        <v/>
      </c>
      <c r="K2187">
        <f>SUMPRODUCT(Calc!$K$3:$K$22*(Calc!$G$3:$G$22&gt;A2187)*(Calc!$G$3:$G$22-A2187)*(Calc!$G$3:$G$22&gt;B2187)*(Calc!$G$3:$G$22-B2187))</f>
        <v/>
      </c>
      <c r="L2187">
        <f>SUMPRODUCT(Calc!$K$3:$K$22*(Calc!$G$3:$G$22&gt;A2187)*(Calc!$G$3:$G$22-A2187)*Calc!$G$3:$G$22)</f>
        <v/>
      </c>
      <c r="M2187">
        <f>SUMPRODUCT(Calc!$K$3:$K$22*(Calc!$G$3:$G$22&gt;B2187)*(Calc!$G$3:$G$22-B2187)*Calc!$G$3:$G$22)</f>
        <v/>
      </c>
      <c r="N2187">
        <f>SUMPRODUCT(Calc!$K$3:$K$22*(Calc!$G$3:$G$22&gt;A2187)*(Calc!$G$3:$G$22-A2187)*Calc!$I$3:$I$22)</f>
        <v/>
      </c>
      <c r="O2187">
        <f>SUMPRODUCT(Calc!$K$3:$K$22*(Calc!$G$3:$G$22&gt;B2187)*(Calc!$G$3:$G$22-B2187)*Calc!$I$3:$I$22)</f>
        <v/>
      </c>
      <c r="P2187">
        <f>I2187-G2187^2/k_n</f>
        <v/>
      </c>
      <c r="Q2187">
        <f>J2187-H2187^2/k_n</f>
        <v/>
      </c>
      <c r="R2187">
        <f>K2187-G2187*H2187/k_n</f>
        <v/>
      </c>
      <c r="S2187">
        <f>L2187-LTP3!$D$3*G2187/k_n</f>
        <v/>
      </c>
      <c r="T2187">
        <f>M2187-LTP3!$D$3*H2187/k_n</f>
        <v/>
      </c>
      <c r="U2187">
        <f>N2187-G2187*LTP3!$D$4/k_n</f>
        <v/>
      </c>
      <c r="V2187">
        <f>O2187-H2187*LTP3!$D$4/k_n</f>
        <v/>
      </c>
      <c r="W2187">
        <f>((LTP3!$D$5)*((P2187)*(Q2187)-(R2187)*(R2187))-(S2187)*((S2187)*(Q2187)-(R2187)*(T2187))+(T2187)*((S2187)*(R2187)-(P2187)*(T2187)))</f>
        <v/>
      </c>
      <c r="X2187">
        <f>IF(ABS(W2187)&gt;1E-12,((LTP3!$D$6)*((P2187)*(Q2187)-(R2187)*(R2187))-(S2187)*((U2187)*(Q2187)-(R2187)*(V2187))+(T2187)*((U2187)*(R2187)-(P2187)*(V2187)))/W2187,0)</f>
        <v/>
      </c>
      <c r="Y2187">
        <f>IF(ABS(W2187)&gt;1E-12,((LTP3!$D$5)*((U2187)*(Q2187)-(R2187)*(V2187))-(LTP3!$D$6)*((S2187)*(Q2187)-(R2187)*(T2187))+(T2187)*((S2187)*(V2187)-(U2187)*(T2187)))/W2187,0)</f>
        <v/>
      </c>
      <c r="Z2187">
        <f>IF(ABS(W2187)&gt;1E-12,((LTP3!$D$5)*((P2187)*(V2187)-(U2187)*(R2187))-(S2187)*((S2187)*(V2187)-(U2187)*(T2187))+(LTP3!$D$6)*((S2187)*(R2187)-(P2187)*(T2187)))/W2187,0)</f>
        <v/>
      </c>
      <c r="AA2187">
        <f>LTP3!$D$7-X2187*LTP3!$D$6-Y2187*U2187-Z2187*V2187</f>
        <v/>
      </c>
      <c r="AB2187">
        <f>IF(AND(F2187,ABS(W2187)&gt;1E-12,Y2187&gt;0,Z2187&gt;0),AA2187,1E+300)</f>
        <v/>
      </c>
    </row>
    <row r="2188">
      <c r="A2188">
        <f>$B$3+$B$5*35</f>
        <v/>
      </c>
      <c r="B2188">
        <f>$B$3+$B$5*41</f>
        <v/>
      </c>
      <c r="C2188">
        <f>SUMPRODUCT(Calc!$K$3:$K$22*(Calc!$G$3:$G$22&lt;=A2188))</f>
        <v/>
      </c>
      <c r="D2188">
        <f>SUMPRODUCT(Calc!$K$3:$K$22*(Calc!$G$3:$G$22&gt;A2188)*(Calc!$G$3:$G$22&lt;B2188))</f>
        <v/>
      </c>
      <c r="E2188">
        <f>SUMPRODUCT(Calc!$K$3:$K$22*(Calc!$G$3:$G$22&gt;=B2188))</f>
        <v/>
      </c>
      <c r="F2188">
        <f>AND(k_n&gt;=5,B2188&gt;A2188+1E-9,C2188&gt;=2,D2188&gt;=1,E2188&gt;=2)</f>
        <v/>
      </c>
      <c r="G2188">
        <f>SUMPRODUCT(Calc!$K$3:$K$22*(Calc!$G$3:$G$22&gt;A2188)*(Calc!$G$3:$G$22-A2188))</f>
        <v/>
      </c>
      <c r="H2188">
        <f>SUMPRODUCT(Calc!$K$3:$K$22*(Calc!$G$3:$G$22&gt;B2188)*(Calc!$G$3:$G$22-B2188))</f>
        <v/>
      </c>
      <c r="I2188">
        <f>SUMPRODUCT(Calc!$K$3:$K$22*(Calc!$G$3:$G$22&gt;A2188)*(Calc!$G$3:$G$22-A2188)^2)</f>
        <v/>
      </c>
      <c r="J2188">
        <f>SUMPRODUCT(Calc!$K$3:$K$22*(Calc!$G$3:$G$22&gt;B2188)*(Calc!$G$3:$G$22-B2188)^2)</f>
        <v/>
      </c>
      <c r="K2188">
        <f>SUMPRODUCT(Calc!$K$3:$K$22*(Calc!$G$3:$G$22&gt;A2188)*(Calc!$G$3:$G$22-A2188)*(Calc!$G$3:$G$22&gt;B2188)*(Calc!$G$3:$G$22-B2188))</f>
        <v/>
      </c>
      <c r="L2188">
        <f>SUMPRODUCT(Calc!$K$3:$K$22*(Calc!$G$3:$G$22&gt;A2188)*(Calc!$G$3:$G$22-A2188)*Calc!$G$3:$G$22)</f>
        <v/>
      </c>
      <c r="M2188">
        <f>SUMPRODUCT(Calc!$K$3:$K$22*(Calc!$G$3:$G$22&gt;B2188)*(Calc!$G$3:$G$22-B2188)*Calc!$G$3:$G$22)</f>
        <v/>
      </c>
      <c r="N2188">
        <f>SUMPRODUCT(Calc!$K$3:$K$22*(Calc!$G$3:$G$22&gt;A2188)*(Calc!$G$3:$G$22-A2188)*Calc!$I$3:$I$22)</f>
        <v/>
      </c>
      <c r="O2188">
        <f>SUMPRODUCT(Calc!$K$3:$K$22*(Calc!$G$3:$G$22&gt;B2188)*(Calc!$G$3:$G$22-B2188)*Calc!$I$3:$I$22)</f>
        <v/>
      </c>
      <c r="P2188">
        <f>I2188-G2188^2/k_n</f>
        <v/>
      </c>
      <c r="Q2188">
        <f>J2188-H2188^2/k_n</f>
        <v/>
      </c>
      <c r="R2188">
        <f>K2188-G2188*H2188/k_n</f>
        <v/>
      </c>
      <c r="S2188">
        <f>L2188-LTP3!$D$3*G2188/k_n</f>
        <v/>
      </c>
      <c r="T2188">
        <f>M2188-LTP3!$D$3*H2188/k_n</f>
        <v/>
      </c>
      <c r="U2188">
        <f>N2188-G2188*LTP3!$D$4/k_n</f>
        <v/>
      </c>
      <c r="V2188">
        <f>O2188-H2188*LTP3!$D$4/k_n</f>
        <v/>
      </c>
      <c r="W2188">
        <f>((LTP3!$D$5)*((P2188)*(Q2188)-(R2188)*(R2188))-(S2188)*((S2188)*(Q2188)-(R2188)*(T2188))+(T2188)*((S2188)*(R2188)-(P2188)*(T2188)))</f>
        <v/>
      </c>
      <c r="X2188">
        <f>IF(ABS(W2188)&gt;1E-12,((LTP3!$D$6)*((P2188)*(Q2188)-(R2188)*(R2188))-(S2188)*((U2188)*(Q2188)-(R2188)*(V2188))+(T2188)*((U2188)*(R2188)-(P2188)*(V2188)))/W2188,0)</f>
        <v/>
      </c>
      <c r="Y2188">
        <f>IF(ABS(W2188)&gt;1E-12,((LTP3!$D$5)*((U2188)*(Q2188)-(R2188)*(V2188))-(LTP3!$D$6)*((S2188)*(Q2188)-(R2188)*(T2188))+(T2188)*((S2188)*(V2188)-(U2188)*(T2188)))/W2188,0)</f>
        <v/>
      </c>
      <c r="Z2188">
        <f>IF(ABS(W2188)&gt;1E-12,((LTP3!$D$5)*((P2188)*(V2188)-(U2188)*(R2188))-(S2188)*((S2188)*(V2188)-(U2188)*(T2188))+(LTP3!$D$6)*((S2188)*(R2188)-(P2188)*(T2188)))/W2188,0)</f>
        <v/>
      </c>
      <c r="AA2188">
        <f>LTP3!$D$7-X2188*LTP3!$D$6-Y2188*U2188-Z2188*V2188</f>
        <v/>
      </c>
      <c r="AB2188">
        <f>IF(AND(F2188,ABS(W2188)&gt;1E-12,Y2188&gt;0,Z2188&gt;0),AA2188,1E+300)</f>
        <v/>
      </c>
    </row>
    <row r="2189">
      <c r="A2189">
        <f>$B$3+$B$5*35</f>
        <v/>
      </c>
      <c r="B2189">
        <f>$B$3+$B$5*42</f>
        <v/>
      </c>
      <c r="C2189">
        <f>SUMPRODUCT(Calc!$K$3:$K$22*(Calc!$G$3:$G$22&lt;=A2189))</f>
        <v/>
      </c>
      <c r="D2189">
        <f>SUMPRODUCT(Calc!$K$3:$K$22*(Calc!$G$3:$G$22&gt;A2189)*(Calc!$G$3:$G$22&lt;B2189))</f>
        <v/>
      </c>
      <c r="E2189">
        <f>SUMPRODUCT(Calc!$K$3:$K$22*(Calc!$G$3:$G$22&gt;=B2189))</f>
        <v/>
      </c>
      <c r="F2189">
        <f>AND(k_n&gt;=5,B2189&gt;A2189+1E-9,C2189&gt;=2,D2189&gt;=1,E2189&gt;=2)</f>
        <v/>
      </c>
      <c r="G2189">
        <f>SUMPRODUCT(Calc!$K$3:$K$22*(Calc!$G$3:$G$22&gt;A2189)*(Calc!$G$3:$G$22-A2189))</f>
        <v/>
      </c>
      <c r="H2189">
        <f>SUMPRODUCT(Calc!$K$3:$K$22*(Calc!$G$3:$G$22&gt;B2189)*(Calc!$G$3:$G$22-B2189))</f>
        <v/>
      </c>
      <c r="I2189">
        <f>SUMPRODUCT(Calc!$K$3:$K$22*(Calc!$G$3:$G$22&gt;A2189)*(Calc!$G$3:$G$22-A2189)^2)</f>
        <v/>
      </c>
      <c r="J2189">
        <f>SUMPRODUCT(Calc!$K$3:$K$22*(Calc!$G$3:$G$22&gt;B2189)*(Calc!$G$3:$G$22-B2189)^2)</f>
        <v/>
      </c>
      <c r="K2189">
        <f>SUMPRODUCT(Calc!$K$3:$K$22*(Calc!$G$3:$G$22&gt;A2189)*(Calc!$G$3:$G$22-A2189)*(Calc!$G$3:$G$22&gt;B2189)*(Calc!$G$3:$G$22-B2189))</f>
        <v/>
      </c>
      <c r="L2189">
        <f>SUMPRODUCT(Calc!$K$3:$K$22*(Calc!$G$3:$G$22&gt;A2189)*(Calc!$G$3:$G$22-A2189)*Calc!$G$3:$G$22)</f>
        <v/>
      </c>
      <c r="M2189">
        <f>SUMPRODUCT(Calc!$K$3:$K$22*(Calc!$G$3:$G$22&gt;B2189)*(Calc!$G$3:$G$22-B2189)*Calc!$G$3:$G$22)</f>
        <v/>
      </c>
      <c r="N2189">
        <f>SUMPRODUCT(Calc!$K$3:$K$22*(Calc!$G$3:$G$22&gt;A2189)*(Calc!$G$3:$G$22-A2189)*Calc!$I$3:$I$22)</f>
        <v/>
      </c>
      <c r="O2189">
        <f>SUMPRODUCT(Calc!$K$3:$K$22*(Calc!$G$3:$G$22&gt;B2189)*(Calc!$G$3:$G$22-B2189)*Calc!$I$3:$I$22)</f>
        <v/>
      </c>
      <c r="P2189">
        <f>I2189-G2189^2/k_n</f>
        <v/>
      </c>
      <c r="Q2189">
        <f>J2189-H2189^2/k_n</f>
        <v/>
      </c>
      <c r="R2189">
        <f>K2189-G2189*H2189/k_n</f>
        <v/>
      </c>
      <c r="S2189">
        <f>L2189-LTP3!$D$3*G2189/k_n</f>
        <v/>
      </c>
      <c r="T2189">
        <f>M2189-LTP3!$D$3*H2189/k_n</f>
        <v/>
      </c>
      <c r="U2189">
        <f>N2189-G2189*LTP3!$D$4/k_n</f>
        <v/>
      </c>
      <c r="V2189">
        <f>O2189-H2189*LTP3!$D$4/k_n</f>
        <v/>
      </c>
      <c r="W2189">
        <f>((LTP3!$D$5)*((P2189)*(Q2189)-(R2189)*(R2189))-(S2189)*((S2189)*(Q2189)-(R2189)*(T2189))+(T2189)*((S2189)*(R2189)-(P2189)*(T2189)))</f>
        <v/>
      </c>
      <c r="X2189">
        <f>IF(ABS(W2189)&gt;1E-12,((LTP3!$D$6)*((P2189)*(Q2189)-(R2189)*(R2189))-(S2189)*((U2189)*(Q2189)-(R2189)*(V2189))+(T2189)*((U2189)*(R2189)-(P2189)*(V2189)))/W2189,0)</f>
        <v/>
      </c>
      <c r="Y2189">
        <f>IF(ABS(W2189)&gt;1E-12,((LTP3!$D$5)*((U2189)*(Q2189)-(R2189)*(V2189))-(LTP3!$D$6)*((S2189)*(Q2189)-(R2189)*(T2189))+(T2189)*((S2189)*(V2189)-(U2189)*(T2189)))/W2189,0)</f>
        <v/>
      </c>
      <c r="Z2189">
        <f>IF(ABS(W2189)&gt;1E-12,((LTP3!$D$5)*((P2189)*(V2189)-(U2189)*(R2189))-(S2189)*((S2189)*(V2189)-(U2189)*(T2189))+(LTP3!$D$6)*((S2189)*(R2189)-(P2189)*(T2189)))/W2189,0)</f>
        <v/>
      </c>
      <c r="AA2189">
        <f>LTP3!$D$7-X2189*LTP3!$D$6-Y2189*U2189-Z2189*V2189</f>
        <v/>
      </c>
      <c r="AB2189">
        <f>IF(AND(F2189,ABS(W2189)&gt;1E-12,Y2189&gt;0,Z2189&gt;0),AA2189,1E+300)</f>
        <v/>
      </c>
    </row>
    <row r="2190">
      <c r="A2190">
        <f>$B$3+$B$5*35</f>
        <v/>
      </c>
      <c r="B2190">
        <f>$B$3+$B$5*43</f>
        <v/>
      </c>
      <c r="C2190">
        <f>SUMPRODUCT(Calc!$K$3:$K$22*(Calc!$G$3:$G$22&lt;=A2190))</f>
        <v/>
      </c>
      <c r="D2190">
        <f>SUMPRODUCT(Calc!$K$3:$K$22*(Calc!$G$3:$G$22&gt;A2190)*(Calc!$G$3:$G$22&lt;B2190))</f>
        <v/>
      </c>
      <c r="E2190">
        <f>SUMPRODUCT(Calc!$K$3:$K$22*(Calc!$G$3:$G$22&gt;=B2190))</f>
        <v/>
      </c>
      <c r="F2190">
        <f>AND(k_n&gt;=5,B2190&gt;A2190+1E-9,C2190&gt;=2,D2190&gt;=1,E2190&gt;=2)</f>
        <v/>
      </c>
      <c r="G2190">
        <f>SUMPRODUCT(Calc!$K$3:$K$22*(Calc!$G$3:$G$22&gt;A2190)*(Calc!$G$3:$G$22-A2190))</f>
        <v/>
      </c>
      <c r="H2190">
        <f>SUMPRODUCT(Calc!$K$3:$K$22*(Calc!$G$3:$G$22&gt;B2190)*(Calc!$G$3:$G$22-B2190))</f>
        <v/>
      </c>
      <c r="I2190">
        <f>SUMPRODUCT(Calc!$K$3:$K$22*(Calc!$G$3:$G$22&gt;A2190)*(Calc!$G$3:$G$22-A2190)^2)</f>
        <v/>
      </c>
      <c r="J2190">
        <f>SUMPRODUCT(Calc!$K$3:$K$22*(Calc!$G$3:$G$22&gt;B2190)*(Calc!$G$3:$G$22-B2190)^2)</f>
        <v/>
      </c>
      <c r="K2190">
        <f>SUMPRODUCT(Calc!$K$3:$K$22*(Calc!$G$3:$G$22&gt;A2190)*(Calc!$G$3:$G$22-A2190)*(Calc!$G$3:$G$22&gt;B2190)*(Calc!$G$3:$G$22-B2190))</f>
        <v/>
      </c>
      <c r="L2190">
        <f>SUMPRODUCT(Calc!$K$3:$K$22*(Calc!$G$3:$G$22&gt;A2190)*(Calc!$G$3:$G$22-A2190)*Calc!$G$3:$G$22)</f>
        <v/>
      </c>
      <c r="M2190">
        <f>SUMPRODUCT(Calc!$K$3:$K$22*(Calc!$G$3:$G$22&gt;B2190)*(Calc!$G$3:$G$22-B2190)*Calc!$G$3:$G$22)</f>
        <v/>
      </c>
      <c r="N2190">
        <f>SUMPRODUCT(Calc!$K$3:$K$22*(Calc!$G$3:$G$22&gt;A2190)*(Calc!$G$3:$G$22-A2190)*Calc!$I$3:$I$22)</f>
        <v/>
      </c>
      <c r="O2190">
        <f>SUMPRODUCT(Calc!$K$3:$K$22*(Calc!$G$3:$G$22&gt;B2190)*(Calc!$G$3:$G$22-B2190)*Calc!$I$3:$I$22)</f>
        <v/>
      </c>
      <c r="P2190">
        <f>I2190-G2190^2/k_n</f>
        <v/>
      </c>
      <c r="Q2190">
        <f>J2190-H2190^2/k_n</f>
        <v/>
      </c>
      <c r="R2190">
        <f>K2190-G2190*H2190/k_n</f>
        <v/>
      </c>
      <c r="S2190">
        <f>L2190-LTP3!$D$3*G2190/k_n</f>
        <v/>
      </c>
      <c r="T2190">
        <f>M2190-LTP3!$D$3*H2190/k_n</f>
        <v/>
      </c>
      <c r="U2190">
        <f>N2190-G2190*LTP3!$D$4/k_n</f>
        <v/>
      </c>
      <c r="V2190">
        <f>O2190-H2190*LTP3!$D$4/k_n</f>
        <v/>
      </c>
      <c r="W2190">
        <f>((LTP3!$D$5)*((P2190)*(Q2190)-(R2190)*(R2190))-(S2190)*((S2190)*(Q2190)-(R2190)*(T2190))+(T2190)*((S2190)*(R2190)-(P2190)*(T2190)))</f>
        <v/>
      </c>
      <c r="X2190">
        <f>IF(ABS(W2190)&gt;1E-12,((LTP3!$D$6)*((P2190)*(Q2190)-(R2190)*(R2190))-(S2190)*((U2190)*(Q2190)-(R2190)*(V2190))+(T2190)*((U2190)*(R2190)-(P2190)*(V2190)))/W2190,0)</f>
        <v/>
      </c>
      <c r="Y2190">
        <f>IF(ABS(W2190)&gt;1E-12,((LTP3!$D$5)*((U2190)*(Q2190)-(R2190)*(V2190))-(LTP3!$D$6)*((S2190)*(Q2190)-(R2190)*(T2190))+(T2190)*((S2190)*(V2190)-(U2190)*(T2190)))/W2190,0)</f>
        <v/>
      </c>
      <c r="Z2190">
        <f>IF(ABS(W2190)&gt;1E-12,((LTP3!$D$5)*((P2190)*(V2190)-(U2190)*(R2190))-(S2190)*((S2190)*(V2190)-(U2190)*(T2190))+(LTP3!$D$6)*((S2190)*(R2190)-(P2190)*(T2190)))/W2190,0)</f>
        <v/>
      </c>
      <c r="AA2190">
        <f>LTP3!$D$7-X2190*LTP3!$D$6-Y2190*U2190-Z2190*V2190</f>
        <v/>
      </c>
      <c r="AB2190">
        <f>IF(AND(F2190,ABS(W2190)&gt;1E-12,Y2190&gt;0,Z2190&gt;0),AA2190,1E+300)</f>
        <v/>
      </c>
    </row>
    <row r="2191">
      <c r="A2191">
        <f>$B$3+$B$5*35</f>
        <v/>
      </c>
      <c r="B2191">
        <f>$B$3+$B$5*44</f>
        <v/>
      </c>
      <c r="C2191">
        <f>SUMPRODUCT(Calc!$K$3:$K$22*(Calc!$G$3:$G$22&lt;=A2191))</f>
        <v/>
      </c>
      <c r="D2191">
        <f>SUMPRODUCT(Calc!$K$3:$K$22*(Calc!$G$3:$G$22&gt;A2191)*(Calc!$G$3:$G$22&lt;B2191))</f>
        <v/>
      </c>
      <c r="E2191">
        <f>SUMPRODUCT(Calc!$K$3:$K$22*(Calc!$G$3:$G$22&gt;=B2191))</f>
        <v/>
      </c>
      <c r="F2191">
        <f>AND(k_n&gt;=5,B2191&gt;A2191+1E-9,C2191&gt;=2,D2191&gt;=1,E2191&gt;=2)</f>
        <v/>
      </c>
      <c r="G2191">
        <f>SUMPRODUCT(Calc!$K$3:$K$22*(Calc!$G$3:$G$22&gt;A2191)*(Calc!$G$3:$G$22-A2191))</f>
        <v/>
      </c>
      <c r="H2191">
        <f>SUMPRODUCT(Calc!$K$3:$K$22*(Calc!$G$3:$G$22&gt;B2191)*(Calc!$G$3:$G$22-B2191))</f>
        <v/>
      </c>
      <c r="I2191">
        <f>SUMPRODUCT(Calc!$K$3:$K$22*(Calc!$G$3:$G$22&gt;A2191)*(Calc!$G$3:$G$22-A2191)^2)</f>
        <v/>
      </c>
      <c r="J2191">
        <f>SUMPRODUCT(Calc!$K$3:$K$22*(Calc!$G$3:$G$22&gt;B2191)*(Calc!$G$3:$G$22-B2191)^2)</f>
        <v/>
      </c>
      <c r="K2191">
        <f>SUMPRODUCT(Calc!$K$3:$K$22*(Calc!$G$3:$G$22&gt;A2191)*(Calc!$G$3:$G$22-A2191)*(Calc!$G$3:$G$22&gt;B2191)*(Calc!$G$3:$G$22-B2191))</f>
        <v/>
      </c>
      <c r="L2191">
        <f>SUMPRODUCT(Calc!$K$3:$K$22*(Calc!$G$3:$G$22&gt;A2191)*(Calc!$G$3:$G$22-A2191)*Calc!$G$3:$G$22)</f>
        <v/>
      </c>
      <c r="M2191">
        <f>SUMPRODUCT(Calc!$K$3:$K$22*(Calc!$G$3:$G$22&gt;B2191)*(Calc!$G$3:$G$22-B2191)*Calc!$G$3:$G$22)</f>
        <v/>
      </c>
      <c r="N2191">
        <f>SUMPRODUCT(Calc!$K$3:$K$22*(Calc!$G$3:$G$22&gt;A2191)*(Calc!$G$3:$G$22-A2191)*Calc!$I$3:$I$22)</f>
        <v/>
      </c>
      <c r="O2191">
        <f>SUMPRODUCT(Calc!$K$3:$K$22*(Calc!$G$3:$G$22&gt;B2191)*(Calc!$G$3:$G$22-B2191)*Calc!$I$3:$I$22)</f>
        <v/>
      </c>
      <c r="P2191">
        <f>I2191-G2191^2/k_n</f>
        <v/>
      </c>
      <c r="Q2191">
        <f>J2191-H2191^2/k_n</f>
        <v/>
      </c>
      <c r="R2191">
        <f>K2191-G2191*H2191/k_n</f>
        <v/>
      </c>
      <c r="S2191">
        <f>L2191-LTP3!$D$3*G2191/k_n</f>
        <v/>
      </c>
      <c r="T2191">
        <f>M2191-LTP3!$D$3*H2191/k_n</f>
        <v/>
      </c>
      <c r="U2191">
        <f>N2191-G2191*LTP3!$D$4/k_n</f>
        <v/>
      </c>
      <c r="V2191">
        <f>O2191-H2191*LTP3!$D$4/k_n</f>
        <v/>
      </c>
      <c r="W2191">
        <f>((LTP3!$D$5)*((P2191)*(Q2191)-(R2191)*(R2191))-(S2191)*((S2191)*(Q2191)-(R2191)*(T2191))+(T2191)*((S2191)*(R2191)-(P2191)*(T2191)))</f>
        <v/>
      </c>
      <c r="X2191">
        <f>IF(ABS(W2191)&gt;1E-12,((LTP3!$D$6)*((P2191)*(Q2191)-(R2191)*(R2191))-(S2191)*((U2191)*(Q2191)-(R2191)*(V2191))+(T2191)*((U2191)*(R2191)-(P2191)*(V2191)))/W2191,0)</f>
        <v/>
      </c>
      <c r="Y2191">
        <f>IF(ABS(W2191)&gt;1E-12,((LTP3!$D$5)*((U2191)*(Q2191)-(R2191)*(V2191))-(LTP3!$D$6)*((S2191)*(Q2191)-(R2191)*(T2191))+(T2191)*((S2191)*(V2191)-(U2191)*(T2191)))/W2191,0)</f>
        <v/>
      </c>
      <c r="Z2191">
        <f>IF(ABS(W2191)&gt;1E-12,((LTP3!$D$5)*((P2191)*(V2191)-(U2191)*(R2191))-(S2191)*((S2191)*(V2191)-(U2191)*(T2191))+(LTP3!$D$6)*((S2191)*(R2191)-(P2191)*(T2191)))/W2191,0)</f>
        <v/>
      </c>
      <c r="AA2191">
        <f>LTP3!$D$7-X2191*LTP3!$D$6-Y2191*U2191-Z2191*V2191</f>
        <v/>
      </c>
      <c r="AB2191">
        <f>IF(AND(F2191,ABS(W2191)&gt;1E-12,Y2191&gt;0,Z2191&gt;0),AA2191,1E+300)</f>
        <v/>
      </c>
    </row>
    <row r="2192">
      <c r="A2192">
        <f>$B$3+$B$5*35</f>
        <v/>
      </c>
      <c r="B2192">
        <f>$B$3+$B$5*45</f>
        <v/>
      </c>
      <c r="C2192">
        <f>SUMPRODUCT(Calc!$K$3:$K$22*(Calc!$G$3:$G$22&lt;=A2192))</f>
        <v/>
      </c>
      <c r="D2192">
        <f>SUMPRODUCT(Calc!$K$3:$K$22*(Calc!$G$3:$G$22&gt;A2192)*(Calc!$G$3:$G$22&lt;B2192))</f>
        <v/>
      </c>
      <c r="E2192">
        <f>SUMPRODUCT(Calc!$K$3:$K$22*(Calc!$G$3:$G$22&gt;=B2192))</f>
        <v/>
      </c>
      <c r="F2192">
        <f>AND(k_n&gt;=5,B2192&gt;A2192+1E-9,C2192&gt;=2,D2192&gt;=1,E2192&gt;=2)</f>
        <v/>
      </c>
      <c r="G2192">
        <f>SUMPRODUCT(Calc!$K$3:$K$22*(Calc!$G$3:$G$22&gt;A2192)*(Calc!$G$3:$G$22-A2192))</f>
        <v/>
      </c>
      <c r="H2192">
        <f>SUMPRODUCT(Calc!$K$3:$K$22*(Calc!$G$3:$G$22&gt;B2192)*(Calc!$G$3:$G$22-B2192))</f>
        <v/>
      </c>
      <c r="I2192">
        <f>SUMPRODUCT(Calc!$K$3:$K$22*(Calc!$G$3:$G$22&gt;A2192)*(Calc!$G$3:$G$22-A2192)^2)</f>
        <v/>
      </c>
      <c r="J2192">
        <f>SUMPRODUCT(Calc!$K$3:$K$22*(Calc!$G$3:$G$22&gt;B2192)*(Calc!$G$3:$G$22-B2192)^2)</f>
        <v/>
      </c>
      <c r="K2192">
        <f>SUMPRODUCT(Calc!$K$3:$K$22*(Calc!$G$3:$G$22&gt;A2192)*(Calc!$G$3:$G$22-A2192)*(Calc!$G$3:$G$22&gt;B2192)*(Calc!$G$3:$G$22-B2192))</f>
        <v/>
      </c>
      <c r="L2192">
        <f>SUMPRODUCT(Calc!$K$3:$K$22*(Calc!$G$3:$G$22&gt;A2192)*(Calc!$G$3:$G$22-A2192)*Calc!$G$3:$G$22)</f>
        <v/>
      </c>
      <c r="M2192">
        <f>SUMPRODUCT(Calc!$K$3:$K$22*(Calc!$G$3:$G$22&gt;B2192)*(Calc!$G$3:$G$22-B2192)*Calc!$G$3:$G$22)</f>
        <v/>
      </c>
      <c r="N2192">
        <f>SUMPRODUCT(Calc!$K$3:$K$22*(Calc!$G$3:$G$22&gt;A2192)*(Calc!$G$3:$G$22-A2192)*Calc!$I$3:$I$22)</f>
        <v/>
      </c>
      <c r="O2192">
        <f>SUMPRODUCT(Calc!$K$3:$K$22*(Calc!$G$3:$G$22&gt;B2192)*(Calc!$G$3:$G$22-B2192)*Calc!$I$3:$I$22)</f>
        <v/>
      </c>
      <c r="P2192">
        <f>I2192-G2192^2/k_n</f>
        <v/>
      </c>
      <c r="Q2192">
        <f>J2192-H2192^2/k_n</f>
        <v/>
      </c>
      <c r="R2192">
        <f>K2192-G2192*H2192/k_n</f>
        <v/>
      </c>
      <c r="S2192">
        <f>L2192-LTP3!$D$3*G2192/k_n</f>
        <v/>
      </c>
      <c r="T2192">
        <f>M2192-LTP3!$D$3*H2192/k_n</f>
        <v/>
      </c>
      <c r="U2192">
        <f>N2192-G2192*LTP3!$D$4/k_n</f>
        <v/>
      </c>
      <c r="V2192">
        <f>O2192-H2192*LTP3!$D$4/k_n</f>
        <v/>
      </c>
      <c r="W2192">
        <f>((LTP3!$D$5)*((P2192)*(Q2192)-(R2192)*(R2192))-(S2192)*((S2192)*(Q2192)-(R2192)*(T2192))+(T2192)*((S2192)*(R2192)-(P2192)*(T2192)))</f>
        <v/>
      </c>
      <c r="X2192">
        <f>IF(ABS(W2192)&gt;1E-12,((LTP3!$D$6)*((P2192)*(Q2192)-(R2192)*(R2192))-(S2192)*((U2192)*(Q2192)-(R2192)*(V2192))+(T2192)*((U2192)*(R2192)-(P2192)*(V2192)))/W2192,0)</f>
        <v/>
      </c>
      <c r="Y2192">
        <f>IF(ABS(W2192)&gt;1E-12,((LTP3!$D$5)*((U2192)*(Q2192)-(R2192)*(V2192))-(LTP3!$D$6)*((S2192)*(Q2192)-(R2192)*(T2192))+(T2192)*((S2192)*(V2192)-(U2192)*(T2192)))/W2192,0)</f>
        <v/>
      </c>
      <c r="Z2192">
        <f>IF(ABS(W2192)&gt;1E-12,((LTP3!$D$5)*((P2192)*(V2192)-(U2192)*(R2192))-(S2192)*((S2192)*(V2192)-(U2192)*(T2192))+(LTP3!$D$6)*((S2192)*(R2192)-(P2192)*(T2192)))/W2192,0)</f>
        <v/>
      </c>
      <c r="AA2192">
        <f>LTP3!$D$7-X2192*LTP3!$D$6-Y2192*U2192-Z2192*V2192</f>
        <v/>
      </c>
      <c r="AB2192">
        <f>IF(AND(F2192,ABS(W2192)&gt;1E-12,Y2192&gt;0,Z2192&gt;0),AA2192,1E+300)</f>
        <v/>
      </c>
    </row>
    <row r="2193">
      <c r="A2193">
        <f>$B$3+$B$5*35</f>
        <v/>
      </c>
      <c r="B2193">
        <f>$B$3+$B$5*46</f>
        <v/>
      </c>
      <c r="C2193">
        <f>SUMPRODUCT(Calc!$K$3:$K$22*(Calc!$G$3:$G$22&lt;=A2193))</f>
        <v/>
      </c>
      <c r="D2193">
        <f>SUMPRODUCT(Calc!$K$3:$K$22*(Calc!$G$3:$G$22&gt;A2193)*(Calc!$G$3:$G$22&lt;B2193))</f>
        <v/>
      </c>
      <c r="E2193">
        <f>SUMPRODUCT(Calc!$K$3:$K$22*(Calc!$G$3:$G$22&gt;=B2193))</f>
        <v/>
      </c>
      <c r="F2193">
        <f>AND(k_n&gt;=5,B2193&gt;A2193+1E-9,C2193&gt;=2,D2193&gt;=1,E2193&gt;=2)</f>
        <v/>
      </c>
      <c r="G2193">
        <f>SUMPRODUCT(Calc!$K$3:$K$22*(Calc!$G$3:$G$22&gt;A2193)*(Calc!$G$3:$G$22-A2193))</f>
        <v/>
      </c>
      <c r="H2193">
        <f>SUMPRODUCT(Calc!$K$3:$K$22*(Calc!$G$3:$G$22&gt;B2193)*(Calc!$G$3:$G$22-B2193))</f>
        <v/>
      </c>
      <c r="I2193">
        <f>SUMPRODUCT(Calc!$K$3:$K$22*(Calc!$G$3:$G$22&gt;A2193)*(Calc!$G$3:$G$22-A2193)^2)</f>
        <v/>
      </c>
      <c r="J2193">
        <f>SUMPRODUCT(Calc!$K$3:$K$22*(Calc!$G$3:$G$22&gt;B2193)*(Calc!$G$3:$G$22-B2193)^2)</f>
        <v/>
      </c>
      <c r="K2193">
        <f>SUMPRODUCT(Calc!$K$3:$K$22*(Calc!$G$3:$G$22&gt;A2193)*(Calc!$G$3:$G$22-A2193)*(Calc!$G$3:$G$22&gt;B2193)*(Calc!$G$3:$G$22-B2193))</f>
        <v/>
      </c>
      <c r="L2193">
        <f>SUMPRODUCT(Calc!$K$3:$K$22*(Calc!$G$3:$G$22&gt;A2193)*(Calc!$G$3:$G$22-A2193)*Calc!$G$3:$G$22)</f>
        <v/>
      </c>
      <c r="M2193">
        <f>SUMPRODUCT(Calc!$K$3:$K$22*(Calc!$G$3:$G$22&gt;B2193)*(Calc!$G$3:$G$22-B2193)*Calc!$G$3:$G$22)</f>
        <v/>
      </c>
      <c r="N2193">
        <f>SUMPRODUCT(Calc!$K$3:$K$22*(Calc!$G$3:$G$22&gt;A2193)*(Calc!$G$3:$G$22-A2193)*Calc!$I$3:$I$22)</f>
        <v/>
      </c>
      <c r="O2193">
        <f>SUMPRODUCT(Calc!$K$3:$K$22*(Calc!$G$3:$G$22&gt;B2193)*(Calc!$G$3:$G$22-B2193)*Calc!$I$3:$I$22)</f>
        <v/>
      </c>
      <c r="P2193">
        <f>I2193-G2193^2/k_n</f>
        <v/>
      </c>
      <c r="Q2193">
        <f>J2193-H2193^2/k_n</f>
        <v/>
      </c>
      <c r="R2193">
        <f>K2193-G2193*H2193/k_n</f>
        <v/>
      </c>
      <c r="S2193">
        <f>L2193-LTP3!$D$3*G2193/k_n</f>
        <v/>
      </c>
      <c r="T2193">
        <f>M2193-LTP3!$D$3*H2193/k_n</f>
        <v/>
      </c>
      <c r="U2193">
        <f>N2193-G2193*LTP3!$D$4/k_n</f>
        <v/>
      </c>
      <c r="V2193">
        <f>O2193-H2193*LTP3!$D$4/k_n</f>
        <v/>
      </c>
      <c r="W2193">
        <f>((LTP3!$D$5)*((P2193)*(Q2193)-(R2193)*(R2193))-(S2193)*((S2193)*(Q2193)-(R2193)*(T2193))+(T2193)*((S2193)*(R2193)-(P2193)*(T2193)))</f>
        <v/>
      </c>
      <c r="X2193">
        <f>IF(ABS(W2193)&gt;1E-12,((LTP3!$D$6)*((P2193)*(Q2193)-(R2193)*(R2193))-(S2193)*((U2193)*(Q2193)-(R2193)*(V2193))+(T2193)*((U2193)*(R2193)-(P2193)*(V2193)))/W2193,0)</f>
        <v/>
      </c>
      <c r="Y2193">
        <f>IF(ABS(W2193)&gt;1E-12,((LTP3!$D$5)*((U2193)*(Q2193)-(R2193)*(V2193))-(LTP3!$D$6)*((S2193)*(Q2193)-(R2193)*(T2193))+(T2193)*((S2193)*(V2193)-(U2193)*(T2193)))/W2193,0)</f>
        <v/>
      </c>
      <c r="Z2193">
        <f>IF(ABS(W2193)&gt;1E-12,((LTP3!$D$5)*((P2193)*(V2193)-(U2193)*(R2193))-(S2193)*((S2193)*(V2193)-(U2193)*(T2193))+(LTP3!$D$6)*((S2193)*(R2193)-(P2193)*(T2193)))/W2193,0)</f>
        <v/>
      </c>
      <c r="AA2193">
        <f>LTP3!$D$7-X2193*LTP3!$D$6-Y2193*U2193-Z2193*V2193</f>
        <v/>
      </c>
      <c r="AB2193">
        <f>IF(AND(F2193,ABS(W2193)&gt;1E-12,Y2193&gt;0,Z2193&gt;0),AA2193,1E+300)</f>
        <v/>
      </c>
    </row>
    <row r="2194">
      <c r="A2194">
        <f>$B$3+$B$5*35</f>
        <v/>
      </c>
      <c r="B2194">
        <f>$B$3+$B$5*47</f>
        <v/>
      </c>
      <c r="C2194">
        <f>SUMPRODUCT(Calc!$K$3:$K$22*(Calc!$G$3:$G$22&lt;=A2194))</f>
        <v/>
      </c>
      <c r="D2194">
        <f>SUMPRODUCT(Calc!$K$3:$K$22*(Calc!$G$3:$G$22&gt;A2194)*(Calc!$G$3:$G$22&lt;B2194))</f>
        <v/>
      </c>
      <c r="E2194">
        <f>SUMPRODUCT(Calc!$K$3:$K$22*(Calc!$G$3:$G$22&gt;=B2194))</f>
        <v/>
      </c>
      <c r="F2194">
        <f>AND(k_n&gt;=5,B2194&gt;A2194+1E-9,C2194&gt;=2,D2194&gt;=1,E2194&gt;=2)</f>
        <v/>
      </c>
      <c r="G2194">
        <f>SUMPRODUCT(Calc!$K$3:$K$22*(Calc!$G$3:$G$22&gt;A2194)*(Calc!$G$3:$G$22-A2194))</f>
        <v/>
      </c>
      <c r="H2194">
        <f>SUMPRODUCT(Calc!$K$3:$K$22*(Calc!$G$3:$G$22&gt;B2194)*(Calc!$G$3:$G$22-B2194))</f>
        <v/>
      </c>
      <c r="I2194">
        <f>SUMPRODUCT(Calc!$K$3:$K$22*(Calc!$G$3:$G$22&gt;A2194)*(Calc!$G$3:$G$22-A2194)^2)</f>
        <v/>
      </c>
      <c r="J2194">
        <f>SUMPRODUCT(Calc!$K$3:$K$22*(Calc!$G$3:$G$22&gt;B2194)*(Calc!$G$3:$G$22-B2194)^2)</f>
        <v/>
      </c>
      <c r="K2194">
        <f>SUMPRODUCT(Calc!$K$3:$K$22*(Calc!$G$3:$G$22&gt;A2194)*(Calc!$G$3:$G$22-A2194)*(Calc!$G$3:$G$22&gt;B2194)*(Calc!$G$3:$G$22-B2194))</f>
        <v/>
      </c>
      <c r="L2194">
        <f>SUMPRODUCT(Calc!$K$3:$K$22*(Calc!$G$3:$G$22&gt;A2194)*(Calc!$G$3:$G$22-A2194)*Calc!$G$3:$G$22)</f>
        <v/>
      </c>
      <c r="M2194">
        <f>SUMPRODUCT(Calc!$K$3:$K$22*(Calc!$G$3:$G$22&gt;B2194)*(Calc!$G$3:$G$22-B2194)*Calc!$G$3:$G$22)</f>
        <v/>
      </c>
      <c r="N2194">
        <f>SUMPRODUCT(Calc!$K$3:$K$22*(Calc!$G$3:$G$22&gt;A2194)*(Calc!$G$3:$G$22-A2194)*Calc!$I$3:$I$22)</f>
        <v/>
      </c>
      <c r="O2194">
        <f>SUMPRODUCT(Calc!$K$3:$K$22*(Calc!$G$3:$G$22&gt;B2194)*(Calc!$G$3:$G$22-B2194)*Calc!$I$3:$I$22)</f>
        <v/>
      </c>
      <c r="P2194">
        <f>I2194-G2194^2/k_n</f>
        <v/>
      </c>
      <c r="Q2194">
        <f>J2194-H2194^2/k_n</f>
        <v/>
      </c>
      <c r="R2194">
        <f>K2194-G2194*H2194/k_n</f>
        <v/>
      </c>
      <c r="S2194">
        <f>L2194-LTP3!$D$3*G2194/k_n</f>
        <v/>
      </c>
      <c r="T2194">
        <f>M2194-LTP3!$D$3*H2194/k_n</f>
        <v/>
      </c>
      <c r="U2194">
        <f>N2194-G2194*LTP3!$D$4/k_n</f>
        <v/>
      </c>
      <c r="V2194">
        <f>O2194-H2194*LTP3!$D$4/k_n</f>
        <v/>
      </c>
      <c r="W2194">
        <f>((LTP3!$D$5)*((P2194)*(Q2194)-(R2194)*(R2194))-(S2194)*((S2194)*(Q2194)-(R2194)*(T2194))+(T2194)*((S2194)*(R2194)-(P2194)*(T2194)))</f>
        <v/>
      </c>
      <c r="X2194">
        <f>IF(ABS(W2194)&gt;1E-12,((LTP3!$D$6)*((P2194)*(Q2194)-(R2194)*(R2194))-(S2194)*((U2194)*(Q2194)-(R2194)*(V2194))+(T2194)*((U2194)*(R2194)-(P2194)*(V2194)))/W2194,0)</f>
        <v/>
      </c>
      <c r="Y2194">
        <f>IF(ABS(W2194)&gt;1E-12,((LTP3!$D$5)*((U2194)*(Q2194)-(R2194)*(V2194))-(LTP3!$D$6)*((S2194)*(Q2194)-(R2194)*(T2194))+(T2194)*((S2194)*(V2194)-(U2194)*(T2194)))/W2194,0)</f>
        <v/>
      </c>
      <c r="Z2194">
        <f>IF(ABS(W2194)&gt;1E-12,((LTP3!$D$5)*((P2194)*(V2194)-(U2194)*(R2194))-(S2194)*((S2194)*(V2194)-(U2194)*(T2194))+(LTP3!$D$6)*((S2194)*(R2194)-(P2194)*(T2194)))/W2194,0)</f>
        <v/>
      </c>
      <c r="AA2194">
        <f>LTP3!$D$7-X2194*LTP3!$D$6-Y2194*U2194-Z2194*V2194</f>
        <v/>
      </c>
      <c r="AB2194">
        <f>IF(AND(F2194,ABS(W2194)&gt;1E-12,Y2194&gt;0,Z2194&gt;0),AA2194,1E+300)</f>
        <v/>
      </c>
    </row>
    <row r="2195">
      <c r="A2195">
        <f>$B$3+$B$5*35</f>
        <v/>
      </c>
      <c r="B2195">
        <f>$B$3+$B$5*48</f>
        <v/>
      </c>
      <c r="C2195">
        <f>SUMPRODUCT(Calc!$K$3:$K$22*(Calc!$G$3:$G$22&lt;=A2195))</f>
        <v/>
      </c>
      <c r="D2195">
        <f>SUMPRODUCT(Calc!$K$3:$K$22*(Calc!$G$3:$G$22&gt;A2195)*(Calc!$G$3:$G$22&lt;B2195))</f>
        <v/>
      </c>
      <c r="E2195">
        <f>SUMPRODUCT(Calc!$K$3:$K$22*(Calc!$G$3:$G$22&gt;=B2195))</f>
        <v/>
      </c>
      <c r="F2195">
        <f>AND(k_n&gt;=5,B2195&gt;A2195+1E-9,C2195&gt;=2,D2195&gt;=1,E2195&gt;=2)</f>
        <v/>
      </c>
      <c r="G2195">
        <f>SUMPRODUCT(Calc!$K$3:$K$22*(Calc!$G$3:$G$22&gt;A2195)*(Calc!$G$3:$G$22-A2195))</f>
        <v/>
      </c>
      <c r="H2195">
        <f>SUMPRODUCT(Calc!$K$3:$K$22*(Calc!$G$3:$G$22&gt;B2195)*(Calc!$G$3:$G$22-B2195))</f>
        <v/>
      </c>
      <c r="I2195">
        <f>SUMPRODUCT(Calc!$K$3:$K$22*(Calc!$G$3:$G$22&gt;A2195)*(Calc!$G$3:$G$22-A2195)^2)</f>
        <v/>
      </c>
      <c r="J2195">
        <f>SUMPRODUCT(Calc!$K$3:$K$22*(Calc!$G$3:$G$22&gt;B2195)*(Calc!$G$3:$G$22-B2195)^2)</f>
        <v/>
      </c>
      <c r="K2195">
        <f>SUMPRODUCT(Calc!$K$3:$K$22*(Calc!$G$3:$G$22&gt;A2195)*(Calc!$G$3:$G$22-A2195)*(Calc!$G$3:$G$22&gt;B2195)*(Calc!$G$3:$G$22-B2195))</f>
        <v/>
      </c>
      <c r="L2195">
        <f>SUMPRODUCT(Calc!$K$3:$K$22*(Calc!$G$3:$G$22&gt;A2195)*(Calc!$G$3:$G$22-A2195)*Calc!$G$3:$G$22)</f>
        <v/>
      </c>
      <c r="M2195">
        <f>SUMPRODUCT(Calc!$K$3:$K$22*(Calc!$G$3:$G$22&gt;B2195)*(Calc!$G$3:$G$22-B2195)*Calc!$G$3:$G$22)</f>
        <v/>
      </c>
      <c r="N2195">
        <f>SUMPRODUCT(Calc!$K$3:$K$22*(Calc!$G$3:$G$22&gt;A2195)*(Calc!$G$3:$G$22-A2195)*Calc!$I$3:$I$22)</f>
        <v/>
      </c>
      <c r="O2195">
        <f>SUMPRODUCT(Calc!$K$3:$K$22*(Calc!$G$3:$G$22&gt;B2195)*(Calc!$G$3:$G$22-B2195)*Calc!$I$3:$I$22)</f>
        <v/>
      </c>
      <c r="P2195">
        <f>I2195-G2195^2/k_n</f>
        <v/>
      </c>
      <c r="Q2195">
        <f>J2195-H2195^2/k_n</f>
        <v/>
      </c>
      <c r="R2195">
        <f>K2195-G2195*H2195/k_n</f>
        <v/>
      </c>
      <c r="S2195">
        <f>L2195-LTP3!$D$3*G2195/k_n</f>
        <v/>
      </c>
      <c r="T2195">
        <f>M2195-LTP3!$D$3*H2195/k_n</f>
        <v/>
      </c>
      <c r="U2195">
        <f>N2195-G2195*LTP3!$D$4/k_n</f>
        <v/>
      </c>
      <c r="V2195">
        <f>O2195-H2195*LTP3!$D$4/k_n</f>
        <v/>
      </c>
      <c r="W2195">
        <f>((LTP3!$D$5)*((P2195)*(Q2195)-(R2195)*(R2195))-(S2195)*((S2195)*(Q2195)-(R2195)*(T2195))+(T2195)*((S2195)*(R2195)-(P2195)*(T2195)))</f>
        <v/>
      </c>
      <c r="X2195">
        <f>IF(ABS(W2195)&gt;1E-12,((LTP3!$D$6)*((P2195)*(Q2195)-(R2195)*(R2195))-(S2195)*((U2195)*(Q2195)-(R2195)*(V2195))+(T2195)*((U2195)*(R2195)-(P2195)*(V2195)))/W2195,0)</f>
        <v/>
      </c>
      <c r="Y2195">
        <f>IF(ABS(W2195)&gt;1E-12,((LTP3!$D$5)*((U2195)*(Q2195)-(R2195)*(V2195))-(LTP3!$D$6)*((S2195)*(Q2195)-(R2195)*(T2195))+(T2195)*((S2195)*(V2195)-(U2195)*(T2195)))/W2195,0)</f>
        <v/>
      </c>
      <c r="Z2195">
        <f>IF(ABS(W2195)&gt;1E-12,((LTP3!$D$5)*((P2195)*(V2195)-(U2195)*(R2195))-(S2195)*((S2195)*(V2195)-(U2195)*(T2195))+(LTP3!$D$6)*((S2195)*(R2195)-(P2195)*(T2195)))/W2195,0)</f>
        <v/>
      </c>
      <c r="AA2195">
        <f>LTP3!$D$7-X2195*LTP3!$D$6-Y2195*U2195-Z2195*V2195</f>
        <v/>
      </c>
      <c r="AB2195">
        <f>IF(AND(F2195,ABS(W2195)&gt;1E-12,Y2195&gt;0,Z2195&gt;0),AA2195,1E+300)</f>
        <v/>
      </c>
    </row>
    <row r="2196">
      <c r="A2196">
        <f>$B$3+$B$5*35</f>
        <v/>
      </c>
      <c r="B2196">
        <f>$B$3+$B$5*49</f>
        <v/>
      </c>
      <c r="C2196">
        <f>SUMPRODUCT(Calc!$K$3:$K$22*(Calc!$G$3:$G$22&lt;=A2196))</f>
        <v/>
      </c>
      <c r="D2196">
        <f>SUMPRODUCT(Calc!$K$3:$K$22*(Calc!$G$3:$G$22&gt;A2196)*(Calc!$G$3:$G$22&lt;B2196))</f>
        <v/>
      </c>
      <c r="E2196">
        <f>SUMPRODUCT(Calc!$K$3:$K$22*(Calc!$G$3:$G$22&gt;=B2196))</f>
        <v/>
      </c>
      <c r="F2196">
        <f>AND(k_n&gt;=5,B2196&gt;A2196+1E-9,C2196&gt;=2,D2196&gt;=1,E2196&gt;=2)</f>
        <v/>
      </c>
      <c r="G2196">
        <f>SUMPRODUCT(Calc!$K$3:$K$22*(Calc!$G$3:$G$22&gt;A2196)*(Calc!$G$3:$G$22-A2196))</f>
        <v/>
      </c>
      <c r="H2196">
        <f>SUMPRODUCT(Calc!$K$3:$K$22*(Calc!$G$3:$G$22&gt;B2196)*(Calc!$G$3:$G$22-B2196))</f>
        <v/>
      </c>
      <c r="I2196">
        <f>SUMPRODUCT(Calc!$K$3:$K$22*(Calc!$G$3:$G$22&gt;A2196)*(Calc!$G$3:$G$22-A2196)^2)</f>
        <v/>
      </c>
      <c r="J2196">
        <f>SUMPRODUCT(Calc!$K$3:$K$22*(Calc!$G$3:$G$22&gt;B2196)*(Calc!$G$3:$G$22-B2196)^2)</f>
        <v/>
      </c>
      <c r="K2196">
        <f>SUMPRODUCT(Calc!$K$3:$K$22*(Calc!$G$3:$G$22&gt;A2196)*(Calc!$G$3:$G$22-A2196)*(Calc!$G$3:$G$22&gt;B2196)*(Calc!$G$3:$G$22-B2196))</f>
        <v/>
      </c>
      <c r="L2196">
        <f>SUMPRODUCT(Calc!$K$3:$K$22*(Calc!$G$3:$G$22&gt;A2196)*(Calc!$G$3:$G$22-A2196)*Calc!$G$3:$G$22)</f>
        <v/>
      </c>
      <c r="M2196">
        <f>SUMPRODUCT(Calc!$K$3:$K$22*(Calc!$G$3:$G$22&gt;B2196)*(Calc!$G$3:$G$22-B2196)*Calc!$G$3:$G$22)</f>
        <v/>
      </c>
      <c r="N2196">
        <f>SUMPRODUCT(Calc!$K$3:$K$22*(Calc!$G$3:$G$22&gt;A2196)*(Calc!$G$3:$G$22-A2196)*Calc!$I$3:$I$22)</f>
        <v/>
      </c>
      <c r="O2196">
        <f>SUMPRODUCT(Calc!$K$3:$K$22*(Calc!$G$3:$G$22&gt;B2196)*(Calc!$G$3:$G$22-B2196)*Calc!$I$3:$I$22)</f>
        <v/>
      </c>
      <c r="P2196">
        <f>I2196-G2196^2/k_n</f>
        <v/>
      </c>
      <c r="Q2196">
        <f>J2196-H2196^2/k_n</f>
        <v/>
      </c>
      <c r="R2196">
        <f>K2196-G2196*H2196/k_n</f>
        <v/>
      </c>
      <c r="S2196">
        <f>L2196-LTP3!$D$3*G2196/k_n</f>
        <v/>
      </c>
      <c r="T2196">
        <f>M2196-LTP3!$D$3*H2196/k_n</f>
        <v/>
      </c>
      <c r="U2196">
        <f>N2196-G2196*LTP3!$D$4/k_n</f>
        <v/>
      </c>
      <c r="V2196">
        <f>O2196-H2196*LTP3!$D$4/k_n</f>
        <v/>
      </c>
      <c r="W2196">
        <f>((LTP3!$D$5)*((P2196)*(Q2196)-(R2196)*(R2196))-(S2196)*((S2196)*(Q2196)-(R2196)*(T2196))+(T2196)*((S2196)*(R2196)-(P2196)*(T2196)))</f>
        <v/>
      </c>
      <c r="X2196">
        <f>IF(ABS(W2196)&gt;1E-12,((LTP3!$D$6)*((P2196)*(Q2196)-(R2196)*(R2196))-(S2196)*((U2196)*(Q2196)-(R2196)*(V2196))+(T2196)*((U2196)*(R2196)-(P2196)*(V2196)))/W2196,0)</f>
        <v/>
      </c>
      <c r="Y2196">
        <f>IF(ABS(W2196)&gt;1E-12,((LTP3!$D$5)*((U2196)*(Q2196)-(R2196)*(V2196))-(LTP3!$D$6)*((S2196)*(Q2196)-(R2196)*(T2196))+(T2196)*((S2196)*(V2196)-(U2196)*(T2196)))/W2196,0)</f>
        <v/>
      </c>
      <c r="Z2196">
        <f>IF(ABS(W2196)&gt;1E-12,((LTP3!$D$5)*((P2196)*(V2196)-(U2196)*(R2196))-(S2196)*((S2196)*(V2196)-(U2196)*(T2196))+(LTP3!$D$6)*((S2196)*(R2196)-(P2196)*(T2196)))/W2196,0)</f>
        <v/>
      </c>
      <c r="AA2196">
        <f>LTP3!$D$7-X2196*LTP3!$D$6-Y2196*U2196-Z2196*V2196</f>
        <v/>
      </c>
      <c r="AB2196">
        <f>IF(AND(F2196,ABS(W2196)&gt;1E-12,Y2196&gt;0,Z2196&gt;0),AA2196,1E+300)</f>
        <v/>
      </c>
    </row>
    <row r="2197">
      <c r="A2197">
        <f>$B$3+$B$5*35</f>
        <v/>
      </c>
      <c r="B2197">
        <f>$B$3+$B$5*50</f>
        <v/>
      </c>
      <c r="C2197">
        <f>SUMPRODUCT(Calc!$K$3:$K$22*(Calc!$G$3:$G$22&lt;=A2197))</f>
        <v/>
      </c>
      <c r="D2197">
        <f>SUMPRODUCT(Calc!$K$3:$K$22*(Calc!$G$3:$G$22&gt;A2197)*(Calc!$G$3:$G$22&lt;B2197))</f>
        <v/>
      </c>
      <c r="E2197">
        <f>SUMPRODUCT(Calc!$K$3:$K$22*(Calc!$G$3:$G$22&gt;=B2197))</f>
        <v/>
      </c>
      <c r="F2197">
        <f>AND(k_n&gt;=5,B2197&gt;A2197+1E-9,C2197&gt;=2,D2197&gt;=1,E2197&gt;=2)</f>
        <v/>
      </c>
      <c r="G2197">
        <f>SUMPRODUCT(Calc!$K$3:$K$22*(Calc!$G$3:$G$22&gt;A2197)*(Calc!$G$3:$G$22-A2197))</f>
        <v/>
      </c>
      <c r="H2197">
        <f>SUMPRODUCT(Calc!$K$3:$K$22*(Calc!$G$3:$G$22&gt;B2197)*(Calc!$G$3:$G$22-B2197))</f>
        <v/>
      </c>
      <c r="I2197">
        <f>SUMPRODUCT(Calc!$K$3:$K$22*(Calc!$G$3:$G$22&gt;A2197)*(Calc!$G$3:$G$22-A2197)^2)</f>
        <v/>
      </c>
      <c r="J2197">
        <f>SUMPRODUCT(Calc!$K$3:$K$22*(Calc!$G$3:$G$22&gt;B2197)*(Calc!$G$3:$G$22-B2197)^2)</f>
        <v/>
      </c>
      <c r="K2197">
        <f>SUMPRODUCT(Calc!$K$3:$K$22*(Calc!$G$3:$G$22&gt;A2197)*(Calc!$G$3:$G$22-A2197)*(Calc!$G$3:$G$22&gt;B2197)*(Calc!$G$3:$G$22-B2197))</f>
        <v/>
      </c>
      <c r="L2197">
        <f>SUMPRODUCT(Calc!$K$3:$K$22*(Calc!$G$3:$G$22&gt;A2197)*(Calc!$G$3:$G$22-A2197)*Calc!$G$3:$G$22)</f>
        <v/>
      </c>
      <c r="M2197">
        <f>SUMPRODUCT(Calc!$K$3:$K$22*(Calc!$G$3:$G$22&gt;B2197)*(Calc!$G$3:$G$22-B2197)*Calc!$G$3:$G$22)</f>
        <v/>
      </c>
      <c r="N2197">
        <f>SUMPRODUCT(Calc!$K$3:$K$22*(Calc!$G$3:$G$22&gt;A2197)*(Calc!$G$3:$G$22-A2197)*Calc!$I$3:$I$22)</f>
        <v/>
      </c>
      <c r="O2197">
        <f>SUMPRODUCT(Calc!$K$3:$K$22*(Calc!$G$3:$G$22&gt;B2197)*(Calc!$G$3:$G$22-B2197)*Calc!$I$3:$I$22)</f>
        <v/>
      </c>
      <c r="P2197">
        <f>I2197-G2197^2/k_n</f>
        <v/>
      </c>
      <c r="Q2197">
        <f>J2197-H2197^2/k_n</f>
        <v/>
      </c>
      <c r="R2197">
        <f>K2197-G2197*H2197/k_n</f>
        <v/>
      </c>
      <c r="S2197">
        <f>L2197-LTP3!$D$3*G2197/k_n</f>
        <v/>
      </c>
      <c r="T2197">
        <f>M2197-LTP3!$D$3*H2197/k_n</f>
        <v/>
      </c>
      <c r="U2197">
        <f>N2197-G2197*LTP3!$D$4/k_n</f>
        <v/>
      </c>
      <c r="V2197">
        <f>O2197-H2197*LTP3!$D$4/k_n</f>
        <v/>
      </c>
      <c r="W2197">
        <f>((LTP3!$D$5)*((P2197)*(Q2197)-(R2197)*(R2197))-(S2197)*((S2197)*(Q2197)-(R2197)*(T2197))+(T2197)*((S2197)*(R2197)-(P2197)*(T2197)))</f>
        <v/>
      </c>
      <c r="X2197">
        <f>IF(ABS(W2197)&gt;1E-12,((LTP3!$D$6)*((P2197)*(Q2197)-(R2197)*(R2197))-(S2197)*((U2197)*(Q2197)-(R2197)*(V2197))+(T2197)*((U2197)*(R2197)-(P2197)*(V2197)))/W2197,0)</f>
        <v/>
      </c>
      <c r="Y2197">
        <f>IF(ABS(W2197)&gt;1E-12,((LTP3!$D$5)*((U2197)*(Q2197)-(R2197)*(V2197))-(LTP3!$D$6)*((S2197)*(Q2197)-(R2197)*(T2197))+(T2197)*((S2197)*(V2197)-(U2197)*(T2197)))/W2197,0)</f>
        <v/>
      </c>
      <c r="Z2197">
        <f>IF(ABS(W2197)&gt;1E-12,((LTP3!$D$5)*((P2197)*(V2197)-(U2197)*(R2197))-(S2197)*((S2197)*(V2197)-(U2197)*(T2197))+(LTP3!$D$6)*((S2197)*(R2197)-(P2197)*(T2197)))/W2197,0)</f>
        <v/>
      </c>
      <c r="AA2197">
        <f>LTP3!$D$7-X2197*LTP3!$D$6-Y2197*U2197-Z2197*V2197</f>
        <v/>
      </c>
      <c r="AB2197">
        <f>IF(AND(F2197,ABS(W2197)&gt;1E-12,Y2197&gt;0,Z2197&gt;0),AA2197,1E+300)</f>
        <v/>
      </c>
    </row>
    <row r="2198">
      <c r="A2198">
        <f>$B$3+$B$5*35</f>
        <v/>
      </c>
      <c r="B2198">
        <f>$B$3+$B$5*51</f>
        <v/>
      </c>
      <c r="C2198">
        <f>SUMPRODUCT(Calc!$K$3:$K$22*(Calc!$G$3:$G$22&lt;=A2198))</f>
        <v/>
      </c>
      <c r="D2198">
        <f>SUMPRODUCT(Calc!$K$3:$K$22*(Calc!$G$3:$G$22&gt;A2198)*(Calc!$G$3:$G$22&lt;B2198))</f>
        <v/>
      </c>
      <c r="E2198">
        <f>SUMPRODUCT(Calc!$K$3:$K$22*(Calc!$G$3:$G$22&gt;=B2198))</f>
        <v/>
      </c>
      <c r="F2198">
        <f>AND(k_n&gt;=5,B2198&gt;A2198+1E-9,C2198&gt;=2,D2198&gt;=1,E2198&gt;=2)</f>
        <v/>
      </c>
      <c r="G2198">
        <f>SUMPRODUCT(Calc!$K$3:$K$22*(Calc!$G$3:$G$22&gt;A2198)*(Calc!$G$3:$G$22-A2198))</f>
        <v/>
      </c>
      <c r="H2198">
        <f>SUMPRODUCT(Calc!$K$3:$K$22*(Calc!$G$3:$G$22&gt;B2198)*(Calc!$G$3:$G$22-B2198))</f>
        <v/>
      </c>
      <c r="I2198">
        <f>SUMPRODUCT(Calc!$K$3:$K$22*(Calc!$G$3:$G$22&gt;A2198)*(Calc!$G$3:$G$22-A2198)^2)</f>
        <v/>
      </c>
      <c r="J2198">
        <f>SUMPRODUCT(Calc!$K$3:$K$22*(Calc!$G$3:$G$22&gt;B2198)*(Calc!$G$3:$G$22-B2198)^2)</f>
        <v/>
      </c>
      <c r="K2198">
        <f>SUMPRODUCT(Calc!$K$3:$K$22*(Calc!$G$3:$G$22&gt;A2198)*(Calc!$G$3:$G$22-A2198)*(Calc!$G$3:$G$22&gt;B2198)*(Calc!$G$3:$G$22-B2198))</f>
        <v/>
      </c>
      <c r="L2198">
        <f>SUMPRODUCT(Calc!$K$3:$K$22*(Calc!$G$3:$G$22&gt;A2198)*(Calc!$G$3:$G$22-A2198)*Calc!$G$3:$G$22)</f>
        <v/>
      </c>
      <c r="M2198">
        <f>SUMPRODUCT(Calc!$K$3:$K$22*(Calc!$G$3:$G$22&gt;B2198)*(Calc!$G$3:$G$22-B2198)*Calc!$G$3:$G$22)</f>
        <v/>
      </c>
      <c r="N2198">
        <f>SUMPRODUCT(Calc!$K$3:$K$22*(Calc!$G$3:$G$22&gt;A2198)*(Calc!$G$3:$G$22-A2198)*Calc!$I$3:$I$22)</f>
        <v/>
      </c>
      <c r="O2198">
        <f>SUMPRODUCT(Calc!$K$3:$K$22*(Calc!$G$3:$G$22&gt;B2198)*(Calc!$G$3:$G$22-B2198)*Calc!$I$3:$I$22)</f>
        <v/>
      </c>
      <c r="P2198">
        <f>I2198-G2198^2/k_n</f>
        <v/>
      </c>
      <c r="Q2198">
        <f>J2198-H2198^2/k_n</f>
        <v/>
      </c>
      <c r="R2198">
        <f>K2198-G2198*H2198/k_n</f>
        <v/>
      </c>
      <c r="S2198">
        <f>L2198-LTP3!$D$3*G2198/k_n</f>
        <v/>
      </c>
      <c r="T2198">
        <f>M2198-LTP3!$D$3*H2198/k_n</f>
        <v/>
      </c>
      <c r="U2198">
        <f>N2198-G2198*LTP3!$D$4/k_n</f>
        <v/>
      </c>
      <c r="V2198">
        <f>O2198-H2198*LTP3!$D$4/k_n</f>
        <v/>
      </c>
      <c r="W2198">
        <f>((LTP3!$D$5)*((P2198)*(Q2198)-(R2198)*(R2198))-(S2198)*((S2198)*(Q2198)-(R2198)*(T2198))+(T2198)*((S2198)*(R2198)-(P2198)*(T2198)))</f>
        <v/>
      </c>
      <c r="X2198">
        <f>IF(ABS(W2198)&gt;1E-12,((LTP3!$D$6)*((P2198)*(Q2198)-(R2198)*(R2198))-(S2198)*((U2198)*(Q2198)-(R2198)*(V2198))+(T2198)*((U2198)*(R2198)-(P2198)*(V2198)))/W2198,0)</f>
        <v/>
      </c>
      <c r="Y2198">
        <f>IF(ABS(W2198)&gt;1E-12,((LTP3!$D$5)*((U2198)*(Q2198)-(R2198)*(V2198))-(LTP3!$D$6)*((S2198)*(Q2198)-(R2198)*(T2198))+(T2198)*((S2198)*(V2198)-(U2198)*(T2198)))/W2198,0)</f>
        <v/>
      </c>
      <c r="Z2198">
        <f>IF(ABS(W2198)&gt;1E-12,((LTP3!$D$5)*((P2198)*(V2198)-(U2198)*(R2198))-(S2198)*((S2198)*(V2198)-(U2198)*(T2198))+(LTP3!$D$6)*((S2198)*(R2198)-(P2198)*(T2198)))/W2198,0)</f>
        <v/>
      </c>
      <c r="AA2198">
        <f>LTP3!$D$7-X2198*LTP3!$D$6-Y2198*U2198-Z2198*V2198</f>
        <v/>
      </c>
      <c r="AB2198">
        <f>IF(AND(F2198,ABS(W2198)&gt;1E-12,Y2198&gt;0,Z2198&gt;0),AA2198,1E+300)</f>
        <v/>
      </c>
    </row>
    <row r="2199">
      <c r="A2199">
        <f>$B$3+$B$5*35</f>
        <v/>
      </c>
      <c r="B2199">
        <f>$B$3+$B$5*52</f>
        <v/>
      </c>
      <c r="C2199">
        <f>SUMPRODUCT(Calc!$K$3:$K$22*(Calc!$G$3:$G$22&lt;=A2199))</f>
        <v/>
      </c>
      <c r="D2199">
        <f>SUMPRODUCT(Calc!$K$3:$K$22*(Calc!$G$3:$G$22&gt;A2199)*(Calc!$G$3:$G$22&lt;B2199))</f>
        <v/>
      </c>
      <c r="E2199">
        <f>SUMPRODUCT(Calc!$K$3:$K$22*(Calc!$G$3:$G$22&gt;=B2199))</f>
        <v/>
      </c>
      <c r="F2199">
        <f>AND(k_n&gt;=5,B2199&gt;A2199+1E-9,C2199&gt;=2,D2199&gt;=1,E2199&gt;=2)</f>
        <v/>
      </c>
      <c r="G2199">
        <f>SUMPRODUCT(Calc!$K$3:$K$22*(Calc!$G$3:$G$22&gt;A2199)*(Calc!$G$3:$G$22-A2199))</f>
        <v/>
      </c>
      <c r="H2199">
        <f>SUMPRODUCT(Calc!$K$3:$K$22*(Calc!$G$3:$G$22&gt;B2199)*(Calc!$G$3:$G$22-B2199))</f>
        <v/>
      </c>
      <c r="I2199">
        <f>SUMPRODUCT(Calc!$K$3:$K$22*(Calc!$G$3:$G$22&gt;A2199)*(Calc!$G$3:$G$22-A2199)^2)</f>
        <v/>
      </c>
      <c r="J2199">
        <f>SUMPRODUCT(Calc!$K$3:$K$22*(Calc!$G$3:$G$22&gt;B2199)*(Calc!$G$3:$G$22-B2199)^2)</f>
        <v/>
      </c>
      <c r="K2199">
        <f>SUMPRODUCT(Calc!$K$3:$K$22*(Calc!$G$3:$G$22&gt;A2199)*(Calc!$G$3:$G$22-A2199)*(Calc!$G$3:$G$22&gt;B2199)*(Calc!$G$3:$G$22-B2199))</f>
        <v/>
      </c>
      <c r="L2199">
        <f>SUMPRODUCT(Calc!$K$3:$K$22*(Calc!$G$3:$G$22&gt;A2199)*(Calc!$G$3:$G$22-A2199)*Calc!$G$3:$G$22)</f>
        <v/>
      </c>
      <c r="M2199">
        <f>SUMPRODUCT(Calc!$K$3:$K$22*(Calc!$G$3:$G$22&gt;B2199)*(Calc!$G$3:$G$22-B2199)*Calc!$G$3:$G$22)</f>
        <v/>
      </c>
      <c r="N2199">
        <f>SUMPRODUCT(Calc!$K$3:$K$22*(Calc!$G$3:$G$22&gt;A2199)*(Calc!$G$3:$G$22-A2199)*Calc!$I$3:$I$22)</f>
        <v/>
      </c>
      <c r="O2199">
        <f>SUMPRODUCT(Calc!$K$3:$K$22*(Calc!$G$3:$G$22&gt;B2199)*(Calc!$G$3:$G$22-B2199)*Calc!$I$3:$I$22)</f>
        <v/>
      </c>
      <c r="P2199">
        <f>I2199-G2199^2/k_n</f>
        <v/>
      </c>
      <c r="Q2199">
        <f>J2199-H2199^2/k_n</f>
        <v/>
      </c>
      <c r="R2199">
        <f>K2199-G2199*H2199/k_n</f>
        <v/>
      </c>
      <c r="S2199">
        <f>L2199-LTP3!$D$3*G2199/k_n</f>
        <v/>
      </c>
      <c r="T2199">
        <f>M2199-LTP3!$D$3*H2199/k_n</f>
        <v/>
      </c>
      <c r="U2199">
        <f>N2199-G2199*LTP3!$D$4/k_n</f>
        <v/>
      </c>
      <c r="V2199">
        <f>O2199-H2199*LTP3!$D$4/k_n</f>
        <v/>
      </c>
      <c r="W2199">
        <f>((LTP3!$D$5)*((P2199)*(Q2199)-(R2199)*(R2199))-(S2199)*((S2199)*(Q2199)-(R2199)*(T2199))+(T2199)*((S2199)*(R2199)-(P2199)*(T2199)))</f>
        <v/>
      </c>
      <c r="X2199">
        <f>IF(ABS(W2199)&gt;1E-12,((LTP3!$D$6)*((P2199)*(Q2199)-(R2199)*(R2199))-(S2199)*((U2199)*(Q2199)-(R2199)*(V2199))+(T2199)*((U2199)*(R2199)-(P2199)*(V2199)))/W2199,0)</f>
        <v/>
      </c>
      <c r="Y2199">
        <f>IF(ABS(W2199)&gt;1E-12,((LTP3!$D$5)*((U2199)*(Q2199)-(R2199)*(V2199))-(LTP3!$D$6)*((S2199)*(Q2199)-(R2199)*(T2199))+(T2199)*((S2199)*(V2199)-(U2199)*(T2199)))/W2199,0)</f>
        <v/>
      </c>
      <c r="Z2199">
        <f>IF(ABS(W2199)&gt;1E-12,((LTP3!$D$5)*((P2199)*(V2199)-(U2199)*(R2199))-(S2199)*((S2199)*(V2199)-(U2199)*(T2199))+(LTP3!$D$6)*((S2199)*(R2199)-(P2199)*(T2199)))/W2199,0)</f>
        <v/>
      </c>
      <c r="AA2199">
        <f>LTP3!$D$7-X2199*LTP3!$D$6-Y2199*U2199-Z2199*V2199</f>
        <v/>
      </c>
      <c r="AB2199">
        <f>IF(AND(F2199,ABS(W2199)&gt;1E-12,Y2199&gt;0,Z2199&gt;0),AA2199,1E+300)</f>
        <v/>
      </c>
    </row>
    <row r="2200">
      <c r="A2200">
        <f>$B$3+$B$5*35</f>
        <v/>
      </c>
      <c r="B2200">
        <f>$B$3+$B$5*53</f>
        <v/>
      </c>
      <c r="C2200">
        <f>SUMPRODUCT(Calc!$K$3:$K$22*(Calc!$G$3:$G$22&lt;=A2200))</f>
        <v/>
      </c>
      <c r="D2200">
        <f>SUMPRODUCT(Calc!$K$3:$K$22*(Calc!$G$3:$G$22&gt;A2200)*(Calc!$G$3:$G$22&lt;B2200))</f>
        <v/>
      </c>
      <c r="E2200">
        <f>SUMPRODUCT(Calc!$K$3:$K$22*(Calc!$G$3:$G$22&gt;=B2200))</f>
        <v/>
      </c>
      <c r="F2200">
        <f>AND(k_n&gt;=5,B2200&gt;A2200+1E-9,C2200&gt;=2,D2200&gt;=1,E2200&gt;=2)</f>
        <v/>
      </c>
      <c r="G2200">
        <f>SUMPRODUCT(Calc!$K$3:$K$22*(Calc!$G$3:$G$22&gt;A2200)*(Calc!$G$3:$G$22-A2200))</f>
        <v/>
      </c>
      <c r="H2200">
        <f>SUMPRODUCT(Calc!$K$3:$K$22*(Calc!$G$3:$G$22&gt;B2200)*(Calc!$G$3:$G$22-B2200))</f>
        <v/>
      </c>
      <c r="I2200">
        <f>SUMPRODUCT(Calc!$K$3:$K$22*(Calc!$G$3:$G$22&gt;A2200)*(Calc!$G$3:$G$22-A2200)^2)</f>
        <v/>
      </c>
      <c r="J2200">
        <f>SUMPRODUCT(Calc!$K$3:$K$22*(Calc!$G$3:$G$22&gt;B2200)*(Calc!$G$3:$G$22-B2200)^2)</f>
        <v/>
      </c>
      <c r="K2200">
        <f>SUMPRODUCT(Calc!$K$3:$K$22*(Calc!$G$3:$G$22&gt;A2200)*(Calc!$G$3:$G$22-A2200)*(Calc!$G$3:$G$22&gt;B2200)*(Calc!$G$3:$G$22-B2200))</f>
        <v/>
      </c>
      <c r="L2200">
        <f>SUMPRODUCT(Calc!$K$3:$K$22*(Calc!$G$3:$G$22&gt;A2200)*(Calc!$G$3:$G$22-A2200)*Calc!$G$3:$G$22)</f>
        <v/>
      </c>
      <c r="M2200">
        <f>SUMPRODUCT(Calc!$K$3:$K$22*(Calc!$G$3:$G$22&gt;B2200)*(Calc!$G$3:$G$22-B2200)*Calc!$G$3:$G$22)</f>
        <v/>
      </c>
      <c r="N2200">
        <f>SUMPRODUCT(Calc!$K$3:$K$22*(Calc!$G$3:$G$22&gt;A2200)*(Calc!$G$3:$G$22-A2200)*Calc!$I$3:$I$22)</f>
        <v/>
      </c>
      <c r="O2200">
        <f>SUMPRODUCT(Calc!$K$3:$K$22*(Calc!$G$3:$G$22&gt;B2200)*(Calc!$G$3:$G$22-B2200)*Calc!$I$3:$I$22)</f>
        <v/>
      </c>
      <c r="P2200">
        <f>I2200-G2200^2/k_n</f>
        <v/>
      </c>
      <c r="Q2200">
        <f>J2200-H2200^2/k_n</f>
        <v/>
      </c>
      <c r="R2200">
        <f>K2200-G2200*H2200/k_n</f>
        <v/>
      </c>
      <c r="S2200">
        <f>L2200-LTP3!$D$3*G2200/k_n</f>
        <v/>
      </c>
      <c r="T2200">
        <f>M2200-LTP3!$D$3*H2200/k_n</f>
        <v/>
      </c>
      <c r="U2200">
        <f>N2200-G2200*LTP3!$D$4/k_n</f>
        <v/>
      </c>
      <c r="V2200">
        <f>O2200-H2200*LTP3!$D$4/k_n</f>
        <v/>
      </c>
      <c r="W2200">
        <f>((LTP3!$D$5)*((P2200)*(Q2200)-(R2200)*(R2200))-(S2200)*((S2200)*(Q2200)-(R2200)*(T2200))+(T2200)*((S2200)*(R2200)-(P2200)*(T2200)))</f>
        <v/>
      </c>
      <c r="X2200">
        <f>IF(ABS(W2200)&gt;1E-12,((LTP3!$D$6)*((P2200)*(Q2200)-(R2200)*(R2200))-(S2200)*((U2200)*(Q2200)-(R2200)*(V2200))+(T2200)*((U2200)*(R2200)-(P2200)*(V2200)))/W2200,0)</f>
        <v/>
      </c>
      <c r="Y2200">
        <f>IF(ABS(W2200)&gt;1E-12,((LTP3!$D$5)*((U2200)*(Q2200)-(R2200)*(V2200))-(LTP3!$D$6)*((S2200)*(Q2200)-(R2200)*(T2200))+(T2200)*((S2200)*(V2200)-(U2200)*(T2200)))/W2200,0)</f>
        <v/>
      </c>
      <c r="Z2200">
        <f>IF(ABS(W2200)&gt;1E-12,((LTP3!$D$5)*((P2200)*(V2200)-(U2200)*(R2200))-(S2200)*((S2200)*(V2200)-(U2200)*(T2200))+(LTP3!$D$6)*((S2200)*(R2200)-(P2200)*(T2200)))/W2200,0)</f>
        <v/>
      </c>
      <c r="AA2200">
        <f>LTP3!$D$7-X2200*LTP3!$D$6-Y2200*U2200-Z2200*V2200</f>
        <v/>
      </c>
      <c r="AB2200">
        <f>IF(AND(F2200,ABS(W2200)&gt;1E-12,Y2200&gt;0,Z2200&gt;0),AA2200,1E+300)</f>
        <v/>
      </c>
    </row>
    <row r="2201">
      <c r="A2201">
        <f>$B$3+$B$5*35</f>
        <v/>
      </c>
      <c r="B2201">
        <f>$B$3+$B$5*54</f>
        <v/>
      </c>
      <c r="C2201">
        <f>SUMPRODUCT(Calc!$K$3:$K$22*(Calc!$G$3:$G$22&lt;=A2201))</f>
        <v/>
      </c>
      <c r="D2201">
        <f>SUMPRODUCT(Calc!$K$3:$K$22*(Calc!$G$3:$G$22&gt;A2201)*(Calc!$G$3:$G$22&lt;B2201))</f>
        <v/>
      </c>
      <c r="E2201">
        <f>SUMPRODUCT(Calc!$K$3:$K$22*(Calc!$G$3:$G$22&gt;=B2201))</f>
        <v/>
      </c>
      <c r="F2201">
        <f>AND(k_n&gt;=5,B2201&gt;A2201+1E-9,C2201&gt;=2,D2201&gt;=1,E2201&gt;=2)</f>
        <v/>
      </c>
      <c r="G2201">
        <f>SUMPRODUCT(Calc!$K$3:$K$22*(Calc!$G$3:$G$22&gt;A2201)*(Calc!$G$3:$G$22-A2201))</f>
        <v/>
      </c>
      <c r="H2201">
        <f>SUMPRODUCT(Calc!$K$3:$K$22*(Calc!$G$3:$G$22&gt;B2201)*(Calc!$G$3:$G$22-B2201))</f>
        <v/>
      </c>
      <c r="I2201">
        <f>SUMPRODUCT(Calc!$K$3:$K$22*(Calc!$G$3:$G$22&gt;A2201)*(Calc!$G$3:$G$22-A2201)^2)</f>
        <v/>
      </c>
      <c r="J2201">
        <f>SUMPRODUCT(Calc!$K$3:$K$22*(Calc!$G$3:$G$22&gt;B2201)*(Calc!$G$3:$G$22-B2201)^2)</f>
        <v/>
      </c>
      <c r="K2201">
        <f>SUMPRODUCT(Calc!$K$3:$K$22*(Calc!$G$3:$G$22&gt;A2201)*(Calc!$G$3:$G$22-A2201)*(Calc!$G$3:$G$22&gt;B2201)*(Calc!$G$3:$G$22-B2201))</f>
        <v/>
      </c>
      <c r="L2201">
        <f>SUMPRODUCT(Calc!$K$3:$K$22*(Calc!$G$3:$G$22&gt;A2201)*(Calc!$G$3:$G$22-A2201)*Calc!$G$3:$G$22)</f>
        <v/>
      </c>
      <c r="M2201">
        <f>SUMPRODUCT(Calc!$K$3:$K$22*(Calc!$G$3:$G$22&gt;B2201)*(Calc!$G$3:$G$22-B2201)*Calc!$G$3:$G$22)</f>
        <v/>
      </c>
      <c r="N2201">
        <f>SUMPRODUCT(Calc!$K$3:$K$22*(Calc!$G$3:$G$22&gt;A2201)*(Calc!$G$3:$G$22-A2201)*Calc!$I$3:$I$22)</f>
        <v/>
      </c>
      <c r="O2201">
        <f>SUMPRODUCT(Calc!$K$3:$K$22*(Calc!$G$3:$G$22&gt;B2201)*(Calc!$G$3:$G$22-B2201)*Calc!$I$3:$I$22)</f>
        <v/>
      </c>
      <c r="P2201">
        <f>I2201-G2201^2/k_n</f>
        <v/>
      </c>
      <c r="Q2201">
        <f>J2201-H2201^2/k_n</f>
        <v/>
      </c>
      <c r="R2201">
        <f>K2201-G2201*H2201/k_n</f>
        <v/>
      </c>
      <c r="S2201">
        <f>L2201-LTP3!$D$3*G2201/k_n</f>
        <v/>
      </c>
      <c r="T2201">
        <f>M2201-LTP3!$D$3*H2201/k_n</f>
        <v/>
      </c>
      <c r="U2201">
        <f>N2201-G2201*LTP3!$D$4/k_n</f>
        <v/>
      </c>
      <c r="V2201">
        <f>O2201-H2201*LTP3!$D$4/k_n</f>
        <v/>
      </c>
      <c r="W2201">
        <f>((LTP3!$D$5)*((P2201)*(Q2201)-(R2201)*(R2201))-(S2201)*((S2201)*(Q2201)-(R2201)*(T2201))+(T2201)*((S2201)*(R2201)-(P2201)*(T2201)))</f>
        <v/>
      </c>
      <c r="X2201">
        <f>IF(ABS(W2201)&gt;1E-12,((LTP3!$D$6)*((P2201)*(Q2201)-(R2201)*(R2201))-(S2201)*((U2201)*(Q2201)-(R2201)*(V2201))+(T2201)*((U2201)*(R2201)-(P2201)*(V2201)))/W2201,0)</f>
        <v/>
      </c>
      <c r="Y2201">
        <f>IF(ABS(W2201)&gt;1E-12,((LTP3!$D$5)*((U2201)*(Q2201)-(R2201)*(V2201))-(LTP3!$D$6)*((S2201)*(Q2201)-(R2201)*(T2201))+(T2201)*((S2201)*(V2201)-(U2201)*(T2201)))/W2201,0)</f>
        <v/>
      </c>
      <c r="Z2201">
        <f>IF(ABS(W2201)&gt;1E-12,((LTP3!$D$5)*((P2201)*(V2201)-(U2201)*(R2201))-(S2201)*((S2201)*(V2201)-(U2201)*(T2201))+(LTP3!$D$6)*((S2201)*(R2201)-(P2201)*(T2201)))/W2201,0)</f>
        <v/>
      </c>
      <c r="AA2201">
        <f>LTP3!$D$7-X2201*LTP3!$D$6-Y2201*U2201-Z2201*V2201</f>
        <v/>
      </c>
      <c r="AB2201">
        <f>IF(AND(F2201,ABS(W2201)&gt;1E-12,Y2201&gt;0,Z2201&gt;0),AA2201,1E+300)</f>
        <v/>
      </c>
    </row>
    <row r="2202">
      <c r="A2202">
        <f>$B$3+$B$5*35</f>
        <v/>
      </c>
      <c r="B2202">
        <f>$B$3+$B$5*55</f>
        <v/>
      </c>
      <c r="C2202">
        <f>SUMPRODUCT(Calc!$K$3:$K$22*(Calc!$G$3:$G$22&lt;=A2202))</f>
        <v/>
      </c>
      <c r="D2202">
        <f>SUMPRODUCT(Calc!$K$3:$K$22*(Calc!$G$3:$G$22&gt;A2202)*(Calc!$G$3:$G$22&lt;B2202))</f>
        <v/>
      </c>
      <c r="E2202">
        <f>SUMPRODUCT(Calc!$K$3:$K$22*(Calc!$G$3:$G$22&gt;=B2202))</f>
        <v/>
      </c>
      <c r="F2202">
        <f>AND(k_n&gt;=5,B2202&gt;A2202+1E-9,C2202&gt;=2,D2202&gt;=1,E2202&gt;=2)</f>
        <v/>
      </c>
      <c r="G2202">
        <f>SUMPRODUCT(Calc!$K$3:$K$22*(Calc!$G$3:$G$22&gt;A2202)*(Calc!$G$3:$G$22-A2202))</f>
        <v/>
      </c>
      <c r="H2202">
        <f>SUMPRODUCT(Calc!$K$3:$K$22*(Calc!$G$3:$G$22&gt;B2202)*(Calc!$G$3:$G$22-B2202))</f>
        <v/>
      </c>
      <c r="I2202">
        <f>SUMPRODUCT(Calc!$K$3:$K$22*(Calc!$G$3:$G$22&gt;A2202)*(Calc!$G$3:$G$22-A2202)^2)</f>
        <v/>
      </c>
      <c r="J2202">
        <f>SUMPRODUCT(Calc!$K$3:$K$22*(Calc!$G$3:$G$22&gt;B2202)*(Calc!$G$3:$G$22-B2202)^2)</f>
        <v/>
      </c>
      <c r="K2202">
        <f>SUMPRODUCT(Calc!$K$3:$K$22*(Calc!$G$3:$G$22&gt;A2202)*(Calc!$G$3:$G$22-A2202)*(Calc!$G$3:$G$22&gt;B2202)*(Calc!$G$3:$G$22-B2202))</f>
        <v/>
      </c>
      <c r="L2202">
        <f>SUMPRODUCT(Calc!$K$3:$K$22*(Calc!$G$3:$G$22&gt;A2202)*(Calc!$G$3:$G$22-A2202)*Calc!$G$3:$G$22)</f>
        <v/>
      </c>
      <c r="M2202">
        <f>SUMPRODUCT(Calc!$K$3:$K$22*(Calc!$G$3:$G$22&gt;B2202)*(Calc!$G$3:$G$22-B2202)*Calc!$G$3:$G$22)</f>
        <v/>
      </c>
      <c r="N2202">
        <f>SUMPRODUCT(Calc!$K$3:$K$22*(Calc!$G$3:$G$22&gt;A2202)*(Calc!$G$3:$G$22-A2202)*Calc!$I$3:$I$22)</f>
        <v/>
      </c>
      <c r="O2202">
        <f>SUMPRODUCT(Calc!$K$3:$K$22*(Calc!$G$3:$G$22&gt;B2202)*(Calc!$G$3:$G$22-B2202)*Calc!$I$3:$I$22)</f>
        <v/>
      </c>
      <c r="P2202">
        <f>I2202-G2202^2/k_n</f>
        <v/>
      </c>
      <c r="Q2202">
        <f>J2202-H2202^2/k_n</f>
        <v/>
      </c>
      <c r="R2202">
        <f>K2202-G2202*H2202/k_n</f>
        <v/>
      </c>
      <c r="S2202">
        <f>L2202-LTP3!$D$3*G2202/k_n</f>
        <v/>
      </c>
      <c r="T2202">
        <f>M2202-LTP3!$D$3*H2202/k_n</f>
        <v/>
      </c>
      <c r="U2202">
        <f>N2202-G2202*LTP3!$D$4/k_n</f>
        <v/>
      </c>
      <c r="V2202">
        <f>O2202-H2202*LTP3!$D$4/k_n</f>
        <v/>
      </c>
      <c r="W2202">
        <f>((LTP3!$D$5)*((P2202)*(Q2202)-(R2202)*(R2202))-(S2202)*((S2202)*(Q2202)-(R2202)*(T2202))+(T2202)*((S2202)*(R2202)-(P2202)*(T2202)))</f>
        <v/>
      </c>
      <c r="X2202">
        <f>IF(ABS(W2202)&gt;1E-12,((LTP3!$D$6)*((P2202)*(Q2202)-(R2202)*(R2202))-(S2202)*((U2202)*(Q2202)-(R2202)*(V2202))+(T2202)*((U2202)*(R2202)-(P2202)*(V2202)))/W2202,0)</f>
        <v/>
      </c>
      <c r="Y2202">
        <f>IF(ABS(W2202)&gt;1E-12,((LTP3!$D$5)*((U2202)*(Q2202)-(R2202)*(V2202))-(LTP3!$D$6)*((S2202)*(Q2202)-(R2202)*(T2202))+(T2202)*((S2202)*(V2202)-(U2202)*(T2202)))/W2202,0)</f>
        <v/>
      </c>
      <c r="Z2202">
        <f>IF(ABS(W2202)&gt;1E-12,((LTP3!$D$5)*((P2202)*(V2202)-(U2202)*(R2202))-(S2202)*((S2202)*(V2202)-(U2202)*(T2202))+(LTP3!$D$6)*((S2202)*(R2202)-(P2202)*(T2202)))/W2202,0)</f>
        <v/>
      </c>
      <c r="AA2202">
        <f>LTP3!$D$7-X2202*LTP3!$D$6-Y2202*U2202-Z2202*V2202</f>
        <v/>
      </c>
      <c r="AB2202">
        <f>IF(AND(F2202,ABS(W2202)&gt;1E-12,Y2202&gt;0,Z2202&gt;0),AA2202,1E+300)</f>
        <v/>
      </c>
    </row>
    <row r="2203">
      <c r="A2203">
        <f>$B$3+$B$5*35</f>
        <v/>
      </c>
      <c r="B2203">
        <f>$B$3+$B$5*56</f>
        <v/>
      </c>
      <c r="C2203">
        <f>SUMPRODUCT(Calc!$K$3:$K$22*(Calc!$G$3:$G$22&lt;=A2203))</f>
        <v/>
      </c>
      <c r="D2203">
        <f>SUMPRODUCT(Calc!$K$3:$K$22*(Calc!$G$3:$G$22&gt;A2203)*(Calc!$G$3:$G$22&lt;B2203))</f>
        <v/>
      </c>
      <c r="E2203">
        <f>SUMPRODUCT(Calc!$K$3:$K$22*(Calc!$G$3:$G$22&gt;=B2203))</f>
        <v/>
      </c>
      <c r="F2203">
        <f>AND(k_n&gt;=5,B2203&gt;A2203+1E-9,C2203&gt;=2,D2203&gt;=1,E2203&gt;=2)</f>
        <v/>
      </c>
      <c r="G2203">
        <f>SUMPRODUCT(Calc!$K$3:$K$22*(Calc!$G$3:$G$22&gt;A2203)*(Calc!$G$3:$G$22-A2203))</f>
        <v/>
      </c>
      <c r="H2203">
        <f>SUMPRODUCT(Calc!$K$3:$K$22*(Calc!$G$3:$G$22&gt;B2203)*(Calc!$G$3:$G$22-B2203))</f>
        <v/>
      </c>
      <c r="I2203">
        <f>SUMPRODUCT(Calc!$K$3:$K$22*(Calc!$G$3:$G$22&gt;A2203)*(Calc!$G$3:$G$22-A2203)^2)</f>
        <v/>
      </c>
      <c r="J2203">
        <f>SUMPRODUCT(Calc!$K$3:$K$22*(Calc!$G$3:$G$22&gt;B2203)*(Calc!$G$3:$G$22-B2203)^2)</f>
        <v/>
      </c>
      <c r="K2203">
        <f>SUMPRODUCT(Calc!$K$3:$K$22*(Calc!$G$3:$G$22&gt;A2203)*(Calc!$G$3:$G$22-A2203)*(Calc!$G$3:$G$22&gt;B2203)*(Calc!$G$3:$G$22-B2203))</f>
        <v/>
      </c>
      <c r="L2203">
        <f>SUMPRODUCT(Calc!$K$3:$K$22*(Calc!$G$3:$G$22&gt;A2203)*(Calc!$G$3:$G$22-A2203)*Calc!$G$3:$G$22)</f>
        <v/>
      </c>
      <c r="M2203">
        <f>SUMPRODUCT(Calc!$K$3:$K$22*(Calc!$G$3:$G$22&gt;B2203)*(Calc!$G$3:$G$22-B2203)*Calc!$G$3:$G$22)</f>
        <v/>
      </c>
      <c r="N2203">
        <f>SUMPRODUCT(Calc!$K$3:$K$22*(Calc!$G$3:$G$22&gt;A2203)*(Calc!$G$3:$G$22-A2203)*Calc!$I$3:$I$22)</f>
        <v/>
      </c>
      <c r="O2203">
        <f>SUMPRODUCT(Calc!$K$3:$K$22*(Calc!$G$3:$G$22&gt;B2203)*(Calc!$G$3:$G$22-B2203)*Calc!$I$3:$I$22)</f>
        <v/>
      </c>
      <c r="P2203">
        <f>I2203-G2203^2/k_n</f>
        <v/>
      </c>
      <c r="Q2203">
        <f>J2203-H2203^2/k_n</f>
        <v/>
      </c>
      <c r="R2203">
        <f>K2203-G2203*H2203/k_n</f>
        <v/>
      </c>
      <c r="S2203">
        <f>L2203-LTP3!$D$3*G2203/k_n</f>
        <v/>
      </c>
      <c r="T2203">
        <f>M2203-LTP3!$D$3*H2203/k_n</f>
        <v/>
      </c>
      <c r="U2203">
        <f>N2203-G2203*LTP3!$D$4/k_n</f>
        <v/>
      </c>
      <c r="V2203">
        <f>O2203-H2203*LTP3!$D$4/k_n</f>
        <v/>
      </c>
      <c r="W2203">
        <f>((LTP3!$D$5)*((P2203)*(Q2203)-(R2203)*(R2203))-(S2203)*((S2203)*(Q2203)-(R2203)*(T2203))+(T2203)*((S2203)*(R2203)-(P2203)*(T2203)))</f>
        <v/>
      </c>
      <c r="X2203">
        <f>IF(ABS(W2203)&gt;1E-12,((LTP3!$D$6)*((P2203)*(Q2203)-(R2203)*(R2203))-(S2203)*((U2203)*(Q2203)-(R2203)*(V2203))+(T2203)*((U2203)*(R2203)-(P2203)*(V2203)))/W2203,0)</f>
        <v/>
      </c>
      <c r="Y2203">
        <f>IF(ABS(W2203)&gt;1E-12,((LTP3!$D$5)*((U2203)*(Q2203)-(R2203)*(V2203))-(LTP3!$D$6)*((S2203)*(Q2203)-(R2203)*(T2203))+(T2203)*((S2203)*(V2203)-(U2203)*(T2203)))/W2203,0)</f>
        <v/>
      </c>
      <c r="Z2203">
        <f>IF(ABS(W2203)&gt;1E-12,((LTP3!$D$5)*((P2203)*(V2203)-(U2203)*(R2203))-(S2203)*((S2203)*(V2203)-(U2203)*(T2203))+(LTP3!$D$6)*((S2203)*(R2203)-(P2203)*(T2203)))/W2203,0)</f>
        <v/>
      </c>
      <c r="AA2203">
        <f>LTP3!$D$7-X2203*LTP3!$D$6-Y2203*U2203-Z2203*V2203</f>
        <v/>
      </c>
      <c r="AB2203">
        <f>IF(AND(F2203,ABS(W2203)&gt;1E-12,Y2203&gt;0,Z2203&gt;0),AA2203,1E+300)</f>
        <v/>
      </c>
    </row>
    <row r="2204">
      <c r="A2204">
        <f>$B$3+$B$5*35</f>
        <v/>
      </c>
      <c r="B2204">
        <f>$B$3+$B$5*57</f>
        <v/>
      </c>
      <c r="C2204">
        <f>SUMPRODUCT(Calc!$K$3:$K$22*(Calc!$G$3:$G$22&lt;=A2204))</f>
        <v/>
      </c>
      <c r="D2204">
        <f>SUMPRODUCT(Calc!$K$3:$K$22*(Calc!$G$3:$G$22&gt;A2204)*(Calc!$G$3:$G$22&lt;B2204))</f>
        <v/>
      </c>
      <c r="E2204">
        <f>SUMPRODUCT(Calc!$K$3:$K$22*(Calc!$G$3:$G$22&gt;=B2204))</f>
        <v/>
      </c>
      <c r="F2204">
        <f>AND(k_n&gt;=5,B2204&gt;A2204+1E-9,C2204&gt;=2,D2204&gt;=1,E2204&gt;=2)</f>
        <v/>
      </c>
      <c r="G2204">
        <f>SUMPRODUCT(Calc!$K$3:$K$22*(Calc!$G$3:$G$22&gt;A2204)*(Calc!$G$3:$G$22-A2204))</f>
        <v/>
      </c>
      <c r="H2204">
        <f>SUMPRODUCT(Calc!$K$3:$K$22*(Calc!$G$3:$G$22&gt;B2204)*(Calc!$G$3:$G$22-B2204))</f>
        <v/>
      </c>
      <c r="I2204">
        <f>SUMPRODUCT(Calc!$K$3:$K$22*(Calc!$G$3:$G$22&gt;A2204)*(Calc!$G$3:$G$22-A2204)^2)</f>
        <v/>
      </c>
      <c r="J2204">
        <f>SUMPRODUCT(Calc!$K$3:$K$22*(Calc!$G$3:$G$22&gt;B2204)*(Calc!$G$3:$G$22-B2204)^2)</f>
        <v/>
      </c>
      <c r="K2204">
        <f>SUMPRODUCT(Calc!$K$3:$K$22*(Calc!$G$3:$G$22&gt;A2204)*(Calc!$G$3:$G$22-A2204)*(Calc!$G$3:$G$22&gt;B2204)*(Calc!$G$3:$G$22-B2204))</f>
        <v/>
      </c>
      <c r="L2204">
        <f>SUMPRODUCT(Calc!$K$3:$K$22*(Calc!$G$3:$G$22&gt;A2204)*(Calc!$G$3:$G$22-A2204)*Calc!$G$3:$G$22)</f>
        <v/>
      </c>
      <c r="M2204">
        <f>SUMPRODUCT(Calc!$K$3:$K$22*(Calc!$G$3:$G$22&gt;B2204)*(Calc!$G$3:$G$22-B2204)*Calc!$G$3:$G$22)</f>
        <v/>
      </c>
      <c r="N2204">
        <f>SUMPRODUCT(Calc!$K$3:$K$22*(Calc!$G$3:$G$22&gt;A2204)*(Calc!$G$3:$G$22-A2204)*Calc!$I$3:$I$22)</f>
        <v/>
      </c>
      <c r="O2204">
        <f>SUMPRODUCT(Calc!$K$3:$K$22*(Calc!$G$3:$G$22&gt;B2204)*(Calc!$G$3:$G$22-B2204)*Calc!$I$3:$I$22)</f>
        <v/>
      </c>
      <c r="P2204">
        <f>I2204-G2204^2/k_n</f>
        <v/>
      </c>
      <c r="Q2204">
        <f>J2204-H2204^2/k_n</f>
        <v/>
      </c>
      <c r="R2204">
        <f>K2204-G2204*H2204/k_n</f>
        <v/>
      </c>
      <c r="S2204">
        <f>L2204-LTP3!$D$3*G2204/k_n</f>
        <v/>
      </c>
      <c r="T2204">
        <f>M2204-LTP3!$D$3*H2204/k_n</f>
        <v/>
      </c>
      <c r="U2204">
        <f>N2204-G2204*LTP3!$D$4/k_n</f>
        <v/>
      </c>
      <c r="V2204">
        <f>O2204-H2204*LTP3!$D$4/k_n</f>
        <v/>
      </c>
      <c r="W2204">
        <f>((LTP3!$D$5)*((P2204)*(Q2204)-(R2204)*(R2204))-(S2204)*((S2204)*(Q2204)-(R2204)*(T2204))+(T2204)*((S2204)*(R2204)-(P2204)*(T2204)))</f>
        <v/>
      </c>
      <c r="X2204">
        <f>IF(ABS(W2204)&gt;1E-12,((LTP3!$D$6)*((P2204)*(Q2204)-(R2204)*(R2204))-(S2204)*((U2204)*(Q2204)-(R2204)*(V2204))+(T2204)*((U2204)*(R2204)-(P2204)*(V2204)))/W2204,0)</f>
        <v/>
      </c>
      <c r="Y2204">
        <f>IF(ABS(W2204)&gt;1E-12,((LTP3!$D$5)*((U2204)*(Q2204)-(R2204)*(V2204))-(LTP3!$D$6)*((S2204)*(Q2204)-(R2204)*(T2204))+(T2204)*((S2204)*(V2204)-(U2204)*(T2204)))/W2204,0)</f>
        <v/>
      </c>
      <c r="Z2204">
        <f>IF(ABS(W2204)&gt;1E-12,((LTP3!$D$5)*((P2204)*(V2204)-(U2204)*(R2204))-(S2204)*((S2204)*(V2204)-(U2204)*(T2204))+(LTP3!$D$6)*((S2204)*(R2204)-(P2204)*(T2204)))/W2204,0)</f>
        <v/>
      </c>
      <c r="AA2204">
        <f>LTP3!$D$7-X2204*LTP3!$D$6-Y2204*U2204-Z2204*V2204</f>
        <v/>
      </c>
      <c r="AB2204">
        <f>IF(AND(F2204,ABS(W2204)&gt;1E-12,Y2204&gt;0,Z2204&gt;0),AA2204,1E+300)</f>
        <v/>
      </c>
    </row>
    <row r="2205">
      <c r="A2205">
        <f>$B$3+$B$5*35</f>
        <v/>
      </c>
      <c r="B2205">
        <f>$B$3+$B$5*58</f>
        <v/>
      </c>
      <c r="C2205">
        <f>SUMPRODUCT(Calc!$K$3:$K$22*(Calc!$G$3:$G$22&lt;=A2205))</f>
        <v/>
      </c>
      <c r="D2205">
        <f>SUMPRODUCT(Calc!$K$3:$K$22*(Calc!$G$3:$G$22&gt;A2205)*(Calc!$G$3:$G$22&lt;B2205))</f>
        <v/>
      </c>
      <c r="E2205">
        <f>SUMPRODUCT(Calc!$K$3:$K$22*(Calc!$G$3:$G$22&gt;=B2205))</f>
        <v/>
      </c>
      <c r="F2205">
        <f>AND(k_n&gt;=5,B2205&gt;A2205+1E-9,C2205&gt;=2,D2205&gt;=1,E2205&gt;=2)</f>
        <v/>
      </c>
      <c r="G2205">
        <f>SUMPRODUCT(Calc!$K$3:$K$22*(Calc!$G$3:$G$22&gt;A2205)*(Calc!$G$3:$G$22-A2205))</f>
        <v/>
      </c>
      <c r="H2205">
        <f>SUMPRODUCT(Calc!$K$3:$K$22*(Calc!$G$3:$G$22&gt;B2205)*(Calc!$G$3:$G$22-B2205))</f>
        <v/>
      </c>
      <c r="I2205">
        <f>SUMPRODUCT(Calc!$K$3:$K$22*(Calc!$G$3:$G$22&gt;A2205)*(Calc!$G$3:$G$22-A2205)^2)</f>
        <v/>
      </c>
      <c r="J2205">
        <f>SUMPRODUCT(Calc!$K$3:$K$22*(Calc!$G$3:$G$22&gt;B2205)*(Calc!$G$3:$G$22-B2205)^2)</f>
        <v/>
      </c>
      <c r="K2205">
        <f>SUMPRODUCT(Calc!$K$3:$K$22*(Calc!$G$3:$G$22&gt;A2205)*(Calc!$G$3:$G$22-A2205)*(Calc!$G$3:$G$22&gt;B2205)*(Calc!$G$3:$G$22-B2205))</f>
        <v/>
      </c>
      <c r="L2205">
        <f>SUMPRODUCT(Calc!$K$3:$K$22*(Calc!$G$3:$G$22&gt;A2205)*(Calc!$G$3:$G$22-A2205)*Calc!$G$3:$G$22)</f>
        <v/>
      </c>
      <c r="M2205">
        <f>SUMPRODUCT(Calc!$K$3:$K$22*(Calc!$G$3:$G$22&gt;B2205)*(Calc!$G$3:$G$22-B2205)*Calc!$G$3:$G$22)</f>
        <v/>
      </c>
      <c r="N2205">
        <f>SUMPRODUCT(Calc!$K$3:$K$22*(Calc!$G$3:$G$22&gt;A2205)*(Calc!$G$3:$G$22-A2205)*Calc!$I$3:$I$22)</f>
        <v/>
      </c>
      <c r="O2205">
        <f>SUMPRODUCT(Calc!$K$3:$K$22*(Calc!$G$3:$G$22&gt;B2205)*(Calc!$G$3:$G$22-B2205)*Calc!$I$3:$I$22)</f>
        <v/>
      </c>
      <c r="P2205">
        <f>I2205-G2205^2/k_n</f>
        <v/>
      </c>
      <c r="Q2205">
        <f>J2205-H2205^2/k_n</f>
        <v/>
      </c>
      <c r="R2205">
        <f>K2205-G2205*H2205/k_n</f>
        <v/>
      </c>
      <c r="S2205">
        <f>L2205-LTP3!$D$3*G2205/k_n</f>
        <v/>
      </c>
      <c r="T2205">
        <f>M2205-LTP3!$D$3*H2205/k_n</f>
        <v/>
      </c>
      <c r="U2205">
        <f>N2205-G2205*LTP3!$D$4/k_n</f>
        <v/>
      </c>
      <c r="V2205">
        <f>O2205-H2205*LTP3!$D$4/k_n</f>
        <v/>
      </c>
      <c r="W2205">
        <f>((LTP3!$D$5)*((P2205)*(Q2205)-(R2205)*(R2205))-(S2205)*((S2205)*(Q2205)-(R2205)*(T2205))+(T2205)*((S2205)*(R2205)-(P2205)*(T2205)))</f>
        <v/>
      </c>
      <c r="X2205">
        <f>IF(ABS(W2205)&gt;1E-12,((LTP3!$D$6)*((P2205)*(Q2205)-(R2205)*(R2205))-(S2205)*((U2205)*(Q2205)-(R2205)*(V2205))+(T2205)*((U2205)*(R2205)-(P2205)*(V2205)))/W2205,0)</f>
        <v/>
      </c>
      <c r="Y2205">
        <f>IF(ABS(W2205)&gt;1E-12,((LTP3!$D$5)*((U2205)*(Q2205)-(R2205)*(V2205))-(LTP3!$D$6)*((S2205)*(Q2205)-(R2205)*(T2205))+(T2205)*((S2205)*(V2205)-(U2205)*(T2205)))/W2205,0)</f>
        <v/>
      </c>
      <c r="Z2205">
        <f>IF(ABS(W2205)&gt;1E-12,((LTP3!$D$5)*((P2205)*(V2205)-(U2205)*(R2205))-(S2205)*((S2205)*(V2205)-(U2205)*(T2205))+(LTP3!$D$6)*((S2205)*(R2205)-(P2205)*(T2205)))/W2205,0)</f>
        <v/>
      </c>
      <c r="AA2205">
        <f>LTP3!$D$7-X2205*LTP3!$D$6-Y2205*U2205-Z2205*V2205</f>
        <v/>
      </c>
      <c r="AB2205">
        <f>IF(AND(F2205,ABS(W2205)&gt;1E-12,Y2205&gt;0,Z2205&gt;0),AA2205,1E+300)</f>
        <v/>
      </c>
    </row>
    <row r="2206">
      <c r="A2206">
        <f>$B$3+$B$5*35</f>
        <v/>
      </c>
      <c r="B2206">
        <f>$B$3+$B$5*59</f>
        <v/>
      </c>
      <c r="C2206">
        <f>SUMPRODUCT(Calc!$K$3:$K$22*(Calc!$G$3:$G$22&lt;=A2206))</f>
        <v/>
      </c>
      <c r="D2206">
        <f>SUMPRODUCT(Calc!$K$3:$K$22*(Calc!$G$3:$G$22&gt;A2206)*(Calc!$G$3:$G$22&lt;B2206))</f>
        <v/>
      </c>
      <c r="E2206">
        <f>SUMPRODUCT(Calc!$K$3:$K$22*(Calc!$G$3:$G$22&gt;=B2206))</f>
        <v/>
      </c>
      <c r="F2206">
        <f>AND(k_n&gt;=5,B2206&gt;A2206+1E-9,C2206&gt;=2,D2206&gt;=1,E2206&gt;=2)</f>
        <v/>
      </c>
      <c r="G2206">
        <f>SUMPRODUCT(Calc!$K$3:$K$22*(Calc!$G$3:$G$22&gt;A2206)*(Calc!$G$3:$G$22-A2206))</f>
        <v/>
      </c>
      <c r="H2206">
        <f>SUMPRODUCT(Calc!$K$3:$K$22*(Calc!$G$3:$G$22&gt;B2206)*(Calc!$G$3:$G$22-B2206))</f>
        <v/>
      </c>
      <c r="I2206">
        <f>SUMPRODUCT(Calc!$K$3:$K$22*(Calc!$G$3:$G$22&gt;A2206)*(Calc!$G$3:$G$22-A2206)^2)</f>
        <v/>
      </c>
      <c r="J2206">
        <f>SUMPRODUCT(Calc!$K$3:$K$22*(Calc!$G$3:$G$22&gt;B2206)*(Calc!$G$3:$G$22-B2206)^2)</f>
        <v/>
      </c>
      <c r="K2206">
        <f>SUMPRODUCT(Calc!$K$3:$K$22*(Calc!$G$3:$G$22&gt;A2206)*(Calc!$G$3:$G$22-A2206)*(Calc!$G$3:$G$22&gt;B2206)*(Calc!$G$3:$G$22-B2206))</f>
        <v/>
      </c>
      <c r="L2206">
        <f>SUMPRODUCT(Calc!$K$3:$K$22*(Calc!$G$3:$G$22&gt;A2206)*(Calc!$G$3:$G$22-A2206)*Calc!$G$3:$G$22)</f>
        <v/>
      </c>
      <c r="M2206">
        <f>SUMPRODUCT(Calc!$K$3:$K$22*(Calc!$G$3:$G$22&gt;B2206)*(Calc!$G$3:$G$22-B2206)*Calc!$G$3:$G$22)</f>
        <v/>
      </c>
      <c r="N2206">
        <f>SUMPRODUCT(Calc!$K$3:$K$22*(Calc!$G$3:$G$22&gt;A2206)*(Calc!$G$3:$G$22-A2206)*Calc!$I$3:$I$22)</f>
        <v/>
      </c>
      <c r="O2206">
        <f>SUMPRODUCT(Calc!$K$3:$K$22*(Calc!$G$3:$G$22&gt;B2206)*(Calc!$G$3:$G$22-B2206)*Calc!$I$3:$I$22)</f>
        <v/>
      </c>
      <c r="P2206">
        <f>I2206-G2206^2/k_n</f>
        <v/>
      </c>
      <c r="Q2206">
        <f>J2206-H2206^2/k_n</f>
        <v/>
      </c>
      <c r="R2206">
        <f>K2206-G2206*H2206/k_n</f>
        <v/>
      </c>
      <c r="S2206">
        <f>L2206-LTP3!$D$3*G2206/k_n</f>
        <v/>
      </c>
      <c r="T2206">
        <f>M2206-LTP3!$D$3*H2206/k_n</f>
        <v/>
      </c>
      <c r="U2206">
        <f>N2206-G2206*LTP3!$D$4/k_n</f>
        <v/>
      </c>
      <c r="V2206">
        <f>O2206-H2206*LTP3!$D$4/k_n</f>
        <v/>
      </c>
      <c r="W2206">
        <f>((LTP3!$D$5)*((P2206)*(Q2206)-(R2206)*(R2206))-(S2206)*((S2206)*(Q2206)-(R2206)*(T2206))+(T2206)*((S2206)*(R2206)-(P2206)*(T2206)))</f>
        <v/>
      </c>
      <c r="X2206">
        <f>IF(ABS(W2206)&gt;1E-12,((LTP3!$D$6)*((P2206)*(Q2206)-(R2206)*(R2206))-(S2206)*((U2206)*(Q2206)-(R2206)*(V2206))+(T2206)*((U2206)*(R2206)-(P2206)*(V2206)))/W2206,0)</f>
        <v/>
      </c>
      <c r="Y2206">
        <f>IF(ABS(W2206)&gt;1E-12,((LTP3!$D$5)*((U2206)*(Q2206)-(R2206)*(V2206))-(LTP3!$D$6)*((S2206)*(Q2206)-(R2206)*(T2206))+(T2206)*((S2206)*(V2206)-(U2206)*(T2206)))/W2206,0)</f>
        <v/>
      </c>
      <c r="Z2206">
        <f>IF(ABS(W2206)&gt;1E-12,((LTP3!$D$5)*((P2206)*(V2206)-(U2206)*(R2206))-(S2206)*((S2206)*(V2206)-(U2206)*(T2206))+(LTP3!$D$6)*((S2206)*(R2206)-(P2206)*(T2206)))/W2206,0)</f>
        <v/>
      </c>
      <c r="AA2206">
        <f>LTP3!$D$7-X2206*LTP3!$D$6-Y2206*U2206-Z2206*V2206</f>
        <v/>
      </c>
      <c r="AB2206">
        <f>IF(AND(F2206,ABS(W2206)&gt;1E-12,Y2206&gt;0,Z2206&gt;0),AA2206,1E+300)</f>
        <v/>
      </c>
    </row>
    <row r="2207">
      <c r="A2207">
        <f>$B$3+$B$5*35</f>
        <v/>
      </c>
      <c r="B2207">
        <f>$B$3+$B$5*60</f>
        <v/>
      </c>
      <c r="C2207">
        <f>SUMPRODUCT(Calc!$K$3:$K$22*(Calc!$G$3:$G$22&lt;=A2207))</f>
        <v/>
      </c>
      <c r="D2207">
        <f>SUMPRODUCT(Calc!$K$3:$K$22*(Calc!$G$3:$G$22&gt;A2207)*(Calc!$G$3:$G$22&lt;B2207))</f>
        <v/>
      </c>
      <c r="E2207">
        <f>SUMPRODUCT(Calc!$K$3:$K$22*(Calc!$G$3:$G$22&gt;=B2207))</f>
        <v/>
      </c>
      <c r="F2207">
        <f>AND(k_n&gt;=5,B2207&gt;A2207+1E-9,C2207&gt;=2,D2207&gt;=1,E2207&gt;=2)</f>
        <v/>
      </c>
      <c r="G2207">
        <f>SUMPRODUCT(Calc!$K$3:$K$22*(Calc!$G$3:$G$22&gt;A2207)*(Calc!$G$3:$G$22-A2207))</f>
        <v/>
      </c>
      <c r="H2207">
        <f>SUMPRODUCT(Calc!$K$3:$K$22*(Calc!$G$3:$G$22&gt;B2207)*(Calc!$G$3:$G$22-B2207))</f>
        <v/>
      </c>
      <c r="I2207">
        <f>SUMPRODUCT(Calc!$K$3:$K$22*(Calc!$G$3:$G$22&gt;A2207)*(Calc!$G$3:$G$22-A2207)^2)</f>
        <v/>
      </c>
      <c r="J2207">
        <f>SUMPRODUCT(Calc!$K$3:$K$22*(Calc!$G$3:$G$22&gt;B2207)*(Calc!$G$3:$G$22-B2207)^2)</f>
        <v/>
      </c>
      <c r="K2207">
        <f>SUMPRODUCT(Calc!$K$3:$K$22*(Calc!$G$3:$G$22&gt;A2207)*(Calc!$G$3:$G$22-A2207)*(Calc!$G$3:$G$22&gt;B2207)*(Calc!$G$3:$G$22-B2207))</f>
        <v/>
      </c>
      <c r="L2207">
        <f>SUMPRODUCT(Calc!$K$3:$K$22*(Calc!$G$3:$G$22&gt;A2207)*(Calc!$G$3:$G$22-A2207)*Calc!$G$3:$G$22)</f>
        <v/>
      </c>
      <c r="M2207">
        <f>SUMPRODUCT(Calc!$K$3:$K$22*(Calc!$G$3:$G$22&gt;B2207)*(Calc!$G$3:$G$22-B2207)*Calc!$G$3:$G$22)</f>
        <v/>
      </c>
      <c r="N2207">
        <f>SUMPRODUCT(Calc!$K$3:$K$22*(Calc!$G$3:$G$22&gt;A2207)*(Calc!$G$3:$G$22-A2207)*Calc!$I$3:$I$22)</f>
        <v/>
      </c>
      <c r="O2207">
        <f>SUMPRODUCT(Calc!$K$3:$K$22*(Calc!$G$3:$G$22&gt;B2207)*(Calc!$G$3:$G$22-B2207)*Calc!$I$3:$I$22)</f>
        <v/>
      </c>
      <c r="P2207">
        <f>I2207-G2207^2/k_n</f>
        <v/>
      </c>
      <c r="Q2207">
        <f>J2207-H2207^2/k_n</f>
        <v/>
      </c>
      <c r="R2207">
        <f>K2207-G2207*H2207/k_n</f>
        <v/>
      </c>
      <c r="S2207">
        <f>L2207-LTP3!$D$3*G2207/k_n</f>
        <v/>
      </c>
      <c r="T2207">
        <f>M2207-LTP3!$D$3*H2207/k_n</f>
        <v/>
      </c>
      <c r="U2207">
        <f>N2207-G2207*LTP3!$D$4/k_n</f>
        <v/>
      </c>
      <c r="V2207">
        <f>O2207-H2207*LTP3!$D$4/k_n</f>
        <v/>
      </c>
      <c r="W2207">
        <f>((LTP3!$D$5)*((P2207)*(Q2207)-(R2207)*(R2207))-(S2207)*((S2207)*(Q2207)-(R2207)*(T2207))+(T2207)*((S2207)*(R2207)-(P2207)*(T2207)))</f>
        <v/>
      </c>
      <c r="X2207">
        <f>IF(ABS(W2207)&gt;1E-12,((LTP3!$D$6)*((P2207)*(Q2207)-(R2207)*(R2207))-(S2207)*((U2207)*(Q2207)-(R2207)*(V2207))+(T2207)*((U2207)*(R2207)-(P2207)*(V2207)))/W2207,0)</f>
        <v/>
      </c>
      <c r="Y2207">
        <f>IF(ABS(W2207)&gt;1E-12,((LTP3!$D$5)*((U2207)*(Q2207)-(R2207)*(V2207))-(LTP3!$D$6)*((S2207)*(Q2207)-(R2207)*(T2207))+(T2207)*((S2207)*(V2207)-(U2207)*(T2207)))/W2207,0)</f>
        <v/>
      </c>
      <c r="Z2207">
        <f>IF(ABS(W2207)&gt;1E-12,((LTP3!$D$5)*((P2207)*(V2207)-(U2207)*(R2207))-(S2207)*((S2207)*(V2207)-(U2207)*(T2207))+(LTP3!$D$6)*((S2207)*(R2207)-(P2207)*(T2207)))/W2207,0)</f>
        <v/>
      </c>
      <c r="AA2207">
        <f>LTP3!$D$7-X2207*LTP3!$D$6-Y2207*U2207-Z2207*V2207</f>
        <v/>
      </c>
      <c r="AB2207">
        <f>IF(AND(F2207,ABS(W2207)&gt;1E-12,Y2207&gt;0,Z2207&gt;0),AA2207,1E+300)</f>
        <v/>
      </c>
    </row>
    <row r="2208">
      <c r="A2208">
        <f>$B$3+$B$5*36</f>
        <v/>
      </c>
      <c r="B2208">
        <f>$B$3+$B$5*0</f>
        <v/>
      </c>
      <c r="C2208">
        <f>SUMPRODUCT(Calc!$K$3:$K$22*(Calc!$G$3:$G$22&lt;=A2208))</f>
        <v/>
      </c>
      <c r="D2208">
        <f>SUMPRODUCT(Calc!$K$3:$K$22*(Calc!$G$3:$G$22&gt;A2208)*(Calc!$G$3:$G$22&lt;B2208))</f>
        <v/>
      </c>
      <c r="E2208">
        <f>SUMPRODUCT(Calc!$K$3:$K$22*(Calc!$G$3:$G$22&gt;=B2208))</f>
        <v/>
      </c>
      <c r="F2208">
        <f>AND(k_n&gt;=5,B2208&gt;A2208+1E-9,C2208&gt;=2,D2208&gt;=1,E2208&gt;=2)</f>
        <v/>
      </c>
      <c r="G2208">
        <f>SUMPRODUCT(Calc!$K$3:$K$22*(Calc!$G$3:$G$22&gt;A2208)*(Calc!$G$3:$G$22-A2208))</f>
        <v/>
      </c>
      <c r="H2208">
        <f>SUMPRODUCT(Calc!$K$3:$K$22*(Calc!$G$3:$G$22&gt;B2208)*(Calc!$G$3:$G$22-B2208))</f>
        <v/>
      </c>
      <c r="I2208">
        <f>SUMPRODUCT(Calc!$K$3:$K$22*(Calc!$G$3:$G$22&gt;A2208)*(Calc!$G$3:$G$22-A2208)^2)</f>
        <v/>
      </c>
      <c r="J2208">
        <f>SUMPRODUCT(Calc!$K$3:$K$22*(Calc!$G$3:$G$22&gt;B2208)*(Calc!$G$3:$G$22-B2208)^2)</f>
        <v/>
      </c>
      <c r="K2208">
        <f>SUMPRODUCT(Calc!$K$3:$K$22*(Calc!$G$3:$G$22&gt;A2208)*(Calc!$G$3:$G$22-A2208)*(Calc!$G$3:$G$22&gt;B2208)*(Calc!$G$3:$G$22-B2208))</f>
        <v/>
      </c>
      <c r="L2208">
        <f>SUMPRODUCT(Calc!$K$3:$K$22*(Calc!$G$3:$G$22&gt;A2208)*(Calc!$G$3:$G$22-A2208)*Calc!$G$3:$G$22)</f>
        <v/>
      </c>
      <c r="M2208">
        <f>SUMPRODUCT(Calc!$K$3:$K$22*(Calc!$G$3:$G$22&gt;B2208)*(Calc!$G$3:$G$22-B2208)*Calc!$G$3:$G$22)</f>
        <v/>
      </c>
      <c r="N2208">
        <f>SUMPRODUCT(Calc!$K$3:$K$22*(Calc!$G$3:$G$22&gt;A2208)*(Calc!$G$3:$G$22-A2208)*Calc!$I$3:$I$22)</f>
        <v/>
      </c>
      <c r="O2208">
        <f>SUMPRODUCT(Calc!$K$3:$K$22*(Calc!$G$3:$G$22&gt;B2208)*(Calc!$G$3:$G$22-B2208)*Calc!$I$3:$I$22)</f>
        <v/>
      </c>
      <c r="P2208">
        <f>I2208-G2208^2/k_n</f>
        <v/>
      </c>
      <c r="Q2208">
        <f>J2208-H2208^2/k_n</f>
        <v/>
      </c>
      <c r="R2208">
        <f>K2208-G2208*H2208/k_n</f>
        <v/>
      </c>
      <c r="S2208">
        <f>L2208-LTP3!$D$3*G2208/k_n</f>
        <v/>
      </c>
      <c r="T2208">
        <f>M2208-LTP3!$D$3*H2208/k_n</f>
        <v/>
      </c>
      <c r="U2208">
        <f>N2208-G2208*LTP3!$D$4/k_n</f>
        <v/>
      </c>
      <c r="V2208">
        <f>O2208-H2208*LTP3!$D$4/k_n</f>
        <v/>
      </c>
      <c r="W2208">
        <f>((LTP3!$D$5)*((P2208)*(Q2208)-(R2208)*(R2208))-(S2208)*((S2208)*(Q2208)-(R2208)*(T2208))+(T2208)*((S2208)*(R2208)-(P2208)*(T2208)))</f>
        <v/>
      </c>
      <c r="X2208">
        <f>IF(ABS(W2208)&gt;1E-12,((LTP3!$D$6)*((P2208)*(Q2208)-(R2208)*(R2208))-(S2208)*((U2208)*(Q2208)-(R2208)*(V2208))+(T2208)*((U2208)*(R2208)-(P2208)*(V2208)))/W2208,0)</f>
        <v/>
      </c>
      <c r="Y2208">
        <f>IF(ABS(W2208)&gt;1E-12,((LTP3!$D$5)*((U2208)*(Q2208)-(R2208)*(V2208))-(LTP3!$D$6)*((S2208)*(Q2208)-(R2208)*(T2208))+(T2208)*((S2208)*(V2208)-(U2208)*(T2208)))/W2208,0)</f>
        <v/>
      </c>
      <c r="Z2208">
        <f>IF(ABS(W2208)&gt;1E-12,((LTP3!$D$5)*((P2208)*(V2208)-(U2208)*(R2208))-(S2208)*((S2208)*(V2208)-(U2208)*(T2208))+(LTP3!$D$6)*((S2208)*(R2208)-(P2208)*(T2208)))/W2208,0)</f>
        <v/>
      </c>
      <c r="AA2208">
        <f>LTP3!$D$7-X2208*LTP3!$D$6-Y2208*U2208-Z2208*V2208</f>
        <v/>
      </c>
      <c r="AB2208">
        <f>IF(AND(F2208,ABS(W2208)&gt;1E-12,Y2208&gt;0,Z2208&gt;0),AA2208,1E+300)</f>
        <v/>
      </c>
    </row>
    <row r="2209">
      <c r="A2209">
        <f>$B$3+$B$5*36</f>
        <v/>
      </c>
      <c r="B2209">
        <f>$B$3+$B$5*1</f>
        <v/>
      </c>
      <c r="C2209">
        <f>SUMPRODUCT(Calc!$K$3:$K$22*(Calc!$G$3:$G$22&lt;=A2209))</f>
        <v/>
      </c>
      <c r="D2209">
        <f>SUMPRODUCT(Calc!$K$3:$K$22*(Calc!$G$3:$G$22&gt;A2209)*(Calc!$G$3:$G$22&lt;B2209))</f>
        <v/>
      </c>
      <c r="E2209">
        <f>SUMPRODUCT(Calc!$K$3:$K$22*(Calc!$G$3:$G$22&gt;=B2209))</f>
        <v/>
      </c>
      <c r="F2209">
        <f>AND(k_n&gt;=5,B2209&gt;A2209+1E-9,C2209&gt;=2,D2209&gt;=1,E2209&gt;=2)</f>
        <v/>
      </c>
      <c r="G2209">
        <f>SUMPRODUCT(Calc!$K$3:$K$22*(Calc!$G$3:$G$22&gt;A2209)*(Calc!$G$3:$G$22-A2209))</f>
        <v/>
      </c>
      <c r="H2209">
        <f>SUMPRODUCT(Calc!$K$3:$K$22*(Calc!$G$3:$G$22&gt;B2209)*(Calc!$G$3:$G$22-B2209))</f>
        <v/>
      </c>
      <c r="I2209">
        <f>SUMPRODUCT(Calc!$K$3:$K$22*(Calc!$G$3:$G$22&gt;A2209)*(Calc!$G$3:$G$22-A2209)^2)</f>
        <v/>
      </c>
      <c r="J2209">
        <f>SUMPRODUCT(Calc!$K$3:$K$22*(Calc!$G$3:$G$22&gt;B2209)*(Calc!$G$3:$G$22-B2209)^2)</f>
        <v/>
      </c>
      <c r="K2209">
        <f>SUMPRODUCT(Calc!$K$3:$K$22*(Calc!$G$3:$G$22&gt;A2209)*(Calc!$G$3:$G$22-A2209)*(Calc!$G$3:$G$22&gt;B2209)*(Calc!$G$3:$G$22-B2209))</f>
        <v/>
      </c>
      <c r="L2209">
        <f>SUMPRODUCT(Calc!$K$3:$K$22*(Calc!$G$3:$G$22&gt;A2209)*(Calc!$G$3:$G$22-A2209)*Calc!$G$3:$G$22)</f>
        <v/>
      </c>
      <c r="M2209">
        <f>SUMPRODUCT(Calc!$K$3:$K$22*(Calc!$G$3:$G$22&gt;B2209)*(Calc!$G$3:$G$22-B2209)*Calc!$G$3:$G$22)</f>
        <v/>
      </c>
      <c r="N2209">
        <f>SUMPRODUCT(Calc!$K$3:$K$22*(Calc!$G$3:$G$22&gt;A2209)*(Calc!$G$3:$G$22-A2209)*Calc!$I$3:$I$22)</f>
        <v/>
      </c>
      <c r="O2209">
        <f>SUMPRODUCT(Calc!$K$3:$K$22*(Calc!$G$3:$G$22&gt;B2209)*(Calc!$G$3:$G$22-B2209)*Calc!$I$3:$I$22)</f>
        <v/>
      </c>
      <c r="P2209">
        <f>I2209-G2209^2/k_n</f>
        <v/>
      </c>
      <c r="Q2209">
        <f>J2209-H2209^2/k_n</f>
        <v/>
      </c>
      <c r="R2209">
        <f>K2209-G2209*H2209/k_n</f>
        <v/>
      </c>
      <c r="S2209">
        <f>L2209-LTP3!$D$3*G2209/k_n</f>
        <v/>
      </c>
      <c r="T2209">
        <f>M2209-LTP3!$D$3*H2209/k_n</f>
        <v/>
      </c>
      <c r="U2209">
        <f>N2209-G2209*LTP3!$D$4/k_n</f>
        <v/>
      </c>
      <c r="V2209">
        <f>O2209-H2209*LTP3!$D$4/k_n</f>
        <v/>
      </c>
      <c r="W2209">
        <f>((LTP3!$D$5)*((P2209)*(Q2209)-(R2209)*(R2209))-(S2209)*((S2209)*(Q2209)-(R2209)*(T2209))+(T2209)*((S2209)*(R2209)-(P2209)*(T2209)))</f>
        <v/>
      </c>
      <c r="X2209">
        <f>IF(ABS(W2209)&gt;1E-12,((LTP3!$D$6)*((P2209)*(Q2209)-(R2209)*(R2209))-(S2209)*((U2209)*(Q2209)-(R2209)*(V2209))+(T2209)*((U2209)*(R2209)-(P2209)*(V2209)))/W2209,0)</f>
        <v/>
      </c>
      <c r="Y2209">
        <f>IF(ABS(W2209)&gt;1E-12,((LTP3!$D$5)*((U2209)*(Q2209)-(R2209)*(V2209))-(LTP3!$D$6)*((S2209)*(Q2209)-(R2209)*(T2209))+(T2209)*((S2209)*(V2209)-(U2209)*(T2209)))/W2209,0)</f>
        <v/>
      </c>
      <c r="Z2209">
        <f>IF(ABS(W2209)&gt;1E-12,((LTP3!$D$5)*((P2209)*(V2209)-(U2209)*(R2209))-(S2209)*((S2209)*(V2209)-(U2209)*(T2209))+(LTP3!$D$6)*((S2209)*(R2209)-(P2209)*(T2209)))/W2209,0)</f>
        <v/>
      </c>
      <c r="AA2209">
        <f>LTP3!$D$7-X2209*LTP3!$D$6-Y2209*U2209-Z2209*V2209</f>
        <v/>
      </c>
      <c r="AB2209">
        <f>IF(AND(F2209,ABS(W2209)&gt;1E-12,Y2209&gt;0,Z2209&gt;0),AA2209,1E+300)</f>
        <v/>
      </c>
    </row>
    <row r="2210">
      <c r="A2210">
        <f>$B$3+$B$5*36</f>
        <v/>
      </c>
      <c r="B2210">
        <f>$B$3+$B$5*2</f>
        <v/>
      </c>
      <c r="C2210">
        <f>SUMPRODUCT(Calc!$K$3:$K$22*(Calc!$G$3:$G$22&lt;=A2210))</f>
        <v/>
      </c>
      <c r="D2210">
        <f>SUMPRODUCT(Calc!$K$3:$K$22*(Calc!$G$3:$G$22&gt;A2210)*(Calc!$G$3:$G$22&lt;B2210))</f>
        <v/>
      </c>
      <c r="E2210">
        <f>SUMPRODUCT(Calc!$K$3:$K$22*(Calc!$G$3:$G$22&gt;=B2210))</f>
        <v/>
      </c>
      <c r="F2210">
        <f>AND(k_n&gt;=5,B2210&gt;A2210+1E-9,C2210&gt;=2,D2210&gt;=1,E2210&gt;=2)</f>
        <v/>
      </c>
      <c r="G2210">
        <f>SUMPRODUCT(Calc!$K$3:$K$22*(Calc!$G$3:$G$22&gt;A2210)*(Calc!$G$3:$G$22-A2210))</f>
        <v/>
      </c>
      <c r="H2210">
        <f>SUMPRODUCT(Calc!$K$3:$K$22*(Calc!$G$3:$G$22&gt;B2210)*(Calc!$G$3:$G$22-B2210))</f>
        <v/>
      </c>
      <c r="I2210">
        <f>SUMPRODUCT(Calc!$K$3:$K$22*(Calc!$G$3:$G$22&gt;A2210)*(Calc!$G$3:$G$22-A2210)^2)</f>
        <v/>
      </c>
      <c r="J2210">
        <f>SUMPRODUCT(Calc!$K$3:$K$22*(Calc!$G$3:$G$22&gt;B2210)*(Calc!$G$3:$G$22-B2210)^2)</f>
        <v/>
      </c>
      <c r="K2210">
        <f>SUMPRODUCT(Calc!$K$3:$K$22*(Calc!$G$3:$G$22&gt;A2210)*(Calc!$G$3:$G$22-A2210)*(Calc!$G$3:$G$22&gt;B2210)*(Calc!$G$3:$G$22-B2210))</f>
        <v/>
      </c>
      <c r="L2210">
        <f>SUMPRODUCT(Calc!$K$3:$K$22*(Calc!$G$3:$G$22&gt;A2210)*(Calc!$G$3:$G$22-A2210)*Calc!$G$3:$G$22)</f>
        <v/>
      </c>
      <c r="M2210">
        <f>SUMPRODUCT(Calc!$K$3:$K$22*(Calc!$G$3:$G$22&gt;B2210)*(Calc!$G$3:$G$22-B2210)*Calc!$G$3:$G$22)</f>
        <v/>
      </c>
      <c r="N2210">
        <f>SUMPRODUCT(Calc!$K$3:$K$22*(Calc!$G$3:$G$22&gt;A2210)*(Calc!$G$3:$G$22-A2210)*Calc!$I$3:$I$22)</f>
        <v/>
      </c>
      <c r="O2210">
        <f>SUMPRODUCT(Calc!$K$3:$K$22*(Calc!$G$3:$G$22&gt;B2210)*(Calc!$G$3:$G$22-B2210)*Calc!$I$3:$I$22)</f>
        <v/>
      </c>
      <c r="P2210">
        <f>I2210-G2210^2/k_n</f>
        <v/>
      </c>
      <c r="Q2210">
        <f>J2210-H2210^2/k_n</f>
        <v/>
      </c>
      <c r="R2210">
        <f>K2210-G2210*H2210/k_n</f>
        <v/>
      </c>
      <c r="S2210">
        <f>L2210-LTP3!$D$3*G2210/k_n</f>
        <v/>
      </c>
      <c r="T2210">
        <f>M2210-LTP3!$D$3*H2210/k_n</f>
        <v/>
      </c>
      <c r="U2210">
        <f>N2210-G2210*LTP3!$D$4/k_n</f>
        <v/>
      </c>
      <c r="V2210">
        <f>O2210-H2210*LTP3!$D$4/k_n</f>
        <v/>
      </c>
      <c r="W2210">
        <f>((LTP3!$D$5)*((P2210)*(Q2210)-(R2210)*(R2210))-(S2210)*((S2210)*(Q2210)-(R2210)*(T2210))+(T2210)*((S2210)*(R2210)-(P2210)*(T2210)))</f>
        <v/>
      </c>
      <c r="X2210">
        <f>IF(ABS(W2210)&gt;1E-12,((LTP3!$D$6)*((P2210)*(Q2210)-(R2210)*(R2210))-(S2210)*((U2210)*(Q2210)-(R2210)*(V2210))+(T2210)*((U2210)*(R2210)-(P2210)*(V2210)))/W2210,0)</f>
        <v/>
      </c>
      <c r="Y2210">
        <f>IF(ABS(W2210)&gt;1E-12,((LTP3!$D$5)*((U2210)*(Q2210)-(R2210)*(V2210))-(LTP3!$D$6)*((S2210)*(Q2210)-(R2210)*(T2210))+(T2210)*((S2210)*(V2210)-(U2210)*(T2210)))/W2210,0)</f>
        <v/>
      </c>
      <c r="Z2210">
        <f>IF(ABS(W2210)&gt;1E-12,((LTP3!$D$5)*((P2210)*(V2210)-(U2210)*(R2210))-(S2210)*((S2210)*(V2210)-(U2210)*(T2210))+(LTP3!$D$6)*((S2210)*(R2210)-(P2210)*(T2210)))/W2210,0)</f>
        <v/>
      </c>
      <c r="AA2210">
        <f>LTP3!$D$7-X2210*LTP3!$D$6-Y2210*U2210-Z2210*V2210</f>
        <v/>
      </c>
      <c r="AB2210">
        <f>IF(AND(F2210,ABS(W2210)&gt;1E-12,Y2210&gt;0,Z2210&gt;0),AA2210,1E+300)</f>
        <v/>
      </c>
    </row>
    <row r="2211">
      <c r="A2211">
        <f>$B$3+$B$5*36</f>
        <v/>
      </c>
      <c r="B2211">
        <f>$B$3+$B$5*3</f>
        <v/>
      </c>
      <c r="C2211">
        <f>SUMPRODUCT(Calc!$K$3:$K$22*(Calc!$G$3:$G$22&lt;=A2211))</f>
        <v/>
      </c>
      <c r="D2211">
        <f>SUMPRODUCT(Calc!$K$3:$K$22*(Calc!$G$3:$G$22&gt;A2211)*(Calc!$G$3:$G$22&lt;B2211))</f>
        <v/>
      </c>
      <c r="E2211">
        <f>SUMPRODUCT(Calc!$K$3:$K$22*(Calc!$G$3:$G$22&gt;=B2211))</f>
        <v/>
      </c>
      <c r="F2211">
        <f>AND(k_n&gt;=5,B2211&gt;A2211+1E-9,C2211&gt;=2,D2211&gt;=1,E2211&gt;=2)</f>
        <v/>
      </c>
      <c r="G2211">
        <f>SUMPRODUCT(Calc!$K$3:$K$22*(Calc!$G$3:$G$22&gt;A2211)*(Calc!$G$3:$G$22-A2211))</f>
        <v/>
      </c>
      <c r="H2211">
        <f>SUMPRODUCT(Calc!$K$3:$K$22*(Calc!$G$3:$G$22&gt;B2211)*(Calc!$G$3:$G$22-B2211))</f>
        <v/>
      </c>
      <c r="I2211">
        <f>SUMPRODUCT(Calc!$K$3:$K$22*(Calc!$G$3:$G$22&gt;A2211)*(Calc!$G$3:$G$22-A2211)^2)</f>
        <v/>
      </c>
      <c r="J2211">
        <f>SUMPRODUCT(Calc!$K$3:$K$22*(Calc!$G$3:$G$22&gt;B2211)*(Calc!$G$3:$G$22-B2211)^2)</f>
        <v/>
      </c>
      <c r="K2211">
        <f>SUMPRODUCT(Calc!$K$3:$K$22*(Calc!$G$3:$G$22&gt;A2211)*(Calc!$G$3:$G$22-A2211)*(Calc!$G$3:$G$22&gt;B2211)*(Calc!$G$3:$G$22-B2211))</f>
        <v/>
      </c>
      <c r="L2211">
        <f>SUMPRODUCT(Calc!$K$3:$K$22*(Calc!$G$3:$G$22&gt;A2211)*(Calc!$G$3:$G$22-A2211)*Calc!$G$3:$G$22)</f>
        <v/>
      </c>
      <c r="M2211">
        <f>SUMPRODUCT(Calc!$K$3:$K$22*(Calc!$G$3:$G$22&gt;B2211)*(Calc!$G$3:$G$22-B2211)*Calc!$G$3:$G$22)</f>
        <v/>
      </c>
      <c r="N2211">
        <f>SUMPRODUCT(Calc!$K$3:$K$22*(Calc!$G$3:$G$22&gt;A2211)*(Calc!$G$3:$G$22-A2211)*Calc!$I$3:$I$22)</f>
        <v/>
      </c>
      <c r="O2211">
        <f>SUMPRODUCT(Calc!$K$3:$K$22*(Calc!$G$3:$G$22&gt;B2211)*(Calc!$G$3:$G$22-B2211)*Calc!$I$3:$I$22)</f>
        <v/>
      </c>
      <c r="P2211">
        <f>I2211-G2211^2/k_n</f>
        <v/>
      </c>
      <c r="Q2211">
        <f>J2211-H2211^2/k_n</f>
        <v/>
      </c>
      <c r="R2211">
        <f>K2211-G2211*H2211/k_n</f>
        <v/>
      </c>
      <c r="S2211">
        <f>L2211-LTP3!$D$3*G2211/k_n</f>
        <v/>
      </c>
      <c r="T2211">
        <f>M2211-LTP3!$D$3*H2211/k_n</f>
        <v/>
      </c>
      <c r="U2211">
        <f>N2211-G2211*LTP3!$D$4/k_n</f>
        <v/>
      </c>
      <c r="V2211">
        <f>O2211-H2211*LTP3!$D$4/k_n</f>
        <v/>
      </c>
      <c r="W2211">
        <f>((LTP3!$D$5)*((P2211)*(Q2211)-(R2211)*(R2211))-(S2211)*((S2211)*(Q2211)-(R2211)*(T2211))+(T2211)*((S2211)*(R2211)-(P2211)*(T2211)))</f>
        <v/>
      </c>
      <c r="X2211">
        <f>IF(ABS(W2211)&gt;1E-12,((LTP3!$D$6)*((P2211)*(Q2211)-(R2211)*(R2211))-(S2211)*((U2211)*(Q2211)-(R2211)*(V2211))+(T2211)*((U2211)*(R2211)-(P2211)*(V2211)))/W2211,0)</f>
        <v/>
      </c>
      <c r="Y2211">
        <f>IF(ABS(W2211)&gt;1E-12,((LTP3!$D$5)*((U2211)*(Q2211)-(R2211)*(V2211))-(LTP3!$D$6)*((S2211)*(Q2211)-(R2211)*(T2211))+(T2211)*((S2211)*(V2211)-(U2211)*(T2211)))/W2211,0)</f>
        <v/>
      </c>
      <c r="Z2211">
        <f>IF(ABS(W2211)&gt;1E-12,((LTP3!$D$5)*((P2211)*(V2211)-(U2211)*(R2211))-(S2211)*((S2211)*(V2211)-(U2211)*(T2211))+(LTP3!$D$6)*((S2211)*(R2211)-(P2211)*(T2211)))/W2211,0)</f>
        <v/>
      </c>
      <c r="AA2211">
        <f>LTP3!$D$7-X2211*LTP3!$D$6-Y2211*U2211-Z2211*V2211</f>
        <v/>
      </c>
      <c r="AB2211">
        <f>IF(AND(F2211,ABS(W2211)&gt;1E-12,Y2211&gt;0,Z2211&gt;0),AA2211,1E+300)</f>
        <v/>
      </c>
    </row>
    <row r="2212">
      <c r="A2212">
        <f>$B$3+$B$5*36</f>
        <v/>
      </c>
      <c r="B2212">
        <f>$B$3+$B$5*4</f>
        <v/>
      </c>
      <c r="C2212">
        <f>SUMPRODUCT(Calc!$K$3:$K$22*(Calc!$G$3:$G$22&lt;=A2212))</f>
        <v/>
      </c>
      <c r="D2212">
        <f>SUMPRODUCT(Calc!$K$3:$K$22*(Calc!$G$3:$G$22&gt;A2212)*(Calc!$G$3:$G$22&lt;B2212))</f>
        <v/>
      </c>
      <c r="E2212">
        <f>SUMPRODUCT(Calc!$K$3:$K$22*(Calc!$G$3:$G$22&gt;=B2212))</f>
        <v/>
      </c>
      <c r="F2212">
        <f>AND(k_n&gt;=5,B2212&gt;A2212+1E-9,C2212&gt;=2,D2212&gt;=1,E2212&gt;=2)</f>
        <v/>
      </c>
      <c r="G2212">
        <f>SUMPRODUCT(Calc!$K$3:$K$22*(Calc!$G$3:$G$22&gt;A2212)*(Calc!$G$3:$G$22-A2212))</f>
        <v/>
      </c>
      <c r="H2212">
        <f>SUMPRODUCT(Calc!$K$3:$K$22*(Calc!$G$3:$G$22&gt;B2212)*(Calc!$G$3:$G$22-B2212))</f>
        <v/>
      </c>
      <c r="I2212">
        <f>SUMPRODUCT(Calc!$K$3:$K$22*(Calc!$G$3:$G$22&gt;A2212)*(Calc!$G$3:$G$22-A2212)^2)</f>
        <v/>
      </c>
      <c r="J2212">
        <f>SUMPRODUCT(Calc!$K$3:$K$22*(Calc!$G$3:$G$22&gt;B2212)*(Calc!$G$3:$G$22-B2212)^2)</f>
        <v/>
      </c>
      <c r="K2212">
        <f>SUMPRODUCT(Calc!$K$3:$K$22*(Calc!$G$3:$G$22&gt;A2212)*(Calc!$G$3:$G$22-A2212)*(Calc!$G$3:$G$22&gt;B2212)*(Calc!$G$3:$G$22-B2212))</f>
        <v/>
      </c>
      <c r="L2212">
        <f>SUMPRODUCT(Calc!$K$3:$K$22*(Calc!$G$3:$G$22&gt;A2212)*(Calc!$G$3:$G$22-A2212)*Calc!$G$3:$G$22)</f>
        <v/>
      </c>
      <c r="M2212">
        <f>SUMPRODUCT(Calc!$K$3:$K$22*(Calc!$G$3:$G$22&gt;B2212)*(Calc!$G$3:$G$22-B2212)*Calc!$G$3:$G$22)</f>
        <v/>
      </c>
      <c r="N2212">
        <f>SUMPRODUCT(Calc!$K$3:$K$22*(Calc!$G$3:$G$22&gt;A2212)*(Calc!$G$3:$G$22-A2212)*Calc!$I$3:$I$22)</f>
        <v/>
      </c>
      <c r="O2212">
        <f>SUMPRODUCT(Calc!$K$3:$K$22*(Calc!$G$3:$G$22&gt;B2212)*(Calc!$G$3:$G$22-B2212)*Calc!$I$3:$I$22)</f>
        <v/>
      </c>
      <c r="P2212">
        <f>I2212-G2212^2/k_n</f>
        <v/>
      </c>
      <c r="Q2212">
        <f>J2212-H2212^2/k_n</f>
        <v/>
      </c>
      <c r="R2212">
        <f>K2212-G2212*H2212/k_n</f>
        <v/>
      </c>
      <c r="S2212">
        <f>L2212-LTP3!$D$3*G2212/k_n</f>
        <v/>
      </c>
      <c r="T2212">
        <f>M2212-LTP3!$D$3*H2212/k_n</f>
        <v/>
      </c>
      <c r="U2212">
        <f>N2212-G2212*LTP3!$D$4/k_n</f>
        <v/>
      </c>
      <c r="V2212">
        <f>O2212-H2212*LTP3!$D$4/k_n</f>
        <v/>
      </c>
      <c r="W2212">
        <f>((LTP3!$D$5)*((P2212)*(Q2212)-(R2212)*(R2212))-(S2212)*((S2212)*(Q2212)-(R2212)*(T2212))+(T2212)*((S2212)*(R2212)-(P2212)*(T2212)))</f>
        <v/>
      </c>
      <c r="X2212">
        <f>IF(ABS(W2212)&gt;1E-12,((LTP3!$D$6)*((P2212)*(Q2212)-(R2212)*(R2212))-(S2212)*((U2212)*(Q2212)-(R2212)*(V2212))+(T2212)*((U2212)*(R2212)-(P2212)*(V2212)))/W2212,0)</f>
        <v/>
      </c>
      <c r="Y2212">
        <f>IF(ABS(W2212)&gt;1E-12,((LTP3!$D$5)*((U2212)*(Q2212)-(R2212)*(V2212))-(LTP3!$D$6)*((S2212)*(Q2212)-(R2212)*(T2212))+(T2212)*((S2212)*(V2212)-(U2212)*(T2212)))/W2212,0)</f>
        <v/>
      </c>
      <c r="Z2212">
        <f>IF(ABS(W2212)&gt;1E-12,((LTP3!$D$5)*((P2212)*(V2212)-(U2212)*(R2212))-(S2212)*((S2212)*(V2212)-(U2212)*(T2212))+(LTP3!$D$6)*((S2212)*(R2212)-(P2212)*(T2212)))/W2212,0)</f>
        <v/>
      </c>
      <c r="AA2212">
        <f>LTP3!$D$7-X2212*LTP3!$D$6-Y2212*U2212-Z2212*V2212</f>
        <v/>
      </c>
      <c r="AB2212">
        <f>IF(AND(F2212,ABS(W2212)&gt;1E-12,Y2212&gt;0,Z2212&gt;0),AA2212,1E+300)</f>
        <v/>
      </c>
    </row>
    <row r="2213">
      <c r="A2213">
        <f>$B$3+$B$5*36</f>
        <v/>
      </c>
      <c r="B2213">
        <f>$B$3+$B$5*5</f>
        <v/>
      </c>
      <c r="C2213">
        <f>SUMPRODUCT(Calc!$K$3:$K$22*(Calc!$G$3:$G$22&lt;=A2213))</f>
        <v/>
      </c>
      <c r="D2213">
        <f>SUMPRODUCT(Calc!$K$3:$K$22*(Calc!$G$3:$G$22&gt;A2213)*(Calc!$G$3:$G$22&lt;B2213))</f>
        <v/>
      </c>
      <c r="E2213">
        <f>SUMPRODUCT(Calc!$K$3:$K$22*(Calc!$G$3:$G$22&gt;=B2213))</f>
        <v/>
      </c>
      <c r="F2213">
        <f>AND(k_n&gt;=5,B2213&gt;A2213+1E-9,C2213&gt;=2,D2213&gt;=1,E2213&gt;=2)</f>
        <v/>
      </c>
      <c r="G2213">
        <f>SUMPRODUCT(Calc!$K$3:$K$22*(Calc!$G$3:$G$22&gt;A2213)*(Calc!$G$3:$G$22-A2213))</f>
        <v/>
      </c>
      <c r="H2213">
        <f>SUMPRODUCT(Calc!$K$3:$K$22*(Calc!$G$3:$G$22&gt;B2213)*(Calc!$G$3:$G$22-B2213))</f>
        <v/>
      </c>
      <c r="I2213">
        <f>SUMPRODUCT(Calc!$K$3:$K$22*(Calc!$G$3:$G$22&gt;A2213)*(Calc!$G$3:$G$22-A2213)^2)</f>
        <v/>
      </c>
      <c r="J2213">
        <f>SUMPRODUCT(Calc!$K$3:$K$22*(Calc!$G$3:$G$22&gt;B2213)*(Calc!$G$3:$G$22-B2213)^2)</f>
        <v/>
      </c>
      <c r="K2213">
        <f>SUMPRODUCT(Calc!$K$3:$K$22*(Calc!$G$3:$G$22&gt;A2213)*(Calc!$G$3:$G$22-A2213)*(Calc!$G$3:$G$22&gt;B2213)*(Calc!$G$3:$G$22-B2213))</f>
        <v/>
      </c>
      <c r="L2213">
        <f>SUMPRODUCT(Calc!$K$3:$K$22*(Calc!$G$3:$G$22&gt;A2213)*(Calc!$G$3:$G$22-A2213)*Calc!$G$3:$G$22)</f>
        <v/>
      </c>
      <c r="M2213">
        <f>SUMPRODUCT(Calc!$K$3:$K$22*(Calc!$G$3:$G$22&gt;B2213)*(Calc!$G$3:$G$22-B2213)*Calc!$G$3:$G$22)</f>
        <v/>
      </c>
      <c r="N2213">
        <f>SUMPRODUCT(Calc!$K$3:$K$22*(Calc!$G$3:$G$22&gt;A2213)*(Calc!$G$3:$G$22-A2213)*Calc!$I$3:$I$22)</f>
        <v/>
      </c>
      <c r="O2213">
        <f>SUMPRODUCT(Calc!$K$3:$K$22*(Calc!$G$3:$G$22&gt;B2213)*(Calc!$G$3:$G$22-B2213)*Calc!$I$3:$I$22)</f>
        <v/>
      </c>
      <c r="P2213">
        <f>I2213-G2213^2/k_n</f>
        <v/>
      </c>
      <c r="Q2213">
        <f>J2213-H2213^2/k_n</f>
        <v/>
      </c>
      <c r="R2213">
        <f>K2213-G2213*H2213/k_n</f>
        <v/>
      </c>
      <c r="S2213">
        <f>L2213-LTP3!$D$3*G2213/k_n</f>
        <v/>
      </c>
      <c r="T2213">
        <f>M2213-LTP3!$D$3*H2213/k_n</f>
        <v/>
      </c>
      <c r="U2213">
        <f>N2213-G2213*LTP3!$D$4/k_n</f>
        <v/>
      </c>
      <c r="V2213">
        <f>O2213-H2213*LTP3!$D$4/k_n</f>
        <v/>
      </c>
      <c r="W2213">
        <f>((LTP3!$D$5)*((P2213)*(Q2213)-(R2213)*(R2213))-(S2213)*((S2213)*(Q2213)-(R2213)*(T2213))+(T2213)*((S2213)*(R2213)-(P2213)*(T2213)))</f>
        <v/>
      </c>
      <c r="X2213">
        <f>IF(ABS(W2213)&gt;1E-12,((LTP3!$D$6)*((P2213)*(Q2213)-(R2213)*(R2213))-(S2213)*((U2213)*(Q2213)-(R2213)*(V2213))+(T2213)*((U2213)*(R2213)-(P2213)*(V2213)))/W2213,0)</f>
        <v/>
      </c>
      <c r="Y2213">
        <f>IF(ABS(W2213)&gt;1E-12,((LTP3!$D$5)*((U2213)*(Q2213)-(R2213)*(V2213))-(LTP3!$D$6)*((S2213)*(Q2213)-(R2213)*(T2213))+(T2213)*((S2213)*(V2213)-(U2213)*(T2213)))/W2213,0)</f>
        <v/>
      </c>
      <c r="Z2213">
        <f>IF(ABS(W2213)&gt;1E-12,((LTP3!$D$5)*((P2213)*(V2213)-(U2213)*(R2213))-(S2213)*((S2213)*(V2213)-(U2213)*(T2213))+(LTP3!$D$6)*((S2213)*(R2213)-(P2213)*(T2213)))/W2213,0)</f>
        <v/>
      </c>
      <c r="AA2213">
        <f>LTP3!$D$7-X2213*LTP3!$D$6-Y2213*U2213-Z2213*V2213</f>
        <v/>
      </c>
      <c r="AB2213">
        <f>IF(AND(F2213,ABS(W2213)&gt;1E-12,Y2213&gt;0,Z2213&gt;0),AA2213,1E+300)</f>
        <v/>
      </c>
    </row>
    <row r="2214">
      <c r="A2214">
        <f>$B$3+$B$5*36</f>
        <v/>
      </c>
      <c r="B2214">
        <f>$B$3+$B$5*6</f>
        <v/>
      </c>
      <c r="C2214">
        <f>SUMPRODUCT(Calc!$K$3:$K$22*(Calc!$G$3:$G$22&lt;=A2214))</f>
        <v/>
      </c>
      <c r="D2214">
        <f>SUMPRODUCT(Calc!$K$3:$K$22*(Calc!$G$3:$G$22&gt;A2214)*(Calc!$G$3:$G$22&lt;B2214))</f>
        <v/>
      </c>
      <c r="E2214">
        <f>SUMPRODUCT(Calc!$K$3:$K$22*(Calc!$G$3:$G$22&gt;=B2214))</f>
        <v/>
      </c>
      <c r="F2214">
        <f>AND(k_n&gt;=5,B2214&gt;A2214+1E-9,C2214&gt;=2,D2214&gt;=1,E2214&gt;=2)</f>
        <v/>
      </c>
      <c r="G2214">
        <f>SUMPRODUCT(Calc!$K$3:$K$22*(Calc!$G$3:$G$22&gt;A2214)*(Calc!$G$3:$G$22-A2214))</f>
        <v/>
      </c>
      <c r="H2214">
        <f>SUMPRODUCT(Calc!$K$3:$K$22*(Calc!$G$3:$G$22&gt;B2214)*(Calc!$G$3:$G$22-B2214))</f>
        <v/>
      </c>
      <c r="I2214">
        <f>SUMPRODUCT(Calc!$K$3:$K$22*(Calc!$G$3:$G$22&gt;A2214)*(Calc!$G$3:$G$22-A2214)^2)</f>
        <v/>
      </c>
      <c r="J2214">
        <f>SUMPRODUCT(Calc!$K$3:$K$22*(Calc!$G$3:$G$22&gt;B2214)*(Calc!$G$3:$G$22-B2214)^2)</f>
        <v/>
      </c>
      <c r="K2214">
        <f>SUMPRODUCT(Calc!$K$3:$K$22*(Calc!$G$3:$G$22&gt;A2214)*(Calc!$G$3:$G$22-A2214)*(Calc!$G$3:$G$22&gt;B2214)*(Calc!$G$3:$G$22-B2214))</f>
        <v/>
      </c>
      <c r="L2214">
        <f>SUMPRODUCT(Calc!$K$3:$K$22*(Calc!$G$3:$G$22&gt;A2214)*(Calc!$G$3:$G$22-A2214)*Calc!$G$3:$G$22)</f>
        <v/>
      </c>
      <c r="M2214">
        <f>SUMPRODUCT(Calc!$K$3:$K$22*(Calc!$G$3:$G$22&gt;B2214)*(Calc!$G$3:$G$22-B2214)*Calc!$G$3:$G$22)</f>
        <v/>
      </c>
      <c r="N2214">
        <f>SUMPRODUCT(Calc!$K$3:$K$22*(Calc!$G$3:$G$22&gt;A2214)*(Calc!$G$3:$G$22-A2214)*Calc!$I$3:$I$22)</f>
        <v/>
      </c>
      <c r="O2214">
        <f>SUMPRODUCT(Calc!$K$3:$K$22*(Calc!$G$3:$G$22&gt;B2214)*(Calc!$G$3:$G$22-B2214)*Calc!$I$3:$I$22)</f>
        <v/>
      </c>
      <c r="P2214">
        <f>I2214-G2214^2/k_n</f>
        <v/>
      </c>
      <c r="Q2214">
        <f>J2214-H2214^2/k_n</f>
        <v/>
      </c>
      <c r="R2214">
        <f>K2214-G2214*H2214/k_n</f>
        <v/>
      </c>
      <c r="S2214">
        <f>L2214-LTP3!$D$3*G2214/k_n</f>
        <v/>
      </c>
      <c r="T2214">
        <f>M2214-LTP3!$D$3*H2214/k_n</f>
        <v/>
      </c>
      <c r="U2214">
        <f>N2214-G2214*LTP3!$D$4/k_n</f>
        <v/>
      </c>
      <c r="V2214">
        <f>O2214-H2214*LTP3!$D$4/k_n</f>
        <v/>
      </c>
      <c r="W2214">
        <f>((LTP3!$D$5)*((P2214)*(Q2214)-(R2214)*(R2214))-(S2214)*((S2214)*(Q2214)-(R2214)*(T2214))+(T2214)*((S2214)*(R2214)-(P2214)*(T2214)))</f>
        <v/>
      </c>
      <c r="X2214">
        <f>IF(ABS(W2214)&gt;1E-12,((LTP3!$D$6)*((P2214)*(Q2214)-(R2214)*(R2214))-(S2214)*((U2214)*(Q2214)-(R2214)*(V2214))+(T2214)*((U2214)*(R2214)-(P2214)*(V2214)))/W2214,0)</f>
        <v/>
      </c>
      <c r="Y2214">
        <f>IF(ABS(W2214)&gt;1E-12,((LTP3!$D$5)*((U2214)*(Q2214)-(R2214)*(V2214))-(LTP3!$D$6)*((S2214)*(Q2214)-(R2214)*(T2214))+(T2214)*((S2214)*(V2214)-(U2214)*(T2214)))/W2214,0)</f>
        <v/>
      </c>
      <c r="Z2214">
        <f>IF(ABS(W2214)&gt;1E-12,((LTP3!$D$5)*((P2214)*(V2214)-(U2214)*(R2214))-(S2214)*((S2214)*(V2214)-(U2214)*(T2214))+(LTP3!$D$6)*((S2214)*(R2214)-(P2214)*(T2214)))/W2214,0)</f>
        <v/>
      </c>
      <c r="AA2214">
        <f>LTP3!$D$7-X2214*LTP3!$D$6-Y2214*U2214-Z2214*V2214</f>
        <v/>
      </c>
      <c r="AB2214">
        <f>IF(AND(F2214,ABS(W2214)&gt;1E-12,Y2214&gt;0,Z2214&gt;0),AA2214,1E+300)</f>
        <v/>
      </c>
    </row>
    <row r="2215">
      <c r="A2215">
        <f>$B$3+$B$5*36</f>
        <v/>
      </c>
      <c r="B2215">
        <f>$B$3+$B$5*7</f>
        <v/>
      </c>
      <c r="C2215">
        <f>SUMPRODUCT(Calc!$K$3:$K$22*(Calc!$G$3:$G$22&lt;=A2215))</f>
        <v/>
      </c>
      <c r="D2215">
        <f>SUMPRODUCT(Calc!$K$3:$K$22*(Calc!$G$3:$G$22&gt;A2215)*(Calc!$G$3:$G$22&lt;B2215))</f>
        <v/>
      </c>
      <c r="E2215">
        <f>SUMPRODUCT(Calc!$K$3:$K$22*(Calc!$G$3:$G$22&gt;=B2215))</f>
        <v/>
      </c>
      <c r="F2215">
        <f>AND(k_n&gt;=5,B2215&gt;A2215+1E-9,C2215&gt;=2,D2215&gt;=1,E2215&gt;=2)</f>
        <v/>
      </c>
      <c r="G2215">
        <f>SUMPRODUCT(Calc!$K$3:$K$22*(Calc!$G$3:$G$22&gt;A2215)*(Calc!$G$3:$G$22-A2215))</f>
        <v/>
      </c>
      <c r="H2215">
        <f>SUMPRODUCT(Calc!$K$3:$K$22*(Calc!$G$3:$G$22&gt;B2215)*(Calc!$G$3:$G$22-B2215))</f>
        <v/>
      </c>
      <c r="I2215">
        <f>SUMPRODUCT(Calc!$K$3:$K$22*(Calc!$G$3:$G$22&gt;A2215)*(Calc!$G$3:$G$22-A2215)^2)</f>
        <v/>
      </c>
      <c r="J2215">
        <f>SUMPRODUCT(Calc!$K$3:$K$22*(Calc!$G$3:$G$22&gt;B2215)*(Calc!$G$3:$G$22-B2215)^2)</f>
        <v/>
      </c>
      <c r="K2215">
        <f>SUMPRODUCT(Calc!$K$3:$K$22*(Calc!$G$3:$G$22&gt;A2215)*(Calc!$G$3:$G$22-A2215)*(Calc!$G$3:$G$22&gt;B2215)*(Calc!$G$3:$G$22-B2215))</f>
        <v/>
      </c>
      <c r="L2215">
        <f>SUMPRODUCT(Calc!$K$3:$K$22*(Calc!$G$3:$G$22&gt;A2215)*(Calc!$G$3:$G$22-A2215)*Calc!$G$3:$G$22)</f>
        <v/>
      </c>
      <c r="M2215">
        <f>SUMPRODUCT(Calc!$K$3:$K$22*(Calc!$G$3:$G$22&gt;B2215)*(Calc!$G$3:$G$22-B2215)*Calc!$G$3:$G$22)</f>
        <v/>
      </c>
      <c r="N2215">
        <f>SUMPRODUCT(Calc!$K$3:$K$22*(Calc!$G$3:$G$22&gt;A2215)*(Calc!$G$3:$G$22-A2215)*Calc!$I$3:$I$22)</f>
        <v/>
      </c>
      <c r="O2215">
        <f>SUMPRODUCT(Calc!$K$3:$K$22*(Calc!$G$3:$G$22&gt;B2215)*(Calc!$G$3:$G$22-B2215)*Calc!$I$3:$I$22)</f>
        <v/>
      </c>
      <c r="P2215">
        <f>I2215-G2215^2/k_n</f>
        <v/>
      </c>
      <c r="Q2215">
        <f>J2215-H2215^2/k_n</f>
        <v/>
      </c>
      <c r="R2215">
        <f>K2215-G2215*H2215/k_n</f>
        <v/>
      </c>
      <c r="S2215">
        <f>L2215-LTP3!$D$3*G2215/k_n</f>
        <v/>
      </c>
      <c r="T2215">
        <f>M2215-LTP3!$D$3*H2215/k_n</f>
        <v/>
      </c>
      <c r="U2215">
        <f>N2215-G2215*LTP3!$D$4/k_n</f>
        <v/>
      </c>
      <c r="V2215">
        <f>O2215-H2215*LTP3!$D$4/k_n</f>
        <v/>
      </c>
      <c r="W2215">
        <f>((LTP3!$D$5)*((P2215)*(Q2215)-(R2215)*(R2215))-(S2215)*((S2215)*(Q2215)-(R2215)*(T2215))+(T2215)*((S2215)*(R2215)-(P2215)*(T2215)))</f>
        <v/>
      </c>
      <c r="X2215">
        <f>IF(ABS(W2215)&gt;1E-12,((LTP3!$D$6)*((P2215)*(Q2215)-(R2215)*(R2215))-(S2215)*((U2215)*(Q2215)-(R2215)*(V2215))+(T2215)*((U2215)*(R2215)-(P2215)*(V2215)))/W2215,0)</f>
        <v/>
      </c>
      <c r="Y2215">
        <f>IF(ABS(W2215)&gt;1E-12,((LTP3!$D$5)*((U2215)*(Q2215)-(R2215)*(V2215))-(LTP3!$D$6)*((S2215)*(Q2215)-(R2215)*(T2215))+(T2215)*((S2215)*(V2215)-(U2215)*(T2215)))/W2215,0)</f>
        <v/>
      </c>
      <c r="Z2215">
        <f>IF(ABS(W2215)&gt;1E-12,((LTP3!$D$5)*((P2215)*(V2215)-(U2215)*(R2215))-(S2215)*((S2215)*(V2215)-(U2215)*(T2215))+(LTP3!$D$6)*((S2215)*(R2215)-(P2215)*(T2215)))/W2215,0)</f>
        <v/>
      </c>
      <c r="AA2215">
        <f>LTP3!$D$7-X2215*LTP3!$D$6-Y2215*U2215-Z2215*V2215</f>
        <v/>
      </c>
      <c r="AB2215">
        <f>IF(AND(F2215,ABS(W2215)&gt;1E-12,Y2215&gt;0,Z2215&gt;0),AA2215,1E+300)</f>
        <v/>
      </c>
    </row>
    <row r="2216">
      <c r="A2216">
        <f>$B$3+$B$5*36</f>
        <v/>
      </c>
      <c r="B2216">
        <f>$B$3+$B$5*8</f>
        <v/>
      </c>
      <c r="C2216">
        <f>SUMPRODUCT(Calc!$K$3:$K$22*(Calc!$G$3:$G$22&lt;=A2216))</f>
        <v/>
      </c>
      <c r="D2216">
        <f>SUMPRODUCT(Calc!$K$3:$K$22*(Calc!$G$3:$G$22&gt;A2216)*(Calc!$G$3:$G$22&lt;B2216))</f>
        <v/>
      </c>
      <c r="E2216">
        <f>SUMPRODUCT(Calc!$K$3:$K$22*(Calc!$G$3:$G$22&gt;=B2216))</f>
        <v/>
      </c>
      <c r="F2216">
        <f>AND(k_n&gt;=5,B2216&gt;A2216+1E-9,C2216&gt;=2,D2216&gt;=1,E2216&gt;=2)</f>
        <v/>
      </c>
      <c r="G2216">
        <f>SUMPRODUCT(Calc!$K$3:$K$22*(Calc!$G$3:$G$22&gt;A2216)*(Calc!$G$3:$G$22-A2216))</f>
        <v/>
      </c>
      <c r="H2216">
        <f>SUMPRODUCT(Calc!$K$3:$K$22*(Calc!$G$3:$G$22&gt;B2216)*(Calc!$G$3:$G$22-B2216))</f>
        <v/>
      </c>
      <c r="I2216">
        <f>SUMPRODUCT(Calc!$K$3:$K$22*(Calc!$G$3:$G$22&gt;A2216)*(Calc!$G$3:$G$22-A2216)^2)</f>
        <v/>
      </c>
      <c r="J2216">
        <f>SUMPRODUCT(Calc!$K$3:$K$22*(Calc!$G$3:$G$22&gt;B2216)*(Calc!$G$3:$G$22-B2216)^2)</f>
        <v/>
      </c>
      <c r="K2216">
        <f>SUMPRODUCT(Calc!$K$3:$K$22*(Calc!$G$3:$G$22&gt;A2216)*(Calc!$G$3:$G$22-A2216)*(Calc!$G$3:$G$22&gt;B2216)*(Calc!$G$3:$G$22-B2216))</f>
        <v/>
      </c>
      <c r="L2216">
        <f>SUMPRODUCT(Calc!$K$3:$K$22*(Calc!$G$3:$G$22&gt;A2216)*(Calc!$G$3:$G$22-A2216)*Calc!$G$3:$G$22)</f>
        <v/>
      </c>
      <c r="M2216">
        <f>SUMPRODUCT(Calc!$K$3:$K$22*(Calc!$G$3:$G$22&gt;B2216)*(Calc!$G$3:$G$22-B2216)*Calc!$G$3:$G$22)</f>
        <v/>
      </c>
      <c r="N2216">
        <f>SUMPRODUCT(Calc!$K$3:$K$22*(Calc!$G$3:$G$22&gt;A2216)*(Calc!$G$3:$G$22-A2216)*Calc!$I$3:$I$22)</f>
        <v/>
      </c>
      <c r="O2216">
        <f>SUMPRODUCT(Calc!$K$3:$K$22*(Calc!$G$3:$G$22&gt;B2216)*(Calc!$G$3:$G$22-B2216)*Calc!$I$3:$I$22)</f>
        <v/>
      </c>
      <c r="P2216">
        <f>I2216-G2216^2/k_n</f>
        <v/>
      </c>
      <c r="Q2216">
        <f>J2216-H2216^2/k_n</f>
        <v/>
      </c>
      <c r="R2216">
        <f>K2216-G2216*H2216/k_n</f>
        <v/>
      </c>
      <c r="S2216">
        <f>L2216-LTP3!$D$3*G2216/k_n</f>
        <v/>
      </c>
      <c r="T2216">
        <f>M2216-LTP3!$D$3*H2216/k_n</f>
        <v/>
      </c>
      <c r="U2216">
        <f>N2216-G2216*LTP3!$D$4/k_n</f>
        <v/>
      </c>
      <c r="V2216">
        <f>O2216-H2216*LTP3!$D$4/k_n</f>
        <v/>
      </c>
      <c r="W2216">
        <f>((LTP3!$D$5)*((P2216)*(Q2216)-(R2216)*(R2216))-(S2216)*((S2216)*(Q2216)-(R2216)*(T2216))+(T2216)*((S2216)*(R2216)-(P2216)*(T2216)))</f>
        <v/>
      </c>
      <c r="X2216">
        <f>IF(ABS(W2216)&gt;1E-12,((LTP3!$D$6)*((P2216)*(Q2216)-(R2216)*(R2216))-(S2216)*((U2216)*(Q2216)-(R2216)*(V2216))+(T2216)*((U2216)*(R2216)-(P2216)*(V2216)))/W2216,0)</f>
        <v/>
      </c>
      <c r="Y2216">
        <f>IF(ABS(W2216)&gt;1E-12,((LTP3!$D$5)*((U2216)*(Q2216)-(R2216)*(V2216))-(LTP3!$D$6)*((S2216)*(Q2216)-(R2216)*(T2216))+(T2216)*((S2216)*(V2216)-(U2216)*(T2216)))/W2216,0)</f>
        <v/>
      </c>
      <c r="Z2216">
        <f>IF(ABS(W2216)&gt;1E-12,((LTP3!$D$5)*((P2216)*(V2216)-(U2216)*(R2216))-(S2216)*((S2216)*(V2216)-(U2216)*(T2216))+(LTP3!$D$6)*((S2216)*(R2216)-(P2216)*(T2216)))/W2216,0)</f>
        <v/>
      </c>
      <c r="AA2216">
        <f>LTP3!$D$7-X2216*LTP3!$D$6-Y2216*U2216-Z2216*V2216</f>
        <v/>
      </c>
      <c r="AB2216">
        <f>IF(AND(F2216,ABS(W2216)&gt;1E-12,Y2216&gt;0,Z2216&gt;0),AA2216,1E+300)</f>
        <v/>
      </c>
    </row>
    <row r="2217">
      <c r="A2217">
        <f>$B$3+$B$5*36</f>
        <v/>
      </c>
      <c r="B2217">
        <f>$B$3+$B$5*9</f>
        <v/>
      </c>
      <c r="C2217">
        <f>SUMPRODUCT(Calc!$K$3:$K$22*(Calc!$G$3:$G$22&lt;=A2217))</f>
        <v/>
      </c>
      <c r="D2217">
        <f>SUMPRODUCT(Calc!$K$3:$K$22*(Calc!$G$3:$G$22&gt;A2217)*(Calc!$G$3:$G$22&lt;B2217))</f>
        <v/>
      </c>
      <c r="E2217">
        <f>SUMPRODUCT(Calc!$K$3:$K$22*(Calc!$G$3:$G$22&gt;=B2217))</f>
        <v/>
      </c>
      <c r="F2217">
        <f>AND(k_n&gt;=5,B2217&gt;A2217+1E-9,C2217&gt;=2,D2217&gt;=1,E2217&gt;=2)</f>
        <v/>
      </c>
      <c r="G2217">
        <f>SUMPRODUCT(Calc!$K$3:$K$22*(Calc!$G$3:$G$22&gt;A2217)*(Calc!$G$3:$G$22-A2217))</f>
        <v/>
      </c>
      <c r="H2217">
        <f>SUMPRODUCT(Calc!$K$3:$K$22*(Calc!$G$3:$G$22&gt;B2217)*(Calc!$G$3:$G$22-B2217))</f>
        <v/>
      </c>
      <c r="I2217">
        <f>SUMPRODUCT(Calc!$K$3:$K$22*(Calc!$G$3:$G$22&gt;A2217)*(Calc!$G$3:$G$22-A2217)^2)</f>
        <v/>
      </c>
      <c r="J2217">
        <f>SUMPRODUCT(Calc!$K$3:$K$22*(Calc!$G$3:$G$22&gt;B2217)*(Calc!$G$3:$G$22-B2217)^2)</f>
        <v/>
      </c>
      <c r="K2217">
        <f>SUMPRODUCT(Calc!$K$3:$K$22*(Calc!$G$3:$G$22&gt;A2217)*(Calc!$G$3:$G$22-A2217)*(Calc!$G$3:$G$22&gt;B2217)*(Calc!$G$3:$G$22-B2217))</f>
        <v/>
      </c>
      <c r="L2217">
        <f>SUMPRODUCT(Calc!$K$3:$K$22*(Calc!$G$3:$G$22&gt;A2217)*(Calc!$G$3:$G$22-A2217)*Calc!$G$3:$G$22)</f>
        <v/>
      </c>
      <c r="M2217">
        <f>SUMPRODUCT(Calc!$K$3:$K$22*(Calc!$G$3:$G$22&gt;B2217)*(Calc!$G$3:$G$22-B2217)*Calc!$G$3:$G$22)</f>
        <v/>
      </c>
      <c r="N2217">
        <f>SUMPRODUCT(Calc!$K$3:$K$22*(Calc!$G$3:$G$22&gt;A2217)*(Calc!$G$3:$G$22-A2217)*Calc!$I$3:$I$22)</f>
        <v/>
      </c>
      <c r="O2217">
        <f>SUMPRODUCT(Calc!$K$3:$K$22*(Calc!$G$3:$G$22&gt;B2217)*(Calc!$G$3:$G$22-B2217)*Calc!$I$3:$I$22)</f>
        <v/>
      </c>
      <c r="P2217">
        <f>I2217-G2217^2/k_n</f>
        <v/>
      </c>
      <c r="Q2217">
        <f>J2217-H2217^2/k_n</f>
        <v/>
      </c>
      <c r="R2217">
        <f>K2217-G2217*H2217/k_n</f>
        <v/>
      </c>
      <c r="S2217">
        <f>L2217-LTP3!$D$3*G2217/k_n</f>
        <v/>
      </c>
      <c r="T2217">
        <f>M2217-LTP3!$D$3*H2217/k_n</f>
        <v/>
      </c>
      <c r="U2217">
        <f>N2217-G2217*LTP3!$D$4/k_n</f>
        <v/>
      </c>
      <c r="V2217">
        <f>O2217-H2217*LTP3!$D$4/k_n</f>
        <v/>
      </c>
      <c r="W2217">
        <f>((LTP3!$D$5)*((P2217)*(Q2217)-(R2217)*(R2217))-(S2217)*((S2217)*(Q2217)-(R2217)*(T2217))+(T2217)*((S2217)*(R2217)-(P2217)*(T2217)))</f>
        <v/>
      </c>
      <c r="X2217">
        <f>IF(ABS(W2217)&gt;1E-12,((LTP3!$D$6)*((P2217)*(Q2217)-(R2217)*(R2217))-(S2217)*((U2217)*(Q2217)-(R2217)*(V2217))+(T2217)*((U2217)*(R2217)-(P2217)*(V2217)))/W2217,0)</f>
        <v/>
      </c>
      <c r="Y2217">
        <f>IF(ABS(W2217)&gt;1E-12,((LTP3!$D$5)*((U2217)*(Q2217)-(R2217)*(V2217))-(LTP3!$D$6)*((S2217)*(Q2217)-(R2217)*(T2217))+(T2217)*((S2217)*(V2217)-(U2217)*(T2217)))/W2217,0)</f>
        <v/>
      </c>
      <c r="Z2217">
        <f>IF(ABS(W2217)&gt;1E-12,((LTP3!$D$5)*((P2217)*(V2217)-(U2217)*(R2217))-(S2217)*((S2217)*(V2217)-(U2217)*(T2217))+(LTP3!$D$6)*((S2217)*(R2217)-(P2217)*(T2217)))/W2217,0)</f>
        <v/>
      </c>
      <c r="AA2217">
        <f>LTP3!$D$7-X2217*LTP3!$D$6-Y2217*U2217-Z2217*V2217</f>
        <v/>
      </c>
      <c r="AB2217">
        <f>IF(AND(F2217,ABS(W2217)&gt;1E-12,Y2217&gt;0,Z2217&gt;0),AA2217,1E+300)</f>
        <v/>
      </c>
    </row>
    <row r="2218">
      <c r="A2218">
        <f>$B$3+$B$5*36</f>
        <v/>
      </c>
      <c r="B2218">
        <f>$B$3+$B$5*10</f>
        <v/>
      </c>
      <c r="C2218">
        <f>SUMPRODUCT(Calc!$K$3:$K$22*(Calc!$G$3:$G$22&lt;=A2218))</f>
        <v/>
      </c>
      <c r="D2218">
        <f>SUMPRODUCT(Calc!$K$3:$K$22*(Calc!$G$3:$G$22&gt;A2218)*(Calc!$G$3:$G$22&lt;B2218))</f>
        <v/>
      </c>
      <c r="E2218">
        <f>SUMPRODUCT(Calc!$K$3:$K$22*(Calc!$G$3:$G$22&gt;=B2218))</f>
        <v/>
      </c>
      <c r="F2218">
        <f>AND(k_n&gt;=5,B2218&gt;A2218+1E-9,C2218&gt;=2,D2218&gt;=1,E2218&gt;=2)</f>
        <v/>
      </c>
      <c r="G2218">
        <f>SUMPRODUCT(Calc!$K$3:$K$22*(Calc!$G$3:$G$22&gt;A2218)*(Calc!$G$3:$G$22-A2218))</f>
        <v/>
      </c>
      <c r="H2218">
        <f>SUMPRODUCT(Calc!$K$3:$K$22*(Calc!$G$3:$G$22&gt;B2218)*(Calc!$G$3:$G$22-B2218))</f>
        <v/>
      </c>
      <c r="I2218">
        <f>SUMPRODUCT(Calc!$K$3:$K$22*(Calc!$G$3:$G$22&gt;A2218)*(Calc!$G$3:$G$22-A2218)^2)</f>
        <v/>
      </c>
      <c r="J2218">
        <f>SUMPRODUCT(Calc!$K$3:$K$22*(Calc!$G$3:$G$22&gt;B2218)*(Calc!$G$3:$G$22-B2218)^2)</f>
        <v/>
      </c>
      <c r="K2218">
        <f>SUMPRODUCT(Calc!$K$3:$K$22*(Calc!$G$3:$G$22&gt;A2218)*(Calc!$G$3:$G$22-A2218)*(Calc!$G$3:$G$22&gt;B2218)*(Calc!$G$3:$G$22-B2218))</f>
        <v/>
      </c>
      <c r="L2218">
        <f>SUMPRODUCT(Calc!$K$3:$K$22*(Calc!$G$3:$G$22&gt;A2218)*(Calc!$G$3:$G$22-A2218)*Calc!$G$3:$G$22)</f>
        <v/>
      </c>
      <c r="M2218">
        <f>SUMPRODUCT(Calc!$K$3:$K$22*(Calc!$G$3:$G$22&gt;B2218)*(Calc!$G$3:$G$22-B2218)*Calc!$G$3:$G$22)</f>
        <v/>
      </c>
      <c r="N2218">
        <f>SUMPRODUCT(Calc!$K$3:$K$22*(Calc!$G$3:$G$22&gt;A2218)*(Calc!$G$3:$G$22-A2218)*Calc!$I$3:$I$22)</f>
        <v/>
      </c>
      <c r="O2218">
        <f>SUMPRODUCT(Calc!$K$3:$K$22*(Calc!$G$3:$G$22&gt;B2218)*(Calc!$G$3:$G$22-B2218)*Calc!$I$3:$I$22)</f>
        <v/>
      </c>
      <c r="P2218">
        <f>I2218-G2218^2/k_n</f>
        <v/>
      </c>
      <c r="Q2218">
        <f>J2218-H2218^2/k_n</f>
        <v/>
      </c>
      <c r="R2218">
        <f>K2218-G2218*H2218/k_n</f>
        <v/>
      </c>
      <c r="S2218">
        <f>L2218-LTP3!$D$3*G2218/k_n</f>
        <v/>
      </c>
      <c r="T2218">
        <f>M2218-LTP3!$D$3*H2218/k_n</f>
        <v/>
      </c>
      <c r="U2218">
        <f>N2218-G2218*LTP3!$D$4/k_n</f>
        <v/>
      </c>
      <c r="V2218">
        <f>O2218-H2218*LTP3!$D$4/k_n</f>
        <v/>
      </c>
      <c r="W2218">
        <f>((LTP3!$D$5)*((P2218)*(Q2218)-(R2218)*(R2218))-(S2218)*((S2218)*(Q2218)-(R2218)*(T2218))+(T2218)*((S2218)*(R2218)-(P2218)*(T2218)))</f>
        <v/>
      </c>
      <c r="X2218">
        <f>IF(ABS(W2218)&gt;1E-12,((LTP3!$D$6)*((P2218)*(Q2218)-(R2218)*(R2218))-(S2218)*((U2218)*(Q2218)-(R2218)*(V2218))+(T2218)*((U2218)*(R2218)-(P2218)*(V2218)))/W2218,0)</f>
        <v/>
      </c>
      <c r="Y2218">
        <f>IF(ABS(W2218)&gt;1E-12,((LTP3!$D$5)*((U2218)*(Q2218)-(R2218)*(V2218))-(LTP3!$D$6)*((S2218)*(Q2218)-(R2218)*(T2218))+(T2218)*((S2218)*(V2218)-(U2218)*(T2218)))/W2218,0)</f>
        <v/>
      </c>
      <c r="Z2218">
        <f>IF(ABS(W2218)&gt;1E-12,((LTP3!$D$5)*((P2218)*(V2218)-(U2218)*(R2218))-(S2218)*((S2218)*(V2218)-(U2218)*(T2218))+(LTP3!$D$6)*((S2218)*(R2218)-(P2218)*(T2218)))/W2218,0)</f>
        <v/>
      </c>
      <c r="AA2218">
        <f>LTP3!$D$7-X2218*LTP3!$D$6-Y2218*U2218-Z2218*V2218</f>
        <v/>
      </c>
      <c r="AB2218">
        <f>IF(AND(F2218,ABS(W2218)&gt;1E-12,Y2218&gt;0,Z2218&gt;0),AA2218,1E+300)</f>
        <v/>
      </c>
    </row>
    <row r="2219">
      <c r="A2219">
        <f>$B$3+$B$5*36</f>
        <v/>
      </c>
      <c r="B2219">
        <f>$B$3+$B$5*11</f>
        <v/>
      </c>
      <c r="C2219">
        <f>SUMPRODUCT(Calc!$K$3:$K$22*(Calc!$G$3:$G$22&lt;=A2219))</f>
        <v/>
      </c>
      <c r="D2219">
        <f>SUMPRODUCT(Calc!$K$3:$K$22*(Calc!$G$3:$G$22&gt;A2219)*(Calc!$G$3:$G$22&lt;B2219))</f>
        <v/>
      </c>
      <c r="E2219">
        <f>SUMPRODUCT(Calc!$K$3:$K$22*(Calc!$G$3:$G$22&gt;=B2219))</f>
        <v/>
      </c>
      <c r="F2219">
        <f>AND(k_n&gt;=5,B2219&gt;A2219+1E-9,C2219&gt;=2,D2219&gt;=1,E2219&gt;=2)</f>
        <v/>
      </c>
      <c r="G2219">
        <f>SUMPRODUCT(Calc!$K$3:$K$22*(Calc!$G$3:$G$22&gt;A2219)*(Calc!$G$3:$G$22-A2219))</f>
        <v/>
      </c>
      <c r="H2219">
        <f>SUMPRODUCT(Calc!$K$3:$K$22*(Calc!$G$3:$G$22&gt;B2219)*(Calc!$G$3:$G$22-B2219))</f>
        <v/>
      </c>
      <c r="I2219">
        <f>SUMPRODUCT(Calc!$K$3:$K$22*(Calc!$G$3:$G$22&gt;A2219)*(Calc!$G$3:$G$22-A2219)^2)</f>
        <v/>
      </c>
      <c r="J2219">
        <f>SUMPRODUCT(Calc!$K$3:$K$22*(Calc!$G$3:$G$22&gt;B2219)*(Calc!$G$3:$G$22-B2219)^2)</f>
        <v/>
      </c>
      <c r="K2219">
        <f>SUMPRODUCT(Calc!$K$3:$K$22*(Calc!$G$3:$G$22&gt;A2219)*(Calc!$G$3:$G$22-A2219)*(Calc!$G$3:$G$22&gt;B2219)*(Calc!$G$3:$G$22-B2219))</f>
        <v/>
      </c>
      <c r="L2219">
        <f>SUMPRODUCT(Calc!$K$3:$K$22*(Calc!$G$3:$G$22&gt;A2219)*(Calc!$G$3:$G$22-A2219)*Calc!$G$3:$G$22)</f>
        <v/>
      </c>
      <c r="M2219">
        <f>SUMPRODUCT(Calc!$K$3:$K$22*(Calc!$G$3:$G$22&gt;B2219)*(Calc!$G$3:$G$22-B2219)*Calc!$G$3:$G$22)</f>
        <v/>
      </c>
      <c r="N2219">
        <f>SUMPRODUCT(Calc!$K$3:$K$22*(Calc!$G$3:$G$22&gt;A2219)*(Calc!$G$3:$G$22-A2219)*Calc!$I$3:$I$22)</f>
        <v/>
      </c>
      <c r="O2219">
        <f>SUMPRODUCT(Calc!$K$3:$K$22*(Calc!$G$3:$G$22&gt;B2219)*(Calc!$G$3:$G$22-B2219)*Calc!$I$3:$I$22)</f>
        <v/>
      </c>
      <c r="P2219">
        <f>I2219-G2219^2/k_n</f>
        <v/>
      </c>
      <c r="Q2219">
        <f>J2219-H2219^2/k_n</f>
        <v/>
      </c>
      <c r="R2219">
        <f>K2219-G2219*H2219/k_n</f>
        <v/>
      </c>
      <c r="S2219">
        <f>L2219-LTP3!$D$3*G2219/k_n</f>
        <v/>
      </c>
      <c r="T2219">
        <f>M2219-LTP3!$D$3*H2219/k_n</f>
        <v/>
      </c>
      <c r="U2219">
        <f>N2219-G2219*LTP3!$D$4/k_n</f>
        <v/>
      </c>
      <c r="V2219">
        <f>O2219-H2219*LTP3!$D$4/k_n</f>
        <v/>
      </c>
      <c r="W2219">
        <f>((LTP3!$D$5)*((P2219)*(Q2219)-(R2219)*(R2219))-(S2219)*((S2219)*(Q2219)-(R2219)*(T2219))+(T2219)*((S2219)*(R2219)-(P2219)*(T2219)))</f>
        <v/>
      </c>
      <c r="X2219">
        <f>IF(ABS(W2219)&gt;1E-12,((LTP3!$D$6)*((P2219)*(Q2219)-(R2219)*(R2219))-(S2219)*((U2219)*(Q2219)-(R2219)*(V2219))+(T2219)*((U2219)*(R2219)-(P2219)*(V2219)))/W2219,0)</f>
        <v/>
      </c>
      <c r="Y2219">
        <f>IF(ABS(W2219)&gt;1E-12,((LTP3!$D$5)*((U2219)*(Q2219)-(R2219)*(V2219))-(LTP3!$D$6)*((S2219)*(Q2219)-(R2219)*(T2219))+(T2219)*((S2219)*(V2219)-(U2219)*(T2219)))/W2219,0)</f>
        <v/>
      </c>
      <c r="Z2219">
        <f>IF(ABS(W2219)&gt;1E-12,((LTP3!$D$5)*((P2219)*(V2219)-(U2219)*(R2219))-(S2219)*((S2219)*(V2219)-(U2219)*(T2219))+(LTP3!$D$6)*((S2219)*(R2219)-(P2219)*(T2219)))/W2219,0)</f>
        <v/>
      </c>
      <c r="AA2219">
        <f>LTP3!$D$7-X2219*LTP3!$D$6-Y2219*U2219-Z2219*V2219</f>
        <v/>
      </c>
      <c r="AB2219">
        <f>IF(AND(F2219,ABS(W2219)&gt;1E-12,Y2219&gt;0,Z2219&gt;0),AA2219,1E+300)</f>
        <v/>
      </c>
    </row>
    <row r="2220">
      <c r="A2220">
        <f>$B$3+$B$5*36</f>
        <v/>
      </c>
      <c r="B2220">
        <f>$B$3+$B$5*12</f>
        <v/>
      </c>
      <c r="C2220">
        <f>SUMPRODUCT(Calc!$K$3:$K$22*(Calc!$G$3:$G$22&lt;=A2220))</f>
        <v/>
      </c>
      <c r="D2220">
        <f>SUMPRODUCT(Calc!$K$3:$K$22*(Calc!$G$3:$G$22&gt;A2220)*(Calc!$G$3:$G$22&lt;B2220))</f>
        <v/>
      </c>
      <c r="E2220">
        <f>SUMPRODUCT(Calc!$K$3:$K$22*(Calc!$G$3:$G$22&gt;=B2220))</f>
        <v/>
      </c>
      <c r="F2220">
        <f>AND(k_n&gt;=5,B2220&gt;A2220+1E-9,C2220&gt;=2,D2220&gt;=1,E2220&gt;=2)</f>
        <v/>
      </c>
      <c r="G2220">
        <f>SUMPRODUCT(Calc!$K$3:$K$22*(Calc!$G$3:$G$22&gt;A2220)*(Calc!$G$3:$G$22-A2220))</f>
        <v/>
      </c>
      <c r="H2220">
        <f>SUMPRODUCT(Calc!$K$3:$K$22*(Calc!$G$3:$G$22&gt;B2220)*(Calc!$G$3:$G$22-B2220))</f>
        <v/>
      </c>
      <c r="I2220">
        <f>SUMPRODUCT(Calc!$K$3:$K$22*(Calc!$G$3:$G$22&gt;A2220)*(Calc!$G$3:$G$22-A2220)^2)</f>
        <v/>
      </c>
      <c r="J2220">
        <f>SUMPRODUCT(Calc!$K$3:$K$22*(Calc!$G$3:$G$22&gt;B2220)*(Calc!$G$3:$G$22-B2220)^2)</f>
        <v/>
      </c>
      <c r="K2220">
        <f>SUMPRODUCT(Calc!$K$3:$K$22*(Calc!$G$3:$G$22&gt;A2220)*(Calc!$G$3:$G$22-A2220)*(Calc!$G$3:$G$22&gt;B2220)*(Calc!$G$3:$G$22-B2220))</f>
        <v/>
      </c>
      <c r="L2220">
        <f>SUMPRODUCT(Calc!$K$3:$K$22*(Calc!$G$3:$G$22&gt;A2220)*(Calc!$G$3:$G$22-A2220)*Calc!$G$3:$G$22)</f>
        <v/>
      </c>
      <c r="M2220">
        <f>SUMPRODUCT(Calc!$K$3:$K$22*(Calc!$G$3:$G$22&gt;B2220)*(Calc!$G$3:$G$22-B2220)*Calc!$G$3:$G$22)</f>
        <v/>
      </c>
      <c r="N2220">
        <f>SUMPRODUCT(Calc!$K$3:$K$22*(Calc!$G$3:$G$22&gt;A2220)*(Calc!$G$3:$G$22-A2220)*Calc!$I$3:$I$22)</f>
        <v/>
      </c>
      <c r="O2220">
        <f>SUMPRODUCT(Calc!$K$3:$K$22*(Calc!$G$3:$G$22&gt;B2220)*(Calc!$G$3:$G$22-B2220)*Calc!$I$3:$I$22)</f>
        <v/>
      </c>
      <c r="P2220">
        <f>I2220-G2220^2/k_n</f>
        <v/>
      </c>
      <c r="Q2220">
        <f>J2220-H2220^2/k_n</f>
        <v/>
      </c>
      <c r="R2220">
        <f>K2220-G2220*H2220/k_n</f>
        <v/>
      </c>
      <c r="S2220">
        <f>L2220-LTP3!$D$3*G2220/k_n</f>
        <v/>
      </c>
      <c r="T2220">
        <f>M2220-LTP3!$D$3*H2220/k_n</f>
        <v/>
      </c>
      <c r="U2220">
        <f>N2220-G2220*LTP3!$D$4/k_n</f>
        <v/>
      </c>
      <c r="V2220">
        <f>O2220-H2220*LTP3!$D$4/k_n</f>
        <v/>
      </c>
      <c r="W2220">
        <f>((LTP3!$D$5)*((P2220)*(Q2220)-(R2220)*(R2220))-(S2220)*((S2220)*(Q2220)-(R2220)*(T2220))+(T2220)*((S2220)*(R2220)-(P2220)*(T2220)))</f>
        <v/>
      </c>
      <c r="X2220">
        <f>IF(ABS(W2220)&gt;1E-12,((LTP3!$D$6)*((P2220)*(Q2220)-(R2220)*(R2220))-(S2220)*((U2220)*(Q2220)-(R2220)*(V2220))+(T2220)*((U2220)*(R2220)-(P2220)*(V2220)))/W2220,0)</f>
        <v/>
      </c>
      <c r="Y2220">
        <f>IF(ABS(W2220)&gt;1E-12,((LTP3!$D$5)*((U2220)*(Q2220)-(R2220)*(V2220))-(LTP3!$D$6)*((S2220)*(Q2220)-(R2220)*(T2220))+(T2220)*((S2220)*(V2220)-(U2220)*(T2220)))/W2220,0)</f>
        <v/>
      </c>
      <c r="Z2220">
        <f>IF(ABS(W2220)&gt;1E-12,((LTP3!$D$5)*((P2220)*(V2220)-(U2220)*(R2220))-(S2220)*((S2220)*(V2220)-(U2220)*(T2220))+(LTP3!$D$6)*((S2220)*(R2220)-(P2220)*(T2220)))/W2220,0)</f>
        <v/>
      </c>
      <c r="AA2220">
        <f>LTP3!$D$7-X2220*LTP3!$D$6-Y2220*U2220-Z2220*V2220</f>
        <v/>
      </c>
      <c r="AB2220">
        <f>IF(AND(F2220,ABS(W2220)&gt;1E-12,Y2220&gt;0,Z2220&gt;0),AA2220,1E+300)</f>
        <v/>
      </c>
    </row>
    <row r="2221">
      <c r="A2221">
        <f>$B$3+$B$5*36</f>
        <v/>
      </c>
      <c r="B2221">
        <f>$B$3+$B$5*13</f>
        <v/>
      </c>
      <c r="C2221">
        <f>SUMPRODUCT(Calc!$K$3:$K$22*(Calc!$G$3:$G$22&lt;=A2221))</f>
        <v/>
      </c>
      <c r="D2221">
        <f>SUMPRODUCT(Calc!$K$3:$K$22*(Calc!$G$3:$G$22&gt;A2221)*(Calc!$G$3:$G$22&lt;B2221))</f>
        <v/>
      </c>
      <c r="E2221">
        <f>SUMPRODUCT(Calc!$K$3:$K$22*(Calc!$G$3:$G$22&gt;=B2221))</f>
        <v/>
      </c>
      <c r="F2221">
        <f>AND(k_n&gt;=5,B2221&gt;A2221+1E-9,C2221&gt;=2,D2221&gt;=1,E2221&gt;=2)</f>
        <v/>
      </c>
      <c r="G2221">
        <f>SUMPRODUCT(Calc!$K$3:$K$22*(Calc!$G$3:$G$22&gt;A2221)*(Calc!$G$3:$G$22-A2221))</f>
        <v/>
      </c>
      <c r="H2221">
        <f>SUMPRODUCT(Calc!$K$3:$K$22*(Calc!$G$3:$G$22&gt;B2221)*(Calc!$G$3:$G$22-B2221))</f>
        <v/>
      </c>
      <c r="I2221">
        <f>SUMPRODUCT(Calc!$K$3:$K$22*(Calc!$G$3:$G$22&gt;A2221)*(Calc!$G$3:$G$22-A2221)^2)</f>
        <v/>
      </c>
      <c r="J2221">
        <f>SUMPRODUCT(Calc!$K$3:$K$22*(Calc!$G$3:$G$22&gt;B2221)*(Calc!$G$3:$G$22-B2221)^2)</f>
        <v/>
      </c>
      <c r="K2221">
        <f>SUMPRODUCT(Calc!$K$3:$K$22*(Calc!$G$3:$G$22&gt;A2221)*(Calc!$G$3:$G$22-A2221)*(Calc!$G$3:$G$22&gt;B2221)*(Calc!$G$3:$G$22-B2221))</f>
        <v/>
      </c>
      <c r="L2221">
        <f>SUMPRODUCT(Calc!$K$3:$K$22*(Calc!$G$3:$G$22&gt;A2221)*(Calc!$G$3:$G$22-A2221)*Calc!$G$3:$G$22)</f>
        <v/>
      </c>
      <c r="M2221">
        <f>SUMPRODUCT(Calc!$K$3:$K$22*(Calc!$G$3:$G$22&gt;B2221)*(Calc!$G$3:$G$22-B2221)*Calc!$G$3:$G$22)</f>
        <v/>
      </c>
      <c r="N2221">
        <f>SUMPRODUCT(Calc!$K$3:$K$22*(Calc!$G$3:$G$22&gt;A2221)*(Calc!$G$3:$G$22-A2221)*Calc!$I$3:$I$22)</f>
        <v/>
      </c>
      <c r="O2221">
        <f>SUMPRODUCT(Calc!$K$3:$K$22*(Calc!$G$3:$G$22&gt;B2221)*(Calc!$G$3:$G$22-B2221)*Calc!$I$3:$I$22)</f>
        <v/>
      </c>
      <c r="P2221">
        <f>I2221-G2221^2/k_n</f>
        <v/>
      </c>
      <c r="Q2221">
        <f>J2221-H2221^2/k_n</f>
        <v/>
      </c>
      <c r="R2221">
        <f>K2221-G2221*H2221/k_n</f>
        <v/>
      </c>
      <c r="S2221">
        <f>L2221-LTP3!$D$3*G2221/k_n</f>
        <v/>
      </c>
      <c r="T2221">
        <f>M2221-LTP3!$D$3*H2221/k_n</f>
        <v/>
      </c>
      <c r="U2221">
        <f>N2221-G2221*LTP3!$D$4/k_n</f>
        <v/>
      </c>
      <c r="V2221">
        <f>O2221-H2221*LTP3!$D$4/k_n</f>
        <v/>
      </c>
      <c r="W2221">
        <f>((LTP3!$D$5)*((P2221)*(Q2221)-(R2221)*(R2221))-(S2221)*((S2221)*(Q2221)-(R2221)*(T2221))+(T2221)*((S2221)*(R2221)-(P2221)*(T2221)))</f>
        <v/>
      </c>
      <c r="X2221">
        <f>IF(ABS(W2221)&gt;1E-12,((LTP3!$D$6)*((P2221)*(Q2221)-(R2221)*(R2221))-(S2221)*((U2221)*(Q2221)-(R2221)*(V2221))+(T2221)*((U2221)*(R2221)-(P2221)*(V2221)))/W2221,0)</f>
        <v/>
      </c>
      <c r="Y2221">
        <f>IF(ABS(W2221)&gt;1E-12,((LTP3!$D$5)*((U2221)*(Q2221)-(R2221)*(V2221))-(LTP3!$D$6)*((S2221)*(Q2221)-(R2221)*(T2221))+(T2221)*((S2221)*(V2221)-(U2221)*(T2221)))/W2221,0)</f>
        <v/>
      </c>
      <c r="Z2221">
        <f>IF(ABS(W2221)&gt;1E-12,((LTP3!$D$5)*((P2221)*(V2221)-(U2221)*(R2221))-(S2221)*((S2221)*(V2221)-(U2221)*(T2221))+(LTP3!$D$6)*((S2221)*(R2221)-(P2221)*(T2221)))/W2221,0)</f>
        <v/>
      </c>
      <c r="AA2221">
        <f>LTP3!$D$7-X2221*LTP3!$D$6-Y2221*U2221-Z2221*V2221</f>
        <v/>
      </c>
      <c r="AB2221">
        <f>IF(AND(F2221,ABS(W2221)&gt;1E-12,Y2221&gt;0,Z2221&gt;0),AA2221,1E+300)</f>
        <v/>
      </c>
    </row>
    <row r="2222">
      <c r="A2222">
        <f>$B$3+$B$5*36</f>
        <v/>
      </c>
      <c r="B2222">
        <f>$B$3+$B$5*14</f>
        <v/>
      </c>
      <c r="C2222">
        <f>SUMPRODUCT(Calc!$K$3:$K$22*(Calc!$G$3:$G$22&lt;=A2222))</f>
        <v/>
      </c>
      <c r="D2222">
        <f>SUMPRODUCT(Calc!$K$3:$K$22*(Calc!$G$3:$G$22&gt;A2222)*(Calc!$G$3:$G$22&lt;B2222))</f>
        <v/>
      </c>
      <c r="E2222">
        <f>SUMPRODUCT(Calc!$K$3:$K$22*(Calc!$G$3:$G$22&gt;=B2222))</f>
        <v/>
      </c>
      <c r="F2222">
        <f>AND(k_n&gt;=5,B2222&gt;A2222+1E-9,C2222&gt;=2,D2222&gt;=1,E2222&gt;=2)</f>
        <v/>
      </c>
      <c r="G2222">
        <f>SUMPRODUCT(Calc!$K$3:$K$22*(Calc!$G$3:$G$22&gt;A2222)*(Calc!$G$3:$G$22-A2222))</f>
        <v/>
      </c>
      <c r="H2222">
        <f>SUMPRODUCT(Calc!$K$3:$K$22*(Calc!$G$3:$G$22&gt;B2222)*(Calc!$G$3:$G$22-B2222))</f>
        <v/>
      </c>
      <c r="I2222">
        <f>SUMPRODUCT(Calc!$K$3:$K$22*(Calc!$G$3:$G$22&gt;A2222)*(Calc!$G$3:$G$22-A2222)^2)</f>
        <v/>
      </c>
      <c r="J2222">
        <f>SUMPRODUCT(Calc!$K$3:$K$22*(Calc!$G$3:$G$22&gt;B2222)*(Calc!$G$3:$G$22-B2222)^2)</f>
        <v/>
      </c>
      <c r="K2222">
        <f>SUMPRODUCT(Calc!$K$3:$K$22*(Calc!$G$3:$G$22&gt;A2222)*(Calc!$G$3:$G$22-A2222)*(Calc!$G$3:$G$22&gt;B2222)*(Calc!$G$3:$G$22-B2222))</f>
        <v/>
      </c>
      <c r="L2222">
        <f>SUMPRODUCT(Calc!$K$3:$K$22*(Calc!$G$3:$G$22&gt;A2222)*(Calc!$G$3:$G$22-A2222)*Calc!$G$3:$G$22)</f>
        <v/>
      </c>
      <c r="M2222">
        <f>SUMPRODUCT(Calc!$K$3:$K$22*(Calc!$G$3:$G$22&gt;B2222)*(Calc!$G$3:$G$22-B2222)*Calc!$G$3:$G$22)</f>
        <v/>
      </c>
      <c r="N2222">
        <f>SUMPRODUCT(Calc!$K$3:$K$22*(Calc!$G$3:$G$22&gt;A2222)*(Calc!$G$3:$G$22-A2222)*Calc!$I$3:$I$22)</f>
        <v/>
      </c>
      <c r="O2222">
        <f>SUMPRODUCT(Calc!$K$3:$K$22*(Calc!$G$3:$G$22&gt;B2222)*(Calc!$G$3:$G$22-B2222)*Calc!$I$3:$I$22)</f>
        <v/>
      </c>
      <c r="P2222">
        <f>I2222-G2222^2/k_n</f>
        <v/>
      </c>
      <c r="Q2222">
        <f>J2222-H2222^2/k_n</f>
        <v/>
      </c>
      <c r="R2222">
        <f>K2222-G2222*H2222/k_n</f>
        <v/>
      </c>
      <c r="S2222">
        <f>L2222-LTP3!$D$3*G2222/k_n</f>
        <v/>
      </c>
      <c r="T2222">
        <f>M2222-LTP3!$D$3*H2222/k_n</f>
        <v/>
      </c>
      <c r="U2222">
        <f>N2222-G2222*LTP3!$D$4/k_n</f>
        <v/>
      </c>
      <c r="V2222">
        <f>O2222-H2222*LTP3!$D$4/k_n</f>
        <v/>
      </c>
      <c r="W2222">
        <f>((LTP3!$D$5)*((P2222)*(Q2222)-(R2222)*(R2222))-(S2222)*((S2222)*(Q2222)-(R2222)*(T2222))+(T2222)*((S2222)*(R2222)-(P2222)*(T2222)))</f>
        <v/>
      </c>
      <c r="X2222">
        <f>IF(ABS(W2222)&gt;1E-12,((LTP3!$D$6)*((P2222)*(Q2222)-(R2222)*(R2222))-(S2222)*((U2222)*(Q2222)-(R2222)*(V2222))+(T2222)*((U2222)*(R2222)-(P2222)*(V2222)))/W2222,0)</f>
        <v/>
      </c>
      <c r="Y2222">
        <f>IF(ABS(W2222)&gt;1E-12,((LTP3!$D$5)*((U2222)*(Q2222)-(R2222)*(V2222))-(LTP3!$D$6)*((S2222)*(Q2222)-(R2222)*(T2222))+(T2222)*((S2222)*(V2222)-(U2222)*(T2222)))/W2222,0)</f>
        <v/>
      </c>
      <c r="Z2222">
        <f>IF(ABS(W2222)&gt;1E-12,((LTP3!$D$5)*((P2222)*(V2222)-(U2222)*(R2222))-(S2222)*((S2222)*(V2222)-(U2222)*(T2222))+(LTP3!$D$6)*((S2222)*(R2222)-(P2222)*(T2222)))/W2222,0)</f>
        <v/>
      </c>
      <c r="AA2222">
        <f>LTP3!$D$7-X2222*LTP3!$D$6-Y2222*U2222-Z2222*V2222</f>
        <v/>
      </c>
      <c r="AB2222">
        <f>IF(AND(F2222,ABS(W2222)&gt;1E-12,Y2222&gt;0,Z2222&gt;0),AA2222,1E+300)</f>
        <v/>
      </c>
    </row>
    <row r="2223">
      <c r="A2223">
        <f>$B$3+$B$5*36</f>
        <v/>
      </c>
      <c r="B2223">
        <f>$B$3+$B$5*15</f>
        <v/>
      </c>
      <c r="C2223">
        <f>SUMPRODUCT(Calc!$K$3:$K$22*(Calc!$G$3:$G$22&lt;=A2223))</f>
        <v/>
      </c>
      <c r="D2223">
        <f>SUMPRODUCT(Calc!$K$3:$K$22*(Calc!$G$3:$G$22&gt;A2223)*(Calc!$G$3:$G$22&lt;B2223))</f>
        <v/>
      </c>
      <c r="E2223">
        <f>SUMPRODUCT(Calc!$K$3:$K$22*(Calc!$G$3:$G$22&gt;=B2223))</f>
        <v/>
      </c>
      <c r="F2223">
        <f>AND(k_n&gt;=5,B2223&gt;A2223+1E-9,C2223&gt;=2,D2223&gt;=1,E2223&gt;=2)</f>
        <v/>
      </c>
      <c r="G2223">
        <f>SUMPRODUCT(Calc!$K$3:$K$22*(Calc!$G$3:$G$22&gt;A2223)*(Calc!$G$3:$G$22-A2223))</f>
        <v/>
      </c>
      <c r="H2223">
        <f>SUMPRODUCT(Calc!$K$3:$K$22*(Calc!$G$3:$G$22&gt;B2223)*(Calc!$G$3:$G$22-B2223))</f>
        <v/>
      </c>
      <c r="I2223">
        <f>SUMPRODUCT(Calc!$K$3:$K$22*(Calc!$G$3:$G$22&gt;A2223)*(Calc!$G$3:$G$22-A2223)^2)</f>
        <v/>
      </c>
      <c r="J2223">
        <f>SUMPRODUCT(Calc!$K$3:$K$22*(Calc!$G$3:$G$22&gt;B2223)*(Calc!$G$3:$G$22-B2223)^2)</f>
        <v/>
      </c>
      <c r="K2223">
        <f>SUMPRODUCT(Calc!$K$3:$K$22*(Calc!$G$3:$G$22&gt;A2223)*(Calc!$G$3:$G$22-A2223)*(Calc!$G$3:$G$22&gt;B2223)*(Calc!$G$3:$G$22-B2223))</f>
        <v/>
      </c>
      <c r="L2223">
        <f>SUMPRODUCT(Calc!$K$3:$K$22*(Calc!$G$3:$G$22&gt;A2223)*(Calc!$G$3:$G$22-A2223)*Calc!$G$3:$G$22)</f>
        <v/>
      </c>
      <c r="M2223">
        <f>SUMPRODUCT(Calc!$K$3:$K$22*(Calc!$G$3:$G$22&gt;B2223)*(Calc!$G$3:$G$22-B2223)*Calc!$G$3:$G$22)</f>
        <v/>
      </c>
      <c r="N2223">
        <f>SUMPRODUCT(Calc!$K$3:$K$22*(Calc!$G$3:$G$22&gt;A2223)*(Calc!$G$3:$G$22-A2223)*Calc!$I$3:$I$22)</f>
        <v/>
      </c>
      <c r="O2223">
        <f>SUMPRODUCT(Calc!$K$3:$K$22*(Calc!$G$3:$G$22&gt;B2223)*(Calc!$G$3:$G$22-B2223)*Calc!$I$3:$I$22)</f>
        <v/>
      </c>
      <c r="P2223">
        <f>I2223-G2223^2/k_n</f>
        <v/>
      </c>
      <c r="Q2223">
        <f>J2223-H2223^2/k_n</f>
        <v/>
      </c>
      <c r="R2223">
        <f>K2223-G2223*H2223/k_n</f>
        <v/>
      </c>
      <c r="S2223">
        <f>L2223-LTP3!$D$3*G2223/k_n</f>
        <v/>
      </c>
      <c r="T2223">
        <f>M2223-LTP3!$D$3*H2223/k_n</f>
        <v/>
      </c>
      <c r="U2223">
        <f>N2223-G2223*LTP3!$D$4/k_n</f>
        <v/>
      </c>
      <c r="V2223">
        <f>O2223-H2223*LTP3!$D$4/k_n</f>
        <v/>
      </c>
      <c r="W2223">
        <f>((LTP3!$D$5)*((P2223)*(Q2223)-(R2223)*(R2223))-(S2223)*((S2223)*(Q2223)-(R2223)*(T2223))+(T2223)*((S2223)*(R2223)-(P2223)*(T2223)))</f>
        <v/>
      </c>
      <c r="X2223">
        <f>IF(ABS(W2223)&gt;1E-12,((LTP3!$D$6)*((P2223)*(Q2223)-(R2223)*(R2223))-(S2223)*((U2223)*(Q2223)-(R2223)*(V2223))+(T2223)*((U2223)*(R2223)-(P2223)*(V2223)))/W2223,0)</f>
        <v/>
      </c>
      <c r="Y2223">
        <f>IF(ABS(W2223)&gt;1E-12,((LTP3!$D$5)*((U2223)*(Q2223)-(R2223)*(V2223))-(LTP3!$D$6)*((S2223)*(Q2223)-(R2223)*(T2223))+(T2223)*((S2223)*(V2223)-(U2223)*(T2223)))/W2223,0)</f>
        <v/>
      </c>
      <c r="Z2223">
        <f>IF(ABS(W2223)&gt;1E-12,((LTP3!$D$5)*((P2223)*(V2223)-(U2223)*(R2223))-(S2223)*((S2223)*(V2223)-(U2223)*(T2223))+(LTP3!$D$6)*((S2223)*(R2223)-(P2223)*(T2223)))/W2223,0)</f>
        <v/>
      </c>
      <c r="AA2223">
        <f>LTP3!$D$7-X2223*LTP3!$D$6-Y2223*U2223-Z2223*V2223</f>
        <v/>
      </c>
      <c r="AB2223">
        <f>IF(AND(F2223,ABS(W2223)&gt;1E-12,Y2223&gt;0,Z2223&gt;0),AA2223,1E+300)</f>
        <v/>
      </c>
    </row>
    <row r="2224">
      <c r="A2224">
        <f>$B$3+$B$5*36</f>
        <v/>
      </c>
      <c r="B2224">
        <f>$B$3+$B$5*16</f>
        <v/>
      </c>
      <c r="C2224">
        <f>SUMPRODUCT(Calc!$K$3:$K$22*(Calc!$G$3:$G$22&lt;=A2224))</f>
        <v/>
      </c>
      <c r="D2224">
        <f>SUMPRODUCT(Calc!$K$3:$K$22*(Calc!$G$3:$G$22&gt;A2224)*(Calc!$G$3:$G$22&lt;B2224))</f>
        <v/>
      </c>
      <c r="E2224">
        <f>SUMPRODUCT(Calc!$K$3:$K$22*(Calc!$G$3:$G$22&gt;=B2224))</f>
        <v/>
      </c>
      <c r="F2224">
        <f>AND(k_n&gt;=5,B2224&gt;A2224+1E-9,C2224&gt;=2,D2224&gt;=1,E2224&gt;=2)</f>
        <v/>
      </c>
      <c r="G2224">
        <f>SUMPRODUCT(Calc!$K$3:$K$22*(Calc!$G$3:$G$22&gt;A2224)*(Calc!$G$3:$G$22-A2224))</f>
        <v/>
      </c>
      <c r="H2224">
        <f>SUMPRODUCT(Calc!$K$3:$K$22*(Calc!$G$3:$G$22&gt;B2224)*(Calc!$G$3:$G$22-B2224))</f>
        <v/>
      </c>
      <c r="I2224">
        <f>SUMPRODUCT(Calc!$K$3:$K$22*(Calc!$G$3:$G$22&gt;A2224)*(Calc!$G$3:$G$22-A2224)^2)</f>
        <v/>
      </c>
      <c r="J2224">
        <f>SUMPRODUCT(Calc!$K$3:$K$22*(Calc!$G$3:$G$22&gt;B2224)*(Calc!$G$3:$G$22-B2224)^2)</f>
        <v/>
      </c>
      <c r="K2224">
        <f>SUMPRODUCT(Calc!$K$3:$K$22*(Calc!$G$3:$G$22&gt;A2224)*(Calc!$G$3:$G$22-A2224)*(Calc!$G$3:$G$22&gt;B2224)*(Calc!$G$3:$G$22-B2224))</f>
        <v/>
      </c>
      <c r="L2224">
        <f>SUMPRODUCT(Calc!$K$3:$K$22*(Calc!$G$3:$G$22&gt;A2224)*(Calc!$G$3:$G$22-A2224)*Calc!$G$3:$G$22)</f>
        <v/>
      </c>
      <c r="M2224">
        <f>SUMPRODUCT(Calc!$K$3:$K$22*(Calc!$G$3:$G$22&gt;B2224)*(Calc!$G$3:$G$22-B2224)*Calc!$G$3:$G$22)</f>
        <v/>
      </c>
      <c r="N2224">
        <f>SUMPRODUCT(Calc!$K$3:$K$22*(Calc!$G$3:$G$22&gt;A2224)*(Calc!$G$3:$G$22-A2224)*Calc!$I$3:$I$22)</f>
        <v/>
      </c>
      <c r="O2224">
        <f>SUMPRODUCT(Calc!$K$3:$K$22*(Calc!$G$3:$G$22&gt;B2224)*(Calc!$G$3:$G$22-B2224)*Calc!$I$3:$I$22)</f>
        <v/>
      </c>
      <c r="P2224">
        <f>I2224-G2224^2/k_n</f>
        <v/>
      </c>
      <c r="Q2224">
        <f>J2224-H2224^2/k_n</f>
        <v/>
      </c>
      <c r="R2224">
        <f>K2224-G2224*H2224/k_n</f>
        <v/>
      </c>
      <c r="S2224">
        <f>L2224-LTP3!$D$3*G2224/k_n</f>
        <v/>
      </c>
      <c r="T2224">
        <f>M2224-LTP3!$D$3*H2224/k_n</f>
        <v/>
      </c>
      <c r="U2224">
        <f>N2224-G2224*LTP3!$D$4/k_n</f>
        <v/>
      </c>
      <c r="V2224">
        <f>O2224-H2224*LTP3!$D$4/k_n</f>
        <v/>
      </c>
      <c r="W2224">
        <f>((LTP3!$D$5)*((P2224)*(Q2224)-(R2224)*(R2224))-(S2224)*((S2224)*(Q2224)-(R2224)*(T2224))+(T2224)*((S2224)*(R2224)-(P2224)*(T2224)))</f>
        <v/>
      </c>
      <c r="X2224">
        <f>IF(ABS(W2224)&gt;1E-12,((LTP3!$D$6)*((P2224)*(Q2224)-(R2224)*(R2224))-(S2224)*((U2224)*(Q2224)-(R2224)*(V2224))+(T2224)*((U2224)*(R2224)-(P2224)*(V2224)))/W2224,0)</f>
        <v/>
      </c>
      <c r="Y2224">
        <f>IF(ABS(W2224)&gt;1E-12,((LTP3!$D$5)*((U2224)*(Q2224)-(R2224)*(V2224))-(LTP3!$D$6)*((S2224)*(Q2224)-(R2224)*(T2224))+(T2224)*((S2224)*(V2224)-(U2224)*(T2224)))/W2224,0)</f>
        <v/>
      </c>
      <c r="Z2224">
        <f>IF(ABS(W2224)&gt;1E-12,((LTP3!$D$5)*((P2224)*(V2224)-(U2224)*(R2224))-(S2224)*((S2224)*(V2224)-(U2224)*(T2224))+(LTP3!$D$6)*((S2224)*(R2224)-(P2224)*(T2224)))/W2224,0)</f>
        <v/>
      </c>
      <c r="AA2224">
        <f>LTP3!$D$7-X2224*LTP3!$D$6-Y2224*U2224-Z2224*V2224</f>
        <v/>
      </c>
      <c r="AB2224">
        <f>IF(AND(F2224,ABS(W2224)&gt;1E-12,Y2224&gt;0,Z2224&gt;0),AA2224,1E+300)</f>
        <v/>
      </c>
    </row>
    <row r="2225">
      <c r="A2225">
        <f>$B$3+$B$5*36</f>
        <v/>
      </c>
      <c r="B2225">
        <f>$B$3+$B$5*17</f>
        <v/>
      </c>
      <c r="C2225">
        <f>SUMPRODUCT(Calc!$K$3:$K$22*(Calc!$G$3:$G$22&lt;=A2225))</f>
        <v/>
      </c>
      <c r="D2225">
        <f>SUMPRODUCT(Calc!$K$3:$K$22*(Calc!$G$3:$G$22&gt;A2225)*(Calc!$G$3:$G$22&lt;B2225))</f>
        <v/>
      </c>
      <c r="E2225">
        <f>SUMPRODUCT(Calc!$K$3:$K$22*(Calc!$G$3:$G$22&gt;=B2225))</f>
        <v/>
      </c>
      <c r="F2225">
        <f>AND(k_n&gt;=5,B2225&gt;A2225+1E-9,C2225&gt;=2,D2225&gt;=1,E2225&gt;=2)</f>
        <v/>
      </c>
      <c r="G2225">
        <f>SUMPRODUCT(Calc!$K$3:$K$22*(Calc!$G$3:$G$22&gt;A2225)*(Calc!$G$3:$G$22-A2225))</f>
        <v/>
      </c>
      <c r="H2225">
        <f>SUMPRODUCT(Calc!$K$3:$K$22*(Calc!$G$3:$G$22&gt;B2225)*(Calc!$G$3:$G$22-B2225))</f>
        <v/>
      </c>
      <c r="I2225">
        <f>SUMPRODUCT(Calc!$K$3:$K$22*(Calc!$G$3:$G$22&gt;A2225)*(Calc!$G$3:$G$22-A2225)^2)</f>
        <v/>
      </c>
      <c r="J2225">
        <f>SUMPRODUCT(Calc!$K$3:$K$22*(Calc!$G$3:$G$22&gt;B2225)*(Calc!$G$3:$G$22-B2225)^2)</f>
        <v/>
      </c>
      <c r="K2225">
        <f>SUMPRODUCT(Calc!$K$3:$K$22*(Calc!$G$3:$G$22&gt;A2225)*(Calc!$G$3:$G$22-A2225)*(Calc!$G$3:$G$22&gt;B2225)*(Calc!$G$3:$G$22-B2225))</f>
        <v/>
      </c>
      <c r="L2225">
        <f>SUMPRODUCT(Calc!$K$3:$K$22*(Calc!$G$3:$G$22&gt;A2225)*(Calc!$G$3:$G$22-A2225)*Calc!$G$3:$G$22)</f>
        <v/>
      </c>
      <c r="M2225">
        <f>SUMPRODUCT(Calc!$K$3:$K$22*(Calc!$G$3:$G$22&gt;B2225)*(Calc!$G$3:$G$22-B2225)*Calc!$G$3:$G$22)</f>
        <v/>
      </c>
      <c r="N2225">
        <f>SUMPRODUCT(Calc!$K$3:$K$22*(Calc!$G$3:$G$22&gt;A2225)*(Calc!$G$3:$G$22-A2225)*Calc!$I$3:$I$22)</f>
        <v/>
      </c>
      <c r="O2225">
        <f>SUMPRODUCT(Calc!$K$3:$K$22*(Calc!$G$3:$G$22&gt;B2225)*(Calc!$G$3:$G$22-B2225)*Calc!$I$3:$I$22)</f>
        <v/>
      </c>
      <c r="P2225">
        <f>I2225-G2225^2/k_n</f>
        <v/>
      </c>
      <c r="Q2225">
        <f>J2225-H2225^2/k_n</f>
        <v/>
      </c>
      <c r="R2225">
        <f>K2225-G2225*H2225/k_n</f>
        <v/>
      </c>
      <c r="S2225">
        <f>L2225-LTP3!$D$3*G2225/k_n</f>
        <v/>
      </c>
      <c r="T2225">
        <f>M2225-LTP3!$D$3*H2225/k_n</f>
        <v/>
      </c>
      <c r="U2225">
        <f>N2225-G2225*LTP3!$D$4/k_n</f>
        <v/>
      </c>
      <c r="V2225">
        <f>O2225-H2225*LTP3!$D$4/k_n</f>
        <v/>
      </c>
      <c r="W2225">
        <f>((LTP3!$D$5)*((P2225)*(Q2225)-(R2225)*(R2225))-(S2225)*((S2225)*(Q2225)-(R2225)*(T2225))+(T2225)*((S2225)*(R2225)-(P2225)*(T2225)))</f>
        <v/>
      </c>
      <c r="X2225">
        <f>IF(ABS(W2225)&gt;1E-12,((LTP3!$D$6)*((P2225)*(Q2225)-(R2225)*(R2225))-(S2225)*((U2225)*(Q2225)-(R2225)*(V2225))+(T2225)*((U2225)*(R2225)-(P2225)*(V2225)))/W2225,0)</f>
        <v/>
      </c>
      <c r="Y2225">
        <f>IF(ABS(W2225)&gt;1E-12,((LTP3!$D$5)*((U2225)*(Q2225)-(R2225)*(V2225))-(LTP3!$D$6)*((S2225)*(Q2225)-(R2225)*(T2225))+(T2225)*((S2225)*(V2225)-(U2225)*(T2225)))/W2225,0)</f>
        <v/>
      </c>
      <c r="Z2225">
        <f>IF(ABS(W2225)&gt;1E-12,((LTP3!$D$5)*((P2225)*(V2225)-(U2225)*(R2225))-(S2225)*((S2225)*(V2225)-(U2225)*(T2225))+(LTP3!$D$6)*((S2225)*(R2225)-(P2225)*(T2225)))/W2225,0)</f>
        <v/>
      </c>
      <c r="AA2225">
        <f>LTP3!$D$7-X2225*LTP3!$D$6-Y2225*U2225-Z2225*V2225</f>
        <v/>
      </c>
      <c r="AB2225">
        <f>IF(AND(F2225,ABS(W2225)&gt;1E-12,Y2225&gt;0,Z2225&gt;0),AA2225,1E+300)</f>
        <v/>
      </c>
    </row>
    <row r="2226">
      <c r="A2226">
        <f>$B$3+$B$5*36</f>
        <v/>
      </c>
      <c r="B2226">
        <f>$B$3+$B$5*18</f>
        <v/>
      </c>
      <c r="C2226">
        <f>SUMPRODUCT(Calc!$K$3:$K$22*(Calc!$G$3:$G$22&lt;=A2226))</f>
        <v/>
      </c>
      <c r="D2226">
        <f>SUMPRODUCT(Calc!$K$3:$K$22*(Calc!$G$3:$G$22&gt;A2226)*(Calc!$G$3:$G$22&lt;B2226))</f>
        <v/>
      </c>
      <c r="E2226">
        <f>SUMPRODUCT(Calc!$K$3:$K$22*(Calc!$G$3:$G$22&gt;=B2226))</f>
        <v/>
      </c>
      <c r="F2226">
        <f>AND(k_n&gt;=5,B2226&gt;A2226+1E-9,C2226&gt;=2,D2226&gt;=1,E2226&gt;=2)</f>
        <v/>
      </c>
      <c r="G2226">
        <f>SUMPRODUCT(Calc!$K$3:$K$22*(Calc!$G$3:$G$22&gt;A2226)*(Calc!$G$3:$G$22-A2226))</f>
        <v/>
      </c>
      <c r="H2226">
        <f>SUMPRODUCT(Calc!$K$3:$K$22*(Calc!$G$3:$G$22&gt;B2226)*(Calc!$G$3:$G$22-B2226))</f>
        <v/>
      </c>
      <c r="I2226">
        <f>SUMPRODUCT(Calc!$K$3:$K$22*(Calc!$G$3:$G$22&gt;A2226)*(Calc!$G$3:$G$22-A2226)^2)</f>
        <v/>
      </c>
      <c r="J2226">
        <f>SUMPRODUCT(Calc!$K$3:$K$22*(Calc!$G$3:$G$22&gt;B2226)*(Calc!$G$3:$G$22-B2226)^2)</f>
        <v/>
      </c>
      <c r="K2226">
        <f>SUMPRODUCT(Calc!$K$3:$K$22*(Calc!$G$3:$G$22&gt;A2226)*(Calc!$G$3:$G$22-A2226)*(Calc!$G$3:$G$22&gt;B2226)*(Calc!$G$3:$G$22-B2226))</f>
        <v/>
      </c>
      <c r="L2226">
        <f>SUMPRODUCT(Calc!$K$3:$K$22*(Calc!$G$3:$G$22&gt;A2226)*(Calc!$G$3:$G$22-A2226)*Calc!$G$3:$G$22)</f>
        <v/>
      </c>
      <c r="M2226">
        <f>SUMPRODUCT(Calc!$K$3:$K$22*(Calc!$G$3:$G$22&gt;B2226)*(Calc!$G$3:$G$22-B2226)*Calc!$G$3:$G$22)</f>
        <v/>
      </c>
      <c r="N2226">
        <f>SUMPRODUCT(Calc!$K$3:$K$22*(Calc!$G$3:$G$22&gt;A2226)*(Calc!$G$3:$G$22-A2226)*Calc!$I$3:$I$22)</f>
        <v/>
      </c>
      <c r="O2226">
        <f>SUMPRODUCT(Calc!$K$3:$K$22*(Calc!$G$3:$G$22&gt;B2226)*(Calc!$G$3:$G$22-B2226)*Calc!$I$3:$I$22)</f>
        <v/>
      </c>
      <c r="P2226">
        <f>I2226-G2226^2/k_n</f>
        <v/>
      </c>
      <c r="Q2226">
        <f>J2226-H2226^2/k_n</f>
        <v/>
      </c>
      <c r="R2226">
        <f>K2226-G2226*H2226/k_n</f>
        <v/>
      </c>
      <c r="S2226">
        <f>L2226-LTP3!$D$3*G2226/k_n</f>
        <v/>
      </c>
      <c r="T2226">
        <f>M2226-LTP3!$D$3*H2226/k_n</f>
        <v/>
      </c>
      <c r="U2226">
        <f>N2226-G2226*LTP3!$D$4/k_n</f>
        <v/>
      </c>
      <c r="V2226">
        <f>O2226-H2226*LTP3!$D$4/k_n</f>
        <v/>
      </c>
      <c r="W2226">
        <f>((LTP3!$D$5)*((P2226)*(Q2226)-(R2226)*(R2226))-(S2226)*((S2226)*(Q2226)-(R2226)*(T2226))+(T2226)*((S2226)*(R2226)-(P2226)*(T2226)))</f>
        <v/>
      </c>
      <c r="X2226">
        <f>IF(ABS(W2226)&gt;1E-12,((LTP3!$D$6)*((P2226)*(Q2226)-(R2226)*(R2226))-(S2226)*((U2226)*(Q2226)-(R2226)*(V2226))+(T2226)*((U2226)*(R2226)-(P2226)*(V2226)))/W2226,0)</f>
        <v/>
      </c>
      <c r="Y2226">
        <f>IF(ABS(W2226)&gt;1E-12,((LTP3!$D$5)*((U2226)*(Q2226)-(R2226)*(V2226))-(LTP3!$D$6)*((S2226)*(Q2226)-(R2226)*(T2226))+(T2226)*((S2226)*(V2226)-(U2226)*(T2226)))/W2226,0)</f>
        <v/>
      </c>
      <c r="Z2226">
        <f>IF(ABS(W2226)&gt;1E-12,((LTP3!$D$5)*((P2226)*(V2226)-(U2226)*(R2226))-(S2226)*((S2226)*(V2226)-(U2226)*(T2226))+(LTP3!$D$6)*((S2226)*(R2226)-(P2226)*(T2226)))/W2226,0)</f>
        <v/>
      </c>
      <c r="AA2226">
        <f>LTP3!$D$7-X2226*LTP3!$D$6-Y2226*U2226-Z2226*V2226</f>
        <v/>
      </c>
      <c r="AB2226">
        <f>IF(AND(F2226,ABS(W2226)&gt;1E-12,Y2226&gt;0,Z2226&gt;0),AA2226,1E+300)</f>
        <v/>
      </c>
    </row>
    <row r="2227">
      <c r="A2227">
        <f>$B$3+$B$5*36</f>
        <v/>
      </c>
      <c r="B2227">
        <f>$B$3+$B$5*19</f>
        <v/>
      </c>
      <c r="C2227">
        <f>SUMPRODUCT(Calc!$K$3:$K$22*(Calc!$G$3:$G$22&lt;=A2227))</f>
        <v/>
      </c>
      <c r="D2227">
        <f>SUMPRODUCT(Calc!$K$3:$K$22*(Calc!$G$3:$G$22&gt;A2227)*(Calc!$G$3:$G$22&lt;B2227))</f>
        <v/>
      </c>
      <c r="E2227">
        <f>SUMPRODUCT(Calc!$K$3:$K$22*(Calc!$G$3:$G$22&gt;=B2227))</f>
        <v/>
      </c>
      <c r="F2227">
        <f>AND(k_n&gt;=5,B2227&gt;A2227+1E-9,C2227&gt;=2,D2227&gt;=1,E2227&gt;=2)</f>
        <v/>
      </c>
      <c r="G2227">
        <f>SUMPRODUCT(Calc!$K$3:$K$22*(Calc!$G$3:$G$22&gt;A2227)*(Calc!$G$3:$G$22-A2227))</f>
        <v/>
      </c>
      <c r="H2227">
        <f>SUMPRODUCT(Calc!$K$3:$K$22*(Calc!$G$3:$G$22&gt;B2227)*(Calc!$G$3:$G$22-B2227))</f>
        <v/>
      </c>
      <c r="I2227">
        <f>SUMPRODUCT(Calc!$K$3:$K$22*(Calc!$G$3:$G$22&gt;A2227)*(Calc!$G$3:$G$22-A2227)^2)</f>
        <v/>
      </c>
      <c r="J2227">
        <f>SUMPRODUCT(Calc!$K$3:$K$22*(Calc!$G$3:$G$22&gt;B2227)*(Calc!$G$3:$G$22-B2227)^2)</f>
        <v/>
      </c>
      <c r="K2227">
        <f>SUMPRODUCT(Calc!$K$3:$K$22*(Calc!$G$3:$G$22&gt;A2227)*(Calc!$G$3:$G$22-A2227)*(Calc!$G$3:$G$22&gt;B2227)*(Calc!$G$3:$G$22-B2227))</f>
        <v/>
      </c>
      <c r="L2227">
        <f>SUMPRODUCT(Calc!$K$3:$K$22*(Calc!$G$3:$G$22&gt;A2227)*(Calc!$G$3:$G$22-A2227)*Calc!$G$3:$G$22)</f>
        <v/>
      </c>
      <c r="M2227">
        <f>SUMPRODUCT(Calc!$K$3:$K$22*(Calc!$G$3:$G$22&gt;B2227)*(Calc!$G$3:$G$22-B2227)*Calc!$G$3:$G$22)</f>
        <v/>
      </c>
      <c r="N2227">
        <f>SUMPRODUCT(Calc!$K$3:$K$22*(Calc!$G$3:$G$22&gt;A2227)*(Calc!$G$3:$G$22-A2227)*Calc!$I$3:$I$22)</f>
        <v/>
      </c>
      <c r="O2227">
        <f>SUMPRODUCT(Calc!$K$3:$K$22*(Calc!$G$3:$G$22&gt;B2227)*(Calc!$G$3:$G$22-B2227)*Calc!$I$3:$I$22)</f>
        <v/>
      </c>
      <c r="P2227">
        <f>I2227-G2227^2/k_n</f>
        <v/>
      </c>
      <c r="Q2227">
        <f>J2227-H2227^2/k_n</f>
        <v/>
      </c>
      <c r="R2227">
        <f>K2227-G2227*H2227/k_n</f>
        <v/>
      </c>
      <c r="S2227">
        <f>L2227-LTP3!$D$3*G2227/k_n</f>
        <v/>
      </c>
      <c r="T2227">
        <f>M2227-LTP3!$D$3*H2227/k_n</f>
        <v/>
      </c>
      <c r="U2227">
        <f>N2227-G2227*LTP3!$D$4/k_n</f>
        <v/>
      </c>
      <c r="V2227">
        <f>O2227-H2227*LTP3!$D$4/k_n</f>
        <v/>
      </c>
      <c r="W2227">
        <f>((LTP3!$D$5)*((P2227)*(Q2227)-(R2227)*(R2227))-(S2227)*((S2227)*(Q2227)-(R2227)*(T2227))+(T2227)*((S2227)*(R2227)-(P2227)*(T2227)))</f>
        <v/>
      </c>
      <c r="X2227">
        <f>IF(ABS(W2227)&gt;1E-12,((LTP3!$D$6)*((P2227)*(Q2227)-(R2227)*(R2227))-(S2227)*((U2227)*(Q2227)-(R2227)*(V2227))+(T2227)*((U2227)*(R2227)-(P2227)*(V2227)))/W2227,0)</f>
        <v/>
      </c>
      <c r="Y2227">
        <f>IF(ABS(W2227)&gt;1E-12,((LTP3!$D$5)*((U2227)*(Q2227)-(R2227)*(V2227))-(LTP3!$D$6)*((S2227)*(Q2227)-(R2227)*(T2227))+(T2227)*((S2227)*(V2227)-(U2227)*(T2227)))/W2227,0)</f>
        <v/>
      </c>
      <c r="Z2227">
        <f>IF(ABS(W2227)&gt;1E-12,((LTP3!$D$5)*((P2227)*(V2227)-(U2227)*(R2227))-(S2227)*((S2227)*(V2227)-(U2227)*(T2227))+(LTP3!$D$6)*((S2227)*(R2227)-(P2227)*(T2227)))/W2227,0)</f>
        <v/>
      </c>
      <c r="AA2227">
        <f>LTP3!$D$7-X2227*LTP3!$D$6-Y2227*U2227-Z2227*V2227</f>
        <v/>
      </c>
      <c r="AB2227">
        <f>IF(AND(F2227,ABS(W2227)&gt;1E-12,Y2227&gt;0,Z2227&gt;0),AA2227,1E+300)</f>
        <v/>
      </c>
    </row>
    <row r="2228">
      <c r="A2228">
        <f>$B$3+$B$5*36</f>
        <v/>
      </c>
      <c r="B2228">
        <f>$B$3+$B$5*20</f>
        <v/>
      </c>
      <c r="C2228">
        <f>SUMPRODUCT(Calc!$K$3:$K$22*(Calc!$G$3:$G$22&lt;=A2228))</f>
        <v/>
      </c>
      <c r="D2228">
        <f>SUMPRODUCT(Calc!$K$3:$K$22*(Calc!$G$3:$G$22&gt;A2228)*(Calc!$G$3:$G$22&lt;B2228))</f>
        <v/>
      </c>
      <c r="E2228">
        <f>SUMPRODUCT(Calc!$K$3:$K$22*(Calc!$G$3:$G$22&gt;=B2228))</f>
        <v/>
      </c>
      <c r="F2228">
        <f>AND(k_n&gt;=5,B2228&gt;A2228+1E-9,C2228&gt;=2,D2228&gt;=1,E2228&gt;=2)</f>
        <v/>
      </c>
      <c r="G2228">
        <f>SUMPRODUCT(Calc!$K$3:$K$22*(Calc!$G$3:$G$22&gt;A2228)*(Calc!$G$3:$G$22-A2228))</f>
        <v/>
      </c>
      <c r="H2228">
        <f>SUMPRODUCT(Calc!$K$3:$K$22*(Calc!$G$3:$G$22&gt;B2228)*(Calc!$G$3:$G$22-B2228))</f>
        <v/>
      </c>
      <c r="I2228">
        <f>SUMPRODUCT(Calc!$K$3:$K$22*(Calc!$G$3:$G$22&gt;A2228)*(Calc!$G$3:$G$22-A2228)^2)</f>
        <v/>
      </c>
      <c r="J2228">
        <f>SUMPRODUCT(Calc!$K$3:$K$22*(Calc!$G$3:$G$22&gt;B2228)*(Calc!$G$3:$G$22-B2228)^2)</f>
        <v/>
      </c>
      <c r="K2228">
        <f>SUMPRODUCT(Calc!$K$3:$K$22*(Calc!$G$3:$G$22&gt;A2228)*(Calc!$G$3:$G$22-A2228)*(Calc!$G$3:$G$22&gt;B2228)*(Calc!$G$3:$G$22-B2228))</f>
        <v/>
      </c>
      <c r="L2228">
        <f>SUMPRODUCT(Calc!$K$3:$K$22*(Calc!$G$3:$G$22&gt;A2228)*(Calc!$G$3:$G$22-A2228)*Calc!$G$3:$G$22)</f>
        <v/>
      </c>
      <c r="M2228">
        <f>SUMPRODUCT(Calc!$K$3:$K$22*(Calc!$G$3:$G$22&gt;B2228)*(Calc!$G$3:$G$22-B2228)*Calc!$G$3:$G$22)</f>
        <v/>
      </c>
      <c r="N2228">
        <f>SUMPRODUCT(Calc!$K$3:$K$22*(Calc!$G$3:$G$22&gt;A2228)*(Calc!$G$3:$G$22-A2228)*Calc!$I$3:$I$22)</f>
        <v/>
      </c>
      <c r="O2228">
        <f>SUMPRODUCT(Calc!$K$3:$K$22*(Calc!$G$3:$G$22&gt;B2228)*(Calc!$G$3:$G$22-B2228)*Calc!$I$3:$I$22)</f>
        <v/>
      </c>
      <c r="P2228">
        <f>I2228-G2228^2/k_n</f>
        <v/>
      </c>
      <c r="Q2228">
        <f>J2228-H2228^2/k_n</f>
        <v/>
      </c>
      <c r="R2228">
        <f>K2228-G2228*H2228/k_n</f>
        <v/>
      </c>
      <c r="S2228">
        <f>L2228-LTP3!$D$3*G2228/k_n</f>
        <v/>
      </c>
      <c r="T2228">
        <f>M2228-LTP3!$D$3*H2228/k_n</f>
        <v/>
      </c>
      <c r="U2228">
        <f>N2228-G2228*LTP3!$D$4/k_n</f>
        <v/>
      </c>
      <c r="V2228">
        <f>O2228-H2228*LTP3!$D$4/k_n</f>
        <v/>
      </c>
      <c r="W2228">
        <f>((LTP3!$D$5)*((P2228)*(Q2228)-(R2228)*(R2228))-(S2228)*((S2228)*(Q2228)-(R2228)*(T2228))+(T2228)*((S2228)*(R2228)-(P2228)*(T2228)))</f>
        <v/>
      </c>
      <c r="X2228">
        <f>IF(ABS(W2228)&gt;1E-12,((LTP3!$D$6)*((P2228)*(Q2228)-(R2228)*(R2228))-(S2228)*((U2228)*(Q2228)-(R2228)*(V2228))+(T2228)*((U2228)*(R2228)-(P2228)*(V2228)))/W2228,0)</f>
        <v/>
      </c>
      <c r="Y2228">
        <f>IF(ABS(W2228)&gt;1E-12,((LTP3!$D$5)*((U2228)*(Q2228)-(R2228)*(V2228))-(LTP3!$D$6)*((S2228)*(Q2228)-(R2228)*(T2228))+(T2228)*((S2228)*(V2228)-(U2228)*(T2228)))/W2228,0)</f>
        <v/>
      </c>
      <c r="Z2228">
        <f>IF(ABS(W2228)&gt;1E-12,((LTP3!$D$5)*((P2228)*(V2228)-(U2228)*(R2228))-(S2228)*((S2228)*(V2228)-(U2228)*(T2228))+(LTP3!$D$6)*((S2228)*(R2228)-(P2228)*(T2228)))/W2228,0)</f>
        <v/>
      </c>
      <c r="AA2228">
        <f>LTP3!$D$7-X2228*LTP3!$D$6-Y2228*U2228-Z2228*V2228</f>
        <v/>
      </c>
      <c r="AB2228">
        <f>IF(AND(F2228,ABS(W2228)&gt;1E-12,Y2228&gt;0,Z2228&gt;0),AA2228,1E+300)</f>
        <v/>
      </c>
    </row>
    <row r="2229">
      <c r="A2229">
        <f>$B$3+$B$5*36</f>
        <v/>
      </c>
      <c r="B2229">
        <f>$B$3+$B$5*21</f>
        <v/>
      </c>
      <c r="C2229">
        <f>SUMPRODUCT(Calc!$K$3:$K$22*(Calc!$G$3:$G$22&lt;=A2229))</f>
        <v/>
      </c>
      <c r="D2229">
        <f>SUMPRODUCT(Calc!$K$3:$K$22*(Calc!$G$3:$G$22&gt;A2229)*(Calc!$G$3:$G$22&lt;B2229))</f>
        <v/>
      </c>
      <c r="E2229">
        <f>SUMPRODUCT(Calc!$K$3:$K$22*(Calc!$G$3:$G$22&gt;=B2229))</f>
        <v/>
      </c>
      <c r="F2229">
        <f>AND(k_n&gt;=5,B2229&gt;A2229+1E-9,C2229&gt;=2,D2229&gt;=1,E2229&gt;=2)</f>
        <v/>
      </c>
      <c r="G2229">
        <f>SUMPRODUCT(Calc!$K$3:$K$22*(Calc!$G$3:$G$22&gt;A2229)*(Calc!$G$3:$G$22-A2229))</f>
        <v/>
      </c>
      <c r="H2229">
        <f>SUMPRODUCT(Calc!$K$3:$K$22*(Calc!$G$3:$G$22&gt;B2229)*(Calc!$G$3:$G$22-B2229))</f>
        <v/>
      </c>
      <c r="I2229">
        <f>SUMPRODUCT(Calc!$K$3:$K$22*(Calc!$G$3:$G$22&gt;A2229)*(Calc!$G$3:$G$22-A2229)^2)</f>
        <v/>
      </c>
      <c r="J2229">
        <f>SUMPRODUCT(Calc!$K$3:$K$22*(Calc!$G$3:$G$22&gt;B2229)*(Calc!$G$3:$G$22-B2229)^2)</f>
        <v/>
      </c>
      <c r="K2229">
        <f>SUMPRODUCT(Calc!$K$3:$K$22*(Calc!$G$3:$G$22&gt;A2229)*(Calc!$G$3:$G$22-A2229)*(Calc!$G$3:$G$22&gt;B2229)*(Calc!$G$3:$G$22-B2229))</f>
        <v/>
      </c>
      <c r="L2229">
        <f>SUMPRODUCT(Calc!$K$3:$K$22*(Calc!$G$3:$G$22&gt;A2229)*(Calc!$G$3:$G$22-A2229)*Calc!$G$3:$G$22)</f>
        <v/>
      </c>
      <c r="M2229">
        <f>SUMPRODUCT(Calc!$K$3:$K$22*(Calc!$G$3:$G$22&gt;B2229)*(Calc!$G$3:$G$22-B2229)*Calc!$G$3:$G$22)</f>
        <v/>
      </c>
      <c r="N2229">
        <f>SUMPRODUCT(Calc!$K$3:$K$22*(Calc!$G$3:$G$22&gt;A2229)*(Calc!$G$3:$G$22-A2229)*Calc!$I$3:$I$22)</f>
        <v/>
      </c>
      <c r="O2229">
        <f>SUMPRODUCT(Calc!$K$3:$K$22*(Calc!$G$3:$G$22&gt;B2229)*(Calc!$G$3:$G$22-B2229)*Calc!$I$3:$I$22)</f>
        <v/>
      </c>
      <c r="P2229">
        <f>I2229-G2229^2/k_n</f>
        <v/>
      </c>
      <c r="Q2229">
        <f>J2229-H2229^2/k_n</f>
        <v/>
      </c>
      <c r="R2229">
        <f>K2229-G2229*H2229/k_n</f>
        <v/>
      </c>
      <c r="S2229">
        <f>L2229-LTP3!$D$3*G2229/k_n</f>
        <v/>
      </c>
      <c r="T2229">
        <f>M2229-LTP3!$D$3*H2229/k_n</f>
        <v/>
      </c>
      <c r="U2229">
        <f>N2229-G2229*LTP3!$D$4/k_n</f>
        <v/>
      </c>
      <c r="V2229">
        <f>O2229-H2229*LTP3!$D$4/k_n</f>
        <v/>
      </c>
      <c r="W2229">
        <f>((LTP3!$D$5)*((P2229)*(Q2229)-(R2229)*(R2229))-(S2229)*((S2229)*(Q2229)-(R2229)*(T2229))+(T2229)*((S2229)*(R2229)-(P2229)*(T2229)))</f>
        <v/>
      </c>
      <c r="X2229">
        <f>IF(ABS(W2229)&gt;1E-12,((LTP3!$D$6)*((P2229)*(Q2229)-(R2229)*(R2229))-(S2229)*((U2229)*(Q2229)-(R2229)*(V2229))+(T2229)*((U2229)*(R2229)-(P2229)*(V2229)))/W2229,0)</f>
        <v/>
      </c>
      <c r="Y2229">
        <f>IF(ABS(W2229)&gt;1E-12,((LTP3!$D$5)*((U2229)*(Q2229)-(R2229)*(V2229))-(LTP3!$D$6)*((S2229)*(Q2229)-(R2229)*(T2229))+(T2229)*((S2229)*(V2229)-(U2229)*(T2229)))/W2229,0)</f>
        <v/>
      </c>
      <c r="Z2229">
        <f>IF(ABS(W2229)&gt;1E-12,((LTP3!$D$5)*((P2229)*(V2229)-(U2229)*(R2229))-(S2229)*((S2229)*(V2229)-(U2229)*(T2229))+(LTP3!$D$6)*((S2229)*(R2229)-(P2229)*(T2229)))/W2229,0)</f>
        <v/>
      </c>
      <c r="AA2229">
        <f>LTP3!$D$7-X2229*LTP3!$D$6-Y2229*U2229-Z2229*V2229</f>
        <v/>
      </c>
      <c r="AB2229">
        <f>IF(AND(F2229,ABS(W2229)&gt;1E-12,Y2229&gt;0,Z2229&gt;0),AA2229,1E+300)</f>
        <v/>
      </c>
    </row>
    <row r="2230">
      <c r="A2230">
        <f>$B$3+$B$5*36</f>
        <v/>
      </c>
      <c r="B2230">
        <f>$B$3+$B$5*22</f>
        <v/>
      </c>
      <c r="C2230">
        <f>SUMPRODUCT(Calc!$K$3:$K$22*(Calc!$G$3:$G$22&lt;=A2230))</f>
        <v/>
      </c>
      <c r="D2230">
        <f>SUMPRODUCT(Calc!$K$3:$K$22*(Calc!$G$3:$G$22&gt;A2230)*(Calc!$G$3:$G$22&lt;B2230))</f>
        <v/>
      </c>
      <c r="E2230">
        <f>SUMPRODUCT(Calc!$K$3:$K$22*(Calc!$G$3:$G$22&gt;=B2230))</f>
        <v/>
      </c>
      <c r="F2230">
        <f>AND(k_n&gt;=5,B2230&gt;A2230+1E-9,C2230&gt;=2,D2230&gt;=1,E2230&gt;=2)</f>
        <v/>
      </c>
      <c r="G2230">
        <f>SUMPRODUCT(Calc!$K$3:$K$22*(Calc!$G$3:$G$22&gt;A2230)*(Calc!$G$3:$G$22-A2230))</f>
        <v/>
      </c>
      <c r="H2230">
        <f>SUMPRODUCT(Calc!$K$3:$K$22*(Calc!$G$3:$G$22&gt;B2230)*(Calc!$G$3:$G$22-B2230))</f>
        <v/>
      </c>
      <c r="I2230">
        <f>SUMPRODUCT(Calc!$K$3:$K$22*(Calc!$G$3:$G$22&gt;A2230)*(Calc!$G$3:$G$22-A2230)^2)</f>
        <v/>
      </c>
      <c r="J2230">
        <f>SUMPRODUCT(Calc!$K$3:$K$22*(Calc!$G$3:$G$22&gt;B2230)*(Calc!$G$3:$G$22-B2230)^2)</f>
        <v/>
      </c>
      <c r="K2230">
        <f>SUMPRODUCT(Calc!$K$3:$K$22*(Calc!$G$3:$G$22&gt;A2230)*(Calc!$G$3:$G$22-A2230)*(Calc!$G$3:$G$22&gt;B2230)*(Calc!$G$3:$G$22-B2230))</f>
        <v/>
      </c>
      <c r="L2230">
        <f>SUMPRODUCT(Calc!$K$3:$K$22*(Calc!$G$3:$G$22&gt;A2230)*(Calc!$G$3:$G$22-A2230)*Calc!$G$3:$G$22)</f>
        <v/>
      </c>
      <c r="M2230">
        <f>SUMPRODUCT(Calc!$K$3:$K$22*(Calc!$G$3:$G$22&gt;B2230)*(Calc!$G$3:$G$22-B2230)*Calc!$G$3:$G$22)</f>
        <v/>
      </c>
      <c r="N2230">
        <f>SUMPRODUCT(Calc!$K$3:$K$22*(Calc!$G$3:$G$22&gt;A2230)*(Calc!$G$3:$G$22-A2230)*Calc!$I$3:$I$22)</f>
        <v/>
      </c>
      <c r="O2230">
        <f>SUMPRODUCT(Calc!$K$3:$K$22*(Calc!$G$3:$G$22&gt;B2230)*(Calc!$G$3:$G$22-B2230)*Calc!$I$3:$I$22)</f>
        <v/>
      </c>
      <c r="P2230">
        <f>I2230-G2230^2/k_n</f>
        <v/>
      </c>
      <c r="Q2230">
        <f>J2230-H2230^2/k_n</f>
        <v/>
      </c>
      <c r="R2230">
        <f>K2230-G2230*H2230/k_n</f>
        <v/>
      </c>
      <c r="S2230">
        <f>L2230-LTP3!$D$3*G2230/k_n</f>
        <v/>
      </c>
      <c r="T2230">
        <f>M2230-LTP3!$D$3*H2230/k_n</f>
        <v/>
      </c>
      <c r="U2230">
        <f>N2230-G2230*LTP3!$D$4/k_n</f>
        <v/>
      </c>
      <c r="V2230">
        <f>O2230-H2230*LTP3!$D$4/k_n</f>
        <v/>
      </c>
      <c r="W2230">
        <f>((LTP3!$D$5)*((P2230)*(Q2230)-(R2230)*(R2230))-(S2230)*((S2230)*(Q2230)-(R2230)*(T2230))+(T2230)*((S2230)*(R2230)-(P2230)*(T2230)))</f>
        <v/>
      </c>
      <c r="X2230">
        <f>IF(ABS(W2230)&gt;1E-12,((LTP3!$D$6)*((P2230)*(Q2230)-(R2230)*(R2230))-(S2230)*((U2230)*(Q2230)-(R2230)*(V2230))+(T2230)*((U2230)*(R2230)-(P2230)*(V2230)))/W2230,0)</f>
        <v/>
      </c>
      <c r="Y2230">
        <f>IF(ABS(W2230)&gt;1E-12,((LTP3!$D$5)*((U2230)*(Q2230)-(R2230)*(V2230))-(LTP3!$D$6)*((S2230)*(Q2230)-(R2230)*(T2230))+(T2230)*((S2230)*(V2230)-(U2230)*(T2230)))/W2230,0)</f>
        <v/>
      </c>
      <c r="Z2230">
        <f>IF(ABS(W2230)&gt;1E-12,((LTP3!$D$5)*((P2230)*(V2230)-(U2230)*(R2230))-(S2230)*((S2230)*(V2230)-(U2230)*(T2230))+(LTP3!$D$6)*((S2230)*(R2230)-(P2230)*(T2230)))/W2230,0)</f>
        <v/>
      </c>
      <c r="AA2230">
        <f>LTP3!$D$7-X2230*LTP3!$D$6-Y2230*U2230-Z2230*V2230</f>
        <v/>
      </c>
      <c r="AB2230">
        <f>IF(AND(F2230,ABS(W2230)&gt;1E-12,Y2230&gt;0,Z2230&gt;0),AA2230,1E+300)</f>
        <v/>
      </c>
    </row>
    <row r="2231">
      <c r="A2231">
        <f>$B$3+$B$5*36</f>
        <v/>
      </c>
      <c r="B2231">
        <f>$B$3+$B$5*23</f>
        <v/>
      </c>
      <c r="C2231">
        <f>SUMPRODUCT(Calc!$K$3:$K$22*(Calc!$G$3:$G$22&lt;=A2231))</f>
        <v/>
      </c>
      <c r="D2231">
        <f>SUMPRODUCT(Calc!$K$3:$K$22*(Calc!$G$3:$G$22&gt;A2231)*(Calc!$G$3:$G$22&lt;B2231))</f>
        <v/>
      </c>
      <c r="E2231">
        <f>SUMPRODUCT(Calc!$K$3:$K$22*(Calc!$G$3:$G$22&gt;=B2231))</f>
        <v/>
      </c>
      <c r="F2231">
        <f>AND(k_n&gt;=5,B2231&gt;A2231+1E-9,C2231&gt;=2,D2231&gt;=1,E2231&gt;=2)</f>
        <v/>
      </c>
      <c r="G2231">
        <f>SUMPRODUCT(Calc!$K$3:$K$22*(Calc!$G$3:$G$22&gt;A2231)*(Calc!$G$3:$G$22-A2231))</f>
        <v/>
      </c>
      <c r="H2231">
        <f>SUMPRODUCT(Calc!$K$3:$K$22*(Calc!$G$3:$G$22&gt;B2231)*(Calc!$G$3:$G$22-B2231))</f>
        <v/>
      </c>
      <c r="I2231">
        <f>SUMPRODUCT(Calc!$K$3:$K$22*(Calc!$G$3:$G$22&gt;A2231)*(Calc!$G$3:$G$22-A2231)^2)</f>
        <v/>
      </c>
      <c r="J2231">
        <f>SUMPRODUCT(Calc!$K$3:$K$22*(Calc!$G$3:$G$22&gt;B2231)*(Calc!$G$3:$G$22-B2231)^2)</f>
        <v/>
      </c>
      <c r="K2231">
        <f>SUMPRODUCT(Calc!$K$3:$K$22*(Calc!$G$3:$G$22&gt;A2231)*(Calc!$G$3:$G$22-A2231)*(Calc!$G$3:$G$22&gt;B2231)*(Calc!$G$3:$G$22-B2231))</f>
        <v/>
      </c>
      <c r="L2231">
        <f>SUMPRODUCT(Calc!$K$3:$K$22*(Calc!$G$3:$G$22&gt;A2231)*(Calc!$G$3:$G$22-A2231)*Calc!$G$3:$G$22)</f>
        <v/>
      </c>
      <c r="M2231">
        <f>SUMPRODUCT(Calc!$K$3:$K$22*(Calc!$G$3:$G$22&gt;B2231)*(Calc!$G$3:$G$22-B2231)*Calc!$G$3:$G$22)</f>
        <v/>
      </c>
      <c r="N2231">
        <f>SUMPRODUCT(Calc!$K$3:$K$22*(Calc!$G$3:$G$22&gt;A2231)*(Calc!$G$3:$G$22-A2231)*Calc!$I$3:$I$22)</f>
        <v/>
      </c>
      <c r="O2231">
        <f>SUMPRODUCT(Calc!$K$3:$K$22*(Calc!$G$3:$G$22&gt;B2231)*(Calc!$G$3:$G$22-B2231)*Calc!$I$3:$I$22)</f>
        <v/>
      </c>
      <c r="P2231">
        <f>I2231-G2231^2/k_n</f>
        <v/>
      </c>
      <c r="Q2231">
        <f>J2231-H2231^2/k_n</f>
        <v/>
      </c>
      <c r="R2231">
        <f>K2231-G2231*H2231/k_n</f>
        <v/>
      </c>
      <c r="S2231">
        <f>L2231-LTP3!$D$3*G2231/k_n</f>
        <v/>
      </c>
      <c r="T2231">
        <f>M2231-LTP3!$D$3*H2231/k_n</f>
        <v/>
      </c>
      <c r="U2231">
        <f>N2231-G2231*LTP3!$D$4/k_n</f>
        <v/>
      </c>
      <c r="V2231">
        <f>O2231-H2231*LTP3!$D$4/k_n</f>
        <v/>
      </c>
      <c r="W2231">
        <f>((LTP3!$D$5)*((P2231)*(Q2231)-(R2231)*(R2231))-(S2231)*((S2231)*(Q2231)-(R2231)*(T2231))+(T2231)*((S2231)*(R2231)-(P2231)*(T2231)))</f>
        <v/>
      </c>
      <c r="X2231">
        <f>IF(ABS(W2231)&gt;1E-12,((LTP3!$D$6)*((P2231)*(Q2231)-(R2231)*(R2231))-(S2231)*((U2231)*(Q2231)-(R2231)*(V2231))+(T2231)*((U2231)*(R2231)-(P2231)*(V2231)))/W2231,0)</f>
        <v/>
      </c>
      <c r="Y2231">
        <f>IF(ABS(W2231)&gt;1E-12,((LTP3!$D$5)*((U2231)*(Q2231)-(R2231)*(V2231))-(LTP3!$D$6)*((S2231)*(Q2231)-(R2231)*(T2231))+(T2231)*((S2231)*(V2231)-(U2231)*(T2231)))/W2231,0)</f>
        <v/>
      </c>
      <c r="Z2231">
        <f>IF(ABS(W2231)&gt;1E-12,((LTP3!$D$5)*((P2231)*(V2231)-(U2231)*(R2231))-(S2231)*((S2231)*(V2231)-(U2231)*(T2231))+(LTP3!$D$6)*((S2231)*(R2231)-(P2231)*(T2231)))/W2231,0)</f>
        <v/>
      </c>
      <c r="AA2231">
        <f>LTP3!$D$7-X2231*LTP3!$D$6-Y2231*U2231-Z2231*V2231</f>
        <v/>
      </c>
      <c r="AB2231">
        <f>IF(AND(F2231,ABS(W2231)&gt;1E-12,Y2231&gt;0,Z2231&gt;0),AA2231,1E+300)</f>
        <v/>
      </c>
    </row>
    <row r="2232">
      <c r="A2232">
        <f>$B$3+$B$5*36</f>
        <v/>
      </c>
      <c r="B2232">
        <f>$B$3+$B$5*24</f>
        <v/>
      </c>
      <c r="C2232">
        <f>SUMPRODUCT(Calc!$K$3:$K$22*(Calc!$G$3:$G$22&lt;=A2232))</f>
        <v/>
      </c>
      <c r="D2232">
        <f>SUMPRODUCT(Calc!$K$3:$K$22*(Calc!$G$3:$G$22&gt;A2232)*(Calc!$G$3:$G$22&lt;B2232))</f>
        <v/>
      </c>
      <c r="E2232">
        <f>SUMPRODUCT(Calc!$K$3:$K$22*(Calc!$G$3:$G$22&gt;=B2232))</f>
        <v/>
      </c>
      <c r="F2232">
        <f>AND(k_n&gt;=5,B2232&gt;A2232+1E-9,C2232&gt;=2,D2232&gt;=1,E2232&gt;=2)</f>
        <v/>
      </c>
      <c r="G2232">
        <f>SUMPRODUCT(Calc!$K$3:$K$22*(Calc!$G$3:$G$22&gt;A2232)*(Calc!$G$3:$G$22-A2232))</f>
        <v/>
      </c>
      <c r="H2232">
        <f>SUMPRODUCT(Calc!$K$3:$K$22*(Calc!$G$3:$G$22&gt;B2232)*(Calc!$G$3:$G$22-B2232))</f>
        <v/>
      </c>
      <c r="I2232">
        <f>SUMPRODUCT(Calc!$K$3:$K$22*(Calc!$G$3:$G$22&gt;A2232)*(Calc!$G$3:$G$22-A2232)^2)</f>
        <v/>
      </c>
      <c r="J2232">
        <f>SUMPRODUCT(Calc!$K$3:$K$22*(Calc!$G$3:$G$22&gt;B2232)*(Calc!$G$3:$G$22-B2232)^2)</f>
        <v/>
      </c>
      <c r="K2232">
        <f>SUMPRODUCT(Calc!$K$3:$K$22*(Calc!$G$3:$G$22&gt;A2232)*(Calc!$G$3:$G$22-A2232)*(Calc!$G$3:$G$22&gt;B2232)*(Calc!$G$3:$G$22-B2232))</f>
        <v/>
      </c>
      <c r="L2232">
        <f>SUMPRODUCT(Calc!$K$3:$K$22*(Calc!$G$3:$G$22&gt;A2232)*(Calc!$G$3:$G$22-A2232)*Calc!$G$3:$G$22)</f>
        <v/>
      </c>
      <c r="M2232">
        <f>SUMPRODUCT(Calc!$K$3:$K$22*(Calc!$G$3:$G$22&gt;B2232)*(Calc!$G$3:$G$22-B2232)*Calc!$G$3:$G$22)</f>
        <v/>
      </c>
      <c r="N2232">
        <f>SUMPRODUCT(Calc!$K$3:$K$22*(Calc!$G$3:$G$22&gt;A2232)*(Calc!$G$3:$G$22-A2232)*Calc!$I$3:$I$22)</f>
        <v/>
      </c>
      <c r="O2232">
        <f>SUMPRODUCT(Calc!$K$3:$K$22*(Calc!$G$3:$G$22&gt;B2232)*(Calc!$G$3:$G$22-B2232)*Calc!$I$3:$I$22)</f>
        <v/>
      </c>
      <c r="P2232">
        <f>I2232-G2232^2/k_n</f>
        <v/>
      </c>
      <c r="Q2232">
        <f>J2232-H2232^2/k_n</f>
        <v/>
      </c>
      <c r="R2232">
        <f>K2232-G2232*H2232/k_n</f>
        <v/>
      </c>
      <c r="S2232">
        <f>L2232-LTP3!$D$3*G2232/k_n</f>
        <v/>
      </c>
      <c r="T2232">
        <f>M2232-LTP3!$D$3*H2232/k_n</f>
        <v/>
      </c>
      <c r="U2232">
        <f>N2232-G2232*LTP3!$D$4/k_n</f>
        <v/>
      </c>
      <c r="V2232">
        <f>O2232-H2232*LTP3!$D$4/k_n</f>
        <v/>
      </c>
      <c r="W2232">
        <f>((LTP3!$D$5)*((P2232)*(Q2232)-(R2232)*(R2232))-(S2232)*((S2232)*(Q2232)-(R2232)*(T2232))+(T2232)*((S2232)*(R2232)-(P2232)*(T2232)))</f>
        <v/>
      </c>
      <c r="X2232">
        <f>IF(ABS(W2232)&gt;1E-12,((LTP3!$D$6)*((P2232)*(Q2232)-(R2232)*(R2232))-(S2232)*((U2232)*(Q2232)-(R2232)*(V2232))+(T2232)*((U2232)*(R2232)-(P2232)*(V2232)))/W2232,0)</f>
        <v/>
      </c>
      <c r="Y2232">
        <f>IF(ABS(W2232)&gt;1E-12,((LTP3!$D$5)*((U2232)*(Q2232)-(R2232)*(V2232))-(LTP3!$D$6)*((S2232)*(Q2232)-(R2232)*(T2232))+(T2232)*((S2232)*(V2232)-(U2232)*(T2232)))/W2232,0)</f>
        <v/>
      </c>
      <c r="Z2232">
        <f>IF(ABS(W2232)&gt;1E-12,((LTP3!$D$5)*((P2232)*(V2232)-(U2232)*(R2232))-(S2232)*((S2232)*(V2232)-(U2232)*(T2232))+(LTP3!$D$6)*((S2232)*(R2232)-(P2232)*(T2232)))/W2232,0)</f>
        <v/>
      </c>
      <c r="AA2232">
        <f>LTP3!$D$7-X2232*LTP3!$D$6-Y2232*U2232-Z2232*V2232</f>
        <v/>
      </c>
      <c r="AB2232">
        <f>IF(AND(F2232,ABS(W2232)&gt;1E-12,Y2232&gt;0,Z2232&gt;0),AA2232,1E+300)</f>
        <v/>
      </c>
    </row>
    <row r="2233">
      <c r="A2233">
        <f>$B$3+$B$5*36</f>
        <v/>
      </c>
      <c r="B2233">
        <f>$B$3+$B$5*25</f>
        <v/>
      </c>
      <c r="C2233">
        <f>SUMPRODUCT(Calc!$K$3:$K$22*(Calc!$G$3:$G$22&lt;=A2233))</f>
        <v/>
      </c>
      <c r="D2233">
        <f>SUMPRODUCT(Calc!$K$3:$K$22*(Calc!$G$3:$G$22&gt;A2233)*(Calc!$G$3:$G$22&lt;B2233))</f>
        <v/>
      </c>
      <c r="E2233">
        <f>SUMPRODUCT(Calc!$K$3:$K$22*(Calc!$G$3:$G$22&gt;=B2233))</f>
        <v/>
      </c>
      <c r="F2233">
        <f>AND(k_n&gt;=5,B2233&gt;A2233+1E-9,C2233&gt;=2,D2233&gt;=1,E2233&gt;=2)</f>
        <v/>
      </c>
      <c r="G2233">
        <f>SUMPRODUCT(Calc!$K$3:$K$22*(Calc!$G$3:$G$22&gt;A2233)*(Calc!$G$3:$G$22-A2233))</f>
        <v/>
      </c>
      <c r="H2233">
        <f>SUMPRODUCT(Calc!$K$3:$K$22*(Calc!$G$3:$G$22&gt;B2233)*(Calc!$G$3:$G$22-B2233))</f>
        <v/>
      </c>
      <c r="I2233">
        <f>SUMPRODUCT(Calc!$K$3:$K$22*(Calc!$G$3:$G$22&gt;A2233)*(Calc!$G$3:$G$22-A2233)^2)</f>
        <v/>
      </c>
      <c r="J2233">
        <f>SUMPRODUCT(Calc!$K$3:$K$22*(Calc!$G$3:$G$22&gt;B2233)*(Calc!$G$3:$G$22-B2233)^2)</f>
        <v/>
      </c>
      <c r="K2233">
        <f>SUMPRODUCT(Calc!$K$3:$K$22*(Calc!$G$3:$G$22&gt;A2233)*(Calc!$G$3:$G$22-A2233)*(Calc!$G$3:$G$22&gt;B2233)*(Calc!$G$3:$G$22-B2233))</f>
        <v/>
      </c>
      <c r="L2233">
        <f>SUMPRODUCT(Calc!$K$3:$K$22*(Calc!$G$3:$G$22&gt;A2233)*(Calc!$G$3:$G$22-A2233)*Calc!$G$3:$G$22)</f>
        <v/>
      </c>
      <c r="M2233">
        <f>SUMPRODUCT(Calc!$K$3:$K$22*(Calc!$G$3:$G$22&gt;B2233)*(Calc!$G$3:$G$22-B2233)*Calc!$G$3:$G$22)</f>
        <v/>
      </c>
      <c r="N2233">
        <f>SUMPRODUCT(Calc!$K$3:$K$22*(Calc!$G$3:$G$22&gt;A2233)*(Calc!$G$3:$G$22-A2233)*Calc!$I$3:$I$22)</f>
        <v/>
      </c>
      <c r="O2233">
        <f>SUMPRODUCT(Calc!$K$3:$K$22*(Calc!$G$3:$G$22&gt;B2233)*(Calc!$G$3:$G$22-B2233)*Calc!$I$3:$I$22)</f>
        <v/>
      </c>
      <c r="P2233">
        <f>I2233-G2233^2/k_n</f>
        <v/>
      </c>
      <c r="Q2233">
        <f>J2233-H2233^2/k_n</f>
        <v/>
      </c>
      <c r="R2233">
        <f>K2233-G2233*H2233/k_n</f>
        <v/>
      </c>
      <c r="S2233">
        <f>L2233-LTP3!$D$3*G2233/k_n</f>
        <v/>
      </c>
      <c r="T2233">
        <f>M2233-LTP3!$D$3*H2233/k_n</f>
        <v/>
      </c>
      <c r="U2233">
        <f>N2233-G2233*LTP3!$D$4/k_n</f>
        <v/>
      </c>
      <c r="V2233">
        <f>O2233-H2233*LTP3!$D$4/k_n</f>
        <v/>
      </c>
      <c r="W2233">
        <f>((LTP3!$D$5)*((P2233)*(Q2233)-(R2233)*(R2233))-(S2233)*((S2233)*(Q2233)-(R2233)*(T2233))+(T2233)*((S2233)*(R2233)-(P2233)*(T2233)))</f>
        <v/>
      </c>
      <c r="X2233">
        <f>IF(ABS(W2233)&gt;1E-12,((LTP3!$D$6)*((P2233)*(Q2233)-(R2233)*(R2233))-(S2233)*((U2233)*(Q2233)-(R2233)*(V2233))+(T2233)*((U2233)*(R2233)-(P2233)*(V2233)))/W2233,0)</f>
        <v/>
      </c>
      <c r="Y2233">
        <f>IF(ABS(W2233)&gt;1E-12,((LTP3!$D$5)*((U2233)*(Q2233)-(R2233)*(V2233))-(LTP3!$D$6)*((S2233)*(Q2233)-(R2233)*(T2233))+(T2233)*((S2233)*(V2233)-(U2233)*(T2233)))/W2233,0)</f>
        <v/>
      </c>
      <c r="Z2233">
        <f>IF(ABS(W2233)&gt;1E-12,((LTP3!$D$5)*((P2233)*(V2233)-(U2233)*(R2233))-(S2233)*((S2233)*(V2233)-(U2233)*(T2233))+(LTP3!$D$6)*((S2233)*(R2233)-(P2233)*(T2233)))/W2233,0)</f>
        <v/>
      </c>
      <c r="AA2233">
        <f>LTP3!$D$7-X2233*LTP3!$D$6-Y2233*U2233-Z2233*V2233</f>
        <v/>
      </c>
      <c r="AB2233">
        <f>IF(AND(F2233,ABS(W2233)&gt;1E-12,Y2233&gt;0,Z2233&gt;0),AA2233,1E+300)</f>
        <v/>
      </c>
    </row>
    <row r="2234">
      <c r="A2234">
        <f>$B$3+$B$5*36</f>
        <v/>
      </c>
      <c r="B2234">
        <f>$B$3+$B$5*26</f>
        <v/>
      </c>
      <c r="C2234">
        <f>SUMPRODUCT(Calc!$K$3:$K$22*(Calc!$G$3:$G$22&lt;=A2234))</f>
        <v/>
      </c>
      <c r="D2234">
        <f>SUMPRODUCT(Calc!$K$3:$K$22*(Calc!$G$3:$G$22&gt;A2234)*(Calc!$G$3:$G$22&lt;B2234))</f>
        <v/>
      </c>
      <c r="E2234">
        <f>SUMPRODUCT(Calc!$K$3:$K$22*(Calc!$G$3:$G$22&gt;=B2234))</f>
        <v/>
      </c>
      <c r="F2234">
        <f>AND(k_n&gt;=5,B2234&gt;A2234+1E-9,C2234&gt;=2,D2234&gt;=1,E2234&gt;=2)</f>
        <v/>
      </c>
      <c r="G2234">
        <f>SUMPRODUCT(Calc!$K$3:$K$22*(Calc!$G$3:$G$22&gt;A2234)*(Calc!$G$3:$G$22-A2234))</f>
        <v/>
      </c>
      <c r="H2234">
        <f>SUMPRODUCT(Calc!$K$3:$K$22*(Calc!$G$3:$G$22&gt;B2234)*(Calc!$G$3:$G$22-B2234))</f>
        <v/>
      </c>
      <c r="I2234">
        <f>SUMPRODUCT(Calc!$K$3:$K$22*(Calc!$G$3:$G$22&gt;A2234)*(Calc!$G$3:$G$22-A2234)^2)</f>
        <v/>
      </c>
      <c r="J2234">
        <f>SUMPRODUCT(Calc!$K$3:$K$22*(Calc!$G$3:$G$22&gt;B2234)*(Calc!$G$3:$G$22-B2234)^2)</f>
        <v/>
      </c>
      <c r="K2234">
        <f>SUMPRODUCT(Calc!$K$3:$K$22*(Calc!$G$3:$G$22&gt;A2234)*(Calc!$G$3:$G$22-A2234)*(Calc!$G$3:$G$22&gt;B2234)*(Calc!$G$3:$G$22-B2234))</f>
        <v/>
      </c>
      <c r="L2234">
        <f>SUMPRODUCT(Calc!$K$3:$K$22*(Calc!$G$3:$G$22&gt;A2234)*(Calc!$G$3:$G$22-A2234)*Calc!$G$3:$G$22)</f>
        <v/>
      </c>
      <c r="M2234">
        <f>SUMPRODUCT(Calc!$K$3:$K$22*(Calc!$G$3:$G$22&gt;B2234)*(Calc!$G$3:$G$22-B2234)*Calc!$G$3:$G$22)</f>
        <v/>
      </c>
      <c r="N2234">
        <f>SUMPRODUCT(Calc!$K$3:$K$22*(Calc!$G$3:$G$22&gt;A2234)*(Calc!$G$3:$G$22-A2234)*Calc!$I$3:$I$22)</f>
        <v/>
      </c>
      <c r="O2234">
        <f>SUMPRODUCT(Calc!$K$3:$K$22*(Calc!$G$3:$G$22&gt;B2234)*(Calc!$G$3:$G$22-B2234)*Calc!$I$3:$I$22)</f>
        <v/>
      </c>
      <c r="P2234">
        <f>I2234-G2234^2/k_n</f>
        <v/>
      </c>
      <c r="Q2234">
        <f>J2234-H2234^2/k_n</f>
        <v/>
      </c>
      <c r="R2234">
        <f>K2234-G2234*H2234/k_n</f>
        <v/>
      </c>
      <c r="S2234">
        <f>L2234-LTP3!$D$3*G2234/k_n</f>
        <v/>
      </c>
      <c r="T2234">
        <f>M2234-LTP3!$D$3*H2234/k_n</f>
        <v/>
      </c>
      <c r="U2234">
        <f>N2234-G2234*LTP3!$D$4/k_n</f>
        <v/>
      </c>
      <c r="V2234">
        <f>O2234-H2234*LTP3!$D$4/k_n</f>
        <v/>
      </c>
      <c r="W2234">
        <f>((LTP3!$D$5)*((P2234)*(Q2234)-(R2234)*(R2234))-(S2234)*((S2234)*(Q2234)-(R2234)*(T2234))+(T2234)*((S2234)*(R2234)-(P2234)*(T2234)))</f>
        <v/>
      </c>
      <c r="X2234">
        <f>IF(ABS(W2234)&gt;1E-12,((LTP3!$D$6)*((P2234)*(Q2234)-(R2234)*(R2234))-(S2234)*((U2234)*(Q2234)-(R2234)*(V2234))+(T2234)*((U2234)*(R2234)-(P2234)*(V2234)))/W2234,0)</f>
        <v/>
      </c>
      <c r="Y2234">
        <f>IF(ABS(W2234)&gt;1E-12,((LTP3!$D$5)*((U2234)*(Q2234)-(R2234)*(V2234))-(LTP3!$D$6)*((S2234)*(Q2234)-(R2234)*(T2234))+(T2234)*((S2234)*(V2234)-(U2234)*(T2234)))/W2234,0)</f>
        <v/>
      </c>
      <c r="Z2234">
        <f>IF(ABS(W2234)&gt;1E-12,((LTP3!$D$5)*((P2234)*(V2234)-(U2234)*(R2234))-(S2234)*((S2234)*(V2234)-(U2234)*(T2234))+(LTP3!$D$6)*((S2234)*(R2234)-(P2234)*(T2234)))/W2234,0)</f>
        <v/>
      </c>
      <c r="AA2234">
        <f>LTP3!$D$7-X2234*LTP3!$D$6-Y2234*U2234-Z2234*V2234</f>
        <v/>
      </c>
      <c r="AB2234">
        <f>IF(AND(F2234,ABS(W2234)&gt;1E-12,Y2234&gt;0,Z2234&gt;0),AA2234,1E+300)</f>
        <v/>
      </c>
    </row>
    <row r="2235">
      <c r="A2235">
        <f>$B$3+$B$5*36</f>
        <v/>
      </c>
      <c r="B2235">
        <f>$B$3+$B$5*27</f>
        <v/>
      </c>
      <c r="C2235">
        <f>SUMPRODUCT(Calc!$K$3:$K$22*(Calc!$G$3:$G$22&lt;=A2235))</f>
        <v/>
      </c>
      <c r="D2235">
        <f>SUMPRODUCT(Calc!$K$3:$K$22*(Calc!$G$3:$G$22&gt;A2235)*(Calc!$G$3:$G$22&lt;B2235))</f>
        <v/>
      </c>
      <c r="E2235">
        <f>SUMPRODUCT(Calc!$K$3:$K$22*(Calc!$G$3:$G$22&gt;=B2235))</f>
        <v/>
      </c>
      <c r="F2235">
        <f>AND(k_n&gt;=5,B2235&gt;A2235+1E-9,C2235&gt;=2,D2235&gt;=1,E2235&gt;=2)</f>
        <v/>
      </c>
      <c r="G2235">
        <f>SUMPRODUCT(Calc!$K$3:$K$22*(Calc!$G$3:$G$22&gt;A2235)*(Calc!$G$3:$G$22-A2235))</f>
        <v/>
      </c>
      <c r="H2235">
        <f>SUMPRODUCT(Calc!$K$3:$K$22*(Calc!$G$3:$G$22&gt;B2235)*(Calc!$G$3:$G$22-B2235))</f>
        <v/>
      </c>
      <c r="I2235">
        <f>SUMPRODUCT(Calc!$K$3:$K$22*(Calc!$G$3:$G$22&gt;A2235)*(Calc!$G$3:$G$22-A2235)^2)</f>
        <v/>
      </c>
      <c r="J2235">
        <f>SUMPRODUCT(Calc!$K$3:$K$22*(Calc!$G$3:$G$22&gt;B2235)*(Calc!$G$3:$G$22-B2235)^2)</f>
        <v/>
      </c>
      <c r="K2235">
        <f>SUMPRODUCT(Calc!$K$3:$K$22*(Calc!$G$3:$G$22&gt;A2235)*(Calc!$G$3:$G$22-A2235)*(Calc!$G$3:$G$22&gt;B2235)*(Calc!$G$3:$G$22-B2235))</f>
        <v/>
      </c>
      <c r="L2235">
        <f>SUMPRODUCT(Calc!$K$3:$K$22*(Calc!$G$3:$G$22&gt;A2235)*(Calc!$G$3:$G$22-A2235)*Calc!$G$3:$G$22)</f>
        <v/>
      </c>
      <c r="M2235">
        <f>SUMPRODUCT(Calc!$K$3:$K$22*(Calc!$G$3:$G$22&gt;B2235)*(Calc!$G$3:$G$22-B2235)*Calc!$G$3:$G$22)</f>
        <v/>
      </c>
      <c r="N2235">
        <f>SUMPRODUCT(Calc!$K$3:$K$22*(Calc!$G$3:$G$22&gt;A2235)*(Calc!$G$3:$G$22-A2235)*Calc!$I$3:$I$22)</f>
        <v/>
      </c>
      <c r="O2235">
        <f>SUMPRODUCT(Calc!$K$3:$K$22*(Calc!$G$3:$G$22&gt;B2235)*(Calc!$G$3:$G$22-B2235)*Calc!$I$3:$I$22)</f>
        <v/>
      </c>
      <c r="P2235">
        <f>I2235-G2235^2/k_n</f>
        <v/>
      </c>
      <c r="Q2235">
        <f>J2235-H2235^2/k_n</f>
        <v/>
      </c>
      <c r="R2235">
        <f>K2235-G2235*H2235/k_n</f>
        <v/>
      </c>
      <c r="S2235">
        <f>L2235-LTP3!$D$3*G2235/k_n</f>
        <v/>
      </c>
      <c r="T2235">
        <f>M2235-LTP3!$D$3*H2235/k_n</f>
        <v/>
      </c>
      <c r="U2235">
        <f>N2235-G2235*LTP3!$D$4/k_n</f>
        <v/>
      </c>
      <c r="V2235">
        <f>O2235-H2235*LTP3!$D$4/k_n</f>
        <v/>
      </c>
      <c r="W2235">
        <f>((LTP3!$D$5)*((P2235)*(Q2235)-(R2235)*(R2235))-(S2235)*((S2235)*(Q2235)-(R2235)*(T2235))+(T2235)*((S2235)*(R2235)-(P2235)*(T2235)))</f>
        <v/>
      </c>
      <c r="X2235">
        <f>IF(ABS(W2235)&gt;1E-12,((LTP3!$D$6)*((P2235)*(Q2235)-(R2235)*(R2235))-(S2235)*((U2235)*(Q2235)-(R2235)*(V2235))+(T2235)*((U2235)*(R2235)-(P2235)*(V2235)))/W2235,0)</f>
        <v/>
      </c>
      <c r="Y2235">
        <f>IF(ABS(W2235)&gt;1E-12,((LTP3!$D$5)*((U2235)*(Q2235)-(R2235)*(V2235))-(LTP3!$D$6)*((S2235)*(Q2235)-(R2235)*(T2235))+(T2235)*((S2235)*(V2235)-(U2235)*(T2235)))/W2235,0)</f>
        <v/>
      </c>
      <c r="Z2235">
        <f>IF(ABS(W2235)&gt;1E-12,((LTP3!$D$5)*((P2235)*(V2235)-(U2235)*(R2235))-(S2235)*((S2235)*(V2235)-(U2235)*(T2235))+(LTP3!$D$6)*((S2235)*(R2235)-(P2235)*(T2235)))/W2235,0)</f>
        <v/>
      </c>
      <c r="AA2235">
        <f>LTP3!$D$7-X2235*LTP3!$D$6-Y2235*U2235-Z2235*V2235</f>
        <v/>
      </c>
      <c r="AB2235">
        <f>IF(AND(F2235,ABS(W2235)&gt;1E-12,Y2235&gt;0,Z2235&gt;0),AA2235,1E+300)</f>
        <v/>
      </c>
    </row>
    <row r="2236">
      <c r="A2236">
        <f>$B$3+$B$5*36</f>
        <v/>
      </c>
      <c r="B2236">
        <f>$B$3+$B$5*28</f>
        <v/>
      </c>
      <c r="C2236">
        <f>SUMPRODUCT(Calc!$K$3:$K$22*(Calc!$G$3:$G$22&lt;=A2236))</f>
        <v/>
      </c>
      <c r="D2236">
        <f>SUMPRODUCT(Calc!$K$3:$K$22*(Calc!$G$3:$G$22&gt;A2236)*(Calc!$G$3:$G$22&lt;B2236))</f>
        <v/>
      </c>
      <c r="E2236">
        <f>SUMPRODUCT(Calc!$K$3:$K$22*(Calc!$G$3:$G$22&gt;=B2236))</f>
        <v/>
      </c>
      <c r="F2236">
        <f>AND(k_n&gt;=5,B2236&gt;A2236+1E-9,C2236&gt;=2,D2236&gt;=1,E2236&gt;=2)</f>
        <v/>
      </c>
      <c r="G2236">
        <f>SUMPRODUCT(Calc!$K$3:$K$22*(Calc!$G$3:$G$22&gt;A2236)*(Calc!$G$3:$G$22-A2236))</f>
        <v/>
      </c>
      <c r="H2236">
        <f>SUMPRODUCT(Calc!$K$3:$K$22*(Calc!$G$3:$G$22&gt;B2236)*(Calc!$G$3:$G$22-B2236))</f>
        <v/>
      </c>
      <c r="I2236">
        <f>SUMPRODUCT(Calc!$K$3:$K$22*(Calc!$G$3:$G$22&gt;A2236)*(Calc!$G$3:$G$22-A2236)^2)</f>
        <v/>
      </c>
      <c r="J2236">
        <f>SUMPRODUCT(Calc!$K$3:$K$22*(Calc!$G$3:$G$22&gt;B2236)*(Calc!$G$3:$G$22-B2236)^2)</f>
        <v/>
      </c>
      <c r="K2236">
        <f>SUMPRODUCT(Calc!$K$3:$K$22*(Calc!$G$3:$G$22&gt;A2236)*(Calc!$G$3:$G$22-A2236)*(Calc!$G$3:$G$22&gt;B2236)*(Calc!$G$3:$G$22-B2236))</f>
        <v/>
      </c>
      <c r="L2236">
        <f>SUMPRODUCT(Calc!$K$3:$K$22*(Calc!$G$3:$G$22&gt;A2236)*(Calc!$G$3:$G$22-A2236)*Calc!$G$3:$G$22)</f>
        <v/>
      </c>
      <c r="M2236">
        <f>SUMPRODUCT(Calc!$K$3:$K$22*(Calc!$G$3:$G$22&gt;B2236)*(Calc!$G$3:$G$22-B2236)*Calc!$G$3:$G$22)</f>
        <v/>
      </c>
      <c r="N2236">
        <f>SUMPRODUCT(Calc!$K$3:$K$22*(Calc!$G$3:$G$22&gt;A2236)*(Calc!$G$3:$G$22-A2236)*Calc!$I$3:$I$22)</f>
        <v/>
      </c>
      <c r="O2236">
        <f>SUMPRODUCT(Calc!$K$3:$K$22*(Calc!$G$3:$G$22&gt;B2236)*(Calc!$G$3:$G$22-B2236)*Calc!$I$3:$I$22)</f>
        <v/>
      </c>
      <c r="P2236">
        <f>I2236-G2236^2/k_n</f>
        <v/>
      </c>
      <c r="Q2236">
        <f>J2236-H2236^2/k_n</f>
        <v/>
      </c>
      <c r="R2236">
        <f>K2236-G2236*H2236/k_n</f>
        <v/>
      </c>
      <c r="S2236">
        <f>L2236-LTP3!$D$3*G2236/k_n</f>
        <v/>
      </c>
      <c r="T2236">
        <f>M2236-LTP3!$D$3*H2236/k_n</f>
        <v/>
      </c>
      <c r="U2236">
        <f>N2236-G2236*LTP3!$D$4/k_n</f>
        <v/>
      </c>
      <c r="V2236">
        <f>O2236-H2236*LTP3!$D$4/k_n</f>
        <v/>
      </c>
      <c r="W2236">
        <f>((LTP3!$D$5)*((P2236)*(Q2236)-(R2236)*(R2236))-(S2236)*((S2236)*(Q2236)-(R2236)*(T2236))+(T2236)*((S2236)*(R2236)-(P2236)*(T2236)))</f>
        <v/>
      </c>
      <c r="X2236">
        <f>IF(ABS(W2236)&gt;1E-12,((LTP3!$D$6)*((P2236)*(Q2236)-(R2236)*(R2236))-(S2236)*((U2236)*(Q2236)-(R2236)*(V2236))+(T2236)*((U2236)*(R2236)-(P2236)*(V2236)))/W2236,0)</f>
        <v/>
      </c>
      <c r="Y2236">
        <f>IF(ABS(W2236)&gt;1E-12,((LTP3!$D$5)*((U2236)*(Q2236)-(R2236)*(V2236))-(LTP3!$D$6)*((S2236)*(Q2236)-(R2236)*(T2236))+(T2236)*((S2236)*(V2236)-(U2236)*(T2236)))/W2236,0)</f>
        <v/>
      </c>
      <c r="Z2236">
        <f>IF(ABS(W2236)&gt;1E-12,((LTP3!$D$5)*((P2236)*(V2236)-(U2236)*(R2236))-(S2236)*((S2236)*(V2236)-(U2236)*(T2236))+(LTP3!$D$6)*((S2236)*(R2236)-(P2236)*(T2236)))/W2236,0)</f>
        <v/>
      </c>
      <c r="AA2236">
        <f>LTP3!$D$7-X2236*LTP3!$D$6-Y2236*U2236-Z2236*V2236</f>
        <v/>
      </c>
      <c r="AB2236">
        <f>IF(AND(F2236,ABS(W2236)&gt;1E-12,Y2236&gt;0,Z2236&gt;0),AA2236,1E+300)</f>
        <v/>
      </c>
    </row>
    <row r="2237">
      <c r="A2237">
        <f>$B$3+$B$5*36</f>
        <v/>
      </c>
      <c r="B2237">
        <f>$B$3+$B$5*29</f>
        <v/>
      </c>
      <c r="C2237">
        <f>SUMPRODUCT(Calc!$K$3:$K$22*(Calc!$G$3:$G$22&lt;=A2237))</f>
        <v/>
      </c>
      <c r="D2237">
        <f>SUMPRODUCT(Calc!$K$3:$K$22*(Calc!$G$3:$G$22&gt;A2237)*(Calc!$G$3:$G$22&lt;B2237))</f>
        <v/>
      </c>
      <c r="E2237">
        <f>SUMPRODUCT(Calc!$K$3:$K$22*(Calc!$G$3:$G$22&gt;=B2237))</f>
        <v/>
      </c>
      <c r="F2237">
        <f>AND(k_n&gt;=5,B2237&gt;A2237+1E-9,C2237&gt;=2,D2237&gt;=1,E2237&gt;=2)</f>
        <v/>
      </c>
      <c r="G2237">
        <f>SUMPRODUCT(Calc!$K$3:$K$22*(Calc!$G$3:$G$22&gt;A2237)*(Calc!$G$3:$G$22-A2237))</f>
        <v/>
      </c>
      <c r="H2237">
        <f>SUMPRODUCT(Calc!$K$3:$K$22*(Calc!$G$3:$G$22&gt;B2237)*(Calc!$G$3:$G$22-B2237))</f>
        <v/>
      </c>
      <c r="I2237">
        <f>SUMPRODUCT(Calc!$K$3:$K$22*(Calc!$G$3:$G$22&gt;A2237)*(Calc!$G$3:$G$22-A2237)^2)</f>
        <v/>
      </c>
      <c r="J2237">
        <f>SUMPRODUCT(Calc!$K$3:$K$22*(Calc!$G$3:$G$22&gt;B2237)*(Calc!$G$3:$G$22-B2237)^2)</f>
        <v/>
      </c>
      <c r="K2237">
        <f>SUMPRODUCT(Calc!$K$3:$K$22*(Calc!$G$3:$G$22&gt;A2237)*(Calc!$G$3:$G$22-A2237)*(Calc!$G$3:$G$22&gt;B2237)*(Calc!$G$3:$G$22-B2237))</f>
        <v/>
      </c>
      <c r="L2237">
        <f>SUMPRODUCT(Calc!$K$3:$K$22*(Calc!$G$3:$G$22&gt;A2237)*(Calc!$G$3:$G$22-A2237)*Calc!$G$3:$G$22)</f>
        <v/>
      </c>
      <c r="M2237">
        <f>SUMPRODUCT(Calc!$K$3:$K$22*(Calc!$G$3:$G$22&gt;B2237)*(Calc!$G$3:$G$22-B2237)*Calc!$G$3:$G$22)</f>
        <v/>
      </c>
      <c r="N2237">
        <f>SUMPRODUCT(Calc!$K$3:$K$22*(Calc!$G$3:$G$22&gt;A2237)*(Calc!$G$3:$G$22-A2237)*Calc!$I$3:$I$22)</f>
        <v/>
      </c>
      <c r="O2237">
        <f>SUMPRODUCT(Calc!$K$3:$K$22*(Calc!$G$3:$G$22&gt;B2237)*(Calc!$G$3:$G$22-B2237)*Calc!$I$3:$I$22)</f>
        <v/>
      </c>
      <c r="P2237">
        <f>I2237-G2237^2/k_n</f>
        <v/>
      </c>
      <c r="Q2237">
        <f>J2237-H2237^2/k_n</f>
        <v/>
      </c>
      <c r="R2237">
        <f>K2237-G2237*H2237/k_n</f>
        <v/>
      </c>
      <c r="S2237">
        <f>L2237-LTP3!$D$3*G2237/k_n</f>
        <v/>
      </c>
      <c r="T2237">
        <f>M2237-LTP3!$D$3*H2237/k_n</f>
        <v/>
      </c>
      <c r="U2237">
        <f>N2237-G2237*LTP3!$D$4/k_n</f>
        <v/>
      </c>
      <c r="V2237">
        <f>O2237-H2237*LTP3!$D$4/k_n</f>
        <v/>
      </c>
      <c r="W2237">
        <f>((LTP3!$D$5)*((P2237)*(Q2237)-(R2237)*(R2237))-(S2237)*((S2237)*(Q2237)-(R2237)*(T2237))+(T2237)*((S2237)*(R2237)-(P2237)*(T2237)))</f>
        <v/>
      </c>
      <c r="X2237">
        <f>IF(ABS(W2237)&gt;1E-12,((LTP3!$D$6)*((P2237)*(Q2237)-(R2237)*(R2237))-(S2237)*((U2237)*(Q2237)-(R2237)*(V2237))+(T2237)*((U2237)*(R2237)-(P2237)*(V2237)))/W2237,0)</f>
        <v/>
      </c>
      <c r="Y2237">
        <f>IF(ABS(W2237)&gt;1E-12,((LTP3!$D$5)*((U2237)*(Q2237)-(R2237)*(V2237))-(LTP3!$D$6)*((S2237)*(Q2237)-(R2237)*(T2237))+(T2237)*((S2237)*(V2237)-(U2237)*(T2237)))/W2237,0)</f>
        <v/>
      </c>
      <c r="Z2237">
        <f>IF(ABS(W2237)&gt;1E-12,((LTP3!$D$5)*((P2237)*(V2237)-(U2237)*(R2237))-(S2237)*((S2237)*(V2237)-(U2237)*(T2237))+(LTP3!$D$6)*((S2237)*(R2237)-(P2237)*(T2237)))/W2237,0)</f>
        <v/>
      </c>
      <c r="AA2237">
        <f>LTP3!$D$7-X2237*LTP3!$D$6-Y2237*U2237-Z2237*V2237</f>
        <v/>
      </c>
      <c r="AB2237">
        <f>IF(AND(F2237,ABS(W2237)&gt;1E-12,Y2237&gt;0,Z2237&gt;0),AA2237,1E+300)</f>
        <v/>
      </c>
    </row>
    <row r="2238">
      <c r="A2238">
        <f>$B$3+$B$5*36</f>
        <v/>
      </c>
      <c r="B2238">
        <f>$B$3+$B$5*30</f>
        <v/>
      </c>
      <c r="C2238">
        <f>SUMPRODUCT(Calc!$K$3:$K$22*(Calc!$G$3:$G$22&lt;=A2238))</f>
        <v/>
      </c>
      <c r="D2238">
        <f>SUMPRODUCT(Calc!$K$3:$K$22*(Calc!$G$3:$G$22&gt;A2238)*(Calc!$G$3:$G$22&lt;B2238))</f>
        <v/>
      </c>
      <c r="E2238">
        <f>SUMPRODUCT(Calc!$K$3:$K$22*(Calc!$G$3:$G$22&gt;=B2238))</f>
        <v/>
      </c>
      <c r="F2238">
        <f>AND(k_n&gt;=5,B2238&gt;A2238+1E-9,C2238&gt;=2,D2238&gt;=1,E2238&gt;=2)</f>
        <v/>
      </c>
      <c r="G2238">
        <f>SUMPRODUCT(Calc!$K$3:$K$22*(Calc!$G$3:$G$22&gt;A2238)*(Calc!$G$3:$G$22-A2238))</f>
        <v/>
      </c>
      <c r="H2238">
        <f>SUMPRODUCT(Calc!$K$3:$K$22*(Calc!$G$3:$G$22&gt;B2238)*(Calc!$G$3:$G$22-B2238))</f>
        <v/>
      </c>
      <c r="I2238">
        <f>SUMPRODUCT(Calc!$K$3:$K$22*(Calc!$G$3:$G$22&gt;A2238)*(Calc!$G$3:$G$22-A2238)^2)</f>
        <v/>
      </c>
      <c r="J2238">
        <f>SUMPRODUCT(Calc!$K$3:$K$22*(Calc!$G$3:$G$22&gt;B2238)*(Calc!$G$3:$G$22-B2238)^2)</f>
        <v/>
      </c>
      <c r="K2238">
        <f>SUMPRODUCT(Calc!$K$3:$K$22*(Calc!$G$3:$G$22&gt;A2238)*(Calc!$G$3:$G$22-A2238)*(Calc!$G$3:$G$22&gt;B2238)*(Calc!$G$3:$G$22-B2238))</f>
        <v/>
      </c>
      <c r="L2238">
        <f>SUMPRODUCT(Calc!$K$3:$K$22*(Calc!$G$3:$G$22&gt;A2238)*(Calc!$G$3:$G$22-A2238)*Calc!$G$3:$G$22)</f>
        <v/>
      </c>
      <c r="M2238">
        <f>SUMPRODUCT(Calc!$K$3:$K$22*(Calc!$G$3:$G$22&gt;B2238)*(Calc!$G$3:$G$22-B2238)*Calc!$G$3:$G$22)</f>
        <v/>
      </c>
      <c r="N2238">
        <f>SUMPRODUCT(Calc!$K$3:$K$22*(Calc!$G$3:$G$22&gt;A2238)*(Calc!$G$3:$G$22-A2238)*Calc!$I$3:$I$22)</f>
        <v/>
      </c>
      <c r="O2238">
        <f>SUMPRODUCT(Calc!$K$3:$K$22*(Calc!$G$3:$G$22&gt;B2238)*(Calc!$G$3:$G$22-B2238)*Calc!$I$3:$I$22)</f>
        <v/>
      </c>
      <c r="P2238">
        <f>I2238-G2238^2/k_n</f>
        <v/>
      </c>
      <c r="Q2238">
        <f>J2238-H2238^2/k_n</f>
        <v/>
      </c>
      <c r="R2238">
        <f>K2238-G2238*H2238/k_n</f>
        <v/>
      </c>
      <c r="S2238">
        <f>L2238-LTP3!$D$3*G2238/k_n</f>
        <v/>
      </c>
      <c r="T2238">
        <f>M2238-LTP3!$D$3*H2238/k_n</f>
        <v/>
      </c>
      <c r="U2238">
        <f>N2238-G2238*LTP3!$D$4/k_n</f>
        <v/>
      </c>
      <c r="V2238">
        <f>O2238-H2238*LTP3!$D$4/k_n</f>
        <v/>
      </c>
      <c r="W2238">
        <f>((LTP3!$D$5)*((P2238)*(Q2238)-(R2238)*(R2238))-(S2238)*((S2238)*(Q2238)-(R2238)*(T2238))+(T2238)*((S2238)*(R2238)-(P2238)*(T2238)))</f>
        <v/>
      </c>
      <c r="X2238">
        <f>IF(ABS(W2238)&gt;1E-12,((LTP3!$D$6)*((P2238)*(Q2238)-(R2238)*(R2238))-(S2238)*((U2238)*(Q2238)-(R2238)*(V2238))+(T2238)*((U2238)*(R2238)-(P2238)*(V2238)))/W2238,0)</f>
        <v/>
      </c>
      <c r="Y2238">
        <f>IF(ABS(W2238)&gt;1E-12,((LTP3!$D$5)*((U2238)*(Q2238)-(R2238)*(V2238))-(LTP3!$D$6)*((S2238)*(Q2238)-(R2238)*(T2238))+(T2238)*((S2238)*(V2238)-(U2238)*(T2238)))/W2238,0)</f>
        <v/>
      </c>
      <c r="Z2238">
        <f>IF(ABS(W2238)&gt;1E-12,((LTP3!$D$5)*((P2238)*(V2238)-(U2238)*(R2238))-(S2238)*((S2238)*(V2238)-(U2238)*(T2238))+(LTP3!$D$6)*((S2238)*(R2238)-(P2238)*(T2238)))/W2238,0)</f>
        <v/>
      </c>
      <c r="AA2238">
        <f>LTP3!$D$7-X2238*LTP3!$D$6-Y2238*U2238-Z2238*V2238</f>
        <v/>
      </c>
      <c r="AB2238">
        <f>IF(AND(F2238,ABS(W2238)&gt;1E-12,Y2238&gt;0,Z2238&gt;0),AA2238,1E+300)</f>
        <v/>
      </c>
    </row>
    <row r="2239">
      <c r="A2239">
        <f>$B$3+$B$5*36</f>
        <v/>
      </c>
      <c r="B2239">
        <f>$B$3+$B$5*31</f>
        <v/>
      </c>
      <c r="C2239">
        <f>SUMPRODUCT(Calc!$K$3:$K$22*(Calc!$G$3:$G$22&lt;=A2239))</f>
        <v/>
      </c>
      <c r="D2239">
        <f>SUMPRODUCT(Calc!$K$3:$K$22*(Calc!$G$3:$G$22&gt;A2239)*(Calc!$G$3:$G$22&lt;B2239))</f>
        <v/>
      </c>
      <c r="E2239">
        <f>SUMPRODUCT(Calc!$K$3:$K$22*(Calc!$G$3:$G$22&gt;=B2239))</f>
        <v/>
      </c>
      <c r="F2239">
        <f>AND(k_n&gt;=5,B2239&gt;A2239+1E-9,C2239&gt;=2,D2239&gt;=1,E2239&gt;=2)</f>
        <v/>
      </c>
      <c r="G2239">
        <f>SUMPRODUCT(Calc!$K$3:$K$22*(Calc!$G$3:$G$22&gt;A2239)*(Calc!$G$3:$G$22-A2239))</f>
        <v/>
      </c>
      <c r="H2239">
        <f>SUMPRODUCT(Calc!$K$3:$K$22*(Calc!$G$3:$G$22&gt;B2239)*(Calc!$G$3:$G$22-B2239))</f>
        <v/>
      </c>
      <c r="I2239">
        <f>SUMPRODUCT(Calc!$K$3:$K$22*(Calc!$G$3:$G$22&gt;A2239)*(Calc!$G$3:$G$22-A2239)^2)</f>
        <v/>
      </c>
      <c r="J2239">
        <f>SUMPRODUCT(Calc!$K$3:$K$22*(Calc!$G$3:$G$22&gt;B2239)*(Calc!$G$3:$G$22-B2239)^2)</f>
        <v/>
      </c>
      <c r="K2239">
        <f>SUMPRODUCT(Calc!$K$3:$K$22*(Calc!$G$3:$G$22&gt;A2239)*(Calc!$G$3:$G$22-A2239)*(Calc!$G$3:$G$22&gt;B2239)*(Calc!$G$3:$G$22-B2239))</f>
        <v/>
      </c>
      <c r="L2239">
        <f>SUMPRODUCT(Calc!$K$3:$K$22*(Calc!$G$3:$G$22&gt;A2239)*(Calc!$G$3:$G$22-A2239)*Calc!$G$3:$G$22)</f>
        <v/>
      </c>
      <c r="M2239">
        <f>SUMPRODUCT(Calc!$K$3:$K$22*(Calc!$G$3:$G$22&gt;B2239)*(Calc!$G$3:$G$22-B2239)*Calc!$G$3:$G$22)</f>
        <v/>
      </c>
      <c r="N2239">
        <f>SUMPRODUCT(Calc!$K$3:$K$22*(Calc!$G$3:$G$22&gt;A2239)*(Calc!$G$3:$G$22-A2239)*Calc!$I$3:$I$22)</f>
        <v/>
      </c>
      <c r="O2239">
        <f>SUMPRODUCT(Calc!$K$3:$K$22*(Calc!$G$3:$G$22&gt;B2239)*(Calc!$G$3:$G$22-B2239)*Calc!$I$3:$I$22)</f>
        <v/>
      </c>
      <c r="P2239">
        <f>I2239-G2239^2/k_n</f>
        <v/>
      </c>
      <c r="Q2239">
        <f>J2239-H2239^2/k_n</f>
        <v/>
      </c>
      <c r="R2239">
        <f>K2239-G2239*H2239/k_n</f>
        <v/>
      </c>
      <c r="S2239">
        <f>L2239-LTP3!$D$3*G2239/k_n</f>
        <v/>
      </c>
      <c r="T2239">
        <f>M2239-LTP3!$D$3*H2239/k_n</f>
        <v/>
      </c>
      <c r="U2239">
        <f>N2239-G2239*LTP3!$D$4/k_n</f>
        <v/>
      </c>
      <c r="V2239">
        <f>O2239-H2239*LTP3!$D$4/k_n</f>
        <v/>
      </c>
      <c r="W2239">
        <f>((LTP3!$D$5)*((P2239)*(Q2239)-(R2239)*(R2239))-(S2239)*((S2239)*(Q2239)-(R2239)*(T2239))+(T2239)*((S2239)*(R2239)-(P2239)*(T2239)))</f>
        <v/>
      </c>
      <c r="X2239">
        <f>IF(ABS(W2239)&gt;1E-12,((LTP3!$D$6)*((P2239)*(Q2239)-(R2239)*(R2239))-(S2239)*((U2239)*(Q2239)-(R2239)*(V2239))+(T2239)*((U2239)*(R2239)-(P2239)*(V2239)))/W2239,0)</f>
        <v/>
      </c>
      <c r="Y2239">
        <f>IF(ABS(W2239)&gt;1E-12,((LTP3!$D$5)*((U2239)*(Q2239)-(R2239)*(V2239))-(LTP3!$D$6)*((S2239)*(Q2239)-(R2239)*(T2239))+(T2239)*((S2239)*(V2239)-(U2239)*(T2239)))/W2239,0)</f>
        <v/>
      </c>
      <c r="Z2239">
        <f>IF(ABS(W2239)&gt;1E-12,((LTP3!$D$5)*((P2239)*(V2239)-(U2239)*(R2239))-(S2239)*((S2239)*(V2239)-(U2239)*(T2239))+(LTP3!$D$6)*((S2239)*(R2239)-(P2239)*(T2239)))/W2239,0)</f>
        <v/>
      </c>
      <c r="AA2239">
        <f>LTP3!$D$7-X2239*LTP3!$D$6-Y2239*U2239-Z2239*V2239</f>
        <v/>
      </c>
      <c r="AB2239">
        <f>IF(AND(F2239,ABS(W2239)&gt;1E-12,Y2239&gt;0,Z2239&gt;0),AA2239,1E+300)</f>
        <v/>
      </c>
    </row>
    <row r="2240">
      <c r="A2240">
        <f>$B$3+$B$5*36</f>
        <v/>
      </c>
      <c r="B2240">
        <f>$B$3+$B$5*32</f>
        <v/>
      </c>
      <c r="C2240">
        <f>SUMPRODUCT(Calc!$K$3:$K$22*(Calc!$G$3:$G$22&lt;=A2240))</f>
        <v/>
      </c>
      <c r="D2240">
        <f>SUMPRODUCT(Calc!$K$3:$K$22*(Calc!$G$3:$G$22&gt;A2240)*(Calc!$G$3:$G$22&lt;B2240))</f>
        <v/>
      </c>
      <c r="E2240">
        <f>SUMPRODUCT(Calc!$K$3:$K$22*(Calc!$G$3:$G$22&gt;=B2240))</f>
        <v/>
      </c>
      <c r="F2240">
        <f>AND(k_n&gt;=5,B2240&gt;A2240+1E-9,C2240&gt;=2,D2240&gt;=1,E2240&gt;=2)</f>
        <v/>
      </c>
      <c r="G2240">
        <f>SUMPRODUCT(Calc!$K$3:$K$22*(Calc!$G$3:$G$22&gt;A2240)*(Calc!$G$3:$G$22-A2240))</f>
        <v/>
      </c>
      <c r="H2240">
        <f>SUMPRODUCT(Calc!$K$3:$K$22*(Calc!$G$3:$G$22&gt;B2240)*(Calc!$G$3:$G$22-B2240))</f>
        <v/>
      </c>
      <c r="I2240">
        <f>SUMPRODUCT(Calc!$K$3:$K$22*(Calc!$G$3:$G$22&gt;A2240)*(Calc!$G$3:$G$22-A2240)^2)</f>
        <v/>
      </c>
      <c r="J2240">
        <f>SUMPRODUCT(Calc!$K$3:$K$22*(Calc!$G$3:$G$22&gt;B2240)*(Calc!$G$3:$G$22-B2240)^2)</f>
        <v/>
      </c>
      <c r="K2240">
        <f>SUMPRODUCT(Calc!$K$3:$K$22*(Calc!$G$3:$G$22&gt;A2240)*(Calc!$G$3:$G$22-A2240)*(Calc!$G$3:$G$22&gt;B2240)*(Calc!$G$3:$G$22-B2240))</f>
        <v/>
      </c>
      <c r="L2240">
        <f>SUMPRODUCT(Calc!$K$3:$K$22*(Calc!$G$3:$G$22&gt;A2240)*(Calc!$G$3:$G$22-A2240)*Calc!$G$3:$G$22)</f>
        <v/>
      </c>
      <c r="M2240">
        <f>SUMPRODUCT(Calc!$K$3:$K$22*(Calc!$G$3:$G$22&gt;B2240)*(Calc!$G$3:$G$22-B2240)*Calc!$G$3:$G$22)</f>
        <v/>
      </c>
      <c r="N2240">
        <f>SUMPRODUCT(Calc!$K$3:$K$22*(Calc!$G$3:$G$22&gt;A2240)*(Calc!$G$3:$G$22-A2240)*Calc!$I$3:$I$22)</f>
        <v/>
      </c>
      <c r="O2240">
        <f>SUMPRODUCT(Calc!$K$3:$K$22*(Calc!$G$3:$G$22&gt;B2240)*(Calc!$G$3:$G$22-B2240)*Calc!$I$3:$I$22)</f>
        <v/>
      </c>
      <c r="P2240">
        <f>I2240-G2240^2/k_n</f>
        <v/>
      </c>
      <c r="Q2240">
        <f>J2240-H2240^2/k_n</f>
        <v/>
      </c>
      <c r="R2240">
        <f>K2240-G2240*H2240/k_n</f>
        <v/>
      </c>
      <c r="S2240">
        <f>L2240-LTP3!$D$3*G2240/k_n</f>
        <v/>
      </c>
      <c r="T2240">
        <f>M2240-LTP3!$D$3*H2240/k_n</f>
        <v/>
      </c>
      <c r="U2240">
        <f>N2240-G2240*LTP3!$D$4/k_n</f>
        <v/>
      </c>
      <c r="V2240">
        <f>O2240-H2240*LTP3!$D$4/k_n</f>
        <v/>
      </c>
      <c r="W2240">
        <f>((LTP3!$D$5)*((P2240)*(Q2240)-(R2240)*(R2240))-(S2240)*((S2240)*(Q2240)-(R2240)*(T2240))+(T2240)*((S2240)*(R2240)-(P2240)*(T2240)))</f>
        <v/>
      </c>
      <c r="X2240">
        <f>IF(ABS(W2240)&gt;1E-12,((LTP3!$D$6)*((P2240)*(Q2240)-(R2240)*(R2240))-(S2240)*((U2240)*(Q2240)-(R2240)*(V2240))+(T2240)*((U2240)*(R2240)-(P2240)*(V2240)))/W2240,0)</f>
        <v/>
      </c>
      <c r="Y2240">
        <f>IF(ABS(W2240)&gt;1E-12,((LTP3!$D$5)*((U2240)*(Q2240)-(R2240)*(V2240))-(LTP3!$D$6)*((S2240)*(Q2240)-(R2240)*(T2240))+(T2240)*((S2240)*(V2240)-(U2240)*(T2240)))/W2240,0)</f>
        <v/>
      </c>
      <c r="Z2240">
        <f>IF(ABS(W2240)&gt;1E-12,((LTP3!$D$5)*((P2240)*(V2240)-(U2240)*(R2240))-(S2240)*((S2240)*(V2240)-(U2240)*(T2240))+(LTP3!$D$6)*((S2240)*(R2240)-(P2240)*(T2240)))/W2240,0)</f>
        <v/>
      </c>
      <c r="AA2240">
        <f>LTP3!$D$7-X2240*LTP3!$D$6-Y2240*U2240-Z2240*V2240</f>
        <v/>
      </c>
      <c r="AB2240">
        <f>IF(AND(F2240,ABS(W2240)&gt;1E-12,Y2240&gt;0,Z2240&gt;0),AA2240,1E+300)</f>
        <v/>
      </c>
    </row>
    <row r="2241">
      <c r="A2241">
        <f>$B$3+$B$5*36</f>
        <v/>
      </c>
      <c r="B2241">
        <f>$B$3+$B$5*33</f>
        <v/>
      </c>
      <c r="C2241">
        <f>SUMPRODUCT(Calc!$K$3:$K$22*(Calc!$G$3:$G$22&lt;=A2241))</f>
        <v/>
      </c>
      <c r="D2241">
        <f>SUMPRODUCT(Calc!$K$3:$K$22*(Calc!$G$3:$G$22&gt;A2241)*(Calc!$G$3:$G$22&lt;B2241))</f>
        <v/>
      </c>
      <c r="E2241">
        <f>SUMPRODUCT(Calc!$K$3:$K$22*(Calc!$G$3:$G$22&gt;=B2241))</f>
        <v/>
      </c>
      <c r="F2241">
        <f>AND(k_n&gt;=5,B2241&gt;A2241+1E-9,C2241&gt;=2,D2241&gt;=1,E2241&gt;=2)</f>
        <v/>
      </c>
      <c r="G2241">
        <f>SUMPRODUCT(Calc!$K$3:$K$22*(Calc!$G$3:$G$22&gt;A2241)*(Calc!$G$3:$G$22-A2241))</f>
        <v/>
      </c>
      <c r="H2241">
        <f>SUMPRODUCT(Calc!$K$3:$K$22*(Calc!$G$3:$G$22&gt;B2241)*(Calc!$G$3:$G$22-B2241))</f>
        <v/>
      </c>
      <c r="I2241">
        <f>SUMPRODUCT(Calc!$K$3:$K$22*(Calc!$G$3:$G$22&gt;A2241)*(Calc!$G$3:$G$22-A2241)^2)</f>
        <v/>
      </c>
      <c r="J2241">
        <f>SUMPRODUCT(Calc!$K$3:$K$22*(Calc!$G$3:$G$22&gt;B2241)*(Calc!$G$3:$G$22-B2241)^2)</f>
        <v/>
      </c>
      <c r="K2241">
        <f>SUMPRODUCT(Calc!$K$3:$K$22*(Calc!$G$3:$G$22&gt;A2241)*(Calc!$G$3:$G$22-A2241)*(Calc!$G$3:$G$22&gt;B2241)*(Calc!$G$3:$G$22-B2241))</f>
        <v/>
      </c>
      <c r="L2241">
        <f>SUMPRODUCT(Calc!$K$3:$K$22*(Calc!$G$3:$G$22&gt;A2241)*(Calc!$G$3:$G$22-A2241)*Calc!$G$3:$G$22)</f>
        <v/>
      </c>
      <c r="M2241">
        <f>SUMPRODUCT(Calc!$K$3:$K$22*(Calc!$G$3:$G$22&gt;B2241)*(Calc!$G$3:$G$22-B2241)*Calc!$G$3:$G$22)</f>
        <v/>
      </c>
      <c r="N2241">
        <f>SUMPRODUCT(Calc!$K$3:$K$22*(Calc!$G$3:$G$22&gt;A2241)*(Calc!$G$3:$G$22-A2241)*Calc!$I$3:$I$22)</f>
        <v/>
      </c>
      <c r="O2241">
        <f>SUMPRODUCT(Calc!$K$3:$K$22*(Calc!$G$3:$G$22&gt;B2241)*(Calc!$G$3:$G$22-B2241)*Calc!$I$3:$I$22)</f>
        <v/>
      </c>
      <c r="P2241">
        <f>I2241-G2241^2/k_n</f>
        <v/>
      </c>
      <c r="Q2241">
        <f>J2241-H2241^2/k_n</f>
        <v/>
      </c>
      <c r="R2241">
        <f>K2241-G2241*H2241/k_n</f>
        <v/>
      </c>
      <c r="S2241">
        <f>L2241-LTP3!$D$3*G2241/k_n</f>
        <v/>
      </c>
      <c r="T2241">
        <f>M2241-LTP3!$D$3*H2241/k_n</f>
        <v/>
      </c>
      <c r="U2241">
        <f>N2241-G2241*LTP3!$D$4/k_n</f>
        <v/>
      </c>
      <c r="V2241">
        <f>O2241-H2241*LTP3!$D$4/k_n</f>
        <v/>
      </c>
      <c r="W2241">
        <f>((LTP3!$D$5)*((P2241)*(Q2241)-(R2241)*(R2241))-(S2241)*((S2241)*(Q2241)-(R2241)*(T2241))+(T2241)*((S2241)*(R2241)-(P2241)*(T2241)))</f>
        <v/>
      </c>
      <c r="X2241">
        <f>IF(ABS(W2241)&gt;1E-12,((LTP3!$D$6)*((P2241)*(Q2241)-(R2241)*(R2241))-(S2241)*((U2241)*(Q2241)-(R2241)*(V2241))+(T2241)*((U2241)*(R2241)-(P2241)*(V2241)))/W2241,0)</f>
        <v/>
      </c>
      <c r="Y2241">
        <f>IF(ABS(W2241)&gt;1E-12,((LTP3!$D$5)*((U2241)*(Q2241)-(R2241)*(V2241))-(LTP3!$D$6)*((S2241)*(Q2241)-(R2241)*(T2241))+(T2241)*((S2241)*(V2241)-(U2241)*(T2241)))/W2241,0)</f>
        <v/>
      </c>
      <c r="Z2241">
        <f>IF(ABS(W2241)&gt;1E-12,((LTP3!$D$5)*((P2241)*(V2241)-(U2241)*(R2241))-(S2241)*((S2241)*(V2241)-(U2241)*(T2241))+(LTP3!$D$6)*((S2241)*(R2241)-(P2241)*(T2241)))/W2241,0)</f>
        <v/>
      </c>
      <c r="AA2241">
        <f>LTP3!$D$7-X2241*LTP3!$D$6-Y2241*U2241-Z2241*V2241</f>
        <v/>
      </c>
      <c r="AB2241">
        <f>IF(AND(F2241,ABS(W2241)&gt;1E-12,Y2241&gt;0,Z2241&gt;0),AA2241,1E+300)</f>
        <v/>
      </c>
    </row>
    <row r="2242">
      <c r="A2242">
        <f>$B$3+$B$5*36</f>
        <v/>
      </c>
      <c r="B2242">
        <f>$B$3+$B$5*34</f>
        <v/>
      </c>
      <c r="C2242">
        <f>SUMPRODUCT(Calc!$K$3:$K$22*(Calc!$G$3:$G$22&lt;=A2242))</f>
        <v/>
      </c>
      <c r="D2242">
        <f>SUMPRODUCT(Calc!$K$3:$K$22*(Calc!$G$3:$G$22&gt;A2242)*(Calc!$G$3:$G$22&lt;B2242))</f>
        <v/>
      </c>
      <c r="E2242">
        <f>SUMPRODUCT(Calc!$K$3:$K$22*(Calc!$G$3:$G$22&gt;=B2242))</f>
        <v/>
      </c>
      <c r="F2242">
        <f>AND(k_n&gt;=5,B2242&gt;A2242+1E-9,C2242&gt;=2,D2242&gt;=1,E2242&gt;=2)</f>
        <v/>
      </c>
      <c r="G2242">
        <f>SUMPRODUCT(Calc!$K$3:$K$22*(Calc!$G$3:$G$22&gt;A2242)*(Calc!$G$3:$G$22-A2242))</f>
        <v/>
      </c>
      <c r="H2242">
        <f>SUMPRODUCT(Calc!$K$3:$K$22*(Calc!$G$3:$G$22&gt;B2242)*(Calc!$G$3:$G$22-B2242))</f>
        <v/>
      </c>
      <c r="I2242">
        <f>SUMPRODUCT(Calc!$K$3:$K$22*(Calc!$G$3:$G$22&gt;A2242)*(Calc!$G$3:$G$22-A2242)^2)</f>
        <v/>
      </c>
      <c r="J2242">
        <f>SUMPRODUCT(Calc!$K$3:$K$22*(Calc!$G$3:$G$22&gt;B2242)*(Calc!$G$3:$G$22-B2242)^2)</f>
        <v/>
      </c>
      <c r="K2242">
        <f>SUMPRODUCT(Calc!$K$3:$K$22*(Calc!$G$3:$G$22&gt;A2242)*(Calc!$G$3:$G$22-A2242)*(Calc!$G$3:$G$22&gt;B2242)*(Calc!$G$3:$G$22-B2242))</f>
        <v/>
      </c>
      <c r="L2242">
        <f>SUMPRODUCT(Calc!$K$3:$K$22*(Calc!$G$3:$G$22&gt;A2242)*(Calc!$G$3:$G$22-A2242)*Calc!$G$3:$G$22)</f>
        <v/>
      </c>
      <c r="M2242">
        <f>SUMPRODUCT(Calc!$K$3:$K$22*(Calc!$G$3:$G$22&gt;B2242)*(Calc!$G$3:$G$22-B2242)*Calc!$G$3:$G$22)</f>
        <v/>
      </c>
      <c r="N2242">
        <f>SUMPRODUCT(Calc!$K$3:$K$22*(Calc!$G$3:$G$22&gt;A2242)*(Calc!$G$3:$G$22-A2242)*Calc!$I$3:$I$22)</f>
        <v/>
      </c>
      <c r="O2242">
        <f>SUMPRODUCT(Calc!$K$3:$K$22*(Calc!$G$3:$G$22&gt;B2242)*(Calc!$G$3:$G$22-B2242)*Calc!$I$3:$I$22)</f>
        <v/>
      </c>
      <c r="P2242">
        <f>I2242-G2242^2/k_n</f>
        <v/>
      </c>
      <c r="Q2242">
        <f>J2242-H2242^2/k_n</f>
        <v/>
      </c>
      <c r="R2242">
        <f>K2242-G2242*H2242/k_n</f>
        <v/>
      </c>
      <c r="S2242">
        <f>L2242-LTP3!$D$3*G2242/k_n</f>
        <v/>
      </c>
      <c r="T2242">
        <f>M2242-LTP3!$D$3*H2242/k_n</f>
        <v/>
      </c>
      <c r="U2242">
        <f>N2242-G2242*LTP3!$D$4/k_n</f>
        <v/>
      </c>
      <c r="V2242">
        <f>O2242-H2242*LTP3!$D$4/k_n</f>
        <v/>
      </c>
      <c r="W2242">
        <f>((LTP3!$D$5)*((P2242)*(Q2242)-(R2242)*(R2242))-(S2242)*((S2242)*(Q2242)-(R2242)*(T2242))+(T2242)*((S2242)*(R2242)-(P2242)*(T2242)))</f>
        <v/>
      </c>
      <c r="X2242">
        <f>IF(ABS(W2242)&gt;1E-12,((LTP3!$D$6)*((P2242)*(Q2242)-(R2242)*(R2242))-(S2242)*((U2242)*(Q2242)-(R2242)*(V2242))+(T2242)*((U2242)*(R2242)-(P2242)*(V2242)))/W2242,0)</f>
        <v/>
      </c>
      <c r="Y2242">
        <f>IF(ABS(W2242)&gt;1E-12,((LTP3!$D$5)*((U2242)*(Q2242)-(R2242)*(V2242))-(LTP3!$D$6)*((S2242)*(Q2242)-(R2242)*(T2242))+(T2242)*((S2242)*(V2242)-(U2242)*(T2242)))/W2242,0)</f>
        <v/>
      </c>
      <c r="Z2242">
        <f>IF(ABS(W2242)&gt;1E-12,((LTP3!$D$5)*((P2242)*(V2242)-(U2242)*(R2242))-(S2242)*((S2242)*(V2242)-(U2242)*(T2242))+(LTP3!$D$6)*((S2242)*(R2242)-(P2242)*(T2242)))/W2242,0)</f>
        <v/>
      </c>
      <c r="AA2242">
        <f>LTP3!$D$7-X2242*LTP3!$D$6-Y2242*U2242-Z2242*V2242</f>
        <v/>
      </c>
      <c r="AB2242">
        <f>IF(AND(F2242,ABS(W2242)&gt;1E-12,Y2242&gt;0,Z2242&gt;0),AA2242,1E+300)</f>
        <v/>
      </c>
    </row>
    <row r="2243">
      <c r="A2243">
        <f>$B$3+$B$5*36</f>
        <v/>
      </c>
      <c r="B2243">
        <f>$B$3+$B$5*35</f>
        <v/>
      </c>
      <c r="C2243">
        <f>SUMPRODUCT(Calc!$K$3:$K$22*(Calc!$G$3:$G$22&lt;=A2243))</f>
        <v/>
      </c>
      <c r="D2243">
        <f>SUMPRODUCT(Calc!$K$3:$K$22*(Calc!$G$3:$G$22&gt;A2243)*(Calc!$G$3:$G$22&lt;B2243))</f>
        <v/>
      </c>
      <c r="E2243">
        <f>SUMPRODUCT(Calc!$K$3:$K$22*(Calc!$G$3:$G$22&gt;=B2243))</f>
        <v/>
      </c>
      <c r="F2243">
        <f>AND(k_n&gt;=5,B2243&gt;A2243+1E-9,C2243&gt;=2,D2243&gt;=1,E2243&gt;=2)</f>
        <v/>
      </c>
      <c r="G2243">
        <f>SUMPRODUCT(Calc!$K$3:$K$22*(Calc!$G$3:$G$22&gt;A2243)*(Calc!$G$3:$G$22-A2243))</f>
        <v/>
      </c>
      <c r="H2243">
        <f>SUMPRODUCT(Calc!$K$3:$K$22*(Calc!$G$3:$G$22&gt;B2243)*(Calc!$G$3:$G$22-B2243))</f>
        <v/>
      </c>
      <c r="I2243">
        <f>SUMPRODUCT(Calc!$K$3:$K$22*(Calc!$G$3:$G$22&gt;A2243)*(Calc!$G$3:$G$22-A2243)^2)</f>
        <v/>
      </c>
      <c r="J2243">
        <f>SUMPRODUCT(Calc!$K$3:$K$22*(Calc!$G$3:$G$22&gt;B2243)*(Calc!$G$3:$G$22-B2243)^2)</f>
        <v/>
      </c>
      <c r="K2243">
        <f>SUMPRODUCT(Calc!$K$3:$K$22*(Calc!$G$3:$G$22&gt;A2243)*(Calc!$G$3:$G$22-A2243)*(Calc!$G$3:$G$22&gt;B2243)*(Calc!$G$3:$G$22-B2243))</f>
        <v/>
      </c>
      <c r="L2243">
        <f>SUMPRODUCT(Calc!$K$3:$K$22*(Calc!$G$3:$G$22&gt;A2243)*(Calc!$G$3:$G$22-A2243)*Calc!$G$3:$G$22)</f>
        <v/>
      </c>
      <c r="M2243">
        <f>SUMPRODUCT(Calc!$K$3:$K$22*(Calc!$G$3:$G$22&gt;B2243)*(Calc!$G$3:$G$22-B2243)*Calc!$G$3:$G$22)</f>
        <v/>
      </c>
      <c r="N2243">
        <f>SUMPRODUCT(Calc!$K$3:$K$22*(Calc!$G$3:$G$22&gt;A2243)*(Calc!$G$3:$G$22-A2243)*Calc!$I$3:$I$22)</f>
        <v/>
      </c>
      <c r="O2243">
        <f>SUMPRODUCT(Calc!$K$3:$K$22*(Calc!$G$3:$G$22&gt;B2243)*(Calc!$G$3:$G$22-B2243)*Calc!$I$3:$I$22)</f>
        <v/>
      </c>
      <c r="P2243">
        <f>I2243-G2243^2/k_n</f>
        <v/>
      </c>
      <c r="Q2243">
        <f>J2243-H2243^2/k_n</f>
        <v/>
      </c>
      <c r="R2243">
        <f>K2243-G2243*H2243/k_n</f>
        <v/>
      </c>
      <c r="S2243">
        <f>L2243-LTP3!$D$3*G2243/k_n</f>
        <v/>
      </c>
      <c r="T2243">
        <f>M2243-LTP3!$D$3*H2243/k_n</f>
        <v/>
      </c>
      <c r="U2243">
        <f>N2243-G2243*LTP3!$D$4/k_n</f>
        <v/>
      </c>
      <c r="V2243">
        <f>O2243-H2243*LTP3!$D$4/k_n</f>
        <v/>
      </c>
      <c r="W2243">
        <f>((LTP3!$D$5)*((P2243)*(Q2243)-(R2243)*(R2243))-(S2243)*((S2243)*(Q2243)-(R2243)*(T2243))+(T2243)*((S2243)*(R2243)-(P2243)*(T2243)))</f>
        <v/>
      </c>
      <c r="X2243">
        <f>IF(ABS(W2243)&gt;1E-12,((LTP3!$D$6)*((P2243)*(Q2243)-(R2243)*(R2243))-(S2243)*((U2243)*(Q2243)-(R2243)*(V2243))+(T2243)*((U2243)*(R2243)-(P2243)*(V2243)))/W2243,0)</f>
        <v/>
      </c>
      <c r="Y2243">
        <f>IF(ABS(W2243)&gt;1E-12,((LTP3!$D$5)*((U2243)*(Q2243)-(R2243)*(V2243))-(LTP3!$D$6)*((S2243)*(Q2243)-(R2243)*(T2243))+(T2243)*((S2243)*(V2243)-(U2243)*(T2243)))/W2243,0)</f>
        <v/>
      </c>
      <c r="Z2243">
        <f>IF(ABS(W2243)&gt;1E-12,((LTP3!$D$5)*((P2243)*(V2243)-(U2243)*(R2243))-(S2243)*((S2243)*(V2243)-(U2243)*(T2243))+(LTP3!$D$6)*((S2243)*(R2243)-(P2243)*(T2243)))/W2243,0)</f>
        <v/>
      </c>
      <c r="AA2243">
        <f>LTP3!$D$7-X2243*LTP3!$D$6-Y2243*U2243-Z2243*V2243</f>
        <v/>
      </c>
      <c r="AB2243">
        <f>IF(AND(F2243,ABS(W2243)&gt;1E-12,Y2243&gt;0,Z2243&gt;0),AA2243,1E+300)</f>
        <v/>
      </c>
    </row>
    <row r="2244">
      <c r="A2244">
        <f>$B$3+$B$5*36</f>
        <v/>
      </c>
      <c r="B2244">
        <f>$B$3+$B$5*36</f>
        <v/>
      </c>
      <c r="C2244">
        <f>SUMPRODUCT(Calc!$K$3:$K$22*(Calc!$G$3:$G$22&lt;=A2244))</f>
        <v/>
      </c>
      <c r="D2244">
        <f>SUMPRODUCT(Calc!$K$3:$K$22*(Calc!$G$3:$G$22&gt;A2244)*(Calc!$G$3:$G$22&lt;B2244))</f>
        <v/>
      </c>
      <c r="E2244">
        <f>SUMPRODUCT(Calc!$K$3:$K$22*(Calc!$G$3:$G$22&gt;=B2244))</f>
        <v/>
      </c>
      <c r="F2244">
        <f>AND(k_n&gt;=5,B2244&gt;A2244+1E-9,C2244&gt;=2,D2244&gt;=1,E2244&gt;=2)</f>
        <v/>
      </c>
      <c r="G2244">
        <f>SUMPRODUCT(Calc!$K$3:$K$22*(Calc!$G$3:$G$22&gt;A2244)*(Calc!$G$3:$G$22-A2244))</f>
        <v/>
      </c>
      <c r="H2244">
        <f>SUMPRODUCT(Calc!$K$3:$K$22*(Calc!$G$3:$G$22&gt;B2244)*(Calc!$G$3:$G$22-B2244))</f>
        <v/>
      </c>
      <c r="I2244">
        <f>SUMPRODUCT(Calc!$K$3:$K$22*(Calc!$G$3:$G$22&gt;A2244)*(Calc!$G$3:$G$22-A2244)^2)</f>
        <v/>
      </c>
      <c r="J2244">
        <f>SUMPRODUCT(Calc!$K$3:$K$22*(Calc!$G$3:$G$22&gt;B2244)*(Calc!$G$3:$G$22-B2244)^2)</f>
        <v/>
      </c>
      <c r="K2244">
        <f>SUMPRODUCT(Calc!$K$3:$K$22*(Calc!$G$3:$G$22&gt;A2244)*(Calc!$G$3:$G$22-A2244)*(Calc!$G$3:$G$22&gt;B2244)*(Calc!$G$3:$G$22-B2244))</f>
        <v/>
      </c>
      <c r="L2244">
        <f>SUMPRODUCT(Calc!$K$3:$K$22*(Calc!$G$3:$G$22&gt;A2244)*(Calc!$G$3:$G$22-A2244)*Calc!$G$3:$G$22)</f>
        <v/>
      </c>
      <c r="M2244">
        <f>SUMPRODUCT(Calc!$K$3:$K$22*(Calc!$G$3:$G$22&gt;B2244)*(Calc!$G$3:$G$22-B2244)*Calc!$G$3:$G$22)</f>
        <v/>
      </c>
      <c r="N2244">
        <f>SUMPRODUCT(Calc!$K$3:$K$22*(Calc!$G$3:$G$22&gt;A2244)*(Calc!$G$3:$G$22-A2244)*Calc!$I$3:$I$22)</f>
        <v/>
      </c>
      <c r="O2244">
        <f>SUMPRODUCT(Calc!$K$3:$K$22*(Calc!$G$3:$G$22&gt;B2244)*(Calc!$G$3:$G$22-B2244)*Calc!$I$3:$I$22)</f>
        <v/>
      </c>
      <c r="P2244">
        <f>I2244-G2244^2/k_n</f>
        <v/>
      </c>
      <c r="Q2244">
        <f>J2244-H2244^2/k_n</f>
        <v/>
      </c>
      <c r="R2244">
        <f>K2244-G2244*H2244/k_n</f>
        <v/>
      </c>
      <c r="S2244">
        <f>L2244-LTP3!$D$3*G2244/k_n</f>
        <v/>
      </c>
      <c r="T2244">
        <f>M2244-LTP3!$D$3*H2244/k_n</f>
        <v/>
      </c>
      <c r="U2244">
        <f>N2244-G2244*LTP3!$D$4/k_n</f>
        <v/>
      </c>
      <c r="V2244">
        <f>O2244-H2244*LTP3!$D$4/k_n</f>
        <v/>
      </c>
      <c r="W2244">
        <f>((LTP3!$D$5)*((P2244)*(Q2244)-(R2244)*(R2244))-(S2244)*((S2244)*(Q2244)-(R2244)*(T2244))+(T2244)*((S2244)*(R2244)-(P2244)*(T2244)))</f>
        <v/>
      </c>
      <c r="X2244">
        <f>IF(ABS(W2244)&gt;1E-12,((LTP3!$D$6)*((P2244)*(Q2244)-(R2244)*(R2244))-(S2244)*((U2244)*(Q2244)-(R2244)*(V2244))+(T2244)*((U2244)*(R2244)-(P2244)*(V2244)))/W2244,0)</f>
        <v/>
      </c>
      <c r="Y2244">
        <f>IF(ABS(W2244)&gt;1E-12,((LTP3!$D$5)*((U2244)*(Q2244)-(R2244)*(V2244))-(LTP3!$D$6)*((S2244)*(Q2244)-(R2244)*(T2244))+(T2244)*((S2244)*(V2244)-(U2244)*(T2244)))/W2244,0)</f>
        <v/>
      </c>
      <c r="Z2244">
        <f>IF(ABS(W2244)&gt;1E-12,((LTP3!$D$5)*((P2244)*(V2244)-(U2244)*(R2244))-(S2244)*((S2244)*(V2244)-(U2244)*(T2244))+(LTP3!$D$6)*((S2244)*(R2244)-(P2244)*(T2244)))/W2244,0)</f>
        <v/>
      </c>
      <c r="AA2244">
        <f>LTP3!$D$7-X2244*LTP3!$D$6-Y2244*U2244-Z2244*V2244</f>
        <v/>
      </c>
      <c r="AB2244">
        <f>IF(AND(F2244,ABS(W2244)&gt;1E-12,Y2244&gt;0,Z2244&gt;0),AA2244,1E+300)</f>
        <v/>
      </c>
    </row>
    <row r="2245">
      <c r="A2245">
        <f>$B$3+$B$5*36</f>
        <v/>
      </c>
      <c r="B2245">
        <f>$B$3+$B$5*37</f>
        <v/>
      </c>
      <c r="C2245">
        <f>SUMPRODUCT(Calc!$K$3:$K$22*(Calc!$G$3:$G$22&lt;=A2245))</f>
        <v/>
      </c>
      <c r="D2245">
        <f>SUMPRODUCT(Calc!$K$3:$K$22*(Calc!$G$3:$G$22&gt;A2245)*(Calc!$G$3:$G$22&lt;B2245))</f>
        <v/>
      </c>
      <c r="E2245">
        <f>SUMPRODUCT(Calc!$K$3:$K$22*(Calc!$G$3:$G$22&gt;=B2245))</f>
        <v/>
      </c>
      <c r="F2245">
        <f>AND(k_n&gt;=5,B2245&gt;A2245+1E-9,C2245&gt;=2,D2245&gt;=1,E2245&gt;=2)</f>
        <v/>
      </c>
      <c r="G2245">
        <f>SUMPRODUCT(Calc!$K$3:$K$22*(Calc!$G$3:$G$22&gt;A2245)*(Calc!$G$3:$G$22-A2245))</f>
        <v/>
      </c>
      <c r="H2245">
        <f>SUMPRODUCT(Calc!$K$3:$K$22*(Calc!$G$3:$G$22&gt;B2245)*(Calc!$G$3:$G$22-B2245))</f>
        <v/>
      </c>
      <c r="I2245">
        <f>SUMPRODUCT(Calc!$K$3:$K$22*(Calc!$G$3:$G$22&gt;A2245)*(Calc!$G$3:$G$22-A2245)^2)</f>
        <v/>
      </c>
      <c r="J2245">
        <f>SUMPRODUCT(Calc!$K$3:$K$22*(Calc!$G$3:$G$22&gt;B2245)*(Calc!$G$3:$G$22-B2245)^2)</f>
        <v/>
      </c>
      <c r="K2245">
        <f>SUMPRODUCT(Calc!$K$3:$K$22*(Calc!$G$3:$G$22&gt;A2245)*(Calc!$G$3:$G$22-A2245)*(Calc!$G$3:$G$22&gt;B2245)*(Calc!$G$3:$G$22-B2245))</f>
        <v/>
      </c>
      <c r="L2245">
        <f>SUMPRODUCT(Calc!$K$3:$K$22*(Calc!$G$3:$G$22&gt;A2245)*(Calc!$G$3:$G$22-A2245)*Calc!$G$3:$G$22)</f>
        <v/>
      </c>
      <c r="M2245">
        <f>SUMPRODUCT(Calc!$K$3:$K$22*(Calc!$G$3:$G$22&gt;B2245)*(Calc!$G$3:$G$22-B2245)*Calc!$G$3:$G$22)</f>
        <v/>
      </c>
      <c r="N2245">
        <f>SUMPRODUCT(Calc!$K$3:$K$22*(Calc!$G$3:$G$22&gt;A2245)*(Calc!$G$3:$G$22-A2245)*Calc!$I$3:$I$22)</f>
        <v/>
      </c>
      <c r="O2245">
        <f>SUMPRODUCT(Calc!$K$3:$K$22*(Calc!$G$3:$G$22&gt;B2245)*(Calc!$G$3:$G$22-B2245)*Calc!$I$3:$I$22)</f>
        <v/>
      </c>
      <c r="P2245">
        <f>I2245-G2245^2/k_n</f>
        <v/>
      </c>
      <c r="Q2245">
        <f>J2245-H2245^2/k_n</f>
        <v/>
      </c>
      <c r="R2245">
        <f>K2245-G2245*H2245/k_n</f>
        <v/>
      </c>
      <c r="S2245">
        <f>L2245-LTP3!$D$3*G2245/k_n</f>
        <v/>
      </c>
      <c r="T2245">
        <f>M2245-LTP3!$D$3*H2245/k_n</f>
        <v/>
      </c>
      <c r="U2245">
        <f>N2245-G2245*LTP3!$D$4/k_n</f>
        <v/>
      </c>
      <c r="V2245">
        <f>O2245-H2245*LTP3!$D$4/k_n</f>
        <v/>
      </c>
      <c r="W2245">
        <f>((LTP3!$D$5)*((P2245)*(Q2245)-(R2245)*(R2245))-(S2245)*((S2245)*(Q2245)-(R2245)*(T2245))+(T2245)*((S2245)*(R2245)-(P2245)*(T2245)))</f>
        <v/>
      </c>
      <c r="X2245">
        <f>IF(ABS(W2245)&gt;1E-12,((LTP3!$D$6)*((P2245)*(Q2245)-(R2245)*(R2245))-(S2245)*((U2245)*(Q2245)-(R2245)*(V2245))+(T2245)*((U2245)*(R2245)-(P2245)*(V2245)))/W2245,0)</f>
        <v/>
      </c>
      <c r="Y2245">
        <f>IF(ABS(W2245)&gt;1E-12,((LTP3!$D$5)*((U2245)*(Q2245)-(R2245)*(V2245))-(LTP3!$D$6)*((S2245)*(Q2245)-(R2245)*(T2245))+(T2245)*((S2245)*(V2245)-(U2245)*(T2245)))/W2245,0)</f>
        <v/>
      </c>
      <c r="Z2245">
        <f>IF(ABS(W2245)&gt;1E-12,((LTP3!$D$5)*((P2245)*(V2245)-(U2245)*(R2245))-(S2245)*((S2245)*(V2245)-(U2245)*(T2245))+(LTP3!$D$6)*((S2245)*(R2245)-(P2245)*(T2245)))/W2245,0)</f>
        <v/>
      </c>
      <c r="AA2245">
        <f>LTP3!$D$7-X2245*LTP3!$D$6-Y2245*U2245-Z2245*V2245</f>
        <v/>
      </c>
      <c r="AB2245">
        <f>IF(AND(F2245,ABS(W2245)&gt;1E-12,Y2245&gt;0,Z2245&gt;0),AA2245,1E+300)</f>
        <v/>
      </c>
    </row>
    <row r="2246">
      <c r="A2246">
        <f>$B$3+$B$5*36</f>
        <v/>
      </c>
      <c r="B2246">
        <f>$B$3+$B$5*38</f>
        <v/>
      </c>
      <c r="C2246">
        <f>SUMPRODUCT(Calc!$K$3:$K$22*(Calc!$G$3:$G$22&lt;=A2246))</f>
        <v/>
      </c>
      <c r="D2246">
        <f>SUMPRODUCT(Calc!$K$3:$K$22*(Calc!$G$3:$G$22&gt;A2246)*(Calc!$G$3:$G$22&lt;B2246))</f>
        <v/>
      </c>
      <c r="E2246">
        <f>SUMPRODUCT(Calc!$K$3:$K$22*(Calc!$G$3:$G$22&gt;=B2246))</f>
        <v/>
      </c>
      <c r="F2246">
        <f>AND(k_n&gt;=5,B2246&gt;A2246+1E-9,C2246&gt;=2,D2246&gt;=1,E2246&gt;=2)</f>
        <v/>
      </c>
      <c r="G2246">
        <f>SUMPRODUCT(Calc!$K$3:$K$22*(Calc!$G$3:$G$22&gt;A2246)*(Calc!$G$3:$G$22-A2246))</f>
        <v/>
      </c>
      <c r="H2246">
        <f>SUMPRODUCT(Calc!$K$3:$K$22*(Calc!$G$3:$G$22&gt;B2246)*(Calc!$G$3:$G$22-B2246))</f>
        <v/>
      </c>
      <c r="I2246">
        <f>SUMPRODUCT(Calc!$K$3:$K$22*(Calc!$G$3:$G$22&gt;A2246)*(Calc!$G$3:$G$22-A2246)^2)</f>
        <v/>
      </c>
      <c r="J2246">
        <f>SUMPRODUCT(Calc!$K$3:$K$22*(Calc!$G$3:$G$22&gt;B2246)*(Calc!$G$3:$G$22-B2246)^2)</f>
        <v/>
      </c>
      <c r="K2246">
        <f>SUMPRODUCT(Calc!$K$3:$K$22*(Calc!$G$3:$G$22&gt;A2246)*(Calc!$G$3:$G$22-A2246)*(Calc!$G$3:$G$22&gt;B2246)*(Calc!$G$3:$G$22-B2246))</f>
        <v/>
      </c>
      <c r="L2246">
        <f>SUMPRODUCT(Calc!$K$3:$K$22*(Calc!$G$3:$G$22&gt;A2246)*(Calc!$G$3:$G$22-A2246)*Calc!$G$3:$G$22)</f>
        <v/>
      </c>
      <c r="M2246">
        <f>SUMPRODUCT(Calc!$K$3:$K$22*(Calc!$G$3:$G$22&gt;B2246)*(Calc!$G$3:$G$22-B2246)*Calc!$G$3:$G$22)</f>
        <v/>
      </c>
      <c r="N2246">
        <f>SUMPRODUCT(Calc!$K$3:$K$22*(Calc!$G$3:$G$22&gt;A2246)*(Calc!$G$3:$G$22-A2246)*Calc!$I$3:$I$22)</f>
        <v/>
      </c>
      <c r="O2246">
        <f>SUMPRODUCT(Calc!$K$3:$K$22*(Calc!$G$3:$G$22&gt;B2246)*(Calc!$G$3:$G$22-B2246)*Calc!$I$3:$I$22)</f>
        <v/>
      </c>
      <c r="P2246">
        <f>I2246-G2246^2/k_n</f>
        <v/>
      </c>
      <c r="Q2246">
        <f>J2246-H2246^2/k_n</f>
        <v/>
      </c>
      <c r="R2246">
        <f>K2246-G2246*H2246/k_n</f>
        <v/>
      </c>
      <c r="S2246">
        <f>L2246-LTP3!$D$3*G2246/k_n</f>
        <v/>
      </c>
      <c r="T2246">
        <f>M2246-LTP3!$D$3*H2246/k_n</f>
        <v/>
      </c>
      <c r="U2246">
        <f>N2246-G2246*LTP3!$D$4/k_n</f>
        <v/>
      </c>
      <c r="V2246">
        <f>O2246-H2246*LTP3!$D$4/k_n</f>
        <v/>
      </c>
      <c r="W2246">
        <f>((LTP3!$D$5)*((P2246)*(Q2246)-(R2246)*(R2246))-(S2246)*((S2246)*(Q2246)-(R2246)*(T2246))+(T2246)*((S2246)*(R2246)-(P2246)*(T2246)))</f>
        <v/>
      </c>
      <c r="X2246">
        <f>IF(ABS(W2246)&gt;1E-12,((LTP3!$D$6)*((P2246)*(Q2246)-(R2246)*(R2246))-(S2246)*((U2246)*(Q2246)-(R2246)*(V2246))+(T2246)*((U2246)*(R2246)-(P2246)*(V2246)))/W2246,0)</f>
        <v/>
      </c>
      <c r="Y2246">
        <f>IF(ABS(W2246)&gt;1E-12,((LTP3!$D$5)*((U2246)*(Q2246)-(R2246)*(V2246))-(LTP3!$D$6)*((S2246)*(Q2246)-(R2246)*(T2246))+(T2246)*((S2246)*(V2246)-(U2246)*(T2246)))/W2246,0)</f>
        <v/>
      </c>
      <c r="Z2246">
        <f>IF(ABS(W2246)&gt;1E-12,((LTP3!$D$5)*((P2246)*(V2246)-(U2246)*(R2246))-(S2246)*((S2246)*(V2246)-(U2246)*(T2246))+(LTP3!$D$6)*((S2246)*(R2246)-(P2246)*(T2246)))/W2246,0)</f>
        <v/>
      </c>
      <c r="AA2246">
        <f>LTP3!$D$7-X2246*LTP3!$D$6-Y2246*U2246-Z2246*V2246</f>
        <v/>
      </c>
      <c r="AB2246">
        <f>IF(AND(F2246,ABS(W2246)&gt;1E-12,Y2246&gt;0,Z2246&gt;0),AA2246,1E+300)</f>
        <v/>
      </c>
    </row>
    <row r="2247">
      <c r="A2247">
        <f>$B$3+$B$5*36</f>
        <v/>
      </c>
      <c r="B2247">
        <f>$B$3+$B$5*39</f>
        <v/>
      </c>
      <c r="C2247">
        <f>SUMPRODUCT(Calc!$K$3:$K$22*(Calc!$G$3:$G$22&lt;=A2247))</f>
        <v/>
      </c>
      <c r="D2247">
        <f>SUMPRODUCT(Calc!$K$3:$K$22*(Calc!$G$3:$G$22&gt;A2247)*(Calc!$G$3:$G$22&lt;B2247))</f>
        <v/>
      </c>
      <c r="E2247">
        <f>SUMPRODUCT(Calc!$K$3:$K$22*(Calc!$G$3:$G$22&gt;=B2247))</f>
        <v/>
      </c>
      <c r="F2247">
        <f>AND(k_n&gt;=5,B2247&gt;A2247+1E-9,C2247&gt;=2,D2247&gt;=1,E2247&gt;=2)</f>
        <v/>
      </c>
      <c r="G2247">
        <f>SUMPRODUCT(Calc!$K$3:$K$22*(Calc!$G$3:$G$22&gt;A2247)*(Calc!$G$3:$G$22-A2247))</f>
        <v/>
      </c>
      <c r="H2247">
        <f>SUMPRODUCT(Calc!$K$3:$K$22*(Calc!$G$3:$G$22&gt;B2247)*(Calc!$G$3:$G$22-B2247))</f>
        <v/>
      </c>
      <c r="I2247">
        <f>SUMPRODUCT(Calc!$K$3:$K$22*(Calc!$G$3:$G$22&gt;A2247)*(Calc!$G$3:$G$22-A2247)^2)</f>
        <v/>
      </c>
      <c r="J2247">
        <f>SUMPRODUCT(Calc!$K$3:$K$22*(Calc!$G$3:$G$22&gt;B2247)*(Calc!$G$3:$G$22-B2247)^2)</f>
        <v/>
      </c>
      <c r="K2247">
        <f>SUMPRODUCT(Calc!$K$3:$K$22*(Calc!$G$3:$G$22&gt;A2247)*(Calc!$G$3:$G$22-A2247)*(Calc!$G$3:$G$22&gt;B2247)*(Calc!$G$3:$G$22-B2247))</f>
        <v/>
      </c>
      <c r="L2247">
        <f>SUMPRODUCT(Calc!$K$3:$K$22*(Calc!$G$3:$G$22&gt;A2247)*(Calc!$G$3:$G$22-A2247)*Calc!$G$3:$G$22)</f>
        <v/>
      </c>
      <c r="M2247">
        <f>SUMPRODUCT(Calc!$K$3:$K$22*(Calc!$G$3:$G$22&gt;B2247)*(Calc!$G$3:$G$22-B2247)*Calc!$G$3:$G$22)</f>
        <v/>
      </c>
      <c r="N2247">
        <f>SUMPRODUCT(Calc!$K$3:$K$22*(Calc!$G$3:$G$22&gt;A2247)*(Calc!$G$3:$G$22-A2247)*Calc!$I$3:$I$22)</f>
        <v/>
      </c>
      <c r="O2247">
        <f>SUMPRODUCT(Calc!$K$3:$K$22*(Calc!$G$3:$G$22&gt;B2247)*(Calc!$G$3:$G$22-B2247)*Calc!$I$3:$I$22)</f>
        <v/>
      </c>
      <c r="P2247">
        <f>I2247-G2247^2/k_n</f>
        <v/>
      </c>
      <c r="Q2247">
        <f>J2247-H2247^2/k_n</f>
        <v/>
      </c>
      <c r="R2247">
        <f>K2247-G2247*H2247/k_n</f>
        <v/>
      </c>
      <c r="S2247">
        <f>L2247-LTP3!$D$3*G2247/k_n</f>
        <v/>
      </c>
      <c r="T2247">
        <f>M2247-LTP3!$D$3*H2247/k_n</f>
        <v/>
      </c>
      <c r="U2247">
        <f>N2247-G2247*LTP3!$D$4/k_n</f>
        <v/>
      </c>
      <c r="V2247">
        <f>O2247-H2247*LTP3!$D$4/k_n</f>
        <v/>
      </c>
      <c r="W2247">
        <f>((LTP3!$D$5)*((P2247)*(Q2247)-(R2247)*(R2247))-(S2247)*((S2247)*(Q2247)-(R2247)*(T2247))+(T2247)*((S2247)*(R2247)-(P2247)*(T2247)))</f>
        <v/>
      </c>
      <c r="X2247">
        <f>IF(ABS(W2247)&gt;1E-12,((LTP3!$D$6)*((P2247)*(Q2247)-(R2247)*(R2247))-(S2247)*((U2247)*(Q2247)-(R2247)*(V2247))+(T2247)*((U2247)*(R2247)-(P2247)*(V2247)))/W2247,0)</f>
        <v/>
      </c>
      <c r="Y2247">
        <f>IF(ABS(W2247)&gt;1E-12,((LTP3!$D$5)*((U2247)*(Q2247)-(R2247)*(V2247))-(LTP3!$D$6)*((S2247)*(Q2247)-(R2247)*(T2247))+(T2247)*((S2247)*(V2247)-(U2247)*(T2247)))/W2247,0)</f>
        <v/>
      </c>
      <c r="Z2247">
        <f>IF(ABS(W2247)&gt;1E-12,((LTP3!$D$5)*((P2247)*(V2247)-(U2247)*(R2247))-(S2247)*((S2247)*(V2247)-(U2247)*(T2247))+(LTP3!$D$6)*((S2247)*(R2247)-(P2247)*(T2247)))/W2247,0)</f>
        <v/>
      </c>
      <c r="AA2247">
        <f>LTP3!$D$7-X2247*LTP3!$D$6-Y2247*U2247-Z2247*V2247</f>
        <v/>
      </c>
      <c r="AB2247">
        <f>IF(AND(F2247,ABS(W2247)&gt;1E-12,Y2247&gt;0,Z2247&gt;0),AA2247,1E+300)</f>
        <v/>
      </c>
    </row>
    <row r="2248">
      <c r="A2248">
        <f>$B$3+$B$5*36</f>
        <v/>
      </c>
      <c r="B2248">
        <f>$B$3+$B$5*40</f>
        <v/>
      </c>
      <c r="C2248">
        <f>SUMPRODUCT(Calc!$K$3:$K$22*(Calc!$G$3:$G$22&lt;=A2248))</f>
        <v/>
      </c>
      <c r="D2248">
        <f>SUMPRODUCT(Calc!$K$3:$K$22*(Calc!$G$3:$G$22&gt;A2248)*(Calc!$G$3:$G$22&lt;B2248))</f>
        <v/>
      </c>
      <c r="E2248">
        <f>SUMPRODUCT(Calc!$K$3:$K$22*(Calc!$G$3:$G$22&gt;=B2248))</f>
        <v/>
      </c>
      <c r="F2248">
        <f>AND(k_n&gt;=5,B2248&gt;A2248+1E-9,C2248&gt;=2,D2248&gt;=1,E2248&gt;=2)</f>
        <v/>
      </c>
      <c r="G2248">
        <f>SUMPRODUCT(Calc!$K$3:$K$22*(Calc!$G$3:$G$22&gt;A2248)*(Calc!$G$3:$G$22-A2248))</f>
        <v/>
      </c>
      <c r="H2248">
        <f>SUMPRODUCT(Calc!$K$3:$K$22*(Calc!$G$3:$G$22&gt;B2248)*(Calc!$G$3:$G$22-B2248))</f>
        <v/>
      </c>
      <c r="I2248">
        <f>SUMPRODUCT(Calc!$K$3:$K$22*(Calc!$G$3:$G$22&gt;A2248)*(Calc!$G$3:$G$22-A2248)^2)</f>
        <v/>
      </c>
      <c r="J2248">
        <f>SUMPRODUCT(Calc!$K$3:$K$22*(Calc!$G$3:$G$22&gt;B2248)*(Calc!$G$3:$G$22-B2248)^2)</f>
        <v/>
      </c>
      <c r="K2248">
        <f>SUMPRODUCT(Calc!$K$3:$K$22*(Calc!$G$3:$G$22&gt;A2248)*(Calc!$G$3:$G$22-A2248)*(Calc!$G$3:$G$22&gt;B2248)*(Calc!$G$3:$G$22-B2248))</f>
        <v/>
      </c>
      <c r="L2248">
        <f>SUMPRODUCT(Calc!$K$3:$K$22*(Calc!$G$3:$G$22&gt;A2248)*(Calc!$G$3:$G$22-A2248)*Calc!$G$3:$G$22)</f>
        <v/>
      </c>
      <c r="M2248">
        <f>SUMPRODUCT(Calc!$K$3:$K$22*(Calc!$G$3:$G$22&gt;B2248)*(Calc!$G$3:$G$22-B2248)*Calc!$G$3:$G$22)</f>
        <v/>
      </c>
      <c r="N2248">
        <f>SUMPRODUCT(Calc!$K$3:$K$22*(Calc!$G$3:$G$22&gt;A2248)*(Calc!$G$3:$G$22-A2248)*Calc!$I$3:$I$22)</f>
        <v/>
      </c>
      <c r="O2248">
        <f>SUMPRODUCT(Calc!$K$3:$K$22*(Calc!$G$3:$G$22&gt;B2248)*(Calc!$G$3:$G$22-B2248)*Calc!$I$3:$I$22)</f>
        <v/>
      </c>
      <c r="P2248">
        <f>I2248-G2248^2/k_n</f>
        <v/>
      </c>
      <c r="Q2248">
        <f>J2248-H2248^2/k_n</f>
        <v/>
      </c>
      <c r="R2248">
        <f>K2248-G2248*H2248/k_n</f>
        <v/>
      </c>
      <c r="S2248">
        <f>L2248-LTP3!$D$3*G2248/k_n</f>
        <v/>
      </c>
      <c r="T2248">
        <f>M2248-LTP3!$D$3*H2248/k_n</f>
        <v/>
      </c>
      <c r="U2248">
        <f>N2248-G2248*LTP3!$D$4/k_n</f>
        <v/>
      </c>
      <c r="V2248">
        <f>O2248-H2248*LTP3!$D$4/k_n</f>
        <v/>
      </c>
      <c r="W2248">
        <f>((LTP3!$D$5)*((P2248)*(Q2248)-(R2248)*(R2248))-(S2248)*((S2248)*(Q2248)-(R2248)*(T2248))+(T2248)*((S2248)*(R2248)-(P2248)*(T2248)))</f>
        <v/>
      </c>
      <c r="X2248">
        <f>IF(ABS(W2248)&gt;1E-12,((LTP3!$D$6)*((P2248)*(Q2248)-(R2248)*(R2248))-(S2248)*((U2248)*(Q2248)-(R2248)*(V2248))+(T2248)*((U2248)*(R2248)-(P2248)*(V2248)))/W2248,0)</f>
        <v/>
      </c>
      <c r="Y2248">
        <f>IF(ABS(W2248)&gt;1E-12,((LTP3!$D$5)*((U2248)*(Q2248)-(R2248)*(V2248))-(LTP3!$D$6)*((S2248)*(Q2248)-(R2248)*(T2248))+(T2248)*((S2248)*(V2248)-(U2248)*(T2248)))/W2248,0)</f>
        <v/>
      </c>
      <c r="Z2248">
        <f>IF(ABS(W2248)&gt;1E-12,((LTP3!$D$5)*((P2248)*(V2248)-(U2248)*(R2248))-(S2248)*((S2248)*(V2248)-(U2248)*(T2248))+(LTP3!$D$6)*((S2248)*(R2248)-(P2248)*(T2248)))/W2248,0)</f>
        <v/>
      </c>
      <c r="AA2248">
        <f>LTP3!$D$7-X2248*LTP3!$D$6-Y2248*U2248-Z2248*V2248</f>
        <v/>
      </c>
      <c r="AB2248">
        <f>IF(AND(F2248,ABS(W2248)&gt;1E-12,Y2248&gt;0,Z2248&gt;0),AA2248,1E+300)</f>
        <v/>
      </c>
    </row>
    <row r="2249">
      <c r="A2249">
        <f>$B$3+$B$5*36</f>
        <v/>
      </c>
      <c r="B2249">
        <f>$B$3+$B$5*41</f>
        <v/>
      </c>
      <c r="C2249">
        <f>SUMPRODUCT(Calc!$K$3:$K$22*(Calc!$G$3:$G$22&lt;=A2249))</f>
        <v/>
      </c>
      <c r="D2249">
        <f>SUMPRODUCT(Calc!$K$3:$K$22*(Calc!$G$3:$G$22&gt;A2249)*(Calc!$G$3:$G$22&lt;B2249))</f>
        <v/>
      </c>
      <c r="E2249">
        <f>SUMPRODUCT(Calc!$K$3:$K$22*(Calc!$G$3:$G$22&gt;=B2249))</f>
        <v/>
      </c>
      <c r="F2249">
        <f>AND(k_n&gt;=5,B2249&gt;A2249+1E-9,C2249&gt;=2,D2249&gt;=1,E2249&gt;=2)</f>
        <v/>
      </c>
      <c r="G2249">
        <f>SUMPRODUCT(Calc!$K$3:$K$22*(Calc!$G$3:$G$22&gt;A2249)*(Calc!$G$3:$G$22-A2249))</f>
        <v/>
      </c>
      <c r="H2249">
        <f>SUMPRODUCT(Calc!$K$3:$K$22*(Calc!$G$3:$G$22&gt;B2249)*(Calc!$G$3:$G$22-B2249))</f>
        <v/>
      </c>
      <c r="I2249">
        <f>SUMPRODUCT(Calc!$K$3:$K$22*(Calc!$G$3:$G$22&gt;A2249)*(Calc!$G$3:$G$22-A2249)^2)</f>
        <v/>
      </c>
      <c r="J2249">
        <f>SUMPRODUCT(Calc!$K$3:$K$22*(Calc!$G$3:$G$22&gt;B2249)*(Calc!$G$3:$G$22-B2249)^2)</f>
        <v/>
      </c>
      <c r="K2249">
        <f>SUMPRODUCT(Calc!$K$3:$K$22*(Calc!$G$3:$G$22&gt;A2249)*(Calc!$G$3:$G$22-A2249)*(Calc!$G$3:$G$22&gt;B2249)*(Calc!$G$3:$G$22-B2249))</f>
        <v/>
      </c>
      <c r="L2249">
        <f>SUMPRODUCT(Calc!$K$3:$K$22*(Calc!$G$3:$G$22&gt;A2249)*(Calc!$G$3:$G$22-A2249)*Calc!$G$3:$G$22)</f>
        <v/>
      </c>
      <c r="M2249">
        <f>SUMPRODUCT(Calc!$K$3:$K$22*(Calc!$G$3:$G$22&gt;B2249)*(Calc!$G$3:$G$22-B2249)*Calc!$G$3:$G$22)</f>
        <v/>
      </c>
      <c r="N2249">
        <f>SUMPRODUCT(Calc!$K$3:$K$22*(Calc!$G$3:$G$22&gt;A2249)*(Calc!$G$3:$G$22-A2249)*Calc!$I$3:$I$22)</f>
        <v/>
      </c>
      <c r="O2249">
        <f>SUMPRODUCT(Calc!$K$3:$K$22*(Calc!$G$3:$G$22&gt;B2249)*(Calc!$G$3:$G$22-B2249)*Calc!$I$3:$I$22)</f>
        <v/>
      </c>
      <c r="P2249">
        <f>I2249-G2249^2/k_n</f>
        <v/>
      </c>
      <c r="Q2249">
        <f>J2249-H2249^2/k_n</f>
        <v/>
      </c>
      <c r="R2249">
        <f>K2249-G2249*H2249/k_n</f>
        <v/>
      </c>
      <c r="S2249">
        <f>L2249-LTP3!$D$3*G2249/k_n</f>
        <v/>
      </c>
      <c r="T2249">
        <f>M2249-LTP3!$D$3*H2249/k_n</f>
        <v/>
      </c>
      <c r="U2249">
        <f>N2249-G2249*LTP3!$D$4/k_n</f>
        <v/>
      </c>
      <c r="V2249">
        <f>O2249-H2249*LTP3!$D$4/k_n</f>
        <v/>
      </c>
      <c r="W2249">
        <f>((LTP3!$D$5)*((P2249)*(Q2249)-(R2249)*(R2249))-(S2249)*((S2249)*(Q2249)-(R2249)*(T2249))+(T2249)*((S2249)*(R2249)-(P2249)*(T2249)))</f>
        <v/>
      </c>
      <c r="X2249">
        <f>IF(ABS(W2249)&gt;1E-12,((LTP3!$D$6)*((P2249)*(Q2249)-(R2249)*(R2249))-(S2249)*((U2249)*(Q2249)-(R2249)*(V2249))+(T2249)*((U2249)*(R2249)-(P2249)*(V2249)))/W2249,0)</f>
        <v/>
      </c>
      <c r="Y2249">
        <f>IF(ABS(W2249)&gt;1E-12,((LTP3!$D$5)*((U2249)*(Q2249)-(R2249)*(V2249))-(LTP3!$D$6)*((S2249)*(Q2249)-(R2249)*(T2249))+(T2249)*((S2249)*(V2249)-(U2249)*(T2249)))/W2249,0)</f>
        <v/>
      </c>
      <c r="Z2249">
        <f>IF(ABS(W2249)&gt;1E-12,((LTP3!$D$5)*((P2249)*(V2249)-(U2249)*(R2249))-(S2249)*((S2249)*(V2249)-(U2249)*(T2249))+(LTP3!$D$6)*((S2249)*(R2249)-(P2249)*(T2249)))/W2249,0)</f>
        <v/>
      </c>
      <c r="AA2249">
        <f>LTP3!$D$7-X2249*LTP3!$D$6-Y2249*U2249-Z2249*V2249</f>
        <v/>
      </c>
      <c r="AB2249">
        <f>IF(AND(F2249,ABS(W2249)&gt;1E-12,Y2249&gt;0,Z2249&gt;0),AA2249,1E+300)</f>
        <v/>
      </c>
    </row>
    <row r="2250">
      <c r="A2250">
        <f>$B$3+$B$5*36</f>
        <v/>
      </c>
      <c r="B2250">
        <f>$B$3+$B$5*42</f>
        <v/>
      </c>
      <c r="C2250">
        <f>SUMPRODUCT(Calc!$K$3:$K$22*(Calc!$G$3:$G$22&lt;=A2250))</f>
        <v/>
      </c>
      <c r="D2250">
        <f>SUMPRODUCT(Calc!$K$3:$K$22*(Calc!$G$3:$G$22&gt;A2250)*(Calc!$G$3:$G$22&lt;B2250))</f>
        <v/>
      </c>
      <c r="E2250">
        <f>SUMPRODUCT(Calc!$K$3:$K$22*(Calc!$G$3:$G$22&gt;=B2250))</f>
        <v/>
      </c>
      <c r="F2250">
        <f>AND(k_n&gt;=5,B2250&gt;A2250+1E-9,C2250&gt;=2,D2250&gt;=1,E2250&gt;=2)</f>
        <v/>
      </c>
      <c r="G2250">
        <f>SUMPRODUCT(Calc!$K$3:$K$22*(Calc!$G$3:$G$22&gt;A2250)*(Calc!$G$3:$G$22-A2250))</f>
        <v/>
      </c>
      <c r="H2250">
        <f>SUMPRODUCT(Calc!$K$3:$K$22*(Calc!$G$3:$G$22&gt;B2250)*(Calc!$G$3:$G$22-B2250))</f>
        <v/>
      </c>
      <c r="I2250">
        <f>SUMPRODUCT(Calc!$K$3:$K$22*(Calc!$G$3:$G$22&gt;A2250)*(Calc!$G$3:$G$22-A2250)^2)</f>
        <v/>
      </c>
      <c r="J2250">
        <f>SUMPRODUCT(Calc!$K$3:$K$22*(Calc!$G$3:$G$22&gt;B2250)*(Calc!$G$3:$G$22-B2250)^2)</f>
        <v/>
      </c>
      <c r="K2250">
        <f>SUMPRODUCT(Calc!$K$3:$K$22*(Calc!$G$3:$G$22&gt;A2250)*(Calc!$G$3:$G$22-A2250)*(Calc!$G$3:$G$22&gt;B2250)*(Calc!$G$3:$G$22-B2250))</f>
        <v/>
      </c>
      <c r="L2250">
        <f>SUMPRODUCT(Calc!$K$3:$K$22*(Calc!$G$3:$G$22&gt;A2250)*(Calc!$G$3:$G$22-A2250)*Calc!$G$3:$G$22)</f>
        <v/>
      </c>
      <c r="M2250">
        <f>SUMPRODUCT(Calc!$K$3:$K$22*(Calc!$G$3:$G$22&gt;B2250)*(Calc!$G$3:$G$22-B2250)*Calc!$G$3:$G$22)</f>
        <v/>
      </c>
      <c r="N2250">
        <f>SUMPRODUCT(Calc!$K$3:$K$22*(Calc!$G$3:$G$22&gt;A2250)*(Calc!$G$3:$G$22-A2250)*Calc!$I$3:$I$22)</f>
        <v/>
      </c>
      <c r="O2250">
        <f>SUMPRODUCT(Calc!$K$3:$K$22*(Calc!$G$3:$G$22&gt;B2250)*(Calc!$G$3:$G$22-B2250)*Calc!$I$3:$I$22)</f>
        <v/>
      </c>
      <c r="P2250">
        <f>I2250-G2250^2/k_n</f>
        <v/>
      </c>
      <c r="Q2250">
        <f>J2250-H2250^2/k_n</f>
        <v/>
      </c>
      <c r="R2250">
        <f>K2250-G2250*H2250/k_n</f>
        <v/>
      </c>
      <c r="S2250">
        <f>L2250-LTP3!$D$3*G2250/k_n</f>
        <v/>
      </c>
      <c r="T2250">
        <f>M2250-LTP3!$D$3*H2250/k_n</f>
        <v/>
      </c>
      <c r="U2250">
        <f>N2250-G2250*LTP3!$D$4/k_n</f>
        <v/>
      </c>
      <c r="V2250">
        <f>O2250-H2250*LTP3!$D$4/k_n</f>
        <v/>
      </c>
      <c r="W2250">
        <f>((LTP3!$D$5)*((P2250)*(Q2250)-(R2250)*(R2250))-(S2250)*((S2250)*(Q2250)-(R2250)*(T2250))+(T2250)*((S2250)*(R2250)-(P2250)*(T2250)))</f>
        <v/>
      </c>
      <c r="X2250">
        <f>IF(ABS(W2250)&gt;1E-12,((LTP3!$D$6)*((P2250)*(Q2250)-(R2250)*(R2250))-(S2250)*((U2250)*(Q2250)-(R2250)*(V2250))+(T2250)*((U2250)*(R2250)-(P2250)*(V2250)))/W2250,0)</f>
        <v/>
      </c>
      <c r="Y2250">
        <f>IF(ABS(W2250)&gt;1E-12,((LTP3!$D$5)*((U2250)*(Q2250)-(R2250)*(V2250))-(LTP3!$D$6)*((S2250)*(Q2250)-(R2250)*(T2250))+(T2250)*((S2250)*(V2250)-(U2250)*(T2250)))/W2250,0)</f>
        <v/>
      </c>
      <c r="Z2250">
        <f>IF(ABS(W2250)&gt;1E-12,((LTP3!$D$5)*((P2250)*(V2250)-(U2250)*(R2250))-(S2250)*((S2250)*(V2250)-(U2250)*(T2250))+(LTP3!$D$6)*((S2250)*(R2250)-(P2250)*(T2250)))/W2250,0)</f>
        <v/>
      </c>
      <c r="AA2250">
        <f>LTP3!$D$7-X2250*LTP3!$D$6-Y2250*U2250-Z2250*V2250</f>
        <v/>
      </c>
      <c r="AB2250">
        <f>IF(AND(F2250,ABS(W2250)&gt;1E-12,Y2250&gt;0,Z2250&gt;0),AA2250,1E+300)</f>
        <v/>
      </c>
    </row>
    <row r="2251">
      <c r="A2251">
        <f>$B$3+$B$5*36</f>
        <v/>
      </c>
      <c r="B2251">
        <f>$B$3+$B$5*43</f>
        <v/>
      </c>
      <c r="C2251">
        <f>SUMPRODUCT(Calc!$K$3:$K$22*(Calc!$G$3:$G$22&lt;=A2251))</f>
        <v/>
      </c>
      <c r="D2251">
        <f>SUMPRODUCT(Calc!$K$3:$K$22*(Calc!$G$3:$G$22&gt;A2251)*(Calc!$G$3:$G$22&lt;B2251))</f>
        <v/>
      </c>
      <c r="E2251">
        <f>SUMPRODUCT(Calc!$K$3:$K$22*(Calc!$G$3:$G$22&gt;=B2251))</f>
        <v/>
      </c>
      <c r="F2251">
        <f>AND(k_n&gt;=5,B2251&gt;A2251+1E-9,C2251&gt;=2,D2251&gt;=1,E2251&gt;=2)</f>
        <v/>
      </c>
      <c r="G2251">
        <f>SUMPRODUCT(Calc!$K$3:$K$22*(Calc!$G$3:$G$22&gt;A2251)*(Calc!$G$3:$G$22-A2251))</f>
        <v/>
      </c>
      <c r="H2251">
        <f>SUMPRODUCT(Calc!$K$3:$K$22*(Calc!$G$3:$G$22&gt;B2251)*(Calc!$G$3:$G$22-B2251))</f>
        <v/>
      </c>
      <c r="I2251">
        <f>SUMPRODUCT(Calc!$K$3:$K$22*(Calc!$G$3:$G$22&gt;A2251)*(Calc!$G$3:$G$22-A2251)^2)</f>
        <v/>
      </c>
      <c r="J2251">
        <f>SUMPRODUCT(Calc!$K$3:$K$22*(Calc!$G$3:$G$22&gt;B2251)*(Calc!$G$3:$G$22-B2251)^2)</f>
        <v/>
      </c>
      <c r="K2251">
        <f>SUMPRODUCT(Calc!$K$3:$K$22*(Calc!$G$3:$G$22&gt;A2251)*(Calc!$G$3:$G$22-A2251)*(Calc!$G$3:$G$22&gt;B2251)*(Calc!$G$3:$G$22-B2251))</f>
        <v/>
      </c>
      <c r="L2251">
        <f>SUMPRODUCT(Calc!$K$3:$K$22*(Calc!$G$3:$G$22&gt;A2251)*(Calc!$G$3:$G$22-A2251)*Calc!$G$3:$G$22)</f>
        <v/>
      </c>
      <c r="M2251">
        <f>SUMPRODUCT(Calc!$K$3:$K$22*(Calc!$G$3:$G$22&gt;B2251)*(Calc!$G$3:$G$22-B2251)*Calc!$G$3:$G$22)</f>
        <v/>
      </c>
      <c r="N2251">
        <f>SUMPRODUCT(Calc!$K$3:$K$22*(Calc!$G$3:$G$22&gt;A2251)*(Calc!$G$3:$G$22-A2251)*Calc!$I$3:$I$22)</f>
        <v/>
      </c>
      <c r="O2251">
        <f>SUMPRODUCT(Calc!$K$3:$K$22*(Calc!$G$3:$G$22&gt;B2251)*(Calc!$G$3:$G$22-B2251)*Calc!$I$3:$I$22)</f>
        <v/>
      </c>
      <c r="P2251">
        <f>I2251-G2251^2/k_n</f>
        <v/>
      </c>
      <c r="Q2251">
        <f>J2251-H2251^2/k_n</f>
        <v/>
      </c>
      <c r="R2251">
        <f>K2251-G2251*H2251/k_n</f>
        <v/>
      </c>
      <c r="S2251">
        <f>L2251-LTP3!$D$3*G2251/k_n</f>
        <v/>
      </c>
      <c r="T2251">
        <f>M2251-LTP3!$D$3*H2251/k_n</f>
        <v/>
      </c>
      <c r="U2251">
        <f>N2251-G2251*LTP3!$D$4/k_n</f>
        <v/>
      </c>
      <c r="V2251">
        <f>O2251-H2251*LTP3!$D$4/k_n</f>
        <v/>
      </c>
      <c r="W2251">
        <f>((LTP3!$D$5)*((P2251)*(Q2251)-(R2251)*(R2251))-(S2251)*((S2251)*(Q2251)-(R2251)*(T2251))+(T2251)*((S2251)*(R2251)-(P2251)*(T2251)))</f>
        <v/>
      </c>
      <c r="X2251">
        <f>IF(ABS(W2251)&gt;1E-12,((LTP3!$D$6)*((P2251)*(Q2251)-(R2251)*(R2251))-(S2251)*((U2251)*(Q2251)-(R2251)*(V2251))+(T2251)*((U2251)*(R2251)-(P2251)*(V2251)))/W2251,0)</f>
        <v/>
      </c>
      <c r="Y2251">
        <f>IF(ABS(W2251)&gt;1E-12,((LTP3!$D$5)*((U2251)*(Q2251)-(R2251)*(V2251))-(LTP3!$D$6)*((S2251)*(Q2251)-(R2251)*(T2251))+(T2251)*((S2251)*(V2251)-(U2251)*(T2251)))/W2251,0)</f>
        <v/>
      </c>
      <c r="Z2251">
        <f>IF(ABS(W2251)&gt;1E-12,((LTP3!$D$5)*((P2251)*(V2251)-(U2251)*(R2251))-(S2251)*((S2251)*(V2251)-(U2251)*(T2251))+(LTP3!$D$6)*((S2251)*(R2251)-(P2251)*(T2251)))/W2251,0)</f>
        <v/>
      </c>
      <c r="AA2251">
        <f>LTP3!$D$7-X2251*LTP3!$D$6-Y2251*U2251-Z2251*V2251</f>
        <v/>
      </c>
      <c r="AB2251">
        <f>IF(AND(F2251,ABS(W2251)&gt;1E-12,Y2251&gt;0,Z2251&gt;0),AA2251,1E+300)</f>
        <v/>
      </c>
    </row>
    <row r="2252">
      <c r="A2252">
        <f>$B$3+$B$5*36</f>
        <v/>
      </c>
      <c r="B2252">
        <f>$B$3+$B$5*44</f>
        <v/>
      </c>
      <c r="C2252">
        <f>SUMPRODUCT(Calc!$K$3:$K$22*(Calc!$G$3:$G$22&lt;=A2252))</f>
        <v/>
      </c>
      <c r="D2252">
        <f>SUMPRODUCT(Calc!$K$3:$K$22*(Calc!$G$3:$G$22&gt;A2252)*(Calc!$G$3:$G$22&lt;B2252))</f>
        <v/>
      </c>
      <c r="E2252">
        <f>SUMPRODUCT(Calc!$K$3:$K$22*(Calc!$G$3:$G$22&gt;=B2252))</f>
        <v/>
      </c>
      <c r="F2252">
        <f>AND(k_n&gt;=5,B2252&gt;A2252+1E-9,C2252&gt;=2,D2252&gt;=1,E2252&gt;=2)</f>
        <v/>
      </c>
      <c r="G2252">
        <f>SUMPRODUCT(Calc!$K$3:$K$22*(Calc!$G$3:$G$22&gt;A2252)*(Calc!$G$3:$G$22-A2252))</f>
        <v/>
      </c>
      <c r="H2252">
        <f>SUMPRODUCT(Calc!$K$3:$K$22*(Calc!$G$3:$G$22&gt;B2252)*(Calc!$G$3:$G$22-B2252))</f>
        <v/>
      </c>
      <c r="I2252">
        <f>SUMPRODUCT(Calc!$K$3:$K$22*(Calc!$G$3:$G$22&gt;A2252)*(Calc!$G$3:$G$22-A2252)^2)</f>
        <v/>
      </c>
      <c r="J2252">
        <f>SUMPRODUCT(Calc!$K$3:$K$22*(Calc!$G$3:$G$22&gt;B2252)*(Calc!$G$3:$G$22-B2252)^2)</f>
        <v/>
      </c>
      <c r="K2252">
        <f>SUMPRODUCT(Calc!$K$3:$K$22*(Calc!$G$3:$G$22&gt;A2252)*(Calc!$G$3:$G$22-A2252)*(Calc!$G$3:$G$22&gt;B2252)*(Calc!$G$3:$G$22-B2252))</f>
        <v/>
      </c>
      <c r="L2252">
        <f>SUMPRODUCT(Calc!$K$3:$K$22*(Calc!$G$3:$G$22&gt;A2252)*(Calc!$G$3:$G$22-A2252)*Calc!$G$3:$G$22)</f>
        <v/>
      </c>
      <c r="M2252">
        <f>SUMPRODUCT(Calc!$K$3:$K$22*(Calc!$G$3:$G$22&gt;B2252)*(Calc!$G$3:$G$22-B2252)*Calc!$G$3:$G$22)</f>
        <v/>
      </c>
      <c r="N2252">
        <f>SUMPRODUCT(Calc!$K$3:$K$22*(Calc!$G$3:$G$22&gt;A2252)*(Calc!$G$3:$G$22-A2252)*Calc!$I$3:$I$22)</f>
        <v/>
      </c>
      <c r="O2252">
        <f>SUMPRODUCT(Calc!$K$3:$K$22*(Calc!$G$3:$G$22&gt;B2252)*(Calc!$G$3:$G$22-B2252)*Calc!$I$3:$I$22)</f>
        <v/>
      </c>
      <c r="P2252">
        <f>I2252-G2252^2/k_n</f>
        <v/>
      </c>
      <c r="Q2252">
        <f>J2252-H2252^2/k_n</f>
        <v/>
      </c>
      <c r="R2252">
        <f>K2252-G2252*H2252/k_n</f>
        <v/>
      </c>
      <c r="S2252">
        <f>L2252-LTP3!$D$3*G2252/k_n</f>
        <v/>
      </c>
      <c r="T2252">
        <f>M2252-LTP3!$D$3*H2252/k_n</f>
        <v/>
      </c>
      <c r="U2252">
        <f>N2252-G2252*LTP3!$D$4/k_n</f>
        <v/>
      </c>
      <c r="V2252">
        <f>O2252-H2252*LTP3!$D$4/k_n</f>
        <v/>
      </c>
      <c r="W2252">
        <f>((LTP3!$D$5)*((P2252)*(Q2252)-(R2252)*(R2252))-(S2252)*((S2252)*(Q2252)-(R2252)*(T2252))+(T2252)*((S2252)*(R2252)-(P2252)*(T2252)))</f>
        <v/>
      </c>
      <c r="X2252">
        <f>IF(ABS(W2252)&gt;1E-12,((LTP3!$D$6)*((P2252)*(Q2252)-(R2252)*(R2252))-(S2252)*((U2252)*(Q2252)-(R2252)*(V2252))+(T2252)*((U2252)*(R2252)-(P2252)*(V2252)))/W2252,0)</f>
        <v/>
      </c>
      <c r="Y2252">
        <f>IF(ABS(W2252)&gt;1E-12,((LTP3!$D$5)*((U2252)*(Q2252)-(R2252)*(V2252))-(LTP3!$D$6)*((S2252)*(Q2252)-(R2252)*(T2252))+(T2252)*((S2252)*(V2252)-(U2252)*(T2252)))/W2252,0)</f>
        <v/>
      </c>
      <c r="Z2252">
        <f>IF(ABS(W2252)&gt;1E-12,((LTP3!$D$5)*((P2252)*(V2252)-(U2252)*(R2252))-(S2252)*((S2252)*(V2252)-(U2252)*(T2252))+(LTP3!$D$6)*((S2252)*(R2252)-(P2252)*(T2252)))/W2252,0)</f>
        <v/>
      </c>
      <c r="AA2252">
        <f>LTP3!$D$7-X2252*LTP3!$D$6-Y2252*U2252-Z2252*V2252</f>
        <v/>
      </c>
      <c r="AB2252">
        <f>IF(AND(F2252,ABS(W2252)&gt;1E-12,Y2252&gt;0,Z2252&gt;0),AA2252,1E+300)</f>
        <v/>
      </c>
    </row>
    <row r="2253">
      <c r="A2253">
        <f>$B$3+$B$5*36</f>
        <v/>
      </c>
      <c r="B2253">
        <f>$B$3+$B$5*45</f>
        <v/>
      </c>
      <c r="C2253">
        <f>SUMPRODUCT(Calc!$K$3:$K$22*(Calc!$G$3:$G$22&lt;=A2253))</f>
        <v/>
      </c>
      <c r="D2253">
        <f>SUMPRODUCT(Calc!$K$3:$K$22*(Calc!$G$3:$G$22&gt;A2253)*(Calc!$G$3:$G$22&lt;B2253))</f>
        <v/>
      </c>
      <c r="E2253">
        <f>SUMPRODUCT(Calc!$K$3:$K$22*(Calc!$G$3:$G$22&gt;=B2253))</f>
        <v/>
      </c>
      <c r="F2253">
        <f>AND(k_n&gt;=5,B2253&gt;A2253+1E-9,C2253&gt;=2,D2253&gt;=1,E2253&gt;=2)</f>
        <v/>
      </c>
      <c r="G2253">
        <f>SUMPRODUCT(Calc!$K$3:$K$22*(Calc!$G$3:$G$22&gt;A2253)*(Calc!$G$3:$G$22-A2253))</f>
        <v/>
      </c>
      <c r="H2253">
        <f>SUMPRODUCT(Calc!$K$3:$K$22*(Calc!$G$3:$G$22&gt;B2253)*(Calc!$G$3:$G$22-B2253))</f>
        <v/>
      </c>
      <c r="I2253">
        <f>SUMPRODUCT(Calc!$K$3:$K$22*(Calc!$G$3:$G$22&gt;A2253)*(Calc!$G$3:$G$22-A2253)^2)</f>
        <v/>
      </c>
      <c r="J2253">
        <f>SUMPRODUCT(Calc!$K$3:$K$22*(Calc!$G$3:$G$22&gt;B2253)*(Calc!$G$3:$G$22-B2253)^2)</f>
        <v/>
      </c>
      <c r="K2253">
        <f>SUMPRODUCT(Calc!$K$3:$K$22*(Calc!$G$3:$G$22&gt;A2253)*(Calc!$G$3:$G$22-A2253)*(Calc!$G$3:$G$22&gt;B2253)*(Calc!$G$3:$G$22-B2253))</f>
        <v/>
      </c>
      <c r="L2253">
        <f>SUMPRODUCT(Calc!$K$3:$K$22*(Calc!$G$3:$G$22&gt;A2253)*(Calc!$G$3:$G$22-A2253)*Calc!$G$3:$G$22)</f>
        <v/>
      </c>
      <c r="M2253">
        <f>SUMPRODUCT(Calc!$K$3:$K$22*(Calc!$G$3:$G$22&gt;B2253)*(Calc!$G$3:$G$22-B2253)*Calc!$G$3:$G$22)</f>
        <v/>
      </c>
      <c r="N2253">
        <f>SUMPRODUCT(Calc!$K$3:$K$22*(Calc!$G$3:$G$22&gt;A2253)*(Calc!$G$3:$G$22-A2253)*Calc!$I$3:$I$22)</f>
        <v/>
      </c>
      <c r="O2253">
        <f>SUMPRODUCT(Calc!$K$3:$K$22*(Calc!$G$3:$G$22&gt;B2253)*(Calc!$G$3:$G$22-B2253)*Calc!$I$3:$I$22)</f>
        <v/>
      </c>
      <c r="P2253">
        <f>I2253-G2253^2/k_n</f>
        <v/>
      </c>
      <c r="Q2253">
        <f>J2253-H2253^2/k_n</f>
        <v/>
      </c>
      <c r="R2253">
        <f>K2253-G2253*H2253/k_n</f>
        <v/>
      </c>
      <c r="S2253">
        <f>L2253-LTP3!$D$3*G2253/k_n</f>
        <v/>
      </c>
      <c r="T2253">
        <f>M2253-LTP3!$D$3*H2253/k_n</f>
        <v/>
      </c>
      <c r="U2253">
        <f>N2253-G2253*LTP3!$D$4/k_n</f>
        <v/>
      </c>
      <c r="V2253">
        <f>O2253-H2253*LTP3!$D$4/k_n</f>
        <v/>
      </c>
      <c r="W2253">
        <f>((LTP3!$D$5)*((P2253)*(Q2253)-(R2253)*(R2253))-(S2253)*((S2253)*(Q2253)-(R2253)*(T2253))+(T2253)*((S2253)*(R2253)-(P2253)*(T2253)))</f>
        <v/>
      </c>
      <c r="X2253">
        <f>IF(ABS(W2253)&gt;1E-12,((LTP3!$D$6)*((P2253)*(Q2253)-(R2253)*(R2253))-(S2253)*((U2253)*(Q2253)-(R2253)*(V2253))+(T2253)*((U2253)*(R2253)-(P2253)*(V2253)))/W2253,0)</f>
        <v/>
      </c>
      <c r="Y2253">
        <f>IF(ABS(W2253)&gt;1E-12,((LTP3!$D$5)*((U2253)*(Q2253)-(R2253)*(V2253))-(LTP3!$D$6)*((S2253)*(Q2253)-(R2253)*(T2253))+(T2253)*((S2253)*(V2253)-(U2253)*(T2253)))/W2253,0)</f>
        <v/>
      </c>
      <c r="Z2253">
        <f>IF(ABS(W2253)&gt;1E-12,((LTP3!$D$5)*((P2253)*(V2253)-(U2253)*(R2253))-(S2253)*((S2253)*(V2253)-(U2253)*(T2253))+(LTP3!$D$6)*((S2253)*(R2253)-(P2253)*(T2253)))/W2253,0)</f>
        <v/>
      </c>
      <c r="AA2253">
        <f>LTP3!$D$7-X2253*LTP3!$D$6-Y2253*U2253-Z2253*V2253</f>
        <v/>
      </c>
      <c r="AB2253">
        <f>IF(AND(F2253,ABS(W2253)&gt;1E-12,Y2253&gt;0,Z2253&gt;0),AA2253,1E+300)</f>
        <v/>
      </c>
    </row>
    <row r="2254">
      <c r="A2254">
        <f>$B$3+$B$5*36</f>
        <v/>
      </c>
      <c r="B2254">
        <f>$B$3+$B$5*46</f>
        <v/>
      </c>
      <c r="C2254">
        <f>SUMPRODUCT(Calc!$K$3:$K$22*(Calc!$G$3:$G$22&lt;=A2254))</f>
        <v/>
      </c>
      <c r="D2254">
        <f>SUMPRODUCT(Calc!$K$3:$K$22*(Calc!$G$3:$G$22&gt;A2254)*(Calc!$G$3:$G$22&lt;B2254))</f>
        <v/>
      </c>
      <c r="E2254">
        <f>SUMPRODUCT(Calc!$K$3:$K$22*(Calc!$G$3:$G$22&gt;=B2254))</f>
        <v/>
      </c>
      <c r="F2254">
        <f>AND(k_n&gt;=5,B2254&gt;A2254+1E-9,C2254&gt;=2,D2254&gt;=1,E2254&gt;=2)</f>
        <v/>
      </c>
      <c r="G2254">
        <f>SUMPRODUCT(Calc!$K$3:$K$22*(Calc!$G$3:$G$22&gt;A2254)*(Calc!$G$3:$G$22-A2254))</f>
        <v/>
      </c>
      <c r="H2254">
        <f>SUMPRODUCT(Calc!$K$3:$K$22*(Calc!$G$3:$G$22&gt;B2254)*(Calc!$G$3:$G$22-B2254))</f>
        <v/>
      </c>
      <c r="I2254">
        <f>SUMPRODUCT(Calc!$K$3:$K$22*(Calc!$G$3:$G$22&gt;A2254)*(Calc!$G$3:$G$22-A2254)^2)</f>
        <v/>
      </c>
      <c r="J2254">
        <f>SUMPRODUCT(Calc!$K$3:$K$22*(Calc!$G$3:$G$22&gt;B2254)*(Calc!$G$3:$G$22-B2254)^2)</f>
        <v/>
      </c>
      <c r="K2254">
        <f>SUMPRODUCT(Calc!$K$3:$K$22*(Calc!$G$3:$G$22&gt;A2254)*(Calc!$G$3:$G$22-A2254)*(Calc!$G$3:$G$22&gt;B2254)*(Calc!$G$3:$G$22-B2254))</f>
        <v/>
      </c>
      <c r="L2254">
        <f>SUMPRODUCT(Calc!$K$3:$K$22*(Calc!$G$3:$G$22&gt;A2254)*(Calc!$G$3:$G$22-A2254)*Calc!$G$3:$G$22)</f>
        <v/>
      </c>
      <c r="M2254">
        <f>SUMPRODUCT(Calc!$K$3:$K$22*(Calc!$G$3:$G$22&gt;B2254)*(Calc!$G$3:$G$22-B2254)*Calc!$G$3:$G$22)</f>
        <v/>
      </c>
      <c r="N2254">
        <f>SUMPRODUCT(Calc!$K$3:$K$22*(Calc!$G$3:$G$22&gt;A2254)*(Calc!$G$3:$G$22-A2254)*Calc!$I$3:$I$22)</f>
        <v/>
      </c>
      <c r="O2254">
        <f>SUMPRODUCT(Calc!$K$3:$K$22*(Calc!$G$3:$G$22&gt;B2254)*(Calc!$G$3:$G$22-B2254)*Calc!$I$3:$I$22)</f>
        <v/>
      </c>
      <c r="P2254">
        <f>I2254-G2254^2/k_n</f>
        <v/>
      </c>
      <c r="Q2254">
        <f>J2254-H2254^2/k_n</f>
        <v/>
      </c>
      <c r="R2254">
        <f>K2254-G2254*H2254/k_n</f>
        <v/>
      </c>
      <c r="S2254">
        <f>L2254-LTP3!$D$3*G2254/k_n</f>
        <v/>
      </c>
      <c r="T2254">
        <f>M2254-LTP3!$D$3*H2254/k_n</f>
        <v/>
      </c>
      <c r="U2254">
        <f>N2254-G2254*LTP3!$D$4/k_n</f>
        <v/>
      </c>
      <c r="V2254">
        <f>O2254-H2254*LTP3!$D$4/k_n</f>
        <v/>
      </c>
      <c r="W2254">
        <f>((LTP3!$D$5)*((P2254)*(Q2254)-(R2254)*(R2254))-(S2254)*((S2254)*(Q2254)-(R2254)*(T2254))+(T2254)*((S2254)*(R2254)-(P2254)*(T2254)))</f>
        <v/>
      </c>
      <c r="X2254">
        <f>IF(ABS(W2254)&gt;1E-12,((LTP3!$D$6)*((P2254)*(Q2254)-(R2254)*(R2254))-(S2254)*((U2254)*(Q2254)-(R2254)*(V2254))+(T2254)*((U2254)*(R2254)-(P2254)*(V2254)))/W2254,0)</f>
        <v/>
      </c>
      <c r="Y2254">
        <f>IF(ABS(W2254)&gt;1E-12,((LTP3!$D$5)*((U2254)*(Q2254)-(R2254)*(V2254))-(LTP3!$D$6)*((S2254)*(Q2254)-(R2254)*(T2254))+(T2254)*((S2254)*(V2254)-(U2254)*(T2254)))/W2254,0)</f>
        <v/>
      </c>
      <c r="Z2254">
        <f>IF(ABS(W2254)&gt;1E-12,((LTP3!$D$5)*((P2254)*(V2254)-(U2254)*(R2254))-(S2254)*((S2254)*(V2254)-(U2254)*(T2254))+(LTP3!$D$6)*((S2254)*(R2254)-(P2254)*(T2254)))/W2254,0)</f>
        <v/>
      </c>
      <c r="AA2254">
        <f>LTP3!$D$7-X2254*LTP3!$D$6-Y2254*U2254-Z2254*V2254</f>
        <v/>
      </c>
      <c r="AB2254">
        <f>IF(AND(F2254,ABS(W2254)&gt;1E-12,Y2254&gt;0,Z2254&gt;0),AA2254,1E+300)</f>
        <v/>
      </c>
    </row>
    <row r="2255">
      <c r="A2255">
        <f>$B$3+$B$5*36</f>
        <v/>
      </c>
      <c r="B2255">
        <f>$B$3+$B$5*47</f>
        <v/>
      </c>
      <c r="C2255">
        <f>SUMPRODUCT(Calc!$K$3:$K$22*(Calc!$G$3:$G$22&lt;=A2255))</f>
        <v/>
      </c>
      <c r="D2255">
        <f>SUMPRODUCT(Calc!$K$3:$K$22*(Calc!$G$3:$G$22&gt;A2255)*(Calc!$G$3:$G$22&lt;B2255))</f>
        <v/>
      </c>
      <c r="E2255">
        <f>SUMPRODUCT(Calc!$K$3:$K$22*(Calc!$G$3:$G$22&gt;=B2255))</f>
        <v/>
      </c>
      <c r="F2255">
        <f>AND(k_n&gt;=5,B2255&gt;A2255+1E-9,C2255&gt;=2,D2255&gt;=1,E2255&gt;=2)</f>
        <v/>
      </c>
      <c r="G2255">
        <f>SUMPRODUCT(Calc!$K$3:$K$22*(Calc!$G$3:$G$22&gt;A2255)*(Calc!$G$3:$G$22-A2255))</f>
        <v/>
      </c>
      <c r="H2255">
        <f>SUMPRODUCT(Calc!$K$3:$K$22*(Calc!$G$3:$G$22&gt;B2255)*(Calc!$G$3:$G$22-B2255))</f>
        <v/>
      </c>
      <c r="I2255">
        <f>SUMPRODUCT(Calc!$K$3:$K$22*(Calc!$G$3:$G$22&gt;A2255)*(Calc!$G$3:$G$22-A2255)^2)</f>
        <v/>
      </c>
      <c r="J2255">
        <f>SUMPRODUCT(Calc!$K$3:$K$22*(Calc!$G$3:$G$22&gt;B2255)*(Calc!$G$3:$G$22-B2255)^2)</f>
        <v/>
      </c>
      <c r="K2255">
        <f>SUMPRODUCT(Calc!$K$3:$K$22*(Calc!$G$3:$G$22&gt;A2255)*(Calc!$G$3:$G$22-A2255)*(Calc!$G$3:$G$22&gt;B2255)*(Calc!$G$3:$G$22-B2255))</f>
        <v/>
      </c>
      <c r="L2255">
        <f>SUMPRODUCT(Calc!$K$3:$K$22*(Calc!$G$3:$G$22&gt;A2255)*(Calc!$G$3:$G$22-A2255)*Calc!$G$3:$G$22)</f>
        <v/>
      </c>
      <c r="M2255">
        <f>SUMPRODUCT(Calc!$K$3:$K$22*(Calc!$G$3:$G$22&gt;B2255)*(Calc!$G$3:$G$22-B2255)*Calc!$G$3:$G$22)</f>
        <v/>
      </c>
      <c r="N2255">
        <f>SUMPRODUCT(Calc!$K$3:$K$22*(Calc!$G$3:$G$22&gt;A2255)*(Calc!$G$3:$G$22-A2255)*Calc!$I$3:$I$22)</f>
        <v/>
      </c>
      <c r="O2255">
        <f>SUMPRODUCT(Calc!$K$3:$K$22*(Calc!$G$3:$G$22&gt;B2255)*(Calc!$G$3:$G$22-B2255)*Calc!$I$3:$I$22)</f>
        <v/>
      </c>
      <c r="P2255">
        <f>I2255-G2255^2/k_n</f>
        <v/>
      </c>
      <c r="Q2255">
        <f>J2255-H2255^2/k_n</f>
        <v/>
      </c>
      <c r="R2255">
        <f>K2255-G2255*H2255/k_n</f>
        <v/>
      </c>
      <c r="S2255">
        <f>L2255-LTP3!$D$3*G2255/k_n</f>
        <v/>
      </c>
      <c r="T2255">
        <f>M2255-LTP3!$D$3*H2255/k_n</f>
        <v/>
      </c>
      <c r="U2255">
        <f>N2255-G2255*LTP3!$D$4/k_n</f>
        <v/>
      </c>
      <c r="V2255">
        <f>O2255-H2255*LTP3!$D$4/k_n</f>
        <v/>
      </c>
      <c r="W2255">
        <f>((LTP3!$D$5)*((P2255)*(Q2255)-(R2255)*(R2255))-(S2255)*((S2255)*(Q2255)-(R2255)*(T2255))+(T2255)*((S2255)*(R2255)-(P2255)*(T2255)))</f>
        <v/>
      </c>
      <c r="X2255">
        <f>IF(ABS(W2255)&gt;1E-12,((LTP3!$D$6)*((P2255)*(Q2255)-(R2255)*(R2255))-(S2255)*((U2255)*(Q2255)-(R2255)*(V2255))+(T2255)*((U2255)*(R2255)-(P2255)*(V2255)))/W2255,0)</f>
        <v/>
      </c>
      <c r="Y2255">
        <f>IF(ABS(W2255)&gt;1E-12,((LTP3!$D$5)*((U2255)*(Q2255)-(R2255)*(V2255))-(LTP3!$D$6)*((S2255)*(Q2255)-(R2255)*(T2255))+(T2255)*((S2255)*(V2255)-(U2255)*(T2255)))/W2255,0)</f>
        <v/>
      </c>
      <c r="Z2255">
        <f>IF(ABS(W2255)&gt;1E-12,((LTP3!$D$5)*((P2255)*(V2255)-(U2255)*(R2255))-(S2255)*((S2255)*(V2255)-(U2255)*(T2255))+(LTP3!$D$6)*((S2255)*(R2255)-(P2255)*(T2255)))/W2255,0)</f>
        <v/>
      </c>
      <c r="AA2255">
        <f>LTP3!$D$7-X2255*LTP3!$D$6-Y2255*U2255-Z2255*V2255</f>
        <v/>
      </c>
      <c r="AB2255">
        <f>IF(AND(F2255,ABS(W2255)&gt;1E-12,Y2255&gt;0,Z2255&gt;0),AA2255,1E+300)</f>
        <v/>
      </c>
    </row>
    <row r="2256">
      <c r="A2256">
        <f>$B$3+$B$5*36</f>
        <v/>
      </c>
      <c r="B2256">
        <f>$B$3+$B$5*48</f>
        <v/>
      </c>
      <c r="C2256">
        <f>SUMPRODUCT(Calc!$K$3:$K$22*(Calc!$G$3:$G$22&lt;=A2256))</f>
        <v/>
      </c>
      <c r="D2256">
        <f>SUMPRODUCT(Calc!$K$3:$K$22*(Calc!$G$3:$G$22&gt;A2256)*(Calc!$G$3:$G$22&lt;B2256))</f>
        <v/>
      </c>
      <c r="E2256">
        <f>SUMPRODUCT(Calc!$K$3:$K$22*(Calc!$G$3:$G$22&gt;=B2256))</f>
        <v/>
      </c>
      <c r="F2256">
        <f>AND(k_n&gt;=5,B2256&gt;A2256+1E-9,C2256&gt;=2,D2256&gt;=1,E2256&gt;=2)</f>
        <v/>
      </c>
      <c r="G2256">
        <f>SUMPRODUCT(Calc!$K$3:$K$22*(Calc!$G$3:$G$22&gt;A2256)*(Calc!$G$3:$G$22-A2256))</f>
        <v/>
      </c>
      <c r="H2256">
        <f>SUMPRODUCT(Calc!$K$3:$K$22*(Calc!$G$3:$G$22&gt;B2256)*(Calc!$G$3:$G$22-B2256))</f>
        <v/>
      </c>
      <c r="I2256">
        <f>SUMPRODUCT(Calc!$K$3:$K$22*(Calc!$G$3:$G$22&gt;A2256)*(Calc!$G$3:$G$22-A2256)^2)</f>
        <v/>
      </c>
      <c r="J2256">
        <f>SUMPRODUCT(Calc!$K$3:$K$22*(Calc!$G$3:$G$22&gt;B2256)*(Calc!$G$3:$G$22-B2256)^2)</f>
        <v/>
      </c>
      <c r="K2256">
        <f>SUMPRODUCT(Calc!$K$3:$K$22*(Calc!$G$3:$G$22&gt;A2256)*(Calc!$G$3:$G$22-A2256)*(Calc!$G$3:$G$22&gt;B2256)*(Calc!$G$3:$G$22-B2256))</f>
        <v/>
      </c>
      <c r="L2256">
        <f>SUMPRODUCT(Calc!$K$3:$K$22*(Calc!$G$3:$G$22&gt;A2256)*(Calc!$G$3:$G$22-A2256)*Calc!$G$3:$G$22)</f>
        <v/>
      </c>
      <c r="M2256">
        <f>SUMPRODUCT(Calc!$K$3:$K$22*(Calc!$G$3:$G$22&gt;B2256)*(Calc!$G$3:$G$22-B2256)*Calc!$G$3:$G$22)</f>
        <v/>
      </c>
      <c r="N2256">
        <f>SUMPRODUCT(Calc!$K$3:$K$22*(Calc!$G$3:$G$22&gt;A2256)*(Calc!$G$3:$G$22-A2256)*Calc!$I$3:$I$22)</f>
        <v/>
      </c>
      <c r="O2256">
        <f>SUMPRODUCT(Calc!$K$3:$K$22*(Calc!$G$3:$G$22&gt;B2256)*(Calc!$G$3:$G$22-B2256)*Calc!$I$3:$I$22)</f>
        <v/>
      </c>
      <c r="P2256">
        <f>I2256-G2256^2/k_n</f>
        <v/>
      </c>
      <c r="Q2256">
        <f>J2256-H2256^2/k_n</f>
        <v/>
      </c>
      <c r="R2256">
        <f>K2256-G2256*H2256/k_n</f>
        <v/>
      </c>
      <c r="S2256">
        <f>L2256-LTP3!$D$3*G2256/k_n</f>
        <v/>
      </c>
      <c r="T2256">
        <f>M2256-LTP3!$D$3*H2256/k_n</f>
        <v/>
      </c>
      <c r="U2256">
        <f>N2256-G2256*LTP3!$D$4/k_n</f>
        <v/>
      </c>
      <c r="V2256">
        <f>O2256-H2256*LTP3!$D$4/k_n</f>
        <v/>
      </c>
      <c r="W2256">
        <f>((LTP3!$D$5)*((P2256)*(Q2256)-(R2256)*(R2256))-(S2256)*((S2256)*(Q2256)-(R2256)*(T2256))+(T2256)*((S2256)*(R2256)-(P2256)*(T2256)))</f>
        <v/>
      </c>
      <c r="X2256">
        <f>IF(ABS(W2256)&gt;1E-12,((LTP3!$D$6)*((P2256)*(Q2256)-(R2256)*(R2256))-(S2256)*((U2256)*(Q2256)-(R2256)*(V2256))+(T2256)*((U2256)*(R2256)-(P2256)*(V2256)))/W2256,0)</f>
        <v/>
      </c>
      <c r="Y2256">
        <f>IF(ABS(W2256)&gt;1E-12,((LTP3!$D$5)*((U2256)*(Q2256)-(R2256)*(V2256))-(LTP3!$D$6)*((S2256)*(Q2256)-(R2256)*(T2256))+(T2256)*((S2256)*(V2256)-(U2256)*(T2256)))/W2256,0)</f>
        <v/>
      </c>
      <c r="Z2256">
        <f>IF(ABS(W2256)&gt;1E-12,((LTP3!$D$5)*((P2256)*(V2256)-(U2256)*(R2256))-(S2256)*((S2256)*(V2256)-(U2256)*(T2256))+(LTP3!$D$6)*((S2256)*(R2256)-(P2256)*(T2256)))/W2256,0)</f>
        <v/>
      </c>
      <c r="AA2256">
        <f>LTP3!$D$7-X2256*LTP3!$D$6-Y2256*U2256-Z2256*V2256</f>
        <v/>
      </c>
      <c r="AB2256">
        <f>IF(AND(F2256,ABS(W2256)&gt;1E-12,Y2256&gt;0,Z2256&gt;0),AA2256,1E+300)</f>
        <v/>
      </c>
    </row>
    <row r="2257">
      <c r="A2257">
        <f>$B$3+$B$5*36</f>
        <v/>
      </c>
      <c r="B2257">
        <f>$B$3+$B$5*49</f>
        <v/>
      </c>
      <c r="C2257">
        <f>SUMPRODUCT(Calc!$K$3:$K$22*(Calc!$G$3:$G$22&lt;=A2257))</f>
        <v/>
      </c>
      <c r="D2257">
        <f>SUMPRODUCT(Calc!$K$3:$K$22*(Calc!$G$3:$G$22&gt;A2257)*(Calc!$G$3:$G$22&lt;B2257))</f>
        <v/>
      </c>
      <c r="E2257">
        <f>SUMPRODUCT(Calc!$K$3:$K$22*(Calc!$G$3:$G$22&gt;=B2257))</f>
        <v/>
      </c>
      <c r="F2257">
        <f>AND(k_n&gt;=5,B2257&gt;A2257+1E-9,C2257&gt;=2,D2257&gt;=1,E2257&gt;=2)</f>
        <v/>
      </c>
      <c r="G2257">
        <f>SUMPRODUCT(Calc!$K$3:$K$22*(Calc!$G$3:$G$22&gt;A2257)*(Calc!$G$3:$G$22-A2257))</f>
        <v/>
      </c>
      <c r="H2257">
        <f>SUMPRODUCT(Calc!$K$3:$K$22*(Calc!$G$3:$G$22&gt;B2257)*(Calc!$G$3:$G$22-B2257))</f>
        <v/>
      </c>
      <c r="I2257">
        <f>SUMPRODUCT(Calc!$K$3:$K$22*(Calc!$G$3:$G$22&gt;A2257)*(Calc!$G$3:$G$22-A2257)^2)</f>
        <v/>
      </c>
      <c r="J2257">
        <f>SUMPRODUCT(Calc!$K$3:$K$22*(Calc!$G$3:$G$22&gt;B2257)*(Calc!$G$3:$G$22-B2257)^2)</f>
        <v/>
      </c>
      <c r="K2257">
        <f>SUMPRODUCT(Calc!$K$3:$K$22*(Calc!$G$3:$G$22&gt;A2257)*(Calc!$G$3:$G$22-A2257)*(Calc!$G$3:$G$22&gt;B2257)*(Calc!$G$3:$G$22-B2257))</f>
        <v/>
      </c>
      <c r="L2257">
        <f>SUMPRODUCT(Calc!$K$3:$K$22*(Calc!$G$3:$G$22&gt;A2257)*(Calc!$G$3:$G$22-A2257)*Calc!$G$3:$G$22)</f>
        <v/>
      </c>
      <c r="M2257">
        <f>SUMPRODUCT(Calc!$K$3:$K$22*(Calc!$G$3:$G$22&gt;B2257)*(Calc!$G$3:$G$22-B2257)*Calc!$G$3:$G$22)</f>
        <v/>
      </c>
      <c r="N2257">
        <f>SUMPRODUCT(Calc!$K$3:$K$22*(Calc!$G$3:$G$22&gt;A2257)*(Calc!$G$3:$G$22-A2257)*Calc!$I$3:$I$22)</f>
        <v/>
      </c>
      <c r="O2257">
        <f>SUMPRODUCT(Calc!$K$3:$K$22*(Calc!$G$3:$G$22&gt;B2257)*(Calc!$G$3:$G$22-B2257)*Calc!$I$3:$I$22)</f>
        <v/>
      </c>
      <c r="P2257">
        <f>I2257-G2257^2/k_n</f>
        <v/>
      </c>
      <c r="Q2257">
        <f>J2257-H2257^2/k_n</f>
        <v/>
      </c>
      <c r="R2257">
        <f>K2257-G2257*H2257/k_n</f>
        <v/>
      </c>
      <c r="S2257">
        <f>L2257-LTP3!$D$3*G2257/k_n</f>
        <v/>
      </c>
      <c r="T2257">
        <f>M2257-LTP3!$D$3*H2257/k_n</f>
        <v/>
      </c>
      <c r="U2257">
        <f>N2257-G2257*LTP3!$D$4/k_n</f>
        <v/>
      </c>
      <c r="V2257">
        <f>O2257-H2257*LTP3!$D$4/k_n</f>
        <v/>
      </c>
      <c r="W2257">
        <f>((LTP3!$D$5)*((P2257)*(Q2257)-(R2257)*(R2257))-(S2257)*((S2257)*(Q2257)-(R2257)*(T2257))+(T2257)*((S2257)*(R2257)-(P2257)*(T2257)))</f>
        <v/>
      </c>
      <c r="X2257">
        <f>IF(ABS(W2257)&gt;1E-12,((LTP3!$D$6)*((P2257)*(Q2257)-(R2257)*(R2257))-(S2257)*((U2257)*(Q2257)-(R2257)*(V2257))+(T2257)*((U2257)*(R2257)-(P2257)*(V2257)))/W2257,0)</f>
        <v/>
      </c>
      <c r="Y2257">
        <f>IF(ABS(W2257)&gt;1E-12,((LTP3!$D$5)*((U2257)*(Q2257)-(R2257)*(V2257))-(LTP3!$D$6)*((S2257)*(Q2257)-(R2257)*(T2257))+(T2257)*((S2257)*(V2257)-(U2257)*(T2257)))/W2257,0)</f>
        <v/>
      </c>
      <c r="Z2257">
        <f>IF(ABS(W2257)&gt;1E-12,((LTP3!$D$5)*((P2257)*(V2257)-(U2257)*(R2257))-(S2257)*((S2257)*(V2257)-(U2257)*(T2257))+(LTP3!$D$6)*((S2257)*(R2257)-(P2257)*(T2257)))/W2257,0)</f>
        <v/>
      </c>
      <c r="AA2257">
        <f>LTP3!$D$7-X2257*LTP3!$D$6-Y2257*U2257-Z2257*V2257</f>
        <v/>
      </c>
      <c r="AB2257">
        <f>IF(AND(F2257,ABS(W2257)&gt;1E-12,Y2257&gt;0,Z2257&gt;0),AA2257,1E+300)</f>
        <v/>
      </c>
    </row>
    <row r="2258">
      <c r="A2258">
        <f>$B$3+$B$5*36</f>
        <v/>
      </c>
      <c r="B2258">
        <f>$B$3+$B$5*50</f>
        <v/>
      </c>
      <c r="C2258">
        <f>SUMPRODUCT(Calc!$K$3:$K$22*(Calc!$G$3:$G$22&lt;=A2258))</f>
        <v/>
      </c>
      <c r="D2258">
        <f>SUMPRODUCT(Calc!$K$3:$K$22*(Calc!$G$3:$G$22&gt;A2258)*(Calc!$G$3:$G$22&lt;B2258))</f>
        <v/>
      </c>
      <c r="E2258">
        <f>SUMPRODUCT(Calc!$K$3:$K$22*(Calc!$G$3:$G$22&gt;=B2258))</f>
        <v/>
      </c>
      <c r="F2258">
        <f>AND(k_n&gt;=5,B2258&gt;A2258+1E-9,C2258&gt;=2,D2258&gt;=1,E2258&gt;=2)</f>
        <v/>
      </c>
      <c r="G2258">
        <f>SUMPRODUCT(Calc!$K$3:$K$22*(Calc!$G$3:$G$22&gt;A2258)*(Calc!$G$3:$G$22-A2258))</f>
        <v/>
      </c>
      <c r="H2258">
        <f>SUMPRODUCT(Calc!$K$3:$K$22*(Calc!$G$3:$G$22&gt;B2258)*(Calc!$G$3:$G$22-B2258))</f>
        <v/>
      </c>
      <c r="I2258">
        <f>SUMPRODUCT(Calc!$K$3:$K$22*(Calc!$G$3:$G$22&gt;A2258)*(Calc!$G$3:$G$22-A2258)^2)</f>
        <v/>
      </c>
      <c r="J2258">
        <f>SUMPRODUCT(Calc!$K$3:$K$22*(Calc!$G$3:$G$22&gt;B2258)*(Calc!$G$3:$G$22-B2258)^2)</f>
        <v/>
      </c>
      <c r="K2258">
        <f>SUMPRODUCT(Calc!$K$3:$K$22*(Calc!$G$3:$G$22&gt;A2258)*(Calc!$G$3:$G$22-A2258)*(Calc!$G$3:$G$22&gt;B2258)*(Calc!$G$3:$G$22-B2258))</f>
        <v/>
      </c>
      <c r="L2258">
        <f>SUMPRODUCT(Calc!$K$3:$K$22*(Calc!$G$3:$G$22&gt;A2258)*(Calc!$G$3:$G$22-A2258)*Calc!$G$3:$G$22)</f>
        <v/>
      </c>
      <c r="M2258">
        <f>SUMPRODUCT(Calc!$K$3:$K$22*(Calc!$G$3:$G$22&gt;B2258)*(Calc!$G$3:$G$22-B2258)*Calc!$G$3:$G$22)</f>
        <v/>
      </c>
      <c r="N2258">
        <f>SUMPRODUCT(Calc!$K$3:$K$22*(Calc!$G$3:$G$22&gt;A2258)*(Calc!$G$3:$G$22-A2258)*Calc!$I$3:$I$22)</f>
        <v/>
      </c>
      <c r="O2258">
        <f>SUMPRODUCT(Calc!$K$3:$K$22*(Calc!$G$3:$G$22&gt;B2258)*(Calc!$G$3:$G$22-B2258)*Calc!$I$3:$I$22)</f>
        <v/>
      </c>
      <c r="P2258">
        <f>I2258-G2258^2/k_n</f>
        <v/>
      </c>
      <c r="Q2258">
        <f>J2258-H2258^2/k_n</f>
        <v/>
      </c>
      <c r="R2258">
        <f>K2258-G2258*H2258/k_n</f>
        <v/>
      </c>
      <c r="S2258">
        <f>L2258-LTP3!$D$3*G2258/k_n</f>
        <v/>
      </c>
      <c r="T2258">
        <f>M2258-LTP3!$D$3*H2258/k_n</f>
        <v/>
      </c>
      <c r="U2258">
        <f>N2258-G2258*LTP3!$D$4/k_n</f>
        <v/>
      </c>
      <c r="V2258">
        <f>O2258-H2258*LTP3!$D$4/k_n</f>
        <v/>
      </c>
      <c r="W2258">
        <f>((LTP3!$D$5)*((P2258)*(Q2258)-(R2258)*(R2258))-(S2258)*((S2258)*(Q2258)-(R2258)*(T2258))+(T2258)*((S2258)*(R2258)-(P2258)*(T2258)))</f>
        <v/>
      </c>
      <c r="X2258">
        <f>IF(ABS(W2258)&gt;1E-12,((LTP3!$D$6)*((P2258)*(Q2258)-(R2258)*(R2258))-(S2258)*((U2258)*(Q2258)-(R2258)*(V2258))+(T2258)*((U2258)*(R2258)-(P2258)*(V2258)))/W2258,0)</f>
        <v/>
      </c>
      <c r="Y2258">
        <f>IF(ABS(W2258)&gt;1E-12,((LTP3!$D$5)*((U2258)*(Q2258)-(R2258)*(V2258))-(LTP3!$D$6)*((S2258)*(Q2258)-(R2258)*(T2258))+(T2258)*((S2258)*(V2258)-(U2258)*(T2258)))/W2258,0)</f>
        <v/>
      </c>
      <c r="Z2258">
        <f>IF(ABS(W2258)&gt;1E-12,((LTP3!$D$5)*((P2258)*(V2258)-(U2258)*(R2258))-(S2258)*((S2258)*(V2258)-(U2258)*(T2258))+(LTP3!$D$6)*((S2258)*(R2258)-(P2258)*(T2258)))/W2258,0)</f>
        <v/>
      </c>
      <c r="AA2258">
        <f>LTP3!$D$7-X2258*LTP3!$D$6-Y2258*U2258-Z2258*V2258</f>
        <v/>
      </c>
      <c r="AB2258">
        <f>IF(AND(F2258,ABS(W2258)&gt;1E-12,Y2258&gt;0,Z2258&gt;0),AA2258,1E+300)</f>
        <v/>
      </c>
    </row>
    <row r="2259">
      <c r="A2259">
        <f>$B$3+$B$5*36</f>
        <v/>
      </c>
      <c r="B2259">
        <f>$B$3+$B$5*51</f>
        <v/>
      </c>
      <c r="C2259">
        <f>SUMPRODUCT(Calc!$K$3:$K$22*(Calc!$G$3:$G$22&lt;=A2259))</f>
        <v/>
      </c>
      <c r="D2259">
        <f>SUMPRODUCT(Calc!$K$3:$K$22*(Calc!$G$3:$G$22&gt;A2259)*(Calc!$G$3:$G$22&lt;B2259))</f>
        <v/>
      </c>
      <c r="E2259">
        <f>SUMPRODUCT(Calc!$K$3:$K$22*(Calc!$G$3:$G$22&gt;=B2259))</f>
        <v/>
      </c>
      <c r="F2259">
        <f>AND(k_n&gt;=5,B2259&gt;A2259+1E-9,C2259&gt;=2,D2259&gt;=1,E2259&gt;=2)</f>
        <v/>
      </c>
      <c r="G2259">
        <f>SUMPRODUCT(Calc!$K$3:$K$22*(Calc!$G$3:$G$22&gt;A2259)*(Calc!$G$3:$G$22-A2259))</f>
        <v/>
      </c>
      <c r="H2259">
        <f>SUMPRODUCT(Calc!$K$3:$K$22*(Calc!$G$3:$G$22&gt;B2259)*(Calc!$G$3:$G$22-B2259))</f>
        <v/>
      </c>
      <c r="I2259">
        <f>SUMPRODUCT(Calc!$K$3:$K$22*(Calc!$G$3:$G$22&gt;A2259)*(Calc!$G$3:$G$22-A2259)^2)</f>
        <v/>
      </c>
      <c r="J2259">
        <f>SUMPRODUCT(Calc!$K$3:$K$22*(Calc!$G$3:$G$22&gt;B2259)*(Calc!$G$3:$G$22-B2259)^2)</f>
        <v/>
      </c>
      <c r="K2259">
        <f>SUMPRODUCT(Calc!$K$3:$K$22*(Calc!$G$3:$G$22&gt;A2259)*(Calc!$G$3:$G$22-A2259)*(Calc!$G$3:$G$22&gt;B2259)*(Calc!$G$3:$G$22-B2259))</f>
        <v/>
      </c>
      <c r="L2259">
        <f>SUMPRODUCT(Calc!$K$3:$K$22*(Calc!$G$3:$G$22&gt;A2259)*(Calc!$G$3:$G$22-A2259)*Calc!$G$3:$G$22)</f>
        <v/>
      </c>
      <c r="M2259">
        <f>SUMPRODUCT(Calc!$K$3:$K$22*(Calc!$G$3:$G$22&gt;B2259)*(Calc!$G$3:$G$22-B2259)*Calc!$G$3:$G$22)</f>
        <v/>
      </c>
      <c r="N2259">
        <f>SUMPRODUCT(Calc!$K$3:$K$22*(Calc!$G$3:$G$22&gt;A2259)*(Calc!$G$3:$G$22-A2259)*Calc!$I$3:$I$22)</f>
        <v/>
      </c>
      <c r="O2259">
        <f>SUMPRODUCT(Calc!$K$3:$K$22*(Calc!$G$3:$G$22&gt;B2259)*(Calc!$G$3:$G$22-B2259)*Calc!$I$3:$I$22)</f>
        <v/>
      </c>
      <c r="P2259">
        <f>I2259-G2259^2/k_n</f>
        <v/>
      </c>
      <c r="Q2259">
        <f>J2259-H2259^2/k_n</f>
        <v/>
      </c>
      <c r="R2259">
        <f>K2259-G2259*H2259/k_n</f>
        <v/>
      </c>
      <c r="S2259">
        <f>L2259-LTP3!$D$3*G2259/k_n</f>
        <v/>
      </c>
      <c r="T2259">
        <f>M2259-LTP3!$D$3*H2259/k_n</f>
        <v/>
      </c>
      <c r="U2259">
        <f>N2259-G2259*LTP3!$D$4/k_n</f>
        <v/>
      </c>
      <c r="V2259">
        <f>O2259-H2259*LTP3!$D$4/k_n</f>
        <v/>
      </c>
      <c r="W2259">
        <f>((LTP3!$D$5)*((P2259)*(Q2259)-(R2259)*(R2259))-(S2259)*((S2259)*(Q2259)-(R2259)*(T2259))+(T2259)*((S2259)*(R2259)-(P2259)*(T2259)))</f>
        <v/>
      </c>
      <c r="X2259">
        <f>IF(ABS(W2259)&gt;1E-12,((LTP3!$D$6)*((P2259)*(Q2259)-(R2259)*(R2259))-(S2259)*((U2259)*(Q2259)-(R2259)*(V2259))+(T2259)*((U2259)*(R2259)-(P2259)*(V2259)))/W2259,0)</f>
        <v/>
      </c>
      <c r="Y2259">
        <f>IF(ABS(W2259)&gt;1E-12,((LTP3!$D$5)*((U2259)*(Q2259)-(R2259)*(V2259))-(LTP3!$D$6)*((S2259)*(Q2259)-(R2259)*(T2259))+(T2259)*((S2259)*(V2259)-(U2259)*(T2259)))/W2259,0)</f>
        <v/>
      </c>
      <c r="Z2259">
        <f>IF(ABS(W2259)&gt;1E-12,((LTP3!$D$5)*((P2259)*(V2259)-(U2259)*(R2259))-(S2259)*((S2259)*(V2259)-(U2259)*(T2259))+(LTP3!$D$6)*((S2259)*(R2259)-(P2259)*(T2259)))/W2259,0)</f>
        <v/>
      </c>
      <c r="AA2259">
        <f>LTP3!$D$7-X2259*LTP3!$D$6-Y2259*U2259-Z2259*V2259</f>
        <v/>
      </c>
      <c r="AB2259">
        <f>IF(AND(F2259,ABS(W2259)&gt;1E-12,Y2259&gt;0,Z2259&gt;0),AA2259,1E+300)</f>
        <v/>
      </c>
    </row>
    <row r="2260">
      <c r="A2260">
        <f>$B$3+$B$5*36</f>
        <v/>
      </c>
      <c r="B2260">
        <f>$B$3+$B$5*52</f>
        <v/>
      </c>
      <c r="C2260">
        <f>SUMPRODUCT(Calc!$K$3:$K$22*(Calc!$G$3:$G$22&lt;=A2260))</f>
        <v/>
      </c>
      <c r="D2260">
        <f>SUMPRODUCT(Calc!$K$3:$K$22*(Calc!$G$3:$G$22&gt;A2260)*(Calc!$G$3:$G$22&lt;B2260))</f>
        <v/>
      </c>
      <c r="E2260">
        <f>SUMPRODUCT(Calc!$K$3:$K$22*(Calc!$G$3:$G$22&gt;=B2260))</f>
        <v/>
      </c>
      <c r="F2260">
        <f>AND(k_n&gt;=5,B2260&gt;A2260+1E-9,C2260&gt;=2,D2260&gt;=1,E2260&gt;=2)</f>
        <v/>
      </c>
      <c r="G2260">
        <f>SUMPRODUCT(Calc!$K$3:$K$22*(Calc!$G$3:$G$22&gt;A2260)*(Calc!$G$3:$G$22-A2260))</f>
        <v/>
      </c>
      <c r="H2260">
        <f>SUMPRODUCT(Calc!$K$3:$K$22*(Calc!$G$3:$G$22&gt;B2260)*(Calc!$G$3:$G$22-B2260))</f>
        <v/>
      </c>
      <c r="I2260">
        <f>SUMPRODUCT(Calc!$K$3:$K$22*(Calc!$G$3:$G$22&gt;A2260)*(Calc!$G$3:$G$22-A2260)^2)</f>
        <v/>
      </c>
      <c r="J2260">
        <f>SUMPRODUCT(Calc!$K$3:$K$22*(Calc!$G$3:$G$22&gt;B2260)*(Calc!$G$3:$G$22-B2260)^2)</f>
        <v/>
      </c>
      <c r="K2260">
        <f>SUMPRODUCT(Calc!$K$3:$K$22*(Calc!$G$3:$G$22&gt;A2260)*(Calc!$G$3:$G$22-A2260)*(Calc!$G$3:$G$22&gt;B2260)*(Calc!$G$3:$G$22-B2260))</f>
        <v/>
      </c>
      <c r="L2260">
        <f>SUMPRODUCT(Calc!$K$3:$K$22*(Calc!$G$3:$G$22&gt;A2260)*(Calc!$G$3:$G$22-A2260)*Calc!$G$3:$G$22)</f>
        <v/>
      </c>
      <c r="M2260">
        <f>SUMPRODUCT(Calc!$K$3:$K$22*(Calc!$G$3:$G$22&gt;B2260)*(Calc!$G$3:$G$22-B2260)*Calc!$G$3:$G$22)</f>
        <v/>
      </c>
      <c r="N2260">
        <f>SUMPRODUCT(Calc!$K$3:$K$22*(Calc!$G$3:$G$22&gt;A2260)*(Calc!$G$3:$G$22-A2260)*Calc!$I$3:$I$22)</f>
        <v/>
      </c>
      <c r="O2260">
        <f>SUMPRODUCT(Calc!$K$3:$K$22*(Calc!$G$3:$G$22&gt;B2260)*(Calc!$G$3:$G$22-B2260)*Calc!$I$3:$I$22)</f>
        <v/>
      </c>
      <c r="P2260">
        <f>I2260-G2260^2/k_n</f>
        <v/>
      </c>
      <c r="Q2260">
        <f>J2260-H2260^2/k_n</f>
        <v/>
      </c>
      <c r="R2260">
        <f>K2260-G2260*H2260/k_n</f>
        <v/>
      </c>
      <c r="S2260">
        <f>L2260-LTP3!$D$3*G2260/k_n</f>
        <v/>
      </c>
      <c r="T2260">
        <f>M2260-LTP3!$D$3*H2260/k_n</f>
        <v/>
      </c>
      <c r="U2260">
        <f>N2260-G2260*LTP3!$D$4/k_n</f>
        <v/>
      </c>
      <c r="V2260">
        <f>O2260-H2260*LTP3!$D$4/k_n</f>
        <v/>
      </c>
      <c r="W2260">
        <f>((LTP3!$D$5)*((P2260)*(Q2260)-(R2260)*(R2260))-(S2260)*((S2260)*(Q2260)-(R2260)*(T2260))+(T2260)*((S2260)*(R2260)-(P2260)*(T2260)))</f>
        <v/>
      </c>
      <c r="X2260">
        <f>IF(ABS(W2260)&gt;1E-12,((LTP3!$D$6)*((P2260)*(Q2260)-(R2260)*(R2260))-(S2260)*((U2260)*(Q2260)-(R2260)*(V2260))+(T2260)*((U2260)*(R2260)-(P2260)*(V2260)))/W2260,0)</f>
        <v/>
      </c>
      <c r="Y2260">
        <f>IF(ABS(W2260)&gt;1E-12,((LTP3!$D$5)*((U2260)*(Q2260)-(R2260)*(V2260))-(LTP3!$D$6)*((S2260)*(Q2260)-(R2260)*(T2260))+(T2260)*((S2260)*(V2260)-(U2260)*(T2260)))/W2260,0)</f>
        <v/>
      </c>
      <c r="Z2260">
        <f>IF(ABS(W2260)&gt;1E-12,((LTP3!$D$5)*((P2260)*(V2260)-(U2260)*(R2260))-(S2260)*((S2260)*(V2260)-(U2260)*(T2260))+(LTP3!$D$6)*((S2260)*(R2260)-(P2260)*(T2260)))/W2260,0)</f>
        <v/>
      </c>
      <c r="AA2260">
        <f>LTP3!$D$7-X2260*LTP3!$D$6-Y2260*U2260-Z2260*V2260</f>
        <v/>
      </c>
      <c r="AB2260">
        <f>IF(AND(F2260,ABS(W2260)&gt;1E-12,Y2260&gt;0,Z2260&gt;0),AA2260,1E+300)</f>
        <v/>
      </c>
    </row>
    <row r="2261">
      <c r="A2261">
        <f>$B$3+$B$5*36</f>
        <v/>
      </c>
      <c r="B2261">
        <f>$B$3+$B$5*53</f>
        <v/>
      </c>
      <c r="C2261">
        <f>SUMPRODUCT(Calc!$K$3:$K$22*(Calc!$G$3:$G$22&lt;=A2261))</f>
        <v/>
      </c>
      <c r="D2261">
        <f>SUMPRODUCT(Calc!$K$3:$K$22*(Calc!$G$3:$G$22&gt;A2261)*(Calc!$G$3:$G$22&lt;B2261))</f>
        <v/>
      </c>
      <c r="E2261">
        <f>SUMPRODUCT(Calc!$K$3:$K$22*(Calc!$G$3:$G$22&gt;=B2261))</f>
        <v/>
      </c>
      <c r="F2261">
        <f>AND(k_n&gt;=5,B2261&gt;A2261+1E-9,C2261&gt;=2,D2261&gt;=1,E2261&gt;=2)</f>
        <v/>
      </c>
      <c r="G2261">
        <f>SUMPRODUCT(Calc!$K$3:$K$22*(Calc!$G$3:$G$22&gt;A2261)*(Calc!$G$3:$G$22-A2261))</f>
        <v/>
      </c>
      <c r="H2261">
        <f>SUMPRODUCT(Calc!$K$3:$K$22*(Calc!$G$3:$G$22&gt;B2261)*(Calc!$G$3:$G$22-B2261))</f>
        <v/>
      </c>
      <c r="I2261">
        <f>SUMPRODUCT(Calc!$K$3:$K$22*(Calc!$G$3:$G$22&gt;A2261)*(Calc!$G$3:$G$22-A2261)^2)</f>
        <v/>
      </c>
      <c r="J2261">
        <f>SUMPRODUCT(Calc!$K$3:$K$22*(Calc!$G$3:$G$22&gt;B2261)*(Calc!$G$3:$G$22-B2261)^2)</f>
        <v/>
      </c>
      <c r="K2261">
        <f>SUMPRODUCT(Calc!$K$3:$K$22*(Calc!$G$3:$G$22&gt;A2261)*(Calc!$G$3:$G$22-A2261)*(Calc!$G$3:$G$22&gt;B2261)*(Calc!$G$3:$G$22-B2261))</f>
        <v/>
      </c>
      <c r="L2261">
        <f>SUMPRODUCT(Calc!$K$3:$K$22*(Calc!$G$3:$G$22&gt;A2261)*(Calc!$G$3:$G$22-A2261)*Calc!$G$3:$G$22)</f>
        <v/>
      </c>
      <c r="M2261">
        <f>SUMPRODUCT(Calc!$K$3:$K$22*(Calc!$G$3:$G$22&gt;B2261)*(Calc!$G$3:$G$22-B2261)*Calc!$G$3:$G$22)</f>
        <v/>
      </c>
      <c r="N2261">
        <f>SUMPRODUCT(Calc!$K$3:$K$22*(Calc!$G$3:$G$22&gt;A2261)*(Calc!$G$3:$G$22-A2261)*Calc!$I$3:$I$22)</f>
        <v/>
      </c>
      <c r="O2261">
        <f>SUMPRODUCT(Calc!$K$3:$K$22*(Calc!$G$3:$G$22&gt;B2261)*(Calc!$G$3:$G$22-B2261)*Calc!$I$3:$I$22)</f>
        <v/>
      </c>
      <c r="P2261">
        <f>I2261-G2261^2/k_n</f>
        <v/>
      </c>
      <c r="Q2261">
        <f>J2261-H2261^2/k_n</f>
        <v/>
      </c>
      <c r="R2261">
        <f>K2261-G2261*H2261/k_n</f>
        <v/>
      </c>
      <c r="S2261">
        <f>L2261-LTP3!$D$3*G2261/k_n</f>
        <v/>
      </c>
      <c r="T2261">
        <f>M2261-LTP3!$D$3*H2261/k_n</f>
        <v/>
      </c>
      <c r="U2261">
        <f>N2261-G2261*LTP3!$D$4/k_n</f>
        <v/>
      </c>
      <c r="V2261">
        <f>O2261-H2261*LTP3!$D$4/k_n</f>
        <v/>
      </c>
      <c r="W2261">
        <f>((LTP3!$D$5)*((P2261)*(Q2261)-(R2261)*(R2261))-(S2261)*((S2261)*(Q2261)-(R2261)*(T2261))+(T2261)*((S2261)*(R2261)-(P2261)*(T2261)))</f>
        <v/>
      </c>
      <c r="X2261">
        <f>IF(ABS(W2261)&gt;1E-12,((LTP3!$D$6)*((P2261)*(Q2261)-(R2261)*(R2261))-(S2261)*((U2261)*(Q2261)-(R2261)*(V2261))+(T2261)*((U2261)*(R2261)-(P2261)*(V2261)))/W2261,0)</f>
        <v/>
      </c>
      <c r="Y2261">
        <f>IF(ABS(W2261)&gt;1E-12,((LTP3!$D$5)*((U2261)*(Q2261)-(R2261)*(V2261))-(LTP3!$D$6)*((S2261)*(Q2261)-(R2261)*(T2261))+(T2261)*((S2261)*(V2261)-(U2261)*(T2261)))/W2261,0)</f>
        <v/>
      </c>
      <c r="Z2261">
        <f>IF(ABS(W2261)&gt;1E-12,((LTP3!$D$5)*((P2261)*(V2261)-(U2261)*(R2261))-(S2261)*((S2261)*(V2261)-(U2261)*(T2261))+(LTP3!$D$6)*((S2261)*(R2261)-(P2261)*(T2261)))/W2261,0)</f>
        <v/>
      </c>
      <c r="AA2261">
        <f>LTP3!$D$7-X2261*LTP3!$D$6-Y2261*U2261-Z2261*V2261</f>
        <v/>
      </c>
      <c r="AB2261">
        <f>IF(AND(F2261,ABS(W2261)&gt;1E-12,Y2261&gt;0,Z2261&gt;0),AA2261,1E+300)</f>
        <v/>
      </c>
    </row>
    <row r="2262">
      <c r="A2262">
        <f>$B$3+$B$5*36</f>
        <v/>
      </c>
      <c r="B2262">
        <f>$B$3+$B$5*54</f>
        <v/>
      </c>
      <c r="C2262">
        <f>SUMPRODUCT(Calc!$K$3:$K$22*(Calc!$G$3:$G$22&lt;=A2262))</f>
        <v/>
      </c>
      <c r="D2262">
        <f>SUMPRODUCT(Calc!$K$3:$K$22*(Calc!$G$3:$G$22&gt;A2262)*(Calc!$G$3:$G$22&lt;B2262))</f>
        <v/>
      </c>
      <c r="E2262">
        <f>SUMPRODUCT(Calc!$K$3:$K$22*(Calc!$G$3:$G$22&gt;=B2262))</f>
        <v/>
      </c>
      <c r="F2262">
        <f>AND(k_n&gt;=5,B2262&gt;A2262+1E-9,C2262&gt;=2,D2262&gt;=1,E2262&gt;=2)</f>
        <v/>
      </c>
      <c r="G2262">
        <f>SUMPRODUCT(Calc!$K$3:$K$22*(Calc!$G$3:$G$22&gt;A2262)*(Calc!$G$3:$G$22-A2262))</f>
        <v/>
      </c>
      <c r="H2262">
        <f>SUMPRODUCT(Calc!$K$3:$K$22*(Calc!$G$3:$G$22&gt;B2262)*(Calc!$G$3:$G$22-B2262))</f>
        <v/>
      </c>
      <c r="I2262">
        <f>SUMPRODUCT(Calc!$K$3:$K$22*(Calc!$G$3:$G$22&gt;A2262)*(Calc!$G$3:$G$22-A2262)^2)</f>
        <v/>
      </c>
      <c r="J2262">
        <f>SUMPRODUCT(Calc!$K$3:$K$22*(Calc!$G$3:$G$22&gt;B2262)*(Calc!$G$3:$G$22-B2262)^2)</f>
        <v/>
      </c>
      <c r="K2262">
        <f>SUMPRODUCT(Calc!$K$3:$K$22*(Calc!$G$3:$G$22&gt;A2262)*(Calc!$G$3:$G$22-A2262)*(Calc!$G$3:$G$22&gt;B2262)*(Calc!$G$3:$G$22-B2262))</f>
        <v/>
      </c>
      <c r="L2262">
        <f>SUMPRODUCT(Calc!$K$3:$K$22*(Calc!$G$3:$G$22&gt;A2262)*(Calc!$G$3:$G$22-A2262)*Calc!$G$3:$G$22)</f>
        <v/>
      </c>
      <c r="M2262">
        <f>SUMPRODUCT(Calc!$K$3:$K$22*(Calc!$G$3:$G$22&gt;B2262)*(Calc!$G$3:$G$22-B2262)*Calc!$G$3:$G$22)</f>
        <v/>
      </c>
      <c r="N2262">
        <f>SUMPRODUCT(Calc!$K$3:$K$22*(Calc!$G$3:$G$22&gt;A2262)*(Calc!$G$3:$G$22-A2262)*Calc!$I$3:$I$22)</f>
        <v/>
      </c>
      <c r="O2262">
        <f>SUMPRODUCT(Calc!$K$3:$K$22*(Calc!$G$3:$G$22&gt;B2262)*(Calc!$G$3:$G$22-B2262)*Calc!$I$3:$I$22)</f>
        <v/>
      </c>
      <c r="P2262">
        <f>I2262-G2262^2/k_n</f>
        <v/>
      </c>
      <c r="Q2262">
        <f>J2262-H2262^2/k_n</f>
        <v/>
      </c>
      <c r="R2262">
        <f>K2262-G2262*H2262/k_n</f>
        <v/>
      </c>
      <c r="S2262">
        <f>L2262-LTP3!$D$3*G2262/k_n</f>
        <v/>
      </c>
      <c r="T2262">
        <f>M2262-LTP3!$D$3*H2262/k_n</f>
        <v/>
      </c>
      <c r="U2262">
        <f>N2262-G2262*LTP3!$D$4/k_n</f>
        <v/>
      </c>
      <c r="V2262">
        <f>O2262-H2262*LTP3!$D$4/k_n</f>
        <v/>
      </c>
      <c r="W2262">
        <f>((LTP3!$D$5)*((P2262)*(Q2262)-(R2262)*(R2262))-(S2262)*((S2262)*(Q2262)-(R2262)*(T2262))+(T2262)*((S2262)*(R2262)-(P2262)*(T2262)))</f>
        <v/>
      </c>
      <c r="X2262">
        <f>IF(ABS(W2262)&gt;1E-12,((LTP3!$D$6)*((P2262)*(Q2262)-(R2262)*(R2262))-(S2262)*((U2262)*(Q2262)-(R2262)*(V2262))+(T2262)*((U2262)*(R2262)-(P2262)*(V2262)))/W2262,0)</f>
        <v/>
      </c>
      <c r="Y2262">
        <f>IF(ABS(W2262)&gt;1E-12,((LTP3!$D$5)*((U2262)*(Q2262)-(R2262)*(V2262))-(LTP3!$D$6)*((S2262)*(Q2262)-(R2262)*(T2262))+(T2262)*((S2262)*(V2262)-(U2262)*(T2262)))/W2262,0)</f>
        <v/>
      </c>
      <c r="Z2262">
        <f>IF(ABS(W2262)&gt;1E-12,((LTP3!$D$5)*((P2262)*(V2262)-(U2262)*(R2262))-(S2262)*((S2262)*(V2262)-(U2262)*(T2262))+(LTP3!$D$6)*((S2262)*(R2262)-(P2262)*(T2262)))/W2262,0)</f>
        <v/>
      </c>
      <c r="AA2262">
        <f>LTP3!$D$7-X2262*LTP3!$D$6-Y2262*U2262-Z2262*V2262</f>
        <v/>
      </c>
      <c r="AB2262">
        <f>IF(AND(F2262,ABS(W2262)&gt;1E-12,Y2262&gt;0,Z2262&gt;0),AA2262,1E+300)</f>
        <v/>
      </c>
    </row>
    <row r="2263">
      <c r="A2263">
        <f>$B$3+$B$5*36</f>
        <v/>
      </c>
      <c r="B2263">
        <f>$B$3+$B$5*55</f>
        <v/>
      </c>
      <c r="C2263">
        <f>SUMPRODUCT(Calc!$K$3:$K$22*(Calc!$G$3:$G$22&lt;=A2263))</f>
        <v/>
      </c>
      <c r="D2263">
        <f>SUMPRODUCT(Calc!$K$3:$K$22*(Calc!$G$3:$G$22&gt;A2263)*(Calc!$G$3:$G$22&lt;B2263))</f>
        <v/>
      </c>
      <c r="E2263">
        <f>SUMPRODUCT(Calc!$K$3:$K$22*(Calc!$G$3:$G$22&gt;=B2263))</f>
        <v/>
      </c>
      <c r="F2263">
        <f>AND(k_n&gt;=5,B2263&gt;A2263+1E-9,C2263&gt;=2,D2263&gt;=1,E2263&gt;=2)</f>
        <v/>
      </c>
      <c r="G2263">
        <f>SUMPRODUCT(Calc!$K$3:$K$22*(Calc!$G$3:$G$22&gt;A2263)*(Calc!$G$3:$G$22-A2263))</f>
        <v/>
      </c>
      <c r="H2263">
        <f>SUMPRODUCT(Calc!$K$3:$K$22*(Calc!$G$3:$G$22&gt;B2263)*(Calc!$G$3:$G$22-B2263))</f>
        <v/>
      </c>
      <c r="I2263">
        <f>SUMPRODUCT(Calc!$K$3:$K$22*(Calc!$G$3:$G$22&gt;A2263)*(Calc!$G$3:$G$22-A2263)^2)</f>
        <v/>
      </c>
      <c r="J2263">
        <f>SUMPRODUCT(Calc!$K$3:$K$22*(Calc!$G$3:$G$22&gt;B2263)*(Calc!$G$3:$G$22-B2263)^2)</f>
        <v/>
      </c>
      <c r="K2263">
        <f>SUMPRODUCT(Calc!$K$3:$K$22*(Calc!$G$3:$G$22&gt;A2263)*(Calc!$G$3:$G$22-A2263)*(Calc!$G$3:$G$22&gt;B2263)*(Calc!$G$3:$G$22-B2263))</f>
        <v/>
      </c>
      <c r="L2263">
        <f>SUMPRODUCT(Calc!$K$3:$K$22*(Calc!$G$3:$G$22&gt;A2263)*(Calc!$G$3:$G$22-A2263)*Calc!$G$3:$G$22)</f>
        <v/>
      </c>
      <c r="M2263">
        <f>SUMPRODUCT(Calc!$K$3:$K$22*(Calc!$G$3:$G$22&gt;B2263)*(Calc!$G$3:$G$22-B2263)*Calc!$G$3:$G$22)</f>
        <v/>
      </c>
      <c r="N2263">
        <f>SUMPRODUCT(Calc!$K$3:$K$22*(Calc!$G$3:$G$22&gt;A2263)*(Calc!$G$3:$G$22-A2263)*Calc!$I$3:$I$22)</f>
        <v/>
      </c>
      <c r="O2263">
        <f>SUMPRODUCT(Calc!$K$3:$K$22*(Calc!$G$3:$G$22&gt;B2263)*(Calc!$G$3:$G$22-B2263)*Calc!$I$3:$I$22)</f>
        <v/>
      </c>
      <c r="P2263">
        <f>I2263-G2263^2/k_n</f>
        <v/>
      </c>
      <c r="Q2263">
        <f>J2263-H2263^2/k_n</f>
        <v/>
      </c>
      <c r="R2263">
        <f>K2263-G2263*H2263/k_n</f>
        <v/>
      </c>
      <c r="S2263">
        <f>L2263-LTP3!$D$3*G2263/k_n</f>
        <v/>
      </c>
      <c r="T2263">
        <f>M2263-LTP3!$D$3*H2263/k_n</f>
        <v/>
      </c>
      <c r="U2263">
        <f>N2263-G2263*LTP3!$D$4/k_n</f>
        <v/>
      </c>
      <c r="V2263">
        <f>O2263-H2263*LTP3!$D$4/k_n</f>
        <v/>
      </c>
      <c r="W2263">
        <f>((LTP3!$D$5)*((P2263)*(Q2263)-(R2263)*(R2263))-(S2263)*((S2263)*(Q2263)-(R2263)*(T2263))+(T2263)*((S2263)*(R2263)-(P2263)*(T2263)))</f>
        <v/>
      </c>
      <c r="X2263">
        <f>IF(ABS(W2263)&gt;1E-12,((LTP3!$D$6)*((P2263)*(Q2263)-(R2263)*(R2263))-(S2263)*((U2263)*(Q2263)-(R2263)*(V2263))+(T2263)*((U2263)*(R2263)-(P2263)*(V2263)))/W2263,0)</f>
        <v/>
      </c>
      <c r="Y2263">
        <f>IF(ABS(W2263)&gt;1E-12,((LTP3!$D$5)*((U2263)*(Q2263)-(R2263)*(V2263))-(LTP3!$D$6)*((S2263)*(Q2263)-(R2263)*(T2263))+(T2263)*((S2263)*(V2263)-(U2263)*(T2263)))/W2263,0)</f>
        <v/>
      </c>
      <c r="Z2263">
        <f>IF(ABS(W2263)&gt;1E-12,((LTP3!$D$5)*((P2263)*(V2263)-(U2263)*(R2263))-(S2263)*((S2263)*(V2263)-(U2263)*(T2263))+(LTP3!$D$6)*((S2263)*(R2263)-(P2263)*(T2263)))/W2263,0)</f>
        <v/>
      </c>
      <c r="AA2263">
        <f>LTP3!$D$7-X2263*LTP3!$D$6-Y2263*U2263-Z2263*V2263</f>
        <v/>
      </c>
      <c r="AB2263">
        <f>IF(AND(F2263,ABS(W2263)&gt;1E-12,Y2263&gt;0,Z2263&gt;0),AA2263,1E+300)</f>
        <v/>
      </c>
    </row>
    <row r="2264">
      <c r="A2264">
        <f>$B$3+$B$5*36</f>
        <v/>
      </c>
      <c r="B2264">
        <f>$B$3+$B$5*56</f>
        <v/>
      </c>
      <c r="C2264">
        <f>SUMPRODUCT(Calc!$K$3:$K$22*(Calc!$G$3:$G$22&lt;=A2264))</f>
        <v/>
      </c>
      <c r="D2264">
        <f>SUMPRODUCT(Calc!$K$3:$K$22*(Calc!$G$3:$G$22&gt;A2264)*(Calc!$G$3:$G$22&lt;B2264))</f>
        <v/>
      </c>
      <c r="E2264">
        <f>SUMPRODUCT(Calc!$K$3:$K$22*(Calc!$G$3:$G$22&gt;=B2264))</f>
        <v/>
      </c>
      <c r="F2264">
        <f>AND(k_n&gt;=5,B2264&gt;A2264+1E-9,C2264&gt;=2,D2264&gt;=1,E2264&gt;=2)</f>
        <v/>
      </c>
      <c r="G2264">
        <f>SUMPRODUCT(Calc!$K$3:$K$22*(Calc!$G$3:$G$22&gt;A2264)*(Calc!$G$3:$G$22-A2264))</f>
        <v/>
      </c>
      <c r="H2264">
        <f>SUMPRODUCT(Calc!$K$3:$K$22*(Calc!$G$3:$G$22&gt;B2264)*(Calc!$G$3:$G$22-B2264))</f>
        <v/>
      </c>
      <c r="I2264">
        <f>SUMPRODUCT(Calc!$K$3:$K$22*(Calc!$G$3:$G$22&gt;A2264)*(Calc!$G$3:$G$22-A2264)^2)</f>
        <v/>
      </c>
      <c r="J2264">
        <f>SUMPRODUCT(Calc!$K$3:$K$22*(Calc!$G$3:$G$22&gt;B2264)*(Calc!$G$3:$G$22-B2264)^2)</f>
        <v/>
      </c>
      <c r="K2264">
        <f>SUMPRODUCT(Calc!$K$3:$K$22*(Calc!$G$3:$G$22&gt;A2264)*(Calc!$G$3:$G$22-A2264)*(Calc!$G$3:$G$22&gt;B2264)*(Calc!$G$3:$G$22-B2264))</f>
        <v/>
      </c>
      <c r="L2264">
        <f>SUMPRODUCT(Calc!$K$3:$K$22*(Calc!$G$3:$G$22&gt;A2264)*(Calc!$G$3:$G$22-A2264)*Calc!$G$3:$G$22)</f>
        <v/>
      </c>
      <c r="M2264">
        <f>SUMPRODUCT(Calc!$K$3:$K$22*(Calc!$G$3:$G$22&gt;B2264)*(Calc!$G$3:$G$22-B2264)*Calc!$G$3:$G$22)</f>
        <v/>
      </c>
      <c r="N2264">
        <f>SUMPRODUCT(Calc!$K$3:$K$22*(Calc!$G$3:$G$22&gt;A2264)*(Calc!$G$3:$G$22-A2264)*Calc!$I$3:$I$22)</f>
        <v/>
      </c>
      <c r="O2264">
        <f>SUMPRODUCT(Calc!$K$3:$K$22*(Calc!$G$3:$G$22&gt;B2264)*(Calc!$G$3:$G$22-B2264)*Calc!$I$3:$I$22)</f>
        <v/>
      </c>
      <c r="P2264">
        <f>I2264-G2264^2/k_n</f>
        <v/>
      </c>
      <c r="Q2264">
        <f>J2264-H2264^2/k_n</f>
        <v/>
      </c>
      <c r="R2264">
        <f>K2264-G2264*H2264/k_n</f>
        <v/>
      </c>
      <c r="S2264">
        <f>L2264-LTP3!$D$3*G2264/k_n</f>
        <v/>
      </c>
      <c r="T2264">
        <f>M2264-LTP3!$D$3*H2264/k_n</f>
        <v/>
      </c>
      <c r="U2264">
        <f>N2264-G2264*LTP3!$D$4/k_n</f>
        <v/>
      </c>
      <c r="V2264">
        <f>O2264-H2264*LTP3!$D$4/k_n</f>
        <v/>
      </c>
      <c r="W2264">
        <f>((LTP3!$D$5)*((P2264)*(Q2264)-(R2264)*(R2264))-(S2264)*((S2264)*(Q2264)-(R2264)*(T2264))+(T2264)*((S2264)*(R2264)-(P2264)*(T2264)))</f>
        <v/>
      </c>
      <c r="X2264">
        <f>IF(ABS(W2264)&gt;1E-12,((LTP3!$D$6)*((P2264)*(Q2264)-(R2264)*(R2264))-(S2264)*((U2264)*(Q2264)-(R2264)*(V2264))+(T2264)*((U2264)*(R2264)-(P2264)*(V2264)))/W2264,0)</f>
        <v/>
      </c>
      <c r="Y2264">
        <f>IF(ABS(W2264)&gt;1E-12,((LTP3!$D$5)*((U2264)*(Q2264)-(R2264)*(V2264))-(LTP3!$D$6)*((S2264)*(Q2264)-(R2264)*(T2264))+(T2264)*((S2264)*(V2264)-(U2264)*(T2264)))/W2264,0)</f>
        <v/>
      </c>
      <c r="Z2264">
        <f>IF(ABS(W2264)&gt;1E-12,((LTP3!$D$5)*((P2264)*(V2264)-(U2264)*(R2264))-(S2264)*((S2264)*(V2264)-(U2264)*(T2264))+(LTP3!$D$6)*((S2264)*(R2264)-(P2264)*(T2264)))/W2264,0)</f>
        <v/>
      </c>
      <c r="AA2264">
        <f>LTP3!$D$7-X2264*LTP3!$D$6-Y2264*U2264-Z2264*V2264</f>
        <v/>
      </c>
      <c r="AB2264">
        <f>IF(AND(F2264,ABS(W2264)&gt;1E-12,Y2264&gt;0,Z2264&gt;0),AA2264,1E+300)</f>
        <v/>
      </c>
    </row>
    <row r="2265">
      <c r="A2265">
        <f>$B$3+$B$5*36</f>
        <v/>
      </c>
      <c r="B2265">
        <f>$B$3+$B$5*57</f>
        <v/>
      </c>
      <c r="C2265">
        <f>SUMPRODUCT(Calc!$K$3:$K$22*(Calc!$G$3:$G$22&lt;=A2265))</f>
        <v/>
      </c>
      <c r="D2265">
        <f>SUMPRODUCT(Calc!$K$3:$K$22*(Calc!$G$3:$G$22&gt;A2265)*(Calc!$G$3:$G$22&lt;B2265))</f>
        <v/>
      </c>
      <c r="E2265">
        <f>SUMPRODUCT(Calc!$K$3:$K$22*(Calc!$G$3:$G$22&gt;=B2265))</f>
        <v/>
      </c>
      <c r="F2265">
        <f>AND(k_n&gt;=5,B2265&gt;A2265+1E-9,C2265&gt;=2,D2265&gt;=1,E2265&gt;=2)</f>
        <v/>
      </c>
      <c r="G2265">
        <f>SUMPRODUCT(Calc!$K$3:$K$22*(Calc!$G$3:$G$22&gt;A2265)*(Calc!$G$3:$G$22-A2265))</f>
        <v/>
      </c>
      <c r="H2265">
        <f>SUMPRODUCT(Calc!$K$3:$K$22*(Calc!$G$3:$G$22&gt;B2265)*(Calc!$G$3:$G$22-B2265))</f>
        <v/>
      </c>
      <c r="I2265">
        <f>SUMPRODUCT(Calc!$K$3:$K$22*(Calc!$G$3:$G$22&gt;A2265)*(Calc!$G$3:$G$22-A2265)^2)</f>
        <v/>
      </c>
      <c r="J2265">
        <f>SUMPRODUCT(Calc!$K$3:$K$22*(Calc!$G$3:$G$22&gt;B2265)*(Calc!$G$3:$G$22-B2265)^2)</f>
        <v/>
      </c>
      <c r="K2265">
        <f>SUMPRODUCT(Calc!$K$3:$K$22*(Calc!$G$3:$G$22&gt;A2265)*(Calc!$G$3:$G$22-A2265)*(Calc!$G$3:$G$22&gt;B2265)*(Calc!$G$3:$G$22-B2265))</f>
        <v/>
      </c>
      <c r="L2265">
        <f>SUMPRODUCT(Calc!$K$3:$K$22*(Calc!$G$3:$G$22&gt;A2265)*(Calc!$G$3:$G$22-A2265)*Calc!$G$3:$G$22)</f>
        <v/>
      </c>
      <c r="M2265">
        <f>SUMPRODUCT(Calc!$K$3:$K$22*(Calc!$G$3:$G$22&gt;B2265)*(Calc!$G$3:$G$22-B2265)*Calc!$G$3:$G$22)</f>
        <v/>
      </c>
      <c r="N2265">
        <f>SUMPRODUCT(Calc!$K$3:$K$22*(Calc!$G$3:$G$22&gt;A2265)*(Calc!$G$3:$G$22-A2265)*Calc!$I$3:$I$22)</f>
        <v/>
      </c>
      <c r="O2265">
        <f>SUMPRODUCT(Calc!$K$3:$K$22*(Calc!$G$3:$G$22&gt;B2265)*(Calc!$G$3:$G$22-B2265)*Calc!$I$3:$I$22)</f>
        <v/>
      </c>
      <c r="P2265">
        <f>I2265-G2265^2/k_n</f>
        <v/>
      </c>
      <c r="Q2265">
        <f>J2265-H2265^2/k_n</f>
        <v/>
      </c>
      <c r="R2265">
        <f>K2265-G2265*H2265/k_n</f>
        <v/>
      </c>
      <c r="S2265">
        <f>L2265-LTP3!$D$3*G2265/k_n</f>
        <v/>
      </c>
      <c r="T2265">
        <f>M2265-LTP3!$D$3*H2265/k_n</f>
        <v/>
      </c>
      <c r="U2265">
        <f>N2265-G2265*LTP3!$D$4/k_n</f>
        <v/>
      </c>
      <c r="V2265">
        <f>O2265-H2265*LTP3!$D$4/k_n</f>
        <v/>
      </c>
      <c r="W2265">
        <f>((LTP3!$D$5)*((P2265)*(Q2265)-(R2265)*(R2265))-(S2265)*((S2265)*(Q2265)-(R2265)*(T2265))+(T2265)*((S2265)*(R2265)-(P2265)*(T2265)))</f>
        <v/>
      </c>
      <c r="X2265">
        <f>IF(ABS(W2265)&gt;1E-12,((LTP3!$D$6)*((P2265)*(Q2265)-(R2265)*(R2265))-(S2265)*((U2265)*(Q2265)-(R2265)*(V2265))+(T2265)*((U2265)*(R2265)-(P2265)*(V2265)))/W2265,0)</f>
        <v/>
      </c>
      <c r="Y2265">
        <f>IF(ABS(W2265)&gt;1E-12,((LTP3!$D$5)*((U2265)*(Q2265)-(R2265)*(V2265))-(LTP3!$D$6)*((S2265)*(Q2265)-(R2265)*(T2265))+(T2265)*((S2265)*(V2265)-(U2265)*(T2265)))/W2265,0)</f>
        <v/>
      </c>
      <c r="Z2265">
        <f>IF(ABS(W2265)&gt;1E-12,((LTP3!$D$5)*((P2265)*(V2265)-(U2265)*(R2265))-(S2265)*((S2265)*(V2265)-(U2265)*(T2265))+(LTP3!$D$6)*((S2265)*(R2265)-(P2265)*(T2265)))/W2265,0)</f>
        <v/>
      </c>
      <c r="AA2265">
        <f>LTP3!$D$7-X2265*LTP3!$D$6-Y2265*U2265-Z2265*V2265</f>
        <v/>
      </c>
      <c r="AB2265">
        <f>IF(AND(F2265,ABS(W2265)&gt;1E-12,Y2265&gt;0,Z2265&gt;0),AA2265,1E+300)</f>
        <v/>
      </c>
    </row>
    <row r="2266">
      <c r="A2266">
        <f>$B$3+$B$5*36</f>
        <v/>
      </c>
      <c r="B2266">
        <f>$B$3+$B$5*58</f>
        <v/>
      </c>
      <c r="C2266">
        <f>SUMPRODUCT(Calc!$K$3:$K$22*(Calc!$G$3:$G$22&lt;=A2266))</f>
        <v/>
      </c>
      <c r="D2266">
        <f>SUMPRODUCT(Calc!$K$3:$K$22*(Calc!$G$3:$G$22&gt;A2266)*(Calc!$G$3:$G$22&lt;B2266))</f>
        <v/>
      </c>
      <c r="E2266">
        <f>SUMPRODUCT(Calc!$K$3:$K$22*(Calc!$G$3:$G$22&gt;=B2266))</f>
        <v/>
      </c>
      <c r="F2266">
        <f>AND(k_n&gt;=5,B2266&gt;A2266+1E-9,C2266&gt;=2,D2266&gt;=1,E2266&gt;=2)</f>
        <v/>
      </c>
      <c r="G2266">
        <f>SUMPRODUCT(Calc!$K$3:$K$22*(Calc!$G$3:$G$22&gt;A2266)*(Calc!$G$3:$G$22-A2266))</f>
        <v/>
      </c>
      <c r="H2266">
        <f>SUMPRODUCT(Calc!$K$3:$K$22*(Calc!$G$3:$G$22&gt;B2266)*(Calc!$G$3:$G$22-B2266))</f>
        <v/>
      </c>
      <c r="I2266">
        <f>SUMPRODUCT(Calc!$K$3:$K$22*(Calc!$G$3:$G$22&gt;A2266)*(Calc!$G$3:$G$22-A2266)^2)</f>
        <v/>
      </c>
      <c r="J2266">
        <f>SUMPRODUCT(Calc!$K$3:$K$22*(Calc!$G$3:$G$22&gt;B2266)*(Calc!$G$3:$G$22-B2266)^2)</f>
        <v/>
      </c>
      <c r="K2266">
        <f>SUMPRODUCT(Calc!$K$3:$K$22*(Calc!$G$3:$G$22&gt;A2266)*(Calc!$G$3:$G$22-A2266)*(Calc!$G$3:$G$22&gt;B2266)*(Calc!$G$3:$G$22-B2266))</f>
        <v/>
      </c>
      <c r="L2266">
        <f>SUMPRODUCT(Calc!$K$3:$K$22*(Calc!$G$3:$G$22&gt;A2266)*(Calc!$G$3:$G$22-A2266)*Calc!$G$3:$G$22)</f>
        <v/>
      </c>
      <c r="M2266">
        <f>SUMPRODUCT(Calc!$K$3:$K$22*(Calc!$G$3:$G$22&gt;B2266)*(Calc!$G$3:$G$22-B2266)*Calc!$G$3:$G$22)</f>
        <v/>
      </c>
      <c r="N2266">
        <f>SUMPRODUCT(Calc!$K$3:$K$22*(Calc!$G$3:$G$22&gt;A2266)*(Calc!$G$3:$G$22-A2266)*Calc!$I$3:$I$22)</f>
        <v/>
      </c>
      <c r="O2266">
        <f>SUMPRODUCT(Calc!$K$3:$K$22*(Calc!$G$3:$G$22&gt;B2266)*(Calc!$G$3:$G$22-B2266)*Calc!$I$3:$I$22)</f>
        <v/>
      </c>
      <c r="P2266">
        <f>I2266-G2266^2/k_n</f>
        <v/>
      </c>
      <c r="Q2266">
        <f>J2266-H2266^2/k_n</f>
        <v/>
      </c>
      <c r="R2266">
        <f>K2266-G2266*H2266/k_n</f>
        <v/>
      </c>
      <c r="S2266">
        <f>L2266-LTP3!$D$3*G2266/k_n</f>
        <v/>
      </c>
      <c r="T2266">
        <f>M2266-LTP3!$D$3*H2266/k_n</f>
        <v/>
      </c>
      <c r="U2266">
        <f>N2266-G2266*LTP3!$D$4/k_n</f>
        <v/>
      </c>
      <c r="V2266">
        <f>O2266-H2266*LTP3!$D$4/k_n</f>
        <v/>
      </c>
      <c r="W2266">
        <f>((LTP3!$D$5)*((P2266)*(Q2266)-(R2266)*(R2266))-(S2266)*((S2266)*(Q2266)-(R2266)*(T2266))+(T2266)*((S2266)*(R2266)-(P2266)*(T2266)))</f>
        <v/>
      </c>
      <c r="X2266">
        <f>IF(ABS(W2266)&gt;1E-12,((LTP3!$D$6)*((P2266)*(Q2266)-(R2266)*(R2266))-(S2266)*((U2266)*(Q2266)-(R2266)*(V2266))+(T2266)*((U2266)*(R2266)-(P2266)*(V2266)))/W2266,0)</f>
        <v/>
      </c>
      <c r="Y2266">
        <f>IF(ABS(W2266)&gt;1E-12,((LTP3!$D$5)*((U2266)*(Q2266)-(R2266)*(V2266))-(LTP3!$D$6)*((S2266)*(Q2266)-(R2266)*(T2266))+(T2266)*((S2266)*(V2266)-(U2266)*(T2266)))/W2266,0)</f>
        <v/>
      </c>
      <c r="Z2266">
        <f>IF(ABS(W2266)&gt;1E-12,((LTP3!$D$5)*((P2266)*(V2266)-(U2266)*(R2266))-(S2266)*((S2266)*(V2266)-(U2266)*(T2266))+(LTP3!$D$6)*((S2266)*(R2266)-(P2266)*(T2266)))/W2266,0)</f>
        <v/>
      </c>
      <c r="AA2266">
        <f>LTP3!$D$7-X2266*LTP3!$D$6-Y2266*U2266-Z2266*V2266</f>
        <v/>
      </c>
      <c r="AB2266">
        <f>IF(AND(F2266,ABS(W2266)&gt;1E-12,Y2266&gt;0,Z2266&gt;0),AA2266,1E+300)</f>
        <v/>
      </c>
    </row>
    <row r="2267">
      <c r="A2267">
        <f>$B$3+$B$5*36</f>
        <v/>
      </c>
      <c r="B2267">
        <f>$B$3+$B$5*59</f>
        <v/>
      </c>
      <c r="C2267">
        <f>SUMPRODUCT(Calc!$K$3:$K$22*(Calc!$G$3:$G$22&lt;=A2267))</f>
        <v/>
      </c>
      <c r="D2267">
        <f>SUMPRODUCT(Calc!$K$3:$K$22*(Calc!$G$3:$G$22&gt;A2267)*(Calc!$G$3:$G$22&lt;B2267))</f>
        <v/>
      </c>
      <c r="E2267">
        <f>SUMPRODUCT(Calc!$K$3:$K$22*(Calc!$G$3:$G$22&gt;=B2267))</f>
        <v/>
      </c>
      <c r="F2267">
        <f>AND(k_n&gt;=5,B2267&gt;A2267+1E-9,C2267&gt;=2,D2267&gt;=1,E2267&gt;=2)</f>
        <v/>
      </c>
      <c r="G2267">
        <f>SUMPRODUCT(Calc!$K$3:$K$22*(Calc!$G$3:$G$22&gt;A2267)*(Calc!$G$3:$G$22-A2267))</f>
        <v/>
      </c>
      <c r="H2267">
        <f>SUMPRODUCT(Calc!$K$3:$K$22*(Calc!$G$3:$G$22&gt;B2267)*(Calc!$G$3:$G$22-B2267))</f>
        <v/>
      </c>
      <c r="I2267">
        <f>SUMPRODUCT(Calc!$K$3:$K$22*(Calc!$G$3:$G$22&gt;A2267)*(Calc!$G$3:$G$22-A2267)^2)</f>
        <v/>
      </c>
      <c r="J2267">
        <f>SUMPRODUCT(Calc!$K$3:$K$22*(Calc!$G$3:$G$22&gt;B2267)*(Calc!$G$3:$G$22-B2267)^2)</f>
        <v/>
      </c>
      <c r="K2267">
        <f>SUMPRODUCT(Calc!$K$3:$K$22*(Calc!$G$3:$G$22&gt;A2267)*(Calc!$G$3:$G$22-A2267)*(Calc!$G$3:$G$22&gt;B2267)*(Calc!$G$3:$G$22-B2267))</f>
        <v/>
      </c>
      <c r="L2267">
        <f>SUMPRODUCT(Calc!$K$3:$K$22*(Calc!$G$3:$G$22&gt;A2267)*(Calc!$G$3:$G$22-A2267)*Calc!$G$3:$G$22)</f>
        <v/>
      </c>
      <c r="M2267">
        <f>SUMPRODUCT(Calc!$K$3:$K$22*(Calc!$G$3:$G$22&gt;B2267)*(Calc!$G$3:$G$22-B2267)*Calc!$G$3:$G$22)</f>
        <v/>
      </c>
      <c r="N2267">
        <f>SUMPRODUCT(Calc!$K$3:$K$22*(Calc!$G$3:$G$22&gt;A2267)*(Calc!$G$3:$G$22-A2267)*Calc!$I$3:$I$22)</f>
        <v/>
      </c>
      <c r="O2267">
        <f>SUMPRODUCT(Calc!$K$3:$K$22*(Calc!$G$3:$G$22&gt;B2267)*(Calc!$G$3:$G$22-B2267)*Calc!$I$3:$I$22)</f>
        <v/>
      </c>
      <c r="P2267">
        <f>I2267-G2267^2/k_n</f>
        <v/>
      </c>
      <c r="Q2267">
        <f>J2267-H2267^2/k_n</f>
        <v/>
      </c>
      <c r="R2267">
        <f>K2267-G2267*H2267/k_n</f>
        <v/>
      </c>
      <c r="S2267">
        <f>L2267-LTP3!$D$3*G2267/k_n</f>
        <v/>
      </c>
      <c r="T2267">
        <f>M2267-LTP3!$D$3*H2267/k_n</f>
        <v/>
      </c>
      <c r="U2267">
        <f>N2267-G2267*LTP3!$D$4/k_n</f>
        <v/>
      </c>
      <c r="V2267">
        <f>O2267-H2267*LTP3!$D$4/k_n</f>
        <v/>
      </c>
      <c r="W2267">
        <f>((LTP3!$D$5)*((P2267)*(Q2267)-(R2267)*(R2267))-(S2267)*((S2267)*(Q2267)-(R2267)*(T2267))+(T2267)*((S2267)*(R2267)-(P2267)*(T2267)))</f>
        <v/>
      </c>
      <c r="X2267">
        <f>IF(ABS(W2267)&gt;1E-12,((LTP3!$D$6)*((P2267)*(Q2267)-(R2267)*(R2267))-(S2267)*((U2267)*(Q2267)-(R2267)*(V2267))+(T2267)*((U2267)*(R2267)-(P2267)*(V2267)))/W2267,0)</f>
        <v/>
      </c>
      <c r="Y2267">
        <f>IF(ABS(W2267)&gt;1E-12,((LTP3!$D$5)*((U2267)*(Q2267)-(R2267)*(V2267))-(LTP3!$D$6)*((S2267)*(Q2267)-(R2267)*(T2267))+(T2267)*((S2267)*(V2267)-(U2267)*(T2267)))/W2267,0)</f>
        <v/>
      </c>
      <c r="Z2267">
        <f>IF(ABS(W2267)&gt;1E-12,((LTP3!$D$5)*((P2267)*(V2267)-(U2267)*(R2267))-(S2267)*((S2267)*(V2267)-(U2267)*(T2267))+(LTP3!$D$6)*((S2267)*(R2267)-(P2267)*(T2267)))/W2267,0)</f>
        <v/>
      </c>
      <c r="AA2267">
        <f>LTP3!$D$7-X2267*LTP3!$D$6-Y2267*U2267-Z2267*V2267</f>
        <v/>
      </c>
      <c r="AB2267">
        <f>IF(AND(F2267,ABS(W2267)&gt;1E-12,Y2267&gt;0,Z2267&gt;0),AA2267,1E+300)</f>
        <v/>
      </c>
    </row>
    <row r="2268">
      <c r="A2268">
        <f>$B$3+$B$5*36</f>
        <v/>
      </c>
      <c r="B2268">
        <f>$B$3+$B$5*60</f>
        <v/>
      </c>
      <c r="C2268">
        <f>SUMPRODUCT(Calc!$K$3:$K$22*(Calc!$G$3:$G$22&lt;=A2268))</f>
        <v/>
      </c>
      <c r="D2268">
        <f>SUMPRODUCT(Calc!$K$3:$K$22*(Calc!$G$3:$G$22&gt;A2268)*(Calc!$G$3:$G$22&lt;B2268))</f>
        <v/>
      </c>
      <c r="E2268">
        <f>SUMPRODUCT(Calc!$K$3:$K$22*(Calc!$G$3:$G$22&gt;=B2268))</f>
        <v/>
      </c>
      <c r="F2268">
        <f>AND(k_n&gt;=5,B2268&gt;A2268+1E-9,C2268&gt;=2,D2268&gt;=1,E2268&gt;=2)</f>
        <v/>
      </c>
      <c r="G2268">
        <f>SUMPRODUCT(Calc!$K$3:$K$22*(Calc!$G$3:$G$22&gt;A2268)*(Calc!$G$3:$G$22-A2268))</f>
        <v/>
      </c>
      <c r="H2268">
        <f>SUMPRODUCT(Calc!$K$3:$K$22*(Calc!$G$3:$G$22&gt;B2268)*(Calc!$G$3:$G$22-B2268))</f>
        <v/>
      </c>
      <c r="I2268">
        <f>SUMPRODUCT(Calc!$K$3:$K$22*(Calc!$G$3:$G$22&gt;A2268)*(Calc!$G$3:$G$22-A2268)^2)</f>
        <v/>
      </c>
      <c r="J2268">
        <f>SUMPRODUCT(Calc!$K$3:$K$22*(Calc!$G$3:$G$22&gt;B2268)*(Calc!$G$3:$G$22-B2268)^2)</f>
        <v/>
      </c>
      <c r="K2268">
        <f>SUMPRODUCT(Calc!$K$3:$K$22*(Calc!$G$3:$G$22&gt;A2268)*(Calc!$G$3:$G$22-A2268)*(Calc!$G$3:$G$22&gt;B2268)*(Calc!$G$3:$G$22-B2268))</f>
        <v/>
      </c>
      <c r="L2268">
        <f>SUMPRODUCT(Calc!$K$3:$K$22*(Calc!$G$3:$G$22&gt;A2268)*(Calc!$G$3:$G$22-A2268)*Calc!$G$3:$G$22)</f>
        <v/>
      </c>
      <c r="M2268">
        <f>SUMPRODUCT(Calc!$K$3:$K$22*(Calc!$G$3:$G$22&gt;B2268)*(Calc!$G$3:$G$22-B2268)*Calc!$G$3:$G$22)</f>
        <v/>
      </c>
      <c r="N2268">
        <f>SUMPRODUCT(Calc!$K$3:$K$22*(Calc!$G$3:$G$22&gt;A2268)*(Calc!$G$3:$G$22-A2268)*Calc!$I$3:$I$22)</f>
        <v/>
      </c>
      <c r="O2268">
        <f>SUMPRODUCT(Calc!$K$3:$K$22*(Calc!$G$3:$G$22&gt;B2268)*(Calc!$G$3:$G$22-B2268)*Calc!$I$3:$I$22)</f>
        <v/>
      </c>
      <c r="P2268">
        <f>I2268-G2268^2/k_n</f>
        <v/>
      </c>
      <c r="Q2268">
        <f>J2268-H2268^2/k_n</f>
        <v/>
      </c>
      <c r="R2268">
        <f>K2268-G2268*H2268/k_n</f>
        <v/>
      </c>
      <c r="S2268">
        <f>L2268-LTP3!$D$3*G2268/k_n</f>
        <v/>
      </c>
      <c r="T2268">
        <f>M2268-LTP3!$D$3*H2268/k_n</f>
        <v/>
      </c>
      <c r="U2268">
        <f>N2268-G2268*LTP3!$D$4/k_n</f>
        <v/>
      </c>
      <c r="V2268">
        <f>O2268-H2268*LTP3!$D$4/k_n</f>
        <v/>
      </c>
      <c r="W2268">
        <f>((LTP3!$D$5)*((P2268)*(Q2268)-(R2268)*(R2268))-(S2268)*((S2268)*(Q2268)-(R2268)*(T2268))+(T2268)*((S2268)*(R2268)-(P2268)*(T2268)))</f>
        <v/>
      </c>
      <c r="X2268">
        <f>IF(ABS(W2268)&gt;1E-12,((LTP3!$D$6)*((P2268)*(Q2268)-(R2268)*(R2268))-(S2268)*((U2268)*(Q2268)-(R2268)*(V2268))+(T2268)*((U2268)*(R2268)-(P2268)*(V2268)))/W2268,0)</f>
        <v/>
      </c>
      <c r="Y2268">
        <f>IF(ABS(W2268)&gt;1E-12,((LTP3!$D$5)*((U2268)*(Q2268)-(R2268)*(V2268))-(LTP3!$D$6)*((S2268)*(Q2268)-(R2268)*(T2268))+(T2268)*((S2268)*(V2268)-(U2268)*(T2268)))/W2268,0)</f>
        <v/>
      </c>
      <c r="Z2268">
        <f>IF(ABS(W2268)&gt;1E-12,((LTP3!$D$5)*((P2268)*(V2268)-(U2268)*(R2268))-(S2268)*((S2268)*(V2268)-(U2268)*(T2268))+(LTP3!$D$6)*((S2268)*(R2268)-(P2268)*(T2268)))/W2268,0)</f>
        <v/>
      </c>
      <c r="AA2268">
        <f>LTP3!$D$7-X2268*LTP3!$D$6-Y2268*U2268-Z2268*V2268</f>
        <v/>
      </c>
      <c r="AB2268">
        <f>IF(AND(F2268,ABS(W2268)&gt;1E-12,Y2268&gt;0,Z2268&gt;0),AA2268,1E+300)</f>
        <v/>
      </c>
    </row>
    <row r="2269">
      <c r="A2269">
        <f>$B$3+$B$5*37</f>
        <v/>
      </c>
      <c r="B2269">
        <f>$B$3+$B$5*0</f>
        <v/>
      </c>
      <c r="C2269">
        <f>SUMPRODUCT(Calc!$K$3:$K$22*(Calc!$G$3:$G$22&lt;=A2269))</f>
        <v/>
      </c>
      <c r="D2269">
        <f>SUMPRODUCT(Calc!$K$3:$K$22*(Calc!$G$3:$G$22&gt;A2269)*(Calc!$G$3:$G$22&lt;B2269))</f>
        <v/>
      </c>
      <c r="E2269">
        <f>SUMPRODUCT(Calc!$K$3:$K$22*(Calc!$G$3:$G$22&gt;=B2269))</f>
        <v/>
      </c>
      <c r="F2269">
        <f>AND(k_n&gt;=5,B2269&gt;A2269+1E-9,C2269&gt;=2,D2269&gt;=1,E2269&gt;=2)</f>
        <v/>
      </c>
      <c r="G2269">
        <f>SUMPRODUCT(Calc!$K$3:$K$22*(Calc!$G$3:$G$22&gt;A2269)*(Calc!$G$3:$G$22-A2269))</f>
        <v/>
      </c>
      <c r="H2269">
        <f>SUMPRODUCT(Calc!$K$3:$K$22*(Calc!$G$3:$G$22&gt;B2269)*(Calc!$G$3:$G$22-B2269))</f>
        <v/>
      </c>
      <c r="I2269">
        <f>SUMPRODUCT(Calc!$K$3:$K$22*(Calc!$G$3:$G$22&gt;A2269)*(Calc!$G$3:$G$22-A2269)^2)</f>
        <v/>
      </c>
      <c r="J2269">
        <f>SUMPRODUCT(Calc!$K$3:$K$22*(Calc!$G$3:$G$22&gt;B2269)*(Calc!$G$3:$G$22-B2269)^2)</f>
        <v/>
      </c>
      <c r="K2269">
        <f>SUMPRODUCT(Calc!$K$3:$K$22*(Calc!$G$3:$G$22&gt;A2269)*(Calc!$G$3:$G$22-A2269)*(Calc!$G$3:$G$22&gt;B2269)*(Calc!$G$3:$G$22-B2269))</f>
        <v/>
      </c>
      <c r="L2269">
        <f>SUMPRODUCT(Calc!$K$3:$K$22*(Calc!$G$3:$G$22&gt;A2269)*(Calc!$G$3:$G$22-A2269)*Calc!$G$3:$G$22)</f>
        <v/>
      </c>
      <c r="M2269">
        <f>SUMPRODUCT(Calc!$K$3:$K$22*(Calc!$G$3:$G$22&gt;B2269)*(Calc!$G$3:$G$22-B2269)*Calc!$G$3:$G$22)</f>
        <v/>
      </c>
      <c r="N2269">
        <f>SUMPRODUCT(Calc!$K$3:$K$22*(Calc!$G$3:$G$22&gt;A2269)*(Calc!$G$3:$G$22-A2269)*Calc!$I$3:$I$22)</f>
        <v/>
      </c>
      <c r="O2269">
        <f>SUMPRODUCT(Calc!$K$3:$K$22*(Calc!$G$3:$G$22&gt;B2269)*(Calc!$G$3:$G$22-B2269)*Calc!$I$3:$I$22)</f>
        <v/>
      </c>
      <c r="P2269">
        <f>I2269-G2269^2/k_n</f>
        <v/>
      </c>
      <c r="Q2269">
        <f>J2269-H2269^2/k_n</f>
        <v/>
      </c>
      <c r="R2269">
        <f>K2269-G2269*H2269/k_n</f>
        <v/>
      </c>
      <c r="S2269">
        <f>L2269-LTP3!$D$3*G2269/k_n</f>
        <v/>
      </c>
      <c r="T2269">
        <f>M2269-LTP3!$D$3*H2269/k_n</f>
        <v/>
      </c>
      <c r="U2269">
        <f>N2269-G2269*LTP3!$D$4/k_n</f>
        <v/>
      </c>
      <c r="V2269">
        <f>O2269-H2269*LTP3!$D$4/k_n</f>
        <v/>
      </c>
      <c r="W2269">
        <f>((LTP3!$D$5)*((P2269)*(Q2269)-(R2269)*(R2269))-(S2269)*((S2269)*(Q2269)-(R2269)*(T2269))+(T2269)*((S2269)*(R2269)-(P2269)*(T2269)))</f>
        <v/>
      </c>
      <c r="X2269">
        <f>IF(ABS(W2269)&gt;1E-12,((LTP3!$D$6)*((P2269)*(Q2269)-(R2269)*(R2269))-(S2269)*((U2269)*(Q2269)-(R2269)*(V2269))+(T2269)*((U2269)*(R2269)-(P2269)*(V2269)))/W2269,0)</f>
        <v/>
      </c>
      <c r="Y2269">
        <f>IF(ABS(W2269)&gt;1E-12,((LTP3!$D$5)*((U2269)*(Q2269)-(R2269)*(V2269))-(LTP3!$D$6)*((S2269)*(Q2269)-(R2269)*(T2269))+(T2269)*((S2269)*(V2269)-(U2269)*(T2269)))/W2269,0)</f>
        <v/>
      </c>
      <c r="Z2269">
        <f>IF(ABS(W2269)&gt;1E-12,((LTP3!$D$5)*((P2269)*(V2269)-(U2269)*(R2269))-(S2269)*((S2269)*(V2269)-(U2269)*(T2269))+(LTP3!$D$6)*((S2269)*(R2269)-(P2269)*(T2269)))/W2269,0)</f>
        <v/>
      </c>
      <c r="AA2269">
        <f>LTP3!$D$7-X2269*LTP3!$D$6-Y2269*U2269-Z2269*V2269</f>
        <v/>
      </c>
      <c r="AB2269">
        <f>IF(AND(F2269,ABS(W2269)&gt;1E-12,Y2269&gt;0,Z2269&gt;0),AA2269,1E+300)</f>
        <v/>
      </c>
    </row>
    <row r="2270">
      <c r="A2270">
        <f>$B$3+$B$5*37</f>
        <v/>
      </c>
      <c r="B2270">
        <f>$B$3+$B$5*1</f>
        <v/>
      </c>
      <c r="C2270">
        <f>SUMPRODUCT(Calc!$K$3:$K$22*(Calc!$G$3:$G$22&lt;=A2270))</f>
        <v/>
      </c>
      <c r="D2270">
        <f>SUMPRODUCT(Calc!$K$3:$K$22*(Calc!$G$3:$G$22&gt;A2270)*(Calc!$G$3:$G$22&lt;B2270))</f>
        <v/>
      </c>
      <c r="E2270">
        <f>SUMPRODUCT(Calc!$K$3:$K$22*(Calc!$G$3:$G$22&gt;=B2270))</f>
        <v/>
      </c>
      <c r="F2270">
        <f>AND(k_n&gt;=5,B2270&gt;A2270+1E-9,C2270&gt;=2,D2270&gt;=1,E2270&gt;=2)</f>
        <v/>
      </c>
      <c r="G2270">
        <f>SUMPRODUCT(Calc!$K$3:$K$22*(Calc!$G$3:$G$22&gt;A2270)*(Calc!$G$3:$G$22-A2270))</f>
        <v/>
      </c>
      <c r="H2270">
        <f>SUMPRODUCT(Calc!$K$3:$K$22*(Calc!$G$3:$G$22&gt;B2270)*(Calc!$G$3:$G$22-B2270))</f>
        <v/>
      </c>
      <c r="I2270">
        <f>SUMPRODUCT(Calc!$K$3:$K$22*(Calc!$G$3:$G$22&gt;A2270)*(Calc!$G$3:$G$22-A2270)^2)</f>
        <v/>
      </c>
      <c r="J2270">
        <f>SUMPRODUCT(Calc!$K$3:$K$22*(Calc!$G$3:$G$22&gt;B2270)*(Calc!$G$3:$G$22-B2270)^2)</f>
        <v/>
      </c>
      <c r="K2270">
        <f>SUMPRODUCT(Calc!$K$3:$K$22*(Calc!$G$3:$G$22&gt;A2270)*(Calc!$G$3:$G$22-A2270)*(Calc!$G$3:$G$22&gt;B2270)*(Calc!$G$3:$G$22-B2270))</f>
        <v/>
      </c>
      <c r="L2270">
        <f>SUMPRODUCT(Calc!$K$3:$K$22*(Calc!$G$3:$G$22&gt;A2270)*(Calc!$G$3:$G$22-A2270)*Calc!$G$3:$G$22)</f>
        <v/>
      </c>
      <c r="M2270">
        <f>SUMPRODUCT(Calc!$K$3:$K$22*(Calc!$G$3:$G$22&gt;B2270)*(Calc!$G$3:$G$22-B2270)*Calc!$G$3:$G$22)</f>
        <v/>
      </c>
      <c r="N2270">
        <f>SUMPRODUCT(Calc!$K$3:$K$22*(Calc!$G$3:$G$22&gt;A2270)*(Calc!$G$3:$G$22-A2270)*Calc!$I$3:$I$22)</f>
        <v/>
      </c>
      <c r="O2270">
        <f>SUMPRODUCT(Calc!$K$3:$K$22*(Calc!$G$3:$G$22&gt;B2270)*(Calc!$G$3:$G$22-B2270)*Calc!$I$3:$I$22)</f>
        <v/>
      </c>
      <c r="P2270">
        <f>I2270-G2270^2/k_n</f>
        <v/>
      </c>
      <c r="Q2270">
        <f>J2270-H2270^2/k_n</f>
        <v/>
      </c>
      <c r="R2270">
        <f>K2270-G2270*H2270/k_n</f>
        <v/>
      </c>
      <c r="S2270">
        <f>L2270-LTP3!$D$3*G2270/k_n</f>
        <v/>
      </c>
      <c r="T2270">
        <f>M2270-LTP3!$D$3*H2270/k_n</f>
        <v/>
      </c>
      <c r="U2270">
        <f>N2270-G2270*LTP3!$D$4/k_n</f>
        <v/>
      </c>
      <c r="V2270">
        <f>O2270-H2270*LTP3!$D$4/k_n</f>
        <v/>
      </c>
      <c r="W2270">
        <f>((LTP3!$D$5)*((P2270)*(Q2270)-(R2270)*(R2270))-(S2270)*((S2270)*(Q2270)-(R2270)*(T2270))+(T2270)*((S2270)*(R2270)-(P2270)*(T2270)))</f>
        <v/>
      </c>
      <c r="X2270">
        <f>IF(ABS(W2270)&gt;1E-12,((LTP3!$D$6)*((P2270)*(Q2270)-(R2270)*(R2270))-(S2270)*((U2270)*(Q2270)-(R2270)*(V2270))+(T2270)*((U2270)*(R2270)-(P2270)*(V2270)))/W2270,0)</f>
        <v/>
      </c>
      <c r="Y2270">
        <f>IF(ABS(W2270)&gt;1E-12,((LTP3!$D$5)*((U2270)*(Q2270)-(R2270)*(V2270))-(LTP3!$D$6)*((S2270)*(Q2270)-(R2270)*(T2270))+(T2270)*((S2270)*(V2270)-(U2270)*(T2270)))/W2270,0)</f>
        <v/>
      </c>
      <c r="Z2270">
        <f>IF(ABS(W2270)&gt;1E-12,((LTP3!$D$5)*((P2270)*(V2270)-(U2270)*(R2270))-(S2270)*((S2270)*(V2270)-(U2270)*(T2270))+(LTP3!$D$6)*((S2270)*(R2270)-(P2270)*(T2270)))/W2270,0)</f>
        <v/>
      </c>
      <c r="AA2270">
        <f>LTP3!$D$7-X2270*LTP3!$D$6-Y2270*U2270-Z2270*V2270</f>
        <v/>
      </c>
      <c r="AB2270">
        <f>IF(AND(F2270,ABS(W2270)&gt;1E-12,Y2270&gt;0,Z2270&gt;0),AA2270,1E+300)</f>
        <v/>
      </c>
    </row>
    <row r="2271">
      <c r="A2271">
        <f>$B$3+$B$5*37</f>
        <v/>
      </c>
      <c r="B2271">
        <f>$B$3+$B$5*2</f>
        <v/>
      </c>
      <c r="C2271">
        <f>SUMPRODUCT(Calc!$K$3:$K$22*(Calc!$G$3:$G$22&lt;=A2271))</f>
        <v/>
      </c>
      <c r="D2271">
        <f>SUMPRODUCT(Calc!$K$3:$K$22*(Calc!$G$3:$G$22&gt;A2271)*(Calc!$G$3:$G$22&lt;B2271))</f>
        <v/>
      </c>
      <c r="E2271">
        <f>SUMPRODUCT(Calc!$K$3:$K$22*(Calc!$G$3:$G$22&gt;=B2271))</f>
        <v/>
      </c>
      <c r="F2271">
        <f>AND(k_n&gt;=5,B2271&gt;A2271+1E-9,C2271&gt;=2,D2271&gt;=1,E2271&gt;=2)</f>
        <v/>
      </c>
      <c r="G2271">
        <f>SUMPRODUCT(Calc!$K$3:$K$22*(Calc!$G$3:$G$22&gt;A2271)*(Calc!$G$3:$G$22-A2271))</f>
        <v/>
      </c>
      <c r="H2271">
        <f>SUMPRODUCT(Calc!$K$3:$K$22*(Calc!$G$3:$G$22&gt;B2271)*(Calc!$G$3:$G$22-B2271))</f>
        <v/>
      </c>
      <c r="I2271">
        <f>SUMPRODUCT(Calc!$K$3:$K$22*(Calc!$G$3:$G$22&gt;A2271)*(Calc!$G$3:$G$22-A2271)^2)</f>
        <v/>
      </c>
      <c r="J2271">
        <f>SUMPRODUCT(Calc!$K$3:$K$22*(Calc!$G$3:$G$22&gt;B2271)*(Calc!$G$3:$G$22-B2271)^2)</f>
        <v/>
      </c>
      <c r="K2271">
        <f>SUMPRODUCT(Calc!$K$3:$K$22*(Calc!$G$3:$G$22&gt;A2271)*(Calc!$G$3:$G$22-A2271)*(Calc!$G$3:$G$22&gt;B2271)*(Calc!$G$3:$G$22-B2271))</f>
        <v/>
      </c>
      <c r="L2271">
        <f>SUMPRODUCT(Calc!$K$3:$K$22*(Calc!$G$3:$G$22&gt;A2271)*(Calc!$G$3:$G$22-A2271)*Calc!$G$3:$G$22)</f>
        <v/>
      </c>
      <c r="M2271">
        <f>SUMPRODUCT(Calc!$K$3:$K$22*(Calc!$G$3:$G$22&gt;B2271)*(Calc!$G$3:$G$22-B2271)*Calc!$G$3:$G$22)</f>
        <v/>
      </c>
      <c r="N2271">
        <f>SUMPRODUCT(Calc!$K$3:$K$22*(Calc!$G$3:$G$22&gt;A2271)*(Calc!$G$3:$G$22-A2271)*Calc!$I$3:$I$22)</f>
        <v/>
      </c>
      <c r="O2271">
        <f>SUMPRODUCT(Calc!$K$3:$K$22*(Calc!$G$3:$G$22&gt;B2271)*(Calc!$G$3:$G$22-B2271)*Calc!$I$3:$I$22)</f>
        <v/>
      </c>
      <c r="P2271">
        <f>I2271-G2271^2/k_n</f>
        <v/>
      </c>
      <c r="Q2271">
        <f>J2271-H2271^2/k_n</f>
        <v/>
      </c>
      <c r="R2271">
        <f>K2271-G2271*H2271/k_n</f>
        <v/>
      </c>
      <c r="S2271">
        <f>L2271-LTP3!$D$3*G2271/k_n</f>
        <v/>
      </c>
      <c r="T2271">
        <f>M2271-LTP3!$D$3*H2271/k_n</f>
        <v/>
      </c>
      <c r="U2271">
        <f>N2271-G2271*LTP3!$D$4/k_n</f>
        <v/>
      </c>
      <c r="V2271">
        <f>O2271-H2271*LTP3!$D$4/k_n</f>
        <v/>
      </c>
      <c r="W2271">
        <f>((LTP3!$D$5)*((P2271)*(Q2271)-(R2271)*(R2271))-(S2271)*((S2271)*(Q2271)-(R2271)*(T2271))+(T2271)*((S2271)*(R2271)-(P2271)*(T2271)))</f>
        <v/>
      </c>
      <c r="X2271">
        <f>IF(ABS(W2271)&gt;1E-12,((LTP3!$D$6)*((P2271)*(Q2271)-(R2271)*(R2271))-(S2271)*((U2271)*(Q2271)-(R2271)*(V2271))+(T2271)*((U2271)*(R2271)-(P2271)*(V2271)))/W2271,0)</f>
        <v/>
      </c>
      <c r="Y2271">
        <f>IF(ABS(W2271)&gt;1E-12,((LTP3!$D$5)*((U2271)*(Q2271)-(R2271)*(V2271))-(LTP3!$D$6)*((S2271)*(Q2271)-(R2271)*(T2271))+(T2271)*((S2271)*(V2271)-(U2271)*(T2271)))/W2271,0)</f>
        <v/>
      </c>
      <c r="Z2271">
        <f>IF(ABS(W2271)&gt;1E-12,((LTP3!$D$5)*((P2271)*(V2271)-(U2271)*(R2271))-(S2271)*((S2271)*(V2271)-(U2271)*(T2271))+(LTP3!$D$6)*((S2271)*(R2271)-(P2271)*(T2271)))/W2271,0)</f>
        <v/>
      </c>
      <c r="AA2271">
        <f>LTP3!$D$7-X2271*LTP3!$D$6-Y2271*U2271-Z2271*V2271</f>
        <v/>
      </c>
      <c r="AB2271">
        <f>IF(AND(F2271,ABS(W2271)&gt;1E-12,Y2271&gt;0,Z2271&gt;0),AA2271,1E+300)</f>
        <v/>
      </c>
    </row>
    <row r="2272">
      <c r="A2272">
        <f>$B$3+$B$5*37</f>
        <v/>
      </c>
      <c r="B2272">
        <f>$B$3+$B$5*3</f>
        <v/>
      </c>
      <c r="C2272">
        <f>SUMPRODUCT(Calc!$K$3:$K$22*(Calc!$G$3:$G$22&lt;=A2272))</f>
        <v/>
      </c>
      <c r="D2272">
        <f>SUMPRODUCT(Calc!$K$3:$K$22*(Calc!$G$3:$G$22&gt;A2272)*(Calc!$G$3:$G$22&lt;B2272))</f>
        <v/>
      </c>
      <c r="E2272">
        <f>SUMPRODUCT(Calc!$K$3:$K$22*(Calc!$G$3:$G$22&gt;=B2272))</f>
        <v/>
      </c>
      <c r="F2272">
        <f>AND(k_n&gt;=5,B2272&gt;A2272+1E-9,C2272&gt;=2,D2272&gt;=1,E2272&gt;=2)</f>
        <v/>
      </c>
      <c r="G2272">
        <f>SUMPRODUCT(Calc!$K$3:$K$22*(Calc!$G$3:$G$22&gt;A2272)*(Calc!$G$3:$G$22-A2272))</f>
        <v/>
      </c>
      <c r="H2272">
        <f>SUMPRODUCT(Calc!$K$3:$K$22*(Calc!$G$3:$G$22&gt;B2272)*(Calc!$G$3:$G$22-B2272))</f>
        <v/>
      </c>
      <c r="I2272">
        <f>SUMPRODUCT(Calc!$K$3:$K$22*(Calc!$G$3:$G$22&gt;A2272)*(Calc!$G$3:$G$22-A2272)^2)</f>
        <v/>
      </c>
      <c r="J2272">
        <f>SUMPRODUCT(Calc!$K$3:$K$22*(Calc!$G$3:$G$22&gt;B2272)*(Calc!$G$3:$G$22-B2272)^2)</f>
        <v/>
      </c>
      <c r="K2272">
        <f>SUMPRODUCT(Calc!$K$3:$K$22*(Calc!$G$3:$G$22&gt;A2272)*(Calc!$G$3:$G$22-A2272)*(Calc!$G$3:$G$22&gt;B2272)*(Calc!$G$3:$G$22-B2272))</f>
        <v/>
      </c>
      <c r="L2272">
        <f>SUMPRODUCT(Calc!$K$3:$K$22*(Calc!$G$3:$G$22&gt;A2272)*(Calc!$G$3:$G$22-A2272)*Calc!$G$3:$G$22)</f>
        <v/>
      </c>
      <c r="M2272">
        <f>SUMPRODUCT(Calc!$K$3:$K$22*(Calc!$G$3:$G$22&gt;B2272)*(Calc!$G$3:$G$22-B2272)*Calc!$G$3:$G$22)</f>
        <v/>
      </c>
      <c r="N2272">
        <f>SUMPRODUCT(Calc!$K$3:$K$22*(Calc!$G$3:$G$22&gt;A2272)*(Calc!$G$3:$G$22-A2272)*Calc!$I$3:$I$22)</f>
        <v/>
      </c>
      <c r="O2272">
        <f>SUMPRODUCT(Calc!$K$3:$K$22*(Calc!$G$3:$G$22&gt;B2272)*(Calc!$G$3:$G$22-B2272)*Calc!$I$3:$I$22)</f>
        <v/>
      </c>
      <c r="P2272">
        <f>I2272-G2272^2/k_n</f>
        <v/>
      </c>
      <c r="Q2272">
        <f>J2272-H2272^2/k_n</f>
        <v/>
      </c>
      <c r="R2272">
        <f>K2272-G2272*H2272/k_n</f>
        <v/>
      </c>
      <c r="S2272">
        <f>L2272-LTP3!$D$3*G2272/k_n</f>
        <v/>
      </c>
      <c r="T2272">
        <f>M2272-LTP3!$D$3*H2272/k_n</f>
        <v/>
      </c>
      <c r="U2272">
        <f>N2272-G2272*LTP3!$D$4/k_n</f>
        <v/>
      </c>
      <c r="V2272">
        <f>O2272-H2272*LTP3!$D$4/k_n</f>
        <v/>
      </c>
      <c r="W2272">
        <f>((LTP3!$D$5)*((P2272)*(Q2272)-(R2272)*(R2272))-(S2272)*((S2272)*(Q2272)-(R2272)*(T2272))+(T2272)*((S2272)*(R2272)-(P2272)*(T2272)))</f>
        <v/>
      </c>
      <c r="X2272">
        <f>IF(ABS(W2272)&gt;1E-12,((LTP3!$D$6)*((P2272)*(Q2272)-(R2272)*(R2272))-(S2272)*((U2272)*(Q2272)-(R2272)*(V2272))+(T2272)*((U2272)*(R2272)-(P2272)*(V2272)))/W2272,0)</f>
        <v/>
      </c>
      <c r="Y2272">
        <f>IF(ABS(W2272)&gt;1E-12,((LTP3!$D$5)*((U2272)*(Q2272)-(R2272)*(V2272))-(LTP3!$D$6)*((S2272)*(Q2272)-(R2272)*(T2272))+(T2272)*((S2272)*(V2272)-(U2272)*(T2272)))/W2272,0)</f>
        <v/>
      </c>
      <c r="Z2272">
        <f>IF(ABS(W2272)&gt;1E-12,((LTP3!$D$5)*((P2272)*(V2272)-(U2272)*(R2272))-(S2272)*((S2272)*(V2272)-(U2272)*(T2272))+(LTP3!$D$6)*((S2272)*(R2272)-(P2272)*(T2272)))/W2272,0)</f>
        <v/>
      </c>
      <c r="AA2272">
        <f>LTP3!$D$7-X2272*LTP3!$D$6-Y2272*U2272-Z2272*V2272</f>
        <v/>
      </c>
      <c r="AB2272">
        <f>IF(AND(F2272,ABS(W2272)&gt;1E-12,Y2272&gt;0,Z2272&gt;0),AA2272,1E+300)</f>
        <v/>
      </c>
    </row>
    <row r="2273">
      <c r="A2273">
        <f>$B$3+$B$5*37</f>
        <v/>
      </c>
      <c r="B2273">
        <f>$B$3+$B$5*4</f>
        <v/>
      </c>
      <c r="C2273">
        <f>SUMPRODUCT(Calc!$K$3:$K$22*(Calc!$G$3:$G$22&lt;=A2273))</f>
        <v/>
      </c>
      <c r="D2273">
        <f>SUMPRODUCT(Calc!$K$3:$K$22*(Calc!$G$3:$G$22&gt;A2273)*(Calc!$G$3:$G$22&lt;B2273))</f>
        <v/>
      </c>
      <c r="E2273">
        <f>SUMPRODUCT(Calc!$K$3:$K$22*(Calc!$G$3:$G$22&gt;=B2273))</f>
        <v/>
      </c>
      <c r="F2273">
        <f>AND(k_n&gt;=5,B2273&gt;A2273+1E-9,C2273&gt;=2,D2273&gt;=1,E2273&gt;=2)</f>
        <v/>
      </c>
      <c r="G2273">
        <f>SUMPRODUCT(Calc!$K$3:$K$22*(Calc!$G$3:$G$22&gt;A2273)*(Calc!$G$3:$G$22-A2273))</f>
        <v/>
      </c>
      <c r="H2273">
        <f>SUMPRODUCT(Calc!$K$3:$K$22*(Calc!$G$3:$G$22&gt;B2273)*(Calc!$G$3:$G$22-B2273))</f>
        <v/>
      </c>
      <c r="I2273">
        <f>SUMPRODUCT(Calc!$K$3:$K$22*(Calc!$G$3:$G$22&gt;A2273)*(Calc!$G$3:$G$22-A2273)^2)</f>
        <v/>
      </c>
      <c r="J2273">
        <f>SUMPRODUCT(Calc!$K$3:$K$22*(Calc!$G$3:$G$22&gt;B2273)*(Calc!$G$3:$G$22-B2273)^2)</f>
        <v/>
      </c>
      <c r="K2273">
        <f>SUMPRODUCT(Calc!$K$3:$K$22*(Calc!$G$3:$G$22&gt;A2273)*(Calc!$G$3:$G$22-A2273)*(Calc!$G$3:$G$22&gt;B2273)*(Calc!$G$3:$G$22-B2273))</f>
        <v/>
      </c>
      <c r="L2273">
        <f>SUMPRODUCT(Calc!$K$3:$K$22*(Calc!$G$3:$G$22&gt;A2273)*(Calc!$G$3:$G$22-A2273)*Calc!$G$3:$G$22)</f>
        <v/>
      </c>
      <c r="M2273">
        <f>SUMPRODUCT(Calc!$K$3:$K$22*(Calc!$G$3:$G$22&gt;B2273)*(Calc!$G$3:$G$22-B2273)*Calc!$G$3:$G$22)</f>
        <v/>
      </c>
      <c r="N2273">
        <f>SUMPRODUCT(Calc!$K$3:$K$22*(Calc!$G$3:$G$22&gt;A2273)*(Calc!$G$3:$G$22-A2273)*Calc!$I$3:$I$22)</f>
        <v/>
      </c>
      <c r="O2273">
        <f>SUMPRODUCT(Calc!$K$3:$K$22*(Calc!$G$3:$G$22&gt;B2273)*(Calc!$G$3:$G$22-B2273)*Calc!$I$3:$I$22)</f>
        <v/>
      </c>
      <c r="P2273">
        <f>I2273-G2273^2/k_n</f>
        <v/>
      </c>
      <c r="Q2273">
        <f>J2273-H2273^2/k_n</f>
        <v/>
      </c>
      <c r="R2273">
        <f>K2273-G2273*H2273/k_n</f>
        <v/>
      </c>
      <c r="S2273">
        <f>L2273-LTP3!$D$3*G2273/k_n</f>
        <v/>
      </c>
      <c r="T2273">
        <f>M2273-LTP3!$D$3*H2273/k_n</f>
        <v/>
      </c>
      <c r="U2273">
        <f>N2273-G2273*LTP3!$D$4/k_n</f>
        <v/>
      </c>
      <c r="V2273">
        <f>O2273-H2273*LTP3!$D$4/k_n</f>
        <v/>
      </c>
      <c r="W2273">
        <f>((LTP3!$D$5)*((P2273)*(Q2273)-(R2273)*(R2273))-(S2273)*((S2273)*(Q2273)-(R2273)*(T2273))+(T2273)*((S2273)*(R2273)-(P2273)*(T2273)))</f>
        <v/>
      </c>
      <c r="X2273">
        <f>IF(ABS(W2273)&gt;1E-12,((LTP3!$D$6)*((P2273)*(Q2273)-(R2273)*(R2273))-(S2273)*((U2273)*(Q2273)-(R2273)*(V2273))+(T2273)*((U2273)*(R2273)-(P2273)*(V2273)))/W2273,0)</f>
        <v/>
      </c>
      <c r="Y2273">
        <f>IF(ABS(W2273)&gt;1E-12,((LTP3!$D$5)*((U2273)*(Q2273)-(R2273)*(V2273))-(LTP3!$D$6)*((S2273)*(Q2273)-(R2273)*(T2273))+(T2273)*((S2273)*(V2273)-(U2273)*(T2273)))/W2273,0)</f>
        <v/>
      </c>
      <c r="Z2273">
        <f>IF(ABS(W2273)&gt;1E-12,((LTP3!$D$5)*((P2273)*(V2273)-(U2273)*(R2273))-(S2273)*((S2273)*(V2273)-(U2273)*(T2273))+(LTP3!$D$6)*((S2273)*(R2273)-(P2273)*(T2273)))/W2273,0)</f>
        <v/>
      </c>
      <c r="AA2273">
        <f>LTP3!$D$7-X2273*LTP3!$D$6-Y2273*U2273-Z2273*V2273</f>
        <v/>
      </c>
      <c r="AB2273">
        <f>IF(AND(F2273,ABS(W2273)&gt;1E-12,Y2273&gt;0,Z2273&gt;0),AA2273,1E+300)</f>
        <v/>
      </c>
    </row>
    <row r="2274">
      <c r="A2274">
        <f>$B$3+$B$5*37</f>
        <v/>
      </c>
      <c r="B2274">
        <f>$B$3+$B$5*5</f>
        <v/>
      </c>
      <c r="C2274">
        <f>SUMPRODUCT(Calc!$K$3:$K$22*(Calc!$G$3:$G$22&lt;=A2274))</f>
        <v/>
      </c>
      <c r="D2274">
        <f>SUMPRODUCT(Calc!$K$3:$K$22*(Calc!$G$3:$G$22&gt;A2274)*(Calc!$G$3:$G$22&lt;B2274))</f>
        <v/>
      </c>
      <c r="E2274">
        <f>SUMPRODUCT(Calc!$K$3:$K$22*(Calc!$G$3:$G$22&gt;=B2274))</f>
        <v/>
      </c>
      <c r="F2274">
        <f>AND(k_n&gt;=5,B2274&gt;A2274+1E-9,C2274&gt;=2,D2274&gt;=1,E2274&gt;=2)</f>
        <v/>
      </c>
      <c r="G2274">
        <f>SUMPRODUCT(Calc!$K$3:$K$22*(Calc!$G$3:$G$22&gt;A2274)*(Calc!$G$3:$G$22-A2274))</f>
        <v/>
      </c>
      <c r="H2274">
        <f>SUMPRODUCT(Calc!$K$3:$K$22*(Calc!$G$3:$G$22&gt;B2274)*(Calc!$G$3:$G$22-B2274))</f>
        <v/>
      </c>
      <c r="I2274">
        <f>SUMPRODUCT(Calc!$K$3:$K$22*(Calc!$G$3:$G$22&gt;A2274)*(Calc!$G$3:$G$22-A2274)^2)</f>
        <v/>
      </c>
      <c r="J2274">
        <f>SUMPRODUCT(Calc!$K$3:$K$22*(Calc!$G$3:$G$22&gt;B2274)*(Calc!$G$3:$G$22-B2274)^2)</f>
        <v/>
      </c>
      <c r="K2274">
        <f>SUMPRODUCT(Calc!$K$3:$K$22*(Calc!$G$3:$G$22&gt;A2274)*(Calc!$G$3:$G$22-A2274)*(Calc!$G$3:$G$22&gt;B2274)*(Calc!$G$3:$G$22-B2274))</f>
        <v/>
      </c>
      <c r="L2274">
        <f>SUMPRODUCT(Calc!$K$3:$K$22*(Calc!$G$3:$G$22&gt;A2274)*(Calc!$G$3:$G$22-A2274)*Calc!$G$3:$G$22)</f>
        <v/>
      </c>
      <c r="M2274">
        <f>SUMPRODUCT(Calc!$K$3:$K$22*(Calc!$G$3:$G$22&gt;B2274)*(Calc!$G$3:$G$22-B2274)*Calc!$G$3:$G$22)</f>
        <v/>
      </c>
      <c r="N2274">
        <f>SUMPRODUCT(Calc!$K$3:$K$22*(Calc!$G$3:$G$22&gt;A2274)*(Calc!$G$3:$G$22-A2274)*Calc!$I$3:$I$22)</f>
        <v/>
      </c>
      <c r="O2274">
        <f>SUMPRODUCT(Calc!$K$3:$K$22*(Calc!$G$3:$G$22&gt;B2274)*(Calc!$G$3:$G$22-B2274)*Calc!$I$3:$I$22)</f>
        <v/>
      </c>
      <c r="P2274">
        <f>I2274-G2274^2/k_n</f>
        <v/>
      </c>
      <c r="Q2274">
        <f>J2274-H2274^2/k_n</f>
        <v/>
      </c>
      <c r="R2274">
        <f>K2274-G2274*H2274/k_n</f>
        <v/>
      </c>
      <c r="S2274">
        <f>L2274-LTP3!$D$3*G2274/k_n</f>
        <v/>
      </c>
      <c r="T2274">
        <f>M2274-LTP3!$D$3*H2274/k_n</f>
        <v/>
      </c>
      <c r="U2274">
        <f>N2274-G2274*LTP3!$D$4/k_n</f>
        <v/>
      </c>
      <c r="V2274">
        <f>O2274-H2274*LTP3!$D$4/k_n</f>
        <v/>
      </c>
      <c r="W2274">
        <f>((LTP3!$D$5)*((P2274)*(Q2274)-(R2274)*(R2274))-(S2274)*((S2274)*(Q2274)-(R2274)*(T2274))+(T2274)*((S2274)*(R2274)-(P2274)*(T2274)))</f>
        <v/>
      </c>
      <c r="X2274">
        <f>IF(ABS(W2274)&gt;1E-12,((LTP3!$D$6)*((P2274)*(Q2274)-(R2274)*(R2274))-(S2274)*((U2274)*(Q2274)-(R2274)*(V2274))+(T2274)*((U2274)*(R2274)-(P2274)*(V2274)))/W2274,0)</f>
        <v/>
      </c>
      <c r="Y2274">
        <f>IF(ABS(W2274)&gt;1E-12,((LTP3!$D$5)*((U2274)*(Q2274)-(R2274)*(V2274))-(LTP3!$D$6)*((S2274)*(Q2274)-(R2274)*(T2274))+(T2274)*((S2274)*(V2274)-(U2274)*(T2274)))/W2274,0)</f>
        <v/>
      </c>
      <c r="Z2274">
        <f>IF(ABS(W2274)&gt;1E-12,((LTP3!$D$5)*((P2274)*(V2274)-(U2274)*(R2274))-(S2274)*((S2274)*(V2274)-(U2274)*(T2274))+(LTP3!$D$6)*((S2274)*(R2274)-(P2274)*(T2274)))/W2274,0)</f>
        <v/>
      </c>
      <c r="AA2274">
        <f>LTP3!$D$7-X2274*LTP3!$D$6-Y2274*U2274-Z2274*V2274</f>
        <v/>
      </c>
      <c r="AB2274">
        <f>IF(AND(F2274,ABS(W2274)&gt;1E-12,Y2274&gt;0,Z2274&gt;0),AA2274,1E+300)</f>
        <v/>
      </c>
    </row>
    <row r="2275">
      <c r="A2275">
        <f>$B$3+$B$5*37</f>
        <v/>
      </c>
      <c r="B2275">
        <f>$B$3+$B$5*6</f>
        <v/>
      </c>
      <c r="C2275">
        <f>SUMPRODUCT(Calc!$K$3:$K$22*(Calc!$G$3:$G$22&lt;=A2275))</f>
        <v/>
      </c>
      <c r="D2275">
        <f>SUMPRODUCT(Calc!$K$3:$K$22*(Calc!$G$3:$G$22&gt;A2275)*(Calc!$G$3:$G$22&lt;B2275))</f>
        <v/>
      </c>
      <c r="E2275">
        <f>SUMPRODUCT(Calc!$K$3:$K$22*(Calc!$G$3:$G$22&gt;=B2275))</f>
        <v/>
      </c>
      <c r="F2275">
        <f>AND(k_n&gt;=5,B2275&gt;A2275+1E-9,C2275&gt;=2,D2275&gt;=1,E2275&gt;=2)</f>
        <v/>
      </c>
      <c r="G2275">
        <f>SUMPRODUCT(Calc!$K$3:$K$22*(Calc!$G$3:$G$22&gt;A2275)*(Calc!$G$3:$G$22-A2275))</f>
        <v/>
      </c>
      <c r="H2275">
        <f>SUMPRODUCT(Calc!$K$3:$K$22*(Calc!$G$3:$G$22&gt;B2275)*(Calc!$G$3:$G$22-B2275))</f>
        <v/>
      </c>
      <c r="I2275">
        <f>SUMPRODUCT(Calc!$K$3:$K$22*(Calc!$G$3:$G$22&gt;A2275)*(Calc!$G$3:$G$22-A2275)^2)</f>
        <v/>
      </c>
      <c r="J2275">
        <f>SUMPRODUCT(Calc!$K$3:$K$22*(Calc!$G$3:$G$22&gt;B2275)*(Calc!$G$3:$G$22-B2275)^2)</f>
        <v/>
      </c>
      <c r="K2275">
        <f>SUMPRODUCT(Calc!$K$3:$K$22*(Calc!$G$3:$G$22&gt;A2275)*(Calc!$G$3:$G$22-A2275)*(Calc!$G$3:$G$22&gt;B2275)*(Calc!$G$3:$G$22-B2275))</f>
        <v/>
      </c>
      <c r="L2275">
        <f>SUMPRODUCT(Calc!$K$3:$K$22*(Calc!$G$3:$G$22&gt;A2275)*(Calc!$G$3:$G$22-A2275)*Calc!$G$3:$G$22)</f>
        <v/>
      </c>
      <c r="M2275">
        <f>SUMPRODUCT(Calc!$K$3:$K$22*(Calc!$G$3:$G$22&gt;B2275)*(Calc!$G$3:$G$22-B2275)*Calc!$G$3:$G$22)</f>
        <v/>
      </c>
      <c r="N2275">
        <f>SUMPRODUCT(Calc!$K$3:$K$22*(Calc!$G$3:$G$22&gt;A2275)*(Calc!$G$3:$G$22-A2275)*Calc!$I$3:$I$22)</f>
        <v/>
      </c>
      <c r="O2275">
        <f>SUMPRODUCT(Calc!$K$3:$K$22*(Calc!$G$3:$G$22&gt;B2275)*(Calc!$G$3:$G$22-B2275)*Calc!$I$3:$I$22)</f>
        <v/>
      </c>
      <c r="P2275">
        <f>I2275-G2275^2/k_n</f>
        <v/>
      </c>
      <c r="Q2275">
        <f>J2275-H2275^2/k_n</f>
        <v/>
      </c>
      <c r="R2275">
        <f>K2275-G2275*H2275/k_n</f>
        <v/>
      </c>
      <c r="S2275">
        <f>L2275-LTP3!$D$3*G2275/k_n</f>
        <v/>
      </c>
      <c r="T2275">
        <f>M2275-LTP3!$D$3*H2275/k_n</f>
        <v/>
      </c>
      <c r="U2275">
        <f>N2275-G2275*LTP3!$D$4/k_n</f>
        <v/>
      </c>
      <c r="V2275">
        <f>O2275-H2275*LTP3!$D$4/k_n</f>
        <v/>
      </c>
      <c r="W2275">
        <f>((LTP3!$D$5)*((P2275)*(Q2275)-(R2275)*(R2275))-(S2275)*((S2275)*(Q2275)-(R2275)*(T2275))+(T2275)*((S2275)*(R2275)-(P2275)*(T2275)))</f>
        <v/>
      </c>
      <c r="X2275">
        <f>IF(ABS(W2275)&gt;1E-12,((LTP3!$D$6)*((P2275)*(Q2275)-(R2275)*(R2275))-(S2275)*((U2275)*(Q2275)-(R2275)*(V2275))+(T2275)*((U2275)*(R2275)-(P2275)*(V2275)))/W2275,0)</f>
        <v/>
      </c>
      <c r="Y2275">
        <f>IF(ABS(W2275)&gt;1E-12,((LTP3!$D$5)*((U2275)*(Q2275)-(R2275)*(V2275))-(LTP3!$D$6)*((S2275)*(Q2275)-(R2275)*(T2275))+(T2275)*((S2275)*(V2275)-(U2275)*(T2275)))/W2275,0)</f>
        <v/>
      </c>
      <c r="Z2275">
        <f>IF(ABS(W2275)&gt;1E-12,((LTP3!$D$5)*((P2275)*(V2275)-(U2275)*(R2275))-(S2275)*((S2275)*(V2275)-(U2275)*(T2275))+(LTP3!$D$6)*((S2275)*(R2275)-(P2275)*(T2275)))/W2275,0)</f>
        <v/>
      </c>
      <c r="AA2275">
        <f>LTP3!$D$7-X2275*LTP3!$D$6-Y2275*U2275-Z2275*V2275</f>
        <v/>
      </c>
      <c r="AB2275">
        <f>IF(AND(F2275,ABS(W2275)&gt;1E-12,Y2275&gt;0,Z2275&gt;0),AA2275,1E+300)</f>
        <v/>
      </c>
    </row>
    <row r="2276">
      <c r="A2276">
        <f>$B$3+$B$5*37</f>
        <v/>
      </c>
      <c r="B2276">
        <f>$B$3+$B$5*7</f>
        <v/>
      </c>
      <c r="C2276">
        <f>SUMPRODUCT(Calc!$K$3:$K$22*(Calc!$G$3:$G$22&lt;=A2276))</f>
        <v/>
      </c>
      <c r="D2276">
        <f>SUMPRODUCT(Calc!$K$3:$K$22*(Calc!$G$3:$G$22&gt;A2276)*(Calc!$G$3:$G$22&lt;B2276))</f>
        <v/>
      </c>
      <c r="E2276">
        <f>SUMPRODUCT(Calc!$K$3:$K$22*(Calc!$G$3:$G$22&gt;=B2276))</f>
        <v/>
      </c>
      <c r="F2276">
        <f>AND(k_n&gt;=5,B2276&gt;A2276+1E-9,C2276&gt;=2,D2276&gt;=1,E2276&gt;=2)</f>
        <v/>
      </c>
      <c r="G2276">
        <f>SUMPRODUCT(Calc!$K$3:$K$22*(Calc!$G$3:$G$22&gt;A2276)*(Calc!$G$3:$G$22-A2276))</f>
        <v/>
      </c>
      <c r="H2276">
        <f>SUMPRODUCT(Calc!$K$3:$K$22*(Calc!$G$3:$G$22&gt;B2276)*(Calc!$G$3:$G$22-B2276))</f>
        <v/>
      </c>
      <c r="I2276">
        <f>SUMPRODUCT(Calc!$K$3:$K$22*(Calc!$G$3:$G$22&gt;A2276)*(Calc!$G$3:$G$22-A2276)^2)</f>
        <v/>
      </c>
      <c r="J2276">
        <f>SUMPRODUCT(Calc!$K$3:$K$22*(Calc!$G$3:$G$22&gt;B2276)*(Calc!$G$3:$G$22-B2276)^2)</f>
        <v/>
      </c>
      <c r="K2276">
        <f>SUMPRODUCT(Calc!$K$3:$K$22*(Calc!$G$3:$G$22&gt;A2276)*(Calc!$G$3:$G$22-A2276)*(Calc!$G$3:$G$22&gt;B2276)*(Calc!$G$3:$G$22-B2276))</f>
        <v/>
      </c>
      <c r="L2276">
        <f>SUMPRODUCT(Calc!$K$3:$K$22*(Calc!$G$3:$G$22&gt;A2276)*(Calc!$G$3:$G$22-A2276)*Calc!$G$3:$G$22)</f>
        <v/>
      </c>
      <c r="M2276">
        <f>SUMPRODUCT(Calc!$K$3:$K$22*(Calc!$G$3:$G$22&gt;B2276)*(Calc!$G$3:$G$22-B2276)*Calc!$G$3:$G$22)</f>
        <v/>
      </c>
      <c r="N2276">
        <f>SUMPRODUCT(Calc!$K$3:$K$22*(Calc!$G$3:$G$22&gt;A2276)*(Calc!$G$3:$G$22-A2276)*Calc!$I$3:$I$22)</f>
        <v/>
      </c>
      <c r="O2276">
        <f>SUMPRODUCT(Calc!$K$3:$K$22*(Calc!$G$3:$G$22&gt;B2276)*(Calc!$G$3:$G$22-B2276)*Calc!$I$3:$I$22)</f>
        <v/>
      </c>
      <c r="P2276">
        <f>I2276-G2276^2/k_n</f>
        <v/>
      </c>
      <c r="Q2276">
        <f>J2276-H2276^2/k_n</f>
        <v/>
      </c>
      <c r="R2276">
        <f>K2276-G2276*H2276/k_n</f>
        <v/>
      </c>
      <c r="S2276">
        <f>L2276-LTP3!$D$3*G2276/k_n</f>
        <v/>
      </c>
      <c r="T2276">
        <f>M2276-LTP3!$D$3*H2276/k_n</f>
        <v/>
      </c>
      <c r="U2276">
        <f>N2276-G2276*LTP3!$D$4/k_n</f>
        <v/>
      </c>
      <c r="V2276">
        <f>O2276-H2276*LTP3!$D$4/k_n</f>
        <v/>
      </c>
      <c r="W2276">
        <f>((LTP3!$D$5)*((P2276)*(Q2276)-(R2276)*(R2276))-(S2276)*((S2276)*(Q2276)-(R2276)*(T2276))+(T2276)*((S2276)*(R2276)-(P2276)*(T2276)))</f>
        <v/>
      </c>
      <c r="X2276">
        <f>IF(ABS(W2276)&gt;1E-12,((LTP3!$D$6)*((P2276)*(Q2276)-(R2276)*(R2276))-(S2276)*((U2276)*(Q2276)-(R2276)*(V2276))+(T2276)*((U2276)*(R2276)-(P2276)*(V2276)))/W2276,0)</f>
        <v/>
      </c>
      <c r="Y2276">
        <f>IF(ABS(W2276)&gt;1E-12,((LTP3!$D$5)*((U2276)*(Q2276)-(R2276)*(V2276))-(LTP3!$D$6)*((S2276)*(Q2276)-(R2276)*(T2276))+(T2276)*((S2276)*(V2276)-(U2276)*(T2276)))/W2276,0)</f>
        <v/>
      </c>
      <c r="Z2276">
        <f>IF(ABS(W2276)&gt;1E-12,((LTP3!$D$5)*((P2276)*(V2276)-(U2276)*(R2276))-(S2276)*((S2276)*(V2276)-(U2276)*(T2276))+(LTP3!$D$6)*((S2276)*(R2276)-(P2276)*(T2276)))/W2276,0)</f>
        <v/>
      </c>
      <c r="AA2276">
        <f>LTP3!$D$7-X2276*LTP3!$D$6-Y2276*U2276-Z2276*V2276</f>
        <v/>
      </c>
      <c r="AB2276">
        <f>IF(AND(F2276,ABS(W2276)&gt;1E-12,Y2276&gt;0,Z2276&gt;0),AA2276,1E+300)</f>
        <v/>
      </c>
    </row>
    <row r="2277">
      <c r="A2277">
        <f>$B$3+$B$5*37</f>
        <v/>
      </c>
      <c r="B2277">
        <f>$B$3+$B$5*8</f>
        <v/>
      </c>
      <c r="C2277">
        <f>SUMPRODUCT(Calc!$K$3:$K$22*(Calc!$G$3:$G$22&lt;=A2277))</f>
        <v/>
      </c>
      <c r="D2277">
        <f>SUMPRODUCT(Calc!$K$3:$K$22*(Calc!$G$3:$G$22&gt;A2277)*(Calc!$G$3:$G$22&lt;B2277))</f>
        <v/>
      </c>
      <c r="E2277">
        <f>SUMPRODUCT(Calc!$K$3:$K$22*(Calc!$G$3:$G$22&gt;=B2277))</f>
        <v/>
      </c>
      <c r="F2277">
        <f>AND(k_n&gt;=5,B2277&gt;A2277+1E-9,C2277&gt;=2,D2277&gt;=1,E2277&gt;=2)</f>
        <v/>
      </c>
      <c r="G2277">
        <f>SUMPRODUCT(Calc!$K$3:$K$22*(Calc!$G$3:$G$22&gt;A2277)*(Calc!$G$3:$G$22-A2277))</f>
        <v/>
      </c>
      <c r="H2277">
        <f>SUMPRODUCT(Calc!$K$3:$K$22*(Calc!$G$3:$G$22&gt;B2277)*(Calc!$G$3:$G$22-B2277))</f>
        <v/>
      </c>
      <c r="I2277">
        <f>SUMPRODUCT(Calc!$K$3:$K$22*(Calc!$G$3:$G$22&gt;A2277)*(Calc!$G$3:$G$22-A2277)^2)</f>
        <v/>
      </c>
      <c r="J2277">
        <f>SUMPRODUCT(Calc!$K$3:$K$22*(Calc!$G$3:$G$22&gt;B2277)*(Calc!$G$3:$G$22-B2277)^2)</f>
        <v/>
      </c>
      <c r="K2277">
        <f>SUMPRODUCT(Calc!$K$3:$K$22*(Calc!$G$3:$G$22&gt;A2277)*(Calc!$G$3:$G$22-A2277)*(Calc!$G$3:$G$22&gt;B2277)*(Calc!$G$3:$G$22-B2277))</f>
        <v/>
      </c>
      <c r="L2277">
        <f>SUMPRODUCT(Calc!$K$3:$K$22*(Calc!$G$3:$G$22&gt;A2277)*(Calc!$G$3:$G$22-A2277)*Calc!$G$3:$G$22)</f>
        <v/>
      </c>
      <c r="M2277">
        <f>SUMPRODUCT(Calc!$K$3:$K$22*(Calc!$G$3:$G$22&gt;B2277)*(Calc!$G$3:$G$22-B2277)*Calc!$G$3:$G$22)</f>
        <v/>
      </c>
      <c r="N2277">
        <f>SUMPRODUCT(Calc!$K$3:$K$22*(Calc!$G$3:$G$22&gt;A2277)*(Calc!$G$3:$G$22-A2277)*Calc!$I$3:$I$22)</f>
        <v/>
      </c>
      <c r="O2277">
        <f>SUMPRODUCT(Calc!$K$3:$K$22*(Calc!$G$3:$G$22&gt;B2277)*(Calc!$G$3:$G$22-B2277)*Calc!$I$3:$I$22)</f>
        <v/>
      </c>
      <c r="P2277">
        <f>I2277-G2277^2/k_n</f>
        <v/>
      </c>
      <c r="Q2277">
        <f>J2277-H2277^2/k_n</f>
        <v/>
      </c>
      <c r="R2277">
        <f>K2277-G2277*H2277/k_n</f>
        <v/>
      </c>
      <c r="S2277">
        <f>L2277-LTP3!$D$3*G2277/k_n</f>
        <v/>
      </c>
      <c r="T2277">
        <f>M2277-LTP3!$D$3*H2277/k_n</f>
        <v/>
      </c>
      <c r="U2277">
        <f>N2277-G2277*LTP3!$D$4/k_n</f>
        <v/>
      </c>
      <c r="V2277">
        <f>O2277-H2277*LTP3!$D$4/k_n</f>
        <v/>
      </c>
      <c r="W2277">
        <f>((LTP3!$D$5)*((P2277)*(Q2277)-(R2277)*(R2277))-(S2277)*((S2277)*(Q2277)-(R2277)*(T2277))+(T2277)*((S2277)*(R2277)-(P2277)*(T2277)))</f>
        <v/>
      </c>
      <c r="X2277">
        <f>IF(ABS(W2277)&gt;1E-12,((LTP3!$D$6)*((P2277)*(Q2277)-(R2277)*(R2277))-(S2277)*((U2277)*(Q2277)-(R2277)*(V2277))+(T2277)*((U2277)*(R2277)-(P2277)*(V2277)))/W2277,0)</f>
        <v/>
      </c>
      <c r="Y2277">
        <f>IF(ABS(W2277)&gt;1E-12,((LTP3!$D$5)*((U2277)*(Q2277)-(R2277)*(V2277))-(LTP3!$D$6)*((S2277)*(Q2277)-(R2277)*(T2277))+(T2277)*((S2277)*(V2277)-(U2277)*(T2277)))/W2277,0)</f>
        <v/>
      </c>
      <c r="Z2277">
        <f>IF(ABS(W2277)&gt;1E-12,((LTP3!$D$5)*((P2277)*(V2277)-(U2277)*(R2277))-(S2277)*((S2277)*(V2277)-(U2277)*(T2277))+(LTP3!$D$6)*((S2277)*(R2277)-(P2277)*(T2277)))/W2277,0)</f>
        <v/>
      </c>
      <c r="AA2277">
        <f>LTP3!$D$7-X2277*LTP3!$D$6-Y2277*U2277-Z2277*V2277</f>
        <v/>
      </c>
      <c r="AB2277">
        <f>IF(AND(F2277,ABS(W2277)&gt;1E-12,Y2277&gt;0,Z2277&gt;0),AA2277,1E+300)</f>
        <v/>
      </c>
    </row>
    <row r="2278">
      <c r="A2278">
        <f>$B$3+$B$5*37</f>
        <v/>
      </c>
      <c r="B2278">
        <f>$B$3+$B$5*9</f>
        <v/>
      </c>
      <c r="C2278">
        <f>SUMPRODUCT(Calc!$K$3:$K$22*(Calc!$G$3:$G$22&lt;=A2278))</f>
        <v/>
      </c>
      <c r="D2278">
        <f>SUMPRODUCT(Calc!$K$3:$K$22*(Calc!$G$3:$G$22&gt;A2278)*(Calc!$G$3:$G$22&lt;B2278))</f>
        <v/>
      </c>
      <c r="E2278">
        <f>SUMPRODUCT(Calc!$K$3:$K$22*(Calc!$G$3:$G$22&gt;=B2278))</f>
        <v/>
      </c>
      <c r="F2278">
        <f>AND(k_n&gt;=5,B2278&gt;A2278+1E-9,C2278&gt;=2,D2278&gt;=1,E2278&gt;=2)</f>
        <v/>
      </c>
      <c r="G2278">
        <f>SUMPRODUCT(Calc!$K$3:$K$22*(Calc!$G$3:$G$22&gt;A2278)*(Calc!$G$3:$G$22-A2278))</f>
        <v/>
      </c>
      <c r="H2278">
        <f>SUMPRODUCT(Calc!$K$3:$K$22*(Calc!$G$3:$G$22&gt;B2278)*(Calc!$G$3:$G$22-B2278))</f>
        <v/>
      </c>
      <c r="I2278">
        <f>SUMPRODUCT(Calc!$K$3:$K$22*(Calc!$G$3:$G$22&gt;A2278)*(Calc!$G$3:$G$22-A2278)^2)</f>
        <v/>
      </c>
      <c r="J2278">
        <f>SUMPRODUCT(Calc!$K$3:$K$22*(Calc!$G$3:$G$22&gt;B2278)*(Calc!$G$3:$G$22-B2278)^2)</f>
        <v/>
      </c>
      <c r="K2278">
        <f>SUMPRODUCT(Calc!$K$3:$K$22*(Calc!$G$3:$G$22&gt;A2278)*(Calc!$G$3:$G$22-A2278)*(Calc!$G$3:$G$22&gt;B2278)*(Calc!$G$3:$G$22-B2278))</f>
        <v/>
      </c>
      <c r="L2278">
        <f>SUMPRODUCT(Calc!$K$3:$K$22*(Calc!$G$3:$G$22&gt;A2278)*(Calc!$G$3:$G$22-A2278)*Calc!$G$3:$G$22)</f>
        <v/>
      </c>
      <c r="M2278">
        <f>SUMPRODUCT(Calc!$K$3:$K$22*(Calc!$G$3:$G$22&gt;B2278)*(Calc!$G$3:$G$22-B2278)*Calc!$G$3:$G$22)</f>
        <v/>
      </c>
      <c r="N2278">
        <f>SUMPRODUCT(Calc!$K$3:$K$22*(Calc!$G$3:$G$22&gt;A2278)*(Calc!$G$3:$G$22-A2278)*Calc!$I$3:$I$22)</f>
        <v/>
      </c>
      <c r="O2278">
        <f>SUMPRODUCT(Calc!$K$3:$K$22*(Calc!$G$3:$G$22&gt;B2278)*(Calc!$G$3:$G$22-B2278)*Calc!$I$3:$I$22)</f>
        <v/>
      </c>
      <c r="P2278">
        <f>I2278-G2278^2/k_n</f>
        <v/>
      </c>
      <c r="Q2278">
        <f>J2278-H2278^2/k_n</f>
        <v/>
      </c>
      <c r="R2278">
        <f>K2278-G2278*H2278/k_n</f>
        <v/>
      </c>
      <c r="S2278">
        <f>L2278-LTP3!$D$3*G2278/k_n</f>
        <v/>
      </c>
      <c r="T2278">
        <f>M2278-LTP3!$D$3*H2278/k_n</f>
        <v/>
      </c>
      <c r="U2278">
        <f>N2278-G2278*LTP3!$D$4/k_n</f>
        <v/>
      </c>
      <c r="V2278">
        <f>O2278-H2278*LTP3!$D$4/k_n</f>
        <v/>
      </c>
      <c r="W2278">
        <f>((LTP3!$D$5)*((P2278)*(Q2278)-(R2278)*(R2278))-(S2278)*((S2278)*(Q2278)-(R2278)*(T2278))+(T2278)*((S2278)*(R2278)-(P2278)*(T2278)))</f>
        <v/>
      </c>
      <c r="X2278">
        <f>IF(ABS(W2278)&gt;1E-12,((LTP3!$D$6)*((P2278)*(Q2278)-(R2278)*(R2278))-(S2278)*((U2278)*(Q2278)-(R2278)*(V2278))+(T2278)*((U2278)*(R2278)-(P2278)*(V2278)))/W2278,0)</f>
        <v/>
      </c>
      <c r="Y2278">
        <f>IF(ABS(W2278)&gt;1E-12,((LTP3!$D$5)*((U2278)*(Q2278)-(R2278)*(V2278))-(LTP3!$D$6)*((S2278)*(Q2278)-(R2278)*(T2278))+(T2278)*((S2278)*(V2278)-(U2278)*(T2278)))/W2278,0)</f>
        <v/>
      </c>
      <c r="Z2278">
        <f>IF(ABS(W2278)&gt;1E-12,((LTP3!$D$5)*((P2278)*(V2278)-(U2278)*(R2278))-(S2278)*((S2278)*(V2278)-(U2278)*(T2278))+(LTP3!$D$6)*((S2278)*(R2278)-(P2278)*(T2278)))/W2278,0)</f>
        <v/>
      </c>
      <c r="AA2278">
        <f>LTP3!$D$7-X2278*LTP3!$D$6-Y2278*U2278-Z2278*V2278</f>
        <v/>
      </c>
      <c r="AB2278">
        <f>IF(AND(F2278,ABS(W2278)&gt;1E-12,Y2278&gt;0,Z2278&gt;0),AA2278,1E+300)</f>
        <v/>
      </c>
    </row>
    <row r="2279">
      <c r="A2279">
        <f>$B$3+$B$5*37</f>
        <v/>
      </c>
      <c r="B2279">
        <f>$B$3+$B$5*10</f>
        <v/>
      </c>
      <c r="C2279">
        <f>SUMPRODUCT(Calc!$K$3:$K$22*(Calc!$G$3:$G$22&lt;=A2279))</f>
        <v/>
      </c>
      <c r="D2279">
        <f>SUMPRODUCT(Calc!$K$3:$K$22*(Calc!$G$3:$G$22&gt;A2279)*(Calc!$G$3:$G$22&lt;B2279))</f>
        <v/>
      </c>
      <c r="E2279">
        <f>SUMPRODUCT(Calc!$K$3:$K$22*(Calc!$G$3:$G$22&gt;=B2279))</f>
        <v/>
      </c>
      <c r="F2279">
        <f>AND(k_n&gt;=5,B2279&gt;A2279+1E-9,C2279&gt;=2,D2279&gt;=1,E2279&gt;=2)</f>
        <v/>
      </c>
      <c r="G2279">
        <f>SUMPRODUCT(Calc!$K$3:$K$22*(Calc!$G$3:$G$22&gt;A2279)*(Calc!$G$3:$G$22-A2279))</f>
        <v/>
      </c>
      <c r="H2279">
        <f>SUMPRODUCT(Calc!$K$3:$K$22*(Calc!$G$3:$G$22&gt;B2279)*(Calc!$G$3:$G$22-B2279))</f>
        <v/>
      </c>
      <c r="I2279">
        <f>SUMPRODUCT(Calc!$K$3:$K$22*(Calc!$G$3:$G$22&gt;A2279)*(Calc!$G$3:$G$22-A2279)^2)</f>
        <v/>
      </c>
      <c r="J2279">
        <f>SUMPRODUCT(Calc!$K$3:$K$22*(Calc!$G$3:$G$22&gt;B2279)*(Calc!$G$3:$G$22-B2279)^2)</f>
        <v/>
      </c>
      <c r="K2279">
        <f>SUMPRODUCT(Calc!$K$3:$K$22*(Calc!$G$3:$G$22&gt;A2279)*(Calc!$G$3:$G$22-A2279)*(Calc!$G$3:$G$22&gt;B2279)*(Calc!$G$3:$G$22-B2279))</f>
        <v/>
      </c>
      <c r="L2279">
        <f>SUMPRODUCT(Calc!$K$3:$K$22*(Calc!$G$3:$G$22&gt;A2279)*(Calc!$G$3:$G$22-A2279)*Calc!$G$3:$G$22)</f>
        <v/>
      </c>
      <c r="M2279">
        <f>SUMPRODUCT(Calc!$K$3:$K$22*(Calc!$G$3:$G$22&gt;B2279)*(Calc!$G$3:$G$22-B2279)*Calc!$G$3:$G$22)</f>
        <v/>
      </c>
      <c r="N2279">
        <f>SUMPRODUCT(Calc!$K$3:$K$22*(Calc!$G$3:$G$22&gt;A2279)*(Calc!$G$3:$G$22-A2279)*Calc!$I$3:$I$22)</f>
        <v/>
      </c>
      <c r="O2279">
        <f>SUMPRODUCT(Calc!$K$3:$K$22*(Calc!$G$3:$G$22&gt;B2279)*(Calc!$G$3:$G$22-B2279)*Calc!$I$3:$I$22)</f>
        <v/>
      </c>
      <c r="P2279">
        <f>I2279-G2279^2/k_n</f>
        <v/>
      </c>
      <c r="Q2279">
        <f>J2279-H2279^2/k_n</f>
        <v/>
      </c>
      <c r="R2279">
        <f>K2279-G2279*H2279/k_n</f>
        <v/>
      </c>
      <c r="S2279">
        <f>L2279-LTP3!$D$3*G2279/k_n</f>
        <v/>
      </c>
      <c r="T2279">
        <f>M2279-LTP3!$D$3*H2279/k_n</f>
        <v/>
      </c>
      <c r="U2279">
        <f>N2279-G2279*LTP3!$D$4/k_n</f>
        <v/>
      </c>
      <c r="V2279">
        <f>O2279-H2279*LTP3!$D$4/k_n</f>
        <v/>
      </c>
      <c r="W2279">
        <f>((LTP3!$D$5)*((P2279)*(Q2279)-(R2279)*(R2279))-(S2279)*((S2279)*(Q2279)-(R2279)*(T2279))+(T2279)*((S2279)*(R2279)-(P2279)*(T2279)))</f>
        <v/>
      </c>
      <c r="X2279">
        <f>IF(ABS(W2279)&gt;1E-12,((LTP3!$D$6)*((P2279)*(Q2279)-(R2279)*(R2279))-(S2279)*((U2279)*(Q2279)-(R2279)*(V2279))+(T2279)*((U2279)*(R2279)-(P2279)*(V2279)))/W2279,0)</f>
        <v/>
      </c>
      <c r="Y2279">
        <f>IF(ABS(W2279)&gt;1E-12,((LTP3!$D$5)*((U2279)*(Q2279)-(R2279)*(V2279))-(LTP3!$D$6)*((S2279)*(Q2279)-(R2279)*(T2279))+(T2279)*((S2279)*(V2279)-(U2279)*(T2279)))/W2279,0)</f>
        <v/>
      </c>
      <c r="Z2279">
        <f>IF(ABS(W2279)&gt;1E-12,((LTP3!$D$5)*((P2279)*(V2279)-(U2279)*(R2279))-(S2279)*((S2279)*(V2279)-(U2279)*(T2279))+(LTP3!$D$6)*((S2279)*(R2279)-(P2279)*(T2279)))/W2279,0)</f>
        <v/>
      </c>
      <c r="AA2279">
        <f>LTP3!$D$7-X2279*LTP3!$D$6-Y2279*U2279-Z2279*V2279</f>
        <v/>
      </c>
      <c r="AB2279">
        <f>IF(AND(F2279,ABS(W2279)&gt;1E-12,Y2279&gt;0,Z2279&gt;0),AA2279,1E+300)</f>
        <v/>
      </c>
    </row>
    <row r="2280">
      <c r="A2280">
        <f>$B$3+$B$5*37</f>
        <v/>
      </c>
      <c r="B2280">
        <f>$B$3+$B$5*11</f>
        <v/>
      </c>
      <c r="C2280">
        <f>SUMPRODUCT(Calc!$K$3:$K$22*(Calc!$G$3:$G$22&lt;=A2280))</f>
        <v/>
      </c>
      <c r="D2280">
        <f>SUMPRODUCT(Calc!$K$3:$K$22*(Calc!$G$3:$G$22&gt;A2280)*(Calc!$G$3:$G$22&lt;B2280))</f>
        <v/>
      </c>
      <c r="E2280">
        <f>SUMPRODUCT(Calc!$K$3:$K$22*(Calc!$G$3:$G$22&gt;=B2280))</f>
        <v/>
      </c>
      <c r="F2280">
        <f>AND(k_n&gt;=5,B2280&gt;A2280+1E-9,C2280&gt;=2,D2280&gt;=1,E2280&gt;=2)</f>
        <v/>
      </c>
      <c r="G2280">
        <f>SUMPRODUCT(Calc!$K$3:$K$22*(Calc!$G$3:$G$22&gt;A2280)*(Calc!$G$3:$G$22-A2280))</f>
        <v/>
      </c>
      <c r="H2280">
        <f>SUMPRODUCT(Calc!$K$3:$K$22*(Calc!$G$3:$G$22&gt;B2280)*(Calc!$G$3:$G$22-B2280))</f>
        <v/>
      </c>
      <c r="I2280">
        <f>SUMPRODUCT(Calc!$K$3:$K$22*(Calc!$G$3:$G$22&gt;A2280)*(Calc!$G$3:$G$22-A2280)^2)</f>
        <v/>
      </c>
      <c r="J2280">
        <f>SUMPRODUCT(Calc!$K$3:$K$22*(Calc!$G$3:$G$22&gt;B2280)*(Calc!$G$3:$G$22-B2280)^2)</f>
        <v/>
      </c>
      <c r="K2280">
        <f>SUMPRODUCT(Calc!$K$3:$K$22*(Calc!$G$3:$G$22&gt;A2280)*(Calc!$G$3:$G$22-A2280)*(Calc!$G$3:$G$22&gt;B2280)*(Calc!$G$3:$G$22-B2280))</f>
        <v/>
      </c>
      <c r="L2280">
        <f>SUMPRODUCT(Calc!$K$3:$K$22*(Calc!$G$3:$G$22&gt;A2280)*(Calc!$G$3:$G$22-A2280)*Calc!$G$3:$G$22)</f>
        <v/>
      </c>
      <c r="M2280">
        <f>SUMPRODUCT(Calc!$K$3:$K$22*(Calc!$G$3:$G$22&gt;B2280)*(Calc!$G$3:$G$22-B2280)*Calc!$G$3:$G$22)</f>
        <v/>
      </c>
      <c r="N2280">
        <f>SUMPRODUCT(Calc!$K$3:$K$22*(Calc!$G$3:$G$22&gt;A2280)*(Calc!$G$3:$G$22-A2280)*Calc!$I$3:$I$22)</f>
        <v/>
      </c>
      <c r="O2280">
        <f>SUMPRODUCT(Calc!$K$3:$K$22*(Calc!$G$3:$G$22&gt;B2280)*(Calc!$G$3:$G$22-B2280)*Calc!$I$3:$I$22)</f>
        <v/>
      </c>
      <c r="P2280">
        <f>I2280-G2280^2/k_n</f>
        <v/>
      </c>
      <c r="Q2280">
        <f>J2280-H2280^2/k_n</f>
        <v/>
      </c>
      <c r="R2280">
        <f>K2280-G2280*H2280/k_n</f>
        <v/>
      </c>
      <c r="S2280">
        <f>L2280-LTP3!$D$3*G2280/k_n</f>
        <v/>
      </c>
      <c r="T2280">
        <f>M2280-LTP3!$D$3*H2280/k_n</f>
        <v/>
      </c>
      <c r="U2280">
        <f>N2280-G2280*LTP3!$D$4/k_n</f>
        <v/>
      </c>
      <c r="V2280">
        <f>O2280-H2280*LTP3!$D$4/k_n</f>
        <v/>
      </c>
      <c r="W2280">
        <f>((LTP3!$D$5)*((P2280)*(Q2280)-(R2280)*(R2280))-(S2280)*((S2280)*(Q2280)-(R2280)*(T2280))+(T2280)*((S2280)*(R2280)-(P2280)*(T2280)))</f>
        <v/>
      </c>
      <c r="X2280">
        <f>IF(ABS(W2280)&gt;1E-12,((LTP3!$D$6)*((P2280)*(Q2280)-(R2280)*(R2280))-(S2280)*((U2280)*(Q2280)-(R2280)*(V2280))+(T2280)*((U2280)*(R2280)-(P2280)*(V2280)))/W2280,0)</f>
        <v/>
      </c>
      <c r="Y2280">
        <f>IF(ABS(W2280)&gt;1E-12,((LTP3!$D$5)*((U2280)*(Q2280)-(R2280)*(V2280))-(LTP3!$D$6)*((S2280)*(Q2280)-(R2280)*(T2280))+(T2280)*((S2280)*(V2280)-(U2280)*(T2280)))/W2280,0)</f>
        <v/>
      </c>
      <c r="Z2280">
        <f>IF(ABS(W2280)&gt;1E-12,((LTP3!$D$5)*((P2280)*(V2280)-(U2280)*(R2280))-(S2280)*((S2280)*(V2280)-(U2280)*(T2280))+(LTP3!$D$6)*((S2280)*(R2280)-(P2280)*(T2280)))/W2280,0)</f>
        <v/>
      </c>
      <c r="AA2280">
        <f>LTP3!$D$7-X2280*LTP3!$D$6-Y2280*U2280-Z2280*V2280</f>
        <v/>
      </c>
      <c r="AB2280">
        <f>IF(AND(F2280,ABS(W2280)&gt;1E-12,Y2280&gt;0,Z2280&gt;0),AA2280,1E+300)</f>
        <v/>
      </c>
    </row>
    <row r="2281">
      <c r="A2281">
        <f>$B$3+$B$5*37</f>
        <v/>
      </c>
      <c r="B2281">
        <f>$B$3+$B$5*12</f>
        <v/>
      </c>
      <c r="C2281">
        <f>SUMPRODUCT(Calc!$K$3:$K$22*(Calc!$G$3:$G$22&lt;=A2281))</f>
        <v/>
      </c>
      <c r="D2281">
        <f>SUMPRODUCT(Calc!$K$3:$K$22*(Calc!$G$3:$G$22&gt;A2281)*(Calc!$G$3:$G$22&lt;B2281))</f>
        <v/>
      </c>
      <c r="E2281">
        <f>SUMPRODUCT(Calc!$K$3:$K$22*(Calc!$G$3:$G$22&gt;=B2281))</f>
        <v/>
      </c>
      <c r="F2281">
        <f>AND(k_n&gt;=5,B2281&gt;A2281+1E-9,C2281&gt;=2,D2281&gt;=1,E2281&gt;=2)</f>
        <v/>
      </c>
      <c r="G2281">
        <f>SUMPRODUCT(Calc!$K$3:$K$22*(Calc!$G$3:$G$22&gt;A2281)*(Calc!$G$3:$G$22-A2281))</f>
        <v/>
      </c>
      <c r="H2281">
        <f>SUMPRODUCT(Calc!$K$3:$K$22*(Calc!$G$3:$G$22&gt;B2281)*(Calc!$G$3:$G$22-B2281))</f>
        <v/>
      </c>
      <c r="I2281">
        <f>SUMPRODUCT(Calc!$K$3:$K$22*(Calc!$G$3:$G$22&gt;A2281)*(Calc!$G$3:$G$22-A2281)^2)</f>
        <v/>
      </c>
      <c r="J2281">
        <f>SUMPRODUCT(Calc!$K$3:$K$22*(Calc!$G$3:$G$22&gt;B2281)*(Calc!$G$3:$G$22-B2281)^2)</f>
        <v/>
      </c>
      <c r="K2281">
        <f>SUMPRODUCT(Calc!$K$3:$K$22*(Calc!$G$3:$G$22&gt;A2281)*(Calc!$G$3:$G$22-A2281)*(Calc!$G$3:$G$22&gt;B2281)*(Calc!$G$3:$G$22-B2281))</f>
        <v/>
      </c>
      <c r="L2281">
        <f>SUMPRODUCT(Calc!$K$3:$K$22*(Calc!$G$3:$G$22&gt;A2281)*(Calc!$G$3:$G$22-A2281)*Calc!$G$3:$G$22)</f>
        <v/>
      </c>
      <c r="M2281">
        <f>SUMPRODUCT(Calc!$K$3:$K$22*(Calc!$G$3:$G$22&gt;B2281)*(Calc!$G$3:$G$22-B2281)*Calc!$G$3:$G$22)</f>
        <v/>
      </c>
      <c r="N2281">
        <f>SUMPRODUCT(Calc!$K$3:$K$22*(Calc!$G$3:$G$22&gt;A2281)*(Calc!$G$3:$G$22-A2281)*Calc!$I$3:$I$22)</f>
        <v/>
      </c>
      <c r="O2281">
        <f>SUMPRODUCT(Calc!$K$3:$K$22*(Calc!$G$3:$G$22&gt;B2281)*(Calc!$G$3:$G$22-B2281)*Calc!$I$3:$I$22)</f>
        <v/>
      </c>
      <c r="P2281">
        <f>I2281-G2281^2/k_n</f>
        <v/>
      </c>
      <c r="Q2281">
        <f>J2281-H2281^2/k_n</f>
        <v/>
      </c>
      <c r="R2281">
        <f>K2281-G2281*H2281/k_n</f>
        <v/>
      </c>
      <c r="S2281">
        <f>L2281-LTP3!$D$3*G2281/k_n</f>
        <v/>
      </c>
      <c r="T2281">
        <f>M2281-LTP3!$D$3*H2281/k_n</f>
        <v/>
      </c>
      <c r="U2281">
        <f>N2281-G2281*LTP3!$D$4/k_n</f>
        <v/>
      </c>
      <c r="V2281">
        <f>O2281-H2281*LTP3!$D$4/k_n</f>
        <v/>
      </c>
      <c r="W2281">
        <f>((LTP3!$D$5)*((P2281)*(Q2281)-(R2281)*(R2281))-(S2281)*((S2281)*(Q2281)-(R2281)*(T2281))+(T2281)*((S2281)*(R2281)-(P2281)*(T2281)))</f>
        <v/>
      </c>
      <c r="X2281">
        <f>IF(ABS(W2281)&gt;1E-12,((LTP3!$D$6)*((P2281)*(Q2281)-(R2281)*(R2281))-(S2281)*((U2281)*(Q2281)-(R2281)*(V2281))+(T2281)*((U2281)*(R2281)-(P2281)*(V2281)))/W2281,0)</f>
        <v/>
      </c>
      <c r="Y2281">
        <f>IF(ABS(W2281)&gt;1E-12,((LTP3!$D$5)*((U2281)*(Q2281)-(R2281)*(V2281))-(LTP3!$D$6)*((S2281)*(Q2281)-(R2281)*(T2281))+(T2281)*((S2281)*(V2281)-(U2281)*(T2281)))/W2281,0)</f>
        <v/>
      </c>
      <c r="Z2281">
        <f>IF(ABS(W2281)&gt;1E-12,((LTP3!$D$5)*((P2281)*(V2281)-(U2281)*(R2281))-(S2281)*((S2281)*(V2281)-(U2281)*(T2281))+(LTP3!$D$6)*((S2281)*(R2281)-(P2281)*(T2281)))/W2281,0)</f>
        <v/>
      </c>
      <c r="AA2281">
        <f>LTP3!$D$7-X2281*LTP3!$D$6-Y2281*U2281-Z2281*V2281</f>
        <v/>
      </c>
      <c r="AB2281">
        <f>IF(AND(F2281,ABS(W2281)&gt;1E-12,Y2281&gt;0,Z2281&gt;0),AA2281,1E+300)</f>
        <v/>
      </c>
    </row>
    <row r="2282">
      <c r="A2282">
        <f>$B$3+$B$5*37</f>
        <v/>
      </c>
      <c r="B2282">
        <f>$B$3+$B$5*13</f>
        <v/>
      </c>
      <c r="C2282">
        <f>SUMPRODUCT(Calc!$K$3:$K$22*(Calc!$G$3:$G$22&lt;=A2282))</f>
        <v/>
      </c>
      <c r="D2282">
        <f>SUMPRODUCT(Calc!$K$3:$K$22*(Calc!$G$3:$G$22&gt;A2282)*(Calc!$G$3:$G$22&lt;B2282))</f>
        <v/>
      </c>
      <c r="E2282">
        <f>SUMPRODUCT(Calc!$K$3:$K$22*(Calc!$G$3:$G$22&gt;=B2282))</f>
        <v/>
      </c>
      <c r="F2282">
        <f>AND(k_n&gt;=5,B2282&gt;A2282+1E-9,C2282&gt;=2,D2282&gt;=1,E2282&gt;=2)</f>
        <v/>
      </c>
      <c r="G2282">
        <f>SUMPRODUCT(Calc!$K$3:$K$22*(Calc!$G$3:$G$22&gt;A2282)*(Calc!$G$3:$G$22-A2282))</f>
        <v/>
      </c>
      <c r="H2282">
        <f>SUMPRODUCT(Calc!$K$3:$K$22*(Calc!$G$3:$G$22&gt;B2282)*(Calc!$G$3:$G$22-B2282))</f>
        <v/>
      </c>
      <c r="I2282">
        <f>SUMPRODUCT(Calc!$K$3:$K$22*(Calc!$G$3:$G$22&gt;A2282)*(Calc!$G$3:$G$22-A2282)^2)</f>
        <v/>
      </c>
      <c r="J2282">
        <f>SUMPRODUCT(Calc!$K$3:$K$22*(Calc!$G$3:$G$22&gt;B2282)*(Calc!$G$3:$G$22-B2282)^2)</f>
        <v/>
      </c>
      <c r="K2282">
        <f>SUMPRODUCT(Calc!$K$3:$K$22*(Calc!$G$3:$G$22&gt;A2282)*(Calc!$G$3:$G$22-A2282)*(Calc!$G$3:$G$22&gt;B2282)*(Calc!$G$3:$G$22-B2282))</f>
        <v/>
      </c>
      <c r="L2282">
        <f>SUMPRODUCT(Calc!$K$3:$K$22*(Calc!$G$3:$G$22&gt;A2282)*(Calc!$G$3:$G$22-A2282)*Calc!$G$3:$G$22)</f>
        <v/>
      </c>
      <c r="M2282">
        <f>SUMPRODUCT(Calc!$K$3:$K$22*(Calc!$G$3:$G$22&gt;B2282)*(Calc!$G$3:$G$22-B2282)*Calc!$G$3:$G$22)</f>
        <v/>
      </c>
      <c r="N2282">
        <f>SUMPRODUCT(Calc!$K$3:$K$22*(Calc!$G$3:$G$22&gt;A2282)*(Calc!$G$3:$G$22-A2282)*Calc!$I$3:$I$22)</f>
        <v/>
      </c>
      <c r="O2282">
        <f>SUMPRODUCT(Calc!$K$3:$K$22*(Calc!$G$3:$G$22&gt;B2282)*(Calc!$G$3:$G$22-B2282)*Calc!$I$3:$I$22)</f>
        <v/>
      </c>
      <c r="P2282">
        <f>I2282-G2282^2/k_n</f>
        <v/>
      </c>
      <c r="Q2282">
        <f>J2282-H2282^2/k_n</f>
        <v/>
      </c>
      <c r="R2282">
        <f>K2282-G2282*H2282/k_n</f>
        <v/>
      </c>
      <c r="S2282">
        <f>L2282-LTP3!$D$3*G2282/k_n</f>
        <v/>
      </c>
      <c r="T2282">
        <f>M2282-LTP3!$D$3*H2282/k_n</f>
        <v/>
      </c>
      <c r="U2282">
        <f>N2282-G2282*LTP3!$D$4/k_n</f>
        <v/>
      </c>
      <c r="V2282">
        <f>O2282-H2282*LTP3!$D$4/k_n</f>
        <v/>
      </c>
      <c r="W2282">
        <f>((LTP3!$D$5)*((P2282)*(Q2282)-(R2282)*(R2282))-(S2282)*((S2282)*(Q2282)-(R2282)*(T2282))+(T2282)*((S2282)*(R2282)-(P2282)*(T2282)))</f>
        <v/>
      </c>
      <c r="X2282">
        <f>IF(ABS(W2282)&gt;1E-12,((LTP3!$D$6)*((P2282)*(Q2282)-(R2282)*(R2282))-(S2282)*((U2282)*(Q2282)-(R2282)*(V2282))+(T2282)*((U2282)*(R2282)-(P2282)*(V2282)))/W2282,0)</f>
        <v/>
      </c>
      <c r="Y2282">
        <f>IF(ABS(W2282)&gt;1E-12,((LTP3!$D$5)*((U2282)*(Q2282)-(R2282)*(V2282))-(LTP3!$D$6)*((S2282)*(Q2282)-(R2282)*(T2282))+(T2282)*((S2282)*(V2282)-(U2282)*(T2282)))/W2282,0)</f>
        <v/>
      </c>
      <c r="Z2282">
        <f>IF(ABS(W2282)&gt;1E-12,((LTP3!$D$5)*((P2282)*(V2282)-(U2282)*(R2282))-(S2282)*((S2282)*(V2282)-(U2282)*(T2282))+(LTP3!$D$6)*((S2282)*(R2282)-(P2282)*(T2282)))/W2282,0)</f>
        <v/>
      </c>
      <c r="AA2282">
        <f>LTP3!$D$7-X2282*LTP3!$D$6-Y2282*U2282-Z2282*V2282</f>
        <v/>
      </c>
      <c r="AB2282">
        <f>IF(AND(F2282,ABS(W2282)&gt;1E-12,Y2282&gt;0,Z2282&gt;0),AA2282,1E+300)</f>
        <v/>
      </c>
    </row>
    <row r="2283">
      <c r="A2283">
        <f>$B$3+$B$5*37</f>
        <v/>
      </c>
      <c r="B2283">
        <f>$B$3+$B$5*14</f>
        <v/>
      </c>
      <c r="C2283">
        <f>SUMPRODUCT(Calc!$K$3:$K$22*(Calc!$G$3:$G$22&lt;=A2283))</f>
        <v/>
      </c>
      <c r="D2283">
        <f>SUMPRODUCT(Calc!$K$3:$K$22*(Calc!$G$3:$G$22&gt;A2283)*(Calc!$G$3:$G$22&lt;B2283))</f>
        <v/>
      </c>
      <c r="E2283">
        <f>SUMPRODUCT(Calc!$K$3:$K$22*(Calc!$G$3:$G$22&gt;=B2283))</f>
        <v/>
      </c>
      <c r="F2283">
        <f>AND(k_n&gt;=5,B2283&gt;A2283+1E-9,C2283&gt;=2,D2283&gt;=1,E2283&gt;=2)</f>
        <v/>
      </c>
      <c r="G2283">
        <f>SUMPRODUCT(Calc!$K$3:$K$22*(Calc!$G$3:$G$22&gt;A2283)*(Calc!$G$3:$G$22-A2283))</f>
        <v/>
      </c>
      <c r="H2283">
        <f>SUMPRODUCT(Calc!$K$3:$K$22*(Calc!$G$3:$G$22&gt;B2283)*(Calc!$G$3:$G$22-B2283))</f>
        <v/>
      </c>
      <c r="I2283">
        <f>SUMPRODUCT(Calc!$K$3:$K$22*(Calc!$G$3:$G$22&gt;A2283)*(Calc!$G$3:$G$22-A2283)^2)</f>
        <v/>
      </c>
      <c r="J2283">
        <f>SUMPRODUCT(Calc!$K$3:$K$22*(Calc!$G$3:$G$22&gt;B2283)*(Calc!$G$3:$G$22-B2283)^2)</f>
        <v/>
      </c>
      <c r="K2283">
        <f>SUMPRODUCT(Calc!$K$3:$K$22*(Calc!$G$3:$G$22&gt;A2283)*(Calc!$G$3:$G$22-A2283)*(Calc!$G$3:$G$22&gt;B2283)*(Calc!$G$3:$G$22-B2283))</f>
        <v/>
      </c>
      <c r="L2283">
        <f>SUMPRODUCT(Calc!$K$3:$K$22*(Calc!$G$3:$G$22&gt;A2283)*(Calc!$G$3:$G$22-A2283)*Calc!$G$3:$G$22)</f>
        <v/>
      </c>
      <c r="M2283">
        <f>SUMPRODUCT(Calc!$K$3:$K$22*(Calc!$G$3:$G$22&gt;B2283)*(Calc!$G$3:$G$22-B2283)*Calc!$G$3:$G$22)</f>
        <v/>
      </c>
      <c r="N2283">
        <f>SUMPRODUCT(Calc!$K$3:$K$22*(Calc!$G$3:$G$22&gt;A2283)*(Calc!$G$3:$G$22-A2283)*Calc!$I$3:$I$22)</f>
        <v/>
      </c>
      <c r="O2283">
        <f>SUMPRODUCT(Calc!$K$3:$K$22*(Calc!$G$3:$G$22&gt;B2283)*(Calc!$G$3:$G$22-B2283)*Calc!$I$3:$I$22)</f>
        <v/>
      </c>
      <c r="P2283">
        <f>I2283-G2283^2/k_n</f>
        <v/>
      </c>
      <c r="Q2283">
        <f>J2283-H2283^2/k_n</f>
        <v/>
      </c>
      <c r="R2283">
        <f>K2283-G2283*H2283/k_n</f>
        <v/>
      </c>
      <c r="S2283">
        <f>L2283-LTP3!$D$3*G2283/k_n</f>
        <v/>
      </c>
      <c r="T2283">
        <f>M2283-LTP3!$D$3*H2283/k_n</f>
        <v/>
      </c>
      <c r="U2283">
        <f>N2283-G2283*LTP3!$D$4/k_n</f>
        <v/>
      </c>
      <c r="V2283">
        <f>O2283-H2283*LTP3!$D$4/k_n</f>
        <v/>
      </c>
      <c r="W2283">
        <f>((LTP3!$D$5)*((P2283)*(Q2283)-(R2283)*(R2283))-(S2283)*((S2283)*(Q2283)-(R2283)*(T2283))+(T2283)*((S2283)*(R2283)-(P2283)*(T2283)))</f>
        <v/>
      </c>
      <c r="X2283">
        <f>IF(ABS(W2283)&gt;1E-12,((LTP3!$D$6)*((P2283)*(Q2283)-(R2283)*(R2283))-(S2283)*((U2283)*(Q2283)-(R2283)*(V2283))+(T2283)*((U2283)*(R2283)-(P2283)*(V2283)))/W2283,0)</f>
        <v/>
      </c>
      <c r="Y2283">
        <f>IF(ABS(W2283)&gt;1E-12,((LTP3!$D$5)*((U2283)*(Q2283)-(R2283)*(V2283))-(LTP3!$D$6)*((S2283)*(Q2283)-(R2283)*(T2283))+(T2283)*((S2283)*(V2283)-(U2283)*(T2283)))/W2283,0)</f>
        <v/>
      </c>
      <c r="Z2283">
        <f>IF(ABS(W2283)&gt;1E-12,((LTP3!$D$5)*((P2283)*(V2283)-(U2283)*(R2283))-(S2283)*((S2283)*(V2283)-(U2283)*(T2283))+(LTP3!$D$6)*((S2283)*(R2283)-(P2283)*(T2283)))/W2283,0)</f>
        <v/>
      </c>
      <c r="AA2283">
        <f>LTP3!$D$7-X2283*LTP3!$D$6-Y2283*U2283-Z2283*V2283</f>
        <v/>
      </c>
      <c r="AB2283">
        <f>IF(AND(F2283,ABS(W2283)&gt;1E-12,Y2283&gt;0,Z2283&gt;0),AA2283,1E+300)</f>
        <v/>
      </c>
    </row>
    <row r="2284">
      <c r="A2284">
        <f>$B$3+$B$5*37</f>
        <v/>
      </c>
      <c r="B2284">
        <f>$B$3+$B$5*15</f>
        <v/>
      </c>
      <c r="C2284">
        <f>SUMPRODUCT(Calc!$K$3:$K$22*(Calc!$G$3:$G$22&lt;=A2284))</f>
        <v/>
      </c>
      <c r="D2284">
        <f>SUMPRODUCT(Calc!$K$3:$K$22*(Calc!$G$3:$G$22&gt;A2284)*(Calc!$G$3:$G$22&lt;B2284))</f>
        <v/>
      </c>
      <c r="E2284">
        <f>SUMPRODUCT(Calc!$K$3:$K$22*(Calc!$G$3:$G$22&gt;=B2284))</f>
        <v/>
      </c>
      <c r="F2284">
        <f>AND(k_n&gt;=5,B2284&gt;A2284+1E-9,C2284&gt;=2,D2284&gt;=1,E2284&gt;=2)</f>
        <v/>
      </c>
      <c r="G2284">
        <f>SUMPRODUCT(Calc!$K$3:$K$22*(Calc!$G$3:$G$22&gt;A2284)*(Calc!$G$3:$G$22-A2284))</f>
        <v/>
      </c>
      <c r="H2284">
        <f>SUMPRODUCT(Calc!$K$3:$K$22*(Calc!$G$3:$G$22&gt;B2284)*(Calc!$G$3:$G$22-B2284))</f>
        <v/>
      </c>
      <c r="I2284">
        <f>SUMPRODUCT(Calc!$K$3:$K$22*(Calc!$G$3:$G$22&gt;A2284)*(Calc!$G$3:$G$22-A2284)^2)</f>
        <v/>
      </c>
      <c r="J2284">
        <f>SUMPRODUCT(Calc!$K$3:$K$22*(Calc!$G$3:$G$22&gt;B2284)*(Calc!$G$3:$G$22-B2284)^2)</f>
        <v/>
      </c>
      <c r="K2284">
        <f>SUMPRODUCT(Calc!$K$3:$K$22*(Calc!$G$3:$G$22&gt;A2284)*(Calc!$G$3:$G$22-A2284)*(Calc!$G$3:$G$22&gt;B2284)*(Calc!$G$3:$G$22-B2284))</f>
        <v/>
      </c>
      <c r="L2284">
        <f>SUMPRODUCT(Calc!$K$3:$K$22*(Calc!$G$3:$G$22&gt;A2284)*(Calc!$G$3:$G$22-A2284)*Calc!$G$3:$G$22)</f>
        <v/>
      </c>
      <c r="M2284">
        <f>SUMPRODUCT(Calc!$K$3:$K$22*(Calc!$G$3:$G$22&gt;B2284)*(Calc!$G$3:$G$22-B2284)*Calc!$G$3:$G$22)</f>
        <v/>
      </c>
      <c r="N2284">
        <f>SUMPRODUCT(Calc!$K$3:$K$22*(Calc!$G$3:$G$22&gt;A2284)*(Calc!$G$3:$G$22-A2284)*Calc!$I$3:$I$22)</f>
        <v/>
      </c>
      <c r="O2284">
        <f>SUMPRODUCT(Calc!$K$3:$K$22*(Calc!$G$3:$G$22&gt;B2284)*(Calc!$G$3:$G$22-B2284)*Calc!$I$3:$I$22)</f>
        <v/>
      </c>
      <c r="P2284">
        <f>I2284-G2284^2/k_n</f>
        <v/>
      </c>
      <c r="Q2284">
        <f>J2284-H2284^2/k_n</f>
        <v/>
      </c>
      <c r="R2284">
        <f>K2284-G2284*H2284/k_n</f>
        <v/>
      </c>
      <c r="S2284">
        <f>L2284-LTP3!$D$3*G2284/k_n</f>
        <v/>
      </c>
      <c r="T2284">
        <f>M2284-LTP3!$D$3*H2284/k_n</f>
        <v/>
      </c>
      <c r="U2284">
        <f>N2284-G2284*LTP3!$D$4/k_n</f>
        <v/>
      </c>
      <c r="V2284">
        <f>O2284-H2284*LTP3!$D$4/k_n</f>
        <v/>
      </c>
      <c r="W2284">
        <f>((LTP3!$D$5)*((P2284)*(Q2284)-(R2284)*(R2284))-(S2284)*((S2284)*(Q2284)-(R2284)*(T2284))+(T2284)*((S2284)*(R2284)-(P2284)*(T2284)))</f>
        <v/>
      </c>
      <c r="X2284">
        <f>IF(ABS(W2284)&gt;1E-12,((LTP3!$D$6)*((P2284)*(Q2284)-(R2284)*(R2284))-(S2284)*((U2284)*(Q2284)-(R2284)*(V2284))+(T2284)*((U2284)*(R2284)-(P2284)*(V2284)))/W2284,0)</f>
        <v/>
      </c>
      <c r="Y2284">
        <f>IF(ABS(W2284)&gt;1E-12,((LTP3!$D$5)*((U2284)*(Q2284)-(R2284)*(V2284))-(LTP3!$D$6)*((S2284)*(Q2284)-(R2284)*(T2284))+(T2284)*((S2284)*(V2284)-(U2284)*(T2284)))/W2284,0)</f>
        <v/>
      </c>
      <c r="Z2284">
        <f>IF(ABS(W2284)&gt;1E-12,((LTP3!$D$5)*((P2284)*(V2284)-(U2284)*(R2284))-(S2284)*((S2284)*(V2284)-(U2284)*(T2284))+(LTP3!$D$6)*((S2284)*(R2284)-(P2284)*(T2284)))/W2284,0)</f>
        <v/>
      </c>
      <c r="AA2284">
        <f>LTP3!$D$7-X2284*LTP3!$D$6-Y2284*U2284-Z2284*V2284</f>
        <v/>
      </c>
      <c r="AB2284">
        <f>IF(AND(F2284,ABS(W2284)&gt;1E-12,Y2284&gt;0,Z2284&gt;0),AA2284,1E+300)</f>
        <v/>
      </c>
    </row>
    <row r="2285">
      <c r="A2285">
        <f>$B$3+$B$5*37</f>
        <v/>
      </c>
      <c r="B2285">
        <f>$B$3+$B$5*16</f>
        <v/>
      </c>
      <c r="C2285">
        <f>SUMPRODUCT(Calc!$K$3:$K$22*(Calc!$G$3:$G$22&lt;=A2285))</f>
        <v/>
      </c>
      <c r="D2285">
        <f>SUMPRODUCT(Calc!$K$3:$K$22*(Calc!$G$3:$G$22&gt;A2285)*(Calc!$G$3:$G$22&lt;B2285))</f>
        <v/>
      </c>
      <c r="E2285">
        <f>SUMPRODUCT(Calc!$K$3:$K$22*(Calc!$G$3:$G$22&gt;=B2285))</f>
        <v/>
      </c>
      <c r="F2285">
        <f>AND(k_n&gt;=5,B2285&gt;A2285+1E-9,C2285&gt;=2,D2285&gt;=1,E2285&gt;=2)</f>
        <v/>
      </c>
      <c r="G2285">
        <f>SUMPRODUCT(Calc!$K$3:$K$22*(Calc!$G$3:$G$22&gt;A2285)*(Calc!$G$3:$G$22-A2285))</f>
        <v/>
      </c>
      <c r="H2285">
        <f>SUMPRODUCT(Calc!$K$3:$K$22*(Calc!$G$3:$G$22&gt;B2285)*(Calc!$G$3:$G$22-B2285))</f>
        <v/>
      </c>
      <c r="I2285">
        <f>SUMPRODUCT(Calc!$K$3:$K$22*(Calc!$G$3:$G$22&gt;A2285)*(Calc!$G$3:$G$22-A2285)^2)</f>
        <v/>
      </c>
      <c r="J2285">
        <f>SUMPRODUCT(Calc!$K$3:$K$22*(Calc!$G$3:$G$22&gt;B2285)*(Calc!$G$3:$G$22-B2285)^2)</f>
        <v/>
      </c>
      <c r="K2285">
        <f>SUMPRODUCT(Calc!$K$3:$K$22*(Calc!$G$3:$G$22&gt;A2285)*(Calc!$G$3:$G$22-A2285)*(Calc!$G$3:$G$22&gt;B2285)*(Calc!$G$3:$G$22-B2285))</f>
        <v/>
      </c>
      <c r="L2285">
        <f>SUMPRODUCT(Calc!$K$3:$K$22*(Calc!$G$3:$G$22&gt;A2285)*(Calc!$G$3:$G$22-A2285)*Calc!$G$3:$G$22)</f>
        <v/>
      </c>
      <c r="M2285">
        <f>SUMPRODUCT(Calc!$K$3:$K$22*(Calc!$G$3:$G$22&gt;B2285)*(Calc!$G$3:$G$22-B2285)*Calc!$G$3:$G$22)</f>
        <v/>
      </c>
      <c r="N2285">
        <f>SUMPRODUCT(Calc!$K$3:$K$22*(Calc!$G$3:$G$22&gt;A2285)*(Calc!$G$3:$G$22-A2285)*Calc!$I$3:$I$22)</f>
        <v/>
      </c>
      <c r="O2285">
        <f>SUMPRODUCT(Calc!$K$3:$K$22*(Calc!$G$3:$G$22&gt;B2285)*(Calc!$G$3:$G$22-B2285)*Calc!$I$3:$I$22)</f>
        <v/>
      </c>
      <c r="P2285">
        <f>I2285-G2285^2/k_n</f>
        <v/>
      </c>
      <c r="Q2285">
        <f>J2285-H2285^2/k_n</f>
        <v/>
      </c>
      <c r="R2285">
        <f>K2285-G2285*H2285/k_n</f>
        <v/>
      </c>
      <c r="S2285">
        <f>L2285-LTP3!$D$3*G2285/k_n</f>
        <v/>
      </c>
      <c r="T2285">
        <f>M2285-LTP3!$D$3*H2285/k_n</f>
        <v/>
      </c>
      <c r="U2285">
        <f>N2285-G2285*LTP3!$D$4/k_n</f>
        <v/>
      </c>
      <c r="V2285">
        <f>O2285-H2285*LTP3!$D$4/k_n</f>
        <v/>
      </c>
      <c r="W2285">
        <f>((LTP3!$D$5)*((P2285)*(Q2285)-(R2285)*(R2285))-(S2285)*((S2285)*(Q2285)-(R2285)*(T2285))+(T2285)*((S2285)*(R2285)-(P2285)*(T2285)))</f>
        <v/>
      </c>
      <c r="X2285">
        <f>IF(ABS(W2285)&gt;1E-12,((LTP3!$D$6)*((P2285)*(Q2285)-(R2285)*(R2285))-(S2285)*((U2285)*(Q2285)-(R2285)*(V2285))+(T2285)*((U2285)*(R2285)-(P2285)*(V2285)))/W2285,0)</f>
        <v/>
      </c>
      <c r="Y2285">
        <f>IF(ABS(W2285)&gt;1E-12,((LTP3!$D$5)*((U2285)*(Q2285)-(R2285)*(V2285))-(LTP3!$D$6)*((S2285)*(Q2285)-(R2285)*(T2285))+(T2285)*((S2285)*(V2285)-(U2285)*(T2285)))/W2285,0)</f>
        <v/>
      </c>
      <c r="Z2285">
        <f>IF(ABS(W2285)&gt;1E-12,((LTP3!$D$5)*((P2285)*(V2285)-(U2285)*(R2285))-(S2285)*((S2285)*(V2285)-(U2285)*(T2285))+(LTP3!$D$6)*((S2285)*(R2285)-(P2285)*(T2285)))/W2285,0)</f>
        <v/>
      </c>
      <c r="AA2285">
        <f>LTP3!$D$7-X2285*LTP3!$D$6-Y2285*U2285-Z2285*V2285</f>
        <v/>
      </c>
      <c r="AB2285">
        <f>IF(AND(F2285,ABS(W2285)&gt;1E-12,Y2285&gt;0,Z2285&gt;0),AA2285,1E+300)</f>
        <v/>
      </c>
    </row>
    <row r="2286">
      <c r="A2286">
        <f>$B$3+$B$5*37</f>
        <v/>
      </c>
      <c r="B2286">
        <f>$B$3+$B$5*17</f>
        <v/>
      </c>
      <c r="C2286">
        <f>SUMPRODUCT(Calc!$K$3:$K$22*(Calc!$G$3:$G$22&lt;=A2286))</f>
        <v/>
      </c>
      <c r="D2286">
        <f>SUMPRODUCT(Calc!$K$3:$K$22*(Calc!$G$3:$G$22&gt;A2286)*(Calc!$G$3:$G$22&lt;B2286))</f>
        <v/>
      </c>
      <c r="E2286">
        <f>SUMPRODUCT(Calc!$K$3:$K$22*(Calc!$G$3:$G$22&gt;=B2286))</f>
        <v/>
      </c>
      <c r="F2286">
        <f>AND(k_n&gt;=5,B2286&gt;A2286+1E-9,C2286&gt;=2,D2286&gt;=1,E2286&gt;=2)</f>
        <v/>
      </c>
      <c r="G2286">
        <f>SUMPRODUCT(Calc!$K$3:$K$22*(Calc!$G$3:$G$22&gt;A2286)*(Calc!$G$3:$G$22-A2286))</f>
        <v/>
      </c>
      <c r="H2286">
        <f>SUMPRODUCT(Calc!$K$3:$K$22*(Calc!$G$3:$G$22&gt;B2286)*(Calc!$G$3:$G$22-B2286))</f>
        <v/>
      </c>
      <c r="I2286">
        <f>SUMPRODUCT(Calc!$K$3:$K$22*(Calc!$G$3:$G$22&gt;A2286)*(Calc!$G$3:$G$22-A2286)^2)</f>
        <v/>
      </c>
      <c r="J2286">
        <f>SUMPRODUCT(Calc!$K$3:$K$22*(Calc!$G$3:$G$22&gt;B2286)*(Calc!$G$3:$G$22-B2286)^2)</f>
        <v/>
      </c>
      <c r="K2286">
        <f>SUMPRODUCT(Calc!$K$3:$K$22*(Calc!$G$3:$G$22&gt;A2286)*(Calc!$G$3:$G$22-A2286)*(Calc!$G$3:$G$22&gt;B2286)*(Calc!$G$3:$G$22-B2286))</f>
        <v/>
      </c>
      <c r="L2286">
        <f>SUMPRODUCT(Calc!$K$3:$K$22*(Calc!$G$3:$G$22&gt;A2286)*(Calc!$G$3:$G$22-A2286)*Calc!$G$3:$G$22)</f>
        <v/>
      </c>
      <c r="M2286">
        <f>SUMPRODUCT(Calc!$K$3:$K$22*(Calc!$G$3:$G$22&gt;B2286)*(Calc!$G$3:$G$22-B2286)*Calc!$G$3:$G$22)</f>
        <v/>
      </c>
      <c r="N2286">
        <f>SUMPRODUCT(Calc!$K$3:$K$22*(Calc!$G$3:$G$22&gt;A2286)*(Calc!$G$3:$G$22-A2286)*Calc!$I$3:$I$22)</f>
        <v/>
      </c>
      <c r="O2286">
        <f>SUMPRODUCT(Calc!$K$3:$K$22*(Calc!$G$3:$G$22&gt;B2286)*(Calc!$G$3:$G$22-B2286)*Calc!$I$3:$I$22)</f>
        <v/>
      </c>
      <c r="P2286">
        <f>I2286-G2286^2/k_n</f>
        <v/>
      </c>
      <c r="Q2286">
        <f>J2286-H2286^2/k_n</f>
        <v/>
      </c>
      <c r="R2286">
        <f>K2286-G2286*H2286/k_n</f>
        <v/>
      </c>
      <c r="S2286">
        <f>L2286-LTP3!$D$3*G2286/k_n</f>
        <v/>
      </c>
      <c r="T2286">
        <f>M2286-LTP3!$D$3*H2286/k_n</f>
        <v/>
      </c>
      <c r="U2286">
        <f>N2286-G2286*LTP3!$D$4/k_n</f>
        <v/>
      </c>
      <c r="V2286">
        <f>O2286-H2286*LTP3!$D$4/k_n</f>
        <v/>
      </c>
      <c r="W2286">
        <f>((LTP3!$D$5)*((P2286)*(Q2286)-(R2286)*(R2286))-(S2286)*((S2286)*(Q2286)-(R2286)*(T2286))+(T2286)*((S2286)*(R2286)-(P2286)*(T2286)))</f>
        <v/>
      </c>
      <c r="X2286">
        <f>IF(ABS(W2286)&gt;1E-12,((LTP3!$D$6)*((P2286)*(Q2286)-(R2286)*(R2286))-(S2286)*((U2286)*(Q2286)-(R2286)*(V2286))+(T2286)*((U2286)*(R2286)-(P2286)*(V2286)))/W2286,0)</f>
        <v/>
      </c>
      <c r="Y2286">
        <f>IF(ABS(W2286)&gt;1E-12,((LTP3!$D$5)*((U2286)*(Q2286)-(R2286)*(V2286))-(LTP3!$D$6)*((S2286)*(Q2286)-(R2286)*(T2286))+(T2286)*((S2286)*(V2286)-(U2286)*(T2286)))/W2286,0)</f>
        <v/>
      </c>
      <c r="Z2286">
        <f>IF(ABS(W2286)&gt;1E-12,((LTP3!$D$5)*((P2286)*(V2286)-(U2286)*(R2286))-(S2286)*((S2286)*(V2286)-(U2286)*(T2286))+(LTP3!$D$6)*((S2286)*(R2286)-(P2286)*(T2286)))/W2286,0)</f>
        <v/>
      </c>
      <c r="AA2286">
        <f>LTP3!$D$7-X2286*LTP3!$D$6-Y2286*U2286-Z2286*V2286</f>
        <v/>
      </c>
      <c r="AB2286">
        <f>IF(AND(F2286,ABS(W2286)&gt;1E-12,Y2286&gt;0,Z2286&gt;0),AA2286,1E+300)</f>
        <v/>
      </c>
    </row>
    <row r="2287">
      <c r="A2287">
        <f>$B$3+$B$5*37</f>
        <v/>
      </c>
      <c r="B2287">
        <f>$B$3+$B$5*18</f>
        <v/>
      </c>
      <c r="C2287">
        <f>SUMPRODUCT(Calc!$K$3:$K$22*(Calc!$G$3:$G$22&lt;=A2287))</f>
        <v/>
      </c>
      <c r="D2287">
        <f>SUMPRODUCT(Calc!$K$3:$K$22*(Calc!$G$3:$G$22&gt;A2287)*(Calc!$G$3:$G$22&lt;B2287))</f>
        <v/>
      </c>
      <c r="E2287">
        <f>SUMPRODUCT(Calc!$K$3:$K$22*(Calc!$G$3:$G$22&gt;=B2287))</f>
        <v/>
      </c>
      <c r="F2287">
        <f>AND(k_n&gt;=5,B2287&gt;A2287+1E-9,C2287&gt;=2,D2287&gt;=1,E2287&gt;=2)</f>
        <v/>
      </c>
      <c r="G2287">
        <f>SUMPRODUCT(Calc!$K$3:$K$22*(Calc!$G$3:$G$22&gt;A2287)*(Calc!$G$3:$G$22-A2287))</f>
        <v/>
      </c>
      <c r="H2287">
        <f>SUMPRODUCT(Calc!$K$3:$K$22*(Calc!$G$3:$G$22&gt;B2287)*(Calc!$G$3:$G$22-B2287))</f>
        <v/>
      </c>
      <c r="I2287">
        <f>SUMPRODUCT(Calc!$K$3:$K$22*(Calc!$G$3:$G$22&gt;A2287)*(Calc!$G$3:$G$22-A2287)^2)</f>
        <v/>
      </c>
      <c r="J2287">
        <f>SUMPRODUCT(Calc!$K$3:$K$22*(Calc!$G$3:$G$22&gt;B2287)*(Calc!$G$3:$G$22-B2287)^2)</f>
        <v/>
      </c>
      <c r="K2287">
        <f>SUMPRODUCT(Calc!$K$3:$K$22*(Calc!$G$3:$G$22&gt;A2287)*(Calc!$G$3:$G$22-A2287)*(Calc!$G$3:$G$22&gt;B2287)*(Calc!$G$3:$G$22-B2287))</f>
        <v/>
      </c>
      <c r="L2287">
        <f>SUMPRODUCT(Calc!$K$3:$K$22*(Calc!$G$3:$G$22&gt;A2287)*(Calc!$G$3:$G$22-A2287)*Calc!$G$3:$G$22)</f>
        <v/>
      </c>
      <c r="M2287">
        <f>SUMPRODUCT(Calc!$K$3:$K$22*(Calc!$G$3:$G$22&gt;B2287)*(Calc!$G$3:$G$22-B2287)*Calc!$G$3:$G$22)</f>
        <v/>
      </c>
      <c r="N2287">
        <f>SUMPRODUCT(Calc!$K$3:$K$22*(Calc!$G$3:$G$22&gt;A2287)*(Calc!$G$3:$G$22-A2287)*Calc!$I$3:$I$22)</f>
        <v/>
      </c>
      <c r="O2287">
        <f>SUMPRODUCT(Calc!$K$3:$K$22*(Calc!$G$3:$G$22&gt;B2287)*(Calc!$G$3:$G$22-B2287)*Calc!$I$3:$I$22)</f>
        <v/>
      </c>
      <c r="P2287">
        <f>I2287-G2287^2/k_n</f>
        <v/>
      </c>
      <c r="Q2287">
        <f>J2287-H2287^2/k_n</f>
        <v/>
      </c>
      <c r="R2287">
        <f>K2287-G2287*H2287/k_n</f>
        <v/>
      </c>
      <c r="S2287">
        <f>L2287-LTP3!$D$3*G2287/k_n</f>
        <v/>
      </c>
      <c r="T2287">
        <f>M2287-LTP3!$D$3*H2287/k_n</f>
        <v/>
      </c>
      <c r="U2287">
        <f>N2287-G2287*LTP3!$D$4/k_n</f>
        <v/>
      </c>
      <c r="V2287">
        <f>O2287-H2287*LTP3!$D$4/k_n</f>
        <v/>
      </c>
      <c r="W2287">
        <f>((LTP3!$D$5)*((P2287)*(Q2287)-(R2287)*(R2287))-(S2287)*((S2287)*(Q2287)-(R2287)*(T2287))+(T2287)*((S2287)*(R2287)-(P2287)*(T2287)))</f>
        <v/>
      </c>
      <c r="X2287">
        <f>IF(ABS(W2287)&gt;1E-12,((LTP3!$D$6)*((P2287)*(Q2287)-(R2287)*(R2287))-(S2287)*((U2287)*(Q2287)-(R2287)*(V2287))+(T2287)*((U2287)*(R2287)-(P2287)*(V2287)))/W2287,0)</f>
        <v/>
      </c>
      <c r="Y2287">
        <f>IF(ABS(W2287)&gt;1E-12,((LTP3!$D$5)*((U2287)*(Q2287)-(R2287)*(V2287))-(LTP3!$D$6)*((S2287)*(Q2287)-(R2287)*(T2287))+(T2287)*((S2287)*(V2287)-(U2287)*(T2287)))/W2287,0)</f>
        <v/>
      </c>
      <c r="Z2287">
        <f>IF(ABS(W2287)&gt;1E-12,((LTP3!$D$5)*((P2287)*(V2287)-(U2287)*(R2287))-(S2287)*((S2287)*(V2287)-(U2287)*(T2287))+(LTP3!$D$6)*((S2287)*(R2287)-(P2287)*(T2287)))/W2287,0)</f>
        <v/>
      </c>
      <c r="AA2287">
        <f>LTP3!$D$7-X2287*LTP3!$D$6-Y2287*U2287-Z2287*V2287</f>
        <v/>
      </c>
      <c r="AB2287">
        <f>IF(AND(F2287,ABS(W2287)&gt;1E-12,Y2287&gt;0,Z2287&gt;0),AA2287,1E+300)</f>
        <v/>
      </c>
    </row>
    <row r="2288">
      <c r="A2288">
        <f>$B$3+$B$5*37</f>
        <v/>
      </c>
      <c r="B2288">
        <f>$B$3+$B$5*19</f>
        <v/>
      </c>
      <c r="C2288">
        <f>SUMPRODUCT(Calc!$K$3:$K$22*(Calc!$G$3:$G$22&lt;=A2288))</f>
        <v/>
      </c>
      <c r="D2288">
        <f>SUMPRODUCT(Calc!$K$3:$K$22*(Calc!$G$3:$G$22&gt;A2288)*(Calc!$G$3:$G$22&lt;B2288))</f>
        <v/>
      </c>
      <c r="E2288">
        <f>SUMPRODUCT(Calc!$K$3:$K$22*(Calc!$G$3:$G$22&gt;=B2288))</f>
        <v/>
      </c>
      <c r="F2288">
        <f>AND(k_n&gt;=5,B2288&gt;A2288+1E-9,C2288&gt;=2,D2288&gt;=1,E2288&gt;=2)</f>
        <v/>
      </c>
      <c r="G2288">
        <f>SUMPRODUCT(Calc!$K$3:$K$22*(Calc!$G$3:$G$22&gt;A2288)*(Calc!$G$3:$G$22-A2288))</f>
        <v/>
      </c>
      <c r="H2288">
        <f>SUMPRODUCT(Calc!$K$3:$K$22*(Calc!$G$3:$G$22&gt;B2288)*(Calc!$G$3:$G$22-B2288))</f>
        <v/>
      </c>
      <c r="I2288">
        <f>SUMPRODUCT(Calc!$K$3:$K$22*(Calc!$G$3:$G$22&gt;A2288)*(Calc!$G$3:$G$22-A2288)^2)</f>
        <v/>
      </c>
      <c r="J2288">
        <f>SUMPRODUCT(Calc!$K$3:$K$22*(Calc!$G$3:$G$22&gt;B2288)*(Calc!$G$3:$G$22-B2288)^2)</f>
        <v/>
      </c>
      <c r="K2288">
        <f>SUMPRODUCT(Calc!$K$3:$K$22*(Calc!$G$3:$G$22&gt;A2288)*(Calc!$G$3:$G$22-A2288)*(Calc!$G$3:$G$22&gt;B2288)*(Calc!$G$3:$G$22-B2288))</f>
        <v/>
      </c>
      <c r="L2288">
        <f>SUMPRODUCT(Calc!$K$3:$K$22*(Calc!$G$3:$G$22&gt;A2288)*(Calc!$G$3:$G$22-A2288)*Calc!$G$3:$G$22)</f>
        <v/>
      </c>
      <c r="M2288">
        <f>SUMPRODUCT(Calc!$K$3:$K$22*(Calc!$G$3:$G$22&gt;B2288)*(Calc!$G$3:$G$22-B2288)*Calc!$G$3:$G$22)</f>
        <v/>
      </c>
      <c r="N2288">
        <f>SUMPRODUCT(Calc!$K$3:$K$22*(Calc!$G$3:$G$22&gt;A2288)*(Calc!$G$3:$G$22-A2288)*Calc!$I$3:$I$22)</f>
        <v/>
      </c>
      <c r="O2288">
        <f>SUMPRODUCT(Calc!$K$3:$K$22*(Calc!$G$3:$G$22&gt;B2288)*(Calc!$G$3:$G$22-B2288)*Calc!$I$3:$I$22)</f>
        <v/>
      </c>
      <c r="P2288">
        <f>I2288-G2288^2/k_n</f>
        <v/>
      </c>
      <c r="Q2288">
        <f>J2288-H2288^2/k_n</f>
        <v/>
      </c>
      <c r="R2288">
        <f>K2288-G2288*H2288/k_n</f>
        <v/>
      </c>
      <c r="S2288">
        <f>L2288-LTP3!$D$3*G2288/k_n</f>
        <v/>
      </c>
      <c r="T2288">
        <f>M2288-LTP3!$D$3*H2288/k_n</f>
        <v/>
      </c>
      <c r="U2288">
        <f>N2288-G2288*LTP3!$D$4/k_n</f>
        <v/>
      </c>
      <c r="V2288">
        <f>O2288-H2288*LTP3!$D$4/k_n</f>
        <v/>
      </c>
      <c r="W2288">
        <f>((LTP3!$D$5)*((P2288)*(Q2288)-(R2288)*(R2288))-(S2288)*((S2288)*(Q2288)-(R2288)*(T2288))+(T2288)*((S2288)*(R2288)-(P2288)*(T2288)))</f>
        <v/>
      </c>
      <c r="X2288">
        <f>IF(ABS(W2288)&gt;1E-12,((LTP3!$D$6)*((P2288)*(Q2288)-(R2288)*(R2288))-(S2288)*((U2288)*(Q2288)-(R2288)*(V2288))+(T2288)*((U2288)*(R2288)-(P2288)*(V2288)))/W2288,0)</f>
        <v/>
      </c>
      <c r="Y2288">
        <f>IF(ABS(W2288)&gt;1E-12,((LTP3!$D$5)*((U2288)*(Q2288)-(R2288)*(V2288))-(LTP3!$D$6)*((S2288)*(Q2288)-(R2288)*(T2288))+(T2288)*((S2288)*(V2288)-(U2288)*(T2288)))/W2288,0)</f>
        <v/>
      </c>
      <c r="Z2288">
        <f>IF(ABS(W2288)&gt;1E-12,((LTP3!$D$5)*((P2288)*(V2288)-(U2288)*(R2288))-(S2288)*((S2288)*(V2288)-(U2288)*(T2288))+(LTP3!$D$6)*((S2288)*(R2288)-(P2288)*(T2288)))/W2288,0)</f>
        <v/>
      </c>
      <c r="AA2288">
        <f>LTP3!$D$7-X2288*LTP3!$D$6-Y2288*U2288-Z2288*V2288</f>
        <v/>
      </c>
      <c r="AB2288">
        <f>IF(AND(F2288,ABS(W2288)&gt;1E-12,Y2288&gt;0,Z2288&gt;0),AA2288,1E+300)</f>
        <v/>
      </c>
    </row>
    <row r="2289">
      <c r="A2289">
        <f>$B$3+$B$5*37</f>
        <v/>
      </c>
      <c r="B2289">
        <f>$B$3+$B$5*20</f>
        <v/>
      </c>
      <c r="C2289">
        <f>SUMPRODUCT(Calc!$K$3:$K$22*(Calc!$G$3:$G$22&lt;=A2289))</f>
        <v/>
      </c>
      <c r="D2289">
        <f>SUMPRODUCT(Calc!$K$3:$K$22*(Calc!$G$3:$G$22&gt;A2289)*(Calc!$G$3:$G$22&lt;B2289))</f>
        <v/>
      </c>
      <c r="E2289">
        <f>SUMPRODUCT(Calc!$K$3:$K$22*(Calc!$G$3:$G$22&gt;=B2289))</f>
        <v/>
      </c>
      <c r="F2289">
        <f>AND(k_n&gt;=5,B2289&gt;A2289+1E-9,C2289&gt;=2,D2289&gt;=1,E2289&gt;=2)</f>
        <v/>
      </c>
      <c r="G2289">
        <f>SUMPRODUCT(Calc!$K$3:$K$22*(Calc!$G$3:$G$22&gt;A2289)*(Calc!$G$3:$G$22-A2289))</f>
        <v/>
      </c>
      <c r="H2289">
        <f>SUMPRODUCT(Calc!$K$3:$K$22*(Calc!$G$3:$G$22&gt;B2289)*(Calc!$G$3:$G$22-B2289))</f>
        <v/>
      </c>
      <c r="I2289">
        <f>SUMPRODUCT(Calc!$K$3:$K$22*(Calc!$G$3:$G$22&gt;A2289)*(Calc!$G$3:$G$22-A2289)^2)</f>
        <v/>
      </c>
      <c r="J2289">
        <f>SUMPRODUCT(Calc!$K$3:$K$22*(Calc!$G$3:$G$22&gt;B2289)*(Calc!$G$3:$G$22-B2289)^2)</f>
        <v/>
      </c>
      <c r="K2289">
        <f>SUMPRODUCT(Calc!$K$3:$K$22*(Calc!$G$3:$G$22&gt;A2289)*(Calc!$G$3:$G$22-A2289)*(Calc!$G$3:$G$22&gt;B2289)*(Calc!$G$3:$G$22-B2289))</f>
        <v/>
      </c>
      <c r="L2289">
        <f>SUMPRODUCT(Calc!$K$3:$K$22*(Calc!$G$3:$G$22&gt;A2289)*(Calc!$G$3:$G$22-A2289)*Calc!$G$3:$G$22)</f>
        <v/>
      </c>
      <c r="M2289">
        <f>SUMPRODUCT(Calc!$K$3:$K$22*(Calc!$G$3:$G$22&gt;B2289)*(Calc!$G$3:$G$22-B2289)*Calc!$G$3:$G$22)</f>
        <v/>
      </c>
      <c r="N2289">
        <f>SUMPRODUCT(Calc!$K$3:$K$22*(Calc!$G$3:$G$22&gt;A2289)*(Calc!$G$3:$G$22-A2289)*Calc!$I$3:$I$22)</f>
        <v/>
      </c>
      <c r="O2289">
        <f>SUMPRODUCT(Calc!$K$3:$K$22*(Calc!$G$3:$G$22&gt;B2289)*(Calc!$G$3:$G$22-B2289)*Calc!$I$3:$I$22)</f>
        <v/>
      </c>
      <c r="P2289">
        <f>I2289-G2289^2/k_n</f>
        <v/>
      </c>
      <c r="Q2289">
        <f>J2289-H2289^2/k_n</f>
        <v/>
      </c>
      <c r="R2289">
        <f>K2289-G2289*H2289/k_n</f>
        <v/>
      </c>
      <c r="S2289">
        <f>L2289-LTP3!$D$3*G2289/k_n</f>
        <v/>
      </c>
      <c r="T2289">
        <f>M2289-LTP3!$D$3*H2289/k_n</f>
        <v/>
      </c>
      <c r="U2289">
        <f>N2289-G2289*LTP3!$D$4/k_n</f>
        <v/>
      </c>
      <c r="V2289">
        <f>O2289-H2289*LTP3!$D$4/k_n</f>
        <v/>
      </c>
      <c r="W2289">
        <f>((LTP3!$D$5)*((P2289)*(Q2289)-(R2289)*(R2289))-(S2289)*((S2289)*(Q2289)-(R2289)*(T2289))+(T2289)*((S2289)*(R2289)-(P2289)*(T2289)))</f>
        <v/>
      </c>
      <c r="X2289">
        <f>IF(ABS(W2289)&gt;1E-12,((LTP3!$D$6)*((P2289)*(Q2289)-(R2289)*(R2289))-(S2289)*((U2289)*(Q2289)-(R2289)*(V2289))+(T2289)*((U2289)*(R2289)-(P2289)*(V2289)))/W2289,0)</f>
        <v/>
      </c>
      <c r="Y2289">
        <f>IF(ABS(W2289)&gt;1E-12,((LTP3!$D$5)*((U2289)*(Q2289)-(R2289)*(V2289))-(LTP3!$D$6)*((S2289)*(Q2289)-(R2289)*(T2289))+(T2289)*((S2289)*(V2289)-(U2289)*(T2289)))/W2289,0)</f>
        <v/>
      </c>
      <c r="Z2289">
        <f>IF(ABS(W2289)&gt;1E-12,((LTP3!$D$5)*((P2289)*(V2289)-(U2289)*(R2289))-(S2289)*((S2289)*(V2289)-(U2289)*(T2289))+(LTP3!$D$6)*((S2289)*(R2289)-(P2289)*(T2289)))/W2289,0)</f>
        <v/>
      </c>
      <c r="AA2289">
        <f>LTP3!$D$7-X2289*LTP3!$D$6-Y2289*U2289-Z2289*V2289</f>
        <v/>
      </c>
      <c r="AB2289">
        <f>IF(AND(F2289,ABS(W2289)&gt;1E-12,Y2289&gt;0,Z2289&gt;0),AA2289,1E+300)</f>
        <v/>
      </c>
    </row>
    <row r="2290">
      <c r="A2290">
        <f>$B$3+$B$5*37</f>
        <v/>
      </c>
      <c r="B2290">
        <f>$B$3+$B$5*21</f>
        <v/>
      </c>
      <c r="C2290">
        <f>SUMPRODUCT(Calc!$K$3:$K$22*(Calc!$G$3:$G$22&lt;=A2290))</f>
        <v/>
      </c>
      <c r="D2290">
        <f>SUMPRODUCT(Calc!$K$3:$K$22*(Calc!$G$3:$G$22&gt;A2290)*(Calc!$G$3:$G$22&lt;B2290))</f>
        <v/>
      </c>
      <c r="E2290">
        <f>SUMPRODUCT(Calc!$K$3:$K$22*(Calc!$G$3:$G$22&gt;=B2290))</f>
        <v/>
      </c>
      <c r="F2290">
        <f>AND(k_n&gt;=5,B2290&gt;A2290+1E-9,C2290&gt;=2,D2290&gt;=1,E2290&gt;=2)</f>
        <v/>
      </c>
      <c r="G2290">
        <f>SUMPRODUCT(Calc!$K$3:$K$22*(Calc!$G$3:$G$22&gt;A2290)*(Calc!$G$3:$G$22-A2290))</f>
        <v/>
      </c>
      <c r="H2290">
        <f>SUMPRODUCT(Calc!$K$3:$K$22*(Calc!$G$3:$G$22&gt;B2290)*(Calc!$G$3:$G$22-B2290))</f>
        <v/>
      </c>
      <c r="I2290">
        <f>SUMPRODUCT(Calc!$K$3:$K$22*(Calc!$G$3:$G$22&gt;A2290)*(Calc!$G$3:$G$22-A2290)^2)</f>
        <v/>
      </c>
      <c r="J2290">
        <f>SUMPRODUCT(Calc!$K$3:$K$22*(Calc!$G$3:$G$22&gt;B2290)*(Calc!$G$3:$G$22-B2290)^2)</f>
        <v/>
      </c>
      <c r="K2290">
        <f>SUMPRODUCT(Calc!$K$3:$K$22*(Calc!$G$3:$G$22&gt;A2290)*(Calc!$G$3:$G$22-A2290)*(Calc!$G$3:$G$22&gt;B2290)*(Calc!$G$3:$G$22-B2290))</f>
        <v/>
      </c>
      <c r="L2290">
        <f>SUMPRODUCT(Calc!$K$3:$K$22*(Calc!$G$3:$G$22&gt;A2290)*(Calc!$G$3:$G$22-A2290)*Calc!$G$3:$G$22)</f>
        <v/>
      </c>
      <c r="M2290">
        <f>SUMPRODUCT(Calc!$K$3:$K$22*(Calc!$G$3:$G$22&gt;B2290)*(Calc!$G$3:$G$22-B2290)*Calc!$G$3:$G$22)</f>
        <v/>
      </c>
      <c r="N2290">
        <f>SUMPRODUCT(Calc!$K$3:$K$22*(Calc!$G$3:$G$22&gt;A2290)*(Calc!$G$3:$G$22-A2290)*Calc!$I$3:$I$22)</f>
        <v/>
      </c>
      <c r="O2290">
        <f>SUMPRODUCT(Calc!$K$3:$K$22*(Calc!$G$3:$G$22&gt;B2290)*(Calc!$G$3:$G$22-B2290)*Calc!$I$3:$I$22)</f>
        <v/>
      </c>
      <c r="P2290">
        <f>I2290-G2290^2/k_n</f>
        <v/>
      </c>
      <c r="Q2290">
        <f>J2290-H2290^2/k_n</f>
        <v/>
      </c>
      <c r="R2290">
        <f>K2290-G2290*H2290/k_n</f>
        <v/>
      </c>
      <c r="S2290">
        <f>L2290-LTP3!$D$3*G2290/k_n</f>
        <v/>
      </c>
      <c r="T2290">
        <f>M2290-LTP3!$D$3*H2290/k_n</f>
        <v/>
      </c>
      <c r="U2290">
        <f>N2290-G2290*LTP3!$D$4/k_n</f>
        <v/>
      </c>
      <c r="V2290">
        <f>O2290-H2290*LTP3!$D$4/k_n</f>
        <v/>
      </c>
      <c r="W2290">
        <f>((LTP3!$D$5)*((P2290)*(Q2290)-(R2290)*(R2290))-(S2290)*((S2290)*(Q2290)-(R2290)*(T2290))+(T2290)*((S2290)*(R2290)-(P2290)*(T2290)))</f>
        <v/>
      </c>
      <c r="X2290">
        <f>IF(ABS(W2290)&gt;1E-12,((LTP3!$D$6)*((P2290)*(Q2290)-(R2290)*(R2290))-(S2290)*((U2290)*(Q2290)-(R2290)*(V2290))+(T2290)*((U2290)*(R2290)-(P2290)*(V2290)))/W2290,0)</f>
        <v/>
      </c>
      <c r="Y2290">
        <f>IF(ABS(W2290)&gt;1E-12,((LTP3!$D$5)*((U2290)*(Q2290)-(R2290)*(V2290))-(LTP3!$D$6)*((S2290)*(Q2290)-(R2290)*(T2290))+(T2290)*((S2290)*(V2290)-(U2290)*(T2290)))/W2290,0)</f>
        <v/>
      </c>
      <c r="Z2290">
        <f>IF(ABS(W2290)&gt;1E-12,((LTP3!$D$5)*((P2290)*(V2290)-(U2290)*(R2290))-(S2290)*((S2290)*(V2290)-(U2290)*(T2290))+(LTP3!$D$6)*((S2290)*(R2290)-(P2290)*(T2290)))/W2290,0)</f>
        <v/>
      </c>
      <c r="AA2290">
        <f>LTP3!$D$7-X2290*LTP3!$D$6-Y2290*U2290-Z2290*V2290</f>
        <v/>
      </c>
      <c r="AB2290">
        <f>IF(AND(F2290,ABS(W2290)&gt;1E-12,Y2290&gt;0,Z2290&gt;0),AA2290,1E+300)</f>
        <v/>
      </c>
    </row>
    <row r="2291">
      <c r="A2291">
        <f>$B$3+$B$5*37</f>
        <v/>
      </c>
      <c r="B2291">
        <f>$B$3+$B$5*22</f>
        <v/>
      </c>
      <c r="C2291">
        <f>SUMPRODUCT(Calc!$K$3:$K$22*(Calc!$G$3:$G$22&lt;=A2291))</f>
        <v/>
      </c>
      <c r="D2291">
        <f>SUMPRODUCT(Calc!$K$3:$K$22*(Calc!$G$3:$G$22&gt;A2291)*(Calc!$G$3:$G$22&lt;B2291))</f>
        <v/>
      </c>
      <c r="E2291">
        <f>SUMPRODUCT(Calc!$K$3:$K$22*(Calc!$G$3:$G$22&gt;=B2291))</f>
        <v/>
      </c>
      <c r="F2291">
        <f>AND(k_n&gt;=5,B2291&gt;A2291+1E-9,C2291&gt;=2,D2291&gt;=1,E2291&gt;=2)</f>
        <v/>
      </c>
      <c r="G2291">
        <f>SUMPRODUCT(Calc!$K$3:$K$22*(Calc!$G$3:$G$22&gt;A2291)*(Calc!$G$3:$G$22-A2291))</f>
        <v/>
      </c>
      <c r="H2291">
        <f>SUMPRODUCT(Calc!$K$3:$K$22*(Calc!$G$3:$G$22&gt;B2291)*(Calc!$G$3:$G$22-B2291))</f>
        <v/>
      </c>
      <c r="I2291">
        <f>SUMPRODUCT(Calc!$K$3:$K$22*(Calc!$G$3:$G$22&gt;A2291)*(Calc!$G$3:$G$22-A2291)^2)</f>
        <v/>
      </c>
      <c r="J2291">
        <f>SUMPRODUCT(Calc!$K$3:$K$22*(Calc!$G$3:$G$22&gt;B2291)*(Calc!$G$3:$G$22-B2291)^2)</f>
        <v/>
      </c>
      <c r="K2291">
        <f>SUMPRODUCT(Calc!$K$3:$K$22*(Calc!$G$3:$G$22&gt;A2291)*(Calc!$G$3:$G$22-A2291)*(Calc!$G$3:$G$22&gt;B2291)*(Calc!$G$3:$G$22-B2291))</f>
        <v/>
      </c>
      <c r="L2291">
        <f>SUMPRODUCT(Calc!$K$3:$K$22*(Calc!$G$3:$G$22&gt;A2291)*(Calc!$G$3:$G$22-A2291)*Calc!$G$3:$G$22)</f>
        <v/>
      </c>
      <c r="M2291">
        <f>SUMPRODUCT(Calc!$K$3:$K$22*(Calc!$G$3:$G$22&gt;B2291)*(Calc!$G$3:$G$22-B2291)*Calc!$G$3:$G$22)</f>
        <v/>
      </c>
      <c r="N2291">
        <f>SUMPRODUCT(Calc!$K$3:$K$22*(Calc!$G$3:$G$22&gt;A2291)*(Calc!$G$3:$G$22-A2291)*Calc!$I$3:$I$22)</f>
        <v/>
      </c>
      <c r="O2291">
        <f>SUMPRODUCT(Calc!$K$3:$K$22*(Calc!$G$3:$G$22&gt;B2291)*(Calc!$G$3:$G$22-B2291)*Calc!$I$3:$I$22)</f>
        <v/>
      </c>
      <c r="P2291">
        <f>I2291-G2291^2/k_n</f>
        <v/>
      </c>
      <c r="Q2291">
        <f>J2291-H2291^2/k_n</f>
        <v/>
      </c>
      <c r="R2291">
        <f>K2291-G2291*H2291/k_n</f>
        <v/>
      </c>
      <c r="S2291">
        <f>L2291-LTP3!$D$3*G2291/k_n</f>
        <v/>
      </c>
      <c r="T2291">
        <f>M2291-LTP3!$D$3*H2291/k_n</f>
        <v/>
      </c>
      <c r="U2291">
        <f>N2291-G2291*LTP3!$D$4/k_n</f>
        <v/>
      </c>
      <c r="V2291">
        <f>O2291-H2291*LTP3!$D$4/k_n</f>
        <v/>
      </c>
      <c r="W2291">
        <f>((LTP3!$D$5)*((P2291)*(Q2291)-(R2291)*(R2291))-(S2291)*((S2291)*(Q2291)-(R2291)*(T2291))+(T2291)*((S2291)*(R2291)-(P2291)*(T2291)))</f>
        <v/>
      </c>
      <c r="X2291">
        <f>IF(ABS(W2291)&gt;1E-12,((LTP3!$D$6)*((P2291)*(Q2291)-(R2291)*(R2291))-(S2291)*((U2291)*(Q2291)-(R2291)*(V2291))+(T2291)*((U2291)*(R2291)-(P2291)*(V2291)))/W2291,0)</f>
        <v/>
      </c>
      <c r="Y2291">
        <f>IF(ABS(W2291)&gt;1E-12,((LTP3!$D$5)*((U2291)*(Q2291)-(R2291)*(V2291))-(LTP3!$D$6)*((S2291)*(Q2291)-(R2291)*(T2291))+(T2291)*((S2291)*(V2291)-(U2291)*(T2291)))/W2291,0)</f>
        <v/>
      </c>
      <c r="Z2291">
        <f>IF(ABS(W2291)&gt;1E-12,((LTP3!$D$5)*((P2291)*(V2291)-(U2291)*(R2291))-(S2291)*((S2291)*(V2291)-(U2291)*(T2291))+(LTP3!$D$6)*((S2291)*(R2291)-(P2291)*(T2291)))/W2291,0)</f>
        <v/>
      </c>
      <c r="AA2291">
        <f>LTP3!$D$7-X2291*LTP3!$D$6-Y2291*U2291-Z2291*V2291</f>
        <v/>
      </c>
      <c r="AB2291">
        <f>IF(AND(F2291,ABS(W2291)&gt;1E-12,Y2291&gt;0,Z2291&gt;0),AA2291,1E+300)</f>
        <v/>
      </c>
    </row>
    <row r="2292">
      <c r="A2292">
        <f>$B$3+$B$5*37</f>
        <v/>
      </c>
      <c r="B2292">
        <f>$B$3+$B$5*23</f>
        <v/>
      </c>
      <c r="C2292">
        <f>SUMPRODUCT(Calc!$K$3:$K$22*(Calc!$G$3:$G$22&lt;=A2292))</f>
        <v/>
      </c>
      <c r="D2292">
        <f>SUMPRODUCT(Calc!$K$3:$K$22*(Calc!$G$3:$G$22&gt;A2292)*(Calc!$G$3:$G$22&lt;B2292))</f>
        <v/>
      </c>
      <c r="E2292">
        <f>SUMPRODUCT(Calc!$K$3:$K$22*(Calc!$G$3:$G$22&gt;=B2292))</f>
        <v/>
      </c>
      <c r="F2292">
        <f>AND(k_n&gt;=5,B2292&gt;A2292+1E-9,C2292&gt;=2,D2292&gt;=1,E2292&gt;=2)</f>
        <v/>
      </c>
      <c r="G2292">
        <f>SUMPRODUCT(Calc!$K$3:$K$22*(Calc!$G$3:$G$22&gt;A2292)*(Calc!$G$3:$G$22-A2292))</f>
        <v/>
      </c>
      <c r="H2292">
        <f>SUMPRODUCT(Calc!$K$3:$K$22*(Calc!$G$3:$G$22&gt;B2292)*(Calc!$G$3:$G$22-B2292))</f>
        <v/>
      </c>
      <c r="I2292">
        <f>SUMPRODUCT(Calc!$K$3:$K$22*(Calc!$G$3:$G$22&gt;A2292)*(Calc!$G$3:$G$22-A2292)^2)</f>
        <v/>
      </c>
      <c r="J2292">
        <f>SUMPRODUCT(Calc!$K$3:$K$22*(Calc!$G$3:$G$22&gt;B2292)*(Calc!$G$3:$G$22-B2292)^2)</f>
        <v/>
      </c>
      <c r="K2292">
        <f>SUMPRODUCT(Calc!$K$3:$K$22*(Calc!$G$3:$G$22&gt;A2292)*(Calc!$G$3:$G$22-A2292)*(Calc!$G$3:$G$22&gt;B2292)*(Calc!$G$3:$G$22-B2292))</f>
        <v/>
      </c>
      <c r="L2292">
        <f>SUMPRODUCT(Calc!$K$3:$K$22*(Calc!$G$3:$G$22&gt;A2292)*(Calc!$G$3:$G$22-A2292)*Calc!$G$3:$G$22)</f>
        <v/>
      </c>
      <c r="M2292">
        <f>SUMPRODUCT(Calc!$K$3:$K$22*(Calc!$G$3:$G$22&gt;B2292)*(Calc!$G$3:$G$22-B2292)*Calc!$G$3:$G$22)</f>
        <v/>
      </c>
      <c r="N2292">
        <f>SUMPRODUCT(Calc!$K$3:$K$22*(Calc!$G$3:$G$22&gt;A2292)*(Calc!$G$3:$G$22-A2292)*Calc!$I$3:$I$22)</f>
        <v/>
      </c>
      <c r="O2292">
        <f>SUMPRODUCT(Calc!$K$3:$K$22*(Calc!$G$3:$G$22&gt;B2292)*(Calc!$G$3:$G$22-B2292)*Calc!$I$3:$I$22)</f>
        <v/>
      </c>
      <c r="P2292">
        <f>I2292-G2292^2/k_n</f>
        <v/>
      </c>
      <c r="Q2292">
        <f>J2292-H2292^2/k_n</f>
        <v/>
      </c>
      <c r="R2292">
        <f>K2292-G2292*H2292/k_n</f>
        <v/>
      </c>
      <c r="S2292">
        <f>L2292-LTP3!$D$3*G2292/k_n</f>
        <v/>
      </c>
      <c r="T2292">
        <f>M2292-LTP3!$D$3*H2292/k_n</f>
        <v/>
      </c>
      <c r="U2292">
        <f>N2292-G2292*LTP3!$D$4/k_n</f>
        <v/>
      </c>
      <c r="V2292">
        <f>O2292-H2292*LTP3!$D$4/k_n</f>
        <v/>
      </c>
      <c r="W2292">
        <f>((LTP3!$D$5)*((P2292)*(Q2292)-(R2292)*(R2292))-(S2292)*((S2292)*(Q2292)-(R2292)*(T2292))+(T2292)*((S2292)*(R2292)-(P2292)*(T2292)))</f>
        <v/>
      </c>
      <c r="X2292">
        <f>IF(ABS(W2292)&gt;1E-12,((LTP3!$D$6)*((P2292)*(Q2292)-(R2292)*(R2292))-(S2292)*((U2292)*(Q2292)-(R2292)*(V2292))+(T2292)*((U2292)*(R2292)-(P2292)*(V2292)))/W2292,0)</f>
        <v/>
      </c>
      <c r="Y2292">
        <f>IF(ABS(W2292)&gt;1E-12,((LTP3!$D$5)*((U2292)*(Q2292)-(R2292)*(V2292))-(LTP3!$D$6)*((S2292)*(Q2292)-(R2292)*(T2292))+(T2292)*((S2292)*(V2292)-(U2292)*(T2292)))/W2292,0)</f>
        <v/>
      </c>
      <c r="Z2292">
        <f>IF(ABS(W2292)&gt;1E-12,((LTP3!$D$5)*((P2292)*(V2292)-(U2292)*(R2292))-(S2292)*((S2292)*(V2292)-(U2292)*(T2292))+(LTP3!$D$6)*((S2292)*(R2292)-(P2292)*(T2292)))/W2292,0)</f>
        <v/>
      </c>
      <c r="AA2292">
        <f>LTP3!$D$7-X2292*LTP3!$D$6-Y2292*U2292-Z2292*V2292</f>
        <v/>
      </c>
      <c r="AB2292">
        <f>IF(AND(F2292,ABS(W2292)&gt;1E-12,Y2292&gt;0,Z2292&gt;0),AA2292,1E+300)</f>
        <v/>
      </c>
    </row>
    <row r="2293">
      <c r="A2293">
        <f>$B$3+$B$5*37</f>
        <v/>
      </c>
      <c r="B2293">
        <f>$B$3+$B$5*24</f>
        <v/>
      </c>
      <c r="C2293">
        <f>SUMPRODUCT(Calc!$K$3:$K$22*(Calc!$G$3:$G$22&lt;=A2293))</f>
        <v/>
      </c>
      <c r="D2293">
        <f>SUMPRODUCT(Calc!$K$3:$K$22*(Calc!$G$3:$G$22&gt;A2293)*(Calc!$G$3:$G$22&lt;B2293))</f>
        <v/>
      </c>
      <c r="E2293">
        <f>SUMPRODUCT(Calc!$K$3:$K$22*(Calc!$G$3:$G$22&gt;=B2293))</f>
        <v/>
      </c>
      <c r="F2293">
        <f>AND(k_n&gt;=5,B2293&gt;A2293+1E-9,C2293&gt;=2,D2293&gt;=1,E2293&gt;=2)</f>
        <v/>
      </c>
      <c r="G2293">
        <f>SUMPRODUCT(Calc!$K$3:$K$22*(Calc!$G$3:$G$22&gt;A2293)*(Calc!$G$3:$G$22-A2293))</f>
        <v/>
      </c>
      <c r="H2293">
        <f>SUMPRODUCT(Calc!$K$3:$K$22*(Calc!$G$3:$G$22&gt;B2293)*(Calc!$G$3:$G$22-B2293))</f>
        <v/>
      </c>
      <c r="I2293">
        <f>SUMPRODUCT(Calc!$K$3:$K$22*(Calc!$G$3:$G$22&gt;A2293)*(Calc!$G$3:$G$22-A2293)^2)</f>
        <v/>
      </c>
      <c r="J2293">
        <f>SUMPRODUCT(Calc!$K$3:$K$22*(Calc!$G$3:$G$22&gt;B2293)*(Calc!$G$3:$G$22-B2293)^2)</f>
        <v/>
      </c>
      <c r="K2293">
        <f>SUMPRODUCT(Calc!$K$3:$K$22*(Calc!$G$3:$G$22&gt;A2293)*(Calc!$G$3:$G$22-A2293)*(Calc!$G$3:$G$22&gt;B2293)*(Calc!$G$3:$G$22-B2293))</f>
        <v/>
      </c>
      <c r="L2293">
        <f>SUMPRODUCT(Calc!$K$3:$K$22*(Calc!$G$3:$G$22&gt;A2293)*(Calc!$G$3:$G$22-A2293)*Calc!$G$3:$G$22)</f>
        <v/>
      </c>
      <c r="M2293">
        <f>SUMPRODUCT(Calc!$K$3:$K$22*(Calc!$G$3:$G$22&gt;B2293)*(Calc!$G$3:$G$22-B2293)*Calc!$G$3:$G$22)</f>
        <v/>
      </c>
      <c r="N2293">
        <f>SUMPRODUCT(Calc!$K$3:$K$22*(Calc!$G$3:$G$22&gt;A2293)*(Calc!$G$3:$G$22-A2293)*Calc!$I$3:$I$22)</f>
        <v/>
      </c>
      <c r="O2293">
        <f>SUMPRODUCT(Calc!$K$3:$K$22*(Calc!$G$3:$G$22&gt;B2293)*(Calc!$G$3:$G$22-B2293)*Calc!$I$3:$I$22)</f>
        <v/>
      </c>
      <c r="P2293">
        <f>I2293-G2293^2/k_n</f>
        <v/>
      </c>
      <c r="Q2293">
        <f>J2293-H2293^2/k_n</f>
        <v/>
      </c>
      <c r="R2293">
        <f>K2293-G2293*H2293/k_n</f>
        <v/>
      </c>
      <c r="S2293">
        <f>L2293-LTP3!$D$3*G2293/k_n</f>
        <v/>
      </c>
      <c r="T2293">
        <f>M2293-LTP3!$D$3*H2293/k_n</f>
        <v/>
      </c>
      <c r="U2293">
        <f>N2293-G2293*LTP3!$D$4/k_n</f>
        <v/>
      </c>
      <c r="V2293">
        <f>O2293-H2293*LTP3!$D$4/k_n</f>
        <v/>
      </c>
      <c r="W2293">
        <f>((LTP3!$D$5)*((P2293)*(Q2293)-(R2293)*(R2293))-(S2293)*((S2293)*(Q2293)-(R2293)*(T2293))+(T2293)*((S2293)*(R2293)-(P2293)*(T2293)))</f>
        <v/>
      </c>
      <c r="X2293">
        <f>IF(ABS(W2293)&gt;1E-12,((LTP3!$D$6)*((P2293)*(Q2293)-(R2293)*(R2293))-(S2293)*((U2293)*(Q2293)-(R2293)*(V2293))+(T2293)*((U2293)*(R2293)-(P2293)*(V2293)))/W2293,0)</f>
        <v/>
      </c>
      <c r="Y2293">
        <f>IF(ABS(W2293)&gt;1E-12,((LTP3!$D$5)*((U2293)*(Q2293)-(R2293)*(V2293))-(LTP3!$D$6)*((S2293)*(Q2293)-(R2293)*(T2293))+(T2293)*((S2293)*(V2293)-(U2293)*(T2293)))/W2293,0)</f>
        <v/>
      </c>
      <c r="Z2293">
        <f>IF(ABS(W2293)&gt;1E-12,((LTP3!$D$5)*((P2293)*(V2293)-(U2293)*(R2293))-(S2293)*((S2293)*(V2293)-(U2293)*(T2293))+(LTP3!$D$6)*((S2293)*(R2293)-(P2293)*(T2293)))/W2293,0)</f>
        <v/>
      </c>
      <c r="AA2293">
        <f>LTP3!$D$7-X2293*LTP3!$D$6-Y2293*U2293-Z2293*V2293</f>
        <v/>
      </c>
      <c r="AB2293">
        <f>IF(AND(F2293,ABS(W2293)&gt;1E-12,Y2293&gt;0,Z2293&gt;0),AA2293,1E+300)</f>
        <v/>
      </c>
    </row>
    <row r="2294">
      <c r="A2294">
        <f>$B$3+$B$5*37</f>
        <v/>
      </c>
      <c r="B2294">
        <f>$B$3+$B$5*25</f>
        <v/>
      </c>
      <c r="C2294">
        <f>SUMPRODUCT(Calc!$K$3:$K$22*(Calc!$G$3:$G$22&lt;=A2294))</f>
        <v/>
      </c>
      <c r="D2294">
        <f>SUMPRODUCT(Calc!$K$3:$K$22*(Calc!$G$3:$G$22&gt;A2294)*(Calc!$G$3:$G$22&lt;B2294))</f>
        <v/>
      </c>
      <c r="E2294">
        <f>SUMPRODUCT(Calc!$K$3:$K$22*(Calc!$G$3:$G$22&gt;=B2294))</f>
        <v/>
      </c>
      <c r="F2294">
        <f>AND(k_n&gt;=5,B2294&gt;A2294+1E-9,C2294&gt;=2,D2294&gt;=1,E2294&gt;=2)</f>
        <v/>
      </c>
      <c r="G2294">
        <f>SUMPRODUCT(Calc!$K$3:$K$22*(Calc!$G$3:$G$22&gt;A2294)*(Calc!$G$3:$G$22-A2294))</f>
        <v/>
      </c>
      <c r="H2294">
        <f>SUMPRODUCT(Calc!$K$3:$K$22*(Calc!$G$3:$G$22&gt;B2294)*(Calc!$G$3:$G$22-B2294))</f>
        <v/>
      </c>
      <c r="I2294">
        <f>SUMPRODUCT(Calc!$K$3:$K$22*(Calc!$G$3:$G$22&gt;A2294)*(Calc!$G$3:$G$22-A2294)^2)</f>
        <v/>
      </c>
      <c r="J2294">
        <f>SUMPRODUCT(Calc!$K$3:$K$22*(Calc!$G$3:$G$22&gt;B2294)*(Calc!$G$3:$G$22-B2294)^2)</f>
        <v/>
      </c>
      <c r="K2294">
        <f>SUMPRODUCT(Calc!$K$3:$K$22*(Calc!$G$3:$G$22&gt;A2294)*(Calc!$G$3:$G$22-A2294)*(Calc!$G$3:$G$22&gt;B2294)*(Calc!$G$3:$G$22-B2294))</f>
        <v/>
      </c>
      <c r="L2294">
        <f>SUMPRODUCT(Calc!$K$3:$K$22*(Calc!$G$3:$G$22&gt;A2294)*(Calc!$G$3:$G$22-A2294)*Calc!$G$3:$G$22)</f>
        <v/>
      </c>
      <c r="M2294">
        <f>SUMPRODUCT(Calc!$K$3:$K$22*(Calc!$G$3:$G$22&gt;B2294)*(Calc!$G$3:$G$22-B2294)*Calc!$G$3:$G$22)</f>
        <v/>
      </c>
      <c r="N2294">
        <f>SUMPRODUCT(Calc!$K$3:$K$22*(Calc!$G$3:$G$22&gt;A2294)*(Calc!$G$3:$G$22-A2294)*Calc!$I$3:$I$22)</f>
        <v/>
      </c>
      <c r="O2294">
        <f>SUMPRODUCT(Calc!$K$3:$K$22*(Calc!$G$3:$G$22&gt;B2294)*(Calc!$G$3:$G$22-B2294)*Calc!$I$3:$I$22)</f>
        <v/>
      </c>
      <c r="P2294">
        <f>I2294-G2294^2/k_n</f>
        <v/>
      </c>
      <c r="Q2294">
        <f>J2294-H2294^2/k_n</f>
        <v/>
      </c>
      <c r="R2294">
        <f>K2294-G2294*H2294/k_n</f>
        <v/>
      </c>
      <c r="S2294">
        <f>L2294-LTP3!$D$3*G2294/k_n</f>
        <v/>
      </c>
      <c r="T2294">
        <f>M2294-LTP3!$D$3*H2294/k_n</f>
        <v/>
      </c>
      <c r="U2294">
        <f>N2294-G2294*LTP3!$D$4/k_n</f>
        <v/>
      </c>
      <c r="V2294">
        <f>O2294-H2294*LTP3!$D$4/k_n</f>
        <v/>
      </c>
      <c r="W2294">
        <f>((LTP3!$D$5)*((P2294)*(Q2294)-(R2294)*(R2294))-(S2294)*((S2294)*(Q2294)-(R2294)*(T2294))+(T2294)*((S2294)*(R2294)-(P2294)*(T2294)))</f>
        <v/>
      </c>
      <c r="X2294">
        <f>IF(ABS(W2294)&gt;1E-12,((LTP3!$D$6)*((P2294)*(Q2294)-(R2294)*(R2294))-(S2294)*((U2294)*(Q2294)-(R2294)*(V2294))+(T2294)*((U2294)*(R2294)-(P2294)*(V2294)))/W2294,0)</f>
        <v/>
      </c>
      <c r="Y2294">
        <f>IF(ABS(W2294)&gt;1E-12,((LTP3!$D$5)*((U2294)*(Q2294)-(R2294)*(V2294))-(LTP3!$D$6)*((S2294)*(Q2294)-(R2294)*(T2294))+(T2294)*((S2294)*(V2294)-(U2294)*(T2294)))/W2294,0)</f>
        <v/>
      </c>
      <c r="Z2294">
        <f>IF(ABS(W2294)&gt;1E-12,((LTP3!$D$5)*((P2294)*(V2294)-(U2294)*(R2294))-(S2294)*((S2294)*(V2294)-(U2294)*(T2294))+(LTP3!$D$6)*((S2294)*(R2294)-(P2294)*(T2294)))/W2294,0)</f>
        <v/>
      </c>
      <c r="AA2294">
        <f>LTP3!$D$7-X2294*LTP3!$D$6-Y2294*U2294-Z2294*V2294</f>
        <v/>
      </c>
      <c r="AB2294">
        <f>IF(AND(F2294,ABS(W2294)&gt;1E-12,Y2294&gt;0,Z2294&gt;0),AA2294,1E+300)</f>
        <v/>
      </c>
    </row>
    <row r="2295">
      <c r="A2295">
        <f>$B$3+$B$5*37</f>
        <v/>
      </c>
      <c r="B2295">
        <f>$B$3+$B$5*26</f>
        <v/>
      </c>
      <c r="C2295">
        <f>SUMPRODUCT(Calc!$K$3:$K$22*(Calc!$G$3:$G$22&lt;=A2295))</f>
        <v/>
      </c>
      <c r="D2295">
        <f>SUMPRODUCT(Calc!$K$3:$K$22*(Calc!$G$3:$G$22&gt;A2295)*(Calc!$G$3:$G$22&lt;B2295))</f>
        <v/>
      </c>
      <c r="E2295">
        <f>SUMPRODUCT(Calc!$K$3:$K$22*(Calc!$G$3:$G$22&gt;=B2295))</f>
        <v/>
      </c>
      <c r="F2295">
        <f>AND(k_n&gt;=5,B2295&gt;A2295+1E-9,C2295&gt;=2,D2295&gt;=1,E2295&gt;=2)</f>
        <v/>
      </c>
      <c r="G2295">
        <f>SUMPRODUCT(Calc!$K$3:$K$22*(Calc!$G$3:$G$22&gt;A2295)*(Calc!$G$3:$G$22-A2295))</f>
        <v/>
      </c>
      <c r="H2295">
        <f>SUMPRODUCT(Calc!$K$3:$K$22*(Calc!$G$3:$G$22&gt;B2295)*(Calc!$G$3:$G$22-B2295))</f>
        <v/>
      </c>
      <c r="I2295">
        <f>SUMPRODUCT(Calc!$K$3:$K$22*(Calc!$G$3:$G$22&gt;A2295)*(Calc!$G$3:$G$22-A2295)^2)</f>
        <v/>
      </c>
      <c r="J2295">
        <f>SUMPRODUCT(Calc!$K$3:$K$22*(Calc!$G$3:$G$22&gt;B2295)*(Calc!$G$3:$G$22-B2295)^2)</f>
        <v/>
      </c>
      <c r="K2295">
        <f>SUMPRODUCT(Calc!$K$3:$K$22*(Calc!$G$3:$G$22&gt;A2295)*(Calc!$G$3:$G$22-A2295)*(Calc!$G$3:$G$22&gt;B2295)*(Calc!$G$3:$G$22-B2295))</f>
        <v/>
      </c>
      <c r="L2295">
        <f>SUMPRODUCT(Calc!$K$3:$K$22*(Calc!$G$3:$G$22&gt;A2295)*(Calc!$G$3:$G$22-A2295)*Calc!$G$3:$G$22)</f>
        <v/>
      </c>
      <c r="M2295">
        <f>SUMPRODUCT(Calc!$K$3:$K$22*(Calc!$G$3:$G$22&gt;B2295)*(Calc!$G$3:$G$22-B2295)*Calc!$G$3:$G$22)</f>
        <v/>
      </c>
      <c r="N2295">
        <f>SUMPRODUCT(Calc!$K$3:$K$22*(Calc!$G$3:$G$22&gt;A2295)*(Calc!$G$3:$G$22-A2295)*Calc!$I$3:$I$22)</f>
        <v/>
      </c>
      <c r="O2295">
        <f>SUMPRODUCT(Calc!$K$3:$K$22*(Calc!$G$3:$G$22&gt;B2295)*(Calc!$G$3:$G$22-B2295)*Calc!$I$3:$I$22)</f>
        <v/>
      </c>
      <c r="P2295">
        <f>I2295-G2295^2/k_n</f>
        <v/>
      </c>
      <c r="Q2295">
        <f>J2295-H2295^2/k_n</f>
        <v/>
      </c>
      <c r="R2295">
        <f>K2295-G2295*H2295/k_n</f>
        <v/>
      </c>
      <c r="S2295">
        <f>L2295-LTP3!$D$3*G2295/k_n</f>
        <v/>
      </c>
      <c r="T2295">
        <f>M2295-LTP3!$D$3*H2295/k_n</f>
        <v/>
      </c>
      <c r="U2295">
        <f>N2295-G2295*LTP3!$D$4/k_n</f>
        <v/>
      </c>
      <c r="V2295">
        <f>O2295-H2295*LTP3!$D$4/k_n</f>
        <v/>
      </c>
      <c r="W2295">
        <f>((LTP3!$D$5)*((P2295)*(Q2295)-(R2295)*(R2295))-(S2295)*((S2295)*(Q2295)-(R2295)*(T2295))+(T2295)*((S2295)*(R2295)-(P2295)*(T2295)))</f>
        <v/>
      </c>
      <c r="X2295">
        <f>IF(ABS(W2295)&gt;1E-12,((LTP3!$D$6)*((P2295)*(Q2295)-(R2295)*(R2295))-(S2295)*((U2295)*(Q2295)-(R2295)*(V2295))+(T2295)*((U2295)*(R2295)-(P2295)*(V2295)))/W2295,0)</f>
        <v/>
      </c>
      <c r="Y2295">
        <f>IF(ABS(W2295)&gt;1E-12,((LTP3!$D$5)*((U2295)*(Q2295)-(R2295)*(V2295))-(LTP3!$D$6)*((S2295)*(Q2295)-(R2295)*(T2295))+(T2295)*((S2295)*(V2295)-(U2295)*(T2295)))/W2295,0)</f>
        <v/>
      </c>
      <c r="Z2295">
        <f>IF(ABS(W2295)&gt;1E-12,((LTP3!$D$5)*((P2295)*(V2295)-(U2295)*(R2295))-(S2295)*((S2295)*(V2295)-(U2295)*(T2295))+(LTP3!$D$6)*((S2295)*(R2295)-(P2295)*(T2295)))/W2295,0)</f>
        <v/>
      </c>
      <c r="AA2295">
        <f>LTP3!$D$7-X2295*LTP3!$D$6-Y2295*U2295-Z2295*V2295</f>
        <v/>
      </c>
      <c r="AB2295">
        <f>IF(AND(F2295,ABS(W2295)&gt;1E-12,Y2295&gt;0,Z2295&gt;0),AA2295,1E+300)</f>
        <v/>
      </c>
    </row>
    <row r="2296">
      <c r="A2296">
        <f>$B$3+$B$5*37</f>
        <v/>
      </c>
      <c r="B2296">
        <f>$B$3+$B$5*27</f>
        <v/>
      </c>
      <c r="C2296">
        <f>SUMPRODUCT(Calc!$K$3:$K$22*(Calc!$G$3:$G$22&lt;=A2296))</f>
        <v/>
      </c>
      <c r="D2296">
        <f>SUMPRODUCT(Calc!$K$3:$K$22*(Calc!$G$3:$G$22&gt;A2296)*(Calc!$G$3:$G$22&lt;B2296))</f>
        <v/>
      </c>
      <c r="E2296">
        <f>SUMPRODUCT(Calc!$K$3:$K$22*(Calc!$G$3:$G$22&gt;=B2296))</f>
        <v/>
      </c>
      <c r="F2296">
        <f>AND(k_n&gt;=5,B2296&gt;A2296+1E-9,C2296&gt;=2,D2296&gt;=1,E2296&gt;=2)</f>
        <v/>
      </c>
      <c r="G2296">
        <f>SUMPRODUCT(Calc!$K$3:$K$22*(Calc!$G$3:$G$22&gt;A2296)*(Calc!$G$3:$G$22-A2296))</f>
        <v/>
      </c>
      <c r="H2296">
        <f>SUMPRODUCT(Calc!$K$3:$K$22*(Calc!$G$3:$G$22&gt;B2296)*(Calc!$G$3:$G$22-B2296))</f>
        <v/>
      </c>
      <c r="I2296">
        <f>SUMPRODUCT(Calc!$K$3:$K$22*(Calc!$G$3:$G$22&gt;A2296)*(Calc!$G$3:$G$22-A2296)^2)</f>
        <v/>
      </c>
      <c r="J2296">
        <f>SUMPRODUCT(Calc!$K$3:$K$22*(Calc!$G$3:$G$22&gt;B2296)*(Calc!$G$3:$G$22-B2296)^2)</f>
        <v/>
      </c>
      <c r="K2296">
        <f>SUMPRODUCT(Calc!$K$3:$K$22*(Calc!$G$3:$G$22&gt;A2296)*(Calc!$G$3:$G$22-A2296)*(Calc!$G$3:$G$22&gt;B2296)*(Calc!$G$3:$G$22-B2296))</f>
        <v/>
      </c>
      <c r="L2296">
        <f>SUMPRODUCT(Calc!$K$3:$K$22*(Calc!$G$3:$G$22&gt;A2296)*(Calc!$G$3:$G$22-A2296)*Calc!$G$3:$G$22)</f>
        <v/>
      </c>
      <c r="M2296">
        <f>SUMPRODUCT(Calc!$K$3:$K$22*(Calc!$G$3:$G$22&gt;B2296)*(Calc!$G$3:$G$22-B2296)*Calc!$G$3:$G$22)</f>
        <v/>
      </c>
      <c r="N2296">
        <f>SUMPRODUCT(Calc!$K$3:$K$22*(Calc!$G$3:$G$22&gt;A2296)*(Calc!$G$3:$G$22-A2296)*Calc!$I$3:$I$22)</f>
        <v/>
      </c>
      <c r="O2296">
        <f>SUMPRODUCT(Calc!$K$3:$K$22*(Calc!$G$3:$G$22&gt;B2296)*(Calc!$G$3:$G$22-B2296)*Calc!$I$3:$I$22)</f>
        <v/>
      </c>
      <c r="P2296">
        <f>I2296-G2296^2/k_n</f>
        <v/>
      </c>
      <c r="Q2296">
        <f>J2296-H2296^2/k_n</f>
        <v/>
      </c>
      <c r="R2296">
        <f>K2296-G2296*H2296/k_n</f>
        <v/>
      </c>
      <c r="S2296">
        <f>L2296-LTP3!$D$3*G2296/k_n</f>
        <v/>
      </c>
      <c r="T2296">
        <f>M2296-LTP3!$D$3*H2296/k_n</f>
        <v/>
      </c>
      <c r="U2296">
        <f>N2296-G2296*LTP3!$D$4/k_n</f>
        <v/>
      </c>
      <c r="V2296">
        <f>O2296-H2296*LTP3!$D$4/k_n</f>
        <v/>
      </c>
      <c r="W2296">
        <f>((LTP3!$D$5)*((P2296)*(Q2296)-(R2296)*(R2296))-(S2296)*((S2296)*(Q2296)-(R2296)*(T2296))+(T2296)*((S2296)*(R2296)-(P2296)*(T2296)))</f>
        <v/>
      </c>
      <c r="X2296">
        <f>IF(ABS(W2296)&gt;1E-12,((LTP3!$D$6)*((P2296)*(Q2296)-(R2296)*(R2296))-(S2296)*((U2296)*(Q2296)-(R2296)*(V2296))+(T2296)*((U2296)*(R2296)-(P2296)*(V2296)))/W2296,0)</f>
        <v/>
      </c>
      <c r="Y2296">
        <f>IF(ABS(W2296)&gt;1E-12,((LTP3!$D$5)*((U2296)*(Q2296)-(R2296)*(V2296))-(LTP3!$D$6)*((S2296)*(Q2296)-(R2296)*(T2296))+(T2296)*((S2296)*(V2296)-(U2296)*(T2296)))/W2296,0)</f>
        <v/>
      </c>
      <c r="Z2296">
        <f>IF(ABS(W2296)&gt;1E-12,((LTP3!$D$5)*((P2296)*(V2296)-(U2296)*(R2296))-(S2296)*((S2296)*(V2296)-(U2296)*(T2296))+(LTP3!$D$6)*((S2296)*(R2296)-(P2296)*(T2296)))/W2296,0)</f>
        <v/>
      </c>
      <c r="AA2296">
        <f>LTP3!$D$7-X2296*LTP3!$D$6-Y2296*U2296-Z2296*V2296</f>
        <v/>
      </c>
      <c r="AB2296">
        <f>IF(AND(F2296,ABS(W2296)&gt;1E-12,Y2296&gt;0,Z2296&gt;0),AA2296,1E+300)</f>
        <v/>
      </c>
    </row>
    <row r="2297">
      <c r="A2297">
        <f>$B$3+$B$5*37</f>
        <v/>
      </c>
      <c r="B2297">
        <f>$B$3+$B$5*28</f>
        <v/>
      </c>
      <c r="C2297">
        <f>SUMPRODUCT(Calc!$K$3:$K$22*(Calc!$G$3:$G$22&lt;=A2297))</f>
        <v/>
      </c>
      <c r="D2297">
        <f>SUMPRODUCT(Calc!$K$3:$K$22*(Calc!$G$3:$G$22&gt;A2297)*(Calc!$G$3:$G$22&lt;B2297))</f>
        <v/>
      </c>
      <c r="E2297">
        <f>SUMPRODUCT(Calc!$K$3:$K$22*(Calc!$G$3:$G$22&gt;=B2297))</f>
        <v/>
      </c>
      <c r="F2297">
        <f>AND(k_n&gt;=5,B2297&gt;A2297+1E-9,C2297&gt;=2,D2297&gt;=1,E2297&gt;=2)</f>
        <v/>
      </c>
      <c r="G2297">
        <f>SUMPRODUCT(Calc!$K$3:$K$22*(Calc!$G$3:$G$22&gt;A2297)*(Calc!$G$3:$G$22-A2297))</f>
        <v/>
      </c>
      <c r="H2297">
        <f>SUMPRODUCT(Calc!$K$3:$K$22*(Calc!$G$3:$G$22&gt;B2297)*(Calc!$G$3:$G$22-B2297))</f>
        <v/>
      </c>
      <c r="I2297">
        <f>SUMPRODUCT(Calc!$K$3:$K$22*(Calc!$G$3:$G$22&gt;A2297)*(Calc!$G$3:$G$22-A2297)^2)</f>
        <v/>
      </c>
      <c r="J2297">
        <f>SUMPRODUCT(Calc!$K$3:$K$22*(Calc!$G$3:$G$22&gt;B2297)*(Calc!$G$3:$G$22-B2297)^2)</f>
        <v/>
      </c>
      <c r="K2297">
        <f>SUMPRODUCT(Calc!$K$3:$K$22*(Calc!$G$3:$G$22&gt;A2297)*(Calc!$G$3:$G$22-A2297)*(Calc!$G$3:$G$22&gt;B2297)*(Calc!$G$3:$G$22-B2297))</f>
        <v/>
      </c>
      <c r="L2297">
        <f>SUMPRODUCT(Calc!$K$3:$K$22*(Calc!$G$3:$G$22&gt;A2297)*(Calc!$G$3:$G$22-A2297)*Calc!$G$3:$G$22)</f>
        <v/>
      </c>
      <c r="M2297">
        <f>SUMPRODUCT(Calc!$K$3:$K$22*(Calc!$G$3:$G$22&gt;B2297)*(Calc!$G$3:$G$22-B2297)*Calc!$G$3:$G$22)</f>
        <v/>
      </c>
      <c r="N2297">
        <f>SUMPRODUCT(Calc!$K$3:$K$22*(Calc!$G$3:$G$22&gt;A2297)*(Calc!$G$3:$G$22-A2297)*Calc!$I$3:$I$22)</f>
        <v/>
      </c>
      <c r="O2297">
        <f>SUMPRODUCT(Calc!$K$3:$K$22*(Calc!$G$3:$G$22&gt;B2297)*(Calc!$G$3:$G$22-B2297)*Calc!$I$3:$I$22)</f>
        <v/>
      </c>
      <c r="P2297">
        <f>I2297-G2297^2/k_n</f>
        <v/>
      </c>
      <c r="Q2297">
        <f>J2297-H2297^2/k_n</f>
        <v/>
      </c>
      <c r="R2297">
        <f>K2297-G2297*H2297/k_n</f>
        <v/>
      </c>
      <c r="S2297">
        <f>L2297-LTP3!$D$3*G2297/k_n</f>
        <v/>
      </c>
      <c r="T2297">
        <f>M2297-LTP3!$D$3*H2297/k_n</f>
        <v/>
      </c>
      <c r="U2297">
        <f>N2297-G2297*LTP3!$D$4/k_n</f>
        <v/>
      </c>
      <c r="V2297">
        <f>O2297-H2297*LTP3!$D$4/k_n</f>
        <v/>
      </c>
      <c r="W2297">
        <f>((LTP3!$D$5)*((P2297)*(Q2297)-(R2297)*(R2297))-(S2297)*((S2297)*(Q2297)-(R2297)*(T2297))+(T2297)*((S2297)*(R2297)-(P2297)*(T2297)))</f>
        <v/>
      </c>
      <c r="X2297">
        <f>IF(ABS(W2297)&gt;1E-12,((LTP3!$D$6)*((P2297)*(Q2297)-(R2297)*(R2297))-(S2297)*((U2297)*(Q2297)-(R2297)*(V2297))+(T2297)*((U2297)*(R2297)-(P2297)*(V2297)))/W2297,0)</f>
        <v/>
      </c>
      <c r="Y2297">
        <f>IF(ABS(W2297)&gt;1E-12,((LTP3!$D$5)*((U2297)*(Q2297)-(R2297)*(V2297))-(LTP3!$D$6)*((S2297)*(Q2297)-(R2297)*(T2297))+(T2297)*((S2297)*(V2297)-(U2297)*(T2297)))/W2297,0)</f>
        <v/>
      </c>
      <c r="Z2297">
        <f>IF(ABS(W2297)&gt;1E-12,((LTP3!$D$5)*((P2297)*(V2297)-(U2297)*(R2297))-(S2297)*((S2297)*(V2297)-(U2297)*(T2297))+(LTP3!$D$6)*((S2297)*(R2297)-(P2297)*(T2297)))/W2297,0)</f>
        <v/>
      </c>
      <c r="AA2297">
        <f>LTP3!$D$7-X2297*LTP3!$D$6-Y2297*U2297-Z2297*V2297</f>
        <v/>
      </c>
      <c r="AB2297">
        <f>IF(AND(F2297,ABS(W2297)&gt;1E-12,Y2297&gt;0,Z2297&gt;0),AA2297,1E+300)</f>
        <v/>
      </c>
    </row>
    <row r="2298">
      <c r="A2298">
        <f>$B$3+$B$5*37</f>
        <v/>
      </c>
      <c r="B2298">
        <f>$B$3+$B$5*29</f>
        <v/>
      </c>
      <c r="C2298">
        <f>SUMPRODUCT(Calc!$K$3:$K$22*(Calc!$G$3:$G$22&lt;=A2298))</f>
        <v/>
      </c>
      <c r="D2298">
        <f>SUMPRODUCT(Calc!$K$3:$K$22*(Calc!$G$3:$G$22&gt;A2298)*(Calc!$G$3:$G$22&lt;B2298))</f>
        <v/>
      </c>
      <c r="E2298">
        <f>SUMPRODUCT(Calc!$K$3:$K$22*(Calc!$G$3:$G$22&gt;=B2298))</f>
        <v/>
      </c>
      <c r="F2298">
        <f>AND(k_n&gt;=5,B2298&gt;A2298+1E-9,C2298&gt;=2,D2298&gt;=1,E2298&gt;=2)</f>
        <v/>
      </c>
      <c r="G2298">
        <f>SUMPRODUCT(Calc!$K$3:$K$22*(Calc!$G$3:$G$22&gt;A2298)*(Calc!$G$3:$G$22-A2298))</f>
        <v/>
      </c>
      <c r="H2298">
        <f>SUMPRODUCT(Calc!$K$3:$K$22*(Calc!$G$3:$G$22&gt;B2298)*(Calc!$G$3:$G$22-B2298))</f>
        <v/>
      </c>
      <c r="I2298">
        <f>SUMPRODUCT(Calc!$K$3:$K$22*(Calc!$G$3:$G$22&gt;A2298)*(Calc!$G$3:$G$22-A2298)^2)</f>
        <v/>
      </c>
      <c r="J2298">
        <f>SUMPRODUCT(Calc!$K$3:$K$22*(Calc!$G$3:$G$22&gt;B2298)*(Calc!$G$3:$G$22-B2298)^2)</f>
        <v/>
      </c>
      <c r="K2298">
        <f>SUMPRODUCT(Calc!$K$3:$K$22*(Calc!$G$3:$G$22&gt;A2298)*(Calc!$G$3:$G$22-A2298)*(Calc!$G$3:$G$22&gt;B2298)*(Calc!$G$3:$G$22-B2298))</f>
        <v/>
      </c>
      <c r="L2298">
        <f>SUMPRODUCT(Calc!$K$3:$K$22*(Calc!$G$3:$G$22&gt;A2298)*(Calc!$G$3:$G$22-A2298)*Calc!$G$3:$G$22)</f>
        <v/>
      </c>
      <c r="M2298">
        <f>SUMPRODUCT(Calc!$K$3:$K$22*(Calc!$G$3:$G$22&gt;B2298)*(Calc!$G$3:$G$22-B2298)*Calc!$G$3:$G$22)</f>
        <v/>
      </c>
      <c r="N2298">
        <f>SUMPRODUCT(Calc!$K$3:$K$22*(Calc!$G$3:$G$22&gt;A2298)*(Calc!$G$3:$G$22-A2298)*Calc!$I$3:$I$22)</f>
        <v/>
      </c>
      <c r="O2298">
        <f>SUMPRODUCT(Calc!$K$3:$K$22*(Calc!$G$3:$G$22&gt;B2298)*(Calc!$G$3:$G$22-B2298)*Calc!$I$3:$I$22)</f>
        <v/>
      </c>
      <c r="P2298">
        <f>I2298-G2298^2/k_n</f>
        <v/>
      </c>
      <c r="Q2298">
        <f>J2298-H2298^2/k_n</f>
        <v/>
      </c>
      <c r="R2298">
        <f>K2298-G2298*H2298/k_n</f>
        <v/>
      </c>
      <c r="S2298">
        <f>L2298-LTP3!$D$3*G2298/k_n</f>
        <v/>
      </c>
      <c r="T2298">
        <f>M2298-LTP3!$D$3*H2298/k_n</f>
        <v/>
      </c>
      <c r="U2298">
        <f>N2298-G2298*LTP3!$D$4/k_n</f>
        <v/>
      </c>
      <c r="V2298">
        <f>O2298-H2298*LTP3!$D$4/k_n</f>
        <v/>
      </c>
      <c r="W2298">
        <f>((LTP3!$D$5)*((P2298)*(Q2298)-(R2298)*(R2298))-(S2298)*((S2298)*(Q2298)-(R2298)*(T2298))+(T2298)*((S2298)*(R2298)-(P2298)*(T2298)))</f>
        <v/>
      </c>
      <c r="X2298">
        <f>IF(ABS(W2298)&gt;1E-12,((LTP3!$D$6)*((P2298)*(Q2298)-(R2298)*(R2298))-(S2298)*((U2298)*(Q2298)-(R2298)*(V2298))+(T2298)*((U2298)*(R2298)-(P2298)*(V2298)))/W2298,0)</f>
        <v/>
      </c>
      <c r="Y2298">
        <f>IF(ABS(W2298)&gt;1E-12,((LTP3!$D$5)*((U2298)*(Q2298)-(R2298)*(V2298))-(LTP3!$D$6)*((S2298)*(Q2298)-(R2298)*(T2298))+(T2298)*((S2298)*(V2298)-(U2298)*(T2298)))/W2298,0)</f>
        <v/>
      </c>
      <c r="Z2298">
        <f>IF(ABS(W2298)&gt;1E-12,((LTP3!$D$5)*((P2298)*(V2298)-(U2298)*(R2298))-(S2298)*((S2298)*(V2298)-(U2298)*(T2298))+(LTP3!$D$6)*((S2298)*(R2298)-(P2298)*(T2298)))/W2298,0)</f>
        <v/>
      </c>
      <c r="AA2298">
        <f>LTP3!$D$7-X2298*LTP3!$D$6-Y2298*U2298-Z2298*V2298</f>
        <v/>
      </c>
      <c r="AB2298">
        <f>IF(AND(F2298,ABS(W2298)&gt;1E-12,Y2298&gt;0,Z2298&gt;0),AA2298,1E+300)</f>
        <v/>
      </c>
    </row>
    <row r="2299">
      <c r="A2299">
        <f>$B$3+$B$5*37</f>
        <v/>
      </c>
      <c r="B2299">
        <f>$B$3+$B$5*30</f>
        <v/>
      </c>
      <c r="C2299">
        <f>SUMPRODUCT(Calc!$K$3:$K$22*(Calc!$G$3:$G$22&lt;=A2299))</f>
        <v/>
      </c>
      <c r="D2299">
        <f>SUMPRODUCT(Calc!$K$3:$K$22*(Calc!$G$3:$G$22&gt;A2299)*(Calc!$G$3:$G$22&lt;B2299))</f>
        <v/>
      </c>
      <c r="E2299">
        <f>SUMPRODUCT(Calc!$K$3:$K$22*(Calc!$G$3:$G$22&gt;=B2299))</f>
        <v/>
      </c>
      <c r="F2299">
        <f>AND(k_n&gt;=5,B2299&gt;A2299+1E-9,C2299&gt;=2,D2299&gt;=1,E2299&gt;=2)</f>
        <v/>
      </c>
      <c r="G2299">
        <f>SUMPRODUCT(Calc!$K$3:$K$22*(Calc!$G$3:$G$22&gt;A2299)*(Calc!$G$3:$G$22-A2299))</f>
        <v/>
      </c>
      <c r="H2299">
        <f>SUMPRODUCT(Calc!$K$3:$K$22*(Calc!$G$3:$G$22&gt;B2299)*(Calc!$G$3:$G$22-B2299))</f>
        <v/>
      </c>
      <c r="I2299">
        <f>SUMPRODUCT(Calc!$K$3:$K$22*(Calc!$G$3:$G$22&gt;A2299)*(Calc!$G$3:$G$22-A2299)^2)</f>
        <v/>
      </c>
      <c r="J2299">
        <f>SUMPRODUCT(Calc!$K$3:$K$22*(Calc!$G$3:$G$22&gt;B2299)*(Calc!$G$3:$G$22-B2299)^2)</f>
        <v/>
      </c>
      <c r="K2299">
        <f>SUMPRODUCT(Calc!$K$3:$K$22*(Calc!$G$3:$G$22&gt;A2299)*(Calc!$G$3:$G$22-A2299)*(Calc!$G$3:$G$22&gt;B2299)*(Calc!$G$3:$G$22-B2299))</f>
        <v/>
      </c>
      <c r="L2299">
        <f>SUMPRODUCT(Calc!$K$3:$K$22*(Calc!$G$3:$G$22&gt;A2299)*(Calc!$G$3:$G$22-A2299)*Calc!$G$3:$G$22)</f>
        <v/>
      </c>
      <c r="M2299">
        <f>SUMPRODUCT(Calc!$K$3:$K$22*(Calc!$G$3:$G$22&gt;B2299)*(Calc!$G$3:$G$22-B2299)*Calc!$G$3:$G$22)</f>
        <v/>
      </c>
      <c r="N2299">
        <f>SUMPRODUCT(Calc!$K$3:$K$22*(Calc!$G$3:$G$22&gt;A2299)*(Calc!$G$3:$G$22-A2299)*Calc!$I$3:$I$22)</f>
        <v/>
      </c>
      <c r="O2299">
        <f>SUMPRODUCT(Calc!$K$3:$K$22*(Calc!$G$3:$G$22&gt;B2299)*(Calc!$G$3:$G$22-B2299)*Calc!$I$3:$I$22)</f>
        <v/>
      </c>
      <c r="P2299">
        <f>I2299-G2299^2/k_n</f>
        <v/>
      </c>
      <c r="Q2299">
        <f>J2299-H2299^2/k_n</f>
        <v/>
      </c>
      <c r="R2299">
        <f>K2299-G2299*H2299/k_n</f>
        <v/>
      </c>
      <c r="S2299">
        <f>L2299-LTP3!$D$3*G2299/k_n</f>
        <v/>
      </c>
      <c r="T2299">
        <f>M2299-LTP3!$D$3*H2299/k_n</f>
        <v/>
      </c>
      <c r="U2299">
        <f>N2299-G2299*LTP3!$D$4/k_n</f>
        <v/>
      </c>
      <c r="V2299">
        <f>O2299-H2299*LTP3!$D$4/k_n</f>
        <v/>
      </c>
      <c r="W2299">
        <f>((LTP3!$D$5)*((P2299)*(Q2299)-(R2299)*(R2299))-(S2299)*((S2299)*(Q2299)-(R2299)*(T2299))+(T2299)*((S2299)*(R2299)-(P2299)*(T2299)))</f>
        <v/>
      </c>
      <c r="X2299">
        <f>IF(ABS(W2299)&gt;1E-12,((LTP3!$D$6)*((P2299)*(Q2299)-(R2299)*(R2299))-(S2299)*((U2299)*(Q2299)-(R2299)*(V2299))+(T2299)*((U2299)*(R2299)-(P2299)*(V2299)))/W2299,0)</f>
        <v/>
      </c>
      <c r="Y2299">
        <f>IF(ABS(W2299)&gt;1E-12,((LTP3!$D$5)*((U2299)*(Q2299)-(R2299)*(V2299))-(LTP3!$D$6)*((S2299)*(Q2299)-(R2299)*(T2299))+(T2299)*((S2299)*(V2299)-(U2299)*(T2299)))/W2299,0)</f>
        <v/>
      </c>
      <c r="Z2299">
        <f>IF(ABS(W2299)&gt;1E-12,((LTP3!$D$5)*((P2299)*(V2299)-(U2299)*(R2299))-(S2299)*((S2299)*(V2299)-(U2299)*(T2299))+(LTP3!$D$6)*((S2299)*(R2299)-(P2299)*(T2299)))/W2299,0)</f>
        <v/>
      </c>
      <c r="AA2299">
        <f>LTP3!$D$7-X2299*LTP3!$D$6-Y2299*U2299-Z2299*V2299</f>
        <v/>
      </c>
      <c r="AB2299">
        <f>IF(AND(F2299,ABS(W2299)&gt;1E-12,Y2299&gt;0,Z2299&gt;0),AA2299,1E+300)</f>
        <v/>
      </c>
    </row>
    <row r="2300">
      <c r="A2300">
        <f>$B$3+$B$5*37</f>
        <v/>
      </c>
      <c r="B2300">
        <f>$B$3+$B$5*31</f>
        <v/>
      </c>
      <c r="C2300">
        <f>SUMPRODUCT(Calc!$K$3:$K$22*(Calc!$G$3:$G$22&lt;=A2300))</f>
        <v/>
      </c>
      <c r="D2300">
        <f>SUMPRODUCT(Calc!$K$3:$K$22*(Calc!$G$3:$G$22&gt;A2300)*(Calc!$G$3:$G$22&lt;B2300))</f>
        <v/>
      </c>
      <c r="E2300">
        <f>SUMPRODUCT(Calc!$K$3:$K$22*(Calc!$G$3:$G$22&gt;=B2300))</f>
        <v/>
      </c>
      <c r="F2300">
        <f>AND(k_n&gt;=5,B2300&gt;A2300+1E-9,C2300&gt;=2,D2300&gt;=1,E2300&gt;=2)</f>
        <v/>
      </c>
      <c r="G2300">
        <f>SUMPRODUCT(Calc!$K$3:$K$22*(Calc!$G$3:$G$22&gt;A2300)*(Calc!$G$3:$G$22-A2300))</f>
        <v/>
      </c>
      <c r="H2300">
        <f>SUMPRODUCT(Calc!$K$3:$K$22*(Calc!$G$3:$G$22&gt;B2300)*(Calc!$G$3:$G$22-B2300))</f>
        <v/>
      </c>
      <c r="I2300">
        <f>SUMPRODUCT(Calc!$K$3:$K$22*(Calc!$G$3:$G$22&gt;A2300)*(Calc!$G$3:$G$22-A2300)^2)</f>
        <v/>
      </c>
      <c r="J2300">
        <f>SUMPRODUCT(Calc!$K$3:$K$22*(Calc!$G$3:$G$22&gt;B2300)*(Calc!$G$3:$G$22-B2300)^2)</f>
        <v/>
      </c>
      <c r="K2300">
        <f>SUMPRODUCT(Calc!$K$3:$K$22*(Calc!$G$3:$G$22&gt;A2300)*(Calc!$G$3:$G$22-A2300)*(Calc!$G$3:$G$22&gt;B2300)*(Calc!$G$3:$G$22-B2300))</f>
        <v/>
      </c>
      <c r="L2300">
        <f>SUMPRODUCT(Calc!$K$3:$K$22*(Calc!$G$3:$G$22&gt;A2300)*(Calc!$G$3:$G$22-A2300)*Calc!$G$3:$G$22)</f>
        <v/>
      </c>
      <c r="M2300">
        <f>SUMPRODUCT(Calc!$K$3:$K$22*(Calc!$G$3:$G$22&gt;B2300)*(Calc!$G$3:$G$22-B2300)*Calc!$G$3:$G$22)</f>
        <v/>
      </c>
      <c r="N2300">
        <f>SUMPRODUCT(Calc!$K$3:$K$22*(Calc!$G$3:$G$22&gt;A2300)*(Calc!$G$3:$G$22-A2300)*Calc!$I$3:$I$22)</f>
        <v/>
      </c>
      <c r="O2300">
        <f>SUMPRODUCT(Calc!$K$3:$K$22*(Calc!$G$3:$G$22&gt;B2300)*(Calc!$G$3:$G$22-B2300)*Calc!$I$3:$I$22)</f>
        <v/>
      </c>
      <c r="P2300">
        <f>I2300-G2300^2/k_n</f>
        <v/>
      </c>
      <c r="Q2300">
        <f>J2300-H2300^2/k_n</f>
        <v/>
      </c>
      <c r="R2300">
        <f>K2300-G2300*H2300/k_n</f>
        <v/>
      </c>
      <c r="S2300">
        <f>L2300-LTP3!$D$3*G2300/k_n</f>
        <v/>
      </c>
      <c r="T2300">
        <f>M2300-LTP3!$D$3*H2300/k_n</f>
        <v/>
      </c>
      <c r="U2300">
        <f>N2300-G2300*LTP3!$D$4/k_n</f>
        <v/>
      </c>
      <c r="V2300">
        <f>O2300-H2300*LTP3!$D$4/k_n</f>
        <v/>
      </c>
      <c r="W2300">
        <f>((LTP3!$D$5)*((P2300)*(Q2300)-(R2300)*(R2300))-(S2300)*((S2300)*(Q2300)-(R2300)*(T2300))+(T2300)*((S2300)*(R2300)-(P2300)*(T2300)))</f>
        <v/>
      </c>
      <c r="X2300">
        <f>IF(ABS(W2300)&gt;1E-12,((LTP3!$D$6)*((P2300)*(Q2300)-(R2300)*(R2300))-(S2300)*((U2300)*(Q2300)-(R2300)*(V2300))+(T2300)*((U2300)*(R2300)-(P2300)*(V2300)))/W2300,0)</f>
        <v/>
      </c>
      <c r="Y2300">
        <f>IF(ABS(W2300)&gt;1E-12,((LTP3!$D$5)*((U2300)*(Q2300)-(R2300)*(V2300))-(LTP3!$D$6)*((S2300)*(Q2300)-(R2300)*(T2300))+(T2300)*((S2300)*(V2300)-(U2300)*(T2300)))/W2300,0)</f>
        <v/>
      </c>
      <c r="Z2300">
        <f>IF(ABS(W2300)&gt;1E-12,((LTP3!$D$5)*((P2300)*(V2300)-(U2300)*(R2300))-(S2300)*((S2300)*(V2300)-(U2300)*(T2300))+(LTP3!$D$6)*((S2300)*(R2300)-(P2300)*(T2300)))/W2300,0)</f>
        <v/>
      </c>
      <c r="AA2300">
        <f>LTP3!$D$7-X2300*LTP3!$D$6-Y2300*U2300-Z2300*V2300</f>
        <v/>
      </c>
      <c r="AB2300">
        <f>IF(AND(F2300,ABS(W2300)&gt;1E-12,Y2300&gt;0,Z2300&gt;0),AA2300,1E+300)</f>
        <v/>
      </c>
    </row>
    <row r="2301">
      <c r="A2301">
        <f>$B$3+$B$5*37</f>
        <v/>
      </c>
      <c r="B2301">
        <f>$B$3+$B$5*32</f>
        <v/>
      </c>
      <c r="C2301">
        <f>SUMPRODUCT(Calc!$K$3:$K$22*(Calc!$G$3:$G$22&lt;=A2301))</f>
        <v/>
      </c>
      <c r="D2301">
        <f>SUMPRODUCT(Calc!$K$3:$K$22*(Calc!$G$3:$G$22&gt;A2301)*(Calc!$G$3:$G$22&lt;B2301))</f>
        <v/>
      </c>
      <c r="E2301">
        <f>SUMPRODUCT(Calc!$K$3:$K$22*(Calc!$G$3:$G$22&gt;=B2301))</f>
        <v/>
      </c>
      <c r="F2301">
        <f>AND(k_n&gt;=5,B2301&gt;A2301+1E-9,C2301&gt;=2,D2301&gt;=1,E2301&gt;=2)</f>
        <v/>
      </c>
      <c r="G2301">
        <f>SUMPRODUCT(Calc!$K$3:$K$22*(Calc!$G$3:$G$22&gt;A2301)*(Calc!$G$3:$G$22-A2301))</f>
        <v/>
      </c>
      <c r="H2301">
        <f>SUMPRODUCT(Calc!$K$3:$K$22*(Calc!$G$3:$G$22&gt;B2301)*(Calc!$G$3:$G$22-B2301))</f>
        <v/>
      </c>
      <c r="I2301">
        <f>SUMPRODUCT(Calc!$K$3:$K$22*(Calc!$G$3:$G$22&gt;A2301)*(Calc!$G$3:$G$22-A2301)^2)</f>
        <v/>
      </c>
      <c r="J2301">
        <f>SUMPRODUCT(Calc!$K$3:$K$22*(Calc!$G$3:$G$22&gt;B2301)*(Calc!$G$3:$G$22-B2301)^2)</f>
        <v/>
      </c>
      <c r="K2301">
        <f>SUMPRODUCT(Calc!$K$3:$K$22*(Calc!$G$3:$G$22&gt;A2301)*(Calc!$G$3:$G$22-A2301)*(Calc!$G$3:$G$22&gt;B2301)*(Calc!$G$3:$G$22-B2301))</f>
        <v/>
      </c>
      <c r="L2301">
        <f>SUMPRODUCT(Calc!$K$3:$K$22*(Calc!$G$3:$G$22&gt;A2301)*(Calc!$G$3:$G$22-A2301)*Calc!$G$3:$G$22)</f>
        <v/>
      </c>
      <c r="M2301">
        <f>SUMPRODUCT(Calc!$K$3:$K$22*(Calc!$G$3:$G$22&gt;B2301)*(Calc!$G$3:$G$22-B2301)*Calc!$G$3:$G$22)</f>
        <v/>
      </c>
      <c r="N2301">
        <f>SUMPRODUCT(Calc!$K$3:$K$22*(Calc!$G$3:$G$22&gt;A2301)*(Calc!$G$3:$G$22-A2301)*Calc!$I$3:$I$22)</f>
        <v/>
      </c>
      <c r="O2301">
        <f>SUMPRODUCT(Calc!$K$3:$K$22*(Calc!$G$3:$G$22&gt;B2301)*(Calc!$G$3:$G$22-B2301)*Calc!$I$3:$I$22)</f>
        <v/>
      </c>
      <c r="P2301">
        <f>I2301-G2301^2/k_n</f>
        <v/>
      </c>
      <c r="Q2301">
        <f>J2301-H2301^2/k_n</f>
        <v/>
      </c>
      <c r="R2301">
        <f>K2301-G2301*H2301/k_n</f>
        <v/>
      </c>
      <c r="S2301">
        <f>L2301-LTP3!$D$3*G2301/k_n</f>
        <v/>
      </c>
      <c r="T2301">
        <f>M2301-LTP3!$D$3*H2301/k_n</f>
        <v/>
      </c>
      <c r="U2301">
        <f>N2301-G2301*LTP3!$D$4/k_n</f>
        <v/>
      </c>
      <c r="V2301">
        <f>O2301-H2301*LTP3!$D$4/k_n</f>
        <v/>
      </c>
      <c r="W2301">
        <f>((LTP3!$D$5)*((P2301)*(Q2301)-(R2301)*(R2301))-(S2301)*((S2301)*(Q2301)-(R2301)*(T2301))+(T2301)*((S2301)*(R2301)-(P2301)*(T2301)))</f>
        <v/>
      </c>
      <c r="X2301">
        <f>IF(ABS(W2301)&gt;1E-12,((LTP3!$D$6)*((P2301)*(Q2301)-(R2301)*(R2301))-(S2301)*((U2301)*(Q2301)-(R2301)*(V2301))+(T2301)*((U2301)*(R2301)-(P2301)*(V2301)))/W2301,0)</f>
        <v/>
      </c>
      <c r="Y2301">
        <f>IF(ABS(W2301)&gt;1E-12,((LTP3!$D$5)*((U2301)*(Q2301)-(R2301)*(V2301))-(LTP3!$D$6)*((S2301)*(Q2301)-(R2301)*(T2301))+(T2301)*((S2301)*(V2301)-(U2301)*(T2301)))/W2301,0)</f>
        <v/>
      </c>
      <c r="Z2301">
        <f>IF(ABS(W2301)&gt;1E-12,((LTP3!$D$5)*((P2301)*(V2301)-(U2301)*(R2301))-(S2301)*((S2301)*(V2301)-(U2301)*(T2301))+(LTP3!$D$6)*((S2301)*(R2301)-(P2301)*(T2301)))/W2301,0)</f>
        <v/>
      </c>
      <c r="AA2301">
        <f>LTP3!$D$7-X2301*LTP3!$D$6-Y2301*U2301-Z2301*V2301</f>
        <v/>
      </c>
      <c r="AB2301">
        <f>IF(AND(F2301,ABS(W2301)&gt;1E-12,Y2301&gt;0,Z2301&gt;0),AA2301,1E+300)</f>
        <v/>
      </c>
    </row>
    <row r="2302">
      <c r="A2302">
        <f>$B$3+$B$5*37</f>
        <v/>
      </c>
      <c r="B2302">
        <f>$B$3+$B$5*33</f>
        <v/>
      </c>
      <c r="C2302">
        <f>SUMPRODUCT(Calc!$K$3:$K$22*(Calc!$G$3:$G$22&lt;=A2302))</f>
        <v/>
      </c>
      <c r="D2302">
        <f>SUMPRODUCT(Calc!$K$3:$K$22*(Calc!$G$3:$G$22&gt;A2302)*(Calc!$G$3:$G$22&lt;B2302))</f>
        <v/>
      </c>
      <c r="E2302">
        <f>SUMPRODUCT(Calc!$K$3:$K$22*(Calc!$G$3:$G$22&gt;=B2302))</f>
        <v/>
      </c>
      <c r="F2302">
        <f>AND(k_n&gt;=5,B2302&gt;A2302+1E-9,C2302&gt;=2,D2302&gt;=1,E2302&gt;=2)</f>
        <v/>
      </c>
      <c r="G2302">
        <f>SUMPRODUCT(Calc!$K$3:$K$22*(Calc!$G$3:$G$22&gt;A2302)*(Calc!$G$3:$G$22-A2302))</f>
        <v/>
      </c>
      <c r="H2302">
        <f>SUMPRODUCT(Calc!$K$3:$K$22*(Calc!$G$3:$G$22&gt;B2302)*(Calc!$G$3:$G$22-B2302))</f>
        <v/>
      </c>
      <c r="I2302">
        <f>SUMPRODUCT(Calc!$K$3:$K$22*(Calc!$G$3:$G$22&gt;A2302)*(Calc!$G$3:$G$22-A2302)^2)</f>
        <v/>
      </c>
      <c r="J2302">
        <f>SUMPRODUCT(Calc!$K$3:$K$22*(Calc!$G$3:$G$22&gt;B2302)*(Calc!$G$3:$G$22-B2302)^2)</f>
        <v/>
      </c>
      <c r="K2302">
        <f>SUMPRODUCT(Calc!$K$3:$K$22*(Calc!$G$3:$G$22&gt;A2302)*(Calc!$G$3:$G$22-A2302)*(Calc!$G$3:$G$22&gt;B2302)*(Calc!$G$3:$G$22-B2302))</f>
        <v/>
      </c>
      <c r="L2302">
        <f>SUMPRODUCT(Calc!$K$3:$K$22*(Calc!$G$3:$G$22&gt;A2302)*(Calc!$G$3:$G$22-A2302)*Calc!$G$3:$G$22)</f>
        <v/>
      </c>
      <c r="M2302">
        <f>SUMPRODUCT(Calc!$K$3:$K$22*(Calc!$G$3:$G$22&gt;B2302)*(Calc!$G$3:$G$22-B2302)*Calc!$G$3:$G$22)</f>
        <v/>
      </c>
      <c r="N2302">
        <f>SUMPRODUCT(Calc!$K$3:$K$22*(Calc!$G$3:$G$22&gt;A2302)*(Calc!$G$3:$G$22-A2302)*Calc!$I$3:$I$22)</f>
        <v/>
      </c>
      <c r="O2302">
        <f>SUMPRODUCT(Calc!$K$3:$K$22*(Calc!$G$3:$G$22&gt;B2302)*(Calc!$G$3:$G$22-B2302)*Calc!$I$3:$I$22)</f>
        <v/>
      </c>
      <c r="P2302">
        <f>I2302-G2302^2/k_n</f>
        <v/>
      </c>
      <c r="Q2302">
        <f>J2302-H2302^2/k_n</f>
        <v/>
      </c>
      <c r="R2302">
        <f>K2302-G2302*H2302/k_n</f>
        <v/>
      </c>
      <c r="S2302">
        <f>L2302-LTP3!$D$3*G2302/k_n</f>
        <v/>
      </c>
      <c r="T2302">
        <f>M2302-LTP3!$D$3*H2302/k_n</f>
        <v/>
      </c>
      <c r="U2302">
        <f>N2302-G2302*LTP3!$D$4/k_n</f>
        <v/>
      </c>
      <c r="V2302">
        <f>O2302-H2302*LTP3!$D$4/k_n</f>
        <v/>
      </c>
      <c r="W2302">
        <f>((LTP3!$D$5)*((P2302)*(Q2302)-(R2302)*(R2302))-(S2302)*((S2302)*(Q2302)-(R2302)*(T2302))+(T2302)*((S2302)*(R2302)-(P2302)*(T2302)))</f>
        <v/>
      </c>
      <c r="X2302">
        <f>IF(ABS(W2302)&gt;1E-12,((LTP3!$D$6)*((P2302)*(Q2302)-(R2302)*(R2302))-(S2302)*((U2302)*(Q2302)-(R2302)*(V2302))+(T2302)*((U2302)*(R2302)-(P2302)*(V2302)))/W2302,0)</f>
        <v/>
      </c>
      <c r="Y2302">
        <f>IF(ABS(W2302)&gt;1E-12,((LTP3!$D$5)*((U2302)*(Q2302)-(R2302)*(V2302))-(LTP3!$D$6)*((S2302)*(Q2302)-(R2302)*(T2302))+(T2302)*((S2302)*(V2302)-(U2302)*(T2302)))/W2302,0)</f>
        <v/>
      </c>
      <c r="Z2302">
        <f>IF(ABS(W2302)&gt;1E-12,((LTP3!$D$5)*((P2302)*(V2302)-(U2302)*(R2302))-(S2302)*((S2302)*(V2302)-(U2302)*(T2302))+(LTP3!$D$6)*((S2302)*(R2302)-(P2302)*(T2302)))/W2302,0)</f>
        <v/>
      </c>
      <c r="AA2302">
        <f>LTP3!$D$7-X2302*LTP3!$D$6-Y2302*U2302-Z2302*V2302</f>
        <v/>
      </c>
      <c r="AB2302">
        <f>IF(AND(F2302,ABS(W2302)&gt;1E-12,Y2302&gt;0,Z2302&gt;0),AA2302,1E+300)</f>
        <v/>
      </c>
    </row>
    <row r="2303">
      <c r="A2303">
        <f>$B$3+$B$5*37</f>
        <v/>
      </c>
      <c r="B2303">
        <f>$B$3+$B$5*34</f>
        <v/>
      </c>
      <c r="C2303">
        <f>SUMPRODUCT(Calc!$K$3:$K$22*(Calc!$G$3:$G$22&lt;=A2303))</f>
        <v/>
      </c>
      <c r="D2303">
        <f>SUMPRODUCT(Calc!$K$3:$K$22*(Calc!$G$3:$G$22&gt;A2303)*(Calc!$G$3:$G$22&lt;B2303))</f>
        <v/>
      </c>
      <c r="E2303">
        <f>SUMPRODUCT(Calc!$K$3:$K$22*(Calc!$G$3:$G$22&gt;=B2303))</f>
        <v/>
      </c>
      <c r="F2303">
        <f>AND(k_n&gt;=5,B2303&gt;A2303+1E-9,C2303&gt;=2,D2303&gt;=1,E2303&gt;=2)</f>
        <v/>
      </c>
      <c r="G2303">
        <f>SUMPRODUCT(Calc!$K$3:$K$22*(Calc!$G$3:$G$22&gt;A2303)*(Calc!$G$3:$G$22-A2303))</f>
        <v/>
      </c>
      <c r="H2303">
        <f>SUMPRODUCT(Calc!$K$3:$K$22*(Calc!$G$3:$G$22&gt;B2303)*(Calc!$G$3:$G$22-B2303))</f>
        <v/>
      </c>
      <c r="I2303">
        <f>SUMPRODUCT(Calc!$K$3:$K$22*(Calc!$G$3:$G$22&gt;A2303)*(Calc!$G$3:$G$22-A2303)^2)</f>
        <v/>
      </c>
      <c r="J2303">
        <f>SUMPRODUCT(Calc!$K$3:$K$22*(Calc!$G$3:$G$22&gt;B2303)*(Calc!$G$3:$G$22-B2303)^2)</f>
        <v/>
      </c>
      <c r="K2303">
        <f>SUMPRODUCT(Calc!$K$3:$K$22*(Calc!$G$3:$G$22&gt;A2303)*(Calc!$G$3:$G$22-A2303)*(Calc!$G$3:$G$22&gt;B2303)*(Calc!$G$3:$G$22-B2303))</f>
        <v/>
      </c>
      <c r="L2303">
        <f>SUMPRODUCT(Calc!$K$3:$K$22*(Calc!$G$3:$G$22&gt;A2303)*(Calc!$G$3:$G$22-A2303)*Calc!$G$3:$G$22)</f>
        <v/>
      </c>
      <c r="M2303">
        <f>SUMPRODUCT(Calc!$K$3:$K$22*(Calc!$G$3:$G$22&gt;B2303)*(Calc!$G$3:$G$22-B2303)*Calc!$G$3:$G$22)</f>
        <v/>
      </c>
      <c r="N2303">
        <f>SUMPRODUCT(Calc!$K$3:$K$22*(Calc!$G$3:$G$22&gt;A2303)*(Calc!$G$3:$G$22-A2303)*Calc!$I$3:$I$22)</f>
        <v/>
      </c>
      <c r="O2303">
        <f>SUMPRODUCT(Calc!$K$3:$K$22*(Calc!$G$3:$G$22&gt;B2303)*(Calc!$G$3:$G$22-B2303)*Calc!$I$3:$I$22)</f>
        <v/>
      </c>
      <c r="P2303">
        <f>I2303-G2303^2/k_n</f>
        <v/>
      </c>
      <c r="Q2303">
        <f>J2303-H2303^2/k_n</f>
        <v/>
      </c>
      <c r="R2303">
        <f>K2303-G2303*H2303/k_n</f>
        <v/>
      </c>
      <c r="S2303">
        <f>L2303-LTP3!$D$3*G2303/k_n</f>
        <v/>
      </c>
      <c r="T2303">
        <f>M2303-LTP3!$D$3*H2303/k_n</f>
        <v/>
      </c>
      <c r="U2303">
        <f>N2303-G2303*LTP3!$D$4/k_n</f>
        <v/>
      </c>
      <c r="V2303">
        <f>O2303-H2303*LTP3!$D$4/k_n</f>
        <v/>
      </c>
      <c r="W2303">
        <f>((LTP3!$D$5)*((P2303)*(Q2303)-(R2303)*(R2303))-(S2303)*((S2303)*(Q2303)-(R2303)*(T2303))+(T2303)*((S2303)*(R2303)-(P2303)*(T2303)))</f>
        <v/>
      </c>
      <c r="X2303">
        <f>IF(ABS(W2303)&gt;1E-12,((LTP3!$D$6)*((P2303)*(Q2303)-(R2303)*(R2303))-(S2303)*((U2303)*(Q2303)-(R2303)*(V2303))+(T2303)*((U2303)*(R2303)-(P2303)*(V2303)))/W2303,0)</f>
        <v/>
      </c>
      <c r="Y2303">
        <f>IF(ABS(W2303)&gt;1E-12,((LTP3!$D$5)*((U2303)*(Q2303)-(R2303)*(V2303))-(LTP3!$D$6)*((S2303)*(Q2303)-(R2303)*(T2303))+(T2303)*((S2303)*(V2303)-(U2303)*(T2303)))/W2303,0)</f>
        <v/>
      </c>
      <c r="Z2303">
        <f>IF(ABS(W2303)&gt;1E-12,((LTP3!$D$5)*((P2303)*(V2303)-(U2303)*(R2303))-(S2303)*((S2303)*(V2303)-(U2303)*(T2303))+(LTP3!$D$6)*((S2303)*(R2303)-(P2303)*(T2303)))/W2303,0)</f>
        <v/>
      </c>
      <c r="AA2303">
        <f>LTP3!$D$7-X2303*LTP3!$D$6-Y2303*U2303-Z2303*V2303</f>
        <v/>
      </c>
      <c r="AB2303">
        <f>IF(AND(F2303,ABS(W2303)&gt;1E-12,Y2303&gt;0,Z2303&gt;0),AA2303,1E+300)</f>
        <v/>
      </c>
    </row>
    <row r="2304">
      <c r="A2304">
        <f>$B$3+$B$5*37</f>
        <v/>
      </c>
      <c r="B2304">
        <f>$B$3+$B$5*35</f>
        <v/>
      </c>
      <c r="C2304">
        <f>SUMPRODUCT(Calc!$K$3:$K$22*(Calc!$G$3:$G$22&lt;=A2304))</f>
        <v/>
      </c>
      <c r="D2304">
        <f>SUMPRODUCT(Calc!$K$3:$K$22*(Calc!$G$3:$G$22&gt;A2304)*(Calc!$G$3:$G$22&lt;B2304))</f>
        <v/>
      </c>
      <c r="E2304">
        <f>SUMPRODUCT(Calc!$K$3:$K$22*(Calc!$G$3:$G$22&gt;=B2304))</f>
        <v/>
      </c>
      <c r="F2304">
        <f>AND(k_n&gt;=5,B2304&gt;A2304+1E-9,C2304&gt;=2,D2304&gt;=1,E2304&gt;=2)</f>
        <v/>
      </c>
      <c r="G2304">
        <f>SUMPRODUCT(Calc!$K$3:$K$22*(Calc!$G$3:$G$22&gt;A2304)*(Calc!$G$3:$G$22-A2304))</f>
        <v/>
      </c>
      <c r="H2304">
        <f>SUMPRODUCT(Calc!$K$3:$K$22*(Calc!$G$3:$G$22&gt;B2304)*(Calc!$G$3:$G$22-B2304))</f>
        <v/>
      </c>
      <c r="I2304">
        <f>SUMPRODUCT(Calc!$K$3:$K$22*(Calc!$G$3:$G$22&gt;A2304)*(Calc!$G$3:$G$22-A2304)^2)</f>
        <v/>
      </c>
      <c r="J2304">
        <f>SUMPRODUCT(Calc!$K$3:$K$22*(Calc!$G$3:$G$22&gt;B2304)*(Calc!$G$3:$G$22-B2304)^2)</f>
        <v/>
      </c>
      <c r="K2304">
        <f>SUMPRODUCT(Calc!$K$3:$K$22*(Calc!$G$3:$G$22&gt;A2304)*(Calc!$G$3:$G$22-A2304)*(Calc!$G$3:$G$22&gt;B2304)*(Calc!$G$3:$G$22-B2304))</f>
        <v/>
      </c>
      <c r="L2304">
        <f>SUMPRODUCT(Calc!$K$3:$K$22*(Calc!$G$3:$G$22&gt;A2304)*(Calc!$G$3:$G$22-A2304)*Calc!$G$3:$G$22)</f>
        <v/>
      </c>
      <c r="M2304">
        <f>SUMPRODUCT(Calc!$K$3:$K$22*(Calc!$G$3:$G$22&gt;B2304)*(Calc!$G$3:$G$22-B2304)*Calc!$G$3:$G$22)</f>
        <v/>
      </c>
      <c r="N2304">
        <f>SUMPRODUCT(Calc!$K$3:$K$22*(Calc!$G$3:$G$22&gt;A2304)*(Calc!$G$3:$G$22-A2304)*Calc!$I$3:$I$22)</f>
        <v/>
      </c>
      <c r="O2304">
        <f>SUMPRODUCT(Calc!$K$3:$K$22*(Calc!$G$3:$G$22&gt;B2304)*(Calc!$G$3:$G$22-B2304)*Calc!$I$3:$I$22)</f>
        <v/>
      </c>
      <c r="P2304">
        <f>I2304-G2304^2/k_n</f>
        <v/>
      </c>
      <c r="Q2304">
        <f>J2304-H2304^2/k_n</f>
        <v/>
      </c>
      <c r="R2304">
        <f>K2304-G2304*H2304/k_n</f>
        <v/>
      </c>
      <c r="S2304">
        <f>L2304-LTP3!$D$3*G2304/k_n</f>
        <v/>
      </c>
      <c r="T2304">
        <f>M2304-LTP3!$D$3*H2304/k_n</f>
        <v/>
      </c>
      <c r="U2304">
        <f>N2304-G2304*LTP3!$D$4/k_n</f>
        <v/>
      </c>
      <c r="V2304">
        <f>O2304-H2304*LTP3!$D$4/k_n</f>
        <v/>
      </c>
      <c r="W2304">
        <f>((LTP3!$D$5)*((P2304)*(Q2304)-(R2304)*(R2304))-(S2304)*((S2304)*(Q2304)-(R2304)*(T2304))+(T2304)*((S2304)*(R2304)-(P2304)*(T2304)))</f>
        <v/>
      </c>
      <c r="X2304">
        <f>IF(ABS(W2304)&gt;1E-12,((LTP3!$D$6)*((P2304)*(Q2304)-(R2304)*(R2304))-(S2304)*((U2304)*(Q2304)-(R2304)*(V2304))+(T2304)*((U2304)*(R2304)-(P2304)*(V2304)))/W2304,0)</f>
        <v/>
      </c>
      <c r="Y2304">
        <f>IF(ABS(W2304)&gt;1E-12,((LTP3!$D$5)*((U2304)*(Q2304)-(R2304)*(V2304))-(LTP3!$D$6)*((S2304)*(Q2304)-(R2304)*(T2304))+(T2304)*((S2304)*(V2304)-(U2304)*(T2304)))/W2304,0)</f>
        <v/>
      </c>
      <c r="Z2304">
        <f>IF(ABS(W2304)&gt;1E-12,((LTP3!$D$5)*((P2304)*(V2304)-(U2304)*(R2304))-(S2304)*((S2304)*(V2304)-(U2304)*(T2304))+(LTP3!$D$6)*((S2304)*(R2304)-(P2304)*(T2304)))/W2304,0)</f>
        <v/>
      </c>
      <c r="AA2304">
        <f>LTP3!$D$7-X2304*LTP3!$D$6-Y2304*U2304-Z2304*V2304</f>
        <v/>
      </c>
      <c r="AB2304">
        <f>IF(AND(F2304,ABS(W2304)&gt;1E-12,Y2304&gt;0,Z2304&gt;0),AA2304,1E+300)</f>
        <v/>
      </c>
    </row>
    <row r="2305">
      <c r="A2305">
        <f>$B$3+$B$5*37</f>
        <v/>
      </c>
      <c r="B2305">
        <f>$B$3+$B$5*36</f>
        <v/>
      </c>
      <c r="C2305">
        <f>SUMPRODUCT(Calc!$K$3:$K$22*(Calc!$G$3:$G$22&lt;=A2305))</f>
        <v/>
      </c>
      <c r="D2305">
        <f>SUMPRODUCT(Calc!$K$3:$K$22*(Calc!$G$3:$G$22&gt;A2305)*(Calc!$G$3:$G$22&lt;B2305))</f>
        <v/>
      </c>
      <c r="E2305">
        <f>SUMPRODUCT(Calc!$K$3:$K$22*(Calc!$G$3:$G$22&gt;=B2305))</f>
        <v/>
      </c>
      <c r="F2305">
        <f>AND(k_n&gt;=5,B2305&gt;A2305+1E-9,C2305&gt;=2,D2305&gt;=1,E2305&gt;=2)</f>
        <v/>
      </c>
      <c r="G2305">
        <f>SUMPRODUCT(Calc!$K$3:$K$22*(Calc!$G$3:$G$22&gt;A2305)*(Calc!$G$3:$G$22-A2305))</f>
        <v/>
      </c>
      <c r="H2305">
        <f>SUMPRODUCT(Calc!$K$3:$K$22*(Calc!$G$3:$G$22&gt;B2305)*(Calc!$G$3:$G$22-B2305))</f>
        <v/>
      </c>
      <c r="I2305">
        <f>SUMPRODUCT(Calc!$K$3:$K$22*(Calc!$G$3:$G$22&gt;A2305)*(Calc!$G$3:$G$22-A2305)^2)</f>
        <v/>
      </c>
      <c r="J2305">
        <f>SUMPRODUCT(Calc!$K$3:$K$22*(Calc!$G$3:$G$22&gt;B2305)*(Calc!$G$3:$G$22-B2305)^2)</f>
        <v/>
      </c>
      <c r="K2305">
        <f>SUMPRODUCT(Calc!$K$3:$K$22*(Calc!$G$3:$G$22&gt;A2305)*(Calc!$G$3:$G$22-A2305)*(Calc!$G$3:$G$22&gt;B2305)*(Calc!$G$3:$G$22-B2305))</f>
        <v/>
      </c>
      <c r="L2305">
        <f>SUMPRODUCT(Calc!$K$3:$K$22*(Calc!$G$3:$G$22&gt;A2305)*(Calc!$G$3:$G$22-A2305)*Calc!$G$3:$G$22)</f>
        <v/>
      </c>
      <c r="M2305">
        <f>SUMPRODUCT(Calc!$K$3:$K$22*(Calc!$G$3:$G$22&gt;B2305)*(Calc!$G$3:$G$22-B2305)*Calc!$G$3:$G$22)</f>
        <v/>
      </c>
      <c r="N2305">
        <f>SUMPRODUCT(Calc!$K$3:$K$22*(Calc!$G$3:$G$22&gt;A2305)*(Calc!$G$3:$G$22-A2305)*Calc!$I$3:$I$22)</f>
        <v/>
      </c>
      <c r="O2305">
        <f>SUMPRODUCT(Calc!$K$3:$K$22*(Calc!$G$3:$G$22&gt;B2305)*(Calc!$G$3:$G$22-B2305)*Calc!$I$3:$I$22)</f>
        <v/>
      </c>
      <c r="P2305">
        <f>I2305-G2305^2/k_n</f>
        <v/>
      </c>
      <c r="Q2305">
        <f>J2305-H2305^2/k_n</f>
        <v/>
      </c>
      <c r="R2305">
        <f>K2305-G2305*H2305/k_n</f>
        <v/>
      </c>
      <c r="S2305">
        <f>L2305-LTP3!$D$3*G2305/k_n</f>
        <v/>
      </c>
      <c r="T2305">
        <f>M2305-LTP3!$D$3*H2305/k_n</f>
        <v/>
      </c>
      <c r="U2305">
        <f>N2305-G2305*LTP3!$D$4/k_n</f>
        <v/>
      </c>
      <c r="V2305">
        <f>O2305-H2305*LTP3!$D$4/k_n</f>
        <v/>
      </c>
      <c r="W2305">
        <f>((LTP3!$D$5)*((P2305)*(Q2305)-(R2305)*(R2305))-(S2305)*((S2305)*(Q2305)-(R2305)*(T2305))+(T2305)*((S2305)*(R2305)-(P2305)*(T2305)))</f>
        <v/>
      </c>
      <c r="X2305">
        <f>IF(ABS(W2305)&gt;1E-12,((LTP3!$D$6)*((P2305)*(Q2305)-(R2305)*(R2305))-(S2305)*((U2305)*(Q2305)-(R2305)*(V2305))+(T2305)*((U2305)*(R2305)-(P2305)*(V2305)))/W2305,0)</f>
        <v/>
      </c>
      <c r="Y2305">
        <f>IF(ABS(W2305)&gt;1E-12,((LTP3!$D$5)*((U2305)*(Q2305)-(R2305)*(V2305))-(LTP3!$D$6)*((S2305)*(Q2305)-(R2305)*(T2305))+(T2305)*((S2305)*(V2305)-(U2305)*(T2305)))/W2305,0)</f>
        <v/>
      </c>
      <c r="Z2305">
        <f>IF(ABS(W2305)&gt;1E-12,((LTP3!$D$5)*((P2305)*(V2305)-(U2305)*(R2305))-(S2305)*((S2305)*(V2305)-(U2305)*(T2305))+(LTP3!$D$6)*((S2305)*(R2305)-(P2305)*(T2305)))/W2305,0)</f>
        <v/>
      </c>
      <c r="AA2305">
        <f>LTP3!$D$7-X2305*LTP3!$D$6-Y2305*U2305-Z2305*V2305</f>
        <v/>
      </c>
      <c r="AB2305">
        <f>IF(AND(F2305,ABS(W2305)&gt;1E-12,Y2305&gt;0,Z2305&gt;0),AA2305,1E+300)</f>
        <v/>
      </c>
    </row>
    <row r="2306">
      <c r="A2306">
        <f>$B$3+$B$5*37</f>
        <v/>
      </c>
      <c r="B2306">
        <f>$B$3+$B$5*37</f>
        <v/>
      </c>
      <c r="C2306">
        <f>SUMPRODUCT(Calc!$K$3:$K$22*(Calc!$G$3:$G$22&lt;=A2306))</f>
        <v/>
      </c>
      <c r="D2306">
        <f>SUMPRODUCT(Calc!$K$3:$K$22*(Calc!$G$3:$G$22&gt;A2306)*(Calc!$G$3:$G$22&lt;B2306))</f>
        <v/>
      </c>
      <c r="E2306">
        <f>SUMPRODUCT(Calc!$K$3:$K$22*(Calc!$G$3:$G$22&gt;=B2306))</f>
        <v/>
      </c>
      <c r="F2306">
        <f>AND(k_n&gt;=5,B2306&gt;A2306+1E-9,C2306&gt;=2,D2306&gt;=1,E2306&gt;=2)</f>
        <v/>
      </c>
      <c r="G2306">
        <f>SUMPRODUCT(Calc!$K$3:$K$22*(Calc!$G$3:$G$22&gt;A2306)*(Calc!$G$3:$G$22-A2306))</f>
        <v/>
      </c>
      <c r="H2306">
        <f>SUMPRODUCT(Calc!$K$3:$K$22*(Calc!$G$3:$G$22&gt;B2306)*(Calc!$G$3:$G$22-B2306))</f>
        <v/>
      </c>
      <c r="I2306">
        <f>SUMPRODUCT(Calc!$K$3:$K$22*(Calc!$G$3:$G$22&gt;A2306)*(Calc!$G$3:$G$22-A2306)^2)</f>
        <v/>
      </c>
      <c r="J2306">
        <f>SUMPRODUCT(Calc!$K$3:$K$22*(Calc!$G$3:$G$22&gt;B2306)*(Calc!$G$3:$G$22-B2306)^2)</f>
        <v/>
      </c>
      <c r="K2306">
        <f>SUMPRODUCT(Calc!$K$3:$K$22*(Calc!$G$3:$G$22&gt;A2306)*(Calc!$G$3:$G$22-A2306)*(Calc!$G$3:$G$22&gt;B2306)*(Calc!$G$3:$G$22-B2306))</f>
        <v/>
      </c>
      <c r="L2306">
        <f>SUMPRODUCT(Calc!$K$3:$K$22*(Calc!$G$3:$G$22&gt;A2306)*(Calc!$G$3:$G$22-A2306)*Calc!$G$3:$G$22)</f>
        <v/>
      </c>
      <c r="M2306">
        <f>SUMPRODUCT(Calc!$K$3:$K$22*(Calc!$G$3:$G$22&gt;B2306)*(Calc!$G$3:$G$22-B2306)*Calc!$G$3:$G$22)</f>
        <v/>
      </c>
      <c r="N2306">
        <f>SUMPRODUCT(Calc!$K$3:$K$22*(Calc!$G$3:$G$22&gt;A2306)*(Calc!$G$3:$G$22-A2306)*Calc!$I$3:$I$22)</f>
        <v/>
      </c>
      <c r="O2306">
        <f>SUMPRODUCT(Calc!$K$3:$K$22*(Calc!$G$3:$G$22&gt;B2306)*(Calc!$G$3:$G$22-B2306)*Calc!$I$3:$I$22)</f>
        <v/>
      </c>
      <c r="P2306">
        <f>I2306-G2306^2/k_n</f>
        <v/>
      </c>
      <c r="Q2306">
        <f>J2306-H2306^2/k_n</f>
        <v/>
      </c>
      <c r="R2306">
        <f>K2306-G2306*H2306/k_n</f>
        <v/>
      </c>
      <c r="S2306">
        <f>L2306-LTP3!$D$3*G2306/k_n</f>
        <v/>
      </c>
      <c r="T2306">
        <f>M2306-LTP3!$D$3*H2306/k_n</f>
        <v/>
      </c>
      <c r="U2306">
        <f>N2306-G2306*LTP3!$D$4/k_n</f>
        <v/>
      </c>
      <c r="V2306">
        <f>O2306-H2306*LTP3!$D$4/k_n</f>
        <v/>
      </c>
      <c r="W2306">
        <f>((LTP3!$D$5)*((P2306)*(Q2306)-(R2306)*(R2306))-(S2306)*((S2306)*(Q2306)-(R2306)*(T2306))+(T2306)*((S2306)*(R2306)-(P2306)*(T2306)))</f>
        <v/>
      </c>
      <c r="X2306">
        <f>IF(ABS(W2306)&gt;1E-12,((LTP3!$D$6)*((P2306)*(Q2306)-(R2306)*(R2306))-(S2306)*((U2306)*(Q2306)-(R2306)*(V2306))+(T2306)*((U2306)*(R2306)-(P2306)*(V2306)))/W2306,0)</f>
        <v/>
      </c>
      <c r="Y2306">
        <f>IF(ABS(W2306)&gt;1E-12,((LTP3!$D$5)*((U2306)*(Q2306)-(R2306)*(V2306))-(LTP3!$D$6)*((S2306)*(Q2306)-(R2306)*(T2306))+(T2306)*((S2306)*(V2306)-(U2306)*(T2306)))/W2306,0)</f>
        <v/>
      </c>
      <c r="Z2306">
        <f>IF(ABS(W2306)&gt;1E-12,((LTP3!$D$5)*((P2306)*(V2306)-(U2306)*(R2306))-(S2306)*((S2306)*(V2306)-(U2306)*(T2306))+(LTP3!$D$6)*((S2306)*(R2306)-(P2306)*(T2306)))/W2306,0)</f>
        <v/>
      </c>
      <c r="AA2306">
        <f>LTP3!$D$7-X2306*LTP3!$D$6-Y2306*U2306-Z2306*V2306</f>
        <v/>
      </c>
      <c r="AB2306">
        <f>IF(AND(F2306,ABS(W2306)&gt;1E-12,Y2306&gt;0,Z2306&gt;0),AA2306,1E+300)</f>
        <v/>
      </c>
    </row>
    <row r="2307">
      <c r="A2307">
        <f>$B$3+$B$5*37</f>
        <v/>
      </c>
      <c r="B2307">
        <f>$B$3+$B$5*38</f>
        <v/>
      </c>
      <c r="C2307">
        <f>SUMPRODUCT(Calc!$K$3:$K$22*(Calc!$G$3:$G$22&lt;=A2307))</f>
        <v/>
      </c>
      <c r="D2307">
        <f>SUMPRODUCT(Calc!$K$3:$K$22*(Calc!$G$3:$G$22&gt;A2307)*(Calc!$G$3:$G$22&lt;B2307))</f>
        <v/>
      </c>
      <c r="E2307">
        <f>SUMPRODUCT(Calc!$K$3:$K$22*(Calc!$G$3:$G$22&gt;=B2307))</f>
        <v/>
      </c>
      <c r="F2307">
        <f>AND(k_n&gt;=5,B2307&gt;A2307+1E-9,C2307&gt;=2,D2307&gt;=1,E2307&gt;=2)</f>
        <v/>
      </c>
      <c r="G2307">
        <f>SUMPRODUCT(Calc!$K$3:$K$22*(Calc!$G$3:$G$22&gt;A2307)*(Calc!$G$3:$G$22-A2307))</f>
        <v/>
      </c>
      <c r="H2307">
        <f>SUMPRODUCT(Calc!$K$3:$K$22*(Calc!$G$3:$G$22&gt;B2307)*(Calc!$G$3:$G$22-B2307))</f>
        <v/>
      </c>
      <c r="I2307">
        <f>SUMPRODUCT(Calc!$K$3:$K$22*(Calc!$G$3:$G$22&gt;A2307)*(Calc!$G$3:$G$22-A2307)^2)</f>
        <v/>
      </c>
      <c r="J2307">
        <f>SUMPRODUCT(Calc!$K$3:$K$22*(Calc!$G$3:$G$22&gt;B2307)*(Calc!$G$3:$G$22-B2307)^2)</f>
        <v/>
      </c>
      <c r="K2307">
        <f>SUMPRODUCT(Calc!$K$3:$K$22*(Calc!$G$3:$G$22&gt;A2307)*(Calc!$G$3:$G$22-A2307)*(Calc!$G$3:$G$22&gt;B2307)*(Calc!$G$3:$G$22-B2307))</f>
        <v/>
      </c>
      <c r="L2307">
        <f>SUMPRODUCT(Calc!$K$3:$K$22*(Calc!$G$3:$G$22&gt;A2307)*(Calc!$G$3:$G$22-A2307)*Calc!$G$3:$G$22)</f>
        <v/>
      </c>
      <c r="M2307">
        <f>SUMPRODUCT(Calc!$K$3:$K$22*(Calc!$G$3:$G$22&gt;B2307)*(Calc!$G$3:$G$22-B2307)*Calc!$G$3:$G$22)</f>
        <v/>
      </c>
      <c r="N2307">
        <f>SUMPRODUCT(Calc!$K$3:$K$22*(Calc!$G$3:$G$22&gt;A2307)*(Calc!$G$3:$G$22-A2307)*Calc!$I$3:$I$22)</f>
        <v/>
      </c>
      <c r="O2307">
        <f>SUMPRODUCT(Calc!$K$3:$K$22*(Calc!$G$3:$G$22&gt;B2307)*(Calc!$G$3:$G$22-B2307)*Calc!$I$3:$I$22)</f>
        <v/>
      </c>
      <c r="P2307">
        <f>I2307-G2307^2/k_n</f>
        <v/>
      </c>
      <c r="Q2307">
        <f>J2307-H2307^2/k_n</f>
        <v/>
      </c>
      <c r="R2307">
        <f>K2307-G2307*H2307/k_n</f>
        <v/>
      </c>
      <c r="S2307">
        <f>L2307-LTP3!$D$3*G2307/k_n</f>
        <v/>
      </c>
      <c r="T2307">
        <f>M2307-LTP3!$D$3*H2307/k_n</f>
        <v/>
      </c>
      <c r="U2307">
        <f>N2307-G2307*LTP3!$D$4/k_n</f>
        <v/>
      </c>
      <c r="V2307">
        <f>O2307-H2307*LTP3!$D$4/k_n</f>
        <v/>
      </c>
      <c r="W2307">
        <f>((LTP3!$D$5)*((P2307)*(Q2307)-(R2307)*(R2307))-(S2307)*((S2307)*(Q2307)-(R2307)*(T2307))+(T2307)*((S2307)*(R2307)-(P2307)*(T2307)))</f>
        <v/>
      </c>
      <c r="X2307">
        <f>IF(ABS(W2307)&gt;1E-12,((LTP3!$D$6)*((P2307)*(Q2307)-(R2307)*(R2307))-(S2307)*((U2307)*(Q2307)-(R2307)*(V2307))+(T2307)*((U2307)*(R2307)-(P2307)*(V2307)))/W2307,0)</f>
        <v/>
      </c>
      <c r="Y2307">
        <f>IF(ABS(W2307)&gt;1E-12,((LTP3!$D$5)*((U2307)*(Q2307)-(R2307)*(V2307))-(LTP3!$D$6)*((S2307)*(Q2307)-(R2307)*(T2307))+(T2307)*((S2307)*(V2307)-(U2307)*(T2307)))/W2307,0)</f>
        <v/>
      </c>
      <c r="Z2307">
        <f>IF(ABS(W2307)&gt;1E-12,((LTP3!$D$5)*((P2307)*(V2307)-(U2307)*(R2307))-(S2307)*((S2307)*(V2307)-(U2307)*(T2307))+(LTP3!$D$6)*((S2307)*(R2307)-(P2307)*(T2307)))/W2307,0)</f>
        <v/>
      </c>
      <c r="AA2307">
        <f>LTP3!$D$7-X2307*LTP3!$D$6-Y2307*U2307-Z2307*V2307</f>
        <v/>
      </c>
      <c r="AB2307">
        <f>IF(AND(F2307,ABS(W2307)&gt;1E-12,Y2307&gt;0,Z2307&gt;0),AA2307,1E+300)</f>
        <v/>
      </c>
    </row>
    <row r="2308">
      <c r="A2308">
        <f>$B$3+$B$5*37</f>
        <v/>
      </c>
      <c r="B2308">
        <f>$B$3+$B$5*39</f>
        <v/>
      </c>
      <c r="C2308">
        <f>SUMPRODUCT(Calc!$K$3:$K$22*(Calc!$G$3:$G$22&lt;=A2308))</f>
        <v/>
      </c>
      <c r="D2308">
        <f>SUMPRODUCT(Calc!$K$3:$K$22*(Calc!$G$3:$G$22&gt;A2308)*(Calc!$G$3:$G$22&lt;B2308))</f>
        <v/>
      </c>
      <c r="E2308">
        <f>SUMPRODUCT(Calc!$K$3:$K$22*(Calc!$G$3:$G$22&gt;=B2308))</f>
        <v/>
      </c>
      <c r="F2308">
        <f>AND(k_n&gt;=5,B2308&gt;A2308+1E-9,C2308&gt;=2,D2308&gt;=1,E2308&gt;=2)</f>
        <v/>
      </c>
      <c r="G2308">
        <f>SUMPRODUCT(Calc!$K$3:$K$22*(Calc!$G$3:$G$22&gt;A2308)*(Calc!$G$3:$G$22-A2308))</f>
        <v/>
      </c>
      <c r="H2308">
        <f>SUMPRODUCT(Calc!$K$3:$K$22*(Calc!$G$3:$G$22&gt;B2308)*(Calc!$G$3:$G$22-B2308))</f>
        <v/>
      </c>
      <c r="I2308">
        <f>SUMPRODUCT(Calc!$K$3:$K$22*(Calc!$G$3:$G$22&gt;A2308)*(Calc!$G$3:$G$22-A2308)^2)</f>
        <v/>
      </c>
      <c r="J2308">
        <f>SUMPRODUCT(Calc!$K$3:$K$22*(Calc!$G$3:$G$22&gt;B2308)*(Calc!$G$3:$G$22-B2308)^2)</f>
        <v/>
      </c>
      <c r="K2308">
        <f>SUMPRODUCT(Calc!$K$3:$K$22*(Calc!$G$3:$G$22&gt;A2308)*(Calc!$G$3:$G$22-A2308)*(Calc!$G$3:$G$22&gt;B2308)*(Calc!$G$3:$G$22-B2308))</f>
        <v/>
      </c>
      <c r="L2308">
        <f>SUMPRODUCT(Calc!$K$3:$K$22*(Calc!$G$3:$G$22&gt;A2308)*(Calc!$G$3:$G$22-A2308)*Calc!$G$3:$G$22)</f>
        <v/>
      </c>
      <c r="M2308">
        <f>SUMPRODUCT(Calc!$K$3:$K$22*(Calc!$G$3:$G$22&gt;B2308)*(Calc!$G$3:$G$22-B2308)*Calc!$G$3:$G$22)</f>
        <v/>
      </c>
      <c r="N2308">
        <f>SUMPRODUCT(Calc!$K$3:$K$22*(Calc!$G$3:$G$22&gt;A2308)*(Calc!$G$3:$G$22-A2308)*Calc!$I$3:$I$22)</f>
        <v/>
      </c>
      <c r="O2308">
        <f>SUMPRODUCT(Calc!$K$3:$K$22*(Calc!$G$3:$G$22&gt;B2308)*(Calc!$G$3:$G$22-B2308)*Calc!$I$3:$I$22)</f>
        <v/>
      </c>
      <c r="P2308">
        <f>I2308-G2308^2/k_n</f>
        <v/>
      </c>
      <c r="Q2308">
        <f>J2308-H2308^2/k_n</f>
        <v/>
      </c>
      <c r="R2308">
        <f>K2308-G2308*H2308/k_n</f>
        <v/>
      </c>
      <c r="S2308">
        <f>L2308-LTP3!$D$3*G2308/k_n</f>
        <v/>
      </c>
      <c r="T2308">
        <f>M2308-LTP3!$D$3*H2308/k_n</f>
        <v/>
      </c>
      <c r="U2308">
        <f>N2308-G2308*LTP3!$D$4/k_n</f>
        <v/>
      </c>
      <c r="V2308">
        <f>O2308-H2308*LTP3!$D$4/k_n</f>
        <v/>
      </c>
      <c r="W2308">
        <f>((LTP3!$D$5)*((P2308)*(Q2308)-(R2308)*(R2308))-(S2308)*((S2308)*(Q2308)-(R2308)*(T2308))+(T2308)*((S2308)*(R2308)-(P2308)*(T2308)))</f>
        <v/>
      </c>
      <c r="X2308">
        <f>IF(ABS(W2308)&gt;1E-12,((LTP3!$D$6)*((P2308)*(Q2308)-(R2308)*(R2308))-(S2308)*((U2308)*(Q2308)-(R2308)*(V2308))+(T2308)*((U2308)*(R2308)-(P2308)*(V2308)))/W2308,0)</f>
        <v/>
      </c>
      <c r="Y2308">
        <f>IF(ABS(W2308)&gt;1E-12,((LTP3!$D$5)*((U2308)*(Q2308)-(R2308)*(V2308))-(LTP3!$D$6)*((S2308)*(Q2308)-(R2308)*(T2308))+(T2308)*((S2308)*(V2308)-(U2308)*(T2308)))/W2308,0)</f>
        <v/>
      </c>
      <c r="Z2308">
        <f>IF(ABS(W2308)&gt;1E-12,((LTP3!$D$5)*((P2308)*(V2308)-(U2308)*(R2308))-(S2308)*((S2308)*(V2308)-(U2308)*(T2308))+(LTP3!$D$6)*((S2308)*(R2308)-(P2308)*(T2308)))/W2308,0)</f>
        <v/>
      </c>
      <c r="AA2308">
        <f>LTP3!$D$7-X2308*LTP3!$D$6-Y2308*U2308-Z2308*V2308</f>
        <v/>
      </c>
      <c r="AB2308">
        <f>IF(AND(F2308,ABS(W2308)&gt;1E-12,Y2308&gt;0,Z2308&gt;0),AA2308,1E+300)</f>
        <v/>
      </c>
    </row>
    <row r="2309">
      <c r="A2309">
        <f>$B$3+$B$5*37</f>
        <v/>
      </c>
      <c r="B2309">
        <f>$B$3+$B$5*40</f>
        <v/>
      </c>
      <c r="C2309">
        <f>SUMPRODUCT(Calc!$K$3:$K$22*(Calc!$G$3:$G$22&lt;=A2309))</f>
        <v/>
      </c>
      <c r="D2309">
        <f>SUMPRODUCT(Calc!$K$3:$K$22*(Calc!$G$3:$G$22&gt;A2309)*(Calc!$G$3:$G$22&lt;B2309))</f>
        <v/>
      </c>
      <c r="E2309">
        <f>SUMPRODUCT(Calc!$K$3:$K$22*(Calc!$G$3:$G$22&gt;=B2309))</f>
        <v/>
      </c>
      <c r="F2309">
        <f>AND(k_n&gt;=5,B2309&gt;A2309+1E-9,C2309&gt;=2,D2309&gt;=1,E2309&gt;=2)</f>
        <v/>
      </c>
      <c r="G2309">
        <f>SUMPRODUCT(Calc!$K$3:$K$22*(Calc!$G$3:$G$22&gt;A2309)*(Calc!$G$3:$G$22-A2309))</f>
        <v/>
      </c>
      <c r="H2309">
        <f>SUMPRODUCT(Calc!$K$3:$K$22*(Calc!$G$3:$G$22&gt;B2309)*(Calc!$G$3:$G$22-B2309))</f>
        <v/>
      </c>
      <c r="I2309">
        <f>SUMPRODUCT(Calc!$K$3:$K$22*(Calc!$G$3:$G$22&gt;A2309)*(Calc!$G$3:$G$22-A2309)^2)</f>
        <v/>
      </c>
      <c r="J2309">
        <f>SUMPRODUCT(Calc!$K$3:$K$22*(Calc!$G$3:$G$22&gt;B2309)*(Calc!$G$3:$G$22-B2309)^2)</f>
        <v/>
      </c>
      <c r="K2309">
        <f>SUMPRODUCT(Calc!$K$3:$K$22*(Calc!$G$3:$G$22&gt;A2309)*(Calc!$G$3:$G$22-A2309)*(Calc!$G$3:$G$22&gt;B2309)*(Calc!$G$3:$G$22-B2309))</f>
        <v/>
      </c>
      <c r="L2309">
        <f>SUMPRODUCT(Calc!$K$3:$K$22*(Calc!$G$3:$G$22&gt;A2309)*(Calc!$G$3:$G$22-A2309)*Calc!$G$3:$G$22)</f>
        <v/>
      </c>
      <c r="M2309">
        <f>SUMPRODUCT(Calc!$K$3:$K$22*(Calc!$G$3:$G$22&gt;B2309)*(Calc!$G$3:$G$22-B2309)*Calc!$G$3:$G$22)</f>
        <v/>
      </c>
      <c r="N2309">
        <f>SUMPRODUCT(Calc!$K$3:$K$22*(Calc!$G$3:$G$22&gt;A2309)*(Calc!$G$3:$G$22-A2309)*Calc!$I$3:$I$22)</f>
        <v/>
      </c>
      <c r="O2309">
        <f>SUMPRODUCT(Calc!$K$3:$K$22*(Calc!$G$3:$G$22&gt;B2309)*(Calc!$G$3:$G$22-B2309)*Calc!$I$3:$I$22)</f>
        <v/>
      </c>
      <c r="P2309">
        <f>I2309-G2309^2/k_n</f>
        <v/>
      </c>
      <c r="Q2309">
        <f>J2309-H2309^2/k_n</f>
        <v/>
      </c>
      <c r="R2309">
        <f>K2309-G2309*H2309/k_n</f>
        <v/>
      </c>
      <c r="S2309">
        <f>L2309-LTP3!$D$3*G2309/k_n</f>
        <v/>
      </c>
      <c r="T2309">
        <f>M2309-LTP3!$D$3*H2309/k_n</f>
        <v/>
      </c>
      <c r="U2309">
        <f>N2309-G2309*LTP3!$D$4/k_n</f>
        <v/>
      </c>
      <c r="V2309">
        <f>O2309-H2309*LTP3!$D$4/k_n</f>
        <v/>
      </c>
      <c r="W2309">
        <f>((LTP3!$D$5)*((P2309)*(Q2309)-(R2309)*(R2309))-(S2309)*((S2309)*(Q2309)-(R2309)*(T2309))+(T2309)*((S2309)*(R2309)-(P2309)*(T2309)))</f>
        <v/>
      </c>
      <c r="X2309">
        <f>IF(ABS(W2309)&gt;1E-12,((LTP3!$D$6)*((P2309)*(Q2309)-(R2309)*(R2309))-(S2309)*((U2309)*(Q2309)-(R2309)*(V2309))+(T2309)*((U2309)*(R2309)-(P2309)*(V2309)))/W2309,0)</f>
        <v/>
      </c>
      <c r="Y2309">
        <f>IF(ABS(W2309)&gt;1E-12,((LTP3!$D$5)*((U2309)*(Q2309)-(R2309)*(V2309))-(LTP3!$D$6)*((S2309)*(Q2309)-(R2309)*(T2309))+(T2309)*((S2309)*(V2309)-(U2309)*(T2309)))/W2309,0)</f>
        <v/>
      </c>
      <c r="Z2309">
        <f>IF(ABS(W2309)&gt;1E-12,((LTP3!$D$5)*((P2309)*(V2309)-(U2309)*(R2309))-(S2309)*((S2309)*(V2309)-(U2309)*(T2309))+(LTP3!$D$6)*((S2309)*(R2309)-(P2309)*(T2309)))/W2309,0)</f>
        <v/>
      </c>
      <c r="AA2309">
        <f>LTP3!$D$7-X2309*LTP3!$D$6-Y2309*U2309-Z2309*V2309</f>
        <v/>
      </c>
      <c r="AB2309">
        <f>IF(AND(F2309,ABS(W2309)&gt;1E-12,Y2309&gt;0,Z2309&gt;0),AA2309,1E+300)</f>
        <v/>
      </c>
    </row>
    <row r="2310">
      <c r="A2310">
        <f>$B$3+$B$5*37</f>
        <v/>
      </c>
      <c r="B2310">
        <f>$B$3+$B$5*41</f>
        <v/>
      </c>
      <c r="C2310">
        <f>SUMPRODUCT(Calc!$K$3:$K$22*(Calc!$G$3:$G$22&lt;=A2310))</f>
        <v/>
      </c>
      <c r="D2310">
        <f>SUMPRODUCT(Calc!$K$3:$K$22*(Calc!$G$3:$G$22&gt;A2310)*(Calc!$G$3:$G$22&lt;B2310))</f>
        <v/>
      </c>
      <c r="E2310">
        <f>SUMPRODUCT(Calc!$K$3:$K$22*(Calc!$G$3:$G$22&gt;=B2310))</f>
        <v/>
      </c>
      <c r="F2310">
        <f>AND(k_n&gt;=5,B2310&gt;A2310+1E-9,C2310&gt;=2,D2310&gt;=1,E2310&gt;=2)</f>
        <v/>
      </c>
      <c r="G2310">
        <f>SUMPRODUCT(Calc!$K$3:$K$22*(Calc!$G$3:$G$22&gt;A2310)*(Calc!$G$3:$G$22-A2310))</f>
        <v/>
      </c>
      <c r="H2310">
        <f>SUMPRODUCT(Calc!$K$3:$K$22*(Calc!$G$3:$G$22&gt;B2310)*(Calc!$G$3:$G$22-B2310))</f>
        <v/>
      </c>
      <c r="I2310">
        <f>SUMPRODUCT(Calc!$K$3:$K$22*(Calc!$G$3:$G$22&gt;A2310)*(Calc!$G$3:$G$22-A2310)^2)</f>
        <v/>
      </c>
      <c r="J2310">
        <f>SUMPRODUCT(Calc!$K$3:$K$22*(Calc!$G$3:$G$22&gt;B2310)*(Calc!$G$3:$G$22-B2310)^2)</f>
        <v/>
      </c>
      <c r="K2310">
        <f>SUMPRODUCT(Calc!$K$3:$K$22*(Calc!$G$3:$G$22&gt;A2310)*(Calc!$G$3:$G$22-A2310)*(Calc!$G$3:$G$22&gt;B2310)*(Calc!$G$3:$G$22-B2310))</f>
        <v/>
      </c>
      <c r="L2310">
        <f>SUMPRODUCT(Calc!$K$3:$K$22*(Calc!$G$3:$G$22&gt;A2310)*(Calc!$G$3:$G$22-A2310)*Calc!$G$3:$G$22)</f>
        <v/>
      </c>
      <c r="M2310">
        <f>SUMPRODUCT(Calc!$K$3:$K$22*(Calc!$G$3:$G$22&gt;B2310)*(Calc!$G$3:$G$22-B2310)*Calc!$G$3:$G$22)</f>
        <v/>
      </c>
      <c r="N2310">
        <f>SUMPRODUCT(Calc!$K$3:$K$22*(Calc!$G$3:$G$22&gt;A2310)*(Calc!$G$3:$G$22-A2310)*Calc!$I$3:$I$22)</f>
        <v/>
      </c>
      <c r="O2310">
        <f>SUMPRODUCT(Calc!$K$3:$K$22*(Calc!$G$3:$G$22&gt;B2310)*(Calc!$G$3:$G$22-B2310)*Calc!$I$3:$I$22)</f>
        <v/>
      </c>
      <c r="P2310">
        <f>I2310-G2310^2/k_n</f>
        <v/>
      </c>
      <c r="Q2310">
        <f>J2310-H2310^2/k_n</f>
        <v/>
      </c>
      <c r="R2310">
        <f>K2310-G2310*H2310/k_n</f>
        <v/>
      </c>
      <c r="S2310">
        <f>L2310-LTP3!$D$3*G2310/k_n</f>
        <v/>
      </c>
      <c r="T2310">
        <f>M2310-LTP3!$D$3*H2310/k_n</f>
        <v/>
      </c>
      <c r="U2310">
        <f>N2310-G2310*LTP3!$D$4/k_n</f>
        <v/>
      </c>
      <c r="V2310">
        <f>O2310-H2310*LTP3!$D$4/k_n</f>
        <v/>
      </c>
      <c r="W2310">
        <f>((LTP3!$D$5)*((P2310)*(Q2310)-(R2310)*(R2310))-(S2310)*((S2310)*(Q2310)-(R2310)*(T2310))+(T2310)*((S2310)*(R2310)-(P2310)*(T2310)))</f>
        <v/>
      </c>
      <c r="X2310">
        <f>IF(ABS(W2310)&gt;1E-12,((LTP3!$D$6)*((P2310)*(Q2310)-(R2310)*(R2310))-(S2310)*((U2310)*(Q2310)-(R2310)*(V2310))+(T2310)*((U2310)*(R2310)-(P2310)*(V2310)))/W2310,0)</f>
        <v/>
      </c>
      <c r="Y2310">
        <f>IF(ABS(W2310)&gt;1E-12,((LTP3!$D$5)*((U2310)*(Q2310)-(R2310)*(V2310))-(LTP3!$D$6)*((S2310)*(Q2310)-(R2310)*(T2310))+(T2310)*((S2310)*(V2310)-(U2310)*(T2310)))/W2310,0)</f>
        <v/>
      </c>
      <c r="Z2310">
        <f>IF(ABS(W2310)&gt;1E-12,((LTP3!$D$5)*((P2310)*(V2310)-(U2310)*(R2310))-(S2310)*((S2310)*(V2310)-(U2310)*(T2310))+(LTP3!$D$6)*((S2310)*(R2310)-(P2310)*(T2310)))/W2310,0)</f>
        <v/>
      </c>
      <c r="AA2310">
        <f>LTP3!$D$7-X2310*LTP3!$D$6-Y2310*U2310-Z2310*V2310</f>
        <v/>
      </c>
      <c r="AB2310">
        <f>IF(AND(F2310,ABS(W2310)&gt;1E-12,Y2310&gt;0,Z2310&gt;0),AA2310,1E+300)</f>
        <v/>
      </c>
    </row>
    <row r="2311">
      <c r="A2311">
        <f>$B$3+$B$5*37</f>
        <v/>
      </c>
      <c r="B2311">
        <f>$B$3+$B$5*42</f>
        <v/>
      </c>
      <c r="C2311">
        <f>SUMPRODUCT(Calc!$K$3:$K$22*(Calc!$G$3:$G$22&lt;=A2311))</f>
        <v/>
      </c>
      <c r="D2311">
        <f>SUMPRODUCT(Calc!$K$3:$K$22*(Calc!$G$3:$G$22&gt;A2311)*(Calc!$G$3:$G$22&lt;B2311))</f>
        <v/>
      </c>
      <c r="E2311">
        <f>SUMPRODUCT(Calc!$K$3:$K$22*(Calc!$G$3:$G$22&gt;=B2311))</f>
        <v/>
      </c>
      <c r="F2311">
        <f>AND(k_n&gt;=5,B2311&gt;A2311+1E-9,C2311&gt;=2,D2311&gt;=1,E2311&gt;=2)</f>
        <v/>
      </c>
      <c r="G2311">
        <f>SUMPRODUCT(Calc!$K$3:$K$22*(Calc!$G$3:$G$22&gt;A2311)*(Calc!$G$3:$G$22-A2311))</f>
        <v/>
      </c>
      <c r="H2311">
        <f>SUMPRODUCT(Calc!$K$3:$K$22*(Calc!$G$3:$G$22&gt;B2311)*(Calc!$G$3:$G$22-B2311))</f>
        <v/>
      </c>
      <c r="I2311">
        <f>SUMPRODUCT(Calc!$K$3:$K$22*(Calc!$G$3:$G$22&gt;A2311)*(Calc!$G$3:$G$22-A2311)^2)</f>
        <v/>
      </c>
      <c r="J2311">
        <f>SUMPRODUCT(Calc!$K$3:$K$22*(Calc!$G$3:$G$22&gt;B2311)*(Calc!$G$3:$G$22-B2311)^2)</f>
        <v/>
      </c>
      <c r="K2311">
        <f>SUMPRODUCT(Calc!$K$3:$K$22*(Calc!$G$3:$G$22&gt;A2311)*(Calc!$G$3:$G$22-A2311)*(Calc!$G$3:$G$22&gt;B2311)*(Calc!$G$3:$G$22-B2311))</f>
        <v/>
      </c>
      <c r="L2311">
        <f>SUMPRODUCT(Calc!$K$3:$K$22*(Calc!$G$3:$G$22&gt;A2311)*(Calc!$G$3:$G$22-A2311)*Calc!$G$3:$G$22)</f>
        <v/>
      </c>
      <c r="M2311">
        <f>SUMPRODUCT(Calc!$K$3:$K$22*(Calc!$G$3:$G$22&gt;B2311)*(Calc!$G$3:$G$22-B2311)*Calc!$G$3:$G$22)</f>
        <v/>
      </c>
      <c r="N2311">
        <f>SUMPRODUCT(Calc!$K$3:$K$22*(Calc!$G$3:$G$22&gt;A2311)*(Calc!$G$3:$G$22-A2311)*Calc!$I$3:$I$22)</f>
        <v/>
      </c>
      <c r="O2311">
        <f>SUMPRODUCT(Calc!$K$3:$K$22*(Calc!$G$3:$G$22&gt;B2311)*(Calc!$G$3:$G$22-B2311)*Calc!$I$3:$I$22)</f>
        <v/>
      </c>
      <c r="P2311">
        <f>I2311-G2311^2/k_n</f>
        <v/>
      </c>
      <c r="Q2311">
        <f>J2311-H2311^2/k_n</f>
        <v/>
      </c>
      <c r="R2311">
        <f>K2311-G2311*H2311/k_n</f>
        <v/>
      </c>
      <c r="S2311">
        <f>L2311-LTP3!$D$3*G2311/k_n</f>
        <v/>
      </c>
      <c r="T2311">
        <f>M2311-LTP3!$D$3*H2311/k_n</f>
        <v/>
      </c>
      <c r="U2311">
        <f>N2311-G2311*LTP3!$D$4/k_n</f>
        <v/>
      </c>
      <c r="V2311">
        <f>O2311-H2311*LTP3!$D$4/k_n</f>
        <v/>
      </c>
      <c r="W2311">
        <f>((LTP3!$D$5)*((P2311)*(Q2311)-(R2311)*(R2311))-(S2311)*((S2311)*(Q2311)-(R2311)*(T2311))+(T2311)*((S2311)*(R2311)-(P2311)*(T2311)))</f>
        <v/>
      </c>
      <c r="X2311">
        <f>IF(ABS(W2311)&gt;1E-12,((LTP3!$D$6)*((P2311)*(Q2311)-(R2311)*(R2311))-(S2311)*((U2311)*(Q2311)-(R2311)*(V2311))+(T2311)*((U2311)*(R2311)-(P2311)*(V2311)))/W2311,0)</f>
        <v/>
      </c>
      <c r="Y2311">
        <f>IF(ABS(W2311)&gt;1E-12,((LTP3!$D$5)*((U2311)*(Q2311)-(R2311)*(V2311))-(LTP3!$D$6)*((S2311)*(Q2311)-(R2311)*(T2311))+(T2311)*((S2311)*(V2311)-(U2311)*(T2311)))/W2311,0)</f>
        <v/>
      </c>
      <c r="Z2311">
        <f>IF(ABS(W2311)&gt;1E-12,((LTP3!$D$5)*((P2311)*(V2311)-(U2311)*(R2311))-(S2311)*((S2311)*(V2311)-(U2311)*(T2311))+(LTP3!$D$6)*((S2311)*(R2311)-(P2311)*(T2311)))/W2311,0)</f>
        <v/>
      </c>
      <c r="AA2311">
        <f>LTP3!$D$7-X2311*LTP3!$D$6-Y2311*U2311-Z2311*V2311</f>
        <v/>
      </c>
      <c r="AB2311">
        <f>IF(AND(F2311,ABS(W2311)&gt;1E-12,Y2311&gt;0,Z2311&gt;0),AA2311,1E+300)</f>
        <v/>
      </c>
    </row>
    <row r="2312">
      <c r="A2312">
        <f>$B$3+$B$5*37</f>
        <v/>
      </c>
      <c r="B2312">
        <f>$B$3+$B$5*43</f>
        <v/>
      </c>
      <c r="C2312">
        <f>SUMPRODUCT(Calc!$K$3:$K$22*(Calc!$G$3:$G$22&lt;=A2312))</f>
        <v/>
      </c>
      <c r="D2312">
        <f>SUMPRODUCT(Calc!$K$3:$K$22*(Calc!$G$3:$G$22&gt;A2312)*(Calc!$G$3:$G$22&lt;B2312))</f>
        <v/>
      </c>
      <c r="E2312">
        <f>SUMPRODUCT(Calc!$K$3:$K$22*(Calc!$G$3:$G$22&gt;=B2312))</f>
        <v/>
      </c>
      <c r="F2312">
        <f>AND(k_n&gt;=5,B2312&gt;A2312+1E-9,C2312&gt;=2,D2312&gt;=1,E2312&gt;=2)</f>
        <v/>
      </c>
      <c r="G2312">
        <f>SUMPRODUCT(Calc!$K$3:$K$22*(Calc!$G$3:$G$22&gt;A2312)*(Calc!$G$3:$G$22-A2312))</f>
        <v/>
      </c>
      <c r="H2312">
        <f>SUMPRODUCT(Calc!$K$3:$K$22*(Calc!$G$3:$G$22&gt;B2312)*(Calc!$G$3:$G$22-B2312))</f>
        <v/>
      </c>
      <c r="I2312">
        <f>SUMPRODUCT(Calc!$K$3:$K$22*(Calc!$G$3:$G$22&gt;A2312)*(Calc!$G$3:$G$22-A2312)^2)</f>
        <v/>
      </c>
      <c r="J2312">
        <f>SUMPRODUCT(Calc!$K$3:$K$22*(Calc!$G$3:$G$22&gt;B2312)*(Calc!$G$3:$G$22-B2312)^2)</f>
        <v/>
      </c>
      <c r="K2312">
        <f>SUMPRODUCT(Calc!$K$3:$K$22*(Calc!$G$3:$G$22&gt;A2312)*(Calc!$G$3:$G$22-A2312)*(Calc!$G$3:$G$22&gt;B2312)*(Calc!$G$3:$G$22-B2312))</f>
        <v/>
      </c>
      <c r="L2312">
        <f>SUMPRODUCT(Calc!$K$3:$K$22*(Calc!$G$3:$G$22&gt;A2312)*(Calc!$G$3:$G$22-A2312)*Calc!$G$3:$G$22)</f>
        <v/>
      </c>
      <c r="M2312">
        <f>SUMPRODUCT(Calc!$K$3:$K$22*(Calc!$G$3:$G$22&gt;B2312)*(Calc!$G$3:$G$22-B2312)*Calc!$G$3:$G$22)</f>
        <v/>
      </c>
      <c r="N2312">
        <f>SUMPRODUCT(Calc!$K$3:$K$22*(Calc!$G$3:$G$22&gt;A2312)*(Calc!$G$3:$G$22-A2312)*Calc!$I$3:$I$22)</f>
        <v/>
      </c>
      <c r="O2312">
        <f>SUMPRODUCT(Calc!$K$3:$K$22*(Calc!$G$3:$G$22&gt;B2312)*(Calc!$G$3:$G$22-B2312)*Calc!$I$3:$I$22)</f>
        <v/>
      </c>
      <c r="P2312">
        <f>I2312-G2312^2/k_n</f>
        <v/>
      </c>
      <c r="Q2312">
        <f>J2312-H2312^2/k_n</f>
        <v/>
      </c>
      <c r="R2312">
        <f>K2312-G2312*H2312/k_n</f>
        <v/>
      </c>
      <c r="S2312">
        <f>L2312-LTP3!$D$3*G2312/k_n</f>
        <v/>
      </c>
      <c r="T2312">
        <f>M2312-LTP3!$D$3*H2312/k_n</f>
        <v/>
      </c>
      <c r="U2312">
        <f>N2312-G2312*LTP3!$D$4/k_n</f>
        <v/>
      </c>
      <c r="V2312">
        <f>O2312-H2312*LTP3!$D$4/k_n</f>
        <v/>
      </c>
      <c r="W2312">
        <f>((LTP3!$D$5)*((P2312)*(Q2312)-(R2312)*(R2312))-(S2312)*((S2312)*(Q2312)-(R2312)*(T2312))+(T2312)*((S2312)*(R2312)-(P2312)*(T2312)))</f>
        <v/>
      </c>
      <c r="X2312">
        <f>IF(ABS(W2312)&gt;1E-12,((LTP3!$D$6)*((P2312)*(Q2312)-(R2312)*(R2312))-(S2312)*((U2312)*(Q2312)-(R2312)*(V2312))+(T2312)*((U2312)*(R2312)-(P2312)*(V2312)))/W2312,0)</f>
        <v/>
      </c>
      <c r="Y2312">
        <f>IF(ABS(W2312)&gt;1E-12,((LTP3!$D$5)*((U2312)*(Q2312)-(R2312)*(V2312))-(LTP3!$D$6)*((S2312)*(Q2312)-(R2312)*(T2312))+(T2312)*((S2312)*(V2312)-(U2312)*(T2312)))/W2312,0)</f>
        <v/>
      </c>
      <c r="Z2312">
        <f>IF(ABS(W2312)&gt;1E-12,((LTP3!$D$5)*((P2312)*(V2312)-(U2312)*(R2312))-(S2312)*((S2312)*(V2312)-(U2312)*(T2312))+(LTP3!$D$6)*((S2312)*(R2312)-(P2312)*(T2312)))/W2312,0)</f>
        <v/>
      </c>
      <c r="AA2312">
        <f>LTP3!$D$7-X2312*LTP3!$D$6-Y2312*U2312-Z2312*V2312</f>
        <v/>
      </c>
      <c r="AB2312">
        <f>IF(AND(F2312,ABS(W2312)&gt;1E-12,Y2312&gt;0,Z2312&gt;0),AA2312,1E+300)</f>
        <v/>
      </c>
    </row>
    <row r="2313">
      <c r="A2313">
        <f>$B$3+$B$5*37</f>
        <v/>
      </c>
      <c r="B2313">
        <f>$B$3+$B$5*44</f>
        <v/>
      </c>
      <c r="C2313">
        <f>SUMPRODUCT(Calc!$K$3:$K$22*(Calc!$G$3:$G$22&lt;=A2313))</f>
        <v/>
      </c>
      <c r="D2313">
        <f>SUMPRODUCT(Calc!$K$3:$K$22*(Calc!$G$3:$G$22&gt;A2313)*(Calc!$G$3:$G$22&lt;B2313))</f>
        <v/>
      </c>
      <c r="E2313">
        <f>SUMPRODUCT(Calc!$K$3:$K$22*(Calc!$G$3:$G$22&gt;=B2313))</f>
        <v/>
      </c>
      <c r="F2313">
        <f>AND(k_n&gt;=5,B2313&gt;A2313+1E-9,C2313&gt;=2,D2313&gt;=1,E2313&gt;=2)</f>
        <v/>
      </c>
      <c r="G2313">
        <f>SUMPRODUCT(Calc!$K$3:$K$22*(Calc!$G$3:$G$22&gt;A2313)*(Calc!$G$3:$G$22-A2313))</f>
        <v/>
      </c>
      <c r="H2313">
        <f>SUMPRODUCT(Calc!$K$3:$K$22*(Calc!$G$3:$G$22&gt;B2313)*(Calc!$G$3:$G$22-B2313))</f>
        <v/>
      </c>
      <c r="I2313">
        <f>SUMPRODUCT(Calc!$K$3:$K$22*(Calc!$G$3:$G$22&gt;A2313)*(Calc!$G$3:$G$22-A2313)^2)</f>
        <v/>
      </c>
      <c r="J2313">
        <f>SUMPRODUCT(Calc!$K$3:$K$22*(Calc!$G$3:$G$22&gt;B2313)*(Calc!$G$3:$G$22-B2313)^2)</f>
        <v/>
      </c>
      <c r="K2313">
        <f>SUMPRODUCT(Calc!$K$3:$K$22*(Calc!$G$3:$G$22&gt;A2313)*(Calc!$G$3:$G$22-A2313)*(Calc!$G$3:$G$22&gt;B2313)*(Calc!$G$3:$G$22-B2313))</f>
        <v/>
      </c>
      <c r="L2313">
        <f>SUMPRODUCT(Calc!$K$3:$K$22*(Calc!$G$3:$G$22&gt;A2313)*(Calc!$G$3:$G$22-A2313)*Calc!$G$3:$G$22)</f>
        <v/>
      </c>
      <c r="M2313">
        <f>SUMPRODUCT(Calc!$K$3:$K$22*(Calc!$G$3:$G$22&gt;B2313)*(Calc!$G$3:$G$22-B2313)*Calc!$G$3:$G$22)</f>
        <v/>
      </c>
      <c r="N2313">
        <f>SUMPRODUCT(Calc!$K$3:$K$22*(Calc!$G$3:$G$22&gt;A2313)*(Calc!$G$3:$G$22-A2313)*Calc!$I$3:$I$22)</f>
        <v/>
      </c>
      <c r="O2313">
        <f>SUMPRODUCT(Calc!$K$3:$K$22*(Calc!$G$3:$G$22&gt;B2313)*(Calc!$G$3:$G$22-B2313)*Calc!$I$3:$I$22)</f>
        <v/>
      </c>
      <c r="P2313">
        <f>I2313-G2313^2/k_n</f>
        <v/>
      </c>
      <c r="Q2313">
        <f>J2313-H2313^2/k_n</f>
        <v/>
      </c>
      <c r="R2313">
        <f>K2313-G2313*H2313/k_n</f>
        <v/>
      </c>
      <c r="S2313">
        <f>L2313-LTP3!$D$3*G2313/k_n</f>
        <v/>
      </c>
      <c r="T2313">
        <f>M2313-LTP3!$D$3*H2313/k_n</f>
        <v/>
      </c>
      <c r="U2313">
        <f>N2313-G2313*LTP3!$D$4/k_n</f>
        <v/>
      </c>
      <c r="V2313">
        <f>O2313-H2313*LTP3!$D$4/k_n</f>
        <v/>
      </c>
      <c r="W2313">
        <f>((LTP3!$D$5)*((P2313)*(Q2313)-(R2313)*(R2313))-(S2313)*((S2313)*(Q2313)-(R2313)*(T2313))+(T2313)*((S2313)*(R2313)-(P2313)*(T2313)))</f>
        <v/>
      </c>
      <c r="X2313">
        <f>IF(ABS(W2313)&gt;1E-12,((LTP3!$D$6)*((P2313)*(Q2313)-(R2313)*(R2313))-(S2313)*((U2313)*(Q2313)-(R2313)*(V2313))+(T2313)*((U2313)*(R2313)-(P2313)*(V2313)))/W2313,0)</f>
        <v/>
      </c>
      <c r="Y2313">
        <f>IF(ABS(W2313)&gt;1E-12,((LTP3!$D$5)*((U2313)*(Q2313)-(R2313)*(V2313))-(LTP3!$D$6)*((S2313)*(Q2313)-(R2313)*(T2313))+(T2313)*((S2313)*(V2313)-(U2313)*(T2313)))/W2313,0)</f>
        <v/>
      </c>
      <c r="Z2313">
        <f>IF(ABS(W2313)&gt;1E-12,((LTP3!$D$5)*((P2313)*(V2313)-(U2313)*(R2313))-(S2313)*((S2313)*(V2313)-(U2313)*(T2313))+(LTP3!$D$6)*((S2313)*(R2313)-(P2313)*(T2313)))/W2313,0)</f>
        <v/>
      </c>
      <c r="AA2313">
        <f>LTP3!$D$7-X2313*LTP3!$D$6-Y2313*U2313-Z2313*V2313</f>
        <v/>
      </c>
      <c r="AB2313">
        <f>IF(AND(F2313,ABS(W2313)&gt;1E-12,Y2313&gt;0,Z2313&gt;0),AA2313,1E+300)</f>
        <v/>
      </c>
    </row>
    <row r="2314">
      <c r="A2314">
        <f>$B$3+$B$5*37</f>
        <v/>
      </c>
      <c r="B2314">
        <f>$B$3+$B$5*45</f>
        <v/>
      </c>
      <c r="C2314">
        <f>SUMPRODUCT(Calc!$K$3:$K$22*(Calc!$G$3:$G$22&lt;=A2314))</f>
        <v/>
      </c>
      <c r="D2314">
        <f>SUMPRODUCT(Calc!$K$3:$K$22*(Calc!$G$3:$G$22&gt;A2314)*(Calc!$G$3:$G$22&lt;B2314))</f>
        <v/>
      </c>
      <c r="E2314">
        <f>SUMPRODUCT(Calc!$K$3:$K$22*(Calc!$G$3:$G$22&gt;=B2314))</f>
        <v/>
      </c>
      <c r="F2314">
        <f>AND(k_n&gt;=5,B2314&gt;A2314+1E-9,C2314&gt;=2,D2314&gt;=1,E2314&gt;=2)</f>
        <v/>
      </c>
      <c r="G2314">
        <f>SUMPRODUCT(Calc!$K$3:$K$22*(Calc!$G$3:$G$22&gt;A2314)*(Calc!$G$3:$G$22-A2314))</f>
        <v/>
      </c>
      <c r="H2314">
        <f>SUMPRODUCT(Calc!$K$3:$K$22*(Calc!$G$3:$G$22&gt;B2314)*(Calc!$G$3:$G$22-B2314))</f>
        <v/>
      </c>
      <c r="I2314">
        <f>SUMPRODUCT(Calc!$K$3:$K$22*(Calc!$G$3:$G$22&gt;A2314)*(Calc!$G$3:$G$22-A2314)^2)</f>
        <v/>
      </c>
      <c r="J2314">
        <f>SUMPRODUCT(Calc!$K$3:$K$22*(Calc!$G$3:$G$22&gt;B2314)*(Calc!$G$3:$G$22-B2314)^2)</f>
        <v/>
      </c>
      <c r="K2314">
        <f>SUMPRODUCT(Calc!$K$3:$K$22*(Calc!$G$3:$G$22&gt;A2314)*(Calc!$G$3:$G$22-A2314)*(Calc!$G$3:$G$22&gt;B2314)*(Calc!$G$3:$G$22-B2314))</f>
        <v/>
      </c>
      <c r="L2314">
        <f>SUMPRODUCT(Calc!$K$3:$K$22*(Calc!$G$3:$G$22&gt;A2314)*(Calc!$G$3:$G$22-A2314)*Calc!$G$3:$G$22)</f>
        <v/>
      </c>
      <c r="M2314">
        <f>SUMPRODUCT(Calc!$K$3:$K$22*(Calc!$G$3:$G$22&gt;B2314)*(Calc!$G$3:$G$22-B2314)*Calc!$G$3:$G$22)</f>
        <v/>
      </c>
      <c r="N2314">
        <f>SUMPRODUCT(Calc!$K$3:$K$22*(Calc!$G$3:$G$22&gt;A2314)*(Calc!$G$3:$G$22-A2314)*Calc!$I$3:$I$22)</f>
        <v/>
      </c>
      <c r="O2314">
        <f>SUMPRODUCT(Calc!$K$3:$K$22*(Calc!$G$3:$G$22&gt;B2314)*(Calc!$G$3:$G$22-B2314)*Calc!$I$3:$I$22)</f>
        <v/>
      </c>
      <c r="P2314">
        <f>I2314-G2314^2/k_n</f>
        <v/>
      </c>
      <c r="Q2314">
        <f>J2314-H2314^2/k_n</f>
        <v/>
      </c>
      <c r="R2314">
        <f>K2314-G2314*H2314/k_n</f>
        <v/>
      </c>
      <c r="S2314">
        <f>L2314-LTP3!$D$3*G2314/k_n</f>
        <v/>
      </c>
      <c r="T2314">
        <f>M2314-LTP3!$D$3*H2314/k_n</f>
        <v/>
      </c>
      <c r="U2314">
        <f>N2314-G2314*LTP3!$D$4/k_n</f>
        <v/>
      </c>
      <c r="V2314">
        <f>O2314-H2314*LTP3!$D$4/k_n</f>
        <v/>
      </c>
      <c r="W2314">
        <f>((LTP3!$D$5)*((P2314)*(Q2314)-(R2314)*(R2314))-(S2314)*((S2314)*(Q2314)-(R2314)*(T2314))+(T2314)*((S2314)*(R2314)-(P2314)*(T2314)))</f>
        <v/>
      </c>
      <c r="X2314">
        <f>IF(ABS(W2314)&gt;1E-12,((LTP3!$D$6)*((P2314)*(Q2314)-(R2314)*(R2314))-(S2314)*((U2314)*(Q2314)-(R2314)*(V2314))+(T2314)*((U2314)*(R2314)-(P2314)*(V2314)))/W2314,0)</f>
        <v/>
      </c>
      <c r="Y2314">
        <f>IF(ABS(W2314)&gt;1E-12,((LTP3!$D$5)*((U2314)*(Q2314)-(R2314)*(V2314))-(LTP3!$D$6)*((S2314)*(Q2314)-(R2314)*(T2314))+(T2314)*((S2314)*(V2314)-(U2314)*(T2314)))/W2314,0)</f>
        <v/>
      </c>
      <c r="Z2314">
        <f>IF(ABS(W2314)&gt;1E-12,((LTP3!$D$5)*((P2314)*(V2314)-(U2314)*(R2314))-(S2314)*((S2314)*(V2314)-(U2314)*(T2314))+(LTP3!$D$6)*((S2314)*(R2314)-(P2314)*(T2314)))/W2314,0)</f>
        <v/>
      </c>
      <c r="AA2314">
        <f>LTP3!$D$7-X2314*LTP3!$D$6-Y2314*U2314-Z2314*V2314</f>
        <v/>
      </c>
      <c r="AB2314">
        <f>IF(AND(F2314,ABS(W2314)&gt;1E-12,Y2314&gt;0,Z2314&gt;0),AA2314,1E+300)</f>
        <v/>
      </c>
    </row>
    <row r="2315">
      <c r="A2315">
        <f>$B$3+$B$5*37</f>
        <v/>
      </c>
      <c r="B2315">
        <f>$B$3+$B$5*46</f>
        <v/>
      </c>
      <c r="C2315">
        <f>SUMPRODUCT(Calc!$K$3:$K$22*(Calc!$G$3:$G$22&lt;=A2315))</f>
        <v/>
      </c>
      <c r="D2315">
        <f>SUMPRODUCT(Calc!$K$3:$K$22*(Calc!$G$3:$G$22&gt;A2315)*(Calc!$G$3:$G$22&lt;B2315))</f>
        <v/>
      </c>
      <c r="E2315">
        <f>SUMPRODUCT(Calc!$K$3:$K$22*(Calc!$G$3:$G$22&gt;=B2315))</f>
        <v/>
      </c>
      <c r="F2315">
        <f>AND(k_n&gt;=5,B2315&gt;A2315+1E-9,C2315&gt;=2,D2315&gt;=1,E2315&gt;=2)</f>
        <v/>
      </c>
      <c r="G2315">
        <f>SUMPRODUCT(Calc!$K$3:$K$22*(Calc!$G$3:$G$22&gt;A2315)*(Calc!$G$3:$G$22-A2315))</f>
        <v/>
      </c>
      <c r="H2315">
        <f>SUMPRODUCT(Calc!$K$3:$K$22*(Calc!$G$3:$G$22&gt;B2315)*(Calc!$G$3:$G$22-B2315))</f>
        <v/>
      </c>
      <c r="I2315">
        <f>SUMPRODUCT(Calc!$K$3:$K$22*(Calc!$G$3:$G$22&gt;A2315)*(Calc!$G$3:$G$22-A2315)^2)</f>
        <v/>
      </c>
      <c r="J2315">
        <f>SUMPRODUCT(Calc!$K$3:$K$22*(Calc!$G$3:$G$22&gt;B2315)*(Calc!$G$3:$G$22-B2315)^2)</f>
        <v/>
      </c>
      <c r="K2315">
        <f>SUMPRODUCT(Calc!$K$3:$K$22*(Calc!$G$3:$G$22&gt;A2315)*(Calc!$G$3:$G$22-A2315)*(Calc!$G$3:$G$22&gt;B2315)*(Calc!$G$3:$G$22-B2315))</f>
        <v/>
      </c>
      <c r="L2315">
        <f>SUMPRODUCT(Calc!$K$3:$K$22*(Calc!$G$3:$G$22&gt;A2315)*(Calc!$G$3:$G$22-A2315)*Calc!$G$3:$G$22)</f>
        <v/>
      </c>
      <c r="M2315">
        <f>SUMPRODUCT(Calc!$K$3:$K$22*(Calc!$G$3:$G$22&gt;B2315)*(Calc!$G$3:$G$22-B2315)*Calc!$G$3:$G$22)</f>
        <v/>
      </c>
      <c r="N2315">
        <f>SUMPRODUCT(Calc!$K$3:$K$22*(Calc!$G$3:$G$22&gt;A2315)*(Calc!$G$3:$G$22-A2315)*Calc!$I$3:$I$22)</f>
        <v/>
      </c>
      <c r="O2315">
        <f>SUMPRODUCT(Calc!$K$3:$K$22*(Calc!$G$3:$G$22&gt;B2315)*(Calc!$G$3:$G$22-B2315)*Calc!$I$3:$I$22)</f>
        <v/>
      </c>
      <c r="P2315">
        <f>I2315-G2315^2/k_n</f>
        <v/>
      </c>
      <c r="Q2315">
        <f>J2315-H2315^2/k_n</f>
        <v/>
      </c>
      <c r="R2315">
        <f>K2315-G2315*H2315/k_n</f>
        <v/>
      </c>
      <c r="S2315">
        <f>L2315-LTP3!$D$3*G2315/k_n</f>
        <v/>
      </c>
      <c r="T2315">
        <f>M2315-LTP3!$D$3*H2315/k_n</f>
        <v/>
      </c>
      <c r="U2315">
        <f>N2315-G2315*LTP3!$D$4/k_n</f>
        <v/>
      </c>
      <c r="V2315">
        <f>O2315-H2315*LTP3!$D$4/k_n</f>
        <v/>
      </c>
      <c r="W2315">
        <f>((LTP3!$D$5)*((P2315)*(Q2315)-(R2315)*(R2315))-(S2315)*((S2315)*(Q2315)-(R2315)*(T2315))+(T2315)*((S2315)*(R2315)-(P2315)*(T2315)))</f>
        <v/>
      </c>
      <c r="X2315">
        <f>IF(ABS(W2315)&gt;1E-12,((LTP3!$D$6)*((P2315)*(Q2315)-(R2315)*(R2315))-(S2315)*((U2315)*(Q2315)-(R2315)*(V2315))+(T2315)*((U2315)*(R2315)-(P2315)*(V2315)))/W2315,0)</f>
        <v/>
      </c>
      <c r="Y2315">
        <f>IF(ABS(W2315)&gt;1E-12,((LTP3!$D$5)*((U2315)*(Q2315)-(R2315)*(V2315))-(LTP3!$D$6)*((S2315)*(Q2315)-(R2315)*(T2315))+(T2315)*((S2315)*(V2315)-(U2315)*(T2315)))/W2315,0)</f>
        <v/>
      </c>
      <c r="Z2315">
        <f>IF(ABS(W2315)&gt;1E-12,((LTP3!$D$5)*((P2315)*(V2315)-(U2315)*(R2315))-(S2315)*((S2315)*(V2315)-(U2315)*(T2315))+(LTP3!$D$6)*((S2315)*(R2315)-(P2315)*(T2315)))/W2315,0)</f>
        <v/>
      </c>
      <c r="AA2315">
        <f>LTP3!$D$7-X2315*LTP3!$D$6-Y2315*U2315-Z2315*V2315</f>
        <v/>
      </c>
      <c r="AB2315">
        <f>IF(AND(F2315,ABS(W2315)&gt;1E-12,Y2315&gt;0,Z2315&gt;0),AA2315,1E+300)</f>
        <v/>
      </c>
    </row>
    <row r="2316">
      <c r="A2316">
        <f>$B$3+$B$5*37</f>
        <v/>
      </c>
      <c r="B2316">
        <f>$B$3+$B$5*47</f>
        <v/>
      </c>
      <c r="C2316">
        <f>SUMPRODUCT(Calc!$K$3:$K$22*(Calc!$G$3:$G$22&lt;=A2316))</f>
        <v/>
      </c>
      <c r="D2316">
        <f>SUMPRODUCT(Calc!$K$3:$K$22*(Calc!$G$3:$G$22&gt;A2316)*(Calc!$G$3:$G$22&lt;B2316))</f>
        <v/>
      </c>
      <c r="E2316">
        <f>SUMPRODUCT(Calc!$K$3:$K$22*(Calc!$G$3:$G$22&gt;=B2316))</f>
        <v/>
      </c>
      <c r="F2316">
        <f>AND(k_n&gt;=5,B2316&gt;A2316+1E-9,C2316&gt;=2,D2316&gt;=1,E2316&gt;=2)</f>
        <v/>
      </c>
      <c r="G2316">
        <f>SUMPRODUCT(Calc!$K$3:$K$22*(Calc!$G$3:$G$22&gt;A2316)*(Calc!$G$3:$G$22-A2316))</f>
        <v/>
      </c>
      <c r="H2316">
        <f>SUMPRODUCT(Calc!$K$3:$K$22*(Calc!$G$3:$G$22&gt;B2316)*(Calc!$G$3:$G$22-B2316))</f>
        <v/>
      </c>
      <c r="I2316">
        <f>SUMPRODUCT(Calc!$K$3:$K$22*(Calc!$G$3:$G$22&gt;A2316)*(Calc!$G$3:$G$22-A2316)^2)</f>
        <v/>
      </c>
      <c r="J2316">
        <f>SUMPRODUCT(Calc!$K$3:$K$22*(Calc!$G$3:$G$22&gt;B2316)*(Calc!$G$3:$G$22-B2316)^2)</f>
        <v/>
      </c>
      <c r="K2316">
        <f>SUMPRODUCT(Calc!$K$3:$K$22*(Calc!$G$3:$G$22&gt;A2316)*(Calc!$G$3:$G$22-A2316)*(Calc!$G$3:$G$22&gt;B2316)*(Calc!$G$3:$G$22-B2316))</f>
        <v/>
      </c>
      <c r="L2316">
        <f>SUMPRODUCT(Calc!$K$3:$K$22*(Calc!$G$3:$G$22&gt;A2316)*(Calc!$G$3:$G$22-A2316)*Calc!$G$3:$G$22)</f>
        <v/>
      </c>
      <c r="M2316">
        <f>SUMPRODUCT(Calc!$K$3:$K$22*(Calc!$G$3:$G$22&gt;B2316)*(Calc!$G$3:$G$22-B2316)*Calc!$G$3:$G$22)</f>
        <v/>
      </c>
      <c r="N2316">
        <f>SUMPRODUCT(Calc!$K$3:$K$22*(Calc!$G$3:$G$22&gt;A2316)*(Calc!$G$3:$G$22-A2316)*Calc!$I$3:$I$22)</f>
        <v/>
      </c>
      <c r="O2316">
        <f>SUMPRODUCT(Calc!$K$3:$K$22*(Calc!$G$3:$G$22&gt;B2316)*(Calc!$G$3:$G$22-B2316)*Calc!$I$3:$I$22)</f>
        <v/>
      </c>
      <c r="P2316">
        <f>I2316-G2316^2/k_n</f>
        <v/>
      </c>
      <c r="Q2316">
        <f>J2316-H2316^2/k_n</f>
        <v/>
      </c>
      <c r="R2316">
        <f>K2316-G2316*H2316/k_n</f>
        <v/>
      </c>
      <c r="S2316">
        <f>L2316-LTP3!$D$3*G2316/k_n</f>
        <v/>
      </c>
      <c r="T2316">
        <f>M2316-LTP3!$D$3*H2316/k_n</f>
        <v/>
      </c>
      <c r="U2316">
        <f>N2316-G2316*LTP3!$D$4/k_n</f>
        <v/>
      </c>
      <c r="V2316">
        <f>O2316-H2316*LTP3!$D$4/k_n</f>
        <v/>
      </c>
      <c r="W2316">
        <f>((LTP3!$D$5)*((P2316)*(Q2316)-(R2316)*(R2316))-(S2316)*((S2316)*(Q2316)-(R2316)*(T2316))+(T2316)*((S2316)*(R2316)-(P2316)*(T2316)))</f>
        <v/>
      </c>
      <c r="X2316">
        <f>IF(ABS(W2316)&gt;1E-12,((LTP3!$D$6)*((P2316)*(Q2316)-(R2316)*(R2316))-(S2316)*((U2316)*(Q2316)-(R2316)*(V2316))+(T2316)*((U2316)*(R2316)-(P2316)*(V2316)))/W2316,0)</f>
        <v/>
      </c>
      <c r="Y2316">
        <f>IF(ABS(W2316)&gt;1E-12,((LTP3!$D$5)*((U2316)*(Q2316)-(R2316)*(V2316))-(LTP3!$D$6)*((S2316)*(Q2316)-(R2316)*(T2316))+(T2316)*((S2316)*(V2316)-(U2316)*(T2316)))/W2316,0)</f>
        <v/>
      </c>
      <c r="Z2316">
        <f>IF(ABS(W2316)&gt;1E-12,((LTP3!$D$5)*((P2316)*(V2316)-(U2316)*(R2316))-(S2316)*((S2316)*(V2316)-(U2316)*(T2316))+(LTP3!$D$6)*((S2316)*(R2316)-(P2316)*(T2316)))/W2316,0)</f>
        <v/>
      </c>
      <c r="AA2316">
        <f>LTP3!$D$7-X2316*LTP3!$D$6-Y2316*U2316-Z2316*V2316</f>
        <v/>
      </c>
      <c r="AB2316">
        <f>IF(AND(F2316,ABS(W2316)&gt;1E-12,Y2316&gt;0,Z2316&gt;0),AA2316,1E+300)</f>
        <v/>
      </c>
    </row>
    <row r="2317">
      <c r="A2317">
        <f>$B$3+$B$5*37</f>
        <v/>
      </c>
      <c r="B2317">
        <f>$B$3+$B$5*48</f>
        <v/>
      </c>
      <c r="C2317">
        <f>SUMPRODUCT(Calc!$K$3:$K$22*(Calc!$G$3:$G$22&lt;=A2317))</f>
        <v/>
      </c>
      <c r="D2317">
        <f>SUMPRODUCT(Calc!$K$3:$K$22*(Calc!$G$3:$G$22&gt;A2317)*(Calc!$G$3:$G$22&lt;B2317))</f>
        <v/>
      </c>
      <c r="E2317">
        <f>SUMPRODUCT(Calc!$K$3:$K$22*(Calc!$G$3:$G$22&gt;=B2317))</f>
        <v/>
      </c>
      <c r="F2317">
        <f>AND(k_n&gt;=5,B2317&gt;A2317+1E-9,C2317&gt;=2,D2317&gt;=1,E2317&gt;=2)</f>
        <v/>
      </c>
      <c r="G2317">
        <f>SUMPRODUCT(Calc!$K$3:$K$22*(Calc!$G$3:$G$22&gt;A2317)*(Calc!$G$3:$G$22-A2317))</f>
        <v/>
      </c>
      <c r="H2317">
        <f>SUMPRODUCT(Calc!$K$3:$K$22*(Calc!$G$3:$G$22&gt;B2317)*(Calc!$G$3:$G$22-B2317))</f>
        <v/>
      </c>
      <c r="I2317">
        <f>SUMPRODUCT(Calc!$K$3:$K$22*(Calc!$G$3:$G$22&gt;A2317)*(Calc!$G$3:$G$22-A2317)^2)</f>
        <v/>
      </c>
      <c r="J2317">
        <f>SUMPRODUCT(Calc!$K$3:$K$22*(Calc!$G$3:$G$22&gt;B2317)*(Calc!$G$3:$G$22-B2317)^2)</f>
        <v/>
      </c>
      <c r="K2317">
        <f>SUMPRODUCT(Calc!$K$3:$K$22*(Calc!$G$3:$G$22&gt;A2317)*(Calc!$G$3:$G$22-A2317)*(Calc!$G$3:$G$22&gt;B2317)*(Calc!$G$3:$G$22-B2317))</f>
        <v/>
      </c>
      <c r="L2317">
        <f>SUMPRODUCT(Calc!$K$3:$K$22*(Calc!$G$3:$G$22&gt;A2317)*(Calc!$G$3:$G$22-A2317)*Calc!$G$3:$G$22)</f>
        <v/>
      </c>
      <c r="M2317">
        <f>SUMPRODUCT(Calc!$K$3:$K$22*(Calc!$G$3:$G$22&gt;B2317)*(Calc!$G$3:$G$22-B2317)*Calc!$G$3:$G$22)</f>
        <v/>
      </c>
      <c r="N2317">
        <f>SUMPRODUCT(Calc!$K$3:$K$22*(Calc!$G$3:$G$22&gt;A2317)*(Calc!$G$3:$G$22-A2317)*Calc!$I$3:$I$22)</f>
        <v/>
      </c>
      <c r="O2317">
        <f>SUMPRODUCT(Calc!$K$3:$K$22*(Calc!$G$3:$G$22&gt;B2317)*(Calc!$G$3:$G$22-B2317)*Calc!$I$3:$I$22)</f>
        <v/>
      </c>
      <c r="P2317">
        <f>I2317-G2317^2/k_n</f>
        <v/>
      </c>
      <c r="Q2317">
        <f>J2317-H2317^2/k_n</f>
        <v/>
      </c>
      <c r="R2317">
        <f>K2317-G2317*H2317/k_n</f>
        <v/>
      </c>
      <c r="S2317">
        <f>L2317-LTP3!$D$3*G2317/k_n</f>
        <v/>
      </c>
      <c r="T2317">
        <f>M2317-LTP3!$D$3*H2317/k_n</f>
        <v/>
      </c>
      <c r="U2317">
        <f>N2317-G2317*LTP3!$D$4/k_n</f>
        <v/>
      </c>
      <c r="V2317">
        <f>O2317-H2317*LTP3!$D$4/k_n</f>
        <v/>
      </c>
      <c r="W2317">
        <f>((LTP3!$D$5)*((P2317)*(Q2317)-(R2317)*(R2317))-(S2317)*((S2317)*(Q2317)-(R2317)*(T2317))+(T2317)*((S2317)*(R2317)-(P2317)*(T2317)))</f>
        <v/>
      </c>
      <c r="X2317">
        <f>IF(ABS(W2317)&gt;1E-12,((LTP3!$D$6)*((P2317)*(Q2317)-(R2317)*(R2317))-(S2317)*((U2317)*(Q2317)-(R2317)*(V2317))+(T2317)*((U2317)*(R2317)-(P2317)*(V2317)))/W2317,0)</f>
        <v/>
      </c>
      <c r="Y2317">
        <f>IF(ABS(W2317)&gt;1E-12,((LTP3!$D$5)*((U2317)*(Q2317)-(R2317)*(V2317))-(LTP3!$D$6)*((S2317)*(Q2317)-(R2317)*(T2317))+(T2317)*((S2317)*(V2317)-(U2317)*(T2317)))/W2317,0)</f>
        <v/>
      </c>
      <c r="Z2317">
        <f>IF(ABS(W2317)&gt;1E-12,((LTP3!$D$5)*((P2317)*(V2317)-(U2317)*(R2317))-(S2317)*((S2317)*(V2317)-(U2317)*(T2317))+(LTP3!$D$6)*((S2317)*(R2317)-(P2317)*(T2317)))/W2317,0)</f>
        <v/>
      </c>
      <c r="AA2317">
        <f>LTP3!$D$7-X2317*LTP3!$D$6-Y2317*U2317-Z2317*V2317</f>
        <v/>
      </c>
      <c r="AB2317">
        <f>IF(AND(F2317,ABS(W2317)&gt;1E-12,Y2317&gt;0,Z2317&gt;0),AA2317,1E+300)</f>
        <v/>
      </c>
    </row>
    <row r="2318">
      <c r="A2318">
        <f>$B$3+$B$5*37</f>
        <v/>
      </c>
      <c r="B2318">
        <f>$B$3+$B$5*49</f>
        <v/>
      </c>
      <c r="C2318">
        <f>SUMPRODUCT(Calc!$K$3:$K$22*(Calc!$G$3:$G$22&lt;=A2318))</f>
        <v/>
      </c>
      <c r="D2318">
        <f>SUMPRODUCT(Calc!$K$3:$K$22*(Calc!$G$3:$G$22&gt;A2318)*(Calc!$G$3:$G$22&lt;B2318))</f>
        <v/>
      </c>
      <c r="E2318">
        <f>SUMPRODUCT(Calc!$K$3:$K$22*(Calc!$G$3:$G$22&gt;=B2318))</f>
        <v/>
      </c>
      <c r="F2318">
        <f>AND(k_n&gt;=5,B2318&gt;A2318+1E-9,C2318&gt;=2,D2318&gt;=1,E2318&gt;=2)</f>
        <v/>
      </c>
      <c r="G2318">
        <f>SUMPRODUCT(Calc!$K$3:$K$22*(Calc!$G$3:$G$22&gt;A2318)*(Calc!$G$3:$G$22-A2318))</f>
        <v/>
      </c>
      <c r="H2318">
        <f>SUMPRODUCT(Calc!$K$3:$K$22*(Calc!$G$3:$G$22&gt;B2318)*(Calc!$G$3:$G$22-B2318))</f>
        <v/>
      </c>
      <c r="I2318">
        <f>SUMPRODUCT(Calc!$K$3:$K$22*(Calc!$G$3:$G$22&gt;A2318)*(Calc!$G$3:$G$22-A2318)^2)</f>
        <v/>
      </c>
      <c r="J2318">
        <f>SUMPRODUCT(Calc!$K$3:$K$22*(Calc!$G$3:$G$22&gt;B2318)*(Calc!$G$3:$G$22-B2318)^2)</f>
        <v/>
      </c>
      <c r="K2318">
        <f>SUMPRODUCT(Calc!$K$3:$K$22*(Calc!$G$3:$G$22&gt;A2318)*(Calc!$G$3:$G$22-A2318)*(Calc!$G$3:$G$22&gt;B2318)*(Calc!$G$3:$G$22-B2318))</f>
        <v/>
      </c>
      <c r="L2318">
        <f>SUMPRODUCT(Calc!$K$3:$K$22*(Calc!$G$3:$G$22&gt;A2318)*(Calc!$G$3:$G$22-A2318)*Calc!$G$3:$G$22)</f>
        <v/>
      </c>
      <c r="M2318">
        <f>SUMPRODUCT(Calc!$K$3:$K$22*(Calc!$G$3:$G$22&gt;B2318)*(Calc!$G$3:$G$22-B2318)*Calc!$G$3:$G$22)</f>
        <v/>
      </c>
      <c r="N2318">
        <f>SUMPRODUCT(Calc!$K$3:$K$22*(Calc!$G$3:$G$22&gt;A2318)*(Calc!$G$3:$G$22-A2318)*Calc!$I$3:$I$22)</f>
        <v/>
      </c>
      <c r="O2318">
        <f>SUMPRODUCT(Calc!$K$3:$K$22*(Calc!$G$3:$G$22&gt;B2318)*(Calc!$G$3:$G$22-B2318)*Calc!$I$3:$I$22)</f>
        <v/>
      </c>
      <c r="P2318">
        <f>I2318-G2318^2/k_n</f>
        <v/>
      </c>
      <c r="Q2318">
        <f>J2318-H2318^2/k_n</f>
        <v/>
      </c>
      <c r="R2318">
        <f>K2318-G2318*H2318/k_n</f>
        <v/>
      </c>
      <c r="S2318">
        <f>L2318-LTP3!$D$3*G2318/k_n</f>
        <v/>
      </c>
      <c r="T2318">
        <f>M2318-LTP3!$D$3*H2318/k_n</f>
        <v/>
      </c>
      <c r="U2318">
        <f>N2318-G2318*LTP3!$D$4/k_n</f>
        <v/>
      </c>
      <c r="V2318">
        <f>O2318-H2318*LTP3!$D$4/k_n</f>
        <v/>
      </c>
      <c r="W2318">
        <f>((LTP3!$D$5)*((P2318)*(Q2318)-(R2318)*(R2318))-(S2318)*((S2318)*(Q2318)-(R2318)*(T2318))+(T2318)*((S2318)*(R2318)-(P2318)*(T2318)))</f>
        <v/>
      </c>
      <c r="X2318">
        <f>IF(ABS(W2318)&gt;1E-12,((LTP3!$D$6)*((P2318)*(Q2318)-(R2318)*(R2318))-(S2318)*((U2318)*(Q2318)-(R2318)*(V2318))+(T2318)*((U2318)*(R2318)-(P2318)*(V2318)))/W2318,0)</f>
        <v/>
      </c>
      <c r="Y2318">
        <f>IF(ABS(W2318)&gt;1E-12,((LTP3!$D$5)*((U2318)*(Q2318)-(R2318)*(V2318))-(LTP3!$D$6)*((S2318)*(Q2318)-(R2318)*(T2318))+(T2318)*((S2318)*(V2318)-(U2318)*(T2318)))/W2318,0)</f>
        <v/>
      </c>
      <c r="Z2318">
        <f>IF(ABS(W2318)&gt;1E-12,((LTP3!$D$5)*((P2318)*(V2318)-(U2318)*(R2318))-(S2318)*((S2318)*(V2318)-(U2318)*(T2318))+(LTP3!$D$6)*((S2318)*(R2318)-(P2318)*(T2318)))/W2318,0)</f>
        <v/>
      </c>
      <c r="AA2318">
        <f>LTP3!$D$7-X2318*LTP3!$D$6-Y2318*U2318-Z2318*V2318</f>
        <v/>
      </c>
      <c r="AB2318">
        <f>IF(AND(F2318,ABS(W2318)&gt;1E-12,Y2318&gt;0,Z2318&gt;0),AA2318,1E+300)</f>
        <v/>
      </c>
    </row>
    <row r="2319">
      <c r="A2319">
        <f>$B$3+$B$5*37</f>
        <v/>
      </c>
      <c r="B2319">
        <f>$B$3+$B$5*50</f>
        <v/>
      </c>
      <c r="C2319">
        <f>SUMPRODUCT(Calc!$K$3:$K$22*(Calc!$G$3:$G$22&lt;=A2319))</f>
        <v/>
      </c>
      <c r="D2319">
        <f>SUMPRODUCT(Calc!$K$3:$K$22*(Calc!$G$3:$G$22&gt;A2319)*(Calc!$G$3:$G$22&lt;B2319))</f>
        <v/>
      </c>
      <c r="E2319">
        <f>SUMPRODUCT(Calc!$K$3:$K$22*(Calc!$G$3:$G$22&gt;=B2319))</f>
        <v/>
      </c>
      <c r="F2319">
        <f>AND(k_n&gt;=5,B2319&gt;A2319+1E-9,C2319&gt;=2,D2319&gt;=1,E2319&gt;=2)</f>
        <v/>
      </c>
      <c r="G2319">
        <f>SUMPRODUCT(Calc!$K$3:$K$22*(Calc!$G$3:$G$22&gt;A2319)*(Calc!$G$3:$G$22-A2319))</f>
        <v/>
      </c>
      <c r="H2319">
        <f>SUMPRODUCT(Calc!$K$3:$K$22*(Calc!$G$3:$G$22&gt;B2319)*(Calc!$G$3:$G$22-B2319))</f>
        <v/>
      </c>
      <c r="I2319">
        <f>SUMPRODUCT(Calc!$K$3:$K$22*(Calc!$G$3:$G$22&gt;A2319)*(Calc!$G$3:$G$22-A2319)^2)</f>
        <v/>
      </c>
      <c r="J2319">
        <f>SUMPRODUCT(Calc!$K$3:$K$22*(Calc!$G$3:$G$22&gt;B2319)*(Calc!$G$3:$G$22-B2319)^2)</f>
        <v/>
      </c>
      <c r="K2319">
        <f>SUMPRODUCT(Calc!$K$3:$K$22*(Calc!$G$3:$G$22&gt;A2319)*(Calc!$G$3:$G$22-A2319)*(Calc!$G$3:$G$22&gt;B2319)*(Calc!$G$3:$G$22-B2319))</f>
        <v/>
      </c>
      <c r="L2319">
        <f>SUMPRODUCT(Calc!$K$3:$K$22*(Calc!$G$3:$G$22&gt;A2319)*(Calc!$G$3:$G$22-A2319)*Calc!$G$3:$G$22)</f>
        <v/>
      </c>
      <c r="M2319">
        <f>SUMPRODUCT(Calc!$K$3:$K$22*(Calc!$G$3:$G$22&gt;B2319)*(Calc!$G$3:$G$22-B2319)*Calc!$G$3:$G$22)</f>
        <v/>
      </c>
      <c r="N2319">
        <f>SUMPRODUCT(Calc!$K$3:$K$22*(Calc!$G$3:$G$22&gt;A2319)*(Calc!$G$3:$G$22-A2319)*Calc!$I$3:$I$22)</f>
        <v/>
      </c>
      <c r="O2319">
        <f>SUMPRODUCT(Calc!$K$3:$K$22*(Calc!$G$3:$G$22&gt;B2319)*(Calc!$G$3:$G$22-B2319)*Calc!$I$3:$I$22)</f>
        <v/>
      </c>
      <c r="P2319">
        <f>I2319-G2319^2/k_n</f>
        <v/>
      </c>
      <c r="Q2319">
        <f>J2319-H2319^2/k_n</f>
        <v/>
      </c>
      <c r="R2319">
        <f>K2319-G2319*H2319/k_n</f>
        <v/>
      </c>
      <c r="S2319">
        <f>L2319-LTP3!$D$3*G2319/k_n</f>
        <v/>
      </c>
      <c r="T2319">
        <f>M2319-LTP3!$D$3*H2319/k_n</f>
        <v/>
      </c>
      <c r="U2319">
        <f>N2319-G2319*LTP3!$D$4/k_n</f>
        <v/>
      </c>
      <c r="V2319">
        <f>O2319-H2319*LTP3!$D$4/k_n</f>
        <v/>
      </c>
      <c r="W2319">
        <f>((LTP3!$D$5)*((P2319)*(Q2319)-(R2319)*(R2319))-(S2319)*((S2319)*(Q2319)-(R2319)*(T2319))+(T2319)*((S2319)*(R2319)-(P2319)*(T2319)))</f>
        <v/>
      </c>
      <c r="X2319">
        <f>IF(ABS(W2319)&gt;1E-12,((LTP3!$D$6)*((P2319)*(Q2319)-(R2319)*(R2319))-(S2319)*((U2319)*(Q2319)-(R2319)*(V2319))+(T2319)*((U2319)*(R2319)-(P2319)*(V2319)))/W2319,0)</f>
        <v/>
      </c>
      <c r="Y2319">
        <f>IF(ABS(W2319)&gt;1E-12,((LTP3!$D$5)*((U2319)*(Q2319)-(R2319)*(V2319))-(LTP3!$D$6)*((S2319)*(Q2319)-(R2319)*(T2319))+(T2319)*((S2319)*(V2319)-(U2319)*(T2319)))/W2319,0)</f>
        <v/>
      </c>
      <c r="Z2319">
        <f>IF(ABS(W2319)&gt;1E-12,((LTP3!$D$5)*((P2319)*(V2319)-(U2319)*(R2319))-(S2319)*((S2319)*(V2319)-(U2319)*(T2319))+(LTP3!$D$6)*((S2319)*(R2319)-(P2319)*(T2319)))/W2319,0)</f>
        <v/>
      </c>
      <c r="AA2319">
        <f>LTP3!$D$7-X2319*LTP3!$D$6-Y2319*U2319-Z2319*V2319</f>
        <v/>
      </c>
      <c r="AB2319">
        <f>IF(AND(F2319,ABS(W2319)&gt;1E-12,Y2319&gt;0,Z2319&gt;0),AA2319,1E+300)</f>
        <v/>
      </c>
    </row>
    <row r="2320">
      <c r="A2320">
        <f>$B$3+$B$5*37</f>
        <v/>
      </c>
      <c r="B2320">
        <f>$B$3+$B$5*51</f>
        <v/>
      </c>
      <c r="C2320">
        <f>SUMPRODUCT(Calc!$K$3:$K$22*(Calc!$G$3:$G$22&lt;=A2320))</f>
        <v/>
      </c>
      <c r="D2320">
        <f>SUMPRODUCT(Calc!$K$3:$K$22*(Calc!$G$3:$G$22&gt;A2320)*(Calc!$G$3:$G$22&lt;B2320))</f>
        <v/>
      </c>
      <c r="E2320">
        <f>SUMPRODUCT(Calc!$K$3:$K$22*(Calc!$G$3:$G$22&gt;=B2320))</f>
        <v/>
      </c>
      <c r="F2320">
        <f>AND(k_n&gt;=5,B2320&gt;A2320+1E-9,C2320&gt;=2,D2320&gt;=1,E2320&gt;=2)</f>
        <v/>
      </c>
      <c r="G2320">
        <f>SUMPRODUCT(Calc!$K$3:$K$22*(Calc!$G$3:$G$22&gt;A2320)*(Calc!$G$3:$G$22-A2320))</f>
        <v/>
      </c>
      <c r="H2320">
        <f>SUMPRODUCT(Calc!$K$3:$K$22*(Calc!$G$3:$G$22&gt;B2320)*(Calc!$G$3:$G$22-B2320))</f>
        <v/>
      </c>
      <c r="I2320">
        <f>SUMPRODUCT(Calc!$K$3:$K$22*(Calc!$G$3:$G$22&gt;A2320)*(Calc!$G$3:$G$22-A2320)^2)</f>
        <v/>
      </c>
      <c r="J2320">
        <f>SUMPRODUCT(Calc!$K$3:$K$22*(Calc!$G$3:$G$22&gt;B2320)*(Calc!$G$3:$G$22-B2320)^2)</f>
        <v/>
      </c>
      <c r="K2320">
        <f>SUMPRODUCT(Calc!$K$3:$K$22*(Calc!$G$3:$G$22&gt;A2320)*(Calc!$G$3:$G$22-A2320)*(Calc!$G$3:$G$22&gt;B2320)*(Calc!$G$3:$G$22-B2320))</f>
        <v/>
      </c>
      <c r="L2320">
        <f>SUMPRODUCT(Calc!$K$3:$K$22*(Calc!$G$3:$G$22&gt;A2320)*(Calc!$G$3:$G$22-A2320)*Calc!$G$3:$G$22)</f>
        <v/>
      </c>
      <c r="M2320">
        <f>SUMPRODUCT(Calc!$K$3:$K$22*(Calc!$G$3:$G$22&gt;B2320)*(Calc!$G$3:$G$22-B2320)*Calc!$G$3:$G$22)</f>
        <v/>
      </c>
      <c r="N2320">
        <f>SUMPRODUCT(Calc!$K$3:$K$22*(Calc!$G$3:$G$22&gt;A2320)*(Calc!$G$3:$G$22-A2320)*Calc!$I$3:$I$22)</f>
        <v/>
      </c>
      <c r="O2320">
        <f>SUMPRODUCT(Calc!$K$3:$K$22*(Calc!$G$3:$G$22&gt;B2320)*(Calc!$G$3:$G$22-B2320)*Calc!$I$3:$I$22)</f>
        <v/>
      </c>
      <c r="P2320">
        <f>I2320-G2320^2/k_n</f>
        <v/>
      </c>
      <c r="Q2320">
        <f>J2320-H2320^2/k_n</f>
        <v/>
      </c>
      <c r="R2320">
        <f>K2320-G2320*H2320/k_n</f>
        <v/>
      </c>
      <c r="S2320">
        <f>L2320-LTP3!$D$3*G2320/k_n</f>
        <v/>
      </c>
      <c r="T2320">
        <f>M2320-LTP3!$D$3*H2320/k_n</f>
        <v/>
      </c>
      <c r="U2320">
        <f>N2320-G2320*LTP3!$D$4/k_n</f>
        <v/>
      </c>
      <c r="V2320">
        <f>O2320-H2320*LTP3!$D$4/k_n</f>
        <v/>
      </c>
      <c r="W2320">
        <f>((LTP3!$D$5)*((P2320)*(Q2320)-(R2320)*(R2320))-(S2320)*((S2320)*(Q2320)-(R2320)*(T2320))+(T2320)*((S2320)*(R2320)-(P2320)*(T2320)))</f>
        <v/>
      </c>
      <c r="X2320">
        <f>IF(ABS(W2320)&gt;1E-12,((LTP3!$D$6)*((P2320)*(Q2320)-(R2320)*(R2320))-(S2320)*((U2320)*(Q2320)-(R2320)*(V2320))+(T2320)*((U2320)*(R2320)-(P2320)*(V2320)))/W2320,0)</f>
        <v/>
      </c>
      <c r="Y2320">
        <f>IF(ABS(W2320)&gt;1E-12,((LTP3!$D$5)*((U2320)*(Q2320)-(R2320)*(V2320))-(LTP3!$D$6)*((S2320)*(Q2320)-(R2320)*(T2320))+(T2320)*((S2320)*(V2320)-(U2320)*(T2320)))/W2320,0)</f>
        <v/>
      </c>
      <c r="Z2320">
        <f>IF(ABS(W2320)&gt;1E-12,((LTP3!$D$5)*((P2320)*(V2320)-(U2320)*(R2320))-(S2320)*((S2320)*(V2320)-(U2320)*(T2320))+(LTP3!$D$6)*((S2320)*(R2320)-(P2320)*(T2320)))/W2320,0)</f>
        <v/>
      </c>
      <c r="AA2320">
        <f>LTP3!$D$7-X2320*LTP3!$D$6-Y2320*U2320-Z2320*V2320</f>
        <v/>
      </c>
      <c r="AB2320">
        <f>IF(AND(F2320,ABS(W2320)&gt;1E-12,Y2320&gt;0,Z2320&gt;0),AA2320,1E+300)</f>
        <v/>
      </c>
    </row>
    <row r="2321">
      <c r="A2321">
        <f>$B$3+$B$5*37</f>
        <v/>
      </c>
      <c r="B2321">
        <f>$B$3+$B$5*52</f>
        <v/>
      </c>
      <c r="C2321">
        <f>SUMPRODUCT(Calc!$K$3:$K$22*(Calc!$G$3:$G$22&lt;=A2321))</f>
        <v/>
      </c>
      <c r="D2321">
        <f>SUMPRODUCT(Calc!$K$3:$K$22*(Calc!$G$3:$G$22&gt;A2321)*(Calc!$G$3:$G$22&lt;B2321))</f>
        <v/>
      </c>
      <c r="E2321">
        <f>SUMPRODUCT(Calc!$K$3:$K$22*(Calc!$G$3:$G$22&gt;=B2321))</f>
        <v/>
      </c>
      <c r="F2321">
        <f>AND(k_n&gt;=5,B2321&gt;A2321+1E-9,C2321&gt;=2,D2321&gt;=1,E2321&gt;=2)</f>
        <v/>
      </c>
      <c r="G2321">
        <f>SUMPRODUCT(Calc!$K$3:$K$22*(Calc!$G$3:$G$22&gt;A2321)*(Calc!$G$3:$G$22-A2321))</f>
        <v/>
      </c>
      <c r="H2321">
        <f>SUMPRODUCT(Calc!$K$3:$K$22*(Calc!$G$3:$G$22&gt;B2321)*(Calc!$G$3:$G$22-B2321))</f>
        <v/>
      </c>
      <c r="I2321">
        <f>SUMPRODUCT(Calc!$K$3:$K$22*(Calc!$G$3:$G$22&gt;A2321)*(Calc!$G$3:$G$22-A2321)^2)</f>
        <v/>
      </c>
      <c r="J2321">
        <f>SUMPRODUCT(Calc!$K$3:$K$22*(Calc!$G$3:$G$22&gt;B2321)*(Calc!$G$3:$G$22-B2321)^2)</f>
        <v/>
      </c>
      <c r="K2321">
        <f>SUMPRODUCT(Calc!$K$3:$K$22*(Calc!$G$3:$G$22&gt;A2321)*(Calc!$G$3:$G$22-A2321)*(Calc!$G$3:$G$22&gt;B2321)*(Calc!$G$3:$G$22-B2321))</f>
        <v/>
      </c>
      <c r="L2321">
        <f>SUMPRODUCT(Calc!$K$3:$K$22*(Calc!$G$3:$G$22&gt;A2321)*(Calc!$G$3:$G$22-A2321)*Calc!$G$3:$G$22)</f>
        <v/>
      </c>
      <c r="M2321">
        <f>SUMPRODUCT(Calc!$K$3:$K$22*(Calc!$G$3:$G$22&gt;B2321)*(Calc!$G$3:$G$22-B2321)*Calc!$G$3:$G$22)</f>
        <v/>
      </c>
      <c r="N2321">
        <f>SUMPRODUCT(Calc!$K$3:$K$22*(Calc!$G$3:$G$22&gt;A2321)*(Calc!$G$3:$G$22-A2321)*Calc!$I$3:$I$22)</f>
        <v/>
      </c>
      <c r="O2321">
        <f>SUMPRODUCT(Calc!$K$3:$K$22*(Calc!$G$3:$G$22&gt;B2321)*(Calc!$G$3:$G$22-B2321)*Calc!$I$3:$I$22)</f>
        <v/>
      </c>
      <c r="P2321">
        <f>I2321-G2321^2/k_n</f>
        <v/>
      </c>
      <c r="Q2321">
        <f>J2321-H2321^2/k_n</f>
        <v/>
      </c>
      <c r="R2321">
        <f>K2321-G2321*H2321/k_n</f>
        <v/>
      </c>
      <c r="S2321">
        <f>L2321-LTP3!$D$3*G2321/k_n</f>
        <v/>
      </c>
      <c r="T2321">
        <f>M2321-LTP3!$D$3*H2321/k_n</f>
        <v/>
      </c>
      <c r="U2321">
        <f>N2321-G2321*LTP3!$D$4/k_n</f>
        <v/>
      </c>
      <c r="V2321">
        <f>O2321-H2321*LTP3!$D$4/k_n</f>
        <v/>
      </c>
      <c r="W2321">
        <f>((LTP3!$D$5)*((P2321)*(Q2321)-(R2321)*(R2321))-(S2321)*((S2321)*(Q2321)-(R2321)*(T2321))+(T2321)*((S2321)*(R2321)-(P2321)*(T2321)))</f>
        <v/>
      </c>
      <c r="X2321">
        <f>IF(ABS(W2321)&gt;1E-12,((LTP3!$D$6)*((P2321)*(Q2321)-(R2321)*(R2321))-(S2321)*((U2321)*(Q2321)-(R2321)*(V2321))+(T2321)*((U2321)*(R2321)-(P2321)*(V2321)))/W2321,0)</f>
        <v/>
      </c>
      <c r="Y2321">
        <f>IF(ABS(W2321)&gt;1E-12,((LTP3!$D$5)*((U2321)*(Q2321)-(R2321)*(V2321))-(LTP3!$D$6)*((S2321)*(Q2321)-(R2321)*(T2321))+(T2321)*((S2321)*(V2321)-(U2321)*(T2321)))/W2321,0)</f>
        <v/>
      </c>
      <c r="Z2321">
        <f>IF(ABS(W2321)&gt;1E-12,((LTP3!$D$5)*((P2321)*(V2321)-(U2321)*(R2321))-(S2321)*((S2321)*(V2321)-(U2321)*(T2321))+(LTP3!$D$6)*((S2321)*(R2321)-(P2321)*(T2321)))/W2321,0)</f>
        <v/>
      </c>
      <c r="AA2321">
        <f>LTP3!$D$7-X2321*LTP3!$D$6-Y2321*U2321-Z2321*V2321</f>
        <v/>
      </c>
      <c r="AB2321">
        <f>IF(AND(F2321,ABS(W2321)&gt;1E-12,Y2321&gt;0,Z2321&gt;0),AA2321,1E+300)</f>
        <v/>
      </c>
    </row>
    <row r="2322">
      <c r="A2322">
        <f>$B$3+$B$5*37</f>
        <v/>
      </c>
      <c r="B2322">
        <f>$B$3+$B$5*53</f>
        <v/>
      </c>
      <c r="C2322">
        <f>SUMPRODUCT(Calc!$K$3:$K$22*(Calc!$G$3:$G$22&lt;=A2322))</f>
        <v/>
      </c>
      <c r="D2322">
        <f>SUMPRODUCT(Calc!$K$3:$K$22*(Calc!$G$3:$G$22&gt;A2322)*(Calc!$G$3:$G$22&lt;B2322))</f>
        <v/>
      </c>
      <c r="E2322">
        <f>SUMPRODUCT(Calc!$K$3:$K$22*(Calc!$G$3:$G$22&gt;=B2322))</f>
        <v/>
      </c>
      <c r="F2322">
        <f>AND(k_n&gt;=5,B2322&gt;A2322+1E-9,C2322&gt;=2,D2322&gt;=1,E2322&gt;=2)</f>
        <v/>
      </c>
      <c r="G2322">
        <f>SUMPRODUCT(Calc!$K$3:$K$22*(Calc!$G$3:$G$22&gt;A2322)*(Calc!$G$3:$G$22-A2322))</f>
        <v/>
      </c>
      <c r="H2322">
        <f>SUMPRODUCT(Calc!$K$3:$K$22*(Calc!$G$3:$G$22&gt;B2322)*(Calc!$G$3:$G$22-B2322))</f>
        <v/>
      </c>
      <c r="I2322">
        <f>SUMPRODUCT(Calc!$K$3:$K$22*(Calc!$G$3:$G$22&gt;A2322)*(Calc!$G$3:$G$22-A2322)^2)</f>
        <v/>
      </c>
      <c r="J2322">
        <f>SUMPRODUCT(Calc!$K$3:$K$22*(Calc!$G$3:$G$22&gt;B2322)*(Calc!$G$3:$G$22-B2322)^2)</f>
        <v/>
      </c>
      <c r="K2322">
        <f>SUMPRODUCT(Calc!$K$3:$K$22*(Calc!$G$3:$G$22&gt;A2322)*(Calc!$G$3:$G$22-A2322)*(Calc!$G$3:$G$22&gt;B2322)*(Calc!$G$3:$G$22-B2322))</f>
        <v/>
      </c>
      <c r="L2322">
        <f>SUMPRODUCT(Calc!$K$3:$K$22*(Calc!$G$3:$G$22&gt;A2322)*(Calc!$G$3:$G$22-A2322)*Calc!$G$3:$G$22)</f>
        <v/>
      </c>
      <c r="M2322">
        <f>SUMPRODUCT(Calc!$K$3:$K$22*(Calc!$G$3:$G$22&gt;B2322)*(Calc!$G$3:$G$22-B2322)*Calc!$G$3:$G$22)</f>
        <v/>
      </c>
      <c r="N2322">
        <f>SUMPRODUCT(Calc!$K$3:$K$22*(Calc!$G$3:$G$22&gt;A2322)*(Calc!$G$3:$G$22-A2322)*Calc!$I$3:$I$22)</f>
        <v/>
      </c>
      <c r="O2322">
        <f>SUMPRODUCT(Calc!$K$3:$K$22*(Calc!$G$3:$G$22&gt;B2322)*(Calc!$G$3:$G$22-B2322)*Calc!$I$3:$I$22)</f>
        <v/>
      </c>
      <c r="P2322">
        <f>I2322-G2322^2/k_n</f>
        <v/>
      </c>
      <c r="Q2322">
        <f>J2322-H2322^2/k_n</f>
        <v/>
      </c>
      <c r="R2322">
        <f>K2322-G2322*H2322/k_n</f>
        <v/>
      </c>
      <c r="S2322">
        <f>L2322-LTP3!$D$3*G2322/k_n</f>
        <v/>
      </c>
      <c r="T2322">
        <f>M2322-LTP3!$D$3*H2322/k_n</f>
        <v/>
      </c>
      <c r="U2322">
        <f>N2322-G2322*LTP3!$D$4/k_n</f>
        <v/>
      </c>
      <c r="V2322">
        <f>O2322-H2322*LTP3!$D$4/k_n</f>
        <v/>
      </c>
      <c r="W2322">
        <f>((LTP3!$D$5)*((P2322)*(Q2322)-(R2322)*(R2322))-(S2322)*((S2322)*(Q2322)-(R2322)*(T2322))+(T2322)*((S2322)*(R2322)-(P2322)*(T2322)))</f>
        <v/>
      </c>
      <c r="X2322">
        <f>IF(ABS(W2322)&gt;1E-12,((LTP3!$D$6)*((P2322)*(Q2322)-(R2322)*(R2322))-(S2322)*((U2322)*(Q2322)-(R2322)*(V2322))+(T2322)*((U2322)*(R2322)-(P2322)*(V2322)))/W2322,0)</f>
        <v/>
      </c>
      <c r="Y2322">
        <f>IF(ABS(W2322)&gt;1E-12,((LTP3!$D$5)*((U2322)*(Q2322)-(R2322)*(V2322))-(LTP3!$D$6)*((S2322)*(Q2322)-(R2322)*(T2322))+(T2322)*((S2322)*(V2322)-(U2322)*(T2322)))/W2322,0)</f>
        <v/>
      </c>
      <c r="Z2322">
        <f>IF(ABS(W2322)&gt;1E-12,((LTP3!$D$5)*((P2322)*(V2322)-(U2322)*(R2322))-(S2322)*((S2322)*(V2322)-(U2322)*(T2322))+(LTP3!$D$6)*((S2322)*(R2322)-(P2322)*(T2322)))/W2322,0)</f>
        <v/>
      </c>
      <c r="AA2322">
        <f>LTP3!$D$7-X2322*LTP3!$D$6-Y2322*U2322-Z2322*V2322</f>
        <v/>
      </c>
      <c r="AB2322">
        <f>IF(AND(F2322,ABS(W2322)&gt;1E-12,Y2322&gt;0,Z2322&gt;0),AA2322,1E+300)</f>
        <v/>
      </c>
    </row>
    <row r="2323">
      <c r="A2323">
        <f>$B$3+$B$5*37</f>
        <v/>
      </c>
      <c r="B2323">
        <f>$B$3+$B$5*54</f>
        <v/>
      </c>
      <c r="C2323">
        <f>SUMPRODUCT(Calc!$K$3:$K$22*(Calc!$G$3:$G$22&lt;=A2323))</f>
        <v/>
      </c>
      <c r="D2323">
        <f>SUMPRODUCT(Calc!$K$3:$K$22*(Calc!$G$3:$G$22&gt;A2323)*(Calc!$G$3:$G$22&lt;B2323))</f>
        <v/>
      </c>
      <c r="E2323">
        <f>SUMPRODUCT(Calc!$K$3:$K$22*(Calc!$G$3:$G$22&gt;=B2323))</f>
        <v/>
      </c>
      <c r="F2323">
        <f>AND(k_n&gt;=5,B2323&gt;A2323+1E-9,C2323&gt;=2,D2323&gt;=1,E2323&gt;=2)</f>
        <v/>
      </c>
      <c r="G2323">
        <f>SUMPRODUCT(Calc!$K$3:$K$22*(Calc!$G$3:$G$22&gt;A2323)*(Calc!$G$3:$G$22-A2323))</f>
        <v/>
      </c>
      <c r="H2323">
        <f>SUMPRODUCT(Calc!$K$3:$K$22*(Calc!$G$3:$G$22&gt;B2323)*(Calc!$G$3:$G$22-B2323))</f>
        <v/>
      </c>
      <c r="I2323">
        <f>SUMPRODUCT(Calc!$K$3:$K$22*(Calc!$G$3:$G$22&gt;A2323)*(Calc!$G$3:$G$22-A2323)^2)</f>
        <v/>
      </c>
      <c r="J2323">
        <f>SUMPRODUCT(Calc!$K$3:$K$22*(Calc!$G$3:$G$22&gt;B2323)*(Calc!$G$3:$G$22-B2323)^2)</f>
        <v/>
      </c>
      <c r="K2323">
        <f>SUMPRODUCT(Calc!$K$3:$K$22*(Calc!$G$3:$G$22&gt;A2323)*(Calc!$G$3:$G$22-A2323)*(Calc!$G$3:$G$22&gt;B2323)*(Calc!$G$3:$G$22-B2323))</f>
        <v/>
      </c>
      <c r="L2323">
        <f>SUMPRODUCT(Calc!$K$3:$K$22*(Calc!$G$3:$G$22&gt;A2323)*(Calc!$G$3:$G$22-A2323)*Calc!$G$3:$G$22)</f>
        <v/>
      </c>
      <c r="M2323">
        <f>SUMPRODUCT(Calc!$K$3:$K$22*(Calc!$G$3:$G$22&gt;B2323)*(Calc!$G$3:$G$22-B2323)*Calc!$G$3:$G$22)</f>
        <v/>
      </c>
      <c r="N2323">
        <f>SUMPRODUCT(Calc!$K$3:$K$22*(Calc!$G$3:$G$22&gt;A2323)*(Calc!$G$3:$G$22-A2323)*Calc!$I$3:$I$22)</f>
        <v/>
      </c>
      <c r="O2323">
        <f>SUMPRODUCT(Calc!$K$3:$K$22*(Calc!$G$3:$G$22&gt;B2323)*(Calc!$G$3:$G$22-B2323)*Calc!$I$3:$I$22)</f>
        <v/>
      </c>
      <c r="P2323">
        <f>I2323-G2323^2/k_n</f>
        <v/>
      </c>
      <c r="Q2323">
        <f>J2323-H2323^2/k_n</f>
        <v/>
      </c>
      <c r="R2323">
        <f>K2323-G2323*H2323/k_n</f>
        <v/>
      </c>
      <c r="S2323">
        <f>L2323-LTP3!$D$3*G2323/k_n</f>
        <v/>
      </c>
      <c r="T2323">
        <f>M2323-LTP3!$D$3*H2323/k_n</f>
        <v/>
      </c>
      <c r="U2323">
        <f>N2323-G2323*LTP3!$D$4/k_n</f>
        <v/>
      </c>
      <c r="V2323">
        <f>O2323-H2323*LTP3!$D$4/k_n</f>
        <v/>
      </c>
      <c r="W2323">
        <f>((LTP3!$D$5)*((P2323)*(Q2323)-(R2323)*(R2323))-(S2323)*((S2323)*(Q2323)-(R2323)*(T2323))+(T2323)*((S2323)*(R2323)-(P2323)*(T2323)))</f>
        <v/>
      </c>
      <c r="X2323">
        <f>IF(ABS(W2323)&gt;1E-12,((LTP3!$D$6)*((P2323)*(Q2323)-(R2323)*(R2323))-(S2323)*((U2323)*(Q2323)-(R2323)*(V2323))+(T2323)*((U2323)*(R2323)-(P2323)*(V2323)))/W2323,0)</f>
        <v/>
      </c>
      <c r="Y2323">
        <f>IF(ABS(W2323)&gt;1E-12,((LTP3!$D$5)*((U2323)*(Q2323)-(R2323)*(V2323))-(LTP3!$D$6)*((S2323)*(Q2323)-(R2323)*(T2323))+(T2323)*((S2323)*(V2323)-(U2323)*(T2323)))/W2323,0)</f>
        <v/>
      </c>
      <c r="Z2323">
        <f>IF(ABS(W2323)&gt;1E-12,((LTP3!$D$5)*((P2323)*(V2323)-(U2323)*(R2323))-(S2323)*((S2323)*(V2323)-(U2323)*(T2323))+(LTP3!$D$6)*((S2323)*(R2323)-(P2323)*(T2323)))/W2323,0)</f>
        <v/>
      </c>
      <c r="AA2323">
        <f>LTP3!$D$7-X2323*LTP3!$D$6-Y2323*U2323-Z2323*V2323</f>
        <v/>
      </c>
      <c r="AB2323">
        <f>IF(AND(F2323,ABS(W2323)&gt;1E-12,Y2323&gt;0,Z2323&gt;0),AA2323,1E+300)</f>
        <v/>
      </c>
    </row>
    <row r="2324">
      <c r="A2324">
        <f>$B$3+$B$5*37</f>
        <v/>
      </c>
      <c r="B2324">
        <f>$B$3+$B$5*55</f>
        <v/>
      </c>
      <c r="C2324">
        <f>SUMPRODUCT(Calc!$K$3:$K$22*(Calc!$G$3:$G$22&lt;=A2324))</f>
        <v/>
      </c>
      <c r="D2324">
        <f>SUMPRODUCT(Calc!$K$3:$K$22*(Calc!$G$3:$G$22&gt;A2324)*(Calc!$G$3:$G$22&lt;B2324))</f>
        <v/>
      </c>
      <c r="E2324">
        <f>SUMPRODUCT(Calc!$K$3:$K$22*(Calc!$G$3:$G$22&gt;=B2324))</f>
        <v/>
      </c>
      <c r="F2324">
        <f>AND(k_n&gt;=5,B2324&gt;A2324+1E-9,C2324&gt;=2,D2324&gt;=1,E2324&gt;=2)</f>
        <v/>
      </c>
      <c r="G2324">
        <f>SUMPRODUCT(Calc!$K$3:$K$22*(Calc!$G$3:$G$22&gt;A2324)*(Calc!$G$3:$G$22-A2324))</f>
        <v/>
      </c>
      <c r="H2324">
        <f>SUMPRODUCT(Calc!$K$3:$K$22*(Calc!$G$3:$G$22&gt;B2324)*(Calc!$G$3:$G$22-B2324))</f>
        <v/>
      </c>
      <c r="I2324">
        <f>SUMPRODUCT(Calc!$K$3:$K$22*(Calc!$G$3:$G$22&gt;A2324)*(Calc!$G$3:$G$22-A2324)^2)</f>
        <v/>
      </c>
      <c r="J2324">
        <f>SUMPRODUCT(Calc!$K$3:$K$22*(Calc!$G$3:$G$22&gt;B2324)*(Calc!$G$3:$G$22-B2324)^2)</f>
        <v/>
      </c>
      <c r="K2324">
        <f>SUMPRODUCT(Calc!$K$3:$K$22*(Calc!$G$3:$G$22&gt;A2324)*(Calc!$G$3:$G$22-A2324)*(Calc!$G$3:$G$22&gt;B2324)*(Calc!$G$3:$G$22-B2324))</f>
        <v/>
      </c>
      <c r="L2324">
        <f>SUMPRODUCT(Calc!$K$3:$K$22*(Calc!$G$3:$G$22&gt;A2324)*(Calc!$G$3:$G$22-A2324)*Calc!$G$3:$G$22)</f>
        <v/>
      </c>
      <c r="M2324">
        <f>SUMPRODUCT(Calc!$K$3:$K$22*(Calc!$G$3:$G$22&gt;B2324)*(Calc!$G$3:$G$22-B2324)*Calc!$G$3:$G$22)</f>
        <v/>
      </c>
      <c r="N2324">
        <f>SUMPRODUCT(Calc!$K$3:$K$22*(Calc!$G$3:$G$22&gt;A2324)*(Calc!$G$3:$G$22-A2324)*Calc!$I$3:$I$22)</f>
        <v/>
      </c>
      <c r="O2324">
        <f>SUMPRODUCT(Calc!$K$3:$K$22*(Calc!$G$3:$G$22&gt;B2324)*(Calc!$G$3:$G$22-B2324)*Calc!$I$3:$I$22)</f>
        <v/>
      </c>
      <c r="P2324">
        <f>I2324-G2324^2/k_n</f>
        <v/>
      </c>
      <c r="Q2324">
        <f>J2324-H2324^2/k_n</f>
        <v/>
      </c>
      <c r="R2324">
        <f>K2324-G2324*H2324/k_n</f>
        <v/>
      </c>
      <c r="S2324">
        <f>L2324-LTP3!$D$3*G2324/k_n</f>
        <v/>
      </c>
      <c r="T2324">
        <f>M2324-LTP3!$D$3*H2324/k_n</f>
        <v/>
      </c>
      <c r="U2324">
        <f>N2324-G2324*LTP3!$D$4/k_n</f>
        <v/>
      </c>
      <c r="V2324">
        <f>O2324-H2324*LTP3!$D$4/k_n</f>
        <v/>
      </c>
      <c r="W2324">
        <f>((LTP3!$D$5)*((P2324)*(Q2324)-(R2324)*(R2324))-(S2324)*((S2324)*(Q2324)-(R2324)*(T2324))+(T2324)*((S2324)*(R2324)-(P2324)*(T2324)))</f>
        <v/>
      </c>
      <c r="X2324">
        <f>IF(ABS(W2324)&gt;1E-12,((LTP3!$D$6)*((P2324)*(Q2324)-(R2324)*(R2324))-(S2324)*((U2324)*(Q2324)-(R2324)*(V2324))+(T2324)*((U2324)*(R2324)-(P2324)*(V2324)))/W2324,0)</f>
        <v/>
      </c>
      <c r="Y2324">
        <f>IF(ABS(W2324)&gt;1E-12,((LTP3!$D$5)*((U2324)*(Q2324)-(R2324)*(V2324))-(LTP3!$D$6)*((S2324)*(Q2324)-(R2324)*(T2324))+(T2324)*((S2324)*(V2324)-(U2324)*(T2324)))/W2324,0)</f>
        <v/>
      </c>
      <c r="Z2324">
        <f>IF(ABS(W2324)&gt;1E-12,((LTP3!$D$5)*((P2324)*(V2324)-(U2324)*(R2324))-(S2324)*((S2324)*(V2324)-(U2324)*(T2324))+(LTP3!$D$6)*((S2324)*(R2324)-(P2324)*(T2324)))/W2324,0)</f>
        <v/>
      </c>
      <c r="AA2324">
        <f>LTP3!$D$7-X2324*LTP3!$D$6-Y2324*U2324-Z2324*V2324</f>
        <v/>
      </c>
      <c r="AB2324">
        <f>IF(AND(F2324,ABS(W2324)&gt;1E-12,Y2324&gt;0,Z2324&gt;0),AA2324,1E+300)</f>
        <v/>
      </c>
    </row>
    <row r="2325">
      <c r="A2325">
        <f>$B$3+$B$5*37</f>
        <v/>
      </c>
      <c r="B2325">
        <f>$B$3+$B$5*56</f>
        <v/>
      </c>
      <c r="C2325">
        <f>SUMPRODUCT(Calc!$K$3:$K$22*(Calc!$G$3:$G$22&lt;=A2325))</f>
        <v/>
      </c>
      <c r="D2325">
        <f>SUMPRODUCT(Calc!$K$3:$K$22*(Calc!$G$3:$G$22&gt;A2325)*(Calc!$G$3:$G$22&lt;B2325))</f>
        <v/>
      </c>
      <c r="E2325">
        <f>SUMPRODUCT(Calc!$K$3:$K$22*(Calc!$G$3:$G$22&gt;=B2325))</f>
        <v/>
      </c>
      <c r="F2325">
        <f>AND(k_n&gt;=5,B2325&gt;A2325+1E-9,C2325&gt;=2,D2325&gt;=1,E2325&gt;=2)</f>
        <v/>
      </c>
      <c r="G2325">
        <f>SUMPRODUCT(Calc!$K$3:$K$22*(Calc!$G$3:$G$22&gt;A2325)*(Calc!$G$3:$G$22-A2325))</f>
        <v/>
      </c>
      <c r="H2325">
        <f>SUMPRODUCT(Calc!$K$3:$K$22*(Calc!$G$3:$G$22&gt;B2325)*(Calc!$G$3:$G$22-B2325))</f>
        <v/>
      </c>
      <c r="I2325">
        <f>SUMPRODUCT(Calc!$K$3:$K$22*(Calc!$G$3:$G$22&gt;A2325)*(Calc!$G$3:$G$22-A2325)^2)</f>
        <v/>
      </c>
      <c r="J2325">
        <f>SUMPRODUCT(Calc!$K$3:$K$22*(Calc!$G$3:$G$22&gt;B2325)*(Calc!$G$3:$G$22-B2325)^2)</f>
        <v/>
      </c>
      <c r="K2325">
        <f>SUMPRODUCT(Calc!$K$3:$K$22*(Calc!$G$3:$G$22&gt;A2325)*(Calc!$G$3:$G$22-A2325)*(Calc!$G$3:$G$22&gt;B2325)*(Calc!$G$3:$G$22-B2325))</f>
        <v/>
      </c>
      <c r="L2325">
        <f>SUMPRODUCT(Calc!$K$3:$K$22*(Calc!$G$3:$G$22&gt;A2325)*(Calc!$G$3:$G$22-A2325)*Calc!$G$3:$G$22)</f>
        <v/>
      </c>
      <c r="M2325">
        <f>SUMPRODUCT(Calc!$K$3:$K$22*(Calc!$G$3:$G$22&gt;B2325)*(Calc!$G$3:$G$22-B2325)*Calc!$G$3:$G$22)</f>
        <v/>
      </c>
      <c r="N2325">
        <f>SUMPRODUCT(Calc!$K$3:$K$22*(Calc!$G$3:$G$22&gt;A2325)*(Calc!$G$3:$G$22-A2325)*Calc!$I$3:$I$22)</f>
        <v/>
      </c>
      <c r="O2325">
        <f>SUMPRODUCT(Calc!$K$3:$K$22*(Calc!$G$3:$G$22&gt;B2325)*(Calc!$G$3:$G$22-B2325)*Calc!$I$3:$I$22)</f>
        <v/>
      </c>
      <c r="P2325">
        <f>I2325-G2325^2/k_n</f>
        <v/>
      </c>
      <c r="Q2325">
        <f>J2325-H2325^2/k_n</f>
        <v/>
      </c>
      <c r="R2325">
        <f>K2325-G2325*H2325/k_n</f>
        <v/>
      </c>
      <c r="S2325">
        <f>L2325-LTP3!$D$3*G2325/k_n</f>
        <v/>
      </c>
      <c r="T2325">
        <f>M2325-LTP3!$D$3*H2325/k_n</f>
        <v/>
      </c>
      <c r="U2325">
        <f>N2325-G2325*LTP3!$D$4/k_n</f>
        <v/>
      </c>
      <c r="V2325">
        <f>O2325-H2325*LTP3!$D$4/k_n</f>
        <v/>
      </c>
      <c r="W2325">
        <f>((LTP3!$D$5)*((P2325)*(Q2325)-(R2325)*(R2325))-(S2325)*((S2325)*(Q2325)-(R2325)*(T2325))+(T2325)*((S2325)*(R2325)-(P2325)*(T2325)))</f>
        <v/>
      </c>
      <c r="X2325">
        <f>IF(ABS(W2325)&gt;1E-12,((LTP3!$D$6)*((P2325)*(Q2325)-(R2325)*(R2325))-(S2325)*((U2325)*(Q2325)-(R2325)*(V2325))+(T2325)*((U2325)*(R2325)-(P2325)*(V2325)))/W2325,0)</f>
        <v/>
      </c>
      <c r="Y2325">
        <f>IF(ABS(W2325)&gt;1E-12,((LTP3!$D$5)*((U2325)*(Q2325)-(R2325)*(V2325))-(LTP3!$D$6)*((S2325)*(Q2325)-(R2325)*(T2325))+(T2325)*((S2325)*(V2325)-(U2325)*(T2325)))/W2325,0)</f>
        <v/>
      </c>
      <c r="Z2325">
        <f>IF(ABS(W2325)&gt;1E-12,((LTP3!$D$5)*((P2325)*(V2325)-(U2325)*(R2325))-(S2325)*((S2325)*(V2325)-(U2325)*(T2325))+(LTP3!$D$6)*((S2325)*(R2325)-(P2325)*(T2325)))/W2325,0)</f>
        <v/>
      </c>
      <c r="AA2325">
        <f>LTP3!$D$7-X2325*LTP3!$D$6-Y2325*U2325-Z2325*V2325</f>
        <v/>
      </c>
      <c r="AB2325">
        <f>IF(AND(F2325,ABS(W2325)&gt;1E-12,Y2325&gt;0,Z2325&gt;0),AA2325,1E+300)</f>
        <v/>
      </c>
    </row>
    <row r="2326">
      <c r="A2326">
        <f>$B$3+$B$5*37</f>
        <v/>
      </c>
      <c r="B2326">
        <f>$B$3+$B$5*57</f>
        <v/>
      </c>
      <c r="C2326">
        <f>SUMPRODUCT(Calc!$K$3:$K$22*(Calc!$G$3:$G$22&lt;=A2326))</f>
        <v/>
      </c>
      <c r="D2326">
        <f>SUMPRODUCT(Calc!$K$3:$K$22*(Calc!$G$3:$G$22&gt;A2326)*(Calc!$G$3:$G$22&lt;B2326))</f>
        <v/>
      </c>
      <c r="E2326">
        <f>SUMPRODUCT(Calc!$K$3:$K$22*(Calc!$G$3:$G$22&gt;=B2326))</f>
        <v/>
      </c>
      <c r="F2326">
        <f>AND(k_n&gt;=5,B2326&gt;A2326+1E-9,C2326&gt;=2,D2326&gt;=1,E2326&gt;=2)</f>
        <v/>
      </c>
      <c r="G2326">
        <f>SUMPRODUCT(Calc!$K$3:$K$22*(Calc!$G$3:$G$22&gt;A2326)*(Calc!$G$3:$G$22-A2326))</f>
        <v/>
      </c>
      <c r="H2326">
        <f>SUMPRODUCT(Calc!$K$3:$K$22*(Calc!$G$3:$G$22&gt;B2326)*(Calc!$G$3:$G$22-B2326))</f>
        <v/>
      </c>
      <c r="I2326">
        <f>SUMPRODUCT(Calc!$K$3:$K$22*(Calc!$G$3:$G$22&gt;A2326)*(Calc!$G$3:$G$22-A2326)^2)</f>
        <v/>
      </c>
      <c r="J2326">
        <f>SUMPRODUCT(Calc!$K$3:$K$22*(Calc!$G$3:$G$22&gt;B2326)*(Calc!$G$3:$G$22-B2326)^2)</f>
        <v/>
      </c>
      <c r="K2326">
        <f>SUMPRODUCT(Calc!$K$3:$K$22*(Calc!$G$3:$G$22&gt;A2326)*(Calc!$G$3:$G$22-A2326)*(Calc!$G$3:$G$22&gt;B2326)*(Calc!$G$3:$G$22-B2326))</f>
        <v/>
      </c>
      <c r="L2326">
        <f>SUMPRODUCT(Calc!$K$3:$K$22*(Calc!$G$3:$G$22&gt;A2326)*(Calc!$G$3:$G$22-A2326)*Calc!$G$3:$G$22)</f>
        <v/>
      </c>
      <c r="M2326">
        <f>SUMPRODUCT(Calc!$K$3:$K$22*(Calc!$G$3:$G$22&gt;B2326)*(Calc!$G$3:$G$22-B2326)*Calc!$G$3:$G$22)</f>
        <v/>
      </c>
      <c r="N2326">
        <f>SUMPRODUCT(Calc!$K$3:$K$22*(Calc!$G$3:$G$22&gt;A2326)*(Calc!$G$3:$G$22-A2326)*Calc!$I$3:$I$22)</f>
        <v/>
      </c>
      <c r="O2326">
        <f>SUMPRODUCT(Calc!$K$3:$K$22*(Calc!$G$3:$G$22&gt;B2326)*(Calc!$G$3:$G$22-B2326)*Calc!$I$3:$I$22)</f>
        <v/>
      </c>
      <c r="P2326">
        <f>I2326-G2326^2/k_n</f>
        <v/>
      </c>
      <c r="Q2326">
        <f>J2326-H2326^2/k_n</f>
        <v/>
      </c>
      <c r="R2326">
        <f>K2326-G2326*H2326/k_n</f>
        <v/>
      </c>
      <c r="S2326">
        <f>L2326-LTP3!$D$3*G2326/k_n</f>
        <v/>
      </c>
      <c r="T2326">
        <f>M2326-LTP3!$D$3*H2326/k_n</f>
        <v/>
      </c>
      <c r="U2326">
        <f>N2326-G2326*LTP3!$D$4/k_n</f>
        <v/>
      </c>
      <c r="V2326">
        <f>O2326-H2326*LTP3!$D$4/k_n</f>
        <v/>
      </c>
      <c r="W2326">
        <f>((LTP3!$D$5)*((P2326)*(Q2326)-(R2326)*(R2326))-(S2326)*((S2326)*(Q2326)-(R2326)*(T2326))+(T2326)*((S2326)*(R2326)-(P2326)*(T2326)))</f>
        <v/>
      </c>
      <c r="X2326">
        <f>IF(ABS(W2326)&gt;1E-12,((LTP3!$D$6)*((P2326)*(Q2326)-(R2326)*(R2326))-(S2326)*((U2326)*(Q2326)-(R2326)*(V2326))+(T2326)*((U2326)*(R2326)-(P2326)*(V2326)))/W2326,0)</f>
        <v/>
      </c>
      <c r="Y2326">
        <f>IF(ABS(W2326)&gt;1E-12,((LTP3!$D$5)*((U2326)*(Q2326)-(R2326)*(V2326))-(LTP3!$D$6)*((S2326)*(Q2326)-(R2326)*(T2326))+(T2326)*((S2326)*(V2326)-(U2326)*(T2326)))/W2326,0)</f>
        <v/>
      </c>
      <c r="Z2326">
        <f>IF(ABS(W2326)&gt;1E-12,((LTP3!$D$5)*((P2326)*(V2326)-(U2326)*(R2326))-(S2326)*((S2326)*(V2326)-(U2326)*(T2326))+(LTP3!$D$6)*((S2326)*(R2326)-(P2326)*(T2326)))/W2326,0)</f>
        <v/>
      </c>
      <c r="AA2326">
        <f>LTP3!$D$7-X2326*LTP3!$D$6-Y2326*U2326-Z2326*V2326</f>
        <v/>
      </c>
      <c r="AB2326">
        <f>IF(AND(F2326,ABS(W2326)&gt;1E-12,Y2326&gt;0,Z2326&gt;0),AA2326,1E+300)</f>
        <v/>
      </c>
    </row>
    <row r="2327">
      <c r="A2327">
        <f>$B$3+$B$5*37</f>
        <v/>
      </c>
      <c r="B2327">
        <f>$B$3+$B$5*58</f>
        <v/>
      </c>
      <c r="C2327">
        <f>SUMPRODUCT(Calc!$K$3:$K$22*(Calc!$G$3:$G$22&lt;=A2327))</f>
        <v/>
      </c>
      <c r="D2327">
        <f>SUMPRODUCT(Calc!$K$3:$K$22*(Calc!$G$3:$G$22&gt;A2327)*(Calc!$G$3:$G$22&lt;B2327))</f>
        <v/>
      </c>
      <c r="E2327">
        <f>SUMPRODUCT(Calc!$K$3:$K$22*(Calc!$G$3:$G$22&gt;=B2327))</f>
        <v/>
      </c>
      <c r="F2327">
        <f>AND(k_n&gt;=5,B2327&gt;A2327+1E-9,C2327&gt;=2,D2327&gt;=1,E2327&gt;=2)</f>
        <v/>
      </c>
      <c r="G2327">
        <f>SUMPRODUCT(Calc!$K$3:$K$22*(Calc!$G$3:$G$22&gt;A2327)*(Calc!$G$3:$G$22-A2327))</f>
        <v/>
      </c>
      <c r="H2327">
        <f>SUMPRODUCT(Calc!$K$3:$K$22*(Calc!$G$3:$G$22&gt;B2327)*(Calc!$G$3:$G$22-B2327))</f>
        <v/>
      </c>
      <c r="I2327">
        <f>SUMPRODUCT(Calc!$K$3:$K$22*(Calc!$G$3:$G$22&gt;A2327)*(Calc!$G$3:$G$22-A2327)^2)</f>
        <v/>
      </c>
      <c r="J2327">
        <f>SUMPRODUCT(Calc!$K$3:$K$22*(Calc!$G$3:$G$22&gt;B2327)*(Calc!$G$3:$G$22-B2327)^2)</f>
        <v/>
      </c>
      <c r="K2327">
        <f>SUMPRODUCT(Calc!$K$3:$K$22*(Calc!$G$3:$G$22&gt;A2327)*(Calc!$G$3:$G$22-A2327)*(Calc!$G$3:$G$22&gt;B2327)*(Calc!$G$3:$G$22-B2327))</f>
        <v/>
      </c>
      <c r="L2327">
        <f>SUMPRODUCT(Calc!$K$3:$K$22*(Calc!$G$3:$G$22&gt;A2327)*(Calc!$G$3:$G$22-A2327)*Calc!$G$3:$G$22)</f>
        <v/>
      </c>
      <c r="M2327">
        <f>SUMPRODUCT(Calc!$K$3:$K$22*(Calc!$G$3:$G$22&gt;B2327)*(Calc!$G$3:$G$22-B2327)*Calc!$G$3:$G$22)</f>
        <v/>
      </c>
      <c r="N2327">
        <f>SUMPRODUCT(Calc!$K$3:$K$22*(Calc!$G$3:$G$22&gt;A2327)*(Calc!$G$3:$G$22-A2327)*Calc!$I$3:$I$22)</f>
        <v/>
      </c>
      <c r="O2327">
        <f>SUMPRODUCT(Calc!$K$3:$K$22*(Calc!$G$3:$G$22&gt;B2327)*(Calc!$G$3:$G$22-B2327)*Calc!$I$3:$I$22)</f>
        <v/>
      </c>
      <c r="P2327">
        <f>I2327-G2327^2/k_n</f>
        <v/>
      </c>
      <c r="Q2327">
        <f>J2327-H2327^2/k_n</f>
        <v/>
      </c>
      <c r="R2327">
        <f>K2327-G2327*H2327/k_n</f>
        <v/>
      </c>
      <c r="S2327">
        <f>L2327-LTP3!$D$3*G2327/k_n</f>
        <v/>
      </c>
      <c r="T2327">
        <f>M2327-LTP3!$D$3*H2327/k_n</f>
        <v/>
      </c>
      <c r="U2327">
        <f>N2327-G2327*LTP3!$D$4/k_n</f>
        <v/>
      </c>
      <c r="V2327">
        <f>O2327-H2327*LTP3!$D$4/k_n</f>
        <v/>
      </c>
      <c r="W2327">
        <f>((LTP3!$D$5)*((P2327)*(Q2327)-(R2327)*(R2327))-(S2327)*((S2327)*(Q2327)-(R2327)*(T2327))+(T2327)*((S2327)*(R2327)-(P2327)*(T2327)))</f>
        <v/>
      </c>
      <c r="X2327">
        <f>IF(ABS(W2327)&gt;1E-12,((LTP3!$D$6)*((P2327)*(Q2327)-(R2327)*(R2327))-(S2327)*((U2327)*(Q2327)-(R2327)*(V2327))+(T2327)*((U2327)*(R2327)-(P2327)*(V2327)))/W2327,0)</f>
        <v/>
      </c>
      <c r="Y2327">
        <f>IF(ABS(W2327)&gt;1E-12,((LTP3!$D$5)*((U2327)*(Q2327)-(R2327)*(V2327))-(LTP3!$D$6)*((S2327)*(Q2327)-(R2327)*(T2327))+(T2327)*((S2327)*(V2327)-(U2327)*(T2327)))/W2327,0)</f>
        <v/>
      </c>
      <c r="Z2327">
        <f>IF(ABS(W2327)&gt;1E-12,((LTP3!$D$5)*((P2327)*(V2327)-(U2327)*(R2327))-(S2327)*((S2327)*(V2327)-(U2327)*(T2327))+(LTP3!$D$6)*((S2327)*(R2327)-(P2327)*(T2327)))/W2327,0)</f>
        <v/>
      </c>
      <c r="AA2327">
        <f>LTP3!$D$7-X2327*LTP3!$D$6-Y2327*U2327-Z2327*V2327</f>
        <v/>
      </c>
      <c r="AB2327">
        <f>IF(AND(F2327,ABS(W2327)&gt;1E-12,Y2327&gt;0,Z2327&gt;0),AA2327,1E+300)</f>
        <v/>
      </c>
    </row>
    <row r="2328">
      <c r="A2328">
        <f>$B$3+$B$5*37</f>
        <v/>
      </c>
      <c r="B2328">
        <f>$B$3+$B$5*59</f>
        <v/>
      </c>
      <c r="C2328">
        <f>SUMPRODUCT(Calc!$K$3:$K$22*(Calc!$G$3:$G$22&lt;=A2328))</f>
        <v/>
      </c>
      <c r="D2328">
        <f>SUMPRODUCT(Calc!$K$3:$K$22*(Calc!$G$3:$G$22&gt;A2328)*(Calc!$G$3:$G$22&lt;B2328))</f>
        <v/>
      </c>
      <c r="E2328">
        <f>SUMPRODUCT(Calc!$K$3:$K$22*(Calc!$G$3:$G$22&gt;=B2328))</f>
        <v/>
      </c>
      <c r="F2328">
        <f>AND(k_n&gt;=5,B2328&gt;A2328+1E-9,C2328&gt;=2,D2328&gt;=1,E2328&gt;=2)</f>
        <v/>
      </c>
      <c r="G2328">
        <f>SUMPRODUCT(Calc!$K$3:$K$22*(Calc!$G$3:$G$22&gt;A2328)*(Calc!$G$3:$G$22-A2328))</f>
        <v/>
      </c>
      <c r="H2328">
        <f>SUMPRODUCT(Calc!$K$3:$K$22*(Calc!$G$3:$G$22&gt;B2328)*(Calc!$G$3:$G$22-B2328))</f>
        <v/>
      </c>
      <c r="I2328">
        <f>SUMPRODUCT(Calc!$K$3:$K$22*(Calc!$G$3:$G$22&gt;A2328)*(Calc!$G$3:$G$22-A2328)^2)</f>
        <v/>
      </c>
      <c r="J2328">
        <f>SUMPRODUCT(Calc!$K$3:$K$22*(Calc!$G$3:$G$22&gt;B2328)*(Calc!$G$3:$G$22-B2328)^2)</f>
        <v/>
      </c>
      <c r="K2328">
        <f>SUMPRODUCT(Calc!$K$3:$K$22*(Calc!$G$3:$G$22&gt;A2328)*(Calc!$G$3:$G$22-A2328)*(Calc!$G$3:$G$22&gt;B2328)*(Calc!$G$3:$G$22-B2328))</f>
        <v/>
      </c>
      <c r="L2328">
        <f>SUMPRODUCT(Calc!$K$3:$K$22*(Calc!$G$3:$G$22&gt;A2328)*(Calc!$G$3:$G$22-A2328)*Calc!$G$3:$G$22)</f>
        <v/>
      </c>
      <c r="M2328">
        <f>SUMPRODUCT(Calc!$K$3:$K$22*(Calc!$G$3:$G$22&gt;B2328)*(Calc!$G$3:$G$22-B2328)*Calc!$G$3:$G$22)</f>
        <v/>
      </c>
      <c r="N2328">
        <f>SUMPRODUCT(Calc!$K$3:$K$22*(Calc!$G$3:$G$22&gt;A2328)*(Calc!$G$3:$G$22-A2328)*Calc!$I$3:$I$22)</f>
        <v/>
      </c>
      <c r="O2328">
        <f>SUMPRODUCT(Calc!$K$3:$K$22*(Calc!$G$3:$G$22&gt;B2328)*(Calc!$G$3:$G$22-B2328)*Calc!$I$3:$I$22)</f>
        <v/>
      </c>
      <c r="P2328">
        <f>I2328-G2328^2/k_n</f>
        <v/>
      </c>
      <c r="Q2328">
        <f>J2328-H2328^2/k_n</f>
        <v/>
      </c>
      <c r="R2328">
        <f>K2328-G2328*H2328/k_n</f>
        <v/>
      </c>
      <c r="S2328">
        <f>L2328-LTP3!$D$3*G2328/k_n</f>
        <v/>
      </c>
      <c r="T2328">
        <f>M2328-LTP3!$D$3*H2328/k_n</f>
        <v/>
      </c>
      <c r="U2328">
        <f>N2328-G2328*LTP3!$D$4/k_n</f>
        <v/>
      </c>
      <c r="V2328">
        <f>O2328-H2328*LTP3!$D$4/k_n</f>
        <v/>
      </c>
      <c r="W2328">
        <f>((LTP3!$D$5)*((P2328)*(Q2328)-(R2328)*(R2328))-(S2328)*((S2328)*(Q2328)-(R2328)*(T2328))+(T2328)*((S2328)*(R2328)-(P2328)*(T2328)))</f>
        <v/>
      </c>
      <c r="X2328">
        <f>IF(ABS(W2328)&gt;1E-12,((LTP3!$D$6)*((P2328)*(Q2328)-(R2328)*(R2328))-(S2328)*((U2328)*(Q2328)-(R2328)*(V2328))+(T2328)*((U2328)*(R2328)-(P2328)*(V2328)))/W2328,0)</f>
        <v/>
      </c>
      <c r="Y2328">
        <f>IF(ABS(W2328)&gt;1E-12,((LTP3!$D$5)*((U2328)*(Q2328)-(R2328)*(V2328))-(LTP3!$D$6)*((S2328)*(Q2328)-(R2328)*(T2328))+(T2328)*((S2328)*(V2328)-(U2328)*(T2328)))/W2328,0)</f>
        <v/>
      </c>
      <c r="Z2328">
        <f>IF(ABS(W2328)&gt;1E-12,((LTP3!$D$5)*((P2328)*(V2328)-(U2328)*(R2328))-(S2328)*((S2328)*(V2328)-(U2328)*(T2328))+(LTP3!$D$6)*((S2328)*(R2328)-(P2328)*(T2328)))/W2328,0)</f>
        <v/>
      </c>
      <c r="AA2328">
        <f>LTP3!$D$7-X2328*LTP3!$D$6-Y2328*U2328-Z2328*V2328</f>
        <v/>
      </c>
      <c r="AB2328">
        <f>IF(AND(F2328,ABS(W2328)&gt;1E-12,Y2328&gt;0,Z2328&gt;0),AA2328,1E+300)</f>
        <v/>
      </c>
    </row>
    <row r="2329">
      <c r="A2329">
        <f>$B$3+$B$5*37</f>
        <v/>
      </c>
      <c r="B2329">
        <f>$B$3+$B$5*60</f>
        <v/>
      </c>
      <c r="C2329">
        <f>SUMPRODUCT(Calc!$K$3:$K$22*(Calc!$G$3:$G$22&lt;=A2329))</f>
        <v/>
      </c>
      <c r="D2329">
        <f>SUMPRODUCT(Calc!$K$3:$K$22*(Calc!$G$3:$G$22&gt;A2329)*(Calc!$G$3:$G$22&lt;B2329))</f>
        <v/>
      </c>
      <c r="E2329">
        <f>SUMPRODUCT(Calc!$K$3:$K$22*(Calc!$G$3:$G$22&gt;=B2329))</f>
        <v/>
      </c>
      <c r="F2329">
        <f>AND(k_n&gt;=5,B2329&gt;A2329+1E-9,C2329&gt;=2,D2329&gt;=1,E2329&gt;=2)</f>
        <v/>
      </c>
      <c r="G2329">
        <f>SUMPRODUCT(Calc!$K$3:$K$22*(Calc!$G$3:$G$22&gt;A2329)*(Calc!$G$3:$G$22-A2329))</f>
        <v/>
      </c>
      <c r="H2329">
        <f>SUMPRODUCT(Calc!$K$3:$K$22*(Calc!$G$3:$G$22&gt;B2329)*(Calc!$G$3:$G$22-B2329))</f>
        <v/>
      </c>
      <c r="I2329">
        <f>SUMPRODUCT(Calc!$K$3:$K$22*(Calc!$G$3:$G$22&gt;A2329)*(Calc!$G$3:$G$22-A2329)^2)</f>
        <v/>
      </c>
      <c r="J2329">
        <f>SUMPRODUCT(Calc!$K$3:$K$22*(Calc!$G$3:$G$22&gt;B2329)*(Calc!$G$3:$G$22-B2329)^2)</f>
        <v/>
      </c>
      <c r="K2329">
        <f>SUMPRODUCT(Calc!$K$3:$K$22*(Calc!$G$3:$G$22&gt;A2329)*(Calc!$G$3:$G$22-A2329)*(Calc!$G$3:$G$22&gt;B2329)*(Calc!$G$3:$G$22-B2329))</f>
        <v/>
      </c>
      <c r="L2329">
        <f>SUMPRODUCT(Calc!$K$3:$K$22*(Calc!$G$3:$G$22&gt;A2329)*(Calc!$G$3:$G$22-A2329)*Calc!$G$3:$G$22)</f>
        <v/>
      </c>
      <c r="M2329">
        <f>SUMPRODUCT(Calc!$K$3:$K$22*(Calc!$G$3:$G$22&gt;B2329)*(Calc!$G$3:$G$22-B2329)*Calc!$G$3:$G$22)</f>
        <v/>
      </c>
      <c r="N2329">
        <f>SUMPRODUCT(Calc!$K$3:$K$22*(Calc!$G$3:$G$22&gt;A2329)*(Calc!$G$3:$G$22-A2329)*Calc!$I$3:$I$22)</f>
        <v/>
      </c>
      <c r="O2329">
        <f>SUMPRODUCT(Calc!$K$3:$K$22*(Calc!$G$3:$G$22&gt;B2329)*(Calc!$G$3:$G$22-B2329)*Calc!$I$3:$I$22)</f>
        <v/>
      </c>
      <c r="P2329">
        <f>I2329-G2329^2/k_n</f>
        <v/>
      </c>
      <c r="Q2329">
        <f>J2329-H2329^2/k_n</f>
        <v/>
      </c>
      <c r="R2329">
        <f>K2329-G2329*H2329/k_n</f>
        <v/>
      </c>
      <c r="S2329">
        <f>L2329-LTP3!$D$3*G2329/k_n</f>
        <v/>
      </c>
      <c r="T2329">
        <f>M2329-LTP3!$D$3*H2329/k_n</f>
        <v/>
      </c>
      <c r="U2329">
        <f>N2329-G2329*LTP3!$D$4/k_n</f>
        <v/>
      </c>
      <c r="V2329">
        <f>O2329-H2329*LTP3!$D$4/k_n</f>
        <v/>
      </c>
      <c r="W2329">
        <f>((LTP3!$D$5)*((P2329)*(Q2329)-(R2329)*(R2329))-(S2329)*((S2329)*(Q2329)-(R2329)*(T2329))+(T2329)*((S2329)*(R2329)-(P2329)*(T2329)))</f>
        <v/>
      </c>
      <c r="X2329">
        <f>IF(ABS(W2329)&gt;1E-12,((LTP3!$D$6)*((P2329)*(Q2329)-(R2329)*(R2329))-(S2329)*((U2329)*(Q2329)-(R2329)*(V2329))+(T2329)*((U2329)*(R2329)-(P2329)*(V2329)))/W2329,0)</f>
        <v/>
      </c>
      <c r="Y2329">
        <f>IF(ABS(W2329)&gt;1E-12,((LTP3!$D$5)*((U2329)*(Q2329)-(R2329)*(V2329))-(LTP3!$D$6)*((S2329)*(Q2329)-(R2329)*(T2329))+(T2329)*((S2329)*(V2329)-(U2329)*(T2329)))/W2329,0)</f>
        <v/>
      </c>
      <c r="Z2329">
        <f>IF(ABS(W2329)&gt;1E-12,((LTP3!$D$5)*((P2329)*(V2329)-(U2329)*(R2329))-(S2329)*((S2329)*(V2329)-(U2329)*(T2329))+(LTP3!$D$6)*((S2329)*(R2329)-(P2329)*(T2329)))/W2329,0)</f>
        <v/>
      </c>
      <c r="AA2329">
        <f>LTP3!$D$7-X2329*LTP3!$D$6-Y2329*U2329-Z2329*V2329</f>
        <v/>
      </c>
      <c r="AB2329">
        <f>IF(AND(F2329,ABS(W2329)&gt;1E-12,Y2329&gt;0,Z2329&gt;0),AA2329,1E+300)</f>
        <v/>
      </c>
    </row>
    <row r="2330">
      <c r="A2330">
        <f>$B$3+$B$5*38</f>
        <v/>
      </c>
      <c r="B2330">
        <f>$B$3+$B$5*0</f>
        <v/>
      </c>
      <c r="C2330">
        <f>SUMPRODUCT(Calc!$K$3:$K$22*(Calc!$G$3:$G$22&lt;=A2330))</f>
        <v/>
      </c>
      <c r="D2330">
        <f>SUMPRODUCT(Calc!$K$3:$K$22*(Calc!$G$3:$G$22&gt;A2330)*(Calc!$G$3:$G$22&lt;B2330))</f>
        <v/>
      </c>
      <c r="E2330">
        <f>SUMPRODUCT(Calc!$K$3:$K$22*(Calc!$G$3:$G$22&gt;=B2330))</f>
        <v/>
      </c>
      <c r="F2330">
        <f>AND(k_n&gt;=5,B2330&gt;A2330+1E-9,C2330&gt;=2,D2330&gt;=1,E2330&gt;=2)</f>
        <v/>
      </c>
      <c r="G2330">
        <f>SUMPRODUCT(Calc!$K$3:$K$22*(Calc!$G$3:$G$22&gt;A2330)*(Calc!$G$3:$G$22-A2330))</f>
        <v/>
      </c>
      <c r="H2330">
        <f>SUMPRODUCT(Calc!$K$3:$K$22*(Calc!$G$3:$G$22&gt;B2330)*(Calc!$G$3:$G$22-B2330))</f>
        <v/>
      </c>
      <c r="I2330">
        <f>SUMPRODUCT(Calc!$K$3:$K$22*(Calc!$G$3:$G$22&gt;A2330)*(Calc!$G$3:$G$22-A2330)^2)</f>
        <v/>
      </c>
      <c r="J2330">
        <f>SUMPRODUCT(Calc!$K$3:$K$22*(Calc!$G$3:$G$22&gt;B2330)*(Calc!$G$3:$G$22-B2330)^2)</f>
        <v/>
      </c>
      <c r="K2330">
        <f>SUMPRODUCT(Calc!$K$3:$K$22*(Calc!$G$3:$G$22&gt;A2330)*(Calc!$G$3:$G$22-A2330)*(Calc!$G$3:$G$22&gt;B2330)*(Calc!$G$3:$G$22-B2330))</f>
        <v/>
      </c>
      <c r="L2330">
        <f>SUMPRODUCT(Calc!$K$3:$K$22*(Calc!$G$3:$G$22&gt;A2330)*(Calc!$G$3:$G$22-A2330)*Calc!$G$3:$G$22)</f>
        <v/>
      </c>
      <c r="M2330">
        <f>SUMPRODUCT(Calc!$K$3:$K$22*(Calc!$G$3:$G$22&gt;B2330)*(Calc!$G$3:$G$22-B2330)*Calc!$G$3:$G$22)</f>
        <v/>
      </c>
      <c r="N2330">
        <f>SUMPRODUCT(Calc!$K$3:$K$22*(Calc!$G$3:$G$22&gt;A2330)*(Calc!$G$3:$G$22-A2330)*Calc!$I$3:$I$22)</f>
        <v/>
      </c>
      <c r="O2330">
        <f>SUMPRODUCT(Calc!$K$3:$K$22*(Calc!$G$3:$G$22&gt;B2330)*(Calc!$G$3:$G$22-B2330)*Calc!$I$3:$I$22)</f>
        <v/>
      </c>
      <c r="P2330">
        <f>I2330-G2330^2/k_n</f>
        <v/>
      </c>
      <c r="Q2330">
        <f>J2330-H2330^2/k_n</f>
        <v/>
      </c>
      <c r="R2330">
        <f>K2330-G2330*H2330/k_n</f>
        <v/>
      </c>
      <c r="S2330">
        <f>L2330-LTP3!$D$3*G2330/k_n</f>
        <v/>
      </c>
      <c r="T2330">
        <f>M2330-LTP3!$D$3*H2330/k_n</f>
        <v/>
      </c>
      <c r="U2330">
        <f>N2330-G2330*LTP3!$D$4/k_n</f>
        <v/>
      </c>
      <c r="V2330">
        <f>O2330-H2330*LTP3!$D$4/k_n</f>
        <v/>
      </c>
      <c r="W2330">
        <f>((LTP3!$D$5)*((P2330)*(Q2330)-(R2330)*(R2330))-(S2330)*((S2330)*(Q2330)-(R2330)*(T2330))+(T2330)*((S2330)*(R2330)-(P2330)*(T2330)))</f>
        <v/>
      </c>
      <c r="X2330">
        <f>IF(ABS(W2330)&gt;1E-12,((LTP3!$D$6)*((P2330)*(Q2330)-(R2330)*(R2330))-(S2330)*((U2330)*(Q2330)-(R2330)*(V2330))+(T2330)*((U2330)*(R2330)-(P2330)*(V2330)))/W2330,0)</f>
        <v/>
      </c>
      <c r="Y2330">
        <f>IF(ABS(W2330)&gt;1E-12,((LTP3!$D$5)*((U2330)*(Q2330)-(R2330)*(V2330))-(LTP3!$D$6)*((S2330)*(Q2330)-(R2330)*(T2330))+(T2330)*((S2330)*(V2330)-(U2330)*(T2330)))/W2330,0)</f>
        <v/>
      </c>
      <c r="Z2330">
        <f>IF(ABS(W2330)&gt;1E-12,((LTP3!$D$5)*((P2330)*(V2330)-(U2330)*(R2330))-(S2330)*((S2330)*(V2330)-(U2330)*(T2330))+(LTP3!$D$6)*((S2330)*(R2330)-(P2330)*(T2330)))/W2330,0)</f>
        <v/>
      </c>
      <c r="AA2330">
        <f>LTP3!$D$7-X2330*LTP3!$D$6-Y2330*U2330-Z2330*V2330</f>
        <v/>
      </c>
      <c r="AB2330">
        <f>IF(AND(F2330,ABS(W2330)&gt;1E-12,Y2330&gt;0,Z2330&gt;0),AA2330,1E+300)</f>
        <v/>
      </c>
    </row>
    <row r="2331">
      <c r="A2331">
        <f>$B$3+$B$5*38</f>
        <v/>
      </c>
      <c r="B2331">
        <f>$B$3+$B$5*1</f>
        <v/>
      </c>
      <c r="C2331">
        <f>SUMPRODUCT(Calc!$K$3:$K$22*(Calc!$G$3:$G$22&lt;=A2331))</f>
        <v/>
      </c>
      <c r="D2331">
        <f>SUMPRODUCT(Calc!$K$3:$K$22*(Calc!$G$3:$G$22&gt;A2331)*(Calc!$G$3:$G$22&lt;B2331))</f>
        <v/>
      </c>
      <c r="E2331">
        <f>SUMPRODUCT(Calc!$K$3:$K$22*(Calc!$G$3:$G$22&gt;=B2331))</f>
        <v/>
      </c>
      <c r="F2331">
        <f>AND(k_n&gt;=5,B2331&gt;A2331+1E-9,C2331&gt;=2,D2331&gt;=1,E2331&gt;=2)</f>
        <v/>
      </c>
      <c r="G2331">
        <f>SUMPRODUCT(Calc!$K$3:$K$22*(Calc!$G$3:$G$22&gt;A2331)*(Calc!$G$3:$G$22-A2331))</f>
        <v/>
      </c>
      <c r="H2331">
        <f>SUMPRODUCT(Calc!$K$3:$K$22*(Calc!$G$3:$G$22&gt;B2331)*(Calc!$G$3:$G$22-B2331))</f>
        <v/>
      </c>
      <c r="I2331">
        <f>SUMPRODUCT(Calc!$K$3:$K$22*(Calc!$G$3:$G$22&gt;A2331)*(Calc!$G$3:$G$22-A2331)^2)</f>
        <v/>
      </c>
      <c r="J2331">
        <f>SUMPRODUCT(Calc!$K$3:$K$22*(Calc!$G$3:$G$22&gt;B2331)*(Calc!$G$3:$G$22-B2331)^2)</f>
        <v/>
      </c>
      <c r="K2331">
        <f>SUMPRODUCT(Calc!$K$3:$K$22*(Calc!$G$3:$G$22&gt;A2331)*(Calc!$G$3:$G$22-A2331)*(Calc!$G$3:$G$22&gt;B2331)*(Calc!$G$3:$G$22-B2331))</f>
        <v/>
      </c>
      <c r="L2331">
        <f>SUMPRODUCT(Calc!$K$3:$K$22*(Calc!$G$3:$G$22&gt;A2331)*(Calc!$G$3:$G$22-A2331)*Calc!$G$3:$G$22)</f>
        <v/>
      </c>
      <c r="M2331">
        <f>SUMPRODUCT(Calc!$K$3:$K$22*(Calc!$G$3:$G$22&gt;B2331)*(Calc!$G$3:$G$22-B2331)*Calc!$G$3:$G$22)</f>
        <v/>
      </c>
      <c r="N2331">
        <f>SUMPRODUCT(Calc!$K$3:$K$22*(Calc!$G$3:$G$22&gt;A2331)*(Calc!$G$3:$G$22-A2331)*Calc!$I$3:$I$22)</f>
        <v/>
      </c>
      <c r="O2331">
        <f>SUMPRODUCT(Calc!$K$3:$K$22*(Calc!$G$3:$G$22&gt;B2331)*(Calc!$G$3:$G$22-B2331)*Calc!$I$3:$I$22)</f>
        <v/>
      </c>
      <c r="P2331">
        <f>I2331-G2331^2/k_n</f>
        <v/>
      </c>
      <c r="Q2331">
        <f>J2331-H2331^2/k_n</f>
        <v/>
      </c>
      <c r="R2331">
        <f>K2331-G2331*H2331/k_n</f>
        <v/>
      </c>
      <c r="S2331">
        <f>L2331-LTP3!$D$3*G2331/k_n</f>
        <v/>
      </c>
      <c r="T2331">
        <f>M2331-LTP3!$D$3*H2331/k_n</f>
        <v/>
      </c>
      <c r="U2331">
        <f>N2331-G2331*LTP3!$D$4/k_n</f>
        <v/>
      </c>
      <c r="V2331">
        <f>O2331-H2331*LTP3!$D$4/k_n</f>
        <v/>
      </c>
      <c r="W2331">
        <f>((LTP3!$D$5)*((P2331)*(Q2331)-(R2331)*(R2331))-(S2331)*((S2331)*(Q2331)-(R2331)*(T2331))+(T2331)*((S2331)*(R2331)-(P2331)*(T2331)))</f>
        <v/>
      </c>
      <c r="X2331">
        <f>IF(ABS(W2331)&gt;1E-12,((LTP3!$D$6)*((P2331)*(Q2331)-(R2331)*(R2331))-(S2331)*((U2331)*(Q2331)-(R2331)*(V2331))+(T2331)*((U2331)*(R2331)-(P2331)*(V2331)))/W2331,0)</f>
        <v/>
      </c>
      <c r="Y2331">
        <f>IF(ABS(W2331)&gt;1E-12,((LTP3!$D$5)*((U2331)*(Q2331)-(R2331)*(V2331))-(LTP3!$D$6)*((S2331)*(Q2331)-(R2331)*(T2331))+(T2331)*((S2331)*(V2331)-(U2331)*(T2331)))/W2331,0)</f>
        <v/>
      </c>
      <c r="Z2331">
        <f>IF(ABS(W2331)&gt;1E-12,((LTP3!$D$5)*((P2331)*(V2331)-(U2331)*(R2331))-(S2331)*((S2331)*(V2331)-(U2331)*(T2331))+(LTP3!$D$6)*((S2331)*(R2331)-(P2331)*(T2331)))/W2331,0)</f>
        <v/>
      </c>
      <c r="AA2331">
        <f>LTP3!$D$7-X2331*LTP3!$D$6-Y2331*U2331-Z2331*V2331</f>
        <v/>
      </c>
      <c r="AB2331">
        <f>IF(AND(F2331,ABS(W2331)&gt;1E-12,Y2331&gt;0,Z2331&gt;0),AA2331,1E+300)</f>
        <v/>
      </c>
    </row>
    <row r="2332">
      <c r="A2332">
        <f>$B$3+$B$5*38</f>
        <v/>
      </c>
      <c r="B2332">
        <f>$B$3+$B$5*2</f>
        <v/>
      </c>
      <c r="C2332">
        <f>SUMPRODUCT(Calc!$K$3:$K$22*(Calc!$G$3:$G$22&lt;=A2332))</f>
        <v/>
      </c>
      <c r="D2332">
        <f>SUMPRODUCT(Calc!$K$3:$K$22*(Calc!$G$3:$G$22&gt;A2332)*(Calc!$G$3:$G$22&lt;B2332))</f>
        <v/>
      </c>
      <c r="E2332">
        <f>SUMPRODUCT(Calc!$K$3:$K$22*(Calc!$G$3:$G$22&gt;=B2332))</f>
        <v/>
      </c>
      <c r="F2332">
        <f>AND(k_n&gt;=5,B2332&gt;A2332+1E-9,C2332&gt;=2,D2332&gt;=1,E2332&gt;=2)</f>
        <v/>
      </c>
      <c r="G2332">
        <f>SUMPRODUCT(Calc!$K$3:$K$22*(Calc!$G$3:$G$22&gt;A2332)*(Calc!$G$3:$G$22-A2332))</f>
        <v/>
      </c>
      <c r="H2332">
        <f>SUMPRODUCT(Calc!$K$3:$K$22*(Calc!$G$3:$G$22&gt;B2332)*(Calc!$G$3:$G$22-B2332))</f>
        <v/>
      </c>
      <c r="I2332">
        <f>SUMPRODUCT(Calc!$K$3:$K$22*(Calc!$G$3:$G$22&gt;A2332)*(Calc!$G$3:$G$22-A2332)^2)</f>
        <v/>
      </c>
      <c r="J2332">
        <f>SUMPRODUCT(Calc!$K$3:$K$22*(Calc!$G$3:$G$22&gt;B2332)*(Calc!$G$3:$G$22-B2332)^2)</f>
        <v/>
      </c>
      <c r="K2332">
        <f>SUMPRODUCT(Calc!$K$3:$K$22*(Calc!$G$3:$G$22&gt;A2332)*(Calc!$G$3:$G$22-A2332)*(Calc!$G$3:$G$22&gt;B2332)*(Calc!$G$3:$G$22-B2332))</f>
        <v/>
      </c>
      <c r="L2332">
        <f>SUMPRODUCT(Calc!$K$3:$K$22*(Calc!$G$3:$G$22&gt;A2332)*(Calc!$G$3:$G$22-A2332)*Calc!$G$3:$G$22)</f>
        <v/>
      </c>
      <c r="M2332">
        <f>SUMPRODUCT(Calc!$K$3:$K$22*(Calc!$G$3:$G$22&gt;B2332)*(Calc!$G$3:$G$22-B2332)*Calc!$G$3:$G$22)</f>
        <v/>
      </c>
      <c r="N2332">
        <f>SUMPRODUCT(Calc!$K$3:$K$22*(Calc!$G$3:$G$22&gt;A2332)*(Calc!$G$3:$G$22-A2332)*Calc!$I$3:$I$22)</f>
        <v/>
      </c>
      <c r="O2332">
        <f>SUMPRODUCT(Calc!$K$3:$K$22*(Calc!$G$3:$G$22&gt;B2332)*(Calc!$G$3:$G$22-B2332)*Calc!$I$3:$I$22)</f>
        <v/>
      </c>
      <c r="P2332">
        <f>I2332-G2332^2/k_n</f>
        <v/>
      </c>
      <c r="Q2332">
        <f>J2332-H2332^2/k_n</f>
        <v/>
      </c>
      <c r="R2332">
        <f>K2332-G2332*H2332/k_n</f>
        <v/>
      </c>
      <c r="S2332">
        <f>L2332-LTP3!$D$3*G2332/k_n</f>
        <v/>
      </c>
      <c r="T2332">
        <f>M2332-LTP3!$D$3*H2332/k_n</f>
        <v/>
      </c>
      <c r="U2332">
        <f>N2332-G2332*LTP3!$D$4/k_n</f>
        <v/>
      </c>
      <c r="V2332">
        <f>O2332-H2332*LTP3!$D$4/k_n</f>
        <v/>
      </c>
      <c r="W2332">
        <f>((LTP3!$D$5)*((P2332)*(Q2332)-(R2332)*(R2332))-(S2332)*((S2332)*(Q2332)-(R2332)*(T2332))+(T2332)*((S2332)*(R2332)-(P2332)*(T2332)))</f>
        <v/>
      </c>
      <c r="X2332">
        <f>IF(ABS(W2332)&gt;1E-12,((LTP3!$D$6)*((P2332)*(Q2332)-(R2332)*(R2332))-(S2332)*((U2332)*(Q2332)-(R2332)*(V2332))+(T2332)*((U2332)*(R2332)-(P2332)*(V2332)))/W2332,0)</f>
        <v/>
      </c>
      <c r="Y2332">
        <f>IF(ABS(W2332)&gt;1E-12,((LTP3!$D$5)*((U2332)*(Q2332)-(R2332)*(V2332))-(LTP3!$D$6)*((S2332)*(Q2332)-(R2332)*(T2332))+(T2332)*((S2332)*(V2332)-(U2332)*(T2332)))/W2332,0)</f>
        <v/>
      </c>
      <c r="Z2332">
        <f>IF(ABS(W2332)&gt;1E-12,((LTP3!$D$5)*((P2332)*(V2332)-(U2332)*(R2332))-(S2332)*((S2332)*(V2332)-(U2332)*(T2332))+(LTP3!$D$6)*((S2332)*(R2332)-(P2332)*(T2332)))/W2332,0)</f>
        <v/>
      </c>
      <c r="AA2332">
        <f>LTP3!$D$7-X2332*LTP3!$D$6-Y2332*U2332-Z2332*V2332</f>
        <v/>
      </c>
      <c r="AB2332">
        <f>IF(AND(F2332,ABS(W2332)&gt;1E-12,Y2332&gt;0,Z2332&gt;0),AA2332,1E+300)</f>
        <v/>
      </c>
    </row>
    <row r="2333">
      <c r="A2333">
        <f>$B$3+$B$5*38</f>
        <v/>
      </c>
      <c r="B2333">
        <f>$B$3+$B$5*3</f>
        <v/>
      </c>
      <c r="C2333">
        <f>SUMPRODUCT(Calc!$K$3:$K$22*(Calc!$G$3:$G$22&lt;=A2333))</f>
        <v/>
      </c>
      <c r="D2333">
        <f>SUMPRODUCT(Calc!$K$3:$K$22*(Calc!$G$3:$G$22&gt;A2333)*(Calc!$G$3:$G$22&lt;B2333))</f>
        <v/>
      </c>
      <c r="E2333">
        <f>SUMPRODUCT(Calc!$K$3:$K$22*(Calc!$G$3:$G$22&gt;=B2333))</f>
        <v/>
      </c>
      <c r="F2333">
        <f>AND(k_n&gt;=5,B2333&gt;A2333+1E-9,C2333&gt;=2,D2333&gt;=1,E2333&gt;=2)</f>
        <v/>
      </c>
      <c r="G2333">
        <f>SUMPRODUCT(Calc!$K$3:$K$22*(Calc!$G$3:$G$22&gt;A2333)*(Calc!$G$3:$G$22-A2333))</f>
        <v/>
      </c>
      <c r="H2333">
        <f>SUMPRODUCT(Calc!$K$3:$K$22*(Calc!$G$3:$G$22&gt;B2333)*(Calc!$G$3:$G$22-B2333))</f>
        <v/>
      </c>
      <c r="I2333">
        <f>SUMPRODUCT(Calc!$K$3:$K$22*(Calc!$G$3:$G$22&gt;A2333)*(Calc!$G$3:$G$22-A2333)^2)</f>
        <v/>
      </c>
      <c r="J2333">
        <f>SUMPRODUCT(Calc!$K$3:$K$22*(Calc!$G$3:$G$22&gt;B2333)*(Calc!$G$3:$G$22-B2333)^2)</f>
        <v/>
      </c>
      <c r="K2333">
        <f>SUMPRODUCT(Calc!$K$3:$K$22*(Calc!$G$3:$G$22&gt;A2333)*(Calc!$G$3:$G$22-A2333)*(Calc!$G$3:$G$22&gt;B2333)*(Calc!$G$3:$G$22-B2333))</f>
        <v/>
      </c>
      <c r="L2333">
        <f>SUMPRODUCT(Calc!$K$3:$K$22*(Calc!$G$3:$G$22&gt;A2333)*(Calc!$G$3:$G$22-A2333)*Calc!$G$3:$G$22)</f>
        <v/>
      </c>
      <c r="M2333">
        <f>SUMPRODUCT(Calc!$K$3:$K$22*(Calc!$G$3:$G$22&gt;B2333)*(Calc!$G$3:$G$22-B2333)*Calc!$G$3:$G$22)</f>
        <v/>
      </c>
      <c r="N2333">
        <f>SUMPRODUCT(Calc!$K$3:$K$22*(Calc!$G$3:$G$22&gt;A2333)*(Calc!$G$3:$G$22-A2333)*Calc!$I$3:$I$22)</f>
        <v/>
      </c>
      <c r="O2333">
        <f>SUMPRODUCT(Calc!$K$3:$K$22*(Calc!$G$3:$G$22&gt;B2333)*(Calc!$G$3:$G$22-B2333)*Calc!$I$3:$I$22)</f>
        <v/>
      </c>
      <c r="P2333">
        <f>I2333-G2333^2/k_n</f>
        <v/>
      </c>
      <c r="Q2333">
        <f>J2333-H2333^2/k_n</f>
        <v/>
      </c>
      <c r="R2333">
        <f>K2333-G2333*H2333/k_n</f>
        <v/>
      </c>
      <c r="S2333">
        <f>L2333-LTP3!$D$3*G2333/k_n</f>
        <v/>
      </c>
      <c r="T2333">
        <f>M2333-LTP3!$D$3*H2333/k_n</f>
        <v/>
      </c>
      <c r="U2333">
        <f>N2333-G2333*LTP3!$D$4/k_n</f>
        <v/>
      </c>
      <c r="V2333">
        <f>O2333-H2333*LTP3!$D$4/k_n</f>
        <v/>
      </c>
      <c r="W2333">
        <f>((LTP3!$D$5)*((P2333)*(Q2333)-(R2333)*(R2333))-(S2333)*((S2333)*(Q2333)-(R2333)*(T2333))+(T2333)*((S2333)*(R2333)-(P2333)*(T2333)))</f>
        <v/>
      </c>
      <c r="X2333">
        <f>IF(ABS(W2333)&gt;1E-12,((LTP3!$D$6)*((P2333)*(Q2333)-(R2333)*(R2333))-(S2333)*((U2333)*(Q2333)-(R2333)*(V2333))+(T2333)*((U2333)*(R2333)-(P2333)*(V2333)))/W2333,0)</f>
        <v/>
      </c>
      <c r="Y2333">
        <f>IF(ABS(W2333)&gt;1E-12,((LTP3!$D$5)*((U2333)*(Q2333)-(R2333)*(V2333))-(LTP3!$D$6)*((S2333)*(Q2333)-(R2333)*(T2333))+(T2333)*((S2333)*(V2333)-(U2333)*(T2333)))/W2333,0)</f>
        <v/>
      </c>
      <c r="Z2333">
        <f>IF(ABS(W2333)&gt;1E-12,((LTP3!$D$5)*((P2333)*(V2333)-(U2333)*(R2333))-(S2333)*((S2333)*(V2333)-(U2333)*(T2333))+(LTP3!$D$6)*((S2333)*(R2333)-(P2333)*(T2333)))/W2333,0)</f>
        <v/>
      </c>
      <c r="AA2333">
        <f>LTP3!$D$7-X2333*LTP3!$D$6-Y2333*U2333-Z2333*V2333</f>
        <v/>
      </c>
      <c r="AB2333">
        <f>IF(AND(F2333,ABS(W2333)&gt;1E-12,Y2333&gt;0,Z2333&gt;0),AA2333,1E+300)</f>
        <v/>
      </c>
    </row>
    <row r="2334">
      <c r="A2334">
        <f>$B$3+$B$5*38</f>
        <v/>
      </c>
      <c r="B2334">
        <f>$B$3+$B$5*4</f>
        <v/>
      </c>
      <c r="C2334">
        <f>SUMPRODUCT(Calc!$K$3:$K$22*(Calc!$G$3:$G$22&lt;=A2334))</f>
        <v/>
      </c>
      <c r="D2334">
        <f>SUMPRODUCT(Calc!$K$3:$K$22*(Calc!$G$3:$G$22&gt;A2334)*(Calc!$G$3:$G$22&lt;B2334))</f>
        <v/>
      </c>
      <c r="E2334">
        <f>SUMPRODUCT(Calc!$K$3:$K$22*(Calc!$G$3:$G$22&gt;=B2334))</f>
        <v/>
      </c>
      <c r="F2334">
        <f>AND(k_n&gt;=5,B2334&gt;A2334+1E-9,C2334&gt;=2,D2334&gt;=1,E2334&gt;=2)</f>
        <v/>
      </c>
      <c r="G2334">
        <f>SUMPRODUCT(Calc!$K$3:$K$22*(Calc!$G$3:$G$22&gt;A2334)*(Calc!$G$3:$G$22-A2334))</f>
        <v/>
      </c>
      <c r="H2334">
        <f>SUMPRODUCT(Calc!$K$3:$K$22*(Calc!$G$3:$G$22&gt;B2334)*(Calc!$G$3:$G$22-B2334))</f>
        <v/>
      </c>
      <c r="I2334">
        <f>SUMPRODUCT(Calc!$K$3:$K$22*(Calc!$G$3:$G$22&gt;A2334)*(Calc!$G$3:$G$22-A2334)^2)</f>
        <v/>
      </c>
      <c r="J2334">
        <f>SUMPRODUCT(Calc!$K$3:$K$22*(Calc!$G$3:$G$22&gt;B2334)*(Calc!$G$3:$G$22-B2334)^2)</f>
        <v/>
      </c>
      <c r="K2334">
        <f>SUMPRODUCT(Calc!$K$3:$K$22*(Calc!$G$3:$G$22&gt;A2334)*(Calc!$G$3:$G$22-A2334)*(Calc!$G$3:$G$22&gt;B2334)*(Calc!$G$3:$G$22-B2334))</f>
        <v/>
      </c>
      <c r="L2334">
        <f>SUMPRODUCT(Calc!$K$3:$K$22*(Calc!$G$3:$G$22&gt;A2334)*(Calc!$G$3:$G$22-A2334)*Calc!$G$3:$G$22)</f>
        <v/>
      </c>
      <c r="M2334">
        <f>SUMPRODUCT(Calc!$K$3:$K$22*(Calc!$G$3:$G$22&gt;B2334)*(Calc!$G$3:$G$22-B2334)*Calc!$G$3:$G$22)</f>
        <v/>
      </c>
      <c r="N2334">
        <f>SUMPRODUCT(Calc!$K$3:$K$22*(Calc!$G$3:$G$22&gt;A2334)*(Calc!$G$3:$G$22-A2334)*Calc!$I$3:$I$22)</f>
        <v/>
      </c>
      <c r="O2334">
        <f>SUMPRODUCT(Calc!$K$3:$K$22*(Calc!$G$3:$G$22&gt;B2334)*(Calc!$G$3:$G$22-B2334)*Calc!$I$3:$I$22)</f>
        <v/>
      </c>
      <c r="P2334">
        <f>I2334-G2334^2/k_n</f>
        <v/>
      </c>
      <c r="Q2334">
        <f>J2334-H2334^2/k_n</f>
        <v/>
      </c>
      <c r="R2334">
        <f>K2334-G2334*H2334/k_n</f>
        <v/>
      </c>
      <c r="S2334">
        <f>L2334-LTP3!$D$3*G2334/k_n</f>
        <v/>
      </c>
      <c r="T2334">
        <f>M2334-LTP3!$D$3*H2334/k_n</f>
        <v/>
      </c>
      <c r="U2334">
        <f>N2334-G2334*LTP3!$D$4/k_n</f>
        <v/>
      </c>
      <c r="V2334">
        <f>O2334-H2334*LTP3!$D$4/k_n</f>
        <v/>
      </c>
      <c r="W2334">
        <f>((LTP3!$D$5)*((P2334)*(Q2334)-(R2334)*(R2334))-(S2334)*((S2334)*(Q2334)-(R2334)*(T2334))+(T2334)*((S2334)*(R2334)-(P2334)*(T2334)))</f>
        <v/>
      </c>
      <c r="X2334">
        <f>IF(ABS(W2334)&gt;1E-12,((LTP3!$D$6)*((P2334)*(Q2334)-(R2334)*(R2334))-(S2334)*((U2334)*(Q2334)-(R2334)*(V2334))+(T2334)*((U2334)*(R2334)-(P2334)*(V2334)))/W2334,0)</f>
        <v/>
      </c>
      <c r="Y2334">
        <f>IF(ABS(W2334)&gt;1E-12,((LTP3!$D$5)*((U2334)*(Q2334)-(R2334)*(V2334))-(LTP3!$D$6)*((S2334)*(Q2334)-(R2334)*(T2334))+(T2334)*((S2334)*(V2334)-(U2334)*(T2334)))/W2334,0)</f>
        <v/>
      </c>
      <c r="Z2334">
        <f>IF(ABS(W2334)&gt;1E-12,((LTP3!$D$5)*((P2334)*(V2334)-(U2334)*(R2334))-(S2334)*((S2334)*(V2334)-(U2334)*(T2334))+(LTP3!$D$6)*((S2334)*(R2334)-(P2334)*(T2334)))/W2334,0)</f>
        <v/>
      </c>
      <c r="AA2334">
        <f>LTP3!$D$7-X2334*LTP3!$D$6-Y2334*U2334-Z2334*V2334</f>
        <v/>
      </c>
      <c r="AB2334">
        <f>IF(AND(F2334,ABS(W2334)&gt;1E-12,Y2334&gt;0,Z2334&gt;0),AA2334,1E+300)</f>
        <v/>
      </c>
    </row>
    <row r="2335">
      <c r="A2335">
        <f>$B$3+$B$5*38</f>
        <v/>
      </c>
      <c r="B2335">
        <f>$B$3+$B$5*5</f>
        <v/>
      </c>
      <c r="C2335">
        <f>SUMPRODUCT(Calc!$K$3:$K$22*(Calc!$G$3:$G$22&lt;=A2335))</f>
        <v/>
      </c>
      <c r="D2335">
        <f>SUMPRODUCT(Calc!$K$3:$K$22*(Calc!$G$3:$G$22&gt;A2335)*(Calc!$G$3:$G$22&lt;B2335))</f>
        <v/>
      </c>
      <c r="E2335">
        <f>SUMPRODUCT(Calc!$K$3:$K$22*(Calc!$G$3:$G$22&gt;=B2335))</f>
        <v/>
      </c>
      <c r="F2335">
        <f>AND(k_n&gt;=5,B2335&gt;A2335+1E-9,C2335&gt;=2,D2335&gt;=1,E2335&gt;=2)</f>
        <v/>
      </c>
      <c r="G2335">
        <f>SUMPRODUCT(Calc!$K$3:$K$22*(Calc!$G$3:$G$22&gt;A2335)*(Calc!$G$3:$G$22-A2335))</f>
        <v/>
      </c>
      <c r="H2335">
        <f>SUMPRODUCT(Calc!$K$3:$K$22*(Calc!$G$3:$G$22&gt;B2335)*(Calc!$G$3:$G$22-B2335))</f>
        <v/>
      </c>
      <c r="I2335">
        <f>SUMPRODUCT(Calc!$K$3:$K$22*(Calc!$G$3:$G$22&gt;A2335)*(Calc!$G$3:$G$22-A2335)^2)</f>
        <v/>
      </c>
      <c r="J2335">
        <f>SUMPRODUCT(Calc!$K$3:$K$22*(Calc!$G$3:$G$22&gt;B2335)*(Calc!$G$3:$G$22-B2335)^2)</f>
        <v/>
      </c>
      <c r="K2335">
        <f>SUMPRODUCT(Calc!$K$3:$K$22*(Calc!$G$3:$G$22&gt;A2335)*(Calc!$G$3:$G$22-A2335)*(Calc!$G$3:$G$22&gt;B2335)*(Calc!$G$3:$G$22-B2335))</f>
        <v/>
      </c>
      <c r="L2335">
        <f>SUMPRODUCT(Calc!$K$3:$K$22*(Calc!$G$3:$G$22&gt;A2335)*(Calc!$G$3:$G$22-A2335)*Calc!$G$3:$G$22)</f>
        <v/>
      </c>
      <c r="M2335">
        <f>SUMPRODUCT(Calc!$K$3:$K$22*(Calc!$G$3:$G$22&gt;B2335)*(Calc!$G$3:$G$22-B2335)*Calc!$G$3:$G$22)</f>
        <v/>
      </c>
      <c r="N2335">
        <f>SUMPRODUCT(Calc!$K$3:$K$22*(Calc!$G$3:$G$22&gt;A2335)*(Calc!$G$3:$G$22-A2335)*Calc!$I$3:$I$22)</f>
        <v/>
      </c>
      <c r="O2335">
        <f>SUMPRODUCT(Calc!$K$3:$K$22*(Calc!$G$3:$G$22&gt;B2335)*(Calc!$G$3:$G$22-B2335)*Calc!$I$3:$I$22)</f>
        <v/>
      </c>
      <c r="P2335">
        <f>I2335-G2335^2/k_n</f>
        <v/>
      </c>
      <c r="Q2335">
        <f>J2335-H2335^2/k_n</f>
        <v/>
      </c>
      <c r="R2335">
        <f>K2335-G2335*H2335/k_n</f>
        <v/>
      </c>
      <c r="S2335">
        <f>L2335-LTP3!$D$3*G2335/k_n</f>
        <v/>
      </c>
      <c r="T2335">
        <f>M2335-LTP3!$D$3*H2335/k_n</f>
        <v/>
      </c>
      <c r="U2335">
        <f>N2335-G2335*LTP3!$D$4/k_n</f>
        <v/>
      </c>
      <c r="V2335">
        <f>O2335-H2335*LTP3!$D$4/k_n</f>
        <v/>
      </c>
      <c r="W2335">
        <f>((LTP3!$D$5)*((P2335)*(Q2335)-(R2335)*(R2335))-(S2335)*((S2335)*(Q2335)-(R2335)*(T2335))+(T2335)*((S2335)*(R2335)-(P2335)*(T2335)))</f>
        <v/>
      </c>
      <c r="X2335">
        <f>IF(ABS(W2335)&gt;1E-12,((LTP3!$D$6)*((P2335)*(Q2335)-(R2335)*(R2335))-(S2335)*((U2335)*(Q2335)-(R2335)*(V2335))+(T2335)*((U2335)*(R2335)-(P2335)*(V2335)))/W2335,0)</f>
        <v/>
      </c>
      <c r="Y2335">
        <f>IF(ABS(W2335)&gt;1E-12,((LTP3!$D$5)*((U2335)*(Q2335)-(R2335)*(V2335))-(LTP3!$D$6)*((S2335)*(Q2335)-(R2335)*(T2335))+(T2335)*((S2335)*(V2335)-(U2335)*(T2335)))/W2335,0)</f>
        <v/>
      </c>
      <c r="Z2335">
        <f>IF(ABS(W2335)&gt;1E-12,((LTP3!$D$5)*((P2335)*(V2335)-(U2335)*(R2335))-(S2335)*((S2335)*(V2335)-(U2335)*(T2335))+(LTP3!$D$6)*((S2335)*(R2335)-(P2335)*(T2335)))/W2335,0)</f>
        <v/>
      </c>
      <c r="AA2335">
        <f>LTP3!$D$7-X2335*LTP3!$D$6-Y2335*U2335-Z2335*V2335</f>
        <v/>
      </c>
      <c r="AB2335">
        <f>IF(AND(F2335,ABS(W2335)&gt;1E-12,Y2335&gt;0,Z2335&gt;0),AA2335,1E+300)</f>
        <v/>
      </c>
    </row>
    <row r="2336">
      <c r="A2336">
        <f>$B$3+$B$5*38</f>
        <v/>
      </c>
      <c r="B2336">
        <f>$B$3+$B$5*6</f>
        <v/>
      </c>
      <c r="C2336">
        <f>SUMPRODUCT(Calc!$K$3:$K$22*(Calc!$G$3:$G$22&lt;=A2336))</f>
        <v/>
      </c>
      <c r="D2336">
        <f>SUMPRODUCT(Calc!$K$3:$K$22*(Calc!$G$3:$G$22&gt;A2336)*(Calc!$G$3:$G$22&lt;B2336))</f>
        <v/>
      </c>
      <c r="E2336">
        <f>SUMPRODUCT(Calc!$K$3:$K$22*(Calc!$G$3:$G$22&gt;=B2336))</f>
        <v/>
      </c>
      <c r="F2336">
        <f>AND(k_n&gt;=5,B2336&gt;A2336+1E-9,C2336&gt;=2,D2336&gt;=1,E2336&gt;=2)</f>
        <v/>
      </c>
      <c r="G2336">
        <f>SUMPRODUCT(Calc!$K$3:$K$22*(Calc!$G$3:$G$22&gt;A2336)*(Calc!$G$3:$G$22-A2336))</f>
        <v/>
      </c>
      <c r="H2336">
        <f>SUMPRODUCT(Calc!$K$3:$K$22*(Calc!$G$3:$G$22&gt;B2336)*(Calc!$G$3:$G$22-B2336))</f>
        <v/>
      </c>
      <c r="I2336">
        <f>SUMPRODUCT(Calc!$K$3:$K$22*(Calc!$G$3:$G$22&gt;A2336)*(Calc!$G$3:$G$22-A2336)^2)</f>
        <v/>
      </c>
      <c r="J2336">
        <f>SUMPRODUCT(Calc!$K$3:$K$22*(Calc!$G$3:$G$22&gt;B2336)*(Calc!$G$3:$G$22-B2336)^2)</f>
        <v/>
      </c>
      <c r="K2336">
        <f>SUMPRODUCT(Calc!$K$3:$K$22*(Calc!$G$3:$G$22&gt;A2336)*(Calc!$G$3:$G$22-A2336)*(Calc!$G$3:$G$22&gt;B2336)*(Calc!$G$3:$G$22-B2336))</f>
        <v/>
      </c>
      <c r="L2336">
        <f>SUMPRODUCT(Calc!$K$3:$K$22*(Calc!$G$3:$G$22&gt;A2336)*(Calc!$G$3:$G$22-A2336)*Calc!$G$3:$G$22)</f>
        <v/>
      </c>
      <c r="M2336">
        <f>SUMPRODUCT(Calc!$K$3:$K$22*(Calc!$G$3:$G$22&gt;B2336)*(Calc!$G$3:$G$22-B2336)*Calc!$G$3:$G$22)</f>
        <v/>
      </c>
      <c r="N2336">
        <f>SUMPRODUCT(Calc!$K$3:$K$22*(Calc!$G$3:$G$22&gt;A2336)*(Calc!$G$3:$G$22-A2336)*Calc!$I$3:$I$22)</f>
        <v/>
      </c>
      <c r="O2336">
        <f>SUMPRODUCT(Calc!$K$3:$K$22*(Calc!$G$3:$G$22&gt;B2336)*(Calc!$G$3:$G$22-B2336)*Calc!$I$3:$I$22)</f>
        <v/>
      </c>
      <c r="P2336">
        <f>I2336-G2336^2/k_n</f>
        <v/>
      </c>
      <c r="Q2336">
        <f>J2336-H2336^2/k_n</f>
        <v/>
      </c>
      <c r="R2336">
        <f>K2336-G2336*H2336/k_n</f>
        <v/>
      </c>
      <c r="S2336">
        <f>L2336-LTP3!$D$3*G2336/k_n</f>
        <v/>
      </c>
      <c r="T2336">
        <f>M2336-LTP3!$D$3*H2336/k_n</f>
        <v/>
      </c>
      <c r="U2336">
        <f>N2336-G2336*LTP3!$D$4/k_n</f>
        <v/>
      </c>
      <c r="V2336">
        <f>O2336-H2336*LTP3!$D$4/k_n</f>
        <v/>
      </c>
      <c r="W2336">
        <f>((LTP3!$D$5)*((P2336)*(Q2336)-(R2336)*(R2336))-(S2336)*((S2336)*(Q2336)-(R2336)*(T2336))+(T2336)*((S2336)*(R2336)-(P2336)*(T2336)))</f>
        <v/>
      </c>
      <c r="X2336">
        <f>IF(ABS(W2336)&gt;1E-12,((LTP3!$D$6)*((P2336)*(Q2336)-(R2336)*(R2336))-(S2336)*((U2336)*(Q2336)-(R2336)*(V2336))+(T2336)*((U2336)*(R2336)-(P2336)*(V2336)))/W2336,0)</f>
        <v/>
      </c>
      <c r="Y2336">
        <f>IF(ABS(W2336)&gt;1E-12,((LTP3!$D$5)*((U2336)*(Q2336)-(R2336)*(V2336))-(LTP3!$D$6)*((S2336)*(Q2336)-(R2336)*(T2336))+(T2336)*((S2336)*(V2336)-(U2336)*(T2336)))/W2336,0)</f>
        <v/>
      </c>
      <c r="Z2336">
        <f>IF(ABS(W2336)&gt;1E-12,((LTP3!$D$5)*((P2336)*(V2336)-(U2336)*(R2336))-(S2336)*((S2336)*(V2336)-(U2336)*(T2336))+(LTP3!$D$6)*((S2336)*(R2336)-(P2336)*(T2336)))/W2336,0)</f>
        <v/>
      </c>
      <c r="AA2336">
        <f>LTP3!$D$7-X2336*LTP3!$D$6-Y2336*U2336-Z2336*V2336</f>
        <v/>
      </c>
      <c r="AB2336">
        <f>IF(AND(F2336,ABS(W2336)&gt;1E-12,Y2336&gt;0,Z2336&gt;0),AA2336,1E+300)</f>
        <v/>
      </c>
    </row>
    <row r="2337">
      <c r="A2337">
        <f>$B$3+$B$5*38</f>
        <v/>
      </c>
      <c r="B2337">
        <f>$B$3+$B$5*7</f>
        <v/>
      </c>
      <c r="C2337">
        <f>SUMPRODUCT(Calc!$K$3:$K$22*(Calc!$G$3:$G$22&lt;=A2337))</f>
        <v/>
      </c>
      <c r="D2337">
        <f>SUMPRODUCT(Calc!$K$3:$K$22*(Calc!$G$3:$G$22&gt;A2337)*(Calc!$G$3:$G$22&lt;B2337))</f>
        <v/>
      </c>
      <c r="E2337">
        <f>SUMPRODUCT(Calc!$K$3:$K$22*(Calc!$G$3:$G$22&gt;=B2337))</f>
        <v/>
      </c>
      <c r="F2337">
        <f>AND(k_n&gt;=5,B2337&gt;A2337+1E-9,C2337&gt;=2,D2337&gt;=1,E2337&gt;=2)</f>
        <v/>
      </c>
      <c r="G2337">
        <f>SUMPRODUCT(Calc!$K$3:$K$22*(Calc!$G$3:$G$22&gt;A2337)*(Calc!$G$3:$G$22-A2337))</f>
        <v/>
      </c>
      <c r="H2337">
        <f>SUMPRODUCT(Calc!$K$3:$K$22*(Calc!$G$3:$G$22&gt;B2337)*(Calc!$G$3:$G$22-B2337))</f>
        <v/>
      </c>
      <c r="I2337">
        <f>SUMPRODUCT(Calc!$K$3:$K$22*(Calc!$G$3:$G$22&gt;A2337)*(Calc!$G$3:$G$22-A2337)^2)</f>
        <v/>
      </c>
      <c r="J2337">
        <f>SUMPRODUCT(Calc!$K$3:$K$22*(Calc!$G$3:$G$22&gt;B2337)*(Calc!$G$3:$G$22-B2337)^2)</f>
        <v/>
      </c>
      <c r="K2337">
        <f>SUMPRODUCT(Calc!$K$3:$K$22*(Calc!$G$3:$G$22&gt;A2337)*(Calc!$G$3:$G$22-A2337)*(Calc!$G$3:$G$22&gt;B2337)*(Calc!$G$3:$G$22-B2337))</f>
        <v/>
      </c>
      <c r="L2337">
        <f>SUMPRODUCT(Calc!$K$3:$K$22*(Calc!$G$3:$G$22&gt;A2337)*(Calc!$G$3:$G$22-A2337)*Calc!$G$3:$G$22)</f>
        <v/>
      </c>
      <c r="M2337">
        <f>SUMPRODUCT(Calc!$K$3:$K$22*(Calc!$G$3:$G$22&gt;B2337)*(Calc!$G$3:$G$22-B2337)*Calc!$G$3:$G$22)</f>
        <v/>
      </c>
      <c r="N2337">
        <f>SUMPRODUCT(Calc!$K$3:$K$22*(Calc!$G$3:$G$22&gt;A2337)*(Calc!$G$3:$G$22-A2337)*Calc!$I$3:$I$22)</f>
        <v/>
      </c>
      <c r="O2337">
        <f>SUMPRODUCT(Calc!$K$3:$K$22*(Calc!$G$3:$G$22&gt;B2337)*(Calc!$G$3:$G$22-B2337)*Calc!$I$3:$I$22)</f>
        <v/>
      </c>
      <c r="P2337">
        <f>I2337-G2337^2/k_n</f>
        <v/>
      </c>
      <c r="Q2337">
        <f>J2337-H2337^2/k_n</f>
        <v/>
      </c>
      <c r="R2337">
        <f>K2337-G2337*H2337/k_n</f>
        <v/>
      </c>
      <c r="S2337">
        <f>L2337-LTP3!$D$3*G2337/k_n</f>
        <v/>
      </c>
      <c r="T2337">
        <f>M2337-LTP3!$D$3*H2337/k_n</f>
        <v/>
      </c>
      <c r="U2337">
        <f>N2337-G2337*LTP3!$D$4/k_n</f>
        <v/>
      </c>
      <c r="V2337">
        <f>O2337-H2337*LTP3!$D$4/k_n</f>
        <v/>
      </c>
      <c r="W2337">
        <f>((LTP3!$D$5)*((P2337)*(Q2337)-(R2337)*(R2337))-(S2337)*((S2337)*(Q2337)-(R2337)*(T2337))+(T2337)*((S2337)*(R2337)-(P2337)*(T2337)))</f>
        <v/>
      </c>
      <c r="X2337">
        <f>IF(ABS(W2337)&gt;1E-12,((LTP3!$D$6)*((P2337)*(Q2337)-(R2337)*(R2337))-(S2337)*((U2337)*(Q2337)-(R2337)*(V2337))+(T2337)*((U2337)*(R2337)-(P2337)*(V2337)))/W2337,0)</f>
        <v/>
      </c>
      <c r="Y2337">
        <f>IF(ABS(W2337)&gt;1E-12,((LTP3!$D$5)*((U2337)*(Q2337)-(R2337)*(V2337))-(LTP3!$D$6)*((S2337)*(Q2337)-(R2337)*(T2337))+(T2337)*((S2337)*(V2337)-(U2337)*(T2337)))/W2337,0)</f>
        <v/>
      </c>
      <c r="Z2337">
        <f>IF(ABS(W2337)&gt;1E-12,((LTP3!$D$5)*((P2337)*(V2337)-(U2337)*(R2337))-(S2337)*((S2337)*(V2337)-(U2337)*(T2337))+(LTP3!$D$6)*((S2337)*(R2337)-(P2337)*(T2337)))/W2337,0)</f>
        <v/>
      </c>
      <c r="AA2337">
        <f>LTP3!$D$7-X2337*LTP3!$D$6-Y2337*U2337-Z2337*V2337</f>
        <v/>
      </c>
      <c r="AB2337">
        <f>IF(AND(F2337,ABS(W2337)&gt;1E-12,Y2337&gt;0,Z2337&gt;0),AA2337,1E+300)</f>
        <v/>
      </c>
    </row>
    <row r="2338">
      <c r="A2338">
        <f>$B$3+$B$5*38</f>
        <v/>
      </c>
      <c r="B2338">
        <f>$B$3+$B$5*8</f>
        <v/>
      </c>
      <c r="C2338">
        <f>SUMPRODUCT(Calc!$K$3:$K$22*(Calc!$G$3:$G$22&lt;=A2338))</f>
        <v/>
      </c>
      <c r="D2338">
        <f>SUMPRODUCT(Calc!$K$3:$K$22*(Calc!$G$3:$G$22&gt;A2338)*(Calc!$G$3:$G$22&lt;B2338))</f>
        <v/>
      </c>
      <c r="E2338">
        <f>SUMPRODUCT(Calc!$K$3:$K$22*(Calc!$G$3:$G$22&gt;=B2338))</f>
        <v/>
      </c>
      <c r="F2338">
        <f>AND(k_n&gt;=5,B2338&gt;A2338+1E-9,C2338&gt;=2,D2338&gt;=1,E2338&gt;=2)</f>
        <v/>
      </c>
      <c r="G2338">
        <f>SUMPRODUCT(Calc!$K$3:$K$22*(Calc!$G$3:$G$22&gt;A2338)*(Calc!$G$3:$G$22-A2338))</f>
        <v/>
      </c>
      <c r="H2338">
        <f>SUMPRODUCT(Calc!$K$3:$K$22*(Calc!$G$3:$G$22&gt;B2338)*(Calc!$G$3:$G$22-B2338))</f>
        <v/>
      </c>
      <c r="I2338">
        <f>SUMPRODUCT(Calc!$K$3:$K$22*(Calc!$G$3:$G$22&gt;A2338)*(Calc!$G$3:$G$22-A2338)^2)</f>
        <v/>
      </c>
      <c r="J2338">
        <f>SUMPRODUCT(Calc!$K$3:$K$22*(Calc!$G$3:$G$22&gt;B2338)*(Calc!$G$3:$G$22-B2338)^2)</f>
        <v/>
      </c>
      <c r="K2338">
        <f>SUMPRODUCT(Calc!$K$3:$K$22*(Calc!$G$3:$G$22&gt;A2338)*(Calc!$G$3:$G$22-A2338)*(Calc!$G$3:$G$22&gt;B2338)*(Calc!$G$3:$G$22-B2338))</f>
        <v/>
      </c>
      <c r="L2338">
        <f>SUMPRODUCT(Calc!$K$3:$K$22*(Calc!$G$3:$G$22&gt;A2338)*(Calc!$G$3:$G$22-A2338)*Calc!$G$3:$G$22)</f>
        <v/>
      </c>
      <c r="M2338">
        <f>SUMPRODUCT(Calc!$K$3:$K$22*(Calc!$G$3:$G$22&gt;B2338)*(Calc!$G$3:$G$22-B2338)*Calc!$G$3:$G$22)</f>
        <v/>
      </c>
      <c r="N2338">
        <f>SUMPRODUCT(Calc!$K$3:$K$22*(Calc!$G$3:$G$22&gt;A2338)*(Calc!$G$3:$G$22-A2338)*Calc!$I$3:$I$22)</f>
        <v/>
      </c>
      <c r="O2338">
        <f>SUMPRODUCT(Calc!$K$3:$K$22*(Calc!$G$3:$G$22&gt;B2338)*(Calc!$G$3:$G$22-B2338)*Calc!$I$3:$I$22)</f>
        <v/>
      </c>
      <c r="P2338">
        <f>I2338-G2338^2/k_n</f>
        <v/>
      </c>
      <c r="Q2338">
        <f>J2338-H2338^2/k_n</f>
        <v/>
      </c>
      <c r="R2338">
        <f>K2338-G2338*H2338/k_n</f>
        <v/>
      </c>
      <c r="S2338">
        <f>L2338-LTP3!$D$3*G2338/k_n</f>
        <v/>
      </c>
      <c r="T2338">
        <f>M2338-LTP3!$D$3*H2338/k_n</f>
        <v/>
      </c>
      <c r="U2338">
        <f>N2338-G2338*LTP3!$D$4/k_n</f>
        <v/>
      </c>
      <c r="V2338">
        <f>O2338-H2338*LTP3!$D$4/k_n</f>
        <v/>
      </c>
      <c r="W2338">
        <f>((LTP3!$D$5)*((P2338)*(Q2338)-(R2338)*(R2338))-(S2338)*((S2338)*(Q2338)-(R2338)*(T2338))+(T2338)*((S2338)*(R2338)-(P2338)*(T2338)))</f>
        <v/>
      </c>
      <c r="X2338">
        <f>IF(ABS(W2338)&gt;1E-12,((LTP3!$D$6)*((P2338)*(Q2338)-(R2338)*(R2338))-(S2338)*((U2338)*(Q2338)-(R2338)*(V2338))+(T2338)*((U2338)*(R2338)-(P2338)*(V2338)))/W2338,0)</f>
        <v/>
      </c>
      <c r="Y2338">
        <f>IF(ABS(W2338)&gt;1E-12,((LTP3!$D$5)*((U2338)*(Q2338)-(R2338)*(V2338))-(LTP3!$D$6)*((S2338)*(Q2338)-(R2338)*(T2338))+(T2338)*((S2338)*(V2338)-(U2338)*(T2338)))/W2338,0)</f>
        <v/>
      </c>
      <c r="Z2338">
        <f>IF(ABS(W2338)&gt;1E-12,((LTP3!$D$5)*((P2338)*(V2338)-(U2338)*(R2338))-(S2338)*((S2338)*(V2338)-(U2338)*(T2338))+(LTP3!$D$6)*((S2338)*(R2338)-(P2338)*(T2338)))/W2338,0)</f>
        <v/>
      </c>
      <c r="AA2338">
        <f>LTP3!$D$7-X2338*LTP3!$D$6-Y2338*U2338-Z2338*V2338</f>
        <v/>
      </c>
      <c r="AB2338">
        <f>IF(AND(F2338,ABS(W2338)&gt;1E-12,Y2338&gt;0,Z2338&gt;0),AA2338,1E+300)</f>
        <v/>
      </c>
    </row>
    <row r="2339">
      <c r="A2339">
        <f>$B$3+$B$5*38</f>
        <v/>
      </c>
      <c r="B2339">
        <f>$B$3+$B$5*9</f>
        <v/>
      </c>
      <c r="C2339">
        <f>SUMPRODUCT(Calc!$K$3:$K$22*(Calc!$G$3:$G$22&lt;=A2339))</f>
        <v/>
      </c>
      <c r="D2339">
        <f>SUMPRODUCT(Calc!$K$3:$K$22*(Calc!$G$3:$G$22&gt;A2339)*(Calc!$G$3:$G$22&lt;B2339))</f>
        <v/>
      </c>
      <c r="E2339">
        <f>SUMPRODUCT(Calc!$K$3:$K$22*(Calc!$G$3:$G$22&gt;=B2339))</f>
        <v/>
      </c>
      <c r="F2339">
        <f>AND(k_n&gt;=5,B2339&gt;A2339+1E-9,C2339&gt;=2,D2339&gt;=1,E2339&gt;=2)</f>
        <v/>
      </c>
      <c r="G2339">
        <f>SUMPRODUCT(Calc!$K$3:$K$22*(Calc!$G$3:$G$22&gt;A2339)*(Calc!$G$3:$G$22-A2339))</f>
        <v/>
      </c>
      <c r="H2339">
        <f>SUMPRODUCT(Calc!$K$3:$K$22*(Calc!$G$3:$G$22&gt;B2339)*(Calc!$G$3:$G$22-B2339))</f>
        <v/>
      </c>
      <c r="I2339">
        <f>SUMPRODUCT(Calc!$K$3:$K$22*(Calc!$G$3:$G$22&gt;A2339)*(Calc!$G$3:$G$22-A2339)^2)</f>
        <v/>
      </c>
      <c r="J2339">
        <f>SUMPRODUCT(Calc!$K$3:$K$22*(Calc!$G$3:$G$22&gt;B2339)*(Calc!$G$3:$G$22-B2339)^2)</f>
        <v/>
      </c>
      <c r="K2339">
        <f>SUMPRODUCT(Calc!$K$3:$K$22*(Calc!$G$3:$G$22&gt;A2339)*(Calc!$G$3:$G$22-A2339)*(Calc!$G$3:$G$22&gt;B2339)*(Calc!$G$3:$G$22-B2339))</f>
        <v/>
      </c>
      <c r="L2339">
        <f>SUMPRODUCT(Calc!$K$3:$K$22*(Calc!$G$3:$G$22&gt;A2339)*(Calc!$G$3:$G$22-A2339)*Calc!$G$3:$G$22)</f>
        <v/>
      </c>
      <c r="M2339">
        <f>SUMPRODUCT(Calc!$K$3:$K$22*(Calc!$G$3:$G$22&gt;B2339)*(Calc!$G$3:$G$22-B2339)*Calc!$G$3:$G$22)</f>
        <v/>
      </c>
      <c r="N2339">
        <f>SUMPRODUCT(Calc!$K$3:$K$22*(Calc!$G$3:$G$22&gt;A2339)*(Calc!$G$3:$G$22-A2339)*Calc!$I$3:$I$22)</f>
        <v/>
      </c>
      <c r="O2339">
        <f>SUMPRODUCT(Calc!$K$3:$K$22*(Calc!$G$3:$G$22&gt;B2339)*(Calc!$G$3:$G$22-B2339)*Calc!$I$3:$I$22)</f>
        <v/>
      </c>
      <c r="P2339">
        <f>I2339-G2339^2/k_n</f>
        <v/>
      </c>
      <c r="Q2339">
        <f>J2339-H2339^2/k_n</f>
        <v/>
      </c>
      <c r="R2339">
        <f>K2339-G2339*H2339/k_n</f>
        <v/>
      </c>
      <c r="S2339">
        <f>L2339-LTP3!$D$3*G2339/k_n</f>
        <v/>
      </c>
      <c r="T2339">
        <f>M2339-LTP3!$D$3*H2339/k_n</f>
        <v/>
      </c>
      <c r="U2339">
        <f>N2339-G2339*LTP3!$D$4/k_n</f>
        <v/>
      </c>
      <c r="V2339">
        <f>O2339-H2339*LTP3!$D$4/k_n</f>
        <v/>
      </c>
      <c r="W2339">
        <f>((LTP3!$D$5)*((P2339)*(Q2339)-(R2339)*(R2339))-(S2339)*((S2339)*(Q2339)-(R2339)*(T2339))+(T2339)*((S2339)*(R2339)-(P2339)*(T2339)))</f>
        <v/>
      </c>
      <c r="X2339">
        <f>IF(ABS(W2339)&gt;1E-12,((LTP3!$D$6)*((P2339)*(Q2339)-(R2339)*(R2339))-(S2339)*((U2339)*(Q2339)-(R2339)*(V2339))+(T2339)*((U2339)*(R2339)-(P2339)*(V2339)))/W2339,0)</f>
        <v/>
      </c>
      <c r="Y2339">
        <f>IF(ABS(W2339)&gt;1E-12,((LTP3!$D$5)*((U2339)*(Q2339)-(R2339)*(V2339))-(LTP3!$D$6)*((S2339)*(Q2339)-(R2339)*(T2339))+(T2339)*((S2339)*(V2339)-(U2339)*(T2339)))/W2339,0)</f>
        <v/>
      </c>
      <c r="Z2339">
        <f>IF(ABS(W2339)&gt;1E-12,((LTP3!$D$5)*((P2339)*(V2339)-(U2339)*(R2339))-(S2339)*((S2339)*(V2339)-(U2339)*(T2339))+(LTP3!$D$6)*((S2339)*(R2339)-(P2339)*(T2339)))/W2339,0)</f>
        <v/>
      </c>
      <c r="AA2339">
        <f>LTP3!$D$7-X2339*LTP3!$D$6-Y2339*U2339-Z2339*V2339</f>
        <v/>
      </c>
      <c r="AB2339">
        <f>IF(AND(F2339,ABS(W2339)&gt;1E-12,Y2339&gt;0,Z2339&gt;0),AA2339,1E+300)</f>
        <v/>
      </c>
    </row>
    <row r="2340">
      <c r="A2340">
        <f>$B$3+$B$5*38</f>
        <v/>
      </c>
      <c r="B2340">
        <f>$B$3+$B$5*10</f>
        <v/>
      </c>
      <c r="C2340">
        <f>SUMPRODUCT(Calc!$K$3:$K$22*(Calc!$G$3:$G$22&lt;=A2340))</f>
        <v/>
      </c>
      <c r="D2340">
        <f>SUMPRODUCT(Calc!$K$3:$K$22*(Calc!$G$3:$G$22&gt;A2340)*(Calc!$G$3:$G$22&lt;B2340))</f>
        <v/>
      </c>
      <c r="E2340">
        <f>SUMPRODUCT(Calc!$K$3:$K$22*(Calc!$G$3:$G$22&gt;=B2340))</f>
        <v/>
      </c>
      <c r="F2340">
        <f>AND(k_n&gt;=5,B2340&gt;A2340+1E-9,C2340&gt;=2,D2340&gt;=1,E2340&gt;=2)</f>
        <v/>
      </c>
      <c r="G2340">
        <f>SUMPRODUCT(Calc!$K$3:$K$22*(Calc!$G$3:$G$22&gt;A2340)*(Calc!$G$3:$G$22-A2340))</f>
        <v/>
      </c>
      <c r="H2340">
        <f>SUMPRODUCT(Calc!$K$3:$K$22*(Calc!$G$3:$G$22&gt;B2340)*(Calc!$G$3:$G$22-B2340))</f>
        <v/>
      </c>
      <c r="I2340">
        <f>SUMPRODUCT(Calc!$K$3:$K$22*(Calc!$G$3:$G$22&gt;A2340)*(Calc!$G$3:$G$22-A2340)^2)</f>
        <v/>
      </c>
      <c r="J2340">
        <f>SUMPRODUCT(Calc!$K$3:$K$22*(Calc!$G$3:$G$22&gt;B2340)*(Calc!$G$3:$G$22-B2340)^2)</f>
        <v/>
      </c>
      <c r="K2340">
        <f>SUMPRODUCT(Calc!$K$3:$K$22*(Calc!$G$3:$G$22&gt;A2340)*(Calc!$G$3:$G$22-A2340)*(Calc!$G$3:$G$22&gt;B2340)*(Calc!$G$3:$G$22-B2340))</f>
        <v/>
      </c>
      <c r="L2340">
        <f>SUMPRODUCT(Calc!$K$3:$K$22*(Calc!$G$3:$G$22&gt;A2340)*(Calc!$G$3:$G$22-A2340)*Calc!$G$3:$G$22)</f>
        <v/>
      </c>
      <c r="M2340">
        <f>SUMPRODUCT(Calc!$K$3:$K$22*(Calc!$G$3:$G$22&gt;B2340)*(Calc!$G$3:$G$22-B2340)*Calc!$G$3:$G$22)</f>
        <v/>
      </c>
      <c r="N2340">
        <f>SUMPRODUCT(Calc!$K$3:$K$22*(Calc!$G$3:$G$22&gt;A2340)*(Calc!$G$3:$G$22-A2340)*Calc!$I$3:$I$22)</f>
        <v/>
      </c>
      <c r="O2340">
        <f>SUMPRODUCT(Calc!$K$3:$K$22*(Calc!$G$3:$G$22&gt;B2340)*(Calc!$G$3:$G$22-B2340)*Calc!$I$3:$I$22)</f>
        <v/>
      </c>
      <c r="P2340">
        <f>I2340-G2340^2/k_n</f>
        <v/>
      </c>
      <c r="Q2340">
        <f>J2340-H2340^2/k_n</f>
        <v/>
      </c>
      <c r="R2340">
        <f>K2340-G2340*H2340/k_n</f>
        <v/>
      </c>
      <c r="S2340">
        <f>L2340-LTP3!$D$3*G2340/k_n</f>
        <v/>
      </c>
      <c r="T2340">
        <f>M2340-LTP3!$D$3*H2340/k_n</f>
        <v/>
      </c>
      <c r="U2340">
        <f>N2340-G2340*LTP3!$D$4/k_n</f>
        <v/>
      </c>
      <c r="V2340">
        <f>O2340-H2340*LTP3!$D$4/k_n</f>
        <v/>
      </c>
      <c r="W2340">
        <f>((LTP3!$D$5)*((P2340)*(Q2340)-(R2340)*(R2340))-(S2340)*((S2340)*(Q2340)-(R2340)*(T2340))+(T2340)*((S2340)*(R2340)-(P2340)*(T2340)))</f>
        <v/>
      </c>
      <c r="X2340">
        <f>IF(ABS(W2340)&gt;1E-12,((LTP3!$D$6)*((P2340)*(Q2340)-(R2340)*(R2340))-(S2340)*((U2340)*(Q2340)-(R2340)*(V2340))+(T2340)*((U2340)*(R2340)-(P2340)*(V2340)))/W2340,0)</f>
        <v/>
      </c>
      <c r="Y2340">
        <f>IF(ABS(W2340)&gt;1E-12,((LTP3!$D$5)*((U2340)*(Q2340)-(R2340)*(V2340))-(LTP3!$D$6)*((S2340)*(Q2340)-(R2340)*(T2340))+(T2340)*((S2340)*(V2340)-(U2340)*(T2340)))/W2340,0)</f>
        <v/>
      </c>
      <c r="Z2340">
        <f>IF(ABS(W2340)&gt;1E-12,((LTP3!$D$5)*((P2340)*(V2340)-(U2340)*(R2340))-(S2340)*((S2340)*(V2340)-(U2340)*(T2340))+(LTP3!$D$6)*((S2340)*(R2340)-(P2340)*(T2340)))/W2340,0)</f>
        <v/>
      </c>
      <c r="AA2340">
        <f>LTP3!$D$7-X2340*LTP3!$D$6-Y2340*U2340-Z2340*V2340</f>
        <v/>
      </c>
      <c r="AB2340">
        <f>IF(AND(F2340,ABS(W2340)&gt;1E-12,Y2340&gt;0,Z2340&gt;0),AA2340,1E+300)</f>
        <v/>
      </c>
    </row>
    <row r="2341">
      <c r="A2341">
        <f>$B$3+$B$5*38</f>
        <v/>
      </c>
      <c r="B2341">
        <f>$B$3+$B$5*11</f>
        <v/>
      </c>
      <c r="C2341">
        <f>SUMPRODUCT(Calc!$K$3:$K$22*(Calc!$G$3:$G$22&lt;=A2341))</f>
        <v/>
      </c>
      <c r="D2341">
        <f>SUMPRODUCT(Calc!$K$3:$K$22*(Calc!$G$3:$G$22&gt;A2341)*(Calc!$G$3:$G$22&lt;B2341))</f>
        <v/>
      </c>
      <c r="E2341">
        <f>SUMPRODUCT(Calc!$K$3:$K$22*(Calc!$G$3:$G$22&gt;=B2341))</f>
        <v/>
      </c>
      <c r="F2341">
        <f>AND(k_n&gt;=5,B2341&gt;A2341+1E-9,C2341&gt;=2,D2341&gt;=1,E2341&gt;=2)</f>
        <v/>
      </c>
      <c r="G2341">
        <f>SUMPRODUCT(Calc!$K$3:$K$22*(Calc!$G$3:$G$22&gt;A2341)*(Calc!$G$3:$G$22-A2341))</f>
        <v/>
      </c>
      <c r="H2341">
        <f>SUMPRODUCT(Calc!$K$3:$K$22*(Calc!$G$3:$G$22&gt;B2341)*(Calc!$G$3:$G$22-B2341))</f>
        <v/>
      </c>
      <c r="I2341">
        <f>SUMPRODUCT(Calc!$K$3:$K$22*(Calc!$G$3:$G$22&gt;A2341)*(Calc!$G$3:$G$22-A2341)^2)</f>
        <v/>
      </c>
      <c r="J2341">
        <f>SUMPRODUCT(Calc!$K$3:$K$22*(Calc!$G$3:$G$22&gt;B2341)*(Calc!$G$3:$G$22-B2341)^2)</f>
        <v/>
      </c>
      <c r="K2341">
        <f>SUMPRODUCT(Calc!$K$3:$K$22*(Calc!$G$3:$G$22&gt;A2341)*(Calc!$G$3:$G$22-A2341)*(Calc!$G$3:$G$22&gt;B2341)*(Calc!$G$3:$G$22-B2341))</f>
        <v/>
      </c>
      <c r="L2341">
        <f>SUMPRODUCT(Calc!$K$3:$K$22*(Calc!$G$3:$G$22&gt;A2341)*(Calc!$G$3:$G$22-A2341)*Calc!$G$3:$G$22)</f>
        <v/>
      </c>
      <c r="M2341">
        <f>SUMPRODUCT(Calc!$K$3:$K$22*(Calc!$G$3:$G$22&gt;B2341)*(Calc!$G$3:$G$22-B2341)*Calc!$G$3:$G$22)</f>
        <v/>
      </c>
      <c r="N2341">
        <f>SUMPRODUCT(Calc!$K$3:$K$22*(Calc!$G$3:$G$22&gt;A2341)*(Calc!$G$3:$G$22-A2341)*Calc!$I$3:$I$22)</f>
        <v/>
      </c>
      <c r="O2341">
        <f>SUMPRODUCT(Calc!$K$3:$K$22*(Calc!$G$3:$G$22&gt;B2341)*(Calc!$G$3:$G$22-B2341)*Calc!$I$3:$I$22)</f>
        <v/>
      </c>
      <c r="P2341">
        <f>I2341-G2341^2/k_n</f>
        <v/>
      </c>
      <c r="Q2341">
        <f>J2341-H2341^2/k_n</f>
        <v/>
      </c>
      <c r="R2341">
        <f>K2341-G2341*H2341/k_n</f>
        <v/>
      </c>
      <c r="S2341">
        <f>L2341-LTP3!$D$3*G2341/k_n</f>
        <v/>
      </c>
      <c r="T2341">
        <f>M2341-LTP3!$D$3*H2341/k_n</f>
        <v/>
      </c>
      <c r="U2341">
        <f>N2341-G2341*LTP3!$D$4/k_n</f>
        <v/>
      </c>
      <c r="V2341">
        <f>O2341-H2341*LTP3!$D$4/k_n</f>
        <v/>
      </c>
      <c r="W2341">
        <f>((LTP3!$D$5)*((P2341)*(Q2341)-(R2341)*(R2341))-(S2341)*((S2341)*(Q2341)-(R2341)*(T2341))+(T2341)*((S2341)*(R2341)-(P2341)*(T2341)))</f>
        <v/>
      </c>
      <c r="X2341">
        <f>IF(ABS(W2341)&gt;1E-12,((LTP3!$D$6)*((P2341)*(Q2341)-(R2341)*(R2341))-(S2341)*((U2341)*(Q2341)-(R2341)*(V2341))+(T2341)*((U2341)*(R2341)-(P2341)*(V2341)))/W2341,0)</f>
        <v/>
      </c>
      <c r="Y2341">
        <f>IF(ABS(W2341)&gt;1E-12,((LTP3!$D$5)*((U2341)*(Q2341)-(R2341)*(V2341))-(LTP3!$D$6)*((S2341)*(Q2341)-(R2341)*(T2341))+(T2341)*((S2341)*(V2341)-(U2341)*(T2341)))/W2341,0)</f>
        <v/>
      </c>
      <c r="Z2341">
        <f>IF(ABS(W2341)&gt;1E-12,((LTP3!$D$5)*((P2341)*(V2341)-(U2341)*(R2341))-(S2341)*((S2341)*(V2341)-(U2341)*(T2341))+(LTP3!$D$6)*((S2341)*(R2341)-(P2341)*(T2341)))/W2341,0)</f>
        <v/>
      </c>
      <c r="AA2341">
        <f>LTP3!$D$7-X2341*LTP3!$D$6-Y2341*U2341-Z2341*V2341</f>
        <v/>
      </c>
      <c r="AB2341">
        <f>IF(AND(F2341,ABS(W2341)&gt;1E-12,Y2341&gt;0,Z2341&gt;0),AA2341,1E+300)</f>
        <v/>
      </c>
    </row>
    <row r="2342">
      <c r="A2342">
        <f>$B$3+$B$5*38</f>
        <v/>
      </c>
      <c r="B2342">
        <f>$B$3+$B$5*12</f>
        <v/>
      </c>
      <c r="C2342">
        <f>SUMPRODUCT(Calc!$K$3:$K$22*(Calc!$G$3:$G$22&lt;=A2342))</f>
        <v/>
      </c>
      <c r="D2342">
        <f>SUMPRODUCT(Calc!$K$3:$K$22*(Calc!$G$3:$G$22&gt;A2342)*(Calc!$G$3:$G$22&lt;B2342))</f>
        <v/>
      </c>
      <c r="E2342">
        <f>SUMPRODUCT(Calc!$K$3:$K$22*(Calc!$G$3:$G$22&gt;=B2342))</f>
        <v/>
      </c>
      <c r="F2342">
        <f>AND(k_n&gt;=5,B2342&gt;A2342+1E-9,C2342&gt;=2,D2342&gt;=1,E2342&gt;=2)</f>
        <v/>
      </c>
      <c r="G2342">
        <f>SUMPRODUCT(Calc!$K$3:$K$22*(Calc!$G$3:$G$22&gt;A2342)*(Calc!$G$3:$G$22-A2342))</f>
        <v/>
      </c>
      <c r="H2342">
        <f>SUMPRODUCT(Calc!$K$3:$K$22*(Calc!$G$3:$G$22&gt;B2342)*(Calc!$G$3:$G$22-B2342))</f>
        <v/>
      </c>
      <c r="I2342">
        <f>SUMPRODUCT(Calc!$K$3:$K$22*(Calc!$G$3:$G$22&gt;A2342)*(Calc!$G$3:$G$22-A2342)^2)</f>
        <v/>
      </c>
      <c r="J2342">
        <f>SUMPRODUCT(Calc!$K$3:$K$22*(Calc!$G$3:$G$22&gt;B2342)*(Calc!$G$3:$G$22-B2342)^2)</f>
        <v/>
      </c>
      <c r="K2342">
        <f>SUMPRODUCT(Calc!$K$3:$K$22*(Calc!$G$3:$G$22&gt;A2342)*(Calc!$G$3:$G$22-A2342)*(Calc!$G$3:$G$22&gt;B2342)*(Calc!$G$3:$G$22-B2342))</f>
        <v/>
      </c>
      <c r="L2342">
        <f>SUMPRODUCT(Calc!$K$3:$K$22*(Calc!$G$3:$G$22&gt;A2342)*(Calc!$G$3:$G$22-A2342)*Calc!$G$3:$G$22)</f>
        <v/>
      </c>
      <c r="M2342">
        <f>SUMPRODUCT(Calc!$K$3:$K$22*(Calc!$G$3:$G$22&gt;B2342)*(Calc!$G$3:$G$22-B2342)*Calc!$G$3:$G$22)</f>
        <v/>
      </c>
      <c r="N2342">
        <f>SUMPRODUCT(Calc!$K$3:$K$22*(Calc!$G$3:$G$22&gt;A2342)*(Calc!$G$3:$G$22-A2342)*Calc!$I$3:$I$22)</f>
        <v/>
      </c>
      <c r="O2342">
        <f>SUMPRODUCT(Calc!$K$3:$K$22*(Calc!$G$3:$G$22&gt;B2342)*(Calc!$G$3:$G$22-B2342)*Calc!$I$3:$I$22)</f>
        <v/>
      </c>
      <c r="P2342">
        <f>I2342-G2342^2/k_n</f>
        <v/>
      </c>
      <c r="Q2342">
        <f>J2342-H2342^2/k_n</f>
        <v/>
      </c>
      <c r="R2342">
        <f>K2342-G2342*H2342/k_n</f>
        <v/>
      </c>
      <c r="S2342">
        <f>L2342-LTP3!$D$3*G2342/k_n</f>
        <v/>
      </c>
      <c r="T2342">
        <f>M2342-LTP3!$D$3*H2342/k_n</f>
        <v/>
      </c>
      <c r="U2342">
        <f>N2342-G2342*LTP3!$D$4/k_n</f>
        <v/>
      </c>
      <c r="V2342">
        <f>O2342-H2342*LTP3!$D$4/k_n</f>
        <v/>
      </c>
      <c r="W2342">
        <f>((LTP3!$D$5)*((P2342)*(Q2342)-(R2342)*(R2342))-(S2342)*((S2342)*(Q2342)-(R2342)*(T2342))+(T2342)*((S2342)*(R2342)-(P2342)*(T2342)))</f>
        <v/>
      </c>
      <c r="X2342">
        <f>IF(ABS(W2342)&gt;1E-12,((LTP3!$D$6)*((P2342)*(Q2342)-(R2342)*(R2342))-(S2342)*((U2342)*(Q2342)-(R2342)*(V2342))+(T2342)*((U2342)*(R2342)-(P2342)*(V2342)))/W2342,0)</f>
        <v/>
      </c>
      <c r="Y2342">
        <f>IF(ABS(W2342)&gt;1E-12,((LTP3!$D$5)*((U2342)*(Q2342)-(R2342)*(V2342))-(LTP3!$D$6)*((S2342)*(Q2342)-(R2342)*(T2342))+(T2342)*((S2342)*(V2342)-(U2342)*(T2342)))/W2342,0)</f>
        <v/>
      </c>
      <c r="Z2342">
        <f>IF(ABS(W2342)&gt;1E-12,((LTP3!$D$5)*((P2342)*(V2342)-(U2342)*(R2342))-(S2342)*((S2342)*(V2342)-(U2342)*(T2342))+(LTP3!$D$6)*((S2342)*(R2342)-(P2342)*(T2342)))/W2342,0)</f>
        <v/>
      </c>
      <c r="AA2342">
        <f>LTP3!$D$7-X2342*LTP3!$D$6-Y2342*U2342-Z2342*V2342</f>
        <v/>
      </c>
      <c r="AB2342">
        <f>IF(AND(F2342,ABS(W2342)&gt;1E-12,Y2342&gt;0,Z2342&gt;0),AA2342,1E+300)</f>
        <v/>
      </c>
    </row>
    <row r="2343">
      <c r="A2343">
        <f>$B$3+$B$5*38</f>
        <v/>
      </c>
      <c r="B2343">
        <f>$B$3+$B$5*13</f>
        <v/>
      </c>
      <c r="C2343">
        <f>SUMPRODUCT(Calc!$K$3:$K$22*(Calc!$G$3:$G$22&lt;=A2343))</f>
        <v/>
      </c>
      <c r="D2343">
        <f>SUMPRODUCT(Calc!$K$3:$K$22*(Calc!$G$3:$G$22&gt;A2343)*(Calc!$G$3:$G$22&lt;B2343))</f>
        <v/>
      </c>
      <c r="E2343">
        <f>SUMPRODUCT(Calc!$K$3:$K$22*(Calc!$G$3:$G$22&gt;=B2343))</f>
        <v/>
      </c>
      <c r="F2343">
        <f>AND(k_n&gt;=5,B2343&gt;A2343+1E-9,C2343&gt;=2,D2343&gt;=1,E2343&gt;=2)</f>
        <v/>
      </c>
      <c r="G2343">
        <f>SUMPRODUCT(Calc!$K$3:$K$22*(Calc!$G$3:$G$22&gt;A2343)*(Calc!$G$3:$G$22-A2343))</f>
        <v/>
      </c>
      <c r="H2343">
        <f>SUMPRODUCT(Calc!$K$3:$K$22*(Calc!$G$3:$G$22&gt;B2343)*(Calc!$G$3:$G$22-B2343))</f>
        <v/>
      </c>
      <c r="I2343">
        <f>SUMPRODUCT(Calc!$K$3:$K$22*(Calc!$G$3:$G$22&gt;A2343)*(Calc!$G$3:$G$22-A2343)^2)</f>
        <v/>
      </c>
      <c r="J2343">
        <f>SUMPRODUCT(Calc!$K$3:$K$22*(Calc!$G$3:$G$22&gt;B2343)*(Calc!$G$3:$G$22-B2343)^2)</f>
        <v/>
      </c>
      <c r="K2343">
        <f>SUMPRODUCT(Calc!$K$3:$K$22*(Calc!$G$3:$G$22&gt;A2343)*(Calc!$G$3:$G$22-A2343)*(Calc!$G$3:$G$22&gt;B2343)*(Calc!$G$3:$G$22-B2343))</f>
        <v/>
      </c>
      <c r="L2343">
        <f>SUMPRODUCT(Calc!$K$3:$K$22*(Calc!$G$3:$G$22&gt;A2343)*(Calc!$G$3:$G$22-A2343)*Calc!$G$3:$G$22)</f>
        <v/>
      </c>
      <c r="M2343">
        <f>SUMPRODUCT(Calc!$K$3:$K$22*(Calc!$G$3:$G$22&gt;B2343)*(Calc!$G$3:$G$22-B2343)*Calc!$G$3:$G$22)</f>
        <v/>
      </c>
      <c r="N2343">
        <f>SUMPRODUCT(Calc!$K$3:$K$22*(Calc!$G$3:$G$22&gt;A2343)*(Calc!$G$3:$G$22-A2343)*Calc!$I$3:$I$22)</f>
        <v/>
      </c>
      <c r="O2343">
        <f>SUMPRODUCT(Calc!$K$3:$K$22*(Calc!$G$3:$G$22&gt;B2343)*(Calc!$G$3:$G$22-B2343)*Calc!$I$3:$I$22)</f>
        <v/>
      </c>
      <c r="P2343">
        <f>I2343-G2343^2/k_n</f>
        <v/>
      </c>
      <c r="Q2343">
        <f>J2343-H2343^2/k_n</f>
        <v/>
      </c>
      <c r="R2343">
        <f>K2343-G2343*H2343/k_n</f>
        <v/>
      </c>
      <c r="S2343">
        <f>L2343-LTP3!$D$3*G2343/k_n</f>
        <v/>
      </c>
      <c r="T2343">
        <f>M2343-LTP3!$D$3*H2343/k_n</f>
        <v/>
      </c>
      <c r="U2343">
        <f>N2343-G2343*LTP3!$D$4/k_n</f>
        <v/>
      </c>
      <c r="V2343">
        <f>O2343-H2343*LTP3!$D$4/k_n</f>
        <v/>
      </c>
      <c r="W2343">
        <f>((LTP3!$D$5)*((P2343)*(Q2343)-(R2343)*(R2343))-(S2343)*((S2343)*(Q2343)-(R2343)*(T2343))+(T2343)*((S2343)*(R2343)-(P2343)*(T2343)))</f>
        <v/>
      </c>
      <c r="X2343">
        <f>IF(ABS(W2343)&gt;1E-12,((LTP3!$D$6)*((P2343)*(Q2343)-(R2343)*(R2343))-(S2343)*((U2343)*(Q2343)-(R2343)*(V2343))+(T2343)*((U2343)*(R2343)-(P2343)*(V2343)))/W2343,0)</f>
        <v/>
      </c>
      <c r="Y2343">
        <f>IF(ABS(W2343)&gt;1E-12,((LTP3!$D$5)*((U2343)*(Q2343)-(R2343)*(V2343))-(LTP3!$D$6)*((S2343)*(Q2343)-(R2343)*(T2343))+(T2343)*((S2343)*(V2343)-(U2343)*(T2343)))/W2343,0)</f>
        <v/>
      </c>
      <c r="Z2343">
        <f>IF(ABS(W2343)&gt;1E-12,((LTP3!$D$5)*((P2343)*(V2343)-(U2343)*(R2343))-(S2343)*((S2343)*(V2343)-(U2343)*(T2343))+(LTP3!$D$6)*((S2343)*(R2343)-(P2343)*(T2343)))/W2343,0)</f>
        <v/>
      </c>
      <c r="AA2343">
        <f>LTP3!$D$7-X2343*LTP3!$D$6-Y2343*U2343-Z2343*V2343</f>
        <v/>
      </c>
      <c r="AB2343">
        <f>IF(AND(F2343,ABS(W2343)&gt;1E-12,Y2343&gt;0,Z2343&gt;0),AA2343,1E+300)</f>
        <v/>
      </c>
    </row>
    <row r="2344">
      <c r="A2344">
        <f>$B$3+$B$5*38</f>
        <v/>
      </c>
      <c r="B2344">
        <f>$B$3+$B$5*14</f>
        <v/>
      </c>
      <c r="C2344">
        <f>SUMPRODUCT(Calc!$K$3:$K$22*(Calc!$G$3:$G$22&lt;=A2344))</f>
        <v/>
      </c>
      <c r="D2344">
        <f>SUMPRODUCT(Calc!$K$3:$K$22*(Calc!$G$3:$G$22&gt;A2344)*(Calc!$G$3:$G$22&lt;B2344))</f>
        <v/>
      </c>
      <c r="E2344">
        <f>SUMPRODUCT(Calc!$K$3:$K$22*(Calc!$G$3:$G$22&gt;=B2344))</f>
        <v/>
      </c>
      <c r="F2344">
        <f>AND(k_n&gt;=5,B2344&gt;A2344+1E-9,C2344&gt;=2,D2344&gt;=1,E2344&gt;=2)</f>
        <v/>
      </c>
      <c r="G2344">
        <f>SUMPRODUCT(Calc!$K$3:$K$22*(Calc!$G$3:$G$22&gt;A2344)*(Calc!$G$3:$G$22-A2344))</f>
        <v/>
      </c>
      <c r="H2344">
        <f>SUMPRODUCT(Calc!$K$3:$K$22*(Calc!$G$3:$G$22&gt;B2344)*(Calc!$G$3:$G$22-B2344))</f>
        <v/>
      </c>
      <c r="I2344">
        <f>SUMPRODUCT(Calc!$K$3:$K$22*(Calc!$G$3:$G$22&gt;A2344)*(Calc!$G$3:$G$22-A2344)^2)</f>
        <v/>
      </c>
      <c r="J2344">
        <f>SUMPRODUCT(Calc!$K$3:$K$22*(Calc!$G$3:$G$22&gt;B2344)*(Calc!$G$3:$G$22-B2344)^2)</f>
        <v/>
      </c>
      <c r="K2344">
        <f>SUMPRODUCT(Calc!$K$3:$K$22*(Calc!$G$3:$G$22&gt;A2344)*(Calc!$G$3:$G$22-A2344)*(Calc!$G$3:$G$22&gt;B2344)*(Calc!$G$3:$G$22-B2344))</f>
        <v/>
      </c>
      <c r="L2344">
        <f>SUMPRODUCT(Calc!$K$3:$K$22*(Calc!$G$3:$G$22&gt;A2344)*(Calc!$G$3:$G$22-A2344)*Calc!$G$3:$G$22)</f>
        <v/>
      </c>
      <c r="M2344">
        <f>SUMPRODUCT(Calc!$K$3:$K$22*(Calc!$G$3:$G$22&gt;B2344)*(Calc!$G$3:$G$22-B2344)*Calc!$G$3:$G$22)</f>
        <v/>
      </c>
      <c r="N2344">
        <f>SUMPRODUCT(Calc!$K$3:$K$22*(Calc!$G$3:$G$22&gt;A2344)*(Calc!$G$3:$G$22-A2344)*Calc!$I$3:$I$22)</f>
        <v/>
      </c>
      <c r="O2344">
        <f>SUMPRODUCT(Calc!$K$3:$K$22*(Calc!$G$3:$G$22&gt;B2344)*(Calc!$G$3:$G$22-B2344)*Calc!$I$3:$I$22)</f>
        <v/>
      </c>
      <c r="P2344">
        <f>I2344-G2344^2/k_n</f>
        <v/>
      </c>
      <c r="Q2344">
        <f>J2344-H2344^2/k_n</f>
        <v/>
      </c>
      <c r="R2344">
        <f>K2344-G2344*H2344/k_n</f>
        <v/>
      </c>
      <c r="S2344">
        <f>L2344-LTP3!$D$3*G2344/k_n</f>
        <v/>
      </c>
      <c r="T2344">
        <f>M2344-LTP3!$D$3*H2344/k_n</f>
        <v/>
      </c>
      <c r="U2344">
        <f>N2344-G2344*LTP3!$D$4/k_n</f>
        <v/>
      </c>
      <c r="V2344">
        <f>O2344-H2344*LTP3!$D$4/k_n</f>
        <v/>
      </c>
      <c r="W2344">
        <f>((LTP3!$D$5)*((P2344)*(Q2344)-(R2344)*(R2344))-(S2344)*((S2344)*(Q2344)-(R2344)*(T2344))+(T2344)*((S2344)*(R2344)-(P2344)*(T2344)))</f>
        <v/>
      </c>
      <c r="X2344">
        <f>IF(ABS(W2344)&gt;1E-12,((LTP3!$D$6)*((P2344)*(Q2344)-(R2344)*(R2344))-(S2344)*((U2344)*(Q2344)-(R2344)*(V2344))+(T2344)*((U2344)*(R2344)-(P2344)*(V2344)))/W2344,0)</f>
        <v/>
      </c>
      <c r="Y2344">
        <f>IF(ABS(W2344)&gt;1E-12,((LTP3!$D$5)*((U2344)*(Q2344)-(R2344)*(V2344))-(LTP3!$D$6)*((S2344)*(Q2344)-(R2344)*(T2344))+(T2344)*((S2344)*(V2344)-(U2344)*(T2344)))/W2344,0)</f>
        <v/>
      </c>
      <c r="Z2344">
        <f>IF(ABS(W2344)&gt;1E-12,((LTP3!$D$5)*((P2344)*(V2344)-(U2344)*(R2344))-(S2344)*((S2344)*(V2344)-(U2344)*(T2344))+(LTP3!$D$6)*((S2344)*(R2344)-(P2344)*(T2344)))/W2344,0)</f>
        <v/>
      </c>
      <c r="AA2344">
        <f>LTP3!$D$7-X2344*LTP3!$D$6-Y2344*U2344-Z2344*V2344</f>
        <v/>
      </c>
      <c r="AB2344">
        <f>IF(AND(F2344,ABS(W2344)&gt;1E-12,Y2344&gt;0,Z2344&gt;0),AA2344,1E+300)</f>
        <v/>
      </c>
    </row>
    <row r="2345">
      <c r="A2345">
        <f>$B$3+$B$5*38</f>
        <v/>
      </c>
      <c r="B2345">
        <f>$B$3+$B$5*15</f>
        <v/>
      </c>
      <c r="C2345">
        <f>SUMPRODUCT(Calc!$K$3:$K$22*(Calc!$G$3:$G$22&lt;=A2345))</f>
        <v/>
      </c>
      <c r="D2345">
        <f>SUMPRODUCT(Calc!$K$3:$K$22*(Calc!$G$3:$G$22&gt;A2345)*(Calc!$G$3:$G$22&lt;B2345))</f>
        <v/>
      </c>
      <c r="E2345">
        <f>SUMPRODUCT(Calc!$K$3:$K$22*(Calc!$G$3:$G$22&gt;=B2345))</f>
        <v/>
      </c>
      <c r="F2345">
        <f>AND(k_n&gt;=5,B2345&gt;A2345+1E-9,C2345&gt;=2,D2345&gt;=1,E2345&gt;=2)</f>
        <v/>
      </c>
      <c r="G2345">
        <f>SUMPRODUCT(Calc!$K$3:$K$22*(Calc!$G$3:$G$22&gt;A2345)*(Calc!$G$3:$G$22-A2345))</f>
        <v/>
      </c>
      <c r="H2345">
        <f>SUMPRODUCT(Calc!$K$3:$K$22*(Calc!$G$3:$G$22&gt;B2345)*(Calc!$G$3:$G$22-B2345))</f>
        <v/>
      </c>
      <c r="I2345">
        <f>SUMPRODUCT(Calc!$K$3:$K$22*(Calc!$G$3:$G$22&gt;A2345)*(Calc!$G$3:$G$22-A2345)^2)</f>
        <v/>
      </c>
      <c r="J2345">
        <f>SUMPRODUCT(Calc!$K$3:$K$22*(Calc!$G$3:$G$22&gt;B2345)*(Calc!$G$3:$G$22-B2345)^2)</f>
        <v/>
      </c>
      <c r="K2345">
        <f>SUMPRODUCT(Calc!$K$3:$K$22*(Calc!$G$3:$G$22&gt;A2345)*(Calc!$G$3:$G$22-A2345)*(Calc!$G$3:$G$22&gt;B2345)*(Calc!$G$3:$G$22-B2345))</f>
        <v/>
      </c>
      <c r="L2345">
        <f>SUMPRODUCT(Calc!$K$3:$K$22*(Calc!$G$3:$G$22&gt;A2345)*(Calc!$G$3:$G$22-A2345)*Calc!$G$3:$G$22)</f>
        <v/>
      </c>
      <c r="M2345">
        <f>SUMPRODUCT(Calc!$K$3:$K$22*(Calc!$G$3:$G$22&gt;B2345)*(Calc!$G$3:$G$22-B2345)*Calc!$G$3:$G$22)</f>
        <v/>
      </c>
      <c r="N2345">
        <f>SUMPRODUCT(Calc!$K$3:$K$22*(Calc!$G$3:$G$22&gt;A2345)*(Calc!$G$3:$G$22-A2345)*Calc!$I$3:$I$22)</f>
        <v/>
      </c>
      <c r="O2345">
        <f>SUMPRODUCT(Calc!$K$3:$K$22*(Calc!$G$3:$G$22&gt;B2345)*(Calc!$G$3:$G$22-B2345)*Calc!$I$3:$I$22)</f>
        <v/>
      </c>
      <c r="P2345">
        <f>I2345-G2345^2/k_n</f>
        <v/>
      </c>
      <c r="Q2345">
        <f>J2345-H2345^2/k_n</f>
        <v/>
      </c>
      <c r="R2345">
        <f>K2345-G2345*H2345/k_n</f>
        <v/>
      </c>
      <c r="S2345">
        <f>L2345-LTP3!$D$3*G2345/k_n</f>
        <v/>
      </c>
      <c r="T2345">
        <f>M2345-LTP3!$D$3*H2345/k_n</f>
        <v/>
      </c>
      <c r="U2345">
        <f>N2345-G2345*LTP3!$D$4/k_n</f>
        <v/>
      </c>
      <c r="V2345">
        <f>O2345-H2345*LTP3!$D$4/k_n</f>
        <v/>
      </c>
      <c r="W2345">
        <f>((LTP3!$D$5)*((P2345)*(Q2345)-(R2345)*(R2345))-(S2345)*((S2345)*(Q2345)-(R2345)*(T2345))+(T2345)*((S2345)*(R2345)-(P2345)*(T2345)))</f>
        <v/>
      </c>
      <c r="X2345">
        <f>IF(ABS(W2345)&gt;1E-12,((LTP3!$D$6)*((P2345)*(Q2345)-(R2345)*(R2345))-(S2345)*((U2345)*(Q2345)-(R2345)*(V2345))+(T2345)*((U2345)*(R2345)-(P2345)*(V2345)))/W2345,0)</f>
        <v/>
      </c>
      <c r="Y2345">
        <f>IF(ABS(W2345)&gt;1E-12,((LTP3!$D$5)*((U2345)*(Q2345)-(R2345)*(V2345))-(LTP3!$D$6)*((S2345)*(Q2345)-(R2345)*(T2345))+(T2345)*((S2345)*(V2345)-(U2345)*(T2345)))/W2345,0)</f>
        <v/>
      </c>
      <c r="Z2345">
        <f>IF(ABS(W2345)&gt;1E-12,((LTP3!$D$5)*((P2345)*(V2345)-(U2345)*(R2345))-(S2345)*((S2345)*(V2345)-(U2345)*(T2345))+(LTP3!$D$6)*((S2345)*(R2345)-(P2345)*(T2345)))/W2345,0)</f>
        <v/>
      </c>
      <c r="AA2345">
        <f>LTP3!$D$7-X2345*LTP3!$D$6-Y2345*U2345-Z2345*V2345</f>
        <v/>
      </c>
      <c r="AB2345">
        <f>IF(AND(F2345,ABS(W2345)&gt;1E-12,Y2345&gt;0,Z2345&gt;0),AA2345,1E+300)</f>
        <v/>
      </c>
    </row>
    <row r="2346">
      <c r="A2346">
        <f>$B$3+$B$5*38</f>
        <v/>
      </c>
      <c r="B2346">
        <f>$B$3+$B$5*16</f>
        <v/>
      </c>
      <c r="C2346">
        <f>SUMPRODUCT(Calc!$K$3:$K$22*(Calc!$G$3:$G$22&lt;=A2346))</f>
        <v/>
      </c>
      <c r="D2346">
        <f>SUMPRODUCT(Calc!$K$3:$K$22*(Calc!$G$3:$G$22&gt;A2346)*(Calc!$G$3:$G$22&lt;B2346))</f>
        <v/>
      </c>
      <c r="E2346">
        <f>SUMPRODUCT(Calc!$K$3:$K$22*(Calc!$G$3:$G$22&gt;=B2346))</f>
        <v/>
      </c>
      <c r="F2346">
        <f>AND(k_n&gt;=5,B2346&gt;A2346+1E-9,C2346&gt;=2,D2346&gt;=1,E2346&gt;=2)</f>
        <v/>
      </c>
      <c r="G2346">
        <f>SUMPRODUCT(Calc!$K$3:$K$22*(Calc!$G$3:$G$22&gt;A2346)*(Calc!$G$3:$G$22-A2346))</f>
        <v/>
      </c>
      <c r="H2346">
        <f>SUMPRODUCT(Calc!$K$3:$K$22*(Calc!$G$3:$G$22&gt;B2346)*(Calc!$G$3:$G$22-B2346))</f>
        <v/>
      </c>
      <c r="I2346">
        <f>SUMPRODUCT(Calc!$K$3:$K$22*(Calc!$G$3:$G$22&gt;A2346)*(Calc!$G$3:$G$22-A2346)^2)</f>
        <v/>
      </c>
      <c r="J2346">
        <f>SUMPRODUCT(Calc!$K$3:$K$22*(Calc!$G$3:$G$22&gt;B2346)*(Calc!$G$3:$G$22-B2346)^2)</f>
        <v/>
      </c>
      <c r="K2346">
        <f>SUMPRODUCT(Calc!$K$3:$K$22*(Calc!$G$3:$G$22&gt;A2346)*(Calc!$G$3:$G$22-A2346)*(Calc!$G$3:$G$22&gt;B2346)*(Calc!$G$3:$G$22-B2346))</f>
        <v/>
      </c>
      <c r="L2346">
        <f>SUMPRODUCT(Calc!$K$3:$K$22*(Calc!$G$3:$G$22&gt;A2346)*(Calc!$G$3:$G$22-A2346)*Calc!$G$3:$G$22)</f>
        <v/>
      </c>
      <c r="M2346">
        <f>SUMPRODUCT(Calc!$K$3:$K$22*(Calc!$G$3:$G$22&gt;B2346)*(Calc!$G$3:$G$22-B2346)*Calc!$G$3:$G$22)</f>
        <v/>
      </c>
      <c r="N2346">
        <f>SUMPRODUCT(Calc!$K$3:$K$22*(Calc!$G$3:$G$22&gt;A2346)*(Calc!$G$3:$G$22-A2346)*Calc!$I$3:$I$22)</f>
        <v/>
      </c>
      <c r="O2346">
        <f>SUMPRODUCT(Calc!$K$3:$K$22*(Calc!$G$3:$G$22&gt;B2346)*(Calc!$G$3:$G$22-B2346)*Calc!$I$3:$I$22)</f>
        <v/>
      </c>
      <c r="P2346">
        <f>I2346-G2346^2/k_n</f>
        <v/>
      </c>
      <c r="Q2346">
        <f>J2346-H2346^2/k_n</f>
        <v/>
      </c>
      <c r="R2346">
        <f>K2346-G2346*H2346/k_n</f>
        <v/>
      </c>
      <c r="S2346">
        <f>L2346-LTP3!$D$3*G2346/k_n</f>
        <v/>
      </c>
      <c r="T2346">
        <f>M2346-LTP3!$D$3*H2346/k_n</f>
        <v/>
      </c>
      <c r="U2346">
        <f>N2346-G2346*LTP3!$D$4/k_n</f>
        <v/>
      </c>
      <c r="V2346">
        <f>O2346-H2346*LTP3!$D$4/k_n</f>
        <v/>
      </c>
      <c r="W2346">
        <f>((LTP3!$D$5)*((P2346)*(Q2346)-(R2346)*(R2346))-(S2346)*((S2346)*(Q2346)-(R2346)*(T2346))+(T2346)*((S2346)*(R2346)-(P2346)*(T2346)))</f>
        <v/>
      </c>
      <c r="X2346">
        <f>IF(ABS(W2346)&gt;1E-12,((LTP3!$D$6)*((P2346)*(Q2346)-(R2346)*(R2346))-(S2346)*((U2346)*(Q2346)-(R2346)*(V2346))+(T2346)*((U2346)*(R2346)-(P2346)*(V2346)))/W2346,0)</f>
        <v/>
      </c>
      <c r="Y2346">
        <f>IF(ABS(W2346)&gt;1E-12,((LTP3!$D$5)*((U2346)*(Q2346)-(R2346)*(V2346))-(LTP3!$D$6)*((S2346)*(Q2346)-(R2346)*(T2346))+(T2346)*((S2346)*(V2346)-(U2346)*(T2346)))/W2346,0)</f>
        <v/>
      </c>
      <c r="Z2346">
        <f>IF(ABS(W2346)&gt;1E-12,((LTP3!$D$5)*((P2346)*(V2346)-(U2346)*(R2346))-(S2346)*((S2346)*(V2346)-(U2346)*(T2346))+(LTP3!$D$6)*((S2346)*(R2346)-(P2346)*(T2346)))/W2346,0)</f>
        <v/>
      </c>
      <c r="AA2346">
        <f>LTP3!$D$7-X2346*LTP3!$D$6-Y2346*U2346-Z2346*V2346</f>
        <v/>
      </c>
      <c r="AB2346">
        <f>IF(AND(F2346,ABS(W2346)&gt;1E-12,Y2346&gt;0,Z2346&gt;0),AA2346,1E+300)</f>
        <v/>
      </c>
    </row>
    <row r="2347">
      <c r="A2347">
        <f>$B$3+$B$5*38</f>
        <v/>
      </c>
      <c r="B2347">
        <f>$B$3+$B$5*17</f>
        <v/>
      </c>
      <c r="C2347">
        <f>SUMPRODUCT(Calc!$K$3:$K$22*(Calc!$G$3:$G$22&lt;=A2347))</f>
        <v/>
      </c>
      <c r="D2347">
        <f>SUMPRODUCT(Calc!$K$3:$K$22*(Calc!$G$3:$G$22&gt;A2347)*(Calc!$G$3:$G$22&lt;B2347))</f>
        <v/>
      </c>
      <c r="E2347">
        <f>SUMPRODUCT(Calc!$K$3:$K$22*(Calc!$G$3:$G$22&gt;=B2347))</f>
        <v/>
      </c>
      <c r="F2347">
        <f>AND(k_n&gt;=5,B2347&gt;A2347+1E-9,C2347&gt;=2,D2347&gt;=1,E2347&gt;=2)</f>
        <v/>
      </c>
      <c r="G2347">
        <f>SUMPRODUCT(Calc!$K$3:$K$22*(Calc!$G$3:$G$22&gt;A2347)*(Calc!$G$3:$G$22-A2347))</f>
        <v/>
      </c>
      <c r="H2347">
        <f>SUMPRODUCT(Calc!$K$3:$K$22*(Calc!$G$3:$G$22&gt;B2347)*(Calc!$G$3:$G$22-B2347))</f>
        <v/>
      </c>
      <c r="I2347">
        <f>SUMPRODUCT(Calc!$K$3:$K$22*(Calc!$G$3:$G$22&gt;A2347)*(Calc!$G$3:$G$22-A2347)^2)</f>
        <v/>
      </c>
      <c r="J2347">
        <f>SUMPRODUCT(Calc!$K$3:$K$22*(Calc!$G$3:$G$22&gt;B2347)*(Calc!$G$3:$G$22-B2347)^2)</f>
        <v/>
      </c>
      <c r="K2347">
        <f>SUMPRODUCT(Calc!$K$3:$K$22*(Calc!$G$3:$G$22&gt;A2347)*(Calc!$G$3:$G$22-A2347)*(Calc!$G$3:$G$22&gt;B2347)*(Calc!$G$3:$G$22-B2347))</f>
        <v/>
      </c>
      <c r="L2347">
        <f>SUMPRODUCT(Calc!$K$3:$K$22*(Calc!$G$3:$G$22&gt;A2347)*(Calc!$G$3:$G$22-A2347)*Calc!$G$3:$G$22)</f>
        <v/>
      </c>
      <c r="M2347">
        <f>SUMPRODUCT(Calc!$K$3:$K$22*(Calc!$G$3:$G$22&gt;B2347)*(Calc!$G$3:$G$22-B2347)*Calc!$G$3:$G$22)</f>
        <v/>
      </c>
      <c r="N2347">
        <f>SUMPRODUCT(Calc!$K$3:$K$22*(Calc!$G$3:$G$22&gt;A2347)*(Calc!$G$3:$G$22-A2347)*Calc!$I$3:$I$22)</f>
        <v/>
      </c>
      <c r="O2347">
        <f>SUMPRODUCT(Calc!$K$3:$K$22*(Calc!$G$3:$G$22&gt;B2347)*(Calc!$G$3:$G$22-B2347)*Calc!$I$3:$I$22)</f>
        <v/>
      </c>
      <c r="P2347">
        <f>I2347-G2347^2/k_n</f>
        <v/>
      </c>
      <c r="Q2347">
        <f>J2347-H2347^2/k_n</f>
        <v/>
      </c>
      <c r="R2347">
        <f>K2347-G2347*H2347/k_n</f>
        <v/>
      </c>
      <c r="S2347">
        <f>L2347-LTP3!$D$3*G2347/k_n</f>
        <v/>
      </c>
      <c r="T2347">
        <f>M2347-LTP3!$D$3*H2347/k_n</f>
        <v/>
      </c>
      <c r="U2347">
        <f>N2347-G2347*LTP3!$D$4/k_n</f>
        <v/>
      </c>
      <c r="V2347">
        <f>O2347-H2347*LTP3!$D$4/k_n</f>
        <v/>
      </c>
      <c r="W2347">
        <f>((LTP3!$D$5)*((P2347)*(Q2347)-(R2347)*(R2347))-(S2347)*((S2347)*(Q2347)-(R2347)*(T2347))+(T2347)*((S2347)*(R2347)-(P2347)*(T2347)))</f>
        <v/>
      </c>
      <c r="X2347">
        <f>IF(ABS(W2347)&gt;1E-12,((LTP3!$D$6)*((P2347)*(Q2347)-(R2347)*(R2347))-(S2347)*((U2347)*(Q2347)-(R2347)*(V2347))+(T2347)*((U2347)*(R2347)-(P2347)*(V2347)))/W2347,0)</f>
        <v/>
      </c>
      <c r="Y2347">
        <f>IF(ABS(W2347)&gt;1E-12,((LTP3!$D$5)*((U2347)*(Q2347)-(R2347)*(V2347))-(LTP3!$D$6)*((S2347)*(Q2347)-(R2347)*(T2347))+(T2347)*((S2347)*(V2347)-(U2347)*(T2347)))/W2347,0)</f>
        <v/>
      </c>
      <c r="Z2347">
        <f>IF(ABS(W2347)&gt;1E-12,((LTP3!$D$5)*((P2347)*(V2347)-(U2347)*(R2347))-(S2347)*((S2347)*(V2347)-(U2347)*(T2347))+(LTP3!$D$6)*((S2347)*(R2347)-(P2347)*(T2347)))/W2347,0)</f>
        <v/>
      </c>
      <c r="AA2347">
        <f>LTP3!$D$7-X2347*LTP3!$D$6-Y2347*U2347-Z2347*V2347</f>
        <v/>
      </c>
      <c r="AB2347">
        <f>IF(AND(F2347,ABS(W2347)&gt;1E-12,Y2347&gt;0,Z2347&gt;0),AA2347,1E+300)</f>
        <v/>
      </c>
    </row>
    <row r="2348">
      <c r="A2348">
        <f>$B$3+$B$5*38</f>
        <v/>
      </c>
      <c r="B2348">
        <f>$B$3+$B$5*18</f>
        <v/>
      </c>
      <c r="C2348">
        <f>SUMPRODUCT(Calc!$K$3:$K$22*(Calc!$G$3:$G$22&lt;=A2348))</f>
        <v/>
      </c>
      <c r="D2348">
        <f>SUMPRODUCT(Calc!$K$3:$K$22*(Calc!$G$3:$G$22&gt;A2348)*(Calc!$G$3:$G$22&lt;B2348))</f>
        <v/>
      </c>
      <c r="E2348">
        <f>SUMPRODUCT(Calc!$K$3:$K$22*(Calc!$G$3:$G$22&gt;=B2348))</f>
        <v/>
      </c>
      <c r="F2348">
        <f>AND(k_n&gt;=5,B2348&gt;A2348+1E-9,C2348&gt;=2,D2348&gt;=1,E2348&gt;=2)</f>
        <v/>
      </c>
      <c r="G2348">
        <f>SUMPRODUCT(Calc!$K$3:$K$22*(Calc!$G$3:$G$22&gt;A2348)*(Calc!$G$3:$G$22-A2348))</f>
        <v/>
      </c>
      <c r="H2348">
        <f>SUMPRODUCT(Calc!$K$3:$K$22*(Calc!$G$3:$G$22&gt;B2348)*(Calc!$G$3:$G$22-B2348))</f>
        <v/>
      </c>
      <c r="I2348">
        <f>SUMPRODUCT(Calc!$K$3:$K$22*(Calc!$G$3:$G$22&gt;A2348)*(Calc!$G$3:$G$22-A2348)^2)</f>
        <v/>
      </c>
      <c r="J2348">
        <f>SUMPRODUCT(Calc!$K$3:$K$22*(Calc!$G$3:$G$22&gt;B2348)*(Calc!$G$3:$G$22-B2348)^2)</f>
        <v/>
      </c>
      <c r="K2348">
        <f>SUMPRODUCT(Calc!$K$3:$K$22*(Calc!$G$3:$G$22&gt;A2348)*(Calc!$G$3:$G$22-A2348)*(Calc!$G$3:$G$22&gt;B2348)*(Calc!$G$3:$G$22-B2348))</f>
        <v/>
      </c>
      <c r="L2348">
        <f>SUMPRODUCT(Calc!$K$3:$K$22*(Calc!$G$3:$G$22&gt;A2348)*(Calc!$G$3:$G$22-A2348)*Calc!$G$3:$G$22)</f>
        <v/>
      </c>
      <c r="M2348">
        <f>SUMPRODUCT(Calc!$K$3:$K$22*(Calc!$G$3:$G$22&gt;B2348)*(Calc!$G$3:$G$22-B2348)*Calc!$G$3:$G$22)</f>
        <v/>
      </c>
      <c r="N2348">
        <f>SUMPRODUCT(Calc!$K$3:$K$22*(Calc!$G$3:$G$22&gt;A2348)*(Calc!$G$3:$G$22-A2348)*Calc!$I$3:$I$22)</f>
        <v/>
      </c>
      <c r="O2348">
        <f>SUMPRODUCT(Calc!$K$3:$K$22*(Calc!$G$3:$G$22&gt;B2348)*(Calc!$G$3:$G$22-B2348)*Calc!$I$3:$I$22)</f>
        <v/>
      </c>
      <c r="P2348">
        <f>I2348-G2348^2/k_n</f>
        <v/>
      </c>
      <c r="Q2348">
        <f>J2348-H2348^2/k_n</f>
        <v/>
      </c>
      <c r="R2348">
        <f>K2348-G2348*H2348/k_n</f>
        <v/>
      </c>
      <c r="S2348">
        <f>L2348-LTP3!$D$3*G2348/k_n</f>
        <v/>
      </c>
      <c r="T2348">
        <f>M2348-LTP3!$D$3*H2348/k_n</f>
        <v/>
      </c>
      <c r="U2348">
        <f>N2348-G2348*LTP3!$D$4/k_n</f>
        <v/>
      </c>
      <c r="V2348">
        <f>O2348-H2348*LTP3!$D$4/k_n</f>
        <v/>
      </c>
      <c r="W2348">
        <f>((LTP3!$D$5)*((P2348)*(Q2348)-(R2348)*(R2348))-(S2348)*((S2348)*(Q2348)-(R2348)*(T2348))+(T2348)*((S2348)*(R2348)-(P2348)*(T2348)))</f>
        <v/>
      </c>
      <c r="X2348">
        <f>IF(ABS(W2348)&gt;1E-12,((LTP3!$D$6)*((P2348)*(Q2348)-(R2348)*(R2348))-(S2348)*((U2348)*(Q2348)-(R2348)*(V2348))+(T2348)*((U2348)*(R2348)-(P2348)*(V2348)))/W2348,0)</f>
        <v/>
      </c>
      <c r="Y2348">
        <f>IF(ABS(W2348)&gt;1E-12,((LTP3!$D$5)*((U2348)*(Q2348)-(R2348)*(V2348))-(LTP3!$D$6)*((S2348)*(Q2348)-(R2348)*(T2348))+(T2348)*((S2348)*(V2348)-(U2348)*(T2348)))/W2348,0)</f>
        <v/>
      </c>
      <c r="Z2348">
        <f>IF(ABS(W2348)&gt;1E-12,((LTP3!$D$5)*((P2348)*(V2348)-(U2348)*(R2348))-(S2348)*((S2348)*(V2348)-(U2348)*(T2348))+(LTP3!$D$6)*((S2348)*(R2348)-(P2348)*(T2348)))/W2348,0)</f>
        <v/>
      </c>
      <c r="AA2348">
        <f>LTP3!$D$7-X2348*LTP3!$D$6-Y2348*U2348-Z2348*V2348</f>
        <v/>
      </c>
      <c r="AB2348">
        <f>IF(AND(F2348,ABS(W2348)&gt;1E-12,Y2348&gt;0,Z2348&gt;0),AA2348,1E+300)</f>
        <v/>
      </c>
    </row>
    <row r="2349">
      <c r="A2349">
        <f>$B$3+$B$5*38</f>
        <v/>
      </c>
      <c r="B2349">
        <f>$B$3+$B$5*19</f>
        <v/>
      </c>
      <c r="C2349">
        <f>SUMPRODUCT(Calc!$K$3:$K$22*(Calc!$G$3:$G$22&lt;=A2349))</f>
        <v/>
      </c>
      <c r="D2349">
        <f>SUMPRODUCT(Calc!$K$3:$K$22*(Calc!$G$3:$G$22&gt;A2349)*(Calc!$G$3:$G$22&lt;B2349))</f>
        <v/>
      </c>
      <c r="E2349">
        <f>SUMPRODUCT(Calc!$K$3:$K$22*(Calc!$G$3:$G$22&gt;=B2349))</f>
        <v/>
      </c>
      <c r="F2349">
        <f>AND(k_n&gt;=5,B2349&gt;A2349+1E-9,C2349&gt;=2,D2349&gt;=1,E2349&gt;=2)</f>
        <v/>
      </c>
      <c r="G2349">
        <f>SUMPRODUCT(Calc!$K$3:$K$22*(Calc!$G$3:$G$22&gt;A2349)*(Calc!$G$3:$G$22-A2349))</f>
        <v/>
      </c>
      <c r="H2349">
        <f>SUMPRODUCT(Calc!$K$3:$K$22*(Calc!$G$3:$G$22&gt;B2349)*(Calc!$G$3:$G$22-B2349))</f>
        <v/>
      </c>
      <c r="I2349">
        <f>SUMPRODUCT(Calc!$K$3:$K$22*(Calc!$G$3:$G$22&gt;A2349)*(Calc!$G$3:$G$22-A2349)^2)</f>
        <v/>
      </c>
      <c r="J2349">
        <f>SUMPRODUCT(Calc!$K$3:$K$22*(Calc!$G$3:$G$22&gt;B2349)*(Calc!$G$3:$G$22-B2349)^2)</f>
        <v/>
      </c>
      <c r="K2349">
        <f>SUMPRODUCT(Calc!$K$3:$K$22*(Calc!$G$3:$G$22&gt;A2349)*(Calc!$G$3:$G$22-A2349)*(Calc!$G$3:$G$22&gt;B2349)*(Calc!$G$3:$G$22-B2349))</f>
        <v/>
      </c>
      <c r="L2349">
        <f>SUMPRODUCT(Calc!$K$3:$K$22*(Calc!$G$3:$G$22&gt;A2349)*(Calc!$G$3:$G$22-A2349)*Calc!$G$3:$G$22)</f>
        <v/>
      </c>
      <c r="M2349">
        <f>SUMPRODUCT(Calc!$K$3:$K$22*(Calc!$G$3:$G$22&gt;B2349)*(Calc!$G$3:$G$22-B2349)*Calc!$G$3:$G$22)</f>
        <v/>
      </c>
      <c r="N2349">
        <f>SUMPRODUCT(Calc!$K$3:$K$22*(Calc!$G$3:$G$22&gt;A2349)*(Calc!$G$3:$G$22-A2349)*Calc!$I$3:$I$22)</f>
        <v/>
      </c>
      <c r="O2349">
        <f>SUMPRODUCT(Calc!$K$3:$K$22*(Calc!$G$3:$G$22&gt;B2349)*(Calc!$G$3:$G$22-B2349)*Calc!$I$3:$I$22)</f>
        <v/>
      </c>
      <c r="P2349">
        <f>I2349-G2349^2/k_n</f>
        <v/>
      </c>
      <c r="Q2349">
        <f>J2349-H2349^2/k_n</f>
        <v/>
      </c>
      <c r="R2349">
        <f>K2349-G2349*H2349/k_n</f>
        <v/>
      </c>
      <c r="S2349">
        <f>L2349-LTP3!$D$3*G2349/k_n</f>
        <v/>
      </c>
      <c r="T2349">
        <f>M2349-LTP3!$D$3*H2349/k_n</f>
        <v/>
      </c>
      <c r="U2349">
        <f>N2349-G2349*LTP3!$D$4/k_n</f>
        <v/>
      </c>
      <c r="V2349">
        <f>O2349-H2349*LTP3!$D$4/k_n</f>
        <v/>
      </c>
      <c r="W2349">
        <f>((LTP3!$D$5)*((P2349)*(Q2349)-(R2349)*(R2349))-(S2349)*((S2349)*(Q2349)-(R2349)*(T2349))+(T2349)*((S2349)*(R2349)-(P2349)*(T2349)))</f>
        <v/>
      </c>
      <c r="X2349">
        <f>IF(ABS(W2349)&gt;1E-12,((LTP3!$D$6)*((P2349)*(Q2349)-(R2349)*(R2349))-(S2349)*((U2349)*(Q2349)-(R2349)*(V2349))+(T2349)*((U2349)*(R2349)-(P2349)*(V2349)))/W2349,0)</f>
        <v/>
      </c>
      <c r="Y2349">
        <f>IF(ABS(W2349)&gt;1E-12,((LTP3!$D$5)*((U2349)*(Q2349)-(R2349)*(V2349))-(LTP3!$D$6)*((S2349)*(Q2349)-(R2349)*(T2349))+(T2349)*((S2349)*(V2349)-(U2349)*(T2349)))/W2349,0)</f>
        <v/>
      </c>
      <c r="Z2349">
        <f>IF(ABS(W2349)&gt;1E-12,((LTP3!$D$5)*((P2349)*(V2349)-(U2349)*(R2349))-(S2349)*((S2349)*(V2349)-(U2349)*(T2349))+(LTP3!$D$6)*((S2349)*(R2349)-(P2349)*(T2349)))/W2349,0)</f>
        <v/>
      </c>
      <c r="AA2349">
        <f>LTP3!$D$7-X2349*LTP3!$D$6-Y2349*U2349-Z2349*V2349</f>
        <v/>
      </c>
      <c r="AB2349">
        <f>IF(AND(F2349,ABS(W2349)&gt;1E-12,Y2349&gt;0,Z2349&gt;0),AA2349,1E+300)</f>
        <v/>
      </c>
    </row>
    <row r="2350">
      <c r="A2350">
        <f>$B$3+$B$5*38</f>
        <v/>
      </c>
      <c r="B2350">
        <f>$B$3+$B$5*20</f>
        <v/>
      </c>
      <c r="C2350">
        <f>SUMPRODUCT(Calc!$K$3:$K$22*(Calc!$G$3:$G$22&lt;=A2350))</f>
        <v/>
      </c>
      <c r="D2350">
        <f>SUMPRODUCT(Calc!$K$3:$K$22*(Calc!$G$3:$G$22&gt;A2350)*(Calc!$G$3:$G$22&lt;B2350))</f>
        <v/>
      </c>
      <c r="E2350">
        <f>SUMPRODUCT(Calc!$K$3:$K$22*(Calc!$G$3:$G$22&gt;=B2350))</f>
        <v/>
      </c>
      <c r="F2350">
        <f>AND(k_n&gt;=5,B2350&gt;A2350+1E-9,C2350&gt;=2,D2350&gt;=1,E2350&gt;=2)</f>
        <v/>
      </c>
      <c r="G2350">
        <f>SUMPRODUCT(Calc!$K$3:$K$22*(Calc!$G$3:$G$22&gt;A2350)*(Calc!$G$3:$G$22-A2350))</f>
        <v/>
      </c>
      <c r="H2350">
        <f>SUMPRODUCT(Calc!$K$3:$K$22*(Calc!$G$3:$G$22&gt;B2350)*(Calc!$G$3:$G$22-B2350))</f>
        <v/>
      </c>
      <c r="I2350">
        <f>SUMPRODUCT(Calc!$K$3:$K$22*(Calc!$G$3:$G$22&gt;A2350)*(Calc!$G$3:$G$22-A2350)^2)</f>
        <v/>
      </c>
      <c r="J2350">
        <f>SUMPRODUCT(Calc!$K$3:$K$22*(Calc!$G$3:$G$22&gt;B2350)*(Calc!$G$3:$G$22-B2350)^2)</f>
        <v/>
      </c>
      <c r="K2350">
        <f>SUMPRODUCT(Calc!$K$3:$K$22*(Calc!$G$3:$G$22&gt;A2350)*(Calc!$G$3:$G$22-A2350)*(Calc!$G$3:$G$22&gt;B2350)*(Calc!$G$3:$G$22-B2350))</f>
        <v/>
      </c>
      <c r="L2350">
        <f>SUMPRODUCT(Calc!$K$3:$K$22*(Calc!$G$3:$G$22&gt;A2350)*(Calc!$G$3:$G$22-A2350)*Calc!$G$3:$G$22)</f>
        <v/>
      </c>
      <c r="M2350">
        <f>SUMPRODUCT(Calc!$K$3:$K$22*(Calc!$G$3:$G$22&gt;B2350)*(Calc!$G$3:$G$22-B2350)*Calc!$G$3:$G$22)</f>
        <v/>
      </c>
      <c r="N2350">
        <f>SUMPRODUCT(Calc!$K$3:$K$22*(Calc!$G$3:$G$22&gt;A2350)*(Calc!$G$3:$G$22-A2350)*Calc!$I$3:$I$22)</f>
        <v/>
      </c>
      <c r="O2350">
        <f>SUMPRODUCT(Calc!$K$3:$K$22*(Calc!$G$3:$G$22&gt;B2350)*(Calc!$G$3:$G$22-B2350)*Calc!$I$3:$I$22)</f>
        <v/>
      </c>
      <c r="P2350">
        <f>I2350-G2350^2/k_n</f>
        <v/>
      </c>
      <c r="Q2350">
        <f>J2350-H2350^2/k_n</f>
        <v/>
      </c>
      <c r="R2350">
        <f>K2350-G2350*H2350/k_n</f>
        <v/>
      </c>
      <c r="S2350">
        <f>L2350-LTP3!$D$3*G2350/k_n</f>
        <v/>
      </c>
      <c r="T2350">
        <f>M2350-LTP3!$D$3*H2350/k_n</f>
        <v/>
      </c>
      <c r="U2350">
        <f>N2350-G2350*LTP3!$D$4/k_n</f>
        <v/>
      </c>
      <c r="V2350">
        <f>O2350-H2350*LTP3!$D$4/k_n</f>
        <v/>
      </c>
      <c r="W2350">
        <f>((LTP3!$D$5)*((P2350)*(Q2350)-(R2350)*(R2350))-(S2350)*((S2350)*(Q2350)-(R2350)*(T2350))+(T2350)*((S2350)*(R2350)-(P2350)*(T2350)))</f>
        <v/>
      </c>
      <c r="X2350">
        <f>IF(ABS(W2350)&gt;1E-12,((LTP3!$D$6)*((P2350)*(Q2350)-(R2350)*(R2350))-(S2350)*((U2350)*(Q2350)-(R2350)*(V2350))+(T2350)*((U2350)*(R2350)-(P2350)*(V2350)))/W2350,0)</f>
        <v/>
      </c>
      <c r="Y2350">
        <f>IF(ABS(W2350)&gt;1E-12,((LTP3!$D$5)*((U2350)*(Q2350)-(R2350)*(V2350))-(LTP3!$D$6)*((S2350)*(Q2350)-(R2350)*(T2350))+(T2350)*((S2350)*(V2350)-(U2350)*(T2350)))/W2350,0)</f>
        <v/>
      </c>
      <c r="Z2350">
        <f>IF(ABS(W2350)&gt;1E-12,((LTP3!$D$5)*((P2350)*(V2350)-(U2350)*(R2350))-(S2350)*((S2350)*(V2350)-(U2350)*(T2350))+(LTP3!$D$6)*((S2350)*(R2350)-(P2350)*(T2350)))/W2350,0)</f>
        <v/>
      </c>
      <c r="AA2350">
        <f>LTP3!$D$7-X2350*LTP3!$D$6-Y2350*U2350-Z2350*V2350</f>
        <v/>
      </c>
      <c r="AB2350">
        <f>IF(AND(F2350,ABS(W2350)&gt;1E-12,Y2350&gt;0,Z2350&gt;0),AA2350,1E+300)</f>
        <v/>
      </c>
    </row>
    <row r="2351">
      <c r="A2351">
        <f>$B$3+$B$5*38</f>
        <v/>
      </c>
      <c r="B2351">
        <f>$B$3+$B$5*21</f>
        <v/>
      </c>
      <c r="C2351">
        <f>SUMPRODUCT(Calc!$K$3:$K$22*(Calc!$G$3:$G$22&lt;=A2351))</f>
        <v/>
      </c>
      <c r="D2351">
        <f>SUMPRODUCT(Calc!$K$3:$K$22*(Calc!$G$3:$G$22&gt;A2351)*(Calc!$G$3:$G$22&lt;B2351))</f>
        <v/>
      </c>
      <c r="E2351">
        <f>SUMPRODUCT(Calc!$K$3:$K$22*(Calc!$G$3:$G$22&gt;=B2351))</f>
        <v/>
      </c>
      <c r="F2351">
        <f>AND(k_n&gt;=5,B2351&gt;A2351+1E-9,C2351&gt;=2,D2351&gt;=1,E2351&gt;=2)</f>
        <v/>
      </c>
      <c r="G2351">
        <f>SUMPRODUCT(Calc!$K$3:$K$22*(Calc!$G$3:$G$22&gt;A2351)*(Calc!$G$3:$G$22-A2351))</f>
        <v/>
      </c>
      <c r="H2351">
        <f>SUMPRODUCT(Calc!$K$3:$K$22*(Calc!$G$3:$G$22&gt;B2351)*(Calc!$G$3:$G$22-B2351))</f>
        <v/>
      </c>
      <c r="I2351">
        <f>SUMPRODUCT(Calc!$K$3:$K$22*(Calc!$G$3:$G$22&gt;A2351)*(Calc!$G$3:$G$22-A2351)^2)</f>
        <v/>
      </c>
      <c r="J2351">
        <f>SUMPRODUCT(Calc!$K$3:$K$22*(Calc!$G$3:$G$22&gt;B2351)*(Calc!$G$3:$G$22-B2351)^2)</f>
        <v/>
      </c>
      <c r="K2351">
        <f>SUMPRODUCT(Calc!$K$3:$K$22*(Calc!$G$3:$G$22&gt;A2351)*(Calc!$G$3:$G$22-A2351)*(Calc!$G$3:$G$22&gt;B2351)*(Calc!$G$3:$G$22-B2351))</f>
        <v/>
      </c>
      <c r="L2351">
        <f>SUMPRODUCT(Calc!$K$3:$K$22*(Calc!$G$3:$G$22&gt;A2351)*(Calc!$G$3:$G$22-A2351)*Calc!$G$3:$G$22)</f>
        <v/>
      </c>
      <c r="M2351">
        <f>SUMPRODUCT(Calc!$K$3:$K$22*(Calc!$G$3:$G$22&gt;B2351)*(Calc!$G$3:$G$22-B2351)*Calc!$G$3:$G$22)</f>
        <v/>
      </c>
      <c r="N2351">
        <f>SUMPRODUCT(Calc!$K$3:$K$22*(Calc!$G$3:$G$22&gt;A2351)*(Calc!$G$3:$G$22-A2351)*Calc!$I$3:$I$22)</f>
        <v/>
      </c>
      <c r="O2351">
        <f>SUMPRODUCT(Calc!$K$3:$K$22*(Calc!$G$3:$G$22&gt;B2351)*(Calc!$G$3:$G$22-B2351)*Calc!$I$3:$I$22)</f>
        <v/>
      </c>
      <c r="P2351">
        <f>I2351-G2351^2/k_n</f>
        <v/>
      </c>
      <c r="Q2351">
        <f>J2351-H2351^2/k_n</f>
        <v/>
      </c>
      <c r="R2351">
        <f>K2351-G2351*H2351/k_n</f>
        <v/>
      </c>
      <c r="S2351">
        <f>L2351-LTP3!$D$3*G2351/k_n</f>
        <v/>
      </c>
      <c r="T2351">
        <f>M2351-LTP3!$D$3*H2351/k_n</f>
        <v/>
      </c>
      <c r="U2351">
        <f>N2351-G2351*LTP3!$D$4/k_n</f>
        <v/>
      </c>
      <c r="V2351">
        <f>O2351-H2351*LTP3!$D$4/k_n</f>
        <v/>
      </c>
      <c r="W2351">
        <f>((LTP3!$D$5)*((P2351)*(Q2351)-(R2351)*(R2351))-(S2351)*((S2351)*(Q2351)-(R2351)*(T2351))+(T2351)*((S2351)*(R2351)-(P2351)*(T2351)))</f>
        <v/>
      </c>
      <c r="X2351">
        <f>IF(ABS(W2351)&gt;1E-12,((LTP3!$D$6)*((P2351)*(Q2351)-(R2351)*(R2351))-(S2351)*((U2351)*(Q2351)-(R2351)*(V2351))+(T2351)*((U2351)*(R2351)-(P2351)*(V2351)))/W2351,0)</f>
        <v/>
      </c>
      <c r="Y2351">
        <f>IF(ABS(W2351)&gt;1E-12,((LTP3!$D$5)*((U2351)*(Q2351)-(R2351)*(V2351))-(LTP3!$D$6)*((S2351)*(Q2351)-(R2351)*(T2351))+(T2351)*((S2351)*(V2351)-(U2351)*(T2351)))/W2351,0)</f>
        <v/>
      </c>
      <c r="Z2351">
        <f>IF(ABS(W2351)&gt;1E-12,((LTP3!$D$5)*((P2351)*(V2351)-(U2351)*(R2351))-(S2351)*((S2351)*(V2351)-(U2351)*(T2351))+(LTP3!$D$6)*((S2351)*(R2351)-(P2351)*(T2351)))/W2351,0)</f>
        <v/>
      </c>
      <c r="AA2351">
        <f>LTP3!$D$7-X2351*LTP3!$D$6-Y2351*U2351-Z2351*V2351</f>
        <v/>
      </c>
      <c r="AB2351">
        <f>IF(AND(F2351,ABS(W2351)&gt;1E-12,Y2351&gt;0,Z2351&gt;0),AA2351,1E+300)</f>
        <v/>
      </c>
    </row>
    <row r="2352">
      <c r="A2352">
        <f>$B$3+$B$5*38</f>
        <v/>
      </c>
      <c r="B2352">
        <f>$B$3+$B$5*22</f>
        <v/>
      </c>
      <c r="C2352">
        <f>SUMPRODUCT(Calc!$K$3:$K$22*(Calc!$G$3:$G$22&lt;=A2352))</f>
        <v/>
      </c>
      <c r="D2352">
        <f>SUMPRODUCT(Calc!$K$3:$K$22*(Calc!$G$3:$G$22&gt;A2352)*(Calc!$G$3:$G$22&lt;B2352))</f>
        <v/>
      </c>
      <c r="E2352">
        <f>SUMPRODUCT(Calc!$K$3:$K$22*(Calc!$G$3:$G$22&gt;=B2352))</f>
        <v/>
      </c>
      <c r="F2352">
        <f>AND(k_n&gt;=5,B2352&gt;A2352+1E-9,C2352&gt;=2,D2352&gt;=1,E2352&gt;=2)</f>
        <v/>
      </c>
      <c r="G2352">
        <f>SUMPRODUCT(Calc!$K$3:$K$22*(Calc!$G$3:$G$22&gt;A2352)*(Calc!$G$3:$G$22-A2352))</f>
        <v/>
      </c>
      <c r="H2352">
        <f>SUMPRODUCT(Calc!$K$3:$K$22*(Calc!$G$3:$G$22&gt;B2352)*(Calc!$G$3:$G$22-B2352))</f>
        <v/>
      </c>
      <c r="I2352">
        <f>SUMPRODUCT(Calc!$K$3:$K$22*(Calc!$G$3:$G$22&gt;A2352)*(Calc!$G$3:$G$22-A2352)^2)</f>
        <v/>
      </c>
      <c r="J2352">
        <f>SUMPRODUCT(Calc!$K$3:$K$22*(Calc!$G$3:$G$22&gt;B2352)*(Calc!$G$3:$G$22-B2352)^2)</f>
        <v/>
      </c>
      <c r="K2352">
        <f>SUMPRODUCT(Calc!$K$3:$K$22*(Calc!$G$3:$G$22&gt;A2352)*(Calc!$G$3:$G$22-A2352)*(Calc!$G$3:$G$22&gt;B2352)*(Calc!$G$3:$G$22-B2352))</f>
        <v/>
      </c>
      <c r="L2352">
        <f>SUMPRODUCT(Calc!$K$3:$K$22*(Calc!$G$3:$G$22&gt;A2352)*(Calc!$G$3:$G$22-A2352)*Calc!$G$3:$G$22)</f>
        <v/>
      </c>
      <c r="M2352">
        <f>SUMPRODUCT(Calc!$K$3:$K$22*(Calc!$G$3:$G$22&gt;B2352)*(Calc!$G$3:$G$22-B2352)*Calc!$G$3:$G$22)</f>
        <v/>
      </c>
      <c r="N2352">
        <f>SUMPRODUCT(Calc!$K$3:$K$22*(Calc!$G$3:$G$22&gt;A2352)*(Calc!$G$3:$G$22-A2352)*Calc!$I$3:$I$22)</f>
        <v/>
      </c>
      <c r="O2352">
        <f>SUMPRODUCT(Calc!$K$3:$K$22*(Calc!$G$3:$G$22&gt;B2352)*(Calc!$G$3:$G$22-B2352)*Calc!$I$3:$I$22)</f>
        <v/>
      </c>
      <c r="P2352">
        <f>I2352-G2352^2/k_n</f>
        <v/>
      </c>
      <c r="Q2352">
        <f>J2352-H2352^2/k_n</f>
        <v/>
      </c>
      <c r="R2352">
        <f>K2352-G2352*H2352/k_n</f>
        <v/>
      </c>
      <c r="S2352">
        <f>L2352-LTP3!$D$3*G2352/k_n</f>
        <v/>
      </c>
      <c r="T2352">
        <f>M2352-LTP3!$D$3*H2352/k_n</f>
        <v/>
      </c>
      <c r="U2352">
        <f>N2352-G2352*LTP3!$D$4/k_n</f>
        <v/>
      </c>
      <c r="V2352">
        <f>O2352-H2352*LTP3!$D$4/k_n</f>
        <v/>
      </c>
      <c r="W2352">
        <f>((LTP3!$D$5)*((P2352)*(Q2352)-(R2352)*(R2352))-(S2352)*((S2352)*(Q2352)-(R2352)*(T2352))+(T2352)*((S2352)*(R2352)-(P2352)*(T2352)))</f>
        <v/>
      </c>
      <c r="X2352">
        <f>IF(ABS(W2352)&gt;1E-12,((LTP3!$D$6)*((P2352)*(Q2352)-(R2352)*(R2352))-(S2352)*((U2352)*(Q2352)-(R2352)*(V2352))+(T2352)*((U2352)*(R2352)-(P2352)*(V2352)))/W2352,0)</f>
        <v/>
      </c>
      <c r="Y2352">
        <f>IF(ABS(W2352)&gt;1E-12,((LTP3!$D$5)*((U2352)*(Q2352)-(R2352)*(V2352))-(LTP3!$D$6)*((S2352)*(Q2352)-(R2352)*(T2352))+(T2352)*((S2352)*(V2352)-(U2352)*(T2352)))/W2352,0)</f>
        <v/>
      </c>
      <c r="Z2352">
        <f>IF(ABS(W2352)&gt;1E-12,((LTP3!$D$5)*((P2352)*(V2352)-(U2352)*(R2352))-(S2352)*((S2352)*(V2352)-(U2352)*(T2352))+(LTP3!$D$6)*((S2352)*(R2352)-(P2352)*(T2352)))/W2352,0)</f>
        <v/>
      </c>
      <c r="AA2352">
        <f>LTP3!$D$7-X2352*LTP3!$D$6-Y2352*U2352-Z2352*V2352</f>
        <v/>
      </c>
      <c r="AB2352">
        <f>IF(AND(F2352,ABS(W2352)&gt;1E-12,Y2352&gt;0,Z2352&gt;0),AA2352,1E+300)</f>
        <v/>
      </c>
    </row>
    <row r="2353">
      <c r="A2353">
        <f>$B$3+$B$5*38</f>
        <v/>
      </c>
      <c r="B2353">
        <f>$B$3+$B$5*23</f>
        <v/>
      </c>
      <c r="C2353">
        <f>SUMPRODUCT(Calc!$K$3:$K$22*(Calc!$G$3:$G$22&lt;=A2353))</f>
        <v/>
      </c>
      <c r="D2353">
        <f>SUMPRODUCT(Calc!$K$3:$K$22*(Calc!$G$3:$G$22&gt;A2353)*(Calc!$G$3:$G$22&lt;B2353))</f>
        <v/>
      </c>
      <c r="E2353">
        <f>SUMPRODUCT(Calc!$K$3:$K$22*(Calc!$G$3:$G$22&gt;=B2353))</f>
        <v/>
      </c>
      <c r="F2353">
        <f>AND(k_n&gt;=5,B2353&gt;A2353+1E-9,C2353&gt;=2,D2353&gt;=1,E2353&gt;=2)</f>
        <v/>
      </c>
      <c r="G2353">
        <f>SUMPRODUCT(Calc!$K$3:$K$22*(Calc!$G$3:$G$22&gt;A2353)*(Calc!$G$3:$G$22-A2353))</f>
        <v/>
      </c>
      <c r="H2353">
        <f>SUMPRODUCT(Calc!$K$3:$K$22*(Calc!$G$3:$G$22&gt;B2353)*(Calc!$G$3:$G$22-B2353))</f>
        <v/>
      </c>
      <c r="I2353">
        <f>SUMPRODUCT(Calc!$K$3:$K$22*(Calc!$G$3:$G$22&gt;A2353)*(Calc!$G$3:$G$22-A2353)^2)</f>
        <v/>
      </c>
      <c r="J2353">
        <f>SUMPRODUCT(Calc!$K$3:$K$22*(Calc!$G$3:$G$22&gt;B2353)*(Calc!$G$3:$G$22-B2353)^2)</f>
        <v/>
      </c>
      <c r="K2353">
        <f>SUMPRODUCT(Calc!$K$3:$K$22*(Calc!$G$3:$G$22&gt;A2353)*(Calc!$G$3:$G$22-A2353)*(Calc!$G$3:$G$22&gt;B2353)*(Calc!$G$3:$G$22-B2353))</f>
        <v/>
      </c>
      <c r="L2353">
        <f>SUMPRODUCT(Calc!$K$3:$K$22*(Calc!$G$3:$G$22&gt;A2353)*(Calc!$G$3:$G$22-A2353)*Calc!$G$3:$G$22)</f>
        <v/>
      </c>
      <c r="M2353">
        <f>SUMPRODUCT(Calc!$K$3:$K$22*(Calc!$G$3:$G$22&gt;B2353)*(Calc!$G$3:$G$22-B2353)*Calc!$G$3:$G$22)</f>
        <v/>
      </c>
      <c r="N2353">
        <f>SUMPRODUCT(Calc!$K$3:$K$22*(Calc!$G$3:$G$22&gt;A2353)*(Calc!$G$3:$G$22-A2353)*Calc!$I$3:$I$22)</f>
        <v/>
      </c>
      <c r="O2353">
        <f>SUMPRODUCT(Calc!$K$3:$K$22*(Calc!$G$3:$G$22&gt;B2353)*(Calc!$G$3:$G$22-B2353)*Calc!$I$3:$I$22)</f>
        <v/>
      </c>
      <c r="P2353">
        <f>I2353-G2353^2/k_n</f>
        <v/>
      </c>
      <c r="Q2353">
        <f>J2353-H2353^2/k_n</f>
        <v/>
      </c>
      <c r="R2353">
        <f>K2353-G2353*H2353/k_n</f>
        <v/>
      </c>
      <c r="S2353">
        <f>L2353-LTP3!$D$3*G2353/k_n</f>
        <v/>
      </c>
      <c r="T2353">
        <f>M2353-LTP3!$D$3*H2353/k_n</f>
        <v/>
      </c>
      <c r="U2353">
        <f>N2353-G2353*LTP3!$D$4/k_n</f>
        <v/>
      </c>
      <c r="V2353">
        <f>O2353-H2353*LTP3!$D$4/k_n</f>
        <v/>
      </c>
      <c r="W2353">
        <f>((LTP3!$D$5)*((P2353)*(Q2353)-(R2353)*(R2353))-(S2353)*((S2353)*(Q2353)-(R2353)*(T2353))+(T2353)*((S2353)*(R2353)-(P2353)*(T2353)))</f>
        <v/>
      </c>
      <c r="X2353">
        <f>IF(ABS(W2353)&gt;1E-12,((LTP3!$D$6)*((P2353)*(Q2353)-(R2353)*(R2353))-(S2353)*((U2353)*(Q2353)-(R2353)*(V2353))+(T2353)*((U2353)*(R2353)-(P2353)*(V2353)))/W2353,0)</f>
        <v/>
      </c>
      <c r="Y2353">
        <f>IF(ABS(W2353)&gt;1E-12,((LTP3!$D$5)*((U2353)*(Q2353)-(R2353)*(V2353))-(LTP3!$D$6)*((S2353)*(Q2353)-(R2353)*(T2353))+(T2353)*((S2353)*(V2353)-(U2353)*(T2353)))/W2353,0)</f>
        <v/>
      </c>
      <c r="Z2353">
        <f>IF(ABS(W2353)&gt;1E-12,((LTP3!$D$5)*((P2353)*(V2353)-(U2353)*(R2353))-(S2353)*((S2353)*(V2353)-(U2353)*(T2353))+(LTP3!$D$6)*((S2353)*(R2353)-(P2353)*(T2353)))/W2353,0)</f>
        <v/>
      </c>
      <c r="AA2353">
        <f>LTP3!$D$7-X2353*LTP3!$D$6-Y2353*U2353-Z2353*V2353</f>
        <v/>
      </c>
      <c r="AB2353">
        <f>IF(AND(F2353,ABS(W2353)&gt;1E-12,Y2353&gt;0,Z2353&gt;0),AA2353,1E+300)</f>
        <v/>
      </c>
    </row>
    <row r="2354">
      <c r="A2354">
        <f>$B$3+$B$5*38</f>
        <v/>
      </c>
      <c r="B2354">
        <f>$B$3+$B$5*24</f>
        <v/>
      </c>
      <c r="C2354">
        <f>SUMPRODUCT(Calc!$K$3:$K$22*(Calc!$G$3:$G$22&lt;=A2354))</f>
        <v/>
      </c>
      <c r="D2354">
        <f>SUMPRODUCT(Calc!$K$3:$K$22*(Calc!$G$3:$G$22&gt;A2354)*(Calc!$G$3:$G$22&lt;B2354))</f>
        <v/>
      </c>
      <c r="E2354">
        <f>SUMPRODUCT(Calc!$K$3:$K$22*(Calc!$G$3:$G$22&gt;=B2354))</f>
        <v/>
      </c>
      <c r="F2354">
        <f>AND(k_n&gt;=5,B2354&gt;A2354+1E-9,C2354&gt;=2,D2354&gt;=1,E2354&gt;=2)</f>
        <v/>
      </c>
      <c r="G2354">
        <f>SUMPRODUCT(Calc!$K$3:$K$22*(Calc!$G$3:$G$22&gt;A2354)*(Calc!$G$3:$G$22-A2354))</f>
        <v/>
      </c>
      <c r="H2354">
        <f>SUMPRODUCT(Calc!$K$3:$K$22*(Calc!$G$3:$G$22&gt;B2354)*(Calc!$G$3:$G$22-B2354))</f>
        <v/>
      </c>
      <c r="I2354">
        <f>SUMPRODUCT(Calc!$K$3:$K$22*(Calc!$G$3:$G$22&gt;A2354)*(Calc!$G$3:$G$22-A2354)^2)</f>
        <v/>
      </c>
      <c r="J2354">
        <f>SUMPRODUCT(Calc!$K$3:$K$22*(Calc!$G$3:$G$22&gt;B2354)*(Calc!$G$3:$G$22-B2354)^2)</f>
        <v/>
      </c>
      <c r="K2354">
        <f>SUMPRODUCT(Calc!$K$3:$K$22*(Calc!$G$3:$G$22&gt;A2354)*(Calc!$G$3:$G$22-A2354)*(Calc!$G$3:$G$22&gt;B2354)*(Calc!$G$3:$G$22-B2354))</f>
        <v/>
      </c>
      <c r="L2354">
        <f>SUMPRODUCT(Calc!$K$3:$K$22*(Calc!$G$3:$G$22&gt;A2354)*(Calc!$G$3:$G$22-A2354)*Calc!$G$3:$G$22)</f>
        <v/>
      </c>
      <c r="M2354">
        <f>SUMPRODUCT(Calc!$K$3:$K$22*(Calc!$G$3:$G$22&gt;B2354)*(Calc!$G$3:$G$22-B2354)*Calc!$G$3:$G$22)</f>
        <v/>
      </c>
      <c r="N2354">
        <f>SUMPRODUCT(Calc!$K$3:$K$22*(Calc!$G$3:$G$22&gt;A2354)*(Calc!$G$3:$G$22-A2354)*Calc!$I$3:$I$22)</f>
        <v/>
      </c>
      <c r="O2354">
        <f>SUMPRODUCT(Calc!$K$3:$K$22*(Calc!$G$3:$G$22&gt;B2354)*(Calc!$G$3:$G$22-B2354)*Calc!$I$3:$I$22)</f>
        <v/>
      </c>
      <c r="P2354">
        <f>I2354-G2354^2/k_n</f>
        <v/>
      </c>
      <c r="Q2354">
        <f>J2354-H2354^2/k_n</f>
        <v/>
      </c>
      <c r="R2354">
        <f>K2354-G2354*H2354/k_n</f>
        <v/>
      </c>
      <c r="S2354">
        <f>L2354-LTP3!$D$3*G2354/k_n</f>
        <v/>
      </c>
      <c r="T2354">
        <f>M2354-LTP3!$D$3*H2354/k_n</f>
        <v/>
      </c>
      <c r="U2354">
        <f>N2354-G2354*LTP3!$D$4/k_n</f>
        <v/>
      </c>
      <c r="V2354">
        <f>O2354-H2354*LTP3!$D$4/k_n</f>
        <v/>
      </c>
      <c r="W2354">
        <f>((LTP3!$D$5)*((P2354)*(Q2354)-(R2354)*(R2354))-(S2354)*((S2354)*(Q2354)-(R2354)*(T2354))+(T2354)*((S2354)*(R2354)-(P2354)*(T2354)))</f>
        <v/>
      </c>
      <c r="X2354">
        <f>IF(ABS(W2354)&gt;1E-12,((LTP3!$D$6)*((P2354)*(Q2354)-(R2354)*(R2354))-(S2354)*((U2354)*(Q2354)-(R2354)*(V2354))+(T2354)*((U2354)*(R2354)-(P2354)*(V2354)))/W2354,0)</f>
        <v/>
      </c>
      <c r="Y2354">
        <f>IF(ABS(W2354)&gt;1E-12,((LTP3!$D$5)*((U2354)*(Q2354)-(R2354)*(V2354))-(LTP3!$D$6)*((S2354)*(Q2354)-(R2354)*(T2354))+(T2354)*((S2354)*(V2354)-(U2354)*(T2354)))/W2354,0)</f>
        <v/>
      </c>
      <c r="Z2354">
        <f>IF(ABS(W2354)&gt;1E-12,((LTP3!$D$5)*((P2354)*(V2354)-(U2354)*(R2354))-(S2354)*((S2354)*(V2354)-(U2354)*(T2354))+(LTP3!$D$6)*((S2354)*(R2354)-(P2354)*(T2354)))/W2354,0)</f>
        <v/>
      </c>
      <c r="AA2354">
        <f>LTP3!$D$7-X2354*LTP3!$D$6-Y2354*U2354-Z2354*V2354</f>
        <v/>
      </c>
      <c r="AB2354">
        <f>IF(AND(F2354,ABS(W2354)&gt;1E-12,Y2354&gt;0,Z2354&gt;0),AA2354,1E+300)</f>
        <v/>
      </c>
    </row>
    <row r="2355">
      <c r="A2355">
        <f>$B$3+$B$5*38</f>
        <v/>
      </c>
      <c r="B2355">
        <f>$B$3+$B$5*25</f>
        <v/>
      </c>
      <c r="C2355">
        <f>SUMPRODUCT(Calc!$K$3:$K$22*(Calc!$G$3:$G$22&lt;=A2355))</f>
        <v/>
      </c>
      <c r="D2355">
        <f>SUMPRODUCT(Calc!$K$3:$K$22*(Calc!$G$3:$G$22&gt;A2355)*(Calc!$G$3:$G$22&lt;B2355))</f>
        <v/>
      </c>
      <c r="E2355">
        <f>SUMPRODUCT(Calc!$K$3:$K$22*(Calc!$G$3:$G$22&gt;=B2355))</f>
        <v/>
      </c>
      <c r="F2355">
        <f>AND(k_n&gt;=5,B2355&gt;A2355+1E-9,C2355&gt;=2,D2355&gt;=1,E2355&gt;=2)</f>
        <v/>
      </c>
      <c r="G2355">
        <f>SUMPRODUCT(Calc!$K$3:$K$22*(Calc!$G$3:$G$22&gt;A2355)*(Calc!$G$3:$G$22-A2355))</f>
        <v/>
      </c>
      <c r="H2355">
        <f>SUMPRODUCT(Calc!$K$3:$K$22*(Calc!$G$3:$G$22&gt;B2355)*(Calc!$G$3:$G$22-B2355))</f>
        <v/>
      </c>
      <c r="I2355">
        <f>SUMPRODUCT(Calc!$K$3:$K$22*(Calc!$G$3:$G$22&gt;A2355)*(Calc!$G$3:$G$22-A2355)^2)</f>
        <v/>
      </c>
      <c r="J2355">
        <f>SUMPRODUCT(Calc!$K$3:$K$22*(Calc!$G$3:$G$22&gt;B2355)*(Calc!$G$3:$G$22-B2355)^2)</f>
        <v/>
      </c>
      <c r="K2355">
        <f>SUMPRODUCT(Calc!$K$3:$K$22*(Calc!$G$3:$G$22&gt;A2355)*(Calc!$G$3:$G$22-A2355)*(Calc!$G$3:$G$22&gt;B2355)*(Calc!$G$3:$G$22-B2355))</f>
        <v/>
      </c>
      <c r="L2355">
        <f>SUMPRODUCT(Calc!$K$3:$K$22*(Calc!$G$3:$G$22&gt;A2355)*(Calc!$G$3:$G$22-A2355)*Calc!$G$3:$G$22)</f>
        <v/>
      </c>
      <c r="M2355">
        <f>SUMPRODUCT(Calc!$K$3:$K$22*(Calc!$G$3:$G$22&gt;B2355)*(Calc!$G$3:$G$22-B2355)*Calc!$G$3:$G$22)</f>
        <v/>
      </c>
      <c r="N2355">
        <f>SUMPRODUCT(Calc!$K$3:$K$22*(Calc!$G$3:$G$22&gt;A2355)*(Calc!$G$3:$G$22-A2355)*Calc!$I$3:$I$22)</f>
        <v/>
      </c>
      <c r="O2355">
        <f>SUMPRODUCT(Calc!$K$3:$K$22*(Calc!$G$3:$G$22&gt;B2355)*(Calc!$G$3:$G$22-B2355)*Calc!$I$3:$I$22)</f>
        <v/>
      </c>
      <c r="P2355">
        <f>I2355-G2355^2/k_n</f>
        <v/>
      </c>
      <c r="Q2355">
        <f>J2355-H2355^2/k_n</f>
        <v/>
      </c>
      <c r="R2355">
        <f>K2355-G2355*H2355/k_n</f>
        <v/>
      </c>
      <c r="S2355">
        <f>L2355-LTP3!$D$3*G2355/k_n</f>
        <v/>
      </c>
      <c r="T2355">
        <f>M2355-LTP3!$D$3*H2355/k_n</f>
        <v/>
      </c>
      <c r="U2355">
        <f>N2355-G2355*LTP3!$D$4/k_n</f>
        <v/>
      </c>
      <c r="V2355">
        <f>O2355-H2355*LTP3!$D$4/k_n</f>
        <v/>
      </c>
      <c r="W2355">
        <f>((LTP3!$D$5)*((P2355)*(Q2355)-(R2355)*(R2355))-(S2355)*((S2355)*(Q2355)-(R2355)*(T2355))+(T2355)*((S2355)*(R2355)-(P2355)*(T2355)))</f>
        <v/>
      </c>
      <c r="X2355">
        <f>IF(ABS(W2355)&gt;1E-12,((LTP3!$D$6)*((P2355)*(Q2355)-(R2355)*(R2355))-(S2355)*((U2355)*(Q2355)-(R2355)*(V2355))+(T2355)*((U2355)*(R2355)-(P2355)*(V2355)))/W2355,0)</f>
        <v/>
      </c>
      <c r="Y2355">
        <f>IF(ABS(W2355)&gt;1E-12,((LTP3!$D$5)*((U2355)*(Q2355)-(R2355)*(V2355))-(LTP3!$D$6)*((S2355)*(Q2355)-(R2355)*(T2355))+(T2355)*((S2355)*(V2355)-(U2355)*(T2355)))/W2355,0)</f>
        <v/>
      </c>
      <c r="Z2355">
        <f>IF(ABS(W2355)&gt;1E-12,((LTP3!$D$5)*((P2355)*(V2355)-(U2355)*(R2355))-(S2355)*((S2355)*(V2355)-(U2355)*(T2355))+(LTP3!$D$6)*((S2355)*(R2355)-(P2355)*(T2355)))/W2355,0)</f>
        <v/>
      </c>
      <c r="AA2355">
        <f>LTP3!$D$7-X2355*LTP3!$D$6-Y2355*U2355-Z2355*V2355</f>
        <v/>
      </c>
      <c r="AB2355">
        <f>IF(AND(F2355,ABS(W2355)&gt;1E-12,Y2355&gt;0,Z2355&gt;0),AA2355,1E+300)</f>
        <v/>
      </c>
    </row>
    <row r="2356">
      <c r="A2356">
        <f>$B$3+$B$5*38</f>
        <v/>
      </c>
      <c r="B2356">
        <f>$B$3+$B$5*26</f>
        <v/>
      </c>
      <c r="C2356">
        <f>SUMPRODUCT(Calc!$K$3:$K$22*(Calc!$G$3:$G$22&lt;=A2356))</f>
        <v/>
      </c>
      <c r="D2356">
        <f>SUMPRODUCT(Calc!$K$3:$K$22*(Calc!$G$3:$G$22&gt;A2356)*(Calc!$G$3:$G$22&lt;B2356))</f>
        <v/>
      </c>
      <c r="E2356">
        <f>SUMPRODUCT(Calc!$K$3:$K$22*(Calc!$G$3:$G$22&gt;=B2356))</f>
        <v/>
      </c>
      <c r="F2356">
        <f>AND(k_n&gt;=5,B2356&gt;A2356+1E-9,C2356&gt;=2,D2356&gt;=1,E2356&gt;=2)</f>
        <v/>
      </c>
      <c r="G2356">
        <f>SUMPRODUCT(Calc!$K$3:$K$22*(Calc!$G$3:$G$22&gt;A2356)*(Calc!$G$3:$G$22-A2356))</f>
        <v/>
      </c>
      <c r="H2356">
        <f>SUMPRODUCT(Calc!$K$3:$K$22*(Calc!$G$3:$G$22&gt;B2356)*(Calc!$G$3:$G$22-B2356))</f>
        <v/>
      </c>
      <c r="I2356">
        <f>SUMPRODUCT(Calc!$K$3:$K$22*(Calc!$G$3:$G$22&gt;A2356)*(Calc!$G$3:$G$22-A2356)^2)</f>
        <v/>
      </c>
      <c r="J2356">
        <f>SUMPRODUCT(Calc!$K$3:$K$22*(Calc!$G$3:$G$22&gt;B2356)*(Calc!$G$3:$G$22-B2356)^2)</f>
        <v/>
      </c>
      <c r="K2356">
        <f>SUMPRODUCT(Calc!$K$3:$K$22*(Calc!$G$3:$G$22&gt;A2356)*(Calc!$G$3:$G$22-A2356)*(Calc!$G$3:$G$22&gt;B2356)*(Calc!$G$3:$G$22-B2356))</f>
        <v/>
      </c>
      <c r="L2356">
        <f>SUMPRODUCT(Calc!$K$3:$K$22*(Calc!$G$3:$G$22&gt;A2356)*(Calc!$G$3:$G$22-A2356)*Calc!$G$3:$G$22)</f>
        <v/>
      </c>
      <c r="M2356">
        <f>SUMPRODUCT(Calc!$K$3:$K$22*(Calc!$G$3:$G$22&gt;B2356)*(Calc!$G$3:$G$22-B2356)*Calc!$G$3:$G$22)</f>
        <v/>
      </c>
      <c r="N2356">
        <f>SUMPRODUCT(Calc!$K$3:$K$22*(Calc!$G$3:$G$22&gt;A2356)*(Calc!$G$3:$G$22-A2356)*Calc!$I$3:$I$22)</f>
        <v/>
      </c>
      <c r="O2356">
        <f>SUMPRODUCT(Calc!$K$3:$K$22*(Calc!$G$3:$G$22&gt;B2356)*(Calc!$G$3:$G$22-B2356)*Calc!$I$3:$I$22)</f>
        <v/>
      </c>
      <c r="P2356">
        <f>I2356-G2356^2/k_n</f>
        <v/>
      </c>
      <c r="Q2356">
        <f>J2356-H2356^2/k_n</f>
        <v/>
      </c>
      <c r="R2356">
        <f>K2356-G2356*H2356/k_n</f>
        <v/>
      </c>
      <c r="S2356">
        <f>L2356-LTP3!$D$3*G2356/k_n</f>
        <v/>
      </c>
      <c r="T2356">
        <f>M2356-LTP3!$D$3*H2356/k_n</f>
        <v/>
      </c>
      <c r="U2356">
        <f>N2356-G2356*LTP3!$D$4/k_n</f>
        <v/>
      </c>
      <c r="V2356">
        <f>O2356-H2356*LTP3!$D$4/k_n</f>
        <v/>
      </c>
      <c r="W2356">
        <f>((LTP3!$D$5)*((P2356)*(Q2356)-(R2356)*(R2356))-(S2356)*((S2356)*(Q2356)-(R2356)*(T2356))+(T2356)*((S2356)*(R2356)-(P2356)*(T2356)))</f>
        <v/>
      </c>
      <c r="X2356">
        <f>IF(ABS(W2356)&gt;1E-12,((LTP3!$D$6)*((P2356)*(Q2356)-(R2356)*(R2356))-(S2356)*((U2356)*(Q2356)-(R2356)*(V2356))+(T2356)*((U2356)*(R2356)-(P2356)*(V2356)))/W2356,0)</f>
        <v/>
      </c>
      <c r="Y2356">
        <f>IF(ABS(W2356)&gt;1E-12,((LTP3!$D$5)*((U2356)*(Q2356)-(R2356)*(V2356))-(LTP3!$D$6)*((S2356)*(Q2356)-(R2356)*(T2356))+(T2356)*((S2356)*(V2356)-(U2356)*(T2356)))/W2356,0)</f>
        <v/>
      </c>
      <c r="Z2356">
        <f>IF(ABS(W2356)&gt;1E-12,((LTP3!$D$5)*((P2356)*(V2356)-(U2356)*(R2356))-(S2356)*((S2356)*(V2356)-(U2356)*(T2356))+(LTP3!$D$6)*((S2356)*(R2356)-(P2356)*(T2356)))/W2356,0)</f>
        <v/>
      </c>
      <c r="AA2356">
        <f>LTP3!$D$7-X2356*LTP3!$D$6-Y2356*U2356-Z2356*V2356</f>
        <v/>
      </c>
      <c r="AB2356">
        <f>IF(AND(F2356,ABS(W2356)&gt;1E-12,Y2356&gt;0,Z2356&gt;0),AA2356,1E+300)</f>
        <v/>
      </c>
    </row>
    <row r="2357">
      <c r="A2357">
        <f>$B$3+$B$5*38</f>
        <v/>
      </c>
      <c r="B2357">
        <f>$B$3+$B$5*27</f>
        <v/>
      </c>
      <c r="C2357">
        <f>SUMPRODUCT(Calc!$K$3:$K$22*(Calc!$G$3:$G$22&lt;=A2357))</f>
        <v/>
      </c>
      <c r="D2357">
        <f>SUMPRODUCT(Calc!$K$3:$K$22*(Calc!$G$3:$G$22&gt;A2357)*(Calc!$G$3:$G$22&lt;B2357))</f>
        <v/>
      </c>
      <c r="E2357">
        <f>SUMPRODUCT(Calc!$K$3:$K$22*(Calc!$G$3:$G$22&gt;=B2357))</f>
        <v/>
      </c>
      <c r="F2357">
        <f>AND(k_n&gt;=5,B2357&gt;A2357+1E-9,C2357&gt;=2,D2357&gt;=1,E2357&gt;=2)</f>
        <v/>
      </c>
      <c r="G2357">
        <f>SUMPRODUCT(Calc!$K$3:$K$22*(Calc!$G$3:$G$22&gt;A2357)*(Calc!$G$3:$G$22-A2357))</f>
        <v/>
      </c>
      <c r="H2357">
        <f>SUMPRODUCT(Calc!$K$3:$K$22*(Calc!$G$3:$G$22&gt;B2357)*(Calc!$G$3:$G$22-B2357))</f>
        <v/>
      </c>
      <c r="I2357">
        <f>SUMPRODUCT(Calc!$K$3:$K$22*(Calc!$G$3:$G$22&gt;A2357)*(Calc!$G$3:$G$22-A2357)^2)</f>
        <v/>
      </c>
      <c r="J2357">
        <f>SUMPRODUCT(Calc!$K$3:$K$22*(Calc!$G$3:$G$22&gt;B2357)*(Calc!$G$3:$G$22-B2357)^2)</f>
        <v/>
      </c>
      <c r="K2357">
        <f>SUMPRODUCT(Calc!$K$3:$K$22*(Calc!$G$3:$G$22&gt;A2357)*(Calc!$G$3:$G$22-A2357)*(Calc!$G$3:$G$22&gt;B2357)*(Calc!$G$3:$G$22-B2357))</f>
        <v/>
      </c>
      <c r="L2357">
        <f>SUMPRODUCT(Calc!$K$3:$K$22*(Calc!$G$3:$G$22&gt;A2357)*(Calc!$G$3:$G$22-A2357)*Calc!$G$3:$G$22)</f>
        <v/>
      </c>
      <c r="M2357">
        <f>SUMPRODUCT(Calc!$K$3:$K$22*(Calc!$G$3:$G$22&gt;B2357)*(Calc!$G$3:$G$22-B2357)*Calc!$G$3:$G$22)</f>
        <v/>
      </c>
      <c r="N2357">
        <f>SUMPRODUCT(Calc!$K$3:$K$22*(Calc!$G$3:$G$22&gt;A2357)*(Calc!$G$3:$G$22-A2357)*Calc!$I$3:$I$22)</f>
        <v/>
      </c>
      <c r="O2357">
        <f>SUMPRODUCT(Calc!$K$3:$K$22*(Calc!$G$3:$G$22&gt;B2357)*(Calc!$G$3:$G$22-B2357)*Calc!$I$3:$I$22)</f>
        <v/>
      </c>
      <c r="P2357">
        <f>I2357-G2357^2/k_n</f>
        <v/>
      </c>
      <c r="Q2357">
        <f>J2357-H2357^2/k_n</f>
        <v/>
      </c>
      <c r="R2357">
        <f>K2357-G2357*H2357/k_n</f>
        <v/>
      </c>
      <c r="S2357">
        <f>L2357-LTP3!$D$3*G2357/k_n</f>
        <v/>
      </c>
      <c r="T2357">
        <f>M2357-LTP3!$D$3*H2357/k_n</f>
        <v/>
      </c>
      <c r="U2357">
        <f>N2357-G2357*LTP3!$D$4/k_n</f>
        <v/>
      </c>
      <c r="V2357">
        <f>O2357-H2357*LTP3!$D$4/k_n</f>
        <v/>
      </c>
      <c r="W2357">
        <f>((LTP3!$D$5)*((P2357)*(Q2357)-(R2357)*(R2357))-(S2357)*((S2357)*(Q2357)-(R2357)*(T2357))+(T2357)*((S2357)*(R2357)-(P2357)*(T2357)))</f>
        <v/>
      </c>
      <c r="X2357">
        <f>IF(ABS(W2357)&gt;1E-12,((LTP3!$D$6)*((P2357)*(Q2357)-(R2357)*(R2357))-(S2357)*((U2357)*(Q2357)-(R2357)*(V2357))+(T2357)*((U2357)*(R2357)-(P2357)*(V2357)))/W2357,0)</f>
        <v/>
      </c>
      <c r="Y2357">
        <f>IF(ABS(W2357)&gt;1E-12,((LTP3!$D$5)*((U2357)*(Q2357)-(R2357)*(V2357))-(LTP3!$D$6)*((S2357)*(Q2357)-(R2357)*(T2357))+(T2357)*((S2357)*(V2357)-(U2357)*(T2357)))/W2357,0)</f>
        <v/>
      </c>
      <c r="Z2357">
        <f>IF(ABS(W2357)&gt;1E-12,((LTP3!$D$5)*((P2357)*(V2357)-(U2357)*(R2357))-(S2357)*((S2357)*(V2357)-(U2357)*(T2357))+(LTP3!$D$6)*((S2357)*(R2357)-(P2357)*(T2357)))/W2357,0)</f>
        <v/>
      </c>
      <c r="AA2357">
        <f>LTP3!$D$7-X2357*LTP3!$D$6-Y2357*U2357-Z2357*V2357</f>
        <v/>
      </c>
      <c r="AB2357">
        <f>IF(AND(F2357,ABS(W2357)&gt;1E-12,Y2357&gt;0,Z2357&gt;0),AA2357,1E+300)</f>
        <v/>
      </c>
    </row>
    <row r="2358">
      <c r="A2358">
        <f>$B$3+$B$5*38</f>
        <v/>
      </c>
      <c r="B2358">
        <f>$B$3+$B$5*28</f>
        <v/>
      </c>
      <c r="C2358">
        <f>SUMPRODUCT(Calc!$K$3:$K$22*(Calc!$G$3:$G$22&lt;=A2358))</f>
        <v/>
      </c>
      <c r="D2358">
        <f>SUMPRODUCT(Calc!$K$3:$K$22*(Calc!$G$3:$G$22&gt;A2358)*(Calc!$G$3:$G$22&lt;B2358))</f>
        <v/>
      </c>
      <c r="E2358">
        <f>SUMPRODUCT(Calc!$K$3:$K$22*(Calc!$G$3:$G$22&gt;=B2358))</f>
        <v/>
      </c>
      <c r="F2358">
        <f>AND(k_n&gt;=5,B2358&gt;A2358+1E-9,C2358&gt;=2,D2358&gt;=1,E2358&gt;=2)</f>
        <v/>
      </c>
      <c r="G2358">
        <f>SUMPRODUCT(Calc!$K$3:$K$22*(Calc!$G$3:$G$22&gt;A2358)*(Calc!$G$3:$G$22-A2358))</f>
        <v/>
      </c>
      <c r="H2358">
        <f>SUMPRODUCT(Calc!$K$3:$K$22*(Calc!$G$3:$G$22&gt;B2358)*(Calc!$G$3:$G$22-B2358))</f>
        <v/>
      </c>
      <c r="I2358">
        <f>SUMPRODUCT(Calc!$K$3:$K$22*(Calc!$G$3:$G$22&gt;A2358)*(Calc!$G$3:$G$22-A2358)^2)</f>
        <v/>
      </c>
      <c r="J2358">
        <f>SUMPRODUCT(Calc!$K$3:$K$22*(Calc!$G$3:$G$22&gt;B2358)*(Calc!$G$3:$G$22-B2358)^2)</f>
        <v/>
      </c>
      <c r="K2358">
        <f>SUMPRODUCT(Calc!$K$3:$K$22*(Calc!$G$3:$G$22&gt;A2358)*(Calc!$G$3:$G$22-A2358)*(Calc!$G$3:$G$22&gt;B2358)*(Calc!$G$3:$G$22-B2358))</f>
        <v/>
      </c>
      <c r="L2358">
        <f>SUMPRODUCT(Calc!$K$3:$K$22*(Calc!$G$3:$G$22&gt;A2358)*(Calc!$G$3:$G$22-A2358)*Calc!$G$3:$G$22)</f>
        <v/>
      </c>
      <c r="M2358">
        <f>SUMPRODUCT(Calc!$K$3:$K$22*(Calc!$G$3:$G$22&gt;B2358)*(Calc!$G$3:$G$22-B2358)*Calc!$G$3:$G$22)</f>
        <v/>
      </c>
      <c r="N2358">
        <f>SUMPRODUCT(Calc!$K$3:$K$22*(Calc!$G$3:$G$22&gt;A2358)*(Calc!$G$3:$G$22-A2358)*Calc!$I$3:$I$22)</f>
        <v/>
      </c>
      <c r="O2358">
        <f>SUMPRODUCT(Calc!$K$3:$K$22*(Calc!$G$3:$G$22&gt;B2358)*(Calc!$G$3:$G$22-B2358)*Calc!$I$3:$I$22)</f>
        <v/>
      </c>
      <c r="P2358">
        <f>I2358-G2358^2/k_n</f>
        <v/>
      </c>
      <c r="Q2358">
        <f>J2358-H2358^2/k_n</f>
        <v/>
      </c>
      <c r="R2358">
        <f>K2358-G2358*H2358/k_n</f>
        <v/>
      </c>
      <c r="S2358">
        <f>L2358-LTP3!$D$3*G2358/k_n</f>
        <v/>
      </c>
      <c r="T2358">
        <f>M2358-LTP3!$D$3*H2358/k_n</f>
        <v/>
      </c>
      <c r="U2358">
        <f>N2358-G2358*LTP3!$D$4/k_n</f>
        <v/>
      </c>
      <c r="V2358">
        <f>O2358-H2358*LTP3!$D$4/k_n</f>
        <v/>
      </c>
      <c r="W2358">
        <f>((LTP3!$D$5)*((P2358)*(Q2358)-(R2358)*(R2358))-(S2358)*((S2358)*(Q2358)-(R2358)*(T2358))+(T2358)*((S2358)*(R2358)-(P2358)*(T2358)))</f>
        <v/>
      </c>
      <c r="X2358">
        <f>IF(ABS(W2358)&gt;1E-12,((LTP3!$D$6)*((P2358)*(Q2358)-(R2358)*(R2358))-(S2358)*((U2358)*(Q2358)-(R2358)*(V2358))+(T2358)*((U2358)*(R2358)-(P2358)*(V2358)))/W2358,0)</f>
        <v/>
      </c>
      <c r="Y2358">
        <f>IF(ABS(W2358)&gt;1E-12,((LTP3!$D$5)*((U2358)*(Q2358)-(R2358)*(V2358))-(LTP3!$D$6)*((S2358)*(Q2358)-(R2358)*(T2358))+(T2358)*((S2358)*(V2358)-(U2358)*(T2358)))/W2358,0)</f>
        <v/>
      </c>
      <c r="Z2358">
        <f>IF(ABS(W2358)&gt;1E-12,((LTP3!$D$5)*((P2358)*(V2358)-(U2358)*(R2358))-(S2358)*((S2358)*(V2358)-(U2358)*(T2358))+(LTP3!$D$6)*((S2358)*(R2358)-(P2358)*(T2358)))/W2358,0)</f>
        <v/>
      </c>
      <c r="AA2358">
        <f>LTP3!$D$7-X2358*LTP3!$D$6-Y2358*U2358-Z2358*V2358</f>
        <v/>
      </c>
      <c r="AB2358">
        <f>IF(AND(F2358,ABS(W2358)&gt;1E-12,Y2358&gt;0,Z2358&gt;0),AA2358,1E+300)</f>
        <v/>
      </c>
    </row>
    <row r="2359">
      <c r="A2359">
        <f>$B$3+$B$5*38</f>
        <v/>
      </c>
      <c r="B2359">
        <f>$B$3+$B$5*29</f>
        <v/>
      </c>
      <c r="C2359">
        <f>SUMPRODUCT(Calc!$K$3:$K$22*(Calc!$G$3:$G$22&lt;=A2359))</f>
        <v/>
      </c>
      <c r="D2359">
        <f>SUMPRODUCT(Calc!$K$3:$K$22*(Calc!$G$3:$G$22&gt;A2359)*(Calc!$G$3:$G$22&lt;B2359))</f>
        <v/>
      </c>
      <c r="E2359">
        <f>SUMPRODUCT(Calc!$K$3:$K$22*(Calc!$G$3:$G$22&gt;=B2359))</f>
        <v/>
      </c>
      <c r="F2359">
        <f>AND(k_n&gt;=5,B2359&gt;A2359+1E-9,C2359&gt;=2,D2359&gt;=1,E2359&gt;=2)</f>
        <v/>
      </c>
      <c r="G2359">
        <f>SUMPRODUCT(Calc!$K$3:$K$22*(Calc!$G$3:$G$22&gt;A2359)*(Calc!$G$3:$G$22-A2359))</f>
        <v/>
      </c>
      <c r="H2359">
        <f>SUMPRODUCT(Calc!$K$3:$K$22*(Calc!$G$3:$G$22&gt;B2359)*(Calc!$G$3:$G$22-B2359))</f>
        <v/>
      </c>
      <c r="I2359">
        <f>SUMPRODUCT(Calc!$K$3:$K$22*(Calc!$G$3:$G$22&gt;A2359)*(Calc!$G$3:$G$22-A2359)^2)</f>
        <v/>
      </c>
      <c r="J2359">
        <f>SUMPRODUCT(Calc!$K$3:$K$22*(Calc!$G$3:$G$22&gt;B2359)*(Calc!$G$3:$G$22-B2359)^2)</f>
        <v/>
      </c>
      <c r="K2359">
        <f>SUMPRODUCT(Calc!$K$3:$K$22*(Calc!$G$3:$G$22&gt;A2359)*(Calc!$G$3:$G$22-A2359)*(Calc!$G$3:$G$22&gt;B2359)*(Calc!$G$3:$G$22-B2359))</f>
        <v/>
      </c>
      <c r="L2359">
        <f>SUMPRODUCT(Calc!$K$3:$K$22*(Calc!$G$3:$G$22&gt;A2359)*(Calc!$G$3:$G$22-A2359)*Calc!$G$3:$G$22)</f>
        <v/>
      </c>
      <c r="M2359">
        <f>SUMPRODUCT(Calc!$K$3:$K$22*(Calc!$G$3:$G$22&gt;B2359)*(Calc!$G$3:$G$22-B2359)*Calc!$G$3:$G$22)</f>
        <v/>
      </c>
      <c r="N2359">
        <f>SUMPRODUCT(Calc!$K$3:$K$22*(Calc!$G$3:$G$22&gt;A2359)*(Calc!$G$3:$G$22-A2359)*Calc!$I$3:$I$22)</f>
        <v/>
      </c>
      <c r="O2359">
        <f>SUMPRODUCT(Calc!$K$3:$K$22*(Calc!$G$3:$G$22&gt;B2359)*(Calc!$G$3:$G$22-B2359)*Calc!$I$3:$I$22)</f>
        <v/>
      </c>
      <c r="P2359">
        <f>I2359-G2359^2/k_n</f>
        <v/>
      </c>
      <c r="Q2359">
        <f>J2359-H2359^2/k_n</f>
        <v/>
      </c>
      <c r="R2359">
        <f>K2359-G2359*H2359/k_n</f>
        <v/>
      </c>
      <c r="S2359">
        <f>L2359-LTP3!$D$3*G2359/k_n</f>
        <v/>
      </c>
      <c r="T2359">
        <f>M2359-LTP3!$D$3*H2359/k_n</f>
        <v/>
      </c>
      <c r="U2359">
        <f>N2359-G2359*LTP3!$D$4/k_n</f>
        <v/>
      </c>
      <c r="V2359">
        <f>O2359-H2359*LTP3!$D$4/k_n</f>
        <v/>
      </c>
      <c r="W2359">
        <f>((LTP3!$D$5)*((P2359)*(Q2359)-(R2359)*(R2359))-(S2359)*((S2359)*(Q2359)-(R2359)*(T2359))+(T2359)*((S2359)*(R2359)-(P2359)*(T2359)))</f>
        <v/>
      </c>
      <c r="X2359">
        <f>IF(ABS(W2359)&gt;1E-12,((LTP3!$D$6)*((P2359)*(Q2359)-(R2359)*(R2359))-(S2359)*((U2359)*(Q2359)-(R2359)*(V2359))+(T2359)*((U2359)*(R2359)-(P2359)*(V2359)))/W2359,0)</f>
        <v/>
      </c>
      <c r="Y2359">
        <f>IF(ABS(W2359)&gt;1E-12,((LTP3!$D$5)*((U2359)*(Q2359)-(R2359)*(V2359))-(LTP3!$D$6)*((S2359)*(Q2359)-(R2359)*(T2359))+(T2359)*((S2359)*(V2359)-(U2359)*(T2359)))/W2359,0)</f>
        <v/>
      </c>
      <c r="Z2359">
        <f>IF(ABS(W2359)&gt;1E-12,((LTP3!$D$5)*((P2359)*(V2359)-(U2359)*(R2359))-(S2359)*((S2359)*(V2359)-(U2359)*(T2359))+(LTP3!$D$6)*((S2359)*(R2359)-(P2359)*(T2359)))/W2359,0)</f>
        <v/>
      </c>
      <c r="AA2359">
        <f>LTP3!$D$7-X2359*LTP3!$D$6-Y2359*U2359-Z2359*V2359</f>
        <v/>
      </c>
      <c r="AB2359">
        <f>IF(AND(F2359,ABS(W2359)&gt;1E-12,Y2359&gt;0,Z2359&gt;0),AA2359,1E+300)</f>
        <v/>
      </c>
    </row>
    <row r="2360">
      <c r="A2360">
        <f>$B$3+$B$5*38</f>
        <v/>
      </c>
      <c r="B2360">
        <f>$B$3+$B$5*30</f>
        <v/>
      </c>
      <c r="C2360">
        <f>SUMPRODUCT(Calc!$K$3:$K$22*(Calc!$G$3:$G$22&lt;=A2360))</f>
        <v/>
      </c>
      <c r="D2360">
        <f>SUMPRODUCT(Calc!$K$3:$K$22*(Calc!$G$3:$G$22&gt;A2360)*(Calc!$G$3:$G$22&lt;B2360))</f>
        <v/>
      </c>
      <c r="E2360">
        <f>SUMPRODUCT(Calc!$K$3:$K$22*(Calc!$G$3:$G$22&gt;=B2360))</f>
        <v/>
      </c>
      <c r="F2360">
        <f>AND(k_n&gt;=5,B2360&gt;A2360+1E-9,C2360&gt;=2,D2360&gt;=1,E2360&gt;=2)</f>
        <v/>
      </c>
      <c r="G2360">
        <f>SUMPRODUCT(Calc!$K$3:$K$22*(Calc!$G$3:$G$22&gt;A2360)*(Calc!$G$3:$G$22-A2360))</f>
        <v/>
      </c>
      <c r="H2360">
        <f>SUMPRODUCT(Calc!$K$3:$K$22*(Calc!$G$3:$G$22&gt;B2360)*(Calc!$G$3:$G$22-B2360))</f>
        <v/>
      </c>
      <c r="I2360">
        <f>SUMPRODUCT(Calc!$K$3:$K$22*(Calc!$G$3:$G$22&gt;A2360)*(Calc!$G$3:$G$22-A2360)^2)</f>
        <v/>
      </c>
      <c r="J2360">
        <f>SUMPRODUCT(Calc!$K$3:$K$22*(Calc!$G$3:$G$22&gt;B2360)*(Calc!$G$3:$G$22-B2360)^2)</f>
        <v/>
      </c>
      <c r="K2360">
        <f>SUMPRODUCT(Calc!$K$3:$K$22*(Calc!$G$3:$G$22&gt;A2360)*(Calc!$G$3:$G$22-A2360)*(Calc!$G$3:$G$22&gt;B2360)*(Calc!$G$3:$G$22-B2360))</f>
        <v/>
      </c>
      <c r="L2360">
        <f>SUMPRODUCT(Calc!$K$3:$K$22*(Calc!$G$3:$G$22&gt;A2360)*(Calc!$G$3:$G$22-A2360)*Calc!$G$3:$G$22)</f>
        <v/>
      </c>
      <c r="M2360">
        <f>SUMPRODUCT(Calc!$K$3:$K$22*(Calc!$G$3:$G$22&gt;B2360)*(Calc!$G$3:$G$22-B2360)*Calc!$G$3:$G$22)</f>
        <v/>
      </c>
      <c r="N2360">
        <f>SUMPRODUCT(Calc!$K$3:$K$22*(Calc!$G$3:$G$22&gt;A2360)*(Calc!$G$3:$G$22-A2360)*Calc!$I$3:$I$22)</f>
        <v/>
      </c>
      <c r="O2360">
        <f>SUMPRODUCT(Calc!$K$3:$K$22*(Calc!$G$3:$G$22&gt;B2360)*(Calc!$G$3:$G$22-B2360)*Calc!$I$3:$I$22)</f>
        <v/>
      </c>
      <c r="P2360">
        <f>I2360-G2360^2/k_n</f>
        <v/>
      </c>
      <c r="Q2360">
        <f>J2360-H2360^2/k_n</f>
        <v/>
      </c>
      <c r="R2360">
        <f>K2360-G2360*H2360/k_n</f>
        <v/>
      </c>
      <c r="S2360">
        <f>L2360-LTP3!$D$3*G2360/k_n</f>
        <v/>
      </c>
      <c r="T2360">
        <f>M2360-LTP3!$D$3*H2360/k_n</f>
        <v/>
      </c>
      <c r="U2360">
        <f>N2360-G2360*LTP3!$D$4/k_n</f>
        <v/>
      </c>
      <c r="V2360">
        <f>O2360-H2360*LTP3!$D$4/k_n</f>
        <v/>
      </c>
      <c r="W2360">
        <f>((LTP3!$D$5)*((P2360)*(Q2360)-(R2360)*(R2360))-(S2360)*((S2360)*(Q2360)-(R2360)*(T2360))+(T2360)*((S2360)*(R2360)-(P2360)*(T2360)))</f>
        <v/>
      </c>
      <c r="X2360">
        <f>IF(ABS(W2360)&gt;1E-12,((LTP3!$D$6)*((P2360)*(Q2360)-(R2360)*(R2360))-(S2360)*((U2360)*(Q2360)-(R2360)*(V2360))+(T2360)*((U2360)*(R2360)-(P2360)*(V2360)))/W2360,0)</f>
        <v/>
      </c>
      <c r="Y2360">
        <f>IF(ABS(W2360)&gt;1E-12,((LTP3!$D$5)*((U2360)*(Q2360)-(R2360)*(V2360))-(LTP3!$D$6)*((S2360)*(Q2360)-(R2360)*(T2360))+(T2360)*((S2360)*(V2360)-(U2360)*(T2360)))/W2360,0)</f>
        <v/>
      </c>
      <c r="Z2360">
        <f>IF(ABS(W2360)&gt;1E-12,((LTP3!$D$5)*((P2360)*(V2360)-(U2360)*(R2360))-(S2360)*((S2360)*(V2360)-(U2360)*(T2360))+(LTP3!$D$6)*((S2360)*(R2360)-(P2360)*(T2360)))/W2360,0)</f>
        <v/>
      </c>
      <c r="AA2360">
        <f>LTP3!$D$7-X2360*LTP3!$D$6-Y2360*U2360-Z2360*V2360</f>
        <v/>
      </c>
      <c r="AB2360">
        <f>IF(AND(F2360,ABS(W2360)&gt;1E-12,Y2360&gt;0,Z2360&gt;0),AA2360,1E+300)</f>
        <v/>
      </c>
    </row>
    <row r="2361">
      <c r="A2361">
        <f>$B$3+$B$5*38</f>
        <v/>
      </c>
      <c r="B2361">
        <f>$B$3+$B$5*31</f>
        <v/>
      </c>
      <c r="C2361">
        <f>SUMPRODUCT(Calc!$K$3:$K$22*(Calc!$G$3:$G$22&lt;=A2361))</f>
        <v/>
      </c>
      <c r="D2361">
        <f>SUMPRODUCT(Calc!$K$3:$K$22*(Calc!$G$3:$G$22&gt;A2361)*(Calc!$G$3:$G$22&lt;B2361))</f>
        <v/>
      </c>
      <c r="E2361">
        <f>SUMPRODUCT(Calc!$K$3:$K$22*(Calc!$G$3:$G$22&gt;=B2361))</f>
        <v/>
      </c>
      <c r="F2361">
        <f>AND(k_n&gt;=5,B2361&gt;A2361+1E-9,C2361&gt;=2,D2361&gt;=1,E2361&gt;=2)</f>
        <v/>
      </c>
      <c r="G2361">
        <f>SUMPRODUCT(Calc!$K$3:$K$22*(Calc!$G$3:$G$22&gt;A2361)*(Calc!$G$3:$G$22-A2361))</f>
        <v/>
      </c>
      <c r="H2361">
        <f>SUMPRODUCT(Calc!$K$3:$K$22*(Calc!$G$3:$G$22&gt;B2361)*(Calc!$G$3:$G$22-B2361))</f>
        <v/>
      </c>
      <c r="I2361">
        <f>SUMPRODUCT(Calc!$K$3:$K$22*(Calc!$G$3:$G$22&gt;A2361)*(Calc!$G$3:$G$22-A2361)^2)</f>
        <v/>
      </c>
      <c r="J2361">
        <f>SUMPRODUCT(Calc!$K$3:$K$22*(Calc!$G$3:$G$22&gt;B2361)*(Calc!$G$3:$G$22-B2361)^2)</f>
        <v/>
      </c>
      <c r="K2361">
        <f>SUMPRODUCT(Calc!$K$3:$K$22*(Calc!$G$3:$G$22&gt;A2361)*(Calc!$G$3:$G$22-A2361)*(Calc!$G$3:$G$22&gt;B2361)*(Calc!$G$3:$G$22-B2361))</f>
        <v/>
      </c>
      <c r="L2361">
        <f>SUMPRODUCT(Calc!$K$3:$K$22*(Calc!$G$3:$G$22&gt;A2361)*(Calc!$G$3:$G$22-A2361)*Calc!$G$3:$G$22)</f>
        <v/>
      </c>
      <c r="M2361">
        <f>SUMPRODUCT(Calc!$K$3:$K$22*(Calc!$G$3:$G$22&gt;B2361)*(Calc!$G$3:$G$22-B2361)*Calc!$G$3:$G$22)</f>
        <v/>
      </c>
      <c r="N2361">
        <f>SUMPRODUCT(Calc!$K$3:$K$22*(Calc!$G$3:$G$22&gt;A2361)*(Calc!$G$3:$G$22-A2361)*Calc!$I$3:$I$22)</f>
        <v/>
      </c>
      <c r="O2361">
        <f>SUMPRODUCT(Calc!$K$3:$K$22*(Calc!$G$3:$G$22&gt;B2361)*(Calc!$G$3:$G$22-B2361)*Calc!$I$3:$I$22)</f>
        <v/>
      </c>
      <c r="P2361">
        <f>I2361-G2361^2/k_n</f>
        <v/>
      </c>
      <c r="Q2361">
        <f>J2361-H2361^2/k_n</f>
        <v/>
      </c>
      <c r="R2361">
        <f>K2361-G2361*H2361/k_n</f>
        <v/>
      </c>
      <c r="S2361">
        <f>L2361-LTP3!$D$3*G2361/k_n</f>
        <v/>
      </c>
      <c r="T2361">
        <f>M2361-LTP3!$D$3*H2361/k_n</f>
        <v/>
      </c>
      <c r="U2361">
        <f>N2361-G2361*LTP3!$D$4/k_n</f>
        <v/>
      </c>
      <c r="V2361">
        <f>O2361-H2361*LTP3!$D$4/k_n</f>
        <v/>
      </c>
      <c r="W2361">
        <f>((LTP3!$D$5)*((P2361)*(Q2361)-(R2361)*(R2361))-(S2361)*((S2361)*(Q2361)-(R2361)*(T2361))+(T2361)*((S2361)*(R2361)-(P2361)*(T2361)))</f>
        <v/>
      </c>
      <c r="X2361">
        <f>IF(ABS(W2361)&gt;1E-12,((LTP3!$D$6)*((P2361)*(Q2361)-(R2361)*(R2361))-(S2361)*((U2361)*(Q2361)-(R2361)*(V2361))+(T2361)*((U2361)*(R2361)-(P2361)*(V2361)))/W2361,0)</f>
        <v/>
      </c>
      <c r="Y2361">
        <f>IF(ABS(W2361)&gt;1E-12,((LTP3!$D$5)*((U2361)*(Q2361)-(R2361)*(V2361))-(LTP3!$D$6)*((S2361)*(Q2361)-(R2361)*(T2361))+(T2361)*((S2361)*(V2361)-(U2361)*(T2361)))/W2361,0)</f>
        <v/>
      </c>
      <c r="Z2361">
        <f>IF(ABS(W2361)&gt;1E-12,((LTP3!$D$5)*((P2361)*(V2361)-(U2361)*(R2361))-(S2361)*((S2361)*(V2361)-(U2361)*(T2361))+(LTP3!$D$6)*((S2361)*(R2361)-(P2361)*(T2361)))/W2361,0)</f>
        <v/>
      </c>
      <c r="AA2361">
        <f>LTP3!$D$7-X2361*LTP3!$D$6-Y2361*U2361-Z2361*V2361</f>
        <v/>
      </c>
      <c r="AB2361">
        <f>IF(AND(F2361,ABS(W2361)&gt;1E-12,Y2361&gt;0,Z2361&gt;0),AA2361,1E+300)</f>
        <v/>
      </c>
    </row>
    <row r="2362">
      <c r="A2362">
        <f>$B$3+$B$5*38</f>
        <v/>
      </c>
      <c r="B2362">
        <f>$B$3+$B$5*32</f>
        <v/>
      </c>
      <c r="C2362">
        <f>SUMPRODUCT(Calc!$K$3:$K$22*(Calc!$G$3:$G$22&lt;=A2362))</f>
        <v/>
      </c>
      <c r="D2362">
        <f>SUMPRODUCT(Calc!$K$3:$K$22*(Calc!$G$3:$G$22&gt;A2362)*(Calc!$G$3:$G$22&lt;B2362))</f>
        <v/>
      </c>
      <c r="E2362">
        <f>SUMPRODUCT(Calc!$K$3:$K$22*(Calc!$G$3:$G$22&gt;=B2362))</f>
        <v/>
      </c>
      <c r="F2362">
        <f>AND(k_n&gt;=5,B2362&gt;A2362+1E-9,C2362&gt;=2,D2362&gt;=1,E2362&gt;=2)</f>
        <v/>
      </c>
      <c r="G2362">
        <f>SUMPRODUCT(Calc!$K$3:$K$22*(Calc!$G$3:$G$22&gt;A2362)*(Calc!$G$3:$G$22-A2362))</f>
        <v/>
      </c>
      <c r="H2362">
        <f>SUMPRODUCT(Calc!$K$3:$K$22*(Calc!$G$3:$G$22&gt;B2362)*(Calc!$G$3:$G$22-B2362))</f>
        <v/>
      </c>
      <c r="I2362">
        <f>SUMPRODUCT(Calc!$K$3:$K$22*(Calc!$G$3:$G$22&gt;A2362)*(Calc!$G$3:$G$22-A2362)^2)</f>
        <v/>
      </c>
      <c r="J2362">
        <f>SUMPRODUCT(Calc!$K$3:$K$22*(Calc!$G$3:$G$22&gt;B2362)*(Calc!$G$3:$G$22-B2362)^2)</f>
        <v/>
      </c>
      <c r="K2362">
        <f>SUMPRODUCT(Calc!$K$3:$K$22*(Calc!$G$3:$G$22&gt;A2362)*(Calc!$G$3:$G$22-A2362)*(Calc!$G$3:$G$22&gt;B2362)*(Calc!$G$3:$G$22-B2362))</f>
        <v/>
      </c>
      <c r="L2362">
        <f>SUMPRODUCT(Calc!$K$3:$K$22*(Calc!$G$3:$G$22&gt;A2362)*(Calc!$G$3:$G$22-A2362)*Calc!$G$3:$G$22)</f>
        <v/>
      </c>
      <c r="M2362">
        <f>SUMPRODUCT(Calc!$K$3:$K$22*(Calc!$G$3:$G$22&gt;B2362)*(Calc!$G$3:$G$22-B2362)*Calc!$G$3:$G$22)</f>
        <v/>
      </c>
      <c r="N2362">
        <f>SUMPRODUCT(Calc!$K$3:$K$22*(Calc!$G$3:$G$22&gt;A2362)*(Calc!$G$3:$G$22-A2362)*Calc!$I$3:$I$22)</f>
        <v/>
      </c>
      <c r="O2362">
        <f>SUMPRODUCT(Calc!$K$3:$K$22*(Calc!$G$3:$G$22&gt;B2362)*(Calc!$G$3:$G$22-B2362)*Calc!$I$3:$I$22)</f>
        <v/>
      </c>
      <c r="P2362">
        <f>I2362-G2362^2/k_n</f>
        <v/>
      </c>
      <c r="Q2362">
        <f>J2362-H2362^2/k_n</f>
        <v/>
      </c>
      <c r="R2362">
        <f>K2362-G2362*H2362/k_n</f>
        <v/>
      </c>
      <c r="S2362">
        <f>L2362-LTP3!$D$3*G2362/k_n</f>
        <v/>
      </c>
      <c r="T2362">
        <f>M2362-LTP3!$D$3*H2362/k_n</f>
        <v/>
      </c>
      <c r="U2362">
        <f>N2362-G2362*LTP3!$D$4/k_n</f>
        <v/>
      </c>
      <c r="V2362">
        <f>O2362-H2362*LTP3!$D$4/k_n</f>
        <v/>
      </c>
      <c r="W2362">
        <f>((LTP3!$D$5)*((P2362)*(Q2362)-(R2362)*(R2362))-(S2362)*((S2362)*(Q2362)-(R2362)*(T2362))+(T2362)*((S2362)*(R2362)-(P2362)*(T2362)))</f>
        <v/>
      </c>
      <c r="X2362">
        <f>IF(ABS(W2362)&gt;1E-12,((LTP3!$D$6)*((P2362)*(Q2362)-(R2362)*(R2362))-(S2362)*((U2362)*(Q2362)-(R2362)*(V2362))+(T2362)*((U2362)*(R2362)-(P2362)*(V2362)))/W2362,0)</f>
        <v/>
      </c>
      <c r="Y2362">
        <f>IF(ABS(W2362)&gt;1E-12,((LTP3!$D$5)*((U2362)*(Q2362)-(R2362)*(V2362))-(LTP3!$D$6)*((S2362)*(Q2362)-(R2362)*(T2362))+(T2362)*((S2362)*(V2362)-(U2362)*(T2362)))/W2362,0)</f>
        <v/>
      </c>
      <c r="Z2362">
        <f>IF(ABS(W2362)&gt;1E-12,((LTP3!$D$5)*((P2362)*(V2362)-(U2362)*(R2362))-(S2362)*((S2362)*(V2362)-(U2362)*(T2362))+(LTP3!$D$6)*((S2362)*(R2362)-(P2362)*(T2362)))/W2362,0)</f>
        <v/>
      </c>
      <c r="AA2362">
        <f>LTP3!$D$7-X2362*LTP3!$D$6-Y2362*U2362-Z2362*V2362</f>
        <v/>
      </c>
      <c r="AB2362">
        <f>IF(AND(F2362,ABS(W2362)&gt;1E-12,Y2362&gt;0,Z2362&gt;0),AA2362,1E+300)</f>
        <v/>
      </c>
    </row>
    <row r="2363">
      <c r="A2363">
        <f>$B$3+$B$5*38</f>
        <v/>
      </c>
      <c r="B2363">
        <f>$B$3+$B$5*33</f>
        <v/>
      </c>
      <c r="C2363">
        <f>SUMPRODUCT(Calc!$K$3:$K$22*(Calc!$G$3:$G$22&lt;=A2363))</f>
        <v/>
      </c>
      <c r="D2363">
        <f>SUMPRODUCT(Calc!$K$3:$K$22*(Calc!$G$3:$G$22&gt;A2363)*(Calc!$G$3:$G$22&lt;B2363))</f>
        <v/>
      </c>
      <c r="E2363">
        <f>SUMPRODUCT(Calc!$K$3:$K$22*(Calc!$G$3:$G$22&gt;=B2363))</f>
        <v/>
      </c>
      <c r="F2363">
        <f>AND(k_n&gt;=5,B2363&gt;A2363+1E-9,C2363&gt;=2,D2363&gt;=1,E2363&gt;=2)</f>
        <v/>
      </c>
      <c r="G2363">
        <f>SUMPRODUCT(Calc!$K$3:$K$22*(Calc!$G$3:$G$22&gt;A2363)*(Calc!$G$3:$G$22-A2363))</f>
        <v/>
      </c>
      <c r="H2363">
        <f>SUMPRODUCT(Calc!$K$3:$K$22*(Calc!$G$3:$G$22&gt;B2363)*(Calc!$G$3:$G$22-B2363))</f>
        <v/>
      </c>
      <c r="I2363">
        <f>SUMPRODUCT(Calc!$K$3:$K$22*(Calc!$G$3:$G$22&gt;A2363)*(Calc!$G$3:$G$22-A2363)^2)</f>
        <v/>
      </c>
      <c r="J2363">
        <f>SUMPRODUCT(Calc!$K$3:$K$22*(Calc!$G$3:$G$22&gt;B2363)*(Calc!$G$3:$G$22-B2363)^2)</f>
        <v/>
      </c>
      <c r="K2363">
        <f>SUMPRODUCT(Calc!$K$3:$K$22*(Calc!$G$3:$G$22&gt;A2363)*(Calc!$G$3:$G$22-A2363)*(Calc!$G$3:$G$22&gt;B2363)*(Calc!$G$3:$G$22-B2363))</f>
        <v/>
      </c>
      <c r="L2363">
        <f>SUMPRODUCT(Calc!$K$3:$K$22*(Calc!$G$3:$G$22&gt;A2363)*(Calc!$G$3:$G$22-A2363)*Calc!$G$3:$G$22)</f>
        <v/>
      </c>
      <c r="M2363">
        <f>SUMPRODUCT(Calc!$K$3:$K$22*(Calc!$G$3:$G$22&gt;B2363)*(Calc!$G$3:$G$22-B2363)*Calc!$G$3:$G$22)</f>
        <v/>
      </c>
      <c r="N2363">
        <f>SUMPRODUCT(Calc!$K$3:$K$22*(Calc!$G$3:$G$22&gt;A2363)*(Calc!$G$3:$G$22-A2363)*Calc!$I$3:$I$22)</f>
        <v/>
      </c>
      <c r="O2363">
        <f>SUMPRODUCT(Calc!$K$3:$K$22*(Calc!$G$3:$G$22&gt;B2363)*(Calc!$G$3:$G$22-B2363)*Calc!$I$3:$I$22)</f>
        <v/>
      </c>
      <c r="P2363">
        <f>I2363-G2363^2/k_n</f>
        <v/>
      </c>
      <c r="Q2363">
        <f>J2363-H2363^2/k_n</f>
        <v/>
      </c>
      <c r="R2363">
        <f>K2363-G2363*H2363/k_n</f>
        <v/>
      </c>
      <c r="S2363">
        <f>L2363-LTP3!$D$3*G2363/k_n</f>
        <v/>
      </c>
      <c r="T2363">
        <f>M2363-LTP3!$D$3*H2363/k_n</f>
        <v/>
      </c>
      <c r="U2363">
        <f>N2363-G2363*LTP3!$D$4/k_n</f>
        <v/>
      </c>
      <c r="V2363">
        <f>O2363-H2363*LTP3!$D$4/k_n</f>
        <v/>
      </c>
      <c r="W2363">
        <f>((LTP3!$D$5)*((P2363)*(Q2363)-(R2363)*(R2363))-(S2363)*((S2363)*(Q2363)-(R2363)*(T2363))+(T2363)*((S2363)*(R2363)-(P2363)*(T2363)))</f>
        <v/>
      </c>
      <c r="X2363">
        <f>IF(ABS(W2363)&gt;1E-12,((LTP3!$D$6)*((P2363)*(Q2363)-(R2363)*(R2363))-(S2363)*((U2363)*(Q2363)-(R2363)*(V2363))+(T2363)*((U2363)*(R2363)-(P2363)*(V2363)))/W2363,0)</f>
        <v/>
      </c>
      <c r="Y2363">
        <f>IF(ABS(W2363)&gt;1E-12,((LTP3!$D$5)*((U2363)*(Q2363)-(R2363)*(V2363))-(LTP3!$D$6)*((S2363)*(Q2363)-(R2363)*(T2363))+(T2363)*((S2363)*(V2363)-(U2363)*(T2363)))/W2363,0)</f>
        <v/>
      </c>
      <c r="Z2363">
        <f>IF(ABS(W2363)&gt;1E-12,((LTP3!$D$5)*((P2363)*(V2363)-(U2363)*(R2363))-(S2363)*((S2363)*(V2363)-(U2363)*(T2363))+(LTP3!$D$6)*((S2363)*(R2363)-(P2363)*(T2363)))/W2363,0)</f>
        <v/>
      </c>
      <c r="AA2363">
        <f>LTP3!$D$7-X2363*LTP3!$D$6-Y2363*U2363-Z2363*V2363</f>
        <v/>
      </c>
      <c r="AB2363">
        <f>IF(AND(F2363,ABS(W2363)&gt;1E-12,Y2363&gt;0,Z2363&gt;0),AA2363,1E+300)</f>
        <v/>
      </c>
    </row>
    <row r="2364">
      <c r="A2364">
        <f>$B$3+$B$5*38</f>
        <v/>
      </c>
      <c r="B2364">
        <f>$B$3+$B$5*34</f>
        <v/>
      </c>
      <c r="C2364">
        <f>SUMPRODUCT(Calc!$K$3:$K$22*(Calc!$G$3:$G$22&lt;=A2364))</f>
        <v/>
      </c>
      <c r="D2364">
        <f>SUMPRODUCT(Calc!$K$3:$K$22*(Calc!$G$3:$G$22&gt;A2364)*(Calc!$G$3:$G$22&lt;B2364))</f>
        <v/>
      </c>
      <c r="E2364">
        <f>SUMPRODUCT(Calc!$K$3:$K$22*(Calc!$G$3:$G$22&gt;=B2364))</f>
        <v/>
      </c>
      <c r="F2364">
        <f>AND(k_n&gt;=5,B2364&gt;A2364+1E-9,C2364&gt;=2,D2364&gt;=1,E2364&gt;=2)</f>
        <v/>
      </c>
      <c r="G2364">
        <f>SUMPRODUCT(Calc!$K$3:$K$22*(Calc!$G$3:$G$22&gt;A2364)*(Calc!$G$3:$G$22-A2364))</f>
        <v/>
      </c>
      <c r="H2364">
        <f>SUMPRODUCT(Calc!$K$3:$K$22*(Calc!$G$3:$G$22&gt;B2364)*(Calc!$G$3:$G$22-B2364))</f>
        <v/>
      </c>
      <c r="I2364">
        <f>SUMPRODUCT(Calc!$K$3:$K$22*(Calc!$G$3:$G$22&gt;A2364)*(Calc!$G$3:$G$22-A2364)^2)</f>
        <v/>
      </c>
      <c r="J2364">
        <f>SUMPRODUCT(Calc!$K$3:$K$22*(Calc!$G$3:$G$22&gt;B2364)*(Calc!$G$3:$G$22-B2364)^2)</f>
        <v/>
      </c>
      <c r="K2364">
        <f>SUMPRODUCT(Calc!$K$3:$K$22*(Calc!$G$3:$G$22&gt;A2364)*(Calc!$G$3:$G$22-A2364)*(Calc!$G$3:$G$22&gt;B2364)*(Calc!$G$3:$G$22-B2364))</f>
        <v/>
      </c>
      <c r="L2364">
        <f>SUMPRODUCT(Calc!$K$3:$K$22*(Calc!$G$3:$G$22&gt;A2364)*(Calc!$G$3:$G$22-A2364)*Calc!$G$3:$G$22)</f>
        <v/>
      </c>
      <c r="M2364">
        <f>SUMPRODUCT(Calc!$K$3:$K$22*(Calc!$G$3:$G$22&gt;B2364)*(Calc!$G$3:$G$22-B2364)*Calc!$G$3:$G$22)</f>
        <v/>
      </c>
      <c r="N2364">
        <f>SUMPRODUCT(Calc!$K$3:$K$22*(Calc!$G$3:$G$22&gt;A2364)*(Calc!$G$3:$G$22-A2364)*Calc!$I$3:$I$22)</f>
        <v/>
      </c>
      <c r="O2364">
        <f>SUMPRODUCT(Calc!$K$3:$K$22*(Calc!$G$3:$G$22&gt;B2364)*(Calc!$G$3:$G$22-B2364)*Calc!$I$3:$I$22)</f>
        <v/>
      </c>
      <c r="P2364">
        <f>I2364-G2364^2/k_n</f>
        <v/>
      </c>
      <c r="Q2364">
        <f>J2364-H2364^2/k_n</f>
        <v/>
      </c>
      <c r="R2364">
        <f>K2364-G2364*H2364/k_n</f>
        <v/>
      </c>
      <c r="S2364">
        <f>L2364-LTP3!$D$3*G2364/k_n</f>
        <v/>
      </c>
      <c r="T2364">
        <f>M2364-LTP3!$D$3*H2364/k_n</f>
        <v/>
      </c>
      <c r="U2364">
        <f>N2364-G2364*LTP3!$D$4/k_n</f>
        <v/>
      </c>
      <c r="V2364">
        <f>O2364-H2364*LTP3!$D$4/k_n</f>
        <v/>
      </c>
      <c r="W2364">
        <f>((LTP3!$D$5)*((P2364)*(Q2364)-(R2364)*(R2364))-(S2364)*((S2364)*(Q2364)-(R2364)*(T2364))+(T2364)*((S2364)*(R2364)-(P2364)*(T2364)))</f>
        <v/>
      </c>
      <c r="X2364">
        <f>IF(ABS(W2364)&gt;1E-12,((LTP3!$D$6)*((P2364)*(Q2364)-(R2364)*(R2364))-(S2364)*((U2364)*(Q2364)-(R2364)*(V2364))+(T2364)*((U2364)*(R2364)-(P2364)*(V2364)))/W2364,0)</f>
        <v/>
      </c>
      <c r="Y2364">
        <f>IF(ABS(W2364)&gt;1E-12,((LTP3!$D$5)*((U2364)*(Q2364)-(R2364)*(V2364))-(LTP3!$D$6)*((S2364)*(Q2364)-(R2364)*(T2364))+(T2364)*((S2364)*(V2364)-(U2364)*(T2364)))/W2364,0)</f>
        <v/>
      </c>
      <c r="Z2364">
        <f>IF(ABS(W2364)&gt;1E-12,((LTP3!$D$5)*((P2364)*(V2364)-(U2364)*(R2364))-(S2364)*((S2364)*(V2364)-(U2364)*(T2364))+(LTP3!$D$6)*((S2364)*(R2364)-(P2364)*(T2364)))/W2364,0)</f>
        <v/>
      </c>
      <c r="AA2364">
        <f>LTP3!$D$7-X2364*LTP3!$D$6-Y2364*U2364-Z2364*V2364</f>
        <v/>
      </c>
      <c r="AB2364">
        <f>IF(AND(F2364,ABS(W2364)&gt;1E-12,Y2364&gt;0,Z2364&gt;0),AA2364,1E+300)</f>
        <v/>
      </c>
    </row>
    <row r="2365">
      <c r="A2365">
        <f>$B$3+$B$5*38</f>
        <v/>
      </c>
      <c r="B2365">
        <f>$B$3+$B$5*35</f>
        <v/>
      </c>
      <c r="C2365">
        <f>SUMPRODUCT(Calc!$K$3:$K$22*(Calc!$G$3:$G$22&lt;=A2365))</f>
        <v/>
      </c>
      <c r="D2365">
        <f>SUMPRODUCT(Calc!$K$3:$K$22*(Calc!$G$3:$G$22&gt;A2365)*(Calc!$G$3:$G$22&lt;B2365))</f>
        <v/>
      </c>
      <c r="E2365">
        <f>SUMPRODUCT(Calc!$K$3:$K$22*(Calc!$G$3:$G$22&gt;=B2365))</f>
        <v/>
      </c>
      <c r="F2365">
        <f>AND(k_n&gt;=5,B2365&gt;A2365+1E-9,C2365&gt;=2,D2365&gt;=1,E2365&gt;=2)</f>
        <v/>
      </c>
      <c r="G2365">
        <f>SUMPRODUCT(Calc!$K$3:$K$22*(Calc!$G$3:$G$22&gt;A2365)*(Calc!$G$3:$G$22-A2365))</f>
        <v/>
      </c>
      <c r="H2365">
        <f>SUMPRODUCT(Calc!$K$3:$K$22*(Calc!$G$3:$G$22&gt;B2365)*(Calc!$G$3:$G$22-B2365))</f>
        <v/>
      </c>
      <c r="I2365">
        <f>SUMPRODUCT(Calc!$K$3:$K$22*(Calc!$G$3:$G$22&gt;A2365)*(Calc!$G$3:$G$22-A2365)^2)</f>
        <v/>
      </c>
      <c r="J2365">
        <f>SUMPRODUCT(Calc!$K$3:$K$22*(Calc!$G$3:$G$22&gt;B2365)*(Calc!$G$3:$G$22-B2365)^2)</f>
        <v/>
      </c>
      <c r="K2365">
        <f>SUMPRODUCT(Calc!$K$3:$K$22*(Calc!$G$3:$G$22&gt;A2365)*(Calc!$G$3:$G$22-A2365)*(Calc!$G$3:$G$22&gt;B2365)*(Calc!$G$3:$G$22-B2365))</f>
        <v/>
      </c>
      <c r="L2365">
        <f>SUMPRODUCT(Calc!$K$3:$K$22*(Calc!$G$3:$G$22&gt;A2365)*(Calc!$G$3:$G$22-A2365)*Calc!$G$3:$G$22)</f>
        <v/>
      </c>
      <c r="M2365">
        <f>SUMPRODUCT(Calc!$K$3:$K$22*(Calc!$G$3:$G$22&gt;B2365)*(Calc!$G$3:$G$22-B2365)*Calc!$G$3:$G$22)</f>
        <v/>
      </c>
      <c r="N2365">
        <f>SUMPRODUCT(Calc!$K$3:$K$22*(Calc!$G$3:$G$22&gt;A2365)*(Calc!$G$3:$G$22-A2365)*Calc!$I$3:$I$22)</f>
        <v/>
      </c>
      <c r="O2365">
        <f>SUMPRODUCT(Calc!$K$3:$K$22*(Calc!$G$3:$G$22&gt;B2365)*(Calc!$G$3:$G$22-B2365)*Calc!$I$3:$I$22)</f>
        <v/>
      </c>
      <c r="P2365">
        <f>I2365-G2365^2/k_n</f>
        <v/>
      </c>
      <c r="Q2365">
        <f>J2365-H2365^2/k_n</f>
        <v/>
      </c>
      <c r="R2365">
        <f>K2365-G2365*H2365/k_n</f>
        <v/>
      </c>
      <c r="S2365">
        <f>L2365-LTP3!$D$3*G2365/k_n</f>
        <v/>
      </c>
      <c r="T2365">
        <f>M2365-LTP3!$D$3*H2365/k_n</f>
        <v/>
      </c>
      <c r="U2365">
        <f>N2365-G2365*LTP3!$D$4/k_n</f>
        <v/>
      </c>
      <c r="V2365">
        <f>O2365-H2365*LTP3!$D$4/k_n</f>
        <v/>
      </c>
      <c r="W2365">
        <f>((LTP3!$D$5)*((P2365)*(Q2365)-(R2365)*(R2365))-(S2365)*((S2365)*(Q2365)-(R2365)*(T2365))+(T2365)*((S2365)*(R2365)-(P2365)*(T2365)))</f>
        <v/>
      </c>
      <c r="X2365">
        <f>IF(ABS(W2365)&gt;1E-12,((LTP3!$D$6)*((P2365)*(Q2365)-(R2365)*(R2365))-(S2365)*((U2365)*(Q2365)-(R2365)*(V2365))+(T2365)*((U2365)*(R2365)-(P2365)*(V2365)))/W2365,0)</f>
        <v/>
      </c>
      <c r="Y2365">
        <f>IF(ABS(W2365)&gt;1E-12,((LTP3!$D$5)*((U2365)*(Q2365)-(R2365)*(V2365))-(LTP3!$D$6)*((S2365)*(Q2365)-(R2365)*(T2365))+(T2365)*((S2365)*(V2365)-(U2365)*(T2365)))/W2365,0)</f>
        <v/>
      </c>
      <c r="Z2365">
        <f>IF(ABS(W2365)&gt;1E-12,((LTP3!$D$5)*((P2365)*(V2365)-(U2365)*(R2365))-(S2365)*((S2365)*(V2365)-(U2365)*(T2365))+(LTP3!$D$6)*((S2365)*(R2365)-(P2365)*(T2365)))/W2365,0)</f>
        <v/>
      </c>
      <c r="AA2365">
        <f>LTP3!$D$7-X2365*LTP3!$D$6-Y2365*U2365-Z2365*V2365</f>
        <v/>
      </c>
      <c r="AB2365">
        <f>IF(AND(F2365,ABS(W2365)&gt;1E-12,Y2365&gt;0,Z2365&gt;0),AA2365,1E+300)</f>
        <v/>
      </c>
    </row>
    <row r="2366">
      <c r="A2366">
        <f>$B$3+$B$5*38</f>
        <v/>
      </c>
      <c r="B2366">
        <f>$B$3+$B$5*36</f>
        <v/>
      </c>
      <c r="C2366">
        <f>SUMPRODUCT(Calc!$K$3:$K$22*(Calc!$G$3:$G$22&lt;=A2366))</f>
        <v/>
      </c>
      <c r="D2366">
        <f>SUMPRODUCT(Calc!$K$3:$K$22*(Calc!$G$3:$G$22&gt;A2366)*(Calc!$G$3:$G$22&lt;B2366))</f>
        <v/>
      </c>
      <c r="E2366">
        <f>SUMPRODUCT(Calc!$K$3:$K$22*(Calc!$G$3:$G$22&gt;=B2366))</f>
        <v/>
      </c>
      <c r="F2366">
        <f>AND(k_n&gt;=5,B2366&gt;A2366+1E-9,C2366&gt;=2,D2366&gt;=1,E2366&gt;=2)</f>
        <v/>
      </c>
      <c r="G2366">
        <f>SUMPRODUCT(Calc!$K$3:$K$22*(Calc!$G$3:$G$22&gt;A2366)*(Calc!$G$3:$G$22-A2366))</f>
        <v/>
      </c>
      <c r="H2366">
        <f>SUMPRODUCT(Calc!$K$3:$K$22*(Calc!$G$3:$G$22&gt;B2366)*(Calc!$G$3:$G$22-B2366))</f>
        <v/>
      </c>
      <c r="I2366">
        <f>SUMPRODUCT(Calc!$K$3:$K$22*(Calc!$G$3:$G$22&gt;A2366)*(Calc!$G$3:$G$22-A2366)^2)</f>
        <v/>
      </c>
      <c r="J2366">
        <f>SUMPRODUCT(Calc!$K$3:$K$22*(Calc!$G$3:$G$22&gt;B2366)*(Calc!$G$3:$G$22-B2366)^2)</f>
        <v/>
      </c>
      <c r="K2366">
        <f>SUMPRODUCT(Calc!$K$3:$K$22*(Calc!$G$3:$G$22&gt;A2366)*(Calc!$G$3:$G$22-A2366)*(Calc!$G$3:$G$22&gt;B2366)*(Calc!$G$3:$G$22-B2366))</f>
        <v/>
      </c>
      <c r="L2366">
        <f>SUMPRODUCT(Calc!$K$3:$K$22*(Calc!$G$3:$G$22&gt;A2366)*(Calc!$G$3:$G$22-A2366)*Calc!$G$3:$G$22)</f>
        <v/>
      </c>
      <c r="M2366">
        <f>SUMPRODUCT(Calc!$K$3:$K$22*(Calc!$G$3:$G$22&gt;B2366)*(Calc!$G$3:$G$22-B2366)*Calc!$G$3:$G$22)</f>
        <v/>
      </c>
      <c r="N2366">
        <f>SUMPRODUCT(Calc!$K$3:$K$22*(Calc!$G$3:$G$22&gt;A2366)*(Calc!$G$3:$G$22-A2366)*Calc!$I$3:$I$22)</f>
        <v/>
      </c>
      <c r="O2366">
        <f>SUMPRODUCT(Calc!$K$3:$K$22*(Calc!$G$3:$G$22&gt;B2366)*(Calc!$G$3:$G$22-B2366)*Calc!$I$3:$I$22)</f>
        <v/>
      </c>
      <c r="P2366">
        <f>I2366-G2366^2/k_n</f>
        <v/>
      </c>
      <c r="Q2366">
        <f>J2366-H2366^2/k_n</f>
        <v/>
      </c>
      <c r="R2366">
        <f>K2366-G2366*H2366/k_n</f>
        <v/>
      </c>
      <c r="S2366">
        <f>L2366-LTP3!$D$3*G2366/k_n</f>
        <v/>
      </c>
      <c r="T2366">
        <f>M2366-LTP3!$D$3*H2366/k_n</f>
        <v/>
      </c>
      <c r="U2366">
        <f>N2366-G2366*LTP3!$D$4/k_n</f>
        <v/>
      </c>
      <c r="V2366">
        <f>O2366-H2366*LTP3!$D$4/k_n</f>
        <v/>
      </c>
      <c r="W2366">
        <f>((LTP3!$D$5)*((P2366)*(Q2366)-(R2366)*(R2366))-(S2366)*((S2366)*(Q2366)-(R2366)*(T2366))+(T2366)*((S2366)*(R2366)-(P2366)*(T2366)))</f>
        <v/>
      </c>
      <c r="X2366">
        <f>IF(ABS(W2366)&gt;1E-12,((LTP3!$D$6)*((P2366)*(Q2366)-(R2366)*(R2366))-(S2366)*((U2366)*(Q2366)-(R2366)*(V2366))+(T2366)*((U2366)*(R2366)-(P2366)*(V2366)))/W2366,0)</f>
        <v/>
      </c>
      <c r="Y2366">
        <f>IF(ABS(W2366)&gt;1E-12,((LTP3!$D$5)*((U2366)*(Q2366)-(R2366)*(V2366))-(LTP3!$D$6)*((S2366)*(Q2366)-(R2366)*(T2366))+(T2366)*((S2366)*(V2366)-(U2366)*(T2366)))/W2366,0)</f>
        <v/>
      </c>
      <c r="Z2366">
        <f>IF(ABS(W2366)&gt;1E-12,((LTP3!$D$5)*((P2366)*(V2366)-(U2366)*(R2366))-(S2366)*((S2366)*(V2366)-(U2366)*(T2366))+(LTP3!$D$6)*((S2366)*(R2366)-(P2366)*(T2366)))/W2366,0)</f>
        <v/>
      </c>
      <c r="AA2366">
        <f>LTP3!$D$7-X2366*LTP3!$D$6-Y2366*U2366-Z2366*V2366</f>
        <v/>
      </c>
      <c r="AB2366">
        <f>IF(AND(F2366,ABS(W2366)&gt;1E-12,Y2366&gt;0,Z2366&gt;0),AA2366,1E+300)</f>
        <v/>
      </c>
    </row>
    <row r="2367">
      <c r="A2367">
        <f>$B$3+$B$5*38</f>
        <v/>
      </c>
      <c r="B2367">
        <f>$B$3+$B$5*37</f>
        <v/>
      </c>
      <c r="C2367">
        <f>SUMPRODUCT(Calc!$K$3:$K$22*(Calc!$G$3:$G$22&lt;=A2367))</f>
        <v/>
      </c>
      <c r="D2367">
        <f>SUMPRODUCT(Calc!$K$3:$K$22*(Calc!$G$3:$G$22&gt;A2367)*(Calc!$G$3:$G$22&lt;B2367))</f>
        <v/>
      </c>
      <c r="E2367">
        <f>SUMPRODUCT(Calc!$K$3:$K$22*(Calc!$G$3:$G$22&gt;=B2367))</f>
        <v/>
      </c>
      <c r="F2367">
        <f>AND(k_n&gt;=5,B2367&gt;A2367+1E-9,C2367&gt;=2,D2367&gt;=1,E2367&gt;=2)</f>
        <v/>
      </c>
      <c r="G2367">
        <f>SUMPRODUCT(Calc!$K$3:$K$22*(Calc!$G$3:$G$22&gt;A2367)*(Calc!$G$3:$G$22-A2367))</f>
        <v/>
      </c>
      <c r="H2367">
        <f>SUMPRODUCT(Calc!$K$3:$K$22*(Calc!$G$3:$G$22&gt;B2367)*(Calc!$G$3:$G$22-B2367))</f>
        <v/>
      </c>
      <c r="I2367">
        <f>SUMPRODUCT(Calc!$K$3:$K$22*(Calc!$G$3:$G$22&gt;A2367)*(Calc!$G$3:$G$22-A2367)^2)</f>
        <v/>
      </c>
      <c r="J2367">
        <f>SUMPRODUCT(Calc!$K$3:$K$22*(Calc!$G$3:$G$22&gt;B2367)*(Calc!$G$3:$G$22-B2367)^2)</f>
        <v/>
      </c>
      <c r="K2367">
        <f>SUMPRODUCT(Calc!$K$3:$K$22*(Calc!$G$3:$G$22&gt;A2367)*(Calc!$G$3:$G$22-A2367)*(Calc!$G$3:$G$22&gt;B2367)*(Calc!$G$3:$G$22-B2367))</f>
        <v/>
      </c>
      <c r="L2367">
        <f>SUMPRODUCT(Calc!$K$3:$K$22*(Calc!$G$3:$G$22&gt;A2367)*(Calc!$G$3:$G$22-A2367)*Calc!$G$3:$G$22)</f>
        <v/>
      </c>
      <c r="M2367">
        <f>SUMPRODUCT(Calc!$K$3:$K$22*(Calc!$G$3:$G$22&gt;B2367)*(Calc!$G$3:$G$22-B2367)*Calc!$G$3:$G$22)</f>
        <v/>
      </c>
      <c r="N2367">
        <f>SUMPRODUCT(Calc!$K$3:$K$22*(Calc!$G$3:$G$22&gt;A2367)*(Calc!$G$3:$G$22-A2367)*Calc!$I$3:$I$22)</f>
        <v/>
      </c>
      <c r="O2367">
        <f>SUMPRODUCT(Calc!$K$3:$K$22*(Calc!$G$3:$G$22&gt;B2367)*(Calc!$G$3:$G$22-B2367)*Calc!$I$3:$I$22)</f>
        <v/>
      </c>
      <c r="P2367">
        <f>I2367-G2367^2/k_n</f>
        <v/>
      </c>
      <c r="Q2367">
        <f>J2367-H2367^2/k_n</f>
        <v/>
      </c>
      <c r="R2367">
        <f>K2367-G2367*H2367/k_n</f>
        <v/>
      </c>
      <c r="S2367">
        <f>L2367-LTP3!$D$3*G2367/k_n</f>
        <v/>
      </c>
      <c r="T2367">
        <f>M2367-LTP3!$D$3*H2367/k_n</f>
        <v/>
      </c>
      <c r="U2367">
        <f>N2367-G2367*LTP3!$D$4/k_n</f>
        <v/>
      </c>
      <c r="V2367">
        <f>O2367-H2367*LTP3!$D$4/k_n</f>
        <v/>
      </c>
      <c r="W2367">
        <f>((LTP3!$D$5)*((P2367)*(Q2367)-(R2367)*(R2367))-(S2367)*((S2367)*(Q2367)-(R2367)*(T2367))+(T2367)*((S2367)*(R2367)-(P2367)*(T2367)))</f>
        <v/>
      </c>
      <c r="X2367">
        <f>IF(ABS(W2367)&gt;1E-12,((LTP3!$D$6)*((P2367)*(Q2367)-(R2367)*(R2367))-(S2367)*((U2367)*(Q2367)-(R2367)*(V2367))+(T2367)*((U2367)*(R2367)-(P2367)*(V2367)))/W2367,0)</f>
        <v/>
      </c>
      <c r="Y2367">
        <f>IF(ABS(W2367)&gt;1E-12,((LTP3!$D$5)*((U2367)*(Q2367)-(R2367)*(V2367))-(LTP3!$D$6)*((S2367)*(Q2367)-(R2367)*(T2367))+(T2367)*((S2367)*(V2367)-(U2367)*(T2367)))/W2367,0)</f>
        <v/>
      </c>
      <c r="Z2367">
        <f>IF(ABS(W2367)&gt;1E-12,((LTP3!$D$5)*((P2367)*(V2367)-(U2367)*(R2367))-(S2367)*((S2367)*(V2367)-(U2367)*(T2367))+(LTP3!$D$6)*((S2367)*(R2367)-(P2367)*(T2367)))/W2367,0)</f>
        <v/>
      </c>
      <c r="AA2367">
        <f>LTP3!$D$7-X2367*LTP3!$D$6-Y2367*U2367-Z2367*V2367</f>
        <v/>
      </c>
      <c r="AB2367">
        <f>IF(AND(F2367,ABS(W2367)&gt;1E-12,Y2367&gt;0,Z2367&gt;0),AA2367,1E+300)</f>
        <v/>
      </c>
    </row>
    <row r="2368">
      <c r="A2368">
        <f>$B$3+$B$5*38</f>
        <v/>
      </c>
      <c r="B2368">
        <f>$B$3+$B$5*38</f>
        <v/>
      </c>
      <c r="C2368">
        <f>SUMPRODUCT(Calc!$K$3:$K$22*(Calc!$G$3:$G$22&lt;=A2368))</f>
        <v/>
      </c>
      <c r="D2368">
        <f>SUMPRODUCT(Calc!$K$3:$K$22*(Calc!$G$3:$G$22&gt;A2368)*(Calc!$G$3:$G$22&lt;B2368))</f>
        <v/>
      </c>
      <c r="E2368">
        <f>SUMPRODUCT(Calc!$K$3:$K$22*(Calc!$G$3:$G$22&gt;=B2368))</f>
        <v/>
      </c>
      <c r="F2368">
        <f>AND(k_n&gt;=5,B2368&gt;A2368+1E-9,C2368&gt;=2,D2368&gt;=1,E2368&gt;=2)</f>
        <v/>
      </c>
      <c r="G2368">
        <f>SUMPRODUCT(Calc!$K$3:$K$22*(Calc!$G$3:$G$22&gt;A2368)*(Calc!$G$3:$G$22-A2368))</f>
        <v/>
      </c>
      <c r="H2368">
        <f>SUMPRODUCT(Calc!$K$3:$K$22*(Calc!$G$3:$G$22&gt;B2368)*(Calc!$G$3:$G$22-B2368))</f>
        <v/>
      </c>
      <c r="I2368">
        <f>SUMPRODUCT(Calc!$K$3:$K$22*(Calc!$G$3:$G$22&gt;A2368)*(Calc!$G$3:$G$22-A2368)^2)</f>
        <v/>
      </c>
      <c r="J2368">
        <f>SUMPRODUCT(Calc!$K$3:$K$22*(Calc!$G$3:$G$22&gt;B2368)*(Calc!$G$3:$G$22-B2368)^2)</f>
        <v/>
      </c>
      <c r="K2368">
        <f>SUMPRODUCT(Calc!$K$3:$K$22*(Calc!$G$3:$G$22&gt;A2368)*(Calc!$G$3:$G$22-A2368)*(Calc!$G$3:$G$22&gt;B2368)*(Calc!$G$3:$G$22-B2368))</f>
        <v/>
      </c>
      <c r="L2368">
        <f>SUMPRODUCT(Calc!$K$3:$K$22*(Calc!$G$3:$G$22&gt;A2368)*(Calc!$G$3:$G$22-A2368)*Calc!$G$3:$G$22)</f>
        <v/>
      </c>
      <c r="M2368">
        <f>SUMPRODUCT(Calc!$K$3:$K$22*(Calc!$G$3:$G$22&gt;B2368)*(Calc!$G$3:$G$22-B2368)*Calc!$G$3:$G$22)</f>
        <v/>
      </c>
      <c r="N2368">
        <f>SUMPRODUCT(Calc!$K$3:$K$22*(Calc!$G$3:$G$22&gt;A2368)*(Calc!$G$3:$G$22-A2368)*Calc!$I$3:$I$22)</f>
        <v/>
      </c>
      <c r="O2368">
        <f>SUMPRODUCT(Calc!$K$3:$K$22*(Calc!$G$3:$G$22&gt;B2368)*(Calc!$G$3:$G$22-B2368)*Calc!$I$3:$I$22)</f>
        <v/>
      </c>
      <c r="P2368">
        <f>I2368-G2368^2/k_n</f>
        <v/>
      </c>
      <c r="Q2368">
        <f>J2368-H2368^2/k_n</f>
        <v/>
      </c>
      <c r="R2368">
        <f>K2368-G2368*H2368/k_n</f>
        <v/>
      </c>
      <c r="S2368">
        <f>L2368-LTP3!$D$3*G2368/k_n</f>
        <v/>
      </c>
      <c r="T2368">
        <f>M2368-LTP3!$D$3*H2368/k_n</f>
        <v/>
      </c>
      <c r="U2368">
        <f>N2368-G2368*LTP3!$D$4/k_n</f>
        <v/>
      </c>
      <c r="V2368">
        <f>O2368-H2368*LTP3!$D$4/k_n</f>
        <v/>
      </c>
      <c r="W2368">
        <f>((LTP3!$D$5)*((P2368)*(Q2368)-(R2368)*(R2368))-(S2368)*((S2368)*(Q2368)-(R2368)*(T2368))+(T2368)*((S2368)*(R2368)-(P2368)*(T2368)))</f>
        <v/>
      </c>
      <c r="X2368">
        <f>IF(ABS(W2368)&gt;1E-12,((LTP3!$D$6)*((P2368)*(Q2368)-(R2368)*(R2368))-(S2368)*((U2368)*(Q2368)-(R2368)*(V2368))+(T2368)*((U2368)*(R2368)-(P2368)*(V2368)))/W2368,0)</f>
        <v/>
      </c>
      <c r="Y2368">
        <f>IF(ABS(W2368)&gt;1E-12,((LTP3!$D$5)*((U2368)*(Q2368)-(R2368)*(V2368))-(LTP3!$D$6)*((S2368)*(Q2368)-(R2368)*(T2368))+(T2368)*((S2368)*(V2368)-(U2368)*(T2368)))/W2368,0)</f>
        <v/>
      </c>
      <c r="Z2368">
        <f>IF(ABS(W2368)&gt;1E-12,((LTP3!$D$5)*((P2368)*(V2368)-(U2368)*(R2368))-(S2368)*((S2368)*(V2368)-(U2368)*(T2368))+(LTP3!$D$6)*((S2368)*(R2368)-(P2368)*(T2368)))/W2368,0)</f>
        <v/>
      </c>
      <c r="AA2368">
        <f>LTP3!$D$7-X2368*LTP3!$D$6-Y2368*U2368-Z2368*V2368</f>
        <v/>
      </c>
      <c r="AB2368">
        <f>IF(AND(F2368,ABS(W2368)&gt;1E-12,Y2368&gt;0,Z2368&gt;0),AA2368,1E+300)</f>
        <v/>
      </c>
    </row>
    <row r="2369">
      <c r="A2369">
        <f>$B$3+$B$5*38</f>
        <v/>
      </c>
      <c r="B2369">
        <f>$B$3+$B$5*39</f>
        <v/>
      </c>
      <c r="C2369">
        <f>SUMPRODUCT(Calc!$K$3:$K$22*(Calc!$G$3:$G$22&lt;=A2369))</f>
        <v/>
      </c>
      <c r="D2369">
        <f>SUMPRODUCT(Calc!$K$3:$K$22*(Calc!$G$3:$G$22&gt;A2369)*(Calc!$G$3:$G$22&lt;B2369))</f>
        <v/>
      </c>
      <c r="E2369">
        <f>SUMPRODUCT(Calc!$K$3:$K$22*(Calc!$G$3:$G$22&gt;=B2369))</f>
        <v/>
      </c>
      <c r="F2369">
        <f>AND(k_n&gt;=5,B2369&gt;A2369+1E-9,C2369&gt;=2,D2369&gt;=1,E2369&gt;=2)</f>
        <v/>
      </c>
      <c r="G2369">
        <f>SUMPRODUCT(Calc!$K$3:$K$22*(Calc!$G$3:$G$22&gt;A2369)*(Calc!$G$3:$G$22-A2369))</f>
        <v/>
      </c>
      <c r="H2369">
        <f>SUMPRODUCT(Calc!$K$3:$K$22*(Calc!$G$3:$G$22&gt;B2369)*(Calc!$G$3:$G$22-B2369))</f>
        <v/>
      </c>
      <c r="I2369">
        <f>SUMPRODUCT(Calc!$K$3:$K$22*(Calc!$G$3:$G$22&gt;A2369)*(Calc!$G$3:$G$22-A2369)^2)</f>
        <v/>
      </c>
      <c r="J2369">
        <f>SUMPRODUCT(Calc!$K$3:$K$22*(Calc!$G$3:$G$22&gt;B2369)*(Calc!$G$3:$G$22-B2369)^2)</f>
        <v/>
      </c>
      <c r="K2369">
        <f>SUMPRODUCT(Calc!$K$3:$K$22*(Calc!$G$3:$G$22&gt;A2369)*(Calc!$G$3:$G$22-A2369)*(Calc!$G$3:$G$22&gt;B2369)*(Calc!$G$3:$G$22-B2369))</f>
        <v/>
      </c>
      <c r="L2369">
        <f>SUMPRODUCT(Calc!$K$3:$K$22*(Calc!$G$3:$G$22&gt;A2369)*(Calc!$G$3:$G$22-A2369)*Calc!$G$3:$G$22)</f>
        <v/>
      </c>
      <c r="M2369">
        <f>SUMPRODUCT(Calc!$K$3:$K$22*(Calc!$G$3:$G$22&gt;B2369)*(Calc!$G$3:$G$22-B2369)*Calc!$G$3:$G$22)</f>
        <v/>
      </c>
      <c r="N2369">
        <f>SUMPRODUCT(Calc!$K$3:$K$22*(Calc!$G$3:$G$22&gt;A2369)*(Calc!$G$3:$G$22-A2369)*Calc!$I$3:$I$22)</f>
        <v/>
      </c>
      <c r="O2369">
        <f>SUMPRODUCT(Calc!$K$3:$K$22*(Calc!$G$3:$G$22&gt;B2369)*(Calc!$G$3:$G$22-B2369)*Calc!$I$3:$I$22)</f>
        <v/>
      </c>
      <c r="P2369">
        <f>I2369-G2369^2/k_n</f>
        <v/>
      </c>
      <c r="Q2369">
        <f>J2369-H2369^2/k_n</f>
        <v/>
      </c>
      <c r="R2369">
        <f>K2369-G2369*H2369/k_n</f>
        <v/>
      </c>
      <c r="S2369">
        <f>L2369-LTP3!$D$3*G2369/k_n</f>
        <v/>
      </c>
      <c r="T2369">
        <f>M2369-LTP3!$D$3*H2369/k_n</f>
        <v/>
      </c>
      <c r="U2369">
        <f>N2369-G2369*LTP3!$D$4/k_n</f>
        <v/>
      </c>
      <c r="V2369">
        <f>O2369-H2369*LTP3!$D$4/k_n</f>
        <v/>
      </c>
      <c r="W2369">
        <f>((LTP3!$D$5)*((P2369)*(Q2369)-(R2369)*(R2369))-(S2369)*((S2369)*(Q2369)-(R2369)*(T2369))+(T2369)*((S2369)*(R2369)-(P2369)*(T2369)))</f>
        <v/>
      </c>
      <c r="X2369">
        <f>IF(ABS(W2369)&gt;1E-12,((LTP3!$D$6)*((P2369)*(Q2369)-(R2369)*(R2369))-(S2369)*((U2369)*(Q2369)-(R2369)*(V2369))+(T2369)*((U2369)*(R2369)-(P2369)*(V2369)))/W2369,0)</f>
        <v/>
      </c>
      <c r="Y2369">
        <f>IF(ABS(W2369)&gt;1E-12,((LTP3!$D$5)*((U2369)*(Q2369)-(R2369)*(V2369))-(LTP3!$D$6)*((S2369)*(Q2369)-(R2369)*(T2369))+(T2369)*((S2369)*(V2369)-(U2369)*(T2369)))/W2369,0)</f>
        <v/>
      </c>
      <c r="Z2369">
        <f>IF(ABS(W2369)&gt;1E-12,((LTP3!$D$5)*((P2369)*(V2369)-(U2369)*(R2369))-(S2369)*((S2369)*(V2369)-(U2369)*(T2369))+(LTP3!$D$6)*((S2369)*(R2369)-(P2369)*(T2369)))/W2369,0)</f>
        <v/>
      </c>
      <c r="AA2369">
        <f>LTP3!$D$7-X2369*LTP3!$D$6-Y2369*U2369-Z2369*V2369</f>
        <v/>
      </c>
      <c r="AB2369">
        <f>IF(AND(F2369,ABS(W2369)&gt;1E-12,Y2369&gt;0,Z2369&gt;0),AA2369,1E+300)</f>
        <v/>
      </c>
    </row>
    <row r="2370">
      <c r="A2370">
        <f>$B$3+$B$5*38</f>
        <v/>
      </c>
      <c r="B2370">
        <f>$B$3+$B$5*40</f>
        <v/>
      </c>
      <c r="C2370">
        <f>SUMPRODUCT(Calc!$K$3:$K$22*(Calc!$G$3:$G$22&lt;=A2370))</f>
        <v/>
      </c>
      <c r="D2370">
        <f>SUMPRODUCT(Calc!$K$3:$K$22*(Calc!$G$3:$G$22&gt;A2370)*(Calc!$G$3:$G$22&lt;B2370))</f>
        <v/>
      </c>
      <c r="E2370">
        <f>SUMPRODUCT(Calc!$K$3:$K$22*(Calc!$G$3:$G$22&gt;=B2370))</f>
        <v/>
      </c>
      <c r="F2370">
        <f>AND(k_n&gt;=5,B2370&gt;A2370+1E-9,C2370&gt;=2,D2370&gt;=1,E2370&gt;=2)</f>
        <v/>
      </c>
      <c r="G2370">
        <f>SUMPRODUCT(Calc!$K$3:$K$22*(Calc!$G$3:$G$22&gt;A2370)*(Calc!$G$3:$G$22-A2370))</f>
        <v/>
      </c>
      <c r="H2370">
        <f>SUMPRODUCT(Calc!$K$3:$K$22*(Calc!$G$3:$G$22&gt;B2370)*(Calc!$G$3:$G$22-B2370))</f>
        <v/>
      </c>
      <c r="I2370">
        <f>SUMPRODUCT(Calc!$K$3:$K$22*(Calc!$G$3:$G$22&gt;A2370)*(Calc!$G$3:$G$22-A2370)^2)</f>
        <v/>
      </c>
      <c r="J2370">
        <f>SUMPRODUCT(Calc!$K$3:$K$22*(Calc!$G$3:$G$22&gt;B2370)*(Calc!$G$3:$G$22-B2370)^2)</f>
        <v/>
      </c>
      <c r="K2370">
        <f>SUMPRODUCT(Calc!$K$3:$K$22*(Calc!$G$3:$G$22&gt;A2370)*(Calc!$G$3:$G$22-A2370)*(Calc!$G$3:$G$22&gt;B2370)*(Calc!$G$3:$G$22-B2370))</f>
        <v/>
      </c>
      <c r="L2370">
        <f>SUMPRODUCT(Calc!$K$3:$K$22*(Calc!$G$3:$G$22&gt;A2370)*(Calc!$G$3:$G$22-A2370)*Calc!$G$3:$G$22)</f>
        <v/>
      </c>
      <c r="M2370">
        <f>SUMPRODUCT(Calc!$K$3:$K$22*(Calc!$G$3:$G$22&gt;B2370)*(Calc!$G$3:$G$22-B2370)*Calc!$G$3:$G$22)</f>
        <v/>
      </c>
      <c r="N2370">
        <f>SUMPRODUCT(Calc!$K$3:$K$22*(Calc!$G$3:$G$22&gt;A2370)*(Calc!$G$3:$G$22-A2370)*Calc!$I$3:$I$22)</f>
        <v/>
      </c>
      <c r="O2370">
        <f>SUMPRODUCT(Calc!$K$3:$K$22*(Calc!$G$3:$G$22&gt;B2370)*(Calc!$G$3:$G$22-B2370)*Calc!$I$3:$I$22)</f>
        <v/>
      </c>
      <c r="P2370">
        <f>I2370-G2370^2/k_n</f>
        <v/>
      </c>
      <c r="Q2370">
        <f>J2370-H2370^2/k_n</f>
        <v/>
      </c>
      <c r="R2370">
        <f>K2370-G2370*H2370/k_n</f>
        <v/>
      </c>
      <c r="S2370">
        <f>L2370-LTP3!$D$3*G2370/k_n</f>
        <v/>
      </c>
      <c r="T2370">
        <f>M2370-LTP3!$D$3*H2370/k_n</f>
        <v/>
      </c>
      <c r="U2370">
        <f>N2370-G2370*LTP3!$D$4/k_n</f>
        <v/>
      </c>
      <c r="V2370">
        <f>O2370-H2370*LTP3!$D$4/k_n</f>
        <v/>
      </c>
      <c r="W2370">
        <f>((LTP3!$D$5)*((P2370)*(Q2370)-(R2370)*(R2370))-(S2370)*((S2370)*(Q2370)-(R2370)*(T2370))+(T2370)*((S2370)*(R2370)-(P2370)*(T2370)))</f>
        <v/>
      </c>
      <c r="X2370">
        <f>IF(ABS(W2370)&gt;1E-12,((LTP3!$D$6)*((P2370)*(Q2370)-(R2370)*(R2370))-(S2370)*((U2370)*(Q2370)-(R2370)*(V2370))+(T2370)*((U2370)*(R2370)-(P2370)*(V2370)))/W2370,0)</f>
        <v/>
      </c>
      <c r="Y2370">
        <f>IF(ABS(W2370)&gt;1E-12,((LTP3!$D$5)*((U2370)*(Q2370)-(R2370)*(V2370))-(LTP3!$D$6)*((S2370)*(Q2370)-(R2370)*(T2370))+(T2370)*((S2370)*(V2370)-(U2370)*(T2370)))/W2370,0)</f>
        <v/>
      </c>
      <c r="Z2370">
        <f>IF(ABS(W2370)&gt;1E-12,((LTP3!$D$5)*((P2370)*(V2370)-(U2370)*(R2370))-(S2370)*((S2370)*(V2370)-(U2370)*(T2370))+(LTP3!$D$6)*((S2370)*(R2370)-(P2370)*(T2370)))/W2370,0)</f>
        <v/>
      </c>
      <c r="AA2370">
        <f>LTP3!$D$7-X2370*LTP3!$D$6-Y2370*U2370-Z2370*V2370</f>
        <v/>
      </c>
      <c r="AB2370">
        <f>IF(AND(F2370,ABS(W2370)&gt;1E-12,Y2370&gt;0,Z2370&gt;0),AA2370,1E+300)</f>
        <v/>
      </c>
    </row>
    <row r="2371">
      <c r="A2371">
        <f>$B$3+$B$5*38</f>
        <v/>
      </c>
      <c r="B2371">
        <f>$B$3+$B$5*41</f>
        <v/>
      </c>
      <c r="C2371">
        <f>SUMPRODUCT(Calc!$K$3:$K$22*(Calc!$G$3:$G$22&lt;=A2371))</f>
        <v/>
      </c>
      <c r="D2371">
        <f>SUMPRODUCT(Calc!$K$3:$K$22*(Calc!$G$3:$G$22&gt;A2371)*(Calc!$G$3:$G$22&lt;B2371))</f>
        <v/>
      </c>
      <c r="E2371">
        <f>SUMPRODUCT(Calc!$K$3:$K$22*(Calc!$G$3:$G$22&gt;=B2371))</f>
        <v/>
      </c>
      <c r="F2371">
        <f>AND(k_n&gt;=5,B2371&gt;A2371+1E-9,C2371&gt;=2,D2371&gt;=1,E2371&gt;=2)</f>
        <v/>
      </c>
      <c r="G2371">
        <f>SUMPRODUCT(Calc!$K$3:$K$22*(Calc!$G$3:$G$22&gt;A2371)*(Calc!$G$3:$G$22-A2371))</f>
        <v/>
      </c>
      <c r="H2371">
        <f>SUMPRODUCT(Calc!$K$3:$K$22*(Calc!$G$3:$G$22&gt;B2371)*(Calc!$G$3:$G$22-B2371))</f>
        <v/>
      </c>
      <c r="I2371">
        <f>SUMPRODUCT(Calc!$K$3:$K$22*(Calc!$G$3:$G$22&gt;A2371)*(Calc!$G$3:$G$22-A2371)^2)</f>
        <v/>
      </c>
      <c r="J2371">
        <f>SUMPRODUCT(Calc!$K$3:$K$22*(Calc!$G$3:$G$22&gt;B2371)*(Calc!$G$3:$G$22-B2371)^2)</f>
        <v/>
      </c>
      <c r="K2371">
        <f>SUMPRODUCT(Calc!$K$3:$K$22*(Calc!$G$3:$G$22&gt;A2371)*(Calc!$G$3:$G$22-A2371)*(Calc!$G$3:$G$22&gt;B2371)*(Calc!$G$3:$G$22-B2371))</f>
        <v/>
      </c>
      <c r="L2371">
        <f>SUMPRODUCT(Calc!$K$3:$K$22*(Calc!$G$3:$G$22&gt;A2371)*(Calc!$G$3:$G$22-A2371)*Calc!$G$3:$G$22)</f>
        <v/>
      </c>
      <c r="M2371">
        <f>SUMPRODUCT(Calc!$K$3:$K$22*(Calc!$G$3:$G$22&gt;B2371)*(Calc!$G$3:$G$22-B2371)*Calc!$G$3:$G$22)</f>
        <v/>
      </c>
      <c r="N2371">
        <f>SUMPRODUCT(Calc!$K$3:$K$22*(Calc!$G$3:$G$22&gt;A2371)*(Calc!$G$3:$G$22-A2371)*Calc!$I$3:$I$22)</f>
        <v/>
      </c>
      <c r="O2371">
        <f>SUMPRODUCT(Calc!$K$3:$K$22*(Calc!$G$3:$G$22&gt;B2371)*(Calc!$G$3:$G$22-B2371)*Calc!$I$3:$I$22)</f>
        <v/>
      </c>
      <c r="P2371">
        <f>I2371-G2371^2/k_n</f>
        <v/>
      </c>
      <c r="Q2371">
        <f>J2371-H2371^2/k_n</f>
        <v/>
      </c>
      <c r="R2371">
        <f>K2371-G2371*H2371/k_n</f>
        <v/>
      </c>
      <c r="S2371">
        <f>L2371-LTP3!$D$3*G2371/k_n</f>
        <v/>
      </c>
      <c r="T2371">
        <f>M2371-LTP3!$D$3*H2371/k_n</f>
        <v/>
      </c>
      <c r="U2371">
        <f>N2371-G2371*LTP3!$D$4/k_n</f>
        <v/>
      </c>
      <c r="V2371">
        <f>O2371-H2371*LTP3!$D$4/k_n</f>
        <v/>
      </c>
      <c r="W2371">
        <f>((LTP3!$D$5)*((P2371)*(Q2371)-(R2371)*(R2371))-(S2371)*((S2371)*(Q2371)-(R2371)*(T2371))+(T2371)*((S2371)*(R2371)-(P2371)*(T2371)))</f>
        <v/>
      </c>
      <c r="X2371">
        <f>IF(ABS(W2371)&gt;1E-12,((LTP3!$D$6)*((P2371)*(Q2371)-(R2371)*(R2371))-(S2371)*((U2371)*(Q2371)-(R2371)*(V2371))+(T2371)*((U2371)*(R2371)-(P2371)*(V2371)))/W2371,0)</f>
        <v/>
      </c>
      <c r="Y2371">
        <f>IF(ABS(W2371)&gt;1E-12,((LTP3!$D$5)*((U2371)*(Q2371)-(R2371)*(V2371))-(LTP3!$D$6)*((S2371)*(Q2371)-(R2371)*(T2371))+(T2371)*((S2371)*(V2371)-(U2371)*(T2371)))/W2371,0)</f>
        <v/>
      </c>
      <c r="Z2371">
        <f>IF(ABS(W2371)&gt;1E-12,((LTP3!$D$5)*((P2371)*(V2371)-(U2371)*(R2371))-(S2371)*((S2371)*(V2371)-(U2371)*(T2371))+(LTP3!$D$6)*((S2371)*(R2371)-(P2371)*(T2371)))/W2371,0)</f>
        <v/>
      </c>
      <c r="AA2371">
        <f>LTP3!$D$7-X2371*LTP3!$D$6-Y2371*U2371-Z2371*V2371</f>
        <v/>
      </c>
      <c r="AB2371">
        <f>IF(AND(F2371,ABS(W2371)&gt;1E-12,Y2371&gt;0,Z2371&gt;0),AA2371,1E+300)</f>
        <v/>
      </c>
    </row>
    <row r="2372">
      <c r="A2372">
        <f>$B$3+$B$5*38</f>
        <v/>
      </c>
      <c r="B2372">
        <f>$B$3+$B$5*42</f>
        <v/>
      </c>
      <c r="C2372">
        <f>SUMPRODUCT(Calc!$K$3:$K$22*(Calc!$G$3:$G$22&lt;=A2372))</f>
        <v/>
      </c>
      <c r="D2372">
        <f>SUMPRODUCT(Calc!$K$3:$K$22*(Calc!$G$3:$G$22&gt;A2372)*(Calc!$G$3:$G$22&lt;B2372))</f>
        <v/>
      </c>
      <c r="E2372">
        <f>SUMPRODUCT(Calc!$K$3:$K$22*(Calc!$G$3:$G$22&gt;=B2372))</f>
        <v/>
      </c>
      <c r="F2372">
        <f>AND(k_n&gt;=5,B2372&gt;A2372+1E-9,C2372&gt;=2,D2372&gt;=1,E2372&gt;=2)</f>
        <v/>
      </c>
      <c r="G2372">
        <f>SUMPRODUCT(Calc!$K$3:$K$22*(Calc!$G$3:$G$22&gt;A2372)*(Calc!$G$3:$G$22-A2372))</f>
        <v/>
      </c>
      <c r="H2372">
        <f>SUMPRODUCT(Calc!$K$3:$K$22*(Calc!$G$3:$G$22&gt;B2372)*(Calc!$G$3:$G$22-B2372))</f>
        <v/>
      </c>
      <c r="I2372">
        <f>SUMPRODUCT(Calc!$K$3:$K$22*(Calc!$G$3:$G$22&gt;A2372)*(Calc!$G$3:$G$22-A2372)^2)</f>
        <v/>
      </c>
      <c r="J2372">
        <f>SUMPRODUCT(Calc!$K$3:$K$22*(Calc!$G$3:$G$22&gt;B2372)*(Calc!$G$3:$G$22-B2372)^2)</f>
        <v/>
      </c>
      <c r="K2372">
        <f>SUMPRODUCT(Calc!$K$3:$K$22*(Calc!$G$3:$G$22&gt;A2372)*(Calc!$G$3:$G$22-A2372)*(Calc!$G$3:$G$22&gt;B2372)*(Calc!$G$3:$G$22-B2372))</f>
        <v/>
      </c>
      <c r="L2372">
        <f>SUMPRODUCT(Calc!$K$3:$K$22*(Calc!$G$3:$G$22&gt;A2372)*(Calc!$G$3:$G$22-A2372)*Calc!$G$3:$G$22)</f>
        <v/>
      </c>
      <c r="M2372">
        <f>SUMPRODUCT(Calc!$K$3:$K$22*(Calc!$G$3:$G$22&gt;B2372)*(Calc!$G$3:$G$22-B2372)*Calc!$G$3:$G$22)</f>
        <v/>
      </c>
      <c r="N2372">
        <f>SUMPRODUCT(Calc!$K$3:$K$22*(Calc!$G$3:$G$22&gt;A2372)*(Calc!$G$3:$G$22-A2372)*Calc!$I$3:$I$22)</f>
        <v/>
      </c>
      <c r="O2372">
        <f>SUMPRODUCT(Calc!$K$3:$K$22*(Calc!$G$3:$G$22&gt;B2372)*(Calc!$G$3:$G$22-B2372)*Calc!$I$3:$I$22)</f>
        <v/>
      </c>
      <c r="P2372">
        <f>I2372-G2372^2/k_n</f>
        <v/>
      </c>
      <c r="Q2372">
        <f>J2372-H2372^2/k_n</f>
        <v/>
      </c>
      <c r="R2372">
        <f>K2372-G2372*H2372/k_n</f>
        <v/>
      </c>
      <c r="S2372">
        <f>L2372-LTP3!$D$3*G2372/k_n</f>
        <v/>
      </c>
      <c r="T2372">
        <f>M2372-LTP3!$D$3*H2372/k_n</f>
        <v/>
      </c>
      <c r="U2372">
        <f>N2372-G2372*LTP3!$D$4/k_n</f>
        <v/>
      </c>
      <c r="V2372">
        <f>O2372-H2372*LTP3!$D$4/k_n</f>
        <v/>
      </c>
      <c r="W2372">
        <f>((LTP3!$D$5)*((P2372)*(Q2372)-(R2372)*(R2372))-(S2372)*((S2372)*(Q2372)-(R2372)*(T2372))+(T2372)*((S2372)*(R2372)-(P2372)*(T2372)))</f>
        <v/>
      </c>
      <c r="X2372">
        <f>IF(ABS(W2372)&gt;1E-12,((LTP3!$D$6)*((P2372)*(Q2372)-(R2372)*(R2372))-(S2372)*((U2372)*(Q2372)-(R2372)*(V2372))+(T2372)*((U2372)*(R2372)-(P2372)*(V2372)))/W2372,0)</f>
        <v/>
      </c>
      <c r="Y2372">
        <f>IF(ABS(W2372)&gt;1E-12,((LTP3!$D$5)*((U2372)*(Q2372)-(R2372)*(V2372))-(LTP3!$D$6)*((S2372)*(Q2372)-(R2372)*(T2372))+(T2372)*((S2372)*(V2372)-(U2372)*(T2372)))/W2372,0)</f>
        <v/>
      </c>
      <c r="Z2372">
        <f>IF(ABS(W2372)&gt;1E-12,((LTP3!$D$5)*((P2372)*(V2372)-(U2372)*(R2372))-(S2372)*((S2372)*(V2372)-(U2372)*(T2372))+(LTP3!$D$6)*((S2372)*(R2372)-(P2372)*(T2372)))/W2372,0)</f>
        <v/>
      </c>
      <c r="AA2372">
        <f>LTP3!$D$7-X2372*LTP3!$D$6-Y2372*U2372-Z2372*V2372</f>
        <v/>
      </c>
      <c r="AB2372">
        <f>IF(AND(F2372,ABS(W2372)&gt;1E-12,Y2372&gt;0,Z2372&gt;0),AA2372,1E+300)</f>
        <v/>
      </c>
    </row>
    <row r="2373">
      <c r="A2373">
        <f>$B$3+$B$5*38</f>
        <v/>
      </c>
      <c r="B2373">
        <f>$B$3+$B$5*43</f>
        <v/>
      </c>
      <c r="C2373">
        <f>SUMPRODUCT(Calc!$K$3:$K$22*(Calc!$G$3:$G$22&lt;=A2373))</f>
        <v/>
      </c>
      <c r="D2373">
        <f>SUMPRODUCT(Calc!$K$3:$K$22*(Calc!$G$3:$G$22&gt;A2373)*(Calc!$G$3:$G$22&lt;B2373))</f>
        <v/>
      </c>
      <c r="E2373">
        <f>SUMPRODUCT(Calc!$K$3:$K$22*(Calc!$G$3:$G$22&gt;=B2373))</f>
        <v/>
      </c>
      <c r="F2373">
        <f>AND(k_n&gt;=5,B2373&gt;A2373+1E-9,C2373&gt;=2,D2373&gt;=1,E2373&gt;=2)</f>
        <v/>
      </c>
      <c r="G2373">
        <f>SUMPRODUCT(Calc!$K$3:$K$22*(Calc!$G$3:$G$22&gt;A2373)*(Calc!$G$3:$G$22-A2373))</f>
        <v/>
      </c>
      <c r="H2373">
        <f>SUMPRODUCT(Calc!$K$3:$K$22*(Calc!$G$3:$G$22&gt;B2373)*(Calc!$G$3:$G$22-B2373))</f>
        <v/>
      </c>
      <c r="I2373">
        <f>SUMPRODUCT(Calc!$K$3:$K$22*(Calc!$G$3:$G$22&gt;A2373)*(Calc!$G$3:$G$22-A2373)^2)</f>
        <v/>
      </c>
      <c r="J2373">
        <f>SUMPRODUCT(Calc!$K$3:$K$22*(Calc!$G$3:$G$22&gt;B2373)*(Calc!$G$3:$G$22-B2373)^2)</f>
        <v/>
      </c>
      <c r="K2373">
        <f>SUMPRODUCT(Calc!$K$3:$K$22*(Calc!$G$3:$G$22&gt;A2373)*(Calc!$G$3:$G$22-A2373)*(Calc!$G$3:$G$22&gt;B2373)*(Calc!$G$3:$G$22-B2373))</f>
        <v/>
      </c>
      <c r="L2373">
        <f>SUMPRODUCT(Calc!$K$3:$K$22*(Calc!$G$3:$G$22&gt;A2373)*(Calc!$G$3:$G$22-A2373)*Calc!$G$3:$G$22)</f>
        <v/>
      </c>
      <c r="M2373">
        <f>SUMPRODUCT(Calc!$K$3:$K$22*(Calc!$G$3:$G$22&gt;B2373)*(Calc!$G$3:$G$22-B2373)*Calc!$G$3:$G$22)</f>
        <v/>
      </c>
      <c r="N2373">
        <f>SUMPRODUCT(Calc!$K$3:$K$22*(Calc!$G$3:$G$22&gt;A2373)*(Calc!$G$3:$G$22-A2373)*Calc!$I$3:$I$22)</f>
        <v/>
      </c>
      <c r="O2373">
        <f>SUMPRODUCT(Calc!$K$3:$K$22*(Calc!$G$3:$G$22&gt;B2373)*(Calc!$G$3:$G$22-B2373)*Calc!$I$3:$I$22)</f>
        <v/>
      </c>
      <c r="P2373">
        <f>I2373-G2373^2/k_n</f>
        <v/>
      </c>
      <c r="Q2373">
        <f>J2373-H2373^2/k_n</f>
        <v/>
      </c>
      <c r="R2373">
        <f>K2373-G2373*H2373/k_n</f>
        <v/>
      </c>
      <c r="S2373">
        <f>L2373-LTP3!$D$3*G2373/k_n</f>
        <v/>
      </c>
      <c r="T2373">
        <f>M2373-LTP3!$D$3*H2373/k_n</f>
        <v/>
      </c>
      <c r="U2373">
        <f>N2373-G2373*LTP3!$D$4/k_n</f>
        <v/>
      </c>
      <c r="V2373">
        <f>O2373-H2373*LTP3!$D$4/k_n</f>
        <v/>
      </c>
      <c r="W2373">
        <f>((LTP3!$D$5)*((P2373)*(Q2373)-(R2373)*(R2373))-(S2373)*((S2373)*(Q2373)-(R2373)*(T2373))+(T2373)*((S2373)*(R2373)-(P2373)*(T2373)))</f>
        <v/>
      </c>
      <c r="X2373">
        <f>IF(ABS(W2373)&gt;1E-12,((LTP3!$D$6)*((P2373)*(Q2373)-(R2373)*(R2373))-(S2373)*((U2373)*(Q2373)-(R2373)*(V2373))+(T2373)*((U2373)*(R2373)-(P2373)*(V2373)))/W2373,0)</f>
        <v/>
      </c>
      <c r="Y2373">
        <f>IF(ABS(W2373)&gt;1E-12,((LTP3!$D$5)*((U2373)*(Q2373)-(R2373)*(V2373))-(LTP3!$D$6)*((S2373)*(Q2373)-(R2373)*(T2373))+(T2373)*((S2373)*(V2373)-(U2373)*(T2373)))/W2373,0)</f>
        <v/>
      </c>
      <c r="Z2373">
        <f>IF(ABS(W2373)&gt;1E-12,((LTP3!$D$5)*((P2373)*(V2373)-(U2373)*(R2373))-(S2373)*((S2373)*(V2373)-(U2373)*(T2373))+(LTP3!$D$6)*((S2373)*(R2373)-(P2373)*(T2373)))/W2373,0)</f>
        <v/>
      </c>
      <c r="AA2373">
        <f>LTP3!$D$7-X2373*LTP3!$D$6-Y2373*U2373-Z2373*V2373</f>
        <v/>
      </c>
      <c r="AB2373">
        <f>IF(AND(F2373,ABS(W2373)&gt;1E-12,Y2373&gt;0,Z2373&gt;0),AA2373,1E+300)</f>
        <v/>
      </c>
    </row>
    <row r="2374">
      <c r="A2374">
        <f>$B$3+$B$5*38</f>
        <v/>
      </c>
      <c r="B2374">
        <f>$B$3+$B$5*44</f>
        <v/>
      </c>
      <c r="C2374">
        <f>SUMPRODUCT(Calc!$K$3:$K$22*(Calc!$G$3:$G$22&lt;=A2374))</f>
        <v/>
      </c>
      <c r="D2374">
        <f>SUMPRODUCT(Calc!$K$3:$K$22*(Calc!$G$3:$G$22&gt;A2374)*(Calc!$G$3:$G$22&lt;B2374))</f>
        <v/>
      </c>
      <c r="E2374">
        <f>SUMPRODUCT(Calc!$K$3:$K$22*(Calc!$G$3:$G$22&gt;=B2374))</f>
        <v/>
      </c>
      <c r="F2374">
        <f>AND(k_n&gt;=5,B2374&gt;A2374+1E-9,C2374&gt;=2,D2374&gt;=1,E2374&gt;=2)</f>
        <v/>
      </c>
      <c r="G2374">
        <f>SUMPRODUCT(Calc!$K$3:$K$22*(Calc!$G$3:$G$22&gt;A2374)*(Calc!$G$3:$G$22-A2374))</f>
        <v/>
      </c>
      <c r="H2374">
        <f>SUMPRODUCT(Calc!$K$3:$K$22*(Calc!$G$3:$G$22&gt;B2374)*(Calc!$G$3:$G$22-B2374))</f>
        <v/>
      </c>
      <c r="I2374">
        <f>SUMPRODUCT(Calc!$K$3:$K$22*(Calc!$G$3:$G$22&gt;A2374)*(Calc!$G$3:$G$22-A2374)^2)</f>
        <v/>
      </c>
      <c r="J2374">
        <f>SUMPRODUCT(Calc!$K$3:$K$22*(Calc!$G$3:$G$22&gt;B2374)*(Calc!$G$3:$G$22-B2374)^2)</f>
        <v/>
      </c>
      <c r="K2374">
        <f>SUMPRODUCT(Calc!$K$3:$K$22*(Calc!$G$3:$G$22&gt;A2374)*(Calc!$G$3:$G$22-A2374)*(Calc!$G$3:$G$22&gt;B2374)*(Calc!$G$3:$G$22-B2374))</f>
        <v/>
      </c>
      <c r="L2374">
        <f>SUMPRODUCT(Calc!$K$3:$K$22*(Calc!$G$3:$G$22&gt;A2374)*(Calc!$G$3:$G$22-A2374)*Calc!$G$3:$G$22)</f>
        <v/>
      </c>
      <c r="M2374">
        <f>SUMPRODUCT(Calc!$K$3:$K$22*(Calc!$G$3:$G$22&gt;B2374)*(Calc!$G$3:$G$22-B2374)*Calc!$G$3:$G$22)</f>
        <v/>
      </c>
      <c r="N2374">
        <f>SUMPRODUCT(Calc!$K$3:$K$22*(Calc!$G$3:$G$22&gt;A2374)*(Calc!$G$3:$G$22-A2374)*Calc!$I$3:$I$22)</f>
        <v/>
      </c>
      <c r="O2374">
        <f>SUMPRODUCT(Calc!$K$3:$K$22*(Calc!$G$3:$G$22&gt;B2374)*(Calc!$G$3:$G$22-B2374)*Calc!$I$3:$I$22)</f>
        <v/>
      </c>
      <c r="P2374">
        <f>I2374-G2374^2/k_n</f>
        <v/>
      </c>
      <c r="Q2374">
        <f>J2374-H2374^2/k_n</f>
        <v/>
      </c>
      <c r="R2374">
        <f>K2374-G2374*H2374/k_n</f>
        <v/>
      </c>
      <c r="S2374">
        <f>L2374-LTP3!$D$3*G2374/k_n</f>
        <v/>
      </c>
      <c r="T2374">
        <f>M2374-LTP3!$D$3*H2374/k_n</f>
        <v/>
      </c>
      <c r="U2374">
        <f>N2374-G2374*LTP3!$D$4/k_n</f>
        <v/>
      </c>
      <c r="V2374">
        <f>O2374-H2374*LTP3!$D$4/k_n</f>
        <v/>
      </c>
      <c r="W2374">
        <f>((LTP3!$D$5)*((P2374)*(Q2374)-(R2374)*(R2374))-(S2374)*((S2374)*(Q2374)-(R2374)*(T2374))+(T2374)*((S2374)*(R2374)-(P2374)*(T2374)))</f>
        <v/>
      </c>
      <c r="X2374">
        <f>IF(ABS(W2374)&gt;1E-12,((LTP3!$D$6)*((P2374)*(Q2374)-(R2374)*(R2374))-(S2374)*((U2374)*(Q2374)-(R2374)*(V2374))+(T2374)*((U2374)*(R2374)-(P2374)*(V2374)))/W2374,0)</f>
        <v/>
      </c>
      <c r="Y2374">
        <f>IF(ABS(W2374)&gt;1E-12,((LTP3!$D$5)*((U2374)*(Q2374)-(R2374)*(V2374))-(LTP3!$D$6)*((S2374)*(Q2374)-(R2374)*(T2374))+(T2374)*((S2374)*(V2374)-(U2374)*(T2374)))/W2374,0)</f>
        <v/>
      </c>
      <c r="Z2374">
        <f>IF(ABS(W2374)&gt;1E-12,((LTP3!$D$5)*((P2374)*(V2374)-(U2374)*(R2374))-(S2374)*((S2374)*(V2374)-(U2374)*(T2374))+(LTP3!$D$6)*((S2374)*(R2374)-(P2374)*(T2374)))/W2374,0)</f>
        <v/>
      </c>
      <c r="AA2374">
        <f>LTP3!$D$7-X2374*LTP3!$D$6-Y2374*U2374-Z2374*V2374</f>
        <v/>
      </c>
      <c r="AB2374">
        <f>IF(AND(F2374,ABS(W2374)&gt;1E-12,Y2374&gt;0,Z2374&gt;0),AA2374,1E+300)</f>
        <v/>
      </c>
    </row>
    <row r="2375">
      <c r="A2375">
        <f>$B$3+$B$5*38</f>
        <v/>
      </c>
      <c r="B2375">
        <f>$B$3+$B$5*45</f>
        <v/>
      </c>
      <c r="C2375">
        <f>SUMPRODUCT(Calc!$K$3:$K$22*(Calc!$G$3:$G$22&lt;=A2375))</f>
        <v/>
      </c>
      <c r="D2375">
        <f>SUMPRODUCT(Calc!$K$3:$K$22*(Calc!$G$3:$G$22&gt;A2375)*(Calc!$G$3:$G$22&lt;B2375))</f>
        <v/>
      </c>
      <c r="E2375">
        <f>SUMPRODUCT(Calc!$K$3:$K$22*(Calc!$G$3:$G$22&gt;=B2375))</f>
        <v/>
      </c>
      <c r="F2375">
        <f>AND(k_n&gt;=5,B2375&gt;A2375+1E-9,C2375&gt;=2,D2375&gt;=1,E2375&gt;=2)</f>
        <v/>
      </c>
      <c r="G2375">
        <f>SUMPRODUCT(Calc!$K$3:$K$22*(Calc!$G$3:$G$22&gt;A2375)*(Calc!$G$3:$G$22-A2375))</f>
        <v/>
      </c>
      <c r="H2375">
        <f>SUMPRODUCT(Calc!$K$3:$K$22*(Calc!$G$3:$G$22&gt;B2375)*(Calc!$G$3:$G$22-B2375))</f>
        <v/>
      </c>
      <c r="I2375">
        <f>SUMPRODUCT(Calc!$K$3:$K$22*(Calc!$G$3:$G$22&gt;A2375)*(Calc!$G$3:$G$22-A2375)^2)</f>
        <v/>
      </c>
      <c r="J2375">
        <f>SUMPRODUCT(Calc!$K$3:$K$22*(Calc!$G$3:$G$22&gt;B2375)*(Calc!$G$3:$G$22-B2375)^2)</f>
        <v/>
      </c>
      <c r="K2375">
        <f>SUMPRODUCT(Calc!$K$3:$K$22*(Calc!$G$3:$G$22&gt;A2375)*(Calc!$G$3:$G$22-A2375)*(Calc!$G$3:$G$22&gt;B2375)*(Calc!$G$3:$G$22-B2375))</f>
        <v/>
      </c>
      <c r="L2375">
        <f>SUMPRODUCT(Calc!$K$3:$K$22*(Calc!$G$3:$G$22&gt;A2375)*(Calc!$G$3:$G$22-A2375)*Calc!$G$3:$G$22)</f>
        <v/>
      </c>
      <c r="M2375">
        <f>SUMPRODUCT(Calc!$K$3:$K$22*(Calc!$G$3:$G$22&gt;B2375)*(Calc!$G$3:$G$22-B2375)*Calc!$G$3:$G$22)</f>
        <v/>
      </c>
      <c r="N2375">
        <f>SUMPRODUCT(Calc!$K$3:$K$22*(Calc!$G$3:$G$22&gt;A2375)*(Calc!$G$3:$G$22-A2375)*Calc!$I$3:$I$22)</f>
        <v/>
      </c>
      <c r="O2375">
        <f>SUMPRODUCT(Calc!$K$3:$K$22*(Calc!$G$3:$G$22&gt;B2375)*(Calc!$G$3:$G$22-B2375)*Calc!$I$3:$I$22)</f>
        <v/>
      </c>
      <c r="P2375">
        <f>I2375-G2375^2/k_n</f>
        <v/>
      </c>
      <c r="Q2375">
        <f>J2375-H2375^2/k_n</f>
        <v/>
      </c>
      <c r="R2375">
        <f>K2375-G2375*H2375/k_n</f>
        <v/>
      </c>
      <c r="S2375">
        <f>L2375-LTP3!$D$3*G2375/k_n</f>
        <v/>
      </c>
      <c r="T2375">
        <f>M2375-LTP3!$D$3*H2375/k_n</f>
        <v/>
      </c>
      <c r="U2375">
        <f>N2375-G2375*LTP3!$D$4/k_n</f>
        <v/>
      </c>
      <c r="V2375">
        <f>O2375-H2375*LTP3!$D$4/k_n</f>
        <v/>
      </c>
      <c r="W2375">
        <f>((LTP3!$D$5)*((P2375)*(Q2375)-(R2375)*(R2375))-(S2375)*((S2375)*(Q2375)-(R2375)*(T2375))+(T2375)*((S2375)*(R2375)-(P2375)*(T2375)))</f>
        <v/>
      </c>
      <c r="X2375">
        <f>IF(ABS(W2375)&gt;1E-12,((LTP3!$D$6)*((P2375)*(Q2375)-(R2375)*(R2375))-(S2375)*((U2375)*(Q2375)-(R2375)*(V2375))+(T2375)*((U2375)*(R2375)-(P2375)*(V2375)))/W2375,0)</f>
        <v/>
      </c>
      <c r="Y2375">
        <f>IF(ABS(W2375)&gt;1E-12,((LTP3!$D$5)*((U2375)*(Q2375)-(R2375)*(V2375))-(LTP3!$D$6)*((S2375)*(Q2375)-(R2375)*(T2375))+(T2375)*((S2375)*(V2375)-(U2375)*(T2375)))/W2375,0)</f>
        <v/>
      </c>
      <c r="Z2375">
        <f>IF(ABS(W2375)&gt;1E-12,((LTP3!$D$5)*((P2375)*(V2375)-(U2375)*(R2375))-(S2375)*((S2375)*(V2375)-(U2375)*(T2375))+(LTP3!$D$6)*((S2375)*(R2375)-(P2375)*(T2375)))/W2375,0)</f>
        <v/>
      </c>
      <c r="AA2375">
        <f>LTP3!$D$7-X2375*LTP3!$D$6-Y2375*U2375-Z2375*V2375</f>
        <v/>
      </c>
      <c r="AB2375">
        <f>IF(AND(F2375,ABS(W2375)&gt;1E-12,Y2375&gt;0,Z2375&gt;0),AA2375,1E+300)</f>
        <v/>
      </c>
    </row>
    <row r="2376">
      <c r="A2376">
        <f>$B$3+$B$5*38</f>
        <v/>
      </c>
      <c r="B2376">
        <f>$B$3+$B$5*46</f>
        <v/>
      </c>
      <c r="C2376">
        <f>SUMPRODUCT(Calc!$K$3:$K$22*(Calc!$G$3:$G$22&lt;=A2376))</f>
        <v/>
      </c>
      <c r="D2376">
        <f>SUMPRODUCT(Calc!$K$3:$K$22*(Calc!$G$3:$G$22&gt;A2376)*(Calc!$G$3:$G$22&lt;B2376))</f>
        <v/>
      </c>
      <c r="E2376">
        <f>SUMPRODUCT(Calc!$K$3:$K$22*(Calc!$G$3:$G$22&gt;=B2376))</f>
        <v/>
      </c>
      <c r="F2376">
        <f>AND(k_n&gt;=5,B2376&gt;A2376+1E-9,C2376&gt;=2,D2376&gt;=1,E2376&gt;=2)</f>
        <v/>
      </c>
      <c r="G2376">
        <f>SUMPRODUCT(Calc!$K$3:$K$22*(Calc!$G$3:$G$22&gt;A2376)*(Calc!$G$3:$G$22-A2376))</f>
        <v/>
      </c>
      <c r="H2376">
        <f>SUMPRODUCT(Calc!$K$3:$K$22*(Calc!$G$3:$G$22&gt;B2376)*(Calc!$G$3:$G$22-B2376))</f>
        <v/>
      </c>
      <c r="I2376">
        <f>SUMPRODUCT(Calc!$K$3:$K$22*(Calc!$G$3:$G$22&gt;A2376)*(Calc!$G$3:$G$22-A2376)^2)</f>
        <v/>
      </c>
      <c r="J2376">
        <f>SUMPRODUCT(Calc!$K$3:$K$22*(Calc!$G$3:$G$22&gt;B2376)*(Calc!$G$3:$G$22-B2376)^2)</f>
        <v/>
      </c>
      <c r="K2376">
        <f>SUMPRODUCT(Calc!$K$3:$K$22*(Calc!$G$3:$G$22&gt;A2376)*(Calc!$G$3:$G$22-A2376)*(Calc!$G$3:$G$22&gt;B2376)*(Calc!$G$3:$G$22-B2376))</f>
        <v/>
      </c>
      <c r="L2376">
        <f>SUMPRODUCT(Calc!$K$3:$K$22*(Calc!$G$3:$G$22&gt;A2376)*(Calc!$G$3:$G$22-A2376)*Calc!$G$3:$G$22)</f>
        <v/>
      </c>
      <c r="M2376">
        <f>SUMPRODUCT(Calc!$K$3:$K$22*(Calc!$G$3:$G$22&gt;B2376)*(Calc!$G$3:$G$22-B2376)*Calc!$G$3:$G$22)</f>
        <v/>
      </c>
      <c r="N2376">
        <f>SUMPRODUCT(Calc!$K$3:$K$22*(Calc!$G$3:$G$22&gt;A2376)*(Calc!$G$3:$G$22-A2376)*Calc!$I$3:$I$22)</f>
        <v/>
      </c>
      <c r="O2376">
        <f>SUMPRODUCT(Calc!$K$3:$K$22*(Calc!$G$3:$G$22&gt;B2376)*(Calc!$G$3:$G$22-B2376)*Calc!$I$3:$I$22)</f>
        <v/>
      </c>
      <c r="P2376">
        <f>I2376-G2376^2/k_n</f>
        <v/>
      </c>
      <c r="Q2376">
        <f>J2376-H2376^2/k_n</f>
        <v/>
      </c>
      <c r="R2376">
        <f>K2376-G2376*H2376/k_n</f>
        <v/>
      </c>
      <c r="S2376">
        <f>L2376-LTP3!$D$3*G2376/k_n</f>
        <v/>
      </c>
      <c r="T2376">
        <f>M2376-LTP3!$D$3*H2376/k_n</f>
        <v/>
      </c>
      <c r="U2376">
        <f>N2376-G2376*LTP3!$D$4/k_n</f>
        <v/>
      </c>
      <c r="V2376">
        <f>O2376-H2376*LTP3!$D$4/k_n</f>
        <v/>
      </c>
      <c r="W2376">
        <f>((LTP3!$D$5)*((P2376)*(Q2376)-(R2376)*(R2376))-(S2376)*((S2376)*(Q2376)-(R2376)*(T2376))+(T2376)*((S2376)*(R2376)-(P2376)*(T2376)))</f>
        <v/>
      </c>
      <c r="X2376">
        <f>IF(ABS(W2376)&gt;1E-12,((LTP3!$D$6)*((P2376)*(Q2376)-(R2376)*(R2376))-(S2376)*((U2376)*(Q2376)-(R2376)*(V2376))+(T2376)*((U2376)*(R2376)-(P2376)*(V2376)))/W2376,0)</f>
        <v/>
      </c>
      <c r="Y2376">
        <f>IF(ABS(W2376)&gt;1E-12,((LTP3!$D$5)*((U2376)*(Q2376)-(R2376)*(V2376))-(LTP3!$D$6)*((S2376)*(Q2376)-(R2376)*(T2376))+(T2376)*((S2376)*(V2376)-(U2376)*(T2376)))/W2376,0)</f>
        <v/>
      </c>
      <c r="Z2376">
        <f>IF(ABS(W2376)&gt;1E-12,((LTP3!$D$5)*((P2376)*(V2376)-(U2376)*(R2376))-(S2376)*((S2376)*(V2376)-(U2376)*(T2376))+(LTP3!$D$6)*((S2376)*(R2376)-(P2376)*(T2376)))/W2376,0)</f>
        <v/>
      </c>
      <c r="AA2376">
        <f>LTP3!$D$7-X2376*LTP3!$D$6-Y2376*U2376-Z2376*V2376</f>
        <v/>
      </c>
      <c r="AB2376">
        <f>IF(AND(F2376,ABS(W2376)&gt;1E-12,Y2376&gt;0,Z2376&gt;0),AA2376,1E+300)</f>
        <v/>
      </c>
    </row>
    <row r="2377">
      <c r="A2377">
        <f>$B$3+$B$5*38</f>
        <v/>
      </c>
      <c r="B2377">
        <f>$B$3+$B$5*47</f>
        <v/>
      </c>
      <c r="C2377">
        <f>SUMPRODUCT(Calc!$K$3:$K$22*(Calc!$G$3:$G$22&lt;=A2377))</f>
        <v/>
      </c>
      <c r="D2377">
        <f>SUMPRODUCT(Calc!$K$3:$K$22*(Calc!$G$3:$G$22&gt;A2377)*(Calc!$G$3:$G$22&lt;B2377))</f>
        <v/>
      </c>
      <c r="E2377">
        <f>SUMPRODUCT(Calc!$K$3:$K$22*(Calc!$G$3:$G$22&gt;=B2377))</f>
        <v/>
      </c>
      <c r="F2377">
        <f>AND(k_n&gt;=5,B2377&gt;A2377+1E-9,C2377&gt;=2,D2377&gt;=1,E2377&gt;=2)</f>
        <v/>
      </c>
      <c r="G2377">
        <f>SUMPRODUCT(Calc!$K$3:$K$22*(Calc!$G$3:$G$22&gt;A2377)*(Calc!$G$3:$G$22-A2377))</f>
        <v/>
      </c>
      <c r="H2377">
        <f>SUMPRODUCT(Calc!$K$3:$K$22*(Calc!$G$3:$G$22&gt;B2377)*(Calc!$G$3:$G$22-B2377))</f>
        <v/>
      </c>
      <c r="I2377">
        <f>SUMPRODUCT(Calc!$K$3:$K$22*(Calc!$G$3:$G$22&gt;A2377)*(Calc!$G$3:$G$22-A2377)^2)</f>
        <v/>
      </c>
      <c r="J2377">
        <f>SUMPRODUCT(Calc!$K$3:$K$22*(Calc!$G$3:$G$22&gt;B2377)*(Calc!$G$3:$G$22-B2377)^2)</f>
        <v/>
      </c>
      <c r="K2377">
        <f>SUMPRODUCT(Calc!$K$3:$K$22*(Calc!$G$3:$G$22&gt;A2377)*(Calc!$G$3:$G$22-A2377)*(Calc!$G$3:$G$22&gt;B2377)*(Calc!$G$3:$G$22-B2377))</f>
        <v/>
      </c>
      <c r="L2377">
        <f>SUMPRODUCT(Calc!$K$3:$K$22*(Calc!$G$3:$G$22&gt;A2377)*(Calc!$G$3:$G$22-A2377)*Calc!$G$3:$G$22)</f>
        <v/>
      </c>
      <c r="M2377">
        <f>SUMPRODUCT(Calc!$K$3:$K$22*(Calc!$G$3:$G$22&gt;B2377)*(Calc!$G$3:$G$22-B2377)*Calc!$G$3:$G$22)</f>
        <v/>
      </c>
      <c r="N2377">
        <f>SUMPRODUCT(Calc!$K$3:$K$22*(Calc!$G$3:$G$22&gt;A2377)*(Calc!$G$3:$G$22-A2377)*Calc!$I$3:$I$22)</f>
        <v/>
      </c>
      <c r="O2377">
        <f>SUMPRODUCT(Calc!$K$3:$K$22*(Calc!$G$3:$G$22&gt;B2377)*(Calc!$G$3:$G$22-B2377)*Calc!$I$3:$I$22)</f>
        <v/>
      </c>
      <c r="P2377">
        <f>I2377-G2377^2/k_n</f>
        <v/>
      </c>
      <c r="Q2377">
        <f>J2377-H2377^2/k_n</f>
        <v/>
      </c>
      <c r="R2377">
        <f>K2377-G2377*H2377/k_n</f>
        <v/>
      </c>
      <c r="S2377">
        <f>L2377-LTP3!$D$3*G2377/k_n</f>
        <v/>
      </c>
      <c r="T2377">
        <f>M2377-LTP3!$D$3*H2377/k_n</f>
        <v/>
      </c>
      <c r="U2377">
        <f>N2377-G2377*LTP3!$D$4/k_n</f>
        <v/>
      </c>
      <c r="V2377">
        <f>O2377-H2377*LTP3!$D$4/k_n</f>
        <v/>
      </c>
      <c r="W2377">
        <f>((LTP3!$D$5)*((P2377)*(Q2377)-(R2377)*(R2377))-(S2377)*((S2377)*(Q2377)-(R2377)*(T2377))+(T2377)*((S2377)*(R2377)-(P2377)*(T2377)))</f>
        <v/>
      </c>
      <c r="X2377">
        <f>IF(ABS(W2377)&gt;1E-12,((LTP3!$D$6)*((P2377)*(Q2377)-(R2377)*(R2377))-(S2377)*((U2377)*(Q2377)-(R2377)*(V2377))+(T2377)*((U2377)*(R2377)-(P2377)*(V2377)))/W2377,0)</f>
        <v/>
      </c>
      <c r="Y2377">
        <f>IF(ABS(W2377)&gt;1E-12,((LTP3!$D$5)*((U2377)*(Q2377)-(R2377)*(V2377))-(LTP3!$D$6)*((S2377)*(Q2377)-(R2377)*(T2377))+(T2377)*((S2377)*(V2377)-(U2377)*(T2377)))/W2377,0)</f>
        <v/>
      </c>
      <c r="Z2377">
        <f>IF(ABS(W2377)&gt;1E-12,((LTP3!$D$5)*((P2377)*(V2377)-(U2377)*(R2377))-(S2377)*((S2377)*(V2377)-(U2377)*(T2377))+(LTP3!$D$6)*((S2377)*(R2377)-(P2377)*(T2377)))/W2377,0)</f>
        <v/>
      </c>
      <c r="AA2377">
        <f>LTP3!$D$7-X2377*LTP3!$D$6-Y2377*U2377-Z2377*V2377</f>
        <v/>
      </c>
      <c r="AB2377">
        <f>IF(AND(F2377,ABS(W2377)&gt;1E-12,Y2377&gt;0,Z2377&gt;0),AA2377,1E+300)</f>
        <v/>
      </c>
    </row>
    <row r="2378">
      <c r="A2378">
        <f>$B$3+$B$5*38</f>
        <v/>
      </c>
      <c r="B2378">
        <f>$B$3+$B$5*48</f>
        <v/>
      </c>
      <c r="C2378">
        <f>SUMPRODUCT(Calc!$K$3:$K$22*(Calc!$G$3:$G$22&lt;=A2378))</f>
        <v/>
      </c>
      <c r="D2378">
        <f>SUMPRODUCT(Calc!$K$3:$K$22*(Calc!$G$3:$G$22&gt;A2378)*(Calc!$G$3:$G$22&lt;B2378))</f>
        <v/>
      </c>
      <c r="E2378">
        <f>SUMPRODUCT(Calc!$K$3:$K$22*(Calc!$G$3:$G$22&gt;=B2378))</f>
        <v/>
      </c>
      <c r="F2378">
        <f>AND(k_n&gt;=5,B2378&gt;A2378+1E-9,C2378&gt;=2,D2378&gt;=1,E2378&gt;=2)</f>
        <v/>
      </c>
      <c r="G2378">
        <f>SUMPRODUCT(Calc!$K$3:$K$22*(Calc!$G$3:$G$22&gt;A2378)*(Calc!$G$3:$G$22-A2378))</f>
        <v/>
      </c>
      <c r="H2378">
        <f>SUMPRODUCT(Calc!$K$3:$K$22*(Calc!$G$3:$G$22&gt;B2378)*(Calc!$G$3:$G$22-B2378))</f>
        <v/>
      </c>
      <c r="I2378">
        <f>SUMPRODUCT(Calc!$K$3:$K$22*(Calc!$G$3:$G$22&gt;A2378)*(Calc!$G$3:$G$22-A2378)^2)</f>
        <v/>
      </c>
      <c r="J2378">
        <f>SUMPRODUCT(Calc!$K$3:$K$22*(Calc!$G$3:$G$22&gt;B2378)*(Calc!$G$3:$G$22-B2378)^2)</f>
        <v/>
      </c>
      <c r="K2378">
        <f>SUMPRODUCT(Calc!$K$3:$K$22*(Calc!$G$3:$G$22&gt;A2378)*(Calc!$G$3:$G$22-A2378)*(Calc!$G$3:$G$22&gt;B2378)*(Calc!$G$3:$G$22-B2378))</f>
        <v/>
      </c>
      <c r="L2378">
        <f>SUMPRODUCT(Calc!$K$3:$K$22*(Calc!$G$3:$G$22&gt;A2378)*(Calc!$G$3:$G$22-A2378)*Calc!$G$3:$G$22)</f>
        <v/>
      </c>
      <c r="M2378">
        <f>SUMPRODUCT(Calc!$K$3:$K$22*(Calc!$G$3:$G$22&gt;B2378)*(Calc!$G$3:$G$22-B2378)*Calc!$G$3:$G$22)</f>
        <v/>
      </c>
      <c r="N2378">
        <f>SUMPRODUCT(Calc!$K$3:$K$22*(Calc!$G$3:$G$22&gt;A2378)*(Calc!$G$3:$G$22-A2378)*Calc!$I$3:$I$22)</f>
        <v/>
      </c>
      <c r="O2378">
        <f>SUMPRODUCT(Calc!$K$3:$K$22*(Calc!$G$3:$G$22&gt;B2378)*(Calc!$G$3:$G$22-B2378)*Calc!$I$3:$I$22)</f>
        <v/>
      </c>
      <c r="P2378">
        <f>I2378-G2378^2/k_n</f>
        <v/>
      </c>
      <c r="Q2378">
        <f>J2378-H2378^2/k_n</f>
        <v/>
      </c>
      <c r="R2378">
        <f>K2378-G2378*H2378/k_n</f>
        <v/>
      </c>
      <c r="S2378">
        <f>L2378-LTP3!$D$3*G2378/k_n</f>
        <v/>
      </c>
      <c r="T2378">
        <f>M2378-LTP3!$D$3*H2378/k_n</f>
        <v/>
      </c>
      <c r="U2378">
        <f>N2378-G2378*LTP3!$D$4/k_n</f>
        <v/>
      </c>
      <c r="V2378">
        <f>O2378-H2378*LTP3!$D$4/k_n</f>
        <v/>
      </c>
      <c r="W2378">
        <f>((LTP3!$D$5)*((P2378)*(Q2378)-(R2378)*(R2378))-(S2378)*((S2378)*(Q2378)-(R2378)*(T2378))+(T2378)*((S2378)*(R2378)-(P2378)*(T2378)))</f>
        <v/>
      </c>
      <c r="X2378">
        <f>IF(ABS(W2378)&gt;1E-12,((LTP3!$D$6)*((P2378)*(Q2378)-(R2378)*(R2378))-(S2378)*((U2378)*(Q2378)-(R2378)*(V2378))+(T2378)*((U2378)*(R2378)-(P2378)*(V2378)))/W2378,0)</f>
        <v/>
      </c>
      <c r="Y2378">
        <f>IF(ABS(W2378)&gt;1E-12,((LTP3!$D$5)*((U2378)*(Q2378)-(R2378)*(V2378))-(LTP3!$D$6)*((S2378)*(Q2378)-(R2378)*(T2378))+(T2378)*((S2378)*(V2378)-(U2378)*(T2378)))/W2378,0)</f>
        <v/>
      </c>
      <c r="Z2378">
        <f>IF(ABS(W2378)&gt;1E-12,((LTP3!$D$5)*((P2378)*(V2378)-(U2378)*(R2378))-(S2378)*((S2378)*(V2378)-(U2378)*(T2378))+(LTP3!$D$6)*((S2378)*(R2378)-(P2378)*(T2378)))/W2378,0)</f>
        <v/>
      </c>
      <c r="AA2378">
        <f>LTP3!$D$7-X2378*LTP3!$D$6-Y2378*U2378-Z2378*V2378</f>
        <v/>
      </c>
      <c r="AB2378">
        <f>IF(AND(F2378,ABS(W2378)&gt;1E-12,Y2378&gt;0,Z2378&gt;0),AA2378,1E+300)</f>
        <v/>
      </c>
    </row>
    <row r="2379">
      <c r="A2379">
        <f>$B$3+$B$5*38</f>
        <v/>
      </c>
      <c r="B2379">
        <f>$B$3+$B$5*49</f>
        <v/>
      </c>
      <c r="C2379">
        <f>SUMPRODUCT(Calc!$K$3:$K$22*(Calc!$G$3:$G$22&lt;=A2379))</f>
        <v/>
      </c>
      <c r="D2379">
        <f>SUMPRODUCT(Calc!$K$3:$K$22*(Calc!$G$3:$G$22&gt;A2379)*(Calc!$G$3:$G$22&lt;B2379))</f>
        <v/>
      </c>
      <c r="E2379">
        <f>SUMPRODUCT(Calc!$K$3:$K$22*(Calc!$G$3:$G$22&gt;=B2379))</f>
        <v/>
      </c>
      <c r="F2379">
        <f>AND(k_n&gt;=5,B2379&gt;A2379+1E-9,C2379&gt;=2,D2379&gt;=1,E2379&gt;=2)</f>
        <v/>
      </c>
      <c r="G2379">
        <f>SUMPRODUCT(Calc!$K$3:$K$22*(Calc!$G$3:$G$22&gt;A2379)*(Calc!$G$3:$G$22-A2379))</f>
        <v/>
      </c>
      <c r="H2379">
        <f>SUMPRODUCT(Calc!$K$3:$K$22*(Calc!$G$3:$G$22&gt;B2379)*(Calc!$G$3:$G$22-B2379))</f>
        <v/>
      </c>
      <c r="I2379">
        <f>SUMPRODUCT(Calc!$K$3:$K$22*(Calc!$G$3:$G$22&gt;A2379)*(Calc!$G$3:$G$22-A2379)^2)</f>
        <v/>
      </c>
      <c r="J2379">
        <f>SUMPRODUCT(Calc!$K$3:$K$22*(Calc!$G$3:$G$22&gt;B2379)*(Calc!$G$3:$G$22-B2379)^2)</f>
        <v/>
      </c>
      <c r="K2379">
        <f>SUMPRODUCT(Calc!$K$3:$K$22*(Calc!$G$3:$G$22&gt;A2379)*(Calc!$G$3:$G$22-A2379)*(Calc!$G$3:$G$22&gt;B2379)*(Calc!$G$3:$G$22-B2379))</f>
        <v/>
      </c>
      <c r="L2379">
        <f>SUMPRODUCT(Calc!$K$3:$K$22*(Calc!$G$3:$G$22&gt;A2379)*(Calc!$G$3:$G$22-A2379)*Calc!$G$3:$G$22)</f>
        <v/>
      </c>
      <c r="M2379">
        <f>SUMPRODUCT(Calc!$K$3:$K$22*(Calc!$G$3:$G$22&gt;B2379)*(Calc!$G$3:$G$22-B2379)*Calc!$G$3:$G$22)</f>
        <v/>
      </c>
      <c r="N2379">
        <f>SUMPRODUCT(Calc!$K$3:$K$22*(Calc!$G$3:$G$22&gt;A2379)*(Calc!$G$3:$G$22-A2379)*Calc!$I$3:$I$22)</f>
        <v/>
      </c>
      <c r="O2379">
        <f>SUMPRODUCT(Calc!$K$3:$K$22*(Calc!$G$3:$G$22&gt;B2379)*(Calc!$G$3:$G$22-B2379)*Calc!$I$3:$I$22)</f>
        <v/>
      </c>
      <c r="P2379">
        <f>I2379-G2379^2/k_n</f>
        <v/>
      </c>
      <c r="Q2379">
        <f>J2379-H2379^2/k_n</f>
        <v/>
      </c>
      <c r="R2379">
        <f>K2379-G2379*H2379/k_n</f>
        <v/>
      </c>
      <c r="S2379">
        <f>L2379-LTP3!$D$3*G2379/k_n</f>
        <v/>
      </c>
      <c r="T2379">
        <f>M2379-LTP3!$D$3*H2379/k_n</f>
        <v/>
      </c>
      <c r="U2379">
        <f>N2379-G2379*LTP3!$D$4/k_n</f>
        <v/>
      </c>
      <c r="V2379">
        <f>O2379-H2379*LTP3!$D$4/k_n</f>
        <v/>
      </c>
      <c r="W2379">
        <f>((LTP3!$D$5)*((P2379)*(Q2379)-(R2379)*(R2379))-(S2379)*((S2379)*(Q2379)-(R2379)*(T2379))+(T2379)*((S2379)*(R2379)-(P2379)*(T2379)))</f>
        <v/>
      </c>
      <c r="X2379">
        <f>IF(ABS(W2379)&gt;1E-12,((LTP3!$D$6)*((P2379)*(Q2379)-(R2379)*(R2379))-(S2379)*((U2379)*(Q2379)-(R2379)*(V2379))+(T2379)*((U2379)*(R2379)-(P2379)*(V2379)))/W2379,0)</f>
        <v/>
      </c>
      <c r="Y2379">
        <f>IF(ABS(W2379)&gt;1E-12,((LTP3!$D$5)*((U2379)*(Q2379)-(R2379)*(V2379))-(LTP3!$D$6)*((S2379)*(Q2379)-(R2379)*(T2379))+(T2379)*((S2379)*(V2379)-(U2379)*(T2379)))/W2379,0)</f>
        <v/>
      </c>
      <c r="Z2379">
        <f>IF(ABS(W2379)&gt;1E-12,((LTP3!$D$5)*((P2379)*(V2379)-(U2379)*(R2379))-(S2379)*((S2379)*(V2379)-(U2379)*(T2379))+(LTP3!$D$6)*((S2379)*(R2379)-(P2379)*(T2379)))/W2379,0)</f>
        <v/>
      </c>
      <c r="AA2379">
        <f>LTP3!$D$7-X2379*LTP3!$D$6-Y2379*U2379-Z2379*V2379</f>
        <v/>
      </c>
      <c r="AB2379">
        <f>IF(AND(F2379,ABS(W2379)&gt;1E-12,Y2379&gt;0,Z2379&gt;0),AA2379,1E+300)</f>
        <v/>
      </c>
    </row>
    <row r="2380">
      <c r="A2380">
        <f>$B$3+$B$5*38</f>
        <v/>
      </c>
      <c r="B2380">
        <f>$B$3+$B$5*50</f>
        <v/>
      </c>
      <c r="C2380">
        <f>SUMPRODUCT(Calc!$K$3:$K$22*(Calc!$G$3:$G$22&lt;=A2380))</f>
        <v/>
      </c>
      <c r="D2380">
        <f>SUMPRODUCT(Calc!$K$3:$K$22*(Calc!$G$3:$G$22&gt;A2380)*(Calc!$G$3:$G$22&lt;B2380))</f>
        <v/>
      </c>
      <c r="E2380">
        <f>SUMPRODUCT(Calc!$K$3:$K$22*(Calc!$G$3:$G$22&gt;=B2380))</f>
        <v/>
      </c>
      <c r="F2380">
        <f>AND(k_n&gt;=5,B2380&gt;A2380+1E-9,C2380&gt;=2,D2380&gt;=1,E2380&gt;=2)</f>
        <v/>
      </c>
      <c r="G2380">
        <f>SUMPRODUCT(Calc!$K$3:$K$22*(Calc!$G$3:$G$22&gt;A2380)*(Calc!$G$3:$G$22-A2380))</f>
        <v/>
      </c>
      <c r="H2380">
        <f>SUMPRODUCT(Calc!$K$3:$K$22*(Calc!$G$3:$G$22&gt;B2380)*(Calc!$G$3:$G$22-B2380))</f>
        <v/>
      </c>
      <c r="I2380">
        <f>SUMPRODUCT(Calc!$K$3:$K$22*(Calc!$G$3:$G$22&gt;A2380)*(Calc!$G$3:$G$22-A2380)^2)</f>
        <v/>
      </c>
      <c r="J2380">
        <f>SUMPRODUCT(Calc!$K$3:$K$22*(Calc!$G$3:$G$22&gt;B2380)*(Calc!$G$3:$G$22-B2380)^2)</f>
        <v/>
      </c>
      <c r="K2380">
        <f>SUMPRODUCT(Calc!$K$3:$K$22*(Calc!$G$3:$G$22&gt;A2380)*(Calc!$G$3:$G$22-A2380)*(Calc!$G$3:$G$22&gt;B2380)*(Calc!$G$3:$G$22-B2380))</f>
        <v/>
      </c>
      <c r="L2380">
        <f>SUMPRODUCT(Calc!$K$3:$K$22*(Calc!$G$3:$G$22&gt;A2380)*(Calc!$G$3:$G$22-A2380)*Calc!$G$3:$G$22)</f>
        <v/>
      </c>
      <c r="M2380">
        <f>SUMPRODUCT(Calc!$K$3:$K$22*(Calc!$G$3:$G$22&gt;B2380)*(Calc!$G$3:$G$22-B2380)*Calc!$G$3:$G$22)</f>
        <v/>
      </c>
      <c r="N2380">
        <f>SUMPRODUCT(Calc!$K$3:$K$22*(Calc!$G$3:$G$22&gt;A2380)*(Calc!$G$3:$G$22-A2380)*Calc!$I$3:$I$22)</f>
        <v/>
      </c>
      <c r="O2380">
        <f>SUMPRODUCT(Calc!$K$3:$K$22*(Calc!$G$3:$G$22&gt;B2380)*(Calc!$G$3:$G$22-B2380)*Calc!$I$3:$I$22)</f>
        <v/>
      </c>
      <c r="P2380">
        <f>I2380-G2380^2/k_n</f>
        <v/>
      </c>
      <c r="Q2380">
        <f>J2380-H2380^2/k_n</f>
        <v/>
      </c>
      <c r="R2380">
        <f>K2380-G2380*H2380/k_n</f>
        <v/>
      </c>
      <c r="S2380">
        <f>L2380-LTP3!$D$3*G2380/k_n</f>
        <v/>
      </c>
      <c r="T2380">
        <f>M2380-LTP3!$D$3*H2380/k_n</f>
        <v/>
      </c>
      <c r="U2380">
        <f>N2380-G2380*LTP3!$D$4/k_n</f>
        <v/>
      </c>
      <c r="V2380">
        <f>O2380-H2380*LTP3!$D$4/k_n</f>
        <v/>
      </c>
      <c r="W2380">
        <f>((LTP3!$D$5)*((P2380)*(Q2380)-(R2380)*(R2380))-(S2380)*((S2380)*(Q2380)-(R2380)*(T2380))+(T2380)*((S2380)*(R2380)-(P2380)*(T2380)))</f>
        <v/>
      </c>
      <c r="X2380">
        <f>IF(ABS(W2380)&gt;1E-12,((LTP3!$D$6)*((P2380)*(Q2380)-(R2380)*(R2380))-(S2380)*((U2380)*(Q2380)-(R2380)*(V2380))+(T2380)*((U2380)*(R2380)-(P2380)*(V2380)))/W2380,0)</f>
        <v/>
      </c>
      <c r="Y2380">
        <f>IF(ABS(W2380)&gt;1E-12,((LTP3!$D$5)*((U2380)*(Q2380)-(R2380)*(V2380))-(LTP3!$D$6)*((S2380)*(Q2380)-(R2380)*(T2380))+(T2380)*((S2380)*(V2380)-(U2380)*(T2380)))/W2380,0)</f>
        <v/>
      </c>
      <c r="Z2380">
        <f>IF(ABS(W2380)&gt;1E-12,((LTP3!$D$5)*((P2380)*(V2380)-(U2380)*(R2380))-(S2380)*((S2380)*(V2380)-(U2380)*(T2380))+(LTP3!$D$6)*((S2380)*(R2380)-(P2380)*(T2380)))/W2380,0)</f>
        <v/>
      </c>
      <c r="AA2380">
        <f>LTP3!$D$7-X2380*LTP3!$D$6-Y2380*U2380-Z2380*V2380</f>
        <v/>
      </c>
      <c r="AB2380">
        <f>IF(AND(F2380,ABS(W2380)&gt;1E-12,Y2380&gt;0,Z2380&gt;0),AA2380,1E+300)</f>
        <v/>
      </c>
    </row>
    <row r="2381">
      <c r="A2381">
        <f>$B$3+$B$5*38</f>
        <v/>
      </c>
      <c r="B2381">
        <f>$B$3+$B$5*51</f>
        <v/>
      </c>
      <c r="C2381">
        <f>SUMPRODUCT(Calc!$K$3:$K$22*(Calc!$G$3:$G$22&lt;=A2381))</f>
        <v/>
      </c>
      <c r="D2381">
        <f>SUMPRODUCT(Calc!$K$3:$K$22*(Calc!$G$3:$G$22&gt;A2381)*(Calc!$G$3:$G$22&lt;B2381))</f>
        <v/>
      </c>
      <c r="E2381">
        <f>SUMPRODUCT(Calc!$K$3:$K$22*(Calc!$G$3:$G$22&gt;=B2381))</f>
        <v/>
      </c>
      <c r="F2381">
        <f>AND(k_n&gt;=5,B2381&gt;A2381+1E-9,C2381&gt;=2,D2381&gt;=1,E2381&gt;=2)</f>
        <v/>
      </c>
      <c r="G2381">
        <f>SUMPRODUCT(Calc!$K$3:$K$22*(Calc!$G$3:$G$22&gt;A2381)*(Calc!$G$3:$G$22-A2381))</f>
        <v/>
      </c>
      <c r="H2381">
        <f>SUMPRODUCT(Calc!$K$3:$K$22*(Calc!$G$3:$G$22&gt;B2381)*(Calc!$G$3:$G$22-B2381))</f>
        <v/>
      </c>
      <c r="I2381">
        <f>SUMPRODUCT(Calc!$K$3:$K$22*(Calc!$G$3:$G$22&gt;A2381)*(Calc!$G$3:$G$22-A2381)^2)</f>
        <v/>
      </c>
      <c r="J2381">
        <f>SUMPRODUCT(Calc!$K$3:$K$22*(Calc!$G$3:$G$22&gt;B2381)*(Calc!$G$3:$G$22-B2381)^2)</f>
        <v/>
      </c>
      <c r="K2381">
        <f>SUMPRODUCT(Calc!$K$3:$K$22*(Calc!$G$3:$G$22&gt;A2381)*(Calc!$G$3:$G$22-A2381)*(Calc!$G$3:$G$22&gt;B2381)*(Calc!$G$3:$G$22-B2381))</f>
        <v/>
      </c>
      <c r="L2381">
        <f>SUMPRODUCT(Calc!$K$3:$K$22*(Calc!$G$3:$G$22&gt;A2381)*(Calc!$G$3:$G$22-A2381)*Calc!$G$3:$G$22)</f>
        <v/>
      </c>
      <c r="M2381">
        <f>SUMPRODUCT(Calc!$K$3:$K$22*(Calc!$G$3:$G$22&gt;B2381)*(Calc!$G$3:$G$22-B2381)*Calc!$G$3:$G$22)</f>
        <v/>
      </c>
      <c r="N2381">
        <f>SUMPRODUCT(Calc!$K$3:$K$22*(Calc!$G$3:$G$22&gt;A2381)*(Calc!$G$3:$G$22-A2381)*Calc!$I$3:$I$22)</f>
        <v/>
      </c>
      <c r="O2381">
        <f>SUMPRODUCT(Calc!$K$3:$K$22*(Calc!$G$3:$G$22&gt;B2381)*(Calc!$G$3:$G$22-B2381)*Calc!$I$3:$I$22)</f>
        <v/>
      </c>
      <c r="P2381">
        <f>I2381-G2381^2/k_n</f>
        <v/>
      </c>
      <c r="Q2381">
        <f>J2381-H2381^2/k_n</f>
        <v/>
      </c>
      <c r="R2381">
        <f>K2381-G2381*H2381/k_n</f>
        <v/>
      </c>
      <c r="S2381">
        <f>L2381-LTP3!$D$3*G2381/k_n</f>
        <v/>
      </c>
      <c r="T2381">
        <f>M2381-LTP3!$D$3*H2381/k_n</f>
        <v/>
      </c>
      <c r="U2381">
        <f>N2381-G2381*LTP3!$D$4/k_n</f>
        <v/>
      </c>
      <c r="V2381">
        <f>O2381-H2381*LTP3!$D$4/k_n</f>
        <v/>
      </c>
      <c r="W2381">
        <f>((LTP3!$D$5)*((P2381)*(Q2381)-(R2381)*(R2381))-(S2381)*((S2381)*(Q2381)-(R2381)*(T2381))+(T2381)*((S2381)*(R2381)-(P2381)*(T2381)))</f>
        <v/>
      </c>
      <c r="X2381">
        <f>IF(ABS(W2381)&gt;1E-12,((LTP3!$D$6)*((P2381)*(Q2381)-(R2381)*(R2381))-(S2381)*((U2381)*(Q2381)-(R2381)*(V2381))+(T2381)*((U2381)*(R2381)-(P2381)*(V2381)))/W2381,0)</f>
        <v/>
      </c>
      <c r="Y2381">
        <f>IF(ABS(W2381)&gt;1E-12,((LTP3!$D$5)*((U2381)*(Q2381)-(R2381)*(V2381))-(LTP3!$D$6)*((S2381)*(Q2381)-(R2381)*(T2381))+(T2381)*((S2381)*(V2381)-(U2381)*(T2381)))/W2381,0)</f>
        <v/>
      </c>
      <c r="Z2381">
        <f>IF(ABS(W2381)&gt;1E-12,((LTP3!$D$5)*((P2381)*(V2381)-(U2381)*(R2381))-(S2381)*((S2381)*(V2381)-(U2381)*(T2381))+(LTP3!$D$6)*((S2381)*(R2381)-(P2381)*(T2381)))/W2381,0)</f>
        <v/>
      </c>
      <c r="AA2381">
        <f>LTP3!$D$7-X2381*LTP3!$D$6-Y2381*U2381-Z2381*V2381</f>
        <v/>
      </c>
      <c r="AB2381">
        <f>IF(AND(F2381,ABS(W2381)&gt;1E-12,Y2381&gt;0,Z2381&gt;0),AA2381,1E+300)</f>
        <v/>
      </c>
    </row>
    <row r="2382">
      <c r="A2382">
        <f>$B$3+$B$5*38</f>
        <v/>
      </c>
      <c r="B2382">
        <f>$B$3+$B$5*52</f>
        <v/>
      </c>
      <c r="C2382">
        <f>SUMPRODUCT(Calc!$K$3:$K$22*(Calc!$G$3:$G$22&lt;=A2382))</f>
        <v/>
      </c>
      <c r="D2382">
        <f>SUMPRODUCT(Calc!$K$3:$K$22*(Calc!$G$3:$G$22&gt;A2382)*(Calc!$G$3:$G$22&lt;B2382))</f>
        <v/>
      </c>
      <c r="E2382">
        <f>SUMPRODUCT(Calc!$K$3:$K$22*(Calc!$G$3:$G$22&gt;=B2382))</f>
        <v/>
      </c>
      <c r="F2382">
        <f>AND(k_n&gt;=5,B2382&gt;A2382+1E-9,C2382&gt;=2,D2382&gt;=1,E2382&gt;=2)</f>
        <v/>
      </c>
      <c r="G2382">
        <f>SUMPRODUCT(Calc!$K$3:$K$22*(Calc!$G$3:$G$22&gt;A2382)*(Calc!$G$3:$G$22-A2382))</f>
        <v/>
      </c>
      <c r="H2382">
        <f>SUMPRODUCT(Calc!$K$3:$K$22*(Calc!$G$3:$G$22&gt;B2382)*(Calc!$G$3:$G$22-B2382))</f>
        <v/>
      </c>
      <c r="I2382">
        <f>SUMPRODUCT(Calc!$K$3:$K$22*(Calc!$G$3:$G$22&gt;A2382)*(Calc!$G$3:$G$22-A2382)^2)</f>
        <v/>
      </c>
      <c r="J2382">
        <f>SUMPRODUCT(Calc!$K$3:$K$22*(Calc!$G$3:$G$22&gt;B2382)*(Calc!$G$3:$G$22-B2382)^2)</f>
        <v/>
      </c>
      <c r="K2382">
        <f>SUMPRODUCT(Calc!$K$3:$K$22*(Calc!$G$3:$G$22&gt;A2382)*(Calc!$G$3:$G$22-A2382)*(Calc!$G$3:$G$22&gt;B2382)*(Calc!$G$3:$G$22-B2382))</f>
        <v/>
      </c>
      <c r="L2382">
        <f>SUMPRODUCT(Calc!$K$3:$K$22*(Calc!$G$3:$G$22&gt;A2382)*(Calc!$G$3:$G$22-A2382)*Calc!$G$3:$G$22)</f>
        <v/>
      </c>
      <c r="M2382">
        <f>SUMPRODUCT(Calc!$K$3:$K$22*(Calc!$G$3:$G$22&gt;B2382)*(Calc!$G$3:$G$22-B2382)*Calc!$G$3:$G$22)</f>
        <v/>
      </c>
      <c r="N2382">
        <f>SUMPRODUCT(Calc!$K$3:$K$22*(Calc!$G$3:$G$22&gt;A2382)*(Calc!$G$3:$G$22-A2382)*Calc!$I$3:$I$22)</f>
        <v/>
      </c>
      <c r="O2382">
        <f>SUMPRODUCT(Calc!$K$3:$K$22*(Calc!$G$3:$G$22&gt;B2382)*(Calc!$G$3:$G$22-B2382)*Calc!$I$3:$I$22)</f>
        <v/>
      </c>
      <c r="P2382">
        <f>I2382-G2382^2/k_n</f>
        <v/>
      </c>
      <c r="Q2382">
        <f>J2382-H2382^2/k_n</f>
        <v/>
      </c>
      <c r="R2382">
        <f>K2382-G2382*H2382/k_n</f>
        <v/>
      </c>
      <c r="S2382">
        <f>L2382-LTP3!$D$3*G2382/k_n</f>
        <v/>
      </c>
      <c r="T2382">
        <f>M2382-LTP3!$D$3*H2382/k_n</f>
        <v/>
      </c>
      <c r="U2382">
        <f>N2382-G2382*LTP3!$D$4/k_n</f>
        <v/>
      </c>
      <c r="V2382">
        <f>O2382-H2382*LTP3!$D$4/k_n</f>
        <v/>
      </c>
      <c r="W2382">
        <f>((LTP3!$D$5)*((P2382)*(Q2382)-(R2382)*(R2382))-(S2382)*((S2382)*(Q2382)-(R2382)*(T2382))+(T2382)*((S2382)*(R2382)-(P2382)*(T2382)))</f>
        <v/>
      </c>
      <c r="X2382">
        <f>IF(ABS(W2382)&gt;1E-12,((LTP3!$D$6)*((P2382)*(Q2382)-(R2382)*(R2382))-(S2382)*((U2382)*(Q2382)-(R2382)*(V2382))+(T2382)*((U2382)*(R2382)-(P2382)*(V2382)))/W2382,0)</f>
        <v/>
      </c>
      <c r="Y2382">
        <f>IF(ABS(W2382)&gt;1E-12,((LTP3!$D$5)*((U2382)*(Q2382)-(R2382)*(V2382))-(LTP3!$D$6)*((S2382)*(Q2382)-(R2382)*(T2382))+(T2382)*((S2382)*(V2382)-(U2382)*(T2382)))/W2382,0)</f>
        <v/>
      </c>
      <c r="Z2382">
        <f>IF(ABS(W2382)&gt;1E-12,((LTP3!$D$5)*((P2382)*(V2382)-(U2382)*(R2382))-(S2382)*((S2382)*(V2382)-(U2382)*(T2382))+(LTP3!$D$6)*((S2382)*(R2382)-(P2382)*(T2382)))/W2382,0)</f>
        <v/>
      </c>
      <c r="AA2382">
        <f>LTP3!$D$7-X2382*LTP3!$D$6-Y2382*U2382-Z2382*V2382</f>
        <v/>
      </c>
      <c r="AB2382">
        <f>IF(AND(F2382,ABS(W2382)&gt;1E-12,Y2382&gt;0,Z2382&gt;0),AA2382,1E+300)</f>
        <v/>
      </c>
    </row>
    <row r="2383">
      <c r="A2383">
        <f>$B$3+$B$5*38</f>
        <v/>
      </c>
      <c r="B2383">
        <f>$B$3+$B$5*53</f>
        <v/>
      </c>
      <c r="C2383">
        <f>SUMPRODUCT(Calc!$K$3:$K$22*(Calc!$G$3:$G$22&lt;=A2383))</f>
        <v/>
      </c>
      <c r="D2383">
        <f>SUMPRODUCT(Calc!$K$3:$K$22*(Calc!$G$3:$G$22&gt;A2383)*(Calc!$G$3:$G$22&lt;B2383))</f>
        <v/>
      </c>
      <c r="E2383">
        <f>SUMPRODUCT(Calc!$K$3:$K$22*(Calc!$G$3:$G$22&gt;=B2383))</f>
        <v/>
      </c>
      <c r="F2383">
        <f>AND(k_n&gt;=5,B2383&gt;A2383+1E-9,C2383&gt;=2,D2383&gt;=1,E2383&gt;=2)</f>
        <v/>
      </c>
      <c r="G2383">
        <f>SUMPRODUCT(Calc!$K$3:$K$22*(Calc!$G$3:$G$22&gt;A2383)*(Calc!$G$3:$G$22-A2383))</f>
        <v/>
      </c>
      <c r="H2383">
        <f>SUMPRODUCT(Calc!$K$3:$K$22*(Calc!$G$3:$G$22&gt;B2383)*(Calc!$G$3:$G$22-B2383))</f>
        <v/>
      </c>
      <c r="I2383">
        <f>SUMPRODUCT(Calc!$K$3:$K$22*(Calc!$G$3:$G$22&gt;A2383)*(Calc!$G$3:$G$22-A2383)^2)</f>
        <v/>
      </c>
      <c r="J2383">
        <f>SUMPRODUCT(Calc!$K$3:$K$22*(Calc!$G$3:$G$22&gt;B2383)*(Calc!$G$3:$G$22-B2383)^2)</f>
        <v/>
      </c>
      <c r="K2383">
        <f>SUMPRODUCT(Calc!$K$3:$K$22*(Calc!$G$3:$G$22&gt;A2383)*(Calc!$G$3:$G$22-A2383)*(Calc!$G$3:$G$22&gt;B2383)*(Calc!$G$3:$G$22-B2383))</f>
        <v/>
      </c>
      <c r="L2383">
        <f>SUMPRODUCT(Calc!$K$3:$K$22*(Calc!$G$3:$G$22&gt;A2383)*(Calc!$G$3:$G$22-A2383)*Calc!$G$3:$G$22)</f>
        <v/>
      </c>
      <c r="M2383">
        <f>SUMPRODUCT(Calc!$K$3:$K$22*(Calc!$G$3:$G$22&gt;B2383)*(Calc!$G$3:$G$22-B2383)*Calc!$G$3:$G$22)</f>
        <v/>
      </c>
      <c r="N2383">
        <f>SUMPRODUCT(Calc!$K$3:$K$22*(Calc!$G$3:$G$22&gt;A2383)*(Calc!$G$3:$G$22-A2383)*Calc!$I$3:$I$22)</f>
        <v/>
      </c>
      <c r="O2383">
        <f>SUMPRODUCT(Calc!$K$3:$K$22*(Calc!$G$3:$G$22&gt;B2383)*(Calc!$G$3:$G$22-B2383)*Calc!$I$3:$I$22)</f>
        <v/>
      </c>
      <c r="P2383">
        <f>I2383-G2383^2/k_n</f>
        <v/>
      </c>
      <c r="Q2383">
        <f>J2383-H2383^2/k_n</f>
        <v/>
      </c>
      <c r="R2383">
        <f>K2383-G2383*H2383/k_n</f>
        <v/>
      </c>
      <c r="S2383">
        <f>L2383-LTP3!$D$3*G2383/k_n</f>
        <v/>
      </c>
      <c r="T2383">
        <f>M2383-LTP3!$D$3*H2383/k_n</f>
        <v/>
      </c>
      <c r="U2383">
        <f>N2383-G2383*LTP3!$D$4/k_n</f>
        <v/>
      </c>
      <c r="V2383">
        <f>O2383-H2383*LTP3!$D$4/k_n</f>
        <v/>
      </c>
      <c r="W2383">
        <f>((LTP3!$D$5)*((P2383)*(Q2383)-(R2383)*(R2383))-(S2383)*((S2383)*(Q2383)-(R2383)*(T2383))+(T2383)*((S2383)*(R2383)-(P2383)*(T2383)))</f>
        <v/>
      </c>
      <c r="X2383">
        <f>IF(ABS(W2383)&gt;1E-12,((LTP3!$D$6)*((P2383)*(Q2383)-(R2383)*(R2383))-(S2383)*((U2383)*(Q2383)-(R2383)*(V2383))+(T2383)*((U2383)*(R2383)-(P2383)*(V2383)))/W2383,0)</f>
        <v/>
      </c>
      <c r="Y2383">
        <f>IF(ABS(W2383)&gt;1E-12,((LTP3!$D$5)*((U2383)*(Q2383)-(R2383)*(V2383))-(LTP3!$D$6)*((S2383)*(Q2383)-(R2383)*(T2383))+(T2383)*((S2383)*(V2383)-(U2383)*(T2383)))/W2383,0)</f>
        <v/>
      </c>
      <c r="Z2383">
        <f>IF(ABS(W2383)&gt;1E-12,((LTP3!$D$5)*((P2383)*(V2383)-(U2383)*(R2383))-(S2383)*((S2383)*(V2383)-(U2383)*(T2383))+(LTP3!$D$6)*((S2383)*(R2383)-(P2383)*(T2383)))/W2383,0)</f>
        <v/>
      </c>
      <c r="AA2383">
        <f>LTP3!$D$7-X2383*LTP3!$D$6-Y2383*U2383-Z2383*V2383</f>
        <v/>
      </c>
      <c r="AB2383">
        <f>IF(AND(F2383,ABS(W2383)&gt;1E-12,Y2383&gt;0,Z2383&gt;0),AA2383,1E+300)</f>
        <v/>
      </c>
    </row>
    <row r="2384">
      <c r="A2384">
        <f>$B$3+$B$5*38</f>
        <v/>
      </c>
      <c r="B2384">
        <f>$B$3+$B$5*54</f>
        <v/>
      </c>
      <c r="C2384">
        <f>SUMPRODUCT(Calc!$K$3:$K$22*(Calc!$G$3:$G$22&lt;=A2384))</f>
        <v/>
      </c>
      <c r="D2384">
        <f>SUMPRODUCT(Calc!$K$3:$K$22*(Calc!$G$3:$G$22&gt;A2384)*(Calc!$G$3:$G$22&lt;B2384))</f>
        <v/>
      </c>
      <c r="E2384">
        <f>SUMPRODUCT(Calc!$K$3:$K$22*(Calc!$G$3:$G$22&gt;=B2384))</f>
        <v/>
      </c>
      <c r="F2384">
        <f>AND(k_n&gt;=5,B2384&gt;A2384+1E-9,C2384&gt;=2,D2384&gt;=1,E2384&gt;=2)</f>
        <v/>
      </c>
      <c r="G2384">
        <f>SUMPRODUCT(Calc!$K$3:$K$22*(Calc!$G$3:$G$22&gt;A2384)*(Calc!$G$3:$G$22-A2384))</f>
        <v/>
      </c>
      <c r="H2384">
        <f>SUMPRODUCT(Calc!$K$3:$K$22*(Calc!$G$3:$G$22&gt;B2384)*(Calc!$G$3:$G$22-B2384))</f>
        <v/>
      </c>
      <c r="I2384">
        <f>SUMPRODUCT(Calc!$K$3:$K$22*(Calc!$G$3:$G$22&gt;A2384)*(Calc!$G$3:$G$22-A2384)^2)</f>
        <v/>
      </c>
      <c r="J2384">
        <f>SUMPRODUCT(Calc!$K$3:$K$22*(Calc!$G$3:$G$22&gt;B2384)*(Calc!$G$3:$G$22-B2384)^2)</f>
        <v/>
      </c>
      <c r="K2384">
        <f>SUMPRODUCT(Calc!$K$3:$K$22*(Calc!$G$3:$G$22&gt;A2384)*(Calc!$G$3:$G$22-A2384)*(Calc!$G$3:$G$22&gt;B2384)*(Calc!$G$3:$G$22-B2384))</f>
        <v/>
      </c>
      <c r="L2384">
        <f>SUMPRODUCT(Calc!$K$3:$K$22*(Calc!$G$3:$G$22&gt;A2384)*(Calc!$G$3:$G$22-A2384)*Calc!$G$3:$G$22)</f>
        <v/>
      </c>
      <c r="M2384">
        <f>SUMPRODUCT(Calc!$K$3:$K$22*(Calc!$G$3:$G$22&gt;B2384)*(Calc!$G$3:$G$22-B2384)*Calc!$G$3:$G$22)</f>
        <v/>
      </c>
      <c r="N2384">
        <f>SUMPRODUCT(Calc!$K$3:$K$22*(Calc!$G$3:$G$22&gt;A2384)*(Calc!$G$3:$G$22-A2384)*Calc!$I$3:$I$22)</f>
        <v/>
      </c>
      <c r="O2384">
        <f>SUMPRODUCT(Calc!$K$3:$K$22*(Calc!$G$3:$G$22&gt;B2384)*(Calc!$G$3:$G$22-B2384)*Calc!$I$3:$I$22)</f>
        <v/>
      </c>
      <c r="P2384">
        <f>I2384-G2384^2/k_n</f>
        <v/>
      </c>
      <c r="Q2384">
        <f>J2384-H2384^2/k_n</f>
        <v/>
      </c>
      <c r="R2384">
        <f>K2384-G2384*H2384/k_n</f>
        <v/>
      </c>
      <c r="S2384">
        <f>L2384-LTP3!$D$3*G2384/k_n</f>
        <v/>
      </c>
      <c r="T2384">
        <f>M2384-LTP3!$D$3*H2384/k_n</f>
        <v/>
      </c>
      <c r="U2384">
        <f>N2384-G2384*LTP3!$D$4/k_n</f>
        <v/>
      </c>
      <c r="V2384">
        <f>O2384-H2384*LTP3!$D$4/k_n</f>
        <v/>
      </c>
      <c r="W2384">
        <f>((LTP3!$D$5)*((P2384)*(Q2384)-(R2384)*(R2384))-(S2384)*((S2384)*(Q2384)-(R2384)*(T2384))+(T2384)*((S2384)*(R2384)-(P2384)*(T2384)))</f>
        <v/>
      </c>
      <c r="X2384">
        <f>IF(ABS(W2384)&gt;1E-12,((LTP3!$D$6)*((P2384)*(Q2384)-(R2384)*(R2384))-(S2384)*((U2384)*(Q2384)-(R2384)*(V2384))+(T2384)*((U2384)*(R2384)-(P2384)*(V2384)))/W2384,0)</f>
        <v/>
      </c>
      <c r="Y2384">
        <f>IF(ABS(W2384)&gt;1E-12,((LTP3!$D$5)*((U2384)*(Q2384)-(R2384)*(V2384))-(LTP3!$D$6)*((S2384)*(Q2384)-(R2384)*(T2384))+(T2384)*((S2384)*(V2384)-(U2384)*(T2384)))/W2384,0)</f>
        <v/>
      </c>
      <c r="Z2384">
        <f>IF(ABS(W2384)&gt;1E-12,((LTP3!$D$5)*((P2384)*(V2384)-(U2384)*(R2384))-(S2384)*((S2384)*(V2384)-(U2384)*(T2384))+(LTP3!$D$6)*((S2384)*(R2384)-(P2384)*(T2384)))/W2384,0)</f>
        <v/>
      </c>
      <c r="AA2384">
        <f>LTP3!$D$7-X2384*LTP3!$D$6-Y2384*U2384-Z2384*V2384</f>
        <v/>
      </c>
      <c r="AB2384">
        <f>IF(AND(F2384,ABS(W2384)&gt;1E-12,Y2384&gt;0,Z2384&gt;0),AA2384,1E+300)</f>
        <v/>
      </c>
    </row>
    <row r="2385">
      <c r="A2385">
        <f>$B$3+$B$5*38</f>
        <v/>
      </c>
      <c r="B2385">
        <f>$B$3+$B$5*55</f>
        <v/>
      </c>
      <c r="C2385">
        <f>SUMPRODUCT(Calc!$K$3:$K$22*(Calc!$G$3:$G$22&lt;=A2385))</f>
        <v/>
      </c>
      <c r="D2385">
        <f>SUMPRODUCT(Calc!$K$3:$K$22*(Calc!$G$3:$G$22&gt;A2385)*(Calc!$G$3:$G$22&lt;B2385))</f>
        <v/>
      </c>
      <c r="E2385">
        <f>SUMPRODUCT(Calc!$K$3:$K$22*(Calc!$G$3:$G$22&gt;=B2385))</f>
        <v/>
      </c>
      <c r="F2385">
        <f>AND(k_n&gt;=5,B2385&gt;A2385+1E-9,C2385&gt;=2,D2385&gt;=1,E2385&gt;=2)</f>
        <v/>
      </c>
      <c r="G2385">
        <f>SUMPRODUCT(Calc!$K$3:$K$22*(Calc!$G$3:$G$22&gt;A2385)*(Calc!$G$3:$G$22-A2385))</f>
        <v/>
      </c>
      <c r="H2385">
        <f>SUMPRODUCT(Calc!$K$3:$K$22*(Calc!$G$3:$G$22&gt;B2385)*(Calc!$G$3:$G$22-B2385))</f>
        <v/>
      </c>
      <c r="I2385">
        <f>SUMPRODUCT(Calc!$K$3:$K$22*(Calc!$G$3:$G$22&gt;A2385)*(Calc!$G$3:$G$22-A2385)^2)</f>
        <v/>
      </c>
      <c r="J2385">
        <f>SUMPRODUCT(Calc!$K$3:$K$22*(Calc!$G$3:$G$22&gt;B2385)*(Calc!$G$3:$G$22-B2385)^2)</f>
        <v/>
      </c>
      <c r="K2385">
        <f>SUMPRODUCT(Calc!$K$3:$K$22*(Calc!$G$3:$G$22&gt;A2385)*(Calc!$G$3:$G$22-A2385)*(Calc!$G$3:$G$22&gt;B2385)*(Calc!$G$3:$G$22-B2385))</f>
        <v/>
      </c>
      <c r="L2385">
        <f>SUMPRODUCT(Calc!$K$3:$K$22*(Calc!$G$3:$G$22&gt;A2385)*(Calc!$G$3:$G$22-A2385)*Calc!$G$3:$G$22)</f>
        <v/>
      </c>
      <c r="M2385">
        <f>SUMPRODUCT(Calc!$K$3:$K$22*(Calc!$G$3:$G$22&gt;B2385)*(Calc!$G$3:$G$22-B2385)*Calc!$G$3:$G$22)</f>
        <v/>
      </c>
      <c r="N2385">
        <f>SUMPRODUCT(Calc!$K$3:$K$22*(Calc!$G$3:$G$22&gt;A2385)*(Calc!$G$3:$G$22-A2385)*Calc!$I$3:$I$22)</f>
        <v/>
      </c>
      <c r="O2385">
        <f>SUMPRODUCT(Calc!$K$3:$K$22*(Calc!$G$3:$G$22&gt;B2385)*(Calc!$G$3:$G$22-B2385)*Calc!$I$3:$I$22)</f>
        <v/>
      </c>
      <c r="P2385">
        <f>I2385-G2385^2/k_n</f>
        <v/>
      </c>
      <c r="Q2385">
        <f>J2385-H2385^2/k_n</f>
        <v/>
      </c>
      <c r="R2385">
        <f>K2385-G2385*H2385/k_n</f>
        <v/>
      </c>
      <c r="S2385">
        <f>L2385-LTP3!$D$3*G2385/k_n</f>
        <v/>
      </c>
      <c r="T2385">
        <f>M2385-LTP3!$D$3*H2385/k_n</f>
        <v/>
      </c>
      <c r="U2385">
        <f>N2385-G2385*LTP3!$D$4/k_n</f>
        <v/>
      </c>
      <c r="V2385">
        <f>O2385-H2385*LTP3!$D$4/k_n</f>
        <v/>
      </c>
      <c r="W2385">
        <f>((LTP3!$D$5)*((P2385)*(Q2385)-(R2385)*(R2385))-(S2385)*((S2385)*(Q2385)-(R2385)*(T2385))+(T2385)*((S2385)*(R2385)-(P2385)*(T2385)))</f>
        <v/>
      </c>
      <c r="X2385">
        <f>IF(ABS(W2385)&gt;1E-12,((LTP3!$D$6)*((P2385)*(Q2385)-(R2385)*(R2385))-(S2385)*((U2385)*(Q2385)-(R2385)*(V2385))+(T2385)*((U2385)*(R2385)-(P2385)*(V2385)))/W2385,0)</f>
        <v/>
      </c>
      <c r="Y2385">
        <f>IF(ABS(W2385)&gt;1E-12,((LTP3!$D$5)*((U2385)*(Q2385)-(R2385)*(V2385))-(LTP3!$D$6)*((S2385)*(Q2385)-(R2385)*(T2385))+(T2385)*((S2385)*(V2385)-(U2385)*(T2385)))/W2385,0)</f>
        <v/>
      </c>
      <c r="Z2385">
        <f>IF(ABS(W2385)&gt;1E-12,((LTP3!$D$5)*((P2385)*(V2385)-(U2385)*(R2385))-(S2385)*((S2385)*(V2385)-(U2385)*(T2385))+(LTP3!$D$6)*((S2385)*(R2385)-(P2385)*(T2385)))/W2385,0)</f>
        <v/>
      </c>
      <c r="AA2385">
        <f>LTP3!$D$7-X2385*LTP3!$D$6-Y2385*U2385-Z2385*V2385</f>
        <v/>
      </c>
      <c r="AB2385">
        <f>IF(AND(F2385,ABS(W2385)&gt;1E-12,Y2385&gt;0,Z2385&gt;0),AA2385,1E+300)</f>
        <v/>
      </c>
    </row>
    <row r="2386">
      <c r="A2386">
        <f>$B$3+$B$5*38</f>
        <v/>
      </c>
      <c r="B2386">
        <f>$B$3+$B$5*56</f>
        <v/>
      </c>
      <c r="C2386">
        <f>SUMPRODUCT(Calc!$K$3:$K$22*(Calc!$G$3:$G$22&lt;=A2386))</f>
        <v/>
      </c>
      <c r="D2386">
        <f>SUMPRODUCT(Calc!$K$3:$K$22*(Calc!$G$3:$G$22&gt;A2386)*(Calc!$G$3:$G$22&lt;B2386))</f>
        <v/>
      </c>
      <c r="E2386">
        <f>SUMPRODUCT(Calc!$K$3:$K$22*(Calc!$G$3:$G$22&gt;=B2386))</f>
        <v/>
      </c>
      <c r="F2386">
        <f>AND(k_n&gt;=5,B2386&gt;A2386+1E-9,C2386&gt;=2,D2386&gt;=1,E2386&gt;=2)</f>
        <v/>
      </c>
      <c r="G2386">
        <f>SUMPRODUCT(Calc!$K$3:$K$22*(Calc!$G$3:$G$22&gt;A2386)*(Calc!$G$3:$G$22-A2386))</f>
        <v/>
      </c>
      <c r="H2386">
        <f>SUMPRODUCT(Calc!$K$3:$K$22*(Calc!$G$3:$G$22&gt;B2386)*(Calc!$G$3:$G$22-B2386))</f>
        <v/>
      </c>
      <c r="I2386">
        <f>SUMPRODUCT(Calc!$K$3:$K$22*(Calc!$G$3:$G$22&gt;A2386)*(Calc!$G$3:$G$22-A2386)^2)</f>
        <v/>
      </c>
      <c r="J2386">
        <f>SUMPRODUCT(Calc!$K$3:$K$22*(Calc!$G$3:$G$22&gt;B2386)*(Calc!$G$3:$G$22-B2386)^2)</f>
        <v/>
      </c>
      <c r="K2386">
        <f>SUMPRODUCT(Calc!$K$3:$K$22*(Calc!$G$3:$G$22&gt;A2386)*(Calc!$G$3:$G$22-A2386)*(Calc!$G$3:$G$22&gt;B2386)*(Calc!$G$3:$G$22-B2386))</f>
        <v/>
      </c>
      <c r="L2386">
        <f>SUMPRODUCT(Calc!$K$3:$K$22*(Calc!$G$3:$G$22&gt;A2386)*(Calc!$G$3:$G$22-A2386)*Calc!$G$3:$G$22)</f>
        <v/>
      </c>
      <c r="M2386">
        <f>SUMPRODUCT(Calc!$K$3:$K$22*(Calc!$G$3:$G$22&gt;B2386)*(Calc!$G$3:$G$22-B2386)*Calc!$G$3:$G$22)</f>
        <v/>
      </c>
      <c r="N2386">
        <f>SUMPRODUCT(Calc!$K$3:$K$22*(Calc!$G$3:$G$22&gt;A2386)*(Calc!$G$3:$G$22-A2386)*Calc!$I$3:$I$22)</f>
        <v/>
      </c>
      <c r="O2386">
        <f>SUMPRODUCT(Calc!$K$3:$K$22*(Calc!$G$3:$G$22&gt;B2386)*(Calc!$G$3:$G$22-B2386)*Calc!$I$3:$I$22)</f>
        <v/>
      </c>
      <c r="P2386">
        <f>I2386-G2386^2/k_n</f>
        <v/>
      </c>
      <c r="Q2386">
        <f>J2386-H2386^2/k_n</f>
        <v/>
      </c>
      <c r="R2386">
        <f>K2386-G2386*H2386/k_n</f>
        <v/>
      </c>
      <c r="S2386">
        <f>L2386-LTP3!$D$3*G2386/k_n</f>
        <v/>
      </c>
      <c r="T2386">
        <f>M2386-LTP3!$D$3*H2386/k_n</f>
        <v/>
      </c>
      <c r="U2386">
        <f>N2386-G2386*LTP3!$D$4/k_n</f>
        <v/>
      </c>
      <c r="V2386">
        <f>O2386-H2386*LTP3!$D$4/k_n</f>
        <v/>
      </c>
      <c r="W2386">
        <f>((LTP3!$D$5)*((P2386)*(Q2386)-(R2386)*(R2386))-(S2386)*((S2386)*(Q2386)-(R2386)*(T2386))+(T2386)*((S2386)*(R2386)-(P2386)*(T2386)))</f>
        <v/>
      </c>
      <c r="X2386">
        <f>IF(ABS(W2386)&gt;1E-12,((LTP3!$D$6)*((P2386)*(Q2386)-(R2386)*(R2386))-(S2386)*((U2386)*(Q2386)-(R2386)*(V2386))+(T2386)*((U2386)*(R2386)-(P2386)*(V2386)))/W2386,0)</f>
        <v/>
      </c>
      <c r="Y2386">
        <f>IF(ABS(W2386)&gt;1E-12,((LTP3!$D$5)*((U2386)*(Q2386)-(R2386)*(V2386))-(LTP3!$D$6)*((S2386)*(Q2386)-(R2386)*(T2386))+(T2386)*((S2386)*(V2386)-(U2386)*(T2386)))/W2386,0)</f>
        <v/>
      </c>
      <c r="Z2386">
        <f>IF(ABS(W2386)&gt;1E-12,((LTP3!$D$5)*((P2386)*(V2386)-(U2386)*(R2386))-(S2386)*((S2386)*(V2386)-(U2386)*(T2386))+(LTP3!$D$6)*((S2386)*(R2386)-(P2386)*(T2386)))/W2386,0)</f>
        <v/>
      </c>
      <c r="AA2386">
        <f>LTP3!$D$7-X2386*LTP3!$D$6-Y2386*U2386-Z2386*V2386</f>
        <v/>
      </c>
      <c r="AB2386">
        <f>IF(AND(F2386,ABS(W2386)&gt;1E-12,Y2386&gt;0,Z2386&gt;0),AA2386,1E+300)</f>
        <v/>
      </c>
    </row>
    <row r="2387">
      <c r="A2387">
        <f>$B$3+$B$5*38</f>
        <v/>
      </c>
      <c r="B2387">
        <f>$B$3+$B$5*57</f>
        <v/>
      </c>
      <c r="C2387">
        <f>SUMPRODUCT(Calc!$K$3:$K$22*(Calc!$G$3:$G$22&lt;=A2387))</f>
        <v/>
      </c>
      <c r="D2387">
        <f>SUMPRODUCT(Calc!$K$3:$K$22*(Calc!$G$3:$G$22&gt;A2387)*(Calc!$G$3:$G$22&lt;B2387))</f>
        <v/>
      </c>
      <c r="E2387">
        <f>SUMPRODUCT(Calc!$K$3:$K$22*(Calc!$G$3:$G$22&gt;=B2387))</f>
        <v/>
      </c>
      <c r="F2387">
        <f>AND(k_n&gt;=5,B2387&gt;A2387+1E-9,C2387&gt;=2,D2387&gt;=1,E2387&gt;=2)</f>
        <v/>
      </c>
      <c r="G2387">
        <f>SUMPRODUCT(Calc!$K$3:$K$22*(Calc!$G$3:$G$22&gt;A2387)*(Calc!$G$3:$G$22-A2387))</f>
        <v/>
      </c>
      <c r="H2387">
        <f>SUMPRODUCT(Calc!$K$3:$K$22*(Calc!$G$3:$G$22&gt;B2387)*(Calc!$G$3:$G$22-B2387))</f>
        <v/>
      </c>
      <c r="I2387">
        <f>SUMPRODUCT(Calc!$K$3:$K$22*(Calc!$G$3:$G$22&gt;A2387)*(Calc!$G$3:$G$22-A2387)^2)</f>
        <v/>
      </c>
      <c r="J2387">
        <f>SUMPRODUCT(Calc!$K$3:$K$22*(Calc!$G$3:$G$22&gt;B2387)*(Calc!$G$3:$G$22-B2387)^2)</f>
        <v/>
      </c>
      <c r="K2387">
        <f>SUMPRODUCT(Calc!$K$3:$K$22*(Calc!$G$3:$G$22&gt;A2387)*(Calc!$G$3:$G$22-A2387)*(Calc!$G$3:$G$22&gt;B2387)*(Calc!$G$3:$G$22-B2387))</f>
        <v/>
      </c>
      <c r="L2387">
        <f>SUMPRODUCT(Calc!$K$3:$K$22*(Calc!$G$3:$G$22&gt;A2387)*(Calc!$G$3:$G$22-A2387)*Calc!$G$3:$G$22)</f>
        <v/>
      </c>
      <c r="M2387">
        <f>SUMPRODUCT(Calc!$K$3:$K$22*(Calc!$G$3:$G$22&gt;B2387)*(Calc!$G$3:$G$22-B2387)*Calc!$G$3:$G$22)</f>
        <v/>
      </c>
      <c r="N2387">
        <f>SUMPRODUCT(Calc!$K$3:$K$22*(Calc!$G$3:$G$22&gt;A2387)*(Calc!$G$3:$G$22-A2387)*Calc!$I$3:$I$22)</f>
        <v/>
      </c>
      <c r="O2387">
        <f>SUMPRODUCT(Calc!$K$3:$K$22*(Calc!$G$3:$G$22&gt;B2387)*(Calc!$G$3:$G$22-B2387)*Calc!$I$3:$I$22)</f>
        <v/>
      </c>
      <c r="P2387">
        <f>I2387-G2387^2/k_n</f>
        <v/>
      </c>
      <c r="Q2387">
        <f>J2387-H2387^2/k_n</f>
        <v/>
      </c>
      <c r="R2387">
        <f>K2387-G2387*H2387/k_n</f>
        <v/>
      </c>
      <c r="S2387">
        <f>L2387-LTP3!$D$3*G2387/k_n</f>
        <v/>
      </c>
      <c r="T2387">
        <f>M2387-LTP3!$D$3*H2387/k_n</f>
        <v/>
      </c>
      <c r="U2387">
        <f>N2387-G2387*LTP3!$D$4/k_n</f>
        <v/>
      </c>
      <c r="V2387">
        <f>O2387-H2387*LTP3!$D$4/k_n</f>
        <v/>
      </c>
      <c r="W2387">
        <f>((LTP3!$D$5)*((P2387)*(Q2387)-(R2387)*(R2387))-(S2387)*((S2387)*(Q2387)-(R2387)*(T2387))+(T2387)*((S2387)*(R2387)-(P2387)*(T2387)))</f>
        <v/>
      </c>
      <c r="X2387">
        <f>IF(ABS(W2387)&gt;1E-12,((LTP3!$D$6)*((P2387)*(Q2387)-(R2387)*(R2387))-(S2387)*((U2387)*(Q2387)-(R2387)*(V2387))+(T2387)*((U2387)*(R2387)-(P2387)*(V2387)))/W2387,0)</f>
        <v/>
      </c>
      <c r="Y2387">
        <f>IF(ABS(W2387)&gt;1E-12,((LTP3!$D$5)*((U2387)*(Q2387)-(R2387)*(V2387))-(LTP3!$D$6)*((S2387)*(Q2387)-(R2387)*(T2387))+(T2387)*((S2387)*(V2387)-(U2387)*(T2387)))/W2387,0)</f>
        <v/>
      </c>
      <c r="Z2387">
        <f>IF(ABS(W2387)&gt;1E-12,((LTP3!$D$5)*((P2387)*(V2387)-(U2387)*(R2387))-(S2387)*((S2387)*(V2387)-(U2387)*(T2387))+(LTP3!$D$6)*((S2387)*(R2387)-(P2387)*(T2387)))/W2387,0)</f>
        <v/>
      </c>
      <c r="AA2387">
        <f>LTP3!$D$7-X2387*LTP3!$D$6-Y2387*U2387-Z2387*V2387</f>
        <v/>
      </c>
      <c r="AB2387">
        <f>IF(AND(F2387,ABS(W2387)&gt;1E-12,Y2387&gt;0,Z2387&gt;0),AA2387,1E+300)</f>
        <v/>
      </c>
    </row>
    <row r="2388">
      <c r="A2388">
        <f>$B$3+$B$5*38</f>
        <v/>
      </c>
      <c r="B2388">
        <f>$B$3+$B$5*58</f>
        <v/>
      </c>
      <c r="C2388">
        <f>SUMPRODUCT(Calc!$K$3:$K$22*(Calc!$G$3:$G$22&lt;=A2388))</f>
        <v/>
      </c>
      <c r="D2388">
        <f>SUMPRODUCT(Calc!$K$3:$K$22*(Calc!$G$3:$G$22&gt;A2388)*(Calc!$G$3:$G$22&lt;B2388))</f>
        <v/>
      </c>
      <c r="E2388">
        <f>SUMPRODUCT(Calc!$K$3:$K$22*(Calc!$G$3:$G$22&gt;=B2388))</f>
        <v/>
      </c>
      <c r="F2388">
        <f>AND(k_n&gt;=5,B2388&gt;A2388+1E-9,C2388&gt;=2,D2388&gt;=1,E2388&gt;=2)</f>
        <v/>
      </c>
      <c r="G2388">
        <f>SUMPRODUCT(Calc!$K$3:$K$22*(Calc!$G$3:$G$22&gt;A2388)*(Calc!$G$3:$G$22-A2388))</f>
        <v/>
      </c>
      <c r="H2388">
        <f>SUMPRODUCT(Calc!$K$3:$K$22*(Calc!$G$3:$G$22&gt;B2388)*(Calc!$G$3:$G$22-B2388))</f>
        <v/>
      </c>
      <c r="I2388">
        <f>SUMPRODUCT(Calc!$K$3:$K$22*(Calc!$G$3:$G$22&gt;A2388)*(Calc!$G$3:$G$22-A2388)^2)</f>
        <v/>
      </c>
      <c r="J2388">
        <f>SUMPRODUCT(Calc!$K$3:$K$22*(Calc!$G$3:$G$22&gt;B2388)*(Calc!$G$3:$G$22-B2388)^2)</f>
        <v/>
      </c>
      <c r="K2388">
        <f>SUMPRODUCT(Calc!$K$3:$K$22*(Calc!$G$3:$G$22&gt;A2388)*(Calc!$G$3:$G$22-A2388)*(Calc!$G$3:$G$22&gt;B2388)*(Calc!$G$3:$G$22-B2388))</f>
        <v/>
      </c>
      <c r="L2388">
        <f>SUMPRODUCT(Calc!$K$3:$K$22*(Calc!$G$3:$G$22&gt;A2388)*(Calc!$G$3:$G$22-A2388)*Calc!$G$3:$G$22)</f>
        <v/>
      </c>
      <c r="M2388">
        <f>SUMPRODUCT(Calc!$K$3:$K$22*(Calc!$G$3:$G$22&gt;B2388)*(Calc!$G$3:$G$22-B2388)*Calc!$G$3:$G$22)</f>
        <v/>
      </c>
      <c r="N2388">
        <f>SUMPRODUCT(Calc!$K$3:$K$22*(Calc!$G$3:$G$22&gt;A2388)*(Calc!$G$3:$G$22-A2388)*Calc!$I$3:$I$22)</f>
        <v/>
      </c>
      <c r="O2388">
        <f>SUMPRODUCT(Calc!$K$3:$K$22*(Calc!$G$3:$G$22&gt;B2388)*(Calc!$G$3:$G$22-B2388)*Calc!$I$3:$I$22)</f>
        <v/>
      </c>
      <c r="P2388">
        <f>I2388-G2388^2/k_n</f>
        <v/>
      </c>
      <c r="Q2388">
        <f>J2388-H2388^2/k_n</f>
        <v/>
      </c>
      <c r="R2388">
        <f>K2388-G2388*H2388/k_n</f>
        <v/>
      </c>
      <c r="S2388">
        <f>L2388-LTP3!$D$3*G2388/k_n</f>
        <v/>
      </c>
      <c r="T2388">
        <f>M2388-LTP3!$D$3*H2388/k_n</f>
        <v/>
      </c>
      <c r="U2388">
        <f>N2388-G2388*LTP3!$D$4/k_n</f>
        <v/>
      </c>
      <c r="V2388">
        <f>O2388-H2388*LTP3!$D$4/k_n</f>
        <v/>
      </c>
      <c r="W2388">
        <f>((LTP3!$D$5)*((P2388)*(Q2388)-(R2388)*(R2388))-(S2388)*((S2388)*(Q2388)-(R2388)*(T2388))+(T2388)*((S2388)*(R2388)-(P2388)*(T2388)))</f>
        <v/>
      </c>
      <c r="X2388">
        <f>IF(ABS(W2388)&gt;1E-12,((LTP3!$D$6)*((P2388)*(Q2388)-(R2388)*(R2388))-(S2388)*((U2388)*(Q2388)-(R2388)*(V2388))+(T2388)*((U2388)*(R2388)-(P2388)*(V2388)))/W2388,0)</f>
        <v/>
      </c>
      <c r="Y2388">
        <f>IF(ABS(W2388)&gt;1E-12,((LTP3!$D$5)*((U2388)*(Q2388)-(R2388)*(V2388))-(LTP3!$D$6)*((S2388)*(Q2388)-(R2388)*(T2388))+(T2388)*((S2388)*(V2388)-(U2388)*(T2388)))/W2388,0)</f>
        <v/>
      </c>
      <c r="Z2388">
        <f>IF(ABS(W2388)&gt;1E-12,((LTP3!$D$5)*((P2388)*(V2388)-(U2388)*(R2388))-(S2388)*((S2388)*(V2388)-(U2388)*(T2388))+(LTP3!$D$6)*((S2388)*(R2388)-(P2388)*(T2388)))/W2388,0)</f>
        <v/>
      </c>
      <c r="AA2388">
        <f>LTP3!$D$7-X2388*LTP3!$D$6-Y2388*U2388-Z2388*V2388</f>
        <v/>
      </c>
      <c r="AB2388">
        <f>IF(AND(F2388,ABS(W2388)&gt;1E-12,Y2388&gt;0,Z2388&gt;0),AA2388,1E+300)</f>
        <v/>
      </c>
    </row>
    <row r="2389">
      <c r="A2389">
        <f>$B$3+$B$5*38</f>
        <v/>
      </c>
      <c r="B2389">
        <f>$B$3+$B$5*59</f>
        <v/>
      </c>
      <c r="C2389">
        <f>SUMPRODUCT(Calc!$K$3:$K$22*(Calc!$G$3:$G$22&lt;=A2389))</f>
        <v/>
      </c>
      <c r="D2389">
        <f>SUMPRODUCT(Calc!$K$3:$K$22*(Calc!$G$3:$G$22&gt;A2389)*(Calc!$G$3:$G$22&lt;B2389))</f>
        <v/>
      </c>
      <c r="E2389">
        <f>SUMPRODUCT(Calc!$K$3:$K$22*(Calc!$G$3:$G$22&gt;=B2389))</f>
        <v/>
      </c>
      <c r="F2389">
        <f>AND(k_n&gt;=5,B2389&gt;A2389+1E-9,C2389&gt;=2,D2389&gt;=1,E2389&gt;=2)</f>
        <v/>
      </c>
      <c r="G2389">
        <f>SUMPRODUCT(Calc!$K$3:$K$22*(Calc!$G$3:$G$22&gt;A2389)*(Calc!$G$3:$G$22-A2389))</f>
        <v/>
      </c>
      <c r="H2389">
        <f>SUMPRODUCT(Calc!$K$3:$K$22*(Calc!$G$3:$G$22&gt;B2389)*(Calc!$G$3:$G$22-B2389))</f>
        <v/>
      </c>
      <c r="I2389">
        <f>SUMPRODUCT(Calc!$K$3:$K$22*(Calc!$G$3:$G$22&gt;A2389)*(Calc!$G$3:$G$22-A2389)^2)</f>
        <v/>
      </c>
      <c r="J2389">
        <f>SUMPRODUCT(Calc!$K$3:$K$22*(Calc!$G$3:$G$22&gt;B2389)*(Calc!$G$3:$G$22-B2389)^2)</f>
        <v/>
      </c>
      <c r="K2389">
        <f>SUMPRODUCT(Calc!$K$3:$K$22*(Calc!$G$3:$G$22&gt;A2389)*(Calc!$G$3:$G$22-A2389)*(Calc!$G$3:$G$22&gt;B2389)*(Calc!$G$3:$G$22-B2389))</f>
        <v/>
      </c>
      <c r="L2389">
        <f>SUMPRODUCT(Calc!$K$3:$K$22*(Calc!$G$3:$G$22&gt;A2389)*(Calc!$G$3:$G$22-A2389)*Calc!$G$3:$G$22)</f>
        <v/>
      </c>
      <c r="M2389">
        <f>SUMPRODUCT(Calc!$K$3:$K$22*(Calc!$G$3:$G$22&gt;B2389)*(Calc!$G$3:$G$22-B2389)*Calc!$G$3:$G$22)</f>
        <v/>
      </c>
      <c r="N2389">
        <f>SUMPRODUCT(Calc!$K$3:$K$22*(Calc!$G$3:$G$22&gt;A2389)*(Calc!$G$3:$G$22-A2389)*Calc!$I$3:$I$22)</f>
        <v/>
      </c>
      <c r="O2389">
        <f>SUMPRODUCT(Calc!$K$3:$K$22*(Calc!$G$3:$G$22&gt;B2389)*(Calc!$G$3:$G$22-B2389)*Calc!$I$3:$I$22)</f>
        <v/>
      </c>
      <c r="P2389">
        <f>I2389-G2389^2/k_n</f>
        <v/>
      </c>
      <c r="Q2389">
        <f>J2389-H2389^2/k_n</f>
        <v/>
      </c>
      <c r="R2389">
        <f>K2389-G2389*H2389/k_n</f>
        <v/>
      </c>
      <c r="S2389">
        <f>L2389-LTP3!$D$3*G2389/k_n</f>
        <v/>
      </c>
      <c r="T2389">
        <f>M2389-LTP3!$D$3*H2389/k_n</f>
        <v/>
      </c>
      <c r="U2389">
        <f>N2389-G2389*LTP3!$D$4/k_n</f>
        <v/>
      </c>
      <c r="V2389">
        <f>O2389-H2389*LTP3!$D$4/k_n</f>
        <v/>
      </c>
      <c r="W2389">
        <f>((LTP3!$D$5)*((P2389)*(Q2389)-(R2389)*(R2389))-(S2389)*((S2389)*(Q2389)-(R2389)*(T2389))+(T2389)*((S2389)*(R2389)-(P2389)*(T2389)))</f>
        <v/>
      </c>
      <c r="X2389">
        <f>IF(ABS(W2389)&gt;1E-12,((LTP3!$D$6)*((P2389)*(Q2389)-(R2389)*(R2389))-(S2389)*((U2389)*(Q2389)-(R2389)*(V2389))+(T2389)*((U2389)*(R2389)-(P2389)*(V2389)))/W2389,0)</f>
        <v/>
      </c>
      <c r="Y2389">
        <f>IF(ABS(W2389)&gt;1E-12,((LTP3!$D$5)*((U2389)*(Q2389)-(R2389)*(V2389))-(LTP3!$D$6)*((S2389)*(Q2389)-(R2389)*(T2389))+(T2389)*((S2389)*(V2389)-(U2389)*(T2389)))/W2389,0)</f>
        <v/>
      </c>
      <c r="Z2389">
        <f>IF(ABS(W2389)&gt;1E-12,((LTP3!$D$5)*((P2389)*(V2389)-(U2389)*(R2389))-(S2389)*((S2389)*(V2389)-(U2389)*(T2389))+(LTP3!$D$6)*((S2389)*(R2389)-(P2389)*(T2389)))/W2389,0)</f>
        <v/>
      </c>
      <c r="AA2389">
        <f>LTP3!$D$7-X2389*LTP3!$D$6-Y2389*U2389-Z2389*V2389</f>
        <v/>
      </c>
      <c r="AB2389">
        <f>IF(AND(F2389,ABS(W2389)&gt;1E-12,Y2389&gt;0,Z2389&gt;0),AA2389,1E+300)</f>
        <v/>
      </c>
    </row>
    <row r="2390">
      <c r="A2390">
        <f>$B$3+$B$5*38</f>
        <v/>
      </c>
      <c r="B2390">
        <f>$B$3+$B$5*60</f>
        <v/>
      </c>
      <c r="C2390">
        <f>SUMPRODUCT(Calc!$K$3:$K$22*(Calc!$G$3:$G$22&lt;=A2390))</f>
        <v/>
      </c>
      <c r="D2390">
        <f>SUMPRODUCT(Calc!$K$3:$K$22*(Calc!$G$3:$G$22&gt;A2390)*(Calc!$G$3:$G$22&lt;B2390))</f>
        <v/>
      </c>
      <c r="E2390">
        <f>SUMPRODUCT(Calc!$K$3:$K$22*(Calc!$G$3:$G$22&gt;=B2390))</f>
        <v/>
      </c>
      <c r="F2390">
        <f>AND(k_n&gt;=5,B2390&gt;A2390+1E-9,C2390&gt;=2,D2390&gt;=1,E2390&gt;=2)</f>
        <v/>
      </c>
      <c r="G2390">
        <f>SUMPRODUCT(Calc!$K$3:$K$22*(Calc!$G$3:$G$22&gt;A2390)*(Calc!$G$3:$G$22-A2390))</f>
        <v/>
      </c>
      <c r="H2390">
        <f>SUMPRODUCT(Calc!$K$3:$K$22*(Calc!$G$3:$G$22&gt;B2390)*(Calc!$G$3:$G$22-B2390))</f>
        <v/>
      </c>
      <c r="I2390">
        <f>SUMPRODUCT(Calc!$K$3:$K$22*(Calc!$G$3:$G$22&gt;A2390)*(Calc!$G$3:$G$22-A2390)^2)</f>
        <v/>
      </c>
      <c r="J2390">
        <f>SUMPRODUCT(Calc!$K$3:$K$22*(Calc!$G$3:$G$22&gt;B2390)*(Calc!$G$3:$G$22-B2390)^2)</f>
        <v/>
      </c>
      <c r="K2390">
        <f>SUMPRODUCT(Calc!$K$3:$K$22*(Calc!$G$3:$G$22&gt;A2390)*(Calc!$G$3:$G$22-A2390)*(Calc!$G$3:$G$22&gt;B2390)*(Calc!$G$3:$G$22-B2390))</f>
        <v/>
      </c>
      <c r="L2390">
        <f>SUMPRODUCT(Calc!$K$3:$K$22*(Calc!$G$3:$G$22&gt;A2390)*(Calc!$G$3:$G$22-A2390)*Calc!$G$3:$G$22)</f>
        <v/>
      </c>
      <c r="M2390">
        <f>SUMPRODUCT(Calc!$K$3:$K$22*(Calc!$G$3:$G$22&gt;B2390)*(Calc!$G$3:$G$22-B2390)*Calc!$G$3:$G$22)</f>
        <v/>
      </c>
      <c r="N2390">
        <f>SUMPRODUCT(Calc!$K$3:$K$22*(Calc!$G$3:$G$22&gt;A2390)*(Calc!$G$3:$G$22-A2390)*Calc!$I$3:$I$22)</f>
        <v/>
      </c>
      <c r="O2390">
        <f>SUMPRODUCT(Calc!$K$3:$K$22*(Calc!$G$3:$G$22&gt;B2390)*(Calc!$G$3:$G$22-B2390)*Calc!$I$3:$I$22)</f>
        <v/>
      </c>
      <c r="P2390">
        <f>I2390-G2390^2/k_n</f>
        <v/>
      </c>
      <c r="Q2390">
        <f>J2390-H2390^2/k_n</f>
        <v/>
      </c>
      <c r="R2390">
        <f>K2390-G2390*H2390/k_n</f>
        <v/>
      </c>
      <c r="S2390">
        <f>L2390-LTP3!$D$3*G2390/k_n</f>
        <v/>
      </c>
      <c r="T2390">
        <f>M2390-LTP3!$D$3*H2390/k_n</f>
        <v/>
      </c>
      <c r="U2390">
        <f>N2390-G2390*LTP3!$D$4/k_n</f>
        <v/>
      </c>
      <c r="V2390">
        <f>O2390-H2390*LTP3!$D$4/k_n</f>
        <v/>
      </c>
      <c r="W2390">
        <f>((LTP3!$D$5)*((P2390)*(Q2390)-(R2390)*(R2390))-(S2390)*((S2390)*(Q2390)-(R2390)*(T2390))+(T2390)*((S2390)*(R2390)-(P2390)*(T2390)))</f>
        <v/>
      </c>
      <c r="X2390">
        <f>IF(ABS(W2390)&gt;1E-12,((LTP3!$D$6)*((P2390)*(Q2390)-(R2390)*(R2390))-(S2390)*((U2390)*(Q2390)-(R2390)*(V2390))+(T2390)*((U2390)*(R2390)-(P2390)*(V2390)))/W2390,0)</f>
        <v/>
      </c>
      <c r="Y2390">
        <f>IF(ABS(W2390)&gt;1E-12,((LTP3!$D$5)*((U2390)*(Q2390)-(R2390)*(V2390))-(LTP3!$D$6)*((S2390)*(Q2390)-(R2390)*(T2390))+(T2390)*((S2390)*(V2390)-(U2390)*(T2390)))/W2390,0)</f>
        <v/>
      </c>
      <c r="Z2390">
        <f>IF(ABS(W2390)&gt;1E-12,((LTP3!$D$5)*((P2390)*(V2390)-(U2390)*(R2390))-(S2390)*((S2390)*(V2390)-(U2390)*(T2390))+(LTP3!$D$6)*((S2390)*(R2390)-(P2390)*(T2390)))/W2390,0)</f>
        <v/>
      </c>
      <c r="AA2390">
        <f>LTP3!$D$7-X2390*LTP3!$D$6-Y2390*U2390-Z2390*V2390</f>
        <v/>
      </c>
      <c r="AB2390">
        <f>IF(AND(F2390,ABS(W2390)&gt;1E-12,Y2390&gt;0,Z2390&gt;0),AA2390,1E+300)</f>
        <v/>
      </c>
    </row>
    <row r="2391">
      <c r="A2391">
        <f>$B$3+$B$5*39</f>
        <v/>
      </c>
      <c r="B2391">
        <f>$B$3+$B$5*0</f>
        <v/>
      </c>
      <c r="C2391">
        <f>SUMPRODUCT(Calc!$K$3:$K$22*(Calc!$G$3:$G$22&lt;=A2391))</f>
        <v/>
      </c>
      <c r="D2391">
        <f>SUMPRODUCT(Calc!$K$3:$K$22*(Calc!$G$3:$G$22&gt;A2391)*(Calc!$G$3:$G$22&lt;B2391))</f>
        <v/>
      </c>
      <c r="E2391">
        <f>SUMPRODUCT(Calc!$K$3:$K$22*(Calc!$G$3:$G$22&gt;=B2391))</f>
        <v/>
      </c>
      <c r="F2391">
        <f>AND(k_n&gt;=5,B2391&gt;A2391+1E-9,C2391&gt;=2,D2391&gt;=1,E2391&gt;=2)</f>
        <v/>
      </c>
      <c r="G2391">
        <f>SUMPRODUCT(Calc!$K$3:$K$22*(Calc!$G$3:$G$22&gt;A2391)*(Calc!$G$3:$G$22-A2391))</f>
        <v/>
      </c>
      <c r="H2391">
        <f>SUMPRODUCT(Calc!$K$3:$K$22*(Calc!$G$3:$G$22&gt;B2391)*(Calc!$G$3:$G$22-B2391))</f>
        <v/>
      </c>
      <c r="I2391">
        <f>SUMPRODUCT(Calc!$K$3:$K$22*(Calc!$G$3:$G$22&gt;A2391)*(Calc!$G$3:$G$22-A2391)^2)</f>
        <v/>
      </c>
      <c r="J2391">
        <f>SUMPRODUCT(Calc!$K$3:$K$22*(Calc!$G$3:$G$22&gt;B2391)*(Calc!$G$3:$G$22-B2391)^2)</f>
        <v/>
      </c>
      <c r="K2391">
        <f>SUMPRODUCT(Calc!$K$3:$K$22*(Calc!$G$3:$G$22&gt;A2391)*(Calc!$G$3:$G$22-A2391)*(Calc!$G$3:$G$22&gt;B2391)*(Calc!$G$3:$G$22-B2391))</f>
        <v/>
      </c>
      <c r="L2391">
        <f>SUMPRODUCT(Calc!$K$3:$K$22*(Calc!$G$3:$G$22&gt;A2391)*(Calc!$G$3:$G$22-A2391)*Calc!$G$3:$G$22)</f>
        <v/>
      </c>
      <c r="M2391">
        <f>SUMPRODUCT(Calc!$K$3:$K$22*(Calc!$G$3:$G$22&gt;B2391)*(Calc!$G$3:$G$22-B2391)*Calc!$G$3:$G$22)</f>
        <v/>
      </c>
      <c r="N2391">
        <f>SUMPRODUCT(Calc!$K$3:$K$22*(Calc!$G$3:$G$22&gt;A2391)*(Calc!$G$3:$G$22-A2391)*Calc!$I$3:$I$22)</f>
        <v/>
      </c>
      <c r="O2391">
        <f>SUMPRODUCT(Calc!$K$3:$K$22*(Calc!$G$3:$G$22&gt;B2391)*(Calc!$G$3:$G$22-B2391)*Calc!$I$3:$I$22)</f>
        <v/>
      </c>
      <c r="P2391">
        <f>I2391-G2391^2/k_n</f>
        <v/>
      </c>
      <c r="Q2391">
        <f>J2391-H2391^2/k_n</f>
        <v/>
      </c>
      <c r="R2391">
        <f>K2391-G2391*H2391/k_n</f>
        <v/>
      </c>
      <c r="S2391">
        <f>L2391-LTP3!$D$3*G2391/k_n</f>
        <v/>
      </c>
      <c r="T2391">
        <f>M2391-LTP3!$D$3*H2391/k_n</f>
        <v/>
      </c>
      <c r="U2391">
        <f>N2391-G2391*LTP3!$D$4/k_n</f>
        <v/>
      </c>
      <c r="V2391">
        <f>O2391-H2391*LTP3!$D$4/k_n</f>
        <v/>
      </c>
      <c r="W2391">
        <f>((LTP3!$D$5)*((P2391)*(Q2391)-(R2391)*(R2391))-(S2391)*((S2391)*(Q2391)-(R2391)*(T2391))+(T2391)*((S2391)*(R2391)-(P2391)*(T2391)))</f>
        <v/>
      </c>
      <c r="X2391">
        <f>IF(ABS(W2391)&gt;1E-12,((LTP3!$D$6)*((P2391)*(Q2391)-(R2391)*(R2391))-(S2391)*((U2391)*(Q2391)-(R2391)*(V2391))+(T2391)*((U2391)*(R2391)-(P2391)*(V2391)))/W2391,0)</f>
        <v/>
      </c>
      <c r="Y2391">
        <f>IF(ABS(W2391)&gt;1E-12,((LTP3!$D$5)*((U2391)*(Q2391)-(R2391)*(V2391))-(LTP3!$D$6)*((S2391)*(Q2391)-(R2391)*(T2391))+(T2391)*((S2391)*(V2391)-(U2391)*(T2391)))/W2391,0)</f>
        <v/>
      </c>
      <c r="Z2391">
        <f>IF(ABS(W2391)&gt;1E-12,((LTP3!$D$5)*((P2391)*(V2391)-(U2391)*(R2391))-(S2391)*((S2391)*(V2391)-(U2391)*(T2391))+(LTP3!$D$6)*((S2391)*(R2391)-(P2391)*(T2391)))/W2391,0)</f>
        <v/>
      </c>
      <c r="AA2391">
        <f>LTP3!$D$7-X2391*LTP3!$D$6-Y2391*U2391-Z2391*V2391</f>
        <v/>
      </c>
      <c r="AB2391">
        <f>IF(AND(F2391,ABS(W2391)&gt;1E-12,Y2391&gt;0,Z2391&gt;0),AA2391,1E+300)</f>
        <v/>
      </c>
    </row>
    <row r="2392">
      <c r="A2392">
        <f>$B$3+$B$5*39</f>
        <v/>
      </c>
      <c r="B2392">
        <f>$B$3+$B$5*1</f>
        <v/>
      </c>
      <c r="C2392">
        <f>SUMPRODUCT(Calc!$K$3:$K$22*(Calc!$G$3:$G$22&lt;=A2392))</f>
        <v/>
      </c>
      <c r="D2392">
        <f>SUMPRODUCT(Calc!$K$3:$K$22*(Calc!$G$3:$G$22&gt;A2392)*(Calc!$G$3:$G$22&lt;B2392))</f>
        <v/>
      </c>
      <c r="E2392">
        <f>SUMPRODUCT(Calc!$K$3:$K$22*(Calc!$G$3:$G$22&gt;=B2392))</f>
        <v/>
      </c>
      <c r="F2392">
        <f>AND(k_n&gt;=5,B2392&gt;A2392+1E-9,C2392&gt;=2,D2392&gt;=1,E2392&gt;=2)</f>
        <v/>
      </c>
      <c r="G2392">
        <f>SUMPRODUCT(Calc!$K$3:$K$22*(Calc!$G$3:$G$22&gt;A2392)*(Calc!$G$3:$G$22-A2392))</f>
        <v/>
      </c>
      <c r="H2392">
        <f>SUMPRODUCT(Calc!$K$3:$K$22*(Calc!$G$3:$G$22&gt;B2392)*(Calc!$G$3:$G$22-B2392))</f>
        <v/>
      </c>
      <c r="I2392">
        <f>SUMPRODUCT(Calc!$K$3:$K$22*(Calc!$G$3:$G$22&gt;A2392)*(Calc!$G$3:$G$22-A2392)^2)</f>
        <v/>
      </c>
      <c r="J2392">
        <f>SUMPRODUCT(Calc!$K$3:$K$22*(Calc!$G$3:$G$22&gt;B2392)*(Calc!$G$3:$G$22-B2392)^2)</f>
        <v/>
      </c>
      <c r="K2392">
        <f>SUMPRODUCT(Calc!$K$3:$K$22*(Calc!$G$3:$G$22&gt;A2392)*(Calc!$G$3:$G$22-A2392)*(Calc!$G$3:$G$22&gt;B2392)*(Calc!$G$3:$G$22-B2392))</f>
        <v/>
      </c>
      <c r="L2392">
        <f>SUMPRODUCT(Calc!$K$3:$K$22*(Calc!$G$3:$G$22&gt;A2392)*(Calc!$G$3:$G$22-A2392)*Calc!$G$3:$G$22)</f>
        <v/>
      </c>
      <c r="M2392">
        <f>SUMPRODUCT(Calc!$K$3:$K$22*(Calc!$G$3:$G$22&gt;B2392)*(Calc!$G$3:$G$22-B2392)*Calc!$G$3:$G$22)</f>
        <v/>
      </c>
      <c r="N2392">
        <f>SUMPRODUCT(Calc!$K$3:$K$22*(Calc!$G$3:$G$22&gt;A2392)*(Calc!$G$3:$G$22-A2392)*Calc!$I$3:$I$22)</f>
        <v/>
      </c>
      <c r="O2392">
        <f>SUMPRODUCT(Calc!$K$3:$K$22*(Calc!$G$3:$G$22&gt;B2392)*(Calc!$G$3:$G$22-B2392)*Calc!$I$3:$I$22)</f>
        <v/>
      </c>
      <c r="P2392">
        <f>I2392-G2392^2/k_n</f>
        <v/>
      </c>
      <c r="Q2392">
        <f>J2392-H2392^2/k_n</f>
        <v/>
      </c>
      <c r="R2392">
        <f>K2392-G2392*H2392/k_n</f>
        <v/>
      </c>
      <c r="S2392">
        <f>L2392-LTP3!$D$3*G2392/k_n</f>
        <v/>
      </c>
      <c r="T2392">
        <f>M2392-LTP3!$D$3*H2392/k_n</f>
        <v/>
      </c>
      <c r="U2392">
        <f>N2392-G2392*LTP3!$D$4/k_n</f>
        <v/>
      </c>
      <c r="V2392">
        <f>O2392-H2392*LTP3!$D$4/k_n</f>
        <v/>
      </c>
      <c r="W2392">
        <f>((LTP3!$D$5)*((P2392)*(Q2392)-(R2392)*(R2392))-(S2392)*((S2392)*(Q2392)-(R2392)*(T2392))+(T2392)*((S2392)*(R2392)-(P2392)*(T2392)))</f>
        <v/>
      </c>
      <c r="X2392">
        <f>IF(ABS(W2392)&gt;1E-12,((LTP3!$D$6)*((P2392)*(Q2392)-(R2392)*(R2392))-(S2392)*((U2392)*(Q2392)-(R2392)*(V2392))+(T2392)*((U2392)*(R2392)-(P2392)*(V2392)))/W2392,0)</f>
        <v/>
      </c>
      <c r="Y2392">
        <f>IF(ABS(W2392)&gt;1E-12,((LTP3!$D$5)*((U2392)*(Q2392)-(R2392)*(V2392))-(LTP3!$D$6)*((S2392)*(Q2392)-(R2392)*(T2392))+(T2392)*((S2392)*(V2392)-(U2392)*(T2392)))/W2392,0)</f>
        <v/>
      </c>
      <c r="Z2392">
        <f>IF(ABS(W2392)&gt;1E-12,((LTP3!$D$5)*((P2392)*(V2392)-(U2392)*(R2392))-(S2392)*((S2392)*(V2392)-(U2392)*(T2392))+(LTP3!$D$6)*((S2392)*(R2392)-(P2392)*(T2392)))/W2392,0)</f>
        <v/>
      </c>
      <c r="AA2392">
        <f>LTP3!$D$7-X2392*LTP3!$D$6-Y2392*U2392-Z2392*V2392</f>
        <v/>
      </c>
      <c r="AB2392">
        <f>IF(AND(F2392,ABS(W2392)&gt;1E-12,Y2392&gt;0,Z2392&gt;0),AA2392,1E+300)</f>
        <v/>
      </c>
    </row>
    <row r="2393">
      <c r="A2393">
        <f>$B$3+$B$5*39</f>
        <v/>
      </c>
      <c r="B2393">
        <f>$B$3+$B$5*2</f>
        <v/>
      </c>
      <c r="C2393">
        <f>SUMPRODUCT(Calc!$K$3:$K$22*(Calc!$G$3:$G$22&lt;=A2393))</f>
        <v/>
      </c>
      <c r="D2393">
        <f>SUMPRODUCT(Calc!$K$3:$K$22*(Calc!$G$3:$G$22&gt;A2393)*(Calc!$G$3:$G$22&lt;B2393))</f>
        <v/>
      </c>
      <c r="E2393">
        <f>SUMPRODUCT(Calc!$K$3:$K$22*(Calc!$G$3:$G$22&gt;=B2393))</f>
        <v/>
      </c>
      <c r="F2393">
        <f>AND(k_n&gt;=5,B2393&gt;A2393+1E-9,C2393&gt;=2,D2393&gt;=1,E2393&gt;=2)</f>
        <v/>
      </c>
      <c r="G2393">
        <f>SUMPRODUCT(Calc!$K$3:$K$22*(Calc!$G$3:$G$22&gt;A2393)*(Calc!$G$3:$G$22-A2393))</f>
        <v/>
      </c>
      <c r="H2393">
        <f>SUMPRODUCT(Calc!$K$3:$K$22*(Calc!$G$3:$G$22&gt;B2393)*(Calc!$G$3:$G$22-B2393))</f>
        <v/>
      </c>
      <c r="I2393">
        <f>SUMPRODUCT(Calc!$K$3:$K$22*(Calc!$G$3:$G$22&gt;A2393)*(Calc!$G$3:$G$22-A2393)^2)</f>
        <v/>
      </c>
      <c r="J2393">
        <f>SUMPRODUCT(Calc!$K$3:$K$22*(Calc!$G$3:$G$22&gt;B2393)*(Calc!$G$3:$G$22-B2393)^2)</f>
        <v/>
      </c>
      <c r="K2393">
        <f>SUMPRODUCT(Calc!$K$3:$K$22*(Calc!$G$3:$G$22&gt;A2393)*(Calc!$G$3:$G$22-A2393)*(Calc!$G$3:$G$22&gt;B2393)*(Calc!$G$3:$G$22-B2393))</f>
        <v/>
      </c>
      <c r="L2393">
        <f>SUMPRODUCT(Calc!$K$3:$K$22*(Calc!$G$3:$G$22&gt;A2393)*(Calc!$G$3:$G$22-A2393)*Calc!$G$3:$G$22)</f>
        <v/>
      </c>
      <c r="M2393">
        <f>SUMPRODUCT(Calc!$K$3:$K$22*(Calc!$G$3:$G$22&gt;B2393)*(Calc!$G$3:$G$22-B2393)*Calc!$G$3:$G$22)</f>
        <v/>
      </c>
      <c r="N2393">
        <f>SUMPRODUCT(Calc!$K$3:$K$22*(Calc!$G$3:$G$22&gt;A2393)*(Calc!$G$3:$G$22-A2393)*Calc!$I$3:$I$22)</f>
        <v/>
      </c>
      <c r="O2393">
        <f>SUMPRODUCT(Calc!$K$3:$K$22*(Calc!$G$3:$G$22&gt;B2393)*(Calc!$G$3:$G$22-B2393)*Calc!$I$3:$I$22)</f>
        <v/>
      </c>
      <c r="P2393">
        <f>I2393-G2393^2/k_n</f>
        <v/>
      </c>
      <c r="Q2393">
        <f>J2393-H2393^2/k_n</f>
        <v/>
      </c>
      <c r="R2393">
        <f>K2393-G2393*H2393/k_n</f>
        <v/>
      </c>
      <c r="S2393">
        <f>L2393-LTP3!$D$3*G2393/k_n</f>
        <v/>
      </c>
      <c r="T2393">
        <f>M2393-LTP3!$D$3*H2393/k_n</f>
        <v/>
      </c>
      <c r="U2393">
        <f>N2393-G2393*LTP3!$D$4/k_n</f>
        <v/>
      </c>
      <c r="V2393">
        <f>O2393-H2393*LTP3!$D$4/k_n</f>
        <v/>
      </c>
      <c r="W2393">
        <f>((LTP3!$D$5)*((P2393)*(Q2393)-(R2393)*(R2393))-(S2393)*((S2393)*(Q2393)-(R2393)*(T2393))+(T2393)*((S2393)*(R2393)-(P2393)*(T2393)))</f>
        <v/>
      </c>
      <c r="X2393">
        <f>IF(ABS(W2393)&gt;1E-12,((LTP3!$D$6)*((P2393)*(Q2393)-(R2393)*(R2393))-(S2393)*((U2393)*(Q2393)-(R2393)*(V2393))+(T2393)*((U2393)*(R2393)-(P2393)*(V2393)))/W2393,0)</f>
        <v/>
      </c>
      <c r="Y2393">
        <f>IF(ABS(W2393)&gt;1E-12,((LTP3!$D$5)*((U2393)*(Q2393)-(R2393)*(V2393))-(LTP3!$D$6)*((S2393)*(Q2393)-(R2393)*(T2393))+(T2393)*((S2393)*(V2393)-(U2393)*(T2393)))/W2393,0)</f>
        <v/>
      </c>
      <c r="Z2393">
        <f>IF(ABS(W2393)&gt;1E-12,((LTP3!$D$5)*((P2393)*(V2393)-(U2393)*(R2393))-(S2393)*((S2393)*(V2393)-(U2393)*(T2393))+(LTP3!$D$6)*((S2393)*(R2393)-(P2393)*(T2393)))/W2393,0)</f>
        <v/>
      </c>
      <c r="AA2393">
        <f>LTP3!$D$7-X2393*LTP3!$D$6-Y2393*U2393-Z2393*V2393</f>
        <v/>
      </c>
      <c r="AB2393">
        <f>IF(AND(F2393,ABS(W2393)&gt;1E-12,Y2393&gt;0,Z2393&gt;0),AA2393,1E+300)</f>
        <v/>
      </c>
    </row>
    <row r="2394">
      <c r="A2394">
        <f>$B$3+$B$5*39</f>
        <v/>
      </c>
      <c r="B2394">
        <f>$B$3+$B$5*3</f>
        <v/>
      </c>
      <c r="C2394">
        <f>SUMPRODUCT(Calc!$K$3:$K$22*(Calc!$G$3:$G$22&lt;=A2394))</f>
        <v/>
      </c>
      <c r="D2394">
        <f>SUMPRODUCT(Calc!$K$3:$K$22*(Calc!$G$3:$G$22&gt;A2394)*(Calc!$G$3:$G$22&lt;B2394))</f>
        <v/>
      </c>
      <c r="E2394">
        <f>SUMPRODUCT(Calc!$K$3:$K$22*(Calc!$G$3:$G$22&gt;=B2394))</f>
        <v/>
      </c>
      <c r="F2394">
        <f>AND(k_n&gt;=5,B2394&gt;A2394+1E-9,C2394&gt;=2,D2394&gt;=1,E2394&gt;=2)</f>
        <v/>
      </c>
      <c r="G2394">
        <f>SUMPRODUCT(Calc!$K$3:$K$22*(Calc!$G$3:$G$22&gt;A2394)*(Calc!$G$3:$G$22-A2394))</f>
        <v/>
      </c>
      <c r="H2394">
        <f>SUMPRODUCT(Calc!$K$3:$K$22*(Calc!$G$3:$G$22&gt;B2394)*(Calc!$G$3:$G$22-B2394))</f>
        <v/>
      </c>
      <c r="I2394">
        <f>SUMPRODUCT(Calc!$K$3:$K$22*(Calc!$G$3:$G$22&gt;A2394)*(Calc!$G$3:$G$22-A2394)^2)</f>
        <v/>
      </c>
      <c r="J2394">
        <f>SUMPRODUCT(Calc!$K$3:$K$22*(Calc!$G$3:$G$22&gt;B2394)*(Calc!$G$3:$G$22-B2394)^2)</f>
        <v/>
      </c>
      <c r="K2394">
        <f>SUMPRODUCT(Calc!$K$3:$K$22*(Calc!$G$3:$G$22&gt;A2394)*(Calc!$G$3:$G$22-A2394)*(Calc!$G$3:$G$22&gt;B2394)*(Calc!$G$3:$G$22-B2394))</f>
        <v/>
      </c>
      <c r="L2394">
        <f>SUMPRODUCT(Calc!$K$3:$K$22*(Calc!$G$3:$G$22&gt;A2394)*(Calc!$G$3:$G$22-A2394)*Calc!$G$3:$G$22)</f>
        <v/>
      </c>
      <c r="M2394">
        <f>SUMPRODUCT(Calc!$K$3:$K$22*(Calc!$G$3:$G$22&gt;B2394)*(Calc!$G$3:$G$22-B2394)*Calc!$G$3:$G$22)</f>
        <v/>
      </c>
      <c r="N2394">
        <f>SUMPRODUCT(Calc!$K$3:$K$22*(Calc!$G$3:$G$22&gt;A2394)*(Calc!$G$3:$G$22-A2394)*Calc!$I$3:$I$22)</f>
        <v/>
      </c>
      <c r="O2394">
        <f>SUMPRODUCT(Calc!$K$3:$K$22*(Calc!$G$3:$G$22&gt;B2394)*(Calc!$G$3:$G$22-B2394)*Calc!$I$3:$I$22)</f>
        <v/>
      </c>
      <c r="P2394">
        <f>I2394-G2394^2/k_n</f>
        <v/>
      </c>
      <c r="Q2394">
        <f>J2394-H2394^2/k_n</f>
        <v/>
      </c>
      <c r="R2394">
        <f>K2394-G2394*H2394/k_n</f>
        <v/>
      </c>
      <c r="S2394">
        <f>L2394-LTP3!$D$3*G2394/k_n</f>
        <v/>
      </c>
      <c r="T2394">
        <f>M2394-LTP3!$D$3*H2394/k_n</f>
        <v/>
      </c>
      <c r="U2394">
        <f>N2394-G2394*LTP3!$D$4/k_n</f>
        <v/>
      </c>
      <c r="V2394">
        <f>O2394-H2394*LTP3!$D$4/k_n</f>
        <v/>
      </c>
      <c r="W2394">
        <f>((LTP3!$D$5)*((P2394)*(Q2394)-(R2394)*(R2394))-(S2394)*((S2394)*(Q2394)-(R2394)*(T2394))+(T2394)*((S2394)*(R2394)-(P2394)*(T2394)))</f>
        <v/>
      </c>
      <c r="X2394">
        <f>IF(ABS(W2394)&gt;1E-12,((LTP3!$D$6)*((P2394)*(Q2394)-(R2394)*(R2394))-(S2394)*((U2394)*(Q2394)-(R2394)*(V2394))+(T2394)*((U2394)*(R2394)-(P2394)*(V2394)))/W2394,0)</f>
        <v/>
      </c>
      <c r="Y2394">
        <f>IF(ABS(W2394)&gt;1E-12,((LTP3!$D$5)*((U2394)*(Q2394)-(R2394)*(V2394))-(LTP3!$D$6)*((S2394)*(Q2394)-(R2394)*(T2394))+(T2394)*((S2394)*(V2394)-(U2394)*(T2394)))/W2394,0)</f>
        <v/>
      </c>
      <c r="Z2394">
        <f>IF(ABS(W2394)&gt;1E-12,((LTP3!$D$5)*((P2394)*(V2394)-(U2394)*(R2394))-(S2394)*((S2394)*(V2394)-(U2394)*(T2394))+(LTP3!$D$6)*((S2394)*(R2394)-(P2394)*(T2394)))/W2394,0)</f>
        <v/>
      </c>
      <c r="AA2394">
        <f>LTP3!$D$7-X2394*LTP3!$D$6-Y2394*U2394-Z2394*V2394</f>
        <v/>
      </c>
      <c r="AB2394">
        <f>IF(AND(F2394,ABS(W2394)&gt;1E-12,Y2394&gt;0,Z2394&gt;0),AA2394,1E+300)</f>
        <v/>
      </c>
    </row>
    <row r="2395">
      <c r="A2395">
        <f>$B$3+$B$5*39</f>
        <v/>
      </c>
      <c r="B2395">
        <f>$B$3+$B$5*4</f>
        <v/>
      </c>
      <c r="C2395">
        <f>SUMPRODUCT(Calc!$K$3:$K$22*(Calc!$G$3:$G$22&lt;=A2395))</f>
        <v/>
      </c>
      <c r="D2395">
        <f>SUMPRODUCT(Calc!$K$3:$K$22*(Calc!$G$3:$G$22&gt;A2395)*(Calc!$G$3:$G$22&lt;B2395))</f>
        <v/>
      </c>
      <c r="E2395">
        <f>SUMPRODUCT(Calc!$K$3:$K$22*(Calc!$G$3:$G$22&gt;=B2395))</f>
        <v/>
      </c>
      <c r="F2395">
        <f>AND(k_n&gt;=5,B2395&gt;A2395+1E-9,C2395&gt;=2,D2395&gt;=1,E2395&gt;=2)</f>
        <v/>
      </c>
      <c r="G2395">
        <f>SUMPRODUCT(Calc!$K$3:$K$22*(Calc!$G$3:$G$22&gt;A2395)*(Calc!$G$3:$G$22-A2395))</f>
        <v/>
      </c>
      <c r="H2395">
        <f>SUMPRODUCT(Calc!$K$3:$K$22*(Calc!$G$3:$G$22&gt;B2395)*(Calc!$G$3:$G$22-B2395))</f>
        <v/>
      </c>
      <c r="I2395">
        <f>SUMPRODUCT(Calc!$K$3:$K$22*(Calc!$G$3:$G$22&gt;A2395)*(Calc!$G$3:$G$22-A2395)^2)</f>
        <v/>
      </c>
      <c r="J2395">
        <f>SUMPRODUCT(Calc!$K$3:$K$22*(Calc!$G$3:$G$22&gt;B2395)*(Calc!$G$3:$G$22-B2395)^2)</f>
        <v/>
      </c>
      <c r="K2395">
        <f>SUMPRODUCT(Calc!$K$3:$K$22*(Calc!$G$3:$G$22&gt;A2395)*(Calc!$G$3:$G$22-A2395)*(Calc!$G$3:$G$22&gt;B2395)*(Calc!$G$3:$G$22-B2395))</f>
        <v/>
      </c>
      <c r="L2395">
        <f>SUMPRODUCT(Calc!$K$3:$K$22*(Calc!$G$3:$G$22&gt;A2395)*(Calc!$G$3:$G$22-A2395)*Calc!$G$3:$G$22)</f>
        <v/>
      </c>
      <c r="M2395">
        <f>SUMPRODUCT(Calc!$K$3:$K$22*(Calc!$G$3:$G$22&gt;B2395)*(Calc!$G$3:$G$22-B2395)*Calc!$G$3:$G$22)</f>
        <v/>
      </c>
      <c r="N2395">
        <f>SUMPRODUCT(Calc!$K$3:$K$22*(Calc!$G$3:$G$22&gt;A2395)*(Calc!$G$3:$G$22-A2395)*Calc!$I$3:$I$22)</f>
        <v/>
      </c>
      <c r="O2395">
        <f>SUMPRODUCT(Calc!$K$3:$K$22*(Calc!$G$3:$G$22&gt;B2395)*(Calc!$G$3:$G$22-B2395)*Calc!$I$3:$I$22)</f>
        <v/>
      </c>
      <c r="P2395">
        <f>I2395-G2395^2/k_n</f>
        <v/>
      </c>
      <c r="Q2395">
        <f>J2395-H2395^2/k_n</f>
        <v/>
      </c>
      <c r="R2395">
        <f>K2395-G2395*H2395/k_n</f>
        <v/>
      </c>
      <c r="S2395">
        <f>L2395-LTP3!$D$3*G2395/k_n</f>
        <v/>
      </c>
      <c r="T2395">
        <f>M2395-LTP3!$D$3*H2395/k_n</f>
        <v/>
      </c>
      <c r="U2395">
        <f>N2395-G2395*LTP3!$D$4/k_n</f>
        <v/>
      </c>
      <c r="V2395">
        <f>O2395-H2395*LTP3!$D$4/k_n</f>
        <v/>
      </c>
      <c r="W2395">
        <f>((LTP3!$D$5)*((P2395)*(Q2395)-(R2395)*(R2395))-(S2395)*((S2395)*(Q2395)-(R2395)*(T2395))+(T2395)*((S2395)*(R2395)-(P2395)*(T2395)))</f>
        <v/>
      </c>
      <c r="X2395">
        <f>IF(ABS(W2395)&gt;1E-12,((LTP3!$D$6)*((P2395)*(Q2395)-(R2395)*(R2395))-(S2395)*((U2395)*(Q2395)-(R2395)*(V2395))+(T2395)*((U2395)*(R2395)-(P2395)*(V2395)))/W2395,0)</f>
        <v/>
      </c>
      <c r="Y2395">
        <f>IF(ABS(W2395)&gt;1E-12,((LTP3!$D$5)*((U2395)*(Q2395)-(R2395)*(V2395))-(LTP3!$D$6)*((S2395)*(Q2395)-(R2395)*(T2395))+(T2395)*((S2395)*(V2395)-(U2395)*(T2395)))/W2395,0)</f>
        <v/>
      </c>
      <c r="Z2395">
        <f>IF(ABS(W2395)&gt;1E-12,((LTP3!$D$5)*((P2395)*(V2395)-(U2395)*(R2395))-(S2395)*((S2395)*(V2395)-(U2395)*(T2395))+(LTP3!$D$6)*((S2395)*(R2395)-(P2395)*(T2395)))/W2395,0)</f>
        <v/>
      </c>
      <c r="AA2395">
        <f>LTP3!$D$7-X2395*LTP3!$D$6-Y2395*U2395-Z2395*V2395</f>
        <v/>
      </c>
      <c r="AB2395">
        <f>IF(AND(F2395,ABS(W2395)&gt;1E-12,Y2395&gt;0,Z2395&gt;0),AA2395,1E+300)</f>
        <v/>
      </c>
    </row>
    <row r="2396">
      <c r="A2396">
        <f>$B$3+$B$5*39</f>
        <v/>
      </c>
      <c r="B2396">
        <f>$B$3+$B$5*5</f>
        <v/>
      </c>
      <c r="C2396">
        <f>SUMPRODUCT(Calc!$K$3:$K$22*(Calc!$G$3:$G$22&lt;=A2396))</f>
        <v/>
      </c>
      <c r="D2396">
        <f>SUMPRODUCT(Calc!$K$3:$K$22*(Calc!$G$3:$G$22&gt;A2396)*(Calc!$G$3:$G$22&lt;B2396))</f>
        <v/>
      </c>
      <c r="E2396">
        <f>SUMPRODUCT(Calc!$K$3:$K$22*(Calc!$G$3:$G$22&gt;=B2396))</f>
        <v/>
      </c>
      <c r="F2396">
        <f>AND(k_n&gt;=5,B2396&gt;A2396+1E-9,C2396&gt;=2,D2396&gt;=1,E2396&gt;=2)</f>
        <v/>
      </c>
      <c r="G2396">
        <f>SUMPRODUCT(Calc!$K$3:$K$22*(Calc!$G$3:$G$22&gt;A2396)*(Calc!$G$3:$G$22-A2396))</f>
        <v/>
      </c>
      <c r="H2396">
        <f>SUMPRODUCT(Calc!$K$3:$K$22*(Calc!$G$3:$G$22&gt;B2396)*(Calc!$G$3:$G$22-B2396))</f>
        <v/>
      </c>
      <c r="I2396">
        <f>SUMPRODUCT(Calc!$K$3:$K$22*(Calc!$G$3:$G$22&gt;A2396)*(Calc!$G$3:$G$22-A2396)^2)</f>
        <v/>
      </c>
      <c r="J2396">
        <f>SUMPRODUCT(Calc!$K$3:$K$22*(Calc!$G$3:$G$22&gt;B2396)*(Calc!$G$3:$G$22-B2396)^2)</f>
        <v/>
      </c>
      <c r="K2396">
        <f>SUMPRODUCT(Calc!$K$3:$K$22*(Calc!$G$3:$G$22&gt;A2396)*(Calc!$G$3:$G$22-A2396)*(Calc!$G$3:$G$22&gt;B2396)*(Calc!$G$3:$G$22-B2396))</f>
        <v/>
      </c>
      <c r="L2396">
        <f>SUMPRODUCT(Calc!$K$3:$K$22*(Calc!$G$3:$G$22&gt;A2396)*(Calc!$G$3:$G$22-A2396)*Calc!$G$3:$G$22)</f>
        <v/>
      </c>
      <c r="M2396">
        <f>SUMPRODUCT(Calc!$K$3:$K$22*(Calc!$G$3:$G$22&gt;B2396)*(Calc!$G$3:$G$22-B2396)*Calc!$G$3:$G$22)</f>
        <v/>
      </c>
      <c r="N2396">
        <f>SUMPRODUCT(Calc!$K$3:$K$22*(Calc!$G$3:$G$22&gt;A2396)*(Calc!$G$3:$G$22-A2396)*Calc!$I$3:$I$22)</f>
        <v/>
      </c>
      <c r="O2396">
        <f>SUMPRODUCT(Calc!$K$3:$K$22*(Calc!$G$3:$G$22&gt;B2396)*(Calc!$G$3:$G$22-B2396)*Calc!$I$3:$I$22)</f>
        <v/>
      </c>
      <c r="P2396">
        <f>I2396-G2396^2/k_n</f>
        <v/>
      </c>
      <c r="Q2396">
        <f>J2396-H2396^2/k_n</f>
        <v/>
      </c>
      <c r="R2396">
        <f>K2396-G2396*H2396/k_n</f>
        <v/>
      </c>
      <c r="S2396">
        <f>L2396-LTP3!$D$3*G2396/k_n</f>
        <v/>
      </c>
      <c r="T2396">
        <f>M2396-LTP3!$D$3*H2396/k_n</f>
        <v/>
      </c>
      <c r="U2396">
        <f>N2396-G2396*LTP3!$D$4/k_n</f>
        <v/>
      </c>
      <c r="V2396">
        <f>O2396-H2396*LTP3!$D$4/k_n</f>
        <v/>
      </c>
      <c r="W2396">
        <f>((LTP3!$D$5)*((P2396)*(Q2396)-(R2396)*(R2396))-(S2396)*((S2396)*(Q2396)-(R2396)*(T2396))+(T2396)*((S2396)*(R2396)-(P2396)*(T2396)))</f>
        <v/>
      </c>
      <c r="X2396">
        <f>IF(ABS(W2396)&gt;1E-12,((LTP3!$D$6)*((P2396)*(Q2396)-(R2396)*(R2396))-(S2396)*((U2396)*(Q2396)-(R2396)*(V2396))+(T2396)*((U2396)*(R2396)-(P2396)*(V2396)))/W2396,0)</f>
        <v/>
      </c>
      <c r="Y2396">
        <f>IF(ABS(W2396)&gt;1E-12,((LTP3!$D$5)*((U2396)*(Q2396)-(R2396)*(V2396))-(LTP3!$D$6)*((S2396)*(Q2396)-(R2396)*(T2396))+(T2396)*((S2396)*(V2396)-(U2396)*(T2396)))/W2396,0)</f>
        <v/>
      </c>
      <c r="Z2396">
        <f>IF(ABS(W2396)&gt;1E-12,((LTP3!$D$5)*((P2396)*(V2396)-(U2396)*(R2396))-(S2396)*((S2396)*(V2396)-(U2396)*(T2396))+(LTP3!$D$6)*((S2396)*(R2396)-(P2396)*(T2396)))/W2396,0)</f>
        <v/>
      </c>
      <c r="AA2396">
        <f>LTP3!$D$7-X2396*LTP3!$D$6-Y2396*U2396-Z2396*V2396</f>
        <v/>
      </c>
      <c r="AB2396">
        <f>IF(AND(F2396,ABS(W2396)&gt;1E-12,Y2396&gt;0,Z2396&gt;0),AA2396,1E+300)</f>
        <v/>
      </c>
    </row>
    <row r="2397">
      <c r="A2397">
        <f>$B$3+$B$5*39</f>
        <v/>
      </c>
      <c r="B2397">
        <f>$B$3+$B$5*6</f>
        <v/>
      </c>
      <c r="C2397">
        <f>SUMPRODUCT(Calc!$K$3:$K$22*(Calc!$G$3:$G$22&lt;=A2397))</f>
        <v/>
      </c>
      <c r="D2397">
        <f>SUMPRODUCT(Calc!$K$3:$K$22*(Calc!$G$3:$G$22&gt;A2397)*(Calc!$G$3:$G$22&lt;B2397))</f>
        <v/>
      </c>
      <c r="E2397">
        <f>SUMPRODUCT(Calc!$K$3:$K$22*(Calc!$G$3:$G$22&gt;=B2397))</f>
        <v/>
      </c>
      <c r="F2397">
        <f>AND(k_n&gt;=5,B2397&gt;A2397+1E-9,C2397&gt;=2,D2397&gt;=1,E2397&gt;=2)</f>
        <v/>
      </c>
      <c r="G2397">
        <f>SUMPRODUCT(Calc!$K$3:$K$22*(Calc!$G$3:$G$22&gt;A2397)*(Calc!$G$3:$G$22-A2397))</f>
        <v/>
      </c>
      <c r="H2397">
        <f>SUMPRODUCT(Calc!$K$3:$K$22*(Calc!$G$3:$G$22&gt;B2397)*(Calc!$G$3:$G$22-B2397))</f>
        <v/>
      </c>
      <c r="I2397">
        <f>SUMPRODUCT(Calc!$K$3:$K$22*(Calc!$G$3:$G$22&gt;A2397)*(Calc!$G$3:$G$22-A2397)^2)</f>
        <v/>
      </c>
      <c r="J2397">
        <f>SUMPRODUCT(Calc!$K$3:$K$22*(Calc!$G$3:$G$22&gt;B2397)*(Calc!$G$3:$G$22-B2397)^2)</f>
        <v/>
      </c>
      <c r="K2397">
        <f>SUMPRODUCT(Calc!$K$3:$K$22*(Calc!$G$3:$G$22&gt;A2397)*(Calc!$G$3:$G$22-A2397)*(Calc!$G$3:$G$22&gt;B2397)*(Calc!$G$3:$G$22-B2397))</f>
        <v/>
      </c>
      <c r="L2397">
        <f>SUMPRODUCT(Calc!$K$3:$K$22*(Calc!$G$3:$G$22&gt;A2397)*(Calc!$G$3:$G$22-A2397)*Calc!$G$3:$G$22)</f>
        <v/>
      </c>
      <c r="M2397">
        <f>SUMPRODUCT(Calc!$K$3:$K$22*(Calc!$G$3:$G$22&gt;B2397)*(Calc!$G$3:$G$22-B2397)*Calc!$G$3:$G$22)</f>
        <v/>
      </c>
      <c r="N2397">
        <f>SUMPRODUCT(Calc!$K$3:$K$22*(Calc!$G$3:$G$22&gt;A2397)*(Calc!$G$3:$G$22-A2397)*Calc!$I$3:$I$22)</f>
        <v/>
      </c>
      <c r="O2397">
        <f>SUMPRODUCT(Calc!$K$3:$K$22*(Calc!$G$3:$G$22&gt;B2397)*(Calc!$G$3:$G$22-B2397)*Calc!$I$3:$I$22)</f>
        <v/>
      </c>
      <c r="P2397">
        <f>I2397-G2397^2/k_n</f>
        <v/>
      </c>
      <c r="Q2397">
        <f>J2397-H2397^2/k_n</f>
        <v/>
      </c>
      <c r="R2397">
        <f>K2397-G2397*H2397/k_n</f>
        <v/>
      </c>
      <c r="S2397">
        <f>L2397-LTP3!$D$3*G2397/k_n</f>
        <v/>
      </c>
      <c r="T2397">
        <f>M2397-LTP3!$D$3*H2397/k_n</f>
        <v/>
      </c>
      <c r="U2397">
        <f>N2397-G2397*LTP3!$D$4/k_n</f>
        <v/>
      </c>
      <c r="V2397">
        <f>O2397-H2397*LTP3!$D$4/k_n</f>
        <v/>
      </c>
      <c r="W2397">
        <f>((LTP3!$D$5)*((P2397)*(Q2397)-(R2397)*(R2397))-(S2397)*((S2397)*(Q2397)-(R2397)*(T2397))+(T2397)*((S2397)*(R2397)-(P2397)*(T2397)))</f>
        <v/>
      </c>
      <c r="X2397">
        <f>IF(ABS(W2397)&gt;1E-12,((LTP3!$D$6)*((P2397)*(Q2397)-(R2397)*(R2397))-(S2397)*((U2397)*(Q2397)-(R2397)*(V2397))+(T2397)*((U2397)*(R2397)-(P2397)*(V2397)))/W2397,0)</f>
        <v/>
      </c>
      <c r="Y2397">
        <f>IF(ABS(W2397)&gt;1E-12,((LTP3!$D$5)*((U2397)*(Q2397)-(R2397)*(V2397))-(LTP3!$D$6)*((S2397)*(Q2397)-(R2397)*(T2397))+(T2397)*((S2397)*(V2397)-(U2397)*(T2397)))/W2397,0)</f>
        <v/>
      </c>
      <c r="Z2397">
        <f>IF(ABS(W2397)&gt;1E-12,((LTP3!$D$5)*((P2397)*(V2397)-(U2397)*(R2397))-(S2397)*((S2397)*(V2397)-(U2397)*(T2397))+(LTP3!$D$6)*((S2397)*(R2397)-(P2397)*(T2397)))/W2397,0)</f>
        <v/>
      </c>
      <c r="AA2397">
        <f>LTP3!$D$7-X2397*LTP3!$D$6-Y2397*U2397-Z2397*V2397</f>
        <v/>
      </c>
      <c r="AB2397">
        <f>IF(AND(F2397,ABS(W2397)&gt;1E-12,Y2397&gt;0,Z2397&gt;0),AA2397,1E+300)</f>
        <v/>
      </c>
    </row>
    <row r="2398">
      <c r="A2398">
        <f>$B$3+$B$5*39</f>
        <v/>
      </c>
      <c r="B2398">
        <f>$B$3+$B$5*7</f>
        <v/>
      </c>
      <c r="C2398">
        <f>SUMPRODUCT(Calc!$K$3:$K$22*(Calc!$G$3:$G$22&lt;=A2398))</f>
        <v/>
      </c>
      <c r="D2398">
        <f>SUMPRODUCT(Calc!$K$3:$K$22*(Calc!$G$3:$G$22&gt;A2398)*(Calc!$G$3:$G$22&lt;B2398))</f>
        <v/>
      </c>
      <c r="E2398">
        <f>SUMPRODUCT(Calc!$K$3:$K$22*(Calc!$G$3:$G$22&gt;=B2398))</f>
        <v/>
      </c>
      <c r="F2398">
        <f>AND(k_n&gt;=5,B2398&gt;A2398+1E-9,C2398&gt;=2,D2398&gt;=1,E2398&gt;=2)</f>
        <v/>
      </c>
      <c r="G2398">
        <f>SUMPRODUCT(Calc!$K$3:$K$22*(Calc!$G$3:$G$22&gt;A2398)*(Calc!$G$3:$G$22-A2398))</f>
        <v/>
      </c>
      <c r="H2398">
        <f>SUMPRODUCT(Calc!$K$3:$K$22*(Calc!$G$3:$G$22&gt;B2398)*(Calc!$G$3:$G$22-B2398))</f>
        <v/>
      </c>
      <c r="I2398">
        <f>SUMPRODUCT(Calc!$K$3:$K$22*(Calc!$G$3:$G$22&gt;A2398)*(Calc!$G$3:$G$22-A2398)^2)</f>
        <v/>
      </c>
      <c r="J2398">
        <f>SUMPRODUCT(Calc!$K$3:$K$22*(Calc!$G$3:$G$22&gt;B2398)*(Calc!$G$3:$G$22-B2398)^2)</f>
        <v/>
      </c>
      <c r="K2398">
        <f>SUMPRODUCT(Calc!$K$3:$K$22*(Calc!$G$3:$G$22&gt;A2398)*(Calc!$G$3:$G$22-A2398)*(Calc!$G$3:$G$22&gt;B2398)*(Calc!$G$3:$G$22-B2398))</f>
        <v/>
      </c>
      <c r="L2398">
        <f>SUMPRODUCT(Calc!$K$3:$K$22*(Calc!$G$3:$G$22&gt;A2398)*(Calc!$G$3:$G$22-A2398)*Calc!$G$3:$G$22)</f>
        <v/>
      </c>
      <c r="M2398">
        <f>SUMPRODUCT(Calc!$K$3:$K$22*(Calc!$G$3:$G$22&gt;B2398)*(Calc!$G$3:$G$22-B2398)*Calc!$G$3:$G$22)</f>
        <v/>
      </c>
      <c r="N2398">
        <f>SUMPRODUCT(Calc!$K$3:$K$22*(Calc!$G$3:$G$22&gt;A2398)*(Calc!$G$3:$G$22-A2398)*Calc!$I$3:$I$22)</f>
        <v/>
      </c>
      <c r="O2398">
        <f>SUMPRODUCT(Calc!$K$3:$K$22*(Calc!$G$3:$G$22&gt;B2398)*(Calc!$G$3:$G$22-B2398)*Calc!$I$3:$I$22)</f>
        <v/>
      </c>
      <c r="P2398">
        <f>I2398-G2398^2/k_n</f>
        <v/>
      </c>
      <c r="Q2398">
        <f>J2398-H2398^2/k_n</f>
        <v/>
      </c>
      <c r="R2398">
        <f>K2398-G2398*H2398/k_n</f>
        <v/>
      </c>
      <c r="S2398">
        <f>L2398-LTP3!$D$3*G2398/k_n</f>
        <v/>
      </c>
      <c r="T2398">
        <f>M2398-LTP3!$D$3*H2398/k_n</f>
        <v/>
      </c>
      <c r="U2398">
        <f>N2398-G2398*LTP3!$D$4/k_n</f>
        <v/>
      </c>
      <c r="V2398">
        <f>O2398-H2398*LTP3!$D$4/k_n</f>
        <v/>
      </c>
      <c r="W2398">
        <f>((LTP3!$D$5)*((P2398)*(Q2398)-(R2398)*(R2398))-(S2398)*((S2398)*(Q2398)-(R2398)*(T2398))+(T2398)*((S2398)*(R2398)-(P2398)*(T2398)))</f>
        <v/>
      </c>
      <c r="X2398">
        <f>IF(ABS(W2398)&gt;1E-12,((LTP3!$D$6)*((P2398)*(Q2398)-(R2398)*(R2398))-(S2398)*((U2398)*(Q2398)-(R2398)*(V2398))+(T2398)*((U2398)*(R2398)-(P2398)*(V2398)))/W2398,0)</f>
        <v/>
      </c>
      <c r="Y2398">
        <f>IF(ABS(W2398)&gt;1E-12,((LTP3!$D$5)*((U2398)*(Q2398)-(R2398)*(V2398))-(LTP3!$D$6)*((S2398)*(Q2398)-(R2398)*(T2398))+(T2398)*((S2398)*(V2398)-(U2398)*(T2398)))/W2398,0)</f>
        <v/>
      </c>
      <c r="Z2398">
        <f>IF(ABS(W2398)&gt;1E-12,((LTP3!$D$5)*((P2398)*(V2398)-(U2398)*(R2398))-(S2398)*((S2398)*(V2398)-(U2398)*(T2398))+(LTP3!$D$6)*((S2398)*(R2398)-(P2398)*(T2398)))/W2398,0)</f>
        <v/>
      </c>
      <c r="AA2398">
        <f>LTP3!$D$7-X2398*LTP3!$D$6-Y2398*U2398-Z2398*V2398</f>
        <v/>
      </c>
      <c r="AB2398">
        <f>IF(AND(F2398,ABS(W2398)&gt;1E-12,Y2398&gt;0,Z2398&gt;0),AA2398,1E+300)</f>
        <v/>
      </c>
    </row>
    <row r="2399">
      <c r="A2399">
        <f>$B$3+$B$5*39</f>
        <v/>
      </c>
      <c r="B2399">
        <f>$B$3+$B$5*8</f>
        <v/>
      </c>
      <c r="C2399">
        <f>SUMPRODUCT(Calc!$K$3:$K$22*(Calc!$G$3:$G$22&lt;=A2399))</f>
        <v/>
      </c>
      <c r="D2399">
        <f>SUMPRODUCT(Calc!$K$3:$K$22*(Calc!$G$3:$G$22&gt;A2399)*(Calc!$G$3:$G$22&lt;B2399))</f>
        <v/>
      </c>
      <c r="E2399">
        <f>SUMPRODUCT(Calc!$K$3:$K$22*(Calc!$G$3:$G$22&gt;=B2399))</f>
        <v/>
      </c>
      <c r="F2399">
        <f>AND(k_n&gt;=5,B2399&gt;A2399+1E-9,C2399&gt;=2,D2399&gt;=1,E2399&gt;=2)</f>
        <v/>
      </c>
      <c r="G2399">
        <f>SUMPRODUCT(Calc!$K$3:$K$22*(Calc!$G$3:$G$22&gt;A2399)*(Calc!$G$3:$G$22-A2399))</f>
        <v/>
      </c>
      <c r="H2399">
        <f>SUMPRODUCT(Calc!$K$3:$K$22*(Calc!$G$3:$G$22&gt;B2399)*(Calc!$G$3:$G$22-B2399))</f>
        <v/>
      </c>
      <c r="I2399">
        <f>SUMPRODUCT(Calc!$K$3:$K$22*(Calc!$G$3:$G$22&gt;A2399)*(Calc!$G$3:$G$22-A2399)^2)</f>
        <v/>
      </c>
      <c r="J2399">
        <f>SUMPRODUCT(Calc!$K$3:$K$22*(Calc!$G$3:$G$22&gt;B2399)*(Calc!$G$3:$G$22-B2399)^2)</f>
        <v/>
      </c>
      <c r="K2399">
        <f>SUMPRODUCT(Calc!$K$3:$K$22*(Calc!$G$3:$G$22&gt;A2399)*(Calc!$G$3:$G$22-A2399)*(Calc!$G$3:$G$22&gt;B2399)*(Calc!$G$3:$G$22-B2399))</f>
        <v/>
      </c>
      <c r="L2399">
        <f>SUMPRODUCT(Calc!$K$3:$K$22*(Calc!$G$3:$G$22&gt;A2399)*(Calc!$G$3:$G$22-A2399)*Calc!$G$3:$G$22)</f>
        <v/>
      </c>
      <c r="M2399">
        <f>SUMPRODUCT(Calc!$K$3:$K$22*(Calc!$G$3:$G$22&gt;B2399)*(Calc!$G$3:$G$22-B2399)*Calc!$G$3:$G$22)</f>
        <v/>
      </c>
      <c r="N2399">
        <f>SUMPRODUCT(Calc!$K$3:$K$22*(Calc!$G$3:$G$22&gt;A2399)*(Calc!$G$3:$G$22-A2399)*Calc!$I$3:$I$22)</f>
        <v/>
      </c>
      <c r="O2399">
        <f>SUMPRODUCT(Calc!$K$3:$K$22*(Calc!$G$3:$G$22&gt;B2399)*(Calc!$G$3:$G$22-B2399)*Calc!$I$3:$I$22)</f>
        <v/>
      </c>
      <c r="P2399">
        <f>I2399-G2399^2/k_n</f>
        <v/>
      </c>
      <c r="Q2399">
        <f>J2399-H2399^2/k_n</f>
        <v/>
      </c>
      <c r="R2399">
        <f>K2399-G2399*H2399/k_n</f>
        <v/>
      </c>
      <c r="S2399">
        <f>L2399-LTP3!$D$3*G2399/k_n</f>
        <v/>
      </c>
      <c r="T2399">
        <f>M2399-LTP3!$D$3*H2399/k_n</f>
        <v/>
      </c>
      <c r="U2399">
        <f>N2399-G2399*LTP3!$D$4/k_n</f>
        <v/>
      </c>
      <c r="V2399">
        <f>O2399-H2399*LTP3!$D$4/k_n</f>
        <v/>
      </c>
      <c r="W2399">
        <f>((LTP3!$D$5)*((P2399)*(Q2399)-(R2399)*(R2399))-(S2399)*((S2399)*(Q2399)-(R2399)*(T2399))+(T2399)*((S2399)*(R2399)-(P2399)*(T2399)))</f>
        <v/>
      </c>
      <c r="X2399">
        <f>IF(ABS(W2399)&gt;1E-12,((LTP3!$D$6)*((P2399)*(Q2399)-(R2399)*(R2399))-(S2399)*((U2399)*(Q2399)-(R2399)*(V2399))+(T2399)*((U2399)*(R2399)-(P2399)*(V2399)))/W2399,0)</f>
        <v/>
      </c>
      <c r="Y2399">
        <f>IF(ABS(W2399)&gt;1E-12,((LTP3!$D$5)*((U2399)*(Q2399)-(R2399)*(V2399))-(LTP3!$D$6)*((S2399)*(Q2399)-(R2399)*(T2399))+(T2399)*((S2399)*(V2399)-(U2399)*(T2399)))/W2399,0)</f>
        <v/>
      </c>
      <c r="Z2399">
        <f>IF(ABS(W2399)&gt;1E-12,((LTP3!$D$5)*((P2399)*(V2399)-(U2399)*(R2399))-(S2399)*((S2399)*(V2399)-(U2399)*(T2399))+(LTP3!$D$6)*((S2399)*(R2399)-(P2399)*(T2399)))/W2399,0)</f>
        <v/>
      </c>
      <c r="AA2399">
        <f>LTP3!$D$7-X2399*LTP3!$D$6-Y2399*U2399-Z2399*V2399</f>
        <v/>
      </c>
      <c r="AB2399">
        <f>IF(AND(F2399,ABS(W2399)&gt;1E-12,Y2399&gt;0,Z2399&gt;0),AA2399,1E+300)</f>
        <v/>
      </c>
    </row>
    <row r="2400">
      <c r="A2400">
        <f>$B$3+$B$5*39</f>
        <v/>
      </c>
      <c r="B2400">
        <f>$B$3+$B$5*9</f>
        <v/>
      </c>
      <c r="C2400">
        <f>SUMPRODUCT(Calc!$K$3:$K$22*(Calc!$G$3:$G$22&lt;=A2400))</f>
        <v/>
      </c>
      <c r="D2400">
        <f>SUMPRODUCT(Calc!$K$3:$K$22*(Calc!$G$3:$G$22&gt;A2400)*(Calc!$G$3:$G$22&lt;B2400))</f>
        <v/>
      </c>
      <c r="E2400">
        <f>SUMPRODUCT(Calc!$K$3:$K$22*(Calc!$G$3:$G$22&gt;=B2400))</f>
        <v/>
      </c>
      <c r="F2400">
        <f>AND(k_n&gt;=5,B2400&gt;A2400+1E-9,C2400&gt;=2,D2400&gt;=1,E2400&gt;=2)</f>
        <v/>
      </c>
      <c r="G2400">
        <f>SUMPRODUCT(Calc!$K$3:$K$22*(Calc!$G$3:$G$22&gt;A2400)*(Calc!$G$3:$G$22-A2400))</f>
        <v/>
      </c>
      <c r="H2400">
        <f>SUMPRODUCT(Calc!$K$3:$K$22*(Calc!$G$3:$G$22&gt;B2400)*(Calc!$G$3:$G$22-B2400))</f>
        <v/>
      </c>
      <c r="I2400">
        <f>SUMPRODUCT(Calc!$K$3:$K$22*(Calc!$G$3:$G$22&gt;A2400)*(Calc!$G$3:$G$22-A2400)^2)</f>
        <v/>
      </c>
      <c r="J2400">
        <f>SUMPRODUCT(Calc!$K$3:$K$22*(Calc!$G$3:$G$22&gt;B2400)*(Calc!$G$3:$G$22-B2400)^2)</f>
        <v/>
      </c>
      <c r="K2400">
        <f>SUMPRODUCT(Calc!$K$3:$K$22*(Calc!$G$3:$G$22&gt;A2400)*(Calc!$G$3:$G$22-A2400)*(Calc!$G$3:$G$22&gt;B2400)*(Calc!$G$3:$G$22-B2400))</f>
        <v/>
      </c>
      <c r="L2400">
        <f>SUMPRODUCT(Calc!$K$3:$K$22*(Calc!$G$3:$G$22&gt;A2400)*(Calc!$G$3:$G$22-A2400)*Calc!$G$3:$G$22)</f>
        <v/>
      </c>
      <c r="M2400">
        <f>SUMPRODUCT(Calc!$K$3:$K$22*(Calc!$G$3:$G$22&gt;B2400)*(Calc!$G$3:$G$22-B2400)*Calc!$G$3:$G$22)</f>
        <v/>
      </c>
      <c r="N2400">
        <f>SUMPRODUCT(Calc!$K$3:$K$22*(Calc!$G$3:$G$22&gt;A2400)*(Calc!$G$3:$G$22-A2400)*Calc!$I$3:$I$22)</f>
        <v/>
      </c>
      <c r="O2400">
        <f>SUMPRODUCT(Calc!$K$3:$K$22*(Calc!$G$3:$G$22&gt;B2400)*(Calc!$G$3:$G$22-B2400)*Calc!$I$3:$I$22)</f>
        <v/>
      </c>
      <c r="P2400">
        <f>I2400-G2400^2/k_n</f>
        <v/>
      </c>
      <c r="Q2400">
        <f>J2400-H2400^2/k_n</f>
        <v/>
      </c>
      <c r="R2400">
        <f>K2400-G2400*H2400/k_n</f>
        <v/>
      </c>
      <c r="S2400">
        <f>L2400-LTP3!$D$3*G2400/k_n</f>
        <v/>
      </c>
      <c r="T2400">
        <f>M2400-LTP3!$D$3*H2400/k_n</f>
        <v/>
      </c>
      <c r="U2400">
        <f>N2400-G2400*LTP3!$D$4/k_n</f>
        <v/>
      </c>
      <c r="V2400">
        <f>O2400-H2400*LTP3!$D$4/k_n</f>
        <v/>
      </c>
      <c r="W2400">
        <f>((LTP3!$D$5)*((P2400)*(Q2400)-(R2400)*(R2400))-(S2400)*((S2400)*(Q2400)-(R2400)*(T2400))+(T2400)*((S2400)*(R2400)-(P2400)*(T2400)))</f>
        <v/>
      </c>
      <c r="X2400">
        <f>IF(ABS(W2400)&gt;1E-12,((LTP3!$D$6)*((P2400)*(Q2400)-(R2400)*(R2400))-(S2400)*((U2400)*(Q2400)-(R2400)*(V2400))+(T2400)*((U2400)*(R2400)-(P2400)*(V2400)))/W2400,0)</f>
        <v/>
      </c>
      <c r="Y2400">
        <f>IF(ABS(W2400)&gt;1E-12,((LTP3!$D$5)*((U2400)*(Q2400)-(R2400)*(V2400))-(LTP3!$D$6)*((S2400)*(Q2400)-(R2400)*(T2400))+(T2400)*((S2400)*(V2400)-(U2400)*(T2400)))/W2400,0)</f>
        <v/>
      </c>
      <c r="Z2400">
        <f>IF(ABS(W2400)&gt;1E-12,((LTP3!$D$5)*((P2400)*(V2400)-(U2400)*(R2400))-(S2400)*((S2400)*(V2400)-(U2400)*(T2400))+(LTP3!$D$6)*((S2400)*(R2400)-(P2400)*(T2400)))/W2400,0)</f>
        <v/>
      </c>
      <c r="AA2400">
        <f>LTP3!$D$7-X2400*LTP3!$D$6-Y2400*U2400-Z2400*V2400</f>
        <v/>
      </c>
      <c r="AB2400">
        <f>IF(AND(F2400,ABS(W2400)&gt;1E-12,Y2400&gt;0,Z2400&gt;0),AA2400,1E+300)</f>
        <v/>
      </c>
    </row>
    <row r="2401">
      <c r="A2401">
        <f>$B$3+$B$5*39</f>
        <v/>
      </c>
      <c r="B2401">
        <f>$B$3+$B$5*10</f>
        <v/>
      </c>
      <c r="C2401">
        <f>SUMPRODUCT(Calc!$K$3:$K$22*(Calc!$G$3:$G$22&lt;=A2401))</f>
        <v/>
      </c>
      <c r="D2401">
        <f>SUMPRODUCT(Calc!$K$3:$K$22*(Calc!$G$3:$G$22&gt;A2401)*(Calc!$G$3:$G$22&lt;B2401))</f>
        <v/>
      </c>
      <c r="E2401">
        <f>SUMPRODUCT(Calc!$K$3:$K$22*(Calc!$G$3:$G$22&gt;=B2401))</f>
        <v/>
      </c>
      <c r="F2401">
        <f>AND(k_n&gt;=5,B2401&gt;A2401+1E-9,C2401&gt;=2,D2401&gt;=1,E2401&gt;=2)</f>
        <v/>
      </c>
      <c r="G2401">
        <f>SUMPRODUCT(Calc!$K$3:$K$22*(Calc!$G$3:$G$22&gt;A2401)*(Calc!$G$3:$G$22-A2401))</f>
        <v/>
      </c>
      <c r="H2401">
        <f>SUMPRODUCT(Calc!$K$3:$K$22*(Calc!$G$3:$G$22&gt;B2401)*(Calc!$G$3:$G$22-B2401))</f>
        <v/>
      </c>
      <c r="I2401">
        <f>SUMPRODUCT(Calc!$K$3:$K$22*(Calc!$G$3:$G$22&gt;A2401)*(Calc!$G$3:$G$22-A2401)^2)</f>
        <v/>
      </c>
      <c r="J2401">
        <f>SUMPRODUCT(Calc!$K$3:$K$22*(Calc!$G$3:$G$22&gt;B2401)*(Calc!$G$3:$G$22-B2401)^2)</f>
        <v/>
      </c>
      <c r="K2401">
        <f>SUMPRODUCT(Calc!$K$3:$K$22*(Calc!$G$3:$G$22&gt;A2401)*(Calc!$G$3:$G$22-A2401)*(Calc!$G$3:$G$22&gt;B2401)*(Calc!$G$3:$G$22-B2401))</f>
        <v/>
      </c>
      <c r="L2401">
        <f>SUMPRODUCT(Calc!$K$3:$K$22*(Calc!$G$3:$G$22&gt;A2401)*(Calc!$G$3:$G$22-A2401)*Calc!$G$3:$G$22)</f>
        <v/>
      </c>
      <c r="M2401">
        <f>SUMPRODUCT(Calc!$K$3:$K$22*(Calc!$G$3:$G$22&gt;B2401)*(Calc!$G$3:$G$22-B2401)*Calc!$G$3:$G$22)</f>
        <v/>
      </c>
      <c r="N2401">
        <f>SUMPRODUCT(Calc!$K$3:$K$22*(Calc!$G$3:$G$22&gt;A2401)*(Calc!$G$3:$G$22-A2401)*Calc!$I$3:$I$22)</f>
        <v/>
      </c>
      <c r="O2401">
        <f>SUMPRODUCT(Calc!$K$3:$K$22*(Calc!$G$3:$G$22&gt;B2401)*(Calc!$G$3:$G$22-B2401)*Calc!$I$3:$I$22)</f>
        <v/>
      </c>
      <c r="P2401">
        <f>I2401-G2401^2/k_n</f>
        <v/>
      </c>
      <c r="Q2401">
        <f>J2401-H2401^2/k_n</f>
        <v/>
      </c>
      <c r="R2401">
        <f>K2401-G2401*H2401/k_n</f>
        <v/>
      </c>
      <c r="S2401">
        <f>L2401-LTP3!$D$3*G2401/k_n</f>
        <v/>
      </c>
      <c r="T2401">
        <f>M2401-LTP3!$D$3*H2401/k_n</f>
        <v/>
      </c>
      <c r="U2401">
        <f>N2401-G2401*LTP3!$D$4/k_n</f>
        <v/>
      </c>
      <c r="V2401">
        <f>O2401-H2401*LTP3!$D$4/k_n</f>
        <v/>
      </c>
      <c r="W2401">
        <f>((LTP3!$D$5)*((P2401)*(Q2401)-(R2401)*(R2401))-(S2401)*((S2401)*(Q2401)-(R2401)*(T2401))+(T2401)*((S2401)*(R2401)-(P2401)*(T2401)))</f>
        <v/>
      </c>
      <c r="X2401">
        <f>IF(ABS(W2401)&gt;1E-12,((LTP3!$D$6)*((P2401)*(Q2401)-(R2401)*(R2401))-(S2401)*((U2401)*(Q2401)-(R2401)*(V2401))+(T2401)*((U2401)*(R2401)-(P2401)*(V2401)))/W2401,0)</f>
        <v/>
      </c>
      <c r="Y2401">
        <f>IF(ABS(W2401)&gt;1E-12,((LTP3!$D$5)*((U2401)*(Q2401)-(R2401)*(V2401))-(LTP3!$D$6)*((S2401)*(Q2401)-(R2401)*(T2401))+(T2401)*((S2401)*(V2401)-(U2401)*(T2401)))/W2401,0)</f>
        <v/>
      </c>
      <c r="Z2401">
        <f>IF(ABS(W2401)&gt;1E-12,((LTP3!$D$5)*((P2401)*(V2401)-(U2401)*(R2401))-(S2401)*((S2401)*(V2401)-(U2401)*(T2401))+(LTP3!$D$6)*((S2401)*(R2401)-(P2401)*(T2401)))/W2401,0)</f>
        <v/>
      </c>
      <c r="AA2401">
        <f>LTP3!$D$7-X2401*LTP3!$D$6-Y2401*U2401-Z2401*V2401</f>
        <v/>
      </c>
      <c r="AB2401">
        <f>IF(AND(F2401,ABS(W2401)&gt;1E-12,Y2401&gt;0,Z2401&gt;0),AA2401,1E+300)</f>
        <v/>
      </c>
    </row>
    <row r="2402">
      <c r="A2402">
        <f>$B$3+$B$5*39</f>
        <v/>
      </c>
      <c r="B2402">
        <f>$B$3+$B$5*11</f>
        <v/>
      </c>
      <c r="C2402">
        <f>SUMPRODUCT(Calc!$K$3:$K$22*(Calc!$G$3:$G$22&lt;=A2402))</f>
        <v/>
      </c>
      <c r="D2402">
        <f>SUMPRODUCT(Calc!$K$3:$K$22*(Calc!$G$3:$G$22&gt;A2402)*(Calc!$G$3:$G$22&lt;B2402))</f>
        <v/>
      </c>
      <c r="E2402">
        <f>SUMPRODUCT(Calc!$K$3:$K$22*(Calc!$G$3:$G$22&gt;=B2402))</f>
        <v/>
      </c>
      <c r="F2402">
        <f>AND(k_n&gt;=5,B2402&gt;A2402+1E-9,C2402&gt;=2,D2402&gt;=1,E2402&gt;=2)</f>
        <v/>
      </c>
      <c r="G2402">
        <f>SUMPRODUCT(Calc!$K$3:$K$22*(Calc!$G$3:$G$22&gt;A2402)*(Calc!$G$3:$G$22-A2402))</f>
        <v/>
      </c>
      <c r="H2402">
        <f>SUMPRODUCT(Calc!$K$3:$K$22*(Calc!$G$3:$G$22&gt;B2402)*(Calc!$G$3:$G$22-B2402))</f>
        <v/>
      </c>
      <c r="I2402">
        <f>SUMPRODUCT(Calc!$K$3:$K$22*(Calc!$G$3:$G$22&gt;A2402)*(Calc!$G$3:$G$22-A2402)^2)</f>
        <v/>
      </c>
      <c r="J2402">
        <f>SUMPRODUCT(Calc!$K$3:$K$22*(Calc!$G$3:$G$22&gt;B2402)*(Calc!$G$3:$G$22-B2402)^2)</f>
        <v/>
      </c>
      <c r="K2402">
        <f>SUMPRODUCT(Calc!$K$3:$K$22*(Calc!$G$3:$G$22&gt;A2402)*(Calc!$G$3:$G$22-A2402)*(Calc!$G$3:$G$22&gt;B2402)*(Calc!$G$3:$G$22-B2402))</f>
        <v/>
      </c>
      <c r="L2402">
        <f>SUMPRODUCT(Calc!$K$3:$K$22*(Calc!$G$3:$G$22&gt;A2402)*(Calc!$G$3:$G$22-A2402)*Calc!$G$3:$G$22)</f>
        <v/>
      </c>
      <c r="M2402">
        <f>SUMPRODUCT(Calc!$K$3:$K$22*(Calc!$G$3:$G$22&gt;B2402)*(Calc!$G$3:$G$22-B2402)*Calc!$G$3:$G$22)</f>
        <v/>
      </c>
      <c r="N2402">
        <f>SUMPRODUCT(Calc!$K$3:$K$22*(Calc!$G$3:$G$22&gt;A2402)*(Calc!$G$3:$G$22-A2402)*Calc!$I$3:$I$22)</f>
        <v/>
      </c>
      <c r="O2402">
        <f>SUMPRODUCT(Calc!$K$3:$K$22*(Calc!$G$3:$G$22&gt;B2402)*(Calc!$G$3:$G$22-B2402)*Calc!$I$3:$I$22)</f>
        <v/>
      </c>
      <c r="P2402">
        <f>I2402-G2402^2/k_n</f>
        <v/>
      </c>
      <c r="Q2402">
        <f>J2402-H2402^2/k_n</f>
        <v/>
      </c>
      <c r="R2402">
        <f>K2402-G2402*H2402/k_n</f>
        <v/>
      </c>
      <c r="S2402">
        <f>L2402-LTP3!$D$3*G2402/k_n</f>
        <v/>
      </c>
      <c r="T2402">
        <f>M2402-LTP3!$D$3*H2402/k_n</f>
        <v/>
      </c>
      <c r="U2402">
        <f>N2402-G2402*LTP3!$D$4/k_n</f>
        <v/>
      </c>
      <c r="V2402">
        <f>O2402-H2402*LTP3!$D$4/k_n</f>
        <v/>
      </c>
      <c r="W2402">
        <f>((LTP3!$D$5)*((P2402)*(Q2402)-(R2402)*(R2402))-(S2402)*((S2402)*(Q2402)-(R2402)*(T2402))+(T2402)*((S2402)*(R2402)-(P2402)*(T2402)))</f>
        <v/>
      </c>
      <c r="X2402">
        <f>IF(ABS(W2402)&gt;1E-12,((LTP3!$D$6)*((P2402)*(Q2402)-(R2402)*(R2402))-(S2402)*((U2402)*(Q2402)-(R2402)*(V2402))+(T2402)*((U2402)*(R2402)-(P2402)*(V2402)))/W2402,0)</f>
        <v/>
      </c>
      <c r="Y2402">
        <f>IF(ABS(W2402)&gt;1E-12,((LTP3!$D$5)*((U2402)*(Q2402)-(R2402)*(V2402))-(LTP3!$D$6)*((S2402)*(Q2402)-(R2402)*(T2402))+(T2402)*((S2402)*(V2402)-(U2402)*(T2402)))/W2402,0)</f>
        <v/>
      </c>
      <c r="Z2402">
        <f>IF(ABS(W2402)&gt;1E-12,((LTP3!$D$5)*((P2402)*(V2402)-(U2402)*(R2402))-(S2402)*((S2402)*(V2402)-(U2402)*(T2402))+(LTP3!$D$6)*((S2402)*(R2402)-(P2402)*(T2402)))/W2402,0)</f>
        <v/>
      </c>
      <c r="AA2402">
        <f>LTP3!$D$7-X2402*LTP3!$D$6-Y2402*U2402-Z2402*V2402</f>
        <v/>
      </c>
      <c r="AB2402">
        <f>IF(AND(F2402,ABS(W2402)&gt;1E-12,Y2402&gt;0,Z2402&gt;0),AA2402,1E+300)</f>
        <v/>
      </c>
    </row>
    <row r="2403">
      <c r="A2403">
        <f>$B$3+$B$5*39</f>
        <v/>
      </c>
      <c r="B2403">
        <f>$B$3+$B$5*12</f>
        <v/>
      </c>
      <c r="C2403">
        <f>SUMPRODUCT(Calc!$K$3:$K$22*(Calc!$G$3:$G$22&lt;=A2403))</f>
        <v/>
      </c>
      <c r="D2403">
        <f>SUMPRODUCT(Calc!$K$3:$K$22*(Calc!$G$3:$G$22&gt;A2403)*(Calc!$G$3:$G$22&lt;B2403))</f>
        <v/>
      </c>
      <c r="E2403">
        <f>SUMPRODUCT(Calc!$K$3:$K$22*(Calc!$G$3:$G$22&gt;=B2403))</f>
        <v/>
      </c>
      <c r="F2403">
        <f>AND(k_n&gt;=5,B2403&gt;A2403+1E-9,C2403&gt;=2,D2403&gt;=1,E2403&gt;=2)</f>
        <v/>
      </c>
      <c r="G2403">
        <f>SUMPRODUCT(Calc!$K$3:$K$22*(Calc!$G$3:$G$22&gt;A2403)*(Calc!$G$3:$G$22-A2403))</f>
        <v/>
      </c>
      <c r="H2403">
        <f>SUMPRODUCT(Calc!$K$3:$K$22*(Calc!$G$3:$G$22&gt;B2403)*(Calc!$G$3:$G$22-B2403))</f>
        <v/>
      </c>
      <c r="I2403">
        <f>SUMPRODUCT(Calc!$K$3:$K$22*(Calc!$G$3:$G$22&gt;A2403)*(Calc!$G$3:$G$22-A2403)^2)</f>
        <v/>
      </c>
      <c r="J2403">
        <f>SUMPRODUCT(Calc!$K$3:$K$22*(Calc!$G$3:$G$22&gt;B2403)*(Calc!$G$3:$G$22-B2403)^2)</f>
        <v/>
      </c>
      <c r="K2403">
        <f>SUMPRODUCT(Calc!$K$3:$K$22*(Calc!$G$3:$G$22&gt;A2403)*(Calc!$G$3:$G$22-A2403)*(Calc!$G$3:$G$22&gt;B2403)*(Calc!$G$3:$G$22-B2403))</f>
        <v/>
      </c>
      <c r="L2403">
        <f>SUMPRODUCT(Calc!$K$3:$K$22*(Calc!$G$3:$G$22&gt;A2403)*(Calc!$G$3:$G$22-A2403)*Calc!$G$3:$G$22)</f>
        <v/>
      </c>
      <c r="M2403">
        <f>SUMPRODUCT(Calc!$K$3:$K$22*(Calc!$G$3:$G$22&gt;B2403)*(Calc!$G$3:$G$22-B2403)*Calc!$G$3:$G$22)</f>
        <v/>
      </c>
      <c r="N2403">
        <f>SUMPRODUCT(Calc!$K$3:$K$22*(Calc!$G$3:$G$22&gt;A2403)*(Calc!$G$3:$G$22-A2403)*Calc!$I$3:$I$22)</f>
        <v/>
      </c>
      <c r="O2403">
        <f>SUMPRODUCT(Calc!$K$3:$K$22*(Calc!$G$3:$G$22&gt;B2403)*(Calc!$G$3:$G$22-B2403)*Calc!$I$3:$I$22)</f>
        <v/>
      </c>
      <c r="P2403">
        <f>I2403-G2403^2/k_n</f>
        <v/>
      </c>
      <c r="Q2403">
        <f>J2403-H2403^2/k_n</f>
        <v/>
      </c>
      <c r="R2403">
        <f>K2403-G2403*H2403/k_n</f>
        <v/>
      </c>
      <c r="S2403">
        <f>L2403-LTP3!$D$3*G2403/k_n</f>
        <v/>
      </c>
      <c r="T2403">
        <f>M2403-LTP3!$D$3*H2403/k_n</f>
        <v/>
      </c>
      <c r="U2403">
        <f>N2403-G2403*LTP3!$D$4/k_n</f>
        <v/>
      </c>
      <c r="V2403">
        <f>O2403-H2403*LTP3!$D$4/k_n</f>
        <v/>
      </c>
      <c r="W2403">
        <f>((LTP3!$D$5)*((P2403)*(Q2403)-(R2403)*(R2403))-(S2403)*((S2403)*(Q2403)-(R2403)*(T2403))+(T2403)*((S2403)*(R2403)-(P2403)*(T2403)))</f>
        <v/>
      </c>
      <c r="X2403">
        <f>IF(ABS(W2403)&gt;1E-12,((LTP3!$D$6)*((P2403)*(Q2403)-(R2403)*(R2403))-(S2403)*((U2403)*(Q2403)-(R2403)*(V2403))+(T2403)*((U2403)*(R2403)-(P2403)*(V2403)))/W2403,0)</f>
        <v/>
      </c>
      <c r="Y2403">
        <f>IF(ABS(W2403)&gt;1E-12,((LTP3!$D$5)*((U2403)*(Q2403)-(R2403)*(V2403))-(LTP3!$D$6)*((S2403)*(Q2403)-(R2403)*(T2403))+(T2403)*((S2403)*(V2403)-(U2403)*(T2403)))/W2403,0)</f>
        <v/>
      </c>
      <c r="Z2403">
        <f>IF(ABS(W2403)&gt;1E-12,((LTP3!$D$5)*((P2403)*(V2403)-(U2403)*(R2403))-(S2403)*((S2403)*(V2403)-(U2403)*(T2403))+(LTP3!$D$6)*((S2403)*(R2403)-(P2403)*(T2403)))/W2403,0)</f>
        <v/>
      </c>
      <c r="AA2403">
        <f>LTP3!$D$7-X2403*LTP3!$D$6-Y2403*U2403-Z2403*V2403</f>
        <v/>
      </c>
      <c r="AB2403">
        <f>IF(AND(F2403,ABS(W2403)&gt;1E-12,Y2403&gt;0,Z2403&gt;0),AA2403,1E+300)</f>
        <v/>
      </c>
    </row>
    <row r="2404">
      <c r="A2404">
        <f>$B$3+$B$5*39</f>
        <v/>
      </c>
      <c r="B2404">
        <f>$B$3+$B$5*13</f>
        <v/>
      </c>
      <c r="C2404">
        <f>SUMPRODUCT(Calc!$K$3:$K$22*(Calc!$G$3:$G$22&lt;=A2404))</f>
        <v/>
      </c>
      <c r="D2404">
        <f>SUMPRODUCT(Calc!$K$3:$K$22*(Calc!$G$3:$G$22&gt;A2404)*(Calc!$G$3:$G$22&lt;B2404))</f>
        <v/>
      </c>
      <c r="E2404">
        <f>SUMPRODUCT(Calc!$K$3:$K$22*(Calc!$G$3:$G$22&gt;=B2404))</f>
        <v/>
      </c>
      <c r="F2404">
        <f>AND(k_n&gt;=5,B2404&gt;A2404+1E-9,C2404&gt;=2,D2404&gt;=1,E2404&gt;=2)</f>
        <v/>
      </c>
      <c r="G2404">
        <f>SUMPRODUCT(Calc!$K$3:$K$22*(Calc!$G$3:$G$22&gt;A2404)*(Calc!$G$3:$G$22-A2404))</f>
        <v/>
      </c>
      <c r="H2404">
        <f>SUMPRODUCT(Calc!$K$3:$K$22*(Calc!$G$3:$G$22&gt;B2404)*(Calc!$G$3:$G$22-B2404))</f>
        <v/>
      </c>
      <c r="I2404">
        <f>SUMPRODUCT(Calc!$K$3:$K$22*(Calc!$G$3:$G$22&gt;A2404)*(Calc!$G$3:$G$22-A2404)^2)</f>
        <v/>
      </c>
      <c r="J2404">
        <f>SUMPRODUCT(Calc!$K$3:$K$22*(Calc!$G$3:$G$22&gt;B2404)*(Calc!$G$3:$G$22-B2404)^2)</f>
        <v/>
      </c>
      <c r="K2404">
        <f>SUMPRODUCT(Calc!$K$3:$K$22*(Calc!$G$3:$G$22&gt;A2404)*(Calc!$G$3:$G$22-A2404)*(Calc!$G$3:$G$22&gt;B2404)*(Calc!$G$3:$G$22-B2404))</f>
        <v/>
      </c>
      <c r="L2404">
        <f>SUMPRODUCT(Calc!$K$3:$K$22*(Calc!$G$3:$G$22&gt;A2404)*(Calc!$G$3:$G$22-A2404)*Calc!$G$3:$G$22)</f>
        <v/>
      </c>
      <c r="M2404">
        <f>SUMPRODUCT(Calc!$K$3:$K$22*(Calc!$G$3:$G$22&gt;B2404)*(Calc!$G$3:$G$22-B2404)*Calc!$G$3:$G$22)</f>
        <v/>
      </c>
      <c r="N2404">
        <f>SUMPRODUCT(Calc!$K$3:$K$22*(Calc!$G$3:$G$22&gt;A2404)*(Calc!$G$3:$G$22-A2404)*Calc!$I$3:$I$22)</f>
        <v/>
      </c>
      <c r="O2404">
        <f>SUMPRODUCT(Calc!$K$3:$K$22*(Calc!$G$3:$G$22&gt;B2404)*(Calc!$G$3:$G$22-B2404)*Calc!$I$3:$I$22)</f>
        <v/>
      </c>
      <c r="P2404">
        <f>I2404-G2404^2/k_n</f>
        <v/>
      </c>
      <c r="Q2404">
        <f>J2404-H2404^2/k_n</f>
        <v/>
      </c>
      <c r="R2404">
        <f>K2404-G2404*H2404/k_n</f>
        <v/>
      </c>
      <c r="S2404">
        <f>L2404-LTP3!$D$3*G2404/k_n</f>
        <v/>
      </c>
      <c r="T2404">
        <f>M2404-LTP3!$D$3*H2404/k_n</f>
        <v/>
      </c>
      <c r="U2404">
        <f>N2404-G2404*LTP3!$D$4/k_n</f>
        <v/>
      </c>
      <c r="V2404">
        <f>O2404-H2404*LTP3!$D$4/k_n</f>
        <v/>
      </c>
      <c r="W2404">
        <f>((LTP3!$D$5)*((P2404)*(Q2404)-(R2404)*(R2404))-(S2404)*((S2404)*(Q2404)-(R2404)*(T2404))+(T2404)*((S2404)*(R2404)-(P2404)*(T2404)))</f>
        <v/>
      </c>
      <c r="X2404">
        <f>IF(ABS(W2404)&gt;1E-12,((LTP3!$D$6)*((P2404)*(Q2404)-(R2404)*(R2404))-(S2404)*((U2404)*(Q2404)-(R2404)*(V2404))+(T2404)*((U2404)*(R2404)-(P2404)*(V2404)))/W2404,0)</f>
        <v/>
      </c>
      <c r="Y2404">
        <f>IF(ABS(W2404)&gt;1E-12,((LTP3!$D$5)*((U2404)*(Q2404)-(R2404)*(V2404))-(LTP3!$D$6)*((S2404)*(Q2404)-(R2404)*(T2404))+(T2404)*((S2404)*(V2404)-(U2404)*(T2404)))/W2404,0)</f>
        <v/>
      </c>
      <c r="Z2404">
        <f>IF(ABS(W2404)&gt;1E-12,((LTP3!$D$5)*((P2404)*(V2404)-(U2404)*(R2404))-(S2404)*((S2404)*(V2404)-(U2404)*(T2404))+(LTP3!$D$6)*((S2404)*(R2404)-(P2404)*(T2404)))/W2404,0)</f>
        <v/>
      </c>
      <c r="AA2404">
        <f>LTP3!$D$7-X2404*LTP3!$D$6-Y2404*U2404-Z2404*V2404</f>
        <v/>
      </c>
      <c r="AB2404">
        <f>IF(AND(F2404,ABS(W2404)&gt;1E-12,Y2404&gt;0,Z2404&gt;0),AA2404,1E+300)</f>
        <v/>
      </c>
    </row>
    <row r="2405">
      <c r="A2405">
        <f>$B$3+$B$5*39</f>
        <v/>
      </c>
      <c r="B2405">
        <f>$B$3+$B$5*14</f>
        <v/>
      </c>
      <c r="C2405">
        <f>SUMPRODUCT(Calc!$K$3:$K$22*(Calc!$G$3:$G$22&lt;=A2405))</f>
        <v/>
      </c>
      <c r="D2405">
        <f>SUMPRODUCT(Calc!$K$3:$K$22*(Calc!$G$3:$G$22&gt;A2405)*(Calc!$G$3:$G$22&lt;B2405))</f>
        <v/>
      </c>
      <c r="E2405">
        <f>SUMPRODUCT(Calc!$K$3:$K$22*(Calc!$G$3:$G$22&gt;=B2405))</f>
        <v/>
      </c>
      <c r="F2405">
        <f>AND(k_n&gt;=5,B2405&gt;A2405+1E-9,C2405&gt;=2,D2405&gt;=1,E2405&gt;=2)</f>
        <v/>
      </c>
      <c r="G2405">
        <f>SUMPRODUCT(Calc!$K$3:$K$22*(Calc!$G$3:$G$22&gt;A2405)*(Calc!$G$3:$G$22-A2405))</f>
        <v/>
      </c>
      <c r="H2405">
        <f>SUMPRODUCT(Calc!$K$3:$K$22*(Calc!$G$3:$G$22&gt;B2405)*(Calc!$G$3:$G$22-B2405))</f>
        <v/>
      </c>
      <c r="I2405">
        <f>SUMPRODUCT(Calc!$K$3:$K$22*(Calc!$G$3:$G$22&gt;A2405)*(Calc!$G$3:$G$22-A2405)^2)</f>
        <v/>
      </c>
      <c r="J2405">
        <f>SUMPRODUCT(Calc!$K$3:$K$22*(Calc!$G$3:$G$22&gt;B2405)*(Calc!$G$3:$G$22-B2405)^2)</f>
        <v/>
      </c>
      <c r="K2405">
        <f>SUMPRODUCT(Calc!$K$3:$K$22*(Calc!$G$3:$G$22&gt;A2405)*(Calc!$G$3:$G$22-A2405)*(Calc!$G$3:$G$22&gt;B2405)*(Calc!$G$3:$G$22-B2405))</f>
        <v/>
      </c>
      <c r="L2405">
        <f>SUMPRODUCT(Calc!$K$3:$K$22*(Calc!$G$3:$G$22&gt;A2405)*(Calc!$G$3:$G$22-A2405)*Calc!$G$3:$G$22)</f>
        <v/>
      </c>
      <c r="M2405">
        <f>SUMPRODUCT(Calc!$K$3:$K$22*(Calc!$G$3:$G$22&gt;B2405)*(Calc!$G$3:$G$22-B2405)*Calc!$G$3:$G$22)</f>
        <v/>
      </c>
      <c r="N2405">
        <f>SUMPRODUCT(Calc!$K$3:$K$22*(Calc!$G$3:$G$22&gt;A2405)*(Calc!$G$3:$G$22-A2405)*Calc!$I$3:$I$22)</f>
        <v/>
      </c>
      <c r="O2405">
        <f>SUMPRODUCT(Calc!$K$3:$K$22*(Calc!$G$3:$G$22&gt;B2405)*(Calc!$G$3:$G$22-B2405)*Calc!$I$3:$I$22)</f>
        <v/>
      </c>
      <c r="P2405">
        <f>I2405-G2405^2/k_n</f>
        <v/>
      </c>
      <c r="Q2405">
        <f>J2405-H2405^2/k_n</f>
        <v/>
      </c>
      <c r="R2405">
        <f>K2405-G2405*H2405/k_n</f>
        <v/>
      </c>
      <c r="S2405">
        <f>L2405-LTP3!$D$3*G2405/k_n</f>
        <v/>
      </c>
      <c r="T2405">
        <f>M2405-LTP3!$D$3*H2405/k_n</f>
        <v/>
      </c>
      <c r="U2405">
        <f>N2405-G2405*LTP3!$D$4/k_n</f>
        <v/>
      </c>
      <c r="V2405">
        <f>O2405-H2405*LTP3!$D$4/k_n</f>
        <v/>
      </c>
      <c r="W2405">
        <f>((LTP3!$D$5)*((P2405)*(Q2405)-(R2405)*(R2405))-(S2405)*((S2405)*(Q2405)-(R2405)*(T2405))+(T2405)*((S2405)*(R2405)-(P2405)*(T2405)))</f>
        <v/>
      </c>
      <c r="X2405">
        <f>IF(ABS(W2405)&gt;1E-12,((LTP3!$D$6)*((P2405)*(Q2405)-(R2405)*(R2405))-(S2405)*((U2405)*(Q2405)-(R2405)*(V2405))+(T2405)*((U2405)*(R2405)-(P2405)*(V2405)))/W2405,0)</f>
        <v/>
      </c>
      <c r="Y2405">
        <f>IF(ABS(W2405)&gt;1E-12,((LTP3!$D$5)*((U2405)*(Q2405)-(R2405)*(V2405))-(LTP3!$D$6)*((S2405)*(Q2405)-(R2405)*(T2405))+(T2405)*((S2405)*(V2405)-(U2405)*(T2405)))/W2405,0)</f>
        <v/>
      </c>
      <c r="Z2405">
        <f>IF(ABS(W2405)&gt;1E-12,((LTP3!$D$5)*((P2405)*(V2405)-(U2405)*(R2405))-(S2405)*((S2405)*(V2405)-(U2405)*(T2405))+(LTP3!$D$6)*((S2405)*(R2405)-(P2405)*(T2405)))/W2405,0)</f>
        <v/>
      </c>
      <c r="AA2405">
        <f>LTP3!$D$7-X2405*LTP3!$D$6-Y2405*U2405-Z2405*V2405</f>
        <v/>
      </c>
      <c r="AB2405">
        <f>IF(AND(F2405,ABS(W2405)&gt;1E-12,Y2405&gt;0,Z2405&gt;0),AA2405,1E+300)</f>
        <v/>
      </c>
    </row>
    <row r="2406">
      <c r="A2406">
        <f>$B$3+$B$5*39</f>
        <v/>
      </c>
      <c r="B2406">
        <f>$B$3+$B$5*15</f>
        <v/>
      </c>
      <c r="C2406">
        <f>SUMPRODUCT(Calc!$K$3:$K$22*(Calc!$G$3:$G$22&lt;=A2406))</f>
        <v/>
      </c>
      <c r="D2406">
        <f>SUMPRODUCT(Calc!$K$3:$K$22*(Calc!$G$3:$G$22&gt;A2406)*(Calc!$G$3:$G$22&lt;B2406))</f>
        <v/>
      </c>
      <c r="E2406">
        <f>SUMPRODUCT(Calc!$K$3:$K$22*(Calc!$G$3:$G$22&gt;=B2406))</f>
        <v/>
      </c>
      <c r="F2406">
        <f>AND(k_n&gt;=5,B2406&gt;A2406+1E-9,C2406&gt;=2,D2406&gt;=1,E2406&gt;=2)</f>
        <v/>
      </c>
      <c r="G2406">
        <f>SUMPRODUCT(Calc!$K$3:$K$22*(Calc!$G$3:$G$22&gt;A2406)*(Calc!$G$3:$G$22-A2406))</f>
        <v/>
      </c>
      <c r="H2406">
        <f>SUMPRODUCT(Calc!$K$3:$K$22*(Calc!$G$3:$G$22&gt;B2406)*(Calc!$G$3:$G$22-B2406))</f>
        <v/>
      </c>
      <c r="I2406">
        <f>SUMPRODUCT(Calc!$K$3:$K$22*(Calc!$G$3:$G$22&gt;A2406)*(Calc!$G$3:$G$22-A2406)^2)</f>
        <v/>
      </c>
      <c r="J2406">
        <f>SUMPRODUCT(Calc!$K$3:$K$22*(Calc!$G$3:$G$22&gt;B2406)*(Calc!$G$3:$G$22-B2406)^2)</f>
        <v/>
      </c>
      <c r="K2406">
        <f>SUMPRODUCT(Calc!$K$3:$K$22*(Calc!$G$3:$G$22&gt;A2406)*(Calc!$G$3:$G$22-A2406)*(Calc!$G$3:$G$22&gt;B2406)*(Calc!$G$3:$G$22-B2406))</f>
        <v/>
      </c>
      <c r="L2406">
        <f>SUMPRODUCT(Calc!$K$3:$K$22*(Calc!$G$3:$G$22&gt;A2406)*(Calc!$G$3:$G$22-A2406)*Calc!$G$3:$G$22)</f>
        <v/>
      </c>
      <c r="M2406">
        <f>SUMPRODUCT(Calc!$K$3:$K$22*(Calc!$G$3:$G$22&gt;B2406)*(Calc!$G$3:$G$22-B2406)*Calc!$G$3:$G$22)</f>
        <v/>
      </c>
      <c r="N2406">
        <f>SUMPRODUCT(Calc!$K$3:$K$22*(Calc!$G$3:$G$22&gt;A2406)*(Calc!$G$3:$G$22-A2406)*Calc!$I$3:$I$22)</f>
        <v/>
      </c>
      <c r="O2406">
        <f>SUMPRODUCT(Calc!$K$3:$K$22*(Calc!$G$3:$G$22&gt;B2406)*(Calc!$G$3:$G$22-B2406)*Calc!$I$3:$I$22)</f>
        <v/>
      </c>
      <c r="P2406">
        <f>I2406-G2406^2/k_n</f>
        <v/>
      </c>
      <c r="Q2406">
        <f>J2406-H2406^2/k_n</f>
        <v/>
      </c>
      <c r="R2406">
        <f>K2406-G2406*H2406/k_n</f>
        <v/>
      </c>
      <c r="S2406">
        <f>L2406-LTP3!$D$3*G2406/k_n</f>
        <v/>
      </c>
      <c r="T2406">
        <f>M2406-LTP3!$D$3*H2406/k_n</f>
        <v/>
      </c>
      <c r="U2406">
        <f>N2406-G2406*LTP3!$D$4/k_n</f>
        <v/>
      </c>
      <c r="V2406">
        <f>O2406-H2406*LTP3!$D$4/k_n</f>
        <v/>
      </c>
      <c r="W2406">
        <f>((LTP3!$D$5)*((P2406)*(Q2406)-(R2406)*(R2406))-(S2406)*((S2406)*(Q2406)-(R2406)*(T2406))+(T2406)*((S2406)*(R2406)-(P2406)*(T2406)))</f>
        <v/>
      </c>
      <c r="X2406">
        <f>IF(ABS(W2406)&gt;1E-12,((LTP3!$D$6)*((P2406)*(Q2406)-(R2406)*(R2406))-(S2406)*((U2406)*(Q2406)-(R2406)*(V2406))+(T2406)*((U2406)*(R2406)-(P2406)*(V2406)))/W2406,0)</f>
        <v/>
      </c>
      <c r="Y2406">
        <f>IF(ABS(W2406)&gt;1E-12,((LTP3!$D$5)*((U2406)*(Q2406)-(R2406)*(V2406))-(LTP3!$D$6)*((S2406)*(Q2406)-(R2406)*(T2406))+(T2406)*((S2406)*(V2406)-(U2406)*(T2406)))/W2406,0)</f>
        <v/>
      </c>
      <c r="Z2406">
        <f>IF(ABS(W2406)&gt;1E-12,((LTP3!$D$5)*((P2406)*(V2406)-(U2406)*(R2406))-(S2406)*((S2406)*(V2406)-(U2406)*(T2406))+(LTP3!$D$6)*((S2406)*(R2406)-(P2406)*(T2406)))/W2406,0)</f>
        <v/>
      </c>
      <c r="AA2406">
        <f>LTP3!$D$7-X2406*LTP3!$D$6-Y2406*U2406-Z2406*V2406</f>
        <v/>
      </c>
      <c r="AB2406">
        <f>IF(AND(F2406,ABS(W2406)&gt;1E-12,Y2406&gt;0,Z2406&gt;0),AA2406,1E+300)</f>
        <v/>
      </c>
    </row>
    <row r="2407">
      <c r="A2407">
        <f>$B$3+$B$5*39</f>
        <v/>
      </c>
      <c r="B2407">
        <f>$B$3+$B$5*16</f>
        <v/>
      </c>
      <c r="C2407">
        <f>SUMPRODUCT(Calc!$K$3:$K$22*(Calc!$G$3:$G$22&lt;=A2407))</f>
        <v/>
      </c>
      <c r="D2407">
        <f>SUMPRODUCT(Calc!$K$3:$K$22*(Calc!$G$3:$G$22&gt;A2407)*(Calc!$G$3:$G$22&lt;B2407))</f>
        <v/>
      </c>
      <c r="E2407">
        <f>SUMPRODUCT(Calc!$K$3:$K$22*(Calc!$G$3:$G$22&gt;=B2407))</f>
        <v/>
      </c>
      <c r="F2407">
        <f>AND(k_n&gt;=5,B2407&gt;A2407+1E-9,C2407&gt;=2,D2407&gt;=1,E2407&gt;=2)</f>
        <v/>
      </c>
      <c r="G2407">
        <f>SUMPRODUCT(Calc!$K$3:$K$22*(Calc!$G$3:$G$22&gt;A2407)*(Calc!$G$3:$G$22-A2407))</f>
        <v/>
      </c>
      <c r="H2407">
        <f>SUMPRODUCT(Calc!$K$3:$K$22*(Calc!$G$3:$G$22&gt;B2407)*(Calc!$G$3:$G$22-B2407))</f>
        <v/>
      </c>
      <c r="I2407">
        <f>SUMPRODUCT(Calc!$K$3:$K$22*(Calc!$G$3:$G$22&gt;A2407)*(Calc!$G$3:$G$22-A2407)^2)</f>
        <v/>
      </c>
      <c r="J2407">
        <f>SUMPRODUCT(Calc!$K$3:$K$22*(Calc!$G$3:$G$22&gt;B2407)*(Calc!$G$3:$G$22-B2407)^2)</f>
        <v/>
      </c>
      <c r="K2407">
        <f>SUMPRODUCT(Calc!$K$3:$K$22*(Calc!$G$3:$G$22&gt;A2407)*(Calc!$G$3:$G$22-A2407)*(Calc!$G$3:$G$22&gt;B2407)*(Calc!$G$3:$G$22-B2407))</f>
        <v/>
      </c>
      <c r="L2407">
        <f>SUMPRODUCT(Calc!$K$3:$K$22*(Calc!$G$3:$G$22&gt;A2407)*(Calc!$G$3:$G$22-A2407)*Calc!$G$3:$G$22)</f>
        <v/>
      </c>
      <c r="M2407">
        <f>SUMPRODUCT(Calc!$K$3:$K$22*(Calc!$G$3:$G$22&gt;B2407)*(Calc!$G$3:$G$22-B2407)*Calc!$G$3:$G$22)</f>
        <v/>
      </c>
      <c r="N2407">
        <f>SUMPRODUCT(Calc!$K$3:$K$22*(Calc!$G$3:$G$22&gt;A2407)*(Calc!$G$3:$G$22-A2407)*Calc!$I$3:$I$22)</f>
        <v/>
      </c>
      <c r="O2407">
        <f>SUMPRODUCT(Calc!$K$3:$K$22*(Calc!$G$3:$G$22&gt;B2407)*(Calc!$G$3:$G$22-B2407)*Calc!$I$3:$I$22)</f>
        <v/>
      </c>
      <c r="P2407">
        <f>I2407-G2407^2/k_n</f>
        <v/>
      </c>
      <c r="Q2407">
        <f>J2407-H2407^2/k_n</f>
        <v/>
      </c>
      <c r="R2407">
        <f>K2407-G2407*H2407/k_n</f>
        <v/>
      </c>
      <c r="S2407">
        <f>L2407-LTP3!$D$3*G2407/k_n</f>
        <v/>
      </c>
      <c r="T2407">
        <f>M2407-LTP3!$D$3*H2407/k_n</f>
        <v/>
      </c>
      <c r="U2407">
        <f>N2407-G2407*LTP3!$D$4/k_n</f>
        <v/>
      </c>
      <c r="V2407">
        <f>O2407-H2407*LTP3!$D$4/k_n</f>
        <v/>
      </c>
      <c r="W2407">
        <f>((LTP3!$D$5)*((P2407)*(Q2407)-(R2407)*(R2407))-(S2407)*((S2407)*(Q2407)-(R2407)*(T2407))+(T2407)*((S2407)*(R2407)-(P2407)*(T2407)))</f>
        <v/>
      </c>
      <c r="X2407">
        <f>IF(ABS(W2407)&gt;1E-12,((LTP3!$D$6)*((P2407)*(Q2407)-(R2407)*(R2407))-(S2407)*((U2407)*(Q2407)-(R2407)*(V2407))+(T2407)*((U2407)*(R2407)-(P2407)*(V2407)))/W2407,0)</f>
        <v/>
      </c>
      <c r="Y2407">
        <f>IF(ABS(W2407)&gt;1E-12,((LTP3!$D$5)*((U2407)*(Q2407)-(R2407)*(V2407))-(LTP3!$D$6)*((S2407)*(Q2407)-(R2407)*(T2407))+(T2407)*((S2407)*(V2407)-(U2407)*(T2407)))/W2407,0)</f>
        <v/>
      </c>
      <c r="Z2407">
        <f>IF(ABS(W2407)&gt;1E-12,((LTP3!$D$5)*((P2407)*(V2407)-(U2407)*(R2407))-(S2407)*((S2407)*(V2407)-(U2407)*(T2407))+(LTP3!$D$6)*((S2407)*(R2407)-(P2407)*(T2407)))/W2407,0)</f>
        <v/>
      </c>
      <c r="AA2407">
        <f>LTP3!$D$7-X2407*LTP3!$D$6-Y2407*U2407-Z2407*V2407</f>
        <v/>
      </c>
      <c r="AB2407">
        <f>IF(AND(F2407,ABS(W2407)&gt;1E-12,Y2407&gt;0,Z2407&gt;0),AA2407,1E+300)</f>
        <v/>
      </c>
    </row>
    <row r="2408">
      <c r="A2408">
        <f>$B$3+$B$5*39</f>
        <v/>
      </c>
      <c r="B2408">
        <f>$B$3+$B$5*17</f>
        <v/>
      </c>
      <c r="C2408">
        <f>SUMPRODUCT(Calc!$K$3:$K$22*(Calc!$G$3:$G$22&lt;=A2408))</f>
        <v/>
      </c>
      <c r="D2408">
        <f>SUMPRODUCT(Calc!$K$3:$K$22*(Calc!$G$3:$G$22&gt;A2408)*(Calc!$G$3:$G$22&lt;B2408))</f>
        <v/>
      </c>
      <c r="E2408">
        <f>SUMPRODUCT(Calc!$K$3:$K$22*(Calc!$G$3:$G$22&gt;=B2408))</f>
        <v/>
      </c>
      <c r="F2408">
        <f>AND(k_n&gt;=5,B2408&gt;A2408+1E-9,C2408&gt;=2,D2408&gt;=1,E2408&gt;=2)</f>
        <v/>
      </c>
      <c r="G2408">
        <f>SUMPRODUCT(Calc!$K$3:$K$22*(Calc!$G$3:$G$22&gt;A2408)*(Calc!$G$3:$G$22-A2408))</f>
        <v/>
      </c>
      <c r="H2408">
        <f>SUMPRODUCT(Calc!$K$3:$K$22*(Calc!$G$3:$G$22&gt;B2408)*(Calc!$G$3:$G$22-B2408))</f>
        <v/>
      </c>
      <c r="I2408">
        <f>SUMPRODUCT(Calc!$K$3:$K$22*(Calc!$G$3:$G$22&gt;A2408)*(Calc!$G$3:$G$22-A2408)^2)</f>
        <v/>
      </c>
      <c r="J2408">
        <f>SUMPRODUCT(Calc!$K$3:$K$22*(Calc!$G$3:$G$22&gt;B2408)*(Calc!$G$3:$G$22-B2408)^2)</f>
        <v/>
      </c>
      <c r="K2408">
        <f>SUMPRODUCT(Calc!$K$3:$K$22*(Calc!$G$3:$G$22&gt;A2408)*(Calc!$G$3:$G$22-A2408)*(Calc!$G$3:$G$22&gt;B2408)*(Calc!$G$3:$G$22-B2408))</f>
        <v/>
      </c>
      <c r="L2408">
        <f>SUMPRODUCT(Calc!$K$3:$K$22*(Calc!$G$3:$G$22&gt;A2408)*(Calc!$G$3:$G$22-A2408)*Calc!$G$3:$G$22)</f>
        <v/>
      </c>
      <c r="M2408">
        <f>SUMPRODUCT(Calc!$K$3:$K$22*(Calc!$G$3:$G$22&gt;B2408)*(Calc!$G$3:$G$22-B2408)*Calc!$G$3:$G$22)</f>
        <v/>
      </c>
      <c r="N2408">
        <f>SUMPRODUCT(Calc!$K$3:$K$22*(Calc!$G$3:$G$22&gt;A2408)*(Calc!$G$3:$G$22-A2408)*Calc!$I$3:$I$22)</f>
        <v/>
      </c>
      <c r="O2408">
        <f>SUMPRODUCT(Calc!$K$3:$K$22*(Calc!$G$3:$G$22&gt;B2408)*(Calc!$G$3:$G$22-B2408)*Calc!$I$3:$I$22)</f>
        <v/>
      </c>
      <c r="P2408">
        <f>I2408-G2408^2/k_n</f>
        <v/>
      </c>
      <c r="Q2408">
        <f>J2408-H2408^2/k_n</f>
        <v/>
      </c>
      <c r="R2408">
        <f>K2408-G2408*H2408/k_n</f>
        <v/>
      </c>
      <c r="S2408">
        <f>L2408-LTP3!$D$3*G2408/k_n</f>
        <v/>
      </c>
      <c r="T2408">
        <f>M2408-LTP3!$D$3*H2408/k_n</f>
        <v/>
      </c>
      <c r="U2408">
        <f>N2408-G2408*LTP3!$D$4/k_n</f>
        <v/>
      </c>
      <c r="V2408">
        <f>O2408-H2408*LTP3!$D$4/k_n</f>
        <v/>
      </c>
      <c r="W2408">
        <f>((LTP3!$D$5)*((P2408)*(Q2408)-(R2408)*(R2408))-(S2408)*((S2408)*(Q2408)-(R2408)*(T2408))+(T2408)*((S2408)*(R2408)-(P2408)*(T2408)))</f>
        <v/>
      </c>
      <c r="X2408">
        <f>IF(ABS(W2408)&gt;1E-12,((LTP3!$D$6)*((P2408)*(Q2408)-(R2408)*(R2408))-(S2408)*((U2408)*(Q2408)-(R2408)*(V2408))+(T2408)*((U2408)*(R2408)-(P2408)*(V2408)))/W2408,0)</f>
        <v/>
      </c>
      <c r="Y2408">
        <f>IF(ABS(W2408)&gt;1E-12,((LTP3!$D$5)*((U2408)*(Q2408)-(R2408)*(V2408))-(LTP3!$D$6)*((S2408)*(Q2408)-(R2408)*(T2408))+(T2408)*((S2408)*(V2408)-(U2408)*(T2408)))/W2408,0)</f>
        <v/>
      </c>
      <c r="Z2408">
        <f>IF(ABS(W2408)&gt;1E-12,((LTP3!$D$5)*((P2408)*(V2408)-(U2408)*(R2408))-(S2408)*((S2408)*(V2408)-(U2408)*(T2408))+(LTP3!$D$6)*((S2408)*(R2408)-(P2408)*(T2408)))/W2408,0)</f>
        <v/>
      </c>
      <c r="AA2408">
        <f>LTP3!$D$7-X2408*LTP3!$D$6-Y2408*U2408-Z2408*V2408</f>
        <v/>
      </c>
      <c r="AB2408">
        <f>IF(AND(F2408,ABS(W2408)&gt;1E-12,Y2408&gt;0,Z2408&gt;0),AA2408,1E+300)</f>
        <v/>
      </c>
    </row>
    <row r="2409">
      <c r="A2409">
        <f>$B$3+$B$5*39</f>
        <v/>
      </c>
      <c r="B2409">
        <f>$B$3+$B$5*18</f>
        <v/>
      </c>
      <c r="C2409">
        <f>SUMPRODUCT(Calc!$K$3:$K$22*(Calc!$G$3:$G$22&lt;=A2409))</f>
        <v/>
      </c>
      <c r="D2409">
        <f>SUMPRODUCT(Calc!$K$3:$K$22*(Calc!$G$3:$G$22&gt;A2409)*(Calc!$G$3:$G$22&lt;B2409))</f>
        <v/>
      </c>
      <c r="E2409">
        <f>SUMPRODUCT(Calc!$K$3:$K$22*(Calc!$G$3:$G$22&gt;=B2409))</f>
        <v/>
      </c>
      <c r="F2409">
        <f>AND(k_n&gt;=5,B2409&gt;A2409+1E-9,C2409&gt;=2,D2409&gt;=1,E2409&gt;=2)</f>
        <v/>
      </c>
      <c r="G2409">
        <f>SUMPRODUCT(Calc!$K$3:$K$22*(Calc!$G$3:$G$22&gt;A2409)*(Calc!$G$3:$G$22-A2409))</f>
        <v/>
      </c>
      <c r="H2409">
        <f>SUMPRODUCT(Calc!$K$3:$K$22*(Calc!$G$3:$G$22&gt;B2409)*(Calc!$G$3:$G$22-B2409))</f>
        <v/>
      </c>
      <c r="I2409">
        <f>SUMPRODUCT(Calc!$K$3:$K$22*(Calc!$G$3:$G$22&gt;A2409)*(Calc!$G$3:$G$22-A2409)^2)</f>
        <v/>
      </c>
      <c r="J2409">
        <f>SUMPRODUCT(Calc!$K$3:$K$22*(Calc!$G$3:$G$22&gt;B2409)*(Calc!$G$3:$G$22-B2409)^2)</f>
        <v/>
      </c>
      <c r="K2409">
        <f>SUMPRODUCT(Calc!$K$3:$K$22*(Calc!$G$3:$G$22&gt;A2409)*(Calc!$G$3:$G$22-A2409)*(Calc!$G$3:$G$22&gt;B2409)*(Calc!$G$3:$G$22-B2409))</f>
        <v/>
      </c>
      <c r="L2409">
        <f>SUMPRODUCT(Calc!$K$3:$K$22*(Calc!$G$3:$G$22&gt;A2409)*(Calc!$G$3:$G$22-A2409)*Calc!$G$3:$G$22)</f>
        <v/>
      </c>
      <c r="M2409">
        <f>SUMPRODUCT(Calc!$K$3:$K$22*(Calc!$G$3:$G$22&gt;B2409)*(Calc!$G$3:$G$22-B2409)*Calc!$G$3:$G$22)</f>
        <v/>
      </c>
      <c r="N2409">
        <f>SUMPRODUCT(Calc!$K$3:$K$22*(Calc!$G$3:$G$22&gt;A2409)*(Calc!$G$3:$G$22-A2409)*Calc!$I$3:$I$22)</f>
        <v/>
      </c>
      <c r="O2409">
        <f>SUMPRODUCT(Calc!$K$3:$K$22*(Calc!$G$3:$G$22&gt;B2409)*(Calc!$G$3:$G$22-B2409)*Calc!$I$3:$I$22)</f>
        <v/>
      </c>
      <c r="P2409">
        <f>I2409-G2409^2/k_n</f>
        <v/>
      </c>
      <c r="Q2409">
        <f>J2409-H2409^2/k_n</f>
        <v/>
      </c>
      <c r="R2409">
        <f>K2409-G2409*H2409/k_n</f>
        <v/>
      </c>
      <c r="S2409">
        <f>L2409-LTP3!$D$3*G2409/k_n</f>
        <v/>
      </c>
      <c r="T2409">
        <f>M2409-LTP3!$D$3*H2409/k_n</f>
        <v/>
      </c>
      <c r="U2409">
        <f>N2409-G2409*LTP3!$D$4/k_n</f>
        <v/>
      </c>
      <c r="V2409">
        <f>O2409-H2409*LTP3!$D$4/k_n</f>
        <v/>
      </c>
      <c r="W2409">
        <f>((LTP3!$D$5)*((P2409)*(Q2409)-(R2409)*(R2409))-(S2409)*((S2409)*(Q2409)-(R2409)*(T2409))+(T2409)*((S2409)*(R2409)-(P2409)*(T2409)))</f>
        <v/>
      </c>
      <c r="X2409">
        <f>IF(ABS(W2409)&gt;1E-12,((LTP3!$D$6)*((P2409)*(Q2409)-(R2409)*(R2409))-(S2409)*((U2409)*(Q2409)-(R2409)*(V2409))+(T2409)*((U2409)*(R2409)-(P2409)*(V2409)))/W2409,0)</f>
        <v/>
      </c>
      <c r="Y2409">
        <f>IF(ABS(W2409)&gt;1E-12,((LTP3!$D$5)*((U2409)*(Q2409)-(R2409)*(V2409))-(LTP3!$D$6)*((S2409)*(Q2409)-(R2409)*(T2409))+(T2409)*((S2409)*(V2409)-(U2409)*(T2409)))/W2409,0)</f>
        <v/>
      </c>
      <c r="Z2409">
        <f>IF(ABS(W2409)&gt;1E-12,((LTP3!$D$5)*((P2409)*(V2409)-(U2409)*(R2409))-(S2409)*((S2409)*(V2409)-(U2409)*(T2409))+(LTP3!$D$6)*((S2409)*(R2409)-(P2409)*(T2409)))/W2409,0)</f>
        <v/>
      </c>
      <c r="AA2409">
        <f>LTP3!$D$7-X2409*LTP3!$D$6-Y2409*U2409-Z2409*V2409</f>
        <v/>
      </c>
      <c r="AB2409">
        <f>IF(AND(F2409,ABS(W2409)&gt;1E-12,Y2409&gt;0,Z2409&gt;0),AA2409,1E+300)</f>
        <v/>
      </c>
    </row>
    <row r="2410">
      <c r="A2410">
        <f>$B$3+$B$5*39</f>
        <v/>
      </c>
      <c r="B2410">
        <f>$B$3+$B$5*19</f>
        <v/>
      </c>
      <c r="C2410">
        <f>SUMPRODUCT(Calc!$K$3:$K$22*(Calc!$G$3:$G$22&lt;=A2410))</f>
        <v/>
      </c>
      <c r="D2410">
        <f>SUMPRODUCT(Calc!$K$3:$K$22*(Calc!$G$3:$G$22&gt;A2410)*(Calc!$G$3:$G$22&lt;B2410))</f>
        <v/>
      </c>
      <c r="E2410">
        <f>SUMPRODUCT(Calc!$K$3:$K$22*(Calc!$G$3:$G$22&gt;=B2410))</f>
        <v/>
      </c>
      <c r="F2410">
        <f>AND(k_n&gt;=5,B2410&gt;A2410+1E-9,C2410&gt;=2,D2410&gt;=1,E2410&gt;=2)</f>
        <v/>
      </c>
      <c r="G2410">
        <f>SUMPRODUCT(Calc!$K$3:$K$22*(Calc!$G$3:$G$22&gt;A2410)*(Calc!$G$3:$G$22-A2410))</f>
        <v/>
      </c>
      <c r="H2410">
        <f>SUMPRODUCT(Calc!$K$3:$K$22*(Calc!$G$3:$G$22&gt;B2410)*(Calc!$G$3:$G$22-B2410))</f>
        <v/>
      </c>
      <c r="I2410">
        <f>SUMPRODUCT(Calc!$K$3:$K$22*(Calc!$G$3:$G$22&gt;A2410)*(Calc!$G$3:$G$22-A2410)^2)</f>
        <v/>
      </c>
      <c r="J2410">
        <f>SUMPRODUCT(Calc!$K$3:$K$22*(Calc!$G$3:$G$22&gt;B2410)*(Calc!$G$3:$G$22-B2410)^2)</f>
        <v/>
      </c>
      <c r="K2410">
        <f>SUMPRODUCT(Calc!$K$3:$K$22*(Calc!$G$3:$G$22&gt;A2410)*(Calc!$G$3:$G$22-A2410)*(Calc!$G$3:$G$22&gt;B2410)*(Calc!$G$3:$G$22-B2410))</f>
        <v/>
      </c>
      <c r="L2410">
        <f>SUMPRODUCT(Calc!$K$3:$K$22*(Calc!$G$3:$G$22&gt;A2410)*(Calc!$G$3:$G$22-A2410)*Calc!$G$3:$G$22)</f>
        <v/>
      </c>
      <c r="M2410">
        <f>SUMPRODUCT(Calc!$K$3:$K$22*(Calc!$G$3:$G$22&gt;B2410)*(Calc!$G$3:$G$22-B2410)*Calc!$G$3:$G$22)</f>
        <v/>
      </c>
      <c r="N2410">
        <f>SUMPRODUCT(Calc!$K$3:$K$22*(Calc!$G$3:$G$22&gt;A2410)*(Calc!$G$3:$G$22-A2410)*Calc!$I$3:$I$22)</f>
        <v/>
      </c>
      <c r="O2410">
        <f>SUMPRODUCT(Calc!$K$3:$K$22*(Calc!$G$3:$G$22&gt;B2410)*(Calc!$G$3:$G$22-B2410)*Calc!$I$3:$I$22)</f>
        <v/>
      </c>
      <c r="P2410">
        <f>I2410-G2410^2/k_n</f>
        <v/>
      </c>
      <c r="Q2410">
        <f>J2410-H2410^2/k_n</f>
        <v/>
      </c>
      <c r="R2410">
        <f>K2410-G2410*H2410/k_n</f>
        <v/>
      </c>
      <c r="S2410">
        <f>L2410-LTP3!$D$3*G2410/k_n</f>
        <v/>
      </c>
      <c r="T2410">
        <f>M2410-LTP3!$D$3*H2410/k_n</f>
        <v/>
      </c>
      <c r="U2410">
        <f>N2410-G2410*LTP3!$D$4/k_n</f>
        <v/>
      </c>
      <c r="V2410">
        <f>O2410-H2410*LTP3!$D$4/k_n</f>
        <v/>
      </c>
      <c r="W2410">
        <f>((LTP3!$D$5)*((P2410)*(Q2410)-(R2410)*(R2410))-(S2410)*((S2410)*(Q2410)-(R2410)*(T2410))+(T2410)*((S2410)*(R2410)-(P2410)*(T2410)))</f>
        <v/>
      </c>
      <c r="X2410">
        <f>IF(ABS(W2410)&gt;1E-12,((LTP3!$D$6)*((P2410)*(Q2410)-(R2410)*(R2410))-(S2410)*((U2410)*(Q2410)-(R2410)*(V2410))+(T2410)*((U2410)*(R2410)-(P2410)*(V2410)))/W2410,0)</f>
        <v/>
      </c>
      <c r="Y2410">
        <f>IF(ABS(W2410)&gt;1E-12,((LTP3!$D$5)*((U2410)*(Q2410)-(R2410)*(V2410))-(LTP3!$D$6)*((S2410)*(Q2410)-(R2410)*(T2410))+(T2410)*((S2410)*(V2410)-(U2410)*(T2410)))/W2410,0)</f>
        <v/>
      </c>
      <c r="Z2410">
        <f>IF(ABS(W2410)&gt;1E-12,((LTP3!$D$5)*((P2410)*(V2410)-(U2410)*(R2410))-(S2410)*((S2410)*(V2410)-(U2410)*(T2410))+(LTP3!$D$6)*((S2410)*(R2410)-(P2410)*(T2410)))/W2410,0)</f>
        <v/>
      </c>
      <c r="AA2410">
        <f>LTP3!$D$7-X2410*LTP3!$D$6-Y2410*U2410-Z2410*V2410</f>
        <v/>
      </c>
      <c r="AB2410">
        <f>IF(AND(F2410,ABS(W2410)&gt;1E-12,Y2410&gt;0,Z2410&gt;0),AA2410,1E+300)</f>
        <v/>
      </c>
    </row>
    <row r="2411">
      <c r="A2411">
        <f>$B$3+$B$5*39</f>
        <v/>
      </c>
      <c r="B2411">
        <f>$B$3+$B$5*20</f>
        <v/>
      </c>
      <c r="C2411">
        <f>SUMPRODUCT(Calc!$K$3:$K$22*(Calc!$G$3:$G$22&lt;=A2411))</f>
        <v/>
      </c>
      <c r="D2411">
        <f>SUMPRODUCT(Calc!$K$3:$K$22*(Calc!$G$3:$G$22&gt;A2411)*(Calc!$G$3:$G$22&lt;B2411))</f>
        <v/>
      </c>
      <c r="E2411">
        <f>SUMPRODUCT(Calc!$K$3:$K$22*(Calc!$G$3:$G$22&gt;=B2411))</f>
        <v/>
      </c>
      <c r="F2411">
        <f>AND(k_n&gt;=5,B2411&gt;A2411+1E-9,C2411&gt;=2,D2411&gt;=1,E2411&gt;=2)</f>
        <v/>
      </c>
      <c r="G2411">
        <f>SUMPRODUCT(Calc!$K$3:$K$22*(Calc!$G$3:$G$22&gt;A2411)*(Calc!$G$3:$G$22-A2411))</f>
        <v/>
      </c>
      <c r="H2411">
        <f>SUMPRODUCT(Calc!$K$3:$K$22*(Calc!$G$3:$G$22&gt;B2411)*(Calc!$G$3:$G$22-B2411))</f>
        <v/>
      </c>
      <c r="I2411">
        <f>SUMPRODUCT(Calc!$K$3:$K$22*(Calc!$G$3:$G$22&gt;A2411)*(Calc!$G$3:$G$22-A2411)^2)</f>
        <v/>
      </c>
      <c r="J2411">
        <f>SUMPRODUCT(Calc!$K$3:$K$22*(Calc!$G$3:$G$22&gt;B2411)*(Calc!$G$3:$G$22-B2411)^2)</f>
        <v/>
      </c>
      <c r="K2411">
        <f>SUMPRODUCT(Calc!$K$3:$K$22*(Calc!$G$3:$G$22&gt;A2411)*(Calc!$G$3:$G$22-A2411)*(Calc!$G$3:$G$22&gt;B2411)*(Calc!$G$3:$G$22-B2411))</f>
        <v/>
      </c>
      <c r="L2411">
        <f>SUMPRODUCT(Calc!$K$3:$K$22*(Calc!$G$3:$G$22&gt;A2411)*(Calc!$G$3:$G$22-A2411)*Calc!$G$3:$G$22)</f>
        <v/>
      </c>
      <c r="M2411">
        <f>SUMPRODUCT(Calc!$K$3:$K$22*(Calc!$G$3:$G$22&gt;B2411)*(Calc!$G$3:$G$22-B2411)*Calc!$G$3:$G$22)</f>
        <v/>
      </c>
      <c r="N2411">
        <f>SUMPRODUCT(Calc!$K$3:$K$22*(Calc!$G$3:$G$22&gt;A2411)*(Calc!$G$3:$G$22-A2411)*Calc!$I$3:$I$22)</f>
        <v/>
      </c>
      <c r="O2411">
        <f>SUMPRODUCT(Calc!$K$3:$K$22*(Calc!$G$3:$G$22&gt;B2411)*(Calc!$G$3:$G$22-B2411)*Calc!$I$3:$I$22)</f>
        <v/>
      </c>
      <c r="P2411">
        <f>I2411-G2411^2/k_n</f>
        <v/>
      </c>
      <c r="Q2411">
        <f>J2411-H2411^2/k_n</f>
        <v/>
      </c>
      <c r="R2411">
        <f>K2411-G2411*H2411/k_n</f>
        <v/>
      </c>
      <c r="S2411">
        <f>L2411-LTP3!$D$3*G2411/k_n</f>
        <v/>
      </c>
      <c r="T2411">
        <f>M2411-LTP3!$D$3*H2411/k_n</f>
        <v/>
      </c>
      <c r="U2411">
        <f>N2411-G2411*LTP3!$D$4/k_n</f>
        <v/>
      </c>
      <c r="V2411">
        <f>O2411-H2411*LTP3!$D$4/k_n</f>
        <v/>
      </c>
      <c r="W2411">
        <f>((LTP3!$D$5)*((P2411)*(Q2411)-(R2411)*(R2411))-(S2411)*((S2411)*(Q2411)-(R2411)*(T2411))+(T2411)*((S2411)*(R2411)-(P2411)*(T2411)))</f>
        <v/>
      </c>
      <c r="X2411">
        <f>IF(ABS(W2411)&gt;1E-12,((LTP3!$D$6)*((P2411)*(Q2411)-(R2411)*(R2411))-(S2411)*((U2411)*(Q2411)-(R2411)*(V2411))+(T2411)*((U2411)*(R2411)-(P2411)*(V2411)))/W2411,0)</f>
        <v/>
      </c>
      <c r="Y2411">
        <f>IF(ABS(W2411)&gt;1E-12,((LTP3!$D$5)*((U2411)*(Q2411)-(R2411)*(V2411))-(LTP3!$D$6)*((S2411)*(Q2411)-(R2411)*(T2411))+(T2411)*((S2411)*(V2411)-(U2411)*(T2411)))/W2411,0)</f>
        <v/>
      </c>
      <c r="Z2411">
        <f>IF(ABS(W2411)&gt;1E-12,((LTP3!$D$5)*((P2411)*(V2411)-(U2411)*(R2411))-(S2411)*((S2411)*(V2411)-(U2411)*(T2411))+(LTP3!$D$6)*((S2411)*(R2411)-(P2411)*(T2411)))/W2411,0)</f>
        <v/>
      </c>
      <c r="AA2411">
        <f>LTP3!$D$7-X2411*LTP3!$D$6-Y2411*U2411-Z2411*V2411</f>
        <v/>
      </c>
      <c r="AB2411">
        <f>IF(AND(F2411,ABS(W2411)&gt;1E-12,Y2411&gt;0,Z2411&gt;0),AA2411,1E+300)</f>
        <v/>
      </c>
    </row>
    <row r="2412">
      <c r="A2412">
        <f>$B$3+$B$5*39</f>
        <v/>
      </c>
      <c r="B2412">
        <f>$B$3+$B$5*21</f>
        <v/>
      </c>
      <c r="C2412">
        <f>SUMPRODUCT(Calc!$K$3:$K$22*(Calc!$G$3:$G$22&lt;=A2412))</f>
        <v/>
      </c>
      <c r="D2412">
        <f>SUMPRODUCT(Calc!$K$3:$K$22*(Calc!$G$3:$G$22&gt;A2412)*(Calc!$G$3:$G$22&lt;B2412))</f>
        <v/>
      </c>
      <c r="E2412">
        <f>SUMPRODUCT(Calc!$K$3:$K$22*(Calc!$G$3:$G$22&gt;=B2412))</f>
        <v/>
      </c>
      <c r="F2412">
        <f>AND(k_n&gt;=5,B2412&gt;A2412+1E-9,C2412&gt;=2,D2412&gt;=1,E2412&gt;=2)</f>
        <v/>
      </c>
      <c r="G2412">
        <f>SUMPRODUCT(Calc!$K$3:$K$22*(Calc!$G$3:$G$22&gt;A2412)*(Calc!$G$3:$G$22-A2412))</f>
        <v/>
      </c>
      <c r="H2412">
        <f>SUMPRODUCT(Calc!$K$3:$K$22*(Calc!$G$3:$G$22&gt;B2412)*(Calc!$G$3:$G$22-B2412))</f>
        <v/>
      </c>
      <c r="I2412">
        <f>SUMPRODUCT(Calc!$K$3:$K$22*(Calc!$G$3:$G$22&gt;A2412)*(Calc!$G$3:$G$22-A2412)^2)</f>
        <v/>
      </c>
      <c r="J2412">
        <f>SUMPRODUCT(Calc!$K$3:$K$22*(Calc!$G$3:$G$22&gt;B2412)*(Calc!$G$3:$G$22-B2412)^2)</f>
        <v/>
      </c>
      <c r="K2412">
        <f>SUMPRODUCT(Calc!$K$3:$K$22*(Calc!$G$3:$G$22&gt;A2412)*(Calc!$G$3:$G$22-A2412)*(Calc!$G$3:$G$22&gt;B2412)*(Calc!$G$3:$G$22-B2412))</f>
        <v/>
      </c>
      <c r="L2412">
        <f>SUMPRODUCT(Calc!$K$3:$K$22*(Calc!$G$3:$G$22&gt;A2412)*(Calc!$G$3:$G$22-A2412)*Calc!$G$3:$G$22)</f>
        <v/>
      </c>
      <c r="M2412">
        <f>SUMPRODUCT(Calc!$K$3:$K$22*(Calc!$G$3:$G$22&gt;B2412)*(Calc!$G$3:$G$22-B2412)*Calc!$G$3:$G$22)</f>
        <v/>
      </c>
      <c r="N2412">
        <f>SUMPRODUCT(Calc!$K$3:$K$22*(Calc!$G$3:$G$22&gt;A2412)*(Calc!$G$3:$G$22-A2412)*Calc!$I$3:$I$22)</f>
        <v/>
      </c>
      <c r="O2412">
        <f>SUMPRODUCT(Calc!$K$3:$K$22*(Calc!$G$3:$G$22&gt;B2412)*(Calc!$G$3:$G$22-B2412)*Calc!$I$3:$I$22)</f>
        <v/>
      </c>
      <c r="P2412">
        <f>I2412-G2412^2/k_n</f>
        <v/>
      </c>
      <c r="Q2412">
        <f>J2412-H2412^2/k_n</f>
        <v/>
      </c>
      <c r="R2412">
        <f>K2412-G2412*H2412/k_n</f>
        <v/>
      </c>
      <c r="S2412">
        <f>L2412-LTP3!$D$3*G2412/k_n</f>
        <v/>
      </c>
      <c r="T2412">
        <f>M2412-LTP3!$D$3*H2412/k_n</f>
        <v/>
      </c>
      <c r="U2412">
        <f>N2412-G2412*LTP3!$D$4/k_n</f>
        <v/>
      </c>
      <c r="V2412">
        <f>O2412-H2412*LTP3!$D$4/k_n</f>
        <v/>
      </c>
      <c r="W2412">
        <f>((LTP3!$D$5)*((P2412)*(Q2412)-(R2412)*(R2412))-(S2412)*((S2412)*(Q2412)-(R2412)*(T2412))+(T2412)*((S2412)*(R2412)-(P2412)*(T2412)))</f>
        <v/>
      </c>
      <c r="X2412">
        <f>IF(ABS(W2412)&gt;1E-12,((LTP3!$D$6)*((P2412)*(Q2412)-(R2412)*(R2412))-(S2412)*((U2412)*(Q2412)-(R2412)*(V2412))+(T2412)*((U2412)*(R2412)-(P2412)*(V2412)))/W2412,0)</f>
        <v/>
      </c>
      <c r="Y2412">
        <f>IF(ABS(W2412)&gt;1E-12,((LTP3!$D$5)*((U2412)*(Q2412)-(R2412)*(V2412))-(LTP3!$D$6)*((S2412)*(Q2412)-(R2412)*(T2412))+(T2412)*((S2412)*(V2412)-(U2412)*(T2412)))/W2412,0)</f>
        <v/>
      </c>
      <c r="Z2412">
        <f>IF(ABS(W2412)&gt;1E-12,((LTP3!$D$5)*((P2412)*(V2412)-(U2412)*(R2412))-(S2412)*((S2412)*(V2412)-(U2412)*(T2412))+(LTP3!$D$6)*((S2412)*(R2412)-(P2412)*(T2412)))/W2412,0)</f>
        <v/>
      </c>
      <c r="AA2412">
        <f>LTP3!$D$7-X2412*LTP3!$D$6-Y2412*U2412-Z2412*V2412</f>
        <v/>
      </c>
      <c r="AB2412">
        <f>IF(AND(F2412,ABS(W2412)&gt;1E-12,Y2412&gt;0,Z2412&gt;0),AA2412,1E+300)</f>
        <v/>
      </c>
    </row>
    <row r="2413">
      <c r="A2413">
        <f>$B$3+$B$5*39</f>
        <v/>
      </c>
      <c r="B2413">
        <f>$B$3+$B$5*22</f>
        <v/>
      </c>
      <c r="C2413">
        <f>SUMPRODUCT(Calc!$K$3:$K$22*(Calc!$G$3:$G$22&lt;=A2413))</f>
        <v/>
      </c>
      <c r="D2413">
        <f>SUMPRODUCT(Calc!$K$3:$K$22*(Calc!$G$3:$G$22&gt;A2413)*(Calc!$G$3:$G$22&lt;B2413))</f>
        <v/>
      </c>
      <c r="E2413">
        <f>SUMPRODUCT(Calc!$K$3:$K$22*(Calc!$G$3:$G$22&gt;=B2413))</f>
        <v/>
      </c>
      <c r="F2413">
        <f>AND(k_n&gt;=5,B2413&gt;A2413+1E-9,C2413&gt;=2,D2413&gt;=1,E2413&gt;=2)</f>
        <v/>
      </c>
      <c r="G2413">
        <f>SUMPRODUCT(Calc!$K$3:$K$22*(Calc!$G$3:$G$22&gt;A2413)*(Calc!$G$3:$G$22-A2413))</f>
        <v/>
      </c>
      <c r="H2413">
        <f>SUMPRODUCT(Calc!$K$3:$K$22*(Calc!$G$3:$G$22&gt;B2413)*(Calc!$G$3:$G$22-B2413))</f>
        <v/>
      </c>
      <c r="I2413">
        <f>SUMPRODUCT(Calc!$K$3:$K$22*(Calc!$G$3:$G$22&gt;A2413)*(Calc!$G$3:$G$22-A2413)^2)</f>
        <v/>
      </c>
      <c r="J2413">
        <f>SUMPRODUCT(Calc!$K$3:$K$22*(Calc!$G$3:$G$22&gt;B2413)*(Calc!$G$3:$G$22-B2413)^2)</f>
        <v/>
      </c>
      <c r="K2413">
        <f>SUMPRODUCT(Calc!$K$3:$K$22*(Calc!$G$3:$G$22&gt;A2413)*(Calc!$G$3:$G$22-A2413)*(Calc!$G$3:$G$22&gt;B2413)*(Calc!$G$3:$G$22-B2413))</f>
        <v/>
      </c>
      <c r="L2413">
        <f>SUMPRODUCT(Calc!$K$3:$K$22*(Calc!$G$3:$G$22&gt;A2413)*(Calc!$G$3:$G$22-A2413)*Calc!$G$3:$G$22)</f>
        <v/>
      </c>
      <c r="M2413">
        <f>SUMPRODUCT(Calc!$K$3:$K$22*(Calc!$G$3:$G$22&gt;B2413)*(Calc!$G$3:$G$22-B2413)*Calc!$G$3:$G$22)</f>
        <v/>
      </c>
      <c r="N2413">
        <f>SUMPRODUCT(Calc!$K$3:$K$22*(Calc!$G$3:$G$22&gt;A2413)*(Calc!$G$3:$G$22-A2413)*Calc!$I$3:$I$22)</f>
        <v/>
      </c>
      <c r="O2413">
        <f>SUMPRODUCT(Calc!$K$3:$K$22*(Calc!$G$3:$G$22&gt;B2413)*(Calc!$G$3:$G$22-B2413)*Calc!$I$3:$I$22)</f>
        <v/>
      </c>
      <c r="P2413">
        <f>I2413-G2413^2/k_n</f>
        <v/>
      </c>
      <c r="Q2413">
        <f>J2413-H2413^2/k_n</f>
        <v/>
      </c>
      <c r="R2413">
        <f>K2413-G2413*H2413/k_n</f>
        <v/>
      </c>
      <c r="S2413">
        <f>L2413-LTP3!$D$3*G2413/k_n</f>
        <v/>
      </c>
      <c r="T2413">
        <f>M2413-LTP3!$D$3*H2413/k_n</f>
        <v/>
      </c>
      <c r="U2413">
        <f>N2413-G2413*LTP3!$D$4/k_n</f>
        <v/>
      </c>
      <c r="V2413">
        <f>O2413-H2413*LTP3!$D$4/k_n</f>
        <v/>
      </c>
      <c r="W2413">
        <f>((LTP3!$D$5)*((P2413)*(Q2413)-(R2413)*(R2413))-(S2413)*((S2413)*(Q2413)-(R2413)*(T2413))+(T2413)*((S2413)*(R2413)-(P2413)*(T2413)))</f>
        <v/>
      </c>
      <c r="X2413">
        <f>IF(ABS(W2413)&gt;1E-12,((LTP3!$D$6)*((P2413)*(Q2413)-(R2413)*(R2413))-(S2413)*((U2413)*(Q2413)-(R2413)*(V2413))+(T2413)*((U2413)*(R2413)-(P2413)*(V2413)))/W2413,0)</f>
        <v/>
      </c>
      <c r="Y2413">
        <f>IF(ABS(W2413)&gt;1E-12,((LTP3!$D$5)*((U2413)*(Q2413)-(R2413)*(V2413))-(LTP3!$D$6)*((S2413)*(Q2413)-(R2413)*(T2413))+(T2413)*((S2413)*(V2413)-(U2413)*(T2413)))/W2413,0)</f>
        <v/>
      </c>
      <c r="Z2413">
        <f>IF(ABS(W2413)&gt;1E-12,((LTP3!$D$5)*((P2413)*(V2413)-(U2413)*(R2413))-(S2413)*((S2413)*(V2413)-(U2413)*(T2413))+(LTP3!$D$6)*((S2413)*(R2413)-(P2413)*(T2413)))/W2413,0)</f>
        <v/>
      </c>
      <c r="AA2413">
        <f>LTP3!$D$7-X2413*LTP3!$D$6-Y2413*U2413-Z2413*V2413</f>
        <v/>
      </c>
      <c r="AB2413">
        <f>IF(AND(F2413,ABS(W2413)&gt;1E-12,Y2413&gt;0,Z2413&gt;0),AA2413,1E+300)</f>
        <v/>
      </c>
    </row>
    <row r="2414">
      <c r="A2414">
        <f>$B$3+$B$5*39</f>
        <v/>
      </c>
      <c r="B2414">
        <f>$B$3+$B$5*23</f>
        <v/>
      </c>
      <c r="C2414">
        <f>SUMPRODUCT(Calc!$K$3:$K$22*(Calc!$G$3:$G$22&lt;=A2414))</f>
        <v/>
      </c>
      <c r="D2414">
        <f>SUMPRODUCT(Calc!$K$3:$K$22*(Calc!$G$3:$G$22&gt;A2414)*(Calc!$G$3:$G$22&lt;B2414))</f>
        <v/>
      </c>
      <c r="E2414">
        <f>SUMPRODUCT(Calc!$K$3:$K$22*(Calc!$G$3:$G$22&gt;=B2414))</f>
        <v/>
      </c>
      <c r="F2414">
        <f>AND(k_n&gt;=5,B2414&gt;A2414+1E-9,C2414&gt;=2,D2414&gt;=1,E2414&gt;=2)</f>
        <v/>
      </c>
      <c r="G2414">
        <f>SUMPRODUCT(Calc!$K$3:$K$22*(Calc!$G$3:$G$22&gt;A2414)*(Calc!$G$3:$G$22-A2414))</f>
        <v/>
      </c>
      <c r="H2414">
        <f>SUMPRODUCT(Calc!$K$3:$K$22*(Calc!$G$3:$G$22&gt;B2414)*(Calc!$G$3:$G$22-B2414))</f>
        <v/>
      </c>
      <c r="I2414">
        <f>SUMPRODUCT(Calc!$K$3:$K$22*(Calc!$G$3:$G$22&gt;A2414)*(Calc!$G$3:$G$22-A2414)^2)</f>
        <v/>
      </c>
      <c r="J2414">
        <f>SUMPRODUCT(Calc!$K$3:$K$22*(Calc!$G$3:$G$22&gt;B2414)*(Calc!$G$3:$G$22-B2414)^2)</f>
        <v/>
      </c>
      <c r="K2414">
        <f>SUMPRODUCT(Calc!$K$3:$K$22*(Calc!$G$3:$G$22&gt;A2414)*(Calc!$G$3:$G$22-A2414)*(Calc!$G$3:$G$22&gt;B2414)*(Calc!$G$3:$G$22-B2414))</f>
        <v/>
      </c>
      <c r="L2414">
        <f>SUMPRODUCT(Calc!$K$3:$K$22*(Calc!$G$3:$G$22&gt;A2414)*(Calc!$G$3:$G$22-A2414)*Calc!$G$3:$G$22)</f>
        <v/>
      </c>
      <c r="M2414">
        <f>SUMPRODUCT(Calc!$K$3:$K$22*(Calc!$G$3:$G$22&gt;B2414)*(Calc!$G$3:$G$22-B2414)*Calc!$G$3:$G$22)</f>
        <v/>
      </c>
      <c r="N2414">
        <f>SUMPRODUCT(Calc!$K$3:$K$22*(Calc!$G$3:$G$22&gt;A2414)*(Calc!$G$3:$G$22-A2414)*Calc!$I$3:$I$22)</f>
        <v/>
      </c>
      <c r="O2414">
        <f>SUMPRODUCT(Calc!$K$3:$K$22*(Calc!$G$3:$G$22&gt;B2414)*(Calc!$G$3:$G$22-B2414)*Calc!$I$3:$I$22)</f>
        <v/>
      </c>
      <c r="P2414">
        <f>I2414-G2414^2/k_n</f>
        <v/>
      </c>
      <c r="Q2414">
        <f>J2414-H2414^2/k_n</f>
        <v/>
      </c>
      <c r="R2414">
        <f>K2414-G2414*H2414/k_n</f>
        <v/>
      </c>
      <c r="S2414">
        <f>L2414-LTP3!$D$3*G2414/k_n</f>
        <v/>
      </c>
      <c r="T2414">
        <f>M2414-LTP3!$D$3*H2414/k_n</f>
        <v/>
      </c>
      <c r="U2414">
        <f>N2414-G2414*LTP3!$D$4/k_n</f>
        <v/>
      </c>
      <c r="V2414">
        <f>O2414-H2414*LTP3!$D$4/k_n</f>
        <v/>
      </c>
      <c r="W2414">
        <f>((LTP3!$D$5)*((P2414)*(Q2414)-(R2414)*(R2414))-(S2414)*((S2414)*(Q2414)-(R2414)*(T2414))+(T2414)*((S2414)*(R2414)-(P2414)*(T2414)))</f>
        <v/>
      </c>
      <c r="X2414">
        <f>IF(ABS(W2414)&gt;1E-12,((LTP3!$D$6)*((P2414)*(Q2414)-(R2414)*(R2414))-(S2414)*((U2414)*(Q2414)-(R2414)*(V2414))+(T2414)*((U2414)*(R2414)-(P2414)*(V2414)))/W2414,0)</f>
        <v/>
      </c>
      <c r="Y2414">
        <f>IF(ABS(W2414)&gt;1E-12,((LTP3!$D$5)*((U2414)*(Q2414)-(R2414)*(V2414))-(LTP3!$D$6)*((S2414)*(Q2414)-(R2414)*(T2414))+(T2414)*((S2414)*(V2414)-(U2414)*(T2414)))/W2414,0)</f>
        <v/>
      </c>
      <c r="Z2414">
        <f>IF(ABS(W2414)&gt;1E-12,((LTP3!$D$5)*((P2414)*(V2414)-(U2414)*(R2414))-(S2414)*((S2414)*(V2414)-(U2414)*(T2414))+(LTP3!$D$6)*((S2414)*(R2414)-(P2414)*(T2414)))/W2414,0)</f>
        <v/>
      </c>
      <c r="AA2414">
        <f>LTP3!$D$7-X2414*LTP3!$D$6-Y2414*U2414-Z2414*V2414</f>
        <v/>
      </c>
      <c r="AB2414">
        <f>IF(AND(F2414,ABS(W2414)&gt;1E-12,Y2414&gt;0,Z2414&gt;0),AA2414,1E+300)</f>
        <v/>
      </c>
    </row>
    <row r="2415">
      <c r="A2415">
        <f>$B$3+$B$5*39</f>
        <v/>
      </c>
      <c r="B2415">
        <f>$B$3+$B$5*24</f>
        <v/>
      </c>
      <c r="C2415">
        <f>SUMPRODUCT(Calc!$K$3:$K$22*(Calc!$G$3:$G$22&lt;=A2415))</f>
        <v/>
      </c>
      <c r="D2415">
        <f>SUMPRODUCT(Calc!$K$3:$K$22*(Calc!$G$3:$G$22&gt;A2415)*(Calc!$G$3:$G$22&lt;B2415))</f>
        <v/>
      </c>
      <c r="E2415">
        <f>SUMPRODUCT(Calc!$K$3:$K$22*(Calc!$G$3:$G$22&gt;=B2415))</f>
        <v/>
      </c>
      <c r="F2415">
        <f>AND(k_n&gt;=5,B2415&gt;A2415+1E-9,C2415&gt;=2,D2415&gt;=1,E2415&gt;=2)</f>
        <v/>
      </c>
      <c r="G2415">
        <f>SUMPRODUCT(Calc!$K$3:$K$22*(Calc!$G$3:$G$22&gt;A2415)*(Calc!$G$3:$G$22-A2415))</f>
        <v/>
      </c>
      <c r="H2415">
        <f>SUMPRODUCT(Calc!$K$3:$K$22*(Calc!$G$3:$G$22&gt;B2415)*(Calc!$G$3:$G$22-B2415))</f>
        <v/>
      </c>
      <c r="I2415">
        <f>SUMPRODUCT(Calc!$K$3:$K$22*(Calc!$G$3:$G$22&gt;A2415)*(Calc!$G$3:$G$22-A2415)^2)</f>
        <v/>
      </c>
      <c r="J2415">
        <f>SUMPRODUCT(Calc!$K$3:$K$22*(Calc!$G$3:$G$22&gt;B2415)*(Calc!$G$3:$G$22-B2415)^2)</f>
        <v/>
      </c>
      <c r="K2415">
        <f>SUMPRODUCT(Calc!$K$3:$K$22*(Calc!$G$3:$G$22&gt;A2415)*(Calc!$G$3:$G$22-A2415)*(Calc!$G$3:$G$22&gt;B2415)*(Calc!$G$3:$G$22-B2415))</f>
        <v/>
      </c>
      <c r="L2415">
        <f>SUMPRODUCT(Calc!$K$3:$K$22*(Calc!$G$3:$G$22&gt;A2415)*(Calc!$G$3:$G$22-A2415)*Calc!$G$3:$G$22)</f>
        <v/>
      </c>
      <c r="M2415">
        <f>SUMPRODUCT(Calc!$K$3:$K$22*(Calc!$G$3:$G$22&gt;B2415)*(Calc!$G$3:$G$22-B2415)*Calc!$G$3:$G$22)</f>
        <v/>
      </c>
      <c r="N2415">
        <f>SUMPRODUCT(Calc!$K$3:$K$22*(Calc!$G$3:$G$22&gt;A2415)*(Calc!$G$3:$G$22-A2415)*Calc!$I$3:$I$22)</f>
        <v/>
      </c>
      <c r="O2415">
        <f>SUMPRODUCT(Calc!$K$3:$K$22*(Calc!$G$3:$G$22&gt;B2415)*(Calc!$G$3:$G$22-B2415)*Calc!$I$3:$I$22)</f>
        <v/>
      </c>
      <c r="P2415">
        <f>I2415-G2415^2/k_n</f>
        <v/>
      </c>
      <c r="Q2415">
        <f>J2415-H2415^2/k_n</f>
        <v/>
      </c>
      <c r="R2415">
        <f>K2415-G2415*H2415/k_n</f>
        <v/>
      </c>
      <c r="S2415">
        <f>L2415-LTP3!$D$3*G2415/k_n</f>
        <v/>
      </c>
      <c r="T2415">
        <f>M2415-LTP3!$D$3*H2415/k_n</f>
        <v/>
      </c>
      <c r="U2415">
        <f>N2415-G2415*LTP3!$D$4/k_n</f>
        <v/>
      </c>
      <c r="V2415">
        <f>O2415-H2415*LTP3!$D$4/k_n</f>
        <v/>
      </c>
      <c r="W2415">
        <f>((LTP3!$D$5)*((P2415)*(Q2415)-(R2415)*(R2415))-(S2415)*((S2415)*(Q2415)-(R2415)*(T2415))+(T2415)*((S2415)*(R2415)-(P2415)*(T2415)))</f>
        <v/>
      </c>
      <c r="X2415">
        <f>IF(ABS(W2415)&gt;1E-12,((LTP3!$D$6)*((P2415)*(Q2415)-(R2415)*(R2415))-(S2415)*((U2415)*(Q2415)-(R2415)*(V2415))+(T2415)*((U2415)*(R2415)-(P2415)*(V2415)))/W2415,0)</f>
        <v/>
      </c>
      <c r="Y2415">
        <f>IF(ABS(W2415)&gt;1E-12,((LTP3!$D$5)*((U2415)*(Q2415)-(R2415)*(V2415))-(LTP3!$D$6)*((S2415)*(Q2415)-(R2415)*(T2415))+(T2415)*((S2415)*(V2415)-(U2415)*(T2415)))/W2415,0)</f>
        <v/>
      </c>
      <c r="Z2415">
        <f>IF(ABS(W2415)&gt;1E-12,((LTP3!$D$5)*((P2415)*(V2415)-(U2415)*(R2415))-(S2415)*((S2415)*(V2415)-(U2415)*(T2415))+(LTP3!$D$6)*((S2415)*(R2415)-(P2415)*(T2415)))/W2415,0)</f>
        <v/>
      </c>
      <c r="AA2415">
        <f>LTP3!$D$7-X2415*LTP3!$D$6-Y2415*U2415-Z2415*V2415</f>
        <v/>
      </c>
      <c r="AB2415">
        <f>IF(AND(F2415,ABS(W2415)&gt;1E-12,Y2415&gt;0,Z2415&gt;0),AA2415,1E+300)</f>
        <v/>
      </c>
    </row>
    <row r="2416">
      <c r="A2416">
        <f>$B$3+$B$5*39</f>
        <v/>
      </c>
      <c r="B2416">
        <f>$B$3+$B$5*25</f>
        <v/>
      </c>
      <c r="C2416">
        <f>SUMPRODUCT(Calc!$K$3:$K$22*(Calc!$G$3:$G$22&lt;=A2416))</f>
        <v/>
      </c>
      <c r="D2416">
        <f>SUMPRODUCT(Calc!$K$3:$K$22*(Calc!$G$3:$G$22&gt;A2416)*(Calc!$G$3:$G$22&lt;B2416))</f>
        <v/>
      </c>
      <c r="E2416">
        <f>SUMPRODUCT(Calc!$K$3:$K$22*(Calc!$G$3:$G$22&gt;=B2416))</f>
        <v/>
      </c>
      <c r="F2416">
        <f>AND(k_n&gt;=5,B2416&gt;A2416+1E-9,C2416&gt;=2,D2416&gt;=1,E2416&gt;=2)</f>
        <v/>
      </c>
      <c r="G2416">
        <f>SUMPRODUCT(Calc!$K$3:$K$22*(Calc!$G$3:$G$22&gt;A2416)*(Calc!$G$3:$G$22-A2416))</f>
        <v/>
      </c>
      <c r="H2416">
        <f>SUMPRODUCT(Calc!$K$3:$K$22*(Calc!$G$3:$G$22&gt;B2416)*(Calc!$G$3:$G$22-B2416))</f>
        <v/>
      </c>
      <c r="I2416">
        <f>SUMPRODUCT(Calc!$K$3:$K$22*(Calc!$G$3:$G$22&gt;A2416)*(Calc!$G$3:$G$22-A2416)^2)</f>
        <v/>
      </c>
      <c r="J2416">
        <f>SUMPRODUCT(Calc!$K$3:$K$22*(Calc!$G$3:$G$22&gt;B2416)*(Calc!$G$3:$G$22-B2416)^2)</f>
        <v/>
      </c>
      <c r="K2416">
        <f>SUMPRODUCT(Calc!$K$3:$K$22*(Calc!$G$3:$G$22&gt;A2416)*(Calc!$G$3:$G$22-A2416)*(Calc!$G$3:$G$22&gt;B2416)*(Calc!$G$3:$G$22-B2416))</f>
        <v/>
      </c>
      <c r="L2416">
        <f>SUMPRODUCT(Calc!$K$3:$K$22*(Calc!$G$3:$G$22&gt;A2416)*(Calc!$G$3:$G$22-A2416)*Calc!$G$3:$G$22)</f>
        <v/>
      </c>
      <c r="M2416">
        <f>SUMPRODUCT(Calc!$K$3:$K$22*(Calc!$G$3:$G$22&gt;B2416)*(Calc!$G$3:$G$22-B2416)*Calc!$G$3:$G$22)</f>
        <v/>
      </c>
      <c r="N2416">
        <f>SUMPRODUCT(Calc!$K$3:$K$22*(Calc!$G$3:$G$22&gt;A2416)*(Calc!$G$3:$G$22-A2416)*Calc!$I$3:$I$22)</f>
        <v/>
      </c>
      <c r="O2416">
        <f>SUMPRODUCT(Calc!$K$3:$K$22*(Calc!$G$3:$G$22&gt;B2416)*(Calc!$G$3:$G$22-B2416)*Calc!$I$3:$I$22)</f>
        <v/>
      </c>
      <c r="P2416">
        <f>I2416-G2416^2/k_n</f>
        <v/>
      </c>
      <c r="Q2416">
        <f>J2416-H2416^2/k_n</f>
        <v/>
      </c>
      <c r="R2416">
        <f>K2416-G2416*H2416/k_n</f>
        <v/>
      </c>
      <c r="S2416">
        <f>L2416-LTP3!$D$3*G2416/k_n</f>
        <v/>
      </c>
      <c r="T2416">
        <f>M2416-LTP3!$D$3*H2416/k_n</f>
        <v/>
      </c>
      <c r="U2416">
        <f>N2416-G2416*LTP3!$D$4/k_n</f>
        <v/>
      </c>
      <c r="V2416">
        <f>O2416-H2416*LTP3!$D$4/k_n</f>
        <v/>
      </c>
      <c r="W2416">
        <f>((LTP3!$D$5)*((P2416)*(Q2416)-(R2416)*(R2416))-(S2416)*((S2416)*(Q2416)-(R2416)*(T2416))+(T2416)*((S2416)*(R2416)-(P2416)*(T2416)))</f>
        <v/>
      </c>
      <c r="X2416">
        <f>IF(ABS(W2416)&gt;1E-12,((LTP3!$D$6)*((P2416)*(Q2416)-(R2416)*(R2416))-(S2416)*((U2416)*(Q2416)-(R2416)*(V2416))+(T2416)*((U2416)*(R2416)-(P2416)*(V2416)))/W2416,0)</f>
        <v/>
      </c>
      <c r="Y2416">
        <f>IF(ABS(W2416)&gt;1E-12,((LTP3!$D$5)*((U2416)*(Q2416)-(R2416)*(V2416))-(LTP3!$D$6)*((S2416)*(Q2416)-(R2416)*(T2416))+(T2416)*((S2416)*(V2416)-(U2416)*(T2416)))/W2416,0)</f>
        <v/>
      </c>
      <c r="Z2416">
        <f>IF(ABS(W2416)&gt;1E-12,((LTP3!$D$5)*((P2416)*(V2416)-(U2416)*(R2416))-(S2416)*((S2416)*(V2416)-(U2416)*(T2416))+(LTP3!$D$6)*((S2416)*(R2416)-(P2416)*(T2416)))/W2416,0)</f>
        <v/>
      </c>
      <c r="AA2416">
        <f>LTP3!$D$7-X2416*LTP3!$D$6-Y2416*U2416-Z2416*V2416</f>
        <v/>
      </c>
      <c r="AB2416">
        <f>IF(AND(F2416,ABS(W2416)&gt;1E-12,Y2416&gt;0,Z2416&gt;0),AA2416,1E+300)</f>
        <v/>
      </c>
    </row>
    <row r="2417">
      <c r="A2417">
        <f>$B$3+$B$5*39</f>
        <v/>
      </c>
      <c r="B2417">
        <f>$B$3+$B$5*26</f>
        <v/>
      </c>
      <c r="C2417">
        <f>SUMPRODUCT(Calc!$K$3:$K$22*(Calc!$G$3:$G$22&lt;=A2417))</f>
        <v/>
      </c>
      <c r="D2417">
        <f>SUMPRODUCT(Calc!$K$3:$K$22*(Calc!$G$3:$G$22&gt;A2417)*(Calc!$G$3:$G$22&lt;B2417))</f>
        <v/>
      </c>
      <c r="E2417">
        <f>SUMPRODUCT(Calc!$K$3:$K$22*(Calc!$G$3:$G$22&gt;=B2417))</f>
        <v/>
      </c>
      <c r="F2417">
        <f>AND(k_n&gt;=5,B2417&gt;A2417+1E-9,C2417&gt;=2,D2417&gt;=1,E2417&gt;=2)</f>
        <v/>
      </c>
      <c r="G2417">
        <f>SUMPRODUCT(Calc!$K$3:$K$22*(Calc!$G$3:$G$22&gt;A2417)*(Calc!$G$3:$G$22-A2417))</f>
        <v/>
      </c>
      <c r="H2417">
        <f>SUMPRODUCT(Calc!$K$3:$K$22*(Calc!$G$3:$G$22&gt;B2417)*(Calc!$G$3:$G$22-B2417))</f>
        <v/>
      </c>
      <c r="I2417">
        <f>SUMPRODUCT(Calc!$K$3:$K$22*(Calc!$G$3:$G$22&gt;A2417)*(Calc!$G$3:$G$22-A2417)^2)</f>
        <v/>
      </c>
      <c r="J2417">
        <f>SUMPRODUCT(Calc!$K$3:$K$22*(Calc!$G$3:$G$22&gt;B2417)*(Calc!$G$3:$G$22-B2417)^2)</f>
        <v/>
      </c>
      <c r="K2417">
        <f>SUMPRODUCT(Calc!$K$3:$K$22*(Calc!$G$3:$G$22&gt;A2417)*(Calc!$G$3:$G$22-A2417)*(Calc!$G$3:$G$22&gt;B2417)*(Calc!$G$3:$G$22-B2417))</f>
        <v/>
      </c>
      <c r="L2417">
        <f>SUMPRODUCT(Calc!$K$3:$K$22*(Calc!$G$3:$G$22&gt;A2417)*(Calc!$G$3:$G$22-A2417)*Calc!$G$3:$G$22)</f>
        <v/>
      </c>
      <c r="M2417">
        <f>SUMPRODUCT(Calc!$K$3:$K$22*(Calc!$G$3:$G$22&gt;B2417)*(Calc!$G$3:$G$22-B2417)*Calc!$G$3:$G$22)</f>
        <v/>
      </c>
      <c r="N2417">
        <f>SUMPRODUCT(Calc!$K$3:$K$22*(Calc!$G$3:$G$22&gt;A2417)*(Calc!$G$3:$G$22-A2417)*Calc!$I$3:$I$22)</f>
        <v/>
      </c>
      <c r="O2417">
        <f>SUMPRODUCT(Calc!$K$3:$K$22*(Calc!$G$3:$G$22&gt;B2417)*(Calc!$G$3:$G$22-B2417)*Calc!$I$3:$I$22)</f>
        <v/>
      </c>
      <c r="P2417">
        <f>I2417-G2417^2/k_n</f>
        <v/>
      </c>
      <c r="Q2417">
        <f>J2417-H2417^2/k_n</f>
        <v/>
      </c>
      <c r="R2417">
        <f>K2417-G2417*H2417/k_n</f>
        <v/>
      </c>
      <c r="S2417">
        <f>L2417-LTP3!$D$3*G2417/k_n</f>
        <v/>
      </c>
      <c r="T2417">
        <f>M2417-LTP3!$D$3*H2417/k_n</f>
        <v/>
      </c>
      <c r="U2417">
        <f>N2417-G2417*LTP3!$D$4/k_n</f>
        <v/>
      </c>
      <c r="V2417">
        <f>O2417-H2417*LTP3!$D$4/k_n</f>
        <v/>
      </c>
      <c r="W2417">
        <f>((LTP3!$D$5)*((P2417)*(Q2417)-(R2417)*(R2417))-(S2417)*((S2417)*(Q2417)-(R2417)*(T2417))+(T2417)*((S2417)*(R2417)-(P2417)*(T2417)))</f>
        <v/>
      </c>
      <c r="X2417">
        <f>IF(ABS(W2417)&gt;1E-12,((LTP3!$D$6)*((P2417)*(Q2417)-(R2417)*(R2417))-(S2417)*((U2417)*(Q2417)-(R2417)*(V2417))+(T2417)*((U2417)*(R2417)-(P2417)*(V2417)))/W2417,0)</f>
        <v/>
      </c>
      <c r="Y2417">
        <f>IF(ABS(W2417)&gt;1E-12,((LTP3!$D$5)*((U2417)*(Q2417)-(R2417)*(V2417))-(LTP3!$D$6)*((S2417)*(Q2417)-(R2417)*(T2417))+(T2417)*((S2417)*(V2417)-(U2417)*(T2417)))/W2417,0)</f>
        <v/>
      </c>
      <c r="Z2417">
        <f>IF(ABS(W2417)&gt;1E-12,((LTP3!$D$5)*((P2417)*(V2417)-(U2417)*(R2417))-(S2417)*((S2417)*(V2417)-(U2417)*(T2417))+(LTP3!$D$6)*((S2417)*(R2417)-(P2417)*(T2417)))/W2417,0)</f>
        <v/>
      </c>
      <c r="AA2417">
        <f>LTP3!$D$7-X2417*LTP3!$D$6-Y2417*U2417-Z2417*V2417</f>
        <v/>
      </c>
      <c r="AB2417">
        <f>IF(AND(F2417,ABS(W2417)&gt;1E-12,Y2417&gt;0,Z2417&gt;0),AA2417,1E+300)</f>
        <v/>
      </c>
    </row>
    <row r="2418">
      <c r="A2418">
        <f>$B$3+$B$5*39</f>
        <v/>
      </c>
      <c r="B2418">
        <f>$B$3+$B$5*27</f>
        <v/>
      </c>
      <c r="C2418">
        <f>SUMPRODUCT(Calc!$K$3:$K$22*(Calc!$G$3:$G$22&lt;=A2418))</f>
        <v/>
      </c>
      <c r="D2418">
        <f>SUMPRODUCT(Calc!$K$3:$K$22*(Calc!$G$3:$G$22&gt;A2418)*(Calc!$G$3:$G$22&lt;B2418))</f>
        <v/>
      </c>
      <c r="E2418">
        <f>SUMPRODUCT(Calc!$K$3:$K$22*(Calc!$G$3:$G$22&gt;=B2418))</f>
        <v/>
      </c>
      <c r="F2418">
        <f>AND(k_n&gt;=5,B2418&gt;A2418+1E-9,C2418&gt;=2,D2418&gt;=1,E2418&gt;=2)</f>
        <v/>
      </c>
      <c r="G2418">
        <f>SUMPRODUCT(Calc!$K$3:$K$22*(Calc!$G$3:$G$22&gt;A2418)*(Calc!$G$3:$G$22-A2418))</f>
        <v/>
      </c>
      <c r="H2418">
        <f>SUMPRODUCT(Calc!$K$3:$K$22*(Calc!$G$3:$G$22&gt;B2418)*(Calc!$G$3:$G$22-B2418))</f>
        <v/>
      </c>
      <c r="I2418">
        <f>SUMPRODUCT(Calc!$K$3:$K$22*(Calc!$G$3:$G$22&gt;A2418)*(Calc!$G$3:$G$22-A2418)^2)</f>
        <v/>
      </c>
      <c r="J2418">
        <f>SUMPRODUCT(Calc!$K$3:$K$22*(Calc!$G$3:$G$22&gt;B2418)*(Calc!$G$3:$G$22-B2418)^2)</f>
        <v/>
      </c>
      <c r="K2418">
        <f>SUMPRODUCT(Calc!$K$3:$K$22*(Calc!$G$3:$G$22&gt;A2418)*(Calc!$G$3:$G$22-A2418)*(Calc!$G$3:$G$22&gt;B2418)*(Calc!$G$3:$G$22-B2418))</f>
        <v/>
      </c>
      <c r="L2418">
        <f>SUMPRODUCT(Calc!$K$3:$K$22*(Calc!$G$3:$G$22&gt;A2418)*(Calc!$G$3:$G$22-A2418)*Calc!$G$3:$G$22)</f>
        <v/>
      </c>
      <c r="M2418">
        <f>SUMPRODUCT(Calc!$K$3:$K$22*(Calc!$G$3:$G$22&gt;B2418)*(Calc!$G$3:$G$22-B2418)*Calc!$G$3:$G$22)</f>
        <v/>
      </c>
      <c r="N2418">
        <f>SUMPRODUCT(Calc!$K$3:$K$22*(Calc!$G$3:$G$22&gt;A2418)*(Calc!$G$3:$G$22-A2418)*Calc!$I$3:$I$22)</f>
        <v/>
      </c>
      <c r="O2418">
        <f>SUMPRODUCT(Calc!$K$3:$K$22*(Calc!$G$3:$G$22&gt;B2418)*(Calc!$G$3:$G$22-B2418)*Calc!$I$3:$I$22)</f>
        <v/>
      </c>
      <c r="P2418">
        <f>I2418-G2418^2/k_n</f>
        <v/>
      </c>
      <c r="Q2418">
        <f>J2418-H2418^2/k_n</f>
        <v/>
      </c>
      <c r="R2418">
        <f>K2418-G2418*H2418/k_n</f>
        <v/>
      </c>
      <c r="S2418">
        <f>L2418-LTP3!$D$3*G2418/k_n</f>
        <v/>
      </c>
      <c r="T2418">
        <f>M2418-LTP3!$D$3*H2418/k_n</f>
        <v/>
      </c>
      <c r="U2418">
        <f>N2418-G2418*LTP3!$D$4/k_n</f>
        <v/>
      </c>
      <c r="V2418">
        <f>O2418-H2418*LTP3!$D$4/k_n</f>
        <v/>
      </c>
      <c r="W2418">
        <f>((LTP3!$D$5)*((P2418)*(Q2418)-(R2418)*(R2418))-(S2418)*((S2418)*(Q2418)-(R2418)*(T2418))+(T2418)*((S2418)*(R2418)-(P2418)*(T2418)))</f>
        <v/>
      </c>
      <c r="X2418">
        <f>IF(ABS(W2418)&gt;1E-12,((LTP3!$D$6)*((P2418)*(Q2418)-(R2418)*(R2418))-(S2418)*((U2418)*(Q2418)-(R2418)*(V2418))+(T2418)*((U2418)*(R2418)-(P2418)*(V2418)))/W2418,0)</f>
        <v/>
      </c>
      <c r="Y2418">
        <f>IF(ABS(W2418)&gt;1E-12,((LTP3!$D$5)*((U2418)*(Q2418)-(R2418)*(V2418))-(LTP3!$D$6)*((S2418)*(Q2418)-(R2418)*(T2418))+(T2418)*((S2418)*(V2418)-(U2418)*(T2418)))/W2418,0)</f>
        <v/>
      </c>
      <c r="Z2418">
        <f>IF(ABS(W2418)&gt;1E-12,((LTP3!$D$5)*((P2418)*(V2418)-(U2418)*(R2418))-(S2418)*((S2418)*(V2418)-(U2418)*(T2418))+(LTP3!$D$6)*((S2418)*(R2418)-(P2418)*(T2418)))/W2418,0)</f>
        <v/>
      </c>
      <c r="AA2418">
        <f>LTP3!$D$7-X2418*LTP3!$D$6-Y2418*U2418-Z2418*V2418</f>
        <v/>
      </c>
      <c r="AB2418">
        <f>IF(AND(F2418,ABS(W2418)&gt;1E-12,Y2418&gt;0,Z2418&gt;0),AA2418,1E+300)</f>
        <v/>
      </c>
    </row>
    <row r="2419">
      <c r="A2419">
        <f>$B$3+$B$5*39</f>
        <v/>
      </c>
      <c r="B2419">
        <f>$B$3+$B$5*28</f>
        <v/>
      </c>
      <c r="C2419">
        <f>SUMPRODUCT(Calc!$K$3:$K$22*(Calc!$G$3:$G$22&lt;=A2419))</f>
        <v/>
      </c>
      <c r="D2419">
        <f>SUMPRODUCT(Calc!$K$3:$K$22*(Calc!$G$3:$G$22&gt;A2419)*(Calc!$G$3:$G$22&lt;B2419))</f>
        <v/>
      </c>
      <c r="E2419">
        <f>SUMPRODUCT(Calc!$K$3:$K$22*(Calc!$G$3:$G$22&gt;=B2419))</f>
        <v/>
      </c>
      <c r="F2419">
        <f>AND(k_n&gt;=5,B2419&gt;A2419+1E-9,C2419&gt;=2,D2419&gt;=1,E2419&gt;=2)</f>
        <v/>
      </c>
      <c r="G2419">
        <f>SUMPRODUCT(Calc!$K$3:$K$22*(Calc!$G$3:$G$22&gt;A2419)*(Calc!$G$3:$G$22-A2419))</f>
        <v/>
      </c>
      <c r="H2419">
        <f>SUMPRODUCT(Calc!$K$3:$K$22*(Calc!$G$3:$G$22&gt;B2419)*(Calc!$G$3:$G$22-B2419))</f>
        <v/>
      </c>
      <c r="I2419">
        <f>SUMPRODUCT(Calc!$K$3:$K$22*(Calc!$G$3:$G$22&gt;A2419)*(Calc!$G$3:$G$22-A2419)^2)</f>
        <v/>
      </c>
      <c r="J2419">
        <f>SUMPRODUCT(Calc!$K$3:$K$22*(Calc!$G$3:$G$22&gt;B2419)*(Calc!$G$3:$G$22-B2419)^2)</f>
        <v/>
      </c>
      <c r="K2419">
        <f>SUMPRODUCT(Calc!$K$3:$K$22*(Calc!$G$3:$G$22&gt;A2419)*(Calc!$G$3:$G$22-A2419)*(Calc!$G$3:$G$22&gt;B2419)*(Calc!$G$3:$G$22-B2419))</f>
        <v/>
      </c>
      <c r="L2419">
        <f>SUMPRODUCT(Calc!$K$3:$K$22*(Calc!$G$3:$G$22&gt;A2419)*(Calc!$G$3:$G$22-A2419)*Calc!$G$3:$G$22)</f>
        <v/>
      </c>
      <c r="M2419">
        <f>SUMPRODUCT(Calc!$K$3:$K$22*(Calc!$G$3:$G$22&gt;B2419)*(Calc!$G$3:$G$22-B2419)*Calc!$G$3:$G$22)</f>
        <v/>
      </c>
      <c r="N2419">
        <f>SUMPRODUCT(Calc!$K$3:$K$22*(Calc!$G$3:$G$22&gt;A2419)*(Calc!$G$3:$G$22-A2419)*Calc!$I$3:$I$22)</f>
        <v/>
      </c>
      <c r="O2419">
        <f>SUMPRODUCT(Calc!$K$3:$K$22*(Calc!$G$3:$G$22&gt;B2419)*(Calc!$G$3:$G$22-B2419)*Calc!$I$3:$I$22)</f>
        <v/>
      </c>
      <c r="P2419">
        <f>I2419-G2419^2/k_n</f>
        <v/>
      </c>
      <c r="Q2419">
        <f>J2419-H2419^2/k_n</f>
        <v/>
      </c>
      <c r="R2419">
        <f>K2419-G2419*H2419/k_n</f>
        <v/>
      </c>
      <c r="S2419">
        <f>L2419-LTP3!$D$3*G2419/k_n</f>
        <v/>
      </c>
      <c r="T2419">
        <f>M2419-LTP3!$D$3*H2419/k_n</f>
        <v/>
      </c>
      <c r="U2419">
        <f>N2419-G2419*LTP3!$D$4/k_n</f>
        <v/>
      </c>
      <c r="V2419">
        <f>O2419-H2419*LTP3!$D$4/k_n</f>
        <v/>
      </c>
      <c r="W2419">
        <f>((LTP3!$D$5)*((P2419)*(Q2419)-(R2419)*(R2419))-(S2419)*((S2419)*(Q2419)-(R2419)*(T2419))+(T2419)*((S2419)*(R2419)-(P2419)*(T2419)))</f>
        <v/>
      </c>
      <c r="X2419">
        <f>IF(ABS(W2419)&gt;1E-12,((LTP3!$D$6)*((P2419)*(Q2419)-(R2419)*(R2419))-(S2419)*((U2419)*(Q2419)-(R2419)*(V2419))+(T2419)*((U2419)*(R2419)-(P2419)*(V2419)))/W2419,0)</f>
        <v/>
      </c>
      <c r="Y2419">
        <f>IF(ABS(W2419)&gt;1E-12,((LTP3!$D$5)*((U2419)*(Q2419)-(R2419)*(V2419))-(LTP3!$D$6)*((S2419)*(Q2419)-(R2419)*(T2419))+(T2419)*((S2419)*(V2419)-(U2419)*(T2419)))/W2419,0)</f>
        <v/>
      </c>
      <c r="Z2419">
        <f>IF(ABS(W2419)&gt;1E-12,((LTP3!$D$5)*((P2419)*(V2419)-(U2419)*(R2419))-(S2419)*((S2419)*(V2419)-(U2419)*(T2419))+(LTP3!$D$6)*((S2419)*(R2419)-(P2419)*(T2419)))/W2419,0)</f>
        <v/>
      </c>
      <c r="AA2419">
        <f>LTP3!$D$7-X2419*LTP3!$D$6-Y2419*U2419-Z2419*V2419</f>
        <v/>
      </c>
      <c r="AB2419">
        <f>IF(AND(F2419,ABS(W2419)&gt;1E-12,Y2419&gt;0,Z2419&gt;0),AA2419,1E+300)</f>
        <v/>
      </c>
    </row>
    <row r="2420">
      <c r="A2420">
        <f>$B$3+$B$5*39</f>
        <v/>
      </c>
      <c r="B2420">
        <f>$B$3+$B$5*29</f>
        <v/>
      </c>
      <c r="C2420">
        <f>SUMPRODUCT(Calc!$K$3:$K$22*(Calc!$G$3:$G$22&lt;=A2420))</f>
        <v/>
      </c>
      <c r="D2420">
        <f>SUMPRODUCT(Calc!$K$3:$K$22*(Calc!$G$3:$G$22&gt;A2420)*(Calc!$G$3:$G$22&lt;B2420))</f>
        <v/>
      </c>
      <c r="E2420">
        <f>SUMPRODUCT(Calc!$K$3:$K$22*(Calc!$G$3:$G$22&gt;=B2420))</f>
        <v/>
      </c>
      <c r="F2420">
        <f>AND(k_n&gt;=5,B2420&gt;A2420+1E-9,C2420&gt;=2,D2420&gt;=1,E2420&gt;=2)</f>
        <v/>
      </c>
      <c r="G2420">
        <f>SUMPRODUCT(Calc!$K$3:$K$22*(Calc!$G$3:$G$22&gt;A2420)*(Calc!$G$3:$G$22-A2420))</f>
        <v/>
      </c>
      <c r="H2420">
        <f>SUMPRODUCT(Calc!$K$3:$K$22*(Calc!$G$3:$G$22&gt;B2420)*(Calc!$G$3:$G$22-B2420))</f>
        <v/>
      </c>
      <c r="I2420">
        <f>SUMPRODUCT(Calc!$K$3:$K$22*(Calc!$G$3:$G$22&gt;A2420)*(Calc!$G$3:$G$22-A2420)^2)</f>
        <v/>
      </c>
      <c r="J2420">
        <f>SUMPRODUCT(Calc!$K$3:$K$22*(Calc!$G$3:$G$22&gt;B2420)*(Calc!$G$3:$G$22-B2420)^2)</f>
        <v/>
      </c>
      <c r="K2420">
        <f>SUMPRODUCT(Calc!$K$3:$K$22*(Calc!$G$3:$G$22&gt;A2420)*(Calc!$G$3:$G$22-A2420)*(Calc!$G$3:$G$22&gt;B2420)*(Calc!$G$3:$G$22-B2420))</f>
        <v/>
      </c>
      <c r="L2420">
        <f>SUMPRODUCT(Calc!$K$3:$K$22*(Calc!$G$3:$G$22&gt;A2420)*(Calc!$G$3:$G$22-A2420)*Calc!$G$3:$G$22)</f>
        <v/>
      </c>
      <c r="M2420">
        <f>SUMPRODUCT(Calc!$K$3:$K$22*(Calc!$G$3:$G$22&gt;B2420)*(Calc!$G$3:$G$22-B2420)*Calc!$G$3:$G$22)</f>
        <v/>
      </c>
      <c r="N2420">
        <f>SUMPRODUCT(Calc!$K$3:$K$22*(Calc!$G$3:$G$22&gt;A2420)*(Calc!$G$3:$G$22-A2420)*Calc!$I$3:$I$22)</f>
        <v/>
      </c>
      <c r="O2420">
        <f>SUMPRODUCT(Calc!$K$3:$K$22*(Calc!$G$3:$G$22&gt;B2420)*(Calc!$G$3:$G$22-B2420)*Calc!$I$3:$I$22)</f>
        <v/>
      </c>
      <c r="P2420">
        <f>I2420-G2420^2/k_n</f>
        <v/>
      </c>
      <c r="Q2420">
        <f>J2420-H2420^2/k_n</f>
        <v/>
      </c>
      <c r="R2420">
        <f>K2420-G2420*H2420/k_n</f>
        <v/>
      </c>
      <c r="S2420">
        <f>L2420-LTP3!$D$3*G2420/k_n</f>
        <v/>
      </c>
      <c r="T2420">
        <f>M2420-LTP3!$D$3*H2420/k_n</f>
        <v/>
      </c>
      <c r="U2420">
        <f>N2420-G2420*LTP3!$D$4/k_n</f>
        <v/>
      </c>
      <c r="V2420">
        <f>O2420-H2420*LTP3!$D$4/k_n</f>
        <v/>
      </c>
      <c r="W2420">
        <f>((LTP3!$D$5)*((P2420)*(Q2420)-(R2420)*(R2420))-(S2420)*((S2420)*(Q2420)-(R2420)*(T2420))+(T2420)*((S2420)*(R2420)-(P2420)*(T2420)))</f>
        <v/>
      </c>
      <c r="X2420">
        <f>IF(ABS(W2420)&gt;1E-12,((LTP3!$D$6)*((P2420)*(Q2420)-(R2420)*(R2420))-(S2420)*((U2420)*(Q2420)-(R2420)*(V2420))+(T2420)*((U2420)*(R2420)-(P2420)*(V2420)))/W2420,0)</f>
        <v/>
      </c>
      <c r="Y2420">
        <f>IF(ABS(W2420)&gt;1E-12,((LTP3!$D$5)*((U2420)*(Q2420)-(R2420)*(V2420))-(LTP3!$D$6)*((S2420)*(Q2420)-(R2420)*(T2420))+(T2420)*((S2420)*(V2420)-(U2420)*(T2420)))/W2420,0)</f>
        <v/>
      </c>
      <c r="Z2420">
        <f>IF(ABS(W2420)&gt;1E-12,((LTP3!$D$5)*((P2420)*(V2420)-(U2420)*(R2420))-(S2420)*((S2420)*(V2420)-(U2420)*(T2420))+(LTP3!$D$6)*((S2420)*(R2420)-(P2420)*(T2420)))/W2420,0)</f>
        <v/>
      </c>
      <c r="AA2420">
        <f>LTP3!$D$7-X2420*LTP3!$D$6-Y2420*U2420-Z2420*V2420</f>
        <v/>
      </c>
      <c r="AB2420">
        <f>IF(AND(F2420,ABS(W2420)&gt;1E-12,Y2420&gt;0,Z2420&gt;0),AA2420,1E+300)</f>
        <v/>
      </c>
    </row>
    <row r="2421">
      <c r="A2421">
        <f>$B$3+$B$5*39</f>
        <v/>
      </c>
      <c r="B2421">
        <f>$B$3+$B$5*30</f>
        <v/>
      </c>
      <c r="C2421">
        <f>SUMPRODUCT(Calc!$K$3:$K$22*(Calc!$G$3:$G$22&lt;=A2421))</f>
        <v/>
      </c>
      <c r="D2421">
        <f>SUMPRODUCT(Calc!$K$3:$K$22*(Calc!$G$3:$G$22&gt;A2421)*(Calc!$G$3:$G$22&lt;B2421))</f>
        <v/>
      </c>
      <c r="E2421">
        <f>SUMPRODUCT(Calc!$K$3:$K$22*(Calc!$G$3:$G$22&gt;=B2421))</f>
        <v/>
      </c>
      <c r="F2421">
        <f>AND(k_n&gt;=5,B2421&gt;A2421+1E-9,C2421&gt;=2,D2421&gt;=1,E2421&gt;=2)</f>
        <v/>
      </c>
      <c r="G2421">
        <f>SUMPRODUCT(Calc!$K$3:$K$22*(Calc!$G$3:$G$22&gt;A2421)*(Calc!$G$3:$G$22-A2421))</f>
        <v/>
      </c>
      <c r="H2421">
        <f>SUMPRODUCT(Calc!$K$3:$K$22*(Calc!$G$3:$G$22&gt;B2421)*(Calc!$G$3:$G$22-B2421))</f>
        <v/>
      </c>
      <c r="I2421">
        <f>SUMPRODUCT(Calc!$K$3:$K$22*(Calc!$G$3:$G$22&gt;A2421)*(Calc!$G$3:$G$22-A2421)^2)</f>
        <v/>
      </c>
      <c r="J2421">
        <f>SUMPRODUCT(Calc!$K$3:$K$22*(Calc!$G$3:$G$22&gt;B2421)*(Calc!$G$3:$G$22-B2421)^2)</f>
        <v/>
      </c>
      <c r="K2421">
        <f>SUMPRODUCT(Calc!$K$3:$K$22*(Calc!$G$3:$G$22&gt;A2421)*(Calc!$G$3:$G$22-A2421)*(Calc!$G$3:$G$22&gt;B2421)*(Calc!$G$3:$G$22-B2421))</f>
        <v/>
      </c>
      <c r="L2421">
        <f>SUMPRODUCT(Calc!$K$3:$K$22*(Calc!$G$3:$G$22&gt;A2421)*(Calc!$G$3:$G$22-A2421)*Calc!$G$3:$G$22)</f>
        <v/>
      </c>
      <c r="M2421">
        <f>SUMPRODUCT(Calc!$K$3:$K$22*(Calc!$G$3:$G$22&gt;B2421)*(Calc!$G$3:$G$22-B2421)*Calc!$G$3:$G$22)</f>
        <v/>
      </c>
      <c r="N2421">
        <f>SUMPRODUCT(Calc!$K$3:$K$22*(Calc!$G$3:$G$22&gt;A2421)*(Calc!$G$3:$G$22-A2421)*Calc!$I$3:$I$22)</f>
        <v/>
      </c>
      <c r="O2421">
        <f>SUMPRODUCT(Calc!$K$3:$K$22*(Calc!$G$3:$G$22&gt;B2421)*(Calc!$G$3:$G$22-B2421)*Calc!$I$3:$I$22)</f>
        <v/>
      </c>
      <c r="P2421">
        <f>I2421-G2421^2/k_n</f>
        <v/>
      </c>
      <c r="Q2421">
        <f>J2421-H2421^2/k_n</f>
        <v/>
      </c>
      <c r="R2421">
        <f>K2421-G2421*H2421/k_n</f>
        <v/>
      </c>
      <c r="S2421">
        <f>L2421-LTP3!$D$3*G2421/k_n</f>
        <v/>
      </c>
      <c r="T2421">
        <f>M2421-LTP3!$D$3*H2421/k_n</f>
        <v/>
      </c>
      <c r="U2421">
        <f>N2421-G2421*LTP3!$D$4/k_n</f>
        <v/>
      </c>
      <c r="V2421">
        <f>O2421-H2421*LTP3!$D$4/k_n</f>
        <v/>
      </c>
      <c r="W2421">
        <f>((LTP3!$D$5)*((P2421)*(Q2421)-(R2421)*(R2421))-(S2421)*((S2421)*(Q2421)-(R2421)*(T2421))+(T2421)*((S2421)*(R2421)-(P2421)*(T2421)))</f>
        <v/>
      </c>
      <c r="X2421">
        <f>IF(ABS(W2421)&gt;1E-12,((LTP3!$D$6)*((P2421)*(Q2421)-(R2421)*(R2421))-(S2421)*((U2421)*(Q2421)-(R2421)*(V2421))+(T2421)*((U2421)*(R2421)-(P2421)*(V2421)))/W2421,0)</f>
        <v/>
      </c>
      <c r="Y2421">
        <f>IF(ABS(W2421)&gt;1E-12,((LTP3!$D$5)*((U2421)*(Q2421)-(R2421)*(V2421))-(LTP3!$D$6)*((S2421)*(Q2421)-(R2421)*(T2421))+(T2421)*((S2421)*(V2421)-(U2421)*(T2421)))/W2421,0)</f>
        <v/>
      </c>
      <c r="Z2421">
        <f>IF(ABS(W2421)&gt;1E-12,((LTP3!$D$5)*((P2421)*(V2421)-(U2421)*(R2421))-(S2421)*((S2421)*(V2421)-(U2421)*(T2421))+(LTP3!$D$6)*((S2421)*(R2421)-(P2421)*(T2421)))/W2421,0)</f>
        <v/>
      </c>
      <c r="AA2421">
        <f>LTP3!$D$7-X2421*LTP3!$D$6-Y2421*U2421-Z2421*V2421</f>
        <v/>
      </c>
      <c r="AB2421">
        <f>IF(AND(F2421,ABS(W2421)&gt;1E-12,Y2421&gt;0,Z2421&gt;0),AA2421,1E+300)</f>
        <v/>
      </c>
    </row>
    <row r="2422">
      <c r="A2422">
        <f>$B$3+$B$5*39</f>
        <v/>
      </c>
      <c r="B2422">
        <f>$B$3+$B$5*31</f>
        <v/>
      </c>
      <c r="C2422">
        <f>SUMPRODUCT(Calc!$K$3:$K$22*(Calc!$G$3:$G$22&lt;=A2422))</f>
        <v/>
      </c>
      <c r="D2422">
        <f>SUMPRODUCT(Calc!$K$3:$K$22*(Calc!$G$3:$G$22&gt;A2422)*(Calc!$G$3:$G$22&lt;B2422))</f>
        <v/>
      </c>
      <c r="E2422">
        <f>SUMPRODUCT(Calc!$K$3:$K$22*(Calc!$G$3:$G$22&gt;=B2422))</f>
        <v/>
      </c>
      <c r="F2422">
        <f>AND(k_n&gt;=5,B2422&gt;A2422+1E-9,C2422&gt;=2,D2422&gt;=1,E2422&gt;=2)</f>
        <v/>
      </c>
      <c r="G2422">
        <f>SUMPRODUCT(Calc!$K$3:$K$22*(Calc!$G$3:$G$22&gt;A2422)*(Calc!$G$3:$G$22-A2422))</f>
        <v/>
      </c>
      <c r="H2422">
        <f>SUMPRODUCT(Calc!$K$3:$K$22*(Calc!$G$3:$G$22&gt;B2422)*(Calc!$G$3:$G$22-B2422))</f>
        <v/>
      </c>
      <c r="I2422">
        <f>SUMPRODUCT(Calc!$K$3:$K$22*(Calc!$G$3:$G$22&gt;A2422)*(Calc!$G$3:$G$22-A2422)^2)</f>
        <v/>
      </c>
      <c r="J2422">
        <f>SUMPRODUCT(Calc!$K$3:$K$22*(Calc!$G$3:$G$22&gt;B2422)*(Calc!$G$3:$G$22-B2422)^2)</f>
        <v/>
      </c>
      <c r="K2422">
        <f>SUMPRODUCT(Calc!$K$3:$K$22*(Calc!$G$3:$G$22&gt;A2422)*(Calc!$G$3:$G$22-A2422)*(Calc!$G$3:$G$22&gt;B2422)*(Calc!$G$3:$G$22-B2422))</f>
        <v/>
      </c>
      <c r="L2422">
        <f>SUMPRODUCT(Calc!$K$3:$K$22*(Calc!$G$3:$G$22&gt;A2422)*(Calc!$G$3:$G$22-A2422)*Calc!$G$3:$G$22)</f>
        <v/>
      </c>
      <c r="M2422">
        <f>SUMPRODUCT(Calc!$K$3:$K$22*(Calc!$G$3:$G$22&gt;B2422)*(Calc!$G$3:$G$22-B2422)*Calc!$G$3:$G$22)</f>
        <v/>
      </c>
      <c r="N2422">
        <f>SUMPRODUCT(Calc!$K$3:$K$22*(Calc!$G$3:$G$22&gt;A2422)*(Calc!$G$3:$G$22-A2422)*Calc!$I$3:$I$22)</f>
        <v/>
      </c>
      <c r="O2422">
        <f>SUMPRODUCT(Calc!$K$3:$K$22*(Calc!$G$3:$G$22&gt;B2422)*(Calc!$G$3:$G$22-B2422)*Calc!$I$3:$I$22)</f>
        <v/>
      </c>
      <c r="P2422">
        <f>I2422-G2422^2/k_n</f>
        <v/>
      </c>
      <c r="Q2422">
        <f>J2422-H2422^2/k_n</f>
        <v/>
      </c>
      <c r="R2422">
        <f>K2422-G2422*H2422/k_n</f>
        <v/>
      </c>
      <c r="S2422">
        <f>L2422-LTP3!$D$3*G2422/k_n</f>
        <v/>
      </c>
      <c r="T2422">
        <f>M2422-LTP3!$D$3*H2422/k_n</f>
        <v/>
      </c>
      <c r="U2422">
        <f>N2422-G2422*LTP3!$D$4/k_n</f>
        <v/>
      </c>
      <c r="V2422">
        <f>O2422-H2422*LTP3!$D$4/k_n</f>
        <v/>
      </c>
      <c r="W2422">
        <f>((LTP3!$D$5)*((P2422)*(Q2422)-(R2422)*(R2422))-(S2422)*((S2422)*(Q2422)-(R2422)*(T2422))+(T2422)*((S2422)*(R2422)-(P2422)*(T2422)))</f>
        <v/>
      </c>
      <c r="X2422">
        <f>IF(ABS(W2422)&gt;1E-12,((LTP3!$D$6)*((P2422)*(Q2422)-(R2422)*(R2422))-(S2422)*((U2422)*(Q2422)-(R2422)*(V2422))+(T2422)*((U2422)*(R2422)-(P2422)*(V2422)))/W2422,0)</f>
        <v/>
      </c>
      <c r="Y2422">
        <f>IF(ABS(W2422)&gt;1E-12,((LTP3!$D$5)*((U2422)*(Q2422)-(R2422)*(V2422))-(LTP3!$D$6)*((S2422)*(Q2422)-(R2422)*(T2422))+(T2422)*((S2422)*(V2422)-(U2422)*(T2422)))/W2422,0)</f>
        <v/>
      </c>
      <c r="Z2422">
        <f>IF(ABS(W2422)&gt;1E-12,((LTP3!$D$5)*((P2422)*(V2422)-(U2422)*(R2422))-(S2422)*((S2422)*(V2422)-(U2422)*(T2422))+(LTP3!$D$6)*((S2422)*(R2422)-(P2422)*(T2422)))/W2422,0)</f>
        <v/>
      </c>
      <c r="AA2422">
        <f>LTP3!$D$7-X2422*LTP3!$D$6-Y2422*U2422-Z2422*V2422</f>
        <v/>
      </c>
      <c r="AB2422">
        <f>IF(AND(F2422,ABS(W2422)&gt;1E-12,Y2422&gt;0,Z2422&gt;0),AA2422,1E+300)</f>
        <v/>
      </c>
    </row>
    <row r="2423">
      <c r="A2423">
        <f>$B$3+$B$5*39</f>
        <v/>
      </c>
      <c r="B2423">
        <f>$B$3+$B$5*32</f>
        <v/>
      </c>
      <c r="C2423">
        <f>SUMPRODUCT(Calc!$K$3:$K$22*(Calc!$G$3:$G$22&lt;=A2423))</f>
        <v/>
      </c>
      <c r="D2423">
        <f>SUMPRODUCT(Calc!$K$3:$K$22*(Calc!$G$3:$G$22&gt;A2423)*(Calc!$G$3:$G$22&lt;B2423))</f>
        <v/>
      </c>
      <c r="E2423">
        <f>SUMPRODUCT(Calc!$K$3:$K$22*(Calc!$G$3:$G$22&gt;=B2423))</f>
        <v/>
      </c>
      <c r="F2423">
        <f>AND(k_n&gt;=5,B2423&gt;A2423+1E-9,C2423&gt;=2,D2423&gt;=1,E2423&gt;=2)</f>
        <v/>
      </c>
      <c r="G2423">
        <f>SUMPRODUCT(Calc!$K$3:$K$22*(Calc!$G$3:$G$22&gt;A2423)*(Calc!$G$3:$G$22-A2423))</f>
        <v/>
      </c>
      <c r="H2423">
        <f>SUMPRODUCT(Calc!$K$3:$K$22*(Calc!$G$3:$G$22&gt;B2423)*(Calc!$G$3:$G$22-B2423))</f>
        <v/>
      </c>
      <c r="I2423">
        <f>SUMPRODUCT(Calc!$K$3:$K$22*(Calc!$G$3:$G$22&gt;A2423)*(Calc!$G$3:$G$22-A2423)^2)</f>
        <v/>
      </c>
      <c r="J2423">
        <f>SUMPRODUCT(Calc!$K$3:$K$22*(Calc!$G$3:$G$22&gt;B2423)*(Calc!$G$3:$G$22-B2423)^2)</f>
        <v/>
      </c>
      <c r="K2423">
        <f>SUMPRODUCT(Calc!$K$3:$K$22*(Calc!$G$3:$G$22&gt;A2423)*(Calc!$G$3:$G$22-A2423)*(Calc!$G$3:$G$22&gt;B2423)*(Calc!$G$3:$G$22-B2423))</f>
        <v/>
      </c>
      <c r="L2423">
        <f>SUMPRODUCT(Calc!$K$3:$K$22*(Calc!$G$3:$G$22&gt;A2423)*(Calc!$G$3:$G$22-A2423)*Calc!$G$3:$G$22)</f>
        <v/>
      </c>
      <c r="M2423">
        <f>SUMPRODUCT(Calc!$K$3:$K$22*(Calc!$G$3:$G$22&gt;B2423)*(Calc!$G$3:$G$22-B2423)*Calc!$G$3:$G$22)</f>
        <v/>
      </c>
      <c r="N2423">
        <f>SUMPRODUCT(Calc!$K$3:$K$22*(Calc!$G$3:$G$22&gt;A2423)*(Calc!$G$3:$G$22-A2423)*Calc!$I$3:$I$22)</f>
        <v/>
      </c>
      <c r="O2423">
        <f>SUMPRODUCT(Calc!$K$3:$K$22*(Calc!$G$3:$G$22&gt;B2423)*(Calc!$G$3:$G$22-B2423)*Calc!$I$3:$I$22)</f>
        <v/>
      </c>
      <c r="P2423">
        <f>I2423-G2423^2/k_n</f>
        <v/>
      </c>
      <c r="Q2423">
        <f>J2423-H2423^2/k_n</f>
        <v/>
      </c>
      <c r="R2423">
        <f>K2423-G2423*H2423/k_n</f>
        <v/>
      </c>
      <c r="S2423">
        <f>L2423-LTP3!$D$3*G2423/k_n</f>
        <v/>
      </c>
      <c r="T2423">
        <f>M2423-LTP3!$D$3*H2423/k_n</f>
        <v/>
      </c>
      <c r="U2423">
        <f>N2423-G2423*LTP3!$D$4/k_n</f>
        <v/>
      </c>
      <c r="V2423">
        <f>O2423-H2423*LTP3!$D$4/k_n</f>
        <v/>
      </c>
      <c r="W2423">
        <f>((LTP3!$D$5)*((P2423)*(Q2423)-(R2423)*(R2423))-(S2423)*((S2423)*(Q2423)-(R2423)*(T2423))+(T2423)*((S2423)*(R2423)-(P2423)*(T2423)))</f>
        <v/>
      </c>
      <c r="X2423">
        <f>IF(ABS(W2423)&gt;1E-12,((LTP3!$D$6)*((P2423)*(Q2423)-(R2423)*(R2423))-(S2423)*((U2423)*(Q2423)-(R2423)*(V2423))+(T2423)*((U2423)*(R2423)-(P2423)*(V2423)))/W2423,0)</f>
        <v/>
      </c>
      <c r="Y2423">
        <f>IF(ABS(W2423)&gt;1E-12,((LTP3!$D$5)*((U2423)*(Q2423)-(R2423)*(V2423))-(LTP3!$D$6)*((S2423)*(Q2423)-(R2423)*(T2423))+(T2423)*((S2423)*(V2423)-(U2423)*(T2423)))/W2423,0)</f>
        <v/>
      </c>
      <c r="Z2423">
        <f>IF(ABS(W2423)&gt;1E-12,((LTP3!$D$5)*((P2423)*(V2423)-(U2423)*(R2423))-(S2423)*((S2423)*(V2423)-(U2423)*(T2423))+(LTP3!$D$6)*((S2423)*(R2423)-(P2423)*(T2423)))/W2423,0)</f>
        <v/>
      </c>
      <c r="AA2423">
        <f>LTP3!$D$7-X2423*LTP3!$D$6-Y2423*U2423-Z2423*V2423</f>
        <v/>
      </c>
      <c r="AB2423">
        <f>IF(AND(F2423,ABS(W2423)&gt;1E-12,Y2423&gt;0,Z2423&gt;0),AA2423,1E+300)</f>
        <v/>
      </c>
    </row>
    <row r="2424">
      <c r="A2424">
        <f>$B$3+$B$5*39</f>
        <v/>
      </c>
      <c r="B2424">
        <f>$B$3+$B$5*33</f>
        <v/>
      </c>
      <c r="C2424">
        <f>SUMPRODUCT(Calc!$K$3:$K$22*(Calc!$G$3:$G$22&lt;=A2424))</f>
        <v/>
      </c>
      <c r="D2424">
        <f>SUMPRODUCT(Calc!$K$3:$K$22*(Calc!$G$3:$G$22&gt;A2424)*(Calc!$G$3:$G$22&lt;B2424))</f>
        <v/>
      </c>
      <c r="E2424">
        <f>SUMPRODUCT(Calc!$K$3:$K$22*(Calc!$G$3:$G$22&gt;=B2424))</f>
        <v/>
      </c>
      <c r="F2424">
        <f>AND(k_n&gt;=5,B2424&gt;A2424+1E-9,C2424&gt;=2,D2424&gt;=1,E2424&gt;=2)</f>
        <v/>
      </c>
      <c r="G2424">
        <f>SUMPRODUCT(Calc!$K$3:$K$22*(Calc!$G$3:$G$22&gt;A2424)*(Calc!$G$3:$G$22-A2424))</f>
        <v/>
      </c>
      <c r="H2424">
        <f>SUMPRODUCT(Calc!$K$3:$K$22*(Calc!$G$3:$G$22&gt;B2424)*(Calc!$G$3:$G$22-B2424))</f>
        <v/>
      </c>
      <c r="I2424">
        <f>SUMPRODUCT(Calc!$K$3:$K$22*(Calc!$G$3:$G$22&gt;A2424)*(Calc!$G$3:$G$22-A2424)^2)</f>
        <v/>
      </c>
      <c r="J2424">
        <f>SUMPRODUCT(Calc!$K$3:$K$22*(Calc!$G$3:$G$22&gt;B2424)*(Calc!$G$3:$G$22-B2424)^2)</f>
        <v/>
      </c>
      <c r="K2424">
        <f>SUMPRODUCT(Calc!$K$3:$K$22*(Calc!$G$3:$G$22&gt;A2424)*(Calc!$G$3:$G$22-A2424)*(Calc!$G$3:$G$22&gt;B2424)*(Calc!$G$3:$G$22-B2424))</f>
        <v/>
      </c>
      <c r="L2424">
        <f>SUMPRODUCT(Calc!$K$3:$K$22*(Calc!$G$3:$G$22&gt;A2424)*(Calc!$G$3:$G$22-A2424)*Calc!$G$3:$G$22)</f>
        <v/>
      </c>
      <c r="M2424">
        <f>SUMPRODUCT(Calc!$K$3:$K$22*(Calc!$G$3:$G$22&gt;B2424)*(Calc!$G$3:$G$22-B2424)*Calc!$G$3:$G$22)</f>
        <v/>
      </c>
      <c r="N2424">
        <f>SUMPRODUCT(Calc!$K$3:$K$22*(Calc!$G$3:$G$22&gt;A2424)*(Calc!$G$3:$G$22-A2424)*Calc!$I$3:$I$22)</f>
        <v/>
      </c>
      <c r="O2424">
        <f>SUMPRODUCT(Calc!$K$3:$K$22*(Calc!$G$3:$G$22&gt;B2424)*(Calc!$G$3:$G$22-B2424)*Calc!$I$3:$I$22)</f>
        <v/>
      </c>
      <c r="P2424">
        <f>I2424-G2424^2/k_n</f>
        <v/>
      </c>
      <c r="Q2424">
        <f>J2424-H2424^2/k_n</f>
        <v/>
      </c>
      <c r="R2424">
        <f>K2424-G2424*H2424/k_n</f>
        <v/>
      </c>
      <c r="S2424">
        <f>L2424-LTP3!$D$3*G2424/k_n</f>
        <v/>
      </c>
      <c r="T2424">
        <f>M2424-LTP3!$D$3*H2424/k_n</f>
        <v/>
      </c>
      <c r="U2424">
        <f>N2424-G2424*LTP3!$D$4/k_n</f>
        <v/>
      </c>
      <c r="V2424">
        <f>O2424-H2424*LTP3!$D$4/k_n</f>
        <v/>
      </c>
      <c r="W2424">
        <f>((LTP3!$D$5)*((P2424)*(Q2424)-(R2424)*(R2424))-(S2424)*((S2424)*(Q2424)-(R2424)*(T2424))+(T2424)*((S2424)*(R2424)-(P2424)*(T2424)))</f>
        <v/>
      </c>
      <c r="X2424">
        <f>IF(ABS(W2424)&gt;1E-12,((LTP3!$D$6)*((P2424)*(Q2424)-(R2424)*(R2424))-(S2424)*((U2424)*(Q2424)-(R2424)*(V2424))+(T2424)*((U2424)*(R2424)-(P2424)*(V2424)))/W2424,0)</f>
        <v/>
      </c>
      <c r="Y2424">
        <f>IF(ABS(W2424)&gt;1E-12,((LTP3!$D$5)*((U2424)*(Q2424)-(R2424)*(V2424))-(LTP3!$D$6)*((S2424)*(Q2424)-(R2424)*(T2424))+(T2424)*((S2424)*(V2424)-(U2424)*(T2424)))/W2424,0)</f>
        <v/>
      </c>
      <c r="Z2424">
        <f>IF(ABS(W2424)&gt;1E-12,((LTP3!$D$5)*((P2424)*(V2424)-(U2424)*(R2424))-(S2424)*((S2424)*(V2424)-(U2424)*(T2424))+(LTP3!$D$6)*((S2424)*(R2424)-(P2424)*(T2424)))/W2424,0)</f>
        <v/>
      </c>
      <c r="AA2424">
        <f>LTP3!$D$7-X2424*LTP3!$D$6-Y2424*U2424-Z2424*V2424</f>
        <v/>
      </c>
      <c r="AB2424">
        <f>IF(AND(F2424,ABS(W2424)&gt;1E-12,Y2424&gt;0,Z2424&gt;0),AA2424,1E+300)</f>
        <v/>
      </c>
    </row>
    <row r="2425">
      <c r="A2425">
        <f>$B$3+$B$5*39</f>
        <v/>
      </c>
      <c r="B2425">
        <f>$B$3+$B$5*34</f>
        <v/>
      </c>
      <c r="C2425">
        <f>SUMPRODUCT(Calc!$K$3:$K$22*(Calc!$G$3:$G$22&lt;=A2425))</f>
        <v/>
      </c>
      <c r="D2425">
        <f>SUMPRODUCT(Calc!$K$3:$K$22*(Calc!$G$3:$G$22&gt;A2425)*(Calc!$G$3:$G$22&lt;B2425))</f>
        <v/>
      </c>
      <c r="E2425">
        <f>SUMPRODUCT(Calc!$K$3:$K$22*(Calc!$G$3:$G$22&gt;=B2425))</f>
        <v/>
      </c>
      <c r="F2425">
        <f>AND(k_n&gt;=5,B2425&gt;A2425+1E-9,C2425&gt;=2,D2425&gt;=1,E2425&gt;=2)</f>
        <v/>
      </c>
      <c r="G2425">
        <f>SUMPRODUCT(Calc!$K$3:$K$22*(Calc!$G$3:$G$22&gt;A2425)*(Calc!$G$3:$G$22-A2425))</f>
        <v/>
      </c>
      <c r="H2425">
        <f>SUMPRODUCT(Calc!$K$3:$K$22*(Calc!$G$3:$G$22&gt;B2425)*(Calc!$G$3:$G$22-B2425))</f>
        <v/>
      </c>
      <c r="I2425">
        <f>SUMPRODUCT(Calc!$K$3:$K$22*(Calc!$G$3:$G$22&gt;A2425)*(Calc!$G$3:$G$22-A2425)^2)</f>
        <v/>
      </c>
      <c r="J2425">
        <f>SUMPRODUCT(Calc!$K$3:$K$22*(Calc!$G$3:$G$22&gt;B2425)*(Calc!$G$3:$G$22-B2425)^2)</f>
        <v/>
      </c>
      <c r="K2425">
        <f>SUMPRODUCT(Calc!$K$3:$K$22*(Calc!$G$3:$G$22&gt;A2425)*(Calc!$G$3:$G$22-A2425)*(Calc!$G$3:$G$22&gt;B2425)*(Calc!$G$3:$G$22-B2425))</f>
        <v/>
      </c>
      <c r="L2425">
        <f>SUMPRODUCT(Calc!$K$3:$K$22*(Calc!$G$3:$G$22&gt;A2425)*(Calc!$G$3:$G$22-A2425)*Calc!$G$3:$G$22)</f>
        <v/>
      </c>
      <c r="M2425">
        <f>SUMPRODUCT(Calc!$K$3:$K$22*(Calc!$G$3:$G$22&gt;B2425)*(Calc!$G$3:$G$22-B2425)*Calc!$G$3:$G$22)</f>
        <v/>
      </c>
      <c r="N2425">
        <f>SUMPRODUCT(Calc!$K$3:$K$22*(Calc!$G$3:$G$22&gt;A2425)*(Calc!$G$3:$G$22-A2425)*Calc!$I$3:$I$22)</f>
        <v/>
      </c>
      <c r="O2425">
        <f>SUMPRODUCT(Calc!$K$3:$K$22*(Calc!$G$3:$G$22&gt;B2425)*(Calc!$G$3:$G$22-B2425)*Calc!$I$3:$I$22)</f>
        <v/>
      </c>
      <c r="P2425">
        <f>I2425-G2425^2/k_n</f>
        <v/>
      </c>
      <c r="Q2425">
        <f>J2425-H2425^2/k_n</f>
        <v/>
      </c>
      <c r="R2425">
        <f>K2425-G2425*H2425/k_n</f>
        <v/>
      </c>
      <c r="S2425">
        <f>L2425-LTP3!$D$3*G2425/k_n</f>
        <v/>
      </c>
      <c r="T2425">
        <f>M2425-LTP3!$D$3*H2425/k_n</f>
        <v/>
      </c>
      <c r="U2425">
        <f>N2425-G2425*LTP3!$D$4/k_n</f>
        <v/>
      </c>
      <c r="V2425">
        <f>O2425-H2425*LTP3!$D$4/k_n</f>
        <v/>
      </c>
      <c r="W2425">
        <f>((LTP3!$D$5)*((P2425)*(Q2425)-(R2425)*(R2425))-(S2425)*((S2425)*(Q2425)-(R2425)*(T2425))+(T2425)*((S2425)*(R2425)-(P2425)*(T2425)))</f>
        <v/>
      </c>
      <c r="X2425">
        <f>IF(ABS(W2425)&gt;1E-12,((LTP3!$D$6)*((P2425)*(Q2425)-(R2425)*(R2425))-(S2425)*((U2425)*(Q2425)-(R2425)*(V2425))+(T2425)*((U2425)*(R2425)-(P2425)*(V2425)))/W2425,0)</f>
        <v/>
      </c>
      <c r="Y2425">
        <f>IF(ABS(W2425)&gt;1E-12,((LTP3!$D$5)*((U2425)*(Q2425)-(R2425)*(V2425))-(LTP3!$D$6)*((S2425)*(Q2425)-(R2425)*(T2425))+(T2425)*((S2425)*(V2425)-(U2425)*(T2425)))/W2425,0)</f>
        <v/>
      </c>
      <c r="Z2425">
        <f>IF(ABS(W2425)&gt;1E-12,((LTP3!$D$5)*((P2425)*(V2425)-(U2425)*(R2425))-(S2425)*((S2425)*(V2425)-(U2425)*(T2425))+(LTP3!$D$6)*((S2425)*(R2425)-(P2425)*(T2425)))/W2425,0)</f>
        <v/>
      </c>
      <c r="AA2425">
        <f>LTP3!$D$7-X2425*LTP3!$D$6-Y2425*U2425-Z2425*V2425</f>
        <v/>
      </c>
      <c r="AB2425">
        <f>IF(AND(F2425,ABS(W2425)&gt;1E-12,Y2425&gt;0,Z2425&gt;0),AA2425,1E+300)</f>
        <v/>
      </c>
    </row>
    <row r="2426">
      <c r="A2426">
        <f>$B$3+$B$5*39</f>
        <v/>
      </c>
      <c r="B2426">
        <f>$B$3+$B$5*35</f>
        <v/>
      </c>
      <c r="C2426">
        <f>SUMPRODUCT(Calc!$K$3:$K$22*(Calc!$G$3:$G$22&lt;=A2426))</f>
        <v/>
      </c>
      <c r="D2426">
        <f>SUMPRODUCT(Calc!$K$3:$K$22*(Calc!$G$3:$G$22&gt;A2426)*(Calc!$G$3:$G$22&lt;B2426))</f>
        <v/>
      </c>
      <c r="E2426">
        <f>SUMPRODUCT(Calc!$K$3:$K$22*(Calc!$G$3:$G$22&gt;=B2426))</f>
        <v/>
      </c>
      <c r="F2426">
        <f>AND(k_n&gt;=5,B2426&gt;A2426+1E-9,C2426&gt;=2,D2426&gt;=1,E2426&gt;=2)</f>
        <v/>
      </c>
      <c r="G2426">
        <f>SUMPRODUCT(Calc!$K$3:$K$22*(Calc!$G$3:$G$22&gt;A2426)*(Calc!$G$3:$G$22-A2426))</f>
        <v/>
      </c>
      <c r="H2426">
        <f>SUMPRODUCT(Calc!$K$3:$K$22*(Calc!$G$3:$G$22&gt;B2426)*(Calc!$G$3:$G$22-B2426))</f>
        <v/>
      </c>
      <c r="I2426">
        <f>SUMPRODUCT(Calc!$K$3:$K$22*(Calc!$G$3:$G$22&gt;A2426)*(Calc!$G$3:$G$22-A2426)^2)</f>
        <v/>
      </c>
      <c r="J2426">
        <f>SUMPRODUCT(Calc!$K$3:$K$22*(Calc!$G$3:$G$22&gt;B2426)*(Calc!$G$3:$G$22-B2426)^2)</f>
        <v/>
      </c>
      <c r="K2426">
        <f>SUMPRODUCT(Calc!$K$3:$K$22*(Calc!$G$3:$G$22&gt;A2426)*(Calc!$G$3:$G$22-A2426)*(Calc!$G$3:$G$22&gt;B2426)*(Calc!$G$3:$G$22-B2426))</f>
        <v/>
      </c>
      <c r="L2426">
        <f>SUMPRODUCT(Calc!$K$3:$K$22*(Calc!$G$3:$G$22&gt;A2426)*(Calc!$G$3:$G$22-A2426)*Calc!$G$3:$G$22)</f>
        <v/>
      </c>
      <c r="M2426">
        <f>SUMPRODUCT(Calc!$K$3:$K$22*(Calc!$G$3:$G$22&gt;B2426)*(Calc!$G$3:$G$22-B2426)*Calc!$G$3:$G$22)</f>
        <v/>
      </c>
      <c r="N2426">
        <f>SUMPRODUCT(Calc!$K$3:$K$22*(Calc!$G$3:$G$22&gt;A2426)*(Calc!$G$3:$G$22-A2426)*Calc!$I$3:$I$22)</f>
        <v/>
      </c>
      <c r="O2426">
        <f>SUMPRODUCT(Calc!$K$3:$K$22*(Calc!$G$3:$G$22&gt;B2426)*(Calc!$G$3:$G$22-B2426)*Calc!$I$3:$I$22)</f>
        <v/>
      </c>
      <c r="P2426">
        <f>I2426-G2426^2/k_n</f>
        <v/>
      </c>
      <c r="Q2426">
        <f>J2426-H2426^2/k_n</f>
        <v/>
      </c>
      <c r="R2426">
        <f>K2426-G2426*H2426/k_n</f>
        <v/>
      </c>
      <c r="S2426">
        <f>L2426-LTP3!$D$3*G2426/k_n</f>
        <v/>
      </c>
      <c r="T2426">
        <f>M2426-LTP3!$D$3*H2426/k_n</f>
        <v/>
      </c>
      <c r="U2426">
        <f>N2426-G2426*LTP3!$D$4/k_n</f>
        <v/>
      </c>
      <c r="V2426">
        <f>O2426-H2426*LTP3!$D$4/k_n</f>
        <v/>
      </c>
      <c r="W2426">
        <f>((LTP3!$D$5)*((P2426)*(Q2426)-(R2426)*(R2426))-(S2426)*((S2426)*(Q2426)-(R2426)*(T2426))+(T2426)*((S2426)*(R2426)-(P2426)*(T2426)))</f>
        <v/>
      </c>
      <c r="X2426">
        <f>IF(ABS(W2426)&gt;1E-12,((LTP3!$D$6)*((P2426)*(Q2426)-(R2426)*(R2426))-(S2426)*((U2426)*(Q2426)-(R2426)*(V2426))+(T2426)*((U2426)*(R2426)-(P2426)*(V2426)))/W2426,0)</f>
        <v/>
      </c>
      <c r="Y2426">
        <f>IF(ABS(W2426)&gt;1E-12,((LTP3!$D$5)*((U2426)*(Q2426)-(R2426)*(V2426))-(LTP3!$D$6)*((S2426)*(Q2426)-(R2426)*(T2426))+(T2426)*((S2426)*(V2426)-(U2426)*(T2426)))/W2426,0)</f>
        <v/>
      </c>
      <c r="Z2426">
        <f>IF(ABS(W2426)&gt;1E-12,((LTP3!$D$5)*((P2426)*(V2426)-(U2426)*(R2426))-(S2426)*((S2426)*(V2426)-(U2426)*(T2426))+(LTP3!$D$6)*((S2426)*(R2426)-(P2426)*(T2426)))/W2426,0)</f>
        <v/>
      </c>
      <c r="AA2426">
        <f>LTP3!$D$7-X2426*LTP3!$D$6-Y2426*U2426-Z2426*V2426</f>
        <v/>
      </c>
      <c r="AB2426">
        <f>IF(AND(F2426,ABS(W2426)&gt;1E-12,Y2426&gt;0,Z2426&gt;0),AA2426,1E+300)</f>
        <v/>
      </c>
    </row>
    <row r="2427">
      <c r="A2427">
        <f>$B$3+$B$5*39</f>
        <v/>
      </c>
      <c r="B2427">
        <f>$B$3+$B$5*36</f>
        <v/>
      </c>
      <c r="C2427">
        <f>SUMPRODUCT(Calc!$K$3:$K$22*(Calc!$G$3:$G$22&lt;=A2427))</f>
        <v/>
      </c>
      <c r="D2427">
        <f>SUMPRODUCT(Calc!$K$3:$K$22*(Calc!$G$3:$G$22&gt;A2427)*(Calc!$G$3:$G$22&lt;B2427))</f>
        <v/>
      </c>
      <c r="E2427">
        <f>SUMPRODUCT(Calc!$K$3:$K$22*(Calc!$G$3:$G$22&gt;=B2427))</f>
        <v/>
      </c>
      <c r="F2427">
        <f>AND(k_n&gt;=5,B2427&gt;A2427+1E-9,C2427&gt;=2,D2427&gt;=1,E2427&gt;=2)</f>
        <v/>
      </c>
      <c r="G2427">
        <f>SUMPRODUCT(Calc!$K$3:$K$22*(Calc!$G$3:$G$22&gt;A2427)*(Calc!$G$3:$G$22-A2427))</f>
        <v/>
      </c>
      <c r="H2427">
        <f>SUMPRODUCT(Calc!$K$3:$K$22*(Calc!$G$3:$G$22&gt;B2427)*(Calc!$G$3:$G$22-B2427))</f>
        <v/>
      </c>
      <c r="I2427">
        <f>SUMPRODUCT(Calc!$K$3:$K$22*(Calc!$G$3:$G$22&gt;A2427)*(Calc!$G$3:$G$22-A2427)^2)</f>
        <v/>
      </c>
      <c r="J2427">
        <f>SUMPRODUCT(Calc!$K$3:$K$22*(Calc!$G$3:$G$22&gt;B2427)*(Calc!$G$3:$G$22-B2427)^2)</f>
        <v/>
      </c>
      <c r="K2427">
        <f>SUMPRODUCT(Calc!$K$3:$K$22*(Calc!$G$3:$G$22&gt;A2427)*(Calc!$G$3:$G$22-A2427)*(Calc!$G$3:$G$22&gt;B2427)*(Calc!$G$3:$G$22-B2427))</f>
        <v/>
      </c>
      <c r="L2427">
        <f>SUMPRODUCT(Calc!$K$3:$K$22*(Calc!$G$3:$G$22&gt;A2427)*(Calc!$G$3:$G$22-A2427)*Calc!$G$3:$G$22)</f>
        <v/>
      </c>
      <c r="M2427">
        <f>SUMPRODUCT(Calc!$K$3:$K$22*(Calc!$G$3:$G$22&gt;B2427)*(Calc!$G$3:$G$22-B2427)*Calc!$G$3:$G$22)</f>
        <v/>
      </c>
      <c r="N2427">
        <f>SUMPRODUCT(Calc!$K$3:$K$22*(Calc!$G$3:$G$22&gt;A2427)*(Calc!$G$3:$G$22-A2427)*Calc!$I$3:$I$22)</f>
        <v/>
      </c>
      <c r="O2427">
        <f>SUMPRODUCT(Calc!$K$3:$K$22*(Calc!$G$3:$G$22&gt;B2427)*(Calc!$G$3:$G$22-B2427)*Calc!$I$3:$I$22)</f>
        <v/>
      </c>
      <c r="P2427">
        <f>I2427-G2427^2/k_n</f>
        <v/>
      </c>
      <c r="Q2427">
        <f>J2427-H2427^2/k_n</f>
        <v/>
      </c>
      <c r="R2427">
        <f>K2427-G2427*H2427/k_n</f>
        <v/>
      </c>
      <c r="S2427">
        <f>L2427-LTP3!$D$3*G2427/k_n</f>
        <v/>
      </c>
      <c r="T2427">
        <f>M2427-LTP3!$D$3*H2427/k_n</f>
        <v/>
      </c>
      <c r="U2427">
        <f>N2427-G2427*LTP3!$D$4/k_n</f>
        <v/>
      </c>
      <c r="V2427">
        <f>O2427-H2427*LTP3!$D$4/k_n</f>
        <v/>
      </c>
      <c r="W2427">
        <f>((LTP3!$D$5)*((P2427)*(Q2427)-(R2427)*(R2427))-(S2427)*((S2427)*(Q2427)-(R2427)*(T2427))+(T2427)*((S2427)*(R2427)-(P2427)*(T2427)))</f>
        <v/>
      </c>
      <c r="X2427">
        <f>IF(ABS(W2427)&gt;1E-12,((LTP3!$D$6)*((P2427)*(Q2427)-(R2427)*(R2427))-(S2427)*((U2427)*(Q2427)-(R2427)*(V2427))+(T2427)*((U2427)*(R2427)-(P2427)*(V2427)))/W2427,0)</f>
        <v/>
      </c>
      <c r="Y2427">
        <f>IF(ABS(W2427)&gt;1E-12,((LTP3!$D$5)*((U2427)*(Q2427)-(R2427)*(V2427))-(LTP3!$D$6)*((S2427)*(Q2427)-(R2427)*(T2427))+(T2427)*((S2427)*(V2427)-(U2427)*(T2427)))/W2427,0)</f>
        <v/>
      </c>
      <c r="Z2427">
        <f>IF(ABS(W2427)&gt;1E-12,((LTP3!$D$5)*((P2427)*(V2427)-(U2427)*(R2427))-(S2427)*((S2427)*(V2427)-(U2427)*(T2427))+(LTP3!$D$6)*((S2427)*(R2427)-(P2427)*(T2427)))/W2427,0)</f>
        <v/>
      </c>
      <c r="AA2427">
        <f>LTP3!$D$7-X2427*LTP3!$D$6-Y2427*U2427-Z2427*V2427</f>
        <v/>
      </c>
      <c r="AB2427">
        <f>IF(AND(F2427,ABS(W2427)&gt;1E-12,Y2427&gt;0,Z2427&gt;0),AA2427,1E+300)</f>
        <v/>
      </c>
    </row>
    <row r="2428">
      <c r="A2428">
        <f>$B$3+$B$5*39</f>
        <v/>
      </c>
      <c r="B2428">
        <f>$B$3+$B$5*37</f>
        <v/>
      </c>
      <c r="C2428">
        <f>SUMPRODUCT(Calc!$K$3:$K$22*(Calc!$G$3:$G$22&lt;=A2428))</f>
        <v/>
      </c>
      <c r="D2428">
        <f>SUMPRODUCT(Calc!$K$3:$K$22*(Calc!$G$3:$G$22&gt;A2428)*(Calc!$G$3:$G$22&lt;B2428))</f>
        <v/>
      </c>
      <c r="E2428">
        <f>SUMPRODUCT(Calc!$K$3:$K$22*(Calc!$G$3:$G$22&gt;=B2428))</f>
        <v/>
      </c>
      <c r="F2428">
        <f>AND(k_n&gt;=5,B2428&gt;A2428+1E-9,C2428&gt;=2,D2428&gt;=1,E2428&gt;=2)</f>
        <v/>
      </c>
      <c r="G2428">
        <f>SUMPRODUCT(Calc!$K$3:$K$22*(Calc!$G$3:$G$22&gt;A2428)*(Calc!$G$3:$G$22-A2428))</f>
        <v/>
      </c>
      <c r="H2428">
        <f>SUMPRODUCT(Calc!$K$3:$K$22*(Calc!$G$3:$G$22&gt;B2428)*(Calc!$G$3:$G$22-B2428))</f>
        <v/>
      </c>
      <c r="I2428">
        <f>SUMPRODUCT(Calc!$K$3:$K$22*(Calc!$G$3:$G$22&gt;A2428)*(Calc!$G$3:$G$22-A2428)^2)</f>
        <v/>
      </c>
      <c r="J2428">
        <f>SUMPRODUCT(Calc!$K$3:$K$22*(Calc!$G$3:$G$22&gt;B2428)*(Calc!$G$3:$G$22-B2428)^2)</f>
        <v/>
      </c>
      <c r="K2428">
        <f>SUMPRODUCT(Calc!$K$3:$K$22*(Calc!$G$3:$G$22&gt;A2428)*(Calc!$G$3:$G$22-A2428)*(Calc!$G$3:$G$22&gt;B2428)*(Calc!$G$3:$G$22-B2428))</f>
        <v/>
      </c>
      <c r="L2428">
        <f>SUMPRODUCT(Calc!$K$3:$K$22*(Calc!$G$3:$G$22&gt;A2428)*(Calc!$G$3:$G$22-A2428)*Calc!$G$3:$G$22)</f>
        <v/>
      </c>
      <c r="M2428">
        <f>SUMPRODUCT(Calc!$K$3:$K$22*(Calc!$G$3:$G$22&gt;B2428)*(Calc!$G$3:$G$22-B2428)*Calc!$G$3:$G$22)</f>
        <v/>
      </c>
      <c r="N2428">
        <f>SUMPRODUCT(Calc!$K$3:$K$22*(Calc!$G$3:$G$22&gt;A2428)*(Calc!$G$3:$G$22-A2428)*Calc!$I$3:$I$22)</f>
        <v/>
      </c>
      <c r="O2428">
        <f>SUMPRODUCT(Calc!$K$3:$K$22*(Calc!$G$3:$G$22&gt;B2428)*(Calc!$G$3:$G$22-B2428)*Calc!$I$3:$I$22)</f>
        <v/>
      </c>
      <c r="P2428">
        <f>I2428-G2428^2/k_n</f>
        <v/>
      </c>
      <c r="Q2428">
        <f>J2428-H2428^2/k_n</f>
        <v/>
      </c>
      <c r="R2428">
        <f>K2428-G2428*H2428/k_n</f>
        <v/>
      </c>
      <c r="S2428">
        <f>L2428-LTP3!$D$3*G2428/k_n</f>
        <v/>
      </c>
      <c r="T2428">
        <f>M2428-LTP3!$D$3*H2428/k_n</f>
        <v/>
      </c>
      <c r="U2428">
        <f>N2428-G2428*LTP3!$D$4/k_n</f>
        <v/>
      </c>
      <c r="V2428">
        <f>O2428-H2428*LTP3!$D$4/k_n</f>
        <v/>
      </c>
      <c r="W2428">
        <f>((LTP3!$D$5)*((P2428)*(Q2428)-(R2428)*(R2428))-(S2428)*((S2428)*(Q2428)-(R2428)*(T2428))+(T2428)*((S2428)*(R2428)-(P2428)*(T2428)))</f>
        <v/>
      </c>
      <c r="X2428">
        <f>IF(ABS(W2428)&gt;1E-12,((LTP3!$D$6)*((P2428)*(Q2428)-(R2428)*(R2428))-(S2428)*((U2428)*(Q2428)-(R2428)*(V2428))+(T2428)*((U2428)*(R2428)-(P2428)*(V2428)))/W2428,0)</f>
        <v/>
      </c>
      <c r="Y2428">
        <f>IF(ABS(W2428)&gt;1E-12,((LTP3!$D$5)*((U2428)*(Q2428)-(R2428)*(V2428))-(LTP3!$D$6)*((S2428)*(Q2428)-(R2428)*(T2428))+(T2428)*((S2428)*(V2428)-(U2428)*(T2428)))/W2428,0)</f>
        <v/>
      </c>
      <c r="Z2428">
        <f>IF(ABS(W2428)&gt;1E-12,((LTP3!$D$5)*((P2428)*(V2428)-(U2428)*(R2428))-(S2428)*((S2428)*(V2428)-(U2428)*(T2428))+(LTP3!$D$6)*((S2428)*(R2428)-(P2428)*(T2428)))/W2428,0)</f>
        <v/>
      </c>
      <c r="AA2428">
        <f>LTP3!$D$7-X2428*LTP3!$D$6-Y2428*U2428-Z2428*V2428</f>
        <v/>
      </c>
      <c r="AB2428">
        <f>IF(AND(F2428,ABS(W2428)&gt;1E-12,Y2428&gt;0,Z2428&gt;0),AA2428,1E+300)</f>
        <v/>
      </c>
    </row>
    <row r="2429">
      <c r="A2429">
        <f>$B$3+$B$5*39</f>
        <v/>
      </c>
      <c r="B2429">
        <f>$B$3+$B$5*38</f>
        <v/>
      </c>
      <c r="C2429">
        <f>SUMPRODUCT(Calc!$K$3:$K$22*(Calc!$G$3:$G$22&lt;=A2429))</f>
        <v/>
      </c>
      <c r="D2429">
        <f>SUMPRODUCT(Calc!$K$3:$K$22*(Calc!$G$3:$G$22&gt;A2429)*(Calc!$G$3:$G$22&lt;B2429))</f>
        <v/>
      </c>
      <c r="E2429">
        <f>SUMPRODUCT(Calc!$K$3:$K$22*(Calc!$G$3:$G$22&gt;=B2429))</f>
        <v/>
      </c>
      <c r="F2429">
        <f>AND(k_n&gt;=5,B2429&gt;A2429+1E-9,C2429&gt;=2,D2429&gt;=1,E2429&gt;=2)</f>
        <v/>
      </c>
      <c r="G2429">
        <f>SUMPRODUCT(Calc!$K$3:$K$22*(Calc!$G$3:$G$22&gt;A2429)*(Calc!$G$3:$G$22-A2429))</f>
        <v/>
      </c>
      <c r="H2429">
        <f>SUMPRODUCT(Calc!$K$3:$K$22*(Calc!$G$3:$G$22&gt;B2429)*(Calc!$G$3:$G$22-B2429))</f>
        <v/>
      </c>
      <c r="I2429">
        <f>SUMPRODUCT(Calc!$K$3:$K$22*(Calc!$G$3:$G$22&gt;A2429)*(Calc!$G$3:$G$22-A2429)^2)</f>
        <v/>
      </c>
      <c r="J2429">
        <f>SUMPRODUCT(Calc!$K$3:$K$22*(Calc!$G$3:$G$22&gt;B2429)*(Calc!$G$3:$G$22-B2429)^2)</f>
        <v/>
      </c>
      <c r="K2429">
        <f>SUMPRODUCT(Calc!$K$3:$K$22*(Calc!$G$3:$G$22&gt;A2429)*(Calc!$G$3:$G$22-A2429)*(Calc!$G$3:$G$22&gt;B2429)*(Calc!$G$3:$G$22-B2429))</f>
        <v/>
      </c>
      <c r="L2429">
        <f>SUMPRODUCT(Calc!$K$3:$K$22*(Calc!$G$3:$G$22&gt;A2429)*(Calc!$G$3:$G$22-A2429)*Calc!$G$3:$G$22)</f>
        <v/>
      </c>
      <c r="M2429">
        <f>SUMPRODUCT(Calc!$K$3:$K$22*(Calc!$G$3:$G$22&gt;B2429)*(Calc!$G$3:$G$22-B2429)*Calc!$G$3:$G$22)</f>
        <v/>
      </c>
      <c r="N2429">
        <f>SUMPRODUCT(Calc!$K$3:$K$22*(Calc!$G$3:$G$22&gt;A2429)*(Calc!$G$3:$G$22-A2429)*Calc!$I$3:$I$22)</f>
        <v/>
      </c>
      <c r="O2429">
        <f>SUMPRODUCT(Calc!$K$3:$K$22*(Calc!$G$3:$G$22&gt;B2429)*(Calc!$G$3:$G$22-B2429)*Calc!$I$3:$I$22)</f>
        <v/>
      </c>
      <c r="P2429">
        <f>I2429-G2429^2/k_n</f>
        <v/>
      </c>
      <c r="Q2429">
        <f>J2429-H2429^2/k_n</f>
        <v/>
      </c>
      <c r="R2429">
        <f>K2429-G2429*H2429/k_n</f>
        <v/>
      </c>
      <c r="S2429">
        <f>L2429-LTP3!$D$3*G2429/k_n</f>
        <v/>
      </c>
      <c r="T2429">
        <f>M2429-LTP3!$D$3*H2429/k_n</f>
        <v/>
      </c>
      <c r="U2429">
        <f>N2429-G2429*LTP3!$D$4/k_n</f>
        <v/>
      </c>
      <c r="V2429">
        <f>O2429-H2429*LTP3!$D$4/k_n</f>
        <v/>
      </c>
      <c r="W2429">
        <f>((LTP3!$D$5)*((P2429)*(Q2429)-(R2429)*(R2429))-(S2429)*((S2429)*(Q2429)-(R2429)*(T2429))+(T2429)*((S2429)*(R2429)-(P2429)*(T2429)))</f>
        <v/>
      </c>
      <c r="X2429">
        <f>IF(ABS(W2429)&gt;1E-12,((LTP3!$D$6)*((P2429)*(Q2429)-(R2429)*(R2429))-(S2429)*((U2429)*(Q2429)-(R2429)*(V2429))+(T2429)*((U2429)*(R2429)-(P2429)*(V2429)))/W2429,0)</f>
        <v/>
      </c>
      <c r="Y2429">
        <f>IF(ABS(W2429)&gt;1E-12,((LTP3!$D$5)*((U2429)*(Q2429)-(R2429)*(V2429))-(LTP3!$D$6)*((S2429)*(Q2429)-(R2429)*(T2429))+(T2429)*((S2429)*(V2429)-(U2429)*(T2429)))/W2429,0)</f>
        <v/>
      </c>
      <c r="Z2429">
        <f>IF(ABS(W2429)&gt;1E-12,((LTP3!$D$5)*((P2429)*(V2429)-(U2429)*(R2429))-(S2429)*((S2429)*(V2429)-(U2429)*(T2429))+(LTP3!$D$6)*((S2429)*(R2429)-(P2429)*(T2429)))/W2429,0)</f>
        <v/>
      </c>
      <c r="AA2429">
        <f>LTP3!$D$7-X2429*LTP3!$D$6-Y2429*U2429-Z2429*V2429</f>
        <v/>
      </c>
      <c r="AB2429">
        <f>IF(AND(F2429,ABS(W2429)&gt;1E-12,Y2429&gt;0,Z2429&gt;0),AA2429,1E+300)</f>
        <v/>
      </c>
    </row>
    <row r="2430">
      <c r="A2430">
        <f>$B$3+$B$5*39</f>
        <v/>
      </c>
      <c r="B2430">
        <f>$B$3+$B$5*39</f>
        <v/>
      </c>
      <c r="C2430">
        <f>SUMPRODUCT(Calc!$K$3:$K$22*(Calc!$G$3:$G$22&lt;=A2430))</f>
        <v/>
      </c>
      <c r="D2430">
        <f>SUMPRODUCT(Calc!$K$3:$K$22*(Calc!$G$3:$G$22&gt;A2430)*(Calc!$G$3:$G$22&lt;B2430))</f>
        <v/>
      </c>
      <c r="E2430">
        <f>SUMPRODUCT(Calc!$K$3:$K$22*(Calc!$G$3:$G$22&gt;=B2430))</f>
        <v/>
      </c>
      <c r="F2430">
        <f>AND(k_n&gt;=5,B2430&gt;A2430+1E-9,C2430&gt;=2,D2430&gt;=1,E2430&gt;=2)</f>
        <v/>
      </c>
      <c r="G2430">
        <f>SUMPRODUCT(Calc!$K$3:$K$22*(Calc!$G$3:$G$22&gt;A2430)*(Calc!$G$3:$G$22-A2430))</f>
        <v/>
      </c>
      <c r="H2430">
        <f>SUMPRODUCT(Calc!$K$3:$K$22*(Calc!$G$3:$G$22&gt;B2430)*(Calc!$G$3:$G$22-B2430))</f>
        <v/>
      </c>
      <c r="I2430">
        <f>SUMPRODUCT(Calc!$K$3:$K$22*(Calc!$G$3:$G$22&gt;A2430)*(Calc!$G$3:$G$22-A2430)^2)</f>
        <v/>
      </c>
      <c r="J2430">
        <f>SUMPRODUCT(Calc!$K$3:$K$22*(Calc!$G$3:$G$22&gt;B2430)*(Calc!$G$3:$G$22-B2430)^2)</f>
        <v/>
      </c>
      <c r="K2430">
        <f>SUMPRODUCT(Calc!$K$3:$K$22*(Calc!$G$3:$G$22&gt;A2430)*(Calc!$G$3:$G$22-A2430)*(Calc!$G$3:$G$22&gt;B2430)*(Calc!$G$3:$G$22-B2430))</f>
        <v/>
      </c>
      <c r="L2430">
        <f>SUMPRODUCT(Calc!$K$3:$K$22*(Calc!$G$3:$G$22&gt;A2430)*(Calc!$G$3:$G$22-A2430)*Calc!$G$3:$G$22)</f>
        <v/>
      </c>
      <c r="M2430">
        <f>SUMPRODUCT(Calc!$K$3:$K$22*(Calc!$G$3:$G$22&gt;B2430)*(Calc!$G$3:$G$22-B2430)*Calc!$G$3:$G$22)</f>
        <v/>
      </c>
      <c r="N2430">
        <f>SUMPRODUCT(Calc!$K$3:$K$22*(Calc!$G$3:$G$22&gt;A2430)*(Calc!$G$3:$G$22-A2430)*Calc!$I$3:$I$22)</f>
        <v/>
      </c>
      <c r="O2430">
        <f>SUMPRODUCT(Calc!$K$3:$K$22*(Calc!$G$3:$G$22&gt;B2430)*(Calc!$G$3:$G$22-B2430)*Calc!$I$3:$I$22)</f>
        <v/>
      </c>
      <c r="P2430">
        <f>I2430-G2430^2/k_n</f>
        <v/>
      </c>
      <c r="Q2430">
        <f>J2430-H2430^2/k_n</f>
        <v/>
      </c>
      <c r="R2430">
        <f>K2430-G2430*H2430/k_n</f>
        <v/>
      </c>
      <c r="S2430">
        <f>L2430-LTP3!$D$3*G2430/k_n</f>
        <v/>
      </c>
      <c r="T2430">
        <f>M2430-LTP3!$D$3*H2430/k_n</f>
        <v/>
      </c>
      <c r="U2430">
        <f>N2430-G2430*LTP3!$D$4/k_n</f>
        <v/>
      </c>
      <c r="V2430">
        <f>O2430-H2430*LTP3!$D$4/k_n</f>
        <v/>
      </c>
      <c r="W2430">
        <f>((LTP3!$D$5)*((P2430)*(Q2430)-(R2430)*(R2430))-(S2430)*((S2430)*(Q2430)-(R2430)*(T2430))+(T2430)*((S2430)*(R2430)-(P2430)*(T2430)))</f>
        <v/>
      </c>
      <c r="X2430">
        <f>IF(ABS(W2430)&gt;1E-12,((LTP3!$D$6)*((P2430)*(Q2430)-(R2430)*(R2430))-(S2430)*((U2430)*(Q2430)-(R2430)*(V2430))+(T2430)*((U2430)*(R2430)-(P2430)*(V2430)))/W2430,0)</f>
        <v/>
      </c>
      <c r="Y2430">
        <f>IF(ABS(W2430)&gt;1E-12,((LTP3!$D$5)*((U2430)*(Q2430)-(R2430)*(V2430))-(LTP3!$D$6)*((S2430)*(Q2430)-(R2430)*(T2430))+(T2430)*((S2430)*(V2430)-(U2430)*(T2430)))/W2430,0)</f>
        <v/>
      </c>
      <c r="Z2430">
        <f>IF(ABS(W2430)&gt;1E-12,((LTP3!$D$5)*((P2430)*(V2430)-(U2430)*(R2430))-(S2430)*((S2430)*(V2430)-(U2430)*(T2430))+(LTP3!$D$6)*((S2430)*(R2430)-(P2430)*(T2430)))/W2430,0)</f>
        <v/>
      </c>
      <c r="AA2430">
        <f>LTP3!$D$7-X2430*LTP3!$D$6-Y2430*U2430-Z2430*V2430</f>
        <v/>
      </c>
      <c r="AB2430">
        <f>IF(AND(F2430,ABS(W2430)&gt;1E-12,Y2430&gt;0,Z2430&gt;0),AA2430,1E+300)</f>
        <v/>
      </c>
    </row>
    <row r="2431">
      <c r="A2431">
        <f>$B$3+$B$5*39</f>
        <v/>
      </c>
      <c r="B2431">
        <f>$B$3+$B$5*40</f>
        <v/>
      </c>
      <c r="C2431">
        <f>SUMPRODUCT(Calc!$K$3:$K$22*(Calc!$G$3:$G$22&lt;=A2431))</f>
        <v/>
      </c>
      <c r="D2431">
        <f>SUMPRODUCT(Calc!$K$3:$K$22*(Calc!$G$3:$G$22&gt;A2431)*(Calc!$G$3:$G$22&lt;B2431))</f>
        <v/>
      </c>
      <c r="E2431">
        <f>SUMPRODUCT(Calc!$K$3:$K$22*(Calc!$G$3:$G$22&gt;=B2431))</f>
        <v/>
      </c>
      <c r="F2431">
        <f>AND(k_n&gt;=5,B2431&gt;A2431+1E-9,C2431&gt;=2,D2431&gt;=1,E2431&gt;=2)</f>
        <v/>
      </c>
      <c r="G2431">
        <f>SUMPRODUCT(Calc!$K$3:$K$22*(Calc!$G$3:$G$22&gt;A2431)*(Calc!$G$3:$G$22-A2431))</f>
        <v/>
      </c>
      <c r="H2431">
        <f>SUMPRODUCT(Calc!$K$3:$K$22*(Calc!$G$3:$G$22&gt;B2431)*(Calc!$G$3:$G$22-B2431))</f>
        <v/>
      </c>
      <c r="I2431">
        <f>SUMPRODUCT(Calc!$K$3:$K$22*(Calc!$G$3:$G$22&gt;A2431)*(Calc!$G$3:$G$22-A2431)^2)</f>
        <v/>
      </c>
      <c r="J2431">
        <f>SUMPRODUCT(Calc!$K$3:$K$22*(Calc!$G$3:$G$22&gt;B2431)*(Calc!$G$3:$G$22-B2431)^2)</f>
        <v/>
      </c>
      <c r="K2431">
        <f>SUMPRODUCT(Calc!$K$3:$K$22*(Calc!$G$3:$G$22&gt;A2431)*(Calc!$G$3:$G$22-A2431)*(Calc!$G$3:$G$22&gt;B2431)*(Calc!$G$3:$G$22-B2431))</f>
        <v/>
      </c>
      <c r="L2431">
        <f>SUMPRODUCT(Calc!$K$3:$K$22*(Calc!$G$3:$G$22&gt;A2431)*(Calc!$G$3:$G$22-A2431)*Calc!$G$3:$G$22)</f>
        <v/>
      </c>
      <c r="M2431">
        <f>SUMPRODUCT(Calc!$K$3:$K$22*(Calc!$G$3:$G$22&gt;B2431)*(Calc!$G$3:$G$22-B2431)*Calc!$G$3:$G$22)</f>
        <v/>
      </c>
      <c r="N2431">
        <f>SUMPRODUCT(Calc!$K$3:$K$22*(Calc!$G$3:$G$22&gt;A2431)*(Calc!$G$3:$G$22-A2431)*Calc!$I$3:$I$22)</f>
        <v/>
      </c>
      <c r="O2431">
        <f>SUMPRODUCT(Calc!$K$3:$K$22*(Calc!$G$3:$G$22&gt;B2431)*(Calc!$G$3:$G$22-B2431)*Calc!$I$3:$I$22)</f>
        <v/>
      </c>
      <c r="P2431">
        <f>I2431-G2431^2/k_n</f>
        <v/>
      </c>
      <c r="Q2431">
        <f>J2431-H2431^2/k_n</f>
        <v/>
      </c>
      <c r="R2431">
        <f>K2431-G2431*H2431/k_n</f>
        <v/>
      </c>
      <c r="S2431">
        <f>L2431-LTP3!$D$3*G2431/k_n</f>
        <v/>
      </c>
      <c r="T2431">
        <f>M2431-LTP3!$D$3*H2431/k_n</f>
        <v/>
      </c>
      <c r="U2431">
        <f>N2431-G2431*LTP3!$D$4/k_n</f>
        <v/>
      </c>
      <c r="V2431">
        <f>O2431-H2431*LTP3!$D$4/k_n</f>
        <v/>
      </c>
      <c r="W2431">
        <f>((LTP3!$D$5)*((P2431)*(Q2431)-(R2431)*(R2431))-(S2431)*((S2431)*(Q2431)-(R2431)*(T2431))+(T2431)*((S2431)*(R2431)-(P2431)*(T2431)))</f>
        <v/>
      </c>
      <c r="X2431">
        <f>IF(ABS(W2431)&gt;1E-12,((LTP3!$D$6)*((P2431)*(Q2431)-(R2431)*(R2431))-(S2431)*((U2431)*(Q2431)-(R2431)*(V2431))+(T2431)*((U2431)*(R2431)-(P2431)*(V2431)))/W2431,0)</f>
        <v/>
      </c>
      <c r="Y2431">
        <f>IF(ABS(W2431)&gt;1E-12,((LTP3!$D$5)*((U2431)*(Q2431)-(R2431)*(V2431))-(LTP3!$D$6)*((S2431)*(Q2431)-(R2431)*(T2431))+(T2431)*((S2431)*(V2431)-(U2431)*(T2431)))/W2431,0)</f>
        <v/>
      </c>
      <c r="Z2431">
        <f>IF(ABS(W2431)&gt;1E-12,((LTP3!$D$5)*((P2431)*(V2431)-(U2431)*(R2431))-(S2431)*((S2431)*(V2431)-(U2431)*(T2431))+(LTP3!$D$6)*((S2431)*(R2431)-(P2431)*(T2431)))/W2431,0)</f>
        <v/>
      </c>
      <c r="AA2431">
        <f>LTP3!$D$7-X2431*LTP3!$D$6-Y2431*U2431-Z2431*V2431</f>
        <v/>
      </c>
      <c r="AB2431">
        <f>IF(AND(F2431,ABS(W2431)&gt;1E-12,Y2431&gt;0,Z2431&gt;0),AA2431,1E+300)</f>
        <v/>
      </c>
    </row>
    <row r="2432">
      <c r="A2432">
        <f>$B$3+$B$5*39</f>
        <v/>
      </c>
      <c r="B2432">
        <f>$B$3+$B$5*41</f>
        <v/>
      </c>
      <c r="C2432">
        <f>SUMPRODUCT(Calc!$K$3:$K$22*(Calc!$G$3:$G$22&lt;=A2432))</f>
        <v/>
      </c>
      <c r="D2432">
        <f>SUMPRODUCT(Calc!$K$3:$K$22*(Calc!$G$3:$G$22&gt;A2432)*(Calc!$G$3:$G$22&lt;B2432))</f>
        <v/>
      </c>
      <c r="E2432">
        <f>SUMPRODUCT(Calc!$K$3:$K$22*(Calc!$G$3:$G$22&gt;=B2432))</f>
        <v/>
      </c>
      <c r="F2432">
        <f>AND(k_n&gt;=5,B2432&gt;A2432+1E-9,C2432&gt;=2,D2432&gt;=1,E2432&gt;=2)</f>
        <v/>
      </c>
      <c r="G2432">
        <f>SUMPRODUCT(Calc!$K$3:$K$22*(Calc!$G$3:$G$22&gt;A2432)*(Calc!$G$3:$G$22-A2432))</f>
        <v/>
      </c>
      <c r="H2432">
        <f>SUMPRODUCT(Calc!$K$3:$K$22*(Calc!$G$3:$G$22&gt;B2432)*(Calc!$G$3:$G$22-B2432))</f>
        <v/>
      </c>
      <c r="I2432">
        <f>SUMPRODUCT(Calc!$K$3:$K$22*(Calc!$G$3:$G$22&gt;A2432)*(Calc!$G$3:$G$22-A2432)^2)</f>
        <v/>
      </c>
      <c r="J2432">
        <f>SUMPRODUCT(Calc!$K$3:$K$22*(Calc!$G$3:$G$22&gt;B2432)*(Calc!$G$3:$G$22-B2432)^2)</f>
        <v/>
      </c>
      <c r="K2432">
        <f>SUMPRODUCT(Calc!$K$3:$K$22*(Calc!$G$3:$G$22&gt;A2432)*(Calc!$G$3:$G$22-A2432)*(Calc!$G$3:$G$22&gt;B2432)*(Calc!$G$3:$G$22-B2432))</f>
        <v/>
      </c>
      <c r="L2432">
        <f>SUMPRODUCT(Calc!$K$3:$K$22*(Calc!$G$3:$G$22&gt;A2432)*(Calc!$G$3:$G$22-A2432)*Calc!$G$3:$G$22)</f>
        <v/>
      </c>
      <c r="M2432">
        <f>SUMPRODUCT(Calc!$K$3:$K$22*(Calc!$G$3:$G$22&gt;B2432)*(Calc!$G$3:$G$22-B2432)*Calc!$G$3:$G$22)</f>
        <v/>
      </c>
      <c r="N2432">
        <f>SUMPRODUCT(Calc!$K$3:$K$22*(Calc!$G$3:$G$22&gt;A2432)*(Calc!$G$3:$G$22-A2432)*Calc!$I$3:$I$22)</f>
        <v/>
      </c>
      <c r="O2432">
        <f>SUMPRODUCT(Calc!$K$3:$K$22*(Calc!$G$3:$G$22&gt;B2432)*(Calc!$G$3:$G$22-B2432)*Calc!$I$3:$I$22)</f>
        <v/>
      </c>
      <c r="P2432">
        <f>I2432-G2432^2/k_n</f>
        <v/>
      </c>
      <c r="Q2432">
        <f>J2432-H2432^2/k_n</f>
        <v/>
      </c>
      <c r="R2432">
        <f>K2432-G2432*H2432/k_n</f>
        <v/>
      </c>
      <c r="S2432">
        <f>L2432-LTP3!$D$3*G2432/k_n</f>
        <v/>
      </c>
      <c r="T2432">
        <f>M2432-LTP3!$D$3*H2432/k_n</f>
        <v/>
      </c>
      <c r="U2432">
        <f>N2432-G2432*LTP3!$D$4/k_n</f>
        <v/>
      </c>
      <c r="V2432">
        <f>O2432-H2432*LTP3!$D$4/k_n</f>
        <v/>
      </c>
      <c r="W2432">
        <f>((LTP3!$D$5)*((P2432)*(Q2432)-(R2432)*(R2432))-(S2432)*((S2432)*(Q2432)-(R2432)*(T2432))+(T2432)*((S2432)*(R2432)-(P2432)*(T2432)))</f>
        <v/>
      </c>
      <c r="X2432">
        <f>IF(ABS(W2432)&gt;1E-12,((LTP3!$D$6)*((P2432)*(Q2432)-(R2432)*(R2432))-(S2432)*((U2432)*(Q2432)-(R2432)*(V2432))+(T2432)*((U2432)*(R2432)-(P2432)*(V2432)))/W2432,0)</f>
        <v/>
      </c>
      <c r="Y2432">
        <f>IF(ABS(W2432)&gt;1E-12,((LTP3!$D$5)*((U2432)*(Q2432)-(R2432)*(V2432))-(LTP3!$D$6)*((S2432)*(Q2432)-(R2432)*(T2432))+(T2432)*((S2432)*(V2432)-(U2432)*(T2432)))/W2432,0)</f>
        <v/>
      </c>
      <c r="Z2432">
        <f>IF(ABS(W2432)&gt;1E-12,((LTP3!$D$5)*((P2432)*(V2432)-(U2432)*(R2432))-(S2432)*((S2432)*(V2432)-(U2432)*(T2432))+(LTP3!$D$6)*((S2432)*(R2432)-(P2432)*(T2432)))/W2432,0)</f>
        <v/>
      </c>
      <c r="AA2432">
        <f>LTP3!$D$7-X2432*LTP3!$D$6-Y2432*U2432-Z2432*V2432</f>
        <v/>
      </c>
      <c r="AB2432">
        <f>IF(AND(F2432,ABS(W2432)&gt;1E-12,Y2432&gt;0,Z2432&gt;0),AA2432,1E+300)</f>
        <v/>
      </c>
    </row>
    <row r="2433">
      <c r="A2433">
        <f>$B$3+$B$5*39</f>
        <v/>
      </c>
      <c r="B2433">
        <f>$B$3+$B$5*42</f>
        <v/>
      </c>
      <c r="C2433">
        <f>SUMPRODUCT(Calc!$K$3:$K$22*(Calc!$G$3:$G$22&lt;=A2433))</f>
        <v/>
      </c>
      <c r="D2433">
        <f>SUMPRODUCT(Calc!$K$3:$K$22*(Calc!$G$3:$G$22&gt;A2433)*(Calc!$G$3:$G$22&lt;B2433))</f>
        <v/>
      </c>
      <c r="E2433">
        <f>SUMPRODUCT(Calc!$K$3:$K$22*(Calc!$G$3:$G$22&gt;=B2433))</f>
        <v/>
      </c>
      <c r="F2433">
        <f>AND(k_n&gt;=5,B2433&gt;A2433+1E-9,C2433&gt;=2,D2433&gt;=1,E2433&gt;=2)</f>
        <v/>
      </c>
      <c r="G2433">
        <f>SUMPRODUCT(Calc!$K$3:$K$22*(Calc!$G$3:$G$22&gt;A2433)*(Calc!$G$3:$G$22-A2433))</f>
        <v/>
      </c>
      <c r="H2433">
        <f>SUMPRODUCT(Calc!$K$3:$K$22*(Calc!$G$3:$G$22&gt;B2433)*(Calc!$G$3:$G$22-B2433))</f>
        <v/>
      </c>
      <c r="I2433">
        <f>SUMPRODUCT(Calc!$K$3:$K$22*(Calc!$G$3:$G$22&gt;A2433)*(Calc!$G$3:$G$22-A2433)^2)</f>
        <v/>
      </c>
      <c r="J2433">
        <f>SUMPRODUCT(Calc!$K$3:$K$22*(Calc!$G$3:$G$22&gt;B2433)*(Calc!$G$3:$G$22-B2433)^2)</f>
        <v/>
      </c>
      <c r="K2433">
        <f>SUMPRODUCT(Calc!$K$3:$K$22*(Calc!$G$3:$G$22&gt;A2433)*(Calc!$G$3:$G$22-A2433)*(Calc!$G$3:$G$22&gt;B2433)*(Calc!$G$3:$G$22-B2433))</f>
        <v/>
      </c>
      <c r="L2433">
        <f>SUMPRODUCT(Calc!$K$3:$K$22*(Calc!$G$3:$G$22&gt;A2433)*(Calc!$G$3:$G$22-A2433)*Calc!$G$3:$G$22)</f>
        <v/>
      </c>
      <c r="M2433">
        <f>SUMPRODUCT(Calc!$K$3:$K$22*(Calc!$G$3:$G$22&gt;B2433)*(Calc!$G$3:$G$22-B2433)*Calc!$G$3:$G$22)</f>
        <v/>
      </c>
      <c r="N2433">
        <f>SUMPRODUCT(Calc!$K$3:$K$22*(Calc!$G$3:$G$22&gt;A2433)*(Calc!$G$3:$G$22-A2433)*Calc!$I$3:$I$22)</f>
        <v/>
      </c>
      <c r="O2433">
        <f>SUMPRODUCT(Calc!$K$3:$K$22*(Calc!$G$3:$G$22&gt;B2433)*(Calc!$G$3:$G$22-B2433)*Calc!$I$3:$I$22)</f>
        <v/>
      </c>
      <c r="P2433">
        <f>I2433-G2433^2/k_n</f>
        <v/>
      </c>
      <c r="Q2433">
        <f>J2433-H2433^2/k_n</f>
        <v/>
      </c>
      <c r="R2433">
        <f>K2433-G2433*H2433/k_n</f>
        <v/>
      </c>
      <c r="S2433">
        <f>L2433-LTP3!$D$3*G2433/k_n</f>
        <v/>
      </c>
      <c r="T2433">
        <f>M2433-LTP3!$D$3*H2433/k_n</f>
        <v/>
      </c>
      <c r="U2433">
        <f>N2433-G2433*LTP3!$D$4/k_n</f>
        <v/>
      </c>
      <c r="V2433">
        <f>O2433-H2433*LTP3!$D$4/k_n</f>
        <v/>
      </c>
      <c r="W2433">
        <f>((LTP3!$D$5)*((P2433)*(Q2433)-(R2433)*(R2433))-(S2433)*((S2433)*(Q2433)-(R2433)*(T2433))+(T2433)*((S2433)*(R2433)-(P2433)*(T2433)))</f>
        <v/>
      </c>
      <c r="X2433">
        <f>IF(ABS(W2433)&gt;1E-12,((LTP3!$D$6)*((P2433)*(Q2433)-(R2433)*(R2433))-(S2433)*((U2433)*(Q2433)-(R2433)*(V2433))+(T2433)*((U2433)*(R2433)-(P2433)*(V2433)))/W2433,0)</f>
        <v/>
      </c>
      <c r="Y2433">
        <f>IF(ABS(W2433)&gt;1E-12,((LTP3!$D$5)*((U2433)*(Q2433)-(R2433)*(V2433))-(LTP3!$D$6)*((S2433)*(Q2433)-(R2433)*(T2433))+(T2433)*((S2433)*(V2433)-(U2433)*(T2433)))/W2433,0)</f>
        <v/>
      </c>
      <c r="Z2433">
        <f>IF(ABS(W2433)&gt;1E-12,((LTP3!$D$5)*((P2433)*(V2433)-(U2433)*(R2433))-(S2433)*((S2433)*(V2433)-(U2433)*(T2433))+(LTP3!$D$6)*((S2433)*(R2433)-(P2433)*(T2433)))/W2433,0)</f>
        <v/>
      </c>
      <c r="AA2433">
        <f>LTP3!$D$7-X2433*LTP3!$D$6-Y2433*U2433-Z2433*V2433</f>
        <v/>
      </c>
      <c r="AB2433">
        <f>IF(AND(F2433,ABS(W2433)&gt;1E-12,Y2433&gt;0,Z2433&gt;0),AA2433,1E+300)</f>
        <v/>
      </c>
    </row>
    <row r="2434">
      <c r="A2434">
        <f>$B$3+$B$5*39</f>
        <v/>
      </c>
      <c r="B2434">
        <f>$B$3+$B$5*43</f>
        <v/>
      </c>
      <c r="C2434">
        <f>SUMPRODUCT(Calc!$K$3:$K$22*(Calc!$G$3:$G$22&lt;=A2434))</f>
        <v/>
      </c>
      <c r="D2434">
        <f>SUMPRODUCT(Calc!$K$3:$K$22*(Calc!$G$3:$G$22&gt;A2434)*(Calc!$G$3:$G$22&lt;B2434))</f>
        <v/>
      </c>
      <c r="E2434">
        <f>SUMPRODUCT(Calc!$K$3:$K$22*(Calc!$G$3:$G$22&gt;=B2434))</f>
        <v/>
      </c>
      <c r="F2434">
        <f>AND(k_n&gt;=5,B2434&gt;A2434+1E-9,C2434&gt;=2,D2434&gt;=1,E2434&gt;=2)</f>
        <v/>
      </c>
      <c r="G2434">
        <f>SUMPRODUCT(Calc!$K$3:$K$22*(Calc!$G$3:$G$22&gt;A2434)*(Calc!$G$3:$G$22-A2434))</f>
        <v/>
      </c>
      <c r="H2434">
        <f>SUMPRODUCT(Calc!$K$3:$K$22*(Calc!$G$3:$G$22&gt;B2434)*(Calc!$G$3:$G$22-B2434))</f>
        <v/>
      </c>
      <c r="I2434">
        <f>SUMPRODUCT(Calc!$K$3:$K$22*(Calc!$G$3:$G$22&gt;A2434)*(Calc!$G$3:$G$22-A2434)^2)</f>
        <v/>
      </c>
      <c r="J2434">
        <f>SUMPRODUCT(Calc!$K$3:$K$22*(Calc!$G$3:$G$22&gt;B2434)*(Calc!$G$3:$G$22-B2434)^2)</f>
        <v/>
      </c>
      <c r="K2434">
        <f>SUMPRODUCT(Calc!$K$3:$K$22*(Calc!$G$3:$G$22&gt;A2434)*(Calc!$G$3:$G$22-A2434)*(Calc!$G$3:$G$22&gt;B2434)*(Calc!$G$3:$G$22-B2434))</f>
        <v/>
      </c>
      <c r="L2434">
        <f>SUMPRODUCT(Calc!$K$3:$K$22*(Calc!$G$3:$G$22&gt;A2434)*(Calc!$G$3:$G$22-A2434)*Calc!$G$3:$G$22)</f>
        <v/>
      </c>
      <c r="M2434">
        <f>SUMPRODUCT(Calc!$K$3:$K$22*(Calc!$G$3:$G$22&gt;B2434)*(Calc!$G$3:$G$22-B2434)*Calc!$G$3:$G$22)</f>
        <v/>
      </c>
      <c r="N2434">
        <f>SUMPRODUCT(Calc!$K$3:$K$22*(Calc!$G$3:$G$22&gt;A2434)*(Calc!$G$3:$G$22-A2434)*Calc!$I$3:$I$22)</f>
        <v/>
      </c>
      <c r="O2434">
        <f>SUMPRODUCT(Calc!$K$3:$K$22*(Calc!$G$3:$G$22&gt;B2434)*(Calc!$G$3:$G$22-B2434)*Calc!$I$3:$I$22)</f>
        <v/>
      </c>
      <c r="P2434">
        <f>I2434-G2434^2/k_n</f>
        <v/>
      </c>
      <c r="Q2434">
        <f>J2434-H2434^2/k_n</f>
        <v/>
      </c>
      <c r="R2434">
        <f>K2434-G2434*H2434/k_n</f>
        <v/>
      </c>
      <c r="S2434">
        <f>L2434-LTP3!$D$3*G2434/k_n</f>
        <v/>
      </c>
      <c r="T2434">
        <f>M2434-LTP3!$D$3*H2434/k_n</f>
        <v/>
      </c>
      <c r="U2434">
        <f>N2434-G2434*LTP3!$D$4/k_n</f>
        <v/>
      </c>
      <c r="V2434">
        <f>O2434-H2434*LTP3!$D$4/k_n</f>
        <v/>
      </c>
      <c r="W2434">
        <f>((LTP3!$D$5)*((P2434)*(Q2434)-(R2434)*(R2434))-(S2434)*((S2434)*(Q2434)-(R2434)*(T2434))+(T2434)*((S2434)*(R2434)-(P2434)*(T2434)))</f>
        <v/>
      </c>
      <c r="X2434">
        <f>IF(ABS(W2434)&gt;1E-12,((LTP3!$D$6)*((P2434)*(Q2434)-(R2434)*(R2434))-(S2434)*((U2434)*(Q2434)-(R2434)*(V2434))+(T2434)*((U2434)*(R2434)-(P2434)*(V2434)))/W2434,0)</f>
        <v/>
      </c>
      <c r="Y2434">
        <f>IF(ABS(W2434)&gt;1E-12,((LTP3!$D$5)*((U2434)*(Q2434)-(R2434)*(V2434))-(LTP3!$D$6)*((S2434)*(Q2434)-(R2434)*(T2434))+(T2434)*((S2434)*(V2434)-(U2434)*(T2434)))/W2434,0)</f>
        <v/>
      </c>
      <c r="Z2434">
        <f>IF(ABS(W2434)&gt;1E-12,((LTP3!$D$5)*((P2434)*(V2434)-(U2434)*(R2434))-(S2434)*((S2434)*(V2434)-(U2434)*(T2434))+(LTP3!$D$6)*((S2434)*(R2434)-(P2434)*(T2434)))/W2434,0)</f>
        <v/>
      </c>
      <c r="AA2434">
        <f>LTP3!$D$7-X2434*LTP3!$D$6-Y2434*U2434-Z2434*V2434</f>
        <v/>
      </c>
      <c r="AB2434">
        <f>IF(AND(F2434,ABS(W2434)&gt;1E-12,Y2434&gt;0,Z2434&gt;0),AA2434,1E+300)</f>
        <v/>
      </c>
    </row>
    <row r="2435">
      <c r="A2435">
        <f>$B$3+$B$5*39</f>
        <v/>
      </c>
      <c r="B2435">
        <f>$B$3+$B$5*44</f>
        <v/>
      </c>
      <c r="C2435">
        <f>SUMPRODUCT(Calc!$K$3:$K$22*(Calc!$G$3:$G$22&lt;=A2435))</f>
        <v/>
      </c>
      <c r="D2435">
        <f>SUMPRODUCT(Calc!$K$3:$K$22*(Calc!$G$3:$G$22&gt;A2435)*(Calc!$G$3:$G$22&lt;B2435))</f>
        <v/>
      </c>
      <c r="E2435">
        <f>SUMPRODUCT(Calc!$K$3:$K$22*(Calc!$G$3:$G$22&gt;=B2435))</f>
        <v/>
      </c>
      <c r="F2435">
        <f>AND(k_n&gt;=5,B2435&gt;A2435+1E-9,C2435&gt;=2,D2435&gt;=1,E2435&gt;=2)</f>
        <v/>
      </c>
      <c r="G2435">
        <f>SUMPRODUCT(Calc!$K$3:$K$22*(Calc!$G$3:$G$22&gt;A2435)*(Calc!$G$3:$G$22-A2435))</f>
        <v/>
      </c>
      <c r="H2435">
        <f>SUMPRODUCT(Calc!$K$3:$K$22*(Calc!$G$3:$G$22&gt;B2435)*(Calc!$G$3:$G$22-B2435))</f>
        <v/>
      </c>
      <c r="I2435">
        <f>SUMPRODUCT(Calc!$K$3:$K$22*(Calc!$G$3:$G$22&gt;A2435)*(Calc!$G$3:$G$22-A2435)^2)</f>
        <v/>
      </c>
      <c r="J2435">
        <f>SUMPRODUCT(Calc!$K$3:$K$22*(Calc!$G$3:$G$22&gt;B2435)*(Calc!$G$3:$G$22-B2435)^2)</f>
        <v/>
      </c>
      <c r="K2435">
        <f>SUMPRODUCT(Calc!$K$3:$K$22*(Calc!$G$3:$G$22&gt;A2435)*(Calc!$G$3:$G$22-A2435)*(Calc!$G$3:$G$22&gt;B2435)*(Calc!$G$3:$G$22-B2435))</f>
        <v/>
      </c>
      <c r="L2435">
        <f>SUMPRODUCT(Calc!$K$3:$K$22*(Calc!$G$3:$G$22&gt;A2435)*(Calc!$G$3:$G$22-A2435)*Calc!$G$3:$G$22)</f>
        <v/>
      </c>
      <c r="M2435">
        <f>SUMPRODUCT(Calc!$K$3:$K$22*(Calc!$G$3:$G$22&gt;B2435)*(Calc!$G$3:$G$22-B2435)*Calc!$G$3:$G$22)</f>
        <v/>
      </c>
      <c r="N2435">
        <f>SUMPRODUCT(Calc!$K$3:$K$22*(Calc!$G$3:$G$22&gt;A2435)*(Calc!$G$3:$G$22-A2435)*Calc!$I$3:$I$22)</f>
        <v/>
      </c>
      <c r="O2435">
        <f>SUMPRODUCT(Calc!$K$3:$K$22*(Calc!$G$3:$G$22&gt;B2435)*(Calc!$G$3:$G$22-B2435)*Calc!$I$3:$I$22)</f>
        <v/>
      </c>
      <c r="P2435">
        <f>I2435-G2435^2/k_n</f>
        <v/>
      </c>
      <c r="Q2435">
        <f>J2435-H2435^2/k_n</f>
        <v/>
      </c>
      <c r="R2435">
        <f>K2435-G2435*H2435/k_n</f>
        <v/>
      </c>
      <c r="S2435">
        <f>L2435-LTP3!$D$3*G2435/k_n</f>
        <v/>
      </c>
      <c r="T2435">
        <f>M2435-LTP3!$D$3*H2435/k_n</f>
        <v/>
      </c>
      <c r="U2435">
        <f>N2435-G2435*LTP3!$D$4/k_n</f>
        <v/>
      </c>
      <c r="V2435">
        <f>O2435-H2435*LTP3!$D$4/k_n</f>
        <v/>
      </c>
      <c r="W2435">
        <f>((LTP3!$D$5)*((P2435)*(Q2435)-(R2435)*(R2435))-(S2435)*((S2435)*(Q2435)-(R2435)*(T2435))+(T2435)*((S2435)*(R2435)-(P2435)*(T2435)))</f>
        <v/>
      </c>
      <c r="X2435">
        <f>IF(ABS(W2435)&gt;1E-12,((LTP3!$D$6)*((P2435)*(Q2435)-(R2435)*(R2435))-(S2435)*((U2435)*(Q2435)-(R2435)*(V2435))+(T2435)*((U2435)*(R2435)-(P2435)*(V2435)))/W2435,0)</f>
        <v/>
      </c>
      <c r="Y2435">
        <f>IF(ABS(W2435)&gt;1E-12,((LTP3!$D$5)*((U2435)*(Q2435)-(R2435)*(V2435))-(LTP3!$D$6)*((S2435)*(Q2435)-(R2435)*(T2435))+(T2435)*((S2435)*(V2435)-(U2435)*(T2435)))/W2435,0)</f>
        <v/>
      </c>
      <c r="Z2435">
        <f>IF(ABS(W2435)&gt;1E-12,((LTP3!$D$5)*((P2435)*(V2435)-(U2435)*(R2435))-(S2435)*((S2435)*(V2435)-(U2435)*(T2435))+(LTP3!$D$6)*((S2435)*(R2435)-(P2435)*(T2435)))/W2435,0)</f>
        <v/>
      </c>
      <c r="AA2435">
        <f>LTP3!$D$7-X2435*LTP3!$D$6-Y2435*U2435-Z2435*V2435</f>
        <v/>
      </c>
      <c r="AB2435">
        <f>IF(AND(F2435,ABS(W2435)&gt;1E-12,Y2435&gt;0,Z2435&gt;0),AA2435,1E+300)</f>
        <v/>
      </c>
    </row>
    <row r="2436">
      <c r="A2436">
        <f>$B$3+$B$5*39</f>
        <v/>
      </c>
      <c r="B2436">
        <f>$B$3+$B$5*45</f>
        <v/>
      </c>
      <c r="C2436">
        <f>SUMPRODUCT(Calc!$K$3:$K$22*(Calc!$G$3:$G$22&lt;=A2436))</f>
        <v/>
      </c>
      <c r="D2436">
        <f>SUMPRODUCT(Calc!$K$3:$K$22*(Calc!$G$3:$G$22&gt;A2436)*(Calc!$G$3:$G$22&lt;B2436))</f>
        <v/>
      </c>
      <c r="E2436">
        <f>SUMPRODUCT(Calc!$K$3:$K$22*(Calc!$G$3:$G$22&gt;=B2436))</f>
        <v/>
      </c>
      <c r="F2436">
        <f>AND(k_n&gt;=5,B2436&gt;A2436+1E-9,C2436&gt;=2,D2436&gt;=1,E2436&gt;=2)</f>
        <v/>
      </c>
      <c r="G2436">
        <f>SUMPRODUCT(Calc!$K$3:$K$22*(Calc!$G$3:$G$22&gt;A2436)*(Calc!$G$3:$G$22-A2436))</f>
        <v/>
      </c>
      <c r="H2436">
        <f>SUMPRODUCT(Calc!$K$3:$K$22*(Calc!$G$3:$G$22&gt;B2436)*(Calc!$G$3:$G$22-B2436))</f>
        <v/>
      </c>
      <c r="I2436">
        <f>SUMPRODUCT(Calc!$K$3:$K$22*(Calc!$G$3:$G$22&gt;A2436)*(Calc!$G$3:$G$22-A2436)^2)</f>
        <v/>
      </c>
      <c r="J2436">
        <f>SUMPRODUCT(Calc!$K$3:$K$22*(Calc!$G$3:$G$22&gt;B2436)*(Calc!$G$3:$G$22-B2436)^2)</f>
        <v/>
      </c>
      <c r="K2436">
        <f>SUMPRODUCT(Calc!$K$3:$K$22*(Calc!$G$3:$G$22&gt;A2436)*(Calc!$G$3:$G$22-A2436)*(Calc!$G$3:$G$22&gt;B2436)*(Calc!$G$3:$G$22-B2436))</f>
        <v/>
      </c>
      <c r="L2436">
        <f>SUMPRODUCT(Calc!$K$3:$K$22*(Calc!$G$3:$G$22&gt;A2436)*(Calc!$G$3:$G$22-A2436)*Calc!$G$3:$G$22)</f>
        <v/>
      </c>
      <c r="M2436">
        <f>SUMPRODUCT(Calc!$K$3:$K$22*(Calc!$G$3:$G$22&gt;B2436)*(Calc!$G$3:$G$22-B2436)*Calc!$G$3:$G$22)</f>
        <v/>
      </c>
      <c r="N2436">
        <f>SUMPRODUCT(Calc!$K$3:$K$22*(Calc!$G$3:$G$22&gt;A2436)*(Calc!$G$3:$G$22-A2436)*Calc!$I$3:$I$22)</f>
        <v/>
      </c>
      <c r="O2436">
        <f>SUMPRODUCT(Calc!$K$3:$K$22*(Calc!$G$3:$G$22&gt;B2436)*(Calc!$G$3:$G$22-B2436)*Calc!$I$3:$I$22)</f>
        <v/>
      </c>
      <c r="P2436">
        <f>I2436-G2436^2/k_n</f>
        <v/>
      </c>
      <c r="Q2436">
        <f>J2436-H2436^2/k_n</f>
        <v/>
      </c>
      <c r="R2436">
        <f>K2436-G2436*H2436/k_n</f>
        <v/>
      </c>
      <c r="S2436">
        <f>L2436-LTP3!$D$3*G2436/k_n</f>
        <v/>
      </c>
      <c r="T2436">
        <f>M2436-LTP3!$D$3*H2436/k_n</f>
        <v/>
      </c>
      <c r="U2436">
        <f>N2436-G2436*LTP3!$D$4/k_n</f>
        <v/>
      </c>
      <c r="V2436">
        <f>O2436-H2436*LTP3!$D$4/k_n</f>
        <v/>
      </c>
      <c r="W2436">
        <f>((LTP3!$D$5)*((P2436)*(Q2436)-(R2436)*(R2436))-(S2436)*((S2436)*(Q2436)-(R2436)*(T2436))+(T2436)*((S2436)*(R2436)-(P2436)*(T2436)))</f>
        <v/>
      </c>
      <c r="X2436">
        <f>IF(ABS(W2436)&gt;1E-12,((LTP3!$D$6)*((P2436)*(Q2436)-(R2436)*(R2436))-(S2436)*((U2436)*(Q2436)-(R2436)*(V2436))+(T2436)*((U2436)*(R2436)-(P2436)*(V2436)))/W2436,0)</f>
        <v/>
      </c>
      <c r="Y2436">
        <f>IF(ABS(W2436)&gt;1E-12,((LTP3!$D$5)*((U2436)*(Q2436)-(R2436)*(V2436))-(LTP3!$D$6)*((S2436)*(Q2436)-(R2436)*(T2436))+(T2436)*((S2436)*(V2436)-(U2436)*(T2436)))/W2436,0)</f>
        <v/>
      </c>
      <c r="Z2436">
        <f>IF(ABS(W2436)&gt;1E-12,((LTP3!$D$5)*((P2436)*(V2436)-(U2436)*(R2436))-(S2436)*((S2436)*(V2436)-(U2436)*(T2436))+(LTP3!$D$6)*((S2436)*(R2436)-(P2436)*(T2436)))/W2436,0)</f>
        <v/>
      </c>
      <c r="AA2436">
        <f>LTP3!$D$7-X2436*LTP3!$D$6-Y2436*U2436-Z2436*V2436</f>
        <v/>
      </c>
      <c r="AB2436">
        <f>IF(AND(F2436,ABS(W2436)&gt;1E-12,Y2436&gt;0,Z2436&gt;0),AA2436,1E+300)</f>
        <v/>
      </c>
    </row>
    <row r="2437">
      <c r="A2437">
        <f>$B$3+$B$5*39</f>
        <v/>
      </c>
      <c r="B2437">
        <f>$B$3+$B$5*46</f>
        <v/>
      </c>
      <c r="C2437">
        <f>SUMPRODUCT(Calc!$K$3:$K$22*(Calc!$G$3:$G$22&lt;=A2437))</f>
        <v/>
      </c>
      <c r="D2437">
        <f>SUMPRODUCT(Calc!$K$3:$K$22*(Calc!$G$3:$G$22&gt;A2437)*(Calc!$G$3:$G$22&lt;B2437))</f>
        <v/>
      </c>
      <c r="E2437">
        <f>SUMPRODUCT(Calc!$K$3:$K$22*(Calc!$G$3:$G$22&gt;=B2437))</f>
        <v/>
      </c>
      <c r="F2437">
        <f>AND(k_n&gt;=5,B2437&gt;A2437+1E-9,C2437&gt;=2,D2437&gt;=1,E2437&gt;=2)</f>
        <v/>
      </c>
      <c r="G2437">
        <f>SUMPRODUCT(Calc!$K$3:$K$22*(Calc!$G$3:$G$22&gt;A2437)*(Calc!$G$3:$G$22-A2437))</f>
        <v/>
      </c>
      <c r="H2437">
        <f>SUMPRODUCT(Calc!$K$3:$K$22*(Calc!$G$3:$G$22&gt;B2437)*(Calc!$G$3:$G$22-B2437))</f>
        <v/>
      </c>
      <c r="I2437">
        <f>SUMPRODUCT(Calc!$K$3:$K$22*(Calc!$G$3:$G$22&gt;A2437)*(Calc!$G$3:$G$22-A2437)^2)</f>
        <v/>
      </c>
      <c r="J2437">
        <f>SUMPRODUCT(Calc!$K$3:$K$22*(Calc!$G$3:$G$22&gt;B2437)*(Calc!$G$3:$G$22-B2437)^2)</f>
        <v/>
      </c>
      <c r="K2437">
        <f>SUMPRODUCT(Calc!$K$3:$K$22*(Calc!$G$3:$G$22&gt;A2437)*(Calc!$G$3:$G$22-A2437)*(Calc!$G$3:$G$22&gt;B2437)*(Calc!$G$3:$G$22-B2437))</f>
        <v/>
      </c>
      <c r="L2437">
        <f>SUMPRODUCT(Calc!$K$3:$K$22*(Calc!$G$3:$G$22&gt;A2437)*(Calc!$G$3:$G$22-A2437)*Calc!$G$3:$G$22)</f>
        <v/>
      </c>
      <c r="M2437">
        <f>SUMPRODUCT(Calc!$K$3:$K$22*(Calc!$G$3:$G$22&gt;B2437)*(Calc!$G$3:$G$22-B2437)*Calc!$G$3:$G$22)</f>
        <v/>
      </c>
      <c r="N2437">
        <f>SUMPRODUCT(Calc!$K$3:$K$22*(Calc!$G$3:$G$22&gt;A2437)*(Calc!$G$3:$G$22-A2437)*Calc!$I$3:$I$22)</f>
        <v/>
      </c>
      <c r="O2437">
        <f>SUMPRODUCT(Calc!$K$3:$K$22*(Calc!$G$3:$G$22&gt;B2437)*(Calc!$G$3:$G$22-B2437)*Calc!$I$3:$I$22)</f>
        <v/>
      </c>
      <c r="P2437">
        <f>I2437-G2437^2/k_n</f>
        <v/>
      </c>
      <c r="Q2437">
        <f>J2437-H2437^2/k_n</f>
        <v/>
      </c>
      <c r="R2437">
        <f>K2437-G2437*H2437/k_n</f>
        <v/>
      </c>
      <c r="S2437">
        <f>L2437-LTP3!$D$3*G2437/k_n</f>
        <v/>
      </c>
      <c r="T2437">
        <f>M2437-LTP3!$D$3*H2437/k_n</f>
        <v/>
      </c>
      <c r="U2437">
        <f>N2437-G2437*LTP3!$D$4/k_n</f>
        <v/>
      </c>
      <c r="V2437">
        <f>O2437-H2437*LTP3!$D$4/k_n</f>
        <v/>
      </c>
      <c r="W2437">
        <f>((LTP3!$D$5)*((P2437)*(Q2437)-(R2437)*(R2437))-(S2437)*((S2437)*(Q2437)-(R2437)*(T2437))+(T2437)*((S2437)*(R2437)-(P2437)*(T2437)))</f>
        <v/>
      </c>
      <c r="X2437">
        <f>IF(ABS(W2437)&gt;1E-12,((LTP3!$D$6)*((P2437)*(Q2437)-(R2437)*(R2437))-(S2437)*((U2437)*(Q2437)-(R2437)*(V2437))+(T2437)*((U2437)*(R2437)-(P2437)*(V2437)))/W2437,0)</f>
        <v/>
      </c>
      <c r="Y2437">
        <f>IF(ABS(W2437)&gt;1E-12,((LTP3!$D$5)*((U2437)*(Q2437)-(R2437)*(V2437))-(LTP3!$D$6)*((S2437)*(Q2437)-(R2437)*(T2437))+(T2437)*((S2437)*(V2437)-(U2437)*(T2437)))/W2437,0)</f>
        <v/>
      </c>
      <c r="Z2437">
        <f>IF(ABS(W2437)&gt;1E-12,((LTP3!$D$5)*((P2437)*(V2437)-(U2437)*(R2437))-(S2437)*((S2437)*(V2437)-(U2437)*(T2437))+(LTP3!$D$6)*((S2437)*(R2437)-(P2437)*(T2437)))/W2437,0)</f>
        <v/>
      </c>
      <c r="AA2437">
        <f>LTP3!$D$7-X2437*LTP3!$D$6-Y2437*U2437-Z2437*V2437</f>
        <v/>
      </c>
      <c r="AB2437">
        <f>IF(AND(F2437,ABS(W2437)&gt;1E-12,Y2437&gt;0,Z2437&gt;0),AA2437,1E+300)</f>
        <v/>
      </c>
    </row>
    <row r="2438">
      <c r="A2438">
        <f>$B$3+$B$5*39</f>
        <v/>
      </c>
      <c r="B2438">
        <f>$B$3+$B$5*47</f>
        <v/>
      </c>
      <c r="C2438">
        <f>SUMPRODUCT(Calc!$K$3:$K$22*(Calc!$G$3:$G$22&lt;=A2438))</f>
        <v/>
      </c>
      <c r="D2438">
        <f>SUMPRODUCT(Calc!$K$3:$K$22*(Calc!$G$3:$G$22&gt;A2438)*(Calc!$G$3:$G$22&lt;B2438))</f>
        <v/>
      </c>
      <c r="E2438">
        <f>SUMPRODUCT(Calc!$K$3:$K$22*(Calc!$G$3:$G$22&gt;=B2438))</f>
        <v/>
      </c>
      <c r="F2438">
        <f>AND(k_n&gt;=5,B2438&gt;A2438+1E-9,C2438&gt;=2,D2438&gt;=1,E2438&gt;=2)</f>
        <v/>
      </c>
      <c r="G2438">
        <f>SUMPRODUCT(Calc!$K$3:$K$22*(Calc!$G$3:$G$22&gt;A2438)*(Calc!$G$3:$G$22-A2438))</f>
        <v/>
      </c>
      <c r="H2438">
        <f>SUMPRODUCT(Calc!$K$3:$K$22*(Calc!$G$3:$G$22&gt;B2438)*(Calc!$G$3:$G$22-B2438))</f>
        <v/>
      </c>
      <c r="I2438">
        <f>SUMPRODUCT(Calc!$K$3:$K$22*(Calc!$G$3:$G$22&gt;A2438)*(Calc!$G$3:$G$22-A2438)^2)</f>
        <v/>
      </c>
      <c r="J2438">
        <f>SUMPRODUCT(Calc!$K$3:$K$22*(Calc!$G$3:$G$22&gt;B2438)*(Calc!$G$3:$G$22-B2438)^2)</f>
        <v/>
      </c>
      <c r="K2438">
        <f>SUMPRODUCT(Calc!$K$3:$K$22*(Calc!$G$3:$G$22&gt;A2438)*(Calc!$G$3:$G$22-A2438)*(Calc!$G$3:$G$22&gt;B2438)*(Calc!$G$3:$G$22-B2438))</f>
        <v/>
      </c>
      <c r="L2438">
        <f>SUMPRODUCT(Calc!$K$3:$K$22*(Calc!$G$3:$G$22&gt;A2438)*(Calc!$G$3:$G$22-A2438)*Calc!$G$3:$G$22)</f>
        <v/>
      </c>
      <c r="M2438">
        <f>SUMPRODUCT(Calc!$K$3:$K$22*(Calc!$G$3:$G$22&gt;B2438)*(Calc!$G$3:$G$22-B2438)*Calc!$G$3:$G$22)</f>
        <v/>
      </c>
      <c r="N2438">
        <f>SUMPRODUCT(Calc!$K$3:$K$22*(Calc!$G$3:$G$22&gt;A2438)*(Calc!$G$3:$G$22-A2438)*Calc!$I$3:$I$22)</f>
        <v/>
      </c>
      <c r="O2438">
        <f>SUMPRODUCT(Calc!$K$3:$K$22*(Calc!$G$3:$G$22&gt;B2438)*(Calc!$G$3:$G$22-B2438)*Calc!$I$3:$I$22)</f>
        <v/>
      </c>
      <c r="P2438">
        <f>I2438-G2438^2/k_n</f>
        <v/>
      </c>
      <c r="Q2438">
        <f>J2438-H2438^2/k_n</f>
        <v/>
      </c>
      <c r="R2438">
        <f>K2438-G2438*H2438/k_n</f>
        <v/>
      </c>
      <c r="S2438">
        <f>L2438-LTP3!$D$3*G2438/k_n</f>
        <v/>
      </c>
      <c r="T2438">
        <f>M2438-LTP3!$D$3*H2438/k_n</f>
        <v/>
      </c>
      <c r="U2438">
        <f>N2438-G2438*LTP3!$D$4/k_n</f>
        <v/>
      </c>
      <c r="V2438">
        <f>O2438-H2438*LTP3!$D$4/k_n</f>
        <v/>
      </c>
      <c r="W2438">
        <f>((LTP3!$D$5)*((P2438)*(Q2438)-(R2438)*(R2438))-(S2438)*((S2438)*(Q2438)-(R2438)*(T2438))+(T2438)*((S2438)*(R2438)-(P2438)*(T2438)))</f>
        <v/>
      </c>
      <c r="X2438">
        <f>IF(ABS(W2438)&gt;1E-12,((LTP3!$D$6)*((P2438)*(Q2438)-(R2438)*(R2438))-(S2438)*((U2438)*(Q2438)-(R2438)*(V2438))+(T2438)*((U2438)*(R2438)-(P2438)*(V2438)))/W2438,0)</f>
        <v/>
      </c>
      <c r="Y2438">
        <f>IF(ABS(W2438)&gt;1E-12,((LTP3!$D$5)*((U2438)*(Q2438)-(R2438)*(V2438))-(LTP3!$D$6)*((S2438)*(Q2438)-(R2438)*(T2438))+(T2438)*((S2438)*(V2438)-(U2438)*(T2438)))/W2438,0)</f>
        <v/>
      </c>
      <c r="Z2438">
        <f>IF(ABS(W2438)&gt;1E-12,((LTP3!$D$5)*((P2438)*(V2438)-(U2438)*(R2438))-(S2438)*((S2438)*(V2438)-(U2438)*(T2438))+(LTP3!$D$6)*((S2438)*(R2438)-(P2438)*(T2438)))/W2438,0)</f>
        <v/>
      </c>
      <c r="AA2438">
        <f>LTP3!$D$7-X2438*LTP3!$D$6-Y2438*U2438-Z2438*V2438</f>
        <v/>
      </c>
      <c r="AB2438">
        <f>IF(AND(F2438,ABS(W2438)&gt;1E-12,Y2438&gt;0,Z2438&gt;0),AA2438,1E+300)</f>
        <v/>
      </c>
    </row>
    <row r="2439">
      <c r="A2439">
        <f>$B$3+$B$5*39</f>
        <v/>
      </c>
      <c r="B2439">
        <f>$B$3+$B$5*48</f>
        <v/>
      </c>
      <c r="C2439">
        <f>SUMPRODUCT(Calc!$K$3:$K$22*(Calc!$G$3:$G$22&lt;=A2439))</f>
        <v/>
      </c>
      <c r="D2439">
        <f>SUMPRODUCT(Calc!$K$3:$K$22*(Calc!$G$3:$G$22&gt;A2439)*(Calc!$G$3:$G$22&lt;B2439))</f>
        <v/>
      </c>
      <c r="E2439">
        <f>SUMPRODUCT(Calc!$K$3:$K$22*(Calc!$G$3:$G$22&gt;=B2439))</f>
        <v/>
      </c>
      <c r="F2439">
        <f>AND(k_n&gt;=5,B2439&gt;A2439+1E-9,C2439&gt;=2,D2439&gt;=1,E2439&gt;=2)</f>
        <v/>
      </c>
      <c r="G2439">
        <f>SUMPRODUCT(Calc!$K$3:$K$22*(Calc!$G$3:$G$22&gt;A2439)*(Calc!$G$3:$G$22-A2439))</f>
        <v/>
      </c>
      <c r="H2439">
        <f>SUMPRODUCT(Calc!$K$3:$K$22*(Calc!$G$3:$G$22&gt;B2439)*(Calc!$G$3:$G$22-B2439))</f>
        <v/>
      </c>
      <c r="I2439">
        <f>SUMPRODUCT(Calc!$K$3:$K$22*(Calc!$G$3:$G$22&gt;A2439)*(Calc!$G$3:$G$22-A2439)^2)</f>
        <v/>
      </c>
      <c r="J2439">
        <f>SUMPRODUCT(Calc!$K$3:$K$22*(Calc!$G$3:$G$22&gt;B2439)*(Calc!$G$3:$G$22-B2439)^2)</f>
        <v/>
      </c>
      <c r="K2439">
        <f>SUMPRODUCT(Calc!$K$3:$K$22*(Calc!$G$3:$G$22&gt;A2439)*(Calc!$G$3:$G$22-A2439)*(Calc!$G$3:$G$22&gt;B2439)*(Calc!$G$3:$G$22-B2439))</f>
        <v/>
      </c>
      <c r="L2439">
        <f>SUMPRODUCT(Calc!$K$3:$K$22*(Calc!$G$3:$G$22&gt;A2439)*(Calc!$G$3:$G$22-A2439)*Calc!$G$3:$G$22)</f>
        <v/>
      </c>
      <c r="M2439">
        <f>SUMPRODUCT(Calc!$K$3:$K$22*(Calc!$G$3:$G$22&gt;B2439)*(Calc!$G$3:$G$22-B2439)*Calc!$G$3:$G$22)</f>
        <v/>
      </c>
      <c r="N2439">
        <f>SUMPRODUCT(Calc!$K$3:$K$22*(Calc!$G$3:$G$22&gt;A2439)*(Calc!$G$3:$G$22-A2439)*Calc!$I$3:$I$22)</f>
        <v/>
      </c>
      <c r="O2439">
        <f>SUMPRODUCT(Calc!$K$3:$K$22*(Calc!$G$3:$G$22&gt;B2439)*(Calc!$G$3:$G$22-B2439)*Calc!$I$3:$I$22)</f>
        <v/>
      </c>
      <c r="P2439">
        <f>I2439-G2439^2/k_n</f>
        <v/>
      </c>
      <c r="Q2439">
        <f>J2439-H2439^2/k_n</f>
        <v/>
      </c>
      <c r="R2439">
        <f>K2439-G2439*H2439/k_n</f>
        <v/>
      </c>
      <c r="S2439">
        <f>L2439-LTP3!$D$3*G2439/k_n</f>
        <v/>
      </c>
      <c r="T2439">
        <f>M2439-LTP3!$D$3*H2439/k_n</f>
        <v/>
      </c>
      <c r="U2439">
        <f>N2439-G2439*LTP3!$D$4/k_n</f>
        <v/>
      </c>
      <c r="V2439">
        <f>O2439-H2439*LTP3!$D$4/k_n</f>
        <v/>
      </c>
      <c r="W2439">
        <f>((LTP3!$D$5)*((P2439)*(Q2439)-(R2439)*(R2439))-(S2439)*((S2439)*(Q2439)-(R2439)*(T2439))+(T2439)*((S2439)*(R2439)-(P2439)*(T2439)))</f>
        <v/>
      </c>
      <c r="X2439">
        <f>IF(ABS(W2439)&gt;1E-12,((LTP3!$D$6)*((P2439)*(Q2439)-(R2439)*(R2439))-(S2439)*((U2439)*(Q2439)-(R2439)*(V2439))+(T2439)*((U2439)*(R2439)-(P2439)*(V2439)))/W2439,0)</f>
        <v/>
      </c>
      <c r="Y2439">
        <f>IF(ABS(W2439)&gt;1E-12,((LTP3!$D$5)*((U2439)*(Q2439)-(R2439)*(V2439))-(LTP3!$D$6)*((S2439)*(Q2439)-(R2439)*(T2439))+(T2439)*((S2439)*(V2439)-(U2439)*(T2439)))/W2439,0)</f>
        <v/>
      </c>
      <c r="Z2439">
        <f>IF(ABS(W2439)&gt;1E-12,((LTP3!$D$5)*((P2439)*(V2439)-(U2439)*(R2439))-(S2439)*((S2439)*(V2439)-(U2439)*(T2439))+(LTP3!$D$6)*((S2439)*(R2439)-(P2439)*(T2439)))/W2439,0)</f>
        <v/>
      </c>
      <c r="AA2439">
        <f>LTP3!$D$7-X2439*LTP3!$D$6-Y2439*U2439-Z2439*V2439</f>
        <v/>
      </c>
      <c r="AB2439">
        <f>IF(AND(F2439,ABS(W2439)&gt;1E-12,Y2439&gt;0,Z2439&gt;0),AA2439,1E+300)</f>
        <v/>
      </c>
    </row>
    <row r="2440">
      <c r="A2440">
        <f>$B$3+$B$5*39</f>
        <v/>
      </c>
      <c r="B2440">
        <f>$B$3+$B$5*49</f>
        <v/>
      </c>
      <c r="C2440">
        <f>SUMPRODUCT(Calc!$K$3:$K$22*(Calc!$G$3:$G$22&lt;=A2440))</f>
        <v/>
      </c>
      <c r="D2440">
        <f>SUMPRODUCT(Calc!$K$3:$K$22*(Calc!$G$3:$G$22&gt;A2440)*(Calc!$G$3:$G$22&lt;B2440))</f>
        <v/>
      </c>
      <c r="E2440">
        <f>SUMPRODUCT(Calc!$K$3:$K$22*(Calc!$G$3:$G$22&gt;=B2440))</f>
        <v/>
      </c>
      <c r="F2440">
        <f>AND(k_n&gt;=5,B2440&gt;A2440+1E-9,C2440&gt;=2,D2440&gt;=1,E2440&gt;=2)</f>
        <v/>
      </c>
      <c r="G2440">
        <f>SUMPRODUCT(Calc!$K$3:$K$22*(Calc!$G$3:$G$22&gt;A2440)*(Calc!$G$3:$G$22-A2440))</f>
        <v/>
      </c>
      <c r="H2440">
        <f>SUMPRODUCT(Calc!$K$3:$K$22*(Calc!$G$3:$G$22&gt;B2440)*(Calc!$G$3:$G$22-B2440))</f>
        <v/>
      </c>
      <c r="I2440">
        <f>SUMPRODUCT(Calc!$K$3:$K$22*(Calc!$G$3:$G$22&gt;A2440)*(Calc!$G$3:$G$22-A2440)^2)</f>
        <v/>
      </c>
      <c r="J2440">
        <f>SUMPRODUCT(Calc!$K$3:$K$22*(Calc!$G$3:$G$22&gt;B2440)*(Calc!$G$3:$G$22-B2440)^2)</f>
        <v/>
      </c>
      <c r="K2440">
        <f>SUMPRODUCT(Calc!$K$3:$K$22*(Calc!$G$3:$G$22&gt;A2440)*(Calc!$G$3:$G$22-A2440)*(Calc!$G$3:$G$22&gt;B2440)*(Calc!$G$3:$G$22-B2440))</f>
        <v/>
      </c>
      <c r="L2440">
        <f>SUMPRODUCT(Calc!$K$3:$K$22*(Calc!$G$3:$G$22&gt;A2440)*(Calc!$G$3:$G$22-A2440)*Calc!$G$3:$G$22)</f>
        <v/>
      </c>
      <c r="M2440">
        <f>SUMPRODUCT(Calc!$K$3:$K$22*(Calc!$G$3:$G$22&gt;B2440)*(Calc!$G$3:$G$22-B2440)*Calc!$G$3:$G$22)</f>
        <v/>
      </c>
      <c r="N2440">
        <f>SUMPRODUCT(Calc!$K$3:$K$22*(Calc!$G$3:$G$22&gt;A2440)*(Calc!$G$3:$G$22-A2440)*Calc!$I$3:$I$22)</f>
        <v/>
      </c>
      <c r="O2440">
        <f>SUMPRODUCT(Calc!$K$3:$K$22*(Calc!$G$3:$G$22&gt;B2440)*(Calc!$G$3:$G$22-B2440)*Calc!$I$3:$I$22)</f>
        <v/>
      </c>
      <c r="P2440">
        <f>I2440-G2440^2/k_n</f>
        <v/>
      </c>
      <c r="Q2440">
        <f>J2440-H2440^2/k_n</f>
        <v/>
      </c>
      <c r="R2440">
        <f>K2440-G2440*H2440/k_n</f>
        <v/>
      </c>
      <c r="S2440">
        <f>L2440-LTP3!$D$3*G2440/k_n</f>
        <v/>
      </c>
      <c r="T2440">
        <f>M2440-LTP3!$D$3*H2440/k_n</f>
        <v/>
      </c>
      <c r="U2440">
        <f>N2440-G2440*LTP3!$D$4/k_n</f>
        <v/>
      </c>
      <c r="V2440">
        <f>O2440-H2440*LTP3!$D$4/k_n</f>
        <v/>
      </c>
      <c r="W2440">
        <f>((LTP3!$D$5)*((P2440)*(Q2440)-(R2440)*(R2440))-(S2440)*((S2440)*(Q2440)-(R2440)*(T2440))+(T2440)*((S2440)*(R2440)-(P2440)*(T2440)))</f>
        <v/>
      </c>
      <c r="X2440">
        <f>IF(ABS(W2440)&gt;1E-12,((LTP3!$D$6)*((P2440)*(Q2440)-(R2440)*(R2440))-(S2440)*((U2440)*(Q2440)-(R2440)*(V2440))+(T2440)*((U2440)*(R2440)-(P2440)*(V2440)))/W2440,0)</f>
        <v/>
      </c>
      <c r="Y2440">
        <f>IF(ABS(W2440)&gt;1E-12,((LTP3!$D$5)*((U2440)*(Q2440)-(R2440)*(V2440))-(LTP3!$D$6)*((S2440)*(Q2440)-(R2440)*(T2440))+(T2440)*((S2440)*(V2440)-(U2440)*(T2440)))/W2440,0)</f>
        <v/>
      </c>
      <c r="Z2440">
        <f>IF(ABS(W2440)&gt;1E-12,((LTP3!$D$5)*((P2440)*(V2440)-(U2440)*(R2440))-(S2440)*((S2440)*(V2440)-(U2440)*(T2440))+(LTP3!$D$6)*((S2440)*(R2440)-(P2440)*(T2440)))/W2440,0)</f>
        <v/>
      </c>
      <c r="AA2440">
        <f>LTP3!$D$7-X2440*LTP3!$D$6-Y2440*U2440-Z2440*V2440</f>
        <v/>
      </c>
      <c r="AB2440">
        <f>IF(AND(F2440,ABS(W2440)&gt;1E-12,Y2440&gt;0,Z2440&gt;0),AA2440,1E+300)</f>
        <v/>
      </c>
    </row>
    <row r="2441">
      <c r="A2441">
        <f>$B$3+$B$5*39</f>
        <v/>
      </c>
      <c r="B2441">
        <f>$B$3+$B$5*50</f>
        <v/>
      </c>
      <c r="C2441">
        <f>SUMPRODUCT(Calc!$K$3:$K$22*(Calc!$G$3:$G$22&lt;=A2441))</f>
        <v/>
      </c>
      <c r="D2441">
        <f>SUMPRODUCT(Calc!$K$3:$K$22*(Calc!$G$3:$G$22&gt;A2441)*(Calc!$G$3:$G$22&lt;B2441))</f>
        <v/>
      </c>
      <c r="E2441">
        <f>SUMPRODUCT(Calc!$K$3:$K$22*(Calc!$G$3:$G$22&gt;=B2441))</f>
        <v/>
      </c>
      <c r="F2441">
        <f>AND(k_n&gt;=5,B2441&gt;A2441+1E-9,C2441&gt;=2,D2441&gt;=1,E2441&gt;=2)</f>
        <v/>
      </c>
      <c r="G2441">
        <f>SUMPRODUCT(Calc!$K$3:$K$22*(Calc!$G$3:$G$22&gt;A2441)*(Calc!$G$3:$G$22-A2441))</f>
        <v/>
      </c>
      <c r="H2441">
        <f>SUMPRODUCT(Calc!$K$3:$K$22*(Calc!$G$3:$G$22&gt;B2441)*(Calc!$G$3:$G$22-B2441))</f>
        <v/>
      </c>
      <c r="I2441">
        <f>SUMPRODUCT(Calc!$K$3:$K$22*(Calc!$G$3:$G$22&gt;A2441)*(Calc!$G$3:$G$22-A2441)^2)</f>
        <v/>
      </c>
      <c r="J2441">
        <f>SUMPRODUCT(Calc!$K$3:$K$22*(Calc!$G$3:$G$22&gt;B2441)*(Calc!$G$3:$G$22-B2441)^2)</f>
        <v/>
      </c>
      <c r="K2441">
        <f>SUMPRODUCT(Calc!$K$3:$K$22*(Calc!$G$3:$G$22&gt;A2441)*(Calc!$G$3:$G$22-A2441)*(Calc!$G$3:$G$22&gt;B2441)*(Calc!$G$3:$G$22-B2441))</f>
        <v/>
      </c>
      <c r="L2441">
        <f>SUMPRODUCT(Calc!$K$3:$K$22*(Calc!$G$3:$G$22&gt;A2441)*(Calc!$G$3:$G$22-A2441)*Calc!$G$3:$G$22)</f>
        <v/>
      </c>
      <c r="M2441">
        <f>SUMPRODUCT(Calc!$K$3:$K$22*(Calc!$G$3:$G$22&gt;B2441)*(Calc!$G$3:$G$22-B2441)*Calc!$G$3:$G$22)</f>
        <v/>
      </c>
      <c r="N2441">
        <f>SUMPRODUCT(Calc!$K$3:$K$22*(Calc!$G$3:$G$22&gt;A2441)*(Calc!$G$3:$G$22-A2441)*Calc!$I$3:$I$22)</f>
        <v/>
      </c>
      <c r="O2441">
        <f>SUMPRODUCT(Calc!$K$3:$K$22*(Calc!$G$3:$G$22&gt;B2441)*(Calc!$G$3:$G$22-B2441)*Calc!$I$3:$I$22)</f>
        <v/>
      </c>
      <c r="P2441">
        <f>I2441-G2441^2/k_n</f>
        <v/>
      </c>
      <c r="Q2441">
        <f>J2441-H2441^2/k_n</f>
        <v/>
      </c>
      <c r="R2441">
        <f>K2441-G2441*H2441/k_n</f>
        <v/>
      </c>
      <c r="S2441">
        <f>L2441-LTP3!$D$3*G2441/k_n</f>
        <v/>
      </c>
      <c r="T2441">
        <f>M2441-LTP3!$D$3*H2441/k_n</f>
        <v/>
      </c>
      <c r="U2441">
        <f>N2441-G2441*LTP3!$D$4/k_n</f>
        <v/>
      </c>
      <c r="V2441">
        <f>O2441-H2441*LTP3!$D$4/k_n</f>
        <v/>
      </c>
      <c r="W2441">
        <f>((LTP3!$D$5)*((P2441)*(Q2441)-(R2441)*(R2441))-(S2441)*((S2441)*(Q2441)-(R2441)*(T2441))+(T2441)*((S2441)*(R2441)-(P2441)*(T2441)))</f>
        <v/>
      </c>
      <c r="X2441">
        <f>IF(ABS(W2441)&gt;1E-12,((LTP3!$D$6)*((P2441)*(Q2441)-(R2441)*(R2441))-(S2441)*((U2441)*(Q2441)-(R2441)*(V2441))+(T2441)*((U2441)*(R2441)-(P2441)*(V2441)))/W2441,0)</f>
        <v/>
      </c>
      <c r="Y2441">
        <f>IF(ABS(W2441)&gt;1E-12,((LTP3!$D$5)*((U2441)*(Q2441)-(R2441)*(V2441))-(LTP3!$D$6)*((S2441)*(Q2441)-(R2441)*(T2441))+(T2441)*((S2441)*(V2441)-(U2441)*(T2441)))/W2441,0)</f>
        <v/>
      </c>
      <c r="Z2441">
        <f>IF(ABS(W2441)&gt;1E-12,((LTP3!$D$5)*((P2441)*(V2441)-(U2441)*(R2441))-(S2441)*((S2441)*(V2441)-(U2441)*(T2441))+(LTP3!$D$6)*((S2441)*(R2441)-(P2441)*(T2441)))/W2441,0)</f>
        <v/>
      </c>
      <c r="AA2441">
        <f>LTP3!$D$7-X2441*LTP3!$D$6-Y2441*U2441-Z2441*V2441</f>
        <v/>
      </c>
      <c r="AB2441">
        <f>IF(AND(F2441,ABS(W2441)&gt;1E-12,Y2441&gt;0,Z2441&gt;0),AA2441,1E+300)</f>
        <v/>
      </c>
    </row>
    <row r="2442">
      <c r="A2442">
        <f>$B$3+$B$5*39</f>
        <v/>
      </c>
      <c r="B2442">
        <f>$B$3+$B$5*51</f>
        <v/>
      </c>
      <c r="C2442">
        <f>SUMPRODUCT(Calc!$K$3:$K$22*(Calc!$G$3:$G$22&lt;=A2442))</f>
        <v/>
      </c>
      <c r="D2442">
        <f>SUMPRODUCT(Calc!$K$3:$K$22*(Calc!$G$3:$G$22&gt;A2442)*(Calc!$G$3:$G$22&lt;B2442))</f>
        <v/>
      </c>
      <c r="E2442">
        <f>SUMPRODUCT(Calc!$K$3:$K$22*(Calc!$G$3:$G$22&gt;=B2442))</f>
        <v/>
      </c>
      <c r="F2442">
        <f>AND(k_n&gt;=5,B2442&gt;A2442+1E-9,C2442&gt;=2,D2442&gt;=1,E2442&gt;=2)</f>
        <v/>
      </c>
      <c r="G2442">
        <f>SUMPRODUCT(Calc!$K$3:$K$22*(Calc!$G$3:$G$22&gt;A2442)*(Calc!$G$3:$G$22-A2442))</f>
        <v/>
      </c>
      <c r="H2442">
        <f>SUMPRODUCT(Calc!$K$3:$K$22*(Calc!$G$3:$G$22&gt;B2442)*(Calc!$G$3:$G$22-B2442))</f>
        <v/>
      </c>
      <c r="I2442">
        <f>SUMPRODUCT(Calc!$K$3:$K$22*(Calc!$G$3:$G$22&gt;A2442)*(Calc!$G$3:$G$22-A2442)^2)</f>
        <v/>
      </c>
      <c r="J2442">
        <f>SUMPRODUCT(Calc!$K$3:$K$22*(Calc!$G$3:$G$22&gt;B2442)*(Calc!$G$3:$G$22-B2442)^2)</f>
        <v/>
      </c>
      <c r="K2442">
        <f>SUMPRODUCT(Calc!$K$3:$K$22*(Calc!$G$3:$G$22&gt;A2442)*(Calc!$G$3:$G$22-A2442)*(Calc!$G$3:$G$22&gt;B2442)*(Calc!$G$3:$G$22-B2442))</f>
        <v/>
      </c>
      <c r="L2442">
        <f>SUMPRODUCT(Calc!$K$3:$K$22*(Calc!$G$3:$G$22&gt;A2442)*(Calc!$G$3:$G$22-A2442)*Calc!$G$3:$G$22)</f>
        <v/>
      </c>
      <c r="M2442">
        <f>SUMPRODUCT(Calc!$K$3:$K$22*(Calc!$G$3:$G$22&gt;B2442)*(Calc!$G$3:$G$22-B2442)*Calc!$G$3:$G$22)</f>
        <v/>
      </c>
      <c r="N2442">
        <f>SUMPRODUCT(Calc!$K$3:$K$22*(Calc!$G$3:$G$22&gt;A2442)*(Calc!$G$3:$G$22-A2442)*Calc!$I$3:$I$22)</f>
        <v/>
      </c>
      <c r="O2442">
        <f>SUMPRODUCT(Calc!$K$3:$K$22*(Calc!$G$3:$G$22&gt;B2442)*(Calc!$G$3:$G$22-B2442)*Calc!$I$3:$I$22)</f>
        <v/>
      </c>
      <c r="P2442">
        <f>I2442-G2442^2/k_n</f>
        <v/>
      </c>
      <c r="Q2442">
        <f>J2442-H2442^2/k_n</f>
        <v/>
      </c>
      <c r="R2442">
        <f>K2442-G2442*H2442/k_n</f>
        <v/>
      </c>
      <c r="S2442">
        <f>L2442-LTP3!$D$3*G2442/k_n</f>
        <v/>
      </c>
      <c r="T2442">
        <f>M2442-LTP3!$D$3*H2442/k_n</f>
        <v/>
      </c>
      <c r="U2442">
        <f>N2442-G2442*LTP3!$D$4/k_n</f>
        <v/>
      </c>
      <c r="V2442">
        <f>O2442-H2442*LTP3!$D$4/k_n</f>
        <v/>
      </c>
      <c r="W2442">
        <f>((LTP3!$D$5)*((P2442)*(Q2442)-(R2442)*(R2442))-(S2442)*((S2442)*(Q2442)-(R2442)*(T2442))+(T2442)*((S2442)*(R2442)-(P2442)*(T2442)))</f>
        <v/>
      </c>
      <c r="X2442">
        <f>IF(ABS(W2442)&gt;1E-12,((LTP3!$D$6)*((P2442)*(Q2442)-(R2442)*(R2442))-(S2442)*((U2442)*(Q2442)-(R2442)*(V2442))+(T2442)*((U2442)*(R2442)-(P2442)*(V2442)))/W2442,0)</f>
        <v/>
      </c>
      <c r="Y2442">
        <f>IF(ABS(W2442)&gt;1E-12,((LTP3!$D$5)*((U2442)*(Q2442)-(R2442)*(V2442))-(LTP3!$D$6)*((S2442)*(Q2442)-(R2442)*(T2442))+(T2442)*((S2442)*(V2442)-(U2442)*(T2442)))/W2442,0)</f>
        <v/>
      </c>
      <c r="Z2442">
        <f>IF(ABS(W2442)&gt;1E-12,((LTP3!$D$5)*((P2442)*(V2442)-(U2442)*(R2442))-(S2442)*((S2442)*(V2442)-(U2442)*(T2442))+(LTP3!$D$6)*((S2442)*(R2442)-(P2442)*(T2442)))/W2442,0)</f>
        <v/>
      </c>
      <c r="AA2442">
        <f>LTP3!$D$7-X2442*LTP3!$D$6-Y2442*U2442-Z2442*V2442</f>
        <v/>
      </c>
      <c r="AB2442">
        <f>IF(AND(F2442,ABS(W2442)&gt;1E-12,Y2442&gt;0,Z2442&gt;0),AA2442,1E+300)</f>
        <v/>
      </c>
    </row>
    <row r="2443">
      <c r="A2443">
        <f>$B$3+$B$5*39</f>
        <v/>
      </c>
      <c r="B2443">
        <f>$B$3+$B$5*52</f>
        <v/>
      </c>
      <c r="C2443">
        <f>SUMPRODUCT(Calc!$K$3:$K$22*(Calc!$G$3:$G$22&lt;=A2443))</f>
        <v/>
      </c>
      <c r="D2443">
        <f>SUMPRODUCT(Calc!$K$3:$K$22*(Calc!$G$3:$G$22&gt;A2443)*(Calc!$G$3:$G$22&lt;B2443))</f>
        <v/>
      </c>
      <c r="E2443">
        <f>SUMPRODUCT(Calc!$K$3:$K$22*(Calc!$G$3:$G$22&gt;=B2443))</f>
        <v/>
      </c>
      <c r="F2443">
        <f>AND(k_n&gt;=5,B2443&gt;A2443+1E-9,C2443&gt;=2,D2443&gt;=1,E2443&gt;=2)</f>
        <v/>
      </c>
      <c r="G2443">
        <f>SUMPRODUCT(Calc!$K$3:$K$22*(Calc!$G$3:$G$22&gt;A2443)*(Calc!$G$3:$G$22-A2443))</f>
        <v/>
      </c>
      <c r="H2443">
        <f>SUMPRODUCT(Calc!$K$3:$K$22*(Calc!$G$3:$G$22&gt;B2443)*(Calc!$G$3:$G$22-B2443))</f>
        <v/>
      </c>
      <c r="I2443">
        <f>SUMPRODUCT(Calc!$K$3:$K$22*(Calc!$G$3:$G$22&gt;A2443)*(Calc!$G$3:$G$22-A2443)^2)</f>
        <v/>
      </c>
      <c r="J2443">
        <f>SUMPRODUCT(Calc!$K$3:$K$22*(Calc!$G$3:$G$22&gt;B2443)*(Calc!$G$3:$G$22-B2443)^2)</f>
        <v/>
      </c>
      <c r="K2443">
        <f>SUMPRODUCT(Calc!$K$3:$K$22*(Calc!$G$3:$G$22&gt;A2443)*(Calc!$G$3:$G$22-A2443)*(Calc!$G$3:$G$22&gt;B2443)*(Calc!$G$3:$G$22-B2443))</f>
        <v/>
      </c>
      <c r="L2443">
        <f>SUMPRODUCT(Calc!$K$3:$K$22*(Calc!$G$3:$G$22&gt;A2443)*(Calc!$G$3:$G$22-A2443)*Calc!$G$3:$G$22)</f>
        <v/>
      </c>
      <c r="M2443">
        <f>SUMPRODUCT(Calc!$K$3:$K$22*(Calc!$G$3:$G$22&gt;B2443)*(Calc!$G$3:$G$22-B2443)*Calc!$G$3:$G$22)</f>
        <v/>
      </c>
      <c r="N2443">
        <f>SUMPRODUCT(Calc!$K$3:$K$22*(Calc!$G$3:$G$22&gt;A2443)*(Calc!$G$3:$G$22-A2443)*Calc!$I$3:$I$22)</f>
        <v/>
      </c>
      <c r="O2443">
        <f>SUMPRODUCT(Calc!$K$3:$K$22*(Calc!$G$3:$G$22&gt;B2443)*(Calc!$G$3:$G$22-B2443)*Calc!$I$3:$I$22)</f>
        <v/>
      </c>
      <c r="P2443">
        <f>I2443-G2443^2/k_n</f>
        <v/>
      </c>
      <c r="Q2443">
        <f>J2443-H2443^2/k_n</f>
        <v/>
      </c>
      <c r="R2443">
        <f>K2443-G2443*H2443/k_n</f>
        <v/>
      </c>
      <c r="S2443">
        <f>L2443-LTP3!$D$3*G2443/k_n</f>
        <v/>
      </c>
      <c r="T2443">
        <f>M2443-LTP3!$D$3*H2443/k_n</f>
        <v/>
      </c>
      <c r="U2443">
        <f>N2443-G2443*LTP3!$D$4/k_n</f>
        <v/>
      </c>
      <c r="V2443">
        <f>O2443-H2443*LTP3!$D$4/k_n</f>
        <v/>
      </c>
      <c r="W2443">
        <f>((LTP3!$D$5)*((P2443)*(Q2443)-(R2443)*(R2443))-(S2443)*((S2443)*(Q2443)-(R2443)*(T2443))+(T2443)*((S2443)*(R2443)-(P2443)*(T2443)))</f>
        <v/>
      </c>
      <c r="X2443">
        <f>IF(ABS(W2443)&gt;1E-12,((LTP3!$D$6)*((P2443)*(Q2443)-(R2443)*(R2443))-(S2443)*((U2443)*(Q2443)-(R2443)*(V2443))+(T2443)*((U2443)*(R2443)-(P2443)*(V2443)))/W2443,0)</f>
        <v/>
      </c>
      <c r="Y2443">
        <f>IF(ABS(W2443)&gt;1E-12,((LTP3!$D$5)*((U2443)*(Q2443)-(R2443)*(V2443))-(LTP3!$D$6)*((S2443)*(Q2443)-(R2443)*(T2443))+(T2443)*((S2443)*(V2443)-(U2443)*(T2443)))/W2443,0)</f>
        <v/>
      </c>
      <c r="Z2443">
        <f>IF(ABS(W2443)&gt;1E-12,((LTP3!$D$5)*((P2443)*(V2443)-(U2443)*(R2443))-(S2443)*((S2443)*(V2443)-(U2443)*(T2443))+(LTP3!$D$6)*((S2443)*(R2443)-(P2443)*(T2443)))/W2443,0)</f>
        <v/>
      </c>
      <c r="AA2443">
        <f>LTP3!$D$7-X2443*LTP3!$D$6-Y2443*U2443-Z2443*V2443</f>
        <v/>
      </c>
      <c r="AB2443">
        <f>IF(AND(F2443,ABS(W2443)&gt;1E-12,Y2443&gt;0,Z2443&gt;0),AA2443,1E+300)</f>
        <v/>
      </c>
    </row>
    <row r="2444">
      <c r="A2444">
        <f>$B$3+$B$5*39</f>
        <v/>
      </c>
      <c r="B2444">
        <f>$B$3+$B$5*53</f>
        <v/>
      </c>
      <c r="C2444">
        <f>SUMPRODUCT(Calc!$K$3:$K$22*(Calc!$G$3:$G$22&lt;=A2444))</f>
        <v/>
      </c>
      <c r="D2444">
        <f>SUMPRODUCT(Calc!$K$3:$K$22*(Calc!$G$3:$G$22&gt;A2444)*(Calc!$G$3:$G$22&lt;B2444))</f>
        <v/>
      </c>
      <c r="E2444">
        <f>SUMPRODUCT(Calc!$K$3:$K$22*(Calc!$G$3:$G$22&gt;=B2444))</f>
        <v/>
      </c>
      <c r="F2444">
        <f>AND(k_n&gt;=5,B2444&gt;A2444+1E-9,C2444&gt;=2,D2444&gt;=1,E2444&gt;=2)</f>
        <v/>
      </c>
      <c r="G2444">
        <f>SUMPRODUCT(Calc!$K$3:$K$22*(Calc!$G$3:$G$22&gt;A2444)*(Calc!$G$3:$G$22-A2444))</f>
        <v/>
      </c>
      <c r="H2444">
        <f>SUMPRODUCT(Calc!$K$3:$K$22*(Calc!$G$3:$G$22&gt;B2444)*(Calc!$G$3:$G$22-B2444))</f>
        <v/>
      </c>
      <c r="I2444">
        <f>SUMPRODUCT(Calc!$K$3:$K$22*(Calc!$G$3:$G$22&gt;A2444)*(Calc!$G$3:$G$22-A2444)^2)</f>
        <v/>
      </c>
      <c r="J2444">
        <f>SUMPRODUCT(Calc!$K$3:$K$22*(Calc!$G$3:$G$22&gt;B2444)*(Calc!$G$3:$G$22-B2444)^2)</f>
        <v/>
      </c>
      <c r="K2444">
        <f>SUMPRODUCT(Calc!$K$3:$K$22*(Calc!$G$3:$G$22&gt;A2444)*(Calc!$G$3:$G$22-A2444)*(Calc!$G$3:$G$22&gt;B2444)*(Calc!$G$3:$G$22-B2444))</f>
        <v/>
      </c>
      <c r="L2444">
        <f>SUMPRODUCT(Calc!$K$3:$K$22*(Calc!$G$3:$G$22&gt;A2444)*(Calc!$G$3:$G$22-A2444)*Calc!$G$3:$G$22)</f>
        <v/>
      </c>
      <c r="M2444">
        <f>SUMPRODUCT(Calc!$K$3:$K$22*(Calc!$G$3:$G$22&gt;B2444)*(Calc!$G$3:$G$22-B2444)*Calc!$G$3:$G$22)</f>
        <v/>
      </c>
      <c r="N2444">
        <f>SUMPRODUCT(Calc!$K$3:$K$22*(Calc!$G$3:$G$22&gt;A2444)*(Calc!$G$3:$G$22-A2444)*Calc!$I$3:$I$22)</f>
        <v/>
      </c>
      <c r="O2444">
        <f>SUMPRODUCT(Calc!$K$3:$K$22*(Calc!$G$3:$G$22&gt;B2444)*(Calc!$G$3:$G$22-B2444)*Calc!$I$3:$I$22)</f>
        <v/>
      </c>
      <c r="P2444">
        <f>I2444-G2444^2/k_n</f>
        <v/>
      </c>
      <c r="Q2444">
        <f>J2444-H2444^2/k_n</f>
        <v/>
      </c>
      <c r="R2444">
        <f>K2444-G2444*H2444/k_n</f>
        <v/>
      </c>
      <c r="S2444">
        <f>L2444-LTP3!$D$3*G2444/k_n</f>
        <v/>
      </c>
      <c r="T2444">
        <f>M2444-LTP3!$D$3*H2444/k_n</f>
        <v/>
      </c>
      <c r="U2444">
        <f>N2444-G2444*LTP3!$D$4/k_n</f>
        <v/>
      </c>
      <c r="V2444">
        <f>O2444-H2444*LTP3!$D$4/k_n</f>
        <v/>
      </c>
      <c r="W2444">
        <f>((LTP3!$D$5)*((P2444)*(Q2444)-(R2444)*(R2444))-(S2444)*((S2444)*(Q2444)-(R2444)*(T2444))+(T2444)*((S2444)*(R2444)-(P2444)*(T2444)))</f>
        <v/>
      </c>
      <c r="X2444">
        <f>IF(ABS(W2444)&gt;1E-12,((LTP3!$D$6)*((P2444)*(Q2444)-(R2444)*(R2444))-(S2444)*((U2444)*(Q2444)-(R2444)*(V2444))+(T2444)*((U2444)*(R2444)-(P2444)*(V2444)))/W2444,0)</f>
        <v/>
      </c>
      <c r="Y2444">
        <f>IF(ABS(W2444)&gt;1E-12,((LTP3!$D$5)*((U2444)*(Q2444)-(R2444)*(V2444))-(LTP3!$D$6)*((S2444)*(Q2444)-(R2444)*(T2444))+(T2444)*((S2444)*(V2444)-(U2444)*(T2444)))/W2444,0)</f>
        <v/>
      </c>
      <c r="Z2444">
        <f>IF(ABS(W2444)&gt;1E-12,((LTP3!$D$5)*((P2444)*(V2444)-(U2444)*(R2444))-(S2444)*((S2444)*(V2444)-(U2444)*(T2444))+(LTP3!$D$6)*((S2444)*(R2444)-(P2444)*(T2444)))/W2444,0)</f>
        <v/>
      </c>
      <c r="AA2444">
        <f>LTP3!$D$7-X2444*LTP3!$D$6-Y2444*U2444-Z2444*V2444</f>
        <v/>
      </c>
      <c r="AB2444">
        <f>IF(AND(F2444,ABS(W2444)&gt;1E-12,Y2444&gt;0,Z2444&gt;0),AA2444,1E+300)</f>
        <v/>
      </c>
    </row>
    <row r="2445">
      <c r="A2445">
        <f>$B$3+$B$5*39</f>
        <v/>
      </c>
      <c r="B2445">
        <f>$B$3+$B$5*54</f>
        <v/>
      </c>
      <c r="C2445">
        <f>SUMPRODUCT(Calc!$K$3:$K$22*(Calc!$G$3:$G$22&lt;=A2445))</f>
        <v/>
      </c>
      <c r="D2445">
        <f>SUMPRODUCT(Calc!$K$3:$K$22*(Calc!$G$3:$G$22&gt;A2445)*(Calc!$G$3:$G$22&lt;B2445))</f>
        <v/>
      </c>
      <c r="E2445">
        <f>SUMPRODUCT(Calc!$K$3:$K$22*(Calc!$G$3:$G$22&gt;=B2445))</f>
        <v/>
      </c>
      <c r="F2445">
        <f>AND(k_n&gt;=5,B2445&gt;A2445+1E-9,C2445&gt;=2,D2445&gt;=1,E2445&gt;=2)</f>
        <v/>
      </c>
      <c r="G2445">
        <f>SUMPRODUCT(Calc!$K$3:$K$22*(Calc!$G$3:$G$22&gt;A2445)*(Calc!$G$3:$G$22-A2445))</f>
        <v/>
      </c>
      <c r="H2445">
        <f>SUMPRODUCT(Calc!$K$3:$K$22*(Calc!$G$3:$G$22&gt;B2445)*(Calc!$G$3:$G$22-B2445))</f>
        <v/>
      </c>
      <c r="I2445">
        <f>SUMPRODUCT(Calc!$K$3:$K$22*(Calc!$G$3:$G$22&gt;A2445)*(Calc!$G$3:$G$22-A2445)^2)</f>
        <v/>
      </c>
      <c r="J2445">
        <f>SUMPRODUCT(Calc!$K$3:$K$22*(Calc!$G$3:$G$22&gt;B2445)*(Calc!$G$3:$G$22-B2445)^2)</f>
        <v/>
      </c>
      <c r="K2445">
        <f>SUMPRODUCT(Calc!$K$3:$K$22*(Calc!$G$3:$G$22&gt;A2445)*(Calc!$G$3:$G$22-A2445)*(Calc!$G$3:$G$22&gt;B2445)*(Calc!$G$3:$G$22-B2445))</f>
        <v/>
      </c>
      <c r="L2445">
        <f>SUMPRODUCT(Calc!$K$3:$K$22*(Calc!$G$3:$G$22&gt;A2445)*(Calc!$G$3:$G$22-A2445)*Calc!$G$3:$G$22)</f>
        <v/>
      </c>
      <c r="M2445">
        <f>SUMPRODUCT(Calc!$K$3:$K$22*(Calc!$G$3:$G$22&gt;B2445)*(Calc!$G$3:$G$22-B2445)*Calc!$G$3:$G$22)</f>
        <v/>
      </c>
      <c r="N2445">
        <f>SUMPRODUCT(Calc!$K$3:$K$22*(Calc!$G$3:$G$22&gt;A2445)*(Calc!$G$3:$G$22-A2445)*Calc!$I$3:$I$22)</f>
        <v/>
      </c>
      <c r="O2445">
        <f>SUMPRODUCT(Calc!$K$3:$K$22*(Calc!$G$3:$G$22&gt;B2445)*(Calc!$G$3:$G$22-B2445)*Calc!$I$3:$I$22)</f>
        <v/>
      </c>
      <c r="P2445">
        <f>I2445-G2445^2/k_n</f>
        <v/>
      </c>
      <c r="Q2445">
        <f>J2445-H2445^2/k_n</f>
        <v/>
      </c>
      <c r="R2445">
        <f>K2445-G2445*H2445/k_n</f>
        <v/>
      </c>
      <c r="S2445">
        <f>L2445-LTP3!$D$3*G2445/k_n</f>
        <v/>
      </c>
      <c r="T2445">
        <f>M2445-LTP3!$D$3*H2445/k_n</f>
        <v/>
      </c>
      <c r="U2445">
        <f>N2445-G2445*LTP3!$D$4/k_n</f>
        <v/>
      </c>
      <c r="V2445">
        <f>O2445-H2445*LTP3!$D$4/k_n</f>
        <v/>
      </c>
      <c r="W2445">
        <f>((LTP3!$D$5)*((P2445)*(Q2445)-(R2445)*(R2445))-(S2445)*((S2445)*(Q2445)-(R2445)*(T2445))+(T2445)*((S2445)*(R2445)-(P2445)*(T2445)))</f>
        <v/>
      </c>
      <c r="X2445">
        <f>IF(ABS(W2445)&gt;1E-12,((LTP3!$D$6)*((P2445)*(Q2445)-(R2445)*(R2445))-(S2445)*((U2445)*(Q2445)-(R2445)*(V2445))+(T2445)*((U2445)*(R2445)-(P2445)*(V2445)))/W2445,0)</f>
        <v/>
      </c>
      <c r="Y2445">
        <f>IF(ABS(W2445)&gt;1E-12,((LTP3!$D$5)*((U2445)*(Q2445)-(R2445)*(V2445))-(LTP3!$D$6)*((S2445)*(Q2445)-(R2445)*(T2445))+(T2445)*((S2445)*(V2445)-(U2445)*(T2445)))/W2445,0)</f>
        <v/>
      </c>
      <c r="Z2445">
        <f>IF(ABS(W2445)&gt;1E-12,((LTP3!$D$5)*((P2445)*(V2445)-(U2445)*(R2445))-(S2445)*((S2445)*(V2445)-(U2445)*(T2445))+(LTP3!$D$6)*((S2445)*(R2445)-(P2445)*(T2445)))/W2445,0)</f>
        <v/>
      </c>
      <c r="AA2445">
        <f>LTP3!$D$7-X2445*LTP3!$D$6-Y2445*U2445-Z2445*V2445</f>
        <v/>
      </c>
      <c r="AB2445">
        <f>IF(AND(F2445,ABS(W2445)&gt;1E-12,Y2445&gt;0,Z2445&gt;0),AA2445,1E+300)</f>
        <v/>
      </c>
    </row>
    <row r="2446">
      <c r="A2446">
        <f>$B$3+$B$5*39</f>
        <v/>
      </c>
      <c r="B2446">
        <f>$B$3+$B$5*55</f>
        <v/>
      </c>
      <c r="C2446">
        <f>SUMPRODUCT(Calc!$K$3:$K$22*(Calc!$G$3:$G$22&lt;=A2446))</f>
        <v/>
      </c>
      <c r="D2446">
        <f>SUMPRODUCT(Calc!$K$3:$K$22*(Calc!$G$3:$G$22&gt;A2446)*(Calc!$G$3:$G$22&lt;B2446))</f>
        <v/>
      </c>
      <c r="E2446">
        <f>SUMPRODUCT(Calc!$K$3:$K$22*(Calc!$G$3:$G$22&gt;=B2446))</f>
        <v/>
      </c>
      <c r="F2446">
        <f>AND(k_n&gt;=5,B2446&gt;A2446+1E-9,C2446&gt;=2,D2446&gt;=1,E2446&gt;=2)</f>
        <v/>
      </c>
      <c r="G2446">
        <f>SUMPRODUCT(Calc!$K$3:$K$22*(Calc!$G$3:$G$22&gt;A2446)*(Calc!$G$3:$G$22-A2446))</f>
        <v/>
      </c>
      <c r="H2446">
        <f>SUMPRODUCT(Calc!$K$3:$K$22*(Calc!$G$3:$G$22&gt;B2446)*(Calc!$G$3:$G$22-B2446))</f>
        <v/>
      </c>
      <c r="I2446">
        <f>SUMPRODUCT(Calc!$K$3:$K$22*(Calc!$G$3:$G$22&gt;A2446)*(Calc!$G$3:$G$22-A2446)^2)</f>
        <v/>
      </c>
      <c r="J2446">
        <f>SUMPRODUCT(Calc!$K$3:$K$22*(Calc!$G$3:$G$22&gt;B2446)*(Calc!$G$3:$G$22-B2446)^2)</f>
        <v/>
      </c>
      <c r="K2446">
        <f>SUMPRODUCT(Calc!$K$3:$K$22*(Calc!$G$3:$G$22&gt;A2446)*(Calc!$G$3:$G$22-A2446)*(Calc!$G$3:$G$22&gt;B2446)*(Calc!$G$3:$G$22-B2446))</f>
        <v/>
      </c>
      <c r="L2446">
        <f>SUMPRODUCT(Calc!$K$3:$K$22*(Calc!$G$3:$G$22&gt;A2446)*(Calc!$G$3:$G$22-A2446)*Calc!$G$3:$G$22)</f>
        <v/>
      </c>
      <c r="M2446">
        <f>SUMPRODUCT(Calc!$K$3:$K$22*(Calc!$G$3:$G$22&gt;B2446)*(Calc!$G$3:$G$22-B2446)*Calc!$G$3:$G$22)</f>
        <v/>
      </c>
      <c r="N2446">
        <f>SUMPRODUCT(Calc!$K$3:$K$22*(Calc!$G$3:$G$22&gt;A2446)*(Calc!$G$3:$G$22-A2446)*Calc!$I$3:$I$22)</f>
        <v/>
      </c>
      <c r="O2446">
        <f>SUMPRODUCT(Calc!$K$3:$K$22*(Calc!$G$3:$G$22&gt;B2446)*(Calc!$G$3:$G$22-B2446)*Calc!$I$3:$I$22)</f>
        <v/>
      </c>
      <c r="P2446">
        <f>I2446-G2446^2/k_n</f>
        <v/>
      </c>
      <c r="Q2446">
        <f>J2446-H2446^2/k_n</f>
        <v/>
      </c>
      <c r="R2446">
        <f>K2446-G2446*H2446/k_n</f>
        <v/>
      </c>
      <c r="S2446">
        <f>L2446-LTP3!$D$3*G2446/k_n</f>
        <v/>
      </c>
      <c r="T2446">
        <f>M2446-LTP3!$D$3*H2446/k_n</f>
        <v/>
      </c>
      <c r="U2446">
        <f>N2446-G2446*LTP3!$D$4/k_n</f>
        <v/>
      </c>
      <c r="V2446">
        <f>O2446-H2446*LTP3!$D$4/k_n</f>
        <v/>
      </c>
      <c r="W2446">
        <f>((LTP3!$D$5)*((P2446)*(Q2446)-(R2446)*(R2446))-(S2446)*((S2446)*(Q2446)-(R2446)*(T2446))+(T2446)*((S2446)*(R2446)-(P2446)*(T2446)))</f>
        <v/>
      </c>
      <c r="X2446">
        <f>IF(ABS(W2446)&gt;1E-12,((LTP3!$D$6)*((P2446)*(Q2446)-(R2446)*(R2446))-(S2446)*((U2446)*(Q2446)-(R2446)*(V2446))+(T2446)*((U2446)*(R2446)-(P2446)*(V2446)))/W2446,0)</f>
        <v/>
      </c>
      <c r="Y2446">
        <f>IF(ABS(W2446)&gt;1E-12,((LTP3!$D$5)*((U2446)*(Q2446)-(R2446)*(V2446))-(LTP3!$D$6)*((S2446)*(Q2446)-(R2446)*(T2446))+(T2446)*((S2446)*(V2446)-(U2446)*(T2446)))/W2446,0)</f>
        <v/>
      </c>
      <c r="Z2446">
        <f>IF(ABS(W2446)&gt;1E-12,((LTP3!$D$5)*((P2446)*(V2446)-(U2446)*(R2446))-(S2446)*((S2446)*(V2446)-(U2446)*(T2446))+(LTP3!$D$6)*((S2446)*(R2446)-(P2446)*(T2446)))/W2446,0)</f>
        <v/>
      </c>
      <c r="AA2446">
        <f>LTP3!$D$7-X2446*LTP3!$D$6-Y2446*U2446-Z2446*V2446</f>
        <v/>
      </c>
      <c r="AB2446">
        <f>IF(AND(F2446,ABS(W2446)&gt;1E-12,Y2446&gt;0,Z2446&gt;0),AA2446,1E+300)</f>
        <v/>
      </c>
    </row>
    <row r="2447">
      <c r="A2447">
        <f>$B$3+$B$5*39</f>
        <v/>
      </c>
      <c r="B2447">
        <f>$B$3+$B$5*56</f>
        <v/>
      </c>
      <c r="C2447">
        <f>SUMPRODUCT(Calc!$K$3:$K$22*(Calc!$G$3:$G$22&lt;=A2447))</f>
        <v/>
      </c>
      <c r="D2447">
        <f>SUMPRODUCT(Calc!$K$3:$K$22*(Calc!$G$3:$G$22&gt;A2447)*(Calc!$G$3:$G$22&lt;B2447))</f>
        <v/>
      </c>
      <c r="E2447">
        <f>SUMPRODUCT(Calc!$K$3:$K$22*(Calc!$G$3:$G$22&gt;=B2447))</f>
        <v/>
      </c>
      <c r="F2447">
        <f>AND(k_n&gt;=5,B2447&gt;A2447+1E-9,C2447&gt;=2,D2447&gt;=1,E2447&gt;=2)</f>
        <v/>
      </c>
      <c r="G2447">
        <f>SUMPRODUCT(Calc!$K$3:$K$22*(Calc!$G$3:$G$22&gt;A2447)*(Calc!$G$3:$G$22-A2447))</f>
        <v/>
      </c>
      <c r="H2447">
        <f>SUMPRODUCT(Calc!$K$3:$K$22*(Calc!$G$3:$G$22&gt;B2447)*(Calc!$G$3:$G$22-B2447))</f>
        <v/>
      </c>
      <c r="I2447">
        <f>SUMPRODUCT(Calc!$K$3:$K$22*(Calc!$G$3:$G$22&gt;A2447)*(Calc!$G$3:$G$22-A2447)^2)</f>
        <v/>
      </c>
      <c r="J2447">
        <f>SUMPRODUCT(Calc!$K$3:$K$22*(Calc!$G$3:$G$22&gt;B2447)*(Calc!$G$3:$G$22-B2447)^2)</f>
        <v/>
      </c>
      <c r="K2447">
        <f>SUMPRODUCT(Calc!$K$3:$K$22*(Calc!$G$3:$G$22&gt;A2447)*(Calc!$G$3:$G$22-A2447)*(Calc!$G$3:$G$22&gt;B2447)*(Calc!$G$3:$G$22-B2447))</f>
        <v/>
      </c>
      <c r="L2447">
        <f>SUMPRODUCT(Calc!$K$3:$K$22*(Calc!$G$3:$G$22&gt;A2447)*(Calc!$G$3:$G$22-A2447)*Calc!$G$3:$G$22)</f>
        <v/>
      </c>
      <c r="M2447">
        <f>SUMPRODUCT(Calc!$K$3:$K$22*(Calc!$G$3:$G$22&gt;B2447)*(Calc!$G$3:$G$22-B2447)*Calc!$G$3:$G$22)</f>
        <v/>
      </c>
      <c r="N2447">
        <f>SUMPRODUCT(Calc!$K$3:$K$22*(Calc!$G$3:$G$22&gt;A2447)*(Calc!$G$3:$G$22-A2447)*Calc!$I$3:$I$22)</f>
        <v/>
      </c>
      <c r="O2447">
        <f>SUMPRODUCT(Calc!$K$3:$K$22*(Calc!$G$3:$G$22&gt;B2447)*(Calc!$G$3:$G$22-B2447)*Calc!$I$3:$I$22)</f>
        <v/>
      </c>
      <c r="P2447">
        <f>I2447-G2447^2/k_n</f>
        <v/>
      </c>
      <c r="Q2447">
        <f>J2447-H2447^2/k_n</f>
        <v/>
      </c>
      <c r="R2447">
        <f>K2447-G2447*H2447/k_n</f>
        <v/>
      </c>
      <c r="S2447">
        <f>L2447-LTP3!$D$3*G2447/k_n</f>
        <v/>
      </c>
      <c r="T2447">
        <f>M2447-LTP3!$D$3*H2447/k_n</f>
        <v/>
      </c>
      <c r="U2447">
        <f>N2447-G2447*LTP3!$D$4/k_n</f>
        <v/>
      </c>
      <c r="V2447">
        <f>O2447-H2447*LTP3!$D$4/k_n</f>
        <v/>
      </c>
      <c r="W2447">
        <f>((LTP3!$D$5)*((P2447)*(Q2447)-(R2447)*(R2447))-(S2447)*((S2447)*(Q2447)-(R2447)*(T2447))+(T2447)*((S2447)*(R2447)-(P2447)*(T2447)))</f>
        <v/>
      </c>
      <c r="X2447">
        <f>IF(ABS(W2447)&gt;1E-12,((LTP3!$D$6)*((P2447)*(Q2447)-(R2447)*(R2447))-(S2447)*((U2447)*(Q2447)-(R2447)*(V2447))+(T2447)*((U2447)*(R2447)-(P2447)*(V2447)))/W2447,0)</f>
        <v/>
      </c>
      <c r="Y2447">
        <f>IF(ABS(W2447)&gt;1E-12,((LTP3!$D$5)*((U2447)*(Q2447)-(R2447)*(V2447))-(LTP3!$D$6)*((S2447)*(Q2447)-(R2447)*(T2447))+(T2447)*((S2447)*(V2447)-(U2447)*(T2447)))/W2447,0)</f>
        <v/>
      </c>
      <c r="Z2447">
        <f>IF(ABS(W2447)&gt;1E-12,((LTP3!$D$5)*((P2447)*(V2447)-(U2447)*(R2447))-(S2447)*((S2447)*(V2447)-(U2447)*(T2447))+(LTP3!$D$6)*((S2447)*(R2447)-(P2447)*(T2447)))/W2447,0)</f>
        <v/>
      </c>
      <c r="AA2447">
        <f>LTP3!$D$7-X2447*LTP3!$D$6-Y2447*U2447-Z2447*V2447</f>
        <v/>
      </c>
      <c r="AB2447">
        <f>IF(AND(F2447,ABS(W2447)&gt;1E-12,Y2447&gt;0,Z2447&gt;0),AA2447,1E+300)</f>
        <v/>
      </c>
    </row>
    <row r="2448">
      <c r="A2448">
        <f>$B$3+$B$5*39</f>
        <v/>
      </c>
      <c r="B2448">
        <f>$B$3+$B$5*57</f>
        <v/>
      </c>
      <c r="C2448">
        <f>SUMPRODUCT(Calc!$K$3:$K$22*(Calc!$G$3:$G$22&lt;=A2448))</f>
        <v/>
      </c>
      <c r="D2448">
        <f>SUMPRODUCT(Calc!$K$3:$K$22*(Calc!$G$3:$G$22&gt;A2448)*(Calc!$G$3:$G$22&lt;B2448))</f>
        <v/>
      </c>
      <c r="E2448">
        <f>SUMPRODUCT(Calc!$K$3:$K$22*(Calc!$G$3:$G$22&gt;=B2448))</f>
        <v/>
      </c>
      <c r="F2448">
        <f>AND(k_n&gt;=5,B2448&gt;A2448+1E-9,C2448&gt;=2,D2448&gt;=1,E2448&gt;=2)</f>
        <v/>
      </c>
      <c r="G2448">
        <f>SUMPRODUCT(Calc!$K$3:$K$22*(Calc!$G$3:$G$22&gt;A2448)*(Calc!$G$3:$G$22-A2448))</f>
        <v/>
      </c>
      <c r="H2448">
        <f>SUMPRODUCT(Calc!$K$3:$K$22*(Calc!$G$3:$G$22&gt;B2448)*(Calc!$G$3:$G$22-B2448))</f>
        <v/>
      </c>
      <c r="I2448">
        <f>SUMPRODUCT(Calc!$K$3:$K$22*(Calc!$G$3:$G$22&gt;A2448)*(Calc!$G$3:$G$22-A2448)^2)</f>
        <v/>
      </c>
      <c r="J2448">
        <f>SUMPRODUCT(Calc!$K$3:$K$22*(Calc!$G$3:$G$22&gt;B2448)*(Calc!$G$3:$G$22-B2448)^2)</f>
        <v/>
      </c>
      <c r="K2448">
        <f>SUMPRODUCT(Calc!$K$3:$K$22*(Calc!$G$3:$G$22&gt;A2448)*(Calc!$G$3:$G$22-A2448)*(Calc!$G$3:$G$22&gt;B2448)*(Calc!$G$3:$G$22-B2448))</f>
        <v/>
      </c>
      <c r="L2448">
        <f>SUMPRODUCT(Calc!$K$3:$K$22*(Calc!$G$3:$G$22&gt;A2448)*(Calc!$G$3:$G$22-A2448)*Calc!$G$3:$G$22)</f>
        <v/>
      </c>
      <c r="M2448">
        <f>SUMPRODUCT(Calc!$K$3:$K$22*(Calc!$G$3:$G$22&gt;B2448)*(Calc!$G$3:$G$22-B2448)*Calc!$G$3:$G$22)</f>
        <v/>
      </c>
      <c r="N2448">
        <f>SUMPRODUCT(Calc!$K$3:$K$22*(Calc!$G$3:$G$22&gt;A2448)*(Calc!$G$3:$G$22-A2448)*Calc!$I$3:$I$22)</f>
        <v/>
      </c>
      <c r="O2448">
        <f>SUMPRODUCT(Calc!$K$3:$K$22*(Calc!$G$3:$G$22&gt;B2448)*(Calc!$G$3:$G$22-B2448)*Calc!$I$3:$I$22)</f>
        <v/>
      </c>
      <c r="P2448">
        <f>I2448-G2448^2/k_n</f>
        <v/>
      </c>
      <c r="Q2448">
        <f>J2448-H2448^2/k_n</f>
        <v/>
      </c>
      <c r="R2448">
        <f>K2448-G2448*H2448/k_n</f>
        <v/>
      </c>
      <c r="S2448">
        <f>L2448-LTP3!$D$3*G2448/k_n</f>
        <v/>
      </c>
      <c r="T2448">
        <f>M2448-LTP3!$D$3*H2448/k_n</f>
        <v/>
      </c>
      <c r="U2448">
        <f>N2448-G2448*LTP3!$D$4/k_n</f>
        <v/>
      </c>
      <c r="V2448">
        <f>O2448-H2448*LTP3!$D$4/k_n</f>
        <v/>
      </c>
      <c r="W2448">
        <f>((LTP3!$D$5)*((P2448)*(Q2448)-(R2448)*(R2448))-(S2448)*((S2448)*(Q2448)-(R2448)*(T2448))+(T2448)*((S2448)*(R2448)-(P2448)*(T2448)))</f>
        <v/>
      </c>
      <c r="X2448">
        <f>IF(ABS(W2448)&gt;1E-12,((LTP3!$D$6)*((P2448)*(Q2448)-(R2448)*(R2448))-(S2448)*((U2448)*(Q2448)-(R2448)*(V2448))+(T2448)*((U2448)*(R2448)-(P2448)*(V2448)))/W2448,0)</f>
        <v/>
      </c>
      <c r="Y2448">
        <f>IF(ABS(W2448)&gt;1E-12,((LTP3!$D$5)*((U2448)*(Q2448)-(R2448)*(V2448))-(LTP3!$D$6)*((S2448)*(Q2448)-(R2448)*(T2448))+(T2448)*((S2448)*(V2448)-(U2448)*(T2448)))/W2448,0)</f>
        <v/>
      </c>
      <c r="Z2448">
        <f>IF(ABS(W2448)&gt;1E-12,((LTP3!$D$5)*((P2448)*(V2448)-(U2448)*(R2448))-(S2448)*((S2448)*(V2448)-(U2448)*(T2448))+(LTP3!$D$6)*((S2448)*(R2448)-(P2448)*(T2448)))/W2448,0)</f>
        <v/>
      </c>
      <c r="AA2448">
        <f>LTP3!$D$7-X2448*LTP3!$D$6-Y2448*U2448-Z2448*V2448</f>
        <v/>
      </c>
      <c r="AB2448">
        <f>IF(AND(F2448,ABS(W2448)&gt;1E-12,Y2448&gt;0,Z2448&gt;0),AA2448,1E+300)</f>
        <v/>
      </c>
    </row>
    <row r="2449">
      <c r="A2449">
        <f>$B$3+$B$5*39</f>
        <v/>
      </c>
      <c r="B2449">
        <f>$B$3+$B$5*58</f>
        <v/>
      </c>
      <c r="C2449">
        <f>SUMPRODUCT(Calc!$K$3:$K$22*(Calc!$G$3:$G$22&lt;=A2449))</f>
        <v/>
      </c>
      <c r="D2449">
        <f>SUMPRODUCT(Calc!$K$3:$K$22*(Calc!$G$3:$G$22&gt;A2449)*(Calc!$G$3:$G$22&lt;B2449))</f>
        <v/>
      </c>
      <c r="E2449">
        <f>SUMPRODUCT(Calc!$K$3:$K$22*(Calc!$G$3:$G$22&gt;=B2449))</f>
        <v/>
      </c>
      <c r="F2449">
        <f>AND(k_n&gt;=5,B2449&gt;A2449+1E-9,C2449&gt;=2,D2449&gt;=1,E2449&gt;=2)</f>
        <v/>
      </c>
      <c r="G2449">
        <f>SUMPRODUCT(Calc!$K$3:$K$22*(Calc!$G$3:$G$22&gt;A2449)*(Calc!$G$3:$G$22-A2449))</f>
        <v/>
      </c>
      <c r="H2449">
        <f>SUMPRODUCT(Calc!$K$3:$K$22*(Calc!$G$3:$G$22&gt;B2449)*(Calc!$G$3:$G$22-B2449))</f>
        <v/>
      </c>
      <c r="I2449">
        <f>SUMPRODUCT(Calc!$K$3:$K$22*(Calc!$G$3:$G$22&gt;A2449)*(Calc!$G$3:$G$22-A2449)^2)</f>
        <v/>
      </c>
      <c r="J2449">
        <f>SUMPRODUCT(Calc!$K$3:$K$22*(Calc!$G$3:$G$22&gt;B2449)*(Calc!$G$3:$G$22-B2449)^2)</f>
        <v/>
      </c>
      <c r="K2449">
        <f>SUMPRODUCT(Calc!$K$3:$K$22*(Calc!$G$3:$G$22&gt;A2449)*(Calc!$G$3:$G$22-A2449)*(Calc!$G$3:$G$22&gt;B2449)*(Calc!$G$3:$G$22-B2449))</f>
        <v/>
      </c>
      <c r="L2449">
        <f>SUMPRODUCT(Calc!$K$3:$K$22*(Calc!$G$3:$G$22&gt;A2449)*(Calc!$G$3:$G$22-A2449)*Calc!$G$3:$G$22)</f>
        <v/>
      </c>
      <c r="M2449">
        <f>SUMPRODUCT(Calc!$K$3:$K$22*(Calc!$G$3:$G$22&gt;B2449)*(Calc!$G$3:$G$22-B2449)*Calc!$G$3:$G$22)</f>
        <v/>
      </c>
      <c r="N2449">
        <f>SUMPRODUCT(Calc!$K$3:$K$22*(Calc!$G$3:$G$22&gt;A2449)*(Calc!$G$3:$G$22-A2449)*Calc!$I$3:$I$22)</f>
        <v/>
      </c>
      <c r="O2449">
        <f>SUMPRODUCT(Calc!$K$3:$K$22*(Calc!$G$3:$G$22&gt;B2449)*(Calc!$G$3:$G$22-B2449)*Calc!$I$3:$I$22)</f>
        <v/>
      </c>
      <c r="P2449">
        <f>I2449-G2449^2/k_n</f>
        <v/>
      </c>
      <c r="Q2449">
        <f>J2449-H2449^2/k_n</f>
        <v/>
      </c>
      <c r="R2449">
        <f>K2449-G2449*H2449/k_n</f>
        <v/>
      </c>
      <c r="S2449">
        <f>L2449-LTP3!$D$3*G2449/k_n</f>
        <v/>
      </c>
      <c r="T2449">
        <f>M2449-LTP3!$D$3*H2449/k_n</f>
        <v/>
      </c>
      <c r="U2449">
        <f>N2449-G2449*LTP3!$D$4/k_n</f>
        <v/>
      </c>
      <c r="V2449">
        <f>O2449-H2449*LTP3!$D$4/k_n</f>
        <v/>
      </c>
      <c r="W2449">
        <f>((LTP3!$D$5)*((P2449)*(Q2449)-(R2449)*(R2449))-(S2449)*((S2449)*(Q2449)-(R2449)*(T2449))+(T2449)*((S2449)*(R2449)-(P2449)*(T2449)))</f>
        <v/>
      </c>
      <c r="X2449">
        <f>IF(ABS(W2449)&gt;1E-12,((LTP3!$D$6)*((P2449)*(Q2449)-(R2449)*(R2449))-(S2449)*((U2449)*(Q2449)-(R2449)*(V2449))+(T2449)*((U2449)*(R2449)-(P2449)*(V2449)))/W2449,0)</f>
        <v/>
      </c>
      <c r="Y2449">
        <f>IF(ABS(W2449)&gt;1E-12,((LTP3!$D$5)*((U2449)*(Q2449)-(R2449)*(V2449))-(LTP3!$D$6)*((S2449)*(Q2449)-(R2449)*(T2449))+(T2449)*((S2449)*(V2449)-(U2449)*(T2449)))/W2449,0)</f>
        <v/>
      </c>
      <c r="Z2449">
        <f>IF(ABS(W2449)&gt;1E-12,((LTP3!$D$5)*((P2449)*(V2449)-(U2449)*(R2449))-(S2449)*((S2449)*(V2449)-(U2449)*(T2449))+(LTP3!$D$6)*((S2449)*(R2449)-(P2449)*(T2449)))/W2449,0)</f>
        <v/>
      </c>
      <c r="AA2449">
        <f>LTP3!$D$7-X2449*LTP3!$D$6-Y2449*U2449-Z2449*V2449</f>
        <v/>
      </c>
      <c r="AB2449">
        <f>IF(AND(F2449,ABS(W2449)&gt;1E-12,Y2449&gt;0,Z2449&gt;0),AA2449,1E+300)</f>
        <v/>
      </c>
    </row>
    <row r="2450">
      <c r="A2450">
        <f>$B$3+$B$5*39</f>
        <v/>
      </c>
      <c r="B2450">
        <f>$B$3+$B$5*59</f>
        <v/>
      </c>
      <c r="C2450">
        <f>SUMPRODUCT(Calc!$K$3:$K$22*(Calc!$G$3:$G$22&lt;=A2450))</f>
        <v/>
      </c>
      <c r="D2450">
        <f>SUMPRODUCT(Calc!$K$3:$K$22*(Calc!$G$3:$G$22&gt;A2450)*(Calc!$G$3:$G$22&lt;B2450))</f>
        <v/>
      </c>
      <c r="E2450">
        <f>SUMPRODUCT(Calc!$K$3:$K$22*(Calc!$G$3:$G$22&gt;=B2450))</f>
        <v/>
      </c>
      <c r="F2450">
        <f>AND(k_n&gt;=5,B2450&gt;A2450+1E-9,C2450&gt;=2,D2450&gt;=1,E2450&gt;=2)</f>
        <v/>
      </c>
      <c r="G2450">
        <f>SUMPRODUCT(Calc!$K$3:$K$22*(Calc!$G$3:$G$22&gt;A2450)*(Calc!$G$3:$G$22-A2450))</f>
        <v/>
      </c>
      <c r="H2450">
        <f>SUMPRODUCT(Calc!$K$3:$K$22*(Calc!$G$3:$G$22&gt;B2450)*(Calc!$G$3:$G$22-B2450))</f>
        <v/>
      </c>
      <c r="I2450">
        <f>SUMPRODUCT(Calc!$K$3:$K$22*(Calc!$G$3:$G$22&gt;A2450)*(Calc!$G$3:$G$22-A2450)^2)</f>
        <v/>
      </c>
      <c r="J2450">
        <f>SUMPRODUCT(Calc!$K$3:$K$22*(Calc!$G$3:$G$22&gt;B2450)*(Calc!$G$3:$G$22-B2450)^2)</f>
        <v/>
      </c>
      <c r="K2450">
        <f>SUMPRODUCT(Calc!$K$3:$K$22*(Calc!$G$3:$G$22&gt;A2450)*(Calc!$G$3:$G$22-A2450)*(Calc!$G$3:$G$22&gt;B2450)*(Calc!$G$3:$G$22-B2450))</f>
        <v/>
      </c>
      <c r="L2450">
        <f>SUMPRODUCT(Calc!$K$3:$K$22*(Calc!$G$3:$G$22&gt;A2450)*(Calc!$G$3:$G$22-A2450)*Calc!$G$3:$G$22)</f>
        <v/>
      </c>
      <c r="M2450">
        <f>SUMPRODUCT(Calc!$K$3:$K$22*(Calc!$G$3:$G$22&gt;B2450)*(Calc!$G$3:$G$22-B2450)*Calc!$G$3:$G$22)</f>
        <v/>
      </c>
      <c r="N2450">
        <f>SUMPRODUCT(Calc!$K$3:$K$22*(Calc!$G$3:$G$22&gt;A2450)*(Calc!$G$3:$G$22-A2450)*Calc!$I$3:$I$22)</f>
        <v/>
      </c>
      <c r="O2450">
        <f>SUMPRODUCT(Calc!$K$3:$K$22*(Calc!$G$3:$G$22&gt;B2450)*(Calc!$G$3:$G$22-B2450)*Calc!$I$3:$I$22)</f>
        <v/>
      </c>
      <c r="P2450">
        <f>I2450-G2450^2/k_n</f>
        <v/>
      </c>
      <c r="Q2450">
        <f>J2450-H2450^2/k_n</f>
        <v/>
      </c>
      <c r="R2450">
        <f>K2450-G2450*H2450/k_n</f>
        <v/>
      </c>
      <c r="S2450">
        <f>L2450-LTP3!$D$3*G2450/k_n</f>
        <v/>
      </c>
      <c r="T2450">
        <f>M2450-LTP3!$D$3*H2450/k_n</f>
        <v/>
      </c>
      <c r="U2450">
        <f>N2450-G2450*LTP3!$D$4/k_n</f>
        <v/>
      </c>
      <c r="V2450">
        <f>O2450-H2450*LTP3!$D$4/k_n</f>
        <v/>
      </c>
      <c r="W2450">
        <f>((LTP3!$D$5)*((P2450)*(Q2450)-(R2450)*(R2450))-(S2450)*((S2450)*(Q2450)-(R2450)*(T2450))+(T2450)*((S2450)*(R2450)-(P2450)*(T2450)))</f>
        <v/>
      </c>
      <c r="X2450">
        <f>IF(ABS(W2450)&gt;1E-12,((LTP3!$D$6)*((P2450)*(Q2450)-(R2450)*(R2450))-(S2450)*((U2450)*(Q2450)-(R2450)*(V2450))+(T2450)*((U2450)*(R2450)-(P2450)*(V2450)))/W2450,0)</f>
        <v/>
      </c>
      <c r="Y2450">
        <f>IF(ABS(W2450)&gt;1E-12,((LTP3!$D$5)*((U2450)*(Q2450)-(R2450)*(V2450))-(LTP3!$D$6)*((S2450)*(Q2450)-(R2450)*(T2450))+(T2450)*((S2450)*(V2450)-(U2450)*(T2450)))/W2450,0)</f>
        <v/>
      </c>
      <c r="Z2450">
        <f>IF(ABS(W2450)&gt;1E-12,((LTP3!$D$5)*((P2450)*(V2450)-(U2450)*(R2450))-(S2450)*((S2450)*(V2450)-(U2450)*(T2450))+(LTP3!$D$6)*((S2450)*(R2450)-(P2450)*(T2450)))/W2450,0)</f>
        <v/>
      </c>
      <c r="AA2450">
        <f>LTP3!$D$7-X2450*LTP3!$D$6-Y2450*U2450-Z2450*V2450</f>
        <v/>
      </c>
      <c r="AB2450">
        <f>IF(AND(F2450,ABS(W2450)&gt;1E-12,Y2450&gt;0,Z2450&gt;0),AA2450,1E+300)</f>
        <v/>
      </c>
    </row>
    <row r="2451">
      <c r="A2451">
        <f>$B$3+$B$5*39</f>
        <v/>
      </c>
      <c r="B2451">
        <f>$B$3+$B$5*60</f>
        <v/>
      </c>
      <c r="C2451">
        <f>SUMPRODUCT(Calc!$K$3:$K$22*(Calc!$G$3:$G$22&lt;=A2451))</f>
        <v/>
      </c>
      <c r="D2451">
        <f>SUMPRODUCT(Calc!$K$3:$K$22*(Calc!$G$3:$G$22&gt;A2451)*(Calc!$G$3:$G$22&lt;B2451))</f>
        <v/>
      </c>
      <c r="E2451">
        <f>SUMPRODUCT(Calc!$K$3:$K$22*(Calc!$G$3:$G$22&gt;=B2451))</f>
        <v/>
      </c>
      <c r="F2451">
        <f>AND(k_n&gt;=5,B2451&gt;A2451+1E-9,C2451&gt;=2,D2451&gt;=1,E2451&gt;=2)</f>
        <v/>
      </c>
      <c r="G2451">
        <f>SUMPRODUCT(Calc!$K$3:$K$22*(Calc!$G$3:$G$22&gt;A2451)*(Calc!$G$3:$G$22-A2451))</f>
        <v/>
      </c>
      <c r="H2451">
        <f>SUMPRODUCT(Calc!$K$3:$K$22*(Calc!$G$3:$G$22&gt;B2451)*(Calc!$G$3:$G$22-B2451))</f>
        <v/>
      </c>
      <c r="I2451">
        <f>SUMPRODUCT(Calc!$K$3:$K$22*(Calc!$G$3:$G$22&gt;A2451)*(Calc!$G$3:$G$22-A2451)^2)</f>
        <v/>
      </c>
      <c r="J2451">
        <f>SUMPRODUCT(Calc!$K$3:$K$22*(Calc!$G$3:$G$22&gt;B2451)*(Calc!$G$3:$G$22-B2451)^2)</f>
        <v/>
      </c>
      <c r="K2451">
        <f>SUMPRODUCT(Calc!$K$3:$K$22*(Calc!$G$3:$G$22&gt;A2451)*(Calc!$G$3:$G$22-A2451)*(Calc!$G$3:$G$22&gt;B2451)*(Calc!$G$3:$G$22-B2451))</f>
        <v/>
      </c>
      <c r="L2451">
        <f>SUMPRODUCT(Calc!$K$3:$K$22*(Calc!$G$3:$G$22&gt;A2451)*(Calc!$G$3:$G$22-A2451)*Calc!$G$3:$G$22)</f>
        <v/>
      </c>
      <c r="M2451">
        <f>SUMPRODUCT(Calc!$K$3:$K$22*(Calc!$G$3:$G$22&gt;B2451)*(Calc!$G$3:$G$22-B2451)*Calc!$G$3:$G$22)</f>
        <v/>
      </c>
      <c r="N2451">
        <f>SUMPRODUCT(Calc!$K$3:$K$22*(Calc!$G$3:$G$22&gt;A2451)*(Calc!$G$3:$G$22-A2451)*Calc!$I$3:$I$22)</f>
        <v/>
      </c>
      <c r="O2451">
        <f>SUMPRODUCT(Calc!$K$3:$K$22*(Calc!$G$3:$G$22&gt;B2451)*(Calc!$G$3:$G$22-B2451)*Calc!$I$3:$I$22)</f>
        <v/>
      </c>
      <c r="P2451">
        <f>I2451-G2451^2/k_n</f>
        <v/>
      </c>
      <c r="Q2451">
        <f>J2451-H2451^2/k_n</f>
        <v/>
      </c>
      <c r="R2451">
        <f>K2451-G2451*H2451/k_n</f>
        <v/>
      </c>
      <c r="S2451">
        <f>L2451-LTP3!$D$3*G2451/k_n</f>
        <v/>
      </c>
      <c r="T2451">
        <f>M2451-LTP3!$D$3*H2451/k_n</f>
        <v/>
      </c>
      <c r="U2451">
        <f>N2451-G2451*LTP3!$D$4/k_n</f>
        <v/>
      </c>
      <c r="V2451">
        <f>O2451-H2451*LTP3!$D$4/k_n</f>
        <v/>
      </c>
      <c r="W2451">
        <f>((LTP3!$D$5)*((P2451)*(Q2451)-(R2451)*(R2451))-(S2451)*((S2451)*(Q2451)-(R2451)*(T2451))+(T2451)*((S2451)*(R2451)-(P2451)*(T2451)))</f>
        <v/>
      </c>
      <c r="X2451">
        <f>IF(ABS(W2451)&gt;1E-12,((LTP3!$D$6)*((P2451)*(Q2451)-(R2451)*(R2451))-(S2451)*((U2451)*(Q2451)-(R2451)*(V2451))+(T2451)*((U2451)*(R2451)-(P2451)*(V2451)))/W2451,0)</f>
        <v/>
      </c>
      <c r="Y2451">
        <f>IF(ABS(W2451)&gt;1E-12,((LTP3!$D$5)*((U2451)*(Q2451)-(R2451)*(V2451))-(LTP3!$D$6)*((S2451)*(Q2451)-(R2451)*(T2451))+(T2451)*((S2451)*(V2451)-(U2451)*(T2451)))/W2451,0)</f>
        <v/>
      </c>
      <c r="Z2451">
        <f>IF(ABS(W2451)&gt;1E-12,((LTP3!$D$5)*((P2451)*(V2451)-(U2451)*(R2451))-(S2451)*((S2451)*(V2451)-(U2451)*(T2451))+(LTP3!$D$6)*((S2451)*(R2451)-(P2451)*(T2451)))/W2451,0)</f>
        <v/>
      </c>
      <c r="AA2451">
        <f>LTP3!$D$7-X2451*LTP3!$D$6-Y2451*U2451-Z2451*V2451</f>
        <v/>
      </c>
      <c r="AB2451">
        <f>IF(AND(F2451,ABS(W2451)&gt;1E-12,Y2451&gt;0,Z2451&gt;0),AA2451,1E+300)</f>
        <v/>
      </c>
    </row>
    <row r="2452">
      <c r="A2452">
        <f>$B$3+$B$5*40</f>
        <v/>
      </c>
      <c r="B2452">
        <f>$B$3+$B$5*0</f>
        <v/>
      </c>
      <c r="C2452">
        <f>SUMPRODUCT(Calc!$K$3:$K$22*(Calc!$G$3:$G$22&lt;=A2452))</f>
        <v/>
      </c>
      <c r="D2452">
        <f>SUMPRODUCT(Calc!$K$3:$K$22*(Calc!$G$3:$G$22&gt;A2452)*(Calc!$G$3:$G$22&lt;B2452))</f>
        <v/>
      </c>
      <c r="E2452">
        <f>SUMPRODUCT(Calc!$K$3:$K$22*(Calc!$G$3:$G$22&gt;=B2452))</f>
        <v/>
      </c>
      <c r="F2452">
        <f>AND(k_n&gt;=5,B2452&gt;A2452+1E-9,C2452&gt;=2,D2452&gt;=1,E2452&gt;=2)</f>
        <v/>
      </c>
      <c r="G2452">
        <f>SUMPRODUCT(Calc!$K$3:$K$22*(Calc!$G$3:$G$22&gt;A2452)*(Calc!$G$3:$G$22-A2452))</f>
        <v/>
      </c>
      <c r="H2452">
        <f>SUMPRODUCT(Calc!$K$3:$K$22*(Calc!$G$3:$G$22&gt;B2452)*(Calc!$G$3:$G$22-B2452))</f>
        <v/>
      </c>
      <c r="I2452">
        <f>SUMPRODUCT(Calc!$K$3:$K$22*(Calc!$G$3:$G$22&gt;A2452)*(Calc!$G$3:$G$22-A2452)^2)</f>
        <v/>
      </c>
      <c r="J2452">
        <f>SUMPRODUCT(Calc!$K$3:$K$22*(Calc!$G$3:$G$22&gt;B2452)*(Calc!$G$3:$G$22-B2452)^2)</f>
        <v/>
      </c>
      <c r="K2452">
        <f>SUMPRODUCT(Calc!$K$3:$K$22*(Calc!$G$3:$G$22&gt;A2452)*(Calc!$G$3:$G$22-A2452)*(Calc!$G$3:$G$22&gt;B2452)*(Calc!$G$3:$G$22-B2452))</f>
        <v/>
      </c>
      <c r="L2452">
        <f>SUMPRODUCT(Calc!$K$3:$K$22*(Calc!$G$3:$G$22&gt;A2452)*(Calc!$G$3:$G$22-A2452)*Calc!$G$3:$G$22)</f>
        <v/>
      </c>
      <c r="M2452">
        <f>SUMPRODUCT(Calc!$K$3:$K$22*(Calc!$G$3:$G$22&gt;B2452)*(Calc!$G$3:$G$22-B2452)*Calc!$G$3:$G$22)</f>
        <v/>
      </c>
      <c r="N2452">
        <f>SUMPRODUCT(Calc!$K$3:$K$22*(Calc!$G$3:$G$22&gt;A2452)*(Calc!$G$3:$G$22-A2452)*Calc!$I$3:$I$22)</f>
        <v/>
      </c>
      <c r="O2452">
        <f>SUMPRODUCT(Calc!$K$3:$K$22*(Calc!$G$3:$G$22&gt;B2452)*(Calc!$G$3:$G$22-B2452)*Calc!$I$3:$I$22)</f>
        <v/>
      </c>
      <c r="P2452">
        <f>I2452-G2452^2/k_n</f>
        <v/>
      </c>
      <c r="Q2452">
        <f>J2452-H2452^2/k_n</f>
        <v/>
      </c>
      <c r="R2452">
        <f>K2452-G2452*H2452/k_n</f>
        <v/>
      </c>
      <c r="S2452">
        <f>L2452-LTP3!$D$3*G2452/k_n</f>
        <v/>
      </c>
      <c r="T2452">
        <f>M2452-LTP3!$D$3*H2452/k_n</f>
        <v/>
      </c>
      <c r="U2452">
        <f>N2452-G2452*LTP3!$D$4/k_n</f>
        <v/>
      </c>
      <c r="V2452">
        <f>O2452-H2452*LTP3!$D$4/k_n</f>
        <v/>
      </c>
      <c r="W2452">
        <f>((LTP3!$D$5)*((P2452)*(Q2452)-(R2452)*(R2452))-(S2452)*((S2452)*(Q2452)-(R2452)*(T2452))+(T2452)*((S2452)*(R2452)-(P2452)*(T2452)))</f>
        <v/>
      </c>
      <c r="X2452">
        <f>IF(ABS(W2452)&gt;1E-12,((LTP3!$D$6)*((P2452)*(Q2452)-(R2452)*(R2452))-(S2452)*((U2452)*(Q2452)-(R2452)*(V2452))+(T2452)*((U2452)*(R2452)-(P2452)*(V2452)))/W2452,0)</f>
        <v/>
      </c>
      <c r="Y2452">
        <f>IF(ABS(W2452)&gt;1E-12,((LTP3!$D$5)*((U2452)*(Q2452)-(R2452)*(V2452))-(LTP3!$D$6)*((S2452)*(Q2452)-(R2452)*(T2452))+(T2452)*((S2452)*(V2452)-(U2452)*(T2452)))/W2452,0)</f>
        <v/>
      </c>
      <c r="Z2452">
        <f>IF(ABS(W2452)&gt;1E-12,((LTP3!$D$5)*((P2452)*(V2452)-(U2452)*(R2452))-(S2452)*((S2452)*(V2452)-(U2452)*(T2452))+(LTP3!$D$6)*((S2452)*(R2452)-(P2452)*(T2452)))/W2452,0)</f>
        <v/>
      </c>
      <c r="AA2452">
        <f>LTP3!$D$7-X2452*LTP3!$D$6-Y2452*U2452-Z2452*V2452</f>
        <v/>
      </c>
      <c r="AB2452">
        <f>IF(AND(F2452,ABS(W2452)&gt;1E-12,Y2452&gt;0,Z2452&gt;0),AA2452,1E+300)</f>
        <v/>
      </c>
    </row>
    <row r="2453">
      <c r="A2453">
        <f>$B$3+$B$5*40</f>
        <v/>
      </c>
      <c r="B2453">
        <f>$B$3+$B$5*1</f>
        <v/>
      </c>
      <c r="C2453">
        <f>SUMPRODUCT(Calc!$K$3:$K$22*(Calc!$G$3:$G$22&lt;=A2453))</f>
        <v/>
      </c>
      <c r="D2453">
        <f>SUMPRODUCT(Calc!$K$3:$K$22*(Calc!$G$3:$G$22&gt;A2453)*(Calc!$G$3:$G$22&lt;B2453))</f>
        <v/>
      </c>
      <c r="E2453">
        <f>SUMPRODUCT(Calc!$K$3:$K$22*(Calc!$G$3:$G$22&gt;=B2453))</f>
        <v/>
      </c>
      <c r="F2453">
        <f>AND(k_n&gt;=5,B2453&gt;A2453+1E-9,C2453&gt;=2,D2453&gt;=1,E2453&gt;=2)</f>
        <v/>
      </c>
      <c r="G2453">
        <f>SUMPRODUCT(Calc!$K$3:$K$22*(Calc!$G$3:$G$22&gt;A2453)*(Calc!$G$3:$G$22-A2453))</f>
        <v/>
      </c>
      <c r="H2453">
        <f>SUMPRODUCT(Calc!$K$3:$K$22*(Calc!$G$3:$G$22&gt;B2453)*(Calc!$G$3:$G$22-B2453))</f>
        <v/>
      </c>
      <c r="I2453">
        <f>SUMPRODUCT(Calc!$K$3:$K$22*(Calc!$G$3:$G$22&gt;A2453)*(Calc!$G$3:$G$22-A2453)^2)</f>
        <v/>
      </c>
      <c r="J2453">
        <f>SUMPRODUCT(Calc!$K$3:$K$22*(Calc!$G$3:$G$22&gt;B2453)*(Calc!$G$3:$G$22-B2453)^2)</f>
        <v/>
      </c>
      <c r="K2453">
        <f>SUMPRODUCT(Calc!$K$3:$K$22*(Calc!$G$3:$G$22&gt;A2453)*(Calc!$G$3:$G$22-A2453)*(Calc!$G$3:$G$22&gt;B2453)*(Calc!$G$3:$G$22-B2453))</f>
        <v/>
      </c>
      <c r="L2453">
        <f>SUMPRODUCT(Calc!$K$3:$K$22*(Calc!$G$3:$G$22&gt;A2453)*(Calc!$G$3:$G$22-A2453)*Calc!$G$3:$G$22)</f>
        <v/>
      </c>
      <c r="M2453">
        <f>SUMPRODUCT(Calc!$K$3:$K$22*(Calc!$G$3:$G$22&gt;B2453)*(Calc!$G$3:$G$22-B2453)*Calc!$G$3:$G$22)</f>
        <v/>
      </c>
      <c r="N2453">
        <f>SUMPRODUCT(Calc!$K$3:$K$22*(Calc!$G$3:$G$22&gt;A2453)*(Calc!$G$3:$G$22-A2453)*Calc!$I$3:$I$22)</f>
        <v/>
      </c>
      <c r="O2453">
        <f>SUMPRODUCT(Calc!$K$3:$K$22*(Calc!$G$3:$G$22&gt;B2453)*(Calc!$G$3:$G$22-B2453)*Calc!$I$3:$I$22)</f>
        <v/>
      </c>
      <c r="P2453">
        <f>I2453-G2453^2/k_n</f>
        <v/>
      </c>
      <c r="Q2453">
        <f>J2453-H2453^2/k_n</f>
        <v/>
      </c>
      <c r="R2453">
        <f>K2453-G2453*H2453/k_n</f>
        <v/>
      </c>
      <c r="S2453">
        <f>L2453-LTP3!$D$3*G2453/k_n</f>
        <v/>
      </c>
      <c r="T2453">
        <f>M2453-LTP3!$D$3*H2453/k_n</f>
        <v/>
      </c>
      <c r="U2453">
        <f>N2453-G2453*LTP3!$D$4/k_n</f>
        <v/>
      </c>
      <c r="V2453">
        <f>O2453-H2453*LTP3!$D$4/k_n</f>
        <v/>
      </c>
      <c r="W2453">
        <f>((LTP3!$D$5)*((P2453)*(Q2453)-(R2453)*(R2453))-(S2453)*((S2453)*(Q2453)-(R2453)*(T2453))+(T2453)*((S2453)*(R2453)-(P2453)*(T2453)))</f>
        <v/>
      </c>
      <c r="X2453">
        <f>IF(ABS(W2453)&gt;1E-12,((LTP3!$D$6)*((P2453)*(Q2453)-(R2453)*(R2453))-(S2453)*((U2453)*(Q2453)-(R2453)*(V2453))+(T2453)*((U2453)*(R2453)-(P2453)*(V2453)))/W2453,0)</f>
        <v/>
      </c>
      <c r="Y2453">
        <f>IF(ABS(W2453)&gt;1E-12,((LTP3!$D$5)*((U2453)*(Q2453)-(R2453)*(V2453))-(LTP3!$D$6)*((S2453)*(Q2453)-(R2453)*(T2453))+(T2453)*((S2453)*(V2453)-(U2453)*(T2453)))/W2453,0)</f>
        <v/>
      </c>
      <c r="Z2453">
        <f>IF(ABS(W2453)&gt;1E-12,((LTP3!$D$5)*((P2453)*(V2453)-(U2453)*(R2453))-(S2453)*((S2453)*(V2453)-(U2453)*(T2453))+(LTP3!$D$6)*((S2453)*(R2453)-(P2453)*(T2453)))/W2453,0)</f>
        <v/>
      </c>
      <c r="AA2453">
        <f>LTP3!$D$7-X2453*LTP3!$D$6-Y2453*U2453-Z2453*V2453</f>
        <v/>
      </c>
      <c r="AB2453">
        <f>IF(AND(F2453,ABS(W2453)&gt;1E-12,Y2453&gt;0,Z2453&gt;0),AA2453,1E+300)</f>
        <v/>
      </c>
    </row>
    <row r="2454">
      <c r="A2454">
        <f>$B$3+$B$5*40</f>
        <v/>
      </c>
      <c r="B2454">
        <f>$B$3+$B$5*2</f>
        <v/>
      </c>
      <c r="C2454">
        <f>SUMPRODUCT(Calc!$K$3:$K$22*(Calc!$G$3:$G$22&lt;=A2454))</f>
        <v/>
      </c>
      <c r="D2454">
        <f>SUMPRODUCT(Calc!$K$3:$K$22*(Calc!$G$3:$G$22&gt;A2454)*(Calc!$G$3:$G$22&lt;B2454))</f>
        <v/>
      </c>
      <c r="E2454">
        <f>SUMPRODUCT(Calc!$K$3:$K$22*(Calc!$G$3:$G$22&gt;=B2454))</f>
        <v/>
      </c>
      <c r="F2454">
        <f>AND(k_n&gt;=5,B2454&gt;A2454+1E-9,C2454&gt;=2,D2454&gt;=1,E2454&gt;=2)</f>
        <v/>
      </c>
      <c r="G2454">
        <f>SUMPRODUCT(Calc!$K$3:$K$22*(Calc!$G$3:$G$22&gt;A2454)*(Calc!$G$3:$G$22-A2454))</f>
        <v/>
      </c>
      <c r="H2454">
        <f>SUMPRODUCT(Calc!$K$3:$K$22*(Calc!$G$3:$G$22&gt;B2454)*(Calc!$G$3:$G$22-B2454))</f>
        <v/>
      </c>
      <c r="I2454">
        <f>SUMPRODUCT(Calc!$K$3:$K$22*(Calc!$G$3:$G$22&gt;A2454)*(Calc!$G$3:$G$22-A2454)^2)</f>
        <v/>
      </c>
      <c r="J2454">
        <f>SUMPRODUCT(Calc!$K$3:$K$22*(Calc!$G$3:$G$22&gt;B2454)*(Calc!$G$3:$G$22-B2454)^2)</f>
        <v/>
      </c>
      <c r="K2454">
        <f>SUMPRODUCT(Calc!$K$3:$K$22*(Calc!$G$3:$G$22&gt;A2454)*(Calc!$G$3:$G$22-A2454)*(Calc!$G$3:$G$22&gt;B2454)*(Calc!$G$3:$G$22-B2454))</f>
        <v/>
      </c>
      <c r="L2454">
        <f>SUMPRODUCT(Calc!$K$3:$K$22*(Calc!$G$3:$G$22&gt;A2454)*(Calc!$G$3:$G$22-A2454)*Calc!$G$3:$G$22)</f>
        <v/>
      </c>
      <c r="M2454">
        <f>SUMPRODUCT(Calc!$K$3:$K$22*(Calc!$G$3:$G$22&gt;B2454)*(Calc!$G$3:$G$22-B2454)*Calc!$G$3:$G$22)</f>
        <v/>
      </c>
      <c r="N2454">
        <f>SUMPRODUCT(Calc!$K$3:$K$22*(Calc!$G$3:$G$22&gt;A2454)*(Calc!$G$3:$G$22-A2454)*Calc!$I$3:$I$22)</f>
        <v/>
      </c>
      <c r="O2454">
        <f>SUMPRODUCT(Calc!$K$3:$K$22*(Calc!$G$3:$G$22&gt;B2454)*(Calc!$G$3:$G$22-B2454)*Calc!$I$3:$I$22)</f>
        <v/>
      </c>
      <c r="P2454">
        <f>I2454-G2454^2/k_n</f>
        <v/>
      </c>
      <c r="Q2454">
        <f>J2454-H2454^2/k_n</f>
        <v/>
      </c>
      <c r="R2454">
        <f>K2454-G2454*H2454/k_n</f>
        <v/>
      </c>
      <c r="S2454">
        <f>L2454-LTP3!$D$3*G2454/k_n</f>
        <v/>
      </c>
      <c r="T2454">
        <f>M2454-LTP3!$D$3*H2454/k_n</f>
        <v/>
      </c>
      <c r="U2454">
        <f>N2454-G2454*LTP3!$D$4/k_n</f>
        <v/>
      </c>
      <c r="V2454">
        <f>O2454-H2454*LTP3!$D$4/k_n</f>
        <v/>
      </c>
      <c r="W2454">
        <f>((LTP3!$D$5)*((P2454)*(Q2454)-(R2454)*(R2454))-(S2454)*((S2454)*(Q2454)-(R2454)*(T2454))+(T2454)*((S2454)*(R2454)-(P2454)*(T2454)))</f>
        <v/>
      </c>
      <c r="X2454">
        <f>IF(ABS(W2454)&gt;1E-12,((LTP3!$D$6)*((P2454)*(Q2454)-(R2454)*(R2454))-(S2454)*((U2454)*(Q2454)-(R2454)*(V2454))+(T2454)*((U2454)*(R2454)-(P2454)*(V2454)))/W2454,0)</f>
        <v/>
      </c>
      <c r="Y2454">
        <f>IF(ABS(W2454)&gt;1E-12,((LTP3!$D$5)*((U2454)*(Q2454)-(R2454)*(V2454))-(LTP3!$D$6)*((S2454)*(Q2454)-(R2454)*(T2454))+(T2454)*((S2454)*(V2454)-(U2454)*(T2454)))/W2454,0)</f>
        <v/>
      </c>
      <c r="Z2454">
        <f>IF(ABS(W2454)&gt;1E-12,((LTP3!$D$5)*((P2454)*(V2454)-(U2454)*(R2454))-(S2454)*((S2454)*(V2454)-(U2454)*(T2454))+(LTP3!$D$6)*((S2454)*(R2454)-(P2454)*(T2454)))/W2454,0)</f>
        <v/>
      </c>
      <c r="AA2454">
        <f>LTP3!$D$7-X2454*LTP3!$D$6-Y2454*U2454-Z2454*V2454</f>
        <v/>
      </c>
      <c r="AB2454">
        <f>IF(AND(F2454,ABS(W2454)&gt;1E-12,Y2454&gt;0,Z2454&gt;0),AA2454,1E+300)</f>
        <v/>
      </c>
    </row>
    <row r="2455">
      <c r="A2455">
        <f>$B$3+$B$5*40</f>
        <v/>
      </c>
      <c r="B2455">
        <f>$B$3+$B$5*3</f>
        <v/>
      </c>
      <c r="C2455">
        <f>SUMPRODUCT(Calc!$K$3:$K$22*(Calc!$G$3:$G$22&lt;=A2455))</f>
        <v/>
      </c>
      <c r="D2455">
        <f>SUMPRODUCT(Calc!$K$3:$K$22*(Calc!$G$3:$G$22&gt;A2455)*(Calc!$G$3:$G$22&lt;B2455))</f>
        <v/>
      </c>
      <c r="E2455">
        <f>SUMPRODUCT(Calc!$K$3:$K$22*(Calc!$G$3:$G$22&gt;=B2455))</f>
        <v/>
      </c>
      <c r="F2455">
        <f>AND(k_n&gt;=5,B2455&gt;A2455+1E-9,C2455&gt;=2,D2455&gt;=1,E2455&gt;=2)</f>
        <v/>
      </c>
      <c r="G2455">
        <f>SUMPRODUCT(Calc!$K$3:$K$22*(Calc!$G$3:$G$22&gt;A2455)*(Calc!$G$3:$G$22-A2455))</f>
        <v/>
      </c>
      <c r="H2455">
        <f>SUMPRODUCT(Calc!$K$3:$K$22*(Calc!$G$3:$G$22&gt;B2455)*(Calc!$G$3:$G$22-B2455))</f>
        <v/>
      </c>
      <c r="I2455">
        <f>SUMPRODUCT(Calc!$K$3:$K$22*(Calc!$G$3:$G$22&gt;A2455)*(Calc!$G$3:$G$22-A2455)^2)</f>
        <v/>
      </c>
      <c r="J2455">
        <f>SUMPRODUCT(Calc!$K$3:$K$22*(Calc!$G$3:$G$22&gt;B2455)*(Calc!$G$3:$G$22-B2455)^2)</f>
        <v/>
      </c>
      <c r="K2455">
        <f>SUMPRODUCT(Calc!$K$3:$K$22*(Calc!$G$3:$G$22&gt;A2455)*(Calc!$G$3:$G$22-A2455)*(Calc!$G$3:$G$22&gt;B2455)*(Calc!$G$3:$G$22-B2455))</f>
        <v/>
      </c>
      <c r="L2455">
        <f>SUMPRODUCT(Calc!$K$3:$K$22*(Calc!$G$3:$G$22&gt;A2455)*(Calc!$G$3:$G$22-A2455)*Calc!$G$3:$G$22)</f>
        <v/>
      </c>
      <c r="M2455">
        <f>SUMPRODUCT(Calc!$K$3:$K$22*(Calc!$G$3:$G$22&gt;B2455)*(Calc!$G$3:$G$22-B2455)*Calc!$G$3:$G$22)</f>
        <v/>
      </c>
      <c r="N2455">
        <f>SUMPRODUCT(Calc!$K$3:$K$22*(Calc!$G$3:$G$22&gt;A2455)*(Calc!$G$3:$G$22-A2455)*Calc!$I$3:$I$22)</f>
        <v/>
      </c>
      <c r="O2455">
        <f>SUMPRODUCT(Calc!$K$3:$K$22*(Calc!$G$3:$G$22&gt;B2455)*(Calc!$G$3:$G$22-B2455)*Calc!$I$3:$I$22)</f>
        <v/>
      </c>
      <c r="P2455">
        <f>I2455-G2455^2/k_n</f>
        <v/>
      </c>
      <c r="Q2455">
        <f>J2455-H2455^2/k_n</f>
        <v/>
      </c>
      <c r="R2455">
        <f>K2455-G2455*H2455/k_n</f>
        <v/>
      </c>
      <c r="S2455">
        <f>L2455-LTP3!$D$3*G2455/k_n</f>
        <v/>
      </c>
      <c r="T2455">
        <f>M2455-LTP3!$D$3*H2455/k_n</f>
        <v/>
      </c>
      <c r="U2455">
        <f>N2455-G2455*LTP3!$D$4/k_n</f>
        <v/>
      </c>
      <c r="V2455">
        <f>O2455-H2455*LTP3!$D$4/k_n</f>
        <v/>
      </c>
      <c r="W2455">
        <f>((LTP3!$D$5)*((P2455)*(Q2455)-(R2455)*(R2455))-(S2455)*((S2455)*(Q2455)-(R2455)*(T2455))+(T2455)*((S2455)*(R2455)-(P2455)*(T2455)))</f>
        <v/>
      </c>
      <c r="X2455">
        <f>IF(ABS(W2455)&gt;1E-12,((LTP3!$D$6)*((P2455)*(Q2455)-(R2455)*(R2455))-(S2455)*((U2455)*(Q2455)-(R2455)*(V2455))+(T2455)*((U2455)*(R2455)-(P2455)*(V2455)))/W2455,0)</f>
        <v/>
      </c>
      <c r="Y2455">
        <f>IF(ABS(W2455)&gt;1E-12,((LTP3!$D$5)*((U2455)*(Q2455)-(R2455)*(V2455))-(LTP3!$D$6)*((S2455)*(Q2455)-(R2455)*(T2455))+(T2455)*((S2455)*(V2455)-(U2455)*(T2455)))/W2455,0)</f>
        <v/>
      </c>
      <c r="Z2455">
        <f>IF(ABS(W2455)&gt;1E-12,((LTP3!$D$5)*((P2455)*(V2455)-(U2455)*(R2455))-(S2455)*((S2455)*(V2455)-(U2455)*(T2455))+(LTP3!$D$6)*((S2455)*(R2455)-(P2455)*(T2455)))/W2455,0)</f>
        <v/>
      </c>
      <c r="AA2455">
        <f>LTP3!$D$7-X2455*LTP3!$D$6-Y2455*U2455-Z2455*V2455</f>
        <v/>
      </c>
      <c r="AB2455">
        <f>IF(AND(F2455,ABS(W2455)&gt;1E-12,Y2455&gt;0,Z2455&gt;0),AA2455,1E+300)</f>
        <v/>
      </c>
    </row>
    <row r="2456">
      <c r="A2456">
        <f>$B$3+$B$5*40</f>
        <v/>
      </c>
      <c r="B2456">
        <f>$B$3+$B$5*4</f>
        <v/>
      </c>
      <c r="C2456">
        <f>SUMPRODUCT(Calc!$K$3:$K$22*(Calc!$G$3:$G$22&lt;=A2456))</f>
        <v/>
      </c>
      <c r="D2456">
        <f>SUMPRODUCT(Calc!$K$3:$K$22*(Calc!$G$3:$G$22&gt;A2456)*(Calc!$G$3:$G$22&lt;B2456))</f>
        <v/>
      </c>
      <c r="E2456">
        <f>SUMPRODUCT(Calc!$K$3:$K$22*(Calc!$G$3:$G$22&gt;=B2456))</f>
        <v/>
      </c>
      <c r="F2456">
        <f>AND(k_n&gt;=5,B2456&gt;A2456+1E-9,C2456&gt;=2,D2456&gt;=1,E2456&gt;=2)</f>
        <v/>
      </c>
      <c r="G2456">
        <f>SUMPRODUCT(Calc!$K$3:$K$22*(Calc!$G$3:$G$22&gt;A2456)*(Calc!$G$3:$G$22-A2456))</f>
        <v/>
      </c>
      <c r="H2456">
        <f>SUMPRODUCT(Calc!$K$3:$K$22*(Calc!$G$3:$G$22&gt;B2456)*(Calc!$G$3:$G$22-B2456))</f>
        <v/>
      </c>
      <c r="I2456">
        <f>SUMPRODUCT(Calc!$K$3:$K$22*(Calc!$G$3:$G$22&gt;A2456)*(Calc!$G$3:$G$22-A2456)^2)</f>
        <v/>
      </c>
      <c r="J2456">
        <f>SUMPRODUCT(Calc!$K$3:$K$22*(Calc!$G$3:$G$22&gt;B2456)*(Calc!$G$3:$G$22-B2456)^2)</f>
        <v/>
      </c>
      <c r="K2456">
        <f>SUMPRODUCT(Calc!$K$3:$K$22*(Calc!$G$3:$G$22&gt;A2456)*(Calc!$G$3:$G$22-A2456)*(Calc!$G$3:$G$22&gt;B2456)*(Calc!$G$3:$G$22-B2456))</f>
        <v/>
      </c>
      <c r="L2456">
        <f>SUMPRODUCT(Calc!$K$3:$K$22*(Calc!$G$3:$G$22&gt;A2456)*(Calc!$G$3:$G$22-A2456)*Calc!$G$3:$G$22)</f>
        <v/>
      </c>
      <c r="M2456">
        <f>SUMPRODUCT(Calc!$K$3:$K$22*(Calc!$G$3:$G$22&gt;B2456)*(Calc!$G$3:$G$22-B2456)*Calc!$G$3:$G$22)</f>
        <v/>
      </c>
      <c r="N2456">
        <f>SUMPRODUCT(Calc!$K$3:$K$22*(Calc!$G$3:$G$22&gt;A2456)*(Calc!$G$3:$G$22-A2456)*Calc!$I$3:$I$22)</f>
        <v/>
      </c>
      <c r="O2456">
        <f>SUMPRODUCT(Calc!$K$3:$K$22*(Calc!$G$3:$G$22&gt;B2456)*(Calc!$G$3:$G$22-B2456)*Calc!$I$3:$I$22)</f>
        <v/>
      </c>
      <c r="P2456">
        <f>I2456-G2456^2/k_n</f>
        <v/>
      </c>
      <c r="Q2456">
        <f>J2456-H2456^2/k_n</f>
        <v/>
      </c>
      <c r="R2456">
        <f>K2456-G2456*H2456/k_n</f>
        <v/>
      </c>
      <c r="S2456">
        <f>L2456-LTP3!$D$3*G2456/k_n</f>
        <v/>
      </c>
      <c r="T2456">
        <f>M2456-LTP3!$D$3*H2456/k_n</f>
        <v/>
      </c>
      <c r="U2456">
        <f>N2456-G2456*LTP3!$D$4/k_n</f>
        <v/>
      </c>
      <c r="V2456">
        <f>O2456-H2456*LTP3!$D$4/k_n</f>
        <v/>
      </c>
      <c r="W2456">
        <f>((LTP3!$D$5)*((P2456)*(Q2456)-(R2456)*(R2456))-(S2456)*((S2456)*(Q2456)-(R2456)*(T2456))+(T2456)*((S2456)*(R2456)-(P2456)*(T2456)))</f>
        <v/>
      </c>
      <c r="X2456">
        <f>IF(ABS(W2456)&gt;1E-12,((LTP3!$D$6)*((P2456)*(Q2456)-(R2456)*(R2456))-(S2456)*((U2456)*(Q2456)-(R2456)*(V2456))+(T2456)*((U2456)*(R2456)-(P2456)*(V2456)))/W2456,0)</f>
        <v/>
      </c>
      <c r="Y2456">
        <f>IF(ABS(W2456)&gt;1E-12,((LTP3!$D$5)*((U2456)*(Q2456)-(R2456)*(V2456))-(LTP3!$D$6)*((S2456)*(Q2456)-(R2456)*(T2456))+(T2456)*((S2456)*(V2456)-(U2456)*(T2456)))/W2456,0)</f>
        <v/>
      </c>
      <c r="Z2456">
        <f>IF(ABS(W2456)&gt;1E-12,((LTP3!$D$5)*((P2456)*(V2456)-(U2456)*(R2456))-(S2456)*((S2456)*(V2456)-(U2456)*(T2456))+(LTP3!$D$6)*((S2456)*(R2456)-(P2456)*(T2456)))/W2456,0)</f>
        <v/>
      </c>
      <c r="AA2456">
        <f>LTP3!$D$7-X2456*LTP3!$D$6-Y2456*U2456-Z2456*V2456</f>
        <v/>
      </c>
      <c r="AB2456">
        <f>IF(AND(F2456,ABS(W2456)&gt;1E-12,Y2456&gt;0,Z2456&gt;0),AA2456,1E+300)</f>
        <v/>
      </c>
    </row>
    <row r="2457">
      <c r="A2457">
        <f>$B$3+$B$5*40</f>
        <v/>
      </c>
      <c r="B2457">
        <f>$B$3+$B$5*5</f>
        <v/>
      </c>
      <c r="C2457">
        <f>SUMPRODUCT(Calc!$K$3:$K$22*(Calc!$G$3:$G$22&lt;=A2457))</f>
        <v/>
      </c>
      <c r="D2457">
        <f>SUMPRODUCT(Calc!$K$3:$K$22*(Calc!$G$3:$G$22&gt;A2457)*(Calc!$G$3:$G$22&lt;B2457))</f>
        <v/>
      </c>
      <c r="E2457">
        <f>SUMPRODUCT(Calc!$K$3:$K$22*(Calc!$G$3:$G$22&gt;=B2457))</f>
        <v/>
      </c>
      <c r="F2457">
        <f>AND(k_n&gt;=5,B2457&gt;A2457+1E-9,C2457&gt;=2,D2457&gt;=1,E2457&gt;=2)</f>
        <v/>
      </c>
      <c r="G2457">
        <f>SUMPRODUCT(Calc!$K$3:$K$22*(Calc!$G$3:$G$22&gt;A2457)*(Calc!$G$3:$G$22-A2457))</f>
        <v/>
      </c>
      <c r="H2457">
        <f>SUMPRODUCT(Calc!$K$3:$K$22*(Calc!$G$3:$G$22&gt;B2457)*(Calc!$G$3:$G$22-B2457))</f>
        <v/>
      </c>
      <c r="I2457">
        <f>SUMPRODUCT(Calc!$K$3:$K$22*(Calc!$G$3:$G$22&gt;A2457)*(Calc!$G$3:$G$22-A2457)^2)</f>
        <v/>
      </c>
      <c r="J2457">
        <f>SUMPRODUCT(Calc!$K$3:$K$22*(Calc!$G$3:$G$22&gt;B2457)*(Calc!$G$3:$G$22-B2457)^2)</f>
        <v/>
      </c>
      <c r="K2457">
        <f>SUMPRODUCT(Calc!$K$3:$K$22*(Calc!$G$3:$G$22&gt;A2457)*(Calc!$G$3:$G$22-A2457)*(Calc!$G$3:$G$22&gt;B2457)*(Calc!$G$3:$G$22-B2457))</f>
        <v/>
      </c>
      <c r="L2457">
        <f>SUMPRODUCT(Calc!$K$3:$K$22*(Calc!$G$3:$G$22&gt;A2457)*(Calc!$G$3:$G$22-A2457)*Calc!$G$3:$G$22)</f>
        <v/>
      </c>
      <c r="M2457">
        <f>SUMPRODUCT(Calc!$K$3:$K$22*(Calc!$G$3:$G$22&gt;B2457)*(Calc!$G$3:$G$22-B2457)*Calc!$G$3:$G$22)</f>
        <v/>
      </c>
      <c r="N2457">
        <f>SUMPRODUCT(Calc!$K$3:$K$22*(Calc!$G$3:$G$22&gt;A2457)*(Calc!$G$3:$G$22-A2457)*Calc!$I$3:$I$22)</f>
        <v/>
      </c>
      <c r="O2457">
        <f>SUMPRODUCT(Calc!$K$3:$K$22*(Calc!$G$3:$G$22&gt;B2457)*(Calc!$G$3:$G$22-B2457)*Calc!$I$3:$I$22)</f>
        <v/>
      </c>
      <c r="P2457">
        <f>I2457-G2457^2/k_n</f>
        <v/>
      </c>
      <c r="Q2457">
        <f>J2457-H2457^2/k_n</f>
        <v/>
      </c>
      <c r="R2457">
        <f>K2457-G2457*H2457/k_n</f>
        <v/>
      </c>
      <c r="S2457">
        <f>L2457-LTP3!$D$3*G2457/k_n</f>
        <v/>
      </c>
      <c r="T2457">
        <f>M2457-LTP3!$D$3*H2457/k_n</f>
        <v/>
      </c>
      <c r="U2457">
        <f>N2457-G2457*LTP3!$D$4/k_n</f>
        <v/>
      </c>
      <c r="V2457">
        <f>O2457-H2457*LTP3!$D$4/k_n</f>
        <v/>
      </c>
      <c r="W2457">
        <f>((LTP3!$D$5)*((P2457)*(Q2457)-(R2457)*(R2457))-(S2457)*((S2457)*(Q2457)-(R2457)*(T2457))+(T2457)*((S2457)*(R2457)-(P2457)*(T2457)))</f>
        <v/>
      </c>
      <c r="X2457">
        <f>IF(ABS(W2457)&gt;1E-12,((LTP3!$D$6)*((P2457)*(Q2457)-(R2457)*(R2457))-(S2457)*((U2457)*(Q2457)-(R2457)*(V2457))+(T2457)*((U2457)*(R2457)-(P2457)*(V2457)))/W2457,0)</f>
        <v/>
      </c>
      <c r="Y2457">
        <f>IF(ABS(W2457)&gt;1E-12,((LTP3!$D$5)*((U2457)*(Q2457)-(R2457)*(V2457))-(LTP3!$D$6)*((S2457)*(Q2457)-(R2457)*(T2457))+(T2457)*((S2457)*(V2457)-(U2457)*(T2457)))/W2457,0)</f>
        <v/>
      </c>
      <c r="Z2457">
        <f>IF(ABS(W2457)&gt;1E-12,((LTP3!$D$5)*((P2457)*(V2457)-(U2457)*(R2457))-(S2457)*((S2457)*(V2457)-(U2457)*(T2457))+(LTP3!$D$6)*((S2457)*(R2457)-(P2457)*(T2457)))/W2457,0)</f>
        <v/>
      </c>
      <c r="AA2457">
        <f>LTP3!$D$7-X2457*LTP3!$D$6-Y2457*U2457-Z2457*V2457</f>
        <v/>
      </c>
      <c r="AB2457">
        <f>IF(AND(F2457,ABS(W2457)&gt;1E-12,Y2457&gt;0,Z2457&gt;0),AA2457,1E+300)</f>
        <v/>
      </c>
    </row>
    <row r="2458">
      <c r="A2458">
        <f>$B$3+$B$5*40</f>
        <v/>
      </c>
      <c r="B2458">
        <f>$B$3+$B$5*6</f>
        <v/>
      </c>
      <c r="C2458">
        <f>SUMPRODUCT(Calc!$K$3:$K$22*(Calc!$G$3:$G$22&lt;=A2458))</f>
        <v/>
      </c>
      <c r="D2458">
        <f>SUMPRODUCT(Calc!$K$3:$K$22*(Calc!$G$3:$G$22&gt;A2458)*(Calc!$G$3:$G$22&lt;B2458))</f>
        <v/>
      </c>
      <c r="E2458">
        <f>SUMPRODUCT(Calc!$K$3:$K$22*(Calc!$G$3:$G$22&gt;=B2458))</f>
        <v/>
      </c>
      <c r="F2458">
        <f>AND(k_n&gt;=5,B2458&gt;A2458+1E-9,C2458&gt;=2,D2458&gt;=1,E2458&gt;=2)</f>
        <v/>
      </c>
      <c r="G2458">
        <f>SUMPRODUCT(Calc!$K$3:$K$22*(Calc!$G$3:$G$22&gt;A2458)*(Calc!$G$3:$G$22-A2458))</f>
        <v/>
      </c>
      <c r="H2458">
        <f>SUMPRODUCT(Calc!$K$3:$K$22*(Calc!$G$3:$G$22&gt;B2458)*(Calc!$G$3:$G$22-B2458))</f>
        <v/>
      </c>
      <c r="I2458">
        <f>SUMPRODUCT(Calc!$K$3:$K$22*(Calc!$G$3:$G$22&gt;A2458)*(Calc!$G$3:$G$22-A2458)^2)</f>
        <v/>
      </c>
      <c r="J2458">
        <f>SUMPRODUCT(Calc!$K$3:$K$22*(Calc!$G$3:$G$22&gt;B2458)*(Calc!$G$3:$G$22-B2458)^2)</f>
        <v/>
      </c>
      <c r="K2458">
        <f>SUMPRODUCT(Calc!$K$3:$K$22*(Calc!$G$3:$G$22&gt;A2458)*(Calc!$G$3:$G$22-A2458)*(Calc!$G$3:$G$22&gt;B2458)*(Calc!$G$3:$G$22-B2458))</f>
        <v/>
      </c>
      <c r="L2458">
        <f>SUMPRODUCT(Calc!$K$3:$K$22*(Calc!$G$3:$G$22&gt;A2458)*(Calc!$G$3:$G$22-A2458)*Calc!$G$3:$G$22)</f>
        <v/>
      </c>
      <c r="M2458">
        <f>SUMPRODUCT(Calc!$K$3:$K$22*(Calc!$G$3:$G$22&gt;B2458)*(Calc!$G$3:$G$22-B2458)*Calc!$G$3:$G$22)</f>
        <v/>
      </c>
      <c r="N2458">
        <f>SUMPRODUCT(Calc!$K$3:$K$22*(Calc!$G$3:$G$22&gt;A2458)*(Calc!$G$3:$G$22-A2458)*Calc!$I$3:$I$22)</f>
        <v/>
      </c>
      <c r="O2458">
        <f>SUMPRODUCT(Calc!$K$3:$K$22*(Calc!$G$3:$G$22&gt;B2458)*(Calc!$G$3:$G$22-B2458)*Calc!$I$3:$I$22)</f>
        <v/>
      </c>
      <c r="P2458">
        <f>I2458-G2458^2/k_n</f>
        <v/>
      </c>
      <c r="Q2458">
        <f>J2458-H2458^2/k_n</f>
        <v/>
      </c>
      <c r="R2458">
        <f>K2458-G2458*H2458/k_n</f>
        <v/>
      </c>
      <c r="S2458">
        <f>L2458-LTP3!$D$3*G2458/k_n</f>
        <v/>
      </c>
      <c r="T2458">
        <f>M2458-LTP3!$D$3*H2458/k_n</f>
        <v/>
      </c>
      <c r="U2458">
        <f>N2458-G2458*LTP3!$D$4/k_n</f>
        <v/>
      </c>
      <c r="V2458">
        <f>O2458-H2458*LTP3!$D$4/k_n</f>
        <v/>
      </c>
      <c r="W2458">
        <f>((LTP3!$D$5)*((P2458)*(Q2458)-(R2458)*(R2458))-(S2458)*((S2458)*(Q2458)-(R2458)*(T2458))+(T2458)*((S2458)*(R2458)-(P2458)*(T2458)))</f>
        <v/>
      </c>
      <c r="X2458">
        <f>IF(ABS(W2458)&gt;1E-12,((LTP3!$D$6)*((P2458)*(Q2458)-(R2458)*(R2458))-(S2458)*((U2458)*(Q2458)-(R2458)*(V2458))+(T2458)*((U2458)*(R2458)-(P2458)*(V2458)))/W2458,0)</f>
        <v/>
      </c>
      <c r="Y2458">
        <f>IF(ABS(W2458)&gt;1E-12,((LTP3!$D$5)*((U2458)*(Q2458)-(R2458)*(V2458))-(LTP3!$D$6)*((S2458)*(Q2458)-(R2458)*(T2458))+(T2458)*((S2458)*(V2458)-(U2458)*(T2458)))/W2458,0)</f>
        <v/>
      </c>
      <c r="Z2458">
        <f>IF(ABS(W2458)&gt;1E-12,((LTP3!$D$5)*((P2458)*(V2458)-(U2458)*(R2458))-(S2458)*((S2458)*(V2458)-(U2458)*(T2458))+(LTP3!$D$6)*((S2458)*(R2458)-(P2458)*(T2458)))/W2458,0)</f>
        <v/>
      </c>
      <c r="AA2458">
        <f>LTP3!$D$7-X2458*LTP3!$D$6-Y2458*U2458-Z2458*V2458</f>
        <v/>
      </c>
      <c r="AB2458">
        <f>IF(AND(F2458,ABS(W2458)&gt;1E-12,Y2458&gt;0,Z2458&gt;0),AA2458,1E+300)</f>
        <v/>
      </c>
    </row>
    <row r="2459">
      <c r="A2459">
        <f>$B$3+$B$5*40</f>
        <v/>
      </c>
      <c r="B2459">
        <f>$B$3+$B$5*7</f>
        <v/>
      </c>
      <c r="C2459">
        <f>SUMPRODUCT(Calc!$K$3:$K$22*(Calc!$G$3:$G$22&lt;=A2459))</f>
        <v/>
      </c>
      <c r="D2459">
        <f>SUMPRODUCT(Calc!$K$3:$K$22*(Calc!$G$3:$G$22&gt;A2459)*(Calc!$G$3:$G$22&lt;B2459))</f>
        <v/>
      </c>
      <c r="E2459">
        <f>SUMPRODUCT(Calc!$K$3:$K$22*(Calc!$G$3:$G$22&gt;=B2459))</f>
        <v/>
      </c>
      <c r="F2459">
        <f>AND(k_n&gt;=5,B2459&gt;A2459+1E-9,C2459&gt;=2,D2459&gt;=1,E2459&gt;=2)</f>
        <v/>
      </c>
      <c r="G2459">
        <f>SUMPRODUCT(Calc!$K$3:$K$22*(Calc!$G$3:$G$22&gt;A2459)*(Calc!$G$3:$G$22-A2459))</f>
        <v/>
      </c>
      <c r="H2459">
        <f>SUMPRODUCT(Calc!$K$3:$K$22*(Calc!$G$3:$G$22&gt;B2459)*(Calc!$G$3:$G$22-B2459))</f>
        <v/>
      </c>
      <c r="I2459">
        <f>SUMPRODUCT(Calc!$K$3:$K$22*(Calc!$G$3:$G$22&gt;A2459)*(Calc!$G$3:$G$22-A2459)^2)</f>
        <v/>
      </c>
      <c r="J2459">
        <f>SUMPRODUCT(Calc!$K$3:$K$22*(Calc!$G$3:$G$22&gt;B2459)*(Calc!$G$3:$G$22-B2459)^2)</f>
        <v/>
      </c>
      <c r="K2459">
        <f>SUMPRODUCT(Calc!$K$3:$K$22*(Calc!$G$3:$G$22&gt;A2459)*(Calc!$G$3:$G$22-A2459)*(Calc!$G$3:$G$22&gt;B2459)*(Calc!$G$3:$G$22-B2459))</f>
        <v/>
      </c>
      <c r="L2459">
        <f>SUMPRODUCT(Calc!$K$3:$K$22*(Calc!$G$3:$G$22&gt;A2459)*(Calc!$G$3:$G$22-A2459)*Calc!$G$3:$G$22)</f>
        <v/>
      </c>
      <c r="M2459">
        <f>SUMPRODUCT(Calc!$K$3:$K$22*(Calc!$G$3:$G$22&gt;B2459)*(Calc!$G$3:$G$22-B2459)*Calc!$G$3:$G$22)</f>
        <v/>
      </c>
      <c r="N2459">
        <f>SUMPRODUCT(Calc!$K$3:$K$22*(Calc!$G$3:$G$22&gt;A2459)*(Calc!$G$3:$G$22-A2459)*Calc!$I$3:$I$22)</f>
        <v/>
      </c>
      <c r="O2459">
        <f>SUMPRODUCT(Calc!$K$3:$K$22*(Calc!$G$3:$G$22&gt;B2459)*(Calc!$G$3:$G$22-B2459)*Calc!$I$3:$I$22)</f>
        <v/>
      </c>
      <c r="P2459">
        <f>I2459-G2459^2/k_n</f>
        <v/>
      </c>
      <c r="Q2459">
        <f>J2459-H2459^2/k_n</f>
        <v/>
      </c>
      <c r="R2459">
        <f>K2459-G2459*H2459/k_n</f>
        <v/>
      </c>
      <c r="S2459">
        <f>L2459-LTP3!$D$3*G2459/k_n</f>
        <v/>
      </c>
      <c r="T2459">
        <f>M2459-LTP3!$D$3*H2459/k_n</f>
        <v/>
      </c>
      <c r="U2459">
        <f>N2459-G2459*LTP3!$D$4/k_n</f>
        <v/>
      </c>
      <c r="V2459">
        <f>O2459-H2459*LTP3!$D$4/k_n</f>
        <v/>
      </c>
      <c r="W2459">
        <f>((LTP3!$D$5)*((P2459)*(Q2459)-(R2459)*(R2459))-(S2459)*((S2459)*(Q2459)-(R2459)*(T2459))+(T2459)*((S2459)*(R2459)-(P2459)*(T2459)))</f>
        <v/>
      </c>
      <c r="X2459">
        <f>IF(ABS(W2459)&gt;1E-12,((LTP3!$D$6)*((P2459)*(Q2459)-(R2459)*(R2459))-(S2459)*((U2459)*(Q2459)-(R2459)*(V2459))+(T2459)*((U2459)*(R2459)-(P2459)*(V2459)))/W2459,0)</f>
        <v/>
      </c>
      <c r="Y2459">
        <f>IF(ABS(W2459)&gt;1E-12,((LTP3!$D$5)*((U2459)*(Q2459)-(R2459)*(V2459))-(LTP3!$D$6)*((S2459)*(Q2459)-(R2459)*(T2459))+(T2459)*((S2459)*(V2459)-(U2459)*(T2459)))/W2459,0)</f>
        <v/>
      </c>
      <c r="Z2459">
        <f>IF(ABS(W2459)&gt;1E-12,((LTP3!$D$5)*((P2459)*(V2459)-(U2459)*(R2459))-(S2459)*((S2459)*(V2459)-(U2459)*(T2459))+(LTP3!$D$6)*((S2459)*(R2459)-(P2459)*(T2459)))/W2459,0)</f>
        <v/>
      </c>
      <c r="AA2459">
        <f>LTP3!$D$7-X2459*LTP3!$D$6-Y2459*U2459-Z2459*V2459</f>
        <v/>
      </c>
      <c r="AB2459">
        <f>IF(AND(F2459,ABS(W2459)&gt;1E-12,Y2459&gt;0,Z2459&gt;0),AA2459,1E+300)</f>
        <v/>
      </c>
    </row>
    <row r="2460">
      <c r="A2460">
        <f>$B$3+$B$5*40</f>
        <v/>
      </c>
      <c r="B2460">
        <f>$B$3+$B$5*8</f>
        <v/>
      </c>
      <c r="C2460">
        <f>SUMPRODUCT(Calc!$K$3:$K$22*(Calc!$G$3:$G$22&lt;=A2460))</f>
        <v/>
      </c>
      <c r="D2460">
        <f>SUMPRODUCT(Calc!$K$3:$K$22*(Calc!$G$3:$G$22&gt;A2460)*(Calc!$G$3:$G$22&lt;B2460))</f>
        <v/>
      </c>
      <c r="E2460">
        <f>SUMPRODUCT(Calc!$K$3:$K$22*(Calc!$G$3:$G$22&gt;=B2460))</f>
        <v/>
      </c>
      <c r="F2460">
        <f>AND(k_n&gt;=5,B2460&gt;A2460+1E-9,C2460&gt;=2,D2460&gt;=1,E2460&gt;=2)</f>
        <v/>
      </c>
      <c r="G2460">
        <f>SUMPRODUCT(Calc!$K$3:$K$22*(Calc!$G$3:$G$22&gt;A2460)*(Calc!$G$3:$G$22-A2460))</f>
        <v/>
      </c>
      <c r="H2460">
        <f>SUMPRODUCT(Calc!$K$3:$K$22*(Calc!$G$3:$G$22&gt;B2460)*(Calc!$G$3:$G$22-B2460))</f>
        <v/>
      </c>
      <c r="I2460">
        <f>SUMPRODUCT(Calc!$K$3:$K$22*(Calc!$G$3:$G$22&gt;A2460)*(Calc!$G$3:$G$22-A2460)^2)</f>
        <v/>
      </c>
      <c r="J2460">
        <f>SUMPRODUCT(Calc!$K$3:$K$22*(Calc!$G$3:$G$22&gt;B2460)*(Calc!$G$3:$G$22-B2460)^2)</f>
        <v/>
      </c>
      <c r="K2460">
        <f>SUMPRODUCT(Calc!$K$3:$K$22*(Calc!$G$3:$G$22&gt;A2460)*(Calc!$G$3:$G$22-A2460)*(Calc!$G$3:$G$22&gt;B2460)*(Calc!$G$3:$G$22-B2460))</f>
        <v/>
      </c>
      <c r="L2460">
        <f>SUMPRODUCT(Calc!$K$3:$K$22*(Calc!$G$3:$G$22&gt;A2460)*(Calc!$G$3:$G$22-A2460)*Calc!$G$3:$G$22)</f>
        <v/>
      </c>
      <c r="M2460">
        <f>SUMPRODUCT(Calc!$K$3:$K$22*(Calc!$G$3:$G$22&gt;B2460)*(Calc!$G$3:$G$22-B2460)*Calc!$G$3:$G$22)</f>
        <v/>
      </c>
      <c r="N2460">
        <f>SUMPRODUCT(Calc!$K$3:$K$22*(Calc!$G$3:$G$22&gt;A2460)*(Calc!$G$3:$G$22-A2460)*Calc!$I$3:$I$22)</f>
        <v/>
      </c>
      <c r="O2460">
        <f>SUMPRODUCT(Calc!$K$3:$K$22*(Calc!$G$3:$G$22&gt;B2460)*(Calc!$G$3:$G$22-B2460)*Calc!$I$3:$I$22)</f>
        <v/>
      </c>
      <c r="P2460">
        <f>I2460-G2460^2/k_n</f>
        <v/>
      </c>
      <c r="Q2460">
        <f>J2460-H2460^2/k_n</f>
        <v/>
      </c>
      <c r="R2460">
        <f>K2460-G2460*H2460/k_n</f>
        <v/>
      </c>
      <c r="S2460">
        <f>L2460-LTP3!$D$3*G2460/k_n</f>
        <v/>
      </c>
      <c r="T2460">
        <f>M2460-LTP3!$D$3*H2460/k_n</f>
        <v/>
      </c>
      <c r="U2460">
        <f>N2460-G2460*LTP3!$D$4/k_n</f>
        <v/>
      </c>
      <c r="V2460">
        <f>O2460-H2460*LTP3!$D$4/k_n</f>
        <v/>
      </c>
      <c r="W2460">
        <f>((LTP3!$D$5)*((P2460)*(Q2460)-(R2460)*(R2460))-(S2460)*((S2460)*(Q2460)-(R2460)*(T2460))+(T2460)*((S2460)*(R2460)-(P2460)*(T2460)))</f>
        <v/>
      </c>
      <c r="X2460">
        <f>IF(ABS(W2460)&gt;1E-12,((LTP3!$D$6)*((P2460)*(Q2460)-(R2460)*(R2460))-(S2460)*((U2460)*(Q2460)-(R2460)*(V2460))+(T2460)*((U2460)*(R2460)-(P2460)*(V2460)))/W2460,0)</f>
        <v/>
      </c>
      <c r="Y2460">
        <f>IF(ABS(W2460)&gt;1E-12,((LTP3!$D$5)*((U2460)*(Q2460)-(R2460)*(V2460))-(LTP3!$D$6)*((S2460)*(Q2460)-(R2460)*(T2460))+(T2460)*((S2460)*(V2460)-(U2460)*(T2460)))/W2460,0)</f>
        <v/>
      </c>
      <c r="Z2460">
        <f>IF(ABS(W2460)&gt;1E-12,((LTP3!$D$5)*((P2460)*(V2460)-(U2460)*(R2460))-(S2460)*((S2460)*(V2460)-(U2460)*(T2460))+(LTP3!$D$6)*((S2460)*(R2460)-(P2460)*(T2460)))/W2460,0)</f>
        <v/>
      </c>
      <c r="AA2460">
        <f>LTP3!$D$7-X2460*LTP3!$D$6-Y2460*U2460-Z2460*V2460</f>
        <v/>
      </c>
      <c r="AB2460">
        <f>IF(AND(F2460,ABS(W2460)&gt;1E-12,Y2460&gt;0,Z2460&gt;0),AA2460,1E+300)</f>
        <v/>
      </c>
    </row>
    <row r="2461">
      <c r="A2461">
        <f>$B$3+$B$5*40</f>
        <v/>
      </c>
      <c r="B2461">
        <f>$B$3+$B$5*9</f>
        <v/>
      </c>
      <c r="C2461">
        <f>SUMPRODUCT(Calc!$K$3:$K$22*(Calc!$G$3:$G$22&lt;=A2461))</f>
        <v/>
      </c>
      <c r="D2461">
        <f>SUMPRODUCT(Calc!$K$3:$K$22*(Calc!$G$3:$G$22&gt;A2461)*(Calc!$G$3:$G$22&lt;B2461))</f>
        <v/>
      </c>
      <c r="E2461">
        <f>SUMPRODUCT(Calc!$K$3:$K$22*(Calc!$G$3:$G$22&gt;=B2461))</f>
        <v/>
      </c>
      <c r="F2461">
        <f>AND(k_n&gt;=5,B2461&gt;A2461+1E-9,C2461&gt;=2,D2461&gt;=1,E2461&gt;=2)</f>
        <v/>
      </c>
      <c r="G2461">
        <f>SUMPRODUCT(Calc!$K$3:$K$22*(Calc!$G$3:$G$22&gt;A2461)*(Calc!$G$3:$G$22-A2461))</f>
        <v/>
      </c>
      <c r="H2461">
        <f>SUMPRODUCT(Calc!$K$3:$K$22*(Calc!$G$3:$G$22&gt;B2461)*(Calc!$G$3:$G$22-B2461))</f>
        <v/>
      </c>
      <c r="I2461">
        <f>SUMPRODUCT(Calc!$K$3:$K$22*(Calc!$G$3:$G$22&gt;A2461)*(Calc!$G$3:$G$22-A2461)^2)</f>
        <v/>
      </c>
      <c r="J2461">
        <f>SUMPRODUCT(Calc!$K$3:$K$22*(Calc!$G$3:$G$22&gt;B2461)*(Calc!$G$3:$G$22-B2461)^2)</f>
        <v/>
      </c>
      <c r="K2461">
        <f>SUMPRODUCT(Calc!$K$3:$K$22*(Calc!$G$3:$G$22&gt;A2461)*(Calc!$G$3:$G$22-A2461)*(Calc!$G$3:$G$22&gt;B2461)*(Calc!$G$3:$G$22-B2461))</f>
        <v/>
      </c>
      <c r="L2461">
        <f>SUMPRODUCT(Calc!$K$3:$K$22*(Calc!$G$3:$G$22&gt;A2461)*(Calc!$G$3:$G$22-A2461)*Calc!$G$3:$G$22)</f>
        <v/>
      </c>
      <c r="M2461">
        <f>SUMPRODUCT(Calc!$K$3:$K$22*(Calc!$G$3:$G$22&gt;B2461)*(Calc!$G$3:$G$22-B2461)*Calc!$G$3:$G$22)</f>
        <v/>
      </c>
      <c r="N2461">
        <f>SUMPRODUCT(Calc!$K$3:$K$22*(Calc!$G$3:$G$22&gt;A2461)*(Calc!$G$3:$G$22-A2461)*Calc!$I$3:$I$22)</f>
        <v/>
      </c>
      <c r="O2461">
        <f>SUMPRODUCT(Calc!$K$3:$K$22*(Calc!$G$3:$G$22&gt;B2461)*(Calc!$G$3:$G$22-B2461)*Calc!$I$3:$I$22)</f>
        <v/>
      </c>
      <c r="P2461">
        <f>I2461-G2461^2/k_n</f>
        <v/>
      </c>
      <c r="Q2461">
        <f>J2461-H2461^2/k_n</f>
        <v/>
      </c>
      <c r="R2461">
        <f>K2461-G2461*H2461/k_n</f>
        <v/>
      </c>
      <c r="S2461">
        <f>L2461-LTP3!$D$3*G2461/k_n</f>
        <v/>
      </c>
      <c r="T2461">
        <f>M2461-LTP3!$D$3*H2461/k_n</f>
        <v/>
      </c>
      <c r="U2461">
        <f>N2461-G2461*LTP3!$D$4/k_n</f>
        <v/>
      </c>
      <c r="V2461">
        <f>O2461-H2461*LTP3!$D$4/k_n</f>
        <v/>
      </c>
      <c r="W2461">
        <f>((LTP3!$D$5)*((P2461)*(Q2461)-(R2461)*(R2461))-(S2461)*((S2461)*(Q2461)-(R2461)*(T2461))+(T2461)*((S2461)*(R2461)-(P2461)*(T2461)))</f>
        <v/>
      </c>
      <c r="X2461">
        <f>IF(ABS(W2461)&gt;1E-12,((LTP3!$D$6)*((P2461)*(Q2461)-(R2461)*(R2461))-(S2461)*((U2461)*(Q2461)-(R2461)*(V2461))+(T2461)*((U2461)*(R2461)-(P2461)*(V2461)))/W2461,0)</f>
        <v/>
      </c>
      <c r="Y2461">
        <f>IF(ABS(W2461)&gt;1E-12,((LTP3!$D$5)*((U2461)*(Q2461)-(R2461)*(V2461))-(LTP3!$D$6)*((S2461)*(Q2461)-(R2461)*(T2461))+(T2461)*((S2461)*(V2461)-(U2461)*(T2461)))/W2461,0)</f>
        <v/>
      </c>
      <c r="Z2461">
        <f>IF(ABS(W2461)&gt;1E-12,((LTP3!$D$5)*((P2461)*(V2461)-(U2461)*(R2461))-(S2461)*((S2461)*(V2461)-(U2461)*(T2461))+(LTP3!$D$6)*((S2461)*(R2461)-(P2461)*(T2461)))/W2461,0)</f>
        <v/>
      </c>
      <c r="AA2461">
        <f>LTP3!$D$7-X2461*LTP3!$D$6-Y2461*U2461-Z2461*V2461</f>
        <v/>
      </c>
      <c r="AB2461">
        <f>IF(AND(F2461,ABS(W2461)&gt;1E-12,Y2461&gt;0,Z2461&gt;0),AA2461,1E+300)</f>
        <v/>
      </c>
    </row>
    <row r="2462">
      <c r="A2462">
        <f>$B$3+$B$5*40</f>
        <v/>
      </c>
      <c r="B2462">
        <f>$B$3+$B$5*10</f>
        <v/>
      </c>
      <c r="C2462">
        <f>SUMPRODUCT(Calc!$K$3:$K$22*(Calc!$G$3:$G$22&lt;=A2462))</f>
        <v/>
      </c>
      <c r="D2462">
        <f>SUMPRODUCT(Calc!$K$3:$K$22*(Calc!$G$3:$G$22&gt;A2462)*(Calc!$G$3:$G$22&lt;B2462))</f>
        <v/>
      </c>
      <c r="E2462">
        <f>SUMPRODUCT(Calc!$K$3:$K$22*(Calc!$G$3:$G$22&gt;=B2462))</f>
        <v/>
      </c>
      <c r="F2462">
        <f>AND(k_n&gt;=5,B2462&gt;A2462+1E-9,C2462&gt;=2,D2462&gt;=1,E2462&gt;=2)</f>
        <v/>
      </c>
      <c r="G2462">
        <f>SUMPRODUCT(Calc!$K$3:$K$22*(Calc!$G$3:$G$22&gt;A2462)*(Calc!$G$3:$G$22-A2462))</f>
        <v/>
      </c>
      <c r="H2462">
        <f>SUMPRODUCT(Calc!$K$3:$K$22*(Calc!$G$3:$G$22&gt;B2462)*(Calc!$G$3:$G$22-B2462))</f>
        <v/>
      </c>
      <c r="I2462">
        <f>SUMPRODUCT(Calc!$K$3:$K$22*(Calc!$G$3:$G$22&gt;A2462)*(Calc!$G$3:$G$22-A2462)^2)</f>
        <v/>
      </c>
      <c r="J2462">
        <f>SUMPRODUCT(Calc!$K$3:$K$22*(Calc!$G$3:$G$22&gt;B2462)*(Calc!$G$3:$G$22-B2462)^2)</f>
        <v/>
      </c>
      <c r="K2462">
        <f>SUMPRODUCT(Calc!$K$3:$K$22*(Calc!$G$3:$G$22&gt;A2462)*(Calc!$G$3:$G$22-A2462)*(Calc!$G$3:$G$22&gt;B2462)*(Calc!$G$3:$G$22-B2462))</f>
        <v/>
      </c>
      <c r="L2462">
        <f>SUMPRODUCT(Calc!$K$3:$K$22*(Calc!$G$3:$G$22&gt;A2462)*(Calc!$G$3:$G$22-A2462)*Calc!$G$3:$G$22)</f>
        <v/>
      </c>
      <c r="M2462">
        <f>SUMPRODUCT(Calc!$K$3:$K$22*(Calc!$G$3:$G$22&gt;B2462)*(Calc!$G$3:$G$22-B2462)*Calc!$G$3:$G$22)</f>
        <v/>
      </c>
      <c r="N2462">
        <f>SUMPRODUCT(Calc!$K$3:$K$22*(Calc!$G$3:$G$22&gt;A2462)*(Calc!$G$3:$G$22-A2462)*Calc!$I$3:$I$22)</f>
        <v/>
      </c>
      <c r="O2462">
        <f>SUMPRODUCT(Calc!$K$3:$K$22*(Calc!$G$3:$G$22&gt;B2462)*(Calc!$G$3:$G$22-B2462)*Calc!$I$3:$I$22)</f>
        <v/>
      </c>
      <c r="P2462">
        <f>I2462-G2462^2/k_n</f>
        <v/>
      </c>
      <c r="Q2462">
        <f>J2462-H2462^2/k_n</f>
        <v/>
      </c>
      <c r="R2462">
        <f>K2462-G2462*H2462/k_n</f>
        <v/>
      </c>
      <c r="S2462">
        <f>L2462-LTP3!$D$3*G2462/k_n</f>
        <v/>
      </c>
      <c r="T2462">
        <f>M2462-LTP3!$D$3*H2462/k_n</f>
        <v/>
      </c>
      <c r="U2462">
        <f>N2462-G2462*LTP3!$D$4/k_n</f>
        <v/>
      </c>
      <c r="V2462">
        <f>O2462-H2462*LTP3!$D$4/k_n</f>
        <v/>
      </c>
      <c r="W2462">
        <f>((LTP3!$D$5)*((P2462)*(Q2462)-(R2462)*(R2462))-(S2462)*((S2462)*(Q2462)-(R2462)*(T2462))+(T2462)*((S2462)*(R2462)-(P2462)*(T2462)))</f>
        <v/>
      </c>
      <c r="X2462">
        <f>IF(ABS(W2462)&gt;1E-12,((LTP3!$D$6)*((P2462)*(Q2462)-(R2462)*(R2462))-(S2462)*((U2462)*(Q2462)-(R2462)*(V2462))+(T2462)*((U2462)*(R2462)-(P2462)*(V2462)))/W2462,0)</f>
        <v/>
      </c>
      <c r="Y2462">
        <f>IF(ABS(W2462)&gt;1E-12,((LTP3!$D$5)*((U2462)*(Q2462)-(R2462)*(V2462))-(LTP3!$D$6)*((S2462)*(Q2462)-(R2462)*(T2462))+(T2462)*((S2462)*(V2462)-(U2462)*(T2462)))/W2462,0)</f>
        <v/>
      </c>
      <c r="Z2462">
        <f>IF(ABS(W2462)&gt;1E-12,((LTP3!$D$5)*((P2462)*(V2462)-(U2462)*(R2462))-(S2462)*((S2462)*(V2462)-(U2462)*(T2462))+(LTP3!$D$6)*((S2462)*(R2462)-(P2462)*(T2462)))/W2462,0)</f>
        <v/>
      </c>
      <c r="AA2462">
        <f>LTP3!$D$7-X2462*LTP3!$D$6-Y2462*U2462-Z2462*V2462</f>
        <v/>
      </c>
      <c r="AB2462">
        <f>IF(AND(F2462,ABS(W2462)&gt;1E-12,Y2462&gt;0,Z2462&gt;0),AA2462,1E+300)</f>
        <v/>
      </c>
    </row>
    <row r="2463">
      <c r="A2463">
        <f>$B$3+$B$5*40</f>
        <v/>
      </c>
      <c r="B2463">
        <f>$B$3+$B$5*11</f>
        <v/>
      </c>
      <c r="C2463">
        <f>SUMPRODUCT(Calc!$K$3:$K$22*(Calc!$G$3:$G$22&lt;=A2463))</f>
        <v/>
      </c>
      <c r="D2463">
        <f>SUMPRODUCT(Calc!$K$3:$K$22*(Calc!$G$3:$G$22&gt;A2463)*(Calc!$G$3:$G$22&lt;B2463))</f>
        <v/>
      </c>
      <c r="E2463">
        <f>SUMPRODUCT(Calc!$K$3:$K$22*(Calc!$G$3:$G$22&gt;=B2463))</f>
        <v/>
      </c>
      <c r="F2463">
        <f>AND(k_n&gt;=5,B2463&gt;A2463+1E-9,C2463&gt;=2,D2463&gt;=1,E2463&gt;=2)</f>
        <v/>
      </c>
      <c r="G2463">
        <f>SUMPRODUCT(Calc!$K$3:$K$22*(Calc!$G$3:$G$22&gt;A2463)*(Calc!$G$3:$G$22-A2463))</f>
        <v/>
      </c>
      <c r="H2463">
        <f>SUMPRODUCT(Calc!$K$3:$K$22*(Calc!$G$3:$G$22&gt;B2463)*(Calc!$G$3:$G$22-B2463))</f>
        <v/>
      </c>
      <c r="I2463">
        <f>SUMPRODUCT(Calc!$K$3:$K$22*(Calc!$G$3:$G$22&gt;A2463)*(Calc!$G$3:$G$22-A2463)^2)</f>
        <v/>
      </c>
      <c r="J2463">
        <f>SUMPRODUCT(Calc!$K$3:$K$22*(Calc!$G$3:$G$22&gt;B2463)*(Calc!$G$3:$G$22-B2463)^2)</f>
        <v/>
      </c>
      <c r="K2463">
        <f>SUMPRODUCT(Calc!$K$3:$K$22*(Calc!$G$3:$G$22&gt;A2463)*(Calc!$G$3:$G$22-A2463)*(Calc!$G$3:$G$22&gt;B2463)*(Calc!$G$3:$G$22-B2463))</f>
        <v/>
      </c>
      <c r="L2463">
        <f>SUMPRODUCT(Calc!$K$3:$K$22*(Calc!$G$3:$G$22&gt;A2463)*(Calc!$G$3:$G$22-A2463)*Calc!$G$3:$G$22)</f>
        <v/>
      </c>
      <c r="M2463">
        <f>SUMPRODUCT(Calc!$K$3:$K$22*(Calc!$G$3:$G$22&gt;B2463)*(Calc!$G$3:$G$22-B2463)*Calc!$G$3:$G$22)</f>
        <v/>
      </c>
      <c r="N2463">
        <f>SUMPRODUCT(Calc!$K$3:$K$22*(Calc!$G$3:$G$22&gt;A2463)*(Calc!$G$3:$G$22-A2463)*Calc!$I$3:$I$22)</f>
        <v/>
      </c>
      <c r="O2463">
        <f>SUMPRODUCT(Calc!$K$3:$K$22*(Calc!$G$3:$G$22&gt;B2463)*(Calc!$G$3:$G$22-B2463)*Calc!$I$3:$I$22)</f>
        <v/>
      </c>
      <c r="P2463">
        <f>I2463-G2463^2/k_n</f>
        <v/>
      </c>
      <c r="Q2463">
        <f>J2463-H2463^2/k_n</f>
        <v/>
      </c>
      <c r="R2463">
        <f>K2463-G2463*H2463/k_n</f>
        <v/>
      </c>
      <c r="S2463">
        <f>L2463-LTP3!$D$3*G2463/k_n</f>
        <v/>
      </c>
      <c r="T2463">
        <f>M2463-LTP3!$D$3*H2463/k_n</f>
        <v/>
      </c>
      <c r="U2463">
        <f>N2463-G2463*LTP3!$D$4/k_n</f>
        <v/>
      </c>
      <c r="V2463">
        <f>O2463-H2463*LTP3!$D$4/k_n</f>
        <v/>
      </c>
      <c r="W2463">
        <f>((LTP3!$D$5)*((P2463)*(Q2463)-(R2463)*(R2463))-(S2463)*((S2463)*(Q2463)-(R2463)*(T2463))+(T2463)*((S2463)*(R2463)-(P2463)*(T2463)))</f>
        <v/>
      </c>
      <c r="X2463">
        <f>IF(ABS(W2463)&gt;1E-12,((LTP3!$D$6)*((P2463)*(Q2463)-(R2463)*(R2463))-(S2463)*((U2463)*(Q2463)-(R2463)*(V2463))+(T2463)*((U2463)*(R2463)-(P2463)*(V2463)))/W2463,0)</f>
        <v/>
      </c>
      <c r="Y2463">
        <f>IF(ABS(W2463)&gt;1E-12,((LTP3!$D$5)*((U2463)*(Q2463)-(R2463)*(V2463))-(LTP3!$D$6)*((S2463)*(Q2463)-(R2463)*(T2463))+(T2463)*((S2463)*(V2463)-(U2463)*(T2463)))/W2463,0)</f>
        <v/>
      </c>
      <c r="Z2463">
        <f>IF(ABS(W2463)&gt;1E-12,((LTP3!$D$5)*((P2463)*(V2463)-(U2463)*(R2463))-(S2463)*((S2463)*(V2463)-(U2463)*(T2463))+(LTP3!$D$6)*((S2463)*(R2463)-(P2463)*(T2463)))/W2463,0)</f>
        <v/>
      </c>
      <c r="AA2463">
        <f>LTP3!$D$7-X2463*LTP3!$D$6-Y2463*U2463-Z2463*V2463</f>
        <v/>
      </c>
      <c r="AB2463">
        <f>IF(AND(F2463,ABS(W2463)&gt;1E-12,Y2463&gt;0,Z2463&gt;0),AA2463,1E+300)</f>
        <v/>
      </c>
    </row>
    <row r="2464">
      <c r="A2464">
        <f>$B$3+$B$5*40</f>
        <v/>
      </c>
      <c r="B2464">
        <f>$B$3+$B$5*12</f>
        <v/>
      </c>
      <c r="C2464">
        <f>SUMPRODUCT(Calc!$K$3:$K$22*(Calc!$G$3:$G$22&lt;=A2464))</f>
        <v/>
      </c>
      <c r="D2464">
        <f>SUMPRODUCT(Calc!$K$3:$K$22*(Calc!$G$3:$G$22&gt;A2464)*(Calc!$G$3:$G$22&lt;B2464))</f>
        <v/>
      </c>
      <c r="E2464">
        <f>SUMPRODUCT(Calc!$K$3:$K$22*(Calc!$G$3:$G$22&gt;=B2464))</f>
        <v/>
      </c>
      <c r="F2464">
        <f>AND(k_n&gt;=5,B2464&gt;A2464+1E-9,C2464&gt;=2,D2464&gt;=1,E2464&gt;=2)</f>
        <v/>
      </c>
      <c r="G2464">
        <f>SUMPRODUCT(Calc!$K$3:$K$22*(Calc!$G$3:$G$22&gt;A2464)*(Calc!$G$3:$G$22-A2464))</f>
        <v/>
      </c>
      <c r="H2464">
        <f>SUMPRODUCT(Calc!$K$3:$K$22*(Calc!$G$3:$G$22&gt;B2464)*(Calc!$G$3:$G$22-B2464))</f>
        <v/>
      </c>
      <c r="I2464">
        <f>SUMPRODUCT(Calc!$K$3:$K$22*(Calc!$G$3:$G$22&gt;A2464)*(Calc!$G$3:$G$22-A2464)^2)</f>
        <v/>
      </c>
      <c r="J2464">
        <f>SUMPRODUCT(Calc!$K$3:$K$22*(Calc!$G$3:$G$22&gt;B2464)*(Calc!$G$3:$G$22-B2464)^2)</f>
        <v/>
      </c>
      <c r="K2464">
        <f>SUMPRODUCT(Calc!$K$3:$K$22*(Calc!$G$3:$G$22&gt;A2464)*(Calc!$G$3:$G$22-A2464)*(Calc!$G$3:$G$22&gt;B2464)*(Calc!$G$3:$G$22-B2464))</f>
        <v/>
      </c>
      <c r="L2464">
        <f>SUMPRODUCT(Calc!$K$3:$K$22*(Calc!$G$3:$G$22&gt;A2464)*(Calc!$G$3:$G$22-A2464)*Calc!$G$3:$G$22)</f>
        <v/>
      </c>
      <c r="M2464">
        <f>SUMPRODUCT(Calc!$K$3:$K$22*(Calc!$G$3:$G$22&gt;B2464)*(Calc!$G$3:$G$22-B2464)*Calc!$G$3:$G$22)</f>
        <v/>
      </c>
      <c r="N2464">
        <f>SUMPRODUCT(Calc!$K$3:$K$22*(Calc!$G$3:$G$22&gt;A2464)*(Calc!$G$3:$G$22-A2464)*Calc!$I$3:$I$22)</f>
        <v/>
      </c>
      <c r="O2464">
        <f>SUMPRODUCT(Calc!$K$3:$K$22*(Calc!$G$3:$G$22&gt;B2464)*(Calc!$G$3:$G$22-B2464)*Calc!$I$3:$I$22)</f>
        <v/>
      </c>
      <c r="P2464">
        <f>I2464-G2464^2/k_n</f>
        <v/>
      </c>
      <c r="Q2464">
        <f>J2464-H2464^2/k_n</f>
        <v/>
      </c>
      <c r="R2464">
        <f>K2464-G2464*H2464/k_n</f>
        <v/>
      </c>
      <c r="S2464">
        <f>L2464-LTP3!$D$3*G2464/k_n</f>
        <v/>
      </c>
      <c r="T2464">
        <f>M2464-LTP3!$D$3*H2464/k_n</f>
        <v/>
      </c>
      <c r="U2464">
        <f>N2464-G2464*LTP3!$D$4/k_n</f>
        <v/>
      </c>
      <c r="V2464">
        <f>O2464-H2464*LTP3!$D$4/k_n</f>
        <v/>
      </c>
      <c r="W2464">
        <f>((LTP3!$D$5)*((P2464)*(Q2464)-(R2464)*(R2464))-(S2464)*((S2464)*(Q2464)-(R2464)*(T2464))+(T2464)*((S2464)*(R2464)-(P2464)*(T2464)))</f>
        <v/>
      </c>
      <c r="X2464">
        <f>IF(ABS(W2464)&gt;1E-12,((LTP3!$D$6)*((P2464)*(Q2464)-(R2464)*(R2464))-(S2464)*((U2464)*(Q2464)-(R2464)*(V2464))+(T2464)*((U2464)*(R2464)-(P2464)*(V2464)))/W2464,0)</f>
        <v/>
      </c>
      <c r="Y2464">
        <f>IF(ABS(W2464)&gt;1E-12,((LTP3!$D$5)*((U2464)*(Q2464)-(R2464)*(V2464))-(LTP3!$D$6)*((S2464)*(Q2464)-(R2464)*(T2464))+(T2464)*((S2464)*(V2464)-(U2464)*(T2464)))/W2464,0)</f>
        <v/>
      </c>
      <c r="Z2464">
        <f>IF(ABS(W2464)&gt;1E-12,((LTP3!$D$5)*((P2464)*(V2464)-(U2464)*(R2464))-(S2464)*((S2464)*(V2464)-(U2464)*(T2464))+(LTP3!$D$6)*((S2464)*(R2464)-(P2464)*(T2464)))/W2464,0)</f>
        <v/>
      </c>
      <c r="AA2464">
        <f>LTP3!$D$7-X2464*LTP3!$D$6-Y2464*U2464-Z2464*V2464</f>
        <v/>
      </c>
      <c r="AB2464">
        <f>IF(AND(F2464,ABS(W2464)&gt;1E-12,Y2464&gt;0,Z2464&gt;0),AA2464,1E+300)</f>
        <v/>
      </c>
    </row>
    <row r="2465">
      <c r="A2465">
        <f>$B$3+$B$5*40</f>
        <v/>
      </c>
      <c r="B2465">
        <f>$B$3+$B$5*13</f>
        <v/>
      </c>
      <c r="C2465">
        <f>SUMPRODUCT(Calc!$K$3:$K$22*(Calc!$G$3:$G$22&lt;=A2465))</f>
        <v/>
      </c>
      <c r="D2465">
        <f>SUMPRODUCT(Calc!$K$3:$K$22*(Calc!$G$3:$G$22&gt;A2465)*(Calc!$G$3:$G$22&lt;B2465))</f>
        <v/>
      </c>
      <c r="E2465">
        <f>SUMPRODUCT(Calc!$K$3:$K$22*(Calc!$G$3:$G$22&gt;=B2465))</f>
        <v/>
      </c>
      <c r="F2465">
        <f>AND(k_n&gt;=5,B2465&gt;A2465+1E-9,C2465&gt;=2,D2465&gt;=1,E2465&gt;=2)</f>
        <v/>
      </c>
      <c r="G2465">
        <f>SUMPRODUCT(Calc!$K$3:$K$22*(Calc!$G$3:$G$22&gt;A2465)*(Calc!$G$3:$G$22-A2465))</f>
        <v/>
      </c>
      <c r="H2465">
        <f>SUMPRODUCT(Calc!$K$3:$K$22*(Calc!$G$3:$G$22&gt;B2465)*(Calc!$G$3:$G$22-B2465))</f>
        <v/>
      </c>
      <c r="I2465">
        <f>SUMPRODUCT(Calc!$K$3:$K$22*(Calc!$G$3:$G$22&gt;A2465)*(Calc!$G$3:$G$22-A2465)^2)</f>
        <v/>
      </c>
      <c r="J2465">
        <f>SUMPRODUCT(Calc!$K$3:$K$22*(Calc!$G$3:$G$22&gt;B2465)*(Calc!$G$3:$G$22-B2465)^2)</f>
        <v/>
      </c>
      <c r="K2465">
        <f>SUMPRODUCT(Calc!$K$3:$K$22*(Calc!$G$3:$G$22&gt;A2465)*(Calc!$G$3:$G$22-A2465)*(Calc!$G$3:$G$22&gt;B2465)*(Calc!$G$3:$G$22-B2465))</f>
        <v/>
      </c>
      <c r="L2465">
        <f>SUMPRODUCT(Calc!$K$3:$K$22*(Calc!$G$3:$G$22&gt;A2465)*(Calc!$G$3:$G$22-A2465)*Calc!$G$3:$G$22)</f>
        <v/>
      </c>
      <c r="M2465">
        <f>SUMPRODUCT(Calc!$K$3:$K$22*(Calc!$G$3:$G$22&gt;B2465)*(Calc!$G$3:$G$22-B2465)*Calc!$G$3:$G$22)</f>
        <v/>
      </c>
      <c r="N2465">
        <f>SUMPRODUCT(Calc!$K$3:$K$22*(Calc!$G$3:$G$22&gt;A2465)*(Calc!$G$3:$G$22-A2465)*Calc!$I$3:$I$22)</f>
        <v/>
      </c>
      <c r="O2465">
        <f>SUMPRODUCT(Calc!$K$3:$K$22*(Calc!$G$3:$G$22&gt;B2465)*(Calc!$G$3:$G$22-B2465)*Calc!$I$3:$I$22)</f>
        <v/>
      </c>
      <c r="P2465">
        <f>I2465-G2465^2/k_n</f>
        <v/>
      </c>
      <c r="Q2465">
        <f>J2465-H2465^2/k_n</f>
        <v/>
      </c>
      <c r="R2465">
        <f>K2465-G2465*H2465/k_n</f>
        <v/>
      </c>
      <c r="S2465">
        <f>L2465-LTP3!$D$3*G2465/k_n</f>
        <v/>
      </c>
      <c r="T2465">
        <f>M2465-LTP3!$D$3*H2465/k_n</f>
        <v/>
      </c>
      <c r="U2465">
        <f>N2465-G2465*LTP3!$D$4/k_n</f>
        <v/>
      </c>
      <c r="V2465">
        <f>O2465-H2465*LTP3!$D$4/k_n</f>
        <v/>
      </c>
      <c r="W2465">
        <f>((LTP3!$D$5)*((P2465)*(Q2465)-(R2465)*(R2465))-(S2465)*((S2465)*(Q2465)-(R2465)*(T2465))+(T2465)*((S2465)*(R2465)-(P2465)*(T2465)))</f>
        <v/>
      </c>
      <c r="X2465">
        <f>IF(ABS(W2465)&gt;1E-12,((LTP3!$D$6)*((P2465)*(Q2465)-(R2465)*(R2465))-(S2465)*((U2465)*(Q2465)-(R2465)*(V2465))+(T2465)*((U2465)*(R2465)-(P2465)*(V2465)))/W2465,0)</f>
        <v/>
      </c>
      <c r="Y2465">
        <f>IF(ABS(W2465)&gt;1E-12,((LTP3!$D$5)*((U2465)*(Q2465)-(R2465)*(V2465))-(LTP3!$D$6)*((S2465)*(Q2465)-(R2465)*(T2465))+(T2465)*((S2465)*(V2465)-(U2465)*(T2465)))/W2465,0)</f>
        <v/>
      </c>
      <c r="Z2465">
        <f>IF(ABS(W2465)&gt;1E-12,((LTP3!$D$5)*((P2465)*(V2465)-(U2465)*(R2465))-(S2465)*((S2465)*(V2465)-(U2465)*(T2465))+(LTP3!$D$6)*((S2465)*(R2465)-(P2465)*(T2465)))/W2465,0)</f>
        <v/>
      </c>
      <c r="AA2465">
        <f>LTP3!$D$7-X2465*LTP3!$D$6-Y2465*U2465-Z2465*V2465</f>
        <v/>
      </c>
      <c r="AB2465">
        <f>IF(AND(F2465,ABS(W2465)&gt;1E-12,Y2465&gt;0,Z2465&gt;0),AA2465,1E+300)</f>
        <v/>
      </c>
    </row>
    <row r="2466">
      <c r="A2466">
        <f>$B$3+$B$5*40</f>
        <v/>
      </c>
      <c r="B2466">
        <f>$B$3+$B$5*14</f>
        <v/>
      </c>
      <c r="C2466">
        <f>SUMPRODUCT(Calc!$K$3:$K$22*(Calc!$G$3:$G$22&lt;=A2466))</f>
        <v/>
      </c>
      <c r="D2466">
        <f>SUMPRODUCT(Calc!$K$3:$K$22*(Calc!$G$3:$G$22&gt;A2466)*(Calc!$G$3:$G$22&lt;B2466))</f>
        <v/>
      </c>
      <c r="E2466">
        <f>SUMPRODUCT(Calc!$K$3:$K$22*(Calc!$G$3:$G$22&gt;=B2466))</f>
        <v/>
      </c>
      <c r="F2466">
        <f>AND(k_n&gt;=5,B2466&gt;A2466+1E-9,C2466&gt;=2,D2466&gt;=1,E2466&gt;=2)</f>
        <v/>
      </c>
      <c r="G2466">
        <f>SUMPRODUCT(Calc!$K$3:$K$22*(Calc!$G$3:$G$22&gt;A2466)*(Calc!$G$3:$G$22-A2466))</f>
        <v/>
      </c>
      <c r="H2466">
        <f>SUMPRODUCT(Calc!$K$3:$K$22*(Calc!$G$3:$G$22&gt;B2466)*(Calc!$G$3:$G$22-B2466))</f>
        <v/>
      </c>
      <c r="I2466">
        <f>SUMPRODUCT(Calc!$K$3:$K$22*(Calc!$G$3:$G$22&gt;A2466)*(Calc!$G$3:$G$22-A2466)^2)</f>
        <v/>
      </c>
      <c r="J2466">
        <f>SUMPRODUCT(Calc!$K$3:$K$22*(Calc!$G$3:$G$22&gt;B2466)*(Calc!$G$3:$G$22-B2466)^2)</f>
        <v/>
      </c>
      <c r="K2466">
        <f>SUMPRODUCT(Calc!$K$3:$K$22*(Calc!$G$3:$G$22&gt;A2466)*(Calc!$G$3:$G$22-A2466)*(Calc!$G$3:$G$22&gt;B2466)*(Calc!$G$3:$G$22-B2466))</f>
        <v/>
      </c>
      <c r="L2466">
        <f>SUMPRODUCT(Calc!$K$3:$K$22*(Calc!$G$3:$G$22&gt;A2466)*(Calc!$G$3:$G$22-A2466)*Calc!$G$3:$G$22)</f>
        <v/>
      </c>
      <c r="M2466">
        <f>SUMPRODUCT(Calc!$K$3:$K$22*(Calc!$G$3:$G$22&gt;B2466)*(Calc!$G$3:$G$22-B2466)*Calc!$G$3:$G$22)</f>
        <v/>
      </c>
      <c r="N2466">
        <f>SUMPRODUCT(Calc!$K$3:$K$22*(Calc!$G$3:$G$22&gt;A2466)*(Calc!$G$3:$G$22-A2466)*Calc!$I$3:$I$22)</f>
        <v/>
      </c>
      <c r="O2466">
        <f>SUMPRODUCT(Calc!$K$3:$K$22*(Calc!$G$3:$G$22&gt;B2466)*(Calc!$G$3:$G$22-B2466)*Calc!$I$3:$I$22)</f>
        <v/>
      </c>
      <c r="P2466">
        <f>I2466-G2466^2/k_n</f>
        <v/>
      </c>
      <c r="Q2466">
        <f>J2466-H2466^2/k_n</f>
        <v/>
      </c>
      <c r="R2466">
        <f>K2466-G2466*H2466/k_n</f>
        <v/>
      </c>
      <c r="S2466">
        <f>L2466-LTP3!$D$3*G2466/k_n</f>
        <v/>
      </c>
      <c r="T2466">
        <f>M2466-LTP3!$D$3*H2466/k_n</f>
        <v/>
      </c>
      <c r="U2466">
        <f>N2466-G2466*LTP3!$D$4/k_n</f>
        <v/>
      </c>
      <c r="V2466">
        <f>O2466-H2466*LTP3!$D$4/k_n</f>
        <v/>
      </c>
      <c r="W2466">
        <f>((LTP3!$D$5)*((P2466)*(Q2466)-(R2466)*(R2466))-(S2466)*((S2466)*(Q2466)-(R2466)*(T2466))+(T2466)*((S2466)*(R2466)-(P2466)*(T2466)))</f>
        <v/>
      </c>
      <c r="X2466">
        <f>IF(ABS(W2466)&gt;1E-12,((LTP3!$D$6)*((P2466)*(Q2466)-(R2466)*(R2466))-(S2466)*((U2466)*(Q2466)-(R2466)*(V2466))+(T2466)*((U2466)*(R2466)-(P2466)*(V2466)))/W2466,0)</f>
        <v/>
      </c>
      <c r="Y2466">
        <f>IF(ABS(W2466)&gt;1E-12,((LTP3!$D$5)*((U2466)*(Q2466)-(R2466)*(V2466))-(LTP3!$D$6)*((S2466)*(Q2466)-(R2466)*(T2466))+(T2466)*((S2466)*(V2466)-(U2466)*(T2466)))/W2466,0)</f>
        <v/>
      </c>
      <c r="Z2466">
        <f>IF(ABS(W2466)&gt;1E-12,((LTP3!$D$5)*((P2466)*(V2466)-(U2466)*(R2466))-(S2466)*((S2466)*(V2466)-(U2466)*(T2466))+(LTP3!$D$6)*((S2466)*(R2466)-(P2466)*(T2466)))/W2466,0)</f>
        <v/>
      </c>
      <c r="AA2466">
        <f>LTP3!$D$7-X2466*LTP3!$D$6-Y2466*U2466-Z2466*V2466</f>
        <v/>
      </c>
      <c r="AB2466">
        <f>IF(AND(F2466,ABS(W2466)&gt;1E-12,Y2466&gt;0,Z2466&gt;0),AA2466,1E+300)</f>
        <v/>
      </c>
    </row>
    <row r="2467">
      <c r="A2467">
        <f>$B$3+$B$5*40</f>
        <v/>
      </c>
      <c r="B2467">
        <f>$B$3+$B$5*15</f>
        <v/>
      </c>
      <c r="C2467">
        <f>SUMPRODUCT(Calc!$K$3:$K$22*(Calc!$G$3:$G$22&lt;=A2467))</f>
        <v/>
      </c>
      <c r="D2467">
        <f>SUMPRODUCT(Calc!$K$3:$K$22*(Calc!$G$3:$G$22&gt;A2467)*(Calc!$G$3:$G$22&lt;B2467))</f>
        <v/>
      </c>
      <c r="E2467">
        <f>SUMPRODUCT(Calc!$K$3:$K$22*(Calc!$G$3:$G$22&gt;=B2467))</f>
        <v/>
      </c>
      <c r="F2467">
        <f>AND(k_n&gt;=5,B2467&gt;A2467+1E-9,C2467&gt;=2,D2467&gt;=1,E2467&gt;=2)</f>
        <v/>
      </c>
      <c r="G2467">
        <f>SUMPRODUCT(Calc!$K$3:$K$22*(Calc!$G$3:$G$22&gt;A2467)*(Calc!$G$3:$G$22-A2467))</f>
        <v/>
      </c>
      <c r="H2467">
        <f>SUMPRODUCT(Calc!$K$3:$K$22*(Calc!$G$3:$G$22&gt;B2467)*(Calc!$G$3:$G$22-B2467))</f>
        <v/>
      </c>
      <c r="I2467">
        <f>SUMPRODUCT(Calc!$K$3:$K$22*(Calc!$G$3:$G$22&gt;A2467)*(Calc!$G$3:$G$22-A2467)^2)</f>
        <v/>
      </c>
      <c r="J2467">
        <f>SUMPRODUCT(Calc!$K$3:$K$22*(Calc!$G$3:$G$22&gt;B2467)*(Calc!$G$3:$G$22-B2467)^2)</f>
        <v/>
      </c>
      <c r="K2467">
        <f>SUMPRODUCT(Calc!$K$3:$K$22*(Calc!$G$3:$G$22&gt;A2467)*(Calc!$G$3:$G$22-A2467)*(Calc!$G$3:$G$22&gt;B2467)*(Calc!$G$3:$G$22-B2467))</f>
        <v/>
      </c>
      <c r="L2467">
        <f>SUMPRODUCT(Calc!$K$3:$K$22*(Calc!$G$3:$G$22&gt;A2467)*(Calc!$G$3:$G$22-A2467)*Calc!$G$3:$G$22)</f>
        <v/>
      </c>
      <c r="M2467">
        <f>SUMPRODUCT(Calc!$K$3:$K$22*(Calc!$G$3:$G$22&gt;B2467)*(Calc!$G$3:$G$22-B2467)*Calc!$G$3:$G$22)</f>
        <v/>
      </c>
      <c r="N2467">
        <f>SUMPRODUCT(Calc!$K$3:$K$22*(Calc!$G$3:$G$22&gt;A2467)*(Calc!$G$3:$G$22-A2467)*Calc!$I$3:$I$22)</f>
        <v/>
      </c>
      <c r="O2467">
        <f>SUMPRODUCT(Calc!$K$3:$K$22*(Calc!$G$3:$G$22&gt;B2467)*(Calc!$G$3:$G$22-B2467)*Calc!$I$3:$I$22)</f>
        <v/>
      </c>
      <c r="P2467">
        <f>I2467-G2467^2/k_n</f>
        <v/>
      </c>
      <c r="Q2467">
        <f>J2467-H2467^2/k_n</f>
        <v/>
      </c>
      <c r="R2467">
        <f>K2467-G2467*H2467/k_n</f>
        <v/>
      </c>
      <c r="S2467">
        <f>L2467-LTP3!$D$3*G2467/k_n</f>
        <v/>
      </c>
      <c r="T2467">
        <f>M2467-LTP3!$D$3*H2467/k_n</f>
        <v/>
      </c>
      <c r="U2467">
        <f>N2467-G2467*LTP3!$D$4/k_n</f>
        <v/>
      </c>
      <c r="V2467">
        <f>O2467-H2467*LTP3!$D$4/k_n</f>
        <v/>
      </c>
      <c r="W2467">
        <f>((LTP3!$D$5)*((P2467)*(Q2467)-(R2467)*(R2467))-(S2467)*((S2467)*(Q2467)-(R2467)*(T2467))+(T2467)*((S2467)*(R2467)-(P2467)*(T2467)))</f>
        <v/>
      </c>
      <c r="X2467">
        <f>IF(ABS(W2467)&gt;1E-12,((LTP3!$D$6)*((P2467)*(Q2467)-(R2467)*(R2467))-(S2467)*((U2467)*(Q2467)-(R2467)*(V2467))+(T2467)*((U2467)*(R2467)-(P2467)*(V2467)))/W2467,0)</f>
        <v/>
      </c>
      <c r="Y2467">
        <f>IF(ABS(W2467)&gt;1E-12,((LTP3!$D$5)*((U2467)*(Q2467)-(R2467)*(V2467))-(LTP3!$D$6)*((S2467)*(Q2467)-(R2467)*(T2467))+(T2467)*((S2467)*(V2467)-(U2467)*(T2467)))/W2467,0)</f>
        <v/>
      </c>
      <c r="Z2467">
        <f>IF(ABS(W2467)&gt;1E-12,((LTP3!$D$5)*((P2467)*(V2467)-(U2467)*(R2467))-(S2467)*((S2467)*(V2467)-(U2467)*(T2467))+(LTP3!$D$6)*((S2467)*(R2467)-(P2467)*(T2467)))/W2467,0)</f>
        <v/>
      </c>
      <c r="AA2467">
        <f>LTP3!$D$7-X2467*LTP3!$D$6-Y2467*U2467-Z2467*V2467</f>
        <v/>
      </c>
      <c r="AB2467">
        <f>IF(AND(F2467,ABS(W2467)&gt;1E-12,Y2467&gt;0,Z2467&gt;0),AA2467,1E+300)</f>
        <v/>
      </c>
    </row>
    <row r="2468">
      <c r="A2468">
        <f>$B$3+$B$5*40</f>
        <v/>
      </c>
      <c r="B2468">
        <f>$B$3+$B$5*16</f>
        <v/>
      </c>
      <c r="C2468">
        <f>SUMPRODUCT(Calc!$K$3:$K$22*(Calc!$G$3:$G$22&lt;=A2468))</f>
        <v/>
      </c>
      <c r="D2468">
        <f>SUMPRODUCT(Calc!$K$3:$K$22*(Calc!$G$3:$G$22&gt;A2468)*(Calc!$G$3:$G$22&lt;B2468))</f>
        <v/>
      </c>
      <c r="E2468">
        <f>SUMPRODUCT(Calc!$K$3:$K$22*(Calc!$G$3:$G$22&gt;=B2468))</f>
        <v/>
      </c>
      <c r="F2468">
        <f>AND(k_n&gt;=5,B2468&gt;A2468+1E-9,C2468&gt;=2,D2468&gt;=1,E2468&gt;=2)</f>
        <v/>
      </c>
      <c r="G2468">
        <f>SUMPRODUCT(Calc!$K$3:$K$22*(Calc!$G$3:$G$22&gt;A2468)*(Calc!$G$3:$G$22-A2468))</f>
        <v/>
      </c>
      <c r="H2468">
        <f>SUMPRODUCT(Calc!$K$3:$K$22*(Calc!$G$3:$G$22&gt;B2468)*(Calc!$G$3:$G$22-B2468))</f>
        <v/>
      </c>
      <c r="I2468">
        <f>SUMPRODUCT(Calc!$K$3:$K$22*(Calc!$G$3:$G$22&gt;A2468)*(Calc!$G$3:$G$22-A2468)^2)</f>
        <v/>
      </c>
      <c r="J2468">
        <f>SUMPRODUCT(Calc!$K$3:$K$22*(Calc!$G$3:$G$22&gt;B2468)*(Calc!$G$3:$G$22-B2468)^2)</f>
        <v/>
      </c>
      <c r="K2468">
        <f>SUMPRODUCT(Calc!$K$3:$K$22*(Calc!$G$3:$G$22&gt;A2468)*(Calc!$G$3:$G$22-A2468)*(Calc!$G$3:$G$22&gt;B2468)*(Calc!$G$3:$G$22-B2468))</f>
        <v/>
      </c>
      <c r="L2468">
        <f>SUMPRODUCT(Calc!$K$3:$K$22*(Calc!$G$3:$G$22&gt;A2468)*(Calc!$G$3:$G$22-A2468)*Calc!$G$3:$G$22)</f>
        <v/>
      </c>
      <c r="M2468">
        <f>SUMPRODUCT(Calc!$K$3:$K$22*(Calc!$G$3:$G$22&gt;B2468)*(Calc!$G$3:$G$22-B2468)*Calc!$G$3:$G$22)</f>
        <v/>
      </c>
      <c r="N2468">
        <f>SUMPRODUCT(Calc!$K$3:$K$22*(Calc!$G$3:$G$22&gt;A2468)*(Calc!$G$3:$G$22-A2468)*Calc!$I$3:$I$22)</f>
        <v/>
      </c>
      <c r="O2468">
        <f>SUMPRODUCT(Calc!$K$3:$K$22*(Calc!$G$3:$G$22&gt;B2468)*(Calc!$G$3:$G$22-B2468)*Calc!$I$3:$I$22)</f>
        <v/>
      </c>
      <c r="P2468">
        <f>I2468-G2468^2/k_n</f>
        <v/>
      </c>
      <c r="Q2468">
        <f>J2468-H2468^2/k_n</f>
        <v/>
      </c>
      <c r="R2468">
        <f>K2468-G2468*H2468/k_n</f>
        <v/>
      </c>
      <c r="S2468">
        <f>L2468-LTP3!$D$3*G2468/k_n</f>
        <v/>
      </c>
      <c r="T2468">
        <f>M2468-LTP3!$D$3*H2468/k_n</f>
        <v/>
      </c>
      <c r="U2468">
        <f>N2468-G2468*LTP3!$D$4/k_n</f>
        <v/>
      </c>
      <c r="V2468">
        <f>O2468-H2468*LTP3!$D$4/k_n</f>
        <v/>
      </c>
      <c r="W2468">
        <f>((LTP3!$D$5)*((P2468)*(Q2468)-(R2468)*(R2468))-(S2468)*((S2468)*(Q2468)-(R2468)*(T2468))+(T2468)*((S2468)*(R2468)-(P2468)*(T2468)))</f>
        <v/>
      </c>
      <c r="X2468">
        <f>IF(ABS(W2468)&gt;1E-12,((LTP3!$D$6)*((P2468)*(Q2468)-(R2468)*(R2468))-(S2468)*((U2468)*(Q2468)-(R2468)*(V2468))+(T2468)*((U2468)*(R2468)-(P2468)*(V2468)))/W2468,0)</f>
        <v/>
      </c>
      <c r="Y2468">
        <f>IF(ABS(W2468)&gt;1E-12,((LTP3!$D$5)*((U2468)*(Q2468)-(R2468)*(V2468))-(LTP3!$D$6)*((S2468)*(Q2468)-(R2468)*(T2468))+(T2468)*((S2468)*(V2468)-(U2468)*(T2468)))/W2468,0)</f>
        <v/>
      </c>
      <c r="Z2468">
        <f>IF(ABS(W2468)&gt;1E-12,((LTP3!$D$5)*((P2468)*(V2468)-(U2468)*(R2468))-(S2468)*((S2468)*(V2468)-(U2468)*(T2468))+(LTP3!$D$6)*((S2468)*(R2468)-(P2468)*(T2468)))/W2468,0)</f>
        <v/>
      </c>
      <c r="AA2468">
        <f>LTP3!$D$7-X2468*LTP3!$D$6-Y2468*U2468-Z2468*V2468</f>
        <v/>
      </c>
      <c r="AB2468">
        <f>IF(AND(F2468,ABS(W2468)&gt;1E-12,Y2468&gt;0,Z2468&gt;0),AA2468,1E+300)</f>
        <v/>
      </c>
    </row>
    <row r="2469">
      <c r="A2469">
        <f>$B$3+$B$5*40</f>
        <v/>
      </c>
      <c r="B2469">
        <f>$B$3+$B$5*17</f>
        <v/>
      </c>
      <c r="C2469">
        <f>SUMPRODUCT(Calc!$K$3:$K$22*(Calc!$G$3:$G$22&lt;=A2469))</f>
        <v/>
      </c>
      <c r="D2469">
        <f>SUMPRODUCT(Calc!$K$3:$K$22*(Calc!$G$3:$G$22&gt;A2469)*(Calc!$G$3:$G$22&lt;B2469))</f>
        <v/>
      </c>
      <c r="E2469">
        <f>SUMPRODUCT(Calc!$K$3:$K$22*(Calc!$G$3:$G$22&gt;=B2469))</f>
        <v/>
      </c>
      <c r="F2469">
        <f>AND(k_n&gt;=5,B2469&gt;A2469+1E-9,C2469&gt;=2,D2469&gt;=1,E2469&gt;=2)</f>
        <v/>
      </c>
      <c r="G2469">
        <f>SUMPRODUCT(Calc!$K$3:$K$22*(Calc!$G$3:$G$22&gt;A2469)*(Calc!$G$3:$G$22-A2469))</f>
        <v/>
      </c>
      <c r="H2469">
        <f>SUMPRODUCT(Calc!$K$3:$K$22*(Calc!$G$3:$G$22&gt;B2469)*(Calc!$G$3:$G$22-B2469))</f>
        <v/>
      </c>
      <c r="I2469">
        <f>SUMPRODUCT(Calc!$K$3:$K$22*(Calc!$G$3:$G$22&gt;A2469)*(Calc!$G$3:$G$22-A2469)^2)</f>
        <v/>
      </c>
      <c r="J2469">
        <f>SUMPRODUCT(Calc!$K$3:$K$22*(Calc!$G$3:$G$22&gt;B2469)*(Calc!$G$3:$G$22-B2469)^2)</f>
        <v/>
      </c>
      <c r="K2469">
        <f>SUMPRODUCT(Calc!$K$3:$K$22*(Calc!$G$3:$G$22&gt;A2469)*(Calc!$G$3:$G$22-A2469)*(Calc!$G$3:$G$22&gt;B2469)*(Calc!$G$3:$G$22-B2469))</f>
        <v/>
      </c>
      <c r="L2469">
        <f>SUMPRODUCT(Calc!$K$3:$K$22*(Calc!$G$3:$G$22&gt;A2469)*(Calc!$G$3:$G$22-A2469)*Calc!$G$3:$G$22)</f>
        <v/>
      </c>
      <c r="M2469">
        <f>SUMPRODUCT(Calc!$K$3:$K$22*(Calc!$G$3:$G$22&gt;B2469)*(Calc!$G$3:$G$22-B2469)*Calc!$G$3:$G$22)</f>
        <v/>
      </c>
      <c r="N2469">
        <f>SUMPRODUCT(Calc!$K$3:$K$22*(Calc!$G$3:$G$22&gt;A2469)*(Calc!$G$3:$G$22-A2469)*Calc!$I$3:$I$22)</f>
        <v/>
      </c>
      <c r="O2469">
        <f>SUMPRODUCT(Calc!$K$3:$K$22*(Calc!$G$3:$G$22&gt;B2469)*(Calc!$G$3:$G$22-B2469)*Calc!$I$3:$I$22)</f>
        <v/>
      </c>
      <c r="P2469">
        <f>I2469-G2469^2/k_n</f>
        <v/>
      </c>
      <c r="Q2469">
        <f>J2469-H2469^2/k_n</f>
        <v/>
      </c>
      <c r="R2469">
        <f>K2469-G2469*H2469/k_n</f>
        <v/>
      </c>
      <c r="S2469">
        <f>L2469-LTP3!$D$3*G2469/k_n</f>
        <v/>
      </c>
      <c r="T2469">
        <f>M2469-LTP3!$D$3*H2469/k_n</f>
        <v/>
      </c>
      <c r="U2469">
        <f>N2469-G2469*LTP3!$D$4/k_n</f>
        <v/>
      </c>
      <c r="V2469">
        <f>O2469-H2469*LTP3!$D$4/k_n</f>
        <v/>
      </c>
      <c r="W2469">
        <f>((LTP3!$D$5)*((P2469)*(Q2469)-(R2469)*(R2469))-(S2469)*((S2469)*(Q2469)-(R2469)*(T2469))+(T2469)*((S2469)*(R2469)-(P2469)*(T2469)))</f>
        <v/>
      </c>
      <c r="X2469">
        <f>IF(ABS(W2469)&gt;1E-12,((LTP3!$D$6)*((P2469)*(Q2469)-(R2469)*(R2469))-(S2469)*((U2469)*(Q2469)-(R2469)*(V2469))+(T2469)*((U2469)*(R2469)-(P2469)*(V2469)))/W2469,0)</f>
        <v/>
      </c>
      <c r="Y2469">
        <f>IF(ABS(W2469)&gt;1E-12,((LTP3!$D$5)*((U2469)*(Q2469)-(R2469)*(V2469))-(LTP3!$D$6)*((S2469)*(Q2469)-(R2469)*(T2469))+(T2469)*((S2469)*(V2469)-(U2469)*(T2469)))/W2469,0)</f>
        <v/>
      </c>
      <c r="Z2469">
        <f>IF(ABS(W2469)&gt;1E-12,((LTP3!$D$5)*((P2469)*(V2469)-(U2469)*(R2469))-(S2469)*((S2469)*(V2469)-(U2469)*(T2469))+(LTP3!$D$6)*((S2469)*(R2469)-(P2469)*(T2469)))/W2469,0)</f>
        <v/>
      </c>
      <c r="AA2469">
        <f>LTP3!$D$7-X2469*LTP3!$D$6-Y2469*U2469-Z2469*V2469</f>
        <v/>
      </c>
      <c r="AB2469">
        <f>IF(AND(F2469,ABS(W2469)&gt;1E-12,Y2469&gt;0,Z2469&gt;0),AA2469,1E+300)</f>
        <v/>
      </c>
    </row>
    <row r="2470">
      <c r="A2470">
        <f>$B$3+$B$5*40</f>
        <v/>
      </c>
      <c r="B2470">
        <f>$B$3+$B$5*18</f>
        <v/>
      </c>
      <c r="C2470">
        <f>SUMPRODUCT(Calc!$K$3:$K$22*(Calc!$G$3:$G$22&lt;=A2470))</f>
        <v/>
      </c>
      <c r="D2470">
        <f>SUMPRODUCT(Calc!$K$3:$K$22*(Calc!$G$3:$G$22&gt;A2470)*(Calc!$G$3:$G$22&lt;B2470))</f>
        <v/>
      </c>
      <c r="E2470">
        <f>SUMPRODUCT(Calc!$K$3:$K$22*(Calc!$G$3:$G$22&gt;=B2470))</f>
        <v/>
      </c>
      <c r="F2470">
        <f>AND(k_n&gt;=5,B2470&gt;A2470+1E-9,C2470&gt;=2,D2470&gt;=1,E2470&gt;=2)</f>
        <v/>
      </c>
      <c r="G2470">
        <f>SUMPRODUCT(Calc!$K$3:$K$22*(Calc!$G$3:$G$22&gt;A2470)*(Calc!$G$3:$G$22-A2470))</f>
        <v/>
      </c>
      <c r="H2470">
        <f>SUMPRODUCT(Calc!$K$3:$K$22*(Calc!$G$3:$G$22&gt;B2470)*(Calc!$G$3:$G$22-B2470))</f>
        <v/>
      </c>
      <c r="I2470">
        <f>SUMPRODUCT(Calc!$K$3:$K$22*(Calc!$G$3:$G$22&gt;A2470)*(Calc!$G$3:$G$22-A2470)^2)</f>
        <v/>
      </c>
      <c r="J2470">
        <f>SUMPRODUCT(Calc!$K$3:$K$22*(Calc!$G$3:$G$22&gt;B2470)*(Calc!$G$3:$G$22-B2470)^2)</f>
        <v/>
      </c>
      <c r="K2470">
        <f>SUMPRODUCT(Calc!$K$3:$K$22*(Calc!$G$3:$G$22&gt;A2470)*(Calc!$G$3:$G$22-A2470)*(Calc!$G$3:$G$22&gt;B2470)*(Calc!$G$3:$G$22-B2470))</f>
        <v/>
      </c>
      <c r="L2470">
        <f>SUMPRODUCT(Calc!$K$3:$K$22*(Calc!$G$3:$G$22&gt;A2470)*(Calc!$G$3:$G$22-A2470)*Calc!$G$3:$G$22)</f>
        <v/>
      </c>
      <c r="M2470">
        <f>SUMPRODUCT(Calc!$K$3:$K$22*(Calc!$G$3:$G$22&gt;B2470)*(Calc!$G$3:$G$22-B2470)*Calc!$G$3:$G$22)</f>
        <v/>
      </c>
      <c r="N2470">
        <f>SUMPRODUCT(Calc!$K$3:$K$22*(Calc!$G$3:$G$22&gt;A2470)*(Calc!$G$3:$G$22-A2470)*Calc!$I$3:$I$22)</f>
        <v/>
      </c>
      <c r="O2470">
        <f>SUMPRODUCT(Calc!$K$3:$K$22*(Calc!$G$3:$G$22&gt;B2470)*(Calc!$G$3:$G$22-B2470)*Calc!$I$3:$I$22)</f>
        <v/>
      </c>
      <c r="P2470">
        <f>I2470-G2470^2/k_n</f>
        <v/>
      </c>
      <c r="Q2470">
        <f>J2470-H2470^2/k_n</f>
        <v/>
      </c>
      <c r="R2470">
        <f>K2470-G2470*H2470/k_n</f>
        <v/>
      </c>
      <c r="S2470">
        <f>L2470-LTP3!$D$3*G2470/k_n</f>
        <v/>
      </c>
      <c r="T2470">
        <f>M2470-LTP3!$D$3*H2470/k_n</f>
        <v/>
      </c>
      <c r="U2470">
        <f>N2470-G2470*LTP3!$D$4/k_n</f>
        <v/>
      </c>
      <c r="V2470">
        <f>O2470-H2470*LTP3!$D$4/k_n</f>
        <v/>
      </c>
      <c r="W2470">
        <f>((LTP3!$D$5)*((P2470)*(Q2470)-(R2470)*(R2470))-(S2470)*((S2470)*(Q2470)-(R2470)*(T2470))+(T2470)*((S2470)*(R2470)-(P2470)*(T2470)))</f>
        <v/>
      </c>
      <c r="X2470">
        <f>IF(ABS(W2470)&gt;1E-12,((LTP3!$D$6)*((P2470)*(Q2470)-(R2470)*(R2470))-(S2470)*((U2470)*(Q2470)-(R2470)*(V2470))+(T2470)*((U2470)*(R2470)-(P2470)*(V2470)))/W2470,0)</f>
        <v/>
      </c>
      <c r="Y2470">
        <f>IF(ABS(W2470)&gt;1E-12,((LTP3!$D$5)*((U2470)*(Q2470)-(R2470)*(V2470))-(LTP3!$D$6)*((S2470)*(Q2470)-(R2470)*(T2470))+(T2470)*((S2470)*(V2470)-(U2470)*(T2470)))/W2470,0)</f>
        <v/>
      </c>
      <c r="Z2470">
        <f>IF(ABS(W2470)&gt;1E-12,((LTP3!$D$5)*((P2470)*(V2470)-(U2470)*(R2470))-(S2470)*((S2470)*(V2470)-(U2470)*(T2470))+(LTP3!$D$6)*((S2470)*(R2470)-(P2470)*(T2470)))/W2470,0)</f>
        <v/>
      </c>
      <c r="AA2470">
        <f>LTP3!$D$7-X2470*LTP3!$D$6-Y2470*U2470-Z2470*V2470</f>
        <v/>
      </c>
      <c r="AB2470">
        <f>IF(AND(F2470,ABS(W2470)&gt;1E-12,Y2470&gt;0,Z2470&gt;0),AA2470,1E+300)</f>
        <v/>
      </c>
    </row>
    <row r="2471">
      <c r="A2471">
        <f>$B$3+$B$5*40</f>
        <v/>
      </c>
      <c r="B2471">
        <f>$B$3+$B$5*19</f>
        <v/>
      </c>
      <c r="C2471">
        <f>SUMPRODUCT(Calc!$K$3:$K$22*(Calc!$G$3:$G$22&lt;=A2471))</f>
        <v/>
      </c>
      <c r="D2471">
        <f>SUMPRODUCT(Calc!$K$3:$K$22*(Calc!$G$3:$G$22&gt;A2471)*(Calc!$G$3:$G$22&lt;B2471))</f>
        <v/>
      </c>
      <c r="E2471">
        <f>SUMPRODUCT(Calc!$K$3:$K$22*(Calc!$G$3:$G$22&gt;=B2471))</f>
        <v/>
      </c>
      <c r="F2471">
        <f>AND(k_n&gt;=5,B2471&gt;A2471+1E-9,C2471&gt;=2,D2471&gt;=1,E2471&gt;=2)</f>
        <v/>
      </c>
      <c r="G2471">
        <f>SUMPRODUCT(Calc!$K$3:$K$22*(Calc!$G$3:$G$22&gt;A2471)*(Calc!$G$3:$G$22-A2471))</f>
        <v/>
      </c>
      <c r="H2471">
        <f>SUMPRODUCT(Calc!$K$3:$K$22*(Calc!$G$3:$G$22&gt;B2471)*(Calc!$G$3:$G$22-B2471))</f>
        <v/>
      </c>
      <c r="I2471">
        <f>SUMPRODUCT(Calc!$K$3:$K$22*(Calc!$G$3:$G$22&gt;A2471)*(Calc!$G$3:$G$22-A2471)^2)</f>
        <v/>
      </c>
      <c r="J2471">
        <f>SUMPRODUCT(Calc!$K$3:$K$22*(Calc!$G$3:$G$22&gt;B2471)*(Calc!$G$3:$G$22-B2471)^2)</f>
        <v/>
      </c>
      <c r="K2471">
        <f>SUMPRODUCT(Calc!$K$3:$K$22*(Calc!$G$3:$G$22&gt;A2471)*(Calc!$G$3:$G$22-A2471)*(Calc!$G$3:$G$22&gt;B2471)*(Calc!$G$3:$G$22-B2471))</f>
        <v/>
      </c>
      <c r="L2471">
        <f>SUMPRODUCT(Calc!$K$3:$K$22*(Calc!$G$3:$G$22&gt;A2471)*(Calc!$G$3:$G$22-A2471)*Calc!$G$3:$G$22)</f>
        <v/>
      </c>
      <c r="M2471">
        <f>SUMPRODUCT(Calc!$K$3:$K$22*(Calc!$G$3:$G$22&gt;B2471)*(Calc!$G$3:$G$22-B2471)*Calc!$G$3:$G$22)</f>
        <v/>
      </c>
      <c r="N2471">
        <f>SUMPRODUCT(Calc!$K$3:$K$22*(Calc!$G$3:$G$22&gt;A2471)*(Calc!$G$3:$G$22-A2471)*Calc!$I$3:$I$22)</f>
        <v/>
      </c>
      <c r="O2471">
        <f>SUMPRODUCT(Calc!$K$3:$K$22*(Calc!$G$3:$G$22&gt;B2471)*(Calc!$G$3:$G$22-B2471)*Calc!$I$3:$I$22)</f>
        <v/>
      </c>
      <c r="P2471">
        <f>I2471-G2471^2/k_n</f>
        <v/>
      </c>
      <c r="Q2471">
        <f>J2471-H2471^2/k_n</f>
        <v/>
      </c>
      <c r="R2471">
        <f>K2471-G2471*H2471/k_n</f>
        <v/>
      </c>
      <c r="S2471">
        <f>L2471-LTP3!$D$3*G2471/k_n</f>
        <v/>
      </c>
      <c r="T2471">
        <f>M2471-LTP3!$D$3*H2471/k_n</f>
        <v/>
      </c>
      <c r="U2471">
        <f>N2471-G2471*LTP3!$D$4/k_n</f>
        <v/>
      </c>
      <c r="V2471">
        <f>O2471-H2471*LTP3!$D$4/k_n</f>
        <v/>
      </c>
      <c r="W2471">
        <f>((LTP3!$D$5)*((P2471)*(Q2471)-(R2471)*(R2471))-(S2471)*((S2471)*(Q2471)-(R2471)*(T2471))+(T2471)*((S2471)*(R2471)-(P2471)*(T2471)))</f>
        <v/>
      </c>
      <c r="X2471">
        <f>IF(ABS(W2471)&gt;1E-12,((LTP3!$D$6)*((P2471)*(Q2471)-(R2471)*(R2471))-(S2471)*((U2471)*(Q2471)-(R2471)*(V2471))+(T2471)*((U2471)*(R2471)-(P2471)*(V2471)))/W2471,0)</f>
        <v/>
      </c>
      <c r="Y2471">
        <f>IF(ABS(W2471)&gt;1E-12,((LTP3!$D$5)*((U2471)*(Q2471)-(R2471)*(V2471))-(LTP3!$D$6)*((S2471)*(Q2471)-(R2471)*(T2471))+(T2471)*((S2471)*(V2471)-(U2471)*(T2471)))/W2471,0)</f>
        <v/>
      </c>
      <c r="Z2471">
        <f>IF(ABS(W2471)&gt;1E-12,((LTP3!$D$5)*((P2471)*(V2471)-(U2471)*(R2471))-(S2471)*((S2471)*(V2471)-(U2471)*(T2471))+(LTP3!$D$6)*((S2471)*(R2471)-(P2471)*(T2471)))/W2471,0)</f>
        <v/>
      </c>
      <c r="AA2471">
        <f>LTP3!$D$7-X2471*LTP3!$D$6-Y2471*U2471-Z2471*V2471</f>
        <v/>
      </c>
      <c r="AB2471">
        <f>IF(AND(F2471,ABS(W2471)&gt;1E-12,Y2471&gt;0,Z2471&gt;0),AA2471,1E+300)</f>
        <v/>
      </c>
    </row>
    <row r="2472">
      <c r="A2472">
        <f>$B$3+$B$5*40</f>
        <v/>
      </c>
      <c r="B2472">
        <f>$B$3+$B$5*20</f>
        <v/>
      </c>
      <c r="C2472">
        <f>SUMPRODUCT(Calc!$K$3:$K$22*(Calc!$G$3:$G$22&lt;=A2472))</f>
        <v/>
      </c>
      <c r="D2472">
        <f>SUMPRODUCT(Calc!$K$3:$K$22*(Calc!$G$3:$G$22&gt;A2472)*(Calc!$G$3:$G$22&lt;B2472))</f>
        <v/>
      </c>
      <c r="E2472">
        <f>SUMPRODUCT(Calc!$K$3:$K$22*(Calc!$G$3:$G$22&gt;=B2472))</f>
        <v/>
      </c>
      <c r="F2472">
        <f>AND(k_n&gt;=5,B2472&gt;A2472+1E-9,C2472&gt;=2,D2472&gt;=1,E2472&gt;=2)</f>
        <v/>
      </c>
      <c r="G2472">
        <f>SUMPRODUCT(Calc!$K$3:$K$22*(Calc!$G$3:$G$22&gt;A2472)*(Calc!$G$3:$G$22-A2472))</f>
        <v/>
      </c>
      <c r="H2472">
        <f>SUMPRODUCT(Calc!$K$3:$K$22*(Calc!$G$3:$G$22&gt;B2472)*(Calc!$G$3:$G$22-B2472))</f>
        <v/>
      </c>
      <c r="I2472">
        <f>SUMPRODUCT(Calc!$K$3:$K$22*(Calc!$G$3:$G$22&gt;A2472)*(Calc!$G$3:$G$22-A2472)^2)</f>
        <v/>
      </c>
      <c r="J2472">
        <f>SUMPRODUCT(Calc!$K$3:$K$22*(Calc!$G$3:$G$22&gt;B2472)*(Calc!$G$3:$G$22-B2472)^2)</f>
        <v/>
      </c>
      <c r="K2472">
        <f>SUMPRODUCT(Calc!$K$3:$K$22*(Calc!$G$3:$G$22&gt;A2472)*(Calc!$G$3:$G$22-A2472)*(Calc!$G$3:$G$22&gt;B2472)*(Calc!$G$3:$G$22-B2472))</f>
        <v/>
      </c>
      <c r="L2472">
        <f>SUMPRODUCT(Calc!$K$3:$K$22*(Calc!$G$3:$G$22&gt;A2472)*(Calc!$G$3:$G$22-A2472)*Calc!$G$3:$G$22)</f>
        <v/>
      </c>
      <c r="M2472">
        <f>SUMPRODUCT(Calc!$K$3:$K$22*(Calc!$G$3:$G$22&gt;B2472)*(Calc!$G$3:$G$22-B2472)*Calc!$G$3:$G$22)</f>
        <v/>
      </c>
      <c r="N2472">
        <f>SUMPRODUCT(Calc!$K$3:$K$22*(Calc!$G$3:$G$22&gt;A2472)*(Calc!$G$3:$G$22-A2472)*Calc!$I$3:$I$22)</f>
        <v/>
      </c>
      <c r="O2472">
        <f>SUMPRODUCT(Calc!$K$3:$K$22*(Calc!$G$3:$G$22&gt;B2472)*(Calc!$G$3:$G$22-B2472)*Calc!$I$3:$I$22)</f>
        <v/>
      </c>
      <c r="P2472">
        <f>I2472-G2472^2/k_n</f>
        <v/>
      </c>
      <c r="Q2472">
        <f>J2472-H2472^2/k_n</f>
        <v/>
      </c>
      <c r="R2472">
        <f>K2472-G2472*H2472/k_n</f>
        <v/>
      </c>
      <c r="S2472">
        <f>L2472-LTP3!$D$3*G2472/k_n</f>
        <v/>
      </c>
      <c r="T2472">
        <f>M2472-LTP3!$D$3*H2472/k_n</f>
        <v/>
      </c>
      <c r="U2472">
        <f>N2472-G2472*LTP3!$D$4/k_n</f>
        <v/>
      </c>
      <c r="V2472">
        <f>O2472-H2472*LTP3!$D$4/k_n</f>
        <v/>
      </c>
      <c r="W2472">
        <f>((LTP3!$D$5)*((P2472)*(Q2472)-(R2472)*(R2472))-(S2472)*((S2472)*(Q2472)-(R2472)*(T2472))+(T2472)*((S2472)*(R2472)-(P2472)*(T2472)))</f>
        <v/>
      </c>
      <c r="X2472">
        <f>IF(ABS(W2472)&gt;1E-12,((LTP3!$D$6)*((P2472)*(Q2472)-(R2472)*(R2472))-(S2472)*((U2472)*(Q2472)-(R2472)*(V2472))+(T2472)*((U2472)*(R2472)-(P2472)*(V2472)))/W2472,0)</f>
        <v/>
      </c>
      <c r="Y2472">
        <f>IF(ABS(W2472)&gt;1E-12,((LTP3!$D$5)*((U2472)*(Q2472)-(R2472)*(V2472))-(LTP3!$D$6)*((S2472)*(Q2472)-(R2472)*(T2472))+(T2472)*((S2472)*(V2472)-(U2472)*(T2472)))/W2472,0)</f>
        <v/>
      </c>
      <c r="Z2472">
        <f>IF(ABS(W2472)&gt;1E-12,((LTP3!$D$5)*((P2472)*(V2472)-(U2472)*(R2472))-(S2472)*((S2472)*(V2472)-(U2472)*(T2472))+(LTP3!$D$6)*((S2472)*(R2472)-(P2472)*(T2472)))/W2472,0)</f>
        <v/>
      </c>
      <c r="AA2472">
        <f>LTP3!$D$7-X2472*LTP3!$D$6-Y2472*U2472-Z2472*V2472</f>
        <v/>
      </c>
      <c r="AB2472">
        <f>IF(AND(F2472,ABS(W2472)&gt;1E-12,Y2472&gt;0,Z2472&gt;0),AA2472,1E+300)</f>
        <v/>
      </c>
    </row>
    <row r="2473">
      <c r="A2473">
        <f>$B$3+$B$5*40</f>
        <v/>
      </c>
      <c r="B2473">
        <f>$B$3+$B$5*21</f>
        <v/>
      </c>
      <c r="C2473">
        <f>SUMPRODUCT(Calc!$K$3:$K$22*(Calc!$G$3:$G$22&lt;=A2473))</f>
        <v/>
      </c>
      <c r="D2473">
        <f>SUMPRODUCT(Calc!$K$3:$K$22*(Calc!$G$3:$G$22&gt;A2473)*(Calc!$G$3:$G$22&lt;B2473))</f>
        <v/>
      </c>
      <c r="E2473">
        <f>SUMPRODUCT(Calc!$K$3:$K$22*(Calc!$G$3:$G$22&gt;=B2473))</f>
        <v/>
      </c>
      <c r="F2473">
        <f>AND(k_n&gt;=5,B2473&gt;A2473+1E-9,C2473&gt;=2,D2473&gt;=1,E2473&gt;=2)</f>
        <v/>
      </c>
      <c r="G2473">
        <f>SUMPRODUCT(Calc!$K$3:$K$22*(Calc!$G$3:$G$22&gt;A2473)*(Calc!$G$3:$G$22-A2473))</f>
        <v/>
      </c>
      <c r="H2473">
        <f>SUMPRODUCT(Calc!$K$3:$K$22*(Calc!$G$3:$G$22&gt;B2473)*(Calc!$G$3:$G$22-B2473))</f>
        <v/>
      </c>
      <c r="I2473">
        <f>SUMPRODUCT(Calc!$K$3:$K$22*(Calc!$G$3:$G$22&gt;A2473)*(Calc!$G$3:$G$22-A2473)^2)</f>
        <v/>
      </c>
      <c r="J2473">
        <f>SUMPRODUCT(Calc!$K$3:$K$22*(Calc!$G$3:$G$22&gt;B2473)*(Calc!$G$3:$G$22-B2473)^2)</f>
        <v/>
      </c>
      <c r="K2473">
        <f>SUMPRODUCT(Calc!$K$3:$K$22*(Calc!$G$3:$G$22&gt;A2473)*(Calc!$G$3:$G$22-A2473)*(Calc!$G$3:$G$22&gt;B2473)*(Calc!$G$3:$G$22-B2473))</f>
        <v/>
      </c>
      <c r="L2473">
        <f>SUMPRODUCT(Calc!$K$3:$K$22*(Calc!$G$3:$G$22&gt;A2473)*(Calc!$G$3:$G$22-A2473)*Calc!$G$3:$G$22)</f>
        <v/>
      </c>
      <c r="M2473">
        <f>SUMPRODUCT(Calc!$K$3:$K$22*(Calc!$G$3:$G$22&gt;B2473)*(Calc!$G$3:$G$22-B2473)*Calc!$G$3:$G$22)</f>
        <v/>
      </c>
      <c r="N2473">
        <f>SUMPRODUCT(Calc!$K$3:$K$22*(Calc!$G$3:$G$22&gt;A2473)*(Calc!$G$3:$G$22-A2473)*Calc!$I$3:$I$22)</f>
        <v/>
      </c>
      <c r="O2473">
        <f>SUMPRODUCT(Calc!$K$3:$K$22*(Calc!$G$3:$G$22&gt;B2473)*(Calc!$G$3:$G$22-B2473)*Calc!$I$3:$I$22)</f>
        <v/>
      </c>
      <c r="P2473">
        <f>I2473-G2473^2/k_n</f>
        <v/>
      </c>
      <c r="Q2473">
        <f>J2473-H2473^2/k_n</f>
        <v/>
      </c>
      <c r="R2473">
        <f>K2473-G2473*H2473/k_n</f>
        <v/>
      </c>
      <c r="S2473">
        <f>L2473-LTP3!$D$3*G2473/k_n</f>
        <v/>
      </c>
      <c r="T2473">
        <f>M2473-LTP3!$D$3*H2473/k_n</f>
        <v/>
      </c>
      <c r="U2473">
        <f>N2473-G2473*LTP3!$D$4/k_n</f>
        <v/>
      </c>
      <c r="V2473">
        <f>O2473-H2473*LTP3!$D$4/k_n</f>
        <v/>
      </c>
      <c r="W2473">
        <f>((LTP3!$D$5)*((P2473)*(Q2473)-(R2473)*(R2473))-(S2473)*((S2473)*(Q2473)-(R2473)*(T2473))+(T2473)*((S2473)*(R2473)-(P2473)*(T2473)))</f>
        <v/>
      </c>
      <c r="X2473">
        <f>IF(ABS(W2473)&gt;1E-12,((LTP3!$D$6)*((P2473)*(Q2473)-(R2473)*(R2473))-(S2473)*((U2473)*(Q2473)-(R2473)*(V2473))+(T2473)*((U2473)*(R2473)-(P2473)*(V2473)))/W2473,0)</f>
        <v/>
      </c>
      <c r="Y2473">
        <f>IF(ABS(W2473)&gt;1E-12,((LTP3!$D$5)*((U2473)*(Q2473)-(R2473)*(V2473))-(LTP3!$D$6)*((S2473)*(Q2473)-(R2473)*(T2473))+(T2473)*((S2473)*(V2473)-(U2473)*(T2473)))/W2473,0)</f>
        <v/>
      </c>
      <c r="Z2473">
        <f>IF(ABS(W2473)&gt;1E-12,((LTP3!$D$5)*((P2473)*(V2473)-(U2473)*(R2473))-(S2473)*((S2473)*(V2473)-(U2473)*(T2473))+(LTP3!$D$6)*((S2473)*(R2473)-(P2473)*(T2473)))/W2473,0)</f>
        <v/>
      </c>
      <c r="AA2473">
        <f>LTP3!$D$7-X2473*LTP3!$D$6-Y2473*U2473-Z2473*V2473</f>
        <v/>
      </c>
      <c r="AB2473">
        <f>IF(AND(F2473,ABS(W2473)&gt;1E-12,Y2473&gt;0,Z2473&gt;0),AA2473,1E+300)</f>
        <v/>
      </c>
    </row>
    <row r="2474">
      <c r="A2474">
        <f>$B$3+$B$5*40</f>
        <v/>
      </c>
      <c r="B2474">
        <f>$B$3+$B$5*22</f>
        <v/>
      </c>
      <c r="C2474">
        <f>SUMPRODUCT(Calc!$K$3:$K$22*(Calc!$G$3:$G$22&lt;=A2474))</f>
        <v/>
      </c>
      <c r="D2474">
        <f>SUMPRODUCT(Calc!$K$3:$K$22*(Calc!$G$3:$G$22&gt;A2474)*(Calc!$G$3:$G$22&lt;B2474))</f>
        <v/>
      </c>
      <c r="E2474">
        <f>SUMPRODUCT(Calc!$K$3:$K$22*(Calc!$G$3:$G$22&gt;=B2474))</f>
        <v/>
      </c>
      <c r="F2474">
        <f>AND(k_n&gt;=5,B2474&gt;A2474+1E-9,C2474&gt;=2,D2474&gt;=1,E2474&gt;=2)</f>
        <v/>
      </c>
      <c r="G2474">
        <f>SUMPRODUCT(Calc!$K$3:$K$22*(Calc!$G$3:$G$22&gt;A2474)*(Calc!$G$3:$G$22-A2474))</f>
        <v/>
      </c>
      <c r="H2474">
        <f>SUMPRODUCT(Calc!$K$3:$K$22*(Calc!$G$3:$G$22&gt;B2474)*(Calc!$G$3:$G$22-B2474))</f>
        <v/>
      </c>
      <c r="I2474">
        <f>SUMPRODUCT(Calc!$K$3:$K$22*(Calc!$G$3:$G$22&gt;A2474)*(Calc!$G$3:$G$22-A2474)^2)</f>
        <v/>
      </c>
      <c r="J2474">
        <f>SUMPRODUCT(Calc!$K$3:$K$22*(Calc!$G$3:$G$22&gt;B2474)*(Calc!$G$3:$G$22-B2474)^2)</f>
        <v/>
      </c>
      <c r="K2474">
        <f>SUMPRODUCT(Calc!$K$3:$K$22*(Calc!$G$3:$G$22&gt;A2474)*(Calc!$G$3:$G$22-A2474)*(Calc!$G$3:$G$22&gt;B2474)*(Calc!$G$3:$G$22-B2474))</f>
        <v/>
      </c>
      <c r="L2474">
        <f>SUMPRODUCT(Calc!$K$3:$K$22*(Calc!$G$3:$G$22&gt;A2474)*(Calc!$G$3:$G$22-A2474)*Calc!$G$3:$G$22)</f>
        <v/>
      </c>
      <c r="M2474">
        <f>SUMPRODUCT(Calc!$K$3:$K$22*(Calc!$G$3:$G$22&gt;B2474)*(Calc!$G$3:$G$22-B2474)*Calc!$G$3:$G$22)</f>
        <v/>
      </c>
      <c r="N2474">
        <f>SUMPRODUCT(Calc!$K$3:$K$22*(Calc!$G$3:$G$22&gt;A2474)*(Calc!$G$3:$G$22-A2474)*Calc!$I$3:$I$22)</f>
        <v/>
      </c>
      <c r="O2474">
        <f>SUMPRODUCT(Calc!$K$3:$K$22*(Calc!$G$3:$G$22&gt;B2474)*(Calc!$G$3:$G$22-B2474)*Calc!$I$3:$I$22)</f>
        <v/>
      </c>
      <c r="P2474">
        <f>I2474-G2474^2/k_n</f>
        <v/>
      </c>
      <c r="Q2474">
        <f>J2474-H2474^2/k_n</f>
        <v/>
      </c>
      <c r="R2474">
        <f>K2474-G2474*H2474/k_n</f>
        <v/>
      </c>
      <c r="S2474">
        <f>L2474-LTP3!$D$3*G2474/k_n</f>
        <v/>
      </c>
      <c r="T2474">
        <f>M2474-LTP3!$D$3*H2474/k_n</f>
        <v/>
      </c>
      <c r="U2474">
        <f>N2474-G2474*LTP3!$D$4/k_n</f>
        <v/>
      </c>
      <c r="V2474">
        <f>O2474-H2474*LTP3!$D$4/k_n</f>
        <v/>
      </c>
      <c r="W2474">
        <f>((LTP3!$D$5)*((P2474)*(Q2474)-(R2474)*(R2474))-(S2474)*((S2474)*(Q2474)-(R2474)*(T2474))+(T2474)*((S2474)*(R2474)-(P2474)*(T2474)))</f>
        <v/>
      </c>
      <c r="X2474">
        <f>IF(ABS(W2474)&gt;1E-12,((LTP3!$D$6)*((P2474)*(Q2474)-(R2474)*(R2474))-(S2474)*((U2474)*(Q2474)-(R2474)*(V2474))+(T2474)*((U2474)*(R2474)-(P2474)*(V2474)))/W2474,0)</f>
        <v/>
      </c>
      <c r="Y2474">
        <f>IF(ABS(W2474)&gt;1E-12,((LTP3!$D$5)*((U2474)*(Q2474)-(R2474)*(V2474))-(LTP3!$D$6)*((S2474)*(Q2474)-(R2474)*(T2474))+(T2474)*((S2474)*(V2474)-(U2474)*(T2474)))/W2474,0)</f>
        <v/>
      </c>
      <c r="Z2474">
        <f>IF(ABS(W2474)&gt;1E-12,((LTP3!$D$5)*((P2474)*(V2474)-(U2474)*(R2474))-(S2474)*((S2474)*(V2474)-(U2474)*(T2474))+(LTP3!$D$6)*((S2474)*(R2474)-(P2474)*(T2474)))/W2474,0)</f>
        <v/>
      </c>
      <c r="AA2474">
        <f>LTP3!$D$7-X2474*LTP3!$D$6-Y2474*U2474-Z2474*V2474</f>
        <v/>
      </c>
      <c r="AB2474">
        <f>IF(AND(F2474,ABS(W2474)&gt;1E-12,Y2474&gt;0,Z2474&gt;0),AA2474,1E+300)</f>
        <v/>
      </c>
    </row>
    <row r="2475">
      <c r="A2475">
        <f>$B$3+$B$5*40</f>
        <v/>
      </c>
      <c r="B2475">
        <f>$B$3+$B$5*23</f>
        <v/>
      </c>
      <c r="C2475">
        <f>SUMPRODUCT(Calc!$K$3:$K$22*(Calc!$G$3:$G$22&lt;=A2475))</f>
        <v/>
      </c>
      <c r="D2475">
        <f>SUMPRODUCT(Calc!$K$3:$K$22*(Calc!$G$3:$G$22&gt;A2475)*(Calc!$G$3:$G$22&lt;B2475))</f>
        <v/>
      </c>
      <c r="E2475">
        <f>SUMPRODUCT(Calc!$K$3:$K$22*(Calc!$G$3:$G$22&gt;=B2475))</f>
        <v/>
      </c>
      <c r="F2475">
        <f>AND(k_n&gt;=5,B2475&gt;A2475+1E-9,C2475&gt;=2,D2475&gt;=1,E2475&gt;=2)</f>
        <v/>
      </c>
      <c r="G2475">
        <f>SUMPRODUCT(Calc!$K$3:$K$22*(Calc!$G$3:$G$22&gt;A2475)*(Calc!$G$3:$G$22-A2475))</f>
        <v/>
      </c>
      <c r="H2475">
        <f>SUMPRODUCT(Calc!$K$3:$K$22*(Calc!$G$3:$G$22&gt;B2475)*(Calc!$G$3:$G$22-B2475))</f>
        <v/>
      </c>
      <c r="I2475">
        <f>SUMPRODUCT(Calc!$K$3:$K$22*(Calc!$G$3:$G$22&gt;A2475)*(Calc!$G$3:$G$22-A2475)^2)</f>
        <v/>
      </c>
      <c r="J2475">
        <f>SUMPRODUCT(Calc!$K$3:$K$22*(Calc!$G$3:$G$22&gt;B2475)*(Calc!$G$3:$G$22-B2475)^2)</f>
        <v/>
      </c>
      <c r="K2475">
        <f>SUMPRODUCT(Calc!$K$3:$K$22*(Calc!$G$3:$G$22&gt;A2475)*(Calc!$G$3:$G$22-A2475)*(Calc!$G$3:$G$22&gt;B2475)*(Calc!$G$3:$G$22-B2475))</f>
        <v/>
      </c>
      <c r="L2475">
        <f>SUMPRODUCT(Calc!$K$3:$K$22*(Calc!$G$3:$G$22&gt;A2475)*(Calc!$G$3:$G$22-A2475)*Calc!$G$3:$G$22)</f>
        <v/>
      </c>
      <c r="M2475">
        <f>SUMPRODUCT(Calc!$K$3:$K$22*(Calc!$G$3:$G$22&gt;B2475)*(Calc!$G$3:$G$22-B2475)*Calc!$G$3:$G$22)</f>
        <v/>
      </c>
      <c r="N2475">
        <f>SUMPRODUCT(Calc!$K$3:$K$22*(Calc!$G$3:$G$22&gt;A2475)*(Calc!$G$3:$G$22-A2475)*Calc!$I$3:$I$22)</f>
        <v/>
      </c>
      <c r="O2475">
        <f>SUMPRODUCT(Calc!$K$3:$K$22*(Calc!$G$3:$G$22&gt;B2475)*(Calc!$G$3:$G$22-B2475)*Calc!$I$3:$I$22)</f>
        <v/>
      </c>
      <c r="P2475">
        <f>I2475-G2475^2/k_n</f>
        <v/>
      </c>
      <c r="Q2475">
        <f>J2475-H2475^2/k_n</f>
        <v/>
      </c>
      <c r="R2475">
        <f>K2475-G2475*H2475/k_n</f>
        <v/>
      </c>
      <c r="S2475">
        <f>L2475-LTP3!$D$3*G2475/k_n</f>
        <v/>
      </c>
      <c r="T2475">
        <f>M2475-LTP3!$D$3*H2475/k_n</f>
        <v/>
      </c>
      <c r="U2475">
        <f>N2475-G2475*LTP3!$D$4/k_n</f>
        <v/>
      </c>
      <c r="V2475">
        <f>O2475-H2475*LTP3!$D$4/k_n</f>
        <v/>
      </c>
      <c r="W2475">
        <f>((LTP3!$D$5)*((P2475)*(Q2475)-(R2475)*(R2475))-(S2475)*((S2475)*(Q2475)-(R2475)*(T2475))+(T2475)*((S2475)*(R2475)-(P2475)*(T2475)))</f>
        <v/>
      </c>
      <c r="X2475">
        <f>IF(ABS(W2475)&gt;1E-12,((LTP3!$D$6)*((P2475)*(Q2475)-(R2475)*(R2475))-(S2475)*((U2475)*(Q2475)-(R2475)*(V2475))+(T2475)*((U2475)*(R2475)-(P2475)*(V2475)))/W2475,0)</f>
        <v/>
      </c>
      <c r="Y2475">
        <f>IF(ABS(W2475)&gt;1E-12,((LTP3!$D$5)*((U2475)*(Q2475)-(R2475)*(V2475))-(LTP3!$D$6)*((S2475)*(Q2475)-(R2475)*(T2475))+(T2475)*((S2475)*(V2475)-(U2475)*(T2475)))/W2475,0)</f>
        <v/>
      </c>
      <c r="Z2475">
        <f>IF(ABS(W2475)&gt;1E-12,((LTP3!$D$5)*((P2475)*(V2475)-(U2475)*(R2475))-(S2475)*((S2475)*(V2475)-(U2475)*(T2475))+(LTP3!$D$6)*((S2475)*(R2475)-(P2475)*(T2475)))/W2475,0)</f>
        <v/>
      </c>
      <c r="AA2475">
        <f>LTP3!$D$7-X2475*LTP3!$D$6-Y2475*U2475-Z2475*V2475</f>
        <v/>
      </c>
      <c r="AB2475">
        <f>IF(AND(F2475,ABS(W2475)&gt;1E-12,Y2475&gt;0,Z2475&gt;0),AA2475,1E+300)</f>
        <v/>
      </c>
    </row>
    <row r="2476">
      <c r="A2476">
        <f>$B$3+$B$5*40</f>
        <v/>
      </c>
      <c r="B2476">
        <f>$B$3+$B$5*24</f>
        <v/>
      </c>
      <c r="C2476">
        <f>SUMPRODUCT(Calc!$K$3:$K$22*(Calc!$G$3:$G$22&lt;=A2476))</f>
        <v/>
      </c>
      <c r="D2476">
        <f>SUMPRODUCT(Calc!$K$3:$K$22*(Calc!$G$3:$G$22&gt;A2476)*(Calc!$G$3:$G$22&lt;B2476))</f>
        <v/>
      </c>
      <c r="E2476">
        <f>SUMPRODUCT(Calc!$K$3:$K$22*(Calc!$G$3:$G$22&gt;=B2476))</f>
        <v/>
      </c>
      <c r="F2476">
        <f>AND(k_n&gt;=5,B2476&gt;A2476+1E-9,C2476&gt;=2,D2476&gt;=1,E2476&gt;=2)</f>
        <v/>
      </c>
      <c r="G2476">
        <f>SUMPRODUCT(Calc!$K$3:$K$22*(Calc!$G$3:$G$22&gt;A2476)*(Calc!$G$3:$G$22-A2476))</f>
        <v/>
      </c>
      <c r="H2476">
        <f>SUMPRODUCT(Calc!$K$3:$K$22*(Calc!$G$3:$G$22&gt;B2476)*(Calc!$G$3:$G$22-B2476))</f>
        <v/>
      </c>
      <c r="I2476">
        <f>SUMPRODUCT(Calc!$K$3:$K$22*(Calc!$G$3:$G$22&gt;A2476)*(Calc!$G$3:$G$22-A2476)^2)</f>
        <v/>
      </c>
      <c r="J2476">
        <f>SUMPRODUCT(Calc!$K$3:$K$22*(Calc!$G$3:$G$22&gt;B2476)*(Calc!$G$3:$G$22-B2476)^2)</f>
        <v/>
      </c>
      <c r="K2476">
        <f>SUMPRODUCT(Calc!$K$3:$K$22*(Calc!$G$3:$G$22&gt;A2476)*(Calc!$G$3:$G$22-A2476)*(Calc!$G$3:$G$22&gt;B2476)*(Calc!$G$3:$G$22-B2476))</f>
        <v/>
      </c>
      <c r="L2476">
        <f>SUMPRODUCT(Calc!$K$3:$K$22*(Calc!$G$3:$G$22&gt;A2476)*(Calc!$G$3:$G$22-A2476)*Calc!$G$3:$G$22)</f>
        <v/>
      </c>
      <c r="M2476">
        <f>SUMPRODUCT(Calc!$K$3:$K$22*(Calc!$G$3:$G$22&gt;B2476)*(Calc!$G$3:$G$22-B2476)*Calc!$G$3:$G$22)</f>
        <v/>
      </c>
      <c r="N2476">
        <f>SUMPRODUCT(Calc!$K$3:$K$22*(Calc!$G$3:$G$22&gt;A2476)*(Calc!$G$3:$G$22-A2476)*Calc!$I$3:$I$22)</f>
        <v/>
      </c>
      <c r="O2476">
        <f>SUMPRODUCT(Calc!$K$3:$K$22*(Calc!$G$3:$G$22&gt;B2476)*(Calc!$G$3:$G$22-B2476)*Calc!$I$3:$I$22)</f>
        <v/>
      </c>
      <c r="P2476">
        <f>I2476-G2476^2/k_n</f>
        <v/>
      </c>
      <c r="Q2476">
        <f>J2476-H2476^2/k_n</f>
        <v/>
      </c>
      <c r="R2476">
        <f>K2476-G2476*H2476/k_n</f>
        <v/>
      </c>
      <c r="S2476">
        <f>L2476-LTP3!$D$3*G2476/k_n</f>
        <v/>
      </c>
      <c r="T2476">
        <f>M2476-LTP3!$D$3*H2476/k_n</f>
        <v/>
      </c>
      <c r="U2476">
        <f>N2476-G2476*LTP3!$D$4/k_n</f>
        <v/>
      </c>
      <c r="V2476">
        <f>O2476-H2476*LTP3!$D$4/k_n</f>
        <v/>
      </c>
      <c r="W2476">
        <f>((LTP3!$D$5)*((P2476)*(Q2476)-(R2476)*(R2476))-(S2476)*((S2476)*(Q2476)-(R2476)*(T2476))+(T2476)*((S2476)*(R2476)-(P2476)*(T2476)))</f>
        <v/>
      </c>
      <c r="X2476">
        <f>IF(ABS(W2476)&gt;1E-12,((LTP3!$D$6)*((P2476)*(Q2476)-(R2476)*(R2476))-(S2476)*((U2476)*(Q2476)-(R2476)*(V2476))+(T2476)*((U2476)*(R2476)-(P2476)*(V2476)))/W2476,0)</f>
        <v/>
      </c>
      <c r="Y2476">
        <f>IF(ABS(W2476)&gt;1E-12,((LTP3!$D$5)*((U2476)*(Q2476)-(R2476)*(V2476))-(LTP3!$D$6)*((S2476)*(Q2476)-(R2476)*(T2476))+(T2476)*((S2476)*(V2476)-(U2476)*(T2476)))/W2476,0)</f>
        <v/>
      </c>
      <c r="Z2476">
        <f>IF(ABS(W2476)&gt;1E-12,((LTP3!$D$5)*((P2476)*(V2476)-(U2476)*(R2476))-(S2476)*((S2476)*(V2476)-(U2476)*(T2476))+(LTP3!$D$6)*((S2476)*(R2476)-(P2476)*(T2476)))/W2476,0)</f>
        <v/>
      </c>
      <c r="AA2476">
        <f>LTP3!$D$7-X2476*LTP3!$D$6-Y2476*U2476-Z2476*V2476</f>
        <v/>
      </c>
      <c r="AB2476">
        <f>IF(AND(F2476,ABS(W2476)&gt;1E-12,Y2476&gt;0,Z2476&gt;0),AA2476,1E+300)</f>
        <v/>
      </c>
    </row>
    <row r="2477">
      <c r="A2477">
        <f>$B$3+$B$5*40</f>
        <v/>
      </c>
      <c r="B2477">
        <f>$B$3+$B$5*25</f>
        <v/>
      </c>
      <c r="C2477">
        <f>SUMPRODUCT(Calc!$K$3:$K$22*(Calc!$G$3:$G$22&lt;=A2477))</f>
        <v/>
      </c>
      <c r="D2477">
        <f>SUMPRODUCT(Calc!$K$3:$K$22*(Calc!$G$3:$G$22&gt;A2477)*(Calc!$G$3:$G$22&lt;B2477))</f>
        <v/>
      </c>
      <c r="E2477">
        <f>SUMPRODUCT(Calc!$K$3:$K$22*(Calc!$G$3:$G$22&gt;=B2477))</f>
        <v/>
      </c>
      <c r="F2477">
        <f>AND(k_n&gt;=5,B2477&gt;A2477+1E-9,C2477&gt;=2,D2477&gt;=1,E2477&gt;=2)</f>
        <v/>
      </c>
      <c r="G2477">
        <f>SUMPRODUCT(Calc!$K$3:$K$22*(Calc!$G$3:$G$22&gt;A2477)*(Calc!$G$3:$G$22-A2477))</f>
        <v/>
      </c>
      <c r="H2477">
        <f>SUMPRODUCT(Calc!$K$3:$K$22*(Calc!$G$3:$G$22&gt;B2477)*(Calc!$G$3:$G$22-B2477))</f>
        <v/>
      </c>
      <c r="I2477">
        <f>SUMPRODUCT(Calc!$K$3:$K$22*(Calc!$G$3:$G$22&gt;A2477)*(Calc!$G$3:$G$22-A2477)^2)</f>
        <v/>
      </c>
      <c r="J2477">
        <f>SUMPRODUCT(Calc!$K$3:$K$22*(Calc!$G$3:$G$22&gt;B2477)*(Calc!$G$3:$G$22-B2477)^2)</f>
        <v/>
      </c>
      <c r="K2477">
        <f>SUMPRODUCT(Calc!$K$3:$K$22*(Calc!$G$3:$G$22&gt;A2477)*(Calc!$G$3:$G$22-A2477)*(Calc!$G$3:$G$22&gt;B2477)*(Calc!$G$3:$G$22-B2477))</f>
        <v/>
      </c>
      <c r="L2477">
        <f>SUMPRODUCT(Calc!$K$3:$K$22*(Calc!$G$3:$G$22&gt;A2477)*(Calc!$G$3:$G$22-A2477)*Calc!$G$3:$G$22)</f>
        <v/>
      </c>
      <c r="M2477">
        <f>SUMPRODUCT(Calc!$K$3:$K$22*(Calc!$G$3:$G$22&gt;B2477)*(Calc!$G$3:$G$22-B2477)*Calc!$G$3:$G$22)</f>
        <v/>
      </c>
      <c r="N2477">
        <f>SUMPRODUCT(Calc!$K$3:$K$22*(Calc!$G$3:$G$22&gt;A2477)*(Calc!$G$3:$G$22-A2477)*Calc!$I$3:$I$22)</f>
        <v/>
      </c>
      <c r="O2477">
        <f>SUMPRODUCT(Calc!$K$3:$K$22*(Calc!$G$3:$G$22&gt;B2477)*(Calc!$G$3:$G$22-B2477)*Calc!$I$3:$I$22)</f>
        <v/>
      </c>
      <c r="P2477">
        <f>I2477-G2477^2/k_n</f>
        <v/>
      </c>
      <c r="Q2477">
        <f>J2477-H2477^2/k_n</f>
        <v/>
      </c>
      <c r="R2477">
        <f>K2477-G2477*H2477/k_n</f>
        <v/>
      </c>
      <c r="S2477">
        <f>L2477-LTP3!$D$3*G2477/k_n</f>
        <v/>
      </c>
      <c r="T2477">
        <f>M2477-LTP3!$D$3*H2477/k_n</f>
        <v/>
      </c>
      <c r="U2477">
        <f>N2477-G2477*LTP3!$D$4/k_n</f>
        <v/>
      </c>
      <c r="V2477">
        <f>O2477-H2477*LTP3!$D$4/k_n</f>
        <v/>
      </c>
      <c r="W2477">
        <f>((LTP3!$D$5)*((P2477)*(Q2477)-(R2477)*(R2477))-(S2477)*((S2477)*(Q2477)-(R2477)*(T2477))+(T2477)*((S2477)*(R2477)-(P2477)*(T2477)))</f>
        <v/>
      </c>
      <c r="X2477">
        <f>IF(ABS(W2477)&gt;1E-12,((LTP3!$D$6)*((P2477)*(Q2477)-(R2477)*(R2477))-(S2477)*((U2477)*(Q2477)-(R2477)*(V2477))+(T2477)*((U2477)*(R2477)-(P2477)*(V2477)))/W2477,0)</f>
        <v/>
      </c>
      <c r="Y2477">
        <f>IF(ABS(W2477)&gt;1E-12,((LTP3!$D$5)*((U2477)*(Q2477)-(R2477)*(V2477))-(LTP3!$D$6)*((S2477)*(Q2477)-(R2477)*(T2477))+(T2477)*((S2477)*(V2477)-(U2477)*(T2477)))/W2477,0)</f>
        <v/>
      </c>
      <c r="Z2477">
        <f>IF(ABS(W2477)&gt;1E-12,((LTP3!$D$5)*((P2477)*(V2477)-(U2477)*(R2477))-(S2477)*((S2477)*(V2477)-(U2477)*(T2477))+(LTP3!$D$6)*((S2477)*(R2477)-(P2477)*(T2477)))/W2477,0)</f>
        <v/>
      </c>
      <c r="AA2477">
        <f>LTP3!$D$7-X2477*LTP3!$D$6-Y2477*U2477-Z2477*V2477</f>
        <v/>
      </c>
      <c r="AB2477">
        <f>IF(AND(F2477,ABS(W2477)&gt;1E-12,Y2477&gt;0,Z2477&gt;0),AA2477,1E+300)</f>
        <v/>
      </c>
    </row>
    <row r="2478">
      <c r="A2478">
        <f>$B$3+$B$5*40</f>
        <v/>
      </c>
      <c r="B2478">
        <f>$B$3+$B$5*26</f>
        <v/>
      </c>
      <c r="C2478">
        <f>SUMPRODUCT(Calc!$K$3:$K$22*(Calc!$G$3:$G$22&lt;=A2478))</f>
        <v/>
      </c>
      <c r="D2478">
        <f>SUMPRODUCT(Calc!$K$3:$K$22*(Calc!$G$3:$G$22&gt;A2478)*(Calc!$G$3:$G$22&lt;B2478))</f>
        <v/>
      </c>
      <c r="E2478">
        <f>SUMPRODUCT(Calc!$K$3:$K$22*(Calc!$G$3:$G$22&gt;=B2478))</f>
        <v/>
      </c>
      <c r="F2478">
        <f>AND(k_n&gt;=5,B2478&gt;A2478+1E-9,C2478&gt;=2,D2478&gt;=1,E2478&gt;=2)</f>
        <v/>
      </c>
      <c r="G2478">
        <f>SUMPRODUCT(Calc!$K$3:$K$22*(Calc!$G$3:$G$22&gt;A2478)*(Calc!$G$3:$G$22-A2478))</f>
        <v/>
      </c>
      <c r="H2478">
        <f>SUMPRODUCT(Calc!$K$3:$K$22*(Calc!$G$3:$G$22&gt;B2478)*(Calc!$G$3:$G$22-B2478))</f>
        <v/>
      </c>
      <c r="I2478">
        <f>SUMPRODUCT(Calc!$K$3:$K$22*(Calc!$G$3:$G$22&gt;A2478)*(Calc!$G$3:$G$22-A2478)^2)</f>
        <v/>
      </c>
      <c r="J2478">
        <f>SUMPRODUCT(Calc!$K$3:$K$22*(Calc!$G$3:$G$22&gt;B2478)*(Calc!$G$3:$G$22-B2478)^2)</f>
        <v/>
      </c>
      <c r="K2478">
        <f>SUMPRODUCT(Calc!$K$3:$K$22*(Calc!$G$3:$G$22&gt;A2478)*(Calc!$G$3:$G$22-A2478)*(Calc!$G$3:$G$22&gt;B2478)*(Calc!$G$3:$G$22-B2478))</f>
        <v/>
      </c>
      <c r="L2478">
        <f>SUMPRODUCT(Calc!$K$3:$K$22*(Calc!$G$3:$G$22&gt;A2478)*(Calc!$G$3:$G$22-A2478)*Calc!$G$3:$G$22)</f>
        <v/>
      </c>
      <c r="M2478">
        <f>SUMPRODUCT(Calc!$K$3:$K$22*(Calc!$G$3:$G$22&gt;B2478)*(Calc!$G$3:$G$22-B2478)*Calc!$G$3:$G$22)</f>
        <v/>
      </c>
      <c r="N2478">
        <f>SUMPRODUCT(Calc!$K$3:$K$22*(Calc!$G$3:$G$22&gt;A2478)*(Calc!$G$3:$G$22-A2478)*Calc!$I$3:$I$22)</f>
        <v/>
      </c>
      <c r="O2478">
        <f>SUMPRODUCT(Calc!$K$3:$K$22*(Calc!$G$3:$G$22&gt;B2478)*(Calc!$G$3:$G$22-B2478)*Calc!$I$3:$I$22)</f>
        <v/>
      </c>
      <c r="P2478">
        <f>I2478-G2478^2/k_n</f>
        <v/>
      </c>
      <c r="Q2478">
        <f>J2478-H2478^2/k_n</f>
        <v/>
      </c>
      <c r="R2478">
        <f>K2478-G2478*H2478/k_n</f>
        <v/>
      </c>
      <c r="S2478">
        <f>L2478-LTP3!$D$3*G2478/k_n</f>
        <v/>
      </c>
      <c r="T2478">
        <f>M2478-LTP3!$D$3*H2478/k_n</f>
        <v/>
      </c>
      <c r="U2478">
        <f>N2478-G2478*LTP3!$D$4/k_n</f>
        <v/>
      </c>
      <c r="V2478">
        <f>O2478-H2478*LTP3!$D$4/k_n</f>
        <v/>
      </c>
      <c r="W2478">
        <f>((LTP3!$D$5)*((P2478)*(Q2478)-(R2478)*(R2478))-(S2478)*((S2478)*(Q2478)-(R2478)*(T2478))+(T2478)*((S2478)*(R2478)-(P2478)*(T2478)))</f>
        <v/>
      </c>
      <c r="X2478">
        <f>IF(ABS(W2478)&gt;1E-12,((LTP3!$D$6)*((P2478)*(Q2478)-(R2478)*(R2478))-(S2478)*((U2478)*(Q2478)-(R2478)*(V2478))+(T2478)*((U2478)*(R2478)-(P2478)*(V2478)))/W2478,0)</f>
        <v/>
      </c>
      <c r="Y2478">
        <f>IF(ABS(W2478)&gt;1E-12,((LTP3!$D$5)*((U2478)*(Q2478)-(R2478)*(V2478))-(LTP3!$D$6)*((S2478)*(Q2478)-(R2478)*(T2478))+(T2478)*((S2478)*(V2478)-(U2478)*(T2478)))/W2478,0)</f>
        <v/>
      </c>
      <c r="Z2478">
        <f>IF(ABS(W2478)&gt;1E-12,((LTP3!$D$5)*((P2478)*(V2478)-(U2478)*(R2478))-(S2478)*((S2478)*(V2478)-(U2478)*(T2478))+(LTP3!$D$6)*((S2478)*(R2478)-(P2478)*(T2478)))/W2478,0)</f>
        <v/>
      </c>
      <c r="AA2478">
        <f>LTP3!$D$7-X2478*LTP3!$D$6-Y2478*U2478-Z2478*V2478</f>
        <v/>
      </c>
      <c r="AB2478">
        <f>IF(AND(F2478,ABS(W2478)&gt;1E-12,Y2478&gt;0,Z2478&gt;0),AA2478,1E+300)</f>
        <v/>
      </c>
    </row>
    <row r="2479">
      <c r="A2479">
        <f>$B$3+$B$5*40</f>
        <v/>
      </c>
      <c r="B2479">
        <f>$B$3+$B$5*27</f>
        <v/>
      </c>
      <c r="C2479">
        <f>SUMPRODUCT(Calc!$K$3:$K$22*(Calc!$G$3:$G$22&lt;=A2479))</f>
        <v/>
      </c>
      <c r="D2479">
        <f>SUMPRODUCT(Calc!$K$3:$K$22*(Calc!$G$3:$G$22&gt;A2479)*(Calc!$G$3:$G$22&lt;B2479))</f>
        <v/>
      </c>
      <c r="E2479">
        <f>SUMPRODUCT(Calc!$K$3:$K$22*(Calc!$G$3:$G$22&gt;=B2479))</f>
        <v/>
      </c>
      <c r="F2479">
        <f>AND(k_n&gt;=5,B2479&gt;A2479+1E-9,C2479&gt;=2,D2479&gt;=1,E2479&gt;=2)</f>
        <v/>
      </c>
      <c r="G2479">
        <f>SUMPRODUCT(Calc!$K$3:$K$22*(Calc!$G$3:$G$22&gt;A2479)*(Calc!$G$3:$G$22-A2479))</f>
        <v/>
      </c>
      <c r="H2479">
        <f>SUMPRODUCT(Calc!$K$3:$K$22*(Calc!$G$3:$G$22&gt;B2479)*(Calc!$G$3:$G$22-B2479))</f>
        <v/>
      </c>
      <c r="I2479">
        <f>SUMPRODUCT(Calc!$K$3:$K$22*(Calc!$G$3:$G$22&gt;A2479)*(Calc!$G$3:$G$22-A2479)^2)</f>
        <v/>
      </c>
      <c r="J2479">
        <f>SUMPRODUCT(Calc!$K$3:$K$22*(Calc!$G$3:$G$22&gt;B2479)*(Calc!$G$3:$G$22-B2479)^2)</f>
        <v/>
      </c>
      <c r="K2479">
        <f>SUMPRODUCT(Calc!$K$3:$K$22*(Calc!$G$3:$G$22&gt;A2479)*(Calc!$G$3:$G$22-A2479)*(Calc!$G$3:$G$22&gt;B2479)*(Calc!$G$3:$G$22-B2479))</f>
        <v/>
      </c>
      <c r="L2479">
        <f>SUMPRODUCT(Calc!$K$3:$K$22*(Calc!$G$3:$G$22&gt;A2479)*(Calc!$G$3:$G$22-A2479)*Calc!$G$3:$G$22)</f>
        <v/>
      </c>
      <c r="M2479">
        <f>SUMPRODUCT(Calc!$K$3:$K$22*(Calc!$G$3:$G$22&gt;B2479)*(Calc!$G$3:$G$22-B2479)*Calc!$G$3:$G$22)</f>
        <v/>
      </c>
      <c r="N2479">
        <f>SUMPRODUCT(Calc!$K$3:$K$22*(Calc!$G$3:$G$22&gt;A2479)*(Calc!$G$3:$G$22-A2479)*Calc!$I$3:$I$22)</f>
        <v/>
      </c>
      <c r="O2479">
        <f>SUMPRODUCT(Calc!$K$3:$K$22*(Calc!$G$3:$G$22&gt;B2479)*(Calc!$G$3:$G$22-B2479)*Calc!$I$3:$I$22)</f>
        <v/>
      </c>
      <c r="P2479">
        <f>I2479-G2479^2/k_n</f>
        <v/>
      </c>
      <c r="Q2479">
        <f>J2479-H2479^2/k_n</f>
        <v/>
      </c>
      <c r="R2479">
        <f>K2479-G2479*H2479/k_n</f>
        <v/>
      </c>
      <c r="S2479">
        <f>L2479-LTP3!$D$3*G2479/k_n</f>
        <v/>
      </c>
      <c r="T2479">
        <f>M2479-LTP3!$D$3*H2479/k_n</f>
        <v/>
      </c>
      <c r="U2479">
        <f>N2479-G2479*LTP3!$D$4/k_n</f>
        <v/>
      </c>
      <c r="V2479">
        <f>O2479-H2479*LTP3!$D$4/k_n</f>
        <v/>
      </c>
      <c r="W2479">
        <f>((LTP3!$D$5)*((P2479)*(Q2479)-(R2479)*(R2479))-(S2479)*((S2479)*(Q2479)-(R2479)*(T2479))+(T2479)*((S2479)*(R2479)-(P2479)*(T2479)))</f>
        <v/>
      </c>
      <c r="X2479">
        <f>IF(ABS(W2479)&gt;1E-12,((LTP3!$D$6)*((P2479)*(Q2479)-(R2479)*(R2479))-(S2479)*((U2479)*(Q2479)-(R2479)*(V2479))+(T2479)*((U2479)*(R2479)-(P2479)*(V2479)))/W2479,0)</f>
        <v/>
      </c>
      <c r="Y2479">
        <f>IF(ABS(W2479)&gt;1E-12,((LTP3!$D$5)*((U2479)*(Q2479)-(R2479)*(V2479))-(LTP3!$D$6)*((S2479)*(Q2479)-(R2479)*(T2479))+(T2479)*((S2479)*(V2479)-(U2479)*(T2479)))/W2479,0)</f>
        <v/>
      </c>
      <c r="Z2479">
        <f>IF(ABS(W2479)&gt;1E-12,((LTP3!$D$5)*((P2479)*(V2479)-(U2479)*(R2479))-(S2479)*((S2479)*(V2479)-(U2479)*(T2479))+(LTP3!$D$6)*((S2479)*(R2479)-(P2479)*(T2479)))/W2479,0)</f>
        <v/>
      </c>
      <c r="AA2479">
        <f>LTP3!$D$7-X2479*LTP3!$D$6-Y2479*U2479-Z2479*V2479</f>
        <v/>
      </c>
      <c r="AB2479">
        <f>IF(AND(F2479,ABS(W2479)&gt;1E-12,Y2479&gt;0,Z2479&gt;0),AA2479,1E+300)</f>
        <v/>
      </c>
    </row>
    <row r="2480">
      <c r="A2480">
        <f>$B$3+$B$5*40</f>
        <v/>
      </c>
      <c r="B2480">
        <f>$B$3+$B$5*28</f>
        <v/>
      </c>
      <c r="C2480">
        <f>SUMPRODUCT(Calc!$K$3:$K$22*(Calc!$G$3:$G$22&lt;=A2480))</f>
        <v/>
      </c>
      <c r="D2480">
        <f>SUMPRODUCT(Calc!$K$3:$K$22*(Calc!$G$3:$G$22&gt;A2480)*(Calc!$G$3:$G$22&lt;B2480))</f>
        <v/>
      </c>
      <c r="E2480">
        <f>SUMPRODUCT(Calc!$K$3:$K$22*(Calc!$G$3:$G$22&gt;=B2480))</f>
        <v/>
      </c>
      <c r="F2480">
        <f>AND(k_n&gt;=5,B2480&gt;A2480+1E-9,C2480&gt;=2,D2480&gt;=1,E2480&gt;=2)</f>
        <v/>
      </c>
      <c r="G2480">
        <f>SUMPRODUCT(Calc!$K$3:$K$22*(Calc!$G$3:$G$22&gt;A2480)*(Calc!$G$3:$G$22-A2480))</f>
        <v/>
      </c>
      <c r="H2480">
        <f>SUMPRODUCT(Calc!$K$3:$K$22*(Calc!$G$3:$G$22&gt;B2480)*(Calc!$G$3:$G$22-B2480))</f>
        <v/>
      </c>
      <c r="I2480">
        <f>SUMPRODUCT(Calc!$K$3:$K$22*(Calc!$G$3:$G$22&gt;A2480)*(Calc!$G$3:$G$22-A2480)^2)</f>
        <v/>
      </c>
      <c r="J2480">
        <f>SUMPRODUCT(Calc!$K$3:$K$22*(Calc!$G$3:$G$22&gt;B2480)*(Calc!$G$3:$G$22-B2480)^2)</f>
        <v/>
      </c>
      <c r="K2480">
        <f>SUMPRODUCT(Calc!$K$3:$K$22*(Calc!$G$3:$G$22&gt;A2480)*(Calc!$G$3:$G$22-A2480)*(Calc!$G$3:$G$22&gt;B2480)*(Calc!$G$3:$G$22-B2480))</f>
        <v/>
      </c>
      <c r="L2480">
        <f>SUMPRODUCT(Calc!$K$3:$K$22*(Calc!$G$3:$G$22&gt;A2480)*(Calc!$G$3:$G$22-A2480)*Calc!$G$3:$G$22)</f>
        <v/>
      </c>
      <c r="M2480">
        <f>SUMPRODUCT(Calc!$K$3:$K$22*(Calc!$G$3:$G$22&gt;B2480)*(Calc!$G$3:$G$22-B2480)*Calc!$G$3:$G$22)</f>
        <v/>
      </c>
      <c r="N2480">
        <f>SUMPRODUCT(Calc!$K$3:$K$22*(Calc!$G$3:$G$22&gt;A2480)*(Calc!$G$3:$G$22-A2480)*Calc!$I$3:$I$22)</f>
        <v/>
      </c>
      <c r="O2480">
        <f>SUMPRODUCT(Calc!$K$3:$K$22*(Calc!$G$3:$G$22&gt;B2480)*(Calc!$G$3:$G$22-B2480)*Calc!$I$3:$I$22)</f>
        <v/>
      </c>
      <c r="P2480">
        <f>I2480-G2480^2/k_n</f>
        <v/>
      </c>
      <c r="Q2480">
        <f>J2480-H2480^2/k_n</f>
        <v/>
      </c>
      <c r="R2480">
        <f>K2480-G2480*H2480/k_n</f>
        <v/>
      </c>
      <c r="S2480">
        <f>L2480-LTP3!$D$3*G2480/k_n</f>
        <v/>
      </c>
      <c r="T2480">
        <f>M2480-LTP3!$D$3*H2480/k_n</f>
        <v/>
      </c>
      <c r="U2480">
        <f>N2480-G2480*LTP3!$D$4/k_n</f>
        <v/>
      </c>
      <c r="V2480">
        <f>O2480-H2480*LTP3!$D$4/k_n</f>
        <v/>
      </c>
      <c r="W2480">
        <f>((LTP3!$D$5)*((P2480)*(Q2480)-(R2480)*(R2480))-(S2480)*((S2480)*(Q2480)-(R2480)*(T2480))+(T2480)*((S2480)*(R2480)-(P2480)*(T2480)))</f>
        <v/>
      </c>
      <c r="X2480">
        <f>IF(ABS(W2480)&gt;1E-12,((LTP3!$D$6)*((P2480)*(Q2480)-(R2480)*(R2480))-(S2480)*((U2480)*(Q2480)-(R2480)*(V2480))+(T2480)*((U2480)*(R2480)-(P2480)*(V2480)))/W2480,0)</f>
        <v/>
      </c>
      <c r="Y2480">
        <f>IF(ABS(W2480)&gt;1E-12,((LTP3!$D$5)*((U2480)*(Q2480)-(R2480)*(V2480))-(LTP3!$D$6)*((S2480)*(Q2480)-(R2480)*(T2480))+(T2480)*((S2480)*(V2480)-(U2480)*(T2480)))/W2480,0)</f>
        <v/>
      </c>
      <c r="Z2480">
        <f>IF(ABS(W2480)&gt;1E-12,((LTP3!$D$5)*((P2480)*(V2480)-(U2480)*(R2480))-(S2480)*((S2480)*(V2480)-(U2480)*(T2480))+(LTP3!$D$6)*((S2480)*(R2480)-(P2480)*(T2480)))/W2480,0)</f>
        <v/>
      </c>
      <c r="AA2480">
        <f>LTP3!$D$7-X2480*LTP3!$D$6-Y2480*U2480-Z2480*V2480</f>
        <v/>
      </c>
      <c r="AB2480">
        <f>IF(AND(F2480,ABS(W2480)&gt;1E-12,Y2480&gt;0,Z2480&gt;0),AA2480,1E+300)</f>
        <v/>
      </c>
    </row>
    <row r="2481">
      <c r="A2481">
        <f>$B$3+$B$5*40</f>
        <v/>
      </c>
      <c r="B2481">
        <f>$B$3+$B$5*29</f>
        <v/>
      </c>
      <c r="C2481">
        <f>SUMPRODUCT(Calc!$K$3:$K$22*(Calc!$G$3:$G$22&lt;=A2481))</f>
        <v/>
      </c>
      <c r="D2481">
        <f>SUMPRODUCT(Calc!$K$3:$K$22*(Calc!$G$3:$G$22&gt;A2481)*(Calc!$G$3:$G$22&lt;B2481))</f>
        <v/>
      </c>
      <c r="E2481">
        <f>SUMPRODUCT(Calc!$K$3:$K$22*(Calc!$G$3:$G$22&gt;=B2481))</f>
        <v/>
      </c>
      <c r="F2481">
        <f>AND(k_n&gt;=5,B2481&gt;A2481+1E-9,C2481&gt;=2,D2481&gt;=1,E2481&gt;=2)</f>
        <v/>
      </c>
      <c r="G2481">
        <f>SUMPRODUCT(Calc!$K$3:$K$22*(Calc!$G$3:$G$22&gt;A2481)*(Calc!$G$3:$G$22-A2481))</f>
        <v/>
      </c>
      <c r="H2481">
        <f>SUMPRODUCT(Calc!$K$3:$K$22*(Calc!$G$3:$G$22&gt;B2481)*(Calc!$G$3:$G$22-B2481))</f>
        <v/>
      </c>
      <c r="I2481">
        <f>SUMPRODUCT(Calc!$K$3:$K$22*(Calc!$G$3:$G$22&gt;A2481)*(Calc!$G$3:$G$22-A2481)^2)</f>
        <v/>
      </c>
      <c r="J2481">
        <f>SUMPRODUCT(Calc!$K$3:$K$22*(Calc!$G$3:$G$22&gt;B2481)*(Calc!$G$3:$G$22-B2481)^2)</f>
        <v/>
      </c>
      <c r="K2481">
        <f>SUMPRODUCT(Calc!$K$3:$K$22*(Calc!$G$3:$G$22&gt;A2481)*(Calc!$G$3:$G$22-A2481)*(Calc!$G$3:$G$22&gt;B2481)*(Calc!$G$3:$G$22-B2481))</f>
        <v/>
      </c>
      <c r="L2481">
        <f>SUMPRODUCT(Calc!$K$3:$K$22*(Calc!$G$3:$G$22&gt;A2481)*(Calc!$G$3:$G$22-A2481)*Calc!$G$3:$G$22)</f>
        <v/>
      </c>
      <c r="M2481">
        <f>SUMPRODUCT(Calc!$K$3:$K$22*(Calc!$G$3:$G$22&gt;B2481)*(Calc!$G$3:$G$22-B2481)*Calc!$G$3:$G$22)</f>
        <v/>
      </c>
      <c r="N2481">
        <f>SUMPRODUCT(Calc!$K$3:$K$22*(Calc!$G$3:$G$22&gt;A2481)*(Calc!$G$3:$G$22-A2481)*Calc!$I$3:$I$22)</f>
        <v/>
      </c>
      <c r="O2481">
        <f>SUMPRODUCT(Calc!$K$3:$K$22*(Calc!$G$3:$G$22&gt;B2481)*(Calc!$G$3:$G$22-B2481)*Calc!$I$3:$I$22)</f>
        <v/>
      </c>
      <c r="P2481">
        <f>I2481-G2481^2/k_n</f>
        <v/>
      </c>
      <c r="Q2481">
        <f>J2481-H2481^2/k_n</f>
        <v/>
      </c>
      <c r="R2481">
        <f>K2481-G2481*H2481/k_n</f>
        <v/>
      </c>
      <c r="S2481">
        <f>L2481-LTP3!$D$3*G2481/k_n</f>
        <v/>
      </c>
      <c r="T2481">
        <f>M2481-LTP3!$D$3*H2481/k_n</f>
        <v/>
      </c>
      <c r="U2481">
        <f>N2481-G2481*LTP3!$D$4/k_n</f>
        <v/>
      </c>
      <c r="V2481">
        <f>O2481-H2481*LTP3!$D$4/k_n</f>
        <v/>
      </c>
      <c r="W2481">
        <f>((LTP3!$D$5)*((P2481)*(Q2481)-(R2481)*(R2481))-(S2481)*((S2481)*(Q2481)-(R2481)*(T2481))+(T2481)*((S2481)*(R2481)-(P2481)*(T2481)))</f>
        <v/>
      </c>
      <c r="X2481">
        <f>IF(ABS(W2481)&gt;1E-12,((LTP3!$D$6)*((P2481)*(Q2481)-(R2481)*(R2481))-(S2481)*((U2481)*(Q2481)-(R2481)*(V2481))+(T2481)*((U2481)*(R2481)-(P2481)*(V2481)))/W2481,0)</f>
        <v/>
      </c>
      <c r="Y2481">
        <f>IF(ABS(W2481)&gt;1E-12,((LTP3!$D$5)*((U2481)*(Q2481)-(R2481)*(V2481))-(LTP3!$D$6)*((S2481)*(Q2481)-(R2481)*(T2481))+(T2481)*((S2481)*(V2481)-(U2481)*(T2481)))/W2481,0)</f>
        <v/>
      </c>
      <c r="Z2481">
        <f>IF(ABS(W2481)&gt;1E-12,((LTP3!$D$5)*((P2481)*(V2481)-(U2481)*(R2481))-(S2481)*((S2481)*(V2481)-(U2481)*(T2481))+(LTP3!$D$6)*((S2481)*(R2481)-(P2481)*(T2481)))/W2481,0)</f>
        <v/>
      </c>
      <c r="AA2481">
        <f>LTP3!$D$7-X2481*LTP3!$D$6-Y2481*U2481-Z2481*V2481</f>
        <v/>
      </c>
      <c r="AB2481">
        <f>IF(AND(F2481,ABS(W2481)&gt;1E-12,Y2481&gt;0,Z2481&gt;0),AA2481,1E+300)</f>
        <v/>
      </c>
    </row>
    <row r="2482">
      <c r="A2482">
        <f>$B$3+$B$5*40</f>
        <v/>
      </c>
      <c r="B2482">
        <f>$B$3+$B$5*30</f>
        <v/>
      </c>
      <c r="C2482">
        <f>SUMPRODUCT(Calc!$K$3:$K$22*(Calc!$G$3:$G$22&lt;=A2482))</f>
        <v/>
      </c>
      <c r="D2482">
        <f>SUMPRODUCT(Calc!$K$3:$K$22*(Calc!$G$3:$G$22&gt;A2482)*(Calc!$G$3:$G$22&lt;B2482))</f>
        <v/>
      </c>
      <c r="E2482">
        <f>SUMPRODUCT(Calc!$K$3:$K$22*(Calc!$G$3:$G$22&gt;=B2482))</f>
        <v/>
      </c>
      <c r="F2482">
        <f>AND(k_n&gt;=5,B2482&gt;A2482+1E-9,C2482&gt;=2,D2482&gt;=1,E2482&gt;=2)</f>
        <v/>
      </c>
      <c r="G2482">
        <f>SUMPRODUCT(Calc!$K$3:$K$22*(Calc!$G$3:$G$22&gt;A2482)*(Calc!$G$3:$G$22-A2482))</f>
        <v/>
      </c>
      <c r="H2482">
        <f>SUMPRODUCT(Calc!$K$3:$K$22*(Calc!$G$3:$G$22&gt;B2482)*(Calc!$G$3:$G$22-B2482))</f>
        <v/>
      </c>
      <c r="I2482">
        <f>SUMPRODUCT(Calc!$K$3:$K$22*(Calc!$G$3:$G$22&gt;A2482)*(Calc!$G$3:$G$22-A2482)^2)</f>
        <v/>
      </c>
      <c r="J2482">
        <f>SUMPRODUCT(Calc!$K$3:$K$22*(Calc!$G$3:$G$22&gt;B2482)*(Calc!$G$3:$G$22-B2482)^2)</f>
        <v/>
      </c>
      <c r="K2482">
        <f>SUMPRODUCT(Calc!$K$3:$K$22*(Calc!$G$3:$G$22&gt;A2482)*(Calc!$G$3:$G$22-A2482)*(Calc!$G$3:$G$22&gt;B2482)*(Calc!$G$3:$G$22-B2482))</f>
        <v/>
      </c>
      <c r="L2482">
        <f>SUMPRODUCT(Calc!$K$3:$K$22*(Calc!$G$3:$G$22&gt;A2482)*(Calc!$G$3:$G$22-A2482)*Calc!$G$3:$G$22)</f>
        <v/>
      </c>
      <c r="M2482">
        <f>SUMPRODUCT(Calc!$K$3:$K$22*(Calc!$G$3:$G$22&gt;B2482)*(Calc!$G$3:$G$22-B2482)*Calc!$G$3:$G$22)</f>
        <v/>
      </c>
      <c r="N2482">
        <f>SUMPRODUCT(Calc!$K$3:$K$22*(Calc!$G$3:$G$22&gt;A2482)*(Calc!$G$3:$G$22-A2482)*Calc!$I$3:$I$22)</f>
        <v/>
      </c>
      <c r="O2482">
        <f>SUMPRODUCT(Calc!$K$3:$K$22*(Calc!$G$3:$G$22&gt;B2482)*(Calc!$G$3:$G$22-B2482)*Calc!$I$3:$I$22)</f>
        <v/>
      </c>
      <c r="P2482">
        <f>I2482-G2482^2/k_n</f>
        <v/>
      </c>
      <c r="Q2482">
        <f>J2482-H2482^2/k_n</f>
        <v/>
      </c>
      <c r="R2482">
        <f>K2482-G2482*H2482/k_n</f>
        <v/>
      </c>
      <c r="S2482">
        <f>L2482-LTP3!$D$3*G2482/k_n</f>
        <v/>
      </c>
      <c r="T2482">
        <f>M2482-LTP3!$D$3*H2482/k_n</f>
        <v/>
      </c>
      <c r="U2482">
        <f>N2482-G2482*LTP3!$D$4/k_n</f>
        <v/>
      </c>
      <c r="V2482">
        <f>O2482-H2482*LTP3!$D$4/k_n</f>
        <v/>
      </c>
      <c r="W2482">
        <f>((LTP3!$D$5)*((P2482)*(Q2482)-(R2482)*(R2482))-(S2482)*((S2482)*(Q2482)-(R2482)*(T2482))+(T2482)*((S2482)*(R2482)-(P2482)*(T2482)))</f>
        <v/>
      </c>
      <c r="X2482">
        <f>IF(ABS(W2482)&gt;1E-12,((LTP3!$D$6)*((P2482)*(Q2482)-(R2482)*(R2482))-(S2482)*((U2482)*(Q2482)-(R2482)*(V2482))+(T2482)*((U2482)*(R2482)-(P2482)*(V2482)))/W2482,0)</f>
        <v/>
      </c>
      <c r="Y2482">
        <f>IF(ABS(W2482)&gt;1E-12,((LTP3!$D$5)*((U2482)*(Q2482)-(R2482)*(V2482))-(LTP3!$D$6)*((S2482)*(Q2482)-(R2482)*(T2482))+(T2482)*((S2482)*(V2482)-(U2482)*(T2482)))/W2482,0)</f>
        <v/>
      </c>
      <c r="Z2482">
        <f>IF(ABS(W2482)&gt;1E-12,((LTP3!$D$5)*((P2482)*(V2482)-(U2482)*(R2482))-(S2482)*((S2482)*(V2482)-(U2482)*(T2482))+(LTP3!$D$6)*((S2482)*(R2482)-(P2482)*(T2482)))/W2482,0)</f>
        <v/>
      </c>
      <c r="AA2482">
        <f>LTP3!$D$7-X2482*LTP3!$D$6-Y2482*U2482-Z2482*V2482</f>
        <v/>
      </c>
      <c r="AB2482">
        <f>IF(AND(F2482,ABS(W2482)&gt;1E-12,Y2482&gt;0,Z2482&gt;0),AA2482,1E+300)</f>
        <v/>
      </c>
    </row>
    <row r="2483">
      <c r="A2483">
        <f>$B$3+$B$5*40</f>
        <v/>
      </c>
      <c r="B2483">
        <f>$B$3+$B$5*31</f>
        <v/>
      </c>
      <c r="C2483">
        <f>SUMPRODUCT(Calc!$K$3:$K$22*(Calc!$G$3:$G$22&lt;=A2483))</f>
        <v/>
      </c>
      <c r="D2483">
        <f>SUMPRODUCT(Calc!$K$3:$K$22*(Calc!$G$3:$G$22&gt;A2483)*(Calc!$G$3:$G$22&lt;B2483))</f>
        <v/>
      </c>
      <c r="E2483">
        <f>SUMPRODUCT(Calc!$K$3:$K$22*(Calc!$G$3:$G$22&gt;=B2483))</f>
        <v/>
      </c>
      <c r="F2483">
        <f>AND(k_n&gt;=5,B2483&gt;A2483+1E-9,C2483&gt;=2,D2483&gt;=1,E2483&gt;=2)</f>
        <v/>
      </c>
      <c r="G2483">
        <f>SUMPRODUCT(Calc!$K$3:$K$22*(Calc!$G$3:$G$22&gt;A2483)*(Calc!$G$3:$G$22-A2483))</f>
        <v/>
      </c>
      <c r="H2483">
        <f>SUMPRODUCT(Calc!$K$3:$K$22*(Calc!$G$3:$G$22&gt;B2483)*(Calc!$G$3:$G$22-B2483))</f>
        <v/>
      </c>
      <c r="I2483">
        <f>SUMPRODUCT(Calc!$K$3:$K$22*(Calc!$G$3:$G$22&gt;A2483)*(Calc!$G$3:$G$22-A2483)^2)</f>
        <v/>
      </c>
      <c r="J2483">
        <f>SUMPRODUCT(Calc!$K$3:$K$22*(Calc!$G$3:$G$22&gt;B2483)*(Calc!$G$3:$G$22-B2483)^2)</f>
        <v/>
      </c>
      <c r="K2483">
        <f>SUMPRODUCT(Calc!$K$3:$K$22*(Calc!$G$3:$G$22&gt;A2483)*(Calc!$G$3:$G$22-A2483)*(Calc!$G$3:$G$22&gt;B2483)*(Calc!$G$3:$G$22-B2483))</f>
        <v/>
      </c>
      <c r="L2483">
        <f>SUMPRODUCT(Calc!$K$3:$K$22*(Calc!$G$3:$G$22&gt;A2483)*(Calc!$G$3:$G$22-A2483)*Calc!$G$3:$G$22)</f>
        <v/>
      </c>
      <c r="M2483">
        <f>SUMPRODUCT(Calc!$K$3:$K$22*(Calc!$G$3:$G$22&gt;B2483)*(Calc!$G$3:$G$22-B2483)*Calc!$G$3:$G$22)</f>
        <v/>
      </c>
      <c r="N2483">
        <f>SUMPRODUCT(Calc!$K$3:$K$22*(Calc!$G$3:$G$22&gt;A2483)*(Calc!$G$3:$G$22-A2483)*Calc!$I$3:$I$22)</f>
        <v/>
      </c>
      <c r="O2483">
        <f>SUMPRODUCT(Calc!$K$3:$K$22*(Calc!$G$3:$G$22&gt;B2483)*(Calc!$G$3:$G$22-B2483)*Calc!$I$3:$I$22)</f>
        <v/>
      </c>
      <c r="P2483">
        <f>I2483-G2483^2/k_n</f>
        <v/>
      </c>
      <c r="Q2483">
        <f>J2483-H2483^2/k_n</f>
        <v/>
      </c>
      <c r="R2483">
        <f>K2483-G2483*H2483/k_n</f>
        <v/>
      </c>
      <c r="S2483">
        <f>L2483-LTP3!$D$3*G2483/k_n</f>
        <v/>
      </c>
      <c r="T2483">
        <f>M2483-LTP3!$D$3*H2483/k_n</f>
        <v/>
      </c>
      <c r="U2483">
        <f>N2483-G2483*LTP3!$D$4/k_n</f>
        <v/>
      </c>
      <c r="V2483">
        <f>O2483-H2483*LTP3!$D$4/k_n</f>
        <v/>
      </c>
      <c r="W2483">
        <f>((LTP3!$D$5)*((P2483)*(Q2483)-(R2483)*(R2483))-(S2483)*((S2483)*(Q2483)-(R2483)*(T2483))+(T2483)*((S2483)*(R2483)-(P2483)*(T2483)))</f>
        <v/>
      </c>
      <c r="X2483">
        <f>IF(ABS(W2483)&gt;1E-12,((LTP3!$D$6)*((P2483)*(Q2483)-(R2483)*(R2483))-(S2483)*((U2483)*(Q2483)-(R2483)*(V2483))+(T2483)*((U2483)*(R2483)-(P2483)*(V2483)))/W2483,0)</f>
        <v/>
      </c>
      <c r="Y2483">
        <f>IF(ABS(W2483)&gt;1E-12,((LTP3!$D$5)*((U2483)*(Q2483)-(R2483)*(V2483))-(LTP3!$D$6)*((S2483)*(Q2483)-(R2483)*(T2483))+(T2483)*((S2483)*(V2483)-(U2483)*(T2483)))/W2483,0)</f>
        <v/>
      </c>
      <c r="Z2483">
        <f>IF(ABS(W2483)&gt;1E-12,((LTP3!$D$5)*((P2483)*(V2483)-(U2483)*(R2483))-(S2483)*((S2483)*(V2483)-(U2483)*(T2483))+(LTP3!$D$6)*((S2483)*(R2483)-(P2483)*(T2483)))/W2483,0)</f>
        <v/>
      </c>
      <c r="AA2483">
        <f>LTP3!$D$7-X2483*LTP3!$D$6-Y2483*U2483-Z2483*V2483</f>
        <v/>
      </c>
      <c r="AB2483">
        <f>IF(AND(F2483,ABS(W2483)&gt;1E-12,Y2483&gt;0,Z2483&gt;0),AA2483,1E+300)</f>
        <v/>
      </c>
    </row>
    <row r="2484">
      <c r="A2484">
        <f>$B$3+$B$5*40</f>
        <v/>
      </c>
      <c r="B2484">
        <f>$B$3+$B$5*32</f>
        <v/>
      </c>
      <c r="C2484">
        <f>SUMPRODUCT(Calc!$K$3:$K$22*(Calc!$G$3:$G$22&lt;=A2484))</f>
        <v/>
      </c>
      <c r="D2484">
        <f>SUMPRODUCT(Calc!$K$3:$K$22*(Calc!$G$3:$G$22&gt;A2484)*(Calc!$G$3:$G$22&lt;B2484))</f>
        <v/>
      </c>
      <c r="E2484">
        <f>SUMPRODUCT(Calc!$K$3:$K$22*(Calc!$G$3:$G$22&gt;=B2484))</f>
        <v/>
      </c>
      <c r="F2484">
        <f>AND(k_n&gt;=5,B2484&gt;A2484+1E-9,C2484&gt;=2,D2484&gt;=1,E2484&gt;=2)</f>
        <v/>
      </c>
      <c r="G2484">
        <f>SUMPRODUCT(Calc!$K$3:$K$22*(Calc!$G$3:$G$22&gt;A2484)*(Calc!$G$3:$G$22-A2484))</f>
        <v/>
      </c>
      <c r="H2484">
        <f>SUMPRODUCT(Calc!$K$3:$K$22*(Calc!$G$3:$G$22&gt;B2484)*(Calc!$G$3:$G$22-B2484))</f>
        <v/>
      </c>
      <c r="I2484">
        <f>SUMPRODUCT(Calc!$K$3:$K$22*(Calc!$G$3:$G$22&gt;A2484)*(Calc!$G$3:$G$22-A2484)^2)</f>
        <v/>
      </c>
      <c r="J2484">
        <f>SUMPRODUCT(Calc!$K$3:$K$22*(Calc!$G$3:$G$22&gt;B2484)*(Calc!$G$3:$G$22-B2484)^2)</f>
        <v/>
      </c>
      <c r="K2484">
        <f>SUMPRODUCT(Calc!$K$3:$K$22*(Calc!$G$3:$G$22&gt;A2484)*(Calc!$G$3:$G$22-A2484)*(Calc!$G$3:$G$22&gt;B2484)*(Calc!$G$3:$G$22-B2484))</f>
        <v/>
      </c>
      <c r="L2484">
        <f>SUMPRODUCT(Calc!$K$3:$K$22*(Calc!$G$3:$G$22&gt;A2484)*(Calc!$G$3:$G$22-A2484)*Calc!$G$3:$G$22)</f>
        <v/>
      </c>
      <c r="M2484">
        <f>SUMPRODUCT(Calc!$K$3:$K$22*(Calc!$G$3:$G$22&gt;B2484)*(Calc!$G$3:$G$22-B2484)*Calc!$G$3:$G$22)</f>
        <v/>
      </c>
      <c r="N2484">
        <f>SUMPRODUCT(Calc!$K$3:$K$22*(Calc!$G$3:$G$22&gt;A2484)*(Calc!$G$3:$G$22-A2484)*Calc!$I$3:$I$22)</f>
        <v/>
      </c>
      <c r="O2484">
        <f>SUMPRODUCT(Calc!$K$3:$K$22*(Calc!$G$3:$G$22&gt;B2484)*(Calc!$G$3:$G$22-B2484)*Calc!$I$3:$I$22)</f>
        <v/>
      </c>
      <c r="P2484">
        <f>I2484-G2484^2/k_n</f>
        <v/>
      </c>
      <c r="Q2484">
        <f>J2484-H2484^2/k_n</f>
        <v/>
      </c>
      <c r="R2484">
        <f>K2484-G2484*H2484/k_n</f>
        <v/>
      </c>
      <c r="S2484">
        <f>L2484-LTP3!$D$3*G2484/k_n</f>
        <v/>
      </c>
      <c r="T2484">
        <f>M2484-LTP3!$D$3*H2484/k_n</f>
        <v/>
      </c>
      <c r="U2484">
        <f>N2484-G2484*LTP3!$D$4/k_n</f>
        <v/>
      </c>
      <c r="V2484">
        <f>O2484-H2484*LTP3!$D$4/k_n</f>
        <v/>
      </c>
      <c r="W2484">
        <f>((LTP3!$D$5)*((P2484)*(Q2484)-(R2484)*(R2484))-(S2484)*((S2484)*(Q2484)-(R2484)*(T2484))+(T2484)*((S2484)*(R2484)-(P2484)*(T2484)))</f>
        <v/>
      </c>
      <c r="X2484">
        <f>IF(ABS(W2484)&gt;1E-12,((LTP3!$D$6)*((P2484)*(Q2484)-(R2484)*(R2484))-(S2484)*((U2484)*(Q2484)-(R2484)*(V2484))+(T2484)*((U2484)*(R2484)-(P2484)*(V2484)))/W2484,0)</f>
        <v/>
      </c>
      <c r="Y2484">
        <f>IF(ABS(W2484)&gt;1E-12,((LTP3!$D$5)*((U2484)*(Q2484)-(R2484)*(V2484))-(LTP3!$D$6)*((S2484)*(Q2484)-(R2484)*(T2484))+(T2484)*((S2484)*(V2484)-(U2484)*(T2484)))/W2484,0)</f>
        <v/>
      </c>
      <c r="Z2484">
        <f>IF(ABS(W2484)&gt;1E-12,((LTP3!$D$5)*((P2484)*(V2484)-(U2484)*(R2484))-(S2484)*((S2484)*(V2484)-(U2484)*(T2484))+(LTP3!$D$6)*((S2484)*(R2484)-(P2484)*(T2484)))/W2484,0)</f>
        <v/>
      </c>
      <c r="AA2484">
        <f>LTP3!$D$7-X2484*LTP3!$D$6-Y2484*U2484-Z2484*V2484</f>
        <v/>
      </c>
      <c r="AB2484">
        <f>IF(AND(F2484,ABS(W2484)&gt;1E-12,Y2484&gt;0,Z2484&gt;0),AA2484,1E+300)</f>
        <v/>
      </c>
    </row>
    <row r="2485">
      <c r="A2485">
        <f>$B$3+$B$5*40</f>
        <v/>
      </c>
      <c r="B2485">
        <f>$B$3+$B$5*33</f>
        <v/>
      </c>
      <c r="C2485">
        <f>SUMPRODUCT(Calc!$K$3:$K$22*(Calc!$G$3:$G$22&lt;=A2485))</f>
        <v/>
      </c>
      <c r="D2485">
        <f>SUMPRODUCT(Calc!$K$3:$K$22*(Calc!$G$3:$G$22&gt;A2485)*(Calc!$G$3:$G$22&lt;B2485))</f>
        <v/>
      </c>
      <c r="E2485">
        <f>SUMPRODUCT(Calc!$K$3:$K$22*(Calc!$G$3:$G$22&gt;=B2485))</f>
        <v/>
      </c>
      <c r="F2485">
        <f>AND(k_n&gt;=5,B2485&gt;A2485+1E-9,C2485&gt;=2,D2485&gt;=1,E2485&gt;=2)</f>
        <v/>
      </c>
      <c r="G2485">
        <f>SUMPRODUCT(Calc!$K$3:$K$22*(Calc!$G$3:$G$22&gt;A2485)*(Calc!$G$3:$G$22-A2485))</f>
        <v/>
      </c>
      <c r="H2485">
        <f>SUMPRODUCT(Calc!$K$3:$K$22*(Calc!$G$3:$G$22&gt;B2485)*(Calc!$G$3:$G$22-B2485))</f>
        <v/>
      </c>
      <c r="I2485">
        <f>SUMPRODUCT(Calc!$K$3:$K$22*(Calc!$G$3:$G$22&gt;A2485)*(Calc!$G$3:$G$22-A2485)^2)</f>
        <v/>
      </c>
      <c r="J2485">
        <f>SUMPRODUCT(Calc!$K$3:$K$22*(Calc!$G$3:$G$22&gt;B2485)*(Calc!$G$3:$G$22-B2485)^2)</f>
        <v/>
      </c>
      <c r="K2485">
        <f>SUMPRODUCT(Calc!$K$3:$K$22*(Calc!$G$3:$G$22&gt;A2485)*(Calc!$G$3:$G$22-A2485)*(Calc!$G$3:$G$22&gt;B2485)*(Calc!$G$3:$G$22-B2485))</f>
        <v/>
      </c>
      <c r="L2485">
        <f>SUMPRODUCT(Calc!$K$3:$K$22*(Calc!$G$3:$G$22&gt;A2485)*(Calc!$G$3:$G$22-A2485)*Calc!$G$3:$G$22)</f>
        <v/>
      </c>
      <c r="M2485">
        <f>SUMPRODUCT(Calc!$K$3:$K$22*(Calc!$G$3:$G$22&gt;B2485)*(Calc!$G$3:$G$22-B2485)*Calc!$G$3:$G$22)</f>
        <v/>
      </c>
      <c r="N2485">
        <f>SUMPRODUCT(Calc!$K$3:$K$22*(Calc!$G$3:$G$22&gt;A2485)*(Calc!$G$3:$G$22-A2485)*Calc!$I$3:$I$22)</f>
        <v/>
      </c>
      <c r="O2485">
        <f>SUMPRODUCT(Calc!$K$3:$K$22*(Calc!$G$3:$G$22&gt;B2485)*(Calc!$G$3:$G$22-B2485)*Calc!$I$3:$I$22)</f>
        <v/>
      </c>
      <c r="P2485">
        <f>I2485-G2485^2/k_n</f>
        <v/>
      </c>
      <c r="Q2485">
        <f>J2485-H2485^2/k_n</f>
        <v/>
      </c>
      <c r="R2485">
        <f>K2485-G2485*H2485/k_n</f>
        <v/>
      </c>
      <c r="S2485">
        <f>L2485-LTP3!$D$3*G2485/k_n</f>
        <v/>
      </c>
      <c r="T2485">
        <f>M2485-LTP3!$D$3*H2485/k_n</f>
        <v/>
      </c>
      <c r="U2485">
        <f>N2485-G2485*LTP3!$D$4/k_n</f>
        <v/>
      </c>
      <c r="V2485">
        <f>O2485-H2485*LTP3!$D$4/k_n</f>
        <v/>
      </c>
      <c r="W2485">
        <f>((LTP3!$D$5)*((P2485)*(Q2485)-(R2485)*(R2485))-(S2485)*((S2485)*(Q2485)-(R2485)*(T2485))+(T2485)*((S2485)*(R2485)-(P2485)*(T2485)))</f>
        <v/>
      </c>
      <c r="X2485">
        <f>IF(ABS(W2485)&gt;1E-12,((LTP3!$D$6)*((P2485)*(Q2485)-(R2485)*(R2485))-(S2485)*((U2485)*(Q2485)-(R2485)*(V2485))+(T2485)*((U2485)*(R2485)-(P2485)*(V2485)))/W2485,0)</f>
        <v/>
      </c>
      <c r="Y2485">
        <f>IF(ABS(W2485)&gt;1E-12,((LTP3!$D$5)*((U2485)*(Q2485)-(R2485)*(V2485))-(LTP3!$D$6)*((S2485)*(Q2485)-(R2485)*(T2485))+(T2485)*((S2485)*(V2485)-(U2485)*(T2485)))/W2485,0)</f>
        <v/>
      </c>
      <c r="Z2485">
        <f>IF(ABS(W2485)&gt;1E-12,((LTP3!$D$5)*((P2485)*(V2485)-(U2485)*(R2485))-(S2485)*((S2485)*(V2485)-(U2485)*(T2485))+(LTP3!$D$6)*((S2485)*(R2485)-(P2485)*(T2485)))/W2485,0)</f>
        <v/>
      </c>
      <c r="AA2485">
        <f>LTP3!$D$7-X2485*LTP3!$D$6-Y2485*U2485-Z2485*V2485</f>
        <v/>
      </c>
      <c r="AB2485">
        <f>IF(AND(F2485,ABS(W2485)&gt;1E-12,Y2485&gt;0,Z2485&gt;0),AA2485,1E+300)</f>
        <v/>
      </c>
    </row>
    <row r="2486">
      <c r="A2486">
        <f>$B$3+$B$5*40</f>
        <v/>
      </c>
      <c r="B2486">
        <f>$B$3+$B$5*34</f>
        <v/>
      </c>
      <c r="C2486">
        <f>SUMPRODUCT(Calc!$K$3:$K$22*(Calc!$G$3:$G$22&lt;=A2486))</f>
        <v/>
      </c>
      <c r="D2486">
        <f>SUMPRODUCT(Calc!$K$3:$K$22*(Calc!$G$3:$G$22&gt;A2486)*(Calc!$G$3:$G$22&lt;B2486))</f>
        <v/>
      </c>
      <c r="E2486">
        <f>SUMPRODUCT(Calc!$K$3:$K$22*(Calc!$G$3:$G$22&gt;=B2486))</f>
        <v/>
      </c>
      <c r="F2486">
        <f>AND(k_n&gt;=5,B2486&gt;A2486+1E-9,C2486&gt;=2,D2486&gt;=1,E2486&gt;=2)</f>
        <v/>
      </c>
      <c r="G2486">
        <f>SUMPRODUCT(Calc!$K$3:$K$22*(Calc!$G$3:$G$22&gt;A2486)*(Calc!$G$3:$G$22-A2486))</f>
        <v/>
      </c>
      <c r="H2486">
        <f>SUMPRODUCT(Calc!$K$3:$K$22*(Calc!$G$3:$G$22&gt;B2486)*(Calc!$G$3:$G$22-B2486))</f>
        <v/>
      </c>
      <c r="I2486">
        <f>SUMPRODUCT(Calc!$K$3:$K$22*(Calc!$G$3:$G$22&gt;A2486)*(Calc!$G$3:$G$22-A2486)^2)</f>
        <v/>
      </c>
      <c r="J2486">
        <f>SUMPRODUCT(Calc!$K$3:$K$22*(Calc!$G$3:$G$22&gt;B2486)*(Calc!$G$3:$G$22-B2486)^2)</f>
        <v/>
      </c>
      <c r="K2486">
        <f>SUMPRODUCT(Calc!$K$3:$K$22*(Calc!$G$3:$G$22&gt;A2486)*(Calc!$G$3:$G$22-A2486)*(Calc!$G$3:$G$22&gt;B2486)*(Calc!$G$3:$G$22-B2486))</f>
        <v/>
      </c>
      <c r="L2486">
        <f>SUMPRODUCT(Calc!$K$3:$K$22*(Calc!$G$3:$G$22&gt;A2486)*(Calc!$G$3:$G$22-A2486)*Calc!$G$3:$G$22)</f>
        <v/>
      </c>
      <c r="M2486">
        <f>SUMPRODUCT(Calc!$K$3:$K$22*(Calc!$G$3:$G$22&gt;B2486)*(Calc!$G$3:$G$22-B2486)*Calc!$G$3:$G$22)</f>
        <v/>
      </c>
      <c r="N2486">
        <f>SUMPRODUCT(Calc!$K$3:$K$22*(Calc!$G$3:$G$22&gt;A2486)*(Calc!$G$3:$G$22-A2486)*Calc!$I$3:$I$22)</f>
        <v/>
      </c>
      <c r="O2486">
        <f>SUMPRODUCT(Calc!$K$3:$K$22*(Calc!$G$3:$G$22&gt;B2486)*(Calc!$G$3:$G$22-B2486)*Calc!$I$3:$I$22)</f>
        <v/>
      </c>
      <c r="P2486">
        <f>I2486-G2486^2/k_n</f>
        <v/>
      </c>
      <c r="Q2486">
        <f>J2486-H2486^2/k_n</f>
        <v/>
      </c>
      <c r="R2486">
        <f>K2486-G2486*H2486/k_n</f>
        <v/>
      </c>
      <c r="S2486">
        <f>L2486-LTP3!$D$3*G2486/k_n</f>
        <v/>
      </c>
      <c r="T2486">
        <f>M2486-LTP3!$D$3*H2486/k_n</f>
        <v/>
      </c>
      <c r="U2486">
        <f>N2486-G2486*LTP3!$D$4/k_n</f>
        <v/>
      </c>
      <c r="V2486">
        <f>O2486-H2486*LTP3!$D$4/k_n</f>
        <v/>
      </c>
      <c r="W2486">
        <f>((LTP3!$D$5)*((P2486)*(Q2486)-(R2486)*(R2486))-(S2486)*((S2486)*(Q2486)-(R2486)*(T2486))+(T2486)*((S2486)*(R2486)-(P2486)*(T2486)))</f>
        <v/>
      </c>
      <c r="X2486">
        <f>IF(ABS(W2486)&gt;1E-12,((LTP3!$D$6)*((P2486)*(Q2486)-(R2486)*(R2486))-(S2486)*((U2486)*(Q2486)-(R2486)*(V2486))+(T2486)*((U2486)*(R2486)-(P2486)*(V2486)))/W2486,0)</f>
        <v/>
      </c>
      <c r="Y2486">
        <f>IF(ABS(W2486)&gt;1E-12,((LTP3!$D$5)*((U2486)*(Q2486)-(R2486)*(V2486))-(LTP3!$D$6)*((S2486)*(Q2486)-(R2486)*(T2486))+(T2486)*((S2486)*(V2486)-(U2486)*(T2486)))/W2486,0)</f>
        <v/>
      </c>
      <c r="Z2486">
        <f>IF(ABS(W2486)&gt;1E-12,((LTP3!$D$5)*((P2486)*(V2486)-(U2486)*(R2486))-(S2486)*((S2486)*(V2486)-(U2486)*(T2486))+(LTP3!$D$6)*((S2486)*(R2486)-(P2486)*(T2486)))/W2486,0)</f>
        <v/>
      </c>
      <c r="AA2486">
        <f>LTP3!$D$7-X2486*LTP3!$D$6-Y2486*U2486-Z2486*V2486</f>
        <v/>
      </c>
      <c r="AB2486">
        <f>IF(AND(F2486,ABS(W2486)&gt;1E-12,Y2486&gt;0,Z2486&gt;0),AA2486,1E+300)</f>
        <v/>
      </c>
    </row>
    <row r="2487">
      <c r="A2487">
        <f>$B$3+$B$5*40</f>
        <v/>
      </c>
      <c r="B2487">
        <f>$B$3+$B$5*35</f>
        <v/>
      </c>
      <c r="C2487">
        <f>SUMPRODUCT(Calc!$K$3:$K$22*(Calc!$G$3:$G$22&lt;=A2487))</f>
        <v/>
      </c>
      <c r="D2487">
        <f>SUMPRODUCT(Calc!$K$3:$K$22*(Calc!$G$3:$G$22&gt;A2487)*(Calc!$G$3:$G$22&lt;B2487))</f>
        <v/>
      </c>
      <c r="E2487">
        <f>SUMPRODUCT(Calc!$K$3:$K$22*(Calc!$G$3:$G$22&gt;=B2487))</f>
        <v/>
      </c>
      <c r="F2487">
        <f>AND(k_n&gt;=5,B2487&gt;A2487+1E-9,C2487&gt;=2,D2487&gt;=1,E2487&gt;=2)</f>
        <v/>
      </c>
      <c r="G2487">
        <f>SUMPRODUCT(Calc!$K$3:$K$22*(Calc!$G$3:$G$22&gt;A2487)*(Calc!$G$3:$G$22-A2487))</f>
        <v/>
      </c>
      <c r="H2487">
        <f>SUMPRODUCT(Calc!$K$3:$K$22*(Calc!$G$3:$G$22&gt;B2487)*(Calc!$G$3:$G$22-B2487))</f>
        <v/>
      </c>
      <c r="I2487">
        <f>SUMPRODUCT(Calc!$K$3:$K$22*(Calc!$G$3:$G$22&gt;A2487)*(Calc!$G$3:$G$22-A2487)^2)</f>
        <v/>
      </c>
      <c r="J2487">
        <f>SUMPRODUCT(Calc!$K$3:$K$22*(Calc!$G$3:$G$22&gt;B2487)*(Calc!$G$3:$G$22-B2487)^2)</f>
        <v/>
      </c>
      <c r="K2487">
        <f>SUMPRODUCT(Calc!$K$3:$K$22*(Calc!$G$3:$G$22&gt;A2487)*(Calc!$G$3:$G$22-A2487)*(Calc!$G$3:$G$22&gt;B2487)*(Calc!$G$3:$G$22-B2487))</f>
        <v/>
      </c>
      <c r="L2487">
        <f>SUMPRODUCT(Calc!$K$3:$K$22*(Calc!$G$3:$G$22&gt;A2487)*(Calc!$G$3:$G$22-A2487)*Calc!$G$3:$G$22)</f>
        <v/>
      </c>
      <c r="M2487">
        <f>SUMPRODUCT(Calc!$K$3:$K$22*(Calc!$G$3:$G$22&gt;B2487)*(Calc!$G$3:$G$22-B2487)*Calc!$G$3:$G$22)</f>
        <v/>
      </c>
      <c r="N2487">
        <f>SUMPRODUCT(Calc!$K$3:$K$22*(Calc!$G$3:$G$22&gt;A2487)*(Calc!$G$3:$G$22-A2487)*Calc!$I$3:$I$22)</f>
        <v/>
      </c>
      <c r="O2487">
        <f>SUMPRODUCT(Calc!$K$3:$K$22*(Calc!$G$3:$G$22&gt;B2487)*(Calc!$G$3:$G$22-B2487)*Calc!$I$3:$I$22)</f>
        <v/>
      </c>
      <c r="P2487">
        <f>I2487-G2487^2/k_n</f>
        <v/>
      </c>
      <c r="Q2487">
        <f>J2487-H2487^2/k_n</f>
        <v/>
      </c>
      <c r="R2487">
        <f>K2487-G2487*H2487/k_n</f>
        <v/>
      </c>
      <c r="S2487">
        <f>L2487-LTP3!$D$3*G2487/k_n</f>
        <v/>
      </c>
      <c r="T2487">
        <f>M2487-LTP3!$D$3*H2487/k_n</f>
        <v/>
      </c>
      <c r="U2487">
        <f>N2487-G2487*LTP3!$D$4/k_n</f>
        <v/>
      </c>
      <c r="V2487">
        <f>O2487-H2487*LTP3!$D$4/k_n</f>
        <v/>
      </c>
      <c r="W2487">
        <f>((LTP3!$D$5)*((P2487)*(Q2487)-(R2487)*(R2487))-(S2487)*((S2487)*(Q2487)-(R2487)*(T2487))+(T2487)*((S2487)*(R2487)-(P2487)*(T2487)))</f>
        <v/>
      </c>
      <c r="X2487">
        <f>IF(ABS(W2487)&gt;1E-12,((LTP3!$D$6)*((P2487)*(Q2487)-(R2487)*(R2487))-(S2487)*((U2487)*(Q2487)-(R2487)*(V2487))+(T2487)*((U2487)*(R2487)-(P2487)*(V2487)))/W2487,0)</f>
        <v/>
      </c>
      <c r="Y2487">
        <f>IF(ABS(W2487)&gt;1E-12,((LTP3!$D$5)*((U2487)*(Q2487)-(R2487)*(V2487))-(LTP3!$D$6)*((S2487)*(Q2487)-(R2487)*(T2487))+(T2487)*((S2487)*(V2487)-(U2487)*(T2487)))/W2487,0)</f>
        <v/>
      </c>
      <c r="Z2487">
        <f>IF(ABS(W2487)&gt;1E-12,((LTP3!$D$5)*((P2487)*(V2487)-(U2487)*(R2487))-(S2487)*((S2487)*(V2487)-(U2487)*(T2487))+(LTP3!$D$6)*((S2487)*(R2487)-(P2487)*(T2487)))/W2487,0)</f>
        <v/>
      </c>
      <c r="AA2487">
        <f>LTP3!$D$7-X2487*LTP3!$D$6-Y2487*U2487-Z2487*V2487</f>
        <v/>
      </c>
      <c r="AB2487">
        <f>IF(AND(F2487,ABS(W2487)&gt;1E-12,Y2487&gt;0,Z2487&gt;0),AA2487,1E+300)</f>
        <v/>
      </c>
    </row>
    <row r="2488">
      <c r="A2488">
        <f>$B$3+$B$5*40</f>
        <v/>
      </c>
      <c r="B2488">
        <f>$B$3+$B$5*36</f>
        <v/>
      </c>
      <c r="C2488">
        <f>SUMPRODUCT(Calc!$K$3:$K$22*(Calc!$G$3:$G$22&lt;=A2488))</f>
        <v/>
      </c>
      <c r="D2488">
        <f>SUMPRODUCT(Calc!$K$3:$K$22*(Calc!$G$3:$G$22&gt;A2488)*(Calc!$G$3:$G$22&lt;B2488))</f>
        <v/>
      </c>
      <c r="E2488">
        <f>SUMPRODUCT(Calc!$K$3:$K$22*(Calc!$G$3:$G$22&gt;=B2488))</f>
        <v/>
      </c>
      <c r="F2488">
        <f>AND(k_n&gt;=5,B2488&gt;A2488+1E-9,C2488&gt;=2,D2488&gt;=1,E2488&gt;=2)</f>
        <v/>
      </c>
      <c r="G2488">
        <f>SUMPRODUCT(Calc!$K$3:$K$22*(Calc!$G$3:$G$22&gt;A2488)*(Calc!$G$3:$G$22-A2488))</f>
        <v/>
      </c>
      <c r="H2488">
        <f>SUMPRODUCT(Calc!$K$3:$K$22*(Calc!$G$3:$G$22&gt;B2488)*(Calc!$G$3:$G$22-B2488))</f>
        <v/>
      </c>
      <c r="I2488">
        <f>SUMPRODUCT(Calc!$K$3:$K$22*(Calc!$G$3:$G$22&gt;A2488)*(Calc!$G$3:$G$22-A2488)^2)</f>
        <v/>
      </c>
      <c r="J2488">
        <f>SUMPRODUCT(Calc!$K$3:$K$22*(Calc!$G$3:$G$22&gt;B2488)*(Calc!$G$3:$G$22-B2488)^2)</f>
        <v/>
      </c>
      <c r="K2488">
        <f>SUMPRODUCT(Calc!$K$3:$K$22*(Calc!$G$3:$G$22&gt;A2488)*(Calc!$G$3:$G$22-A2488)*(Calc!$G$3:$G$22&gt;B2488)*(Calc!$G$3:$G$22-B2488))</f>
        <v/>
      </c>
      <c r="L2488">
        <f>SUMPRODUCT(Calc!$K$3:$K$22*(Calc!$G$3:$G$22&gt;A2488)*(Calc!$G$3:$G$22-A2488)*Calc!$G$3:$G$22)</f>
        <v/>
      </c>
      <c r="M2488">
        <f>SUMPRODUCT(Calc!$K$3:$K$22*(Calc!$G$3:$G$22&gt;B2488)*(Calc!$G$3:$G$22-B2488)*Calc!$G$3:$G$22)</f>
        <v/>
      </c>
      <c r="N2488">
        <f>SUMPRODUCT(Calc!$K$3:$K$22*(Calc!$G$3:$G$22&gt;A2488)*(Calc!$G$3:$G$22-A2488)*Calc!$I$3:$I$22)</f>
        <v/>
      </c>
      <c r="O2488">
        <f>SUMPRODUCT(Calc!$K$3:$K$22*(Calc!$G$3:$G$22&gt;B2488)*(Calc!$G$3:$G$22-B2488)*Calc!$I$3:$I$22)</f>
        <v/>
      </c>
      <c r="P2488">
        <f>I2488-G2488^2/k_n</f>
        <v/>
      </c>
      <c r="Q2488">
        <f>J2488-H2488^2/k_n</f>
        <v/>
      </c>
      <c r="R2488">
        <f>K2488-G2488*H2488/k_n</f>
        <v/>
      </c>
      <c r="S2488">
        <f>L2488-LTP3!$D$3*G2488/k_n</f>
        <v/>
      </c>
      <c r="T2488">
        <f>M2488-LTP3!$D$3*H2488/k_n</f>
        <v/>
      </c>
      <c r="U2488">
        <f>N2488-G2488*LTP3!$D$4/k_n</f>
        <v/>
      </c>
      <c r="V2488">
        <f>O2488-H2488*LTP3!$D$4/k_n</f>
        <v/>
      </c>
      <c r="W2488">
        <f>((LTP3!$D$5)*((P2488)*(Q2488)-(R2488)*(R2488))-(S2488)*((S2488)*(Q2488)-(R2488)*(T2488))+(T2488)*((S2488)*(R2488)-(P2488)*(T2488)))</f>
        <v/>
      </c>
      <c r="X2488">
        <f>IF(ABS(W2488)&gt;1E-12,((LTP3!$D$6)*((P2488)*(Q2488)-(R2488)*(R2488))-(S2488)*((U2488)*(Q2488)-(R2488)*(V2488))+(T2488)*((U2488)*(R2488)-(P2488)*(V2488)))/W2488,0)</f>
        <v/>
      </c>
      <c r="Y2488">
        <f>IF(ABS(W2488)&gt;1E-12,((LTP3!$D$5)*((U2488)*(Q2488)-(R2488)*(V2488))-(LTP3!$D$6)*((S2488)*(Q2488)-(R2488)*(T2488))+(T2488)*((S2488)*(V2488)-(U2488)*(T2488)))/W2488,0)</f>
        <v/>
      </c>
      <c r="Z2488">
        <f>IF(ABS(W2488)&gt;1E-12,((LTP3!$D$5)*((P2488)*(V2488)-(U2488)*(R2488))-(S2488)*((S2488)*(V2488)-(U2488)*(T2488))+(LTP3!$D$6)*((S2488)*(R2488)-(P2488)*(T2488)))/W2488,0)</f>
        <v/>
      </c>
      <c r="AA2488">
        <f>LTP3!$D$7-X2488*LTP3!$D$6-Y2488*U2488-Z2488*V2488</f>
        <v/>
      </c>
      <c r="AB2488">
        <f>IF(AND(F2488,ABS(W2488)&gt;1E-12,Y2488&gt;0,Z2488&gt;0),AA2488,1E+300)</f>
        <v/>
      </c>
    </row>
    <row r="2489">
      <c r="A2489">
        <f>$B$3+$B$5*40</f>
        <v/>
      </c>
      <c r="B2489">
        <f>$B$3+$B$5*37</f>
        <v/>
      </c>
      <c r="C2489">
        <f>SUMPRODUCT(Calc!$K$3:$K$22*(Calc!$G$3:$G$22&lt;=A2489))</f>
        <v/>
      </c>
      <c r="D2489">
        <f>SUMPRODUCT(Calc!$K$3:$K$22*(Calc!$G$3:$G$22&gt;A2489)*(Calc!$G$3:$G$22&lt;B2489))</f>
        <v/>
      </c>
      <c r="E2489">
        <f>SUMPRODUCT(Calc!$K$3:$K$22*(Calc!$G$3:$G$22&gt;=B2489))</f>
        <v/>
      </c>
      <c r="F2489">
        <f>AND(k_n&gt;=5,B2489&gt;A2489+1E-9,C2489&gt;=2,D2489&gt;=1,E2489&gt;=2)</f>
        <v/>
      </c>
      <c r="G2489">
        <f>SUMPRODUCT(Calc!$K$3:$K$22*(Calc!$G$3:$G$22&gt;A2489)*(Calc!$G$3:$G$22-A2489))</f>
        <v/>
      </c>
      <c r="H2489">
        <f>SUMPRODUCT(Calc!$K$3:$K$22*(Calc!$G$3:$G$22&gt;B2489)*(Calc!$G$3:$G$22-B2489))</f>
        <v/>
      </c>
      <c r="I2489">
        <f>SUMPRODUCT(Calc!$K$3:$K$22*(Calc!$G$3:$G$22&gt;A2489)*(Calc!$G$3:$G$22-A2489)^2)</f>
        <v/>
      </c>
      <c r="J2489">
        <f>SUMPRODUCT(Calc!$K$3:$K$22*(Calc!$G$3:$G$22&gt;B2489)*(Calc!$G$3:$G$22-B2489)^2)</f>
        <v/>
      </c>
      <c r="K2489">
        <f>SUMPRODUCT(Calc!$K$3:$K$22*(Calc!$G$3:$G$22&gt;A2489)*(Calc!$G$3:$G$22-A2489)*(Calc!$G$3:$G$22&gt;B2489)*(Calc!$G$3:$G$22-B2489))</f>
        <v/>
      </c>
      <c r="L2489">
        <f>SUMPRODUCT(Calc!$K$3:$K$22*(Calc!$G$3:$G$22&gt;A2489)*(Calc!$G$3:$G$22-A2489)*Calc!$G$3:$G$22)</f>
        <v/>
      </c>
      <c r="M2489">
        <f>SUMPRODUCT(Calc!$K$3:$K$22*(Calc!$G$3:$G$22&gt;B2489)*(Calc!$G$3:$G$22-B2489)*Calc!$G$3:$G$22)</f>
        <v/>
      </c>
      <c r="N2489">
        <f>SUMPRODUCT(Calc!$K$3:$K$22*(Calc!$G$3:$G$22&gt;A2489)*(Calc!$G$3:$G$22-A2489)*Calc!$I$3:$I$22)</f>
        <v/>
      </c>
      <c r="O2489">
        <f>SUMPRODUCT(Calc!$K$3:$K$22*(Calc!$G$3:$G$22&gt;B2489)*(Calc!$G$3:$G$22-B2489)*Calc!$I$3:$I$22)</f>
        <v/>
      </c>
      <c r="P2489">
        <f>I2489-G2489^2/k_n</f>
        <v/>
      </c>
      <c r="Q2489">
        <f>J2489-H2489^2/k_n</f>
        <v/>
      </c>
      <c r="R2489">
        <f>K2489-G2489*H2489/k_n</f>
        <v/>
      </c>
      <c r="S2489">
        <f>L2489-LTP3!$D$3*G2489/k_n</f>
        <v/>
      </c>
      <c r="T2489">
        <f>M2489-LTP3!$D$3*H2489/k_n</f>
        <v/>
      </c>
      <c r="U2489">
        <f>N2489-G2489*LTP3!$D$4/k_n</f>
        <v/>
      </c>
      <c r="V2489">
        <f>O2489-H2489*LTP3!$D$4/k_n</f>
        <v/>
      </c>
      <c r="W2489">
        <f>((LTP3!$D$5)*((P2489)*(Q2489)-(R2489)*(R2489))-(S2489)*((S2489)*(Q2489)-(R2489)*(T2489))+(T2489)*((S2489)*(R2489)-(P2489)*(T2489)))</f>
        <v/>
      </c>
      <c r="X2489">
        <f>IF(ABS(W2489)&gt;1E-12,((LTP3!$D$6)*((P2489)*(Q2489)-(R2489)*(R2489))-(S2489)*((U2489)*(Q2489)-(R2489)*(V2489))+(T2489)*((U2489)*(R2489)-(P2489)*(V2489)))/W2489,0)</f>
        <v/>
      </c>
      <c r="Y2489">
        <f>IF(ABS(W2489)&gt;1E-12,((LTP3!$D$5)*((U2489)*(Q2489)-(R2489)*(V2489))-(LTP3!$D$6)*((S2489)*(Q2489)-(R2489)*(T2489))+(T2489)*((S2489)*(V2489)-(U2489)*(T2489)))/W2489,0)</f>
        <v/>
      </c>
      <c r="Z2489">
        <f>IF(ABS(W2489)&gt;1E-12,((LTP3!$D$5)*((P2489)*(V2489)-(U2489)*(R2489))-(S2489)*((S2489)*(V2489)-(U2489)*(T2489))+(LTP3!$D$6)*((S2489)*(R2489)-(P2489)*(T2489)))/W2489,0)</f>
        <v/>
      </c>
      <c r="AA2489">
        <f>LTP3!$D$7-X2489*LTP3!$D$6-Y2489*U2489-Z2489*V2489</f>
        <v/>
      </c>
      <c r="AB2489">
        <f>IF(AND(F2489,ABS(W2489)&gt;1E-12,Y2489&gt;0,Z2489&gt;0),AA2489,1E+300)</f>
        <v/>
      </c>
    </row>
    <row r="2490">
      <c r="A2490">
        <f>$B$3+$B$5*40</f>
        <v/>
      </c>
      <c r="B2490">
        <f>$B$3+$B$5*38</f>
        <v/>
      </c>
      <c r="C2490">
        <f>SUMPRODUCT(Calc!$K$3:$K$22*(Calc!$G$3:$G$22&lt;=A2490))</f>
        <v/>
      </c>
      <c r="D2490">
        <f>SUMPRODUCT(Calc!$K$3:$K$22*(Calc!$G$3:$G$22&gt;A2490)*(Calc!$G$3:$G$22&lt;B2490))</f>
        <v/>
      </c>
      <c r="E2490">
        <f>SUMPRODUCT(Calc!$K$3:$K$22*(Calc!$G$3:$G$22&gt;=B2490))</f>
        <v/>
      </c>
      <c r="F2490">
        <f>AND(k_n&gt;=5,B2490&gt;A2490+1E-9,C2490&gt;=2,D2490&gt;=1,E2490&gt;=2)</f>
        <v/>
      </c>
      <c r="G2490">
        <f>SUMPRODUCT(Calc!$K$3:$K$22*(Calc!$G$3:$G$22&gt;A2490)*(Calc!$G$3:$G$22-A2490))</f>
        <v/>
      </c>
      <c r="H2490">
        <f>SUMPRODUCT(Calc!$K$3:$K$22*(Calc!$G$3:$G$22&gt;B2490)*(Calc!$G$3:$G$22-B2490))</f>
        <v/>
      </c>
      <c r="I2490">
        <f>SUMPRODUCT(Calc!$K$3:$K$22*(Calc!$G$3:$G$22&gt;A2490)*(Calc!$G$3:$G$22-A2490)^2)</f>
        <v/>
      </c>
      <c r="J2490">
        <f>SUMPRODUCT(Calc!$K$3:$K$22*(Calc!$G$3:$G$22&gt;B2490)*(Calc!$G$3:$G$22-B2490)^2)</f>
        <v/>
      </c>
      <c r="K2490">
        <f>SUMPRODUCT(Calc!$K$3:$K$22*(Calc!$G$3:$G$22&gt;A2490)*(Calc!$G$3:$G$22-A2490)*(Calc!$G$3:$G$22&gt;B2490)*(Calc!$G$3:$G$22-B2490))</f>
        <v/>
      </c>
      <c r="L2490">
        <f>SUMPRODUCT(Calc!$K$3:$K$22*(Calc!$G$3:$G$22&gt;A2490)*(Calc!$G$3:$G$22-A2490)*Calc!$G$3:$G$22)</f>
        <v/>
      </c>
      <c r="M2490">
        <f>SUMPRODUCT(Calc!$K$3:$K$22*(Calc!$G$3:$G$22&gt;B2490)*(Calc!$G$3:$G$22-B2490)*Calc!$G$3:$G$22)</f>
        <v/>
      </c>
      <c r="N2490">
        <f>SUMPRODUCT(Calc!$K$3:$K$22*(Calc!$G$3:$G$22&gt;A2490)*(Calc!$G$3:$G$22-A2490)*Calc!$I$3:$I$22)</f>
        <v/>
      </c>
      <c r="O2490">
        <f>SUMPRODUCT(Calc!$K$3:$K$22*(Calc!$G$3:$G$22&gt;B2490)*(Calc!$G$3:$G$22-B2490)*Calc!$I$3:$I$22)</f>
        <v/>
      </c>
      <c r="P2490">
        <f>I2490-G2490^2/k_n</f>
        <v/>
      </c>
      <c r="Q2490">
        <f>J2490-H2490^2/k_n</f>
        <v/>
      </c>
      <c r="R2490">
        <f>K2490-G2490*H2490/k_n</f>
        <v/>
      </c>
      <c r="S2490">
        <f>L2490-LTP3!$D$3*G2490/k_n</f>
        <v/>
      </c>
      <c r="T2490">
        <f>M2490-LTP3!$D$3*H2490/k_n</f>
        <v/>
      </c>
      <c r="U2490">
        <f>N2490-G2490*LTP3!$D$4/k_n</f>
        <v/>
      </c>
      <c r="V2490">
        <f>O2490-H2490*LTP3!$D$4/k_n</f>
        <v/>
      </c>
      <c r="W2490">
        <f>((LTP3!$D$5)*((P2490)*(Q2490)-(R2490)*(R2490))-(S2490)*((S2490)*(Q2490)-(R2490)*(T2490))+(T2490)*((S2490)*(R2490)-(P2490)*(T2490)))</f>
        <v/>
      </c>
      <c r="X2490">
        <f>IF(ABS(W2490)&gt;1E-12,((LTP3!$D$6)*((P2490)*(Q2490)-(R2490)*(R2490))-(S2490)*((U2490)*(Q2490)-(R2490)*(V2490))+(T2490)*((U2490)*(R2490)-(P2490)*(V2490)))/W2490,0)</f>
        <v/>
      </c>
      <c r="Y2490">
        <f>IF(ABS(W2490)&gt;1E-12,((LTP3!$D$5)*((U2490)*(Q2490)-(R2490)*(V2490))-(LTP3!$D$6)*((S2490)*(Q2490)-(R2490)*(T2490))+(T2490)*((S2490)*(V2490)-(U2490)*(T2490)))/W2490,0)</f>
        <v/>
      </c>
      <c r="Z2490">
        <f>IF(ABS(W2490)&gt;1E-12,((LTP3!$D$5)*((P2490)*(V2490)-(U2490)*(R2490))-(S2490)*((S2490)*(V2490)-(U2490)*(T2490))+(LTP3!$D$6)*((S2490)*(R2490)-(P2490)*(T2490)))/W2490,0)</f>
        <v/>
      </c>
      <c r="AA2490">
        <f>LTP3!$D$7-X2490*LTP3!$D$6-Y2490*U2490-Z2490*V2490</f>
        <v/>
      </c>
      <c r="AB2490">
        <f>IF(AND(F2490,ABS(W2490)&gt;1E-12,Y2490&gt;0,Z2490&gt;0),AA2490,1E+300)</f>
        <v/>
      </c>
    </row>
    <row r="2491">
      <c r="A2491">
        <f>$B$3+$B$5*40</f>
        <v/>
      </c>
      <c r="B2491">
        <f>$B$3+$B$5*39</f>
        <v/>
      </c>
      <c r="C2491">
        <f>SUMPRODUCT(Calc!$K$3:$K$22*(Calc!$G$3:$G$22&lt;=A2491))</f>
        <v/>
      </c>
      <c r="D2491">
        <f>SUMPRODUCT(Calc!$K$3:$K$22*(Calc!$G$3:$G$22&gt;A2491)*(Calc!$G$3:$G$22&lt;B2491))</f>
        <v/>
      </c>
      <c r="E2491">
        <f>SUMPRODUCT(Calc!$K$3:$K$22*(Calc!$G$3:$G$22&gt;=B2491))</f>
        <v/>
      </c>
      <c r="F2491">
        <f>AND(k_n&gt;=5,B2491&gt;A2491+1E-9,C2491&gt;=2,D2491&gt;=1,E2491&gt;=2)</f>
        <v/>
      </c>
      <c r="G2491">
        <f>SUMPRODUCT(Calc!$K$3:$K$22*(Calc!$G$3:$G$22&gt;A2491)*(Calc!$G$3:$G$22-A2491))</f>
        <v/>
      </c>
      <c r="H2491">
        <f>SUMPRODUCT(Calc!$K$3:$K$22*(Calc!$G$3:$G$22&gt;B2491)*(Calc!$G$3:$G$22-B2491))</f>
        <v/>
      </c>
      <c r="I2491">
        <f>SUMPRODUCT(Calc!$K$3:$K$22*(Calc!$G$3:$G$22&gt;A2491)*(Calc!$G$3:$G$22-A2491)^2)</f>
        <v/>
      </c>
      <c r="J2491">
        <f>SUMPRODUCT(Calc!$K$3:$K$22*(Calc!$G$3:$G$22&gt;B2491)*(Calc!$G$3:$G$22-B2491)^2)</f>
        <v/>
      </c>
      <c r="K2491">
        <f>SUMPRODUCT(Calc!$K$3:$K$22*(Calc!$G$3:$G$22&gt;A2491)*(Calc!$G$3:$G$22-A2491)*(Calc!$G$3:$G$22&gt;B2491)*(Calc!$G$3:$G$22-B2491))</f>
        <v/>
      </c>
      <c r="L2491">
        <f>SUMPRODUCT(Calc!$K$3:$K$22*(Calc!$G$3:$G$22&gt;A2491)*(Calc!$G$3:$G$22-A2491)*Calc!$G$3:$G$22)</f>
        <v/>
      </c>
      <c r="M2491">
        <f>SUMPRODUCT(Calc!$K$3:$K$22*(Calc!$G$3:$G$22&gt;B2491)*(Calc!$G$3:$G$22-B2491)*Calc!$G$3:$G$22)</f>
        <v/>
      </c>
      <c r="N2491">
        <f>SUMPRODUCT(Calc!$K$3:$K$22*(Calc!$G$3:$G$22&gt;A2491)*(Calc!$G$3:$G$22-A2491)*Calc!$I$3:$I$22)</f>
        <v/>
      </c>
      <c r="O2491">
        <f>SUMPRODUCT(Calc!$K$3:$K$22*(Calc!$G$3:$G$22&gt;B2491)*(Calc!$G$3:$G$22-B2491)*Calc!$I$3:$I$22)</f>
        <v/>
      </c>
      <c r="P2491">
        <f>I2491-G2491^2/k_n</f>
        <v/>
      </c>
      <c r="Q2491">
        <f>J2491-H2491^2/k_n</f>
        <v/>
      </c>
      <c r="R2491">
        <f>K2491-G2491*H2491/k_n</f>
        <v/>
      </c>
      <c r="S2491">
        <f>L2491-LTP3!$D$3*G2491/k_n</f>
        <v/>
      </c>
      <c r="T2491">
        <f>M2491-LTP3!$D$3*H2491/k_n</f>
        <v/>
      </c>
      <c r="U2491">
        <f>N2491-G2491*LTP3!$D$4/k_n</f>
        <v/>
      </c>
      <c r="V2491">
        <f>O2491-H2491*LTP3!$D$4/k_n</f>
        <v/>
      </c>
      <c r="W2491">
        <f>((LTP3!$D$5)*((P2491)*(Q2491)-(R2491)*(R2491))-(S2491)*((S2491)*(Q2491)-(R2491)*(T2491))+(T2491)*((S2491)*(R2491)-(P2491)*(T2491)))</f>
        <v/>
      </c>
      <c r="X2491">
        <f>IF(ABS(W2491)&gt;1E-12,((LTP3!$D$6)*((P2491)*(Q2491)-(R2491)*(R2491))-(S2491)*((U2491)*(Q2491)-(R2491)*(V2491))+(T2491)*((U2491)*(R2491)-(P2491)*(V2491)))/W2491,0)</f>
        <v/>
      </c>
      <c r="Y2491">
        <f>IF(ABS(W2491)&gt;1E-12,((LTP3!$D$5)*((U2491)*(Q2491)-(R2491)*(V2491))-(LTP3!$D$6)*((S2491)*(Q2491)-(R2491)*(T2491))+(T2491)*((S2491)*(V2491)-(U2491)*(T2491)))/W2491,0)</f>
        <v/>
      </c>
      <c r="Z2491">
        <f>IF(ABS(W2491)&gt;1E-12,((LTP3!$D$5)*((P2491)*(V2491)-(U2491)*(R2491))-(S2491)*((S2491)*(V2491)-(U2491)*(T2491))+(LTP3!$D$6)*((S2491)*(R2491)-(P2491)*(T2491)))/W2491,0)</f>
        <v/>
      </c>
      <c r="AA2491">
        <f>LTP3!$D$7-X2491*LTP3!$D$6-Y2491*U2491-Z2491*V2491</f>
        <v/>
      </c>
      <c r="AB2491">
        <f>IF(AND(F2491,ABS(W2491)&gt;1E-12,Y2491&gt;0,Z2491&gt;0),AA2491,1E+300)</f>
        <v/>
      </c>
    </row>
    <row r="2492">
      <c r="A2492">
        <f>$B$3+$B$5*40</f>
        <v/>
      </c>
      <c r="B2492">
        <f>$B$3+$B$5*40</f>
        <v/>
      </c>
      <c r="C2492">
        <f>SUMPRODUCT(Calc!$K$3:$K$22*(Calc!$G$3:$G$22&lt;=A2492))</f>
        <v/>
      </c>
      <c r="D2492">
        <f>SUMPRODUCT(Calc!$K$3:$K$22*(Calc!$G$3:$G$22&gt;A2492)*(Calc!$G$3:$G$22&lt;B2492))</f>
        <v/>
      </c>
      <c r="E2492">
        <f>SUMPRODUCT(Calc!$K$3:$K$22*(Calc!$G$3:$G$22&gt;=B2492))</f>
        <v/>
      </c>
      <c r="F2492">
        <f>AND(k_n&gt;=5,B2492&gt;A2492+1E-9,C2492&gt;=2,D2492&gt;=1,E2492&gt;=2)</f>
        <v/>
      </c>
      <c r="G2492">
        <f>SUMPRODUCT(Calc!$K$3:$K$22*(Calc!$G$3:$G$22&gt;A2492)*(Calc!$G$3:$G$22-A2492))</f>
        <v/>
      </c>
      <c r="H2492">
        <f>SUMPRODUCT(Calc!$K$3:$K$22*(Calc!$G$3:$G$22&gt;B2492)*(Calc!$G$3:$G$22-B2492))</f>
        <v/>
      </c>
      <c r="I2492">
        <f>SUMPRODUCT(Calc!$K$3:$K$22*(Calc!$G$3:$G$22&gt;A2492)*(Calc!$G$3:$G$22-A2492)^2)</f>
        <v/>
      </c>
      <c r="J2492">
        <f>SUMPRODUCT(Calc!$K$3:$K$22*(Calc!$G$3:$G$22&gt;B2492)*(Calc!$G$3:$G$22-B2492)^2)</f>
        <v/>
      </c>
      <c r="K2492">
        <f>SUMPRODUCT(Calc!$K$3:$K$22*(Calc!$G$3:$G$22&gt;A2492)*(Calc!$G$3:$G$22-A2492)*(Calc!$G$3:$G$22&gt;B2492)*(Calc!$G$3:$G$22-B2492))</f>
        <v/>
      </c>
      <c r="L2492">
        <f>SUMPRODUCT(Calc!$K$3:$K$22*(Calc!$G$3:$G$22&gt;A2492)*(Calc!$G$3:$G$22-A2492)*Calc!$G$3:$G$22)</f>
        <v/>
      </c>
      <c r="M2492">
        <f>SUMPRODUCT(Calc!$K$3:$K$22*(Calc!$G$3:$G$22&gt;B2492)*(Calc!$G$3:$G$22-B2492)*Calc!$G$3:$G$22)</f>
        <v/>
      </c>
      <c r="N2492">
        <f>SUMPRODUCT(Calc!$K$3:$K$22*(Calc!$G$3:$G$22&gt;A2492)*(Calc!$G$3:$G$22-A2492)*Calc!$I$3:$I$22)</f>
        <v/>
      </c>
      <c r="O2492">
        <f>SUMPRODUCT(Calc!$K$3:$K$22*(Calc!$G$3:$G$22&gt;B2492)*(Calc!$G$3:$G$22-B2492)*Calc!$I$3:$I$22)</f>
        <v/>
      </c>
      <c r="P2492">
        <f>I2492-G2492^2/k_n</f>
        <v/>
      </c>
      <c r="Q2492">
        <f>J2492-H2492^2/k_n</f>
        <v/>
      </c>
      <c r="R2492">
        <f>K2492-G2492*H2492/k_n</f>
        <v/>
      </c>
      <c r="S2492">
        <f>L2492-LTP3!$D$3*G2492/k_n</f>
        <v/>
      </c>
      <c r="T2492">
        <f>M2492-LTP3!$D$3*H2492/k_n</f>
        <v/>
      </c>
      <c r="U2492">
        <f>N2492-G2492*LTP3!$D$4/k_n</f>
        <v/>
      </c>
      <c r="V2492">
        <f>O2492-H2492*LTP3!$D$4/k_n</f>
        <v/>
      </c>
      <c r="W2492">
        <f>((LTP3!$D$5)*((P2492)*(Q2492)-(R2492)*(R2492))-(S2492)*((S2492)*(Q2492)-(R2492)*(T2492))+(T2492)*((S2492)*(R2492)-(P2492)*(T2492)))</f>
        <v/>
      </c>
      <c r="X2492">
        <f>IF(ABS(W2492)&gt;1E-12,((LTP3!$D$6)*((P2492)*(Q2492)-(R2492)*(R2492))-(S2492)*((U2492)*(Q2492)-(R2492)*(V2492))+(T2492)*((U2492)*(R2492)-(P2492)*(V2492)))/W2492,0)</f>
        <v/>
      </c>
      <c r="Y2492">
        <f>IF(ABS(W2492)&gt;1E-12,((LTP3!$D$5)*((U2492)*(Q2492)-(R2492)*(V2492))-(LTP3!$D$6)*((S2492)*(Q2492)-(R2492)*(T2492))+(T2492)*((S2492)*(V2492)-(U2492)*(T2492)))/W2492,0)</f>
        <v/>
      </c>
      <c r="Z2492">
        <f>IF(ABS(W2492)&gt;1E-12,((LTP3!$D$5)*((P2492)*(V2492)-(U2492)*(R2492))-(S2492)*((S2492)*(V2492)-(U2492)*(T2492))+(LTP3!$D$6)*((S2492)*(R2492)-(P2492)*(T2492)))/W2492,0)</f>
        <v/>
      </c>
      <c r="AA2492">
        <f>LTP3!$D$7-X2492*LTP3!$D$6-Y2492*U2492-Z2492*V2492</f>
        <v/>
      </c>
      <c r="AB2492">
        <f>IF(AND(F2492,ABS(W2492)&gt;1E-12,Y2492&gt;0,Z2492&gt;0),AA2492,1E+300)</f>
        <v/>
      </c>
    </row>
    <row r="2493">
      <c r="A2493">
        <f>$B$3+$B$5*40</f>
        <v/>
      </c>
      <c r="B2493">
        <f>$B$3+$B$5*41</f>
        <v/>
      </c>
      <c r="C2493">
        <f>SUMPRODUCT(Calc!$K$3:$K$22*(Calc!$G$3:$G$22&lt;=A2493))</f>
        <v/>
      </c>
      <c r="D2493">
        <f>SUMPRODUCT(Calc!$K$3:$K$22*(Calc!$G$3:$G$22&gt;A2493)*(Calc!$G$3:$G$22&lt;B2493))</f>
        <v/>
      </c>
      <c r="E2493">
        <f>SUMPRODUCT(Calc!$K$3:$K$22*(Calc!$G$3:$G$22&gt;=B2493))</f>
        <v/>
      </c>
      <c r="F2493">
        <f>AND(k_n&gt;=5,B2493&gt;A2493+1E-9,C2493&gt;=2,D2493&gt;=1,E2493&gt;=2)</f>
        <v/>
      </c>
      <c r="G2493">
        <f>SUMPRODUCT(Calc!$K$3:$K$22*(Calc!$G$3:$G$22&gt;A2493)*(Calc!$G$3:$G$22-A2493))</f>
        <v/>
      </c>
      <c r="H2493">
        <f>SUMPRODUCT(Calc!$K$3:$K$22*(Calc!$G$3:$G$22&gt;B2493)*(Calc!$G$3:$G$22-B2493))</f>
        <v/>
      </c>
      <c r="I2493">
        <f>SUMPRODUCT(Calc!$K$3:$K$22*(Calc!$G$3:$G$22&gt;A2493)*(Calc!$G$3:$G$22-A2493)^2)</f>
        <v/>
      </c>
      <c r="J2493">
        <f>SUMPRODUCT(Calc!$K$3:$K$22*(Calc!$G$3:$G$22&gt;B2493)*(Calc!$G$3:$G$22-B2493)^2)</f>
        <v/>
      </c>
      <c r="K2493">
        <f>SUMPRODUCT(Calc!$K$3:$K$22*(Calc!$G$3:$G$22&gt;A2493)*(Calc!$G$3:$G$22-A2493)*(Calc!$G$3:$G$22&gt;B2493)*(Calc!$G$3:$G$22-B2493))</f>
        <v/>
      </c>
      <c r="L2493">
        <f>SUMPRODUCT(Calc!$K$3:$K$22*(Calc!$G$3:$G$22&gt;A2493)*(Calc!$G$3:$G$22-A2493)*Calc!$G$3:$G$22)</f>
        <v/>
      </c>
      <c r="M2493">
        <f>SUMPRODUCT(Calc!$K$3:$K$22*(Calc!$G$3:$G$22&gt;B2493)*(Calc!$G$3:$G$22-B2493)*Calc!$G$3:$G$22)</f>
        <v/>
      </c>
      <c r="N2493">
        <f>SUMPRODUCT(Calc!$K$3:$K$22*(Calc!$G$3:$G$22&gt;A2493)*(Calc!$G$3:$G$22-A2493)*Calc!$I$3:$I$22)</f>
        <v/>
      </c>
      <c r="O2493">
        <f>SUMPRODUCT(Calc!$K$3:$K$22*(Calc!$G$3:$G$22&gt;B2493)*(Calc!$G$3:$G$22-B2493)*Calc!$I$3:$I$22)</f>
        <v/>
      </c>
      <c r="P2493">
        <f>I2493-G2493^2/k_n</f>
        <v/>
      </c>
      <c r="Q2493">
        <f>J2493-H2493^2/k_n</f>
        <v/>
      </c>
      <c r="R2493">
        <f>K2493-G2493*H2493/k_n</f>
        <v/>
      </c>
      <c r="S2493">
        <f>L2493-LTP3!$D$3*G2493/k_n</f>
        <v/>
      </c>
      <c r="T2493">
        <f>M2493-LTP3!$D$3*H2493/k_n</f>
        <v/>
      </c>
      <c r="U2493">
        <f>N2493-G2493*LTP3!$D$4/k_n</f>
        <v/>
      </c>
      <c r="V2493">
        <f>O2493-H2493*LTP3!$D$4/k_n</f>
        <v/>
      </c>
      <c r="W2493">
        <f>((LTP3!$D$5)*((P2493)*(Q2493)-(R2493)*(R2493))-(S2493)*((S2493)*(Q2493)-(R2493)*(T2493))+(T2493)*((S2493)*(R2493)-(P2493)*(T2493)))</f>
        <v/>
      </c>
      <c r="X2493">
        <f>IF(ABS(W2493)&gt;1E-12,((LTP3!$D$6)*((P2493)*(Q2493)-(R2493)*(R2493))-(S2493)*((U2493)*(Q2493)-(R2493)*(V2493))+(T2493)*((U2493)*(R2493)-(P2493)*(V2493)))/W2493,0)</f>
        <v/>
      </c>
      <c r="Y2493">
        <f>IF(ABS(W2493)&gt;1E-12,((LTP3!$D$5)*((U2493)*(Q2493)-(R2493)*(V2493))-(LTP3!$D$6)*((S2493)*(Q2493)-(R2493)*(T2493))+(T2493)*((S2493)*(V2493)-(U2493)*(T2493)))/W2493,0)</f>
        <v/>
      </c>
      <c r="Z2493">
        <f>IF(ABS(W2493)&gt;1E-12,((LTP3!$D$5)*((P2493)*(V2493)-(U2493)*(R2493))-(S2493)*((S2493)*(V2493)-(U2493)*(T2493))+(LTP3!$D$6)*((S2493)*(R2493)-(P2493)*(T2493)))/W2493,0)</f>
        <v/>
      </c>
      <c r="AA2493">
        <f>LTP3!$D$7-X2493*LTP3!$D$6-Y2493*U2493-Z2493*V2493</f>
        <v/>
      </c>
      <c r="AB2493">
        <f>IF(AND(F2493,ABS(W2493)&gt;1E-12,Y2493&gt;0,Z2493&gt;0),AA2493,1E+300)</f>
        <v/>
      </c>
    </row>
    <row r="2494">
      <c r="A2494">
        <f>$B$3+$B$5*40</f>
        <v/>
      </c>
      <c r="B2494">
        <f>$B$3+$B$5*42</f>
        <v/>
      </c>
      <c r="C2494">
        <f>SUMPRODUCT(Calc!$K$3:$K$22*(Calc!$G$3:$G$22&lt;=A2494))</f>
        <v/>
      </c>
      <c r="D2494">
        <f>SUMPRODUCT(Calc!$K$3:$K$22*(Calc!$G$3:$G$22&gt;A2494)*(Calc!$G$3:$G$22&lt;B2494))</f>
        <v/>
      </c>
      <c r="E2494">
        <f>SUMPRODUCT(Calc!$K$3:$K$22*(Calc!$G$3:$G$22&gt;=B2494))</f>
        <v/>
      </c>
      <c r="F2494">
        <f>AND(k_n&gt;=5,B2494&gt;A2494+1E-9,C2494&gt;=2,D2494&gt;=1,E2494&gt;=2)</f>
        <v/>
      </c>
      <c r="G2494">
        <f>SUMPRODUCT(Calc!$K$3:$K$22*(Calc!$G$3:$G$22&gt;A2494)*(Calc!$G$3:$G$22-A2494))</f>
        <v/>
      </c>
      <c r="H2494">
        <f>SUMPRODUCT(Calc!$K$3:$K$22*(Calc!$G$3:$G$22&gt;B2494)*(Calc!$G$3:$G$22-B2494))</f>
        <v/>
      </c>
      <c r="I2494">
        <f>SUMPRODUCT(Calc!$K$3:$K$22*(Calc!$G$3:$G$22&gt;A2494)*(Calc!$G$3:$G$22-A2494)^2)</f>
        <v/>
      </c>
      <c r="J2494">
        <f>SUMPRODUCT(Calc!$K$3:$K$22*(Calc!$G$3:$G$22&gt;B2494)*(Calc!$G$3:$G$22-B2494)^2)</f>
        <v/>
      </c>
      <c r="K2494">
        <f>SUMPRODUCT(Calc!$K$3:$K$22*(Calc!$G$3:$G$22&gt;A2494)*(Calc!$G$3:$G$22-A2494)*(Calc!$G$3:$G$22&gt;B2494)*(Calc!$G$3:$G$22-B2494))</f>
        <v/>
      </c>
      <c r="L2494">
        <f>SUMPRODUCT(Calc!$K$3:$K$22*(Calc!$G$3:$G$22&gt;A2494)*(Calc!$G$3:$G$22-A2494)*Calc!$G$3:$G$22)</f>
        <v/>
      </c>
      <c r="M2494">
        <f>SUMPRODUCT(Calc!$K$3:$K$22*(Calc!$G$3:$G$22&gt;B2494)*(Calc!$G$3:$G$22-B2494)*Calc!$G$3:$G$22)</f>
        <v/>
      </c>
      <c r="N2494">
        <f>SUMPRODUCT(Calc!$K$3:$K$22*(Calc!$G$3:$G$22&gt;A2494)*(Calc!$G$3:$G$22-A2494)*Calc!$I$3:$I$22)</f>
        <v/>
      </c>
      <c r="O2494">
        <f>SUMPRODUCT(Calc!$K$3:$K$22*(Calc!$G$3:$G$22&gt;B2494)*(Calc!$G$3:$G$22-B2494)*Calc!$I$3:$I$22)</f>
        <v/>
      </c>
      <c r="P2494">
        <f>I2494-G2494^2/k_n</f>
        <v/>
      </c>
      <c r="Q2494">
        <f>J2494-H2494^2/k_n</f>
        <v/>
      </c>
      <c r="R2494">
        <f>K2494-G2494*H2494/k_n</f>
        <v/>
      </c>
      <c r="S2494">
        <f>L2494-LTP3!$D$3*G2494/k_n</f>
        <v/>
      </c>
      <c r="T2494">
        <f>M2494-LTP3!$D$3*H2494/k_n</f>
        <v/>
      </c>
      <c r="U2494">
        <f>N2494-G2494*LTP3!$D$4/k_n</f>
        <v/>
      </c>
      <c r="V2494">
        <f>O2494-H2494*LTP3!$D$4/k_n</f>
        <v/>
      </c>
      <c r="W2494">
        <f>((LTP3!$D$5)*((P2494)*(Q2494)-(R2494)*(R2494))-(S2494)*((S2494)*(Q2494)-(R2494)*(T2494))+(T2494)*((S2494)*(R2494)-(P2494)*(T2494)))</f>
        <v/>
      </c>
      <c r="X2494">
        <f>IF(ABS(W2494)&gt;1E-12,((LTP3!$D$6)*((P2494)*(Q2494)-(R2494)*(R2494))-(S2494)*((U2494)*(Q2494)-(R2494)*(V2494))+(T2494)*((U2494)*(R2494)-(P2494)*(V2494)))/W2494,0)</f>
        <v/>
      </c>
      <c r="Y2494">
        <f>IF(ABS(W2494)&gt;1E-12,((LTP3!$D$5)*((U2494)*(Q2494)-(R2494)*(V2494))-(LTP3!$D$6)*((S2494)*(Q2494)-(R2494)*(T2494))+(T2494)*((S2494)*(V2494)-(U2494)*(T2494)))/W2494,0)</f>
        <v/>
      </c>
      <c r="Z2494">
        <f>IF(ABS(W2494)&gt;1E-12,((LTP3!$D$5)*((P2494)*(V2494)-(U2494)*(R2494))-(S2494)*((S2494)*(V2494)-(U2494)*(T2494))+(LTP3!$D$6)*((S2494)*(R2494)-(P2494)*(T2494)))/W2494,0)</f>
        <v/>
      </c>
      <c r="AA2494">
        <f>LTP3!$D$7-X2494*LTP3!$D$6-Y2494*U2494-Z2494*V2494</f>
        <v/>
      </c>
      <c r="AB2494">
        <f>IF(AND(F2494,ABS(W2494)&gt;1E-12,Y2494&gt;0,Z2494&gt;0),AA2494,1E+300)</f>
        <v/>
      </c>
    </row>
    <row r="2495">
      <c r="A2495">
        <f>$B$3+$B$5*40</f>
        <v/>
      </c>
      <c r="B2495">
        <f>$B$3+$B$5*43</f>
        <v/>
      </c>
      <c r="C2495">
        <f>SUMPRODUCT(Calc!$K$3:$K$22*(Calc!$G$3:$G$22&lt;=A2495))</f>
        <v/>
      </c>
      <c r="D2495">
        <f>SUMPRODUCT(Calc!$K$3:$K$22*(Calc!$G$3:$G$22&gt;A2495)*(Calc!$G$3:$G$22&lt;B2495))</f>
        <v/>
      </c>
      <c r="E2495">
        <f>SUMPRODUCT(Calc!$K$3:$K$22*(Calc!$G$3:$G$22&gt;=B2495))</f>
        <v/>
      </c>
      <c r="F2495">
        <f>AND(k_n&gt;=5,B2495&gt;A2495+1E-9,C2495&gt;=2,D2495&gt;=1,E2495&gt;=2)</f>
        <v/>
      </c>
      <c r="G2495">
        <f>SUMPRODUCT(Calc!$K$3:$K$22*(Calc!$G$3:$G$22&gt;A2495)*(Calc!$G$3:$G$22-A2495))</f>
        <v/>
      </c>
      <c r="H2495">
        <f>SUMPRODUCT(Calc!$K$3:$K$22*(Calc!$G$3:$G$22&gt;B2495)*(Calc!$G$3:$G$22-B2495))</f>
        <v/>
      </c>
      <c r="I2495">
        <f>SUMPRODUCT(Calc!$K$3:$K$22*(Calc!$G$3:$G$22&gt;A2495)*(Calc!$G$3:$G$22-A2495)^2)</f>
        <v/>
      </c>
      <c r="J2495">
        <f>SUMPRODUCT(Calc!$K$3:$K$22*(Calc!$G$3:$G$22&gt;B2495)*(Calc!$G$3:$G$22-B2495)^2)</f>
        <v/>
      </c>
      <c r="K2495">
        <f>SUMPRODUCT(Calc!$K$3:$K$22*(Calc!$G$3:$G$22&gt;A2495)*(Calc!$G$3:$G$22-A2495)*(Calc!$G$3:$G$22&gt;B2495)*(Calc!$G$3:$G$22-B2495))</f>
        <v/>
      </c>
      <c r="L2495">
        <f>SUMPRODUCT(Calc!$K$3:$K$22*(Calc!$G$3:$G$22&gt;A2495)*(Calc!$G$3:$G$22-A2495)*Calc!$G$3:$G$22)</f>
        <v/>
      </c>
      <c r="M2495">
        <f>SUMPRODUCT(Calc!$K$3:$K$22*(Calc!$G$3:$G$22&gt;B2495)*(Calc!$G$3:$G$22-B2495)*Calc!$G$3:$G$22)</f>
        <v/>
      </c>
      <c r="N2495">
        <f>SUMPRODUCT(Calc!$K$3:$K$22*(Calc!$G$3:$G$22&gt;A2495)*(Calc!$G$3:$G$22-A2495)*Calc!$I$3:$I$22)</f>
        <v/>
      </c>
      <c r="O2495">
        <f>SUMPRODUCT(Calc!$K$3:$K$22*(Calc!$G$3:$G$22&gt;B2495)*(Calc!$G$3:$G$22-B2495)*Calc!$I$3:$I$22)</f>
        <v/>
      </c>
      <c r="P2495">
        <f>I2495-G2495^2/k_n</f>
        <v/>
      </c>
      <c r="Q2495">
        <f>J2495-H2495^2/k_n</f>
        <v/>
      </c>
      <c r="R2495">
        <f>K2495-G2495*H2495/k_n</f>
        <v/>
      </c>
      <c r="S2495">
        <f>L2495-LTP3!$D$3*G2495/k_n</f>
        <v/>
      </c>
      <c r="T2495">
        <f>M2495-LTP3!$D$3*H2495/k_n</f>
        <v/>
      </c>
      <c r="U2495">
        <f>N2495-G2495*LTP3!$D$4/k_n</f>
        <v/>
      </c>
      <c r="V2495">
        <f>O2495-H2495*LTP3!$D$4/k_n</f>
        <v/>
      </c>
      <c r="W2495">
        <f>((LTP3!$D$5)*((P2495)*(Q2495)-(R2495)*(R2495))-(S2495)*((S2495)*(Q2495)-(R2495)*(T2495))+(T2495)*((S2495)*(R2495)-(P2495)*(T2495)))</f>
        <v/>
      </c>
      <c r="X2495">
        <f>IF(ABS(W2495)&gt;1E-12,((LTP3!$D$6)*((P2495)*(Q2495)-(R2495)*(R2495))-(S2495)*((U2495)*(Q2495)-(R2495)*(V2495))+(T2495)*((U2495)*(R2495)-(P2495)*(V2495)))/W2495,0)</f>
        <v/>
      </c>
      <c r="Y2495">
        <f>IF(ABS(W2495)&gt;1E-12,((LTP3!$D$5)*((U2495)*(Q2495)-(R2495)*(V2495))-(LTP3!$D$6)*((S2495)*(Q2495)-(R2495)*(T2495))+(T2495)*((S2495)*(V2495)-(U2495)*(T2495)))/W2495,0)</f>
        <v/>
      </c>
      <c r="Z2495">
        <f>IF(ABS(W2495)&gt;1E-12,((LTP3!$D$5)*((P2495)*(V2495)-(U2495)*(R2495))-(S2495)*((S2495)*(V2495)-(U2495)*(T2495))+(LTP3!$D$6)*((S2495)*(R2495)-(P2495)*(T2495)))/W2495,0)</f>
        <v/>
      </c>
      <c r="AA2495">
        <f>LTP3!$D$7-X2495*LTP3!$D$6-Y2495*U2495-Z2495*V2495</f>
        <v/>
      </c>
      <c r="AB2495">
        <f>IF(AND(F2495,ABS(W2495)&gt;1E-12,Y2495&gt;0,Z2495&gt;0),AA2495,1E+300)</f>
        <v/>
      </c>
    </row>
    <row r="2496">
      <c r="A2496">
        <f>$B$3+$B$5*40</f>
        <v/>
      </c>
      <c r="B2496">
        <f>$B$3+$B$5*44</f>
        <v/>
      </c>
      <c r="C2496">
        <f>SUMPRODUCT(Calc!$K$3:$K$22*(Calc!$G$3:$G$22&lt;=A2496))</f>
        <v/>
      </c>
      <c r="D2496">
        <f>SUMPRODUCT(Calc!$K$3:$K$22*(Calc!$G$3:$G$22&gt;A2496)*(Calc!$G$3:$G$22&lt;B2496))</f>
        <v/>
      </c>
      <c r="E2496">
        <f>SUMPRODUCT(Calc!$K$3:$K$22*(Calc!$G$3:$G$22&gt;=B2496))</f>
        <v/>
      </c>
      <c r="F2496">
        <f>AND(k_n&gt;=5,B2496&gt;A2496+1E-9,C2496&gt;=2,D2496&gt;=1,E2496&gt;=2)</f>
        <v/>
      </c>
      <c r="G2496">
        <f>SUMPRODUCT(Calc!$K$3:$K$22*(Calc!$G$3:$G$22&gt;A2496)*(Calc!$G$3:$G$22-A2496))</f>
        <v/>
      </c>
      <c r="H2496">
        <f>SUMPRODUCT(Calc!$K$3:$K$22*(Calc!$G$3:$G$22&gt;B2496)*(Calc!$G$3:$G$22-B2496))</f>
        <v/>
      </c>
      <c r="I2496">
        <f>SUMPRODUCT(Calc!$K$3:$K$22*(Calc!$G$3:$G$22&gt;A2496)*(Calc!$G$3:$G$22-A2496)^2)</f>
        <v/>
      </c>
      <c r="J2496">
        <f>SUMPRODUCT(Calc!$K$3:$K$22*(Calc!$G$3:$G$22&gt;B2496)*(Calc!$G$3:$G$22-B2496)^2)</f>
        <v/>
      </c>
      <c r="K2496">
        <f>SUMPRODUCT(Calc!$K$3:$K$22*(Calc!$G$3:$G$22&gt;A2496)*(Calc!$G$3:$G$22-A2496)*(Calc!$G$3:$G$22&gt;B2496)*(Calc!$G$3:$G$22-B2496))</f>
        <v/>
      </c>
      <c r="L2496">
        <f>SUMPRODUCT(Calc!$K$3:$K$22*(Calc!$G$3:$G$22&gt;A2496)*(Calc!$G$3:$G$22-A2496)*Calc!$G$3:$G$22)</f>
        <v/>
      </c>
      <c r="M2496">
        <f>SUMPRODUCT(Calc!$K$3:$K$22*(Calc!$G$3:$G$22&gt;B2496)*(Calc!$G$3:$G$22-B2496)*Calc!$G$3:$G$22)</f>
        <v/>
      </c>
      <c r="N2496">
        <f>SUMPRODUCT(Calc!$K$3:$K$22*(Calc!$G$3:$G$22&gt;A2496)*(Calc!$G$3:$G$22-A2496)*Calc!$I$3:$I$22)</f>
        <v/>
      </c>
      <c r="O2496">
        <f>SUMPRODUCT(Calc!$K$3:$K$22*(Calc!$G$3:$G$22&gt;B2496)*(Calc!$G$3:$G$22-B2496)*Calc!$I$3:$I$22)</f>
        <v/>
      </c>
      <c r="P2496">
        <f>I2496-G2496^2/k_n</f>
        <v/>
      </c>
      <c r="Q2496">
        <f>J2496-H2496^2/k_n</f>
        <v/>
      </c>
      <c r="R2496">
        <f>K2496-G2496*H2496/k_n</f>
        <v/>
      </c>
      <c r="S2496">
        <f>L2496-LTP3!$D$3*G2496/k_n</f>
        <v/>
      </c>
      <c r="T2496">
        <f>M2496-LTP3!$D$3*H2496/k_n</f>
        <v/>
      </c>
      <c r="U2496">
        <f>N2496-G2496*LTP3!$D$4/k_n</f>
        <v/>
      </c>
      <c r="V2496">
        <f>O2496-H2496*LTP3!$D$4/k_n</f>
        <v/>
      </c>
      <c r="W2496">
        <f>((LTP3!$D$5)*((P2496)*(Q2496)-(R2496)*(R2496))-(S2496)*((S2496)*(Q2496)-(R2496)*(T2496))+(T2496)*((S2496)*(R2496)-(P2496)*(T2496)))</f>
        <v/>
      </c>
      <c r="X2496">
        <f>IF(ABS(W2496)&gt;1E-12,((LTP3!$D$6)*((P2496)*(Q2496)-(R2496)*(R2496))-(S2496)*((U2496)*(Q2496)-(R2496)*(V2496))+(T2496)*((U2496)*(R2496)-(P2496)*(V2496)))/W2496,0)</f>
        <v/>
      </c>
      <c r="Y2496">
        <f>IF(ABS(W2496)&gt;1E-12,((LTP3!$D$5)*((U2496)*(Q2496)-(R2496)*(V2496))-(LTP3!$D$6)*((S2496)*(Q2496)-(R2496)*(T2496))+(T2496)*((S2496)*(V2496)-(U2496)*(T2496)))/W2496,0)</f>
        <v/>
      </c>
      <c r="Z2496">
        <f>IF(ABS(W2496)&gt;1E-12,((LTP3!$D$5)*((P2496)*(V2496)-(U2496)*(R2496))-(S2496)*((S2496)*(V2496)-(U2496)*(T2496))+(LTP3!$D$6)*((S2496)*(R2496)-(P2496)*(T2496)))/W2496,0)</f>
        <v/>
      </c>
      <c r="AA2496">
        <f>LTP3!$D$7-X2496*LTP3!$D$6-Y2496*U2496-Z2496*V2496</f>
        <v/>
      </c>
      <c r="AB2496">
        <f>IF(AND(F2496,ABS(W2496)&gt;1E-12,Y2496&gt;0,Z2496&gt;0),AA2496,1E+300)</f>
        <v/>
      </c>
    </row>
    <row r="2497">
      <c r="A2497">
        <f>$B$3+$B$5*40</f>
        <v/>
      </c>
      <c r="B2497">
        <f>$B$3+$B$5*45</f>
        <v/>
      </c>
      <c r="C2497">
        <f>SUMPRODUCT(Calc!$K$3:$K$22*(Calc!$G$3:$G$22&lt;=A2497))</f>
        <v/>
      </c>
      <c r="D2497">
        <f>SUMPRODUCT(Calc!$K$3:$K$22*(Calc!$G$3:$G$22&gt;A2497)*(Calc!$G$3:$G$22&lt;B2497))</f>
        <v/>
      </c>
      <c r="E2497">
        <f>SUMPRODUCT(Calc!$K$3:$K$22*(Calc!$G$3:$G$22&gt;=B2497))</f>
        <v/>
      </c>
      <c r="F2497">
        <f>AND(k_n&gt;=5,B2497&gt;A2497+1E-9,C2497&gt;=2,D2497&gt;=1,E2497&gt;=2)</f>
        <v/>
      </c>
      <c r="G2497">
        <f>SUMPRODUCT(Calc!$K$3:$K$22*(Calc!$G$3:$G$22&gt;A2497)*(Calc!$G$3:$G$22-A2497))</f>
        <v/>
      </c>
      <c r="H2497">
        <f>SUMPRODUCT(Calc!$K$3:$K$22*(Calc!$G$3:$G$22&gt;B2497)*(Calc!$G$3:$G$22-B2497))</f>
        <v/>
      </c>
      <c r="I2497">
        <f>SUMPRODUCT(Calc!$K$3:$K$22*(Calc!$G$3:$G$22&gt;A2497)*(Calc!$G$3:$G$22-A2497)^2)</f>
        <v/>
      </c>
      <c r="J2497">
        <f>SUMPRODUCT(Calc!$K$3:$K$22*(Calc!$G$3:$G$22&gt;B2497)*(Calc!$G$3:$G$22-B2497)^2)</f>
        <v/>
      </c>
      <c r="K2497">
        <f>SUMPRODUCT(Calc!$K$3:$K$22*(Calc!$G$3:$G$22&gt;A2497)*(Calc!$G$3:$G$22-A2497)*(Calc!$G$3:$G$22&gt;B2497)*(Calc!$G$3:$G$22-B2497))</f>
        <v/>
      </c>
      <c r="L2497">
        <f>SUMPRODUCT(Calc!$K$3:$K$22*(Calc!$G$3:$G$22&gt;A2497)*(Calc!$G$3:$G$22-A2497)*Calc!$G$3:$G$22)</f>
        <v/>
      </c>
      <c r="M2497">
        <f>SUMPRODUCT(Calc!$K$3:$K$22*(Calc!$G$3:$G$22&gt;B2497)*(Calc!$G$3:$G$22-B2497)*Calc!$G$3:$G$22)</f>
        <v/>
      </c>
      <c r="N2497">
        <f>SUMPRODUCT(Calc!$K$3:$K$22*(Calc!$G$3:$G$22&gt;A2497)*(Calc!$G$3:$G$22-A2497)*Calc!$I$3:$I$22)</f>
        <v/>
      </c>
      <c r="O2497">
        <f>SUMPRODUCT(Calc!$K$3:$K$22*(Calc!$G$3:$G$22&gt;B2497)*(Calc!$G$3:$G$22-B2497)*Calc!$I$3:$I$22)</f>
        <v/>
      </c>
      <c r="P2497">
        <f>I2497-G2497^2/k_n</f>
        <v/>
      </c>
      <c r="Q2497">
        <f>J2497-H2497^2/k_n</f>
        <v/>
      </c>
      <c r="R2497">
        <f>K2497-G2497*H2497/k_n</f>
        <v/>
      </c>
      <c r="S2497">
        <f>L2497-LTP3!$D$3*G2497/k_n</f>
        <v/>
      </c>
      <c r="T2497">
        <f>M2497-LTP3!$D$3*H2497/k_n</f>
        <v/>
      </c>
      <c r="U2497">
        <f>N2497-G2497*LTP3!$D$4/k_n</f>
        <v/>
      </c>
      <c r="V2497">
        <f>O2497-H2497*LTP3!$D$4/k_n</f>
        <v/>
      </c>
      <c r="W2497">
        <f>((LTP3!$D$5)*((P2497)*(Q2497)-(R2497)*(R2497))-(S2497)*((S2497)*(Q2497)-(R2497)*(T2497))+(T2497)*((S2497)*(R2497)-(P2497)*(T2497)))</f>
        <v/>
      </c>
      <c r="X2497">
        <f>IF(ABS(W2497)&gt;1E-12,((LTP3!$D$6)*((P2497)*(Q2497)-(R2497)*(R2497))-(S2497)*((U2497)*(Q2497)-(R2497)*(V2497))+(T2497)*((U2497)*(R2497)-(P2497)*(V2497)))/W2497,0)</f>
        <v/>
      </c>
      <c r="Y2497">
        <f>IF(ABS(W2497)&gt;1E-12,((LTP3!$D$5)*((U2497)*(Q2497)-(R2497)*(V2497))-(LTP3!$D$6)*((S2497)*(Q2497)-(R2497)*(T2497))+(T2497)*((S2497)*(V2497)-(U2497)*(T2497)))/W2497,0)</f>
        <v/>
      </c>
      <c r="Z2497">
        <f>IF(ABS(W2497)&gt;1E-12,((LTP3!$D$5)*((P2497)*(V2497)-(U2497)*(R2497))-(S2497)*((S2497)*(V2497)-(U2497)*(T2497))+(LTP3!$D$6)*((S2497)*(R2497)-(P2497)*(T2497)))/W2497,0)</f>
        <v/>
      </c>
      <c r="AA2497">
        <f>LTP3!$D$7-X2497*LTP3!$D$6-Y2497*U2497-Z2497*V2497</f>
        <v/>
      </c>
      <c r="AB2497">
        <f>IF(AND(F2497,ABS(W2497)&gt;1E-12,Y2497&gt;0,Z2497&gt;0),AA2497,1E+300)</f>
        <v/>
      </c>
    </row>
    <row r="2498">
      <c r="A2498">
        <f>$B$3+$B$5*40</f>
        <v/>
      </c>
      <c r="B2498">
        <f>$B$3+$B$5*46</f>
        <v/>
      </c>
      <c r="C2498">
        <f>SUMPRODUCT(Calc!$K$3:$K$22*(Calc!$G$3:$G$22&lt;=A2498))</f>
        <v/>
      </c>
      <c r="D2498">
        <f>SUMPRODUCT(Calc!$K$3:$K$22*(Calc!$G$3:$G$22&gt;A2498)*(Calc!$G$3:$G$22&lt;B2498))</f>
        <v/>
      </c>
      <c r="E2498">
        <f>SUMPRODUCT(Calc!$K$3:$K$22*(Calc!$G$3:$G$22&gt;=B2498))</f>
        <v/>
      </c>
      <c r="F2498">
        <f>AND(k_n&gt;=5,B2498&gt;A2498+1E-9,C2498&gt;=2,D2498&gt;=1,E2498&gt;=2)</f>
        <v/>
      </c>
      <c r="G2498">
        <f>SUMPRODUCT(Calc!$K$3:$K$22*(Calc!$G$3:$G$22&gt;A2498)*(Calc!$G$3:$G$22-A2498))</f>
        <v/>
      </c>
      <c r="H2498">
        <f>SUMPRODUCT(Calc!$K$3:$K$22*(Calc!$G$3:$G$22&gt;B2498)*(Calc!$G$3:$G$22-B2498))</f>
        <v/>
      </c>
      <c r="I2498">
        <f>SUMPRODUCT(Calc!$K$3:$K$22*(Calc!$G$3:$G$22&gt;A2498)*(Calc!$G$3:$G$22-A2498)^2)</f>
        <v/>
      </c>
      <c r="J2498">
        <f>SUMPRODUCT(Calc!$K$3:$K$22*(Calc!$G$3:$G$22&gt;B2498)*(Calc!$G$3:$G$22-B2498)^2)</f>
        <v/>
      </c>
      <c r="K2498">
        <f>SUMPRODUCT(Calc!$K$3:$K$22*(Calc!$G$3:$G$22&gt;A2498)*(Calc!$G$3:$G$22-A2498)*(Calc!$G$3:$G$22&gt;B2498)*(Calc!$G$3:$G$22-B2498))</f>
        <v/>
      </c>
      <c r="L2498">
        <f>SUMPRODUCT(Calc!$K$3:$K$22*(Calc!$G$3:$G$22&gt;A2498)*(Calc!$G$3:$G$22-A2498)*Calc!$G$3:$G$22)</f>
        <v/>
      </c>
      <c r="M2498">
        <f>SUMPRODUCT(Calc!$K$3:$K$22*(Calc!$G$3:$G$22&gt;B2498)*(Calc!$G$3:$G$22-B2498)*Calc!$G$3:$G$22)</f>
        <v/>
      </c>
      <c r="N2498">
        <f>SUMPRODUCT(Calc!$K$3:$K$22*(Calc!$G$3:$G$22&gt;A2498)*(Calc!$G$3:$G$22-A2498)*Calc!$I$3:$I$22)</f>
        <v/>
      </c>
      <c r="O2498">
        <f>SUMPRODUCT(Calc!$K$3:$K$22*(Calc!$G$3:$G$22&gt;B2498)*(Calc!$G$3:$G$22-B2498)*Calc!$I$3:$I$22)</f>
        <v/>
      </c>
      <c r="P2498">
        <f>I2498-G2498^2/k_n</f>
        <v/>
      </c>
      <c r="Q2498">
        <f>J2498-H2498^2/k_n</f>
        <v/>
      </c>
      <c r="R2498">
        <f>K2498-G2498*H2498/k_n</f>
        <v/>
      </c>
      <c r="S2498">
        <f>L2498-LTP3!$D$3*G2498/k_n</f>
        <v/>
      </c>
      <c r="T2498">
        <f>M2498-LTP3!$D$3*H2498/k_n</f>
        <v/>
      </c>
      <c r="U2498">
        <f>N2498-G2498*LTP3!$D$4/k_n</f>
        <v/>
      </c>
      <c r="V2498">
        <f>O2498-H2498*LTP3!$D$4/k_n</f>
        <v/>
      </c>
      <c r="W2498">
        <f>((LTP3!$D$5)*((P2498)*(Q2498)-(R2498)*(R2498))-(S2498)*((S2498)*(Q2498)-(R2498)*(T2498))+(T2498)*((S2498)*(R2498)-(P2498)*(T2498)))</f>
        <v/>
      </c>
      <c r="X2498">
        <f>IF(ABS(W2498)&gt;1E-12,((LTP3!$D$6)*((P2498)*(Q2498)-(R2498)*(R2498))-(S2498)*((U2498)*(Q2498)-(R2498)*(V2498))+(T2498)*((U2498)*(R2498)-(P2498)*(V2498)))/W2498,0)</f>
        <v/>
      </c>
      <c r="Y2498">
        <f>IF(ABS(W2498)&gt;1E-12,((LTP3!$D$5)*((U2498)*(Q2498)-(R2498)*(V2498))-(LTP3!$D$6)*((S2498)*(Q2498)-(R2498)*(T2498))+(T2498)*((S2498)*(V2498)-(U2498)*(T2498)))/W2498,0)</f>
        <v/>
      </c>
      <c r="Z2498">
        <f>IF(ABS(W2498)&gt;1E-12,((LTP3!$D$5)*((P2498)*(V2498)-(U2498)*(R2498))-(S2498)*((S2498)*(V2498)-(U2498)*(T2498))+(LTP3!$D$6)*((S2498)*(R2498)-(P2498)*(T2498)))/W2498,0)</f>
        <v/>
      </c>
      <c r="AA2498">
        <f>LTP3!$D$7-X2498*LTP3!$D$6-Y2498*U2498-Z2498*V2498</f>
        <v/>
      </c>
      <c r="AB2498">
        <f>IF(AND(F2498,ABS(W2498)&gt;1E-12,Y2498&gt;0,Z2498&gt;0),AA2498,1E+300)</f>
        <v/>
      </c>
    </row>
    <row r="2499">
      <c r="A2499">
        <f>$B$3+$B$5*40</f>
        <v/>
      </c>
      <c r="B2499">
        <f>$B$3+$B$5*47</f>
        <v/>
      </c>
      <c r="C2499">
        <f>SUMPRODUCT(Calc!$K$3:$K$22*(Calc!$G$3:$G$22&lt;=A2499))</f>
        <v/>
      </c>
      <c r="D2499">
        <f>SUMPRODUCT(Calc!$K$3:$K$22*(Calc!$G$3:$G$22&gt;A2499)*(Calc!$G$3:$G$22&lt;B2499))</f>
        <v/>
      </c>
      <c r="E2499">
        <f>SUMPRODUCT(Calc!$K$3:$K$22*(Calc!$G$3:$G$22&gt;=B2499))</f>
        <v/>
      </c>
      <c r="F2499">
        <f>AND(k_n&gt;=5,B2499&gt;A2499+1E-9,C2499&gt;=2,D2499&gt;=1,E2499&gt;=2)</f>
        <v/>
      </c>
      <c r="G2499">
        <f>SUMPRODUCT(Calc!$K$3:$K$22*(Calc!$G$3:$G$22&gt;A2499)*(Calc!$G$3:$G$22-A2499))</f>
        <v/>
      </c>
      <c r="H2499">
        <f>SUMPRODUCT(Calc!$K$3:$K$22*(Calc!$G$3:$G$22&gt;B2499)*(Calc!$G$3:$G$22-B2499))</f>
        <v/>
      </c>
      <c r="I2499">
        <f>SUMPRODUCT(Calc!$K$3:$K$22*(Calc!$G$3:$G$22&gt;A2499)*(Calc!$G$3:$G$22-A2499)^2)</f>
        <v/>
      </c>
      <c r="J2499">
        <f>SUMPRODUCT(Calc!$K$3:$K$22*(Calc!$G$3:$G$22&gt;B2499)*(Calc!$G$3:$G$22-B2499)^2)</f>
        <v/>
      </c>
      <c r="K2499">
        <f>SUMPRODUCT(Calc!$K$3:$K$22*(Calc!$G$3:$G$22&gt;A2499)*(Calc!$G$3:$G$22-A2499)*(Calc!$G$3:$G$22&gt;B2499)*(Calc!$G$3:$G$22-B2499))</f>
        <v/>
      </c>
      <c r="L2499">
        <f>SUMPRODUCT(Calc!$K$3:$K$22*(Calc!$G$3:$G$22&gt;A2499)*(Calc!$G$3:$G$22-A2499)*Calc!$G$3:$G$22)</f>
        <v/>
      </c>
      <c r="M2499">
        <f>SUMPRODUCT(Calc!$K$3:$K$22*(Calc!$G$3:$G$22&gt;B2499)*(Calc!$G$3:$G$22-B2499)*Calc!$G$3:$G$22)</f>
        <v/>
      </c>
      <c r="N2499">
        <f>SUMPRODUCT(Calc!$K$3:$K$22*(Calc!$G$3:$G$22&gt;A2499)*(Calc!$G$3:$G$22-A2499)*Calc!$I$3:$I$22)</f>
        <v/>
      </c>
      <c r="O2499">
        <f>SUMPRODUCT(Calc!$K$3:$K$22*(Calc!$G$3:$G$22&gt;B2499)*(Calc!$G$3:$G$22-B2499)*Calc!$I$3:$I$22)</f>
        <v/>
      </c>
      <c r="P2499">
        <f>I2499-G2499^2/k_n</f>
        <v/>
      </c>
      <c r="Q2499">
        <f>J2499-H2499^2/k_n</f>
        <v/>
      </c>
      <c r="R2499">
        <f>K2499-G2499*H2499/k_n</f>
        <v/>
      </c>
      <c r="S2499">
        <f>L2499-LTP3!$D$3*G2499/k_n</f>
        <v/>
      </c>
      <c r="T2499">
        <f>M2499-LTP3!$D$3*H2499/k_n</f>
        <v/>
      </c>
      <c r="U2499">
        <f>N2499-G2499*LTP3!$D$4/k_n</f>
        <v/>
      </c>
      <c r="V2499">
        <f>O2499-H2499*LTP3!$D$4/k_n</f>
        <v/>
      </c>
      <c r="W2499">
        <f>((LTP3!$D$5)*((P2499)*(Q2499)-(R2499)*(R2499))-(S2499)*((S2499)*(Q2499)-(R2499)*(T2499))+(T2499)*((S2499)*(R2499)-(P2499)*(T2499)))</f>
        <v/>
      </c>
      <c r="X2499">
        <f>IF(ABS(W2499)&gt;1E-12,((LTP3!$D$6)*((P2499)*(Q2499)-(R2499)*(R2499))-(S2499)*((U2499)*(Q2499)-(R2499)*(V2499))+(T2499)*((U2499)*(R2499)-(P2499)*(V2499)))/W2499,0)</f>
        <v/>
      </c>
      <c r="Y2499">
        <f>IF(ABS(W2499)&gt;1E-12,((LTP3!$D$5)*((U2499)*(Q2499)-(R2499)*(V2499))-(LTP3!$D$6)*((S2499)*(Q2499)-(R2499)*(T2499))+(T2499)*((S2499)*(V2499)-(U2499)*(T2499)))/W2499,0)</f>
        <v/>
      </c>
      <c r="Z2499">
        <f>IF(ABS(W2499)&gt;1E-12,((LTP3!$D$5)*((P2499)*(V2499)-(U2499)*(R2499))-(S2499)*((S2499)*(V2499)-(U2499)*(T2499))+(LTP3!$D$6)*((S2499)*(R2499)-(P2499)*(T2499)))/W2499,0)</f>
        <v/>
      </c>
      <c r="AA2499">
        <f>LTP3!$D$7-X2499*LTP3!$D$6-Y2499*U2499-Z2499*V2499</f>
        <v/>
      </c>
      <c r="AB2499">
        <f>IF(AND(F2499,ABS(W2499)&gt;1E-12,Y2499&gt;0,Z2499&gt;0),AA2499,1E+300)</f>
        <v/>
      </c>
    </row>
    <row r="2500">
      <c r="A2500">
        <f>$B$3+$B$5*40</f>
        <v/>
      </c>
      <c r="B2500">
        <f>$B$3+$B$5*48</f>
        <v/>
      </c>
      <c r="C2500">
        <f>SUMPRODUCT(Calc!$K$3:$K$22*(Calc!$G$3:$G$22&lt;=A2500))</f>
        <v/>
      </c>
      <c r="D2500">
        <f>SUMPRODUCT(Calc!$K$3:$K$22*(Calc!$G$3:$G$22&gt;A2500)*(Calc!$G$3:$G$22&lt;B2500))</f>
        <v/>
      </c>
      <c r="E2500">
        <f>SUMPRODUCT(Calc!$K$3:$K$22*(Calc!$G$3:$G$22&gt;=B2500))</f>
        <v/>
      </c>
      <c r="F2500">
        <f>AND(k_n&gt;=5,B2500&gt;A2500+1E-9,C2500&gt;=2,D2500&gt;=1,E2500&gt;=2)</f>
        <v/>
      </c>
      <c r="G2500">
        <f>SUMPRODUCT(Calc!$K$3:$K$22*(Calc!$G$3:$G$22&gt;A2500)*(Calc!$G$3:$G$22-A2500))</f>
        <v/>
      </c>
      <c r="H2500">
        <f>SUMPRODUCT(Calc!$K$3:$K$22*(Calc!$G$3:$G$22&gt;B2500)*(Calc!$G$3:$G$22-B2500))</f>
        <v/>
      </c>
      <c r="I2500">
        <f>SUMPRODUCT(Calc!$K$3:$K$22*(Calc!$G$3:$G$22&gt;A2500)*(Calc!$G$3:$G$22-A2500)^2)</f>
        <v/>
      </c>
      <c r="J2500">
        <f>SUMPRODUCT(Calc!$K$3:$K$22*(Calc!$G$3:$G$22&gt;B2500)*(Calc!$G$3:$G$22-B2500)^2)</f>
        <v/>
      </c>
      <c r="K2500">
        <f>SUMPRODUCT(Calc!$K$3:$K$22*(Calc!$G$3:$G$22&gt;A2500)*(Calc!$G$3:$G$22-A2500)*(Calc!$G$3:$G$22&gt;B2500)*(Calc!$G$3:$G$22-B2500))</f>
        <v/>
      </c>
      <c r="L2500">
        <f>SUMPRODUCT(Calc!$K$3:$K$22*(Calc!$G$3:$G$22&gt;A2500)*(Calc!$G$3:$G$22-A2500)*Calc!$G$3:$G$22)</f>
        <v/>
      </c>
      <c r="M2500">
        <f>SUMPRODUCT(Calc!$K$3:$K$22*(Calc!$G$3:$G$22&gt;B2500)*(Calc!$G$3:$G$22-B2500)*Calc!$G$3:$G$22)</f>
        <v/>
      </c>
      <c r="N2500">
        <f>SUMPRODUCT(Calc!$K$3:$K$22*(Calc!$G$3:$G$22&gt;A2500)*(Calc!$G$3:$G$22-A2500)*Calc!$I$3:$I$22)</f>
        <v/>
      </c>
      <c r="O2500">
        <f>SUMPRODUCT(Calc!$K$3:$K$22*(Calc!$G$3:$G$22&gt;B2500)*(Calc!$G$3:$G$22-B2500)*Calc!$I$3:$I$22)</f>
        <v/>
      </c>
      <c r="P2500">
        <f>I2500-G2500^2/k_n</f>
        <v/>
      </c>
      <c r="Q2500">
        <f>J2500-H2500^2/k_n</f>
        <v/>
      </c>
      <c r="R2500">
        <f>K2500-G2500*H2500/k_n</f>
        <v/>
      </c>
      <c r="S2500">
        <f>L2500-LTP3!$D$3*G2500/k_n</f>
        <v/>
      </c>
      <c r="T2500">
        <f>M2500-LTP3!$D$3*H2500/k_n</f>
        <v/>
      </c>
      <c r="U2500">
        <f>N2500-G2500*LTP3!$D$4/k_n</f>
        <v/>
      </c>
      <c r="V2500">
        <f>O2500-H2500*LTP3!$D$4/k_n</f>
        <v/>
      </c>
      <c r="W2500">
        <f>((LTP3!$D$5)*((P2500)*(Q2500)-(R2500)*(R2500))-(S2500)*((S2500)*(Q2500)-(R2500)*(T2500))+(T2500)*((S2500)*(R2500)-(P2500)*(T2500)))</f>
        <v/>
      </c>
      <c r="X2500">
        <f>IF(ABS(W2500)&gt;1E-12,((LTP3!$D$6)*((P2500)*(Q2500)-(R2500)*(R2500))-(S2500)*((U2500)*(Q2500)-(R2500)*(V2500))+(T2500)*((U2500)*(R2500)-(P2500)*(V2500)))/W2500,0)</f>
        <v/>
      </c>
      <c r="Y2500">
        <f>IF(ABS(W2500)&gt;1E-12,((LTP3!$D$5)*((U2500)*(Q2500)-(R2500)*(V2500))-(LTP3!$D$6)*((S2500)*(Q2500)-(R2500)*(T2500))+(T2500)*((S2500)*(V2500)-(U2500)*(T2500)))/W2500,0)</f>
        <v/>
      </c>
      <c r="Z2500">
        <f>IF(ABS(W2500)&gt;1E-12,((LTP3!$D$5)*((P2500)*(V2500)-(U2500)*(R2500))-(S2500)*((S2500)*(V2500)-(U2500)*(T2500))+(LTP3!$D$6)*((S2500)*(R2500)-(P2500)*(T2500)))/W2500,0)</f>
        <v/>
      </c>
      <c r="AA2500">
        <f>LTP3!$D$7-X2500*LTP3!$D$6-Y2500*U2500-Z2500*V2500</f>
        <v/>
      </c>
      <c r="AB2500">
        <f>IF(AND(F2500,ABS(W2500)&gt;1E-12,Y2500&gt;0,Z2500&gt;0),AA2500,1E+300)</f>
        <v/>
      </c>
    </row>
    <row r="2501">
      <c r="A2501">
        <f>$B$3+$B$5*40</f>
        <v/>
      </c>
      <c r="B2501">
        <f>$B$3+$B$5*49</f>
        <v/>
      </c>
      <c r="C2501">
        <f>SUMPRODUCT(Calc!$K$3:$K$22*(Calc!$G$3:$G$22&lt;=A2501))</f>
        <v/>
      </c>
      <c r="D2501">
        <f>SUMPRODUCT(Calc!$K$3:$K$22*(Calc!$G$3:$G$22&gt;A2501)*(Calc!$G$3:$G$22&lt;B2501))</f>
        <v/>
      </c>
      <c r="E2501">
        <f>SUMPRODUCT(Calc!$K$3:$K$22*(Calc!$G$3:$G$22&gt;=B2501))</f>
        <v/>
      </c>
      <c r="F2501">
        <f>AND(k_n&gt;=5,B2501&gt;A2501+1E-9,C2501&gt;=2,D2501&gt;=1,E2501&gt;=2)</f>
        <v/>
      </c>
      <c r="G2501">
        <f>SUMPRODUCT(Calc!$K$3:$K$22*(Calc!$G$3:$G$22&gt;A2501)*(Calc!$G$3:$G$22-A2501))</f>
        <v/>
      </c>
      <c r="H2501">
        <f>SUMPRODUCT(Calc!$K$3:$K$22*(Calc!$G$3:$G$22&gt;B2501)*(Calc!$G$3:$G$22-B2501))</f>
        <v/>
      </c>
      <c r="I2501">
        <f>SUMPRODUCT(Calc!$K$3:$K$22*(Calc!$G$3:$G$22&gt;A2501)*(Calc!$G$3:$G$22-A2501)^2)</f>
        <v/>
      </c>
      <c r="J2501">
        <f>SUMPRODUCT(Calc!$K$3:$K$22*(Calc!$G$3:$G$22&gt;B2501)*(Calc!$G$3:$G$22-B2501)^2)</f>
        <v/>
      </c>
      <c r="K2501">
        <f>SUMPRODUCT(Calc!$K$3:$K$22*(Calc!$G$3:$G$22&gt;A2501)*(Calc!$G$3:$G$22-A2501)*(Calc!$G$3:$G$22&gt;B2501)*(Calc!$G$3:$G$22-B2501))</f>
        <v/>
      </c>
      <c r="L2501">
        <f>SUMPRODUCT(Calc!$K$3:$K$22*(Calc!$G$3:$G$22&gt;A2501)*(Calc!$G$3:$G$22-A2501)*Calc!$G$3:$G$22)</f>
        <v/>
      </c>
      <c r="M2501">
        <f>SUMPRODUCT(Calc!$K$3:$K$22*(Calc!$G$3:$G$22&gt;B2501)*(Calc!$G$3:$G$22-B2501)*Calc!$G$3:$G$22)</f>
        <v/>
      </c>
      <c r="N2501">
        <f>SUMPRODUCT(Calc!$K$3:$K$22*(Calc!$G$3:$G$22&gt;A2501)*(Calc!$G$3:$G$22-A2501)*Calc!$I$3:$I$22)</f>
        <v/>
      </c>
      <c r="O2501">
        <f>SUMPRODUCT(Calc!$K$3:$K$22*(Calc!$G$3:$G$22&gt;B2501)*(Calc!$G$3:$G$22-B2501)*Calc!$I$3:$I$22)</f>
        <v/>
      </c>
      <c r="P2501">
        <f>I2501-G2501^2/k_n</f>
        <v/>
      </c>
      <c r="Q2501">
        <f>J2501-H2501^2/k_n</f>
        <v/>
      </c>
      <c r="R2501">
        <f>K2501-G2501*H2501/k_n</f>
        <v/>
      </c>
      <c r="S2501">
        <f>L2501-LTP3!$D$3*G2501/k_n</f>
        <v/>
      </c>
      <c r="T2501">
        <f>M2501-LTP3!$D$3*H2501/k_n</f>
        <v/>
      </c>
      <c r="U2501">
        <f>N2501-G2501*LTP3!$D$4/k_n</f>
        <v/>
      </c>
      <c r="V2501">
        <f>O2501-H2501*LTP3!$D$4/k_n</f>
        <v/>
      </c>
      <c r="W2501">
        <f>((LTP3!$D$5)*((P2501)*(Q2501)-(R2501)*(R2501))-(S2501)*((S2501)*(Q2501)-(R2501)*(T2501))+(T2501)*((S2501)*(R2501)-(P2501)*(T2501)))</f>
        <v/>
      </c>
      <c r="X2501">
        <f>IF(ABS(W2501)&gt;1E-12,((LTP3!$D$6)*((P2501)*(Q2501)-(R2501)*(R2501))-(S2501)*((U2501)*(Q2501)-(R2501)*(V2501))+(T2501)*((U2501)*(R2501)-(P2501)*(V2501)))/W2501,0)</f>
        <v/>
      </c>
      <c r="Y2501">
        <f>IF(ABS(W2501)&gt;1E-12,((LTP3!$D$5)*((U2501)*(Q2501)-(R2501)*(V2501))-(LTP3!$D$6)*((S2501)*(Q2501)-(R2501)*(T2501))+(T2501)*((S2501)*(V2501)-(U2501)*(T2501)))/W2501,0)</f>
        <v/>
      </c>
      <c r="Z2501">
        <f>IF(ABS(W2501)&gt;1E-12,((LTP3!$D$5)*((P2501)*(V2501)-(U2501)*(R2501))-(S2501)*((S2501)*(V2501)-(U2501)*(T2501))+(LTP3!$D$6)*((S2501)*(R2501)-(P2501)*(T2501)))/W2501,0)</f>
        <v/>
      </c>
      <c r="AA2501">
        <f>LTP3!$D$7-X2501*LTP3!$D$6-Y2501*U2501-Z2501*V2501</f>
        <v/>
      </c>
      <c r="AB2501">
        <f>IF(AND(F2501,ABS(W2501)&gt;1E-12,Y2501&gt;0,Z2501&gt;0),AA2501,1E+300)</f>
        <v/>
      </c>
    </row>
    <row r="2502">
      <c r="A2502">
        <f>$B$3+$B$5*40</f>
        <v/>
      </c>
      <c r="B2502">
        <f>$B$3+$B$5*50</f>
        <v/>
      </c>
      <c r="C2502">
        <f>SUMPRODUCT(Calc!$K$3:$K$22*(Calc!$G$3:$G$22&lt;=A2502))</f>
        <v/>
      </c>
      <c r="D2502">
        <f>SUMPRODUCT(Calc!$K$3:$K$22*(Calc!$G$3:$G$22&gt;A2502)*(Calc!$G$3:$G$22&lt;B2502))</f>
        <v/>
      </c>
      <c r="E2502">
        <f>SUMPRODUCT(Calc!$K$3:$K$22*(Calc!$G$3:$G$22&gt;=B2502))</f>
        <v/>
      </c>
      <c r="F2502">
        <f>AND(k_n&gt;=5,B2502&gt;A2502+1E-9,C2502&gt;=2,D2502&gt;=1,E2502&gt;=2)</f>
        <v/>
      </c>
      <c r="G2502">
        <f>SUMPRODUCT(Calc!$K$3:$K$22*(Calc!$G$3:$G$22&gt;A2502)*(Calc!$G$3:$G$22-A2502))</f>
        <v/>
      </c>
      <c r="H2502">
        <f>SUMPRODUCT(Calc!$K$3:$K$22*(Calc!$G$3:$G$22&gt;B2502)*(Calc!$G$3:$G$22-B2502))</f>
        <v/>
      </c>
      <c r="I2502">
        <f>SUMPRODUCT(Calc!$K$3:$K$22*(Calc!$G$3:$G$22&gt;A2502)*(Calc!$G$3:$G$22-A2502)^2)</f>
        <v/>
      </c>
      <c r="J2502">
        <f>SUMPRODUCT(Calc!$K$3:$K$22*(Calc!$G$3:$G$22&gt;B2502)*(Calc!$G$3:$G$22-B2502)^2)</f>
        <v/>
      </c>
      <c r="K2502">
        <f>SUMPRODUCT(Calc!$K$3:$K$22*(Calc!$G$3:$G$22&gt;A2502)*(Calc!$G$3:$G$22-A2502)*(Calc!$G$3:$G$22&gt;B2502)*(Calc!$G$3:$G$22-B2502))</f>
        <v/>
      </c>
      <c r="L2502">
        <f>SUMPRODUCT(Calc!$K$3:$K$22*(Calc!$G$3:$G$22&gt;A2502)*(Calc!$G$3:$G$22-A2502)*Calc!$G$3:$G$22)</f>
        <v/>
      </c>
      <c r="M2502">
        <f>SUMPRODUCT(Calc!$K$3:$K$22*(Calc!$G$3:$G$22&gt;B2502)*(Calc!$G$3:$G$22-B2502)*Calc!$G$3:$G$22)</f>
        <v/>
      </c>
      <c r="N2502">
        <f>SUMPRODUCT(Calc!$K$3:$K$22*(Calc!$G$3:$G$22&gt;A2502)*(Calc!$G$3:$G$22-A2502)*Calc!$I$3:$I$22)</f>
        <v/>
      </c>
      <c r="O2502">
        <f>SUMPRODUCT(Calc!$K$3:$K$22*(Calc!$G$3:$G$22&gt;B2502)*(Calc!$G$3:$G$22-B2502)*Calc!$I$3:$I$22)</f>
        <v/>
      </c>
      <c r="P2502">
        <f>I2502-G2502^2/k_n</f>
        <v/>
      </c>
      <c r="Q2502">
        <f>J2502-H2502^2/k_n</f>
        <v/>
      </c>
      <c r="R2502">
        <f>K2502-G2502*H2502/k_n</f>
        <v/>
      </c>
      <c r="S2502">
        <f>L2502-LTP3!$D$3*G2502/k_n</f>
        <v/>
      </c>
      <c r="T2502">
        <f>M2502-LTP3!$D$3*H2502/k_n</f>
        <v/>
      </c>
      <c r="U2502">
        <f>N2502-G2502*LTP3!$D$4/k_n</f>
        <v/>
      </c>
      <c r="V2502">
        <f>O2502-H2502*LTP3!$D$4/k_n</f>
        <v/>
      </c>
      <c r="W2502">
        <f>((LTP3!$D$5)*((P2502)*(Q2502)-(R2502)*(R2502))-(S2502)*((S2502)*(Q2502)-(R2502)*(T2502))+(T2502)*((S2502)*(R2502)-(P2502)*(T2502)))</f>
        <v/>
      </c>
      <c r="X2502">
        <f>IF(ABS(W2502)&gt;1E-12,((LTP3!$D$6)*((P2502)*(Q2502)-(R2502)*(R2502))-(S2502)*((U2502)*(Q2502)-(R2502)*(V2502))+(T2502)*((U2502)*(R2502)-(P2502)*(V2502)))/W2502,0)</f>
        <v/>
      </c>
      <c r="Y2502">
        <f>IF(ABS(W2502)&gt;1E-12,((LTP3!$D$5)*((U2502)*(Q2502)-(R2502)*(V2502))-(LTP3!$D$6)*((S2502)*(Q2502)-(R2502)*(T2502))+(T2502)*((S2502)*(V2502)-(U2502)*(T2502)))/W2502,0)</f>
        <v/>
      </c>
      <c r="Z2502">
        <f>IF(ABS(W2502)&gt;1E-12,((LTP3!$D$5)*((P2502)*(V2502)-(U2502)*(R2502))-(S2502)*((S2502)*(V2502)-(U2502)*(T2502))+(LTP3!$D$6)*((S2502)*(R2502)-(P2502)*(T2502)))/W2502,0)</f>
        <v/>
      </c>
      <c r="AA2502">
        <f>LTP3!$D$7-X2502*LTP3!$D$6-Y2502*U2502-Z2502*V2502</f>
        <v/>
      </c>
      <c r="AB2502">
        <f>IF(AND(F2502,ABS(W2502)&gt;1E-12,Y2502&gt;0,Z2502&gt;0),AA2502,1E+300)</f>
        <v/>
      </c>
    </row>
    <row r="2503">
      <c r="A2503">
        <f>$B$3+$B$5*40</f>
        <v/>
      </c>
      <c r="B2503">
        <f>$B$3+$B$5*51</f>
        <v/>
      </c>
      <c r="C2503">
        <f>SUMPRODUCT(Calc!$K$3:$K$22*(Calc!$G$3:$G$22&lt;=A2503))</f>
        <v/>
      </c>
      <c r="D2503">
        <f>SUMPRODUCT(Calc!$K$3:$K$22*(Calc!$G$3:$G$22&gt;A2503)*(Calc!$G$3:$G$22&lt;B2503))</f>
        <v/>
      </c>
      <c r="E2503">
        <f>SUMPRODUCT(Calc!$K$3:$K$22*(Calc!$G$3:$G$22&gt;=B2503))</f>
        <v/>
      </c>
      <c r="F2503">
        <f>AND(k_n&gt;=5,B2503&gt;A2503+1E-9,C2503&gt;=2,D2503&gt;=1,E2503&gt;=2)</f>
        <v/>
      </c>
      <c r="G2503">
        <f>SUMPRODUCT(Calc!$K$3:$K$22*(Calc!$G$3:$G$22&gt;A2503)*(Calc!$G$3:$G$22-A2503))</f>
        <v/>
      </c>
      <c r="H2503">
        <f>SUMPRODUCT(Calc!$K$3:$K$22*(Calc!$G$3:$G$22&gt;B2503)*(Calc!$G$3:$G$22-B2503))</f>
        <v/>
      </c>
      <c r="I2503">
        <f>SUMPRODUCT(Calc!$K$3:$K$22*(Calc!$G$3:$G$22&gt;A2503)*(Calc!$G$3:$G$22-A2503)^2)</f>
        <v/>
      </c>
      <c r="J2503">
        <f>SUMPRODUCT(Calc!$K$3:$K$22*(Calc!$G$3:$G$22&gt;B2503)*(Calc!$G$3:$G$22-B2503)^2)</f>
        <v/>
      </c>
      <c r="K2503">
        <f>SUMPRODUCT(Calc!$K$3:$K$22*(Calc!$G$3:$G$22&gt;A2503)*(Calc!$G$3:$G$22-A2503)*(Calc!$G$3:$G$22&gt;B2503)*(Calc!$G$3:$G$22-B2503))</f>
        <v/>
      </c>
      <c r="L2503">
        <f>SUMPRODUCT(Calc!$K$3:$K$22*(Calc!$G$3:$G$22&gt;A2503)*(Calc!$G$3:$G$22-A2503)*Calc!$G$3:$G$22)</f>
        <v/>
      </c>
      <c r="M2503">
        <f>SUMPRODUCT(Calc!$K$3:$K$22*(Calc!$G$3:$G$22&gt;B2503)*(Calc!$G$3:$G$22-B2503)*Calc!$G$3:$G$22)</f>
        <v/>
      </c>
      <c r="N2503">
        <f>SUMPRODUCT(Calc!$K$3:$K$22*(Calc!$G$3:$G$22&gt;A2503)*(Calc!$G$3:$G$22-A2503)*Calc!$I$3:$I$22)</f>
        <v/>
      </c>
      <c r="O2503">
        <f>SUMPRODUCT(Calc!$K$3:$K$22*(Calc!$G$3:$G$22&gt;B2503)*(Calc!$G$3:$G$22-B2503)*Calc!$I$3:$I$22)</f>
        <v/>
      </c>
      <c r="P2503">
        <f>I2503-G2503^2/k_n</f>
        <v/>
      </c>
      <c r="Q2503">
        <f>J2503-H2503^2/k_n</f>
        <v/>
      </c>
      <c r="R2503">
        <f>K2503-G2503*H2503/k_n</f>
        <v/>
      </c>
      <c r="S2503">
        <f>L2503-LTP3!$D$3*G2503/k_n</f>
        <v/>
      </c>
      <c r="T2503">
        <f>M2503-LTP3!$D$3*H2503/k_n</f>
        <v/>
      </c>
      <c r="U2503">
        <f>N2503-G2503*LTP3!$D$4/k_n</f>
        <v/>
      </c>
      <c r="V2503">
        <f>O2503-H2503*LTP3!$D$4/k_n</f>
        <v/>
      </c>
      <c r="W2503">
        <f>((LTP3!$D$5)*((P2503)*(Q2503)-(R2503)*(R2503))-(S2503)*((S2503)*(Q2503)-(R2503)*(T2503))+(T2503)*((S2503)*(R2503)-(P2503)*(T2503)))</f>
        <v/>
      </c>
      <c r="X2503">
        <f>IF(ABS(W2503)&gt;1E-12,((LTP3!$D$6)*((P2503)*(Q2503)-(R2503)*(R2503))-(S2503)*((U2503)*(Q2503)-(R2503)*(V2503))+(T2503)*((U2503)*(R2503)-(P2503)*(V2503)))/W2503,0)</f>
        <v/>
      </c>
      <c r="Y2503">
        <f>IF(ABS(W2503)&gt;1E-12,((LTP3!$D$5)*((U2503)*(Q2503)-(R2503)*(V2503))-(LTP3!$D$6)*((S2503)*(Q2503)-(R2503)*(T2503))+(T2503)*((S2503)*(V2503)-(U2503)*(T2503)))/W2503,0)</f>
        <v/>
      </c>
      <c r="Z2503">
        <f>IF(ABS(W2503)&gt;1E-12,((LTP3!$D$5)*((P2503)*(V2503)-(U2503)*(R2503))-(S2503)*((S2503)*(V2503)-(U2503)*(T2503))+(LTP3!$D$6)*((S2503)*(R2503)-(P2503)*(T2503)))/W2503,0)</f>
        <v/>
      </c>
      <c r="AA2503">
        <f>LTP3!$D$7-X2503*LTP3!$D$6-Y2503*U2503-Z2503*V2503</f>
        <v/>
      </c>
      <c r="AB2503">
        <f>IF(AND(F2503,ABS(W2503)&gt;1E-12,Y2503&gt;0,Z2503&gt;0),AA2503,1E+300)</f>
        <v/>
      </c>
    </row>
    <row r="2504">
      <c r="A2504">
        <f>$B$3+$B$5*40</f>
        <v/>
      </c>
      <c r="B2504">
        <f>$B$3+$B$5*52</f>
        <v/>
      </c>
      <c r="C2504">
        <f>SUMPRODUCT(Calc!$K$3:$K$22*(Calc!$G$3:$G$22&lt;=A2504))</f>
        <v/>
      </c>
      <c r="D2504">
        <f>SUMPRODUCT(Calc!$K$3:$K$22*(Calc!$G$3:$G$22&gt;A2504)*(Calc!$G$3:$G$22&lt;B2504))</f>
        <v/>
      </c>
      <c r="E2504">
        <f>SUMPRODUCT(Calc!$K$3:$K$22*(Calc!$G$3:$G$22&gt;=B2504))</f>
        <v/>
      </c>
      <c r="F2504">
        <f>AND(k_n&gt;=5,B2504&gt;A2504+1E-9,C2504&gt;=2,D2504&gt;=1,E2504&gt;=2)</f>
        <v/>
      </c>
      <c r="G2504">
        <f>SUMPRODUCT(Calc!$K$3:$K$22*(Calc!$G$3:$G$22&gt;A2504)*(Calc!$G$3:$G$22-A2504))</f>
        <v/>
      </c>
      <c r="H2504">
        <f>SUMPRODUCT(Calc!$K$3:$K$22*(Calc!$G$3:$G$22&gt;B2504)*(Calc!$G$3:$G$22-B2504))</f>
        <v/>
      </c>
      <c r="I2504">
        <f>SUMPRODUCT(Calc!$K$3:$K$22*(Calc!$G$3:$G$22&gt;A2504)*(Calc!$G$3:$G$22-A2504)^2)</f>
        <v/>
      </c>
      <c r="J2504">
        <f>SUMPRODUCT(Calc!$K$3:$K$22*(Calc!$G$3:$G$22&gt;B2504)*(Calc!$G$3:$G$22-B2504)^2)</f>
        <v/>
      </c>
      <c r="K2504">
        <f>SUMPRODUCT(Calc!$K$3:$K$22*(Calc!$G$3:$G$22&gt;A2504)*(Calc!$G$3:$G$22-A2504)*(Calc!$G$3:$G$22&gt;B2504)*(Calc!$G$3:$G$22-B2504))</f>
        <v/>
      </c>
      <c r="L2504">
        <f>SUMPRODUCT(Calc!$K$3:$K$22*(Calc!$G$3:$G$22&gt;A2504)*(Calc!$G$3:$G$22-A2504)*Calc!$G$3:$G$22)</f>
        <v/>
      </c>
      <c r="M2504">
        <f>SUMPRODUCT(Calc!$K$3:$K$22*(Calc!$G$3:$G$22&gt;B2504)*(Calc!$G$3:$G$22-B2504)*Calc!$G$3:$G$22)</f>
        <v/>
      </c>
      <c r="N2504">
        <f>SUMPRODUCT(Calc!$K$3:$K$22*(Calc!$G$3:$G$22&gt;A2504)*(Calc!$G$3:$G$22-A2504)*Calc!$I$3:$I$22)</f>
        <v/>
      </c>
      <c r="O2504">
        <f>SUMPRODUCT(Calc!$K$3:$K$22*(Calc!$G$3:$G$22&gt;B2504)*(Calc!$G$3:$G$22-B2504)*Calc!$I$3:$I$22)</f>
        <v/>
      </c>
      <c r="P2504">
        <f>I2504-G2504^2/k_n</f>
        <v/>
      </c>
      <c r="Q2504">
        <f>J2504-H2504^2/k_n</f>
        <v/>
      </c>
      <c r="R2504">
        <f>K2504-G2504*H2504/k_n</f>
        <v/>
      </c>
      <c r="S2504">
        <f>L2504-LTP3!$D$3*G2504/k_n</f>
        <v/>
      </c>
      <c r="T2504">
        <f>M2504-LTP3!$D$3*H2504/k_n</f>
        <v/>
      </c>
      <c r="U2504">
        <f>N2504-G2504*LTP3!$D$4/k_n</f>
        <v/>
      </c>
      <c r="V2504">
        <f>O2504-H2504*LTP3!$D$4/k_n</f>
        <v/>
      </c>
      <c r="W2504">
        <f>((LTP3!$D$5)*((P2504)*(Q2504)-(R2504)*(R2504))-(S2504)*((S2504)*(Q2504)-(R2504)*(T2504))+(T2504)*((S2504)*(R2504)-(P2504)*(T2504)))</f>
        <v/>
      </c>
      <c r="X2504">
        <f>IF(ABS(W2504)&gt;1E-12,((LTP3!$D$6)*((P2504)*(Q2504)-(R2504)*(R2504))-(S2504)*((U2504)*(Q2504)-(R2504)*(V2504))+(T2504)*((U2504)*(R2504)-(P2504)*(V2504)))/W2504,0)</f>
        <v/>
      </c>
      <c r="Y2504">
        <f>IF(ABS(W2504)&gt;1E-12,((LTP3!$D$5)*((U2504)*(Q2504)-(R2504)*(V2504))-(LTP3!$D$6)*((S2504)*(Q2504)-(R2504)*(T2504))+(T2504)*((S2504)*(V2504)-(U2504)*(T2504)))/W2504,0)</f>
        <v/>
      </c>
      <c r="Z2504">
        <f>IF(ABS(W2504)&gt;1E-12,((LTP3!$D$5)*((P2504)*(V2504)-(U2504)*(R2504))-(S2504)*((S2504)*(V2504)-(U2504)*(T2504))+(LTP3!$D$6)*((S2504)*(R2504)-(P2504)*(T2504)))/W2504,0)</f>
        <v/>
      </c>
      <c r="AA2504">
        <f>LTP3!$D$7-X2504*LTP3!$D$6-Y2504*U2504-Z2504*V2504</f>
        <v/>
      </c>
      <c r="AB2504">
        <f>IF(AND(F2504,ABS(W2504)&gt;1E-12,Y2504&gt;0,Z2504&gt;0),AA2504,1E+300)</f>
        <v/>
      </c>
    </row>
    <row r="2505">
      <c r="A2505">
        <f>$B$3+$B$5*40</f>
        <v/>
      </c>
      <c r="B2505">
        <f>$B$3+$B$5*53</f>
        <v/>
      </c>
      <c r="C2505">
        <f>SUMPRODUCT(Calc!$K$3:$K$22*(Calc!$G$3:$G$22&lt;=A2505))</f>
        <v/>
      </c>
      <c r="D2505">
        <f>SUMPRODUCT(Calc!$K$3:$K$22*(Calc!$G$3:$G$22&gt;A2505)*(Calc!$G$3:$G$22&lt;B2505))</f>
        <v/>
      </c>
      <c r="E2505">
        <f>SUMPRODUCT(Calc!$K$3:$K$22*(Calc!$G$3:$G$22&gt;=B2505))</f>
        <v/>
      </c>
      <c r="F2505">
        <f>AND(k_n&gt;=5,B2505&gt;A2505+1E-9,C2505&gt;=2,D2505&gt;=1,E2505&gt;=2)</f>
        <v/>
      </c>
      <c r="G2505">
        <f>SUMPRODUCT(Calc!$K$3:$K$22*(Calc!$G$3:$G$22&gt;A2505)*(Calc!$G$3:$G$22-A2505))</f>
        <v/>
      </c>
      <c r="H2505">
        <f>SUMPRODUCT(Calc!$K$3:$K$22*(Calc!$G$3:$G$22&gt;B2505)*(Calc!$G$3:$G$22-B2505))</f>
        <v/>
      </c>
      <c r="I2505">
        <f>SUMPRODUCT(Calc!$K$3:$K$22*(Calc!$G$3:$G$22&gt;A2505)*(Calc!$G$3:$G$22-A2505)^2)</f>
        <v/>
      </c>
      <c r="J2505">
        <f>SUMPRODUCT(Calc!$K$3:$K$22*(Calc!$G$3:$G$22&gt;B2505)*(Calc!$G$3:$G$22-B2505)^2)</f>
        <v/>
      </c>
      <c r="K2505">
        <f>SUMPRODUCT(Calc!$K$3:$K$22*(Calc!$G$3:$G$22&gt;A2505)*(Calc!$G$3:$G$22-A2505)*(Calc!$G$3:$G$22&gt;B2505)*(Calc!$G$3:$G$22-B2505))</f>
        <v/>
      </c>
      <c r="L2505">
        <f>SUMPRODUCT(Calc!$K$3:$K$22*(Calc!$G$3:$G$22&gt;A2505)*(Calc!$G$3:$G$22-A2505)*Calc!$G$3:$G$22)</f>
        <v/>
      </c>
      <c r="M2505">
        <f>SUMPRODUCT(Calc!$K$3:$K$22*(Calc!$G$3:$G$22&gt;B2505)*(Calc!$G$3:$G$22-B2505)*Calc!$G$3:$G$22)</f>
        <v/>
      </c>
      <c r="N2505">
        <f>SUMPRODUCT(Calc!$K$3:$K$22*(Calc!$G$3:$G$22&gt;A2505)*(Calc!$G$3:$G$22-A2505)*Calc!$I$3:$I$22)</f>
        <v/>
      </c>
      <c r="O2505">
        <f>SUMPRODUCT(Calc!$K$3:$K$22*(Calc!$G$3:$G$22&gt;B2505)*(Calc!$G$3:$G$22-B2505)*Calc!$I$3:$I$22)</f>
        <v/>
      </c>
      <c r="P2505">
        <f>I2505-G2505^2/k_n</f>
        <v/>
      </c>
      <c r="Q2505">
        <f>J2505-H2505^2/k_n</f>
        <v/>
      </c>
      <c r="R2505">
        <f>K2505-G2505*H2505/k_n</f>
        <v/>
      </c>
      <c r="S2505">
        <f>L2505-LTP3!$D$3*G2505/k_n</f>
        <v/>
      </c>
      <c r="T2505">
        <f>M2505-LTP3!$D$3*H2505/k_n</f>
        <v/>
      </c>
      <c r="U2505">
        <f>N2505-G2505*LTP3!$D$4/k_n</f>
        <v/>
      </c>
      <c r="V2505">
        <f>O2505-H2505*LTP3!$D$4/k_n</f>
        <v/>
      </c>
      <c r="W2505">
        <f>((LTP3!$D$5)*((P2505)*(Q2505)-(R2505)*(R2505))-(S2505)*((S2505)*(Q2505)-(R2505)*(T2505))+(T2505)*((S2505)*(R2505)-(P2505)*(T2505)))</f>
        <v/>
      </c>
      <c r="X2505">
        <f>IF(ABS(W2505)&gt;1E-12,((LTP3!$D$6)*((P2505)*(Q2505)-(R2505)*(R2505))-(S2505)*((U2505)*(Q2505)-(R2505)*(V2505))+(T2505)*((U2505)*(R2505)-(P2505)*(V2505)))/W2505,0)</f>
        <v/>
      </c>
      <c r="Y2505">
        <f>IF(ABS(W2505)&gt;1E-12,((LTP3!$D$5)*((U2505)*(Q2505)-(R2505)*(V2505))-(LTP3!$D$6)*((S2505)*(Q2505)-(R2505)*(T2505))+(T2505)*((S2505)*(V2505)-(U2505)*(T2505)))/W2505,0)</f>
        <v/>
      </c>
      <c r="Z2505">
        <f>IF(ABS(W2505)&gt;1E-12,((LTP3!$D$5)*((P2505)*(V2505)-(U2505)*(R2505))-(S2505)*((S2505)*(V2505)-(U2505)*(T2505))+(LTP3!$D$6)*((S2505)*(R2505)-(P2505)*(T2505)))/W2505,0)</f>
        <v/>
      </c>
      <c r="AA2505">
        <f>LTP3!$D$7-X2505*LTP3!$D$6-Y2505*U2505-Z2505*V2505</f>
        <v/>
      </c>
      <c r="AB2505">
        <f>IF(AND(F2505,ABS(W2505)&gt;1E-12,Y2505&gt;0,Z2505&gt;0),AA2505,1E+300)</f>
        <v/>
      </c>
    </row>
    <row r="2506">
      <c r="A2506">
        <f>$B$3+$B$5*40</f>
        <v/>
      </c>
      <c r="B2506">
        <f>$B$3+$B$5*54</f>
        <v/>
      </c>
      <c r="C2506">
        <f>SUMPRODUCT(Calc!$K$3:$K$22*(Calc!$G$3:$G$22&lt;=A2506))</f>
        <v/>
      </c>
      <c r="D2506">
        <f>SUMPRODUCT(Calc!$K$3:$K$22*(Calc!$G$3:$G$22&gt;A2506)*(Calc!$G$3:$G$22&lt;B2506))</f>
        <v/>
      </c>
      <c r="E2506">
        <f>SUMPRODUCT(Calc!$K$3:$K$22*(Calc!$G$3:$G$22&gt;=B2506))</f>
        <v/>
      </c>
      <c r="F2506">
        <f>AND(k_n&gt;=5,B2506&gt;A2506+1E-9,C2506&gt;=2,D2506&gt;=1,E2506&gt;=2)</f>
        <v/>
      </c>
      <c r="G2506">
        <f>SUMPRODUCT(Calc!$K$3:$K$22*(Calc!$G$3:$G$22&gt;A2506)*(Calc!$G$3:$G$22-A2506))</f>
        <v/>
      </c>
      <c r="H2506">
        <f>SUMPRODUCT(Calc!$K$3:$K$22*(Calc!$G$3:$G$22&gt;B2506)*(Calc!$G$3:$G$22-B2506))</f>
        <v/>
      </c>
      <c r="I2506">
        <f>SUMPRODUCT(Calc!$K$3:$K$22*(Calc!$G$3:$G$22&gt;A2506)*(Calc!$G$3:$G$22-A2506)^2)</f>
        <v/>
      </c>
      <c r="J2506">
        <f>SUMPRODUCT(Calc!$K$3:$K$22*(Calc!$G$3:$G$22&gt;B2506)*(Calc!$G$3:$G$22-B2506)^2)</f>
        <v/>
      </c>
      <c r="K2506">
        <f>SUMPRODUCT(Calc!$K$3:$K$22*(Calc!$G$3:$G$22&gt;A2506)*(Calc!$G$3:$G$22-A2506)*(Calc!$G$3:$G$22&gt;B2506)*(Calc!$G$3:$G$22-B2506))</f>
        <v/>
      </c>
      <c r="L2506">
        <f>SUMPRODUCT(Calc!$K$3:$K$22*(Calc!$G$3:$G$22&gt;A2506)*(Calc!$G$3:$G$22-A2506)*Calc!$G$3:$G$22)</f>
        <v/>
      </c>
      <c r="M2506">
        <f>SUMPRODUCT(Calc!$K$3:$K$22*(Calc!$G$3:$G$22&gt;B2506)*(Calc!$G$3:$G$22-B2506)*Calc!$G$3:$G$22)</f>
        <v/>
      </c>
      <c r="N2506">
        <f>SUMPRODUCT(Calc!$K$3:$K$22*(Calc!$G$3:$G$22&gt;A2506)*(Calc!$G$3:$G$22-A2506)*Calc!$I$3:$I$22)</f>
        <v/>
      </c>
      <c r="O2506">
        <f>SUMPRODUCT(Calc!$K$3:$K$22*(Calc!$G$3:$G$22&gt;B2506)*(Calc!$G$3:$G$22-B2506)*Calc!$I$3:$I$22)</f>
        <v/>
      </c>
      <c r="P2506">
        <f>I2506-G2506^2/k_n</f>
        <v/>
      </c>
      <c r="Q2506">
        <f>J2506-H2506^2/k_n</f>
        <v/>
      </c>
      <c r="R2506">
        <f>K2506-G2506*H2506/k_n</f>
        <v/>
      </c>
      <c r="S2506">
        <f>L2506-LTP3!$D$3*G2506/k_n</f>
        <v/>
      </c>
      <c r="T2506">
        <f>M2506-LTP3!$D$3*H2506/k_n</f>
        <v/>
      </c>
      <c r="U2506">
        <f>N2506-G2506*LTP3!$D$4/k_n</f>
        <v/>
      </c>
      <c r="V2506">
        <f>O2506-H2506*LTP3!$D$4/k_n</f>
        <v/>
      </c>
      <c r="W2506">
        <f>((LTP3!$D$5)*((P2506)*(Q2506)-(R2506)*(R2506))-(S2506)*((S2506)*(Q2506)-(R2506)*(T2506))+(T2506)*((S2506)*(R2506)-(P2506)*(T2506)))</f>
        <v/>
      </c>
      <c r="X2506">
        <f>IF(ABS(W2506)&gt;1E-12,((LTP3!$D$6)*((P2506)*(Q2506)-(R2506)*(R2506))-(S2506)*((U2506)*(Q2506)-(R2506)*(V2506))+(T2506)*((U2506)*(R2506)-(P2506)*(V2506)))/W2506,0)</f>
        <v/>
      </c>
      <c r="Y2506">
        <f>IF(ABS(W2506)&gt;1E-12,((LTP3!$D$5)*((U2506)*(Q2506)-(R2506)*(V2506))-(LTP3!$D$6)*((S2506)*(Q2506)-(R2506)*(T2506))+(T2506)*((S2506)*(V2506)-(U2506)*(T2506)))/W2506,0)</f>
        <v/>
      </c>
      <c r="Z2506">
        <f>IF(ABS(W2506)&gt;1E-12,((LTP3!$D$5)*((P2506)*(V2506)-(U2506)*(R2506))-(S2506)*((S2506)*(V2506)-(U2506)*(T2506))+(LTP3!$D$6)*((S2506)*(R2506)-(P2506)*(T2506)))/W2506,0)</f>
        <v/>
      </c>
      <c r="AA2506">
        <f>LTP3!$D$7-X2506*LTP3!$D$6-Y2506*U2506-Z2506*V2506</f>
        <v/>
      </c>
      <c r="AB2506">
        <f>IF(AND(F2506,ABS(W2506)&gt;1E-12,Y2506&gt;0,Z2506&gt;0),AA2506,1E+300)</f>
        <v/>
      </c>
    </row>
    <row r="2507">
      <c r="A2507">
        <f>$B$3+$B$5*40</f>
        <v/>
      </c>
      <c r="B2507">
        <f>$B$3+$B$5*55</f>
        <v/>
      </c>
      <c r="C2507">
        <f>SUMPRODUCT(Calc!$K$3:$K$22*(Calc!$G$3:$G$22&lt;=A2507))</f>
        <v/>
      </c>
      <c r="D2507">
        <f>SUMPRODUCT(Calc!$K$3:$K$22*(Calc!$G$3:$G$22&gt;A2507)*(Calc!$G$3:$G$22&lt;B2507))</f>
        <v/>
      </c>
      <c r="E2507">
        <f>SUMPRODUCT(Calc!$K$3:$K$22*(Calc!$G$3:$G$22&gt;=B2507))</f>
        <v/>
      </c>
      <c r="F2507">
        <f>AND(k_n&gt;=5,B2507&gt;A2507+1E-9,C2507&gt;=2,D2507&gt;=1,E2507&gt;=2)</f>
        <v/>
      </c>
      <c r="G2507">
        <f>SUMPRODUCT(Calc!$K$3:$K$22*(Calc!$G$3:$G$22&gt;A2507)*(Calc!$G$3:$G$22-A2507))</f>
        <v/>
      </c>
      <c r="H2507">
        <f>SUMPRODUCT(Calc!$K$3:$K$22*(Calc!$G$3:$G$22&gt;B2507)*(Calc!$G$3:$G$22-B2507))</f>
        <v/>
      </c>
      <c r="I2507">
        <f>SUMPRODUCT(Calc!$K$3:$K$22*(Calc!$G$3:$G$22&gt;A2507)*(Calc!$G$3:$G$22-A2507)^2)</f>
        <v/>
      </c>
      <c r="J2507">
        <f>SUMPRODUCT(Calc!$K$3:$K$22*(Calc!$G$3:$G$22&gt;B2507)*(Calc!$G$3:$G$22-B2507)^2)</f>
        <v/>
      </c>
      <c r="K2507">
        <f>SUMPRODUCT(Calc!$K$3:$K$22*(Calc!$G$3:$G$22&gt;A2507)*(Calc!$G$3:$G$22-A2507)*(Calc!$G$3:$G$22&gt;B2507)*(Calc!$G$3:$G$22-B2507))</f>
        <v/>
      </c>
      <c r="L2507">
        <f>SUMPRODUCT(Calc!$K$3:$K$22*(Calc!$G$3:$G$22&gt;A2507)*(Calc!$G$3:$G$22-A2507)*Calc!$G$3:$G$22)</f>
        <v/>
      </c>
      <c r="M2507">
        <f>SUMPRODUCT(Calc!$K$3:$K$22*(Calc!$G$3:$G$22&gt;B2507)*(Calc!$G$3:$G$22-B2507)*Calc!$G$3:$G$22)</f>
        <v/>
      </c>
      <c r="N2507">
        <f>SUMPRODUCT(Calc!$K$3:$K$22*(Calc!$G$3:$G$22&gt;A2507)*(Calc!$G$3:$G$22-A2507)*Calc!$I$3:$I$22)</f>
        <v/>
      </c>
      <c r="O2507">
        <f>SUMPRODUCT(Calc!$K$3:$K$22*(Calc!$G$3:$G$22&gt;B2507)*(Calc!$G$3:$G$22-B2507)*Calc!$I$3:$I$22)</f>
        <v/>
      </c>
      <c r="P2507">
        <f>I2507-G2507^2/k_n</f>
        <v/>
      </c>
      <c r="Q2507">
        <f>J2507-H2507^2/k_n</f>
        <v/>
      </c>
      <c r="R2507">
        <f>K2507-G2507*H2507/k_n</f>
        <v/>
      </c>
      <c r="S2507">
        <f>L2507-LTP3!$D$3*G2507/k_n</f>
        <v/>
      </c>
      <c r="T2507">
        <f>M2507-LTP3!$D$3*H2507/k_n</f>
        <v/>
      </c>
      <c r="U2507">
        <f>N2507-G2507*LTP3!$D$4/k_n</f>
        <v/>
      </c>
      <c r="V2507">
        <f>O2507-H2507*LTP3!$D$4/k_n</f>
        <v/>
      </c>
      <c r="W2507">
        <f>((LTP3!$D$5)*((P2507)*(Q2507)-(R2507)*(R2507))-(S2507)*((S2507)*(Q2507)-(R2507)*(T2507))+(T2507)*((S2507)*(R2507)-(P2507)*(T2507)))</f>
        <v/>
      </c>
      <c r="X2507">
        <f>IF(ABS(W2507)&gt;1E-12,((LTP3!$D$6)*((P2507)*(Q2507)-(R2507)*(R2507))-(S2507)*((U2507)*(Q2507)-(R2507)*(V2507))+(T2507)*((U2507)*(R2507)-(P2507)*(V2507)))/W2507,0)</f>
        <v/>
      </c>
      <c r="Y2507">
        <f>IF(ABS(W2507)&gt;1E-12,((LTP3!$D$5)*((U2507)*(Q2507)-(R2507)*(V2507))-(LTP3!$D$6)*((S2507)*(Q2507)-(R2507)*(T2507))+(T2507)*((S2507)*(V2507)-(U2507)*(T2507)))/W2507,0)</f>
        <v/>
      </c>
      <c r="Z2507">
        <f>IF(ABS(W2507)&gt;1E-12,((LTP3!$D$5)*((P2507)*(V2507)-(U2507)*(R2507))-(S2507)*((S2507)*(V2507)-(U2507)*(T2507))+(LTP3!$D$6)*((S2507)*(R2507)-(P2507)*(T2507)))/W2507,0)</f>
        <v/>
      </c>
      <c r="AA2507">
        <f>LTP3!$D$7-X2507*LTP3!$D$6-Y2507*U2507-Z2507*V2507</f>
        <v/>
      </c>
      <c r="AB2507">
        <f>IF(AND(F2507,ABS(W2507)&gt;1E-12,Y2507&gt;0,Z2507&gt;0),AA2507,1E+300)</f>
        <v/>
      </c>
    </row>
    <row r="2508">
      <c r="A2508">
        <f>$B$3+$B$5*40</f>
        <v/>
      </c>
      <c r="B2508">
        <f>$B$3+$B$5*56</f>
        <v/>
      </c>
      <c r="C2508">
        <f>SUMPRODUCT(Calc!$K$3:$K$22*(Calc!$G$3:$G$22&lt;=A2508))</f>
        <v/>
      </c>
      <c r="D2508">
        <f>SUMPRODUCT(Calc!$K$3:$K$22*(Calc!$G$3:$G$22&gt;A2508)*(Calc!$G$3:$G$22&lt;B2508))</f>
        <v/>
      </c>
      <c r="E2508">
        <f>SUMPRODUCT(Calc!$K$3:$K$22*(Calc!$G$3:$G$22&gt;=B2508))</f>
        <v/>
      </c>
      <c r="F2508">
        <f>AND(k_n&gt;=5,B2508&gt;A2508+1E-9,C2508&gt;=2,D2508&gt;=1,E2508&gt;=2)</f>
        <v/>
      </c>
      <c r="G2508">
        <f>SUMPRODUCT(Calc!$K$3:$K$22*(Calc!$G$3:$G$22&gt;A2508)*(Calc!$G$3:$G$22-A2508))</f>
        <v/>
      </c>
      <c r="H2508">
        <f>SUMPRODUCT(Calc!$K$3:$K$22*(Calc!$G$3:$G$22&gt;B2508)*(Calc!$G$3:$G$22-B2508))</f>
        <v/>
      </c>
      <c r="I2508">
        <f>SUMPRODUCT(Calc!$K$3:$K$22*(Calc!$G$3:$G$22&gt;A2508)*(Calc!$G$3:$G$22-A2508)^2)</f>
        <v/>
      </c>
      <c r="J2508">
        <f>SUMPRODUCT(Calc!$K$3:$K$22*(Calc!$G$3:$G$22&gt;B2508)*(Calc!$G$3:$G$22-B2508)^2)</f>
        <v/>
      </c>
      <c r="K2508">
        <f>SUMPRODUCT(Calc!$K$3:$K$22*(Calc!$G$3:$G$22&gt;A2508)*(Calc!$G$3:$G$22-A2508)*(Calc!$G$3:$G$22&gt;B2508)*(Calc!$G$3:$G$22-B2508))</f>
        <v/>
      </c>
      <c r="L2508">
        <f>SUMPRODUCT(Calc!$K$3:$K$22*(Calc!$G$3:$G$22&gt;A2508)*(Calc!$G$3:$G$22-A2508)*Calc!$G$3:$G$22)</f>
        <v/>
      </c>
      <c r="M2508">
        <f>SUMPRODUCT(Calc!$K$3:$K$22*(Calc!$G$3:$G$22&gt;B2508)*(Calc!$G$3:$G$22-B2508)*Calc!$G$3:$G$22)</f>
        <v/>
      </c>
      <c r="N2508">
        <f>SUMPRODUCT(Calc!$K$3:$K$22*(Calc!$G$3:$G$22&gt;A2508)*(Calc!$G$3:$G$22-A2508)*Calc!$I$3:$I$22)</f>
        <v/>
      </c>
      <c r="O2508">
        <f>SUMPRODUCT(Calc!$K$3:$K$22*(Calc!$G$3:$G$22&gt;B2508)*(Calc!$G$3:$G$22-B2508)*Calc!$I$3:$I$22)</f>
        <v/>
      </c>
      <c r="P2508">
        <f>I2508-G2508^2/k_n</f>
        <v/>
      </c>
      <c r="Q2508">
        <f>J2508-H2508^2/k_n</f>
        <v/>
      </c>
      <c r="R2508">
        <f>K2508-G2508*H2508/k_n</f>
        <v/>
      </c>
      <c r="S2508">
        <f>L2508-LTP3!$D$3*G2508/k_n</f>
        <v/>
      </c>
      <c r="T2508">
        <f>M2508-LTP3!$D$3*H2508/k_n</f>
        <v/>
      </c>
      <c r="U2508">
        <f>N2508-G2508*LTP3!$D$4/k_n</f>
        <v/>
      </c>
      <c r="V2508">
        <f>O2508-H2508*LTP3!$D$4/k_n</f>
        <v/>
      </c>
      <c r="W2508">
        <f>((LTP3!$D$5)*((P2508)*(Q2508)-(R2508)*(R2508))-(S2508)*((S2508)*(Q2508)-(R2508)*(T2508))+(T2508)*((S2508)*(R2508)-(P2508)*(T2508)))</f>
        <v/>
      </c>
      <c r="X2508">
        <f>IF(ABS(W2508)&gt;1E-12,((LTP3!$D$6)*((P2508)*(Q2508)-(R2508)*(R2508))-(S2508)*((U2508)*(Q2508)-(R2508)*(V2508))+(T2508)*((U2508)*(R2508)-(P2508)*(V2508)))/W2508,0)</f>
        <v/>
      </c>
      <c r="Y2508">
        <f>IF(ABS(W2508)&gt;1E-12,((LTP3!$D$5)*((U2508)*(Q2508)-(R2508)*(V2508))-(LTP3!$D$6)*((S2508)*(Q2508)-(R2508)*(T2508))+(T2508)*((S2508)*(V2508)-(U2508)*(T2508)))/W2508,0)</f>
        <v/>
      </c>
      <c r="Z2508">
        <f>IF(ABS(W2508)&gt;1E-12,((LTP3!$D$5)*((P2508)*(V2508)-(U2508)*(R2508))-(S2508)*((S2508)*(V2508)-(U2508)*(T2508))+(LTP3!$D$6)*((S2508)*(R2508)-(P2508)*(T2508)))/W2508,0)</f>
        <v/>
      </c>
      <c r="AA2508">
        <f>LTP3!$D$7-X2508*LTP3!$D$6-Y2508*U2508-Z2508*V2508</f>
        <v/>
      </c>
      <c r="AB2508">
        <f>IF(AND(F2508,ABS(W2508)&gt;1E-12,Y2508&gt;0,Z2508&gt;0),AA2508,1E+300)</f>
        <v/>
      </c>
    </row>
    <row r="2509">
      <c r="A2509">
        <f>$B$3+$B$5*40</f>
        <v/>
      </c>
      <c r="B2509">
        <f>$B$3+$B$5*57</f>
        <v/>
      </c>
      <c r="C2509">
        <f>SUMPRODUCT(Calc!$K$3:$K$22*(Calc!$G$3:$G$22&lt;=A2509))</f>
        <v/>
      </c>
      <c r="D2509">
        <f>SUMPRODUCT(Calc!$K$3:$K$22*(Calc!$G$3:$G$22&gt;A2509)*(Calc!$G$3:$G$22&lt;B2509))</f>
        <v/>
      </c>
      <c r="E2509">
        <f>SUMPRODUCT(Calc!$K$3:$K$22*(Calc!$G$3:$G$22&gt;=B2509))</f>
        <v/>
      </c>
      <c r="F2509">
        <f>AND(k_n&gt;=5,B2509&gt;A2509+1E-9,C2509&gt;=2,D2509&gt;=1,E2509&gt;=2)</f>
        <v/>
      </c>
      <c r="G2509">
        <f>SUMPRODUCT(Calc!$K$3:$K$22*(Calc!$G$3:$G$22&gt;A2509)*(Calc!$G$3:$G$22-A2509))</f>
        <v/>
      </c>
      <c r="H2509">
        <f>SUMPRODUCT(Calc!$K$3:$K$22*(Calc!$G$3:$G$22&gt;B2509)*(Calc!$G$3:$G$22-B2509))</f>
        <v/>
      </c>
      <c r="I2509">
        <f>SUMPRODUCT(Calc!$K$3:$K$22*(Calc!$G$3:$G$22&gt;A2509)*(Calc!$G$3:$G$22-A2509)^2)</f>
        <v/>
      </c>
      <c r="J2509">
        <f>SUMPRODUCT(Calc!$K$3:$K$22*(Calc!$G$3:$G$22&gt;B2509)*(Calc!$G$3:$G$22-B2509)^2)</f>
        <v/>
      </c>
      <c r="K2509">
        <f>SUMPRODUCT(Calc!$K$3:$K$22*(Calc!$G$3:$G$22&gt;A2509)*(Calc!$G$3:$G$22-A2509)*(Calc!$G$3:$G$22&gt;B2509)*(Calc!$G$3:$G$22-B2509))</f>
        <v/>
      </c>
      <c r="L2509">
        <f>SUMPRODUCT(Calc!$K$3:$K$22*(Calc!$G$3:$G$22&gt;A2509)*(Calc!$G$3:$G$22-A2509)*Calc!$G$3:$G$22)</f>
        <v/>
      </c>
      <c r="M2509">
        <f>SUMPRODUCT(Calc!$K$3:$K$22*(Calc!$G$3:$G$22&gt;B2509)*(Calc!$G$3:$G$22-B2509)*Calc!$G$3:$G$22)</f>
        <v/>
      </c>
      <c r="N2509">
        <f>SUMPRODUCT(Calc!$K$3:$K$22*(Calc!$G$3:$G$22&gt;A2509)*(Calc!$G$3:$G$22-A2509)*Calc!$I$3:$I$22)</f>
        <v/>
      </c>
      <c r="O2509">
        <f>SUMPRODUCT(Calc!$K$3:$K$22*(Calc!$G$3:$G$22&gt;B2509)*(Calc!$G$3:$G$22-B2509)*Calc!$I$3:$I$22)</f>
        <v/>
      </c>
      <c r="P2509">
        <f>I2509-G2509^2/k_n</f>
        <v/>
      </c>
      <c r="Q2509">
        <f>J2509-H2509^2/k_n</f>
        <v/>
      </c>
      <c r="R2509">
        <f>K2509-G2509*H2509/k_n</f>
        <v/>
      </c>
      <c r="S2509">
        <f>L2509-LTP3!$D$3*G2509/k_n</f>
        <v/>
      </c>
      <c r="T2509">
        <f>M2509-LTP3!$D$3*H2509/k_n</f>
        <v/>
      </c>
      <c r="U2509">
        <f>N2509-G2509*LTP3!$D$4/k_n</f>
        <v/>
      </c>
      <c r="V2509">
        <f>O2509-H2509*LTP3!$D$4/k_n</f>
        <v/>
      </c>
      <c r="W2509">
        <f>((LTP3!$D$5)*((P2509)*(Q2509)-(R2509)*(R2509))-(S2509)*((S2509)*(Q2509)-(R2509)*(T2509))+(T2509)*((S2509)*(R2509)-(P2509)*(T2509)))</f>
        <v/>
      </c>
      <c r="X2509">
        <f>IF(ABS(W2509)&gt;1E-12,((LTP3!$D$6)*((P2509)*(Q2509)-(R2509)*(R2509))-(S2509)*((U2509)*(Q2509)-(R2509)*(V2509))+(T2509)*((U2509)*(R2509)-(P2509)*(V2509)))/W2509,0)</f>
        <v/>
      </c>
      <c r="Y2509">
        <f>IF(ABS(W2509)&gt;1E-12,((LTP3!$D$5)*((U2509)*(Q2509)-(R2509)*(V2509))-(LTP3!$D$6)*((S2509)*(Q2509)-(R2509)*(T2509))+(T2509)*((S2509)*(V2509)-(U2509)*(T2509)))/W2509,0)</f>
        <v/>
      </c>
      <c r="Z2509">
        <f>IF(ABS(W2509)&gt;1E-12,((LTP3!$D$5)*((P2509)*(V2509)-(U2509)*(R2509))-(S2509)*((S2509)*(V2509)-(U2509)*(T2509))+(LTP3!$D$6)*((S2509)*(R2509)-(P2509)*(T2509)))/W2509,0)</f>
        <v/>
      </c>
      <c r="AA2509">
        <f>LTP3!$D$7-X2509*LTP3!$D$6-Y2509*U2509-Z2509*V2509</f>
        <v/>
      </c>
      <c r="AB2509">
        <f>IF(AND(F2509,ABS(W2509)&gt;1E-12,Y2509&gt;0,Z2509&gt;0),AA2509,1E+300)</f>
        <v/>
      </c>
    </row>
    <row r="2510">
      <c r="A2510">
        <f>$B$3+$B$5*40</f>
        <v/>
      </c>
      <c r="B2510">
        <f>$B$3+$B$5*58</f>
        <v/>
      </c>
      <c r="C2510">
        <f>SUMPRODUCT(Calc!$K$3:$K$22*(Calc!$G$3:$G$22&lt;=A2510))</f>
        <v/>
      </c>
      <c r="D2510">
        <f>SUMPRODUCT(Calc!$K$3:$K$22*(Calc!$G$3:$G$22&gt;A2510)*(Calc!$G$3:$G$22&lt;B2510))</f>
        <v/>
      </c>
      <c r="E2510">
        <f>SUMPRODUCT(Calc!$K$3:$K$22*(Calc!$G$3:$G$22&gt;=B2510))</f>
        <v/>
      </c>
      <c r="F2510">
        <f>AND(k_n&gt;=5,B2510&gt;A2510+1E-9,C2510&gt;=2,D2510&gt;=1,E2510&gt;=2)</f>
        <v/>
      </c>
      <c r="G2510">
        <f>SUMPRODUCT(Calc!$K$3:$K$22*(Calc!$G$3:$G$22&gt;A2510)*(Calc!$G$3:$G$22-A2510))</f>
        <v/>
      </c>
      <c r="H2510">
        <f>SUMPRODUCT(Calc!$K$3:$K$22*(Calc!$G$3:$G$22&gt;B2510)*(Calc!$G$3:$G$22-B2510))</f>
        <v/>
      </c>
      <c r="I2510">
        <f>SUMPRODUCT(Calc!$K$3:$K$22*(Calc!$G$3:$G$22&gt;A2510)*(Calc!$G$3:$G$22-A2510)^2)</f>
        <v/>
      </c>
      <c r="J2510">
        <f>SUMPRODUCT(Calc!$K$3:$K$22*(Calc!$G$3:$G$22&gt;B2510)*(Calc!$G$3:$G$22-B2510)^2)</f>
        <v/>
      </c>
      <c r="K2510">
        <f>SUMPRODUCT(Calc!$K$3:$K$22*(Calc!$G$3:$G$22&gt;A2510)*(Calc!$G$3:$G$22-A2510)*(Calc!$G$3:$G$22&gt;B2510)*(Calc!$G$3:$G$22-B2510))</f>
        <v/>
      </c>
      <c r="L2510">
        <f>SUMPRODUCT(Calc!$K$3:$K$22*(Calc!$G$3:$G$22&gt;A2510)*(Calc!$G$3:$G$22-A2510)*Calc!$G$3:$G$22)</f>
        <v/>
      </c>
      <c r="M2510">
        <f>SUMPRODUCT(Calc!$K$3:$K$22*(Calc!$G$3:$G$22&gt;B2510)*(Calc!$G$3:$G$22-B2510)*Calc!$G$3:$G$22)</f>
        <v/>
      </c>
      <c r="N2510">
        <f>SUMPRODUCT(Calc!$K$3:$K$22*(Calc!$G$3:$G$22&gt;A2510)*(Calc!$G$3:$G$22-A2510)*Calc!$I$3:$I$22)</f>
        <v/>
      </c>
      <c r="O2510">
        <f>SUMPRODUCT(Calc!$K$3:$K$22*(Calc!$G$3:$G$22&gt;B2510)*(Calc!$G$3:$G$22-B2510)*Calc!$I$3:$I$22)</f>
        <v/>
      </c>
      <c r="P2510">
        <f>I2510-G2510^2/k_n</f>
        <v/>
      </c>
      <c r="Q2510">
        <f>J2510-H2510^2/k_n</f>
        <v/>
      </c>
      <c r="R2510">
        <f>K2510-G2510*H2510/k_n</f>
        <v/>
      </c>
      <c r="S2510">
        <f>L2510-LTP3!$D$3*G2510/k_n</f>
        <v/>
      </c>
      <c r="T2510">
        <f>M2510-LTP3!$D$3*H2510/k_n</f>
        <v/>
      </c>
      <c r="U2510">
        <f>N2510-G2510*LTP3!$D$4/k_n</f>
        <v/>
      </c>
      <c r="V2510">
        <f>O2510-H2510*LTP3!$D$4/k_n</f>
        <v/>
      </c>
      <c r="W2510">
        <f>((LTP3!$D$5)*((P2510)*(Q2510)-(R2510)*(R2510))-(S2510)*((S2510)*(Q2510)-(R2510)*(T2510))+(T2510)*((S2510)*(R2510)-(P2510)*(T2510)))</f>
        <v/>
      </c>
      <c r="X2510">
        <f>IF(ABS(W2510)&gt;1E-12,((LTP3!$D$6)*((P2510)*(Q2510)-(R2510)*(R2510))-(S2510)*((U2510)*(Q2510)-(R2510)*(V2510))+(T2510)*((U2510)*(R2510)-(P2510)*(V2510)))/W2510,0)</f>
        <v/>
      </c>
      <c r="Y2510">
        <f>IF(ABS(W2510)&gt;1E-12,((LTP3!$D$5)*((U2510)*(Q2510)-(R2510)*(V2510))-(LTP3!$D$6)*((S2510)*(Q2510)-(R2510)*(T2510))+(T2510)*((S2510)*(V2510)-(U2510)*(T2510)))/W2510,0)</f>
        <v/>
      </c>
      <c r="Z2510">
        <f>IF(ABS(W2510)&gt;1E-12,((LTP3!$D$5)*((P2510)*(V2510)-(U2510)*(R2510))-(S2510)*((S2510)*(V2510)-(U2510)*(T2510))+(LTP3!$D$6)*((S2510)*(R2510)-(P2510)*(T2510)))/W2510,0)</f>
        <v/>
      </c>
      <c r="AA2510">
        <f>LTP3!$D$7-X2510*LTP3!$D$6-Y2510*U2510-Z2510*V2510</f>
        <v/>
      </c>
      <c r="AB2510">
        <f>IF(AND(F2510,ABS(W2510)&gt;1E-12,Y2510&gt;0,Z2510&gt;0),AA2510,1E+300)</f>
        <v/>
      </c>
    </row>
    <row r="2511">
      <c r="A2511">
        <f>$B$3+$B$5*40</f>
        <v/>
      </c>
      <c r="B2511">
        <f>$B$3+$B$5*59</f>
        <v/>
      </c>
      <c r="C2511">
        <f>SUMPRODUCT(Calc!$K$3:$K$22*(Calc!$G$3:$G$22&lt;=A2511))</f>
        <v/>
      </c>
      <c r="D2511">
        <f>SUMPRODUCT(Calc!$K$3:$K$22*(Calc!$G$3:$G$22&gt;A2511)*(Calc!$G$3:$G$22&lt;B2511))</f>
        <v/>
      </c>
      <c r="E2511">
        <f>SUMPRODUCT(Calc!$K$3:$K$22*(Calc!$G$3:$G$22&gt;=B2511))</f>
        <v/>
      </c>
      <c r="F2511">
        <f>AND(k_n&gt;=5,B2511&gt;A2511+1E-9,C2511&gt;=2,D2511&gt;=1,E2511&gt;=2)</f>
        <v/>
      </c>
      <c r="G2511">
        <f>SUMPRODUCT(Calc!$K$3:$K$22*(Calc!$G$3:$G$22&gt;A2511)*(Calc!$G$3:$G$22-A2511))</f>
        <v/>
      </c>
      <c r="H2511">
        <f>SUMPRODUCT(Calc!$K$3:$K$22*(Calc!$G$3:$G$22&gt;B2511)*(Calc!$G$3:$G$22-B2511))</f>
        <v/>
      </c>
      <c r="I2511">
        <f>SUMPRODUCT(Calc!$K$3:$K$22*(Calc!$G$3:$G$22&gt;A2511)*(Calc!$G$3:$G$22-A2511)^2)</f>
        <v/>
      </c>
      <c r="J2511">
        <f>SUMPRODUCT(Calc!$K$3:$K$22*(Calc!$G$3:$G$22&gt;B2511)*(Calc!$G$3:$G$22-B2511)^2)</f>
        <v/>
      </c>
      <c r="K2511">
        <f>SUMPRODUCT(Calc!$K$3:$K$22*(Calc!$G$3:$G$22&gt;A2511)*(Calc!$G$3:$G$22-A2511)*(Calc!$G$3:$G$22&gt;B2511)*(Calc!$G$3:$G$22-B2511))</f>
        <v/>
      </c>
      <c r="L2511">
        <f>SUMPRODUCT(Calc!$K$3:$K$22*(Calc!$G$3:$G$22&gt;A2511)*(Calc!$G$3:$G$22-A2511)*Calc!$G$3:$G$22)</f>
        <v/>
      </c>
      <c r="M2511">
        <f>SUMPRODUCT(Calc!$K$3:$K$22*(Calc!$G$3:$G$22&gt;B2511)*(Calc!$G$3:$G$22-B2511)*Calc!$G$3:$G$22)</f>
        <v/>
      </c>
      <c r="N2511">
        <f>SUMPRODUCT(Calc!$K$3:$K$22*(Calc!$G$3:$G$22&gt;A2511)*(Calc!$G$3:$G$22-A2511)*Calc!$I$3:$I$22)</f>
        <v/>
      </c>
      <c r="O2511">
        <f>SUMPRODUCT(Calc!$K$3:$K$22*(Calc!$G$3:$G$22&gt;B2511)*(Calc!$G$3:$G$22-B2511)*Calc!$I$3:$I$22)</f>
        <v/>
      </c>
      <c r="P2511">
        <f>I2511-G2511^2/k_n</f>
        <v/>
      </c>
      <c r="Q2511">
        <f>J2511-H2511^2/k_n</f>
        <v/>
      </c>
      <c r="R2511">
        <f>K2511-G2511*H2511/k_n</f>
        <v/>
      </c>
      <c r="S2511">
        <f>L2511-LTP3!$D$3*G2511/k_n</f>
        <v/>
      </c>
      <c r="T2511">
        <f>M2511-LTP3!$D$3*H2511/k_n</f>
        <v/>
      </c>
      <c r="U2511">
        <f>N2511-G2511*LTP3!$D$4/k_n</f>
        <v/>
      </c>
      <c r="V2511">
        <f>O2511-H2511*LTP3!$D$4/k_n</f>
        <v/>
      </c>
      <c r="W2511">
        <f>((LTP3!$D$5)*((P2511)*(Q2511)-(R2511)*(R2511))-(S2511)*((S2511)*(Q2511)-(R2511)*(T2511))+(T2511)*((S2511)*(R2511)-(P2511)*(T2511)))</f>
        <v/>
      </c>
      <c r="X2511">
        <f>IF(ABS(W2511)&gt;1E-12,((LTP3!$D$6)*((P2511)*(Q2511)-(R2511)*(R2511))-(S2511)*((U2511)*(Q2511)-(R2511)*(V2511))+(T2511)*((U2511)*(R2511)-(P2511)*(V2511)))/W2511,0)</f>
        <v/>
      </c>
      <c r="Y2511">
        <f>IF(ABS(W2511)&gt;1E-12,((LTP3!$D$5)*((U2511)*(Q2511)-(R2511)*(V2511))-(LTP3!$D$6)*((S2511)*(Q2511)-(R2511)*(T2511))+(T2511)*((S2511)*(V2511)-(U2511)*(T2511)))/W2511,0)</f>
        <v/>
      </c>
      <c r="Z2511">
        <f>IF(ABS(W2511)&gt;1E-12,((LTP3!$D$5)*((P2511)*(V2511)-(U2511)*(R2511))-(S2511)*((S2511)*(V2511)-(U2511)*(T2511))+(LTP3!$D$6)*((S2511)*(R2511)-(P2511)*(T2511)))/W2511,0)</f>
        <v/>
      </c>
      <c r="AA2511">
        <f>LTP3!$D$7-X2511*LTP3!$D$6-Y2511*U2511-Z2511*V2511</f>
        <v/>
      </c>
      <c r="AB2511">
        <f>IF(AND(F2511,ABS(W2511)&gt;1E-12,Y2511&gt;0,Z2511&gt;0),AA2511,1E+300)</f>
        <v/>
      </c>
    </row>
    <row r="2512">
      <c r="A2512">
        <f>$B$3+$B$5*40</f>
        <v/>
      </c>
      <c r="B2512">
        <f>$B$3+$B$5*60</f>
        <v/>
      </c>
      <c r="C2512">
        <f>SUMPRODUCT(Calc!$K$3:$K$22*(Calc!$G$3:$G$22&lt;=A2512))</f>
        <v/>
      </c>
      <c r="D2512">
        <f>SUMPRODUCT(Calc!$K$3:$K$22*(Calc!$G$3:$G$22&gt;A2512)*(Calc!$G$3:$G$22&lt;B2512))</f>
        <v/>
      </c>
      <c r="E2512">
        <f>SUMPRODUCT(Calc!$K$3:$K$22*(Calc!$G$3:$G$22&gt;=B2512))</f>
        <v/>
      </c>
      <c r="F2512">
        <f>AND(k_n&gt;=5,B2512&gt;A2512+1E-9,C2512&gt;=2,D2512&gt;=1,E2512&gt;=2)</f>
        <v/>
      </c>
      <c r="G2512">
        <f>SUMPRODUCT(Calc!$K$3:$K$22*(Calc!$G$3:$G$22&gt;A2512)*(Calc!$G$3:$G$22-A2512))</f>
        <v/>
      </c>
      <c r="H2512">
        <f>SUMPRODUCT(Calc!$K$3:$K$22*(Calc!$G$3:$G$22&gt;B2512)*(Calc!$G$3:$G$22-B2512))</f>
        <v/>
      </c>
      <c r="I2512">
        <f>SUMPRODUCT(Calc!$K$3:$K$22*(Calc!$G$3:$G$22&gt;A2512)*(Calc!$G$3:$G$22-A2512)^2)</f>
        <v/>
      </c>
      <c r="J2512">
        <f>SUMPRODUCT(Calc!$K$3:$K$22*(Calc!$G$3:$G$22&gt;B2512)*(Calc!$G$3:$G$22-B2512)^2)</f>
        <v/>
      </c>
      <c r="K2512">
        <f>SUMPRODUCT(Calc!$K$3:$K$22*(Calc!$G$3:$G$22&gt;A2512)*(Calc!$G$3:$G$22-A2512)*(Calc!$G$3:$G$22&gt;B2512)*(Calc!$G$3:$G$22-B2512))</f>
        <v/>
      </c>
      <c r="L2512">
        <f>SUMPRODUCT(Calc!$K$3:$K$22*(Calc!$G$3:$G$22&gt;A2512)*(Calc!$G$3:$G$22-A2512)*Calc!$G$3:$G$22)</f>
        <v/>
      </c>
      <c r="M2512">
        <f>SUMPRODUCT(Calc!$K$3:$K$22*(Calc!$G$3:$G$22&gt;B2512)*(Calc!$G$3:$G$22-B2512)*Calc!$G$3:$G$22)</f>
        <v/>
      </c>
      <c r="N2512">
        <f>SUMPRODUCT(Calc!$K$3:$K$22*(Calc!$G$3:$G$22&gt;A2512)*(Calc!$G$3:$G$22-A2512)*Calc!$I$3:$I$22)</f>
        <v/>
      </c>
      <c r="O2512">
        <f>SUMPRODUCT(Calc!$K$3:$K$22*(Calc!$G$3:$G$22&gt;B2512)*(Calc!$G$3:$G$22-B2512)*Calc!$I$3:$I$22)</f>
        <v/>
      </c>
      <c r="P2512">
        <f>I2512-G2512^2/k_n</f>
        <v/>
      </c>
      <c r="Q2512">
        <f>J2512-H2512^2/k_n</f>
        <v/>
      </c>
      <c r="R2512">
        <f>K2512-G2512*H2512/k_n</f>
        <v/>
      </c>
      <c r="S2512">
        <f>L2512-LTP3!$D$3*G2512/k_n</f>
        <v/>
      </c>
      <c r="T2512">
        <f>M2512-LTP3!$D$3*H2512/k_n</f>
        <v/>
      </c>
      <c r="U2512">
        <f>N2512-G2512*LTP3!$D$4/k_n</f>
        <v/>
      </c>
      <c r="V2512">
        <f>O2512-H2512*LTP3!$D$4/k_n</f>
        <v/>
      </c>
      <c r="W2512">
        <f>((LTP3!$D$5)*((P2512)*(Q2512)-(R2512)*(R2512))-(S2512)*((S2512)*(Q2512)-(R2512)*(T2512))+(T2512)*((S2512)*(R2512)-(P2512)*(T2512)))</f>
        <v/>
      </c>
      <c r="X2512">
        <f>IF(ABS(W2512)&gt;1E-12,((LTP3!$D$6)*((P2512)*(Q2512)-(R2512)*(R2512))-(S2512)*((U2512)*(Q2512)-(R2512)*(V2512))+(T2512)*((U2512)*(R2512)-(P2512)*(V2512)))/W2512,0)</f>
        <v/>
      </c>
      <c r="Y2512">
        <f>IF(ABS(W2512)&gt;1E-12,((LTP3!$D$5)*((U2512)*(Q2512)-(R2512)*(V2512))-(LTP3!$D$6)*((S2512)*(Q2512)-(R2512)*(T2512))+(T2512)*((S2512)*(V2512)-(U2512)*(T2512)))/W2512,0)</f>
        <v/>
      </c>
      <c r="Z2512">
        <f>IF(ABS(W2512)&gt;1E-12,((LTP3!$D$5)*((P2512)*(V2512)-(U2512)*(R2512))-(S2512)*((S2512)*(V2512)-(U2512)*(T2512))+(LTP3!$D$6)*((S2512)*(R2512)-(P2512)*(T2512)))/W2512,0)</f>
        <v/>
      </c>
      <c r="AA2512">
        <f>LTP3!$D$7-X2512*LTP3!$D$6-Y2512*U2512-Z2512*V2512</f>
        <v/>
      </c>
      <c r="AB2512">
        <f>IF(AND(F2512,ABS(W2512)&gt;1E-12,Y2512&gt;0,Z2512&gt;0),AA2512,1E+300)</f>
        <v/>
      </c>
    </row>
    <row r="2513">
      <c r="A2513">
        <f>$B$3+$B$5*41</f>
        <v/>
      </c>
      <c r="B2513">
        <f>$B$3+$B$5*0</f>
        <v/>
      </c>
      <c r="C2513">
        <f>SUMPRODUCT(Calc!$K$3:$K$22*(Calc!$G$3:$G$22&lt;=A2513))</f>
        <v/>
      </c>
      <c r="D2513">
        <f>SUMPRODUCT(Calc!$K$3:$K$22*(Calc!$G$3:$G$22&gt;A2513)*(Calc!$G$3:$G$22&lt;B2513))</f>
        <v/>
      </c>
      <c r="E2513">
        <f>SUMPRODUCT(Calc!$K$3:$K$22*(Calc!$G$3:$G$22&gt;=B2513))</f>
        <v/>
      </c>
      <c r="F2513">
        <f>AND(k_n&gt;=5,B2513&gt;A2513+1E-9,C2513&gt;=2,D2513&gt;=1,E2513&gt;=2)</f>
        <v/>
      </c>
      <c r="G2513">
        <f>SUMPRODUCT(Calc!$K$3:$K$22*(Calc!$G$3:$G$22&gt;A2513)*(Calc!$G$3:$G$22-A2513))</f>
        <v/>
      </c>
      <c r="H2513">
        <f>SUMPRODUCT(Calc!$K$3:$K$22*(Calc!$G$3:$G$22&gt;B2513)*(Calc!$G$3:$G$22-B2513))</f>
        <v/>
      </c>
      <c r="I2513">
        <f>SUMPRODUCT(Calc!$K$3:$K$22*(Calc!$G$3:$G$22&gt;A2513)*(Calc!$G$3:$G$22-A2513)^2)</f>
        <v/>
      </c>
      <c r="J2513">
        <f>SUMPRODUCT(Calc!$K$3:$K$22*(Calc!$G$3:$G$22&gt;B2513)*(Calc!$G$3:$G$22-B2513)^2)</f>
        <v/>
      </c>
      <c r="K2513">
        <f>SUMPRODUCT(Calc!$K$3:$K$22*(Calc!$G$3:$G$22&gt;A2513)*(Calc!$G$3:$G$22-A2513)*(Calc!$G$3:$G$22&gt;B2513)*(Calc!$G$3:$G$22-B2513))</f>
        <v/>
      </c>
      <c r="L2513">
        <f>SUMPRODUCT(Calc!$K$3:$K$22*(Calc!$G$3:$G$22&gt;A2513)*(Calc!$G$3:$G$22-A2513)*Calc!$G$3:$G$22)</f>
        <v/>
      </c>
      <c r="M2513">
        <f>SUMPRODUCT(Calc!$K$3:$K$22*(Calc!$G$3:$G$22&gt;B2513)*(Calc!$G$3:$G$22-B2513)*Calc!$G$3:$G$22)</f>
        <v/>
      </c>
      <c r="N2513">
        <f>SUMPRODUCT(Calc!$K$3:$K$22*(Calc!$G$3:$G$22&gt;A2513)*(Calc!$G$3:$G$22-A2513)*Calc!$I$3:$I$22)</f>
        <v/>
      </c>
      <c r="O2513">
        <f>SUMPRODUCT(Calc!$K$3:$K$22*(Calc!$G$3:$G$22&gt;B2513)*(Calc!$G$3:$G$22-B2513)*Calc!$I$3:$I$22)</f>
        <v/>
      </c>
      <c r="P2513">
        <f>I2513-G2513^2/k_n</f>
        <v/>
      </c>
      <c r="Q2513">
        <f>J2513-H2513^2/k_n</f>
        <v/>
      </c>
      <c r="R2513">
        <f>K2513-G2513*H2513/k_n</f>
        <v/>
      </c>
      <c r="S2513">
        <f>L2513-LTP3!$D$3*G2513/k_n</f>
        <v/>
      </c>
      <c r="T2513">
        <f>M2513-LTP3!$D$3*H2513/k_n</f>
        <v/>
      </c>
      <c r="U2513">
        <f>N2513-G2513*LTP3!$D$4/k_n</f>
        <v/>
      </c>
      <c r="V2513">
        <f>O2513-H2513*LTP3!$D$4/k_n</f>
        <v/>
      </c>
      <c r="W2513">
        <f>((LTP3!$D$5)*((P2513)*(Q2513)-(R2513)*(R2513))-(S2513)*((S2513)*(Q2513)-(R2513)*(T2513))+(T2513)*((S2513)*(R2513)-(P2513)*(T2513)))</f>
        <v/>
      </c>
      <c r="X2513">
        <f>IF(ABS(W2513)&gt;1E-12,((LTP3!$D$6)*((P2513)*(Q2513)-(R2513)*(R2513))-(S2513)*((U2513)*(Q2513)-(R2513)*(V2513))+(T2513)*((U2513)*(R2513)-(P2513)*(V2513)))/W2513,0)</f>
        <v/>
      </c>
      <c r="Y2513">
        <f>IF(ABS(W2513)&gt;1E-12,((LTP3!$D$5)*((U2513)*(Q2513)-(R2513)*(V2513))-(LTP3!$D$6)*((S2513)*(Q2513)-(R2513)*(T2513))+(T2513)*((S2513)*(V2513)-(U2513)*(T2513)))/W2513,0)</f>
        <v/>
      </c>
      <c r="Z2513">
        <f>IF(ABS(W2513)&gt;1E-12,((LTP3!$D$5)*((P2513)*(V2513)-(U2513)*(R2513))-(S2513)*((S2513)*(V2513)-(U2513)*(T2513))+(LTP3!$D$6)*((S2513)*(R2513)-(P2513)*(T2513)))/W2513,0)</f>
        <v/>
      </c>
      <c r="AA2513">
        <f>LTP3!$D$7-X2513*LTP3!$D$6-Y2513*U2513-Z2513*V2513</f>
        <v/>
      </c>
      <c r="AB2513">
        <f>IF(AND(F2513,ABS(W2513)&gt;1E-12,Y2513&gt;0,Z2513&gt;0),AA2513,1E+300)</f>
        <v/>
      </c>
    </row>
    <row r="2514">
      <c r="A2514">
        <f>$B$3+$B$5*41</f>
        <v/>
      </c>
      <c r="B2514">
        <f>$B$3+$B$5*1</f>
        <v/>
      </c>
      <c r="C2514">
        <f>SUMPRODUCT(Calc!$K$3:$K$22*(Calc!$G$3:$G$22&lt;=A2514))</f>
        <v/>
      </c>
      <c r="D2514">
        <f>SUMPRODUCT(Calc!$K$3:$K$22*(Calc!$G$3:$G$22&gt;A2514)*(Calc!$G$3:$G$22&lt;B2514))</f>
        <v/>
      </c>
      <c r="E2514">
        <f>SUMPRODUCT(Calc!$K$3:$K$22*(Calc!$G$3:$G$22&gt;=B2514))</f>
        <v/>
      </c>
      <c r="F2514">
        <f>AND(k_n&gt;=5,B2514&gt;A2514+1E-9,C2514&gt;=2,D2514&gt;=1,E2514&gt;=2)</f>
        <v/>
      </c>
      <c r="G2514">
        <f>SUMPRODUCT(Calc!$K$3:$K$22*(Calc!$G$3:$G$22&gt;A2514)*(Calc!$G$3:$G$22-A2514))</f>
        <v/>
      </c>
      <c r="H2514">
        <f>SUMPRODUCT(Calc!$K$3:$K$22*(Calc!$G$3:$G$22&gt;B2514)*(Calc!$G$3:$G$22-B2514))</f>
        <v/>
      </c>
      <c r="I2514">
        <f>SUMPRODUCT(Calc!$K$3:$K$22*(Calc!$G$3:$G$22&gt;A2514)*(Calc!$G$3:$G$22-A2514)^2)</f>
        <v/>
      </c>
      <c r="J2514">
        <f>SUMPRODUCT(Calc!$K$3:$K$22*(Calc!$G$3:$G$22&gt;B2514)*(Calc!$G$3:$G$22-B2514)^2)</f>
        <v/>
      </c>
      <c r="K2514">
        <f>SUMPRODUCT(Calc!$K$3:$K$22*(Calc!$G$3:$G$22&gt;A2514)*(Calc!$G$3:$G$22-A2514)*(Calc!$G$3:$G$22&gt;B2514)*(Calc!$G$3:$G$22-B2514))</f>
        <v/>
      </c>
      <c r="L2514">
        <f>SUMPRODUCT(Calc!$K$3:$K$22*(Calc!$G$3:$G$22&gt;A2514)*(Calc!$G$3:$G$22-A2514)*Calc!$G$3:$G$22)</f>
        <v/>
      </c>
      <c r="M2514">
        <f>SUMPRODUCT(Calc!$K$3:$K$22*(Calc!$G$3:$G$22&gt;B2514)*(Calc!$G$3:$G$22-B2514)*Calc!$G$3:$G$22)</f>
        <v/>
      </c>
      <c r="N2514">
        <f>SUMPRODUCT(Calc!$K$3:$K$22*(Calc!$G$3:$G$22&gt;A2514)*(Calc!$G$3:$G$22-A2514)*Calc!$I$3:$I$22)</f>
        <v/>
      </c>
      <c r="O2514">
        <f>SUMPRODUCT(Calc!$K$3:$K$22*(Calc!$G$3:$G$22&gt;B2514)*(Calc!$G$3:$G$22-B2514)*Calc!$I$3:$I$22)</f>
        <v/>
      </c>
      <c r="P2514">
        <f>I2514-G2514^2/k_n</f>
        <v/>
      </c>
      <c r="Q2514">
        <f>J2514-H2514^2/k_n</f>
        <v/>
      </c>
      <c r="R2514">
        <f>K2514-G2514*H2514/k_n</f>
        <v/>
      </c>
      <c r="S2514">
        <f>L2514-LTP3!$D$3*G2514/k_n</f>
        <v/>
      </c>
      <c r="T2514">
        <f>M2514-LTP3!$D$3*H2514/k_n</f>
        <v/>
      </c>
      <c r="U2514">
        <f>N2514-G2514*LTP3!$D$4/k_n</f>
        <v/>
      </c>
      <c r="V2514">
        <f>O2514-H2514*LTP3!$D$4/k_n</f>
        <v/>
      </c>
      <c r="W2514">
        <f>((LTP3!$D$5)*((P2514)*(Q2514)-(R2514)*(R2514))-(S2514)*((S2514)*(Q2514)-(R2514)*(T2514))+(T2514)*((S2514)*(R2514)-(P2514)*(T2514)))</f>
        <v/>
      </c>
      <c r="X2514">
        <f>IF(ABS(W2514)&gt;1E-12,((LTP3!$D$6)*((P2514)*(Q2514)-(R2514)*(R2514))-(S2514)*((U2514)*(Q2514)-(R2514)*(V2514))+(T2514)*((U2514)*(R2514)-(P2514)*(V2514)))/W2514,0)</f>
        <v/>
      </c>
      <c r="Y2514">
        <f>IF(ABS(W2514)&gt;1E-12,((LTP3!$D$5)*((U2514)*(Q2514)-(R2514)*(V2514))-(LTP3!$D$6)*((S2514)*(Q2514)-(R2514)*(T2514))+(T2514)*((S2514)*(V2514)-(U2514)*(T2514)))/W2514,0)</f>
        <v/>
      </c>
      <c r="Z2514">
        <f>IF(ABS(W2514)&gt;1E-12,((LTP3!$D$5)*((P2514)*(V2514)-(U2514)*(R2514))-(S2514)*((S2514)*(V2514)-(U2514)*(T2514))+(LTP3!$D$6)*((S2514)*(R2514)-(P2514)*(T2514)))/W2514,0)</f>
        <v/>
      </c>
      <c r="AA2514">
        <f>LTP3!$D$7-X2514*LTP3!$D$6-Y2514*U2514-Z2514*V2514</f>
        <v/>
      </c>
      <c r="AB2514">
        <f>IF(AND(F2514,ABS(W2514)&gt;1E-12,Y2514&gt;0,Z2514&gt;0),AA2514,1E+300)</f>
        <v/>
      </c>
    </row>
    <row r="2515">
      <c r="A2515">
        <f>$B$3+$B$5*41</f>
        <v/>
      </c>
      <c r="B2515">
        <f>$B$3+$B$5*2</f>
        <v/>
      </c>
      <c r="C2515">
        <f>SUMPRODUCT(Calc!$K$3:$K$22*(Calc!$G$3:$G$22&lt;=A2515))</f>
        <v/>
      </c>
      <c r="D2515">
        <f>SUMPRODUCT(Calc!$K$3:$K$22*(Calc!$G$3:$G$22&gt;A2515)*(Calc!$G$3:$G$22&lt;B2515))</f>
        <v/>
      </c>
      <c r="E2515">
        <f>SUMPRODUCT(Calc!$K$3:$K$22*(Calc!$G$3:$G$22&gt;=B2515))</f>
        <v/>
      </c>
      <c r="F2515">
        <f>AND(k_n&gt;=5,B2515&gt;A2515+1E-9,C2515&gt;=2,D2515&gt;=1,E2515&gt;=2)</f>
        <v/>
      </c>
      <c r="G2515">
        <f>SUMPRODUCT(Calc!$K$3:$K$22*(Calc!$G$3:$G$22&gt;A2515)*(Calc!$G$3:$G$22-A2515))</f>
        <v/>
      </c>
      <c r="H2515">
        <f>SUMPRODUCT(Calc!$K$3:$K$22*(Calc!$G$3:$G$22&gt;B2515)*(Calc!$G$3:$G$22-B2515))</f>
        <v/>
      </c>
      <c r="I2515">
        <f>SUMPRODUCT(Calc!$K$3:$K$22*(Calc!$G$3:$G$22&gt;A2515)*(Calc!$G$3:$G$22-A2515)^2)</f>
        <v/>
      </c>
      <c r="J2515">
        <f>SUMPRODUCT(Calc!$K$3:$K$22*(Calc!$G$3:$G$22&gt;B2515)*(Calc!$G$3:$G$22-B2515)^2)</f>
        <v/>
      </c>
      <c r="K2515">
        <f>SUMPRODUCT(Calc!$K$3:$K$22*(Calc!$G$3:$G$22&gt;A2515)*(Calc!$G$3:$G$22-A2515)*(Calc!$G$3:$G$22&gt;B2515)*(Calc!$G$3:$G$22-B2515))</f>
        <v/>
      </c>
      <c r="L2515">
        <f>SUMPRODUCT(Calc!$K$3:$K$22*(Calc!$G$3:$G$22&gt;A2515)*(Calc!$G$3:$G$22-A2515)*Calc!$G$3:$G$22)</f>
        <v/>
      </c>
      <c r="M2515">
        <f>SUMPRODUCT(Calc!$K$3:$K$22*(Calc!$G$3:$G$22&gt;B2515)*(Calc!$G$3:$G$22-B2515)*Calc!$G$3:$G$22)</f>
        <v/>
      </c>
      <c r="N2515">
        <f>SUMPRODUCT(Calc!$K$3:$K$22*(Calc!$G$3:$G$22&gt;A2515)*(Calc!$G$3:$G$22-A2515)*Calc!$I$3:$I$22)</f>
        <v/>
      </c>
      <c r="O2515">
        <f>SUMPRODUCT(Calc!$K$3:$K$22*(Calc!$G$3:$G$22&gt;B2515)*(Calc!$G$3:$G$22-B2515)*Calc!$I$3:$I$22)</f>
        <v/>
      </c>
      <c r="P2515">
        <f>I2515-G2515^2/k_n</f>
        <v/>
      </c>
      <c r="Q2515">
        <f>J2515-H2515^2/k_n</f>
        <v/>
      </c>
      <c r="R2515">
        <f>K2515-G2515*H2515/k_n</f>
        <v/>
      </c>
      <c r="S2515">
        <f>L2515-LTP3!$D$3*G2515/k_n</f>
        <v/>
      </c>
      <c r="T2515">
        <f>M2515-LTP3!$D$3*H2515/k_n</f>
        <v/>
      </c>
      <c r="U2515">
        <f>N2515-G2515*LTP3!$D$4/k_n</f>
        <v/>
      </c>
      <c r="V2515">
        <f>O2515-H2515*LTP3!$D$4/k_n</f>
        <v/>
      </c>
      <c r="W2515">
        <f>((LTP3!$D$5)*((P2515)*(Q2515)-(R2515)*(R2515))-(S2515)*((S2515)*(Q2515)-(R2515)*(T2515))+(T2515)*((S2515)*(R2515)-(P2515)*(T2515)))</f>
        <v/>
      </c>
      <c r="X2515">
        <f>IF(ABS(W2515)&gt;1E-12,((LTP3!$D$6)*((P2515)*(Q2515)-(R2515)*(R2515))-(S2515)*((U2515)*(Q2515)-(R2515)*(V2515))+(T2515)*((U2515)*(R2515)-(P2515)*(V2515)))/W2515,0)</f>
        <v/>
      </c>
      <c r="Y2515">
        <f>IF(ABS(W2515)&gt;1E-12,((LTP3!$D$5)*((U2515)*(Q2515)-(R2515)*(V2515))-(LTP3!$D$6)*((S2515)*(Q2515)-(R2515)*(T2515))+(T2515)*((S2515)*(V2515)-(U2515)*(T2515)))/W2515,0)</f>
        <v/>
      </c>
      <c r="Z2515">
        <f>IF(ABS(W2515)&gt;1E-12,((LTP3!$D$5)*((P2515)*(V2515)-(U2515)*(R2515))-(S2515)*((S2515)*(V2515)-(U2515)*(T2515))+(LTP3!$D$6)*((S2515)*(R2515)-(P2515)*(T2515)))/W2515,0)</f>
        <v/>
      </c>
      <c r="AA2515">
        <f>LTP3!$D$7-X2515*LTP3!$D$6-Y2515*U2515-Z2515*V2515</f>
        <v/>
      </c>
      <c r="AB2515">
        <f>IF(AND(F2515,ABS(W2515)&gt;1E-12,Y2515&gt;0,Z2515&gt;0),AA2515,1E+300)</f>
        <v/>
      </c>
    </row>
    <row r="2516">
      <c r="A2516">
        <f>$B$3+$B$5*41</f>
        <v/>
      </c>
      <c r="B2516">
        <f>$B$3+$B$5*3</f>
        <v/>
      </c>
      <c r="C2516">
        <f>SUMPRODUCT(Calc!$K$3:$K$22*(Calc!$G$3:$G$22&lt;=A2516))</f>
        <v/>
      </c>
      <c r="D2516">
        <f>SUMPRODUCT(Calc!$K$3:$K$22*(Calc!$G$3:$G$22&gt;A2516)*(Calc!$G$3:$G$22&lt;B2516))</f>
        <v/>
      </c>
      <c r="E2516">
        <f>SUMPRODUCT(Calc!$K$3:$K$22*(Calc!$G$3:$G$22&gt;=B2516))</f>
        <v/>
      </c>
      <c r="F2516">
        <f>AND(k_n&gt;=5,B2516&gt;A2516+1E-9,C2516&gt;=2,D2516&gt;=1,E2516&gt;=2)</f>
        <v/>
      </c>
      <c r="G2516">
        <f>SUMPRODUCT(Calc!$K$3:$K$22*(Calc!$G$3:$G$22&gt;A2516)*(Calc!$G$3:$G$22-A2516))</f>
        <v/>
      </c>
      <c r="H2516">
        <f>SUMPRODUCT(Calc!$K$3:$K$22*(Calc!$G$3:$G$22&gt;B2516)*(Calc!$G$3:$G$22-B2516))</f>
        <v/>
      </c>
      <c r="I2516">
        <f>SUMPRODUCT(Calc!$K$3:$K$22*(Calc!$G$3:$G$22&gt;A2516)*(Calc!$G$3:$G$22-A2516)^2)</f>
        <v/>
      </c>
      <c r="J2516">
        <f>SUMPRODUCT(Calc!$K$3:$K$22*(Calc!$G$3:$G$22&gt;B2516)*(Calc!$G$3:$G$22-B2516)^2)</f>
        <v/>
      </c>
      <c r="K2516">
        <f>SUMPRODUCT(Calc!$K$3:$K$22*(Calc!$G$3:$G$22&gt;A2516)*(Calc!$G$3:$G$22-A2516)*(Calc!$G$3:$G$22&gt;B2516)*(Calc!$G$3:$G$22-B2516))</f>
        <v/>
      </c>
      <c r="L2516">
        <f>SUMPRODUCT(Calc!$K$3:$K$22*(Calc!$G$3:$G$22&gt;A2516)*(Calc!$G$3:$G$22-A2516)*Calc!$G$3:$G$22)</f>
        <v/>
      </c>
      <c r="M2516">
        <f>SUMPRODUCT(Calc!$K$3:$K$22*(Calc!$G$3:$G$22&gt;B2516)*(Calc!$G$3:$G$22-B2516)*Calc!$G$3:$G$22)</f>
        <v/>
      </c>
      <c r="N2516">
        <f>SUMPRODUCT(Calc!$K$3:$K$22*(Calc!$G$3:$G$22&gt;A2516)*(Calc!$G$3:$G$22-A2516)*Calc!$I$3:$I$22)</f>
        <v/>
      </c>
      <c r="O2516">
        <f>SUMPRODUCT(Calc!$K$3:$K$22*(Calc!$G$3:$G$22&gt;B2516)*(Calc!$G$3:$G$22-B2516)*Calc!$I$3:$I$22)</f>
        <v/>
      </c>
      <c r="P2516">
        <f>I2516-G2516^2/k_n</f>
        <v/>
      </c>
      <c r="Q2516">
        <f>J2516-H2516^2/k_n</f>
        <v/>
      </c>
      <c r="R2516">
        <f>K2516-G2516*H2516/k_n</f>
        <v/>
      </c>
      <c r="S2516">
        <f>L2516-LTP3!$D$3*G2516/k_n</f>
        <v/>
      </c>
      <c r="T2516">
        <f>M2516-LTP3!$D$3*H2516/k_n</f>
        <v/>
      </c>
      <c r="U2516">
        <f>N2516-G2516*LTP3!$D$4/k_n</f>
        <v/>
      </c>
      <c r="V2516">
        <f>O2516-H2516*LTP3!$D$4/k_n</f>
        <v/>
      </c>
      <c r="W2516">
        <f>((LTP3!$D$5)*((P2516)*(Q2516)-(R2516)*(R2516))-(S2516)*((S2516)*(Q2516)-(R2516)*(T2516))+(T2516)*((S2516)*(R2516)-(P2516)*(T2516)))</f>
        <v/>
      </c>
      <c r="X2516">
        <f>IF(ABS(W2516)&gt;1E-12,((LTP3!$D$6)*((P2516)*(Q2516)-(R2516)*(R2516))-(S2516)*((U2516)*(Q2516)-(R2516)*(V2516))+(T2516)*((U2516)*(R2516)-(P2516)*(V2516)))/W2516,0)</f>
        <v/>
      </c>
      <c r="Y2516">
        <f>IF(ABS(W2516)&gt;1E-12,((LTP3!$D$5)*((U2516)*(Q2516)-(R2516)*(V2516))-(LTP3!$D$6)*((S2516)*(Q2516)-(R2516)*(T2516))+(T2516)*((S2516)*(V2516)-(U2516)*(T2516)))/W2516,0)</f>
        <v/>
      </c>
      <c r="Z2516">
        <f>IF(ABS(W2516)&gt;1E-12,((LTP3!$D$5)*((P2516)*(V2516)-(U2516)*(R2516))-(S2516)*((S2516)*(V2516)-(U2516)*(T2516))+(LTP3!$D$6)*((S2516)*(R2516)-(P2516)*(T2516)))/W2516,0)</f>
        <v/>
      </c>
      <c r="AA2516">
        <f>LTP3!$D$7-X2516*LTP3!$D$6-Y2516*U2516-Z2516*V2516</f>
        <v/>
      </c>
      <c r="AB2516">
        <f>IF(AND(F2516,ABS(W2516)&gt;1E-12,Y2516&gt;0,Z2516&gt;0),AA2516,1E+300)</f>
        <v/>
      </c>
    </row>
    <row r="2517">
      <c r="A2517">
        <f>$B$3+$B$5*41</f>
        <v/>
      </c>
      <c r="B2517">
        <f>$B$3+$B$5*4</f>
        <v/>
      </c>
      <c r="C2517">
        <f>SUMPRODUCT(Calc!$K$3:$K$22*(Calc!$G$3:$G$22&lt;=A2517))</f>
        <v/>
      </c>
      <c r="D2517">
        <f>SUMPRODUCT(Calc!$K$3:$K$22*(Calc!$G$3:$G$22&gt;A2517)*(Calc!$G$3:$G$22&lt;B2517))</f>
        <v/>
      </c>
      <c r="E2517">
        <f>SUMPRODUCT(Calc!$K$3:$K$22*(Calc!$G$3:$G$22&gt;=B2517))</f>
        <v/>
      </c>
      <c r="F2517">
        <f>AND(k_n&gt;=5,B2517&gt;A2517+1E-9,C2517&gt;=2,D2517&gt;=1,E2517&gt;=2)</f>
        <v/>
      </c>
      <c r="G2517">
        <f>SUMPRODUCT(Calc!$K$3:$K$22*(Calc!$G$3:$G$22&gt;A2517)*(Calc!$G$3:$G$22-A2517))</f>
        <v/>
      </c>
      <c r="H2517">
        <f>SUMPRODUCT(Calc!$K$3:$K$22*(Calc!$G$3:$G$22&gt;B2517)*(Calc!$G$3:$G$22-B2517))</f>
        <v/>
      </c>
      <c r="I2517">
        <f>SUMPRODUCT(Calc!$K$3:$K$22*(Calc!$G$3:$G$22&gt;A2517)*(Calc!$G$3:$G$22-A2517)^2)</f>
        <v/>
      </c>
      <c r="J2517">
        <f>SUMPRODUCT(Calc!$K$3:$K$22*(Calc!$G$3:$G$22&gt;B2517)*(Calc!$G$3:$G$22-B2517)^2)</f>
        <v/>
      </c>
      <c r="K2517">
        <f>SUMPRODUCT(Calc!$K$3:$K$22*(Calc!$G$3:$G$22&gt;A2517)*(Calc!$G$3:$G$22-A2517)*(Calc!$G$3:$G$22&gt;B2517)*(Calc!$G$3:$G$22-B2517))</f>
        <v/>
      </c>
      <c r="L2517">
        <f>SUMPRODUCT(Calc!$K$3:$K$22*(Calc!$G$3:$G$22&gt;A2517)*(Calc!$G$3:$G$22-A2517)*Calc!$G$3:$G$22)</f>
        <v/>
      </c>
      <c r="M2517">
        <f>SUMPRODUCT(Calc!$K$3:$K$22*(Calc!$G$3:$G$22&gt;B2517)*(Calc!$G$3:$G$22-B2517)*Calc!$G$3:$G$22)</f>
        <v/>
      </c>
      <c r="N2517">
        <f>SUMPRODUCT(Calc!$K$3:$K$22*(Calc!$G$3:$G$22&gt;A2517)*(Calc!$G$3:$G$22-A2517)*Calc!$I$3:$I$22)</f>
        <v/>
      </c>
      <c r="O2517">
        <f>SUMPRODUCT(Calc!$K$3:$K$22*(Calc!$G$3:$G$22&gt;B2517)*(Calc!$G$3:$G$22-B2517)*Calc!$I$3:$I$22)</f>
        <v/>
      </c>
      <c r="P2517">
        <f>I2517-G2517^2/k_n</f>
        <v/>
      </c>
      <c r="Q2517">
        <f>J2517-H2517^2/k_n</f>
        <v/>
      </c>
      <c r="R2517">
        <f>K2517-G2517*H2517/k_n</f>
        <v/>
      </c>
      <c r="S2517">
        <f>L2517-LTP3!$D$3*G2517/k_n</f>
        <v/>
      </c>
      <c r="T2517">
        <f>M2517-LTP3!$D$3*H2517/k_n</f>
        <v/>
      </c>
      <c r="U2517">
        <f>N2517-G2517*LTP3!$D$4/k_n</f>
        <v/>
      </c>
      <c r="V2517">
        <f>O2517-H2517*LTP3!$D$4/k_n</f>
        <v/>
      </c>
      <c r="W2517">
        <f>((LTP3!$D$5)*((P2517)*(Q2517)-(R2517)*(R2517))-(S2517)*((S2517)*(Q2517)-(R2517)*(T2517))+(T2517)*((S2517)*(R2517)-(P2517)*(T2517)))</f>
        <v/>
      </c>
      <c r="X2517">
        <f>IF(ABS(W2517)&gt;1E-12,((LTP3!$D$6)*((P2517)*(Q2517)-(R2517)*(R2517))-(S2517)*((U2517)*(Q2517)-(R2517)*(V2517))+(T2517)*((U2517)*(R2517)-(P2517)*(V2517)))/W2517,0)</f>
        <v/>
      </c>
      <c r="Y2517">
        <f>IF(ABS(W2517)&gt;1E-12,((LTP3!$D$5)*((U2517)*(Q2517)-(R2517)*(V2517))-(LTP3!$D$6)*((S2517)*(Q2517)-(R2517)*(T2517))+(T2517)*((S2517)*(V2517)-(U2517)*(T2517)))/W2517,0)</f>
        <v/>
      </c>
      <c r="Z2517">
        <f>IF(ABS(W2517)&gt;1E-12,((LTP3!$D$5)*((P2517)*(V2517)-(U2517)*(R2517))-(S2517)*((S2517)*(V2517)-(U2517)*(T2517))+(LTP3!$D$6)*((S2517)*(R2517)-(P2517)*(T2517)))/W2517,0)</f>
        <v/>
      </c>
      <c r="AA2517">
        <f>LTP3!$D$7-X2517*LTP3!$D$6-Y2517*U2517-Z2517*V2517</f>
        <v/>
      </c>
      <c r="AB2517">
        <f>IF(AND(F2517,ABS(W2517)&gt;1E-12,Y2517&gt;0,Z2517&gt;0),AA2517,1E+300)</f>
        <v/>
      </c>
    </row>
    <row r="2518">
      <c r="A2518">
        <f>$B$3+$B$5*41</f>
        <v/>
      </c>
      <c r="B2518">
        <f>$B$3+$B$5*5</f>
        <v/>
      </c>
      <c r="C2518">
        <f>SUMPRODUCT(Calc!$K$3:$K$22*(Calc!$G$3:$G$22&lt;=A2518))</f>
        <v/>
      </c>
      <c r="D2518">
        <f>SUMPRODUCT(Calc!$K$3:$K$22*(Calc!$G$3:$G$22&gt;A2518)*(Calc!$G$3:$G$22&lt;B2518))</f>
        <v/>
      </c>
      <c r="E2518">
        <f>SUMPRODUCT(Calc!$K$3:$K$22*(Calc!$G$3:$G$22&gt;=B2518))</f>
        <v/>
      </c>
      <c r="F2518">
        <f>AND(k_n&gt;=5,B2518&gt;A2518+1E-9,C2518&gt;=2,D2518&gt;=1,E2518&gt;=2)</f>
        <v/>
      </c>
      <c r="G2518">
        <f>SUMPRODUCT(Calc!$K$3:$K$22*(Calc!$G$3:$G$22&gt;A2518)*(Calc!$G$3:$G$22-A2518))</f>
        <v/>
      </c>
      <c r="H2518">
        <f>SUMPRODUCT(Calc!$K$3:$K$22*(Calc!$G$3:$G$22&gt;B2518)*(Calc!$G$3:$G$22-B2518))</f>
        <v/>
      </c>
      <c r="I2518">
        <f>SUMPRODUCT(Calc!$K$3:$K$22*(Calc!$G$3:$G$22&gt;A2518)*(Calc!$G$3:$G$22-A2518)^2)</f>
        <v/>
      </c>
      <c r="J2518">
        <f>SUMPRODUCT(Calc!$K$3:$K$22*(Calc!$G$3:$G$22&gt;B2518)*(Calc!$G$3:$G$22-B2518)^2)</f>
        <v/>
      </c>
      <c r="K2518">
        <f>SUMPRODUCT(Calc!$K$3:$K$22*(Calc!$G$3:$G$22&gt;A2518)*(Calc!$G$3:$G$22-A2518)*(Calc!$G$3:$G$22&gt;B2518)*(Calc!$G$3:$G$22-B2518))</f>
        <v/>
      </c>
      <c r="L2518">
        <f>SUMPRODUCT(Calc!$K$3:$K$22*(Calc!$G$3:$G$22&gt;A2518)*(Calc!$G$3:$G$22-A2518)*Calc!$G$3:$G$22)</f>
        <v/>
      </c>
      <c r="M2518">
        <f>SUMPRODUCT(Calc!$K$3:$K$22*(Calc!$G$3:$G$22&gt;B2518)*(Calc!$G$3:$G$22-B2518)*Calc!$G$3:$G$22)</f>
        <v/>
      </c>
      <c r="N2518">
        <f>SUMPRODUCT(Calc!$K$3:$K$22*(Calc!$G$3:$G$22&gt;A2518)*(Calc!$G$3:$G$22-A2518)*Calc!$I$3:$I$22)</f>
        <v/>
      </c>
      <c r="O2518">
        <f>SUMPRODUCT(Calc!$K$3:$K$22*(Calc!$G$3:$G$22&gt;B2518)*(Calc!$G$3:$G$22-B2518)*Calc!$I$3:$I$22)</f>
        <v/>
      </c>
      <c r="P2518">
        <f>I2518-G2518^2/k_n</f>
        <v/>
      </c>
      <c r="Q2518">
        <f>J2518-H2518^2/k_n</f>
        <v/>
      </c>
      <c r="R2518">
        <f>K2518-G2518*H2518/k_n</f>
        <v/>
      </c>
      <c r="S2518">
        <f>L2518-LTP3!$D$3*G2518/k_n</f>
        <v/>
      </c>
      <c r="T2518">
        <f>M2518-LTP3!$D$3*H2518/k_n</f>
        <v/>
      </c>
      <c r="U2518">
        <f>N2518-G2518*LTP3!$D$4/k_n</f>
        <v/>
      </c>
      <c r="V2518">
        <f>O2518-H2518*LTP3!$D$4/k_n</f>
        <v/>
      </c>
      <c r="W2518">
        <f>((LTP3!$D$5)*((P2518)*(Q2518)-(R2518)*(R2518))-(S2518)*((S2518)*(Q2518)-(R2518)*(T2518))+(T2518)*((S2518)*(R2518)-(P2518)*(T2518)))</f>
        <v/>
      </c>
      <c r="X2518">
        <f>IF(ABS(W2518)&gt;1E-12,((LTP3!$D$6)*((P2518)*(Q2518)-(R2518)*(R2518))-(S2518)*((U2518)*(Q2518)-(R2518)*(V2518))+(T2518)*((U2518)*(R2518)-(P2518)*(V2518)))/W2518,0)</f>
        <v/>
      </c>
      <c r="Y2518">
        <f>IF(ABS(W2518)&gt;1E-12,((LTP3!$D$5)*((U2518)*(Q2518)-(R2518)*(V2518))-(LTP3!$D$6)*((S2518)*(Q2518)-(R2518)*(T2518))+(T2518)*((S2518)*(V2518)-(U2518)*(T2518)))/W2518,0)</f>
        <v/>
      </c>
      <c r="Z2518">
        <f>IF(ABS(W2518)&gt;1E-12,((LTP3!$D$5)*((P2518)*(V2518)-(U2518)*(R2518))-(S2518)*((S2518)*(V2518)-(U2518)*(T2518))+(LTP3!$D$6)*((S2518)*(R2518)-(P2518)*(T2518)))/W2518,0)</f>
        <v/>
      </c>
      <c r="AA2518">
        <f>LTP3!$D$7-X2518*LTP3!$D$6-Y2518*U2518-Z2518*V2518</f>
        <v/>
      </c>
      <c r="AB2518">
        <f>IF(AND(F2518,ABS(W2518)&gt;1E-12,Y2518&gt;0,Z2518&gt;0),AA2518,1E+300)</f>
        <v/>
      </c>
    </row>
    <row r="2519">
      <c r="A2519">
        <f>$B$3+$B$5*41</f>
        <v/>
      </c>
      <c r="B2519">
        <f>$B$3+$B$5*6</f>
        <v/>
      </c>
      <c r="C2519">
        <f>SUMPRODUCT(Calc!$K$3:$K$22*(Calc!$G$3:$G$22&lt;=A2519))</f>
        <v/>
      </c>
      <c r="D2519">
        <f>SUMPRODUCT(Calc!$K$3:$K$22*(Calc!$G$3:$G$22&gt;A2519)*(Calc!$G$3:$G$22&lt;B2519))</f>
        <v/>
      </c>
      <c r="E2519">
        <f>SUMPRODUCT(Calc!$K$3:$K$22*(Calc!$G$3:$G$22&gt;=B2519))</f>
        <v/>
      </c>
      <c r="F2519">
        <f>AND(k_n&gt;=5,B2519&gt;A2519+1E-9,C2519&gt;=2,D2519&gt;=1,E2519&gt;=2)</f>
        <v/>
      </c>
      <c r="G2519">
        <f>SUMPRODUCT(Calc!$K$3:$K$22*(Calc!$G$3:$G$22&gt;A2519)*(Calc!$G$3:$G$22-A2519))</f>
        <v/>
      </c>
      <c r="H2519">
        <f>SUMPRODUCT(Calc!$K$3:$K$22*(Calc!$G$3:$G$22&gt;B2519)*(Calc!$G$3:$G$22-B2519))</f>
        <v/>
      </c>
      <c r="I2519">
        <f>SUMPRODUCT(Calc!$K$3:$K$22*(Calc!$G$3:$G$22&gt;A2519)*(Calc!$G$3:$G$22-A2519)^2)</f>
        <v/>
      </c>
      <c r="J2519">
        <f>SUMPRODUCT(Calc!$K$3:$K$22*(Calc!$G$3:$G$22&gt;B2519)*(Calc!$G$3:$G$22-B2519)^2)</f>
        <v/>
      </c>
      <c r="K2519">
        <f>SUMPRODUCT(Calc!$K$3:$K$22*(Calc!$G$3:$G$22&gt;A2519)*(Calc!$G$3:$G$22-A2519)*(Calc!$G$3:$G$22&gt;B2519)*(Calc!$G$3:$G$22-B2519))</f>
        <v/>
      </c>
      <c r="L2519">
        <f>SUMPRODUCT(Calc!$K$3:$K$22*(Calc!$G$3:$G$22&gt;A2519)*(Calc!$G$3:$G$22-A2519)*Calc!$G$3:$G$22)</f>
        <v/>
      </c>
      <c r="M2519">
        <f>SUMPRODUCT(Calc!$K$3:$K$22*(Calc!$G$3:$G$22&gt;B2519)*(Calc!$G$3:$G$22-B2519)*Calc!$G$3:$G$22)</f>
        <v/>
      </c>
      <c r="N2519">
        <f>SUMPRODUCT(Calc!$K$3:$K$22*(Calc!$G$3:$G$22&gt;A2519)*(Calc!$G$3:$G$22-A2519)*Calc!$I$3:$I$22)</f>
        <v/>
      </c>
      <c r="O2519">
        <f>SUMPRODUCT(Calc!$K$3:$K$22*(Calc!$G$3:$G$22&gt;B2519)*(Calc!$G$3:$G$22-B2519)*Calc!$I$3:$I$22)</f>
        <v/>
      </c>
      <c r="P2519">
        <f>I2519-G2519^2/k_n</f>
        <v/>
      </c>
      <c r="Q2519">
        <f>J2519-H2519^2/k_n</f>
        <v/>
      </c>
      <c r="R2519">
        <f>K2519-G2519*H2519/k_n</f>
        <v/>
      </c>
      <c r="S2519">
        <f>L2519-LTP3!$D$3*G2519/k_n</f>
        <v/>
      </c>
      <c r="T2519">
        <f>M2519-LTP3!$D$3*H2519/k_n</f>
        <v/>
      </c>
      <c r="U2519">
        <f>N2519-G2519*LTP3!$D$4/k_n</f>
        <v/>
      </c>
      <c r="V2519">
        <f>O2519-H2519*LTP3!$D$4/k_n</f>
        <v/>
      </c>
      <c r="W2519">
        <f>((LTP3!$D$5)*((P2519)*(Q2519)-(R2519)*(R2519))-(S2519)*((S2519)*(Q2519)-(R2519)*(T2519))+(T2519)*((S2519)*(R2519)-(P2519)*(T2519)))</f>
        <v/>
      </c>
      <c r="X2519">
        <f>IF(ABS(W2519)&gt;1E-12,((LTP3!$D$6)*((P2519)*(Q2519)-(R2519)*(R2519))-(S2519)*((U2519)*(Q2519)-(R2519)*(V2519))+(T2519)*((U2519)*(R2519)-(P2519)*(V2519)))/W2519,0)</f>
        <v/>
      </c>
      <c r="Y2519">
        <f>IF(ABS(W2519)&gt;1E-12,((LTP3!$D$5)*((U2519)*(Q2519)-(R2519)*(V2519))-(LTP3!$D$6)*((S2519)*(Q2519)-(R2519)*(T2519))+(T2519)*((S2519)*(V2519)-(U2519)*(T2519)))/W2519,0)</f>
        <v/>
      </c>
      <c r="Z2519">
        <f>IF(ABS(W2519)&gt;1E-12,((LTP3!$D$5)*((P2519)*(V2519)-(U2519)*(R2519))-(S2519)*((S2519)*(V2519)-(U2519)*(T2519))+(LTP3!$D$6)*((S2519)*(R2519)-(P2519)*(T2519)))/W2519,0)</f>
        <v/>
      </c>
      <c r="AA2519">
        <f>LTP3!$D$7-X2519*LTP3!$D$6-Y2519*U2519-Z2519*V2519</f>
        <v/>
      </c>
      <c r="AB2519">
        <f>IF(AND(F2519,ABS(W2519)&gt;1E-12,Y2519&gt;0,Z2519&gt;0),AA2519,1E+300)</f>
        <v/>
      </c>
    </row>
    <row r="2520">
      <c r="A2520">
        <f>$B$3+$B$5*41</f>
        <v/>
      </c>
      <c r="B2520">
        <f>$B$3+$B$5*7</f>
        <v/>
      </c>
      <c r="C2520">
        <f>SUMPRODUCT(Calc!$K$3:$K$22*(Calc!$G$3:$G$22&lt;=A2520))</f>
        <v/>
      </c>
      <c r="D2520">
        <f>SUMPRODUCT(Calc!$K$3:$K$22*(Calc!$G$3:$G$22&gt;A2520)*(Calc!$G$3:$G$22&lt;B2520))</f>
        <v/>
      </c>
      <c r="E2520">
        <f>SUMPRODUCT(Calc!$K$3:$K$22*(Calc!$G$3:$G$22&gt;=B2520))</f>
        <v/>
      </c>
      <c r="F2520">
        <f>AND(k_n&gt;=5,B2520&gt;A2520+1E-9,C2520&gt;=2,D2520&gt;=1,E2520&gt;=2)</f>
        <v/>
      </c>
      <c r="G2520">
        <f>SUMPRODUCT(Calc!$K$3:$K$22*(Calc!$G$3:$G$22&gt;A2520)*(Calc!$G$3:$G$22-A2520))</f>
        <v/>
      </c>
      <c r="H2520">
        <f>SUMPRODUCT(Calc!$K$3:$K$22*(Calc!$G$3:$G$22&gt;B2520)*(Calc!$G$3:$G$22-B2520))</f>
        <v/>
      </c>
      <c r="I2520">
        <f>SUMPRODUCT(Calc!$K$3:$K$22*(Calc!$G$3:$G$22&gt;A2520)*(Calc!$G$3:$G$22-A2520)^2)</f>
        <v/>
      </c>
      <c r="J2520">
        <f>SUMPRODUCT(Calc!$K$3:$K$22*(Calc!$G$3:$G$22&gt;B2520)*(Calc!$G$3:$G$22-B2520)^2)</f>
        <v/>
      </c>
      <c r="K2520">
        <f>SUMPRODUCT(Calc!$K$3:$K$22*(Calc!$G$3:$G$22&gt;A2520)*(Calc!$G$3:$G$22-A2520)*(Calc!$G$3:$G$22&gt;B2520)*(Calc!$G$3:$G$22-B2520))</f>
        <v/>
      </c>
      <c r="L2520">
        <f>SUMPRODUCT(Calc!$K$3:$K$22*(Calc!$G$3:$G$22&gt;A2520)*(Calc!$G$3:$G$22-A2520)*Calc!$G$3:$G$22)</f>
        <v/>
      </c>
      <c r="M2520">
        <f>SUMPRODUCT(Calc!$K$3:$K$22*(Calc!$G$3:$G$22&gt;B2520)*(Calc!$G$3:$G$22-B2520)*Calc!$G$3:$G$22)</f>
        <v/>
      </c>
      <c r="N2520">
        <f>SUMPRODUCT(Calc!$K$3:$K$22*(Calc!$G$3:$G$22&gt;A2520)*(Calc!$G$3:$G$22-A2520)*Calc!$I$3:$I$22)</f>
        <v/>
      </c>
      <c r="O2520">
        <f>SUMPRODUCT(Calc!$K$3:$K$22*(Calc!$G$3:$G$22&gt;B2520)*(Calc!$G$3:$G$22-B2520)*Calc!$I$3:$I$22)</f>
        <v/>
      </c>
      <c r="P2520">
        <f>I2520-G2520^2/k_n</f>
        <v/>
      </c>
      <c r="Q2520">
        <f>J2520-H2520^2/k_n</f>
        <v/>
      </c>
      <c r="R2520">
        <f>K2520-G2520*H2520/k_n</f>
        <v/>
      </c>
      <c r="S2520">
        <f>L2520-LTP3!$D$3*G2520/k_n</f>
        <v/>
      </c>
      <c r="T2520">
        <f>M2520-LTP3!$D$3*H2520/k_n</f>
        <v/>
      </c>
      <c r="U2520">
        <f>N2520-G2520*LTP3!$D$4/k_n</f>
        <v/>
      </c>
      <c r="V2520">
        <f>O2520-H2520*LTP3!$D$4/k_n</f>
        <v/>
      </c>
      <c r="W2520">
        <f>((LTP3!$D$5)*((P2520)*(Q2520)-(R2520)*(R2520))-(S2520)*((S2520)*(Q2520)-(R2520)*(T2520))+(T2520)*((S2520)*(R2520)-(P2520)*(T2520)))</f>
        <v/>
      </c>
      <c r="X2520">
        <f>IF(ABS(W2520)&gt;1E-12,((LTP3!$D$6)*((P2520)*(Q2520)-(R2520)*(R2520))-(S2520)*((U2520)*(Q2520)-(R2520)*(V2520))+(T2520)*((U2520)*(R2520)-(P2520)*(V2520)))/W2520,0)</f>
        <v/>
      </c>
      <c r="Y2520">
        <f>IF(ABS(W2520)&gt;1E-12,((LTP3!$D$5)*((U2520)*(Q2520)-(R2520)*(V2520))-(LTP3!$D$6)*((S2520)*(Q2520)-(R2520)*(T2520))+(T2520)*((S2520)*(V2520)-(U2520)*(T2520)))/W2520,0)</f>
        <v/>
      </c>
      <c r="Z2520">
        <f>IF(ABS(W2520)&gt;1E-12,((LTP3!$D$5)*((P2520)*(V2520)-(U2520)*(R2520))-(S2520)*((S2520)*(V2520)-(U2520)*(T2520))+(LTP3!$D$6)*((S2520)*(R2520)-(P2520)*(T2520)))/W2520,0)</f>
        <v/>
      </c>
      <c r="AA2520">
        <f>LTP3!$D$7-X2520*LTP3!$D$6-Y2520*U2520-Z2520*V2520</f>
        <v/>
      </c>
      <c r="AB2520">
        <f>IF(AND(F2520,ABS(W2520)&gt;1E-12,Y2520&gt;0,Z2520&gt;0),AA2520,1E+300)</f>
        <v/>
      </c>
    </row>
    <row r="2521">
      <c r="A2521">
        <f>$B$3+$B$5*41</f>
        <v/>
      </c>
      <c r="B2521">
        <f>$B$3+$B$5*8</f>
        <v/>
      </c>
      <c r="C2521">
        <f>SUMPRODUCT(Calc!$K$3:$K$22*(Calc!$G$3:$G$22&lt;=A2521))</f>
        <v/>
      </c>
      <c r="D2521">
        <f>SUMPRODUCT(Calc!$K$3:$K$22*(Calc!$G$3:$G$22&gt;A2521)*(Calc!$G$3:$G$22&lt;B2521))</f>
        <v/>
      </c>
      <c r="E2521">
        <f>SUMPRODUCT(Calc!$K$3:$K$22*(Calc!$G$3:$G$22&gt;=B2521))</f>
        <v/>
      </c>
      <c r="F2521">
        <f>AND(k_n&gt;=5,B2521&gt;A2521+1E-9,C2521&gt;=2,D2521&gt;=1,E2521&gt;=2)</f>
        <v/>
      </c>
      <c r="G2521">
        <f>SUMPRODUCT(Calc!$K$3:$K$22*(Calc!$G$3:$G$22&gt;A2521)*(Calc!$G$3:$G$22-A2521))</f>
        <v/>
      </c>
      <c r="H2521">
        <f>SUMPRODUCT(Calc!$K$3:$K$22*(Calc!$G$3:$G$22&gt;B2521)*(Calc!$G$3:$G$22-B2521))</f>
        <v/>
      </c>
      <c r="I2521">
        <f>SUMPRODUCT(Calc!$K$3:$K$22*(Calc!$G$3:$G$22&gt;A2521)*(Calc!$G$3:$G$22-A2521)^2)</f>
        <v/>
      </c>
      <c r="J2521">
        <f>SUMPRODUCT(Calc!$K$3:$K$22*(Calc!$G$3:$G$22&gt;B2521)*(Calc!$G$3:$G$22-B2521)^2)</f>
        <v/>
      </c>
      <c r="K2521">
        <f>SUMPRODUCT(Calc!$K$3:$K$22*(Calc!$G$3:$G$22&gt;A2521)*(Calc!$G$3:$G$22-A2521)*(Calc!$G$3:$G$22&gt;B2521)*(Calc!$G$3:$G$22-B2521))</f>
        <v/>
      </c>
      <c r="L2521">
        <f>SUMPRODUCT(Calc!$K$3:$K$22*(Calc!$G$3:$G$22&gt;A2521)*(Calc!$G$3:$G$22-A2521)*Calc!$G$3:$G$22)</f>
        <v/>
      </c>
      <c r="M2521">
        <f>SUMPRODUCT(Calc!$K$3:$K$22*(Calc!$G$3:$G$22&gt;B2521)*(Calc!$G$3:$G$22-B2521)*Calc!$G$3:$G$22)</f>
        <v/>
      </c>
      <c r="N2521">
        <f>SUMPRODUCT(Calc!$K$3:$K$22*(Calc!$G$3:$G$22&gt;A2521)*(Calc!$G$3:$G$22-A2521)*Calc!$I$3:$I$22)</f>
        <v/>
      </c>
      <c r="O2521">
        <f>SUMPRODUCT(Calc!$K$3:$K$22*(Calc!$G$3:$G$22&gt;B2521)*(Calc!$G$3:$G$22-B2521)*Calc!$I$3:$I$22)</f>
        <v/>
      </c>
      <c r="P2521">
        <f>I2521-G2521^2/k_n</f>
        <v/>
      </c>
      <c r="Q2521">
        <f>J2521-H2521^2/k_n</f>
        <v/>
      </c>
      <c r="R2521">
        <f>K2521-G2521*H2521/k_n</f>
        <v/>
      </c>
      <c r="S2521">
        <f>L2521-LTP3!$D$3*G2521/k_n</f>
        <v/>
      </c>
      <c r="T2521">
        <f>M2521-LTP3!$D$3*H2521/k_n</f>
        <v/>
      </c>
      <c r="U2521">
        <f>N2521-G2521*LTP3!$D$4/k_n</f>
        <v/>
      </c>
      <c r="V2521">
        <f>O2521-H2521*LTP3!$D$4/k_n</f>
        <v/>
      </c>
      <c r="W2521">
        <f>((LTP3!$D$5)*((P2521)*(Q2521)-(R2521)*(R2521))-(S2521)*((S2521)*(Q2521)-(R2521)*(T2521))+(T2521)*((S2521)*(R2521)-(P2521)*(T2521)))</f>
        <v/>
      </c>
      <c r="X2521">
        <f>IF(ABS(W2521)&gt;1E-12,((LTP3!$D$6)*((P2521)*(Q2521)-(R2521)*(R2521))-(S2521)*((U2521)*(Q2521)-(R2521)*(V2521))+(T2521)*((U2521)*(R2521)-(P2521)*(V2521)))/W2521,0)</f>
        <v/>
      </c>
      <c r="Y2521">
        <f>IF(ABS(W2521)&gt;1E-12,((LTP3!$D$5)*((U2521)*(Q2521)-(R2521)*(V2521))-(LTP3!$D$6)*((S2521)*(Q2521)-(R2521)*(T2521))+(T2521)*((S2521)*(V2521)-(U2521)*(T2521)))/W2521,0)</f>
        <v/>
      </c>
      <c r="Z2521">
        <f>IF(ABS(W2521)&gt;1E-12,((LTP3!$D$5)*((P2521)*(V2521)-(U2521)*(R2521))-(S2521)*((S2521)*(V2521)-(U2521)*(T2521))+(LTP3!$D$6)*((S2521)*(R2521)-(P2521)*(T2521)))/W2521,0)</f>
        <v/>
      </c>
      <c r="AA2521">
        <f>LTP3!$D$7-X2521*LTP3!$D$6-Y2521*U2521-Z2521*V2521</f>
        <v/>
      </c>
      <c r="AB2521">
        <f>IF(AND(F2521,ABS(W2521)&gt;1E-12,Y2521&gt;0,Z2521&gt;0),AA2521,1E+300)</f>
        <v/>
      </c>
    </row>
    <row r="2522">
      <c r="A2522">
        <f>$B$3+$B$5*41</f>
        <v/>
      </c>
      <c r="B2522">
        <f>$B$3+$B$5*9</f>
        <v/>
      </c>
      <c r="C2522">
        <f>SUMPRODUCT(Calc!$K$3:$K$22*(Calc!$G$3:$G$22&lt;=A2522))</f>
        <v/>
      </c>
      <c r="D2522">
        <f>SUMPRODUCT(Calc!$K$3:$K$22*(Calc!$G$3:$G$22&gt;A2522)*(Calc!$G$3:$G$22&lt;B2522))</f>
        <v/>
      </c>
      <c r="E2522">
        <f>SUMPRODUCT(Calc!$K$3:$K$22*(Calc!$G$3:$G$22&gt;=B2522))</f>
        <v/>
      </c>
      <c r="F2522">
        <f>AND(k_n&gt;=5,B2522&gt;A2522+1E-9,C2522&gt;=2,D2522&gt;=1,E2522&gt;=2)</f>
        <v/>
      </c>
      <c r="G2522">
        <f>SUMPRODUCT(Calc!$K$3:$K$22*(Calc!$G$3:$G$22&gt;A2522)*(Calc!$G$3:$G$22-A2522))</f>
        <v/>
      </c>
      <c r="H2522">
        <f>SUMPRODUCT(Calc!$K$3:$K$22*(Calc!$G$3:$G$22&gt;B2522)*(Calc!$G$3:$G$22-B2522))</f>
        <v/>
      </c>
      <c r="I2522">
        <f>SUMPRODUCT(Calc!$K$3:$K$22*(Calc!$G$3:$G$22&gt;A2522)*(Calc!$G$3:$G$22-A2522)^2)</f>
        <v/>
      </c>
      <c r="J2522">
        <f>SUMPRODUCT(Calc!$K$3:$K$22*(Calc!$G$3:$G$22&gt;B2522)*(Calc!$G$3:$G$22-B2522)^2)</f>
        <v/>
      </c>
      <c r="K2522">
        <f>SUMPRODUCT(Calc!$K$3:$K$22*(Calc!$G$3:$G$22&gt;A2522)*(Calc!$G$3:$G$22-A2522)*(Calc!$G$3:$G$22&gt;B2522)*(Calc!$G$3:$G$22-B2522))</f>
        <v/>
      </c>
      <c r="L2522">
        <f>SUMPRODUCT(Calc!$K$3:$K$22*(Calc!$G$3:$G$22&gt;A2522)*(Calc!$G$3:$G$22-A2522)*Calc!$G$3:$G$22)</f>
        <v/>
      </c>
      <c r="M2522">
        <f>SUMPRODUCT(Calc!$K$3:$K$22*(Calc!$G$3:$G$22&gt;B2522)*(Calc!$G$3:$G$22-B2522)*Calc!$G$3:$G$22)</f>
        <v/>
      </c>
      <c r="N2522">
        <f>SUMPRODUCT(Calc!$K$3:$K$22*(Calc!$G$3:$G$22&gt;A2522)*(Calc!$G$3:$G$22-A2522)*Calc!$I$3:$I$22)</f>
        <v/>
      </c>
      <c r="O2522">
        <f>SUMPRODUCT(Calc!$K$3:$K$22*(Calc!$G$3:$G$22&gt;B2522)*(Calc!$G$3:$G$22-B2522)*Calc!$I$3:$I$22)</f>
        <v/>
      </c>
      <c r="P2522">
        <f>I2522-G2522^2/k_n</f>
        <v/>
      </c>
      <c r="Q2522">
        <f>J2522-H2522^2/k_n</f>
        <v/>
      </c>
      <c r="R2522">
        <f>K2522-G2522*H2522/k_n</f>
        <v/>
      </c>
      <c r="S2522">
        <f>L2522-LTP3!$D$3*G2522/k_n</f>
        <v/>
      </c>
      <c r="T2522">
        <f>M2522-LTP3!$D$3*H2522/k_n</f>
        <v/>
      </c>
      <c r="U2522">
        <f>N2522-G2522*LTP3!$D$4/k_n</f>
        <v/>
      </c>
      <c r="V2522">
        <f>O2522-H2522*LTP3!$D$4/k_n</f>
        <v/>
      </c>
      <c r="W2522">
        <f>((LTP3!$D$5)*((P2522)*(Q2522)-(R2522)*(R2522))-(S2522)*((S2522)*(Q2522)-(R2522)*(T2522))+(T2522)*((S2522)*(R2522)-(P2522)*(T2522)))</f>
        <v/>
      </c>
      <c r="X2522">
        <f>IF(ABS(W2522)&gt;1E-12,((LTP3!$D$6)*((P2522)*(Q2522)-(R2522)*(R2522))-(S2522)*((U2522)*(Q2522)-(R2522)*(V2522))+(T2522)*((U2522)*(R2522)-(P2522)*(V2522)))/W2522,0)</f>
        <v/>
      </c>
      <c r="Y2522">
        <f>IF(ABS(W2522)&gt;1E-12,((LTP3!$D$5)*((U2522)*(Q2522)-(R2522)*(V2522))-(LTP3!$D$6)*((S2522)*(Q2522)-(R2522)*(T2522))+(T2522)*((S2522)*(V2522)-(U2522)*(T2522)))/W2522,0)</f>
        <v/>
      </c>
      <c r="Z2522">
        <f>IF(ABS(W2522)&gt;1E-12,((LTP3!$D$5)*((P2522)*(V2522)-(U2522)*(R2522))-(S2522)*((S2522)*(V2522)-(U2522)*(T2522))+(LTP3!$D$6)*((S2522)*(R2522)-(P2522)*(T2522)))/W2522,0)</f>
        <v/>
      </c>
      <c r="AA2522">
        <f>LTP3!$D$7-X2522*LTP3!$D$6-Y2522*U2522-Z2522*V2522</f>
        <v/>
      </c>
      <c r="AB2522">
        <f>IF(AND(F2522,ABS(W2522)&gt;1E-12,Y2522&gt;0,Z2522&gt;0),AA2522,1E+300)</f>
        <v/>
      </c>
    </row>
    <row r="2523">
      <c r="A2523">
        <f>$B$3+$B$5*41</f>
        <v/>
      </c>
      <c r="B2523">
        <f>$B$3+$B$5*10</f>
        <v/>
      </c>
      <c r="C2523">
        <f>SUMPRODUCT(Calc!$K$3:$K$22*(Calc!$G$3:$G$22&lt;=A2523))</f>
        <v/>
      </c>
      <c r="D2523">
        <f>SUMPRODUCT(Calc!$K$3:$K$22*(Calc!$G$3:$G$22&gt;A2523)*(Calc!$G$3:$G$22&lt;B2523))</f>
        <v/>
      </c>
      <c r="E2523">
        <f>SUMPRODUCT(Calc!$K$3:$K$22*(Calc!$G$3:$G$22&gt;=B2523))</f>
        <v/>
      </c>
      <c r="F2523">
        <f>AND(k_n&gt;=5,B2523&gt;A2523+1E-9,C2523&gt;=2,D2523&gt;=1,E2523&gt;=2)</f>
        <v/>
      </c>
      <c r="G2523">
        <f>SUMPRODUCT(Calc!$K$3:$K$22*(Calc!$G$3:$G$22&gt;A2523)*(Calc!$G$3:$G$22-A2523))</f>
        <v/>
      </c>
      <c r="H2523">
        <f>SUMPRODUCT(Calc!$K$3:$K$22*(Calc!$G$3:$G$22&gt;B2523)*(Calc!$G$3:$G$22-B2523))</f>
        <v/>
      </c>
      <c r="I2523">
        <f>SUMPRODUCT(Calc!$K$3:$K$22*(Calc!$G$3:$G$22&gt;A2523)*(Calc!$G$3:$G$22-A2523)^2)</f>
        <v/>
      </c>
      <c r="J2523">
        <f>SUMPRODUCT(Calc!$K$3:$K$22*(Calc!$G$3:$G$22&gt;B2523)*(Calc!$G$3:$G$22-B2523)^2)</f>
        <v/>
      </c>
      <c r="K2523">
        <f>SUMPRODUCT(Calc!$K$3:$K$22*(Calc!$G$3:$G$22&gt;A2523)*(Calc!$G$3:$G$22-A2523)*(Calc!$G$3:$G$22&gt;B2523)*(Calc!$G$3:$G$22-B2523))</f>
        <v/>
      </c>
      <c r="L2523">
        <f>SUMPRODUCT(Calc!$K$3:$K$22*(Calc!$G$3:$G$22&gt;A2523)*(Calc!$G$3:$G$22-A2523)*Calc!$G$3:$G$22)</f>
        <v/>
      </c>
      <c r="M2523">
        <f>SUMPRODUCT(Calc!$K$3:$K$22*(Calc!$G$3:$G$22&gt;B2523)*(Calc!$G$3:$G$22-B2523)*Calc!$G$3:$G$22)</f>
        <v/>
      </c>
      <c r="N2523">
        <f>SUMPRODUCT(Calc!$K$3:$K$22*(Calc!$G$3:$G$22&gt;A2523)*(Calc!$G$3:$G$22-A2523)*Calc!$I$3:$I$22)</f>
        <v/>
      </c>
      <c r="O2523">
        <f>SUMPRODUCT(Calc!$K$3:$K$22*(Calc!$G$3:$G$22&gt;B2523)*(Calc!$G$3:$G$22-B2523)*Calc!$I$3:$I$22)</f>
        <v/>
      </c>
      <c r="P2523">
        <f>I2523-G2523^2/k_n</f>
        <v/>
      </c>
      <c r="Q2523">
        <f>J2523-H2523^2/k_n</f>
        <v/>
      </c>
      <c r="R2523">
        <f>K2523-G2523*H2523/k_n</f>
        <v/>
      </c>
      <c r="S2523">
        <f>L2523-LTP3!$D$3*G2523/k_n</f>
        <v/>
      </c>
      <c r="T2523">
        <f>M2523-LTP3!$D$3*H2523/k_n</f>
        <v/>
      </c>
      <c r="U2523">
        <f>N2523-G2523*LTP3!$D$4/k_n</f>
        <v/>
      </c>
      <c r="V2523">
        <f>O2523-H2523*LTP3!$D$4/k_n</f>
        <v/>
      </c>
      <c r="W2523">
        <f>((LTP3!$D$5)*((P2523)*(Q2523)-(R2523)*(R2523))-(S2523)*((S2523)*(Q2523)-(R2523)*(T2523))+(T2523)*((S2523)*(R2523)-(P2523)*(T2523)))</f>
        <v/>
      </c>
      <c r="X2523">
        <f>IF(ABS(W2523)&gt;1E-12,((LTP3!$D$6)*((P2523)*(Q2523)-(R2523)*(R2523))-(S2523)*((U2523)*(Q2523)-(R2523)*(V2523))+(T2523)*((U2523)*(R2523)-(P2523)*(V2523)))/W2523,0)</f>
        <v/>
      </c>
      <c r="Y2523">
        <f>IF(ABS(W2523)&gt;1E-12,((LTP3!$D$5)*((U2523)*(Q2523)-(R2523)*(V2523))-(LTP3!$D$6)*((S2523)*(Q2523)-(R2523)*(T2523))+(T2523)*((S2523)*(V2523)-(U2523)*(T2523)))/W2523,0)</f>
        <v/>
      </c>
      <c r="Z2523">
        <f>IF(ABS(W2523)&gt;1E-12,((LTP3!$D$5)*((P2523)*(V2523)-(U2523)*(R2523))-(S2523)*((S2523)*(V2523)-(U2523)*(T2523))+(LTP3!$D$6)*((S2523)*(R2523)-(P2523)*(T2523)))/W2523,0)</f>
        <v/>
      </c>
      <c r="AA2523">
        <f>LTP3!$D$7-X2523*LTP3!$D$6-Y2523*U2523-Z2523*V2523</f>
        <v/>
      </c>
      <c r="AB2523">
        <f>IF(AND(F2523,ABS(W2523)&gt;1E-12,Y2523&gt;0,Z2523&gt;0),AA2523,1E+300)</f>
        <v/>
      </c>
    </row>
    <row r="2524">
      <c r="A2524">
        <f>$B$3+$B$5*41</f>
        <v/>
      </c>
      <c r="B2524">
        <f>$B$3+$B$5*11</f>
        <v/>
      </c>
      <c r="C2524">
        <f>SUMPRODUCT(Calc!$K$3:$K$22*(Calc!$G$3:$G$22&lt;=A2524))</f>
        <v/>
      </c>
      <c r="D2524">
        <f>SUMPRODUCT(Calc!$K$3:$K$22*(Calc!$G$3:$G$22&gt;A2524)*(Calc!$G$3:$G$22&lt;B2524))</f>
        <v/>
      </c>
      <c r="E2524">
        <f>SUMPRODUCT(Calc!$K$3:$K$22*(Calc!$G$3:$G$22&gt;=B2524))</f>
        <v/>
      </c>
      <c r="F2524">
        <f>AND(k_n&gt;=5,B2524&gt;A2524+1E-9,C2524&gt;=2,D2524&gt;=1,E2524&gt;=2)</f>
        <v/>
      </c>
      <c r="G2524">
        <f>SUMPRODUCT(Calc!$K$3:$K$22*(Calc!$G$3:$G$22&gt;A2524)*(Calc!$G$3:$G$22-A2524))</f>
        <v/>
      </c>
      <c r="H2524">
        <f>SUMPRODUCT(Calc!$K$3:$K$22*(Calc!$G$3:$G$22&gt;B2524)*(Calc!$G$3:$G$22-B2524))</f>
        <v/>
      </c>
      <c r="I2524">
        <f>SUMPRODUCT(Calc!$K$3:$K$22*(Calc!$G$3:$G$22&gt;A2524)*(Calc!$G$3:$G$22-A2524)^2)</f>
        <v/>
      </c>
      <c r="J2524">
        <f>SUMPRODUCT(Calc!$K$3:$K$22*(Calc!$G$3:$G$22&gt;B2524)*(Calc!$G$3:$G$22-B2524)^2)</f>
        <v/>
      </c>
      <c r="K2524">
        <f>SUMPRODUCT(Calc!$K$3:$K$22*(Calc!$G$3:$G$22&gt;A2524)*(Calc!$G$3:$G$22-A2524)*(Calc!$G$3:$G$22&gt;B2524)*(Calc!$G$3:$G$22-B2524))</f>
        <v/>
      </c>
      <c r="L2524">
        <f>SUMPRODUCT(Calc!$K$3:$K$22*(Calc!$G$3:$G$22&gt;A2524)*(Calc!$G$3:$G$22-A2524)*Calc!$G$3:$G$22)</f>
        <v/>
      </c>
      <c r="M2524">
        <f>SUMPRODUCT(Calc!$K$3:$K$22*(Calc!$G$3:$G$22&gt;B2524)*(Calc!$G$3:$G$22-B2524)*Calc!$G$3:$G$22)</f>
        <v/>
      </c>
      <c r="N2524">
        <f>SUMPRODUCT(Calc!$K$3:$K$22*(Calc!$G$3:$G$22&gt;A2524)*(Calc!$G$3:$G$22-A2524)*Calc!$I$3:$I$22)</f>
        <v/>
      </c>
      <c r="O2524">
        <f>SUMPRODUCT(Calc!$K$3:$K$22*(Calc!$G$3:$G$22&gt;B2524)*(Calc!$G$3:$G$22-B2524)*Calc!$I$3:$I$22)</f>
        <v/>
      </c>
      <c r="P2524">
        <f>I2524-G2524^2/k_n</f>
        <v/>
      </c>
      <c r="Q2524">
        <f>J2524-H2524^2/k_n</f>
        <v/>
      </c>
      <c r="R2524">
        <f>K2524-G2524*H2524/k_n</f>
        <v/>
      </c>
      <c r="S2524">
        <f>L2524-LTP3!$D$3*G2524/k_n</f>
        <v/>
      </c>
      <c r="T2524">
        <f>M2524-LTP3!$D$3*H2524/k_n</f>
        <v/>
      </c>
      <c r="U2524">
        <f>N2524-G2524*LTP3!$D$4/k_n</f>
        <v/>
      </c>
      <c r="V2524">
        <f>O2524-H2524*LTP3!$D$4/k_n</f>
        <v/>
      </c>
      <c r="W2524">
        <f>((LTP3!$D$5)*((P2524)*(Q2524)-(R2524)*(R2524))-(S2524)*((S2524)*(Q2524)-(R2524)*(T2524))+(T2524)*((S2524)*(R2524)-(P2524)*(T2524)))</f>
        <v/>
      </c>
      <c r="X2524">
        <f>IF(ABS(W2524)&gt;1E-12,((LTP3!$D$6)*((P2524)*(Q2524)-(R2524)*(R2524))-(S2524)*((U2524)*(Q2524)-(R2524)*(V2524))+(T2524)*((U2524)*(R2524)-(P2524)*(V2524)))/W2524,0)</f>
        <v/>
      </c>
      <c r="Y2524">
        <f>IF(ABS(W2524)&gt;1E-12,((LTP3!$D$5)*((U2524)*(Q2524)-(R2524)*(V2524))-(LTP3!$D$6)*((S2524)*(Q2524)-(R2524)*(T2524))+(T2524)*((S2524)*(V2524)-(U2524)*(T2524)))/W2524,0)</f>
        <v/>
      </c>
      <c r="Z2524">
        <f>IF(ABS(W2524)&gt;1E-12,((LTP3!$D$5)*((P2524)*(V2524)-(U2524)*(R2524))-(S2524)*((S2524)*(V2524)-(U2524)*(T2524))+(LTP3!$D$6)*((S2524)*(R2524)-(P2524)*(T2524)))/W2524,0)</f>
        <v/>
      </c>
      <c r="AA2524">
        <f>LTP3!$D$7-X2524*LTP3!$D$6-Y2524*U2524-Z2524*V2524</f>
        <v/>
      </c>
      <c r="AB2524">
        <f>IF(AND(F2524,ABS(W2524)&gt;1E-12,Y2524&gt;0,Z2524&gt;0),AA2524,1E+300)</f>
        <v/>
      </c>
    </row>
    <row r="2525">
      <c r="A2525">
        <f>$B$3+$B$5*41</f>
        <v/>
      </c>
      <c r="B2525">
        <f>$B$3+$B$5*12</f>
        <v/>
      </c>
      <c r="C2525">
        <f>SUMPRODUCT(Calc!$K$3:$K$22*(Calc!$G$3:$G$22&lt;=A2525))</f>
        <v/>
      </c>
      <c r="D2525">
        <f>SUMPRODUCT(Calc!$K$3:$K$22*(Calc!$G$3:$G$22&gt;A2525)*(Calc!$G$3:$G$22&lt;B2525))</f>
        <v/>
      </c>
      <c r="E2525">
        <f>SUMPRODUCT(Calc!$K$3:$K$22*(Calc!$G$3:$G$22&gt;=B2525))</f>
        <v/>
      </c>
      <c r="F2525">
        <f>AND(k_n&gt;=5,B2525&gt;A2525+1E-9,C2525&gt;=2,D2525&gt;=1,E2525&gt;=2)</f>
        <v/>
      </c>
      <c r="G2525">
        <f>SUMPRODUCT(Calc!$K$3:$K$22*(Calc!$G$3:$G$22&gt;A2525)*(Calc!$G$3:$G$22-A2525))</f>
        <v/>
      </c>
      <c r="H2525">
        <f>SUMPRODUCT(Calc!$K$3:$K$22*(Calc!$G$3:$G$22&gt;B2525)*(Calc!$G$3:$G$22-B2525))</f>
        <v/>
      </c>
      <c r="I2525">
        <f>SUMPRODUCT(Calc!$K$3:$K$22*(Calc!$G$3:$G$22&gt;A2525)*(Calc!$G$3:$G$22-A2525)^2)</f>
        <v/>
      </c>
      <c r="J2525">
        <f>SUMPRODUCT(Calc!$K$3:$K$22*(Calc!$G$3:$G$22&gt;B2525)*(Calc!$G$3:$G$22-B2525)^2)</f>
        <v/>
      </c>
      <c r="K2525">
        <f>SUMPRODUCT(Calc!$K$3:$K$22*(Calc!$G$3:$G$22&gt;A2525)*(Calc!$G$3:$G$22-A2525)*(Calc!$G$3:$G$22&gt;B2525)*(Calc!$G$3:$G$22-B2525))</f>
        <v/>
      </c>
      <c r="L2525">
        <f>SUMPRODUCT(Calc!$K$3:$K$22*(Calc!$G$3:$G$22&gt;A2525)*(Calc!$G$3:$G$22-A2525)*Calc!$G$3:$G$22)</f>
        <v/>
      </c>
      <c r="M2525">
        <f>SUMPRODUCT(Calc!$K$3:$K$22*(Calc!$G$3:$G$22&gt;B2525)*(Calc!$G$3:$G$22-B2525)*Calc!$G$3:$G$22)</f>
        <v/>
      </c>
      <c r="N2525">
        <f>SUMPRODUCT(Calc!$K$3:$K$22*(Calc!$G$3:$G$22&gt;A2525)*(Calc!$G$3:$G$22-A2525)*Calc!$I$3:$I$22)</f>
        <v/>
      </c>
      <c r="O2525">
        <f>SUMPRODUCT(Calc!$K$3:$K$22*(Calc!$G$3:$G$22&gt;B2525)*(Calc!$G$3:$G$22-B2525)*Calc!$I$3:$I$22)</f>
        <v/>
      </c>
      <c r="P2525">
        <f>I2525-G2525^2/k_n</f>
        <v/>
      </c>
      <c r="Q2525">
        <f>J2525-H2525^2/k_n</f>
        <v/>
      </c>
      <c r="R2525">
        <f>K2525-G2525*H2525/k_n</f>
        <v/>
      </c>
      <c r="S2525">
        <f>L2525-LTP3!$D$3*G2525/k_n</f>
        <v/>
      </c>
      <c r="T2525">
        <f>M2525-LTP3!$D$3*H2525/k_n</f>
        <v/>
      </c>
      <c r="U2525">
        <f>N2525-G2525*LTP3!$D$4/k_n</f>
        <v/>
      </c>
      <c r="V2525">
        <f>O2525-H2525*LTP3!$D$4/k_n</f>
        <v/>
      </c>
      <c r="W2525">
        <f>((LTP3!$D$5)*((P2525)*(Q2525)-(R2525)*(R2525))-(S2525)*((S2525)*(Q2525)-(R2525)*(T2525))+(T2525)*((S2525)*(R2525)-(P2525)*(T2525)))</f>
        <v/>
      </c>
      <c r="X2525">
        <f>IF(ABS(W2525)&gt;1E-12,((LTP3!$D$6)*((P2525)*(Q2525)-(R2525)*(R2525))-(S2525)*((U2525)*(Q2525)-(R2525)*(V2525))+(T2525)*((U2525)*(R2525)-(P2525)*(V2525)))/W2525,0)</f>
        <v/>
      </c>
      <c r="Y2525">
        <f>IF(ABS(W2525)&gt;1E-12,((LTP3!$D$5)*((U2525)*(Q2525)-(R2525)*(V2525))-(LTP3!$D$6)*((S2525)*(Q2525)-(R2525)*(T2525))+(T2525)*((S2525)*(V2525)-(U2525)*(T2525)))/W2525,0)</f>
        <v/>
      </c>
      <c r="Z2525">
        <f>IF(ABS(W2525)&gt;1E-12,((LTP3!$D$5)*((P2525)*(V2525)-(U2525)*(R2525))-(S2525)*((S2525)*(V2525)-(U2525)*(T2525))+(LTP3!$D$6)*((S2525)*(R2525)-(P2525)*(T2525)))/W2525,0)</f>
        <v/>
      </c>
      <c r="AA2525">
        <f>LTP3!$D$7-X2525*LTP3!$D$6-Y2525*U2525-Z2525*V2525</f>
        <v/>
      </c>
      <c r="AB2525">
        <f>IF(AND(F2525,ABS(W2525)&gt;1E-12,Y2525&gt;0,Z2525&gt;0),AA2525,1E+300)</f>
        <v/>
      </c>
    </row>
    <row r="2526">
      <c r="A2526">
        <f>$B$3+$B$5*41</f>
        <v/>
      </c>
      <c r="B2526">
        <f>$B$3+$B$5*13</f>
        <v/>
      </c>
      <c r="C2526">
        <f>SUMPRODUCT(Calc!$K$3:$K$22*(Calc!$G$3:$G$22&lt;=A2526))</f>
        <v/>
      </c>
      <c r="D2526">
        <f>SUMPRODUCT(Calc!$K$3:$K$22*(Calc!$G$3:$G$22&gt;A2526)*(Calc!$G$3:$G$22&lt;B2526))</f>
        <v/>
      </c>
      <c r="E2526">
        <f>SUMPRODUCT(Calc!$K$3:$K$22*(Calc!$G$3:$G$22&gt;=B2526))</f>
        <v/>
      </c>
      <c r="F2526">
        <f>AND(k_n&gt;=5,B2526&gt;A2526+1E-9,C2526&gt;=2,D2526&gt;=1,E2526&gt;=2)</f>
        <v/>
      </c>
      <c r="G2526">
        <f>SUMPRODUCT(Calc!$K$3:$K$22*(Calc!$G$3:$G$22&gt;A2526)*(Calc!$G$3:$G$22-A2526))</f>
        <v/>
      </c>
      <c r="H2526">
        <f>SUMPRODUCT(Calc!$K$3:$K$22*(Calc!$G$3:$G$22&gt;B2526)*(Calc!$G$3:$G$22-B2526))</f>
        <v/>
      </c>
      <c r="I2526">
        <f>SUMPRODUCT(Calc!$K$3:$K$22*(Calc!$G$3:$G$22&gt;A2526)*(Calc!$G$3:$G$22-A2526)^2)</f>
        <v/>
      </c>
      <c r="J2526">
        <f>SUMPRODUCT(Calc!$K$3:$K$22*(Calc!$G$3:$G$22&gt;B2526)*(Calc!$G$3:$G$22-B2526)^2)</f>
        <v/>
      </c>
      <c r="K2526">
        <f>SUMPRODUCT(Calc!$K$3:$K$22*(Calc!$G$3:$G$22&gt;A2526)*(Calc!$G$3:$G$22-A2526)*(Calc!$G$3:$G$22&gt;B2526)*(Calc!$G$3:$G$22-B2526))</f>
        <v/>
      </c>
      <c r="L2526">
        <f>SUMPRODUCT(Calc!$K$3:$K$22*(Calc!$G$3:$G$22&gt;A2526)*(Calc!$G$3:$G$22-A2526)*Calc!$G$3:$G$22)</f>
        <v/>
      </c>
      <c r="M2526">
        <f>SUMPRODUCT(Calc!$K$3:$K$22*(Calc!$G$3:$G$22&gt;B2526)*(Calc!$G$3:$G$22-B2526)*Calc!$G$3:$G$22)</f>
        <v/>
      </c>
      <c r="N2526">
        <f>SUMPRODUCT(Calc!$K$3:$K$22*(Calc!$G$3:$G$22&gt;A2526)*(Calc!$G$3:$G$22-A2526)*Calc!$I$3:$I$22)</f>
        <v/>
      </c>
      <c r="O2526">
        <f>SUMPRODUCT(Calc!$K$3:$K$22*(Calc!$G$3:$G$22&gt;B2526)*(Calc!$G$3:$G$22-B2526)*Calc!$I$3:$I$22)</f>
        <v/>
      </c>
      <c r="P2526">
        <f>I2526-G2526^2/k_n</f>
        <v/>
      </c>
      <c r="Q2526">
        <f>J2526-H2526^2/k_n</f>
        <v/>
      </c>
      <c r="R2526">
        <f>K2526-G2526*H2526/k_n</f>
        <v/>
      </c>
      <c r="S2526">
        <f>L2526-LTP3!$D$3*G2526/k_n</f>
        <v/>
      </c>
      <c r="T2526">
        <f>M2526-LTP3!$D$3*H2526/k_n</f>
        <v/>
      </c>
      <c r="U2526">
        <f>N2526-G2526*LTP3!$D$4/k_n</f>
        <v/>
      </c>
      <c r="V2526">
        <f>O2526-H2526*LTP3!$D$4/k_n</f>
        <v/>
      </c>
      <c r="W2526">
        <f>((LTP3!$D$5)*((P2526)*(Q2526)-(R2526)*(R2526))-(S2526)*((S2526)*(Q2526)-(R2526)*(T2526))+(T2526)*((S2526)*(R2526)-(P2526)*(T2526)))</f>
        <v/>
      </c>
      <c r="X2526">
        <f>IF(ABS(W2526)&gt;1E-12,((LTP3!$D$6)*((P2526)*(Q2526)-(R2526)*(R2526))-(S2526)*((U2526)*(Q2526)-(R2526)*(V2526))+(T2526)*((U2526)*(R2526)-(P2526)*(V2526)))/W2526,0)</f>
        <v/>
      </c>
      <c r="Y2526">
        <f>IF(ABS(W2526)&gt;1E-12,((LTP3!$D$5)*((U2526)*(Q2526)-(R2526)*(V2526))-(LTP3!$D$6)*((S2526)*(Q2526)-(R2526)*(T2526))+(T2526)*((S2526)*(V2526)-(U2526)*(T2526)))/W2526,0)</f>
        <v/>
      </c>
      <c r="Z2526">
        <f>IF(ABS(W2526)&gt;1E-12,((LTP3!$D$5)*((P2526)*(V2526)-(U2526)*(R2526))-(S2526)*((S2526)*(V2526)-(U2526)*(T2526))+(LTP3!$D$6)*((S2526)*(R2526)-(P2526)*(T2526)))/W2526,0)</f>
        <v/>
      </c>
      <c r="AA2526">
        <f>LTP3!$D$7-X2526*LTP3!$D$6-Y2526*U2526-Z2526*V2526</f>
        <v/>
      </c>
      <c r="AB2526">
        <f>IF(AND(F2526,ABS(W2526)&gt;1E-12,Y2526&gt;0,Z2526&gt;0),AA2526,1E+300)</f>
        <v/>
      </c>
    </row>
    <row r="2527">
      <c r="A2527">
        <f>$B$3+$B$5*41</f>
        <v/>
      </c>
      <c r="B2527">
        <f>$B$3+$B$5*14</f>
        <v/>
      </c>
      <c r="C2527">
        <f>SUMPRODUCT(Calc!$K$3:$K$22*(Calc!$G$3:$G$22&lt;=A2527))</f>
        <v/>
      </c>
      <c r="D2527">
        <f>SUMPRODUCT(Calc!$K$3:$K$22*(Calc!$G$3:$G$22&gt;A2527)*(Calc!$G$3:$G$22&lt;B2527))</f>
        <v/>
      </c>
      <c r="E2527">
        <f>SUMPRODUCT(Calc!$K$3:$K$22*(Calc!$G$3:$G$22&gt;=B2527))</f>
        <v/>
      </c>
      <c r="F2527">
        <f>AND(k_n&gt;=5,B2527&gt;A2527+1E-9,C2527&gt;=2,D2527&gt;=1,E2527&gt;=2)</f>
        <v/>
      </c>
      <c r="G2527">
        <f>SUMPRODUCT(Calc!$K$3:$K$22*(Calc!$G$3:$G$22&gt;A2527)*(Calc!$G$3:$G$22-A2527))</f>
        <v/>
      </c>
      <c r="H2527">
        <f>SUMPRODUCT(Calc!$K$3:$K$22*(Calc!$G$3:$G$22&gt;B2527)*(Calc!$G$3:$G$22-B2527))</f>
        <v/>
      </c>
      <c r="I2527">
        <f>SUMPRODUCT(Calc!$K$3:$K$22*(Calc!$G$3:$G$22&gt;A2527)*(Calc!$G$3:$G$22-A2527)^2)</f>
        <v/>
      </c>
      <c r="J2527">
        <f>SUMPRODUCT(Calc!$K$3:$K$22*(Calc!$G$3:$G$22&gt;B2527)*(Calc!$G$3:$G$22-B2527)^2)</f>
        <v/>
      </c>
      <c r="K2527">
        <f>SUMPRODUCT(Calc!$K$3:$K$22*(Calc!$G$3:$G$22&gt;A2527)*(Calc!$G$3:$G$22-A2527)*(Calc!$G$3:$G$22&gt;B2527)*(Calc!$G$3:$G$22-B2527))</f>
        <v/>
      </c>
      <c r="L2527">
        <f>SUMPRODUCT(Calc!$K$3:$K$22*(Calc!$G$3:$G$22&gt;A2527)*(Calc!$G$3:$G$22-A2527)*Calc!$G$3:$G$22)</f>
        <v/>
      </c>
      <c r="M2527">
        <f>SUMPRODUCT(Calc!$K$3:$K$22*(Calc!$G$3:$G$22&gt;B2527)*(Calc!$G$3:$G$22-B2527)*Calc!$G$3:$G$22)</f>
        <v/>
      </c>
      <c r="N2527">
        <f>SUMPRODUCT(Calc!$K$3:$K$22*(Calc!$G$3:$G$22&gt;A2527)*(Calc!$G$3:$G$22-A2527)*Calc!$I$3:$I$22)</f>
        <v/>
      </c>
      <c r="O2527">
        <f>SUMPRODUCT(Calc!$K$3:$K$22*(Calc!$G$3:$G$22&gt;B2527)*(Calc!$G$3:$G$22-B2527)*Calc!$I$3:$I$22)</f>
        <v/>
      </c>
      <c r="P2527">
        <f>I2527-G2527^2/k_n</f>
        <v/>
      </c>
      <c r="Q2527">
        <f>J2527-H2527^2/k_n</f>
        <v/>
      </c>
      <c r="R2527">
        <f>K2527-G2527*H2527/k_n</f>
        <v/>
      </c>
      <c r="S2527">
        <f>L2527-LTP3!$D$3*G2527/k_n</f>
        <v/>
      </c>
      <c r="T2527">
        <f>M2527-LTP3!$D$3*H2527/k_n</f>
        <v/>
      </c>
      <c r="U2527">
        <f>N2527-G2527*LTP3!$D$4/k_n</f>
        <v/>
      </c>
      <c r="V2527">
        <f>O2527-H2527*LTP3!$D$4/k_n</f>
        <v/>
      </c>
      <c r="W2527">
        <f>((LTP3!$D$5)*((P2527)*(Q2527)-(R2527)*(R2527))-(S2527)*((S2527)*(Q2527)-(R2527)*(T2527))+(T2527)*((S2527)*(R2527)-(P2527)*(T2527)))</f>
        <v/>
      </c>
      <c r="X2527">
        <f>IF(ABS(W2527)&gt;1E-12,((LTP3!$D$6)*((P2527)*(Q2527)-(R2527)*(R2527))-(S2527)*((U2527)*(Q2527)-(R2527)*(V2527))+(T2527)*((U2527)*(R2527)-(P2527)*(V2527)))/W2527,0)</f>
        <v/>
      </c>
      <c r="Y2527">
        <f>IF(ABS(W2527)&gt;1E-12,((LTP3!$D$5)*((U2527)*(Q2527)-(R2527)*(V2527))-(LTP3!$D$6)*((S2527)*(Q2527)-(R2527)*(T2527))+(T2527)*((S2527)*(V2527)-(U2527)*(T2527)))/W2527,0)</f>
        <v/>
      </c>
      <c r="Z2527">
        <f>IF(ABS(W2527)&gt;1E-12,((LTP3!$D$5)*((P2527)*(V2527)-(U2527)*(R2527))-(S2527)*((S2527)*(V2527)-(U2527)*(T2527))+(LTP3!$D$6)*((S2527)*(R2527)-(P2527)*(T2527)))/W2527,0)</f>
        <v/>
      </c>
      <c r="AA2527">
        <f>LTP3!$D$7-X2527*LTP3!$D$6-Y2527*U2527-Z2527*V2527</f>
        <v/>
      </c>
      <c r="AB2527">
        <f>IF(AND(F2527,ABS(W2527)&gt;1E-12,Y2527&gt;0,Z2527&gt;0),AA2527,1E+300)</f>
        <v/>
      </c>
    </row>
    <row r="2528">
      <c r="A2528">
        <f>$B$3+$B$5*41</f>
        <v/>
      </c>
      <c r="B2528">
        <f>$B$3+$B$5*15</f>
        <v/>
      </c>
      <c r="C2528">
        <f>SUMPRODUCT(Calc!$K$3:$K$22*(Calc!$G$3:$G$22&lt;=A2528))</f>
        <v/>
      </c>
      <c r="D2528">
        <f>SUMPRODUCT(Calc!$K$3:$K$22*(Calc!$G$3:$G$22&gt;A2528)*(Calc!$G$3:$G$22&lt;B2528))</f>
        <v/>
      </c>
      <c r="E2528">
        <f>SUMPRODUCT(Calc!$K$3:$K$22*(Calc!$G$3:$G$22&gt;=B2528))</f>
        <v/>
      </c>
      <c r="F2528">
        <f>AND(k_n&gt;=5,B2528&gt;A2528+1E-9,C2528&gt;=2,D2528&gt;=1,E2528&gt;=2)</f>
        <v/>
      </c>
      <c r="G2528">
        <f>SUMPRODUCT(Calc!$K$3:$K$22*(Calc!$G$3:$G$22&gt;A2528)*(Calc!$G$3:$G$22-A2528))</f>
        <v/>
      </c>
      <c r="H2528">
        <f>SUMPRODUCT(Calc!$K$3:$K$22*(Calc!$G$3:$G$22&gt;B2528)*(Calc!$G$3:$G$22-B2528))</f>
        <v/>
      </c>
      <c r="I2528">
        <f>SUMPRODUCT(Calc!$K$3:$K$22*(Calc!$G$3:$G$22&gt;A2528)*(Calc!$G$3:$G$22-A2528)^2)</f>
        <v/>
      </c>
      <c r="J2528">
        <f>SUMPRODUCT(Calc!$K$3:$K$22*(Calc!$G$3:$G$22&gt;B2528)*(Calc!$G$3:$G$22-B2528)^2)</f>
        <v/>
      </c>
      <c r="K2528">
        <f>SUMPRODUCT(Calc!$K$3:$K$22*(Calc!$G$3:$G$22&gt;A2528)*(Calc!$G$3:$G$22-A2528)*(Calc!$G$3:$G$22&gt;B2528)*(Calc!$G$3:$G$22-B2528))</f>
        <v/>
      </c>
      <c r="L2528">
        <f>SUMPRODUCT(Calc!$K$3:$K$22*(Calc!$G$3:$G$22&gt;A2528)*(Calc!$G$3:$G$22-A2528)*Calc!$G$3:$G$22)</f>
        <v/>
      </c>
      <c r="M2528">
        <f>SUMPRODUCT(Calc!$K$3:$K$22*(Calc!$G$3:$G$22&gt;B2528)*(Calc!$G$3:$G$22-B2528)*Calc!$G$3:$G$22)</f>
        <v/>
      </c>
      <c r="N2528">
        <f>SUMPRODUCT(Calc!$K$3:$K$22*(Calc!$G$3:$G$22&gt;A2528)*(Calc!$G$3:$G$22-A2528)*Calc!$I$3:$I$22)</f>
        <v/>
      </c>
      <c r="O2528">
        <f>SUMPRODUCT(Calc!$K$3:$K$22*(Calc!$G$3:$G$22&gt;B2528)*(Calc!$G$3:$G$22-B2528)*Calc!$I$3:$I$22)</f>
        <v/>
      </c>
      <c r="P2528">
        <f>I2528-G2528^2/k_n</f>
        <v/>
      </c>
      <c r="Q2528">
        <f>J2528-H2528^2/k_n</f>
        <v/>
      </c>
      <c r="R2528">
        <f>K2528-G2528*H2528/k_n</f>
        <v/>
      </c>
      <c r="S2528">
        <f>L2528-LTP3!$D$3*G2528/k_n</f>
        <v/>
      </c>
      <c r="T2528">
        <f>M2528-LTP3!$D$3*H2528/k_n</f>
        <v/>
      </c>
      <c r="U2528">
        <f>N2528-G2528*LTP3!$D$4/k_n</f>
        <v/>
      </c>
      <c r="V2528">
        <f>O2528-H2528*LTP3!$D$4/k_n</f>
        <v/>
      </c>
      <c r="W2528">
        <f>((LTP3!$D$5)*((P2528)*(Q2528)-(R2528)*(R2528))-(S2528)*((S2528)*(Q2528)-(R2528)*(T2528))+(T2528)*((S2528)*(R2528)-(P2528)*(T2528)))</f>
        <v/>
      </c>
      <c r="X2528">
        <f>IF(ABS(W2528)&gt;1E-12,((LTP3!$D$6)*((P2528)*(Q2528)-(R2528)*(R2528))-(S2528)*((U2528)*(Q2528)-(R2528)*(V2528))+(T2528)*((U2528)*(R2528)-(P2528)*(V2528)))/W2528,0)</f>
        <v/>
      </c>
      <c r="Y2528">
        <f>IF(ABS(W2528)&gt;1E-12,((LTP3!$D$5)*((U2528)*(Q2528)-(R2528)*(V2528))-(LTP3!$D$6)*((S2528)*(Q2528)-(R2528)*(T2528))+(T2528)*((S2528)*(V2528)-(U2528)*(T2528)))/W2528,0)</f>
        <v/>
      </c>
      <c r="Z2528">
        <f>IF(ABS(W2528)&gt;1E-12,((LTP3!$D$5)*((P2528)*(V2528)-(U2528)*(R2528))-(S2528)*((S2528)*(V2528)-(U2528)*(T2528))+(LTP3!$D$6)*((S2528)*(R2528)-(P2528)*(T2528)))/W2528,0)</f>
        <v/>
      </c>
      <c r="AA2528">
        <f>LTP3!$D$7-X2528*LTP3!$D$6-Y2528*U2528-Z2528*V2528</f>
        <v/>
      </c>
      <c r="AB2528">
        <f>IF(AND(F2528,ABS(W2528)&gt;1E-12,Y2528&gt;0,Z2528&gt;0),AA2528,1E+300)</f>
        <v/>
      </c>
    </row>
    <row r="2529">
      <c r="A2529">
        <f>$B$3+$B$5*41</f>
        <v/>
      </c>
      <c r="B2529">
        <f>$B$3+$B$5*16</f>
        <v/>
      </c>
      <c r="C2529">
        <f>SUMPRODUCT(Calc!$K$3:$K$22*(Calc!$G$3:$G$22&lt;=A2529))</f>
        <v/>
      </c>
      <c r="D2529">
        <f>SUMPRODUCT(Calc!$K$3:$K$22*(Calc!$G$3:$G$22&gt;A2529)*(Calc!$G$3:$G$22&lt;B2529))</f>
        <v/>
      </c>
      <c r="E2529">
        <f>SUMPRODUCT(Calc!$K$3:$K$22*(Calc!$G$3:$G$22&gt;=B2529))</f>
        <v/>
      </c>
      <c r="F2529">
        <f>AND(k_n&gt;=5,B2529&gt;A2529+1E-9,C2529&gt;=2,D2529&gt;=1,E2529&gt;=2)</f>
        <v/>
      </c>
      <c r="G2529">
        <f>SUMPRODUCT(Calc!$K$3:$K$22*(Calc!$G$3:$G$22&gt;A2529)*(Calc!$G$3:$G$22-A2529))</f>
        <v/>
      </c>
      <c r="H2529">
        <f>SUMPRODUCT(Calc!$K$3:$K$22*(Calc!$G$3:$G$22&gt;B2529)*(Calc!$G$3:$G$22-B2529))</f>
        <v/>
      </c>
      <c r="I2529">
        <f>SUMPRODUCT(Calc!$K$3:$K$22*(Calc!$G$3:$G$22&gt;A2529)*(Calc!$G$3:$G$22-A2529)^2)</f>
        <v/>
      </c>
      <c r="J2529">
        <f>SUMPRODUCT(Calc!$K$3:$K$22*(Calc!$G$3:$G$22&gt;B2529)*(Calc!$G$3:$G$22-B2529)^2)</f>
        <v/>
      </c>
      <c r="K2529">
        <f>SUMPRODUCT(Calc!$K$3:$K$22*(Calc!$G$3:$G$22&gt;A2529)*(Calc!$G$3:$G$22-A2529)*(Calc!$G$3:$G$22&gt;B2529)*(Calc!$G$3:$G$22-B2529))</f>
        <v/>
      </c>
      <c r="L2529">
        <f>SUMPRODUCT(Calc!$K$3:$K$22*(Calc!$G$3:$G$22&gt;A2529)*(Calc!$G$3:$G$22-A2529)*Calc!$G$3:$G$22)</f>
        <v/>
      </c>
      <c r="M2529">
        <f>SUMPRODUCT(Calc!$K$3:$K$22*(Calc!$G$3:$G$22&gt;B2529)*(Calc!$G$3:$G$22-B2529)*Calc!$G$3:$G$22)</f>
        <v/>
      </c>
      <c r="N2529">
        <f>SUMPRODUCT(Calc!$K$3:$K$22*(Calc!$G$3:$G$22&gt;A2529)*(Calc!$G$3:$G$22-A2529)*Calc!$I$3:$I$22)</f>
        <v/>
      </c>
      <c r="O2529">
        <f>SUMPRODUCT(Calc!$K$3:$K$22*(Calc!$G$3:$G$22&gt;B2529)*(Calc!$G$3:$G$22-B2529)*Calc!$I$3:$I$22)</f>
        <v/>
      </c>
      <c r="P2529">
        <f>I2529-G2529^2/k_n</f>
        <v/>
      </c>
      <c r="Q2529">
        <f>J2529-H2529^2/k_n</f>
        <v/>
      </c>
      <c r="R2529">
        <f>K2529-G2529*H2529/k_n</f>
        <v/>
      </c>
      <c r="S2529">
        <f>L2529-LTP3!$D$3*G2529/k_n</f>
        <v/>
      </c>
      <c r="T2529">
        <f>M2529-LTP3!$D$3*H2529/k_n</f>
        <v/>
      </c>
      <c r="U2529">
        <f>N2529-G2529*LTP3!$D$4/k_n</f>
        <v/>
      </c>
      <c r="V2529">
        <f>O2529-H2529*LTP3!$D$4/k_n</f>
        <v/>
      </c>
      <c r="W2529">
        <f>((LTP3!$D$5)*((P2529)*(Q2529)-(R2529)*(R2529))-(S2529)*((S2529)*(Q2529)-(R2529)*(T2529))+(T2529)*((S2529)*(R2529)-(P2529)*(T2529)))</f>
        <v/>
      </c>
      <c r="X2529">
        <f>IF(ABS(W2529)&gt;1E-12,((LTP3!$D$6)*((P2529)*(Q2529)-(R2529)*(R2529))-(S2529)*((U2529)*(Q2529)-(R2529)*(V2529))+(T2529)*((U2529)*(R2529)-(P2529)*(V2529)))/W2529,0)</f>
        <v/>
      </c>
      <c r="Y2529">
        <f>IF(ABS(W2529)&gt;1E-12,((LTP3!$D$5)*((U2529)*(Q2529)-(R2529)*(V2529))-(LTP3!$D$6)*((S2529)*(Q2529)-(R2529)*(T2529))+(T2529)*((S2529)*(V2529)-(U2529)*(T2529)))/W2529,0)</f>
        <v/>
      </c>
      <c r="Z2529">
        <f>IF(ABS(W2529)&gt;1E-12,((LTP3!$D$5)*((P2529)*(V2529)-(U2529)*(R2529))-(S2529)*((S2529)*(V2529)-(U2529)*(T2529))+(LTP3!$D$6)*((S2529)*(R2529)-(P2529)*(T2529)))/W2529,0)</f>
        <v/>
      </c>
      <c r="AA2529">
        <f>LTP3!$D$7-X2529*LTP3!$D$6-Y2529*U2529-Z2529*V2529</f>
        <v/>
      </c>
      <c r="AB2529">
        <f>IF(AND(F2529,ABS(W2529)&gt;1E-12,Y2529&gt;0,Z2529&gt;0),AA2529,1E+300)</f>
        <v/>
      </c>
    </row>
    <row r="2530">
      <c r="A2530">
        <f>$B$3+$B$5*41</f>
        <v/>
      </c>
      <c r="B2530">
        <f>$B$3+$B$5*17</f>
        <v/>
      </c>
      <c r="C2530">
        <f>SUMPRODUCT(Calc!$K$3:$K$22*(Calc!$G$3:$G$22&lt;=A2530))</f>
        <v/>
      </c>
      <c r="D2530">
        <f>SUMPRODUCT(Calc!$K$3:$K$22*(Calc!$G$3:$G$22&gt;A2530)*(Calc!$G$3:$G$22&lt;B2530))</f>
        <v/>
      </c>
      <c r="E2530">
        <f>SUMPRODUCT(Calc!$K$3:$K$22*(Calc!$G$3:$G$22&gt;=B2530))</f>
        <v/>
      </c>
      <c r="F2530">
        <f>AND(k_n&gt;=5,B2530&gt;A2530+1E-9,C2530&gt;=2,D2530&gt;=1,E2530&gt;=2)</f>
        <v/>
      </c>
      <c r="G2530">
        <f>SUMPRODUCT(Calc!$K$3:$K$22*(Calc!$G$3:$G$22&gt;A2530)*(Calc!$G$3:$G$22-A2530))</f>
        <v/>
      </c>
      <c r="H2530">
        <f>SUMPRODUCT(Calc!$K$3:$K$22*(Calc!$G$3:$G$22&gt;B2530)*(Calc!$G$3:$G$22-B2530))</f>
        <v/>
      </c>
      <c r="I2530">
        <f>SUMPRODUCT(Calc!$K$3:$K$22*(Calc!$G$3:$G$22&gt;A2530)*(Calc!$G$3:$G$22-A2530)^2)</f>
        <v/>
      </c>
      <c r="J2530">
        <f>SUMPRODUCT(Calc!$K$3:$K$22*(Calc!$G$3:$G$22&gt;B2530)*(Calc!$G$3:$G$22-B2530)^2)</f>
        <v/>
      </c>
      <c r="K2530">
        <f>SUMPRODUCT(Calc!$K$3:$K$22*(Calc!$G$3:$G$22&gt;A2530)*(Calc!$G$3:$G$22-A2530)*(Calc!$G$3:$G$22&gt;B2530)*(Calc!$G$3:$G$22-B2530))</f>
        <v/>
      </c>
      <c r="L2530">
        <f>SUMPRODUCT(Calc!$K$3:$K$22*(Calc!$G$3:$G$22&gt;A2530)*(Calc!$G$3:$G$22-A2530)*Calc!$G$3:$G$22)</f>
        <v/>
      </c>
      <c r="M2530">
        <f>SUMPRODUCT(Calc!$K$3:$K$22*(Calc!$G$3:$G$22&gt;B2530)*(Calc!$G$3:$G$22-B2530)*Calc!$G$3:$G$22)</f>
        <v/>
      </c>
      <c r="N2530">
        <f>SUMPRODUCT(Calc!$K$3:$K$22*(Calc!$G$3:$G$22&gt;A2530)*(Calc!$G$3:$G$22-A2530)*Calc!$I$3:$I$22)</f>
        <v/>
      </c>
      <c r="O2530">
        <f>SUMPRODUCT(Calc!$K$3:$K$22*(Calc!$G$3:$G$22&gt;B2530)*(Calc!$G$3:$G$22-B2530)*Calc!$I$3:$I$22)</f>
        <v/>
      </c>
      <c r="P2530">
        <f>I2530-G2530^2/k_n</f>
        <v/>
      </c>
      <c r="Q2530">
        <f>J2530-H2530^2/k_n</f>
        <v/>
      </c>
      <c r="R2530">
        <f>K2530-G2530*H2530/k_n</f>
        <v/>
      </c>
      <c r="S2530">
        <f>L2530-LTP3!$D$3*G2530/k_n</f>
        <v/>
      </c>
      <c r="T2530">
        <f>M2530-LTP3!$D$3*H2530/k_n</f>
        <v/>
      </c>
      <c r="U2530">
        <f>N2530-G2530*LTP3!$D$4/k_n</f>
        <v/>
      </c>
      <c r="V2530">
        <f>O2530-H2530*LTP3!$D$4/k_n</f>
        <v/>
      </c>
      <c r="W2530">
        <f>((LTP3!$D$5)*((P2530)*(Q2530)-(R2530)*(R2530))-(S2530)*((S2530)*(Q2530)-(R2530)*(T2530))+(T2530)*((S2530)*(R2530)-(P2530)*(T2530)))</f>
        <v/>
      </c>
      <c r="X2530">
        <f>IF(ABS(W2530)&gt;1E-12,((LTP3!$D$6)*((P2530)*(Q2530)-(R2530)*(R2530))-(S2530)*((U2530)*(Q2530)-(R2530)*(V2530))+(T2530)*((U2530)*(R2530)-(P2530)*(V2530)))/W2530,0)</f>
        <v/>
      </c>
      <c r="Y2530">
        <f>IF(ABS(W2530)&gt;1E-12,((LTP3!$D$5)*((U2530)*(Q2530)-(R2530)*(V2530))-(LTP3!$D$6)*((S2530)*(Q2530)-(R2530)*(T2530))+(T2530)*((S2530)*(V2530)-(U2530)*(T2530)))/W2530,0)</f>
        <v/>
      </c>
      <c r="Z2530">
        <f>IF(ABS(W2530)&gt;1E-12,((LTP3!$D$5)*((P2530)*(V2530)-(U2530)*(R2530))-(S2530)*((S2530)*(V2530)-(U2530)*(T2530))+(LTP3!$D$6)*((S2530)*(R2530)-(P2530)*(T2530)))/W2530,0)</f>
        <v/>
      </c>
      <c r="AA2530">
        <f>LTP3!$D$7-X2530*LTP3!$D$6-Y2530*U2530-Z2530*V2530</f>
        <v/>
      </c>
      <c r="AB2530">
        <f>IF(AND(F2530,ABS(W2530)&gt;1E-12,Y2530&gt;0,Z2530&gt;0),AA2530,1E+300)</f>
        <v/>
      </c>
    </row>
    <row r="2531">
      <c r="A2531">
        <f>$B$3+$B$5*41</f>
        <v/>
      </c>
      <c r="B2531">
        <f>$B$3+$B$5*18</f>
        <v/>
      </c>
      <c r="C2531">
        <f>SUMPRODUCT(Calc!$K$3:$K$22*(Calc!$G$3:$G$22&lt;=A2531))</f>
        <v/>
      </c>
      <c r="D2531">
        <f>SUMPRODUCT(Calc!$K$3:$K$22*(Calc!$G$3:$G$22&gt;A2531)*(Calc!$G$3:$G$22&lt;B2531))</f>
        <v/>
      </c>
      <c r="E2531">
        <f>SUMPRODUCT(Calc!$K$3:$K$22*(Calc!$G$3:$G$22&gt;=B2531))</f>
        <v/>
      </c>
      <c r="F2531">
        <f>AND(k_n&gt;=5,B2531&gt;A2531+1E-9,C2531&gt;=2,D2531&gt;=1,E2531&gt;=2)</f>
        <v/>
      </c>
      <c r="G2531">
        <f>SUMPRODUCT(Calc!$K$3:$K$22*(Calc!$G$3:$G$22&gt;A2531)*(Calc!$G$3:$G$22-A2531))</f>
        <v/>
      </c>
      <c r="H2531">
        <f>SUMPRODUCT(Calc!$K$3:$K$22*(Calc!$G$3:$G$22&gt;B2531)*(Calc!$G$3:$G$22-B2531))</f>
        <v/>
      </c>
      <c r="I2531">
        <f>SUMPRODUCT(Calc!$K$3:$K$22*(Calc!$G$3:$G$22&gt;A2531)*(Calc!$G$3:$G$22-A2531)^2)</f>
        <v/>
      </c>
      <c r="J2531">
        <f>SUMPRODUCT(Calc!$K$3:$K$22*(Calc!$G$3:$G$22&gt;B2531)*(Calc!$G$3:$G$22-B2531)^2)</f>
        <v/>
      </c>
      <c r="K2531">
        <f>SUMPRODUCT(Calc!$K$3:$K$22*(Calc!$G$3:$G$22&gt;A2531)*(Calc!$G$3:$G$22-A2531)*(Calc!$G$3:$G$22&gt;B2531)*(Calc!$G$3:$G$22-B2531))</f>
        <v/>
      </c>
      <c r="L2531">
        <f>SUMPRODUCT(Calc!$K$3:$K$22*(Calc!$G$3:$G$22&gt;A2531)*(Calc!$G$3:$G$22-A2531)*Calc!$G$3:$G$22)</f>
        <v/>
      </c>
      <c r="M2531">
        <f>SUMPRODUCT(Calc!$K$3:$K$22*(Calc!$G$3:$G$22&gt;B2531)*(Calc!$G$3:$G$22-B2531)*Calc!$G$3:$G$22)</f>
        <v/>
      </c>
      <c r="N2531">
        <f>SUMPRODUCT(Calc!$K$3:$K$22*(Calc!$G$3:$G$22&gt;A2531)*(Calc!$G$3:$G$22-A2531)*Calc!$I$3:$I$22)</f>
        <v/>
      </c>
      <c r="O2531">
        <f>SUMPRODUCT(Calc!$K$3:$K$22*(Calc!$G$3:$G$22&gt;B2531)*(Calc!$G$3:$G$22-B2531)*Calc!$I$3:$I$22)</f>
        <v/>
      </c>
      <c r="P2531">
        <f>I2531-G2531^2/k_n</f>
        <v/>
      </c>
      <c r="Q2531">
        <f>J2531-H2531^2/k_n</f>
        <v/>
      </c>
      <c r="R2531">
        <f>K2531-G2531*H2531/k_n</f>
        <v/>
      </c>
      <c r="S2531">
        <f>L2531-LTP3!$D$3*G2531/k_n</f>
        <v/>
      </c>
      <c r="T2531">
        <f>M2531-LTP3!$D$3*H2531/k_n</f>
        <v/>
      </c>
      <c r="U2531">
        <f>N2531-G2531*LTP3!$D$4/k_n</f>
        <v/>
      </c>
      <c r="V2531">
        <f>O2531-H2531*LTP3!$D$4/k_n</f>
        <v/>
      </c>
      <c r="W2531">
        <f>((LTP3!$D$5)*((P2531)*(Q2531)-(R2531)*(R2531))-(S2531)*((S2531)*(Q2531)-(R2531)*(T2531))+(T2531)*((S2531)*(R2531)-(P2531)*(T2531)))</f>
        <v/>
      </c>
      <c r="X2531">
        <f>IF(ABS(W2531)&gt;1E-12,((LTP3!$D$6)*((P2531)*(Q2531)-(R2531)*(R2531))-(S2531)*((U2531)*(Q2531)-(R2531)*(V2531))+(T2531)*((U2531)*(R2531)-(P2531)*(V2531)))/W2531,0)</f>
        <v/>
      </c>
      <c r="Y2531">
        <f>IF(ABS(W2531)&gt;1E-12,((LTP3!$D$5)*((U2531)*(Q2531)-(R2531)*(V2531))-(LTP3!$D$6)*((S2531)*(Q2531)-(R2531)*(T2531))+(T2531)*((S2531)*(V2531)-(U2531)*(T2531)))/W2531,0)</f>
        <v/>
      </c>
      <c r="Z2531">
        <f>IF(ABS(W2531)&gt;1E-12,((LTP3!$D$5)*((P2531)*(V2531)-(U2531)*(R2531))-(S2531)*((S2531)*(V2531)-(U2531)*(T2531))+(LTP3!$D$6)*((S2531)*(R2531)-(P2531)*(T2531)))/W2531,0)</f>
        <v/>
      </c>
      <c r="AA2531">
        <f>LTP3!$D$7-X2531*LTP3!$D$6-Y2531*U2531-Z2531*V2531</f>
        <v/>
      </c>
      <c r="AB2531">
        <f>IF(AND(F2531,ABS(W2531)&gt;1E-12,Y2531&gt;0,Z2531&gt;0),AA2531,1E+300)</f>
        <v/>
      </c>
    </row>
    <row r="2532">
      <c r="A2532">
        <f>$B$3+$B$5*41</f>
        <v/>
      </c>
      <c r="B2532">
        <f>$B$3+$B$5*19</f>
        <v/>
      </c>
      <c r="C2532">
        <f>SUMPRODUCT(Calc!$K$3:$K$22*(Calc!$G$3:$G$22&lt;=A2532))</f>
        <v/>
      </c>
      <c r="D2532">
        <f>SUMPRODUCT(Calc!$K$3:$K$22*(Calc!$G$3:$G$22&gt;A2532)*(Calc!$G$3:$G$22&lt;B2532))</f>
        <v/>
      </c>
      <c r="E2532">
        <f>SUMPRODUCT(Calc!$K$3:$K$22*(Calc!$G$3:$G$22&gt;=B2532))</f>
        <v/>
      </c>
      <c r="F2532">
        <f>AND(k_n&gt;=5,B2532&gt;A2532+1E-9,C2532&gt;=2,D2532&gt;=1,E2532&gt;=2)</f>
        <v/>
      </c>
      <c r="G2532">
        <f>SUMPRODUCT(Calc!$K$3:$K$22*(Calc!$G$3:$G$22&gt;A2532)*(Calc!$G$3:$G$22-A2532))</f>
        <v/>
      </c>
      <c r="H2532">
        <f>SUMPRODUCT(Calc!$K$3:$K$22*(Calc!$G$3:$G$22&gt;B2532)*(Calc!$G$3:$G$22-B2532))</f>
        <v/>
      </c>
      <c r="I2532">
        <f>SUMPRODUCT(Calc!$K$3:$K$22*(Calc!$G$3:$G$22&gt;A2532)*(Calc!$G$3:$G$22-A2532)^2)</f>
        <v/>
      </c>
      <c r="J2532">
        <f>SUMPRODUCT(Calc!$K$3:$K$22*(Calc!$G$3:$G$22&gt;B2532)*(Calc!$G$3:$G$22-B2532)^2)</f>
        <v/>
      </c>
      <c r="K2532">
        <f>SUMPRODUCT(Calc!$K$3:$K$22*(Calc!$G$3:$G$22&gt;A2532)*(Calc!$G$3:$G$22-A2532)*(Calc!$G$3:$G$22&gt;B2532)*(Calc!$G$3:$G$22-B2532))</f>
        <v/>
      </c>
      <c r="L2532">
        <f>SUMPRODUCT(Calc!$K$3:$K$22*(Calc!$G$3:$G$22&gt;A2532)*(Calc!$G$3:$G$22-A2532)*Calc!$G$3:$G$22)</f>
        <v/>
      </c>
      <c r="M2532">
        <f>SUMPRODUCT(Calc!$K$3:$K$22*(Calc!$G$3:$G$22&gt;B2532)*(Calc!$G$3:$G$22-B2532)*Calc!$G$3:$G$22)</f>
        <v/>
      </c>
      <c r="N2532">
        <f>SUMPRODUCT(Calc!$K$3:$K$22*(Calc!$G$3:$G$22&gt;A2532)*(Calc!$G$3:$G$22-A2532)*Calc!$I$3:$I$22)</f>
        <v/>
      </c>
      <c r="O2532">
        <f>SUMPRODUCT(Calc!$K$3:$K$22*(Calc!$G$3:$G$22&gt;B2532)*(Calc!$G$3:$G$22-B2532)*Calc!$I$3:$I$22)</f>
        <v/>
      </c>
      <c r="P2532">
        <f>I2532-G2532^2/k_n</f>
        <v/>
      </c>
      <c r="Q2532">
        <f>J2532-H2532^2/k_n</f>
        <v/>
      </c>
      <c r="R2532">
        <f>K2532-G2532*H2532/k_n</f>
        <v/>
      </c>
      <c r="S2532">
        <f>L2532-LTP3!$D$3*G2532/k_n</f>
        <v/>
      </c>
      <c r="T2532">
        <f>M2532-LTP3!$D$3*H2532/k_n</f>
        <v/>
      </c>
      <c r="U2532">
        <f>N2532-G2532*LTP3!$D$4/k_n</f>
        <v/>
      </c>
      <c r="V2532">
        <f>O2532-H2532*LTP3!$D$4/k_n</f>
        <v/>
      </c>
      <c r="W2532">
        <f>((LTP3!$D$5)*((P2532)*(Q2532)-(R2532)*(R2532))-(S2532)*((S2532)*(Q2532)-(R2532)*(T2532))+(T2532)*((S2532)*(R2532)-(P2532)*(T2532)))</f>
        <v/>
      </c>
      <c r="X2532">
        <f>IF(ABS(W2532)&gt;1E-12,((LTP3!$D$6)*((P2532)*(Q2532)-(R2532)*(R2532))-(S2532)*((U2532)*(Q2532)-(R2532)*(V2532))+(T2532)*((U2532)*(R2532)-(P2532)*(V2532)))/W2532,0)</f>
        <v/>
      </c>
      <c r="Y2532">
        <f>IF(ABS(W2532)&gt;1E-12,((LTP3!$D$5)*((U2532)*(Q2532)-(R2532)*(V2532))-(LTP3!$D$6)*((S2532)*(Q2532)-(R2532)*(T2532))+(T2532)*((S2532)*(V2532)-(U2532)*(T2532)))/W2532,0)</f>
        <v/>
      </c>
      <c r="Z2532">
        <f>IF(ABS(W2532)&gt;1E-12,((LTP3!$D$5)*((P2532)*(V2532)-(U2532)*(R2532))-(S2532)*((S2532)*(V2532)-(U2532)*(T2532))+(LTP3!$D$6)*((S2532)*(R2532)-(P2532)*(T2532)))/W2532,0)</f>
        <v/>
      </c>
      <c r="AA2532">
        <f>LTP3!$D$7-X2532*LTP3!$D$6-Y2532*U2532-Z2532*V2532</f>
        <v/>
      </c>
      <c r="AB2532">
        <f>IF(AND(F2532,ABS(W2532)&gt;1E-12,Y2532&gt;0,Z2532&gt;0),AA2532,1E+300)</f>
        <v/>
      </c>
    </row>
    <row r="2533">
      <c r="A2533">
        <f>$B$3+$B$5*41</f>
        <v/>
      </c>
      <c r="B2533">
        <f>$B$3+$B$5*20</f>
        <v/>
      </c>
      <c r="C2533">
        <f>SUMPRODUCT(Calc!$K$3:$K$22*(Calc!$G$3:$G$22&lt;=A2533))</f>
        <v/>
      </c>
      <c r="D2533">
        <f>SUMPRODUCT(Calc!$K$3:$K$22*(Calc!$G$3:$G$22&gt;A2533)*(Calc!$G$3:$G$22&lt;B2533))</f>
        <v/>
      </c>
      <c r="E2533">
        <f>SUMPRODUCT(Calc!$K$3:$K$22*(Calc!$G$3:$G$22&gt;=B2533))</f>
        <v/>
      </c>
      <c r="F2533">
        <f>AND(k_n&gt;=5,B2533&gt;A2533+1E-9,C2533&gt;=2,D2533&gt;=1,E2533&gt;=2)</f>
        <v/>
      </c>
      <c r="G2533">
        <f>SUMPRODUCT(Calc!$K$3:$K$22*(Calc!$G$3:$G$22&gt;A2533)*(Calc!$G$3:$G$22-A2533))</f>
        <v/>
      </c>
      <c r="H2533">
        <f>SUMPRODUCT(Calc!$K$3:$K$22*(Calc!$G$3:$G$22&gt;B2533)*(Calc!$G$3:$G$22-B2533))</f>
        <v/>
      </c>
      <c r="I2533">
        <f>SUMPRODUCT(Calc!$K$3:$K$22*(Calc!$G$3:$G$22&gt;A2533)*(Calc!$G$3:$G$22-A2533)^2)</f>
        <v/>
      </c>
      <c r="J2533">
        <f>SUMPRODUCT(Calc!$K$3:$K$22*(Calc!$G$3:$G$22&gt;B2533)*(Calc!$G$3:$G$22-B2533)^2)</f>
        <v/>
      </c>
      <c r="K2533">
        <f>SUMPRODUCT(Calc!$K$3:$K$22*(Calc!$G$3:$G$22&gt;A2533)*(Calc!$G$3:$G$22-A2533)*(Calc!$G$3:$G$22&gt;B2533)*(Calc!$G$3:$G$22-B2533))</f>
        <v/>
      </c>
      <c r="L2533">
        <f>SUMPRODUCT(Calc!$K$3:$K$22*(Calc!$G$3:$G$22&gt;A2533)*(Calc!$G$3:$G$22-A2533)*Calc!$G$3:$G$22)</f>
        <v/>
      </c>
      <c r="M2533">
        <f>SUMPRODUCT(Calc!$K$3:$K$22*(Calc!$G$3:$G$22&gt;B2533)*(Calc!$G$3:$G$22-B2533)*Calc!$G$3:$G$22)</f>
        <v/>
      </c>
      <c r="N2533">
        <f>SUMPRODUCT(Calc!$K$3:$K$22*(Calc!$G$3:$G$22&gt;A2533)*(Calc!$G$3:$G$22-A2533)*Calc!$I$3:$I$22)</f>
        <v/>
      </c>
      <c r="O2533">
        <f>SUMPRODUCT(Calc!$K$3:$K$22*(Calc!$G$3:$G$22&gt;B2533)*(Calc!$G$3:$G$22-B2533)*Calc!$I$3:$I$22)</f>
        <v/>
      </c>
      <c r="P2533">
        <f>I2533-G2533^2/k_n</f>
        <v/>
      </c>
      <c r="Q2533">
        <f>J2533-H2533^2/k_n</f>
        <v/>
      </c>
      <c r="R2533">
        <f>K2533-G2533*H2533/k_n</f>
        <v/>
      </c>
      <c r="S2533">
        <f>L2533-LTP3!$D$3*G2533/k_n</f>
        <v/>
      </c>
      <c r="T2533">
        <f>M2533-LTP3!$D$3*H2533/k_n</f>
        <v/>
      </c>
      <c r="U2533">
        <f>N2533-G2533*LTP3!$D$4/k_n</f>
        <v/>
      </c>
      <c r="V2533">
        <f>O2533-H2533*LTP3!$D$4/k_n</f>
        <v/>
      </c>
      <c r="W2533">
        <f>((LTP3!$D$5)*((P2533)*(Q2533)-(R2533)*(R2533))-(S2533)*((S2533)*(Q2533)-(R2533)*(T2533))+(T2533)*((S2533)*(R2533)-(P2533)*(T2533)))</f>
        <v/>
      </c>
      <c r="X2533">
        <f>IF(ABS(W2533)&gt;1E-12,((LTP3!$D$6)*((P2533)*(Q2533)-(R2533)*(R2533))-(S2533)*((U2533)*(Q2533)-(R2533)*(V2533))+(T2533)*((U2533)*(R2533)-(P2533)*(V2533)))/W2533,0)</f>
        <v/>
      </c>
      <c r="Y2533">
        <f>IF(ABS(W2533)&gt;1E-12,((LTP3!$D$5)*((U2533)*(Q2533)-(R2533)*(V2533))-(LTP3!$D$6)*((S2533)*(Q2533)-(R2533)*(T2533))+(T2533)*((S2533)*(V2533)-(U2533)*(T2533)))/W2533,0)</f>
        <v/>
      </c>
      <c r="Z2533">
        <f>IF(ABS(W2533)&gt;1E-12,((LTP3!$D$5)*((P2533)*(V2533)-(U2533)*(R2533))-(S2533)*((S2533)*(V2533)-(U2533)*(T2533))+(LTP3!$D$6)*((S2533)*(R2533)-(P2533)*(T2533)))/W2533,0)</f>
        <v/>
      </c>
      <c r="AA2533">
        <f>LTP3!$D$7-X2533*LTP3!$D$6-Y2533*U2533-Z2533*V2533</f>
        <v/>
      </c>
      <c r="AB2533">
        <f>IF(AND(F2533,ABS(W2533)&gt;1E-12,Y2533&gt;0,Z2533&gt;0),AA2533,1E+300)</f>
        <v/>
      </c>
    </row>
    <row r="2534">
      <c r="A2534">
        <f>$B$3+$B$5*41</f>
        <v/>
      </c>
      <c r="B2534">
        <f>$B$3+$B$5*21</f>
        <v/>
      </c>
      <c r="C2534">
        <f>SUMPRODUCT(Calc!$K$3:$K$22*(Calc!$G$3:$G$22&lt;=A2534))</f>
        <v/>
      </c>
      <c r="D2534">
        <f>SUMPRODUCT(Calc!$K$3:$K$22*(Calc!$G$3:$G$22&gt;A2534)*(Calc!$G$3:$G$22&lt;B2534))</f>
        <v/>
      </c>
      <c r="E2534">
        <f>SUMPRODUCT(Calc!$K$3:$K$22*(Calc!$G$3:$G$22&gt;=B2534))</f>
        <v/>
      </c>
      <c r="F2534">
        <f>AND(k_n&gt;=5,B2534&gt;A2534+1E-9,C2534&gt;=2,D2534&gt;=1,E2534&gt;=2)</f>
        <v/>
      </c>
      <c r="G2534">
        <f>SUMPRODUCT(Calc!$K$3:$K$22*(Calc!$G$3:$G$22&gt;A2534)*(Calc!$G$3:$G$22-A2534))</f>
        <v/>
      </c>
      <c r="H2534">
        <f>SUMPRODUCT(Calc!$K$3:$K$22*(Calc!$G$3:$G$22&gt;B2534)*(Calc!$G$3:$G$22-B2534))</f>
        <v/>
      </c>
      <c r="I2534">
        <f>SUMPRODUCT(Calc!$K$3:$K$22*(Calc!$G$3:$G$22&gt;A2534)*(Calc!$G$3:$G$22-A2534)^2)</f>
        <v/>
      </c>
      <c r="J2534">
        <f>SUMPRODUCT(Calc!$K$3:$K$22*(Calc!$G$3:$G$22&gt;B2534)*(Calc!$G$3:$G$22-B2534)^2)</f>
        <v/>
      </c>
      <c r="K2534">
        <f>SUMPRODUCT(Calc!$K$3:$K$22*(Calc!$G$3:$G$22&gt;A2534)*(Calc!$G$3:$G$22-A2534)*(Calc!$G$3:$G$22&gt;B2534)*(Calc!$G$3:$G$22-B2534))</f>
        <v/>
      </c>
      <c r="L2534">
        <f>SUMPRODUCT(Calc!$K$3:$K$22*(Calc!$G$3:$G$22&gt;A2534)*(Calc!$G$3:$G$22-A2534)*Calc!$G$3:$G$22)</f>
        <v/>
      </c>
      <c r="M2534">
        <f>SUMPRODUCT(Calc!$K$3:$K$22*(Calc!$G$3:$G$22&gt;B2534)*(Calc!$G$3:$G$22-B2534)*Calc!$G$3:$G$22)</f>
        <v/>
      </c>
      <c r="N2534">
        <f>SUMPRODUCT(Calc!$K$3:$K$22*(Calc!$G$3:$G$22&gt;A2534)*(Calc!$G$3:$G$22-A2534)*Calc!$I$3:$I$22)</f>
        <v/>
      </c>
      <c r="O2534">
        <f>SUMPRODUCT(Calc!$K$3:$K$22*(Calc!$G$3:$G$22&gt;B2534)*(Calc!$G$3:$G$22-B2534)*Calc!$I$3:$I$22)</f>
        <v/>
      </c>
      <c r="P2534">
        <f>I2534-G2534^2/k_n</f>
        <v/>
      </c>
      <c r="Q2534">
        <f>J2534-H2534^2/k_n</f>
        <v/>
      </c>
      <c r="R2534">
        <f>K2534-G2534*H2534/k_n</f>
        <v/>
      </c>
      <c r="S2534">
        <f>L2534-LTP3!$D$3*G2534/k_n</f>
        <v/>
      </c>
      <c r="T2534">
        <f>M2534-LTP3!$D$3*H2534/k_n</f>
        <v/>
      </c>
      <c r="U2534">
        <f>N2534-G2534*LTP3!$D$4/k_n</f>
        <v/>
      </c>
      <c r="V2534">
        <f>O2534-H2534*LTP3!$D$4/k_n</f>
        <v/>
      </c>
      <c r="W2534">
        <f>((LTP3!$D$5)*((P2534)*(Q2534)-(R2534)*(R2534))-(S2534)*((S2534)*(Q2534)-(R2534)*(T2534))+(T2534)*((S2534)*(R2534)-(P2534)*(T2534)))</f>
        <v/>
      </c>
      <c r="X2534">
        <f>IF(ABS(W2534)&gt;1E-12,((LTP3!$D$6)*((P2534)*(Q2534)-(R2534)*(R2534))-(S2534)*((U2534)*(Q2534)-(R2534)*(V2534))+(T2534)*((U2534)*(R2534)-(P2534)*(V2534)))/W2534,0)</f>
        <v/>
      </c>
      <c r="Y2534">
        <f>IF(ABS(W2534)&gt;1E-12,((LTP3!$D$5)*((U2534)*(Q2534)-(R2534)*(V2534))-(LTP3!$D$6)*((S2534)*(Q2534)-(R2534)*(T2534))+(T2534)*((S2534)*(V2534)-(U2534)*(T2534)))/W2534,0)</f>
        <v/>
      </c>
      <c r="Z2534">
        <f>IF(ABS(W2534)&gt;1E-12,((LTP3!$D$5)*((P2534)*(V2534)-(U2534)*(R2534))-(S2534)*((S2534)*(V2534)-(U2534)*(T2534))+(LTP3!$D$6)*((S2534)*(R2534)-(P2534)*(T2534)))/W2534,0)</f>
        <v/>
      </c>
      <c r="AA2534">
        <f>LTP3!$D$7-X2534*LTP3!$D$6-Y2534*U2534-Z2534*V2534</f>
        <v/>
      </c>
      <c r="AB2534">
        <f>IF(AND(F2534,ABS(W2534)&gt;1E-12,Y2534&gt;0,Z2534&gt;0),AA2534,1E+300)</f>
        <v/>
      </c>
    </row>
    <row r="2535">
      <c r="A2535">
        <f>$B$3+$B$5*41</f>
        <v/>
      </c>
      <c r="B2535">
        <f>$B$3+$B$5*22</f>
        <v/>
      </c>
      <c r="C2535">
        <f>SUMPRODUCT(Calc!$K$3:$K$22*(Calc!$G$3:$G$22&lt;=A2535))</f>
        <v/>
      </c>
      <c r="D2535">
        <f>SUMPRODUCT(Calc!$K$3:$K$22*(Calc!$G$3:$G$22&gt;A2535)*(Calc!$G$3:$G$22&lt;B2535))</f>
        <v/>
      </c>
      <c r="E2535">
        <f>SUMPRODUCT(Calc!$K$3:$K$22*(Calc!$G$3:$G$22&gt;=B2535))</f>
        <v/>
      </c>
      <c r="F2535">
        <f>AND(k_n&gt;=5,B2535&gt;A2535+1E-9,C2535&gt;=2,D2535&gt;=1,E2535&gt;=2)</f>
        <v/>
      </c>
      <c r="G2535">
        <f>SUMPRODUCT(Calc!$K$3:$K$22*(Calc!$G$3:$G$22&gt;A2535)*(Calc!$G$3:$G$22-A2535))</f>
        <v/>
      </c>
      <c r="H2535">
        <f>SUMPRODUCT(Calc!$K$3:$K$22*(Calc!$G$3:$G$22&gt;B2535)*(Calc!$G$3:$G$22-B2535))</f>
        <v/>
      </c>
      <c r="I2535">
        <f>SUMPRODUCT(Calc!$K$3:$K$22*(Calc!$G$3:$G$22&gt;A2535)*(Calc!$G$3:$G$22-A2535)^2)</f>
        <v/>
      </c>
      <c r="J2535">
        <f>SUMPRODUCT(Calc!$K$3:$K$22*(Calc!$G$3:$G$22&gt;B2535)*(Calc!$G$3:$G$22-B2535)^2)</f>
        <v/>
      </c>
      <c r="K2535">
        <f>SUMPRODUCT(Calc!$K$3:$K$22*(Calc!$G$3:$G$22&gt;A2535)*(Calc!$G$3:$G$22-A2535)*(Calc!$G$3:$G$22&gt;B2535)*(Calc!$G$3:$G$22-B2535))</f>
        <v/>
      </c>
      <c r="L2535">
        <f>SUMPRODUCT(Calc!$K$3:$K$22*(Calc!$G$3:$G$22&gt;A2535)*(Calc!$G$3:$G$22-A2535)*Calc!$G$3:$G$22)</f>
        <v/>
      </c>
      <c r="M2535">
        <f>SUMPRODUCT(Calc!$K$3:$K$22*(Calc!$G$3:$G$22&gt;B2535)*(Calc!$G$3:$G$22-B2535)*Calc!$G$3:$G$22)</f>
        <v/>
      </c>
      <c r="N2535">
        <f>SUMPRODUCT(Calc!$K$3:$K$22*(Calc!$G$3:$G$22&gt;A2535)*(Calc!$G$3:$G$22-A2535)*Calc!$I$3:$I$22)</f>
        <v/>
      </c>
      <c r="O2535">
        <f>SUMPRODUCT(Calc!$K$3:$K$22*(Calc!$G$3:$G$22&gt;B2535)*(Calc!$G$3:$G$22-B2535)*Calc!$I$3:$I$22)</f>
        <v/>
      </c>
      <c r="P2535">
        <f>I2535-G2535^2/k_n</f>
        <v/>
      </c>
      <c r="Q2535">
        <f>J2535-H2535^2/k_n</f>
        <v/>
      </c>
      <c r="R2535">
        <f>K2535-G2535*H2535/k_n</f>
        <v/>
      </c>
      <c r="S2535">
        <f>L2535-LTP3!$D$3*G2535/k_n</f>
        <v/>
      </c>
      <c r="T2535">
        <f>M2535-LTP3!$D$3*H2535/k_n</f>
        <v/>
      </c>
      <c r="U2535">
        <f>N2535-G2535*LTP3!$D$4/k_n</f>
        <v/>
      </c>
      <c r="V2535">
        <f>O2535-H2535*LTP3!$D$4/k_n</f>
        <v/>
      </c>
      <c r="W2535">
        <f>((LTP3!$D$5)*((P2535)*(Q2535)-(R2535)*(R2535))-(S2535)*((S2535)*(Q2535)-(R2535)*(T2535))+(T2535)*((S2535)*(R2535)-(P2535)*(T2535)))</f>
        <v/>
      </c>
      <c r="X2535">
        <f>IF(ABS(W2535)&gt;1E-12,((LTP3!$D$6)*((P2535)*(Q2535)-(R2535)*(R2535))-(S2535)*((U2535)*(Q2535)-(R2535)*(V2535))+(T2535)*((U2535)*(R2535)-(P2535)*(V2535)))/W2535,0)</f>
        <v/>
      </c>
      <c r="Y2535">
        <f>IF(ABS(W2535)&gt;1E-12,((LTP3!$D$5)*((U2535)*(Q2535)-(R2535)*(V2535))-(LTP3!$D$6)*((S2535)*(Q2535)-(R2535)*(T2535))+(T2535)*((S2535)*(V2535)-(U2535)*(T2535)))/W2535,0)</f>
        <v/>
      </c>
      <c r="Z2535">
        <f>IF(ABS(W2535)&gt;1E-12,((LTP3!$D$5)*((P2535)*(V2535)-(U2535)*(R2535))-(S2535)*((S2535)*(V2535)-(U2535)*(T2535))+(LTP3!$D$6)*((S2535)*(R2535)-(P2535)*(T2535)))/W2535,0)</f>
        <v/>
      </c>
      <c r="AA2535">
        <f>LTP3!$D$7-X2535*LTP3!$D$6-Y2535*U2535-Z2535*V2535</f>
        <v/>
      </c>
      <c r="AB2535">
        <f>IF(AND(F2535,ABS(W2535)&gt;1E-12,Y2535&gt;0,Z2535&gt;0),AA2535,1E+300)</f>
        <v/>
      </c>
    </row>
    <row r="2536">
      <c r="A2536">
        <f>$B$3+$B$5*41</f>
        <v/>
      </c>
      <c r="B2536">
        <f>$B$3+$B$5*23</f>
        <v/>
      </c>
      <c r="C2536">
        <f>SUMPRODUCT(Calc!$K$3:$K$22*(Calc!$G$3:$G$22&lt;=A2536))</f>
        <v/>
      </c>
      <c r="D2536">
        <f>SUMPRODUCT(Calc!$K$3:$K$22*(Calc!$G$3:$G$22&gt;A2536)*(Calc!$G$3:$G$22&lt;B2536))</f>
        <v/>
      </c>
      <c r="E2536">
        <f>SUMPRODUCT(Calc!$K$3:$K$22*(Calc!$G$3:$G$22&gt;=B2536))</f>
        <v/>
      </c>
      <c r="F2536">
        <f>AND(k_n&gt;=5,B2536&gt;A2536+1E-9,C2536&gt;=2,D2536&gt;=1,E2536&gt;=2)</f>
        <v/>
      </c>
      <c r="G2536">
        <f>SUMPRODUCT(Calc!$K$3:$K$22*(Calc!$G$3:$G$22&gt;A2536)*(Calc!$G$3:$G$22-A2536))</f>
        <v/>
      </c>
      <c r="H2536">
        <f>SUMPRODUCT(Calc!$K$3:$K$22*(Calc!$G$3:$G$22&gt;B2536)*(Calc!$G$3:$G$22-B2536))</f>
        <v/>
      </c>
      <c r="I2536">
        <f>SUMPRODUCT(Calc!$K$3:$K$22*(Calc!$G$3:$G$22&gt;A2536)*(Calc!$G$3:$G$22-A2536)^2)</f>
        <v/>
      </c>
      <c r="J2536">
        <f>SUMPRODUCT(Calc!$K$3:$K$22*(Calc!$G$3:$G$22&gt;B2536)*(Calc!$G$3:$G$22-B2536)^2)</f>
        <v/>
      </c>
      <c r="K2536">
        <f>SUMPRODUCT(Calc!$K$3:$K$22*(Calc!$G$3:$G$22&gt;A2536)*(Calc!$G$3:$G$22-A2536)*(Calc!$G$3:$G$22&gt;B2536)*(Calc!$G$3:$G$22-B2536))</f>
        <v/>
      </c>
      <c r="L2536">
        <f>SUMPRODUCT(Calc!$K$3:$K$22*(Calc!$G$3:$G$22&gt;A2536)*(Calc!$G$3:$G$22-A2536)*Calc!$G$3:$G$22)</f>
        <v/>
      </c>
      <c r="M2536">
        <f>SUMPRODUCT(Calc!$K$3:$K$22*(Calc!$G$3:$G$22&gt;B2536)*(Calc!$G$3:$G$22-B2536)*Calc!$G$3:$G$22)</f>
        <v/>
      </c>
      <c r="N2536">
        <f>SUMPRODUCT(Calc!$K$3:$K$22*(Calc!$G$3:$G$22&gt;A2536)*(Calc!$G$3:$G$22-A2536)*Calc!$I$3:$I$22)</f>
        <v/>
      </c>
      <c r="O2536">
        <f>SUMPRODUCT(Calc!$K$3:$K$22*(Calc!$G$3:$G$22&gt;B2536)*(Calc!$G$3:$G$22-B2536)*Calc!$I$3:$I$22)</f>
        <v/>
      </c>
      <c r="P2536">
        <f>I2536-G2536^2/k_n</f>
        <v/>
      </c>
      <c r="Q2536">
        <f>J2536-H2536^2/k_n</f>
        <v/>
      </c>
      <c r="R2536">
        <f>K2536-G2536*H2536/k_n</f>
        <v/>
      </c>
      <c r="S2536">
        <f>L2536-LTP3!$D$3*G2536/k_n</f>
        <v/>
      </c>
      <c r="T2536">
        <f>M2536-LTP3!$D$3*H2536/k_n</f>
        <v/>
      </c>
      <c r="U2536">
        <f>N2536-G2536*LTP3!$D$4/k_n</f>
        <v/>
      </c>
      <c r="V2536">
        <f>O2536-H2536*LTP3!$D$4/k_n</f>
        <v/>
      </c>
      <c r="W2536">
        <f>((LTP3!$D$5)*((P2536)*(Q2536)-(R2536)*(R2536))-(S2536)*((S2536)*(Q2536)-(R2536)*(T2536))+(T2536)*((S2536)*(R2536)-(P2536)*(T2536)))</f>
        <v/>
      </c>
      <c r="X2536">
        <f>IF(ABS(W2536)&gt;1E-12,((LTP3!$D$6)*((P2536)*(Q2536)-(R2536)*(R2536))-(S2536)*((U2536)*(Q2536)-(R2536)*(V2536))+(T2536)*((U2536)*(R2536)-(P2536)*(V2536)))/W2536,0)</f>
        <v/>
      </c>
      <c r="Y2536">
        <f>IF(ABS(W2536)&gt;1E-12,((LTP3!$D$5)*((U2536)*(Q2536)-(R2536)*(V2536))-(LTP3!$D$6)*((S2536)*(Q2536)-(R2536)*(T2536))+(T2536)*((S2536)*(V2536)-(U2536)*(T2536)))/W2536,0)</f>
        <v/>
      </c>
      <c r="Z2536">
        <f>IF(ABS(W2536)&gt;1E-12,((LTP3!$D$5)*((P2536)*(V2536)-(U2536)*(R2536))-(S2536)*((S2536)*(V2536)-(U2536)*(T2536))+(LTP3!$D$6)*((S2536)*(R2536)-(P2536)*(T2536)))/W2536,0)</f>
        <v/>
      </c>
      <c r="AA2536">
        <f>LTP3!$D$7-X2536*LTP3!$D$6-Y2536*U2536-Z2536*V2536</f>
        <v/>
      </c>
      <c r="AB2536">
        <f>IF(AND(F2536,ABS(W2536)&gt;1E-12,Y2536&gt;0,Z2536&gt;0),AA2536,1E+300)</f>
        <v/>
      </c>
    </row>
    <row r="2537">
      <c r="A2537">
        <f>$B$3+$B$5*41</f>
        <v/>
      </c>
      <c r="B2537">
        <f>$B$3+$B$5*24</f>
        <v/>
      </c>
      <c r="C2537">
        <f>SUMPRODUCT(Calc!$K$3:$K$22*(Calc!$G$3:$G$22&lt;=A2537))</f>
        <v/>
      </c>
      <c r="D2537">
        <f>SUMPRODUCT(Calc!$K$3:$K$22*(Calc!$G$3:$G$22&gt;A2537)*(Calc!$G$3:$G$22&lt;B2537))</f>
        <v/>
      </c>
      <c r="E2537">
        <f>SUMPRODUCT(Calc!$K$3:$K$22*(Calc!$G$3:$G$22&gt;=B2537))</f>
        <v/>
      </c>
      <c r="F2537">
        <f>AND(k_n&gt;=5,B2537&gt;A2537+1E-9,C2537&gt;=2,D2537&gt;=1,E2537&gt;=2)</f>
        <v/>
      </c>
      <c r="G2537">
        <f>SUMPRODUCT(Calc!$K$3:$K$22*(Calc!$G$3:$G$22&gt;A2537)*(Calc!$G$3:$G$22-A2537))</f>
        <v/>
      </c>
      <c r="H2537">
        <f>SUMPRODUCT(Calc!$K$3:$K$22*(Calc!$G$3:$G$22&gt;B2537)*(Calc!$G$3:$G$22-B2537))</f>
        <v/>
      </c>
      <c r="I2537">
        <f>SUMPRODUCT(Calc!$K$3:$K$22*(Calc!$G$3:$G$22&gt;A2537)*(Calc!$G$3:$G$22-A2537)^2)</f>
        <v/>
      </c>
      <c r="J2537">
        <f>SUMPRODUCT(Calc!$K$3:$K$22*(Calc!$G$3:$G$22&gt;B2537)*(Calc!$G$3:$G$22-B2537)^2)</f>
        <v/>
      </c>
      <c r="K2537">
        <f>SUMPRODUCT(Calc!$K$3:$K$22*(Calc!$G$3:$G$22&gt;A2537)*(Calc!$G$3:$G$22-A2537)*(Calc!$G$3:$G$22&gt;B2537)*(Calc!$G$3:$G$22-B2537))</f>
        <v/>
      </c>
      <c r="L2537">
        <f>SUMPRODUCT(Calc!$K$3:$K$22*(Calc!$G$3:$G$22&gt;A2537)*(Calc!$G$3:$G$22-A2537)*Calc!$G$3:$G$22)</f>
        <v/>
      </c>
      <c r="M2537">
        <f>SUMPRODUCT(Calc!$K$3:$K$22*(Calc!$G$3:$G$22&gt;B2537)*(Calc!$G$3:$G$22-B2537)*Calc!$G$3:$G$22)</f>
        <v/>
      </c>
      <c r="N2537">
        <f>SUMPRODUCT(Calc!$K$3:$K$22*(Calc!$G$3:$G$22&gt;A2537)*(Calc!$G$3:$G$22-A2537)*Calc!$I$3:$I$22)</f>
        <v/>
      </c>
      <c r="O2537">
        <f>SUMPRODUCT(Calc!$K$3:$K$22*(Calc!$G$3:$G$22&gt;B2537)*(Calc!$G$3:$G$22-B2537)*Calc!$I$3:$I$22)</f>
        <v/>
      </c>
      <c r="P2537">
        <f>I2537-G2537^2/k_n</f>
        <v/>
      </c>
      <c r="Q2537">
        <f>J2537-H2537^2/k_n</f>
        <v/>
      </c>
      <c r="R2537">
        <f>K2537-G2537*H2537/k_n</f>
        <v/>
      </c>
      <c r="S2537">
        <f>L2537-LTP3!$D$3*G2537/k_n</f>
        <v/>
      </c>
      <c r="T2537">
        <f>M2537-LTP3!$D$3*H2537/k_n</f>
        <v/>
      </c>
      <c r="U2537">
        <f>N2537-G2537*LTP3!$D$4/k_n</f>
        <v/>
      </c>
      <c r="V2537">
        <f>O2537-H2537*LTP3!$D$4/k_n</f>
        <v/>
      </c>
      <c r="W2537">
        <f>((LTP3!$D$5)*((P2537)*(Q2537)-(R2537)*(R2537))-(S2537)*((S2537)*(Q2537)-(R2537)*(T2537))+(T2537)*((S2537)*(R2537)-(P2537)*(T2537)))</f>
        <v/>
      </c>
      <c r="X2537">
        <f>IF(ABS(W2537)&gt;1E-12,((LTP3!$D$6)*((P2537)*(Q2537)-(R2537)*(R2537))-(S2537)*((U2537)*(Q2537)-(R2537)*(V2537))+(T2537)*((U2537)*(R2537)-(P2537)*(V2537)))/W2537,0)</f>
        <v/>
      </c>
      <c r="Y2537">
        <f>IF(ABS(W2537)&gt;1E-12,((LTP3!$D$5)*((U2537)*(Q2537)-(R2537)*(V2537))-(LTP3!$D$6)*((S2537)*(Q2537)-(R2537)*(T2537))+(T2537)*((S2537)*(V2537)-(U2537)*(T2537)))/W2537,0)</f>
        <v/>
      </c>
      <c r="Z2537">
        <f>IF(ABS(W2537)&gt;1E-12,((LTP3!$D$5)*((P2537)*(V2537)-(U2537)*(R2537))-(S2537)*((S2537)*(V2537)-(U2537)*(T2537))+(LTP3!$D$6)*((S2537)*(R2537)-(P2537)*(T2537)))/W2537,0)</f>
        <v/>
      </c>
      <c r="AA2537">
        <f>LTP3!$D$7-X2537*LTP3!$D$6-Y2537*U2537-Z2537*V2537</f>
        <v/>
      </c>
      <c r="AB2537">
        <f>IF(AND(F2537,ABS(W2537)&gt;1E-12,Y2537&gt;0,Z2537&gt;0),AA2537,1E+300)</f>
        <v/>
      </c>
    </row>
    <row r="2538">
      <c r="A2538">
        <f>$B$3+$B$5*41</f>
        <v/>
      </c>
      <c r="B2538">
        <f>$B$3+$B$5*25</f>
        <v/>
      </c>
      <c r="C2538">
        <f>SUMPRODUCT(Calc!$K$3:$K$22*(Calc!$G$3:$G$22&lt;=A2538))</f>
        <v/>
      </c>
      <c r="D2538">
        <f>SUMPRODUCT(Calc!$K$3:$K$22*(Calc!$G$3:$G$22&gt;A2538)*(Calc!$G$3:$G$22&lt;B2538))</f>
        <v/>
      </c>
      <c r="E2538">
        <f>SUMPRODUCT(Calc!$K$3:$K$22*(Calc!$G$3:$G$22&gt;=B2538))</f>
        <v/>
      </c>
      <c r="F2538">
        <f>AND(k_n&gt;=5,B2538&gt;A2538+1E-9,C2538&gt;=2,D2538&gt;=1,E2538&gt;=2)</f>
        <v/>
      </c>
      <c r="G2538">
        <f>SUMPRODUCT(Calc!$K$3:$K$22*(Calc!$G$3:$G$22&gt;A2538)*(Calc!$G$3:$G$22-A2538))</f>
        <v/>
      </c>
      <c r="H2538">
        <f>SUMPRODUCT(Calc!$K$3:$K$22*(Calc!$G$3:$G$22&gt;B2538)*(Calc!$G$3:$G$22-B2538))</f>
        <v/>
      </c>
      <c r="I2538">
        <f>SUMPRODUCT(Calc!$K$3:$K$22*(Calc!$G$3:$G$22&gt;A2538)*(Calc!$G$3:$G$22-A2538)^2)</f>
        <v/>
      </c>
      <c r="J2538">
        <f>SUMPRODUCT(Calc!$K$3:$K$22*(Calc!$G$3:$G$22&gt;B2538)*(Calc!$G$3:$G$22-B2538)^2)</f>
        <v/>
      </c>
      <c r="K2538">
        <f>SUMPRODUCT(Calc!$K$3:$K$22*(Calc!$G$3:$G$22&gt;A2538)*(Calc!$G$3:$G$22-A2538)*(Calc!$G$3:$G$22&gt;B2538)*(Calc!$G$3:$G$22-B2538))</f>
        <v/>
      </c>
      <c r="L2538">
        <f>SUMPRODUCT(Calc!$K$3:$K$22*(Calc!$G$3:$G$22&gt;A2538)*(Calc!$G$3:$G$22-A2538)*Calc!$G$3:$G$22)</f>
        <v/>
      </c>
      <c r="M2538">
        <f>SUMPRODUCT(Calc!$K$3:$K$22*(Calc!$G$3:$G$22&gt;B2538)*(Calc!$G$3:$G$22-B2538)*Calc!$G$3:$G$22)</f>
        <v/>
      </c>
      <c r="N2538">
        <f>SUMPRODUCT(Calc!$K$3:$K$22*(Calc!$G$3:$G$22&gt;A2538)*(Calc!$G$3:$G$22-A2538)*Calc!$I$3:$I$22)</f>
        <v/>
      </c>
      <c r="O2538">
        <f>SUMPRODUCT(Calc!$K$3:$K$22*(Calc!$G$3:$G$22&gt;B2538)*(Calc!$G$3:$G$22-B2538)*Calc!$I$3:$I$22)</f>
        <v/>
      </c>
      <c r="P2538">
        <f>I2538-G2538^2/k_n</f>
        <v/>
      </c>
      <c r="Q2538">
        <f>J2538-H2538^2/k_n</f>
        <v/>
      </c>
      <c r="R2538">
        <f>K2538-G2538*H2538/k_n</f>
        <v/>
      </c>
      <c r="S2538">
        <f>L2538-LTP3!$D$3*G2538/k_n</f>
        <v/>
      </c>
      <c r="T2538">
        <f>M2538-LTP3!$D$3*H2538/k_n</f>
        <v/>
      </c>
      <c r="U2538">
        <f>N2538-G2538*LTP3!$D$4/k_n</f>
        <v/>
      </c>
      <c r="V2538">
        <f>O2538-H2538*LTP3!$D$4/k_n</f>
        <v/>
      </c>
      <c r="W2538">
        <f>((LTP3!$D$5)*((P2538)*(Q2538)-(R2538)*(R2538))-(S2538)*((S2538)*(Q2538)-(R2538)*(T2538))+(T2538)*((S2538)*(R2538)-(P2538)*(T2538)))</f>
        <v/>
      </c>
      <c r="X2538">
        <f>IF(ABS(W2538)&gt;1E-12,((LTP3!$D$6)*((P2538)*(Q2538)-(R2538)*(R2538))-(S2538)*((U2538)*(Q2538)-(R2538)*(V2538))+(T2538)*((U2538)*(R2538)-(P2538)*(V2538)))/W2538,0)</f>
        <v/>
      </c>
      <c r="Y2538">
        <f>IF(ABS(W2538)&gt;1E-12,((LTP3!$D$5)*((U2538)*(Q2538)-(R2538)*(V2538))-(LTP3!$D$6)*((S2538)*(Q2538)-(R2538)*(T2538))+(T2538)*((S2538)*(V2538)-(U2538)*(T2538)))/W2538,0)</f>
        <v/>
      </c>
      <c r="Z2538">
        <f>IF(ABS(W2538)&gt;1E-12,((LTP3!$D$5)*((P2538)*(V2538)-(U2538)*(R2538))-(S2538)*((S2538)*(V2538)-(U2538)*(T2538))+(LTP3!$D$6)*((S2538)*(R2538)-(P2538)*(T2538)))/W2538,0)</f>
        <v/>
      </c>
      <c r="AA2538">
        <f>LTP3!$D$7-X2538*LTP3!$D$6-Y2538*U2538-Z2538*V2538</f>
        <v/>
      </c>
      <c r="AB2538">
        <f>IF(AND(F2538,ABS(W2538)&gt;1E-12,Y2538&gt;0,Z2538&gt;0),AA2538,1E+300)</f>
        <v/>
      </c>
    </row>
    <row r="2539">
      <c r="A2539">
        <f>$B$3+$B$5*41</f>
        <v/>
      </c>
      <c r="B2539">
        <f>$B$3+$B$5*26</f>
        <v/>
      </c>
      <c r="C2539">
        <f>SUMPRODUCT(Calc!$K$3:$K$22*(Calc!$G$3:$G$22&lt;=A2539))</f>
        <v/>
      </c>
      <c r="D2539">
        <f>SUMPRODUCT(Calc!$K$3:$K$22*(Calc!$G$3:$G$22&gt;A2539)*(Calc!$G$3:$G$22&lt;B2539))</f>
        <v/>
      </c>
      <c r="E2539">
        <f>SUMPRODUCT(Calc!$K$3:$K$22*(Calc!$G$3:$G$22&gt;=B2539))</f>
        <v/>
      </c>
      <c r="F2539">
        <f>AND(k_n&gt;=5,B2539&gt;A2539+1E-9,C2539&gt;=2,D2539&gt;=1,E2539&gt;=2)</f>
        <v/>
      </c>
      <c r="G2539">
        <f>SUMPRODUCT(Calc!$K$3:$K$22*(Calc!$G$3:$G$22&gt;A2539)*(Calc!$G$3:$G$22-A2539))</f>
        <v/>
      </c>
      <c r="H2539">
        <f>SUMPRODUCT(Calc!$K$3:$K$22*(Calc!$G$3:$G$22&gt;B2539)*(Calc!$G$3:$G$22-B2539))</f>
        <v/>
      </c>
      <c r="I2539">
        <f>SUMPRODUCT(Calc!$K$3:$K$22*(Calc!$G$3:$G$22&gt;A2539)*(Calc!$G$3:$G$22-A2539)^2)</f>
        <v/>
      </c>
      <c r="J2539">
        <f>SUMPRODUCT(Calc!$K$3:$K$22*(Calc!$G$3:$G$22&gt;B2539)*(Calc!$G$3:$G$22-B2539)^2)</f>
        <v/>
      </c>
      <c r="K2539">
        <f>SUMPRODUCT(Calc!$K$3:$K$22*(Calc!$G$3:$G$22&gt;A2539)*(Calc!$G$3:$G$22-A2539)*(Calc!$G$3:$G$22&gt;B2539)*(Calc!$G$3:$G$22-B2539))</f>
        <v/>
      </c>
      <c r="L2539">
        <f>SUMPRODUCT(Calc!$K$3:$K$22*(Calc!$G$3:$G$22&gt;A2539)*(Calc!$G$3:$G$22-A2539)*Calc!$G$3:$G$22)</f>
        <v/>
      </c>
      <c r="M2539">
        <f>SUMPRODUCT(Calc!$K$3:$K$22*(Calc!$G$3:$G$22&gt;B2539)*(Calc!$G$3:$G$22-B2539)*Calc!$G$3:$G$22)</f>
        <v/>
      </c>
      <c r="N2539">
        <f>SUMPRODUCT(Calc!$K$3:$K$22*(Calc!$G$3:$G$22&gt;A2539)*(Calc!$G$3:$G$22-A2539)*Calc!$I$3:$I$22)</f>
        <v/>
      </c>
      <c r="O2539">
        <f>SUMPRODUCT(Calc!$K$3:$K$22*(Calc!$G$3:$G$22&gt;B2539)*(Calc!$G$3:$G$22-B2539)*Calc!$I$3:$I$22)</f>
        <v/>
      </c>
      <c r="P2539">
        <f>I2539-G2539^2/k_n</f>
        <v/>
      </c>
      <c r="Q2539">
        <f>J2539-H2539^2/k_n</f>
        <v/>
      </c>
      <c r="R2539">
        <f>K2539-G2539*H2539/k_n</f>
        <v/>
      </c>
      <c r="S2539">
        <f>L2539-LTP3!$D$3*G2539/k_n</f>
        <v/>
      </c>
      <c r="T2539">
        <f>M2539-LTP3!$D$3*H2539/k_n</f>
        <v/>
      </c>
      <c r="U2539">
        <f>N2539-G2539*LTP3!$D$4/k_n</f>
        <v/>
      </c>
      <c r="V2539">
        <f>O2539-H2539*LTP3!$D$4/k_n</f>
        <v/>
      </c>
      <c r="W2539">
        <f>((LTP3!$D$5)*((P2539)*(Q2539)-(R2539)*(R2539))-(S2539)*((S2539)*(Q2539)-(R2539)*(T2539))+(T2539)*((S2539)*(R2539)-(P2539)*(T2539)))</f>
        <v/>
      </c>
      <c r="X2539">
        <f>IF(ABS(W2539)&gt;1E-12,((LTP3!$D$6)*((P2539)*(Q2539)-(R2539)*(R2539))-(S2539)*((U2539)*(Q2539)-(R2539)*(V2539))+(T2539)*((U2539)*(R2539)-(P2539)*(V2539)))/W2539,0)</f>
        <v/>
      </c>
      <c r="Y2539">
        <f>IF(ABS(W2539)&gt;1E-12,((LTP3!$D$5)*((U2539)*(Q2539)-(R2539)*(V2539))-(LTP3!$D$6)*((S2539)*(Q2539)-(R2539)*(T2539))+(T2539)*((S2539)*(V2539)-(U2539)*(T2539)))/W2539,0)</f>
        <v/>
      </c>
      <c r="Z2539">
        <f>IF(ABS(W2539)&gt;1E-12,((LTP3!$D$5)*((P2539)*(V2539)-(U2539)*(R2539))-(S2539)*((S2539)*(V2539)-(U2539)*(T2539))+(LTP3!$D$6)*((S2539)*(R2539)-(P2539)*(T2539)))/W2539,0)</f>
        <v/>
      </c>
      <c r="AA2539">
        <f>LTP3!$D$7-X2539*LTP3!$D$6-Y2539*U2539-Z2539*V2539</f>
        <v/>
      </c>
      <c r="AB2539">
        <f>IF(AND(F2539,ABS(W2539)&gt;1E-12,Y2539&gt;0,Z2539&gt;0),AA2539,1E+300)</f>
        <v/>
      </c>
    </row>
    <row r="2540">
      <c r="A2540">
        <f>$B$3+$B$5*41</f>
        <v/>
      </c>
      <c r="B2540">
        <f>$B$3+$B$5*27</f>
        <v/>
      </c>
      <c r="C2540">
        <f>SUMPRODUCT(Calc!$K$3:$K$22*(Calc!$G$3:$G$22&lt;=A2540))</f>
        <v/>
      </c>
      <c r="D2540">
        <f>SUMPRODUCT(Calc!$K$3:$K$22*(Calc!$G$3:$G$22&gt;A2540)*(Calc!$G$3:$G$22&lt;B2540))</f>
        <v/>
      </c>
      <c r="E2540">
        <f>SUMPRODUCT(Calc!$K$3:$K$22*(Calc!$G$3:$G$22&gt;=B2540))</f>
        <v/>
      </c>
      <c r="F2540">
        <f>AND(k_n&gt;=5,B2540&gt;A2540+1E-9,C2540&gt;=2,D2540&gt;=1,E2540&gt;=2)</f>
        <v/>
      </c>
      <c r="G2540">
        <f>SUMPRODUCT(Calc!$K$3:$K$22*(Calc!$G$3:$G$22&gt;A2540)*(Calc!$G$3:$G$22-A2540))</f>
        <v/>
      </c>
      <c r="H2540">
        <f>SUMPRODUCT(Calc!$K$3:$K$22*(Calc!$G$3:$G$22&gt;B2540)*(Calc!$G$3:$G$22-B2540))</f>
        <v/>
      </c>
      <c r="I2540">
        <f>SUMPRODUCT(Calc!$K$3:$K$22*(Calc!$G$3:$G$22&gt;A2540)*(Calc!$G$3:$G$22-A2540)^2)</f>
        <v/>
      </c>
      <c r="J2540">
        <f>SUMPRODUCT(Calc!$K$3:$K$22*(Calc!$G$3:$G$22&gt;B2540)*(Calc!$G$3:$G$22-B2540)^2)</f>
        <v/>
      </c>
      <c r="K2540">
        <f>SUMPRODUCT(Calc!$K$3:$K$22*(Calc!$G$3:$G$22&gt;A2540)*(Calc!$G$3:$G$22-A2540)*(Calc!$G$3:$G$22&gt;B2540)*(Calc!$G$3:$G$22-B2540))</f>
        <v/>
      </c>
      <c r="L2540">
        <f>SUMPRODUCT(Calc!$K$3:$K$22*(Calc!$G$3:$G$22&gt;A2540)*(Calc!$G$3:$G$22-A2540)*Calc!$G$3:$G$22)</f>
        <v/>
      </c>
      <c r="M2540">
        <f>SUMPRODUCT(Calc!$K$3:$K$22*(Calc!$G$3:$G$22&gt;B2540)*(Calc!$G$3:$G$22-B2540)*Calc!$G$3:$G$22)</f>
        <v/>
      </c>
      <c r="N2540">
        <f>SUMPRODUCT(Calc!$K$3:$K$22*(Calc!$G$3:$G$22&gt;A2540)*(Calc!$G$3:$G$22-A2540)*Calc!$I$3:$I$22)</f>
        <v/>
      </c>
      <c r="O2540">
        <f>SUMPRODUCT(Calc!$K$3:$K$22*(Calc!$G$3:$G$22&gt;B2540)*(Calc!$G$3:$G$22-B2540)*Calc!$I$3:$I$22)</f>
        <v/>
      </c>
      <c r="P2540">
        <f>I2540-G2540^2/k_n</f>
        <v/>
      </c>
      <c r="Q2540">
        <f>J2540-H2540^2/k_n</f>
        <v/>
      </c>
      <c r="R2540">
        <f>K2540-G2540*H2540/k_n</f>
        <v/>
      </c>
      <c r="S2540">
        <f>L2540-LTP3!$D$3*G2540/k_n</f>
        <v/>
      </c>
      <c r="T2540">
        <f>M2540-LTP3!$D$3*H2540/k_n</f>
        <v/>
      </c>
      <c r="U2540">
        <f>N2540-G2540*LTP3!$D$4/k_n</f>
        <v/>
      </c>
      <c r="V2540">
        <f>O2540-H2540*LTP3!$D$4/k_n</f>
        <v/>
      </c>
      <c r="W2540">
        <f>((LTP3!$D$5)*((P2540)*(Q2540)-(R2540)*(R2540))-(S2540)*((S2540)*(Q2540)-(R2540)*(T2540))+(T2540)*((S2540)*(R2540)-(P2540)*(T2540)))</f>
        <v/>
      </c>
      <c r="X2540">
        <f>IF(ABS(W2540)&gt;1E-12,((LTP3!$D$6)*((P2540)*(Q2540)-(R2540)*(R2540))-(S2540)*((U2540)*(Q2540)-(R2540)*(V2540))+(T2540)*((U2540)*(R2540)-(P2540)*(V2540)))/W2540,0)</f>
        <v/>
      </c>
      <c r="Y2540">
        <f>IF(ABS(W2540)&gt;1E-12,((LTP3!$D$5)*((U2540)*(Q2540)-(R2540)*(V2540))-(LTP3!$D$6)*((S2540)*(Q2540)-(R2540)*(T2540))+(T2540)*((S2540)*(V2540)-(U2540)*(T2540)))/W2540,0)</f>
        <v/>
      </c>
      <c r="Z2540">
        <f>IF(ABS(W2540)&gt;1E-12,((LTP3!$D$5)*((P2540)*(V2540)-(U2540)*(R2540))-(S2540)*((S2540)*(V2540)-(U2540)*(T2540))+(LTP3!$D$6)*((S2540)*(R2540)-(P2540)*(T2540)))/W2540,0)</f>
        <v/>
      </c>
      <c r="AA2540">
        <f>LTP3!$D$7-X2540*LTP3!$D$6-Y2540*U2540-Z2540*V2540</f>
        <v/>
      </c>
      <c r="AB2540">
        <f>IF(AND(F2540,ABS(W2540)&gt;1E-12,Y2540&gt;0,Z2540&gt;0),AA2540,1E+300)</f>
        <v/>
      </c>
    </row>
    <row r="2541">
      <c r="A2541">
        <f>$B$3+$B$5*41</f>
        <v/>
      </c>
      <c r="B2541">
        <f>$B$3+$B$5*28</f>
        <v/>
      </c>
      <c r="C2541">
        <f>SUMPRODUCT(Calc!$K$3:$K$22*(Calc!$G$3:$G$22&lt;=A2541))</f>
        <v/>
      </c>
      <c r="D2541">
        <f>SUMPRODUCT(Calc!$K$3:$K$22*(Calc!$G$3:$G$22&gt;A2541)*(Calc!$G$3:$G$22&lt;B2541))</f>
        <v/>
      </c>
      <c r="E2541">
        <f>SUMPRODUCT(Calc!$K$3:$K$22*(Calc!$G$3:$G$22&gt;=B2541))</f>
        <v/>
      </c>
      <c r="F2541">
        <f>AND(k_n&gt;=5,B2541&gt;A2541+1E-9,C2541&gt;=2,D2541&gt;=1,E2541&gt;=2)</f>
        <v/>
      </c>
      <c r="G2541">
        <f>SUMPRODUCT(Calc!$K$3:$K$22*(Calc!$G$3:$G$22&gt;A2541)*(Calc!$G$3:$G$22-A2541))</f>
        <v/>
      </c>
      <c r="H2541">
        <f>SUMPRODUCT(Calc!$K$3:$K$22*(Calc!$G$3:$G$22&gt;B2541)*(Calc!$G$3:$G$22-B2541))</f>
        <v/>
      </c>
      <c r="I2541">
        <f>SUMPRODUCT(Calc!$K$3:$K$22*(Calc!$G$3:$G$22&gt;A2541)*(Calc!$G$3:$G$22-A2541)^2)</f>
        <v/>
      </c>
      <c r="J2541">
        <f>SUMPRODUCT(Calc!$K$3:$K$22*(Calc!$G$3:$G$22&gt;B2541)*(Calc!$G$3:$G$22-B2541)^2)</f>
        <v/>
      </c>
      <c r="K2541">
        <f>SUMPRODUCT(Calc!$K$3:$K$22*(Calc!$G$3:$G$22&gt;A2541)*(Calc!$G$3:$G$22-A2541)*(Calc!$G$3:$G$22&gt;B2541)*(Calc!$G$3:$G$22-B2541))</f>
        <v/>
      </c>
      <c r="L2541">
        <f>SUMPRODUCT(Calc!$K$3:$K$22*(Calc!$G$3:$G$22&gt;A2541)*(Calc!$G$3:$G$22-A2541)*Calc!$G$3:$G$22)</f>
        <v/>
      </c>
      <c r="M2541">
        <f>SUMPRODUCT(Calc!$K$3:$K$22*(Calc!$G$3:$G$22&gt;B2541)*(Calc!$G$3:$G$22-B2541)*Calc!$G$3:$G$22)</f>
        <v/>
      </c>
      <c r="N2541">
        <f>SUMPRODUCT(Calc!$K$3:$K$22*(Calc!$G$3:$G$22&gt;A2541)*(Calc!$G$3:$G$22-A2541)*Calc!$I$3:$I$22)</f>
        <v/>
      </c>
      <c r="O2541">
        <f>SUMPRODUCT(Calc!$K$3:$K$22*(Calc!$G$3:$G$22&gt;B2541)*(Calc!$G$3:$G$22-B2541)*Calc!$I$3:$I$22)</f>
        <v/>
      </c>
      <c r="P2541">
        <f>I2541-G2541^2/k_n</f>
        <v/>
      </c>
      <c r="Q2541">
        <f>J2541-H2541^2/k_n</f>
        <v/>
      </c>
      <c r="R2541">
        <f>K2541-G2541*H2541/k_n</f>
        <v/>
      </c>
      <c r="S2541">
        <f>L2541-LTP3!$D$3*G2541/k_n</f>
        <v/>
      </c>
      <c r="T2541">
        <f>M2541-LTP3!$D$3*H2541/k_n</f>
        <v/>
      </c>
      <c r="U2541">
        <f>N2541-G2541*LTP3!$D$4/k_n</f>
        <v/>
      </c>
      <c r="V2541">
        <f>O2541-H2541*LTP3!$D$4/k_n</f>
        <v/>
      </c>
      <c r="W2541">
        <f>((LTP3!$D$5)*((P2541)*(Q2541)-(R2541)*(R2541))-(S2541)*((S2541)*(Q2541)-(R2541)*(T2541))+(T2541)*((S2541)*(R2541)-(P2541)*(T2541)))</f>
        <v/>
      </c>
      <c r="X2541">
        <f>IF(ABS(W2541)&gt;1E-12,((LTP3!$D$6)*((P2541)*(Q2541)-(R2541)*(R2541))-(S2541)*((U2541)*(Q2541)-(R2541)*(V2541))+(T2541)*((U2541)*(R2541)-(P2541)*(V2541)))/W2541,0)</f>
        <v/>
      </c>
      <c r="Y2541">
        <f>IF(ABS(W2541)&gt;1E-12,((LTP3!$D$5)*((U2541)*(Q2541)-(R2541)*(V2541))-(LTP3!$D$6)*((S2541)*(Q2541)-(R2541)*(T2541))+(T2541)*((S2541)*(V2541)-(U2541)*(T2541)))/W2541,0)</f>
        <v/>
      </c>
      <c r="Z2541">
        <f>IF(ABS(W2541)&gt;1E-12,((LTP3!$D$5)*((P2541)*(V2541)-(U2541)*(R2541))-(S2541)*((S2541)*(V2541)-(U2541)*(T2541))+(LTP3!$D$6)*((S2541)*(R2541)-(P2541)*(T2541)))/W2541,0)</f>
        <v/>
      </c>
      <c r="AA2541">
        <f>LTP3!$D$7-X2541*LTP3!$D$6-Y2541*U2541-Z2541*V2541</f>
        <v/>
      </c>
      <c r="AB2541">
        <f>IF(AND(F2541,ABS(W2541)&gt;1E-12,Y2541&gt;0,Z2541&gt;0),AA2541,1E+300)</f>
        <v/>
      </c>
    </row>
    <row r="2542">
      <c r="A2542">
        <f>$B$3+$B$5*41</f>
        <v/>
      </c>
      <c r="B2542">
        <f>$B$3+$B$5*29</f>
        <v/>
      </c>
      <c r="C2542">
        <f>SUMPRODUCT(Calc!$K$3:$K$22*(Calc!$G$3:$G$22&lt;=A2542))</f>
        <v/>
      </c>
      <c r="D2542">
        <f>SUMPRODUCT(Calc!$K$3:$K$22*(Calc!$G$3:$G$22&gt;A2542)*(Calc!$G$3:$G$22&lt;B2542))</f>
        <v/>
      </c>
      <c r="E2542">
        <f>SUMPRODUCT(Calc!$K$3:$K$22*(Calc!$G$3:$G$22&gt;=B2542))</f>
        <v/>
      </c>
      <c r="F2542">
        <f>AND(k_n&gt;=5,B2542&gt;A2542+1E-9,C2542&gt;=2,D2542&gt;=1,E2542&gt;=2)</f>
        <v/>
      </c>
      <c r="G2542">
        <f>SUMPRODUCT(Calc!$K$3:$K$22*(Calc!$G$3:$G$22&gt;A2542)*(Calc!$G$3:$G$22-A2542))</f>
        <v/>
      </c>
      <c r="H2542">
        <f>SUMPRODUCT(Calc!$K$3:$K$22*(Calc!$G$3:$G$22&gt;B2542)*(Calc!$G$3:$G$22-B2542))</f>
        <v/>
      </c>
      <c r="I2542">
        <f>SUMPRODUCT(Calc!$K$3:$K$22*(Calc!$G$3:$G$22&gt;A2542)*(Calc!$G$3:$G$22-A2542)^2)</f>
        <v/>
      </c>
      <c r="J2542">
        <f>SUMPRODUCT(Calc!$K$3:$K$22*(Calc!$G$3:$G$22&gt;B2542)*(Calc!$G$3:$G$22-B2542)^2)</f>
        <v/>
      </c>
      <c r="K2542">
        <f>SUMPRODUCT(Calc!$K$3:$K$22*(Calc!$G$3:$G$22&gt;A2542)*(Calc!$G$3:$G$22-A2542)*(Calc!$G$3:$G$22&gt;B2542)*(Calc!$G$3:$G$22-B2542))</f>
        <v/>
      </c>
      <c r="L2542">
        <f>SUMPRODUCT(Calc!$K$3:$K$22*(Calc!$G$3:$G$22&gt;A2542)*(Calc!$G$3:$G$22-A2542)*Calc!$G$3:$G$22)</f>
        <v/>
      </c>
      <c r="M2542">
        <f>SUMPRODUCT(Calc!$K$3:$K$22*(Calc!$G$3:$G$22&gt;B2542)*(Calc!$G$3:$G$22-B2542)*Calc!$G$3:$G$22)</f>
        <v/>
      </c>
      <c r="N2542">
        <f>SUMPRODUCT(Calc!$K$3:$K$22*(Calc!$G$3:$G$22&gt;A2542)*(Calc!$G$3:$G$22-A2542)*Calc!$I$3:$I$22)</f>
        <v/>
      </c>
      <c r="O2542">
        <f>SUMPRODUCT(Calc!$K$3:$K$22*(Calc!$G$3:$G$22&gt;B2542)*(Calc!$G$3:$G$22-B2542)*Calc!$I$3:$I$22)</f>
        <v/>
      </c>
      <c r="P2542">
        <f>I2542-G2542^2/k_n</f>
        <v/>
      </c>
      <c r="Q2542">
        <f>J2542-H2542^2/k_n</f>
        <v/>
      </c>
      <c r="R2542">
        <f>K2542-G2542*H2542/k_n</f>
        <v/>
      </c>
      <c r="S2542">
        <f>L2542-LTP3!$D$3*G2542/k_n</f>
        <v/>
      </c>
      <c r="T2542">
        <f>M2542-LTP3!$D$3*H2542/k_n</f>
        <v/>
      </c>
      <c r="U2542">
        <f>N2542-G2542*LTP3!$D$4/k_n</f>
        <v/>
      </c>
      <c r="V2542">
        <f>O2542-H2542*LTP3!$D$4/k_n</f>
        <v/>
      </c>
      <c r="W2542">
        <f>((LTP3!$D$5)*((P2542)*(Q2542)-(R2542)*(R2542))-(S2542)*((S2542)*(Q2542)-(R2542)*(T2542))+(T2542)*((S2542)*(R2542)-(P2542)*(T2542)))</f>
        <v/>
      </c>
      <c r="X2542">
        <f>IF(ABS(W2542)&gt;1E-12,((LTP3!$D$6)*((P2542)*(Q2542)-(R2542)*(R2542))-(S2542)*((U2542)*(Q2542)-(R2542)*(V2542))+(T2542)*((U2542)*(R2542)-(P2542)*(V2542)))/W2542,0)</f>
        <v/>
      </c>
      <c r="Y2542">
        <f>IF(ABS(W2542)&gt;1E-12,((LTP3!$D$5)*((U2542)*(Q2542)-(R2542)*(V2542))-(LTP3!$D$6)*((S2542)*(Q2542)-(R2542)*(T2542))+(T2542)*((S2542)*(V2542)-(U2542)*(T2542)))/W2542,0)</f>
        <v/>
      </c>
      <c r="Z2542">
        <f>IF(ABS(W2542)&gt;1E-12,((LTP3!$D$5)*((P2542)*(V2542)-(U2542)*(R2542))-(S2542)*((S2542)*(V2542)-(U2542)*(T2542))+(LTP3!$D$6)*((S2542)*(R2542)-(P2542)*(T2542)))/W2542,0)</f>
        <v/>
      </c>
      <c r="AA2542">
        <f>LTP3!$D$7-X2542*LTP3!$D$6-Y2542*U2542-Z2542*V2542</f>
        <v/>
      </c>
      <c r="AB2542">
        <f>IF(AND(F2542,ABS(W2542)&gt;1E-12,Y2542&gt;0,Z2542&gt;0),AA2542,1E+300)</f>
        <v/>
      </c>
    </row>
    <row r="2543">
      <c r="A2543">
        <f>$B$3+$B$5*41</f>
        <v/>
      </c>
      <c r="B2543">
        <f>$B$3+$B$5*30</f>
        <v/>
      </c>
      <c r="C2543">
        <f>SUMPRODUCT(Calc!$K$3:$K$22*(Calc!$G$3:$G$22&lt;=A2543))</f>
        <v/>
      </c>
      <c r="D2543">
        <f>SUMPRODUCT(Calc!$K$3:$K$22*(Calc!$G$3:$G$22&gt;A2543)*(Calc!$G$3:$G$22&lt;B2543))</f>
        <v/>
      </c>
      <c r="E2543">
        <f>SUMPRODUCT(Calc!$K$3:$K$22*(Calc!$G$3:$G$22&gt;=B2543))</f>
        <v/>
      </c>
      <c r="F2543">
        <f>AND(k_n&gt;=5,B2543&gt;A2543+1E-9,C2543&gt;=2,D2543&gt;=1,E2543&gt;=2)</f>
        <v/>
      </c>
      <c r="G2543">
        <f>SUMPRODUCT(Calc!$K$3:$K$22*(Calc!$G$3:$G$22&gt;A2543)*(Calc!$G$3:$G$22-A2543))</f>
        <v/>
      </c>
      <c r="H2543">
        <f>SUMPRODUCT(Calc!$K$3:$K$22*(Calc!$G$3:$G$22&gt;B2543)*(Calc!$G$3:$G$22-B2543))</f>
        <v/>
      </c>
      <c r="I2543">
        <f>SUMPRODUCT(Calc!$K$3:$K$22*(Calc!$G$3:$G$22&gt;A2543)*(Calc!$G$3:$G$22-A2543)^2)</f>
        <v/>
      </c>
      <c r="J2543">
        <f>SUMPRODUCT(Calc!$K$3:$K$22*(Calc!$G$3:$G$22&gt;B2543)*(Calc!$G$3:$G$22-B2543)^2)</f>
        <v/>
      </c>
      <c r="K2543">
        <f>SUMPRODUCT(Calc!$K$3:$K$22*(Calc!$G$3:$G$22&gt;A2543)*(Calc!$G$3:$G$22-A2543)*(Calc!$G$3:$G$22&gt;B2543)*(Calc!$G$3:$G$22-B2543))</f>
        <v/>
      </c>
      <c r="L2543">
        <f>SUMPRODUCT(Calc!$K$3:$K$22*(Calc!$G$3:$G$22&gt;A2543)*(Calc!$G$3:$G$22-A2543)*Calc!$G$3:$G$22)</f>
        <v/>
      </c>
      <c r="M2543">
        <f>SUMPRODUCT(Calc!$K$3:$K$22*(Calc!$G$3:$G$22&gt;B2543)*(Calc!$G$3:$G$22-B2543)*Calc!$G$3:$G$22)</f>
        <v/>
      </c>
      <c r="N2543">
        <f>SUMPRODUCT(Calc!$K$3:$K$22*(Calc!$G$3:$G$22&gt;A2543)*(Calc!$G$3:$G$22-A2543)*Calc!$I$3:$I$22)</f>
        <v/>
      </c>
      <c r="O2543">
        <f>SUMPRODUCT(Calc!$K$3:$K$22*(Calc!$G$3:$G$22&gt;B2543)*(Calc!$G$3:$G$22-B2543)*Calc!$I$3:$I$22)</f>
        <v/>
      </c>
      <c r="P2543">
        <f>I2543-G2543^2/k_n</f>
        <v/>
      </c>
      <c r="Q2543">
        <f>J2543-H2543^2/k_n</f>
        <v/>
      </c>
      <c r="R2543">
        <f>K2543-G2543*H2543/k_n</f>
        <v/>
      </c>
      <c r="S2543">
        <f>L2543-LTP3!$D$3*G2543/k_n</f>
        <v/>
      </c>
      <c r="T2543">
        <f>M2543-LTP3!$D$3*H2543/k_n</f>
        <v/>
      </c>
      <c r="U2543">
        <f>N2543-G2543*LTP3!$D$4/k_n</f>
        <v/>
      </c>
      <c r="V2543">
        <f>O2543-H2543*LTP3!$D$4/k_n</f>
        <v/>
      </c>
      <c r="W2543">
        <f>((LTP3!$D$5)*((P2543)*(Q2543)-(R2543)*(R2543))-(S2543)*((S2543)*(Q2543)-(R2543)*(T2543))+(T2543)*((S2543)*(R2543)-(P2543)*(T2543)))</f>
        <v/>
      </c>
      <c r="X2543">
        <f>IF(ABS(W2543)&gt;1E-12,((LTP3!$D$6)*((P2543)*(Q2543)-(R2543)*(R2543))-(S2543)*((U2543)*(Q2543)-(R2543)*(V2543))+(T2543)*((U2543)*(R2543)-(P2543)*(V2543)))/W2543,0)</f>
        <v/>
      </c>
      <c r="Y2543">
        <f>IF(ABS(W2543)&gt;1E-12,((LTP3!$D$5)*((U2543)*(Q2543)-(R2543)*(V2543))-(LTP3!$D$6)*((S2543)*(Q2543)-(R2543)*(T2543))+(T2543)*((S2543)*(V2543)-(U2543)*(T2543)))/W2543,0)</f>
        <v/>
      </c>
      <c r="Z2543">
        <f>IF(ABS(W2543)&gt;1E-12,((LTP3!$D$5)*((P2543)*(V2543)-(U2543)*(R2543))-(S2543)*((S2543)*(V2543)-(U2543)*(T2543))+(LTP3!$D$6)*((S2543)*(R2543)-(P2543)*(T2543)))/W2543,0)</f>
        <v/>
      </c>
      <c r="AA2543">
        <f>LTP3!$D$7-X2543*LTP3!$D$6-Y2543*U2543-Z2543*V2543</f>
        <v/>
      </c>
      <c r="AB2543">
        <f>IF(AND(F2543,ABS(W2543)&gt;1E-12,Y2543&gt;0,Z2543&gt;0),AA2543,1E+300)</f>
        <v/>
      </c>
    </row>
    <row r="2544">
      <c r="A2544">
        <f>$B$3+$B$5*41</f>
        <v/>
      </c>
      <c r="B2544">
        <f>$B$3+$B$5*31</f>
        <v/>
      </c>
      <c r="C2544">
        <f>SUMPRODUCT(Calc!$K$3:$K$22*(Calc!$G$3:$G$22&lt;=A2544))</f>
        <v/>
      </c>
      <c r="D2544">
        <f>SUMPRODUCT(Calc!$K$3:$K$22*(Calc!$G$3:$G$22&gt;A2544)*(Calc!$G$3:$G$22&lt;B2544))</f>
        <v/>
      </c>
      <c r="E2544">
        <f>SUMPRODUCT(Calc!$K$3:$K$22*(Calc!$G$3:$G$22&gt;=B2544))</f>
        <v/>
      </c>
      <c r="F2544">
        <f>AND(k_n&gt;=5,B2544&gt;A2544+1E-9,C2544&gt;=2,D2544&gt;=1,E2544&gt;=2)</f>
        <v/>
      </c>
      <c r="G2544">
        <f>SUMPRODUCT(Calc!$K$3:$K$22*(Calc!$G$3:$G$22&gt;A2544)*(Calc!$G$3:$G$22-A2544))</f>
        <v/>
      </c>
      <c r="H2544">
        <f>SUMPRODUCT(Calc!$K$3:$K$22*(Calc!$G$3:$G$22&gt;B2544)*(Calc!$G$3:$G$22-B2544))</f>
        <v/>
      </c>
      <c r="I2544">
        <f>SUMPRODUCT(Calc!$K$3:$K$22*(Calc!$G$3:$G$22&gt;A2544)*(Calc!$G$3:$G$22-A2544)^2)</f>
        <v/>
      </c>
      <c r="J2544">
        <f>SUMPRODUCT(Calc!$K$3:$K$22*(Calc!$G$3:$G$22&gt;B2544)*(Calc!$G$3:$G$22-B2544)^2)</f>
        <v/>
      </c>
      <c r="K2544">
        <f>SUMPRODUCT(Calc!$K$3:$K$22*(Calc!$G$3:$G$22&gt;A2544)*(Calc!$G$3:$G$22-A2544)*(Calc!$G$3:$G$22&gt;B2544)*(Calc!$G$3:$G$22-B2544))</f>
        <v/>
      </c>
      <c r="L2544">
        <f>SUMPRODUCT(Calc!$K$3:$K$22*(Calc!$G$3:$G$22&gt;A2544)*(Calc!$G$3:$G$22-A2544)*Calc!$G$3:$G$22)</f>
        <v/>
      </c>
      <c r="M2544">
        <f>SUMPRODUCT(Calc!$K$3:$K$22*(Calc!$G$3:$G$22&gt;B2544)*(Calc!$G$3:$G$22-B2544)*Calc!$G$3:$G$22)</f>
        <v/>
      </c>
      <c r="N2544">
        <f>SUMPRODUCT(Calc!$K$3:$K$22*(Calc!$G$3:$G$22&gt;A2544)*(Calc!$G$3:$G$22-A2544)*Calc!$I$3:$I$22)</f>
        <v/>
      </c>
      <c r="O2544">
        <f>SUMPRODUCT(Calc!$K$3:$K$22*(Calc!$G$3:$G$22&gt;B2544)*(Calc!$G$3:$G$22-B2544)*Calc!$I$3:$I$22)</f>
        <v/>
      </c>
      <c r="P2544">
        <f>I2544-G2544^2/k_n</f>
        <v/>
      </c>
      <c r="Q2544">
        <f>J2544-H2544^2/k_n</f>
        <v/>
      </c>
      <c r="R2544">
        <f>K2544-G2544*H2544/k_n</f>
        <v/>
      </c>
      <c r="S2544">
        <f>L2544-LTP3!$D$3*G2544/k_n</f>
        <v/>
      </c>
      <c r="T2544">
        <f>M2544-LTP3!$D$3*H2544/k_n</f>
        <v/>
      </c>
      <c r="U2544">
        <f>N2544-G2544*LTP3!$D$4/k_n</f>
        <v/>
      </c>
      <c r="V2544">
        <f>O2544-H2544*LTP3!$D$4/k_n</f>
        <v/>
      </c>
      <c r="W2544">
        <f>((LTP3!$D$5)*((P2544)*(Q2544)-(R2544)*(R2544))-(S2544)*((S2544)*(Q2544)-(R2544)*(T2544))+(T2544)*((S2544)*(R2544)-(P2544)*(T2544)))</f>
        <v/>
      </c>
      <c r="X2544">
        <f>IF(ABS(W2544)&gt;1E-12,((LTP3!$D$6)*((P2544)*(Q2544)-(R2544)*(R2544))-(S2544)*((U2544)*(Q2544)-(R2544)*(V2544))+(T2544)*((U2544)*(R2544)-(P2544)*(V2544)))/W2544,0)</f>
        <v/>
      </c>
      <c r="Y2544">
        <f>IF(ABS(W2544)&gt;1E-12,((LTP3!$D$5)*((U2544)*(Q2544)-(R2544)*(V2544))-(LTP3!$D$6)*((S2544)*(Q2544)-(R2544)*(T2544))+(T2544)*((S2544)*(V2544)-(U2544)*(T2544)))/W2544,0)</f>
        <v/>
      </c>
      <c r="Z2544">
        <f>IF(ABS(W2544)&gt;1E-12,((LTP3!$D$5)*((P2544)*(V2544)-(U2544)*(R2544))-(S2544)*((S2544)*(V2544)-(U2544)*(T2544))+(LTP3!$D$6)*((S2544)*(R2544)-(P2544)*(T2544)))/W2544,0)</f>
        <v/>
      </c>
      <c r="AA2544">
        <f>LTP3!$D$7-X2544*LTP3!$D$6-Y2544*U2544-Z2544*V2544</f>
        <v/>
      </c>
      <c r="AB2544">
        <f>IF(AND(F2544,ABS(W2544)&gt;1E-12,Y2544&gt;0,Z2544&gt;0),AA2544,1E+300)</f>
        <v/>
      </c>
    </row>
    <row r="2545">
      <c r="A2545">
        <f>$B$3+$B$5*41</f>
        <v/>
      </c>
      <c r="B2545">
        <f>$B$3+$B$5*32</f>
        <v/>
      </c>
      <c r="C2545">
        <f>SUMPRODUCT(Calc!$K$3:$K$22*(Calc!$G$3:$G$22&lt;=A2545))</f>
        <v/>
      </c>
      <c r="D2545">
        <f>SUMPRODUCT(Calc!$K$3:$K$22*(Calc!$G$3:$G$22&gt;A2545)*(Calc!$G$3:$G$22&lt;B2545))</f>
        <v/>
      </c>
      <c r="E2545">
        <f>SUMPRODUCT(Calc!$K$3:$K$22*(Calc!$G$3:$G$22&gt;=B2545))</f>
        <v/>
      </c>
      <c r="F2545">
        <f>AND(k_n&gt;=5,B2545&gt;A2545+1E-9,C2545&gt;=2,D2545&gt;=1,E2545&gt;=2)</f>
        <v/>
      </c>
      <c r="G2545">
        <f>SUMPRODUCT(Calc!$K$3:$K$22*(Calc!$G$3:$G$22&gt;A2545)*(Calc!$G$3:$G$22-A2545))</f>
        <v/>
      </c>
      <c r="H2545">
        <f>SUMPRODUCT(Calc!$K$3:$K$22*(Calc!$G$3:$G$22&gt;B2545)*(Calc!$G$3:$G$22-B2545))</f>
        <v/>
      </c>
      <c r="I2545">
        <f>SUMPRODUCT(Calc!$K$3:$K$22*(Calc!$G$3:$G$22&gt;A2545)*(Calc!$G$3:$G$22-A2545)^2)</f>
        <v/>
      </c>
      <c r="J2545">
        <f>SUMPRODUCT(Calc!$K$3:$K$22*(Calc!$G$3:$G$22&gt;B2545)*(Calc!$G$3:$G$22-B2545)^2)</f>
        <v/>
      </c>
      <c r="K2545">
        <f>SUMPRODUCT(Calc!$K$3:$K$22*(Calc!$G$3:$G$22&gt;A2545)*(Calc!$G$3:$G$22-A2545)*(Calc!$G$3:$G$22&gt;B2545)*(Calc!$G$3:$G$22-B2545))</f>
        <v/>
      </c>
      <c r="L2545">
        <f>SUMPRODUCT(Calc!$K$3:$K$22*(Calc!$G$3:$G$22&gt;A2545)*(Calc!$G$3:$G$22-A2545)*Calc!$G$3:$G$22)</f>
        <v/>
      </c>
      <c r="M2545">
        <f>SUMPRODUCT(Calc!$K$3:$K$22*(Calc!$G$3:$G$22&gt;B2545)*(Calc!$G$3:$G$22-B2545)*Calc!$G$3:$G$22)</f>
        <v/>
      </c>
      <c r="N2545">
        <f>SUMPRODUCT(Calc!$K$3:$K$22*(Calc!$G$3:$G$22&gt;A2545)*(Calc!$G$3:$G$22-A2545)*Calc!$I$3:$I$22)</f>
        <v/>
      </c>
      <c r="O2545">
        <f>SUMPRODUCT(Calc!$K$3:$K$22*(Calc!$G$3:$G$22&gt;B2545)*(Calc!$G$3:$G$22-B2545)*Calc!$I$3:$I$22)</f>
        <v/>
      </c>
      <c r="P2545">
        <f>I2545-G2545^2/k_n</f>
        <v/>
      </c>
      <c r="Q2545">
        <f>J2545-H2545^2/k_n</f>
        <v/>
      </c>
      <c r="R2545">
        <f>K2545-G2545*H2545/k_n</f>
        <v/>
      </c>
      <c r="S2545">
        <f>L2545-LTP3!$D$3*G2545/k_n</f>
        <v/>
      </c>
      <c r="T2545">
        <f>M2545-LTP3!$D$3*H2545/k_n</f>
        <v/>
      </c>
      <c r="U2545">
        <f>N2545-G2545*LTP3!$D$4/k_n</f>
        <v/>
      </c>
      <c r="V2545">
        <f>O2545-H2545*LTP3!$D$4/k_n</f>
        <v/>
      </c>
      <c r="W2545">
        <f>((LTP3!$D$5)*((P2545)*(Q2545)-(R2545)*(R2545))-(S2545)*((S2545)*(Q2545)-(R2545)*(T2545))+(T2545)*((S2545)*(R2545)-(P2545)*(T2545)))</f>
        <v/>
      </c>
      <c r="X2545">
        <f>IF(ABS(W2545)&gt;1E-12,((LTP3!$D$6)*((P2545)*(Q2545)-(R2545)*(R2545))-(S2545)*((U2545)*(Q2545)-(R2545)*(V2545))+(T2545)*((U2545)*(R2545)-(P2545)*(V2545)))/W2545,0)</f>
        <v/>
      </c>
      <c r="Y2545">
        <f>IF(ABS(W2545)&gt;1E-12,((LTP3!$D$5)*((U2545)*(Q2545)-(R2545)*(V2545))-(LTP3!$D$6)*((S2545)*(Q2545)-(R2545)*(T2545))+(T2545)*((S2545)*(V2545)-(U2545)*(T2545)))/W2545,0)</f>
        <v/>
      </c>
      <c r="Z2545">
        <f>IF(ABS(W2545)&gt;1E-12,((LTP3!$D$5)*((P2545)*(V2545)-(U2545)*(R2545))-(S2545)*((S2545)*(V2545)-(U2545)*(T2545))+(LTP3!$D$6)*((S2545)*(R2545)-(P2545)*(T2545)))/W2545,0)</f>
        <v/>
      </c>
      <c r="AA2545">
        <f>LTP3!$D$7-X2545*LTP3!$D$6-Y2545*U2545-Z2545*V2545</f>
        <v/>
      </c>
      <c r="AB2545">
        <f>IF(AND(F2545,ABS(W2545)&gt;1E-12,Y2545&gt;0,Z2545&gt;0),AA2545,1E+300)</f>
        <v/>
      </c>
    </row>
    <row r="2546">
      <c r="A2546">
        <f>$B$3+$B$5*41</f>
        <v/>
      </c>
      <c r="B2546">
        <f>$B$3+$B$5*33</f>
        <v/>
      </c>
      <c r="C2546">
        <f>SUMPRODUCT(Calc!$K$3:$K$22*(Calc!$G$3:$G$22&lt;=A2546))</f>
        <v/>
      </c>
      <c r="D2546">
        <f>SUMPRODUCT(Calc!$K$3:$K$22*(Calc!$G$3:$G$22&gt;A2546)*(Calc!$G$3:$G$22&lt;B2546))</f>
        <v/>
      </c>
      <c r="E2546">
        <f>SUMPRODUCT(Calc!$K$3:$K$22*(Calc!$G$3:$G$22&gt;=B2546))</f>
        <v/>
      </c>
      <c r="F2546">
        <f>AND(k_n&gt;=5,B2546&gt;A2546+1E-9,C2546&gt;=2,D2546&gt;=1,E2546&gt;=2)</f>
        <v/>
      </c>
      <c r="G2546">
        <f>SUMPRODUCT(Calc!$K$3:$K$22*(Calc!$G$3:$G$22&gt;A2546)*(Calc!$G$3:$G$22-A2546))</f>
        <v/>
      </c>
      <c r="H2546">
        <f>SUMPRODUCT(Calc!$K$3:$K$22*(Calc!$G$3:$G$22&gt;B2546)*(Calc!$G$3:$G$22-B2546))</f>
        <v/>
      </c>
      <c r="I2546">
        <f>SUMPRODUCT(Calc!$K$3:$K$22*(Calc!$G$3:$G$22&gt;A2546)*(Calc!$G$3:$G$22-A2546)^2)</f>
        <v/>
      </c>
      <c r="J2546">
        <f>SUMPRODUCT(Calc!$K$3:$K$22*(Calc!$G$3:$G$22&gt;B2546)*(Calc!$G$3:$G$22-B2546)^2)</f>
        <v/>
      </c>
      <c r="K2546">
        <f>SUMPRODUCT(Calc!$K$3:$K$22*(Calc!$G$3:$G$22&gt;A2546)*(Calc!$G$3:$G$22-A2546)*(Calc!$G$3:$G$22&gt;B2546)*(Calc!$G$3:$G$22-B2546))</f>
        <v/>
      </c>
      <c r="L2546">
        <f>SUMPRODUCT(Calc!$K$3:$K$22*(Calc!$G$3:$G$22&gt;A2546)*(Calc!$G$3:$G$22-A2546)*Calc!$G$3:$G$22)</f>
        <v/>
      </c>
      <c r="M2546">
        <f>SUMPRODUCT(Calc!$K$3:$K$22*(Calc!$G$3:$G$22&gt;B2546)*(Calc!$G$3:$G$22-B2546)*Calc!$G$3:$G$22)</f>
        <v/>
      </c>
      <c r="N2546">
        <f>SUMPRODUCT(Calc!$K$3:$K$22*(Calc!$G$3:$G$22&gt;A2546)*(Calc!$G$3:$G$22-A2546)*Calc!$I$3:$I$22)</f>
        <v/>
      </c>
      <c r="O2546">
        <f>SUMPRODUCT(Calc!$K$3:$K$22*(Calc!$G$3:$G$22&gt;B2546)*(Calc!$G$3:$G$22-B2546)*Calc!$I$3:$I$22)</f>
        <v/>
      </c>
      <c r="P2546">
        <f>I2546-G2546^2/k_n</f>
        <v/>
      </c>
      <c r="Q2546">
        <f>J2546-H2546^2/k_n</f>
        <v/>
      </c>
      <c r="R2546">
        <f>K2546-G2546*H2546/k_n</f>
        <v/>
      </c>
      <c r="S2546">
        <f>L2546-LTP3!$D$3*G2546/k_n</f>
        <v/>
      </c>
      <c r="T2546">
        <f>M2546-LTP3!$D$3*H2546/k_n</f>
        <v/>
      </c>
      <c r="U2546">
        <f>N2546-G2546*LTP3!$D$4/k_n</f>
        <v/>
      </c>
      <c r="V2546">
        <f>O2546-H2546*LTP3!$D$4/k_n</f>
        <v/>
      </c>
      <c r="W2546">
        <f>((LTP3!$D$5)*((P2546)*(Q2546)-(R2546)*(R2546))-(S2546)*((S2546)*(Q2546)-(R2546)*(T2546))+(T2546)*((S2546)*(R2546)-(P2546)*(T2546)))</f>
        <v/>
      </c>
      <c r="X2546">
        <f>IF(ABS(W2546)&gt;1E-12,((LTP3!$D$6)*((P2546)*(Q2546)-(R2546)*(R2546))-(S2546)*((U2546)*(Q2546)-(R2546)*(V2546))+(T2546)*((U2546)*(R2546)-(P2546)*(V2546)))/W2546,0)</f>
        <v/>
      </c>
      <c r="Y2546">
        <f>IF(ABS(W2546)&gt;1E-12,((LTP3!$D$5)*((U2546)*(Q2546)-(R2546)*(V2546))-(LTP3!$D$6)*((S2546)*(Q2546)-(R2546)*(T2546))+(T2546)*((S2546)*(V2546)-(U2546)*(T2546)))/W2546,0)</f>
        <v/>
      </c>
      <c r="Z2546">
        <f>IF(ABS(W2546)&gt;1E-12,((LTP3!$D$5)*((P2546)*(V2546)-(U2546)*(R2546))-(S2546)*((S2546)*(V2546)-(U2546)*(T2546))+(LTP3!$D$6)*((S2546)*(R2546)-(P2546)*(T2546)))/W2546,0)</f>
        <v/>
      </c>
      <c r="AA2546">
        <f>LTP3!$D$7-X2546*LTP3!$D$6-Y2546*U2546-Z2546*V2546</f>
        <v/>
      </c>
      <c r="AB2546">
        <f>IF(AND(F2546,ABS(W2546)&gt;1E-12,Y2546&gt;0,Z2546&gt;0),AA2546,1E+300)</f>
        <v/>
      </c>
    </row>
    <row r="2547">
      <c r="A2547">
        <f>$B$3+$B$5*41</f>
        <v/>
      </c>
      <c r="B2547">
        <f>$B$3+$B$5*34</f>
        <v/>
      </c>
      <c r="C2547">
        <f>SUMPRODUCT(Calc!$K$3:$K$22*(Calc!$G$3:$G$22&lt;=A2547))</f>
        <v/>
      </c>
      <c r="D2547">
        <f>SUMPRODUCT(Calc!$K$3:$K$22*(Calc!$G$3:$G$22&gt;A2547)*(Calc!$G$3:$G$22&lt;B2547))</f>
        <v/>
      </c>
      <c r="E2547">
        <f>SUMPRODUCT(Calc!$K$3:$K$22*(Calc!$G$3:$G$22&gt;=B2547))</f>
        <v/>
      </c>
      <c r="F2547">
        <f>AND(k_n&gt;=5,B2547&gt;A2547+1E-9,C2547&gt;=2,D2547&gt;=1,E2547&gt;=2)</f>
        <v/>
      </c>
      <c r="G2547">
        <f>SUMPRODUCT(Calc!$K$3:$K$22*(Calc!$G$3:$G$22&gt;A2547)*(Calc!$G$3:$G$22-A2547))</f>
        <v/>
      </c>
      <c r="H2547">
        <f>SUMPRODUCT(Calc!$K$3:$K$22*(Calc!$G$3:$G$22&gt;B2547)*(Calc!$G$3:$G$22-B2547))</f>
        <v/>
      </c>
      <c r="I2547">
        <f>SUMPRODUCT(Calc!$K$3:$K$22*(Calc!$G$3:$G$22&gt;A2547)*(Calc!$G$3:$G$22-A2547)^2)</f>
        <v/>
      </c>
      <c r="J2547">
        <f>SUMPRODUCT(Calc!$K$3:$K$22*(Calc!$G$3:$G$22&gt;B2547)*(Calc!$G$3:$G$22-B2547)^2)</f>
        <v/>
      </c>
      <c r="K2547">
        <f>SUMPRODUCT(Calc!$K$3:$K$22*(Calc!$G$3:$G$22&gt;A2547)*(Calc!$G$3:$G$22-A2547)*(Calc!$G$3:$G$22&gt;B2547)*(Calc!$G$3:$G$22-B2547))</f>
        <v/>
      </c>
      <c r="L2547">
        <f>SUMPRODUCT(Calc!$K$3:$K$22*(Calc!$G$3:$G$22&gt;A2547)*(Calc!$G$3:$G$22-A2547)*Calc!$G$3:$G$22)</f>
        <v/>
      </c>
      <c r="M2547">
        <f>SUMPRODUCT(Calc!$K$3:$K$22*(Calc!$G$3:$G$22&gt;B2547)*(Calc!$G$3:$G$22-B2547)*Calc!$G$3:$G$22)</f>
        <v/>
      </c>
      <c r="N2547">
        <f>SUMPRODUCT(Calc!$K$3:$K$22*(Calc!$G$3:$G$22&gt;A2547)*(Calc!$G$3:$G$22-A2547)*Calc!$I$3:$I$22)</f>
        <v/>
      </c>
      <c r="O2547">
        <f>SUMPRODUCT(Calc!$K$3:$K$22*(Calc!$G$3:$G$22&gt;B2547)*(Calc!$G$3:$G$22-B2547)*Calc!$I$3:$I$22)</f>
        <v/>
      </c>
      <c r="P2547">
        <f>I2547-G2547^2/k_n</f>
        <v/>
      </c>
      <c r="Q2547">
        <f>J2547-H2547^2/k_n</f>
        <v/>
      </c>
      <c r="R2547">
        <f>K2547-G2547*H2547/k_n</f>
        <v/>
      </c>
      <c r="S2547">
        <f>L2547-LTP3!$D$3*G2547/k_n</f>
        <v/>
      </c>
      <c r="T2547">
        <f>M2547-LTP3!$D$3*H2547/k_n</f>
        <v/>
      </c>
      <c r="U2547">
        <f>N2547-G2547*LTP3!$D$4/k_n</f>
        <v/>
      </c>
      <c r="V2547">
        <f>O2547-H2547*LTP3!$D$4/k_n</f>
        <v/>
      </c>
      <c r="W2547">
        <f>((LTP3!$D$5)*((P2547)*(Q2547)-(R2547)*(R2547))-(S2547)*((S2547)*(Q2547)-(R2547)*(T2547))+(T2547)*((S2547)*(R2547)-(P2547)*(T2547)))</f>
        <v/>
      </c>
      <c r="X2547">
        <f>IF(ABS(W2547)&gt;1E-12,((LTP3!$D$6)*((P2547)*(Q2547)-(R2547)*(R2547))-(S2547)*((U2547)*(Q2547)-(R2547)*(V2547))+(T2547)*((U2547)*(R2547)-(P2547)*(V2547)))/W2547,0)</f>
        <v/>
      </c>
      <c r="Y2547">
        <f>IF(ABS(W2547)&gt;1E-12,((LTP3!$D$5)*((U2547)*(Q2547)-(R2547)*(V2547))-(LTP3!$D$6)*((S2547)*(Q2547)-(R2547)*(T2547))+(T2547)*((S2547)*(V2547)-(U2547)*(T2547)))/W2547,0)</f>
        <v/>
      </c>
      <c r="Z2547">
        <f>IF(ABS(W2547)&gt;1E-12,((LTP3!$D$5)*((P2547)*(V2547)-(U2547)*(R2547))-(S2547)*((S2547)*(V2547)-(U2547)*(T2547))+(LTP3!$D$6)*((S2547)*(R2547)-(P2547)*(T2547)))/W2547,0)</f>
        <v/>
      </c>
      <c r="AA2547">
        <f>LTP3!$D$7-X2547*LTP3!$D$6-Y2547*U2547-Z2547*V2547</f>
        <v/>
      </c>
      <c r="AB2547">
        <f>IF(AND(F2547,ABS(W2547)&gt;1E-12,Y2547&gt;0,Z2547&gt;0),AA2547,1E+300)</f>
        <v/>
      </c>
    </row>
    <row r="2548">
      <c r="A2548">
        <f>$B$3+$B$5*41</f>
        <v/>
      </c>
      <c r="B2548">
        <f>$B$3+$B$5*35</f>
        <v/>
      </c>
      <c r="C2548">
        <f>SUMPRODUCT(Calc!$K$3:$K$22*(Calc!$G$3:$G$22&lt;=A2548))</f>
        <v/>
      </c>
      <c r="D2548">
        <f>SUMPRODUCT(Calc!$K$3:$K$22*(Calc!$G$3:$G$22&gt;A2548)*(Calc!$G$3:$G$22&lt;B2548))</f>
        <v/>
      </c>
      <c r="E2548">
        <f>SUMPRODUCT(Calc!$K$3:$K$22*(Calc!$G$3:$G$22&gt;=B2548))</f>
        <v/>
      </c>
      <c r="F2548">
        <f>AND(k_n&gt;=5,B2548&gt;A2548+1E-9,C2548&gt;=2,D2548&gt;=1,E2548&gt;=2)</f>
        <v/>
      </c>
      <c r="G2548">
        <f>SUMPRODUCT(Calc!$K$3:$K$22*(Calc!$G$3:$G$22&gt;A2548)*(Calc!$G$3:$G$22-A2548))</f>
        <v/>
      </c>
      <c r="H2548">
        <f>SUMPRODUCT(Calc!$K$3:$K$22*(Calc!$G$3:$G$22&gt;B2548)*(Calc!$G$3:$G$22-B2548))</f>
        <v/>
      </c>
      <c r="I2548">
        <f>SUMPRODUCT(Calc!$K$3:$K$22*(Calc!$G$3:$G$22&gt;A2548)*(Calc!$G$3:$G$22-A2548)^2)</f>
        <v/>
      </c>
      <c r="J2548">
        <f>SUMPRODUCT(Calc!$K$3:$K$22*(Calc!$G$3:$G$22&gt;B2548)*(Calc!$G$3:$G$22-B2548)^2)</f>
        <v/>
      </c>
      <c r="K2548">
        <f>SUMPRODUCT(Calc!$K$3:$K$22*(Calc!$G$3:$G$22&gt;A2548)*(Calc!$G$3:$G$22-A2548)*(Calc!$G$3:$G$22&gt;B2548)*(Calc!$G$3:$G$22-B2548))</f>
        <v/>
      </c>
      <c r="L2548">
        <f>SUMPRODUCT(Calc!$K$3:$K$22*(Calc!$G$3:$G$22&gt;A2548)*(Calc!$G$3:$G$22-A2548)*Calc!$G$3:$G$22)</f>
        <v/>
      </c>
      <c r="M2548">
        <f>SUMPRODUCT(Calc!$K$3:$K$22*(Calc!$G$3:$G$22&gt;B2548)*(Calc!$G$3:$G$22-B2548)*Calc!$G$3:$G$22)</f>
        <v/>
      </c>
      <c r="N2548">
        <f>SUMPRODUCT(Calc!$K$3:$K$22*(Calc!$G$3:$G$22&gt;A2548)*(Calc!$G$3:$G$22-A2548)*Calc!$I$3:$I$22)</f>
        <v/>
      </c>
      <c r="O2548">
        <f>SUMPRODUCT(Calc!$K$3:$K$22*(Calc!$G$3:$G$22&gt;B2548)*(Calc!$G$3:$G$22-B2548)*Calc!$I$3:$I$22)</f>
        <v/>
      </c>
      <c r="P2548">
        <f>I2548-G2548^2/k_n</f>
        <v/>
      </c>
      <c r="Q2548">
        <f>J2548-H2548^2/k_n</f>
        <v/>
      </c>
      <c r="R2548">
        <f>K2548-G2548*H2548/k_n</f>
        <v/>
      </c>
      <c r="S2548">
        <f>L2548-LTP3!$D$3*G2548/k_n</f>
        <v/>
      </c>
      <c r="T2548">
        <f>M2548-LTP3!$D$3*H2548/k_n</f>
        <v/>
      </c>
      <c r="U2548">
        <f>N2548-G2548*LTP3!$D$4/k_n</f>
        <v/>
      </c>
      <c r="V2548">
        <f>O2548-H2548*LTP3!$D$4/k_n</f>
        <v/>
      </c>
      <c r="W2548">
        <f>((LTP3!$D$5)*((P2548)*(Q2548)-(R2548)*(R2548))-(S2548)*((S2548)*(Q2548)-(R2548)*(T2548))+(T2548)*((S2548)*(R2548)-(P2548)*(T2548)))</f>
        <v/>
      </c>
      <c r="X2548">
        <f>IF(ABS(W2548)&gt;1E-12,((LTP3!$D$6)*((P2548)*(Q2548)-(R2548)*(R2548))-(S2548)*((U2548)*(Q2548)-(R2548)*(V2548))+(T2548)*((U2548)*(R2548)-(P2548)*(V2548)))/W2548,0)</f>
        <v/>
      </c>
      <c r="Y2548">
        <f>IF(ABS(W2548)&gt;1E-12,((LTP3!$D$5)*((U2548)*(Q2548)-(R2548)*(V2548))-(LTP3!$D$6)*((S2548)*(Q2548)-(R2548)*(T2548))+(T2548)*((S2548)*(V2548)-(U2548)*(T2548)))/W2548,0)</f>
        <v/>
      </c>
      <c r="Z2548">
        <f>IF(ABS(W2548)&gt;1E-12,((LTP3!$D$5)*((P2548)*(V2548)-(U2548)*(R2548))-(S2548)*((S2548)*(V2548)-(U2548)*(T2548))+(LTP3!$D$6)*((S2548)*(R2548)-(P2548)*(T2548)))/W2548,0)</f>
        <v/>
      </c>
      <c r="AA2548">
        <f>LTP3!$D$7-X2548*LTP3!$D$6-Y2548*U2548-Z2548*V2548</f>
        <v/>
      </c>
      <c r="AB2548">
        <f>IF(AND(F2548,ABS(W2548)&gt;1E-12,Y2548&gt;0,Z2548&gt;0),AA2548,1E+300)</f>
        <v/>
      </c>
    </row>
    <row r="2549">
      <c r="A2549">
        <f>$B$3+$B$5*41</f>
        <v/>
      </c>
      <c r="B2549">
        <f>$B$3+$B$5*36</f>
        <v/>
      </c>
      <c r="C2549">
        <f>SUMPRODUCT(Calc!$K$3:$K$22*(Calc!$G$3:$G$22&lt;=A2549))</f>
        <v/>
      </c>
      <c r="D2549">
        <f>SUMPRODUCT(Calc!$K$3:$K$22*(Calc!$G$3:$G$22&gt;A2549)*(Calc!$G$3:$G$22&lt;B2549))</f>
        <v/>
      </c>
      <c r="E2549">
        <f>SUMPRODUCT(Calc!$K$3:$K$22*(Calc!$G$3:$G$22&gt;=B2549))</f>
        <v/>
      </c>
      <c r="F2549">
        <f>AND(k_n&gt;=5,B2549&gt;A2549+1E-9,C2549&gt;=2,D2549&gt;=1,E2549&gt;=2)</f>
        <v/>
      </c>
      <c r="G2549">
        <f>SUMPRODUCT(Calc!$K$3:$K$22*(Calc!$G$3:$G$22&gt;A2549)*(Calc!$G$3:$G$22-A2549))</f>
        <v/>
      </c>
      <c r="H2549">
        <f>SUMPRODUCT(Calc!$K$3:$K$22*(Calc!$G$3:$G$22&gt;B2549)*(Calc!$G$3:$G$22-B2549))</f>
        <v/>
      </c>
      <c r="I2549">
        <f>SUMPRODUCT(Calc!$K$3:$K$22*(Calc!$G$3:$G$22&gt;A2549)*(Calc!$G$3:$G$22-A2549)^2)</f>
        <v/>
      </c>
      <c r="J2549">
        <f>SUMPRODUCT(Calc!$K$3:$K$22*(Calc!$G$3:$G$22&gt;B2549)*(Calc!$G$3:$G$22-B2549)^2)</f>
        <v/>
      </c>
      <c r="K2549">
        <f>SUMPRODUCT(Calc!$K$3:$K$22*(Calc!$G$3:$G$22&gt;A2549)*(Calc!$G$3:$G$22-A2549)*(Calc!$G$3:$G$22&gt;B2549)*(Calc!$G$3:$G$22-B2549))</f>
        <v/>
      </c>
      <c r="L2549">
        <f>SUMPRODUCT(Calc!$K$3:$K$22*(Calc!$G$3:$G$22&gt;A2549)*(Calc!$G$3:$G$22-A2549)*Calc!$G$3:$G$22)</f>
        <v/>
      </c>
      <c r="M2549">
        <f>SUMPRODUCT(Calc!$K$3:$K$22*(Calc!$G$3:$G$22&gt;B2549)*(Calc!$G$3:$G$22-B2549)*Calc!$G$3:$G$22)</f>
        <v/>
      </c>
      <c r="N2549">
        <f>SUMPRODUCT(Calc!$K$3:$K$22*(Calc!$G$3:$G$22&gt;A2549)*(Calc!$G$3:$G$22-A2549)*Calc!$I$3:$I$22)</f>
        <v/>
      </c>
      <c r="O2549">
        <f>SUMPRODUCT(Calc!$K$3:$K$22*(Calc!$G$3:$G$22&gt;B2549)*(Calc!$G$3:$G$22-B2549)*Calc!$I$3:$I$22)</f>
        <v/>
      </c>
      <c r="P2549">
        <f>I2549-G2549^2/k_n</f>
        <v/>
      </c>
      <c r="Q2549">
        <f>J2549-H2549^2/k_n</f>
        <v/>
      </c>
      <c r="R2549">
        <f>K2549-G2549*H2549/k_n</f>
        <v/>
      </c>
      <c r="S2549">
        <f>L2549-LTP3!$D$3*G2549/k_n</f>
        <v/>
      </c>
      <c r="T2549">
        <f>M2549-LTP3!$D$3*H2549/k_n</f>
        <v/>
      </c>
      <c r="U2549">
        <f>N2549-G2549*LTP3!$D$4/k_n</f>
        <v/>
      </c>
      <c r="V2549">
        <f>O2549-H2549*LTP3!$D$4/k_n</f>
        <v/>
      </c>
      <c r="W2549">
        <f>((LTP3!$D$5)*((P2549)*(Q2549)-(R2549)*(R2549))-(S2549)*((S2549)*(Q2549)-(R2549)*(T2549))+(T2549)*((S2549)*(R2549)-(P2549)*(T2549)))</f>
        <v/>
      </c>
      <c r="X2549">
        <f>IF(ABS(W2549)&gt;1E-12,((LTP3!$D$6)*((P2549)*(Q2549)-(R2549)*(R2549))-(S2549)*((U2549)*(Q2549)-(R2549)*(V2549))+(T2549)*((U2549)*(R2549)-(P2549)*(V2549)))/W2549,0)</f>
        <v/>
      </c>
      <c r="Y2549">
        <f>IF(ABS(W2549)&gt;1E-12,((LTP3!$D$5)*((U2549)*(Q2549)-(R2549)*(V2549))-(LTP3!$D$6)*((S2549)*(Q2549)-(R2549)*(T2549))+(T2549)*((S2549)*(V2549)-(U2549)*(T2549)))/W2549,0)</f>
        <v/>
      </c>
      <c r="Z2549">
        <f>IF(ABS(W2549)&gt;1E-12,((LTP3!$D$5)*((P2549)*(V2549)-(U2549)*(R2549))-(S2549)*((S2549)*(V2549)-(U2549)*(T2549))+(LTP3!$D$6)*((S2549)*(R2549)-(P2549)*(T2549)))/W2549,0)</f>
        <v/>
      </c>
      <c r="AA2549">
        <f>LTP3!$D$7-X2549*LTP3!$D$6-Y2549*U2549-Z2549*V2549</f>
        <v/>
      </c>
      <c r="AB2549">
        <f>IF(AND(F2549,ABS(W2549)&gt;1E-12,Y2549&gt;0,Z2549&gt;0),AA2549,1E+300)</f>
        <v/>
      </c>
    </row>
    <row r="2550">
      <c r="A2550">
        <f>$B$3+$B$5*41</f>
        <v/>
      </c>
      <c r="B2550">
        <f>$B$3+$B$5*37</f>
        <v/>
      </c>
      <c r="C2550">
        <f>SUMPRODUCT(Calc!$K$3:$K$22*(Calc!$G$3:$G$22&lt;=A2550))</f>
        <v/>
      </c>
      <c r="D2550">
        <f>SUMPRODUCT(Calc!$K$3:$K$22*(Calc!$G$3:$G$22&gt;A2550)*(Calc!$G$3:$G$22&lt;B2550))</f>
        <v/>
      </c>
      <c r="E2550">
        <f>SUMPRODUCT(Calc!$K$3:$K$22*(Calc!$G$3:$G$22&gt;=B2550))</f>
        <v/>
      </c>
      <c r="F2550">
        <f>AND(k_n&gt;=5,B2550&gt;A2550+1E-9,C2550&gt;=2,D2550&gt;=1,E2550&gt;=2)</f>
        <v/>
      </c>
      <c r="G2550">
        <f>SUMPRODUCT(Calc!$K$3:$K$22*(Calc!$G$3:$G$22&gt;A2550)*(Calc!$G$3:$G$22-A2550))</f>
        <v/>
      </c>
      <c r="H2550">
        <f>SUMPRODUCT(Calc!$K$3:$K$22*(Calc!$G$3:$G$22&gt;B2550)*(Calc!$G$3:$G$22-B2550))</f>
        <v/>
      </c>
      <c r="I2550">
        <f>SUMPRODUCT(Calc!$K$3:$K$22*(Calc!$G$3:$G$22&gt;A2550)*(Calc!$G$3:$G$22-A2550)^2)</f>
        <v/>
      </c>
      <c r="J2550">
        <f>SUMPRODUCT(Calc!$K$3:$K$22*(Calc!$G$3:$G$22&gt;B2550)*(Calc!$G$3:$G$22-B2550)^2)</f>
        <v/>
      </c>
      <c r="K2550">
        <f>SUMPRODUCT(Calc!$K$3:$K$22*(Calc!$G$3:$G$22&gt;A2550)*(Calc!$G$3:$G$22-A2550)*(Calc!$G$3:$G$22&gt;B2550)*(Calc!$G$3:$G$22-B2550))</f>
        <v/>
      </c>
      <c r="L2550">
        <f>SUMPRODUCT(Calc!$K$3:$K$22*(Calc!$G$3:$G$22&gt;A2550)*(Calc!$G$3:$G$22-A2550)*Calc!$G$3:$G$22)</f>
        <v/>
      </c>
      <c r="M2550">
        <f>SUMPRODUCT(Calc!$K$3:$K$22*(Calc!$G$3:$G$22&gt;B2550)*(Calc!$G$3:$G$22-B2550)*Calc!$G$3:$G$22)</f>
        <v/>
      </c>
      <c r="N2550">
        <f>SUMPRODUCT(Calc!$K$3:$K$22*(Calc!$G$3:$G$22&gt;A2550)*(Calc!$G$3:$G$22-A2550)*Calc!$I$3:$I$22)</f>
        <v/>
      </c>
      <c r="O2550">
        <f>SUMPRODUCT(Calc!$K$3:$K$22*(Calc!$G$3:$G$22&gt;B2550)*(Calc!$G$3:$G$22-B2550)*Calc!$I$3:$I$22)</f>
        <v/>
      </c>
      <c r="P2550">
        <f>I2550-G2550^2/k_n</f>
        <v/>
      </c>
      <c r="Q2550">
        <f>J2550-H2550^2/k_n</f>
        <v/>
      </c>
      <c r="R2550">
        <f>K2550-G2550*H2550/k_n</f>
        <v/>
      </c>
      <c r="S2550">
        <f>L2550-LTP3!$D$3*G2550/k_n</f>
        <v/>
      </c>
      <c r="T2550">
        <f>M2550-LTP3!$D$3*H2550/k_n</f>
        <v/>
      </c>
      <c r="U2550">
        <f>N2550-G2550*LTP3!$D$4/k_n</f>
        <v/>
      </c>
      <c r="V2550">
        <f>O2550-H2550*LTP3!$D$4/k_n</f>
        <v/>
      </c>
      <c r="W2550">
        <f>((LTP3!$D$5)*((P2550)*(Q2550)-(R2550)*(R2550))-(S2550)*((S2550)*(Q2550)-(R2550)*(T2550))+(T2550)*((S2550)*(R2550)-(P2550)*(T2550)))</f>
        <v/>
      </c>
      <c r="X2550">
        <f>IF(ABS(W2550)&gt;1E-12,((LTP3!$D$6)*((P2550)*(Q2550)-(R2550)*(R2550))-(S2550)*((U2550)*(Q2550)-(R2550)*(V2550))+(T2550)*((U2550)*(R2550)-(P2550)*(V2550)))/W2550,0)</f>
        <v/>
      </c>
      <c r="Y2550">
        <f>IF(ABS(W2550)&gt;1E-12,((LTP3!$D$5)*((U2550)*(Q2550)-(R2550)*(V2550))-(LTP3!$D$6)*((S2550)*(Q2550)-(R2550)*(T2550))+(T2550)*((S2550)*(V2550)-(U2550)*(T2550)))/W2550,0)</f>
        <v/>
      </c>
      <c r="Z2550">
        <f>IF(ABS(W2550)&gt;1E-12,((LTP3!$D$5)*((P2550)*(V2550)-(U2550)*(R2550))-(S2550)*((S2550)*(V2550)-(U2550)*(T2550))+(LTP3!$D$6)*((S2550)*(R2550)-(P2550)*(T2550)))/W2550,0)</f>
        <v/>
      </c>
      <c r="AA2550">
        <f>LTP3!$D$7-X2550*LTP3!$D$6-Y2550*U2550-Z2550*V2550</f>
        <v/>
      </c>
      <c r="AB2550">
        <f>IF(AND(F2550,ABS(W2550)&gt;1E-12,Y2550&gt;0,Z2550&gt;0),AA2550,1E+300)</f>
        <v/>
      </c>
    </row>
    <row r="2551">
      <c r="A2551">
        <f>$B$3+$B$5*41</f>
        <v/>
      </c>
      <c r="B2551">
        <f>$B$3+$B$5*38</f>
        <v/>
      </c>
      <c r="C2551">
        <f>SUMPRODUCT(Calc!$K$3:$K$22*(Calc!$G$3:$G$22&lt;=A2551))</f>
        <v/>
      </c>
      <c r="D2551">
        <f>SUMPRODUCT(Calc!$K$3:$K$22*(Calc!$G$3:$G$22&gt;A2551)*(Calc!$G$3:$G$22&lt;B2551))</f>
        <v/>
      </c>
      <c r="E2551">
        <f>SUMPRODUCT(Calc!$K$3:$K$22*(Calc!$G$3:$G$22&gt;=B2551))</f>
        <v/>
      </c>
      <c r="F2551">
        <f>AND(k_n&gt;=5,B2551&gt;A2551+1E-9,C2551&gt;=2,D2551&gt;=1,E2551&gt;=2)</f>
        <v/>
      </c>
      <c r="G2551">
        <f>SUMPRODUCT(Calc!$K$3:$K$22*(Calc!$G$3:$G$22&gt;A2551)*(Calc!$G$3:$G$22-A2551))</f>
        <v/>
      </c>
      <c r="H2551">
        <f>SUMPRODUCT(Calc!$K$3:$K$22*(Calc!$G$3:$G$22&gt;B2551)*(Calc!$G$3:$G$22-B2551))</f>
        <v/>
      </c>
      <c r="I2551">
        <f>SUMPRODUCT(Calc!$K$3:$K$22*(Calc!$G$3:$G$22&gt;A2551)*(Calc!$G$3:$G$22-A2551)^2)</f>
        <v/>
      </c>
      <c r="J2551">
        <f>SUMPRODUCT(Calc!$K$3:$K$22*(Calc!$G$3:$G$22&gt;B2551)*(Calc!$G$3:$G$22-B2551)^2)</f>
        <v/>
      </c>
      <c r="K2551">
        <f>SUMPRODUCT(Calc!$K$3:$K$22*(Calc!$G$3:$G$22&gt;A2551)*(Calc!$G$3:$G$22-A2551)*(Calc!$G$3:$G$22&gt;B2551)*(Calc!$G$3:$G$22-B2551))</f>
        <v/>
      </c>
      <c r="L2551">
        <f>SUMPRODUCT(Calc!$K$3:$K$22*(Calc!$G$3:$G$22&gt;A2551)*(Calc!$G$3:$G$22-A2551)*Calc!$G$3:$G$22)</f>
        <v/>
      </c>
      <c r="M2551">
        <f>SUMPRODUCT(Calc!$K$3:$K$22*(Calc!$G$3:$G$22&gt;B2551)*(Calc!$G$3:$G$22-B2551)*Calc!$G$3:$G$22)</f>
        <v/>
      </c>
      <c r="N2551">
        <f>SUMPRODUCT(Calc!$K$3:$K$22*(Calc!$G$3:$G$22&gt;A2551)*(Calc!$G$3:$G$22-A2551)*Calc!$I$3:$I$22)</f>
        <v/>
      </c>
      <c r="O2551">
        <f>SUMPRODUCT(Calc!$K$3:$K$22*(Calc!$G$3:$G$22&gt;B2551)*(Calc!$G$3:$G$22-B2551)*Calc!$I$3:$I$22)</f>
        <v/>
      </c>
      <c r="P2551">
        <f>I2551-G2551^2/k_n</f>
        <v/>
      </c>
      <c r="Q2551">
        <f>J2551-H2551^2/k_n</f>
        <v/>
      </c>
      <c r="R2551">
        <f>K2551-G2551*H2551/k_n</f>
        <v/>
      </c>
      <c r="S2551">
        <f>L2551-LTP3!$D$3*G2551/k_n</f>
        <v/>
      </c>
      <c r="T2551">
        <f>M2551-LTP3!$D$3*H2551/k_n</f>
        <v/>
      </c>
      <c r="U2551">
        <f>N2551-G2551*LTP3!$D$4/k_n</f>
        <v/>
      </c>
      <c r="V2551">
        <f>O2551-H2551*LTP3!$D$4/k_n</f>
        <v/>
      </c>
      <c r="W2551">
        <f>((LTP3!$D$5)*((P2551)*(Q2551)-(R2551)*(R2551))-(S2551)*((S2551)*(Q2551)-(R2551)*(T2551))+(T2551)*((S2551)*(R2551)-(P2551)*(T2551)))</f>
        <v/>
      </c>
      <c r="X2551">
        <f>IF(ABS(W2551)&gt;1E-12,((LTP3!$D$6)*((P2551)*(Q2551)-(R2551)*(R2551))-(S2551)*((U2551)*(Q2551)-(R2551)*(V2551))+(T2551)*((U2551)*(R2551)-(P2551)*(V2551)))/W2551,0)</f>
        <v/>
      </c>
      <c r="Y2551">
        <f>IF(ABS(W2551)&gt;1E-12,((LTP3!$D$5)*((U2551)*(Q2551)-(R2551)*(V2551))-(LTP3!$D$6)*((S2551)*(Q2551)-(R2551)*(T2551))+(T2551)*((S2551)*(V2551)-(U2551)*(T2551)))/W2551,0)</f>
        <v/>
      </c>
      <c r="Z2551">
        <f>IF(ABS(W2551)&gt;1E-12,((LTP3!$D$5)*((P2551)*(V2551)-(U2551)*(R2551))-(S2551)*((S2551)*(V2551)-(U2551)*(T2551))+(LTP3!$D$6)*((S2551)*(R2551)-(P2551)*(T2551)))/W2551,0)</f>
        <v/>
      </c>
      <c r="AA2551">
        <f>LTP3!$D$7-X2551*LTP3!$D$6-Y2551*U2551-Z2551*V2551</f>
        <v/>
      </c>
      <c r="AB2551">
        <f>IF(AND(F2551,ABS(W2551)&gt;1E-12,Y2551&gt;0,Z2551&gt;0),AA2551,1E+300)</f>
        <v/>
      </c>
    </row>
    <row r="2552">
      <c r="A2552">
        <f>$B$3+$B$5*41</f>
        <v/>
      </c>
      <c r="B2552">
        <f>$B$3+$B$5*39</f>
        <v/>
      </c>
      <c r="C2552">
        <f>SUMPRODUCT(Calc!$K$3:$K$22*(Calc!$G$3:$G$22&lt;=A2552))</f>
        <v/>
      </c>
      <c r="D2552">
        <f>SUMPRODUCT(Calc!$K$3:$K$22*(Calc!$G$3:$G$22&gt;A2552)*(Calc!$G$3:$G$22&lt;B2552))</f>
        <v/>
      </c>
      <c r="E2552">
        <f>SUMPRODUCT(Calc!$K$3:$K$22*(Calc!$G$3:$G$22&gt;=B2552))</f>
        <v/>
      </c>
      <c r="F2552">
        <f>AND(k_n&gt;=5,B2552&gt;A2552+1E-9,C2552&gt;=2,D2552&gt;=1,E2552&gt;=2)</f>
        <v/>
      </c>
      <c r="G2552">
        <f>SUMPRODUCT(Calc!$K$3:$K$22*(Calc!$G$3:$G$22&gt;A2552)*(Calc!$G$3:$G$22-A2552))</f>
        <v/>
      </c>
      <c r="H2552">
        <f>SUMPRODUCT(Calc!$K$3:$K$22*(Calc!$G$3:$G$22&gt;B2552)*(Calc!$G$3:$G$22-B2552))</f>
        <v/>
      </c>
      <c r="I2552">
        <f>SUMPRODUCT(Calc!$K$3:$K$22*(Calc!$G$3:$G$22&gt;A2552)*(Calc!$G$3:$G$22-A2552)^2)</f>
        <v/>
      </c>
      <c r="J2552">
        <f>SUMPRODUCT(Calc!$K$3:$K$22*(Calc!$G$3:$G$22&gt;B2552)*(Calc!$G$3:$G$22-B2552)^2)</f>
        <v/>
      </c>
      <c r="K2552">
        <f>SUMPRODUCT(Calc!$K$3:$K$22*(Calc!$G$3:$G$22&gt;A2552)*(Calc!$G$3:$G$22-A2552)*(Calc!$G$3:$G$22&gt;B2552)*(Calc!$G$3:$G$22-B2552))</f>
        <v/>
      </c>
      <c r="L2552">
        <f>SUMPRODUCT(Calc!$K$3:$K$22*(Calc!$G$3:$G$22&gt;A2552)*(Calc!$G$3:$G$22-A2552)*Calc!$G$3:$G$22)</f>
        <v/>
      </c>
      <c r="M2552">
        <f>SUMPRODUCT(Calc!$K$3:$K$22*(Calc!$G$3:$G$22&gt;B2552)*(Calc!$G$3:$G$22-B2552)*Calc!$G$3:$G$22)</f>
        <v/>
      </c>
      <c r="N2552">
        <f>SUMPRODUCT(Calc!$K$3:$K$22*(Calc!$G$3:$G$22&gt;A2552)*(Calc!$G$3:$G$22-A2552)*Calc!$I$3:$I$22)</f>
        <v/>
      </c>
      <c r="O2552">
        <f>SUMPRODUCT(Calc!$K$3:$K$22*(Calc!$G$3:$G$22&gt;B2552)*(Calc!$G$3:$G$22-B2552)*Calc!$I$3:$I$22)</f>
        <v/>
      </c>
      <c r="P2552">
        <f>I2552-G2552^2/k_n</f>
        <v/>
      </c>
      <c r="Q2552">
        <f>J2552-H2552^2/k_n</f>
        <v/>
      </c>
      <c r="R2552">
        <f>K2552-G2552*H2552/k_n</f>
        <v/>
      </c>
      <c r="S2552">
        <f>L2552-LTP3!$D$3*G2552/k_n</f>
        <v/>
      </c>
      <c r="T2552">
        <f>M2552-LTP3!$D$3*H2552/k_n</f>
        <v/>
      </c>
      <c r="U2552">
        <f>N2552-G2552*LTP3!$D$4/k_n</f>
        <v/>
      </c>
      <c r="V2552">
        <f>O2552-H2552*LTP3!$D$4/k_n</f>
        <v/>
      </c>
      <c r="W2552">
        <f>((LTP3!$D$5)*((P2552)*(Q2552)-(R2552)*(R2552))-(S2552)*((S2552)*(Q2552)-(R2552)*(T2552))+(T2552)*((S2552)*(R2552)-(P2552)*(T2552)))</f>
        <v/>
      </c>
      <c r="X2552">
        <f>IF(ABS(W2552)&gt;1E-12,((LTP3!$D$6)*((P2552)*(Q2552)-(R2552)*(R2552))-(S2552)*((U2552)*(Q2552)-(R2552)*(V2552))+(T2552)*((U2552)*(R2552)-(P2552)*(V2552)))/W2552,0)</f>
        <v/>
      </c>
      <c r="Y2552">
        <f>IF(ABS(W2552)&gt;1E-12,((LTP3!$D$5)*((U2552)*(Q2552)-(R2552)*(V2552))-(LTP3!$D$6)*((S2552)*(Q2552)-(R2552)*(T2552))+(T2552)*((S2552)*(V2552)-(U2552)*(T2552)))/W2552,0)</f>
        <v/>
      </c>
      <c r="Z2552">
        <f>IF(ABS(W2552)&gt;1E-12,((LTP3!$D$5)*((P2552)*(V2552)-(U2552)*(R2552))-(S2552)*((S2552)*(V2552)-(U2552)*(T2552))+(LTP3!$D$6)*((S2552)*(R2552)-(P2552)*(T2552)))/W2552,0)</f>
        <v/>
      </c>
      <c r="AA2552">
        <f>LTP3!$D$7-X2552*LTP3!$D$6-Y2552*U2552-Z2552*V2552</f>
        <v/>
      </c>
      <c r="AB2552">
        <f>IF(AND(F2552,ABS(W2552)&gt;1E-12,Y2552&gt;0,Z2552&gt;0),AA2552,1E+300)</f>
        <v/>
      </c>
    </row>
    <row r="2553">
      <c r="A2553">
        <f>$B$3+$B$5*41</f>
        <v/>
      </c>
      <c r="B2553">
        <f>$B$3+$B$5*40</f>
        <v/>
      </c>
      <c r="C2553">
        <f>SUMPRODUCT(Calc!$K$3:$K$22*(Calc!$G$3:$G$22&lt;=A2553))</f>
        <v/>
      </c>
      <c r="D2553">
        <f>SUMPRODUCT(Calc!$K$3:$K$22*(Calc!$G$3:$G$22&gt;A2553)*(Calc!$G$3:$G$22&lt;B2553))</f>
        <v/>
      </c>
      <c r="E2553">
        <f>SUMPRODUCT(Calc!$K$3:$K$22*(Calc!$G$3:$G$22&gt;=B2553))</f>
        <v/>
      </c>
      <c r="F2553">
        <f>AND(k_n&gt;=5,B2553&gt;A2553+1E-9,C2553&gt;=2,D2553&gt;=1,E2553&gt;=2)</f>
        <v/>
      </c>
      <c r="G2553">
        <f>SUMPRODUCT(Calc!$K$3:$K$22*(Calc!$G$3:$G$22&gt;A2553)*(Calc!$G$3:$G$22-A2553))</f>
        <v/>
      </c>
      <c r="H2553">
        <f>SUMPRODUCT(Calc!$K$3:$K$22*(Calc!$G$3:$G$22&gt;B2553)*(Calc!$G$3:$G$22-B2553))</f>
        <v/>
      </c>
      <c r="I2553">
        <f>SUMPRODUCT(Calc!$K$3:$K$22*(Calc!$G$3:$G$22&gt;A2553)*(Calc!$G$3:$G$22-A2553)^2)</f>
        <v/>
      </c>
      <c r="J2553">
        <f>SUMPRODUCT(Calc!$K$3:$K$22*(Calc!$G$3:$G$22&gt;B2553)*(Calc!$G$3:$G$22-B2553)^2)</f>
        <v/>
      </c>
      <c r="K2553">
        <f>SUMPRODUCT(Calc!$K$3:$K$22*(Calc!$G$3:$G$22&gt;A2553)*(Calc!$G$3:$G$22-A2553)*(Calc!$G$3:$G$22&gt;B2553)*(Calc!$G$3:$G$22-B2553))</f>
        <v/>
      </c>
      <c r="L2553">
        <f>SUMPRODUCT(Calc!$K$3:$K$22*(Calc!$G$3:$G$22&gt;A2553)*(Calc!$G$3:$G$22-A2553)*Calc!$G$3:$G$22)</f>
        <v/>
      </c>
      <c r="M2553">
        <f>SUMPRODUCT(Calc!$K$3:$K$22*(Calc!$G$3:$G$22&gt;B2553)*(Calc!$G$3:$G$22-B2553)*Calc!$G$3:$G$22)</f>
        <v/>
      </c>
      <c r="N2553">
        <f>SUMPRODUCT(Calc!$K$3:$K$22*(Calc!$G$3:$G$22&gt;A2553)*(Calc!$G$3:$G$22-A2553)*Calc!$I$3:$I$22)</f>
        <v/>
      </c>
      <c r="O2553">
        <f>SUMPRODUCT(Calc!$K$3:$K$22*(Calc!$G$3:$G$22&gt;B2553)*(Calc!$G$3:$G$22-B2553)*Calc!$I$3:$I$22)</f>
        <v/>
      </c>
      <c r="P2553">
        <f>I2553-G2553^2/k_n</f>
        <v/>
      </c>
      <c r="Q2553">
        <f>J2553-H2553^2/k_n</f>
        <v/>
      </c>
      <c r="R2553">
        <f>K2553-G2553*H2553/k_n</f>
        <v/>
      </c>
      <c r="S2553">
        <f>L2553-LTP3!$D$3*G2553/k_n</f>
        <v/>
      </c>
      <c r="T2553">
        <f>M2553-LTP3!$D$3*H2553/k_n</f>
        <v/>
      </c>
      <c r="U2553">
        <f>N2553-G2553*LTP3!$D$4/k_n</f>
        <v/>
      </c>
      <c r="V2553">
        <f>O2553-H2553*LTP3!$D$4/k_n</f>
        <v/>
      </c>
      <c r="W2553">
        <f>((LTP3!$D$5)*((P2553)*(Q2553)-(R2553)*(R2553))-(S2553)*((S2553)*(Q2553)-(R2553)*(T2553))+(T2553)*((S2553)*(R2553)-(P2553)*(T2553)))</f>
        <v/>
      </c>
      <c r="X2553">
        <f>IF(ABS(W2553)&gt;1E-12,((LTP3!$D$6)*((P2553)*(Q2553)-(R2553)*(R2553))-(S2553)*((U2553)*(Q2553)-(R2553)*(V2553))+(T2553)*((U2553)*(R2553)-(P2553)*(V2553)))/W2553,0)</f>
        <v/>
      </c>
      <c r="Y2553">
        <f>IF(ABS(W2553)&gt;1E-12,((LTP3!$D$5)*((U2553)*(Q2553)-(R2553)*(V2553))-(LTP3!$D$6)*((S2553)*(Q2553)-(R2553)*(T2553))+(T2553)*((S2553)*(V2553)-(U2553)*(T2553)))/W2553,0)</f>
        <v/>
      </c>
      <c r="Z2553">
        <f>IF(ABS(W2553)&gt;1E-12,((LTP3!$D$5)*((P2553)*(V2553)-(U2553)*(R2553))-(S2553)*((S2553)*(V2553)-(U2553)*(T2553))+(LTP3!$D$6)*((S2553)*(R2553)-(P2553)*(T2553)))/W2553,0)</f>
        <v/>
      </c>
      <c r="AA2553">
        <f>LTP3!$D$7-X2553*LTP3!$D$6-Y2553*U2553-Z2553*V2553</f>
        <v/>
      </c>
      <c r="AB2553">
        <f>IF(AND(F2553,ABS(W2553)&gt;1E-12,Y2553&gt;0,Z2553&gt;0),AA2553,1E+300)</f>
        <v/>
      </c>
    </row>
    <row r="2554">
      <c r="A2554">
        <f>$B$3+$B$5*41</f>
        <v/>
      </c>
      <c r="B2554">
        <f>$B$3+$B$5*41</f>
        <v/>
      </c>
      <c r="C2554">
        <f>SUMPRODUCT(Calc!$K$3:$K$22*(Calc!$G$3:$G$22&lt;=A2554))</f>
        <v/>
      </c>
      <c r="D2554">
        <f>SUMPRODUCT(Calc!$K$3:$K$22*(Calc!$G$3:$G$22&gt;A2554)*(Calc!$G$3:$G$22&lt;B2554))</f>
        <v/>
      </c>
      <c r="E2554">
        <f>SUMPRODUCT(Calc!$K$3:$K$22*(Calc!$G$3:$G$22&gt;=B2554))</f>
        <v/>
      </c>
      <c r="F2554">
        <f>AND(k_n&gt;=5,B2554&gt;A2554+1E-9,C2554&gt;=2,D2554&gt;=1,E2554&gt;=2)</f>
        <v/>
      </c>
      <c r="G2554">
        <f>SUMPRODUCT(Calc!$K$3:$K$22*(Calc!$G$3:$G$22&gt;A2554)*(Calc!$G$3:$G$22-A2554))</f>
        <v/>
      </c>
      <c r="H2554">
        <f>SUMPRODUCT(Calc!$K$3:$K$22*(Calc!$G$3:$G$22&gt;B2554)*(Calc!$G$3:$G$22-B2554))</f>
        <v/>
      </c>
      <c r="I2554">
        <f>SUMPRODUCT(Calc!$K$3:$K$22*(Calc!$G$3:$G$22&gt;A2554)*(Calc!$G$3:$G$22-A2554)^2)</f>
        <v/>
      </c>
      <c r="J2554">
        <f>SUMPRODUCT(Calc!$K$3:$K$22*(Calc!$G$3:$G$22&gt;B2554)*(Calc!$G$3:$G$22-B2554)^2)</f>
        <v/>
      </c>
      <c r="K2554">
        <f>SUMPRODUCT(Calc!$K$3:$K$22*(Calc!$G$3:$G$22&gt;A2554)*(Calc!$G$3:$G$22-A2554)*(Calc!$G$3:$G$22&gt;B2554)*(Calc!$G$3:$G$22-B2554))</f>
        <v/>
      </c>
      <c r="L2554">
        <f>SUMPRODUCT(Calc!$K$3:$K$22*(Calc!$G$3:$G$22&gt;A2554)*(Calc!$G$3:$G$22-A2554)*Calc!$G$3:$G$22)</f>
        <v/>
      </c>
      <c r="M2554">
        <f>SUMPRODUCT(Calc!$K$3:$K$22*(Calc!$G$3:$G$22&gt;B2554)*(Calc!$G$3:$G$22-B2554)*Calc!$G$3:$G$22)</f>
        <v/>
      </c>
      <c r="N2554">
        <f>SUMPRODUCT(Calc!$K$3:$K$22*(Calc!$G$3:$G$22&gt;A2554)*(Calc!$G$3:$G$22-A2554)*Calc!$I$3:$I$22)</f>
        <v/>
      </c>
      <c r="O2554">
        <f>SUMPRODUCT(Calc!$K$3:$K$22*(Calc!$G$3:$G$22&gt;B2554)*(Calc!$G$3:$G$22-B2554)*Calc!$I$3:$I$22)</f>
        <v/>
      </c>
      <c r="P2554">
        <f>I2554-G2554^2/k_n</f>
        <v/>
      </c>
      <c r="Q2554">
        <f>J2554-H2554^2/k_n</f>
        <v/>
      </c>
      <c r="R2554">
        <f>K2554-G2554*H2554/k_n</f>
        <v/>
      </c>
      <c r="S2554">
        <f>L2554-LTP3!$D$3*G2554/k_n</f>
        <v/>
      </c>
      <c r="T2554">
        <f>M2554-LTP3!$D$3*H2554/k_n</f>
        <v/>
      </c>
      <c r="U2554">
        <f>N2554-G2554*LTP3!$D$4/k_n</f>
        <v/>
      </c>
      <c r="V2554">
        <f>O2554-H2554*LTP3!$D$4/k_n</f>
        <v/>
      </c>
      <c r="W2554">
        <f>((LTP3!$D$5)*((P2554)*(Q2554)-(R2554)*(R2554))-(S2554)*((S2554)*(Q2554)-(R2554)*(T2554))+(T2554)*((S2554)*(R2554)-(P2554)*(T2554)))</f>
        <v/>
      </c>
      <c r="X2554">
        <f>IF(ABS(W2554)&gt;1E-12,((LTP3!$D$6)*((P2554)*(Q2554)-(R2554)*(R2554))-(S2554)*((U2554)*(Q2554)-(R2554)*(V2554))+(T2554)*((U2554)*(R2554)-(P2554)*(V2554)))/W2554,0)</f>
        <v/>
      </c>
      <c r="Y2554">
        <f>IF(ABS(W2554)&gt;1E-12,((LTP3!$D$5)*((U2554)*(Q2554)-(R2554)*(V2554))-(LTP3!$D$6)*((S2554)*(Q2554)-(R2554)*(T2554))+(T2554)*((S2554)*(V2554)-(U2554)*(T2554)))/W2554,0)</f>
        <v/>
      </c>
      <c r="Z2554">
        <f>IF(ABS(W2554)&gt;1E-12,((LTP3!$D$5)*((P2554)*(V2554)-(U2554)*(R2554))-(S2554)*((S2554)*(V2554)-(U2554)*(T2554))+(LTP3!$D$6)*((S2554)*(R2554)-(P2554)*(T2554)))/W2554,0)</f>
        <v/>
      </c>
      <c r="AA2554">
        <f>LTP3!$D$7-X2554*LTP3!$D$6-Y2554*U2554-Z2554*V2554</f>
        <v/>
      </c>
      <c r="AB2554">
        <f>IF(AND(F2554,ABS(W2554)&gt;1E-12,Y2554&gt;0,Z2554&gt;0),AA2554,1E+300)</f>
        <v/>
      </c>
    </row>
    <row r="2555">
      <c r="A2555">
        <f>$B$3+$B$5*41</f>
        <v/>
      </c>
      <c r="B2555">
        <f>$B$3+$B$5*42</f>
        <v/>
      </c>
      <c r="C2555">
        <f>SUMPRODUCT(Calc!$K$3:$K$22*(Calc!$G$3:$G$22&lt;=A2555))</f>
        <v/>
      </c>
      <c r="D2555">
        <f>SUMPRODUCT(Calc!$K$3:$K$22*(Calc!$G$3:$G$22&gt;A2555)*(Calc!$G$3:$G$22&lt;B2555))</f>
        <v/>
      </c>
      <c r="E2555">
        <f>SUMPRODUCT(Calc!$K$3:$K$22*(Calc!$G$3:$G$22&gt;=B2555))</f>
        <v/>
      </c>
      <c r="F2555">
        <f>AND(k_n&gt;=5,B2555&gt;A2555+1E-9,C2555&gt;=2,D2555&gt;=1,E2555&gt;=2)</f>
        <v/>
      </c>
      <c r="G2555">
        <f>SUMPRODUCT(Calc!$K$3:$K$22*(Calc!$G$3:$G$22&gt;A2555)*(Calc!$G$3:$G$22-A2555))</f>
        <v/>
      </c>
      <c r="H2555">
        <f>SUMPRODUCT(Calc!$K$3:$K$22*(Calc!$G$3:$G$22&gt;B2555)*(Calc!$G$3:$G$22-B2555))</f>
        <v/>
      </c>
      <c r="I2555">
        <f>SUMPRODUCT(Calc!$K$3:$K$22*(Calc!$G$3:$G$22&gt;A2555)*(Calc!$G$3:$G$22-A2555)^2)</f>
        <v/>
      </c>
      <c r="J2555">
        <f>SUMPRODUCT(Calc!$K$3:$K$22*(Calc!$G$3:$G$22&gt;B2555)*(Calc!$G$3:$G$22-B2555)^2)</f>
        <v/>
      </c>
      <c r="K2555">
        <f>SUMPRODUCT(Calc!$K$3:$K$22*(Calc!$G$3:$G$22&gt;A2555)*(Calc!$G$3:$G$22-A2555)*(Calc!$G$3:$G$22&gt;B2555)*(Calc!$G$3:$G$22-B2555))</f>
        <v/>
      </c>
      <c r="L2555">
        <f>SUMPRODUCT(Calc!$K$3:$K$22*(Calc!$G$3:$G$22&gt;A2555)*(Calc!$G$3:$G$22-A2555)*Calc!$G$3:$G$22)</f>
        <v/>
      </c>
      <c r="M2555">
        <f>SUMPRODUCT(Calc!$K$3:$K$22*(Calc!$G$3:$G$22&gt;B2555)*(Calc!$G$3:$G$22-B2555)*Calc!$G$3:$G$22)</f>
        <v/>
      </c>
      <c r="N2555">
        <f>SUMPRODUCT(Calc!$K$3:$K$22*(Calc!$G$3:$G$22&gt;A2555)*(Calc!$G$3:$G$22-A2555)*Calc!$I$3:$I$22)</f>
        <v/>
      </c>
      <c r="O2555">
        <f>SUMPRODUCT(Calc!$K$3:$K$22*(Calc!$G$3:$G$22&gt;B2555)*(Calc!$G$3:$G$22-B2555)*Calc!$I$3:$I$22)</f>
        <v/>
      </c>
      <c r="P2555">
        <f>I2555-G2555^2/k_n</f>
        <v/>
      </c>
      <c r="Q2555">
        <f>J2555-H2555^2/k_n</f>
        <v/>
      </c>
      <c r="R2555">
        <f>K2555-G2555*H2555/k_n</f>
        <v/>
      </c>
      <c r="S2555">
        <f>L2555-LTP3!$D$3*G2555/k_n</f>
        <v/>
      </c>
      <c r="T2555">
        <f>M2555-LTP3!$D$3*H2555/k_n</f>
        <v/>
      </c>
      <c r="U2555">
        <f>N2555-G2555*LTP3!$D$4/k_n</f>
        <v/>
      </c>
      <c r="V2555">
        <f>O2555-H2555*LTP3!$D$4/k_n</f>
        <v/>
      </c>
      <c r="W2555">
        <f>((LTP3!$D$5)*((P2555)*(Q2555)-(R2555)*(R2555))-(S2555)*((S2555)*(Q2555)-(R2555)*(T2555))+(T2555)*((S2555)*(R2555)-(P2555)*(T2555)))</f>
        <v/>
      </c>
      <c r="X2555">
        <f>IF(ABS(W2555)&gt;1E-12,((LTP3!$D$6)*((P2555)*(Q2555)-(R2555)*(R2555))-(S2555)*((U2555)*(Q2555)-(R2555)*(V2555))+(T2555)*((U2555)*(R2555)-(P2555)*(V2555)))/W2555,0)</f>
        <v/>
      </c>
      <c r="Y2555">
        <f>IF(ABS(W2555)&gt;1E-12,((LTP3!$D$5)*((U2555)*(Q2555)-(R2555)*(V2555))-(LTP3!$D$6)*((S2555)*(Q2555)-(R2555)*(T2555))+(T2555)*((S2555)*(V2555)-(U2555)*(T2555)))/W2555,0)</f>
        <v/>
      </c>
      <c r="Z2555">
        <f>IF(ABS(W2555)&gt;1E-12,((LTP3!$D$5)*((P2555)*(V2555)-(U2555)*(R2555))-(S2555)*((S2555)*(V2555)-(U2555)*(T2555))+(LTP3!$D$6)*((S2555)*(R2555)-(P2555)*(T2555)))/W2555,0)</f>
        <v/>
      </c>
      <c r="AA2555">
        <f>LTP3!$D$7-X2555*LTP3!$D$6-Y2555*U2555-Z2555*V2555</f>
        <v/>
      </c>
      <c r="AB2555">
        <f>IF(AND(F2555,ABS(W2555)&gt;1E-12,Y2555&gt;0,Z2555&gt;0),AA2555,1E+300)</f>
        <v/>
      </c>
    </row>
    <row r="2556">
      <c r="A2556">
        <f>$B$3+$B$5*41</f>
        <v/>
      </c>
      <c r="B2556">
        <f>$B$3+$B$5*43</f>
        <v/>
      </c>
      <c r="C2556">
        <f>SUMPRODUCT(Calc!$K$3:$K$22*(Calc!$G$3:$G$22&lt;=A2556))</f>
        <v/>
      </c>
      <c r="D2556">
        <f>SUMPRODUCT(Calc!$K$3:$K$22*(Calc!$G$3:$G$22&gt;A2556)*(Calc!$G$3:$G$22&lt;B2556))</f>
        <v/>
      </c>
      <c r="E2556">
        <f>SUMPRODUCT(Calc!$K$3:$K$22*(Calc!$G$3:$G$22&gt;=B2556))</f>
        <v/>
      </c>
      <c r="F2556">
        <f>AND(k_n&gt;=5,B2556&gt;A2556+1E-9,C2556&gt;=2,D2556&gt;=1,E2556&gt;=2)</f>
        <v/>
      </c>
      <c r="G2556">
        <f>SUMPRODUCT(Calc!$K$3:$K$22*(Calc!$G$3:$G$22&gt;A2556)*(Calc!$G$3:$G$22-A2556))</f>
        <v/>
      </c>
      <c r="H2556">
        <f>SUMPRODUCT(Calc!$K$3:$K$22*(Calc!$G$3:$G$22&gt;B2556)*(Calc!$G$3:$G$22-B2556))</f>
        <v/>
      </c>
      <c r="I2556">
        <f>SUMPRODUCT(Calc!$K$3:$K$22*(Calc!$G$3:$G$22&gt;A2556)*(Calc!$G$3:$G$22-A2556)^2)</f>
        <v/>
      </c>
      <c r="J2556">
        <f>SUMPRODUCT(Calc!$K$3:$K$22*(Calc!$G$3:$G$22&gt;B2556)*(Calc!$G$3:$G$22-B2556)^2)</f>
        <v/>
      </c>
      <c r="K2556">
        <f>SUMPRODUCT(Calc!$K$3:$K$22*(Calc!$G$3:$G$22&gt;A2556)*(Calc!$G$3:$G$22-A2556)*(Calc!$G$3:$G$22&gt;B2556)*(Calc!$G$3:$G$22-B2556))</f>
        <v/>
      </c>
      <c r="L2556">
        <f>SUMPRODUCT(Calc!$K$3:$K$22*(Calc!$G$3:$G$22&gt;A2556)*(Calc!$G$3:$G$22-A2556)*Calc!$G$3:$G$22)</f>
        <v/>
      </c>
      <c r="M2556">
        <f>SUMPRODUCT(Calc!$K$3:$K$22*(Calc!$G$3:$G$22&gt;B2556)*(Calc!$G$3:$G$22-B2556)*Calc!$G$3:$G$22)</f>
        <v/>
      </c>
      <c r="N2556">
        <f>SUMPRODUCT(Calc!$K$3:$K$22*(Calc!$G$3:$G$22&gt;A2556)*(Calc!$G$3:$G$22-A2556)*Calc!$I$3:$I$22)</f>
        <v/>
      </c>
      <c r="O2556">
        <f>SUMPRODUCT(Calc!$K$3:$K$22*(Calc!$G$3:$G$22&gt;B2556)*(Calc!$G$3:$G$22-B2556)*Calc!$I$3:$I$22)</f>
        <v/>
      </c>
      <c r="P2556">
        <f>I2556-G2556^2/k_n</f>
        <v/>
      </c>
      <c r="Q2556">
        <f>J2556-H2556^2/k_n</f>
        <v/>
      </c>
      <c r="R2556">
        <f>K2556-G2556*H2556/k_n</f>
        <v/>
      </c>
      <c r="S2556">
        <f>L2556-LTP3!$D$3*G2556/k_n</f>
        <v/>
      </c>
      <c r="T2556">
        <f>M2556-LTP3!$D$3*H2556/k_n</f>
        <v/>
      </c>
      <c r="U2556">
        <f>N2556-G2556*LTP3!$D$4/k_n</f>
        <v/>
      </c>
      <c r="V2556">
        <f>O2556-H2556*LTP3!$D$4/k_n</f>
        <v/>
      </c>
      <c r="W2556">
        <f>((LTP3!$D$5)*((P2556)*(Q2556)-(R2556)*(R2556))-(S2556)*((S2556)*(Q2556)-(R2556)*(T2556))+(T2556)*((S2556)*(R2556)-(P2556)*(T2556)))</f>
        <v/>
      </c>
      <c r="X2556">
        <f>IF(ABS(W2556)&gt;1E-12,((LTP3!$D$6)*((P2556)*(Q2556)-(R2556)*(R2556))-(S2556)*((U2556)*(Q2556)-(R2556)*(V2556))+(T2556)*((U2556)*(R2556)-(P2556)*(V2556)))/W2556,0)</f>
        <v/>
      </c>
      <c r="Y2556">
        <f>IF(ABS(W2556)&gt;1E-12,((LTP3!$D$5)*((U2556)*(Q2556)-(R2556)*(V2556))-(LTP3!$D$6)*((S2556)*(Q2556)-(R2556)*(T2556))+(T2556)*((S2556)*(V2556)-(U2556)*(T2556)))/W2556,0)</f>
        <v/>
      </c>
      <c r="Z2556">
        <f>IF(ABS(W2556)&gt;1E-12,((LTP3!$D$5)*((P2556)*(V2556)-(U2556)*(R2556))-(S2556)*((S2556)*(V2556)-(U2556)*(T2556))+(LTP3!$D$6)*((S2556)*(R2556)-(P2556)*(T2556)))/W2556,0)</f>
        <v/>
      </c>
      <c r="AA2556">
        <f>LTP3!$D$7-X2556*LTP3!$D$6-Y2556*U2556-Z2556*V2556</f>
        <v/>
      </c>
      <c r="AB2556">
        <f>IF(AND(F2556,ABS(W2556)&gt;1E-12,Y2556&gt;0,Z2556&gt;0),AA2556,1E+300)</f>
        <v/>
      </c>
    </row>
    <row r="2557">
      <c r="A2557">
        <f>$B$3+$B$5*41</f>
        <v/>
      </c>
      <c r="B2557">
        <f>$B$3+$B$5*44</f>
        <v/>
      </c>
      <c r="C2557">
        <f>SUMPRODUCT(Calc!$K$3:$K$22*(Calc!$G$3:$G$22&lt;=A2557))</f>
        <v/>
      </c>
      <c r="D2557">
        <f>SUMPRODUCT(Calc!$K$3:$K$22*(Calc!$G$3:$G$22&gt;A2557)*(Calc!$G$3:$G$22&lt;B2557))</f>
        <v/>
      </c>
      <c r="E2557">
        <f>SUMPRODUCT(Calc!$K$3:$K$22*(Calc!$G$3:$G$22&gt;=B2557))</f>
        <v/>
      </c>
      <c r="F2557">
        <f>AND(k_n&gt;=5,B2557&gt;A2557+1E-9,C2557&gt;=2,D2557&gt;=1,E2557&gt;=2)</f>
        <v/>
      </c>
      <c r="G2557">
        <f>SUMPRODUCT(Calc!$K$3:$K$22*(Calc!$G$3:$G$22&gt;A2557)*(Calc!$G$3:$G$22-A2557))</f>
        <v/>
      </c>
      <c r="H2557">
        <f>SUMPRODUCT(Calc!$K$3:$K$22*(Calc!$G$3:$G$22&gt;B2557)*(Calc!$G$3:$G$22-B2557))</f>
        <v/>
      </c>
      <c r="I2557">
        <f>SUMPRODUCT(Calc!$K$3:$K$22*(Calc!$G$3:$G$22&gt;A2557)*(Calc!$G$3:$G$22-A2557)^2)</f>
        <v/>
      </c>
      <c r="J2557">
        <f>SUMPRODUCT(Calc!$K$3:$K$22*(Calc!$G$3:$G$22&gt;B2557)*(Calc!$G$3:$G$22-B2557)^2)</f>
        <v/>
      </c>
      <c r="K2557">
        <f>SUMPRODUCT(Calc!$K$3:$K$22*(Calc!$G$3:$G$22&gt;A2557)*(Calc!$G$3:$G$22-A2557)*(Calc!$G$3:$G$22&gt;B2557)*(Calc!$G$3:$G$22-B2557))</f>
        <v/>
      </c>
      <c r="L2557">
        <f>SUMPRODUCT(Calc!$K$3:$K$22*(Calc!$G$3:$G$22&gt;A2557)*(Calc!$G$3:$G$22-A2557)*Calc!$G$3:$G$22)</f>
        <v/>
      </c>
      <c r="M2557">
        <f>SUMPRODUCT(Calc!$K$3:$K$22*(Calc!$G$3:$G$22&gt;B2557)*(Calc!$G$3:$G$22-B2557)*Calc!$G$3:$G$22)</f>
        <v/>
      </c>
      <c r="N2557">
        <f>SUMPRODUCT(Calc!$K$3:$K$22*(Calc!$G$3:$G$22&gt;A2557)*(Calc!$G$3:$G$22-A2557)*Calc!$I$3:$I$22)</f>
        <v/>
      </c>
      <c r="O2557">
        <f>SUMPRODUCT(Calc!$K$3:$K$22*(Calc!$G$3:$G$22&gt;B2557)*(Calc!$G$3:$G$22-B2557)*Calc!$I$3:$I$22)</f>
        <v/>
      </c>
      <c r="P2557">
        <f>I2557-G2557^2/k_n</f>
        <v/>
      </c>
      <c r="Q2557">
        <f>J2557-H2557^2/k_n</f>
        <v/>
      </c>
      <c r="R2557">
        <f>K2557-G2557*H2557/k_n</f>
        <v/>
      </c>
      <c r="S2557">
        <f>L2557-LTP3!$D$3*G2557/k_n</f>
        <v/>
      </c>
      <c r="T2557">
        <f>M2557-LTP3!$D$3*H2557/k_n</f>
        <v/>
      </c>
      <c r="U2557">
        <f>N2557-G2557*LTP3!$D$4/k_n</f>
        <v/>
      </c>
      <c r="V2557">
        <f>O2557-H2557*LTP3!$D$4/k_n</f>
        <v/>
      </c>
      <c r="W2557">
        <f>((LTP3!$D$5)*((P2557)*(Q2557)-(R2557)*(R2557))-(S2557)*((S2557)*(Q2557)-(R2557)*(T2557))+(T2557)*((S2557)*(R2557)-(P2557)*(T2557)))</f>
        <v/>
      </c>
      <c r="X2557">
        <f>IF(ABS(W2557)&gt;1E-12,((LTP3!$D$6)*((P2557)*(Q2557)-(R2557)*(R2557))-(S2557)*((U2557)*(Q2557)-(R2557)*(V2557))+(T2557)*((U2557)*(R2557)-(P2557)*(V2557)))/W2557,0)</f>
        <v/>
      </c>
      <c r="Y2557">
        <f>IF(ABS(W2557)&gt;1E-12,((LTP3!$D$5)*((U2557)*(Q2557)-(R2557)*(V2557))-(LTP3!$D$6)*((S2557)*(Q2557)-(R2557)*(T2557))+(T2557)*((S2557)*(V2557)-(U2557)*(T2557)))/W2557,0)</f>
        <v/>
      </c>
      <c r="Z2557">
        <f>IF(ABS(W2557)&gt;1E-12,((LTP3!$D$5)*((P2557)*(V2557)-(U2557)*(R2557))-(S2557)*((S2557)*(V2557)-(U2557)*(T2557))+(LTP3!$D$6)*((S2557)*(R2557)-(P2557)*(T2557)))/W2557,0)</f>
        <v/>
      </c>
      <c r="AA2557">
        <f>LTP3!$D$7-X2557*LTP3!$D$6-Y2557*U2557-Z2557*V2557</f>
        <v/>
      </c>
      <c r="AB2557">
        <f>IF(AND(F2557,ABS(W2557)&gt;1E-12,Y2557&gt;0,Z2557&gt;0),AA2557,1E+300)</f>
        <v/>
      </c>
    </row>
    <row r="2558">
      <c r="A2558">
        <f>$B$3+$B$5*41</f>
        <v/>
      </c>
      <c r="B2558">
        <f>$B$3+$B$5*45</f>
        <v/>
      </c>
      <c r="C2558">
        <f>SUMPRODUCT(Calc!$K$3:$K$22*(Calc!$G$3:$G$22&lt;=A2558))</f>
        <v/>
      </c>
      <c r="D2558">
        <f>SUMPRODUCT(Calc!$K$3:$K$22*(Calc!$G$3:$G$22&gt;A2558)*(Calc!$G$3:$G$22&lt;B2558))</f>
        <v/>
      </c>
      <c r="E2558">
        <f>SUMPRODUCT(Calc!$K$3:$K$22*(Calc!$G$3:$G$22&gt;=B2558))</f>
        <v/>
      </c>
      <c r="F2558">
        <f>AND(k_n&gt;=5,B2558&gt;A2558+1E-9,C2558&gt;=2,D2558&gt;=1,E2558&gt;=2)</f>
        <v/>
      </c>
      <c r="G2558">
        <f>SUMPRODUCT(Calc!$K$3:$K$22*(Calc!$G$3:$G$22&gt;A2558)*(Calc!$G$3:$G$22-A2558))</f>
        <v/>
      </c>
      <c r="H2558">
        <f>SUMPRODUCT(Calc!$K$3:$K$22*(Calc!$G$3:$G$22&gt;B2558)*(Calc!$G$3:$G$22-B2558))</f>
        <v/>
      </c>
      <c r="I2558">
        <f>SUMPRODUCT(Calc!$K$3:$K$22*(Calc!$G$3:$G$22&gt;A2558)*(Calc!$G$3:$G$22-A2558)^2)</f>
        <v/>
      </c>
      <c r="J2558">
        <f>SUMPRODUCT(Calc!$K$3:$K$22*(Calc!$G$3:$G$22&gt;B2558)*(Calc!$G$3:$G$22-B2558)^2)</f>
        <v/>
      </c>
      <c r="K2558">
        <f>SUMPRODUCT(Calc!$K$3:$K$22*(Calc!$G$3:$G$22&gt;A2558)*(Calc!$G$3:$G$22-A2558)*(Calc!$G$3:$G$22&gt;B2558)*(Calc!$G$3:$G$22-B2558))</f>
        <v/>
      </c>
      <c r="L2558">
        <f>SUMPRODUCT(Calc!$K$3:$K$22*(Calc!$G$3:$G$22&gt;A2558)*(Calc!$G$3:$G$22-A2558)*Calc!$G$3:$G$22)</f>
        <v/>
      </c>
      <c r="M2558">
        <f>SUMPRODUCT(Calc!$K$3:$K$22*(Calc!$G$3:$G$22&gt;B2558)*(Calc!$G$3:$G$22-B2558)*Calc!$G$3:$G$22)</f>
        <v/>
      </c>
      <c r="N2558">
        <f>SUMPRODUCT(Calc!$K$3:$K$22*(Calc!$G$3:$G$22&gt;A2558)*(Calc!$G$3:$G$22-A2558)*Calc!$I$3:$I$22)</f>
        <v/>
      </c>
      <c r="O2558">
        <f>SUMPRODUCT(Calc!$K$3:$K$22*(Calc!$G$3:$G$22&gt;B2558)*(Calc!$G$3:$G$22-B2558)*Calc!$I$3:$I$22)</f>
        <v/>
      </c>
      <c r="P2558">
        <f>I2558-G2558^2/k_n</f>
        <v/>
      </c>
      <c r="Q2558">
        <f>J2558-H2558^2/k_n</f>
        <v/>
      </c>
      <c r="R2558">
        <f>K2558-G2558*H2558/k_n</f>
        <v/>
      </c>
      <c r="S2558">
        <f>L2558-LTP3!$D$3*G2558/k_n</f>
        <v/>
      </c>
      <c r="T2558">
        <f>M2558-LTP3!$D$3*H2558/k_n</f>
        <v/>
      </c>
      <c r="U2558">
        <f>N2558-G2558*LTP3!$D$4/k_n</f>
        <v/>
      </c>
      <c r="V2558">
        <f>O2558-H2558*LTP3!$D$4/k_n</f>
        <v/>
      </c>
      <c r="W2558">
        <f>((LTP3!$D$5)*((P2558)*(Q2558)-(R2558)*(R2558))-(S2558)*((S2558)*(Q2558)-(R2558)*(T2558))+(T2558)*((S2558)*(R2558)-(P2558)*(T2558)))</f>
        <v/>
      </c>
      <c r="X2558">
        <f>IF(ABS(W2558)&gt;1E-12,((LTP3!$D$6)*((P2558)*(Q2558)-(R2558)*(R2558))-(S2558)*((U2558)*(Q2558)-(R2558)*(V2558))+(T2558)*((U2558)*(R2558)-(P2558)*(V2558)))/W2558,0)</f>
        <v/>
      </c>
      <c r="Y2558">
        <f>IF(ABS(W2558)&gt;1E-12,((LTP3!$D$5)*((U2558)*(Q2558)-(R2558)*(V2558))-(LTP3!$D$6)*((S2558)*(Q2558)-(R2558)*(T2558))+(T2558)*((S2558)*(V2558)-(U2558)*(T2558)))/W2558,0)</f>
        <v/>
      </c>
      <c r="Z2558">
        <f>IF(ABS(W2558)&gt;1E-12,((LTP3!$D$5)*((P2558)*(V2558)-(U2558)*(R2558))-(S2558)*((S2558)*(V2558)-(U2558)*(T2558))+(LTP3!$D$6)*((S2558)*(R2558)-(P2558)*(T2558)))/W2558,0)</f>
        <v/>
      </c>
      <c r="AA2558">
        <f>LTP3!$D$7-X2558*LTP3!$D$6-Y2558*U2558-Z2558*V2558</f>
        <v/>
      </c>
      <c r="AB2558">
        <f>IF(AND(F2558,ABS(W2558)&gt;1E-12,Y2558&gt;0,Z2558&gt;0),AA2558,1E+300)</f>
        <v/>
      </c>
    </row>
    <row r="2559">
      <c r="A2559">
        <f>$B$3+$B$5*41</f>
        <v/>
      </c>
      <c r="B2559">
        <f>$B$3+$B$5*46</f>
        <v/>
      </c>
      <c r="C2559">
        <f>SUMPRODUCT(Calc!$K$3:$K$22*(Calc!$G$3:$G$22&lt;=A2559))</f>
        <v/>
      </c>
      <c r="D2559">
        <f>SUMPRODUCT(Calc!$K$3:$K$22*(Calc!$G$3:$G$22&gt;A2559)*(Calc!$G$3:$G$22&lt;B2559))</f>
        <v/>
      </c>
      <c r="E2559">
        <f>SUMPRODUCT(Calc!$K$3:$K$22*(Calc!$G$3:$G$22&gt;=B2559))</f>
        <v/>
      </c>
      <c r="F2559">
        <f>AND(k_n&gt;=5,B2559&gt;A2559+1E-9,C2559&gt;=2,D2559&gt;=1,E2559&gt;=2)</f>
        <v/>
      </c>
      <c r="G2559">
        <f>SUMPRODUCT(Calc!$K$3:$K$22*(Calc!$G$3:$G$22&gt;A2559)*(Calc!$G$3:$G$22-A2559))</f>
        <v/>
      </c>
      <c r="H2559">
        <f>SUMPRODUCT(Calc!$K$3:$K$22*(Calc!$G$3:$G$22&gt;B2559)*(Calc!$G$3:$G$22-B2559))</f>
        <v/>
      </c>
      <c r="I2559">
        <f>SUMPRODUCT(Calc!$K$3:$K$22*(Calc!$G$3:$G$22&gt;A2559)*(Calc!$G$3:$G$22-A2559)^2)</f>
        <v/>
      </c>
      <c r="J2559">
        <f>SUMPRODUCT(Calc!$K$3:$K$22*(Calc!$G$3:$G$22&gt;B2559)*(Calc!$G$3:$G$22-B2559)^2)</f>
        <v/>
      </c>
      <c r="K2559">
        <f>SUMPRODUCT(Calc!$K$3:$K$22*(Calc!$G$3:$G$22&gt;A2559)*(Calc!$G$3:$G$22-A2559)*(Calc!$G$3:$G$22&gt;B2559)*(Calc!$G$3:$G$22-B2559))</f>
        <v/>
      </c>
      <c r="L2559">
        <f>SUMPRODUCT(Calc!$K$3:$K$22*(Calc!$G$3:$G$22&gt;A2559)*(Calc!$G$3:$G$22-A2559)*Calc!$G$3:$G$22)</f>
        <v/>
      </c>
      <c r="M2559">
        <f>SUMPRODUCT(Calc!$K$3:$K$22*(Calc!$G$3:$G$22&gt;B2559)*(Calc!$G$3:$G$22-B2559)*Calc!$G$3:$G$22)</f>
        <v/>
      </c>
      <c r="N2559">
        <f>SUMPRODUCT(Calc!$K$3:$K$22*(Calc!$G$3:$G$22&gt;A2559)*(Calc!$G$3:$G$22-A2559)*Calc!$I$3:$I$22)</f>
        <v/>
      </c>
      <c r="O2559">
        <f>SUMPRODUCT(Calc!$K$3:$K$22*(Calc!$G$3:$G$22&gt;B2559)*(Calc!$G$3:$G$22-B2559)*Calc!$I$3:$I$22)</f>
        <v/>
      </c>
      <c r="P2559">
        <f>I2559-G2559^2/k_n</f>
        <v/>
      </c>
      <c r="Q2559">
        <f>J2559-H2559^2/k_n</f>
        <v/>
      </c>
      <c r="R2559">
        <f>K2559-G2559*H2559/k_n</f>
        <v/>
      </c>
      <c r="S2559">
        <f>L2559-LTP3!$D$3*G2559/k_n</f>
        <v/>
      </c>
      <c r="T2559">
        <f>M2559-LTP3!$D$3*H2559/k_n</f>
        <v/>
      </c>
      <c r="U2559">
        <f>N2559-G2559*LTP3!$D$4/k_n</f>
        <v/>
      </c>
      <c r="V2559">
        <f>O2559-H2559*LTP3!$D$4/k_n</f>
        <v/>
      </c>
      <c r="W2559">
        <f>((LTP3!$D$5)*((P2559)*(Q2559)-(R2559)*(R2559))-(S2559)*((S2559)*(Q2559)-(R2559)*(T2559))+(T2559)*((S2559)*(R2559)-(P2559)*(T2559)))</f>
        <v/>
      </c>
      <c r="X2559">
        <f>IF(ABS(W2559)&gt;1E-12,((LTP3!$D$6)*((P2559)*(Q2559)-(R2559)*(R2559))-(S2559)*((U2559)*(Q2559)-(R2559)*(V2559))+(T2559)*((U2559)*(R2559)-(P2559)*(V2559)))/W2559,0)</f>
        <v/>
      </c>
      <c r="Y2559">
        <f>IF(ABS(W2559)&gt;1E-12,((LTP3!$D$5)*((U2559)*(Q2559)-(R2559)*(V2559))-(LTP3!$D$6)*((S2559)*(Q2559)-(R2559)*(T2559))+(T2559)*((S2559)*(V2559)-(U2559)*(T2559)))/W2559,0)</f>
        <v/>
      </c>
      <c r="Z2559">
        <f>IF(ABS(W2559)&gt;1E-12,((LTP3!$D$5)*((P2559)*(V2559)-(U2559)*(R2559))-(S2559)*((S2559)*(V2559)-(U2559)*(T2559))+(LTP3!$D$6)*((S2559)*(R2559)-(P2559)*(T2559)))/W2559,0)</f>
        <v/>
      </c>
      <c r="AA2559">
        <f>LTP3!$D$7-X2559*LTP3!$D$6-Y2559*U2559-Z2559*V2559</f>
        <v/>
      </c>
      <c r="AB2559">
        <f>IF(AND(F2559,ABS(W2559)&gt;1E-12,Y2559&gt;0,Z2559&gt;0),AA2559,1E+300)</f>
        <v/>
      </c>
    </row>
    <row r="2560">
      <c r="A2560">
        <f>$B$3+$B$5*41</f>
        <v/>
      </c>
      <c r="B2560">
        <f>$B$3+$B$5*47</f>
        <v/>
      </c>
      <c r="C2560">
        <f>SUMPRODUCT(Calc!$K$3:$K$22*(Calc!$G$3:$G$22&lt;=A2560))</f>
        <v/>
      </c>
      <c r="D2560">
        <f>SUMPRODUCT(Calc!$K$3:$K$22*(Calc!$G$3:$G$22&gt;A2560)*(Calc!$G$3:$G$22&lt;B2560))</f>
        <v/>
      </c>
      <c r="E2560">
        <f>SUMPRODUCT(Calc!$K$3:$K$22*(Calc!$G$3:$G$22&gt;=B2560))</f>
        <v/>
      </c>
      <c r="F2560">
        <f>AND(k_n&gt;=5,B2560&gt;A2560+1E-9,C2560&gt;=2,D2560&gt;=1,E2560&gt;=2)</f>
        <v/>
      </c>
      <c r="G2560">
        <f>SUMPRODUCT(Calc!$K$3:$K$22*(Calc!$G$3:$G$22&gt;A2560)*(Calc!$G$3:$G$22-A2560))</f>
        <v/>
      </c>
      <c r="H2560">
        <f>SUMPRODUCT(Calc!$K$3:$K$22*(Calc!$G$3:$G$22&gt;B2560)*(Calc!$G$3:$G$22-B2560))</f>
        <v/>
      </c>
      <c r="I2560">
        <f>SUMPRODUCT(Calc!$K$3:$K$22*(Calc!$G$3:$G$22&gt;A2560)*(Calc!$G$3:$G$22-A2560)^2)</f>
        <v/>
      </c>
      <c r="J2560">
        <f>SUMPRODUCT(Calc!$K$3:$K$22*(Calc!$G$3:$G$22&gt;B2560)*(Calc!$G$3:$G$22-B2560)^2)</f>
        <v/>
      </c>
      <c r="K2560">
        <f>SUMPRODUCT(Calc!$K$3:$K$22*(Calc!$G$3:$G$22&gt;A2560)*(Calc!$G$3:$G$22-A2560)*(Calc!$G$3:$G$22&gt;B2560)*(Calc!$G$3:$G$22-B2560))</f>
        <v/>
      </c>
      <c r="L2560">
        <f>SUMPRODUCT(Calc!$K$3:$K$22*(Calc!$G$3:$G$22&gt;A2560)*(Calc!$G$3:$G$22-A2560)*Calc!$G$3:$G$22)</f>
        <v/>
      </c>
      <c r="M2560">
        <f>SUMPRODUCT(Calc!$K$3:$K$22*(Calc!$G$3:$G$22&gt;B2560)*(Calc!$G$3:$G$22-B2560)*Calc!$G$3:$G$22)</f>
        <v/>
      </c>
      <c r="N2560">
        <f>SUMPRODUCT(Calc!$K$3:$K$22*(Calc!$G$3:$G$22&gt;A2560)*(Calc!$G$3:$G$22-A2560)*Calc!$I$3:$I$22)</f>
        <v/>
      </c>
      <c r="O2560">
        <f>SUMPRODUCT(Calc!$K$3:$K$22*(Calc!$G$3:$G$22&gt;B2560)*(Calc!$G$3:$G$22-B2560)*Calc!$I$3:$I$22)</f>
        <v/>
      </c>
      <c r="P2560">
        <f>I2560-G2560^2/k_n</f>
        <v/>
      </c>
      <c r="Q2560">
        <f>J2560-H2560^2/k_n</f>
        <v/>
      </c>
      <c r="R2560">
        <f>K2560-G2560*H2560/k_n</f>
        <v/>
      </c>
      <c r="S2560">
        <f>L2560-LTP3!$D$3*G2560/k_n</f>
        <v/>
      </c>
      <c r="T2560">
        <f>M2560-LTP3!$D$3*H2560/k_n</f>
        <v/>
      </c>
      <c r="U2560">
        <f>N2560-G2560*LTP3!$D$4/k_n</f>
        <v/>
      </c>
      <c r="V2560">
        <f>O2560-H2560*LTP3!$D$4/k_n</f>
        <v/>
      </c>
      <c r="W2560">
        <f>((LTP3!$D$5)*((P2560)*(Q2560)-(R2560)*(R2560))-(S2560)*((S2560)*(Q2560)-(R2560)*(T2560))+(T2560)*((S2560)*(R2560)-(P2560)*(T2560)))</f>
        <v/>
      </c>
      <c r="X2560">
        <f>IF(ABS(W2560)&gt;1E-12,((LTP3!$D$6)*((P2560)*(Q2560)-(R2560)*(R2560))-(S2560)*((U2560)*(Q2560)-(R2560)*(V2560))+(T2560)*((U2560)*(R2560)-(P2560)*(V2560)))/W2560,0)</f>
        <v/>
      </c>
      <c r="Y2560">
        <f>IF(ABS(W2560)&gt;1E-12,((LTP3!$D$5)*((U2560)*(Q2560)-(R2560)*(V2560))-(LTP3!$D$6)*((S2560)*(Q2560)-(R2560)*(T2560))+(T2560)*((S2560)*(V2560)-(U2560)*(T2560)))/W2560,0)</f>
        <v/>
      </c>
      <c r="Z2560">
        <f>IF(ABS(W2560)&gt;1E-12,((LTP3!$D$5)*((P2560)*(V2560)-(U2560)*(R2560))-(S2560)*((S2560)*(V2560)-(U2560)*(T2560))+(LTP3!$D$6)*((S2560)*(R2560)-(P2560)*(T2560)))/W2560,0)</f>
        <v/>
      </c>
      <c r="AA2560">
        <f>LTP3!$D$7-X2560*LTP3!$D$6-Y2560*U2560-Z2560*V2560</f>
        <v/>
      </c>
      <c r="AB2560">
        <f>IF(AND(F2560,ABS(W2560)&gt;1E-12,Y2560&gt;0,Z2560&gt;0),AA2560,1E+300)</f>
        <v/>
      </c>
    </row>
    <row r="2561">
      <c r="A2561">
        <f>$B$3+$B$5*41</f>
        <v/>
      </c>
      <c r="B2561">
        <f>$B$3+$B$5*48</f>
        <v/>
      </c>
      <c r="C2561">
        <f>SUMPRODUCT(Calc!$K$3:$K$22*(Calc!$G$3:$G$22&lt;=A2561))</f>
        <v/>
      </c>
      <c r="D2561">
        <f>SUMPRODUCT(Calc!$K$3:$K$22*(Calc!$G$3:$G$22&gt;A2561)*(Calc!$G$3:$G$22&lt;B2561))</f>
        <v/>
      </c>
      <c r="E2561">
        <f>SUMPRODUCT(Calc!$K$3:$K$22*(Calc!$G$3:$G$22&gt;=B2561))</f>
        <v/>
      </c>
      <c r="F2561">
        <f>AND(k_n&gt;=5,B2561&gt;A2561+1E-9,C2561&gt;=2,D2561&gt;=1,E2561&gt;=2)</f>
        <v/>
      </c>
      <c r="G2561">
        <f>SUMPRODUCT(Calc!$K$3:$K$22*(Calc!$G$3:$G$22&gt;A2561)*(Calc!$G$3:$G$22-A2561))</f>
        <v/>
      </c>
      <c r="H2561">
        <f>SUMPRODUCT(Calc!$K$3:$K$22*(Calc!$G$3:$G$22&gt;B2561)*(Calc!$G$3:$G$22-B2561))</f>
        <v/>
      </c>
      <c r="I2561">
        <f>SUMPRODUCT(Calc!$K$3:$K$22*(Calc!$G$3:$G$22&gt;A2561)*(Calc!$G$3:$G$22-A2561)^2)</f>
        <v/>
      </c>
      <c r="J2561">
        <f>SUMPRODUCT(Calc!$K$3:$K$22*(Calc!$G$3:$G$22&gt;B2561)*(Calc!$G$3:$G$22-B2561)^2)</f>
        <v/>
      </c>
      <c r="K2561">
        <f>SUMPRODUCT(Calc!$K$3:$K$22*(Calc!$G$3:$G$22&gt;A2561)*(Calc!$G$3:$G$22-A2561)*(Calc!$G$3:$G$22&gt;B2561)*(Calc!$G$3:$G$22-B2561))</f>
        <v/>
      </c>
      <c r="L2561">
        <f>SUMPRODUCT(Calc!$K$3:$K$22*(Calc!$G$3:$G$22&gt;A2561)*(Calc!$G$3:$G$22-A2561)*Calc!$G$3:$G$22)</f>
        <v/>
      </c>
      <c r="M2561">
        <f>SUMPRODUCT(Calc!$K$3:$K$22*(Calc!$G$3:$G$22&gt;B2561)*(Calc!$G$3:$G$22-B2561)*Calc!$G$3:$G$22)</f>
        <v/>
      </c>
      <c r="N2561">
        <f>SUMPRODUCT(Calc!$K$3:$K$22*(Calc!$G$3:$G$22&gt;A2561)*(Calc!$G$3:$G$22-A2561)*Calc!$I$3:$I$22)</f>
        <v/>
      </c>
      <c r="O2561">
        <f>SUMPRODUCT(Calc!$K$3:$K$22*(Calc!$G$3:$G$22&gt;B2561)*(Calc!$G$3:$G$22-B2561)*Calc!$I$3:$I$22)</f>
        <v/>
      </c>
      <c r="P2561">
        <f>I2561-G2561^2/k_n</f>
        <v/>
      </c>
      <c r="Q2561">
        <f>J2561-H2561^2/k_n</f>
        <v/>
      </c>
      <c r="R2561">
        <f>K2561-G2561*H2561/k_n</f>
        <v/>
      </c>
      <c r="S2561">
        <f>L2561-LTP3!$D$3*G2561/k_n</f>
        <v/>
      </c>
      <c r="T2561">
        <f>M2561-LTP3!$D$3*H2561/k_n</f>
        <v/>
      </c>
      <c r="U2561">
        <f>N2561-G2561*LTP3!$D$4/k_n</f>
        <v/>
      </c>
      <c r="V2561">
        <f>O2561-H2561*LTP3!$D$4/k_n</f>
        <v/>
      </c>
      <c r="W2561">
        <f>((LTP3!$D$5)*((P2561)*(Q2561)-(R2561)*(R2561))-(S2561)*((S2561)*(Q2561)-(R2561)*(T2561))+(T2561)*((S2561)*(R2561)-(P2561)*(T2561)))</f>
        <v/>
      </c>
      <c r="X2561">
        <f>IF(ABS(W2561)&gt;1E-12,((LTP3!$D$6)*((P2561)*(Q2561)-(R2561)*(R2561))-(S2561)*((U2561)*(Q2561)-(R2561)*(V2561))+(T2561)*((U2561)*(R2561)-(P2561)*(V2561)))/W2561,0)</f>
        <v/>
      </c>
      <c r="Y2561">
        <f>IF(ABS(W2561)&gt;1E-12,((LTP3!$D$5)*((U2561)*(Q2561)-(R2561)*(V2561))-(LTP3!$D$6)*((S2561)*(Q2561)-(R2561)*(T2561))+(T2561)*((S2561)*(V2561)-(U2561)*(T2561)))/W2561,0)</f>
        <v/>
      </c>
      <c r="Z2561">
        <f>IF(ABS(W2561)&gt;1E-12,((LTP3!$D$5)*((P2561)*(V2561)-(U2561)*(R2561))-(S2561)*((S2561)*(V2561)-(U2561)*(T2561))+(LTP3!$D$6)*((S2561)*(R2561)-(P2561)*(T2561)))/W2561,0)</f>
        <v/>
      </c>
      <c r="AA2561">
        <f>LTP3!$D$7-X2561*LTP3!$D$6-Y2561*U2561-Z2561*V2561</f>
        <v/>
      </c>
      <c r="AB2561">
        <f>IF(AND(F2561,ABS(W2561)&gt;1E-12,Y2561&gt;0,Z2561&gt;0),AA2561,1E+300)</f>
        <v/>
      </c>
    </row>
    <row r="2562">
      <c r="A2562">
        <f>$B$3+$B$5*41</f>
        <v/>
      </c>
      <c r="B2562">
        <f>$B$3+$B$5*49</f>
        <v/>
      </c>
      <c r="C2562">
        <f>SUMPRODUCT(Calc!$K$3:$K$22*(Calc!$G$3:$G$22&lt;=A2562))</f>
        <v/>
      </c>
      <c r="D2562">
        <f>SUMPRODUCT(Calc!$K$3:$K$22*(Calc!$G$3:$G$22&gt;A2562)*(Calc!$G$3:$G$22&lt;B2562))</f>
        <v/>
      </c>
      <c r="E2562">
        <f>SUMPRODUCT(Calc!$K$3:$K$22*(Calc!$G$3:$G$22&gt;=B2562))</f>
        <v/>
      </c>
      <c r="F2562">
        <f>AND(k_n&gt;=5,B2562&gt;A2562+1E-9,C2562&gt;=2,D2562&gt;=1,E2562&gt;=2)</f>
        <v/>
      </c>
      <c r="G2562">
        <f>SUMPRODUCT(Calc!$K$3:$K$22*(Calc!$G$3:$G$22&gt;A2562)*(Calc!$G$3:$G$22-A2562))</f>
        <v/>
      </c>
      <c r="H2562">
        <f>SUMPRODUCT(Calc!$K$3:$K$22*(Calc!$G$3:$G$22&gt;B2562)*(Calc!$G$3:$G$22-B2562))</f>
        <v/>
      </c>
      <c r="I2562">
        <f>SUMPRODUCT(Calc!$K$3:$K$22*(Calc!$G$3:$G$22&gt;A2562)*(Calc!$G$3:$G$22-A2562)^2)</f>
        <v/>
      </c>
      <c r="J2562">
        <f>SUMPRODUCT(Calc!$K$3:$K$22*(Calc!$G$3:$G$22&gt;B2562)*(Calc!$G$3:$G$22-B2562)^2)</f>
        <v/>
      </c>
      <c r="K2562">
        <f>SUMPRODUCT(Calc!$K$3:$K$22*(Calc!$G$3:$G$22&gt;A2562)*(Calc!$G$3:$G$22-A2562)*(Calc!$G$3:$G$22&gt;B2562)*(Calc!$G$3:$G$22-B2562))</f>
        <v/>
      </c>
      <c r="L2562">
        <f>SUMPRODUCT(Calc!$K$3:$K$22*(Calc!$G$3:$G$22&gt;A2562)*(Calc!$G$3:$G$22-A2562)*Calc!$G$3:$G$22)</f>
        <v/>
      </c>
      <c r="M2562">
        <f>SUMPRODUCT(Calc!$K$3:$K$22*(Calc!$G$3:$G$22&gt;B2562)*(Calc!$G$3:$G$22-B2562)*Calc!$G$3:$G$22)</f>
        <v/>
      </c>
      <c r="N2562">
        <f>SUMPRODUCT(Calc!$K$3:$K$22*(Calc!$G$3:$G$22&gt;A2562)*(Calc!$G$3:$G$22-A2562)*Calc!$I$3:$I$22)</f>
        <v/>
      </c>
      <c r="O2562">
        <f>SUMPRODUCT(Calc!$K$3:$K$22*(Calc!$G$3:$G$22&gt;B2562)*(Calc!$G$3:$G$22-B2562)*Calc!$I$3:$I$22)</f>
        <v/>
      </c>
      <c r="P2562">
        <f>I2562-G2562^2/k_n</f>
        <v/>
      </c>
      <c r="Q2562">
        <f>J2562-H2562^2/k_n</f>
        <v/>
      </c>
      <c r="R2562">
        <f>K2562-G2562*H2562/k_n</f>
        <v/>
      </c>
      <c r="S2562">
        <f>L2562-LTP3!$D$3*G2562/k_n</f>
        <v/>
      </c>
      <c r="T2562">
        <f>M2562-LTP3!$D$3*H2562/k_n</f>
        <v/>
      </c>
      <c r="U2562">
        <f>N2562-G2562*LTP3!$D$4/k_n</f>
        <v/>
      </c>
      <c r="V2562">
        <f>O2562-H2562*LTP3!$D$4/k_n</f>
        <v/>
      </c>
      <c r="W2562">
        <f>((LTP3!$D$5)*((P2562)*(Q2562)-(R2562)*(R2562))-(S2562)*((S2562)*(Q2562)-(R2562)*(T2562))+(T2562)*((S2562)*(R2562)-(P2562)*(T2562)))</f>
        <v/>
      </c>
      <c r="X2562">
        <f>IF(ABS(W2562)&gt;1E-12,((LTP3!$D$6)*((P2562)*(Q2562)-(R2562)*(R2562))-(S2562)*((U2562)*(Q2562)-(R2562)*(V2562))+(T2562)*((U2562)*(R2562)-(P2562)*(V2562)))/W2562,0)</f>
        <v/>
      </c>
      <c r="Y2562">
        <f>IF(ABS(W2562)&gt;1E-12,((LTP3!$D$5)*((U2562)*(Q2562)-(R2562)*(V2562))-(LTP3!$D$6)*((S2562)*(Q2562)-(R2562)*(T2562))+(T2562)*((S2562)*(V2562)-(U2562)*(T2562)))/W2562,0)</f>
        <v/>
      </c>
      <c r="Z2562">
        <f>IF(ABS(W2562)&gt;1E-12,((LTP3!$D$5)*((P2562)*(V2562)-(U2562)*(R2562))-(S2562)*((S2562)*(V2562)-(U2562)*(T2562))+(LTP3!$D$6)*((S2562)*(R2562)-(P2562)*(T2562)))/W2562,0)</f>
        <v/>
      </c>
      <c r="AA2562">
        <f>LTP3!$D$7-X2562*LTP3!$D$6-Y2562*U2562-Z2562*V2562</f>
        <v/>
      </c>
      <c r="AB2562">
        <f>IF(AND(F2562,ABS(W2562)&gt;1E-12,Y2562&gt;0,Z2562&gt;0),AA2562,1E+300)</f>
        <v/>
      </c>
    </row>
    <row r="2563">
      <c r="A2563">
        <f>$B$3+$B$5*41</f>
        <v/>
      </c>
      <c r="B2563">
        <f>$B$3+$B$5*50</f>
        <v/>
      </c>
      <c r="C2563">
        <f>SUMPRODUCT(Calc!$K$3:$K$22*(Calc!$G$3:$G$22&lt;=A2563))</f>
        <v/>
      </c>
      <c r="D2563">
        <f>SUMPRODUCT(Calc!$K$3:$K$22*(Calc!$G$3:$G$22&gt;A2563)*(Calc!$G$3:$G$22&lt;B2563))</f>
        <v/>
      </c>
      <c r="E2563">
        <f>SUMPRODUCT(Calc!$K$3:$K$22*(Calc!$G$3:$G$22&gt;=B2563))</f>
        <v/>
      </c>
      <c r="F2563">
        <f>AND(k_n&gt;=5,B2563&gt;A2563+1E-9,C2563&gt;=2,D2563&gt;=1,E2563&gt;=2)</f>
        <v/>
      </c>
      <c r="G2563">
        <f>SUMPRODUCT(Calc!$K$3:$K$22*(Calc!$G$3:$G$22&gt;A2563)*(Calc!$G$3:$G$22-A2563))</f>
        <v/>
      </c>
      <c r="H2563">
        <f>SUMPRODUCT(Calc!$K$3:$K$22*(Calc!$G$3:$G$22&gt;B2563)*(Calc!$G$3:$G$22-B2563))</f>
        <v/>
      </c>
      <c r="I2563">
        <f>SUMPRODUCT(Calc!$K$3:$K$22*(Calc!$G$3:$G$22&gt;A2563)*(Calc!$G$3:$G$22-A2563)^2)</f>
        <v/>
      </c>
      <c r="J2563">
        <f>SUMPRODUCT(Calc!$K$3:$K$22*(Calc!$G$3:$G$22&gt;B2563)*(Calc!$G$3:$G$22-B2563)^2)</f>
        <v/>
      </c>
      <c r="K2563">
        <f>SUMPRODUCT(Calc!$K$3:$K$22*(Calc!$G$3:$G$22&gt;A2563)*(Calc!$G$3:$G$22-A2563)*(Calc!$G$3:$G$22&gt;B2563)*(Calc!$G$3:$G$22-B2563))</f>
        <v/>
      </c>
      <c r="L2563">
        <f>SUMPRODUCT(Calc!$K$3:$K$22*(Calc!$G$3:$G$22&gt;A2563)*(Calc!$G$3:$G$22-A2563)*Calc!$G$3:$G$22)</f>
        <v/>
      </c>
      <c r="M2563">
        <f>SUMPRODUCT(Calc!$K$3:$K$22*(Calc!$G$3:$G$22&gt;B2563)*(Calc!$G$3:$G$22-B2563)*Calc!$G$3:$G$22)</f>
        <v/>
      </c>
      <c r="N2563">
        <f>SUMPRODUCT(Calc!$K$3:$K$22*(Calc!$G$3:$G$22&gt;A2563)*(Calc!$G$3:$G$22-A2563)*Calc!$I$3:$I$22)</f>
        <v/>
      </c>
      <c r="O2563">
        <f>SUMPRODUCT(Calc!$K$3:$K$22*(Calc!$G$3:$G$22&gt;B2563)*(Calc!$G$3:$G$22-B2563)*Calc!$I$3:$I$22)</f>
        <v/>
      </c>
      <c r="P2563">
        <f>I2563-G2563^2/k_n</f>
        <v/>
      </c>
      <c r="Q2563">
        <f>J2563-H2563^2/k_n</f>
        <v/>
      </c>
      <c r="R2563">
        <f>K2563-G2563*H2563/k_n</f>
        <v/>
      </c>
      <c r="S2563">
        <f>L2563-LTP3!$D$3*G2563/k_n</f>
        <v/>
      </c>
      <c r="T2563">
        <f>M2563-LTP3!$D$3*H2563/k_n</f>
        <v/>
      </c>
      <c r="U2563">
        <f>N2563-G2563*LTP3!$D$4/k_n</f>
        <v/>
      </c>
      <c r="V2563">
        <f>O2563-H2563*LTP3!$D$4/k_n</f>
        <v/>
      </c>
      <c r="W2563">
        <f>((LTP3!$D$5)*((P2563)*(Q2563)-(R2563)*(R2563))-(S2563)*((S2563)*(Q2563)-(R2563)*(T2563))+(T2563)*((S2563)*(R2563)-(P2563)*(T2563)))</f>
        <v/>
      </c>
      <c r="X2563">
        <f>IF(ABS(W2563)&gt;1E-12,((LTP3!$D$6)*((P2563)*(Q2563)-(R2563)*(R2563))-(S2563)*((U2563)*(Q2563)-(R2563)*(V2563))+(T2563)*((U2563)*(R2563)-(P2563)*(V2563)))/W2563,0)</f>
        <v/>
      </c>
      <c r="Y2563">
        <f>IF(ABS(W2563)&gt;1E-12,((LTP3!$D$5)*((U2563)*(Q2563)-(R2563)*(V2563))-(LTP3!$D$6)*((S2563)*(Q2563)-(R2563)*(T2563))+(T2563)*((S2563)*(V2563)-(U2563)*(T2563)))/W2563,0)</f>
        <v/>
      </c>
      <c r="Z2563">
        <f>IF(ABS(W2563)&gt;1E-12,((LTP3!$D$5)*((P2563)*(V2563)-(U2563)*(R2563))-(S2563)*((S2563)*(V2563)-(U2563)*(T2563))+(LTP3!$D$6)*((S2563)*(R2563)-(P2563)*(T2563)))/W2563,0)</f>
        <v/>
      </c>
      <c r="AA2563">
        <f>LTP3!$D$7-X2563*LTP3!$D$6-Y2563*U2563-Z2563*V2563</f>
        <v/>
      </c>
      <c r="AB2563">
        <f>IF(AND(F2563,ABS(W2563)&gt;1E-12,Y2563&gt;0,Z2563&gt;0),AA2563,1E+300)</f>
        <v/>
      </c>
    </row>
    <row r="2564">
      <c r="A2564">
        <f>$B$3+$B$5*41</f>
        <v/>
      </c>
      <c r="B2564">
        <f>$B$3+$B$5*51</f>
        <v/>
      </c>
      <c r="C2564">
        <f>SUMPRODUCT(Calc!$K$3:$K$22*(Calc!$G$3:$G$22&lt;=A2564))</f>
        <v/>
      </c>
      <c r="D2564">
        <f>SUMPRODUCT(Calc!$K$3:$K$22*(Calc!$G$3:$G$22&gt;A2564)*(Calc!$G$3:$G$22&lt;B2564))</f>
        <v/>
      </c>
      <c r="E2564">
        <f>SUMPRODUCT(Calc!$K$3:$K$22*(Calc!$G$3:$G$22&gt;=B2564))</f>
        <v/>
      </c>
      <c r="F2564">
        <f>AND(k_n&gt;=5,B2564&gt;A2564+1E-9,C2564&gt;=2,D2564&gt;=1,E2564&gt;=2)</f>
        <v/>
      </c>
      <c r="G2564">
        <f>SUMPRODUCT(Calc!$K$3:$K$22*(Calc!$G$3:$G$22&gt;A2564)*(Calc!$G$3:$G$22-A2564))</f>
        <v/>
      </c>
      <c r="H2564">
        <f>SUMPRODUCT(Calc!$K$3:$K$22*(Calc!$G$3:$G$22&gt;B2564)*(Calc!$G$3:$G$22-B2564))</f>
        <v/>
      </c>
      <c r="I2564">
        <f>SUMPRODUCT(Calc!$K$3:$K$22*(Calc!$G$3:$G$22&gt;A2564)*(Calc!$G$3:$G$22-A2564)^2)</f>
        <v/>
      </c>
      <c r="J2564">
        <f>SUMPRODUCT(Calc!$K$3:$K$22*(Calc!$G$3:$G$22&gt;B2564)*(Calc!$G$3:$G$22-B2564)^2)</f>
        <v/>
      </c>
      <c r="K2564">
        <f>SUMPRODUCT(Calc!$K$3:$K$22*(Calc!$G$3:$G$22&gt;A2564)*(Calc!$G$3:$G$22-A2564)*(Calc!$G$3:$G$22&gt;B2564)*(Calc!$G$3:$G$22-B2564))</f>
        <v/>
      </c>
      <c r="L2564">
        <f>SUMPRODUCT(Calc!$K$3:$K$22*(Calc!$G$3:$G$22&gt;A2564)*(Calc!$G$3:$G$22-A2564)*Calc!$G$3:$G$22)</f>
        <v/>
      </c>
      <c r="M2564">
        <f>SUMPRODUCT(Calc!$K$3:$K$22*(Calc!$G$3:$G$22&gt;B2564)*(Calc!$G$3:$G$22-B2564)*Calc!$G$3:$G$22)</f>
        <v/>
      </c>
      <c r="N2564">
        <f>SUMPRODUCT(Calc!$K$3:$K$22*(Calc!$G$3:$G$22&gt;A2564)*(Calc!$G$3:$G$22-A2564)*Calc!$I$3:$I$22)</f>
        <v/>
      </c>
      <c r="O2564">
        <f>SUMPRODUCT(Calc!$K$3:$K$22*(Calc!$G$3:$G$22&gt;B2564)*(Calc!$G$3:$G$22-B2564)*Calc!$I$3:$I$22)</f>
        <v/>
      </c>
      <c r="P2564">
        <f>I2564-G2564^2/k_n</f>
        <v/>
      </c>
      <c r="Q2564">
        <f>J2564-H2564^2/k_n</f>
        <v/>
      </c>
      <c r="R2564">
        <f>K2564-G2564*H2564/k_n</f>
        <v/>
      </c>
      <c r="S2564">
        <f>L2564-LTP3!$D$3*G2564/k_n</f>
        <v/>
      </c>
      <c r="T2564">
        <f>M2564-LTP3!$D$3*H2564/k_n</f>
        <v/>
      </c>
      <c r="U2564">
        <f>N2564-G2564*LTP3!$D$4/k_n</f>
        <v/>
      </c>
      <c r="V2564">
        <f>O2564-H2564*LTP3!$D$4/k_n</f>
        <v/>
      </c>
      <c r="W2564">
        <f>((LTP3!$D$5)*((P2564)*(Q2564)-(R2564)*(R2564))-(S2564)*((S2564)*(Q2564)-(R2564)*(T2564))+(T2564)*((S2564)*(R2564)-(P2564)*(T2564)))</f>
        <v/>
      </c>
      <c r="X2564">
        <f>IF(ABS(W2564)&gt;1E-12,((LTP3!$D$6)*((P2564)*(Q2564)-(R2564)*(R2564))-(S2564)*((U2564)*(Q2564)-(R2564)*(V2564))+(T2564)*((U2564)*(R2564)-(P2564)*(V2564)))/W2564,0)</f>
        <v/>
      </c>
      <c r="Y2564">
        <f>IF(ABS(W2564)&gt;1E-12,((LTP3!$D$5)*((U2564)*(Q2564)-(R2564)*(V2564))-(LTP3!$D$6)*((S2564)*(Q2564)-(R2564)*(T2564))+(T2564)*((S2564)*(V2564)-(U2564)*(T2564)))/W2564,0)</f>
        <v/>
      </c>
      <c r="Z2564">
        <f>IF(ABS(W2564)&gt;1E-12,((LTP3!$D$5)*((P2564)*(V2564)-(U2564)*(R2564))-(S2564)*((S2564)*(V2564)-(U2564)*(T2564))+(LTP3!$D$6)*((S2564)*(R2564)-(P2564)*(T2564)))/W2564,0)</f>
        <v/>
      </c>
      <c r="AA2564">
        <f>LTP3!$D$7-X2564*LTP3!$D$6-Y2564*U2564-Z2564*V2564</f>
        <v/>
      </c>
      <c r="AB2564">
        <f>IF(AND(F2564,ABS(W2564)&gt;1E-12,Y2564&gt;0,Z2564&gt;0),AA2564,1E+300)</f>
        <v/>
      </c>
    </row>
    <row r="2565">
      <c r="A2565">
        <f>$B$3+$B$5*41</f>
        <v/>
      </c>
      <c r="B2565">
        <f>$B$3+$B$5*52</f>
        <v/>
      </c>
      <c r="C2565">
        <f>SUMPRODUCT(Calc!$K$3:$K$22*(Calc!$G$3:$G$22&lt;=A2565))</f>
        <v/>
      </c>
      <c r="D2565">
        <f>SUMPRODUCT(Calc!$K$3:$K$22*(Calc!$G$3:$G$22&gt;A2565)*(Calc!$G$3:$G$22&lt;B2565))</f>
        <v/>
      </c>
      <c r="E2565">
        <f>SUMPRODUCT(Calc!$K$3:$K$22*(Calc!$G$3:$G$22&gt;=B2565))</f>
        <v/>
      </c>
      <c r="F2565">
        <f>AND(k_n&gt;=5,B2565&gt;A2565+1E-9,C2565&gt;=2,D2565&gt;=1,E2565&gt;=2)</f>
        <v/>
      </c>
      <c r="G2565">
        <f>SUMPRODUCT(Calc!$K$3:$K$22*(Calc!$G$3:$G$22&gt;A2565)*(Calc!$G$3:$G$22-A2565))</f>
        <v/>
      </c>
      <c r="H2565">
        <f>SUMPRODUCT(Calc!$K$3:$K$22*(Calc!$G$3:$G$22&gt;B2565)*(Calc!$G$3:$G$22-B2565))</f>
        <v/>
      </c>
      <c r="I2565">
        <f>SUMPRODUCT(Calc!$K$3:$K$22*(Calc!$G$3:$G$22&gt;A2565)*(Calc!$G$3:$G$22-A2565)^2)</f>
        <v/>
      </c>
      <c r="J2565">
        <f>SUMPRODUCT(Calc!$K$3:$K$22*(Calc!$G$3:$G$22&gt;B2565)*(Calc!$G$3:$G$22-B2565)^2)</f>
        <v/>
      </c>
      <c r="K2565">
        <f>SUMPRODUCT(Calc!$K$3:$K$22*(Calc!$G$3:$G$22&gt;A2565)*(Calc!$G$3:$G$22-A2565)*(Calc!$G$3:$G$22&gt;B2565)*(Calc!$G$3:$G$22-B2565))</f>
        <v/>
      </c>
      <c r="L2565">
        <f>SUMPRODUCT(Calc!$K$3:$K$22*(Calc!$G$3:$G$22&gt;A2565)*(Calc!$G$3:$G$22-A2565)*Calc!$G$3:$G$22)</f>
        <v/>
      </c>
      <c r="M2565">
        <f>SUMPRODUCT(Calc!$K$3:$K$22*(Calc!$G$3:$G$22&gt;B2565)*(Calc!$G$3:$G$22-B2565)*Calc!$G$3:$G$22)</f>
        <v/>
      </c>
      <c r="N2565">
        <f>SUMPRODUCT(Calc!$K$3:$K$22*(Calc!$G$3:$G$22&gt;A2565)*(Calc!$G$3:$G$22-A2565)*Calc!$I$3:$I$22)</f>
        <v/>
      </c>
      <c r="O2565">
        <f>SUMPRODUCT(Calc!$K$3:$K$22*(Calc!$G$3:$G$22&gt;B2565)*(Calc!$G$3:$G$22-B2565)*Calc!$I$3:$I$22)</f>
        <v/>
      </c>
      <c r="P2565">
        <f>I2565-G2565^2/k_n</f>
        <v/>
      </c>
      <c r="Q2565">
        <f>J2565-H2565^2/k_n</f>
        <v/>
      </c>
      <c r="R2565">
        <f>K2565-G2565*H2565/k_n</f>
        <v/>
      </c>
      <c r="S2565">
        <f>L2565-LTP3!$D$3*G2565/k_n</f>
        <v/>
      </c>
      <c r="T2565">
        <f>M2565-LTP3!$D$3*H2565/k_n</f>
        <v/>
      </c>
      <c r="U2565">
        <f>N2565-G2565*LTP3!$D$4/k_n</f>
        <v/>
      </c>
      <c r="V2565">
        <f>O2565-H2565*LTP3!$D$4/k_n</f>
        <v/>
      </c>
      <c r="W2565">
        <f>((LTP3!$D$5)*((P2565)*(Q2565)-(R2565)*(R2565))-(S2565)*((S2565)*(Q2565)-(R2565)*(T2565))+(T2565)*((S2565)*(R2565)-(P2565)*(T2565)))</f>
        <v/>
      </c>
      <c r="X2565">
        <f>IF(ABS(W2565)&gt;1E-12,((LTP3!$D$6)*((P2565)*(Q2565)-(R2565)*(R2565))-(S2565)*((U2565)*(Q2565)-(R2565)*(V2565))+(T2565)*((U2565)*(R2565)-(P2565)*(V2565)))/W2565,0)</f>
        <v/>
      </c>
      <c r="Y2565">
        <f>IF(ABS(W2565)&gt;1E-12,((LTP3!$D$5)*((U2565)*(Q2565)-(R2565)*(V2565))-(LTP3!$D$6)*((S2565)*(Q2565)-(R2565)*(T2565))+(T2565)*((S2565)*(V2565)-(U2565)*(T2565)))/W2565,0)</f>
        <v/>
      </c>
      <c r="Z2565">
        <f>IF(ABS(W2565)&gt;1E-12,((LTP3!$D$5)*((P2565)*(V2565)-(U2565)*(R2565))-(S2565)*((S2565)*(V2565)-(U2565)*(T2565))+(LTP3!$D$6)*((S2565)*(R2565)-(P2565)*(T2565)))/W2565,0)</f>
        <v/>
      </c>
      <c r="AA2565">
        <f>LTP3!$D$7-X2565*LTP3!$D$6-Y2565*U2565-Z2565*V2565</f>
        <v/>
      </c>
      <c r="AB2565">
        <f>IF(AND(F2565,ABS(W2565)&gt;1E-12,Y2565&gt;0,Z2565&gt;0),AA2565,1E+300)</f>
        <v/>
      </c>
    </row>
    <row r="2566">
      <c r="A2566">
        <f>$B$3+$B$5*41</f>
        <v/>
      </c>
      <c r="B2566">
        <f>$B$3+$B$5*53</f>
        <v/>
      </c>
      <c r="C2566">
        <f>SUMPRODUCT(Calc!$K$3:$K$22*(Calc!$G$3:$G$22&lt;=A2566))</f>
        <v/>
      </c>
      <c r="D2566">
        <f>SUMPRODUCT(Calc!$K$3:$K$22*(Calc!$G$3:$G$22&gt;A2566)*(Calc!$G$3:$G$22&lt;B2566))</f>
        <v/>
      </c>
      <c r="E2566">
        <f>SUMPRODUCT(Calc!$K$3:$K$22*(Calc!$G$3:$G$22&gt;=B2566))</f>
        <v/>
      </c>
      <c r="F2566">
        <f>AND(k_n&gt;=5,B2566&gt;A2566+1E-9,C2566&gt;=2,D2566&gt;=1,E2566&gt;=2)</f>
        <v/>
      </c>
      <c r="G2566">
        <f>SUMPRODUCT(Calc!$K$3:$K$22*(Calc!$G$3:$G$22&gt;A2566)*(Calc!$G$3:$G$22-A2566))</f>
        <v/>
      </c>
      <c r="H2566">
        <f>SUMPRODUCT(Calc!$K$3:$K$22*(Calc!$G$3:$G$22&gt;B2566)*(Calc!$G$3:$G$22-B2566))</f>
        <v/>
      </c>
      <c r="I2566">
        <f>SUMPRODUCT(Calc!$K$3:$K$22*(Calc!$G$3:$G$22&gt;A2566)*(Calc!$G$3:$G$22-A2566)^2)</f>
        <v/>
      </c>
      <c r="J2566">
        <f>SUMPRODUCT(Calc!$K$3:$K$22*(Calc!$G$3:$G$22&gt;B2566)*(Calc!$G$3:$G$22-B2566)^2)</f>
        <v/>
      </c>
      <c r="K2566">
        <f>SUMPRODUCT(Calc!$K$3:$K$22*(Calc!$G$3:$G$22&gt;A2566)*(Calc!$G$3:$G$22-A2566)*(Calc!$G$3:$G$22&gt;B2566)*(Calc!$G$3:$G$22-B2566))</f>
        <v/>
      </c>
      <c r="L2566">
        <f>SUMPRODUCT(Calc!$K$3:$K$22*(Calc!$G$3:$G$22&gt;A2566)*(Calc!$G$3:$G$22-A2566)*Calc!$G$3:$G$22)</f>
        <v/>
      </c>
      <c r="M2566">
        <f>SUMPRODUCT(Calc!$K$3:$K$22*(Calc!$G$3:$G$22&gt;B2566)*(Calc!$G$3:$G$22-B2566)*Calc!$G$3:$G$22)</f>
        <v/>
      </c>
      <c r="N2566">
        <f>SUMPRODUCT(Calc!$K$3:$K$22*(Calc!$G$3:$G$22&gt;A2566)*(Calc!$G$3:$G$22-A2566)*Calc!$I$3:$I$22)</f>
        <v/>
      </c>
      <c r="O2566">
        <f>SUMPRODUCT(Calc!$K$3:$K$22*(Calc!$G$3:$G$22&gt;B2566)*(Calc!$G$3:$G$22-B2566)*Calc!$I$3:$I$22)</f>
        <v/>
      </c>
      <c r="P2566">
        <f>I2566-G2566^2/k_n</f>
        <v/>
      </c>
      <c r="Q2566">
        <f>J2566-H2566^2/k_n</f>
        <v/>
      </c>
      <c r="R2566">
        <f>K2566-G2566*H2566/k_n</f>
        <v/>
      </c>
      <c r="S2566">
        <f>L2566-LTP3!$D$3*G2566/k_n</f>
        <v/>
      </c>
      <c r="T2566">
        <f>M2566-LTP3!$D$3*H2566/k_n</f>
        <v/>
      </c>
      <c r="U2566">
        <f>N2566-G2566*LTP3!$D$4/k_n</f>
        <v/>
      </c>
      <c r="V2566">
        <f>O2566-H2566*LTP3!$D$4/k_n</f>
        <v/>
      </c>
      <c r="W2566">
        <f>((LTP3!$D$5)*((P2566)*(Q2566)-(R2566)*(R2566))-(S2566)*((S2566)*(Q2566)-(R2566)*(T2566))+(T2566)*((S2566)*(R2566)-(P2566)*(T2566)))</f>
        <v/>
      </c>
      <c r="X2566">
        <f>IF(ABS(W2566)&gt;1E-12,((LTP3!$D$6)*((P2566)*(Q2566)-(R2566)*(R2566))-(S2566)*((U2566)*(Q2566)-(R2566)*(V2566))+(T2566)*((U2566)*(R2566)-(P2566)*(V2566)))/W2566,0)</f>
        <v/>
      </c>
      <c r="Y2566">
        <f>IF(ABS(W2566)&gt;1E-12,((LTP3!$D$5)*((U2566)*(Q2566)-(R2566)*(V2566))-(LTP3!$D$6)*((S2566)*(Q2566)-(R2566)*(T2566))+(T2566)*((S2566)*(V2566)-(U2566)*(T2566)))/W2566,0)</f>
        <v/>
      </c>
      <c r="Z2566">
        <f>IF(ABS(W2566)&gt;1E-12,((LTP3!$D$5)*((P2566)*(V2566)-(U2566)*(R2566))-(S2566)*((S2566)*(V2566)-(U2566)*(T2566))+(LTP3!$D$6)*((S2566)*(R2566)-(P2566)*(T2566)))/W2566,0)</f>
        <v/>
      </c>
      <c r="AA2566">
        <f>LTP3!$D$7-X2566*LTP3!$D$6-Y2566*U2566-Z2566*V2566</f>
        <v/>
      </c>
      <c r="AB2566">
        <f>IF(AND(F2566,ABS(W2566)&gt;1E-12,Y2566&gt;0,Z2566&gt;0),AA2566,1E+300)</f>
        <v/>
      </c>
    </row>
    <row r="2567">
      <c r="A2567">
        <f>$B$3+$B$5*41</f>
        <v/>
      </c>
      <c r="B2567">
        <f>$B$3+$B$5*54</f>
        <v/>
      </c>
      <c r="C2567">
        <f>SUMPRODUCT(Calc!$K$3:$K$22*(Calc!$G$3:$G$22&lt;=A2567))</f>
        <v/>
      </c>
      <c r="D2567">
        <f>SUMPRODUCT(Calc!$K$3:$K$22*(Calc!$G$3:$G$22&gt;A2567)*(Calc!$G$3:$G$22&lt;B2567))</f>
        <v/>
      </c>
      <c r="E2567">
        <f>SUMPRODUCT(Calc!$K$3:$K$22*(Calc!$G$3:$G$22&gt;=B2567))</f>
        <v/>
      </c>
      <c r="F2567">
        <f>AND(k_n&gt;=5,B2567&gt;A2567+1E-9,C2567&gt;=2,D2567&gt;=1,E2567&gt;=2)</f>
        <v/>
      </c>
      <c r="G2567">
        <f>SUMPRODUCT(Calc!$K$3:$K$22*(Calc!$G$3:$G$22&gt;A2567)*(Calc!$G$3:$G$22-A2567))</f>
        <v/>
      </c>
      <c r="H2567">
        <f>SUMPRODUCT(Calc!$K$3:$K$22*(Calc!$G$3:$G$22&gt;B2567)*(Calc!$G$3:$G$22-B2567))</f>
        <v/>
      </c>
      <c r="I2567">
        <f>SUMPRODUCT(Calc!$K$3:$K$22*(Calc!$G$3:$G$22&gt;A2567)*(Calc!$G$3:$G$22-A2567)^2)</f>
        <v/>
      </c>
      <c r="J2567">
        <f>SUMPRODUCT(Calc!$K$3:$K$22*(Calc!$G$3:$G$22&gt;B2567)*(Calc!$G$3:$G$22-B2567)^2)</f>
        <v/>
      </c>
      <c r="K2567">
        <f>SUMPRODUCT(Calc!$K$3:$K$22*(Calc!$G$3:$G$22&gt;A2567)*(Calc!$G$3:$G$22-A2567)*(Calc!$G$3:$G$22&gt;B2567)*(Calc!$G$3:$G$22-B2567))</f>
        <v/>
      </c>
      <c r="L2567">
        <f>SUMPRODUCT(Calc!$K$3:$K$22*(Calc!$G$3:$G$22&gt;A2567)*(Calc!$G$3:$G$22-A2567)*Calc!$G$3:$G$22)</f>
        <v/>
      </c>
      <c r="M2567">
        <f>SUMPRODUCT(Calc!$K$3:$K$22*(Calc!$G$3:$G$22&gt;B2567)*(Calc!$G$3:$G$22-B2567)*Calc!$G$3:$G$22)</f>
        <v/>
      </c>
      <c r="N2567">
        <f>SUMPRODUCT(Calc!$K$3:$K$22*(Calc!$G$3:$G$22&gt;A2567)*(Calc!$G$3:$G$22-A2567)*Calc!$I$3:$I$22)</f>
        <v/>
      </c>
      <c r="O2567">
        <f>SUMPRODUCT(Calc!$K$3:$K$22*(Calc!$G$3:$G$22&gt;B2567)*(Calc!$G$3:$G$22-B2567)*Calc!$I$3:$I$22)</f>
        <v/>
      </c>
      <c r="P2567">
        <f>I2567-G2567^2/k_n</f>
        <v/>
      </c>
      <c r="Q2567">
        <f>J2567-H2567^2/k_n</f>
        <v/>
      </c>
      <c r="R2567">
        <f>K2567-G2567*H2567/k_n</f>
        <v/>
      </c>
      <c r="S2567">
        <f>L2567-LTP3!$D$3*G2567/k_n</f>
        <v/>
      </c>
      <c r="T2567">
        <f>M2567-LTP3!$D$3*H2567/k_n</f>
        <v/>
      </c>
      <c r="U2567">
        <f>N2567-G2567*LTP3!$D$4/k_n</f>
        <v/>
      </c>
      <c r="V2567">
        <f>O2567-H2567*LTP3!$D$4/k_n</f>
        <v/>
      </c>
      <c r="W2567">
        <f>((LTP3!$D$5)*((P2567)*(Q2567)-(R2567)*(R2567))-(S2567)*((S2567)*(Q2567)-(R2567)*(T2567))+(T2567)*((S2567)*(R2567)-(P2567)*(T2567)))</f>
        <v/>
      </c>
      <c r="X2567">
        <f>IF(ABS(W2567)&gt;1E-12,((LTP3!$D$6)*((P2567)*(Q2567)-(R2567)*(R2567))-(S2567)*((U2567)*(Q2567)-(R2567)*(V2567))+(T2567)*((U2567)*(R2567)-(P2567)*(V2567)))/W2567,0)</f>
        <v/>
      </c>
      <c r="Y2567">
        <f>IF(ABS(W2567)&gt;1E-12,((LTP3!$D$5)*((U2567)*(Q2567)-(R2567)*(V2567))-(LTP3!$D$6)*((S2567)*(Q2567)-(R2567)*(T2567))+(T2567)*((S2567)*(V2567)-(U2567)*(T2567)))/W2567,0)</f>
        <v/>
      </c>
      <c r="Z2567">
        <f>IF(ABS(W2567)&gt;1E-12,((LTP3!$D$5)*((P2567)*(V2567)-(U2567)*(R2567))-(S2567)*((S2567)*(V2567)-(U2567)*(T2567))+(LTP3!$D$6)*((S2567)*(R2567)-(P2567)*(T2567)))/W2567,0)</f>
        <v/>
      </c>
      <c r="AA2567">
        <f>LTP3!$D$7-X2567*LTP3!$D$6-Y2567*U2567-Z2567*V2567</f>
        <v/>
      </c>
      <c r="AB2567">
        <f>IF(AND(F2567,ABS(W2567)&gt;1E-12,Y2567&gt;0,Z2567&gt;0),AA2567,1E+300)</f>
        <v/>
      </c>
    </row>
    <row r="2568">
      <c r="A2568">
        <f>$B$3+$B$5*41</f>
        <v/>
      </c>
      <c r="B2568">
        <f>$B$3+$B$5*55</f>
        <v/>
      </c>
      <c r="C2568">
        <f>SUMPRODUCT(Calc!$K$3:$K$22*(Calc!$G$3:$G$22&lt;=A2568))</f>
        <v/>
      </c>
      <c r="D2568">
        <f>SUMPRODUCT(Calc!$K$3:$K$22*(Calc!$G$3:$G$22&gt;A2568)*(Calc!$G$3:$G$22&lt;B2568))</f>
        <v/>
      </c>
      <c r="E2568">
        <f>SUMPRODUCT(Calc!$K$3:$K$22*(Calc!$G$3:$G$22&gt;=B2568))</f>
        <v/>
      </c>
      <c r="F2568">
        <f>AND(k_n&gt;=5,B2568&gt;A2568+1E-9,C2568&gt;=2,D2568&gt;=1,E2568&gt;=2)</f>
        <v/>
      </c>
      <c r="G2568">
        <f>SUMPRODUCT(Calc!$K$3:$K$22*(Calc!$G$3:$G$22&gt;A2568)*(Calc!$G$3:$G$22-A2568))</f>
        <v/>
      </c>
      <c r="H2568">
        <f>SUMPRODUCT(Calc!$K$3:$K$22*(Calc!$G$3:$G$22&gt;B2568)*(Calc!$G$3:$G$22-B2568))</f>
        <v/>
      </c>
      <c r="I2568">
        <f>SUMPRODUCT(Calc!$K$3:$K$22*(Calc!$G$3:$G$22&gt;A2568)*(Calc!$G$3:$G$22-A2568)^2)</f>
        <v/>
      </c>
      <c r="J2568">
        <f>SUMPRODUCT(Calc!$K$3:$K$22*(Calc!$G$3:$G$22&gt;B2568)*(Calc!$G$3:$G$22-B2568)^2)</f>
        <v/>
      </c>
      <c r="K2568">
        <f>SUMPRODUCT(Calc!$K$3:$K$22*(Calc!$G$3:$G$22&gt;A2568)*(Calc!$G$3:$G$22-A2568)*(Calc!$G$3:$G$22&gt;B2568)*(Calc!$G$3:$G$22-B2568))</f>
        <v/>
      </c>
      <c r="L2568">
        <f>SUMPRODUCT(Calc!$K$3:$K$22*(Calc!$G$3:$G$22&gt;A2568)*(Calc!$G$3:$G$22-A2568)*Calc!$G$3:$G$22)</f>
        <v/>
      </c>
      <c r="M2568">
        <f>SUMPRODUCT(Calc!$K$3:$K$22*(Calc!$G$3:$G$22&gt;B2568)*(Calc!$G$3:$G$22-B2568)*Calc!$G$3:$G$22)</f>
        <v/>
      </c>
      <c r="N2568">
        <f>SUMPRODUCT(Calc!$K$3:$K$22*(Calc!$G$3:$G$22&gt;A2568)*(Calc!$G$3:$G$22-A2568)*Calc!$I$3:$I$22)</f>
        <v/>
      </c>
      <c r="O2568">
        <f>SUMPRODUCT(Calc!$K$3:$K$22*(Calc!$G$3:$G$22&gt;B2568)*(Calc!$G$3:$G$22-B2568)*Calc!$I$3:$I$22)</f>
        <v/>
      </c>
      <c r="P2568">
        <f>I2568-G2568^2/k_n</f>
        <v/>
      </c>
      <c r="Q2568">
        <f>J2568-H2568^2/k_n</f>
        <v/>
      </c>
      <c r="R2568">
        <f>K2568-G2568*H2568/k_n</f>
        <v/>
      </c>
      <c r="S2568">
        <f>L2568-LTP3!$D$3*G2568/k_n</f>
        <v/>
      </c>
      <c r="T2568">
        <f>M2568-LTP3!$D$3*H2568/k_n</f>
        <v/>
      </c>
      <c r="U2568">
        <f>N2568-G2568*LTP3!$D$4/k_n</f>
        <v/>
      </c>
      <c r="V2568">
        <f>O2568-H2568*LTP3!$D$4/k_n</f>
        <v/>
      </c>
      <c r="W2568">
        <f>((LTP3!$D$5)*((P2568)*(Q2568)-(R2568)*(R2568))-(S2568)*((S2568)*(Q2568)-(R2568)*(T2568))+(T2568)*((S2568)*(R2568)-(P2568)*(T2568)))</f>
        <v/>
      </c>
      <c r="X2568">
        <f>IF(ABS(W2568)&gt;1E-12,((LTP3!$D$6)*((P2568)*(Q2568)-(R2568)*(R2568))-(S2568)*((U2568)*(Q2568)-(R2568)*(V2568))+(T2568)*((U2568)*(R2568)-(P2568)*(V2568)))/W2568,0)</f>
        <v/>
      </c>
      <c r="Y2568">
        <f>IF(ABS(W2568)&gt;1E-12,((LTP3!$D$5)*((U2568)*(Q2568)-(R2568)*(V2568))-(LTP3!$D$6)*((S2568)*(Q2568)-(R2568)*(T2568))+(T2568)*((S2568)*(V2568)-(U2568)*(T2568)))/W2568,0)</f>
        <v/>
      </c>
      <c r="Z2568">
        <f>IF(ABS(W2568)&gt;1E-12,((LTP3!$D$5)*((P2568)*(V2568)-(U2568)*(R2568))-(S2568)*((S2568)*(V2568)-(U2568)*(T2568))+(LTP3!$D$6)*((S2568)*(R2568)-(P2568)*(T2568)))/W2568,0)</f>
        <v/>
      </c>
      <c r="AA2568">
        <f>LTP3!$D$7-X2568*LTP3!$D$6-Y2568*U2568-Z2568*V2568</f>
        <v/>
      </c>
      <c r="AB2568">
        <f>IF(AND(F2568,ABS(W2568)&gt;1E-12,Y2568&gt;0,Z2568&gt;0),AA2568,1E+300)</f>
        <v/>
      </c>
    </row>
    <row r="2569">
      <c r="A2569">
        <f>$B$3+$B$5*41</f>
        <v/>
      </c>
      <c r="B2569">
        <f>$B$3+$B$5*56</f>
        <v/>
      </c>
      <c r="C2569">
        <f>SUMPRODUCT(Calc!$K$3:$K$22*(Calc!$G$3:$G$22&lt;=A2569))</f>
        <v/>
      </c>
      <c r="D2569">
        <f>SUMPRODUCT(Calc!$K$3:$K$22*(Calc!$G$3:$G$22&gt;A2569)*(Calc!$G$3:$G$22&lt;B2569))</f>
        <v/>
      </c>
      <c r="E2569">
        <f>SUMPRODUCT(Calc!$K$3:$K$22*(Calc!$G$3:$G$22&gt;=B2569))</f>
        <v/>
      </c>
      <c r="F2569">
        <f>AND(k_n&gt;=5,B2569&gt;A2569+1E-9,C2569&gt;=2,D2569&gt;=1,E2569&gt;=2)</f>
        <v/>
      </c>
      <c r="G2569">
        <f>SUMPRODUCT(Calc!$K$3:$K$22*(Calc!$G$3:$G$22&gt;A2569)*(Calc!$G$3:$G$22-A2569))</f>
        <v/>
      </c>
      <c r="H2569">
        <f>SUMPRODUCT(Calc!$K$3:$K$22*(Calc!$G$3:$G$22&gt;B2569)*(Calc!$G$3:$G$22-B2569))</f>
        <v/>
      </c>
      <c r="I2569">
        <f>SUMPRODUCT(Calc!$K$3:$K$22*(Calc!$G$3:$G$22&gt;A2569)*(Calc!$G$3:$G$22-A2569)^2)</f>
        <v/>
      </c>
      <c r="J2569">
        <f>SUMPRODUCT(Calc!$K$3:$K$22*(Calc!$G$3:$G$22&gt;B2569)*(Calc!$G$3:$G$22-B2569)^2)</f>
        <v/>
      </c>
      <c r="K2569">
        <f>SUMPRODUCT(Calc!$K$3:$K$22*(Calc!$G$3:$G$22&gt;A2569)*(Calc!$G$3:$G$22-A2569)*(Calc!$G$3:$G$22&gt;B2569)*(Calc!$G$3:$G$22-B2569))</f>
        <v/>
      </c>
      <c r="L2569">
        <f>SUMPRODUCT(Calc!$K$3:$K$22*(Calc!$G$3:$G$22&gt;A2569)*(Calc!$G$3:$G$22-A2569)*Calc!$G$3:$G$22)</f>
        <v/>
      </c>
      <c r="M2569">
        <f>SUMPRODUCT(Calc!$K$3:$K$22*(Calc!$G$3:$G$22&gt;B2569)*(Calc!$G$3:$G$22-B2569)*Calc!$G$3:$G$22)</f>
        <v/>
      </c>
      <c r="N2569">
        <f>SUMPRODUCT(Calc!$K$3:$K$22*(Calc!$G$3:$G$22&gt;A2569)*(Calc!$G$3:$G$22-A2569)*Calc!$I$3:$I$22)</f>
        <v/>
      </c>
      <c r="O2569">
        <f>SUMPRODUCT(Calc!$K$3:$K$22*(Calc!$G$3:$G$22&gt;B2569)*(Calc!$G$3:$G$22-B2569)*Calc!$I$3:$I$22)</f>
        <v/>
      </c>
      <c r="P2569">
        <f>I2569-G2569^2/k_n</f>
        <v/>
      </c>
      <c r="Q2569">
        <f>J2569-H2569^2/k_n</f>
        <v/>
      </c>
      <c r="R2569">
        <f>K2569-G2569*H2569/k_n</f>
        <v/>
      </c>
      <c r="S2569">
        <f>L2569-LTP3!$D$3*G2569/k_n</f>
        <v/>
      </c>
      <c r="T2569">
        <f>M2569-LTP3!$D$3*H2569/k_n</f>
        <v/>
      </c>
      <c r="U2569">
        <f>N2569-G2569*LTP3!$D$4/k_n</f>
        <v/>
      </c>
      <c r="V2569">
        <f>O2569-H2569*LTP3!$D$4/k_n</f>
        <v/>
      </c>
      <c r="W2569">
        <f>((LTP3!$D$5)*((P2569)*(Q2569)-(R2569)*(R2569))-(S2569)*((S2569)*(Q2569)-(R2569)*(T2569))+(T2569)*((S2569)*(R2569)-(P2569)*(T2569)))</f>
        <v/>
      </c>
      <c r="X2569">
        <f>IF(ABS(W2569)&gt;1E-12,((LTP3!$D$6)*((P2569)*(Q2569)-(R2569)*(R2569))-(S2569)*((U2569)*(Q2569)-(R2569)*(V2569))+(T2569)*((U2569)*(R2569)-(P2569)*(V2569)))/W2569,0)</f>
        <v/>
      </c>
      <c r="Y2569">
        <f>IF(ABS(W2569)&gt;1E-12,((LTP3!$D$5)*((U2569)*(Q2569)-(R2569)*(V2569))-(LTP3!$D$6)*((S2569)*(Q2569)-(R2569)*(T2569))+(T2569)*((S2569)*(V2569)-(U2569)*(T2569)))/W2569,0)</f>
        <v/>
      </c>
      <c r="Z2569">
        <f>IF(ABS(W2569)&gt;1E-12,((LTP3!$D$5)*((P2569)*(V2569)-(U2569)*(R2569))-(S2569)*((S2569)*(V2569)-(U2569)*(T2569))+(LTP3!$D$6)*((S2569)*(R2569)-(P2569)*(T2569)))/W2569,0)</f>
        <v/>
      </c>
      <c r="AA2569">
        <f>LTP3!$D$7-X2569*LTP3!$D$6-Y2569*U2569-Z2569*V2569</f>
        <v/>
      </c>
      <c r="AB2569">
        <f>IF(AND(F2569,ABS(W2569)&gt;1E-12,Y2569&gt;0,Z2569&gt;0),AA2569,1E+300)</f>
        <v/>
      </c>
    </row>
    <row r="2570">
      <c r="A2570">
        <f>$B$3+$B$5*41</f>
        <v/>
      </c>
      <c r="B2570">
        <f>$B$3+$B$5*57</f>
        <v/>
      </c>
      <c r="C2570">
        <f>SUMPRODUCT(Calc!$K$3:$K$22*(Calc!$G$3:$G$22&lt;=A2570))</f>
        <v/>
      </c>
      <c r="D2570">
        <f>SUMPRODUCT(Calc!$K$3:$K$22*(Calc!$G$3:$G$22&gt;A2570)*(Calc!$G$3:$G$22&lt;B2570))</f>
        <v/>
      </c>
      <c r="E2570">
        <f>SUMPRODUCT(Calc!$K$3:$K$22*(Calc!$G$3:$G$22&gt;=B2570))</f>
        <v/>
      </c>
      <c r="F2570">
        <f>AND(k_n&gt;=5,B2570&gt;A2570+1E-9,C2570&gt;=2,D2570&gt;=1,E2570&gt;=2)</f>
        <v/>
      </c>
      <c r="G2570">
        <f>SUMPRODUCT(Calc!$K$3:$K$22*(Calc!$G$3:$G$22&gt;A2570)*(Calc!$G$3:$G$22-A2570))</f>
        <v/>
      </c>
      <c r="H2570">
        <f>SUMPRODUCT(Calc!$K$3:$K$22*(Calc!$G$3:$G$22&gt;B2570)*(Calc!$G$3:$G$22-B2570))</f>
        <v/>
      </c>
      <c r="I2570">
        <f>SUMPRODUCT(Calc!$K$3:$K$22*(Calc!$G$3:$G$22&gt;A2570)*(Calc!$G$3:$G$22-A2570)^2)</f>
        <v/>
      </c>
      <c r="J2570">
        <f>SUMPRODUCT(Calc!$K$3:$K$22*(Calc!$G$3:$G$22&gt;B2570)*(Calc!$G$3:$G$22-B2570)^2)</f>
        <v/>
      </c>
      <c r="K2570">
        <f>SUMPRODUCT(Calc!$K$3:$K$22*(Calc!$G$3:$G$22&gt;A2570)*(Calc!$G$3:$G$22-A2570)*(Calc!$G$3:$G$22&gt;B2570)*(Calc!$G$3:$G$22-B2570))</f>
        <v/>
      </c>
      <c r="L2570">
        <f>SUMPRODUCT(Calc!$K$3:$K$22*(Calc!$G$3:$G$22&gt;A2570)*(Calc!$G$3:$G$22-A2570)*Calc!$G$3:$G$22)</f>
        <v/>
      </c>
      <c r="M2570">
        <f>SUMPRODUCT(Calc!$K$3:$K$22*(Calc!$G$3:$G$22&gt;B2570)*(Calc!$G$3:$G$22-B2570)*Calc!$G$3:$G$22)</f>
        <v/>
      </c>
      <c r="N2570">
        <f>SUMPRODUCT(Calc!$K$3:$K$22*(Calc!$G$3:$G$22&gt;A2570)*(Calc!$G$3:$G$22-A2570)*Calc!$I$3:$I$22)</f>
        <v/>
      </c>
      <c r="O2570">
        <f>SUMPRODUCT(Calc!$K$3:$K$22*(Calc!$G$3:$G$22&gt;B2570)*(Calc!$G$3:$G$22-B2570)*Calc!$I$3:$I$22)</f>
        <v/>
      </c>
      <c r="P2570">
        <f>I2570-G2570^2/k_n</f>
        <v/>
      </c>
      <c r="Q2570">
        <f>J2570-H2570^2/k_n</f>
        <v/>
      </c>
      <c r="R2570">
        <f>K2570-G2570*H2570/k_n</f>
        <v/>
      </c>
      <c r="S2570">
        <f>L2570-LTP3!$D$3*G2570/k_n</f>
        <v/>
      </c>
      <c r="T2570">
        <f>M2570-LTP3!$D$3*H2570/k_n</f>
        <v/>
      </c>
      <c r="U2570">
        <f>N2570-G2570*LTP3!$D$4/k_n</f>
        <v/>
      </c>
      <c r="V2570">
        <f>O2570-H2570*LTP3!$D$4/k_n</f>
        <v/>
      </c>
      <c r="W2570">
        <f>((LTP3!$D$5)*((P2570)*(Q2570)-(R2570)*(R2570))-(S2570)*((S2570)*(Q2570)-(R2570)*(T2570))+(T2570)*((S2570)*(R2570)-(P2570)*(T2570)))</f>
        <v/>
      </c>
      <c r="X2570">
        <f>IF(ABS(W2570)&gt;1E-12,((LTP3!$D$6)*((P2570)*(Q2570)-(R2570)*(R2570))-(S2570)*((U2570)*(Q2570)-(R2570)*(V2570))+(T2570)*((U2570)*(R2570)-(P2570)*(V2570)))/W2570,0)</f>
        <v/>
      </c>
      <c r="Y2570">
        <f>IF(ABS(W2570)&gt;1E-12,((LTP3!$D$5)*((U2570)*(Q2570)-(R2570)*(V2570))-(LTP3!$D$6)*((S2570)*(Q2570)-(R2570)*(T2570))+(T2570)*((S2570)*(V2570)-(U2570)*(T2570)))/W2570,0)</f>
        <v/>
      </c>
      <c r="Z2570">
        <f>IF(ABS(W2570)&gt;1E-12,((LTP3!$D$5)*((P2570)*(V2570)-(U2570)*(R2570))-(S2570)*((S2570)*(V2570)-(U2570)*(T2570))+(LTP3!$D$6)*((S2570)*(R2570)-(P2570)*(T2570)))/W2570,0)</f>
        <v/>
      </c>
      <c r="AA2570">
        <f>LTP3!$D$7-X2570*LTP3!$D$6-Y2570*U2570-Z2570*V2570</f>
        <v/>
      </c>
      <c r="AB2570">
        <f>IF(AND(F2570,ABS(W2570)&gt;1E-12,Y2570&gt;0,Z2570&gt;0),AA2570,1E+300)</f>
        <v/>
      </c>
    </row>
    <row r="2571">
      <c r="A2571">
        <f>$B$3+$B$5*41</f>
        <v/>
      </c>
      <c r="B2571">
        <f>$B$3+$B$5*58</f>
        <v/>
      </c>
      <c r="C2571">
        <f>SUMPRODUCT(Calc!$K$3:$K$22*(Calc!$G$3:$G$22&lt;=A2571))</f>
        <v/>
      </c>
      <c r="D2571">
        <f>SUMPRODUCT(Calc!$K$3:$K$22*(Calc!$G$3:$G$22&gt;A2571)*(Calc!$G$3:$G$22&lt;B2571))</f>
        <v/>
      </c>
      <c r="E2571">
        <f>SUMPRODUCT(Calc!$K$3:$K$22*(Calc!$G$3:$G$22&gt;=B2571))</f>
        <v/>
      </c>
      <c r="F2571">
        <f>AND(k_n&gt;=5,B2571&gt;A2571+1E-9,C2571&gt;=2,D2571&gt;=1,E2571&gt;=2)</f>
        <v/>
      </c>
      <c r="G2571">
        <f>SUMPRODUCT(Calc!$K$3:$K$22*(Calc!$G$3:$G$22&gt;A2571)*(Calc!$G$3:$G$22-A2571))</f>
        <v/>
      </c>
      <c r="H2571">
        <f>SUMPRODUCT(Calc!$K$3:$K$22*(Calc!$G$3:$G$22&gt;B2571)*(Calc!$G$3:$G$22-B2571))</f>
        <v/>
      </c>
      <c r="I2571">
        <f>SUMPRODUCT(Calc!$K$3:$K$22*(Calc!$G$3:$G$22&gt;A2571)*(Calc!$G$3:$G$22-A2571)^2)</f>
        <v/>
      </c>
      <c r="J2571">
        <f>SUMPRODUCT(Calc!$K$3:$K$22*(Calc!$G$3:$G$22&gt;B2571)*(Calc!$G$3:$G$22-B2571)^2)</f>
        <v/>
      </c>
      <c r="K2571">
        <f>SUMPRODUCT(Calc!$K$3:$K$22*(Calc!$G$3:$G$22&gt;A2571)*(Calc!$G$3:$G$22-A2571)*(Calc!$G$3:$G$22&gt;B2571)*(Calc!$G$3:$G$22-B2571))</f>
        <v/>
      </c>
      <c r="L2571">
        <f>SUMPRODUCT(Calc!$K$3:$K$22*(Calc!$G$3:$G$22&gt;A2571)*(Calc!$G$3:$G$22-A2571)*Calc!$G$3:$G$22)</f>
        <v/>
      </c>
      <c r="M2571">
        <f>SUMPRODUCT(Calc!$K$3:$K$22*(Calc!$G$3:$G$22&gt;B2571)*(Calc!$G$3:$G$22-B2571)*Calc!$G$3:$G$22)</f>
        <v/>
      </c>
      <c r="N2571">
        <f>SUMPRODUCT(Calc!$K$3:$K$22*(Calc!$G$3:$G$22&gt;A2571)*(Calc!$G$3:$G$22-A2571)*Calc!$I$3:$I$22)</f>
        <v/>
      </c>
      <c r="O2571">
        <f>SUMPRODUCT(Calc!$K$3:$K$22*(Calc!$G$3:$G$22&gt;B2571)*(Calc!$G$3:$G$22-B2571)*Calc!$I$3:$I$22)</f>
        <v/>
      </c>
      <c r="P2571">
        <f>I2571-G2571^2/k_n</f>
        <v/>
      </c>
      <c r="Q2571">
        <f>J2571-H2571^2/k_n</f>
        <v/>
      </c>
      <c r="R2571">
        <f>K2571-G2571*H2571/k_n</f>
        <v/>
      </c>
      <c r="S2571">
        <f>L2571-LTP3!$D$3*G2571/k_n</f>
        <v/>
      </c>
      <c r="T2571">
        <f>M2571-LTP3!$D$3*H2571/k_n</f>
        <v/>
      </c>
      <c r="U2571">
        <f>N2571-G2571*LTP3!$D$4/k_n</f>
        <v/>
      </c>
      <c r="V2571">
        <f>O2571-H2571*LTP3!$D$4/k_n</f>
        <v/>
      </c>
      <c r="W2571">
        <f>((LTP3!$D$5)*((P2571)*(Q2571)-(R2571)*(R2571))-(S2571)*((S2571)*(Q2571)-(R2571)*(T2571))+(T2571)*((S2571)*(R2571)-(P2571)*(T2571)))</f>
        <v/>
      </c>
      <c r="X2571">
        <f>IF(ABS(W2571)&gt;1E-12,((LTP3!$D$6)*((P2571)*(Q2571)-(R2571)*(R2571))-(S2571)*((U2571)*(Q2571)-(R2571)*(V2571))+(T2571)*((U2571)*(R2571)-(P2571)*(V2571)))/W2571,0)</f>
        <v/>
      </c>
      <c r="Y2571">
        <f>IF(ABS(W2571)&gt;1E-12,((LTP3!$D$5)*((U2571)*(Q2571)-(R2571)*(V2571))-(LTP3!$D$6)*((S2571)*(Q2571)-(R2571)*(T2571))+(T2571)*((S2571)*(V2571)-(U2571)*(T2571)))/W2571,0)</f>
        <v/>
      </c>
      <c r="Z2571">
        <f>IF(ABS(W2571)&gt;1E-12,((LTP3!$D$5)*((P2571)*(V2571)-(U2571)*(R2571))-(S2571)*((S2571)*(V2571)-(U2571)*(T2571))+(LTP3!$D$6)*((S2571)*(R2571)-(P2571)*(T2571)))/W2571,0)</f>
        <v/>
      </c>
      <c r="AA2571">
        <f>LTP3!$D$7-X2571*LTP3!$D$6-Y2571*U2571-Z2571*V2571</f>
        <v/>
      </c>
      <c r="AB2571">
        <f>IF(AND(F2571,ABS(W2571)&gt;1E-12,Y2571&gt;0,Z2571&gt;0),AA2571,1E+300)</f>
        <v/>
      </c>
    </row>
    <row r="2572">
      <c r="A2572">
        <f>$B$3+$B$5*41</f>
        <v/>
      </c>
      <c r="B2572">
        <f>$B$3+$B$5*59</f>
        <v/>
      </c>
      <c r="C2572">
        <f>SUMPRODUCT(Calc!$K$3:$K$22*(Calc!$G$3:$G$22&lt;=A2572))</f>
        <v/>
      </c>
      <c r="D2572">
        <f>SUMPRODUCT(Calc!$K$3:$K$22*(Calc!$G$3:$G$22&gt;A2572)*(Calc!$G$3:$G$22&lt;B2572))</f>
        <v/>
      </c>
      <c r="E2572">
        <f>SUMPRODUCT(Calc!$K$3:$K$22*(Calc!$G$3:$G$22&gt;=B2572))</f>
        <v/>
      </c>
      <c r="F2572">
        <f>AND(k_n&gt;=5,B2572&gt;A2572+1E-9,C2572&gt;=2,D2572&gt;=1,E2572&gt;=2)</f>
        <v/>
      </c>
      <c r="G2572">
        <f>SUMPRODUCT(Calc!$K$3:$K$22*(Calc!$G$3:$G$22&gt;A2572)*(Calc!$G$3:$G$22-A2572))</f>
        <v/>
      </c>
      <c r="H2572">
        <f>SUMPRODUCT(Calc!$K$3:$K$22*(Calc!$G$3:$G$22&gt;B2572)*(Calc!$G$3:$G$22-B2572))</f>
        <v/>
      </c>
      <c r="I2572">
        <f>SUMPRODUCT(Calc!$K$3:$K$22*(Calc!$G$3:$G$22&gt;A2572)*(Calc!$G$3:$G$22-A2572)^2)</f>
        <v/>
      </c>
      <c r="J2572">
        <f>SUMPRODUCT(Calc!$K$3:$K$22*(Calc!$G$3:$G$22&gt;B2572)*(Calc!$G$3:$G$22-B2572)^2)</f>
        <v/>
      </c>
      <c r="K2572">
        <f>SUMPRODUCT(Calc!$K$3:$K$22*(Calc!$G$3:$G$22&gt;A2572)*(Calc!$G$3:$G$22-A2572)*(Calc!$G$3:$G$22&gt;B2572)*(Calc!$G$3:$G$22-B2572))</f>
        <v/>
      </c>
      <c r="L2572">
        <f>SUMPRODUCT(Calc!$K$3:$K$22*(Calc!$G$3:$G$22&gt;A2572)*(Calc!$G$3:$G$22-A2572)*Calc!$G$3:$G$22)</f>
        <v/>
      </c>
      <c r="M2572">
        <f>SUMPRODUCT(Calc!$K$3:$K$22*(Calc!$G$3:$G$22&gt;B2572)*(Calc!$G$3:$G$22-B2572)*Calc!$G$3:$G$22)</f>
        <v/>
      </c>
      <c r="N2572">
        <f>SUMPRODUCT(Calc!$K$3:$K$22*(Calc!$G$3:$G$22&gt;A2572)*(Calc!$G$3:$G$22-A2572)*Calc!$I$3:$I$22)</f>
        <v/>
      </c>
      <c r="O2572">
        <f>SUMPRODUCT(Calc!$K$3:$K$22*(Calc!$G$3:$G$22&gt;B2572)*(Calc!$G$3:$G$22-B2572)*Calc!$I$3:$I$22)</f>
        <v/>
      </c>
      <c r="P2572">
        <f>I2572-G2572^2/k_n</f>
        <v/>
      </c>
      <c r="Q2572">
        <f>J2572-H2572^2/k_n</f>
        <v/>
      </c>
      <c r="R2572">
        <f>K2572-G2572*H2572/k_n</f>
        <v/>
      </c>
      <c r="S2572">
        <f>L2572-LTP3!$D$3*G2572/k_n</f>
        <v/>
      </c>
      <c r="T2572">
        <f>M2572-LTP3!$D$3*H2572/k_n</f>
        <v/>
      </c>
      <c r="U2572">
        <f>N2572-G2572*LTP3!$D$4/k_n</f>
        <v/>
      </c>
      <c r="V2572">
        <f>O2572-H2572*LTP3!$D$4/k_n</f>
        <v/>
      </c>
      <c r="W2572">
        <f>((LTP3!$D$5)*((P2572)*(Q2572)-(R2572)*(R2572))-(S2572)*((S2572)*(Q2572)-(R2572)*(T2572))+(T2572)*((S2572)*(R2572)-(P2572)*(T2572)))</f>
        <v/>
      </c>
      <c r="X2572">
        <f>IF(ABS(W2572)&gt;1E-12,((LTP3!$D$6)*((P2572)*(Q2572)-(R2572)*(R2572))-(S2572)*((U2572)*(Q2572)-(R2572)*(V2572))+(T2572)*((U2572)*(R2572)-(P2572)*(V2572)))/W2572,0)</f>
        <v/>
      </c>
      <c r="Y2572">
        <f>IF(ABS(W2572)&gt;1E-12,((LTP3!$D$5)*((U2572)*(Q2572)-(R2572)*(V2572))-(LTP3!$D$6)*((S2572)*(Q2572)-(R2572)*(T2572))+(T2572)*((S2572)*(V2572)-(U2572)*(T2572)))/W2572,0)</f>
        <v/>
      </c>
      <c r="Z2572">
        <f>IF(ABS(W2572)&gt;1E-12,((LTP3!$D$5)*((P2572)*(V2572)-(U2572)*(R2572))-(S2572)*((S2572)*(V2572)-(U2572)*(T2572))+(LTP3!$D$6)*((S2572)*(R2572)-(P2572)*(T2572)))/W2572,0)</f>
        <v/>
      </c>
      <c r="AA2572">
        <f>LTP3!$D$7-X2572*LTP3!$D$6-Y2572*U2572-Z2572*V2572</f>
        <v/>
      </c>
      <c r="AB2572">
        <f>IF(AND(F2572,ABS(W2572)&gt;1E-12,Y2572&gt;0,Z2572&gt;0),AA2572,1E+300)</f>
        <v/>
      </c>
    </row>
    <row r="2573">
      <c r="A2573">
        <f>$B$3+$B$5*41</f>
        <v/>
      </c>
      <c r="B2573">
        <f>$B$3+$B$5*60</f>
        <v/>
      </c>
      <c r="C2573">
        <f>SUMPRODUCT(Calc!$K$3:$K$22*(Calc!$G$3:$G$22&lt;=A2573))</f>
        <v/>
      </c>
      <c r="D2573">
        <f>SUMPRODUCT(Calc!$K$3:$K$22*(Calc!$G$3:$G$22&gt;A2573)*(Calc!$G$3:$G$22&lt;B2573))</f>
        <v/>
      </c>
      <c r="E2573">
        <f>SUMPRODUCT(Calc!$K$3:$K$22*(Calc!$G$3:$G$22&gt;=B2573))</f>
        <v/>
      </c>
      <c r="F2573">
        <f>AND(k_n&gt;=5,B2573&gt;A2573+1E-9,C2573&gt;=2,D2573&gt;=1,E2573&gt;=2)</f>
        <v/>
      </c>
      <c r="G2573">
        <f>SUMPRODUCT(Calc!$K$3:$K$22*(Calc!$G$3:$G$22&gt;A2573)*(Calc!$G$3:$G$22-A2573))</f>
        <v/>
      </c>
      <c r="H2573">
        <f>SUMPRODUCT(Calc!$K$3:$K$22*(Calc!$G$3:$G$22&gt;B2573)*(Calc!$G$3:$G$22-B2573))</f>
        <v/>
      </c>
      <c r="I2573">
        <f>SUMPRODUCT(Calc!$K$3:$K$22*(Calc!$G$3:$G$22&gt;A2573)*(Calc!$G$3:$G$22-A2573)^2)</f>
        <v/>
      </c>
      <c r="J2573">
        <f>SUMPRODUCT(Calc!$K$3:$K$22*(Calc!$G$3:$G$22&gt;B2573)*(Calc!$G$3:$G$22-B2573)^2)</f>
        <v/>
      </c>
      <c r="K2573">
        <f>SUMPRODUCT(Calc!$K$3:$K$22*(Calc!$G$3:$G$22&gt;A2573)*(Calc!$G$3:$G$22-A2573)*(Calc!$G$3:$G$22&gt;B2573)*(Calc!$G$3:$G$22-B2573))</f>
        <v/>
      </c>
      <c r="L2573">
        <f>SUMPRODUCT(Calc!$K$3:$K$22*(Calc!$G$3:$G$22&gt;A2573)*(Calc!$G$3:$G$22-A2573)*Calc!$G$3:$G$22)</f>
        <v/>
      </c>
      <c r="M2573">
        <f>SUMPRODUCT(Calc!$K$3:$K$22*(Calc!$G$3:$G$22&gt;B2573)*(Calc!$G$3:$G$22-B2573)*Calc!$G$3:$G$22)</f>
        <v/>
      </c>
      <c r="N2573">
        <f>SUMPRODUCT(Calc!$K$3:$K$22*(Calc!$G$3:$G$22&gt;A2573)*(Calc!$G$3:$G$22-A2573)*Calc!$I$3:$I$22)</f>
        <v/>
      </c>
      <c r="O2573">
        <f>SUMPRODUCT(Calc!$K$3:$K$22*(Calc!$G$3:$G$22&gt;B2573)*(Calc!$G$3:$G$22-B2573)*Calc!$I$3:$I$22)</f>
        <v/>
      </c>
      <c r="P2573">
        <f>I2573-G2573^2/k_n</f>
        <v/>
      </c>
      <c r="Q2573">
        <f>J2573-H2573^2/k_n</f>
        <v/>
      </c>
      <c r="R2573">
        <f>K2573-G2573*H2573/k_n</f>
        <v/>
      </c>
      <c r="S2573">
        <f>L2573-LTP3!$D$3*G2573/k_n</f>
        <v/>
      </c>
      <c r="T2573">
        <f>M2573-LTP3!$D$3*H2573/k_n</f>
        <v/>
      </c>
      <c r="U2573">
        <f>N2573-G2573*LTP3!$D$4/k_n</f>
        <v/>
      </c>
      <c r="V2573">
        <f>O2573-H2573*LTP3!$D$4/k_n</f>
        <v/>
      </c>
      <c r="W2573">
        <f>((LTP3!$D$5)*((P2573)*(Q2573)-(R2573)*(R2573))-(S2573)*((S2573)*(Q2573)-(R2573)*(T2573))+(T2573)*((S2573)*(R2573)-(P2573)*(T2573)))</f>
        <v/>
      </c>
      <c r="X2573">
        <f>IF(ABS(W2573)&gt;1E-12,((LTP3!$D$6)*((P2573)*(Q2573)-(R2573)*(R2573))-(S2573)*((U2573)*(Q2573)-(R2573)*(V2573))+(T2573)*((U2573)*(R2573)-(P2573)*(V2573)))/W2573,0)</f>
        <v/>
      </c>
      <c r="Y2573">
        <f>IF(ABS(W2573)&gt;1E-12,((LTP3!$D$5)*((U2573)*(Q2573)-(R2573)*(V2573))-(LTP3!$D$6)*((S2573)*(Q2573)-(R2573)*(T2573))+(T2573)*((S2573)*(V2573)-(U2573)*(T2573)))/W2573,0)</f>
        <v/>
      </c>
      <c r="Z2573">
        <f>IF(ABS(W2573)&gt;1E-12,((LTP3!$D$5)*((P2573)*(V2573)-(U2573)*(R2573))-(S2573)*((S2573)*(V2573)-(U2573)*(T2573))+(LTP3!$D$6)*((S2573)*(R2573)-(P2573)*(T2573)))/W2573,0)</f>
        <v/>
      </c>
      <c r="AA2573">
        <f>LTP3!$D$7-X2573*LTP3!$D$6-Y2573*U2573-Z2573*V2573</f>
        <v/>
      </c>
      <c r="AB2573">
        <f>IF(AND(F2573,ABS(W2573)&gt;1E-12,Y2573&gt;0,Z2573&gt;0),AA2573,1E+300)</f>
        <v/>
      </c>
    </row>
    <row r="2574">
      <c r="A2574">
        <f>$B$3+$B$5*42</f>
        <v/>
      </c>
      <c r="B2574">
        <f>$B$3+$B$5*0</f>
        <v/>
      </c>
      <c r="C2574">
        <f>SUMPRODUCT(Calc!$K$3:$K$22*(Calc!$G$3:$G$22&lt;=A2574))</f>
        <v/>
      </c>
      <c r="D2574">
        <f>SUMPRODUCT(Calc!$K$3:$K$22*(Calc!$G$3:$G$22&gt;A2574)*(Calc!$G$3:$G$22&lt;B2574))</f>
        <v/>
      </c>
      <c r="E2574">
        <f>SUMPRODUCT(Calc!$K$3:$K$22*(Calc!$G$3:$G$22&gt;=B2574))</f>
        <v/>
      </c>
      <c r="F2574">
        <f>AND(k_n&gt;=5,B2574&gt;A2574+1E-9,C2574&gt;=2,D2574&gt;=1,E2574&gt;=2)</f>
        <v/>
      </c>
      <c r="G2574">
        <f>SUMPRODUCT(Calc!$K$3:$K$22*(Calc!$G$3:$G$22&gt;A2574)*(Calc!$G$3:$G$22-A2574))</f>
        <v/>
      </c>
      <c r="H2574">
        <f>SUMPRODUCT(Calc!$K$3:$K$22*(Calc!$G$3:$G$22&gt;B2574)*(Calc!$G$3:$G$22-B2574))</f>
        <v/>
      </c>
      <c r="I2574">
        <f>SUMPRODUCT(Calc!$K$3:$K$22*(Calc!$G$3:$G$22&gt;A2574)*(Calc!$G$3:$G$22-A2574)^2)</f>
        <v/>
      </c>
      <c r="J2574">
        <f>SUMPRODUCT(Calc!$K$3:$K$22*(Calc!$G$3:$G$22&gt;B2574)*(Calc!$G$3:$G$22-B2574)^2)</f>
        <v/>
      </c>
      <c r="K2574">
        <f>SUMPRODUCT(Calc!$K$3:$K$22*(Calc!$G$3:$G$22&gt;A2574)*(Calc!$G$3:$G$22-A2574)*(Calc!$G$3:$G$22&gt;B2574)*(Calc!$G$3:$G$22-B2574))</f>
        <v/>
      </c>
      <c r="L2574">
        <f>SUMPRODUCT(Calc!$K$3:$K$22*(Calc!$G$3:$G$22&gt;A2574)*(Calc!$G$3:$G$22-A2574)*Calc!$G$3:$G$22)</f>
        <v/>
      </c>
      <c r="M2574">
        <f>SUMPRODUCT(Calc!$K$3:$K$22*(Calc!$G$3:$G$22&gt;B2574)*(Calc!$G$3:$G$22-B2574)*Calc!$G$3:$G$22)</f>
        <v/>
      </c>
      <c r="N2574">
        <f>SUMPRODUCT(Calc!$K$3:$K$22*(Calc!$G$3:$G$22&gt;A2574)*(Calc!$G$3:$G$22-A2574)*Calc!$I$3:$I$22)</f>
        <v/>
      </c>
      <c r="O2574">
        <f>SUMPRODUCT(Calc!$K$3:$K$22*(Calc!$G$3:$G$22&gt;B2574)*(Calc!$G$3:$G$22-B2574)*Calc!$I$3:$I$22)</f>
        <v/>
      </c>
      <c r="P2574">
        <f>I2574-G2574^2/k_n</f>
        <v/>
      </c>
      <c r="Q2574">
        <f>J2574-H2574^2/k_n</f>
        <v/>
      </c>
      <c r="R2574">
        <f>K2574-G2574*H2574/k_n</f>
        <v/>
      </c>
      <c r="S2574">
        <f>L2574-LTP3!$D$3*G2574/k_n</f>
        <v/>
      </c>
      <c r="T2574">
        <f>M2574-LTP3!$D$3*H2574/k_n</f>
        <v/>
      </c>
      <c r="U2574">
        <f>N2574-G2574*LTP3!$D$4/k_n</f>
        <v/>
      </c>
      <c r="V2574">
        <f>O2574-H2574*LTP3!$D$4/k_n</f>
        <v/>
      </c>
      <c r="W2574">
        <f>((LTP3!$D$5)*((P2574)*(Q2574)-(R2574)*(R2574))-(S2574)*((S2574)*(Q2574)-(R2574)*(T2574))+(T2574)*((S2574)*(R2574)-(P2574)*(T2574)))</f>
        <v/>
      </c>
      <c r="X2574">
        <f>IF(ABS(W2574)&gt;1E-12,((LTP3!$D$6)*((P2574)*(Q2574)-(R2574)*(R2574))-(S2574)*((U2574)*(Q2574)-(R2574)*(V2574))+(T2574)*((U2574)*(R2574)-(P2574)*(V2574)))/W2574,0)</f>
        <v/>
      </c>
      <c r="Y2574">
        <f>IF(ABS(W2574)&gt;1E-12,((LTP3!$D$5)*((U2574)*(Q2574)-(R2574)*(V2574))-(LTP3!$D$6)*((S2574)*(Q2574)-(R2574)*(T2574))+(T2574)*((S2574)*(V2574)-(U2574)*(T2574)))/W2574,0)</f>
        <v/>
      </c>
      <c r="Z2574">
        <f>IF(ABS(W2574)&gt;1E-12,((LTP3!$D$5)*((P2574)*(V2574)-(U2574)*(R2574))-(S2574)*((S2574)*(V2574)-(U2574)*(T2574))+(LTP3!$D$6)*((S2574)*(R2574)-(P2574)*(T2574)))/W2574,0)</f>
        <v/>
      </c>
      <c r="AA2574">
        <f>LTP3!$D$7-X2574*LTP3!$D$6-Y2574*U2574-Z2574*V2574</f>
        <v/>
      </c>
      <c r="AB2574">
        <f>IF(AND(F2574,ABS(W2574)&gt;1E-12,Y2574&gt;0,Z2574&gt;0),AA2574,1E+300)</f>
        <v/>
      </c>
    </row>
    <row r="2575">
      <c r="A2575">
        <f>$B$3+$B$5*42</f>
        <v/>
      </c>
      <c r="B2575">
        <f>$B$3+$B$5*1</f>
        <v/>
      </c>
      <c r="C2575">
        <f>SUMPRODUCT(Calc!$K$3:$K$22*(Calc!$G$3:$G$22&lt;=A2575))</f>
        <v/>
      </c>
      <c r="D2575">
        <f>SUMPRODUCT(Calc!$K$3:$K$22*(Calc!$G$3:$G$22&gt;A2575)*(Calc!$G$3:$G$22&lt;B2575))</f>
        <v/>
      </c>
      <c r="E2575">
        <f>SUMPRODUCT(Calc!$K$3:$K$22*(Calc!$G$3:$G$22&gt;=B2575))</f>
        <v/>
      </c>
      <c r="F2575">
        <f>AND(k_n&gt;=5,B2575&gt;A2575+1E-9,C2575&gt;=2,D2575&gt;=1,E2575&gt;=2)</f>
        <v/>
      </c>
      <c r="G2575">
        <f>SUMPRODUCT(Calc!$K$3:$K$22*(Calc!$G$3:$G$22&gt;A2575)*(Calc!$G$3:$G$22-A2575))</f>
        <v/>
      </c>
      <c r="H2575">
        <f>SUMPRODUCT(Calc!$K$3:$K$22*(Calc!$G$3:$G$22&gt;B2575)*(Calc!$G$3:$G$22-B2575))</f>
        <v/>
      </c>
      <c r="I2575">
        <f>SUMPRODUCT(Calc!$K$3:$K$22*(Calc!$G$3:$G$22&gt;A2575)*(Calc!$G$3:$G$22-A2575)^2)</f>
        <v/>
      </c>
      <c r="J2575">
        <f>SUMPRODUCT(Calc!$K$3:$K$22*(Calc!$G$3:$G$22&gt;B2575)*(Calc!$G$3:$G$22-B2575)^2)</f>
        <v/>
      </c>
      <c r="K2575">
        <f>SUMPRODUCT(Calc!$K$3:$K$22*(Calc!$G$3:$G$22&gt;A2575)*(Calc!$G$3:$G$22-A2575)*(Calc!$G$3:$G$22&gt;B2575)*(Calc!$G$3:$G$22-B2575))</f>
        <v/>
      </c>
      <c r="L2575">
        <f>SUMPRODUCT(Calc!$K$3:$K$22*(Calc!$G$3:$G$22&gt;A2575)*(Calc!$G$3:$G$22-A2575)*Calc!$G$3:$G$22)</f>
        <v/>
      </c>
      <c r="M2575">
        <f>SUMPRODUCT(Calc!$K$3:$K$22*(Calc!$G$3:$G$22&gt;B2575)*(Calc!$G$3:$G$22-B2575)*Calc!$G$3:$G$22)</f>
        <v/>
      </c>
      <c r="N2575">
        <f>SUMPRODUCT(Calc!$K$3:$K$22*(Calc!$G$3:$G$22&gt;A2575)*(Calc!$G$3:$G$22-A2575)*Calc!$I$3:$I$22)</f>
        <v/>
      </c>
      <c r="O2575">
        <f>SUMPRODUCT(Calc!$K$3:$K$22*(Calc!$G$3:$G$22&gt;B2575)*(Calc!$G$3:$G$22-B2575)*Calc!$I$3:$I$22)</f>
        <v/>
      </c>
      <c r="P2575">
        <f>I2575-G2575^2/k_n</f>
        <v/>
      </c>
      <c r="Q2575">
        <f>J2575-H2575^2/k_n</f>
        <v/>
      </c>
      <c r="R2575">
        <f>K2575-G2575*H2575/k_n</f>
        <v/>
      </c>
      <c r="S2575">
        <f>L2575-LTP3!$D$3*G2575/k_n</f>
        <v/>
      </c>
      <c r="T2575">
        <f>M2575-LTP3!$D$3*H2575/k_n</f>
        <v/>
      </c>
      <c r="U2575">
        <f>N2575-G2575*LTP3!$D$4/k_n</f>
        <v/>
      </c>
      <c r="V2575">
        <f>O2575-H2575*LTP3!$D$4/k_n</f>
        <v/>
      </c>
      <c r="W2575">
        <f>((LTP3!$D$5)*((P2575)*(Q2575)-(R2575)*(R2575))-(S2575)*((S2575)*(Q2575)-(R2575)*(T2575))+(T2575)*((S2575)*(R2575)-(P2575)*(T2575)))</f>
        <v/>
      </c>
      <c r="X2575">
        <f>IF(ABS(W2575)&gt;1E-12,((LTP3!$D$6)*((P2575)*(Q2575)-(R2575)*(R2575))-(S2575)*((U2575)*(Q2575)-(R2575)*(V2575))+(T2575)*((U2575)*(R2575)-(P2575)*(V2575)))/W2575,0)</f>
        <v/>
      </c>
      <c r="Y2575">
        <f>IF(ABS(W2575)&gt;1E-12,((LTP3!$D$5)*((U2575)*(Q2575)-(R2575)*(V2575))-(LTP3!$D$6)*((S2575)*(Q2575)-(R2575)*(T2575))+(T2575)*((S2575)*(V2575)-(U2575)*(T2575)))/W2575,0)</f>
        <v/>
      </c>
      <c r="Z2575">
        <f>IF(ABS(W2575)&gt;1E-12,((LTP3!$D$5)*((P2575)*(V2575)-(U2575)*(R2575))-(S2575)*((S2575)*(V2575)-(U2575)*(T2575))+(LTP3!$D$6)*((S2575)*(R2575)-(P2575)*(T2575)))/W2575,0)</f>
        <v/>
      </c>
      <c r="AA2575">
        <f>LTP3!$D$7-X2575*LTP3!$D$6-Y2575*U2575-Z2575*V2575</f>
        <v/>
      </c>
      <c r="AB2575">
        <f>IF(AND(F2575,ABS(W2575)&gt;1E-12,Y2575&gt;0,Z2575&gt;0),AA2575,1E+300)</f>
        <v/>
      </c>
    </row>
    <row r="2576">
      <c r="A2576">
        <f>$B$3+$B$5*42</f>
        <v/>
      </c>
      <c r="B2576">
        <f>$B$3+$B$5*2</f>
        <v/>
      </c>
      <c r="C2576">
        <f>SUMPRODUCT(Calc!$K$3:$K$22*(Calc!$G$3:$G$22&lt;=A2576))</f>
        <v/>
      </c>
      <c r="D2576">
        <f>SUMPRODUCT(Calc!$K$3:$K$22*(Calc!$G$3:$G$22&gt;A2576)*(Calc!$G$3:$G$22&lt;B2576))</f>
        <v/>
      </c>
      <c r="E2576">
        <f>SUMPRODUCT(Calc!$K$3:$K$22*(Calc!$G$3:$G$22&gt;=B2576))</f>
        <v/>
      </c>
      <c r="F2576">
        <f>AND(k_n&gt;=5,B2576&gt;A2576+1E-9,C2576&gt;=2,D2576&gt;=1,E2576&gt;=2)</f>
        <v/>
      </c>
      <c r="G2576">
        <f>SUMPRODUCT(Calc!$K$3:$K$22*(Calc!$G$3:$G$22&gt;A2576)*(Calc!$G$3:$G$22-A2576))</f>
        <v/>
      </c>
      <c r="H2576">
        <f>SUMPRODUCT(Calc!$K$3:$K$22*(Calc!$G$3:$G$22&gt;B2576)*(Calc!$G$3:$G$22-B2576))</f>
        <v/>
      </c>
      <c r="I2576">
        <f>SUMPRODUCT(Calc!$K$3:$K$22*(Calc!$G$3:$G$22&gt;A2576)*(Calc!$G$3:$G$22-A2576)^2)</f>
        <v/>
      </c>
      <c r="J2576">
        <f>SUMPRODUCT(Calc!$K$3:$K$22*(Calc!$G$3:$G$22&gt;B2576)*(Calc!$G$3:$G$22-B2576)^2)</f>
        <v/>
      </c>
      <c r="K2576">
        <f>SUMPRODUCT(Calc!$K$3:$K$22*(Calc!$G$3:$G$22&gt;A2576)*(Calc!$G$3:$G$22-A2576)*(Calc!$G$3:$G$22&gt;B2576)*(Calc!$G$3:$G$22-B2576))</f>
        <v/>
      </c>
      <c r="L2576">
        <f>SUMPRODUCT(Calc!$K$3:$K$22*(Calc!$G$3:$G$22&gt;A2576)*(Calc!$G$3:$G$22-A2576)*Calc!$G$3:$G$22)</f>
        <v/>
      </c>
      <c r="M2576">
        <f>SUMPRODUCT(Calc!$K$3:$K$22*(Calc!$G$3:$G$22&gt;B2576)*(Calc!$G$3:$G$22-B2576)*Calc!$G$3:$G$22)</f>
        <v/>
      </c>
      <c r="N2576">
        <f>SUMPRODUCT(Calc!$K$3:$K$22*(Calc!$G$3:$G$22&gt;A2576)*(Calc!$G$3:$G$22-A2576)*Calc!$I$3:$I$22)</f>
        <v/>
      </c>
      <c r="O2576">
        <f>SUMPRODUCT(Calc!$K$3:$K$22*(Calc!$G$3:$G$22&gt;B2576)*(Calc!$G$3:$G$22-B2576)*Calc!$I$3:$I$22)</f>
        <v/>
      </c>
      <c r="P2576">
        <f>I2576-G2576^2/k_n</f>
        <v/>
      </c>
      <c r="Q2576">
        <f>J2576-H2576^2/k_n</f>
        <v/>
      </c>
      <c r="R2576">
        <f>K2576-G2576*H2576/k_n</f>
        <v/>
      </c>
      <c r="S2576">
        <f>L2576-LTP3!$D$3*G2576/k_n</f>
        <v/>
      </c>
      <c r="T2576">
        <f>M2576-LTP3!$D$3*H2576/k_n</f>
        <v/>
      </c>
      <c r="U2576">
        <f>N2576-G2576*LTP3!$D$4/k_n</f>
        <v/>
      </c>
      <c r="V2576">
        <f>O2576-H2576*LTP3!$D$4/k_n</f>
        <v/>
      </c>
      <c r="W2576">
        <f>((LTP3!$D$5)*((P2576)*(Q2576)-(R2576)*(R2576))-(S2576)*((S2576)*(Q2576)-(R2576)*(T2576))+(T2576)*((S2576)*(R2576)-(P2576)*(T2576)))</f>
        <v/>
      </c>
      <c r="X2576">
        <f>IF(ABS(W2576)&gt;1E-12,((LTP3!$D$6)*((P2576)*(Q2576)-(R2576)*(R2576))-(S2576)*((U2576)*(Q2576)-(R2576)*(V2576))+(T2576)*((U2576)*(R2576)-(P2576)*(V2576)))/W2576,0)</f>
        <v/>
      </c>
      <c r="Y2576">
        <f>IF(ABS(W2576)&gt;1E-12,((LTP3!$D$5)*((U2576)*(Q2576)-(R2576)*(V2576))-(LTP3!$D$6)*((S2576)*(Q2576)-(R2576)*(T2576))+(T2576)*((S2576)*(V2576)-(U2576)*(T2576)))/W2576,0)</f>
        <v/>
      </c>
      <c r="Z2576">
        <f>IF(ABS(W2576)&gt;1E-12,((LTP3!$D$5)*((P2576)*(V2576)-(U2576)*(R2576))-(S2576)*((S2576)*(V2576)-(U2576)*(T2576))+(LTP3!$D$6)*((S2576)*(R2576)-(P2576)*(T2576)))/W2576,0)</f>
        <v/>
      </c>
      <c r="AA2576">
        <f>LTP3!$D$7-X2576*LTP3!$D$6-Y2576*U2576-Z2576*V2576</f>
        <v/>
      </c>
      <c r="AB2576">
        <f>IF(AND(F2576,ABS(W2576)&gt;1E-12,Y2576&gt;0,Z2576&gt;0),AA2576,1E+300)</f>
        <v/>
      </c>
    </row>
    <row r="2577">
      <c r="A2577">
        <f>$B$3+$B$5*42</f>
        <v/>
      </c>
      <c r="B2577">
        <f>$B$3+$B$5*3</f>
        <v/>
      </c>
      <c r="C2577">
        <f>SUMPRODUCT(Calc!$K$3:$K$22*(Calc!$G$3:$G$22&lt;=A2577))</f>
        <v/>
      </c>
      <c r="D2577">
        <f>SUMPRODUCT(Calc!$K$3:$K$22*(Calc!$G$3:$G$22&gt;A2577)*(Calc!$G$3:$G$22&lt;B2577))</f>
        <v/>
      </c>
      <c r="E2577">
        <f>SUMPRODUCT(Calc!$K$3:$K$22*(Calc!$G$3:$G$22&gt;=B2577))</f>
        <v/>
      </c>
      <c r="F2577">
        <f>AND(k_n&gt;=5,B2577&gt;A2577+1E-9,C2577&gt;=2,D2577&gt;=1,E2577&gt;=2)</f>
        <v/>
      </c>
      <c r="G2577">
        <f>SUMPRODUCT(Calc!$K$3:$K$22*(Calc!$G$3:$G$22&gt;A2577)*(Calc!$G$3:$G$22-A2577))</f>
        <v/>
      </c>
      <c r="H2577">
        <f>SUMPRODUCT(Calc!$K$3:$K$22*(Calc!$G$3:$G$22&gt;B2577)*(Calc!$G$3:$G$22-B2577))</f>
        <v/>
      </c>
      <c r="I2577">
        <f>SUMPRODUCT(Calc!$K$3:$K$22*(Calc!$G$3:$G$22&gt;A2577)*(Calc!$G$3:$G$22-A2577)^2)</f>
        <v/>
      </c>
      <c r="J2577">
        <f>SUMPRODUCT(Calc!$K$3:$K$22*(Calc!$G$3:$G$22&gt;B2577)*(Calc!$G$3:$G$22-B2577)^2)</f>
        <v/>
      </c>
      <c r="K2577">
        <f>SUMPRODUCT(Calc!$K$3:$K$22*(Calc!$G$3:$G$22&gt;A2577)*(Calc!$G$3:$G$22-A2577)*(Calc!$G$3:$G$22&gt;B2577)*(Calc!$G$3:$G$22-B2577))</f>
        <v/>
      </c>
      <c r="L2577">
        <f>SUMPRODUCT(Calc!$K$3:$K$22*(Calc!$G$3:$G$22&gt;A2577)*(Calc!$G$3:$G$22-A2577)*Calc!$G$3:$G$22)</f>
        <v/>
      </c>
      <c r="M2577">
        <f>SUMPRODUCT(Calc!$K$3:$K$22*(Calc!$G$3:$G$22&gt;B2577)*(Calc!$G$3:$G$22-B2577)*Calc!$G$3:$G$22)</f>
        <v/>
      </c>
      <c r="N2577">
        <f>SUMPRODUCT(Calc!$K$3:$K$22*(Calc!$G$3:$G$22&gt;A2577)*(Calc!$G$3:$G$22-A2577)*Calc!$I$3:$I$22)</f>
        <v/>
      </c>
      <c r="O2577">
        <f>SUMPRODUCT(Calc!$K$3:$K$22*(Calc!$G$3:$G$22&gt;B2577)*(Calc!$G$3:$G$22-B2577)*Calc!$I$3:$I$22)</f>
        <v/>
      </c>
      <c r="P2577">
        <f>I2577-G2577^2/k_n</f>
        <v/>
      </c>
      <c r="Q2577">
        <f>J2577-H2577^2/k_n</f>
        <v/>
      </c>
      <c r="R2577">
        <f>K2577-G2577*H2577/k_n</f>
        <v/>
      </c>
      <c r="S2577">
        <f>L2577-LTP3!$D$3*G2577/k_n</f>
        <v/>
      </c>
      <c r="T2577">
        <f>M2577-LTP3!$D$3*H2577/k_n</f>
        <v/>
      </c>
      <c r="U2577">
        <f>N2577-G2577*LTP3!$D$4/k_n</f>
        <v/>
      </c>
      <c r="V2577">
        <f>O2577-H2577*LTP3!$D$4/k_n</f>
        <v/>
      </c>
      <c r="W2577">
        <f>((LTP3!$D$5)*((P2577)*(Q2577)-(R2577)*(R2577))-(S2577)*((S2577)*(Q2577)-(R2577)*(T2577))+(T2577)*((S2577)*(R2577)-(P2577)*(T2577)))</f>
        <v/>
      </c>
      <c r="X2577">
        <f>IF(ABS(W2577)&gt;1E-12,((LTP3!$D$6)*((P2577)*(Q2577)-(R2577)*(R2577))-(S2577)*((U2577)*(Q2577)-(R2577)*(V2577))+(T2577)*((U2577)*(R2577)-(P2577)*(V2577)))/W2577,0)</f>
        <v/>
      </c>
      <c r="Y2577">
        <f>IF(ABS(W2577)&gt;1E-12,((LTP3!$D$5)*((U2577)*(Q2577)-(R2577)*(V2577))-(LTP3!$D$6)*((S2577)*(Q2577)-(R2577)*(T2577))+(T2577)*((S2577)*(V2577)-(U2577)*(T2577)))/W2577,0)</f>
        <v/>
      </c>
      <c r="Z2577">
        <f>IF(ABS(W2577)&gt;1E-12,((LTP3!$D$5)*((P2577)*(V2577)-(U2577)*(R2577))-(S2577)*((S2577)*(V2577)-(U2577)*(T2577))+(LTP3!$D$6)*((S2577)*(R2577)-(P2577)*(T2577)))/W2577,0)</f>
        <v/>
      </c>
      <c r="AA2577">
        <f>LTP3!$D$7-X2577*LTP3!$D$6-Y2577*U2577-Z2577*V2577</f>
        <v/>
      </c>
      <c r="AB2577">
        <f>IF(AND(F2577,ABS(W2577)&gt;1E-12,Y2577&gt;0,Z2577&gt;0),AA2577,1E+300)</f>
        <v/>
      </c>
    </row>
    <row r="2578">
      <c r="A2578">
        <f>$B$3+$B$5*42</f>
        <v/>
      </c>
      <c r="B2578">
        <f>$B$3+$B$5*4</f>
        <v/>
      </c>
      <c r="C2578">
        <f>SUMPRODUCT(Calc!$K$3:$K$22*(Calc!$G$3:$G$22&lt;=A2578))</f>
        <v/>
      </c>
      <c r="D2578">
        <f>SUMPRODUCT(Calc!$K$3:$K$22*(Calc!$G$3:$G$22&gt;A2578)*(Calc!$G$3:$G$22&lt;B2578))</f>
        <v/>
      </c>
      <c r="E2578">
        <f>SUMPRODUCT(Calc!$K$3:$K$22*(Calc!$G$3:$G$22&gt;=B2578))</f>
        <v/>
      </c>
      <c r="F2578">
        <f>AND(k_n&gt;=5,B2578&gt;A2578+1E-9,C2578&gt;=2,D2578&gt;=1,E2578&gt;=2)</f>
        <v/>
      </c>
      <c r="G2578">
        <f>SUMPRODUCT(Calc!$K$3:$K$22*(Calc!$G$3:$G$22&gt;A2578)*(Calc!$G$3:$G$22-A2578))</f>
        <v/>
      </c>
      <c r="H2578">
        <f>SUMPRODUCT(Calc!$K$3:$K$22*(Calc!$G$3:$G$22&gt;B2578)*(Calc!$G$3:$G$22-B2578))</f>
        <v/>
      </c>
      <c r="I2578">
        <f>SUMPRODUCT(Calc!$K$3:$K$22*(Calc!$G$3:$G$22&gt;A2578)*(Calc!$G$3:$G$22-A2578)^2)</f>
        <v/>
      </c>
      <c r="J2578">
        <f>SUMPRODUCT(Calc!$K$3:$K$22*(Calc!$G$3:$G$22&gt;B2578)*(Calc!$G$3:$G$22-B2578)^2)</f>
        <v/>
      </c>
      <c r="K2578">
        <f>SUMPRODUCT(Calc!$K$3:$K$22*(Calc!$G$3:$G$22&gt;A2578)*(Calc!$G$3:$G$22-A2578)*(Calc!$G$3:$G$22&gt;B2578)*(Calc!$G$3:$G$22-B2578))</f>
        <v/>
      </c>
      <c r="L2578">
        <f>SUMPRODUCT(Calc!$K$3:$K$22*(Calc!$G$3:$G$22&gt;A2578)*(Calc!$G$3:$G$22-A2578)*Calc!$G$3:$G$22)</f>
        <v/>
      </c>
      <c r="M2578">
        <f>SUMPRODUCT(Calc!$K$3:$K$22*(Calc!$G$3:$G$22&gt;B2578)*(Calc!$G$3:$G$22-B2578)*Calc!$G$3:$G$22)</f>
        <v/>
      </c>
      <c r="N2578">
        <f>SUMPRODUCT(Calc!$K$3:$K$22*(Calc!$G$3:$G$22&gt;A2578)*(Calc!$G$3:$G$22-A2578)*Calc!$I$3:$I$22)</f>
        <v/>
      </c>
      <c r="O2578">
        <f>SUMPRODUCT(Calc!$K$3:$K$22*(Calc!$G$3:$G$22&gt;B2578)*(Calc!$G$3:$G$22-B2578)*Calc!$I$3:$I$22)</f>
        <v/>
      </c>
      <c r="P2578">
        <f>I2578-G2578^2/k_n</f>
        <v/>
      </c>
      <c r="Q2578">
        <f>J2578-H2578^2/k_n</f>
        <v/>
      </c>
      <c r="R2578">
        <f>K2578-G2578*H2578/k_n</f>
        <v/>
      </c>
      <c r="S2578">
        <f>L2578-LTP3!$D$3*G2578/k_n</f>
        <v/>
      </c>
      <c r="T2578">
        <f>M2578-LTP3!$D$3*H2578/k_n</f>
        <v/>
      </c>
      <c r="U2578">
        <f>N2578-G2578*LTP3!$D$4/k_n</f>
        <v/>
      </c>
      <c r="V2578">
        <f>O2578-H2578*LTP3!$D$4/k_n</f>
        <v/>
      </c>
      <c r="W2578">
        <f>((LTP3!$D$5)*((P2578)*(Q2578)-(R2578)*(R2578))-(S2578)*((S2578)*(Q2578)-(R2578)*(T2578))+(T2578)*((S2578)*(R2578)-(P2578)*(T2578)))</f>
        <v/>
      </c>
      <c r="X2578">
        <f>IF(ABS(W2578)&gt;1E-12,((LTP3!$D$6)*((P2578)*(Q2578)-(R2578)*(R2578))-(S2578)*((U2578)*(Q2578)-(R2578)*(V2578))+(T2578)*((U2578)*(R2578)-(P2578)*(V2578)))/W2578,0)</f>
        <v/>
      </c>
      <c r="Y2578">
        <f>IF(ABS(W2578)&gt;1E-12,((LTP3!$D$5)*((U2578)*(Q2578)-(R2578)*(V2578))-(LTP3!$D$6)*((S2578)*(Q2578)-(R2578)*(T2578))+(T2578)*((S2578)*(V2578)-(U2578)*(T2578)))/W2578,0)</f>
        <v/>
      </c>
      <c r="Z2578">
        <f>IF(ABS(W2578)&gt;1E-12,((LTP3!$D$5)*((P2578)*(V2578)-(U2578)*(R2578))-(S2578)*((S2578)*(V2578)-(U2578)*(T2578))+(LTP3!$D$6)*((S2578)*(R2578)-(P2578)*(T2578)))/W2578,0)</f>
        <v/>
      </c>
      <c r="AA2578">
        <f>LTP3!$D$7-X2578*LTP3!$D$6-Y2578*U2578-Z2578*V2578</f>
        <v/>
      </c>
      <c r="AB2578">
        <f>IF(AND(F2578,ABS(W2578)&gt;1E-12,Y2578&gt;0,Z2578&gt;0),AA2578,1E+300)</f>
        <v/>
      </c>
    </row>
    <row r="2579">
      <c r="A2579">
        <f>$B$3+$B$5*42</f>
        <v/>
      </c>
      <c r="B2579">
        <f>$B$3+$B$5*5</f>
        <v/>
      </c>
      <c r="C2579">
        <f>SUMPRODUCT(Calc!$K$3:$K$22*(Calc!$G$3:$G$22&lt;=A2579))</f>
        <v/>
      </c>
      <c r="D2579">
        <f>SUMPRODUCT(Calc!$K$3:$K$22*(Calc!$G$3:$G$22&gt;A2579)*(Calc!$G$3:$G$22&lt;B2579))</f>
        <v/>
      </c>
      <c r="E2579">
        <f>SUMPRODUCT(Calc!$K$3:$K$22*(Calc!$G$3:$G$22&gt;=B2579))</f>
        <v/>
      </c>
      <c r="F2579">
        <f>AND(k_n&gt;=5,B2579&gt;A2579+1E-9,C2579&gt;=2,D2579&gt;=1,E2579&gt;=2)</f>
        <v/>
      </c>
      <c r="G2579">
        <f>SUMPRODUCT(Calc!$K$3:$K$22*(Calc!$G$3:$G$22&gt;A2579)*(Calc!$G$3:$G$22-A2579))</f>
        <v/>
      </c>
      <c r="H2579">
        <f>SUMPRODUCT(Calc!$K$3:$K$22*(Calc!$G$3:$G$22&gt;B2579)*(Calc!$G$3:$G$22-B2579))</f>
        <v/>
      </c>
      <c r="I2579">
        <f>SUMPRODUCT(Calc!$K$3:$K$22*(Calc!$G$3:$G$22&gt;A2579)*(Calc!$G$3:$G$22-A2579)^2)</f>
        <v/>
      </c>
      <c r="J2579">
        <f>SUMPRODUCT(Calc!$K$3:$K$22*(Calc!$G$3:$G$22&gt;B2579)*(Calc!$G$3:$G$22-B2579)^2)</f>
        <v/>
      </c>
      <c r="K2579">
        <f>SUMPRODUCT(Calc!$K$3:$K$22*(Calc!$G$3:$G$22&gt;A2579)*(Calc!$G$3:$G$22-A2579)*(Calc!$G$3:$G$22&gt;B2579)*(Calc!$G$3:$G$22-B2579))</f>
        <v/>
      </c>
      <c r="L2579">
        <f>SUMPRODUCT(Calc!$K$3:$K$22*(Calc!$G$3:$G$22&gt;A2579)*(Calc!$G$3:$G$22-A2579)*Calc!$G$3:$G$22)</f>
        <v/>
      </c>
      <c r="M2579">
        <f>SUMPRODUCT(Calc!$K$3:$K$22*(Calc!$G$3:$G$22&gt;B2579)*(Calc!$G$3:$G$22-B2579)*Calc!$G$3:$G$22)</f>
        <v/>
      </c>
      <c r="N2579">
        <f>SUMPRODUCT(Calc!$K$3:$K$22*(Calc!$G$3:$G$22&gt;A2579)*(Calc!$G$3:$G$22-A2579)*Calc!$I$3:$I$22)</f>
        <v/>
      </c>
      <c r="O2579">
        <f>SUMPRODUCT(Calc!$K$3:$K$22*(Calc!$G$3:$G$22&gt;B2579)*(Calc!$G$3:$G$22-B2579)*Calc!$I$3:$I$22)</f>
        <v/>
      </c>
      <c r="P2579">
        <f>I2579-G2579^2/k_n</f>
        <v/>
      </c>
      <c r="Q2579">
        <f>J2579-H2579^2/k_n</f>
        <v/>
      </c>
      <c r="R2579">
        <f>K2579-G2579*H2579/k_n</f>
        <v/>
      </c>
      <c r="S2579">
        <f>L2579-LTP3!$D$3*G2579/k_n</f>
        <v/>
      </c>
      <c r="T2579">
        <f>M2579-LTP3!$D$3*H2579/k_n</f>
        <v/>
      </c>
      <c r="U2579">
        <f>N2579-G2579*LTP3!$D$4/k_n</f>
        <v/>
      </c>
      <c r="V2579">
        <f>O2579-H2579*LTP3!$D$4/k_n</f>
        <v/>
      </c>
      <c r="W2579">
        <f>((LTP3!$D$5)*((P2579)*(Q2579)-(R2579)*(R2579))-(S2579)*((S2579)*(Q2579)-(R2579)*(T2579))+(T2579)*((S2579)*(R2579)-(P2579)*(T2579)))</f>
        <v/>
      </c>
      <c r="X2579">
        <f>IF(ABS(W2579)&gt;1E-12,((LTP3!$D$6)*((P2579)*(Q2579)-(R2579)*(R2579))-(S2579)*((U2579)*(Q2579)-(R2579)*(V2579))+(T2579)*((U2579)*(R2579)-(P2579)*(V2579)))/W2579,0)</f>
        <v/>
      </c>
      <c r="Y2579">
        <f>IF(ABS(W2579)&gt;1E-12,((LTP3!$D$5)*((U2579)*(Q2579)-(R2579)*(V2579))-(LTP3!$D$6)*((S2579)*(Q2579)-(R2579)*(T2579))+(T2579)*((S2579)*(V2579)-(U2579)*(T2579)))/W2579,0)</f>
        <v/>
      </c>
      <c r="Z2579">
        <f>IF(ABS(W2579)&gt;1E-12,((LTP3!$D$5)*((P2579)*(V2579)-(U2579)*(R2579))-(S2579)*((S2579)*(V2579)-(U2579)*(T2579))+(LTP3!$D$6)*((S2579)*(R2579)-(P2579)*(T2579)))/W2579,0)</f>
        <v/>
      </c>
      <c r="AA2579">
        <f>LTP3!$D$7-X2579*LTP3!$D$6-Y2579*U2579-Z2579*V2579</f>
        <v/>
      </c>
      <c r="AB2579">
        <f>IF(AND(F2579,ABS(W2579)&gt;1E-12,Y2579&gt;0,Z2579&gt;0),AA2579,1E+300)</f>
        <v/>
      </c>
    </row>
    <row r="2580">
      <c r="A2580">
        <f>$B$3+$B$5*42</f>
        <v/>
      </c>
      <c r="B2580">
        <f>$B$3+$B$5*6</f>
        <v/>
      </c>
      <c r="C2580">
        <f>SUMPRODUCT(Calc!$K$3:$K$22*(Calc!$G$3:$G$22&lt;=A2580))</f>
        <v/>
      </c>
      <c r="D2580">
        <f>SUMPRODUCT(Calc!$K$3:$K$22*(Calc!$G$3:$G$22&gt;A2580)*(Calc!$G$3:$G$22&lt;B2580))</f>
        <v/>
      </c>
      <c r="E2580">
        <f>SUMPRODUCT(Calc!$K$3:$K$22*(Calc!$G$3:$G$22&gt;=B2580))</f>
        <v/>
      </c>
      <c r="F2580">
        <f>AND(k_n&gt;=5,B2580&gt;A2580+1E-9,C2580&gt;=2,D2580&gt;=1,E2580&gt;=2)</f>
        <v/>
      </c>
      <c r="G2580">
        <f>SUMPRODUCT(Calc!$K$3:$K$22*(Calc!$G$3:$G$22&gt;A2580)*(Calc!$G$3:$G$22-A2580))</f>
        <v/>
      </c>
      <c r="H2580">
        <f>SUMPRODUCT(Calc!$K$3:$K$22*(Calc!$G$3:$G$22&gt;B2580)*(Calc!$G$3:$G$22-B2580))</f>
        <v/>
      </c>
      <c r="I2580">
        <f>SUMPRODUCT(Calc!$K$3:$K$22*(Calc!$G$3:$G$22&gt;A2580)*(Calc!$G$3:$G$22-A2580)^2)</f>
        <v/>
      </c>
      <c r="J2580">
        <f>SUMPRODUCT(Calc!$K$3:$K$22*(Calc!$G$3:$G$22&gt;B2580)*(Calc!$G$3:$G$22-B2580)^2)</f>
        <v/>
      </c>
      <c r="K2580">
        <f>SUMPRODUCT(Calc!$K$3:$K$22*(Calc!$G$3:$G$22&gt;A2580)*(Calc!$G$3:$G$22-A2580)*(Calc!$G$3:$G$22&gt;B2580)*(Calc!$G$3:$G$22-B2580))</f>
        <v/>
      </c>
      <c r="L2580">
        <f>SUMPRODUCT(Calc!$K$3:$K$22*(Calc!$G$3:$G$22&gt;A2580)*(Calc!$G$3:$G$22-A2580)*Calc!$G$3:$G$22)</f>
        <v/>
      </c>
      <c r="M2580">
        <f>SUMPRODUCT(Calc!$K$3:$K$22*(Calc!$G$3:$G$22&gt;B2580)*(Calc!$G$3:$G$22-B2580)*Calc!$G$3:$G$22)</f>
        <v/>
      </c>
      <c r="N2580">
        <f>SUMPRODUCT(Calc!$K$3:$K$22*(Calc!$G$3:$G$22&gt;A2580)*(Calc!$G$3:$G$22-A2580)*Calc!$I$3:$I$22)</f>
        <v/>
      </c>
      <c r="O2580">
        <f>SUMPRODUCT(Calc!$K$3:$K$22*(Calc!$G$3:$G$22&gt;B2580)*(Calc!$G$3:$G$22-B2580)*Calc!$I$3:$I$22)</f>
        <v/>
      </c>
      <c r="P2580">
        <f>I2580-G2580^2/k_n</f>
        <v/>
      </c>
      <c r="Q2580">
        <f>J2580-H2580^2/k_n</f>
        <v/>
      </c>
      <c r="R2580">
        <f>K2580-G2580*H2580/k_n</f>
        <v/>
      </c>
      <c r="S2580">
        <f>L2580-LTP3!$D$3*G2580/k_n</f>
        <v/>
      </c>
      <c r="T2580">
        <f>M2580-LTP3!$D$3*H2580/k_n</f>
        <v/>
      </c>
      <c r="U2580">
        <f>N2580-G2580*LTP3!$D$4/k_n</f>
        <v/>
      </c>
      <c r="V2580">
        <f>O2580-H2580*LTP3!$D$4/k_n</f>
        <v/>
      </c>
      <c r="W2580">
        <f>((LTP3!$D$5)*((P2580)*(Q2580)-(R2580)*(R2580))-(S2580)*((S2580)*(Q2580)-(R2580)*(T2580))+(T2580)*((S2580)*(R2580)-(P2580)*(T2580)))</f>
        <v/>
      </c>
      <c r="X2580">
        <f>IF(ABS(W2580)&gt;1E-12,((LTP3!$D$6)*((P2580)*(Q2580)-(R2580)*(R2580))-(S2580)*((U2580)*(Q2580)-(R2580)*(V2580))+(T2580)*((U2580)*(R2580)-(P2580)*(V2580)))/W2580,0)</f>
        <v/>
      </c>
      <c r="Y2580">
        <f>IF(ABS(W2580)&gt;1E-12,((LTP3!$D$5)*((U2580)*(Q2580)-(R2580)*(V2580))-(LTP3!$D$6)*((S2580)*(Q2580)-(R2580)*(T2580))+(T2580)*((S2580)*(V2580)-(U2580)*(T2580)))/W2580,0)</f>
        <v/>
      </c>
      <c r="Z2580">
        <f>IF(ABS(W2580)&gt;1E-12,((LTP3!$D$5)*((P2580)*(V2580)-(U2580)*(R2580))-(S2580)*((S2580)*(V2580)-(U2580)*(T2580))+(LTP3!$D$6)*((S2580)*(R2580)-(P2580)*(T2580)))/W2580,0)</f>
        <v/>
      </c>
      <c r="AA2580">
        <f>LTP3!$D$7-X2580*LTP3!$D$6-Y2580*U2580-Z2580*V2580</f>
        <v/>
      </c>
      <c r="AB2580">
        <f>IF(AND(F2580,ABS(W2580)&gt;1E-12,Y2580&gt;0,Z2580&gt;0),AA2580,1E+300)</f>
        <v/>
      </c>
    </row>
    <row r="2581">
      <c r="A2581">
        <f>$B$3+$B$5*42</f>
        <v/>
      </c>
      <c r="B2581">
        <f>$B$3+$B$5*7</f>
        <v/>
      </c>
      <c r="C2581">
        <f>SUMPRODUCT(Calc!$K$3:$K$22*(Calc!$G$3:$G$22&lt;=A2581))</f>
        <v/>
      </c>
      <c r="D2581">
        <f>SUMPRODUCT(Calc!$K$3:$K$22*(Calc!$G$3:$G$22&gt;A2581)*(Calc!$G$3:$G$22&lt;B2581))</f>
        <v/>
      </c>
      <c r="E2581">
        <f>SUMPRODUCT(Calc!$K$3:$K$22*(Calc!$G$3:$G$22&gt;=B2581))</f>
        <v/>
      </c>
      <c r="F2581">
        <f>AND(k_n&gt;=5,B2581&gt;A2581+1E-9,C2581&gt;=2,D2581&gt;=1,E2581&gt;=2)</f>
        <v/>
      </c>
      <c r="G2581">
        <f>SUMPRODUCT(Calc!$K$3:$K$22*(Calc!$G$3:$G$22&gt;A2581)*(Calc!$G$3:$G$22-A2581))</f>
        <v/>
      </c>
      <c r="H2581">
        <f>SUMPRODUCT(Calc!$K$3:$K$22*(Calc!$G$3:$G$22&gt;B2581)*(Calc!$G$3:$G$22-B2581))</f>
        <v/>
      </c>
      <c r="I2581">
        <f>SUMPRODUCT(Calc!$K$3:$K$22*(Calc!$G$3:$G$22&gt;A2581)*(Calc!$G$3:$G$22-A2581)^2)</f>
        <v/>
      </c>
      <c r="J2581">
        <f>SUMPRODUCT(Calc!$K$3:$K$22*(Calc!$G$3:$G$22&gt;B2581)*(Calc!$G$3:$G$22-B2581)^2)</f>
        <v/>
      </c>
      <c r="K2581">
        <f>SUMPRODUCT(Calc!$K$3:$K$22*(Calc!$G$3:$G$22&gt;A2581)*(Calc!$G$3:$G$22-A2581)*(Calc!$G$3:$G$22&gt;B2581)*(Calc!$G$3:$G$22-B2581))</f>
        <v/>
      </c>
      <c r="L2581">
        <f>SUMPRODUCT(Calc!$K$3:$K$22*(Calc!$G$3:$G$22&gt;A2581)*(Calc!$G$3:$G$22-A2581)*Calc!$G$3:$G$22)</f>
        <v/>
      </c>
      <c r="M2581">
        <f>SUMPRODUCT(Calc!$K$3:$K$22*(Calc!$G$3:$G$22&gt;B2581)*(Calc!$G$3:$G$22-B2581)*Calc!$G$3:$G$22)</f>
        <v/>
      </c>
      <c r="N2581">
        <f>SUMPRODUCT(Calc!$K$3:$K$22*(Calc!$G$3:$G$22&gt;A2581)*(Calc!$G$3:$G$22-A2581)*Calc!$I$3:$I$22)</f>
        <v/>
      </c>
      <c r="O2581">
        <f>SUMPRODUCT(Calc!$K$3:$K$22*(Calc!$G$3:$G$22&gt;B2581)*(Calc!$G$3:$G$22-B2581)*Calc!$I$3:$I$22)</f>
        <v/>
      </c>
      <c r="P2581">
        <f>I2581-G2581^2/k_n</f>
        <v/>
      </c>
      <c r="Q2581">
        <f>J2581-H2581^2/k_n</f>
        <v/>
      </c>
      <c r="R2581">
        <f>K2581-G2581*H2581/k_n</f>
        <v/>
      </c>
      <c r="S2581">
        <f>L2581-LTP3!$D$3*G2581/k_n</f>
        <v/>
      </c>
      <c r="T2581">
        <f>M2581-LTP3!$D$3*H2581/k_n</f>
        <v/>
      </c>
      <c r="U2581">
        <f>N2581-G2581*LTP3!$D$4/k_n</f>
        <v/>
      </c>
      <c r="V2581">
        <f>O2581-H2581*LTP3!$D$4/k_n</f>
        <v/>
      </c>
      <c r="W2581">
        <f>((LTP3!$D$5)*((P2581)*(Q2581)-(R2581)*(R2581))-(S2581)*((S2581)*(Q2581)-(R2581)*(T2581))+(T2581)*((S2581)*(R2581)-(P2581)*(T2581)))</f>
        <v/>
      </c>
      <c r="X2581">
        <f>IF(ABS(W2581)&gt;1E-12,((LTP3!$D$6)*((P2581)*(Q2581)-(R2581)*(R2581))-(S2581)*((U2581)*(Q2581)-(R2581)*(V2581))+(T2581)*((U2581)*(R2581)-(P2581)*(V2581)))/W2581,0)</f>
        <v/>
      </c>
      <c r="Y2581">
        <f>IF(ABS(W2581)&gt;1E-12,((LTP3!$D$5)*((U2581)*(Q2581)-(R2581)*(V2581))-(LTP3!$D$6)*((S2581)*(Q2581)-(R2581)*(T2581))+(T2581)*((S2581)*(V2581)-(U2581)*(T2581)))/W2581,0)</f>
        <v/>
      </c>
      <c r="Z2581">
        <f>IF(ABS(W2581)&gt;1E-12,((LTP3!$D$5)*((P2581)*(V2581)-(U2581)*(R2581))-(S2581)*((S2581)*(V2581)-(U2581)*(T2581))+(LTP3!$D$6)*((S2581)*(R2581)-(P2581)*(T2581)))/W2581,0)</f>
        <v/>
      </c>
      <c r="AA2581">
        <f>LTP3!$D$7-X2581*LTP3!$D$6-Y2581*U2581-Z2581*V2581</f>
        <v/>
      </c>
      <c r="AB2581">
        <f>IF(AND(F2581,ABS(W2581)&gt;1E-12,Y2581&gt;0,Z2581&gt;0),AA2581,1E+300)</f>
        <v/>
      </c>
    </row>
    <row r="2582">
      <c r="A2582">
        <f>$B$3+$B$5*42</f>
        <v/>
      </c>
      <c r="B2582">
        <f>$B$3+$B$5*8</f>
        <v/>
      </c>
      <c r="C2582">
        <f>SUMPRODUCT(Calc!$K$3:$K$22*(Calc!$G$3:$G$22&lt;=A2582))</f>
        <v/>
      </c>
      <c r="D2582">
        <f>SUMPRODUCT(Calc!$K$3:$K$22*(Calc!$G$3:$G$22&gt;A2582)*(Calc!$G$3:$G$22&lt;B2582))</f>
        <v/>
      </c>
      <c r="E2582">
        <f>SUMPRODUCT(Calc!$K$3:$K$22*(Calc!$G$3:$G$22&gt;=B2582))</f>
        <v/>
      </c>
      <c r="F2582">
        <f>AND(k_n&gt;=5,B2582&gt;A2582+1E-9,C2582&gt;=2,D2582&gt;=1,E2582&gt;=2)</f>
        <v/>
      </c>
      <c r="G2582">
        <f>SUMPRODUCT(Calc!$K$3:$K$22*(Calc!$G$3:$G$22&gt;A2582)*(Calc!$G$3:$G$22-A2582))</f>
        <v/>
      </c>
      <c r="H2582">
        <f>SUMPRODUCT(Calc!$K$3:$K$22*(Calc!$G$3:$G$22&gt;B2582)*(Calc!$G$3:$G$22-B2582))</f>
        <v/>
      </c>
      <c r="I2582">
        <f>SUMPRODUCT(Calc!$K$3:$K$22*(Calc!$G$3:$G$22&gt;A2582)*(Calc!$G$3:$G$22-A2582)^2)</f>
        <v/>
      </c>
      <c r="J2582">
        <f>SUMPRODUCT(Calc!$K$3:$K$22*(Calc!$G$3:$G$22&gt;B2582)*(Calc!$G$3:$G$22-B2582)^2)</f>
        <v/>
      </c>
      <c r="K2582">
        <f>SUMPRODUCT(Calc!$K$3:$K$22*(Calc!$G$3:$G$22&gt;A2582)*(Calc!$G$3:$G$22-A2582)*(Calc!$G$3:$G$22&gt;B2582)*(Calc!$G$3:$G$22-B2582))</f>
        <v/>
      </c>
      <c r="L2582">
        <f>SUMPRODUCT(Calc!$K$3:$K$22*(Calc!$G$3:$G$22&gt;A2582)*(Calc!$G$3:$G$22-A2582)*Calc!$G$3:$G$22)</f>
        <v/>
      </c>
      <c r="M2582">
        <f>SUMPRODUCT(Calc!$K$3:$K$22*(Calc!$G$3:$G$22&gt;B2582)*(Calc!$G$3:$G$22-B2582)*Calc!$G$3:$G$22)</f>
        <v/>
      </c>
      <c r="N2582">
        <f>SUMPRODUCT(Calc!$K$3:$K$22*(Calc!$G$3:$G$22&gt;A2582)*(Calc!$G$3:$G$22-A2582)*Calc!$I$3:$I$22)</f>
        <v/>
      </c>
      <c r="O2582">
        <f>SUMPRODUCT(Calc!$K$3:$K$22*(Calc!$G$3:$G$22&gt;B2582)*(Calc!$G$3:$G$22-B2582)*Calc!$I$3:$I$22)</f>
        <v/>
      </c>
      <c r="P2582">
        <f>I2582-G2582^2/k_n</f>
        <v/>
      </c>
      <c r="Q2582">
        <f>J2582-H2582^2/k_n</f>
        <v/>
      </c>
      <c r="R2582">
        <f>K2582-G2582*H2582/k_n</f>
        <v/>
      </c>
      <c r="S2582">
        <f>L2582-LTP3!$D$3*G2582/k_n</f>
        <v/>
      </c>
      <c r="T2582">
        <f>M2582-LTP3!$D$3*H2582/k_n</f>
        <v/>
      </c>
      <c r="U2582">
        <f>N2582-G2582*LTP3!$D$4/k_n</f>
        <v/>
      </c>
      <c r="V2582">
        <f>O2582-H2582*LTP3!$D$4/k_n</f>
        <v/>
      </c>
      <c r="W2582">
        <f>((LTP3!$D$5)*((P2582)*(Q2582)-(R2582)*(R2582))-(S2582)*((S2582)*(Q2582)-(R2582)*(T2582))+(T2582)*((S2582)*(R2582)-(P2582)*(T2582)))</f>
        <v/>
      </c>
      <c r="X2582">
        <f>IF(ABS(W2582)&gt;1E-12,((LTP3!$D$6)*((P2582)*(Q2582)-(R2582)*(R2582))-(S2582)*((U2582)*(Q2582)-(R2582)*(V2582))+(T2582)*((U2582)*(R2582)-(P2582)*(V2582)))/W2582,0)</f>
        <v/>
      </c>
      <c r="Y2582">
        <f>IF(ABS(W2582)&gt;1E-12,((LTP3!$D$5)*((U2582)*(Q2582)-(R2582)*(V2582))-(LTP3!$D$6)*((S2582)*(Q2582)-(R2582)*(T2582))+(T2582)*((S2582)*(V2582)-(U2582)*(T2582)))/W2582,0)</f>
        <v/>
      </c>
      <c r="Z2582">
        <f>IF(ABS(W2582)&gt;1E-12,((LTP3!$D$5)*((P2582)*(V2582)-(U2582)*(R2582))-(S2582)*((S2582)*(V2582)-(U2582)*(T2582))+(LTP3!$D$6)*((S2582)*(R2582)-(P2582)*(T2582)))/W2582,0)</f>
        <v/>
      </c>
      <c r="AA2582">
        <f>LTP3!$D$7-X2582*LTP3!$D$6-Y2582*U2582-Z2582*V2582</f>
        <v/>
      </c>
      <c r="AB2582">
        <f>IF(AND(F2582,ABS(W2582)&gt;1E-12,Y2582&gt;0,Z2582&gt;0),AA2582,1E+300)</f>
        <v/>
      </c>
    </row>
    <row r="2583">
      <c r="A2583">
        <f>$B$3+$B$5*42</f>
        <v/>
      </c>
      <c r="B2583">
        <f>$B$3+$B$5*9</f>
        <v/>
      </c>
      <c r="C2583">
        <f>SUMPRODUCT(Calc!$K$3:$K$22*(Calc!$G$3:$G$22&lt;=A2583))</f>
        <v/>
      </c>
      <c r="D2583">
        <f>SUMPRODUCT(Calc!$K$3:$K$22*(Calc!$G$3:$G$22&gt;A2583)*(Calc!$G$3:$G$22&lt;B2583))</f>
        <v/>
      </c>
      <c r="E2583">
        <f>SUMPRODUCT(Calc!$K$3:$K$22*(Calc!$G$3:$G$22&gt;=B2583))</f>
        <v/>
      </c>
      <c r="F2583">
        <f>AND(k_n&gt;=5,B2583&gt;A2583+1E-9,C2583&gt;=2,D2583&gt;=1,E2583&gt;=2)</f>
        <v/>
      </c>
      <c r="G2583">
        <f>SUMPRODUCT(Calc!$K$3:$K$22*(Calc!$G$3:$G$22&gt;A2583)*(Calc!$G$3:$G$22-A2583))</f>
        <v/>
      </c>
      <c r="H2583">
        <f>SUMPRODUCT(Calc!$K$3:$K$22*(Calc!$G$3:$G$22&gt;B2583)*(Calc!$G$3:$G$22-B2583))</f>
        <v/>
      </c>
      <c r="I2583">
        <f>SUMPRODUCT(Calc!$K$3:$K$22*(Calc!$G$3:$G$22&gt;A2583)*(Calc!$G$3:$G$22-A2583)^2)</f>
        <v/>
      </c>
      <c r="J2583">
        <f>SUMPRODUCT(Calc!$K$3:$K$22*(Calc!$G$3:$G$22&gt;B2583)*(Calc!$G$3:$G$22-B2583)^2)</f>
        <v/>
      </c>
      <c r="K2583">
        <f>SUMPRODUCT(Calc!$K$3:$K$22*(Calc!$G$3:$G$22&gt;A2583)*(Calc!$G$3:$G$22-A2583)*(Calc!$G$3:$G$22&gt;B2583)*(Calc!$G$3:$G$22-B2583))</f>
        <v/>
      </c>
      <c r="L2583">
        <f>SUMPRODUCT(Calc!$K$3:$K$22*(Calc!$G$3:$G$22&gt;A2583)*(Calc!$G$3:$G$22-A2583)*Calc!$G$3:$G$22)</f>
        <v/>
      </c>
      <c r="M2583">
        <f>SUMPRODUCT(Calc!$K$3:$K$22*(Calc!$G$3:$G$22&gt;B2583)*(Calc!$G$3:$G$22-B2583)*Calc!$G$3:$G$22)</f>
        <v/>
      </c>
      <c r="N2583">
        <f>SUMPRODUCT(Calc!$K$3:$K$22*(Calc!$G$3:$G$22&gt;A2583)*(Calc!$G$3:$G$22-A2583)*Calc!$I$3:$I$22)</f>
        <v/>
      </c>
      <c r="O2583">
        <f>SUMPRODUCT(Calc!$K$3:$K$22*(Calc!$G$3:$G$22&gt;B2583)*(Calc!$G$3:$G$22-B2583)*Calc!$I$3:$I$22)</f>
        <v/>
      </c>
      <c r="P2583">
        <f>I2583-G2583^2/k_n</f>
        <v/>
      </c>
      <c r="Q2583">
        <f>J2583-H2583^2/k_n</f>
        <v/>
      </c>
      <c r="R2583">
        <f>K2583-G2583*H2583/k_n</f>
        <v/>
      </c>
      <c r="S2583">
        <f>L2583-LTP3!$D$3*G2583/k_n</f>
        <v/>
      </c>
      <c r="T2583">
        <f>M2583-LTP3!$D$3*H2583/k_n</f>
        <v/>
      </c>
      <c r="U2583">
        <f>N2583-G2583*LTP3!$D$4/k_n</f>
        <v/>
      </c>
      <c r="V2583">
        <f>O2583-H2583*LTP3!$D$4/k_n</f>
        <v/>
      </c>
      <c r="W2583">
        <f>((LTP3!$D$5)*((P2583)*(Q2583)-(R2583)*(R2583))-(S2583)*((S2583)*(Q2583)-(R2583)*(T2583))+(T2583)*((S2583)*(R2583)-(P2583)*(T2583)))</f>
        <v/>
      </c>
      <c r="X2583">
        <f>IF(ABS(W2583)&gt;1E-12,((LTP3!$D$6)*((P2583)*(Q2583)-(R2583)*(R2583))-(S2583)*((U2583)*(Q2583)-(R2583)*(V2583))+(T2583)*((U2583)*(R2583)-(P2583)*(V2583)))/W2583,0)</f>
        <v/>
      </c>
      <c r="Y2583">
        <f>IF(ABS(W2583)&gt;1E-12,((LTP3!$D$5)*((U2583)*(Q2583)-(R2583)*(V2583))-(LTP3!$D$6)*((S2583)*(Q2583)-(R2583)*(T2583))+(T2583)*((S2583)*(V2583)-(U2583)*(T2583)))/W2583,0)</f>
        <v/>
      </c>
      <c r="Z2583">
        <f>IF(ABS(W2583)&gt;1E-12,((LTP3!$D$5)*((P2583)*(V2583)-(U2583)*(R2583))-(S2583)*((S2583)*(V2583)-(U2583)*(T2583))+(LTP3!$D$6)*((S2583)*(R2583)-(P2583)*(T2583)))/W2583,0)</f>
        <v/>
      </c>
      <c r="AA2583">
        <f>LTP3!$D$7-X2583*LTP3!$D$6-Y2583*U2583-Z2583*V2583</f>
        <v/>
      </c>
      <c r="AB2583">
        <f>IF(AND(F2583,ABS(W2583)&gt;1E-12,Y2583&gt;0,Z2583&gt;0),AA2583,1E+300)</f>
        <v/>
      </c>
    </row>
    <row r="2584">
      <c r="A2584">
        <f>$B$3+$B$5*42</f>
        <v/>
      </c>
      <c r="B2584">
        <f>$B$3+$B$5*10</f>
        <v/>
      </c>
      <c r="C2584">
        <f>SUMPRODUCT(Calc!$K$3:$K$22*(Calc!$G$3:$G$22&lt;=A2584))</f>
        <v/>
      </c>
      <c r="D2584">
        <f>SUMPRODUCT(Calc!$K$3:$K$22*(Calc!$G$3:$G$22&gt;A2584)*(Calc!$G$3:$G$22&lt;B2584))</f>
        <v/>
      </c>
      <c r="E2584">
        <f>SUMPRODUCT(Calc!$K$3:$K$22*(Calc!$G$3:$G$22&gt;=B2584))</f>
        <v/>
      </c>
      <c r="F2584">
        <f>AND(k_n&gt;=5,B2584&gt;A2584+1E-9,C2584&gt;=2,D2584&gt;=1,E2584&gt;=2)</f>
        <v/>
      </c>
      <c r="G2584">
        <f>SUMPRODUCT(Calc!$K$3:$K$22*(Calc!$G$3:$G$22&gt;A2584)*(Calc!$G$3:$G$22-A2584))</f>
        <v/>
      </c>
      <c r="H2584">
        <f>SUMPRODUCT(Calc!$K$3:$K$22*(Calc!$G$3:$G$22&gt;B2584)*(Calc!$G$3:$G$22-B2584))</f>
        <v/>
      </c>
      <c r="I2584">
        <f>SUMPRODUCT(Calc!$K$3:$K$22*(Calc!$G$3:$G$22&gt;A2584)*(Calc!$G$3:$G$22-A2584)^2)</f>
        <v/>
      </c>
      <c r="J2584">
        <f>SUMPRODUCT(Calc!$K$3:$K$22*(Calc!$G$3:$G$22&gt;B2584)*(Calc!$G$3:$G$22-B2584)^2)</f>
        <v/>
      </c>
      <c r="K2584">
        <f>SUMPRODUCT(Calc!$K$3:$K$22*(Calc!$G$3:$G$22&gt;A2584)*(Calc!$G$3:$G$22-A2584)*(Calc!$G$3:$G$22&gt;B2584)*(Calc!$G$3:$G$22-B2584))</f>
        <v/>
      </c>
      <c r="L2584">
        <f>SUMPRODUCT(Calc!$K$3:$K$22*(Calc!$G$3:$G$22&gt;A2584)*(Calc!$G$3:$G$22-A2584)*Calc!$G$3:$G$22)</f>
        <v/>
      </c>
      <c r="M2584">
        <f>SUMPRODUCT(Calc!$K$3:$K$22*(Calc!$G$3:$G$22&gt;B2584)*(Calc!$G$3:$G$22-B2584)*Calc!$G$3:$G$22)</f>
        <v/>
      </c>
      <c r="N2584">
        <f>SUMPRODUCT(Calc!$K$3:$K$22*(Calc!$G$3:$G$22&gt;A2584)*(Calc!$G$3:$G$22-A2584)*Calc!$I$3:$I$22)</f>
        <v/>
      </c>
      <c r="O2584">
        <f>SUMPRODUCT(Calc!$K$3:$K$22*(Calc!$G$3:$G$22&gt;B2584)*(Calc!$G$3:$G$22-B2584)*Calc!$I$3:$I$22)</f>
        <v/>
      </c>
      <c r="P2584">
        <f>I2584-G2584^2/k_n</f>
        <v/>
      </c>
      <c r="Q2584">
        <f>J2584-H2584^2/k_n</f>
        <v/>
      </c>
      <c r="R2584">
        <f>K2584-G2584*H2584/k_n</f>
        <v/>
      </c>
      <c r="S2584">
        <f>L2584-LTP3!$D$3*G2584/k_n</f>
        <v/>
      </c>
      <c r="T2584">
        <f>M2584-LTP3!$D$3*H2584/k_n</f>
        <v/>
      </c>
      <c r="U2584">
        <f>N2584-G2584*LTP3!$D$4/k_n</f>
        <v/>
      </c>
      <c r="V2584">
        <f>O2584-H2584*LTP3!$D$4/k_n</f>
        <v/>
      </c>
      <c r="W2584">
        <f>((LTP3!$D$5)*((P2584)*(Q2584)-(R2584)*(R2584))-(S2584)*((S2584)*(Q2584)-(R2584)*(T2584))+(T2584)*((S2584)*(R2584)-(P2584)*(T2584)))</f>
        <v/>
      </c>
      <c r="X2584">
        <f>IF(ABS(W2584)&gt;1E-12,((LTP3!$D$6)*((P2584)*(Q2584)-(R2584)*(R2584))-(S2584)*((U2584)*(Q2584)-(R2584)*(V2584))+(T2584)*((U2584)*(R2584)-(P2584)*(V2584)))/W2584,0)</f>
        <v/>
      </c>
      <c r="Y2584">
        <f>IF(ABS(W2584)&gt;1E-12,((LTP3!$D$5)*((U2584)*(Q2584)-(R2584)*(V2584))-(LTP3!$D$6)*((S2584)*(Q2584)-(R2584)*(T2584))+(T2584)*((S2584)*(V2584)-(U2584)*(T2584)))/W2584,0)</f>
        <v/>
      </c>
      <c r="Z2584">
        <f>IF(ABS(W2584)&gt;1E-12,((LTP3!$D$5)*((P2584)*(V2584)-(U2584)*(R2584))-(S2584)*((S2584)*(V2584)-(U2584)*(T2584))+(LTP3!$D$6)*((S2584)*(R2584)-(P2584)*(T2584)))/W2584,0)</f>
        <v/>
      </c>
      <c r="AA2584">
        <f>LTP3!$D$7-X2584*LTP3!$D$6-Y2584*U2584-Z2584*V2584</f>
        <v/>
      </c>
      <c r="AB2584">
        <f>IF(AND(F2584,ABS(W2584)&gt;1E-12,Y2584&gt;0,Z2584&gt;0),AA2584,1E+300)</f>
        <v/>
      </c>
    </row>
    <row r="2585">
      <c r="A2585">
        <f>$B$3+$B$5*42</f>
        <v/>
      </c>
      <c r="B2585">
        <f>$B$3+$B$5*11</f>
        <v/>
      </c>
      <c r="C2585">
        <f>SUMPRODUCT(Calc!$K$3:$K$22*(Calc!$G$3:$G$22&lt;=A2585))</f>
        <v/>
      </c>
      <c r="D2585">
        <f>SUMPRODUCT(Calc!$K$3:$K$22*(Calc!$G$3:$G$22&gt;A2585)*(Calc!$G$3:$G$22&lt;B2585))</f>
        <v/>
      </c>
      <c r="E2585">
        <f>SUMPRODUCT(Calc!$K$3:$K$22*(Calc!$G$3:$G$22&gt;=B2585))</f>
        <v/>
      </c>
      <c r="F2585">
        <f>AND(k_n&gt;=5,B2585&gt;A2585+1E-9,C2585&gt;=2,D2585&gt;=1,E2585&gt;=2)</f>
        <v/>
      </c>
      <c r="G2585">
        <f>SUMPRODUCT(Calc!$K$3:$K$22*(Calc!$G$3:$G$22&gt;A2585)*(Calc!$G$3:$G$22-A2585))</f>
        <v/>
      </c>
      <c r="H2585">
        <f>SUMPRODUCT(Calc!$K$3:$K$22*(Calc!$G$3:$G$22&gt;B2585)*(Calc!$G$3:$G$22-B2585))</f>
        <v/>
      </c>
      <c r="I2585">
        <f>SUMPRODUCT(Calc!$K$3:$K$22*(Calc!$G$3:$G$22&gt;A2585)*(Calc!$G$3:$G$22-A2585)^2)</f>
        <v/>
      </c>
      <c r="J2585">
        <f>SUMPRODUCT(Calc!$K$3:$K$22*(Calc!$G$3:$G$22&gt;B2585)*(Calc!$G$3:$G$22-B2585)^2)</f>
        <v/>
      </c>
      <c r="K2585">
        <f>SUMPRODUCT(Calc!$K$3:$K$22*(Calc!$G$3:$G$22&gt;A2585)*(Calc!$G$3:$G$22-A2585)*(Calc!$G$3:$G$22&gt;B2585)*(Calc!$G$3:$G$22-B2585))</f>
        <v/>
      </c>
      <c r="L2585">
        <f>SUMPRODUCT(Calc!$K$3:$K$22*(Calc!$G$3:$G$22&gt;A2585)*(Calc!$G$3:$G$22-A2585)*Calc!$G$3:$G$22)</f>
        <v/>
      </c>
      <c r="M2585">
        <f>SUMPRODUCT(Calc!$K$3:$K$22*(Calc!$G$3:$G$22&gt;B2585)*(Calc!$G$3:$G$22-B2585)*Calc!$G$3:$G$22)</f>
        <v/>
      </c>
      <c r="N2585">
        <f>SUMPRODUCT(Calc!$K$3:$K$22*(Calc!$G$3:$G$22&gt;A2585)*(Calc!$G$3:$G$22-A2585)*Calc!$I$3:$I$22)</f>
        <v/>
      </c>
      <c r="O2585">
        <f>SUMPRODUCT(Calc!$K$3:$K$22*(Calc!$G$3:$G$22&gt;B2585)*(Calc!$G$3:$G$22-B2585)*Calc!$I$3:$I$22)</f>
        <v/>
      </c>
      <c r="P2585">
        <f>I2585-G2585^2/k_n</f>
        <v/>
      </c>
      <c r="Q2585">
        <f>J2585-H2585^2/k_n</f>
        <v/>
      </c>
      <c r="R2585">
        <f>K2585-G2585*H2585/k_n</f>
        <v/>
      </c>
      <c r="S2585">
        <f>L2585-LTP3!$D$3*G2585/k_n</f>
        <v/>
      </c>
      <c r="T2585">
        <f>M2585-LTP3!$D$3*H2585/k_n</f>
        <v/>
      </c>
      <c r="U2585">
        <f>N2585-G2585*LTP3!$D$4/k_n</f>
        <v/>
      </c>
      <c r="V2585">
        <f>O2585-H2585*LTP3!$D$4/k_n</f>
        <v/>
      </c>
      <c r="W2585">
        <f>((LTP3!$D$5)*((P2585)*(Q2585)-(R2585)*(R2585))-(S2585)*((S2585)*(Q2585)-(R2585)*(T2585))+(T2585)*((S2585)*(R2585)-(P2585)*(T2585)))</f>
        <v/>
      </c>
      <c r="X2585">
        <f>IF(ABS(W2585)&gt;1E-12,((LTP3!$D$6)*((P2585)*(Q2585)-(R2585)*(R2585))-(S2585)*((U2585)*(Q2585)-(R2585)*(V2585))+(T2585)*((U2585)*(R2585)-(P2585)*(V2585)))/W2585,0)</f>
        <v/>
      </c>
      <c r="Y2585">
        <f>IF(ABS(W2585)&gt;1E-12,((LTP3!$D$5)*((U2585)*(Q2585)-(R2585)*(V2585))-(LTP3!$D$6)*((S2585)*(Q2585)-(R2585)*(T2585))+(T2585)*((S2585)*(V2585)-(U2585)*(T2585)))/W2585,0)</f>
        <v/>
      </c>
      <c r="Z2585">
        <f>IF(ABS(W2585)&gt;1E-12,((LTP3!$D$5)*((P2585)*(V2585)-(U2585)*(R2585))-(S2585)*((S2585)*(V2585)-(U2585)*(T2585))+(LTP3!$D$6)*((S2585)*(R2585)-(P2585)*(T2585)))/W2585,0)</f>
        <v/>
      </c>
      <c r="AA2585">
        <f>LTP3!$D$7-X2585*LTP3!$D$6-Y2585*U2585-Z2585*V2585</f>
        <v/>
      </c>
      <c r="AB2585">
        <f>IF(AND(F2585,ABS(W2585)&gt;1E-12,Y2585&gt;0,Z2585&gt;0),AA2585,1E+300)</f>
        <v/>
      </c>
    </row>
    <row r="2586">
      <c r="A2586">
        <f>$B$3+$B$5*42</f>
        <v/>
      </c>
      <c r="B2586">
        <f>$B$3+$B$5*12</f>
        <v/>
      </c>
      <c r="C2586">
        <f>SUMPRODUCT(Calc!$K$3:$K$22*(Calc!$G$3:$G$22&lt;=A2586))</f>
        <v/>
      </c>
      <c r="D2586">
        <f>SUMPRODUCT(Calc!$K$3:$K$22*(Calc!$G$3:$G$22&gt;A2586)*(Calc!$G$3:$G$22&lt;B2586))</f>
        <v/>
      </c>
      <c r="E2586">
        <f>SUMPRODUCT(Calc!$K$3:$K$22*(Calc!$G$3:$G$22&gt;=B2586))</f>
        <v/>
      </c>
      <c r="F2586">
        <f>AND(k_n&gt;=5,B2586&gt;A2586+1E-9,C2586&gt;=2,D2586&gt;=1,E2586&gt;=2)</f>
        <v/>
      </c>
      <c r="G2586">
        <f>SUMPRODUCT(Calc!$K$3:$K$22*(Calc!$G$3:$G$22&gt;A2586)*(Calc!$G$3:$G$22-A2586))</f>
        <v/>
      </c>
      <c r="H2586">
        <f>SUMPRODUCT(Calc!$K$3:$K$22*(Calc!$G$3:$G$22&gt;B2586)*(Calc!$G$3:$G$22-B2586))</f>
        <v/>
      </c>
      <c r="I2586">
        <f>SUMPRODUCT(Calc!$K$3:$K$22*(Calc!$G$3:$G$22&gt;A2586)*(Calc!$G$3:$G$22-A2586)^2)</f>
        <v/>
      </c>
      <c r="J2586">
        <f>SUMPRODUCT(Calc!$K$3:$K$22*(Calc!$G$3:$G$22&gt;B2586)*(Calc!$G$3:$G$22-B2586)^2)</f>
        <v/>
      </c>
      <c r="K2586">
        <f>SUMPRODUCT(Calc!$K$3:$K$22*(Calc!$G$3:$G$22&gt;A2586)*(Calc!$G$3:$G$22-A2586)*(Calc!$G$3:$G$22&gt;B2586)*(Calc!$G$3:$G$22-B2586))</f>
        <v/>
      </c>
      <c r="L2586">
        <f>SUMPRODUCT(Calc!$K$3:$K$22*(Calc!$G$3:$G$22&gt;A2586)*(Calc!$G$3:$G$22-A2586)*Calc!$G$3:$G$22)</f>
        <v/>
      </c>
      <c r="M2586">
        <f>SUMPRODUCT(Calc!$K$3:$K$22*(Calc!$G$3:$G$22&gt;B2586)*(Calc!$G$3:$G$22-B2586)*Calc!$G$3:$G$22)</f>
        <v/>
      </c>
      <c r="N2586">
        <f>SUMPRODUCT(Calc!$K$3:$K$22*(Calc!$G$3:$G$22&gt;A2586)*(Calc!$G$3:$G$22-A2586)*Calc!$I$3:$I$22)</f>
        <v/>
      </c>
      <c r="O2586">
        <f>SUMPRODUCT(Calc!$K$3:$K$22*(Calc!$G$3:$G$22&gt;B2586)*(Calc!$G$3:$G$22-B2586)*Calc!$I$3:$I$22)</f>
        <v/>
      </c>
      <c r="P2586">
        <f>I2586-G2586^2/k_n</f>
        <v/>
      </c>
      <c r="Q2586">
        <f>J2586-H2586^2/k_n</f>
        <v/>
      </c>
      <c r="R2586">
        <f>K2586-G2586*H2586/k_n</f>
        <v/>
      </c>
      <c r="S2586">
        <f>L2586-LTP3!$D$3*G2586/k_n</f>
        <v/>
      </c>
      <c r="T2586">
        <f>M2586-LTP3!$D$3*H2586/k_n</f>
        <v/>
      </c>
      <c r="U2586">
        <f>N2586-G2586*LTP3!$D$4/k_n</f>
        <v/>
      </c>
      <c r="V2586">
        <f>O2586-H2586*LTP3!$D$4/k_n</f>
        <v/>
      </c>
      <c r="W2586">
        <f>((LTP3!$D$5)*((P2586)*(Q2586)-(R2586)*(R2586))-(S2586)*((S2586)*(Q2586)-(R2586)*(T2586))+(T2586)*((S2586)*(R2586)-(P2586)*(T2586)))</f>
        <v/>
      </c>
      <c r="X2586">
        <f>IF(ABS(W2586)&gt;1E-12,((LTP3!$D$6)*((P2586)*(Q2586)-(R2586)*(R2586))-(S2586)*((U2586)*(Q2586)-(R2586)*(V2586))+(T2586)*((U2586)*(R2586)-(P2586)*(V2586)))/W2586,0)</f>
        <v/>
      </c>
      <c r="Y2586">
        <f>IF(ABS(W2586)&gt;1E-12,((LTP3!$D$5)*((U2586)*(Q2586)-(R2586)*(V2586))-(LTP3!$D$6)*((S2586)*(Q2586)-(R2586)*(T2586))+(T2586)*((S2586)*(V2586)-(U2586)*(T2586)))/W2586,0)</f>
        <v/>
      </c>
      <c r="Z2586">
        <f>IF(ABS(W2586)&gt;1E-12,((LTP3!$D$5)*((P2586)*(V2586)-(U2586)*(R2586))-(S2586)*((S2586)*(V2586)-(U2586)*(T2586))+(LTP3!$D$6)*((S2586)*(R2586)-(P2586)*(T2586)))/W2586,0)</f>
        <v/>
      </c>
      <c r="AA2586">
        <f>LTP3!$D$7-X2586*LTP3!$D$6-Y2586*U2586-Z2586*V2586</f>
        <v/>
      </c>
      <c r="AB2586">
        <f>IF(AND(F2586,ABS(W2586)&gt;1E-12,Y2586&gt;0,Z2586&gt;0),AA2586,1E+300)</f>
        <v/>
      </c>
    </row>
    <row r="2587">
      <c r="A2587">
        <f>$B$3+$B$5*42</f>
        <v/>
      </c>
      <c r="B2587">
        <f>$B$3+$B$5*13</f>
        <v/>
      </c>
      <c r="C2587">
        <f>SUMPRODUCT(Calc!$K$3:$K$22*(Calc!$G$3:$G$22&lt;=A2587))</f>
        <v/>
      </c>
      <c r="D2587">
        <f>SUMPRODUCT(Calc!$K$3:$K$22*(Calc!$G$3:$G$22&gt;A2587)*(Calc!$G$3:$G$22&lt;B2587))</f>
        <v/>
      </c>
      <c r="E2587">
        <f>SUMPRODUCT(Calc!$K$3:$K$22*(Calc!$G$3:$G$22&gt;=B2587))</f>
        <v/>
      </c>
      <c r="F2587">
        <f>AND(k_n&gt;=5,B2587&gt;A2587+1E-9,C2587&gt;=2,D2587&gt;=1,E2587&gt;=2)</f>
        <v/>
      </c>
      <c r="G2587">
        <f>SUMPRODUCT(Calc!$K$3:$K$22*(Calc!$G$3:$G$22&gt;A2587)*(Calc!$G$3:$G$22-A2587))</f>
        <v/>
      </c>
      <c r="H2587">
        <f>SUMPRODUCT(Calc!$K$3:$K$22*(Calc!$G$3:$G$22&gt;B2587)*(Calc!$G$3:$G$22-B2587))</f>
        <v/>
      </c>
      <c r="I2587">
        <f>SUMPRODUCT(Calc!$K$3:$K$22*(Calc!$G$3:$G$22&gt;A2587)*(Calc!$G$3:$G$22-A2587)^2)</f>
        <v/>
      </c>
      <c r="J2587">
        <f>SUMPRODUCT(Calc!$K$3:$K$22*(Calc!$G$3:$G$22&gt;B2587)*(Calc!$G$3:$G$22-B2587)^2)</f>
        <v/>
      </c>
      <c r="K2587">
        <f>SUMPRODUCT(Calc!$K$3:$K$22*(Calc!$G$3:$G$22&gt;A2587)*(Calc!$G$3:$G$22-A2587)*(Calc!$G$3:$G$22&gt;B2587)*(Calc!$G$3:$G$22-B2587))</f>
        <v/>
      </c>
      <c r="L2587">
        <f>SUMPRODUCT(Calc!$K$3:$K$22*(Calc!$G$3:$G$22&gt;A2587)*(Calc!$G$3:$G$22-A2587)*Calc!$G$3:$G$22)</f>
        <v/>
      </c>
      <c r="M2587">
        <f>SUMPRODUCT(Calc!$K$3:$K$22*(Calc!$G$3:$G$22&gt;B2587)*(Calc!$G$3:$G$22-B2587)*Calc!$G$3:$G$22)</f>
        <v/>
      </c>
      <c r="N2587">
        <f>SUMPRODUCT(Calc!$K$3:$K$22*(Calc!$G$3:$G$22&gt;A2587)*(Calc!$G$3:$G$22-A2587)*Calc!$I$3:$I$22)</f>
        <v/>
      </c>
      <c r="O2587">
        <f>SUMPRODUCT(Calc!$K$3:$K$22*(Calc!$G$3:$G$22&gt;B2587)*(Calc!$G$3:$G$22-B2587)*Calc!$I$3:$I$22)</f>
        <v/>
      </c>
      <c r="P2587">
        <f>I2587-G2587^2/k_n</f>
        <v/>
      </c>
      <c r="Q2587">
        <f>J2587-H2587^2/k_n</f>
        <v/>
      </c>
      <c r="R2587">
        <f>K2587-G2587*H2587/k_n</f>
        <v/>
      </c>
      <c r="S2587">
        <f>L2587-LTP3!$D$3*G2587/k_n</f>
        <v/>
      </c>
      <c r="T2587">
        <f>M2587-LTP3!$D$3*H2587/k_n</f>
        <v/>
      </c>
      <c r="U2587">
        <f>N2587-G2587*LTP3!$D$4/k_n</f>
        <v/>
      </c>
      <c r="V2587">
        <f>O2587-H2587*LTP3!$D$4/k_n</f>
        <v/>
      </c>
      <c r="W2587">
        <f>((LTP3!$D$5)*((P2587)*(Q2587)-(R2587)*(R2587))-(S2587)*((S2587)*(Q2587)-(R2587)*(T2587))+(T2587)*((S2587)*(R2587)-(P2587)*(T2587)))</f>
        <v/>
      </c>
      <c r="X2587">
        <f>IF(ABS(W2587)&gt;1E-12,((LTP3!$D$6)*((P2587)*(Q2587)-(R2587)*(R2587))-(S2587)*((U2587)*(Q2587)-(R2587)*(V2587))+(T2587)*((U2587)*(R2587)-(P2587)*(V2587)))/W2587,0)</f>
        <v/>
      </c>
      <c r="Y2587">
        <f>IF(ABS(W2587)&gt;1E-12,((LTP3!$D$5)*((U2587)*(Q2587)-(R2587)*(V2587))-(LTP3!$D$6)*((S2587)*(Q2587)-(R2587)*(T2587))+(T2587)*((S2587)*(V2587)-(U2587)*(T2587)))/W2587,0)</f>
        <v/>
      </c>
      <c r="Z2587">
        <f>IF(ABS(W2587)&gt;1E-12,((LTP3!$D$5)*((P2587)*(V2587)-(U2587)*(R2587))-(S2587)*((S2587)*(V2587)-(U2587)*(T2587))+(LTP3!$D$6)*((S2587)*(R2587)-(P2587)*(T2587)))/W2587,0)</f>
        <v/>
      </c>
      <c r="AA2587">
        <f>LTP3!$D$7-X2587*LTP3!$D$6-Y2587*U2587-Z2587*V2587</f>
        <v/>
      </c>
      <c r="AB2587">
        <f>IF(AND(F2587,ABS(W2587)&gt;1E-12,Y2587&gt;0,Z2587&gt;0),AA2587,1E+300)</f>
        <v/>
      </c>
    </row>
    <row r="2588">
      <c r="A2588">
        <f>$B$3+$B$5*42</f>
        <v/>
      </c>
      <c r="B2588">
        <f>$B$3+$B$5*14</f>
        <v/>
      </c>
      <c r="C2588">
        <f>SUMPRODUCT(Calc!$K$3:$K$22*(Calc!$G$3:$G$22&lt;=A2588))</f>
        <v/>
      </c>
      <c r="D2588">
        <f>SUMPRODUCT(Calc!$K$3:$K$22*(Calc!$G$3:$G$22&gt;A2588)*(Calc!$G$3:$G$22&lt;B2588))</f>
        <v/>
      </c>
      <c r="E2588">
        <f>SUMPRODUCT(Calc!$K$3:$K$22*(Calc!$G$3:$G$22&gt;=B2588))</f>
        <v/>
      </c>
      <c r="F2588">
        <f>AND(k_n&gt;=5,B2588&gt;A2588+1E-9,C2588&gt;=2,D2588&gt;=1,E2588&gt;=2)</f>
        <v/>
      </c>
      <c r="G2588">
        <f>SUMPRODUCT(Calc!$K$3:$K$22*(Calc!$G$3:$G$22&gt;A2588)*(Calc!$G$3:$G$22-A2588))</f>
        <v/>
      </c>
      <c r="H2588">
        <f>SUMPRODUCT(Calc!$K$3:$K$22*(Calc!$G$3:$G$22&gt;B2588)*(Calc!$G$3:$G$22-B2588))</f>
        <v/>
      </c>
      <c r="I2588">
        <f>SUMPRODUCT(Calc!$K$3:$K$22*(Calc!$G$3:$G$22&gt;A2588)*(Calc!$G$3:$G$22-A2588)^2)</f>
        <v/>
      </c>
      <c r="J2588">
        <f>SUMPRODUCT(Calc!$K$3:$K$22*(Calc!$G$3:$G$22&gt;B2588)*(Calc!$G$3:$G$22-B2588)^2)</f>
        <v/>
      </c>
      <c r="K2588">
        <f>SUMPRODUCT(Calc!$K$3:$K$22*(Calc!$G$3:$G$22&gt;A2588)*(Calc!$G$3:$G$22-A2588)*(Calc!$G$3:$G$22&gt;B2588)*(Calc!$G$3:$G$22-B2588))</f>
        <v/>
      </c>
      <c r="L2588">
        <f>SUMPRODUCT(Calc!$K$3:$K$22*(Calc!$G$3:$G$22&gt;A2588)*(Calc!$G$3:$G$22-A2588)*Calc!$G$3:$G$22)</f>
        <v/>
      </c>
      <c r="M2588">
        <f>SUMPRODUCT(Calc!$K$3:$K$22*(Calc!$G$3:$G$22&gt;B2588)*(Calc!$G$3:$G$22-B2588)*Calc!$G$3:$G$22)</f>
        <v/>
      </c>
      <c r="N2588">
        <f>SUMPRODUCT(Calc!$K$3:$K$22*(Calc!$G$3:$G$22&gt;A2588)*(Calc!$G$3:$G$22-A2588)*Calc!$I$3:$I$22)</f>
        <v/>
      </c>
      <c r="O2588">
        <f>SUMPRODUCT(Calc!$K$3:$K$22*(Calc!$G$3:$G$22&gt;B2588)*(Calc!$G$3:$G$22-B2588)*Calc!$I$3:$I$22)</f>
        <v/>
      </c>
      <c r="P2588">
        <f>I2588-G2588^2/k_n</f>
        <v/>
      </c>
      <c r="Q2588">
        <f>J2588-H2588^2/k_n</f>
        <v/>
      </c>
      <c r="R2588">
        <f>K2588-G2588*H2588/k_n</f>
        <v/>
      </c>
      <c r="S2588">
        <f>L2588-LTP3!$D$3*G2588/k_n</f>
        <v/>
      </c>
      <c r="T2588">
        <f>M2588-LTP3!$D$3*H2588/k_n</f>
        <v/>
      </c>
      <c r="U2588">
        <f>N2588-G2588*LTP3!$D$4/k_n</f>
        <v/>
      </c>
      <c r="V2588">
        <f>O2588-H2588*LTP3!$D$4/k_n</f>
        <v/>
      </c>
      <c r="W2588">
        <f>((LTP3!$D$5)*((P2588)*(Q2588)-(R2588)*(R2588))-(S2588)*((S2588)*(Q2588)-(R2588)*(T2588))+(T2588)*((S2588)*(R2588)-(P2588)*(T2588)))</f>
        <v/>
      </c>
      <c r="X2588">
        <f>IF(ABS(W2588)&gt;1E-12,((LTP3!$D$6)*((P2588)*(Q2588)-(R2588)*(R2588))-(S2588)*((U2588)*(Q2588)-(R2588)*(V2588))+(T2588)*((U2588)*(R2588)-(P2588)*(V2588)))/W2588,0)</f>
        <v/>
      </c>
      <c r="Y2588">
        <f>IF(ABS(W2588)&gt;1E-12,((LTP3!$D$5)*((U2588)*(Q2588)-(R2588)*(V2588))-(LTP3!$D$6)*((S2588)*(Q2588)-(R2588)*(T2588))+(T2588)*((S2588)*(V2588)-(U2588)*(T2588)))/W2588,0)</f>
        <v/>
      </c>
      <c r="Z2588">
        <f>IF(ABS(W2588)&gt;1E-12,((LTP3!$D$5)*((P2588)*(V2588)-(U2588)*(R2588))-(S2588)*((S2588)*(V2588)-(U2588)*(T2588))+(LTP3!$D$6)*((S2588)*(R2588)-(P2588)*(T2588)))/W2588,0)</f>
        <v/>
      </c>
      <c r="AA2588">
        <f>LTP3!$D$7-X2588*LTP3!$D$6-Y2588*U2588-Z2588*V2588</f>
        <v/>
      </c>
      <c r="AB2588">
        <f>IF(AND(F2588,ABS(W2588)&gt;1E-12,Y2588&gt;0,Z2588&gt;0),AA2588,1E+300)</f>
        <v/>
      </c>
    </row>
    <row r="2589">
      <c r="A2589">
        <f>$B$3+$B$5*42</f>
        <v/>
      </c>
      <c r="B2589">
        <f>$B$3+$B$5*15</f>
        <v/>
      </c>
      <c r="C2589">
        <f>SUMPRODUCT(Calc!$K$3:$K$22*(Calc!$G$3:$G$22&lt;=A2589))</f>
        <v/>
      </c>
      <c r="D2589">
        <f>SUMPRODUCT(Calc!$K$3:$K$22*(Calc!$G$3:$G$22&gt;A2589)*(Calc!$G$3:$G$22&lt;B2589))</f>
        <v/>
      </c>
      <c r="E2589">
        <f>SUMPRODUCT(Calc!$K$3:$K$22*(Calc!$G$3:$G$22&gt;=B2589))</f>
        <v/>
      </c>
      <c r="F2589">
        <f>AND(k_n&gt;=5,B2589&gt;A2589+1E-9,C2589&gt;=2,D2589&gt;=1,E2589&gt;=2)</f>
        <v/>
      </c>
      <c r="G2589">
        <f>SUMPRODUCT(Calc!$K$3:$K$22*(Calc!$G$3:$G$22&gt;A2589)*(Calc!$G$3:$G$22-A2589))</f>
        <v/>
      </c>
      <c r="H2589">
        <f>SUMPRODUCT(Calc!$K$3:$K$22*(Calc!$G$3:$G$22&gt;B2589)*(Calc!$G$3:$G$22-B2589))</f>
        <v/>
      </c>
      <c r="I2589">
        <f>SUMPRODUCT(Calc!$K$3:$K$22*(Calc!$G$3:$G$22&gt;A2589)*(Calc!$G$3:$G$22-A2589)^2)</f>
        <v/>
      </c>
      <c r="J2589">
        <f>SUMPRODUCT(Calc!$K$3:$K$22*(Calc!$G$3:$G$22&gt;B2589)*(Calc!$G$3:$G$22-B2589)^2)</f>
        <v/>
      </c>
      <c r="K2589">
        <f>SUMPRODUCT(Calc!$K$3:$K$22*(Calc!$G$3:$G$22&gt;A2589)*(Calc!$G$3:$G$22-A2589)*(Calc!$G$3:$G$22&gt;B2589)*(Calc!$G$3:$G$22-B2589))</f>
        <v/>
      </c>
      <c r="L2589">
        <f>SUMPRODUCT(Calc!$K$3:$K$22*(Calc!$G$3:$G$22&gt;A2589)*(Calc!$G$3:$G$22-A2589)*Calc!$G$3:$G$22)</f>
        <v/>
      </c>
      <c r="M2589">
        <f>SUMPRODUCT(Calc!$K$3:$K$22*(Calc!$G$3:$G$22&gt;B2589)*(Calc!$G$3:$G$22-B2589)*Calc!$G$3:$G$22)</f>
        <v/>
      </c>
      <c r="N2589">
        <f>SUMPRODUCT(Calc!$K$3:$K$22*(Calc!$G$3:$G$22&gt;A2589)*(Calc!$G$3:$G$22-A2589)*Calc!$I$3:$I$22)</f>
        <v/>
      </c>
      <c r="O2589">
        <f>SUMPRODUCT(Calc!$K$3:$K$22*(Calc!$G$3:$G$22&gt;B2589)*(Calc!$G$3:$G$22-B2589)*Calc!$I$3:$I$22)</f>
        <v/>
      </c>
      <c r="P2589">
        <f>I2589-G2589^2/k_n</f>
        <v/>
      </c>
      <c r="Q2589">
        <f>J2589-H2589^2/k_n</f>
        <v/>
      </c>
      <c r="R2589">
        <f>K2589-G2589*H2589/k_n</f>
        <v/>
      </c>
      <c r="S2589">
        <f>L2589-LTP3!$D$3*G2589/k_n</f>
        <v/>
      </c>
      <c r="T2589">
        <f>M2589-LTP3!$D$3*H2589/k_n</f>
        <v/>
      </c>
      <c r="U2589">
        <f>N2589-G2589*LTP3!$D$4/k_n</f>
        <v/>
      </c>
      <c r="V2589">
        <f>O2589-H2589*LTP3!$D$4/k_n</f>
        <v/>
      </c>
      <c r="W2589">
        <f>((LTP3!$D$5)*((P2589)*(Q2589)-(R2589)*(R2589))-(S2589)*((S2589)*(Q2589)-(R2589)*(T2589))+(T2589)*((S2589)*(R2589)-(P2589)*(T2589)))</f>
        <v/>
      </c>
      <c r="X2589">
        <f>IF(ABS(W2589)&gt;1E-12,((LTP3!$D$6)*((P2589)*(Q2589)-(R2589)*(R2589))-(S2589)*((U2589)*(Q2589)-(R2589)*(V2589))+(T2589)*((U2589)*(R2589)-(P2589)*(V2589)))/W2589,0)</f>
        <v/>
      </c>
      <c r="Y2589">
        <f>IF(ABS(W2589)&gt;1E-12,((LTP3!$D$5)*((U2589)*(Q2589)-(R2589)*(V2589))-(LTP3!$D$6)*((S2589)*(Q2589)-(R2589)*(T2589))+(T2589)*((S2589)*(V2589)-(U2589)*(T2589)))/W2589,0)</f>
        <v/>
      </c>
      <c r="Z2589">
        <f>IF(ABS(W2589)&gt;1E-12,((LTP3!$D$5)*((P2589)*(V2589)-(U2589)*(R2589))-(S2589)*((S2589)*(V2589)-(U2589)*(T2589))+(LTP3!$D$6)*((S2589)*(R2589)-(P2589)*(T2589)))/W2589,0)</f>
        <v/>
      </c>
      <c r="AA2589">
        <f>LTP3!$D$7-X2589*LTP3!$D$6-Y2589*U2589-Z2589*V2589</f>
        <v/>
      </c>
      <c r="AB2589">
        <f>IF(AND(F2589,ABS(W2589)&gt;1E-12,Y2589&gt;0,Z2589&gt;0),AA2589,1E+300)</f>
        <v/>
      </c>
    </row>
    <row r="2590">
      <c r="A2590">
        <f>$B$3+$B$5*42</f>
        <v/>
      </c>
      <c r="B2590">
        <f>$B$3+$B$5*16</f>
        <v/>
      </c>
      <c r="C2590">
        <f>SUMPRODUCT(Calc!$K$3:$K$22*(Calc!$G$3:$G$22&lt;=A2590))</f>
        <v/>
      </c>
      <c r="D2590">
        <f>SUMPRODUCT(Calc!$K$3:$K$22*(Calc!$G$3:$G$22&gt;A2590)*(Calc!$G$3:$G$22&lt;B2590))</f>
        <v/>
      </c>
      <c r="E2590">
        <f>SUMPRODUCT(Calc!$K$3:$K$22*(Calc!$G$3:$G$22&gt;=B2590))</f>
        <v/>
      </c>
      <c r="F2590">
        <f>AND(k_n&gt;=5,B2590&gt;A2590+1E-9,C2590&gt;=2,D2590&gt;=1,E2590&gt;=2)</f>
        <v/>
      </c>
      <c r="G2590">
        <f>SUMPRODUCT(Calc!$K$3:$K$22*(Calc!$G$3:$G$22&gt;A2590)*(Calc!$G$3:$G$22-A2590))</f>
        <v/>
      </c>
      <c r="H2590">
        <f>SUMPRODUCT(Calc!$K$3:$K$22*(Calc!$G$3:$G$22&gt;B2590)*(Calc!$G$3:$G$22-B2590))</f>
        <v/>
      </c>
      <c r="I2590">
        <f>SUMPRODUCT(Calc!$K$3:$K$22*(Calc!$G$3:$G$22&gt;A2590)*(Calc!$G$3:$G$22-A2590)^2)</f>
        <v/>
      </c>
      <c r="J2590">
        <f>SUMPRODUCT(Calc!$K$3:$K$22*(Calc!$G$3:$G$22&gt;B2590)*(Calc!$G$3:$G$22-B2590)^2)</f>
        <v/>
      </c>
      <c r="K2590">
        <f>SUMPRODUCT(Calc!$K$3:$K$22*(Calc!$G$3:$G$22&gt;A2590)*(Calc!$G$3:$G$22-A2590)*(Calc!$G$3:$G$22&gt;B2590)*(Calc!$G$3:$G$22-B2590))</f>
        <v/>
      </c>
      <c r="L2590">
        <f>SUMPRODUCT(Calc!$K$3:$K$22*(Calc!$G$3:$G$22&gt;A2590)*(Calc!$G$3:$G$22-A2590)*Calc!$G$3:$G$22)</f>
        <v/>
      </c>
      <c r="M2590">
        <f>SUMPRODUCT(Calc!$K$3:$K$22*(Calc!$G$3:$G$22&gt;B2590)*(Calc!$G$3:$G$22-B2590)*Calc!$G$3:$G$22)</f>
        <v/>
      </c>
      <c r="N2590">
        <f>SUMPRODUCT(Calc!$K$3:$K$22*(Calc!$G$3:$G$22&gt;A2590)*(Calc!$G$3:$G$22-A2590)*Calc!$I$3:$I$22)</f>
        <v/>
      </c>
      <c r="O2590">
        <f>SUMPRODUCT(Calc!$K$3:$K$22*(Calc!$G$3:$G$22&gt;B2590)*(Calc!$G$3:$G$22-B2590)*Calc!$I$3:$I$22)</f>
        <v/>
      </c>
      <c r="P2590">
        <f>I2590-G2590^2/k_n</f>
        <v/>
      </c>
      <c r="Q2590">
        <f>J2590-H2590^2/k_n</f>
        <v/>
      </c>
      <c r="R2590">
        <f>K2590-G2590*H2590/k_n</f>
        <v/>
      </c>
      <c r="S2590">
        <f>L2590-LTP3!$D$3*G2590/k_n</f>
        <v/>
      </c>
      <c r="T2590">
        <f>M2590-LTP3!$D$3*H2590/k_n</f>
        <v/>
      </c>
      <c r="U2590">
        <f>N2590-G2590*LTP3!$D$4/k_n</f>
        <v/>
      </c>
      <c r="V2590">
        <f>O2590-H2590*LTP3!$D$4/k_n</f>
        <v/>
      </c>
      <c r="W2590">
        <f>((LTP3!$D$5)*((P2590)*(Q2590)-(R2590)*(R2590))-(S2590)*((S2590)*(Q2590)-(R2590)*(T2590))+(T2590)*((S2590)*(R2590)-(P2590)*(T2590)))</f>
        <v/>
      </c>
      <c r="X2590">
        <f>IF(ABS(W2590)&gt;1E-12,((LTP3!$D$6)*((P2590)*(Q2590)-(R2590)*(R2590))-(S2590)*((U2590)*(Q2590)-(R2590)*(V2590))+(T2590)*((U2590)*(R2590)-(P2590)*(V2590)))/W2590,0)</f>
        <v/>
      </c>
      <c r="Y2590">
        <f>IF(ABS(W2590)&gt;1E-12,((LTP3!$D$5)*((U2590)*(Q2590)-(R2590)*(V2590))-(LTP3!$D$6)*((S2590)*(Q2590)-(R2590)*(T2590))+(T2590)*((S2590)*(V2590)-(U2590)*(T2590)))/W2590,0)</f>
        <v/>
      </c>
      <c r="Z2590">
        <f>IF(ABS(W2590)&gt;1E-12,((LTP3!$D$5)*((P2590)*(V2590)-(U2590)*(R2590))-(S2590)*((S2590)*(V2590)-(U2590)*(T2590))+(LTP3!$D$6)*((S2590)*(R2590)-(P2590)*(T2590)))/W2590,0)</f>
        <v/>
      </c>
      <c r="AA2590">
        <f>LTP3!$D$7-X2590*LTP3!$D$6-Y2590*U2590-Z2590*V2590</f>
        <v/>
      </c>
      <c r="AB2590">
        <f>IF(AND(F2590,ABS(W2590)&gt;1E-12,Y2590&gt;0,Z2590&gt;0),AA2590,1E+300)</f>
        <v/>
      </c>
    </row>
    <row r="2591">
      <c r="A2591">
        <f>$B$3+$B$5*42</f>
        <v/>
      </c>
      <c r="B2591">
        <f>$B$3+$B$5*17</f>
        <v/>
      </c>
      <c r="C2591">
        <f>SUMPRODUCT(Calc!$K$3:$K$22*(Calc!$G$3:$G$22&lt;=A2591))</f>
        <v/>
      </c>
      <c r="D2591">
        <f>SUMPRODUCT(Calc!$K$3:$K$22*(Calc!$G$3:$G$22&gt;A2591)*(Calc!$G$3:$G$22&lt;B2591))</f>
        <v/>
      </c>
      <c r="E2591">
        <f>SUMPRODUCT(Calc!$K$3:$K$22*(Calc!$G$3:$G$22&gt;=B2591))</f>
        <v/>
      </c>
      <c r="F2591">
        <f>AND(k_n&gt;=5,B2591&gt;A2591+1E-9,C2591&gt;=2,D2591&gt;=1,E2591&gt;=2)</f>
        <v/>
      </c>
      <c r="G2591">
        <f>SUMPRODUCT(Calc!$K$3:$K$22*(Calc!$G$3:$G$22&gt;A2591)*(Calc!$G$3:$G$22-A2591))</f>
        <v/>
      </c>
      <c r="H2591">
        <f>SUMPRODUCT(Calc!$K$3:$K$22*(Calc!$G$3:$G$22&gt;B2591)*(Calc!$G$3:$G$22-B2591))</f>
        <v/>
      </c>
      <c r="I2591">
        <f>SUMPRODUCT(Calc!$K$3:$K$22*(Calc!$G$3:$G$22&gt;A2591)*(Calc!$G$3:$G$22-A2591)^2)</f>
        <v/>
      </c>
      <c r="J2591">
        <f>SUMPRODUCT(Calc!$K$3:$K$22*(Calc!$G$3:$G$22&gt;B2591)*(Calc!$G$3:$G$22-B2591)^2)</f>
        <v/>
      </c>
      <c r="K2591">
        <f>SUMPRODUCT(Calc!$K$3:$K$22*(Calc!$G$3:$G$22&gt;A2591)*(Calc!$G$3:$G$22-A2591)*(Calc!$G$3:$G$22&gt;B2591)*(Calc!$G$3:$G$22-B2591))</f>
        <v/>
      </c>
      <c r="L2591">
        <f>SUMPRODUCT(Calc!$K$3:$K$22*(Calc!$G$3:$G$22&gt;A2591)*(Calc!$G$3:$G$22-A2591)*Calc!$G$3:$G$22)</f>
        <v/>
      </c>
      <c r="M2591">
        <f>SUMPRODUCT(Calc!$K$3:$K$22*(Calc!$G$3:$G$22&gt;B2591)*(Calc!$G$3:$G$22-B2591)*Calc!$G$3:$G$22)</f>
        <v/>
      </c>
      <c r="N2591">
        <f>SUMPRODUCT(Calc!$K$3:$K$22*(Calc!$G$3:$G$22&gt;A2591)*(Calc!$G$3:$G$22-A2591)*Calc!$I$3:$I$22)</f>
        <v/>
      </c>
      <c r="O2591">
        <f>SUMPRODUCT(Calc!$K$3:$K$22*(Calc!$G$3:$G$22&gt;B2591)*(Calc!$G$3:$G$22-B2591)*Calc!$I$3:$I$22)</f>
        <v/>
      </c>
      <c r="P2591">
        <f>I2591-G2591^2/k_n</f>
        <v/>
      </c>
      <c r="Q2591">
        <f>J2591-H2591^2/k_n</f>
        <v/>
      </c>
      <c r="R2591">
        <f>K2591-G2591*H2591/k_n</f>
        <v/>
      </c>
      <c r="S2591">
        <f>L2591-LTP3!$D$3*G2591/k_n</f>
        <v/>
      </c>
      <c r="T2591">
        <f>M2591-LTP3!$D$3*H2591/k_n</f>
        <v/>
      </c>
      <c r="U2591">
        <f>N2591-G2591*LTP3!$D$4/k_n</f>
        <v/>
      </c>
      <c r="V2591">
        <f>O2591-H2591*LTP3!$D$4/k_n</f>
        <v/>
      </c>
      <c r="W2591">
        <f>((LTP3!$D$5)*((P2591)*(Q2591)-(R2591)*(R2591))-(S2591)*((S2591)*(Q2591)-(R2591)*(T2591))+(T2591)*((S2591)*(R2591)-(P2591)*(T2591)))</f>
        <v/>
      </c>
      <c r="X2591">
        <f>IF(ABS(W2591)&gt;1E-12,((LTP3!$D$6)*((P2591)*(Q2591)-(R2591)*(R2591))-(S2591)*((U2591)*(Q2591)-(R2591)*(V2591))+(T2591)*((U2591)*(R2591)-(P2591)*(V2591)))/W2591,0)</f>
        <v/>
      </c>
      <c r="Y2591">
        <f>IF(ABS(W2591)&gt;1E-12,((LTP3!$D$5)*((U2591)*(Q2591)-(R2591)*(V2591))-(LTP3!$D$6)*((S2591)*(Q2591)-(R2591)*(T2591))+(T2591)*((S2591)*(V2591)-(U2591)*(T2591)))/W2591,0)</f>
        <v/>
      </c>
      <c r="Z2591">
        <f>IF(ABS(W2591)&gt;1E-12,((LTP3!$D$5)*((P2591)*(V2591)-(U2591)*(R2591))-(S2591)*((S2591)*(V2591)-(U2591)*(T2591))+(LTP3!$D$6)*((S2591)*(R2591)-(P2591)*(T2591)))/W2591,0)</f>
        <v/>
      </c>
      <c r="AA2591">
        <f>LTP3!$D$7-X2591*LTP3!$D$6-Y2591*U2591-Z2591*V2591</f>
        <v/>
      </c>
      <c r="AB2591">
        <f>IF(AND(F2591,ABS(W2591)&gt;1E-12,Y2591&gt;0,Z2591&gt;0),AA2591,1E+300)</f>
        <v/>
      </c>
    </row>
    <row r="2592">
      <c r="A2592">
        <f>$B$3+$B$5*42</f>
        <v/>
      </c>
      <c r="B2592">
        <f>$B$3+$B$5*18</f>
        <v/>
      </c>
      <c r="C2592">
        <f>SUMPRODUCT(Calc!$K$3:$K$22*(Calc!$G$3:$G$22&lt;=A2592))</f>
        <v/>
      </c>
      <c r="D2592">
        <f>SUMPRODUCT(Calc!$K$3:$K$22*(Calc!$G$3:$G$22&gt;A2592)*(Calc!$G$3:$G$22&lt;B2592))</f>
        <v/>
      </c>
      <c r="E2592">
        <f>SUMPRODUCT(Calc!$K$3:$K$22*(Calc!$G$3:$G$22&gt;=B2592))</f>
        <v/>
      </c>
      <c r="F2592">
        <f>AND(k_n&gt;=5,B2592&gt;A2592+1E-9,C2592&gt;=2,D2592&gt;=1,E2592&gt;=2)</f>
        <v/>
      </c>
      <c r="G2592">
        <f>SUMPRODUCT(Calc!$K$3:$K$22*(Calc!$G$3:$G$22&gt;A2592)*(Calc!$G$3:$G$22-A2592))</f>
        <v/>
      </c>
      <c r="H2592">
        <f>SUMPRODUCT(Calc!$K$3:$K$22*(Calc!$G$3:$G$22&gt;B2592)*(Calc!$G$3:$G$22-B2592))</f>
        <v/>
      </c>
      <c r="I2592">
        <f>SUMPRODUCT(Calc!$K$3:$K$22*(Calc!$G$3:$G$22&gt;A2592)*(Calc!$G$3:$G$22-A2592)^2)</f>
        <v/>
      </c>
      <c r="J2592">
        <f>SUMPRODUCT(Calc!$K$3:$K$22*(Calc!$G$3:$G$22&gt;B2592)*(Calc!$G$3:$G$22-B2592)^2)</f>
        <v/>
      </c>
      <c r="K2592">
        <f>SUMPRODUCT(Calc!$K$3:$K$22*(Calc!$G$3:$G$22&gt;A2592)*(Calc!$G$3:$G$22-A2592)*(Calc!$G$3:$G$22&gt;B2592)*(Calc!$G$3:$G$22-B2592))</f>
        <v/>
      </c>
      <c r="L2592">
        <f>SUMPRODUCT(Calc!$K$3:$K$22*(Calc!$G$3:$G$22&gt;A2592)*(Calc!$G$3:$G$22-A2592)*Calc!$G$3:$G$22)</f>
        <v/>
      </c>
      <c r="M2592">
        <f>SUMPRODUCT(Calc!$K$3:$K$22*(Calc!$G$3:$G$22&gt;B2592)*(Calc!$G$3:$G$22-B2592)*Calc!$G$3:$G$22)</f>
        <v/>
      </c>
      <c r="N2592">
        <f>SUMPRODUCT(Calc!$K$3:$K$22*(Calc!$G$3:$G$22&gt;A2592)*(Calc!$G$3:$G$22-A2592)*Calc!$I$3:$I$22)</f>
        <v/>
      </c>
      <c r="O2592">
        <f>SUMPRODUCT(Calc!$K$3:$K$22*(Calc!$G$3:$G$22&gt;B2592)*(Calc!$G$3:$G$22-B2592)*Calc!$I$3:$I$22)</f>
        <v/>
      </c>
      <c r="P2592">
        <f>I2592-G2592^2/k_n</f>
        <v/>
      </c>
      <c r="Q2592">
        <f>J2592-H2592^2/k_n</f>
        <v/>
      </c>
      <c r="R2592">
        <f>K2592-G2592*H2592/k_n</f>
        <v/>
      </c>
      <c r="S2592">
        <f>L2592-LTP3!$D$3*G2592/k_n</f>
        <v/>
      </c>
      <c r="T2592">
        <f>M2592-LTP3!$D$3*H2592/k_n</f>
        <v/>
      </c>
      <c r="U2592">
        <f>N2592-G2592*LTP3!$D$4/k_n</f>
        <v/>
      </c>
      <c r="V2592">
        <f>O2592-H2592*LTP3!$D$4/k_n</f>
        <v/>
      </c>
      <c r="W2592">
        <f>((LTP3!$D$5)*((P2592)*(Q2592)-(R2592)*(R2592))-(S2592)*((S2592)*(Q2592)-(R2592)*(T2592))+(T2592)*((S2592)*(R2592)-(P2592)*(T2592)))</f>
        <v/>
      </c>
      <c r="X2592">
        <f>IF(ABS(W2592)&gt;1E-12,((LTP3!$D$6)*((P2592)*(Q2592)-(R2592)*(R2592))-(S2592)*((U2592)*(Q2592)-(R2592)*(V2592))+(T2592)*((U2592)*(R2592)-(P2592)*(V2592)))/W2592,0)</f>
        <v/>
      </c>
      <c r="Y2592">
        <f>IF(ABS(W2592)&gt;1E-12,((LTP3!$D$5)*((U2592)*(Q2592)-(R2592)*(V2592))-(LTP3!$D$6)*((S2592)*(Q2592)-(R2592)*(T2592))+(T2592)*((S2592)*(V2592)-(U2592)*(T2592)))/W2592,0)</f>
        <v/>
      </c>
      <c r="Z2592">
        <f>IF(ABS(W2592)&gt;1E-12,((LTP3!$D$5)*((P2592)*(V2592)-(U2592)*(R2592))-(S2592)*((S2592)*(V2592)-(U2592)*(T2592))+(LTP3!$D$6)*((S2592)*(R2592)-(P2592)*(T2592)))/W2592,0)</f>
        <v/>
      </c>
      <c r="AA2592">
        <f>LTP3!$D$7-X2592*LTP3!$D$6-Y2592*U2592-Z2592*V2592</f>
        <v/>
      </c>
      <c r="AB2592">
        <f>IF(AND(F2592,ABS(W2592)&gt;1E-12,Y2592&gt;0,Z2592&gt;0),AA2592,1E+300)</f>
        <v/>
      </c>
    </row>
    <row r="2593">
      <c r="A2593">
        <f>$B$3+$B$5*42</f>
        <v/>
      </c>
      <c r="B2593">
        <f>$B$3+$B$5*19</f>
        <v/>
      </c>
      <c r="C2593">
        <f>SUMPRODUCT(Calc!$K$3:$K$22*(Calc!$G$3:$G$22&lt;=A2593))</f>
        <v/>
      </c>
      <c r="D2593">
        <f>SUMPRODUCT(Calc!$K$3:$K$22*(Calc!$G$3:$G$22&gt;A2593)*(Calc!$G$3:$G$22&lt;B2593))</f>
        <v/>
      </c>
      <c r="E2593">
        <f>SUMPRODUCT(Calc!$K$3:$K$22*(Calc!$G$3:$G$22&gt;=B2593))</f>
        <v/>
      </c>
      <c r="F2593">
        <f>AND(k_n&gt;=5,B2593&gt;A2593+1E-9,C2593&gt;=2,D2593&gt;=1,E2593&gt;=2)</f>
        <v/>
      </c>
      <c r="G2593">
        <f>SUMPRODUCT(Calc!$K$3:$K$22*(Calc!$G$3:$G$22&gt;A2593)*(Calc!$G$3:$G$22-A2593))</f>
        <v/>
      </c>
      <c r="H2593">
        <f>SUMPRODUCT(Calc!$K$3:$K$22*(Calc!$G$3:$G$22&gt;B2593)*(Calc!$G$3:$G$22-B2593))</f>
        <v/>
      </c>
      <c r="I2593">
        <f>SUMPRODUCT(Calc!$K$3:$K$22*(Calc!$G$3:$G$22&gt;A2593)*(Calc!$G$3:$G$22-A2593)^2)</f>
        <v/>
      </c>
      <c r="J2593">
        <f>SUMPRODUCT(Calc!$K$3:$K$22*(Calc!$G$3:$G$22&gt;B2593)*(Calc!$G$3:$G$22-B2593)^2)</f>
        <v/>
      </c>
      <c r="K2593">
        <f>SUMPRODUCT(Calc!$K$3:$K$22*(Calc!$G$3:$G$22&gt;A2593)*(Calc!$G$3:$G$22-A2593)*(Calc!$G$3:$G$22&gt;B2593)*(Calc!$G$3:$G$22-B2593))</f>
        <v/>
      </c>
      <c r="L2593">
        <f>SUMPRODUCT(Calc!$K$3:$K$22*(Calc!$G$3:$G$22&gt;A2593)*(Calc!$G$3:$G$22-A2593)*Calc!$G$3:$G$22)</f>
        <v/>
      </c>
      <c r="M2593">
        <f>SUMPRODUCT(Calc!$K$3:$K$22*(Calc!$G$3:$G$22&gt;B2593)*(Calc!$G$3:$G$22-B2593)*Calc!$G$3:$G$22)</f>
        <v/>
      </c>
      <c r="N2593">
        <f>SUMPRODUCT(Calc!$K$3:$K$22*(Calc!$G$3:$G$22&gt;A2593)*(Calc!$G$3:$G$22-A2593)*Calc!$I$3:$I$22)</f>
        <v/>
      </c>
      <c r="O2593">
        <f>SUMPRODUCT(Calc!$K$3:$K$22*(Calc!$G$3:$G$22&gt;B2593)*(Calc!$G$3:$G$22-B2593)*Calc!$I$3:$I$22)</f>
        <v/>
      </c>
      <c r="P2593">
        <f>I2593-G2593^2/k_n</f>
        <v/>
      </c>
      <c r="Q2593">
        <f>J2593-H2593^2/k_n</f>
        <v/>
      </c>
      <c r="R2593">
        <f>K2593-G2593*H2593/k_n</f>
        <v/>
      </c>
      <c r="S2593">
        <f>L2593-LTP3!$D$3*G2593/k_n</f>
        <v/>
      </c>
      <c r="T2593">
        <f>M2593-LTP3!$D$3*H2593/k_n</f>
        <v/>
      </c>
      <c r="U2593">
        <f>N2593-G2593*LTP3!$D$4/k_n</f>
        <v/>
      </c>
      <c r="V2593">
        <f>O2593-H2593*LTP3!$D$4/k_n</f>
        <v/>
      </c>
      <c r="W2593">
        <f>((LTP3!$D$5)*((P2593)*(Q2593)-(R2593)*(R2593))-(S2593)*((S2593)*(Q2593)-(R2593)*(T2593))+(T2593)*((S2593)*(R2593)-(P2593)*(T2593)))</f>
        <v/>
      </c>
      <c r="X2593">
        <f>IF(ABS(W2593)&gt;1E-12,((LTP3!$D$6)*((P2593)*(Q2593)-(R2593)*(R2593))-(S2593)*((U2593)*(Q2593)-(R2593)*(V2593))+(T2593)*((U2593)*(R2593)-(P2593)*(V2593)))/W2593,0)</f>
        <v/>
      </c>
      <c r="Y2593">
        <f>IF(ABS(W2593)&gt;1E-12,((LTP3!$D$5)*((U2593)*(Q2593)-(R2593)*(V2593))-(LTP3!$D$6)*((S2593)*(Q2593)-(R2593)*(T2593))+(T2593)*((S2593)*(V2593)-(U2593)*(T2593)))/W2593,0)</f>
        <v/>
      </c>
      <c r="Z2593">
        <f>IF(ABS(W2593)&gt;1E-12,((LTP3!$D$5)*((P2593)*(V2593)-(U2593)*(R2593))-(S2593)*((S2593)*(V2593)-(U2593)*(T2593))+(LTP3!$D$6)*((S2593)*(R2593)-(P2593)*(T2593)))/W2593,0)</f>
        <v/>
      </c>
      <c r="AA2593">
        <f>LTP3!$D$7-X2593*LTP3!$D$6-Y2593*U2593-Z2593*V2593</f>
        <v/>
      </c>
      <c r="AB2593">
        <f>IF(AND(F2593,ABS(W2593)&gt;1E-12,Y2593&gt;0,Z2593&gt;0),AA2593,1E+300)</f>
        <v/>
      </c>
    </row>
    <row r="2594">
      <c r="A2594">
        <f>$B$3+$B$5*42</f>
        <v/>
      </c>
      <c r="B2594">
        <f>$B$3+$B$5*20</f>
        <v/>
      </c>
      <c r="C2594">
        <f>SUMPRODUCT(Calc!$K$3:$K$22*(Calc!$G$3:$G$22&lt;=A2594))</f>
        <v/>
      </c>
      <c r="D2594">
        <f>SUMPRODUCT(Calc!$K$3:$K$22*(Calc!$G$3:$G$22&gt;A2594)*(Calc!$G$3:$G$22&lt;B2594))</f>
        <v/>
      </c>
      <c r="E2594">
        <f>SUMPRODUCT(Calc!$K$3:$K$22*(Calc!$G$3:$G$22&gt;=B2594))</f>
        <v/>
      </c>
      <c r="F2594">
        <f>AND(k_n&gt;=5,B2594&gt;A2594+1E-9,C2594&gt;=2,D2594&gt;=1,E2594&gt;=2)</f>
        <v/>
      </c>
      <c r="G2594">
        <f>SUMPRODUCT(Calc!$K$3:$K$22*(Calc!$G$3:$G$22&gt;A2594)*(Calc!$G$3:$G$22-A2594))</f>
        <v/>
      </c>
      <c r="H2594">
        <f>SUMPRODUCT(Calc!$K$3:$K$22*(Calc!$G$3:$G$22&gt;B2594)*(Calc!$G$3:$G$22-B2594))</f>
        <v/>
      </c>
      <c r="I2594">
        <f>SUMPRODUCT(Calc!$K$3:$K$22*(Calc!$G$3:$G$22&gt;A2594)*(Calc!$G$3:$G$22-A2594)^2)</f>
        <v/>
      </c>
      <c r="J2594">
        <f>SUMPRODUCT(Calc!$K$3:$K$22*(Calc!$G$3:$G$22&gt;B2594)*(Calc!$G$3:$G$22-B2594)^2)</f>
        <v/>
      </c>
      <c r="K2594">
        <f>SUMPRODUCT(Calc!$K$3:$K$22*(Calc!$G$3:$G$22&gt;A2594)*(Calc!$G$3:$G$22-A2594)*(Calc!$G$3:$G$22&gt;B2594)*(Calc!$G$3:$G$22-B2594))</f>
        <v/>
      </c>
      <c r="L2594">
        <f>SUMPRODUCT(Calc!$K$3:$K$22*(Calc!$G$3:$G$22&gt;A2594)*(Calc!$G$3:$G$22-A2594)*Calc!$G$3:$G$22)</f>
        <v/>
      </c>
      <c r="M2594">
        <f>SUMPRODUCT(Calc!$K$3:$K$22*(Calc!$G$3:$G$22&gt;B2594)*(Calc!$G$3:$G$22-B2594)*Calc!$G$3:$G$22)</f>
        <v/>
      </c>
      <c r="N2594">
        <f>SUMPRODUCT(Calc!$K$3:$K$22*(Calc!$G$3:$G$22&gt;A2594)*(Calc!$G$3:$G$22-A2594)*Calc!$I$3:$I$22)</f>
        <v/>
      </c>
      <c r="O2594">
        <f>SUMPRODUCT(Calc!$K$3:$K$22*(Calc!$G$3:$G$22&gt;B2594)*(Calc!$G$3:$G$22-B2594)*Calc!$I$3:$I$22)</f>
        <v/>
      </c>
      <c r="P2594">
        <f>I2594-G2594^2/k_n</f>
        <v/>
      </c>
      <c r="Q2594">
        <f>J2594-H2594^2/k_n</f>
        <v/>
      </c>
      <c r="R2594">
        <f>K2594-G2594*H2594/k_n</f>
        <v/>
      </c>
      <c r="S2594">
        <f>L2594-LTP3!$D$3*G2594/k_n</f>
        <v/>
      </c>
      <c r="T2594">
        <f>M2594-LTP3!$D$3*H2594/k_n</f>
        <v/>
      </c>
      <c r="U2594">
        <f>N2594-G2594*LTP3!$D$4/k_n</f>
        <v/>
      </c>
      <c r="V2594">
        <f>O2594-H2594*LTP3!$D$4/k_n</f>
        <v/>
      </c>
      <c r="W2594">
        <f>((LTP3!$D$5)*((P2594)*(Q2594)-(R2594)*(R2594))-(S2594)*((S2594)*(Q2594)-(R2594)*(T2594))+(T2594)*((S2594)*(R2594)-(P2594)*(T2594)))</f>
        <v/>
      </c>
      <c r="X2594">
        <f>IF(ABS(W2594)&gt;1E-12,((LTP3!$D$6)*((P2594)*(Q2594)-(R2594)*(R2594))-(S2594)*((U2594)*(Q2594)-(R2594)*(V2594))+(T2594)*((U2594)*(R2594)-(P2594)*(V2594)))/W2594,0)</f>
        <v/>
      </c>
      <c r="Y2594">
        <f>IF(ABS(W2594)&gt;1E-12,((LTP3!$D$5)*((U2594)*(Q2594)-(R2594)*(V2594))-(LTP3!$D$6)*((S2594)*(Q2594)-(R2594)*(T2594))+(T2594)*((S2594)*(V2594)-(U2594)*(T2594)))/W2594,0)</f>
        <v/>
      </c>
      <c r="Z2594">
        <f>IF(ABS(W2594)&gt;1E-12,((LTP3!$D$5)*((P2594)*(V2594)-(U2594)*(R2594))-(S2594)*((S2594)*(V2594)-(U2594)*(T2594))+(LTP3!$D$6)*((S2594)*(R2594)-(P2594)*(T2594)))/W2594,0)</f>
        <v/>
      </c>
      <c r="AA2594">
        <f>LTP3!$D$7-X2594*LTP3!$D$6-Y2594*U2594-Z2594*V2594</f>
        <v/>
      </c>
      <c r="AB2594">
        <f>IF(AND(F2594,ABS(W2594)&gt;1E-12,Y2594&gt;0,Z2594&gt;0),AA2594,1E+300)</f>
        <v/>
      </c>
    </row>
    <row r="2595">
      <c r="A2595">
        <f>$B$3+$B$5*42</f>
        <v/>
      </c>
      <c r="B2595">
        <f>$B$3+$B$5*21</f>
        <v/>
      </c>
      <c r="C2595">
        <f>SUMPRODUCT(Calc!$K$3:$K$22*(Calc!$G$3:$G$22&lt;=A2595))</f>
        <v/>
      </c>
      <c r="D2595">
        <f>SUMPRODUCT(Calc!$K$3:$K$22*(Calc!$G$3:$G$22&gt;A2595)*(Calc!$G$3:$G$22&lt;B2595))</f>
        <v/>
      </c>
      <c r="E2595">
        <f>SUMPRODUCT(Calc!$K$3:$K$22*(Calc!$G$3:$G$22&gt;=B2595))</f>
        <v/>
      </c>
      <c r="F2595">
        <f>AND(k_n&gt;=5,B2595&gt;A2595+1E-9,C2595&gt;=2,D2595&gt;=1,E2595&gt;=2)</f>
        <v/>
      </c>
      <c r="G2595">
        <f>SUMPRODUCT(Calc!$K$3:$K$22*(Calc!$G$3:$G$22&gt;A2595)*(Calc!$G$3:$G$22-A2595))</f>
        <v/>
      </c>
      <c r="H2595">
        <f>SUMPRODUCT(Calc!$K$3:$K$22*(Calc!$G$3:$G$22&gt;B2595)*(Calc!$G$3:$G$22-B2595))</f>
        <v/>
      </c>
      <c r="I2595">
        <f>SUMPRODUCT(Calc!$K$3:$K$22*(Calc!$G$3:$G$22&gt;A2595)*(Calc!$G$3:$G$22-A2595)^2)</f>
        <v/>
      </c>
      <c r="J2595">
        <f>SUMPRODUCT(Calc!$K$3:$K$22*(Calc!$G$3:$G$22&gt;B2595)*(Calc!$G$3:$G$22-B2595)^2)</f>
        <v/>
      </c>
      <c r="K2595">
        <f>SUMPRODUCT(Calc!$K$3:$K$22*(Calc!$G$3:$G$22&gt;A2595)*(Calc!$G$3:$G$22-A2595)*(Calc!$G$3:$G$22&gt;B2595)*(Calc!$G$3:$G$22-B2595))</f>
        <v/>
      </c>
      <c r="L2595">
        <f>SUMPRODUCT(Calc!$K$3:$K$22*(Calc!$G$3:$G$22&gt;A2595)*(Calc!$G$3:$G$22-A2595)*Calc!$G$3:$G$22)</f>
        <v/>
      </c>
      <c r="M2595">
        <f>SUMPRODUCT(Calc!$K$3:$K$22*(Calc!$G$3:$G$22&gt;B2595)*(Calc!$G$3:$G$22-B2595)*Calc!$G$3:$G$22)</f>
        <v/>
      </c>
      <c r="N2595">
        <f>SUMPRODUCT(Calc!$K$3:$K$22*(Calc!$G$3:$G$22&gt;A2595)*(Calc!$G$3:$G$22-A2595)*Calc!$I$3:$I$22)</f>
        <v/>
      </c>
      <c r="O2595">
        <f>SUMPRODUCT(Calc!$K$3:$K$22*(Calc!$G$3:$G$22&gt;B2595)*(Calc!$G$3:$G$22-B2595)*Calc!$I$3:$I$22)</f>
        <v/>
      </c>
      <c r="P2595">
        <f>I2595-G2595^2/k_n</f>
        <v/>
      </c>
      <c r="Q2595">
        <f>J2595-H2595^2/k_n</f>
        <v/>
      </c>
      <c r="R2595">
        <f>K2595-G2595*H2595/k_n</f>
        <v/>
      </c>
      <c r="S2595">
        <f>L2595-LTP3!$D$3*G2595/k_n</f>
        <v/>
      </c>
      <c r="T2595">
        <f>M2595-LTP3!$D$3*H2595/k_n</f>
        <v/>
      </c>
      <c r="U2595">
        <f>N2595-G2595*LTP3!$D$4/k_n</f>
        <v/>
      </c>
      <c r="V2595">
        <f>O2595-H2595*LTP3!$D$4/k_n</f>
        <v/>
      </c>
      <c r="W2595">
        <f>((LTP3!$D$5)*((P2595)*(Q2595)-(R2595)*(R2595))-(S2595)*((S2595)*(Q2595)-(R2595)*(T2595))+(T2595)*((S2595)*(R2595)-(P2595)*(T2595)))</f>
        <v/>
      </c>
      <c r="X2595">
        <f>IF(ABS(W2595)&gt;1E-12,((LTP3!$D$6)*((P2595)*(Q2595)-(R2595)*(R2595))-(S2595)*((U2595)*(Q2595)-(R2595)*(V2595))+(T2595)*((U2595)*(R2595)-(P2595)*(V2595)))/W2595,0)</f>
        <v/>
      </c>
      <c r="Y2595">
        <f>IF(ABS(W2595)&gt;1E-12,((LTP3!$D$5)*((U2595)*(Q2595)-(R2595)*(V2595))-(LTP3!$D$6)*((S2595)*(Q2595)-(R2595)*(T2595))+(T2595)*((S2595)*(V2595)-(U2595)*(T2595)))/W2595,0)</f>
        <v/>
      </c>
      <c r="Z2595">
        <f>IF(ABS(W2595)&gt;1E-12,((LTP3!$D$5)*((P2595)*(V2595)-(U2595)*(R2595))-(S2595)*((S2595)*(V2595)-(U2595)*(T2595))+(LTP3!$D$6)*((S2595)*(R2595)-(P2595)*(T2595)))/W2595,0)</f>
        <v/>
      </c>
      <c r="AA2595">
        <f>LTP3!$D$7-X2595*LTP3!$D$6-Y2595*U2595-Z2595*V2595</f>
        <v/>
      </c>
      <c r="AB2595">
        <f>IF(AND(F2595,ABS(W2595)&gt;1E-12,Y2595&gt;0,Z2595&gt;0),AA2595,1E+300)</f>
        <v/>
      </c>
    </row>
    <row r="2596">
      <c r="A2596">
        <f>$B$3+$B$5*42</f>
        <v/>
      </c>
      <c r="B2596">
        <f>$B$3+$B$5*22</f>
        <v/>
      </c>
      <c r="C2596">
        <f>SUMPRODUCT(Calc!$K$3:$K$22*(Calc!$G$3:$G$22&lt;=A2596))</f>
        <v/>
      </c>
      <c r="D2596">
        <f>SUMPRODUCT(Calc!$K$3:$K$22*(Calc!$G$3:$G$22&gt;A2596)*(Calc!$G$3:$G$22&lt;B2596))</f>
        <v/>
      </c>
      <c r="E2596">
        <f>SUMPRODUCT(Calc!$K$3:$K$22*(Calc!$G$3:$G$22&gt;=B2596))</f>
        <v/>
      </c>
      <c r="F2596">
        <f>AND(k_n&gt;=5,B2596&gt;A2596+1E-9,C2596&gt;=2,D2596&gt;=1,E2596&gt;=2)</f>
        <v/>
      </c>
      <c r="G2596">
        <f>SUMPRODUCT(Calc!$K$3:$K$22*(Calc!$G$3:$G$22&gt;A2596)*(Calc!$G$3:$G$22-A2596))</f>
        <v/>
      </c>
      <c r="H2596">
        <f>SUMPRODUCT(Calc!$K$3:$K$22*(Calc!$G$3:$G$22&gt;B2596)*(Calc!$G$3:$G$22-B2596))</f>
        <v/>
      </c>
      <c r="I2596">
        <f>SUMPRODUCT(Calc!$K$3:$K$22*(Calc!$G$3:$G$22&gt;A2596)*(Calc!$G$3:$G$22-A2596)^2)</f>
        <v/>
      </c>
      <c r="J2596">
        <f>SUMPRODUCT(Calc!$K$3:$K$22*(Calc!$G$3:$G$22&gt;B2596)*(Calc!$G$3:$G$22-B2596)^2)</f>
        <v/>
      </c>
      <c r="K2596">
        <f>SUMPRODUCT(Calc!$K$3:$K$22*(Calc!$G$3:$G$22&gt;A2596)*(Calc!$G$3:$G$22-A2596)*(Calc!$G$3:$G$22&gt;B2596)*(Calc!$G$3:$G$22-B2596))</f>
        <v/>
      </c>
      <c r="L2596">
        <f>SUMPRODUCT(Calc!$K$3:$K$22*(Calc!$G$3:$G$22&gt;A2596)*(Calc!$G$3:$G$22-A2596)*Calc!$G$3:$G$22)</f>
        <v/>
      </c>
      <c r="M2596">
        <f>SUMPRODUCT(Calc!$K$3:$K$22*(Calc!$G$3:$G$22&gt;B2596)*(Calc!$G$3:$G$22-B2596)*Calc!$G$3:$G$22)</f>
        <v/>
      </c>
      <c r="N2596">
        <f>SUMPRODUCT(Calc!$K$3:$K$22*(Calc!$G$3:$G$22&gt;A2596)*(Calc!$G$3:$G$22-A2596)*Calc!$I$3:$I$22)</f>
        <v/>
      </c>
      <c r="O2596">
        <f>SUMPRODUCT(Calc!$K$3:$K$22*(Calc!$G$3:$G$22&gt;B2596)*(Calc!$G$3:$G$22-B2596)*Calc!$I$3:$I$22)</f>
        <v/>
      </c>
      <c r="P2596">
        <f>I2596-G2596^2/k_n</f>
        <v/>
      </c>
      <c r="Q2596">
        <f>J2596-H2596^2/k_n</f>
        <v/>
      </c>
      <c r="R2596">
        <f>K2596-G2596*H2596/k_n</f>
        <v/>
      </c>
      <c r="S2596">
        <f>L2596-LTP3!$D$3*G2596/k_n</f>
        <v/>
      </c>
      <c r="T2596">
        <f>M2596-LTP3!$D$3*H2596/k_n</f>
        <v/>
      </c>
      <c r="U2596">
        <f>N2596-G2596*LTP3!$D$4/k_n</f>
        <v/>
      </c>
      <c r="V2596">
        <f>O2596-H2596*LTP3!$D$4/k_n</f>
        <v/>
      </c>
      <c r="W2596">
        <f>((LTP3!$D$5)*((P2596)*(Q2596)-(R2596)*(R2596))-(S2596)*((S2596)*(Q2596)-(R2596)*(T2596))+(T2596)*((S2596)*(R2596)-(P2596)*(T2596)))</f>
        <v/>
      </c>
      <c r="X2596">
        <f>IF(ABS(W2596)&gt;1E-12,((LTP3!$D$6)*((P2596)*(Q2596)-(R2596)*(R2596))-(S2596)*((U2596)*(Q2596)-(R2596)*(V2596))+(T2596)*((U2596)*(R2596)-(P2596)*(V2596)))/W2596,0)</f>
        <v/>
      </c>
      <c r="Y2596">
        <f>IF(ABS(W2596)&gt;1E-12,((LTP3!$D$5)*((U2596)*(Q2596)-(R2596)*(V2596))-(LTP3!$D$6)*((S2596)*(Q2596)-(R2596)*(T2596))+(T2596)*((S2596)*(V2596)-(U2596)*(T2596)))/W2596,0)</f>
        <v/>
      </c>
      <c r="Z2596">
        <f>IF(ABS(W2596)&gt;1E-12,((LTP3!$D$5)*((P2596)*(V2596)-(U2596)*(R2596))-(S2596)*((S2596)*(V2596)-(U2596)*(T2596))+(LTP3!$D$6)*((S2596)*(R2596)-(P2596)*(T2596)))/W2596,0)</f>
        <v/>
      </c>
      <c r="AA2596">
        <f>LTP3!$D$7-X2596*LTP3!$D$6-Y2596*U2596-Z2596*V2596</f>
        <v/>
      </c>
      <c r="AB2596">
        <f>IF(AND(F2596,ABS(W2596)&gt;1E-12,Y2596&gt;0,Z2596&gt;0),AA2596,1E+300)</f>
        <v/>
      </c>
    </row>
    <row r="2597">
      <c r="A2597">
        <f>$B$3+$B$5*42</f>
        <v/>
      </c>
      <c r="B2597">
        <f>$B$3+$B$5*23</f>
        <v/>
      </c>
      <c r="C2597">
        <f>SUMPRODUCT(Calc!$K$3:$K$22*(Calc!$G$3:$G$22&lt;=A2597))</f>
        <v/>
      </c>
      <c r="D2597">
        <f>SUMPRODUCT(Calc!$K$3:$K$22*(Calc!$G$3:$G$22&gt;A2597)*(Calc!$G$3:$G$22&lt;B2597))</f>
        <v/>
      </c>
      <c r="E2597">
        <f>SUMPRODUCT(Calc!$K$3:$K$22*(Calc!$G$3:$G$22&gt;=B2597))</f>
        <v/>
      </c>
      <c r="F2597">
        <f>AND(k_n&gt;=5,B2597&gt;A2597+1E-9,C2597&gt;=2,D2597&gt;=1,E2597&gt;=2)</f>
        <v/>
      </c>
      <c r="G2597">
        <f>SUMPRODUCT(Calc!$K$3:$K$22*(Calc!$G$3:$G$22&gt;A2597)*(Calc!$G$3:$G$22-A2597))</f>
        <v/>
      </c>
      <c r="H2597">
        <f>SUMPRODUCT(Calc!$K$3:$K$22*(Calc!$G$3:$G$22&gt;B2597)*(Calc!$G$3:$G$22-B2597))</f>
        <v/>
      </c>
      <c r="I2597">
        <f>SUMPRODUCT(Calc!$K$3:$K$22*(Calc!$G$3:$G$22&gt;A2597)*(Calc!$G$3:$G$22-A2597)^2)</f>
        <v/>
      </c>
      <c r="J2597">
        <f>SUMPRODUCT(Calc!$K$3:$K$22*(Calc!$G$3:$G$22&gt;B2597)*(Calc!$G$3:$G$22-B2597)^2)</f>
        <v/>
      </c>
      <c r="K2597">
        <f>SUMPRODUCT(Calc!$K$3:$K$22*(Calc!$G$3:$G$22&gt;A2597)*(Calc!$G$3:$G$22-A2597)*(Calc!$G$3:$G$22&gt;B2597)*(Calc!$G$3:$G$22-B2597))</f>
        <v/>
      </c>
      <c r="L2597">
        <f>SUMPRODUCT(Calc!$K$3:$K$22*(Calc!$G$3:$G$22&gt;A2597)*(Calc!$G$3:$G$22-A2597)*Calc!$G$3:$G$22)</f>
        <v/>
      </c>
      <c r="M2597">
        <f>SUMPRODUCT(Calc!$K$3:$K$22*(Calc!$G$3:$G$22&gt;B2597)*(Calc!$G$3:$G$22-B2597)*Calc!$G$3:$G$22)</f>
        <v/>
      </c>
      <c r="N2597">
        <f>SUMPRODUCT(Calc!$K$3:$K$22*(Calc!$G$3:$G$22&gt;A2597)*(Calc!$G$3:$G$22-A2597)*Calc!$I$3:$I$22)</f>
        <v/>
      </c>
      <c r="O2597">
        <f>SUMPRODUCT(Calc!$K$3:$K$22*(Calc!$G$3:$G$22&gt;B2597)*(Calc!$G$3:$G$22-B2597)*Calc!$I$3:$I$22)</f>
        <v/>
      </c>
      <c r="P2597">
        <f>I2597-G2597^2/k_n</f>
        <v/>
      </c>
      <c r="Q2597">
        <f>J2597-H2597^2/k_n</f>
        <v/>
      </c>
      <c r="R2597">
        <f>K2597-G2597*H2597/k_n</f>
        <v/>
      </c>
      <c r="S2597">
        <f>L2597-LTP3!$D$3*G2597/k_n</f>
        <v/>
      </c>
      <c r="T2597">
        <f>M2597-LTP3!$D$3*H2597/k_n</f>
        <v/>
      </c>
      <c r="U2597">
        <f>N2597-G2597*LTP3!$D$4/k_n</f>
        <v/>
      </c>
      <c r="V2597">
        <f>O2597-H2597*LTP3!$D$4/k_n</f>
        <v/>
      </c>
      <c r="W2597">
        <f>((LTP3!$D$5)*((P2597)*(Q2597)-(R2597)*(R2597))-(S2597)*((S2597)*(Q2597)-(R2597)*(T2597))+(T2597)*((S2597)*(R2597)-(P2597)*(T2597)))</f>
        <v/>
      </c>
      <c r="X2597">
        <f>IF(ABS(W2597)&gt;1E-12,((LTP3!$D$6)*((P2597)*(Q2597)-(R2597)*(R2597))-(S2597)*((U2597)*(Q2597)-(R2597)*(V2597))+(T2597)*((U2597)*(R2597)-(P2597)*(V2597)))/W2597,0)</f>
        <v/>
      </c>
      <c r="Y2597">
        <f>IF(ABS(W2597)&gt;1E-12,((LTP3!$D$5)*((U2597)*(Q2597)-(R2597)*(V2597))-(LTP3!$D$6)*((S2597)*(Q2597)-(R2597)*(T2597))+(T2597)*((S2597)*(V2597)-(U2597)*(T2597)))/W2597,0)</f>
        <v/>
      </c>
      <c r="Z2597">
        <f>IF(ABS(W2597)&gt;1E-12,((LTP3!$D$5)*((P2597)*(V2597)-(U2597)*(R2597))-(S2597)*((S2597)*(V2597)-(U2597)*(T2597))+(LTP3!$D$6)*((S2597)*(R2597)-(P2597)*(T2597)))/W2597,0)</f>
        <v/>
      </c>
      <c r="AA2597">
        <f>LTP3!$D$7-X2597*LTP3!$D$6-Y2597*U2597-Z2597*V2597</f>
        <v/>
      </c>
      <c r="AB2597">
        <f>IF(AND(F2597,ABS(W2597)&gt;1E-12,Y2597&gt;0,Z2597&gt;0),AA2597,1E+300)</f>
        <v/>
      </c>
    </row>
    <row r="2598">
      <c r="A2598">
        <f>$B$3+$B$5*42</f>
        <v/>
      </c>
      <c r="B2598">
        <f>$B$3+$B$5*24</f>
        <v/>
      </c>
      <c r="C2598">
        <f>SUMPRODUCT(Calc!$K$3:$K$22*(Calc!$G$3:$G$22&lt;=A2598))</f>
        <v/>
      </c>
      <c r="D2598">
        <f>SUMPRODUCT(Calc!$K$3:$K$22*(Calc!$G$3:$G$22&gt;A2598)*(Calc!$G$3:$G$22&lt;B2598))</f>
        <v/>
      </c>
      <c r="E2598">
        <f>SUMPRODUCT(Calc!$K$3:$K$22*(Calc!$G$3:$G$22&gt;=B2598))</f>
        <v/>
      </c>
      <c r="F2598">
        <f>AND(k_n&gt;=5,B2598&gt;A2598+1E-9,C2598&gt;=2,D2598&gt;=1,E2598&gt;=2)</f>
        <v/>
      </c>
      <c r="G2598">
        <f>SUMPRODUCT(Calc!$K$3:$K$22*(Calc!$G$3:$G$22&gt;A2598)*(Calc!$G$3:$G$22-A2598))</f>
        <v/>
      </c>
      <c r="H2598">
        <f>SUMPRODUCT(Calc!$K$3:$K$22*(Calc!$G$3:$G$22&gt;B2598)*(Calc!$G$3:$G$22-B2598))</f>
        <v/>
      </c>
      <c r="I2598">
        <f>SUMPRODUCT(Calc!$K$3:$K$22*(Calc!$G$3:$G$22&gt;A2598)*(Calc!$G$3:$G$22-A2598)^2)</f>
        <v/>
      </c>
      <c r="J2598">
        <f>SUMPRODUCT(Calc!$K$3:$K$22*(Calc!$G$3:$G$22&gt;B2598)*(Calc!$G$3:$G$22-B2598)^2)</f>
        <v/>
      </c>
      <c r="K2598">
        <f>SUMPRODUCT(Calc!$K$3:$K$22*(Calc!$G$3:$G$22&gt;A2598)*(Calc!$G$3:$G$22-A2598)*(Calc!$G$3:$G$22&gt;B2598)*(Calc!$G$3:$G$22-B2598))</f>
        <v/>
      </c>
      <c r="L2598">
        <f>SUMPRODUCT(Calc!$K$3:$K$22*(Calc!$G$3:$G$22&gt;A2598)*(Calc!$G$3:$G$22-A2598)*Calc!$G$3:$G$22)</f>
        <v/>
      </c>
      <c r="M2598">
        <f>SUMPRODUCT(Calc!$K$3:$K$22*(Calc!$G$3:$G$22&gt;B2598)*(Calc!$G$3:$G$22-B2598)*Calc!$G$3:$G$22)</f>
        <v/>
      </c>
      <c r="N2598">
        <f>SUMPRODUCT(Calc!$K$3:$K$22*(Calc!$G$3:$G$22&gt;A2598)*(Calc!$G$3:$G$22-A2598)*Calc!$I$3:$I$22)</f>
        <v/>
      </c>
      <c r="O2598">
        <f>SUMPRODUCT(Calc!$K$3:$K$22*(Calc!$G$3:$G$22&gt;B2598)*(Calc!$G$3:$G$22-B2598)*Calc!$I$3:$I$22)</f>
        <v/>
      </c>
      <c r="P2598">
        <f>I2598-G2598^2/k_n</f>
        <v/>
      </c>
      <c r="Q2598">
        <f>J2598-H2598^2/k_n</f>
        <v/>
      </c>
      <c r="R2598">
        <f>K2598-G2598*H2598/k_n</f>
        <v/>
      </c>
      <c r="S2598">
        <f>L2598-LTP3!$D$3*G2598/k_n</f>
        <v/>
      </c>
      <c r="T2598">
        <f>M2598-LTP3!$D$3*H2598/k_n</f>
        <v/>
      </c>
      <c r="U2598">
        <f>N2598-G2598*LTP3!$D$4/k_n</f>
        <v/>
      </c>
      <c r="V2598">
        <f>O2598-H2598*LTP3!$D$4/k_n</f>
        <v/>
      </c>
      <c r="W2598">
        <f>((LTP3!$D$5)*((P2598)*(Q2598)-(R2598)*(R2598))-(S2598)*((S2598)*(Q2598)-(R2598)*(T2598))+(T2598)*((S2598)*(R2598)-(P2598)*(T2598)))</f>
        <v/>
      </c>
      <c r="X2598">
        <f>IF(ABS(W2598)&gt;1E-12,((LTP3!$D$6)*((P2598)*(Q2598)-(R2598)*(R2598))-(S2598)*((U2598)*(Q2598)-(R2598)*(V2598))+(T2598)*((U2598)*(R2598)-(P2598)*(V2598)))/W2598,0)</f>
        <v/>
      </c>
      <c r="Y2598">
        <f>IF(ABS(W2598)&gt;1E-12,((LTP3!$D$5)*((U2598)*(Q2598)-(R2598)*(V2598))-(LTP3!$D$6)*((S2598)*(Q2598)-(R2598)*(T2598))+(T2598)*((S2598)*(V2598)-(U2598)*(T2598)))/W2598,0)</f>
        <v/>
      </c>
      <c r="Z2598">
        <f>IF(ABS(W2598)&gt;1E-12,((LTP3!$D$5)*((P2598)*(V2598)-(U2598)*(R2598))-(S2598)*((S2598)*(V2598)-(U2598)*(T2598))+(LTP3!$D$6)*((S2598)*(R2598)-(P2598)*(T2598)))/W2598,0)</f>
        <v/>
      </c>
      <c r="AA2598">
        <f>LTP3!$D$7-X2598*LTP3!$D$6-Y2598*U2598-Z2598*V2598</f>
        <v/>
      </c>
      <c r="AB2598">
        <f>IF(AND(F2598,ABS(W2598)&gt;1E-12,Y2598&gt;0,Z2598&gt;0),AA2598,1E+300)</f>
        <v/>
      </c>
    </row>
    <row r="2599">
      <c r="A2599">
        <f>$B$3+$B$5*42</f>
        <v/>
      </c>
      <c r="B2599">
        <f>$B$3+$B$5*25</f>
        <v/>
      </c>
      <c r="C2599">
        <f>SUMPRODUCT(Calc!$K$3:$K$22*(Calc!$G$3:$G$22&lt;=A2599))</f>
        <v/>
      </c>
      <c r="D2599">
        <f>SUMPRODUCT(Calc!$K$3:$K$22*(Calc!$G$3:$G$22&gt;A2599)*(Calc!$G$3:$G$22&lt;B2599))</f>
        <v/>
      </c>
      <c r="E2599">
        <f>SUMPRODUCT(Calc!$K$3:$K$22*(Calc!$G$3:$G$22&gt;=B2599))</f>
        <v/>
      </c>
      <c r="F2599">
        <f>AND(k_n&gt;=5,B2599&gt;A2599+1E-9,C2599&gt;=2,D2599&gt;=1,E2599&gt;=2)</f>
        <v/>
      </c>
      <c r="G2599">
        <f>SUMPRODUCT(Calc!$K$3:$K$22*(Calc!$G$3:$G$22&gt;A2599)*(Calc!$G$3:$G$22-A2599))</f>
        <v/>
      </c>
      <c r="H2599">
        <f>SUMPRODUCT(Calc!$K$3:$K$22*(Calc!$G$3:$G$22&gt;B2599)*(Calc!$G$3:$G$22-B2599))</f>
        <v/>
      </c>
      <c r="I2599">
        <f>SUMPRODUCT(Calc!$K$3:$K$22*(Calc!$G$3:$G$22&gt;A2599)*(Calc!$G$3:$G$22-A2599)^2)</f>
        <v/>
      </c>
      <c r="J2599">
        <f>SUMPRODUCT(Calc!$K$3:$K$22*(Calc!$G$3:$G$22&gt;B2599)*(Calc!$G$3:$G$22-B2599)^2)</f>
        <v/>
      </c>
      <c r="K2599">
        <f>SUMPRODUCT(Calc!$K$3:$K$22*(Calc!$G$3:$G$22&gt;A2599)*(Calc!$G$3:$G$22-A2599)*(Calc!$G$3:$G$22&gt;B2599)*(Calc!$G$3:$G$22-B2599))</f>
        <v/>
      </c>
      <c r="L2599">
        <f>SUMPRODUCT(Calc!$K$3:$K$22*(Calc!$G$3:$G$22&gt;A2599)*(Calc!$G$3:$G$22-A2599)*Calc!$G$3:$G$22)</f>
        <v/>
      </c>
      <c r="M2599">
        <f>SUMPRODUCT(Calc!$K$3:$K$22*(Calc!$G$3:$G$22&gt;B2599)*(Calc!$G$3:$G$22-B2599)*Calc!$G$3:$G$22)</f>
        <v/>
      </c>
      <c r="N2599">
        <f>SUMPRODUCT(Calc!$K$3:$K$22*(Calc!$G$3:$G$22&gt;A2599)*(Calc!$G$3:$G$22-A2599)*Calc!$I$3:$I$22)</f>
        <v/>
      </c>
      <c r="O2599">
        <f>SUMPRODUCT(Calc!$K$3:$K$22*(Calc!$G$3:$G$22&gt;B2599)*(Calc!$G$3:$G$22-B2599)*Calc!$I$3:$I$22)</f>
        <v/>
      </c>
      <c r="P2599">
        <f>I2599-G2599^2/k_n</f>
        <v/>
      </c>
      <c r="Q2599">
        <f>J2599-H2599^2/k_n</f>
        <v/>
      </c>
      <c r="R2599">
        <f>K2599-G2599*H2599/k_n</f>
        <v/>
      </c>
      <c r="S2599">
        <f>L2599-LTP3!$D$3*G2599/k_n</f>
        <v/>
      </c>
      <c r="T2599">
        <f>M2599-LTP3!$D$3*H2599/k_n</f>
        <v/>
      </c>
      <c r="U2599">
        <f>N2599-G2599*LTP3!$D$4/k_n</f>
        <v/>
      </c>
      <c r="V2599">
        <f>O2599-H2599*LTP3!$D$4/k_n</f>
        <v/>
      </c>
      <c r="W2599">
        <f>((LTP3!$D$5)*((P2599)*(Q2599)-(R2599)*(R2599))-(S2599)*((S2599)*(Q2599)-(R2599)*(T2599))+(T2599)*((S2599)*(R2599)-(P2599)*(T2599)))</f>
        <v/>
      </c>
      <c r="X2599">
        <f>IF(ABS(W2599)&gt;1E-12,((LTP3!$D$6)*((P2599)*(Q2599)-(R2599)*(R2599))-(S2599)*((U2599)*(Q2599)-(R2599)*(V2599))+(T2599)*((U2599)*(R2599)-(P2599)*(V2599)))/W2599,0)</f>
        <v/>
      </c>
      <c r="Y2599">
        <f>IF(ABS(W2599)&gt;1E-12,((LTP3!$D$5)*((U2599)*(Q2599)-(R2599)*(V2599))-(LTP3!$D$6)*((S2599)*(Q2599)-(R2599)*(T2599))+(T2599)*((S2599)*(V2599)-(U2599)*(T2599)))/W2599,0)</f>
        <v/>
      </c>
      <c r="Z2599">
        <f>IF(ABS(W2599)&gt;1E-12,((LTP3!$D$5)*((P2599)*(V2599)-(U2599)*(R2599))-(S2599)*((S2599)*(V2599)-(U2599)*(T2599))+(LTP3!$D$6)*((S2599)*(R2599)-(P2599)*(T2599)))/W2599,0)</f>
        <v/>
      </c>
      <c r="AA2599">
        <f>LTP3!$D$7-X2599*LTP3!$D$6-Y2599*U2599-Z2599*V2599</f>
        <v/>
      </c>
      <c r="AB2599">
        <f>IF(AND(F2599,ABS(W2599)&gt;1E-12,Y2599&gt;0,Z2599&gt;0),AA2599,1E+300)</f>
        <v/>
      </c>
    </row>
    <row r="2600">
      <c r="A2600">
        <f>$B$3+$B$5*42</f>
        <v/>
      </c>
      <c r="B2600">
        <f>$B$3+$B$5*26</f>
        <v/>
      </c>
      <c r="C2600">
        <f>SUMPRODUCT(Calc!$K$3:$K$22*(Calc!$G$3:$G$22&lt;=A2600))</f>
        <v/>
      </c>
      <c r="D2600">
        <f>SUMPRODUCT(Calc!$K$3:$K$22*(Calc!$G$3:$G$22&gt;A2600)*(Calc!$G$3:$G$22&lt;B2600))</f>
        <v/>
      </c>
      <c r="E2600">
        <f>SUMPRODUCT(Calc!$K$3:$K$22*(Calc!$G$3:$G$22&gt;=B2600))</f>
        <v/>
      </c>
      <c r="F2600">
        <f>AND(k_n&gt;=5,B2600&gt;A2600+1E-9,C2600&gt;=2,D2600&gt;=1,E2600&gt;=2)</f>
        <v/>
      </c>
      <c r="G2600">
        <f>SUMPRODUCT(Calc!$K$3:$K$22*(Calc!$G$3:$G$22&gt;A2600)*(Calc!$G$3:$G$22-A2600))</f>
        <v/>
      </c>
      <c r="H2600">
        <f>SUMPRODUCT(Calc!$K$3:$K$22*(Calc!$G$3:$G$22&gt;B2600)*(Calc!$G$3:$G$22-B2600))</f>
        <v/>
      </c>
      <c r="I2600">
        <f>SUMPRODUCT(Calc!$K$3:$K$22*(Calc!$G$3:$G$22&gt;A2600)*(Calc!$G$3:$G$22-A2600)^2)</f>
        <v/>
      </c>
      <c r="J2600">
        <f>SUMPRODUCT(Calc!$K$3:$K$22*(Calc!$G$3:$G$22&gt;B2600)*(Calc!$G$3:$G$22-B2600)^2)</f>
        <v/>
      </c>
      <c r="K2600">
        <f>SUMPRODUCT(Calc!$K$3:$K$22*(Calc!$G$3:$G$22&gt;A2600)*(Calc!$G$3:$G$22-A2600)*(Calc!$G$3:$G$22&gt;B2600)*(Calc!$G$3:$G$22-B2600))</f>
        <v/>
      </c>
      <c r="L2600">
        <f>SUMPRODUCT(Calc!$K$3:$K$22*(Calc!$G$3:$G$22&gt;A2600)*(Calc!$G$3:$G$22-A2600)*Calc!$G$3:$G$22)</f>
        <v/>
      </c>
      <c r="M2600">
        <f>SUMPRODUCT(Calc!$K$3:$K$22*(Calc!$G$3:$G$22&gt;B2600)*(Calc!$G$3:$G$22-B2600)*Calc!$G$3:$G$22)</f>
        <v/>
      </c>
      <c r="N2600">
        <f>SUMPRODUCT(Calc!$K$3:$K$22*(Calc!$G$3:$G$22&gt;A2600)*(Calc!$G$3:$G$22-A2600)*Calc!$I$3:$I$22)</f>
        <v/>
      </c>
      <c r="O2600">
        <f>SUMPRODUCT(Calc!$K$3:$K$22*(Calc!$G$3:$G$22&gt;B2600)*(Calc!$G$3:$G$22-B2600)*Calc!$I$3:$I$22)</f>
        <v/>
      </c>
      <c r="P2600">
        <f>I2600-G2600^2/k_n</f>
        <v/>
      </c>
      <c r="Q2600">
        <f>J2600-H2600^2/k_n</f>
        <v/>
      </c>
      <c r="R2600">
        <f>K2600-G2600*H2600/k_n</f>
        <v/>
      </c>
      <c r="S2600">
        <f>L2600-LTP3!$D$3*G2600/k_n</f>
        <v/>
      </c>
      <c r="T2600">
        <f>M2600-LTP3!$D$3*H2600/k_n</f>
        <v/>
      </c>
      <c r="U2600">
        <f>N2600-G2600*LTP3!$D$4/k_n</f>
        <v/>
      </c>
      <c r="V2600">
        <f>O2600-H2600*LTP3!$D$4/k_n</f>
        <v/>
      </c>
      <c r="W2600">
        <f>((LTP3!$D$5)*((P2600)*(Q2600)-(R2600)*(R2600))-(S2600)*((S2600)*(Q2600)-(R2600)*(T2600))+(T2600)*((S2600)*(R2600)-(P2600)*(T2600)))</f>
        <v/>
      </c>
      <c r="X2600">
        <f>IF(ABS(W2600)&gt;1E-12,((LTP3!$D$6)*((P2600)*(Q2600)-(R2600)*(R2600))-(S2600)*((U2600)*(Q2600)-(R2600)*(V2600))+(T2600)*((U2600)*(R2600)-(P2600)*(V2600)))/W2600,0)</f>
        <v/>
      </c>
      <c r="Y2600">
        <f>IF(ABS(W2600)&gt;1E-12,((LTP3!$D$5)*((U2600)*(Q2600)-(R2600)*(V2600))-(LTP3!$D$6)*((S2600)*(Q2600)-(R2600)*(T2600))+(T2600)*((S2600)*(V2600)-(U2600)*(T2600)))/W2600,0)</f>
        <v/>
      </c>
      <c r="Z2600">
        <f>IF(ABS(W2600)&gt;1E-12,((LTP3!$D$5)*((P2600)*(V2600)-(U2600)*(R2600))-(S2600)*((S2600)*(V2600)-(U2600)*(T2600))+(LTP3!$D$6)*((S2600)*(R2600)-(P2600)*(T2600)))/W2600,0)</f>
        <v/>
      </c>
      <c r="AA2600">
        <f>LTP3!$D$7-X2600*LTP3!$D$6-Y2600*U2600-Z2600*V2600</f>
        <v/>
      </c>
      <c r="AB2600">
        <f>IF(AND(F2600,ABS(W2600)&gt;1E-12,Y2600&gt;0,Z2600&gt;0),AA2600,1E+300)</f>
        <v/>
      </c>
    </row>
    <row r="2601">
      <c r="A2601">
        <f>$B$3+$B$5*42</f>
        <v/>
      </c>
      <c r="B2601">
        <f>$B$3+$B$5*27</f>
        <v/>
      </c>
      <c r="C2601">
        <f>SUMPRODUCT(Calc!$K$3:$K$22*(Calc!$G$3:$G$22&lt;=A2601))</f>
        <v/>
      </c>
      <c r="D2601">
        <f>SUMPRODUCT(Calc!$K$3:$K$22*(Calc!$G$3:$G$22&gt;A2601)*(Calc!$G$3:$G$22&lt;B2601))</f>
        <v/>
      </c>
      <c r="E2601">
        <f>SUMPRODUCT(Calc!$K$3:$K$22*(Calc!$G$3:$G$22&gt;=B2601))</f>
        <v/>
      </c>
      <c r="F2601">
        <f>AND(k_n&gt;=5,B2601&gt;A2601+1E-9,C2601&gt;=2,D2601&gt;=1,E2601&gt;=2)</f>
        <v/>
      </c>
      <c r="G2601">
        <f>SUMPRODUCT(Calc!$K$3:$K$22*(Calc!$G$3:$G$22&gt;A2601)*(Calc!$G$3:$G$22-A2601))</f>
        <v/>
      </c>
      <c r="H2601">
        <f>SUMPRODUCT(Calc!$K$3:$K$22*(Calc!$G$3:$G$22&gt;B2601)*(Calc!$G$3:$G$22-B2601))</f>
        <v/>
      </c>
      <c r="I2601">
        <f>SUMPRODUCT(Calc!$K$3:$K$22*(Calc!$G$3:$G$22&gt;A2601)*(Calc!$G$3:$G$22-A2601)^2)</f>
        <v/>
      </c>
      <c r="J2601">
        <f>SUMPRODUCT(Calc!$K$3:$K$22*(Calc!$G$3:$G$22&gt;B2601)*(Calc!$G$3:$G$22-B2601)^2)</f>
        <v/>
      </c>
      <c r="K2601">
        <f>SUMPRODUCT(Calc!$K$3:$K$22*(Calc!$G$3:$G$22&gt;A2601)*(Calc!$G$3:$G$22-A2601)*(Calc!$G$3:$G$22&gt;B2601)*(Calc!$G$3:$G$22-B2601))</f>
        <v/>
      </c>
      <c r="L2601">
        <f>SUMPRODUCT(Calc!$K$3:$K$22*(Calc!$G$3:$G$22&gt;A2601)*(Calc!$G$3:$G$22-A2601)*Calc!$G$3:$G$22)</f>
        <v/>
      </c>
      <c r="M2601">
        <f>SUMPRODUCT(Calc!$K$3:$K$22*(Calc!$G$3:$G$22&gt;B2601)*(Calc!$G$3:$G$22-B2601)*Calc!$G$3:$G$22)</f>
        <v/>
      </c>
      <c r="N2601">
        <f>SUMPRODUCT(Calc!$K$3:$K$22*(Calc!$G$3:$G$22&gt;A2601)*(Calc!$G$3:$G$22-A2601)*Calc!$I$3:$I$22)</f>
        <v/>
      </c>
      <c r="O2601">
        <f>SUMPRODUCT(Calc!$K$3:$K$22*(Calc!$G$3:$G$22&gt;B2601)*(Calc!$G$3:$G$22-B2601)*Calc!$I$3:$I$22)</f>
        <v/>
      </c>
      <c r="P2601">
        <f>I2601-G2601^2/k_n</f>
        <v/>
      </c>
      <c r="Q2601">
        <f>J2601-H2601^2/k_n</f>
        <v/>
      </c>
      <c r="R2601">
        <f>K2601-G2601*H2601/k_n</f>
        <v/>
      </c>
      <c r="S2601">
        <f>L2601-LTP3!$D$3*G2601/k_n</f>
        <v/>
      </c>
      <c r="T2601">
        <f>M2601-LTP3!$D$3*H2601/k_n</f>
        <v/>
      </c>
      <c r="U2601">
        <f>N2601-G2601*LTP3!$D$4/k_n</f>
        <v/>
      </c>
      <c r="V2601">
        <f>O2601-H2601*LTP3!$D$4/k_n</f>
        <v/>
      </c>
      <c r="W2601">
        <f>((LTP3!$D$5)*((P2601)*(Q2601)-(R2601)*(R2601))-(S2601)*((S2601)*(Q2601)-(R2601)*(T2601))+(T2601)*((S2601)*(R2601)-(P2601)*(T2601)))</f>
        <v/>
      </c>
      <c r="X2601">
        <f>IF(ABS(W2601)&gt;1E-12,((LTP3!$D$6)*((P2601)*(Q2601)-(R2601)*(R2601))-(S2601)*((U2601)*(Q2601)-(R2601)*(V2601))+(T2601)*((U2601)*(R2601)-(P2601)*(V2601)))/W2601,0)</f>
        <v/>
      </c>
      <c r="Y2601">
        <f>IF(ABS(W2601)&gt;1E-12,((LTP3!$D$5)*((U2601)*(Q2601)-(R2601)*(V2601))-(LTP3!$D$6)*((S2601)*(Q2601)-(R2601)*(T2601))+(T2601)*((S2601)*(V2601)-(U2601)*(T2601)))/W2601,0)</f>
        <v/>
      </c>
      <c r="Z2601">
        <f>IF(ABS(W2601)&gt;1E-12,((LTP3!$D$5)*((P2601)*(V2601)-(U2601)*(R2601))-(S2601)*((S2601)*(V2601)-(U2601)*(T2601))+(LTP3!$D$6)*((S2601)*(R2601)-(P2601)*(T2601)))/W2601,0)</f>
        <v/>
      </c>
      <c r="AA2601">
        <f>LTP3!$D$7-X2601*LTP3!$D$6-Y2601*U2601-Z2601*V2601</f>
        <v/>
      </c>
      <c r="AB2601">
        <f>IF(AND(F2601,ABS(W2601)&gt;1E-12,Y2601&gt;0,Z2601&gt;0),AA2601,1E+300)</f>
        <v/>
      </c>
    </row>
    <row r="2602">
      <c r="A2602">
        <f>$B$3+$B$5*42</f>
        <v/>
      </c>
      <c r="B2602">
        <f>$B$3+$B$5*28</f>
        <v/>
      </c>
      <c r="C2602">
        <f>SUMPRODUCT(Calc!$K$3:$K$22*(Calc!$G$3:$G$22&lt;=A2602))</f>
        <v/>
      </c>
      <c r="D2602">
        <f>SUMPRODUCT(Calc!$K$3:$K$22*(Calc!$G$3:$G$22&gt;A2602)*(Calc!$G$3:$G$22&lt;B2602))</f>
        <v/>
      </c>
      <c r="E2602">
        <f>SUMPRODUCT(Calc!$K$3:$K$22*(Calc!$G$3:$G$22&gt;=B2602))</f>
        <v/>
      </c>
      <c r="F2602">
        <f>AND(k_n&gt;=5,B2602&gt;A2602+1E-9,C2602&gt;=2,D2602&gt;=1,E2602&gt;=2)</f>
        <v/>
      </c>
      <c r="G2602">
        <f>SUMPRODUCT(Calc!$K$3:$K$22*(Calc!$G$3:$G$22&gt;A2602)*(Calc!$G$3:$G$22-A2602))</f>
        <v/>
      </c>
      <c r="H2602">
        <f>SUMPRODUCT(Calc!$K$3:$K$22*(Calc!$G$3:$G$22&gt;B2602)*(Calc!$G$3:$G$22-B2602))</f>
        <v/>
      </c>
      <c r="I2602">
        <f>SUMPRODUCT(Calc!$K$3:$K$22*(Calc!$G$3:$G$22&gt;A2602)*(Calc!$G$3:$G$22-A2602)^2)</f>
        <v/>
      </c>
      <c r="J2602">
        <f>SUMPRODUCT(Calc!$K$3:$K$22*(Calc!$G$3:$G$22&gt;B2602)*(Calc!$G$3:$G$22-B2602)^2)</f>
        <v/>
      </c>
      <c r="K2602">
        <f>SUMPRODUCT(Calc!$K$3:$K$22*(Calc!$G$3:$G$22&gt;A2602)*(Calc!$G$3:$G$22-A2602)*(Calc!$G$3:$G$22&gt;B2602)*(Calc!$G$3:$G$22-B2602))</f>
        <v/>
      </c>
      <c r="L2602">
        <f>SUMPRODUCT(Calc!$K$3:$K$22*(Calc!$G$3:$G$22&gt;A2602)*(Calc!$G$3:$G$22-A2602)*Calc!$G$3:$G$22)</f>
        <v/>
      </c>
      <c r="M2602">
        <f>SUMPRODUCT(Calc!$K$3:$K$22*(Calc!$G$3:$G$22&gt;B2602)*(Calc!$G$3:$G$22-B2602)*Calc!$G$3:$G$22)</f>
        <v/>
      </c>
      <c r="N2602">
        <f>SUMPRODUCT(Calc!$K$3:$K$22*(Calc!$G$3:$G$22&gt;A2602)*(Calc!$G$3:$G$22-A2602)*Calc!$I$3:$I$22)</f>
        <v/>
      </c>
      <c r="O2602">
        <f>SUMPRODUCT(Calc!$K$3:$K$22*(Calc!$G$3:$G$22&gt;B2602)*(Calc!$G$3:$G$22-B2602)*Calc!$I$3:$I$22)</f>
        <v/>
      </c>
      <c r="P2602">
        <f>I2602-G2602^2/k_n</f>
        <v/>
      </c>
      <c r="Q2602">
        <f>J2602-H2602^2/k_n</f>
        <v/>
      </c>
      <c r="R2602">
        <f>K2602-G2602*H2602/k_n</f>
        <v/>
      </c>
      <c r="S2602">
        <f>L2602-LTP3!$D$3*G2602/k_n</f>
        <v/>
      </c>
      <c r="T2602">
        <f>M2602-LTP3!$D$3*H2602/k_n</f>
        <v/>
      </c>
      <c r="U2602">
        <f>N2602-G2602*LTP3!$D$4/k_n</f>
        <v/>
      </c>
      <c r="V2602">
        <f>O2602-H2602*LTP3!$D$4/k_n</f>
        <v/>
      </c>
      <c r="W2602">
        <f>((LTP3!$D$5)*((P2602)*(Q2602)-(R2602)*(R2602))-(S2602)*((S2602)*(Q2602)-(R2602)*(T2602))+(T2602)*((S2602)*(R2602)-(P2602)*(T2602)))</f>
        <v/>
      </c>
      <c r="X2602">
        <f>IF(ABS(W2602)&gt;1E-12,((LTP3!$D$6)*((P2602)*(Q2602)-(R2602)*(R2602))-(S2602)*((U2602)*(Q2602)-(R2602)*(V2602))+(T2602)*((U2602)*(R2602)-(P2602)*(V2602)))/W2602,0)</f>
        <v/>
      </c>
      <c r="Y2602">
        <f>IF(ABS(W2602)&gt;1E-12,((LTP3!$D$5)*((U2602)*(Q2602)-(R2602)*(V2602))-(LTP3!$D$6)*((S2602)*(Q2602)-(R2602)*(T2602))+(T2602)*((S2602)*(V2602)-(U2602)*(T2602)))/W2602,0)</f>
        <v/>
      </c>
      <c r="Z2602">
        <f>IF(ABS(W2602)&gt;1E-12,((LTP3!$D$5)*((P2602)*(V2602)-(U2602)*(R2602))-(S2602)*((S2602)*(V2602)-(U2602)*(T2602))+(LTP3!$D$6)*((S2602)*(R2602)-(P2602)*(T2602)))/W2602,0)</f>
        <v/>
      </c>
      <c r="AA2602">
        <f>LTP3!$D$7-X2602*LTP3!$D$6-Y2602*U2602-Z2602*V2602</f>
        <v/>
      </c>
      <c r="AB2602">
        <f>IF(AND(F2602,ABS(W2602)&gt;1E-12,Y2602&gt;0,Z2602&gt;0),AA2602,1E+300)</f>
        <v/>
      </c>
    </row>
    <row r="2603">
      <c r="A2603">
        <f>$B$3+$B$5*42</f>
        <v/>
      </c>
      <c r="B2603">
        <f>$B$3+$B$5*29</f>
        <v/>
      </c>
      <c r="C2603">
        <f>SUMPRODUCT(Calc!$K$3:$K$22*(Calc!$G$3:$G$22&lt;=A2603))</f>
        <v/>
      </c>
      <c r="D2603">
        <f>SUMPRODUCT(Calc!$K$3:$K$22*(Calc!$G$3:$G$22&gt;A2603)*(Calc!$G$3:$G$22&lt;B2603))</f>
        <v/>
      </c>
      <c r="E2603">
        <f>SUMPRODUCT(Calc!$K$3:$K$22*(Calc!$G$3:$G$22&gt;=B2603))</f>
        <v/>
      </c>
      <c r="F2603">
        <f>AND(k_n&gt;=5,B2603&gt;A2603+1E-9,C2603&gt;=2,D2603&gt;=1,E2603&gt;=2)</f>
        <v/>
      </c>
      <c r="G2603">
        <f>SUMPRODUCT(Calc!$K$3:$K$22*(Calc!$G$3:$G$22&gt;A2603)*(Calc!$G$3:$G$22-A2603))</f>
        <v/>
      </c>
      <c r="H2603">
        <f>SUMPRODUCT(Calc!$K$3:$K$22*(Calc!$G$3:$G$22&gt;B2603)*(Calc!$G$3:$G$22-B2603))</f>
        <v/>
      </c>
      <c r="I2603">
        <f>SUMPRODUCT(Calc!$K$3:$K$22*(Calc!$G$3:$G$22&gt;A2603)*(Calc!$G$3:$G$22-A2603)^2)</f>
        <v/>
      </c>
      <c r="J2603">
        <f>SUMPRODUCT(Calc!$K$3:$K$22*(Calc!$G$3:$G$22&gt;B2603)*(Calc!$G$3:$G$22-B2603)^2)</f>
        <v/>
      </c>
      <c r="K2603">
        <f>SUMPRODUCT(Calc!$K$3:$K$22*(Calc!$G$3:$G$22&gt;A2603)*(Calc!$G$3:$G$22-A2603)*(Calc!$G$3:$G$22&gt;B2603)*(Calc!$G$3:$G$22-B2603))</f>
        <v/>
      </c>
      <c r="L2603">
        <f>SUMPRODUCT(Calc!$K$3:$K$22*(Calc!$G$3:$G$22&gt;A2603)*(Calc!$G$3:$G$22-A2603)*Calc!$G$3:$G$22)</f>
        <v/>
      </c>
      <c r="M2603">
        <f>SUMPRODUCT(Calc!$K$3:$K$22*(Calc!$G$3:$G$22&gt;B2603)*(Calc!$G$3:$G$22-B2603)*Calc!$G$3:$G$22)</f>
        <v/>
      </c>
      <c r="N2603">
        <f>SUMPRODUCT(Calc!$K$3:$K$22*(Calc!$G$3:$G$22&gt;A2603)*(Calc!$G$3:$G$22-A2603)*Calc!$I$3:$I$22)</f>
        <v/>
      </c>
      <c r="O2603">
        <f>SUMPRODUCT(Calc!$K$3:$K$22*(Calc!$G$3:$G$22&gt;B2603)*(Calc!$G$3:$G$22-B2603)*Calc!$I$3:$I$22)</f>
        <v/>
      </c>
      <c r="P2603">
        <f>I2603-G2603^2/k_n</f>
        <v/>
      </c>
      <c r="Q2603">
        <f>J2603-H2603^2/k_n</f>
        <v/>
      </c>
      <c r="R2603">
        <f>K2603-G2603*H2603/k_n</f>
        <v/>
      </c>
      <c r="S2603">
        <f>L2603-LTP3!$D$3*G2603/k_n</f>
        <v/>
      </c>
      <c r="T2603">
        <f>M2603-LTP3!$D$3*H2603/k_n</f>
        <v/>
      </c>
      <c r="U2603">
        <f>N2603-G2603*LTP3!$D$4/k_n</f>
        <v/>
      </c>
      <c r="V2603">
        <f>O2603-H2603*LTP3!$D$4/k_n</f>
        <v/>
      </c>
      <c r="W2603">
        <f>((LTP3!$D$5)*((P2603)*(Q2603)-(R2603)*(R2603))-(S2603)*((S2603)*(Q2603)-(R2603)*(T2603))+(T2603)*((S2603)*(R2603)-(P2603)*(T2603)))</f>
        <v/>
      </c>
      <c r="X2603">
        <f>IF(ABS(W2603)&gt;1E-12,((LTP3!$D$6)*((P2603)*(Q2603)-(R2603)*(R2603))-(S2603)*((U2603)*(Q2603)-(R2603)*(V2603))+(T2603)*((U2603)*(R2603)-(P2603)*(V2603)))/W2603,0)</f>
        <v/>
      </c>
      <c r="Y2603">
        <f>IF(ABS(W2603)&gt;1E-12,((LTP3!$D$5)*((U2603)*(Q2603)-(R2603)*(V2603))-(LTP3!$D$6)*((S2603)*(Q2603)-(R2603)*(T2603))+(T2603)*((S2603)*(V2603)-(U2603)*(T2603)))/W2603,0)</f>
        <v/>
      </c>
      <c r="Z2603">
        <f>IF(ABS(W2603)&gt;1E-12,((LTP3!$D$5)*((P2603)*(V2603)-(U2603)*(R2603))-(S2603)*((S2603)*(V2603)-(U2603)*(T2603))+(LTP3!$D$6)*((S2603)*(R2603)-(P2603)*(T2603)))/W2603,0)</f>
        <v/>
      </c>
      <c r="AA2603">
        <f>LTP3!$D$7-X2603*LTP3!$D$6-Y2603*U2603-Z2603*V2603</f>
        <v/>
      </c>
      <c r="AB2603">
        <f>IF(AND(F2603,ABS(W2603)&gt;1E-12,Y2603&gt;0,Z2603&gt;0),AA2603,1E+300)</f>
        <v/>
      </c>
    </row>
    <row r="2604">
      <c r="A2604">
        <f>$B$3+$B$5*42</f>
        <v/>
      </c>
      <c r="B2604">
        <f>$B$3+$B$5*30</f>
        <v/>
      </c>
      <c r="C2604">
        <f>SUMPRODUCT(Calc!$K$3:$K$22*(Calc!$G$3:$G$22&lt;=A2604))</f>
        <v/>
      </c>
      <c r="D2604">
        <f>SUMPRODUCT(Calc!$K$3:$K$22*(Calc!$G$3:$G$22&gt;A2604)*(Calc!$G$3:$G$22&lt;B2604))</f>
        <v/>
      </c>
      <c r="E2604">
        <f>SUMPRODUCT(Calc!$K$3:$K$22*(Calc!$G$3:$G$22&gt;=B2604))</f>
        <v/>
      </c>
      <c r="F2604">
        <f>AND(k_n&gt;=5,B2604&gt;A2604+1E-9,C2604&gt;=2,D2604&gt;=1,E2604&gt;=2)</f>
        <v/>
      </c>
      <c r="G2604">
        <f>SUMPRODUCT(Calc!$K$3:$K$22*(Calc!$G$3:$G$22&gt;A2604)*(Calc!$G$3:$G$22-A2604))</f>
        <v/>
      </c>
      <c r="H2604">
        <f>SUMPRODUCT(Calc!$K$3:$K$22*(Calc!$G$3:$G$22&gt;B2604)*(Calc!$G$3:$G$22-B2604))</f>
        <v/>
      </c>
      <c r="I2604">
        <f>SUMPRODUCT(Calc!$K$3:$K$22*(Calc!$G$3:$G$22&gt;A2604)*(Calc!$G$3:$G$22-A2604)^2)</f>
        <v/>
      </c>
      <c r="J2604">
        <f>SUMPRODUCT(Calc!$K$3:$K$22*(Calc!$G$3:$G$22&gt;B2604)*(Calc!$G$3:$G$22-B2604)^2)</f>
        <v/>
      </c>
      <c r="K2604">
        <f>SUMPRODUCT(Calc!$K$3:$K$22*(Calc!$G$3:$G$22&gt;A2604)*(Calc!$G$3:$G$22-A2604)*(Calc!$G$3:$G$22&gt;B2604)*(Calc!$G$3:$G$22-B2604))</f>
        <v/>
      </c>
      <c r="L2604">
        <f>SUMPRODUCT(Calc!$K$3:$K$22*(Calc!$G$3:$G$22&gt;A2604)*(Calc!$G$3:$G$22-A2604)*Calc!$G$3:$G$22)</f>
        <v/>
      </c>
      <c r="M2604">
        <f>SUMPRODUCT(Calc!$K$3:$K$22*(Calc!$G$3:$G$22&gt;B2604)*(Calc!$G$3:$G$22-B2604)*Calc!$G$3:$G$22)</f>
        <v/>
      </c>
      <c r="N2604">
        <f>SUMPRODUCT(Calc!$K$3:$K$22*(Calc!$G$3:$G$22&gt;A2604)*(Calc!$G$3:$G$22-A2604)*Calc!$I$3:$I$22)</f>
        <v/>
      </c>
      <c r="O2604">
        <f>SUMPRODUCT(Calc!$K$3:$K$22*(Calc!$G$3:$G$22&gt;B2604)*(Calc!$G$3:$G$22-B2604)*Calc!$I$3:$I$22)</f>
        <v/>
      </c>
      <c r="P2604">
        <f>I2604-G2604^2/k_n</f>
        <v/>
      </c>
      <c r="Q2604">
        <f>J2604-H2604^2/k_n</f>
        <v/>
      </c>
      <c r="R2604">
        <f>K2604-G2604*H2604/k_n</f>
        <v/>
      </c>
      <c r="S2604">
        <f>L2604-LTP3!$D$3*G2604/k_n</f>
        <v/>
      </c>
      <c r="T2604">
        <f>M2604-LTP3!$D$3*H2604/k_n</f>
        <v/>
      </c>
      <c r="U2604">
        <f>N2604-G2604*LTP3!$D$4/k_n</f>
        <v/>
      </c>
      <c r="V2604">
        <f>O2604-H2604*LTP3!$D$4/k_n</f>
        <v/>
      </c>
      <c r="W2604">
        <f>((LTP3!$D$5)*((P2604)*(Q2604)-(R2604)*(R2604))-(S2604)*((S2604)*(Q2604)-(R2604)*(T2604))+(T2604)*((S2604)*(R2604)-(P2604)*(T2604)))</f>
        <v/>
      </c>
      <c r="X2604">
        <f>IF(ABS(W2604)&gt;1E-12,((LTP3!$D$6)*((P2604)*(Q2604)-(R2604)*(R2604))-(S2604)*((U2604)*(Q2604)-(R2604)*(V2604))+(T2604)*((U2604)*(R2604)-(P2604)*(V2604)))/W2604,0)</f>
        <v/>
      </c>
      <c r="Y2604">
        <f>IF(ABS(W2604)&gt;1E-12,((LTP3!$D$5)*((U2604)*(Q2604)-(R2604)*(V2604))-(LTP3!$D$6)*((S2604)*(Q2604)-(R2604)*(T2604))+(T2604)*((S2604)*(V2604)-(U2604)*(T2604)))/W2604,0)</f>
        <v/>
      </c>
      <c r="Z2604">
        <f>IF(ABS(W2604)&gt;1E-12,((LTP3!$D$5)*((P2604)*(V2604)-(U2604)*(R2604))-(S2604)*((S2604)*(V2604)-(U2604)*(T2604))+(LTP3!$D$6)*((S2604)*(R2604)-(P2604)*(T2604)))/W2604,0)</f>
        <v/>
      </c>
      <c r="AA2604">
        <f>LTP3!$D$7-X2604*LTP3!$D$6-Y2604*U2604-Z2604*V2604</f>
        <v/>
      </c>
      <c r="AB2604">
        <f>IF(AND(F2604,ABS(W2604)&gt;1E-12,Y2604&gt;0,Z2604&gt;0),AA2604,1E+300)</f>
        <v/>
      </c>
    </row>
    <row r="2605">
      <c r="A2605">
        <f>$B$3+$B$5*42</f>
        <v/>
      </c>
      <c r="B2605">
        <f>$B$3+$B$5*31</f>
        <v/>
      </c>
      <c r="C2605">
        <f>SUMPRODUCT(Calc!$K$3:$K$22*(Calc!$G$3:$G$22&lt;=A2605))</f>
        <v/>
      </c>
      <c r="D2605">
        <f>SUMPRODUCT(Calc!$K$3:$K$22*(Calc!$G$3:$G$22&gt;A2605)*(Calc!$G$3:$G$22&lt;B2605))</f>
        <v/>
      </c>
      <c r="E2605">
        <f>SUMPRODUCT(Calc!$K$3:$K$22*(Calc!$G$3:$G$22&gt;=B2605))</f>
        <v/>
      </c>
      <c r="F2605">
        <f>AND(k_n&gt;=5,B2605&gt;A2605+1E-9,C2605&gt;=2,D2605&gt;=1,E2605&gt;=2)</f>
        <v/>
      </c>
      <c r="G2605">
        <f>SUMPRODUCT(Calc!$K$3:$K$22*(Calc!$G$3:$G$22&gt;A2605)*(Calc!$G$3:$G$22-A2605))</f>
        <v/>
      </c>
      <c r="H2605">
        <f>SUMPRODUCT(Calc!$K$3:$K$22*(Calc!$G$3:$G$22&gt;B2605)*(Calc!$G$3:$G$22-B2605))</f>
        <v/>
      </c>
      <c r="I2605">
        <f>SUMPRODUCT(Calc!$K$3:$K$22*(Calc!$G$3:$G$22&gt;A2605)*(Calc!$G$3:$G$22-A2605)^2)</f>
        <v/>
      </c>
      <c r="J2605">
        <f>SUMPRODUCT(Calc!$K$3:$K$22*(Calc!$G$3:$G$22&gt;B2605)*(Calc!$G$3:$G$22-B2605)^2)</f>
        <v/>
      </c>
      <c r="K2605">
        <f>SUMPRODUCT(Calc!$K$3:$K$22*(Calc!$G$3:$G$22&gt;A2605)*(Calc!$G$3:$G$22-A2605)*(Calc!$G$3:$G$22&gt;B2605)*(Calc!$G$3:$G$22-B2605))</f>
        <v/>
      </c>
      <c r="L2605">
        <f>SUMPRODUCT(Calc!$K$3:$K$22*(Calc!$G$3:$G$22&gt;A2605)*(Calc!$G$3:$G$22-A2605)*Calc!$G$3:$G$22)</f>
        <v/>
      </c>
      <c r="M2605">
        <f>SUMPRODUCT(Calc!$K$3:$K$22*(Calc!$G$3:$G$22&gt;B2605)*(Calc!$G$3:$G$22-B2605)*Calc!$G$3:$G$22)</f>
        <v/>
      </c>
      <c r="N2605">
        <f>SUMPRODUCT(Calc!$K$3:$K$22*(Calc!$G$3:$G$22&gt;A2605)*(Calc!$G$3:$G$22-A2605)*Calc!$I$3:$I$22)</f>
        <v/>
      </c>
      <c r="O2605">
        <f>SUMPRODUCT(Calc!$K$3:$K$22*(Calc!$G$3:$G$22&gt;B2605)*(Calc!$G$3:$G$22-B2605)*Calc!$I$3:$I$22)</f>
        <v/>
      </c>
      <c r="P2605">
        <f>I2605-G2605^2/k_n</f>
        <v/>
      </c>
      <c r="Q2605">
        <f>J2605-H2605^2/k_n</f>
        <v/>
      </c>
      <c r="R2605">
        <f>K2605-G2605*H2605/k_n</f>
        <v/>
      </c>
      <c r="S2605">
        <f>L2605-LTP3!$D$3*G2605/k_n</f>
        <v/>
      </c>
      <c r="T2605">
        <f>M2605-LTP3!$D$3*H2605/k_n</f>
        <v/>
      </c>
      <c r="U2605">
        <f>N2605-G2605*LTP3!$D$4/k_n</f>
        <v/>
      </c>
      <c r="V2605">
        <f>O2605-H2605*LTP3!$D$4/k_n</f>
        <v/>
      </c>
      <c r="W2605">
        <f>((LTP3!$D$5)*((P2605)*(Q2605)-(R2605)*(R2605))-(S2605)*((S2605)*(Q2605)-(R2605)*(T2605))+(T2605)*((S2605)*(R2605)-(P2605)*(T2605)))</f>
        <v/>
      </c>
      <c r="X2605">
        <f>IF(ABS(W2605)&gt;1E-12,((LTP3!$D$6)*((P2605)*(Q2605)-(R2605)*(R2605))-(S2605)*((U2605)*(Q2605)-(R2605)*(V2605))+(T2605)*((U2605)*(R2605)-(P2605)*(V2605)))/W2605,0)</f>
        <v/>
      </c>
      <c r="Y2605">
        <f>IF(ABS(W2605)&gt;1E-12,((LTP3!$D$5)*((U2605)*(Q2605)-(R2605)*(V2605))-(LTP3!$D$6)*((S2605)*(Q2605)-(R2605)*(T2605))+(T2605)*((S2605)*(V2605)-(U2605)*(T2605)))/W2605,0)</f>
        <v/>
      </c>
      <c r="Z2605">
        <f>IF(ABS(W2605)&gt;1E-12,((LTP3!$D$5)*((P2605)*(V2605)-(U2605)*(R2605))-(S2605)*((S2605)*(V2605)-(U2605)*(T2605))+(LTP3!$D$6)*((S2605)*(R2605)-(P2605)*(T2605)))/W2605,0)</f>
        <v/>
      </c>
      <c r="AA2605">
        <f>LTP3!$D$7-X2605*LTP3!$D$6-Y2605*U2605-Z2605*V2605</f>
        <v/>
      </c>
      <c r="AB2605">
        <f>IF(AND(F2605,ABS(W2605)&gt;1E-12,Y2605&gt;0,Z2605&gt;0),AA2605,1E+300)</f>
        <v/>
      </c>
    </row>
    <row r="2606">
      <c r="A2606">
        <f>$B$3+$B$5*42</f>
        <v/>
      </c>
      <c r="B2606">
        <f>$B$3+$B$5*32</f>
        <v/>
      </c>
      <c r="C2606">
        <f>SUMPRODUCT(Calc!$K$3:$K$22*(Calc!$G$3:$G$22&lt;=A2606))</f>
        <v/>
      </c>
      <c r="D2606">
        <f>SUMPRODUCT(Calc!$K$3:$K$22*(Calc!$G$3:$G$22&gt;A2606)*(Calc!$G$3:$G$22&lt;B2606))</f>
        <v/>
      </c>
      <c r="E2606">
        <f>SUMPRODUCT(Calc!$K$3:$K$22*(Calc!$G$3:$G$22&gt;=B2606))</f>
        <v/>
      </c>
      <c r="F2606">
        <f>AND(k_n&gt;=5,B2606&gt;A2606+1E-9,C2606&gt;=2,D2606&gt;=1,E2606&gt;=2)</f>
        <v/>
      </c>
      <c r="G2606">
        <f>SUMPRODUCT(Calc!$K$3:$K$22*(Calc!$G$3:$G$22&gt;A2606)*(Calc!$G$3:$G$22-A2606))</f>
        <v/>
      </c>
      <c r="H2606">
        <f>SUMPRODUCT(Calc!$K$3:$K$22*(Calc!$G$3:$G$22&gt;B2606)*(Calc!$G$3:$G$22-B2606))</f>
        <v/>
      </c>
      <c r="I2606">
        <f>SUMPRODUCT(Calc!$K$3:$K$22*(Calc!$G$3:$G$22&gt;A2606)*(Calc!$G$3:$G$22-A2606)^2)</f>
        <v/>
      </c>
      <c r="J2606">
        <f>SUMPRODUCT(Calc!$K$3:$K$22*(Calc!$G$3:$G$22&gt;B2606)*(Calc!$G$3:$G$22-B2606)^2)</f>
        <v/>
      </c>
      <c r="K2606">
        <f>SUMPRODUCT(Calc!$K$3:$K$22*(Calc!$G$3:$G$22&gt;A2606)*(Calc!$G$3:$G$22-A2606)*(Calc!$G$3:$G$22&gt;B2606)*(Calc!$G$3:$G$22-B2606))</f>
        <v/>
      </c>
      <c r="L2606">
        <f>SUMPRODUCT(Calc!$K$3:$K$22*(Calc!$G$3:$G$22&gt;A2606)*(Calc!$G$3:$G$22-A2606)*Calc!$G$3:$G$22)</f>
        <v/>
      </c>
      <c r="M2606">
        <f>SUMPRODUCT(Calc!$K$3:$K$22*(Calc!$G$3:$G$22&gt;B2606)*(Calc!$G$3:$G$22-B2606)*Calc!$G$3:$G$22)</f>
        <v/>
      </c>
      <c r="N2606">
        <f>SUMPRODUCT(Calc!$K$3:$K$22*(Calc!$G$3:$G$22&gt;A2606)*(Calc!$G$3:$G$22-A2606)*Calc!$I$3:$I$22)</f>
        <v/>
      </c>
      <c r="O2606">
        <f>SUMPRODUCT(Calc!$K$3:$K$22*(Calc!$G$3:$G$22&gt;B2606)*(Calc!$G$3:$G$22-B2606)*Calc!$I$3:$I$22)</f>
        <v/>
      </c>
      <c r="P2606">
        <f>I2606-G2606^2/k_n</f>
        <v/>
      </c>
      <c r="Q2606">
        <f>J2606-H2606^2/k_n</f>
        <v/>
      </c>
      <c r="R2606">
        <f>K2606-G2606*H2606/k_n</f>
        <v/>
      </c>
      <c r="S2606">
        <f>L2606-LTP3!$D$3*G2606/k_n</f>
        <v/>
      </c>
      <c r="T2606">
        <f>M2606-LTP3!$D$3*H2606/k_n</f>
        <v/>
      </c>
      <c r="U2606">
        <f>N2606-G2606*LTP3!$D$4/k_n</f>
        <v/>
      </c>
      <c r="V2606">
        <f>O2606-H2606*LTP3!$D$4/k_n</f>
        <v/>
      </c>
      <c r="W2606">
        <f>((LTP3!$D$5)*((P2606)*(Q2606)-(R2606)*(R2606))-(S2606)*((S2606)*(Q2606)-(R2606)*(T2606))+(T2606)*((S2606)*(R2606)-(P2606)*(T2606)))</f>
        <v/>
      </c>
      <c r="X2606">
        <f>IF(ABS(W2606)&gt;1E-12,((LTP3!$D$6)*((P2606)*(Q2606)-(R2606)*(R2606))-(S2606)*((U2606)*(Q2606)-(R2606)*(V2606))+(T2606)*((U2606)*(R2606)-(P2606)*(V2606)))/W2606,0)</f>
        <v/>
      </c>
      <c r="Y2606">
        <f>IF(ABS(W2606)&gt;1E-12,((LTP3!$D$5)*((U2606)*(Q2606)-(R2606)*(V2606))-(LTP3!$D$6)*((S2606)*(Q2606)-(R2606)*(T2606))+(T2606)*((S2606)*(V2606)-(U2606)*(T2606)))/W2606,0)</f>
        <v/>
      </c>
      <c r="Z2606">
        <f>IF(ABS(W2606)&gt;1E-12,((LTP3!$D$5)*((P2606)*(V2606)-(U2606)*(R2606))-(S2606)*((S2606)*(V2606)-(U2606)*(T2606))+(LTP3!$D$6)*((S2606)*(R2606)-(P2606)*(T2606)))/W2606,0)</f>
        <v/>
      </c>
      <c r="AA2606">
        <f>LTP3!$D$7-X2606*LTP3!$D$6-Y2606*U2606-Z2606*V2606</f>
        <v/>
      </c>
      <c r="AB2606">
        <f>IF(AND(F2606,ABS(W2606)&gt;1E-12,Y2606&gt;0,Z2606&gt;0),AA2606,1E+300)</f>
        <v/>
      </c>
    </row>
    <row r="2607">
      <c r="A2607">
        <f>$B$3+$B$5*42</f>
        <v/>
      </c>
      <c r="B2607">
        <f>$B$3+$B$5*33</f>
        <v/>
      </c>
      <c r="C2607">
        <f>SUMPRODUCT(Calc!$K$3:$K$22*(Calc!$G$3:$G$22&lt;=A2607))</f>
        <v/>
      </c>
      <c r="D2607">
        <f>SUMPRODUCT(Calc!$K$3:$K$22*(Calc!$G$3:$G$22&gt;A2607)*(Calc!$G$3:$G$22&lt;B2607))</f>
        <v/>
      </c>
      <c r="E2607">
        <f>SUMPRODUCT(Calc!$K$3:$K$22*(Calc!$G$3:$G$22&gt;=B2607))</f>
        <v/>
      </c>
      <c r="F2607">
        <f>AND(k_n&gt;=5,B2607&gt;A2607+1E-9,C2607&gt;=2,D2607&gt;=1,E2607&gt;=2)</f>
        <v/>
      </c>
      <c r="G2607">
        <f>SUMPRODUCT(Calc!$K$3:$K$22*(Calc!$G$3:$G$22&gt;A2607)*(Calc!$G$3:$G$22-A2607))</f>
        <v/>
      </c>
      <c r="H2607">
        <f>SUMPRODUCT(Calc!$K$3:$K$22*(Calc!$G$3:$G$22&gt;B2607)*(Calc!$G$3:$G$22-B2607))</f>
        <v/>
      </c>
      <c r="I2607">
        <f>SUMPRODUCT(Calc!$K$3:$K$22*(Calc!$G$3:$G$22&gt;A2607)*(Calc!$G$3:$G$22-A2607)^2)</f>
        <v/>
      </c>
      <c r="J2607">
        <f>SUMPRODUCT(Calc!$K$3:$K$22*(Calc!$G$3:$G$22&gt;B2607)*(Calc!$G$3:$G$22-B2607)^2)</f>
        <v/>
      </c>
      <c r="K2607">
        <f>SUMPRODUCT(Calc!$K$3:$K$22*(Calc!$G$3:$G$22&gt;A2607)*(Calc!$G$3:$G$22-A2607)*(Calc!$G$3:$G$22&gt;B2607)*(Calc!$G$3:$G$22-B2607))</f>
        <v/>
      </c>
      <c r="L2607">
        <f>SUMPRODUCT(Calc!$K$3:$K$22*(Calc!$G$3:$G$22&gt;A2607)*(Calc!$G$3:$G$22-A2607)*Calc!$G$3:$G$22)</f>
        <v/>
      </c>
      <c r="M2607">
        <f>SUMPRODUCT(Calc!$K$3:$K$22*(Calc!$G$3:$G$22&gt;B2607)*(Calc!$G$3:$G$22-B2607)*Calc!$G$3:$G$22)</f>
        <v/>
      </c>
      <c r="N2607">
        <f>SUMPRODUCT(Calc!$K$3:$K$22*(Calc!$G$3:$G$22&gt;A2607)*(Calc!$G$3:$G$22-A2607)*Calc!$I$3:$I$22)</f>
        <v/>
      </c>
      <c r="O2607">
        <f>SUMPRODUCT(Calc!$K$3:$K$22*(Calc!$G$3:$G$22&gt;B2607)*(Calc!$G$3:$G$22-B2607)*Calc!$I$3:$I$22)</f>
        <v/>
      </c>
      <c r="P2607">
        <f>I2607-G2607^2/k_n</f>
        <v/>
      </c>
      <c r="Q2607">
        <f>J2607-H2607^2/k_n</f>
        <v/>
      </c>
      <c r="R2607">
        <f>K2607-G2607*H2607/k_n</f>
        <v/>
      </c>
      <c r="S2607">
        <f>L2607-LTP3!$D$3*G2607/k_n</f>
        <v/>
      </c>
      <c r="T2607">
        <f>M2607-LTP3!$D$3*H2607/k_n</f>
        <v/>
      </c>
      <c r="U2607">
        <f>N2607-G2607*LTP3!$D$4/k_n</f>
        <v/>
      </c>
      <c r="V2607">
        <f>O2607-H2607*LTP3!$D$4/k_n</f>
        <v/>
      </c>
      <c r="W2607">
        <f>((LTP3!$D$5)*((P2607)*(Q2607)-(R2607)*(R2607))-(S2607)*((S2607)*(Q2607)-(R2607)*(T2607))+(T2607)*((S2607)*(R2607)-(P2607)*(T2607)))</f>
        <v/>
      </c>
      <c r="X2607">
        <f>IF(ABS(W2607)&gt;1E-12,((LTP3!$D$6)*((P2607)*(Q2607)-(R2607)*(R2607))-(S2607)*((U2607)*(Q2607)-(R2607)*(V2607))+(T2607)*((U2607)*(R2607)-(P2607)*(V2607)))/W2607,0)</f>
        <v/>
      </c>
      <c r="Y2607">
        <f>IF(ABS(W2607)&gt;1E-12,((LTP3!$D$5)*((U2607)*(Q2607)-(R2607)*(V2607))-(LTP3!$D$6)*((S2607)*(Q2607)-(R2607)*(T2607))+(T2607)*((S2607)*(V2607)-(U2607)*(T2607)))/W2607,0)</f>
        <v/>
      </c>
      <c r="Z2607">
        <f>IF(ABS(W2607)&gt;1E-12,((LTP3!$D$5)*((P2607)*(V2607)-(U2607)*(R2607))-(S2607)*((S2607)*(V2607)-(U2607)*(T2607))+(LTP3!$D$6)*((S2607)*(R2607)-(P2607)*(T2607)))/W2607,0)</f>
        <v/>
      </c>
      <c r="AA2607">
        <f>LTP3!$D$7-X2607*LTP3!$D$6-Y2607*U2607-Z2607*V2607</f>
        <v/>
      </c>
      <c r="AB2607">
        <f>IF(AND(F2607,ABS(W2607)&gt;1E-12,Y2607&gt;0,Z2607&gt;0),AA2607,1E+300)</f>
        <v/>
      </c>
    </row>
    <row r="2608">
      <c r="A2608">
        <f>$B$3+$B$5*42</f>
        <v/>
      </c>
      <c r="B2608">
        <f>$B$3+$B$5*34</f>
        <v/>
      </c>
      <c r="C2608">
        <f>SUMPRODUCT(Calc!$K$3:$K$22*(Calc!$G$3:$G$22&lt;=A2608))</f>
        <v/>
      </c>
      <c r="D2608">
        <f>SUMPRODUCT(Calc!$K$3:$K$22*(Calc!$G$3:$G$22&gt;A2608)*(Calc!$G$3:$G$22&lt;B2608))</f>
        <v/>
      </c>
      <c r="E2608">
        <f>SUMPRODUCT(Calc!$K$3:$K$22*(Calc!$G$3:$G$22&gt;=B2608))</f>
        <v/>
      </c>
      <c r="F2608">
        <f>AND(k_n&gt;=5,B2608&gt;A2608+1E-9,C2608&gt;=2,D2608&gt;=1,E2608&gt;=2)</f>
        <v/>
      </c>
      <c r="G2608">
        <f>SUMPRODUCT(Calc!$K$3:$K$22*(Calc!$G$3:$G$22&gt;A2608)*(Calc!$G$3:$G$22-A2608))</f>
        <v/>
      </c>
      <c r="H2608">
        <f>SUMPRODUCT(Calc!$K$3:$K$22*(Calc!$G$3:$G$22&gt;B2608)*(Calc!$G$3:$G$22-B2608))</f>
        <v/>
      </c>
      <c r="I2608">
        <f>SUMPRODUCT(Calc!$K$3:$K$22*(Calc!$G$3:$G$22&gt;A2608)*(Calc!$G$3:$G$22-A2608)^2)</f>
        <v/>
      </c>
      <c r="J2608">
        <f>SUMPRODUCT(Calc!$K$3:$K$22*(Calc!$G$3:$G$22&gt;B2608)*(Calc!$G$3:$G$22-B2608)^2)</f>
        <v/>
      </c>
      <c r="K2608">
        <f>SUMPRODUCT(Calc!$K$3:$K$22*(Calc!$G$3:$G$22&gt;A2608)*(Calc!$G$3:$G$22-A2608)*(Calc!$G$3:$G$22&gt;B2608)*(Calc!$G$3:$G$22-B2608))</f>
        <v/>
      </c>
      <c r="L2608">
        <f>SUMPRODUCT(Calc!$K$3:$K$22*(Calc!$G$3:$G$22&gt;A2608)*(Calc!$G$3:$G$22-A2608)*Calc!$G$3:$G$22)</f>
        <v/>
      </c>
      <c r="M2608">
        <f>SUMPRODUCT(Calc!$K$3:$K$22*(Calc!$G$3:$G$22&gt;B2608)*(Calc!$G$3:$G$22-B2608)*Calc!$G$3:$G$22)</f>
        <v/>
      </c>
      <c r="N2608">
        <f>SUMPRODUCT(Calc!$K$3:$K$22*(Calc!$G$3:$G$22&gt;A2608)*(Calc!$G$3:$G$22-A2608)*Calc!$I$3:$I$22)</f>
        <v/>
      </c>
      <c r="O2608">
        <f>SUMPRODUCT(Calc!$K$3:$K$22*(Calc!$G$3:$G$22&gt;B2608)*(Calc!$G$3:$G$22-B2608)*Calc!$I$3:$I$22)</f>
        <v/>
      </c>
      <c r="P2608">
        <f>I2608-G2608^2/k_n</f>
        <v/>
      </c>
      <c r="Q2608">
        <f>J2608-H2608^2/k_n</f>
        <v/>
      </c>
      <c r="R2608">
        <f>K2608-G2608*H2608/k_n</f>
        <v/>
      </c>
      <c r="S2608">
        <f>L2608-LTP3!$D$3*G2608/k_n</f>
        <v/>
      </c>
      <c r="T2608">
        <f>M2608-LTP3!$D$3*H2608/k_n</f>
        <v/>
      </c>
      <c r="U2608">
        <f>N2608-G2608*LTP3!$D$4/k_n</f>
        <v/>
      </c>
      <c r="V2608">
        <f>O2608-H2608*LTP3!$D$4/k_n</f>
        <v/>
      </c>
      <c r="W2608">
        <f>((LTP3!$D$5)*((P2608)*(Q2608)-(R2608)*(R2608))-(S2608)*((S2608)*(Q2608)-(R2608)*(T2608))+(T2608)*((S2608)*(R2608)-(P2608)*(T2608)))</f>
        <v/>
      </c>
      <c r="X2608">
        <f>IF(ABS(W2608)&gt;1E-12,((LTP3!$D$6)*((P2608)*(Q2608)-(R2608)*(R2608))-(S2608)*((U2608)*(Q2608)-(R2608)*(V2608))+(T2608)*((U2608)*(R2608)-(P2608)*(V2608)))/W2608,0)</f>
        <v/>
      </c>
      <c r="Y2608">
        <f>IF(ABS(W2608)&gt;1E-12,((LTP3!$D$5)*((U2608)*(Q2608)-(R2608)*(V2608))-(LTP3!$D$6)*((S2608)*(Q2608)-(R2608)*(T2608))+(T2608)*((S2608)*(V2608)-(U2608)*(T2608)))/W2608,0)</f>
        <v/>
      </c>
      <c r="Z2608">
        <f>IF(ABS(W2608)&gt;1E-12,((LTP3!$D$5)*((P2608)*(V2608)-(U2608)*(R2608))-(S2608)*((S2608)*(V2608)-(U2608)*(T2608))+(LTP3!$D$6)*((S2608)*(R2608)-(P2608)*(T2608)))/W2608,0)</f>
        <v/>
      </c>
      <c r="AA2608">
        <f>LTP3!$D$7-X2608*LTP3!$D$6-Y2608*U2608-Z2608*V2608</f>
        <v/>
      </c>
      <c r="AB2608">
        <f>IF(AND(F2608,ABS(W2608)&gt;1E-12,Y2608&gt;0,Z2608&gt;0),AA2608,1E+300)</f>
        <v/>
      </c>
    </row>
    <row r="2609">
      <c r="A2609">
        <f>$B$3+$B$5*42</f>
        <v/>
      </c>
      <c r="B2609">
        <f>$B$3+$B$5*35</f>
        <v/>
      </c>
      <c r="C2609">
        <f>SUMPRODUCT(Calc!$K$3:$K$22*(Calc!$G$3:$G$22&lt;=A2609))</f>
        <v/>
      </c>
      <c r="D2609">
        <f>SUMPRODUCT(Calc!$K$3:$K$22*(Calc!$G$3:$G$22&gt;A2609)*(Calc!$G$3:$G$22&lt;B2609))</f>
        <v/>
      </c>
      <c r="E2609">
        <f>SUMPRODUCT(Calc!$K$3:$K$22*(Calc!$G$3:$G$22&gt;=B2609))</f>
        <v/>
      </c>
      <c r="F2609">
        <f>AND(k_n&gt;=5,B2609&gt;A2609+1E-9,C2609&gt;=2,D2609&gt;=1,E2609&gt;=2)</f>
        <v/>
      </c>
      <c r="G2609">
        <f>SUMPRODUCT(Calc!$K$3:$K$22*(Calc!$G$3:$G$22&gt;A2609)*(Calc!$G$3:$G$22-A2609))</f>
        <v/>
      </c>
      <c r="H2609">
        <f>SUMPRODUCT(Calc!$K$3:$K$22*(Calc!$G$3:$G$22&gt;B2609)*(Calc!$G$3:$G$22-B2609))</f>
        <v/>
      </c>
      <c r="I2609">
        <f>SUMPRODUCT(Calc!$K$3:$K$22*(Calc!$G$3:$G$22&gt;A2609)*(Calc!$G$3:$G$22-A2609)^2)</f>
        <v/>
      </c>
      <c r="J2609">
        <f>SUMPRODUCT(Calc!$K$3:$K$22*(Calc!$G$3:$G$22&gt;B2609)*(Calc!$G$3:$G$22-B2609)^2)</f>
        <v/>
      </c>
      <c r="K2609">
        <f>SUMPRODUCT(Calc!$K$3:$K$22*(Calc!$G$3:$G$22&gt;A2609)*(Calc!$G$3:$G$22-A2609)*(Calc!$G$3:$G$22&gt;B2609)*(Calc!$G$3:$G$22-B2609))</f>
        <v/>
      </c>
      <c r="L2609">
        <f>SUMPRODUCT(Calc!$K$3:$K$22*(Calc!$G$3:$G$22&gt;A2609)*(Calc!$G$3:$G$22-A2609)*Calc!$G$3:$G$22)</f>
        <v/>
      </c>
      <c r="M2609">
        <f>SUMPRODUCT(Calc!$K$3:$K$22*(Calc!$G$3:$G$22&gt;B2609)*(Calc!$G$3:$G$22-B2609)*Calc!$G$3:$G$22)</f>
        <v/>
      </c>
      <c r="N2609">
        <f>SUMPRODUCT(Calc!$K$3:$K$22*(Calc!$G$3:$G$22&gt;A2609)*(Calc!$G$3:$G$22-A2609)*Calc!$I$3:$I$22)</f>
        <v/>
      </c>
      <c r="O2609">
        <f>SUMPRODUCT(Calc!$K$3:$K$22*(Calc!$G$3:$G$22&gt;B2609)*(Calc!$G$3:$G$22-B2609)*Calc!$I$3:$I$22)</f>
        <v/>
      </c>
      <c r="P2609">
        <f>I2609-G2609^2/k_n</f>
        <v/>
      </c>
      <c r="Q2609">
        <f>J2609-H2609^2/k_n</f>
        <v/>
      </c>
      <c r="R2609">
        <f>K2609-G2609*H2609/k_n</f>
        <v/>
      </c>
      <c r="S2609">
        <f>L2609-LTP3!$D$3*G2609/k_n</f>
        <v/>
      </c>
      <c r="T2609">
        <f>M2609-LTP3!$D$3*H2609/k_n</f>
        <v/>
      </c>
      <c r="U2609">
        <f>N2609-G2609*LTP3!$D$4/k_n</f>
        <v/>
      </c>
      <c r="V2609">
        <f>O2609-H2609*LTP3!$D$4/k_n</f>
        <v/>
      </c>
      <c r="W2609">
        <f>((LTP3!$D$5)*((P2609)*(Q2609)-(R2609)*(R2609))-(S2609)*((S2609)*(Q2609)-(R2609)*(T2609))+(T2609)*((S2609)*(R2609)-(P2609)*(T2609)))</f>
        <v/>
      </c>
      <c r="X2609">
        <f>IF(ABS(W2609)&gt;1E-12,((LTP3!$D$6)*((P2609)*(Q2609)-(R2609)*(R2609))-(S2609)*((U2609)*(Q2609)-(R2609)*(V2609))+(T2609)*((U2609)*(R2609)-(P2609)*(V2609)))/W2609,0)</f>
        <v/>
      </c>
      <c r="Y2609">
        <f>IF(ABS(W2609)&gt;1E-12,((LTP3!$D$5)*((U2609)*(Q2609)-(R2609)*(V2609))-(LTP3!$D$6)*((S2609)*(Q2609)-(R2609)*(T2609))+(T2609)*((S2609)*(V2609)-(U2609)*(T2609)))/W2609,0)</f>
        <v/>
      </c>
      <c r="Z2609">
        <f>IF(ABS(W2609)&gt;1E-12,((LTP3!$D$5)*((P2609)*(V2609)-(U2609)*(R2609))-(S2609)*((S2609)*(V2609)-(U2609)*(T2609))+(LTP3!$D$6)*((S2609)*(R2609)-(P2609)*(T2609)))/W2609,0)</f>
        <v/>
      </c>
      <c r="AA2609">
        <f>LTP3!$D$7-X2609*LTP3!$D$6-Y2609*U2609-Z2609*V2609</f>
        <v/>
      </c>
      <c r="AB2609">
        <f>IF(AND(F2609,ABS(W2609)&gt;1E-12,Y2609&gt;0,Z2609&gt;0),AA2609,1E+300)</f>
        <v/>
      </c>
    </row>
    <row r="2610">
      <c r="A2610">
        <f>$B$3+$B$5*42</f>
        <v/>
      </c>
      <c r="B2610">
        <f>$B$3+$B$5*36</f>
        <v/>
      </c>
      <c r="C2610">
        <f>SUMPRODUCT(Calc!$K$3:$K$22*(Calc!$G$3:$G$22&lt;=A2610))</f>
        <v/>
      </c>
      <c r="D2610">
        <f>SUMPRODUCT(Calc!$K$3:$K$22*(Calc!$G$3:$G$22&gt;A2610)*(Calc!$G$3:$G$22&lt;B2610))</f>
        <v/>
      </c>
      <c r="E2610">
        <f>SUMPRODUCT(Calc!$K$3:$K$22*(Calc!$G$3:$G$22&gt;=B2610))</f>
        <v/>
      </c>
      <c r="F2610">
        <f>AND(k_n&gt;=5,B2610&gt;A2610+1E-9,C2610&gt;=2,D2610&gt;=1,E2610&gt;=2)</f>
        <v/>
      </c>
      <c r="G2610">
        <f>SUMPRODUCT(Calc!$K$3:$K$22*(Calc!$G$3:$G$22&gt;A2610)*(Calc!$G$3:$G$22-A2610))</f>
        <v/>
      </c>
      <c r="H2610">
        <f>SUMPRODUCT(Calc!$K$3:$K$22*(Calc!$G$3:$G$22&gt;B2610)*(Calc!$G$3:$G$22-B2610))</f>
        <v/>
      </c>
      <c r="I2610">
        <f>SUMPRODUCT(Calc!$K$3:$K$22*(Calc!$G$3:$G$22&gt;A2610)*(Calc!$G$3:$G$22-A2610)^2)</f>
        <v/>
      </c>
      <c r="J2610">
        <f>SUMPRODUCT(Calc!$K$3:$K$22*(Calc!$G$3:$G$22&gt;B2610)*(Calc!$G$3:$G$22-B2610)^2)</f>
        <v/>
      </c>
      <c r="K2610">
        <f>SUMPRODUCT(Calc!$K$3:$K$22*(Calc!$G$3:$G$22&gt;A2610)*(Calc!$G$3:$G$22-A2610)*(Calc!$G$3:$G$22&gt;B2610)*(Calc!$G$3:$G$22-B2610))</f>
        <v/>
      </c>
      <c r="L2610">
        <f>SUMPRODUCT(Calc!$K$3:$K$22*(Calc!$G$3:$G$22&gt;A2610)*(Calc!$G$3:$G$22-A2610)*Calc!$G$3:$G$22)</f>
        <v/>
      </c>
      <c r="M2610">
        <f>SUMPRODUCT(Calc!$K$3:$K$22*(Calc!$G$3:$G$22&gt;B2610)*(Calc!$G$3:$G$22-B2610)*Calc!$G$3:$G$22)</f>
        <v/>
      </c>
      <c r="N2610">
        <f>SUMPRODUCT(Calc!$K$3:$K$22*(Calc!$G$3:$G$22&gt;A2610)*(Calc!$G$3:$G$22-A2610)*Calc!$I$3:$I$22)</f>
        <v/>
      </c>
      <c r="O2610">
        <f>SUMPRODUCT(Calc!$K$3:$K$22*(Calc!$G$3:$G$22&gt;B2610)*(Calc!$G$3:$G$22-B2610)*Calc!$I$3:$I$22)</f>
        <v/>
      </c>
      <c r="P2610">
        <f>I2610-G2610^2/k_n</f>
        <v/>
      </c>
      <c r="Q2610">
        <f>J2610-H2610^2/k_n</f>
        <v/>
      </c>
      <c r="R2610">
        <f>K2610-G2610*H2610/k_n</f>
        <v/>
      </c>
      <c r="S2610">
        <f>L2610-LTP3!$D$3*G2610/k_n</f>
        <v/>
      </c>
      <c r="T2610">
        <f>M2610-LTP3!$D$3*H2610/k_n</f>
        <v/>
      </c>
      <c r="U2610">
        <f>N2610-G2610*LTP3!$D$4/k_n</f>
        <v/>
      </c>
      <c r="V2610">
        <f>O2610-H2610*LTP3!$D$4/k_n</f>
        <v/>
      </c>
      <c r="W2610">
        <f>((LTP3!$D$5)*((P2610)*(Q2610)-(R2610)*(R2610))-(S2610)*((S2610)*(Q2610)-(R2610)*(T2610))+(T2610)*((S2610)*(R2610)-(P2610)*(T2610)))</f>
        <v/>
      </c>
      <c r="X2610">
        <f>IF(ABS(W2610)&gt;1E-12,((LTP3!$D$6)*((P2610)*(Q2610)-(R2610)*(R2610))-(S2610)*((U2610)*(Q2610)-(R2610)*(V2610))+(T2610)*((U2610)*(R2610)-(P2610)*(V2610)))/W2610,0)</f>
        <v/>
      </c>
      <c r="Y2610">
        <f>IF(ABS(W2610)&gt;1E-12,((LTP3!$D$5)*((U2610)*(Q2610)-(R2610)*(V2610))-(LTP3!$D$6)*((S2610)*(Q2610)-(R2610)*(T2610))+(T2610)*((S2610)*(V2610)-(U2610)*(T2610)))/W2610,0)</f>
        <v/>
      </c>
      <c r="Z2610">
        <f>IF(ABS(W2610)&gt;1E-12,((LTP3!$D$5)*((P2610)*(V2610)-(U2610)*(R2610))-(S2610)*((S2610)*(V2610)-(U2610)*(T2610))+(LTP3!$D$6)*((S2610)*(R2610)-(P2610)*(T2610)))/W2610,0)</f>
        <v/>
      </c>
      <c r="AA2610">
        <f>LTP3!$D$7-X2610*LTP3!$D$6-Y2610*U2610-Z2610*V2610</f>
        <v/>
      </c>
      <c r="AB2610">
        <f>IF(AND(F2610,ABS(W2610)&gt;1E-12,Y2610&gt;0,Z2610&gt;0),AA2610,1E+300)</f>
        <v/>
      </c>
    </row>
    <row r="2611">
      <c r="A2611">
        <f>$B$3+$B$5*42</f>
        <v/>
      </c>
      <c r="B2611">
        <f>$B$3+$B$5*37</f>
        <v/>
      </c>
      <c r="C2611">
        <f>SUMPRODUCT(Calc!$K$3:$K$22*(Calc!$G$3:$G$22&lt;=A2611))</f>
        <v/>
      </c>
      <c r="D2611">
        <f>SUMPRODUCT(Calc!$K$3:$K$22*(Calc!$G$3:$G$22&gt;A2611)*(Calc!$G$3:$G$22&lt;B2611))</f>
        <v/>
      </c>
      <c r="E2611">
        <f>SUMPRODUCT(Calc!$K$3:$K$22*(Calc!$G$3:$G$22&gt;=B2611))</f>
        <v/>
      </c>
      <c r="F2611">
        <f>AND(k_n&gt;=5,B2611&gt;A2611+1E-9,C2611&gt;=2,D2611&gt;=1,E2611&gt;=2)</f>
        <v/>
      </c>
      <c r="G2611">
        <f>SUMPRODUCT(Calc!$K$3:$K$22*(Calc!$G$3:$G$22&gt;A2611)*(Calc!$G$3:$G$22-A2611))</f>
        <v/>
      </c>
      <c r="H2611">
        <f>SUMPRODUCT(Calc!$K$3:$K$22*(Calc!$G$3:$G$22&gt;B2611)*(Calc!$G$3:$G$22-B2611))</f>
        <v/>
      </c>
      <c r="I2611">
        <f>SUMPRODUCT(Calc!$K$3:$K$22*(Calc!$G$3:$G$22&gt;A2611)*(Calc!$G$3:$G$22-A2611)^2)</f>
        <v/>
      </c>
      <c r="J2611">
        <f>SUMPRODUCT(Calc!$K$3:$K$22*(Calc!$G$3:$G$22&gt;B2611)*(Calc!$G$3:$G$22-B2611)^2)</f>
        <v/>
      </c>
      <c r="K2611">
        <f>SUMPRODUCT(Calc!$K$3:$K$22*(Calc!$G$3:$G$22&gt;A2611)*(Calc!$G$3:$G$22-A2611)*(Calc!$G$3:$G$22&gt;B2611)*(Calc!$G$3:$G$22-B2611))</f>
        <v/>
      </c>
      <c r="L2611">
        <f>SUMPRODUCT(Calc!$K$3:$K$22*(Calc!$G$3:$G$22&gt;A2611)*(Calc!$G$3:$G$22-A2611)*Calc!$G$3:$G$22)</f>
        <v/>
      </c>
      <c r="M2611">
        <f>SUMPRODUCT(Calc!$K$3:$K$22*(Calc!$G$3:$G$22&gt;B2611)*(Calc!$G$3:$G$22-B2611)*Calc!$G$3:$G$22)</f>
        <v/>
      </c>
      <c r="N2611">
        <f>SUMPRODUCT(Calc!$K$3:$K$22*(Calc!$G$3:$G$22&gt;A2611)*(Calc!$G$3:$G$22-A2611)*Calc!$I$3:$I$22)</f>
        <v/>
      </c>
      <c r="O2611">
        <f>SUMPRODUCT(Calc!$K$3:$K$22*(Calc!$G$3:$G$22&gt;B2611)*(Calc!$G$3:$G$22-B2611)*Calc!$I$3:$I$22)</f>
        <v/>
      </c>
      <c r="P2611">
        <f>I2611-G2611^2/k_n</f>
        <v/>
      </c>
      <c r="Q2611">
        <f>J2611-H2611^2/k_n</f>
        <v/>
      </c>
      <c r="R2611">
        <f>K2611-G2611*H2611/k_n</f>
        <v/>
      </c>
      <c r="S2611">
        <f>L2611-LTP3!$D$3*G2611/k_n</f>
        <v/>
      </c>
      <c r="T2611">
        <f>M2611-LTP3!$D$3*H2611/k_n</f>
        <v/>
      </c>
      <c r="U2611">
        <f>N2611-G2611*LTP3!$D$4/k_n</f>
        <v/>
      </c>
      <c r="V2611">
        <f>O2611-H2611*LTP3!$D$4/k_n</f>
        <v/>
      </c>
      <c r="W2611">
        <f>((LTP3!$D$5)*((P2611)*(Q2611)-(R2611)*(R2611))-(S2611)*((S2611)*(Q2611)-(R2611)*(T2611))+(T2611)*((S2611)*(R2611)-(P2611)*(T2611)))</f>
        <v/>
      </c>
      <c r="X2611">
        <f>IF(ABS(W2611)&gt;1E-12,((LTP3!$D$6)*((P2611)*(Q2611)-(R2611)*(R2611))-(S2611)*((U2611)*(Q2611)-(R2611)*(V2611))+(T2611)*((U2611)*(R2611)-(P2611)*(V2611)))/W2611,0)</f>
        <v/>
      </c>
      <c r="Y2611">
        <f>IF(ABS(W2611)&gt;1E-12,((LTP3!$D$5)*((U2611)*(Q2611)-(R2611)*(V2611))-(LTP3!$D$6)*((S2611)*(Q2611)-(R2611)*(T2611))+(T2611)*((S2611)*(V2611)-(U2611)*(T2611)))/W2611,0)</f>
        <v/>
      </c>
      <c r="Z2611">
        <f>IF(ABS(W2611)&gt;1E-12,((LTP3!$D$5)*((P2611)*(V2611)-(U2611)*(R2611))-(S2611)*((S2611)*(V2611)-(U2611)*(T2611))+(LTP3!$D$6)*((S2611)*(R2611)-(P2611)*(T2611)))/W2611,0)</f>
        <v/>
      </c>
      <c r="AA2611">
        <f>LTP3!$D$7-X2611*LTP3!$D$6-Y2611*U2611-Z2611*V2611</f>
        <v/>
      </c>
      <c r="AB2611">
        <f>IF(AND(F2611,ABS(W2611)&gt;1E-12,Y2611&gt;0,Z2611&gt;0),AA2611,1E+300)</f>
        <v/>
      </c>
    </row>
    <row r="2612">
      <c r="A2612">
        <f>$B$3+$B$5*42</f>
        <v/>
      </c>
      <c r="B2612">
        <f>$B$3+$B$5*38</f>
        <v/>
      </c>
      <c r="C2612">
        <f>SUMPRODUCT(Calc!$K$3:$K$22*(Calc!$G$3:$G$22&lt;=A2612))</f>
        <v/>
      </c>
      <c r="D2612">
        <f>SUMPRODUCT(Calc!$K$3:$K$22*(Calc!$G$3:$G$22&gt;A2612)*(Calc!$G$3:$G$22&lt;B2612))</f>
        <v/>
      </c>
      <c r="E2612">
        <f>SUMPRODUCT(Calc!$K$3:$K$22*(Calc!$G$3:$G$22&gt;=B2612))</f>
        <v/>
      </c>
      <c r="F2612">
        <f>AND(k_n&gt;=5,B2612&gt;A2612+1E-9,C2612&gt;=2,D2612&gt;=1,E2612&gt;=2)</f>
        <v/>
      </c>
      <c r="G2612">
        <f>SUMPRODUCT(Calc!$K$3:$K$22*(Calc!$G$3:$G$22&gt;A2612)*(Calc!$G$3:$G$22-A2612))</f>
        <v/>
      </c>
      <c r="H2612">
        <f>SUMPRODUCT(Calc!$K$3:$K$22*(Calc!$G$3:$G$22&gt;B2612)*(Calc!$G$3:$G$22-B2612))</f>
        <v/>
      </c>
      <c r="I2612">
        <f>SUMPRODUCT(Calc!$K$3:$K$22*(Calc!$G$3:$G$22&gt;A2612)*(Calc!$G$3:$G$22-A2612)^2)</f>
        <v/>
      </c>
      <c r="J2612">
        <f>SUMPRODUCT(Calc!$K$3:$K$22*(Calc!$G$3:$G$22&gt;B2612)*(Calc!$G$3:$G$22-B2612)^2)</f>
        <v/>
      </c>
      <c r="K2612">
        <f>SUMPRODUCT(Calc!$K$3:$K$22*(Calc!$G$3:$G$22&gt;A2612)*(Calc!$G$3:$G$22-A2612)*(Calc!$G$3:$G$22&gt;B2612)*(Calc!$G$3:$G$22-B2612))</f>
        <v/>
      </c>
      <c r="L2612">
        <f>SUMPRODUCT(Calc!$K$3:$K$22*(Calc!$G$3:$G$22&gt;A2612)*(Calc!$G$3:$G$22-A2612)*Calc!$G$3:$G$22)</f>
        <v/>
      </c>
      <c r="M2612">
        <f>SUMPRODUCT(Calc!$K$3:$K$22*(Calc!$G$3:$G$22&gt;B2612)*(Calc!$G$3:$G$22-B2612)*Calc!$G$3:$G$22)</f>
        <v/>
      </c>
      <c r="N2612">
        <f>SUMPRODUCT(Calc!$K$3:$K$22*(Calc!$G$3:$G$22&gt;A2612)*(Calc!$G$3:$G$22-A2612)*Calc!$I$3:$I$22)</f>
        <v/>
      </c>
      <c r="O2612">
        <f>SUMPRODUCT(Calc!$K$3:$K$22*(Calc!$G$3:$G$22&gt;B2612)*(Calc!$G$3:$G$22-B2612)*Calc!$I$3:$I$22)</f>
        <v/>
      </c>
      <c r="P2612">
        <f>I2612-G2612^2/k_n</f>
        <v/>
      </c>
      <c r="Q2612">
        <f>J2612-H2612^2/k_n</f>
        <v/>
      </c>
      <c r="R2612">
        <f>K2612-G2612*H2612/k_n</f>
        <v/>
      </c>
      <c r="S2612">
        <f>L2612-LTP3!$D$3*G2612/k_n</f>
        <v/>
      </c>
      <c r="T2612">
        <f>M2612-LTP3!$D$3*H2612/k_n</f>
        <v/>
      </c>
      <c r="U2612">
        <f>N2612-G2612*LTP3!$D$4/k_n</f>
        <v/>
      </c>
      <c r="V2612">
        <f>O2612-H2612*LTP3!$D$4/k_n</f>
        <v/>
      </c>
      <c r="W2612">
        <f>((LTP3!$D$5)*((P2612)*(Q2612)-(R2612)*(R2612))-(S2612)*((S2612)*(Q2612)-(R2612)*(T2612))+(T2612)*((S2612)*(R2612)-(P2612)*(T2612)))</f>
        <v/>
      </c>
      <c r="X2612">
        <f>IF(ABS(W2612)&gt;1E-12,((LTP3!$D$6)*((P2612)*(Q2612)-(R2612)*(R2612))-(S2612)*((U2612)*(Q2612)-(R2612)*(V2612))+(T2612)*((U2612)*(R2612)-(P2612)*(V2612)))/W2612,0)</f>
        <v/>
      </c>
      <c r="Y2612">
        <f>IF(ABS(W2612)&gt;1E-12,((LTP3!$D$5)*((U2612)*(Q2612)-(R2612)*(V2612))-(LTP3!$D$6)*((S2612)*(Q2612)-(R2612)*(T2612))+(T2612)*((S2612)*(V2612)-(U2612)*(T2612)))/W2612,0)</f>
        <v/>
      </c>
      <c r="Z2612">
        <f>IF(ABS(W2612)&gt;1E-12,((LTP3!$D$5)*((P2612)*(V2612)-(U2612)*(R2612))-(S2612)*((S2612)*(V2612)-(U2612)*(T2612))+(LTP3!$D$6)*((S2612)*(R2612)-(P2612)*(T2612)))/W2612,0)</f>
        <v/>
      </c>
      <c r="AA2612">
        <f>LTP3!$D$7-X2612*LTP3!$D$6-Y2612*U2612-Z2612*V2612</f>
        <v/>
      </c>
      <c r="AB2612">
        <f>IF(AND(F2612,ABS(W2612)&gt;1E-12,Y2612&gt;0,Z2612&gt;0),AA2612,1E+300)</f>
        <v/>
      </c>
    </row>
    <row r="2613">
      <c r="A2613">
        <f>$B$3+$B$5*42</f>
        <v/>
      </c>
      <c r="B2613">
        <f>$B$3+$B$5*39</f>
        <v/>
      </c>
      <c r="C2613">
        <f>SUMPRODUCT(Calc!$K$3:$K$22*(Calc!$G$3:$G$22&lt;=A2613))</f>
        <v/>
      </c>
      <c r="D2613">
        <f>SUMPRODUCT(Calc!$K$3:$K$22*(Calc!$G$3:$G$22&gt;A2613)*(Calc!$G$3:$G$22&lt;B2613))</f>
        <v/>
      </c>
      <c r="E2613">
        <f>SUMPRODUCT(Calc!$K$3:$K$22*(Calc!$G$3:$G$22&gt;=B2613))</f>
        <v/>
      </c>
      <c r="F2613">
        <f>AND(k_n&gt;=5,B2613&gt;A2613+1E-9,C2613&gt;=2,D2613&gt;=1,E2613&gt;=2)</f>
        <v/>
      </c>
      <c r="G2613">
        <f>SUMPRODUCT(Calc!$K$3:$K$22*(Calc!$G$3:$G$22&gt;A2613)*(Calc!$G$3:$G$22-A2613))</f>
        <v/>
      </c>
      <c r="H2613">
        <f>SUMPRODUCT(Calc!$K$3:$K$22*(Calc!$G$3:$G$22&gt;B2613)*(Calc!$G$3:$G$22-B2613))</f>
        <v/>
      </c>
      <c r="I2613">
        <f>SUMPRODUCT(Calc!$K$3:$K$22*(Calc!$G$3:$G$22&gt;A2613)*(Calc!$G$3:$G$22-A2613)^2)</f>
        <v/>
      </c>
      <c r="J2613">
        <f>SUMPRODUCT(Calc!$K$3:$K$22*(Calc!$G$3:$G$22&gt;B2613)*(Calc!$G$3:$G$22-B2613)^2)</f>
        <v/>
      </c>
      <c r="K2613">
        <f>SUMPRODUCT(Calc!$K$3:$K$22*(Calc!$G$3:$G$22&gt;A2613)*(Calc!$G$3:$G$22-A2613)*(Calc!$G$3:$G$22&gt;B2613)*(Calc!$G$3:$G$22-B2613))</f>
        <v/>
      </c>
      <c r="L2613">
        <f>SUMPRODUCT(Calc!$K$3:$K$22*(Calc!$G$3:$G$22&gt;A2613)*(Calc!$G$3:$G$22-A2613)*Calc!$G$3:$G$22)</f>
        <v/>
      </c>
      <c r="M2613">
        <f>SUMPRODUCT(Calc!$K$3:$K$22*(Calc!$G$3:$G$22&gt;B2613)*(Calc!$G$3:$G$22-B2613)*Calc!$G$3:$G$22)</f>
        <v/>
      </c>
      <c r="N2613">
        <f>SUMPRODUCT(Calc!$K$3:$K$22*(Calc!$G$3:$G$22&gt;A2613)*(Calc!$G$3:$G$22-A2613)*Calc!$I$3:$I$22)</f>
        <v/>
      </c>
      <c r="O2613">
        <f>SUMPRODUCT(Calc!$K$3:$K$22*(Calc!$G$3:$G$22&gt;B2613)*(Calc!$G$3:$G$22-B2613)*Calc!$I$3:$I$22)</f>
        <v/>
      </c>
      <c r="P2613">
        <f>I2613-G2613^2/k_n</f>
        <v/>
      </c>
      <c r="Q2613">
        <f>J2613-H2613^2/k_n</f>
        <v/>
      </c>
      <c r="R2613">
        <f>K2613-G2613*H2613/k_n</f>
        <v/>
      </c>
      <c r="S2613">
        <f>L2613-LTP3!$D$3*G2613/k_n</f>
        <v/>
      </c>
      <c r="T2613">
        <f>M2613-LTP3!$D$3*H2613/k_n</f>
        <v/>
      </c>
      <c r="U2613">
        <f>N2613-G2613*LTP3!$D$4/k_n</f>
        <v/>
      </c>
      <c r="V2613">
        <f>O2613-H2613*LTP3!$D$4/k_n</f>
        <v/>
      </c>
      <c r="W2613">
        <f>((LTP3!$D$5)*((P2613)*(Q2613)-(R2613)*(R2613))-(S2613)*((S2613)*(Q2613)-(R2613)*(T2613))+(T2613)*((S2613)*(R2613)-(P2613)*(T2613)))</f>
        <v/>
      </c>
      <c r="X2613">
        <f>IF(ABS(W2613)&gt;1E-12,((LTP3!$D$6)*((P2613)*(Q2613)-(R2613)*(R2613))-(S2613)*((U2613)*(Q2613)-(R2613)*(V2613))+(T2613)*((U2613)*(R2613)-(P2613)*(V2613)))/W2613,0)</f>
        <v/>
      </c>
      <c r="Y2613">
        <f>IF(ABS(W2613)&gt;1E-12,((LTP3!$D$5)*((U2613)*(Q2613)-(R2613)*(V2613))-(LTP3!$D$6)*((S2613)*(Q2613)-(R2613)*(T2613))+(T2613)*((S2613)*(V2613)-(U2613)*(T2613)))/W2613,0)</f>
        <v/>
      </c>
      <c r="Z2613">
        <f>IF(ABS(W2613)&gt;1E-12,((LTP3!$D$5)*((P2613)*(V2613)-(U2613)*(R2613))-(S2613)*((S2613)*(V2613)-(U2613)*(T2613))+(LTP3!$D$6)*((S2613)*(R2613)-(P2613)*(T2613)))/W2613,0)</f>
        <v/>
      </c>
      <c r="AA2613">
        <f>LTP3!$D$7-X2613*LTP3!$D$6-Y2613*U2613-Z2613*V2613</f>
        <v/>
      </c>
      <c r="AB2613">
        <f>IF(AND(F2613,ABS(W2613)&gt;1E-12,Y2613&gt;0,Z2613&gt;0),AA2613,1E+300)</f>
        <v/>
      </c>
    </row>
    <row r="2614">
      <c r="A2614">
        <f>$B$3+$B$5*42</f>
        <v/>
      </c>
      <c r="B2614">
        <f>$B$3+$B$5*40</f>
        <v/>
      </c>
      <c r="C2614">
        <f>SUMPRODUCT(Calc!$K$3:$K$22*(Calc!$G$3:$G$22&lt;=A2614))</f>
        <v/>
      </c>
      <c r="D2614">
        <f>SUMPRODUCT(Calc!$K$3:$K$22*(Calc!$G$3:$G$22&gt;A2614)*(Calc!$G$3:$G$22&lt;B2614))</f>
        <v/>
      </c>
      <c r="E2614">
        <f>SUMPRODUCT(Calc!$K$3:$K$22*(Calc!$G$3:$G$22&gt;=B2614))</f>
        <v/>
      </c>
      <c r="F2614">
        <f>AND(k_n&gt;=5,B2614&gt;A2614+1E-9,C2614&gt;=2,D2614&gt;=1,E2614&gt;=2)</f>
        <v/>
      </c>
      <c r="G2614">
        <f>SUMPRODUCT(Calc!$K$3:$K$22*(Calc!$G$3:$G$22&gt;A2614)*(Calc!$G$3:$G$22-A2614))</f>
        <v/>
      </c>
      <c r="H2614">
        <f>SUMPRODUCT(Calc!$K$3:$K$22*(Calc!$G$3:$G$22&gt;B2614)*(Calc!$G$3:$G$22-B2614))</f>
        <v/>
      </c>
      <c r="I2614">
        <f>SUMPRODUCT(Calc!$K$3:$K$22*(Calc!$G$3:$G$22&gt;A2614)*(Calc!$G$3:$G$22-A2614)^2)</f>
        <v/>
      </c>
      <c r="J2614">
        <f>SUMPRODUCT(Calc!$K$3:$K$22*(Calc!$G$3:$G$22&gt;B2614)*(Calc!$G$3:$G$22-B2614)^2)</f>
        <v/>
      </c>
      <c r="K2614">
        <f>SUMPRODUCT(Calc!$K$3:$K$22*(Calc!$G$3:$G$22&gt;A2614)*(Calc!$G$3:$G$22-A2614)*(Calc!$G$3:$G$22&gt;B2614)*(Calc!$G$3:$G$22-B2614))</f>
        <v/>
      </c>
      <c r="L2614">
        <f>SUMPRODUCT(Calc!$K$3:$K$22*(Calc!$G$3:$G$22&gt;A2614)*(Calc!$G$3:$G$22-A2614)*Calc!$G$3:$G$22)</f>
        <v/>
      </c>
      <c r="M2614">
        <f>SUMPRODUCT(Calc!$K$3:$K$22*(Calc!$G$3:$G$22&gt;B2614)*(Calc!$G$3:$G$22-B2614)*Calc!$G$3:$G$22)</f>
        <v/>
      </c>
      <c r="N2614">
        <f>SUMPRODUCT(Calc!$K$3:$K$22*(Calc!$G$3:$G$22&gt;A2614)*(Calc!$G$3:$G$22-A2614)*Calc!$I$3:$I$22)</f>
        <v/>
      </c>
      <c r="O2614">
        <f>SUMPRODUCT(Calc!$K$3:$K$22*(Calc!$G$3:$G$22&gt;B2614)*(Calc!$G$3:$G$22-B2614)*Calc!$I$3:$I$22)</f>
        <v/>
      </c>
      <c r="P2614">
        <f>I2614-G2614^2/k_n</f>
        <v/>
      </c>
      <c r="Q2614">
        <f>J2614-H2614^2/k_n</f>
        <v/>
      </c>
      <c r="R2614">
        <f>K2614-G2614*H2614/k_n</f>
        <v/>
      </c>
      <c r="S2614">
        <f>L2614-LTP3!$D$3*G2614/k_n</f>
        <v/>
      </c>
      <c r="T2614">
        <f>M2614-LTP3!$D$3*H2614/k_n</f>
        <v/>
      </c>
      <c r="U2614">
        <f>N2614-G2614*LTP3!$D$4/k_n</f>
        <v/>
      </c>
      <c r="V2614">
        <f>O2614-H2614*LTP3!$D$4/k_n</f>
        <v/>
      </c>
      <c r="W2614">
        <f>((LTP3!$D$5)*((P2614)*(Q2614)-(R2614)*(R2614))-(S2614)*((S2614)*(Q2614)-(R2614)*(T2614))+(T2614)*((S2614)*(R2614)-(P2614)*(T2614)))</f>
        <v/>
      </c>
      <c r="X2614">
        <f>IF(ABS(W2614)&gt;1E-12,((LTP3!$D$6)*((P2614)*(Q2614)-(R2614)*(R2614))-(S2614)*((U2614)*(Q2614)-(R2614)*(V2614))+(T2614)*((U2614)*(R2614)-(P2614)*(V2614)))/W2614,0)</f>
        <v/>
      </c>
      <c r="Y2614">
        <f>IF(ABS(W2614)&gt;1E-12,((LTP3!$D$5)*((U2614)*(Q2614)-(R2614)*(V2614))-(LTP3!$D$6)*((S2614)*(Q2614)-(R2614)*(T2614))+(T2614)*((S2614)*(V2614)-(U2614)*(T2614)))/W2614,0)</f>
        <v/>
      </c>
      <c r="Z2614">
        <f>IF(ABS(W2614)&gt;1E-12,((LTP3!$D$5)*((P2614)*(V2614)-(U2614)*(R2614))-(S2614)*((S2614)*(V2614)-(U2614)*(T2614))+(LTP3!$D$6)*((S2614)*(R2614)-(P2614)*(T2614)))/W2614,0)</f>
        <v/>
      </c>
      <c r="AA2614">
        <f>LTP3!$D$7-X2614*LTP3!$D$6-Y2614*U2614-Z2614*V2614</f>
        <v/>
      </c>
      <c r="AB2614">
        <f>IF(AND(F2614,ABS(W2614)&gt;1E-12,Y2614&gt;0,Z2614&gt;0),AA2614,1E+300)</f>
        <v/>
      </c>
    </row>
    <row r="2615">
      <c r="A2615">
        <f>$B$3+$B$5*42</f>
        <v/>
      </c>
      <c r="B2615">
        <f>$B$3+$B$5*41</f>
        <v/>
      </c>
      <c r="C2615">
        <f>SUMPRODUCT(Calc!$K$3:$K$22*(Calc!$G$3:$G$22&lt;=A2615))</f>
        <v/>
      </c>
      <c r="D2615">
        <f>SUMPRODUCT(Calc!$K$3:$K$22*(Calc!$G$3:$G$22&gt;A2615)*(Calc!$G$3:$G$22&lt;B2615))</f>
        <v/>
      </c>
      <c r="E2615">
        <f>SUMPRODUCT(Calc!$K$3:$K$22*(Calc!$G$3:$G$22&gt;=B2615))</f>
        <v/>
      </c>
      <c r="F2615">
        <f>AND(k_n&gt;=5,B2615&gt;A2615+1E-9,C2615&gt;=2,D2615&gt;=1,E2615&gt;=2)</f>
        <v/>
      </c>
      <c r="G2615">
        <f>SUMPRODUCT(Calc!$K$3:$K$22*(Calc!$G$3:$G$22&gt;A2615)*(Calc!$G$3:$G$22-A2615))</f>
        <v/>
      </c>
      <c r="H2615">
        <f>SUMPRODUCT(Calc!$K$3:$K$22*(Calc!$G$3:$G$22&gt;B2615)*(Calc!$G$3:$G$22-B2615))</f>
        <v/>
      </c>
      <c r="I2615">
        <f>SUMPRODUCT(Calc!$K$3:$K$22*(Calc!$G$3:$G$22&gt;A2615)*(Calc!$G$3:$G$22-A2615)^2)</f>
        <v/>
      </c>
      <c r="J2615">
        <f>SUMPRODUCT(Calc!$K$3:$K$22*(Calc!$G$3:$G$22&gt;B2615)*(Calc!$G$3:$G$22-B2615)^2)</f>
        <v/>
      </c>
      <c r="K2615">
        <f>SUMPRODUCT(Calc!$K$3:$K$22*(Calc!$G$3:$G$22&gt;A2615)*(Calc!$G$3:$G$22-A2615)*(Calc!$G$3:$G$22&gt;B2615)*(Calc!$G$3:$G$22-B2615))</f>
        <v/>
      </c>
      <c r="L2615">
        <f>SUMPRODUCT(Calc!$K$3:$K$22*(Calc!$G$3:$G$22&gt;A2615)*(Calc!$G$3:$G$22-A2615)*Calc!$G$3:$G$22)</f>
        <v/>
      </c>
      <c r="M2615">
        <f>SUMPRODUCT(Calc!$K$3:$K$22*(Calc!$G$3:$G$22&gt;B2615)*(Calc!$G$3:$G$22-B2615)*Calc!$G$3:$G$22)</f>
        <v/>
      </c>
      <c r="N2615">
        <f>SUMPRODUCT(Calc!$K$3:$K$22*(Calc!$G$3:$G$22&gt;A2615)*(Calc!$G$3:$G$22-A2615)*Calc!$I$3:$I$22)</f>
        <v/>
      </c>
      <c r="O2615">
        <f>SUMPRODUCT(Calc!$K$3:$K$22*(Calc!$G$3:$G$22&gt;B2615)*(Calc!$G$3:$G$22-B2615)*Calc!$I$3:$I$22)</f>
        <v/>
      </c>
      <c r="P2615">
        <f>I2615-G2615^2/k_n</f>
        <v/>
      </c>
      <c r="Q2615">
        <f>J2615-H2615^2/k_n</f>
        <v/>
      </c>
      <c r="R2615">
        <f>K2615-G2615*H2615/k_n</f>
        <v/>
      </c>
      <c r="S2615">
        <f>L2615-LTP3!$D$3*G2615/k_n</f>
        <v/>
      </c>
      <c r="T2615">
        <f>M2615-LTP3!$D$3*H2615/k_n</f>
        <v/>
      </c>
      <c r="U2615">
        <f>N2615-G2615*LTP3!$D$4/k_n</f>
        <v/>
      </c>
      <c r="V2615">
        <f>O2615-H2615*LTP3!$D$4/k_n</f>
        <v/>
      </c>
      <c r="W2615">
        <f>((LTP3!$D$5)*((P2615)*(Q2615)-(R2615)*(R2615))-(S2615)*((S2615)*(Q2615)-(R2615)*(T2615))+(T2615)*((S2615)*(R2615)-(P2615)*(T2615)))</f>
        <v/>
      </c>
      <c r="X2615">
        <f>IF(ABS(W2615)&gt;1E-12,((LTP3!$D$6)*((P2615)*(Q2615)-(R2615)*(R2615))-(S2615)*((U2615)*(Q2615)-(R2615)*(V2615))+(T2615)*((U2615)*(R2615)-(P2615)*(V2615)))/W2615,0)</f>
        <v/>
      </c>
      <c r="Y2615">
        <f>IF(ABS(W2615)&gt;1E-12,((LTP3!$D$5)*((U2615)*(Q2615)-(R2615)*(V2615))-(LTP3!$D$6)*((S2615)*(Q2615)-(R2615)*(T2615))+(T2615)*((S2615)*(V2615)-(U2615)*(T2615)))/W2615,0)</f>
        <v/>
      </c>
      <c r="Z2615">
        <f>IF(ABS(W2615)&gt;1E-12,((LTP3!$D$5)*((P2615)*(V2615)-(U2615)*(R2615))-(S2615)*((S2615)*(V2615)-(U2615)*(T2615))+(LTP3!$D$6)*((S2615)*(R2615)-(P2615)*(T2615)))/W2615,0)</f>
        <v/>
      </c>
      <c r="AA2615">
        <f>LTP3!$D$7-X2615*LTP3!$D$6-Y2615*U2615-Z2615*V2615</f>
        <v/>
      </c>
      <c r="AB2615">
        <f>IF(AND(F2615,ABS(W2615)&gt;1E-12,Y2615&gt;0,Z2615&gt;0),AA2615,1E+300)</f>
        <v/>
      </c>
    </row>
    <row r="2616">
      <c r="A2616">
        <f>$B$3+$B$5*42</f>
        <v/>
      </c>
      <c r="B2616">
        <f>$B$3+$B$5*42</f>
        <v/>
      </c>
      <c r="C2616">
        <f>SUMPRODUCT(Calc!$K$3:$K$22*(Calc!$G$3:$G$22&lt;=A2616))</f>
        <v/>
      </c>
      <c r="D2616">
        <f>SUMPRODUCT(Calc!$K$3:$K$22*(Calc!$G$3:$G$22&gt;A2616)*(Calc!$G$3:$G$22&lt;B2616))</f>
        <v/>
      </c>
      <c r="E2616">
        <f>SUMPRODUCT(Calc!$K$3:$K$22*(Calc!$G$3:$G$22&gt;=B2616))</f>
        <v/>
      </c>
      <c r="F2616">
        <f>AND(k_n&gt;=5,B2616&gt;A2616+1E-9,C2616&gt;=2,D2616&gt;=1,E2616&gt;=2)</f>
        <v/>
      </c>
      <c r="G2616">
        <f>SUMPRODUCT(Calc!$K$3:$K$22*(Calc!$G$3:$G$22&gt;A2616)*(Calc!$G$3:$G$22-A2616))</f>
        <v/>
      </c>
      <c r="H2616">
        <f>SUMPRODUCT(Calc!$K$3:$K$22*(Calc!$G$3:$G$22&gt;B2616)*(Calc!$G$3:$G$22-B2616))</f>
        <v/>
      </c>
      <c r="I2616">
        <f>SUMPRODUCT(Calc!$K$3:$K$22*(Calc!$G$3:$G$22&gt;A2616)*(Calc!$G$3:$G$22-A2616)^2)</f>
        <v/>
      </c>
      <c r="J2616">
        <f>SUMPRODUCT(Calc!$K$3:$K$22*(Calc!$G$3:$G$22&gt;B2616)*(Calc!$G$3:$G$22-B2616)^2)</f>
        <v/>
      </c>
      <c r="K2616">
        <f>SUMPRODUCT(Calc!$K$3:$K$22*(Calc!$G$3:$G$22&gt;A2616)*(Calc!$G$3:$G$22-A2616)*(Calc!$G$3:$G$22&gt;B2616)*(Calc!$G$3:$G$22-B2616))</f>
        <v/>
      </c>
      <c r="L2616">
        <f>SUMPRODUCT(Calc!$K$3:$K$22*(Calc!$G$3:$G$22&gt;A2616)*(Calc!$G$3:$G$22-A2616)*Calc!$G$3:$G$22)</f>
        <v/>
      </c>
      <c r="M2616">
        <f>SUMPRODUCT(Calc!$K$3:$K$22*(Calc!$G$3:$G$22&gt;B2616)*(Calc!$G$3:$G$22-B2616)*Calc!$G$3:$G$22)</f>
        <v/>
      </c>
      <c r="N2616">
        <f>SUMPRODUCT(Calc!$K$3:$K$22*(Calc!$G$3:$G$22&gt;A2616)*(Calc!$G$3:$G$22-A2616)*Calc!$I$3:$I$22)</f>
        <v/>
      </c>
      <c r="O2616">
        <f>SUMPRODUCT(Calc!$K$3:$K$22*(Calc!$G$3:$G$22&gt;B2616)*(Calc!$G$3:$G$22-B2616)*Calc!$I$3:$I$22)</f>
        <v/>
      </c>
      <c r="P2616">
        <f>I2616-G2616^2/k_n</f>
        <v/>
      </c>
      <c r="Q2616">
        <f>J2616-H2616^2/k_n</f>
        <v/>
      </c>
      <c r="R2616">
        <f>K2616-G2616*H2616/k_n</f>
        <v/>
      </c>
      <c r="S2616">
        <f>L2616-LTP3!$D$3*G2616/k_n</f>
        <v/>
      </c>
      <c r="T2616">
        <f>M2616-LTP3!$D$3*H2616/k_n</f>
        <v/>
      </c>
      <c r="U2616">
        <f>N2616-G2616*LTP3!$D$4/k_n</f>
        <v/>
      </c>
      <c r="V2616">
        <f>O2616-H2616*LTP3!$D$4/k_n</f>
        <v/>
      </c>
      <c r="W2616">
        <f>((LTP3!$D$5)*((P2616)*(Q2616)-(R2616)*(R2616))-(S2616)*((S2616)*(Q2616)-(R2616)*(T2616))+(T2616)*((S2616)*(R2616)-(P2616)*(T2616)))</f>
        <v/>
      </c>
      <c r="X2616">
        <f>IF(ABS(W2616)&gt;1E-12,((LTP3!$D$6)*((P2616)*(Q2616)-(R2616)*(R2616))-(S2616)*((U2616)*(Q2616)-(R2616)*(V2616))+(T2616)*((U2616)*(R2616)-(P2616)*(V2616)))/W2616,0)</f>
        <v/>
      </c>
      <c r="Y2616">
        <f>IF(ABS(W2616)&gt;1E-12,((LTP3!$D$5)*((U2616)*(Q2616)-(R2616)*(V2616))-(LTP3!$D$6)*((S2616)*(Q2616)-(R2616)*(T2616))+(T2616)*((S2616)*(V2616)-(U2616)*(T2616)))/W2616,0)</f>
        <v/>
      </c>
      <c r="Z2616">
        <f>IF(ABS(W2616)&gt;1E-12,((LTP3!$D$5)*((P2616)*(V2616)-(U2616)*(R2616))-(S2616)*((S2616)*(V2616)-(U2616)*(T2616))+(LTP3!$D$6)*((S2616)*(R2616)-(P2616)*(T2616)))/W2616,0)</f>
        <v/>
      </c>
      <c r="AA2616">
        <f>LTP3!$D$7-X2616*LTP3!$D$6-Y2616*U2616-Z2616*V2616</f>
        <v/>
      </c>
      <c r="AB2616">
        <f>IF(AND(F2616,ABS(W2616)&gt;1E-12,Y2616&gt;0,Z2616&gt;0),AA2616,1E+300)</f>
        <v/>
      </c>
    </row>
    <row r="2617">
      <c r="A2617">
        <f>$B$3+$B$5*42</f>
        <v/>
      </c>
      <c r="B2617">
        <f>$B$3+$B$5*43</f>
        <v/>
      </c>
      <c r="C2617">
        <f>SUMPRODUCT(Calc!$K$3:$K$22*(Calc!$G$3:$G$22&lt;=A2617))</f>
        <v/>
      </c>
      <c r="D2617">
        <f>SUMPRODUCT(Calc!$K$3:$K$22*(Calc!$G$3:$G$22&gt;A2617)*(Calc!$G$3:$G$22&lt;B2617))</f>
        <v/>
      </c>
      <c r="E2617">
        <f>SUMPRODUCT(Calc!$K$3:$K$22*(Calc!$G$3:$G$22&gt;=B2617))</f>
        <v/>
      </c>
      <c r="F2617">
        <f>AND(k_n&gt;=5,B2617&gt;A2617+1E-9,C2617&gt;=2,D2617&gt;=1,E2617&gt;=2)</f>
        <v/>
      </c>
      <c r="G2617">
        <f>SUMPRODUCT(Calc!$K$3:$K$22*(Calc!$G$3:$G$22&gt;A2617)*(Calc!$G$3:$G$22-A2617))</f>
        <v/>
      </c>
      <c r="H2617">
        <f>SUMPRODUCT(Calc!$K$3:$K$22*(Calc!$G$3:$G$22&gt;B2617)*(Calc!$G$3:$G$22-B2617))</f>
        <v/>
      </c>
      <c r="I2617">
        <f>SUMPRODUCT(Calc!$K$3:$K$22*(Calc!$G$3:$G$22&gt;A2617)*(Calc!$G$3:$G$22-A2617)^2)</f>
        <v/>
      </c>
      <c r="J2617">
        <f>SUMPRODUCT(Calc!$K$3:$K$22*(Calc!$G$3:$G$22&gt;B2617)*(Calc!$G$3:$G$22-B2617)^2)</f>
        <v/>
      </c>
      <c r="K2617">
        <f>SUMPRODUCT(Calc!$K$3:$K$22*(Calc!$G$3:$G$22&gt;A2617)*(Calc!$G$3:$G$22-A2617)*(Calc!$G$3:$G$22&gt;B2617)*(Calc!$G$3:$G$22-B2617))</f>
        <v/>
      </c>
      <c r="L2617">
        <f>SUMPRODUCT(Calc!$K$3:$K$22*(Calc!$G$3:$G$22&gt;A2617)*(Calc!$G$3:$G$22-A2617)*Calc!$G$3:$G$22)</f>
        <v/>
      </c>
      <c r="M2617">
        <f>SUMPRODUCT(Calc!$K$3:$K$22*(Calc!$G$3:$G$22&gt;B2617)*(Calc!$G$3:$G$22-B2617)*Calc!$G$3:$G$22)</f>
        <v/>
      </c>
      <c r="N2617">
        <f>SUMPRODUCT(Calc!$K$3:$K$22*(Calc!$G$3:$G$22&gt;A2617)*(Calc!$G$3:$G$22-A2617)*Calc!$I$3:$I$22)</f>
        <v/>
      </c>
      <c r="O2617">
        <f>SUMPRODUCT(Calc!$K$3:$K$22*(Calc!$G$3:$G$22&gt;B2617)*(Calc!$G$3:$G$22-B2617)*Calc!$I$3:$I$22)</f>
        <v/>
      </c>
      <c r="P2617">
        <f>I2617-G2617^2/k_n</f>
        <v/>
      </c>
      <c r="Q2617">
        <f>J2617-H2617^2/k_n</f>
        <v/>
      </c>
      <c r="R2617">
        <f>K2617-G2617*H2617/k_n</f>
        <v/>
      </c>
      <c r="S2617">
        <f>L2617-LTP3!$D$3*G2617/k_n</f>
        <v/>
      </c>
      <c r="T2617">
        <f>M2617-LTP3!$D$3*H2617/k_n</f>
        <v/>
      </c>
      <c r="U2617">
        <f>N2617-G2617*LTP3!$D$4/k_n</f>
        <v/>
      </c>
      <c r="V2617">
        <f>O2617-H2617*LTP3!$D$4/k_n</f>
        <v/>
      </c>
      <c r="W2617">
        <f>((LTP3!$D$5)*((P2617)*(Q2617)-(R2617)*(R2617))-(S2617)*((S2617)*(Q2617)-(R2617)*(T2617))+(T2617)*((S2617)*(R2617)-(P2617)*(T2617)))</f>
        <v/>
      </c>
      <c r="X2617">
        <f>IF(ABS(W2617)&gt;1E-12,((LTP3!$D$6)*((P2617)*(Q2617)-(R2617)*(R2617))-(S2617)*((U2617)*(Q2617)-(R2617)*(V2617))+(T2617)*((U2617)*(R2617)-(P2617)*(V2617)))/W2617,0)</f>
        <v/>
      </c>
      <c r="Y2617">
        <f>IF(ABS(W2617)&gt;1E-12,((LTP3!$D$5)*((U2617)*(Q2617)-(R2617)*(V2617))-(LTP3!$D$6)*((S2617)*(Q2617)-(R2617)*(T2617))+(T2617)*((S2617)*(V2617)-(U2617)*(T2617)))/W2617,0)</f>
        <v/>
      </c>
      <c r="Z2617">
        <f>IF(ABS(W2617)&gt;1E-12,((LTP3!$D$5)*((P2617)*(V2617)-(U2617)*(R2617))-(S2617)*((S2617)*(V2617)-(U2617)*(T2617))+(LTP3!$D$6)*((S2617)*(R2617)-(P2617)*(T2617)))/W2617,0)</f>
        <v/>
      </c>
      <c r="AA2617">
        <f>LTP3!$D$7-X2617*LTP3!$D$6-Y2617*U2617-Z2617*V2617</f>
        <v/>
      </c>
      <c r="AB2617">
        <f>IF(AND(F2617,ABS(W2617)&gt;1E-12,Y2617&gt;0,Z2617&gt;0),AA2617,1E+300)</f>
        <v/>
      </c>
    </row>
    <row r="2618">
      <c r="A2618">
        <f>$B$3+$B$5*42</f>
        <v/>
      </c>
      <c r="B2618">
        <f>$B$3+$B$5*44</f>
        <v/>
      </c>
      <c r="C2618">
        <f>SUMPRODUCT(Calc!$K$3:$K$22*(Calc!$G$3:$G$22&lt;=A2618))</f>
        <v/>
      </c>
      <c r="D2618">
        <f>SUMPRODUCT(Calc!$K$3:$K$22*(Calc!$G$3:$G$22&gt;A2618)*(Calc!$G$3:$G$22&lt;B2618))</f>
        <v/>
      </c>
      <c r="E2618">
        <f>SUMPRODUCT(Calc!$K$3:$K$22*(Calc!$G$3:$G$22&gt;=B2618))</f>
        <v/>
      </c>
      <c r="F2618">
        <f>AND(k_n&gt;=5,B2618&gt;A2618+1E-9,C2618&gt;=2,D2618&gt;=1,E2618&gt;=2)</f>
        <v/>
      </c>
      <c r="G2618">
        <f>SUMPRODUCT(Calc!$K$3:$K$22*(Calc!$G$3:$G$22&gt;A2618)*(Calc!$G$3:$G$22-A2618))</f>
        <v/>
      </c>
      <c r="H2618">
        <f>SUMPRODUCT(Calc!$K$3:$K$22*(Calc!$G$3:$G$22&gt;B2618)*(Calc!$G$3:$G$22-B2618))</f>
        <v/>
      </c>
      <c r="I2618">
        <f>SUMPRODUCT(Calc!$K$3:$K$22*(Calc!$G$3:$G$22&gt;A2618)*(Calc!$G$3:$G$22-A2618)^2)</f>
        <v/>
      </c>
      <c r="J2618">
        <f>SUMPRODUCT(Calc!$K$3:$K$22*(Calc!$G$3:$G$22&gt;B2618)*(Calc!$G$3:$G$22-B2618)^2)</f>
        <v/>
      </c>
      <c r="K2618">
        <f>SUMPRODUCT(Calc!$K$3:$K$22*(Calc!$G$3:$G$22&gt;A2618)*(Calc!$G$3:$G$22-A2618)*(Calc!$G$3:$G$22&gt;B2618)*(Calc!$G$3:$G$22-B2618))</f>
        <v/>
      </c>
      <c r="L2618">
        <f>SUMPRODUCT(Calc!$K$3:$K$22*(Calc!$G$3:$G$22&gt;A2618)*(Calc!$G$3:$G$22-A2618)*Calc!$G$3:$G$22)</f>
        <v/>
      </c>
      <c r="M2618">
        <f>SUMPRODUCT(Calc!$K$3:$K$22*(Calc!$G$3:$G$22&gt;B2618)*(Calc!$G$3:$G$22-B2618)*Calc!$G$3:$G$22)</f>
        <v/>
      </c>
      <c r="N2618">
        <f>SUMPRODUCT(Calc!$K$3:$K$22*(Calc!$G$3:$G$22&gt;A2618)*(Calc!$G$3:$G$22-A2618)*Calc!$I$3:$I$22)</f>
        <v/>
      </c>
      <c r="O2618">
        <f>SUMPRODUCT(Calc!$K$3:$K$22*(Calc!$G$3:$G$22&gt;B2618)*(Calc!$G$3:$G$22-B2618)*Calc!$I$3:$I$22)</f>
        <v/>
      </c>
      <c r="P2618">
        <f>I2618-G2618^2/k_n</f>
        <v/>
      </c>
      <c r="Q2618">
        <f>J2618-H2618^2/k_n</f>
        <v/>
      </c>
      <c r="R2618">
        <f>K2618-G2618*H2618/k_n</f>
        <v/>
      </c>
      <c r="S2618">
        <f>L2618-LTP3!$D$3*G2618/k_n</f>
        <v/>
      </c>
      <c r="T2618">
        <f>M2618-LTP3!$D$3*H2618/k_n</f>
        <v/>
      </c>
      <c r="U2618">
        <f>N2618-G2618*LTP3!$D$4/k_n</f>
        <v/>
      </c>
      <c r="V2618">
        <f>O2618-H2618*LTP3!$D$4/k_n</f>
        <v/>
      </c>
      <c r="W2618">
        <f>((LTP3!$D$5)*((P2618)*(Q2618)-(R2618)*(R2618))-(S2618)*((S2618)*(Q2618)-(R2618)*(T2618))+(T2618)*((S2618)*(R2618)-(P2618)*(T2618)))</f>
        <v/>
      </c>
      <c r="X2618">
        <f>IF(ABS(W2618)&gt;1E-12,((LTP3!$D$6)*((P2618)*(Q2618)-(R2618)*(R2618))-(S2618)*((U2618)*(Q2618)-(R2618)*(V2618))+(T2618)*((U2618)*(R2618)-(P2618)*(V2618)))/W2618,0)</f>
        <v/>
      </c>
      <c r="Y2618">
        <f>IF(ABS(W2618)&gt;1E-12,((LTP3!$D$5)*((U2618)*(Q2618)-(R2618)*(V2618))-(LTP3!$D$6)*((S2618)*(Q2618)-(R2618)*(T2618))+(T2618)*((S2618)*(V2618)-(U2618)*(T2618)))/W2618,0)</f>
        <v/>
      </c>
      <c r="Z2618">
        <f>IF(ABS(W2618)&gt;1E-12,((LTP3!$D$5)*((P2618)*(V2618)-(U2618)*(R2618))-(S2618)*((S2618)*(V2618)-(U2618)*(T2618))+(LTP3!$D$6)*((S2618)*(R2618)-(P2618)*(T2618)))/W2618,0)</f>
        <v/>
      </c>
      <c r="AA2618">
        <f>LTP3!$D$7-X2618*LTP3!$D$6-Y2618*U2618-Z2618*V2618</f>
        <v/>
      </c>
      <c r="AB2618">
        <f>IF(AND(F2618,ABS(W2618)&gt;1E-12,Y2618&gt;0,Z2618&gt;0),AA2618,1E+300)</f>
        <v/>
      </c>
    </row>
    <row r="2619">
      <c r="A2619">
        <f>$B$3+$B$5*42</f>
        <v/>
      </c>
      <c r="B2619">
        <f>$B$3+$B$5*45</f>
        <v/>
      </c>
      <c r="C2619">
        <f>SUMPRODUCT(Calc!$K$3:$K$22*(Calc!$G$3:$G$22&lt;=A2619))</f>
        <v/>
      </c>
      <c r="D2619">
        <f>SUMPRODUCT(Calc!$K$3:$K$22*(Calc!$G$3:$G$22&gt;A2619)*(Calc!$G$3:$G$22&lt;B2619))</f>
        <v/>
      </c>
      <c r="E2619">
        <f>SUMPRODUCT(Calc!$K$3:$K$22*(Calc!$G$3:$G$22&gt;=B2619))</f>
        <v/>
      </c>
      <c r="F2619">
        <f>AND(k_n&gt;=5,B2619&gt;A2619+1E-9,C2619&gt;=2,D2619&gt;=1,E2619&gt;=2)</f>
        <v/>
      </c>
      <c r="G2619">
        <f>SUMPRODUCT(Calc!$K$3:$K$22*(Calc!$G$3:$G$22&gt;A2619)*(Calc!$G$3:$G$22-A2619))</f>
        <v/>
      </c>
      <c r="H2619">
        <f>SUMPRODUCT(Calc!$K$3:$K$22*(Calc!$G$3:$G$22&gt;B2619)*(Calc!$G$3:$G$22-B2619))</f>
        <v/>
      </c>
      <c r="I2619">
        <f>SUMPRODUCT(Calc!$K$3:$K$22*(Calc!$G$3:$G$22&gt;A2619)*(Calc!$G$3:$G$22-A2619)^2)</f>
        <v/>
      </c>
      <c r="J2619">
        <f>SUMPRODUCT(Calc!$K$3:$K$22*(Calc!$G$3:$G$22&gt;B2619)*(Calc!$G$3:$G$22-B2619)^2)</f>
        <v/>
      </c>
      <c r="K2619">
        <f>SUMPRODUCT(Calc!$K$3:$K$22*(Calc!$G$3:$G$22&gt;A2619)*(Calc!$G$3:$G$22-A2619)*(Calc!$G$3:$G$22&gt;B2619)*(Calc!$G$3:$G$22-B2619))</f>
        <v/>
      </c>
      <c r="L2619">
        <f>SUMPRODUCT(Calc!$K$3:$K$22*(Calc!$G$3:$G$22&gt;A2619)*(Calc!$G$3:$G$22-A2619)*Calc!$G$3:$G$22)</f>
        <v/>
      </c>
      <c r="M2619">
        <f>SUMPRODUCT(Calc!$K$3:$K$22*(Calc!$G$3:$G$22&gt;B2619)*(Calc!$G$3:$G$22-B2619)*Calc!$G$3:$G$22)</f>
        <v/>
      </c>
      <c r="N2619">
        <f>SUMPRODUCT(Calc!$K$3:$K$22*(Calc!$G$3:$G$22&gt;A2619)*(Calc!$G$3:$G$22-A2619)*Calc!$I$3:$I$22)</f>
        <v/>
      </c>
      <c r="O2619">
        <f>SUMPRODUCT(Calc!$K$3:$K$22*(Calc!$G$3:$G$22&gt;B2619)*(Calc!$G$3:$G$22-B2619)*Calc!$I$3:$I$22)</f>
        <v/>
      </c>
      <c r="P2619">
        <f>I2619-G2619^2/k_n</f>
        <v/>
      </c>
      <c r="Q2619">
        <f>J2619-H2619^2/k_n</f>
        <v/>
      </c>
      <c r="R2619">
        <f>K2619-G2619*H2619/k_n</f>
        <v/>
      </c>
      <c r="S2619">
        <f>L2619-LTP3!$D$3*G2619/k_n</f>
        <v/>
      </c>
      <c r="T2619">
        <f>M2619-LTP3!$D$3*H2619/k_n</f>
        <v/>
      </c>
      <c r="U2619">
        <f>N2619-G2619*LTP3!$D$4/k_n</f>
        <v/>
      </c>
      <c r="V2619">
        <f>O2619-H2619*LTP3!$D$4/k_n</f>
        <v/>
      </c>
      <c r="W2619">
        <f>((LTP3!$D$5)*((P2619)*(Q2619)-(R2619)*(R2619))-(S2619)*((S2619)*(Q2619)-(R2619)*(T2619))+(T2619)*((S2619)*(R2619)-(P2619)*(T2619)))</f>
        <v/>
      </c>
      <c r="X2619">
        <f>IF(ABS(W2619)&gt;1E-12,((LTP3!$D$6)*((P2619)*(Q2619)-(R2619)*(R2619))-(S2619)*((U2619)*(Q2619)-(R2619)*(V2619))+(T2619)*((U2619)*(R2619)-(P2619)*(V2619)))/W2619,0)</f>
        <v/>
      </c>
      <c r="Y2619">
        <f>IF(ABS(W2619)&gt;1E-12,((LTP3!$D$5)*((U2619)*(Q2619)-(R2619)*(V2619))-(LTP3!$D$6)*((S2619)*(Q2619)-(R2619)*(T2619))+(T2619)*((S2619)*(V2619)-(U2619)*(T2619)))/W2619,0)</f>
        <v/>
      </c>
      <c r="Z2619">
        <f>IF(ABS(W2619)&gt;1E-12,((LTP3!$D$5)*((P2619)*(V2619)-(U2619)*(R2619))-(S2619)*((S2619)*(V2619)-(U2619)*(T2619))+(LTP3!$D$6)*((S2619)*(R2619)-(P2619)*(T2619)))/W2619,0)</f>
        <v/>
      </c>
      <c r="AA2619">
        <f>LTP3!$D$7-X2619*LTP3!$D$6-Y2619*U2619-Z2619*V2619</f>
        <v/>
      </c>
      <c r="AB2619">
        <f>IF(AND(F2619,ABS(W2619)&gt;1E-12,Y2619&gt;0,Z2619&gt;0),AA2619,1E+300)</f>
        <v/>
      </c>
    </row>
    <row r="2620">
      <c r="A2620">
        <f>$B$3+$B$5*42</f>
        <v/>
      </c>
      <c r="B2620">
        <f>$B$3+$B$5*46</f>
        <v/>
      </c>
      <c r="C2620">
        <f>SUMPRODUCT(Calc!$K$3:$K$22*(Calc!$G$3:$G$22&lt;=A2620))</f>
        <v/>
      </c>
      <c r="D2620">
        <f>SUMPRODUCT(Calc!$K$3:$K$22*(Calc!$G$3:$G$22&gt;A2620)*(Calc!$G$3:$G$22&lt;B2620))</f>
        <v/>
      </c>
      <c r="E2620">
        <f>SUMPRODUCT(Calc!$K$3:$K$22*(Calc!$G$3:$G$22&gt;=B2620))</f>
        <v/>
      </c>
      <c r="F2620">
        <f>AND(k_n&gt;=5,B2620&gt;A2620+1E-9,C2620&gt;=2,D2620&gt;=1,E2620&gt;=2)</f>
        <v/>
      </c>
      <c r="G2620">
        <f>SUMPRODUCT(Calc!$K$3:$K$22*(Calc!$G$3:$G$22&gt;A2620)*(Calc!$G$3:$G$22-A2620))</f>
        <v/>
      </c>
      <c r="H2620">
        <f>SUMPRODUCT(Calc!$K$3:$K$22*(Calc!$G$3:$G$22&gt;B2620)*(Calc!$G$3:$G$22-B2620))</f>
        <v/>
      </c>
      <c r="I2620">
        <f>SUMPRODUCT(Calc!$K$3:$K$22*(Calc!$G$3:$G$22&gt;A2620)*(Calc!$G$3:$G$22-A2620)^2)</f>
        <v/>
      </c>
      <c r="J2620">
        <f>SUMPRODUCT(Calc!$K$3:$K$22*(Calc!$G$3:$G$22&gt;B2620)*(Calc!$G$3:$G$22-B2620)^2)</f>
        <v/>
      </c>
      <c r="K2620">
        <f>SUMPRODUCT(Calc!$K$3:$K$22*(Calc!$G$3:$G$22&gt;A2620)*(Calc!$G$3:$G$22-A2620)*(Calc!$G$3:$G$22&gt;B2620)*(Calc!$G$3:$G$22-B2620))</f>
        <v/>
      </c>
      <c r="L2620">
        <f>SUMPRODUCT(Calc!$K$3:$K$22*(Calc!$G$3:$G$22&gt;A2620)*(Calc!$G$3:$G$22-A2620)*Calc!$G$3:$G$22)</f>
        <v/>
      </c>
      <c r="M2620">
        <f>SUMPRODUCT(Calc!$K$3:$K$22*(Calc!$G$3:$G$22&gt;B2620)*(Calc!$G$3:$G$22-B2620)*Calc!$G$3:$G$22)</f>
        <v/>
      </c>
      <c r="N2620">
        <f>SUMPRODUCT(Calc!$K$3:$K$22*(Calc!$G$3:$G$22&gt;A2620)*(Calc!$G$3:$G$22-A2620)*Calc!$I$3:$I$22)</f>
        <v/>
      </c>
      <c r="O2620">
        <f>SUMPRODUCT(Calc!$K$3:$K$22*(Calc!$G$3:$G$22&gt;B2620)*(Calc!$G$3:$G$22-B2620)*Calc!$I$3:$I$22)</f>
        <v/>
      </c>
      <c r="P2620">
        <f>I2620-G2620^2/k_n</f>
        <v/>
      </c>
      <c r="Q2620">
        <f>J2620-H2620^2/k_n</f>
        <v/>
      </c>
      <c r="R2620">
        <f>K2620-G2620*H2620/k_n</f>
        <v/>
      </c>
      <c r="S2620">
        <f>L2620-LTP3!$D$3*G2620/k_n</f>
        <v/>
      </c>
      <c r="T2620">
        <f>M2620-LTP3!$D$3*H2620/k_n</f>
        <v/>
      </c>
      <c r="U2620">
        <f>N2620-G2620*LTP3!$D$4/k_n</f>
        <v/>
      </c>
      <c r="V2620">
        <f>O2620-H2620*LTP3!$D$4/k_n</f>
        <v/>
      </c>
      <c r="W2620">
        <f>((LTP3!$D$5)*((P2620)*(Q2620)-(R2620)*(R2620))-(S2620)*((S2620)*(Q2620)-(R2620)*(T2620))+(T2620)*((S2620)*(R2620)-(P2620)*(T2620)))</f>
        <v/>
      </c>
      <c r="X2620">
        <f>IF(ABS(W2620)&gt;1E-12,((LTP3!$D$6)*((P2620)*(Q2620)-(R2620)*(R2620))-(S2620)*((U2620)*(Q2620)-(R2620)*(V2620))+(T2620)*((U2620)*(R2620)-(P2620)*(V2620)))/W2620,0)</f>
        <v/>
      </c>
      <c r="Y2620">
        <f>IF(ABS(W2620)&gt;1E-12,((LTP3!$D$5)*((U2620)*(Q2620)-(R2620)*(V2620))-(LTP3!$D$6)*((S2620)*(Q2620)-(R2620)*(T2620))+(T2620)*((S2620)*(V2620)-(U2620)*(T2620)))/W2620,0)</f>
        <v/>
      </c>
      <c r="Z2620">
        <f>IF(ABS(W2620)&gt;1E-12,((LTP3!$D$5)*((P2620)*(V2620)-(U2620)*(R2620))-(S2620)*((S2620)*(V2620)-(U2620)*(T2620))+(LTP3!$D$6)*((S2620)*(R2620)-(P2620)*(T2620)))/W2620,0)</f>
        <v/>
      </c>
      <c r="AA2620">
        <f>LTP3!$D$7-X2620*LTP3!$D$6-Y2620*U2620-Z2620*V2620</f>
        <v/>
      </c>
      <c r="AB2620">
        <f>IF(AND(F2620,ABS(W2620)&gt;1E-12,Y2620&gt;0,Z2620&gt;0),AA2620,1E+300)</f>
        <v/>
      </c>
    </row>
    <row r="2621">
      <c r="A2621">
        <f>$B$3+$B$5*42</f>
        <v/>
      </c>
      <c r="B2621">
        <f>$B$3+$B$5*47</f>
        <v/>
      </c>
      <c r="C2621">
        <f>SUMPRODUCT(Calc!$K$3:$K$22*(Calc!$G$3:$G$22&lt;=A2621))</f>
        <v/>
      </c>
      <c r="D2621">
        <f>SUMPRODUCT(Calc!$K$3:$K$22*(Calc!$G$3:$G$22&gt;A2621)*(Calc!$G$3:$G$22&lt;B2621))</f>
        <v/>
      </c>
      <c r="E2621">
        <f>SUMPRODUCT(Calc!$K$3:$K$22*(Calc!$G$3:$G$22&gt;=B2621))</f>
        <v/>
      </c>
      <c r="F2621">
        <f>AND(k_n&gt;=5,B2621&gt;A2621+1E-9,C2621&gt;=2,D2621&gt;=1,E2621&gt;=2)</f>
        <v/>
      </c>
      <c r="G2621">
        <f>SUMPRODUCT(Calc!$K$3:$K$22*(Calc!$G$3:$G$22&gt;A2621)*(Calc!$G$3:$G$22-A2621))</f>
        <v/>
      </c>
      <c r="H2621">
        <f>SUMPRODUCT(Calc!$K$3:$K$22*(Calc!$G$3:$G$22&gt;B2621)*(Calc!$G$3:$G$22-B2621))</f>
        <v/>
      </c>
      <c r="I2621">
        <f>SUMPRODUCT(Calc!$K$3:$K$22*(Calc!$G$3:$G$22&gt;A2621)*(Calc!$G$3:$G$22-A2621)^2)</f>
        <v/>
      </c>
      <c r="J2621">
        <f>SUMPRODUCT(Calc!$K$3:$K$22*(Calc!$G$3:$G$22&gt;B2621)*(Calc!$G$3:$G$22-B2621)^2)</f>
        <v/>
      </c>
      <c r="K2621">
        <f>SUMPRODUCT(Calc!$K$3:$K$22*(Calc!$G$3:$G$22&gt;A2621)*(Calc!$G$3:$G$22-A2621)*(Calc!$G$3:$G$22&gt;B2621)*(Calc!$G$3:$G$22-B2621))</f>
        <v/>
      </c>
      <c r="L2621">
        <f>SUMPRODUCT(Calc!$K$3:$K$22*(Calc!$G$3:$G$22&gt;A2621)*(Calc!$G$3:$G$22-A2621)*Calc!$G$3:$G$22)</f>
        <v/>
      </c>
      <c r="M2621">
        <f>SUMPRODUCT(Calc!$K$3:$K$22*(Calc!$G$3:$G$22&gt;B2621)*(Calc!$G$3:$G$22-B2621)*Calc!$G$3:$G$22)</f>
        <v/>
      </c>
      <c r="N2621">
        <f>SUMPRODUCT(Calc!$K$3:$K$22*(Calc!$G$3:$G$22&gt;A2621)*(Calc!$G$3:$G$22-A2621)*Calc!$I$3:$I$22)</f>
        <v/>
      </c>
      <c r="O2621">
        <f>SUMPRODUCT(Calc!$K$3:$K$22*(Calc!$G$3:$G$22&gt;B2621)*(Calc!$G$3:$G$22-B2621)*Calc!$I$3:$I$22)</f>
        <v/>
      </c>
      <c r="P2621">
        <f>I2621-G2621^2/k_n</f>
        <v/>
      </c>
      <c r="Q2621">
        <f>J2621-H2621^2/k_n</f>
        <v/>
      </c>
      <c r="R2621">
        <f>K2621-G2621*H2621/k_n</f>
        <v/>
      </c>
      <c r="S2621">
        <f>L2621-LTP3!$D$3*G2621/k_n</f>
        <v/>
      </c>
      <c r="T2621">
        <f>M2621-LTP3!$D$3*H2621/k_n</f>
        <v/>
      </c>
      <c r="U2621">
        <f>N2621-G2621*LTP3!$D$4/k_n</f>
        <v/>
      </c>
      <c r="V2621">
        <f>O2621-H2621*LTP3!$D$4/k_n</f>
        <v/>
      </c>
      <c r="W2621">
        <f>((LTP3!$D$5)*((P2621)*(Q2621)-(R2621)*(R2621))-(S2621)*((S2621)*(Q2621)-(R2621)*(T2621))+(T2621)*((S2621)*(R2621)-(P2621)*(T2621)))</f>
        <v/>
      </c>
      <c r="X2621">
        <f>IF(ABS(W2621)&gt;1E-12,((LTP3!$D$6)*((P2621)*(Q2621)-(R2621)*(R2621))-(S2621)*((U2621)*(Q2621)-(R2621)*(V2621))+(T2621)*((U2621)*(R2621)-(P2621)*(V2621)))/W2621,0)</f>
        <v/>
      </c>
      <c r="Y2621">
        <f>IF(ABS(W2621)&gt;1E-12,((LTP3!$D$5)*((U2621)*(Q2621)-(R2621)*(V2621))-(LTP3!$D$6)*((S2621)*(Q2621)-(R2621)*(T2621))+(T2621)*((S2621)*(V2621)-(U2621)*(T2621)))/W2621,0)</f>
        <v/>
      </c>
      <c r="Z2621">
        <f>IF(ABS(W2621)&gt;1E-12,((LTP3!$D$5)*((P2621)*(V2621)-(U2621)*(R2621))-(S2621)*((S2621)*(V2621)-(U2621)*(T2621))+(LTP3!$D$6)*((S2621)*(R2621)-(P2621)*(T2621)))/W2621,0)</f>
        <v/>
      </c>
      <c r="AA2621">
        <f>LTP3!$D$7-X2621*LTP3!$D$6-Y2621*U2621-Z2621*V2621</f>
        <v/>
      </c>
      <c r="AB2621">
        <f>IF(AND(F2621,ABS(W2621)&gt;1E-12,Y2621&gt;0,Z2621&gt;0),AA2621,1E+300)</f>
        <v/>
      </c>
    </row>
    <row r="2622">
      <c r="A2622">
        <f>$B$3+$B$5*42</f>
        <v/>
      </c>
      <c r="B2622">
        <f>$B$3+$B$5*48</f>
        <v/>
      </c>
      <c r="C2622">
        <f>SUMPRODUCT(Calc!$K$3:$K$22*(Calc!$G$3:$G$22&lt;=A2622))</f>
        <v/>
      </c>
      <c r="D2622">
        <f>SUMPRODUCT(Calc!$K$3:$K$22*(Calc!$G$3:$G$22&gt;A2622)*(Calc!$G$3:$G$22&lt;B2622))</f>
        <v/>
      </c>
      <c r="E2622">
        <f>SUMPRODUCT(Calc!$K$3:$K$22*(Calc!$G$3:$G$22&gt;=B2622))</f>
        <v/>
      </c>
      <c r="F2622">
        <f>AND(k_n&gt;=5,B2622&gt;A2622+1E-9,C2622&gt;=2,D2622&gt;=1,E2622&gt;=2)</f>
        <v/>
      </c>
      <c r="G2622">
        <f>SUMPRODUCT(Calc!$K$3:$K$22*(Calc!$G$3:$G$22&gt;A2622)*(Calc!$G$3:$G$22-A2622))</f>
        <v/>
      </c>
      <c r="H2622">
        <f>SUMPRODUCT(Calc!$K$3:$K$22*(Calc!$G$3:$G$22&gt;B2622)*(Calc!$G$3:$G$22-B2622))</f>
        <v/>
      </c>
      <c r="I2622">
        <f>SUMPRODUCT(Calc!$K$3:$K$22*(Calc!$G$3:$G$22&gt;A2622)*(Calc!$G$3:$G$22-A2622)^2)</f>
        <v/>
      </c>
      <c r="J2622">
        <f>SUMPRODUCT(Calc!$K$3:$K$22*(Calc!$G$3:$G$22&gt;B2622)*(Calc!$G$3:$G$22-B2622)^2)</f>
        <v/>
      </c>
      <c r="K2622">
        <f>SUMPRODUCT(Calc!$K$3:$K$22*(Calc!$G$3:$G$22&gt;A2622)*(Calc!$G$3:$G$22-A2622)*(Calc!$G$3:$G$22&gt;B2622)*(Calc!$G$3:$G$22-B2622))</f>
        <v/>
      </c>
      <c r="L2622">
        <f>SUMPRODUCT(Calc!$K$3:$K$22*(Calc!$G$3:$G$22&gt;A2622)*(Calc!$G$3:$G$22-A2622)*Calc!$G$3:$G$22)</f>
        <v/>
      </c>
      <c r="M2622">
        <f>SUMPRODUCT(Calc!$K$3:$K$22*(Calc!$G$3:$G$22&gt;B2622)*(Calc!$G$3:$G$22-B2622)*Calc!$G$3:$G$22)</f>
        <v/>
      </c>
      <c r="N2622">
        <f>SUMPRODUCT(Calc!$K$3:$K$22*(Calc!$G$3:$G$22&gt;A2622)*(Calc!$G$3:$G$22-A2622)*Calc!$I$3:$I$22)</f>
        <v/>
      </c>
      <c r="O2622">
        <f>SUMPRODUCT(Calc!$K$3:$K$22*(Calc!$G$3:$G$22&gt;B2622)*(Calc!$G$3:$G$22-B2622)*Calc!$I$3:$I$22)</f>
        <v/>
      </c>
      <c r="P2622">
        <f>I2622-G2622^2/k_n</f>
        <v/>
      </c>
      <c r="Q2622">
        <f>J2622-H2622^2/k_n</f>
        <v/>
      </c>
      <c r="R2622">
        <f>K2622-G2622*H2622/k_n</f>
        <v/>
      </c>
      <c r="S2622">
        <f>L2622-LTP3!$D$3*G2622/k_n</f>
        <v/>
      </c>
      <c r="T2622">
        <f>M2622-LTP3!$D$3*H2622/k_n</f>
        <v/>
      </c>
      <c r="U2622">
        <f>N2622-G2622*LTP3!$D$4/k_n</f>
        <v/>
      </c>
      <c r="V2622">
        <f>O2622-H2622*LTP3!$D$4/k_n</f>
        <v/>
      </c>
      <c r="W2622">
        <f>((LTP3!$D$5)*((P2622)*(Q2622)-(R2622)*(R2622))-(S2622)*((S2622)*(Q2622)-(R2622)*(T2622))+(T2622)*((S2622)*(R2622)-(P2622)*(T2622)))</f>
        <v/>
      </c>
      <c r="X2622">
        <f>IF(ABS(W2622)&gt;1E-12,((LTP3!$D$6)*((P2622)*(Q2622)-(R2622)*(R2622))-(S2622)*((U2622)*(Q2622)-(R2622)*(V2622))+(T2622)*((U2622)*(R2622)-(P2622)*(V2622)))/W2622,0)</f>
        <v/>
      </c>
      <c r="Y2622">
        <f>IF(ABS(W2622)&gt;1E-12,((LTP3!$D$5)*((U2622)*(Q2622)-(R2622)*(V2622))-(LTP3!$D$6)*((S2622)*(Q2622)-(R2622)*(T2622))+(T2622)*((S2622)*(V2622)-(U2622)*(T2622)))/W2622,0)</f>
        <v/>
      </c>
      <c r="Z2622">
        <f>IF(ABS(W2622)&gt;1E-12,((LTP3!$D$5)*((P2622)*(V2622)-(U2622)*(R2622))-(S2622)*((S2622)*(V2622)-(U2622)*(T2622))+(LTP3!$D$6)*((S2622)*(R2622)-(P2622)*(T2622)))/W2622,0)</f>
        <v/>
      </c>
      <c r="AA2622">
        <f>LTP3!$D$7-X2622*LTP3!$D$6-Y2622*U2622-Z2622*V2622</f>
        <v/>
      </c>
      <c r="AB2622">
        <f>IF(AND(F2622,ABS(W2622)&gt;1E-12,Y2622&gt;0,Z2622&gt;0),AA2622,1E+300)</f>
        <v/>
      </c>
    </row>
    <row r="2623">
      <c r="A2623">
        <f>$B$3+$B$5*42</f>
        <v/>
      </c>
      <c r="B2623">
        <f>$B$3+$B$5*49</f>
        <v/>
      </c>
      <c r="C2623">
        <f>SUMPRODUCT(Calc!$K$3:$K$22*(Calc!$G$3:$G$22&lt;=A2623))</f>
        <v/>
      </c>
      <c r="D2623">
        <f>SUMPRODUCT(Calc!$K$3:$K$22*(Calc!$G$3:$G$22&gt;A2623)*(Calc!$G$3:$G$22&lt;B2623))</f>
        <v/>
      </c>
      <c r="E2623">
        <f>SUMPRODUCT(Calc!$K$3:$K$22*(Calc!$G$3:$G$22&gt;=B2623))</f>
        <v/>
      </c>
      <c r="F2623">
        <f>AND(k_n&gt;=5,B2623&gt;A2623+1E-9,C2623&gt;=2,D2623&gt;=1,E2623&gt;=2)</f>
        <v/>
      </c>
      <c r="G2623">
        <f>SUMPRODUCT(Calc!$K$3:$K$22*(Calc!$G$3:$G$22&gt;A2623)*(Calc!$G$3:$G$22-A2623))</f>
        <v/>
      </c>
      <c r="H2623">
        <f>SUMPRODUCT(Calc!$K$3:$K$22*(Calc!$G$3:$G$22&gt;B2623)*(Calc!$G$3:$G$22-B2623))</f>
        <v/>
      </c>
      <c r="I2623">
        <f>SUMPRODUCT(Calc!$K$3:$K$22*(Calc!$G$3:$G$22&gt;A2623)*(Calc!$G$3:$G$22-A2623)^2)</f>
        <v/>
      </c>
      <c r="J2623">
        <f>SUMPRODUCT(Calc!$K$3:$K$22*(Calc!$G$3:$G$22&gt;B2623)*(Calc!$G$3:$G$22-B2623)^2)</f>
        <v/>
      </c>
      <c r="K2623">
        <f>SUMPRODUCT(Calc!$K$3:$K$22*(Calc!$G$3:$G$22&gt;A2623)*(Calc!$G$3:$G$22-A2623)*(Calc!$G$3:$G$22&gt;B2623)*(Calc!$G$3:$G$22-B2623))</f>
        <v/>
      </c>
      <c r="L2623">
        <f>SUMPRODUCT(Calc!$K$3:$K$22*(Calc!$G$3:$G$22&gt;A2623)*(Calc!$G$3:$G$22-A2623)*Calc!$G$3:$G$22)</f>
        <v/>
      </c>
      <c r="M2623">
        <f>SUMPRODUCT(Calc!$K$3:$K$22*(Calc!$G$3:$G$22&gt;B2623)*(Calc!$G$3:$G$22-B2623)*Calc!$G$3:$G$22)</f>
        <v/>
      </c>
      <c r="N2623">
        <f>SUMPRODUCT(Calc!$K$3:$K$22*(Calc!$G$3:$G$22&gt;A2623)*(Calc!$G$3:$G$22-A2623)*Calc!$I$3:$I$22)</f>
        <v/>
      </c>
      <c r="O2623">
        <f>SUMPRODUCT(Calc!$K$3:$K$22*(Calc!$G$3:$G$22&gt;B2623)*(Calc!$G$3:$G$22-B2623)*Calc!$I$3:$I$22)</f>
        <v/>
      </c>
      <c r="P2623">
        <f>I2623-G2623^2/k_n</f>
        <v/>
      </c>
      <c r="Q2623">
        <f>J2623-H2623^2/k_n</f>
        <v/>
      </c>
      <c r="R2623">
        <f>K2623-G2623*H2623/k_n</f>
        <v/>
      </c>
      <c r="S2623">
        <f>L2623-LTP3!$D$3*G2623/k_n</f>
        <v/>
      </c>
      <c r="T2623">
        <f>M2623-LTP3!$D$3*H2623/k_n</f>
        <v/>
      </c>
      <c r="U2623">
        <f>N2623-G2623*LTP3!$D$4/k_n</f>
        <v/>
      </c>
      <c r="V2623">
        <f>O2623-H2623*LTP3!$D$4/k_n</f>
        <v/>
      </c>
      <c r="W2623">
        <f>((LTP3!$D$5)*((P2623)*(Q2623)-(R2623)*(R2623))-(S2623)*((S2623)*(Q2623)-(R2623)*(T2623))+(T2623)*((S2623)*(R2623)-(P2623)*(T2623)))</f>
        <v/>
      </c>
      <c r="X2623">
        <f>IF(ABS(W2623)&gt;1E-12,((LTP3!$D$6)*((P2623)*(Q2623)-(R2623)*(R2623))-(S2623)*((U2623)*(Q2623)-(R2623)*(V2623))+(T2623)*((U2623)*(R2623)-(P2623)*(V2623)))/W2623,0)</f>
        <v/>
      </c>
      <c r="Y2623">
        <f>IF(ABS(W2623)&gt;1E-12,((LTP3!$D$5)*((U2623)*(Q2623)-(R2623)*(V2623))-(LTP3!$D$6)*((S2623)*(Q2623)-(R2623)*(T2623))+(T2623)*((S2623)*(V2623)-(U2623)*(T2623)))/W2623,0)</f>
        <v/>
      </c>
      <c r="Z2623">
        <f>IF(ABS(W2623)&gt;1E-12,((LTP3!$D$5)*((P2623)*(V2623)-(U2623)*(R2623))-(S2623)*((S2623)*(V2623)-(U2623)*(T2623))+(LTP3!$D$6)*((S2623)*(R2623)-(P2623)*(T2623)))/W2623,0)</f>
        <v/>
      </c>
      <c r="AA2623">
        <f>LTP3!$D$7-X2623*LTP3!$D$6-Y2623*U2623-Z2623*V2623</f>
        <v/>
      </c>
      <c r="AB2623">
        <f>IF(AND(F2623,ABS(W2623)&gt;1E-12,Y2623&gt;0,Z2623&gt;0),AA2623,1E+300)</f>
        <v/>
      </c>
    </row>
    <row r="2624">
      <c r="A2624">
        <f>$B$3+$B$5*42</f>
        <v/>
      </c>
      <c r="B2624">
        <f>$B$3+$B$5*50</f>
        <v/>
      </c>
      <c r="C2624">
        <f>SUMPRODUCT(Calc!$K$3:$K$22*(Calc!$G$3:$G$22&lt;=A2624))</f>
        <v/>
      </c>
      <c r="D2624">
        <f>SUMPRODUCT(Calc!$K$3:$K$22*(Calc!$G$3:$G$22&gt;A2624)*(Calc!$G$3:$G$22&lt;B2624))</f>
        <v/>
      </c>
      <c r="E2624">
        <f>SUMPRODUCT(Calc!$K$3:$K$22*(Calc!$G$3:$G$22&gt;=B2624))</f>
        <v/>
      </c>
      <c r="F2624">
        <f>AND(k_n&gt;=5,B2624&gt;A2624+1E-9,C2624&gt;=2,D2624&gt;=1,E2624&gt;=2)</f>
        <v/>
      </c>
      <c r="G2624">
        <f>SUMPRODUCT(Calc!$K$3:$K$22*(Calc!$G$3:$G$22&gt;A2624)*(Calc!$G$3:$G$22-A2624))</f>
        <v/>
      </c>
      <c r="H2624">
        <f>SUMPRODUCT(Calc!$K$3:$K$22*(Calc!$G$3:$G$22&gt;B2624)*(Calc!$G$3:$G$22-B2624))</f>
        <v/>
      </c>
      <c r="I2624">
        <f>SUMPRODUCT(Calc!$K$3:$K$22*(Calc!$G$3:$G$22&gt;A2624)*(Calc!$G$3:$G$22-A2624)^2)</f>
        <v/>
      </c>
      <c r="J2624">
        <f>SUMPRODUCT(Calc!$K$3:$K$22*(Calc!$G$3:$G$22&gt;B2624)*(Calc!$G$3:$G$22-B2624)^2)</f>
        <v/>
      </c>
      <c r="K2624">
        <f>SUMPRODUCT(Calc!$K$3:$K$22*(Calc!$G$3:$G$22&gt;A2624)*(Calc!$G$3:$G$22-A2624)*(Calc!$G$3:$G$22&gt;B2624)*(Calc!$G$3:$G$22-B2624))</f>
        <v/>
      </c>
      <c r="L2624">
        <f>SUMPRODUCT(Calc!$K$3:$K$22*(Calc!$G$3:$G$22&gt;A2624)*(Calc!$G$3:$G$22-A2624)*Calc!$G$3:$G$22)</f>
        <v/>
      </c>
      <c r="M2624">
        <f>SUMPRODUCT(Calc!$K$3:$K$22*(Calc!$G$3:$G$22&gt;B2624)*(Calc!$G$3:$G$22-B2624)*Calc!$G$3:$G$22)</f>
        <v/>
      </c>
      <c r="N2624">
        <f>SUMPRODUCT(Calc!$K$3:$K$22*(Calc!$G$3:$G$22&gt;A2624)*(Calc!$G$3:$G$22-A2624)*Calc!$I$3:$I$22)</f>
        <v/>
      </c>
      <c r="O2624">
        <f>SUMPRODUCT(Calc!$K$3:$K$22*(Calc!$G$3:$G$22&gt;B2624)*(Calc!$G$3:$G$22-B2624)*Calc!$I$3:$I$22)</f>
        <v/>
      </c>
      <c r="P2624">
        <f>I2624-G2624^2/k_n</f>
        <v/>
      </c>
      <c r="Q2624">
        <f>J2624-H2624^2/k_n</f>
        <v/>
      </c>
      <c r="R2624">
        <f>K2624-G2624*H2624/k_n</f>
        <v/>
      </c>
      <c r="S2624">
        <f>L2624-LTP3!$D$3*G2624/k_n</f>
        <v/>
      </c>
      <c r="T2624">
        <f>M2624-LTP3!$D$3*H2624/k_n</f>
        <v/>
      </c>
      <c r="U2624">
        <f>N2624-G2624*LTP3!$D$4/k_n</f>
        <v/>
      </c>
      <c r="V2624">
        <f>O2624-H2624*LTP3!$D$4/k_n</f>
        <v/>
      </c>
      <c r="W2624">
        <f>((LTP3!$D$5)*((P2624)*(Q2624)-(R2624)*(R2624))-(S2624)*((S2624)*(Q2624)-(R2624)*(T2624))+(T2624)*((S2624)*(R2624)-(P2624)*(T2624)))</f>
        <v/>
      </c>
      <c r="X2624">
        <f>IF(ABS(W2624)&gt;1E-12,((LTP3!$D$6)*((P2624)*(Q2624)-(R2624)*(R2624))-(S2624)*((U2624)*(Q2624)-(R2624)*(V2624))+(T2624)*((U2624)*(R2624)-(P2624)*(V2624)))/W2624,0)</f>
        <v/>
      </c>
      <c r="Y2624">
        <f>IF(ABS(W2624)&gt;1E-12,((LTP3!$D$5)*((U2624)*(Q2624)-(R2624)*(V2624))-(LTP3!$D$6)*((S2624)*(Q2624)-(R2624)*(T2624))+(T2624)*((S2624)*(V2624)-(U2624)*(T2624)))/W2624,0)</f>
        <v/>
      </c>
      <c r="Z2624">
        <f>IF(ABS(W2624)&gt;1E-12,((LTP3!$D$5)*((P2624)*(V2624)-(U2624)*(R2624))-(S2624)*((S2624)*(V2624)-(U2624)*(T2624))+(LTP3!$D$6)*((S2624)*(R2624)-(P2624)*(T2624)))/W2624,0)</f>
        <v/>
      </c>
      <c r="AA2624">
        <f>LTP3!$D$7-X2624*LTP3!$D$6-Y2624*U2624-Z2624*V2624</f>
        <v/>
      </c>
      <c r="AB2624">
        <f>IF(AND(F2624,ABS(W2624)&gt;1E-12,Y2624&gt;0,Z2624&gt;0),AA2624,1E+300)</f>
        <v/>
      </c>
    </row>
    <row r="2625">
      <c r="A2625">
        <f>$B$3+$B$5*42</f>
        <v/>
      </c>
      <c r="B2625">
        <f>$B$3+$B$5*51</f>
        <v/>
      </c>
      <c r="C2625">
        <f>SUMPRODUCT(Calc!$K$3:$K$22*(Calc!$G$3:$G$22&lt;=A2625))</f>
        <v/>
      </c>
      <c r="D2625">
        <f>SUMPRODUCT(Calc!$K$3:$K$22*(Calc!$G$3:$G$22&gt;A2625)*(Calc!$G$3:$G$22&lt;B2625))</f>
        <v/>
      </c>
      <c r="E2625">
        <f>SUMPRODUCT(Calc!$K$3:$K$22*(Calc!$G$3:$G$22&gt;=B2625))</f>
        <v/>
      </c>
      <c r="F2625">
        <f>AND(k_n&gt;=5,B2625&gt;A2625+1E-9,C2625&gt;=2,D2625&gt;=1,E2625&gt;=2)</f>
        <v/>
      </c>
      <c r="G2625">
        <f>SUMPRODUCT(Calc!$K$3:$K$22*(Calc!$G$3:$G$22&gt;A2625)*(Calc!$G$3:$G$22-A2625))</f>
        <v/>
      </c>
      <c r="H2625">
        <f>SUMPRODUCT(Calc!$K$3:$K$22*(Calc!$G$3:$G$22&gt;B2625)*(Calc!$G$3:$G$22-B2625))</f>
        <v/>
      </c>
      <c r="I2625">
        <f>SUMPRODUCT(Calc!$K$3:$K$22*(Calc!$G$3:$G$22&gt;A2625)*(Calc!$G$3:$G$22-A2625)^2)</f>
        <v/>
      </c>
      <c r="J2625">
        <f>SUMPRODUCT(Calc!$K$3:$K$22*(Calc!$G$3:$G$22&gt;B2625)*(Calc!$G$3:$G$22-B2625)^2)</f>
        <v/>
      </c>
      <c r="K2625">
        <f>SUMPRODUCT(Calc!$K$3:$K$22*(Calc!$G$3:$G$22&gt;A2625)*(Calc!$G$3:$G$22-A2625)*(Calc!$G$3:$G$22&gt;B2625)*(Calc!$G$3:$G$22-B2625))</f>
        <v/>
      </c>
      <c r="L2625">
        <f>SUMPRODUCT(Calc!$K$3:$K$22*(Calc!$G$3:$G$22&gt;A2625)*(Calc!$G$3:$G$22-A2625)*Calc!$G$3:$G$22)</f>
        <v/>
      </c>
      <c r="M2625">
        <f>SUMPRODUCT(Calc!$K$3:$K$22*(Calc!$G$3:$G$22&gt;B2625)*(Calc!$G$3:$G$22-B2625)*Calc!$G$3:$G$22)</f>
        <v/>
      </c>
      <c r="N2625">
        <f>SUMPRODUCT(Calc!$K$3:$K$22*(Calc!$G$3:$G$22&gt;A2625)*(Calc!$G$3:$G$22-A2625)*Calc!$I$3:$I$22)</f>
        <v/>
      </c>
      <c r="O2625">
        <f>SUMPRODUCT(Calc!$K$3:$K$22*(Calc!$G$3:$G$22&gt;B2625)*(Calc!$G$3:$G$22-B2625)*Calc!$I$3:$I$22)</f>
        <v/>
      </c>
      <c r="P2625">
        <f>I2625-G2625^2/k_n</f>
        <v/>
      </c>
      <c r="Q2625">
        <f>J2625-H2625^2/k_n</f>
        <v/>
      </c>
      <c r="R2625">
        <f>K2625-G2625*H2625/k_n</f>
        <v/>
      </c>
      <c r="S2625">
        <f>L2625-LTP3!$D$3*G2625/k_n</f>
        <v/>
      </c>
      <c r="T2625">
        <f>M2625-LTP3!$D$3*H2625/k_n</f>
        <v/>
      </c>
      <c r="U2625">
        <f>N2625-G2625*LTP3!$D$4/k_n</f>
        <v/>
      </c>
      <c r="V2625">
        <f>O2625-H2625*LTP3!$D$4/k_n</f>
        <v/>
      </c>
      <c r="W2625">
        <f>((LTP3!$D$5)*((P2625)*(Q2625)-(R2625)*(R2625))-(S2625)*((S2625)*(Q2625)-(R2625)*(T2625))+(T2625)*((S2625)*(R2625)-(P2625)*(T2625)))</f>
        <v/>
      </c>
      <c r="X2625">
        <f>IF(ABS(W2625)&gt;1E-12,((LTP3!$D$6)*((P2625)*(Q2625)-(R2625)*(R2625))-(S2625)*((U2625)*(Q2625)-(R2625)*(V2625))+(T2625)*((U2625)*(R2625)-(P2625)*(V2625)))/W2625,0)</f>
        <v/>
      </c>
      <c r="Y2625">
        <f>IF(ABS(W2625)&gt;1E-12,((LTP3!$D$5)*((U2625)*(Q2625)-(R2625)*(V2625))-(LTP3!$D$6)*((S2625)*(Q2625)-(R2625)*(T2625))+(T2625)*((S2625)*(V2625)-(U2625)*(T2625)))/W2625,0)</f>
        <v/>
      </c>
      <c r="Z2625">
        <f>IF(ABS(W2625)&gt;1E-12,((LTP3!$D$5)*((P2625)*(V2625)-(U2625)*(R2625))-(S2625)*((S2625)*(V2625)-(U2625)*(T2625))+(LTP3!$D$6)*((S2625)*(R2625)-(P2625)*(T2625)))/W2625,0)</f>
        <v/>
      </c>
      <c r="AA2625">
        <f>LTP3!$D$7-X2625*LTP3!$D$6-Y2625*U2625-Z2625*V2625</f>
        <v/>
      </c>
      <c r="AB2625">
        <f>IF(AND(F2625,ABS(W2625)&gt;1E-12,Y2625&gt;0,Z2625&gt;0),AA2625,1E+300)</f>
        <v/>
      </c>
    </row>
    <row r="2626">
      <c r="A2626">
        <f>$B$3+$B$5*42</f>
        <v/>
      </c>
      <c r="B2626">
        <f>$B$3+$B$5*52</f>
        <v/>
      </c>
      <c r="C2626">
        <f>SUMPRODUCT(Calc!$K$3:$K$22*(Calc!$G$3:$G$22&lt;=A2626))</f>
        <v/>
      </c>
      <c r="D2626">
        <f>SUMPRODUCT(Calc!$K$3:$K$22*(Calc!$G$3:$G$22&gt;A2626)*(Calc!$G$3:$G$22&lt;B2626))</f>
        <v/>
      </c>
      <c r="E2626">
        <f>SUMPRODUCT(Calc!$K$3:$K$22*(Calc!$G$3:$G$22&gt;=B2626))</f>
        <v/>
      </c>
      <c r="F2626">
        <f>AND(k_n&gt;=5,B2626&gt;A2626+1E-9,C2626&gt;=2,D2626&gt;=1,E2626&gt;=2)</f>
        <v/>
      </c>
      <c r="G2626">
        <f>SUMPRODUCT(Calc!$K$3:$K$22*(Calc!$G$3:$G$22&gt;A2626)*(Calc!$G$3:$G$22-A2626))</f>
        <v/>
      </c>
      <c r="H2626">
        <f>SUMPRODUCT(Calc!$K$3:$K$22*(Calc!$G$3:$G$22&gt;B2626)*(Calc!$G$3:$G$22-B2626))</f>
        <v/>
      </c>
      <c r="I2626">
        <f>SUMPRODUCT(Calc!$K$3:$K$22*(Calc!$G$3:$G$22&gt;A2626)*(Calc!$G$3:$G$22-A2626)^2)</f>
        <v/>
      </c>
      <c r="J2626">
        <f>SUMPRODUCT(Calc!$K$3:$K$22*(Calc!$G$3:$G$22&gt;B2626)*(Calc!$G$3:$G$22-B2626)^2)</f>
        <v/>
      </c>
      <c r="K2626">
        <f>SUMPRODUCT(Calc!$K$3:$K$22*(Calc!$G$3:$G$22&gt;A2626)*(Calc!$G$3:$G$22-A2626)*(Calc!$G$3:$G$22&gt;B2626)*(Calc!$G$3:$G$22-B2626))</f>
        <v/>
      </c>
      <c r="L2626">
        <f>SUMPRODUCT(Calc!$K$3:$K$22*(Calc!$G$3:$G$22&gt;A2626)*(Calc!$G$3:$G$22-A2626)*Calc!$G$3:$G$22)</f>
        <v/>
      </c>
      <c r="M2626">
        <f>SUMPRODUCT(Calc!$K$3:$K$22*(Calc!$G$3:$G$22&gt;B2626)*(Calc!$G$3:$G$22-B2626)*Calc!$G$3:$G$22)</f>
        <v/>
      </c>
      <c r="N2626">
        <f>SUMPRODUCT(Calc!$K$3:$K$22*(Calc!$G$3:$G$22&gt;A2626)*(Calc!$G$3:$G$22-A2626)*Calc!$I$3:$I$22)</f>
        <v/>
      </c>
      <c r="O2626">
        <f>SUMPRODUCT(Calc!$K$3:$K$22*(Calc!$G$3:$G$22&gt;B2626)*(Calc!$G$3:$G$22-B2626)*Calc!$I$3:$I$22)</f>
        <v/>
      </c>
      <c r="P2626">
        <f>I2626-G2626^2/k_n</f>
        <v/>
      </c>
      <c r="Q2626">
        <f>J2626-H2626^2/k_n</f>
        <v/>
      </c>
      <c r="R2626">
        <f>K2626-G2626*H2626/k_n</f>
        <v/>
      </c>
      <c r="S2626">
        <f>L2626-LTP3!$D$3*G2626/k_n</f>
        <v/>
      </c>
      <c r="T2626">
        <f>M2626-LTP3!$D$3*H2626/k_n</f>
        <v/>
      </c>
      <c r="U2626">
        <f>N2626-G2626*LTP3!$D$4/k_n</f>
        <v/>
      </c>
      <c r="V2626">
        <f>O2626-H2626*LTP3!$D$4/k_n</f>
        <v/>
      </c>
      <c r="W2626">
        <f>((LTP3!$D$5)*((P2626)*(Q2626)-(R2626)*(R2626))-(S2626)*((S2626)*(Q2626)-(R2626)*(T2626))+(T2626)*((S2626)*(R2626)-(P2626)*(T2626)))</f>
        <v/>
      </c>
      <c r="X2626">
        <f>IF(ABS(W2626)&gt;1E-12,((LTP3!$D$6)*((P2626)*(Q2626)-(R2626)*(R2626))-(S2626)*((U2626)*(Q2626)-(R2626)*(V2626))+(T2626)*((U2626)*(R2626)-(P2626)*(V2626)))/W2626,0)</f>
        <v/>
      </c>
      <c r="Y2626">
        <f>IF(ABS(W2626)&gt;1E-12,((LTP3!$D$5)*((U2626)*(Q2626)-(R2626)*(V2626))-(LTP3!$D$6)*((S2626)*(Q2626)-(R2626)*(T2626))+(T2626)*((S2626)*(V2626)-(U2626)*(T2626)))/W2626,0)</f>
        <v/>
      </c>
      <c r="Z2626">
        <f>IF(ABS(W2626)&gt;1E-12,((LTP3!$D$5)*((P2626)*(V2626)-(U2626)*(R2626))-(S2626)*((S2626)*(V2626)-(U2626)*(T2626))+(LTP3!$D$6)*((S2626)*(R2626)-(P2626)*(T2626)))/W2626,0)</f>
        <v/>
      </c>
      <c r="AA2626">
        <f>LTP3!$D$7-X2626*LTP3!$D$6-Y2626*U2626-Z2626*V2626</f>
        <v/>
      </c>
      <c r="AB2626">
        <f>IF(AND(F2626,ABS(W2626)&gt;1E-12,Y2626&gt;0,Z2626&gt;0),AA2626,1E+300)</f>
        <v/>
      </c>
    </row>
    <row r="2627">
      <c r="A2627">
        <f>$B$3+$B$5*42</f>
        <v/>
      </c>
      <c r="B2627">
        <f>$B$3+$B$5*53</f>
        <v/>
      </c>
      <c r="C2627">
        <f>SUMPRODUCT(Calc!$K$3:$K$22*(Calc!$G$3:$G$22&lt;=A2627))</f>
        <v/>
      </c>
      <c r="D2627">
        <f>SUMPRODUCT(Calc!$K$3:$K$22*(Calc!$G$3:$G$22&gt;A2627)*(Calc!$G$3:$G$22&lt;B2627))</f>
        <v/>
      </c>
      <c r="E2627">
        <f>SUMPRODUCT(Calc!$K$3:$K$22*(Calc!$G$3:$G$22&gt;=B2627))</f>
        <v/>
      </c>
      <c r="F2627">
        <f>AND(k_n&gt;=5,B2627&gt;A2627+1E-9,C2627&gt;=2,D2627&gt;=1,E2627&gt;=2)</f>
        <v/>
      </c>
      <c r="G2627">
        <f>SUMPRODUCT(Calc!$K$3:$K$22*(Calc!$G$3:$G$22&gt;A2627)*(Calc!$G$3:$G$22-A2627))</f>
        <v/>
      </c>
      <c r="H2627">
        <f>SUMPRODUCT(Calc!$K$3:$K$22*(Calc!$G$3:$G$22&gt;B2627)*(Calc!$G$3:$G$22-B2627))</f>
        <v/>
      </c>
      <c r="I2627">
        <f>SUMPRODUCT(Calc!$K$3:$K$22*(Calc!$G$3:$G$22&gt;A2627)*(Calc!$G$3:$G$22-A2627)^2)</f>
        <v/>
      </c>
      <c r="J2627">
        <f>SUMPRODUCT(Calc!$K$3:$K$22*(Calc!$G$3:$G$22&gt;B2627)*(Calc!$G$3:$G$22-B2627)^2)</f>
        <v/>
      </c>
      <c r="K2627">
        <f>SUMPRODUCT(Calc!$K$3:$K$22*(Calc!$G$3:$G$22&gt;A2627)*(Calc!$G$3:$G$22-A2627)*(Calc!$G$3:$G$22&gt;B2627)*(Calc!$G$3:$G$22-B2627))</f>
        <v/>
      </c>
      <c r="L2627">
        <f>SUMPRODUCT(Calc!$K$3:$K$22*(Calc!$G$3:$G$22&gt;A2627)*(Calc!$G$3:$G$22-A2627)*Calc!$G$3:$G$22)</f>
        <v/>
      </c>
      <c r="M2627">
        <f>SUMPRODUCT(Calc!$K$3:$K$22*(Calc!$G$3:$G$22&gt;B2627)*(Calc!$G$3:$G$22-B2627)*Calc!$G$3:$G$22)</f>
        <v/>
      </c>
      <c r="N2627">
        <f>SUMPRODUCT(Calc!$K$3:$K$22*(Calc!$G$3:$G$22&gt;A2627)*(Calc!$G$3:$G$22-A2627)*Calc!$I$3:$I$22)</f>
        <v/>
      </c>
      <c r="O2627">
        <f>SUMPRODUCT(Calc!$K$3:$K$22*(Calc!$G$3:$G$22&gt;B2627)*(Calc!$G$3:$G$22-B2627)*Calc!$I$3:$I$22)</f>
        <v/>
      </c>
      <c r="P2627">
        <f>I2627-G2627^2/k_n</f>
        <v/>
      </c>
      <c r="Q2627">
        <f>J2627-H2627^2/k_n</f>
        <v/>
      </c>
      <c r="R2627">
        <f>K2627-G2627*H2627/k_n</f>
        <v/>
      </c>
      <c r="S2627">
        <f>L2627-LTP3!$D$3*G2627/k_n</f>
        <v/>
      </c>
      <c r="T2627">
        <f>M2627-LTP3!$D$3*H2627/k_n</f>
        <v/>
      </c>
      <c r="U2627">
        <f>N2627-G2627*LTP3!$D$4/k_n</f>
        <v/>
      </c>
      <c r="V2627">
        <f>O2627-H2627*LTP3!$D$4/k_n</f>
        <v/>
      </c>
      <c r="W2627">
        <f>((LTP3!$D$5)*((P2627)*(Q2627)-(R2627)*(R2627))-(S2627)*((S2627)*(Q2627)-(R2627)*(T2627))+(T2627)*((S2627)*(R2627)-(P2627)*(T2627)))</f>
        <v/>
      </c>
      <c r="X2627">
        <f>IF(ABS(W2627)&gt;1E-12,((LTP3!$D$6)*((P2627)*(Q2627)-(R2627)*(R2627))-(S2627)*((U2627)*(Q2627)-(R2627)*(V2627))+(T2627)*((U2627)*(R2627)-(P2627)*(V2627)))/W2627,0)</f>
        <v/>
      </c>
      <c r="Y2627">
        <f>IF(ABS(W2627)&gt;1E-12,((LTP3!$D$5)*((U2627)*(Q2627)-(R2627)*(V2627))-(LTP3!$D$6)*((S2627)*(Q2627)-(R2627)*(T2627))+(T2627)*((S2627)*(V2627)-(U2627)*(T2627)))/W2627,0)</f>
        <v/>
      </c>
      <c r="Z2627">
        <f>IF(ABS(W2627)&gt;1E-12,((LTP3!$D$5)*((P2627)*(V2627)-(U2627)*(R2627))-(S2627)*((S2627)*(V2627)-(U2627)*(T2627))+(LTP3!$D$6)*((S2627)*(R2627)-(P2627)*(T2627)))/W2627,0)</f>
        <v/>
      </c>
      <c r="AA2627">
        <f>LTP3!$D$7-X2627*LTP3!$D$6-Y2627*U2627-Z2627*V2627</f>
        <v/>
      </c>
      <c r="AB2627">
        <f>IF(AND(F2627,ABS(W2627)&gt;1E-12,Y2627&gt;0,Z2627&gt;0),AA2627,1E+300)</f>
        <v/>
      </c>
    </row>
    <row r="2628">
      <c r="A2628">
        <f>$B$3+$B$5*42</f>
        <v/>
      </c>
      <c r="B2628">
        <f>$B$3+$B$5*54</f>
        <v/>
      </c>
      <c r="C2628">
        <f>SUMPRODUCT(Calc!$K$3:$K$22*(Calc!$G$3:$G$22&lt;=A2628))</f>
        <v/>
      </c>
      <c r="D2628">
        <f>SUMPRODUCT(Calc!$K$3:$K$22*(Calc!$G$3:$G$22&gt;A2628)*(Calc!$G$3:$G$22&lt;B2628))</f>
        <v/>
      </c>
      <c r="E2628">
        <f>SUMPRODUCT(Calc!$K$3:$K$22*(Calc!$G$3:$G$22&gt;=B2628))</f>
        <v/>
      </c>
      <c r="F2628">
        <f>AND(k_n&gt;=5,B2628&gt;A2628+1E-9,C2628&gt;=2,D2628&gt;=1,E2628&gt;=2)</f>
        <v/>
      </c>
      <c r="G2628">
        <f>SUMPRODUCT(Calc!$K$3:$K$22*(Calc!$G$3:$G$22&gt;A2628)*(Calc!$G$3:$G$22-A2628))</f>
        <v/>
      </c>
      <c r="H2628">
        <f>SUMPRODUCT(Calc!$K$3:$K$22*(Calc!$G$3:$G$22&gt;B2628)*(Calc!$G$3:$G$22-B2628))</f>
        <v/>
      </c>
      <c r="I2628">
        <f>SUMPRODUCT(Calc!$K$3:$K$22*(Calc!$G$3:$G$22&gt;A2628)*(Calc!$G$3:$G$22-A2628)^2)</f>
        <v/>
      </c>
      <c r="J2628">
        <f>SUMPRODUCT(Calc!$K$3:$K$22*(Calc!$G$3:$G$22&gt;B2628)*(Calc!$G$3:$G$22-B2628)^2)</f>
        <v/>
      </c>
      <c r="K2628">
        <f>SUMPRODUCT(Calc!$K$3:$K$22*(Calc!$G$3:$G$22&gt;A2628)*(Calc!$G$3:$G$22-A2628)*(Calc!$G$3:$G$22&gt;B2628)*(Calc!$G$3:$G$22-B2628))</f>
        <v/>
      </c>
      <c r="L2628">
        <f>SUMPRODUCT(Calc!$K$3:$K$22*(Calc!$G$3:$G$22&gt;A2628)*(Calc!$G$3:$G$22-A2628)*Calc!$G$3:$G$22)</f>
        <v/>
      </c>
      <c r="M2628">
        <f>SUMPRODUCT(Calc!$K$3:$K$22*(Calc!$G$3:$G$22&gt;B2628)*(Calc!$G$3:$G$22-B2628)*Calc!$G$3:$G$22)</f>
        <v/>
      </c>
      <c r="N2628">
        <f>SUMPRODUCT(Calc!$K$3:$K$22*(Calc!$G$3:$G$22&gt;A2628)*(Calc!$G$3:$G$22-A2628)*Calc!$I$3:$I$22)</f>
        <v/>
      </c>
      <c r="O2628">
        <f>SUMPRODUCT(Calc!$K$3:$K$22*(Calc!$G$3:$G$22&gt;B2628)*(Calc!$G$3:$G$22-B2628)*Calc!$I$3:$I$22)</f>
        <v/>
      </c>
      <c r="P2628">
        <f>I2628-G2628^2/k_n</f>
        <v/>
      </c>
      <c r="Q2628">
        <f>J2628-H2628^2/k_n</f>
        <v/>
      </c>
      <c r="R2628">
        <f>K2628-G2628*H2628/k_n</f>
        <v/>
      </c>
      <c r="S2628">
        <f>L2628-LTP3!$D$3*G2628/k_n</f>
        <v/>
      </c>
      <c r="T2628">
        <f>M2628-LTP3!$D$3*H2628/k_n</f>
        <v/>
      </c>
      <c r="U2628">
        <f>N2628-G2628*LTP3!$D$4/k_n</f>
        <v/>
      </c>
      <c r="V2628">
        <f>O2628-H2628*LTP3!$D$4/k_n</f>
        <v/>
      </c>
      <c r="W2628">
        <f>((LTP3!$D$5)*((P2628)*(Q2628)-(R2628)*(R2628))-(S2628)*((S2628)*(Q2628)-(R2628)*(T2628))+(T2628)*((S2628)*(R2628)-(P2628)*(T2628)))</f>
        <v/>
      </c>
      <c r="X2628">
        <f>IF(ABS(W2628)&gt;1E-12,((LTP3!$D$6)*((P2628)*(Q2628)-(R2628)*(R2628))-(S2628)*((U2628)*(Q2628)-(R2628)*(V2628))+(T2628)*((U2628)*(R2628)-(P2628)*(V2628)))/W2628,0)</f>
        <v/>
      </c>
      <c r="Y2628">
        <f>IF(ABS(W2628)&gt;1E-12,((LTP3!$D$5)*((U2628)*(Q2628)-(R2628)*(V2628))-(LTP3!$D$6)*((S2628)*(Q2628)-(R2628)*(T2628))+(T2628)*((S2628)*(V2628)-(U2628)*(T2628)))/W2628,0)</f>
        <v/>
      </c>
      <c r="Z2628">
        <f>IF(ABS(W2628)&gt;1E-12,((LTP3!$D$5)*((P2628)*(V2628)-(U2628)*(R2628))-(S2628)*((S2628)*(V2628)-(U2628)*(T2628))+(LTP3!$D$6)*((S2628)*(R2628)-(P2628)*(T2628)))/W2628,0)</f>
        <v/>
      </c>
      <c r="AA2628">
        <f>LTP3!$D$7-X2628*LTP3!$D$6-Y2628*U2628-Z2628*V2628</f>
        <v/>
      </c>
      <c r="AB2628">
        <f>IF(AND(F2628,ABS(W2628)&gt;1E-12,Y2628&gt;0,Z2628&gt;0),AA2628,1E+300)</f>
        <v/>
      </c>
    </row>
    <row r="2629">
      <c r="A2629">
        <f>$B$3+$B$5*42</f>
        <v/>
      </c>
      <c r="B2629">
        <f>$B$3+$B$5*55</f>
        <v/>
      </c>
      <c r="C2629">
        <f>SUMPRODUCT(Calc!$K$3:$K$22*(Calc!$G$3:$G$22&lt;=A2629))</f>
        <v/>
      </c>
      <c r="D2629">
        <f>SUMPRODUCT(Calc!$K$3:$K$22*(Calc!$G$3:$G$22&gt;A2629)*(Calc!$G$3:$G$22&lt;B2629))</f>
        <v/>
      </c>
      <c r="E2629">
        <f>SUMPRODUCT(Calc!$K$3:$K$22*(Calc!$G$3:$G$22&gt;=B2629))</f>
        <v/>
      </c>
      <c r="F2629">
        <f>AND(k_n&gt;=5,B2629&gt;A2629+1E-9,C2629&gt;=2,D2629&gt;=1,E2629&gt;=2)</f>
        <v/>
      </c>
      <c r="G2629">
        <f>SUMPRODUCT(Calc!$K$3:$K$22*(Calc!$G$3:$G$22&gt;A2629)*(Calc!$G$3:$G$22-A2629))</f>
        <v/>
      </c>
      <c r="H2629">
        <f>SUMPRODUCT(Calc!$K$3:$K$22*(Calc!$G$3:$G$22&gt;B2629)*(Calc!$G$3:$G$22-B2629))</f>
        <v/>
      </c>
      <c r="I2629">
        <f>SUMPRODUCT(Calc!$K$3:$K$22*(Calc!$G$3:$G$22&gt;A2629)*(Calc!$G$3:$G$22-A2629)^2)</f>
        <v/>
      </c>
      <c r="J2629">
        <f>SUMPRODUCT(Calc!$K$3:$K$22*(Calc!$G$3:$G$22&gt;B2629)*(Calc!$G$3:$G$22-B2629)^2)</f>
        <v/>
      </c>
      <c r="K2629">
        <f>SUMPRODUCT(Calc!$K$3:$K$22*(Calc!$G$3:$G$22&gt;A2629)*(Calc!$G$3:$G$22-A2629)*(Calc!$G$3:$G$22&gt;B2629)*(Calc!$G$3:$G$22-B2629))</f>
        <v/>
      </c>
      <c r="L2629">
        <f>SUMPRODUCT(Calc!$K$3:$K$22*(Calc!$G$3:$G$22&gt;A2629)*(Calc!$G$3:$G$22-A2629)*Calc!$G$3:$G$22)</f>
        <v/>
      </c>
      <c r="M2629">
        <f>SUMPRODUCT(Calc!$K$3:$K$22*(Calc!$G$3:$G$22&gt;B2629)*(Calc!$G$3:$G$22-B2629)*Calc!$G$3:$G$22)</f>
        <v/>
      </c>
      <c r="N2629">
        <f>SUMPRODUCT(Calc!$K$3:$K$22*(Calc!$G$3:$G$22&gt;A2629)*(Calc!$G$3:$G$22-A2629)*Calc!$I$3:$I$22)</f>
        <v/>
      </c>
      <c r="O2629">
        <f>SUMPRODUCT(Calc!$K$3:$K$22*(Calc!$G$3:$G$22&gt;B2629)*(Calc!$G$3:$G$22-B2629)*Calc!$I$3:$I$22)</f>
        <v/>
      </c>
      <c r="P2629">
        <f>I2629-G2629^2/k_n</f>
        <v/>
      </c>
      <c r="Q2629">
        <f>J2629-H2629^2/k_n</f>
        <v/>
      </c>
      <c r="R2629">
        <f>K2629-G2629*H2629/k_n</f>
        <v/>
      </c>
      <c r="S2629">
        <f>L2629-LTP3!$D$3*G2629/k_n</f>
        <v/>
      </c>
      <c r="T2629">
        <f>M2629-LTP3!$D$3*H2629/k_n</f>
        <v/>
      </c>
      <c r="U2629">
        <f>N2629-G2629*LTP3!$D$4/k_n</f>
        <v/>
      </c>
      <c r="V2629">
        <f>O2629-H2629*LTP3!$D$4/k_n</f>
        <v/>
      </c>
      <c r="W2629">
        <f>((LTP3!$D$5)*((P2629)*(Q2629)-(R2629)*(R2629))-(S2629)*((S2629)*(Q2629)-(R2629)*(T2629))+(T2629)*((S2629)*(R2629)-(P2629)*(T2629)))</f>
        <v/>
      </c>
      <c r="X2629">
        <f>IF(ABS(W2629)&gt;1E-12,((LTP3!$D$6)*((P2629)*(Q2629)-(R2629)*(R2629))-(S2629)*((U2629)*(Q2629)-(R2629)*(V2629))+(T2629)*((U2629)*(R2629)-(P2629)*(V2629)))/W2629,0)</f>
        <v/>
      </c>
      <c r="Y2629">
        <f>IF(ABS(W2629)&gt;1E-12,((LTP3!$D$5)*((U2629)*(Q2629)-(R2629)*(V2629))-(LTP3!$D$6)*((S2629)*(Q2629)-(R2629)*(T2629))+(T2629)*((S2629)*(V2629)-(U2629)*(T2629)))/W2629,0)</f>
        <v/>
      </c>
      <c r="Z2629">
        <f>IF(ABS(W2629)&gt;1E-12,((LTP3!$D$5)*((P2629)*(V2629)-(U2629)*(R2629))-(S2629)*((S2629)*(V2629)-(U2629)*(T2629))+(LTP3!$D$6)*((S2629)*(R2629)-(P2629)*(T2629)))/W2629,0)</f>
        <v/>
      </c>
      <c r="AA2629">
        <f>LTP3!$D$7-X2629*LTP3!$D$6-Y2629*U2629-Z2629*V2629</f>
        <v/>
      </c>
      <c r="AB2629">
        <f>IF(AND(F2629,ABS(W2629)&gt;1E-12,Y2629&gt;0,Z2629&gt;0),AA2629,1E+300)</f>
        <v/>
      </c>
    </row>
    <row r="2630">
      <c r="A2630">
        <f>$B$3+$B$5*42</f>
        <v/>
      </c>
      <c r="B2630">
        <f>$B$3+$B$5*56</f>
        <v/>
      </c>
      <c r="C2630">
        <f>SUMPRODUCT(Calc!$K$3:$K$22*(Calc!$G$3:$G$22&lt;=A2630))</f>
        <v/>
      </c>
      <c r="D2630">
        <f>SUMPRODUCT(Calc!$K$3:$K$22*(Calc!$G$3:$G$22&gt;A2630)*(Calc!$G$3:$G$22&lt;B2630))</f>
        <v/>
      </c>
      <c r="E2630">
        <f>SUMPRODUCT(Calc!$K$3:$K$22*(Calc!$G$3:$G$22&gt;=B2630))</f>
        <v/>
      </c>
      <c r="F2630">
        <f>AND(k_n&gt;=5,B2630&gt;A2630+1E-9,C2630&gt;=2,D2630&gt;=1,E2630&gt;=2)</f>
        <v/>
      </c>
      <c r="G2630">
        <f>SUMPRODUCT(Calc!$K$3:$K$22*(Calc!$G$3:$G$22&gt;A2630)*(Calc!$G$3:$G$22-A2630))</f>
        <v/>
      </c>
      <c r="H2630">
        <f>SUMPRODUCT(Calc!$K$3:$K$22*(Calc!$G$3:$G$22&gt;B2630)*(Calc!$G$3:$G$22-B2630))</f>
        <v/>
      </c>
      <c r="I2630">
        <f>SUMPRODUCT(Calc!$K$3:$K$22*(Calc!$G$3:$G$22&gt;A2630)*(Calc!$G$3:$G$22-A2630)^2)</f>
        <v/>
      </c>
      <c r="J2630">
        <f>SUMPRODUCT(Calc!$K$3:$K$22*(Calc!$G$3:$G$22&gt;B2630)*(Calc!$G$3:$G$22-B2630)^2)</f>
        <v/>
      </c>
      <c r="K2630">
        <f>SUMPRODUCT(Calc!$K$3:$K$22*(Calc!$G$3:$G$22&gt;A2630)*(Calc!$G$3:$G$22-A2630)*(Calc!$G$3:$G$22&gt;B2630)*(Calc!$G$3:$G$22-B2630))</f>
        <v/>
      </c>
      <c r="L2630">
        <f>SUMPRODUCT(Calc!$K$3:$K$22*(Calc!$G$3:$G$22&gt;A2630)*(Calc!$G$3:$G$22-A2630)*Calc!$G$3:$G$22)</f>
        <v/>
      </c>
      <c r="M2630">
        <f>SUMPRODUCT(Calc!$K$3:$K$22*(Calc!$G$3:$G$22&gt;B2630)*(Calc!$G$3:$G$22-B2630)*Calc!$G$3:$G$22)</f>
        <v/>
      </c>
      <c r="N2630">
        <f>SUMPRODUCT(Calc!$K$3:$K$22*(Calc!$G$3:$G$22&gt;A2630)*(Calc!$G$3:$G$22-A2630)*Calc!$I$3:$I$22)</f>
        <v/>
      </c>
      <c r="O2630">
        <f>SUMPRODUCT(Calc!$K$3:$K$22*(Calc!$G$3:$G$22&gt;B2630)*(Calc!$G$3:$G$22-B2630)*Calc!$I$3:$I$22)</f>
        <v/>
      </c>
      <c r="P2630">
        <f>I2630-G2630^2/k_n</f>
        <v/>
      </c>
      <c r="Q2630">
        <f>J2630-H2630^2/k_n</f>
        <v/>
      </c>
      <c r="R2630">
        <f>K2630-G2630*H2630/k_n</f>
        <v/>
      </c>
      <c r="S2630">
        <f>L2630-LTP3!$D$3*G2630/k_n</f>
        <v/>
      </c>
      <c r="T2630">
        <f>M2630-LTP3!$D$3*H2630/k_n</f>
        <v/>
      </c>
      <c r="U2630">
        <f>N2630-G2630*LTP3!$D$4/k_n</f>
        <v/>
      </c>
      <c r="V2630">
        <f>O2630-H2630*LTP3!$D$4/k_n</f>
        <v/>
      </c>
      <c r="W2630">
        <f>((LTP3!$D$5)*((P2630)*(Q2630)-(R2630)*(R2630))-(S2630)*((S2630)*(Q2630)-(R2630)*(T2630))+(T2630)*((S2630)*(R2630)-(P2630)*(T2630)))</f>
        <v/>
      </c>
      <c r="X2630">
        <f>IF(ABS(W2630)&gt;1E-12,((LTP3!$D$6)*((P2630)*(Q2630)-(R2630)*(R2630))-(S2630)*((U2630)*(Q2630)-(R2630)*(V2630))+(T2630)*((U2630)*(R2630)-(P2630)*(V2630)))/W2630,0)</f>
        <v/>
      </c>
      <c r="Y2630">
        <f>IF(ABS(W2630)&gt;1E-12,((LTP3!$D$5)*((U2630)*(Q2630)-(R2630)*(V2630))-(LTP3!$D$6)*((S2630)*(Q2630)-(R2630)*(T2630))+(T2630)*((S2630)*(V2630)-(U2630)*(T2630)))/W2630,0)</f>
        <v/>
      </c>
      <c r="Z2630">
        <f>IF(ABS(W2630)&gt;1E-12,((LTP3!$D$5)*((P2630)*(V2630)-(U2630)*(R2630))-(S2630)*((S2630)*(V2630)-(U2630)*(T2630))+(LTP3!$D$6)*((S2630)*(R2630)-(P2630)*(T2630)))/W2630,0)</f>
        <v/>
      </c>
      <c r="AA2630">
        <f>LTP3!$D$7-X2630*LTP3!$D$6-Y2630*U2630-Z2630*V2630</f>
        <v/>
      </c>
      <c r="AB2630">
        <f>IF(AND(F2630,ABS(W2630)&gt;1E-12,Y2630&gt;0,Z2630&gt;0),AA2630,1E+300)</f>
        <v/>
      </c>
    </row>
    <row r="2631">
      <c r="A2631">
        <f>$B$3+$B$5*42</f>
        <v/>
      </c>
      <c r="B2631">
        <f>$B$3+$B$5*57</f>
        <v/>
      </c>
      <c r="C2631">
        <f>SUMPRODUCT(Calc!$K$3:$K$22*(Calc!$G$3:$G$22&lt;=A2631))</f>
        <v/>
      </c>
      <c r="D2631">
        <f>SUMPRODUCT(Calc!$K$3:$K$22*(Calc!$G$3:$G$22&gt;A2631)*(Calc!$G$3:$G$22&lt;B2631))</f>
        <v/>
      </c>
      <c r="E2631">
        <f>SUMPRODUCT(Calc!$K$3:$K$22*(Calc!$G$3:$G$22&gt;=B2631))</f>
        <v/>
      </c>
      <c r="F2631">
        <f>AND(k_n&gt;=5,B2631&gt;A2631+1E-9,C2631&gt;=2,D2631&gt;=1,E2631&gt;=2)</f>
        <v/>
      </c>
      <c r="G2631">
        <f>SUMPRODUCT(Calc!$K$3:$K$22*(Calc!$G$3:$G$22&gt;A2631)*(Calc!$G$3:$G$22-A2631))</f>
        <v/>
      </c>
      <c r="H2631">
        <f>SUMPRODUCT(Calc!$K$3:$K$22*(Calc!$G$3:$G$22&gt;B2631)*(Calc!$G$3:$G$22-B2631))</f>
        <v/>
      </c>
      <c r="I2631">
        <f>SUMPRODUCT(Calc!$K$3:$K$22*(Calc!$G$3:$G$22&gt;A2631)*(Calc!$G$3:$G$22-A2631)^2)</f>
        <v/>
      </c>
      <c r="J2631">
        <f>SUMPRODUCT(Calc!$K$3:$K$22*(Calc!$G$3:$G$22&gt;B2631)*(Calc!$G$3:$G$22-B2631)^2)</f>
        <v/>
      </c>
      <c r="K2631">
        <f>SUMPRODUCT(Calc!$K$3:$K$22*(Calc!$G$3:$G$22&gt;A2631)*(Calc!$G$3:$G$22-A2631)*(Calc!$G$3:$G$22&gt;B2631)*(Calc!$G$3:$G$22-B2631))</f>
        <v/>
      </c>
      <c r="L2631">
        <f>SUMPRODUCT(Calc!$K$3:$K$22*(Calc!$G$3:$G$22&gt;A2631)*(Calc!$G$3:$G$22-A2631)*Calc!$G$3:$G$22)</f>
        <v/>
      </c>
      <c r="M2631">
        <f>SUMPRODUCT(Calc!$K$3:$K$22*(Calc!$G$3:$G$22&gt;B2631)*(Calc!$G$3:$G$22-B2631)*Calc!$G$3:$G$22)</f>
        <v/>
      </c>
      <c r="N2631">
        <f>SUMPRODUCT(Calc!$K$3:$K$22*(Calc!$G$3:$G$22&gt;A2631)*(Calc!$G$3:$G$22-A2631)*Calc!$I$3:$I$22)</f>
        <v/>
      </c>
      <c r="O2631">
        <f>SUMPRODUCT(Calc!$K$3:$K$22*(Calc!$G$3:$G$22&gt;B2631)*(Calc!$G$3:$G$22-B2631)*Calc!$I$3:$I$22)</f>
        <v/>
      </c>
      <c r="P2631">
        <f>I2631-G2631^2/k_n</f>
        <v/>
      </c>
      <c r="Q2631">
        <f>J2631-H2631^2/k_n</f>
        <v/>
      </c>
      <c r="R2631">
        <f>K2631-G2631*H2631/k_n</f>
        <v/>
      </c>
      <c r="S2631">
        <f>L2631-LTP3!$D$3*G2631/k_n</f>
        <v/>
      </c>
      <c r="T2631">
        <f>M2631-LTP3!$D$3*H2631/k_n</f>
        <v/>
      </c>
      <c r="U2631">
        <f>N2631-G2631*LTP3!$D$4/k_n</f>
        <v/>
      </c>
      <c r="V2631">
        <f>O2631-H2631*LTP3!$D$4/k_n</f>
        <v/>
      </c>
      <c r="W2631">
        <f>((LTP3!$D$5)*((P2631)*(Q2631)-(R2631)*(R2631))-(S2631)*((S2631)*(Q2631)-(R2631)*(T2631))+(T2631)*((S2631)*(R2631)-(P2631)*(T2631)))</f>
        <v/>
      </c>
      <c r="X2631">
        <f>IF(ABS(W2631)&gt;1E-12,((LTP3!$D$6)*((P2631)*(Q2631)-(R2631)*(R2631))-(S2631)*((U2631)*(Q2631)-(R2631)*(V2631))+(T2631)*((U2631)*(R2631)-(P2631)*(V2631)))/W2631,0)</f>
        <v/>
      </c>
      <c r="Y2631">
        <f>IF(ABS(W2631)&gt;1E-12,((LTP3!$D$5)*((U2631)*(Q2631)-(R2631)*(V2631))-(LTP3!$D$6)*((S2631)*(Q2631)-(R2631)*(T2631))+(T2631)*((S2631)*(V2631)-(U2631)*(T2631)))/W2631,0)</f>
        <v/>
      </c>
      <c r="Z2631">
        <f>IF(ABS(W2631)&gt;1E-12,((LTP3!$D$5)*((P2631)*(V2631)-(U2631)*(R2631))-(S2631)*((S2631)*(V2631)-(U2631)*(T2631))+(LTP3!$D$6)*((S2631)*(R2631)-(P2631)*(T2631)))/W2631,0)</f>
        <v/>
      </c>
      <c r="AA2631">
        <f>LTP3!$D$7-X2631*LTP3!$D$6-Y2631*U2631-Z2631*V2631</f>
        <v/>
      </c>
      <c r="AB2631">
        <f>IF(AND(F2631,ABS(W2631)&gt;1E-12,Y2631&gt;0,Z2631&gt;0),AA2631,1E+300)</f>
        <v/>
      </c>
    </row>
    <row r="2632">
      <c r="A2632">
        <f>$B$3+$B$5*42</f>
        <v/>
      </c>
      <c r="B2632">
        <f>$B$3+$B$5*58</f>
        <v/>
      </c>
      <c r="C2632">
        <f>SUMPRODUCT(Calc!$K$3:$K$22*(Calc!$G$3:$G$22&lt;=A2632))</f>
        <v/>
      </c>
      <c r="D2632">
        <f>SUMPRODUCT(Calc!$K$3:$K$22*(Calc!$G$3:$G$22&gt;A2632)*(Calc!$G$3:$G$22&lt;B2632))</f>
        <v/>
      </c>
      <c r="E2632">
        <f>SUMPRODUCT(Calc!$K$3:$K$22*(Calc!$G$3:$G$22&gt;=B2632))</f>
        <v/>
      </c>
      <c r="F2632">
        <f>AND(k_n&gt;=5,B2632&gt;A2632+1E-9,C2632&gt;=2,D2632&gt;=1,E2632&gt;=2)</f>
        <v/>
      </c>
      <c r="G2632">
        <f>SUMPRODUCT(Calc!$K$3:$K$22*(Calc!$G$3:$G$22&gt;A2632)*(Calc!$G$3:$G$22-A2632))</f>
        <v/>
      </c>
      <c r="H2632">
        <f>SUMPRODUCT(Calc!$K$3:$K$22*(Calc!$G$3:$G$22&gt;B2632)*(Calc!$G$3:$G$22-B2632))</f>
        <v/>
      </c>
      <c r="I2632">
        <f>SUMPRODUCT(Calc!$K$3:$K$22*(Calc!$G$3:$G$22&gt;A2632)*(Calc!$G$3:$G$22-A2632)^2)</f>
        <v/>
      </c>
      <c r="J2632">
        <f>SUMPRODUCT(Calc!$K$3:$K$22*(Calc!$G$3:$G$22&gt;B2632)*(Calc!$G$3:$G$22-B2632)^2)</f>
        <v/>
      </c>
      <c r="K2632">
        <f>SUMPRODUCT(Calc!$K$3:$K$22*(Calc!$G$3:$G$22&gt;A2632)*(Calc!$G$3:$G$22-A2632)*(Calc!$G$3:$G$22&gt;B2632)*(Calc!$G$3:$G$22-B2632))</f>
        <v/>
      </c>
      <c r="L2632">
        <f>SUMPRODUCT(Calc!$K$3:$K$22*(Calc!$G$3:$G$22&gt;A2632)*(Calc!$G$3:$G$22-A2632)*Calc!$G$3:$G$22)</f>
        <v/>
      </c>
      <c r="M2632">
        <f>SUMPRODUCT(Calc!$K$3:$K$22*(Calc!$G$3:$G$22&gt;B2632)*(Calc!$G$3:$G$22-B2632)*Calc!$G$3:$G$22)</f>
        <v/>
      </c>
      <c r="N2632">
        <f>SUMPRODUCT(Calc!$K$3:$K$22*(Calc!$G$3:$G$22&gt;A2632)*(Calc!$G$3:$G$22-A2632)*Calc!$I$3:$I$22)</f>
        <v/>
      </c>
      <c r="O2632">
        <f>SUMPRODUCT(Calc!$K$3:$K$22*(Calc!$G$3:$G$22&gt;B2632)*(Calc!$G$3:$G$22-B2632)*Calc!$I$3:$I$22)</f>
        <v/>
      </c>
      <c r="P2632">
        <f>I2632-G2632^2/k_n</f>
        <v/>
      </c>
      <c r="Q2632">
        <f>J2632-H2632^2/k_n</f>
        <v/>
      </c>
      <c r="R2632">
        <f>K2632-G2632*H2632/k_n</f>
        <v/>
      </c>
      <c r="S2632">
        <f>L2632-LTP3!$D$3*G2632/k_n</f>
        <v/>
      </c>
      <c r="T2632">
        <f>M2632-LTP3!$D$3*H2632/k_n</f>
        <v/>
      </c>
      <c r="U2632">
        <f>N2632-G2632*LTP3!$D$4/k_n</f>
        <v/>
      </c>
      <c r="V2632">
        <f>O2632-H2632*LTP3!$D$4/k_n</f>
        <v/>
      </c>
      <c r="W2632">
        <f>((LTP3!$D$5)*((P2632)*(Q2632)-(R2632)*(R2632))-(S2632)*((S2632)*(Q2632)-(R2632)*(T2632))+(T2632)*((S2632)*(R2632)-(P2632)*(T2632)))</f>
        <v/>
      </c>
      <c r="X2632">
        <f>IF(ABS(W2632)&gt;1E-12,((LTP3!$D$6)*((P2632)*(Q2632)-(R2632)*(R2632))-(S2632)*((U2632)*(Q2632)-(R2632)*(V2632))+(T2632)*((U2632)*(R2632)-(P2632)*(V2632)))/W2632,0)</f>
        <v/>
      </c>
      <c r="Y2632">
        <f>IF(ABS(W2632)&gt;1E-12,((LTP3!$D$5)*((U2632)*(Q2632)-(R2632)*(V2632))-(LTP3!$D$6)*((S2632)*(Q2632)-(R2632)*(T2632))+(T2632)*((S2632)*(V2632)-(U2632)*(T2632)))/W2632,0)</f>
        <v/>
      </c>
      <c r="Z2632">
        <f>IF(ABS(W2632)&gt;1E-12,((LTP3!$D$5)*((P2632)*(V2632)-(U2632)*(R2632))-(S2632)*((S2632)*(V2632)-(U2632)*(T2632))+(LTP3!$D$6)*((S2632)*(R2632)-(P2632)*(T2632)))/W2632,0)</f>
        <v/>
      </c>
      <c r="AA2632">
        <f>LTP3!$D$7-X2632*LTP3!$D$6-Y2632*U2632-Z2632*V2632</f>
        <v/>
      </c>
      <c r="AB2632">
        <f>IF(AND(F2632,ABS(W2632)&gt;1E-12,Y2632&gt;0,Z2632&gt;0),AA2632,1E+300)</f>
        <v/>
      </c>
    </row>
    <row r="2633">
      <c r="A2633">
        <f>$B$3+$B$5*42</f>
        <v/>
      </c>
      <c r="B2633">
        <f>$B$3+$B$5*59</f>
        <v/>
      </c>
      <c r="C2633">
        <f>SUMPRODUCT(Calc!$K$3:$K$22*(Calc!$G$3:$G$22&lt;=A2633))</f>
        <v/>
      </c>
      <c r="D2633">
        <f>SUMPRODUCT(Calc!$K$3:$K$22*(Calc!$G$3:$G$22&gt;A2633)*(Calc!$G$3:$G$22&lt;B2633))</f>
        <v/>
      </c>
      <c r="E2633">
        <f>SUMPRODUCT(Calc!$K$3:$K$22*(Calc!$G$3:$G$22&gt;=B2633))</f>
        <v/>
      </c>
      <c r="F2633">
        <f>AND(k_n&gt;=5,B2633&gt;A2633+1E-9,C2633&gt;=2,D2633&gt;=1,E2633&gt;=2)</f>
        <v/>
      </c>
      <c r="G2633">
        <f>SUMPRODUCT(Calc!$K$3:$K$22*(Calc!$G$3:$G$22&gt;A2633)*(Calc!$G$3:$G$22-A2633))</f>
        <v/>
      </c>
      <c r="H2633">
        <f>SUMPRODUCT(Calc!$K$3:$K$22*(Calc!$G$3:$G$22&gt;B2633)*(Calc!$G$3:$G$22-B2633))</f>
        <v/>
      </c>
      <c r="I2633">
        <f>SUMPRODUCT(Calc!$K$3:$K$22*(Calc!$G$3:$G$22&gt;A2633)*(Calc!$G$3:$G$22-A2633)^2)</f>
        <v/>
      </c>
      <c r="J2633">
        <f>SUMPRODUCT(Calc!$K$3:$K$22*(Calc!$G$3:$G$22&gt;B2633)*(Calc!$G$3:$G$22-B2633)^2)</f>
        <v/>
      </c>
      <c r="K2633">
        <f>SUMPRODUCT(Calc!$K$3:$K$22*(Calc!$G$3:$G$22&gt;A2633)*(Calc!$G$3:$G$22-A2633)*(Calc!$G$3:$G$22&gt;B2633)*(Calc!$G$3:$G$22-B2633))</f>
        <v/>
      </c>
      <c r="L2633">
        <f>SUMPRODUCT(Calc!$K$3:$K$22*(Calc!$G$3:$G$22&gt;A2633)*(Calc!$G$3:$G$22-A2633)*Calc!$G$3:$G$22)</f>
        <v/>
      </c>
      <c r="M2633">
        <f>SUMPRODUCT(Calc!$K$3:$K$22*(Calc!$G$3:$G$22&gt;B2633)*(Calc!$G$3:$G$22-B2633)*Calc!$G$3:$G$22)</f>
        <v/>
      </c>
      <c r="N2633">
        <f>SUMPRODUCT(Calc!$K$3:$K$22*(Calc!$G$3:$G$22&gt;A2633)*(Calc!$G$3:$G$22-A2633)*Calc!$I$3:$I$22)</f>
        <v/>
      </c>
      <c r="O2633">
        <f>SUMPRODUCT(Calc!$K$3:$K$22*(Calc!$G$3:$G$22&gt;B2633)*(Calc!$G$3:$G$22-B2633)*Calc!$I$3:$I$22)</f>
        <v/>
      </c>
      <c r="P2633">
        <f>I2633-G2633^2/k_n</f>
        <v/>
      </c>
      <c r="Q2633">
        <f>J2633-H2633^2/k_n</f>
        <v/>
      </c>
      <c r="R2633">
        <f>K2633-G2633*H2633/k_n</f>
        <v/>
      </c>
      <c r="S2633">
        <f>L2633-LTP3!$D$3*G2633/k_n</f>
        <v/>
      </c>
      <c r="T2633">
        <f>M2633-LTP3!$D$3*H2633/k_n</f>
        <v/>
      </c>
      <c r="U2633">
        <f>N2633-G2633*LTP3!$D$4/k_n</f>
        <v/>
      </c>
      <c r="V2633">
        <f>O2633-H2633*LTP3!$D$4/k_n</f>
        <v/>
      </c>
      <c r="W2633">
        <f>((LTP3!$D$5)*((P2633)*(Q2633)-(R2633)*(R2633))-(S2633)*((S2633)*(Q2633)-(R2633)*(T2633))+(T2633)*((S2633)*(R2633)-(P2633)*(T2633)))</f>
        <v/>
      </c>
      <c r="X2633">
        <f>IF(ABS(W2633)&gt;1E-12,((LTP3!$D$6)*((P2633)*(Q2633)-(R2633)*(R2633))-(S2633)*((U2633)*(Q2633)-(R2633)*(V2633))+(T2633)*((U2633)*(R2633)-(P2633)*(V2633)))/W2633,0)</f>
        <v/>
      </c>
      <c r="Y2633">
        <f>IF(ABS(W2633)&gt;1E-12,((LTP3!$D$5)*((U2633)*(Q2633)-(R2633)*(V2633))-(LTP3!$D$6)*((S2633)*(Q2633)-(R2633)*(T2633))+(T2633)*((S2633)*(V2633)-(U2633)*(T2633)))/W2633,0)</f>
        <v/>
      </c>
      <c r="Z2633">
        <f>IF(ABS(W2633)&gt;1E-12,((LTP3!$D$5)*((P2633)*(V2633)-(U2633)*(R2633))-(S2633)*((S2633)*(V2633)-(U2633)*(T2633))+(LTP3!$D$6)*((S2633)*(R2633)-(P2633)*(T2633)))/W2633,0)</f>
        <v/>
      </c>
      <c r="AA2633">
        <f>LTP3!$D$7-X2633*LTP3!$D$6-Y2633*U2633-Z2633*V2633</f>
        <v/>
      </c>
      <c r="AB2633">
        <f>IF(AND(F2633,ABS(W2633)&gt;1E-12,Y2633&gt;0,Z2633&gt;0),AA2633,1E+300)</f>
        <v/>
      </c>
    </row>
    <row r="2634">
      <c r="A2634">
        <f>$B$3+$B$5*42</f>
        <v/>
      </c>
      <c r="B2634">
        <f>$B$3+$B$5*60</f>
        <v/>
      </c>
      <c r="C2634">
        <f>SUMPRODUCT(Calc!$K$3:$K$22*(Calc!$G$3:$G$22&lt;=A2634))</f>
        <v/>
      </c>
      <c r="D2634">
        <f>SUMPRODUCT(Calc!$K$3:$K$22*(Calc!$G$3:$G$22&gt;A2634)*(Calc!$G$3:$G$22&lt;B2634))</f>
        <v/>
      </c>
      <c r="E2634">
        <f>SUMPRODUCT(Calc!$K$3:$K$22*(Calc!$G$3:$G$22&gt;=B2634))</f>
        <v/>
      </c>
      <c r="F2634">
        <f>AND(k_n&gt;=5,B2634&gt;A2634+1E-9,C2634&gt;=2,D2634&gt;=1,E2634&gt;=2)</f>
        <v/>
      </c>
      <c r="G2634">
        <f>SUMPRODUCT(Calc!$K$3:$K$22*(Calc!$G$3:$G$22&gt;A2634)*(Calc!$G$3:$G$22-A2634))</f>
        <v/>
      </c>
      <c r="H2634">
        <f>SUMPRODUCT(Calc!$K$3:$K$22*(Calc!$G$3:$G$22&gt;B2634)*(Calc!$G$3:$G$22-B2634))</f>
        <v/>
      </c>
      <c r="I2634">
        <f>SUMPRODUCT(Calc!$K$3:$K$22*(Calc!$G$3:$G$22&gt;A2634)*(Calc!$G$3:$G$22-A2634)^2)</f>
        <v/>
      </c>
      <c r="J2634">
        <f>SUMPRODUCT(Calc!$K$3:$K$22*(Calc!$G$3:$G$22&gt;B2634)*(Calc!$G$3:$G$22-B2634)^2)</f>
        <v/>
      </c>
      <c r="K2634">
        <f>SUMPRODUCT(Calc!$K$3:$K$22*(Calc!$G$3:$G$22&gt;A2634)*(Calc!$G$3:$G$22-A2634)*(Calc!$G$3:$G$22&gt;B2634)*(Calc!$G$3:$G$22-B2634))</f>
        <v/>
      </c>
      <c r="L2634">
        <f>SUMPRODUCT(Calc!$K$3:$K$22*(Calc!$G$3:$G$22&gt;A2634)*(Calc!$G$3:$G$22-A2634)*Calc!$G$3:$G$22)</f>
        <v/>
      </c>
      <c r="M2634">
        <f>SUMPRODUCT(Calc!$K$3:$K$22*(Calc!$G$3:$G$22&gt;B2634)*(Calc!$G$3:$G$22-B2634)*Calc!$G$3:$G$22)</f>
        <v/>
      </c>
      <c r="N2634">
        <f>SUMPRODUCT(Calc!$K$3:$K$22*(Calc!$G$3:$G$22&gt;A2634)*(Calc!$G$3:$G$22-A2634)*Calc!$I$3:$I$22)</f>
        <v/>
      </c>
      <c r="O2634">
        <f>SUMPRODUCT(Calc!$K$3:$K$22*(Calc!$G$3:$G$22&gt;B2634)*(Calc!$G$3:$G$22-B2634)*Calc!$I$3:$I$22)</f>
        <v/>
      </c>
      <c r="P2634">
        <f>I2634-G2634^2/k_n</f>
        <v/>
      </c>
      <c r="Q2634">
        <f>J2634-H2634^2/k_n</f>
        <v/>
      </c>
      <c r="R2634">
        <f>K2634-G2634*H2634/k_n</f>
        <v/>
      </c>
      <c r="S2634">
        <f>L2634-LTP3!$D$3*G2634/k_n</f>
        <v/>
      </c>
      <c r="T2634">
        <f>M2634-LTP3!$D$3*H2634/k_n</f>
        <v/>
      </c>
      <c r="U2634">
        <f>N2634-G2634*LTP3!$D$4/k_n</f>
        <v/>
      </c>
      <c r="V2634">
        <f>O2634-H2634*LTP3!$D$4/k_n</f>
        <v/>
      </c>
      <c r="W2634">
        <f>((LTP3!$D$5)*((P2634)*(Q2634)-(R2634)*(R2634))-(S2634)*((S2634)*(Q2634)-(R2634)*(T2634))+(T2634)*((S2634)*(R2634)-(P2634)*(T2634)))</f>
        <v/>
      </c>
      <c r="X2634">
        <f>IF(ABS(W2634)&gt;1E-12,((LTP3!$D$6)*((P2634)*(Q2634)-(R2634)*(R2634))-(S2634)*((U2634)*(Q2634)-(R2634)*(V2634))+(T2634)*((U2634)*(R2634)-(P2634)*(V2634)))/W2634,0)</f>
        <v/>
      </c>
      <c r="Y2634">
        <f>IF(ABS(W2634)&gt;1E-12,((LTP3!$D$5)*((U2634)*(Q2634)-(R2634)*(V2634))-(LTP3!$D$6)*((S2634)*(Q2634)-(R2634)*(T2634))+(T2634)*((S2634)*(V2634)-(U2634)*(T2634)))/W2634,0)</f>
        <v/>
      </c>
      <c r="Z2634">
        <f>IF(ABS(W2634)&gt;1E-12,((LTP3!$D$5)*((P2634)*(V2634)-(U2634)*(R2634))-(S2634)*((S2634)*(V2634)-(U2634)*(T2634))+(LTP3!$D$6)*((S2634)*(R2634)-(P2634)*(T2634)))/W2634,0)</f>
        <v/>
      </c>
      <c r="AA2634">
        <f>LTP3!$D$7-X2634*LTP3!$D$6-Y2634*U2634-Z2634*V2634</f>
        <v/>
      </c>
      <c r="AB2634">
        <f>IF(AND(F2634,ABS(W2634)&gt;1E-12,Y2634&gt;0,Z2634&gt;0),AA2634,1E+300)</f>
        <v/>
      </c>
    </row>
    <row r="2635">
      <c r="A2635">
        <f>$B$3+$B$5*43</f>
        <v/>
      </c>
      <c r="B2635">
        <f>$B$3+$B$5*0</f>
        <v/>
      </c>
      <c r="C2635">
        <f>SUMPRODUCT(Calc!$K$3:$K$22*(Calc!$G$3:$G$22&lt;=A2635))</f>
        <v/>
      </c>
      <c r="D2635">
        <f>SUMPRODUCT(Calc!$K$3:$K$22*(Calc!$G$3:$G$22&gt;A2635)*(Calc!$G$3:$G$22&lt;B2635))</f>
        <v/>
      </c>
      <c r="E2635">
        <f>SUMPRODUCT(Calc!$K$3:$K$22*(Calc!$G$3:$G$22&gt;=B2635))</f>
        <v/>
      </c>
      <c r="F2635">
        <f>AND(k_n&gt;=5,B2635&gt;A2635+1E-9,C2635&gt;=2,D2635&gt;=1,E2635&gt;=2)</f>
        <v/>
      </c>
      <c r="G2635">
        <f>SUMPRODUCT(Calc!$K$3:$K$22*(Calc!$G$3:$G$22&gt;A2635)*(Calc!$G$3:$G$22-A2635))</f>
        <v/>
      </c>
      <c r="H2635">
        <f>SUMPRODUCT(Calc!$K$3:$K$22*(Calc!$G$3:$G$22&gt;B2635)*(Calc!$G$3:$G$22-B2635))</f>
        <v/>
      </c>
      <c r="I2635">
        <f>SUMPRODUCT(Calc!$K$3:$K$22*(Calc!$G$3:$G$22&gt;A2635)*(Calc!$G$3:$G$22-A2635)^2)</f>
        <v/>
      </c>
      <c r="J2635">
        <f>SUMPRODUCT(Calc!$K$3:$K$22*(Calc!$G$3:$G$22&gt;B2635)*(Calc!$G$3:$G$22-B2635)^2)</f>
        <v/>
      </c>
      <c r="K2635">
        <f>SUMPRODUCT(Calc!$K$3:$K$22*(Calc!$G$3:$G$22&gt;A2635)*(Calc!$G$3:$G$22-A2635)*(Calc!$G$3:$G$22&gt;B2635)*(Calc!$G$3:$G$22-B2635))</f>
        <v/>
      </c>
      <c r="L2635">
        <f>SUMPRODUCT(Calc!$K$3:$K$22*(Calc!$G$3:$G$22&gt;A2635)*(Calc!$G$3:$G$22-A2635)*Calc!$G$3:$G$22)</f>
        <v/>
      </c>
      <c r="M2635">
        <f>SUMPRODUCT(Calc!$K$3:$K$22*(Calc!$G$3:$G$22&gt;B2635)*(Calc!$G$3:$G$22-B2635)*Calc!$G$3:$G$22)</f>
        <v/>
      </c>
      <c r="N2635">
        <f>SUMPRODUCT(Calc!$K$3:$K$22*(Calc!$G$3:$G$22&gt;A2635)*(Calc!$G$3:$G$22-A2635)*Calc!$I$3:$I$22)</f>
        <v/>
      </c>
      <c r="O2635">
        <f>SUMPRODUCT(Calc!$K$3:$K$22*(Calc!$G$3:$G$22&gt;B2635)*(Calc!$G$3:$G$22-B2635)*Calc!$I$3:$I$22)</f>
        <v/>
      </c>
      <c r="P2635">
        <f>I2635-G2635^2/k_n</f>
        <v/>
      </c>
      <c r="Q2635">
        <f>J2635-H2635^2/k_n</f>
        <v/>
      </c>
      <c r="R2635">
        <f>K2635-G2635*H2635/k_n</f>
        <v/>
      </c>
      <c r="S2635">
        <f>L2635-LTP3!$D$3*G2635/k_n</f>
        <v/>
      </c>
      <c r="T2635">
        <f>M2635-LTP3!$D$3*H2635/k_n</f>
        <v/>
      </c>
      <c r="U2635">
        <f>N2635-G2635*LTP3!$D$4/k_n</f>
        <v/>
      </c>
      <c r="V2635">
        <f>O2635-H2635*LTP3!$D$4/k_n</f>
        <v/>
      </c>
      <c r="W2635">
        <f>((LTP3!$D$5)*((P2635)*(Q2635)-(R2635)*(R2635))-(S2635)*((S2635)*(Q2635)-(R2635)*(T2635))+(T2635)*((S2635)*(R2635)-(P2635)*(T2635)))</f>
        <v/>
      </c>
      <c r="X2635">
        <f>IF(ABS(W2635)&gt;1E-12,((LTP3!$D$6)*((P2635)*(Q2635)-(R2635)*(R2635))-(S2635)*((U2635)*(Q2635)-(R2635)*(V2635))+(T2635)*((U2635)*(R2635)-(P2635)*(V2635)))/W2635,0)</f>
        <v/>
      </c>
      <c r="Y2635">
        <f>IF(ABS(W2635)&gt;1E-12,((LTP3!$D$5)*((U2635)*(Q2635)-(R2635)*(V2635))-(LTP3!$D$6)*((S2635)*(Q2635)-(R2635)*(T2635))+(T2635)*((S2635)*(V2635)-(U2635)*(T2635)))/W2635,0)</f>
        <v/>
      </c>
      <c r="Z2635">
        <f>IF(ABS(W2635)&gt;1E-12,((LTP3!$D$5)*((P2635)*(V2635)-(U2635)*(R2635))-(S2635)*((S2635)*(V2635)-(U2635)*(T2635))+(LTP3!$D$6)*((S2635)*(R2635)-(P2635)*(T2635)))/W2635,0)</f>
        <v/>
      </c>
      <c r="AA2635">
        <f>LTP3!$D$7-X2635*LTP3!$D$6-Y2635*U2635-Z2635*V2635</f>
        <v/>
      </c>
      <c r="AB2635">
        <f>IF(AND(F2635,ABS(W2635)&gt;1E-12,Y2635&gt;0,Z2635&gt;0),AA2635,1E+300)</f>
        <v/>
      </c>
    </row>
    <row r="2636">
      <c r="A2636">
        <f>$B$3+$B$5*43</f>
        <v/>
      </c>
      <c r="B2636">
        <f>$B$3+$B$5*1</f>
        <v/>
      </c>
      <c r="C2636">
        <f>SUMPRODUCT(Calc!$K$3:$K$22*(Calc!$G$3:$G$22&lt;=A2636))</f>
        <v/>
      </c>
      <c r="D2636">
        <f>SUMPRODUCT(Calc!$K$3:$K$22*(Calc!$G$3:$G$22&gt;A2636)*(Calc!$G$3:$G$22&lt;B2636))</f>
        <v/>
      </c>
      <c r="E2636">
        <f>SUMPRODUCT(Calc!$K$3:$K$22*(Calc!$G$3:$G$22&gt;=B2636))</f>
        <v/>
      </c>
      <c r="F2636">
        <f>AND(k_n&gt;=5,B2636&gt;A2636+1E-9,C2636&gt;=2,D2636&gt;=1,E2636&gt;=2)</f>
        <v/>
      </c>
      <c r="G2636">
        <f>SUMPRODUCT(Calc!$K$3:$K$22*(Calc!$G$3:$G$22&gt;A2636)*(Calc!$G$3:$G$22-A2636))</f>
        <v/>
      </c>
      <c r="H2636">
        <f>SUMPRODUCT(Calc!$K$3:$K$22*(Calc!$G$3:$G$22&gt;B2636)*(Calc!$G$3:$G$22-B2636))</f>
        <v/>
      </c>
      <c r="I2636">
        <f>SUMPRODUCT(Calc!$K$3:$K$22*(Calc!$G$3:$G$22&gt;A2636)*(Calc!$G$3:$G$22-A2636)^2)</f>
        <v/>
      </c>
      <c r="J2636">
        <f>SUMPRODUCT(Calc!$K$3:$K$22*(Calc!$G$3:$G$22&gt;B2636)*(Calc!$G$3:$G$22-B2636)^2)</f>
        <v/>
      </c>
      <c r="K2636">
        <f>SUMPRODUCT(Calc!$K$3:$K$22*(Calc!$G$3:$G$22&gt;A2636)*(Calc!$G$3:$G$22-A2636)*(Calc!$G$3:$G$22&gt;B2636)*(Calc!$G$3:$G$22-B2636))</f>
        <v/>
      </c>
      <c r="L2636">
        <f>SUMPRODUCT(Calc!$K$3:$K$22*(Calc!$G$3:$G$22&gt;A2636)*(Calc!$G$3:$G$22-A2636)*Calc!$G$3:$G$22)</f>
        <v/>
      </c>
      <c r="M2636">
        <f>SUMPRODUCT(Calc!$K$3:$K$22*(Calc!$G$3:$G$22&gt;B2636)*(Calc!$G$3:$G$22-B2636)*Calc!$G$3:$G$22)</f>
        <v/>
      </c>
      <c r="N2636">
        <f>SUMPRODUCT(Calc!$K$3:$K$22*(Calc!$G$3:$G$22&gt;A2636)*(Calc!$G$3:$G$22-A2636)*Calc!$I$3:$I$22)</f>
        <v/>
      </c>
      <c r="O2636">
        <f>SUMPRODUCT(Calc!$K$3:$K$22*(Calc!$G$3:$G$22&gt;B2636)*(Calc!$G$3:$G$22-B2636)*Calc!$I$3:$I$22)</f>
        <v/>
      </c>
      <c r="P2636">
        <f>I2636-G2636^2/k_n</f>
        <v/>
      </c>
      <c r="Q2636">
        <f>J2636-H2636^2/k_n</f>
        <v/>
      </c>
      <c r="R2636">
        <f>K2636-G2636*H2636/k_n</f>
        <v/>
      </c>
      <c r="S2636">
        <f>L2636-LTP3!$D$3*G2636/k_n</f>
        <v/>
      </c>
      <c r="T2636">
        <f>M2636-LTP3!$D$3*H2636/k_n</f>
        <v/>
      </c>
      <c r="U2636">
        <f>N2636-G2636*LTP3!$D$4/k_n</f>
        <v/>
      </c>
      <c r="V2636">
        <f>O2636-H2636*LTP3!$D$4/k_n</f>
        <v/>
      </c>
      <c r="W2636">
        <f>((LTP3!$D$5)*((P2636)*(Q2636)-(R2636)*(R2636))-(S2636)*((S2636)*(Q2636)-(R2636)*(T2636))+(T2636)*((S2636)*(R2636)-(P2636)*(T2636)))</f>
        <v/>
      </c>
      <c r="X2636">
        <f>IF(ABS(W2636)&gt;1E-12,((LTP3!$D$6)*((P2636)*(Q2636)-(R2636)*(R2636))-(S2636)*((U2636)*(Q2636)-(R2636)*(V2636))+(T2636)*((U2636)*(R2636)-(P2636)*(V2636)))/W2636,0)</f>
        <v/>
      </c>
      <c r="Y2636">
        <f>IF(ABS(W2636)&gt;1E-12,((LTP3!$D$5)*((U2636)*(Q2636)-(R2636)*(V2636))-(LTP3!$D$6)*((S2636)*(Q2636)-(R2636)*(T2636))+(T2636)*((S2636)*(V2636)-(U2636)*(T2636)))/W2636,0)</f>
        <v/>
      </c>
      <c r="Z2636">
        <f>IF(ABS(W2636)&gt;1E-12,((LTP3!$D$5)*((P2636)*(V2636)-(U2636)*(R2636))-(S2636)*((S2636)*(V2636)-(U2636)*(T2636))+(LTP3!$D$6)*((S2636)*(R2636)-(P2636)*(T2636)))/W2636,0)</f>
        <v/>
      </c>
      <c r="AA2636">
        <f>LTP3!$D$7-X2636*LTP3!$D$6-Y2636*U2636-Z2636*V2636</f>
        <v/>
      </c>
      <c r="AB2636">
        <f>IF(AND(F2636,ABS(W2636)&gt;1E-12,Y2636&gt;0,Z2636&gt;0),AA2636,1E+300)</f>
        <v/>
      </c>
    </row>
    <row r="2637">
      <c r="A2637">
        <f>$B$3+$B$5*43</f>
        <v/>
      </c>
      <c r="B2637">
        <f>$B$3+$B$5*2</f>
        <v/>
      </c>
      <c r="C2637">
        <f>SUMPRODUCT(Calc!$K$3:$K$22*(Calc!$G$3:$G$22&lt;=A2637))</f>
        <v/>
      </c>
      <c r="D2637">
        <f>SUMPRODUCT(Calc!$K$3:$K$22*(Calc!$G$3:$G$22&gt;A2637)*(Calc!$G$3:$G$22&lt;B2637))</f>
        <v/>
      </c>
      <c r="E2637">
        <f>SUMPRODUCT(Calc!$K$3:$K$22*(Calc!$G$3:$G$22&gt;=B2637))</f>
        <v/>
      </c>
      <c r="F2637">
        <f>AND(k_n&gt;=5,B2637&gt;A2637+1E-9,C2637&gt;=2,D2637&gt;=1,E2637&gt;=2)</f>
        <v/>
      </c>
      <c r="G2637">
        <f>SUMPRODUCT(Calc!$K$3:$K$22*(Calc!$G$3:$G$22&gt;A2637)*(Calc!$G$3:$G$22-A2637))</f>
        <v/>
      </c>
      <c r="H2637">
        <f>SUMPRODUCT(Calc!$K$3:$K$22*(Calc!$G$3:$G$22&gt;B2637)*(Calc!$G$3:$G$22-B2637))</f>
        <v/>
      </c>
      <c r="I2637">
        <f>SUMPRODUCT(Calc!$K$3:$K$22*(Calc!$G$3:$G$22&gt;A2637)*(Calc!$G$3:$G$22-A2637)^2)</f>
        <v/>
      </c>
      <c r="J2637">
        <f>SUMPRODUCT(Calc!$K$3:$K$22*(Calc!$G$3:$G$22&gt;B2637)*(Calc!$G$3:$G$22-B2637)^2)</f>
        <v/>
      </c>
      <c r="K2637">
        <f>SUMPRODUCT(Calc!$K$3:$K$22*(Calc!$G$3:$G$22&gt;A2637)*(Calc!$G$3:$G$22-A2637)*(Calc!$G$3:$G$22&gt;B2637)*(Calc!$G$3:$G$22-B2637))</f>
        <v/>
      </c>
      <c r="L2637">
        <f>SUMPRODUCT(Calc!$K$3:$K$22*(Calc!$G$3:$G$22&gt;A2637)*(Calc!$G$3:$G$22-A2637)*Calc!$G$3:$G$22)</f>
        <v/>
      </c>
      <c r="M2637">
        <f>SUMPRODUCT(Calc!$K$3:$K$22*(Calc!$G$3:$G$22&gt;B2637)*(Calc!$G$3:$G$22-B2637)*Calc!$G$3:$G$22)</f>
        <v/>
      </c>
      <c r="N2637">
        <f>SUMPRODUCT(Calc!$K$3:$K$22*(Calc!$G$3:$G$22&gt;A2637)*(Calc!$G$3:$G$22-A2637)*Calc!$I$3:$I$22)</f>
        <v/>
      </c>
      <c r="O2637">
        <f>SUMPRODUCT(Calc!$K$3:$K$22*(Calc!$G$3:$G$22&gt;B2637)*(Calc!$G$3:$G$22-B2637)*Calc!$I$3:$I$22)</f>
        <v/>
      </c>
      <c r="P2637">
        <f>I2637-G2637^2/k_n</f>
        <v/>
      </c>
      <c r="Q2637">
        <f>J2637-H2637^2/k_n</f>
        <v/>
      </c>
      <c r="R2637">
        <f>K2637-G2637*H2637/k_n</f>
        <v/>
      </c>
      <c r="S2637">
        <f>L2637-LTP3!$D$3*G2637/k_n</f>
        <v/>
      </c>
      <c r="T2637">
        <f>M2637-LTP3!$D$3*H2637/k_n</f>
        <v/>
      </c>
      <c r="U2637">
        <f>N2637-G2637*LTP3!$D$4/k_n</f>
        <v/>
      </c>
      <c r="V2637">
        <f>O2637-H2637*LTP3!$D$4/k_n</f>
        <v/>
      </c>
      <c r="W2637">
        <f>((LTP3!$D$5)*((P2637)*(Q2637)-(R2637)*(R2637))-(S2637)*((S2637)*(Q2637)-(R2637)*(T2637))+(T2637)*((S2637)*(R2637)-(P2637)*(T2637)))</f>
        <v/>
      </c>
      <c r="X2637">
        <f>IF(ABS(W2637)&gt;1E-12,((LTP3!$D$6)*((P2637)*(Q2637)-(R2637)*(R2637))-(S2637)*((U2637)*(Q2637)-(R2637)*(V2637))+(T2637)*((U2637)*(R2637)-(P2637)*(V2637)))/W2637,0)</f>
        <v/>
      </c>
      <c r="Y2637">
        <f>IF(ABS(W2637)&gt;1E-12,((LTP3!$D$5)*((U2637)*(Q2637)-(R2637)*(V2637))-(LTP3!$D$6)*((S2637)*(Q2637)-(R2637)*(T2637))+(T2637)*((S2637)*(V2637)-(U2637)*(T2637)))/W2637,0)</f>
        <v/>
      </c>
      <c r="Z2637">
        <f>IF(ABS(W2637)&gt;1E-12,((LTP3!$D$5)*((P2637)*(V2637)-(U2637)*(R2637))-(S2637)*((S2637)*(V2637)-(U2637)*(T2637))+(LTP3!$D$6)*((S2637)*(R2637)-(P2637)*(T2637)))/W2637,0)</f>
        <v/>
      </c>
      <c r="AA2637">
        <f>LTP3!$D$7-X2637*LTP3!$D$6-Y2637*U2637-Z2637*V2637</f>
        <v/>
      </c>
      <c r="AB2637">
        <f>IF(AND(F2637,ABS(W2637)&gt;1E-12,Y2637&gt;0,Z2637&gt;0),AA2637,1E+300)</f>
        <v/>
      </c>
    </row>
    <row r="2638">
      <c r="A2638">
        <f>$B$3+$B$5*43</f>
        <v/>
      </c>
      <c r="B2638">
        <f>$B$3+$B$5*3</f>
        <v/>
      </c>
      <c r="C2638">
        <f>SUMPRODUCT(Calc!$K$3:$K$22*(Calc!$G$3:$G$22&lt;=A2638))</f>
        <v/>
      </c>
      <c r="D2638">
        <f>SUMPRODUCT(Calc!$K$3:$K$22*(Calc!$G$3:$G$22&gt;A2638)*(Calc!$G$3:$G$22&lt;B2638))</f>
        <v/>
      </c>
      <c r="E2638">
        <f>SUMPRODUCT(Calc!$K$3:$K$22*(Calc!$G$3:$G$22&gt;=B2638))</f>
        <v/>
      </c>
      <c r="F2638">
        <f>AND(k_n&gt;=5,B2638&gt;A2638+1E-9,C2638&gt;=2,D2638&gt;=1,E2638&gt;=2)</f>
        <v/>
      </c>
      <c r="G2638">
        <f>SUMPRODUCT(Calc!$K$3:$K$22*(Calc!$G$3:$G$22&gt;A2638)*(Calc!$G$3:$G$22-A2638))</f>
        <v/>
      </c>
      <c r="H2638">
        <f>SUMPRODUCT(Calc!$K$3:$K$22*(Calc!$G$3:$G$22&gt;B2638)*(Calc!$G$3:$G$22-B2638))</f>
        <v/>
      </c>
      <c r="I2638">
        <f>SUMPRODUCT(Calc!$K$3:$K$22*(Calc!$G$3:$G$22&gt;A2638)*(Calc!$G$3:$G$22-A2638)^2)</f>
        <v/>
      </c>
      <c r="J2638">
        <f>SUMPRODUCT(Calc!$K$3:$K$22*(Calc!$G$3:$G$22&gt;B2638)*(Calc!$G$3:$G$22-B2638)^2)</f>
        <v/>
      </c>
      <c r="K2638">
        <f>SUMPRODUCT(Calc!$K$3:$K$22*(Calc!$G$3:$G$22&gt;A2638)*(Calc!$G$3:$G$22-A2638)*(Calc!$G$3:$G$22&gt;B2638)*(Calc!$G$3:$G$22-B2638))</f>
        <v/>
      </c>
      <c r="L2638">
        <f>SUMPRODUCT(Calc!$K$3:$K$22*(Calc!$G$3:$G$22&gt;A2638)*(Calc!$G$3:$G$22-A2638)*Calc!$G$3:$G$22)</f>
        <v/>
      </c>
      <c r="M2638">
        <f>SUMPRODUCT(Calc!$K$3:$K$22*(Calc!$G$3:$G$22&gt;B2638)*(Calc!$G$3:$G$22-B2638)*Calc!$G$3:$G$22)</f>
        <v/>
      </c>
      <c r="N2638">
        <f>SUMPRODUCT(Calc!$K$3:$K$22*(Calc!$G$3:$G$22&gt;A2638)*(Calc!$G$3:$G$22-A2638)*Calc!$I$3:$I$22)</f>
        <v/>
      </c>
      <c r="O2638">
        <f>SUMPRODUCT(Calc!$K$3:$K$22*(Calc!$G$3:$G$22&gt;B2638)*(Calc!$G$3:$G$22-B2638)*Calc!$I$3:$I$22)</f>
        <v/>
      </c>
      <c r="P2638">
        <f>I2638-G2638^2/k_n</f>
        <v/>
      </c>
      <c r="Q2638">
        <f>J2638-H2638^2/k_n</f>
        <v/>
      </c>
      <c r="R2638">
        <f>K2638-G2638*H2638/k_n</f>
        <v/>
      </c>
      <c r="S2638">
        <f>L2638-LTP3!$D$3*G2638/k_n</f>
        <v/>
      </c>
      <c r="T2638">
        <f>M2638-LTP3!$D$3*H2638/k_n</f>
        <v/>
      </c>
      <c r="U2638">
        <f>N2638-G2638*LTP3!$D$4/k_n</f>
        <v/>
      </c>
      <c r="V2638">
        <f>O2638-H2638*LTP3!$D$4/k_n</f>
        <v/>
      </c>
      <c r="W2638">
        <f>((LTP3!$D$5)*((P2638)*(Q2638)-(R2638)*(R2638))-(S2638)*((S2638)*(Q2638)-(R2638)*(T2638))+(T2638)*((S2638)*(R2638)-(P2638)*(T2638)))</f>
        <v/>
      </c>
      <c r="X2638">
        <f>IF(ABS(W2638)&gt;1E-12,((LTP3!$D$6)*((P2638)*(Q2638)-(R2638)*(R2638))-(S2638)*((U2638)*(Q2638)-(R2638)*(V2638))+(T2638)*((U2638)*(R2638)-(P2638)*(V2638)))/W2638,0)</f>
        <v/>
      </c>
      <c r="Y2638">
        <f>IF(ABS(W2638)&gt;1E-12,((LTP3!$D$5)*((U2638)*(Q2638)-(R2638)*(V2638))-(LTP3!$D$6)*((S2638)*(Q2638)-(R2638)*(T2638))+(T2638)*((S2638)*(V2638)-(U2638)*(T2638)))/W2638,0)</f>
        <v/>
      </c>
      <c r="Z2638">
        <f>IF(ABS(W2638)&gt;1E-12,((LTP3!$D$5)*((P2638)*(V2638)-(U2638)*(R2638))-(S2638)*((S2638)*(V2638)-(U2638)*(T2638))+(LTP3!$D$6)*((S2638)*(R2638)-(P2638)*(T2638)))/W2638,0)</f>
        <v/>
      </c>
      <c r="AA2638">
        <f>LTP3!$D$7-X2638*LTP3!$D$6-Y2638*U2638-Z2638*V2638</f>
        <v/>
      </c>
      <c r="AB2638">
        <f>IF(AND(F2638,ABS(W2638)&gt;1E-12,Y2638&gt;0,Z2638&gt;0),AA2638,1E+300)</f>
        <v/>
      </c>
    </row>
    <row r="2639">
      <c r="A2639">
        <f>$B$3+$B$5*43</f>
        <v/>
      </c>
      <c r="B2639">
        <f>$B$3+$B$5*4</f>
        <v/>
      </c>
      <c r="C2639">
        <f>SUMPRODUCT(Calc!$K$3:$K$22*(Calc!$G$3:$G$22&lt;=A2639))</f>
        <v/>
      </c>
      <c r="D2639">
        <f>SUMPRODUCT(Calc!$K$3:$K$22*(Calc!$G$3:$G$22&gt;A2639)*(Calc!$G$3:$G$22&lt;B2639))</f>
        <v/>
      </c>
      <c r="E2639">
        <f>SUMPRODUCT(Calc!$K$3:$K$22*(Calc!$G$3:$G$22&gt;=B2639))</f>
        <v/>
      </c>
      <c r="F2639">
        <f>AND(k_n&gt;=5,B2639&gt;A2639+1E-9,C2639&gt;=2,D2639&gt;=1,E2639&gt;=2)</f>
        <v/>
      </c>
      <c r="G2639">
        <f>SUMPRODUCT(Calc!$K$3:$K$22*(Calc!$G$3:$G$22&gt;A2639)*(Calc!$G$3:$G$22-A2639))</f>
        <v/>
      </c>
      <c r="H2639">
        <f>SUMPRODUCT(Calc!$K$3:$K$22*(Calc!$G$3:$G$22&gt;B2639)*(Calc!$G$3:$G$22-B2639))</f>
        <v/>
      </c>
      <c r="I2639">
        <f>SUMPRODUCT(Calc!$K$3:$K$22*(Calc!$G$3:$G$22&gt;A2639)*(Calc!$G$3:$G$22-A2639)^2)</f>
        <v/>
      </c>
      <c r="J2639">
        <f>SUMPRODUCT(Calc!$K$3:$K$22*(Calc!$G$3:$G$22&gt;B2639)*(Calc!$G$3:$G$22-B2639)^2)</f>
        <v/>
      </c>
      <c r="K2639">
        <f>SUMPRODUCT(Calc!$K$3:$K$22*(Calc!$G$3:$G$22&gt;A2639)*(Calc!$G$3:$G$22-A2639)*(Calc!$G$3:$G$22&gt;B2639)*(Calc!$G$3:$G$22-B2639))</f>
        <v/>
      </c>
      <c r="L2639">
        <f>SUMPRODUCT(Calc!$K$3:$K$22*(Calc!$G$3:$G$22&gt;A2639)*(Calc!$G$3:$G$22-A2639)*Calc!$G$3:$G$22)</f>
        <v/>
      </c>
      <c r="M2639">
        <f>SUMPRODUCT(Calc!$K$3:$K$22*(Calc!$G$3:$G$22&gt;B2639)*(Calc!$G$3:$G$22-B2639)*Calc!$G$3:$G$22)</f>
        <v/>
      </c>
      <c r="N2639">
        <f>SUMPRODUCT(Calc!$K$3:$K$22*(Calc!$G$3:$G$22&gt;A2639)*(Calc!$G$3:$G$22-A2639)*Calc!$I$3:$I$22)</f>
        <v/>
      </c>
      <c r="O2639">
        <f>SUMPRODUCT(Calc!$K$3:$K$22*(Calc!$G$3:$G$22&gt;B2639)*(Calc!$G$3:$G$22-B2639)*Calc!$I$3:$I$22)</f>
        <v/>
      </c>
      <c r="P2639">
        <f>I2639-G2639^2/k_n</f>
        <v/>
      </c>
      <c r="Q2639">
        <f>J2639-H2639^2/k_n</f>
        <v/>
      </c>
      <c r="R2639">
        <f>K2639-G2639*H2639/k_n</f>
        <v/>
      </c>
      <c r="S2639">
        <f>L2639-LTP3!$D$3*G2639/k_n</f>
        <v/>
      </c>
      <c r="T2639">
        <f>M2639-LTP3!$D$3*H2639/k_n</f>
        <v/>
      </c>
      <c r="U2639">
        <f>N2639-G2639*LTP3!$D$4/k_n</f>
        <v/>
      </c>
      <c r="V2639">
        <f>O2639-H2639*LTP3!$D$4/k_n</f>
        <v/>
      </c>
      <c r="W2639">
        <f>((LTP3!$D$5)*((P2639)*(Q2639)-(R2639)*(R2639))-(S2639)*((S2639)*(Q2639)-(R2639)*(T2639))+(T2639)*((S2639)*(R2639)-(P2639)*(T2639)))</f>
        <v/>
      </c>
      <c r="X2639">
        <f>IF(ABS(W2639)&gt;1E-12,((LTP3!$D$6)*((P2639)*(Q2639)-(R2639)*(R2639))-(S2639)*((U2639)*(Q2639)-(R2639)*(V2639))+(T2639)*((U2639)*(R2639)-(P2639)*(V2639)))/W2639,0)</f>
        <v/>
      </c>
      <c r="Y2639">
        <f>IF(ABS(W2639)&gt;1E-12,((LTP3!$D$5)*((U2639)*(Q2639)-(R2639)*(V2639))-(LTP3!$D$6)*((S2639)*(Q2639)-(R2639)*(T2639))+(T2639)*((S2639)*(V2639)-(U2639)*(T2639)))/W2639,0)</f>
        <v/>
      </c>
      <c r="Z2639">
        <f>IF(ABS(W2639)&gt;1E-12,((LTP3!$D$5)*((P2639)*(V2639)-(U2639)*(R2639))-(S2639)*((S2639)*(V2639)-(U2639)*(T2639))+(LTP3!$D$6)*((S2639)*(R2639)-(P2639)*(T2639)))/W2639,0)</f>
        <v/>
      </c>
      <c r="AA2639">
        <f>LTP3!$D$7-X2639*LTP3!$D$6-Y2639*U2639-Z2639*V2639</f>
        <v/>
      </c>
      <c r="AB2639">
        <f>IF(AND(F2639,ABS(W2639)&gt;1E-12,Y2639&gt;0,Z2639&gt;0),AA2639,1E+300)</f>
        <v/>
      </c>
    </row>
    <row r="2640">
      <c r="A2640">
        <f>$B$3+$B$5*43</f>
        <v/>
      </c>
      <c r="B2640">
        <f>$B$3+$B$5*5</f>
        <v/>
      </c>
      <c r="C2640">
        <f>SUMPRODUCT(Calc!$K$3:$K$22*(Calc!$G$3:$G$22&lt;=A2640))</f>
        <v/>
      </c>
      <c r="D2640">
        <f>SUMPRODUCT(Calc!$K$3:$K$22*(Calc!$G$3:$G$22&gt;A2640)*(Calc!$G$3:$G$22&lt;B2640))</f>
        <v/>
      </c>
      <c r="E2640">
        <f>SUMPRODUCT(Calc!$K$3:$K$22*(Calc!$G$3:$G$22&gt;=B2640))</f>
        <v/>
      </c>
      <c r="F2640">
        <f>AND(k_n&gt;=5,B2640&gt;A2640+1E-9,C2640&gt;=2,D2640&gt;=1,E2640&gt;=2)</f>
        <v/>
      </c>
      <c r="G2640">
        <f>SUMPRODUCT(Calc!$K$3:$K$22*(Calc!$G$3:$G$22&gt;A2640)*(Calc!$G$3:$G$22-A2640))</f>
        <v/>
      </c>
      <c r="H2640">
        <f>SUMPRODUCT(Calc!$K$3:$K$22*(Calc!$G$3:$G$22&gt;B2640)*(Calc!$G$3:$G$22-B2640))</f>
        <v/>
      </c>
      <c r="I2640">
        <f>SUMPRODUCT(Calc!$K$3:$K$22*(Calc!$G$3:$G$22&gt;A2640)*(Calc!$G$3:$G$22-A2640)^2)</f>
        <v/>
      </c>
      <c r="J2640">
        <f>SUMPRODUCT(Calc!$K$3:$K$22*(Calc!$G$3:$G$22&gt;B2640)*(Calc!$G$3:$G$22-B2640)^2)</f>
        <v/>
      </c>
      <c r="K2640">
        <f>SUMPRODUCT(Calc!$K$3:$K$22*(Calc!$G$3:$G$22&gt;A2640)*(Calc!$G$3:$G$22-A2640)*(Calc!$G$3:$G$22&gt;B2640)*(Calc!$G$3:$G$22-B2640))</f>
        <v/>
      </c>
      <c r="L2640">
        <f>SUMPRODUCT(Calc!$K$3:$K$22*(Calc!$G$3:$G$22&gt;A2640)*(Calc!$G$3:$G$22-A2640)*Calc!$G$3:$G$22)</f>
        <v/>
      </c>
      <c r="M2640">
        <f>SUMPRODUCT(Calc!$K$3:$K$22*(Calc!$G$3:$G$22&gt;B2640)*(Calc!$G$3:$G$22-B2640)*Calc!$G$3:$G$22)</f>
        <v/>
      </c>
      <c r="N2640">
        <f>SUMPRODUCT(Calc!$K$3:$K$22*(Calc!$G$3:$G$22&gt;A2640)*(Calc!$G$3:$G$22-A2640)*Calc!$I$3:$I$22)</f>
        <v/>
      </c>
      <c r="O2640">
        <f>SUMPRODUCT(Calc!$K$3:$K$22*(Calc!$G$3:$G$22&gt;B2640)*(Calc!$G$3:$G$22-B2640)*Calc!$I$3:$I$22)</f>
        <v/>
      </c>
      <c r="P2640">
        <f>I2640-G2640^2/k_n</f>
        <v/>
      </c>
      <c r="Q2640">
        <f>J2640-H2640^2/k_n</f>
        <v/>
      </c>
      <c r="R2640">
        <f>K2640-G2640*H2640/k_n</f>
        <v/>
      </c>
      <c r="S2640">
        <f>L2640-LTP3!$D$3*G2640/k_n</f>
        <v/>
      </c>
      <c r="T2640">
        <f>M2640-LTP3!$D$3*H2640/k_n</f>
        <v/>
      </c>
      <c r="U2640">
        <f>N2640-G2640*LTP3!$D$4/k_n</f>
        <v/>
      </c>
      <c r="V2640">
        <f>O2640-H2640*LTP3!$D$4/k_n</f>
        <v/>
      </c>
      <c r="W2640">
        <f>((LTP3!$D$5)*((P2640)*(Q2640)-(R2640)*(R2640))-(S2640)*((S2640)*(Q2640)-(R2640)*(T2640))+(T2640)*((S2640)*(R2640)-(P2640)*(T2640)))</f>
        <v/>
      </c>
      <c r="X2640">
        <f>IF(ABS(W2640)&gt;1E-12,((LTP3!$D$6)*((P2640)*(Q2640)-(R2640)*(R2640))-(S2640)*((U2640)*(Q2640)-(R2640)*(V2640))+(T2640)*((U2640)*(R2640)-(P2640)*(V2640)))/W2640,0)</f>
        <v/>
      </c>
      <c r="Y2640">
        <f>IF(ABS(W2640)&gt;1E-12,((LTP3!$D$5)*((U2640)*(Q2640)-(R2640)*(V2640))-(LTP3!$D$6)*((S2640)*(Q2640)-(R2640)*(T2640))+(T2640)*((S2640)*(V2640)-(U2640)*(T2640)))/W2640,0)</f>
        <v/>
      </c>
      <c r="Z2640">
        <f>IF(ABS(W2640)&gt;1E-12,((LTP3!$D$5)*((P2640)*(V2640)-(U2640)*(R2640))-(S2640)*((S2640)*(V2640)-(U2640)*(T2640))+(LTP3!$D$6)*((S2640)*(R2640)-(P2640)*(T2640)))/W2640,0)</f>
        <v/>
      </c>
      <c r="AA2640">
        <f>LTP3!$D$7-X2640*LTP3!$D$6-Y2640*U2640-Z2640*V2640</f>
        <v/>
      </c>
      <c r="AB2640">
        <f>IF(AND(F2640,ABS(W2640)&gt;1E-12,Y2640&gt;0,Z2640&gt;0),AA2640,1E+300)</f>
        <v/>
      </c>
    </row>
    <row r="2641">
      <c r="A2641">
        <f>$B$3+$B$5*43</f>
        <v/>
      </c>
      <c r="B2641">
        <f>$B$3+$B$5*6</f>
        <v/>
      </c>
      <c r="C2641">
        <f>SUMPRODUCT(Calc!$K$3:$K$22*(Calc!$G$3:$G$22&lt;=A2641))</f>
        <v/>
      </c>
      <c r="D2641">
        <f>SUMPRODUCT(Calc!$K$3:$K$22*(Calc!$G$3:$G$22&gt;A2641)*(Calc!$G$3:$G$22&lt;B2641))</f>
        <v/>
      </c>
      <c r="E2641">
        <f>SUMPRODUCT(Calc!$K$3:$K$22*(Calc!$G$3:$G$22&gt;=B2641))</f>
        <v/>
      </c>
      <c r="F2641">
        <f>AND(k_n&gt;=5,B2641&gt;A2641+1E-9,C2641&gt;=2,D2641&gt;=1,E2641&gt;=2)</f>
        <v/>
      </c>
      <c r="G2641">
        <f>SUMPRODUCT(Calc!$K$3:$K$22*(Calc!$G$3:$G$22&gt;A2641)*(Calc!$G$3:$G$22-A2641))</f>
        <v/>
      </c>
      <c r="H2641">
        <f>SUMPRODUCT(Calc!$K$3:$K$22*(Calc!$G$3:$G$22&gt;B2641)*(Calc!$G$3:$G$22-B2641))</f>
        <v/>
      </c>
      <c r="I2641">
        <f>SUMPRODUCT(Calc!$K$3:$K$22*(Calc!$G$3:$G$22&gt;A2641)*(Calc!$G$3:$G$22-A2641)^2)</f>
        <v/>
      </c>
      <c r="J2641">
        <f>SUMPRODUCT(Calc!$K$3:$K$22*(Calc!$G$3:$G$22&gt;B2641)*(Calc!$G$3:$G$22-B2641)^2)</f>
        <v/>
      </c>
      <c r="K2641">
        <f>SUMPRODUCT(Calc!$K$3:$K$22*(Calc!$G$3:$G$22&gt;A2641)*(Calc!$G$3:$G$22-A2641)*(Calc!$G$3:$G$22&gt;B2641)*(Calc!$G$3:$G$22-B2641))</f>
        <v/>
      </c>
      <c r="L2641">
        <f>SUMPRODUCT(Calc!$K$3:$K$22*(Calc!$G$3:$G$22&gt;A2641)*(Calc!$G$3:$G$22-A2641)*Calc!$G$3:$G$22)</f>
        <v/>
      </c>
      <c r="M2641">
        <f>SUMPRODUCT(Calc!$K$3:$K$22*(Calc!$G$3:$G$22&gt;B2641)*(Calc!$G$3:$G$22-B2641)*Calc!$G$3:$G$22)</f>
        <v/>
      </c>
      <c r="N2641">
        <f>SUMPRODUCT(Calc!$K$3:$K$22*(Calc!$G$3:$G$22&gt;A2641)*(Calc!$G$3:$G$22-A2641)*Calc!$I$3:$I$22)</f>
        <v/>
      </c>
      <c r="O2641">
        <f>SUMPRODUCT(Calc!$K$3:$K$22*(Calc!$G$3:$G$22&gt;B2641)*(Calc!$G$3:$G$22-B2641)*Calc!$I$3:$I$22)</f>
        <v/>
      </c>
      <c r="P2641">
        <f>I2641-G2641^2/k_n</f>
        <v/>
      </c>
      <c r="Q2641">
        <f>J2641-H2641^2/k_n</f>
        <v/>
      </c>
      <c r="R2641">
        <f>K2641-G2641*H2641/k_n</f>
        <v/>
      </c>
      <c r="S2641">
        <f>L2641-LTP3!$D$3*G2641/k_n</f>
        <v/>
      </c>
      <c r="T2641">
        <f>M2641-LTP3!$D$3*H2641/k_n</f>
        <v/>
      </c>
      <c r="U2641">
        <f>N2641-G2641*LTP3!$D$4/k_n</f>
        <v/>
      </c>
      <c r="V2641">
        <f>O2641-H2641*LTP3!$D$4/k_n</f>
        <v/>
      </c>
      <c r="W2641">
        <f>((LTP3!$D$5)*((P2641)*(Q2641)-(R2641)*(R2641))-(S2641)*((S2641)*(Q2641)-(R2641)*(T2641))+(T2641)*((S2641)*(R2641)-(P2641)*(T2641)))</f>
        <v/>
      </c>
      <c r="X2641">
        <f>IF(ABS(W2641)&gt;1E-12,((LTP3!$D$6)*((P2641)*(Q2641)-(R2641)*(R2641))-(S2641)*((U2641)*(Q2641)-(R2641)*(V2641))+(T2641)*((U2641)*(R2641)-(P2641)*(V2641)))/W2641,0)</f>
        <v/>
      </c>
      <c r="Y2641">
        <f>IF(ABS(W2641)&gt;1E-12,((LTP3!$D$5)*((U2641)*(Q2641)-(R2641)*(V2641))-(LTP3!$D$6)*((S2641)*(Q2641)-(R2641)*(T2641))+(T2641)*((S2641)*(V2641)-(U2641)*(T2641)))/W2641,0)</f>
        <v/>
      </c>
      <c r="Z2641">
        <f>IF(ABS(W2641)&gt;1E-12,((LTP3!$D$5)*((P2641)*(V2641)-(U2641)*(R2641))-(S2641)*((S2641)*(V2641)-(U2641)*(T2641))+(LTP3!$D$6)*((S2641)*(R2641)-(P2641)*(T2641)))/W2641,0)</f>
        <v/>
      </c>
      <c r="AA2641">
        <f>LTP3!$D$7-X2641*LTP3!$D$6-Y2641*U2641-Z2641*V2641</f>
        <v/>
      </c>
      <c r="AB2641">
        <f>IF(AND(F2641,ABS(W2641)&gt;1E-12,Y2641&gt;0,Z2641&gt;0),AA2641,1E+300)</f>
        <v/>
      </c>
    </row>
    <row r="2642">
      <c r="A2642">
        <f>$B$3+$B$5*43</f>
        <v/>
      </c>
      <c r="B2642">
        <f>$B$3+$B$5*7</f>
        <v/>
      </c>
      <c r="C2642">
        <f>SUMPRODUCT(Calc!$K$3:$K$22*(Calc!$G$3:$G$22&lt;=A2642))</f>
        <v/>
      </c>
      <c r="D2642">
        <f>SUMPRODUCT(Calc!$K$3:$K$22*(Calc!$G$3:$G$22&gt;A2642)*(Calc!$G$3:$G$22&lt;B2642))</f>
        <v/>
      </c>
      <c r="E2642">
        <f>SUMPRODUCT(Calc!$K$3:$K$22*(Calc!$G$3:$G$22&gt;=B2642))</f>
        <v/>
      </c>
      <c r="F2642">
        <f>AND(k_n&gt;=5,B2642&gt;A2642+1E-9,C2642&gt;=2,D2642&gt;=1,E2642&gt;=2)</f>
        <v/>
      </c>
      <c r="G2642">
        <f>SUMPRODUCT(Calc!$K$3:$K$22*(Calc!$G$3:$G$22&gt;A2642)*(Calc!$G$3:$G$22-A2642))</f>
        <v/>
      </c>
      <c r="H2642">
        <f>SUMPRODUCT(Calc!$K$3:$K$22*(Calc!$G$3:$G$22&gt;B2642)*(Calc!$G$3:$G$22-B2642))</f>
        <v/>
      </c>
      <c r="I2642">
        <f>SUMPRODUCT(Calc!$K$3:$K$22*(Calc!$G$3:$G$22&gt;A2642)*(Calc!$G$3:$G$22-A2642)^2)</f>
        <v/>
      </c>
      <c r="J2642">
        <f>SUMPRODUCT(Calc!$K$3:$K$22*(Calc!$G$3:$G$22&gt;B2642)*(Calc!$G$3:$G$22-B2642)^2)</f>
        <v/>
      </c>
      <c r="K2642">
        <f>SUMPRODUCT(Calc!$K$3:$K$22*(Calc!$G$3:$G$22&gt;A2642)*(Calc!$G$3:$G$22-A2642)*(Calc!$G$3:$G$22&gt;B2642)*(Calc!$G$3:$G$22-B2642))</f>
        <v/>
      </c>
      <c r="L2642">
        <f>SUMPRODUCT(Calc!$K$3:$K$22*(Calc!$G$3:$G$22&gt;A2642)*(Calc!$G$3:$G$22-A2642)*Calc!$G$3:$G$22)</f>
        <v/>
      </c>
      <c r="M2642">
        <f>SUMPRODUCT(Calc!$K$3:$K$22*(Calc!$G$3:$G$22&gt;B2642)*(Calc!$G$3:$G$22-B2642)*Calc!$G$3:$G$22)</f>
        <v/>
      </c>
      <c r="N2642">
        <f>SUMPRODUCT(Calc!$K$3:$K$22*(Calc!$G$3:$G$22&gt;A2642)*(Calc!$G$3:$G$22-A2642)*Calc!$I$3:$I$22)</f>
        <v/>
      </c>
      <c r="O2642">
        <f>SUMPRODUCT(Calc!$K$3:$K$22*(Calc!$G$3:$G$22&gt;B2642)*(Calc!$G$3:$G$22-B2642)*Calc!$I$3:$I$22)</f>
        <v/>
      </c>
      <c r="P2642">
        <f>I2642-G2642^2/k_n</f>
        <v/>
      </c>
      <c r="Q2642">
        <f>J2642-H2642^2/k_n</f>
        <v/>
      </c>
      <c r="R2642">
        <f>K2642-G2642*H2642/k_n</f>
        <v/>
      </c>
      <c r="S2642">
        <f>L2642-LTP3!$D$3*G2642/k_n</f>
        <v/>
      </c>
      <c r="T2642">
        <f>M2642-LTP3!$D$3*H2642/k_n</f>
        <v/>
      </c>
      <c r="U2642">
        <f>N2642-G2642*LTP3!$D$4/k_n</f>
        <v/>
      </c>
      <c r="V2642">
        <f>O2642-H2642*LTP3!$D$4/k_n</f>
        <v/>
      </c>
      <c r="W2642">
        <f>((LTP3!$D$5)*((P2642)*(Q2642)-(R2642)*(R2642))-(S2642)*((S2642)*(Q2642)-(R2642)*(T2642))+(T2642)*((S2642)*(R2642)-(P2642)*(T2642)))</f>
        <v/>
      </c>
      <c r="X2642">
        <f>IF(ABS(W2642)&gt;1E-12,((LTP3!$D$6)*((P2642)*(Q2642)-(R2642)*(R2642))-(S2642)*((U2642)*(Q2642)-(R2642)*(V2642))+(T2642)*((U2642)*(R2642)-(P2642)*(V2642)))/W2642,0)</f>
        <v/>
      </c>
      <c r="Y2642">
        <f>IF(ABS(W2642)&gt;1E-12,((LTP3!$D$5)*((U2642)*(Q2642)-(R2642)*(V2642))-(LTP3!$D$6)*((S2642)*(Q2642)-(R2642)*(T2642))+(T2642)*((S2642)*(V2642)-(U2642)*(T2642)))/W2642,0)</f>
        <v/>
      </c>
      <c r="Z2642">
        <f>IF(ABS(W2642)&gt;1E-12,((LTP3!$D$5)*((P2642)*(V2642)-(U2642)*(R2642))-(S2642)*((S2642)*(V2642)-(U2642)*(T2642))+(LTP3!$D$6)*((S2642)*(R2642)-(P2642)*(T2642)))/W2642,0)</f>
        <v/>
      </c>
      <c r="AA2642">
        <f>LTP3!$D$7-X2642*LTP3!$D$6-Y2642*U2642-Z2642*V2642</f>
        <v/>
      </c>
      <c r="AB2642">
        <f>IF(AND(F2642,ABS(W2642)&gt;1E-12,Y2642&gt;0,Z2642&gt;0),AA2642,1E+300)</f>
        <v/>
      </c>
    </row>
    <row r="2643">
      <c r="A2643">
        <f>$B$3+$B$5*43</f>
        <v/>
      </c>
      <c r="B2643">
        <f>$B$3+$B$5*8</f>
        <v/>
      </c>
      <c r="C2643">
        <f>SUMPRODUCT(Calc!$K$3:$K$22*(Calc!$G$3:$G$22&lt;=A2643))</f>
        <v/>
      </c>
      <c r="D2643">
        <f>SUMPRODUCT(Calc!$K$3:$K$22*(Calc!$G$3:$G$22&gt;A2643)*(Calc!$G$3:$G$22&lt;B2643))</f>
        <v/>
      </c>
      <c r="E2643">
        <f>SUMPRODUCT(Calc!$K$3:$K$22*(Calc!$G$3:$G$22&gt;=B2643))</f>
        <v/>
      </c>
      <c r="F2643">
        <f>AND(k_n&gt;=5,B2643&gt;A2643+1E-9,C2643&gt;=2,D2643&gt;=1,E2643&gt;=2)</f>
        <v/>
      </c>
      <c r="G2643">
        <f>SUMPRODUCT(Calc!$K$3:$K$22*(Calc!$G$3:$G$22&gt;A2643)*(Calc!$G$3:$G$22-A2643))</f>
        <v/>
      </c>
      <c r="H2643">
        <f>SUMPRODUCT(Calc!$K$3:$K$22*(Calc!$G$3:$G$22&gt;B2643)*(Calc!$G$3:$G$22-B2643))</f>
        <v/>
      </c>
      <c r="I2643">
        <f>SUMPRODUCT(Calc!$K$3:$K$22*(Calc!$G$3:$G$22&gt;A2643)*(Calc!$G$3:$G$22-A2643)^2)</f>
        <v/>
      </c>
      <c r="J2643">
        <f>SUMPRODUCT(Calc!$K$3:$K$22*(Calc!$G$3:$G$22&gt;B2643)*(Calc!$G$3:$G$22-B2643)^2)</f>
        <v/>
      </c>
      <c r="K2643">
        <f>SUMPRODUCT(Calc!$K$3:$K$22*(Calc!$G$3:$G$22&gt;A2643)*(Calc!$G$3:$G$22-A2643)*(Calc!$G$3:$G$22&gt;B2643)*(Calc!$G$3:$G$22-B2643))</f>
        <v/>
      </c>
      <c r="L2643">
        <f>SUMPRODUCT(Calc!$K$3:$K$22*(Calc!$G$3:$G$22&gt;A2643)*(Calc!$G$3:$G$22-A2643)*Calc!$G$3:$G$22)</f>
        <v/>
      </c>
      <c r="M2643">
        <f>SUMPRODUCT(Calc!$K$3:$K$22*(Calc!$G$3:$G$22&gt;B2643)*(Calc!$G$3:$G$22-B2643)*Calc!$G$3:$G$22)</f>
        <v/>
      </c>
      <c r="N2643">
        <f>SUMPRODUCT(Calc!$K$3:$K$22*(Calc!$G$3:$G$22&gt;A2643)*(Calc!$G$3:$G$22-A2643)*Calc!$I$3:$I$22)</f>
        <v/>
      </c>
      <c r="O2643">
        <f>SUMPRODUCT(Calc!$K$3:$K$22*(Calc!$G$3:$G$22&gt;B2643)*(Calc!$G$3:$G$22-B2643)*Calc!$I$3:$I$22)</f>
        <v/>
      </c>
      <c r="P2643">
        <f>I2643-G2643^2/k_n</f>
        <v/>
      </c>
      <c r="Q2643">
        <f>J2643-H2643^2/k_n</f>
        <v/>
      </c>
      <c r="R2643">
        <f>K2643-G2643*H2643/k_n</f>
        <v/>
      </c>
      <c r="S2643">
        <f>L2643-LTP3!$D$3*G2643/k_n</f>
        <v/>
      </c>
      <c r="T2643">
        <f>M2643-LTP3!$D$3*H2643/k_n</f>
        <v/>
      </c>
      <c r="U2643">
        <f>N2643-G2643*LTP3!$D$4/k_n</f>
        <v/>
      </c>
      <c r="V2643">
        <f>O2643-H2643*LTP3!$D$4/k_n</f>
        <v/>
      </c>
      <c r="W2643">
        <f>((LTP3!$D$5)*((P2643)*(Q2643)-(R2643)*(R2643))-(S2643)*((S2643)*(Q2643)-(R2643)*(T2643))+(T2643)*((S2643)*(R2643)-(P2643)*(T2643)))</f>
        <v/>
      </c>
      <c r="X2643">
        <f>IF(ABS(W2643)&gt;1E-12,((LTP3!$D$6)*((P2643)*(Q2643)-(R2643)*(R2643))-(S2643)*((U2643)*(Q2643)-(R2643)*(V2643))+(T2643)*((U2643)*(R2643)-(P2643)*(V2643)))/W2643,0)</f>
        <v/>
      </c>
      <c r="Y2643">
        <f>IF(ABS(W2643)&gt;1E-12,((LTP3!$D$5)*((U2643)*(Q2643)-(R2643)*(V2643))-(LTP3!$D$6)*((S2643)*(Q2643)-(R2643)*(T2643))+(T2643)*((S2643)*(V2643)-(U2643)*(T2643)))/W2643,0)</f>
        <v/>
      </c>
      <c r="Z2643">
        <f>IF(ABS(W2643)&gt;1E-12,((LTP3!$D$5)*((P2643)*(V2643)-(U2643)*(R2643))-(S2643)*((S2643)*(V2643)-(U2643)*(T2643))+(LTP3!$D$6)*((S2643)*(R2643)-(P2643)*(T2643)))/W2643,0)</f>
        <v/>
      </c>
      <c r="AA2643">
        <f>LTP3!$D$7-X2643*LTP3!$D$6-Y2643*U2643-Z2643*V2643</f>
        <v/>
      </c>
      <c r="AB2643">
        <f>IF(AND(F2643,ABS(W2643)&gt;1E-12,Y2643&gt;0,Z2643&gt;0),AA2643,1E+300)</f>
        <v/>
      </c>
    </row>
    <row r="2644">
      <c r="A2644">
        <f>$B$3+$B$5*43</f>
        <v/>
      </c>
      <c r="B2644">
        <f>$B$3+$B$5*9</f>
        <v/>
      </c>
      <c r="C2644">
        <f>SUMPRODUCT(Calc!$K$3:$K$22*(Calc!$G$3:$G$22&lt;=A2644))</f>
        <v/>
      </c>
      <c r="D2644">
        <f>SUMPRODUCT(Calc!$K$3:$K$22*(Calc!$G$3:$G$22&gt;A2644)*(Calc!$G$3:$G$22&lt;B2644))</f>
        <v/>
      </c>
      <c r="E2644">
        <f>SUMPRODUCT(Calc!$K$3:$K$22*(Calc!$G$3:$G$22&gt;=B2644))</f>
        <v/>
      </c>
      <c r="F2644">
        <f>AND(k_n&gt;=5,B2644&gt;A2644+1E-9,C2644&gt;=2,D2644&gt;=1,E2644&gt;=2)</f>
        <v/>
      </c>
      <c r="G2644">
        <f>SUMPRODUCT(Calc!$K$3:$K$22*(Calc!$G$3:$G$22&gt;A2644)*(Calc!$G$3:$G$22-A2644))</f>
        <v/>
      </c>
      <c r="H2644">
        <f>SUMPRODUCT(Calc!$K$3:$K$22*(Calc!$G$3:$G$22&gt;B2644)*(Calc!$G$3:$G$22-B2644))</f>
        <v/>
      </c>
      <c r="I2644">
        <f>SUMPRODUCT(Calc!$K$3:$K$22*(Calc!$G$3:$G$22&gt;A2644)*(Calc!$G$3:$G$22-A2644)^2)</f>
        <v/>
      </c>
      <c r="J2644">
        <f>SUMPRODUCT(Calc!$K$3:$K$22*(Calc!$G$3:$G$22&gt;B2644)*(Calc!$G$3:$G$22-B2644)^2)</f>
        <v/>
      </c>
      <c r="K2644">
        <f>SUMPRODUCT(Calc!$K$3:$K$22*(Calc!$G$3:$G$22&gt;A2644)*(Calc!$G$3:$G$22-A2644)*(Calc!$G$3:$G$22&gt;B2644)*(Calc!$G$3:$G$22-B2644))</f>
        <v/>
      </c>
      <c r="L2644">
        <f>SUMPRODUCT(Calc!$K$3:$K$22*(Calc!$G$3:$G$22&gt;A2644)*(Calc!$G$3:$G$22-A2644)*Calc!$G$3:$G$22)</f>
        <v/>
      </c>
      <c r="M2644">
        <f>SUMPRODUCT(Calc!$K$3:$K$22*(Calc!$G$3:$G$22&gt;B2644)*(Calc!$G$3:$G$22-B2644)*Calc!$G$3:$G$22)</f>
        <v/>
      </c>
      <c r="N2644">
        <f>SUMPRODUCT(Calc!$K$3:$K$22*(Calc!$G$3:$G$22&gt;A2644)*(Calc!$G$3:$G$22-A2644)*Calc!$I$3:$I$22)</f>
        <v/>
      </c>
      <c r="O2644">
        <f>SUMPRODUCT(Calc!$K$3:$K$22*(Calc!$G$3:$G$22&gt;B2644)*(Calc!$G$3:$G$22-B2644)*Calc!$I$3:$I$22)</f>
        <v/>
      </c>
      <c r="P2644">
        <f>I2644-G2644^2/k_n</f>
        <v/>
      </c>
      <c r="Q2644">
        <f>J2644-H2644^2/k_n</f>
        <v/>
      </c>
      <c r="R2644">
        <f>K2644-G2644*H2644/k_n</f>
        <v/>
      </c>
      <c r="S2644">
        <f>L2644-LTP3!$D$3*G2644/k_n</f>
        <v/>
      </c>
      <c r="T2644">
        <f>M2644-LTP3!$D$3*H2644/k_n</f>
        <v/>
      </c>
      <c r="U2644">
        <f>N2644-G2644*LTP3!$D$4/k_n</f>
        <v/>
      </c>
      <c r="V2644">
        <f>O2644-H2644*LTP3!$D$4/k_n</f>
        <v/>
      </c>
      <c r="W2644">
        <f>((LTP3!$D$5)*((P2644)*(Q2644)-(R2644)*(R2644))-(S2644)*((S2644)*(Q2644)-(R2644)*(T2644))+(T2644)*((S2644)*(R2644)-(P2644)*(T2644)))</f>
        <v/>
      </c>
      <c r="X2644">
        <f>IF(ABS(W2644)&gt;1E-12,((LTP3!$D$6)*((P2644)*(Q2644)-(R2644)*(R2644))-(S2644)*((U2644)*(Q2644)-(R2644)*(V2644))+(T2644)*((U2644)*(R2644)-(P2644)*(V2644)))/W2644,0)</f>
        <v/>
      </c>
      <c r="Y2644">
        <f>IF(ABS(W2644)&gt;1E-12,((LTP3!$D$5)*((U2644)*(Q2644)-(R2644)*(V2644))-(LTP3!$D$6)*((S2644)*(Q2644)-(R2644)*(T2644))+(T2644)*((S2644)*(V2644)-(U2644)*(T2644)))/W2644,0)</f>
        <v/>
      </c>
      <c r="Z2644">
        <f>IF(ABS(W2644)&gt;1E-12,((LTP3!$D$5)*((P2644)*(V2644)-(U2644)*(R2644))-(S2644)*((S2644)*(V2644)-(U2644)*(T2644))+(LTP3!$D$6)*((S2644)*(R2644)-(P2644)*(T2644)))/W2644,0)</f>
        <v/>
      </c>
      <c r="AA2644">
        <f>LTP3!$D$7-X2644*LTP3!$D$6-Y2644*U2644-Z2644*V2644</f>
        <v/>
      </c>
      <c r="AB2644">
        <f>IF(AND(F2644,ABS(W2644)&gt;1E-12,Y2644&gt;0,Z2644&gt;0),AA2644,1E+300)</f>
        <v/>
      </c>
    </row>
    <row r="2645">
      <c r="A2645">
        <f>$B$3+$B$5*43</f>
        <v/>
      </c>
      <c r="B2645">
        <f>$B$3+$B$5*10</f>
        <v/>
      </c>
      <c r="C2645">
        <f>SUMPRODUCT(Calc!$K$3:$K$22*(Calc!$G$3:$G$22&lt;=A2645))</f>
        <v/>
      </c>
      <c r="D2645">
        <f>SUMPRODUCT(Calc!$K$3:$K$22*(Calc!$G$3:$G$22&gt;A2645)*(Calc!$G$3:$G$22&lt;B2645))</f>
        <v/>
      </c>
      <c r="E2645">
        <f>SUMPRODUCT(Calc!$K$3:$K$22*(Calc!$G$3:$G$22&gt;=B2645))</f>
        <v/>
      </c>
      <c r="F2645">
        <f>AND(k_n&gt;=5,B2645&gt;A2645+1E-9,C2645&gt;=2,D2645&gt;=1,E2645&gt;=2)</f>
        <v/>
      </c>
      <c r="G2645">
        <f>SUMPRODUCT(Calc!$K$3:$K$22*(Calc!$G$3:$G$22&gt;A2645)*(Calc!$G$3:$G$22-A2645))</f>
        <v/>
      </c>
      <c r="H2645">
        <f>SUMPRODUCT(Calc!$K$3:$K$22*(Calc!$G$3:$G$22&gt;B2645)*(Calc!$G$3:$G$22-B2645))</f>
        <v/>
      </c>
      <c r="I2645">
        <f>SUMPRODUCT(Calc!$K$3:$K$22*(Calc!$G$3:$G$22&gt;A2645)*(Calc!$G$3:$G$22-A2645)^2)</f>
        <v/>
      </c>
      <c r="J2645">
        <f>SUMPRODUCT(Calc!$K$3:$K$22*(Calc!$G$3:$G$22&gt;B2645)*(Calc!$G$3:$G$22-B2645)^2)</f>
        <v/>
      </c>
      <c r="K2645">
        <f>SUMPRODUCT(Calc!$K$3:$K$22*(Calc!$G$3:$G$22&gt;A2645)*(Calc!$G$3:$G$22-A2645)*(Calc!$G$3:$G$22&gt;B2645)*(Calc!$G$3:$G$22-B2645))</f>
        <v/>
      </c>
      <c r="L2645">
        <f>SUMPRODUCT(Calc!$K$3:$K$22*(Calc!$G$3:$G$22&gt;A2645)*(Calc!$G$3:$G$22-A2645)*Calc!$G$3:$G$22)</f>
        <v/>
      </c>
      <c r="M2645">
        <f>SUMPRODUCT(Calc!$K$3:$K$22*(Calc!$G$3:$G$22&gt;B2645)*(Calc!$G$3:$G$22-B2645)*Calc!$G$3:$G$22)</f>
        <v/>
      </c>
      <c r="N2645">
        <f>SUMPRODUCT(Calc!$K$3:$K$22*(Calc!$G$3:$G$22&gt;A2645)*(Calc!$G$3:$G$22-A2645)*Calc!$I$3:$I$22)</f>
        <v/>
      </c>
      <c r="O2645">
        <f>SUMPRODUCT(Calc!$K$3:$K$22*(Calc!$G$3:$G$22&gt;B2645)*(Calc!$G$3:$G$22-B2645)*Calc!$I$3:$I$22)</f>
        <v/>
      </c>
      <c r="P2645">
        <f>I2645-G2645^2/k_n</f>
        <v/>
      </c>
      <c r="Q2645">
        <f>J2645-H2645^2/k_n</f>
        <v/>
      </c>
      <c r="R2645">
        <f>K2645-G2645*H2645/k_n</f>
        <v/>
      </c>
      <c r="S2645">
        <f>L2645-LTP3!$D$3*G2645/k_n</f>
        <v/>
      </c>
      <c r="T2645">
        <f>M2645-LTP3!$D$3*H2645/k_n</f>
        <v/>
      </c>
      <c r="U2645">
        <f>N2645-G2645*LTP3!$D$4/k_n</f>
        <v/>
      </c>
      <c r="V2645">
        <f>O2645-H2645*LTP3!$D$4/k_n</f>
        <v/>
      </c>
      <c r="W2645">
        <f>((LTP3!$D$5)*((P2645)*(Q2645)-(R2645)*(R2645))-(S2645)*((S2645)*(Q2645)-(R2645)*(T2645))+(T2645)*((S2645)*(R2645)-(P2645)*(T2645)))</f>
        <v/>
      </c>
      <c r="X2645">
        <f>IF(ABS(W2645)&gt;1E-12,((LTP3!$D$6)*((P2645)*(Q2645)-(R2645)*(R2645))-(S2645)*((U2645)*(Q2645)-(R2645)*(V2645))+(T2645)*((U2645)*(R2645)-(P2645)*(V2645)))/W2645,0)</f>
        <v/>
      </c>
      <c r="Y2645">
        <f>IF(ABS(W2645)&gt;1E-12,((LTP3!$D$5)*((U2645)*(Q2645)-(R2645)*(V2645))-(LTP3!$D$6)*((S2645)*(Q2645)-(R2645)*(T2645))+(T2645)*((S2645)*(V2645)-(U2645)*(T2645)))/W2645,0)</f>
        <v/>
      </c>
      <c r="Z2645">
        <f>IF(ABS(W2645)&gt;1E-12,((LTP3!$D$5)*((P2645)*(V2645)-(U2645)*(R2645))-(S2645)*((S2645)*(V2645)-(U2645)*(T2645))+(LTP3!$D$6)*((S2645)*(R2645)-(P2645)*(T2645)))/W2645,0)</f>
        <v/>
      </c>
      <c r="AA2645">
        <f>LTP3!$D$7-X2645*LTP3!$D$6-Y2645*U2645-Z2645*V2645</f>
        <v/>
      </c>
      <c r="AB2645">
        <f>IF(AND(F2645,ABS(W2645)&gt;1E-12,Y2645&gt;0,Z2645&gt;0),AA2645,1E+300)</f>
        <v/>
      </c>
    </row>
    <row r="2646">
      <c r="A2646">
        <f>$B$3+$B$5*43</f>
        <v/>
      </c>
      <c r="B2646">
        <f>$B$3+$B$5*11</f>
        <v/>
      </c>
      <c r="C2646">
        <f>SUMPRODUCT(Calc!$K$3:$K$22*(Calc!$G$3:$G$22&lt;=A2646))</f>
        <v/>
      </c>
      <c r="D2646">
        <f>SUMPRODUCT(Calc!$K$3:$K$22*(Calc!$G$3:$G$22&gt;A2646)*(Calc!$G$3:$G$22&lt;B2646))</f>
        <v/>
      </c>
      <c r="E2646">
        <f>SUMPRODUCT(Calc!$K$3:$K$22*(Calc!$G$3:$G$22&gt;=B2646))</f>
        <v/>
      </c>
      <c r="F2646">
        <f>AND(k_n&gt;=5,B2646&gt;A2646+1E-9,C2646&gt;=2,D2646&gt;=1,E2646&gt;=2)</f>
        <v/>
      </c>
      <c r="G2646">
        <f>SUMPRODUCT(Calc!$K$3:$K$22*(Calc!$G$3:$G$22&gt;A2646)*(Calc!$G$3:$G$22-A2646))</f>
        <v/>
      </c>
      <c r="H2646">
        <f>SUMPRODUCT(Calc!$K$3:$K$22*(Calc!$G$3:$G$22&gt;B2646)*(Calc!$G$3:$G$22-B2646))</f>
        <v/>
      </c>
      <c r="I2646">
        <f>SUMPRODUCT(Calc!$K$3:$K$22*(Calc!$G$3:$G$22&gt;A2646)*(Calc!$G$3:$G$22-A2646)^2)</f>
        <v/>
      </c>
      <c r="J2646">
        <f>SUMPRODUCT(Calc!$K$3:$K$22*(Calc!$G$3:$G$22&gt;B2646)*(Calc!$G$3:$G$22-B2646)^2)</f>
        <v/>
      </c>
      <c r="K2646">
        <f>SUMPRODUCT(Calc!$K$3:$K$22*(Calc!$G$3:$G$22&gt;A2646)*(Calc!$G$3:$G$22-A2646)*(Calc!$G$3:$G$22&gt;B2646)*(Calc!$G$3:$G$22-B2646))</f>
        <v/>
      </c>
      <c r="L2646">
        <f>SUMPRODUCT(Calc!$K$3:$K$22*(Calc!$G$3:$G$22&gt;A2646)*(Calc!$G$3:$G$22-A2646)*Calc!$G$3:$G$22)</f>
        <v/>
      </c>
      <c r="M2646">
        <f>SUMPRODUCT(Calc!$K$3:$K$22*(Calc!$G$3:$G$22&gt;B2646)*(Calc!$G$3:$G$22-B2646)*Calc!$G$3:$G$22)</f>
        <v/>
      </c>
      <c r="N2646">
        <f>SUMPRODUCT(Calc!$K$3:$K$22*(Calc!$G$3:$G$22&gt;A2646)*(Calc!$G$3:$G$22-A2646)*Calc!$I$3:$I$22)</f>
        <v/>
      </c>
      <c r="O2646">
        <f>SUMPRODUCT(Calc!$K$3:$K$22*(Calc!$G$3:$G$22&gt;B2646)*(Calc!$G$3:$G$22-B2646)*Calc!$I$3:$I$22)</f>
        <v/>
      </c>
      <c r="P2646">
        <f>I2646-G2646^2/k_n</f>
        <v/>
      </c>
      <c r="Q2646">
        <f>J2646-H2646^2/k_n</f>
        <v/>
      </c>
      <c r="R2646">
        <f>K2646-G2646*H2646/k_n</f>
        <v/>
      </c>
      <c r="S2646">
        <f>L2646-LTP3!$D$3*G2646/k_n</f>
        <v/>
      </c>
      <c r="T2646">
        <f>M2646-LTP3!$D$3*H2646/k_n</f>
        <v/>
      </c>
      <c r="U2646">
        <f>N2646-G2646*LTP3!$D$4/k_n</f>
        <v/>
      </c>
      <c r="V2646">
        <f>O2646-H2646*LTP3!$D$4/k_n</f>
        <v/>
      </c>
      <c r="W2646">
        <f>((LTP3!$D$5)*((P2646)*(Q2646)-(R2646)*(R2646))-(S2646)*((S2646)*(Q2646)-(R2646)*(T2646))+(T2646)*((S2646)*(R2646)-(P2646)*(T2646)))</f>
        <v/>
      </c>
      <c r="X2646">
        <f>IF(ABS(W2646)&gt;1E-12,((LTP3!$D$6)*((P2646)*(Q2646)-(R2646)*(R2646))-(S2646)*((U2646)*(Q2646)-(R2646)*(V2646))+(T2646)*((U2646)*(R2646)-(P2646)*(V2646)))/W2646,0)</f>
        <v/>
      </c>
      <c r="Y2646">
        <f>IF(ABS(W2646)&gt;1E-12,((LTP3!$D$5)*((U2646)*(Q2646)-(R2646)*(V2646))-(LTP3!$D$6)*((S2646)*(Q2646)-(R2646)*(T2646))+(T2646)*((S2646)*(V2646)-(U2646)*(T2646)))/W2646,0)</f>
        <v/>
      </c>
      <c r="Z2646">
        <f>IF(ABS(W2646)&gt;1E-12,((LTP3!$D$5)*((P2646)*(V2646)-(U2646)*(R2646))-(S2646)*((S2646)*(V2646)-(U2646)*(T2646))+(LTP3!$D$6)*((S2646)*(R2646)-(P2646)*(T2646)))/W2646,0)</f>
        <v/>
      </c>
      <c r="AA2646">
        <f>LTP3!$D$7-X2646*LTP3!$D$6-Y2646*U2646-Z2646*V2646</f>
        <v/>
      </c>
      <c r="AB2646">
        <f>IF(AND(F2646,ABS(W2646)&gt;1E-12,Y2646&gt;0,Z2646&gt;0),AA2646,1E+300)</f>
        <v/>
      </c>
    </row>
    <row r="2647">
      <c r="A2647">
        <f>$B$3+$B$5*43</f>
        <v/>
      </c>
      <c r="B2647">
        <f>$B$3+$B$5*12</f>
        <v/>
      </c>
      <c r="C2647">
        <f>SUMPRODUCT(Calc!$K$3:$K$22*(Calc!$G$3:$G$22&lt;=A2647))</f>
        <v/>
      </c>
      <c r="D2647">
        <f>SUMPRODUCT(Calc!$K$3:$K$22*(Calc!$G$3:$G$22&gt;A2647)*(Calc!$G$3:$G$22&lt;B2647))</f>
        <v/>
      </c>
      <c r="E2647">
        <f>SUMPRODUCT(Calc!$K$3:$K$22*(Calc!$G$3:$G$22&gt;=B2647))</f>
        <v/>
      </c>
      <c r="F2647">
        <f>AND(k_n&gt;=5,B2647&gt;A2647+1E-9,C2647&gt;=2,D2647&gt;=1,E2647&gt;=2)</f>
        <v/>
      </c>
      <c r="G2647">
        <f>SUMPRODUCT(Calc!$K$3:$K$22*(Calc!$G$3:$G$22&gt;A2647)*(Calc!$G$3:$G$22-A2647))</f>
        <v/>
      </c>
      <c r="H2647">
        <f>SUMPRODUCT(Calc!$K$3:$K$22*(Calc!$G$3:$G$22&gt;B2647)*(Calc!$G$3:$G$22-B2647))</f>
        <v/>
      </c>
      <c r="I2647">
        <f>SUMPRODUCT(Calc!$K$3:$K$22*(Calc!$G$3:$G$22&gt;A2647)*(Calc!$G$3:$G$22-A2647)^2)</f>
        <v/>
      </c>
      <c r="J2647">
        <f>SUMPRODUCT(Calc!$K$3:$K$22*(Calc!$G$3:$G$22&gt;B2647)*(Calc!$G$3:$G$22-B2647)^2)</f>
        <v/>
      </c>
      <c r="K2647">
        <f>SUMPRODUCT(Calc!$K$3:$K$22*(Calc!$G$3:$G$22&gt;A2647)*(Calc!$G$3:$G$22-A2647)*(Calc!$G$3:$G$22&gt;B2647)*(Calc!$G$3:$G$22-B2647))</f>
        <v/>
      </c>
      <c r="L2647">
        <f>SUMPRODUCT(Calc!$K$3:$K$22*(Calc!$G$3:$G$22&gt;A2647)*(Calc!$G$3:$G$22-A2647)*Calc!$G$3:$G$22)</f>
        <v/>
      </c>
      <c r="M2647">
        <f>SUMPRODUCT(Calc!$K$3:$K$22*(Calc!$G$3:$G$22&gt;B2647)*(Calc!$G$3:$G$22-B2647)*Calc!$G$3:$G$22)</f>
        <v/>
      </c>
      <c r="N2647">
        <f>SUMPRODUCT(Calc!$K$3:$K$22*(Calc!$G$3:$G$22&gt;A2647)*(Calc!$G$3:$G$22-A2647)*Calc!$I$3:$I$22)</f>
        <v/>
      </c>
      <c r="O2647">
        <f>SUMPRODUCT(Calc!$K$3:$K$22*(Calc!$G$3:$G$22&gt;B2647)*(Calc!$G$3:$G$22-B2647)*Calc!$I$3:$I$22)</f>
        <v/>
      </c>
      <c r="P2647">
        <f>I2647-G2647^2/k_n</f>
        <v/>
      </c>
      <c r="Q2647">
        <f>J2647-H2647^2/k_n</f>
        <v/>
      </c>
      <c r="R2647">
        <f>K2647-G2647*H2647/k_n</f>
        <v/>
      </c>
      <c r="S2647">
        <f>L2647-LTP3!$D$3*G2647/k_n</f>
        <v/>
      </c>
      <c r="T2647">
        <f>M2647-LTP3!$D$3*H2647/k_n</f>
        <v/>
      </c>
      <c r="U2647">
        <f>N2647-G2647*LTP3!$D$4/k_n</f>
        <v/>
      </c>
      <c r="V2647">
        <f>O2647-H2647*LTP3!$D$4/k_n</f>
        <v/>
      </c>
      <c r="W2647">
        <f>((LTP3!$D$5)*((P2647)*(Q2647)-(R2647)*(R2647))-(S2647)*((S2647)*(Q2647)-(R2647)*(T2647))+(T2647)*((S2647)*(R2647)-(P2647)*(T2647)))</f>
        <v/>
      </c>
      <c r="X2647">
        <f>IF(ABS(W2647)&gt;1E-12,((LTP3!$D$6)*((P2647)*(Q2647)-(R2647)*(R2647))-(S2647)*((U2647)*(Q2647)-(R2647)*(V2647))+(T2647)*((U2647)*(R2647)-(P2647)*(V2647)))/W2647,0)</f>
        <v/>
      </c>
      <c r="Y2647">
        <f>IF(ABS(W2647)&gt;1E-12,((LTP3!$D$5)*((U2647)*(Q2647)-(R2647)*(V2647))-(LTP3!$D$6)*((S2647)*(Q2647)-(R2647)*(T2647))+(T2647)*((S2647)*(V2647)-(U2647)*(T2647)))/W2647,0)</f>
        <v/>
      </c>
      <c r="Z2647">
        <f>IF(ABS(W2647)&gt;1E-12,((LTP3!$D$5)*((P2647)*(V2647)-(U2647)*(R2647))-(S2647)*((S2647)*(V2647)-(U2647)*(T2647))+(LTP3!$D$6)*((S2647)*(R2647)-(P2647)*(T2647)))/W2647,0)</f>
        <v/>
      </c>
      <c r="AA2647">
        <f>LTP3!$D$7-X2647*LTP3!$D$6-Y2647*U2647-Z2647*V2647</f>
        <v/>
      </c>
      <c r="AB2647">
        <f>IF(AND(F2647,ABS(W2647)&gt;1E-12,Y2647&gt;0,Z2647&gt;0),AA2647,1E+300)</f>
        <v/>
      </c>
    </row>
    <row r="2648">
      <c r="A2648">
        <f>$B$3+$B$5*43</f>
        <v/>
      </c>
      <c r="B2648">
        <f>$B$3+$B$5*13</f>
        <v/>
      </c>
      <c r="C2648">
        <f>SUMPRODUCT(Calc!$K$3:$K$22*(Calc!$G$3:$G$22&lt;=A2648))</f>
        <v/>
      </c>
      <c r="D2648">
        <f>SUMPRODUCT(Calc!$K$3:$K$22*(Calc!$G$3:$G$22&gt;A2648)*(Calc!$G$3:$G$22&lt;B2648))</f>
        <v/>
      </c>
      <c r="E2648">
        <f>SUMPRODUCT(Calc!$K$3:$K$22*(Calc!$G$3:$G$22&gt;=B2648))</f>
        <v/>
      </c>
      <c r="F2648">
        <f>AND(k_n&gt;=5,B2648&gt;A2648+1E-9,C2648&gt;=2,D2648&gt;=1,E2648&gt;=2)</f>
        <v/>
      </c>
      <c r="G2648">
        <f>SUMPRODUCT(Calc!$K$3:$K$22*(Calc!$G$3:$G$22&gt;A2648)*(Calc!$G$3:$G$22-A2648))</f>
        <v/>
      </c>
      <c r="H2648">
        <f>SUMPRODUCT(Calc!$K$3:$K$22*(Calc!$G$3:$G$22&gt;B2648)*(Calc!$G$3:$G$22-B2648))</f>
        <v/>
      </c>
      <c r="I2648">
        <f>SUMPRODUCT(Calc!$K$3:$K$22*(Calc!$G$3:$G$22&gt;A2648)*(Calc!$G$3:$G$22-A2648)^2)</f>
        <v/>
      </c>
      <c r="J2648">
        <f>SUMPRODUCT(Calc!$K$3:$K$22*(Calc!$G$3:$G$22&gt;B2648)*(Calc!$G$3:$G$22-B2648)^2)</f>
        <v/>
      </c>
      <c r="K2648">
        <f>SUMPRODUCT(Calc!$K$3:$K$22*(Calc!$G$3:$G$22&gt;A2648)*(Calc!$G$3:$G$22-A2648)*(Calc!$G$3:$G$22&gt;B2648)*(Calc!$G$3:$G$22-B2648))</f>
        <v/>
      </c>
      <c r="L2648">
        <f>SUMPRODUCT(Calc!$K$3:$K$22*(Calc!$G$3:$G$22&gt;A2648)*(Calc!$G$3:$G$22-A2648)*Calc!$G$3:$G$22)</f>
        <v/>
      </c>
      <c r="M2648">
        <f>SUMPRODUCT(Calc!$K$3:$K$22*(Calc!$G$3:$G$22&gt;B2648)*(Calc!$G$3:$G$22-B2648)*Calc!$G$3:$G$22)</f>
        <v/>
      </c>
      <c r="N2648">
        <f>SUMPRODUCT(Calc!$K$3:$K$22*(Calc!$G$3:$G$22&gt;A2648)*(Calc!$G$3:$G$22-A2648)*Calc!$I$3:$I$22)</f>
        <v/>
      </c>
      <c r="O2648">
        <f>SUMPRODUCT(Calc!$K$3:$K$22*(Calc!$G$3:$G$22&gt;B2648)*(Calc!$G$3:$G$22-B2648)*Calc!$I$3:$I$22)</f>
        <v/>
      </c>
      <c r="P2648">
        <f>I2648-G2648^2/k_n</f>
        <v/>
      </c>
      <c r="Q2648">
        <f>J2648-H2648^2/k_n</f>
        <v/>
      </c>
      <c r="R2648">
        <f>K2648-G2648*H2648/k_n</f>
        <v/>
      </c>
      <c r="S2648">
        <f>L2648-LTP3!$D$3*G2648/k_n</f>
        <v/>
      </c>
      <c r="T2648">
        <f>M2648-LTP3!$D$3*H2648/k_n</f>
        <v/>
      </c>
      <c r="U2648">
        <f>N2648-G2648*LTP3!$D$4/k_n</f>
        <v/>
      </c>
      <c r="V2648">
        <f>O2648-H2648*LTP3!$D$4/k_n</f>
        <v/>
      </c>
      <c r="W2648">
        <f>((LTP3!$D$5)*((P2648)*(Q2648)-(R2648)*(R2648))-(S2648)*((S2648)*(Q2648)-(R2648)*(T2648))+(T2648)*((S2648)*(R2648)-(P2648)*(T2648)))</f>
        <v/>
      </c>
      <c r="X2648">
        <f>IF(ABS(W2648)&gt;1E-12,((LTP3!$D$6)*((P2648)*(Q2648)-(R2648)*(R2648))-(S2648)*((U2648)*(Q2648)-(R2648)*(V2648))+(T2648)*((U2648)*(R2648)-(P2648)*(V2648)))/W2648,0)</f>
        <v/>
      </c>
      <c r="Y2648">
        <f>IF(ABS(W2648)&gt;1E-12,((LTP3!$D$5)*((U2648)*(Q2648)-(R2648)*(V2648))-(LTP3!$D$6)*((S2648)*(Q2648)-(R2648)*(T2648))+(T2648)*((S2648)*(V2648)-(U2648)*(T2648)))/W2648,0)</f>
        <v/>
      </c>
      <c r="Z2648">
        <f>IF(ABS(W2648)&gt;1E-12,((LTP3!$D$5)*((P2648)*(V2648)-(U2648)*(R2648))-(S2648)*((S2648)*(V2648)-(U2648)*(T2648))+(LTP3!$D$6)*((S2648)*(R2648)-(P2648)*(T2648)))/W2648,0)</f>
        <v/>
      </c>
      <c r="AA2648">
        <f>LTP3!$D$7-X2648*LTP3!$D$6-Y2648*U2648-Z2648*V2648</f>
        <v/>
      </c>
      <c r="AB2648">
        <f>IF(AND(F2648,ABS(W2648)&gt;1E-12,Y2648&gt;0,Z2648&gt;0),AA2648,1E+300)</f>
        <v/>
      </c>
    </row>
    <row r="2649">
      <c r="A2649">
        <f>$B$3+$B$5*43</f>
        <v/>
      </c>
      <c r="B2649">
        <f>$B$3+$B$5*14</f>
        <v/>
      </c>
      <c r="C2649">
        <f>SUMPRODUCT(Calc!$K$3:$K$22*(Calc!$G$3:$G$22&lt;=A2649))</f>
        <v/>
      </c>
      <c r="D2649">
        <f>SUMPRODUCT(Calc!$K$3:$K$22*(Calc!$G$3:$G$22&gt;A2649)*(Calc!$G$3:$G$22&lt;B2649))</f>
        <v/>
      </c>
      <c r="E2649">
        <f>SUMPRODUCT(Calc!$K$3:$K$22*(Calc!$G$3:$G$22&gt;=B2649))</f>
        <v/>
      </c>
      <c r="F2649">
        <f>AND(k_n&gt;=5,B2649&gt;A2649+1E-9,C2649&gt;=2,D2649&gt;=1,E2649&gt;=2)</f>
        <v/>
      </c>
      <c r="G2649">
        <f>SUMPRODUCT(Calc!$K$3:$K$22*(Calc!$G$3:$G$22&gt;A2649)*(Calc!$G$3:$G$22-A2649))</f>
        <v/>
      </c>
      <c r="H2649">
        <f>SUMPRODUCT(Calc!$K$3:$K$22*(Calc!$G$3:$G$22&gt;B2649)*(Calc!$G$3:$G$22-B2649))</f>
        <v/>
      </c>
      <c r="I2649">
        <f>SUMPRODUCT(Calc!$K$3:$K$22*(Calc!$G$3:$G$22&gt;A2649)*(Calc!$G$3:$G$22-A2649)^2)</f>
        <v/>
      </c>
      <c r="J2649">
        <f>SUMPRODUCT(Calc!$K$3:$K$22*(Calc!$G$3:$G$22&gt;B2649)*(Calc!$G$3:$G$22-B2649)^2)</f>
        <v/>
      </c>
      <c r="K2649">
        <f>SUMPRODUCT(Calc!$K$3:$K$22*(Calc!$G$3:$G$22&gt;A2649)*(Calc!$G$3:$G$22-A2649)*(Calc!$G$3:$G$22&gt;B2649)*(Calc!$G$3:$G$22-B2649))</f>
        <v/>
      </c>
      <c r="L2649">
        <f>SUMPRODUCT(Calc!$K$3:$K$22*(Calc!$G$3:$G$22&gt;A2649)*(Calc!$G$3:$G$22-A2649)*Calc!$G$3:$G$22)</f>
        <v/>
      </c>
      <c r="M2649">
        <f>SUMPRODUCT(Calc!$K$3:$K$22*(Calc!$G$3:$G$22&gt;B2649)*(Calc!$G$3:$G$22-B2649)*Calc!$G$3:$G$22)</f>
        <v/>
      </c>
      <c r="N2649">
        <f>SUMPRODUCT(Calc!$K$3:$K$22*(Calc!$G$3:$G$22&gt;A2649)*(Calc!$G$3:$G$22-A2649)*Calc!$I$3:$I$22)</f>
        <v/>
      </c>
      <c r="O2649">
        <f>SUMPRODUCT(Calc!$K$3:$K$22*(Calc!$G$3:$G$22&gt;B2649)*(Calc!$G$3:$G$22-B2649)*Calc!$I$3:$I$22)</f>
        <v/>
      </c>
      <c r="P2649">
        <f>I2649-G2649^2/k_n</f>
        <v/>
      </c>
      <c r="Q2649">
        <f>J2649-H2649^2/k_n</f>
        <v/>
      </c>
      <c r="R2649">
        <f>K2649-G2649*H2649/k_n</f>
        <v/>
      </c>
      <c r="S2649">
        <f>L2649-LTP3!$D$3*G2649/k_n</f>
        <v/>
      </c>
      <c r="T2649">
        <f>M2649-LTP3!$D$3*H2649/k_n</f>
        <v/>
      </c>
      <c r="U2649">
        <f>N2649-G2649*LTP3!$D$4/k_n</f>
        <v/>
      </c>
      <c r="V2649">
        <f>O2649-H2649*LTP3!$D$4/k_n</f>
        <v/>
      </c>
      <c r="W2649">
        <f>((LTP3!$D$5)*((P2649)*(Q2649)-(R2649)*(R2649))-(S2649)*((S2649)*(Q2649)-(R2649)*(T2649))+(T2649)*((S2649)*(R2649)-(P2649)*(T2649)))</f>
        <v/>
      </c>
      <c r="X2649">
        <f>IF(ABS(W2649)&gt;1E-12,((LTP3!$D$6)*((P2649)*(Q2649)-(R2649)*(R2649))-(S2649)*((U2649)*(Q2649)-(R2649)*(V2649))+(T2649)*((U2649)*(R2649)-(P2649)*(V2649)))/W2649,0)</f>
        <v/>
      </c>
      <c r="Y2649">
        <f>IF(ABS(W2649)&gt;1E-12,((LTP3!$D$5)*((U2649)*(Q2649)-(R2649)*(V2649))-(LTP3!$D$6)*((S2649)*(Q2649)-(R2649)*(T2649))+(T2649)*((S2649)*(V2649)-(U2649)*(T2649)))/W2649,0)</f>
        <v/>
      </c>
      <c r="Z2649">
        <f>IF(ABS(W2649)&gt;1E-12,((LTP3!$D$5)*((P2649)*(V2649)-(U2649)*(R2649))-(S2649)*((S2649)*(V2649)-(U2649)*(T2649))+(LTP3!$D$6)*((S2649)*(R2649)-(P2649)*(T2649)))/W2649,0)</f>
        <v/>
      </c>
      <c r="AA2649">
        <f>LTP3!$D$7-X2649*LTP3!$D$6-Y2649*U2649-Z2649*V2649</f>
        <v/>
      </c>
      <c r="AB2649">
        <f>IF(AND(F2649,ABS(W2649)&gt;1E-12,Y2649&gt;0,Z2649&gt;0),AA2649,1E+300)</f>
        <v/>
      </c>
    </row>
    <row r="2650">
      <c r="A2650">
        <f>$B$3+$B$5*43</f>
        <v/>
      </c>
      <c r="B2650">
        <f>$B$3+$B$5*15</f>
        <v/>
      </c>
      <c r="C2650">
        <f>SUMPRODUCT(Calc!$K$3:$K$22*(Calc!$G$3:$G$22&lt;=A2650))</f>
        <v/>
      </c>
      <c r="D2650">
        <f>SUMPRODUCT(Calc!$K$3:$K$22*(Calc!$G$3:$G$22&gt;A2650)*(Calc!$G$3:$G$22&lt;B2650))</f>
        <v/>
      </c>
      <c r="E2650">
        <f>SUMPRODUCT(Calc!$K$3:$K$22*(Calc!$G$3:$G$22&gt;=B2650))</f>
        <v/>
      </c>
      <c r="F2650">
        <f>AND(k_n&gt;=5,B2650&gt;A2650+1E-9,C2650&gt;=2,D2650&gt;=1,E2650&gt;=2)</f>
        <v/>
      </c>
      <c r="G2650">
        <f>SUMPRODUCT(Calc!$K$3:$K$22*(Calc!$G$3:$G$22&gt;A2650)*(Calc!$G$3:$G$22-A2650))</f>
        <v/>
      </c>
      <c r="H2650">
        <f>SUMPRODUCT(Calc!$K$3:$K$22*(Calc!$G$3:$G$22&gt;B2650)*(Calc!$G$3:$G$22-B2650))</f>
        <v/>
      </c>
      <c r="I2650">
        <f>SUMPRODUCT(Calc!$K$3:$K$22*(Calc!$G$3:$G$22&gt;A2650)*(Calc!$G$3:$G$22-A2650)^2)</f>
        <v/>
      </c>
      <c r="J2650">
        <f>SUMPRODUCT(Calc!$K$3:$K$22*(Calc!$G$3:$G$22&gt;B2650)*(Calc!$G$3:$G$22-B2650)^2)</f>
        <v/>
      </c>
      <c r="K2650">
        <f>SUMPRODUCT(Calc!$K$3:$K$22*(Calc!$G$3:$G$22&gt;A2650)*(Calc!$G$3:$G$22-A2650)*(Calc!$G$3:$G$22&gt;B2650)*(Calc!$G$3:$G$22-B2650))</f>
        <v/>
      </c>
      <c r="L2650">
        <f>SUMPRODUCT(Calc!$K$3:$K$22*(Calc!$G$3:$G$22&gt;A2650)*(Calc!$G$3:$G$22-A2650)*Calc!$G$3:$G$22)</f>
        <v/>
      </c>
      <c r="M2650">
        <f>SUMPRODUCT(Calc!$K$3:$K$22*(Calc!$G$3:$G$22&gt;B2650)*(Calc!$G$3:$G$22-B2650)*Calc!$G$3:$G$22)</f>
        <v/>
      </c>
      <c r="N2650">
        <f>SUMPRODUCT(Calc!$K$3:$K$22*(Calc!$G$3:$G$22&gt;A2650)*(Calc!$G$3:$G$22-A2650)*Calc!$I$3:$I$22)</f>
        <v/>
      </c>
      <c r="O2650">
        <f>SUMPRODUCT(Calc!$K$3:$K$22*(Calc!$G$3:$G$22&gt;B2650)*(Calc!$G$3:$G$22-B2650)*Calc!$I$3:$I$22)</f>
        <v/>
      </c>
      <c r="P2650">
        <f>I2650-G2650^2/k_n</f>
        <v/>
      </c>
      <c r="Q2650">
        <f>J2650-H2650^2/k_n</f>
        <v/>
      </c>
      <c r="R2650">
        <f>K2650-G2650*H2650/k_n</f>
        <v/>
      </c>
      <c r="S2650">
        <f>L2650-LTP3!$D$3*G2650/k_n</f>
        <v/>
      </c>
      <c r="T2650">
        <f>M2650-LTP3!$D$3*H2650/k_n</f>
        <v/>
      </c>
      <c r="U2650">
        <f>N2650-G2650*LTP3!$D$4/k_n</f>
        <v/>
      </c>
      <c r="V2650">
        <f>O2650-H2650*LTP3!$D$4/k_n</f>
        <v/>
      </c>
      <c r="W2650">
        <f>((LTP3!$D$5)*((P2650)*(Q2650)-(R2650)*(R2650))-(S2650)*((S2650)*(Q2650)-(R2650)*(T2650))+(T2650)*((S2650)*(R2650)-(P2650)*(T2650)))</f>
        <v/>
      </c>
      <c r="X2650">
        <f>IF(ABS(W2650)&gt;1E-12,((LTP3!$D$6)*((P2650)*(Q2650)-(R2650)*(R2650))-(S2650)*((U2650)*(Q2650)-(R2650)*(V2650))+(T2650)*((U2650)*(R2650)-(P2650)*(V2650)))/W2650,0)</f>
        <v/>
      </c>
      <c r="Y2650">
        <f>IF(ABS(W2650)&gt;1E-12,((LTP3!$D$5)*((U2650)*(Q2650)-(R2650)*(V2650))-(LTP3!$D$6)*((S2650)*(Q2650)-(R2650)*(T2650))+(T2650)*((S2650)*(V2650)-(U2650)*(T2650)))/W2650,0)</f>
        <v/>
      </c>
      <c r="Z2650">
        <f>IF(ABS(W2650)&gt;1E-12,((LTP3!$D$5)*((P2650)*(V2650)-(U2650)*(R2650))-(S2650)*((S2650)*(V2650)-(U2650)*(T2650))+(LTP3!$D$6)*((S2650)*(R2650)-(P2650)*(T2650)))/W2650,0)</f>
        <v/>
      </c>
      <c r="AA2650">
        <f>LTP3!$D$7-X2650*LTP3!$D$6-Y2650*U2650-Z2650*V2650</f>
        <v/>
      </c>
      <c r="AB2650">
        <f>IF(AND(F2650,ABS(W2650)&gt;1E-12,Y2650&gt;0,Z2650&gt;0),AA2650,1E+300)</f>
        <v/>
      </c>
    </row>
    <row r="2651">
      <c r="A2651">
        <f>$B$3+$B$5*43</f>
        <v/>
      </c>
      <c r="B2651">
        <f>$B$3+$B$5*16</f>
        <v/>
      </c>
      <c r="C2651">
        <f>SUMPRODUCT(Calc!$K$3:$K$22*(Calc!$G$3:$G$22&lt;=A2651))</f>
        <v/>
      </c>
      <c r="D2651">
        <f>SUMPRODUCT(Calc!$K$3:$K$22*(Calc!$G$3:$G$22&gt;A2651)*(Calc!$G$3:$G$22&lt;B2651))</f>
        <v/>
      </c>
      <c r="E2651">
        <f>SUMPRODUCT(Calc!$K$3:$K$22*(Calc!$G$3:$G$22&gt;=B2651))</f>
        <v/>
      </c>
      <c r="F2651">
        <f>AND(k_n&gt;=5,B2651&gt;A2651+1E-9,C2651&gt;=2,D2651&gt;=1,E2651&gt;=2)</f>
        <v/>
      </c>
      <c r="G2651">
        <f>SUMPRODUCT(Calc!$K$3:$K$22*(Calc!$G$3:$G$22&gt;A2651)*(Calc!$G$3:$G$22-A2651))</f>
        <v/>
      </c>
      <c r="H2651">
        <f>SUMPRODUCT(Calc!$K$3:$K$22*(Calc!$G$3:$G$22&gt;B2651)*(Calc!$G$3:$G$22-B2651))</f>
        <v/>
      </c>
      <c r="I2651">
        <f>SUMPRODUCT(Calc!$K$3:$K$22*(Calc!$G$3:$G$22&gt;A2651)*(Calc!$G$3:$G$22-A2651)^2)</f>
        <v/>
      </c>
      <c r="J2651">
        <f>SUMPRODUCT(Calc!$K$3:$K$22*(Calc!$G$3:$G$22&gt;B2651)*(Calc!$G$3:$G$22-B2651)^2)</f>
        <v/>
      </c>
      <c r="K2651">
        <f>SUMPRODUCT(Calc!$K$3:$K$22*(Calc!$G$3:$G$22&gt;A2651)*(Calc!$G$3:$G$22-A2651)*(Calc!$G$3:$G$22&gt;B2651)*(Calc!$G$3:$G$22-B2651))</f>
        <v/>
      </c>
      <c r="L2651">
        <f>SUMPRODUCT(Calc!$K$3:$K$22*(Calc!$G$3:$G$22&gt;A2651)*(Calc!$G$3:$G$22-A2651)*Calc!$G$3:$G$22)</f>
        <v/>
      </c>
      <c r="M2651">
        <f>SUMPRODUCT(Calc!$K$3:$K$22*(Calc!$G$3:$G$22&gt;B2651)*(Calc!$G$3:$G$22-B2651)*Calc!$G$3:$G$22)</f>
        <v/>
      </c>
      <c r="N2651">
        <f>SUMPRODUCT(Calc!$K$3:$K$22*(Calc!$G$3:$G$22&gt;A2651)*(Calc!$G$3:$G$22-A2651)*Calc!$I$3:$I$22)</f>
        <v/>
      </c>
      <c r="O2651">
        <f>SUMPRODUCT(Calc!$K$3:$K$22*(Calc!$G$3:$G$22&gt;B2651)*(Calc!$G$3:$G$22-B2651)*Calc!$I$3:$I$22)</f>
        <v/>
      </c>
      <c r="P2651">
        <f>I2651-G2651^2/k_n</f>
        <v/>
      </c>
      <c r="Q2651">
        <f>J2651-H2651^2/k_n</f>
        <v/>
      </c>
      <c r="R2651">
        <f>K2651-G2651*H2651/k_n</f>
        <v/>
      </c>
      <c r="S2651">
        <f>L2651-LTP3!$D$3*G2651/k_n</f>
        <v/>
      </c>
      <c r="T2651">
        <f>M2651-LTP3!$D$3*H2651/k_n</f>
        <v/>
      </c>
      <c r="U2651">
        <f>N2651-G2651*LTP3!$D$4/k_n</f>
        <v/>
      </c>
      <c r="V2651">
        <f>O2651-H2651*LTP3!$D$4/k_n</f>
        <v/>
      </c>
      <c r="W2651">
        <f>((LTP3!$D$5)*((P2651)*(Q2651)-(R2651)*(R2651))-(S2651)*((S2651)*(Q2651)-(R2651)*(T2651))+(T2651)*((S2651)*(R2651)-(P2651)*(T2651)))</f>
        <v/>
      </c>
      <c r="X2651">
        <f>IF(ABS(W2651)&gt;1E-12,((LTP3!$D$6)*((P2651)*(Q2651)-(R2651)*(R2651))-(S2651)*((U2651)*(Q2651)-(R2651)*(V2651))+(T2651)*((U2651)*(R2651)-(P2651)*(V2651)))/W2651,0)</f>
        <v/>
      </c>
      <c r="Y2651">
        <f>IF(ABS(W2651)&gt;1E-12,((LTP3!$D$5)*((U2651)*(Q2651)-(R2651)*(V2651))-(LTP3!$D$6)*((S2651)*(Q2651)-(R2651)*(T2651))+(T2651)*((S2651)*(V2651)-(U2651)*(T2651)))/W2651,0)</f>
        <v/>
      </c>
      <c r="Z2651">
        <f>IF(ABS(W2651)&gt;1E-12,((LTP3!$D$5)*((P2651)*(V2651)-(U2651)*(R2651))-(S2651)*((S2651)*(V2651)-(U2651)*(T2651))+(LTP3!$D$6)*((S2651)*(R2651)-(P2651)*(T2651)))/W2651,0)</f>
        <v/>
      </c>
      <c r="AA2651">
        <f>LTP3!$D$7-X2651*LTP3!$D$6-Y2651*U2651-Z2651*V2651</f>
        <v/>
      </c>
      <c r="AB2651">
        <f>IF(AND(F2651,ABS(W2651)&gt;1E-12,Y2651&gt;0,Z2651&gt;0),AA2651,1E+300)</f>
        <v/>
      </c>
    </row>
    <row r="2652">
      <c r="A2652">
        <f>$B$3+$B$5*43</f>
        <v/>
      </c>
      <c r="B2652">
        <f>$B$3+$B$5*17</f>
        <v/>
      </c>
      <c r="C2652">
        <f>SUMPRODUCT(Calc!$K$3:$K$22*(Calc!$G$3:$G$22&lt;=A2652))</f>
        <v/>
      </c>
      <c r="D2652">
        <f>SUMPRODUCT(Calc!$K$3:$K$22*(Calc!$G$3:$G$22&gt;A2652)*(Calc!$G$3:$G$22&lt;B2652))</f>
        <v/>
      </c>
      <c r="E2652">
        <f>SUMPRODUCT(Calc!$K$3:$K$22*(Calc!$G$3:$G$22&gt;=B2652))</f>
        <v/>
      </c>
      <c r="F2652">
        <f>AND(k_n&gt;=5,B2652&gt;A2652+1E-9,C2652&gt;=2,D2652&gt;=1,E2652&gt;=2)</f>
        <v/>
      </c>
      <c r="G2652">
        <f>SUMPRODUCT(Calc!$K$3:$K$22*(Calc!$G$3:$G$22&gt;A2652)*(Calc!$G$3:$G$22-A2652))</f>
        <v/>
      </c>
      <c r="H2652">
        <f>SUMPRODUCT(Calc!$K$3:$K$22*(Calc!$G$3:$G$22&gt;B2652)*(Calc!$G$3:$G$22-B2652))</f>
        <v/>
      </c>
      <c r="I2652">
        <f>SUMPRODUCT(Calc!$K$3:$K$22*(Calc!$G$3:$G$22&gt;A2652)*(Calc!$G$3:$G$22-A2652)^2)</f>
        <v/>
      </c>
      <c r="J2652">
        <f>SUMPRODUCT(Calc!$K$3:$K$22*(Calc!$G$3:$G$22&gt;B2652)*(Calc!$G$3:$G$22-B2652)^2)</f>
        <v/>
      </c>
      <c r="K2652">
        <f>SUMPRODUCT(Calc!$K$3:$K$22*(Calc!$G$3:$G$22&gt;A2652)*(Calc!$G$3:$G$22-A2652)*(Calc!$G$3:$G$22&gt;B2652)*(Calc!$G$3:$G$22-B2652))</f>
        <v/>
      </c>
      <c r="L2652">
        <f>SUMPRODUCT(Calc!$K$3:$K$22*(Calc!$G$3:$G$22&gt;A2652)*(Calc!$G$3:$G$22-A2652)*Calc!$G$3:$G$22)</f>
        <v/>
      </c>
      <c r="M2652">
        <f>SUMPRODUCT(Calc!$K$3:$K$22*(Calc!$G$3:$G$22&gt;B2652)*(Calc!$G$3:$G$22-B2652)*Calc!$G$3:$G$22)</f>
        <v/>
      </c>
      <c r="N2652">
        <f>SUMPRODUCT(Calc!$K$3:$K$22*(Calc!$G$3:$G$22&gt;A2652)*(Calc!$G$3:$G$22-A2652)*Calc!$I$3:$I$22)</f>
        <v/>
      </c>
      <c r="O2652">
        <f>SUMPRODUCT(Calc!$K$3:$K$22*(Calc!$G$3:$G$22&gt;B2652)*(Calc!$G$3:$G$22-B2652)*Calc!$I$3:$I$22)</f>
        <v/>
      </c>
      <c r="P2652">
        <f>I2652-G2652^2/k_n</f>
        <v/>
      </c>
      <c r="Q2652">
        <f>J2652-H2652^2/k_n</f>
        <v/>
      </c>
      <c r="R2652">
        <f>K2652-G2652*H2652/k_n</f>
        <v/>
      </c>
      <c r="S2652">
        <f>L2652-LTP3!$D$3*G2652/k_n</f>
        <v/>
      </c>
      <c r="T2652">
        <f>M2652-LTP3!$D$3*H2652/k_n</f>
        <v/>
      </c>
      <c r="U2652">
        <f>N2652-G2652*LTP3!$D$4/k_n</f>
        <v/>
      </c>
      <c r="V2652">
        <f>O2652-H2652*LTP3!$D$4/k_n</f>
        <v/>
      </c>
      <c r="W2652">
        <f>((LTP3!$D$5)*((P2652)*(Q2652)-(R2652)*(R2652))-(S2652)*((S2652)*(Q2652)-(R2652)*(T2652))+(T2652)*((S2652)*(R2652)-(P2652)*(T2652)))</f>
        <v/>
      </c>
      <c r="X2652">
        <f>IF(ABS(W2652)&gt;1E-12,((LTP3!$D$6)*((P2652)*(Q2652)-(R2652)*(R2652))-(S2652)*((U2652)*(Q2652)-(R2652)*(V2652))+(T2652)*((U2652)*(R2652)-(P2652)*(V2652)))/W2652,0)</f>
        <v/>
      </c>
      <c r="Y2652">
        <f>IF(ABS(W2652)&gt;1E-12,((LTP3!$D$5)*((U2652)*(Q2652)-(R2652)*(V2652))-(LTP3!$D$6)*((S2652)*(Q2652)-(R2652)*(T2652))+(T2652)*((S2652)*(V2652)-(U2652)*(T2652)))/W2652,0)</f>
        <v/>
      </c>
      <c r="Z2652">
        <f>IF(ABS(W2652)&gt;1E-12,((LTP3!$D$5)*((P2652)*(V2652)-(U2652)*(R2652))-(S2652)*((S2652)*(V2652)-(U2652)*(T2652))+(LTP3!$D$6)*((S2652)*(R2652)-(P2652)*(T2652)))/W2652,0)</f>
        <v/>
      </c>
      <c r="AA2652">
        <f>LTP3!$D$7-X2652*LTP3!$D$6-Y2652*U2652-Z2652*V2652</f>
        <v/>
      </c>
      <c r="AB2652">
        <f>IF(AND(F2652,ABS(W2652)&gt;1E-12,Y2652&gt;0,Z2652&gt;0),AA2652,1E+300)</f>
        <v/>
      </c>
    </row>
    <row r="2653">
      <c r="A2653">
        <f>$B$3+$B$5*43</f>
        <v/>
      </c>
      <c r="B2653">
        <f>$B$3+$B$5*18</f>
        <v/>
      </c>
      <c r="C2653">
        <f>SUMPRODUCT(Calc!$K$3:$K$22*(Calc!$G$3:$G$22&lt;=A2653))</f>
        <v/>
      </c>
      <c r="D2653">
        <f>SUMPRODUCT(Calc!$K$3:$K$22*(Calc!$G$3:$G$22&gt;A2653)*(Calc!$G$3:$G$22&lt;B2653))</f>
        <v/>
      </c>
      <c r="E2653">
        <f>SUMPRODUCT(Calc!$K$3:$K$22*(Calc!$G$3:$G$22&gt;=B2653))</f>
        <v/>
      </c>
      <c r="F2653">
        <f>AND(k_n&gt;=5,B2653&gt;A2653+1E-9,C2653&gt;=2,D2653&gt;=1,E2653&gt;=2)</f>
        <v/>
      </c>
      <c r="G2653">
        <f>SUMPRODUCT(Calc!$K$3:$K$22*(Calc!$G$3:$G$22&gt;A2653)*(Calc!$G$3:$G$22-A2653))</f>
        <v/>
      </c>
      <c r="H2653">
        <f>SUMPRODUCT(Calc!$K$3:$K$22*(Calc!$G$3:$G$22&gt;B2653)*(Calc!$G$3:$G$22-B2653))</f>
        <v/>
      </c>
      <c r="I2653">
        <f>SUMPRODUCT(Calc!$K$3:$K$22*(Calc!$G$3:$G$22&gt;A2653)*(Calc!$G$3:$G$22-A2653)^2)</f>
        <v/>
      </c>
      <c r="J2653">
        <f>SUMPRODUCT(Calc!$K$3:$K$22*(Calc!$G$3:$G$22&gt;B2653)*(Calc!$G$3:$G$22-B2653)^2)</f>
        <v/>
      </c>
      <c r="K2653">
        <f>SUMPRODUCT(Calc!$K$3:$K$22*(Calc!$G$3:$G$22&gt;A2653)*(Calc!$G$3:$G$22-A2653)*(Calc!$G$3:$G$22&gt;B2653)*(Calc!$G$3:$G$22-B2653))</f>
        <v/>
      </c>
      <c r="L2653">
        <f>SUMPRODUCT(Calc!$K$3:$K$22*(Calc!$G$3:$G$22&gt;A2653)*(Calc!$G$3:$G$22-A2653)*Calc!$G$3:$G$22)</f>
        <v/>
      </c>
      <c r="M2653">
        <f>SUMPRODUCT(Calc!$K$3:$K$22*(Calc!$G$3:$G$22&gt;B2653)*(Calc!$G$3:$G$22-B2653)*Calc!$G$3:$G$22)</f>
        <v/>
      </c>
      <c r="N2653">
        <f>SUMPRODUCT(Calc!$K$3:$K$22*(Calc!$G$3:$G$22&gt;A2653)*(Calc!$G$3:$G$22-A2653)*Calc!$I$3:$I$22)</f>
        <v/>
      </c>
      <c r="O2653">
        <f>SUMPRODUCT(Calc!$K$3:$K$22*(Calc!$G$3:$G$22&gt;B2653)*(Calc!$G$3:$G$22-B2653)*Calc!$I$3:$I$22)</f>
        <v/>
      </c>
      <c r="P2653">
        <f>I2653-G2653^2/k_n</f>
        <v/>
      </c>
      <c r="Q2653">
        <f>J2653-H2653^2/k_n</f>
        <v/>
      </c>
      <c r="R2653">
        <f>K2653-G2653*H2653/k_n</f>
        <v/>
      </c>
      <c r="S2653">
        <f>L2653-LTP3!$D$3*G2653/k_n</f>
        <v/>
      </c>
      <c r="T2653">
        <f>M2653-LTP3!$D$3*H2653/k_n</f>
        <v/>
      </c>
      <c r="U2653">
        <f>N2653-G2653*LTP3!$D$4/k_n</f>
        <v/>
      </c>
      <c r="V2653">
        <f>O2653-H2653*LTP3!$D$4/k_n</f>
        <v/>
      </c>
      <c r="W2653">
        <f>((LTP3!$D$5)*((P2653)*(Q2653)-(R2653)*(R2653))-(S2653)*((S2653)*(Q2653)-(R2653)*(T2653))+(T2653)*((S2653)*(R2653)-(P2653)*(T2653)))</f>
        <v/>
      </c>
      <c r="X2653">
        <f>IF(ABS(W2653)&gt;1E-12,((LTP3!$D$6)*((P2653)*(Q2653)-(R2653)*(R2653))-(S2653)*((U2653)*(Q2653)-(R2653)*(V2653))+(T2653)*((U2653)*(R2653)-(P2653)*(V2653)))/W2653,0)</f>
        <v/>
      </c>
      <c r="Y2653">
        <f>IF(ABS(W2653)&gt;1E-12,((LTP3!$D$5)*((U2653)*(Q2653)-(R2653)*(V2653))-(LTP3!$D$6)*((S2653)*(Q2653)-(R2653)*(T2653))+(T2653)*((S2653)*(V2653)-(U2653)*(T2653)))/W2653,0)</f>
        <v/>
      </c>
      <c r="Z2653">
        <f>IF(ABS(W2653)&gt;1E-12,((LTP3!$D$5)*((P2653)*(V2653)-(U2653)*(R2653))-(S2653)*((S2653)*(V2653)-(U2653)*(T2653))+(LTP3!$D$6)*((S2653)*(R2653)-(P2653)*(T2653)))/W2653,0)</f>
        <v/>
      </c>
      <c r="AA2653">
        <f>LTP3!$D$7-X2653*LTP3!$D$6-Y2653*U2653-Z2653*V2653</f>
        <v/>
      </c>
      <c r="AB2653">
        <f>IF(AND(F2653,ABS(W2653)&gt;1E-12,Y2653&gt;0,Z2653&gt;0),AA2653,1E+300)</f>
        <v/>
      </c>
    </row>
    <row r="2654">
      <c r="A2654">
        <f>$B$3+$B$5*43</f>
        <v/>
      </c>
      <c r="B2654">
        <f>$B$3+$B$5*19</f>
        <v/>
      </c>
      <c r="C2654">
        <f>SUMPRODUCT(Calc!$K$3:$K$22*(Calc!$G$3:$G$22&lt;=A2654))</f>
        <v/>
      </c>
      <c r="D2654">
        <f>SUMPRODUCT(Calc!$K$3:$K$22*(Calc!$G$3:$G$22&gt;A2654)*(Calc!$G$3:$G$22&lt;B2654))</f>
        <v/>
      </c>
      <c r="E2654">
        <f>SUMPRODUCT(Calc!$K$3:$K$22*(Calc!$G$3:$G$22&gt;=B2654))</f>
        <v/>
      </c>
      <c r="F2654">
        <f>AND(k_n&gt;=5,B2654&gt;A2654+1E-9,C2654&gt;=2,D2654&gt;=1,E2654&gt;=2)</f>
        <v/>
      </c>
      <c r="G2654">
        <f>SUMPRODUCT(Calc!$K$3:$K$22*(Calc!$G$3:$G$22&gt;A2654)*(Calc!$G$3:$G$22-A2654))</f>
        <v/>
      </c>
      <c r="H2654">
        <f>SUMPRODUCT(Calc!$K$3:$K$22*(Calc!$G$3:$G$22&gt;B2654)*(Calc!$G$3:$G$22-B2654))</f>
        <v/>
      </c>
      <c r="I2654">
        <f>SUMPRODUCT(Calc!$K$3:$K$22*(Calc!$G$3:$G$22&gt;A2654)*(Calc!$G$3:$G$22-A2654)^2)</f>
        <v/>
      </c>
      <c r="J2654">
        <f>SUMPRODUCT(Calc!$K$3:$K$22*(Calc!$G$3:$G$22&gt;B2654)*(Calc!$G$3:$G$22-B2654)^2)</f>
        <v/>
      </c>
      <c r="K2654">
        <f>SUMPRODUCT(Calc!$K$3:$K$22*(Calc!$G$3:$G$22&gt;A2654)*(Calc!$G$3:$G$22-A2654)*(Calc!$G$3:$G$22&gt;B2654)*(Calc!$G$3:$G$22-B2654))</f>
        <v/>
      </c>
      <c r="L2654">
        <f>SUMPRODUCT(Calc!$K$3:$K$22*(Calc!$G$3:$G$22&gt;A2654)*(Calc!$G$3:$G$22-A2654)*Calc!$G$3:$G$22)</f>
        <v/>
      </c>
      <c r="M2654">
        <f>SUMPRODUCT(Calc!$K$3:$K$22*(Calc!$G$3:$G$22&gt;B2654)*(Calc!$G$3:$G$22-B2654)*Calc!$G$3:$G$22)</f>
        <v/>
      </c>
      <c r="N2654">
        <f>SUMPRODUCT(Calc!$K$3:$K$22*(Calc!$G$3:$G$22&gt;A2654)*(Calc!$G$3:$G$22-A2654)*Calc!$I$3:$I$22)</f>
        <v/>
      </c>
      <c r="O2654">
        <f>SUMPRODUCT(Calc!$K$3:$K$22*(Calc!$G$3:$G$22&gt;B2654)*(Calc!$G$3:$G$22-B2654)*Calc!$I$3:$I$22)</f>
        <v/>
      </c>
      <c r="P2654">
        <f>I2654-G2654^2/k_n</f>
        <v/>
      </c>
      <c r="Q2654">
        <f>J2654-H2654^2/k_n</f>
        <v/>
      </c>
      <c r="R2654">
        <f>K2654-G2654*H2654/k_n</f>
        <v/>
      </c>
      <c r="S2654">
        <f>L2654-LTP3!$D$3*G2654/k_n</f>
        <v/>
      </c>
      <c r="T2654">
        <f>M2654-LTP3!$D$3*H2654/k_n</f>
        <v/>
      </c>
      <c r="U2654">
        <f>N2654-G2654*LTP3!$D$4/k_n</f>
        <v/>
      </c>
      <c r="V2654">
        <f>O2654-H2654*LTP3!$D$4/k_n</f>
        <v/>
      </c>
      <c r="W2654">
        <f>((LTP3!$D$5)*((P2654)*(Q2654)-(R2654)*(R2654))-(S2654)*((S2654)*(Q2654)-(R2654)*(T2654))+(T2654)*((S2654)*(R2654)-(P2654)*(T2654)))</f>
        <v/>
      </c>
      <c r="X2654">
        <f>IF(ABS(W2654)&gt;1E-12,((LTP3!$D$6)*((P2654)*(Q2654)-(R2654)*(R2654))-(S2654)*((U2654)*(Q2654)-(R2654)*(V2654))+(T2654)*((U2654)*(R2654)-(P2654)*(V2654)))/W2654,0)</f>
        <v/>
      </c>
      <c r="Y2654">
        <f>IF(ABS(W2654)&gt;1E-12,((LTP3!$D$5)*((U2654)*(Q2654)-(R2654)*(V2654))-(LTP3!$D$6)*((S2654)*(Q2654)-(R2654)*(T2654))+(T2654)*((S2654)*(V2654)-(U2654)*(T2654)))/W2654,0)</f>
        <v/>
      </c>
      <c r="Z2654">
        <f>IF(ABS(W2654)&gt;1E-12,((LTP3!$D$5)*((P2654)*(V2654)-(U2654)*(R2654))-(S2654)*((S2654)*(V2654)-(U2654)*(T2654))+(LTP3!$D$6)*((S2654)*(R2654)-(P2654)*(T2654)))/W2654,0)</f>
        <v/>
      </c>
      <c r="AA2654">
        <f>LTP3!$D$7-X2654*LTP3!$D$6-Y2654*U2654-Z2654*V2654</f>
        <v/>
      </c>
      <c r="AB2654">
        <f>IF(AND(F2654,ABS(W2654)&gt;1E-12,Y2654&gt;0,Z2654&gt;0),AA2654,1E+300)</f>
        <v/>
      </c>
    </row>
    <row r="2655">
      <c r="A2655">
        <f>$B$3+$B$5*43</f>
        <v/>
      </c>
      <c r="B2655">
        <f>$B$3+$B$5*20</f>
        <v/>
      </c>
      <c r="C2655">
        <f>SUMPRODUCT(Calc!$K$3:$K$22*(Calc!$G$3:$G$22&lt;=A2655))</f>
        <v/>
      </c>
      <c r="D2655">
        <f>SUMPRODUCT(Calc!$K$3:$K$22*(Calc!$G$3:$G$22&gt;A2655)*(Calc!$G$3:$G$22&lt;B2655))</f>
        <v/>
      </c>
      <c r="E2655">
        <f>SUMPRODUCT(Calc!$K$3:$K$22*(Calc!$G$3:$G$22&gt;=B2655))</f>
        <v/>
      </c>
      <c r="F2655">
        <f>AND(k_n&gt;=5,B2655&gt;A2655+1E-9,C2655&gt;=2,D2655&gt;=1,E2655&gt;=2)</f>
        <v/>
      </c>
      <c r="G2655">
        <f>SUMPRODUCT(Calc!$K$3:$K$22*(Calc!$G$3:$G$22&gt;A2655)*(Calc!$G$3:$G$22-A2655))</f>
        <v/>
      </c>
      <c r="H2655">
        <f>SUMPRODUCT(Calc!$K$3:$K$22*(Calc!$G$3:$G$22&gt;B2655)*(Calc!$G$3:$G$22-B2655))</f>
        <v/>
      </c>
      <c r="I2655">
        <f>SUMPRODUCT(Calc!$K$3:$K$22*(Calc!$G$3:$G$22&gt;A2655)*(Calc!$G$3:$G$22-A2655)^2)</f>
        <v/>
      </c>
      <c r="J2655">
        <f>SUMPRODUCT(Calc!$K$3:$K$22*(Calc!$G$3:$G$22&gt;B2655)*(Calc!$G$3:$G$22-B2655)^2)</f>
        <v/>
      </c>
      <c r="K2655">
        <f>SUMPRODUCT(Calc!$K$3:$K$22*(Calc!$G$3:$G$22&gt;A2655)*(Calc!$G$3:$G$22-A2655)*(Calc!$G$3:$G$22&gt;B2655)*(Calc!$G$3:$G$22-B2655))</f>
        <v/>
      </c>
      <c r="L2655">
        <f>SUMPRODUCT(Calc!$K$3:$K$22*(Calc!$G$3:$G$22&gt;A2655)*(Calc!$G$3:$G$22-A2655)*Calc!$G$3:$G$22)</f>
        <v/>
      </c>
      <c r="M2655">
        <f>SUMPRODUCT(Calc!$K$3:$K$22*(Calc!$G$3:$G$22&gt;B2655)*(Calc!$G$3:$G$22-B2655)*Calc!$G$3:$G$22)</f>
        <v/>
      </c>
      <c r="N2655">
        <f>SUMPRODUCT(Calc!$K$3:$K$22*(Calc!$G$3:$G$22&gt;A2655)*(Calc!$G$3:$G$22-A2655)*Calc!$I$3:$I$22)</f>
        <v/>
      </c>
      <c r="O2655">
        <f>SUMPRODUCT(Calc!$K$3:$K$22*(Calc!$G$3:$G$22&gt;B2655)*(Calc!$G$3:$G$22-B2655)*Calc!$I$3:$I$22)</f>
        <v/>
      </c>
      <c r="P2655">
        <f>I2655-G2655^2/k_n</f>
        <v/>
      </c>
      <c r="Q2655">
        <f>J2655-H2655^2/k_n</f>
        <v/>
      </c>
      <c r="R2655">
        <f>K2655-G2655*H2655/k_n</f>
        <v/>
      </c>
      <c r="S2655">
        <f>L2655-LTP3!$D$3*G2655/k_n</f>
        <v/>
      </c>
      <c r="T2655">
        <f>M2655-LTP3!$D$3*H2655/k_n</f>
        <v/>
      </c>
      <c r="U2655">
        <f>N2655-G2655*LTP3!$D$4/k_n</f>
        <v/>
      </c>
      <c r="V2655">
        <f>O2655-H2655*LTP3!$D$4/k_n</f>
        <v/>
      </c>
      <c r="W2655">
        <f>((LTP3!$D$5)*((P2655)*(Q2655)-(R2655)*(R2655))-(S2655)*((S2655)*(Q2655)-(R2655)*(T2655))+(T2655)*((S2655)*(R2655)-(P2655)*(T2655)))</f>
        <v/>
      </c>
      <c r="X2655">
        <f>IF(ABS(W2655)&gt;1E-12,((LTP3!$D$6)*((P2655)*(Q2655)-(R2655)*(R2655))-(S2655)*((U2655)*(Q2655)-(R2655)*(V2655))+(T2655)*((U2655)*(R2655)-(P2655)*(V2655)))/W2655,0)</f>
        <v/>
      </c>
      <c r="Y2655">
        <f>IF(ABS(W2655)&gt;1E-12,((LTP3!$D$5)*((U2655)*(Q2655)-(R2655)*(V2655))-(LTP3!$D$6)*((S2655)*(Q2655)-(R2655)*(T2655))+(T2655)*((S2655)*(V2655)-(U2655)*(T2655)))/W2655,0)</f>
        <v/>
      </c>
      <c r="Z2655">
        <f>IF(ABS(W2655)&gt;1E-12,((LTP3!$D$5)*((P2655)*(V2655)-(U2655)*(R2655))-(S2655)*((S2655)*(V2655)-(U2655)*(T2655))+(LTP3!$D$6)*((S2655)*(R2655)-(P2655)*(T2655)))/W2655,0)</f>
        <v/>
      </c>
      <c r="AA2655">
        <f>LTP3!$D$7-X2655*LTP3!$D$6-Y2655*U2655-Z2655*V2655</f>
        <v/>
      </c>
      <c r="AB2655">
        <f>IF(AND(F2655,ABS(W2655)&gt;1E-12,Y2655&gt;0,Z2655&gt;0),AA2655,1E+300)</f>
        <v/>
      </c>
    </row>
    <row r="2656">
      <c r="A2656">
        <f>$B$3+$B$5*43</f>
        <v/>
      </c>
      <c r="B2656">
        <f>$B$3+$B$5*21</f>
        <v/>
      </c>
      <c r="C2656">
        <f>SUMPRODUCT(Calc!$K$3:$K$22*(Calc!$G$3:$G$22&lt;=A2656))</f>
        <v/>
      </c>
      <c r="D2656">
        <f>SUMPRODUCT(Calc!$K$3:$K$22*(Calc!$G$3:$G$22&gt;A2656)*(Calc!$G$3:$G$22&lt;B2656))</f>
        <v/>
      </c>
      <c r="E2656">
        <f>SUMPRODUCT(Calc!$K$3:$K$22*(Calc!$G$3:$G$22&gt;=B2656))</f>
        <v/>
      </c>
      <c r="F2656">
        <f>AND(k_n&gt;=5,B2656&gt;A2656+1E-9,C2656&gt;=2,D2656&gt;=1,E2656&gt;=2)</f>
        <v/>
      </c>
      <c r="G2656">
        <f>SUMPRODUCT(Calc!$K$3:$K$22*(Calc!$G$3:$G$22&gt;A2656)*(Calc!$G$3:$G$22-A2656))</f>
        <v/>
      </c>
      <c r="H2656">
        <f>SUMPRODUCT(Calc!$K$3:$K$22*(Calc!$G$3:$G$22&gt;B2656)*(Calc!$G$3:$G$22-B2656))</f>
        <v/>
      </c>
      <c r="I2656">
        <f>SUMPRODUCT(Calc!$K$3:$K$22*(Calc!$G$3:$G$22&gt;A2656)*(Calc!$G$3:$G$22-A2656)^2)</f>
        <v/>
      </c>
      <c r="J2656">
        <f>SUMPRODUCT(Calc!$K$3:$K$22*(Calc!$G$3:$G$22&gt;B2656)*(Calc!$G$3:$G$22-B2656)^2)</f>
        <v/>
      </c>
      <c r="K2656">
        <f>SUMPRODUCT(Calc!$K$3:$K$22*(Calc!$G$3:$G$22&gt;A2656)*(Calc!$G$3:$G$22-A2656)*(Calc!$G$3:$G$22&gt;B2656)*(Calc!$G$3:$G$22-B2656))</f>
        <v/>
      </c>
      <c r="L2656">
        <f>SUMPRODUCT(Calc!$K$3:$K$22*(Calc!$G$3:$G$22&gt;A2656)*(Calc!$G$3:$G$22-A2656)*Calc!$G$3:$G$22)</f>
        <v/>
      </c>
      <c r="M2656">
        <f>SUMPRODUCT(Calc!$K$3:$K$22*(Calc!$G$3:$G$22&gt;B2656)*(Calc!$G$3:$G$22-B2656)*Calc!$G$3:$G$22)</f>
        <v/>
      </c>
      <c r="N2656">
        <f>SUMPRODUCT(Calc!$K$3:$K$22*(Calc!$G$3:$G$22&gt;A2656)*(Calc!$G$3:$G$22-A2656)*Calc!$I$3:$I$22)</f>
        <v/>
      </c>
      <c r="O2656">
        <f>SUMPRODUCT(Calc!$K$3:$K$22*(Calc!$G$3:$G$22&gt;B2656)*(Calc!$G$3:$G$22-B2656)*Calc!$I$3:$I$22)</f>
        <v/>
      </c>
      <c r="P2656">
        <f>I2656-G2656^2/k_n</f>
        <v/>
      </c>
      <c r="Q2656">
        <f>J2656-H2656^2/k_n</f>
        <v/>
      </c>
      <c r="R2656">
        <f>K2656-G2656*H2656/k_n</f>
        <v/>
      </c>
      <c r="S2656">
        <f>L2656-LTP3!$D$3*G2656/k_n</f>
        <v/>
      </c>
      <c r="T2656">
        <f>M2656-LTP3!$D$3*H2656/k_n</f>
        <v/>
      </c>
      <c r="U2656">
        <f>N2656-G2656*LTP3!$D$4/k_n</f>
        <v/>
      </c>
      <c r="V2656">
        <f>O2656-H2656*LTP3!$D$4/k_n</f>
        <v/>
      </c>
      <c r="W2656">
        <f>((LTP3!$D$5)*((P2656)*(Q2656)-(R2656)*(R2656))-(S2656)*((S2656)*(Q2656)-(R2656)*(T2656))+(T2656)*((S2656)*(R2656)-(P2656)*(T2656)))</f>
        <v/>
      </c>
      <c r="X2656">
        <f>IF(ABS(W2656)&gt;1E-12,((LTP3!$D$6)*((P2656)*(Q2656)-(R2656)*(R2656))-(S2656)*((U2656)*(Q2656)-(R2656)*(V2656))+(T2656)*((U2656)*(R2656)-(P2656)*(V2656)))/W2656,0)</f>
        <v/>
      </c>
      <c r="Y2656">
        <f>IF(ABS(W2656)&gt;1E-12,((LTP3!$D$5)*((U2656)*(Q2656)-(R2656)*(V2656))-(LTP3!$D$6)*((S2656)*(Q2656)-(R2656)*(T2656))+(T2656)*((S2656)*(V2656)-(U2656)*(T2656)))/W2656,0)</f>
        <v/>
      </c>
      <c r="Z2656">
        <f>IF(ABS(W2656)&gt;1E-12,((LTP3!$D$5)*((P2656)*(V2656)-(U2656)*(R2656))-(S2656)*((S2656)*(V2656)-(U2656)*(T2656))+(LTP3!$D$6)*((S2656)*(R2656)-(P2656)*(T2656)))/W2656,0)</f>
        <v/>
      </c>
      <c r="AA2656">
        <f>LTP3!$D$7-X2656*LTP3!$D$6-Y2656*U2656-Z2656*V2656</f>
        <v/>
      </c>
      <c r="AB2656">
        <f>IF(AND(F2656,ABS(W2656)&gt;1E-12,Y2656&gt;0,Z2656&gt;0),AA2656,1E+300)</f>
        <v/>
      </c>
    </row>
    <row r="2657">
      <c r="A2657">
        <f>$B$3+$B$5*43</f>
        <v/>
      </c>
      <c r="B2657">
        <f>$B$3+$B$5*22</f>
        <v/>
      </c>
      <c r="C2657">
        <f>SUMPRODUCT(Calc!$K$3:$K$22*(Calc!$G$3:$G$22&lt;=A2657))</f>
        <v/>
      </c>
      <c r="D2657">
        <f>SUMPRODUCT(Calc!$K$3:$K$22*(Calc!$G$3:$G$22&gt;A2657)*(Calc!$G$3:$G$22&lt;B2657))</f>
        <v/>
      </c>
      <c r="E2657">
        <f>SUMPRODUCT(Calc!$K$3:$K$22*(Calc!$G$3:$G$22&gt;=B2657))</f>
        <v/>
      </c>
      <c r="F2657">
        <f>AND(k_n&gt;=5,B2657&gt;A2657+1E-9,C2657&gt;=2,D2657&gt;=1,E2657&gt;=2)</f>
        <v/>
      </c>
      <c r="G2657">
        <f>SUMPRODUCT(Calc!$K$3:$K$22*(Calc!$G$3:$G$22&gt;A2657)*(Calc!$G$3:$G$22-A2657))</f>
        <v/>
      </c>
      <c r="H2657">
        <f>SUMPRODUCT(Calc!$K$3:$K$22*(Calc!$G$3:$G$22&gt;B2657)*(Calc!$G$3:$G$22-B2657))</f>
        <v/>
      </c>
      <c r="I2657">
        <f>SUMPRODUCT(Calc!$K$3:$K$22*(Calc!$G$3:$G$22&gt;A2657)*(Calc!$G$3:$G$22-A2657)^2)</f>
        <v/>
      </c>
      <c r="J2657">
        <f>SUMPRODUCT(Calc!$K$3:$K$22*(Calc!$G$3:$G$22&gt;B2657)*(Calc!$G$3:$G$22-B2657)^2)</f>
        <v/>
      </c>
      <c r="K2657">
        <f>SUMPRODUCT(Calc!$K$3:$K$22*(Calc!$G$3:$G$22&gt;A2657)*(Calc!$G$3:$G$22-A2657)*(Calc!$G$3:$G$22&gt;B2657)*(Calc!$G$3:$G$22-B2657))</f>
        <v/>
      </c>
      <c r="L2657">
        <f>SUMPRODUCT(Calc!$K$3:$K$22*(Calc!$G$3:$G$22&gt;A2657)*(Calc!$G$3:$G$22-A2657)*Calc!$G$3:$G$22)</f>
        <v/>
      </c>
      <c r="M2657">
        <f>SUMPRODUCT(Calc!$K$3:$K$22*(Calc!$G$3:$G$22&gt;B2657)*(Calc!$G$3:$G$22-B2657)*Calc!$G$3:$G$22)</f>
        <v/>
      </c>
      <c r="N2657">
        <f>SUMPRODUCT(Calc!$K$3:$K$22*(Calc!$G$3:$G$22&gt;A2657)*(Calc!$G$3:$G$22-A2657)*Calc!$I$3:$I$22)</f>
        <v/>
      </c>
      <c r="O2657">
        <f>SUMPRODUCT(Calc!$K$3:$K$22*(Calc!$G$3:$G$22&gt;B2657)*(Calc!$G$3:$G$22-B2657)*Calc!$I$3:$I$22)</f>
        <v/>
      </c>
      <c r="P2657">
        <f>I2657-G2657^2/k_n</f>
        <v/>
      </c>
      <c r="Q2657">
        <f>J2657-H2657^2/k_n</f>
        <v/>
      </c>
      <c r="R2657">
        <f>K2657-G2657*H2657/k_n</f>
        <v/>
      </c>
      <c r="S2657">
        <f>L2657-LTP3!$D$3*G2657/k_n</f>
        <v/>
      </c>
      <c r="T2657">
        <f>M2657-LTP3!$D$3*H2657/k_n</f>
        <v/>
      </c>
      <c r="U2657">
        <f>N2657-G2657*LTP3!$D$4/k_n</f>
        <v/>
      </c>
      <c r="V2657">
        <f>O2657-H2657*LTP3!$D$4/k_n</f>
        <v/>
      </c>
      <c r="W2657">
        <f>((LTP3!$D$5)*((P2657)*(Q2657)-(R2657)*(R2657))-(S2657)*((S2657)*(Q2657)-(R2657)*(T2657))+(T2657)*((S2657)*(R2657)-(P2657)*(T2657)))</f>
        <v/>
      </c>
      <c r="X2657">
        <f>IF(ABS(W2657)&gt;1E-12,((LTP3!$D$6)*((P2657)*(Q2657)-(R2657)*(R2657))-(S2657)*((U2657)*(Q2657)-(R2657)*(V2657))+(T2657)*((U2657)*(R2657)-(P2657)*(V2657)))/W2657,0)</f>
        <v/>
      </c>
      <c r="Y2657">
        <f>IF(ABS(W2657)&gt;1E-12,((LTP3!$D$5)*((U2657)*(Q2657)-(R2657)*(V2657))-(LTP3!$D$6)*((S2657)*(Q2657)-(R2657)*(T2657))+(T2657)*((S2657)*(V2657)-(U2657)*(T2657)))/W2657,0)</f>
        <v/>
      </c>
      <c r="Z2657">
        <f>IF(ABS(W2657)&gt;1E-12,((LTP3!$D$5)*((P2657)*(V2657)-(U2657)*(R2657))-(S2657)*((S2657)*(V2657)-(U2657)*(T2657))+(LTP3!$D$6)*((S2657)*(R2657)-(P2657)*(T2657)))/W2657,0)</f>
        <v/>
      </c>
      <c r="AA2657">
        <f>LTP3!$D$7-X2657*LTP3!$D$6-Y2657*U2657-Z2657*V2657</f>
        <v/>
      </c>
      <c r="AB2657">
        <f>IF(AND(F2657,ABS(W2657)&gt;1E-12,Y2657&gt;0,Z2657&gt;0),AA2657,1E+300)</f>
        <v/>
      </c>
    </row>
    <row r="2658">
      <c r="A2658">
        <f>$B$3+$B$5*43</f>
        <v/>
      </c>
      <c r="B2658">
        <f>$B$3+$B$5*23</f>
        <v/>
      </c>
      <c r="C2658">
        <f>SUMPRODUCT(Calc!$K$3:$K$22*(Calc!$G$3:$G$22&lt;=A2658))</f>
        <v/>
      </c>
      <c r="D2658">
        <f>SUMPRODUCT(Calc!$K$3:$K$22*(Calc!$G$3:$G$22&gt;A2658)*(Calc!$G$3:$G$22&lt;B2658))</f>
        <v/>
      </c>
      <c r="E2658">
        <f>SUMPRODUCT(Calc!$K$3:$K$22*(Calc!$G$3:$G$22&gt;=B2658))</f>
        <v/>
      </c>
      <c r="F2658">
        <f>AND(k_n&gt;=5,B2658&gt;A2658+1E-9,C2658&gt;=2,D2658&gt;=1,E2658&gt;=2)</f>
        <v/>
      </c>
      <c r="G2658">
        <f>SUMPRODUCT(Calc!$K$3:$K$22*(Calc!$G$3:$G$22&gt;A2658)*(Calc!$G$3:$G$22-A2658))</f>
        <v/>
      </c>
      <c r="H2658">
        <f>SUMPRODUCT(Calc!$K$3:$K$22*(Calc!$G$3:$G$22&gt;B2658)*(Calc!$G$3:$G$22-B2658))</f>
        <v/>
      </c>
      <c r="I2658">
        <f>SUMPRODUCT(Calc!$K$3:$K$22*(Calc!$G$3:$G$22&gt;A2658)*(Calc!$G$3:$G$22-A2658)^2)</f>
        <v/>
      </c>
      <c r="J2658">
        <f>SUMPRODUCT(Calc!$K$3:$K$22*(Calc!$G$3:$G$22&gt;B2658)*(Calc!$G$3:$G$22-B2658)^2)</f>
        <v/>
      </c>
      <c r="K2658">
        <f>SUMPRODUCT(Calc!$K$3:$K$22*(Calc!$G$3:$G$22&gt;A2658)*(Calc!$G$3:$G$22-A2658)*(Calc!$G$3:$G$22&gt;B2658)*(Calc!$G$3:$G$22-B2658))</f>
        <v/>
      </c>
      <c r="L2658">
        <f>SUMPRODUCT(Calc!$K$3:$K$22*(Calc!$G$3:$G$22&gt;A2658)*(Calc!$G$3:$G$22-A2658)*Calc!$G$3:$G$22)</f>
        <v/>
      </c>
      <c r="M2658">
        <f>SUMPRODUCT(Calc!$K$3:$K$22*(Calc!$G$3:$G$22&gt;B2658)*(Calc!$G$3:$G$22-B2658)*Calc!$G$3:$G$22)</f>
        <v/>
      </c>
      <c r="N2658">
        <f>SUMPRODUCT(Calc!$K$3:$K$22*(Calc!$G$3:$G$22&gt;A2658)*(Calc!$G$3:$G$22-A2658)*Calc!$I$3:$I$22)</f>
        <v/>
      </c>
      <c r="O2658">
        <f>SUMPRODUCT(Calc!$K$3:$K$22*(Calc!$G$3:$G$22&gt;B2658)*(Calc!$G$3:$G$22-B2658)*Calc!$I$3:$I$22)</f>
        <v/>
      </c>
      <c r="P2658">
        <f>I2658-G2658^2/k_n</f>
        <v/>
      </c>
      <c r="Q2658">
        <f>J2658-H2658^2/k_n</f>
        <v/>
      </c>
      <c r="R2658">
        <f>K2658-G2658*H2658/k_n</f>
        <v/>
      </c>
      <c r="S2658">
        <f>L2658-LTP3!$D$3*G2658/k_n</f>
        <v/>
      </c>
      <c r="T2658">
        <f>M2658-LTP3!$D$3*H2658/k_n</f>
        <v/>
      </c>
      <c r="U2658">
        <f>N2658-G2658*LTP3!$D$4/k_n</f>
        <v/>
      </c>
      <c r="V2658">
        <f>O2658-H2658*LTP3!$D$4/k_n</f>
        <v/>
      </c>
      <c r="W2658">
        <f>((LTP3!$D$5)*((P2658)*(Q2658)-(R2658)*(R2658))-(S2658)*((S2658)*(Q2658)-(R2658)*(T2658))+(T2658)*((S2658)*(R2658)-(P2658)*(T2658)))</f>
        <v/>
      </c>
      <c r="X2658">
        <f>IF(ABS(W2658)&gt;1E-12,((LTP3!$D$6)*((P2658)*(Q2658)-(R2658)*(R2658))-(S2658)*((U2658)*(Q2658)-(R2658)*(V2658))+(T2658)*((U2658)*(R2658)-(P2658)*(V2658)))/W2658,0)</f>
        <v/>
      </c>
      <c r="Y2658">
        <f>IF(ABS(W2658)&gt;1E-12,((LTP3!$D$5)*((U2658)*(Q2658)-(R2658)*(V2658))-(LTP3!$D$6)*((S2658)*(Q2658)-(R2658)*(T2658))+(T2658)*((S2658)*(V2658)-(U2658)*(T2658)))/W2658,0)</f>
        <v/>
      </c>
      <c r="Z2658">
        <f>IF(ABS(W2658)&gt;1E-12,((LTP3!$D$5)*((P2658)*(V2658)-(U2658)*(R2658))-(S2658)*((S2658)*(V2658)-(U2658)*(T2658))+(LTP3!$D$6)*((S2658)*(R2658)-(P2658)*(T2658)))/W2658,0)</f>
        <v/>
      </c>
      <c r="AA2658">
        <f>LTP3!$D$7-X2658*LTP3!$D$6-Y2658*U2658-Z2658*V2658</f>
        <v/>
      </c>
      <c r="AB2658">
        <f>IF(AND(F2658,ABS(W2658)&gt;1E-12,Y2658&gt;0,Z2658&gt;0),AA2658,1E+300)</f>
        <v/>
      </c>
    </row>
    <row r="2659">
      <c r="A2659">
        <f>$B$3+$B$5*43</f>
        <v/>
      </c>
      <c r="B2659">
        <f>$B$3+$B$5*24</f>
        <v/>
      </c>
      <c r="C2659">
        <f>SUMPRODUCT(Calc!$K$3:$K$22*(Calc!$G$3:$G$22&lt;=A2659))</f>
        <v/>
      </c>
      <c r="D2659">
        <f>SUMPRODUCT(Calc!$K$3:$K$22*(Calc!$G$3:$G$22&gt;A2659)*(Calc!$G$3:$G$22&lt;B2659))</f>
        <v/>
      </c>
      <c r="E2659">
        <f>SUMPRODUCT(Calc!$K$3:$K$22*(Calc!$G$3:$G$22&gt;=B2659))</f>
        <v/>
      </c>
      <c r="F2659">
        <f>AND(k_n&gt;=5,B2659&gt;A2659+1E-9,C2659&gt;=2,D2659&gt;=1,E2659&gt;=2)</f>
        <v/>
      </c>
      <c r="G2659">
        <f>SUMPRODUCT(Calc!$K$3:$K$22*(Calc!$G$3:$G$22&gt;A2659)*(Calc!$G$3:$G$22-A2659))</f>
        <v/>
      </c>
      <c r="H2659">
        <f>SUMPRODUCT(Calc!$K$3:$K$22*(Calc!$G$3:$G$22&gt;B2659)*(Calc!$G$3:$G$22-B2659))</f>
        <v/>
      </c>
      <c r="I2659">
        <f>SUMPRODUCT(Calc!$K$3:$K$22*(Calc!$G$3:$G$22&gt;A2659)*(Calc!$G$3:$G$22-A2659)^2)</f>
        <v/>
      </c>
      <c r="J2659">
        <f>SUMPRODUCT(Calc!$K$3:$K$22*(Calc!$G$3:$G$22&gt;B2659)*(Calc!$G$3:$G$22-B2659)^2)</f>
        <v/>
      </c>
      <c r="K2659">
        <f>SUMPRODUCT(Calc!$K$3:$K$22*(Calc!$G$3:$G$22&gt;A2659)*(Calc!$G$3:$G$22-A2659)*(Calc!$G$3:$G$22&gt;B2659)*(Calc!$G$3:$G$22-B2659))</f>
        <v/>
      </c>
      <c r="L2659">
        <f>SUMPRODUCT(Calc!$K$3:$K$22*(Calc!$G$3:$G$22&gt;A2659)*(Calc!$G$3:$G$22-A2659)*Calc!$G$3:$G$22)</f>
        <v/>
      </c>
      <c r="M2659">
        <f>SUMPRODUCT(Calc!$K$3:$K$22*(Calc!$G$3:$G$22&gt;B2659)*(Calc!$G$3:$G$22-B2659)*Calc!$G$3:$G$22)</f>
        <v/>
      </c>
      <c r="N2659">
        <f>SUMPRODUCT(Calc!$K$3:$K$22*(Calc!$G$3:$G$22&gt;A2659)*(Calc!$G$3:$G$22-A2659)*Calc!$I$3:$I$22)</f>
        <v/>
      </c>
      <c r="O2659">
        <f>SUMPRODUCT(Calc!$K$3:$K$22*(Calc!$G$3:$G$22&gt;B2659)*(Calc!$G$3:$G$22-B2659)*Calc!$I$3:$I$22)</f>
        <v/>
      </c>
      <c r="P2659">
        <f>I2659-G2659^2/k_n</f>
        <v/>
      </c>
      <c r="Q2659">
        <f>J2659-H2659^2/k_n</f>
        <v/>
      </c>
      <c r="R2659">
        <f>K2659-G2659*H2659/k_n</f>
        <v/>
      </c>
      <c r="S2659">
        <f>L2659-LTP3!$D$3*G2659/k_n</f>
        <v/>
      </c>
      <c r="T2659">
        <f>M2659-LTP3!$D$3*H2659/k_n</f>
        <v/>
      </c>
      <c r="U2659">
        <f>N2659-G2659*LTP3!$D$4/k_n</f>
        <v/>
      </c>
      <c r="V2659">
        <f>O2659-H2659*LTP3!$D$4/k_n</f>
        <v/>
      </c>
      <c r="W2659">
        <f>((LTP3!$D$5)*((P2659)*(Q2659)-(R2659)*(R2659))-(S2659)*((S2659)*(Q2659)-(R2659)*(T2659))+(T2659)*((S2659)*(R2659)-(P2659)*(T2659)))</f>
        <v/>
      </c>
      <c r="X2659">
        <f>IF(ABS(W2659)&gt;1E-12,((LTP3!$D$6)*((P2659)*(Q2659)-(R2659)*(R2659))-(S2659)*((U2659)*(Q2659)-(R2659)*(V2659))+(T2659)*((U2659)*(R2659)-(P2659)*(V2659)))/W2659,0)</f>
        <v/>
      </c>
      <c r="Y2659">
        <f>IF(ABS(W2659)&gt;1E-12,((LTP3!$D$5)*((U2659)*(Q2659)-(R2659)*(V2659))-(LTP3!$D$6)*((S2659)*(Q2659)-(R2659)*(T2659))+(T2659)*((S2659)*(V2659)-(U2659)*(T2659)))/W2659,0)</f>
        <v/>
      </c>
      <c r="Z2659">
        <f>IF(ABS(W2659)&gt;1E-12,((LTP3!$D$5)*((P2659)*(V2659)-(U2659)*(R2659))-(S2659)*((S2659)*(V2659)-(U2659)*(T2659))+(LTP3!$D$6)*((S2659)*(R2659)-(P2659)*(T2659)))/W2659,0)</f>
        <v/>
      </c>
      <c r="AA2659">
        <f>LTP3!$D$7-X2659*LTP3!$D$6-Y2659*U2659-Z2659*V2659</f>
        <v/>
      </c>
      <c r="AB2659">
        <f>IF(AND(F2659,ABS(W2659)&gt;1E-12,Y2659&gt;0,Z2659&gt;0),AA2659,1E+300)</f>
        <v/>
      </c>
    </row>
    <row r="2660">
      <c r="A2660">
        <f>$B$3+$B$5*43</f>
        <v/>
      </c>
      <c r="B2660">
        <f>$B$3+$B$5*25</f>
        <v/>
      </c>
      <c r="C2660">
        <f>SUMPRODUCT(Calc!$K$3:$K$22*(Calc!$G$3:$G$22&lt;=A2660))</f>
        <v/>
      </c>
      <c r="D2660">
        <f>SUMPRODUCT(Calc!$K$3:$K$22*(Calc!$G$3:$G$22&gt;A2660)*(Calc!$G$3:$G$22&lt;B2660))</f>
        <v/>
      </c>
      <c r="E2660">
        <f>SUMPRODUCT(Calc!$K$3:$K$22*(Calc!$G$3:$G$22&gt;=B2660))</f>
        <v/>
      </c>
      <c r="F2660">
        <f>AND(k_n&gt;=5,B2660&gt;A2660+1E-9,C2660&gt;=2,D2660&gt;=1,E2660&gt;=2)</f>
        <v/>
      </c>
      <c r="G2660">
        <f>SUMPRODUCT(Calc!$K$3:$K$22*(Calc!$G$3:$G$22&gt;A2660)*(Calc!$G$3:$G$22-A2660))</f>
        <v/>
      </c>
      <c r="H2660">
        <f>SUMPRODUCT(Calc!$K$3:$K$22*(Calc!$G$3:$G$22&gt;B2660)*(Calc!$G$3:$G$22-B2660))</f>
        <v/>
      </c>
      <c r="I2660">
        <f>SUMPRODUCT(Calc!$K$3:$K$22*(Calc!$G$3:$G$22&gt;A2660)*(Calc!$G$3:$G$22-A2660)^2)</f>
        <v/>
      </c>
      <c r="J2660">
        <f>SUMPRODUCT(Calc!$K$3:$K$22*(Calc!$G$3:$G$22&gt;B2660)*(Calc!$G$3:$G$22-B2660)^2)</f>
        <v/>
      </c>
      <c r="K2660">
        <f>SUMPRODUCT(Calc!$K$3:$K$22*(Calc!$G$3:$G$22&gt;A2660)*(Calc!$G$3:$G$22-A2660)*(Calc!$G$3:$G$22&gt;B2660)*(Calc!$G$3:$G$22-B2660))</f>
        <v/>
      </c>
      <c r="L2660">
        <f>SUMPRODUCT(Calc!$K$3:$K$22*(Calc!$G$3:$G$22&gt;A2660)*(Calc!$G$3:$G$22-A2660)*Calc!$G$3:$G$22)</f>
        <v/>
      </c>
      <c r="M2660">
        <f>SUMPRODUCT(Calc!$K$3:$K$22*(Calc!$G$3:$G$22&gt;B2660)*(Calc!$G$3:$G$22-B2660)*Calc!$G$3:$G$22)</f>
        <v/>
      </c>
      <c r="N2660">
        <f>SUMPRODUCT(Calc!$K$3:$K$22*(Calc!$G$3:$G$22&gt;A2660)*(Calc!$G$3:$G$22-A2660)*Calc!$I$3:$I$22)</f>
        <v/>
      </c>
      <c r="O2660">
        <f>SUMPRODUCT(Calc!$K$3:$K$22*(Calc!$G$3:$G$22&gt;B2660)*(Calc!$G$3:$G$22-B2660)*Calc!$I$3:$I$22)</f>
        <v/>
      </c>
      <c r="P2660">
        <f>I2660-G2660^2/k_n</f>
        <v/>
      </c>
      <c r="Q2660">
        <f>J2660-H2660^2/k_n</f>
        <v/>
      </c>
      <c r="R2660">
        <f>K2660-G2660*H2660/k_n</f>
        <v/>
      </c>
      <c r="S2660">
        <f>L2660-LTP3!$D$3*G2660/k_n</f>
        <v/>
      </c>
      <c r="T2660">
        <f>M2660-LTP3!$D$3*H2660/k_n</f>
        <v/>
      </c>
      <c r="U2660">
        <f>N2660-G2660*LTP3!$D$4/k_n</f>
        <v/>
      </c>
      <c r="V2660">
        <f>O2660-H2660*LTP3!$D$4/k_n</f>
        <v/>
      </c>
      <c r="W2660">
        <f>((LTP3!$D$5)*((P2660)*(Q2660)-(R2660)*(R2660))-(S2660)*((S2660)*(Q2660)-(R2660)*(T2660))+(T2660)*((S2660)*(R2660)-(P2660)*(T2660)))</f>
        <v/>
      </c>
      <c r="X2660">
        <f>IF(ABS(W2660)&gt;1E-12,((LTP3!$D$6)*((P2660)*(Q2660)-(R2660)*(R2660))-(S2660)*((U2660)*(Q2660)-(R2660)*(V2660))+(T2660)*((U2660)*(R2660)-(P2660)*(V2660)))/W2660,0)</f>
        <v/>
      </c>
      <c r="Y2660">
        <f>IF(ABS(W2660)&gt;1E-12,((LTP3!$D$5)*((U2660)*(Q2660)-(R2660)*(V2660))-(LTP3!$D$6)*((S2660)*(Q2660)-(R2660)*(T2660))+(T2660)*((S2660)*(V2660)-(U2660)*(T2660)))/W2660,0)</f>
        <v/>
      </c>
      <c r="Z2660">
        <f>IF(ABS(W2660)&gt;1E-12,((LTP3!$D$5)*((P2660)*(V2660)-(U2660)*(R2660))-(S2660)*((S2660)*(V2660)-(U2660)*(T2660))+(LTP3!$D$6)*((S2660)*(R2660)-(P2660)*(T2660)))/W2660,0)</f>
        <v/>
      </c>
      <c r="AA2660">
        <f>LTP3!$D$7-X2660*LTP3!$D$6-Y2660*U2660-Z2660*V2660</f>
        <v/>
      </c>
      <c r="AB2660">
        <f>IF(AND(F2660,ABS(W2660)&gt;1E-12,Y2660&gt;0,Z2660&gt;0),AA2660,1E+300)</f>
        <v/>
      </c>
    </row>
    <row r="2661">
      <c r="A2661">
        <f>$B$3+$B$5*43</f>
        <v/>
      </c>
      <c r="B2661">
        <f>$B$3+$B$5*26</f>
        <v/>
      </c>
      <c r="C2661">
        <f>SUMPRODUCT(Calc!$K$3:$K$22*(Calc!$G$3:$G$22&lt;=A2661))</f>
        <v/>
      </c>
      <c r="D2661">
        <f>SUMPRODUCT(Calc!$K$3:$K$22*(Calc!$G$3:$G$22&gt;A2661)*(Calc!$G$3:$G$22&lt;B2661))</f>
        <v/>
      </c>
      <c r="E2661">
        <f>SUMPRODUCT(Calc!$K$3:$K$22*(Calc!$G$3:$G$22&gt;=B2661))</f>
        <v/>
      </c>
      <c r="F2661">
        <f>AND(k_n&gt;=5,B2661&gt;A2661+1E-9,C2661&gt;=2,D2661&gt;=1,E2661&gt;=2)</f>
        <v/>
      </c>
      <c r="G2661">
        <f>SUMPRODUCT(Calc!$K$3:$K$22*(Calc!$G$3:$G$22&gt;A2661)*(Calc!$G$3:$G$22-A2661))</f>
        <v/>
      </c>
      <c r="H2661">
        <f>SUMPRODUCT(Calc!$K$3:$K$22*(Calc!$G$3:$G$22&gt;B2661)*(Calc!$G$3:$G$22-B2661))</f>
        <v/>
      </c>
      <c r="I2661">
        <f>SUMPRODUCT(Calc!$K$3:$K$22*(Calc!$G$3:$G$22&gt;A2661)*(Calc!$G$3:$G$22-A2661)^2)</f>
        <v/>
      </c>
      <c r="J2661">
        <f>SUMPRODUCT(Calc!$K$3:$K$22*(Calc!$G$3:$G$22&gt;B2661)*(Calc!$G$3:$G$22-B2661)^2)</f>
        <v/>
      </c>
      <c r="K2661">
        <f>SUMPRODUCT(Calc!$K$3:$K$22*(Calc!$G$3:$G$22&gt;A2661)*(Calc!$G$3:$G$22-A2661)*(Calc!$G$3:$G$22&gt;B2661)*(Calc!$G$3:$G$22-B2661))</f>
        <v/>
      </c>
      <c r="L2661">
        <f>SUMPRODUCT(Calc!$K$3:$K$22*(Calc!$G$3:$G$22&gt;A2661)*(Calc!$G$3:$G$22-A2661)*Calc!$G$3:$G$22)</f>
        <v/>
      </c>
      <c r="M2661">
        <f>SUMPRODUCT(Calc!$K$3:$K$22*(Calc!$G$3:$G$22&gt;B2661)*(Calc!$G$3:$G$22-B2661)*Calc!$G$3:$G$22)</f>
        <v/>
      </c>
      <c r="N2661">
        <f>SUMPRODUCT(Calc!$K$3:$K$22*(Calc!$G$3:$G$22&gt;A2661)*(Calc!$G$3:$G$22-A2661)*Calc!$I$3:$I$22)</f>
        <v/>
      </c>
      <c r="O2661">
        <f>SUMPRODUCT(Calc!$K$3:$K$22*(Calc!$G$3:$G$22&gt;B2661)*(Calc!$G$3:$G$22-B2661)*Calc!$I$3:$I$22)</f>
        <v/>
      </c>
      <c r="P2661">
        <f>I2661-G2661^2/k_n</f>
        <v/>
      </c>
      <c r="Q2661">
        <f>J2661-H2661^2/k_n</f>
        <v/>
      </c>
      <c r="R2661">
        <f>K2661-G2661*H2661/k_n</f>
        <v/>
      </c>
      <c r="S2661">
        <f>L2661-LTP3!$D$3*G2661/k_n</f>
        <v/>
      </c>
      <c r="T2661">
        <f>M2661-LTP3!$D$3*H2661/k_n</f>
        <v/>
      </c>
      <c r="U2661">
        <f>N2661-G2661*LTP3!$D$4/k_n</f>
        <v/>
      </c>
      <c r="V2661">
        <f>O2661-H2661*LTP3!$D$4/k_n</f>
        <v/>
      </c>
      <c r="W2661">
        <f>((LTP3!$D$5)*((P2661)*(Q2661)-(R2661)*(R2661))-(S2661)*((S2661)*(Q2661)-(R2661)*(T2661))+(T2661)*((S2661)*(R2661)-(P2661)*(T2661)))</f>
        <v/>
      </c>
      <c r="X2661">
        <f>IF(ABS(W2661)&gt;1E-12,((LTP3!$D$6)*((P2661)*(Q2661)-(R2661)*(R2661))-(S2661)*((U2661)*(Q2661)-(R2661)*(V2661))+(T2661)*((U2661)*(R2661)-(P2661)*(V2661)))/W2661,0)</f>
        <v/>
      </c>
      <c r="Y2661">
        <f>IF(ABS(W2661)&gt;1E-12,((LTP3!$D$5)*((U2661)*(Q2661)-(R2661)*(V2661))-(LTP3!$D$6)*((S2661)*(Q2661)-(R2661)*(T2661))+(T2661)*((S2661)*(V2661)-(U2661)*(T2661)))/W2661,0)</f>
        <v/>
      </c>
      <c r="Z2661">
        <f>IF(ABS(W2661)&gt;1E-12,((LTP3!$D$5)*((P2661)*(V2661)-(U2661)*(R2661))-(S2661)*((S2661)*(V2661)-(U2661)*(T2661))+(LTP3!$D$6)*((S2661)*(R2661)-(P2661)*(T2661)))/W2661,0)</f>
        <v/>
      </c>
      <c r="AA2661">
        <f>LTP3!$D$7-X2661*LTP3!$D$6-Y2661*U2661-Z2661*V2661</f>
        <v/>
      </c>
      <c r="AB2661">
        <f>IF(AND(F2661,ABS(W2661)&gt;1E-12,Y2661&gt;0,Z2661&gt;0),AA2661,1E+300)</f>
        <v/>
      </c>
    </row>
    <row r="2662">
      <c r="A2662">
        <f>$B$3+$B$5*43</f>
        <v/>
      </c>
      <c r="B2662">
        <f>$B$3+$B$5*27</f>
        <v/>
      </c>
      <c r="C2662">
        <f>SUMPRODUCT(Calc!$K$3:$K$22*(Calc!$G$3:$G$22&lt;=A2662))</f>
        <v/>
      </c>
      <c r="D2662">
        <f>SUMPRODUCT(Calc!$K$3:$K$22*(Calc!$G$3:$G$22&gt;A2662)*(Calc!$G$3:$G$22&lt;B2662))</f>
        <v/>
      </c>
      <c r="E2662">
        <f>SUMPRODUCT(Calc!$K$3:$K$22*(Calc!$G$3:$G$22&gt;=B2662))</f>
        <v/>
      </c>
      <c r="F2662">
        <f>AND(k_n&gt;=5,B2662&gt;A2662+1E-9,C2662&gt;=2,D2662&gt;=1,E2662&gt;=2)</f>
        <v/>
      </c>
      <c r="G2662">
        <f>SUMPRODUCT(Calc!$K$3:$K$22*(Calc!$G$3:$G$22&gt;A2662)*(Calc!$G$3:$G$22-A2662))</f>
        <v/>
      </c>
      <c r="H2662">
        <f>SUMPRODUCT(Calc!$K$3:$K$22*(Calc!$G$3:$G$22&gt;B2662)*(Calc!$G$3:$G$22-B2662))</f>
        <v/>
      </c>
      <c r="I2662">
        <f>SUMPRODUCT(Calc!$K$3:$K$22*(Calc!$G$3:$G$22&gt;A2662)*(Calc!$G$3:$G$22-A2662)^2)</f>
        <v/>
      </c>
      <c r="J2662">
        <f>SUMPRODUCT(Calc!$K$3:$K$22*(Calc!$G$3:$G$22&gt;B2662)*(Calc!$G$3:$G$22-B2662)^2)</f>
        <v/>
      </c>
      <c r="K2662">
        <f>SUMPRODUCT(Calc!$K$3:$K$22*(Calc!$G$3:$G$22&gt;A2662)*(Calc!$G$3:$G$22-A2662)*(Calc!$G$3:$G$22&gt;B2662)*(Calc!$G$3:$G$22-B2662))</f>
        <v/>
      </c>
      <c r="L2662">
        <f>SUMPRODUCT(Calc!$K$3:$K$22*(Calc!$G$3:$G$22&gt;A2662)*(Calc!$G$3:$G$22-A2662)*Calc!$G$3:$G$22)</f>
        <v/>
      </c>
      <c r="M2662">
        <f>SUMPRODUCT(Calc!$K$3:$K$22*(Calc!$G$3:$G$22&gt;B2662)*(Calc!$G$3:$G$22-B2662)*Calc!$G$3:$G$22)</f>
        <v/>
      </c>
      <c r="N2662">
        <f>SUMPRODUCT(Calc!$K$3:$K$22*(Calc!$G$3:$G$22&gt;A2662)*(Calc!$G$3:$G$22-A2662)*Calc!$I$3:$I$22)</f>
        <v/>
      </c>
      <c r="O2662">
        <f>SUMPRODUCT(Calc!$K$3:$K$22*(Calc!$G$3:$G$22&gt;B2662)*(Calc!$G$3:$G$22-B2662)*Calc!$I$3:$I$22)</f>
        <v/>
      </c>
      <c r="P2662">
        <f>I2662-G2662^2/k_n</f>
        <v/>
      </c>
      <c r="Q2662">
        <f>J2662-H2662^2/k_n</f>
        <v/>
      </c>
      <c r="R2662">
        <f>K2662-G2662*H2662/k_n</f>
        <v/>
      </c>
      <c r="S2662">
        <f>L2662-LTP3!$D$3*G2662/k_n</f>
        <v/>
      </c>
      <c r="T2662">
        <f>M2662-LTP3!$D$3*H2662/k_n</f>
        <v/>
      </c>
      <c r="U2662">
        <f>N2662-G2662*LTP3!$D$4/k_n</f>
        <v/>
      </c>
      <c r="V2662">
        <f>O2662-H2662*LTP3!$D$4/k_n</f>
        <v/>
      </c>
      <c r="W2662">
        <f>((LTP3!$D$5)*((P2662)*(Q2662)-(R2662)*(R2662))-(S2662)*((S2662)*(Q2662)-(R2662)*(T2662))+(T2662)*((S2662)*(R2662)-(P2662)*(T2662)))</f>
        <v/>
      </c>
      <c r="X2662">
        <f>IF(ABS(W2662)&gt;1E-12,((LTP3!$D$6)*((P2662)*(Q2662)-(R2662)*(R2662))-(S2662)*((U2662)*(Q2662)-(R2662)*(V2662))+(T2662)*((U2662)*(R2662)-(P2662)*(V2662)))/W2662,0)</f>
        <v/>
      </c>
      <c r="Y2662">
        <f>IF(ABS(W2662)&gt;1E-12,((LTP3!$D$5)*((U2662)*(Q2662)-(R2662)*(V2662))-(LTP3!$D$6)*((S2662)*(Q2662)-(R2662)*(T2662))+(T2662)*((S2662)*(V2662)-(U2662)*(T2662)))/W2662,0)</f>
        <v/>
      </c>
      <c r="Z2662">
        <f>IF(ABS(W2662)&gt;1E-12,((LTP3!$D$5)*((P2662)*(V2662)-(U2662)*(R2662))-(S2662)*((S2662)*(V2662)-(U2662)*(T2662))+(LTP3!$D$6)*((S2662)*(R2662)-(P2662)*(T2662)))/W2662,0)</f>
        <v/>
      </c>
      <c r="AA2662">
        <f>LTP3!$D$7-X2662*LTP3!$D$6-Y2662*U2662-Z2662*V2662</f>
        <v/>
      </c>
      <c r="AB2662">
        <f>IF(AND(F2662,ABS(W2662)&gt;1E-12,Y2662&gt;0,Z2662&gt;0),AA2662,1E+300)</f>
        <v/>
      </c>
    </row>
    <row r="2663">
      <c r="A2663">
        <f>$B$3+$B$5*43</f>
        <v/>
      </c>
      <c r="B2663">
        <f>$B$3+$B$5*28</f>
        <v/>
      </c>
      <c r="C2663">
        <f>SUMPRODUCT(Calc!$K$3:$K$22*(Calc!$G$3:$G$22&lt;=A2663))</f>
        <v/>
      </c>
      <c r="D2663">
        <f>SUMPRODUCT(Calc!$K$3:$K$22*(Calc!$G$3:$G$22&gt;A2663)*(Calc!$G$3:$G$22&lt;B2663))</f>
        <v/>
      </c>
      <c r="E2663">
        <f>SUMPRODUCT(Calc!$K$3:$K$22*(Calc!$G$3:$G$22&gt;=B2663))</f>
        <v/>
      </c>
      <c r="F2663">
        <f>AND(k_n&gt;=5,B2663&gt;A2663+1E-9,C2663&gt;=2,D2663&gt;=1,E2663&gt;=2)</f>
        <v/>
      </c>
      <c r="G2663">
        <f>SUMPRODUCT(Calc!$K$3:$K$22*(Calc!$G$3:$G$22&gt;A2663)*(Calc!$G$3:$G$22-A2663))</f>
        <v/>
      </c>
      <c r="H2663">
        <f>SUMPRODUCT(Calc!$K$3:$K$22*(Calc!$G$3:$G$22&gt;B2663)*(Calc!$G$3:$G$22-B2663))</f>
        <v/>
      </c>
      <c r="I2663">
        <f>SUMPRODUCT(Calc!$K$3:$K$22*(Calc!$G$3:$G$22&gt;A2663)*(Calc!$G$3:$G$22-A2663)^2)</f>
        <v/>
      </c>
      <c r="J2663">
        <f>SUMPRODUCT(Calc!$K$3:$K$22*(Calc!$G$3:$G$22&gt;B2663)*(Calc!$G$3:$G$22-B2663)^2)</f>
        <v/>
      </c>
      <c r="K2663">
        <f>SUMPRODUCT(Calc!$K$3:$K$22*(Calc!$G$3:$G$22&gt;A2663)*(Calc!$G$3:$G$22-A2663)*(Calc!$G$3:$G$22&gt;B2663)*(Calc!$G$3:$G$22-B2663))</f>
        <v/>
      </c>
      <c r="L2663">
        <f>SUMPRODUCT(Calc!$K$3:$K$22*(Calc!$G$3:$G$22&gt;A2663)*(Calc!$G$3:$G$22-A2663)*Calc!$G$3:$G$22)</f>
        <v/>
      </c>
      <c r="M2663">
        <f>SUMPRODUCT(Calc!$K$3:$K$22*(Calc!$G$3:$G$22&gt;B2663)*(Calc!$G$3:$G$22-B2663)*Calc!$G$3:$G$22)</f>
        <v/>
      </c>
      <c r="N2663">
        <f>SUMPRODUCT(Calc!$K$3:$K$22*(Calc!$G$3:$G$22&gt;A2663)*(Calc!$G$3:$G$22-A2663)*Calc!$I$3:$I$22)</f>
        <v/>
      </c>
      <c r="O2663">
        <f>SUMPRODUCT(Calc!$K$3:$K$22*(Calc!$G$3:$G$22&gt;B2663)*(Calc!$G$3:$G$22-B2663)*Calc!$I$3:$I$22)</f>
        <v/>
      </c>
      <c r="P2663">
        <f>I2663-G2663^2/k_n</f>
        <v/>
      </c>
      <c r="Q2663">
        <f>J2663-H2663^2/k_n</f>
        <v/>
      </c>
      <c r="R2663">
        <f>K2663-G2663*H2663/k_n</f>
        <v/>
      </c>
      <c r="S2663">
        <f>L2663-LTP3!$D$3*G2663/k_n</f>
        <v/>
      </c>
      <c r="T2663">
        <f>M2663-LTP3!$D$3*H2663/k_n</f>
        <v/>
      </c>
      <c r="U2663">
        <f>N2663-G2663*LTP3!$D$4/k_n</f>
        <v/>
      </c>
      <c r="V2663">
        <f>O2663-H2663*LTP3!$D$4/k_n</f>
        <v/>
      </c>
      <c r="W2663">
        <f>((LTP3!$D$5)*((P2663)*(Q2663)-(R2663)*(R2663))-(S2663)*((S2663)*(Q2663)-(R2663)*(T2663))+(T2663)*((S2663)*(R2663)-(P2663)*(T2663)))</f>
        <v/>
      </c>
      <c r="X2663">
        <f>IF(ABS(W2663)&gt;1E-12,((LTP3!$D$6)*((P2663)*(Q2663)-(R2663)*(R2663))-(S2663)*((U2663)*(Q2663)-(R2663)*(V2663))+(T2663)*((U2663)*(R2663)-(P2663)*(V2663)))/W2663,0)</f>
        <v/>
      </c>
      <c r="Y2663">
        <f>IF(ABS(W2663)&gt;1E-12,((LTP3!$D$5)*((U2663)*(Q2663)-(R2663)*(V2663))-(LTP3!$D$6)*((S2663)*(Q2663)-(R2663)*(T2663))+(T2663)*((S2663)*(V2663)-(U2663)*(T2663)))/W2663,0)</f>
        <v/>
      </c>
      <c r="Z2663">
        <f>IF(ABS(W2663)&gt;1E-12,((LTP3!$D$5)*((P2663)*(V2663)-(U2663)*(R2663))-(S2663)*((S2663)*(V2663)-(U2663)*(T2663))+(LTP3!$D$6)*((S2663)*(R2663)-(P2663)*(T2663)))/W2663,0)</f>
        <v/>
      </c>
      <c r="AA2663">
        <f>LTP3!$D$7-X2663*LTP3!$D$6-Y2663*U2663-Z2663*V2663</f>
        <v/>
      </c>
      <c r="AB2663">
        <f>IF(AND(F2663,ABS(W2663)&gt;1E-12,Y2663&gt;0,Z2663&gt;0),AA2663,1E+300)</f>
        <v/>
      </c>
    </row>
    <row r="2664">
      <c r="A2664">
        <f>$B$3+$B$5*43</f>
        <v/>
      </c>
      <c r="B2664">
        <f>$B$3+$B$5*29</f>
        <v/>
      </c>
      <c r="C2664">
        <f>SUMPRODUCT(Calc!$K$3:$K$22*(Calc!$G$3:$G$22&lt;=A2664))</f>
        <v/>
      </c>
      <c r="D2664">
        <f>SUMPRODUCT(Calc!$K$3:$K$22*(Calc!$G$3:$G$22&gt;A2664)*(Calc!$G$3:$G$22&lt;B2664))</f>
        <v/>
      </c>
      <c r="E2664">
        <f>SUMPRODUCT(Calc!$K$3:$K$22*(Calc!$G$3:$G$22&gt;=B2664))</f>
        <v/>
      </c>
      <c r="F2664">
        <f>AND(k_n&gt;=5,B2664&gt;A2664+1E-9,C2664&gt;=2,D2664&gt;=1,E2664&gt;=2)</f>
        <v/>
      </c>
      <c r="G2664">
        <f>SUMPRODUCT(Calc!$K$3:$K$22*(Calc!$G$3:$G$22&gt;A2664)*(Calc!$G$3:$G$22-A2664))</f>
        <v/>
      </c>
      <c r="H2664">
        <f>SUMPRODUCT(Calc!$K$3:$K$22*(Calc!$G$3:$G$22&gt;B2664)*(Calc!$G$3:$G$22-B2664))</f>
        <v/>
      </c>
      <c r="I2664">
        <f>SUMPRODUCT(Calc!$K$3:$K$22*(Calc!$G$3:$G$22&gt;A2664)*(Calc!$G$3:$G$22-A2664)^2)</f>
        <v/>
      </c>
      <c r="J2664">
        <f>SUMPRODUCT(Calc!$K$3:$K$22*(Calc!$G$3:$G$22&gt;B2664)*(Calc!$G$3:$G$22-B2664)^2)</f>
        <v/>
      </c>
      <c r="K2664">
        <f>SUMPRODUCT(Calc!$K$3:$K$22*(Calc!$G$3:$G$22&gt;A2664)*(Calc!$G$3:$G$22-A2664)*(Calc!$G$3:$G$22&gt;B2664)*(Calc!$G$3:$G$22-B2664))</f>
        <v/>
      </c>
      <c r="L2664">
        <f>SUMPRODUCT(Calc!$K$3:$K$22*(Calc!$G$3:$G$22&gt;A2664)*(Calc!$G$3:$G$22-A2664)*Calc!$G$3:$G$22)</f>
        <v/>
      </c>
      <c r="M2664">
        <f>SUMPRODUCT(Calc!$K$3:$K$22*(Calc!$G$3:$G$22&gt;B2664)*(Calc!$G$3:$G$22-B2664)*Calc!$G$3:$G$22)</f>
        <v/>
      </c>
      <c r="N2664">
        <f>SUMPRODUCT(Calc!$K$3:$K$22*(Calc!$G$3:$G$22&gt;A2664)*(Calc!$G$3:$G$22-A2664)*Calc!$I$3:$I$22)</f>
        <v/>
      </c>
      <c r="O2664">
        <f>SUMPRODUCT(Calc!$K$3:$K$22*(Calc!$G$3:$G$22&gt;B2664)*(Calc!$G$3:$G$22-B2664)*Calc!$I$3:$I$22)</f>
        <v/>
      </c>
      <c r="P2664">
        <f>I2664-G2664^2/k_n</f>
        <v/>
      </c>
      <c r="Q2664">
        <f>J2664-H2664^2/k_n</f>
        <v/>
      </c>
      <c r="R2664">
        <f>K2664-G2664*H2664/k_n</f>
        <v/>
      </c>
      <c r="S2664">
        <f>L2664-LTP3!$D$3*G2664/k_n</f>
        <v/>
      </c>
      <c r="T2664">
        <f>M2664-LTP3!$D$3*H2664/k_n</f>
        <v/>
      </c>
      <c r="U2664">
        <f>N2664-G2664*LTP3!$D$4/k_n</f>
        <v/>
      </c>
      <c r="V2664">
        <f>O2664-H2664*LTP3!$D$4/k_n</f>
        <v/>
      </c>
      <c r="W2664">
        <f>((LTP3!$D$5)*((P2664)*(Q2664)-(R2664)*(R2664))-(S2664)*((S2664)*(Q2664)-(R2664)*(T2664))+(T2664)*((S2664)*(R2664)-(P2664)*(T2664)))</f>
        <v/>
      </c>
      <c r="X2664">
        <f>IF(ABS(W2664)&gt;1E-12,((LTP3!$D$6)*((P2664)*(Q2664)-(R2664)*(R2664))-(S2664)*((U2664)*(Q2664)-(R2664)*(V2664))+(T2664)*((U2664)*(R2664)-(P2664)*(V2664)))/W2664,0)</f>
        <v/>
      </c>
      <c r="Y2664">
        <f>IF(ABS(W2664)&gt;1E-12,((LTP3!$D$5)*((U2664)*(Q2664)-(R2664)*(V2664))-(LTP3!$D$6)*((S2664)*(Q2664)-(R2664)*(T2664))+(T2664)*((S2664)*(V2664)-(U2664)*(T2664)))/W2664,0)</f>
        <v/>
      </c>
      <c r="Z2664">
        <f>IF(ABS(W2664)&gt;1E-12,((LTP3!$D$5)*((P2664)*(V2664)-(U2664)*(R2664))-(S2664)*((S2664)*(V2664)-(U2664)*(T2664))+(LTP3!$D$6)*((S2664)*(R2664)-(P2664)*(T2664)))/W2664,0)</f>
        <v/>
      </c>
      <c r="AA2664">
        <f>LTP3!$D$7-X2664*LTP3!$D$6-Y2664*U2664-Z2664*V2664</f>
        <v/>
      </c>
      <c r="AB2664">
        <f>IF(AND(F2664,ABS(W2664)&gt;1E-12,Y2664&gt;0,Z2664&gt;0),AA2664,1E+300)</f>
        <v/>
      </c>
    </row>
    <row r="2665">
      <c r="A2665">
        <f>$B$3+$B$5*43</f>
        <v/>
      </c>
      <c r="B2665">
        <f>$B$3+$B$5*30</f>
        <v/>
      </c>
      <c r="C2665">
        <f>SUMPRODUCT(Calc!$K$3:$K$22*(Calc!$G$3:$G$22&lt;=A2665))</f>
        <v/>
      </c>
      <c r="D2665">
        <f>SUMPRODUCT(Calc!$K$3:$K$22*(Calc!$G$3:$G$22&gt;A2665)*(Calc!$G$3:$G$22&lt;B2665))</f>
        <v/>
      </c>
      <c r="E2665">
        <f>SUMPRODUCT(Calc!$K$3:$K$22*(Calc!$G$3:$G$22&gt;=B2665))</f>
        <v/>
      </c>
      <c r="F2665">
        <f>AND(k_n&gt;=5,B2665&gt;A2665+1E-9,C2665&gt;=2,D2665&gt;=1,E2665&gt;=2)</f>
        <v/>
      </c>
      <c r="G2665">
        <f>SUMPRODUCT(Calc!$K$3:$K$22*(Calc!$G$3:$G$22&gt;A2665)*(Calc!$G$3:$G$22-A2665))</f>
        <v/>
      </c>
      <c r="H2665">
        <f>SUMPRODUCT(Calc!$K$3:$K$22*(Calc!$G$3:$G$22&gt;B2665)*(Calc!$G$3:$G$22-B2665))</f>
        <v/>
      </c>
      <c r="I2665">
        <f>SUMPRODUCT(Calc!$K$3:$K$22*(Calc!$G$3:$G$22&gt;A2665)*(Calc!$G$3:$G$22-A2665)^2)</f>
        <v/>
      </c>
      <c r="J2665">
        <f>SUMPRODUCT(Calc!$K$3:$K$22*(Calc!$G$3:$G$22&gt;B2665)*(Calc!$G$3:$G$22-B2665)^2)</f>
        <v/>
      </c>
      <c r="K2665">
        <f>SUMPRODUCT(Calc!$K$3:$K$22*(Calc!$G$3:$G$22&gt;A2665)*(Calc!$G$3:$G$22-A2665)*(Calc!$G$3:$G$22&gt;B2665)*(Calc!$G$3:$G$22-B2665))</f>
        <v/>
      </c>
      <c r="L2665">
        <f>SUMPRODUCT(Calc!$K$3:$K$22*(Calc!$G$3:$G$22&gt;A2665)*(Calc!$G$3:$G$22-A2665)*Calc!$G$3:$G$22)</f>
        <v/>
      </c>
      <c r="M2665">
        <f>SUMPRODUCT(Calc!$K$3:$K$22*(Calc!$G$3:$G$22&gt;B2665)*(Calc!$G$3:$G$22-B2665)*Calc!$G$3:$G$22)</f>
        <v/>
      </c>
      <c r="N2665">
        <f>SUMPRODUCT(Calc!$K$3:$K$22*(Calc!$G$3:$G$22&gt;A2665)*(Calc!$G$3:$G$22-A2665)*Calc!$I$3:$I$22)</f>
        <v/>
      </c>
      <c r="O2665">
        <f>SUMPRODUCT(Calc!$K$3:$K$22*(Calc!$G$3:$G$22&gt;B2665)*(Calc!$G$3:$G$22-B2665)*Calc!$I$3:$I$22)</f>
        <v/>
      </c>
      <c r="P2665">
        <f>I2665-G2665^2/k_n</f>
        <v/>
      </c>
      <c r="Q2665">
        <f>J2665-H2665^2/k_n</f>
        <v/>
      </c>
      <c r="R2665">
        <f>K2665-G2665*H2665/k_n</f>
        <v/>
      </c>
      <c r="S2665">
        <f>L2665-LTP3!$D$3*G2665/k_n</f>
        <v/>
      </c>
      <c r="T2665">
        <f>M2665-LTP3!$D$3*H2665/k_n</f>
        <v/>
      </c>
      <c r="U2665">
        <f>N2665-G2665*LTP3!$D$4/k_n</f>
        <v/>
      </c>
      <c r="V2665">
        <f>O2665-H2665*LTP3!$D$4/k_n</f>
        <v/>
      </c>
      <c r="W2665">
        <f>((LTP3!$D$5)*((P2665)*(Q2665)-(R2665)*(R2665))-(S2665)*((S2665)*(Q2665)-(R2665)*(T2665))+(T2665)*((S2665)*(R2665)-(P2665)*(T2665)))</f>
        <v/>
      </c>
      <c r="X2665">
        <f>IF(ABS(W2665)&gt;1E-12,((LTP3!$D$6)*((P2665)*(Q2665)-(R2665)*(R2665))-(S2665)*((U2665)*(Q2665)-(R2665)*(V2665))+(T2665)*((U2665)*(R2665)-(P2665)*(V2665)))/W2665,0)</f>
        <v/>
      </c>
      <c r="Y2665">
        <f>IF(ABS(W2665)&gt;1E-12,((LTP3!$D$5)*((U2665)*(Q2665)-(R2665)*(V2665))-(LTP3!$D$6)*((S2665)*(Q2665)-(R2665)*(T2665))+(T2665)*((S2665)*(V2665)-(U2665)*(T2665)))/W2665,0)</f>
        <v/>
      </c>
      <c r="Z2665">
        <f>IF(ABS(W2665)&gt;1E-12,((LTP3!$D$5)*((P2665)*(V2665)-(U2665)*(R2665))-(S2665)*((S2665)*(V2665)-(U2665)*(T2665))+(LTP3!$D$6)*((S2665)*(R2665)-(P2665)*(T2665)))/W2665,0)</f>
        <v/>
      </c>
      <c r="AA2665">
        <f>LTP3!$D$7-X2665*LTP3!$D$6-Y2665*U2665-Z2665*V2665</f>
        <v/>
      </c>
      <c r="AB2665">
        <f>IF(AND(F2665,ABS(W2665)&gt;1E-12,Y2665&gt;0,Z2665&gt;0),AA2665,1E+300)</f>
        <v/>
      </c>
    </row>
    <row r="2666">
      <c r="A2666">
        <f>$B$3+$B$5*43</f>
        <v/>
      </c>
      <c r="B2666">
        <f>$B$3+$B$5*31</f>
        <v/>
      </c>
      <c r="C2666">
        <f>SUMPRODUCT(Calc!$K$3:$K$22*(Calc!$G$3:$G$22&lt;=A2666))</f>
        <v/>
      </c>
      <c r="D2666">
        <f>SUMPRODUCT(Calc!$K$3:$K$22*(Calc!$G$3:$G$22&gt;A2666)*(Calc!$G$3:$G$22&lt;B2666))</f>
        <v/>
      </c>
      <c r="E2666">
        <f>SUMPRODUCT(Calc!$K$3:$K$22*(Calc!$G$3:$G$22&gt;=B2666))</f>
        <v/>
      </c>
      <c r="F2666">
        <f>AND(k_n&gt;=5,B2666&gt;A2666+1E-9,C2666&gt;=2,D2666&gt;=1,E2666&gt;=2)</f>
        <v/>
      </c>
      <c r="G2666">
        <f>SUMPRODUCT(Calc!$K$3:$K$22*(Calc!$G$3:$G$22&gt;A2666)*(Calc!$G$3:$G$22-A2666))</f>
        <v/>
      </c>
      <c r="H2666">
        <f>SUMPRODUCT(Calc!$K$3:$K$22*(Calc!$G$3:$G$22&gt;B2666)*(Calc!$G$3:$G$22-B2666))</f>
        <v/>
      </c>
      <c r="I2666">
        <f>SUMPRODUCT(Calc!$K$3:$K$22*(Calc!$G$3:$G$22&gt;A2666)*(Calc!$G$3:$G$22-A2666)^2)</f>
        <v/>
      </c>
      <c r="J2666">
        <f>SUMPRODUCT(Calc!$K$3:$K$22*(Calc!$G$3:$G$22&gt;B2666)*(Calc!$G$3:$G$22-B2666)^2)</f>
        <v/>
      </c>
      <c r="K2666">
        <f>SUMPRODUCT(Calc!$K$3:$K$22*(Calc!$G$3:$G$22&gt;A2666)*(Calc!$G$3:$G$22-A2666)*(Calc!$G$3:$G$22&gt;B2666)*(Calc!$G$3:$G$22-B2666))</f>
        <v/>
      </c>
      <c r="L2666">
        <f>SUMPRODUCT(Calc!$K$3:$K$22*(Calc!$G$3:$G$22&gt;A2666)*(Calc!$G$3:$G$22-A2666)*Calc!$G$3:$G$22)</f>
        <v/>
      </c>
      <c r="M2666">
        <f>SUMPRODUCT(Calc!$K$3:$K$22*(Calc!$G$3:$G$22&gt;B2666)*(Calc!$G$3:$G$22-B2666)*Calc!$G$3:$G$22)</f>
        <v/>
      </c>
      <c r="N2666">
        <f>SUMPRODUCT(Calc!$K$3:$K$22*(Calc!$G$3:$G$22&gt;A2666)*(Calc!$G$3:$G$22-A2666)*Calc!$I$3:$I$22)</f>
        <v/>
      </c>
      <c r="O2666">
        <f>SUMPRODUCT(Calc!$K$3:$K$22*(Calc!$G$3:$G$22&gt;B2666)*(Calc!$G$3:$G$22-B2666)*Calc!$I$3:$I$22)</f>
        <v/>
      </c>
      <c r="P2666">
        <f>I2666-G2666^2/k_n</f>
        <v/>
      </c>
      <c r="Q2666">
        <f>J2666-H2666^2/k_n</f>
        <v/>
      </c>
      <c r="R2666">
        <f>K2666-G2666*H2666/k_n</f>
        <v/>
      </c>
      <c r="S2666">
        <f>L2666-LTP3!$D$3*G2666/k_n</f>
        <v/>
      </c>
      <c r="T2666">
        <f>M2666-LTP3!$D$3*H2666/k_n</f>
        <v/>
      </c>
      <c r="U2666">
        <f>N2666-G2666*LTP3!$D$4/k_n</f>
        <v/>
      </c>
      <c r="V2666">
        <f>O2666-H2666*LTP3!$D$4/k_n</f>
        <v/>
      </c>
      <c r="W2666">
        <f>((LTP3!$D$5)*((P2666)*(Q2666)-(R2666)*(R2666))-(S2666)*((S2666)*(Q2666)-(R2666)*(T2666))+(T2666)*((S2666)*(R2666)-(P2666)*(T2666)))</f>
        <v/>
      </c>
      <c r="X2666">
        <f>IF(ABS(W2666)&gt;1E-12,((LTP3!$D$6)*((P2666)*(Q2666)-(R2666)*(R2666))-(S2666)*((U2666)*(Q2666)-(R2666)*(V2666))+(T2666)*((U2666)*(R2666)-(P2666)*(V2666)))/W2666,0)</f>
        <v/>
      </c>
      <c r="Y2666">
        <f>IF(ABS(W2666)&gt;1E-12,((LTP3!$D$5)*((U2666)*(Q2666)-(R2666)*(V2666))-(LTP3!$D$6)*((S2666)*(Q2666)-(R2666)*(T2666))+(T2666)*((S2666)*(V2666)-(U2666)*(T2666)))/W2666,0)</f>
        <v/>
      </c>
      <c r="Z2666">
        <f>IF(ABS(W2666)&gt;1E-12,((LTP3!$D$5)*((P2666)*(V2666)-(U2666)*(R2666))-(S2666)*((S2666)*(V2666)-(U2666)*(T2666))+(LTP3!$D$6)*((S2666)*(R2666)-(P2666)*(T2666)))/W2666,0)</f>
        <v/>
      </c>
      <c r="AA2666">
        <f>LTP3!$D$7-X2666*LTP3!$D$6-Y2666*U2666-Z2666*V2666</f>
        <v/>
      </c>
      <c r="AB2666">
        <f>IF(AND(F2666,ABS(W2666)&gt;1E-12,Y2666&gt;0,Z2666&gt;0),AA2666,1E+300)</f>
        <v/>
      </c>
    </row>
    <row r="2667">
      <c r="A2667">
        <f>$B$3+$B$5*43</f>
        <v/>
      </c>
      <c r="B2667">
        <f>$B$3+$B$5*32</f>
        <v/>
      </c>
      <c r="C2667">
        <f>SUMPRODUCT(Calc!$K$3:$K$22*(Calc!$G$3:$G$22&lt;=A2667))</f>
        <v/>
      </c>
      <c r="D2667">
        <f>SUMPRODUCT(Calc!$K$3:$K$22*(Calc!$G$3:$G$22&gt;A2667)*(Calc!$G$3:$G$22&lt;B2667))</f>
        <v/>
      </c>
      <c r="E2667">
        <f>SUMPRODUCT(Calc!$K$3:$K$22*(Calc!$G$3:$G$22&gt;=B2667))</f>
        <v/>
      </c>
      <c r="F2667">
        <f>AND(k_n&gt;=5,B2667&gt;A2667+1E-9,C2667&gt;=2,D2667&gt;=1,E2667&gt;=2)</f>
        <v/>
      </c>
      <c r="G2667">
        <f>SUMPRODUCT(Calc!$K$3:$K$22*(Calc!$G$3:$G$22&gt;A2667)*(Calc!$G$3:$G$22-A2667))</f>
        <v/>
      </c>
      <c r="H2667">
        <f>SUMPRODUCT(Calc!$K$3:$K$22*(Calc!$G$3:$G$22&gt;B2667)*(Calc!$G$3:$G$22-B2667))</f>
        <v/>
      </c>
      <c r="I2667">
        <f>SUMPRODUCT(Calc!$K$3:$K$22*(Calc!$G$3:$G$22&gt;A2667)*(Calc!$G$3:$G$22-A2667)^2)</f>
        <v/>
      </c>
      <c r="J2667">
        <f>SUMPRODUCT(Calc!$K$3:$K$22*(Calc!$G$3:$G$22&gt;B2667)*(Calc!$G$3:$G$22-B2667)^2)</f>
        <v/>
      </c>
      <c r="K2667">
        <f>SUMPRODUCT(Calc!$K$3:$K$22*(Calc!$G$3:$G$22&gt;A2667)*(Calc!$G$3:$G$22-A2667)*(Calc!$G$3:$G$22&gt;B2667)*(Calc!$G$3:$G$22-B2667))</f>
        <v/>
      </c>
      <c r="L2667">
        <f>SUMPRODUCT(Calc!$K$3:$K$22*(Calc!$G$3:$G$22&gt;A2667)*(Calc!$G$3:$G$22-A2667)*Calc!$G$3:$G$22)</f>
        <v/>
      </c>
      <c r="M2667">
        <f>SUMPRODUCT(Calc!$K$3:$K$22*(Calc!$G$3:$G$22&gt;B2667)*(Calc!$G$3:$G$22-B2667)*Calc!$G$3:$G$22)</f>
        <v/>
      </c>
      <c r="N2667">
        <f>SUMPRODUCT(Calc!$K$3:$K$22*(Calc!$G$3:$G$22&gt;A2667)*(Calc!$G$3:$G$22-A2667)*Calc!$I$3:$I$22)</f>
        <v/>
      </c>
      <c r="O2667">
        <f>SUMPRODUCT(Calc!$K$3:$K$22*(Calc!$G$3:$G$22&gt;B2667)*(Calc!$G$3:$G$22-B2667)*Calc!$I$3:$I$22)</f>
        <v/>
      </c>
      <c r="P2667">
        <f>I2667-G2667^2/k_n</f>
        <v/>
      </c>
      <c r="Q2667">
        <f>J2667-H2667^2/k_n</f>
        <v/>
      </c>
      <c r="R2667">
        <f>K2667-G2667*H2667/k_n</f>
        <v/>
      </c>
      <c r="S2667">
        <f>L2667-LTP3!$D$3*G2667/k_n</f>
        <v/>
      </c>
      <c r="T2667">
        <f>M2667-LTP3!$D$3*H2667/k_n</f>
        <v/>
      </c>
      <c r="U2667">
        <f>N2667-G2667*LTP3!$D$4/k_n</f>
        <v/>
      </c>
      <c r="V2667">
        <f>O2667-H2667*LTP3!$D$4/k_n</f>
        <v/>
      </c>
      <c r="W2667">
        <f>((LTP3!$D$5)*((P2667)*(Q2667)-(R2667)*(R2667))-(S2667)*((S2667)*(Q2667)-(R2667)*(T2667))+(T2667)*((S2667)*(R2667)-(P2667)*(T2667)))</f>
        <v/>
      </c>
      <c r="X2667">
        <f>IF(ABS(W2667)&gt;1E-12,((LTP3!$D$6)*((P2667)*(Q2667)-(R2667)*(R2667))-(S2667)*((U2667)*(Q2667)-(R2667)*(V2667))+(T2667)*((U2667)*(R2667)-(P2667)*(V2667)))/W2667,0)</f>
        <v/>
      </c>
      <c r="Y2667">
        <f>IF(ABS(W2667)&gt;1E-12,((LTP3!$D$5)*((U2667)*(Q2667)-(R2667)*(V2667))-(LTP3!$D$6)*((S2667)*(Q2667)-(R2667)*(T2667))+(T2667)*((S2667)*(V2667)-(U2667)*(T2667)))/W2667,0)</f>
        <v/>
      </c>
      <c r="Z2667">
        <f>IF(ABS(W2667)&gt;1E-12,((LTP3!$D$5)*((P2667)*(V2667)-(U2667)*(R2667))-(S2667)*((S2667)*(V2667)-(U2667)*(T2667))+(LTP3!$D$6)*((S2667)*(R2667)-(P2667)*(T2667)))/W2667,0)</f>
        <v/>
      </c>
      <c r="AA2667">
        <f>LTP3!$D$7-X2667*LTP3!$D$6-Y2667*U2667-Z2667*V2667</f>
        <v/>
      </c>
      <c r="AB2667">
        <f>IF(AND(F2667,ABS(W2667)&gt;1E-12,Y2667&gt;0,Z2667&gt;0),AA2667,1E+300)</f>
        <v/>
      </c>
    </row>
    <row r="2668">
      <c r="A2668">
        <f>$B$3+$B$5*43</f>
        <v/>
      </c>
      <c r="B2668">
        <f>$B$3+$B$5*33</f>
        <v/>
      </c>
      <c r="C2668">
        <f>SUMPRODUCT(Calc!$K$3:$K$22*(Calc!$G$3:$G$22&lt;=A2668))</f>
        <v/>
      </c>
      <c r="D2668">
        <f>SUMPRODUCT(Calc!$K$3:$K$22*(Calc!$G$3:$G$22&gt;A2668)*(Calc!$G$3:$G$22&lt;B2668))</f>
        <v/>
      </c>
      <c r="E2668">
        <f>SUMPRODUCT(Calc!$K$3:$K$22*(Calc!$G$3:$G$22&gt;=B2668))</f>
        <v/>
      </c>
      <c r="F2668">
        <f>AND(k_n&gt;=5,B2668&gt;A2668+1E-9,C2668&gt;=2,D2668&gt;=1,E2668&gt;=2)</f>
        <v/>
      </c>
      <c r="G2668">
        <f>SUMPRODUCT(Calc!$K$3:$K$22*(Calc!$G$3:$G$22&gt;A2668)*(Calc!$G$3:$G$22-A2668))</f>
        <v/>
      </c>
      <c r="H2668">
        <f>SUMPRODUCT(Calc!$K$3:$K$22*(Calc!$G$3:$G$22&gt;B2668)*(Calc!$G$3:$G$22-B2668))</f>
        <v/>
      </c>
      <c r="I2668">
        <f>SUMPRODUCT(Calc!$K$3:$K$22*(Calc!$G$3:$G$22&gt;A2668)*(Calc!$G$3:$G$22-A2668)^2)</f>
        <v/>
      </c>
      <c r="J2668">
        <f>SUMPRODUCT(Calc!$K$3:$K$22*(Calc!$G$3:$G$22&gt;B2668)*(Calc!$G$3:$G$22-B2668)^2)</f>
        <v/>
      </c>
      <c r="K2668">
        <f>SUMPRODUCT(Calc!$K$3:$K$22*(Calc!$G$3:$G$22&gt;A2668)*(Calc!$G$3:$G$22-A2668)*(Calc!$G$3:$G$22&gt;B2668)*(Calc!$G$3:$G$22-B2668))</f>
        <v/>
      </c>
      <c r="L2668">
        <f>SUMPRODUCT(Calc!$K$3:$K$22*(Calc!$G$3:$G$22&gt;A2668)*(Calc!$G$3:$G$22-A2668)*Calc!$G$3:$G$22)</f>
        <v/>
      </c>
      <c r="M2668">
        <f>SUMPRODUCT(Calc!$K$3:$K$22*(Calc!$G$3:$G$22&gt;B2668)*(Calc!$G$3:$G$22-B2668)*Calc!$G$3:$G$22)</f>
        <v/>
      </c>
      <c r="N2668">
        <f>SUMPRODUCT(Calc!$K$3:$K$22*(Calc!$G$3:$G$22&gt;A2668)*(Calc!$G$3:$G$22-A2668)*Calc!$I$3:$I$22)</f>
        <v/>
      </c>
      <c r="O2668">
        <f>SUMPRODUCT(Calc!$K$3:$K$22*(Calc!$G$3:$G$22&gt;B2668)*(Calc!$G$3:$G$22-B2668)*Calc!$I$3:$I$22)</f>
        <v/>
      </c>
      <c r="P2668">
        <f>I2668-G2668^2/k_n</f>
        <v/>
      </c>
      <c r="Q2668">
        <f>J2668-H2668^2/k_n</f>
        <v/>
      </c>
      <c r="R2668">
        <f>K2668-G2668*H2668/k_n</f>
        <v/>
      </c>
      <c r="S2668">
        <f>L2668-LTP3!$D$3*G2668/k_n</f>
        <v/>
      </c>
      <c r="T2668">
        <f>M2668-LTP3!$D$3*H2668/k_n</f>
        <v/>
      </c>
      <c r="U2668">
        <f>N2668-G2668*LTP3!$D$4/k_n</f>
        <v/>
      </c>
      <c r="V2668">
        <f>O2668-H2668*LTP3!$D$4/k_n</f>
        <v/>
      </c>
      <c r="W2668">
        <f>((LTP3!$D$5)*((P2668)*(Q2668)-(R2668)*(R2668))-(S2668)*((S2668)*(Q2668)-(R2668)*(T2668))+(T2668)*((S2668)*(R2668)-(P2668)*(T2668)))</f>
        <v/>
      </c>
      <c r="X2668">
        <f>IF(ABS(W2668)&gt;1E-12,((LTP3!$D$6)*((P2668)*(Q2668)-(R2668)*(R2668))-(S2668)*((U2668)*(Q2668)-(R2668)*(V2668))+(T2668)*((U2668)*(R2668)-(P2668)*(V2668)))/W2668,0)</f>
        <v/>
      </c>
      <c r="Y2668">
        <f>IF(ABS(W2668)&gt;1E-12,((LTP3!$D$5)*((U2668)*(Q2668)-(R2668)*(V2668))-(LTP3!$D$6)*((S2668)*(Q2668)-(R2668)*(T2668))+(T2668)*((S2668)*(V2668)-(U2668)*(T2668)))/W2668,0)</f>
        <v/>
      </c>
      <c r="Z2668">
        <f>IF(ABS(W2668)&gt;1E-12,((LTP3!$D$5)*((P2668)*(V2668)-(U2668)*(R2668))-(S2668)*((S2668)*(V2668)-(U2668)*(T2668))+(LTP3!$D$6)*((S2668)*(R2668)-(P2668)*(T2668)))/W2668,0)</f>
        <v/>
      </c>
      <c r="AA2668">
        <f>LTP3!$D$7-X2668*LTP3!$D$6-Y2668*U2668-Z2668*V2668</f>
        <v/>
      </c>
      <c r="AB2668">
        <f>IF(AND(F2668,ABS(W2668)&gt;1E-12,Y2668&gt;0,Z2668&gt;0),AA2668,1E+300)</f>
        <v/>
      </c>
    </row>
    <row r="2669">
      <c r="A2669">
        <f>$B$3+$B$5*43</f>
        <v/>
      </c>
      <c r="B2669">
        <f>$B$3+$B$5*34</f>
        <v/>
      </c>
      <c r="C2669">
        <f>SUMPRODUCT(Calc!$K$3:$K$22*(Calc!$G$3:$G$22&lt;=A2669))</f>
        <v/>
      </c>
      <c r="D2669">
        <f>SUMPRODUCT(Calc!$K$3:$K$22*(Calc!$G$3:$G$22&gt;A2669)*(Calc!$G$3:$G$22&lt;B2669))</f>
        <v/>
      </c>
      <c r="E2669">
        <f>SUMPRODUCT(Calc!$K$3:$K$22*(Calc!$G$3:$G$22&gt;=B2669))</f>
        <v/>
      </c>
      <c r="F2669">
        <f>AND(k_n&gt;=5,B2669&gt;A2669+1E-9,C2669&gt;=2,D2669&gt;=1,E2669&gt;=2)</f>
        <v/>
      </c>
      <c r="G2669">
        <f>SUMPRODUCT(Calc!$K$3:$K$22*(Calc!$G$3:$G$22&gt;A2669)*(Calc!$G$3:$G$22-A2669))</f>
        <v/>
      </c>
      <c r="H2669">
        <f>SUMPRODUCT(Calc!$K$3:$K$22*(Calc!$G$3:$G$22&gt;B2669)*(Calc!$G$3:$G$22-B2669))</f>
        <v/>
      </c>
      <c r="I2669">
        <f>SUMPRODUCT(Calc!$K$3:$K$22*(Calc!$G$3:$G$22&gt;A2669)*(Calc!$G$3:$G$22-A2669)^2)</f>
        <v/>
      </c>
      <c r="J2669">
        <f>SUMPRODUCT(Calc!$K$3:$K$22*(Calc!$G$3:$G$22&gt;B2669)*(Calc!$G$3:$G$22-B2669)^2)</f>
        <v/>
      </c>
      <c r="K2669">
        <f>SUMPRODUCT(Calc!$K$3:$K$22*(Calc!$G$3:$G$22&gt;A2669)*(Calc!$G$3:$G$22-A2669)*(Calc!$G$3:$G$22&gt;B2669)*(Calc!$G$3:$G$22-B2669))</f>
        <v/>
      </c>
      <c r="L2669">
        <f>SUMPRODUCT(Calc!$K$3:$K$22*(Calc!$G$3:$G$22&gt;A2669)*(Calc!$G$3:$G$22-A2669)*Calc!$G$3:$G$22)</f>
        <v/>
      </c>
      <c r="M2669">
        <f>SUMPRODUCT(Calc!$K$3:$K$22*(Calc!$G$3:$G$22&gt;B2669)*(Calc!$G$3:$G$22-B2669)*Calc!$G$3:$G$22)</f>
        <v/>
      </c>
      <c r="N2669">
        <f>SUMPRODUCT(Calc!$K$3:$K$22*(Calc!$G$3:$G$22&gt;A2669)*(Calc!$G$3:$G$22-A2669)*Calc!$I$3:$I$22)</f>
        <v/>
      </c>
      <c r="O2669">
        <f>SUMPRODUCT(Calc!$K$3:$K$22*(Calc!$G$3:$G$22&gt;B2669)*(Calc!$G$3:$G$22-B2669)*Calc!$I$3:$I$22)</f>
        <v/>
      </c>
      <c r="P2669">
        <f>I2669-G2669^2/k_n</f>
        <v/>
      </c>
      <c r="Q2669">
        <f>J2669-H2669^2/k_n</f>
        <v/>
      </c>
      <c r="R2669">
        <f>K2669-G2669*H2669/k_n</f>
        <v/>
      </c>
      <c r="S2669">
        <f>L2669-LTP3!$D$3*G2669/k_n</f>
        <v/>
      </c>
      <c r="T2669">
        <f>M2669-LTP3!$D$3*H2669/k_n</f>
        <v/>
      </c>
      <c r="U2669">
        <f>N2669-G2669*LTP3!$D$4/k_n</f>
        <v/>
      </c>
      <c r="V2669">
        <f>O2669-H2669*LTP3!$D$4/k_n</f>
        <v/>
      </c>
      <c r="W2669">
        <f>((LTP3!$D$5)*((P2669)*(Q2669)-(R2669)*(R2669))-(S2669)*((S2669)*(Q2669)-(R2669)*(T2669))+(T2669)*((S2669)*(R2669)-(P2669)*(T2669)))</f>
        <v/>
      </c>
      <c r="X2669">
        <f>IF(ABS(W2669)&gt;1E-12,((LTP3!$D$6)*((P2669)*(Q2669)-(R2669)*(R2669))-(S2669)*((U2669)*(Q2669)-(R2669)*(V2669))+(T2669)*((U2669)*(R2669)-(P2669)*(V2669)))/W2669,0)</f>
        <v/>
      </c>
      <c r="Y2669">
        <f>IF(ABS(W2669)&gt;1E-12,((LTP3!$D$5)*((U2669)*(Q2669)-(R2669)*(V2669))-(LTP3!$D$6)*((S2669)*(Q2669)-(R2669)*(T2669))+(T2669)*((S2669)*(V2669)-(U2669)*(T2669)))/W2669,0)</f>
        <v/>
      </c>
      <c r="Z2669">
        <f>IF(ABS(W2669)&gt;1E-12,((LTP3!$D$5)*((P2669)*(V2669)-(U2669)*(R2669))-(S2669)*((S2669)*(V2669)-(U2669)*(T2669))+(LTP3!$D$6)*((S2669)*(R2669)-(P2669)*(T2669)))/W2669,0)</f>
        <v/>
      </c>
      <c r="AA2669">
        <f>LTP3!$D$7-X2669*LTP3!$D$6-Y2669*U2669-Z2669*V2669</f>
        <v/>
      </c>
      <c r="AB2669">
        <f>IF(AND(F2669,ABS(W2669)&gt;1E-12,Y2669&gt;0,Z2669&gt;0),AA2669,1E+300)</f>
        <v/>
      </c>
    </row>
    <row r="2670">
      <c r="A2670">
        <f>$B$3+$B$5*43</f>
        <v/>
      </c>
      <c r="B2670">
        <f>$B$3+$B$5*35</f>
        <v/>
      </c>
      <c r="C2670">
        <f>SUMPRODUCT(Calc!$K$3:$K$22*(Calc!$G$3:$G$22&lt;=A2670))</f>
        <v/>
      </c>
      <c r="D2670">
        <f>SUMPRODUCT(Calc!$K$3:$K$22*(Calc!$G$3:$G$22&gt;A2670)*(Calc!$G$3:$G$22&lt;B2670))</f>
        <v/>
      </c>
      <c r="E2670">
        <f>SUMPRODUCT(Calc!$K$3:$K$22*(Calc!$G$3:$G$22&gt;=B2670))</f>
        <v/>
      </c>
      <c r="F2670">
        <f>AND(k_n&gt;=5,B2670&gt;A2670+1E-9,C2670&gt;=2,D2670&gt;=1,E2670&gt;=2)</f>
        <v/>
      </c>
      <c r="G2670">
        <f>SUMPRODUCT(Calc!$K$3:$K$22*(Calc!$G$3:$G$22&gt;A2670)*(Calc!$G$3:$G$22-A2670))</f>
        <v/>
      </c>
      <c r="H2670">
        <f>SUMPRODUCT(Calc!$K$3:$K$22*(Calc!$G$3:$G$22&gt;B2670)*(Calc!$G$3:$G$22-B2670))</f>
        <v/>
      </c>
      <c r="I2670">
        <f>SUMPRODUCT(Calc!$K$3:$K$22*(Calc!$G$3:$G$22&gt;A2670)*(Calc!$G$3:$G$22-A2670)^2)</f>
        <v/>
      </c>
      <c r="J2670">
        <f>SUMPRODUCT(Calc!$K$3:$K$22*(Calc!$G$3:$G$22&gt;B2670)*(Calc!$G$3:$G$22-B2670)^2)</f>
        <v/>
      </c>
      <c r="K2670">
        <f>SUMPRODUCT(Calc!$K$3:$K$22*(Calc!$G$3:$G$22&gt;A2670)*(Calc!$G$3:$G$22-A2670)*(Calc!$G$3:$G$22&gt;B2670)*(Calc!$G$3:$G$22-B2670))</f>
        <v/>
      </c>
      <c r="L2670">
        <f>SUMPRODUCT(Calc!$K$3:$K$22*(Calc!$G$3:$G$22&gt;A2670)*(Calc!$G$3:$G$22-A2670)*Calc!$G$3:$G$22)</f>
        <v/>
      </c>
      <c r="M2670">
        <f>SUMPRODUCT(Calc!$K$3:$K$22*(Calc!$G$3:$G$22&gt;B2670)*(Calc!$G$3:$G$22-B2670)*Calc!$G$3:$G$22)</f>
        <v/>
      </c>
      <c r="N2670">
        <f>SUMPRODUCT(Calc!$K$3:$K$22*(Calc!$G$3:$G$22&gt;A2670)*(Calc!$G$3:$G$22-A2670)*Calc!$I$3:$I$22)</f>
        <v/>
      </c>
      <c r="O2670">
        <f>SUMPRODUCT(Calc!$K$3:$K$22*(Calc!$G$3:$G$22&gt;B2670)*(Calc!$G$3:$G$22-B2670)*Calc!$I$3:$I$22)</f>
        <v/>
      </c>
      <c r="P2670">
        <f>I2670-G2670^2/k_n</f>
        <v/>
      </c>
      <c r="Q2670">
        <f>J2670-H2670^2/k_n</f>
        <v/>
      </c>
      <c r="R2670">
        <f>K2670-G2670*H2670/k_n</f>
        <v/>
      </c>
      <c r="S2670">
        <f>L2670-LTP3!$D$3*G2670/k_n</f>
        <v/>
      </c>
      <c r="T2670">
        <f>M2670-LTP3!$D$3*H2670/k_n</f>
        <v/>
      </c>
      <c r="U2670">
        <f>N2670-G2670*LTP3!$D$4/k_n</f>
        <v/>
      </c>
      <c r="V2670">
        <f>O2670-H2670*LTP3!$D$4/k_n</f>
        <v/>
      </c>
      <c r="W2670">
        <f>((LTP3!$D$5)*((P2670)*(Q2670)-(R2670)*(R2670))-(S2670)*((S2670)*(Q2670)-(R2670)*(T2670))+(T2670)*((S2670)*(R2670)-(P2670)*(T2670)))</f>
        <v/>
      </c>
      <c r="X2670">
        <f>IF(ABS(W2670)&gt;1E-12,((LTP3!$D$6)*((P2670)*(Q2670)-(R2670)*(R2670))-(S2670)*((U2670)*(Q2670)-(R2670)*(V2670))+(T2670)*((U2670)*(R2670)-(P2670)*(V2670)))/W2670,0)</f>
        <v/>
      </c>
      <c r="Y2670">
        <f>IF(ABS(W2670)&gt;1E-12,((LTP3!$D$5)*((U2670)*(Q2670)-(R2670)*(V2670))-(LTP3!$D$6)*((S2670)*(Q2670)-(R2670)*(T2670))+(T2670)*((S2670)*(V2670)-(U2670)*(T2670)))/W2670,0)</f>
        <v/>
      </c>
      <c r="Z2670">
        <f>IF(ABS(W2670)&gt;1E-12,((LTP3!$D$5)*((P2670)*(V2670)-(U2670)*(R2670))-(S2670)*((S2670)*(V2670)-(U2670)*(T2670))+(LTP3!$D$6)*((S2670)*(R2670)-(P2670)*(T2670)))/W2670,0)</f>
        <v/>
      </c>
      <c r="AA2670">
        <f>LTP3!$D$7-X2670*LTP3!$D$6-Y2670*U2670-Z2670*V2670</f>
        <v/>
      </c>
      <c r="AB2670">
        <f>IF(AND(F2670,ABS(W2670)&gt;1E-12,Y2670&gt;0,Z2670&gt;0),AA2670,1E+300)</f>
        <v/>
      </c>
    </row>
    <row r="2671">
      <c r="A2671">
        <f>$B$3+$B$5*43</f>
        <v/>
      </c>
      <c r="B2671">
        <f>$B$3+$B$5*36</f>
        <v/>
      </c>
      <c r="C2671">
        <f>SUMPRODUCT(Calc!$K$3:$K$22*(Calc!$G$3:$G$22&lt;=A2671))</f>
        <v/>
      </c>
      <c r="D2671">
        <f>SUMPRODUCT(Calc!$K$3:$K$22*(Calc!$G$3:$G$22&gt;A2671)*(Calc!$G$3:$G$22&lt;B2671))</f>
        <v/>
      </c>
      <c r="E2671">
        <f>SUMPRODUCT(Calc!$K$3:$K$22*(Calc!$G$3:$G$22&gt;=B2671))</f>
        <v/>
      </c>
      <c r="F2671">
        <f>AND(k_n&gt;=5,B2671&gt;A2671+1E-9,C2671&gt;=2,D2671&gt;=1,E2671&gt;=2)</f>
        <v/>
      </c>
      <c r="G2671">
        <f>SUMPRODUCT(Calc!$K$3:$K$22*(Calc!$G$3:$G$22&gt;A2671)*(Calc!$G$3:$G$22-A2671))</f>
        <v/>
      </c>
      <c r="H2671">
        <f>SUMPRODUCT(Calc!$K$3:$K$22*(Calc!$G$3:$G$22&gt;B2671)*(Calc!$G$3:$G$22-B2671))</f>
        <v/>
      </c>
      <c r="I2671">
        <f>SUMPRODUCT(Calc!$K$3:$K$22*(Calc!$G$3:$G$22&gt;A2671)*(Calc!$G$3:$G$22-A2671)^2)</f>
        <v/>
      </c>
      <c r="J2671">
        <f>SUMPRODUCT(Calc!$K$3:$K$22*(Calc!$G$3:$G$22&gt;B2671)*(Calc!$G$3:$G$22-B2671)^2)</f>
        <v/>
      </c>
      <c r="K2671">
        <f>SUMPRODUCT(Calc!$K$3:$K$22*(Calc!$G$3:$G$22&gt;A2671)*(Calc!$G$3:$G$22-A2671)*(Calc!$G$3:$G$22&gt;B2671)*(Calc!$G$3:$G$22-B2671))</f>
        <v/>
      </c>
      <c r="L2671">
        <f>SUMPRODUCT(Calc!$K$3:$K$22*(Calc!$G$3:$G$22&gt;A2671)*(Calc!$G$3:$G$22-A2671)*Calc!$G$3:$G$22)</f>
        <v/>
      </c>
      <c r="M2671">
        <f>SUMPRODUCT(Calc!$K$3:$K$22*(Calc!$G$3:$G$22&gt;B2671)*(Calc!$G$3:$G$22-B2671)*Calc!$G$3:$G$22)</f>
        <v/>
      </c>
      <c r="N2671">
        <f>SUMPRODUCT(Calc!$K$3:$K$22*(Calc!$G$3:$G$22&gt;A2671)*(Calc!$G$3:$G$22-A2671)*Calc!$I$3:$I$22)</f>
        <v/>
      </c>
      <c r="O2671">
        <f>SUMPRODUCT(Calc!$K$3:$K$22*(Calc!$G$3:$G$22&gt;B2671)*(Calc!$G$3:$G$22-B2671)*Calc!$I$3:$I$22)</f>
        <v/>
      </c>
      <c r="P2671">
        <f>I2671-G2671^2/k_n</f>
        <v/>
      </c>
      <c r="Q2671">
        <f>J2671-H2671^2/k_n</f>
        <v/>
      </c>
      <c r="R2671">
        <f>K2671-G2671*H2671/k_n</f>
        <v/>
      </c>
      <c r="S2671">
        <f>L2671-LTP3!$D$3*G2671/k_n</f>
        <v/>
      </c>
      <c r="T2671">
        <f>M2671-LTP3!$D$3*H2671/k_n</f>
        <v/>
      </c>
      <c r="U2671">
        <f>N2671-G2671*LTP3!$D$4/k_n</f>
        <v/>
      </c>
      <c r="V2671">
        <f>O2671-H2671*LTP3!$D$4/k_n</f>
        <v/>
      </c>
      <c r="W2671">
        <f>((LTP3!$D$5)*((P2671)*(Q2671)-(R2671)*(R2671))-(S2671)*((S2671)*(Q2671)-(R2671)*(T2671))+(T2671)*((S2671)*(R2671)-(P2671)*(T2671)))</f>
        <v/>
      </c>
      <c r="X2671">
        <f>IF(ABS(W2671)&gt;1E-12,((LTP3!$D$6)*((P2671)*(Q2671)-(R2671)*(R2671))-(S2671)*((U2671)*(Q2671)-(R2671)*(V2671))+(T2671)*((U2671)*(R2671)-(P2671)*(V2671)))/W2671,0)</f>
        <v/>
      </c>
      <c r="Y2671">
        <f>IF(ABS(W2671)&gt;1E-12,((LTP3!$D$5)*((U2671)*(Q2671)-(R2671)*(V2671))-(LTP3!$D$6)*((S2671)*(Q2671)-(R2671)*(T2671))+(T2671)*((S2671)*(V2671)-(U2671)*(T2671)))/W2671,0)</f>
        <v/>
      </c>
      <c r="Z2671">
        <f>IF(ABS(W2671)&gt;1E-12,((LTP3!$D$5)*((P2671)*(V2671)-(U2671)*(R2671))-(S2671)*((S2671)*(V2671)-(U2671)*(T2671))+(LTP3!$D$6)*((S2671)*(R2671)-(P2671)*(T2671)))/W2671,0)</f>
        <v/>
      </c>
      <c r="AA2671">
        <f>LTP3!$D$7-X2671*LTP3!$D$6-Y2671*U2671-Z2671*V2671</f>
        <v/>
      </c>
      <c r="AB2671">
        <f>IF(AND(F2671,ABS(W2671)&gt;1E-12,Y2671&gt;0,Z2671&gt;0),AA2671,1E+300)</f>
        <v/>
      </c>
    </row>
    <row r="2672">
      <c r="A2672">
        <f>$B$3+$B$5*43</f>
        <v/>
      </c>
      <c r="B2672">
        <f>$B$3+$B$5*37</f>
        <v/>
      </c>
      <c r="C2672">
        <f>SUMPRODUCT(Calc!$K$3:$K$22*(Calc!$G$3:$G$22&lt;=A2672))</f>
        <v/>
      </c>
      <c r="D2672">
        <f>SUMPRODUCT(Calc!$K$3:$K$22*(Calc!$G$3:$G$22&gt;A2672)*(Calc!$G$3:$G$22&lt;B2672))</f>
        <v/>
      </c>
      <c r="E2672">
        <f>SUMPRODUCT(Calc!$K$3:$K$22*(Calc!$G$3:$G$22&gt;=B2672))</f>
        <v/>
      </c>
      <c r="F2672">
        <f>AND(k_n&gt;=5,B2672&gt;A2672+1E-9,C2672&gt;=2,D2672&gt;=1,E2672&gt;=2)</f>
        <v/>
      </c>
      <c r="G2672">
        <f>SUMPRODUCT(Calc!$K$3:$K$22*(Calc!$G$3:$G$22&gt;A2672)*(Calc!$G$3:$G$22-A2672))</f>
        <v/>
      </c>
      <c r="H2672">
        <f>SUMPRODUCT(Calc!$K$3:$K$22*(Calc!$G$3:$G$22&gt;B2672)*(Calc!$G$3:$G$22-B2672))</f>
        <v/>
      </c>
      <c r="I2672">
        <f>SUMPRODUCT(Calc!$K$3:$K$22*(Calc!$G$3:$G$22&gt;A2672)*(Calc!$G$3:$G$22-A2672)^2)</f>
        <v/>
      </c>
      <c r="J2672">
        <f>SUMPRODUCT(Calc!$K$3:$K$22*(Calc!$G$3:$G$22&gt;B2672)*(Calc!$G$3:$G$22-B2672)^2)</f>
        <v/>
      </c>
      <c r="K2672">
        <f>SUMPRODUCT(Calc!$K$3:$K$22*(Calc!$G$3:$G$22&gt;A2672)*(Calc!$G$3:$G$22-A2672)*(Calc!$G$3:$G$22&gt;B2672)*(Calc!$G$3:$G$22-B2672))</f>
        <v/>
      </c>
      <c r="L2672">
        <f>SUMPRODUCT(Calc!$K$3:$K$22*(Calc!$G$3:$G$22&gt;A2672)*(Calc!$G$3:$G$22-A2672)*Calc!$G$3:$G$22)</f>
        <v/>
      </c>
      <c r="M2672">
        <f>SUMPRODUCT(Calc!$K$3:$K$22*(Calc!$G$3:$G$22&gt;B2672)*(Calc!$G$3:$G$22-B2672)*Calc!$G$3:$G$22)</f>
        <v/>
      </c>
      <c r="N2672">
        <f>SUMPRODUCT(Calc!$K$3:$K$22*(Calc!$G$3:$G$22&gt;A2672)*(Calc!$G$3:$G$22-A2672)*Calc!$I$3:$I$22)</f>
        <v/>
      </c>
      <c r="O2672">
        <f>SUMPRODUCT(Calc!$K$3:$K$22*(Calc!$G$3:$G$22&gt;B2672)*(Calc!$G$3:$G$22-B2672)*Calc!$I$3:$I$22)</f>
        <v/>
      </c>
      <c r="P2672">
        <f>I2672-G2672^2/k_n</f>
        <v/>
      </c>
      <c r="Q2672">
        <f>J2672-H2672^2/k_n</f>
        <v/>
      </c>
      <c r="R2672">
        <f>K2672-G2672*H2672/k_n</f>
        <v/>
      </c>
      <c r="S2672">
        <f>L2672-LTP3!$D$3*G2672/k_n</f>
        <v/>
      </c>
      <c r="T2672">
        <f>M2672-LTP3!$D$3*H2672/k_n</f>
        <v/>
      </c>
      <c r="U2672">
        <f>N2672-G2672*LTP3!$D$4/k_n</f>
        <v/>
      </c>
      <c r="V2672">
        <f>O2672-H2672*LTP3!$D$4/k_n</f>
        <v/>
      </c>
      <c r="W2672">
        <f>((LTP3!$D$5)*((P2672)*(Q2672)-(R2672)*(R2672))-(S2672)*((S2672)*(Q2672)-(R2672)*(T2672))+(T2672)*((S2672)*(R2672)-(P2672)*(T2672)))</f>
        <v/>
      </c>
      <c r="X2672">
        <f>IF(ABS(W2672)&gt;1E-12,((LTP3!$D$6)*((P2672)*(Q2672)-(R2672)*(R2672))-(S2672)*((U2672)*(Q2672)-(R2672)*(V2672))+(T2672)*((U2672)*(R2672)-(P2672)*(V2672)))/W2672,0)</f>
        <v/>
      </c>
      <c r="Y2672">
        <f>IF(ABS(W2672)&gt;1E-12,((LTP3!$D$5)*((U2672)*(Q2672)-(R2672)*(V2672))-(LTP3!$D$6)*((S2672)*(Q2672)-(R2672)*(T2672))+(T2672)*((S2672)*(V2672)-(U2672)*(T2672)))/W2672,0)</f>
        <v/>
      </c>
      <c r="Z2672">
        <f>IF(ABS(W2672)&gt;1E-12,((LTP3!$D$5)*((P2672)*(V2672)-(U2672)*(R2672))-(S2672)*((S2672)*(V2672)-(U2672)*(T2672))+(LTP3!$D$6)*((S2672)*(R2672)-(P2672)*(T2672)))/W2672,0)</f>
        <v/>
      </c>
      <c r="AA2672">
        <f>LTP3!$D$7-X2672*LTP3!$D$6-Y2672*U2672-Z2672*V2672</f>
        <v/>
      </c>
      <c r="AB2672">
        <f>IF(AND(F2672,ABS(W2672)&gt;1E-12,Y2672&gt;0,Z2672&gt;0),AA2672,1E+300)</f>
        <v/>
      </c>
    </row>
    <row r="2673">
      <c r="A2673">
        <f>$B$3+$B$5*43</f>
        <v/>
      </c>
      <c r="B2673">
        <f>$B$3+$B$5*38</f>
        <v/>
      </c>
      <c r="C2673">
        <f>SUMPRODUCT(Calc!$K$3:$K$22*(Calc!$G$3:$G$22&lt;=A2673))</f>
        <v/>
      </c>
      <c r="D2673">
        <f>SUMPRODUCT(Calc!$K$3:$K$22*(Calc!$G$3:$G$22&gt;A2673)*(Calc!$G$3:$G$22&lt;B2673))</f>
        <v/>
      </c>
      <c r="E2673">
        <f>SUMPRODUCT(Calc!$K$3:$K$22*(Calc!$G$3:$G$22&gt;=B2673))</f>
        <v/>
      </c>
      <c r="F2673">
        <f>AND(k_n&gt;=5,B2673&gt;A2673+1E-9,C2673&gt;=2,D2673&gt;=1,E2673&gt;=2)</f>
        <v/>
      </c>
      <c r="G2673">
        <f>SUMPRODUCT(Calc!$K$3:$K$22*(Calc!$G$3:$G$22&gt;A2673)*(Calc!$G$3:$G$22-A2673))</f>
        <v/>
      </c>
      <c r="H2673">
        <f>SUMPRODUCT(Calc!$K$3:$K$22*(Calc!$G$3:$G$22&gt;B2673)*(Calc!$G$3:$G$22-B2673))</f>
        <v/>
      </c>
      <c r="I2673">
        <f>SUMPRODUCT(Calc!$K$3:$K$22*(Calc!$G$3:$G$22&gt;A2673)*(Calc!$G$3:$G$22-A2673)^2)</f>
        <v/>
      </c>
      <c r="J2673">
        <f>SUMPRODUCT(Calc!$K$3:$K$22*(Calc!$G$3:$G$22&gt;B2673)*(Calc!$G$3:$G$22-B2673)^2)</f>
        <v/>
      </c>
      <c r="K2673">
        <f>SUMPRODUCT(Calc!$K$3:$K$22*(Calc!$G$3:$G$22&gt;A2673)*(Calc!$G$3:$G$22-A2673)*(Calc!$G$3:$G$22&gt;B2673)*(Calc!$G$3:$G$22-B2673))</f>
        <v/>
      </c>
      <c r="L2673">
        <f>SUMPRODUCT(Calc!$K$3:$K$22*(Calc!$G$3:$G$22&gt;A2673)*(Calc!$G$3:$G$22-A2673)*Calc!$G$3:$G$22)</f>
        <v/>
      </c>
      <c r="M2673">
        <f>SUMPRODUCT(Calc!$K$3:$K$22*(Calc!$G$3:$G$22&gt;B2673)*(Calc!$G$3:$G$22-B2673)*Calc!$G$3:$G$22)</f>
        <v/>
      </c>
      <c r="N2673">
        <f>SUMPRODUCT(Calc!$K$3:$K$22*(Calc!$G$3:$G$22&gt;A2673)*(Calc!$G$3:$G$22-A2673)*Calc!$I$3:$I$22)</f>
        <v/>
      </c>
      <c r="O2673">
        <f>SUMPRODUCT(Calc!$K$3:$K$22*(Calc!$G$3:$G$22&gt;B2673)*(Calc!$G$3:$G$22-B2673)*Calc!$I$3:$I$22)</f>
        <v/>
      </c>
      <c r="P2673">
        <f>I2673-G2673^2/k_n</f>
        <v/>
      </c>
      <c r="Q2673">
        <f>J2673-H2673^2/k_n</f>
        <v/>
      </c>
      <c r="R2673">
        <f>K2673-G2673*H2673/k_n</f>
        <v/>
      </c>
      <c r="S2673">
        <f>L2673-LTP3!$D$3*G2673/k_n</f>
        <v/>
      </c>
      <c r="T2673">
        <f>M2673-LTP3!$D$3*H2673/k_n</f>
        <v/>
      </c>
      <c r="U2673">
        <f>N2673-G2673*LTP3!$D$4/k_n</f>
        <v/>
      </c>
      <c r="V2673">
        <f>O2673-H2673*LTP3!$D$4/k_n</f>
        <v/>
      </c>
      <c r="W2673">
        <f>((LTP3!$D$5)*((P2673)*(Q2673)-(R2673)*(R2673))-(S2673)*((S2673)*(Q2673)-(R2673)*(T2673))+(T2673)*((S2673)*(R2673)-(P2673)*(T2673)))</f>
        <v/>
      </c>
      <c r="X2673">
        <f>IF(ABS(W2673)&gt;1E-12,((LTP3!$D$6)*((P2673)*(Q2673)-(R2673)*(R2673))-(S2673)*((U2673)*(Q2673)-(R2673)*(V2673))+(T2673)*((U2673)*(R2673)-(P2673)*(V2673)))/W2673,0)</f>
        <v/>
      </c>
      <c r="Y2673">
        <f>IF(ABS(W2673)&gt;1E-12,((LTP3!$D$5)*((U2673)*(Q2673)-(R2673)*(V2673))-(LTP3!$D$6)*((S2673)*(Q2673)-(R2673)*(T2673))+(T2673)*((S2673)*(V2673)-(U2673)*(T2673)))/W2673,0)</f>
        <v/>
      </c>
      <c r="Z2673">
        <f>IF(ABS(W2673)&gt;1E-12,((LTP3!$D$5)*((P2673)*(V2673)-(U2673)*(R2673))-(S2673)*((S2673)*(V2673)-(U2673)*(T2673))+(LTP3!$D$6)*((S2673)*(R2673)-(P2673)*(T2673)))/W2673,0)</f>
        <v/>
      </c>
      <c r="AA2673">
        <f>LTP3!$D$7-X2673*LTP3!$D$6-Y2673*U2673-Z2673*V2673</f>
        <v/>
      </c>
      <c r="AB2673">
        <f>IF(AND(F2673,ABS(W2673)&gt;1E-12,Y2673&gt;0,Z2673&gt;0),AA2673,1E+300)</f>
        <v/>
      </c>
    </row>
    <row r="2674">
      <c r="A2674">
        <f>$B$3+$B$5*43</f>
        <v/>
      </c>
      <c r="B2674">
        <f>$B$3+$B$5*39</f>
        <v/>
      </c>
      <c r="C2674">
        <f>SUMPRODUCT(Calc!$K$3:$K$22*(Calc!$G$3:$G$22&lt;=A2674))</f>
        <v/>
      </c>
      <c r="D2674">
        <f>SUMPRODUCT(Calc!$K$3:$K$22*(Calc!$G$3:$G$22&gt;A2674)*(Calc!$G$3:$G$22&lt;B2674))</f>
        <v/>
      </c>
      <c r="E2674">
        <f>SUMPRODUCT(Calc!$K$3:$K$22*(Calc!$G$3:$G$22&gt;=B2674))</f>
        <v/>
      </c>
      <c r="F2674">
        <f>AND(k_n&gt;=5,B2674&gt;A2674+1E-9,C2674&gt;=2,D2674&gt;=1,E2674&gt;=2)</f>
        <v/>
      </c>
      <c r="G2674">
        <f>SUMPRODUCT(Calc!$K$3:$K$22*(Calc!$G$3:$G$22&gt;A2674)*(Calc!$G$3:$G$22-A2674))</f>
        <v/>
      </c>
      <c r="H2674">
        <f>SUMPRODUCT(Calc!$K$3:$K$22*(Calc!$G$3:$G$22&gt;B2674)*(Calc!$G$3:$G$22-B2674))</f>
        <v/>
      </c>
      <c r="I2674">
        <f>SUMPRODUCT(Calc!$K$3:$K$22*(Calc!$G$3:$G$22&gt;A2674)*(Calc!$G$3:$G$22-A2674)^2)</f>
        <v/>
      </c>
      <c r="J2674">
        <f>SUMPRODUCT(Calc!$K$3:$K$22*(Calc!$G$3:$G$22&gt;B2674)*(Calc!$G$3:$G$22-B2674)^2)</f>
        <v/>
      </c>
      <c r="K2674">
        <f>SUMPRODUCT(Calc!$K$3:$K$22*(Calc!$G$3:$G$22&gt;A2674)*(Calc!$G$3:$G$22-A2674)*(Calc!$G$3:$G$22&gt;B2674)*(Calc!$G$3:$G$22-B2674))</f>
        <v/>
      </c>
      <c r="L2674">
        <f>SUMPRODUCT(Calc!$K$3:$K$22*(Calc!$G$3:$G$22&gt;A2674)*(Calc!$G$3:$G$22-A2674)*Calc!$G$3:$G$22)</f>
        <v/>
      </c>
      <c r="M2674">
        <f>SUMPRODUCT(Calc!$K$3:$K$22*(Calc!$G$3:$G$22&gt;B2674)*(Calc!$G$3:$G$22-B2674)*Calc!$G$3:$G$22)</f>
        <v/>
      </c>
      <c r="N2674">
        <f>SUMPRODUCT(Calc!$K$3:$K$22*(Calc!$G$3:$G$22&gt;A2674)*(Calc!$G$3:$G$22-A2674)*Calc!$I$3:$I$22)</f>
        <v/>
      </c>
      <c r="O2674">
        <f>SUMPRODUCT(Calc!$K$3:$K$22*(Calc!$G$3:$G$22&gt;B2674)*(Calc!$G$3:$G$22-B2674)*Calc!$I$3:$I$22)</f>
        <v/>
      </c>
      <c r="P2674">
        <f>I2674-G2674^2/k_n</f>
        <v/>
      </c>
      <c r="Q2674">
        <f>J2674-H2674^2/k_n</f>
        <v/>
      </c>
      <c r="R2674">
        <f>K2674-G2674*H2674/k_n</f>
        <v/>
      </c>
      <c r="S2674">
        <f>L2674-LTP3!$D$3*G2674/k_n</f>
        <v/>
      </c>
      <c r="T2674">
        <f>M2674-LTP3!$D$3*H2674/k_n</f>
        <v/>
      </c>
      <c r="U2674">
        <f>N2674-G2674*LTP3!$D$4/k_n</f>
        <v/>
      </c>
      <c r="V2674">
        <f>O2674-H2674*LTP3!$D$4/k_n</f>
        <v/>
      </c>
      <c r="W2674">
        <f>((LTP3!$D$5)*((P2674)*(Q2674)-(R2674)*(R2674))-(S2674)*((S2674)*(Q2674)-(R2674)*(T2674))+(T2674)*((S2674)*(R2674)-(P2674)*(T2674)))</f>
        <v/>
      </c>
      <c r="X2674">
        <f>IF(ABS(W2674)&gt;1E-12,((LTP3!$D$6)*((P2674)*(Q2674)-(R2674)*(R2674))-(S2674)*((U2674)*(Q2674)-(R2674)*(V2674))+(T2674)*((U2674)*(R2674)-(P2674)*(V2674)))/W2674,0)</f>
        <v/>
      </c>
      <c r="Y2674">
        <f>IF(ABS(W2674)&gt;1E-12,((LTP3!$D$5)*((U2674)*(Q2674)-(R2674)*(V2674))-(LTP3!$D$6)*((S2674)*(Q2674)-(R2674)*(T2674))+(T2674)*((S2674)*(V2674)-(U2674)*(T2674)))/W2674,0)</f>
        <v/>
      </c>
      <c r="Z2674">
        <f>IF(ABS(W2674)&gt;1E-12,((LTP3!$D$5)*((P2674)*(V2674)-(U2674)*(R2674))-(S2674)*((S2674)*(V2674)-(U2674)*(T2674))+(LTP3!$D$6)*((S2674)*(R2674)-(P2674)*(T2674)))/W2674,0)</f>
        <v/>
      </c>
      <c r="AA2674">
        <f>LTP3!$D$7-X2674*LTP3!$D$6-Y2674*U2674-Z2674*V2674</f>
        <v/>
      </c>
      <c r="AB2674">
        <f>IF(AND(F2674,ABS(W2674)&gt;1E-12,Y2674&gt;0,Z2674&gt;0),AA2674,1E+300)</f>
        <v/>
      </c>
    </row>
    <row r="2675">
      <c r="A2675">
        <f>$B$3+$B$5*43</f>
        <v/>
      </c>
      <c r="B2675">
        <f>$B$3+$B$5*40</f>
        <v/>
      </c>
      <c r="C2675">
        <f>SUMPRODUCT(Calc!$K$3:$K$22*(Calc!$G$3:$G$22&lt;=A2675))</f>
        <v/>
      </c>
      <c r="D2675">
        <f>SUMPRODUCT(Calc!$K$3:$K$22*(Calc!$G$3:$G$22&gt;A2675)*(Calc!$G$3:$G$22&lt;B2675))</f>
        <v/>
      </c>
      <c r="E2675">
        <f>SUMPRODUCT(Calc!$K$3:$K$22*(Calc!$G$3:$G$22&gt;=B2675))</f>
        <v/>
      </c>
      <c r="F2675">
        <f>AND(k_n&gt;=5,B2675&gt;A2675+1E-9,C2675&gt;=2,D2675&gt;=1,E2675&gt;=2)</f>
        <v/>
      </c>
      <c r="G2675">
        <f>SUMPRODUCT(Calc!$K$3:$K$22*(Calc!$G$3:$G$22&gt;A2675)*(Calc!$G$3:$G$22-A2675))</f>
        <v/>
      </c>
      <c r="H2675">
        <f>SUMPRODUCT(Calc!$K$3:$K$22*(Calc!$G$3:$G$22&gt;B2675)*(Calc!$G$3:$G$22-B2675))</f>
        <v/>
      </c>
      <c r="I2675">
        <f>SUMPRODUCT(Calc!$K$3:$K$22*(Calc!$G$3:$G$22&gt;A2675)*(Calc!$G$3:$G$22-A2675)^2)</f>
        <v/>
      </c>
      <c r="J2675">
        <f>SUMPRODUCT(Calc!$K$3:$K$22*(Calc!$G$3:$G$22&gt;B2675)*(Calc!$G$3:$G$22-B2675)^2)</f>
        <v/>
      </c>
      <c r="K2675">
        <f>SUMPRODUCT(Calc!$K$3:$K$22*(Calc!$G$3:$G$22&gt;A2675)*(Calc!$G$3:$G$22-A2675)*(Calc!$G$3:$G$22&gt;B2675)*(Calc!$G$3:$G$22-B2675))</f>
        <v/>
      </c>
      <c r="L2675">
        <f>SUMPRODUCT(Calc!$K$3:$K$22*(Calc!$G$3:$G$22&gt;A2675)*(Calc!$G$3:$G$22-A2675)*Calc!$G$3:$G$22)</f>
        <v/>
      </c>
      <c r="M2675">
        <f>SUMPRODUCT(Calc!$K$3:$K$22*(Calc!$G$3:$G$22&gt;B2675)*(Calc!$G$3:$G$22-B2675)*Calc!$G$3:$G$22)</f>
        <v/>
      </c>
      <c r="N2675">
        <f>SUMPRODUCT(Calc!$K$3:$K$22*(Calc!$G$3:$G$22&gt;A2675)*(Calc!$G$3:$G$22-A2675)*Calc!$I$3:$I$22)</f>
        <v/>
      </c>
      <c r="O2675">
        <f>SUMPRODUCT(Calc!$K$3:$K$22*(Calc!$G$3:$G$22&gt;B2675)*(Calc!$G$3:$G$22-B2675)*Calc!$I$3:$I$22)</f>
        <v/>
      </c>
      <c r="P2675">
        <f>I2675-G2675^2/k_n</f>
        <v/>
      </c>
      <c r="Q2675">
        <f>J2675-H2675^2/k_n</f>
        <v/>
      </c>
      <c r="R2675">
        <f>K2675-G2675*H2675/k_n</f>
        <v/>
      </c>
      <c r="S2675">
        <f>L2675-LTP3!$D$3*G2675/k_n</f>
        <v/>
      </c>
      <c r="T2675">
        <f>M2675-LTP3!$D$3*H2675/k_n</f>
        <v/>
      </c>
      <c r="U2675">
        <f>N2675-G2675*LTP3!$D$4/k_n</f>
        <v/>
      </c>
      <c r="V2675">
        <f>O2675-H2675*LTP3!$D$4/k_n</f>
        <v/>
      </c>
      <c r="W2675">
        <f>((LTP3!$D$5)*((P2675)*(Q2675)-(R2675)*(R2675))-(S2675)*((S2675)*(Q2675)-(R2675)*(T2675))+(T2675)*((S2675)*(R2675)-(P2675)*(T2675)))</f>
        <v/>
      </c>
      <c r="X2675">
        <f>IF(ABS(W2675)&gt;1E-12,((LTP3!$D$6)*((P2675)*(Q2675)-(R2675)*(R2675))-(S2675)*((U2675)*(Q2675)-(R2675)*(V2675))+(T2675)*((U2675)*(R2675)-(P2675)*(V2675)))/W2675,0)</f>
        <v/>
      </c>
      <c r="Y2675">
        <f>IF(ABS(W2675)&gt;1E-12,((LTP3!$D$5)*((U2675)*(Q2675)-(R2675)*(V2675))-(LTP3!$D$6)*((S2675)*(Q2675)-(R2675)*(T2675))+(T2675)*((S2675)*(V2675)-(U2675)*(T2675)))/W2675,0)</f>
        <v/>
      </c>
      <c r="Z2675">
        <f>IF(ABS(W2675)&gt;1E-12,((LTP3!$D$5)*((P2675)*(V2675)-(U2675)*(R2675))-(S2675)*((S2675)*(V2675)-(U2675)*(T2675))+(LTP3!$D$6)*((S2675)*(R2675)-(P2675)*(T2675)))/W2675,0)</f>
        <v/>
      </c>
      <c r="AA2675">
        <f>LTP3!$D$7-X2675*LTP3!$D$6-Y2675*U2675-Z2675*V2675</f>
        <v/>
      </c>
      <c r="AB2675">
        <f>IF(AND(F2675,ABS(W2675)&gt;1E-12,Y2675&gt;0,Z2675&gt;0),AA2675,1E+300)</f>
        <v/>
      </c>
    </row>
    <row r="2676">
      <c r="A2676">
        <f>$B$3+$B$5*43</f>
        <v/>
      </c>
      <c r="B2676">
        <f>$B$3+$B$5*41</f>
        <v/>
      </c>
      <c r="C2676">
        <f>SUMPRODUCT(Calc!$K$3:$K$22*(Calc!$G$3:$G$22&lt;=A2676))</f>
        <v/>
      </c>
      <c r="D2676">
        <f>SUMPRODUCT(Calc!$K$3:$K$22*(Calc!$G$3:$G$22&gt;A2676)*(Calc!$G$3:$G$22&lt;B2676))</f>
        <v/>
      </c>
      <c r="E2676">
        <f>SUMPRODUCT(Calc!$K$3:$K$22*(Calc!$G$3:$G$22&gt;=B2676))</f>
        <v/>
      </c>
      <c r="F2676">
        <f>AND(k_n&gt;=5,B2676&gt;A2676+1E-9,C2676&gt;=2,D2676&gt;=1,E2676&gt;=2)</f>
        <v/>
      </c>
      <c r="G2676">
        <f>SUMPRODUCT(Calc!$K$3:$K$22*(Calc!$G$3:$G$22&gt;A2676)*(Calc!$G$3:$G$22-A2676))</f>
        <v/>
      </c>
      <c r="H2676">
        <f>SUMPRODUCT(Calc!$K$3:$K$22*(Calc!$G$3:$G$22&gt;B2676)*(Calc!$G$3:$G$22-B2676))</f>
        <v/>
      </c>
      <c r="I2676">
        <f>SUMPRODUCT(Calc!$K$3:$K$22*(Calc!$G$3:$G$22&gt;A2676)*(Calc!$G$3:$G$22-A2676)^2)</f>
        <v/>
      </c>
      <c r="J2676">
        <f>SUMPRODUCT(Calc!$K$3:$K$22*(Calc!$G$3:$G$22&gt;B2676)*(Calc!$G$3:$G$22-B2676)^2)</f>
        <v/>
      </c>
      <c r="K2676">
        <f>SUMPRODUCT(Calc!$K$3:$K$22*(Calc!$G$3:$G$22&gt;A2676)*(Calc!$G$3:$G$22-A2676)*(Calc!$G$3:$G$22&gt;B2676)*(Calc!$G$3:$G$22-B2676))</f>
        <v/>
      </c>
      <c r="L2676">
        <f>SUMPRODUCT(Calc!$K$3:$K$22*(Calc!$G$3:$G$22&gt;A2676)*(Calc!$G$3:$G$22-A2676)*Calc!$G$3:$G$22)</f>
        <v/>
      </c>
      <c r="M2676">
        <f>SUMPRODUCT(Calc!$K$3:$K$22*(Calc!$G$3:$G$22&gt;B2676)*(Calc!$G$3:$G$22-B2676)*Calc!$G$3:$G$22)</f>
        <v/>
      </c>
      <c r="N2676">
        <f>SUMPRODUCT(Calc!$K$3:$K$22*(Calc!$G$3:$G$22&gt;A2676)*(Calc!$G$3:$G$22-A2676)*Calc!$I$3:$I$22)</f>
        <v/>
      </c>
      <c r="O2676">
        <f>SUMPRODUCT(Calc!$K$3:$K$22*(Calc!$G$3:$G$22&gt;B2676)*(Calc!$G$3:$G$22-B2676)*Calc!$I$3:$I$22)</f>
        <v/>
      </c>
      <c r="P2676">
        <f>I2676-G2676^2/k_n</f>
        <v/>
      </c>
      <c r="Q2676">
        <f>J2676-H2676^2/k_n</f>
        <v/>
      </c>
      <c r="R2676">
        <f>K2676-G2676*H2676/k_n</f>
        <v/>
      </c>
      <c r="S2676">
        <f>L2676-LTP3!$D$3*G2676/k_n</f>
        <v/>
      </c>
      <c r="T2676">
        <f>M2676-LTP3!$D$3*H2676/k_n</f>
        <v/>
      </c>
      <c r="U2676">
        <f>N2676-G2676*LTP3!$D$4/k_n</f>
        <v/>
      </c>
      <c r="V2676">
        <f>O2676-H2676*LTP3!$D$4/k_n</f>
        <v/>
      </c>
      <c r="W2676">
        <f>((LTP3!$D$5)*((P2676)*(Q2676)-(R2676)*(R2676))-(S2676)*((S2676)*(Q2676)-(R2676)*(T2676))+(T2676)*((S2676)*(R2676)-(P2676)*(T2676)))</f>
        <v/>
      </c>
      <c r="X2676">
        <f>IF(ABS(W2676)&gt;1E-12,((LTP3!$D$6)*((P2676)*(Q2676)-(R2676)*(R2676))-(S2676)*((U2676)*(Q2676)-(R2676)*(V2676))+(T2676)*((U2676)*(R2676)-(P2676)*(V2676)))/W2676,0)</f>
        <v/>
      </c>
      <c r="Y2676">
        <f>IF(ABS(W2676)&gt;1E-12,((LTP3!$D$5)*((U2676)*(Q2676)-(R2676)*(V2676))-(LTP3!$D$6)*((S2676)*(Q2676)-(R2676)*(T2676))+(T2676)*((S2676)*(V2676)-(U2676)*(T2676)))/W2676,0)</f>
        <v/>
      </c>
      <c r="Z2676">
        <f>IF(ABS(W2676)&gt;1E-12,((LTP3!$D$5)*((P2676)*(V2676)-(U2676)*(R2676))-(S2676)*((S2676)*(V2676)-(U2676)*(T2676))+(LTP3!$D$6)*((S2676)*(R2676)-(P2676)*(T2676)))/W2676,0)</f>
        <v/>
      </c>
      <c r="AA2676">
        <f>LTP3!$D$7-X2676*LTP3!$D$6-Y2676*U2676-Z2676*V2676</f>
        <v/>
      </c>
      <c r="AB2676">
        <f>IF(AND(F2676,ABS(W2676)&gt;1E-12,Y2676&gt;0,Z2676&gt;0),AA2676,1E+300)</f>
        <v/>
      </c>
    </row>
    <row r="2677">
      <c r="A2677">
        <f>$B$3+$B$5*43</f>
        <v/>
      </c>
      <c r="B2677">
        <f>$B$3+$B$5*42</f>
        <v/>
      </c>
      <c r="C2677">
        <f>SUMPRODUCT(Calc!$K$3:$K$22*(Calc!$G$3:$G$22&lt;=A2677))</f>
        <v/>
      </c>
      <c r="D2677">
        <f>SUMPRODUCT(Calc!$K$3:$K$22*(Calc!$G$3:$G$22&gt;A2677)*(Calc!$G$3:$G$22&lt;B2677))</f>
        <v/>
      </c>
      <c r="E2677">
        <f>SUMPRODUCT(Calc!$K$3:$K$22*(Calc!$G$3:$G$22&gt;=B2677))</f>
        <v/>
      </c>
      <c r="F2677">
        <f>AND(k_n&gt;=5,B2677&gt;A2677+1E-9,C2677&gt;=2,D2677&gt;=1,E2677&gt;=2)</f>
        <v/>
      </c>
      <c r="G2677">
        <f>SUMPRODUCT(Calc!$K$3:$K$22*(Calc!$G$3:$G$22&gt;A2677)*(Calc!$G$3:$G$22-A2677))</f>
        <v/>
      </c>
      <c r="H2677">
        <f>SUMPRODUCT(Calc!$K$3:$K$22*(Calc!$G$3:$G$22&gt;B2677)*(Calc!$G$3:$G$22-B2677))</f>
        <v/>
      </c>
      <c r="I2677">
        <f>SUMPRODUCT(Calc!$K$3:$K$22*(Calc!$G$3:$G$22&gt;A2677)*(Calc!$G$3:$G$22-A2677)^2)</f>
        <v/>
      </c>
      <c r="J2677">
        <f>SUMPRODUCT(Calc!$K$3:$K$22*(Calc!$G$3:$G$22&gt;B2677)*(Calc!$G$3:$G$22-B2677)^2)</f>
        <v/>
      </c>
      <c r="K2677">
        <f>SUMPRODUCT(Calc!$K$3:$K$22*(Calc!$G$3:$G$22&gt;A2677)*(Calc!$G$3:$G$22-A2677)*(Calc!$G$3:$G$22&gt;B2677)*(Calc!$G$3:$G$22-B2677))</f>
        <v/>
      </c>
      <c r="L2677">
        <f>SUMPRODUCT(Calc!$K$3:$K$22*(Calc!$G$3:$G$22&gt;A2677)*(Calc!$G$3:$G$22-A2677)*Calc!$G$3:$G$22)</f>
        <v/>
      </c>
      <c r="M2677">
        <f>SUMPRODUCT(Calc!$K$3:$K$22*(Calc!$G$3:$G$22&gt;B2677)*(Calc!$G$3:$G$22-B2677)*Calc!$G$3:$G$22)</f>
        <v/>
      </c>
      <c r="N2677">
        <f>SUMPRODUCT(Calc!$K$3:$K$22*(Calc!$G$3:$G$22&gt;A2677)*(Calc!$G$3:$G$22-A2677)*Calc!$I$3:$I$22)</f>
        <v/>
      </c>
      <c r="O2677">
        <f>SUMPRODUCT(Calc!$K$3:$K$22*(Calc!$G$3:$G$22&gt;B2677)*(Calc!$G$3:$G$22-B2677)*Calc!$I$3:$I$22)</f>
        <v/>
      </c>
      <c r="P2677">
        <f>I2677-G2677^2/k_n</f>
        <v/>
      </c>
      <c r="Q2677">
        <f>J2677-H2677^2/k_n</f>
        <v/>
      </c>
      <c r="R2677">
        <f>K2677-G2677*H2677/k_n</f>
        <v/>
      </c>
      <c r="S2677">
        <f>L2677-LTP3!$D$3*G2677/k_n</f>
        <v/>
      </c>
      <c r="T2677">
        <f>M2677-LTP3!$D$3*H2677/k_n</f>
        <v/>
      </c>
      <c r="U2677">
        <f>N2677-G2677*LTP3!$D$4/k_n</f>
        <v/>
      </c>
      <c r="V2677">
        <f>O2677-H2677*LTP3!$D$4/k_n</f>
        <v/>
      </c>
      <c r="W2677">
        <f>((LTP3!$D$5)*((P2677)*(Q2677)-(R2677)*(R2677))-(S2677)*((S2677)*(Q2677)-(R2677)*(T2677))+(T2677)*((S2677)*(R2677)-(P2677)*(T2677)))</f>
        <v/>
      </c>
      <c r="X2677">
        <f>IF(ABS(W2677)&gt;1E-12,((LTP3!$D$6)*((P2677)*(Q2677)-(R2677)*(R2677))-(S2677)*((U2677)*(Q2677)-(R2677)*(V2677))+(T2677)*((U2677)*(R2677)-(P2677)*(V2677)))/W2677,0)</f>
        <v/>
      </c>
      <c r="Y2677">
        <f>IF(ABS(W2677)&gt;1E-12,((LTP3!$D$5)*((U2677)*(Q2677)-(R2677)*(V2677))-(LTP3!$D$6)*((S2677)*(Q2677)-(R2677)*(T2677))+(T2677)*((S2677)*(V2677)-(U2677)*(T2677)))/W2677,0)</f>
        <v/>
      </c>
      <c r="Z2677">
        <f>IF(ABS(W2677)&gt;1E-12,((LTP3!$D$5)*((P2677)*(V2677)-(U2677)*(R2677))-(S2677)*((S2677)*(V2677)-(U2677)*(T2677))+(LTP3!$D$6)*((S2677)*(R2677)-(P2677)*(T2677)))/W2677,0)</f>
        <v/>
      </c>
      <c r="AA2677">
        <f>LTP3!$D$7-X2677*LTP3!$D$6-Y2677*U2677-Z2677*V2677</f>
        <v/>
      </c>
      <c r="AB2677">
        <f>IF(AND(F2677,ABS(W2677)&gt;1E-12,Y2677&gt;0,Z2677&gt;0),AA2677,1E+300)</f>
        <v/>
      </c>
    </row>
    <row r="2678">
      <c r="A2678">
        <f>$B$3+$B$5*43</f>
        <v/>
      </c>
      <c r="B2678">
        <f>$B$3+$B$5*43</f>
        <v/>
      </c>
      <c r="C2678">
        <f>SUMPRODUCT(Calc!$K$3:$K$22*(Calc!$G$3:$G$22&lt;=A2678))</f>
        <v/>
      </c>
      <c r="D2678">
        <f>SUMPRODUCT(Calc!$K$3:$K$22*(Calc!$G$3:$G$22&gt;A2678)*(Calc!$G$3:$G$22&lt;B2678))</f>
        <v/>
      </c>
      <c r="E2678">
        <f>SUMPRODUCT(Calc!$K$3:$K$22*(Calc!$G$3:$G$22&gt;=B2678))</f>
        <v/>
      </c>
      <c r="F2678">
        <f>AND(k_n&gt;=5,B2678&gt;A2678+1E-9,C2678&gt;=2,D2678&gt;=1,E2678&gt;=2)</f>
        <v/>
      </c>
      <c r="G2678">
        <f>SUMPRODUCT(Calc!$K$3:$K$22*(Calc!$G$3:$G$22&gt;A2678)*(Calc!$G$3:$G$22-A2678))</f>
        <v/>
      </c>
      <c r="H2678">
        <f>SUMPRODUCT(Calc!$K$3:$K$22*(Calc!$G$3:$G$22&gt;B2678)*(Calc!$G$3:$G$22-B2678))</f>
        <v/>
      </c>
      <c r="I2678">
        <f>SUMPRODUCT(Calc!$K$3:$K$22*(Calc!$G$3:$G$22&gt;A2678)*(Calc!$G$3:$G$22-A2678)^2)</f>
        <v/>
      </c>
      <c r="J2678">
        <f>SUMPRODUCT(Calc!$K$3:$K$22*(Calc!$G$3:$G$22&gt;B2678)*(Calc!$G$3:$G$22-B2678)^2)</f>
        <v/>
      </c>
      <c r="K2678">
        <f>SUMPRODUCT(Calc!$K$3:$K$22*(Calc!$G$3:$G$22&gt;A2678)*(Calc!$G$3:$G$22-A2678)*(Calc!$G$3:$G$22&gt;B2678)*(Calc!$G$3:$G$22-B2678))</f>
        <v/>
      </c>
      <c r="L2678">
        <f>SUMPRODUCT(Calc!$K$3:$K$22*(Calc!$G$3:$G$22&gt;A2678)*(Calc!$G$3:$G$22-A2678)*Calc!$G$3:$G$22)</f>
        <v/>
      </c>
      <c r="M2678">
        <f>SUMPRODUCT(Calc!$K$3:$K$22*(Calc!$G$3:$G$22&gt;B2678)*(Calc!$G$3:$G$22-B2678)*Calc!$G$3:$G$22)</f>
        <v/>
      </c>
      <c r="N2678">
        <f>SUMPRODUCT(Calc!$K$3:$K$22*(Calc!$G$3:$G$22&gt;A2678)*(Calc!$G$3:$G$22-A2678)*Calc!$I$3:$I$22)</f>
        <v/>
      </c>
      <c r="O2678">
        <f>SUMPRODUCT(Calc!$K$3:$K$22*(Calc!$G$3:$G$22&gt;B2678)*(Calc!$G$3:$G$22-B2678)*Calc!$I$3:$I$22)</f>
        <v/>
      </c>
      <c r="P2678">
        <f>I2678-G2678^2/k_n</f>
        <v/>
      </c>
      <c r="Q2678">
        <f>J2678-H2678^2/k_n</f>
        <v/>
      </c>
      <c r="R2678">
        <f>K2678-G2678*H2678/k_n</f>
        <v/>
      </c>
      <c r="S2678">
        <f>L2678-LTP3!$D$3*G2678/k_n</f>
        <v/>
      </c>
      <c r="T2678">
        <f>M2678-LTP3!$D$3*H2678/k_n</f>
        <v/>
      </c>
      <c r="U2678">
        <f>N2678-G2678*LTP3!$D$4/k_n</f>
        <v/>
      </c>
      <c r="V2678">
        <f>O2678-H2678*LTP3!$D$4/k_n</f>
        <v/>
      </c>
      <c r="W2678">
        <f>((LTP3!$D$5)*((P2678)*(Q2678)-(R2678)*(R2678))-(S2678)*((S2678)*(Q2678)-(R2678)*(T2678))+(T2678)*((S2678)*(R2678)-(P2678)*(T2678)))</f>
        <v/>
      </c>
      <c r="X2678">
        <f>IF(ABS(W2678)&gt;1E-12,((LTP3!$D$6)*((P2678)*(Q2678)-(R2678)*(R2678))-(S2678)*((U2678)*(Q2678)-(R2678)*(V2678))+(T2678)*((U2678)*(R2678)-(P2678)*(V2678)))/W2678,0)</f>
        <v/>
      </c>
      <c r="Y2678">
        <f>IF(ABS(W2678)&gt;1E-12,((LTP3!$D$5)*((U2678)*(Q2678)-(R2678)*(V2678))-(LTP3!$D$6)*((S2678)*(Q2678)-(R2678)*(T2678))+(T2678)*((S2678)*(V2678)-(U2678)*(T2678)))/W2678,0)</f>
        <v/>
      </c>
      <c r="Z2678">
        <f>IF(ABS(W2678)&gt;1E-12,((LTP3!$D$5)*((P2678)*(V2678)-(U2678)*(R2678))-(S2678)*((S2678)*(V2678)-(U2678)*(T2678))+(LTP3!$D$6)*((S2678)*(R2678)-(P2678)*(T2678)))/W2678,0)</f>
        <v/>
      </c>
      <c r="AA2678">
        <f>LTP3!$D$7-X2678*LTP3!$D$6-Y2678*U2678-Z2678*V2678</f>
        <v/>
      </c>
      <c r="AB2678">
        <f>IF(AND(F2678,ABS(W2678)&gt;1E-12,Y2678&gt;0,Z2678&gt;0),AA2678,1E+300)</f>
        <v/>
      </c>
    </row>
    <row r="2679">
      <c r="A2679">
        <f>$B$3+$B$5*43</f>
        <v/>
      </c>
      <c r="B2679">
        <f>$B$3+$B$5*44</f>
        <v/>
      </c>
      <c r="C2679">
        <f>SUMPRODUCT(Calc!$K$3:$K$22*(Calc!$G$3:$G$22&lt;=A2679))</f>
        <v/>
      </c>
      <c r="D2679">
        <f>SUMPRODUCT(Calc!$K$3:$K$22*(Calc!$G$3:$G$22&gt;A2679)*(Calc!$G$3:$G$22&lt;B2679))</f>
        <v/>
      </c>
      <c r="E2679">
        <f>SUMPRODUCT(Calc!$K$3:$K$22*(Calc!$G$3:$G$22&gt;=B2679))</f>
        <v/>
      </c>
      <c r="F2679">
        <f>AND(k_n&gt;=5,B2679&gt;A2679+1E-9,C2679&gt;=2,D2679&gt;=1,E2679&gt;=2)</f>
        <v/>
      </c>
      <c r="G2679">
        <f>SUMPRODUCT(Calc!$K$3:$K$22*(Calc!$G$3:$G$22&gt;A2679)*(Calc!$G$3:$G$22-A2679))</f>
        <v/>
      </c>
      <c r="H2679">
        <f>SUMPRODUCT(Calc!$K$3:$K$22*(Calc!$G$3:$G$22&gt;B2679)*(Calc!$G$3:$G$22-B2679))</f>
        <v/>
      </c>
      <c r="I2679">
        <f>SUMPRODUCT(Calc!$K$3:$K$22*(Calc!$G$3:$G$22&gt;A2679)*(Calc!$G$3:$G$22-A2679)^2)</f>
        <v/>
      </c>
      <c r="J2679">
        <f>SUMPRODUCT(Calc!$K$3:$K$22*(Calc!$G$3:$G$22&gt;B2679)*(Calc!$G$3:$G$22-B2679)^2)</f>
        <v/>
      </c>
      <c r="K2679">
        <f>SUMPRODUCT(Calc!$K$3:$K$22*(Calc!$G$3:$G$22&gt;A2679)*(Calc!$G$3:$G$22-A2679)*(Calc!$G$3:$G$22&gt;B2679)*(Calc!$G$3:$G$22-B2679))</f>
        <v/>
      </c>
      <c r="L2679">
        <f>SUMPRODUCT(Calc!$K$3:$K$22*(Calc!$G$3:$G$22&gt;A2679)*(Calc!$G$3:$G$22-A2679)*Calc!$G$3:$G$22)</f>
        <v/>
      </c>
      <c r="M2679">
        <f>SUMPRODUCT(Calc!$K$3:$K$22*(Calc!$G$3:$G$22&gt;B2679)*(Calc!$G$3:$G$22-B2679)*Calc!$G$3:$G$22)</f>
        <v/>
      </c>
      <c r="N2679">
        <f>SUMPRODUCT(Calc!$K$3:$K$22*(Calc!$G$3:$G$22&gt;A2679)*(Calc!$G$3:$G$22-A2679)*Calc!$I$3:$I$22)</f>
        <v/>
      </c>
      <c r="O2679">
        <f>SUMPRODUCT(Calc!$K$3:$K$22*(Calc!$G$3:$G$22&gt;B2679)*(Calc!$G$3:$G$22-B2679)*Calc!$I$3:$I$22)</f>
        <v/>
      </c>
      <c r="P2679">
        <f>I2679-G2679^2/k_n</f>
        <v/>
      </c>
      <c r="Q2679">
        <f>J2679-H2679^2/k_n</f>
        <v/>
      </c>
      <c r="R2679">
        <f>K2679-G2679*H2679/k_n</f>
        <v/>
      </c>
      <c r="S2679">
        <f>L2679-LTP3!$D$3*G2679/k_n</f>
        <v/>
      </c>
      <c r="T2679">
        <f>M2679-LTP3!$D$3*H2679/k_n</f>
        <v/>
      </c>
      <c r="U2679">
        <f>N2679-G2679*LTP3!$D$4/k_n</f>
        <v/>
      </c>
      <c r="V2679">
        <f>O2679-H2679*LTP3!$D$4/k_n</f>
        <v/>
      </c>
      <c r="W2679">
        <f>((LTP3!$D$5)*((P2679)*(Q2679)-(R2679)*(R2679))-(S2679)*((S2679)*(Q2679)-(R2679)*(T2679))+(T2679)*((S2679)*(R2679)-(P2679)*(T2679)))</f>
        <v/>
      </c>
      <c r="X2679">
        <f>IF(ABS(W2679)&gt;1E-12,((LTP3!$D$6)*((P2679)*(Q2679)-(R2679)*(R2679))-(S2679)*((U2679)*(Q2679)-(R2679)*(V2679))+(T2679)*((U2679)*(R2679)-(P2679)*(V2679)))/W2679,0)</f>
        <v/>
      </c>
      <c r="Y2679">
        <f>IF(ABS(W2679)&gt;1E-12,((LTP3!$D$5)*((U2679)*(Q2679)-(R2679)*(V2679))-(LTP3!$D$6)*((S2679)*(Q2679)-(R2679)*(T2679))+(T2679)*((S2679)*(V2679)-(U2679)*(T2679)))/W2679,0)</f>
        <v/>
      </c>
      <c r="Z2679">
        <f>IF(ABS(W2679)&gt;1E-12,((LTP3!$D$5)*((P2679)*(V2679)-(U2679)*(R2679))-(S2679)*((S2679)*(V2679)-(U2679)*(T2679))+(LTP3!$D$6)*((S2679)*(R2679)-(P2679)*(T2679)))/W2679,0)</f>
        <v/>
      </c>
      <c r="AA2679">
        <f>LTP3!$D$7-X2679*LTP3!$D$6-Y2679*U2679-Z2679*V2679</f>
        <v/>
      </c>
      <c r="AB2679">
        <f>IF(AND(F2679,ABS(W2679)&gt;1E-12,Y2679&gt;0,Z2679&gt;0),AA2679,1E+300)</f>
        <v/>
      </c>
    </row>
    <row r="2680">
      <c r="A2680">
        <f>$B$3+$B$5*43</f>
        <v/>
      </c>
      <c r="B2680">
        <f>$B$3+$B$5*45</f>
        <v/>
      </c>
      <c r="C2680">
        <f>SUMPRODUCT(Calc!$K$3:$K$22*(Calc!$G$3:$G$22&lt;=A2680))</f>
        <v/>
      </c>
      <c r="D2680">
        <f>SUMPRODUCT(Calc!$K$3:$K$22*(Calc!$G$3:$G$22&gt;A2680)*(Calc!$G$3:$G$22&lt;B2680))</f>
        <v/>
      </c>
      <c r="E2680">
        <f>SUMPRODUCT(Calc!$K$3:$K$22*(Calc!$G$3:$G$22&gt;=B2680))</f>
        <v/>
      </c>
      <c r="F2680">
        <f>AND(k_n&gt;=5,B2680&gt;A2680+1E-9,C2680&gt;=2,D2680&gt;=1,E2680&gt;=2)</f>
        <v/>
      </c>
      <c r="G2680">
        <f>SUMPRODUCT(Calc!$K$3:$K$22*(Calc!$G$3:$G$22&gt;A2680)*(Calc!$G$3:$G$22-A2680))</f>
        <v/>
      </c>
      <c r="H2680">
        <f>SUMPRODUCT(Calc!$K$3:$K$22*(Calc!$G$3:$G$22&gt;B2680)*(Calc!$G$3:$G$22-B2680))</f>
        <v/>
      </c>
      <c r="I2680">
        <f>SUMPRODUCT(Calc!$K$3:$K$22*(Calc!$G$3:$G$22&gt;A2680)*(Calc!$G$3:$G$22-A2680)^2)</f>
        <v/>
      </c>
      <c r="J2680">
        <f>SUMPRODUCT(Calc!$K$3:$K$22*(Calc!$G$3:$G$22&gt;B2680)*(Calc!$G$3:$G$22-B2680)^2)</f>
        <v/>
      </c>
      <c r="K2680">
        <f>SUMPRODUCT(Calc!$K$3:$K$22*(Calc!$G$3:$G$22&gt;A2680)*(Calc!$G$3:$G$22-A2680)*(Calc!$G$3:$G$22&gt;B2680)*(Calc!$G$3:$G$22-B2680))</f>
        <v/>
      </c>
      <c r="L2680">
        <f>SUMPRODUCT(Calc!$K$3:$K$22*(Calc!$G$3:$G$22&gt;A2680)*(Calc!$G$3:$G$22-A2680)*Calc!$G$3:$G$22)</f>
        <v/>
      </c>
      <c r="M2680">
        <f>SUMPRODUCT(Calc!$K$3:$K$22*(Calc!$G$3:$G$22&gt;B2680)*(Calc!$G$3:$G$22-B2680)*Calc!$G$3:$G$22)</f>
        <v/>
      </c>
      <c r="N2680">
        <f>SUMPRODUCT(Calc!$K$3:$K$22*(Calc!$G$3:$G$22&gt;A2680)*(Calc!$G$3:$G$22-A2680)*Calc!$I$3:$I$22)</f>
        <v/>
      </c>
      <c r="O2680">
        <f>SUMPRODUCT(Calc!$K$3:$K$22*(Calc!$G$3:$G$22&gt;B2680)*(Calc!$G$3:$G$22-B2680)*Calc!$I$3:$I$22)</f>
        <v/>
      </c>
      <c r="P2680">
        <f>I2680-G2680^2/k_n</f>
        <v/>
      </c>
      <c r="Q2680">
        <f>J2680-H2680^2/k_n</f>
        <v/>
      </c>
      <c r="R2680">
        <f>K2680-G2680*H2680/k_n</f>
        <v/>
      </c>
      <c r="S2680">
        <f>L2680-LTP3!$D$3*G2680/k_n</f>
        <v/>
      </c>
      <c r="T2680">
        <f>M2680-LTP3!$D$3*H2680/k_n</f>
        <v/>
      </c>
      <c r="U2680">
        <f>N2680-G2680*LTP3!$D$4/k_n</f>
        <v/>
      </c>
      <c r="V2680">
        <f>O2680-H2680*LTP3!$D$4/k_n</f>
        <v/>
      </c>
      <c r="W2680">
        <f>((LTP3!$D$5)*((P2680)*(Q2680)-(R2680)*(R2680))-(S2680)*((S2680)*(Q2680)-(R2680)*(T2680))+(T2680)*((S2680)*(R2680)-(P2680)*(T2680)))</f>
        <v/>
      </c>
      <c r="X2680">
        <f>IF(ABS(W2680)&gt;1E-12,((LTP3!$D$6)*((P2680)*(Q2680)-(R2680)*(R2680))-(S2680)*((U2680)*(Q2680)-(R2680)*(V2680))+(T2680)*((U2680)*(R2680)-(P2680)*(V2680)))/W2680,0)</f>
        <v/>
      </c>
      <c r="Y2680">
        <f>IF(ABS(W2680)&gt;1E-12,((LTP3!$D$5)*((U2680)*(Q2680)-(R2680)*(V2680))-(LTP3!$D$6)*((S2680)*(Q2680)-(R2680)*(T2680))+(T2680)*((S2680)*(V2680)-(U2680)*(T2680)))/W2680,0)</f>
        <v/>
      </c>
      <c r="Z2680">
        <f>IF(ABS(W2680)&gt;1E-12,((LTP3!$D$5)*((P2680)*(V2680)-(U2680)*(R2680))-(S2680)*((S2680)*(V2680)-(U2680)*(T2680))+(LTP3!$D$6)*((S2680)*(R2680)-(P2680)*(T2680)))/W2680,0)</f>
        <v/>
      </c>
      <c r="AA2680">
        <f>LTP3!$D$7-X2680*LTP3!$D$6-Y2680*U2680-Z2680*V2680</f>
        <v/>
      </c>
      <c r="AB2680">
        <f>IF(AND(F2680,ABS(W2680)&gt;1E-12,Y2680&gt;0,Z2680&gt;0),AA2680,1E+300)</f>
        <v/>
      </c>
    </row>
    <row r="2681">
      <c r="A2681">
        <f>$B$3+$B$5*43</f>
        <v/>
      </c>
      <c r="B2681">
        <f>$B$3+$B$5*46</f>
        <v/>
      </c>
      <c r="C2681">
        <f>SUMPRODUCT(Calc!$K$3:$K$22*(Calc!$G$3:$G$22&lt;=A2681))</f>
        <v/>
      </c>
      <c r="D2681">
        <f>SUMPRODUCT(Calc!$K$3:$K$22*(Calc!$G$3:$G$22&gt;A2681)*(Calc!$G$3:$G$22&lt;B2681))</f>
        <v/>
      </c>
      <c r="E2681">
        <f>SUMPRODUCT(Calc!$K$3:$K$22*(Calc!$G$3:$G$22&gt;=B2681))</f>
        <v/>
      </c>
      <c r="F2681">
        <f>AND(k_n&gt;=5,B2681&gt;A2681+1E-9,C2681&gt;=2,D2681&gt;=1,E2681&gt;=2)</f>
        <v/>
      </c>
      <c r="G2681">
        <f>SUMPRODUCT(Calc!$K$3:$K$22*(Calc!$G$3:$G$22&gt;A2681)*(Calc!$G$3:$G$22-A2681))</f>
        <v/>
      </c>
      <c r="H2681">
        <f>SUMPRODUCT(Calc!$K$3:$K$22*(Calc!$G$3:$G$22&gt;B2681)*(Calc!$G$3:$G$22-B2681))</f>
        <v/>
      </c>
      <c r="I2681">
        <f>SUMPRODUCT(Calc!$K$3:$K$22*(Calc!$G$3:$G$22&gt;A2681)*(Calc!$G$3:$G$22-A2681)^2)</f>
        <v/>
      </c>
      <c r="J2681">
        <f>SUMPRODUCT(Calc!$K$3:$K$22*(Calc!$G$3:$G$22&gt;B2681)*(Calc!$G$3:$G$22-B2681)^2)</f>
        <v/>
      </c>
      <c r="K2681">
        <f>SUMPRODUCT(Calc!$K$3:$K$22*(Calc!$G$3:$G$22&gt;A2681)*(Calc!$G$3:$G$22-A2681)*(Calc!$G$3:$G$22&gt;B2681)*(Calc!$G$3:$G$22-B2681))</f>
        <v/>
      </c>
      <c r="L2681">
        <f>SUMPRODUCT(Calc!$K$3:$K$22*(Calc!$G$3:$G$22&gt;A2681)*(Calc!$G$3:$G$22-A2681)*Calc!$G$3:$G$22)</f>
        <v/>
      </c>
      <c r="M2681">
        <f>SUMPRODUCT(Calc!$K$3:$K$22*(Calc!$G$3:$G$22&gt;B2681)*(Calc!$G$3:$G$22-B2681)*Calc!$G$3:$G$22)</f>
        <v/>
      </c>
      <c r="N2681">
        <f>SUMPRODUCT(Calc!$K$3:$K$22*(Calc!$G$3:$G$22&gt;A2681)*(Calc!$G$3:$G$22-A2681)*Calc!$I$3:$I$22)</f>
        <v/>
      </c>
      <c r="O2681">
        <f>SUMPRODUCT(Calc!$K$3:$K$22*(Calc!$G$3:$G$22&gt;B2681)*(Calc!$G$3:$G$22-B2681)*Calc!$I$3:$I$22)</f>
        <v/>
      </c>
      <c r="P2681">
        <f>I2681-G2681^2/k_n</f>
        <v/>
      </c>
      <c r="Q2681">
        <f>J2681-H2681^2/k_n</f>
        <v/>
      </c>
      <c r="R2681">
        <f>K2681-G2681*H2681/k_n</f>
        <v/>
      </c>
      <c r="S2681">
        <f>L2681-LTP3!$D$3*G2681/k_n</f>
        <v/>
      </c>
      <c r="T2681">
        <f>M2681-LTP3!$D$3*H2681/k_n</f>
        <v/>
      </c>
      <c r="U2681">
        <f>N2681-G2681*LTP3!$D$4/k_n</f>
        <v/>
      </c>
      <c r="V2681">
        <f>O2681-H2681*LTP3!$D$4/k_n</f>
        <v/>
      </c>
      <c r="W2681">
        <f>((LTP3!$D$5)*((P2681)*(Q2681)-(R2681)*(R2681))-(S2681)*((S2681)*(Q2681)-(R2681)*(T2681))+(T2681)*((S2681)*(R2681)-(P2681)*(T2681)))</f>
        <v/>
      </c>
      <c r="X2681">
        <f>IF(ABS(W2681)&gt;1E-12,((LTP3!$D$6)*((P2681)*(Q2681)-(R2681)*(R2681))-(S2681)*((U2681)*(Q2681)-(R2681)*(V2681))+(T2681)*((U2681)*(R2681)-(P2681)*(V2681)))/W2681,0)</f>
        <v/>
      </c>
      <c r="Y2681">
        <f>IF(ABS(W2681)&gt;1E-12,((LTP3!$D$5)*((U2681)*(Q2681)-(R2681)*(V2681))-(LTP3!$D$6)*((S2681)*(Q2681)-(R2681)*(T2681))+(T2681)*((S2681)*(V2681)-(U2681)*(T2681)))/W2681,0)</f>
        <v/>
      </c>
      <c r="Z2681">
        <f>IF(ABS(W2681)&gt;1E-12,((LTP3!$D$5)*((P2681)*(V2681)-(U2681)*(R2681))-(S2681)*((S2681)*(V2681)-(U2681)*(T2681))+(LTP3!$D$6)*((S2681)*(R2681)-(P2681)*(T2681)))/W2681,0)</f>
        <v/>
      </c>
      <c r="AA2681">
        <f>LTP3!$D$7-X2681*LTP3!$D$6-Y2681*U2681-Z2681*V2681</f>
        <v/>
      </c>
      <c r="AB2681">
        <f>IF(AND(F2681,ABS(W2681)&gt;1E-12,Y2681&gt;0,Z2681&gt;0),AA2681,1E+300)</f>
        <v/>
      </c>
    </row>
    <row r="2682">
      <c r="A2682">
        <f>$B$3+$B$5*43</f>
        <v/>
      </c>
      <c r="B2682">
        <f>$B$3+$B$5*47</f>
        <v/>
      </c>
      <c r="C2682">
        <f>SUMPRODUCT(Calc!$K$3:$K$22*(Calc!$G$3:$G$22&lt;=A2682))</f>
        <v/>
      </c>
      <c r="D2682">
        <f>SUMPRODUCT(Calc!$K$3:$K$22*(Calc!$G$3:$G$22&gt;A2682)*(Calc!$G$3:$G$22&lt;B2682))</f>
        <v/>
      </c>
      <c r="E2682">
        <f>SUMPRODUCT(Calc!$K$3:$K$22*(Calc!$G$3:$G$22&gt;=B2682))</f>
        <v/>
      </c>
      <c r="F2682">
        <f>AND(k_n&gt;=5,B2682&gt;A2682+1E-9,C2682&gt;=2,D2682&gt;=1,E2682&gt;=2)</f>
        <v/>
      </c>
      <c r="G2682">
        <f>SUMPRODUCT(Calc!$K$3:$K$22*(Calc!$G$3:$G$22&gt;A2682)*(Calc!$G$3:$G$22-A2682))</f>
        <v/>
      </c>
      <c r="H2682">
        <f>SUMPRODUCT(Calc!$K$3:$K$22*(Calc!$G$3:$G$22&gt;B2682)*(Calc!$G$3:$G$22-B2682))</f>
        <v/>
      </c>
      <c r="I2682">
        <f>SUMPRODUCT(Calc!$K$3:$K$22*(Calc!$G$3:$G$22&gt;A2682)*(Calc!$G$3:$G$22-A2682)^2)</f>
        <v/>
      </c>
      <c r="J2682">
        <f>SUMPRODUCT(Calc!$K$3:$K$22*(Calc!$G$3:$G$22&gt;B2682)*(Calc!$G$3:$G$22-B2682)^2)</f>
        <v/>
      </c>
      <c r="K2682">
        <f>SUMPRODUCT(Calc!$K$3:$K$22*(Calc!$G$3:$G$22&gt;A2682)*(Calc!$G$3:$G$22-A2682)*(Calc!$G$3:$G$22&gt;B2682)*(Calc!$G$3:$G$22-B2682))</f>
        <v/>
      </c>
      <c r="L2682">
        <f>SUMPRODUCT(Calc!$K$3:$K$22*(Calc!$G$3:$G$22&gt;A2682)*(Calc!$G$3:$G$22-A2682)*Calc!$G$3:$G$22)</f>
        <v/>
      </c>
      <c r="M2682">
        <f>SUMPRODUCT(Calc!$K$3:$K$22*(Calc!$G$3:$G$22&gt;B2682)*(Calc!$G$3:$G$22-B2682)*Calc!$G$3:$G$22)</f>
        <v/>
      </c>
      <c r="N2682">
        <f>SUMPRODUCT(Calc!$K$3:$K$22*(Calc!$G$3:$G$22&gt;A2682)*(Calc!$G$3:$G$22-A2682)*Calc!$I$3:$I$22)</f>
        <v/>
      </c>
      <c r="O2682">
        <f>SUMPRODUCT(Calc!$K$3:$K$22*(Calc!$G$3:$G$22&gt;B2682)*(Calc!$G$3:$G$22-B2682)*Calc!$I$3:$I$22)</f>
        <v/>
      </c>
      <c r="P2682">
        <f>I2682-G2682^2/k_n</f>
        <v/>
      </c>
      <c r="Q2682">
        <f>J2682-H2682^2/k_n</f>
        <v/>
      </c>
      <c r="R2682">
        <f>K2682-G2682*H2682/k_n</f>
        <v/>
      </c>
      <c r="S2682">
        <f>L2682-LTP3!$D$3*G2682/k_n</f>
        <v/>
      </c>
      <c r="T2682">
        <f>M2682-LTP3!$D$3*H2682/k_n</f>
        <v/>
      </c>
      <c r="U2682">
        <f>N2682-G2682*LTP3!$D$4/k_n</f>
        <v/>
      </c>
      <c r="V2682">
        <f>O2682-H2682*LTP3!$D$4/k_n</f>
        <v/>
      </c>
      <c r="W2682">
        <f>((LTP3!$D$5)*((P2682)*(Q2682)-(R2682)*(R2682))-(S2682)*((S2682)*(Q2682)-(R2682)*(T2682))+(T2682)*((S2682)*(R2682)-(P2682)*(T2682)))</f>
        <v/>
      </c>
      <c r="X2682">
        <f>IF(ABS(W2682)&gt;1E-12,((LTP3!$D$6)*((P2682)*(Q2682)-(R2682)*(R2682))-(S2682)*((U2682)*(Q2682)-(R2682)*(V2682))+(T2682)*((U2682)*(R2682)-(P2682)*(V2682)))/W2682,0)</f>
        <v/>
      </c>
      <c r="Y2682">
        <f>IF(ABS(W2682)&gt;1E-12,((LTP3!$D$5)*((U2682)*(Q2682)-(R2682)*(V2682))-(LTP3!$D$6)*((S2682)*(Q2682)-(R2682)*(T2682))+(T2682)*((S2682)*(V2682)-(U2682)*(T2682)))/W2682,0)</f>
        <v/>
      </c>
      <c r="Z2682">
        <f>IF(ABS(W2682)&gt;1E-12,((LTP3!$D$5)*((P2682)*(V2682)-(U2682)*(R2682))-(S2682)*((S2682)*(V2682)-(U2682)*(T2682))+(LTP3!$D$6)*((S2682)*(R2682)-(P2682)*(T2682)))/W2682,0)</f>
        <v/>
      </c>
      <c r="AA2682">
        <f>LTP3!$D$7-X2682*LTP3!$D$6-Y2682*U2682-Z2682*V2682</f>
        <v/>
      </c>
      <c r="AB2682">
        <f>IF(AND(F2682,ABS(W2682)&gt;1E-12,Y2682&gt;0,Z2682&gt;0),AA2682,1E+300)</f>
        <v/>
      </c>
    </row>
    <row r="2683">
      <c r="A2683">
        <f>$B$3+$B$5*43</f>
        <v/>
      </c>
      <c r="B2683">
        <f>$B$3+$B$5*48</f>
        <v/>
      </c>
      <c r="C2683">
        <f>SUMPRODUCT(Calc!$K$3:$K$22*(Calc!$G$3:$G$22&lt;=A2683))</f>
        <v/>
      </c>
      <c r="D2683">
        <f>SUMPRODUCT(Calc!$K$3:$K$22*(Calc!$G$3:$G$22&gt;A2683)*(Calc!$G$3:$G$22&lt;B2683))</f>
        <v/>
      </c>
      <c r="E2683">
        <f>SUMPRODUCT(Calc!$K$3:$K$22*(Calc!$G$3:$G$22&gt;=B2683))</f>
        <v/>
      </c>
      <c r="F2683">
        <f>AND(k_n&gt;=5,B2683&gt;A2683+1E-9,C2683&gt;=2,D2683&gt;=1,E2683&gt;=2)</f>
        <v/>
      </c>
      <c r="G2683">
        <f>SUMPRODUCT(Calc!$K$3:$K$22*(Calc!$G$3:$G$22&gt;A2683)*(Calc!$G$3:$G$22-A2683))</f>
        <v/>
      </c>
      <c r="H2683">
        <f>SUMPRODUCT(Calc!$K$3:$K$22*(Calc!$G$3:$G$22&gt;B2683)*(Calc!$G$3:$G$22-B2683))</f>
        <v/>
      </c>
      <c r="I2683">
        <f>SUMPRODUCT(Calc!$K$3:$K$22*(Calc!$G$3:$G$22&gt;A2683)*(Calc!$G$3:$G$22-A2683)^2)</f>
        <v/>
      </c>
      <c r="J2683">
        <f>SUMPRODUCT(Calc!$K$3:$K$22*(Calc!$G$3:$G$22&gt;B2683)*(Calc!$G$3:$G$22-B2683)^2)</f>
        <v/>
      </c>
      <c r="K2683">
        <f>SUMPRODUCT(Calc!$K$3:$K$22*(Calc!$G$3:$G$22&gt;A2683)*(Calc!$G$3:$G$22-A2683)*(Calc!$G$3:$G$22&gt;B2683)*(Calc!$G$3:$G$22-B2683))</f>
        <v/>
      </c>
      <c r="L2683">
        <f>SUMPRODUCT(Calc!$K$3:$K$22*(Calc!$G$3:$G$22&gt;A2683)*(Calc!$G$3:$G$22-A2683)*Calc!$G$3:$G$22)</f>
        <v/>
      </c>
      <c r="M2683">
        <f>SUMPRODUCT(Calc!$K$3:$K$22*(Calc!$G$3:$G$22&gt;B2683)*(Calc!$G$3:$G$22-B2683)*Calc!$G$3:$G$22)</f>
        <v/>
      </c>
      <c r="N2683">
        <f>SUMPRODUCT(Calc!$K$3:$K$22*(Calc!$G$3:$G$22&gt;A2683)*(Calc!$G$3:$G$22-A2683)*Calc!$I$3:$I$22)</f>
        <v/>
      </c>
      <c r="O2683">
        <f>SUMPRODUCT(Calc!$K$3:$K$22*(Calc!$G$3:$G$22&gt;B2683)*(Calc!$G$3:$G$22-B2683)*Calc!$I$3:$I$22)</f>
        <v/>
      </c>
      <c r="P2683">
        <f>I2683-G2683^2/k_n</f>
        <v/>
      </c>
      <c r="Q2683">
        <f>J2683-H2683^2/k_n</f>
        <v/>
      </c>
      <c r="R2683">
        <f>K2683-G2683*H2683/k_n</f>
        <v/>
      </c>
      <c r="S2683">
        <f>L2683-LTP3!$D$3*G2683/k_n</f>
        <v/>
      </c>
      <c r="T2683">
        <f>M2683-LTP3!$D$3*H2683/k_n</f>
        <v/>
      </c>
      <c r="U2683">
        <f>N2683-G2683*LTP3!$D$4/k_n</f>
        <v/>
      </c>
      <c r="V2683">
        <f>O2683-H2683*LTP3!$D$4/k_n</f>
        <v/>
      </c>
      <c r="W2683">
        <f>((LTP3!$D$5)*((P2683)*(Q2683)-(R2683)*(R2683))-(S2683)*((S2683)*(Q2683)-(R2683)*(T2683))+(T2683)*((S2683)*(R2683)-(P2683)*(T2683)))</f>
        <v/>
      </c>
      <c r="X2683">
        <f>IF(ABS(W2683)&gt;1E-12,((LTP3!$D$6)*((P2683)*(Q2683)-(R2683)*(R2683))-(S2683)*((U2683)*(Q2683)-(R2683)*(V2683))+(T2683)*((U2683)*(R2683)-(P2683)*(V2683)))/W2683,0)</f>
        <v/>
      </c>
      <c r="Y2683">
        <f>IF(ABS(W2683)&gt;1E-12,((LTP3!$D$5)*((U2683)*(Q2683)-(R2683)*(V2683))-(LTP3!$D$6)*((S2683)*(Q2683)-(R2683)*(T2683))+(T2683)*((S2683)*(V2683)-(U2683)*(T2683)))/W2683,0)</f>
        <v/>
      </c>
      <c r="Z2683">
        <f>IF(ABS(W2683)&gt;1E-12,((LTP3!$D$5)*((P2683)*(V2683)-(U2683)*(R2683))-(S2683)*((S2683)*(V2683)-(U2683)*(T2683))+(LTP3!$D$6)*((S2683)*(R2683)-(P2683)*(T2683)))/W2683,0)</f>
        <v/>
      </c>
      <c r="AA2683">
        <f>LTP3!$D$7-X2683*LTP3!$D$6-Y2683*U2683-Z2683*V2683</f>
        <v/>
      </c>
      <c r="AB2683">
        <f>IF(AND(F2683,ABS(W2683)&gt;1E-12,Y2683&gt;0,Z2683&gt;0),AA2683,1E+300)</f>
        <v/>
      </c>
    </row>
    <row r="2684">
      <c r="A2684">
        <f>$B$3+$B$5*43</f>
        <v/>
      </c>
      <c r="B2684">
        <f>$B$3+$B$5*49</f>
        <v/>
      </c>
      <c r="C2684">
        <f>SUMPRODUCT(Calc!$K$3:$K$22*(Calc!$G$3:$G$22&lt;=A2684))</f>
        <v/>
      </c>
      <c r="D2684">
        <f>SUMPRODUCT(Calc!$K$3:$K$22*(Calc!$G$3:$G$22&gt;A2684)*(Calc!$G$3:$G$22&lt;B2684))</f>
        <v/>
      </c>
      <c r="E2684">
        <f>SUMPRODUCT(Calc!$K$3:$K$22*(Calc!$G$3:$G$22&gt;=B2684))</f>
        <v/>
      </c>
      <c r="F2684">
        <f>AND(k_n&gt;=5,B2684&gt;A2684+1E-9,C2684&gt;=2,D2684&gt;=1,E2684&gt;=2)</f>
        <v/>
      </c>
      <c r="G2684">
        <f>SUMPRODUCT(Calc!$K$3:$K$22*(Calc!$G$3:$G$22&gt;A2684)*(Calc!$G$3:$G$22-A2684))</f>
        <v/>
      </c>
      <c r="H2684">
        <f>SUMPRODUCT(Calc!$K$3:$K$22*(Calc!$G$3:$G$22&gt;B2684)*(Calc!$G$3:$G$22-B2684))</f>
        <v/>
      </c>
      <c r="I2684">
        <f>SUMPRODUCT(Calc!$K$3:$K$22*(Calc!$G$3:$G$22&gt;A2684)*(Calc!$G$3:$G$22-A2684)^2)</f>
        <v/>
      </c>
      <c r="J2684">
        <f>SUMPRODUCT(Calc!$K$3:$K$22*(Calc!$G$3:$G$22&gt;B2684)*(Calc!$G$3:$G$22-B2684)^2)</f>
        <v/>
      </c>
      <c r="K2684">
        <f>SUMPRODUCT(Calc!$K$3:$K$22*(Calc!$G$3:$G$22&gt;A2684)*(Calc!$G$3:$G$22-A2684)*(Calc!$G$3:$G$22&gt;B2684)*(Calc!$G$3:$G$22-B2684))</f>
        <v/>
      </c>
      <c r="L2684">
        <f>SUMPRODUCT(Calc!$K$3:$K$22*(Calc!$G$3:$G$22&gt;A2684)*(Calc!$G$3:$G$22-A2684)*Calc!$G$3:$G$22)</f>
        <v/>
      </c>
      <c r="M2684">
        <f>SUMPRODUCT(Calc!$K$3:$K$22*(Calc!$G$3:$G$22&gt;B2684)*(Calc!$G$3:$G$22-B2684)*Calc!$G$3:$G$22)</f>
        <v/>
      </c>
      <c r="N2684">
        <f>SUMPRODUCT(Calc!$K$3:$K$22*(Calc!$G$3:$G$22&gt;A2684)*(Calc!$G$3:$G$22-A2684)*Calc!$I$3:$I$22)</f>
        <v/>
      </c>
      <c r="O2684">
        <f>SUMPRODUCT(Calc!$K$3:$K$22*(Calc!$G$3:$G$22&gt;B2684)*(Calc!$G$3:$G$22-B2684)*Calc!$I$3:$I$22)</f>
        <v/>
      </c>
      <c r="P2684">
        <f>I2684-G2684^2/k_n</f>
        <v/>
      </c>
      <c r="Q2684">
        <f>J2684-H2684^2/k_n</f>
        <v/>
      </c>
      <c r="R2684">
        <f>K2684-G2684*H2684/k_n</f>
        <v/>
      </c>
      <c r="S2684">
        <f>L2684-LTP3!$D$3*G2684/k_n</f>
        <v/>
      </c>
      <c r="T2684">
        <f>M2684-LTP3!$D$3*H2684/k_n</f>
        <v/>
      </c>
      <c r="U2684">
        <f>N2684-G2684*LTP3!$D$4/k_n</f>
        <v/>
      </c>
      <c r="V2684">
        <f>O2684-H2684*LTP3!$D$4/k_n</f>
        <v/>
      </c>
      <c r="W2684">
        <f>((LTP3!$D$5)*((P2684)*(Q2684)-(R2684)*(R2684))-(S2684)*((S2684)*(Q2684)-(R2684)*(T2684))+(T2684)*((S2684)*(R2684)-(P2684)*(T2684)))</f>
        <v/>
      </c>
      <c r="X2684">
        <f>IF(ABS(W2684)&gt;1E-12,((LTP3!$D$6)*((P2684)*(Q2684)-(R2684)*(R2684))-(S2684)*((U2684)*(Q2684)-(R2684)*(V2684))+(T2684)*((U2684)*(R2684)-(P2684)*(V2684)))/W2684,0)</f>
        <v/>
      </c>
      <c r="Y2684">
        <f>IF(ABS(W2684)&gt;1E-12,((LTP3!$D$5)*((U2684)*(Q2684)-(R2684)*(V2684))-(LTP3!$D$6)*((S2684)*(Q2684)-(R2684)*(T2684))+(T2684)*((S2684)*(V2684)-(U2684)*(T2684)))/W2684,0)</f>
        <v/>
      </c>
      <c r="Z2684">
        <f>IF(ABS(W2684)&gt;1E-12,((LTP3!$D$5)*((P2684)*(V2684)-(U2684)*(R2684))-(S2684)*((S2684)*(V2684)-(U2684)*(T2684))+(LTP3!$D$6)*((S2684)*(R2684)-(P2684)*(T2684)))/W2684,0)</f>
        <v/>
      </c>
      <c r="AA2684">
        <f>LTP3!$D$7-X2684*LTP3!$D$6-Y2684*U2684-Z2684*V2684</f>
        <v/>
      </c>
      <c r="AB2684">
        <f>IF(AND(F2684,ABS(W2684)&gt;1E-12,Y2684&gt;0,Z2684&gt;0),AA2684,1E+300)</f>
        <v/>
      </c>
    </row>
    <row r="2685">
      <c r="A2685">
        <f>$B$3+$B$5*43</f>
        <v/>
      </c>
      <c r="B2685">
        <f>$B$3+$B$5*50</f>
        <v/>
      </c>
      <c r="C2685">
        <f>SUMPRODUCT(Calc!$K$3:$K$22*(Calc!$G$3:$G$22&lt;=A2685))</f>
        <v/>
      </c>
      <c r="D2685">
        <f>SUMPRODUCT(Calc!$K$3:$K$22*(Calc!$G$3:$G$22&gt;A2685)*(Calc!$G$3:$G$22&lt;B2685))</f>
        <v/>
      </c>
      <c r="E2685">
        <f>SUMPRODUCT(Calc!$K$3:$K$22*(Calc!$G$3:$G$22&gt;=B2685))</f>
        <v/>
      </c>
      <c r="F2685">
        <f>AND(k_n&gt;=5,B2685&gt;A2685+1E-9,C2685&gt;=2,D2685&gt;=1,E2685&gt;=2)</f>
        <v/>
      </c>
      <c r="G2685">
        <f>SUMPRODUCT(Calc!$K$3:$K$22*(Calc!$G$3:$G$22&gt;A2685)*(Calc!$G$3:$G$22-A2685))</f>
        <v/>
      </c>
      <c r="H2685">
        <f>SUMPRODUCT(Calc!$K$3:$K$22*(Calc!$G$3:$G$22&gt;B2685)*(Calc!$G$3:$G$22-B2685))</f>
        <v/>
      </c>
      <c r="I2685">
        <f>SUMPRODUCT(Calc!$K$3:$K$22*(Calc!$G$3:$G$22&gt;A2685)*(Calc!$G$3:$G$22-A2685)^2)</f>
        <v/>
      </c>
      <c r="J2685">
        <f>SUMPRODUCT(Calc!$K$3:$K$22*(Calc!$G$3:$G$22&gt;B2685)*(Calc!$G$3:$G$22-B2685)^2)</f>
        <v/>
      </c>
      <c r="K2685">
        <f>SUMPRODUCT(Calc!$K$3:$K$22*(Calc!$G$3:$G$22&gt;A2685)*(Calc!$G$3:$G$22-A2685)*(Calc!$G$3:$G$22&gt;B2685)*(Calc!$G$3:$G$22-B2685))</f>
        <v/>
      </c>
      <c r="L2685">
        <f>SUMPRODUCT(Calc!$K$3:$K$22*(Calc!$G$3:$G$22&gt;A2685)*(Calc!$G$3:$G$22-A2685)*Calc!$G$3:$G$22)</f>
        <v/>
      </c>
      <c r="M2685">
        <f>SUMPRODUCT(Calc!$K$3:$K$22*(Calc!$G$3:$G$22&gt;B2685)*(Calc!$G$3:$G$22-B2685)*Calc!$G$3:$G$22)</f>
        <v/>
      </c>
      <c r="N2685">
        <f>SUMPRODUCT(Calc!$K$3:$K$22*(Calc!$G$3:$G$22&gt;A2685)*(Calc!$G$3:$G$22-A2685)*Calc!$I$3:$I$22)</f>
        <v/>
      </c>
      <c r="O2685">
        <f>SUMPRODUCT(Calc!$K$3:$K$22*(Calc!$G$3:$G$22&gt;B2685)*(Calc!$G$3:$G$22-B2685)*Calc!$I$3:$I$22)</f>
        <v/>
      </c>
      <c r="P2685">
        <f>I2685-G2685^2/k_n</f>
        <v/>
      </c>
      <c r="Q2685">
        <f>J2685-H2685^2/k_n</f>
        <v/>
      </c>
      <c r="R2685">
        <f>K2685-G2685*H2685/k_n</f>
        <v/>
      </c>
      <c r="S2685">
        <f>L2685-LTP3!$D$3*G2685/k_n</f>
        <v/>
      </c>
      <c r="T2685">
        <f>M2685-LTP3!$D$3*H2685/k_n</f>
        <v/>
      </c>
      <c r="U2685">
        <f>N2685-G2685*LTP3!$D$4/k_n</f>
        <v/>
      </c>
      <c r="V2685">
        <f>O2685-H2685*LTP3!$D$4/k_n</f>
        <v/>
      </c>
      <c r="W2685">
        <f>((LTP3!$D$5)*((P2685)*(Q2685)-(R2685)*(R2685))-(S2685)*((S2685)*(Q2685)-(R2685)*(T2685))+(T2685)*((S2685)*(R2685)-(P2685)*(T2685)))</f>
        <v/>
      </c>
      <c r="X2685">
        <f>IF(ABS(W2685)&gt;1E-12,((LTP3!$D$6)*((P2685)*(Q2685)-(R2685)*(R2685))-(S2685)*((U2685)*(Q2685)-(R2685)*(V2685))+(T2685)*((U2685)*(R2685)-(P2685)*(V2685)))/W2685,0)</f>
        <v/>
      </c>
      <c r="Y2685">
        <f>IF(ABS(W2685)&gt;1E-12,((LTP3!$D$5)*((U2685)*(Q2685)-(R2685)*(V2685))-(LTP3!$D$6)*((S2685)*(Q2685)-(R2685)*(T2685))+(T2685)*((S2685)*(V2685)-(U2685)*(T2685)))/W2685,0)</f>
        <v/>
      </c>
      <c r="Z2685">
        <f>IF(ABS(W2685)&gt;1E-12,((LTP3!$D$5)*((P2685)*(V2685)-(U2685)*(R2685))-(S2685)*((S2685)*(V2685)-(U2685)*(T2685))+(LTP3!$D$6)*((S2685)*(R2685)-(P2685)*(T2685)))/W2685,0)</f>
        <v/>
      </c>
      <c r="AA2685">
        <f>LTP3!$D$7-X2685*LTP3!$D$6-Y2685*U2685-Z2685*V2685</f>
        <v/>
      </c>
      <c r="AB2685">
        <f>IF(AND(F2685,ABS(W2685)&gt;1E-12,Y2685&gt;0,Z2685&gt;0),AA2685,1E+300)</f>
        <v/>
      </c>
    </row>
    <row r="2686">
      <c r="A2686">
        <f>$B$3+$B$5*43</f>
        <v/>
      </c>
      <c r="B2686">
        <f>$B$3+$B$5*51</f>
        <v/>
      </c>
      <c r="C2686">
        <f>SUMPRODUCT(Calc!$K$3:$K$22*(Calc!$G$3:$G$22&lt;=A2686))</f>
        <v/>
      </c>
      <c r="D2686">
        <f>SUMPRODUCT(Calc!$K$3:$K$22*(Calc!$G$3:$G$22&gt;A2686)*(Calc!$G$3:$G$22&lt;B2686))</f>
        <v/>
      </c>
      <c r="E2686">
        <f>SUMPRODUCT(Calc!$K$3:$K$22*(Calc!$G$3:$G$22&gt;=B2686))</f>
        <v/>
      </c>
      <c r="F2686">
        <f>AND(k_n&gt;=5,B2686&gt;A2686+1E-9,C2686&gt;=2,D2686&gt;=1,E2686&gt;=2)</f>
        <v/>
      </c>
      <c r="G2686">
        <f>SUMPRODUCT(Calc!$K$3:$K$22*(Calc!$G$3:$G$22&gt;A2686)*(Calc!$G$3:$G$22-A2686))</f>
        <v/>
      </c>
      <c r="H2686">
        <f>SUMPRODUCT(Calc!$K$3:$K$22*(Calc!$G$3:$G$22&gt;B2686)*(Calc!$G$3:$G$22-B2686))</f>
        <v/>
      </c>
      <c r="I2686">
        <f>SUMPRODUCT(Calc!$K$3:$K$22*(Calc!$G$3:$G$22&gt;A2686)*(Calc!$G$3:$G$22-A2686)^2)</f>
        <v/>
      </c>
      <c r="J2686">
        <f>SUMPRODUCT(Calc!$K$3:$K$22*(Calc!$G$3:$G$22&gt;B2686)*(Calc!$G$3:$G$22-B2686)^2)</f>
        <v/>
      </c>
      <c r="K2686">
        <f>SUMPRODUCT(Calc!$K$3:$K$22*(Calc!$G$3:$G$22&gt;A2686)*(Calc!$G$3:$G$22-A2686)*(Calc!$G$3:$G$22&gt;B2686)*(Calc!$G$3:$G$22-B2686))</f>
        <v/>
      </c>
      <c r="L2686">
        <f>SUMPRODUCT(Calc!$K$3:$K$22*(Calc!$G$3:$G$22&gt;A2686)*(Calc!$G$3:$G$22-A2686)*Calc!$G$3:$G$22)</f>
        <v/>
      </c>
      <c r="M2686">
        <f>SUMPRODUCT(Calc!$K$3:$K$22*(Calc!$G$3:$G$22&gt;B2686)*(Calc!$G$3:$G$22-B2686)*Calc!$G$3:$G$22)</f>
        <v/>
      </c>
      <c r="N2686">
        <f>SUMPRODUCT(Calc!$K$3:$K$22*(Calc!$G$3:$G$22&gt;A2686)*(Calc!$G$3:$G$22-A2686)*Calc!$I$3:$I$22)</f>
        <v/>
      </c>
      <c r="O2686">
        <f>SUMPRODUCT(Calc!$K$3:$K$22*(Calc!$G$3:$G$22&gt;B2686)*(Calc!$G$3:$G$22-B2686)*Calc!$I$3:$I$22)</f>
        <v/>
      </c>
      <c r="P2686">
        <f>I2686-G2686^2/k_n</f>
        <v/>
      </c>
      <c r="Q2686">
        <f>J2686-H2686^2/k_n</f>
        <v/>
      </c>
      <c r="R2686">
        <f>K2686-G2686*H2686/k_n</f>
        <v/>
      </c>
      <c r="S2686">
        <f>L2686-LTP3!$D$3*G2686/k_n</f>
        <v/>
      </c>
      <c r="T2686">
        <f>M2686-LTP3!$D$3*H2686/k_n</f>
        <v/>
      </c>
      <c r="U2686">
        <f>N2686-G2686*LTP3!$D$4/k_n</f>
        <v/>
      </c>
      <c r="V2686">
        <f>O2686-H2686*LTP3!$D$4/k_n</f>
        <v/>
      </c>
      <c r="W2686">
        <f>((LTP3!$D$5)*((P2686)*(Q2686)-(R2686)*(R2686))-(S2686)*((S2686)*(Q2686)-(R2686)*(T2686))+(T2686)*((S2686)*(R2686)-(P2686)*(T2686)))</f>
        <v/>
      </c>
      <c r="X2686">
        <f>IF(ABS(W2686)&gt;1E-12,((LTP3!$D$6)*((P2686)*(Q2686)-(R2686)*(R2686))-(S2686)*((U2686)*(Q2686)-(R2686)*(V2686))+(T2686)*((U2686)*(R2686)-(P2686)*(V2686)))/W2686,0)</f>
        <v/>
      </c>
      <c r="Y2686">
        <f>IF(ABS(W2686)&gt;1E-12,((LTP3!$D$5)*((U2686)*(Q2686)-(R2686)*(V2686))-(LTP3!$D$6)*((S2686)*(Q2686)-(R2686)*(T2686))+(T2686)*((S2686)*(V2686)-(U2686)*(T2686)))/W2686,0)</f>
        <v/>
      </c>
      <c r="Z2686">
        <f>IF(ABS(W2686)&gt;1E-12,((LTP3!$D$5)*((P2686)*(V2686)-(U2686)*(R2686))-(S2686)*((S2686)*(V2686)-(U2686)*(T2686))+(LTP3!$D$6)*((S2686)*(R2686)-(P2686)*(T2686)))/W2686,0)</f>
        <v/>
      </c>
      <c r="AA2686">
        <f>LTP3!$D$7-X2686*LTP3!$D$6-Y2686*U2686-Z2686*V2686</f>
        <v/>
      </c>
      <c r="AB2686">
        <f>IF(AND(F2686,ABS(W2686)&gt;1E-12,Y2686&gt;0,Z2686&gt;0),AA2686,1E+300)</f>
        <v/>
      </c>
    </row>
    <row r="2687">
      <c r="A2687">
        <f>$B$3+$B$5*43</f>
        <v/>
      </c>
      <c r="B2687">
        <f>$B$3+$B$5*52</f>
        <v/>
      </c>
      <c r="C2687">
        <f>SUMPRODUCT(Calc!$K$3:$K$22*(Calc!$G$3:$G$22&lt;=A2687))</f>
        <v/>
      </c>
      <c r="D2687">
        <f>SUMPRODUCT(Calc!$K$3:$K$22*(Calc!$G$3:$G$22&gt;A2687)*(Calc!$G$3:$G$22&lt;B2687))</f>
        <v/>
      </c>
      <c r="E2687">
        <f>SUMPRODUCT(Calc!$K$3:$K$22*(Calc!$G$3:$G$22&gt;=B2687))</f>
        <v/>
      </c>
      <c r="F2687">
        <f>AND(k_n&gt;=5,B2687&gt;A2687+1E-9,C2687&gt;=2,D2687&gt;=1,E2687&gt;=2)</f>
        <v/>
      </c>
      <c r="G2687">
        <f>SUMPRODUCT(Calc!$K$3:$K$22*(Calc!$G$3:$G$22&gt;A2687)*(Calc!$G$3:$G$22-A2687))</f>
        <v/>
      </c>
      <c r="H2687">
        <f>SUMPRODUCT(Calc!$K$3:$K$22*(Calc!$G$3:$G$22&gt;B2687)*(Calc!$G$3:$G$22-B2687))</f>
        <v/>
      </c>
      <c r="I2687">
        <f>SUMPRODUCT(Calc!$K$3:$K$22*(Calc!$G$3:$G$22&gt;A2687)*(Calc!$G$3:$G$22-A2687)^2)</f>
        <v/>
      </c>
      <c r="J2687">
        <f>SUMPRODUCT(Calc!$K$3:$K$22*(Calc!$G$3:$G$22&gt;B2687)*(Calc!$G$3:$G$22-B2687)^2)</f>
        <v/>
      </c>
      <c r="K2687">
        <f>SUMPRODUCT(Calc!$K$3:$K$22*(Calc!$G$3:$G$22&gt;A2687)*(Calc!$G$3:$G$22-A2687)*(Calc!$G$3:$G$22&gt;B2687)*(Calc!$G$3:$G$22-B2687))</f>
        <v/>
      </c>
      <c r="L2687">
        <f>SUMPRODUCT(Calc!$K$3:$K$22*(Calc!$G$3:$G$22&gt;A2687)*(Calc!$G$3:$G$22-A2687)*Calc!$G$3:$G$22)</f>
        <v/>
      </c>
      <c r="M2687">
        <f>SUMPRODUCT(Calc!$K$3:$K$22*(Calc!$G$3:$G$22&gt;B2687)*(Calc!$G$3:$G$22-B2687)*Calc!$G$3:$G$22)</f>
        <v/>
      </c>
      <c r="N2687">
        <f>SUMPRODUCT(Calc!$K$3:$K$22*(Calc!$G$3:$G$22&gt;A2687)*(Calc!$G$3:$G$22-A2687)*Calc!$I$3:$I$22)</f>
        <v/>
      </c>
      <c r="O2687">
        <f>SUMPRODUCT(Calc!$K$3:$K$22*(Calc!$G$3:$G$22&gt;B2687)*(Calc!$G$3:$G$22-B2687)*Calc!$I$3:$I$22)</f>
        <v/>
      </c>
      <c r="P2687">
        <f>I2687-G2687^2/k_n</f>
        <v/>
      </c>
      <c r="Q2687">
        <f>J2687-H2687^2/k_n</f>
        <v/>
      </c>
      <c r="R2687">
        <f>K2687-G2687*H2687/k_n</f>
        <v/>
      </c>
      <c r="S2687">
        <f>L2687-LTP3!$D$3*G2687/k_n</f>
        <v/>
      </c>
      <c r="T2687">
        <f>M2687-LTP3!$D$3*H2687/k_n</f>
        <v/>
      </c>
      <c r="U2687">
        <f>N2687-G2687*LTP3!$D$4/k_n</f>
        <v/>
      </c>
      <c r="V2687">
        <f>O2687-H2687*LTP3!$D$4/k_n</f>
        <v/>
      </c>
      <c r="W2687">
        <f>((LTP3!$D$5)*((P2687)*(Q2687)-(R2687)*(R2687))-(S2687)*((S2687)*(Q2687)-(R2687)*(T2687))+(T2687)*((S2687)*(R2687)-(P2687)*(T2687)))</f>
        <v/>
      </c>
      <c r="X2687">
        <f>IF(ABS(W2687)&gt;1E-12,((LTP3!$D$6)*((P2687)*(Q2687)-(R2687)*(R2687))-(S2687)*((U2687)*(Q2687)-(R2687)*(V2687))+(T2687)*((U2687)*(R2687)-(P2687)*(V2687)))/W2687,0)</f>
        <v/>
      </c>
      <c r="Y2687">
        <f>IF(ABS(W2687)&gt;1E-12,((LTP3!$D$5)*((U2687)*(Q2687)-(R2687)*(V2687))-(LTP3!$D$6)*((S2687)*(Q2687)-(R2687)*(T2687))+(T2687)*((S2687)*(V2687)-(U2687)*(T2687)))/W2687,0)</f>
        <v/>
      </c>
      <c r="Z2687">
        <f>IF(ABS(W2687)&gt;1E-12,((LTP3!$D$5)*((P2687)*(V2687)-(U2687)*(R2687))-(S2687)*((S2687)*(V2687)-(U2687)*(T2687))+(LTP3!$D$6)*((S2687)*(R2687)-(P2687)*(T2687)))/W2687,0)</f>
        <v/>
      </c>
      <c r="AA2687">
        <f>LTP3!$D$7-X2687*LTP3!$D$6-Y2687*U2687-Z2687*V2687</f>
        <v/>
      </c>
      <c r="AB2687">
        <f>IF(AND(F2687,ABS(W2687)&gt;1E-12,Y2687&gt;0,Z2687&gt;0),AA2687,1E+300)</f>
        <v/>
      </c>
    </row>
    <row r="2688">
      <c r="A2688">
        <f>$B$3+$B$5*43</f>
        <v/>
      </c>
      <c r="B2688">
        <f>$B$3+$B$5*53</f>
        <v/>
      </c>
      <c r="C2688">
        <f>SUMPRODUCT(Calc!$K$3:$K$22*(Calc!$G$3:$G$22&lt;=A2688))</f>
        <v/>
      </c>
      <c r="D2688">
        <f>SUMPRODUCT(Calc!$K$3:$K$22*(Calc!$G$3:$G$22&gt;A2688)*(Calc!$G$3:$G$22&lt;B2688))</f>
        <v/>
      </c>
      <c r="E2688">
        <f>SUMPRODUCT(Calc!$K$3:$K$22*(Calc!$G$3:$G$22&gt;=B2688))</f>
        <v/>
      </c>
      <c r="F2688">
        <f>AND(k_n&gt;=5,B2688&gt;A2688+1E-9,C2688&gt;=2,D2688&gt;=1,E2688&gt;=2)</f>
        <v/>
      </c>
      <c r="G2688">
        <f>SUMPRODUCT(Calc!$K$3:$K$22*(Calc!$G$3:$G$22&gt;A2688)*(Calc!$G$3:$G$22-A2688))</f>
        <v/>
      </c>
      <c r="H2688">
        <f>SUMPRODUCT(Calc!$K$3:$K$22*(Calc!$G$3:$G$22&gt;B2688)*(Calc!$G$3:$G$22-B2688))</f>
        <v/>
      </c>
      <c r="I2688">
        <f>SUMPRODUCT(Calc!$K$3:$K$22*(Calc!$G$3:$G$22&gt;A2688)*(Calc!$G$3:$G$22-A2688)^2)</f>
        <v/>
      </c>
      <c r="J2688">
        <f>SUMPRODUCT(Calc!$K$3:$K$22*(Calc!$G$3:$G$22&gt;B2688)*(Calc!$G$3:$G$22-B2688)^2)</f>
        <v/>
      </c>
      <c r="K2688">
        <f>SUMPRODUCT(Calc!$K$3:$K$22*(Calc!$G$3:$G$22&gt;A2688)*(Calc!$G$3:$G$22-A2688)*(Calc!$G$3:$G$22&gt;B2688)*(Calc!$G$3:$G$22-B2688))</f>
        <v/>
      </c>
      <c r="L2688">
        <f>SUMPRODUCT(Calc!$K$3:$K$22*(Calc!$G$3:$G$22&gt;A2688)*(Calc!$G$3:$G$22-A2688)*Calc!$G$3:$G$22)</f>
        <v/>
      </c>
      <c r="M2688">
        <f>SUMPRODUCT(Calc!$K$3:$K$22*(Calc!$G$3:$G$22&gt;B2688)*(Calc!$G$3:$G$22-B2688)*Calc!$G$3:$G$22)</f>
        <v/>
      </c>
      <c r="N2688">
        <f>SUMPRODUCT(Calc!$K$3:$K$22*(Calc!$G$3:$G$22&gt;A2688)*(Calc!$G$3:$G$22-A2688)*Calc!$I$3:$I$22)</f>
        <v/>
      </c>
      <c r="O2688">
        <f>SUMPRODUCT(Calc!$K$3:$K$22*(Calc!$G$3:$G$22&gt;B2688)*(Calc!$G$3:$G$22-B2688)*Calc!$I$3:$I$22)</f>
        <v/>
      </c>
      <c r="P2688">
        <f>I2688-G2688^2/k_n</f>
        <v/>
      </c>
      <c r="Q2688">
        <f>J2688-H2688^2/k_n</f>
        <v/>
      </c>
      <c r="R2688">
        <f>K2688-G2688*H2688/k_n</f>
        <v/>
      </c>
      <c r="S2688">
        <f>L2688-LTP3!$D$3*G2688/k_n</f>
        <v/>
      </c>
      <c r="T2688">
        <f>M2688-LTP3!$D$3*H2688/k_n</f>
        <v/>
      </c>
      <c r="U2688">
        <f>N2688-G2688*LTP3!$D$4/k_n</f>
        <v/>
      </c>
      <c r="V2688">
        <f>O2688-H2688*LTP3!$D$4/k_n</f>
        <v/>
      </c>
      <c r="W2688">
        <f>((LTP3!$D$5)*((P2688)*(Q2688)-(R2688)*(R2688))-(S2688)*((S2688)*(Q2688)-(R2688)*(T2688))+(T2688)*((S2688)*(R2688)-(P2688)*(T2688)))</f>
        <v/>
      </c>
      <c r="X2688">
        <f>IF(ABS(W2688)&gt;1E-12,((LTP3!$D$6)*((P2688)*(Q2688)-(R2688)*(R2688))-(S2688)*((U2688)*(Q2688)-(R2688)*(V2688))+(T2688)*((U2688)*(R2688)-(P2688)*(V2688)))/W2688,0)</f>
        <v/>
      </c>
      <c r="Y2688">
        <f>IF(ABS(W2688)&gt;1E-12,((LTP3!$D$5)*((U2688)*(Q2688)-(R2688)*(V2688))-(LTP3!$D$6)*((S2688)*(Q2688)-(R2688)*(T2688))+(T2688)*((S2688)*(V2688)-(U2688)*(T2688)))/W2688,0)</f>
        <v/>
      </c>
      <c r="Z2688">
        <f>IF(ABS(W2688)&gt;1E-12,((LTP3!$D$5)*((P2688)*(V2688)-(U2688)*(R2688))-(S2688)*((S2688)*(V2688)-(U2688)*(T2688))+(LTP3!$D$6)*((S2688)*(R2688)-(P2688)*(T2688)))/W2688,0)</f>
        <v/>
      </c>
      <c r="AA2688">
        <f>LTP3!$D$7-X2688*LTP3!$D$6-Y2688*U2688-Z2688*V2688</f>
        <v/>
      </c>
      <c r="AB2688">
        <f>IF(AND(F2688,ABS(W2688)&gt;1E-12,Y2688&gt;0,Z2688&gt;0),AA2688,1E+300)</f>
        <v/>
      </c>
    </row>
    <row r="2689">
      <c r="A2689">
        <f>$B$3+$B$5*43</f>
        <v/>
      </c>
      <c r="B2689">
        <f>$B$3+$B$5*54</f>
        <v/>
      </c>
      <c r="C2689">
        <f>SUMPRODUCT(Calc!$K$3:$K$22*(Calc!$G$3:$G$22&lt;=A2689))</f>
        <v/>
      </c>
      <c r="D2689">
        <f>SUMPRODUCT(Calc!$K$3:$K$22*(Calc!$G$3:$G$22&gt;A2689)*(Calc!$G$3:$G$22&lt;B2689))</f>
        <v/>
      </c>
      <c r="E2689">
        <f>SUMPRODUCT(Calc!$K$3:$K$22*(Calc!$G$3:$G$22&gt;=B2689))</f>
        <v/>
      </c>
      <c r="F2689">
        <f>AND(k_n&gt;=5,B2689&gt;A2689+1E-9,C2689&gt;=2,D2689&gt;=1,E2689&gt;=2)</f>
        <v/>
      </c>
      <c r="G2689">
        <f>SUMPRODUCT(Calc!$K$3:$K$22*(Calc!$G$3:$G$22&gt;A2689)*(Calc!$G$3:$G$22-A2689))</f>
        <v/>
      </c>
      <c r="H2689">
        <f>SUMPRODUCT(Calc!$K$3:$K$22*(Calc!$G$3:$G$22&gt;B2689)*(Calc!$G$3:$G$22-B2689))</f>
        <v/>
      </c>
      <c r="I2689">
        <f>SUMPRODUCT(Calc!$K$3:$K$22*(Calc!$G$3:$G$22&gt;A2689)*(Calc!$G$3:$G$22-A2689)^2)</f>
        <v/>
      </c>
      <c r="J2689">
        <f>SUMPRODUCT(Calc!$K$3:$K$22*(Calc!$G$3:$G$22&gt;B2689)*(Calc!$G$3:$G$22-B2689)^2)</f>
        <v/>
      </c>
      <c r="K2689">
        <f>SUMPRODUCT(Calc!$K$3:$K$22*(Calc!$G$3:$G$22&gt;A2689)*(Calc!$G$3:$G$22-A2689)*(Calc!$G$3:$G$22&gt;B2689)*(Calc!$G$3:$G$22-B2689))</f>
        <v/>
      </c>
      <c r="L2689">
        <f>SUMPRODUCT(Calc!$K$3:$K$22*(Calc!$G$3:$G$22&gt;A2689)*(Calc!$G$3:$G$22-A2689)*Calc!$G$3:$G$22)</f>
        <v/>
      </c>
      <c r="M2689">
        <f>SUMPRODUCT(Calc!$K$3:$K$22*(Calc!$G$3:$G$22&gt;B2689)*(Calc!$G$3:$G$22-B2689)*Calc!$G$3:$G$22)</f>
        <v/>
      </c>
      <c r="N2689">
        <f>SUMPRODUCT(Calc!$K$3:$K$22*(Calc!$G$3:$G$22&gt;A2689)*(Calc!$G$3:$G$22-A2689)*Calc!$I$3:$I$22)</f>
        <v/>
      </c>
      <c r="O2689">
        <f>SUMPRODUCT(Calc!$K$3:$K$22*(Calc!$G$3:$G$22&gt;B2689)*(Calc!$G$3:$G$22-B2689)*Calc!$I$3:$I$22)</f>
        <v/>
      </c>
      <c r="P2689">
        <f>I2689-G2689^2/k_n</f>
        <v/>
      </c>
      <c r="Q2689">
        <f>J2689-H2689^2/k_n</f>
        <v/>
      </c>
      <c r="R2689">
        <f>K2689-G2689*H2689/k_n</f>
        <v/>
      </c>
      <c r="S2689">
        <f>L2689-LTP3!$D$3*G2689/k_n</f>
        <v/>
      </c>
      <c r="T2689">
        <f>M2689-LTP3!$D$3*H2689/k_n</f>
        <v/>
      </c>
      <c r="U2689">
        <f>N2689-G2689*LTP3!$D$4/k_n</f>
        <v/>
      </c>
      <c r="V2689">
        <f>O2689-H2689*LTP3!$D$4/k_n</f>
        <v/>
      </c>
      <c r="W2689">
        <f>((LTP3!$D$5)*((P2689)*(Q2689)-(R2689)*(R2689))-(S2689)*((S2689)*(Q2689)-(R2689)*(T2689))+(T2689)*((S2689)*(R2689)-(P2689)*(T2689)))</f>
        <v/>
      </c>
      <c r="X2689">
        <f>IF(ABS(W2689)&gt;1E-12,((LTP3!$D$6)*((P2689)*(Q2689)-(R2689)*(R2689))-(S2689)*((U2689)*(Q2689)-(R2689)*(V2689))+(T2689)*((U2689)*(R2689)-(P2689)*(V2689)))/W2689,0)</f>
        <v/>
      </c>
      <c r="Y2689">
        <f>IF(ABS(W2689)&gt;1E-12,((LTP3!$D$5)*((U2689)*(Q2689)-(R2689)*(V2689))-(LTP3!$D$6)*((S2689)*(Q2689)-(R2689)*(T2689))+(T2689)*((S2689)*(V2689)-(U2689)*(T2689)))/W2689,0)</f>
        <v/>
      </c>
      <c r="Z2689">
        <f>IF(ABS(W2689)&gt;1E-12,((LTP3!$D$5)*((P2689)*(V2689)-(U2689)*(R2689))-(S2689)*((S2689)*(V2689)-(U2689)*(T2689))+(LTP3!$D$6)*((S2689)*(R2689)-(P2689)*(T2689)))/W2689,0)</f>
        <v/>
      </c>
      <c r="AA2689">
        <f>LTP3!$D$7-X2689*LTP3!$D$6-Y2689*U2689-Z2689*V2689</f>
        <v/>
      </c>
      <c r="AB2689">
        <f>IF(AND(F2689,ABS(W2689)&gt;1E-12,Y2689&gt;0,Z2689&gt;0),AA2689,1E+300)</f>
        <v/>
      </c>
    </row>
    <row r="2690">
      <c r="A2690">
        <f>$B$3+$B$5*43</f>
        <v/>
      </c>
      <c r="B2690">
        <f>$B$3+$B$5*55</f>
        <v/>
      </c>
      <c r="C2690">
        <f>SUMPRODUCT(Calc!$K$3:$K$22*(Calc!$G$3:$G$22&lt;=A2690))</f>
        <v/>
      </c>
      <c r="D2690">
        <f>SUMPRODUCT(Calc!$K$3:$K$22*(Calc!$G$3:$G$22&gt;A2690)*(Calc!$G$3:$G$22&lt;B2690))</f>
        <v/>
      </c>
      <c r="E2690">
        <f>SUMPRODUCT(Calc!$K$3:$K$22*(Calc!$G$3:$G$22&gt;=B2690))</f>
        <v/>
      </c>
      <c r="F2690">
        <f>AND(k_n&gt;=5,B2690&gt;A2690+1E-9,C2690&gt;=2,D2690&gt;=1,E2690&gt;=2)</f>
        <v/>
      </c>
      <c r="G2690">
        <f>SUMPRODUCT(Calc!$K$3:$K$22*(Calc!$G$3:$G$22&gt;A2690)*(Calc!$G$3:$G$22-A2690))</f>
        <v/>
      </c>
      <c r="H2690">
        <f>SUMPRODUCT(Calc!$K$3:$K$22*(Calc!$G$3:$G$22&gt;B2690)*(Calc!$G$3:$G$22-B2690))</f>
        <v/>
      </c>
      <c r="I2690">
        <f>SUMPRODUCT(Calc!$K$3:$K$22*(Calc!$G$3:$G$22&gt;A2690)*(Calc!$G$3:$G$22-A2690)^2)</f>
        <v/>
      </c>
      <c r="J2690">
        <f>SUMPRODUCT(Calc!$K$3:$K$22*(Calc!$G$3:$G$22&gt;B2690)*(Calc!$G$3:$G$22-B2690)^2)</f>
        <v/>
      </c>
      <c r="K2690">
        <f>SUMPRODUCT(Calc!$K$3:$K$22*(Calc!$G$3:$G$22&gt;A2690)*(Calc!$G$3:$G$22-A2690)*(Calc!$G$3:$G$22&gt;B2690)*(Calc!$G$3:$G$22-B2690))</f>
        <v/>
      </c>
      <c r="L2690">
        <f>SUMPRODUCT(Calc!$K$3:$K$22*(Calc!$G$3:$G$22&gt;A2690)*(Calc!$G$3:$G$22-A2690)*Calc!$G$3:$G$22)</f>
        <v/>
      </c>
      <c r="M2690">
        <f>SUMPRODUCT(Calc!$K$3:$K$22*(Calc!$G$3:$G$22&gt;B2690)*(Calc!$G$3:$G$22-B2690)*Calc!$G$3:$G$22)</f>
        <v/>
      </c>
      <c r="N2690">
        <f>SUMPRODUCT(Calc!$K$3:$K$22*(Calc!$G$3:$G$22&gt;A2690)*(Calc!$G$3:$G$22-A2690)*Calc!$I$3:$I$22)</f>
        <v/>
      </c>
      <c r="O2690">
        <f>SUMPRODUCT(Calc!$K$3:$K$22*(Calc!$G$3:$G$22&gt;B2690)*(Calc!$G$3:$G$22-B2690)*Calc!$I$3:$I$22)</f>
        <v/>
      </c>
      <c r="P2690">
        <f>I2690-G2690^2/k_n</f>
        <v/>
      </c>
      <c r="Q2690">
        <f>J2690-H2690^2/k_n</f>
        <v/>
      </c>
      <c r="R2690">
        <f>K2690-G2690*H2690/k_n</f>
        <v/>
      </c>
      <c r="S2690">
        <f>L2690-LTP3!$D$3*G2690/k_n</f>
        <v/>
      </c>
      <c r="T2690">
        <f>M2690-LTP3!$D$3*H2690/k_n</f>
        <v/>
      </c>
      <c r="U2690">
        <f>N2690-G2690*LTP3!$D$4/k_n</f>
        <v/>
      </c>
      <c r="V2690">
        <f>O2690-H2690*LTP3!$D$4/k_n</f>
        <v/>
      </c>
      <c r="W2690">
        <f>((LTP3!$D$5)*((P2690)*(Q2690)-(R2690)*(R2690))-(S2690)*((S2690)*(Q2690)-(R2690)*(T2690))+(T2690)*((S2690)*(R2690)-(P2690)*(T2690)))</f>
        <v/>
      </c>
      <c r="X2690">
        <f>IF(ABS(W2690)&gt;1E-12,((LTP3!$D$6)*((P2690)*(Q2690)-(R2690)*(R2690))-(S2690)*((U2690)*(Q2690)-(R2690)*(V2690))+(T2690)*((U2690)*(R2690)-(P2690)*(V2690)))/W2690,0)</f>
        <v/>
      </c>
      <c r="Y2690">
        <f>IF(ABS(W2690)&gt;1E-12,((LTP3!$D$5)*((U2690)*(Q2690)-(R2690)*(V2690))-(LTP3!$D$6)*((S2690)*(Q2690)-(R2690)*(T2690))+(T2690)*((S2690)*(V2690)-(U2690)*(T2690)))/W2690,0)</f>
        <v/>
      </c>
      <c r="Z2690">
        <f>IF(ABS(W2690)&gt;1E-12,((LTP3!$D$5)*((P2690)*(V2690)-(U2690)*(R2690))-(S2690)*((S2690)*(V2690)-(U2690)*(T2690))+(LTP3!$D$6)*((S2690)*(R2690)-(P2690)*(T2690)))/W2690,0)</f>
        <v/>
      </c>
      <c r="AA2690">
        <f>LTP3!$D$7-X2690*LTP3!$D$6-Y2690*U2690-Z2690*V2690</f>
        <v/>
      </c>
      <c r="AB2690">
        <f>IF(AND(F2690,ABS(W2690)&gt;1E-12,Y2690&gt;0,Z2690&gt;0),AA2690,1E+300)</f>
        <v/>
      </c>
    </row>
    <row r="2691">
      <c r="A2691">
        <f>$B$3+$B$5*43</f>
        <v/>
      </c>
      <c r="B2691">
        <f>$B$3+$B$5*56</f>
        <v/>
      </c>
      <c r="C2691">
        <f>SUMPRODUCT(Calc!$K$3:$K$22*(Calc!$G$3:$G$22&lt;=A2691))</f>
        <v/>
      </c>
      <c r="D2691">
        <f>SUMPRODUCT(Calc!$K$3:$K$22*(Calc!$G$3:$G$22&gt;A2691)*(Calc!$G$3:$G$22&lt;B2691))</f>
        <v/>
      </c>
      <c r="E2691">
        <f>SUMPRODUCT(Calc!$K$3:$K$22*(Calc!$G$3:$G$22&gt;=B2691))</f>
        <v/>
      </c>
      <c r="F2691">
        <f>AND(k_n&gt;=5,B2691&gt;A2691+1E-9,C2691&gt;=2,D2691&gt;=1,E2691&gt;=2)</f>
        <v/>
      </c>
      <c r="G2691">
        <f>SUMPRODUCT(Calc!$K$3:$K$22*(Calc!$G$3:$G$22&gt;A2691)*(Calc!$G$3:$G$22-A2691))</f>
        <v/>
      </c>
      <c r="H2691">
        <f>SUMPRODUCT(Calc!$K$3:$K$22*(Calc!$G$3:$G$22&gt;B2691)*(Calc!$G$3:$G$22-B2691))</f>
        <v/>
      </c>
      <c r="I2691">
        <f>SUMPRODUCT(Calc!$K$3:$K$22*(Calc!$G$3:$G$22&gt;A2691)*(Calc!$G$3:$G$22-A2691)^2)</f>
        <v/>
      </c>
      <c r="J2691">
        <f>SUMPRODUCT(Calc!$K$3:$K$22*(Calc!$G$3:$G$22&gt;B2691)*(Calc!$G$3:$G$22-B2691)^2)</f>
        <v/>
      </c>
      <c r="K2691">
        <f>SUMPRODUCT(Calc!$K$3:$K$22*(Calc!$G$3:$G$22&gt;A2691)*(Calc!$G$3:$G$22-A2691)*(Calc!$G$3:$G$22&gt;B2691)*(Calc!$G$3:$G$22-B2691))</f>
        <v/>
      </c>
      <c r="L2691">
        <f>SUMPRODUCT(Calc!$K$3:$K$22*(Calc!$G$3:$G$22&gt;A2691)*(Calc!$G$3:$G$22-A2691)*Calc!$G$3:$G$22)</f>
        <v/>
      </c>
      <c r="M2691">
        <f>SUMPRODUCT(Calc!$K$3:$K$22*(Calc!$G$3:$G$22&gt;B2691)*(Calc!$G$3:$G$22-B2691)*Calc!$G$3:$G$22)</f>
        <v/>
      </c>
      <c r="N2691">
        <f>SUMPRODUCT(Calc!$K$3:$K$22*(Calc!$G$3:$G$22&gt;A2691)*(Calc!$G$3:$G$22-A2691)*Calc!$I$3:$I$22)</f>
        <v/>
      </c>
      <c r="O2691">
        <f>SUMPRODUCT(Calc!$K$3:$K$22*(Calc!$G$3:$G$22&gt;B2691)*(Calc!$G$3:$G$22-B2691)*Calc!$I$3:$I$22)</f>
        <v/>
      </c>
      <c r="P2691">
        <f>I2691-G2691^2/k_n</f>
        <v/>
      </c>
      <c r="Q2691">
        <f>J2691-H2691^2/k_n</f>
        <v/>
      </c>
      <c r="R2691">
        <f>K2691-G2691*H2691/k_n</f>
        <v/>
      </c>
      <c r="S2691">
        <f>L2691-LTP3!$D$3*G2691/k_n</f>
        <v/>
      </c>
      <c r="T2691">
        <f>M2691-LTP3!$D$3*H2691/k_n</f>
        <v/>
      </c>
      <c r="U2691">
        <f>N2691-G2691*LTP3!$D$4/k_n</f>
        <v/>
      </c>
      <c r="V2691">
        <f>O2691-H2691*LTP3!$D$4/k_n</f>
        <v/>
      </c>
      <c r="W2691">
        <f>((LTP3!$D$5)*((P2691)*(Q2691)-(R2691)*(R2691))-(S2691)*((S2691)*(Q2691)-(R2691)*(T2691))+(T2691)*((S2691)*(R2691)-(P2691)*(T2691)))</f>
        <v/>
      </c>
      <c r="X2691">
        <f>IF(ABS(W2691)&gt;1E-12,((LTP3!$D$6)*((P2691)*(Q2691)-(R2691)*(R2691))-(S2691)*((U2691)*(Q2691)-(R2691)*(V2691))+(T2691)*((U2691)*(R2691)-(P2691)*(V2691)))/W2691,0)</f>
        <v/>
      </c>
      <c r="Y2691">
        <f>IF(ABS(W2691)&gt;1E-12,((LTP3!$D$5)*((U2691)*(Q2691)-(R2691)*(V2691))-(LTP3!$D$6)*((S2691)*(Q2691)-(R2691)*(T2691))+(T2691)*((S2691)*(V2691)-(U2691)*(T2691)))/W2691,0)</f>
        <v/>
      </c>
      <c r="Z2691">
        <f>IF(ABS(W2691)&gt;1E-12,((LTP3!$D$5)*((P2691)*(V2691)-(U2691)*(R2691))-(S2691)*((S2691)*(V2691)-(U2691)*(T2691))+(LTP3!$D$6)*((S2691)*(R2691)-(P2691)*(T2691)))/W2691,0)</f>
        <v/>
      </c>
      <c r="AA2691">
        <f>LTP3!$D$7-X2691*LTP3!$D$6-Y2691*U2691-Z2691*V2691</f>
        <v/>
      </c>
      <c r="AB2691">
        <f>IF(AND(F2691,ABS(W2691)&gt;1E-12,Y2691&gt;0,Z2691&gt;0),AA2691,1E+300)</f>
        <v/>
      </c>
    </row>
    <row r="2692">
      <c r="A2692">
        <f>$B$3+$B$5*43</f>
        <v/>
      </c>
      <c r="B2692">
        <f>$B$3+$B$5*57</f>
        <v/>
      </c>
      <c r="C2692">
        <f>SUMPRODUCT(Calc!$K$3:$K$22*(Calc!$G$3:$G$22&lt;=A2692))</f>
        <v/>
      </c>
      <c r="D2692">
        <f>SUMPRODUCT(Calc!$K$3:$K$22*(Calc!$G$3:$G$22&gt;A2692)*(Calc!$G$3:$G$22&lt;B2692))</f>
        <v/>
      </c>
      <c r="E2692">
        <f>SUMPRODUCT(Calc!$K$3:$K$22*(Calc!$G$3:$G$22&gt;=B2692))</f>
        <v/>
      </c>
      <c r="F2692">
        <f>AND(k_n&gt;=5,B2692&gt;A2692+1E-9,C2692&gt;=2,D2692&gt;=1,E2692&gt;=2)</f>
        <v/>
      </c>
      <c r="G2692">
        <f>SUMPRODUCT(Calc!$K$3:$K$22*(Calc!$G$3:$G$22&gt;A2692)*(Calc!$G$3:$G$22-A2692))</f>
        <v/>
      </c>
      <c r="H2692">
        <f>SUMPRODUCT(Calc!$K$3:$K$22*(Calc!$G$3:$G$22&gt;B2692)*(Calc!$G$3:$G$22-B2692))</f>
        <v/>
      </c>
      <c r="I2692">
        <f>SUMPRODUCT(Calc!$K$3:$K$22*(Calc!$G$3:$G$22&gt;A2692)*(Calc!$G$3:$G$22-A2692)^2)</f>
        <v/>
      </c>
      <c r="J2692">
        <f>SUMPRODUCT(Calc!$K$3:$K$22*(Calc!$G$3:$G$22&gt;B2692)*(Calc!$G$3:$G$22-B2692)^2)</f>
        <v/>
      </c>
      <c r="K2692">
        <f>SUMPRODUCT(Calc!$K$3:$K$22*(Calc!$G$3:$G$22&gt;A2692)*(Calc!$G$3:$G$22-A2692)*(Calc!$G$3:$G$22&gt;B2692)*(Calc!$G$3:$G$22-B2692))</f>
        <v/>
      </c>
      <c r="L2692">
        <f>SUMPRODUCT(Calc!$K$3:$K$22*(Calc!$G$3:$G$22&gt;A2692)*(Calc!$G$3:$G$22-A2692)*Calc!$G$3:$G$22)</f>
        <v/>
      </c>
      <c r="M2692">
        <f>SUMPRODUCT(Calc!$K$3:$K$22*(Calc!$G$3:$G$22&gt;B2692)*(Calc!$G$3:$G$22-B2692)*Calc!$G$3:$G$22)</f>
        <v/>
      </c>
      <c r="N2692">
        <f>SUMPRODUCT(Calc!$K$3:$K$22*(Calc!$G$3:$G$22&gt;A2692)*(Calc!$G$3:$G$22-A2692)*Calc!$I$3:$I$22)</f>
        <v/>
      </c>
      <c r="O2692">
        <f>SUMPRODUCT(Calc!$K$3:$K$22*(Calc!$G$3:$G$22&gt;B2692)*(Calc!$G$3:$G$22-B2692)*Calc!$I$3:$I$22)</f>
        <v/>
      </c>
      <c r="P2692">
        <f>I2692-G2692^2/k_n</f>
        <v/>
      </c>
      <c r="Q2692">
        <f>J2692-H2692^2/k_n</f>
        <v/>
      </c>
      <c r="R2692">
        <f>K2692-G2692*H2692/k_n</f>
        <v/>
      </c>
      <c r="S2692">
        <f>L2692-LTP3!$D$3*G2692/k_n</f>
        <v/>
      </c>
      <c r="T2692">
        <f>M2692-LTP3!$D$3*H2692/k_n</f>
        <v/>
      </c>
      <c r="U2692">
        <f>N2692-G2692*LTP3!$D$4/k_n</f>
        <v/>
      </c>
      <c r="V2692">
        <f>O2692-H2692*LTP3!$D$4/k_n</f>
        <v/>
      </c>
      <c r="W2692">
        <f>((LTP3!$D$5)*((P2692)*(Q2692)-(R2692)*(R2692))-(S2692)*((S2692)*(Q2692)-(R2692)*(T2692))+(T2692)*((S2692)*(R2692)-(P2692)*(T2692)))</f>
        <v/>
      </c>
      <c r="X2692">
        <f>IF(ABS(W2692)&gt;1E-12,((LTP3!$D$6)*((P2692)*(Q2692)-(R2692)*(R2692))-(S2692)*((U2692)*(Q2692)-(R2692)*(V2692))+(T2692)*((U2692)*(R2692)-(P2692)*(V2692)))/W2692,0)</f>
        <v/>
      </c>
      <c r="Y2692">
        <f>IF(ABS(W2692)&gt;1E-12,((LTP3!$D$5)*((U2692)*(Q2692)-(R2692)*(V2692))-(LTP3!$D$6)*((S2692)*(Q2692)-(R2692)*(T2692))+(T2692)*((S2692)*(V2692)-(U2692)*(T2692)))/W2692,0)</f>
        <v/>
      </c>
      <c r="Z2692">
        <f>IF(ABS(W2692)&gt;1E-12,((LTP3!$D$5)*((P2692)*(V2692)-(U2692)*(R2692))-(S2692)*((S2692)*(V2692)-(U2692)*(T2692))+(LTP3!$D$6)*((S2692)*(R2692)-(P2692)*(T2692)))/W2692,0)</f>
        <v/>
      </c>
      <c r="AA2692">
        <f>LTP3!$D$7-X2692*LTP3!$D$6-Y2692*U2692-Z2692*V2692</f>
        <v/>
      </c>
      <c r="AB2692">
        <f>IF(AND(F2692,ABS(W2692)&gt;1E-12,Y2692&gt;0,Z2692&gt;0),AA2692,1E+300)</f>
        <v/>
      </c>
    </row>
    <row r="2693">
      <c r="A2693">
        <f>$B$3+$B$5*43</f>
        <v/>
      </c>
      <c r="B2693">
        <f>$B$3+$B$5*58</f>
        <v/>
      </c>
      <c r="C2693">
        <f>SUMPRODUCT(Calc!$K$3:$K$22*(Calc!$G$3:$G$22&lt;=A2693))</f>
        <v/>
      </c>
      <c r="D2693">
        <f>SUMPRODUCT(Calc!$K$3:$K$22*(Calc!$G$3:$G$22&gt;A2693)*(Calc!$G$3:$G$22&lt;B2693))</f>
        <v/>
      </c>
      <c r="E2693">
        <f>SUMPRODUCT(Calc!$K$3:$K$22*(Calc!$G$3:$G$22&gt;=B2693))</f>
        <v/>
      </c>
      <c r="F2693">
        <f>AND(k_n&gt;=5,B2693&gt;A2693+1E-9,C2693&gt;=2,D2693&gt;=1,E2693&gt;=2)</f>
        <v/>
      </c>
      <c r="G2693">
        <f>SUMPRODUCT(Calc!$K$3:$K$22*(Calc!$G$3:$G$22&gt;A2693)*(Calc!$G$3:$G$22-A2693))</f>
        <v/>
      </c>
      <c r="H2693">
        <f>SUMPRODUCT(Calc!$K$3:$K$22*(Calc!$G$3:$G$22&gt;B2693)*(Calc!$G$3:$G$22-B2693))</f>
        <v/>
      </c>
      <c r="I2693">
        <f>SUMPRODUCT(Calc!$K$3:$K$22*(Calc!$G$3:$G$22&gt;A2693)*(Calc!$G$3:$G$22-A2693)^2)</f>
        <v/>
      </c>
      <c r="J2693">
        <f>SUMPRODUCT(Calc!$K$3:$K$22*(Calc!$G$3:$G$22&gt;B2693)*(Calc!$G$3:$G$22-B2693)^2)</f>
        <v/>
      </c>
      <c r="K2693">
        <f>SUMPRODUCT(Calc!$K$3:$K$22*(Calc!$G$3:$G$22&gt;A2693)*(Calc!$G$3:$G$22-A2693)*(Calc!$G$3:$G$22&gt;B2693)*(Calc!$G$3:$G$22-B2693))</f>
        <v/>
      </c>
      <c r="L2693">
        <f>SUMPRODUCT(Calc!$K$3:$K$22*(Calc!$G$3:$G$22&gt;A2693)*(Calc!$G$3:$G$22-A2693)*Calc!$G$3:$G$22)</f>
        <v/>
      </c>
      <c r="M2693">
        <f>SUMPRODUCT(Calc!$K$3:$K$22*(Calc!$G$3:$G$22&gt;B2693)*(Calc!$G$3:$G$22-B2693)*Calc!$G$3:$G$22)</f>
        <v/>
      </c>
      <c r="N2693">
        <f>SUMPRODUCT(Calc!$K$3:$K$22*(Calc!$G$3:$G$22&gt;A2693)*(Calc!$G$3:$G$22-A2693)*Calc!$I$3:$I$22)</f>
        <v/>
      </c>
      <c r="O2693">
        <f>SUMPRODUCT(Calc!$K$3:$K$22*(Calc!$G$3:$G$22&gt;B2693)*(Calc!$G$3:$G$22-B2693)*Calc!$I$3:$I$22)</f>
        <v/>
      </c>
      <c r="P2693">
        <f>I2693-G2693^2/k_n</f>
        <v/>
      </c>
      <c r="Q2693">
        <f>J2693-H2693^2/k_n</f>
        <v/>
      </c>
      <c r="R2693">
        <f>K2693-G2693*H2693/k_n</f>
        <v/>
      </c>
      <c r="S2693">
        <f>L2693-LTP3!$D$3*G2693/k_n</f>
        <v/>
      </c>
      <c r="T2693">
        <f>M2693-LTP3!$D$3*H2693/k_n</f>
        <v/>
      </c>
      <c r="U2693">
        <f>N2693-G2693*LTP3!$D$4/k_n</f>
        <v/>
      </c>
      <c r="V2693">
        <f>O2693-H2693*LTP3!$D$4/k_n</f>
        <v/>
      </c>
      <c r="W2693">
        <f>((LTP3!$D$5)*((P2693)*(Q2693)-(R2693)*(R2693))-(S2693)*((S2693)*(Q2693)-(R2693)*(T2693))+(T2693)*((S2693)*(R2693)-(P2693)*(T2693)))</f>
        <v/>
      </c>
      <c r="X2693">
        <f>IF(ABS(W2693)&gt;1E-12,((LTP3!$D$6)*((P2693)*(Q2693)-(R2693)*(R2693))-(S2693)*((U2693)*(Q2693)-(R2693)*(V2693))+(T2693)*((U2693)*(R2693)-(P2693)*(V2693)))/W2693,0)</f>
        <v/>
      </c>
      <c r="Y2693">
        <f>IF(ABS(W2693)&gt;1E-12,((LTP3!$D$5)*((U2693)*(Q2693)-(R2693)*(V2693))-(LTP3!$D$6)*((S2693)*(Q2693)-(R2693)*(T2693))+(T2693)*((S2693)*(V2693)-(U2693)*(T2693)))/W2693,0)</f>
        <v/>
      </c>
      <c r="Z2693">
        <f>IF(ABS(W2693)&gt;1E-12,((LTP3!$D$5)*((P2693)*(V2693)-(U2693)*(R2693))-(S2693)*((S2693)*(V2693)-(U2693)*(T2693))+(LTP3!$D$6)*((S2693)*(R2693)-(P2693)*(T2693)))/W2693,0)</f>
        <v/>
      </c>
      <c r="AA2693">
        <f>LTP3!$D$7-X2693*LTP3!$D$6-Y2693*U2693-Z2693*V2693</f>
        <v/>
      </c>
      <c r="AB2693">
        <f>IF(AND(F2693,ABS(W2693)&gt;1E-12,Y2693&gt;0,Z2693&gt;0),AA2693,1E+300)</f>
        <v/>
      </c>
    </row>
    <row r="2694">
      <c r="A2694">
        <f>$B$3+$B$5*43</f>
        <v/>
      </c>
      <c r="B2694">
        <f>$B$3+$B$5*59</f>
        <v/>
      </c>
      <c r="C2694">
        <f>SUMPRODUCT(Calc!$K$3:$K$22*(Calc!$G$3:$G$22&lt;=A2694))</f>
        <v/>
      </c>
      <c r="D2694">
        <f>SUMPRODUCT(Calc!$K$3:$K$22*(Calc!$G$3:$G$22&gt;A2694)*(Calc!$G$3:$G$22&lt;B2694))</f>
        <v/>
      </c>
      <c r="E2694">
        <f>SUMPRODUCT(Calc!$K$3:$K$22*(Calc!$G$3:$G$22&gt;=B2694))</f>
        <v/>
      </c>
      <c r="F2694">
        <f>AND(k_n&gt;=5,B2694&gt;A2694+1E-9,C2694&gt;=2,D2694&gt;=1,E2694&gt;=2)</f>
        <v/>
      </c>
      <c r="G2694">
        <f>SUMPRODUCT(Calc!$K$3:$K$22*(Calc!$G$3:$G$22&gt;A2694)*(Calc!$G$3:$G$22-A2694))</f>
        <v/>
      </c>
      <c r="H2694">
        <f>SUMPRODUCT(Calc!$K$3:$K$22*(Calc!$G$3:$G$22&gt;B2694)*(Calc!$G$3:$G$22-B2694))</f>
        <v/>
      </c>
      <c r="I2694">
        <f>SUMPRODUCT(Calc!$K$3:$K$22*(Calc!$G$3:$G$22&gt;A2694)*(Calc!$G$3:$G$22-A2694)^2)</f>
        <v/>
      </c>
      <c r="J2694">
        <f>SUMPRODUCT(Calc!$K$3:$K$22*(Calc!$G$3:$G$22&gt;B2694)*(Calc!$G$3:$G$22-B2694)^2)</f>
        <v/>
      </c>
      <c r="K2694">
        <f>SUMPRODUCT(Calc!$K$3:$K$22*(Calc!$G$3:$G$22&gt;A2694)*(Calc!$G$3:$G$22-A2694)*(Calc!$G$3:$G$22&gt;B2694)*(Calc!$G$3:$G$22-B2694))</f>
        <v/>
      </c>
      <c r="L2694">
        <f>SUMPRODUCT(Calc!$K$3:$K$22*(Calc!$G$3:$G$22&gt;A2694)*(Calc!$G$3:$G$22-A2694)*Calc!$G$3:$G$22)</f>
        <v/>
      </c>
      <c r="M2694">
        <f>SUMPRODUCT(Calc!$K$3:$K$22*(Calc!$G$3:$G$22&gt;B2694)*(Calc!$G$3:$G$22-B2694)*Calc!$G$3:$G$22)</f>
        <v/>
      </c>
      <c r="N2694">
        <f>SUMPRODUCT(Calc!$K$3:$K$22*(Calc!$G$3:$G$22&gt;A2694)*(Calc!$G$3:$G$22-A2694)*Calc!$I$3:$I$22)</f>
        <v/>
      </c>
      <c r="O2694">
        <f>SUMPRODUCT(Calc!$K$3:$K$22*(Calc!$G$3:$G$22&gt;B2694)*(Calc!$G$3:$G$22-B2694)*Calc!$I$3:$I$22)</f>
        <v/>
      </c>
      <c r="P2694">
        <f>I2694-G2694^2/k_n</f>
        <v/>
      </c>
      <c r="Q2694">
        <f>J2694-H2694^2/k_n</f>
        <v/>
      </c>
      <c r="R2694">
        <f>K2694-G2694*H2694/k_n</f>
        <v/>
      </c>
      <c r="S2694">
        <f>L2694-LTP3!$D$3*G2694/k_n</f>
        <v/>
      </c>
      <c r="T2694">
        <f>M2694-LTP3!$D$3*H2694/k_n</f>
        <v/>
      </c>
      <c r="U2694">
        <f>N2694-G2694*LTP3!$D$4/k_n</f>
        <v/>
      </c>
      <c r="V2694">
        <f>O2694-H2694*LTP3!$D$4/k_n</f>
        <v/>
      </c>
      <c r="W2694">
        <f>((LTP3!$D$5)*((P2694)*(Q2694)-(R2694)*(R2694))-(S2694)*((S2694)*(Q2694)-(R2694)*(T2694))+(T2694)*((S2694)*(R2694)-(P2694)*(T2694)))</f>
        <v/>
      </c>
      <c r="X2694">
        <f>IF(ABS(W2694)&gt;1E-12,((LTP3!$D$6)*((P2694)*(Q2694)-(R2694)*(R2694))-(S2694)*((U2694)*(Q2694)-(R2694)*(V2694))+(T2694)*((U2694)*(R2694)-(P2694)*(V2694)))/W2694,0)</f>
        <v/>
      </c>
      <c r="Y2694">
        <f>IF(ABS(W2694)&gt;1E-12,((LTP3!$D$5)*((U2694)*(Q2694)-(R2694)*(V2694))-(LTP3!$D$6)*((S2694)*(Q2694)-(R2694)*(T2694))+(T2694)*((S2694)*(V2694)-(U2694)*(T2694)))/W2694,0)</f>
        <v/>
      </c>
      <c r="Z2694">
        <f>IF(ABS(W2694)&gt;1E-12,((LTP3!$D$5)*((P2694)*(V2694)-(U2694)*(R2694))-(S2694)*((S2694)*(V2694)-(U2694)*(T2694))+(LTP3!$D$6)*((S2694)*(R2694)-(P2694)*(T2694)))/W2694,0)</f>
        <v/>
      </c>
      <c r="AA2694">
        <f>LTP3!$D$7-X2694*LTP3!$D$6-Y2694*U2694-Z2694*V2694</f>
        <v/>
      </c>
      <c r="AB2694">
        <f>IF(AND(F2694,ABS(W2694)&gt;1E-12,Y2694&gt;0,Z2694&gt;0),AA2694,1E+300)</f>
        <v/>
      </c>
    </row>
    <row r="2695">
      <c r="A2695">
        <f>$B$3+$B$5*43</f>
        <v/>
      </c>
      <c r="B2695">
        <f>$B$3+$B$5*60</f>
        <v/>
      </c>
      <c r="C2695">
        <f>SUMPRODUCT(Calc!$K$3:$K$22*(Calc!$G$3:$G$22&lt;=A2695))</f>
        <v/>
      </c>
      <c r="D2695">
        <f>SUMPRODUCT(Calc!$K$3:$K$22*(Calc!$G$3:$G$22&gt;A2695)*(Calc!$G$3:$G$22&lt;B2695))</f>
        <v/>
      </c>
      <c r="E2695">
        <f>SUMPRODUCT(Calc!$K$3:$K$22*(Calc!$G$3:$G$22&gt;=B2695))</f>
        <v/>
      </c>
      <c r="F2695">
        <f>AND(k_n&gt;=5,B2695&gt;A2695+1E-9,C2695&gt;=2,D2695&gt;=1,E2695&gt;=2)</f>
        <v/>
      </c>
      <c r="G2695">
        <f>SUMPRODUCT(Calc!$K$3:$K$22*(Calc!$G$3:$G$22&gt;A2695)*(Calc!$G$3:$G$22-A2695))</f>
        <v/>
      </c>
      <c r="H2695">
        <f>SUMPRODUCT(Calc!$K$3:$K$22*(Calc!$G$3:$G$22&gt;B2695)*(Calc!$G$3:$G$22-B2695))</f>
        <v/>
      </c>
      <c r="I2695">
        <f>SUMPRODUCT(Calc!$K$3:$K$22*(Calc!$G$3:$G$22&gt;A2695)*(Calc!$G$3:$G$22-A2695)^2)</f>
        <v/>
      </c>
      <c r="J2695">
        <f>SUMPRODUCT(Calc!$K$3:$K$22*(Calc!$G$3:$G$22&gt;B2695)*(Calc!$G$3:$G$22-B2695)^2)</f>
        <v/>
      </c>
      <c r="K2695">
        <f>SUMPRODUCT(Calc!$K$3:$K$22*(Calc!$G$3:$G$22&gt;A2695)*(Calc!$G$3:$G$22-A2695)*(Calc!$G$3:$G$22&gt;B2695)*(Calc!$G$3:$G$22-B2695))</f>
        <v/>
      </c>
      <c r="L2695">
        <f>SUMPRODUCT(Calc!$K$3:$K$22*(Calc!$G$3:$G$22&gt;A2695)*(Calc!$G$3:$G$22-A2695)*Calc!$G$3:$G$22)</f>
        <v/>
      </c>
      <c r="M2695">
        <f>SUMPRODUCT(Calc!$K$3:$K$22*(Calc!$G$3:$G$22&gt;B2695)*(Calc!$G$3:$G$22-B2695)*Calc!$G$3:$G$22)</f>
        <v/>
      </c>
      <c r="N2695">
        <f>SUMPRODUCT(Calc!$K$3:$K$22*(Calc!$G$3:$G$22&gt;A2695)*(Calc!$G$3:$G$22-A2695)*Calc!$I$3:$I$22)</f>
        <v/>
      </c>
      <c r="O2695">
        <f>SUMPRODUCT(Calc!$K$3:$K$22*(Calc!$G$3:$G$22&gt;B2695)*(Calc!$G$3:$G$22-B2695)*Calc!$I$3:$I$22)</f>
        <v/>
      </c>
      <c r="P2695">
        <f>I2695-G2695^2/k_n</f>
        <v/>
      </c>
      <c r="Q2695">
        <f>J2695-H2695^2/k_n</f>
        <v/>
      </c>
      <c r="R2695">
        <f>K2695-G2695*H2695/k_n</f>
        <v/>
      </c>
      <c r="S2695">
        <f>L2695-LTP3!$D$3*G2695/k_n</f>
        <v/>
      </c>
      <c r="T2695">
        <f>M2695-LTP3!$D$3*H2695/k_n</f>
        <v/>
      </c>
      <c r="U2695">
        <f>N2695-G2695*LTP3!$D$4/k_n</f>
        <v/>
      </c>
      <c r="V2695">
        <f>O2695-H2695*LTP3!$D$4/k_n</f>
        <v/>
      </c>
      <c r="W2695">
        <f>((LTP3!$D$5)*((P2695)*(Q2695)-(R2695)*(R2695))-(S2695)*((S2695)*(Q2695)-(R2695)*(T2695))+(T2695)*((S2695)*(R2695)-(P2695)*(T2695)))</f>
        <v/>
      </c>
      <c r="X2695">
        <f>IF(ABS(W2695)&gt;1E-12,((LTP3!$D$6)*((P2695)*(Q2695)-(R2695)*(R2695))-(S2695)*((U2695)*(Q2695)-(R2695)*(V2695))+(T2695)*((U2695)*(R2695)-(P2695)*(V2695)))/W2695,0)</f>
        <v/>
      </c>
      <c r="Y2695">
        <f>IF(ABS(W2695)&gt;1E-12,((LTP3!$D$5)*((U2695)*(Q2695)-(R2695)*(V2695))-(LTP3!$D$6)*((S2695)*(Q2695)-(R2695)*(T2695))+(T2695)*((S2695)*(V2695)-(U2695)*(T2695)))/W2695,0)</f>
        <v/>
      </c>
      <c r="Z2695">
        <f>IF(ABS(W2695)&gt;1E-12,((LTP3!$D$5)*((P2695)*(V2695)-(U2695)*(R2695))-(S2695)*((S2695)*(V2695)-(U2695)*(T2695))+(LTP3!$D$6)*((S2695)*(R2695)-(P2695)*(T2695)))/W2695,0)</f>
        <v/>
      </c>
      <c r="AA2695">
        <f>LTP3!$D$7-X2695*LTP3!$D$6-Y2695*U2695-Z2695*V2695</f>
        <v/>
      </c>
      <c r="AB2695">
        <f>IF(AND(F2695,ABS(W2695)&gt;1E-12,Y2695&gt;0,Z2695&gt;0),AA2695,1E+300)</f>
        <v/>
      </c>
    </row>
    <row r="2696">
      <c r="A2696">
        <f>$B$3+$B$5*44</f>
        <v/>
      </c>
      <c r="B2696">
        <f>$B$3+$B$5*0</f>
        <v/>
      </c>
      <c r="C2696">
        <f>SUMPRODUCT(Calc!$K$3:$K$22*(Calc!$G$3:$G$22&lt;=A2696))</f>
        <v/>
      </c>
      <c r="D2696">
        <f>SUMPRODUCT(Calc!$K$3:$K$22*(Calc!$G$3:$G$22&gt;A2696)*(Calc!$G$3:$G$22&lt;B2696))</f>
        <v/>
      </c>
      <c r="E2696">
        <f>SUMPRODUCT(Calc!$K$3:$K$22*(Calc!$G$3:$G$22&gt;=B2696))</f>
        <v/>
      </c>
      <c r="F2696">
        <f>AND(k_n&gt;=5,B2696&gt;A2696+1E-9,C2696&gt;=2,D2696&gt;=1,E2696&gt;=2)</f>
        <v/>
      </c>
      <c r="G2696">
        <f>SUMPRODUCT(Calc!$K$3:$K$22*(Calc!$G$3:$G$22&gt;A2696)*(Calc!$G$3:$G$22-A2696))</f>
        <v/>
      </c>
      <c r="H2696">
        <f>SUMPRODUCT(Calc!$K$3:$K$22*(Calc!$G$3:$G$22&gt;B2696)*(Calc!$G$3:$G$22-B2696))</f>
        <v/>
      </c>
      <c r="I2696">
        <f>SUMPRODUCT(Calc!$K$3:$K$22*(Calc!$G$3:$G$22&gt;A2696)*(Calc!$G$3:$G$22-A2696)^2)</f>
        <v/>
      </c>
      <c r="J2696">
        <f>SUMPRODUCT(Calc!$K$3:$K$22*(Calc!$G$3:$G$22&gt;B2696)*(Calc!$G$3:$G$22-B2696)^2)</f>
        <v/>
      </c>
      <c r="K2696">
        <f>SUMPRODUCT(Calc!$K$3:$K$22*(Calc!$G$3:$G$22&gt;A2696)*(Calc!$G$3:$G$22-A2696)*(Calc!$G$3:$G$22&gt;B2696)*(Calc!$G$3:$G$22-B2696))</f>
        <v/>
      </c>
      <c r="L2696">
        <f>SUMPRODUCT(Calc!$K$3:$K$22*(Calc!$G$3:$G$22&gt;A2696)*(Calc!$G$3:$G$22-A2696)*Calc!$G$3:$G$22)</f>
        <v/>
      </c>
      <c r="M2696">
        <f>SUMPRODUCT(Calc!$K$3:$K$22*(Calc!$G$3:$G$22&gt;B2696)*(Calc!$G$3:$G$22-B2696)*Calc!$G$3:$G$22)</f>
        <v/>
      </c>
      <c r="N2696">
        <f>SUMPRODUCT(Calc!$K$3:$K$22*(Calc!$G$3:$G$22&gt;A2696)*(Calc!$G$3:$G$22-A2696)*Calc!$I$3:$I$22)</f>
        <v/>
      </c>
      <c r="O2696">
        <f>SUMPRODUCT(Calc!$K$3:$K$22*(Calc!$G$3:$G$22&gt;B2696)*(Calc!$G$3:$G$22-B2696)*Calc!$I$3:$I$22)</f>
        <v/>
      </c>
      <c r="P2696">
        <f>I2696-G2696^2/k_n</f>
        <v/>
      </c>
      <c r="Q2696">
        <f>J2696-H2696^2/k_n</f>
        <v/>
      </c>
      <c r="R2696">
        <f>K2696-G2696*H2696/k_n</f>
        <v/>
      </c>
      <c r="S2696">
        <f>L2696-LTP3!$D$3*G2696/k_n</f>
        <v/>
      </c>
      <c r="T2696">
        <f>M2696-LTP3!$D$3*H2696/k_n</f>
        <v/>
      </c>
      <c r="U2696">
        <f>N2696-G2696*LTP3!$D$4/k_n</f>
        <v/>
      </c>
      <c r="V2696">
        <f>O2696-H2696*LTP3!$D$4/k_n</f>
        <v/>
      </c>
      <c r="W2696">
        <f>((LTP3!$D$5)*((P2696)*(Q2696)-(R2696)*(R2696))-(S2696)*((S2696)*(Q2696)-(R2696)*(T2696))+(T2696)*((S2696)*(R2696)-(P2696)*(T2696)))</f>
        <v/>
      </c>
      <c r="X2696">
        <f>IF(ABS(W2696)&gt;1E-12,((LTP3!$D$6)*((P2696)*(Q2696)-(R2696)*(R2696))-(S2696)*((U2696)*(Q2696)-(R2696)*(V2696))+(T2696)*((U2696)*(R2696)-(P2696)*(V2696)))/W2696,0)</f>
        <v/>
      </c>
      <c r="Y2696">
        <f>IF(ABS(W2696)&gt;1E-12,((LTP3!$D$5)*((U2696)*(Q2696)-(R2696)*(V2696))-(LTP3!$D$6)*((S2696)*(Q2696)-(R2696)*(T2696))+(T2696)*((S2696)*(V2696)-(U2696)*(T2696)))/W2696,0)</f>
        <v/>
      </c>
      <c r="Z2696">
        <f>IF(ABS(W2696)&gt;1E-12,((LTP3!$D$5)*((P2696)*(V2696)-(U2696)*(R2696))-(S2696)*((S2696)*(V2696)-(U2696)*(T2696))+(LTP3!$D$6)*((S2696)*(R2696)-(P2696)*(T2696)))/W2696,0)</f>
        <v/>
      </c>
      <c r="AA2696">
        <f>LTP3!$D$7-X2696*LTP3!$D$6-Y2696*U2696-Z2696*V2696</f>
        <v/>
      </c>
      <c r="AB2696">
        <f>IF(AND(F2696,ABS(W2696)&gt;1E-12,Y2696&gt;0,Z2696&gt;0),AA2696,1E+300)</f>
        <v/>
      </c>
    </row>
    <row r="2697">
      <c r="A2697">
        <f>$B$3+$B$5*44</f>
        <v/>
      </c>
      <c r="B2697">
        <f>$B$3+$B$5*1</f>
        <v/>
      </c>
      <c r="C2697">
        <f>SUMPRODUCT(Calc!$K$3:$K$22*(Calc!$G$3:$G$22&lt;=A2697))</f>
        <v/>
      </c>
      <c r="D2697">
        <f>SUMPRODUCT(Calc!$K$3:$K$22*(Calc!$G$3:$G$22&gt;A2697)*(Calc!$G$3:$G$22&lt;B2697))</f>
        <v/>
      </c>
      <c r="E2697">
        <f>SUMPRODUCT(Calc!$K$3:$K$22*(Calc!$G$3:$G$22&gt;=B2697))</f>
        <v/>
      </c>
      <c r="F2697">
        <f>AND(k_n&gt;=5,B2697&gt;A2697+1E-9,C2697&gt;=2,D2697&gt;=1,E2697&gt;=2)</f>
        <v/>
      </c>
      <c r="G2697">
        <f>SUMPRODUCT(Calc!$K$3:$K$22*(Calc!$G$3:$G$22&gt;A2697)*(Calc!$G$3:$G$22-A2697))</f>
        <v/>
      </c>
      <c r="H2697">
        <f>SUMPRODUCT(Calc!$K$3:$K$22*(Calc!$G$3:$G$22&gt;B2697)*(Calc!$G$3:$G$22-B2697))</f>
        <v/>
      </c>
      <c r="I2697">
        <f>SUMPRODUCT(Calc!$K$3:$K$22*(Calc!$G$3:$G$22&gt;A2697)*(Calc!$G$3:$G$22-A2697)^2)</f>
        <v/>
      </c>
      <c r="J2697">
        <f>SUMPRODUCT(Calc!$K$3:$K$22*(Calc!$G$3:$G$22&gt;B2697)*(Calc!$G$3:$G$22-B2697)^2)</f>
        <v/>
      </c>
      <c r="K2697">
        <f>SUMPRODUCT(Calc!$K$3:$K$22*(Calc!$G$3:$G$22&gt;A2697)*(Calc!$G$3:$G$22-A2697)*(Calc!$G$3:$G$22&gt;B2697)*(Calc!$G$3:$G$22-B2697))</f>
        <v/>
      </c>
      <c r="L2697">
        <f>SUMPRODUCT(Calc!$K$3:$K$22*(Calc!$G$3:$G$22&gt;A2697)*(Calc!$G$3:$G$22-A2697)*Calc!$G$3:$G$22)</f>
        <v/>
      </c>
      <c r="M2697">
        <f>SUMPRODUCT(Calc!$K$3:$K$22*(Calc!$G$3:$G$22&gt;B2697)*(Calc!$G$3:$G$22-B2697)*Calc!$G$3:$G$22)</f>
        <v/>
      </c>
      <c r="N2697">
        <f>SUMPRODUCT(Calc!$K$3:$K$22*(Calc!$G$3:$G$22&gt;A2697)*(Calc!$G$3:$G$22-A2697)*Calc!$I$3:$I$22)</f>
        <v/>
      </c>
      <c r="O2697">
        <f>SUMPRODUCT(Calc!$K$3:$K$22*(Calc!$G$3:$G$22&gt;B2697)*(Calc!$G$3:$G$22-B2697)*Calc!$I$3:$I$22)</f>
        <v/>
      </c>
      <c r="P2697">
        <f>I2697-G2697^2/k_n</f>
        <v/>
      </c>
      <c r="Q2697">
        <f>J2697-H2697^2/k_n</f>
        <v/>
      </c>
      <c r="R2697">
        <f>K2697-G2697*H2697/k_n</f>
        <v/>
      </c>
      <c r="S2697">
        <f>L2697-LTP3!$D$3*G2697/k_n</f>
        <v/>
      </c>
      <c r="T2697">
        <f>M2697-LTP3!$D$3*H2697/k_n</f>
        <v/>
      </c>
      <c r="U2697">
        <f>N2697-G2697*LTP3!$D$4/k_n</f>
        <v/>
      </c>
      <c r="V2697">
        <f>O2697-H2697*LTP3!$D$4/k_n</f>
        <v/>
      </c>
      <c r="W2697">
        <f>((LTP3!$D$5)*((P2697)*(Q2697)-(R2697)*(R2697))-(S2697)*((S2697)*(Q2697)-(R2697)*(T2697))+(T2697)*((S2697)*(R2697)-(P2697)*(T2697)))</f>
        <v/>
      </c>
      <c r="X2697">
        <f>IF(ABS(W2697)&gt;1E-12,((LTP3!$D$6)*((P2697)*(Q2697)-(R2697)*(R2697))-(S2697)*((U2697)*(Q2697)-(R2697)*(V2697))+(T2697)*((U2697)*(R2697)-(P2697)*(V2697)))/W2697,0)</f>
        <v/>
      </c>
      <c r="Y2697">
        <f>IF(ABS(W2697)&gt;1E-12,((LTP3!$D$5)*((U2697)*(Q2697)-(R2697)*(V2697))-(LTP3!$D$6)*((S2697)*(Q2697)-(R2697)*(T2697))+(T2697)*((S2697)*(V2697)-(U2697)*(T2697)))/W2697,0)</f>
        <v/>
      </c>
      <c r="Z2697">
        <f>IF(ABS(W2697)&gt;1E-12,((LTP3!$D$5)*((P2697)*(V2697)-(U2697)*(R2697))-(S2697)*((S2697)*(V2697)-(U2697)*(T2697))+(LTP3!$D$6)*((S2697)*(R2697)-(P2697)*(T2697)))/W2697,0)</f>
        <v/>
      </c>
      <c r="AA2697">
        <f>LTP3!$D$7-X2697*LTP3!$D$6-Y2697*U2697-Z2697*V2697</f>
        <v/>
      </c>
      <c r="AB2697">
        <f>IF(AND(F2697,ABS(W2697)&gt;1E-12,Y2697&gt;0,Z2697&gt;0),AA2697,1E+300)</f>
        <v/>
      </c>
    </row>
    <row r="2698">
      <c r="A2698">
        <f>$B$3+$B$5*44</f>
        <v/>
      </c>
      <c r="B2698">
        <f>$B$3+$B$5*2</f>
        <v/>
      </c>
      <c r="C2698">
        <f>SUMPRODUCT(Calc!$K$3:$K$22*(Calc!$G$3:$G$22&lt;=A2698))</f>
        <v/>
      </c>
      <c r="D2698">
        <f>SUMPRODUCT(Calc!$K$3:$K$22*(Calc!$G$3:$G$22&gt;A2698)*(Calc!$G$3:$G$22&lt;B2698))</f>
        <v/>
      </c>
      <c r="E2698">
        <f>SUMPRODUCT(Calc!$K$3:$K$22*(Calc!$G$3:$G$22&gt;=B2698))</f>
        <v/>
      </c>
      <c r="F2698">
        <f>AND(k_n&gt;=5,B2698&gt;A2698+1E-9,C2698&gt;=2,D2698&gt;=1,E2698&gt;=2)</f>
        <v/>
      </c>
      <c r="G2698">
        <f>SUMPRODUCT(Calc!$K$3:$K$22*(Calc!$G$3:$G$22&gt;A2698)*(Calc!$G$3:$G$22-A2698))</f>
        <v/>
      </c>
      <c r="H2698">
        <f>SUMPRODUCT(Calc!$K$3:$K$22*(Calc!$G$3:$G$22&gt;B2698)*(Calc!$G$3:$G$22-B2698))</f>
        <v/>
      </c>
      <c r="I2698">
        <f>SUMPRODUCT(Calc!$K$3:$K$22*(Calc!$G$3:$G$22&gt;A2698)*(Calc!$G$3:$G$22-A2698)^2)</f>
        <v/>
      </c>
      <c r="J2698">
        <f>SUMPRODUCT(Calc!$K$3:$K$22*(Calc!$G$3:$G$22&gt;B2698)*(Calc!$G$3:$G$22-B2698)^2)</f>
        <v/>
      </c>
      <c r="K2698">
        <f>SUMPRODUCT(Calc!$K$3:$K$22*(Calc!$G$3:$G$22&gt;A2698)*(Calc!$G$3:$G$22-A2698)*(Calc!$G$3:$G$22&gt;B2698)*(Calc!$G$3:$G$22-B2698))</f>
        <v/>
      </c>
      <c r="L2698">
        <f>SUMPRODUCT(Calc!$K$3:$K$22*(Calc!$G$3:$G$22&gt;A2698)*(Calc!$G$3:$G$22-A2698)*Calc!$G$3:$G$22)</f>
        <v/>
      </c>
      <c r="M2698">
        <f>SUMPRODUCT(Calc!$K$3:$K$22*(Calc!$G$3:$G$22&gt;B2698)*(Calc!$G$3:$G$22-B2698)*Calc!$G$3:$G$22)</f>
        <v/>
      </c>
      <c r="N2698">
        <f>SUMPRODUCT(Calc!$K$3:$K$22*(Calc!$G$3:$G$22&gt;A2698)*(Calc!$G$3:$G$22-A2698)*Calc!$I$3:$I$22)</f>
        <v/>
      </c>
      <c r="O2698">
        <f>SUMPRODUCT(Calc!$K$3:$K$22*(Calc!$G$3:$G$22&gt;B2698)*(Calc!$G$3:$G$22-B2698)*Calc!$I$3:$I$22)</f>
        <v/>
      </c>
      <c r="P2698">
        <f>I2698-G2698^2/k_n</f>
        <v/>
      </c>
      <c r="Q2698">
        <f>J2698-H2698^2/k_n</f>
        <v/>
      </c>
      <c r="R2698">
        <f>K2698-G2698*H2698/k_n</f>
        <v/>
      </c>
      <c r="S2698">
        <f>L2698-LTP3!$D$3*G2698/k_n</f>
        <v/>
      </c>
      <c r="T2698">
        <f>M2698-LTP3!$D$3*H2698/k_n</f>
        <v/>
      </c>
      <c r="U2698">
        <f>N2698-G2698*LTP3!$D$4/k_n</f>
        <v/>
      </c>
      <c r="V2698">
        <f>O2698-H2698*LTP3!$D$4/k_n</f>
        <v/>
      </c>
      <c r="W2698">
        <f>((LTP3!$D$5)*((P2698)*(Q2698)-(R2698)*(R2698))-(S2698)*((S2698)*(Q2698)-(R2698)*(T2698))+(T2698)*((S2698)*(R2698)-(P2698)*(T2698)))</f>
        <v/>
      </c>
      <c r="X2698">
        <f>IF(ABS(W2698)&gt;1E-12,((LTP3!$D$6)*((P2698)*(Q2698)-(R2698)*(R2698))-(S2698)*((U2698)*(Q2698)-(R2698)*(V2698))+(T2698)*((U2698)*(R2698)-(P2698)*(V2698)))/W2698,0)</f>
        <v/>
      </c>
      <c r="Y2698">
        <f>IF(ABS(W2698)&gt;1E-12,((LTP3!$D$5)*((U2698)*(Q2698)-(R2698)*(V2698))-(LTP3!$D$6)*((S2698)*(Q2698)-(R2698)*(T2698))+(T2698)*((S2698)*(V2698)-(U2698)*(T2698)))/W2698,0)</f>
        <v/>
      </c>
      <c r="Z2698">
        <f>IF(ABS(W2698)&gt;1E-12,((LTP3!$D$5)*((P2698)*(V2698)-(U2698)*(R2698))-(S2698)*((S2698)*(V2698)-(U2698)*(T2698))+(LTP3!$D$6)*((S2698)*(R2698)-(P2698)*(T2698)))/W2698,0)</f>
        <v/>
      </c>
      <c r="AA2698">
        <f>LTP3!$D$7-X2698*LTP3!$D$6-Y2698*U2698-Z2698*V2698</f>
        <v/>
      </c>
      <c r="AB2698">
        <f>IF(AND(F2698,ABS(W2698)&gt;1E-12,Y2698&gt;0,Z2698&gt;0),AA2698,1E+300)</f>
        <v/>
      </c>
    </row>
    <row r="2699">
      <c r="A2699">
        <f>$B$3+$B$5*44</f>
        <v/>
      </c>
      <c r="B2699">
        <f>$B$3+$B$5*3</f>
        <v/>
      </c>
      <c r="C2699">
        <f>SUMPRODUCT(Calc!$K$3:$K$22*(Calc!$G$3:$G$22&lt;=A2699))</f>
        <v/>
      </c>
      <c r="D2699">
        <f>SUMPRODUCT(Calc!$K$3:$K$22*(Calc!$G$3:$G$22&gt;A2699)*(Calc!$G$3:$G$22&lt;B2699))</f>
        <v/>
      </c>
      <c r="E2699">
        <f>SUMPRODUCT(Calc!$K$3:$K$22*(Calc!$G$3:$G$22&gt;=B2699))</f>
        <v/>
      </c>
      <c r="F2699">
        <f>AND(k_n&gt;=5,B2699&gt;A2699+1E-9,C2699&gt;=2,D2699&gt;=1,E2699&gt;=2)</f>
        <v/>
      </c>
      <c r="G2699">
        <f>SUMPRODUCT(Calc!$K$3:$K$22*(Calc!$G$3:$G$22&gt;A2699)*(Calc!$G$3:$G$22-A2699))</f>
        <v/>
      </c>
      <c r="H2699">
        <f>SUMPRODUCT(Calc!$K$3:$K$22*(Calc!$G$3:$G$22&gt;B2699)*(Calc!$G$3:$G$22-B2699))</f>
        <v/>
      </c>
      <c r="I2699">
        <f>SUMPRODUCT(Calc!$K$3:$K$22*(Calc!$G$3:$G$22&gt;A2699)*(Calc!$G$3:$G$22-A2699)^2)</f>
        <v/>
      </c>
      <c r="J2699">
        <f>SUMPRODUCT(Calc!$K$3:$K$22*(Calc!$G$3:$G$22&gt;B2699)*(Calc!$G$3:$G$22-B2699)^2)</f>
        <v/>
      </c>
      <c r="K2699">
        <f>SUMPRODUCT(Calc!$K$3:$K$22*(Calc!$G$3:$G$22&gt;A2699)*(Calc!$G$3:$G$22-A2699)*(Calc!$G$3:$G$22&gt;B2699)*(Calc!$G$3:$G$22-B2699))</f>
        <v/>
      </c>
      <c r="L2699">
        <f>SUMPRODUCT(Calc!$K$3:$K$22*(Calc!$G$3:$G$22&gt;A2699)*(Calc!$G$3:$G$22-A2699)*Calc!$G$3:$G$22)</f>
        <v/>
      </c>
      <c r="M2699">
        <f>SUMPRODUCT(Calc!$K$3:$K$22*(Calc!$G$3:$G$22&gt;B2699)*(Calc!$G$3:$G$22-B2699)*Calc!$G$3:$G$22)</f>
        <v/>
      </c>
      <c r="N2699">
        <f>SUMPRODUCT(Calc!$K$3:$K$22*(Calc!$G$3:$G$22&gt;A2699)*(Calc!$G$3:$G$22-A2699)*Calc!$I$3:$I$22)</f>
        <v/>
      </c>
      <c r="O2699">
        <f>SUMPRODUCT(Calc!$K$3:$K$22*(Calc!$G$3:$G$22&gt;B2699)*(Calc!$G$3:$G$22-B2699)*Calc!$I$3:$I$22)</f>
        <v/>
      </c>
      <c r="P2699">
        <f>I2699-G2699^2/k_n</f>
        <v/>
      </c>
      <c r="Q2699">
        <f>J2699-H2699^2/k_n</f>
        <v/>
      </c>
      <c r="R2699">
        <f>K2699-G2699*H2699/k_n</f>
        <v/>
      </c>
      <c r="S2699">
        <f>L2699-LTP3!$D$3*G2699/k_n</f>
        <v/>
      </c>
      <c r="T2699">
        <f>M2699-LTP3!$D$3*H2699/k_n</f>
        <v/>
      </c>
      <c r="U2699">
        <f>N2699-G2699*LTP3!$D$4/k_n</f>
        <v/>
      </c>
      <c r="V2699">
        <f>O2699-H2699*LTP3!$D$4/k_n</f>
        <v/>
      </c>
      <c r="W2699">
        <f>((LTP3!$D$5)*((P2699)*(Q2699)-(R2699)*(R2699))-(S2699)*((S2699)*(Q2699)-(R2699)*(T2699))+(T2699)*((S2699)*(R2699)-(P2699)*(T2699)))</f>
        <v/>
      </c>
      <c r="X2699">
        <f>IF(ABS(W2699)&gt;1E-12,((LTP3!$D$6)*((P2699)*(Q2699)-(R2699)*(R2699))-(S2699)*((U2699)*(Q2699)-(R2699)*(V2699))+(T2699)*((U2699)*(R2699)-(P2699)*(V2699)))/W2699,0)</f>
        <v/>
      </c>
      <c r="Y2699">
        <f>IF(ABS(W2699)&gt;1E-12,((LTP3!$D$5)*((U2699)*(Q2699)-(R2699)*(V2699))-(LTP3!$D$6)*((S2699)*(Q2699)-(R2699)*(T2699))+(T2699)*((S2699)*(V2699)-(U2699)*(T2699)))/W2699,0)</f>
        <v/>
      </c>
      <c r="Z2699">
        <f>IF(ABS(W2699)&gt;1E-12,((LTP3!$D$5)*((P2699)*(V2699)-(U2699)*(R2699))-(S2699)*((S2699)*(V2699)-(U2699)*(T2699))+(LTP3!$D$6)*((S2699)*(R2699)-(P2699)*(T2699)))/W2699,0)</f>
        <v/>
      </c>
      <c r="AA2699">
        <f>LTP3!$D$7-X2699*LTP3!$D$6-Y2699*U2699-Z2699*V2699</f>
        <v/>
      </c>
      <c r="AB2699">
        <f>IF(AND(F2699,ABS(W2699)&gt;1E-12,Y2699&gt;0,Z2699&gt;0),AA2699,1E+300)</f>
        <v/>
      </c>
    </row>
    <row r="2700">
      <c r="A2700">
        <f>$B$3+$B$5*44</f>
        <v/>
      </c>
      <c r="B2700">
        <f>$B$3+$B$5*4</f>
        <v/>
      </c>
      <c r="C2700">
        <f>SUMPRODUCT(Calc!$K$3:$K$22*(Calc!$G$3:$G$22&lt;=A2700))</f>
        <v/>
      </c>
      <c r="D2700">
        <f>SUMPRODUCT(Calc!$K$3:$K$22*(Calc!$G$3:$G$22&gt;A2700)*(Calc!$G$3:$G$22&lt;B2700))</f>
        <v/>
      </c>
      <c r="E2700">
        <f>SUMPRODUCT(Calc!$K$3:$K$22*(Calc!$G$3:$G$22&gt;=B2700))</f>
        <v/>
      </c>
      <c r="F2700">
        <f>AND(k_n&gt;=5,B2700&gt;A2700+1E-9,C2700&gt;=2,D2700&gt;=1,E2700&gt;=2)</f>
        <v/>
      </c>
      <c r="G2700">
        <f>SUMPRODUCT(Calc!$K$3:$K$22*(Calc!$G$3:$G$22&gt;A2700)*(Calc!$G$3:$G$22-A2700))</f>
        <v/>
      </c>
      <c r="H2700">
        <f>SUMPRODUCT(Calc!$K$3:$K$22*(Calc!$G$3:$G$22&gt;B2700)*(Calc!$G$3:$G$22-B2700))</f>
        <v/>
      </c>
      <c r="I2700">
        <f>SUMPRODUCT(Calc!$K$3:$K$22*(Calc!$G$3:$G$22&gt;A2700)*(Calc!$G$3:$G$22-A2700)^2)</f>
        <v/>
      </c>
      <c r="J2700">
        <f>SUMPRODUCT(Calc!$K$3:$K$22*(Calc!$G$3:$G$22&gt;B2700)*(Calc!$G$3:$G$22-B2700)^2)</f>
        <v/>
      </c>
      <c r="K2700">
        <f>SUMPRODUCT(Calc!$K$3:$K$22*(Calc!$G$3:$G$22&gt;A2700)*(Calc!$G$3:$G$22-A2700)*(Calc!$G$3:$G$22&gt;B2700)*(Calc!$G$3:$G$22-B2700))</f>
        <v/>
      </c>
      <c r="L2700">
        <f>SUMPRODUCT(Calc!$K$3:$K$22*(Calc!$G$3:$G$22&gt;A2700)*(Calc!$G$3:$G$22-A2700)*Calc!$G$3:$G$22)</f>
        <v/>
      </c>
      <c r="M2700">
        <f>SUMPRODUCT(Calc!$K$3:$K$22*(Calc!$G$3:$G$22&gt;B2700)*(Calc!$G$3:$G$22-B2700)*Calc!$G$3:$G$22)</f>
        <v/>
      </c>
      <c r="N2700">
        <f>SUMPRODUCT(Calc!$K$3:$K$22*(Calc!$G$3:$G$22&gt;A2700)*(Calc!$G$3:$G$22-A2700)*Calc!$I$3:$I$22)</f>
        <v/>
      </c>
      <c r="O2700">
        <f>SUMPRODUCT(Calc!$K$3:$K$22*(Calc!$G$3:$G$22&gt;B2700)*(Calc!$G$3:$G$22-B2700)*Calc!$I$3:$I$22)</f>
        <v/>
      </c>
      <c r="P2700">
        <f>I2700-G2700^2/k_n</f>
        <v/>
      </c>
      <c r="Q2700">
        <f>J2700-H2700^2/k_n</f>
        <v/>
      </c>
      <c r="R2700">
        <f>K2700-G2700*H2700/k_n</f>
        <v/>
      </c>
      <c r="S2700">
        <f>L2700-LTP3!$D$3*G2700/k_n</f>
        <v/>
      </c>
      <c r="T2700">
        <f>M2700-LTP3!$D$3*H2700/k_n</f>
        <v/>
      </c>
      <c r="U2700">
        <f>N2700-G2700*LTP3!$D$4/k_n</f>
        <v/>
      </c>
      <c r="V2700">
        <f>O2700-H2700*LTP3!$D$4/k_n</f>
        <v/>
      </c>
      <c r="W2700">
        <f>((LTP3!$D$5)*((P2700)*(Q2700)-(R2700)*(R2700))-(S2700)*((S2700)*(Q2700)-(R2700)*(T2700))+(T2700)*((S2700)*(R2700)-(P2700)*(T2700)))</f>
        <v/>
      </c>
      <c r="X2700">
        <f>IF(ABS(W2700)&gt;1E-12,((LTP3!$D$6)*((P2700)*(Q2700)-(R2700)*(R2700))-(S2700)*((U2700)*(Q2700)-(R2700)*(V2700))+(T2700)*((U2700)*(R2700)-(P2700)*(V2700)))/W2700,0)</f>
        <v/>
      </c>
      <c r="Y2700">
        <f>IF(ABS(W2700)&gt;1E-12,((LTP3!$D$5)*((U2700)*(Q2700)-(R2700)*(V2700))-(LTP3!$D$6)*((S2700)*(Q2700)-(R2700)*(T2700))+(T2700)*((S2700)*(V2700)-(U2700)*(T2700)))/W2700,0)</f>
        <v/>
      </c>
      <c r="Z2700">
        <f>IF(ABS(W2700)&gt;1E-12,((LTP3!$D$5)*((P2700)*(V2700)-(U2700)*(R2700))-(S2700)*((S2700)*(V2700)-(U2700)*(T2700))+(LTP3!$D$6)*((S2700)*(R2700)-(P2700)*(T2700)))/W2700,0)</f>
        <v/>
      </c>
      <c r="AA2700">
        <f>LTP3!$D$7-X2700*LTP3!$D$6-Y2700*U2700-Z2700*V2700</f>
        <v/>
      </c>
      <c r="AB2700">
        <f>IF(AND(F2700,ABS(W2700)&gt;1E-12,Y2700&gt;0,Z2700&gt;0),AA2700,1E+300)</f>
        <v/>
      </c>
    </row>
    <row r="2701">
      <c r="A2701">
        <f>$B$3+$B$5*44</f>
        <v/>
      </c>
      <c r="B2701">
        <f>$B$3+$B$5*5</f>
        <v/>
      </c>
      <c r="C2701">
        <f>SUMPRODUCT(Calc!$K$3:$K$22*(Calc!$G$3:$G$22&lt;=A2701))</f>
        <v/>
      </c>
      <c r="D2701">
        <f>SUMPRODUCT(Calc!$K$3:$K$22*(Calc!$G$3:$G$22&gt;A2701)*(Calc!$G$3:$G$22&lt;B2701))</f>
        <v/>
      </c>
      <c r="E2701">
        <f>SUMPRODUCT(Calc!$K$3:$K$22*(Calc!$G$3:$G$22&gt;=B2701))</f>
        <v/>
      </c>
      <c r="F2701">
        <f>AND(k_n&gt;=5,B2701&gt;A2701+1E-9,C2701&gt;=2,D2701&gt;=1,E2701&gt;=2)</f>
        <v/>
      </c>
      <c r="G2701">
        <f>SUMPRODUCT(Calc!$K$3:$K$22*(Calc!$G$3:$G$22&gt;A2701)*(Calc!$G$3:$G$22-A2701))</f>
        <v/>
      </c>
      <c r="H2701">
        <f>SUMPRODUCT(Calc!$K$3:$K$22*(Calc!$G$3:$G$22&gt;B2701)*(Calc!$G$3:$G$22-B2701))</f>
        <v/>
      </c>
      <c r="I2701">
        <f>SUMPRODUCT(Calc!$K$3:$K$22*(Calc!$G$3:$G$22&gt;A2701)*(Calc!$G$3:$G$22-A2701)^2)</f>
        <v/>
      </c>
      <c r="J2701">
        <f>SUMPRODUCT(Calc!$K$3:$K$22*(Calc!$G$3:$G$22&gt;B2701)*(Calc!$G$3:$G$22-B2701)^2)</f>
        <v/>
      </c>
      <c r="K2701">
        <f>SUMPRODUCT(Calc!$K$3:$K$22*(Calc!$G$3:$G$22&gt;A2701)*(Calc!$G$3:$G$22-A2701)*(Calc!$G$3:$G$22&gt;B2701)*(Calc!$G$3:$G$22-B2701))</f>
        <v/>
      </c>
      <c r="L2701">
        <f>SUMPRODUCT(Calc!$K$3:$K$22*(Calc!$G$3:$G$22&gt;A2701)*(Calc!$G$3:$G$22-A2701)*Calc!$G$3:$G$22)</f>
        <v/>
      </c>
      <c r="M2701">
        <f>SUMPRODUCT(Calc!$K$3:$K$22*(Calc!$G$3:$G$22&gt;B2701)*(Calc!$G$3:$G$22-B2701)*Calc!$G$3:$G$22)</f>
        <v/>
      </c>
      <c r="N2701">
        <f>SUMPRODUCT(Calc!$K$3:$K$22*(Calc!$G$3:$G$22&gt;A2701)*(Calc!$G$3:$G$22-A2701)*Calc!$I$3:$I$22)</f>
        <v/>
      </c>
      <c r="O2701">
        <f>SUMPRODUCT(Calc!$K$3:$K$22*(Calc!$G$3:$G$22&gt;B2701)*(Calc!$G$3:$G$22-B2701)*Calc!$I$3:$I$22)</f>
        <v/>
      </c>
      <c r="P2701">
        <f>I2701-G2701^2/k_n</f>
        <v/>
      </c>
      <c r="Q2701">
        <f>J2701-H2701^2/k_n</f>
        <v/>
      </c>
      <c r="R2701">
        <f>K2701-G2701*H2701/k_n</f>
        <v/>
      </c>
      <c r="S2701">
        <f>L2701-LTP3!$D$3*G2701/k_n</f>
        <v/>
      </c>
      <c r="T2701">
        <f>M2701-LTP3!$D$3*H2701/k_n</f>
        <v/>
      </c>
      <c r="U2701">
        <f>N2701-G2701*LTP3!$D$4/k_n</f>
        <v/>
      </c>
      <c r="V2701">
        <f>O2701-H2701*LTP3!$D$4/k_n</f>
        <v/>
      </c>
      <c r="W2701">
        <f>((LTP3!$D$5)*((P2701)*(Q2701)-(R2701)*(R2701))-(S2701)*((S2701)*(Q2701)-(R2701)*(T2701))+(T2701)*((S2701)*(R2701)-(P2701)*(T2701)))</f>
        <v/>
      </c>
      <c r="X2701">
        <f>IF(ABS(W2701)&gt;1E-12,((LTP3!$D$6)*((P2701)*(Q2701)-(R2701)*(R2701))-(S2701)*((U2701)*(Q2701)-(R2701)*(V2701))+(T2701)*((U2701)*(R2701)-(P2701)*(V2701)))/W2701,0)</f>
        <v/>
      </c>
      <c r="Y2701">
        <f>IF(ABS(W2701)&gt;1E-12,((LTP3!$D$5)*((U2701)*(Q2701)-(R2701)*(V2701))-(LTP3!$D$6)*((S2701)*(Q2701)-(R2701)*(T2701))+(T2701)*((S2701)*(V2701)-(U2701)*(T2701)))/W2701,0)</f>
        <v/>
      </c>
      <c r="Z2701">
        <f>IF(ABS(W2701)&gt;1E-12,((LTP3!$D$5)*((P2701)*(V2701)-(U2701)*(R2701))-(S2701)*((S2701)*(V2701)-(U2701)*(T2701))+(LTP3!$D$6)*((S2701)*(R2701)-(P2701)*(T2701)))/W2701,0)</f>
        <v/>
      </c>
      <c r="AA2701">
        <f>LTP3!$D$7-X2701*LTP3!$D$6-Y2701*U2701-Z2701*V2701</f>
        <v/>
      </c>
      <c r="AB2701">
        <f>IF(AND(F2701,ABS(W2701)&gt;1E-12,Y2701&gt;0,Z2701&gt;0),AA2701,1E+300)</f>
        <v/>
      </c>
    </row>
    <row r="2702">
      <c r="A2702">
        <f>$B$3+$B$5*44</f>
        <v/>
      </c>
      <c r="B2702">
        <f>$B$3+$B$5*6</f>
        <v/>
      </c>
      <c r="C2702">
        <f>SUMPRODUCT(Calc!$K$3:$K$22*(Calc!$G$3:$G$22&lt;=A2702))</f>
        <v/>
      </c>
      <c r="D2702">
        <f>SUMPRODUCT(Calc!$K$3:$K$22*(Calc!$G$3:$G$22&gt;A2702)*(Calc!$G$3:$G$22&lt;B2702))</f>
        <v/>
      </c>
      <c r="E2702">
        <f>SUMPRODUCT(Calc!$K$3:$K$22*(Calc!$G$3:$G$22&gt;=B2702))</f>
        <v/>
      </c>
      <c r="F2702">
        <f>AND(k_n&gt;=5,B2702&gt;A2702+1E-9,C2702&gt;=2,D2702&gt;=1,E2702&gt;=2)</f>
        <v/>
      </c>
      <c r="G2702">
        <f>SUMPRODUCT(Calc!$K$3:$K$22*(Calc!$G$3:$G$22&gt;A2702)*(Calc!$G$3:$G$22-A2702))</f>
        <v/>
      </c>
      <c r="H2702">
        <f>SUMPRODUCT(Calc!$K$3:$K$22*(Calc!$G$3:$G$22&gt;B2702)*(Calc!$G$3:$G$22-B2702))</f>
        <v/>
      </c>
      <c r="I2702">
        <f>SUMPRODUCT(Calc!$K$3:$K$22*(Calc!$G$3:$G$22&gt;A2702)*(Calc!$G$3:$G$22-A2702)^2)</f>
        <v/>
      </c>
      <c r="J2702">
        <f>SUMPRODUCT(Calc!$K$3:$K$22*(Calc!$G$3:$G$22&gt;B2702)*(Calc!$G$3:$G$22-B2702)^2)</f>
        <v/>
      </c>
      <c r="K2702">
        <f>SUMPRODUCT(Calc!$K$3:$K$22*(Calc!$G$3:$G$22&gt;A2702)*(Calc!$G$3:$G$22-A2702)*(Calc!$G$3:$G$22&gt;B2702)*(Calc!$G$3:$G$22-B2702))</f>
        <v/>
      </c>
      <c r="L2702">
        <f>SUMPRODUCT(Calc!$K$3:$K$22*(Calc!$G$3:$G$22&gt;A2702)*(Calc!$G$3:$G$22-A2702)*Calc!$G$3:$G$22)</f>
        <v/>
      </c>
      <c r="M2702">
        <f>SUMPRODUCT(Calc!$K$3:$K$22*(Calc!$G$3:$G$22&gt;B2702)*(Calc!$G$3:$G$22-B2702)*Calc!$G$3:$G$22)</f>
        <v/>
      </c>
      <c r="N2702">
        <f>SUMPRODUCT(Calc!$K$3:$K$22*(Calc!$G$3:$G$22&gt;A2702)*(Calc!$G$3:$G$22-A2702)*Calc!$I$3:$I$22)</f>
        <v/>
      </c>
      <c r="O2702">
        <f>SUMPRODUCT(Calc!$K$3:$K$22*(Calc!$G$3:$G$22&gt;B2702)*(Calc!$G$3:$G$22-B2702)*Calc!$I$3:$I$22)</f>
        <v/>
      </c>
      <c r="P2702">
        <f>I2702-G2702^2/k_n</f>
        <v/>
      </c>
      <c r="Q2702">
        <f>J2702-H2702^2/k_n</f>
        <v/>
      </c>
      <c r="R2702">
        <f>K2702-G2702*H2702/k_n</f>
        <v/>
      </c>
      <c r="S2702">
        <f>L2702-LTP3!$D$3*G2702/k_n</f>
        <v/>
      </c>
      <c r="T2702">
        <f>M2702-LTP3!$D$3*H2702/k_n</f>
        <v/>
      </c>
      <c r="U2702">
        <f>N2702-G2702*LTP3!$D$4/k_n</f>
        <v/>
      </c>
      <c r="V2702">
        <f>O2702-H2702*LTP3!$D$4/k_n</f>
        <v/>
      </c>
      <c r="W2702">
        <f>((LTP3!$D$5)*((P2702)*(Q2702)-(R2702)*(R2702))-(S2702)*((S2702)*(Q2702)-(R2702)*(T2702))+(T2702)*((S2702)*(R2702)-(P2702)*(T2702)))</f>
        <v/>
      </c>
      <c r="X2702">
        <f>IF(ABS(W2702)&gt;1E-12,((LTP3!$D$6)*((P2702)*(Q2702)-(R2702)*(R2702))-(S2702)*((U2702)*(Q2702)-(R2702)*(V2702))+(T2702)*((U2702)*(R2702)-(P2702)*(V2702)))/W2702,0)</f>
        <v/>
      </c>
      <c r="Y2702">
        <f>IF(ABS(W2702)&gt;1E-12,((LTP3!$D$5)*((U2702)*(Q2702)-(R2702)*(V2702))-(LTP3!$D$6)*((S2702)*(Q2702)-(R2702)*(T2702))+(T2702)*((S2702)*(V2702)-(U2702)*(T2702)))/W2702,0)</f>
        <v/>
      </c>
      <c r="Z2702">
        <f>IF(ABS(W2702)&gt;1E-12,((LTP3!$D$5)*((P2702)*(V2702)-(U2702)*(R2702))-(S2702)*((S2702)*(V2702)-(U2702)*(T2702))+(LTP3!$D$6)*((S2702)*(R2702)-(P2702)*(T2702)))/W2702,0)</f>
        <v/>
      </c>
      <c r="AA2702">
        <f>LTP3!$D$7-X2702*LTP3!$D$6-Y2702*U2702-Z2702*V2702</f>
        <v/>
      </c>
      <c r="AB2702">
        <f>IF(AND(F2702,ABS(W2702)&gt;1E-12,Y2702&gt;0,Z2702&gt;0),AA2702,1E+300)</f>
        <v/>
      </c>
    </row>
    <row r="2703">
      <c r="A2703">
        <f>$B$3+$B$5*44</f>
        <v/>
      </c>
      <c r="B2703">
        <f>$B$3+$B$5*7</f>
        <v/>
      </c>
      <c r="C2703">
        <f>SUMPRODUCT(Calc!$K$3:$K$22*(Calc!$G$3:$G$22&lt;=A2703))</f>
        <v/>
      </c>
      <c r="D2703">
        <f>SUMPRODUCT(Calc!$K$3:$K$22*(Calc!$G$3:$G$22&gt;A2703)*(Calc!$G$3:$G$22&lt;B2703))</f>
        <v/>
      </c>
      <c r="E2703">
        <f>SUMPRODUCT(Calc!$K$3:$K$22*(Calc!$G$3:$G$22&gt;=B2703))</f>
        <v/>
      </c>
      <c r="F2703">
        <f>AND(k_n&gt;=5,B2703&gt;A2703+1E-9,C2703&gt;=2,D2703&gt;=1,E2703&gt;=2)</f>
        <v/>
      </c>
      <c r="G2703">
        <f>SUMPRODUCT(Calc!$K$3:$K$22*(Calc!$G$3:$G$22&gt;A2703)*(Calc!$G$3:$G$22-A2703))</f>
        <v/>
      </c>
      <c r="H2703">
        <f>SUMPRODUCT(Calc!$K$3:$K$22*(Calc!$G$3:$G$22&gt;B2703)*(Calc!$G$3:$G$22-B2703))</f>
        <v/>
      </c>
      <c r="I2703">
        <f>SUMPRODUCT(Calc!$K$3:$K$22*(Calc!$G$3:$G$22&gt;A2703)*(Calc!$G$3:$G$22-A2703)^2)</f>
        <v/>
      </c>
      <c r="J2703">
        <f>SUMPRODUCT(Calc!$K$3:$K$22*(Calc!$G$3:$G$22&gt;B2703)*(Calc!$G$3:$G$22-B2703)^2)</f>
        <v/>
      </c>
      <c r="K2703">
        <f>SUMPRODUCT(Calc!$K$3:$K$22*(Calc!$G$3:$G$22&gt;A2703)*(Calc!$G$3:$G$22-A2703)*(Calc!$G$3:$G$22&gt;B2703)*(Calc!$G$3:$G$22-B2703))</f>
        <v/>
      </c>
      <c r="L2703">
        <f>SUMPRODUCT(Calc!$K$3:$K$22*(Calc!$G$3:$G$22&gt;A2703)*(Calc!$G$3:$G$22-A2703)*Calc!$G$3:$G$22)</f>
        <v/>
      </c>
      <c r="M2703">
        <f>SUMPRODUCT(Calc!$K$3:$K$22*(Calc!$G$3:$G$22&gt;B2703)*(Calc!$G$3:$G$22-B2703)*Calc!$G$3:$G$22)</f>
        <v/>
      </c>
      <c r="N2703">
        <f>SUMPRODUCT(Calc!$K$3:$K$22*(Calc!$G$3:$G$22&gt;A2703)*(Calc!$G$3:$G$22-A2703)*Calc!$I$3:$I$22)</f>
        <v/>
      </c>
      <c r="O2703">
        <f>SUMPRODUCT(Calc!$K$3:$K$22*(Calc!$G$3:$G$22&gt;B2703)*(Calc!$G$3:$G$22-B2703)*Calc!$I$3:$I$22)</f>
        <v/>
      </c>
      <c r="P2703">
        <f>I2703-G2703^2/k_n</f>
        <v/>
      </c>
      <c r="Q2703">
        <f>J2703-H2703^2/k_n</f>
        <v/>
      </c>
      <c r="R2703">
        <f>K2703-G2703*H2703/k_n</f>
        <v/>
      </c>
      <c r="S2703">
        <f>L2703-LTP3!$D$3*G2703/k_n</f>
        <v/>
      </c>
      <c r="T2703">
        <f>M2703-LTP3!$D$3*H2703/k_n</f>
        <v/>
      </c>
      <c r="U2703">
        <f>N2703-G2703*LTP3!$D$4/k_n</f>
        <v/>
      </c>
      <c r="V2703">
        <f>O2703-H2703*LTP3!$D$4/k_n</f>
        <v/>
      </c>
      <c r="W2703">
        <f>((LTP3!$D$5)*((P2703)*(Q2703)-(R2703)*(R2703))-(S2703)*((S2703)*(Q2703)-(R2703)*(T2703))+(T2703)*((S2703)*(R2703)-(P2703)*(T2703)))</f>
        <v/>
      </c>
      <c r="X2703">
        <f>IF(ABS(W2703)&gt;1E-12,((LTP3!$D$6)*((P2703)*(Q2703)-(R2703)*(R2703))-(S2703)*((U2703)*(Q2703)-(R2703)*(V2703))+(T2703)*((U2703)*(R2703)-(P2703)*(V2703)))/W2703,0)</f>
        <v/>
      </c>
      <c r="Y2703">
        <f>IF(ABS(W2703)&gt;1E-12,((LTP3!$D$5)*((U2703)*(Q2703)-(R2703)*(V2703))-(LTP3!$D$6)*((S2703)*(Q2703)-(R2703)*(T2703))+(T2703)*((S2703)*(V2703)-(U2703)*(T2703)))/W2703,0)</f>
        <v/>
      </c>
      <c r="Z2703">
        <f>IF(ABS(W2703)&gt;1E-12,((LTP3!$D$5)*((P2703)*(V2703)-(U2703)*(R2703))-(S2703)*((S2703)*(V2703)-(U2703)*(T2703))+(LTP3!$D$6)*((S2703)*(R2703)-(P2703)*(T2703)))/W2703,0)</f>
        <v/>
      </c>
      <c r="AA2703">
        <f>LTP3!$D$7-X2703*LTP3!$D$6-Y2703*U2703-Z2703*V2703</f>
        <v/>
      </c>
      <c r="AB2703">
        <f>IF(AND(F2703,ABS(W2703)&gt;1E-12,Y2703&gt;0,Z2703&gt;0),AA2703,1E+300)</f>
        <v/>
      </c>
    </row>
    <row r="2704">
      <c r="A2704">
        <f>$B$3+$B$5*44</f>
        <v/>
      </c>
      <c r="B2704">
        <f>$B$3+$B$5*8</f>
        <v/>
      </c>
      <c r="C2704">
        <f>SUMPRODUCT(Calc!$K$3:$K$22*(Calc!$G$3:$G$22&lt;=A2704))</f>
        <v/>
      </c>
      <c r="D2704">
        <f>SUMPRODUCT(Calc!$K$3:$K$22*(Calc!$G$3:$G$22&gt;A2704)*(Calc!$G$3:$G$22&lt;B2704))</f>
        <v/>
      </c>
      <c r="E2704">
        <f>SUMPRODUCT(Calc!$K$3:$K$22*(Calc!$G$3:$G$22&gt;=B2704))</f>
        <v/>
      </c>
      <c r="F2704">
        <f>AND(k_n&gt;=5,B2704&gt;A2704+1E-9,C2704&gt;=2,D2704&gt;=1,E2704&gt;=2)</f>
        <v/>
      </c>
      <c r="G2704">
        <f>SUMPRODUCT(Calc!$K$3:$K$22*(Calc!$G$3:$G$22&gt;A2704)*(Calc!$G$3:$G$22-A2704))</f>
        <v/>
      </c>
      <c r="H2704">
        <f>SUMPRODUCT(Calc!$K$3:$K$22*(Calc!$G$3:$G$22&gt;B2704)*(Calc!$G$3:$G$22-B2704))</f>
        <v/>
      </c>
      <c r="I2704">
        <f>SUMPRODUCT(Calc!$K$3:$K$22*(Calc!$G$3:$G$22&gt;A2704)*(Calc!$G$3:$G$22-A2704)^2)</f>
        <v/>
      </c>
      <c r="J2704">
        <f>SUMPRODUCT(Calc!$K$3:$K$22*(Calc!$G$3:$G$22&gt;B2704)*(Calc!$G$3:$G$22-B2704)^2)</f>
        <v/>
      </c>
      <c r="K2704">
        <f>SUMPRODUCT(Calc!$K$3:$K$22*(Calc!$G$3:$G$22&gt;A2704)*(Calc!$G$3:$G$22-A2704)*(Calc!$G$3:$G$22&gt;B2704)*(Calc!$G$3:$G$22-B2704))</f>
        <v/>
      </c>
      <c r="L2704">
        <f>SUMPRODUCT(Calc!$K$3:$K$22*(Calc!$G$3:$G$22&gt;A2704)*(Calc!$G$3:$G$22-A2704)*Calc!$G$3:$G$22)</f>
        <v/>
      </c>
      <c r="M2704">
        <f>SUMPRODUCT(Calc!$K$3:$K$22*(Calc!$G$3:$G$22&gt;B2704)*(Calc!$G$3:$G$22-B2704)*Calc!$G$3:$G$22)</f>
        <v/>
      </c>
      <c r="N2704">
        <f>SUMPRODUCT(Calc!$K$3:$K$22*(Calc!$G$3:$G$22&gt;A2704)*(Calc!$G$3:$G$22-A2704)*Calc!$I$3:$I$22)</f>
        <v/>
      </c>
      <c r="O2704">
        <f>SUMPRODUCT(Calc!$K$3:$K$22*(Calc!$G$3:$G$22&gt;B2704)*(Calc!$G$3:$G$22-B2704)*Calc!$I$3:$I$22)</f>
        <v/>
      </c>
      <c r="P2704">
        <f>I2704-G2704^2/k_n</f>
        <v/>
      </c>
      <c r="Q2704">
        <f>J2704-H2704^2/k_n</f>
        <v/>
      </c>
      <c r="R2704">
        <f>K2704-G2704*H2704/k_n</f>
        <v/>
      </c>
      <c r="S2704">
        <f>L2704-LTP3!$D$3*G2704/k_n</f>
        <v/>
      </c>
      <c r="T2704">
        <f>M2704-LTP3!$D$3*H2704/k_n</f>
        <v/>
      </c>
      <c r="U2704">
        <f>N2704-G2704*LTP3!$D$4/k_n</f>
        <v/>
      </c>
      <c r="V2704">
        <f>O2704-H2704*LTP3!$D$4/k_n</f>
        <v/>
      </c>
      <c r="W2704">
        <f>((LTP3!$D$5)*((P2704)*(Q2704)-(R2704)*(R2704))-(S2704)*((S2704)*(Q2704)-(R2704)*(T2704))+(T2704)*((S2704)*(R2704)-(P2704)*(T2704)))</f>
        <v/>
      </c>
      <c r="X2704">
        <f>IF(ABS(W2704)&gt;1E-12,((LTP3!$D$6)*((P2704)*(Q2704)-(R2704)*(R2704))-(S2704)*((U2704)*(Q2704)-(R2704)*(V2704))+(T2704)*((U2704)*(R2704)-(P2704)*(V2704)))/W2704,0)</f>
        <v/>
      </c>
      <c r="Y2704">
        <f>IF(ABS(W2704)&gt;1E-12,((LTP3!$D$5)*((U2704)*(Q2704)-(R2704)*(V2704))-(LTP3!$D$6)*((S2704)*(Q2704)-(R2704)*(T2704))+(T2704)*((S2704)*(V2704)-(U2704)*(T2704)))/W2704,0)</f>
        <v/>
      </c>
      <c r="Z2704">
        <f>IF(ABS(W2704)&gt;1E-12,((LTP3!$D$5)*((P2704)*(V2704)-(U2704)*(R2704))-(S2704)*((S2704)*(V2704)-(U2704)*(T2704))+(LTP3!$D$6)*((S2704)*(R2704)-(P2704)*(T2704)))/W2704,0)</f>
        <v/>
      </c>
      <c r="AA2704">
        <f>LTP3!$D$7-X2704*LTP3!$D$6-Y2704*U2704-Z2704*V2704</f>
        <v/>
      </c>
      <c r="AB2704">
        <f>IF(AND(F2704,ABS(W2704)&gt;1E-12,Y2704&gt;0,Z2704&gt;0),AA2704,1E+300)</f>
        <v/>
      </c>
    </row>
    <row r="2705">
      <c r="A2705">
        <f>$B$3+$B$5*44</f>
        <v/>
      </c>
      <c r="B2705">
        <f>$B$3+$B$5*9</f>
        <v/>
      </c>
      <c r="C2705">
        <f>SUMPRODUCT(Calc!$K$3:$K$22*(Calc!$G$3:$G$22&lt;=A2705))</f>
        <v/>
      </c>
      <c r="D2705">
        <f>SUMPRODUCT(Calc!$K$3:$K$22*(Calc!$G$3:$G$22&gt;A2705)*(Calc!$G$3:$G$22&lt;B2705))</f>
        <v/>
      </c>
      <c r="E2705">
        <f>SUMPRODUCT(Calc!$K$3:$K$22*(Calc!$G$3:$G$22&gt;=B2705))</f>
        <v/>
      </c>
      <c r="F2705">
        <f>AND(k_n&gt;=5,B2705&gt;A2705+1E-9,C2705&gt;=2,D2705&gt;=1,E2705&gt;=2)</f>
        <v/>
      </c>
      <c r="G2705">
        <f>SUMPRODUCT(Calc!$K$3:$K$22*(Calc!$G$3:$G$22&gt;A2705)*(Calc!$G$3:$G$22-A2705))</f>
        <v/>
      </c>
      <c r="H2705">
        <f>SUMPRODUCT(Calc!$K$3:$K$22*(Calc!$G$3:$G$22&gt;B2705)*(Calc!$G$3:$G$22-B2705))</f>
        <v/>
      </c>
      <c r="I2705">
        <f>SUMPRODUCT(Calc!$K$3:$K$22*(Calc!$G$3:$G$22&gt;A2705)*(Calc!$G$3:$G$22-A2705)^2)</f>
        <v/>
      </c>
      <c r="J2705">
        <f>SUMPRODUCT(Calc!$K$3:$K$22*(Calc!$G$3:$G$22&gt;B2705)*(Calc!$G$3:$G$22-B2705)^2)</f>
        <v/>
      </c>
      <c r="K2705">
        <f>SUMPRODUCT(Calc!$K$3:$K$22*(Calc!$G$3:$G$22&gt;A2705)*(Calc!$G$3:$G$22-A2705)*(Calc!$G$3:$G$22&gt;B2705)*(Calc!$G$3:$G$22-B2705))</f>
        <v/>
      </c>
      <c r="L2705">
        <f>SUMPRODUCT(Calc!$K$3:$K$22*(Calc!$G$3:$G$22&gt;A2705)*(Calc!$G$3:$G$22-A2705)*Calc!$G$3:$G$22)</f>
        <v/>
      </c>
      <c r="M2705">
        <f>SUMPRODUCT(Calc!$K$3:$K$22*(Calc!$G$3:$G$22&gt;B2705)*(Calc!$G$3:$G$22-B2705)*Calc!$G$3:$G$22)</f>
        <v/>
      </c>
      <c r="N2705">
        <f>SUMPRODUCT(Calc!$K$3:$K$22*(Calc!$G$3:$G$22&gt;A2705)*(Calc!$G$3:$G$22-A2705)*Calc!$I$3:$I$22)</f>
        <v/>
      </c>
      <c r="O2705">
        <f>SUMPRODUCT(Calc!$K$3:$K$22*(Calc!$G$3:$G$22&gt;B2705)*(Calc!$G$3:$G$22-B2705)*Calc!$I$3:$I$22)</f>
        <v/>
      </c>
      <c r="P2705">
        <f>I2705-G2705^2/k_n</f>
        <v/>
      </c>
      <c r="Q2705">
        <f>J2705-H2705^2/k_n</f>
        <v/>
      </c>
      <c r="R2705">
        <f>K2705-G2705*H2705/k_n</f>
        <v/>
      </c>
      <c r="S2705">
        <f>L2705-LTP3!$D$3*G2705/k_n</f>
        <v/>
      </c>
      <c r="T2705">
        <f>M2705-LTP3!$D$3*H2705/k_n</f>
        <v/>
      </c>
      <c r="U2705">
        <f>N2705-G2705*LTP3!$D$4/k_n</f>
        <v/>
      </c>
      <c r="V2705">
        <f>O2705-H2705*LTP3!$D$4/k_n</f>
        <v/>
      </c>
      <c r="W2705">
        <f>((LTP3!$D$5)*((P2705)*(Q2705)-(R2705)*(R2705))-(S2705)*((S2705)*(Q2705)-(R2705)*(T2705))+(T2705)*((S2705)*(R2705)-(P2705)*(T2705)))</f>
        <v/>
      </c>
      <c r="X2705">
        <f>IF(ABS(W2705)&gt;1E-12,((LTP3!$D$6)*((P2705)*(Q2705)-(R2705)*(R2705))-(S2705)*((U2705)*(Q2705)-(R2705)*(V2705))+(T2705)*((U2705)*(R2705)-(P2705)*(V2705)))/W2705,0)</f>
        <v/>
      </c>
      <c r="Y2705">
        <f>IF(ABS(W2705)&gt;1E-12,((LTP3!$D$5)*((U2705)*(Q2705)-(R2705)*(V2705))-(LTP3!$D$6)*((S2705)*(Q2705)-(R2705)*(T2705))+(T2705)*((S2705)*(V2705)-(U2705)*(T2705)))/W2705,0)</f>
        <v/>
      </c>
      <c r="Z2705">
        <f>IF(ABS(W2705)&gt;1E-12,((LTP3!$D$5)*((P2705)*(V2705)-(U2705)*(R2705))-(S2705)*((S2705)*(V2705)-(U2705)*(T2705))+(LTP3!$D$6)*((S2705)*(R2705)-(P2705)*(T2705)))/W2705,0)</f>
        <v/>
      </c>
      <c r="AA2705">
        <f>LTP3!$D$7-X2705*LTP3!$D$6-Y2705*U2705-Z2705*V2705</f>
        <v/>
      </c>
      <c r="AB2705">
        <f>IF(AND(F2705,ABS(W2705)&gt;1E-12,Y2705&gt;0,Z2705&gt;0),AA2705,1E+300)</f>
        <v/>
      </c>
    </row>
    <row r="2706">
      <c r="A2706">
        <f>$B$3+$B$5*44</f>
        <v/>
      </c>
      <c r="B2706">
        <f>$B$3+$B$5*10</f>
        <v/>
      </c>
      <c r="C2706">
        <f>SUMPRODUCT(Calc!$K$3:$K$22*(Calc!$G$3:$G$22&lt;=A2706))</f>
        <v/>
      </c>
      <c r="D2706">
        <f>SUMPRODUCT(Calc!$K$3:$K$22*(Calc!$G$3:$G$22&gt;A2706)*(Calc!$G$3:$G$22&lt;B2706))</f>
        <v/>
      </c>
      <c r="E2706">
        <f>SUMPRODUCT(Calc!$K$3:$K$22*(Calc!$G$3:$G$22&gt;=B2706))</f>
        <v/>
      </c>
      <c r="F2706">
        <f>AND(k_n&gt;=5,B2706&gt;A2706+1E-9,C2706&gt;=2,D2706&gt;=1,E2706&gt;=2)</f>
        <v/>
      </c>
      <c r="G2706">
        <f>SUMPRODUCT(Calc!$K$3:$K$22*(Calc!$G$3:$G$22&gt;A2706)*(Calc!$G$3:$G$22-A2706))</f>
        <v/>
      </c>
      <c r="H2706">
        <f>SUMPRODUCT(Calc!$K$3:$K$22*(Calc!$G$3:$G$22&gt;B2706)*(Calc!$G$3:$G$22-B2706))</f>
        <v/>
      </c>
      <c r="I2706">
        <f>SUMPRODUCT(Calc!$K$3:$K$22*(Calc!$G$3:$G$22&gt;A2706)*(Calc!$G$3:$G$22-A2706)^2)</f>
        <v/>
      </c>
      <c r="J2706">
        <f>SUMPRODUCT(Calc!$K$3:$K$22*(Calc!$G$3:$G$22&gt;B2706)*(Calc!$G$3:$G$22-B2706)^2)</f>
        <v/>
      </c>
      <c r="K2706">
        <f>SUMPRODUCT(Calc!$K$3:$K$22*(Calc!$G$3:$G$22&gt;A2706)*(Calc!$G$3:$G$22-A2706)*(Calc!$G$3:$G$22&gt;B2706)*(Calc!$G$3:$G$22-B2706))</f>
        <v/>
      </c>
      <c r="L2706">
        <f>SUMPRODUCT(Calc!$K$3:$K$22*(Calc!$G$3:$G$22&gt;A2706)*(Calc!$G$3:$G$22-A2706)*Calc!$G$3:$G$22)</f>
        <v/>
      </c>
      <c r="M2706">
        <f>SUMPRODUCT(Calc!$K$3:$K$22*(Calc!$G$3:$G$22&gt;B2706)*(Calc!$G$3:$G$22-B2706)*Calc!$G$3:$G$22)</f>
        <v/>
      </c>
      <c r="N2706">
        <f>SUMPRODUCT(Calc!$K$3:$K$22*(Calc!$G$3:$G$22&gt;A2706)*(Calc!$G$3:$G$22-A2706)*Calc!$I$3:$I$22)</f>
        <v/>
      </c>
      <c r="O2706">
        <f>SUMPRODUCT(Calc!$K$3:$K$22*(Calc!$G$3:$G$22&gt;B2706)*(Calc!$G$3:$G$22-B2706)*Calc!$I$3:$I$22)</f>
        <v/>
      </c>
      <c r="P2706">
        <f>I2706-G2706^2/k_n</f>
        <v/>
      </c>
      <c r="Q2706">
        <f>J2706-H2706^2/k_n</f>
        <v/>
      </c>
      <c r="R2706">
        <f>K2706-G2706*H2706/k_n</f>
        <v/>
      </c>
      <c r="S2706">
        <f>L2706-LTP3!$D$3*G2706/k_n</f>
        <v/>
      </c>
      <c r="T2706">
        <f>M2706-LTP3!$D$3*H2706/k_n</f>
        <v/>
      </c>
      <c r="U2706">
        <f>N2706-G2706*LTP3!$D$4/k_n</f>
        <v/>
      </c>
      <c r="V2706">
        <f>O2706-H2706*LTP3!$D$4/k_n</f>
        <v/>
      </c>
      <c r="W2706">
        <f>((LTP3!$D$5)*((P2706)*(Q2706)-(R2706)*(R2706))-(S2706)*((S2706)*(Q2706)-(R2706)*(T2706))+(T2706)*((S2706)*(R2706)-(P2706)*(T2706)))</f>
        <v/>
      </c>
      <c r="X2706">
        <f>IF(ABS(W2706)&gt;1E-12,((LTP3!$D$6)*((P2706)*(Q2706)-(R2706)*(R2706))-(S2706)*((U2706)*(Q2706)-(R2706)*(V2706))+(T2706)*((U2706)*(R2706)-(P2706)*(V2706)))/W2706,0)</f>
        <v/>
      </c>
      <c r="Y2706">
        <f>IF(ABS(W2706)&gt;1E-12,((LTP3!$D$5)*((U2706)*(Q2706)-(R2706)*(V2706))-(LTP3!$D$6)*((S2706)*(Q2706)-(R2706)*(T2706))+(T2706)*((S2706)*(V2706)-(U2706)*(T2706)))/W2706,0)</f>
        <v/>
      </c>
      <c r="Z2706">
        <f>IF(ABS(W2706)&gt;1E-12,((LTP3!$D$5)*((P2706)*(V2706)-(U2706)*(R2706))-(S2706)*((S2706)*(V2706)-(U2706)*(T2706))+(LTP3!$D$6)*((S2706)*(R2706)-(P2706)*(T2706)))/W2706,0)</f>
        <v/>
      </c>
      <c r="AA2706">
        <f>LTP3!$D$7-X2706*LTP3!$D$6-Y2706*U2706-Z2706*V2706</f>
        <v/>
      </c>
      <c r="AB2706">
        <f>IF(AND(F2706,ABS(W2706)&gt;1E-12,Y2706&gt;0,Z2706&gt;0),AA2706,1E+300)</f>
        <v/>
      </c>
    </row>
    <row r="2707">
      <c r="A2707">
        <f>$B$3+$B$5*44</f>
        <v/>
      </c>
      <c r="B2707">
        <f>$B$3+$B$5*11</f>
        <v/>
      </c>
      <c r="C2707">
        <f>SUMPRODUCT(Calc!$K$3:$K$22*(Calc!$G$3:$G$22&lt;=A2707))</f>
        <v/>
      </c>
      <c r="D2707">
        <f>SUMPRODUCT(Calc!$K$3:$K$22*(Calc!$G$3:$G$22&gt;A2707)*(Calc!$G$3:$G$22&lt;B2707))</f>
        <v/>
      </c>
      <c r="E2707">
        <f>SUMPRODUCT(Calc!$K$3:$K$22*(Calc!$G$3:$G$22&gt;=B2707))</f>
        <v/>
      </c>
      <c r="F2707">
        <f>AND(k_n&gt;=5,B2707&gt;A2707+1E-9,C2707&gt;=2,D2707&gt;=1,E2707&gt;=2)</f>
        <v/>
      </c>
      <c r="G2707">
        <f>SUMPRODUCT(Calc!$K$3:$K$22*(Calc!$G$3:$G$22&gt;A2707)*(Calc!$G$3:$G$22-A2707))</f>
        <v/>
      </c>
      <c r="H2707">
        <f>SUMPRODUCT(Calc!$K$3:$K$22*(Calc!$G$3:$G$22&gt;B2707)*(Calc!$G$3:$G$22-B2707))</f>
        <v/>
      </c>
      <c r="I2707">
        <f>SUMPRODUCT(Calc!$K$3:$K$22*(Calc!$G$3:$G$22&gt;A2707)*(Calc!$G$3:$G$22-A2707)^2)</f>
        <v/>
      </c>
      <c r="J2707">
        <f>SUMPRODUCT(Calc!$K$3:$K$22*(Calc!$G$3:$G$22&gt;B2707)*(Calc!$G$3:$G$22-B2707)^2)</f>
        <v/>
      </c>
      <c r="K2707">
        <f>SUMPRODUCT(Calc!$K$3:$K$22*(Calc!$G$3:$G$22&gt;A2707)*(Calc!$G$3:$G$22-A2707)*(Calc!$G$3:$G$22&gt;B2707)*(Calc!$G$3:$G$22-B2707))</f>
        <v/>
      </c>
      <c r="L2707">
        <f>SUMPRODUCT(Calc!$K$3:$K$22*(Calc!$G$3:$G$22&gt;A2707)*(Calc!$G$3:$G$22-A2707)*Calc!$G$3:$G$22)</f>
        <v/>
      </c>
      <c r="M2707">
        <f>SUMPRODUCT(Calc!$K$3:$K$22*(Calc!$G$3:$G$22&gt;B2707)*(Calc!$G$3:$G$22-B2707)*Calc!$G$3:$G$22)</f>
        <v/>
      </c>
      <c r="N2707">
        <f>SUMPRODUCT(Calc!$K$3:$K$22*(Calc!$G$3:$G$22&gt;A2707)*(Calc!$G$3:$G$22-A2707)*Calc!$I$3:$I$22)</f>
        <v/>
      </c>
      <c r="O2707">
        <f>SUMPRODUCT(Calc!$K$3:$K$22*(Calc!$G$3:$G$22&gt;B2707)*(Calc!$G$3:$G$22-B2707)*Calc!$I$3:$I$22)</f>
        <v/>
      </c>
      <c r="P2707">
        <f>I2707-G2707^2/k_n</f>
        <v/>
      </c>
      <c r="Q2707">
        <f>J2707-H2707^2/k_n</f>
        <v/>
      </c>
      <c r="R2707">
        <f>K2707-G2707*H2707/k_n</f>
        <v/>
      </c>
      <c r="S2707">
        <f>L2707-LTP3!$D$3*G2707/k_n</f>
        <v/>
      </c>
      <c r="T2707">
        <f>M2707-LTP3!$D$3*H2707/k_n</f>
        <v/>
      </c>
      <c r="U2707">
        <f>N2707-G2707*LTP3!$D$4/k_n</f>
        <v/>
      </c>
      <c r="V2707">
        <f>O2707-H2707*LTP3!$D$4/k_n</f>
        <v/>
      </c>
      <c r="W2707">
        <f>((LTP3!$D$5)*((P2707)*(Q2707)-(R2707)*(R2707))-(S2707)*((S2707)*(Q2707)-(R2707)*(T2707))+(T2707)*((S2707)*(R2707)-(P2707)*(T2707)))</f>
        <v/>
      </c>
      <c r="X2707">
        <f>IF(ABS(W2707)&gt;1E-12,((LTP3!$D$6)*((P2707)*(Q2707)-(R2707)*(R2707))-(S2707)*((U2707)*(Q2707)-(R2707)*(V2707))+(T2707)*((U2707)*(R2707)-(P2707)*(V2707)))/W2707,0)</f>
        <v/>
      </c>
      <c r="Y2707">
        <f>IF(ABS(W2707)&gt;1E-12,((LTP3!$D$5)*((U2707)*(Q2707)-(R2707)*(V2707))-(LTP3!$D$6)*((S2707)*(Q2707)-(R2707)*(T2707))+(T2707)*((S2707)*(V2707)-(U2707)*(T2707)))/W2707,0)</f>
        <v/>
      </c>
      <c r="Z2707">
        <f>IF(ABS(W2707)&gt;1E-12,((LTP3!$D$5)*((P2707)*(V2707)-(U2707)*(R2707))-(S2707)*((S2707)*(V2707)-(U2707)*(T2707))+(LTP3!$D$6)*((S2707)*(R2707)-(P2707)*(T2707)))/W2707,0)</f>
        <v/>
      </c>
      <c r="AA2707">
        <f>LTP3!$D$7-X2707*LTP3!$D$6-Y2707*U2707-Z2707*V2707</f>
        <v/>
      </c>
      <c r="AB2707">
        <f>IF(AND(F2707,ABS(W2707)&gt;1E-12,Y2707&gt;0,Z2707&gt;0),AA2707,1E+300)</f>
        <v/>
      </c>
    </row>
    <row r="2708">
      <c r="A2708">
        <f>$B$3+$B$5*44</f>
        <v/>
      </c>
      <c r="B2708">
        <f>$B$3+$B$5*12</f>
        <v/>
      </c>
      <c r="C2708">
        <f>SUMPRODUCT(Calc!$K$3:$K$22*(Calc!$G$3:$G$22&lt;=A2708))</f>
        <v/>
      </c>
      <c r="D2708">
        <f>SUMPRODUCT(Calc!$K$3:$K$22*(Calc!$G$3:$G$22&gt;A2708)*(Calc!$G$3:$G$22&lt;B2708))</f>
        <v/>
      </c>
      <c r="E2708">
        <f>SUMPRODUCT(Calc!$K$3:$K$22*(Calc!$G$3:$G$22&gt;=B2708))</f>
        <v/>
      </c>
      <c r="F2708">
        <f>AND(k_n&gt;=5,B2708&gt;A2708+1E-9,C2708&gt;=2,D2708&gt;=1,E2708&gt;=2)</f>
        <v/>
      </c>
      <c r="G2708">
        <f>SUMPRODUCT(Calc!$K$3:$K$22*(Calc!$G$3:$G$22&gt;A2708)*(Calc!$G$3:$G$22-A2708))</f>
        <v/>
      </c>
      <c r="H2708">
        <f>SUMPRODUCT(Calc!$K$3:$K$22*(Calc!$G$3:$G$22&gt;B2708)*(Calc!$G$3:$G$22-B2708))</f>
        <v/>
      </c>
      <c r="I2708">
        <f>SUMPRODUCT(Calc!$K$3:$K$22*(Calc!$G$3:$G$22&gt;A2708)*(Calc!$G$3:$G$22-A2708)^2)</f>
        <v/>
      </c>
      <c r="J2708">
        <f>SUMPRODUCT(Calc!$K$3:$K$22*(Calc!$G$3:$G$22&gt;B2708)*(Calc!$G$3:$G$22-B2708)^2)</f>
        <v/>
      </c>
      <c r="K2708">
        <f>SUMPRODUCT(Calc!$K$3:$K$22*(Calc!$G$3:$G$22&gt;A2708)*(Calc!$G$3:$G$22-A2708)*(Calc!$G$3:$G$22&gt;B2708)*(Calc!$G$3:$G$22-B2708))</f>
        <v/>
      </c>
      <c r="L2708">
        <f>SUMPRODUCT(Calc!$K$3:$K$22*(Calc!$G$3:$G$22&gt;A2708)*(Calc!$G$3:$G$22-A2708)*Calc!$G$3:$G$22)</f>
        <v/>
      </c>
      <c r="M2708">
        <f>SUMPRODUCT(Calc!$K$3:$K$22*(Calc!$G$3:$G$22&gt;B2708)*(Calc!$G$3:$G$22-B2708)*Calc!$G$3:$G$22)</f>
        <v/>
      </c>
      <c r="N2708">
        <f>SUMPRODUCT(Calc!$K$3:$K$22*(Calc!$G$3:$G$22&gt;A2708)*(Calc!$G$3:$G$22-A2708)*Calc!$I$3:$I$22)</f>
        <v/>
      </c>
      <c r="O2708">
        <f>SUMPRODUCT(Calc!$K$3:$K$22*(Calc!$G$3:$G$22&gt;B2708)*(Calc!$G$3:$G$22-B2708)*Calc!$I$3:$I$22)</f>
        <v/>
      </c>
      <c r="P2708">
        <f>I2708-G2708^2/k_n</f>
        <v/>
      </c>
      <c r="Q2708">
        <f>J2708-H2708^2/k_n</f>
        <v/>
      </c>
      <c r="R2708">
        <f>K2708-G2708*H2708/k_n</f>
        <v/>
      </c>
      <c r="S2708">
        <f>L2708-LTP3!$D$3*G2708/k_n</f>
        <v/>
      </c>
      <c r="T2708">
        <f>M2708-LTP3!$D$3*H2708/k_n</f>
        <v/>
      </c>
      <c r="U2708">
        <f>N2708-G2708*LTP3!$D$4/k_n</f>
        <v/>
      </c>
      <c r="V2708">
        <f>O2708-H2708*LTP3!$D$4/k_n</f>
        <v/>
      </c>
      <c r="W2708">
        <f>((LTP3!$D$5)*((P2708)*(Q2708)-(R2708)*(R2708))-(S2708)*((S2708)*(Q2708)-(R2708)*(T2708))+(T2708)*((S2708)*(R2708)-(P2708)*(T2708)))</f>
        <v/>
      </c>
      <c r="X2708">
        <f>IF(ABS(W2708)&gt;1E-12,((LTP3!$D$6)*((P2708)*(Q2708)-(R2708)*(R2708))-(S2708)*((U2708)*(Q2708)-(R2708)*(V2708))+(T2708)*((U2708)*(R2708)-(P2708)*(V2708)))/W2708,0)</f>
        <v/>
      </c>
      <c r="Y2708">
        <f>IF(ABS(W2708)&gt;1E-12,((LTP3!$D$5)*((U2708)*(Q2708)-(R2708)*(V2708))-(LTP3!$D$6)*((S2708)*(Q2708)-(R2708)*(T2708))+(T2708)*((S2708)*(V2708)-(U2708)*(T2708)))/W2708,0)</f>
        <v/>
      </c>
      <c r="Z2708">
        <f>IF(ABS(W2708)&gt;1E-12,((LTP3!$D$5)*((P2708)*(V2708)-(U2708)*(R2708))-(S2708)*((S2708)*(V2708)-(U2708)*(T2708))+(LTP3!$D$6)*((S2708)*(R2708)-(P2708)*(T2708)))/W2708,0)</f>
        <v/>
      </c>
      <c r="AA2708">
        <f>LTP3!$D$7-X2708*LTP3!$D$6-Y2708*U2708-Z2708*V2708</f>
        <v/>
      </c>
      <c r="AB2708">
        <f>IF(AND(F2708,ABS(W2708)&gt;1E-12,Y2708&gt;0,Z2708&gt;0),AA2708,1E+300)</f>
        <v/>
      </c>
    </row>
    <row r="2709">
      <c r="A2709">
        <f>$B$3+$B$5*44</f>
        <v/>
      </c>
      <c r="B2709">
        <f>$B$3+$B$5*13</f>
        <v/>
      </c>
      <c r="C2709">
        <f>SUMPRODUCT(Calc!$K$3:$K$22*(Calc!$G$3:$G$22&lt;=A2709))</f>
        <v/>
      </c>
      <c r="D2709">
        <f>SUMPRODUCT(Calc!$K$3:$K$22*(Calc!$G$3:$G$22&gt;A2709)*(Calc!$G$3:$G$22&lt;B2709))</f>
        <v/>
      </c>
      <c r="E2709">
        <f>SUMPRODUCT(Calc!$K$3:$K$22*(Calc!$G$3:$G$22&gt;=B2709))</f>
        <v/>
      </c>
      <c r="F2709">
        <f>AND(k_n&gt;=5,B2709&gt;A2709+1E-9,C2709&gt;=2,D2709&gt;=1,E2709&gt;=2)</f>
        <v/>
      </c>
      <c r="G2709">
        <f>SUMPRODUCT(Calc!$K$3:$K$22*(Calc!$G$3:$G$22&gt;A2709)*(Calc!$G$3:$G$22-A2709))</f>
        <v/>
      </c>
      <c r="H2709">
        <f>SUMPRODUCT(Calc!$K$3:$K$22*(Calc!$G$3:$G$22&gt;B2709)*(Calc!$G$3:$G$22-B2709))</f>
        <v/>
      </c>
      <c r="I2709">
        <f>SUMPRODUCT(Calc!$K$3:$K$22*(Calc!$G$3:$G$22&gt;A2709)*(Calc!$G$3:$G$22-A2709)^2)</f>
        <v/>
      </c>
      <c r="J2709">
        <f>SUMPRODUCT(Calc!$K$3:$K$22*(Calc!$G$3:$G$22&gt;B2709)*(Calc!$G$3:$G$22-B2709)^2)</f>
        <v/>
      </c>
      <c r="K2709">
        <f>SUMPRODUCT(Calc!$K$3:$K$22*(Calc!$G$3:$G$22&gt;A2709)*(Calc!$G$3:$G$22-A2709)*(Calc!$G$3:$G$22&gt;B2709)*(Calc!$G$3:$G$22-B2709))</f>
        <v/>
      </c>
      <c r="L2709">
        <f>SUMPRODUCT(Calc!$K$3:$K$22*(Calc!$G$3:$G$22&gt;A2709)*(Calc!$G$3:$G$22-A2709)*Calc!$G$3:$G$22)</f>
        <v/>
      </c>
      <c r="M2709">
        <f>SUMPRODUCT(Calc!$K$3:$K$22*(Calc!$G$3:$G$22&gt;B2709)*(Calc!$G$3:$G$22-B2709)*Calc!$G$3:$G$22)</f>
        <v/>
      </c>
      <c r="N2709">
        <f>SUMPRODUCT(Calc!$K$3:$K$22*(Calc!$G$3:$G$22&gt;A2709)*(Calc!$G$3:$G$22-A2709)*Calc!$I$3:$I$22)</f>
        <v/>
      </c>
      <c r="O2709">
        <f>SUMPRODUCT(Calc!$K$3:$K$22*(Calc!$G$3:$G$22&gt;B2709)*(Calc!$G$3:$G$22-B2709)*Calc!$I$3:$I$22)</f>
        <v/>
      </c>
      <c r="P2709">
        <f>I2709-G2709^2/k_n</f>
        <v/>
      </c>
      <c r="Q2709">
        <f>J2709-H2709^2/k_n</f>
        <v/>
      </c>
      <c r="R2709">
        <f>K2709-G2709*H2709/k_n</f>
        <v/>
      </c>
      <c r="S2709">
        <f>L2709-LTP3!$D$3*G2709/k_n</f>
        <v/>
      </c>
      <c r="T2709">
        <f>M2709-LTP3!$D$3*H2709/k_n</f>
        <v/>
      </c>
      <c r="U2709">
        <f>N2709-G2709*LTP3!$D$4/k_n</f>
        <v/>
      </c>
      <c r="V2709">
        <f>O2709-H2709*LTP3!$D$4/k_n</f>
        <v/>
      </c>
      <c r="W2709">
        <f>((LTP3!$D$5)*((P2709)*(Q2709)-(R2709)*(R2709))-(S2709)*((S2709)*(Q2709)-(R2709)*(T2709))+(T2709)*((S2709)*(R2709)-(P2709)*(T2709)))</f>
        <v/>
      </c>
      <c r="X2709">
        <f>IF(ABS(W2709)&gt;1E-12,((LTP3!$D$6)*((P2709)*(Q2709)-(R2709)*(R2709))-(S2709)*((U2709)*(Q2709)-(R2709)*(V2709))+(T2709)*((U2709)*(R2709)-(P2709)*(V2709)))/W2709,0)</f>
        <v/>
      </c>
      <c r="Y2709">
        <f>IF(ABS(W2709)&gt;1E-12,((LTP3!$D$5)*((U2709)*(Q2709)-(R2709)*(V2709))-(LTP3!$D$6)*((S2709)*(Q2709)-(R2709)*(T2709))+(T2709)*((S2709)*(V2709)-(U2709)*(T2709)))/W2709,0)</f>
        <v/>
      </c>
      <c r="Z2709">
        <f>IF(ABS(W2709)&gt;1E-12,((LTP3!$D$5)*((P2709)*(V2709)-(U2709)*(R2709))-(S2709)*((S2709)*(V2709)-(U2709)*(T2709))+(LTP3!$D$6)*((S2709)*(R2709)-(P2709)*(T2709)))/W2709,0)</f>
        <v/>
      </c>
      <c r="AA2709">
        <f>LTP3!$D$7-X2709*LTP3!$D$6-Y2709*U2709-Z2709*V2709</f>
        <v/>
      </c>
      <c r="AB2709">
        <f>IF(AND(F2709,ABS(W2709)&gt;1E-12,Y2709&gt;0,Z2709&gt;0),AA2709,1E+300)</f>
        <v/>
      </c>
    </row>
    <row r="2710">
      <c r="A2710">
        <f>$B$3+$B$5*44</f>
        <v/>
      </c>
      <c r="B2710">
        <f>$B$3+$B$5*14</f>
        <v/>
      </c>
      <c r="C2710">
        <f>SUMPRODUCT(Calc!$K$3:$K$22*(Calc!$G$3:$G$22&lt;=A2710))</f>
        <v/>
      </c>
      <c r="D2710">
        <f>SUMPRODUCT(Calc!$K$3:$K$22*(Calc!$G$3:$G$22&gt;A2710)*(Calc!$G$3:$G$22&lt;B2710))</f>
        <v/>
      </c>
      <c r="E2710">
        <f>SUMPRODUCT(Calc!$K$3:$K$22*(Calc!$G$3:$G$22&gt;=B2710))</f>
        <v/>
      </c>
      <c r="F2710">
        <f>AND(k_n&gt;=5,B2710&gt;A2710+1E-9,C2710&gt;=2,D2710&gt;=1,E2710&gt;=2)</f>
        <v/>
      </c>
      <c r="G2710">
        <f>SUMPRODUCT(Calc!$K$3:$K$22*(Calc!$G$3:$G$22&gt;A2710)*(Calc!$G$3:$G$22-A2710))</f>
        <v/>
      </c>
      <c r="H2710">
        <f>SUMPRODUCT(Calc!$K$3:$K$22*(Calc!$G$3:$G$22&gt;B2710)*(Calc!$G$3:$G$22-B2710))</f>
        <v/>
      </c>
      <c r="I2710">
        <f>SUMPRODUCT(Calc!$K$3:$K$22*(Calc!$G$3:$G$22&gt;A2710)*(Calc!$G$3:$G$22-A2710)^2)</f>
        <v/>
      </c>
      <c r="J2710">
        <f>SUMPRODUCT(Calc!$K$3:$K$22*(Calc!$G$3:$G$22&gt;B2710)*(Calc!$G$3:$G$22-B2710)^2)</f>
        <v/>
      </c>
      <c r="K2710">
        <f>SUMPRODUCT(Calc!$K$3:$K$22*(Calc!$G$3:$G$22&gt;A2710)*(Calc!$G$3:$G$22-A2710)*(Calc!$G$3:$G$22&gt;B2710)*(Calc!$G$3:$G$22-B2710))</f>
        <v/>
      </c>
      <c r="L2710">
        <f>SUMPRODUCT(Calc!$K$3:$K$22*(Calc!$G$3:$G$22&gt;A2710)*(Calc!$G$3:$G$22-A2710)*Calc!$G$3:$G$22)</f>
        <v/>
      </c>
      <c r="M2710">
        <f>SUMPRODUCT(Calc!$K$3:$K$22*(Calc!$G$3:$G$22&gt;B2710)*(Calc!$G$3:$G$22-B2710)*Calc!$G$3:$G$22)</f>
        <v/>
      </c>
      <c r="N2710">
        <f>SUMPRODUCT(Calc!$K$3:$K$22*(Calc!$G$3:$G$22&gt;A2710)*(Calc!$G$3:$G$22-A2710)*Calc!$I$3:$I$22)</f>
        <v/>
      </c>
      <c r="O2710">
        <f>SUMPRODUCT(Calc!$K$3:$K$22*(Calc!$G$3:$G$22&gt;B2710)*(Calc!$G$3:$G$22-B2710)*Calc!$I$3:$I$22)</f>
        <v/>
      </c>
      <c r="P2710">
        <f>I2710-G2710^2/k_n</f>
        <v/>
      </c>
      <c r="Q2710">
        <f>J2710-H2710^2/k_n</f>
        <v/>
      </c>
      <c r="R2710">
        <f>K2710-G2710*H2710/k_n</f>
        <v/>
      </c>
      <c r="S2710">
        <f>L2710-LTP3!$D$3*G2710/k_n</f>
        <v/>
      </c>
      <c r="T2710">
        <f>M2710-LTP3!$D$3*H2710/k_n</f>
        <v/>
      </c>
      <c r="U2710">
        <f>N2710-G2710*LTP3!$D$4/k_n</f>
        <v/>
      </c>
      <c r="V2710">
        <f>O2710-H2710*LTP3!$D$4/k_n</f>
        <v/>
      </c>
      <c r="W2710">
        <f>((LTP3!$D$5)*((P2710)*(Q2710)-(R2710)*(R2710))-(S2710)*((S2710)*(Q2710)-(R2710)*(T2710))+(T2710)*((S2710)*(R2710)-(P2710)*(T2710)))</f>
        <v/>
      </c>
      <c r="X2710">
        <f>IF(ABS(W2710)&gt;1E-12,((LTP3!$D$6)*((P2710)*(Q2710)-(R2710)*(R2710))-(S2710)*((U2710)*(Q2710)-(R2710)*(V2710))+(T2710)*((U2710)*(R2710)-(P2710)*(V2710)))/W2710,0)</f>
        <v/>
      </c>
      <c r="Y2710">
        <f>IF(ABS(W2710)&gt;1E-12,((LTP3!$D$5)*((U2710)*(Q2710)-(R2710)*(V2710))-(LTP3!$D$6)*((S2710)*(Q2710)-(R2710)*(T2710))+(T2710)*((S2710)*(V2710)-(U2710)*(T2710)))/W2710,0)</f>
        <v/>
      </c>
      <c r="Z2710">
        <f>IF(ABS(W2710)&gt;1E-12,((LTP3!$D$5)*((P2710)*(V2710)-(U2710)*(R2710))-(S2710)*((S2710)*(V2710)-(U2710)*(T2710))+(LTP3!$D$6)*((S2710)*(R2710)-(P2710)*(T2710)))/W2710,0)</f>
        <v/>
      </c>
      <c r="AA2710">
        <f>LTP3!$D$7-X2710*LTP3!$D$6-Y2710*U2710-Z2710*V2710</f>
        <v/>
      </c>
      <c r="AB2710">
        <f>IF(AND(F2710,ABS(W2710)&gt;1E-12,Y2710&gt;0,Z2710&gt;0),AA2710,1E+300)</f>
        <v/>
      </c>
    </row>
    <row r="2711">
      <c r="A2711">
        <f>$B$3+$B$5*44</f>
        <v/>
      </c>
      <c r="B2711">
        <f>$B$3+$B$5*15</f>
        <v/>
      </c>
      <c r="C2711">
        <f>SUMPRODUCT(Calc!$K$3:$K$22*(Calc!$G$3:$G$22&lt;=A2711))</f>
        <v/>
      </c>
      <c r="D2711">
        <f>SUMPRODUCT(Calc!$K$3:$K$22*(Calc!$G$3:$G$22&gt;A2711)*(Calc!$G$3:$G$22&lt;B2711))</f>
        <v/>
      </c>
      <c r="E2711">
        <f>SUMPRODUCT(Calc!$K$3:$K$22*(Calc!$G$3:$G$22&gt;=B2711))</f>
        <v/>
      </c>
      <c r="F2711">
        <f>AND(k_n&gt;=5,B2711&gt;A2711+1E-9,C2711&gt;=2,D2711&gt;=1,E2711&gt;=2)</f>
        <v/>
      </c>
      <c r="G2711">
        <f>SUMPRODUCT(Calc!$K$3:$K$22*(Calc!$G$3:$G$22&gt;A2711)*(Calc!$G$3:$G$22-A2711))</f>
        <v/>
      </c>
      <c r="H2711">
        <f>SUMPRODUCT(Calc!$K$3:$K$22*(Calc!$G$3:$G$22&gt;B2711)*(Calc!$G$3:$G$22-B2711))</f>
        <v/>
      </c>
      <c r="I2711">
        <f>SUMPRODUCT(Calc!$K$3:$K$22*(Calc!$G$3:$G$22&gt;A2711)*(Calc!$G$3:$G$22-A2711)^2)</f>
        <v/>
      </c>
      <c r="J2711">
        <f>SUMPRODUCT(Calc!$K$3:$K$22*(Calc!$G$3:$G$22&gt;B2711)*(Calc!$G$3:$G$22-B2711)^2)</f>
        <v/>
      </c>
      <c r="K2711">
        <f>SUMPRODUCT(Calc!$K$3:$K$22*(Calc!$G$3:$G$22&gt;A2711)*(Calc!$G$3:$G$22-A2711)*(Calc!$G$3:$G$22&gt;B2711)*(Calc!$G$3:$G$22-B2711))</f>
        <v/>
      </c>
      <c r="L2711">
        <f>SUMPRODUCT(Calc!$K$3:$K$22*(Calc!$G$3:$G$22&gt;A2711)*(Calc!$G$3:$G$22-A2711)*Calc!$G$3:$G$22)</f>
        <v/>
      </c>
      <c r="M2711">
        <f>SUMPRODUCT(Calc!$K$3:$K$22*(Calc!$G$3:$G$22&gt;B2711)*(Calc!$G$3:$G$22-B2711)*Calc!$G$3:$G$22)</f>
        <v/>
      </c>
      <c r="N2711">
        <f>SUMPRODUCT(Calc!$K$3:$K$22*(Calc!$G$3:$G$22&gt;A2711)*(Calc!$G$3:$G$22-A2711)*Calc!$I$3:$I$22)</f>
        <v/>
      </c>
      <c r="O2711">
        <f>SUMPRODUCT(Calc!$K$3:$K$22*(Calc!$G$3:$G$22&gt;B2711)*(Calc!$G$3:$G$22-B2711)*Calc!$I$3:$I$22)</f>
        <v/>
      </c>
      <c r="P2711">
        <f>I2711-G2711^2/k_n</f>
        <v/>
      </c>
      <c r="Q2711">
        <f>J2711-H2711^2/k_n</f>
        <v/>
      </c>
      <c r="R2711">
        <f>K2711-G2711*H2711/k_n</f>
        <v/>
      </c>
      <c r="S2711">
        <f>L2711-LTP3!$D$3*G2711/k_n</f>
        <v/>
      </c>
      <c r="T2711">
        <f>M2711-LTP3!$D$3*H2711/k_n</f>
        <v/>
      </c>
      <c r="U2711">
        <f>N2711-G2711*LTP3!$D$4/k_n</f>
        <v/>
      </c>
      <c r="V2711">
        <f>O2711-H2711*LTP3!$D$4/k_n</f>
        <v/>
      </c>
      <c r="W2711">
        <f>((LTP3!$D$5)*((P2711)*(Q2711)-(R2711)*(R2711))-(S2711)*((S2711)*(Q2711)-(R2711)*(T2711))+(T2711)*((S2711)*(R2711)-(P2711)*(T2711)))</f>
        <v/>
      </c>
      <c r="X2711">
        <f>IF(ABS(W2711)&gt;1E-12,((LTP3!$D$6)*((P2711)*(Q2711)-(R2711)*(R2711))-(S2711)*((U2711)*(Q2711)-(R2711)*(V2711))+(T2711)*((U2711)*(R2711)-(P2711)*(V2711)))/W2711,0)</f>
        <v/>
      </c>
      <c r="Y2711">
        <f>IF(ABS(W2711)&gt;1E-12,((LTP3!$D$5)*((U2711)*(Q2711)-(R2711)*(V2711))-(LTP3!$D$6)*((S2711)*(Q2711)-(R2711)*(T2711))+(T2711)*((S2711)*(V2711)-(U2711)*(T2711)))/W2711,0)</f>
        <v/>
      </c>
      <c r="Z2711">
        <f>IF(ABS(W2711)&gt;1E-12,((LTP3!$D$5)*((P2711)*(V2711)-(U2711)*(R2711))-(S2711)*((S2711)*(V2711)-(U2711)*(T2711))+(LTP3!$D$6)*((S2711)*(R2711)-(P2711)*(T2711)))/W2711,0)</f>
        <v/>
      </c>
      <c r="AA2711">
        <f>LTP3!$D$7-X2711*LTP3!$D$6-Y2711*U2711-Z2711*V2711</f>
        <v/>
      </c>
      <c r="AB2711">
        <f>IF(AND(F2711,ABS(W2711)&gt;1E-12,Y2711&gt;0,Z2711&gt;0),AA2711,1E+300)</f>
        <v/>
      </c>
    </row>
    <row r="2712">
      <c r="A2712">
        <f>$B$3+$B$5*44</f>
        <v/>
      </c>
      <c r="B2712">
        <f>$B$3+$B$5*16</f>
        <v/>
      </c>
      <c r="C2712">
        <f>SUMPRODUCT(Calc!$K$3:$K$22*(Calc!$G$3:$G$22&lt;=A2712))</f>
        <v/>
      </c>
      <c r="D2712">
        <f>SUMPRODUCT(Calc!$K$3:$K$22*(Calc!$G$3:$G$22&gt;A2712)*(Calc!$G$3:$G$22&lt;B2712))</f>
        <v/>
      </c>
      <c r="E2712">
        <f>SUMPRODUCT(Calc!$K$3:$K$22*(Calc!$G$3:$G$22&gt;=B2712))</f>
        <v/>
      </c>
      <c r="F2712">
        <f>AND(k_n&gt;=5,B2712&gt;A2712+1E-9,C2712&gt;=2,D2712&gt;=1,E2712&gt;=2)</f>
        <v/>
      </c>
      <c r="G2712">
        <f>SUMPRODUCT(Calc!$K$3:$K$22*(Calc!$G$3:$G$22&gt;A2712)*(Calc!$G$3:$G$22-A2712))</f>
        <v/>
      </c>
      <c r="H2712">
        <f>SUMPRODUCT(Calc!$K$3:$K$22*(Calc!$G$3:$G$22&gt;B2712)*(Calc!$G$3:$G$22-B2712))</f>
        <v/>
      </c>
      <c r="I2712">
        <f>SUMPRODUCT(Calc!$K$3:$K$22*(Calc!$G$3:$G$22&gt;A2712)*(Calc!$G$3:$G$22-A2712)^2)</f>
        <v/>
      </c>
      <c r="J2712">
        <f>SUMPRODUCT(Calc!$K$3:$K$22*(Calc!$G$3:$G$22&gt;B2712)*(Calc!$G$3:$G$22-B2712)^2)</f>
        <v/>
      </c>
      <c r="K2712">
        <f>SUMPRODUCT(Calc!$K$3:$K$22*(Calc!$G$3:$G$22&gt;A2712)*(Calc!$G$3:$G$22-A2712)*(Calc!$G$3:$G$22&gt;B2712)*(Calc!$G$3:$G$22-B2712))</f>
        <v/>
      </c>
      <c r="L2712">
        <f>SUMPRODUCT(Calc!$K$3:$K$22*(Calc!$G$3:$G$22&gt;A2712)*(Calc!$G$3:$G$22-A2712)*Calc!$G$3:$G$22)</f>
        <v/>
      </c>
      <c r="M2712">
        <f>SUMPRODUCT(Calc!$K$3:$K$22*(Calc!$G$3:$G$22&gt;B2712)*(Calc!$G$3:$G$22-B2712)*Calc!$G$3:$G$22)</f>
        <v/>
      </c>
      <c r="N2712">
        <f>SUMPRODUCT(Calc!$K$3:$K$22*(Calc!$G$3:$G$22&gt;A2712)*(Calc!$G$3:$G$22-A2712)*Calc!$I$3:$I$22)</f>
        <v/>
      </c>
      <c r="O2712">
        <f>SUMPRODUCT(Calc!$K$3:$K$22*(Calc!$G$3:$G$22&gt;B2712)*(Calc!$G$3:$G$22-B2712)*Calc!$I$3:$I$22)</f>
        <v/>
      </c>
      <c r="P2712">
        <f>I2712-G2712^2/k_n</f>
        <v/>
      </c>
      <c r="Q2712">
        <f>J2712-H2712^2/k_n</f>
        <v/>
      </c>
      <c r="R2712">
        <f>K2712-G2712*H2712/k_n</f>
        <v/>
      </c>
      <c r="S2712">
        <f>L2712-LTP3!$D$3*G2712/k_n</f>
        <v/>
      </c>
      <c r="T2712">
        <f>M2712-LTP3!$D$3*H2712/k_n</f>
        <v/>
      </c>
      <c r="U2712">
        <f>N2712-G2712*LTP3!$D$4/k_n</f>
        <v/>
      </c>
      <c r="V2712">
        <f>O2712-H2712*LTP3!$D$4/k_n</f>
        <v/>
      </c>
      <c r="W2712">
        <f>((LTP3!$D$5)*((P2712)*(Q2712)-(R2712)*(R2712))-(S2712)*((S2712)*(Q2712)-(R2712)*(T2712))+(T2712)*((S2712)*(R2712)-(P2712)*(T2712)))</f>
        <v/>
      </c>
      <c r="X2712">
        <f>IF(ABS(W2712)&gt;1E-12,((LTP3!$D$6)*((P2712)*(Q2712)-(R2712)*(R2712))-(S2712)*((U2712)*(Q2712)-(R2712)*(V2712))+(T2712)*((U2712)*(R2712)-(P2712)*(V2712)))/W2712,0)</f>
        <v/>
      </c>
      <c r="Y2712">
        <f>IF(ABS(W2712)&gt;1E-12,((LTP3!$D$5)*((U2712)*(Q2712)-(R2712)*(V2712))-(LTP3!$D$6)*((S2712)*(Q2712)-(R2712)*(T2712))+(T2712)*((S2712)*(V2712)-(U2712)*(T2712)))/W2712,0)</f>
        <v/>
      </c>
      <c r="Z2712">
        <f>IF(ABS(W2712)&gt;1E-12,((LTP3!$D$5)*((P2712)*(V2712)-(U2712)*(R2712))-(S2712)*((S2712)*(V2712)-(U2712)*(T2712))+(LTP3!$D$6)*((S2712)*(R2712)-(P2712)*(T2712)))/W2712,0)</f>
        <v/>
      </c>
      <c r="AA2712">
        <f>LTP3!$D$7-X2712*LTP3!$D$6-Y2712*U2712-Z2712*V2712</f>
        <v/>
      </c>
      <c r="AB2712">
        <f>IF(AND(F2712,ABS(W2712)&gt;1E-12,Y2712&gt;0,Z2712&gt;0),AA2712,1E+300)</f>
        <v/>
      </c>
    </row>
    <row r="2713">
      <c r="A2713">
        <f>$B$3+$B$5*44</f>
        <v/>
      </c>
      <c r="B2713">
        <f>$B$3+$B$5*17</f>
        <v/>
      </c>
      <c r="C2713">
        <f>SUMPRODUCT(Calc!$K$3:$K$22*(Calc!$G$3:$G$22&lt;=A2713))</f>
        <v/>
      </c>
      <c r="D2713">
        <f>SUMPRODUCT(Calc!$K$3:$K$22*(Calc!$G$3:$G$22&gt;A2713)*(Calc!$G$3:$G$22&lt;B2713))</f>
        <v/>
      </c>
      <c r="E2713">
        <f>SUMPRODUCT(Calc!$K$3:$K$22*(Calc!$G$3:$G$22&gt;=B2713))</f>
        <v/>
      </c>
      <c r="F2713">
        <f>AND(k_n&gt;=5,B2713&gt;A2713+1E-9,C2713&gt;=2,D2713&gt;=1,E2713&gt;=2)</f>
        <v/>
      </c>
      <c r="G2713">
        <f>SUMPRODUCT(Calc!$K$3:$K$22*(Calc!$G$3:$G$22&gt;A2713)*(Calc!$G$3:$G$22-A2713))</f>
        <v/>
      </c>
      <c r="H2713">
        <f>SUMPRODUCT(Calc!$K$3:$K$22*(Calc!$G$3:$G$22&gt;B2713)*(Calc!$G$3:$G$22-B2713))</f>
        <v/>
      </c>
      <c r="I2713">
        <f>SUMPRODUCT(Calc!$K$3:$K$22*(Calc!$G$3:$G$22&gt;A2713)*(Calc!$G$3:$G$22-A2713)^2)</f>
        <v/>
      </c>
      <c r="J2713">
        <f>SUMPRODUCT(Calc!$K$3:$K$22*(Calc!$G$3:$G$22&gt;B2713)*(Calc!$G$3:$G$22-B2713)^2)</f>
        <v/>
      </c>
      <c r="K2713">
        <f>SUMPRODUCT(Calc!$K$3:$K$22*(Calc!$G$3:$G$22&gt;A2713)*(Calc!$G$3:$G$22-A2713)*(Calc!$G$3:$G$22&gt;B2713)*(Calc!$G$3:$G$22-B2713))</f>
        <v/>
      </c>
      <c r="L2713">
        <f>SUMPRODUCT(Calc!$K$3:$K$22*(Calc!$G$3:$G$22&gt;A2713)*(Calc!$G$3:$G$22-A2713)*Calc!$G$3:$G$22)</f>
        <v/>
      </c>
      <c r="M2713">
        <f>SUMPRODUCT(Calc!$K$3:$K$22*(Calc!$G$3:$G$22&gt;B2713)*(Calc!$G$3:$G$22-B2713)*Calc!$G$3:$G$22)</f>
        <v/>
      </c>
      <c r="N2713">
        <f>SUMPRODUCT(Calc!$K$3:$K$22*(Calc!$G$3:$G$22&gt;A2713)*(Calc!$G$3:$G$22-A2713)*Calc!$I$3:$I$22)</f>
        <v/>
      </c>
      <c r="O2713">
        <f>SUMPRODUCT(Calc!$K$3:$K$22*(Calc!$G$3:$G$22&gt;B2713)*(Calc!$G$3:$G$22-B2713)*Calc!$I$3:$I$22)</f>
        <v/>
      </c>
      <c r="P2713">
        <f>I2713-G2713^2/k_n</f>
        <v/>
      </c>
      <c r="Q2713">
        <f>J2713-H2713^2/k_n</f>
        <v/>
      </c>
      <c r="R2713">
        <f>K2713-G2713*H2713/k_n</f>
        <v/>
      </c>
      <c r="S2713">
        <f>L2713-LTP3!$D$3*G2713/k_n</f>
        <v/>
      </c>
      <c r="T2713">
        <f>M2713-LTP3!$D$3*H2713/k_n</f>
        <v/>
      </c>
      <c r="U2713">
        <f>N2713-G2713*LTP3!$D$4/k_n</f>
        <v/>
      </c>
      <c r="V2713">
        <f>O2713-H2713*LTP3!$D$4/k_n</f>
        <v/>
      </c>
      <c r="W2713">
        <f>((LTP3!$D$5)*((P2713)*(Q2713)-(R2713)*(R2713))-(S2713)*((S2713)*(Q2713)-(R2713)*(T2713))+(T2713)*((S2713)*(R2713)-(P2713)*(T2713)))</f>
        <v/>
      </c>
      <c r="X2713">
        <f>IF(ABS(W2713)&gt;1E-12,((LTP3!$D$6)*((P2713)*(Q2713)-(R2713)*(R2713))-(S2713)*((U2713)*(Q2713)-(R2713)*(V2713))+(T2713)*((U2713)*(R2713)-(P2713)*(V2713)))/W2713,0)</f>
        <v/>
      </c>
      <c r="Y2713">
        <f>IF(ABS(W2713)&gt;1E-12,((LTP3!$D$5)*((U2713)*(Q2713)-(R2713)*(V2713))-(LTP3!$D$6)*((S2713)*(Q2713)-(R2713)*(T2713))+(T2713)*((S2713)*(V2713)-(U2713)*(T2713)))/W2713,0)</f>
        <v/>
      </c>
      <c r="Z2713">
        <f>IF(ABS(W2713)&gt;1E-12,((LTP3!$D$5)*((P2713)*(V2713)-(U2713)*(R2713))-(S2713)*((S2713)*(V2713)-(U2713)*(T2713))+(LTP3!$D$6)*((S2713)*(R2713)-(P2713)*(T2713)))/W2713,0)</f>
        <v/>
      </c>
      <c r="AA2713">
        <f>LTP3!$D$7-X2713*LTP3!$D$6-Y2713*U2713-Z2713*V2713</f>
        <v/>
      </c>
      <c r="AB2713">
        <f>IF(AND(F2713,ABS(W2713)&gt;1E-12,Y2713&gt;0,Z2713&gt;0),AA2713,1E+300)</f>
        <v/>
      </c>
    </row>
    <row r="2714">
      <c r="A2714">
        <f>$B$3+$B$5*44</f>
        <v/>
      </c>
      <c r="B2714">
        <f>$B$3+$B$5*18</f>
        <v/>
      </c>
      <c r="C2714">
        <f>SUMPRODUCT(Calc!$K$3:$K$22*(Calc!$G$3:$G$22&lt;=A2714))</f>
        <v/>
      </c>
      <c r="D2714">
        <f>SUMPRODUCT(Calc!$K$3:$K$22*(Calc!$G$3:$G$22&gt;A2714)*(Calc!$G$3:$G$22&lt;B2714))</f>
        <v/>
      </c>
      <c r="E2714">
        <f>SUMPRODUCT(Calc!$K$3:$K$22*(Calc!$G$3:$G$22&gt;=B2714))</f>
        <v/>
      </c>
      <c r="F2714">
        <f>AND(k_n&gt;=5,B2714&gt;A2714+1E-9,C2714&gt;=2,D2714&gt;=1,E2714&gt;=2)</f>
        <v/>
      </c>
      <c r="G2714">
        <f>SUMPRODUCT(Calc!$K$3:$K$22*(Calc!$G$3:$G$22&gt;A2714)*(Calc!$G$3:$G$22-A2714))</f>
        <v/>
      </c>
      <c r="H2714">
        <f>SUMPRODUCT(Calc!$K$3:$K$22*(Calc!$G$3:$G$22&gt;B2714)*(Calc!$G$3:$G$22-B2714))</f>
        <v/>
      </c>
      <c r="I2714">
        <f>SUMPRODUCT(Calc!$K$3:$K$22*(Calc!$G$3:$G$22&gt;A2714)*(Calc!$G$3:$G$22-A2714)^2)</f>
        <v/>
      </c>
      <c r="J2714">
        <f>SUMPRODUCT(Calc!$K$3:$K$22*(Calc!$G$3:$G$22&gt;B2714)*(Calc!$G$3:$G$22-B2714)^2)</f>
        <v/>
      </c>
      <c r="K2714">
        <f>SUMPRODUCT(Calc!$K$3:$K$22*(Calc!$G$3:$G$22&gt;A2714)*(Calc!$G$3:$G$22-A2714)*(Calc!$G$3:$G$22&gt;B2714)*(Calc!$G$3:$G$22-B2714))</f>
        <v/>
      </c>
      <c r="L2714">
        <f>SUMPRODUCT(Calc!$K$3:$K$22*(Calc!$G$3:$G$22&gt;A2714)*(Calc!$G$3:$G$22-A2714)*Calc!$G$3:$G$22)</f>
        <v/>
      </c>
      <c r="M2714">
        <f>SUMPRODUCT(Calc!$K$3:$K$22*(Calc!$G$3:$G$22&gt;B2714)*(Calc!$G$3:$G$22-B2714)*Calc!$G$3:$G$22)</f>
        <v/>
      </c>
      <c r="N2714">
        <f>SUMPRODUCT(Calc!$K$3:$K$22*(Calc!$G$3:$G$22&gt;A2714)*(Calc!$G$3:$G$22-A2714)*Calc!$I$3:$I$22)</f>
        <v/>
      </c>
      <c r="O2714">
        <f>SUMPRODUCT(Calc!$K$3:$K$22*(Calc!$G$3:$G$22&gt;B2714)*(Calc!$G$3:$G$22-B2714)*Calc!$I$3:$I$22)</f>
        <v/>
      </c>
      <c r="P2714">
        <f>I2714-G2714^2/k_n</f>
        <v/>
      </c>
      <c r="Q2714">
        <f>J2714-H2714^2/k_n</f>
        <v/>
      </c>
      <c r="R2714">
        <f>K2714-G2714*H2714/k_n</f>
        <v/>
      </c>
      <c r="S2714">
        <f>L2714-LTP3!$D$3*G2714/k_n</f>
        <v/>
      </c>
      <c r="T2714">
        <f>M2714-LTP3!$D$3*H2714/k_n</f>
        <v/>
      </c>
      <c r="U2714">
        <f>N2714-G2714*LTP3!$D$4/k_n</f>
        <v/>
      </c>
      <c r="V2714">
        <f>O2714-H2714*LTP3!$D$4/k_n</f>
        <v/>
      </c>
      <c r="W2714">
        <f>((LTP3!$D$5)*((P2714)*(Q2714)-(R2714)*(R2714))-(S2714)*((S2714)*(Q2714)-(R2714)*(T2714))+(T2714)*((S2714)*(R2714)-(P2714)*(T2714)))</f>
        <v/>
      </c>
      <c r="X2714">
        <f>IF(ABS(W2714)&gt;1E-12,((LTP3!$D$6)*((P2714)*(Q2714)-(R2714)*(R2714))-(S2714)*((U2714)*(Q2714)-(R2714)*(V2714))+(T2714)*((U2714)*(R2714)-(P2714)*(V2714)))/W2714,0)</f>
        <v/>
      </c>
      <c r="Y2714">
        <f>IF(ABS(W2714)&gt;1E-12,((LTP3!$D$5)*((U2714)*(Q2714)-(R2714)*(V2714))-(LTP3!$D$6)*((S2714)*(Q2714)-(R2714)*(T2714))+(T2714)*((S2714)*(V2714)-(U2714)*(T2714)))/W2714,0)</f>
        <v/>
      </c>
      <c r="Z2714">
        <f>IF(ABS(W2714)&gt;1E-12,((LTP3!$D$5)*((P2714)*(V2714)-(U2714)*(R2714))-(S2714)*((S2714)*(V2714)-(U2714)*(T2714))+(LTP3!$D$6)*((S2714)*(R2714)-(P2714)*(T2714)))/W2714,0)</f>
        <v/>
      </c>
      <c r="AA2714">
        <f>LTP3!$D$7-X2714*LTP3!$D$6-Y2714*U2714-Z2714*V2714</f>
        <v/>
      </c>
      <c r="AB2714">
        <f>IF(AND(F2714,ABS(W2714)&gt;1E-12,Y2714&gt;0,Z2714&gt;0),AA2714,1E+300)</f>
        <v/>
      </c>
    </row>
    <row r="2715">
      <c r="A2715">
        <f>$B$3+$B$5*44</f>
        <v/>
      </c>
      <c r="B2715">
        <f>$B$3+$B$5*19</f>
        <v/>
      </c>
      <c r="C2715">
        <f>SUMPRODUCT(Calc!$K$3:$K$22*(Calc!$G$3:$G$22&lt;=A2715))</f>
        <v/>
      </c>
      <c r="D2715">
        <f>SUMPRODUCT(Calc!$K$3:$K$22*(Calc!$G$3:$G$22&gt;A2715)*(Calc!$G$3:$G$22&lt;B2715))</f>
        <v/>
      </c>
      <c r="E2715">
        <f>SUMPRODUCT(Calc!$K$3:$K$22*(Calc!$G$3:$G$22&gt;=B2715))</f>
        <v/>
      </c>
      <c r="F2715">
        <f>AND(k_n&gt;=5,B2715&gt;A2715+1E-9,C2715&gt;=2,D2715&gt;=1,E2715&gt;=2)</f>
        <v/>
      </c>
      <c r="G2715">
        <f>SUMPRODUCT(Calc!$K$3:$K$22*(Calc!$G$3:$G$22&gt;A2715)*(Calc!$G$3:$G$22-A2715))</f>
        <v/>
      </c>
      <c r="H2715">
        <f>SUMPRODUCT(Calc!$K$3:$K$22*(Calc!$G$3:$G$22&gt;B2715)*(Calc!$G$3:$G$22-B2715))</f>
        <v/>
      </c>
      <c r="I2715">
        <f>SUMPRODUCT(Calc!$K$3:$K$22*(Calc!$G$3:$G$22&gt;A2715)*(Calc!$G$3:$G$22-A2715)^2)</f>
        <v/>
      </c>
      <c r="J2715">
        <f>SUMPRODUCT(Calc!$K$3:$K$22*(Calc!$G$3:$G$22&gt;B2715)*(Calc!$G$3:$G$22-B2715)^2)</f>
        <v/>
      </c>
      <c r="K2715">
        <f>SUMPRODUCT(Calc!$K$3:$K$22*(Calc!$G$3:$G$22&gt;A2715)*(Calc!$G$3:$G$22-A2715)*(Calc!$G$3:$G$22&gt;B2715)*(Calc!$G$3:$G$22-B2715))</f>
        <v/>
      </c>
      <c r="L2715">
        <f>SUMPRODUCT(Calc!$K$3:$K$22*(Calc!$G$3:$G$22&gt;A2715)*(Calc!$G$3:$G$22-A2715)*Calc!$G$3:$G$22)</f>
        <v/>
      </c>
      <c r="M2715">
        <f>SUMPRODUCT(Calc!$K$3:$K$22*(Calc!$G$3:$G$22&gt;B2715)*(Calc!$G$3:$G$22-B2715)*Calc!$G$3:$G$22)</f>
        <v/>
      </c>
      <c r="N2715">
        <f>SUMPRODUCT(Calc!$K$3:$K$22*(Calc!$G$3:$G$22&gt;A2715)*(Calc!$G$3:$G$22-A2715)*Calc!$I$3:$I$22)</f>
        <v/>
      </c>
      <c r="O2715">
        <f>SUMPRODUCT(Calc!$K$3:$K$22*(Calc!$G$3:$G$22&gt;B2715)*(Calc!$G$3:$G$22-B2715)*Calc!$I$3:$I$22)</f>
        <v/>
      </c>
      <c r="P2715">
        <f>I2715-G2715^2/k_n</f>
        <v/>
      </c>
      <c r="Q2715">
        <f>J2715-H2715^2/k_n</f>
        <v/>
      </c>
      <c r="R2715">
        <f>K2715-G2715*H2715/k_n</f>
        <v/>
      </c>
      <c r="S2715">
        <f>L2715-LTP3!$D$3*G2715/k_n</f>
        <v/>
      </c>
      <c r="T2715">
        <f>M2715-LTP3!$D$3*H2715/k_n</f>
        <v/>
      </c>
      <c r="U2715">
        <f>N2715-G2715*LTP3!$D$4/k_n</f>
        <v/>
      </c>
      <c r="V2715">
        <f>O2715-H2715*LTP3!$D$4/k_n</f>
        <v/>
      </c>
      <c r="W2715">
        <f>((LTP3!$D$5)*((P2715)*(Q2715)-(R2715)*(R2715))-(S2715)*((S2715)*(Q2715)-(R2715)*(T2715))+(T2715)*((S2715)*(R2715)-(P2715)*(T2715)))</f>
        <v/>
      </c>
      <c r="X2715">
        <f>IF(ABS(W2715)&gt;1E-12,((LTP3!$D$6)*((P2715)*(Q2715)-(R2715)*(R2715))-(S2715)*((U2715)*(Q2715)-(R2715)*(V2715))+(T2715)*((U2715)*(R2715)-(P2715)*(V2715)))/W2715,0)</f>
        <v/>
      </c>
      <c r="Y2715">
        <f>IF(ABS(W2715)&gt;1E-12,((LTP3!$D$5)*((U2715)*(Q2715)-(R2715)*(V2715))-(LTP3!$D$6)*((S2715)*(Q2715)-(R2715)*(T2715))+(T2715)*((S2715)*(V2715)-(U2715)*(T2715)))/W2715,0)</f>
        <v/>
      </c>
      <c r="Z2715">
        <f>IF(ABS(W2715)&gt;1E-12,((LTP3!$D$5)*((P2715)*(V2715)-(U2715)*(R2715))-(S2715)*((S2715)*(V2715)-(U2715)*(T2715))+(LTP3!$D$6)*((S2715)*(R2715)-(P2715)*(T2715)))/W2715,0)</f>
        <v/>
      </c>
      <c r="AA2715">
        <f>LTP3!$D$7-X2715*LTP3!$D$6-Y2715*U2715-Z2715*V2715</f>
        <v/>
      </c>
      <c r="AB2715">
        <f>IF(AND(F2715,ABS(W2715)&gt;1E-12,Y2715&gt;0,Z2715&gt;0),AA2715,1E+300)</f>
        <v/>
      </c>
    </row>
    <row r="2716">
      <c r="A2716">
        <f>$B$3+$B$5*44</f>
        <v/>
      </c>
      <c r="B2716">
        <f>$B$3+$B$5*20</f>
        <v/>
      </c>
      <c r="C2716">
        <f>SUMPRODUCT(Calc!$K$3:$K$22*(Calc!$G$3:$G$22&lt;=A2716))</f>
        <v/>
      </c>
      <c r="D2716">
        <f>SUMPRODUCT(Calc!$K$3:$K$22*(Calc!$G$3:$G$22&gt;A2716)*(Calc!$G$3:$G$22&lt;B2716))</f>
        <v/>
      </c>
      <c r="E2716">
        <f>SUMPRODUCT(Calc!$K$3:$K$22*(Calc!$G$3:$G$22&gt;=B2716))</f>
        <v/>
      </c>
      <c r="F2716">
        <f>AND(k_n&gt;=5,B2716&gt;A2716+1E-9,C2716&gt;=2,D2716&gt;=1,E2716&gt;=2)</f>
        <v/>
      </c>
      <c r="G2716">
        <f>SUMPRODUCT(Calc!$K$3:$K$22*(Calc!$G$3:$G$22&gt;A2716)*(Calc!$G$3:$G$22-A2716))</f>
        <v/>
      </c>
      <c r="H2716">
        <f>SUMPRODUCT(Calc!$K$3:$K$22*(Calc!$G$3:$G$22&gt;B2716)*(Calc!$G$3:$G$22-B2716))</f>
        <v/>
      </c>
      <c r="I2716">
        <f>SUMPRODUCT(Calc!$K$3:$K$22*(Calc!$G$3:$G$22&gt;A2716)*(Calc!$G$3:$G$22-A2716)^2)</f>
        <v/>
      </c>
      <c r="J2716">
        <f>SUMPRODUCT(Calc!$K$3:$K$22*(Calc!$G$3:$G$22&gt;B2716)*(Calc!$G$3:$G$22-B2716)^2)</f>
        <v/>
      </c>
      <c r="K2716">
        <f>SUMPRODUCT(Calc!$K$3:$K$22*(Calc!$G$3:$G$22&gt;A2716)*(Calc!$G$3:$G$22-A2716)*(Calc!$G$3:$G$22&gt;B2716)*(Calc!$G$3:$G$22-B2716))</f>
        <v/>
      </c>
      <c r="L2716">
        <f>SUMPRODUCT(Calc!$K$3:$K$22*(Calc!$G$3:$G$22&gt;A2716)*(Calc!$G$3:$G$22-A2716)*Calc!$G$3:$G$22)</f>
        <v/>
      </c>
      <c r="M2716">
        <f>SUMPRODUCT(Calc!$K$3:$K$22*(Calc!$G$3:$G$22&gt;B2716)*(Calc!$G$3:$G$22-B2716)*Calc!$G$3:$G$22)</f>
        <v/>
      </c>
      <c r="N2716">
        <f>SUMPRODUCT(Calc!$K$3:$K$22*(Calc!$G$3:$G$22&gt;A2716)*(Calc!$G$3:$G$22-A2716)*Calc!$I$3:$I$22)</f>
        <v/>
      </c>
      <c r="O2716">
        <f>SUMPRODUCT(Calc!$K$3:$K$22*(Calc!$G$3:$G$22&gt;B2716)*(Calc!$G$3:$G$22-B2716)*Calc!$I$3:$I$22)</f>
        <v/>
      </c>
      <c r="P2716">
        <f>I2716-G2716^2/k_n</f>
        <v/>
      </c>
      <c r="Q2716">
        <f>J2716-H2716^2/k_n</f>
        <v/>
      </c>
      <c r="R2716">
        <f>K2716-G2716*H2716/k_n</f>
        <v/>
      </c>
      <c r="S2716">
        <f>L2716-LTP3!$D$3*G2716/k_n</f>
        <v/>
      </c>
      <c r="T2716">
        <f>M2716-LTP3!$D$3*H2716/k_n</f>
        <v/>
      </c>
      <c r="U2716">
        <f>N2716-G2716*LTP3!$D$4/k_n</f>
        <v/>
      </c>
      <c r="V2716">
        <f>O2716-H2716*LTP3!$D$4/k_n</f>
        <v/>
      </c>
      <c r="W2716">
        <f>((LTP3!$D$5)*((P2716)*(Q2716)-(R2716)*(R2716))-(S2716)*((S2716)*(Q2716)-(R2716)*(T2716))+(T2716)*((S2716)*(R2716)-(P2716)*(T2716)))</f>
        <v/>
      </c>
      <c r="X2716">
        <f>IF(ABS(W2716)&gt;1E-12,((LTP3!$D$6)*((P2716)*(Q2716)-(R2716)*(R2716))-(S2716)*((U2716)*(Q2716)-(R2716)*(V2716))+(T2716)*((U2716)*(R2716)-(P2716)*(V2716)))/W2716,0)</f>
        <v/>
      </c>
      <c r="Y2716">
        <f>IF(ABS(W2716)&gt;1E-12,((LTP3!$D$5)*((U2716)*(Q2716)-(R2716)*(V2716))-(LTP3!$D$6)*((S2716)*(Q2716)-(R2716)*(T2716))+(T2716)*((S2716)*(V2716)-(U2716)*(T2716)))/W2716,0)</f>
        <v/>
      </c>
      <c r="Z2716">
        <f>IF(ABS(W2716)&gt;1E-12,((LTP3!$D$5)*((P2716)*(V2716)-(U2716)*(R2716))-(S2716)*((S2716)*(V2716)-(U2716)*(T2716))+(LTP3!$D$6)*((S2716)*(R2716)-(P2716)*(T2716)))/W2716,0)</f>
        <v/>
      </c>
      <c r="AA2716">
        <f>LTP3!$D$7-X2716*LTP3!$D$6-Y2716*U2716-Z2716*V2716</f>
        <v/>
      </c>
      <c r="AB2716">
        <f>IF(AND(F2716,ABS(W2716)&gt;1E-12,Y2716&gt;0,Z2716&gt;0),AA2716,1E+300)</f>
        <v/>
      </c>
    </row>
    <row r="2717">
      <c r="A2717">
        <f>$B$3+$B$5*44</f>
        <v/>
      </c>
      <c r="B2717">
        <f>$B$3+$B$5*21</f>
        <v/>
      </c>
      <c r="C2717">
        <f>SUMPRODUCT(Calc!$K$3:$K$22*(Calc!$G$3:$G$22&lt;=A2717))</f>
        <v/>
      </c>
      <c r="D2717">
        <f>SUMPRODUCT(Calc!$K$3:$K$22*(Calc!$G$3:$G$22&gt;A2717)*(Calc!$G$3:$G$22&lt;B2717))</f>
        <v/>
      </c>
      <c r="E2717">
        <f>SUMPRODUCT(Calc!$K$3:$K$22*(Calc!$G$3:$G$22&gt;=B2717))</f>
        <v/>
      </c>
      <c r="F2717">
        <f>AND(k_n&gt;=5,B2717&gt;A2717+1E-9,C2717&gt;=2,D2717&gt;=1,E2717&gt;=2)</f>
        <v/>
      </c>
      <c r="G2717">
        <f>SUMPRODUCT(Calc!$K$3:$K$22*(Calc!$G$3:$G$22&gt;A2717)*(Calc!$G$3:$G$22-A2717))</f>
        <v/>
      </c>
      <c r="H2717">
        <f>SUMPRODUCT(Calc!$K$3:$K$22*(Calc!$G$3:$G$22&gt;B2717)*(Calc!$G$3:$G$22-B2717))</f>
        <v/>
      </c>
      <c r="I2717">
        <f>SUMPRODUCT(Calc!$K$3:$K$22*(Calc!$G$3:$G$22&gt;A2717)*(Calc!$G$3:$G$22-A2717)^2)</f>
        <v/>
      </c>
      <c r="J2717">
        <f>SUMPRODUCT(Calc!$K$3:$K$22*(Calc!$G$3:$G$22&gt;B2717)*(Calc!$G$3:$G$22-B2717)^2)</f>
        <v/>
      </c>
      <c r="K2717">
        <f>SUMPRODUCT(Calc!$K$3:$K$22*(Calc!$G$3:$G$22&gt;A2717)*(Calc!$G$3:$G$22-A2717)*(Calc!$G$3:$G$22&gt;B2717)*(Calc!$G$3:$G$22-B2717))</f>
        <v/>
      </c>
      <c r="L2717">
        <f>SUMPRODUCT(Calc!$K$3:$K$22*(Calc!$G$3:$G$22&gt;A2717)*(Calc!$G$3:$G$22-A2717)*Calc!$G$3:$G$22)</f>
        <v/>
      </c>
      <c r="M2717">
        <f>SUMPRODUCT(Calc!$K$3:$K$22*(Calc!$G$3:$G$22&gt;B2717)*(Calc!$G$3:$G$22-B2717)*Calc!$G$3:$G$22)</f>
        <v/>
      </c>
      <c r="N2717">
        <f>SUMPRODUCT(Calc!$K$3:$K$22*(Calc!$G$3:$G$22&gt;A2717)*(Calc!$G$3:$G$22-A2717)*Calc!$I$3:$I$22)</f>
        <v/>
      </c>
      <c r="O2717">
        <f>SUMPRODUCT(Calc!$K$3:$K$22*(Calc!$G$3:$G$22&gt;B2717)*(Calc!$G$3:$G$22-B2717)*Calc!$I$3:$I$22)</f>
        <v/>
      </c>
      <c r="P2717">
        <f>I2717-G2717^2/k_n</f>
        <v/>
      </c>
      <c r="Q2717">
        <f>J2717-H2717^2/k_n</f>
        <v/>
      </c>
      <c r="R2717">
        <f>K2717-G2717*H2717/k_n</f>
        <v/>
      </c>
      <c r="S2717">
        <f>L2717-LTP3!$D$3*G2717/k_n</f>
        <v/>
      </c>
      <c r="T2717">
        <f>M2717-LTP3!$D$3*H2717/k_n</f>
        <v/>
      </c>
      <c r="U2717">
        <f>N2717-G2717*LTP3!$D$4/k_n</f>
        <v/>
      </c>
      <c r="V2717">
        <f>O2717-H2717*LTP3!$D$4/k_n</f>
        <v/>
      </c>
      <c r="W2717">
        <f>((LTP3!$D$5)*((P2717)*(Q2717)-(R2717)*(R2717))-(S2717)*((S2717)*(Q2717)-(R2717)*(T2717))+(T2717)*((S2717)*(R2717)-(P2717)*(T2717)))</f>
        <v/>
      </c>
      <c r="X2717">
        <f>IF(ABS(W2717)&gt;1E-12,((LTP3!$D$6)*((P2717)*(Q2717)-(R2717)*(R2717))-(S2717)*((U2717)*(Q2717)-(R2717)*(V2717))+(T2717)*((U2717)*(R2717)-(P2717)*(V2717)))/W2717,0)</f>
        <v/>
      </c>
      <c r="Y2717">
        <f>IF(ABS(W2717)&gt;1E-12,((LTP3!$D$5)*((U2717)*(Q2717)-(R2717)*(V2717))-(LTP3!$D$6)*((S2717)*(Q2717)-(R2717)*(T2717))+(T2717)*((S2717)*(V2717)-(U2717)*(T2717)))/W2717,0)</f>
        <v/>
      </c>
      <c r="Z2717">
        <f>IF(ABS(W2717)&gt;1E-12,((LTP3!$D$5)*((P2717)*(V2717)-(U2717)*(R2717))-(S2717)*((S2717)*(V2717)-(U2717)*(T2717))+(LTP3!$D$6)*((S2717)*(R2717)-(P2717)*(T2717)))/W2717,0)</f>
        <v/>
      </c>
      <c r="AA2717">
        <f>LTP3!$D$7-X2717*LTP3!$D$6-Y2717*U2717-Z2717*V2717</f>
        <v/>
      </c>
      <c r="AB2717">
        <f>IF(AND(F2717,ABS(W2717)&gt;1E-12,Y2717&gt;0,Z2717&gt;0),AA2717,1E+300)</f>
        <v/>
      </c>
    </row>
    <row r="2718">
      <c r="A2718">
        <f>$B$3+$B$5*44</f>
        <v/>
      </c>
      <c r="B2718">
        <f>$B$3+$B$5*22</f>
        <v/>
      </c>
      <c r="C2718">
        <f>SUMPRODUCT(Calc!$K$3:$K$22*(Calc!$G$3:$G$22&lt;=A2718))</f>
        <v/>
      </c>
      <c r="D2718">
        <f>SUMPRODUCT(Calc!$K$3:$K$22*(Calc!$G$3:$G$22&gt;A2718)*(Calc!$G$3:$G$22&lt;B2718))</f>
        <v/>
      </c>
      <c r="E2718">
        <f>SUMPRODUCT(Calc!$K$3:$K$22*(Calc!$G$3:$G$22&gt;=B2718))</f>
        <v/>
      </c>
      <c r="F2718">
        <f>AND(k_n&gt;=5,B2718&gt;A2718+1E-9,C2718&gt;=2,D2718&gt;=1,E2718&gt;=2)</f>
        <v/>
      </c>
      <c r="G2718">
        <f>SUMPRODUCT(Calc!$K$3:$K$22*(Calc!$G$3:$G$22&gt;A2718)*(Calc!$G$3:$G$22-A2718))</f>
        <v/>
      </c>
      <c r="H2718">
        <f>SUMPRODUCT(Calc!$K$3:$K$22*(Calc!$G$3:$G$22&gt;B2718)*(Calc!$G$3:$G$22-B2718))</f>
        <v/>
      </c>
      <c r="I2718">
        <f>SUMPRODUCT(Calc!$K$3:$K$22*(Calc!$G$3:$G$22&gt;A2718)*(Calc!$G$3:$G$22-A2718)^2)</f>
        <v/>
      </c>
      <c r="J2718">
        <f>SUMPRODUCT(Calc!$K$3:$K$22*(Calc!$G$3:$G$22&gt;B2718)*(Calc!$G$3:$G$22-B2718)^2)</f>
        <v/>
      </c>
      <c r="K2718">
        <f>SUMPRODUCT(Calc!$K$3:$K$22*(Calc!$G$3:$G$22&gt;A2718)*(Calc!$G$3:$G$22-A2718)*(Calc!$G$3:$G$22&gt;B2718)*(Calc!$G$3:$G$22-B2718))</f>
        <v/>
      </c>
      <c r="L2718">
        <f>SUMPRODUCT(Calc!$K$3:$K$22*(Calc!$G$3:$G$22&gt;A2718)*(Calc!$G$3:$G$22-A2718)*Calc!$G$3:$G$22)</f>
        <v/>
      </c>
      <c r="M2718">
        <f>SUMPRODUCT(Calc!$K$3:$K$22*(Calc!$G$3:$G$22&gt;B2718)*(Calc!$G$3:$G$22-B2718)*Calc!$G$3:$G$22)</f>
        <v/>
      </c>
      <c r="N2718">
        <f>SUMPRODUCT(Calc!$K$3:$K$22*(Calc!$G$3:$G$22&gt;A2718)*(Calc!$G$3:$G$22-A2718)*Calc!$I$3:$I$22)</f>
        <v/>
      </c>
      <c r="O2718">
        <f>SUMPRODUCT(Calc!$K$3:$K$22*(Calc!$G$3:$G$22&gt;B2718)*(Calc!$G$3:$G$22-B2718)*Calc!$I$3:$I$22)</f>
        <v/>
      </c>
      <c r="P2718">
        <f>I2718-G2718^2/k_n</f>
        <v/>
      </c>
      <c r="Q2718">
        <f>J2718-H2718^2/k_n</f>
        <v/>
      </c>
      <c r="R2718">
        <f>K2718-G2718*H2718/k_n</f>
        <v/>
      </c>
      <c r="S2718">
        <f>L2718-LTP3!$D$3*G2718/k_n</f>
        <v/>
      </c>
      <c r="T2718">
        <f>M2718-LTP3!$D$3*H2718/k_n</f>
        <v/>
      </c>
      <c r="U2718">
        <f>N2718-G2718*LTP3!$D$4/k_n</f>
        <v/>
      </c>
      <c r="V2718">
        <f>O2718-H2718*LTP3!$D$4/k_n</f>
        <v/>
      </c>
      <c r="W2718">
        <f>((LTP3!$D$5)*((P2718)*(Q2718)-(R2718)*(R2718))-(S2718)*((S2718)*(Q2718)-(R2718)*(T2718))+(T2718)*((S2718)*(R2718)-(P2718)*(T2718)))</f>
        <v/>
      </c>
      <c r="X2718">
        <f>IF(ABS(W2718)&gt;1E-12,((LTP3!$D$6)*((P2718)*(Q2718)-(R2718)*(R2718))-(S2718)*((U2718)*(Q2718)-(R2718)*(V2718))+(T2718)*((U2718)*(R2718)-(P2718)*(V2718)))/W2718,0)</f>
        <v/>
      </c>
      <c r="Y2718">
        <f>IF(ABS(W2718)&gt;1E-12,((LTP3!$D$5)*((U2718)*(Q2718)-(R2718)*(V2718))-(LTP3!$D$6)*((S2718)*(Q2718)-(R2718)*(T2718))+(T2718)*((S2718)*(V2718)-(U2718)*(T2718)))/W2718,0)</f>
        <v/>
      </c>
      <c r="Z2718">
        <f>IF(ABS(W2718)&gt;1E-12,((LTP3!$D$5)*((P2718)*(V2718)-(U2718)*(R2718))-(S2718)*((S2718)*(V2718)-(U2718)*(T2718))+(LTP3!$D$6)*((S2718)*(R2718)-(P2718)*(T2718)))/W2718,0)</f>
        <v/>
      </c>
      <c r="AA2718">
        <f>LTP3!$D$7-X2718*LTP3!$D$6-Y2718*U2718-Z2718*V2718</f>
        <v/>
      </c>
      <c r="AB2718">
        <f>IF(AND(F2718,ABS(W2718)&gt;1E-12,Y2718&gt;0,Z2718&gt;0),AA2718,1E+300)</f>
        <v/>
      </c>
    </row>
    <row r="2719">
      <c r="A2719">
        <f>$B$3+$B$5*44</f>
        <v/>
      </c>
      <c r="B2719">
        <f>$B$3+$B$5*23</f>
        <v/>
      </c>
      <c r="C2719">
        <f>SUMPRODUCT(Calc!$K$3:$K$22*(Calc!$G$3:$G$22&lt;=A2719))</f>
        <v/>
      </c>
      <c r="D2719">
        <f>SUMPRODUCT(Calc!$K$3:$K$22*(Calc!$G$3:$G$22&gt;A2719)*(Calc!$G$3:$G$22&lt;B2719))</f>
        <v/>
      </c>
      <c r="E2719">
        <f>SUMPRODUCT(Calc!$K$3:$K$22*(Calc!$G$3:$G$22&gt;=B2719))</f>
        <v/>
      </c>
      <c r="F2719">
        <f>AND(k_n&gt;=5,B2719&gt;A2719+1E-9,C2719&gt;=2,D2719&gt;=1,E2719&gt;=2)</f>
        <v/>
      </c>
      <c r="G2719">
        <f>SUMPRODUCT(Calc!$K$3:$K$22*(Calc!$G$3:$G$22&gt;A2719)*(Calc!$G$3:$G$22-A2719))</f>
        <v/>
      </c>
      <c r="H2719">
        <f>SUMPRODUCT(Calc!$K$3:$K$22*(Calc!$G$3:$G$22&gt;B2719)*(Calc!$G$3:$G$22-B2719))</f>
        <v/>
      </c>
      <c r="I2719">
        <f>SUMPRODUCT(Calc!$K$3:$K$22*(Calc!$G$3:$G$22&gt;A2719)*(Calc!$G$3:$G$22-A2719)^2)</f>
        <v/>
      </c>
      <c r="J2719">
        <f>SUMPRODUCT(Calc!$K$3:$K$22*(Calc!$G$3:$G$22&gt;B2719)*(Calc!$G$3:$G$22-B2719)^2)</f>
        <v/>
      </c>
      <c r="K2719">
        <f>SUMPRODUCT(Calc!$K$3:$K$22*(Calc!$G$3:$G$22&gt;A2719)*(Calc!$G$3:$G$22-A2719)*(Calc!$G$3:$G$22&gt;B2719)*(Calc!$G$3:$G$22-B2719))</f>
        <v/>
      </c>
      <c r="L2719">
        <f>SUMPRODUCT(Calc!$K$3:$K$22*(Calc!$G$3:$G$22&gt;A2719)*(Calc!$G$3:$G$22-A2719)*Calc!$G$3:$G$22)</f>
        <v/>
      </c>
      <c r="M2719">
        <f>SUMPRODUCT(Calc!$K$3:$K$22*(Calc!$G$3:$G$22&gt;B2719)*(Calc!$G$3:$G$22-B2719)*Calc!$G$3:$G$22)</f>
        <v/>
      </c>
      <c r="N2719">
        <f>SUMPRODUCT(Calc!$K$3:$K$22*(Calc!$G$3:$G$22&gt;A2719)*(Calc!$G$3:$G$22-A2719)*Calc!$I$3:$I$22)</f>
        <v/>
      </c>
      <c r="O2719">
        <f>SUMPRODUCT(Calc!$K$3:$K$22*(Calc!$G$3:$G$22&gt;B2719)*(Calc!$G$3:$G$22-B2719)*Calc!$I$3:$I$22)</f>
        <v/>
      </c>
      <c r="P2719">
        <f>I2719-G2719^2/k_n</f>
        <v/>
      </c>
      <c r="Q2719">
        <f>J2719-H2719^2/k_n</f>
        <v/>
      </c>
      <c r="R2719">
        <f>K2719-G2719*H2719/k_n</f>
        <v/>
      </c>
      <c r="S2719">
        <f>L2719-LTP3!$D$3*G2719/k_n</f>
        <v/>
      </c>
      <c r="T2719">
        <f>M2719-LTP3!$D$3*H2719/k_n</f>
        <v/>
      </c>
      <c r="U2719">
        <f>N2719-G2719*LTP3!$D$4/k_n</f>
        <v/>
      </c>
      <c r="V2719">
        <f>O2719-H2719*LTP3!$D$4/k_n</f>
        <v/>
      </c>
      <c r="W2719">
        <f>((LTP3!$D$5)*((P2719)*(Q2719)-(R2719)*(R2719))-(S2719)*((S2719)*(Q2719)-(R2719)*(T2719))+(T2719)*((S2719)*(R2719)-(P2719)*(T2719)))</f>
        <v/>
      </c>
      <c r="X2719">
        <f>IF(ABS(W2719)&gt;1E-12,((LTP3!$D$6)*((P2719)*(Q2719)-(R2719)*(R2719))-(S2719)*((U2719)*(Q2719)-(R2719)*(V2719))+(T2719)*((U2719)*(R2719)-(P2719)*(V2719)))/W2719,0)</f>
        <v/>
      </c>
      <c r="Y2719">
        <f>IF(ABS(W2719)&gt;1E-12,((LTP3!$D$5)*((U2719)*(Q2719)-(R2719)*(V2719))-(LTP3!$D$6)*((S2719)*(Q2719)-(R2719)*(T2719))+(T2719)*((S2719)*(V2719)-(U2719)*(T2719)))/W2719,0)</f>
        <v/>
      </c>
      <c r="Z2719">
        <f>IF(ABS(W2719)&gt;1E-12,((LTP3!$D$5)*((P2719)*(V2719)-(U2719)*(R2719))-(S2719)*((S2719)*(V2719)-(U2719)*(T2719))+(LTP3!$D$6)*((S2719)*(R2719)-(P2719)*(T2719)))/W2719,0)</f>
        <v/>
      </c>
      <c r="AA2719">
        <f>LTP3!$D$7-X2719*LTP3!$D$6-Y2719*U2719-Z2719*V2719</f>
        <v/>
      </c>
      <c r="AB2719">
        <f>IF(AND(F2719,ABS(W2719)&gt;1E-12,Y2719&gt;0,Z2719&gt;0),AA2719,1E+300)</f>
        <v/>
      </c>
    </row>
    <row r="2720">
      <c r="A2720">
        <f>$B$3+$B$5*44</f>
        <v/>
      </c>
      <c r="B2720">
        <f>$B$3+$B$5*24</f>
        <v/>
      </c>
      <c r="C2720">
        <f>SUMPRODUCT(Calc!$K$3:$K$22*(Calc!$G$3:$G$22&lt;=A2720))</f>
        <v/>
      </c>
      <c r="D2720">
        <f>SUMPRODUCT(Calc!$K$3:$K$22*(Calc!$G$3:$G$22&gt;A2720)*(Calc!$G$3:$G$22&lt;B2720))</f>
        <v/>
      </c>
      <c r="E2720">
        <f>SUMPRODUCT(Calc!$K$3:$K$22*(Calc!$G$3:$G$22&gt;=B2720))</f>
        <v/>
      </c>
      <c r="F2720">
        <f>AND(k_n&gt;=5,B2720&gt;A2720+1E-9,C2720&gt;=2,D2720&gt;=1,E2720&gt;=2)</f>
        <v/>
      </c>
      <c r="G2720">
        <f>SUMPRODUCT(Calc!$K$3:$K$22*(Calc!$G$3:$G$22&gt;A2720)*(Calc!$G$3:$G$22-A2720))</f>
        <v/>
      </c>
      <c r="H2720">
        <f>SUMPRODUCT(Calc!$K$3:$K$22*(Calc!$G$3:$G$22&gt;B2720)*(Calc!$G$3:$G$22-B2720))</f>
        <v/>
      </c>
      <c r="I2720">
        <f>SUMPRODUCT(Calc!$K$3:$K$22*(Calc!$G$3:$G$22&gt;A2720)*(Calc!$G$3:$G$22-A2720)^2)</f>
        <v/>
      </c>
      <c r="J2720">
        <f>SUMPRODUCT(Calc!$K$3:$K$22*(Calc!$G$3:$G$22&gt;B2720)*(Calc!$G$3:$G$22-B2720)^2)</f>
        <v/>
      </c>
      <c r="K2720">
        <f>SUMPRODUCT(Calc!$K$3:$K$22*(Calc!$G$3:$G$22&gt;A2720)*(Calc!$G$3:$G$22-A2720)*(Calc!$G$3:$G$22&gt;B2720)*(Calc!$G$3:$G$22-B2720))</f>
        <v/>
      </c>
      <c r="L2720">
        <f>SUMPRODUCT(Calc!$K$3:$K$22*(Calc!$G$3:$G$22&gt;A2720)*(Calc!$G$3:$G$22-A2720)*Calc!$G$3:$G$22)</f>
        <v/>
      </c>
      <c r="M2720">
        <f>SUMPRODUCT(Calc!$K$3:$K$22*(Calc!$G$3:$G$22&gt;B2720)*(Calc!$G$3:$G$22-B2720)*Calc!$G$3:$G$22)</f>
        <v/>
      </c>
      <c r="N2720">
        <f>SUMPRODUCT(Calc!$K$3:$K$22*(Calc!$G$3:$G$22&gt;A2720)*(Calc!$G$3:$G$22-A2720)*Calc!$I$3:$I$22)</f>
        <v/>
      </c>
      <c r="O2720">
        <f>SUMPRODUCT(Calc!$K$3:$K$22*(Calc!$G$3:$G$22&gt;B2720)*(Calc!$G$3:$G$22-B2720)*Calc!$I$3:$I$22)</f>
        <v/>
      </c>
      <c r="P2720">
        <f>I2720-G2720^2/k_n</f>
        <v/>
      </c>
      <c r="Q2720">
        <f>J2720-H2720^2/k_n</f>
        <v/>
      </c>
      <c r="R2720">
        <f>K2720-G2720*H2720/k_n</f>
        <v/>
      </c>
      <c r="S2720">
        <f>L2720-LTP3!$D$3*G2720/k_n</f>
        <v/>
      </c>
      <c r="T2720">
        <f>M2720-LTP3!$D$3*H2720/k_n</f>
        <v/>
      </c>
      <c r="U2720">
        <f>N2720-G2720*LTP3!$D$4/k_n</f>
        <v/>
      </c>
      <c r="V2720">
        <f>O2720-H2720*LTP3!$D$4/k_n</f>
        <v/>
      </c>
      <c r="W2720">
        <f>((LTP3!$D$5)*((P2720)*(Q2720)-(R2720)*(R2720))-(S2720)*((S2720)*(Q2720)-(R2720)*(T2720))+(T2720)*((S2720)*(R2720)-(P2720)*(T2720)))</f>
        <v/>
      </c>
      <c r="X2720">
        <f>IF(ABS(W2720)&gt;1E-12,((LTP3!$D$6)*((P2720)*(Q2720)-(R2720)*(R2720))-(S2720)*((U2720)*(Q2720)-(R2720)*(V2720))+(T2720)*((U2720)*(R2720)-(P2720)*(V2720)))/W2720,0)</f>
        <v/>
      </c>
      <c r="Y2720">
        <f>IF(ABS(W2720)&gt;1E-12,((LTP3!$D$5)*((U2720)*(Q2720)-(R2720)*(V2720))-(LTP3!$D$6)*((S2720)*(Q2720)-(R2720)*(T2720))+(T2720)*((S2720)*(V2720)-(U2720)*(T2720)))/W2720,0)</f>
        <v/>
      </c>
      <c r="Z2720">
        <f>IF(ABS(W2720)&gt;1E-12,((LTP3!$D$5)*((P2720)*(V2720)-(U2720)*(R2720))-(S2720)*((S2720)*(V2720)-(U2720)*(T2720))+(LTP3!$D$6)*((S2720)*(R2720)-(P2720)*(T2720)))/W2720,0)</f>
        <v/>
      </c>
      <c r="AA2720">
        <f>LTP3!$D$7-X2720*LTP3!$D$6-Y2720*U2720-Z2720*V2720</f>
        <v/>
      </c>
      <c r="AB2720">
        <f>IF(AND(F2720,ABS(W2720)&gt;1E-12,Y2720&gt;0,Z2720&gt;0),AA2720,1E+300)</f>
        <v/>
      </c>
    </row>
    <row r="2721">
      <c r="A2721">
        <f>$B$3+$B$5*44</f>
        <v/>
      </c>
      <c r="B2721">
        <f>$B$3+$B$5*25</f>
        <v/>
      </c>
      <c r="C2721">
        <f>SUMPRODUCT(Calc!$K$3:$K$22*(Calc!$G$3:$G$22&lt;=A2721))</f>
        <v/>
      </c>
      <c r="D2721">
        <f>SUMPRODUCT(Calc!$K$3:$K$22*(Calc!$G$3:$G$22&gt;A2721)*(Calc!$G$3:$G$22&lt;B2721))</f>
        <v/>
      </c>
      <c r="E2721">
        <f>SUMPRODUCT(Calc!$K$3:$K$22*(Calc!$G$3:$G$22&gt;=B2721))</f>
        <v/>
      </c>
      <c r="F2721">
        <f>AND(k_n&gt;=5,B2721&gt;A2721+1E-9,C2721&gt;=2,D2721&gt;=1,E2721&gt;=2)</f>
        <v/>
      </c>
      <c r="G2721">
        <f>SUMPRODUCT(Calc!$K$3:$K$22*(Calc!$G$3:$G$22&gt;A2721)*(Calc!$G$3:$G$22-A2721))</f>
        <v/>
      </c>
      <c r="H2721">
        <f>SUMPRODUCT(Calc!$K$3:$K$22*(Calc!$G$3:$G$22&gt;B2721)*(Calc!$G$3:$G$22-B2721))</f>
        <v/>
      </c>
      <c r="I2721">
        <f>SUMPRODUCT(Calc!$K$3:$K$22*(Calc!$G$3:$G$22&gt;A2721)*(Calc!$G$3:$G$22-A2721)^2)</f>
        <v/>
      </c>
      <c r="J2721">
        <f>SUMPRODUCT(Calc!$K$3:$K$22*(Calc!$G$3:$G$22&gt;B2721)*(Calc!$G$3:$G$22-B2721)^2)</f>
        <v/>
      </c>
      <c r="K2721">
        <f>SUMPRODUCT(Calc!$K$3:$K$22*(Calc!$G$3:$G$22&gt;A2721)*(Calc!$G$3:$G$22-A2721)*(Calc!$G$3:$G$22&gt;B2721)*(Calc!$G$3:$G$22-B2721))</f>
        <v/>
      </c>
      <c r="L2721">
        <f>SUMPRODUCT(Calc!$K$3:$K$22*(Calc!$G$3:$G$22&gt;A2721)*(Calc!$G$3:$G$22-A2721)*Calc!$G$3:$G$22)</f>
        <v/>
      </c>
      <c r="M2721">
        <f>SUMPRODUCT(Calc!$K$3:$K$22*(Calc!$G$3:$G$22&gt;B2721)*(Calc!$G$3:$G$22-B2721)*Calc!$G$3:$G$22)</f>
        <v/>
      </c>
      <c r="N2721">
        <f>SUMPRODUCT(Calc!$K$3:$K$22*(Calc!$G$3:$G$22&gt;A2721)*(Calc!$G$3:$G$22-A2721)*Calc!$I$3:$I$22)</f>
        <v/>
      </c>
      <c r="O2721">
        <f>SUMPRODUCT(Calc!$K$3:$K$22*(Calc!$G$3:$G$22&gt;B2721)*(Calc!$G$3:$G$22-B2721)*Calc!$I$3:$I$22)</f>
        <v/>
      </c>
      <c r="P2721">
        <f>I2721-G2721^2/k_n</f>
        <v/>
      </c>
      <c r="Q2721">
        <f>J2721-H2721^2/k_n</f>
        <v/>
      </c>
      <c r="R2721">
        <f>K2721-G2721*H2721/k_n</f>
        <v/>
      </c>
      <c r="S2721">
        <f>L2721-LTP3!$D$3*G2721/k_n</f>
        <v/>
      </c>
      <c r="T2721">
        <f>M2721-LTP3!$D$3*H2721/k_n</f>
        <v/>
      </c>
      <c r="U2721">
        <f>N2721-G2721*LTP3!$D$4/k_n</f>
        <v/>
      </c>
      <c r="V2721">
        <f>O2721-H2721*LTP3!$D$4/k_n</f>
        <v/>
      </c>
      <c r="W2721">
        <f>((LTP3!$D$5)*((P2721)*(Q2721)-(R2721)*(R2721))-(S2721)*((S2721)*(Q2721)-(R2721)*(T2721))+(T2721)*((S2721)*(R2721)-(P2721)*(T2721)))</f>
        <v/>
      </c>
      <c r="X2721">
        <f>IF(ABS(W2721)&gt;1E-12,((LTP3!$D$6)*((P2721)*(Q2721)-(R2721)*(R2721))-(S2721)*((U2721)*(Q2721)-(R2721)*(V2721))+(T2721)*((U2721)*(R2721)-(P2721)*(V2721)))/W2721,0)</f>
        <v/>
      </c>
      <c r="Y2721">
        <f>IF(ABS(W2721)&gt;1E-12,((LTP3!$D$5)*((U2721)*(Q2721)-(R2721)*(V2721))-(LTP3!$D$6)*((S2721)*(Q2721)-(R2721)*(T2721))+(T2721)*((S2721)*(V2721)-(U2721)*(T2721)))/W2721,0)</f>
        <v/>
      </c>
      <c r="Z2721">
        <f>IF(ABS(W2721)&gt;1E-12,((LTP3!$D$5)*((P2721)*(V2721)-(U2721)*(R2721))-(S2721)*((S2721)*(V2721)-(U2721)*(T2721))+(LTP3!$D$6)*((S2721)*(R2721)-(P2721)*(T2721)))/W2721,0)</f>
        <v/>
      </c>
      <c r="AA2721">
        <f>LTP3!$D$7-X2721*LTP3!$D$6-Y2721*U2721-Z2721*V2721</f>
        <v/>
      </c>
      <c r="AB2721">
        <f>IF(AND(F2721,ABS(W2721)&gt;1E-12,Y2721&gt;0,Z2721&gt;0),AA2721,1E+300)</f>
        <v/>
      </c>
    </row>
    <row r="2722">
      <c r="A2722">
        <f>$B$3+$B$5*44</f>
        <v/>
      </c>
      <c r="B2722">
        <f>$B$3+$B$5*26</f>
        <v/>
      </c>
      <c r="C2722">
        <f>SUMPRODUCT(Calc!$K$3:$K$22*(Calc!$G$3:$G$22&lt;=A2722))</f>
        <v/>
      </c>
      <c r="D2722">
        <f>SUMPRODUCT(Calc!$K$3:$K$22*(Calc!$G$3:$G$22&gt;A2722)*(Calc!$G$3:$G$22&lt;B2722))</f>
        <v/>
      </c>
      <c r="E2722">
        <f>SUMPRODUCT(Calc!$K$3:$K$22*(Calc!$G$3:$G$22&gt;=B2722))</f>
        <v/>
      </c>
      <c r="F2722">
        <f>AND(k_n&gt;=5,B2722&gt;A2722+1E-9,C2722&gt;=2,D2722&gt;=1,E2722&gt;=2)</f>
        <v/>
      </c>
      <c r="G2722">
        <f>SUMPRODUCT(Calc!$K$3:$K$22*(Calc!$G$3:$G$22&gt;A2722)*(Calc!$G$3:$G$22-A2722))</f>
        <v/>
      </c>
      <c r="H2722">
        <f>SUMPRODUCT(Calc!$K$3:$K$22*(Calc!$G$3:$G$22&gt;B2722)*(Calc!$G$3:$G$22-B2722))</f>
        <v/>
      </c>
      <c r="I2722">
        <f>SUMPRODUCT(Calc!$K$3:$K$22*(Calc!$G$3:$G$22&gt;A2722)*(Calc!$G$3:$G$22-A2722)^2)</f>
        <v/>
      </c>
      <c r="J2722">
        <f>SUMPRODUCT(Calc!$K$3:$K$22*(Calc!$G$3:$G$22&gt;B2722)*(Calc!$G$3:$G$22-B2722)^2)</f>
        <v/>
      </c>
      <c r="K2722">
        <f>SUMPRODUCT(Calc!$K$3:$K$22*(Calc!$G$3:$G$22&gt;A2722)*(Calc!$G$3:$G$22-A2722)*(Calc!$G$3:$G$22&gt;B2722)*(Calc!$G$3:$G$22-B2722))</f>
        <v/>
      </c>
      <c r="L2722">
        <f>SUMPRODUCT(Calc!$K$3:$K$22*(Calc!$G$3:$G$22&gt;A2722)*(Calc!$G$3:$G$22-A2722)*Calc!$G$3:$G$22)</f>
        <v/>
      </c>
      <c r="M2722">
        <f>SUMPRODUCT(Calc!$K$3:$K$22*(Calc!$G$3:$G$22&gt;B2722)*(Calc!$G$3:$G$22-B2722)*Calc!$G$3:$G$22)</f>
        <v/>
      </c>
      <c r="N2722">
        <f>SUMPRODUCT(Calc!$K$3:$K$22*(Calc!$G$3:$G$22&gt;A2722)*(Calc!$G$3:$G$22-A2722)*Calc!$I$3:$I$22)</f>
        <v/>
      </c>
      <c r="O2722">
        <f>SUMPRODUCT(Calc!$K$3:$K$22*(Calc!$G$3:$G$22&gt;B2722)*(Calc!$G$3:$G$22-B2722)*Calc!$I$3:$I$22)</f>
        <v/>
      </c>
      <c r="P2722">
        <f>I2722-G2722^2/k_n</f>
        <v/>
      </c>
      <c r="Q2722">
        <f>J2722-H2722^2/k_n</f>
        <v/>
      </c>
      <c r="R2722">
        <f>K2722-G2722*H2722/k_n</f>
        <v/>
      </c>
      <c r="S2722">
        <f>L2722-LTP3!$D$3*G2722/k_n</f>
        <v/>
      </c>
      <c r="T2722">
        <f>M2722-LTP3!$D$3*H2722/k_n</f>
        <v/>
      </c>
      <c r="U2722">
        <f>N2722-G2722*LTP3!$D$4/k_n</f>
        <v/>
      </c>
      <c r="V2722">
        <f>O2722-H2722*LTP3!$D$4/k_n</f>
        <v/>
      </c>
      <c r="W2722">
        <f>((LTP3!$D$5)*((P2722)*(Q2722)-(R2722)*(R2722))-(S2722)*((S2722)*(Q2722)-(R2722)*(T2722))+(T2722)*((S2722)*(R2722)-(P2722)*(T2722)))</f>
        <v/>
      </c>
      <c r="X2722">
        <f>IF(ABS(W2722)&gt;1E-12,((LTP3!$D$6)*((P2722)*(Q2722)-(R2722)*(R2722))-(S2722)*((U2722)*(Q2722)-(R2722)*(V2722))+(T2722)*((U2722)*(R2722)-(P2722)*(V2722)))/W2722,0)</f>
        <v/>
      </c>
      <c r="Y2722">
        <f>IF(ABS(W2722)&gt;1E-12,((LTP3!$D$5)*((U2722)*(Q2722)-(R2722)*(V2722))-(LTP3!$D$6)*((S2722)*(Q2722)-(R2722)*(T2722))+(T2722)*((S2722)*(V2722)-(U2722)*(T2722)))/W2722,0)</f>
        <v/>
      </c>
      <c r="Z2722">
        <f>IF(ABS(W2722)&gt;1E-12,((LTP3!$D$5)*((P2722)*(V2722)-(U2722)*(R2722))-(S2722)*((S2722)*(V2722)-(U2722)*(T2722))+(LTP3!$D$6)*((S2722)*(R2722)-(P2722)*(T2722)))/W2722,0)</f>
        <v/>
      </c>
      <c r="AA2722">
        <f>LTP3!$D$7-X2722*LTP3!$D$6-Y2722*U2722-Z2722*V2722</f>
        <v/>
      </c>
      <c r="AB2722">
        <f>IF(AND(F2722,ABS(W2722)&gt;1E-12,Y2722&gt;0,Z2722&gt;0),AA2722,1E+300)</f>
        <v/>
      </c>
    </row>
    <row r="2723">
      <c r="A2723">
        <f>$B$3+$B$5*44</f>
        <v/>
      </c>
      <c r="B2723">
        <f>$B$3+$B$5*27</f>
        <v/>
      </c>
      <c r="C2723">
        <f>SUMPRODUCT(Calc!$K$3:$K$22*(Calc!$G$3:$G$22&lt;=A2723))</f>
        <v/>
      </c>
      <c r="D2723">
        <f>SUMPRODUCT(Calc!$K$3:$K$22*(Calc!$G$3:$G$22&gt;A2723)*(Calc!$G$3:$G$22&lt;B2723))</f>
        <v/>
      </c>
      <c r="E2723">
        <f>SUMPRODUCT(Calc!$K$3:$K$22*(Calc!$G$3:$G$22&gt;=B2723))</f>
        <v/>
      </c>
      <c r="F2723">
        <f>AND(k_n&gt;=5,B2723&gt;A2723+1E-9,C2723&gt;=2,D2723&gt;=1,E2723&gt;=2)</f>
        <v/>
      </c>
      <c r="G2723">
        <f>SUMPRODUCT(Calc!$K$3:$K$22*(Calc!$G$3:$G$22&gt;A2723)*(Calc!$G$3:$G$22-A2723))</f>
        <v/>
      </c>
      <c r="H2723">
        <f>SUMPRODUCT(Calc!$K$3:$K$22*(Calc!$G$3:$G$22&gt;B2723)*(Calc!$G$3:$G$22-B2723))</f>
        <v/>
      </c>
      <c r="I2723">
        <f>SUMPRODUCT(Calc!$K$3:$K$22*(Calc!$G$3:$G$22&gt;A2723)*(Calc!$G$3:$G$22-A2723)^2)</f>
        <v/>
      </c>
      <c r="J2723">
        <f>SUMPRODUCT(Calc!$K$3:$K$22*(Calc!$G$3:$G$22&gt;B2723)*(Calc!$G$3:$G$22-B2723)^2)</f>
        <v/>
      </c>
      <c r="K2723">
        <f>SUMPRODUCT(Calc!$K$3:$K$22*(Calc!$G$3:$G$22&gt;A2723)*(Calc!$G$3:$G$22-A2723)*(Calc!$G$3:$G$22&gt;B2723)*(Calc!$G$3:$G$22-B2723))</f>
        <v/>
      </c>
      <c r="L2723">
        <f>SUMPRODUCT(Calc!$K$3:$K$22*(Calc!$G$3:$G$22&gt;A2723)*(Calc!$G$3:$G$22-A2723)*Calc!$G$3:$G$22)</f>
        <v/>
      </c>
      <c r="M2723">
        <f>SUMPRODUCT(Calc!$K$3:$K$22*(Calc!$G$3:$G$22&gt;B2723)*(Calc!$G$3:$G$22-B2723)*Calc!$G$3:$G$22)</f>
        <v/>
      </c>
      <c r="N2723">
        <f>SUMPRODUCT(Calc!$K$3:$K$22*(Calc!$G$3:$G$22&gt;A2723)*(Calc!$G$3:$G$22-A2723)*Calc!$I$3:$I$22)</f>
        <v/>
      </c>
      <c r="O2723">
        <f>SUMPRODUCT(Calc!$K$3:$K$22*(Calc!$G$3:$G$22&gt;B2723)*(Calc!$G$3:$G$22-B2723)*Calc!$I$3:$I$22)</f>
        <v/>
      </c>
      <c r="P2723">
        <f>I2723-G2723^2/k_n</f>
        <v/>
      </c>
      <c r="Q2723">
        <f>J2723-H2723^2/k_n</f>
        <v/>
      </c>
      <c r="R2723">
        <f>K2723-G2723*H2723/k_n</f>
        <v/>
      </c>
      <c r="S2723">
        <f>L2723-LTP3!$D$3*G2723/k_n</f>
        <v/>
      </c>
      <c r="T2723">
        <f>M2723-LTP3!$D$3*H2723/k_n</f>
        <v/>
      </c>
      <c r="U2723">
        <f>N2723-G2723*LTP3!$D$4/k_n</f>
        <v/>
      </c>
      <c r="V2723">
        <f>O2723-H2723*LTP3!$D$4/k_n</f>
        <v/>
      </c>
      <c r="W2723">
        <f>((LTP3!$D$5)*((P2723)*(Q2723)-(R2723)*(R2723))-(S2723)*((S2723)*(Q2723)-(R2723)*(T2723))+(T2723)*((S2723)*(R2723)-(P2723)*(T2723)))</f>
        <v/>
      </c>
      <c r="X2723">
        <f>IF(ABS(W2723)&gt;1E-12,((LTP3!$D$6)*((P2723)*(Q2723)-(R2723)*(R2723))-(S2723)*((U2723)*(Q2723)-(R2723)*(V2723))+(T2723)*((U2723)*(R2723)-(P2723)*(V2723)))/W2723,0)</f>
        <v/>
      </c>
      <c r="Y2723">
        <f>IF(ABS(W2723)&gt;1E-12,((LTP3!$D$5)*((U2723)*(Q2723)-(R2723)*(V2723))-(LTP3!$D$6)*((S2723)*(Q2723)-(R2723)*(T2723))+(T2723)*((S2723)*(V2723)-(U2723)*(T2723)))/W2723,0)</f>
        <v/>
      </c>
      <c r="Z2723">
        <f>IF(ABS(W2723)&gt;1E-12,((LTP3!$D$5)*((P2723)*(V2723)-(U2723)*(R2723))-(S2723)*((S2723)*(V2723)-(U2723)*(T2723))+(LTP3!$D$6)*((S2723)*(R2723)-(P2723)*(T2723)))/W2723,0)</f>
        <v/>
      </c>
      <c r="AA2723">
        <f>LTP3!$D$7-X2723*LTP3!$D$6-Y2723*U2723-Z2723*V2723</f>
        <v/>
      </c>
      <c r="AB2723">
        <f>IF(AND(F2723,ABS(W2723)&gt;1E-12,Y2723&gt;0,Z2723&gt;0),AA2723,1E+300)</f>
        <v/>
      </c>
    </row>
    <row r="2724">
      <c r="A2724">
        <f>$B$3+$B$5*44</f>
        <v/>
      </c>
      <c r="B2724">
        <f>$B$3+$B$5*28</f>
        <v/>
      </c>
      <c r="C2724">
        <f>SUMPRODUCT(Calc!$K$3:$K$22*(Calc!$G$3:$G$22&lt;=A2724))</f>
        <v/>
      </c>
      <c r="D2724">
        <f>SUMPRODUCT(Calc!$K$3:$K$22*(Calc!$G$3:$G$22&gt;A2724)*(Calc!$G$3:$G$22&lt;B2724))</f>
        <v/>
      </c>
      <c r="E2724">
        <f>SUMPRODUCT(Calc!$K$3:$K$22*(Calc!$G$3:$G$22&gt;=B2724))</f>
        <v/>
      </c>
      <c r="F2724">
        <f>AND(k_n&gt;=5,B2724&gt;A2724+1E-9,C2724&gt;=2,D2724&gt;=1,E2724&gt;=2)</f>
        <v/>
      </c>
      <c r="G2724">
        <f>SUMPRODUCT(Calc!$K$3:$K$22*(Calc!$G$3:$G$22&gt;A2724)*(Calc!$G$3:$G$22-A2724))</f>
        <v/>
      </c>
      <c r="H2724">
        <f>SUMPRODUCT(Calc!$K$3:$K$22*(Calc!$G$3:$G$22&gt;B2724)*(Calc!$G$3:$G$22-B2724))</f>
        <v/>
      </c>
      <c r="I2724">
        <f>SUMPRODUCT(Calc!$K$3:$K$22*(Calc!$G$3:$G$22&gt;A2724)*(Calc!$G$3:$G$22-A2724)^2)</f>
        <v/>
      </c>
      <c r="J2724">
        <f>SUMPRODUCT(Calc!$K$3:$K$22*(Calc!$G$3:$G$22&gt;B2724)*(Calc!$G$3:$G$22-B2724)^2)</f>
        <v/>
      </c>
      <c r="K2724">
        <f>SUMPRODUCT(Calc!$K$3:$K$22*(Calc!$G$3:$G$22&gt;A2724)*(Calc!$G$3:$G$22-A2724)*(Calc!$G$3:$G$22&gt;B2724)*(Calc!$G$3:$G$22-B2724))</f>
        <v/>
      </c>
      <c r="L2724">
        <f>SUMPRODUCT(Calc!$K$3:$K$22*(Calc!$G$3:$G$22&gt;A2724)*(Calc!$G$3:$G$22-A2724)*Calc!$G$3:$G$22)</f>
        <v/>
      </c>
      <c r="M2724">
        <f>SUMPRODUCT(Calc!$K$3:$K$22*(Calc!$G$3:$G$22&gt;B2724)*(Calc!$G$3:$G$22-B2724)*Calc!$G$3:$G$22)</f>
        <v/>
      </c>
      <c r="N2724">
        <f>SUMPRODUCT(Calc!$K$3:$K$22*(Calc!$G$3:$G$22&gt;A2724)*(Calc!$G$3:$G$22-A2724)*Calc!$I$3:$I$22)</f>
        <v/>
      </c>
      <c r="O2724">
        <f>SUMPRODUCT(Calc!$K$3:$K$22*(Calc!$G$3:$G$22&gt;B2724)*(Calc!$G$3:$G$22-B2724)*Calc!$I$3:$I$22)</f>
        <v/>
      </c>
      <c r="P2724">
        <f>I2724-G2724^2/k_n</f>
        <v/>
      </c>
      <c r="Q2724">
        <f>J2724-H2724^2/k_n</f>
        <v/>
      </c>
      <c r="R2724">
        <f>K2724-G2724*H2724/k_n</f>
        <v/>
      </c>
      <c r="S2724">
        <f>L2724-LTP3!$D$3*G2724/k_n</f>
        <v/>
      </c>
      <c r="T2724">
        <f>M2724-LTP3!$D$3*H2724/k_n</f>
        <v/>
      </c>
      <c r="U2724">
        <f>N2724-G2724*LTP3!$D$4/k_n</f>
        <v/>
      </c>
      <c r="V2724">
        <f>O2724-H2724*LTP3!$D$4/k_n</f>
        <v/>
      </c>
      <c r="W2724">
        <f>((LTP3!$D$5)*((P2724)*(Q2724)-(R2724)*(R2724))-(S2724)*((S2724)*(Q2724)-(R2724)*(T2724))+(T2724)*((S2724)*(R2724)-(P2724)*(T2724)))</f>
        <v/>
      </c>
      <c r="X2724">
        <f>IF(ABS(W2724)&gt;1E-12,((LTP3!$D$6)*((P2724)*(Q2724)-(R2724)*(R2724))-(S2724)*((U2724)*(Q2724)-(R2724)*(V2724))+(T2724)*((U2724)*(R2724)-(P2724)*(V2724)))/W2724,0)</f>
        <v/>
      </c>
      <c r="Y2724">
        <f>IF(ABS(W2724)&gt;1E-12,((LTP3!$D$5)*((U2724)*(Q2724)-(R2724)*(V2724))-(LTP3!$D$6)*((S2724)*(Q2724)-(R2724)*(T2724))+(T2724)*((S2724)*(V2724)-(U2724)*(T2724)))/W2724,0)</f>
        <v/>
      </c>
      <c r="Z2724">
        <f>IF(ABS(W2724)&gt;1E-12,((LTP3!$D$5)*((P2724)*(V2724)-(U2724)*(R2724))-(S2724)*((S2724)*(V2724)-(U2724)*(T2724))+(LTP3!$D$6)*((S2724)*(R2724)-(P2724)*(T2724)))/W2724,0)</f>
        <v/>
      </c>
      <c r="AA2724">
        <f>LTP3!$D$7-X2724*LTP3!$D$6-Y2724*U2724-Z2724*V2724</f>
        <v/>
      </c>
      <c r="AB2724">
        <f>IF(AND(F2724,ABS(W2724)&gt;1E-12,Y2724&gt;0,Z2724&gt;0),AA2724,1E+300)</f>
        <v/>
      </c>
    </row>
    <row r="2725">
      <c r="A2725">
        <f>$B$3+$B$5*44</f>
        <v/>
      </c>
      <c r="B2725">
        <f>$B$3+$B$5*29</f>
        <v/>
      </c>
      <c r="C2725">
        <f>SUMPRODUCT(Calc!$K$3:$K$22*(Calc!$G$3:$G$22&lt;=A2725))</f>
        <v/>
      </c>
      <c r="D2725">
        <f>SUMPRODUCT(Calc!$K$3:$K$22*(Calc!$G$3:$G$22&gt;A2725)*(Calc!$G$3:$G$22&lt;B2725))</f>
        <v/>
      </c>
      <c r="E2725">
        <f>SUMPRODUCT(Calc!$K$3:$K$22*(Calc!$G$3:$G$22&gt;=B2725))</f>
        <v/>
      </c>
      <c r="F2725">
        <f>AND(k_n&gt;=5,B2725&gt;A2725+1E-9,C2725&gt;=2,D2725&gt;=1,E2725&gt;=2)</f>
        <v/>
      </c>
      <c r="G2725">
        <f>SUMPRODUCT(Calc!$K$3:$K$22*(Calc!$G$3:$G$22&gt;A2725)*(Calc!$G$3:$G$22-A2725))</f>
        <v/>
      </c>
      <c r="H2725">
        <f>SUMPRODUCT(Calc!$K$3:$K$22*(Calc!$G$3:$G$22&gt;B2725)*(Calc!$G$3:$G$22-B2725))</f>
        <v/>
      </c>
      <c r="I2725">
        <f>SUMPRODUCT(Calc!$K$3:$K$22*(Calc!$G$3:$G$22&gt;A2725)*(Calc!$G$3:$G$22-A2725)^2)</f>
        <v/>
      </c>
      <c r="J2725">
        <f>SUMPRODUCT(Calc!$K$3:$K$22*(Calc!$G$3:$G$22&gt;B2725)*(Calc!$G$3:$G$22-B2725)^2)</f>
        <v/>
      </c>
      <c r="K2725">
        <f>SUMPRODUCT(Calc!$K$3:$K$22*(Calc!$G$3:$G$22&gt;A2725)*(Calc!$G$3:$G$22-A2725)*(Calc!$G$3:$G$22&gt;B2725)*(Calc!$G$3:$G$22-B2725))</f>
        <v/>
      </c>
      <c r="L2725">
        <f>SUMPRODUCT(Calc!$K$3:$K$22*(Calc!$G$3:$G$22&gt;A2725)*(Calc!$G$3:$G$22-A2725)*Calc!$G$3:$G$22)</f>
        <v/>
      </c>
      <c r="M2725">
        <f>SUMPRODUCT(Calc!$K$3:$K$22*(Calc!$G$3:$G$22&gt;B2725)*(Calc!$G$3:$G$22-B2725)*Calc!$G$3:$G$22)</f>
        <v/>
      </c>
      <c r="N2725">
        <f>SUMPRODUCT(Calc!$K$3:$K$22*(Calc!$G$3:$G$22&gt;A2725)*(Calc!$G$3:$G$22-A2725)*Calc!$I$3:$I$22)</f>
        <v/>
      </c>
      <c r="O2725">
        <f>SUMPRODUCT(Calc!$K$3:$K$22*(Calc!$G$3:$G$22&gt;B2725)*(Calc!$G$3:$G$22-B2725)*Calc!$I$3:$I$22)</f>
        <v/>
      </c>
      <c r="P2725">
        <f>I2725-G2725^2/k_n</f>
        <v/>
      </c>
      <c r="Q2725">
        <f>J2725-H2725^2/k_n</f>
        <v/>
      </c>
      <c r="R2725">
        <f>K2725-G2725*H2725/k_n</f>
        <v/>
      </c>
      <c r="S2725">
        <f>L2725-LTP3!$D$3*G2725/k_n</f>
        <v/>
      </c>
      <c r="T2725">
        <f>M2725-LTP3!$D$3*H2725/k_n</f>
        <v/>
      </c>
      <c r="U2725">
        <f>N2725-G2725*LTP3!$D$4/k_n</f>
        <v/>
      </c>
      <c r="V2725">
        <f>O2725-H2725*LTP3!$D$4/k_n</f>
        <v/>
      </c>
      <c r="W2725">
        <f>((LTP3!$D$5)*((P2725)*(Q2725)-(R2725)*(R2725))-(S2725)*((S2725)*(Q2725)-(R2725)*(T2725))+(T2725)*((S2725)*(R2725)-(P2725)*(T2725)))</f>
        <v/>
      </c>
      <c r="X2725">
        <f>IF(ABS(W2725)&gt;1E-12,((LTP3!$D$6)*((P2725)*(Q2725)-(R2725)*(R2725))-(S2725)*((U2725)*(Q2725)-(R2725)*(V2725))+(T2725)*((U2725)*(R2725)-(P2725)*(V2725)))/W2725,0)</f>
        <v/>
      </c>
      <c r="Y2725">
        <f>IF(ABS(W2725)&gt;1E-12,((LTP3!$D$5)*((U2725)*(Q2725)-(R2725)*(V2725))-(LTP3!$D$6)*((S2725)*(Q2725)-(R2725)*(T2725))+(T2725)*((S2725)*(V2725)-(U2725)*(T2725)))/W2725,0)</f>
        <v/>
      </c>
      <c r="Z2725">
        <f>IF(ABS(W2725)&gt;1E-12,((LTP3!$D$5)*((P2725)*(V2725)-(U2725)*(R2725))-(S2725)*((S2725)*(V2725)-(U2725)*(T2725))+(LTP3!$D$6)*((S2725)*(R2725)-(P2725)*(T2725)))/W2725,0)</f>
        <v/>
      </c>
      <c r="AA2725">
        <f>LTP3!$D$7-X2725*LTP3!$D$6-Y2725*U2725-Z2725*V2725</f>
        <v/>
      </c>
      <c r="AB2725">
        <f>IF(AND(F2725,ABS(W2725)&gt;1E-12,Y2725&gt;0,Z2725&gt;0),AA2725,1E+300)</f>
        <v/>
      </c>
    </row>
    <row r="2726">
      <c r="A2726">
        <f>$B$3+$B$5*44</f>
        <v/>
      </c>
      <c r="B2726">
        <f>$B$3+$B$5*30</f>
        <v/>
      </c>
      <c r="C2726">
        <f>SUMPRODUCT(Calc!$K$3:$K$22*(Calc!$G$3:$G$22&lt;=A2726))</f>
        <v/>
      </c>
      <c r="D2726">
        <f>SUMPRODUCT(Calc!$K$3:$K$22*(Calc!$G$3:$G$22&gt;A2726)*(Calc!$G$3:$G$22&lt;B2726))</f>
        <v/>
      </c>
      <c r="E2726">
        <f>SUMPRODUCT(Calc!$K$3:$K$22*(Calc!$G$3:$G$22&gt;=B2726))</f>
        <v/>
      </c>
      <c r="F2726">
        <f>AND(k_n&gt;=5,B2726&gt;A2726+1E-9,C2726&gt;=2,D2726&gt;=1,E2726&gt;=2)</f>
        <v/>
      </c>
      <c r="G2726">
        <f>SUMPRODUCT(Calc!$K$3:$K$22*(Calc!$G$3:$G$22&gt;A2726)*(Calc!$G$3:$G$22-A2726))</f>
        <v/>
      </c>
      <c r="H2726">
        <f>SUMPRODUCT(Calc!$K$3:$K$22*(Calc!$G$3:$G$22&gt;B2726)*(Calc!$G$3:$G$22-B2726))</f>
        <v/>
      </c>
      <c r="I2726">
        <f>SUMPRODUCT(Calc!$K$3:$K$22*(Calc!$G$3:$G$22&gt;A2726)*(Calc!$G$3:$G$22-A2726)^2)</f>
        <v/>
      </c>
      <c r="J2726">
        <f>SUMPRODUCT(Calc!$K$3:$K$22*(Calc!$G$3:$G$22&gt;B2726)*(Calc!$G$3:$G$22-B2726)^2)</f>
        <v/>
      </c>
      <c r="K2726">
        <f>SUMPRODUCT(Calc!$K$3:$K$22*(Calc!$G$3:$G$22&gt;A2726)*(Calc!$G$3:$G$22-A2726)*(Calc!$G$3:$G$22&gt;B2726)*(Calc!$G$3:$G$22-B2726))</f>
        <v/>
      </c>
      <c r="L2726">
        <f>SUMPRODUCT(Calc!$K$3:$K$22*(Calc!$G$3:$G$22&gt;A2726)*(Calc!$G$3:$G$22-A2726)*Calc!$G$3:$G$22)</f>
        <v/>
      </c>
      <c r="M2726">
        <f>SUMPRODUCT(Calc!$K$3:$K$22*(Calc!$G$3:$G$22&gt;B2726)*(Calc!$G$3:$G$22-B2726)*Calc!$G$3:$G$22)</f>
        <v/>
      </c>
      <c r="N2726">
        <f>SUMPRODUCT(Calc!$K$3:$K$22*(Calc!$G$3:$G$22&gt;A2726)*(Calc!$G$3:$G$22-A2726)*Calc!$I$3:$I$22)</f>
        <v/>
      </c>
      <c r="O2726">
        <f>SUMPRODUCT(Calc!$K$3:$K$22*(Calc!$G$3:$G$22&gt;B2726)*(Calc!$G$3:$G$22-B2726)*Calc!$I$3:$I$22)</f>
        <v/>
      </c>
      <c r="P2726">
        <f>I2726-G2726^2/k_n</f>
        <v/>
      </c>
      <c r="Q2726">
        <f>J2726-H2726^2/k_n</f>
        <v/>
      </c>
      <c r="R2726">
        <f>K2726-G2726*H2726/k_n</f>
        <v/>
      </c>
      <c r="S2726">
        <f>L2726-LTP3!$D$3*G2726/k_n</f>
        <v/>
      </c>
      <c r="T2726">
        <f>M2726-LTP3!$D$3*H2726/k_n</f>
        <v/>
      </c>
      <c r="U2726">
        <f>N2726-G2726*LTP3!$D$4/k_n</f>
        <v/>
      </c>
      <c r="V2726">
        <f>O2726-H2726*LTP3!$D$4/k_n</f>
        <v/>
      </c>
      <c r="W2726">
        <f>((LTP3!$D$5)*((P2726)*(Q2726)-(R2726)*(R2726))-(S2726)*((S2726)*(Q2726)-(R2726)*(T2726))+(T2726)*((S2726)*(R2726)-(P2726)*(T2726)))</f>
        <v/>
      </c>
      <c r="X2726">
        <f>IF(ABS(W2726)&gt;1E-12,((LTP3!$D$6)*((P2726)*(Q2726)-(R2726)*(R2726))-(S2726)*((U2726)*(Q2726)-(R2726)*(V2726))+(T2726)*((U2726)*(R2726)-(P2726)*(V2726)))/W2726,0)</f>
        <v/>
      </c>
      <c r="Y2726">
        <f>IF(ABS(W2726)&gt;1E-12,((LTP3!$D$5)*((U2726)*(Q2726)-(R2726)*(V2726))-(LTP3!$D$6)*((S2726)*(Q2726)-(R2726)*(T2726))+(T2726)*((S2726)*(V2726)-(U2726)*(T2726)))/W2726,0)</f>
        <v/>
      </c>
      <c r="Z2726">
        <f>IF(ABS(W2726)&gt;1E-12,((LTP3!$D$5)*((P2726)*(V2726)-(U2726)*(R2726))-(S2726)*((S2726)*(V2726)-(U2726)*(T2726))+(LTP3!$D$6)*((S2726)*(R2726)-(P2726)*(T2726)))/W2726,0)</f>
        <v/>
      </c>
      <c r="AA2726">
        <f>LTP3!$D$7-X2726*LTP3!$D$6-Y2726*U2726-Z2726*V2726</f>
        <v/>
      </c>
      <c r="AB2726">
        <f>IF(AND(F2726,ABS(W2726)&gt;1E-12,Y2726&gt;0,Z2726&gt;0),AA2726,1E+300)</f>
        <v/>
      </c>
    </row>
    <row r="2727">
      <c r="A2727">
        <f>$B$3+$B$5*44</f>
        <v/>
      </c>
      <c r="B2727">
        <f>$B$3+$B$5*31</f>
        <v/>
      </c>
      <c r="C2727">
        <f>SUMPRODUCT(Calc!$K$3:$K$22*(Calc!$G$3:$G$22&lt;=A2727))</f>
        <v/>
      </c>
      <c r="D2727">
        <f>SUMPRODUCT(Calc!$K$3:$K$22*(Calc!$G$3:$G$22&gt;A2727)*(Calc!$G$3:$G$22&lt;B2727))</f>
        <v/>
      </c>
      <c r="E2727">
        <f>SUMPRODUCT(Calc!$K$3:$K$22*(Calc!$G$3:$G$22&gt;=B2727))</f>
        <v/>
      </c>
      <c r="F2727">
        <f>AND(k_n&gt;=5,B2727&gt;A2727+1E-9,C2727&gt;=2,D2727&gt;=1,E2727&gt;=2)</f>
        <v/>
      </c>
      <c r="G2727">
        <f>SUMPRODUCT(Calc!$K$3:$K$22*(Calc!$G$3:$G$22&gt;A2727)*(Calc!$G$3:$G$22-A2727))</f>
        <v/>
      </c>
      <c r="H2727">
        <f>SUMPRODUCT(Calc!$K$3:$K$22*(Calc!$G$3:$G$22&gt;B2727)*(Calc!$G$3:$G$22-B2727))</f>
        <v/>
      </c>
      <c r="I2727">
        <f>SUMPRODUCT(Calc!$K$3:$K$22*(Calc!$G$3:$G$22&gt;A2727)*(Calc!$G$3:$G$22-A2727)^2)</f>
        <v/>
      </c>
      <c r="J2727">
        <f>SUMPRODUCT(Calc!$K$3:$K$22*(Calc!$G$3:$G$22&gt;B2727)*(Calc!$G$3:$G$22-B2727)^2)</f>
        <v/>
      </c>
      <c r="K2727">
        <f>SUMPRODUCT(Calc!$K$3:$K$22*(Calc!$G$3:$G$22&gt;A2727)*(Calc!$G$3:$G$22-A2727)*(Calc!$G$3:$G$22&gt;B2727)*(Calc!$G$3:$G$22-B2727))</f>
        <v/>
      </c>
      <c r="L2727">
        <f>SUMPRODUCT(Calc!$K$3:$K$22*(Calc!$G$3:$G$22&gt;A2727)*(Calc!$G$3:$G$22-A2727)*Calc!$G$3:$G$22)</f>
        <v/>
      </c>
      <c r="M2727">
        <f>SUMPRODUCT(Calc!$K$3:$K$22*(Calc!$G$3:$G$22&gt;B2727)*(Calc!$G$3:$G$22-B2727)*Calc!$G$3:$G$22)</f>
        <v/>
      </c>
      <c r="N2727">
        <f>SUMPRODUCT(Calc!$K$3:$K$22*(Calc!$G$3:$G$22&gt;A2727)*(Calc!$G$3:$G$22-A2727)*Calc!$I$3:$I$22)</f>
        <v/>
      </c>
      <c r="O2727">
        <f>SUMPRODUCT(Calc!$K$3:$K$22*(Calc!$G$3:$G$22&gt;B2727)*(Calc!$G$3:$G$22-B2727)*Calc!$I$3:$I$22)</f>
        <v/>
      </c>
      <c r="P2727">
        <f>I2727-G2727^2/k_n</f>
        <v/>
      </c>
      <c r="Q2727">
        <f>J2727-H2727^2/k_n</f>
        <v/>
      </c>
      <c r="R2727">
        <f>K2727-G2727*H2727/k_n</f>
        <v/>
      </c>
      <c r="S2727">
        <f>L2727-LTP3!$D$3*G2727/k_n</f>
        <v/>
      </c>
      <c r="T2727">
        <f>M2727-LTP3!$D$3*H2727/k_n</f>
        <v/>
      </c>
      <c r="U2727">
        <f>N2727-G2727*LTP3!$D$4/k_n</f>
        <v/>
      </c>
      <c r="V2727">
        <f>O2727-H2727*LTP3!$D$4/k_n</f>
        <v/>
      </c>
      <c r="W2727">
        <f>((LTP3!$D$5)*((P2727)*(Q2727)-(R2727)*(R2727))-(S2727)*((S2727)*(Q2727)-(R2727)*(T2727))+(T2727)*((S2727)*(R2727)-(P2727)*(T2727)))</f>
        <v/>
      </c>
      <c r="X2727">
        <f>IF(ABS(W2727)&gt;1E-12,((LTP3!$D$6)*((P2727)*(Q2727)-(R2727)*(R2727))-(S2727)*((U2727)*(Q2727)-(R2727)*(V2727))+(T2727)*((U2727)*(R2727)-(P2727)*(V2727)))/W2727,0)</f>
        <v/>
      </c>
      <c r="Y2727">
        <f>IF(ABS(W2727)&gt;1E-12,((LTP3!$D$5)*((U2727)*(Q2727)-(R2727)*(V2727))-(LTP3!$D$6)*((S2727)*(Q2727)-(R2727)*(T2727))+(T2727)*((S2727)*(V2727)-(U2727)*(T2727)))/W2727,0)</f>
        <v/>
      </c>
      <c r="Z2727">
        <f>IF(ABS(W2727)&gt;1E-12,((LTP3!$D$5)*((P2727)*(V2727)-(U2727)*(R2727))-(S2727)*((S2727)*(V2727)-(U2727)*(T2727))+(LTP3!$D$6)*((S2727)*(R2727)-(P2727)*(T2727)))/W2727,0)</f>
        <v/>
      </c>
      <c r="AA2727">
        <f>LTP3!$D$7-X2727*LTP3!$D$6-Y2727*U2727-Z2727*V2727</f>
        <v/>
      </c>
      <c r="AB2727">
        <f>IF(AND(F2727,ABS(W2727)&gt;1E-12,Y2727&gt;0,Z2727&gt;0),AA2727,1E+300)</f>
        <v/>
      </c>
    </row>
    <row r="2728">
      <c r="A2728">
        <f>$B$3+$B$5*44</f>
        <v/>
      </c>
      <c r="B2728">
        <f>$B$3+$B$5*32</f>
        <v/>
      </c>
      <c r="C2728">
        <f>SUMPRODUCT(Calc!$K$3:$K$22*(Calc!$G$3:$G$22&lt;=A2728))</f>
        <v/>
      </c>
      <c r="D2728">
        <f>SUMPRODUCT(Calc!$K$3:$K$22*(Calc!$G$3:$G$22&gt;A2728)*(Calc!$G$3:$G$22&lt;B2728))</f>
        <v/>
      </c>
      <c r="E2728">
        <f>SUMPRODUCT(Calc!$K$3:$K$22*(Calc!$G$3:$G$22&gt;=B2728))</f>
        <v/>
      </c>
      <c r="F2728">
        <f>AND(k_n&gt;=5,B2728&gt;A2728+1E-9,C2728&gt;=2,D2728&gt;=1,E2728&gt;=2)</f>
        <v/>
      </c>
      <c r="G2728">
        <f>SUMPRODUCT(Calc!$K$3:$K$22*(Calc!$G$3:$G$22&gt;A2728)*(Calc!$G$3:$G$22-A2728))</f>
        <v/>
      </c>
      <c r="H2728">
        <f>SUMPRODUCT(Calc!$K$3:$K$22*(Calc!$G$3:$G$22&gt;B2728)*(Calc!$G$3:$G$22-B2728))</f>
        <v/>
      </c>
      <c r="I2728">
        <f>SUMPRODUCT(Calc!$K$3:$K$22*(Calc!$G$3:$G$22&gt;A2728)*(Calc!$G$3:$G$22-A2728)^2)</f>
        <v/>
      </c>
      <c r="J2728">
        <f>SUMPRODUCT(Calc!$K$3:$K$22*(Calc!$G$3:$G$22&gt;B2728)*(Calc!$G$3:$G$22-B2728)^2)</f>
        <v/>
      </c>
      <c r="K2728">
        <f>SUMPRODUCT(Calc!$K$3:$K$22*(Calc!$G$3:$G$22&gt;A2728)*(Calc!$G$3:$G$22-A2728)*(Calc!$G$3:$G$22&gt;B2728)*(Calc!$G$3:$G$22-B2728))</f>
        <v/>
      </c>
      <c r="L2728">
        <f>SUMPRODUCT(Calc!$K$3:$K$22*(Calc!$G$3:$G$22&gt;A2728)*(Calc!$G$3:$G$22-A2728)*Calc!$G$3:$G$22)</f>
        <v/>
      </c>
      <c r="M2728">
        <f>SUMPRODUCT(Calc!$K$3:$K$22*(Calc!$G$3:$G$22&gt;B2728)*(Calc!$G$3:$G$22-B2728)*Calc!$G$3:$G$22)</f>
        <v/>
      </c>
      <c r="N2728">
        <f>SUMPRODUCT(Calc!$K$3:$K$22*(Calc!$G$3:$G$22&gt;A2728)*(Calc!$G$3:$G$22-A2728)*Calc!$I$3:$I$22)</f>
        <v/>
      </c>
      <c r="O2728">
        <f>SUMPRODUCT(Calc!$K$3:$K$22*(Calc!$G$3:$G$22&gt;B2728)*(Calc!$G$3:$G$22-B2728)*Calc!$I$3:$I$22)</f>
        <v/>
      </c>
      <c r="P2728">
        <f>I2728-G2728^2/k_n</f>
        <v/>
      </c>
      <c r="Q2728">
        <f>J2728-H2728^2/k_n</f>
        <v/>
      </c>
      <c r="R2728">
        <f>K2728-G2728*H2728/k_n</f>
        <v/>
      </c>
      <c r="S2728">
        <f>L2728-LTP3!$D$3*G2728/k_n</f>
        <v/>
      </c>
      <c r="T2728">
        <f>M2728-LTP3!$D$3*H2728/k_n</f>
        <v/>
      </c>
      <c r="U2728">
        <f>N2728-G2728*LTP3!$D$4/k_n</f>
        <v/>
      </c>
      <c r="V2728">
        <f>O2728-H2728*LTP3!$D$4/k_n</f>
        <v/>
      </c>
      <c r="W2728">
        <f>((LTP3!$D$5)*((P2728)*(Q2728)-(R2728)*(R2728))-(S2728)*((S2728)*(Q2728)-(R2728)*(T2728))+(T2728)*((S2728)*(R2728)-(P2728)*(T2728)))</f>
        <v/>
      </c>
      <c r="X2728">
        <f>IF(ABS(W2728)&gt;1E-12,((LTP3!$D$6)*((P2728)*(Q2728)-(R2728)*(R2728))-(S2728)*((U2728)*(Q2728)-(R2728)*(V2728))+(T2728)*((U2728)*(R2728)-(P2728)*(V2728)))/W2728,0)</f>
        <v/>
      </c>
      <c r="Y2728">
        <f>IF(ABS(W2728)&gt;1E-12,((LTP3!$D$5)*((U2728)*(Q2728)-(R2728)*(V2728))-(LTP3!$D$6)*((S2728)*(Q2728)-(R2728)*(T2728))+(T2728)*((S2728)*(V2728)-(U2728)*(T2728)))/W2728,0)</f>
        <v/>
      </c>
      <c r="Z2728">
        <f>IF(ABS(W2728)&gt;1E-12,((LTP3!$D$5)*((P2728)*(V2728)-(U2728)*(R2728))-(S2728)*((S2728)*(V2728)-(U2728)*(T2728))+(LTP3!$D$6)*((S2728)*(R2728)-(P2728)*(T2728)))/W2728,0)</f>
        <v/>
      </c>
      <c r="AA2728">
        <f>LTP3!$D$7-X2728*LTP3!$D$6-Y2728*U2728-Z2728*V2728</f>
        <v/>
      </c>
      <c r="AB2728">
        <f>IF(AND(F2728,ABS(W2728)&gt;1E-12,Y2728&gt;0,Z2728&gt;0),AA2728,1E+300)</f>
        <v/>
      </c>
    </row>
    <row r="2729">
      <c r="A2729">
        <f>$B$3+$B$5*44</f>
        <v/>
      </c>
      <c r="B2729">
        <f>$B$3+$B$5*33</f>
        <v/>
      </c>
      <c r="C2729">
        <f>SUMPRODUCT(Calc!$K$3:$K$22*(Calc!$G$3:$G$22&lt;=A2729))</f>
        <v/>
      </c>
      <c r="D2729">
        <f>SUMPRODUCT(Calc!$K$3:$K$22*(Calc!$G$3:$G$22&gt;A2729)*(Calc!$G$3:$G$22&lt;B2729))</f>
        <v/>
      </c>
      <c r="E2729">
        <f>SUMPRODUCT(Calc!$K$3:$K$22*(Calc!$G$3:$G$22&gt;=B2729))</f>
        <v/>
      </c>
      <c r="F2729">
        <f>AND(k_n&gt;=5,B2729&gt;A2729+1E-9,C2729&gt;=2,D2729&gt;=1,E2729&gt;=2)</f>
        <v/>
      </c>
      <c r="G2729">
        <f>SUMPRODUCT(Calc!$K$3:$K$22*(Calc!$G$3:$G$22&gt;A2729)*(Calc!$G$3:$G$22-A2729))</f>
        <v/>
      </c>
      <c r="H2729">
        <f>SUMPRODUCT(Calc!$K$3:$K$22*(Calc!$G$3:$G$22&gt;B2729)*(Calc!$G$3:$G$22-B2729))</f>
        <v/>
      </c>
      <c r="I2729">
        <f>SUMPRODUCT(Calc!$K$3:$K$22*(Calc!$G$3:$G$22&gt;A2729)*(Calc!$G$3:$G$22-A2729)^2)</f>
        <v/>
      </c>
      <c r="J2729">
        <f>SUMPRODUCT(Calc!$K$3:$K$22*(Calc!$G$3:$G$22&gt;B2729)*(Calc!$G$3:$G$22-B2729)^2)</f>
        <v/>
      </c>
      <c r="K2729">
        <f>SUMPRODUCT(Calc!$K$3:$K$22*(Calc!$G$3:$G$22&gt;A2729)*(Calc!$G$3:$G$22-A2729)*(Calc!$G$3:$G$22&gt;B2729)*(Calc!$G$3:$G$22-B2729))</f>
        <v/>
      </c>
      <c r="L2729">
        <f>SUMPRODUCT(Calc!$K$3:$K$22*(Calc!$G$3:$G$22&gt;A2729)*(Calc!$G$3:$G$22-A2729)*Calc!$G$3:$G$22)</f>
        <v/>
      </c>
      <c r="M2729">
        <f>SUMPRODUCT(Calc!$K$3:$K$22*(Calc!$G$3:$G$22&gt;B2729)*(Calc!$G$3:$G$22-B2729)*Calc!$G$3:$G$22)</f>
        <v/>
      </c>
      <c r="N2729">
        <f>SUMPRODUCT(Calc!$K$3:$K$22*(Calc!$G$3:$G$22&gt;A2729)*(Calc!$G$3:$G$22-A2729)*Calc!$I$3:$I$22)</f>
        <v/>
      </c>
      <c r="O2729">
        <f>SUMPRODUCT(Calc!$K$3:$K$22*(Calc!$G$3:$G$22&gt;B2729)*(Calc!$G$3:$G$22-B2729)*Calc!$I$3:$I$22)</f>
        <v/>
      </c>
      <c r="P2729">
        <f>I2729-G2729^2/k_n</f>
        <v/>
      </c>
      <c r="Q2729">
        <f>J2729-H2729^2/k_n</f>
        <v/>
      </c>
      <c r="R2729">
        <f>K2729-G2729*H2729/k_n</f>
        <v/>
      </c>
      <c r="S2729">
        <f>L2729-LTP3!$D$3*G2729/k_n</f>
        <v/>
      </c>
      <c r="T2729">
        <f>M2729-LTP3!$D$3*H2729/k_n</f>
        <v/>
      </c>
      <c r="U2729">
        <f>N2729-G2729*LTP3!$D$4/k_n</f>
        <v/>
      </c>
      <c r="V2729">
        <f>O2729-H2729*LTP3!$D$4/k_n</f>
        <v/>
      </c>
      <c r="W2729">
        <f>((LTP3!$D$5)*((P2729)*(Q2729)-(R2729)*(R2729))-(S2729)*((S2729)*(Q2729)-(R2729)*(T2729))+(T2729)*((S2729)*(R2729)-(P2729)*(T2729)))</f>
        <v/>
      </c>
      <c r="X2729">
        <f>IF(ABS(W2729)&gt;1E-12,((LTP3!$D$6)*((P2729)*(Q2729)-(R2729)*(R2729))-(S2729)*((U2729)*(Q2729)-(R2729)*(V2729))+(T2729)*((U2729)*(R2729)-(P2729)*(V2729)))/W2729,0)</f>
        <v/>
      </c>
      <c r="Y2729">
        <f>IF(ABS(W2729)&gt;1E-12,((LTP3!$D$5)*((U2729)*(Q2729)-(R2729)*(V2729))-(LTP3!$D$6)*((S2729)*(Q2729)-(R2729)*(T2729))+(T2729)*((S2729)*(V2729)-(U2729)*(T2729)))/W2729,0)</f>
        <v/>
      </c>
      <c r="Z2729">
        <f>IF(ABS(W2729)&gt;1E-12,((LTP3!$D$5)*((P2729)*(V2729)-(U2729)*(R2729))-(S2729)*((S2729)*(V2729)-(U2729)*(T2729))+(LTP3!$D$6)*((S2729)*(R2729)-(P2729)*(T2729)))/W2729,0)</f>
        <v/>
      </c>
      <c r="AA2729">
        <f>LTP3!$D$7-X2729*LTP3!$D$6-Y2729*U2729-Z2729*V2729</f>
        <v/>
      </c>
      <c r="AB2729">
        <f>IF(AND(F2729,ABS(W2729)&gt;1E-12,Y2729&gt;0,Z2729&gt;0),AA2729,1E+300)</f>
        <v/>
      </c>
    </row>
    <row r="2730">
      <c r="A2730">
        <f>$B$3+$B$5*44</f>
        <v/>
      </c>
      <c r="B2730">
        <f>$B$3+$B$5*34</f>
        <v/>
      </c>
      <c r="C2730">
        <f>SUMPRODUCT(Calc!$K$3:$K$22*(Calc!$G$3:$G$22&lt;=A2730))</f>
        <v/>
      </c>
      <c r="D2730">
        <f>SUMPRODUCT(Calc!$K$3:$K$22*(Calc!$G$3:$G$22&gt;A2730)*(Calc!$G$3:$G$22&lt;B2730))</f>
        <v/>
      </c>
      <c r="E2730">
        <f>SUMPRODUCT(Calc!$K$3:$K$22*(Calc!$G$3:$G$22&gt;=B2730))</f>
        <v/>
      </c>
      <c r="F2730">
        <f>AND(k_n&gt;=5,B2730&gt;A2730+1E-9,C2730&gt;=2,D2730&gt;=1,E2730&gt;=2)</f>
        <v/>
      </c>
      <c r="G2730">
        <f>SUMPRODUCT(Calc!$K$3:$K$22*(Calc!$G$3:$G$22&gt;A2730)*(Calc!$G$3:$G$22-A2730))</f>
        <v/>
      </c>
      <c r="H2730">
        <f>SUMPRODUCT(Calc!$K$3:$K$22*(Calc!$G$3:$G$22&gt;B2730)*(Calc!$G$3:$G$22-B2730))</f>
        <v/>
      </c>
      <c r="I2730">
        <f>SUMPRODUCT(Calc!$K$3:$K$22*(Calc!$G$3:$G$22&gt;A2730)*(Calc!$G$3:$G$22-A2730)^2)</f>
        <v/>
      </c>
      <c r="J2730">
        <f>SUMPRODUCT(Calc!$K$3:$K$22*(Calc!$G$3:$G$22&gt;B2730)*(Calc!$G$3:$G$22-B2730)^2)</f>
        <v/>
      </c>
      <c r="K2730">
        <f>SUMPRODUCT(Calc!$K$3:$K$22*(Calc!$G$3:$G$22&gt;A2730)*(Calc!$G$3:$G$22-A2730)*(Calc!$G$3:$G$22&gt;B2730)*(Calc!$G$3:$G$22-B2730))</f>
        <v/>
      </c>
      <c r="L2730">
        <f>SUMPRODUCT(Calc!$K$3:$K$22*(Calc!$G$3:$G$22&gt;A2730)*(Calc!$G$3:$G$22-A2730)*Calc!$G$3:$G$22)</f>
        <v/>
      </c>
      <c r="M2730">
        <f>SUMPRODUCT(Calc!$K$3:$K$22*(Calc!$G$3:$G$22&gt;B2730)*(Calc!$G$3:$G$22-B2730)*Calc!$G$3:$G$22)</f>
        <v/>
      </c>
      <c r="N2730">
        <f>SUMPRODUCT(Calc!$K$3:$K$22*(Calc!$G$3:$G$22&gt;A2730)*(Calc!$G$3:$G$22-A2730)*Calc!$I$3:$I$22)</f>
        <v/>
      </c>
      <c r="O2730">
        <f>SUMPRODUCT(Calc!$K$3:$K$22*(Calc!$G$3:$G$22&gt;B2730)*(Calc!$G$3:$G$22-B2730)*Calc!$I$3:$I$22)</f>
        <v/>
      </c>
      <c r="P2730">
        <f>I2730-G2730^2/k_n</f>
        <v/>
      </c>
      <c r="Q2730">
        <f>J2730-H2730^2/k_n</f>
        <v/>
      </c>
      <c r="R2730">
        <f>K2730-G2730*H2730/k_n</f>
        <v/>
      </c>
      <c r="S2730">
        <f>L2730-LTP3!$D$3*G2730/k_n</f>
        <v/>
      </c>
      <c r="T2730">
        <f>M2730-LTP3!$D$3*H2730/k_n</f>
        <v/>
      </c>
      <c r="U2730">
        <f>N2730-G2730*LTP3!$D$4/k_n</f>
        <v/>
      </c>
      <c r="V2730">
        <f>O2730-H2730*LTP3!$D$4/k_n</f>
        <v/>
      </c>
      <c r="W2730">
        <f>((LTP3!$D$5)*((P2730)*(Q2730)-(R2730)*(R2730))-(S2730)*((S2730)*(Q2730)-(R2730)*(T2730))+(T2730)*((S2730)*(R2730)-(P2730)*(T2730)))</f>
        <v/>
      </c>
      <c r="X2730">
        <f>IF(ABS(W2730)&gt;1E-12,((LTP3!$D$6)*((P2730)*(Q2730)-(R2730)*(R2730))-(S2730)*((U2730)*(Q2730)-(R2730)*(V2730))+(T2730)*((U2730)*(R2730)-(P2730)*(V2730)))/W2730,0)</f>
        <v/>
      </c>
      <c r="Y2730">
        <f>IF(ABS(W2730)&gt;1E-12,((LTP3!$D$5)*((U2730)*(Q2730)-(R2730)*(V2730))-(LTP3!$D$6)*((S2730)*(Q2730)-(R2730)*(T2730))+(T2730)*((S2730)*(V2730)-(U2730)*(T2730)))/W2730,0)</f>
        <v/>
      </c>
      <c r="Z2730">
        <f>IF(ABS(W2730)&gt;1E-12,((LTP3!$D$5)*((P2730)*(V2730)-(U2730)*(R2730))-(S2730)*((S2730)*(V2730)-(U2730)*(T2730))+(LTP3!$D$6)*((S2730)*(R2730)-(P2730)*(T2730)))/W2730,0)</f>
        <v/>
      </c>
      <c r="AA2730">
        <f>LTP3!$D$7-X2730*LTP3!$D$6-Y2730*U2730-Z2730*V2730</f>
        <v/>
      </c>
      <c r="AB2730">
        <f>IF(AND(F2730,ABS(W2730)&gt;1E-12,Y2730&gt;0,Z2730&gt;0),AA2730,1E+300)</f>
        <v/>
      </c>
    </row>
    <row r="2731">
      <c r="A2731">
        <f>$B$3+$B$5*44</f>
        <v/>
      </c>
      <c r="B2731">
        <f>$B$3+$B$5*35</f>
        <v/>
      </c>
      <c r="C2731">
        <f>SUMPRODUCT(Calc!$K$3:$K$22*(Calc!$G$3:$G$22&lt;=A2731))</f>
        <v/>
      </c>
      <c r="D2731">
        <f>SUMPRODUCT(Calc!$K$3:$K$22*(Calc!$G$3:$G$22&gt;A2731)*(Calc!$G$3:$G$22&lt;B2731))</f>
        <v/>
      </c>
      <c r="E2731">
        <f>SUMPRODUCT(Calc!$K$3:$K$22*(Calc!$G$3:$G$22&gt;=B2731))</f>
        <v/>
      </c>
      <c r="F2731">
        <f>AND(k_n&gt;=5,B2731&gt;A2731+1E-9,C2731&gt;=2,D2731&gt;=1,E2731&gt;=2)</f>
        <v/>
      </c>
      <c r="G2731">
        <f>SUMPRODUCT(Calc!$K$3:$K$22*(Calc!$G$3:$G$22&gt;A2731)*(Calc!$G$3:$G$22-A2731))</f>
        <v/>
      </c>
      <c r="H2731">
        <f>SUMPRODUCT(Calc!$K$3:$K$22*(Calc!$G$3:$G$22&gt;B2731)*(Calc!$G$3:$G$22-B2731))</f>
        <v/>
      </c>
      <c r="I2731">
        <f>SUMPRODUCT(Calc!$K$3:$K$22*(Calc!$G$3:$G$22&gt;A2731)*(Calc!$G$3:$G$22-A2731)^2)</f>
        <v/>
      </c>
      <c r="J2731">
        <f>SUMPRODUCT(Calc!$K$3:$K$22*(Calc!$G$3:$G$22&gt;B2731)*(Calc!$G$3:$G$22-B2731)^2)</f>
        <v/>
      </c>
      <c r="K2731">
        <f>SUMPRODUCT(Calc!$K$3:$K$22*(Calc!$G$3:$G$22&gt;A2731)*(Calc!$G$3:$G$22-A2731)*(Calc!$G$3:$G$22&gt;B2731)*(Calc!$G$3:$G$22-B2731))</f>
        <v/>
      </c>
      <c r="L2731">
        <f>SUMPRODUCT(Calc!$K$3:$K$22*(Calc!$G$3:$G$22&gt;A2731)*(Calc!$G$3:$G$22-A2731)*Calc!$G$3:$G$22)</f>
        <v/>
      </c>
      <c r="M2731">
        <f>SUMPRODUCT(Calc!$K$3:$K$22*(Calc!$G$3:$G$22&gt;B2731)*(Calc!$G$3:$G$22-B2731)*Calc!$G$3:$G$22)</f>
        <v/>
      </c>
      <c r="N2731">
        <f>SUMPRODUCT(Calc!$K$3:$K$22*(Calc!$G$3:$G$22&gt;A2731)*(Calc!$G$3:$G$22-A2731)*Calc!$I$3:$I$22)</f>
        <v/>
      </c>
      <c r="O2731">
        <f>SUMPRODUCT(Calc!$K$3:$K$22*(Calc!$G$3:$G$22&gt;B2731)*(Calc!$G$3:$G$22-B2731)*Calc!$I$3:$I$22)</f>
        <v/>
      </c>
      <c r="P2731">
        <f>I2731-G2731^2/k_n</f>
        <v/>
      </c>
      <c r="Q2731">
        <f>J2731-H2731^2/k_n</f>
        <v/>
      </c>
      <c r="R2731">
        <f>K2731-G2731*H2731/k_n</f>
        <v/>
      </c>
      <c r="S2731">
        <f>L2731-LTP3!$D$3*G2731/k_n</f>
        <v/>
      </c>
      <c r="T2731">
        <f>M2731-LTP3!$D$3*H2731/k_n</f>
        <v/>
      </c>
      <c r="U2731">
        <f>N2731-G2731*LTP3!$D$4/k_n</f>
        <v/>
      </c>
      <c r="V2731">
        <f>O2731-H2731*LTP3!$D$4/k_n</f>
        <v/>
      </c>
      <c r="W2731">
        <f>((LTP3!$D$5)*((P2731)*(Q2731)-(R2731)*(R2731))-(S2731)*((S2731)*(Q2731)-(R2731)*(T2731))+(T2731)*((S2731)*(R2731)-(P2731)*(T2731)))</f>
        <v/>
      </c>
      <c r="X2731">
        <f>IF(ABS(W2731)&gt;1E-12,((LTP3!$D$6)*((P2731)*(Q2731)-(R2731)*(R2731))-(S2731)*((U2731)*(Q2731)-(R2731)*(V2731))+(T2731)*((U2731)*(R2731)-(P2731)*(V2731)))/W2731,0)</f>
        <v/>
      </c>
      <c r="Y2731">
        <f>IF(ABS(W2731)&gt;1E-12,((LTP3!$D$5)*((U2731)*(Q2731)-(R2731)*(V2731))-(LTP3!$D$6)*((S2731)*(Q2731)-(R2731)*(T2731))+(T2731)*((S2731)*(V2731)-(U2731)*(T2731)))/W2731,0)</f>
        <v/>
      </c>
      <c r="Z2731">
        <f>IF(ABS(W2731)&gt;1E-12,((LTP3!$D$5)*((P2731)*(V2731)-(U2731)*(R2731))-(S2731)*((S2731)*(V2731)-(U2731)*(T2731))+(LTP3!$D$6)*((S2731)*(R2731)-(P2731)*(T2731)))/W2731,0)</f>
        <v/>
      </c>
      <c r="AA2731">
        <f>LTP3!$D$7-X2731*LTP3!$D$6-Y2731*U2731-Z2731*V2731</f>
        <v/>
      </c>
      <c r="AB2731">
        <f>IF(AND(F2731,ABS(W2731)&gt;1E-12,Y2731&gt;0,Z2731&gt;0),AA2731,1E+300)</f>
        <v/>
      </c>
    </row>
    <row r="2732">
      <c r="A2732">
        <f>$B$3+$B$5*44</f>
        <v/>
      </c>
      <c r="B2732">
        <f>$B$3+$B$5*36</f>
        <v/>
      </c>
      <c r="C2732">
        <f>SUMPRODUCT(Calc!$K$3:$K$22*(Calc!$G$3:$G$22&lt;=A2732))</f>
        <v/>
      </c>
      <c r="D2732">
        <f>SUMPRODUCT(Calc!$K$3:$K$22*(Calc!$G$3:$G$22&gt;A2732)*(Calc!$G$3:$G$22&lt;B2732))</f>
        <v/>
      </c>
      <c r="E2732">
        <f>SUMPRODUCT(Calc!$K$3:$K$22*(Calc!$G$3:$G$22&gt;=B2732))</f>
        <v/>
      </c>
      <c r="F2732">
        <f>AND(k_n&gt;=5,B2732&gt;A2732+1E-9,C2732&gt;=2,D2732&gt;=1,E2732&gt;=2)</f>
        <v/>
      </c>
      <c r="G2732">
        <f>SUMPRODUCT(Calc!$K$3:$K$22*(Calc!$G$3:$G$22&gt;A2732)*(Calc!$G$3:$G$22-A2732))</f>
        <v/>
      </c>
      <c r="H2732">
        <f>SUMPRODUCT(Calc!$K$3:$K$22*(Calc!$G$3:$G$22&gt;B2732)*(Calc!$G$3:$G$22-B2732))</f>
        <v/>
      </c>
      <c r="I2732">
        <f>SUMPRODUCT(Calc!$K$3:$K$22*(Calc!$G$3:$G$22&gt;A2732)*(Calc!$G$3:$G$22-A2732)^2)</f>
        <v/>
      </c>
      <c r="J2732">
        <f>SUMPRODUCT(Calc!$K$3:$K$22*(Calc!$G$3:$G$22&gt;B2732)*(Calc!$G$3:$G$22-B2732)^2)</f>
        <v/>
      </c>
      <c r="K2732">
        <f>SUMPRODUCT(Calc!$K$3:$K$22*(Calc!$G$3:$G$22&gt;A2732)*(Calc!$G$3:$G$22-A2732)*(Calc!$G$3:$G$22&gt;B2732)*(Calc!$G$3:$G$22-B2732))</f>
        <v/>
      </c>
      <c r="L2732">
        <f>SUMPRODUCT(Calc!$K$3:$K$22*(Calc!$G$3:$G$22&gt;A2732)*(Calc!$G$3:$G$22-A2732)*Calc!$G$3:$G$22)</f>
        <v/>
      </c>
      <c r="M2732">
        <f>SUMPRODUCT(Calc!$K$3:$K$22*(Calc!$G$3:$G$22&gt;B2732)*(Calc!$G$3:$G$22-B2732)*Calc!$G$3:$G$22)</f>
        <v/>
      </c>
      <c r="N2732">
        <f>SUMPRODUCT(Calc!$K$3:$K$22*(Calc!$G$3:$G$22&gt;A2732)*(Calc!$G$3:$G$22-A2732)*Calc!$I$3:$I$22)</f>
        <v/>
      </c>
      <c r="O2732">
        <f>SUMPRODUCT(Calc!$K$3:$K$22*(Calc!$G$3:$G$22&gt;B2732)*(Calc!$G$3:$G$22-B2732)*Calc!$I$3:$I$22)</f>
        <v/>
      </c>
      <c r="P2732">
        <f>I2732-G2732^2/k_n</f>
        <v/>
      </c>
      <c r="Q2732">
        <f>J2732-H2732^2/k_n</f>
        <v/>
      </c>
      <c r="R2732">
        <f>K2732-G2732*H2732/k_n</f>
        <v/>
      </c>
      <c r="S2732">
        <f>L2732-LTP3!$D$3*G2732/k_n</f>
        <v/>
      </c>
      <c r="T2732">
        <f>M2732-LTP3!$D$3*H2732/k_n</f>
        <v/>
      </c>
      <c r="U2732">
        <f>N2732-G2732*LTP3!$D$4/k_n</f>
        <v/>
      </c>
      <c r="V2732">
        <f>O2732-H2732*LTP3!$D$4/k_n</f>
        <v/>
      </c>
      <c r="W2732">
        <f>((LTP3!$D$5)*((P2732)*(Q2732)-(R2732)*(R2732))-(S2732)*((S2732)*(Q2732)-(R2732)*(T2732))+(T2732)*((S2732)*(R2732)-(P2732)*(T2732)))</f>
        <v/>
      </c>
      <c r="X2732">
        <f>IF(ABS(W2732)&gt;1E-12,((LTP3!$D$6)*((P2732)*(Q2732)-(R2732)*(R2732))-(S2732)*((U2732)*(Q2732)-(R2732)*(V2732))+(T2732)*((U2732)*(R2732)-(P2732)*(V2732)))/W2732,0)</f>
        <v/>
      </c>
      <c r="Y2732">
        <f>IF(ABS(W2732)&gt;1E-12,((LTP3!$D$5)*((U2732)*(Q2732)-(R2732)*(V2732))-(LTP3!$D$6)*((S2732)*(Q2732)-(R2732)*(T2732))+(T2732)*((S2732)*(V2732)-(U2732)*(T2732)))/W2732,0)</f>
        <v/>
      </c>
      <c r="Z2732">
        <f>IF(ABS(W2732)&gt;1E-12,((LTP3!$D$5)*((P2732)*(V2732)-(U2732)*(R2732))-(S2732)*((S2732)*(V2732)-(U2732)*(T2732))+(LTP3!$D$6)*((S2732)*(R2732)-(P2732)*(T2732)))/W2732,0)</f>
        <v/>
      </c>
      <c r="AA2732">
        <f>LTP3!$D$7-X2732*LTP3!$D$6-Y2732*U2732-Z2732*V2732</f>
        <v/>
      </c>
      <c r="AB2732">
        <f>IF(AND(F2732,ABS(W2732)&gt;1E-12,Y2732&gt;0,Z2732&gt;0),AA2732,1E+300)</f>
        <v/>
      </c>
    </row>
    <row r="2733">
      <c r="A2733">
        <f>$B$3+$B$5*44</f>
        <v/>
      </c>
      <c r="B2733">
        <f>$B$3+$B$5*37</f>
        <v/>
      </c>
      <c r="C2733">
        <f>SUMPRODUCT(Calc!$K$3:$K$22*(Calc!$G$3:$G$22&lt;=A2733))</f>
        <v/>
      </c>
      <c r="D2733">
        <f>SUMPRODUCT(Calc!$K$3:$K$22*(Calc!$G$3:$G$22&gt;A2733)*(Calc!$G$3:$G$22&lt;B2733))</f>
        <v/>
      </c>
      <c r="E2733">
        <f>SUMPRODUCT(Calc!$K$3:$K$22*(Calc!$G$3:$G$22&gt;=B2733))</f>
        <v/>
      </c>
      <c r="F2733">
        <f>AND(k_n&gt;=5,B2733&gt;A2733+1E-9,C2733&gt;=2,D2733&gt;=1,E2733&gt;=2)</f>
        <v/>
      </c>
      <c r="G2733">
        <f>SUMPRODUCT(Calc!$K$3:$K$22*(Calc!$G$3:$G$22&gt;A2733)*(Calc!$G$3:$G$22-A2733))</f>
        <v/>
      </c>
      <c r="H2733">
        <f>SUMPRODUCT(Calc!$K$3:$K$22*(Calc!$G$3:$G$22&gt;B2733)*(Calc!$G$3:$G$22-B2733))</f>
        <v/>
      </c>
      <c r="I2733">
        <f>SUMPRODUCT(Calc!$K$3:$K$22*(Calc!$G$3:$G$22&gt;A2733)*(Calc!$G$3:$G$22-A2733)^2)</f>
        <v/>
      </c>
      <c r="J2733">
        <f>SUMPRODUCT(Calc!$K$3:$K$22*(Calc!$G$3:$G$22&gt;B2733)*(Calc!$G$3:$G$22-B2733)^2)</f>
        <v/>
      </c>
      <c r="K2733">
        <f>SUMPRODUCT(Calc!$K$3:$K$22*(Calc!$G$3:$G$22&gt;A2733)*(Calc!$G$3:$G$22-A2733)*(Calc!$G$3:$G$22&gt;B2733)*(Calc!$G$3:$G$22-B2733))</f>
        <v/>
      </c>
      <c r="L2733">
        <f>SUMPRODUCT(Calc!$K$3:$K$22*(Calc!$G$3:$G$22&gt;A2733)*(Calc!$G$3:$G$22-A2733)*Calc!$G$3:$G$22)</f>
        <v/>
      </c>
      <c r="M2733">
        <f>SUMPRODUCT(Calc!$K$3:$K$22*(Calc!$G$3:$G$22&gt;B2733)*(Calc!$G$3:$G$22-B2733)*Calc!$G$3:$G$22)</f>
        <v/>
      </c>
      <c r="N2733">
        <f>SUMPRODUCT(Calc!$K$3:$K$22*(Calc!$G$3:$G$22&gt;A2733)*(Calc!$G$3:$G$22-A2733)*Calc!$I$3:$I$22)</f>
        <v/>
      </c>
      <c r="O2733">
        <f>SUMPRODUCT(Calc!$K$3:$K$22*(Calc!$G$3:$G$22&gt;B2733)*(Calc!$G$3:$G$22-B2733)*Calc!$I$3:$I$22)</f>
        <v/>
      </c>
      <c r="P2733">
        <f>I2733-G2733^2/k_n</f>
        <v/>
      </c>
      <c r="Q2733">
        <f>J2733-H2733^2/k_n</f>
        <v/>
      </c>
      <c r="R2733">
        <f>K2733-G2733*H2733/k_n</f>
        <v/>
      </c>
      <c r="S2733">
        <f>L2733-LTP3!$D$3*G2733/k_n</f>
        <v/>
      </c>
      <c r="T2733">
        <f>M2733-LTP3!$D$3*H2733/k_n</f>
        <v/>
      </c>
      <c r="U2733">
        <f>N2733-G2733*LTP3!$D$4/k_n</f>
        <v/>
      </c>
      <c r="V2733">
        <f>O2733-H2733*LTP3!$D$4/k_n</f>
        <v/>
      </c>
      <c r="W2733">
        <f>((LTP3!$D$5)*((P2733)*(Q2733)-(R2733)*(R2733))-(S2733)*((S2733)*(Q2733)-(R2733)*(T2733))+(T2733)*((S2733)*(R2733)-(P2733)*(T2733)))</f>
        <v/>
      </c>
      <c r="X2733">
        <f>IF(ABS(W2733)&gt;1E-12,((LTP3!$D$6)*((P2733)*(Q2733)-(R2733)*(R2733))-(S2733)*((U2733)*(Q2733)-(R2733)*(V2733))+(T2733)*((U2733)*(R2733)-(P2733)*(V2733)))/W2733,0)</f>
        <v/>
      </c>
      <c r="Y2733">
        <f>IF(ABS(W2733)&gt;1E-12,((LTP3!$D$5)*((U2733)*(Q2733)-(R2733)*(V2733))-(LTP3!$D$6)*((S2733)*(Q2733)-(R2733)*(T2733))+(T2733)*((S2733)*(V2733)-(U2733)*(T2733)))/W2733,0)</f>
        <v/>
      </c>
      <c r="Z2733">
        <f>IF(ABS(W2733)&gt;1E-12,((LTP3!$D$5)*((P2733)*(V2733)-(U2733)*(R2733))-(S2733)*((S2733)*(V2733)-(U2733)*(T2733))+(LTP3!$D$6)*((S2733)*(R2733)-(P2733)*(T2733)))/W2733,0)</f>
        <v/>
      </c>
      <c r="AA2733">
        <f>LTP3!$D$7-X2733*LTP3!$D$6-Y2733*U2733-Z2733*V2733</f>
        <v/>
      </c>
      <c r="AB2733">
        <f>IF(AND(F2733,ABS(W2733)&gt;1E-12,Y2733&gt;0,Z2733&gt;0),AA2733,1E+300)</f>
        <v/>
      </c>
    </row>
    <row r="2734">
      <c r="A2734">
        <f>$B$3+$B$5*44</f>
        <v/>
      </c>
      <c r="B2734">
        <f>$B$3+$B$5*38</f>
        <v/>
      </c>
      <c r="C2734">
        <f>SUMPRODUCT(Calc!$K$3:$K$22*(Calc!$G$3:$G$22&lt;=A2734))</f>
        <v/>
      </c>
      <c r="D2734">
        <f>SUMPRODUCT(Calc!$K$3:$K$22*(Calc!$G$3:$G$22&gt;A2734)*(Calc!$G$3:$G$22&lt;B2734))</f>
        <v/>
      </c>
      <c r="E2734">
        <f>SUMPRODUCT(Calc!$K$3:$K$22*(Calc!$G$3:$G$22&gt;=B2734))</f>
        <v/>
      </c>
      <c r="F2734">
        <f>AND(k_n&gt;=5,B2734&gt;A2734+1E-9,C2734&gt;=2,D2734&gt;=1,E2734&gt;=2)</f>
        <v/>
      </c>
      <c r="G2734">
        <f>SUMPRODUCT(Calc!$K$3:$K$22*(Calc!$G$3:$G$22&gt;A2734)*(Calc!$G$3:$G$22-A2734))</f>
        <v/>
      </c>
      <c r="H2734">
        <f>SUMPRODUCT(Calc!$K$3:$K$22*(Calc!$G$3:$G$22&gt;B2734)*(Calc!$G$3:$G$22-B2734))</f>
        <v/>
      </c>
      <c r="I2734">
        <f>SUMPRODUCT(Calc!$K$3:$K$22*(Calc!$G$3:$G$22&gt;A2734)*(Calc!$G$3:$G$22-A2734)^2)</f>
        <v/>
      </c>
      <c r="J2734">
        <f>SUMPRODUCT(Calc!$K$3:$K$22*(Calc!$G$3:$G$22&gt;B2734)*(Calc!$G$3:$G$22-B2734)^2)</f>
        <v/>
      </c>
      <c r="K2734">
        <f>SUMPRODUCT(Calc!$K$3:$K$22*(Calc!$G$3:$G$22&gt;A2734)*(Calc!$G$3:$G$22-A2734)*(Calc!$G$3:$G$22&gt;B2734)*(Calc!$G$3:$G$22-B2734))</f>
        <v/>
      </c>
      <c r="L2734">
        <f>SUMPRODUCT(Calc!$K$3:$K$22*(Calc!$G$3:$G$22&gt;A2734)*(Calc!$G$3:$G$22-A2734)*Calc!$G$3:$G$22)</f>
        <v/>
      </c>
      <c r="M2734">
        <f>SUMPRODUCT(Calc!$K$3:$K$22*(Calc!$G$3:$G$22&gt;B2734)*(Calc!$G$3:$G$22-B2734)*Calc!$G$3:$G$22)</f>
        <v/>
      </c>
      <c r="N2734">
        <f>SUMPRODUCT(Calc!$K$3:$K$22*(Calc!$G$3:$G$22&gt;A2734)*(Calc!$G$3:$G$22-A2734)*Calc!$I$3:$I$22)</f>
        <v/>
      </c>
      <c r="O2734">
        <f>SUMPRODUCT(Calc!$K$3:$K$22*(Calc!$G$3:$G$22&gt;B2734)*(Calc!$G$3:$G$22-B2734)*Calc!$I$3:$I$22)</f>
        <v/>
      </c>
      <c r="P2734">
        <f>I2734-G2734^2/k_n</f>
        <v/>
      </c>
      <c r="Q2734">
        <f>J2734-H2734^2/k_n</f>
        <v/>
      </c>
      <c r="R2734">
        <f>K2734-G2734*H2734/k_n</f>
        <v/>
      </c>
      <c r="S2734">
        <f>L2734-LTP3!$D$3*G2734/k_n</f>
        <v/>
      </c>
      <c r="T2734">
        <f>M2734-LTP3!$D$3*H2734/k_n</f>
        <v/>
      </c>
      <c r="U2734">
        <f>N2734-G2734*LTP3!$D$4/k_n</f>
        <v/>
      </c>
      <c r="V2734">
        <f>O2734-H2734*LTP3!$D$4/k_n</f>
        <v/>
      </c>
      <c r="W2734">
        <f>((LTP3!$D$5)*((P2734)*(Q2734)-(R2734)*(R2734))-(S2734)*((S2734)*(Q2734)-(R2734)*(T2734))+(T2734)*((S2734)*(R2734)-(P2734)*(T2734)))</f>
        <v/>
      </c>
      <c r="X2734">
        <f>IF(ABS(W2734)&gt;1E-12,((LTP3!$D$6)*((P2734)*(Q2734)-(R2734)*(R2734))-(S2734)*((U2734)*(Q2734)-(R2734)*(V2734))+(T2734)*((U2734)*(R2734)-(P2734)*(V2734)))/W2734,0)</f>
        <v/>
      </c>
      <c r="Y2734">
        <f>IF(ABS(W2734)&gt;1E-12,((LTP3!$D$5)*((U2734)*(Q2734)-(R2734)*(V2734))-(LTP3!$D$6)*((S2734)*(Q2734)-(R2734)*(T2734))+(T2734)*((S2734)*(V2734)-(U2734)*(T2734)))/W2734,0)</f>
        <v/>
      </c>
      <c r="Z2734">
        <f>IF(ABS(W2734)&gt;1E-12,((LTP3!$D$5)*((P2734)*(V2734)-(U2734)*(R2734))-(S2734)*((S2734)*(V2734)-(U2734)*(T2734))+(LTP3!$D$6)*((S2734)*(R2734)-(P2734)*(T2734)))/W2734,0)</f>
        <v/>
      </c>
      <c r="AA2734">
        <f>LTP3!$D$7-X2734*LTP3!$D$6-Y2734*U2734-Z2734*V2734</f>
        <v/>
      </c>
      <c r="AB2734">
        <f>IF(AND(F2734,ABS(W2734)&gt;1E-12,Y2734&gt;0,Z2734&gt;0),AA2734,1E+300)</f>
        <v/>
      </c>
    </row>
    <row r="2735">
      <c r="A2735">
        <f>$B$3+$B$5*44</f>
        <v/>
      </c>
      <c r="B2735">
        <f>$B$3+$B$5*39</f>
        <v/>
      </c>
      <c r="C2735">
        <f>SUMPRODUCT(Calc!$K$3:$K$22*(Calc!$G$3:$G$22&lt;=A2735))</f>
        <v/>
      </c>
      <c r="D2735">
        <f>SUMPRODUCT(Calc!$K$3:$K$22*(Calc!$G$3:$G$22&gt;A2735)*(Calc!$G$3:$G$22&lt;B2735))</f>
        <v/>
      </c>
      <c r="E2735">
        <f>SUMPRODUCT(Calc!$K$3:$K$22*(Calc!$G$3:$G$22&gt;=B2735))</f>
        <v/>
      </c>
      <c r="F2735">
        <f>AND(k_n&gt;=5,B2735&gt;A2735+1E-9,C2735&gt;=2,D2735&gt;=1,E2735&gt;=2)</f>
        <v/>
      </c>
      <c r="G2735">
        <f>SUMPRODUCT(Calc!$K$3:$K$22*(Calc!$G$3:$G$22&gt;A2735)*(Calc!$G$3:$G$22-A2735))</f>
        <v/>
      </c>
      <c r="H2735">
        <f>SUMPRODUCT(Calc!$K$3:$K$22*(Calc!$G$3:$G$22&gt;B2735)*(Calc!$G$3:$G$22-B2735))</f>
        <v/>
      </c>
      <c r="I2735">
        <f>SUMPRODUCT(Calc!$K$3:$K$22*(Calc!$G$3:$G$22&gt;A2735)*(Calc!$G$3:$G$22-A2735)^2)</f>
        <v/>
      </c>
      <c r="J2735">
        <f>SUMPRODUCT(Calc!$K$3:$K$22*(Calc!$G$3:$G$22&gt;B2735)*(Calc!$G$3:$G$22-B2735)^2)</f>
        <v/>
      </c>
      <c r="K2735">
        <f>SUMPRODUCT(Calc!$K$3:$K$22*(Calc!$G$3:$G$22&gt;A2735)*(Calc!$G$3:$G$22-A2735)*(Calc!$G$3:$G$22&gt;B2735)*(Calc!$G$3:$G$22-B2735))</f>
        <v/>
      </c>
      <c r="L2735">
        <f>SUMPRODUCT(Calc!$K$3:$K$22*(Calc!$G$3:$G$22&gt;A2735)*(Calc!$G$3:$G$22-A2735)*Calc!$G$3:$G$22)</f>
        <v/>
      </c>
      <c r="M2735">
        <f>SUMPRODUCT(Calc!$K$3:$K$22*(Calc!$G$3:$G$22&gt;B2735)*(Calc!$G$3:$G$22-B2735)*Calc!$G$3:$G$22)</f>
        <v/>
      </c>
      <c r="N2735">
        <f>SUMPRODUCT(Calc!$K$3:$K$22*(Calc!$G$3:$G$22&gt;A2735)*(Calc!$G$3:$G$22-A2735)*Calc!$I$3:$I$22)</f>
        <v/>
      </c>
      <c r="O2735">
        <f>SUMPRODUCT(Calc!$K$3:$K$22*(Calc!$G$3:$G$22&gt;B2735)*(Calc!$G$3:$G$22-B2735)*Calc!$I$3:$I$22)</f>
        <v/>
      </c>
      <c r="P2735">
        <f>I2735-G2735^2/k_n</f>
        <v/>
      </c>
      <c r="Q2735">
        <f>J2735-H2735^2/k_n</f>
        <v/>
      </c>
      <c r="R2735">
        <f>K2735-G2735*H2735/k_n</f>
        <v/>
      </c>
      <c r="S2735">
        <f>L2735-LTP3!$D$3*G2735/k_n</f>
        <v/>
      </c>
      <c r="T2735">
        <f>M2735-LTP3!$D$3*H2735/k_n</f>
        <v/>
      </c>
      <c r="U2735">
        <f>N2735-G2735*LTP3!$D$4/k_n</f>
        <v/>
      </c>
      <c r="V2735">
        <f>O2735-H2735*LTP3!$D$4/k_n</f>
        <v/>
      </c>
      <c r="W2735">
        <f>((LTP3!$D$5)*((P2735)*(Q2735)-(R2735)*(R2735))-(S2735)*((S2735)*(Q2735)-(R2735)*(T2735))+(T2735)*((S2735)*(R2735)-(P2735)*(T2735)))</f>
        <v/>
      </c>
      <c r="X2735">
        <f>IF(ABS(W2735)&gt;1E-12,((LTP3!$D$6)*((P2735)*(Q2735)-(R2735)*(R2735))-(S2735)*((U2735)*(Q2735)-(R2735)*(V2735))+(T2735)*((U2735)*(R2735)-(P2735)*(V2735)))/W2735,0)</f>
        <v/>
      </c>
      <c r="Y2735">
        <f>IF(ABS(W2735)&gt;1E-12,((LTP3!$D$5)*((U2735)*(Q2735)-(R2735)*(V2735))-(LTP3!$D$6)*((S2735)*(Q2735)-(R2735)*(T2735))+(T2735)*((S2735)*(V2735)-(U2735)*(T2735)))/W2735,0)</f>
        <v/>
      </c>
      <c r="Z2735">
        <f>IF(ABS(W2735)&gt;1E-12,((LTP3!$D$5)*((P2735)*(V2735)-(U2735)*(R2735))-(S2735)*((S2735)*(V2735)-(U2735)*(T2735))+(LTP3!$D$6)*((S2735)*(R2735)-(P2735)*(T2735)))/W2735,0)</f>
        <v/>
      </c>
      <c r="AA2735">
        <f>LTP3!$D$7-X2735*LTP3!$D$6-Y2735*U2735-Z2735*V2735</f>
        <v/>
      </c>
      <c r="AB2735">
        <f>IF(AND(F2735,ABS(W2735)&gt;1E-12,Y2735&gt;0,Z2735&gt;0),AA2735,1E+300)</f>
        <v/>
      </c>
    </row>
    <row r="2736">
      <c r="A2736">
        <f>$B$3+$B$5*44</f>
        <v/>
      </c>
      <c r="B2736">
        <f>$B$3+$B$5*40</f>
        <v/>
      </c>
      <c r="C2736">
        <f>SUMPRODUCT(Calc!$K$3:$K$22*(Calc!$G$3:$G$22&lt;=A2736))</f>
        <v/>
      </c>
      <c r="D2736">
        <f>SUMPRODUCT(Calc!$K$3:$K$22*(Calc!$G$3:$G$22&gt;A2736)*(Calc!$G$3:$G$22&lt;B2736))</f>
        <v/>
      </c>
      <c r="E2736">
        <f>SUMPRODUCT(Calc!$K$3:$K$22*(Calc!$G$3:$G$22&gt;=B2736))</f>
        <v/>
      </c>
      <c r="F2736">
        <f>AND(k_n&gt;=5,B2736&gt;A2736+1E-9,C2736&gt;=2,D2736&gt;=1,E2736&gt;=2)</f>
        <v/>
      </c>
      <c r="G2736">
        <f>SUMPRODUCT(Calc!$K$3:$K$22*(Calc!$G$3:$G$22&gt;A2736)*(Calc!$G$3:$G$22-A2736))</f>
        <v/>
      </c>
      <c r="H2736">
        <f>SUMPRODUCT(Calc!$K$3:$K$22*(Calc!$G$3:$G$22&gt;B2736)*(Calc!$G$3:$G$22-B2736))</f>
        <v/>
      </c>
      <c r="I2736">
        <f>SUMPRODUCT(Calc!$K$3:$K$22*(Calc!$G$3:$G$22&gt;A2736)*(Calc!$G$3:$G$22-A2736)^2)</f>
        <v/>
      </c>
      <c r="J2736">
        <f>SUMPRODUCT(Calc!$K$3:$K$22*(Calc!$G$3:$G$22&gt;B2736)*(Calc!$G$3:$G$22-B2736)^2)</f>
        <v/>
      </c>
      <c r="K2736">
        <f>SUMPRODUCT(Calc!$K$3:$K$22*(Calc!$G$3:$G$22&gt;A2736)*(Calc!$G$3:$G$22-A2736)*(Calc!$G$3:$G$22&gt;B2736)*(Calc!$G$3:$G$22-B2736))</f>
        <v/>
      </c>
      <c r="L2736">
        <f>SUMPRODUCT(Calc!$K$3:$K$22*(Calc!$G$3:$G$22&gt;A2736)*(Calc!$G$3:$G$22-A2736)*Calc!$G$3:$G$22)</f>
        <v/>
      </c>
      <c r="M2736">
        <f>SUMPRODUCT(Calc!$K$3:$K$22*(Calc!$G$3:$G$22&gt;B2736)*(Calc!$G$3:$G$22-B2736)*Calc!$G$3:$G$22)</f>
        <v/>
      </c>
      <c r="N2736">
        <f>SUMPRODUCT(Calc!$K$3:$K$22*(Calc!$G$3:$G$22&gt;A2736)*(Calc!$G$3:$G$22-A2736)*Calc!$I$3:$I$22)</f>
        <v/>
      </c>
      <c r="O2736">
        <f>SUMPRODUCT(Calc!$K$3:$K$22*(Calc!$G$3:$G$22&gt;B2736)*(Calc!$G$3:$G$22-B2736)*Calc!$I$3:$I$22)</f>
        <v/>
      </c>
      <c r="P2736">
        <f>I2736-G2736^2/k_n</f>
        <v/>
      </c>
      <c r="Q2736">
        <f>J2736-H2736^2/k_n</f>
        <v/>
      </c>
      <c r="R2736">
        <f>K2736-G2736*H2736/k_n</f>
        <v/>
      </c>
      <c r="S2736">
        <f>L2736-LTP3!$D$3*G2736/k_n</f>
        <v/>
      </c>
      <c r="T2736">
        <f>M2736-LTP3!$D$3*H2736/k_n</f>
        <v/>
      </c>
      <c r="U2736">
        <f>N2736-G2736*LTP3!$D$4/k_n</f>
        <v/>
      </c>
      <c r="V2736">
        <f>O2736-H2736*LTP3!$D$4/k_n</f>
        <v/>
      </c>
      <c r="W2736">
        <f>((LTP3!$D$5)*((P2736)*(Q2736)-(R2736)*(R2736))-(S2736)*((S2736)*(Q2736)-(R2736)*(T2736))+(T2736)*((S2736)*(R2736)-(P2736)*(T2736)))</f>
        <v/>
      </c>
      <c r="X2736">
        <f>IF(ABS(W2736)&gt;1E-12,((LTP3!$D$6)*((P2736)*(Q2736)-(R2736)*(R2736))-(S2736)*((U2736)*(Q2736)-(R2736)*(V2736))+(T2736)*((U2736)*(R2736)-(P2736)*(V2736)))/W2736,0)</f>
        <v/>
      </c>
      <c r="Y2736">
        <f>IF(ABS(W2736)&gt;1E-12,((LTP3!$D$5)*((U2736)*(Q2736)-(R2736)*(V2736))-(LTP3!$D$6)*((S2736)*(Q2736)-(R2736)*(T2736))+(T2736)*((S2736)*(V2736)-(U2736)*(T2736)))/W2736,0)</f>
        <v/>
      </c>
      <c r="Z2736">
        <f>IF(ABS(W2736)&gt;1E-12,((LTP3!$D$5)*((P2736)*(V2736)-(U2736)*(R2736))-(S2736)*((S2736)*(V2736)-(U2736)*(T2736))+(LTP3!$D$6)*((S2736)*(R2736)-(P2736)*(T2736)))/W2736,0)</f>
        <v/>
      </c>
      <c r="AA2736">
        <f>LTP3!$D$7-X2736*LTP3!$D$6-Y2736*U2736-Z2736*V2736</f>
        <v/>
      </c>
      <c r="AB2736">
        <f>IF(AND(F2736,ABS(W2736)&gt;1E-12,Y2736&gt;0,Z2736&gt;0),AA2736,1E+300)</f>
        <v/>
      </c>
    </row>
    <row r="2737">
      <c r="A2737">
        <f>$B$3+$B$5*44</f>
        <v/>
      </c>
      <c r="B2737">
        <f>$B$3+$B$5*41</f>
        <v/>
      </c>
      <c r="C2737">
        <f>SUMPRODUCT(Calc!$K$3:$K$22*(Calc!$G$3:$G$22&lt;=A2737))</f>
        <v/>
      </c>
      <c r="D2737">
        <f>SUMPRODUCT(Calc!$K$3:$K$22*(Calc!$G$3:$G$22&gt;A2737)*(Calc!$G$3:$G$22&lt;B2737))</f>
        <v/>
      </c>
      <c r="E2737">
        <f>SUMPRODUCT(Calc!$K$3:$K$22*(Calc!$G$3:$G$22&gt;=B2737))</f>
        <v/>
      </c>
      <c r="F2737">
        <f>AND(k_n&gt;=5,B2737&gt;A2737+1E-9,C2737&gt;=2,D2737&gt;=1,E2737&gt;=2)</f>
        <v/>
      </c>
      <c r="G2737">
        <f>SUMPRODUCT(Calc!$K$3:$K$22*(Calc!$G$3:$G$22&gt;A2737)*(Calc!$G$3:$G$22-A2737))</f>
        <v/>
      </c>
      <c r="H2737">
        <f>SUMPRODUCT(Calc!$K$3:$K$22*(Calc!$G$3:$G$22&gt;B2737)*(Calc!$G$3:$G$22-B2737))</f>
        <v/>
      </c>
      <c r="I2737">
        <f>SUMPRODUCT(Calc!$K$3:$K$22*(Calc!$G$3:$G$22&gt;A2737)*(Calc!$G$3:$G$22-A2737)^2)</f>
        <v/>
      </c>
      <c r="J2737">
        <f>SUMPRODUCT(Calc!$K$3:$K$22*(Calc!$G$3:$G$22&gt;B2737)*(Calc!$G$3:$G$22-B2737)^2)</f>
        <v/>
      </c>
      <c r="K2737">
        <f>SUMPRODUCT(Calc!$K$3:$K$22*(Calc!$G$3:$G$22&gt;A2737)*(Calc!$G$3:$G$22-A2737)*(Calc!$G$3:$G$22&gt;B2737)*(Calc!$G$3:$G$22-B2737))</f>
        <v/>
      </c>
      <c r="L2737">
        <f>SUMPRODUCT(Calc!$K$3:$K$22*(Calc!$G$3:$G$22&gt;A2737)*(Calc!$G$3:$G$22-A2737)*Calc!$G$3:$G$22)</f>
        <v/>
      </c>
      <c r="M2737">
        <f>SUMPRODUCT(Calc!$K$3:$K$22*(Calc!$G$3:$G$22&gt;B2737)*(Calc!$G$3:$G$22-B2737)*Calc!$G$3:$G$22)</f>
        <v/>
      </c>
      <c r="N2737">
        <f>SUMPRODUCT(Calc!$K$3:$K$22*(Calc!$G$3:$G$22&gt;A2737)*(Calc!$G$3:$G$22-A2737)*Calc!$I$3:$I$22)</f>
        <v/>
      </c>
      <c r="O2737">
        <f>SUMPRODUCT(Calc!$K$3:$K$22*(Calc!$G$3:$G$22&gt;B2737)*(Calc!$G$3:$G$22-B2737)*Calc!$I$3:$I$22)</f>
        <v/>
      </c>
      <c r="P2737">
        <f>I2737-G2737^2/k_n</f>
        <v/>
      </c>
      <c r="Q2737">
        <f>J2737-H2737^2/k_n</f>
        <v/>
      </c>
      <c r="R2737">
        <f>K2737-G2737*H2737/k_n</f>
        <v/>
      </c>
      <c r="S2737">
        <f>L2737-LTP3!$D$3*G2737/k_n</f>
        <v/>
      </c>
      <c r="T2737">
        <f>M2737-LTP3!$D$3*H2737/k_n</f>
        <v/>
      </c>
      <c r="U2737">
        <f>N2737-G2737*LTP3!$D$4/k_n</f>
        <v/>
      </c>
      <c r="V2737">
        <f>O2737-H2737*LTP3!$D$4/k_n</f>
        <v/>
      </c>
      <c r="W2737">
        <f>((LTP3!$D$5)*((P2737)*(Q2737)-(R2737)*(R2737))-(S2737)*((S2737)*(Q2737)-(R2737)*(T2737))+(T2737)*((S2737)*(R2737)-(P2737)*(T2737)))</f>
        <v/>
      </c>
      <c r="X2737">
        <f>IF(ABS(W2737)&gt;1E-12,((LTP3!$D$6)*((P2737)*(Q2737)-(R2737)*(R2737))-(S2737)*((U2737)*(Q2737)-(R2737)*(V2737))+(T2737)*((U2737)*(R2737)-(P2737)*(V2737)))/W2737,0)</f>
        <v/>
      </c>
      <c r="Y2737">
        <f>IF(ABS(W2737)&gt;1E-12,((LTP3!$D$5)*((U2737)*(Q2737)-(R2737)*(V2737))-(LTP3!$D$6)*((S2737)*(Q2737)-(R2737)*(T2737))+(T2737)*((S2737)*(V2737)-(U2737)*(T2737)))/W2737,0)</f>
        <v/>
      </c>
      <c r="Z2737">
        <f>IF(ABS(W2737)&gt;1E-12,((LTP3!$D$5)*((P2737)*(V2737)-(U2737)*(R2737))-(S2737)*((S2737)*(V2737)-(U2737)*(T2737))+(LTP3!$D$6)*((S2737)*(R2737)-(P2737)*(T2737)))/W2737,0)</f>
        <v/>
      </c>
      <c r="AA2737">
        <f>LTP3!$D$7-X2737*LTP3!$D$6-Y2737*U2737-Z2737*V2737</f>
        <v/>
      </c>
      <c r="AB2737">
        <f>IF(AND(F2737,ABS(W2737)&gt;1E-12,Y2737&gt;0,Z2737&gt;0),AA2737,1E+300)</f>
        <v/>
      </c>
    </row>
    <row r="2738">
      <c r="A2738">
        <f>$B$3+$B$5*44</f>
        <v/>
      </c>
      <c r="B2738">
        <f>$B$3+$B$5*42</f>
        <v/>
      </c>
      <c r="C2738">
        <f>SUMPRODUCT(Calc!$K$3:$K$22*(Calc!$G$3:$G$22&lt;=A2738))</f>
        <v/>
      </c>
      <c r="D2738">
        <f>SUMPRODUCT(Calc!$K$3:$K$22*(Calc!$G$3:$G$22&gt;A2738)*(Calc!$G$3:$G$22&lt;B2738))</f>
        <v/>
      </c>
      <c r="E2738">
        <f>SUMPRODUCT(Calc!$K$3:$K$22*(Calc!$G$3:$G$22&gt;=B2738))</f>
        <v/>
      </c>
      <c r="F2738">
        <f>AND(k_n&gt;=5,B2738&gt;A2738+1E-9,C2738&gt;=2,D2738&gt;=1,E2738&gt;=2)</f>
        <v/>
      </c>
      <c r="G2738">
        <f>SUMPRODUCT(Calc!$K$3:$K$22*(Calc!$G$3:$G$22&gt;A2738)*(Calc!$G$3:$G$22-A2738))</f>
        <v/>
      </c>
      <c r="H2738">
        <f>SUMPRODUCT(Calc!$K$3:$K$22*(Calc!$G$3:$G$22&gt;B2738)*(Calc!$G$3:$G$22-B2738))</f>
        <v/>
      </c>
      <c r="I2738">
        <f>SUMPRODUCT(Calc!$K$3:$K$22*(Calc!$G$3:$G$22&gt;A2738)*(Calc!$G$3:$G$22-A2738)^2)</f>
        <v/>
      </c>
      <c r="J2738">
        <f>SUMPRODUCT(Calc!$K$3:$K$22*(Calc!$G$3:$G$22&gt;B2738)*(Calc!$G$3:$G$22-B2738)^2)</f>
        <v/>
      </c>
      <c r="K2738">
        <f>SUMPRODUCT(Calc!$K$3:$K$22*(Calc!$G$3:$G$22&gt;A2738)*(Calc!$G$3:$G$22-A2738)*(Calc!$G$3:$G$22&gt;B2738)*(Calc!$G$3:$G$22-B2738))</f>
        <v/>
      </c>
      <c r="L2738">
        <f>SUMPRODUCT(Calc!$K$3:$K$22*(Calc!$G$3:$G$22&gt;A2738)*(Calc!$G$3:$G$22-A2738)*Calc!$G$3:$G$22)</f>
        <v/>
      </c>
      <c r="M2738">
        <f>SUMPRODUCT(Calc!$K$3:$K$22*(Calc!$G$3:$G$22&gt;B2738)*(Calc!$G$3:$G$22-B2738)*Calc!$G$3:$G$22)</f>
        <v/>
      </c>
      <c r="N2738">
        <f>SUMPRODUCT(Calc!$K$3:$K$22*(Calc!$G$3:$G$22&gt;A2738)*(Calc!$G$3:$G$22-A2738)*Calc!$I$3:$I$22)</f>
        <v/>
      </c>
      <c r="O2738">
        <f>SUMPRODUCT(Calc!$K$3:$K$22*(Calc!$G$3:$G$22&gt;B2738)*(Calc!$G$3:$G$22-B2738)*Calc!$I$3:$I$22)</f>
        <v/>
      </c>
      <c r="P2738">
        <f>I2738-G2738^2/k_n</f>
        <v/>
      </c>
      <c r="Q2738">
        <f>J2738-H2738^2/k_n</f>
        <v/>
      </c>
      <c r="R2738">
        <f>K2738-G2738*H2738/k_n</f>
        <v/>
      </c>
      <c r="S2738">
        <f>L2738-LTP3!$D$3*G2738/k_n</f>
        <v/>
      </c>
      <c r="T2738">
        <f>M2738-LTP3!$D$3*H2738/k_n</f>
        <v/>
      </c>
      <c r="U2738">
        <f>N2738-G2738*LTP3!$D$4/k_n</f>
        <v/>
      </c>
      <c r="V2738">
        <f>O2738-H2738*LTP3!$D$4/k_n</f>
        <v/>
      </c>
      <c r="W2738">
        <f>((LTP3!$D$5)*((P2738)*(Q2738)-(R2738)*(R2738))-(S2738)*((S2738)*(Q2738)-(R2738)*(T2738))+(T2738)*((S2738)*(R2738)-(P2738)*(T2738)))</f>
        <v/>
      </c>
      <c r="X2738">
        <f>IF(ABS(W2738)&gt;1E-12,((LTP3!$D$6)*((P2738)*(Q2738)-(R2738)*(R2738))-(S2738)*((U2738)*(Q2738)-(R2738)*(V2738))+(T2738)*((U2738)*(R2738)-(P2738)*(V2738)))/W2738,0)</f>
        <v/>
      </c>
      <c r="Y2738">
        <f>IF(ABS(W2738)&gt;1E-12,((LTP3!$D$5)*((U2738)*(Q2738)-(R2738)*(V2738))-(LTP3!$D$6)*((S2738)*(Q2738)-(R2738)*(T2738))+(T2738)*((S2738)*(V2738)-(U2738)*(T2738)))/W2738,0)</f>
        <v/>
      </c>
      <c r="Z2738">
        <f>IF(ABS(W2738)&gt;1E-12,((LTP3!$D$5)*((P2738)*(V2738)-(U2738)*(R2738))-(S2738)*((S2738)*(V2738)-(U2738)*(T2738))+(LTP3!$D$6)*((S2738)*(R2738)-(P2738)*(T2738)))/W2738,0)</f>
        <v/>
      </c>
      <c r="AA2738">
        <f>LTP3!$D$7-X2738*LTP3!$D$6-Y2738*U2738-Z2738*V2738</f>
        <v/>
      </c>
      <c r="AB2738">
        <f>IF(AND(F2738,ABS(W2738)&gt;1E-12,Y2738&gt;0,Z2738&gt;0),AA2738,1E+300)</f>
        <v/>
      </c>
    </row>
    <row r="2739">
      <c r="A2739">
        <f>$B$3+$B$5*44</f>
        <v/>
      </c>
      <c r="B2739">
        <f>$B$3+$B$5*43</f>
        <v/>
      </c>
      <c r="C2739">
        <f>SUMPRODUCT(Calc!$K$3:$K$22*(Calc!$G$3:$G$22&lt;=A2739))</f>
        <v/>
      </c>
      <c r="D2739">
        <f>SUMPRODUCT(Calc!$K$3:$K$22*(Calc!$G$3:$G$22&gt;A2739)*(Calc!$G$3:$G$22&lt;B2739))</f>
        <v/>
      </c>
      <c r="E2739">
        <f>SUMPRODUCT(Calc!$K$3:$K$22*(Calc!$G$3:$G$22&gt;=B2739))</f>
        <v/>
      </c>
      <c r="F2739">
        <f>AND(k_n&gt;=5,B2739&gt;A2739+1E-9,C2739&gt;=2,D2739&gt;=1,E2739&gt;=2)</f>
        <v/>
      </c>
      <c r="G2739">
        <f>SUMPRODUCT(Calc!$K$3:$K$22*(Calc!$G$3:$G$22&gt;A2739)*(Calc!$G$3:$G$22-A2739))</f>
        <v/>
      </c>
      <c r="H2739">
        <f>SUMPRODUCT(Calc!$K$3:$K$22*(Calc!$G$3:$G$22&gt;B2739)*(Calc!$G$3:$G$22-B2739))</f>
        <v/>
      </c>
      <c r="I2739">
        <f>SUMPRODUCT(Calc!$K$3:$K$22*(Calc!$G$3:$G$22&gt;A2739)*(Calc!$G$3:$G$22-A2739)^2)</f>
        <v/>
      </c>
      <c r="J2739">
        <f>SUMPRODUCT(Calc!$K$3:$K$22*(Calc!$G$3:$G$22&gt;B2739)*(Calc!$G$3:$G$22-B2739)^2)</f>
        <v/>
      </c>
      <c r="K2739">
        <f>SUMPRODUCT(Calc!$K$3:$K$22*(Calc!$G$3:$G$22&gt;A2739)*(Calc!$G$3:$G$22-A2739)*(Calc!$G$3:$G$22&gt;B2739)*(Calc!$G$3:$G$22-B2739))</f>
        <v/>
      </c>
      <c r="L2739">
        <f>SUMPRODUCT(Calc!$K$3:$K$22*(Calc!$G$3:$G$22&gt;A2739)*(Calc!$G$3:$G$22-A2739)*Calc!$G$3:$G$22)</f>
        <v/>
      </c>
      <c r="M2739">
        <f>SUMPRODUCT(Calc!$K$3:$K$22*(Calc!$G$3:$G$22&gt;B2739)*(Calc!$G$3:$G$22-B2739)*Calc!$G$3:$G$22)</f>
        <v/>
      </c>
      <c r="N2739">
        <f>SUMPRODUCT(Calc!$K$3:$K$22*(Calc!$G$3:$G$22&gt;A2739)*(Calc!$G$3:$G$22-A2739)*Calc!$I$3:$I$22)</f>
        <v/>
      </c>
      <c r="O2739">
        <f>SUMPRODUCT(Calc!$K$3:$K$22*(Calc!$G$3:$G$22&gt;B2739)*(Calc!$G$3:$G$22-B2739)*Calc!$I$3:$I$22)</f>
        <v/>
      </c>
      <c r="P2739">
        <f>I2739-G2739^2/k_n</f>
        <v/>
      </c>
      <c r="Q2739">
        <f>J2739-H2739^2/k_n</f>
        <v/>
      </c>
      <c r="R2739">
        <f>K2739-G2739*H2739/k_n</f>
        <v/>
      </c>
      <c r="S2739">
        <f>L2739-LTP3!$D$3*G2739/k_n</f>
        <v/>
      </c>
      <c r="T2739">
        <f>M2739-LTP3!$D$3*H2739/k_n</f>
        <v/>
      </c>
      <c r="U2739">
        <f>N2739-G2739*LTP3!$D$4/k_n</f>
        <v/>
      </c>
      <c r="V2739">
        <f>O2739-H2739*LTP3!$D$4/k_n</f>
        <v/>
      </c>
      <c r="W2739">
        <f>((LTP3!$D$5)*((P2739)*(Q2739)-(R2739)*(R2739))-(S2739)*((S2739)*(Q2739)-(R2739)*(T2739))+(T2739)*((S2739)*(R2739)-(P2739)*(T2739)))</f>
        <v/>
      </c>
      <c r="X2739">
        <f>IF(ABS(W2739)&gt;1E-12,((LTP3!$D$6)*((P2739)*(Q2739)-(R2739)*(R2739))-(S2739)*((U2739)*(Q2739)-(R2739)*(V2739))+(T2739)*((U2739)*(R2739)-(P2739)*(V2739)))/W2739,0)</f>
        <v/>
      </c>
      <c r="Y2739">
        <f>IF(ABS(W2739)&gt;1E-12,((LTP3!$D$5)*((U2739)*(Q2739)-(R2739)*(V2739))-(LTP3!$D$6)*((S2739)*(Q2739)-(R2739)*(T2739))+(T2739)*((S2739)*(V2739)-(U2739)*(T2739)))/W2739,0)</f>
        <v/>
      </c>
      <c r="Z2739">
        <f>IF(ABS(W2739)&gt;1E-12,((LTP3!$D$5)*((P2739)*(V2739)-(U2739)*(R2739))-(S2739)*((S2739)*(V2739)-(U2739)*(T2739))+(LTP3!$D$6)*((S2739)*(R2739)-(P2739)*(T2739)))/W2739,0)</f>
        <v/>
      </c>
      <c r="AA2739">
        <f>LTP3!$D$7-X2739*LTP3!$D$6-Y2739*U2739-Z2739*V2739</f>
        <v/>
      </c>
      <c r="AB2739">
        <f>IF(AND(F2739,ABS(W2739)&gt;1E-12,Y2739&gt;0,Z2739&gt;0),AA2739,1E+300)</f>
        <v/>
      </c>
    </row>
    <row r="2740">
      <c r="A2740">
        <f>$B$3+$B$5*44</f>
        <v/>
      </c>
      <c r="B2740">
        <f>$B$3+$B$5*44</f>
        <v/>
      </c>
      <c r="C2740">
        <f>SUMPRODUCT(Calc!$K$3:$K$22*(Calc!$G$3:$G$22&lt;=A2740))</f>
        <v/>
      </c>
      <c r="D2740">
        <f>SUMPRODUCT(Calc!$K$3:$K$22*(Calc!$G$3:$G$22&gt;A2740)*(Calc!$G$3:$G$22&lt;B2740))</f>
        <v/>
      </c>
      <c r="E2740">
        <f>SUMPRODUCT(Calc!$K$3:$K$22*(Calc!$G$3:$G$22&gt;=B2740))</f>
        <v/>
      </c>
      <c r="F2740">
        <f>AND(k_n&gt;=5,B2740&gt;A2740+1E-9,C2740&gt;=2,D2740&gt;=1,E2740&gt;=2)</f>
        <v/>
      </c>
      <c r="G2740">
        <f>SUMPRODUCT(Calc!$K$3:$K$22*(Calc!$G$3:$G$22&gt;A2740)*(Calc!$G$3:$G$22-A2740))</f>
        <v/>
      </c>
      <c r="H2740">
        <f>SUMPRODUCT(Calc!$K$3:$K$22*(Calc!$G$3:$G$22&gt;B2740)*(Calc!$G$3:$G$22-B2740))</f>
        <v/>
      </c>
      <c r="I2740">
        <f>SUMPRODUCT(Calc!$K$3:$K$22*(Calc!$G$3:$G$22&gt;A2740)*(Calc!$G$3:$G$22-A2740)^2)</f>
        <v/>
      </c>
      <c r="J2740">
        <f>SUMPRODUCT(Calc!$K$3:$K$22*(Calc!$G$3:$G$22&gt;B2740)*(Calc!$G$3:$G$22-B2740)^2)</f>
        <v/>
      </c>
      <c r="K2740">
        <f>SUMPRODUCT(Calc!$K$3:$K$22*(Calc!$G$3:$G$22&gt;A2740)*(Calc!$G$3:$G$22-A2740)*(Calc!$G$3:$G$22&gt;B2740)*(Calc!$G$3:$G$22-B2740))</f>
        <v/>
      </c>
      <c r="L2740">
        <f>SUMPRODUCT(Calc!$K$3:$K$22*(Calc!$G$3:$G$22&gt;A2740)*(Calc!$G$3:$G$22-A2740)*Calc!$G$3:$G$22)</f>
        <v/>
      </c>
      <c r="M2740">
        <f>SUMPRODUCT(Calc!$K$3:$K$22*(Calc!$G$3:$G$22&gt;B2740)*(Calc!$G$3:$G$22-B2740)*Calc!$G$3:$G$22)</f>
        <v/>
      </c>
      <c r="N2740">
        <f>SUMPRODUCT(Calc!$K$3:$K$22*(Calc!$G$3:$G$22&gt;A2740)*(Calc!$G$3:$G$22-A2740)*Calc!$I$3:$I$22)</f>
        <v/>
      </c>
      <c r="O2740">
        <f>SUMPRODUCT(Calc!$K$3:$K$22*(Calc!$G$3:$G$22&gt;B2740)*(Calc!$G$3:$G$22-B2740)*Calc!$I$3:$I$22)</f>
        <v/>
      </c>
      <c r="P2740">
        <f>I2740-G2740^2/k_n</f>
        <v/>
      </c>
      <c r="Q2740">
        <f>J2740-H2740^2/k_n</f>
        <v/>
      </c>
      <c r="R2740">
        <f>K2740-G2740*H2740/k_n</f>
        <v/>
      </c>
      <c r="S2740">
        <f>L2740-LTP3!$D$3*G2740/k_n</f>
        <v/>
      </c>
      <c r="T2740">
        <f>M2740-LTP3!$D$3*H2740/k_n</f>
        <v/>
      </c>
      <c r="U2740">
        <f>N2740-G2740*LTP3!$D$4/k_n</f>
        <v/>
      </c>
      <c r="V2740">
        <f>O2740-H2740*LTP3!$D$4/k_n</f>
        <v/>
      </c>
      <c r="W2740">
        <f>((LTP3!$D$5)*((P2740)*(Q2740)-(R2740)*(R2740))-(S2740)*((S2740)*(Q2740)-(R2740)*(T2740))+(T2740)*((S2740)*(R2740)-(P2740)*(T2740)))</f>
        <v/>
      </c>
      <c r="X2740">
        <f>IF(ABS(W2740)&gt;1E-12,((LTP3!$D$6)*((P2740)*(Q2740)-(R2740)*(R2740))-(S2740)*((U2740)*(Q2740)-(R2740)*(V2740))+(T2740)*((U2740)*(R2740)-(P2740)*(V2740)))/W2740,0)</f>
        <v/>
      </c>
      <c r="Y2740">
        <f>IF(ABS(W2740)&gt;1E-12,((LTP3!$D$5)*((U2740)*(Q2740)-(R2740)*(V2740))-(LTP3!$D$6)*((S2740)*(Q2740)-(R2740)*(T2740))+(T2740)*((S2740)*(V2740)-(U2740)*(T2740)))/W2740,0)</f>
        <v/>
      </c>
      <c r="Z2740">
        <f>IF(ABS(W2740)&gt;1E-12,((LTP3!$D$5)*((P2740)*(V2740)-(U2740)*(R2740))-(S2740)*((S2740)*(V2740)-(U2740)*(T2740))+(LTP3!$D$6)*((S2740)*(R2740)-(P2740)*(T2740)))/W2740,0)</f>
        <v/>
      </c>
      <c r="AA2740">
        <f>LTP3!$D$7-X2740*LTP3!$D$6-Y2740*U2740-Z2740*V2740</f>
        <v/>
      </c>
      <c r="AB2740">
        <f>IF(AND(F2740,ABS(W2740)&gt;1E-12,Y2740&gt;0,Z2740&gt;0),AA2740,1E+300)</f>
        <v/>
      </c>
    </row>
    <row r="2741">
      <c r="A2741">
        <f>$B$3+$B$5*44</f>
        <v/>
      </c>
      <c r="B2741">
        <f>$B$3+$B$5*45</f>
        <v/>
      </c>
      <c r="C2741">
        <f>SUMPRODUCT(Calc!$K$3:$K$22*(Calc!$G$3:$G$22&lt;=A2741))</f>
        <v/>
      </c>
      <c r="D2741">
        <f>SUMPRODUCT(Calc!$K$3:$K$22*(Calc!$G$3:$G$22&gt;A2741)*(Calc!$G$3:$G$22&lt;B2741))</f>
        <v/>
      </c>
      <c r="E2741">
        <f>SUMPRODUCT(Calc!$K$3:$K$22*(Calc!$G$3:$G$22&gt;=B2741))</f>
        <v/>
      </c>
      <c r="F2741">
        <f>AND(k_n&gt;=5,B2741&gt;A2741+1E-9,C2741&gt;=2,D2741&gt;=1,E2741&gt;=2)</f>
        <v/>
      </c>
      <c r="G2741">
        <f>SUMPRODUCT(Calc!$K$3:$K$22*(Calc!$G$3:$G$22&gt;A2741)*(Calc!$G$3:$G$22-A2741))</f>
        <v/>
      </c>
      <c r="H2741">
        <f>SUMPRODUCT(Calc!$K$3:$K$22*(Calc!$G$3:$G$22&gt;B2741)*(Calc!$G$3:$G$22-B2741))</f>
        <v/>
      </c>
      <c r="I2741">
        <f>SUMPRODUCT(Calc!$K$3:$K$22*(Calc!$G$3:$G$22&gt;A2741)*(Calc!$G$3:$G$22-A2741)^2)</f>
        <v/>
      </c>
      <c r="J2741">
        <f>SUMPRODUCT(Calc!$K$3:$K$22*(Calc!$G$3:$G$22&gt;B2741)*(Calc!$G$3:$G$22-B2741)^2)</f>
        <v/>
      </c>
      <c r="K2741">
        <f>SUMPRODUCT(Calc!$K$3:$K$22*(Calc!$G$3:$G$22&gt;A2741)*(Calc!$G$3:$G$22-A2741)*(Calc!$G$3:$G$22&gt;B2741)*(Calc!$G$3:$G$22-B2741))</f>
        <v/>
      </c>
      <c r="L2741">
        <f>SUMPRODUCT(Calc!$K$3:$K$22*(Calc!$G$3:$G$22&gt;A2741)*(Calc!$G$3:$G$22-A2741)*Calc!$G$3:$G$22)</f>
        <v/>
      </c>
      <c r="M2741">
        <f>SUMPRODUCT(Calc!$K$3:$K$22*(Calc!$G$3:$G$22&gt;B2741)*(Calc!$G$3:$G$22-B2741)*Calc!$G$3:$G$22)</f>
        <v/>
      </c>
      <c r="N2741">
        <f>SUMPRODUCT(Calc!$K$3:$K$22*(Calc!$G$3:$G$22&gt;A2741)*(Calc!$G$3:$G$22-A2741)*Calc!$I$3:$I$22)</f>
        <v/>
      </c>
      <c r="O2741">
        <f>SUMPRODUCT(Calc!$K$3:$K$22*(Calc!$G$3:$G$22&gt;B2741)*(Calc!$G$3:$G$22-B2741)*Calc!$I$3:$I$22)</f>
        <v/>
      </c>
      <c r="P2741">
        <f>I2741-G2741^2/k_n</f>
        <v/>
      </c>
      <c r="Q2741">
        <f>J2741-H2741^2/k_n</f>
        <v/>
      </c>
      <c r="R2741">
        <f>K2741-G2741*H2741/k_n</f>
        <v/>
      </c>
      <c r="S2741">
        <f>L2741-LTP3!$D$3*G2741/k_n</f>
        <v/>
      </c>
      <c r="T2741">
        <f>M2741-LTP3!$D$3*H2741/k_n</f>
        <v/>
      </c>
      <c r="U2741">
        <f>N2741-G2741*LTP3!$D$4/k_n</f>
        <v/>
      </c>
      <c r="V2741">
        <f>O2741-H2741*LTP3!$D$4/k_n</f>
        <v/>
      </c>
      <c r="W2741">
        <f>((LTP3!$D$5)*((P2741)*(Q2741)-(R2741)*(R2741))-(S2741)*((S2741)*(Q2741)-(R2741)*(T2741))+(T2741)*((S2741)*(R2741)-(P2741)*(T2741)))</f>
        <v/>
      </c>
      <c r="X2741">
        <f>IF(ABS(W2741)&gt;1E-12,((LTP3!$D$6)*((P2741)*(Q2741)-(R2741)*(R2741))-(S2741)*((U2741)*(Q2741)-(R2741)*(V2741))+(T2741)*((U2741)*(R2741)-(P2741)*(V2741)))/W2741,0)</f>
        <v/>
      </c>
      <c r="Y2741">
        <f>IF(ABS(W2741)&gt;1E-12,((LTP3!$D$5)*((U2741)*(Q2741)-(R2741)*(V2741))-(LTP3!$D$6)*((S2741)*(Q2741)-(R2741)*(T2741))+(T2741)*((S2741)*(V2741)-(U2741)*(T2741)))/W2741,0)</f>
        <v/>
      </c>
      <c r="Z2741">
        <f>IF(ABS(W2741)&gt;1E-12,((LTP3!$D$5)*((P2741)*(V2741)-(U2741)*(R2741))-(S2741)*((S2741)*(V2741)-(U2741)*(T2741))+(LTP3!$D$6)*((S2741)*(R2741)-(P2741)*(T2741)))/W2741,0)</f>
        <v/>
      </c>
      <c r="AA2741">
        <f>LTP3!$D$7-X2741*LTP3!$D$6-Y2741*U2741-Z2741*V2741</f>
        <v/>
      </c>
      <c r="AB2741">
        <f>IF(AND(F2741,ABS(W2741)&gt;1E-12,Y2741&gt;0,Z2741&gt;0),AA2741,1E+300)</f>
        <v/>
      </c>
    </row>
    <row r="2742">
      <c r="A2742">
        <f>$B$3+$B$5*44</f>
        <v/>
      </c>
      <c r="B2742">
        <f>$B$3+$B$5*46</f>
        <v/>
      </c>
      <c r="C2742">
        <f>SUMPRODUCT(Calc!$K$3:$K$22*(Calc!$G$3:$G$22&lt;=A2742))</f>
        <v/>
      </c>
      <c r="D2742">
        <f>SUMPRODUCT(Calc!$K$3:$K$22*(Calc!$G$3:$G$22&gt;A2742)*(Calc!$G$3:$G$22&lt;B2742))</f>
        <v/>
      </c>
      <c r="E2742">
        <f>SUMPRODUCT(Calc!$K$3:$K$22*(Calc!$G$3:$G$22&gt;=B2742))</f>
        <v/>
      </c>
      <c r="F2742">
        <f>AND(k_n&gt;=5,B2742&gt;A2742+1E-9,C2742&gt;=2,D2742&gt;=1,E2742&gt;=2)</f>
        <v/>
      </c>
      <c r="G2742">
        <f>SUMPRODUCT(Calc!$K$3:$K$22*(Calc!$G$3:$G$22&gt;A2742)*(Calc!$G$3:$G$22-A2742))</f>
        <v/>
      </c>
      <c r="H2742">
        <f>SUMPRODUCT(Calc!$K$3:$K$22*(Calc!$G$3:$G$22&gt;B2742)*(Calc!$G$3:$G$22-B2742))</f>
        <v/>
      </c>
      <c r="I2742">
        <f>SUMPRODUCT(Calc!$K$3:$K$22*(Calc!$G$3:$G$22&gt;A2742)*(Calc!$G$3:$G$22-A2742)^2)</f>
        <v/>
      </c>
      <c r="J2742">
        <f>SUMPRODUCT(Calc!$K$3:$K$22*(Calc!$G$3:$G$22&gt;B2742)*(Calc!$G$3:$G$22-B2742)^2)</f>
        <v/>
      </c>
      <c r="K2742">
        <f>SUMPRODUCT(Calc!$K$3:$K$22*(Calc!$G$3:$G$22&gt;A2742)*(Calc!$G$3:$G$22-A2742)*(Calc!$G$3:$G$22&gt;B2742)*(Calc!$G$3:$G$22-B2742))</f>
        <v/>
      </c>
      <c r="L2742">
        <f>SUMPRODUCT(Calc!$K$3:$K$22*(Calc!$G$3:$G$22&gt;A2742)*(Calc!$G$3:$G$22-A2742)*Calc!$G$3:$G$22)</f>
        <v/>
      </c>
      <c r="M2742">
        <f>SUMPRODUCT(Calc!$K$3:$K$22*(Calc!$G$3:$G$22&gt;B2742)*(Calc!$G$3:$G$22-B2742)*Calc!$G$3:$G$22)</f>
        <v/>
      </c>
      <c r="N2742">
        <f>SUMPRODUCT(Calc!$K$3:$K$22*(Calc!$G$3:$G$22&gt;A2742)*(Calc!$G$3:$G$22-A2742)*Calc!$I$3:$I$22)</f>
        <v/>
      </c>
      <c r="O2742">
        <f>SUMPRODUCT(Calc!$K$3:$K$22*(Calc!$G$3:$G$22&gt;B2742)*(Calc!$G$3:$G$22-B2742)*Calc!$I$3:$I$22)</f>
        <v/>
      </c>
      <c r="P2742">
        <f>I2742-G2742^2/k_n</f>
        <v/>
      </c>
      <c r="Q2742">
        <f>J2742-H2742^2/k_n</f>
        <v/>
      </c>
      <c r="R2742">
        <f>K2742-G2742*H2742/k_n</f>
        <v/>
      </c>
      <c r="S2742">
        <f>L2742-LTP3!$D$3*G2742/k_n</f>
        <v/>
      </c>
      <c r="T2742">
        <f>M2742-LTP3!$D$3*H2742/k_n</f>
        <v/>
      </c>
      <c r="U2742">
        <f>N2742-G2742*LTP3!$D$4/k_n</f>
        <v/>
      </c>
      <c r="V2742">
        <f>O2742-H2742*LTP3!$D$4/k_n</f>
        <v/>
      </c>
      <c r="W2742">
        <f>((LTP3!$D$5)*((P2742)*(Q2742)-(R2742)*(R2742))-(S2742)*((S2742)*(Q2742)-(R2742)*(T2742))+(T2742)*((S2742)*(R2742)-(P2742)*(T2742)))</f>
        <v/>
      </c>
      <c r="X2742">
        <f>IF(ABS(W2742)&gt;1E-12,((LTP3!$D$6)*((P2742)*(Q2742)-(R2742)*(R2742))-(S2742)*((U2742)*(Q2742)-(R2742)*(V2742))+(T2742)*((U2742)*(R2742)-(P2742)*(V2742)))/W2742,0)</f>
        <v/>
      </c>
      <c r="Y2742">
        <f>IF(ABS(W2742)&gt;1E-12,((LTP3!$D$5)*((U2742)*(Q2742)-(R2742)*(V2742))-(LTP3!$D$6)*((S2742)*(Q2742)-(R2742)*(T2742))+(T2742)*((S2742)*(V2742)-(U2742)*(T2742)))/W2742,0)</f>
        <v/>
      </c>
      <c r="Z2742">
        <f>IF(ABS(W2742)&gt;1E-12,((LTP3!$D$5)*((P2742)*(V2742)-(U2742)*(R2742))-(S2742)*((S2742)*(V2742)-(U2742)*(T2742))+(LTP3!$D$6)*((S2742)*(R2742)-(P2742)*(T2742)))/W2742,0)</f>
        <v/>
      </c>
      <c r="AA2742">
        <f>LTP3!$D$7-X2742*LTP3!$D$6-Y2742*U2742-Z2742*V2742</f>
        <v/>
      </c>
      <c r="AB2742">
        <f>IF(AND(F2742,ABS(W2742)&gt;1E-12,Y2742&gt;0,Z2742&gt;0),AA2742,1E+300)</f>
        <v/>
      </c>
    </row>
    <row r="2743">
      <c r="A2743">
        <f>$B$3+$B$5*44</f>
        <v/>
      </c>
      <c r="B2743">
        <f>$B$3+$B$5*47</f>
        <v/>
      </c>
      <c r="C2743">
        <f>SUMPRODUCT(Calc!$K$3:$K$22*(Calc!$G$3:$G$22&lt;=A2743))</f>
        <v/>
      </c>
      <c r="D2743">
        <f>SUMPRODUCT(Calc!$K$3:$K$22*(Calc!$G$3:$G$22&gt;A2743)*(Calc!$G$3:$G$22&lt;B2743))</f>
        <v/>
      </c>
      <c r="E2743">
        <f>SUMPRODUCT(Calc!$K$3:$K$22*(Calc!$G$3:$G$22&gt;=B2743))</f>
        <v/>
      </c>
      <c r="F2743">
        <f>AND(k_n&gt;=5,B2743&gt;A2743+1E-9,C2743&gt;=2,D2743&gt;=1,E2743&gt;=2)</f>
        <v/>
      </c>
      <c r="G2743">
        <f>SUMPRODUCT(Calc!$K$3:$K$22*(Calc!$G$3:$G$22&gt;A2743)*(Calc!$G$3:$G$22-A2743))</f>
        <v/>
      </c>
      <c r="H2743">
        <f>SUMPRODUCT(Calc!$K$3:$K$22*(Calc!$G$3:$G$22&gt;B2743)*(Calc!$G$3:$G$22-B2743))</f>
        <v/>
      </c>
      <c r="I2743">
        <f>SUMPRODUCT(Calc!$K$3:$K$22*(Calc!$G$3:$G$22&gt;A2743)*(Calc!$G$3:$G$22-A2743)^2)</f>
        <v/>
      </c>
      <c r="J2743">
        <f>SUMPRODUCT(Calc!$K$3:$K$22*(Calc!$G$3:$G$22&gt;B2743)*(Calc!$G$3:$G$22-B2743)^2)</f>
        <v/>
      </c>
      <c r="K2743">
        <f>SUMPRODUCT(Calc!$K$3:$K$22*(Calc!$G$3:$G$22&gt;A2743)*(Calc!$G$3:$G$22-A2743)*(Calc!$G$3:$G$22&gt;B2743)*(Calc!$G$3:$G$22-B2743))</f>
        <v/>
      </c>
      <c r="L2743">
        <f>SUMPRODUCT(Calc!$K$3:$K$22*(Calc!$G$3:$G$22&gt;A2743)*(Calc!$G$3:$G$22-A2743)*Calc!$G$3:$G$22)</f>
        <v/>
      </c>
      <c r="M2743">
        <f>SUMPRODUCT(Calc!$K$3:$K$22*(Calc!$G$3:$G$22&gt;B2743)*(Calc!$G$3:$G$22-B2743)*Calc!$G$3:$G$22)</f>
        <v/>
      </c>
      <c r="N2743">
        <f>SUMPRODUCT(Calc!$K$3:$K$22*(Calc!$G$3:$G$22&gt;A2743)*(Calc!$G$3:$G$22-A2743)*Calc!$I$3:$I$22)</f>
        <v/>
      </c>
      <c r="O2743">
        <f>SUMPRODUCT(Calc!$K$3:$K$22*(Calc!$G$3:$G$22&gt;B2743)*(Calc!$G$3:$G$22-B2743)*Calc!$I$3:$I$22)</f>
        <v/>
      </c>
      <c r="P2743">
        <f>I2743-G2743^2/k_n</f>
        <v/>
      </c>
      <c r="Q2743">
        <f>J2743-H2743^2/k_n</f>
        <v/>
      </c>
      <c r="R2743">
        <f>K2743-G2743*H2743/k_n</f>
        <v/>
      </c>
      <c r="S2743">
        <f>L2743-LTP3!$D$3*G2743/k_n</f>
        <v/>
      </c>
      <c r="T2743">
        <f>M2743-LTP3!$D$3*H2743/k_n</f>
        <v/>
      </c>
      <c r="U2743">
        <f>N2743-G2743*LTP3!$D$4/k_n</f>
        <v/>
      </c>
      <c r="V2743">
        <f>O2743-H2743*LTP3!$D$4/k_n</f>
        <v/>
      </c>
      <c r="W2743">
        <f>((LTP3!$D$5)*((P2743)*(Q2743)-(R2743)*(R2743))-(S2743)*((S2743)*(Q2743)-(R2743)*(T2743))+(T2743)*((S2743)*(R2743)-(P2743)*(T2743)))</f>
        <v/>
      </c>
      <c r="X2743">
        <f>IF(ABS(W2743)&gt;1E-12,((LTP3!$D$6)*((P2743)*(Q2743)-(R2743)*(R2743))-(S2743)*((U2743)*(Q2743)-(R2743)*(V2743))+(T2743)*((U2743)*(R2743)-(P2743)*(V2743)))/W2743,0)</f>
        <v/>
      </c>
      <c r="Y2743">
        <f>IF(ABS(W2743)&gt;1E-12,((LTP3!$D$5)*((U2743)*(Q2743)-(R2743)*(V2743))-(LTP3!$D$6)*((S2743)*(Q2743)-(R2743)*(T2743))+(T2743)*((S2743)*(V2743)-(U2743)*(T2743)))/W2743,0)</f>
        <v/>
      </c>
      <c r="Z2743">
        <f>IF(ABS(W2743)&gt;1E-12,((LTP3!$D$5)*((P2743)*(V2743)-(U2743)*(R2743))-(S2743)*((S2743)*(V2743)-(U2743)*(T2743))+(LTP3!$D$6)*((S2743)*(R2743)-(P2743)*(T2743)))/W2743,0)</f>
        <v/>
      </c>
      <c r="AA2743">
        <f>LTP3!$D$7-X2743*LTP3!$D$6-Y2743*U2743-Z2743*V2743</f>
        <v/>
      </c>
      <c r="AB2743">
        <f>IF(AND(F2743,ABS(W2743)&gt;1E-12,Y2743&gt;0,Z2743&gt;0),AA2743,1E+300)</f>
        <v/>
      </c>
    </row>
    <row r="2744">
      <c r="A2744">
        <f>$B$3+$B$5*44</f>
        <v/>
      </c>
      <c r="B2744">
        <f>$B$3+$B$5*48</f>
        <v/>
      </c>
      <c r="C2744">
        <f>SUMPRODUCT(Calc!$K$3:$K$22*(Calc!$G$3:$G$22&lt;=A2744))</f>
        <v/>
      </c>
      <c r="D2744">
        <f>SUMPRODUCT(Calc!$K$3:$K$22*(Calc!$G$3:$G$22&gt;A2744)*(Calc!$G$3:$G$22&lt;B2744))</f>
        <v/>
      </c>
      <c r="E2744">
        <f>SUMPRODUCT(Calc!$K$3:$K$22*(Calc!$G$3:$G$22&gt;=B2744))</f>
        <v/>
      </c>
      <c r="F2744">
        <f>AND(k_n&gt;=5,B2744&gt;A2744+1E-9,C2744&gt;=2,D2744&gt;=1,E2744&gt;=2)</f>
        <v/>
      </c>
      <c r="G2744">
        <f>SUMPRODUCT(Calc!$K$3:$K$22*(Calc!$G$3:$G$22&gt;A2744)*(Calc!$G$3:$G$22-A2744))</f>
        <v/>
      </c>
      <c r="H2744">
        <f>SUMPRODUCT(Calc!$K$3:$K$22*(Calc!$G$3:$G$22&gt;B2744)*(Calc!$G$3:$G$22-B2744))</f>
        <v/>
      </c>
      <c r="I2744">
        <f>SUMPRODUCT(Calc!$K$3:$K$22*(Calc!$G$3:$G$22&gt;A2744)*(Calc!$G$3:$G$22-A2744)^2)</f>
        <v/>
      </c>
      <c r="J2744">
        <f>SUMPRODUCT(Calc!$K$3:$K$22*(Calc!$G$3:$G$22&gt;B2744)*(Calc!$G$3:$G$22-B2744)^2)</f>
        <v/>
      </c>
      <c r="K2744">
        <f>SUMPRODUCT(Calc!$K$3:$K$22*(Calc!$G$3:$G$22&gt;A2744)*(Calc!$G$3:$G$22-A2744)*(Calc!$G$3:$G$22&gt;B2744)*(Calc!$G$3:$G$22-B2744))</f>
        <v/>
      </c>
      <c r="L2744">
        <f>SUMPRODUCT(Calc!$K$3:$K$22*(Calc!$G$3:$G$22&gt;A2744)*(Calc!$G$3:$G$22-A2744)*Calc!$G$3:$G$22)</f>
        <v/>
      </c>
      <c r="M2744">
        <f>SUMPRODUCT(Calc!$K$3:$K$22*(Calc!$G$3:$G$22&gt;B2744)*(Calc!$G$3:$G$22-B2744)*Calc!$G$3:$G$22)</f>
        <v/>
      </c>
      <c r="N2744">
        <f>SUMPRODUCT(Calc!$K$3:$K$22*(Calc!$G$3:$G$22&gt;A2744)*(Calc!$G$3:$G$22-A2744)*Calc!$I$3:$I$22)</f>
        <v/>
      </c>
      <c r="O2744">
        <f>SUMPRODUCT(Calc!$K$3:$K$22*(Calc!$G$3:$G$22&gt;B2744)*(Calc!$G$3:$G$22-B2744)*Calc!$I$3:$I$22)</f>
        <v/>
      </c>
      <c r="P2744">
        <f>I2744-G2744^2/k_n</f>
        <v/>
      </c>
      <c r="Q2744">
        <f>J2744-H2744^2/k_n</f>
        <v/>
      </c>
      <c r="R2744">
        <f>K2744-G2744*H2744/k_n</f>
        <v/>
      </c>
      <c r="S2744">
        <f>L2744-LTP3!$D$3*G2744/k_n</f>
        <v/>
      </c>
      <c r="T2744">
        <f>M2744-LTP3!$D$3*H2744/k_n</f>
        <v/>
      </c>
      <c r="U2744">
        <f>N2744-G2744*LTP3!$D$4/k_n</f>
        <v/>
      </c>
      <c r="V2744">
        <f>O2744-H2744*LTP3!$D$4/k_n</f>
        <v/>
      </c>
      <c r="W2744">
        <f>((LTP3!$D$5)*((P2744)*(Q2744)-(R2744)*(R2744))-(S2744)*((S2744)*(Q2744)-(R2744)*(T2744))+(T2744)*((S2744)*(R2744)-(P2744)*(T2744)))</f>
        <v/>
      </c>
      <c r="X2744">
        <f>IF(ABS(W2744)&gt;1E-12,((LTP3!$D$6)*((P2744)*(Q2744)-(R2744)*(R2744))-(S2744)*((U2744)*(Q2744)-(R2744)*(V2744))+(T2744)*((U2744)*(R2744)-(P2744)*(V2744)))/W2744,0)</f>
        <v/>
      </c>
      <c r="Y2744">
        <f>IF(ABS(W2744)&gt;1E-12,((LTP3!$D$5)*((U2744)*(Q2744)-(R2744)*(V2744))-(LTP3!$D$6)*((S2744)*(Q2744)-(R2744)*(T2744))+(T2744)*((S2744)*(V2744)-(U2744)*(T2744)))/W2744,0)</f>
        <v/>
      </c>
      <c r="Z2744">
        <f>IF(ABS(W2744)&gt;1E-12,((LTP3!$D$5)*((P2744)*(V2744)-(U2744)*(R2744))-(S2744)*((S2744)*(V2744)-(U2744)*(T2744))+(LTP3!$D$6)*((S2744)*(R2744)-(P2744)*(T2744)))/W2744,0)</f>
        <v/>
      </c>
      <c r="AA2744">
        <f>LTP3!$D$7-X2744*LTP3!$D$6-Y2744*U2744-Z2744*V2744</f>
        <v/>
      </c>
      <c r="AB2744">
        <f>IF(AND(F2744,ABS(W2744)&gt;1E-12,Y2744&gt;0,Z2744&gt;0),AA2744,1E+300)</f>
        <v/>
      </c>
    </row>
    <row r="2745">
      <c r="A2745">
        <f>$B$3+$B$5*44</f>
        <v/>
      </c>
      <c r="B2745">
        <f>$B$3+$B$5*49</f>
        <v/>
      </c>
      <c r="C2745">
        <f>SUMPRODUCT(Calc!$K$3:$K$22*(Calc!$G$3:$G$22&lt;=A2745))</f>
        <v/>
      </c>
      <c r="D2745">
        <f>SUMPRODUCT(Calc!$K$3:$K$22*(Calc!$G$3:$G$22&gt;A2745)*(Calc!$G$3:$G$22&lt;B2745))</f>
        <v/>
      </c>
      <c r="E2745">
        <f>SUMPRODUCT(Calc!$K$3:$K$22*(Calc!$G$3:$G$22&gt;=B2745))</f>
        <v/>
      </c>
      <c r="F2745">
        <f>AND(k_n&gt;=5,B2745&gt;A2745+1E-9,C2745&gt;=2,D2745&gt;=1,E2745&gt;=2)</f>
        <v/>
      </c>
      <c r="G2745">
        <f>SUMPRODUCT(Calc!$K$3:$K$22*(Calc!$G$3:$G$22&gt;A2745)*(Calc!$G$3:$G$22-A2745))</f>
        <v/>
      </c>
      <c r="H2745">
        <f>SUMPRODUCT(Calc!$K$3:$K$22*(Calc!$G$3:$G$22&gt;B2745)*(Calc!$G$3:$G$22-B2745))</f>
        <v/>
      </c>
      <c r="I2745">
        <f>SUMPRODUCT(Calc!$K$3:$K$22*(Calc!$G$3:$G$22&gt;A2745)*(Calc!$G$3:$G$22-A2745)^2)</f>
        <v/>
      </c>
      <c r="J2745">
        <f>SUMPRODUCT(Calc!$K$3:$K$22*(Calc!$G$3:$G$22&gt;B2745)*(Calc!$G$3:$G$22-B2745)^2)</f>
        <v/>
      </c>
      <c r="K2745">
        <f>SUMPRODUCT(Calc!$K$3:$K$22*(Calc!$G$3:$G$22&gt;A2745)*(Calc!$G$3:$G$22-A2745)*(Calc!$G$3:$G$22&gt;B2745)*(Calc!$G$3:$G$22-B2745))</f>
        <v/>
      </c>
      <c r="L2745">
        <f>SUMPRODUCT(Calc!$K$3:$K$22*(Calc!$G$3:$G$22&gt;A2745)*(Calc!$G$3:$G$22-A2745)*Calc!$G$3:$G$22)</f>
        <v/>
      </c>
      <c r="M2745">
        <f>SUMPRODUCT(Calc!$K$3:$K$22*(Calc!$G$3:$G$22&gt;B2745)*(Calc!$G$3:$G$22-B2745)*Calc!$G$3:$G$22)</f>
        <v/>
      </c>
      <c r="N2745">
        <f>SUMPRODUCT(Calc!$K$3:$K$22*(Calc!$G$3:$G$22&gt;A2745)*(Calc!$G$3:$G$22-A2745)*Calc!$I$3:$I$22)</f>
        <v/>
      </c>
      <c r="O2745">
        <f>SUMPRODUCT(Calc!$K$3:$K$22*(Calc!$G$3:$G$22&gt;B2745)*(Calc!$G$3:$G$22-B2745)*Calc!$I$3:$I$22)</f>
        <v/>
      </c>
      <c r="P2745">
        <f>I2745-G2745^2/k_n</f>
        <v/>
      </c>
      <c r="Q2745">
        <f>J2745-H2745^2/k_n</f>
        <v/>
      </c>
      <c r="R2745">
        <f>K2745-G2745*H2745/k_n</f>
        <v/>
      </c>
      <c r="S2745">
        <f>L2745-LTP3!$D$3*G2745/k_n</f>
        <v/>
      </c>
      <c r="T2745">
        <f>M2745-LTP3!$D$3*H2745/k_n</f>
        <v/>
      </c>
      <c r="U2745">
        <f>N2745-G2745*LTP3!$D$4/k_n</f>
        <v/>
      </c>
      <c r="V2745">
        <f>O2745-H2745*LTP3!$D$4/k_n</f>
        <v/>
      </c>
      <c r="W2745">
        <f>((LTP3!$D$5)*((P2745)*(Q2745)-(R2745)*(R2745))-(S2745)*((S2745)*(Q2745)-(R2745)*(T2745))+(T2745)*((S2745)*(R2745)-(P2745)*(T2745)))</f>
        <v/>
      </c>
      <c r="X2745">
        <f>IF(ABS(W2745)&gt;1E-12,((LTP3!$D$6)*((P2745)*(Q2745)-(R2745)*(R2745))-(S2745)*((U2745)*(Q2745)-(R2745)*(V2745))+(T2745)*((U2745)*(R2745)-(P2745)*(V2745)))/W2745,0)</f>
        <v/>
      </c>
      <c r="Y2745">
        <f>IF(ABS(W2745)&gt;1E-12,((LTP3!$D$5)*((U2745)*(Q2745)-(R2745)*(V2745))-(LTP3!$D$6)*((S2745)*(Q2745)-(R2745)*(T2745))+(T2745)*((S2745)*(V2745)-(U2745)*(T2745)))/W2745,0)</f>
        <v/>
      </c>
      <c r="Z2745">
        <f>IF(ABS(W2745)&gt;1E-12,((LTP3!$D$5)*((P2745)*(V2745)-(U2745)*(R2745))-(S2745)*((S2745)*(V2745)-(U2745)*(T2745))+(LTP3!$D$6)*((S2745)*(R2745)-(P2745)*(T2745)))/W2745,0)</f>
        <v/>
      </c>
      <c r="AA2745">
        <f>LTP3!$D$7-X2745*LTP3!$D$6-Y2745*U2745-Z2745*V2745</f>
        <v/>
      </c>
      <c r="AB2745">
        <f>IF(AND(F2745,ABS(W2745)&gt;1E-12,Y2745&gt;0,Z2745&gt;0),AA2745,1E+300)</f>
        <v/>
      </c>
    </row>
    <row r="2746">
      <c r="A2746">
        <f>$B$3+$B$5*44</f>
        <v/>
      </c>
      <c r="B2746">
        <f>$B$3+$B$5*50</f>
        <v/>
      </c>
      <c r="C2746">
        <f>SUMPRODUCT(Calc!$K$3:$K$22*(Calc!$G$3:$G$22&lt;=A2746))</f>
        <v/>
      </c>
      <c r="D2746">
        <f>SUMPRODUCT(Calc!$K$3:$K$22*(Calc!$G$3:$G$22&gt;A2746)*(Calc!$G$3:$G$22&lt;B2746))</f>
        <v/>
      </c>
      <c r="E2746">
        <f>SUMPRODUCT(Calc!$K$3:$K$22*(Calc!$G$3:$G$22&gt;=B2746))</f>
        <v/>
      </c>
      <c r="F2746">
        <f>AND(k_n&gt;=5,B2746&gt;A2746+1E-9,C2746&gt;=2,D2746&gt;=1,E2746&gt;=2)</f>
        <v/>
      </c>
      <c r="G2746">
        <f>SUMPRODUCT(Calc!$K$3:$K$22*(Calc!$G$3:$G$22&gt;A2746)*(Calc!$G$3:$G$22-A2746))</f>
        <v/>
      </c>
      <c r="H2746">
        <f>SUMPRODUCT(Calc!$K$3:$K$22*(Calc!$G$3:$G$22&gt;B2746)*(Calc!$G$3:$G$22-B2746))</f>
        <v/>
      </c>
      <c r="I2746">
        <f>SUMPRODUCT(Calc!$K$3:$K$22*(Calc!$G$3:$G$22&gt;A2746)*(Calc!$G$3:$G$22-A2746)^2)</f>
        <v/>
      </c>
      <c r="J2746">
        <f>SUMPRODUCT(Calc!$K$3:$K$22*(Calc!$G$3:$G$22&gt;B2746)*(Calc!$G$3:$G$22-B2746)^2)</f>
        <v/>
      </c>
      <c r="K2746">
        <f>SUMPRODUCT(Calc!$K$3:$K$22*(Calc!$G$3:$G$22&gt;A2746)*(Calc!$G$3:$G$22-A2746)*(Calc!$G$3:$G$22&gt;B2746)*(Calc!$G$3:$G$22-B2746))</f>
        <v/>
      </c>
      <c r="L2746">
        <f>SUMPRODUCT(Calc!$K$3:$K$22*(Calc!$G$3:$G$22&gt;A2746)*(Calc!$G$3:$G$22-A2746)*Calc!$G$3:$G$22)</f>
        <v/>
      </c>
      <c r="M2746">
        <f>SUMPRODUCT(Calc!$K$3:$K$22*(Calc!$G$3:$G$22&gt;B2746)*(Calc!$G$3:$G$22-B2746)*Calc!$G$3:$G$22)</f>
        <v/>
      </c>
      <c r="N2746">
        <f>SUMPRODUCT(Calc!$K$3:$K$22*(Calc!$G$3:$G$22&gt;A2746)*(Calc!$G$3:$G$22-A2746)*Calc!$I$3:$I$22)</f>
        <v/>
      </c>
      <c r="O2746">
        <f>SUMPRODUCT(Calc!$K$3:$K$22*(Calc!$G$3:$G$22&gt;B2746)*(Calc!$G$3:$G$22-B2746)*Calc!$I$3:$I$22)</f>
        <v/>
      </c>
      <c r="P2746">
        <f>I2746-G2746^2/k_n</f>
        <v/>
      </c>
      <c r="Q2746">
        <f>J2746-H2746^2/k_n</f>
        <v/>
      </c>
      <c r="R2746">
        <f>K2746-G2746*H2746/k_n</f>
        <v/>
      </c>
      <c r="S2746">
        <f>L2746-LTP3!$D$3*G2746/k_n</f>
        <v/>
      </c>
      <c r="T2746">
        <f>M2746-LTP3!$D$3*H2746/k_n</f>
        <v/>
      </c>
      <c r="U2746">
        <f>N2746-G2746*LTP3!$D$4/k_n</f>
        <v/>
      </c>
      <c r="V2746">
        <f>O2746-H2746*LTP3!$D$4/k_n</f>
        <v/>
      </c>
      <c r="W2746">
        <f>((LTP3!$D$5)*((P2746)*(Q2746)-(R2746)*(R2746))-(S2746)*((S2746)*(Q2746)-(R2746)*(T2746))+(T2746)*((S2746)*(R2746)-(P2746)*(T2746)))</f>
        <v/>
      </c>
      <c r="X2746">
        <f>IF(ABS(W2746)&gt;1E-12,((LTP3!$D$6)*((P2746)*(Q2746)-(R2746)*(R2746))-(S2746)*((U2746)*(Q2746)-(R2746)*(V2746))+(T2746)*((U2746)*(R2746)-(P2746)*(V2746)))/W2746,0)</f>
        <v/>
      </c>
      <c r="Y2746">
        <f>IF(ABS(W2746)&gt;1E-12,((LTP3!$D$5)*((U2746)*(Q2746)-(R2746)*(V2746))-(LTP3!$D$6)*((S2746)*(Q2746)-(R2746)*(T2746))+(T2746)*((S2746)*(V2746)-(U2746)*(T2746)))/W2746,0)</f>
        <v/>
      </c>
      <c r="Z2746">
        <f>IF(ABS(W2746)&gt;1E-12,((LTP3!$D$5)*((P2746)*(V2746)-(U2746)*(R2746))-(S2746)*((S2746)*(V2746)-(U2746)*(T2746))+(LTP3!$D$6)*((S2746)*(R2746)-(P2746)*(T2746)))/W2746,0)</f>
        <v/>
      </c>
      <c r="AA2746">
        <f>LTP3!$D$7-X2746*LTP3!$D$6-Y2746*U2746-Z2746*V2746</f>
        <v/>
      </c>
      <c r="AB2746">
        <f>IF(AND(F2746,ABS(W2746)&gt;1E-12,Y2746&gt;0,Z2746&gt;0),AA2746,1E+300)</f>
        <v/>
      </c>
    </row>
    <row r="2747">
      <c r="A2747">
        <f>$B$3+$B$5*44</f>
        <v/>
      </c>
      <c r="B2747">
        <f>$B$3+$B$5*51</f>
        <v/>
      </c>
      <c r="C2747">
        <f>SUMPRODUCT(Calc!$K$3:$K$22*(Calc!$G$3:$G$22&lt;=A2747))</f>
        <v/>
      </c>
      <c r="D2747">
        <f>SUMPRODUCT(Calc!$K$3:$K$22*(Calc!$G$3:$G$22&gt;A2747)*(Calc!$G$3:$G$22&lt;B2747))</f>
        <v/>
      </c>
      <c r="E2747">
        <f>SUMPRODUCT(Calc!$K$3:$K$22*(Calc!$G$3:$G$22&gt;=B2747))</f>
        <v/>
      </c>
      <c r="F2747">
        <f>AND(k_n&gt;=5,B2747&gt;A2747+1E-9,C2747&gt;=2,D2747&gt;=1,E2747&gt;=2)</f>
        <v/>
      </c>
      <c r="G2747">
        <f>SUMPRODUCT(Calc!$K$3:$K$22*(Calc!$G$3:$G$22&gt;A2747)*(Calc!$G$3:$G$22-A2747))</f>
        <v/>
      </c>
      <c r="H2747">
        <f>SUMPRODUCT(Calc!$K$3:$K$22*(Calc!$G$3:$G$22&gt;B2747)*(Calc!$G$3:$G$22-B2747))</f>
        <v/>
      </c>
      <c r="I2747">
        <f>SUMPRODUCT(Calc!$K$3:$K$22*(Calc!$G$3:$G$22&gt;A2747)*(Calc!$G$3:$G$22-A2747)^2)</f>
        <v/>
      </c>
      <c r="J2747">
        <f>SUMPRODUCT(Calc!$K$3:$K$22*(Calc!$G$3:$G$22&gt;B2747)*(Calc!$G$3:$G$22-B2747)^2)</f>
        <v/>
      </c>
      <c r="K2747">
        <f>SUMPRODUCT(Calc!$K$3:$K$22*(Calc!$G$3:$G$22&gt;A2747)*(Calc!$G$3:$G$22-A2747)*(Calc!$G$3:$G$22&gt;B2747)*(Calc!$G$3:$G$22-B2747))</f>
        <v/>
      </c>
      <c r="L2747">
        <f>SUMPRODUCT(Calc!$K$3:$K$22*(Calc!$G$3:$G$22&gt;A2747)*(Calc!$G$3:$G$22-A2747)*Calc!$G$3:$G$22)</f>
        <v/>
      </c>
      <c r="M2747">
        <f>SUMPRODUCT(Calc!$K$3:$K$22*(Calc!$G$3:$G$22&gt;B2747)*(Calc!$G$3:$G$22-B2747)*Calc!$G$3:$G$22)</f>
        <v/>
      </c>
      <c r="N2747">
        <f>SUMPRODUCT(Calc!$K$3:$K$22*(Calc!$G$3:$G$22&gt;A2747)*(Calc!$G$3:$G$22-A2747)*Calc!$I$3:$I$22)</f>
        <v/>
      </c>
      <c r="O2747">
        <f>SUMPRODUCT(Calc!$K$3:$K$22*(Calc!$G$3:$G$22&gt;B2747)*(Calc!$G$3:$G$22-B2747)*Calc!$I$3:$I$22)</f>
        <v/>
      </c>
      <c r="P2747">
        <f>I2747-G2747^2/k_n</f>
        <v/>
      </c>
      <c r="Q2747">
        <f>J2747-H2747^2/k_n</f>
        <v/>
      </c>
      <c r="R2747">
        <f>K2747-G2747*H2747/k_n</f>
        <v/>
      </c>
      <c r="S2747">
        <f>L2747-LTP3!$D$3*G2747/k_n</f>
        <v/>
      </c>
      <c r="T2747">
        <f>M2747-LTP3!$D$3*H2747/k_n</f>
        <v/>
      </c>
      <c r="U2747">
        <f>N2747-G2747*LTP3!$D$4/k_n</f>
        <v/>
      </c>
      <c r="V2747">
        <f>O2747-H2747*LTP3!$D$4/k_n</f>
        <v/>
      </c>
      <c r="W2747">
        <f>((LTP3!$D$5)*((P2747)*(Q2747)-(R2747)*(R2747))-(S2747)*((S2747)*(Q2747)-(R2747)*(T2747))+(T2747)*((S2747)*(R2747)-(P2747)*(T2747)))</f>
        <v/>
      </c>
      <c r="X2747">
        <f>IF(ABS(W2747)&gt;1E-12,((LTP3!$D$6)*((P2747)*(Q2747)-(R2747)*(R2747))-(S2747)*((U2747)*(Q2747)-(R2747)*(V2747))+(T2747)*((U2747)*(R2747)-(P2747)*(V2747)))/W2747,0)</f>
        <v/>
      </c>
      <c r="Y2747">
        <f>IF(ABS(W2747)&gt;1E-12,((LTP3!$D$5)*((U2747)*(Q2747)-(R2747)*(V2747))-(LTP3!$D$6)*((S2747)*(Q2747)-(R2747)*(T2747))+(T2747)*((S2747)*(V2747)-(U2747)*(T2747)))/W2747,0)</f>
        <v/>
      </c>
      <c r="Z2747">
        <f>IF(ABS(W2747)&gt;1E-12,((LTP3!$D$5)*((P2747)*(V2747)-(U2747)*(R2747))-(S2747)*((S2747)*(V2747)-(U2747)*(T2747))+(LTP3!$D$6)*((S2747)*(R2747)-(P2747)*(T2747)))/W2747,0)</f>
        <v/>
      </c>
      <c r="AA2747">
        <f>LTP3!$D$7-X2747*LTP3!$D$6-Y2747*U2747-Z2747*V2747</f>
        <v/>
      </c>
      <c r="AB2747">
        <f>IF(AND(F2747,ABS(W2747)&gt;1E-12,Y2747&gt;0,Z2747&gt;0),AA2747,1E+300)</f>
        <v/>
      </c>
    </row>
    <row r="2748">
      <c r="A2748">
        <f>$B$3+$B$5*44</f>
        <v/>
      </c>
      <c r="B2748">
        <f>$B$3+$B$5*52</f>
        <v/>
      </c>
      <c r="C2748">
        <f>SUMPRODUCT(Calc!$K$3:$K$22*(Calc!$G$3:$G$22&lt;=A2748))</f>
        <v/>
      </c>
      <c r="D2748">
        <f>SUMPRODUCT(Calc!$K$3:$K$22*(Calc!$G$3:$G$22&gt;A2748)*(Calc!$G$3:$G$22&lt;B2748))</f>
        <v/>
      </c>
      <c r="E2748">
        <f>SUMPRODUCT(Calc!$K$3:$K$22*(Calc!$G$3:$G$22&gt;=B2748))</f>
        <v/>
      </c>
      <c r="F2748">
        <f>AND(k_n&gt;=5,B2748&gt;A2748+1E-9,C2748&gt;=2,D2748&gt;=1,E2748&gt;=2)</f>
        <v/>
      </c>
      <c r="G2748">
        <f>SUMPRODUCT(Calc!$K$3:$K$22*(Calc!$G$3:$G$22&gt;A2748)*(Calc!$G$3:$G$22-A2748))</f>
        <v/>
      </c>
      <c r="H2748">
        <f>SUMPRODUCT(Calc!$K$3:$K$22*(Calc!$G$3:$G$22&gt;B2748)*(Calc!$G$3:$G$22-B2748))</f>
        <v/>
      </c>
      <c r="I2748">
        <f>SUMPRODUCT(Calc!$K$3:$K$22*(Calc!$G$3:$G$22&gt;A2748)*(Calc!$G$3:$G$22-A2748)^2)</f>
        <v/>
      </c>
      <c r="J2748">
        <f>SUMPRODUCT(Calc!$K$3:$K$22*(Calc!$G$3:$G$22&gt;B2748)*(Calc!$G$3:$G$22-B2748)^2)</f>
        <v/>
      </c>
      <c r="K2748">
        <f>SUMPRODUCT(Calc!$K$3:$K$22*(Calc!$G$3:$G$22&gt;A2748)*(Calc!$G$3:$G$22-A2748)*(Calc!$G$3:$G$22&gt;B2748)*(Calc!$G$3:$G$22-B2748))</f>
        <v/>
      </c>
      <c r="L2748">
        <f>SUMPRODUCT(Calc!$K$3:$K$22*(Calc!$G$3:$G$22&gt;A2748)*(Calc!$G$3:$G$22-A2748)*Calc!$G$3:$G$22)</f>
        <v/>
      </c>
      <c r="M2748">
        <f>SUMPRODUCT(Calc!$K$3:$K$22*(Calc!$G$3:$G$22&gt;B2748)*(Calc!$G$3:$G$22-B2748)*Calc!$G$3:$G$22)</f>
        <v/>
      </c>
      <c r="N2748">
        <f>SUMPRODUCT(Calc!$K$3:$K$22*(Calc!$G$3:$G$22&gt;A2748)*(Calc!$G$3:$G$22-A2748)*Calc!$I$3:$I$22)</f>
        <v/>
      </c>
      <c r="O2748">
        <f>SUMPRODUCT(Calc!$K$3:$K$22*(Calc!$G$3:$G$22&gt;B2748)*(Calc!$G$3:$G$22-B2748)*Calc!$I$3:$I$22)</f>
        <v/>
      </c>
      <c r="P2748">
        <f>I2748-G2748^2/k_n</f>
        <v/>
      </c>
      <c r="Q2748">
        <f>J2748-H2748^2/k_n</f>
        <v/>
      </c>
      <c r="R2748">
        <f>K2748-G2748*H2748/k_n</f>
        <v/>
      </c>
      <c r="S2748">
        <f>L2748-LTP3!$D$3*G2748/k_n</f>
        <v/>
      </c>
      <c r="T2748">
        <f>M2748-LTP3!$D$3*H2748/k_n</f>
        <v/>
      </c>
      <c r="U2748">
        <f>N2748-G2748*LTP3!$D$4/k_n</f>
        <v/>
      </c>
      <c r="V2748">
        <f>O2748-H2748*LTP3!$D$4/k_n</f>
        <v/>
      </c>
      <c r="W2748">
        <f>((LTP3!$D$5)*((P2748)*(Q2748)-(R2748)*(R2748))-(S2748)*((S2748)*(Q2748)-(R2748)*(T2748))+(T2748)*((S2748)*(R2748)-(P2748)*(T2748)))</f>
        <v/>
      </c>
      <c r="X2748">
        <f>IF(ABS(W2748)&gt;1E-12,((LTP3!$D$6)*((P2748)*(Q2748)-(R2748)*(R2748))-(S2748)*((U2748)*(Q2748)-(R2748)*(V2748))+(T2748)*((U2748)*(R2748)-(P2748)*(V2748)))/W2748,0)</f>
        <v/>
      </c>
      <c r="Y2748">
        <f>IF(ABS(W2748)&gt;1E-12,((LTP3!$D$5)*((U2748)*(Q2748)-(R2748)*(V2748))-(LTP3!$D$6)*((S2748)*(Q2748)-(R2748)*(T2748))+(T2748)*((S2748)*(V2748)-(U2748)*(T2748)))/W2748,0)</f>
        <v/>
      </c>
      <c r="Z2748">
        <f>IF(ABS(W2748)&gt;1E-12,((LTP3!$D$5)*((P2748)*(V2748)-(U2748)*(R2748))-(S2748)*((S2748)*(V2748)-(U2748)*(T2748))+(LTP3!$D$6)*((S2748)*(R2748)-(P2748)*(T2748)))/W2748,0)</f>
        <v/>
      </c>
      <c r="AA2748">
        <f>LTP3!$D$7-X2748*LTP3!$D$6-Y2748*U2748-Z2748*V2748</f>
        <v/>
      </c>
      <c r="AB2748">
        <f>IF(AND(F2748,ABS(W2748)&gt;1E-12,Y2748&gt;0,Z2748&gt;0),AA2748,1E+300)</f>
        <v/>
      </c>
    </row>
    <row r="2749">
      <c r="A2749">
        <f>$B$3+$B$5*44</f>
        <v/>
      </c>
      <c r="B2749">
        <f>$B$3+$B$5*53</f>
        <v/>
      </c>
      <c r="C2749">
        <f>SUMPRODUCT(Calc!$K$3:$K$22*(Calc!$G$3:$G$22&lt;=A2749))</f>
        <v/>
      </c>
      <c r="D2749">
        <f>SUMPRODUCT(Calc!$K$3:$K$22*(Calc!$G$3:$G$22&gt;A2749)*(Calc!$G$3:$G$22&lt;B2749))</f>
        <v/>
      </c>
      <c r="E2749">
        <f>SUMPRODUCT(Calc!$K$3:$K$22*(Calc!$G$3:$G$22&gt;=B2749))</f>
        <v/>
      </c>
      <c r="F2749">
        <f>AND(k_n&gt;=5,B2749&gt;A2749+1E-9,C2749&gt;=2,D2749&gt;=1,E2749&gt;=2)</f>
        <v/>
      </c>
      <c r="G2749">
        <f>SUMPRODUCT(Calc!$K$3:$K$22*(Calc!$G$3:$G$22&gt;A2749)*(Calc!$G$3:$G$22-A2749))</f>
        <v/>
      </c>
      <c r="H2749">
        <f>SUMPRODUCT(Calc!$K$3:$K$22*(Calc!$G$3:$G$22&gt;B2749)*(Calc!$G$3:$G$22-B2749))</f>
        <v/>
      </c>
      <c r="I2749">
        <f>SUMPRODUCT(Calc!$K$3:$K$22*(Calc!$G$3:$G$22&gt;A2749)*(Calc!$G$3:$G$22-A2749)^2)</f>
        <v/>
      </c>
      <c r="J2749">
        <f>SUMPRODUCT(Calc!$K$3:$K$22*(Calc!$G$3:$G$22&gt;B2749)*(Calc!$G$3:$G$22-B2749)^2)</f>
        <v/>
      </c>
      <c r="K2749">
        <f>SUMPRODUCT(Calc!$K$3:$K$22*(Calc!$G$3:$G$22&gt;A2749)*(Calc!$G$3:$G$22-A2749)*(Calc!$G$3:$G$22&gt;B2749)*(Calc!$G$3:$G$22-B2749))</f>
        <v/>
      </c>
      <c r="L2749">
        <f>SUMPRODUCT(Calc!$K$3:$K$22*(Calc!$G$3:$G$22&gt;A2749)*(Calc!$G$3:$G$22-A2749)*Calc!$G$3:$G$22)</f>
        <v/>
      </c>
      <c r="M2749">
        <f>SUMPRODUCT(Calc!$K$3:$K$22*(Calc!$G$3:$G$22&gt;B2749)*(Calc!$G$3:$G$22-B2749)*Calc!$G$3:$G$22)</f>
        <v/>
      </c>
      <c r="N2749">
        <f>SUMPRODUCT(Calc!$K$3:$K$22*(Calc!$G$3:$G$22&gt;A2749)*(Calc!$G$3:$G$22-A2749)*Calc!$I$3:$I$22)</f>
        <v/>
      </c>
      <c r="O2749">
        <f>SUMPRODUCT(Calc!$K$3:$K$22*(Calc!$G$3:$G$22&gt;B2749)*(Calc!$G$3:$G$22-B2749)*Calc!$I$3:$I$22)</f>
        <v/>
      </c>
      <c r="P2749">
        <f>I2749-G2749^2/k_n</f>
        <v/>
      </c>
      <c r="Q2749">
        <f>J2749-H2749^2/k_n</f>
        <v/>
      </c>
      <c r="R2749">
        <f>K2749-G2749*H2749/k_n</f>
        <v/>
      </c>
      <c r="S2749">
        <f>L2749-LTP3!$D$3*G2749/k_n</f>
        <v/>
      </c>
      <c r="T2749">
        <f>M2749-LTP3!$D$3*H2749/k_n</f>
        <v/>
      </c>
      <c r="U2749">
        <f>N2749-G2749*LTP3!$D$4/k_n</f>
        <v/>
      </c>
      <c r="V2749">
        <f>O2749-H2749*LTP3!$D$4/k_n</f>
        <v/>
      </c>
      <c r="W2749">
        <f>((LTP3!$D$5)*((P2749)*(Q2749)-(R2749)*(R2749))-(S2749)*((S2749)*(Q2749)-(R2749)*(T2749))+(T2749)*((S2749)*(R2749)-(P2749)*(T2749)))</f>
        <v/>
      </c>
      <c r="X2749">
        <f>IF(ABS(W2749)&gt;1E-12,((LTP3!$D$6)*((P2749)*(Q2749)-(R2749)*(R2749))-(S2749)*((U2749)*(Q2749)-(R2749)*(V2749))+(T2749)*((U2749)*(R2749)-(P2749)*(V2749)))/W2749,0)</f>
        <v/>
      </c>
      <c r="Y2749">
        <f>IF(ABS(W2749)&gt;1E-12,((LTP3!$D$5)*((U2749)*(Q2749)-(R2749)*(V2749))-(LTP3!$D$6)*((S2749)*(Q2749)-(R2749)*(T2749))+(T2749)*((S2749)*(V2749)-(U2749)*(T2749)))/W2749,0)</f>
        <v/>
      </c>
      <c r="Z2749">
        <f>IF(ABS(W2749)&gt;1E-12,((LTP3!$D$5)*((P2749)*(V2749)-(U2749)*(R2749))-(S2749)*((S2749)*(V2749)-(U2749)*(T2749))+(LTP3!$D$6)*((S2749)*(R2749)-(P2749)*(T2749)))/W2749,0)</f>
        <v/>
      </c>
      <c r="AA2749">
        <f>LTP3!$D$7-X2749*LTP3!$D$6-Y2749*U2749-Z2749*V2749</f>
        <v/>
      </c>
      <c r="AB2749">
        <f>IF(AND(F2749,ABS(W2749)&gt;1E-12,Y2749&gt;0,Z2749&gt;0),AA2749,1E+300)</f>
        <v/>
      </c>
    </row>
    <row r="2750">
      <c r="A2750">
        <f>$B$3+$B$5*44</f>
        <v/>
      </c>
      <c r="B2750">
        <f>$B$3+$B$5*54</f>
        <v/>
      </c>
      <c r="C2750">
        <f>SUMPRODUCT(Calc!$K$3:$K$22*(Calc!$G$3:$G$22&lt;=A2750))</f>
        <v/>
      </c>
      <c r="D2750">
        <f>SUMPRODUCT(Calc!$K$3:$K$22*(Calc!$G$3:$G$22&gt;A2750)*(Calc!$G$3:$G$22&lt;B2750))</f>
        <v/>
      </c>
      <c r="E2750">
        <f>SUMPRODUCT(Calc!$K$3:$K$22*(Calc!$G$3:$G$22&gt;=B2750))</f>
        <v/>
      </c>
      <c r="F2750">
        <f>AND(k_n&gt;=5,B2750&gt;A2750+1E-9,C2750&gt;=2,D2750&gt;=1,E2750&gt;=2)</f>
        <v/>
      </c>
      <c r="G2750">
        <f>SUMPRODUCT(Calc!$K$3:$K$22*(Calc!$G$3:$G$22&gt;A2750)*(Calc!$G$3:$G$22-A2750))</f>
        <v/>
      </c>
      <c r="H2750">
        <f>SUMPRODUCT(Calc!$K$3:$K$22*(Calc!$G$3:$G$22&gt;B2750)*(Calc!$G$3:$G$22-B2750))</f>
        <v/>
      </c>
      <c r="I2750">
        <f>SUMPRODUCT(Calc!$K$3:$K$22*(Calc!$G$3:$G$22&gt;A2750)*(Calc!$G$3:$G$22-A2750)^2)</f>
        <v/>
      </c>
      <c r="J2750">
        <f>SUMPRODUCT(Calc!$K$3:$K$22*(Calc!$G$3:$G$22&gt;B2750)*(Calc!$G$3:$G$22-B2750)^2)</f>
        <v/>
      </c>
      <c r="K2750">
        <f>SUMPRODUCT(Calc!$K$3:$K$22*(Calc!$G$3:$G$22&gt;A2750)*(Calc!$G$3:$G$22-A2750)*(Calc!$G$3:$G$22&gt;B2750)*(Calc!$G$3:$G$22-B2750))</f>
        <v/>
      </c>
      <c r="L2750">
        <f>SUMPRODUCT(Calc!$K$3:$K$22*(Calc!$G$3:$G$22&gt;A2750)*(Calc!$G$3:$G$22-A2750)*Calc!$G$3:$G$22)</f>
        <v/>
      </c>
      <c r="M2750">
        <f>SUMPRODUCT(Calc!$K$3:$K$22*(Calc!$G$3:$G$22&gt;B2750)*(Calc!$G$3:$G$22-B2750)*Calc!$G$3:$G$22)</f>
        <v/>
      </c>
      <c r="N2750">
        <f>SUMPRODUCT(Calc!$K$3:$K$22*(Calc!$G$3:$G$22&gt;A2750)*(Calc!$G$3:$G$22-A2750)*Calc!$I$3:$I$22)</f>
        <v/>
      </c>
      <c r="O2750">
        <f>SUMPRODUCT(Calc!$K$3:$K$22*(Calc!$G$3:$G$22&gt;B2750)*(Calc!$G$3:$G$22-B2750)*Calc!$I$3:$I$22)</f>
        <v/>
      </c>
      <c r="P2750">
        <f>I2750-G2750^2/k_n</f>
        <v/>
      </c>
      <c r="Q2750">
        <f>J2750-H2750^2/k_n</f>
        <v/>
      </c>
      <c r="R2750">
        <f>K2750-G2750*H2750/k_n</f>
        <v/>
      </c>
      <c r="S2750">
        <f>L2750-LTP3!$D$3*G2750/k_n</f>
        <v/>
      </c>
      <c r="T2750">
        <f>M2750-LTP3!$D$3*H2750/k_n</f>
        <v/>
      </c>
      <c r="U2750">
        <f>N2750-G2750*LTP3!$D$4/k_n</f>
        <v/>
      </c>
      <c r="V2750">
        <f>O2750-H2750*LTP3!$D$4/k_n</f>
        <v/>
      </c>
      <c r="W2750">
        <f>((LTP3!$D$5)*((P2750)*(Q2750)-(R2750)*(R2750))-(S2750)*((S2750)*(Q2750)-(R2750)*(T2750))+(T2750)*((S2750)*(R2750)-(P2750)*(T2750)))</f>
        <v/>
      </c>
      <c r="X2750">
        <f>IF(ABS(W2750)&gt;1E-12,((LTP3!$D$6)*((P2750)*(Q2750)-(R2750)*(R2750))-(S2750)*((U2750)*(Q2750)-(R2750)*(V2750))+(T2750)*((U2750)*(R2750)-(P2750)*(V2750)))/W2750,0)</f>
        <v/>
      </c>
      <c r="Y2750">
        <f>IF(ABS(W2750)&gt;1E-12,((LTP3!$D$5)*((U2750)*(Q2750)-(R2750)*(V2750))-(LTP3!$D$6)*((S2750)*(Q2750)-(R2750)*(T2750))+(T2750)*((S2750)*(V2750)-(U2750)*(T2750)))/W2750,0)</f>
        <v/>
      </c>
      <c r="Z2750">
        <f>IF(ABS(W2750)&gt;1E-12,((LTP3!$D$5)*((P2750)*(V2750)-(U2750)*(R2750))-(S2750)*((S2750)*(V2750)-(U2750)*(T2750))+(LTP3!$D$6)*((S2750)*(R2750)-(P2750)*(T2750)))/W2750,0)</f>
        <v/>
      </c>
      <c r="AA2750">
        <f>LTP3!$D$7-X2750*LTP3!$D$6-Y2750*U2750-Z2750*V2750</f>
        <v/>
      </c>
      <c r="AB2750">
        <f>IF(AND(F2750,ABS(W2750)&gt;1E-12,Y2750&gt;0,Z2750&gt;0),AA2750,1E+300)</f>
        <v/>
      </c>
    </row>
    <row r="2751">
      <c r="A2751">
        <f>$B$3+$B$5*44</f>
        <v/>
      </c>
      <c r="B2751">
        <f>$B$3+$B$5*55</f>
        <v/>
      </c>
      <c r="C2751">
        <f>SUMPRODUCT(Calc!$K$3:$K$22*(Calc!$G$3:$G$22&lt;=A2751))</f>
        <v/>
      </c>
      <c r="D2751">
        <f>SUMPRODUCT(Calc!$K$3:$K$22*(Calc!$G$3:$G$22&gt;A2751)*(Calc!$G$3:$G$22&lt;B2751))</f>
        <v/>
      </c>
      <c r="E2751">
        <f>SUMPRODUCT(Calc!$K$3:$K$22*(Calc!$G$3:$G$22&gt;=B2751))</f>
        <v/>
      </c>
      <c r="F2751">
        <f>AND(k_n&gt;=5,B2751&gt;A2751+1E-9,C2751&gt;=2,D2751&gt;=1,E2751&gt;=2)</f>
        <v/>
      </c>
      <c r="G2751">
        <f>SUMPRODUCT(Calc!$K$3:$K$22*(Calc!$G$3:$G$22&gt;A2751)*(Calc!$G$3:$G$22-A2751))</f>
        <v/>
      </c>
      <c r="H2751">
        <f>SUMPRODUCT(Calc!$K$3:$K$22*(Calc!$G$3:$G$22&gt;B2751)*(Calc!$G$3:$G$22-B2751))</f>
        <v/>
      </c>
      <c r="I2751">
        <f>SUMPRODUCT(Calc!$K$3:$K$22*(Calc!$G$3:$G$22&gt;A2751)*(Calc!$G$3:$G$22-A2751)^2)</f>
        <v/>
      </c>
      <c r="J2751">
        <f>SUMPRODUCT(Calc!$K$3:$K$22*(Calc!$G$3:$G$22&gt;B2751)*(Calc!$G$3:$G$22-B2751)^2)</f>
        <v/>
      </c>
      <c r="K2751">
        <f>SUMPRODUCT(Calc!$K$3:$K$22*(Calc!$G$3:$G$22&gt;A2751)*(Calc!$G$3:$G$22-A2751)*(Calc!$G$3:$G$22&gt;B2751)*(Calc!$G$3:$G$22-B2751))</f>
        <v/>
      </c>
      <c r="L2751">
        <f>SUMPRODUCT(Calc!$K$3:$K$22*(Calc!$G$3:$G$22&gt;A2751)*(Calc!$G$3:$G$22-A2751)*Calc!$G$3:$G$22)</f>
        <v/>
      </c>
      <c r="M2751">
        <f>SUMPRODUCT(Calc!$K$3:$K$22*(Calc!$G$3:$G$22&gt;B2751)*(Calc!$G$3:$G$22-B2751)*Calc!$G$3:$G$22)</f>
        <v/>
      </c>
      <c r="N2751">
        <f>SUMPRODUCT(Calc!$K$3:$K$22*(Calc!$G$3:$G$22&gt;A2751)*(Calc!$G$3:$G$22-A2751)*Calc!$I$3:$I$22)</f>
        <v/>
      </c>
      <c r="O2751">
        <f>SUMPRODUCT(Calc!$K$3:$K$22*(Calc!$G$3:$G$22&gt;B2751)*(Calc!$G$3:$G$22-B2751)*Calc!$I$3:$I$22)</f>
        <v/>
      </c>
      <c r="P2751">
        <f>I2751-G2751^2/k_n</f>
        <v/>
      </c>
      <c r="Q2751">
        <f>J2751-H2751^2/k_n</f>
        <v/>
      </c>
      <c r="R2751">
        <f>K2751-G2751*H2751/k_n</f>
        <v/>
      </c>
      <c r="S2751">
        <f>L2751-LTP3!$D$3*G2751/k_n</f>
        <v/>
      </c>
      <c r="T2751">
        <f>M2751-LTP3!$D$3*H2751/k_n</f>
        <v/>
      </c>
      <c r="U2751">
        <f>N2751-G2751*LTP3!$D$4/k_n</f>
        <v/>
      </c>
      <c r="V2751">
        <f>O2751-H2751*LTP3!$D$4/k_n</f>
        <v/>
      </c>
      <c r="W2751">
        <f>((LTP3!$D$5)*((P2751)*(Q2751)-(R2751)*(R2751))-(S2751)*((S2751)*(Q2751)-(R2751)*(T2751))+(T2751)*((S2751)*(R2751)-(P2751)*(T2751)))</f>
        <v/>
      </c>
      <c r="X2751">
        <f>IF(ABS(W2751)&gt;1E-12,((LTP3!$D$6)*((P2751)*(Q2751)-(R2751)*(R2751))-(S2751)*((U2751)*(Q2751)-(R2751)*(V2751))+(T2751)*((U2751)*(R2751)-(P2751)*(V2751)))/W2751,0)</f>
        <v/>
      </c>
      <c r="Y2751">
        <f>IF(ABS(W2751)&gt;1E-12,((LTP3!$D$5)*((U2751)*(Q2751)-(R2751)*(V2751))-(LTP3!$D$6)*((S2751)*(Q2751)-(R2751)*(T2751))+(T2751)*((S2751)*(V2751)-(U2751)*(T2751)))/W2751,0)</f>
        <v/>
      </c>
      <c r="Z2751">
        <f>IF(ABS(W2751)&gt;1E-12,((LTP3!$D$5)*((P2751)*(V2751)-(U2751)*(R2751))-(S2751)*((S2751)*(V2751)-(U2751)*(T2751))+(LTP3!$D$6)*((S2751)*(R2751)-(P2751)*(T2751)))/W2751,0)</f>
        <v/>
      </c>
      <c r="AA2751">
        <f>LTP3!$D$7-X2751*LTP3!$D$6-Y2751*U2751-Z2751*V2751</f>
        <v/>
      </c>
      <c r="AB2751">
        <f>IF(AND(F2751,ABS(W2751)&gt;1E-12,Y2751&gt;0,Z2751&gt;0),AA2751,1E+300)</f>
        <v/>
      </c>
    </row>
    <row r="2752">
      <c r="A2752">
        <f>$B$3+$B$5*44</f>
        <v/>
      </c>
      <c r="B2752">
        <f>$B$3+$B$5*56</f>
        <v/>
      </c>
      <c r="C2752">
        <f>SUMPRODUCT(Calc!$K$3:$K$22*(Calc!$G$3:$G$22&lt;=A2752))</f>
        <v/>
      </c>
      <c r="D2752">
        <f>SUMPRODUCT(Calc!$K$3:$K$22*(Calc!$G$3:$G$22&gt;A2752)*(Calc!$G$3:$G$22&lt;B2752))</f>
        <v/>
      </c>
      <c r="E2752">
        <f>SUMPRODUCT(Calc!$K$3:$K$22*(Calc!$G$3:$G$22&gt;=B2752))</f>
        <v/>
      </c>
      <c r="F2752">
        <f>AND(k_n&gt;=5,B2752&gt;A2752+1E-9,C2752&gt;=2,D2752&gt;=1,E2752&gt;=2)</f>
        <v/>
      </c>
      <c r="G2752">
        <f>SUMPRODUCT(Calc!$K$3:$K$22*(Calc!$G$3:$G$22&gt;A2752)*(Calc!$G$3:$G$22-A2752))</f>
        <v/>
      </c>
      <c r="H2752">
        <f>SUMPRODUCT(Calc!$K$3:$K$22*(Calc!$G$3:$G$22&gt;B2752)*(Calc!$G$3:$G$22-B2752))</f>
        <v/>
      </c>
      <c r="I2752">
        <f>SUMPRODUCT(Calc!$K$3:$K$22*(Calc!$G$3:$G$22&gt;A2752)*(Calc!$G$3:$G$22-A2752)^2)</f>
        <v/>
      </c>
      <c r="J2752">
        <f>SUMPRODUCT(Calc!$K$3:$K$22*(Calc!$G$3:$G$22&gt;B2752)*(Calc!$G$3:$G$22-B2752)^2)</f>
        <v/>
      </c>
      <c r="K2752">
        <f>SUMPRODUCT(Calc!$K$3:$K$22*(Calc!$G$3:$G$22&gt;A2752)*(Calc!$G$3:$G$22-A2752)*(Calc!$G$3:$G$22&gt;B2752)*(Calc!$G$3:$G$22-B2752))</f>
        <v/>
      </c>
      <c r="L2752">
        <f>SUMPRODUCT(Calc!$K$3:$K$22*(Calc!$G$3:$G$22&gt;A2752)*(Calc!$G$3:$G$22-A2752)*Calc!$G$3:$G$22)</f>
        <v/>
      </c>
      <c r="M2752">
        <f>SUMPRODUCT(Calc!$K$3:$K$22*(Calc!$G$3:$G$22&gt;B2752)*(Calc!$G$3:$G$22-B2752)*Calc!$G$3:$G$22)</f>
        <v/>
      </c>
      <c r="N2752">
        <f>SUMPRODUCT(Calc!$K$3:$K$22*(Calc!$G$3:$G$22&gt;A2752)*(Calc!$G$3:$G$22-A2752)*Calc!$I$3:$I$22)</f>
        <v/>
      </c>
      <c r="O2752">
        <f>SUMPRODUCT(Calc!$K$3:$K$22*(Calc!$G$3:$G$22&gt;B2752)*(Calc!$G$3:$G$22-B2752)*Calc!$I$3:$I$22)</f>
        <v/>
      </c>
      <c r="P2752">
        <f>I2752-G2752^2/k_n</f>
        <v/>
      </c>
      <c r="Q2752">
        <f>J2752-H2752^2/k_n</f>
        <v/>
      </c>
      <c r="R2752">
        <f>K2752-G2752*H2752/k_n</f>
        <v/>
      </c>
      <c r="S2752">
        <f>L2752-LTP3!$D$3*G2752/k_n</f>
        <v/>
      </c>
      <c r="T2752">
        <f>M2752-LTP3!$D$3*H2752/k_n</f>
        <v/>
      </c>
      <c r="U2752">
        <f>N2752-G2752*LTP3!$D$4/k_n</f>
        <v/>
      </c>
      <c r="V2752">
        <f>O2752-H2752*LTP3!$D$4/k_n</f>
        <v/>
      </c>
      <c r="W2752">
        <f>((LTP3!$D$5)*((P2752)*(Q2752)-(R2752)*(R2752))-(S2752)*((S2752)*(Q2752)-(R2752)*(T2752))+(T2752)*((S2752)*(R2752)-(P2752)*(T2752)))</f>
        <v/>
      </c>
      <c r="X2752">
        <f>IF(ABS(W2752)&gt;1E-12,((LTP3!$D$6)*((P2752)*(Q2752)-(R2752)*(R2752))-(S2752)*((U2752)*(Q2752)-(R2752)*(V2752))+(T2752)*((U2752)*(R2752)-(P2752)*(V2752)))/W2752,0)</f>
        <v/>
      </c>
      <c r="Y2752">
        <f>IF(ABS(W2752)&gt;1E-12,((LTP3!$D$5)*((U2752)*(Q2752)-(R2752)*(V2752))-(LTP3!$D$6)*((S2752)*(Q2752)-(R2752)*(T2752))+(T2752)*((S2752)*(V2752)-(U2752)*(T2752)))/W2752,0)</f>
        <v/>
      </c>
      <c r="Z2752">
        <f>IF(ABS(W2752)&gt;1E-12,((LTP3!$D$5)*((P2752)*(V2752)-(U2752)*(R2752))-(S2752)*((S2752)*(V2752)-(U2752)*(T2752))+(LTP3!$D$6)*((S2752)*(R2752)-(P2752)*(T2752)))/W2752,0)</f>
        <v/>
      </c>
      <c r="AA2752">
        <f>LTP3!$D$7-X2752*LTP3!$D$6-Y2752*U2752-Z2752*V2752</f>
        <v/>
      </c>
      <c r="AB2752">
        <f>IF(AND(F2752,ABS(W2752)&gt;1E-12,Y2752&gt;0,Z2752&gt;0),AA2752,1E+300)</f>
        <v/>
      </c>
    </row>
    <row r="2753">
      <c r="A2753">
        <f>$B$3+$B$5*44</f>
        <v/>
      </c>
      <c r="B2753">
        <f>$B$3+$B$5*57</f>
        <v/>
      </c>
      <c r="C2753">
        <f>SUMPRODUCT(Calc!$K$3:$K$22*(Calc!$G$3:$G$22&lt;=A2753))</f>
        <v/>
      </c>
      <c r="D2753">
        <f>SUMPRODUCT(Calc!$K$3:$K$22*(Calc!$G$3:$G$22&gt;A2753)*(Calc!$G$3:$G$22&lt;B2753))</f>
        <v/>
      </c>
      <c r="E2753">
        <f>SUMPRODUCT(Calc!$K$3:$K$22*(Calc!$G$3:$G$22&gt;=B2753))</f>
        <v/>
      </c>
      <c r="F2753">
        <f>AND(k_n&gt;=5,B2753&gt;A2753+1E-9,C2753&gt;=2,D2753&gt;=1,E2753&gt;=2)</f>
        <v/>
      </c>
      <c r="G2753">
        <f>SUMPRODUCT(Calc!$K$3:$K$22*(Calc!$G$3:$G$22&gt;A2753)*(Calc!$G$3:$G$22-A2753))</f>
        <v/>
      </c>
      <c r="H2753">
        <f>SUMPRODUCT(Calc!$K$3:$K$22*(Calc!$G$3:$G$22&gt;B2753)*(Calc!$G$3:$G$22-B2753))</f>
        <v/>
      </c>
      <c r="I2753">
        <f>SUMPRODUCT(Calc!$K$3:$K$22*(Calc!$G$3:$G$22&gt;A2753)*(Calc!$G$3:$G$22-A2753)^2)</f>
        <v/>
      </c>
      <c r="J2753">
        <f>SUMPRODUCT(Calc!$K$3:$K$22*(Calc!$G$3:$G$22&gt;B2753)*(Calc!$G$3:$G$22-B2753)^2)</f>
        <v/>
      </c>
      <c r="K2753">
        <f>SUMPRODUCT(Calc!$K$3:$K$22*(Calc!$G$3:$G$22&gt;A2753)*(Calc!$G$3:$G$22-A2753)*(Calc!$G$3:$G$22&gt;B2753)*(Calc!$G$3:$G$22-B2753))</f>
        <v/>
      </c>
      <c r="L2753">
        <f>SUMPRODUCT(Calc!$K$3:$K$22*(Calc!$G$3:$G$22&gt;A2753)*(Calc!$G$3:$G$22-A2753)*Calc!$G$3:$G$22)</f>
        <v/>
      </c>
      <c r="M2753">
        <f>SUMPRODUCT(Calc!$K$3:$K$22*(Calc!$G$3:$G$22&gt;B2753)*(Calc!$G$3:$G$22-B2753)*Calc!$G$3:$G$22)</f>
        <v/>
      </c>
      <c r="N2753">
        <f>SUMPRODUCT(Calc!$K$3:$K$22*(Calc!$G$3:$G$22&gt;A2753)*(Calc!$G$3:$G$22-A2753)*Calc!$I$3:$I$22)</f>
        <v/>
      </c>
      <c r="O2753">
        <f>SUMPRODUCT(Calc!$K$3:$K$22*(Calc!$G$3:$G$22&gt;B2753)*(Calc!$G$3:$G$22-B2753)*Calc!$I$3:$I$22)</f>
        <v/>
      </c>
      <c r="P2753">
        <f>I2753-G2753^2/k_n</f>
        <v/>
      </c>
      <c r="Q2753">
        <f>J2753-H2753^2/k_n</f>
        <v/>
      </c>
      <c r="R2753">
        <f>K2753-G2753*H2753/k_n</f>
        <v/>
      </c>
      <c r="S2753">
        <f>L2753-LTP3!$D$3*G2753/k_n</f>
        <v/>
      </c>
      <c r="T2753">
        <f>M2753-LTP3!$D$3*H2753/k_n</f>
        <v/>
      </c>
      <c r="U2753">
        <f>N2753-G2753*LTP3!$D$4/k_n</f>
        <v/>
      </c>
      <c r="V2753">
        <f>O2753-H2753*LTP3!$D$4/k_n</f>
        <v/>
      </c>
      <c r="W2753">
        <f>((LTP3!$D$5)*((P2753)*(Q2753)-(R2753)*(R2753))-(S2753)*((S2753)*(Q2753)-(R2753)*(T2753))+(T2753)*((S2753)*(R2753)-(P2753)*(T2753)))</f>
        <v/>
      </c>
      <c r="X2753">
        <f>IF(ABS(W2753)&gt;1E-12,((LTP3!$D$6)*((P2753)*(Q2753)-(R2753)*(R2753))-(S2753)*((U2753)*(Q2753)-(R2753)*(V2753))+(T2753)*((U2753)*(R2753)-(P2753)*(V2753)))/W2753,0)</f>
        <v/>
      </c>
      <c r="Y2753">
        <f>IF(ABS(W2753)&gt;1E-12,((LTP3!$D$5)*((U2753)*(Q2753)-(R2753)*(V2753))-(LTP3!$D$6)*((S2753)*(Q2753)-(R2753)*(T2753))+(T2753)*((S2753)*(V2753)-(U2753)*(T2753)))/W2753,0)</f>
        <v/>
      </c>
      <c r="Z2753">
        <f>IF(ABS(W2753)&gt;1E-12,((LTP3!$D$5)*((P2753)*(V2753)-(U2753)*(R2753))-(S2753)*((S2753)*(V2753)-(U2753)*(T2753))+(LTP3!$D$6)*((S2753)*(R2753)-(P2753)*(T2753)))/W2753,0)</f>
        <v/>
      </c>
      <c r="AA2753">
        <f>LTP3!$D$7-X2753*LTP3!$D$6-Y2753*U2753-Z2753*V2753</f>
        <v/>
      </c>
      <c r="AB2753">
        <f>IF(AND(F2753,ABS(W2753)&gt;1E-12,Y2753&gt;0,Z2753&gt;0),AA2753,1E+300)</f>
        <v/>
      </c>
    </row>
    <row r="2754">
      <c r="A2754">
        <f>$B$3+$B$5*44</f>
        <v/>
      </c>
      <c r="B2754">
        <f>$B$3+$B$5*58</f>
        <v/>
      </c>
      <c r="C2754">
        <f>SUMPRODUCT(Calc!$K$3:$K$22*(Calc!$G$3:$G$22&lt;=A2754))</f>
        <v/>
      </c>
      <c r="D2754">
        <f>SUMPRODUCT(Calc!$K$3:$K$22*(Calc!$G$3:$G$22&gt;A2754)*(Calc!$G$3:$G$22&lt;B2754))</f>
        <v/>
      </c>
      <c r="E2754">
        <f>SUMPRODUCT(Calc!$K$3:$K$22*(Calc!$G$3:$G$22&gt;=B2754))</f>
        <v/>
      </c>
      <c r="F2754">
        <f>AND(k_n&gt;=5,B2754&gt;A2754+1E-9,C2754&gt;=2,D2754&gt;=1,E2754&gt;=2)</f>
        <v/>
      </c>
      <c r="G2754">
        <f>SUMPRODUCT(Calc!$K$3:$K$22*(Calc!$G$3:$G$22&gt;A2754)*(Calc!$G$3:$G$22-A2754))</f>
        <v/>
      </c>
      <c r="H2754">
        <f>SUMPRODUCT(Calc!$K$3:$K$22*(Calc!$G$3:$G$22&gt;B2754)*(Calc!$G$3:$G$22-B2754))</f>
        <v/>
      </c>
      <c r="I2754">
        <f>SUMPRODUCT(Calc!$K$3:$K$22*(Calc!$G$3:$G$22&gt;A2754)*(Calc!$G$3:$G$22-A2754)^2)</f>
        <v/>
      </c>
      <c r="J2754">
        <f>SUMPRODUCT(Calc!$K$3:$K$22*(Calc!$G$3:$G$22&gt;B2754)*(Calc!$G$3:$G$22-B2754)^2)</f>
        <v/>
      </c>
      <c r="K2754">
        <f>SUMPRODUCT(Calc!$K$3:$K$22*(Calc!$G$3:$G$22&gt;A2754)*(Calc!$G$3:$G$22-A2754)*(Calc!$G$3:$G$22&gt;B2754)*(Calc!$G$3:$G$22-B2754))</f>
        <v/>
      </c>
      <c r="L2754">
        <f>SUMPRODUCT(Calc!$K$3:$K$22*(Calc!$G$3:$G$22&gt;A2754)*(Calc!$G$3:$G$22-A2754)*Calc!$G$3:$G$22)</f>
        <v/>
      </c>
      <c r="M2754">
        <f>SUMPRODUCT(Calc!$K$3:$K$22*(Calc!$G$3:$G$22&gt;B2754)*(Calc!$G$3:$G$22-B2754)*Calc!$G$3:$G$22)</f>
        <v/>
      </c>
      <c r="N2754">
        <f>SUMPRODUCT(Calc!$K$3:$K$22*(Calc!$G$3:$G$22&gt;A2754)*(Calc!$G$3:$G$22-A2754)*Calc!$I$3:$I$22)</f>
        <v/>
      </c>
      <c r="O2754">
        <f>SUMPRODUCT(Calc!$K$3:$K$22*(Calc!$G$3:$G$22&gt;B2754)*(Calc!$G$3:$G$22-B2754)*Calc!$I$3:$I$22)</f>
        <v/>
      </c>
      <c r="P2754">
        <f>I2754-G2754^2/k_n</f>
        <v/>
      </c>
      <c r="Q2754">
        <f>J2754-H2754^2/k_n</f>
        <v/>
      </c>
      <c r="R2754">
        <f>K2754-G2754*H2754/k_n</f>
        <v/>
      </c>
      <c r="S2754">
        <f>L2754-LTP3!$D$3*G2754/k_n</f>
        <v/>
      </c>
      <c r="T2754">
        <f>M2754-LTP3!$D$3*H2754/k_n</f>
        <v/>
      </c>
      <c r="U2754">
        <f>N2754-G2754*LTP3!$D$4/k_n</f>
        <v/>
      </c>
      <c r="V2754">
        <f>O2754-H2754*LTP3!$D$4/k_n</f>
        <v/>
      </c>
      <c r="W2754">
        <f>((LTP3!$D$5)*((P2754)*(Q2754)-(R2754)*(R2754))-(S2754)*((S2754)*(Q2754)-(R2754)*(T2754))+(T2754)*((S2754)*(R2754)-(P2754)*(T2754)))</f>
        <v/>
      </c>
      <c r="X2754">
        <f>IF(ABS(W2754)&gt;1E-12,((LTP3!$D$6)*((P2754)*(Q2754)-(R2754)*(R2754))-(S2754)*((U2754)*(Q2754)-(R2754)*(V2754))+(T2754)*((U2754)*(R2754)-(P2754)*(V2754)))/W2754,0)</f>
        <v/>
      </c>
      <c r="Y2754">
        <f>IF(ABS(W2754)&gt;1E-12,((LTP3!$D$5)*((U2754)*(Q2754)-(R2754)*(V2754))-(LTP3!$D$6)*((S2754)*(Q2754)-(R2754)*(T2754))+(T2754)*((S2754)*(V2754)-(U2754)*(T2754)))/W2754,0)</f>
        <v/>
      </c>
      <c r="Z2754">
        <f>IF(ABS(W2754)&gt;1E-12,((LTP3!$D$5)*((P2754)*(V2754)-(U2754)*(R2754))-(S2754)*((S2754)*(V2754)-(U2754)*(T2754))+(LTP3!$D$6)*((S2754)*(R2754)-(P2754)*(T2754)))/W2754,0)</f>
        <v/>
      </c>
      <c r="AA2754">
        <f>LTP3!$D$7-X2754*LTP3!$D$6-Y2754*U2754-Z2754*V2754</f>
        <v/>
      </c>
      <c r="AB2754">
        <f>IF(AND(F2754,ABS(W2754)&gt;1E-12,Y2754&gt;0,Z2754&gt;0),AA2754,1E+300)</f>
        <v/>
      </c>
    </row>
    <row r="2755">
      <c r="A2755">
        <f>$B$3+$B$5*44</f>
        <v/>
      </c>
      <c r="B2755">
        <f>$B$3+$B$5*59</f>
        <v/>
      </c>
      <c r="C2755">
        <f>SUMPRODUCT(Calc!$K$3:$K$22*(Calc!$G$3:$G$22&lt;=A2755))</f>
        <v/>
      </c>
      <c r="D2755">
        <f>SUMPRODUCT(Calc!$K$3:$K$22*(Calc!$G$3:$G$22&gt;A2755)*(Calc!$G$3:$G$22&lt;B2755))</f>
        <v/>
      </c>
      <c r="E2755">
        <f>SUMPRODUCT(Calc!$K$3:$K$22*(Calc!$G$3:$G$22&gt;=B2755))</f>
        <v/>
      </c>
      <c r="F2755">
        <f>AND(k_n&gt;=5,B2755&gt;A2755+1E-9,C2755&gt;=2,D2755&gt;=1,E2755&gt;=2)</f>
        <v/>
      </c>
      <c r="G2755">
        <f>SUMPRODUCT(Calc!$K$3:$K$22*(Calc!$G$3:$G$22&gt;A2755)*(Calc!$G$3:$G$22-A2755))</f>
        <v/>
      </c>
      <c r="H2755">
        <f>SUMPRODUCT(Calc!$K$3:$K$22*(Calc!$G$3:$G$22&gt;B2755)*(Calc!$G$3:$G$22-B2755))</f>
        <v/>
      </c>
      <c r="I2755">
        <f>SUMPRODUCT(Calc!$K$3:$K$22*(Calc!$G$3:$G$22&gt;A2755)*(Calc!$G$3:$G$22-A2755)^2)</f>
        <v/>
      </c>
      <c r="J2755">
        <f>SUMPRODUCT(Calc!$K$3:$K$22*(Calc!$G$3:$G$22&gt;B2755)*(Calc!$G$3:$G$22-B2755)^2)</f>
        <v/>
      </c>
      <c r="K2755">
        <f>SUMPRODUCT(Calc!$K$3:$K$22*(Calc!$G$3:$G$22&gt;A2755)*(Calc!$G$3:$G$22-A2755)*(Calc!$G$3:$G$22&gt;B2755)*(Calc!$G$3:$G$22-B2755))</f>
        <v/>
      </c>
      <c r="L2755">
        <f>SUMPRODUCT(Calc!$K$3:$K$22*(Calc!$G$3:$G$22&gt;A2755)*(Calc!$G$3:$G$22-A2755)*Calc!$G$3:$G$22)</f>
        <v/>
      </c>
      <c r="M2755">
        <f>SUMPRODUCT(Calc!$K$3:$K$22*(Calc!$G$3:$G$22&gt;B2755)*(Calc!$G$3:$G$22-B2755)*Calc!$G$3:$G$22)</f>
        <v/>
      </c>
      <c r="N2755">
        <f>SUMPRODUCT(Calc!$K$3:$K$22*(Calc!$G$3:$G$22&gt;A2755)*(Calc!$G$3:$G$22-A2755)*Calc!$I$3:$I$22)</f>
        <v/>
      </c>
      <c r="O2755">
        <f>SUMPRODUCT(Calc!$K$3:$K$22*(Calc!$G$3:$G$22&gt;B2755)*(Calc!$G$3:$G$22-B2755)*Calc!$I$3:$I$22)</f>
        <v/>
      </c>
      <c r="P2755">
        <f>I2755-G2755^2/k_n</f>
        <v/>
      </c>
      <c r="Q2755">
        <f>J2755-H2755^2/k_n</f>
        <v/>
      </c>
      <c r="R2755">
        <f>K2755-G2755*H2755/k_n</f>
        <v/>
      </c>
      <c r="S2755">
        <f>L2755-LTP3!$D$3*G2755/k_n</f>
        <v/>
      </c>
      <c r="T2755">
        <f>M2755-LTP3!$D$3*H2755/k_n</f>
        <v/>
      </c>
      <c r="U2755">
        <f>N2755-G2755*LTP3!$D$4/k_n</f>
        <v/>
      </c>
      <c r="V2755">
        <f>O2755-H2755*LTP3!$D$4/k_n</f>
        <v/>
      </c>
      <c r="W2755">
        <f>((LTP3!$D$5)*((P2755)*(Q2755)-(R2755)*(R2755))-(S2755)*((S2755)*(Q2755)-(R2755)*(T2755))+(T2755)*((S2755)*(R2755)-(P2755)*(T2755)))</f>
        <v/>
      </c>
      <c r="X2755">
        <f>IF(ABS(W2755)&gt;1E-12,((LTP3!$D$6)*((P2755)*(Q2755)-(R2755)*(R2755))-(S2755)*((U2755)*(Q2755)-(R2755)*(V2755))+(T2755)*((U2755)*(R2755)-(P2755)*(V2755)))/W2755,0)</f>
        <v/>
      </c>
      <c r="Y2755">
        <f>IF(ABS(W2755)&gt;1E-12,((LTP3!$D$5)*((U2755)*(Q2755)-(R2755)*(V2755))-(LTP3!$D$6)*((S2755)*(Q2755)-(R2755)*(T2755))+(T2755)*((S2755)*(V2755)-(U2755)*(T2755)))/W2755,0)</f>
        <v/>
      </c>
      <c r="Z2755">
        <f>IF(ABS(W2755)&gt;1E-12,((LTP3!$D$5)*((P2755)*(V2755)-(U2755)*(R2755))-(S2755)*((S2755)*(V2755)-(U2755)*(T2755))+(LTP3!$D$6)*((S2755)*(R2755)-(P2755)*(T2755)))/W2755,0)</f>
        <v/>
      </c>
      <c r="AA2755">
        <f>LTP3!$D$7-X2755*LTP3!$D$6-Y2755*U2755-Z2755*V2755</f>
        <v/>
      </c>
      <c r="AB2755">
        <f>IF(AND(F2755,ABS(W2755)&gt;1E-12,Y2755&gt;0,Z2755&gt;0),AA2755,1E+300)</f>
        <v/>
      </c>
    </row>
    <row r="2756">
      <c r="A2756">
        <f>$B$3+$B$5*44</f>
        <v/>
      </c>
      <c r="B2756">
        <f>$B$3+$B$5*60</f>
        <v/>
      </c>
      <c r="C2756">
        <f>SUMPRODUCT(Calc!$K$3:$K$22*(Calc!$G$3:$G$22&lt;=A2756))</f>
        <v/>
      </c>
      <c r="D2756">
        <f>SUMPRODUCT(Calc!$K$3:$K$22*(Calc!$G$3:$G$22&gt;A2756)*(Calc!$G$3:$G$22&lt;B2756))</f>
        <v/>
      </c>
      <c r="E2756">
        <f>SUMPRODUCT(Calc!$K$3:$K$22*(Calc!$G$3:$G$22&gt;=B2756))</f>
        <v/>
      </c>
      <c r="F2756">
        <f>AND(k_n&gt;=5,B2756&gt;A2756+1E-9,C2756&gt;=2,D2756&gt;=1,E2756&gt;=2)</f>
        <v/>
      </c>
      <c r="G2756">
        <f>SUMPRODUCT(Calc!$K$3:$K$22*(Calc!$G$3:$G$22&gt;A2756)*(Calc!$G$3:$G$22-A2756))</f>
        <v/>
      </c>
      <c r="H2756">
        <f>SUMPRODUCT(Calc!$K$3:$K$22*(Calc!$G$3:$G$22&gt;B2756)*(Calc!$G$3:$G$22-B2756))</f>
        <v/>
      </c>
      <c r="I2756">
        <f>SUMPRODUCT(Calc!$K$3:$K$22*(Calc!$G$3:$G$22&gt;A2756)*(Calc!$G$3:$G$22-A2756)^2)</f>
        <v/>
      </c>
      <c r="J2756">
        <f>SUMPRODUCT(Calc!$K$3:$K$22*(Calc!$G$3:$G$22&gt;B2756)*(Calc!$G$3:$G$22-B2756)^2)</f>
        <v/>
      </c>
      <c r="K2756">
        <f>SUMPRODUCT(Calc!$K$3:$K$22*(Calc!$G$3:$G$22&gt;A2756)*(Calc!$G$3:$G$22-A2756)*(Calc!$G$3:$G$22&gt;B2756)*(Calc!$G$3:$G$22-B2756))</f>
        <v/>
      </c>
      <c r="L2756">
        <f>SUMPRODUCT(Calc!$K$3:$K$22*(Calc!$G$3:$G$22&gt;A2756)*(Calc!$G$3:$G$22-A2756)*Calc!$G$3:$G$22)</f>
        <v/>
      </c>
      <c r="M2756">
        <f>SUMPRODUCT(Calc!$K$3:$K$22*(Calc!$G$3:$G$22&gt;B2756)*(Calc!$G$3:$G$22-B2756)*Calc!$G$3:$G$22)</f>
        <v/>
      </c>
      <c r="N2756">
        <f>SUMPRODUCT(Calc!$K$3:$K$22*(Calc!$G$3:$G$22&gt;A2756)*(Calc!$G$3:$G$22-A2756)*Calc!$I$3:$I$22)</f>
        <v/>
      </c>
      <c r="O2756">
        <f>SUMPRODUCT(Calc!$K$3:$K$22*(Calc!$G$3:$G$22&gt;B2756)*(Calc!$G$3:$G$22-B2756)*Calc!$I$3:$I$22)</f>
        <v/>
      </c>
      <c r="P2756">
        <f>I2756-G2756^2/k_n</f>
        <v/>
      </c>
      <c r="Q2756">
        <f>J2756-H2756^2/k_n</f>
        <v/>
      </c>
      <c r="R2756">
        <f>K2756-G2756*H2756/k_n</f>
        <v/>
      </c>
      <c r="S2756">
        <f>L2756-LTP3!$D$3*G2756/k_n</f>
        <v/>
      </c>
      <c r="T2756">
        <f>M2756-LTP3!$D$3*H2756/k_n</f>
        <v/>
      </c>
      <c r="U2756">
        <f>N2756-G2756*LTP3!$D$4/k_n</f>
        <v/>
      </c>
      <c r="V2756">
        <f>O2756-H2756*LTP3!$D$4/k_n</f>
        <v/>
      </c>
      <c r="W2756">
        <f>((LTP3!$D$5)*((P2756)*(Q2756)-(R2756)*(R2756))-(S2756)*((S2756)*(Q2756)-(R2756)*(T2756))+(T2756)*((S2756)*(R2756)-(P2756)*(T2756)))</f>
        <v/>
      </c>
      <c r="X2756">
        <f>IF(ABS(W2756)&gt;1E-12,((LTP3!$D$6)*((P2756)*(Q2756)-(R2756)*(R2756))-(S2756)*((U2756)*(Q2756)-(R2756)*(V2756))+(T2756)*((U2756)*(R2756)-(P2756)*(V2756)))/W2756,0)</f>
        <v/>
      </c>
      <c r="Y2756">
        <f>IF(ABS(W2756)&gt;1E-12,((LTP3!$D$5)*((U2756)*(Q2756)-(R2756)*(V2756))-(LTP3!$D$6)*((S2756)*(Q2756)-(R2756)*(T2756))+(T2756)*((S2756)*(V2756)-(U2756)*(T2756)))/W2756,0)</f>
        <v/>
      </c>
      <c r="Z2756">
        <f>IF(ABS(W2756)&gt;1E-12,((LTP3!$D$5)*((P2756)*(V2756)-(U2756)*(R2756))-(S2756)*((S2756)*(V2756)-(U2756)*(T2756))+(LTP3!$D$6)*((S2756)*(R2756)-(P2756)*(T2756)))/W2756,0)</f>
        <v/>
      </c>
      <c r="AA2756">
        <f>LTP3!$D$7-X2756*LTP3!$D$6-Y2756*U2756-Z2756*V2756</f>
        <v/>
      </c>
      <c r="AB2756">
        <f>IF(AND(F2756,ABS(W2756)&gt;1E-12,Y2756&gt;0,Z2756&gt;0),AA2756,1E+300)</f>
        <v/>
      </c>
    </row>
    <row r="2757">
      <c r="A2757">
        <f>$B$3+$B$5*45</f>
        <v/>
      </c>
      <c r="B2757">
        <f>$B$3+$B$5*0</f>
        <v/>
      </c>
      <c r="C2757">
        <f>SUMPRODUCT(Calc!$K$3:$K$22*(Calc!$G$3:$G$22&lt;=A2757))</f>
        <v/>
      </c>
      <c r="D2757">
        <f>SUMPRODUCT(Calc!$K$3:$K$22*(Calc!$G$3:$G$22&gt;A2757)*(Calc!$G$3:$G$22&lt;B2757))</f>
        <v/>
      </c>
      <c r="E2757">
        <f>SUMPRODUCT(Calc!$K$3:$K$22*(Calc!$G$3:$G$22&gt;=B2757))</f>
        <v/>
      </c>
      <c r="F2757">
        <f>AND(k_n&gt;=5,B2757&gt;A2757+1E-9,C2757&gt;=2,D2757&gt;=1,E2757&gt;=2)</f>
        <v/>
      </c>
      <c r="G2757">
        <f>SUMPRODUCT(Calc!$K$3:$K$22*(Calc!$G$3:$G$22&gt;A2757)*(Calc!$G$3:$G$22-A2757))</f>
        <v/>
      </c>
      <c r="H2757">
        <f>SUMPRODUCT(Calc!$K$3:$K$22*(Calc!$G$3:$G$22&gt;B2757)*(Calc!$G$3:$G$22-B2757))</f>
        <v/>
      </c>
      <c r="I2757">
        <f>SUMPRODUCT(Calc!$K$3:$K$22*(Calc!$G$3:$G$22&gt;A2757)*(Calc!$G$3:$G$22-A2757)^2)</f>
        <v/>
      </c>
      <c r="J2757">
        <f>SUMPRODUCT(Calc!$K$3:$K$22*(Calc!$G$3:$G$22&gt;B2757)*(Calc!$G$3:$G$22-B2757)^2)</f>
        <v/>
      </c>
      <c r="K2757">
        <f>SUMPRODUCT(Calc!$K$3:$K$22*(Calc!$G$3:$G$22&gt;A2757)*(Calc!$G$3:$G$22-A2757)*(Calc!$G$3:$G$22&gt;B2757)*(Calc!$G$3:$G$22-B2757))</f>
        <v/>
      </c>
      <c r="L2757">
        <f>SUMPRODUCT(Calc!$K$3:$K$22*(Calc!$G$3:$G$22&gt;A2757)*(Calc!$G$3:$G$22-A2757)*Calc!$G$3:$G$22)</f>
        <v/>
      </c>
      <c r="M2757">
        <f>SUMPRODUCT(Calc!$K$3:$K$22*(Calc!$G$3:$G$22&gt;B2757)*(Calc!$G$3:$G$22-B2757)*Calc!$G$3:$G$22)</f>
        <v/>
      </c>
      <c r="N2757">
        <f>SUMPRODUCT(Calc!$K$3:$K$22*(Calc!$G$3:$G$22&gt;A2757)*(Calc!$G$3:$G$22-A2757)*Calc!$I$3:$I$22)</f>
        <v/>
      </c>
      <c r="O2757">
        <f>SUMPRODUCT(Calc!$K$3:$K$22*(Calc!$G$3:$G$22&gt;B2757)*(Calc!$G$3:$G$22-B2757)*Calc!$I$3:$I$22)</f>
        <v/>
      </c>
      <c r="P2757">
        <f>I2757-G2757^2/k_n</f>
        <v/>
      </c>
      <c r="Q2757">
        <f>J2757-H2757^2/k_n</f>
        <v/>
      </c>
      <c r="R2757">
        <f>K2757-G2757*H2757/k_n</f>
        <v/>
      </c>
      <c r="S2757">
        <f>L2757-LTP3!$D$3*G2757/k_n</f>
        <v/>
      </c>
      <c r="T2757">
        <f>M2757-LTP3!$D$3*H2757/k_n</f>
        <v/>
      </c>
      <c r="U2757">
        <f>N2757-G2757*LTP3!$D$4/k_n</f>
        <v/>
      </c>
      <c r="V2757">
        <f>O2757-H2757*LTP3!$D$4/k_n</f>
        <v/>
      </c>
      <c r="W2757">
        <f>((LTP3!$D$5)*((P2757)*(Q2757)-(R2757)*(R2757))-(S2757)*((S2757)*(Q2757)-(R2757)*(T2757))+(T2757)*((S2757)*(R2757)-(P2757)*(T2757)))</f>
        <v/>
      </c>
      <c r="X2757">
        <f>IF(ABS(W2757)&gt;1E-12,((LTP3!$D$6)*((P2757)*(Q2757)-(R2757)*(R2757))-(S2757)*((U2757)*(Q2757)-(R2757)*(V2757))+(T2757)*((U2757)*(R2757)-(P2757)*(V2757)))/W2757,0)</f>
        <v/>
      </c>
      <c r="Y2757">
        <f>IF(ABS(W2757)&gt;1E-12,((LTP3!$D$5)*((U2757)*(Q2757)-(R2757)*(V2757))-(LTP3!$D$6)*((S2757)*(Q2757)-(R2757)*(T2757))+(T2757)*((S2757)*(V2757)-(U2757)*(T2757)))/W2757,0)</f>
        <v/>
      </c>
      <c r="Z2757">
        <f>IF(ABS(W2757)&gt;1E-12,((LTP3!$D$5)*((P2757)*(V2757)-(U2757)*(R2757))-(S2757)*((S2757)*(V2757)-(U2757)*(T2757))+(LTP3!$D$6)*((S2757)*(R2757)-(P2757)*(T2757)))/W2757,0)</f>
        <v/>
      </c>
      <c r="AA2757">
        <f>LTP3!$D$7-X2757*LTP3!$D$6-Y2757*U2757-Z2757*V2757</f>
        <v/>
      </c>
      <c r="AB2757">
        <f>IF(AND(F2757,ABS(W2757)&gt;1E-12,Y2757&gt;0,Z2757&gt;0),AA2757,1E+300)</f>
        <v/>
      </c>
    </row>
    <row r="2758">
      <c r="A2758">
        <f>$B$3+$B$5*45</f>
        <v/>
      </c>
      <c r="B2758">
        <f>$B$3+$B$5*1</f>
        <v/>
      </c>
      <c r="C2758">
        <f>SUMPRODUCT(Calc!$K$3:$K$22*(Calc!$G$3:$G$22&lt;=A2758))</f>
        <v/>
      </c>
      <c r="D2758">
        <f>SUMPRODUCT(Calc!$K$3:$K$22*(Calc!$G$3:$G$22&gt;A2758)*(Calc!$G$3:$G$22&lt;B2758))</f>
        <v/>
      </c>
      <c r="E2758">
        <f>SUMPRODUCT(Calc!$K$3:$K$22*(Calc!$G$3:$G$22&gt;=B2758))</f>
        <v/>
      </c>
      <c r="F2758">
        <f>AND(k_n&gt;=5,B2758&gt;A2758+1E-9,C2758&gt;=2,D2758&gt;=1,E2758&gt;=2)</f>
        <v/>
      </c>
      <c r="G2758">
        <f>SUMPRODUCT(Calc!$K$3:$K$22*(Calc!$G$3:$G$22&gt;A2758)*(Calc!$G$3:$G$22-A2758))</f>
        <v/>
      </c>
      <c r="H2758">
        <f>SUMPRODUCT(Calc!$K$3:$K$22*(Calc!$G$3:$G$22&gt;B2758)*(Calc!$G$3:$G$22-B2758))</f>
        <v/>
      </c>
      <c r="I2758">
        <f>SUMPRODUCT(Calc!$K$3:$K$22*(Calc!$G$3:$G$22&gt;A2758)*(Calc!$G$3:$G$22-A2758)^2)</f>
        <v/>
      </c>
      <c r="J2758">
        <f>SUMPRODUCT(Calc!$K$3:$K$22*(Calc!$G$3:$G$22&gt;B2758)*(Calc!$G$3:$G$22-B2758)^2)</f>
        <v/>
      </c>
      <c r="K2758">
        <f>SUMPRODUCT(Calc!$K$3:$K$22*(Calc!$G$3:$G$22&gt;A2758)*(Calc!$G$3:$G$22-A2758)*(Calc!$G$3:$G$22&gt;B2758)*(Calc!$G$3:$G$22-B2758))</f>
        <v/>
      </c>
      <c r="L2758">
        <f>SUMPRODUCT(Calc!$K$3:$K$22*(Calc!$G$3:$G$22&gt;A2758)*(Calc!$G$3:$G$22-A2758)*Calc!$G$3:$G$22)</f>
        <v/>
      </c>
      <c r="M2758">
        <f>SUMPRODUCT(Calc!$K$3:$K$22*(Calc!$G$3:$G$22&gt;B2758)*(Calc!$G$3:$G$22-B2758)*Calc!$G$3:$G$22)</f>
        <v/>
      </c>
      <c r="N2758">
        <f>SUMPRODUCT(Calc!$K$3:$K$22*(Calc!$G$3:$G$22&gt;A2758)*(Calc!$G$3:$G$22-A2758)*Calc!$I$3:$I$22)</f>
        <v/>
      </c>
      <c r="O2758">
        <f>SUMPRODUCT(Calc!$K$3:$K$22*(Calc!$G$3:$G$22&gt;B2758)*(Calc!$G$3:$G$22-B2758)*Calc!$I$3:$I$22)</f>
        <v/>
      </c>
      <c r="P2758">
        <f>I2758-G2758^2/k_n</f>
        <v/>
      </c>
      <c r="Q2758">
        <f>J2758-H2758^2/k_n</f>
        <v/>
      </c>
      <c r="R2758">
        <f>K2758-G2758*H2758/k_n</f>
        <v/>
      </c>
      <c r="S2758">
        <f>L2758-LTP3!$D$3*G2758/k_n</f>
        <v/>
      </c>
      <c r="T2758">
        <f>M2758-LTP3!$D$3*H2758/k_n</f>
        <v/>
      </c>
      <c r="U2758">
        <f>N2758-G2758*LTP3!$D$4/k_n</f>
        <v/>
      </c>
      <c r="V2758">
        <f>O2758-H2758*LTP3!$D$4/k_n</f>
        <v/>
      </c>
      <c r="W2758">
        <f>((LTP3!$D$5)*((P2758)*(Q2758)-(R2758)*(R2758))-(S2758)*((S2758)*(Q2758)-(R2758)*(T2758))+(T2758)*((S2758)*(R2758)-(P2758)*(T2758)))</f>
        <v/>
      </c>
      <c r="X2758">
        <f>IF(ABS(W2758)&gt;1E-12,((LTP3!$D$6)*((P2758)*(Q2758)-(R2758)*(R2758))-(S2758)*((U2758)*(Q2758)-(R2758)*(V2758))+(T2758)*((U2758)*(R2758)-(P2758)*(V2758)))/W2758,0)</f>
        <v/>
      </c>
      <c r="Y2758">
        <f>IF(ABS(W2758)&gt;1E-12,((LTP3!$D$5)*((U2758)*(Q2758)-(R2758)*(V2758))-(LTP3!$D$6)*((S2758)*(Q2758)-(R2758)*(T2758))+(T2758)*((S2758)*(V2758)-(U2758)*(T2758)))/W2758,0)</f>
        <v/>
      </c>
      <c r="Z2758">
        <f>IF(ABS(W2758)&gt;1E-12,((LTP3!$D$5)*((P2758)*(V2758)-(U2758)*(R2758))-(S2758)*((S2758)*(V2758)-(U2758)*(T2758))+(LTP3!$D$6)*((S2758)*(R2758)-(P2758)*(T2758)))/W2758,0)</f>
        <v/>
      </c>
      <c r="AA2758">
        <f>LTP3!$D$7-X2758*LTP3!$D$6-Y2758*U2758-Z2758*V2758</f>
        <v/>
      </c>
      <c r="AB2758">
        <f>IF(AND(F2758,ABS(W2758)&gt;1E-12,Y2758&gt;0,Z2758&gt;0),AA2758,1E+300)</f>
        <v/>
      </c>
    </row>
    <row r="2759">
      <c r="A2759">
        <f>$B$3+$B$5*45</f>
        <v/>
      </c>
      <c r="B2759">
        <f>$B$3+$B$5*2</f>
        <v/>
      </c>
      <c r="C2759">
        <f>SUMPRODUCT(Calc!$K$3:$K$22*(Calc!$G$3:$G$22&lt;=A2759))</f>
        <v/>
      </c>
      <c r="D2759">
        <f>SUMPRODUCT(Calc!$K$3:$K$22*(Calc!$G$3:$G$22&gt;A2759)*(Calc!$G$3:$G$22&lt;B2759))</f>
        <v/>
      </c>
      <c r="E2759">
        <f>SUMPRODUCT(Calc!$K$3:$K$22*(Calc!$G$3:$G$22&gt;=B2759))</f>
        <v/>
      </c>
      <c r="F2759">
        <f>AND(k_n&gt;=5,B2759&gt;A2759+1E-9,C2759&gt;=2,D2759&gt;=1,E2759&gt;=2)</f>
        <v/>
      </c>
      <c r="G2759">
        <f>SUMPRODUCT(Calc!$K$3:$K$22*(Calc!$G$3:$G$22&gt;A2759)*(Calc!$G$3:$G$22-A2759))</f>
        <v/>
      </c>
      <c r="H2759">
        <f>SUMPRODUCT(Calc!$K$3:$K$22*(Calc!$G$3:$G$22&gt;B2759)*(Calc!$G$3:$G$22-B2759))</f>
        <v/>
      </c>
      <c r="I2759">
        <f>SUMPRODUCT(Calc!$K$3:$K$22*(Calc!$G$3:$G$22&gt;A2759)*(Calc!$G$3:$G$22-A2759)^2)</f>
        <v/>
      </c>
      <c r="J2759">
        <f>SUMPRODUCT(Calc!$K$3:$K$22*(Calc!$G$3:$G$22&gt;B2759)*(Calc!$G$3:$G$22-B2759)^2)</f>
        <v/>
      </c>
      <c r="K2759">
        <f>SUMPRODUCT(Calc!$K$3:$K$22*(Calc!$G$3:$G$22&gt;A2759)*(Calc!$G$3:$G$22-A2759)*(Calc!$G$3:$G$22&gt;B2759)*(Calc!$G$3:$G$22-B2759))</f>
        <v/>
      </c>
      <c r="L2759">
        <f>SUMPRODUCT(Calc!$K$3:$K$22*(Calc!$G$3:$G$22&gt;A2759)*(Calc!$G$3:$G$22-A2759)*Calc!$G$3:$G$22)</f>
        <v/>
      </c>
      <c r="M2759">
        <f>SUMPRODUCT(Calc!$K$3:$K$22*(Calc!$G$3:$G$22&gt;B2759)*(Calc!$G$3:$G$22-B2759)*Calc!$G$3:$G$22)</f>
        <v/>
      </c>
      <c r="N2759">
        <f>SUMPRODUCT(Calc!$K$3:$K$22*(Calc!$G$3:$G$22&gt;A2759)*(Calc!$G$3:$G$22-A2759)*Calc!$I$3:$I$22)</f>
        <v/>
      </c>
      <c r="O2759">
        <f>SUMPRODUCT(Calc!$K$3:$K$22*(Calc!$G$3:$G$22&gt;B2759)*(Calc!$G$3:$G$22-B2759)*Calc!$I$3:$I$22)</f>
        <v/>
      </c>
      <c r="P2759">
        <f>I2759-G2759^2/k_n</f>
        <v/>
      </c>
      <c r="Q2759">
        <f>J2759-H2759^2/k_n</f>
        <v/>
      </c>
      <c r="R2759">
        <f>K2759-G2759*H2759/k_n</f>
        <v/>
      </c>
      <c r="S2759">
        <f>L2759-LTP3!$D$3*G2759/k_n</f>
        <v/>
      </c>
      <c r="T2759">
        <f>M2759-LTP3!$D$3*H2759/k_n</f>
        <v/>
      </c>
      <c r="U2759">
        <f>N2759-G2759*LTP3!$D$4/k_n</f>
        <v/>
      </c>
      <c r="V2759">
        <f>O2759-H2759*LTP3!$D$4/k_n</f>
        <v/>
      </c>
      <c r="W2759">
        <f>((LTP3!$D$5)*((P2759)*(Q2759)-(R2759)*(R2759))-(S2759)*((S2759)*(Q2759)-(R2759)*(T2759))+(T2759)*((S2759)*(R2759)-(P2759)*(T2759)))</f>
        <v/>
      </c>
      <c r="X2759">
        <f>IF(ABS(W2759)&gt;1E-12,((LTP3!$D$6)*((P2759)*(Q2759)-(R2759)*(R2759))-(S2759)*((U2759)*(Q2759)-(R2759)*(V2759))+(T2759)*((U2759)*(R2759)-(P2759)*(V2759)))/W2759,0)</f>
        <v/>
      </c>
      <c r="Y2759">
        <f>IF(ABS(W2759)&gt;1E-12,((LTP3!$D$5)*((U2759)*(Q2759)-(R2759)*(V2759))-(LTP3!$D$6)*((S2759)*(Q2759)-(R2759)*(T2759))+(T2759)*((S2759)*(V2759)-(U2759)*(T2759)))/W2759,0)</f>
        <v/>
      </c>
      <c r="Z2759">
        <f>IF(ABS(W2759)&gt;1E-12,((LTP3!$D$5)*((P2759)*(V2759)-(U2759)*(R2759))-(S2759)*((S2759)*(V2759)-(U2759)*(T2759))+(LTP3!$D$6)*((S2759)*(R2759)-(P2759)*(T2759)))/W2759,0)</f>
        <v/>
      </c>
      <c r="AA2759">
        <f>LTP3!$D$7-X2759*LTP3!$D$6-Y2759*U2759-Z2759*V2759</f>
        <v/>
      </c>
      <c r="AB2759">
        <f>IF(AND(F2759,ABS(W2759)&gt;1E-12,Y2759&gt;0,Z2759&gt;0),AA2759,1E+300)</f>
        <v/>
      </c>
    </row>
    <row r="2760">
      <c r="A2760">
        <f>$B$3+$B$5*45</f>
        <v/>
      </c>
      <c r="B2760">
        <f>$B$3+$B$5*3</f>
        <v/>
      </c>
      <c r="C2760">
        <f>SUMPRODUCT(Calc!$K$3:$K$22*(Calc!$G$3:$G$22&lt;=A2760))</f>
        <v/>
      </c>
      <c r="D2760">
        <f>SUMPRODUCT(Calc!$K$3:$K$22*(Calc!$G$3:$G$22&gt;A2760)*(Calc!$G$3:$G$22&lt;B2760))</f>
        <v/>
      </c>
      <c r="E2760">
        <f>SUMPRODUCT(Calc!$K$3:$K$22*(Calc!$G$3:$G$22&gt;=B2760))</f>
        <v/>
      </c>
      <c r="F2760">
        <f>AND(k_n&gt;=5,B2760&gt;A2760+1E-9,C2760&gt;=2,D2760&gt;=1,E2760&gt;=2)</f>
        <v/>
      </c>
      <c r="G2760">
        <f>SUMPRODUCT(Calc!$K$3:$K$22*(Calc!$G$3:$G$22&gt;A2760)*(Calc!$G$3:$G$22-A2760))</f>
        <v/>
      </c>
      <c r="H2760">
        <f>SUMPRODUCT(Calc!$K$3:$K$22*(Calc!$G$3:$G$22&gt;B2760)*(Calc!$G$3:$G$22-B2760))</f>
        <v/>
      </c>
      <c r="I2760">
        <f>SUMPRODUCT(Calc!$K$3:$K$22*(Calc!$G$3:$G$22&gt;A2760)*(Calc!$G$3:$G$22-A2760)^2)</f>
        <v/>
      </c>
      <c r="J2760">
        <f>SUMPRODUCT(Calc!$K$3:$K$22*(Calc!$G$3:$G$22&gt;B2760)*(Calc!$G$3:$G$22-B2760)^2)</f>
        <v/>
      </c>
      <c r="K2760">
        <f>SUMPRODUCT(Calc!$K$3:$K$22*(Calc!$G$3:$G$22&gt;A2760)*(Calc!$G$3:$G$22-A2760)*(Calc!$G$3:$G$22&gt;B2760)*(Calc!$G$3:$G$22-B2760))</f>
        <v/>
      </c>
      <c r="L2760">
        <f>SUMPRODUCT(Calc!$K$3:$K$22*(Calc!$G$3:$G$22&gt;A2760)*(Calc!$G$3:$G$22-A2760)*Calc!$G$3:$G$22)</f>
        <v/>
      </c>
      <c r="M2760">
        <f>SUMPRODUCT(Calc!$K$3:$K$22*(Calc!$G$3:$G$22&gt;B2760)*(Calc!$G$3:$G$22-B2760)*Calc!$G$3:$G$22)</f>
        <v/>
      </c>
      <c r="N2760">
        <f>SUMPRODUCT(Calc!$K$3:$K$22*(Calc!$G$3:$G$22&gt;A2760)*(Calc!$G$3:$G$22-A2760)*Calc!$I$3:$I$22)</f>
        <v/>
      </c>
      <c r="O2760">
        <f>SUMPRODUCT(Calc!$K$3:$K$22*(Calc!$G$3:$G$22&gt;B2760)*(Calc!$G$3:$G$22-B2760)*Calc!$I$3:$I$22)</f>
        <v/>
      </c>
      <c r="P2760">
        <f>I2760-G2760^2/k_n</f>
        <v/>
      </c>
      <c r="Q2760">
        <f>J2760-H2760^2/k_n</f>
        <v/>
      </c>
      <c r="R2760">
        <f>K2760-G2760*H2760/k_n</f>
        <v/>
      </c>
      <c r="S2760">
        <f>L2760-LTP3!$D$3*G2760/k_n</f>
        <v/>
      </c>
      <c r="T2760">
        <f>M2760-LTP3!$D$3*H2760/k_n</f>
        <v/>
      </c>
      <c r="U2760">
        <f>N2760-G2760*LTP3!$D$4/k_n</f>
        <v/>
      </c>
      <c r="V2760">
        <f>O2760-H2760*LTP3!$D$4/k_n</f>
        <v/>
      </c>
      <c r="W2760">
        <f>((LTP3!$D$5)*((P2760)*(Q2760)-(R2760)*(R2760))-(S2760)*((S2760)*(Q2760)-(R2760)*(T2760))+(T2760)*((S2760)*(R2760)-(P2760)*(T2760)))</f>
        <v/>
      </c>
      <c r="X2760">
        <f>IF(ABS(W2760)&gt;1E-12,((LTP3!$D$6)*((P2760)*(Q2760)-(R2760)*(R2760))-(S2760)*((U2760)*(Q2760)-(R2760)*(V2760))+(T2760)*((U2760)*(R2760)-(P2760)*(V2760)))/W2760,0)</f>
        <v/>
      </c>
      <c r="Y2760">
        <f>IF(ABS(W2760)&gt;1E-12,((LTP3!$D$5)*((U2760)*(Q2760)-(R2760)*(V2760))-(LTP3!$D$6)*((S2760)*(Q2760)-(R2760)*(T2760))+(T2760)*((S2760)*(V2760)-(U2760)*(T2760)))/W2760,0)</f>
        <v/>
      </c>
      <c r="Z2760">
        <f>IF(ABS(W2760)&gt;1E-12,((LTP3!$D$5)*((P2760)*(V2760)-(U2760)*(R2760))-(S2760)*((S2760)*(V2760)-(U2760)*(T2760))+(LTP3!$D$6)*((S2760)*(R2760)-(P2760)*(T2760)))/W2760,0)</f>
        <v/>
      </c>
      <c r="AA2760">
        <f>LTP3!$D$7-X2760*LTP3!$D$6-Y2760*U2760-Z2760*V2760</f>
        <v/>
      </c>
      <c r="AB2760">
        <f>IF(AND(F2760,ABS(W2760)&gt;1E-12,Y2760&gt;0,Z2760&gt;0),AA2760,1E+300)</f>
        <v/>
      </c>
    </row>
    <row r="2761">
      <c r="A2761">
        <f>$B$3+$B$5*45</f>
        <v/>
      </c>
      <c r="B2761">
        <f>$B$3+$B$5*4</f>
        <v/>
      </c>
      <c r="C2761">
        <f>SUMPRODUCT(Calc!$K$3:$K$22*(Calc!$G$3:$G$22&lt;=A2761))</f>
        <v/>
      </c>
      <c r="D2761">
        <f>SUMPRODUCT(Calc!$K$3:$K$22*(Calc!$G$3:$G$22&gt;A2761)*(Calc!$G$3:$G$22&lt;B2761))</f>
        <v/>
      </c>
      <c r="E2761">
        <f>SUMPRODUCT(Calc!$K$3:$K$22*(Calc!$G$3:$G$22&gt;=B2761))</f>
        <v/>
      </c>
      <c r="F2761">
        <f>AND(k_n&gt;=5,B2761&gt;A2761+1E-9,C2761&gt;=2,D2761&gt;=1,E2761&gt;=2)</f>
        <v/>
      </c>
      <c r="G2761">
        <f>SUMPRODUCT(Calc!$K$3:$K$22*(Calc!$G$3:$G$22&gt;A2761)*(Calc!$G$3:$G$22-A2761))</f>
        <v/>
      </c>
      <c r="H2761">
        <f>SUMPRODUCT(Calc!$K$3:$K$22*(Calc!$G$3:$G$22&gt;B2761)*(Calc!$G$3:$G$22-B2761))</f>
        <v/>
      </c>
      <c r="I2761">
        <f>SUMPRODUCT(Calc!$K$3:$K$22*(Calc!$G$3:$G$22&gt;A2761)*(Calc!$G$3:$G$22-A2761)^2)</f>
        <v/>
      </c>
      <c r="J2761">
        <f>SUMPRODUCT(Calc!$K$3:$K$22*(Calc!$G$3:$G$22&gt;B2761)*(Calc!$G$3:$G$22-B2761)^2)</f>
        <v/>
      </c>
      <c r="K2761">
        <f>SUMPRODUCT(Calc!$K$3:$K$22*(Calc!$G$3:$G$22&gt;A2761)*(Calc!$G$3:$G$22-A2761)*(Calc!$G$3:$G$22&gt;B2761)*(Calc!$G$3:$G$22-B2761))</f>
        <v/>
      </c>
      <c r="L2761">
        <f>SUMPRODUCT(Calc!$K$3:$K$22*(Calc!$G$3:$G$22&gt;A2761)*(Calc!$G$3:$G$22-A2761)*Calc!$G$3:$G$22)</f>
        <v/>
      </c>
      <c r="M2761">
        <f>SUMPRODUCT(Calc!$K$3:$K$22*(Calc!$G$3:$G$22&gt;B2761)*(Calc!$G$3:$G$22-B2761)*Calc!$G$3:$G$22)</f>
        <v/>
      </c>
      <c r="N2761">
        <f>SUMPRODUCT(Calc!$K$3:$K$22*(Calc!$G$3:$G$22&gt;A2761)*(Calc!$G$3:$G$22-A2761)*Calc!$I$3:$I$22)</f>
        <v/>
      </c>
      <c r="O2761">
        <f>SUMPRODUCT(Calc!$K$3:$K$22*(Calc!$G$3:$G$22&gt;B2761)*(Calc!$G$3:$G$22-B2761)*Calc!$I$3:$I$22)</f>
        <v/>
      </c>
      <c r="P2761">
        <f>I2761-G2761^2/k_n</f>
        <v/>
      </c>
      <c r="Q2761">
        <f>J2761-H2761^2/k_n</f>
        <v/>
      </c>
      <c r="R2761">
        <f>K2761-G2761*H2761/k_n</f>
        <v/>
      </c>
      <c r="S2761">
        <f>L2761-LTP3!$D$3*G2761/k_n</f>
        <v/>
      </c>
      <c r="T2761">
        <f>M2761-LTP3!$D$3*H2761/k_n</f>
        <v/>
      </c>
      <c r="U2761">
        <f>N2761-G2761*LTP3!$D$4/k_n</f>
        <v/>
      </c>
      <c r="V2761">
        <f>O2761-H2761*LTP3!$D$4/k_n</f>
        <v/>
      </c>
      <c r="W2761">
        <f>((LTP3!$D$5)*((P2761)*(Q2761)-(R2761)*(R2761))-(S2761)*((S2761)*(Q2761)-(R2761)*(T2761))+(T2761)*((S2761)*(R2761)-(P2761)*(T2761)))</f>
        <v/>
      </c>
      <c r="X2761">
        <f>IF(ABS(W2761)&gt;1E-12,((LTP3!$D$6)*((P2761)*(Q2761)-(R2761)*(R2761))-(S2761)*((U2761)*(Q2761)-(R2761)*(V2761))+(T2761)*((U2761)*(R2761)-(P2761)*(V2761)))/W2761,0)</f>
        <v/>
      </c>
      <c r="Y2761">
        <f>IF(ABS(W2761)&gt;1E-12,((LTP3!$D$5)*((U2761)*(Q2761)-(R2761)*(V2761))-(LTP3!$D$6)*((S2761)*(Q2761)-(R2761)*(T2761))+(T2761)*((S2761)*(V2761)-(U2761)*(T2761)))/W2761,0)</f>
        <v/>
      </c>
      <c r="Z2761">
        <f>IF(ABS(W2761)&gt;1E-12,((LTP3!$D$5)*((P2761)*(V2761)-(U2761)*(R2761))-(S2761)*((S2761)*(V2761)-(U2761)*(T2761))+(LTP3!$D$6)*((S2761)*(R2761)-(P2761)*(T2761)))/W2761,0)</f>
        <v/>
      </c>
      <c r="AA2761">
        <f>LTP3!$D$7-X2761*LTP3!$D$6-Y2761*U2761-Z2761*V2761</f>
        <v/>
      </c>
      <c r="AB2761">
        <f>IF(AND(F2761,ABS(W2761)&gt;1E-12,Y2761&gt;0,Z2761&gt;0),AA2761,1E+300)</f>
        <v/>
      </c>
    </row>
    <row r="2762">
      <c r="A2762">
        <f>$B$3+$B$5*45</f>
        <v/>
      </c>
      <c r="B2762">
        <f>$B$3+$B$5*5</f>
        <v/>
      </c>
      <c r="C2762">
        <f>SUMPRODUCT(Calc!$K$3:$K$22*(Calc!$G$3:$G$22&lt;=A2762))</f>
        <v/>
      </c>
      <c r="D2762">
        <f>SUMPRODUCT(Calc!$K$3:$K$22*(Calc!$G$3:$G$22&gt;A2762)*(Calc!$G$3:$G$22&lt;B2762))</f>
        <v/>
      </c>
      <c r="E2762">
        <f>SUMPRODUCT(Calc!$K$3:$K$22*(Calc!$G$3:$G$22&gt;=B2762))</f>
        <v/>
      </c>
      <c r="F2762">
        <f>AND(k_n&gt;=5,B2762&gt;A2762+1E-9,C2762&gt;=2,D2762&gt;=1,E2762&gt;=2)</f>
        <v/>
      </c>
      <c r="G2762">
        <f>SUMPRODUCT(Calc!$K$3:$K$22*(Calc!$G$3:$G$22&gt;A2762)*(Calc!$G$3:$G$22-A2762))</f>
        <v/>
      </c>
      <c r="H2762">
        <f>SUMPRODUCT(Calc!$K$3:$K$22*(Calc!$G$3:$G$22&gt;B2762)*(Calc!$G$3:$G$22-B2762))</f>
        <v/>
      </c>
      <c r="I2762">
        <f>SUMPRODUCT(Calc!$K$3:$K$22*(Calc!$G$3:$G$22&gt;A2762)*(Calc!$G$3:$G$22-A2762)^2)</f>
        <v/>
      </c>
      <c r="J2762">
        <f>SUMPRODUCT(Calc!$K$3:$K$22*(Calc!$G$3:$G$22&gt;B2762)*(Calc!$G$3:$G$22-B2762)^2)</f>
        <v/>
      </c>
      <c r="K2762">
        <f>SUMPRODUCT(Calc!$K$3:$K$22*(Calc!$G$3:$G$22&gt;A2762)*(Calc!$G$3:$G$22-A2762)*(Calc!$G$3:$G$22&gt;B2762)*(Calc!$G$3:$G$22-B2762))</f>
        <v/>
      </c>
      <c r="L2762">
        <f>SUMPRODUCT(Calc!$K$3:$K$22*(Calc!$G$3:$G$22&gt;A2762)*(Calc!$G$3:$G$22-A2762)*Calc!$G$3:$G$22)</f>
        <v/>
      </c>
      <c r="M2762">
        <f>SUMPRODUCT(Calc!$K$3:$K$22*(Calc!$G$3:$G$22&gt;B2762)*(Calc!$G$3:$G$22-B2762)*Calc!$G$3:$G$22)</f>
        <v/>
      </c>
      <c r="N2762">
        <f>SUMPRODUCT(Calc!$K$3:$K$22*(Calc!$G$3:$G$22&gt;A2762)*(Calc!$G$3:$G$22-A2762)*Calc!$I$3:$I$22)</f>
        <v/>
      </c>
      <c r="O2762">
        <f>SUMPRODUCT(Calc!$K$3:$K$22*(Calc!$G$3:$G$22&gt;B2762)*(Calc!$G$3:$G$22-B2762)*Calc!$I$3:$I$22)</f>
        <v/>
      </c>
      <c r="P2762">
        <f>I2762-G2762^2/k_n</f>
        <v/>
      </c>
      <c r="Q2762">
        <f>J2762-H2762^2/k_n</f>
        <v/>
      </c>
      <c r="R2762">
        <f>K2762-G2762*H2762/k_n</f>
        <v/>
      </c>
      <c r="S2762">
        <f>L2762-LTP3!$D$3*G2762/k_n</f>
        <v/>
      </c>
      <c r="T2762">
        <f>M2762-LTP3!$D$3*H2762/k_n</f>
        <v/>
      </c>
      <c r="U2762">
        <f>N2762-G2762*LTP3!$D$4/k_n</f>
        <v/>
      </c>
      <c r="V2762">
        <f>O2762-H2762*LTP3!$D$4/k_n</f>
        <v/>
      </c>
      <c r="W2762">
        <f>((LTP3!$D$5)*((P2762)*(Q2762)-(R2762)*(R2762))-(S2762)*((S2762)*(Q2762)-(R2762)*(T2762))+(T2762)*((S2762)*(R2762)-(P2762)*(T2762)))</f>
        <v/>
      </c>
      <c r="X2762">
        <f>IF(ABS(W2762)&gt;1E-12,((LTP3!$D$6)*((P2762)*(Q2762)-(R2762)*(R2762))-(S2762)*((U2762)*(Q2762)-(R2762)*(V2762))+(T2762)*((U2762)*(R2762)-(P2762)*(V2762)))/W2762,0)</f>
        <v/>
      </c>
      <c r="Y2762">
        <f>IF(ABS(W2762)&gt;1E-12,((LTP3!$D$5)*((U2762)*(Q2762)-(R2762)*(V2762))-(LTP3!$D$6)*((S2762)*(Q2762)-(R2762)*(T2762))+(T2762)*((S2762)*(V2762)-(U2762)*(T2762)))/W2762,0)</f>
        <v/>
      </c>
      <c r="Z2762">
        <f>IF(ABS(W2762)&gt;1E-12,((LTP3!$D$5)*((P2762)*(V2762)-(U2762)*(R2762))-(S2762)*((S2762)*(V2762)-(U2762)*(T2762))+(LTP3!$D$6)*((S2762)*(R2762)-(P2762)*(T2762)))/W2762,0)</f>
        <v/>
      </c>
      <c r="AA2762">
        <f>LTP3!$D$7-X2762*LTP3!$D$6-Y2762*U2762-Z2762*V2762</f>
        <v/>
      </c>
      <c r="AB2762">
        <f>IF(AND(F2762,ABS(W2762)&gt;1E-12,Y2762&gt;0,Z2762&gt;0),AA2762,1E+300)</f>
        <v/>
      </c>
    </row>
    <row r="2763">
      <c r="A2763">
        <f>$B$3+$B$5*45</f>
        <v/>
      </c>
      <c r="B2763">
        <f>$B$3+$B$5*6</f>
        <v/>
      </c>
      <c r="C2763">
        <f>SUMPRODUCT(Calc!$K$3:$K$22*(Calc!$G$3:$G$22&lt;=A2763))</f>
        <v/>
      </c>
      <c r="D2763">
        <f>SUMPRODUCT(Calc!$K$3:$K$22*(Calc!$G$3:$G$22&gt;A2763)*(Calc!$G$3:$G$22&lt;B2763))</f>
        <v/>
      </c>
      <c r="E2763">
        <f>SUMPRODUCT(Calc!$K$3:$K$22*(Calc!$G$3:$G$22&gt;=B2763))</f>
        <v/>
      </c>
      <c r="F2763">
        <f>AND(k_n&gt;=5,B2763&gt;A2763+1E-9,C2763&gt;=2,D2763&gt;=1,E2763&gt;=2)</f>
        <v/>
      </c>
      <c r="G2763">
        <f>SUMPRODUCT(Calc!$K$3:$K$22*(Calc!$G$3:$G$22&gt;A2763)*(Calc!$G$3:$G$22-A2763))</f>
        <v/>
      </c>
      <c r="H2763">
        <f>SUMPRODUCT(Calc!$K$3:$K$22*(Calc!$G$3:$G$22&gt;B2763)*(Calc!$G$3:$G$22-B2763))</f>
        <v/>
      </c>
      <c r="I2763">
        <f>SUMPRODUCT(Calc!$K$3:$K$22*(Calc!$G$3:$G$22&gt;A2763)*(Calc!$G$3:$G$22-A2763)^2)</f>
        <v/>
      </c>
      <c r="J2763">
        <f>SUMPRODUCT(Calc!$K$3:$K$22*(Calc!$G$3:$G$22&gt;B2763)*(Calc!$G$3:$G$22-B2763)^2)</f>
        <v/>
      </c>
      <c r="K2763">
        <f>SUMPRODUCT(Calc!$K$3:$K$22*(Calc!$G$3:$G$22&gt;A2763)*(Calc!$G$3:$G$22-A2763)*(Calc!$G$3:$G$22&gt;B2763)*(Calc!$G$3:$G$22-B2763))</f>
        <v/>
      </c>
      <c r="L2763">
        <f>SUMPRODUCT(Calc!$K$3:$K$22*(Calc!$G$3:$G$22&gt;A2763)*(Calc!$G$3:$G$22-A2763)*Calc!$G$3:$G$22)</f>
        <v/>
      </c>
      <c r="M2763">
        <f>SUMPRODUCT(Calc!$K$3:$K$22*(Calc!$G$3:$G$22&gt;B2763)*(Calc!$G$3:$G$22-B2763)*Calc!$G$3:$G$22)</f>
        <v/>
      </c>
      <c r="N2763">
        <f>SUMPRODUCT(Calc!$K$3:$K$22*(Calc!$G$3:$G$22&gt;A2763)*(Calc!$G$3:$G$22-A2763)*Calc!$I$3:$I$22)</f>
        <v/>
      </c>
      <c r="O2763">
        <f>SUMPRODUCT(Calc!$K$3:$K$22*(Calc!$G$3:$G$22&gt;B2763)*(Calc!$G$3:$G$22-B2763)*Calc!$I$3:$I$22)</f>
        <v/>
      </c>
      <c r="P2763">
        <f>I2763-G2763^2/k_n</f>
        <v/>
      </c>
      <c r="Q2763">
        <f>J2763-H2763^2/k_n</f>
        <v/>
      </c>
      <c r="R2763">
        <f>K2763-G2763*H2763/k_n</f>
        <v/>
      </c>
      <c r="S2763">
        <f>L2763-LTP3!$D$3*G2763/k_n</f>
        <v/>
      </c>
      <c r="T2763">
        <f>M2763-LTP3!$D$3*H2763/k_n</f>
        <v/>
      </c>
      <c r="U2763">
        <f>N2763-G2763*LTP3!$D$4/k_n</f>
        <v/>
      </c>
      <c r="V2763">
        <f>O2763-H2763*LTP3!$D$4/k_n</f>
        <v/>
      </c>
      <c r="W2763">
        <f>((LTP3!$D$5)*((P2763)*(Q2763)-(R2763)*(R2763))-(S2763)*((S2763)*(Q2763)-(R2763)*(T2763))+(T2763)*((S2763)*(R2763)-(P2763)*(T2763)))</f>
        <v/>
      </c>
      <c r="X2763">
        <f>IF(ABS(W2763)&gt;1E-12,((LTP3!$D$6)*((P2763)*(Q2763)-(R2763)*(R2763))-(S2763)*((U2763)*(Q2763)-(R2763)*(V2763))+(T2763)*((U2763)*(R2763)-(P2763)*(V2763)))/W2763,0)</f>
        <v/>
      </c>
      <c r="Y2763">
        <f>IF(ABS(W2763)&gt;1E-12,((LTP3!$D$5)*((U2763)*(Q2763)-(R2763)*(V2763))-(LTP3!$D$6)*((S2763)*(Q2763)-(R2763)*(T2763))+(T2763)*((S2763)*(V2763)-(U2763)*(T2763)))/W2763,0)</f>
        <v/>
      </c>
      <c r="Z2763">
        <f>IF(ABS(W2763)&gt;1E-12,((LTP3!$D$5)*((P2763)*(V2763)-(U2763)*(R2763))-(S2763)*((S2763)*(V2763)-(U2763)*(T2763))+(LTP3!$D$6)*((S2763)*(R2763)-(P2763)*(T2763)))/W2763,0)</f>
        <v/>
      </c>
      <c r="AA2763">
        <f>LTP3!$D$7-X2763*LTP3!$D$6-Y2763*U2763-Z2763*V2763</f>
        <v/>
      </c>
      <c r="AB2763">
        <f>IF(AND(F2763,ABS(W2763)&gt;1E-12,Y2763&gt;0,Z2763&gt;0),AA2763,1E+300)</f>
        <v/>
      </c>
    </row>
    <row r="2764">
      <c r="A2764">
        <f>$B$3+$B$5*45</f>
        <v/>
      </c>
      <c r="B2764">
        <f>$B$3+$B$5*7</f>
        <v/>
      </c>
      <c r="C2764">
        <f>SUMPRODUCT(Calc!$K$3:$K$22*(Calc!$G$3:$G$22&lt;=A2764))</f>
        <v/>
      </c>
      <c r="D2764">
        <f>SUMPRODUCT(Calc!$K$3:$K$22*(Calc!$G$3:$G$22&gt;A2764)*(Calc!$G$3:$G$22&lt;B2764))</f>
        <v/>
      </c>
      <c r="E2764">
        <f>SUMPRODUCT(Calc!$K$3:$K$22*(Calc!$G$3:$G$22&gt;=B2764))</f>
        <v/>
      </c>
      <c r="F2764">
        <f>AND(k_n&gt;=5,B2764&gt;A2764+1E-9,C2764&gt;=2,D2764&gt;=1,E2764&gt;=2)</f>
        <v/>
      </c>
      <c r="G2764">
        <f>SUMPRODUCT(Calc!$K$3:$K$22*(Calc!$G$3:$G$22&gt;A2764)*(Calc!$G$3:$G$22-A2764))</f>
        <v/>
      </c>
      <c r="H2764">
        <f>SUMPRODUCT(Calc!$K$3:$K$22*(Calc!$G$3:$G$22&gt;B2764)*(Calc!$G$3:$G$22-B2764))</f>
        <v/>
      </c>
      <c r="I2764">
        <f>SUMPRODUCT(Calc!$K$3:$K$22*(Calc!$G$3:$G$22&gt;A2764)*(Calc!$G$3:$G$22-A2764)^2)</f>
        <v/>
      </c>
      <c r="J2764">
        <f>SUMPRODUCT(Calc!$K$3:$K$22*(Calc!$G$3:$G$22&gt;B2764)*(Calc!$G$3:$G$22-B2764)^2)</f>
        <v/>
      </c>
      <c r="K2764">
        <f>SUMPRODUCT(Calc!$K$3:$K$22*(Calc!$G$3:$G$22&gt;A2764)*(Calc!$G$3:$G$22-A2764)*(Calc!$G$3:$G$22&gt;B2764)*(Calc!$G$3:$G$22-B2764))</f>
        <v/>
      </c>
      <c r="L2764">
        <f>SUMPRODUCT(Calc!$K$3:$K$22*(Calc!$G$3:$G$22&gt;A2764)*(Calc!$G$3:$G$22-A2764)*Calc!$G$3:$G$22)</f>
        <v/>
      </c>
      <c r="M2764">
        <f>SUMPRODUCT(Calc!$K$3:$K$22*(Calc!$G$3:$G$22&gt;B2764)*(Calc!$G$3:$G$22-B2764)*Calc!$G$3:$G$22)</f>
        <v/>
      </c>
      <c r="N2764">
        <f>SUMPRODUCT(Calc!$K$3:$K$22*(Calc!$G$3:$G$22&gt;A2764)*(Calc!$G$3:$G$22-A2764)*Calc!$I$3:$I$22)</f>
        <v/>
      </c>
      <c r="O2764">
        <f>SUMPRODUCT(Calc!$K$3:$K$22*(Calc!$G$3:$G$22&gt;B2764)*(Calc!$G$3:$G$22-B2764)*Calc!$I$3:$I$22)</f>
        <v/>
      </c>
      <c r="P2764">
        <f>I2764-G2764^2/k_n</f>
        <v/>
      </c>
      <c r="Q2764">
        <f>J2764-H2764^2/k_n</f>
        <v/>
      </c>
      <c r="R2764">
        <f>K2764-G2764*H2764/k_n</f>
        <v/>
      </c>
      <c r="S2764">
        <f>L2764-LTP3!$D$3*G2764/k_n</f>
        <v/>
      </c>
      <c r="T2764">
        <f>M2764-LTP3!$D$3*H2764/k_n</f>
        <v/>
      </c>
      <c r="U2764">
        <f>N2764-G2764*LTP3!$D$4/k_n</f>
        <v/>
      </c>
      <c r="V2764">
        <f>O2764-H2764*LTP3!$D$4/k_n</f>
        <v/>
      </c>
      <c r="W2764">
        <f>((LTP3!$D$5)*((P2764)*(Q2764)-(R2764)*(R2764))-(S2764)*((S2764)*(Q2764)-(R2764)*(T2764))+(T2764)*((S2764)*(R2764)-(P2764)*(T2764)))</f>
        <v/>
      </c>
      <c r="X2764">
        <f>IF(ABS(W2764)&gt;1E-12,((LTP3!$D$6)*((P2764)*(Q2764)-(R2764)*(R2764))-(S2764)*((U2764)*(Q2764)-(R2764)*(V2764))+(T2764)*((U2764)*(R2764)-(P2764)*(V2764)))/W2764,0)</f>
        <v/>
      </c>
      <c r="Y2764">
        <f>IF(ABS(W2764)&gt;1E-12,((LTP3!$D$5)*((U2764)*(Q2764)-(R2764)*(V2764))-(LTP3!$D$6)*((S2764)*(Q2764)-(R2764)*(T2764))+(T2764)*((S2764)*(V2764)-(U2764)*(T2764)))/W2764,0)</f>
        <v/>
      </c>
      <c r="Z2764">
        <f>IF(ABS(W2764)&gt;1E-12,((LTP3!$D$5)*((P2764)*(V2764)-(U2764)*(R2764))-(S2764)*((S2764)*(V2764)-(U2764)*(T2764))+(LTP3!$D$6)*((S2764)*(R2764)-(P2764)*(T2764)))/W2764,0)</f>
        <v/>
      </c>
      <c r="AA2764">
        <f>LTP3!$D$7-X2764*LTP3!$D$6-Y2764*U2764-Z2764*V2764</f>
        <v/>
      </c>
      <c r="AB2764">
        <f>IF(AND(F2764,ABS(W2764)&gt;1E-12,Y2764&gt;0,Z2764&gt;0),AA2764,1E+300)</f>
        <v/>
      </c>
    </row>
    <row r="2765">
      <c r="A2765">
        <f>$B$3+$B$5*45</f>
        <v/>
      </c>
      <c r="B2765">
        <f>$B$3+$B$5*8</f>
        <v/>
      </c>
      <c r="C2765">
        <f>SUMPRODUCT(Calc!$K$3:$K$22*(Calc!$G$3:$G$22&lt;=A2765))</f>
        <v/>
      </c>
      <c r="D2765">
        <f>SUMPRODUCT(Calc!$K$3:$K$22*(Calc!$G$3:$G$22&gt;A2765)*(Calc!$G$3:$G$22&lt;B2765))</f>
        <v/>
      </c>
      <c r="E2765">
        <f>SUMPRODUCT(Calc!$K$3:$K$22*(Calc!$G$3:$G$22&gt;=B2765))</f>
        <v/>
      </c>
      <c r="F2765">
        <f>AND(k_n&gt;=5,B2765&gt;A2765+1E-9,C2765&gt;=2,D2765&gt;=1,E2765&gt;=2)</f>
        <v/>
      </c>
      <c r="G2765">
        <f>SUMPRODUCT(Calc!$K$3:$K$22*(Calc!$G$3:$G$22&gt;A2765)*(Calc!$G$3:$G$22-A2765))</f>
        <v/>
      </c>
      <c r="H2765">
        <f>SUMPRODUCT(Calc!$K$3:$K$22*(Calc!$G$3:$G$22&gt;B2765)*(Calc!$G$3:$G$22-B2765))</f>
        <v/>
      </c>
      <c r="I2765">
        <f>SUMPRODUCT(Calc!$K$3:$K$22*(Calc!$G$3:$G$22&gt;A2765)*(Calc!$G$3:$G$22-A2765)^2)</f>
        <v/>
      </c>
      <c r="J2765">
        <f>SUMPRODUCT(Calc!$K$3:$K$22*(Calc!$G$3:$G$22&gt;B2765)*(Calc!$G$3:$G$22-B2765)^2)</f>
        <v/>
      </c>
      <c r="K2765">
        <f>SUMPRODUCT(Calc!$K$3:$K$22*(Calc!$G$3:$G$22&gt;A2765)*(Calc!$G$3:$G$22-A2765)*(Calc!$G$3:$G$22&gt;B2765)*(Calc!$G$3:$G$22-B2765))</f>
        <v/>
      </c>
      <c r="L2765">
        <f>SUMPRODUCT(Calc!$K$3:$K$22*(Calc!$G$3:$G$22&gt;A2765)*(Calc!$G$3:$G$22-A2765)*Calc!$G$3:$G$22)</f>
        <v/>
      </c>
      <c r="M2765">
        <f>SUMPRODUCT(Calc!$K$3:$K$22*(Calc!$G$3:$G$22&gt;B2765)*(Calc!$G$3:$G$22-B2765)*Calc!$G$3:$G$22)</f>
        <v/>
      </c>
      <c r="N2765">
        <f>SUMPRODUCT(Calc!$K$3:$K$22*(Calc!$G$3:$G$22&gt;A2765)*(Calc!$G$3:$G$22-A2765)*Calc!$I$3:$I$22)</f>
        <v/>
      </c>
      <c r="O2765">
        <f>SUMPRODUCT(Calc!$K$3:$K$22*(Calc!$G$3:$G$22&gt;B2765)*(Calc!$G$3:$G$22-B2765)*Calc!$I$3:$I$22)</f>
        <v/>
      </c>
      <c r="P2765">
        <f>I2765-G2765^2/k_n</f>
        <v/>
      </c>
      <c r="Q2765">
        <f>J2765-H2765^2/k_n</f>
        <v/>
      </c>
      <c r="R2765">
        <f>K2765-G2765*H2765/k_n</f>
        <v/>
      </c>
      <c r="S2765">
        <f>L2765-LTP3!$D$3*G2765/k_n</f>
        <v/>
      </c>
      <c r="T2765">
        <f>M2765-LTP3!$D$3*H2765/k_n</f>
        <v/>
      </c>
      <c r="U2765">
        <f>N2765-G2765*LTP3!$D$4/k_n</f>
        <v/>
      </c>
      <c r="V2765">
        <f>O2765-H2765*LTP3!$D$4/k_n</f>
        <v/>
      </c>
      <c r="W2765">
        <f>((LTP3!$D$5)*((P2765)*(Q2765)-(R2765)*(R2765))-(S2765)*((S2765)*(Q2765)-(R2765)*(T2765))+(T2765)*((S2765)*(R2765)-(P2765)*(T2765)))</f>
        <v/>
      </c>
      <c r="X2765">
        <f>IF(ABS(W2765)&gt;1E-12,((LTP3!$D$6)*((P2765)*(Q2765)-(R2765)*(R2765))-(S2765)*((U2765)*(Q2765)-(R2765)*(V2765))+(T2765)*((U2765)*(R2765)-(P2765)*(V2765)))/W2765,0)</f>
        <v/>
      </c>
      <c r="Y2765">
        <f>IF(ABS(W2765)&gt;1E-12,((LTP3!$D$5)*((U2765)*(Q2765)-(R2765)*(V2765))-(LTP3!$D$6)*((S2765)*(Q2765)-(R2765)*(T2765))+(T2765)*((S2765)*(V2765)-(U2765)*(T2765)))/W2765,0)</f>
        <v/>
      </c>
      <c r="Z2765">
        <f>IF(ABS(W2765)&gt;1E-12,((LTP3!$D$5)*((P2765)*(V2765)-(U2765)*(R2765))-(S2765)*((S2765)*(V2765)-(U2765)*(T2765))+(LTP3!$D$6)*((S2765)*(R2765)-(P2765)*(T2765)))/W2765,0)</f>
        <v/>
      </c>
      <c r="AA2765">
        <f>LTP3!$D$7-X2765*LTP3!$D$6-Y2765*U2765-Z2765*V2765</f>
        <v/>
      </c>
      <c r="AB2765">
        <f>IF(AND(F2765,ABS(W2765)&gt;1E-12,Y2765&gt;0,Z2765&gt;0),AA2765,1E+300)</f>
        <v/>
      </c>
    </row>
    <row r="2766">
      <c r="A2766">
        <f>$B$3+$B$5*45</f>
        <v/>
      </c>
      <c r="B2766">
        <f>$B$3+$B$5*9</f>
        <v/>
      </c>
      <c r="C2766">
        <f>SUMPRODUCT(Calc!$K$3:$K$22*(Calc!$G$3:$G$22&lt;=A2766))</f>
        <v/>
      </c>
      <c r="D2766">
        <f>SUMPRODUCT(Calc!$K$3:$K$22*(Calc!$G$3:$G$22&gt;A2766)*(Calc!$G$3:$G$22&lt;B2766))</f>
        <v/>
      </c>
      <c r="E2766">
        <f>SUMPRODUCT(Calc!$K$3:$K$22*(Calc!$G$3:$G$22&gt;=B2766))</f>
        <v/>
      </c>
      <c r="F2766">
        <f>AND(k_n&gt;=5,B2766&gt;A2766+1E-9,C2766&gt;=2,D2766&gt;=1,E2766&gt;=2)</f>
        <v/>
      </c>
      <c r="G2766">
        <f>SUMPRODUCT(Calc!$K$3:$K$22*(Calc!$G$3:$G$22&gt;A2766)*(Calc!$G$3:$G$22-A2766))</f>
        <v/>
      </c>
      <c r="H2766">
        <f>SUMPRODUCT(Calc!$K$3:$K$22*(Calc!$G$3:$G$22&gt;B2766)*(Calc!$G$3:$G$22-B2766))</f>
        <v/>
      </c>
      <c r="I2766">
        <f>SUMPRODUCT(Calc!$K$3:$K$22*(Calc!$G$3:$G$22&gt;A2766)*(Calc!$G$3:$G$22-A2766)^2)</f>
        <v/>
      </c>
      <c r="J2766">
        <f>SUMPRODUCT(Calc!$K$3:$K$22*(Calc!$G$3:$G$22&gt;B2766)*(Calc!$G$3:$G$22-B2766)^2)</f>
        <v/>
      </c>
      <c r="K2766">
        <f>SUMPRODUCT(Calc!$K$3:$K$22*(Calc!$G$3:$G$22&gt;A2766)*(Calc!$G$3:$G$22-A2766)*(Calc!$G$3:$G$22&gt;B2766)*(Calc!$G$3:$G$22-B2766))</f>
        <v/>
      </c>
      <c r="L2766">
        <f>SUMPRODUCT(Calc!$K$3:$K$22*(Calc!$G$3:$G$22&gt;A2766)*(Calc!$G$3:$G$22-A2766)*Calc!$G$3:$G$22)</f>
        <v/>
      </c>
      <c r="M2766">
        <f>SUMPRODUCT(Calc!$K$3:$K$22*(Calc!$G$3:$G$22&gt;B2766)*(Calc!$G$3:$G$22-B2766)*Calc!$G$3:$G$22)</f>
        <v/>
      </c>
      <c r="N2766">
        <f>SUMPRODUCT(Calc!$K$3:$K$22*(Calc!$G$3:$G$22&gt;A2766)*(Calc!$G$3:$G$22-A2766)*Calc!$I$3:$I$22)</f>
        <v/>
      </c>
      <c r="O2766">
        <f>SUMPRODUCT(Calc!$K$3:$K$22*(Calc!$G$3:$G$22&gt;B2766)*(Calc!$G$3:$G$22-B2766)*Calc!$I$3:$I$22)</f>
        <v/>
      </c>
      <c r="P2766">
        <f>I2766-G2766^2/k_n</f>
        <v/>
      </c>
      <c r="Q2766">
        <f>J2766-H2766^2/k_n</f>
        <v/>
      </c>
      <c r="R2766">
        <f>K2766-G2766*H2766/k_n</f>
        <v/>
      </c>
      <c r="S2766">
        <f>L2766-LTP3!$D$3*G2766/k_n</f>
        <v/>
      </c>
      <c r="T2766">
        <f>M2766-LTP3!$D$3*H2766/k_n</f>
        <v/>
      </c>
      <c r="U2766">
        <f>N2766-G2766*LTP3!$D$4/k_n</f>
        <v/>
      </c>
      <c r="V2766">
        <f>O2766-H2766*LTP3!$D$4/k_n</f>
        <v/>
      </c>
      <c r="W2766">
        <f>((LTP3!$D$5)*((P2766)*(Q2766)-(R2766)*(R2766))-(S2766)*((S2766)*(Q2766)-(R2766)*(T2766))+(T2766)*((S2766)*(R2766)-(P2766)*(T2766)))</f>
        <v/>
      </c>
      <c r="X2766">
        <f>IF(ABS(W2766)&gt;1E-12,((LTP3!$D$6)*((P2766)*(Q2766)-(R2766)*(R2766))-(S2766)*((U2766)*(Q2766)-(R2766)*(V2766))+(T2766)*((U2766)*(R2766)-(P2766)*(V2766)))/W2766,0)</f>
        <v/>
      </c>
      <c r="Y2766">
        <f>IF(ABS(W2766)&gt;1E-12,((LTP3!$D$5)*((U2766)*(Q2766)-(R2766)*(V2766))-(LTP3!$D$6)*((S2766)*(Q2766)-(R2766)*(T2766))+(T2766)*((S2766)*(V2766)-(U2766)*(T2766)))/W2766,0)</f>
        <v/>
      </c>
      <c r="Z2766">
        <f>IF(ABS(W2766)&gt;1E-12,((LTP3!$D$5)*((P2766)*(V2766)-(U2766)*(R2766))-(S2766)*((S2766)*(V2766)-(U2766)*(T2766))+(LTP3!$D$6)*((S2766)*(R2766)-(P2766)*(T2766)))/W2766,0)</f>
        <v/>
      </c>
      <c r="AA2766">
        <f>LTP3!$D$7-X2766*LTP3!$D$6-Y2766*U2766-Z2766*V2766</f>
        <v/>
      </c>
      <c r="AB2766">
        <f>IF(AND(F2766,ABS(W2766)&gt;1E-12,Y2766&gt;0,Z2766&gt;0),AA2766,1E+300)</f>
        <v/>
      </c>
    </row>
    <row r="2767">
      <c r="A2767">
        <f>$B$3+$B$5*45</f>
        <v/>
      </c>
      <c r="B2767">
        <f>$B$3+$B$5*10</f>
        <v/>
      </c>
      <c r="C2767">
        <f>SUMPRODUCT(Calc!$K$3:$K$22*(Calc!$G$3:$G$22&lt;=A2767))</f>
        <v/>
      </c>
      <c r="D2767">
        <f>SUMPRODUCT(Calc!$K$3:$K$22*(Calc!$G$3:$G$22&gt;A2767)*(Calc!$G$3:$G$22&lt;B2767))</f>
        <v/>
      </c>
      <c r="E2767">
        <f>SUMPRODUCT(Calc!$K$3:$K$22*(Calc!$G$3:$G$22&gt;=B2767))</f>
        <v/>
      </c>
      <c r="F2767">
        <f>AND(k_n&gt;=5,B2767&gt;A2767+1E-9,C2767&gt;=2,D2767&gt;=1,E2767&gt;=2)</f>
        <v/>
      </c>
      <c r="G2767">
        <f>SUMPRODUCT(Calc!$K$3:$K$22*(Calc!$G$3:$G$22&gt;A2767)*(Calc!$G$3:$G$22-A2767))</f>
        <v/>
      </c>
      <c r="H2767">
        <f>SUMPRODUCT(Calc!$K$3:$K$22*(Calc!$G$3:$G$22&gt;B2767)*(Calc!$G$3:$G$22-B2767))</f>
        <v/>
      </c>
      <c r="I2767">
        <f>SUMPRODUCT(Calc!$K$3:$K$22*(Calc!$G$3:$G$22&gt;A2767)*(Calc!$G$3:$G$22-A2767)^2)</f>
        <v/>
      </c>
      <c r="J2767">
        <f>SUMPRODUCT(Calc!$K$3:$K$22*(Calc!$G$3:$G$22&gt;B2767)*(Calc!$G$3:$G$22-B2767)^2)</f>
        <v/>
      </c>
      <c r="K2767">
        <f>SUMPRODUCT(Calc!$K$3:$K$22*(Calc!$G$3:$G$22&gt;A2767)*(Calc!$G$3:$G$22-A2767)*(Calc!$G$3:$G$22&gt;B2767)*(Calc!$G$3:$G$22-B2767))</f>
        <v/>
      </c>
      <c r="L2767">
        <f>SUMPRODUCT(Calc!$K$3:$K$22*(Calc!$G$3:$G$22&gt;A2767)*(Calc!$G$3:$G$22-A2767)*Calc!$G$3:$G$22)</f>
        <v/>
      </c>
      <c r="M2767">
        <f>SUMPRODUCT(Calc!$K$3:$K$22*(Calc!$G$3:$G$22&gt;B2767)*(Calc!$G$3:$G$22-B2767)*Calc!$G$3:$G$22)</f>
        <v/>
      </c>
      <c r="N2767">
        <f>SUMPRODUCT(Calc!$K$3:$K$22*(Calc!$G$3:$G$22&gt;A2767)*(Calc!$G$3:$G$22-A2767)*Calc!$I$3:$I$22)</f>
        <v/>
      </c>
      <c r="O2767">
        <f>SUMPRODUCT(Calc!$K$3:$K$22*(Calc!$G$3:$G$22&gt;B2767)*(Calc!$G$3:$G$22-B2767)*Calc!$I$3:$I$22)</f>
        <v/>
      </c>
      <c r="P2767">
        <f>I2767-G2767^2/k_n</f>
        <v/>
      </c>
      <c r="Q2767">
        <f>J2767-H2767^2/k_n</f>
        <v/>
      </c>
      <c r="R2767">
        <f>K2767-G2767*H2767/k_n</f>
        <v/>
      </c>
      <c r="S2767">
        <f>L2767-LTP3!$D$3*G2767/k_n</f>
        <v/>
      </c>
      <c r="T2767">
        <f>M2767-LTP3!$D$3*H2767/k_n</f>
        <v/>
      </c>
      <c r="U2767">
        <f>N2767-G2767*LTP3!$D$4/k_n</f>
        <v/>
      </c>
      <c r="V2767">
        <f>O2767-H2767*LTP3!$D$4/k_n</f>
        <v/>
      </c>
      <c r="W2767">
        <f>((LTP3!$D$5)*((P2767)*(Q2767)-(R2767)*(R2767))-(S2767)*((S2767)*(Q2767)-(R2767)*(T2767))+(T2767)*((S2767)*(R2767)-(P2767)*(T2767)))</f>
        <v/>
      </c>
      <c r="X2767">
        <f>IF(ABS(W2767)&gt;1E-12,((LTP3!$D$6)*((P2767)*(Q2767)-(R2767)*(R2767))-(S2767)*((U2767)*(Q2767)-(R2767)*(V2767))+(T2767)*((U2767)*(R2767)-(P2767)*(V2767)))/W2767,0)</f>
        <v/>
      </c>
      <c r="Y2767">
        <f>IF(ABS(W2767)&gt;1E-12,((LTP3!$D$5)*((U2767)*(Q2767)-(R2767)*(V2767))-(LTP3!$D$6)*((S2767)*(Q2767)-(R2767)*(T2767))+(T2767)*((S2767)*(V2767)-(U2767)*(T2767)))/W2767,0)</f>
        <v/>
      </c>
      <c r="Z2767">
        <f>IF(ABS(W2767)&gt;1E-12,((LTP3!$D$5)*((P2767)*(V2767)-(U2767)*(R2767))-(S2767)*((S2767)*(V2767)-(U2767)*(T2767))+(LTP3!$D$6)*((S2767)*(R2767)-(P2767)*(T2767)))/W2767,0)</f>
        <v/>
      </c>
      <c r="AA2767">
        <f>LTP3!$D$7-X2767*LTP3!$D$6-Y2767*U2767-Z2767*V2767</f>
        <v/>
      </c>
      <c r="AB2767">
        <f>IF(AND(F2767,ABS(W2767)&gt;1E-12,Y2767&gt;0,Z2767&gt;0),AA2767,1E+300)</f>
        <v/>
      </c>
    </row>
    <row r="2768">
      <c r="A2768">
        <f>$B$3+$B$5*45</f>
        <v/>
      </c>
      <c r="B2768">
        <f>$B$3+$B$5*11</f>
        <v/>
      </c>
      <c r="C2768">
        <f>SUMPRODUCT(Calc!$K$3:$K$22*(Calc!$G$3:$G$22&lt;=A2768))</f>
        <v/>
      </c>
      <c r="D2768">
        <f>SUMPRODUCT(Calc!$K$3:$K$22*(Calc!$G$3:$G$22&gt;A2768)*(Calc!$G$3:$G$22&lt;B2768))</f>
        <v/>
      </c>
      <c r="E2768">
        <f>SUMPRODUCT(Calc!$K$3:$K$22*(Calc!$G$3:$G$22&gt;=B2768))</f>
        <v/>
      </c>
      <c r="F2768">
        <f>AND(k_n&gt;=5,B2768&gt;A2768+1E-9,C2768&gt;=2,D2768&gt;=1,E2768&gt;=2)</f>
        <v/>
      </c>
      <c r="G2768">
        <f>SUMPRODUCT(Calc!$K$3:$K$22*(Calc!$G$3:$G$22&gt;A2768)*(Calc!$G$3:$G$22-A2768))</f>
        <v/>
      </c>
      <c r="H2768">
        <f>SUMPRODUCT(Calc!$K$3:$K$22*(Calc!$G$3:$G$22&gt;B2768)*(Calc!$G$3:$G$22-B2768))</f>
        <v/>
      </c>
      <c r="I2768">
        <f>SUMPRODUCT(Calc!$K$3:$K$22*(Calc!$G$3:$G$22&gt;A2768)*(Calc!$G$3:$G$22-A2768)^2)</f>
        <v/>
      </c>
      <c r="J2768">
        <f>SUMPRODUCT(Calc!$K$3:$K$22*(Calc!$G$3:$G$22&gt;B2768)*(Calc!$G$3:$G$22-B2768)^2)</f>
        <v/>
      </c>
      <c r="K2768">
        <f>SUMPRODUCT(Calc!$K$3:$K$22*(Calc!$G$3:$G$22&gt;A2768)*(Calc!$G$3:$G$22-A2768)*(Calc!$G$3:$G$22&gt;B2768)*(Calc!$G$3:$G$22-B2768))</f>
        <v/>
      </c>
      <c r="L2768">
        <f>SUMPRODUCT(Calc!$K$3:$K$22*(Calc!$G$3:$G$22&gt;A2768)*(Calc!$G$3:$G$22-A2768)*Calc!$G$3:$G$22)</f>
        <v/>
      </c>
      <c r="M2768">
        <f>SUMPRODUCT(Calc!$K$3:$K$22*(Calc!$G$3:$G$22&gt;B2768)*(Calc!$G$3:$G$22-B2768)*Calc!$G$3:$G$22)</f>
        <v/>
      </c>
      <c r="N2768">
        <f>SUMPRODUCT(Calc!$K$3:$K$22*(Calc!$G$3:$G$22&gt;A2768)*(Calc!$G$3:$G$22-A2768)*Calc!$I$3:$I$22)</f>
        <v/>
      </c>
      <c r="O2768">
        <f>SUMPRODUCT(Calc!$K$3:$K$22*(Calc!$G$3:$G$22&gt;B2768)*(Calc!$G$3:$G$22-B2768)*Calc!$I$3:$I$22)</f>
        <v/>
      </c>
      <c r="P2768">
        <f>I2768-G2768^2/k_n</f>
        <v/>
      </c>
      <c r="Q2768">
        <f>J2768-H2768^2/k_n</f>
        <v/>
      </c>
      <c r="R2768">
        <f>K2768-G2768*H2768/k_n</f>
        <v/>
      </c>
      <c r="S2768">
        <f>L2768-LTP3!$D$3*G2768/k_n</f>
        <v/>
      </c>
      <c r="T2768">
        <f>M2768-LTP3!$D$3*H2768/k_n</f>
        <v/>
      </c>
      <c r="U2768">
        <f>N2768-G2768*LTP3!$D$4/k_n</f>
        <v/>
      </c>
      <c r="V2768">
        <f>O2768-H2768*LTP3!$D$4/k_n</f>
        <v/>
      </c>
      <c r="W2768">
        <f>((LTP3!$D$5)*((P2768)*(Q2768)-(R2768)*(R2768))-(S2768)*((S2768)*(Q2768)-(R2768)*(T2768))+(T2768)*((S2768)*(R2768)-(P2768)*(T2768)))</f>
        <v/>
      </c>
      <c r="X2768">
        <f>IF(ABS(W2768)&gt;1E-12,((LTP3!$D$6)*((P2768)*(Q2768)-(R2768)*(R2768))-(S2768)*((U2768)*(Q2768)-(R2768)*(V2768))+(T2768)*((U2768)*(R2768)-(P2768)*(V2768)))/W2768,0)</f>
        <v/>
      </c>
      <c r="Y2768">
        <f>IF(ABS(W2768)&gt;1E-12,((LTP3!$D$5)*((U2768)*(Q2768)-(R2768)*(V2768))-(LTP3!$D$6)*((S2768)*(Q2768)-(R2768)*(T2768))+(T2768)*((S2768)*(V2768)-(U2768)*(T2768)))/W2768,0)</f>
        <v/>
      </c>
      <c r="Z2768">
        <f>IF(ABS(W2768)&gt;1E-12,((LTP3!$D$5)*((P2768)*(V2768)-(U2768)*(R2768))-(S2768)*((S2768)*(V2768)-(U2768)*(T2768))+(LTP3!$D$6)*((S2768)*(R2768)-(P2768)*(T2768)))/W2768,0)</f>
        <v/>
      </c>
      <c r="AA2768">
        <f>LTP3!$D$7-X2768*LTP3!$D$6-Y2768*U2768-Z2768*V2768</f>
        <v/>
      </c>
      <c r="AB2768">
        <f>IF(AND(F2768,ABS(W2768)&gt;1E-12,Y2768&gt;0,Z2768&gt;0),AA2768,1E+300)</f>
        <v/>
      </c>
    </row>
    <row r="2769">
      <c r="A2769">
        <f>$B$3+$B$5*45</f>
        <v/>
      </c>
      <c r="B2769">
        <f>$B$3+$B$5*12</f>
        <v/>
      </c>
      <c r="C2769">
        <f>SUMPRODUCT(Calc!$K$3:$K$22*(Calc!$G$3:$G$22&lt;=A2769))</f>
        <v/>
      </c>
      <c r="D2769">
        <f>SUMPRODUCT(Calc!$K$3:$K$22*(Calc!$G$3:$G$22&gt;A2769)*(Calc!$G$3:$G$22&lt;B2769))</f>
        <v/>
      </c>
      <c r="E2769">
        <f>SUMPRODUCT(Calc!$K$3:$K$22*(Calc!$G$3:$G$22&gt;=B2769))</f>
        <v/>
      </c>
      <c r="F2769">
        <f>AND(k_n&gt;=5,B2769&gt;A2769+1E-9,C2769&gt;=2,D2769&gt;=1,E2769&gt;=2)</f>
        <v/>
      </c>
      <c r="G2769">
        <f>SUMPRODUCT(Calc!$K$3:$K$22*(Calc!$G$3:$G$22&gt;A2769)*(Calc!$G$3:$G$22-A2769))</f>
        <v/>
      </c>
      <c r="H2769">
        <f>SUMPRODUCT(Calc!$K$3:$K$22*(Calc!$G$3:$G$22&gt;B2769)*(Calc!$G$3:$G$22-B2769))</f>
        <v/>
      </c>
      <c r="I2769">
        <f>SUMPRODUCT(Calc!$K$3:$K$22*(Calc!$G$3:$G$22&gt;A2769)*(Calc!$G$3:$G$22-A2769)^2)</f>
        <v/>
      </c>
      <c r="J2769">
        <f>SUMPRODUCT(Calc!$K$3:$K$22*(Calc!$G$3:$G$22&gt;B2769)*(Calc!$G$3:$G$22-B2769)^2)</f>
        <v/>
      </c>
      <c r="K2769">
        <f>SUMPRODUCT(Calc!$K$3:$K$22*(Calc!$G$3:$G$22&gt;A2769)*(Calc!$G$3:$G$22-A2769)*(Calc!$G$3:$G$22&gt;B2769)*(Calc!$G$3:$G$22-B2769))</f>
        <v/>
      </c>
      <c r="L2769">
        <f>SUMPRODUCT(Calc!$K$3:$K$22*(Calc!$G$3:$G$22&gt;A2769)*(Calc!$G$3:$G$22-A2769)*Calc!$G$3:$G$22)</f>
        <v/>
      </c>
      <c r="M2769">
        <f>SUMPRODUCT(Calc!$K$3:$K$22*(Calc!$G$3:$G$22&gt;B2769)*(Calc!$G$3:$G$22-B2769)*Calc!$G$3:$G$22)</f>
        <v/>
      </c>
      <c r="N2769">
        <f>SUMPRODUCT(Calc!$K$3:$K$22*(Calc!$G$3:$G$22&gt;A2769)*(Calc!$G$3:$G$22-A2769)*Calc!$I$3:$I$22)</f>
        <v/>
      </c>
      <c r="O2769">
        <f>SUMPRODUCT(Calc!$K$3:$K$22*(Calc!$G$3:$G$22&gt;B2769)*(Calc!$G$3:$G$22-B2769)*Calc!$I$3:$I$22)</f>
        <v/>
      </c>
      <c r="P2769">
        <f>I2769-G2769^2/k_n</f>
        <v/>
      </c>
      <c r="Q2769">
        <f>J2769-H2769^2/k_n</f>
        <v/>
      </c>
      <c r="R2769">
        <f>K2769-G2769*H2769/k_n</f>
        <v/>
      </c>
      <c r="S2769">
        <f>L2769-LTP3!$D$3*G2769/k_n</f>
        <v/>
      </c>
      <c r="T2769">
        <f>M2769-LTP3!$D$3*H2769/k_n</f>
        <v/>
      </c>
      <c r="U2769">
        <f>N2769-G2769*LTP3!$D$4/k_n</f>
        <v/>
      </c>
      <c r="V2769">
        <f>O2769-H2769*LTP3!$D$4/k_n</f>
        <v/>
      </c>
      <c r="W2769">
        <f>((LTP3!$D$5)*((P2769)*(Q2769)-(R2769)*(R2769))-(S2769)*((S2769)*(Q2769)-(R2769)*(T2769))+(T2769)*((S2769)*(R2769)-(P2769)*(T2769)))</f>
        <v/>
      </c>
      <c r="X2769">
        <f>IF(ABS(W2769)&gt;1E-12,((LTP3!$D$6)*((P2769)*(Q2769)-(R2769)*(R2769))-(S2769)*((U2769)*(Q2769)-(R2769)*(V2769))+(T2769)*((U2769)*(R2769)-(P2769)*(V2769)))/W2769,0)</f>
        <v/>
      </c>
      <c r="Y2769">
        <f>IF(ABS(W2769)&gt;1E-12,((LTP3!$D$5)*((U2769)*(Q2769)-(R2769)*(V2769))-(LTP3!$D$6)*((S2769)*(Q2769)-(R2769)*(T2769))+(T2769)*((S2769)*(V2769)-(U2769)*(T2769)))/W2769,0)</f>
        <v/>
      </c>
      <c r="Z2769">
        <f>IF(ABS(W2769)&gt;1E-12,((LTP3!$D$5)*((P2769)*(V2769)-(U2769)*(R2769))-(S2769)*((S2769)*(V2769)-(U2769)*(T2769))+(LTP3!$D$6)*((S2769)*(R2769)-(P2769)*(T2769)))/W2769,0)</f>
        <v/>
      </c>
      <c r="AA2769">
        <f>LTP3!$D$7-X2769*LTP3!$D$6-Y2769*U2769-Z2769*V2769</f>
        <v/>
      </c>
      <c r="AB2769">
        <f>IF(AND(F2769,ABS(W2769)&gt;1E-12,Y2769&gt;0,Z2769&gt;0),AA2769,1E+300)</f>
        <v/>
      </c>
    </row>
    <row r="2770">
      <c r="A2770">
        <f>$B$3+$B$5*45</f>
        <v/>
      </c>
      <c r="B2770">
        <f>$B$3+$B$5*13</f>
        <v/>
      </c>
      <c r="C2770">
        <f>SUMPRODUCT(Calc!$K$3:$K$22*(Calc!$G$3:$G$22&lt;=A2770))</f>
        <v/>
      </c>
      <c r="D2770">
        <f>SUMPRODUCT(Calc!$K$3:$K$22*(Calc!$G$3:$G$22&gt;A2770)*(Calc!$G$3:$G$22&lt;B2770))</f>
        <v/>
      </c>
      <c r="E2770">
        <f>SUMPRODUCT(Calc!$K$3:$K$22*(Calc!$G$3:$G$22&gt;=B2770))</f>
        <v/>
      </c>
      <c r="F2770">
        <f>AND(k_n&gt;=5,B2770&gt;A2770+1E-9,C2770&gt;=2,D2770&gt;=1,E2770&gt;=2)</f>
        <v/>
      </c>
      <c r="G2770">
        <f>SUMPRODUCT(Calc!$K$3:$K$22*(Calc!$G$3:$G$22&gt;A2770)*(Calc!$G$3:$G$22-A2770))</f>
        <v/>
      </c>
      <c r="H2770">
        <f>SUMPRODUCT(Calc!$K$3:$K$22*(Calc!$G$3:$G$22&gt;B2770)*(Calc!$G$3:$G$22-B2770))</f>
        <v/>
      </c>
      <c r="I2770">
        <f>SUMPRODUCT(Calc!$K$3:$K$22*(Calc!$G$3:$G$22&gt;A2770)*(Calc!$G$3:$G$22-A2770)^2)</f>
        <v/>
      </c>
      <c r="J2770">
        <f>SUMPRODUCT(Calc!$K$3:$K$22*(Calc!$G$3:$G$22&gt;B2770)*(Calc!$G$3:$G$22-B2770)^2)</f>
        <v/>
      </c>
      <c r="K2770">
        <f>SUMPRODUCT(Calc!$K$3:$K$22*(Calc!$G$3:$G$22&gt;A2770)*(Calc!$G$3:$G$22-A2770)*(Calc!$G$3:$G$22&gt;B2770)*(Calc!$G$3:$G$22-B2770))</f>
        <v/>
      </c>
      <c r="L2770">
        <f>SUMPRODUCT(Calc!$K$3:$K$22*(Calc!$G$3:$G$22&gt;A2770)*(Calc!$G$3:$G$22-A2770)*Calc!$G$3:$G$22)</f>
        <v/>
      </c>
      <c r="M2770">
        <f>SUMPRODUCT(Calc!$K$3:$K$22*(Calc!$G$3:$G$22&gt;B2770)*(Calc!$G$3:$G$22-B2770)*Calc!$G$3:$G$22)</f>
        <v/>
      </c>
      <c r="N2770">
        <f>SUMPRODUCT(Calc!$K$3:$K$22*(Calc!$G$3:$G$22&gt;A2770)*(Calc!$G$3:$G$22-A2770)*Calc!$I$3:$I$22)</f>
        <v/>
      </c>
      <c r="O2770">
        <f>SUMPRODUCT(Calc!$K$3:$K$22*(Calc!$G$3:$G$22&gt;B2770)*(Calc!$G$3:$G$22-B2770)*Calc!$I$3:$I$22)</f>
        <v/>
      </c>
      <c r="P2770">
        <f>I2770-G2770^2/k_n</f>
        <v/>
      </c>
      <c r="Q2770">
        <f>J2770-H2770^2/k_n</f>
        <v/>
      </c>
      <c r="R2770">
        <f>K2770-G2770*H2770/k_n</f>
        <v/>
      </c>
      <c r="S2770">
        <f>L2770-LTP3!$D$3*G2770/k_n</f>
        <v/>
      </c>
      <c r="T2770">
        <f>M2770-LTP3!$D$3*H2770/k_n</f>
        <v/>
      </c>
      <c r="U2770">
        <f>N2770-G2770*LTP3!$D$4/k_n</f>
        <v/>
      </c>
      <c r="V2770">
        <f>O2770-H2770*LTP3!$D$4/k_n</f>
        <v/>
      </c>
      <c r="W2770">
        <f>((LTP3!$D$5)*((P2770)*(Q2770)-(R2770)*(R2770))-(S2770)*((S2770)*(Q2770)-(R2770)*(T2770))+(T2770)*((S2770)*(R2770)-(P2770)*(T2770)))</f>
        <v/>
      </c>
      <c r="X2770">
        <f>IF(ABS(W2770)&gt;1E-12,((LTP3!$D$6)*((P2770)*(Q2770)-(R2770)*(R2770))-(S2770)*((U2770)*(Q2770)-(R2770)*(V2770))+(T2770)*((U2770)*(R2770)-(P2770)*(V2770)))/W2770,0)</f>
        <v/>
      </c>
      <c r="Y2770">
        <f>IF(ABS(W2770)&gt;1E-12,((LTP3!$D$5)*((U2770)*(Q2770)-(R2770)*(V2770))-(LTP3!$D$6)*((S2770)*(Q2770)-(R2770)*(T2770))+(T2770)*((S2770)*(V2770)-(U2770)*(T2770)))/W2770,0)</f>
        <v/>
      </c>
      <c r="Z2770">
        <f>IF(ABS(W2770)&gt;1E-12,((LTP3!$D$5)*((P2770)*(V2770)-(U2770)*(R2770))-(S2770)*((S2770)*(V2770)-(U2770)*(T2770))+(LTP3!$D$6)*((S2770)*(R2770)-(P2770)*(T2770)))/W2770,0)</f>
        <v/>
      </c>
      <c r="AA2770">
        <f>LTP3!$D$7-X2770*LTP3!$D$6-Y2770*U2770-Z2770*V2770</f>
        <v/>
      </c>
      <c r="AB2770">
        <f>IF(AND(F2770,ABS(W2770)&gt;1E-12,Y2770&gt;0,Z2770&gt;0),AA2770,1E+300)</f>
        <v/>
      </c>
    </row>
    <row r="2771">
      <c r="A2771">
        <f>$B$3+$B$5*45</f>
        <v/>
      </c>
      <c r="B2771">
        <f>$B$3+$B$5*14</f>
        <v/>
      </c>
      <c r="C2771">
        <f>SUMPRODUCT(Calc!$K$3:$K$22*(Calc!$G$3:$G$22&lt;=A2771))</f>
        <v/>
      </c>
      <c r="D2771">
        <f>SUMPRODUCT(Calc!$K$3:$K$22*(Calc!$G$3:$G$22&gt;A2771)*(Calc!$G$3:$G$22&lt;B2771))</f>
        <v/>
      </c>
      <c r="E2771">
        <f>SUMPRODUCT(Calc!$K$3:$K$22*(Calc!$G$3:$G$22&gt;=B2771))</f>
        <v/>
      </c>
      <c r="F2771">
        <f>AND(k_n&gt;=5,B2771&gt;A2771+1E-9,C2771&gt;=2,D2771&gt;=1,E2771&gt;=2)</f>
        <v/>
      </c>
      <c r="G2771">
        <f>SUMPRODUCT(Calc!$K$3:$K$22*(Calc!$G$3:$G$22&gt;A2771)*(Calc!$G$3:$G$22-A2771))</f>
        <v/>
      </c>
      <c r="H2771">
        <f>SUMPRODUCT(Calc!$K$3:$K$22*(Calc!$G$3:$G$22&gt;B2771)*(Calc!$G$3:$G$22-B2771))</f>
        <v/>
      </c>
      <c r="I2771">
        <f>SUMPRODUCT(Calc!$K$3:$K$22*(Calc!$G$3:$G$22&gt;A2771)*(Calc!$G$3:$G$22-A2771)^2)</f>
        <v/>
      </c>
      <c r="J2771">
        <f>SUMPRODUCT(Calc!$K$3:$K$22*(Calc!$G$3:$G$22&gt;B2771)*(Calc!$G$3:$G$22-B2771)^2)</f>
        <v/>
      </c>
      <c r="K2771">
        <f>SUMPRODUCT(Calc!$K$3:$K$22*(Calc!$G$3:$G$22&gt;A2771)*(Calc!$G$3:$G$22-A2771)*(Calc!$G$3:$G$22&gt;B2771)*(Calc!$G$3:$G$22-B2771))</f>
        <v/>
      </c>
      <c r="L2771">
        <f>SUMPRODUCT(Calc!$K$3:$K$22*(Calc!$G$3:$G$22&gt;A2771)*(Calc!$G$3:$G$22-A2771)*Calc!$G$3:$G$22)</f>
        <v/>
      </c>
      <c r="M2771">
        <f>SUMPRODUCT(Calc!$K$3:$K$22*(Calc!$G$3:$G$22&gt;B2771)*(Calc!$G$3:$G$22-B2771)*Calc!$G$3:$G$22)</f>
        <v/>
      </c>
      <c r="N2771">
        <f>SUMPRODUCT(Calc!$K$3:$K$22*(Calc!$G$3:$G$22&gt;A2771)*(Calc!$G$3:$G$22-A2771)*Calc!$I$3:$I$22)</f>
        <v/>
      </c>
      <c r="O2771">
        <f>SUMPRODUCT(Calc!$K$3:$K$22*(Calc!$G$3:$G$22&gt;B2771)*(Calc!$G$3:$G$22-B2771)*Calc!$I$3:$I$22)</f>
        <v/>
      </c>
      <c r="P2771">
        <f>I2771-G2771^2/k_n</f>
        <v/>
      </c>
      <c r="Q2771">
        <f>J2771-H2771^2/k_n</f>
        <v/>
      </c>
      <c r="R2771">
        <f>K2771-G2771*H2771/k_n</f>
        <v/>
      </c>
      <c r="S2771">
        <f>L2771-LTP3!$D$3*G2771/k_n</f>
        <v/>
      </c>
      <c r="T2771">
        <f>M2771-LTP3!$D$3*H2771/k_n</f>
        <v/>
      </c>
      <c r="U2771">
        <f>N2771-G2771*LTP3!$D$4/k_n</f>
        <v/>
      </c>
      <c r="V2771">
        <f>O2771-H2771*LTP3!$D$4/k_n</f>
        <v/>
      </c>
      <c r="W2771">
        <f>((LTP3!$D$5)*((P2771)*(Q2771)-(R2771)*(R2771))-(S2771)*((S2771)*(Q2771)-(R2771)*(T2771))+(T2771)*((S2771)*(R2771)-(P2771)*(T2771)))</f>
        <v/>
      </c>
      <c r="X2771">
        <f>IF(ABS(W2771)&gt;1E-12,((LTP3!$D$6)*((P2771)*(Q2771)-(R2771)*(R2771))-(S2771)*((U2771)*(Q2771)-(R2771)*(V2771))+(T2771)*((U2771)*(R2771)-(P2771)*(V2771)))/W2771,0)</f>
        <v/>
      </c>
      <c r="Y2771">
        <f>IF(ABS(W2771)&gt;1E-12,((LTP3!$D$5)*((U2771)*(Q2771)-(R2771)*(V2771))-(LTP3!$D$6)*((S2771)*(Q2771)-(R2771)*(T2771))+(T2771)*((S2771)*(V2771)-(U2771)*(T2771)))/W2771,0)</f>
        <v/>
      </c>
      <c r="Z2771">
        <f>IF(ABS(W2771)&gt;1E-12,((LTP3!$D$5)*((P2771)*(V2771)-(U2771)*(R2771))-(S2771)*((S2771)*(V2771)-(U2771)*(T2771))+(LTP3!$D$6)*((S2771)*(R2771)-(P2771)*(T2771)))/W2771,0)</f>
        <v/>
      </c>
      <c r="AA2771">
        <f>LTP3!$D$7-X2771*LTP3!$D$6-Y2771*U2771-Z2771*V2771</f>
        <v/>
      </c>
      <c r="AB2771">
        <f>IF(AND(F2771,ABS(W2771)&gt;1E-12,Y2771&gt;0,Z2771&gt;0),AA2771,1E+300)</f>
        <v/>
      </c>
    </row>
    <row r="2772">
      <c r="A2772">
        <f>$B$3+$B$5*45</f>
        <v/>
      </c>
      <c r="B2772">
        <f>$B$3+$B$5*15</f>
        <v/>
      </c>
      <c r="C2772">
        <f>SUMPRODUCT(Calc!$K$3:$K$22*(Calc!$G$3:$G$22&lt;=A2772))</f>
        <v/>
      </c>
      <c r="D2772">
        <f>SUMPRODUCT(Calc!$K$3:$K$22*(Calc!$G$3:$G$22&gt;A2772)*(Calc!$G$3:$G$22&lt;B2772))</f>
        <v/>
      </c>
      <c r="E2772">
        <f>SUMPRODUCT(Calc!$K$3:$K$22*(Calc!$G$3:$G$22&gt;=B2772))</f>
        <v/>
      </c>
      <c r="F2772">
        <f>AND(k_n&gt;=5,B2772&gt;A2772+1E-9,C2772&gt;=2,D2772&gt;=1,E2772&gt;=2)</f>
        <v/>
      </c>
      <c r="G2772">
        <f>SUMPRODUCT(Calc!$K$3:$K$22*(Calc!$G$3:$G$22&gt;A2772)*(Calc!$G$3:$G$22-A2772))</f>
        <v/>
      </c>
      <c r="H2772">
        <f>SUMPRODUCT(Calc!$K$3:$K$22*(Calc!$G$3:$G$22&gt;B2772)*(Calc!$G$3:$G$22-B2772))</f>
        <v/>
      </c>
      <c r="I2772">
        <f>SUMPRODUCT(Calc!$K$3:$K$22*(Calc!$G$3:$G$22&gt;A2772)*(Calc!$G$3:$G$22-A2772)^2)</f>
        <v/>
      </c>
      <c r="J2772">
        <f>SUMPRODUCT(Calc!$K$3:$K$22*(Calc!$G$3:$G$22&gt;B2772)*(Calc!$G$3:$G$22-B2772)^2)</f>
        <v/>
      </c>
      <c r="K2772">
        <f>SUMPRODUCT(Calc!$K$3:$K$22*(Calc!$G$3:$G$22&gt;A2772)*(Calc!$G$3:$G$22-A2772)*(Calc!$G$3:$G$22&gt;B2772)*(Calc!$G$3:$G$22-B2772))</f>
        <v/>
      </c>
      <c r="L2772">
        <f>SUMPRODUCT(Calc!$K$3:$K$22*(Calc!$G$3:$G$22&gt;A2772)*(Calc!$G$3:$G$22-A2772)*Calc!$G$3:$G$22)</f>
        <v/>
      </c>
      <c r="M2772">
        <f>SUMPRODUCT(Calc!$K$3:$K$22*(Calc!$G$3:$G$22&gt;B2772)*(Calc!$G$3:$G$22-B2772)*Calc!$G$3:$G$22)</f>
        <v/>
      </c>
      <c r="N2772">
        <f>SUMPRODUCT(Calc!$K$3:$K$22*(Calc!$G$3:$G$22&gt;A2772)*(Calc!$G$3:$G$22-A2772)*Calc!$I$3:$I$22)</f>
        <v/>
      </c>
      <c r="O2772">
        <f>SUMPRODUCT(Calc!$K$3:$K$22*(Calc!$G$3:$G$22&gt;B2772)*(Calc!$G$3:$G$22-B2772)*Calc!$I$3:$I$22)</f>
        <v/>
      </c>
      <c r="P2772">
        <f>I2772-G2772^2/k_n</f>
        <v/>
      </c>
      <c r="Q2772">
        <f>J2772-H2772^2/k_n</f>
        <v/>
      </c>
      <c r="R2772">
        <f>K2772-G2772*H2772/k_n</f>
        <v/>
      </c>
      <c r="S2772">
        <f>L2772-LTP3!$D$3*G2772/k_n</f>
        <v/>
      </c>
      <c r="T2772">
        <f>M2772-LTP3!$D$3*H2772/k_n</f>
        <v/>
      </c>
      <c r="U2772">
        <f>N2772-G2772*LTP3!$D$4/k_n</f>
        <v/>
      </c>
      <c r="V2772">
        <f>O2772-H2772*LTP3!$D$4/k_n</f>
        <v/>
      </c>
      <c r="W2772">
        <f>((LTP3!$D$5)*((P2772)*(Q2772)-(R2772)*(R2772))-(S2772)*((S2772)*(Q2772)-(R2772)*(T2772))+(T2772)*((S2772)*(R2772)-(P2772)*(T2772)))</f>
        <v/>
      </c>
      <c r="X2772">
        <f>IF(ABS(W2772)&gt;1E-12,((LTP3!$D$6)*((P2772)*(Q2772)-(R2772)*(R2772))-(S2772)*((U2772)*(Q2772)-(R2772)*(V2772))+(T2772)*((U2772)*(R2772)-(P2772)*(V2772)))/W2772,0)</f>
        <v/>
      </c>
      <c r="Y2772">
        <f>IF(ABS(W2772)&gt;1E-12,((LTP3!$D$5)*((U2772)*(Q2772)-(R2772)*(V2772))-(LTP3!$D$6)*((S2772)*(Q2772)-(R2772)*(T2772))+(T2772)*((S2772)*(V2772)-(U2772)*(T2772)))/W2772,0)</f>
        <v/>
      </c>
      <c r="Z2772">
        <f>IF(ABS(W2772)&gt;1E-12,((LTP3!$D$5)*((P2772)*(V2772)-(U2772)*(R2772))-(S2772)*((S2772)*(V2772)-(U2772)*(T2772))+(LTP3!$D$6)*((S2772)*(R2772)-(P2772)*(T2772)))/W2772,0)</f>
        <v/>
      </c>
      <c r="AA2772">
        <f>LTP3!$D$7-X2772*LTP3!$D$6-Y2772*U2772-Z2772*V2772</f>
        <v/>
      </c>
      <c r="AB2772">
        <f>IF(AND(F2772,ABS(W2772)&gt;1E-12,Y2772&gt;0,Z2772&gt;0),AA2772,1E+300)</f>
        <v/>
      </c>
    </row>
    <row r="2773">
      <c r="A2773">
        <f>$B$3+$B$5*45</f>
        <v/>
      </c>
      <c r="B2773">
        <f>$B$3+$B$5*16</f>
        <v/>
      </c>
      <c r="C2773">
        <f>SUMPRODUCT(Calc!$K$3:$K$22*(Calc!$G$3:$G$22&lt;=A2773))</f>
        <v/>
      </c>
      <c r="D2773">
        <f>SUMPRODUCT(Calc!$K$3:$K$22*(Calc!$G$3:$G$22&gt;A2773)*(Calc!$G$3:$G$22&lt;B2773))</f>
        <v/>
      </c>
      <c r="E2773">
        <f>SUMPRODUCT(Calc!$K$3:$K$22*(Calc!$G$3:$G$22&gt;=B2773))</f>
        <v/>
      </c>
      <c r="F2773">
        <f>AND(k_n&gt;=5,B2773&gt;A2773+1E-9,C2773&gt;=2,D2773&gt;=1,E2773&gt;=2)</f>
        <v/>
      </c>
      <c r="G2773">
        <f>SUMPRODUCT(Calc!$K$3:$K$22*(Calc!$G$3:$G$22&gt;A2773)*(Calc!$G$3:$G$22-A2773))</f>
        <v/>
      </c>
      <c r="H2773">
        <f>SUMPRODUCT(Calc!$K$3:$K$22*(Calc!$G$3:$G$22&gt;B2773)*(Calc!$G$3:$G$22-B2773))</f>
        <v/>
      </c>
      <c r="I2773">
        <f>SUMPRODUCT(Calc!$K$3:$K$22*(Calc!$G$3:$G$22&gt;A2773)*(Calc!$G$3:$G$22-A2773)^2)</f>
        <v/>
      </c>
      <c r="J2773">
        <f>SUMPRODUCT(Calc!$K$3:$K$22*(Calc!$G$3:$G$22&gt;B2773)*(Calc!$G$3:$G$22-B2773)^2)</f>
        <v/>
      </c>
      <c r="K2773">
        <f>SUMPRODUCT(Calc!$K$3:$K$22*(Calc!$G$3:$G$22&gt;A2773)*(Calc!$G$3:$G$22-A2773)*(Calc!$G$3:$G$22&gt;B2773)*(Calc!$G$3:$G$22-B2773))</f>
        <v/>
      </c>
      <c r="L2773">
        <f>SUMPRODUCT(Calc!$K$3:$K$22*(Calc!$G$3:$G$22&gt;A2773)*(Calc!$G$3:$G$22-A2773)*Calc!$G$3:$G$22)</f>
        <v/>
      </c>
      <c r="M2773">
        <f>SUMPRODUCT(Calc!$K$3:$K$22*(Calc!$G$3:$G$22&gt;B2773)*(Calc!$G$3:$G$22-B2773)*Calc!$G$3:$G$22)</f>
        <v/>
      </c>
      <c r="N2773">
        <f>SUMPRODUCT(Calc!$K$3:$K$22*(Calc!$G$3:$G$22&gt;A2773)*(Calc!$G$3:$G$22-A2773)*Calc!$I$3:$I$22)</f>
        <v/>
      </c>
      <c r="O2773">
        <f>SUMPRODUCT(Calc!$K$3:$K$22*(Calc!$G$3:$G$22&gt;B2773)*(Calc!$G$3:$G$22-B2773)*Calc!$I$3:$I$22)</f>
        <v/>
      </c>
      <c r="P2773">
        <f>I2773-G2773^2/k_n</f>
        <v/>
      </c>
      <c r="Q2773">
        <f>J2773-H2773^2/k_n</f>
        <v/>
      </c>
      <c r="R2773">
        <f>K2773-G2773*H2773/k_n</f>
        <v/>
      </c>
      <c r="S2773">
        <f>L2773-LTP3!$D$3*G2773/k_n</f>
        <v/>
      </c>
      <c r="T2773">
        <f>M2773-LTP3!$D$3*H2773/k_n</f>
        <v/>
      </c>
      <c r="U2773">
        <f>N2773-G2773*LTP3!$D$4/k_n</f>
        <v/>
      </c>
      <c r="V2773">
        <f>O2773-H2773*LTP3!$D$4/k_n</f>
        <v/>
      </c>
      <c r="W2773">
        <f>((LTP3!$D$5)*((P2773)*(Q2773)-(R2773)*(R2773))-(S2773)*((S2773)*(Q2773)-(R2773)*(T2773))+(T2773)*((S2773)*(R2773)-(P2773)*(T2773)))</f>
        <v/>
      </c>
      <c r="X2773">
        <f>IF(ABS(W2773)&gt;1E-12,((LTP3!$D$6)*((P2773)*(Q2773)-(R2773)*(R2773))-(S2773)*((U2773)*(Q2773)-(R2773)*(V2773))+(T2773)*((U2773)*(R2773)-(P2773)*(V2773)))/W2773,0)</f>
        <v/>
      </c>
      <c r="Y2773">
        <f>IF(ABS(W2773)&gt;1E-12,((LTP3!$D$5)*((U2773)*(Q2773)-(R2773)*(V2773))-(LTP3!$D$6)*((S2773)*(Q2773)-(R2773)*(T2773))+(T2773)*((S2773)*(V2773)-(U2773)*(T2773)))/W2773,0)</f>
        <v/>
      </c>
      <c r="Z2773">
        <f>IF(ABS(W2773)&gt;1E-12,((LTP3!$D$5)*((P2773)*(V2773)-(U2773)*(R2773))-(S2773)*((S2773)*(V2773)-(U2773)*(T2773))+(LTP3!$D$6)*((S2773)*(R2773)-(P2773)*(T2773)))/W2773,0)</f>
        <v/>
      </c>
      <c r="AA2773">
        <f>LTP3!$D$7-X2773*LTP3!$D$6-Y2773*U2773-Z2773*V2773</f>
        <v/>
      </c>
      <c r="AB2773">
        <f>IF(AND(F2773,ABS(W2773)&gt;1E-12,Y2773&gt;0,Z2773&gt;0),AA2773,1E+300)</f>
        <v/>
      </c>
    </row>
    <row r="2774">
      <c r="A2774">
        <f>$B$3+$B$5*45</f>
        <v/>
      </c>
      <c r="B2774">
        <f>$B$3+$B$5*17</f>
        <v/>
      </c>
      <c r="C2774">
        <f>SUMPRODUCT(Calc!$K$3:$K$22*(Calc!$G$3:$G$22&lt;=A2774))</f>
        <v/>
      </c>
      <c r="D2774">
        <f>SUMPRODUCT(Calc!$K$3:$K$22*(Calc!$G$3:$G$22&gt;A2774)*(Calc!$G$3:$G$22&lt;B2774))</f>
        <v/>
      </c>
      <c r="E2774">
        <f>SUMPRODUCT(Calc!$K$3:$K$22*(Calc!$G$3:$G$22&gt;=B2774))</f>
        <v/>
      </c>
      <c r="F2774">
        <f>AND(k_n&gt;=5,B2774&gt;A2774+1E-9,C2774&gt;=2,D2774&gt;=1,E2774&gt;=2)</f>
        <v/>
      </c>
      <c r="G2774">
        <f>SUMPRODUCT(Calc!$K$3:$K$22*(Calc!$G$3:$G$22&gt;A2774)*(Calc!$G$3:$G$22-A2774))</f>
        <v/>
      </c>
      <c r="H2774">
        <f>SUMPRODUCT(Calc!$K$3:$K$22*(Calc!$G$3:$G$22&gt;B2774)*(Calc!$G$3:$G$22-B2774))</f>
        <v/>
      </c>
      <c r="I2774">
        <f>SUMPRODUCT(Calc!$K$3:$K$22*(Calc!$G$3:$G$22&gt;A2774)*(Calc!$G$3:$G$22-A2774)^2)</f>
        <v/>
      </c>
      <c r="J2774">
        <f>SUMPRODUCT(Calc!$K$3:$K$22*(Calc!$G$3:$G$22&gt;B2774)*(Calc!$G$3:$G$22-B2774)^2)</f>
        <v/>
      </c>
      <c r="K2774">
        <f>SUMPRODUCT(Calc!$K$3:$K$22*(Calc!$G$3:$G$22&gt;A2774)*(Calc!$G$3:$G$22-A2774)*(Calc!$G$3:$G$22&gt;B2774)*(Calc!$G$3:$G$22-B2774))</f>
        <v/>
      </c>
      <c r="L2774">
        <f>SUMPRODUCT(Calc!$K$3:$K$22*(Calc!$G$3:$G$22&gt;A2774)*(Calc!$G$3:$G$22-A2774)*Calc!$G$3:$G$22)</f>
        <v/>
      </c>
      <c r="M2774">
        <f>SUMPRODUCT(Calc!$K$3:$K$22*(Calc!$G$3:$G$22&gt;B2774)*(Calc!$G$3:$G$22-B2774)*Calc!$G$3:$G$22)</f>
        <v/>
      </c>
      <c r="N2774">
        <f>SUMPRODUCT(Calc!$K$3:$K$22*(Calc!$G$3:$G$22&gt;A2774)*(Calc!$G$3:$G$22-A2774)*Calc!$I$3:$I$22)</f>
        <v/>
      </c>
      <c r="O2774">
        <f>SUMPRODUCT(Calc!$K$3:$K$22*(Calc!$G$3:$G$22&gt;B2774)*(Calc!$G$3:$G$22-B2774)*Calc!$I$3:$I$22)</f>
        <v/>
      </c>
      <c r="P2774">
        <f>I2774-G2774^2/k_n</f>
        <v/>
      </c>
      <c r="Q2774">
        <f>J2774-H2774^2/k_n</f>
        <v/>
      </c>
      <c r="R2774">
        <f>K2774-G2774*H2774/k_n</f>
        <v/>
      </c>
      <c r="S2774">
        <f>L2774-LTP3!$D$3*G2774/k_n</f>
        <v/>
      </c>
      <c r="T2774">
        <f>M2774-LTP3!$D$3*H2774/k_n</f>
        <v/>
      </c>
      <c r="U2774">
        <f>N2774-G2774*LTP3!$D$4/k_n</f>
        <v/>
      </c>
      <c r="V2774">
        <f>O2774-H2774*LTP3!$D$4/k_n</f>
        <v/>
      </c>
      <c r="W2774">
        <f>((LTP3!$D$5)*((P2774)*(Q2774)-(R2774)*(R2774))-(S2774)*((S2774)*(Q2774)-(R2774)*(T2774))+(T2774)*((S2774)*(R2774)-(P2774)*(T2774)))</f>
        <v/>
      </c>
      <c r="X2774">
        <f>IF(ABS(W2774)&gt;1E-12,((LTP3!$D$6)*((P2774)*(Q2774)-(R2774)*(R2774))-(S2774)*((U2774)*(Q2774)-(R2774)*(V2774))+(T2774)*((U2774)*(R2774)-(P2774)*(V2774)))/W2774,0)</f>
        <v/>
      </c>
      <c r="Y2774">
        <f>IF(ABS(W2774)&gt;1E-12,((LTP3!$D$5)*((U2774)*(Q2774)-(R2774)*(V2774))-(LTP3!$D$6)*((S2774)*(Q2774)-(R2774)*(T2774))+(T2774)*((S2774)*(V2774)-(U2774)*(T2774)))/W2774,0)</f>
        <v/>
      </c>
      <c r="Z2774">
        <f>IF(ABS(W2774)&gt;1E-12,((LTP3!$D$5)*((P2774)*(V2774)-(U2774)*(R2774))-(S2774)*((S2774)*(V2774)-(U2774)*(T2774))+(LTP3!$D$6)*((S2774)*(R2774)-(P2774)*(T2774)))/W2774,0)</f>
        <v/>
      </c>
      <c r="AA2774">
        <f>LTP3!$D$7-X2774*LTP3!$D$6-Y2774*U2774-Z2774*V2774</f>
        <v/>
      </c>
      <c r="AB2774">
        <f>IF(AND(F2774,ABS(W2774)&gt;1E-12,Y2774&gt;0,Z2774&gt;0),AA2774,1E+300)</f>
        <v/>
      </c>
    </row>
    <row r="2775">
      <c r="A2775">
        <f>$B$3+$B$5*45</f>
        <v/>
      </c>
      <c r="B2775">
        <f>$B$3+$B$5*18</f>
        <v/>
      </c>
      <c r="C2775">
        <f>SUMPRODUCT(Calc!$K$3:$K$22*(Calc!$G$3:$G$22&lt;=A2775))</f>
        <v/>
      </c>
      <c r="D2775">
        <f>SUMPRODUCT(Calc!$K$3:$K$22*(Calc!$G$3:$G$22&gt;A2775)*(Calc!$G$3:$G$22&lt;B2775))</f>
        <v/>
      </c>
      <c r="E2775">
        <f>SUMPRODUCT(Calc!$K$3:$K$22*(Calc!$G$3:$G$22&gt;=B2775))</f>
        <v/>
      </c>
      <c r="F2775">
        <f>AND(k_n&gt;=5,B2775&gt;A2775+1E-9,C2775&gt;=2,D2775&gt;=1,E2775&gt;=2)</f>
        <v/>
      </c>
      <c r="G2775">
        <f>SUMPRODUCT(Calc!$K$3:$K$22*(Calc!$G$3:$G$22&gt;A2775)*(Calc!$G$3:$G$22-A2775))</f>
        <v/>
      </c>
      <c r="H2775">
        <f>SUMPRODUCT(Calc!$K$3:$K$22*(Calc!$G$3:$G$22&gt;B2775)*(Calc!$G$3:$G$22-B2775))</f>
        <v/>
      </c>
      <c r="I2775">
        <f>SUMPRODUCT(Calc!$K$3:$K$22*(Calc!$G$3:$G$22&gt;A2775)*(Calc!$G$3:$G$22-A2775)^2)</f>
        <v/>
      </c>
      <c r="J2775">
        <f>SUMPRODUCT(Calc!$K$3:$K$22*(Calc!$G$3:$G$22&gt;B2775)*(Calc!$G$3:$G$22-B2775)^2)</f>
        <v/>
      </c>
      <c r="K2775">
        <f>SUMPRODUCT(Calc!$K$3:$K$22*(Calc!$G$3:$G$22&gt;A2775)*(Calc!$G$3:$G$22-A2775)*(Calc!$G$3:$G$22&gt;B2775)*(Calc!$G$3:$G$22-B2775))</f>
        <v/>
      </c>
      <c r="L2775">
        <f>SUMPRODUCT(Calc!$K$3:$K$22*(Calc!$G$3:$G$22&gt;A2775)*(Calc!$G$3:$G$22-A2775)*Calc!$G$3:$G$22)</f>
        <v/>
      </c>
      <c r="M2775">
        <f>SUMPRODUCT(Calc!$K$3:$K$22*(Calc!$G$3:$G$22&gt;B2775)*(Calc!$G$3:$G$22-B2775)*Calc!$G$3:$G$22)</f>
        <v/>
      </c>
      <c r="N2775">
        <f>SUMPRODUCT(Calc!$K$3:$K$22*(Calc!$G$3:$G$22&gt;A2775)*(Calc!$G$3:$G$22-A2775)*Calc!$I$3:$I$22)</f>
        <v/>
      </c>
      <c r="O2775">
        <f>SUMPRODUCT(Calc!$K$3:$K$22*(Calc!$G$3:$G$22&gt;B2775)*(Calc!$G$3:$G$22-B2775)*Calc!$I$3:$I$22)</f>
        <v/>
      </c>
      <c r="P2775">
        <f>I2775-G2775^2/k_n</f>
        <v/>
      </c>
      <c r="Q2775">
        <f>J2775-H2775^2/k_n</f>
        <v/>
      </c>
      <c r="R2775">
        <f>K2775-G2775*H2775/k_n</f>
        <v/>
      </c>
      <c r="S2775">
        <f>L2775-LTP3!$D$3*G2775/k_n</f>
        <v/>
      </c>
      <c r="T2775">
        <f>M2775-LTP3!$D$3*H2775/k_n</f>
        <v/>
      </c>
      <c r="U2775">
        <f>N2775-G2775*LTP3!$D$4/k_n</f>
        <v/>
      </c>
      <c r="V2775">
        <f>O2775-H2775*LTP3!$D$4/k_n</f>
        <v/>
      </c>
      <c r="W2775">
        <f>((LTP3!$D$5)*((P2775)*(Q2775)-(R2775)*(R2775))-(S2775)*((S2775)*(Q2775)-(R2775)*(T2775))+(T2775)*((S2775)*(R2775)-(P2775)*(T2775)))</f>
        <v/>
      </c>
      <c r="X2775">
        <f>IF(ABS(W2775)&gt;1E-12,((LTP3!$D$6)*((P2775)*(Q2775)-(R2775)*(R2775))-(S2775)*((U2775)*(Q2775)-(R2775)*(V2775))+(T2775)*((U2775)*(R2775)-(P2775)*(V2775)))/W2775,0)</f>
        <v/>
      </c>
      <c r="Y2775">
        <f>IF(ABS(W2775)&gt;1E-12,((LTP3!$D$5)*((U2775)*(Q2775)-(R2775)*(V2775))-(LTP3!$D$6)*((S2775)*(Q2775)-(R2775)*(T2775))+(T2775)*((S2775)*(V2775)-(U2775)*(T2775)))/W2775,0)</f>
        <v/>
      </c>
      <c r="Z2775">
        <f>IF(ABS(W2775)&gt;1E-12,((LTP3!$D$5)*((P2775)*(V2775)-(U2775)*(R2775))-(S2775)*((S2775)*(V2775)-(U2775)*(T2775))+(LTP3!$D$6)*((S2775)*(R2775)-(P2775)*(T2775)))/W2775,0)</f>
        <v/>
      </c>
      <c r="AA2775">
        <f>LTP3!$D$7-X2775*LTP3!$D$6-Y2775*U2775-Z2775*V2775</f>
        <v/>
      </c>
      <c r="AB2775">
        <f>IF(AND(F2775,ABS(W2775)&gt;1E-12,Y2775&gt;0,Z2775&gt;0),AA2775,1E+300)</f>
        <v/>
      </c>
    </row>
    <row r="2776">
      <c r="A2776">
        <f>$B$3+$B$5*45</f>
        <v/>
      </c>
      <c r="B2776">
        <f>$B$3+$B$5*19</f>
        <v/>
      </c>
      <c r="C2776">
        <f>SUMPRODUCT(Calc!$K$3:$K$22*(Calc!$G$3:$G$22&lt;=A2776))</f>
        <v/>
      </c>
      <c r="D2776">
        <f>SUMPRODUCT(Calc!$K$3:$K$22*(Calc!$G$3:$G$22&gt;A2776)*(Calc!$G$3:$G$22&lt;B2776))</f>
        <v/>
      </c>
      <c r="E2776">
        <f>SUMPRODUCT(Calc!$K$3:$K$22*(Calc!$G$3:$G$22&gt;=B2776))</f>
        <v/>
      </c>
      <c r="F2776">
        <f>AND(k_n&gt;=5,B2776&gt;A2776+1E-9,C2776&gt;=2,D2776&gt;=1,E2776&gt;=2)</f>
        <v/>
      </c>
      <c r="G2776">
        <f>SUMPRODUCT(Calc!$K$3:$K$22*(Calc!$G$3:$G$22&gt;A2776)*(Calc!$G$3:$G$22-A2776))</f>
        <v/>
      </c>
      <c r="H2776">
        <f>SUMPRODUCT(Calc!$K$3:$K$22*(Calc!$G$3:$G$22&gt;B2776)*(Calc!$G$3:$G$22-B2776))</f>
        <v/>
      </c>
      <c r="I2776">
        <f>SUMPRODUCT(Calc!$K$3:$K$22*(Calc!$G$3:$G$22&gt;A2776)*(Calc!$G$3:$G$22-A2776)^2)</f>
        <v/>
      </c>
      <c r="J2776">
        <f>SUMPRODUCT(Calc!$K$3:$K$22*(Calc!$G$3:$G$22&gt;B2776)*(Calc!$G$3:$G$22-B2776)^2)</f>
        <v/>
      </c>
      <c r="K2776">
        <f>SUMPRODUCT(Calc!$K$3:$K$22*(Calc!$G$3:$G$22&gt;A2776)*(Calc!$G$3:$G$22-A2776)*(Calc!$G$3:$G$22&gt;B2776)*(Calc!$G$3:$G$22-B2776))</f>
        <v/>
      </c>
      <c r="L2776">
        <f>SUMPRODUCT(Calc!$K$3:$K$22*(Calc!$G$3:$G$22&gt;A2776)*(Calc!$G$3:$G$22-A2776)*Calc!$G$3:$G$22)</f>
        <v/>
      </c>
      <c r="M2776">
        <f>SUMPRODUCT(Calc!$K$3:$K$22*(Calc!$G$3:$G$22&gt;B2776)*(Calc!$G$3:$G$22-B2776)*Calc!$G$3:$G$22)</f>
        <v/>
      </c>
      <c r="N2776">
        <f>SUMPRODUCT(Calc!$K$3:$K$22*(Calc!$G$3:$G$22&gt;A2776)*(Calc!$G$3:$G$22-A2776)*Calc!$I$3:$I$22)</f>
        <v/>
      </c>
      <c r="O2776">
        <f>SUMPRODUCT(Calc!$K$3:$K$22*(Calc!$G$3:$G$22&gt;B2776)*(Calc!$G$3:$G$22-B2776)*Calc!$I$3:$I$22)</f>
        <v/>
      </c>
      <c r="P2776">
        <f>I2776-G2776^2/k_n</f>
        <v/>
      </c>
      <c r="Q2776">
        <f>J2776-H2776^2/k_n</f>
        <v/>
      </c>
      <c r="R2776">
        <f>K2776-G2776*H2776/k_n</f>
        <v/>
      </c>
      <c r="S2776">
        <f>L2776-LTP3!$D$3*G2776/k_n</f>
        <v/>
      </c>
      <c r="T2776">
        <f>M2776-LTP3!$D$3*H2776/k_n</f>
        <v/>
      </c>
      <c r="U2776">
        <f>N2776-G2776*LTP3!$D$4/k_n</f>
        <v/>
      </c>
      <c r="V2776">
        <f>O2776-H2776*LTP3!$D$4/k_n</f>
        <v/>
      </c>
      <c r="W2776">
        <f>((LTP3!$D$5)*((P2776)*(Q2776)-(R2776)*(R2776))-(S2776)*((S2776)*(Q2776)-(R2776)*(T2776))+(T2776)*((S2776)*(R2776)-(P2776)*(T2776)))</f>
        <v/>
      </c>
      <c r="X2776">
        <f>IF(ABS(W2776)&gt;1E-12,((LTP3!$D$6)*((P2776)*(Q2776)-(R2776)*(R2776))-(S2776)*((U2776)*(Q2776)-(R2776)*(V2776))+(T2776)*((U2776)*(R2776)-(P2776)*(V2776)))/W2776,0)</f>
        <v/>
      </c>
      <c r="Y2776">
        <f>IF(ABS(W2776)&gt;1E-12,((LTP3!$D$5)*((U2776)*(Q2776)-(R2776)*(V2776))-(LTP3!$D$6)*((S2776)*(Q2776)-(R2776)*(T2776))+(T2776)*((S2776)*(V2776)-(U2776)*(T2776)))/W2776,0)</f>
        <v/>
      </c>
      <c r="Z2776">
        <f>IF(ABS(W2776)&gt;1E-12,((LTP3!$D$5)*((P2776)*(V2776)-(U2776)*(R2776))-(S2776)*((S2776)*(V2776)-(U2776)*(T2776))+(LTP3!$D$6)*((S2776)*(R2776)-(P2776)*(T2776)))/W2776,0)</f>
        <v/>
      </c>
      <c r="AA2776">
        <f>LTP3!$D$7-X2776*LTP3!$D$6-Y2776*U2776-Z2776*V2776</f>
        <v/>
      </c>
      <c r="AB2776">
        <f>IF(AND(F2776,ABS(W2776)&gt;1E-12,Y2776&gt;0,Z2776&gt;0),AA2776,1E+300)</f>
        <v/>
      </c>
    </row>
    <row r="2777">
      <c r="A2777">
        <f>$B$3+$B$5*45</f>
        <v/>
      </c>
      <c r="B2777">
        <f>$B$3+$B$5*20</f>
        <v/>
      </c>
      <c r="C2777">
        <f>SUMPRODUCT(Calc!$K$3:$K$22*(Calc!$G$3:$G$22&lt;=A2777))</f>
        <v/>
      </c>
      <c r="D2777">
        <f>SUMPRODUCT(Calc!$K$3:$K$22*(Calc!$G$3:$G$22&gt;A2777)*(Calc!$G$3:$G$22&lt;B2777))</f>
        <v/>
      </c>
      <c r="E2777">
        <f>SUMPRODUCT(Calc!$K$3:$K$22*(Calc!$G$3:$G$22&gt;=B2777))</f>
        <v/>
      </c>
      <c r="F2777">
        <f>AND(k_n&gt;=5,B2777&gt;A2777+1E-9,C2777&gt;=2,D2777&gt;=1,E2777&gt;=2)</f>
        <v/>
      </c>
      <c r="G2777">
        <f>SUMPRODUCT(Calc!$K$3:$K$22*(Calc!$G$3:$G$22&gt;A2777)*(Calc!$G$3:$G$22-A2777))</f>
        <v/>
      </c>
      <c r="H2777">
        <f>SUMPRODUCT(Calc!$K$3:$K$22*(Calc!$G$3:$G$22&gt;B2777)*(Calc!$G$3:$G$22-B2777))</f>
        <v/>
      </c>
      <c r="I2777">
        <f>SUMPRODUCT(Calc!$K$3:$K$22*(Calc!$G$3:$G$22&gt;A2777)*(Calc!$G$3:$G$22-A2777)^2)</f>
        <v/>
      </c>
      <c r="J2777">
        <f>SUMPRODUCT(Calc!$K$3:$K$22*(Calc!$G$3:$G$22&gt;B2777)*(Calc!$G$3:$G$22-B2777)^2)</f>
        <v/>
      </c>
      <c r="K2777">
        <f>SUMPRODUCT(Calc!$K$3:$K$22*(Calc!$G$3:$G$22&gt;A2777)*(Calc!$G$3:$G$22-A2777)*(Calc!$G$3:$G$22&gt;B2777)*(Calc!$G$3:$G$22-B2777))</f>
        <v/>
      </c>
      <c r="L2777">
        <f>SUMPRODUCT(Calc!$K$3:$K$22*(Calc!$G$3:$G$22&gt;A2777)*(Calc!$G$3:$G$22-A2777)*Calc!$G$3:$G$22)</f>
        <v/>
      </c>
      <c r="M2777">
        <f>SUMPRODUCT(Calc!$K$3:$K$22*(Calc!$G$3:$G$22&gt;B2777)*(Calc!$G$3:$G$22-B2777)*Calc!$G$3:$G$22)</f>
        <v/>
      </c>
      <c r="N2777">
        <f>SUMPRODUCT(Calc!$K$3:$K$22*(Calc!$G$3:$G$22&gt;A2777)*(Calc!$G$3:$G$22-A2777)*Calc!$I$3:$I$22)</f>
        <v/>
      </c>
      <c r="O2777">
        <f>SUMPRODUCT(Calc!$K$3:$K$22*(Calc!$G$3:$G$22&gt;B2777)*(Calc!$G$3:$G$22-B2777)*Calc!$I$3:$I$22)</f>
        <v/>
      </c>
      <c r="P2777">
        <f>I2777-G2777^2/k_n</f>
        <v/>
      </c>
      <c r="Q2777">
        <f>J2777-H2777^2/k_n</f>
        <v/>
      </c>
      <c r="R2777">
        <f>K2777-G2777*H2777/k_n</f>
        <v/>
      </c>
      <c r="S2777">
        <f>L2777-LTP3!$D$3*G2777/k_n</f>
        <v/>
      </c>
      <c r="T2777">
        <f>M2777-LTP3!$D$3*H2777/k_n</f>
        <v/>
      </c>
      <c r="U2777">
        <f>N2777-G2777*LTP3!$D$4/k_n</f>
        <v/>
      </c>
      <c r="V2777">
        <f>O2777-H2777*LTP3!$D$4/k_n</f>
        <v/>
      </c>
      <c r="W2777">
        <f>((LTP3!$D$5)*((P2777)*(Q2777)-(R2777)*(R2777))-(S2777)*((S2777)*(Q2777)-(R2777)*(T2777))+(T2777)*((S2777)*(R2777)-(P2777)*(T2777)))</f>
        <v/>
      </c>
      <c r="X2777">
        <f>IF(ABS(W2777)&gt;1E-12,((LTP3!$D$6)*((P2777)*(Q2777)-(R2777)*(R2777))-(S2777)*((U2777)*(Q2777)-(R2777)*(V2777))+(T2777)*((U2777)*(R2777)-(P2777)*(V2777)))/W2777,0)</f>
        <v/>
      </c>
      <c r="Y2777">
        <f>IF(ABS(W2777)&gt;1E-12,((LTP3!$D$5)*((U2777)*(Q2777)-(R2777)*(V2777))-(LTP3!$D$6)*((S2777)*(Q2777)-(R2777)*(T2777))+(T2777)*((S2777)*(V2777)-(U2777)*(T2777)))/W2777,0)</f>
        <v/>
      </c>
      <c r="Z2777">
        <f>IF(ABS(W2777)&gt;1E-12,((LTP3!$D$5)*((P2777)*(V2777)-(U2777)*(R2777))-(S2777)*((S2777)*(V2777)-(U2777)*(T2777))+(LTP3!$D$6)*((S2777)*(R2777)-(P2777)*(T2777)))/W2777,0)</f>
        <v/>
      </c>
      <c r="AA2777">
        <f>LTP3!$D$7-X2777*LTP3!$D$6-Y2777*U2777-Z2777*V2777</f>
        <v/>
      </c>
      <c r="AB2777">
        <f>IF(AND(F2777,ABS(W2777)&gt;1E-12,Y2777&gt;0,Z2777&gt;0),AA2777,1E+300)</f>
        <v/>
      </c>
    </row>
    <row r="2778">
      <c r="A2778">
        <f>$B$3+$B$5*45</f>
        <v/>
      </c>
      <c r="B2778">
        <f>$B$3+$B$5*21</f>
        <v/>
      </c>
      <c r="C2778">
        <f>SUMPRODUCT(Calc!$K$3:$K$22*(Calc!$G$3:$G$22&lt;=A2778))</f>
        <v/>
      </c>
      <c r="D2778">
        <f>SUMPRODUCT(Calc!$K$3:$K$22*(Calc!$G$3:$G$22&gt;A2778)*(Calc!$G$3:$G$22&lt;B2778))</f>
        <v/>
      </c>
      <c r="E2778">
        <f>SUMPRODUCT(Calc!$K$3:$K$22*(Calc!$G$3:$G$22&gt;=B2778))</f>
        <v/>
      </c>
      <c r="F2778">
        <f>AND(k_n&gt;=5,B2778&gt;A2778+1E-9,C2778&gt;=2,D2778&gt;=1,E2778&gt;=2)</f>
        <v/>
      </c>
      <c r="G2778">
        <f>SUMPRODUCT(Calc!$K$3:$K$22*(Calc!$G$3:$G$22&gt;A2778)*(Calc!$G$3:$G$22-A2778))</f>
        <v/>
      </c>
      <c r="H2778">
        <f>SUMPRODUCT(Calc!$K$3:$K$22*(Calc!$G$3:$G$22&gt;B2778)*(Calc!$G$3:$G$22-B2778))</f>
        <v/>
      </c>
      <c r="I2778">
        <f>SUMPRODUCT(Calc!$K$3:$K$22*(Calc!$G$3:$G$22&gt;A2778)*(Calc!$G$3:$G$22-A2778)^2)</f>
        <v/>
      </c>
      <c r="J2778">
        <f>SUMPRODUCT(Calc!$K$3:$K$22*(Calc!$G$3:$G$22&gt;B2778)*(Calc!$G$3:$G$22-B2778)^2)</f>
        <v/>
      </c>
      <c r="K2778">
        <f>SUMPRODUCT(Calc!$K$3:$K$22*(Calc!$G$3:$G$22&gt;A2778)*(Calc!$G$3:$G$22-A2778)*(Calc!$G$3:$G$22&gt;B2778)*(Calc!$G$3:$G$22-B2778))</f>
        <v/>
      </c>
      <c r="L2778">
        <f>SUMPRODUCT(Calc!$K$3:$K$22*(Calc!$G$3:$G$22&gt;A2778)*(Calc!$G$3:$G$22-A2778)*Calc!$G$3:$G$22)</f>
        <v/>
      </c>
      <c r="M2778">
        <f>SUMPRODUCT(Calc!$K$3:$K$22*(Calc!$G$3:$G$22&gt;B2778)*(Calc!$G$3:$G$22-B2778)*Calc!$G$3:$G$22)</f>
        <v/>
      </c>
      <c r="N2778">
        <f>SUMPRODUCT(Calc!$K$3:$K$22*(Calc!$G$3:$G$22&gt;A2778)*(Calc!$G$3:$G$22-A2778)*Calc!$I$3:$I$22)</f>
        <v/>
      </c>
      <c r="O2778">
        <f>SUMPRODUCT(Calc!$K$3:$K$22*(Calc!$G$3:$G$22&gt;B2778)*(Calc!$G$3:$G$22-B2778)*Calc!$I$3:$I$22)</f>
        <v/>
      </c>
      <c r="P2778">
        <f>I2778-G2778^2/k_n</f>
        <v/>
      </c>
      <c r="Q2778">
        <f>J2778-H2778^2/k_n</f>
        <v/>
      </c>
      <c r="R2778">
        <f>K2778-G2778*H2778/k_n</f>
        <v/>
      </c>
      <c r="S2778">
        <f>L2778-LTP3!$D$3*G2778/k_n</f>
        <v/>
      </c>
      <c r="T2778">
        <f>M2778-LTP3!$D$3*H2778/k_n</f>
        <v/>
      </c>
      <c r="U2778">
        <f>N2778-G2778*LTP3!$D$4/k_n</f>
        <v/>
      </c>
      <c r="V2778">
        <f>O2778-H2778*LTP3!$D$4/k_n</f>
        <v/>
      </c>
      <c r="W2778">
        <f>((LTP3!$D$5)*((P2778)*(Q2778)-(R2778)*(R2778))-(S2778)*((S2778)*(Q2778)-(R2778)*(T2778))+(T2778)*((S2778)*(R2778)-(P2778)*(T2778)))</f>
        <v/>
      </c>
      <c r="X2778">
        <f>IF(ABS(W2778)&gt;1E-12,((LTP3!$D$6)*((P2778)*(Q2778)-(R2778)*(R2778))-(S2778)*((U2778)*(Q2778)-(R2778)*(V2778))+(T2778)*((U2778)*(R2778)-(P2778)*(V2778)))/W2778,0)</f>
        <v/>
      </c>
      <c r="Y2778">
        <f>IF(ABS(W2778)&gt;1E-12,((LTP3!$D$5)*((U2778)*(Q2778)-(R2778)*(V2778))-(LTP3!$D$6)*((S2778)*(Q2778)-(R2778)*(T2778))+(T2778)*((S2778)*(V2778)-(U2778)*(T2778)))/W2778,0)</f>
        <v/>
      </c>
      <c r="Z2778">
        <f>IF(ABS(W2778)&gt;1E-12,((LTP3!$D$5)*((P2778)*(V2778)-(U2778)*(R2778))-(S2778)*((S2778)*(V2778)-(U2778)*(T2778))+(LTP3!$D$6)*((S2778)*(R2778)-(P2778)*(T2778)))/W2778,0)</f>
        <v/>
      </c>
      <c r="AA2778">
        <f>LTP3!$D$7-X2778*LTP3!$D$6-Y2778*U2778-Z2778*V2778</f>
        <v/>
      </c>
      <c r="AB2778">
        <f>IF(AND(F2778,ABS(W2778)&gt;1E-12,Y2778&gt;0,Z2778&gt;0),AA2778,1E+300)</f>
        <v/>
      </c>
    </row>
    <row r="2779">
      <c r="A2779">
        <f>$B$3+$B$5*45</f>
        <v/>
      </c>
      <c r="B2779">
        <f>$B$3+$B$5*22</f>
        <v/>
      </c>
      <c r="C2779">
        <f>SUMPRODUCT(Calc!$K$3:$K$22*(Calc!$G$3:$G$22&lt;=A2779))</f>
        <v/>
      </c>
      <c r="D2779">
        <f>SUMPRODUCT(Calc!$K$3:$K$22*(Calc!$G$3:$G$22&gt;A2779)*(Calc!$G$3:$G$22&lt;B2779))</f>
        <v/>
      </c>
      <c r="E2779">
        <f>SUMPRODUCT(Calc!$K$3:$K$22*(Calc!$G$3:$G$22&gt;=B2779))</f>
        <v/>
      </c>
      <c r="F2779">
        <f>AND(k_n&gt;=5,B2779&gt;A2779+1E-9,C2779&gt;=2,D2779&gt;=1,E2779&gt;=2)</f>
        <v/>
      </c>
      <c r="G2779">
        <f>SUMPRODUCT(Calc!$K$3:$K$22*(Calc!$G$3:$G$22&gt;A2779)*(Calc!$G$3:$G$22-A2779))</f>
        <v/>
      </c>
      <c r="H2779">
        <f>SUMPRODUCT(Calc!$K$3:$K$22*(Calc!$G$3:$G$22&gt;B2779)*(Calc!$G$3:$G$22-B2779))</f>
        <v/>
      </c>
      <c r="I2779">
        <f>SUMPRODUCT(Calc!$K$3:$K$22*(Calc!$G$3:$G$22&gt;A2779)*(Calc!$G$3:$G$22-A2779)^2)</f>
        <v/>
      </c>
      <c r="J2779">
        <f>SUMPRODUCT(Calc!$K$3:$K$22*(Calc!$G$3:$G$22&gt;B2779)*(Calc!$G$3:$G$22-B2779)^2)</f>
        <v/>
      </c>
      <c r="K2779">
        <f>SUMPRODUCT(Calc!$K$3:$K$22*(Calc!$G$3:$G$22&gt;A2779)*(Calc!$G$3:$G$22-A2779)*(Calc!$G$3:$G$22&gt;B2779)*(Calc!$G$3:$G$22-B2779))</f>
        <v/>
      </c>
      <c r="L2779">
        <f>SUMPRODUCT(Calc!$K$3:$K$22*(Calc!$G$3:$G$22&gt;A2779)*(Calc!$G$3:$G$22-A2779)*Calc!$G$3:$G$22)</f>
        <v/>
      </c>
      <c r="M2779">
        <f>SUMPRODUCT(Calc!$K$3:$K$22*(Calc!$G$3:$G$22&gt;B2779)*(Calc!$G$3:$G$22-B2779)*Calc!$G$3:$G$22)</f>
        <v/>
      </c>
      <c r="N2779">
        <f>SUMPRODUCT(Calc!$K$3:$K$22*(Calc!$G$3:$G$22&gt;A2779)*(Calc!$G$3:$G$22-A2779)*Calc!$I$3:$I$22)</f>
        <v/>
      </c>
      <c r="O2779">
        <f>SUMPRODUCT(Calc!$K$3:$K$22*(Calc!$G$3:$G$22&gt;B2779)*(Calc!$G$3:$G$22-B2779)*Calc!$I$3:$I$22)</f>
        <v/>
      </c>
      <c r="P2779">
        <f>I2779-G2779^2/k_n</f>
        <v/>
      </c>
      <c r="Q2779">
        <f>J2779-H2779^2/k_n</f>
        <v/>
      </c>
      <c r="R2779">
        <f>K2779-G2779*H2779/k_n</f>
        <v/>
      </c>
      <c r="S2779">
        <f>L2779-LTP3!$D$3*G2779/k_n</f>
        <v/>
      </c>
      <c r="T2779">
        <f>M2779-LTP3!$D$3*H2779/k_n</f>
        <v/>
      </c>
      <c r="U2779">
        <f>N2779-G2779*LTP3!$D$4/k_n</f>
        <v/>
      </c>
      <c r="V2779">
        <f>O2779-H2779*LTP3!$D$4/k_n</f>
        <v/>
      </c>
      <c r="W2779">
        <f>((LTP3!$D$5)*((P2779)*(Q2779)-(R2779)*(R2779))-(S2779)*((S2779)*(Q2779)-(R2779)*(T2779))+(T2779)*((S2779)*(R2779)-(P2779)*(T2779)))</f>
        <v/>
      </c>
      <c r="X2779">
        <f>IF(ABS(W2779)&gt;1E-12,((LTP3!$D$6)*((P2779)*(Q2779)-(R2779)*(R2779))-(S2779)*((U2779)*(Q2779)-(R2779)*(V2779))+(T2779)*((U2779)*(R2779)-(P2779)*(V2779)))/W2779,0)</f>
        <v/>
      </c>
      <c r="Y2779">
        <f>IF(ABS(W2779)&gt;1E-12,((LTP3!$D$5)*((U2779)*(Q2779)-(R2779)*(V2779))-(LTP3!$D$6)*((S2779)*(Q2779)-(R2779)*(T2779))+(T2779)*((S2779)*(V2779)-(U2779)*(T2779)))/W2779,0)</f>
        <v/>
      </c>
      <c r="Z2779">
        <f>IF(ABS(W2779)&gt;1E-12,((LTP3!$D$5)*((P2779)*(V2779)-(U2779)*(R2779))-(S2779)*((S2779)*(V2779)-(U2779)*(T2779))+(LTP3!$D$6)*((S2779)*(R2779)-(P2779)*(T2779)))/W2779,0)</f>
        <v/>
      </c>
      <c r="AA2779">
        <f>LTP3!$D$7-X2779*LTP3!$D$6-Y2779*U2779-Z2779*V2779</f>
        <v/>
      </c>
      <c r="AB2779">
        <f>IF(AND(F2779,ABS(W2779)&gt;1E-12,Y2779&gt;0,Z2779&gt;0),AA2779,1E+300)</f>
        <v/>
      </c>
    </row>
    <row r="2780">
      <c r="A2780">
        <f>$B$3+$B$5*45</f>
        <v/>
      </c>
      <c r="B2780">
        <f>$B$3+$B$5*23</f>
        <v/>
      </c>
      <c r="C2780">
        <f>SUMPRODUCT(Calc!$K$3:$K$22*(Calc!$G$3:$G$22&lt;=A2780))</f>
        <v/>
      </c>
      <c r="D2780">
        <f>SUMPRODUCT(Calc!$K$3:$K$22*(Calc!$G$3:$G$22&gt;A2780)*(Calc!$G$3:$G$22&lt;B2780))</f>
        <v/>
      </c>
      <c r="E2780">
        <f>SUMPRODUCT(Calc!$K$3:$K$22*(Calc!$G$3:$G$22&gt;=B2780))</f>
        <v/>
      </c>
      <c r="F2780">
        <f>AND(k_n&gt;=5,B2780&gt;A2780+1E-9,C2780&gt;=2,D2780&gt;=1,E2780&gt;=2)</f>
        <v/>
      </c>
      <c r="G2780">
        <f>SUMPRODUCT(Calc!$K$3:$K$22*(Calc!$G$3:$G$22&gt;A2780)*(Calc!$G$3:$G$22-A2780))</f>
        <v/>
      </c>
      <c r="H2780">
        <f>SUMPRODUCT(Calc!$K$3:$K$22*(Calc!$G$3:$G$22&gt;B2780)*(Calc!$G$3:$G$22-B2780))</f>
        <v/>
      </c>
      <c r="I2780">
        <f>SUMPRODUCT(Calc!$K$3:$K$22*(Calc!$G$3:$G$22&gt;A2780)*(Calc!$G$3:$G$22-A2780)^2)</f>
        <v/>
      </c>
      <c r="J2780">
        <f>SUMPRODUCT(Calc!$K$3:$K$22*(Calc!$G$3:$G$22&gt;B2780)*(Calc!$G$3:$G$22-B2780)^2)</f>
        <v/>
      </c>
      <c r="K2780">
        <f>SUMPRODUCT(Calc!$K$3:$K$22*(Calc!$G$3:$G$22&gt;A2780)*(Calc!$G$3:$G$22-A2780)*(Calc!$G$3:$G$22&gt;B2780)*(Calc!$G$3:$G$22-B2780))</f>
        <v/>
      </c>
      <c r="L2780">
        <f>SUMPRODUCT(Calc!$K$3:$K$22*(Calc!$G$3:$G$22&gt;A2780)*(Calc!$G$3:$G$22-A2780)*Calc!$G$3:$G$22)</f>
        <v/>
      </c>
      <c r="M2780">
        <f>SUMPRODUCT(Calc!$K$3:$K$22*(Calc!$G$3:$G$22&gt;B2780)*(Calc!$G$3:$G$22-B2780)*Calc!$G$3:$G$22)</f>
        <v/>
      </c>
      <c r="N2780">
        <f>SUMPRODUCT(Calc!$K$3:$K$22*(Calc!$G$3:$G$22&gt;A2780)*(Calc!$G$3:$G$22-A2780)*Calc!$I$3:$I$22)</f>
        <v/>
      </c>
      <c r="O2780">
        <f>SUMPRODUCT(Calc!$K$3:$K$22*(Calc!$G$3:$G$22&gt;B2780)*(Calc!$G$3:$G$22-B2780)*Calc!$I$3:$I$22)</f>
        <v/>
      </c>
      <c r="P2780">
        <f>I2780-G2780^2/k_n</f>
        <v/>
      </c>
      <c r="Q2780">
        <f>J2780-H2780^2/k_n</f>
        <v/>
      </c>
      <c r="R2780">
        <f>K2780-G2780*H2780/k_n</f>
        <v/>
      </c>
      <c r="S2780">
        <f>L2780-LTP3!$D$3*G2780/k_n</f>
        <v/>
      </c>
      <c r="T2780">
        <f>M2780-LTP3!$D$3*H2780/k_n</f>
        <v/>
      </c>
      <c r="U2780">
        <f>N2780-G2780*LTP3!$D$4/k_n</f>
        <v/>
      </c>
      <c r="V2780">
        <f>O2780-H2780*LTP3!$D$4/k_n</f>
        <v/>
      </c>
      <c r="W2780">
        <f>((LTP3!$D$5)*((P2780)*(Q2780)-(R2780)*(R2780))-(S2780)*((S2780)*(Q2780)-(R2780)*(T2780))+(T2780)*((S2780)*(R2780)-(P2780)*(T2780)))</f>
        <v/>
      </c>
      <c r="X2780">
        <f>IF(ABS(W2780)&gt;1E-12,((LTP3!$D$6)*((P2780)*(Q2780)-(R2780)*(R2780))-(S2780)*((U2780)*(Q2780)-(R2780)*(V2780))+(T2780)*((U2780)*(R2780)-(P2780)*(V2780)))/W2780,0)</f>
        <v/>
      </c>
      <c r="Y2780">
        <f>IF(ABS(W2780)&gt;1E-12,((LTP3!$D$5)*((U2780)*(Q2780)-(R2780)*(V2780))-(LTP3!$D$6)*((S2780)*(Q2780)-(R2780)*(T2780))+(T2780)*((S2780)*(V2780)-(U2780)*(T2780)))/W2780,0)</f>
        <v/>
      </c>
      <c r="Z2780">
        <f>IF(ABS(W2780)&gt;1E-12,((LTP3!$D$5)*((P2780)*(V2780)-(U2780)*(R2780))-(S2780)*((S2780)*(V2780)-(U2780)*(T2780))+(LTP3!$D$6)*((S2780)*(R2780)-(P2780)*(T2780)))/W2780,0)</f>
        <v/>
      </c>
      <c r="AA2780">
        <f>LTP3!$D$7-X2780*LTP3!$D$6-Y2780*U2780-Z2780*V2780</f>
        <v/>
      </c>
      <c r="AB2780">
        <f>IF(AND(F2780,ABS(W2780)&gt;1E-12,Y2780&gt;0,Z2780&gt;0),AA2780,1E+300)</f>
        <v/>
      </c>
    </row>
    <row r="2781">
      <c r="A2781">
        <f>$B$3+$B$5*45</f>
        <v/>
      </c>
      <c r="B2781">
        <f>$B$3+$B$5*24</f>
        <v/>
      </c>
      <c r="C2781">
        <f>SUMPRODUCT(Calc!$K$3:$K$22*(Calc!$G$3:$G$22&lt;=A2781))</f>
        <v/>
      </c>
      <c r="D2781">
        <f>SUMPRODUCT(Calc!$K$3:$K$22*(Calc!$G$3:$G$22&gt;A2781)*(Calc!$G$3:$G$22&lt;B2781))</f>
        <v/>
      </c>
      <c r="E2781">
        <f>SUMPRODUCT(Calc!$K$3:$K$22*(Calc!$G$3:$G$22&gt;=B2781))</f>
        <v/>
      </c>
      <c r="F2781">
        <f>AND(k_n&gt;=5,B2781&gt;A2781+1E-9,C2781&gt;=2,D2781&gt;=1,E2781&gt;=2)</f>
        <v/>
      </c>
      <c r="G2781">
        <f>SUMPRODUCT(Calc!$K$3:$K$22*(Calc!$G$3:$G$22&gt;A2781)*(Calc!$G$3:$G$22-A2781))</f>
        <v/>
      </c>
      <c r="H2781">
        <f>SUMPRODUCT(Calc!$K$3:$K$22*(Calc!$G$3:$G$22&gt;B2781)*(Calc!$G$3:$G$22-B2781))</f>
        <v/>
      </c>
      <c r="I2781">
        <f>SUMPRODUCT(Calc!$K$3:$K$22*(Calc!$G$3:$G$22&gt;A2781)*(Calc!$G$3:$G$22-A2781)^2)</f>
        <v/>
      </c>
      <c r="J2781">
        <f>SUMPRODUCT(Calc!$K$3:$K$22*(Calc!$G$3:$G$22&gt;B2781)*(Calc!$G$3:$G$22-B2781)^2)</f>
        <v/>
      </c>
      <c r="K2781">
        <f>SUMPRODUCT(Calc!$K$3:$K$22*(Calc!$G$3:$G$22&gt;A2781)*(Calc!$G$3:$G$22-A2781)*(Calc!$G$3:$G$22&gt;B2781)*(Calc!$G$3:$G$22-B2781))</f>
        <v/>
      </c>
      <c r="L2781">
        <f>SUMPRODUCT(Calc!$K$3:$K$22*(Calc!$G$3:$G$22&gt;A2781)*(Calc!$G$3:$G$22-A2781)*Calc!$G$3:$G$22)</f>
        <v/>
      </c>
      <c r="M2781">
        <f>SUMPRODUCT(Calc!$K$3:$K$22*(Calc!$G$3:$G$22&gt;B2781)*(Calc!$G$3:$G$22-B2781)*Calc!$G$3:$G$22)</f>
        <v/>
      </c>
      <c r="N2781">
        <f>SUMPRODUCT(Calc!$K$3:$K$22*(Calc!$G$3:$G$22&gt;A2781)*(Calc!$G$3:$G$22-A2781)*Calc!$I$3:$I$22)</f>
        <v/>
      </c>
      <c r="O2781">
        <f>SUMPRODUCT(Calc!$K$3:$K$22*(Calc!$G$3:$G$22&gt;B2781)*(Calc!$G$3:$G$22-B2781)*Calc!$I$3:$I$22)</f>
        <v/>
      </c>
      <c r="P2781">
        <f>I2781-G2781^2/k_n</f>
        <v/>
      </c>
      <c r="Q2781">
        <f>J2781-H2781^2/k_n</f>
        <v/>
      </c>
      <c r="R2781">
        <f>K2781-G2781*H2781/k_n</f>
        <v/>
      </c>
      <c r="S2781">
        <f>L2781-LTP3!$D$3*G2781/k_n</f>
        <v/>
      </c>
      <c r="T2781">
        <f>M2781-LTP3!$D$3*H2781/k_n</f>
        <v/>
      </c>
      <c r="U2781">
        <f>N2781-G2781*LTP3!$D$4/k_n</f>
        <v/>
      </c>
      <c r="V2781">
        <f>O2781-H2781*LTP3!$D$4/k_n</f>
        <v/>
      </c>
      <c r="W2781">
        <f>((LTP3!$D$5)*((P2781)*(Q2781)-(R2781)*(R2781))-(S2781)*((S2781)*(Q2781)-(R2781)*(T2781))+(T2781)*((S2781)*(R2781)-(P2781)*(T2781)))</f>
        <v/>
      </c>
      <c r="X2781">
        <f>IF(ABS(W2781)&gt;1E-12,((LTP3!$D$6)*((P2781)*(Q2781)-(R2781)*(R2781))-(S2781)*((U2781)*(Q2781)-(R2781)*(V2781))+(T2781)*((U2781)*(R2781)-(P2781)*(V2781)))/W2781,0)</f>
        <v/>
      </c>
      <c r="Y2781">
        <f>IF(ABS(W2781)&gt;1E-12,((LTP3!$D$5)*((U2781)*(Q2781)-(R2781)*(V2781))-(LTP3!$D$6)*((S2781)*(Q2781)-(R2781)*(T2781))+(T2781)*((S2781)*(V2781)-(U2781)*(T2781)))/W2781,0)</f>
        <v/>
      </c>
      <c r="Z2781">
        <f>IF(ABS(W2781)&gt;1E-12,((LTP3!$D$5)*((P2781)*(V2781)-(U2781)*(R2781))-(S2781)*((S2781)*(V2781)-(U2781)*(T2781))+(LTP3!$D$6)*((S2781)*(R2781)-(P2781)*(T2781)))/W2781,0)</f>
        <v/>
      </c>
      <c r="AA2781">
        <f>LTP3!$D$7-X2781*LTP3!$D$6-Y2781*U2781-Z2781*V2781</f>
        <v/>
      </c>
      <c r="AB2781">
        <f>IF(AND(F2781,ABS(W2781)&gt;1E-12,Y2781&gt;0,Z2781&gt;0),AA2781,1E+300)</f>
        <v/>
      </c>
    </row>
    <row r="2782">
      <c r="A2782">
        <f>$B$3+$B$5*45</f>
        <v/>
      </c>
      <c r="B2782">
        <f>$B$3+$B$5*25</f>
        <v/>
      </c>
      <c r="C2782">
        <f>SUMPRODUCT(Calc!$K$3:$K$22*(Calc!$G$3:$G$22&lt;=A2782))</f>
        <v/>
      </c>
      <c r="D2782">
        <f>SUMPRODUCT(Calc!$K$3:$K$22*(Calc!$G$3:$G$22&gt;A2782)*(Calc!$G$3:$G$22&lt;B2782))</f>
        <v/>
      </c>
      <c r="E2782">
        <f>SUMPRODUCT(Calc!$K$3:$K$22*(Calc!$G$3:$G$22&gt;=B2782))</f>
        <v/>
      </c>
      <c r="F2782">
        <f>AND(k_n&gt;=5,B2782&gt;A2782+1E-9,C2782&gt;=2,D2782&gt;=1,E2782&gt;=2)</f>
        <v/>
      </c>
      <c r="G2782">
        <f>SUMPRODUCT(Calc!$K$3:$K$22*(Calc!$G$3:$G$22&gt;A2782)*(Calc!$G$3:$G$22-A2782))</f>
        <v/>
      </c>
      <c r="H2782">
        <f>SUMPRODUCT(Calc!$K$3:$K$22*(Calc!$G$3:$G$22&gt;B2782)*(Calc!$G$3:$G$22-B2782))</f>
        <v/>
      </c>
      <c r="I2782">
        <f>SUMPRODUCT(Calc!$K$3:$K$22*(Calc!$G$3:$G$22&gt;A2782)*(Calc!$G$3:$G$22-A2782)^2)</f>
        <v/>
      </c>
      <c r="J2782">
        <f>SUMPRODUCT(Calc!$K$3:$K$22*(Calc!$G$3:$G$22&gt;B2782)*(Calc!$G$3:$G$22-B2782)^2)</f>
        <v/>
      </c>
      <c r="K2782">
        <f>SUMPRODUCT(Calc!$K$3:$K$22*(Calc!$G$3:$G$22&gt;A2782)*(Calc!$G$3:$G$22-A2782)*(Calc!$G$3:$G$22&gt;B2782)*(Calc!$G$3:$G$22-B2782))</f>
        <v/>
      </c>
      <c r="L2782">
        <f>SUMPRODUCT(Calc!$K$3:$K$22*(Calc!$G$3:$G$22&gt;A2782)*(Calc!$G$3:$G$22-A2782)*Calc!$G$3:$G$22)</f>
        <v/>
      </c>
      <c r="M2782">
        <f>SUMPRODUCT(Calc!$K$3:$K$22*(Calc!$G$3:$G$22&gt;B2782)*(Calc!$G$3:$G$22-B2782)*Calc!$G$3:$G$22)</f>
        <v/>
      </c>
      <c r="N2782">
        <f>SUMPRODUCT(Calc!$K$3:$K$22*(Calc!$G$3:$G$22&gt;A2782)*(Calc!$G$3:$G$22-A2782)*Calc!$I$3:$I$22)</f>
        <v/>
      </c>
      <c r="O2782">
        <f>SUMPRODUCT(Calc!$K$3:$K$22*(Calc!$G$3:$G$22&gt;B2782)*(Calc!$G$3:$G$22-B2782)*Calc!$I$3:$I$22)</f>
        <v/>
      </c>
      <c r="P2782">
        <f>I2782-G2782^2/k_n</f>
        <v/>
      </c>
      <c r="Q2782">
        <f>J2782-H2782^2/k_n</f>
        <v/>
      </c>
      <c r="R2782">
        <f>K2782-G2782*H2782/k_n</f>
        <v/>
      </c>
      <c r="S2782">
        <f>L2782-LTP3!$D$3*G2782/k_n</f>
        <v/>
      </c>
      <c r="T2782">
        <f>M2782-LTP3!$D$3*H2782/k_n</f>
        <v/>
      </c>
      <c r="U2782">
        <f>N2782-G2782*LTP3!$D$4/k_n</f>
        <v/>
      </c>
      <c r="V2782">
        <f>O2782-H2782*LTP3!$D$4/k_n</f>
        <v/>
      </c>
      <c r="W2782">
        <f>((LTP3!$D$5)*((P2782)*(Q2782)-(R2782)*(R2782))-(S2782)*((S2782)*(Q2782)-(R2782)*(T2782))+(T2782)*((S2782)*(R2782)-(P2782)*(T2782)))</f>
        <v/>
      </c>
      <c r="X2782">
        <f>IF(ABS(W2782)&gt;1E-12,((LTP3!$D$6)*((P2782)*(Q2782)-(R2782)*(R2782))-(S2782)*((U2782)*(Q2782)-(R2782)*(V2782))+(T2782)*((U2782)*(R2782)-(P2782)*(V2782)))/W2782,0)</f>
        <v/>
      </c>
      <c r="Y2782">
        <f>IF(ABS(W2782)&gt;1E-12,((LTP3!$D$5)*((U2782)*(Q2782)-(R2782)*(V2782))-(LTP3!$D$6)*((S2782)*(Q2782)-(R2782)*(T2782))+(T2782)*((S2782)*(V2782)-(U2782)*(T2782)))/W2782,0)</f>
        <v/>
      </c>
      <c r="Z2782">
        <f>IF(ABS(W2782)&gt;1E-12,((LTP3!$D$5)*((P2782)*(V2782)-(U2782)*(R2782))-(S2782)*((S2782)*(V2782)-(U2782)*(T2782))+(LTP3!$D$6)*((S2782)*(R2782)-(P2782)*(T2782)))/W2782,0)</f>
        <v/>
      </c>
      <c r="AA2782">
        <f>LTP3!$D$7-X2782*LTP3!$D$6-Y2782*U2782-Z2782*V2782</f>
        <v/>
      </c>
      <c r="AB2782">
        <f>IF(AND(F2782,ABS(W2782)&gt;1E-12,Y2782&gt;0,Z2782&gt;0),AA2782,1E+300)</f>
        <v/>
      </c>
    </row>
    <row r="2783">
      <c r="A2783">
        <f>$B$3+$B$5*45</f>
        <v/>
      </c>
      <c r="B2783">
        <f>$B$3+$B$5*26</f>
        <v/>
      </c>
      <c r="C2783">
        <f>SUMPRODUCT(Calc!$K$3:$K$22*(Calc!$G$3:$G$22&lt;=A2783))</f>
        <v/>
      </c>
      <c r="D2783">
        <f>SUMPRODUCT(Calc!$K$3:$K$22*(Calc!$G$3:$G$22&gt;A2783)*(Calc!$G$3:$G$22&lt;B2783))</f>
        <v/>
      </c>
      <c r="E2783">
        <f>SUMPRODUCT(Calc!$K$3:$K$22*(Calc!$G$3:$G$22&gt;=B2783))</f>
        <v/>
      </c>
      <c r="F2783">
        <f>AND(k_n&gt;=5,B2783&gt;A2783+1E-9,C2783&gt;=2,D2783&gt;=1,E2783&gt;=2)</f>
        <v/>
      </c>
      <c r="G2783">
        <f>SUMPRODUCT(Calc!$K$3:$K$22*(Calc!$G$3:$G$22&gt;A2783)*(Calc!$G$3:$G$22-A2783))</f>
        <v/>
      </c>
      <c r="H2783">
        <f>SUMPRODUCT(Calc!$K$3:$K$22*(Calc!$G$3:$G$22&gt;B2783)*(Calc!$G$3:$G$22-B2783))</f>
        <v/>
      </c>
      <c r="I2783">
        <f>SUMPRODUCT(Calc!$K$3:$K$22*(Calc!$G$3:$G$22&gt;A2783)*(Calc!$G$3:$G$22-A2783)^2)</f>
        <v/>
      </c>
      <c r="J2783">
        <f>SUMPRODUCT(Calc!$K$3:$K$22*(Calc!$G$3:$G$22&gt;B2783)*(Calc!$G$3:$G$22-B2783)^2)</f>
        <v/>
      </c>
      <c r="K2783">
        <f>SUMPRODUCT(Calc!$K$3:$K$22*(Calc!$G$3:$G$22&gt;A2783)*(Calc!$G$3:$G$22-A2783)*(Calc!$G$3:$G$22&gt;B2783)*(Calc!$G$3:$G$22-B2783))</f>
        <v/>
      </c>
      <c r="L2783">
        <f>SUMPRODUCT(Calc!$K$3:$K$22*(Calc!$G$3:$G$22&gt;A2783)*(Calc!$G$3:$G$22-A2783)*Calc!$G$3:$G$22)</f>
        <v/>
      </c>
      <c r="M2783">
        <f>SUMPRODUCT(Calc!$K$3:$K$22*(Calc!$G$3:$G$22&gt;B2783)*(Calc!$G$3:$G$22-B2783)*Calc!$G$3:$G$22)</f>
        <v/>
      </c>
      <c r="N2783">
        <f>SUMPRODUCT(Calc!$K$3:$K$22*(Calc!$G$3:$G$22&gt;A2783)*(Calc!$G$3:$G$22-A2783)*Calc!$I$3:$I$22)</f>
        <v/>
      </c>
      <c r="O2783">
        <f>SUMPRODUCT(Calc!$K$3:$K$22*(Calc!$G$3:$G$22&gt;B2783)*(Calc!$G$3:$G$22-B2783)*Calc!$I$3:$I$22)</f>
        <v/>
      </c>
      <c r="P2783">
        <f>I2783-G2783^2/k_n</f>
        <v/>
      </c>
      <c r="Q2783">
        <f>J2783-H2783^2/k_n</f>
        <v/>
      </c>
      <c r="R2783">
        <f>K2783-G2783*H2783/k_n</f>
        <v/>
      </c>
      <c r="S2783">
        <f>L2783-LTP3!$D$3*G2783/k_n</f>
        <v/>
      </c>
      <c r="T2783">
        <f>M2783-LTP3!$D$3*H2783/k_n</f>
        <v/>
      </c>
      <c r="U2783">
        <f>N2783-G2783*LTP3!$D$4/k_n</f>
        <v/>
      </c>
      <c r="V2783">
        <f>O2783-H2783*LTP3!$D$4/k_n</f>
        <v/>
      </c>
      <c r="W2783">
        <f>((LTP3!$D$5)*((P2783)*(Q2783)-(R2783)*(R2783))-(S2783)*((S2783)*(Q2783)-(R2783)*(T2783))+(T2783)*((S2783)*(R2783)-(P2783)*(T2783)))</f>
        <v/>
      </c>
      <c r="X2783">
        <f>IF(ABS(W2783)&gt;1E-12,((LTP3!$D$6)*((P2783)*(Q2783)-(R2783)*(R2783))-(S2783)*((U2783)*(Q2783)-(R2783)*(V2783))+(T2783)*((U2783)*(R2783)-(P2783)*(V2783)))/W2783,0)</f>
        <v/>
      </c>
      <c r="Y2783">
        <f>IF(ABS(W2783)&gt;1E-12,((LTP3!$D$5)*((U2783)*(Q2783)-(R2783)*(V2783))-(LTP3!$D$6)*((S2783)*(Q2783)-(R2783)*(T2783))+(T2783)*((S2783)*(V2783)-(U2783)*(T2783)))/W2783,0)</f>
        <v/>
      </c>
      <c r="Z2783">
        <f>IF(ABS(W2783)&gt;1E-12,((LTP3!$D$5)*((P2783)*(V2783)-(U2783)*(R2783))-(S2783)*((S2783)*(V2783)-(U2783)*(T2783))+(LTP3!$D$6)*((S2783)*(R2783)-(P2783)*(T2783)))/W2783,0)</f>
        <v/>
      </c>
      <c r="AA2783">
        <f>LTP3!$D$7-X2783*LTP3!$D$6-Y2783*U2783-Z2783*V2783</f>
        <v/>
      </c>
      <c r="AB2783">
        <f>IF(AND(F2783,ABS(W2783)&gt;1E-12,Y2783&gt;0,Z2783&gt;0),AA2783,1E+300)</f>
        <v/>
      </c>
    </row>
    <row r="2784">
      <c r="A2784">
        <f>$B$3+$B$5*45</f>
        <v/>
      </c>
      <c r="B2784">
        <f>$B$3+$B$5*27</f>
        <v/>
      </c>
      <c r="C2784">
        <f>SUMPRODUCT(Calc!$K$3:$K$22*(Calc!$G$3:$G$22&lt;=A2784))</f>
        <v/>
      </c>
      <c r="D2784">
        <f>SUMPRODUCT(Calc!$K$3:$K$22*(Calc!$G$3:$G$22&gt;A2784)*(Calc!$G$3:$G$22&lt;B2784))</f>
        <v/>
      </c>
      <c r="E2784">
        <f>SUMPRODUCT(Calc!$K$3:$K$22*(Calc!$G$3:$G$22&gt;=B2784))</f>
        <v/>
      </c>
      <c r="F2784">
        <f>AND(k_n&gt;=5,B2784&gt;A2784+1E-9,C2784&gt;=2,D2784&gt;=1,E2784&gt;=2)</f>
        <v/>
      </c>
      <c r="G2784">
        <f>SUMPRODUCT(Calc!$K$3:$K$22*(Calc!$G$3:$G$22&gt;A2784)*(Calc!$G$3:$G$22-A2784))</f>
        <v/>
      </c>
      <c r="H2784">
        <f>SUMPRODUCT(Calc!$K$3:$K$22*(Calc!$G$3:$G$22&gt;B2784)*(Calc!$G$3:$G$22-B2784))</f>
        <v/>
      </c>
      <c r="I2784">
        <f>SUMPRODUCT(Calc!$K$3:$K$22*(Calc!$G$3:$G$22&gt;A2784)*(Calc!$G$3:$G$22-A2784)^2)</f>
        <v/>
      </c>
      <c r="J2784">
        <f>SUMPRODUCT(Calc!$K$3:$K$22*(Calc!$G$3:$G$22&gt;B2784)*(Calc!$G$3:$G$22-B2784)^2)</f>
        <v/>
      </c>
      <c r="K2784">
        <f>SUMPRODUCT(Calc!$K$3:$K$22*(Calc!$G$3:$G$22&gt;A2784)*(Calc!$G$3:$G$22-A2784)*(Calc!$G$3:$G$22&gt;B2784)*(Calc!$G$3:$G$22-B2784))</f>
        <v/>
      </c>
      <c r="L2784">
        <f>SUMPRODUCT(Calc!$K$3:$K$22*(Calc!$G$3:$G$22&gt;A2784)*(Calc!$G$3:$G$22-A2784)*Calc!$G$3:$G$22)</f>
        <v/>
      </c>
      <c r="M2784">
        <f>SUMPRODUCT(Calc!$K$3:$K$22*(Calc!$G$3:$G$22&gt;B2784)*(Calc!$G$3:$G$22-B2784)*Calc!$G$3:$G$22)</f>
        <v/>
      </c>
      <c r="N2784">
        <f>SUMPRODUCT(Calc!$K$3:$K$22*(Calc!$G$3:$G$22&gt;A2784)*(Calc!$G$3:$G$22-A2784)*Calc!$I$3:$I$22)</f>
        <v/>
      </c>
      <c r="O2784">
        <f>SUMPRODUCT(Calc!$K$3:$K$22*(Calc!$G$3:$G$22&gt;B2784)*(Calc!$G$3:$G$22-B2784)*Calc!$I$3:$I$22)</f>
        <v/>
      </c>
      <c r="P2784">
        <f>I2784-G2784^2/k_n</f>
        <v/>
      </c>
      <c r="Q2784">
        <f>J2784-H2784^2/k_n</f>
        <v/>
      </c>
      <c r="R2784">
        <f>K2784-G2784*H2784/k_n</f>
        <v/>
      </c>
      <c r="S2784">
        <f>L2784-LTP3!$D$3*G2784/k_n</f>
        <v/>
      </c>
      <c r="T2784">
        <f>M2784-LTP3!$D$3*H2784/k_n</f>
        <v/>
      </c>
      <c r="U2784">
        <f>N2784-G2784*LTP3!$D$4/k_n</f>
        <v/>
      </c>
      <c r="V2784">
        <f>O2784-H2784*LTP3!$D$4/k_n</f>
        <v/>
      </c>
      <c r="W2784">
        <f>((LTP3!$D$5)*((P2784)*(Q2784)-(R2784)*(R2784))-(S2784)*((S2784)*(Q2784)-(R2784)*(T2784))+(T2784)*((S2784)*(R2784)-(P2784)*(T2784)))</f>
        <v/>
      </c>
      <c r="X2784">
        <f>IF(ABS(W2784)&gt;1E-12,((LTP3!$D$6)*((P2784)*(Q2784)-(R2784)*(R2784))-(S2784)*((U2784)*(Q2784)-(R2784)*(V2784))+(T2784)*((U2784)*(R2784)-(P2784)*(V2784)))/W2784,0)</f>
        <v/>
      </c>
      <c r="Y2784">
        <f>IF(ABS(W2784)&gt;1E-12,((LTP3!$D$5)*((U2784)*(Q2784)-(R2784)*(V2784))-(LTP3!$D$6)*((S2784)*(Q2784)-(R2784)*(T2784))+(T2784)*((S2784)*(V2784)-(U2784)*(T2784)))/W2784,0)</f>
        <v/>
      </c>
      <c r="Z2784">
        <f>IF(ABS(W2784)&gt;1E-12,((LTP3!$D$5)*((P2784)*(V2784)-(U2784)*(R2784))-(S2784)*((S2784)*(V2784)-(U2784)*(T2784))+(LTP3!$D$6)*((S2784)*(R2784)-(P2784)*(T2784)))/W2784,0)</f>
        <v/>
      </c>
      <c r="AA2784">
        <f>LTP3!$D$7-X2784*LTP3!$D$6-Y2784*U2784-Z2784*V2784</f>
        <v/>
      </c>
      <c r="AB2784">
        <f>IF(AND(F2784,ABS(W2784)&gt;1E-12,Y2784&gt;0,Z2784&gt;0),AA2784,1E+300)</f>
        <v/>
      </c>
    </row>
    <row r="2785">
      <c r="A2785">
        <f>$B$3+$B$5*45</f>
        <v/>
      </c>
      <c r="B2785">
        <f>$B$3+$B$5*28</f>
        <v/>
      </c>
      <c r="C2785">
        <f>SUMPRODUCT(Calc!$K$3:$K$22*(Calc!$G$3:$G$22&lt;=A2785))</f>
        <v/>
      </c>
      <c r="D2785">
        <f>SUMPRODUCT(Calc!$K$3:$K$22*(Calc!$G$3:$G$22&gt;A2785)*(Calc!$G$3:$G$22&lt;B2785))</f>
        <v/>
      </c>
      <c r="E2785">
        <f>SUMPRODUCT(Calc!$K$3:$K$22*(Calc!$G$3:$G$22&gt;=B2785))</f>
        <v/>
      </c>
      <c r="F2785">
        <f>AND(k_n&gt;=5,B2785&gt;A2785+1E-9,C2785&gt;=2,D2785&gt;=1,E2785&gt;=2)</f>
        <v/>
      </c>
      <c r="G2785">
        <f>SUMPRODUCT(Calc!$K$3:$K$22*(Calc!$G$3:$G$22&gt;A2785)*(Calc!$G$3:$G$22-A2785))</f>
        <v/>
      </c>
      <c r="H2785">
        <f>SUMPRODUCT(Calc!$K$3:$K$22*(Calc!$G$3:$G$22&gt;B2785)*(Calc!$G$3:$G$22-B2785))</f>
        <v/>
      </c>
      <c r="I2785">
        <f>SUMPRODUCT(Calc!$K$3:$K$22*(Calc!$G$3:$G$22&gt;A2785)*(Calc!$G$3:$G$22-A2785)^2)</f>
        <v/>
      </c>
      <c r="J2785">
        <f>SUMPRODUCT(Calc!$K$3:$K$22*(Calc!$G$3:$G$22&gt;B2785)*(Calc!$G$3:$G$22-B2785)^2)</f>
        <v/>
      </c>
      <c r="K2785">
        <f>SUMPRODUCT(Calc!$K$3:$K$22*(Calc!$G$3:$G$22&gt;A2785)*(Calc!$G$3:$G$22-A2785)*(Calc!$G$3:$G$22&gt;B2785)*(Calc!$G$3:$G$22-B2785))</f>
        <v/>
      </c>
      <c r="L2785">
        <f>SUMPRODUCT(Calc!$K$3:$K$22*(Calc!$G$3:$G$22&gt;A2785)*(Calc!$G$3:$G$22-A2785)*Calc!$G$3:$G$22)</f>
        <v/>
      </c>
      <c r="M2785">
        <f>SUMPRODUCT(Calc!$K$3:$K$22*(Calc!$G$3:$G$22&gt;B2785)*(Calc!$G$3:$G$22-B2785)*Calc!$G$3:$G$22)</f>
        <v/>
      </c>
      <c r="N2785">
        <f>SUMPRODUCT(Calc!$K$3:$K$22*(Calc!$G$3:$G$22&gt;A2785)*(Calc!$G$3:$G$22-A2785)*Calc!$I$3:$I$22)</f>
        <v/>
      </c>
      <c r="O2785">
        <f>SUMPRODUCT(Calc!$K$3:$K$22*(Calc!$G$3:$G$22&gt;B2785)*(Calc!$G$3:$G$22-B2785)*Calc!$I$3:$I$22)</f>
        <v/>
      </c>
      <c r="P2785">
        <f>I2785-G2785^2/k_n</f>
        <v/>
      </c>
      <c r="Q2785">
        <f>J2785-H2785^2/k_n</f>
        <v/>
      </c>
      <c r="R2785">
        <f>K2785-G2785*H2785/k_n</f>
        <v/>
      </c>
      <c r="S2785">
        <f>L2785-LTP3!$D$3*G2785/k_n</f>
        <v/>
      </c>
      <c r="T2785">
        <f>M2785-LTP3!$D$3*H2785/k_n</f>
        <v/>
      </c>
      <c r="U2785">
        <f>N2785-G2785*LTP3!$D$4/k_n</f>
        <v/>
      </c>
      <c r="V2785">
        <f>O2785-H2785*LTP3!$D$4/k_n</f>
        <v/>
      </c>
      <c r="W2785">
        <f>((LTP3!$D$5)*((P2785)*(Q2785)-(R2785)*(R2785))-(S2785)*((S2785)*(Q2785)-(R2785)*(T2785))+(T2785)*((S2785)*(R2785)-(P2785)*(T2785)))</f>
        <v/>
      </c>
      <c r="X2785">
        <f>IF(ABS(W2785)&gt;1E-12,((LTP3!$D$6)*((P2785)*(Q2785)-(R2785)*(R2785))-(S2785)*((U2785)*(Q2785)-(R2785)*(V2785))+(T2785)*((U2785)*(R2785)-(P2785)*(V2785)))/W2785,0)</f>
        <v/>
      </c>
      <c r="Y2785">
        <f>IF(ABS(W2785)&gt;1E-12,((LTP3!$D$5)*((U2785)*(Q2785)-(R2785)*(V2785))-(LTP3!$D$6)*((S2785)*(Q2785)-(R2785)*(T2785))+(T2785)*((S2785)*(V2785)-(U2785)*(T2785)))/W2785,0)</f>
        <v/>
      </c>
      <c r="Z2785">
        <f>IF(ABS(W2785)&gt;1E-12,((LTP3!$D$5)*((P2785)*(V2785)-(U2785)*(R2785))-(S2785)*((S2785)*(V2785)-(U2785)*(T2785))+(LTP3!$D$6)*((S2785)*(R2785)-(P2785)*(T2785)))/W2785,0)</f>
        <v/>
      </c>
      <c r="AA2785">
        <f>LTP3!$D$7-X2785*LTP3!$D$6-Y2785*U2785-Z2785*V2785</f>
        <v/>
      </c>
      <c r="AB2785">
        <f>IF(AND(F2785,ABS(W2785)&gt;1E-12,Y2785&gt;0,Z2785&gt;0),AA2785,1E+300)</f>
        <v/>
      </c>
    </row>
    <row r="2786">
      <c r="A2786">
        <f>$B$3+$B$5*45</f>
        <v/>
      </c>
      <c r="B2786">
        <f>$B$3+$B$5*29</f>
        <v/>
      </c>
      <c r="C2786">
        <f>SUMPRODUCT(Calc!$K$3:$K$22*(Calc!$G$3:$G$22&lt;=A2786))</f>
        <v/>
      </c>
      <c r="D2786">
        <f>SUMPRODUCT(Calc!$K$3:$K$22*(Calc!$G$3:$G$22&gt;A2786)*(Calc!$G$3:$G$22&lt;B2786))</f>
        <v/>
      </c>
      <c r="E2786">
        <f>SUMPRODUCT(Calc!$K$3:$K$22*(Calc!$G$3:$G$22&gt;=B2786))</f>
        <v/>
      </c>
      <c r="F2786">
        <f>AND(k_n&gt;=5,B2786&gt;A2786+1E-9,C2786&gt;=2,D2786&gt;=1,E2786&gt;=2)</f>
        <v/>
      </c>
      <c r="G2786">
        <f>SUMPRODUCT(Calc!$K$3:$K$22*(Calc!$G$3:$G$22&gt;A2786)*(Calc!$G$3:$G$22-A2786))</f>
        <v/>
      </c>
      <c r="H2786">
        <f>SUMPRODUCT(Calc!$K$3:$K$22*(Calc!$G$3:$G$22&gt;B2786)*(Calc!$G$3:$G$22-B2786))</f>
        <v/>
      </c>
      <c r="I2786">
        <f>SUMPRODUCT(Calc!$K$3:$K$22*(Calc!$G$3:$G$22&gt;A2786)*(Calc!$G$3:$G$22-A2786)^2)</f>
        <v/>
      </c>
      <c r="J2786">
        <f>SUMPRODUCT(Calc!$K$3:$K$22*(Calc!$G$3:$G$22&gt;B2786)*(Calc!$G$3:$G$22-B2786)^2)</f>
        <v/>
      </c>
      <c r="K2786">
        <f>SUMPRODUCT(Calc!$K$3:$K$22*(Calc!$G$3:$G$22&gt;A2786)*(Calc!$G$3:$G$22-A2786)*(Calc!$G$3:$G$22&gt;B2786)*(Calc!$G$3:$G$22-B2786))</f>
        <v/>
      </c>
      <c r="L2786">
        <f>SUMPRODUCT(Calc!$K$3:$K$22*(Calc!$G$3:$G$22&gt;A2786)*(Calc!$G$3:$G$22-A2786)*Calc!$G$3:$G$22)</f>
        <v/>
      </c>
      <c r="M2786">
        <f>SUMPRODUCT(Calc!$K$3:$K$22*(Calc!$G$3:$G$22&gt;B2786)*(Calc!$G$3:$G$22-B2786)*Calc!$G$3:$G$22)</f>
        <v/>
      </c>
      <c r="N2786">
        <f>SUMPRODUCT(Calc!$K$3:$K$22*(Calc!$G$3:$G$22&gt;A2786)*(Calc!$G$3:$G$22-A2786)*Calc!$I$3:$I$22)</f>
        <v/>
      </c>
      <c r="O2786">
        <f>SUMPRODUCT(Calc!$K$3:$K$22*(Calc!$G$3:$G$22&gt;B2786)*(Calc!$G$3:$G$22-B2786)*Calc!$I$3:$I$22)</f>
        <v/>
      </c>
      <c r="P2786">
        <f>I2786-G2786^2/k_n</f>
        <v/>
      </c>
      <c r="Q2786">
        <f>J2786-H2786^2/k_n</f>
        <v/>
      </c>
      <c r="R2786">
        <f>K2786-G2786*H2786/k_n</f>
        <v/>
      </c>
      <c r="S2786">
        <f>L2786-LTP3!$D$3*G2786/k_n</f>
        <v/>
      </c>
      <c r="T2786">
        <f>M2786-LTP3!$D$3*H2786/k_n</f>
        <v/>
      </c>
      <c r="U2786">
        <f>N2786-G2786*LTP3!$D$4/k_n</f>
        <v/>
      </c>
      <c r="V2786">
        <f>O2786-H2786*LTP3!$D$4/k_n</f>
        <v/>
      </c>
      <c r="W2786">
        <f>((LTP3!$D$5)*((P2786)*(Q2786)-(R2786)*(R2786))-(S2786)*((S2786)*(Q2786)-(R2786)*(T2786))+(T2786)*((S2786)*(R2786)-(P2786)*(T2786)))</f>
        <v/>
      </c>
      <c r="X2786">
        <f>IF(ABS(W2786)&gt;1E-12,((LTP3!$D$6)*((P2786)*(Q2786)-(R2786)*(R2786))-(S2786)*((U2786)*(Q2786)-(R2786)*(V2786))+(T2786)*((U2786)*(R2786)-(P2786)*(V2786)))/W2786,0)</f>
        <v/>
      </c>
      <c r="Y2786">
        <f>IF(ABS(W2786)&gt;1E-12,((LTP3!$D$5)*((U2786)*(Q2786)-(R2786)*(V2786))-(LTP3!$D$6)*((S2786)*(Q2786)-(R2786)*(T2786))+(T2786)*((S2786)*(V2786)-(U2786)*(T2786)))/W2786,0)</f>
        <v/>
      </c>
      <c r="Z2786">
        <f>IF(ABS(W2786)&gt;1E-12,((LTP3!$D$5)*((P2786)*(V2786)-(U2786)*(R2786))-(S2786)*((S2786)*(V2786)-(U2786)*(T2786))+(LTP3!$D$6)*((S2786)*(R2786)-(P2786)*(T2786)))/W2786,0)</f>
        <v/>
      </c>
      <c r="AA2786">
        <f>LTP3!$D$7-X2786*LTP3!$D$6-Y2786*U2786-Z2786*V2786</f>
        <v/>
      </c>
      <c r="AB2786">
        <f>IF(AND(F2786,ABS(W2786)&gt;1E-12,Y2786&gt;0,Z2786&gt;0),AA2786,1E+300)</f>
        <v/>
      </c>
    </row>
    <row r="2787">
      <c r="A2787">
        <f>$B$3+$B$5*45</f>
        <v/>
      </c>
      <c r="B2787">
        <f>$B$3+$B$5*30</f>
        <v/>
      </c>
      <c r="C2787">
        <f>SUMPRODUCT(Calc!$K$3:$K$22*(Calc!$G$3:$G$22&lt;=A2787))</f>
        <v/>
      </c>
      <c r="D2787">
        <f>SUMPRODUCT(Calc!$K$3:$K$22*(Calc!$G$3:$G$22&gt;A2787)*(Calc!$G$3:$G$22&lt;B2787))</f>
        <v/>
      </c>
      <c r="E2787">
        <f>SUMPRODUCT(Calc!$K$3:$K$22*(Calc!$G$3:$G$22&gt;=B2787))</f>
        <v/>
      </c>
      <c r="F2787">
        <f>AND(k_n&gt;=5,B2787&gt;A2787+1E-9,C2787&gt;=2,D2787&gt;=1,E2787&gt;=2)</f>
        <v/>
      </c>
      <c r="G2787">
        <f>SUMPRODUCT(Calc!$K$3:$K$22*(Calc!$G$3:$G$22&gt;A2787)*(Calc!$G$3:$G$22-A2787))</f>
        <v/>
      </c>
      <c r="H2787">
        <f>SUMPRODUCT(Calc!$K$3:$K$22*(Calc!$G$3:$G$22&gt;B2787)*(Calc!$G$3:$G$22-B2787))</f>
        <v/>
      </c>
      <c r="I2787">
        <f>SUMPRODUCT(Calc!$K$3:$K$22*(Calc!$G$3:$G$22&gt;A2787)*(Calc!$G$3:$G$22-A2787)^2)</f>
        <v/>
      </c>
      <c r="J2787">
        <f>SUMPRODUCT(Calc!$K$3:$K$22*(Calc!$G$3:$G$22&gt;B2787)*(Calc!$G$3:$G$22-B2787)^2)</f>
        <v/>
      </c>
      <c r="K2787">
        <f>SUMPRODUCT(Calc!$K$3:$K$22*(Calc!$G$3:$G$22&gt;A2787)*(Calc!$G$3:$G$22-A2787)*(Calc!$G$3:$G$22&gt;B2787)*(Calc!$G$3:$G$22-B2787))</f>
        <v/>
      </c>
      <c r="L2787">
        <f>SUMPRODUCT(Calc!$K$3:$K$22*(Calc!$G$3:$G$22&gt;A2787)*(Calc!$G$3:$G$22-A2787)*Calc!$G$3:$G$22)</f>
        <v/>
      </c>
      <c r="M2787">
        <f>SUMPRODUCT(Calc!$K$3:$K$22*(Calc!$G$3:$G$22&gt;B2787)*(Calc!$G$3:$G$22-B2787)*Calc!$G$3:$G$22)</f>
        <v/>
      </c>
      <c r="N2787">
        <f>SUMPRODUCT(Calc!$K$3:$K$22*(Calc!$G$3:$G$22&gt;A2787)*(Calc!$G$3:$G$22-A2787)*Calc!$I$3:$I$22)</f>
        <v/>
      </c>
      <c r="O2787">
        <f>SUMPRODUCT(Calc!$K$3:$K$22*(Calc!$G$3:$G$22&gt;B2787)*(Calc!$G$3:$G$22-B2787)*Calc!$I$3:$I$22)</f>
        <v/>
      </c>
      <c r="P2787">
        <f>I2787-G2787^2/k_n</f>
        <v/>
      </c>
      <c r="Q2787">
        <f>J2787-H2787^2/k_n</f>
        <v/>
      </c>
      <c r="R2787">
        <f>K2787-G2787*H2787/k_n</f>
        <v/>
      </c>
      <c r="S2787">
        <f>L2787-LTP3!$D$3*G2787/k_n</f>
        <v/>
      </c>
      <c r="T2787">
        <f>M2787-LTP3!$D$3*H2787/k_n</f>
        <v/>
      </c>
      <c r="U2787">
        <f>N2787-G2787*LTP3!$D$4/k_n</f>
        <v/>
      </c>
      <c r="V2787">
        <f>O2787-H2787*LTP3!$D$4/k_n</f>
        <v/>
      </c>
      <c r="W2787">
        <f>((LTP3!$D$5)*((P2787)*(Q2787)-(R2787)*(R2787))-(S2787)*((S2787)*(Q2787)-(R2787)*(T2787))+(T2787)*((S2787)*(R2787)-(P2787)*(T2787)))</f>
        <v/>
      </c>
      <c r="X2787">
        <f>IF(ABS(W2787)&gt;1E-12,((LTP3!$D$6)*((P2787)*(Q2787)-(R2787)*(R2787))-(S2787)*((U2787)*(Q2787)-(R2787)*(V2787))+(T2787)*((U2787)*(R2787)-(P2787)*(V2787)))/W2787,0)</f>
        <v/>
      </c>
      <c r="Y2787">
        <f>IF(ABS(W2787)&gt;1E-12,((LTP3!$D$5)*((U2787)*(Q2787)-(R2787)*(V2787))-(LTP3!$D$6)*((S2787)*(Q2787)-(R2787)*(T2787))+(T2787)*((S2787)*(V2787)-(U2787)*(T2787)))/W2787,0)</f>
        <v/>
      </c>
      <c r="Z2787">
        <f>IF(ABS(W2787)&gt;1E-12,((LTP3!$D$5)*((P2787)*(V2787)-(U2787)*(R2787))-(S2787)*((S2787)*(V2787)-(U2787)*(T2787))+(LTP3!$D$6)*((S2787)*(R2787)-(P2787)*(T2787)))/W2787,0)</f>
        <v/>
      </c>
      <c r="AA2787">
        <f>LTP3!$D$7-X2787*LTP3!$D$6-Y2787*U2787-Z2787*V2787</f>
        <v/>
      </c>
      <c r="AB2787">
        <f>IF(AND(F2787,ABS(W2787)&gt;1E-12,Y2787&gt;0,Z2787&gt;0),AA2787,1E+300)</f>
        <v/>
      </c>
    </row>
    <row r="2788">
      <c r="A2788">
        <f>$B$3+$B$5*45</f>
        <v/>
      </c>
      <c r="B2788">
        <f>$B$3+$B$5*31</f>
        <v/>
      </c>
      <c r="C2788">
        <f>SUMPRODUCT(Calc!$K$3:$K$22*(Calc!$G$3:$G$22&lt;=A2788))</f>
        <v/>
      </c>
      <c r="D2788">
        <f>SUMPRODUCT(Calc!$K$3:$K$22*(Calc!$G$3:$G$22&gt;A2788)*(Calc!$G$3:$G$22&lt;B2788))</f>
        <v/>
      </c>
      <c r="E2788">
        <f>SUMPRODUCT(Calc!$K$3:$K$22*(Calc!$G$3:$G$22&gt;=B2788))</f>
        <v/>
      </c>
      <c r="F2788">
        <f>AND(k_n&gt;=5,B2788&gt;A2788+1E-9,C2788&gt;=2,D2788&gt;=1,E2788&gt;=2)</f>
        <v/>
      </c>
      <c r="G2788">
        <f>SUMPRODUCT(Calc!$K$3:$K$22*(Calc!$G$3:$G$22&gt;A2788)*(Calc!$G$3:$G$22-A2788))</f>
        <v/>
      </c>
      <c r="H2788">
        <f>SUMPRODUCT(Calc!$K$3:$K$22*(Calc!$G$3:$G$22&gt;B2788)*(Calc!$G$3:$G$22-B2788))</f>
        <v/>
      </c>
      <c r="I2788">
        <f>SUMPRODUCT(Calc!$K$3:$K$22*(Calc!$G$3:$G$22&gt;A2788)*(Calc!$G$3:$G$22-A2788)^2)</f>
        <v/>
      </c>
      <c r="J2788">
        <f>SUMPRODUCT(Calc!$K$3:$K$22*(Calc!$G$3:$G$22&gt;B2788)*(Calc!$G$3:$G$22-B2788)^2)</f>
        <v/>
      </c>
      <c r="K2788">
        <f>SUMPRODUCT(Calc!$K$3:$K$22*(Calc!$G$3:$G$22&gt;A2788)*(Calc!$G$3:$G$22-A2788)*(Calc!$G$3:$G$22&gt;B2788)*(Calc!$G$3:$G$22-B2788))</f>
        <v/>
      </c>
      <c r="L2788">
        <f>SUMPRODUCT(Calc!$K$3:$K$22*(Calc!$G$3:$G$22&gt;A2788)*(Calc!$G$3:$G$22-A2788)*Calc!$G$3:$G$22)</f>
        <v/>
      </c>
      <c r="M2788">
        <f>SUMPRODUCT(Calc!$K$3:$K$22*(Calc!$G$3:$G$22&gt;B2788)*(Calc!$G$3:$G$22-B2788)*Calc!$G$3:$G$22)</f>
        <v/>
      </c>
      <c r="N2788">
        <f>SUMPRODUCT(Calc!$K$3:$K$22*(Calc!$G$3:$G$22&gt;A2788)*(Calc!$G$3:$G$22-A2788)*Calc!$I$3:$I$22)</f>
        <v/>
      </c>
      <c r="O2788">
        <f>SUMPRODUCT(Calc!$K$3:$K$22*(Calc!$G$3:$G$22&gt;B2788)*(Calc!$G$3:$G$22-B2788)*Calc!$I$3:$I$22)</f>
        <v/>
      </c>
      <c r="P2788">
        <f>I2788-G2788^2/k_n</f>
        <v/>
      </c>
      <c r="Q2788">
        <f>J2788-H2788^2/k_n</f>
        <v/>
      </c>
      <c r="R2788">
        <f>K2788-G2788*H2788/k_n</f>
        <v/>
      </c>
      <c r="S2788">
        <f>L2788-LTP3!$D$3*G2788/k_n</f>
        <v/>
      </c>
      <c r="T2788">
        <f>M2788-LTP3!$D$3*H2788/k_n</f>
        <v/>
      </c>
      <c r="U2788">
        <f>N2788-G2788*LTP3!$D$4/k_n</f>
        <v/>
      </c>
      <c r="V2788">
        <f>O2788-H2788*LTP3!$D$4/k_n</f>
        <v/>
      </c>
      <c r="W2788">
        <f>((LTP3!$D$5)*((P2788)*(Q2788)-(R2788)*(R2788))-(S2788)*((S2788)*(Q2788)-(R2788)*(T2788))+(T2788)*((S2788)*(R2788)-(P2788)*(T2788)))</f>
        <v/>
      </c>
      <c r="X2788">
        <f>IF(ABS(W2788)&gt;1E-12,((LTP3!$D$6)*((P2788)*(Q2788)-(R2788)*(R2788))-(S2788)*((U2788)*(Q2788)-(R2788)*(V2788))+(T2788)*((U2788)*(R2788)-(P2788)*(V2788)))/W2788,0)</f>
        <v/>
      </c>
      <c r="Y2788">
        <f>IF(ABS(W2788)&gt;1E-12,((LTP3!$D$5)*((U2788)*(Q2788)-(R2788)*(V2788))-(LTP3!$D$6)*((S2788)*(Q2788)-(R2788)*(T2788))+(T2788)*((S2788)*(V2788)-(U2788)*(T2788)))/W2788,0)</f>
        <v/>
      </c>
      <c r="Z2788">
        <f>IF(ABS(W2788)&gt;1E-12,((LTP3!$D$5)*((P2788)*(V2788)-(U2788)*(R2788))-(S2788)*((S2788)*(V2788)-(U2788)*(T2788))+(LTP3!$D$6)*((S2788)*(R2788)-(P2788)*(T2788)))/W2788,0)</f>
        <v/>
      </c>
      <c r="AA2788">
        <f>LTP3!$D$7-X2788*LTP3!$D$6-Y2788*U2788-Z2788*V2788</f>
        <v/>
      </c>
      <c r="AB2788">
        <f>IF(AND(F2788,ABS(W2788)&gt;1E-12,Y2788&gt;0,Z2788&gt;0),AA2788,1E+300)</f>
        <v/>
      </c>
    </row>
    <row r="2789">
      <c r="A2789">
        <f>$B$3+$B$5*45</f>
        <v/>
      </c>
      <c r="B2789">
        <f>$B$3+$B$5*32</f>
        <v/>
      </c>
      <c r="C2789">
        <f>SUMPRODUCT(Calc!$K$3:$K$22*(Calc!$G$3:$G$22&lt;=A2789))</f>
        <v/>
      </c>
      <c r="D2789">
        <f>SUMPRODUCT(Calc!$K$3:$K$22*(Calc!$G$3:$G$22&gt;A2789)*(Calc!$G$3:$G$22&lt;B2789))</f>
        <v/>
      </c>
      <c r="E2789">
        <f>SUMPRODUCT(Calc!$K$3:$K$22*(Calc!$G$3:$G$22&gt;=B2789))</f>
        <v/>
      </c>
      <c r="F2789">
        <f>AND(k_n&gt;=5,B2789&gt;A2789+1E-9,C2789&gt;=2,D2789&gt;=1,E2789&gt;=2)</f>
        <v/>
      </c>
      <c r="G2789">
        <f>SUMPRODUCT(Calc!$K$3:$K$22*(Calc!$G$3:$G$22&gt;A2789)*(Calc!$G$3:$G$22-A2789))</f>
        <v/>
      </c>
      <c r="H2789">
        <f>SUMPRODUCT(Calc!$K$3:$K$22*(Calc!$G$3:$G$22&gt;B2789)*(Calc!$G$3:$G$22-B2789))</f>
        <v/>
      </c>
      <c r="I2789">
        <f>SUMPRODUCT(Calc!$K$3:$K$22*(Calc!$G$3:$G$22&gt;A2789)*(Calc!$G$3:$G$22-A2789)^2)</f>
        <v/>
      </c>
      <c r="J2789">
        <f>SUMPRODUCT(Calc!$K$3:$K$22*(Calc!$G$3:$G$22&gt;B2789)*(Calc!$G$3:$G$22-B2789)^2)</f>
        <v/>
      </c>
      <c r="K2789">
        <f>SUMPRODUCT(Calc!$K$3:$K$22*(Calc!$G$3:$G$22&gt;A2789)*(Calc!$G$3:$G$22-A2789)*(Calc!$G$3:$G$22&gt;B2789)*(Calc!$G$3:$G$22-B2789))</f>
        <v/>
      </c>
      <c r="L2789">
        <f>SUMPRODUCT(Calc!$K$3:$K$22*(Calc!$G$3:$G$22&gt;A2789)*(Calc!$G$3:$G$22-A2789)*Calc!$G$3:$G$22)</f>
        <v/>
      </c>
      <c r="M2789">
        <f>SUMPRODUCT(Calc!$K$3:$K$22*(Calc!$G$3:$G$22&gt;B2789)*(Calc!$G$3:$G$22-B2789)*Calc!$G$3:$G$22)</f>
        <v/>
      </c>
      <c r="N2789">
        <f>SUMPRODUCT(Calc!$K$3:$K$22*(Calc!$G$3:$G$22&gt;A2789)*(Calc!$G$3:$G$22-A2789)*Calc!$I$3:$I$22)</f>
        <v/>
      </c>
      <c r="O2789">
        <f>SUMPRODUCT(Calc!$K$3:$K$22*(Calc!$G$3:$G$22&gt;B2789)*(Calc!$G$3:$G$22-B2789)*Calc!$I$3:$I$22)</f>
        <v/>
      </c>
      <c r="P2789">
        <f>I2789-G2789^2/k_n</f>
        <v/>
      </c>
      <c r="Q2789">
        <f>J2789-H2789^2/k_n</f>
        <v/>
      </c>
      <c r="R2789">
        <f>K2789-G2789*H2789/k_n</f>
        <v/>
      </c>
      <c r="S2789">
        <f>L2789-LTP3!$D$3*G2789/k_n</f>
        <v/>
      </c>
      <c r="T2789">
        <f>M2789-LTP3!$D$3*H2789/k_n</f>
        <v/>
      </c>
      <c r="U2789">
        <f>N2789-G2789*LTP3!$D$4/k_n</f>
        <v/>
      </c>
      <c r="V2789">
        <f>O2789-H2789*LTP3!$D$4/k_n</f>
        <v/>
      </c>
      <c r="W2789">
        <f>((LTP3!$D$5)*((P2789)*(Q2789)-(R2789)*(R2789))-(S2789)*((S2789)*(Q2789)-(R2789)*(T2789))+(T2789)*((S2789)*(R2789)-(P2789)*(T2789)))</f>
        <v/>
      </c>
      <c r="X2789">
        <f>IF(ABS(W2789)&gt;1E-12,((LTP3!$D$6)*((P2789)*(Q2789)-(R2789)*(R2789))-(S2789)*((U2789)*(Q2789)-(R2789)*(V2789))+(T2789)*((U2789)*(R2789)-(P2789)*(V2789)))/W2789,0)</f>
        <v/>
      </c>
      <c r="Y2789">
        <f>IF(ABS(W2789)&gt;1E-12,((LTP3!$D$5)*((U2789)*(Q2789)-(R2789)*(V2789))-(LTP3!$D$6)*((S2789)*(Q2789)-(R2789)*(T2789))+(T2789)*((S2789)*(V2789)-(U2789)*(T2789)))/W2789,0)</f>
        <v/>
      </c>
      <c r="Z2789">
        <f>IF(ABS(W2789)&gt;1E-12,((LTP3!$D$5)*((P2789)*(V2789)-(U2789)*(R2789))-(S2789)*((S2789)*(V2789)-(U2789)*(T2789))+(LTP3!$D$6)*((S2789)*(R2789)-(P2789)*(T2789)))/W2789,0)</f>
        <v/>
      </c>
      <c r="AA2789">
        <f>LTP3!$D$7-X2789*LTP3!$D$6-Y2789*U2789-Z2789*V2789</f>
        <v/>
      </c>
      <c r="AB2789">
        <f>IF(AND(F2789,ABS(W2789)&gt;1E-12,Y2789&gt;0,Z2789&gt;0),AA2789,1E+300)</f>
        <v/>
      </c>
    </row>
    <row r="2790">
      <c r="A2790">
        <f>$B$3+$B$5*45</f>
        <v/>
      </c>
      <c r="B2790">
        <f>$B$3+$B$5*33</f>
        <v/>
      </c>
      <c r="C2790">
        <f>SUMPRODUCT(Calc!$K$3:$K$22*(Calc!$G$3:$G$22&lt;=A2790))</f>
        <v/>
      </c>
      <c r="D2790">
        <f>SUMPRODUCT(Calc!$K$3:$K$22*(Calc!$G$3:$G$22&gt;A2790)*(Calc!$G$3:$G$22&lt;B2790))</f>
        <v/>
      </c>
      <c r="E2790">
        <f>SUMPRODUCT(Calc!$K$3:$K$22*(Calc!$G$3:$G$22&gt;=B2790))</f>
        <v/>
      </c>
      <c r="F2790">
        <f>AND(k_n&gt;=5,B2790&gt;A2790+1E-9,C2790&gt;=2,D2790&gt;=1,E2790&gt;=2)</f>
        <v/>
      </c>
      <c r="G2790">
        <f>SUMPRODUCT(Calc!$K$3:$K$22*(Calc!$G$3:$G$22&gt;A2790)*(Calc!$G$3:$G$22-A2790))</f>
        <v/>
      </c>
      <c r="H2790">
        <f>SUMPRODUCT(Calc!$K$3:$K$22*(Calc!$G$3:$G$22&gt;B2790)*(Calc!$G$3:$G$22-B2790))</f>
        <v/>
      </c>
      <c r="I2790">
        <f>SUMPRODUCT(Calc!$K$3:$K$22*(Calc!$G$3:$G$22&gt;A2790)*(Calc!$G$3:$G$22-A2790)^2)</f>
        <v/>
      </c>
      <c r="J2790">
        <f>SUMPRODUCT(Calc!$K$3:$K$22*(Calc!$G$3:$G$22&gt;B2790)*(Calc!$G$3:$G$22-B2790)^2)</f>
        <v/>
      </c>
      <c r="K2790">
        <f>SUMPRODUCT(Calc!$K$3:$K$22*(Calc!$G$3:$G$22&gt;A2790)*(Calc!$G$3:$G$22-A2790)*(Calc!$G$3:$G$22&gt;B2790)*(Calc!$G$3:$G$22-B2790))</f>
        <v/>
      </c>
      <c r="L2790">
        <f>SUMPRODUCT(Calc!$K$3:$K$22*(Calc!$G$3:$G$22&gt;A2790)*(Calc!$G$3:$G$22-A2790)*Calc!$G$3:$G$22)</f>
        <v/>
      </c>
      <c r="M2790">
        <f>SUMPRODUCT(Calc!$K$3:$K$22*(Calc!$G$3:$G$22&gt;B2790)*(Calc!$G$3:$G$22-B2790)*Calc!$G$3:$G$22)</f>
        <v/>
      </c>
      <c r="N2790">
        <f>SUMPRODUCT(Calc!$K$3:$K$22*(Calc!$G$3:$G$22&gt;A2790)*(Calc!$G$3:$G$22-A2790)*Calc!$I$3:$I$22)</f>
        <v/>
      </c>
      <c r="O2790">
        <f>SUMPRODUCT(Calc!$K$3:$K$22*(Calc!$G$3:$G$22&gt;B2790)*(Calc!$G$3:$G$22-B2790)*Calc!$I$3:$I$22)</f>
        <v/>
      </c>
      <c r="P2790">
        <f>I2790-G2790^2/k_n</f>
        <v/>
      </c>
      <c r="Q2790">
        <f>J2790-H2790^2/k_n</f>
        <v/>
      </c>
      <c r="R2790">
        <f>K2790-G2790*H2790/k_n</f>
        <v/>
      </c>
      <c r="S2790">
        <f>L2790-LTP3!$D$3*G2790/k_n</f>
        <v/>
      </c>
      <c r="T2790">
        <f>M2790-LTP3!$D$3*H2790/k_n</f>
        <v/>
      </c>
      <c r="U2790">
        <f>N2790-G2790*LTP3!$D$4/k_n</f>
        <v/>
      </c>
      <c r="V2790">
        <f>O2790-H2790*LTP3!$D$4/k_n</f>
        <v/>
      </c>
      <c r="W2790">
        <f>((LTP3!$D$5)*((P2790)*(Q2790)-(R2790)*(R2790))-(S2790)*((S2790)*(Q2790)-(R2790)*(T2790))+(T2790)*((S2790)*(R2790)-(P2790)*(T2790)))</f>
        <v/>
      </c>
      <c r="X2790">
        <f>IF(ABS(W2790)&gt;1E-12,((LTP3!$D$6)*((P2790)*(Q2790)-(R2790)*(R2790))-(S2790)*((U2790)*(Q2790)-(R2790)*(V2790))+(T2790)*((U2790)*(R2790)-(P2790)*(V2790)))/W2790,0)</f>
        <v/>
      </c>
      <c r="Y2790">
        <f>IF(ABS(W2790)&gt;1E-12,((LTP3!$D$5)*((U2790)*(Q2790)-(R2790)*(V2790))-(LTP3!$D$6)*((S2790)*(Q2790)-(R2790)*(T2790))+(T2790)*((S2790)*(V2790)-(U2790)*(T2790)))/W2790,0)</f>
        <v/>
      </c>
      <c r="Z2790">
        <f>IF(ABS(W2790)&gt;1E-12,((LTP3!$D$5)*((P2790)*(V2790)-(U2790)*(R2790))-(S2790)*((S2790)*(V2790)-(U2790)*(T2790))+(LTP3!$D$6)*((S2790)*(R2790)-(P2790)*(T2790)))/W2790,0)</f>
        <v/>
      </c>
      <c r="AA2790">
        <f>LTP3!$D$7-X2790*LTP3!$D$6-Y2790*U2790-Z2790*V2790</f>
        <v/>
      </c>
      <c r="AB2790">
        <f>IF(AND(F2790,ABS(W2790)&gt;1E-12,Y2790&gt;0,Z2790&gt;0),AA2790,1E+300)</f>
        <v/>
      </c>
    </row>
    <row r="2791">
      <c r="A2791">
        <f>$B$3+$B$5*45</f>
        <v/>
      </c>
      <c r="B2791">
        <f>$B$3+$B$5*34</f>
        <v/>
      </c>
      <c r="C2791">
        <f>SUMPRODUCT(Calc!$K$3:$K$22*(Calc!$G$3:$G$22&lt;=A2791))</f>
        <v/>
      </c>
      <c r="D2791">
        <f>SUMPRODUCT(Calc!$K$3:$K$22*(Calc!$G$3:$G$22&gt;A2791)*(Calc!$G$3:$G$22&lt;B2791))</f>
        <v/>
      </c>
      <c r="E2791">
        <f>SUMPRODUCT(Calc!$K$3:$K$22*(Calc!$G$3:$G$22&gt;=B2791))</f>
        <v/>
      </c>
      <c r="F2791">
        <f>AND(k_n&gt;=5,B2791&gt;A2791+1E-9,C2791&gt;=2,D2791&gt;=1,E2791&gt;=2)</f>
        <v/>
      </c>
      <c r="G2791">
        <f>SUMPRODUCT(Calc!$K$3:$K$22*(Calc!$G$3:$G$22&gt;A2791)*(Calc!$G$3:$G$22-A2791))</f>
        <v/>
      </c>
      <c r="H2791">
        <f>SUMPRODUCT(Calc!$K$3:$K$22*(Calc!$G$3:$G$22&gt;B2791)*(Calc!$G$3:$G$22-B2791))</f>
        <v/>
      </c>
      <c r="I2791">
        <f>SUMPRODUCT(Calc!$K$3:$K$22*(Calc!$G$3:$G$22&gt;A2791)*(Calc!$G$3:$G$22-A2791)^2)</f>
        <v/>
      </c>
      <c r="J2791">
        <f>SUMPRODUCT(Calc!$K$3:$K$22*(Calc!$G$3:$G$22&gt;B2791)*(Calc!$G$3:$G$22-B2791)^2)</f>
        <v/>
      </c>
      <c r="K2791">
        <f>SUMPRODUCT(Calc!$K$3:$K$22*(Calc!$G$3:$G$22&gt;A2791)*(Calc!$G$3:$G$22-A2791)*(Calc!$G$3:$G$22&gt;B2791)*(Calc!$G$3:$G$22-B2791))</f>
        <v/>
      </c>
      <c r="L2791">
        <f>SUMPRODUCT(Calc!$K$3:$K$22*(Calc!$G$3:$G$22&gt;A2791)*(Calc!$G$3:$G$22-A2791)*Calc!$G$3:$G$22)</f>
        <v/>
      </c>
      <c r="M2791">
        <f>SUMPRODUCT(Calc!$K$3:$K$22*(Calc!$G$3:$G$22&gt;B2791)*(Calc!$G$3:$G$22-B2791)*Calc!$G$3:$G$22)</f>
        <v/>
      </c>
      <c r="N2791">
        <f>SUMPRODUCT(Calc!$K$3:$K$22*(Calc!$G$3:$G$22&gt;A2791)*(Calc!$G$3:$G$22-A2791)*Calc!$I$3:$I$22)</f>
        <v/>
      </c>
      <c r="O2791">
        <f>SUMPRODUCT(Calc!$K$3:$K$22*(Calc!$G$3:$G$22&gt;B2791)*(Calc!$G$3:$G$22-B2791)*Calc!$I$3:$I$22)</f>
        <v/>
      </c>
      <c r="P2791">
        <f>I2791-G2791^2/k_n</f>
        <v/>
      </c>
      <c r="Q2791">
        <f>J2791-H2791^2/k_n</f>
        <v/>
      </c>
      <c r="R2791">
        <f>K2791-G2791*H2791/k_n</f>
        <v/>
      </c>
      <c r="S2791">
        <f>L2791-LTP3!$D$3*G2791/k_n</f>
        <v/>
      </c>
      <c r="T2791">
        <f>M2791-LTP3!$D$3*H2791/k_n</f>
        <v/>
      </c>
      <c r="U2791">
        <f>N2791-G2791*LTP3!$D$4/k_n</f>
        <v/>
      </c>
      <c r="V2791">
        <f>O2791-H2791*LTP3!$D$4/k_n</f>
        <v/>
      </c>
      <c r="W2791">
        <f>((LTP3!$D$5)*((P2791)*(Q2791)-(R2791)*(R2791))-(S2791)*((S2791)*(Q2791)-(R2791)*(T2791))+(T2791)*((S2791)*(R2791)-(P2791)*(T2791)))</f>
        <v/>
      </c>
      <c r="X2791">
        <f>IF(ABS(W2791)&gt;1E-12,((LTP3!$D$6)*((P2791)*(Q2791)-(R2791)*(R2791))-(S2791)*((U2791)*(Q2791)-(R2791)*(V2791))+(T2791)*((U2791)*(R2791)-(P2791)*(V2791)))/W2791,0)</f>
        <v/>
      </c>
      <c r="Y2791">
        <f>IF(ABS(W2791)&gt;1E-12,((LTP3!$D$5)*((U2791)*(Q2791)-(R2791)*(V2791))-(LTP3!$D$6)*((S2791)*(Q2791)-(R2791)*(T2791))+(T2791)*((S2791)*(V2791)-(U2791)*(T2791)))/W2791,0)</f>
        <v/>
      </c>
      <c r="Z2791">
        <f>IF(ABS(W2791)&gt;1E-12,((LTP3!$D$5)*((P2791)*(V2791)-(U2791)*(R2791))-(S2791)*((S2791)*(V2791)-(U2791)*(T2791))+(LTP3!$D$6)*((S2791)*(R2791)-(P2791)*(T2791)))/W2791,0)</f>
        <v/>
      </c>
      <c r="AA2791">
        <f>LTP3!$D$7-X2791*LTP3!$D$6-Y2791*U2791-Z2791*V2791</f>
        <v/>
      </c>
      <c r="AB2791">
        <f>IF(AND(F2791,ABS(W2791)&gt;1E-12,Y2791&gt;0,Z2791&gt;0),AA2791,1E+300)</f>
        <v/>
      </c>
    </row>
    <row r="2792">
      <c r="A2792">
        <f>$B$3+$B$5*45</f>
        <v/>
      </c>
      <c r="B2792">
        <f>$B$3+$B$5*35</f>
        <v/>
      </c>
      <c r="C2792">
        <f>SUMPRODUCT(Calc!$K$3:$K$22*(Calc!$G$3:$G$22&lt;=A2792))</f>
        <v/>
      </c>
      <c r="D2792">
        <f>SUMPRODUCT(Calc!$K$3:$K$22*(Calc!$G$3:$G$22&gt;A2792)*(Calc!$G$3:$G$22&lt;B2792))</f>
        <v/>
      </c>
      <c r="E2792">
        <f>SUMPRODUCT(Calc!$K$3:$K$22*(Calc!$G$3:$G$22&gt;=B2792))</f>
        <v/>
      </c>
      <c r="F2792">
        <f>AND(k_n&gt;=5,B2792&gt;A2792+1E-9,C2792&gt;=2,D2792&gt;=1,E2792&gt;=2)</f>
        <v/>
      </c>
      <c r="G2792">
        <f>SUMPRODUCT(Calc!$K$3:$K$22*(Calc!$G$3:$G$22&gt;A2792)*(Calc!$G$3:$G$22-A2792))</f>
        <v/>
      </c>
      <c r="H2792">
        <f>SUMPRODUCT(Calc!$K$3:$K$22*(Calc!$G$3:$G$22&gt;B2792)*(Calc!$G$3:$G$22-B2792))</f>
        <v/>
      </c>
      <c r="I2792">
        <f>SUMPRODUCT(Calc!$K$3:$K$22*(Calc!$G$3:$G$22&gt;A2792)*(Calc!$G$3:$G$22-A2792)^2)</f>
        <v/>
      </c>
      <c r="J2792">
        <f>SUMPRODUCT(Calc!$K$3:$K$22*(Calc!$G$3:$G$22&gt;B2792)*(Calc!$G$3:$G$22-B2792)^2)</f>
        <v/>
      </c>
      <c r="K2792">
        <f>SUMPRODUCT(Calc!$K$3:$K$22*(Calc!$G$3:$G$22&gt;A2792)*(Calc!$G$3:$G$22-A2792)*(Calc!$G$3:$G$22&gt;B2792)*(Calc!$G$3:$G$22-B2792))</f>
        <v/>
      </c>
      <c r="L2792">
        <f>SUMPRODUCT(Calc!$K$3:$K$22*(Calc!$G$3:$G$22&gt;A2792)*(Calc!$G$3:$G$22-A2792)*Calc!$G$3:$G$22)</f>
        <v/>
      </c>
      <c r="M2792">
        <f>SUMPRODUCT(Calc!$K$3:$K$22*(Calc!$G$3:$G$22&gt;B2792)*(Calc!$G$3:$G$22-B2792)*Calc!$G$3:$G$22)</f>
        <v/>
      </c>
      <c r="N2792">
        <f>SUMPRODUCT(Calc!$K$3:$K$22*(Calc!$G$3:$G$22&gt;A2792)*(Calc!$G$3:$G$22-A2792)*Calc!$I$3:$I$22)</f>
        <v/>
      </c>
      <c r="O2792">
        <f>SUMPRODUCT(Calc!$K$3:$K$22*(Calc!$G$3:$G$22&gt;B2792)*(Calc!$G$3:$G$22-B2792)*Calc!$I$3:$I$22)</f>
        <v/>
      </c>
      <c r="P2792">
        <f>I2792-G2792^2/k_n</f>
        <v/>
      </c>
      <c r="Q2792">
        <f>J2792-H2792^2/k_n</f>
        <v/>
      </c>
      <c r="R2792">
        <f>K2792-G2792*H2792/k_n</f>
        <v/>
      </c>
      <c r="S2792">
        <f>L2792-LTP3!$D$3*G2792/k_n</f>
        <v/>
      </c>
      <c r="T2792">
        <f>M2792-LTP3!$D$3*H2792/k_n</f>
        <v/>
      </c>
      <c r="U2792">
        <f>N2792-G2792*LTP3!$D$4/k_n</f>
        <v/>
      </c>
      <c r="V2792">
        <f>O2792-H2792*LTP3!$D$4/k_n</f>
        <v/>
      </c>
      <c r="W2792">
        <f>((LTP3!$D$5)*((P2792)*(Q2792)-(R2792)*(R2792))-(S2792)*((S2792)*(Q2792)-(R2792)*(T2792))+(T2792)*((S2792)*(R2792)-(P2792)*(T2792)))</f>
        <v/>
      </c>
      <c r="X2792">
        <f>IF(ABS(W2792)&gt;1E-12,((LTP3!$D$6)*((P2792)*(Q2792)-(R2792)*(R2792))-(S2792)*((U2792)*(Q2792)-(R2792)*(V2792))+(T2792)*((U2792)*(R2792)-(P2792)*(V2792)))/W2792,0)</f>
        <v/>
      </c>
      <c r="Y2792">
        <f>IF(ABS(W2792)&gt;1E-12,((LTP3!$D$5)*((U2792)*(Q2792)-(R2792)*(V2792))-(LTP3!$D$6)*((S2792)*(Q2792)-(R2792)*(T2792))+(T2792)*((S2792)*(V2792)-(U2792)*(T2792)))/W2792,0)</f>
        <v/>
      </c>
      <c r="Z2792">
        <f>IF(ABS(W2792)&gt;1E-12,((LTP3!$D$5)*((P2792)*(V2792)-(U2792)*(R2792))-(S2792)*((S2792)*(V2792)-(U2792)*(T2792))+(LTP3!$D$6)*((S2792)*(R2792)-(P2792)*(T2792)))/W2792,0)</f>
        <v/>
      </c>
      <c r="AA2792">
        <f>LTP3!$D$7-X2792*LTP3!$D$6-Y2792*U2792-Z2792*V2792</f>
        <v/>
      </c>
      <c r="AB2792">
        <f>IF(AND(F2792,ABS(W2792)&gt;1E-12,Y2792&gt;0,Z2792&gt;0),AA2792,1E+300)</f>
        <v/>
      </c>
    </row>
    <row r="2793">
      <c r="A2793">
        <f>$B$3+$B$5*45</f>
        <v/>
      </c>
      <c r="B2793">
        <f>$B$3+$B$5*36</f>
        <v/>
      </c>
      <c r="C2793">
        <f>SUMPRODUCT(Calc!$K$3:$K$22*(Calc!$G$3:$G$22&lt;=A2793))</f>
        <v/>
      </c>
      <c r="D2793">
        <f>SUMPRODUCT(Calc!$K$3:$K$22*(Calc!$G$3:$G$22&gt;A2793)*(Calc!$G$3:$G$22&lt;B2793))</f>
        <v/>
      </c>
      <c r="E2793">
        <f>SUMPRODUCT(Calc!$K$3:$K$22*(Calc!$G$3:$G$22&gt;=B2793))</f>
        <v/>
      </c>
      <c r="F2793">
        <f>AND(k_n&gt;=5,B2793&gt;A2793+1E-9,C2793&gt;=2,D2793&gt;=1,E2793&gt;=2)</f>
        <v/>
      </c>
      <c r="G2793">
        <f>SUMPRODUCT(Calc!$K$3:$K$22*(Calc!$G$3:$G$22&gt;A2793)*(Calc!$G$3:$G$22-A2793))</f>
        <v/>
      </c>
      <c r="H2793">
        <f>SUMPRODUCT(Calc!$K$3:$K$22*(Calc!$G$3:$G$22&gt;B2793)*(Calc!$G$3:$G$22-B2793))</f>
        <v/>
      </c>
      <c r="I2793">
        <f>SUMPRODUCT(Calc!$K$3:$K$22*(Calc!$G$3:$G$22&gt;A2793)*(Calc!$G$3:$G$22-A2793)^2)</f>
        <v/>
      </c>
      <c r="J2793">
        <f>SUMPRODUCT(Calc!$K$3:$K$22*(Calc!$G$3:$G$22&gt;B2793)*(Calc!$G$3:$G$22-B2793)^2)</f>
        <v/>
      </c>
      <c r="K2793">
        <f>SUMPRODUCT(Calc!$K$3:$K$22*(Calc!$G$3:$G$22&gt;A2793)*(Calc!$G$3:$G$22-A2793)*(Calc!$G$3:$G$22&gt;B2793)*(Calc!$G$3:$G$22-B2793))</f>
        <v/>
      </c>
      <c r="L2793">
        <f>SUMPRODUCT(Calc!$K$3:$K$22*(Calc!$G$3:$G$22&gt;A2793)*(Calc!$G$3:$G$22-A2793)*Calc!$G$3:$G$22)</f>
        <v/>
      </c>
      <c r="M2793">
        <f>SUMPRODUCT(Calc!$K$3:$K$22*(Calc!$G$3:$G$22&gt;B2793)*(Calc!$G$3:$G$22-B2793)*Calc!$G$3:$G$22)</f>
        <v/>
      </c>
      <c r="N2793">
        <f>SUMPRODUCT(Calc!$K$3:$K$22*(Calc!$G$3:$G$22&gt;A2793)*(Calc!$G$3:$G$22-A2793)*Calc!$I$3:$I$22)</f>
        <v/>
      </c>
      <c r="O2793">
        <f>SUMPRODUCT(Calc!$K$3:$K$22*(Calc!$G$3:$G$22&gt;B2793)*(Calc!$G$3:$G$22-B2793)*Calc!$I$3:$I$22)</f>
        <v/>
      </c>
      <c r="P2793">
        <f>I2793-G2793^2/k_n</f>
        <v/>
      </c>
      <c r="Q2793">
        <f>J2793-H2793^2/k_n</f>
        <v/>
      </c>
      <c r="R2793">
        <f>K2793-G2793*H2793/k_n</f>
        <v/>
      </c>
      <c r="S2793">
        <f>L2793-LTP3!$D$3*G2793/k_n</f>
        <v/>
      </c>
      <c r="T2793">
        <f>M2793-LTP3!$D$3*H2793/k_n</f>
        <v/>
      </c>
      <c r="U2793">
        <f>N2793-G2793*LTP3!$D$4/k_n</f>
        <v/>
      </c>
      <c r="V2793">
        <f>O2793-H2793*LTP3!$D$4/k_n</f>
        <v/>
      </c>
      <c r="W2793">
        <f>((LTP3!$D$5)*((P2793)*(Q2793)-(R2793)*(R2793))-(S2793)*((S2793)*(Q2793)-(R2793)*(T2793))+(T2793)*((S2793)*(R2793)-(P2793)*(T2793)))</f>
        <v/>
      </c>
      <c r="X2793">
        <f>IF(ABS(W2793)&gt;1E-12,((LTP3!$D$6)*((P2793)*(Q2793)-(R2793)*(R2793))-(S2793)*((U2793)*(Q2793)-(R2793)*(V2793))+(T2793)*((U2793)*(R2793)-(P2793)*(V2793)))/W2793,0)</f>
        <v/>
      </c>
      <c r="Y2793">
        <f>IF(ABS(W2793)&gt;1E-12,((LTP3!$D$5)*((U2793)*(Q2793)-(R2793)*(V2793))-(LTP3!$D$6)*((S2793)*(Q2793)-(R2793)*(T2793))+(T2793)*((S2793)*(V2793)-(U2793)*(T2793)))/W2793,0)</f>
        <v/>
      </c>
      <c r="Z2793">
        <f>IF(ABS(W2793)&gt;1E-12,((LTP3!$D$5)*((P2793)*(V2793)-(U2793)*(R2793))-(S2793)*((S2793)*(V2793)-(U2793)*(T2793))+(LTP3!$D$6)*((S2793)*(R2793)-(P2793)*(T2793)))/W2793,0)</f>
        <v/>
      </c>
      <c r="AA2793">
        <f>LTP3!$D$7-X2793*LTP3!$D$6-Y2793*U2793-Z2793*V2793</f>
        <v/>
      </c>
      <c r="AB2793">
        <f>IF(AND(F2793,ABS(W2793)&gt;1E-12,Y2793&gt;0,Z2793&gt;0),AA2793,1E+300)</f>
        <v/>
      </c>
    </row>
    <row r="2794">
      <c r="A2794">
        <f>$B$3+$B$5*45</f>
        <v/>
      </c>
      <c r="B2794">
        <f>$B$3+$B$5*37</f>
        <v/>
      </c>
      <c r="C2794">
        <f>SUMPRODUCT(Calc!$K$3:$K$22*(Calc!$G$3:$G$22&lt;=A2794))</f>
        <v/>
      </c>
      <c r="D2794">
        <f>SUMPRODUCT(Calc!$K$3:$K$22*(Calc!$G$3:$G$22&gt;A2794)*(Calc!$G$3:$G$22&lt;B2794))</f>
        <v/>
      </c>
      <c r="E2794">
        <f>SUMPRODUCT(Calc!$K$3:$K$22*(Calc!$G$3:$G$22&gt;=B2794))</f>
        <v/>
      </c>
      <c r="F2794">
        <f>AND(k_n&gt;=5,B2794&gt;A2794+1E-9,C2794&gt;=2,D2794&gt;=1,E2794&gt;=2)</f>
        <v/>
      </c>
      <c r="G2794">
        <f>SUMPRODUCT(Calc!$K$3:$K$22*(Calc!$G$3:$G$22&gt;A2794)*(Calc!$G$3:$G$22-A2794))</f>
        <v/>
      </c>
      <c r="H2794">
        <f>SUMPRODUCT(Calc!$K$3:$K$22*(Calc!$G$3:$G$22&gt;B2794)*(Calc!$G$3:$G$22-B2794))</f>
        <v/>
      </c>
      <c r="I2794">
        <f>SUMPRODUCT(Calc!$K$3:$K$22*(Calc!$G$3:$G$22&gt;A2794)*(Calc!$G$3:$G$22-A2794)^2)</f>
        <v/>
      </c>
      <c r="J2794">
        <f>SUMPRODUCT(Calc!$K$3:$K$22*(Calc!$G$3:$G$22&gt;B2794)*(Calc!$G$3:$G$22-B2794)^2)</f>
        <v/>
      </c>
      <c r="K2794">
        <f>SUMPRODUCT(Calc!$K$3:$K$22*(Calc!$G$3:$G$22&gt;A2794)*(Calc!$G$3:$G$22-A2794)*(Calc!$G$3:$G$22&gt;B2794)*(Calc!$G$3:$G$22-B2794))</f>
        <v/>
      </c>
      <c r="L2794">
        <f>SUMPRODUCT(Calc!$K$3:$K$22*(Calc!$G$3:$G$22&gt;A2794)*(Calc!$G$3:$G$22-A2794)*Calc!$G$3:$G$22)</f>
        <v/>
      </c>
      <c r="M2794">
        <f>SUMPRODUCT(Calc!$K$3:$K$22*(Calc!$G$3:$G$22&gt;B2794)*(Calc!$G$3:$G$22-B2794)*Calc!$G$3:$G$22)</f>
        <v/>
      </c>
      <c r="N2794">
        <f>SUMPRODUCT(Calc!$K$3:$K$22*(Calc!$G$3:$G$22&gt;A2794)*(Calc!$G$3:$G$22-A2794)*Calc!$I$3:$I$22)</f>
        <v/>
      </c>
      <c r="O2794">
        <f>SUMPRODUCT(Calc!$K$3:$K$22*(Calc!$G$3:$G$22&gt;B2794)*(Calc!$G$3:$G$22-B2794)*Calc!$I$3:$I$22)</f>
        <v/>
      </c>
      <c r="P2794">
        <f>I2794-G2794^2/k_n</f>
        <v/>
      </c>
      <c r="Q2794">
        <f>J2794-H2794^2/k_n</f>
        <v/>
      </c>
      <c r="R2794">
        <f>K2794-G2794*H2794/k_n</f>
        <v/>
      </c>
      <c r="S2794">
        <f>L2794-LTP3!$D$3*G2794/k_n</f>
        <v/>
      </c>
      <c r="T2794">
        <f>M2794-LTP3!$D$3*H2794/k_n</f>
        <v/>
      </c>
      <c r="U2794">
        <f>N2794-G2794*LTP3!$D$4/k_n</f>
        <v/>
      </c>
      <c r="V2794">
        <f>O2794-H2794*LTP3!$D$4/k_n</f>
        <v/>
      </c>
      <c r="W2794">
        <f>((LTP3!$D$5)*((P2794)*(Q2794)-(R2794)*(R2794))-(S2794)*((S2794)*(Q2794)-(R2794)*(T2794))+(T2794)*((S2794)*(R2794)-(P2794)*(T2794)))</f>
        <v/>
      </c>
      <c r="X2794">
        <f>IF(ABS(W2794)&gt;1E-12,((LTP3!$D$6)*((P2794)*(Q2794)-(R2794)*(R2794))-(S2794)*((U2794)*(Q2794)-(R2794)*(V2794))+(T2794)*((U2794)*(R2794)-(P2794)*(V2794)))/W2794,0)</f>
        <v/>
      </c>
      <c r="Y2794">
        <f>IF(ABS(W2794)&gt;1E-12,((LTP3!$D$5)*((U2794)*(Q2794)-(R2794)*(V2794))-(LTP3!$D$6)*((S2794)*(Q2794)-(R2794)*(T2794))+(T2794)*((S2794)*(V2794)-(U2794)*(T2794)))/W2794,0)</f>
        <v/>
      </c>
      <c r="Z2794">
        <f>IF(ABS(W2794)&gt;1E-12,((LTP3!$D$5)*((P2794)*(V2794)-(U2794)*(R2794))-(S2794)*((S2794)*(V2794)-(U2794)*(T2794))+(LTP3!$D$6)*((S2794)*(R2794)-(P2794)*(T2794)))/W2794,0)</f>
        <v/>
      </c>
      <c r="AA2794">
        <f>LTP3!$D$7-X2794*LTP3!$D$6-Y2794*U2794-Z2794*V2794</f>
        <v/>
      </c>
      <c r="AB2794">
        <f>IF(AND(F2794,ABS(W2794)&gt;1E-12,Y2794&gt;0,Z2794&gt;0),AA2794,1E+300)</f>
        <v/>
      </c>
    </row>
    <row r="2795">
      <c r="A2795">
        <f>$B$3+$B$5*45</f>
        <v/>
      </c>
      <c r="B2795">
        <f>$B$3+$B$5*38</f>
        <v/>
      </c>
      <c r="C2795">
        <f>SUMPRODUCT(Calc!$K$3:$K$22*(Calc!$G$3:$G$22&lt;=A2795))</f>
        <v/>
      </c>
      <c r="D2795">
        <f>SUMPRODUCT(Calc!$K$3:$K$22*(Calc!$G$3:$G$22&gt;A2795)*(Calc!$G$3:$G$22&lt;B2795))</f>
        <v/>
      </c>
      <c r="E2795">
        <f>SUMPRODUCT(Calc!$K$3:$K$22*(Calc!$G$3:$G$22&gt;=B2795))</f>
        <v/>
      </c>
      <c r="F2795">
        <f>AND(k_n&gt;=5,B2795&gt;A2795+1E-9,C2795&gt;=2,D2795&gt;=1,E2795&gt;=2)</f>
        <v/>
      </c>
      <c r="G2795">
        <f>SUMPRODUCT(Calc!$K$3:$K$22*(Calc!$G$3:$G$22&gt;A2795)*(Calc!$G$3:$G$22-A2795))</f>
        <v/>
      </c>
      <c r="H2795">
        <f>SUMPRODUCT(Calc!$K$3:$K$22*(Calc!$G$3:$G$22&gt;B2795)*(Calc!$G$3:$G$22-B2795))</f>
        <v/>
      </c>
      <c r="I2795">
        <f>SUMPRODUCT(Calc!$K$3:$K$22*(Calc!$G$3:$G$22&gt;A2795)*(Calc!$G$3:$G$22-A2795)^2)</f>
        <v/>
      </c>
      <c r="J2795">
        <f>SUMPRODUCT(Calc!$K$3:$K$22*(Calc!$G$3:$G$22&gt;B2795)*(Calc!$G$3:$G$22-B2795)^2)</f>
        <v/>
      </c>
      <c r="K2795">
        <f>SUMPRODUCT(Calc!$K$3:$K$22*(Calc!$G$3:$G$22&gt;A2795)*(Calc!$G$3:$G$22-A2795)*(Calc!$G$3:$G$22&gt;B2795)*(Calc!$G$3:$G$22-B2795))</f>
        <v/>
      </c>
      <c r="L2795">
        <f>SUMPRODUCT(Calc!$K$3:$K$22*(Calc!$G$3:$G$22&gt;A2795)*(Calc!$G$3:$G$22-A2795)*Calc!$G$3:$G$22)</f>
        <v/>
      </c>
      <c r="M2795">
        <f>SUMPRODUCT(Calc!$K$3:$K$22*(Calc!$G$3:$G$22&gt;B2795)*(Calc!$G$3:$G$22-B2795)*Calc!$G$3:$G$22)</f>
        <v/>
      </c>
      <c r="N2795">
        <f>SUMPRODUCT(Calc!$K$3:$K$22*(Calc!$G$3:$G$22&gt;A2795)*(Calc!$G$3:$G$22-A2795)*Calc!$I$3:$I$22)</f>
        <v/>
      </c>
      <c r="O2795">
        <f>SUMPRODUCT(Calc!$K$3:$K$22*(Calc!$G$3:$G$22&gt;B2795)*(Calc!$G$3:$G$22-B2795)*Calc!$I$3:$I$22)</f>
        <v/>
      </c>
      <c r="P2795">
        <f>I2795-G2795^2/k_n</f>
        <v/>
      </c>
      <c r="Q2795">
        <f>J2795-H2795^2/k_n</f>
        <v/>
      </c>
      <c r="R2795">
        <f>K2795-G2795*H2795/k_n</f>
        <v/>
      </c>
      <c r="S2795">
        <f>L2795-LTP3!$D$3*G2795/k_n</f>
        <v/>
      </c>
      <c r="T2795">
        <f>M2795-LTP3!$D$3*H2795/k_n</f>
        <v/>
      </c>
      <c r="U2795">
        <f>N2795-G2795*LTP3!$D$4/k_n</f>
        <v/>
      </c>
      <c r="V2795">
        <f>O2795-H2795*LTP3!$D$4/k_n</f>
        <v/>
      </c>
      <c r="W2795">
        <f>((LTP3!$D$5)*((P2795)*(Q2795)-(R2795)*(R2795))-(S2795)*((S2795)*(Q2795)-(R2795)*(T2795))+(T2795)*((S2795)*(R2795)-(P2795)*(T2795)))</f>
        <v/>
      </c>
      <c r="X2795">
        <f>IF(ABS(W2795)&gt;1E-12,((LTP3!$D$6)*((P2795)*(Q2795)-(R2795)*(R2795))-(S2795)*((U2795)*(Q2795)-(R2795)*(V2795))+(T2795)*((U2795)*(R2795)-(P2795)*(V2795)))/W2795,0)</f>
        <v/>
      </c>
      <c r="Y2795">
        <f>IF(ABS(W2795)&gt;1E-12,((LTP3!$D$5)*((U2795)*(Q2795)-(R2795)*(V2795))-(LTP3!$D$6)*((S2795)*(Q2795)-(R2795)*(T2795))+(T2795)*((S2795)*(V2795)-(U2795)*(T2795)))/W2795,0)</f>
        <v/>
      </c>
      <c r="Z2795">
        <f>IF(ABS(W2795)&gt;1E-12,((LTP3!$D$5)*((P2795)*(V2795)-(U2795)*(R2795))-(S2795)*((S2795)*(V2795)-(U2795)*(T2795))+(LTP3!$D$6)*((S2795)*(R2795)-(P2795)*(T2795)))/W2795,0)</f>
        <v/>
      </c>
      <c r="AA2795">
        <f>LTP3!$D$7-X2795*LTP3!$D$6-Y2795*U2795-Z2795*V2795</f>
        <v/>
      </c>
      <c r="AB2795">
        <f>IF(AND(F2795,ABS(W2795)&gt;1E-12,Y2795&gt;0,Z2795&gt;0),AA2795,1E+300)</f>
        <v/>
      </c>
    </row>
    <row r="2796">
      <c r="A2796">
        <f>$B$3+$B$5*45</f>
        <v/>
      </c>
      <c r="B2796">
        <f>$B$3+$B$5*39</f>
        <v/>
      </c>
      <c r="C2796">
        <f>SUMPRODUCT(Calc!$K$3:$K$22*(Calc!$G$3:$G$22&lt;=A2796))</f>
        <v/>
      </c>
      <c r="D2796">
        <f>SUMPRODUCT(Calc!$K$3:$K$22*(Calc!$G$3:$G$22&gt;A2796)*(Calc!$G$3:$G$22&lt;B2796))</f>
        <v/>
      </c>
      <c r="E2796">
        <f>SUMPRODUCT(Calc!$K$3:$K$22*(Calc!$G$3:$G$22&gt;=B2796))</f>
        <v/>
      </c>
      <c r="F2796">
        <f>AND(k_n&gt;=5,B2796&gt;A2796+1E-9,C2796&gt;=2,D2796&gt;=1,E2796&gt;=2)</f>
        <v/>
      </c>
      <c r="G2796">
        <f>SUMPRODUCT(Calc!$K$3:$K$22*(Calc!$G$3:$G$22&gt;A2796)*(Calc!$G$3:$G$22-A2796))</f>
        <v/>
      </c>
      <c r="H2796">
        <f>SUMPRODUCT(Calc!$K$3:$K$22*(Calc!$G$3:$G$22&gt;B2796)*(Calc!$G$3:$G$22-B2796))</f>
        <v/>
      </c>
      <c r="I2796">
        <f>SUMPRODUCT(Calc!$K$3:$K$22*(Calc!$G$3:$G$22&gt;A2796)*(Calc!$G$3:$G$22-A2796)^2)</f>
        <v/>
      </c>
      <c r="J2796">
        <f>SUMPRODUCT(Calc!$K$3:$K$22*(Calc!$G$3:$G$22&gt;B2796)*(Calc!$G$3:$G$22-B2796)^2)</f>
        <v/>
      </c>
      <c r="K2796">
        <f>SUMPRODUCT(Calc!$K$3:$K$22*(Calc!$G$3:$G$22&gt;A2796)*(Calc!$G$3:$G$22-A2796)*(Calc!$G$3:$G$22&gt;B2796)*(Calc!$G$3:$G$22-B2796))</f>
        <v/>
      </c>
      <c r="L2796">
        <f>SUMPRODUCT(Calc!$K$3:$K$22*(Calc!$G$3:$G$22&gt;A2796)*(Calc!$G$3:$G$22-A2796)*Calc!$G$3:$G$22)</f>
        <v/>
      </c>
      <c r="M2796">
        <f>SUMPRODUCT(Calc!$K$3:$K$22*(Calc!$G$3:$G$22&gt;B2796)*(Calc!$G$3:$G$22-B2796)*Calc!$G$3:$G$22)</f>
        <v/>
      </c>
      <c r="N2796">
        <f>SUMPRODUCT(Calc!$K$3:$K$22*(Calc!$G$3:$G$22&gt;A2796)*(Calc!$G$3:$G$22-A2796)*Calc!$I$3:$I$22)</f>
        <v/>
      </c>
      <c r="O2796">
        <f>SUMPRODUCT(Calc!$K$3:$K$22*(Calc!$G$3:$G$22&gt;B2796)*(Calc!$G$3:$G$22-B2796)*Calc!$I$3:$I$22)</f>
        <v/>
      </c>
      <c r="P2796">
        <f>I2796-G2796^2/k_n</f>
        <v/>
      </c>
      <c r="Q2796">
        <f>J2796-H2796^2/k_n</f>
        <v/>
      </c>
      <c r="R2796">
        <f>K2796-G2796*H2796/k_n</f>
        <v/>
      </c>
      <c r="S2796">
        <f>L2796-LTP3!$D$3*G2796/k_n</f>
        <v/>
      </c>
      <c r="T2796">
        <f>M2796-LTP3!$D$3*H2796/k_n</f>
        <v/>
      </c>
      <c r="U2796">
        <f>N2796-G2796*LTP3!$D$4/k_n</f>
        <v/>
      </c>
      <c r="V2796">
        <f>O2796-H2796*LTP3!$D$4/k_n</f>
        <v/>
      </c>
      <c r="W2796">
        <f>((LTP3!$D$5)*((P2796)*(Q2796)-(R2796)*(R2796))-(S2796)*((S2796)*(Q2796)-(R2796)*(T2796))+(T2796)*((S2796)*(R2796)-(P2796)*(T2796)))</f>
        <v/>
      </c>
      <c r="X2796">
        <f>IF(ABS(W2796)&gt;1E-12,((LTP3!$D$6)*((P2796)*(Q2796)-(R2796)*(R2796))-(S2796)*((U2796)*(Q2796)-(R2796)*(V2796))+(T2796)*((U2796)*(R2796)-(P2796)*(V2796)))/W2796,0)</f>
        <v/>
      </c>
      <c r="Y2796">
        <f>IF(ABS(W2796)&gt;1E-12,((LTP3!$D$5)*((U2796)*(Q2796)-(R2796)*(V2796))-(LTP3!$D$6)*((S2796)*(Q2796)-(R2796)*(T2796))+(T2796)*((S2796)*(V2796)-(U2796)*(T2796)))/W2796,0)</f>
        <v/>
      </c>
      <c r="Z2796">
        <f>IF(ABS(W2796)&gt;1E-12,((LTP3!$D$5)*((P2796)*(V2796)-(U2796)*(R2796))-(S2796)*((S2796)*(V2796)-(U2796)*(T2796))+(LTP3!$D$6)*((S2796)*(R2796)-(P2796)*(T2796)))/W2796,0)</f>
        <v/>
      </c>
      <c r="AA2796">
        <f>LTP3!$D$7-X2796*LTP3!$D$6-Y2796*U2796-Z2796*V2796</f>
        <v/>
      </c>
      <c r="AB2796">
        <f>IF(AND(F2796,ABS(W2796)&gt;1E-12,Y2796&gt;0,Z2796&gt;0),AA2796,1E+300)</f>
        <v/>
      </c>
    </row>
    <row r="2797">
      <c r="A2797">
        <f>$B$3+$B$5*45</f>
        <v/>
      </c>
      <c r="B2797">
        <f>$B$3+$B$5*40</f>
        <v/>
      </c>
      <c r="C2797">
        <f>SUMPRODUCT(Calc!$K$3:$K$22*(Calc!$G$3:$G$22&lt;=A2797))</f>
        <v/>
      </c>
      <c r="D2797">
        <f>SUMPRODUCT(Calc!$K$3:$K$22*(Calc!$G$3:$G$22&gt;A2797)*(Calc!$G$3:$G$22&lt;B2797))</f>
        <v/>
      </c>
      <c r="E2797">
        <f>SUMPRODUCT(Calc!$K$3:$K$22*(Calc!$G$3:$G$22&gt;=B2797))</f>
        <v/>
      </c>
      <c r="F2797">
        <f>AND(k_n&gt;=5,B2797&gt;A2797+1E-9,C2797&gt;=2,D2797&gt;=1,E2797&gt;=2)</f>
        <v/>
      </c>
      <c r="G2797">
        <f>SUMPRODUCT(Calc!$K$3:$K$22*(Calc!$G$3:$G$22&gt;A2797)*(Calc!$G$3:$G$22-A2797))</f>
        <v/>
      </c>
      <c r="H2797">
        <f>SUMPRODUCT(Calc!$K$3:$K$22*(Calc!$G$3:$G$22&gt;B2797)*(Calc!$G$3:$G$22-B2797))</f>
        <v/>
      </c>
      <c r="I2797">
        <f>SUMPRODUCT(Calc!$K$3:$K$22*(Calc!$G$3:$G$22&gt;A2797)*(Calc!$G$3:$G$22-A2797)^2)</f>
        <v/>
      </c>
      <c r="J2797">
        <f>SUMPRODUCT(Calc!$K$3:$K$22*(Calc!$G$3:$G$22&gt;B2797)*(Calc!$G$3:$G$22-B2797)^2)</f>
        <v/>
      </c>
      <c r="K2797">
        <f>SUMPRODUCT(Calc!$K$3:$K$22*(Calc!$G$3:$G$22&gt;A2797)*(Calc!$G$3:$G$22-A2797)*(Calc!$G$3:$G$22&gt;B2797)*(Calc!$G$3:$G$22-B2797))</f>
        <v/>
      </c>
      <c r="L2797">
        <f>SUMPRODUCT(Calc!$K$3:$K$22*(Calc!$G$3:$G$22&gt;A2797)*(Calc!$G$3:$G$22-A2797)*Calc!$G$3:$G$22)</f>
        <v/>
      </c>
      <c r="M2797">
        <f>SUMPRODUCT(Calc!$K$3:$K$22*(Calc!$G$3:$G$22&gt;B2797)*(Calc!$G$3:$G$22-B2797)*Calc!$G$3:$G$22)</f>
        <v/>
      </c>
      <c r="N2797">
        <f>SUMPRODUCT(Calc!$K$3:$K$22*(Calc!$G$3:$G$22&gt;A2797)*(Calc!$G$3:$G$22-A2797)*Calc!$I$3:$I$22)</f>
        <v/>
      </c>
      <c r="O2797">
        <f>SUMPRODUCT(Calc!$K$3:$K$22*(Calc!$G$3:$G$22&gt;B2797)*(Calc!$G$3:$G$22-B2797)*Calc!$I$3:$I$22)</f>
        <v/>
      </c>
      <c r="P2797">
        <f>I2797-G2797^2/k_n</f>
        <v/>
      </c>
      <c r="Q2797">
        <f>J2797-H2797^2/k_n</f>
        <v/>
      </c>
      <c r="R2797">
        <f>K2797-G2797*H2797/k_n</f>
        <v/>
      </c>
      <c r="S2797">
        <f>L2797-LTP3!$D$3*G2797/k_n</f>
        <v/>
      </c>
      <c r="T2797">
        <f>M2797-LTP3!$D$3*H2797/k_n</f>
        <v/>
      </c>
      <c r="U2797">
        <f>N2797-G2797*LTP3!$D$4/k_n</f>
        <v/>
      </c>
      <c r="V2797">
        <f>O2797-H2797*LTP3!$D$4/k_n</f>
        <v/>
      </c>
      <c r="W2797">
        <f>((LTP3!$D$5)*((P2797)*(Q2797)-(R2797)*(R2797))-(S2797)*((S2797)*(Q2797)-(R2797)*(T2797))+(T2797)*((S2797)*(R2797)-(P2797)*(T2797)))</f>
        <v/>
      </c>
      <c r="X2797">
        <f>IF(ABS(W2797)&gt;1E-12,((LTP3!$D$6)*((P2797)*(Q2797)-(R2797)*(R2797))-(S2797)*((U2797)*(Q2797)-(R2797)*(V2797))+(T2797)*((U2797)*(R2797)-(P2797)*(V2797)))/W2797,0)</f>
        <v/>
      </c>
      <c r="Y2797">
        <f>IF(ABS(W2797)&gt;1E-12,((LTP3!$D$5)*((U2797)*(Q2797)-(R2797)*(V2797))-(LTP3!$D$6)*((S2797)*(Q2797)-(R2797)*(T2797))+(T2797)*((S2797)*(V2797)-(U2797)*(T2797)))/W2797,0)</f>
        <v/>
      </c>
      <c r="Z2797">
        <f>IF(ABS(W2797)&gt;1E-12,((LTP3!$D$5)*((P2797)*(V2797)-(U2797)*(R2797))-(S2797)*((S2797)*(V2797)-(U2797)*(T2797))+(LTP3!$D$6)*((S2797)*(R2797)-(P2797)*(T2797)))/W2797,0)</f>
        <v/>
      </c>
      <c r="AA2797">
        <f>LTP3!$D$7-X2797*LTP3!$D$6-Y2797*U2797-Z2797*V2797</f>
        <v/>
      </c>
      <c r="AB2797">
        <f>IF(AND(F2797,ABS(W2797)&gt;1E-12,Y2797&gt;0,Z2797&gt;0),AA2797,1E+300)</f>
        <v/>
      </c>
    </row>
    <row r="2798">
      <c r="A2798">
        <f>$B$3+$B$5*45</f>
        <v/>
      </c>
      <c r="B2798">
        <f>$B$3+$B$5*41</f>
        <v/>
      </c>
      <c r="C2798">
        <f>SUMPRODUCT(Calc!$K$3:$K$22*(Calc!$G$3:$G$22&lt;=A2798))</f>
        <v/>
      </c>
      <c r="D2798">
        <f>SUMPRODUCT(Calc!$K$3:$K$22*(Calc!$G$3:$G$22&gt;A2798)*(Calc!$G$3:$G$22&lt;B2798))</f>
        <v/>
      </c>
      <c r="E2798">
        <f>SUMPRODUCT(Calc!$K$3:$K$22*(Calc!$G$3:$G$22&gt;=B2798))</f>
        <v/>
      </c>
      <c r="F2798">
        <f>AND(k_n&gt;=5,B2798&gt;A2798+1E-9,C2798&gt;=2,D2798&gt;=1,E2798&gt;=2)</f>
        <v/>
      </c>
      <c r="G2798">
        <f>SUMPRODUCT(Calc!$K$3:$K$22*(Calc!$G$3:$G$22&gt;A2798)*(Calc!$G$3:$G$22-A2798))</f>
        <v/>
      </c>
      <c r="H2798">
        <f>SUMPRODUCT(Calc!$K$3:$K$22*(Calc!$G$3:$G$22&gt;B2798)*(Calc!$G$3:$G$22-B2798))</f>
        <v/>
      </c>
      <c r="I2798">
        <f>SUMPRODUCT(Calc!$K$3:$K$22*(Calc!$G$3:$G$22&gt;A2798)*(Calc!$G$3:$G$22-A2798)^2)</f>
        <v/>
      </c>
      <c r="J2798">
        <f>SUMPRODUCT(Calc!$K$3:$K$22*(Calc!$G$3:$G$22&gt;B2798)*(Calc!$G$3:$G$22-B2798)^2)</f>
        <v/>
      </c>
      <c r="K2798">
        <f>SUMPRODUCT(Calc!$K$3:$K$22*(Calc!$G$3:$G$22&gt;A2798)*(Calc!$G$3:$G$22-A2798)*(Calc!$G$3:$G$22&gt;B2798)*(Calc!$G$3:$G$22-B2798))</f>
        <v/>
      </c>
      <c r="L2798">
        <f>SUMPRODUCT(Calc!$K$3:$K$22*(Calc!$G$3:$G$22&gt;A2798)*(Calc!$G$3:$G$22-A2798)*Calc!$G$3:$G$22)</f>
        <v/>
      </c>
      <c r="M2798">
        <f>SUMPRODUCT(Calc!$K$3:$K$22*(Calc!$G$3:$G$22&gt;B2798)*(Calc!$G$3:$G$22-B2798)*Calc!$G$3:$G$22)</f>
        <v/>
      </c>
      <c r="N2798">
        <f>SUMPRODUCT(Calc!$K$3:$K$22*(Calc!$G$3:$G$22&gt;A2798)*(Calc!$G$3:$G$22-A2798)*Calc!$I$3:$I$22)</f>
        <v/>
      </c>
      <c r="O2798">
        <f>SUMPRODUCT(Calc!$K$3:$K$22*(Calc!$G$3:$G$22&gt;B2798)*(Calc!$G$3:$G$22-B2798)*Calc!$I$3:$I$22)</f>
        <v/>
      </c>
      <c r="P2798">
        <f>I2798-G2798^2/k_n</f>
        <v/>
      </c>
      <c r="Q2798">
        <f>J2798-H2798^2/k_n</f>
        <v/>
      </c>
      <c r="R2798">
        <f>K2798-G2798*H2798/k_n</f>
        <v/>
      </c>
      <c r="S2798">
        <f>L2798-LTP3!$D$3*G2798/k_n</f>
        <v/>
      </c>
      <c r="T2798">
        <f>M2798-LTP3!$D$3*H2798/k_n</f>
        <v/>
      </c>
      <c r="U2798">
        <f>N2798-G2798*LTP3!$D$4/k_n</f>
        <v/>
      </c>
      <c r="V2798">
        <f>O2798-H2798*LTP3!$D$4/k_n</f>
        <v/>
      </c>
      <c r="W2798">
        <f>((LTP3!$D$5)*((P2798)*(Q2798)-(R2798)*(R2798))-(S2798)*((S2798)*(Q2798)-(R2798)*(T2798))+(T2798)*((S2798)*(R2798)-(P2798)*(T2798)))</f>
        <v/>
      </c>
      <c r="X2798">
        <f>IF(ABS(W2798)&gt;1E-12,((LTP3!$D$6)*((P2798)*(Q2798)-(R2798)*(R2798))-(S2798)*((U2798)*(Q2798)-(R2798)*(V2798))+(T2798)*((U2798)*(R2798)-(P2798)*(V2798)))/W2798,0)</f>
        <v/>
      </c>
      <c r="Y2798">
        <f>IF(ABS(W2798)&gt;1E-12,((LTP3!$D$5)*((U2798)*(Q2798)-(R2798)*(V2798))-(LTP3!$D$6)*((S2798)*(Q2798)-(R2798)*(T2798))+(T2798)*((S2798)*(V2798)-(U2798)*(T2798)))/W2798,0)</f>
        <v/>
      </c>
      <c r="Z2798">
        <f>IF(ABS(W2798)&gt;1E-12,((LTP3!$D$5)*((P2798)*(V2798)-(U2798)*(R2798))-(S2798)*((S2798)*(V2798)-(U2798)*(T2798))+(LTP3!$D$6)*((S2798)*(R2798)-(P2798)*(T2798)))/W2798,0)</f>
        <v/>
      </c>
      <c r="AA2798">
        <f>LTP3!$D$7-X2798*LTP3!$D$6-Y2798*U2798-Z2798*V2798</f>
        <v/>
      </c>
      <c r="AB2798">
        <f>IF(AND(F2798,ABS(W2798)&gt;1E-12,Y2798&gt;0,Z2798&gt;0),AA2798,1E+300)</f>
        <v/>
      </c>
    </row>
    <row r="2799">
      <c r="A2799">
        <f>$B$3+$B$5*45</f>
        <v/>
      </c>
      <c r="B2799">
        <f>$B$3+$B$5*42</f>
        <v/>
      </c>
      <c r="C2799">
        <f>SUMPRODUCT(Calc!$K$3:$K$22*(Calc!$G$3:$G$22&lt;=A2799))</f>
        <v/>
      </c>
      <c r="D2799">
        <f>SUMPRODUCT(Calc!$K$3:$K$22*(Calc!$G$3:$G$22&gt;A2799)*(Calc!$G$3:$G$22&lt;B2799))</f>
        <v/>
      </c>
      <c r="E2799">
        <f>SUMPRODUCT(Calc!$K$3:$K$22*(Calc!$G$3:$G$22&gt;=B2799))</f>
        <v/>
      </c>
      <c r="F2799">
        <f>AND(k_n&gt;=5,B2799&gt;A2799+1E-9,C2799&gt;=2,D2799&gt;=1,E2799&gt;=2)</f>
        <v/>
      </c>
      <c r="G2799">
        <f>SUMPRODUCT(Calc!$K$3:$K$22*(Calc!$G$3:$G$22&gt;A2799)*(Calc!$G$3:$G$22-A2799))</f>
        <v/>
      </c>
      <c r="H2799">
        <f>SUMPRODUCT(Calc!$K$3:$K$22*(Calc!$G$3:$G$22&gt;B2799)*(Calc!$G$3:$G$22-B2799))</f>
        <v/>
      </c>
      <c r="I2799">
        <f>SUMPRODUCT(Calc!$K$3:$K$22*(Calc!$G$3:$G$22&gt;A2799)*(Calc!$G$3:$G$22-A2799)^2)</f>
        <v/>
      </c>
      <c r="J2799">
        <f>SUMPRODUCT(Calc!$K$3:$K$22*(Calc!$G$3:$G$22&gt;B2799)*(Calc!$G$3:$G$22-B2799)^2)</f>
        <v/>
      </c>
      <c r="K2799">
        <f>SUMPRODUCT(Calc!$K$3:$K$22*(Calc!$G$3:$G$22&gt;A2799)*(Calc!$G$3:$G$22-A2799)*(Calc!$G$3:$G$22&gt;B2799)*(Calc!$G$3:$G$22-B2799))</f>
        <v/>
      </c>
      <c r="L2799">
        <f>SUMPRODUCT(Calc!$K$3:$K$22*(Calc!$G$3:$G$22&gt;A2799)*(Calc!$G$3:$G$22-A2799)*Calc!$G$3:$G$22)</f>
        <v/>
      </c>
      <c r="M2799">
        <f>SUMPRODUCT(Calc!$K$3:$K$22*(Calc!$G$3:$G$22&gt;B2799)*(Calc!$G$3:$G$22-B2799)*Calc!$G$3:$G$22)</f>
        <v/>
      </c>
      <c r="N2799">
        <f>SUMPRODUCT(Calc!$K$3:$K$22*(Calc!$G$3:$G$22&gt;A2799)*(Calc!$G$3:$G$22-A2799)*Calc!$I$3:$I$22)</f>
        <v/>
      </c>
      <c r="O2799">
        <f>SUMPRODUCT(Calc!$K$3:$K$22*(Calc!$G$3:$G$22&gt;B2799)*(Calc!$G$3:$G$22-B2799)*Calc!$I$3:$I$22)</f>
        <v/>
      </c>
      <c r="P2799">
        <f>I2799-G2799^2/k_n</f>
        <v/>
      </c>
      <c r="Q2799">
        <f>J2799-H2799^2/k_n</f>
        <v/>
      </c>
      <c r="R2799">
        <f>K2799-G2799*H2799/k_n</f>
        <v/>
      </c>
      <c r="S2799">
        <f>L2799-LTP3!$D$3*G2799/k_n</f>
        <v/>
      </c>
      <c r="T2799">
        <f>M2799-LTP3!$D$3*H2799/k_n</f>
        <v/>
      </c>
      <c r="U2799">
        <f>N2799-G2799*LTP3!$D$4/k_n</f>
        <v/>
      </c>
      <c r="V2799">
        <f>O2799-H2799*LTP3!$D$4/k_n</f>
        <v/>
      </c>
      <c r="W2799">
        <f>((LTP3!$D$5)*((P2799)*(Q2799)-(R2799)*(R2799))-(S2799)*((S2799)*(Q2799)-(R2799)*(T2799))+(T2799)*((S2799)*(R2799)-(P2799)*(T2799)))</f>
        <v/>
      </c>
      <c r="X2799">
        <f>IF(ABS(W2799)&gt;1E-12,((LTP3!$D$6)*((P2799)*(Q2799)-(R2799)*(R2799))-(S2799)*((U2799)*(Q2799)-(R2799)*(V2799))+(T2799)*((U2799)*(R2799)-(P2799)*(V2799)))/W2799,0)</f>
        <v/>
      </c>
      <c r="Y2799">
        <f>IF(ABS(W2799)&gt;1E-12,((LTP3!$D$5)*((U2799)*(Q2799)-(R2799)*(V2799))-(LTP3!$D$6)*((S2799)*(Q2799)-(R2799)*(T2799))+(T2799)*((S2799)*(V2799)-(U2799)*(T2799)))/W2799,0)</f>
        <v/>
      </c>
      <c r="Z2799">
        <f>IF(ABS(W2799)&gt;1E-12,((LTP3!$D$5)*((P2799)*(V2799)-(U2799)*(R2799))-(S2799)*((S2799)*(V2799)-(U2799)*(T2799))+(LTP3!$D$6)*((S2799)*(R2799)-(P2799)*(T2799)))/W2799,0)</f>
        <v/>
      </c>
      <c r="AA2799">
        <f>LTP3!$D$7-X2799*LTP3!$D$6-Y2799*U2799-Z2799*V2799</f>
        <v/>
      </c>
      <c r="AB2799">
        <f>IF(AND(F2799,ABS(W2799)&gt;1E-12,Y2799&gt;0,Z2799&gt;0),AA2799,1E+300)</f>
        <v/>
      </c>
    </row>
    <row r="2800">
      <c r="A2800">
        <f>$B$3+$B$5*45</f>
        <v/>
      </c>
      <c r="B2800">
        <f>$B$3+$B$5*43</f>
        <v/>
      </c>
      <c r="C2800">
        <f>SUMPRODUCT(Calc!$K$3:$K$22*(Calc!$G$3:$G$22&lt;=A2800))</f>
        <v/>
      </c>
      <c r="D2800">
        <f>SUMPRODUCT(Calc!$K$3:$K$22*(Calc!$G$3:$G$22&gt;A2800)*(Calc!$G$3:$G$22&lt;B2800))</f>
        <v/>
      </c>
      <c r="E2800">
        <f>SUMPRODUCT(Calc!$K$3:$K$22*(Calc!$G$3:$G$22&gt;=B2800))</f>
        <v/>
      </c>
      <c r="F2800">
        <f>AND(k_n&gt;=5,B2800&gt;A2800+1E-9,C2800&gt;=2,D2800&gt;=1,E2800&gt;=2)</f>
        <v/>
      </c>
      <c r="G2800">
        <f>SUMPRODUCT(Calc!$K$3:$K$22*(Calc!$G$3:$G$22&gt;A2800)*(Calc!$G$3:$G$22-A2800))</f>
        <v/>
      </c>
      <c r="H2800">
        <f>SUMPRODUCT(Calc!$K$3:$K$22*(Calc!$G$3:$G$22&gt;B2800)*(Calc!$G$3:$G$22-B2800))</f>
        <v/>
      </c>
      <c r="I2800">
        <f>SUMPRODUCT(Calc!$K$3:$K$22*(Calc!$G$3:$G$22&gt;A2800)*(Calc!$G$3:$G$22-A2800)^2)</f>
        <v/>
      </c>
      <c r="J2800">
        <f>SUMPRODUCT(Calc!$K$3:$K$22*(Calc!$G$3:$G$22&gt;B2800)*(Calc!$G$3:$G$22-B2800)^2)</f>
        <v/>
      </c>
      <c r="K2800">
        <f>SUMPRODUCT(Calc!$K$3:$K$22*(Calc!$G$3:$G$22&gt;A2800)*(Calc!$G$3:$G$22-A2800)*(Calc!$G$3:$G$22&gt;B2800)*(Calc!$G$3:$G$22-B2800))</f>
        <v/>
      </c>
      <c r="L2800">
        <f>SUMPRODUCT(Calc!$K$3:$K$22*(Calc!$G$3:$G$22&gt;A2800)*(Calc!$G$3:$G$22-A2800)*Calc!$G$3:$G$22)</f>
        <v/>
      </c>
      <c r="M2800">
        <f>SUMPRODUCT(Calc!$K$3:$K$22*(Calc!$G$3:$G$22&gt;B2800)*(Calc!$G$3:$G$22-B2800)*Calc!$G$3:$G$22)</f>
        <v/>
      </c>
      <c r="N2800">
        <f>SUMPRODUCT(Calc!$K$3:$K$22*(Calc!$G$3:$G$22&gt;A2800)*(Calc!$G$3:$G$22-A2800)*Calc!$I$3:$I$22)</f>
        <v/>
      </c>
      <c r="O2800">
        <f>SUMPRODUCT(Calc!$K$3:$K$22*(Calc!$G$3:$G$22&gt;B2800)*(Calc!$G$3:$G$22-B2800)*Calc!$I$3:$I$22)</f>
        <v/>
      </c>
      <c r="P2800">
        <f>I2800-G2800^2/k_n</f>
        <v/>
      </c>
      <c r="Q2800">
        <f>J2800-H2800^2/k_n</f>
        <v/>
      </c>
      <c r="R2800">
        <f>K2800-G2800*H2800/k_n</f>
        <v/>
      </c>
      <c r="S2800">
        <f>L2800-LTP3!$D$3*G2800/k_n</f>
        <v/>
      </c>
      <c r="T2800">
        <f>M2800-LTP3!$D$3*H2800/k_n</f>
        <v/>
      </c>
      <c r="U2800">
        <f>N2800-G2800*LTP3!$D$4/k_n</f>
        <v/>
      </c>
      <c r="V2800">
        <f>O2800-H2800*LTP3!$D$4/k_n</f>
        <v/>
      </c>
      <c r="W2800">
        <f>((LTP3!$D$5)*((P2800)*(Q2800)-(R2800)*(R2800))-(S2800)*((S2800)*(Q2800)-(R2800)*(T2800))+(T2800)*((S2800)*(R2800)-(P2800)*(T2800)))</f>
        <v/>
      </c>
      <c r="X2800">
        <f>IF(ABS(W2800)&gt;1E-12,((LTP3!$D$6)*((P2800)*(Q2800)-(R2800)*(R2800))-(S2800)*((U2800)*(Q2800)-(R2800)*(V2800))+(T2800)*((U2800)*(R2800)-(P2800)*(V2800)))/W2800,0)</f>
        <v/>
      </c>
      <c r="Y2800">
        <f>IF(ABS(W2800)&gt;1E-12,((LTP3!$D$5)*((U2800)*(Q2800)-(R2800)*(V2800))-(LTP3!$D$6)*((S2800)*(Q2800)-(R2800)*(T2800))+(T2800)*((S2800)*(V2800)-(U2800)*(T2800)))/W2800,0)</f>
        <v/>
      </c>
      <c r="Z2800">
        <f>IF(ABS(W2800)&gt;1E-12,((LTP3!$D$5)*((P2800)*(V2800)-(U2800)*(R2800))-(S2800)*((S2800)*(V2800)-(U2800)*(T2800))+(LTP3!$D$6)*((S2800)*(R2800)-(P2800)*(T2800)))/W2800,0)</f>
        <v/>
      </c>
      <c r="AA2800">
        <f>LTP3!$D$7-X2800*LTP3!$D$6-Y2800*U2800-Z2800*V2800</f>
        <v/>
      </c>
      <c r="AB2800">
        <f>IF(AND(F2800,ABS(W2800)&gt;1E-12,Y2800&gt;0,Z2800&gt;0),AA2800,1E+300)</f>
        <v/>
      </c>
    </row>
    <row r="2801">
      <c r="A2801">
        <f>$B$3+$B$5*45</f>
        <v/>
      </c>
      <c r="B2801">
        <f>$B$3+$B$5*44</f>
        <v/>
      </c>
      <c r="C2801">
        <f>SUMPRODUCT(Calc!$K$3:$K$22*(Calc!$G$3:$G$22&lt;=A2801))</f>
        <v/>
      </c>
      <c r="D2801">
        <f>SUMPRODUCT(Calc!$K$3:$K$22*(Calc!$G$3:$G$22&gt;A2801)*(Calc!$G$3:$G$22&lt;B2801))</f>
        <v/>
      </c>
      <c r="E2801">
        <f>SUMPRODUCT(Calc!$K$3:$K$22*(Calc!$G$3:$G$22&gt;=B2801))</f>
        <v/>
      </c>
      <c r="F2801">
        <f>AND(k_n&gt;=5,B2801&gt;A2801+1E-9,C2801&gt;=2,D2801&gt;=1,E2801&gt;=2)</f>
        <v/>
      </c>
      <c r="G2801">
        <f>SUMPRODUCT(Calc!$K$3:$K$22*(Calc!$G$3:$G$22&gt;A2801)*(Calc!$G$3:$G$22-A2801))</f>
        <v/>
      </c>
      <c r="H2801">
        <f>SUMPRODUCT(Calc!$K$3:$K$22*(Calc!$G$3:$G$22&gt;B2801)*(Calc!$G$3:$G$22-B2801))</f>
        <v/>
      </c>
      <c r="I2801">
        <f>SUMPRODUCT(Calc!$K$3:$K$22*(Calc!$G$3:$G$22&gt;A2801)*(Calc!$G$3:$G$22-A2801)^2)</f>
        <v/>
      </c>
      <c r="J2801">
        <f>SUMPRODUCT(Calc!$K$3:$K$22*(Calc!$G$3:$G$22&gt;B2801)*(Calc!$G$3:$G$22-B2801)^2)</f>
        <v/>
      </c>
      <c r="K2801">
        <f>SUMPRODUCT(Calc!$K$3:$K$22*(Calc!$G$3:$G$22&gt;A2801)*(Calc!$G$3:$G$22-A2801)*(Calc!$G$3:$G$22&gt;B2801)*(Calc!$G$3:$G$22-B2801))</f>
        <v/>
      </c>
      <c r="L2801">
        <f>SUMPRODUCT(Calc!$K$3:$K$22*(Calc!$G$3:$G$22&gt;A2801)*(Calc!$G$3:$G$22-A2801)*Calc!$G$3:$G$22)</f>
        <v/>
      </c>
      <c r="M2801">
        <f>SUMPRODUCT(Calc!$K$3:$K$22*(Calc!$G$3:$G$22&gt;B2801)*(Calc!$G$3:$G$22-B2801)*Calc!$G$3:$G$22)</f>
        <v/>
      </c>
      <c r="N2801">
        <f>SUMPRODUCT(Calc!$K$3:$K$22*(Calc!$G$3:$G$22&gt;A2801)*(Calc!$G$3:$G$22-A2801)*Calc!$I$3:$I$22)</f>
        <v/>
      </c>
      <c r="O2801">
        <f>SUMPRODUCT(Calc!$K$3:$K$22*(Calc!$G$3:$G$22&gt;B2801)*(Calc!$G$3:$G$22-B2801)*Calc!$I$3:$I$22)</f>
        <v/>
      </c>
      <c r="P2801">
        <f>I2801-G2801^2/k_n</f>
        <v/>
      </c>
      <c r="Q2801">
        <f>J2801-H2801^2/k_n</f>
        <v/>
      </c>
      <c r="R2801">
        <f>K2801-G2801*H2801/k_n</f>
        <v/>
      </c>
      <c r="S2801">
        <f>L2801-LTP3!$D$3*G2801/k_n</f>
        <v/>
      </c>
      <c r="T2801">
        <f>M2801-LTP3!$D$3*H2801/k_n</f>
        <v/>
      </c>
      <c r="U2801">
        <f>N2801-G2801*LTP3!$D$4/k_n</f>
        <v/>
      </c>
      <c r="V2801">
        <f>O2801-H2801*LTP3!$D$4/k_n</f>
        <v/>
      </c>
      <c r="W2801">
        <f>((LTP3!$D$5)*((P2801)*(Q2801)-(R2801)*(R2801))-(S2801)*((S2801)*(Q2801)-(R2801)*(T2801))+(T2801)*((S2801)*(R2801)-(P2801)*(T2801)))</f>
        <v/>
      </c>
      <c r="X2801">
        <f>IF(ABS(W2801)&gt;1E-12,((LTP3!$D$6)*((P2801)*(Q2801)-(R2801)*(R2801))-(S2801)*((U2801)*(Q2801)-(R2801)*(V2801))+(T2801)*((U2801)*(R2801)-(P2801)*(V2801)))/W2801,0)</f>
        <v/>
      </c>
      <c r="Y2801">
        <f>IF(ABS(W2801)&gt;1E-12,((LTP3!$D$5)*((U2801)*(Q2801)-(R2801)*(V2801))-(LTP3!$D$6)*((S2801)*(Q2801)-(R2801)*(T2801))+(T2801)*((S2801)*(V2801)-(U2801)*(T2801)))/W2801,0)</f>
        <v/>
      </c>
      <c r="Z2801">
        <f>IF(ABS(W2801)&gt;1E-12,((LTP3!$D$5)*((P2801)*(V2801)-(U2801)*(R2801))-(S2801)*((S2801)*(V2801)-(U2801)*(T2801))+(LTP3!$D$6)*((S2801)*(R2801)-(P2801)*(T2801)))/W2801,0)</f>
        <v/>
      </c>
      <c r="AA2801">
        <f>LTP3!$D$7-X2801*LTP3!$D$6-Y2801*U2801-Z2801*V2801</f>
        <v/>
      </c>
      <c r="AB2801">
        <f>IF(AND(F2801,ABS(W2801)&gt;1E-12,Y2801&gt;0,Z2801&gt;0),AA2801,1E+300)</f>
        <v/>
      </c>
    </row>
    <row r="2802">
      <c r="A2802">
        <f>$B$3+$B$5*45</f>
        <v/>
      </c>
      <c r="B2802">
        <f>$B$3+$B$5*45</f>
        <v/>
      </c>
      <c r="C2802">
        <f>SUMPRODUCT(Calc!$K$3:$K$22*(Calc!$G$3:$G$22&lt;=A2802))</f>
        <v/>
      </c>
      <c r="D2802">
        <f>SUMPRODUCT(Calc!$K$3:$K$22*(Calc!$G$3:$G$22&gt;A2802)*(Calc!$G$3:$G$22&lt;B2802))</f>
        <v/>
      </c>
      <c r="E2802">
        <f>SUMPRODUCT(Calc!$K$3:$K$22*(Calc!$G$3:$G$22&gt;=B2802))</f>
        <v/>
      </c>
      <c r="F2802">
        <f>AND(k_n&gt;=5,B2802&gt;A2802+1E-9,C2802&gt;=2,D2802&gt;=1,E2802&gt;=2)</f>
        <v/>
      </c>
      <c r="G2802">
        <f>SUMPRODUCT(Calc!$K$3:$K$22*(Calc!$G$3:$G$22&gt;A2802)*(Calc!$G$3:$G$22-A2802))</f>
        <v/>
      </c>
      <c r="H2802">
        <f>SUMPRODUCT(Calc!$K$3:$K$22*(Calc!$G$3:$G$22&gt;B2802)*(Calc!$G$3:$G$22-B2802))</f>
        <v/>
      </c>
      <c r="I2802">
        <f>SUMPRODUCT(Calc!$K$3:$K$22*(Calc!$G$3:$G$22&gt;A2802)*(Calc!$G$3:$G$22-A2802)^2)</f>
        <v/>
      </c>
      <c r="J2802">
        <f>SUMPRODUCT(Calc!$K$3:$K$22*(Calc!$G$3:$G$22&gt;B2802)*(Calc!$G$3:$G$22-B2802)^2)</f>
        <v/>
      </c>
      <c r="K2802">
        <f>SUMPRODUCT(Calc!$K$3:$K$22*(Calc!$G$3:$G$22&gt;A2802)*(Calc!$G$3:$G$22-A2802)*(Calc!$G$3:$G$22&gt;B2802)*(Calc!$G$3:$G$22-B2802))</f>
        <v/>
      </c>
      <c r="L2802">
        <f>SUMPRODUCT(Calc!$K$3:$K$22*(Calc!$G$3:$G$22&gt;A2802)*(Calc!$G$3:$G$22-A2802)*Calc!$G$3:$G$22)</f>
        <v/>
      </c>
      <c r="M2802">
        <f>SUMPRODUCT(Calc!$K$3:$K$22*(Calc!$G$3:$G$22&gt;B2802)*(Calc!$G$3:$G$22-B2802)*Calc!$G$3:$G$22)</f>
        <v/>
      </c>
      <c r="N2802">
        <f>SUMPRODUCT(Calc!$K$3:$K$22*(Calc!$G$3:$G$22&gt;A2802)*(Calc!$G$3:$G$22-A2802)*Calc!$I$3:$I$22)</f>
        <v/>
      </c>
      <c r="O2802">
        <f>SUMPRODUCT(Calc!$K$3:$K$22*(Calc!$G$3:$G$22&gt;B2802)*(Calc!$G$3:$G$22-B2802)*Calc!$I$3:$I$22)</f>
        <v/>
      </c>
      <c r="P2802">
        <f>I2802-G2802^2/k_n</f>
        <v/>
      </c>
      <c r="Q2802">
        <f>J2802-H2802^2/k_n</f>
        <v/>
      </c>
      <c r="R2802">
        <f>K2802-G2802*H2802/k_n</f>
        <v/>
      </c>
      <c r="S2802">
        <f>L2802-LTP3!$D$3*G2802/k_n</f>
        <v/>
      </c>
      <c r="T2802">
        <f>M2802-LTP3!$D$3*H2802/k_n</f>
        <v/>
      </c>
      <c r="U2802">
        <f>N2802-G2802*LTP3!$D$4/k_n</f>
        <v/>
      </c>
      <c r="V2802">
        <f>O2802-H2802*LTP3!$D$4/k_n</f>
        <v/>
      </c>
      <c r="W2802">
        <f>((LTP3!$D$5)*((P2802)*(Q2802)-(R2802)*(R2802))-(S2802)*((S2802)*(Q2802)-(R2802)*(T2802))+(T2802)*((S2802)*(R2802)-(P2802)*(T2802)))</f>
        <v/>
      </c>
      <c r="X2802">
        <f>IF(ABS(W2802)&gt;1E-12,((LTP3!$D$6)*((P2802)*(Q2802)-(R2802)*(R2802))-(S2802)*((U2802)*(Q2802)-(R2802)*(V2802))+(T2802)*((U2802)*(R2802)-(P2802)*(V2802)))/W2802,0)</f>
        <v/>
      </c>
      <c r="Y2802">
        <f>IF(ABS(W2802)&gt;1E-12,((LTP3!$D$5)*((U2802)*(Q2802)-(R2802)*(V2802))-(LTP3!$D$6)*((S2802)*(Q2802)-(R2802)*(T2802))+(T2802)*((S2802)*(V2802)-(U2802)*(T2802)))/W2802,0)</f>
        <v/>
      </c>
      <c r="Z2802">
        <f>IF(ABS(W2802)&gt;1E-12,((LTP3!$D$5)*((P2802)*(V2802)-(U2802)*(R2802))-(S2802)*((S2802)*(V2802)-(U2802)*(T2802))+(LTP3!$D$6)*((S2802)*(R2802)-(P2802)*(T2802)))/W2802,0)</f>
        <v/>
      </c>
      <c r="AA2802">
        <f>LTP3!$D$7-X2802*LTP3!$D$6-Y2802*U2802-Z2802*V2802</f>
        <v/>
      </c>
      <c r="AB2802">
        <f>IF(AND(F2802,ABS(W2802)&gt;1E-12,Y2802&gt;0,Z2802&gt;0),AA2802,1E+300)</f>
        <v/>
      </c>
    </row>
    <row r="2803">
      <c r="A2803">
        <f>$B$3+$B$5*45</f>
        <v/>
      </c>
      <c r="B2803">
        <f>$B$3+$B$5*46</f>
        <v/>
      </c>
      <c r="C2803">
        <f>SUMPRODUCT(Calc!$K$3:$K$22*(Calc!$G$3:$G$22&lt;=A2803))</f>
        <v/>
      </c>
      <c r="D2803">
        <f>SUMPRODUCT(Calc!$K$3:$K$22*(Calc!$G$3:$G$22&gt;A2803)*(Calc!$G$3:$G$22&lt;B2803))</f>
        <v/>
      </c>
      <c r="E2803">
        <f>SUMPRODUCT(Calc!$K$3:$K$22*(Calc!$G$3:$G$22&gt;=B2803))</f>
        <v/>
      </c>
      <c r="F2803">
        <f>AND(k_n&gt;=5,B2803&gt;A2803+1E-9,C2803&gt;=2,D2803&gt;=1,E2803&gt;=2)</f>
        <v/>
      </c>
      <c r="G2803">
        <f>SUMPRODUCT(Calc!$K$3:$K$22*(Calc!$G$3:$G$22&gt;A2803)*(Calc!$G$3:$G$22-A2803))</f>
        <v/>
      </c>
      <c r="H2803">
        <f>SUMPRODUCT(Calc!$K$3:$K$22*(Calc!$G$3:$G$22&gt;B2803)*(Calc!$G$3:$G$22-B2803))</f>
        <v/>
      </c>
      <c r="I2803">
        <f>SUMPRODUCT(Calc!$K$3:$K$22*(Calc!$G$3:$G$22&gt;A2803)*(Calc!$G$3:$G$22-A2803)^2)</f>
        <v/>
      </c>
      <c r="J2803">
        <f>SUMPRODUCT(Calc!$K$3:$K$22*(Calc!$G$3:$G$22&gt;B2803)*(Calc!$G$3:$G$22-B2803)^2)</f>
        <v/>
      </c>
      <c r="K2803">
        <f>SUMPRODUCT(Calc!$K$3:$K$22*(Calc!$G$3:$G$22&gt;A2803)*(Calc!$G$3:$G$22-A2803)*(Calc!$G$3:$G$22&gt;B2803)*(Calc!$G$3:$G$22-B2803))</f>
        <v/>
      </c>
      <c r="L2803">
        <f>SUMPRODUCT(Calc!$K$3:$K$22*(Calc!$G$3:$G$22&gt;A2803)*(Calc!$G$3:$G$22-A2803)*Calc!$G$3:$G$22)</f>
        <v/>
      </c>
      <c r="M2803">
        <f>SUMPRODUCT(Calc!$K$3:$K$22*(Calc!$G$3:$G$22&gt;B2803)*(Calc!$G$3:$G$22-B2803)*Calc!$G$3:$G$22)</f>
        <v/>
      </c>
      <c r="N2803">
        <f>SUMPRODUCT(Calc!$K$3:$K$22*(Calc!$G$3:$G$22&gt;A2803)*(Calc!$G$3:$G$22-A2803)*Calc!$I$3:$I$22)</f>
        <v/>
      </c>
      <c r="O2803">
        <f>SUMPRODUCT(Calc!$K$3:$K$22*(Calc!$G$3:$G$22&gt;B2803)*(Calc!$G$3:$G$22-B2803)*Calc!$I$3:$I$22)</f>
        <v/>
      </c>
      <c r="P2803">
        <f>I2803-G2803^2/k_n</f>
        <v/>
      </c>
      <c r="Q2803">
        <f>J2803-H2803^2/k_n</f>
        <v/>
      </c>
      <c r="R2803">
        <f>K2803-G2803*H2803/k_n</f>
        <v/>
      </c>
      <c r="S2803">
        <f>L2803-LTP3!$D$3*G2803/k_n</f>
        <v/>
      </c>
      <c r="T2803">
        <f>M2803-LTP3!$D$3*H2803/k_n</f>
        <v/>
      </c>
      <c r="U2803">
        <f>N2803-G2803*LTP3!$D$4/k_n</f>
        <v/>
      </c>
      <c r="V2803">
        <f>O2803-H2803*LTP3!$D$4/k_n</f>
        <v/>
      </c>
      <c r="W2803">
        <f>((LTP3!$D$5)*((P2803)*(Q2803)-(R2803)*(R2803))-(S2803)*((S2803)*(Q2803)-(R2803)*(T2803))+(T2803)*((S2803)*(R2803)-(P2803)*(T2803)))</f>
        <v/>
      </c>
      <c r="X2803">
        <f>IF(ABS(W2803)&gt;1E-12,((LTP3!$D$6)*((P2803)*(Q2803)-(R2803)*(R2803))-(S2803)*((U2803)*(Q2803)-(R2803)*(V2803))+(T2803)*((U2803)*(R2803)-(P2803)*(V2803)))/W2803,0)</f>
        <v/>
      </c>
      <c r="Y2803">
        <f>IF(ABS(W2803)&gt;1E-12,((LTP3!$D$5)*((U2803)*(Q2803)-(R2803)*(V2803))-(LTP3!$D$6)*((S2803)*(Q2803)-(R2803)*(T2803))+(T2803)*((S2803)*(V2803)-(U2803)*(T2803)))/W2803,0)</f>
        <v/>
      </c>
      <c r="Z2803">
        <f>IF(ABS(W2803)&gt;1E-12,((LTP3!$D$5)*((P2803)*(V2803)-(U2803)*(R2803))-(S2803)*((S2803)*(V2803)-(U2803)*(T2803))+(LTP3!$D$6)*((S2803)*(R2803)-(P2803)*(T2803)))/W2803,0)</f>
        <v/>
      </c>
      <c r="AA2803">
        <f>LTP3!$D$7-X2803*LTP3!$D$6-Y2803*U2803-Z2803*V2803</f>
        <v/>
      </c>
      <c r="AB2803">
        <f>IF(AND(F2803,ABS(W2803)&gt;1E-12,Y2803&gt;0,Z2803&gt;0),AA2803,1E+300)</f>
        <v/>
      </c>
    </row>
    <row r="2804">
      <c r="A2804">
        <f>$B$3+$B$5*45</f>
        <v/>
      </c>
      <c r="B2804">
        <f>$B$3+$B$5*47</f>
        <v/>
      </c>
      <c r="C2804">
        <f>SUMPRODUCT(Calc!$K$3:$K$22*(Calc!$G$3:$G$22&lt;=A2804))</f>
        <v/>
      </c>
      <c r="D2804">
        <f>SUMPRODUCT(Calc!$K$3:$K$22*(Calc!$G$3:$G$22&gt;A2804)*(Calc!$G$3:$G$22&lt;B2804))</f>
        <v/>
      </c>
      <c r="E2804">
        <f>SUMPRODUCT(Calc!$K$3:$K$22*(Calc!$G$3:$G$22&gt;=B2804))</f>
        <v/>
      </c>
      <c r="F2804">
        <f>AND(k_n&gt;=5,B2804&gt;A2804+1E-9,C2804&gt;=2,D2804&gt;=1,E2804&gt;=2)</f>
        <v/>
      </c>
      <c r="G2804">
        <f>SUMPRODUCT(Calc!$K$3:$K$22*(Calc!$G$3:$G$22&gt;A2804)*(Calc!$G$3:$G$22-A2804))</f>
        <v/>
      </c>
      <c r="H2804">
        <f>SUMPRODUCT(Calc!$K$3:$K$22*(Calc!$G$3:$G$22&gt;B2804)*(Calc!$G$3:$G$22-B2804))</f>
        <v/>
      </c>
      <c r="I2804">
        <f>SUMPRODUCT(Calc!$K$3:$K$22*(Calc!$G$3:$G$22&gt;A2804)*(Calc!$G$3:$G$22-A2804)^2)</f>
        <v/>
      </c>
      <c r="J2804">
        <f>SUMPRODUCT(Calc!$K$3:$K$22*(Calc!$G$3:$G$22&gt;B2804)*(Calc!$G$3:$G$22-B2804)^2)</f>
        <v/>
      </c>
      <c r="K2804">
        <f>SUMPRODUCT(Calc!$K$3:$K$22*(Calc!$G$3:$G$22&gt;A2804)*(Calc!$G$3:$G$22-A2804)*(Calc!$G$3:$G$22&gt;B2804)*(Calc!$G$3:$G$22-B2804))</f>
        <v/>
      </c>
      <c r="L2804">
        <f>SUMPRODUCT(Calc!$K$3:$K$22*(Calc!$G$3:$G$22&gt;A2804)*(Calc!$G$3:$G$22-A2804)*Calc!$G$3:$G$22)</f>
        <v/>
      </c>
      <c r="M2804">
        <f>SUMPRODUCT(Calc!$K$3:$K$22*(Calc!$G$3:$G$22&gt;B2804)*(Calc!$G$3:$G$22-B2804)*Calc!$G$3:$G$22)</f>
        <v/>
      </c>
      <c r="N2804">
        <f>SUMPRODUCT(Calc!$K$3:$K$22*(Calc!$G$3:$G$22&gt;A2804)*(Calc!$G$3:$G$22-A2804)*Calc!$I$3:$I$22)</f>
        <v/>
      </c>
      <c r="O2804">
        <f>SUMPRODUCT(Calc!$K$3:$K$22*(Calc!$G$3:$G$22&gt;B2804)*(Calc!$G$3:$G$22-B2804)*Calc!$I$3:$I$22)</f>
        <v/>
      </c>
      <c r="P2804">
        <f>I2804-G2804^2/k_n</f>
        <v/>
      </c>
      <c r="Q2804">
        <f>J2804-H2804^2/k_n</f>
        <v/>
      </c>
      <c r="R2804">
        <f>K2804-G2804*H2804/k_n</f>
        <v/>
      </c>
      <c r="S2804">
        <f>L2804-LTP3!$D$3*G2804/k_n</f>
        <v/>
      </c>
      <c r="T2804">
        <f>M2804-LTP3!$D$3*H2804/k_n</f>
        <v/>
      </c>
      <c r="U2804">
        <f>N2804-G2804*LTP3!$D$4/k_n</f>
        <v/>
      </c>
      <c r="V2804">
        <f>O2804-H2804*LTP3!$D$4/k_n</f>
        <v/>
      </c>
      <c r="W2804">
        <f>((LTP3!$D$5)*((P2804)*(Q2804)-(R2804)*(R2804))-(S2804)*((S2804)*(Q2804)-(R2804)*(T2804))+(T2804)*((S2804)*(R2804)-(P2804)*(T2804)))</f>
        <v/>
      </c>
      <c r="X2804">
        <f>IF(ABS(W2804)&gt;1E-12,((LTP3!$D$6)*((P2804)*(Q2804)-(R2804)*(R2804))-(S2804)*((U2804)*(Q2804)-(R2804)*(V2804))+(T2804)*((U2804)*(R2804)-(P2804)*(V2804)))/W2804,0)</f>
        <v/>
      </c>
      <c r="Y2804">
        <f>IF(ABS(W2804)&gt;1E-12,((LTP3!$D$5)*((U2804)*(Q2804)-(R2804)*(V2804))-(LTP3!$D$6)*((S2804)*(Q2804)-(R2804)*(T2804))+(T2804)*((S2804)*(V2804)-(U2804)*(T2804)))/W2804,0)</f>
        <v/>
      </c>
      <c r="Z2804">
        <f>IF(ABS(W2804)&gt;1E-12,((LTP3!$D$5)*((P2804)*(V2804)-(U2804)*(R2804))-(S2804)*((S2804)*(V2804)-(U2804)*(T2804))+(LTP3!$D$6)*((S2804)*(R2804)-(P2804)*(T2804)))/W2804,0)</f>
        <v/>
      </c>
      <c r="AA2804">
        <f>LTP3!$D$7-X2804*LTP3!$D$6-Y2804*U2804-Z2804*V2804</f>
        <v/>
      </c>
      <c r="AB2804">
        <f>IF(AND(F2804,ABS(W2804)&gt;1E-12,Y2804&gt;0,Z2804&gt;0),AA2804,1E+300)</f>
        <v/>
      </c>
    </row>
    <row r="2805">
      <c r="A2805">
        <f>$B$3+$B$5*45</f>
        <v/>
      </c>
      <c r="B2805">
        <f>$B$3+$B$5*48</f>
        <v/>
      </c>
      <c r="C2805">
        <f>SUMPRODUCT(Calc!$K$3:$K$22*(Calc!$G$3:$G$22&lt;=A2805))</f>
        <v/>
      </c>
      <c r="D2805">
        <f>SUMPRODUCT(Calc!$K$3:$K$22*(Calc!$G$3:$G$22&gt;A2805)*(Calc!$G$3:$G$22&lt;B2805))</f>
        <v/>
      </c>
      <c r="E2805">
        <f>SUMPRODUCT(Calc!$K$3:$K$22*(Calc!$G$3:$G$22&gt;=B2805))</f>
        <v/>
      </c>
      <c r="F2805">
        <f>AND(k_n&gt;=5,B2805&gt;A2805+1E-9,C2805&gt;=2,D2805&gt;=1,E2805&gt;=2)</f>
        <v/>
      </c>
      <c r="G2805">
        <f>SUMPRODUCT(Calc!$K$3:$K$22*(Calc!$G$3:$G$22&gt;A2805)*(Calc!$G$3:$G$22-A2805))</f>
        <v/>
      </c>
      <c r="H2805">
        <f>SUMPRODUCT(Calc!$K$3:$K$22*(Calc!$G$3:$G$22&gt;B2805)*(Calc!$G$3:$G$22-B2805))</f>
        <v/>
      </c>
      <c r="I2805">
        <f>SUMPRODUCT(Calc!$K$3:$K$22*(Calc!$G$3:$G$22&gt;A2805)*(Calc!$G$3:$G$22-A2805)^2)</f>
        <v/>
      </c>
      <c r="J2805">
        <f>SUMPRODUCT(Calc!$K$3:$K$22*(Calc!$G$3:$G$22&gt;B2805)*(Calc!$G$3:$G$22-B2805)^2)</f>
        <v/>
      </c>
      <c r="K2805">
        <f>SUMPRODUCT(Calc!$K$3:$K$22*(Calc!$G$3:$G$22&gt;A2805)*(Calc!$G$3:$G$22-A2805)*(Calc!$G$3:$G$22&gt;B2805)*(Calc!$G$3:$G$22-B2805))</f>
        <v/>
      </c>
      <c r="L2805">
        <f>SUMPRODUCT(Calc!$K$3:$K$22*(Calc!$G$3:$G$22&gt;A2805)*(Calc!$G$3:$G$22-A2805)*Calc!$G$3:$G$22)</f>
        <v/>
      </c>
      <c r="M2805">
        <f>SUMPRODUCT(Calc!$K$3:$K$22*(Calc!$G$3:$G$22&gt;B2805)*(Calc!$G$3:$G$22-B2805)*Calc!$G$3:$G$22)</f>
        <v/>
      </c>
      <c r="N2805">
        <f>SUMPRODUCT(Calc!$K$3:$K$22*(Calc!$G$3:$G$22&gt;A2805)*(Calc!$G$3:$G$22-A2805)*Calc!$I$3:$I$22)</f>
        <v/>
      </c>
      <c r="O2805">
        <f>SUMPRODUCT(Calc!$K$3:$K$22*(Calc!$G$3:$G$22&gt;B2805)*(Calc!$G$3:$G$22-B2805)*Calc!$I$3:$I$22)</f>
        <v/>
      </c>
      <c r="P2805">
        <f>I2805-G2805^2/k_n</f>
        <v/>
      </c>
      <c r="Q2805">
        <f>J2805-H2805^2/k_n</f>
        <v/>
      </c>
      <c r="R2805">
        <f>K2805-G2805*H2805/k_n</f>
        <v/>
      </c>
      <c r="S2805">
        <f>L2805-LTP3!$D$3*G2805/k_n</f>
        <v/>
      </c>
      <c r="T2805">
        <f>M2805-LTP3!$D$3*H2805/k_n</f>
        <v/>
      </c>
      <c r="U2805">
        <f>N2805-G2805*LTP3!$D$4/k_n</f>
        <v/>
      </c>
      <c r="V2805">
        <f>O2805-H2805*LTP3!$D$4/k_n</f>
        <v/>
      </c>
      <c r="W2805">
        <f>((LTP3!$D$5)*((P2805)*(Q2805)-(R2805)*(R2805))-(S2805)*((S2805)*(Q2805)-(R2805)*(T2805))+(T2805)*((S2805)*(R2805)-(P2805)*(T2805)))</f>
        <v/>
      </c>
      <c r="X2805">
        <f>IF(ABS(W2805)&gt;1E-12,((LTP3!$D$6)*((P2805)*(Q2805)-(R2805)*(R2805))-(S2805)*((U2805)*(Q2805)-(R2805)*(V2805))+(T2805)*((U2805)*(R2805)-(P2805)*(V2805)))/W2805,0)</f>
        <v/>
      </c>
      <c r="Y2805">
        <f>IF(ABS(W2805)&gt;1E-12,((LTP3!$D$5)*((U2805)*(Q2805)-(R2805)*(V2805))-(LTP3!$D$6)*((S2805)*(Q2805)-(R2805)*(T2805))+(T2805)*((S2805)*(V2805)-(U2805)*(T2805)))/W2805,0)</f>
        <v/>
      </c>
      <c r="Z2805">
        <f>IF(ABS(W2805)&gt;1E-12,((LTP3!$D$5)*((P2805)*(V2805)-(U2805)*(R2805))-(S2805)*((S2805)*(V2805)-(U2805)*(T2805))+(LTP3!$D$6)*((S2805)*(R2805)-(P2805)*(T2805)))/W2805,0)</f>
        <v/>
      </c>
      <c r="AA2805">
        <f>LTP3!$D$7-X2805*LTP3!$D$6-Y2805*U2805-Z2805*V2805</f>
        <v/>
      </c>
      <c r="AB2805">
        <f>IF(AND(F2805,ABS(W2805)&gt;1E-12,Y2805&gt;0,Z2805&gt;0),AA2805,1E+300)</f>
        <v/>
      </c>
    </row>
    <row r="2806">
      <c r="A2806">
        <f>$B$3+$B$5*45</f>
        <v/>
      </c>
      <c r="B2806">
        <f>$B$3+$B$5*49</f>
        <v/>
      </c>
      <c r="C2806">
        <f>SUMPRODUCT(Calc!$K$3:$K$22*(Calc!$G$3:$G$22&lt;=A2806))</f>
        <v/>
      </c>
      <c r="D2806">
        <f>SUMPRODUCT(Calc!$K$3:$K$22*(Calc!$G$3:$G$22&gt;A2806)*(Calc!$G$3:$G$22&lt;B2806))</f>
        <v/>
      </c>
      <c r="E2806">
        <f>SUMPRODUCT(Calc!$K$3:$K$22*(Calc!$G$3:$G$22&gt;=B2806))</f>
        <v/>
      </c>
      <c r="F2806">
        <f>AND(k_n&gt;=5,B2806&gt;A2806+1E-9,C2806&gt;=2,D2806&gt;=1,E2806&gt;=2)</f>
        <v/>
      </c>
      <c r="G2806">
        <f>SUMPRODUCT(Calc!$K$3:$K$22*(Calc!$G$3:$G$22&gt;A2806)*(Calc!$G$3:$G$22-A2806))</f>
        <v/>
      </c>
      <c r="H2806">
        <f>SUMPRODUCT(Calc!$K$3:$K$22*(Calc!$G$3:$G$22&gt;B2806)*(Calc!$G$3:$G$22-B2806))</f>
        <v/>
      </c>
      <c r="I2806">
        <f>SUMPRODUCT(Calc!$K$3:$K$22*(Calc!$G$3:$G$22&gt;A2806)*(Calc!$G$3:$G$22-A2806)^2)</f>
        <v/>
      </c>
      <c r="J2806">
        <f>SUMPRODUCT(Calc!$K$3:$K$22*(Calc!$G$3:$G$22&gt;B2806)*(Calc!$G$3:$G$22-B2806)^2)</f>
        <v/>
      </c>
      <c r="K2806">
        <f>SUMPRODUCT(Calc!$K$3:$K$22*(Calc!$G$3:$G$22&gt;A2806)*(Calc!$G$3:$G$22-A2806)*(Calc!$G$3:$G$22&gt;B2806)*(Calc!$G$3:$G$22-B2806))</f>
        <v/>
      </c>
      <c r="L2806">
        <f>SUMPRODUCT(Calc!$K$3:$K$22*(Calc!$G$3:$G$22&gt;A2806)*(Calc!$G$3:$G$22-A2806)*Calc!$G$3:$G$22)</f>
        <v/>
      </c>
      <c r="M2806">
        <f>SUMPRODUCT(Calc!$K$3:$K$22*(Calc!$G$3:$G$22&gt;B2806)*(Calc!$G$3:$G$22-B2806)*Calc!$G$3:$G$22)</f>
        <v/>
      </c>
      <c r="N2806">
        <f>SUMPRODUCT(Calc!$K$3:$K$22*(Calc!$G$3:$G$22&gt;A2806)*(Calc!$G$3:$G$22-A2806)*Calc!$I$3:$I$22)</f>
        <v/>
      </c>
      <c r="O2806">
        <f>SUMPRODUCT(Calc!$K$3:$K$22*(Calc!$G$3:$G$22&gt;B2806)*(Calc!$G$3:$G$22-B2806)*Calc!$I$3:$I$22)</f>
        <v/>
      </c>
      <c r="P2806">
        <f>I2806-G2806^2/k_n</f>
        <v/>
      </c>
      <c r="Q2806">
        <f>J2806-H2806^2/k_n</f>
        <v/>
      </c>
      <c r="R2806">
        <f>K2806-G2806*H2806/k_n</f>
        <v/>
      </c>
      <c r="S2806">
        <f>L2806-LTP3!$D$3*G2806/k_n</f>
        <v/>
      </c>
      <c r="T2806">
        <f>M2806-LTP3!$D$3*H2806/k_n</f>
        <v/>
      </c>
      <c r="U2806">
        <f>N2806-G2806*LTP3!$D$4/k_n</f>
        <v/>
      </c>
      <c r="V2806">
        <f>O2806-H2806*LTP3!$D$4/k_n</f>
        <v/>
      </c>
      <c r="W2806">
        <f>((LTP3!$D$5)*((P2806)*(Q2806)-(R2806)*(R2806))-(S2806)*((S2806)*(Q2806)-(R2806)*(T2806))+(T2806)*((S2806)*(R2806)-(P2806)*(T2806)))</f>
        <v/>
      </c>
      <c r="X2806">
        <f>IF(ABS(W2806)&gt;1E-12,((LTP3!$D$6)*((P2806)*(Q2806)-(R2806)*(R2806))-(S2806)*((U2806)*(Q2806)-(R2806)*(V2806))+(T2806)*((U2806)*(R2806)-(P2806)*(V2806)))/W2806,0)</f>
        <v/>
      </c>
      <c r="Y2806">
        <f>IF(ABS(W2806)&gt;1E-12,((LTP3!$D$5)*((U2806)*(Q2806)-(R2806)*(V2806))-(LTP3!$D$6)*((S2806)*(Q2806)-(R2806)*(T2806))+(T2806)*((S2806)*(V2806)-(U2806)*(T2806)))/W2806,0)</f>
        <v/>
      </c>
      <c r="Z2806">
        <f>IF(ABS(W2806)&gt;1E-12,((LTP3!$D$5)*((P2806)*(V2806)-(U2806)*(R2806))-(S2806)*((S2806)*(V2806)-(U2806)*(T2806))+(LTP3!$D$6)*((S2806)*(R2806)-(P2806)*(T2806)))/W2806,0)</f>
        <v/>
      </c>
      <c r="AA2806">
        <f>LTP3!$D$7-X2806*LTP3!$D$6-Y2806*U2806-Z2806*V2806</f>
        <v/>
      </c>
      <c r="AB2806">
        <f>IF(AND(F2806,ABS(W2806)&gt;1E-12,Y2806&gt;0,Z2806&gt;0),AA2806,1E+300)</f>
        <v/>
      </c>
    </row>
    <row r="2807">
      <c r="A2807">
        <f>$B$3+$B$5*45</f>
        <v/>
      </c>
      <c r="B2807">
        <f>$B$3+$B$5*50</f>
        <v/>
      </c>
      <c r="C2807">
        <f>SUMPRODUCT(Calc!$K$3:$K$22*(Calc!$G$3:$G$22&lt;=A2807))</f>
        <v/>
      </c>
      <c r="D2807">
        <f>SUMPRODUCT(Calc!$K$3:$K$22*(Calc!$G$3:$G$22&gt;A2807)*(Calc!$G$3:$G$22&lt;B2807))</f>
        <v/>
      </c>
      <c r="E2807">
        <f>SUMPRODUCT(Calc!$K$3:$K$22*(Calc!$G$3:$G$22&gt;=B2807))</f>
        <v/>
      </c>
      <c r="F2807">
        <f>AND(k_n&gt;=5,B2807&gt;A2807+1E-9,C2807&gt;=2,D2807&gt;=1,E2807&gt;=2)</f>
        <v/>
      </c>
      <c r="G2807">
        <f>SUMPRODUCT(Calc!$K$3:$K$22*(Calc!$G$3:$G$22&gt;A2807)*(Calc!$G$3:$G$22-A2807))</f>
        <v/>
      </c>
      <c r="H2807">
        <f>SUMPRODUCT(Calc!$K$3:$K$22*(Calc!$G$3:$G$22&gt;B2807)*(Calc!$G$3:$G$22-B2807))</f>
        <v/>
      </c>
      <c r="I2807">
        <f>SUMPRODUCT(Calc!$K$3:$K$22*(Calc!$G$3:$G$22&gt;A2807)*(Calc!$G$3:$G$22-A2807)^2)</f>
        <v/>
      </c>
      <c r="J2807">
        <f>SUMPRODUCT(Calc!$K$3:$K$22*(Calc!$G$3:$G$22&gt;B2807)*(Calc!$G$3:$G$22-B2807)^2)</f>
        <v/>
      </c>
      <c r="K2807">
        <f>SUMPRODUCT(Calc!$K$3:$K$22*(Calc!$G$3:$G$22&gt;A2807)*(Calc!$G$3:$G$22-A2807)*(Calc!$G$3:$G$22&gt;B2807)*(Calc!$G$3:$G$22-B2807))</f>
        <v/>
      </c>
      <c r="L2807">
        <f>SUMPRODUCT(Calc!$K$3:$K$22*(Calc!$G$3:$G$22&gt;A2807)*(Calc!$G$3:$G$22-A2807)*Calc!$G$3:$G$22)</f>
        <v/>
      </c>
      <c r="M2807">
        <f>SUMPRODUCT(Calc!$K$3:$K$22*(Calc!$G$3:$G$22&gt;B2807)*(Calc!$G$3:$G$22-B2807)*Calc!$G$3:$G$22)</f>
        <v/>
      </c>
      <c r="N2807">
        <f>SUMPRODUCT(Calc!$K$3:$K$22*(Calc!$G$3:$G$22&gt;A2807)*(Calc!$G$3:$G$22-A2807)*Calc!$I$3:$I$22)</f>
        <v/>
      </c>
      <c r="O2807">
        <f>SUMPRODUCT(Calc!$K$3:$K$22*(Calc!$G$3:$G$22&gt;B2807)*(Calc!$G$3:$G$22-B2807)*Calc!$I$3:$I$22)</f>
        <v/>
      </c>
      <c r="P2807">
        <f>I2807-G2807^2/k_n</f>
        <v/>
      </c>
      <c r="Q2807">
        <f>J2807-H2807^2/k_n</f>
        <v/>
      </c>
      <c r="R2807">
        <f>K2807-G2807*H2807/k_n</f>
        <v/>
      </c>
      <c r="S2807">
        <f>L2807-LTP3!$D$3*G2807/k_n</f>
        <v/>
      </c>
      <c r="T2807">
        <f>M2807-LTP3!$D$3*H2807/k_n</f>
        <v/>
      </c>
      <c r="U2807">
        <f>N2807-G2807*LTP3!$D$4/k_n</f>
        <v/>
      </c>
      <c r="V2807">
        <f>O2807-H2807*LTP3!$D$4/k_n</f>
        <v/>
      </c>
      <c r="W2807">
        <f>((LTP3!$D$5)*((P2807)*(Q2807)-(R2807)*(R2807))-(S2807)*((S2807)*(Q2807)-(R2807)*(T2807))+(T2807)*((S2807)*(R2807)-(P2807)*(T2807)))</f>
        <v/>
      </c>
      <c r="X2807">
        <f>IF(ABS(W2807)&gt;1E-12,((LTP3!$D$6)*((P2807)*(Q2807)-(R2807)*(R2807))-(S2807)*((U2807)*(Q2807)-(R2807)*(V2807))+(T2807)*((U2807)*(R2807)-(P2807)*(V2807)))/W2807,0)</f>
        <v/>
      </c>
      <c r="Y2807">
        <f>IF(ABS(W2807)&gt;1E-12,((LTP3!$D$5)*((U2807)*(Q2807)-(R2807)*(V2807))-(LTP3!$D$6)*((S2807)*(Q2807)-(R2807)*(T2807))+(T2807)*((S2807)*(V2807)-(U2807)*(T2807)))/W2807,0)</f>
        <v/>
      </c>
      <c r="Z2807">
        <f>IF(ABS(W2807)&gt;1E-12,((LTP3!$D$5)*((P2807)*(V2807)-(U2807)*(R2807))-(S2807)*((S2807)*(V2807)-(U2807)*(T2807))+(LTP3!$D$6)*((S2807)*(R2807)-(P2807)*(T2807)))/W2807,0)</f>
        <v/>
      </c>
      <c r="AA2807">
        <f>LTP3!$D$7-X2807*LTP3!$D$6-Y2807*U2807-Z2807*V2807</f>
        <v/>
      </c>
      <c r="AB2807">
        <f>IF(AND(F2807,ABS(W2807)&gt;1E-12,Y2807&gt;0,Z2807&gt;0),AA2807,1E+300)</f>
        <v/>
      </c>
    </row>
    <row r="2808">
      <c r="A2808">
        <f>$B$3+$B$5*45</f>
        <v/>
      </c>
      <c r="B2808">
        <f>$B$3+$B$5*51</f>
        <v/>
      </c>
      <c r="C2808">
        <f>SUMPRODUCT(Calc!$K$3:$K$22*(Calc!$G$3:$G$22&lt;=A2808))</f>
        <v/>
      </c>
      <c r="D2808">
        <f>SUMPRODUCT(Calc!$K$3:$K$22*(Calc!$G$3:$G$22&gt;A2808)*(Calc!$G$3:$G$22&lt;B2808))</f>
        <v/>
      </c>
      <c r="E2808">
        <f>SUMPRODUCT(Calc!$K$3:$K$22*(Calc!$G$3:$G$22&gt;=B2808))</f>
        <v/>
      </c>
      <c r="F2808">
        <f>AND(k_n&gt;=5,B2808&gt;A2808+1E-9,C2808&gt;=2,D2808&gt;=1,E2808&gt;=2)</f>
        <v/>
      </c>
      <c r="G2808">
        <f>SUMPRODUCT(Calc!$K$3:$K$22*(Calc!$G$3:$G$22&gt;A2808)*(Calc!$G$3:$G$22-A2808))</f>
        <v/>
      </c>
      <c r="H2808">
        <f>SUMPRODUCT(Calc!$K$3:$K$22*(Calc!$G$3:$G$22&gt;B2808)*(Calc!$G$3:$G$22-B2808))</f>
        <v/>
      </c>
      <c r="I2808">
        <f>SUMPRODUCT(Calc!$K$3:$K$22*(Calc!$G$3:$G$22&gt;A2808)*(Calc!$G$3:$G$22-A2808)^2)</f>
        <v/>
      </c>
      <c r="J2808">
        <f>SUMPRODUCT(Calc!$K$3:$K$22*(Calc!$G$3:$G$22&gt;B2808)*(Calc!$G$3:$G$22-B2808)^2)</f>
        <v/>
      </c>
      <c r="K2808">
        <f>SUMPRODUCT(Calc!$K$3:$K$22*(Calc!$G$3:$G$22&gt;A2808)*(Calc!$G$3:$G$22-A2808)*(Calc!$G$3:$G$22&gt;B2808)*(Calc!$G$3:$G$22-B2808))</f>
        <v/>
      </c>
      <c r="L2808">
        <f>SUMPRODUCT(Calc!$K$3:$K$22*(Calc!$G$3:$G$22&gt;A2808)*(Calc!$G$3:$G$22-A2808)*Calc!$G$3:$G$22)</f>
        <v/>
      </c>
      <c r="M2808">
        <f>SUMPRODUCT(Calc!$K$3:$K$22*(Calc!$G$3:$G$22&gt;B2808)*(Calc!$G$3:$G$22-B2808)*Calc!$G$3:$G$22)</f>
        <v/>
      </c>
      <c r="N2808">
        <f>SUMPRODUCT(Calc!$K$3:$K$22*(Calc!$G$3:$G$22&gt;A2808)*(Calc!$G$3:$G$22-A2808)*Calc!$I$3:$I$22)</f>
        <v/>
      </c>
      <c r="O2808">
        <f>SUMPRODUCT(Calc!$K$3:$K$22*(Calc!$G$3:$G$22&gt;B2808)*(Calc!$G$3:$G$22-B2808)*Calc!$I$3:$I$22)</f>
        <v/>
      </c>
      <c r="P2808">
        <f>I2808-G2808^2/k_n</f>
        <v/>
      </c>
      <c r="Q2808">
        <f>J2808-H2808^2/k_n</f>
        <v/>
      </c>
      <c r="R2808">
        <f>K2808-G2808*H2808/k_n</f>
        <v/>
      </c>
      <c r="S2808">
        <f>L2808-LTP3!$D$3*G2808/k_n</f>
        <v/>
      </c>
      <c r="T2808">
        <f>M2808-LTP3!$D$3*H2808/k_n</f>
        <v/>
      </c>
      <c r="U2808">
        <f>N2808-G2808*LTP3!$D$4/k_n</f>
        <v/>
      </c>
      <c r="V2808">
        <f>O2808-H2808*LTP3!$D$4/k_n</f>
        <v/>
      </c>
      <c r="W2808">
        <f>((LTP3!$D$5)*((P2808)*(Q2808)-(R2808)*(R2808))-(S2808)*((S2808)*(Q2808)-(R2808)*(T2808))+(T2808)*((S2808)*(R2808)-(P2808)*(T2808)))</f>
        <v/>
      </c>
      <c r="X2808">
        <f>IF(ABS(W2808)&gt;1E-12,((LTP3!$D$6)*((P2808)*(Q2808)-(R2808)*(R2808))-(S2808)*((U2808)*(Q2808)-(R2808)*(V2808))+(T2808)*((U2808)*(R2808)-(P2808)*(V2808)))/W2808,0)</f>
        <v/>
      </c>
      <c r="Y2808">
        <f>IF(ABS(W2808)&gt;1E-12,((LTP3!$D$5)*((U2808)*(Q2808)-(R2808)*(V2808))-(LTP3!$D$6)*((S2808)*(Q2808)-(R2808)*(T2808))+(T2808)*((S2808)*(V2808)-(U2808)*(T2808)))/W2808,0)</f>
        <v/>
      </c>
      <c r="Z2808">
        <f>IF(ABS(W2808)&gt;1E-12,((LTP3!$D$5)*((P2808)*(V2808)-(U2808)*(R2808))-(S2808)*((S2808)*(V2808)-(U2808)*(T2808))+(LTP3!$D$6)*((S2808)*(R2808)-(P2808)*(T2808)))/W2808,0)</f>
        <v/>
      </c>
      <c r="AA2808">
        <f>LTP3!$D$7-X2808*LTP3!$D$6-Y2808*U2808-Z2808*V2808</f>
        <v/>
      </c>
      <c r="AB2808">
        <f>IF(AND(F2808,ABS(W2808)&gt;1E-12,Y2808&gt;0,Z2808&gt;0),AA2808,1E+300)</f>
        <v/>
      </c>
    </row>
    <row r="2809">
      <c r="A2809">
        <f>$B$3+$B$5*45</f>
        <v/>
      </c>
      <c r="B2809">
        <f>$B$3+$B$5*52</f>
        <v/>
      </c>
      <c r="C2809">
        <f>SUMPRODUCT(Calc!$K$3:$K$22*(Calc!$G$3:$G$22&lt;=A2809))</f>
        <v/>
      </c>
      <c r="D2809">
        <f>SUMPRODUCT(Calc!$K$3:$K$22*(Calc!$G$3:$G$22&gt;A2809)*(Calc!$G$3:$G$22&lt;B2809))</f>
        <v/>
      </c>
      <c r="E2809">
        <f>SUMPRODUCT(Calc!$K$3:$K$22*(Calc!$G$3:$G$22&gt;=B2809))</f>
        <v/>
      </c>
      <c r="F2809">
        <f>AND(k_n&gt;=5,B2809&gt;A2809+1E-9,C2809&gt;=2,D2809&gt;=1,E2809&gt;=2)</f>
        <v/>
      </c>
      <c r="G2809">
        <f>SUMPRODUCT(Calc!$K$3:$K$22*(Calc!$G$3:$G$22&gt;A2809)*(Calc!$G$3:$G$22-A2809))</f>
        <v/>
      </c>
      <c r="H2809">
        <f>SUMPRODUCT(Calc!$K$3:$K$22*(Calc!$G$3:$G$22&gt;B2809)*(Calc!$G$3:$G$22-B2809))</f>
        <v/>
      </c>
      <c r="I2809">
        <f>SUMPRODUCT(Calc!$K$3:$K$22*(Calc!$G$3:$G$22&gt;A2809)*(Calc!$G$3:$G$22-A2809)^2)</f>
        <v/>
      </c>
      <c r="J2809">
        <f>SUMPRODUCT(Calc!$K$3:$K$22*(Calc!$G$3:$G$22&gt;B2809)*(Calc!$G$3:$G$22-B2809)^2)</f>
        <v/>
      </c>
      <c r="K2809">
        <f>SUMPRODUCT(Calc!$K$3:$K$22*(Calc!$G$3:$G$22&gt;A2809)*(Calc!$G$3:$G$22-A2809)*(Calc!$G$3:$G$22&gt;B2809)*(Calc!$G$3:$G$22-B2809))</f>
        <v/>
      </c>
      <c r="L2809">
        <f>SUMPRODUCT(Calc!$K$3:$K$22*(Calc!$G$3:$G$22&gt;A2809)*(Calc!$G$3:$G$22-A2809)*Calc!$G$3:$G$22)</f>
        <v/>
      </c>
      <c r="M2809">
        <f>SUMPRODUCT(Calc!$K$3:$K$22*(Calc!$G$3:$G$22&gt;B2809)*(Calc!$G$3:$G$22-B2809)*Calc!$G$3:$G$22)</f>
        <v/>
      </c>
      <c r="N2809">
        <f>SUMPRODUCT(Calc!$K$3:$K$22*(Calc!$G$3:$G$22&gt;A2809)*(Calc!$G$3:$G$22-A2809)*Calc!$I$3:$I$22)</f>
        <v/>
      </c>
      <c r="O2809">
        <f>SUMPRODUCT(Calc!$K$3:$K$22*(Calc!$G$3:$G$22&gt;B2809)*(Calc!$G$3:$G$22-B2809)*Calc!$I$3:$I$22)</f>
        <v/>
      </c>
      <c r="P2809">
        <f>I2809-G2809^2/k_n</f>
        <v/>
      </c>
      <c r="Q2809">
        <f>J2809-H2809^2/k_n</f>
        <v/>
      </c>
      <c r="R2809">
        <f>K2809-G2809*H2809/k_n</f>
        <v/>
      </c>
      <c r="S2809">
        <f>L2809-LTP3!$D$3*G2809/k_n</f>
        <v/>
      </c>
      <c r="T2809">
        <f>M2809-LTP3!$D$3*H2809/k_n</f>
        <v/>
      </c>
      <c r="U2809">
        <f>N2809-G2809*LTP3!$D$4/k_n</f>
        <v/>
      </c>
      <c r="V2809">
        <f>O2809-H2809*LTP3!$D$4/k_n</f>
        <v/>
      </c>
      <c r="W2809">
        <f>((LTP3!$D$5)*((P2809)*(Q2809)-(R2809)*(R2809))-(S2809)*((S2809)*(Q2809)-(R2809)*(T2809))+(T2809)*((S2809)*(R2809)-(P2809)*(T2809)))</f>
        <v/>
      </c>
      <c r="X2809">
        <f>IF(ABS(W2809)&gt;1E-12,((LTP3!$D$6)*((P2809)*(Q2809)-(R2809)*(R2809))-(S2809)*((U2809)*(Q2809)-(R2809)*(V2809))+(T2809)*((U2809)*(R2809)-(P2809)*(V2809)))/W2809,0)</f>
        <v/>
      </c>
      <c r="Y2809">
        <f>IF(ABS(W2809)&gt;1E-12,((LTP3!$D$5)*((U2809)*(Q2809)-(R2809)*(V2809))-(LTP3!$D$6)*((S2809)*(Q2809)-(R2809)*(T2809))+(T2809)*((S2809)*(V2809)-(U2809)*(T2809)))/W2809,0)</f>
        <v/>
      </c>
      <c r="Z2809">
        <f>IF(ABS(W2809)&gt;1E-12,((LTP3!$D$5)*((P2809)*(V2809)-(U2809)*(R2809))-(S2809)*((S2809)*(V2809)-(U2809)*(T2809))+(LTP3!$D$6)*((S2809)*(R2809)-(P2809)*(T2809)))/W2809,0)</f>
        <v/>
      </c>
      <c r="AA2809">
        <f>LTP3!$D$7-X2809*LTP3!$D$6-Y2809*U2809-Z2809*V2809</f>
        <v/>
      </c>
      <c r="AB2809">
        <f>IF(AND(F2809,ABS(W2809)&gt;1E-12,Y2809&gt;0,Z2809&gt;0),AA2809,1E+300)</f>
        <v/>
      </c>
    </row>
    <row r="2810">
      <c r="A2810">
        <f>$B$3+$B$5*45</f>
        <v/>
      </c>
      <c r="B2810">
        <f>$B$3+$B$5*53</f>
        <v/>
      </c>
      <c r="C2810">
        <f>SUMPRODUCT(Calc!$K$3:$K$22*(Calc!$G$3:$G$22&lt;=A2810))</f>
        <v/>
      </c>
      <c r="D2810">
        <f>SUMPRODUCT(Calc!$K$3:$K$22*(Calc!$G$3:$G$22&gt;A2810)*(Calc!$G$3:$G$22&lt;B2810))</f>
        <v/>
      </c>
      <c r="E2810">
        <f>SUMPRODUCT(Calc!$K$3:$K$22*(Calc!$G$3:$G$22&gt;=B2810))</f>
        <v/>
      </c>
      <c r="F2810">
        <f>AND(k_n&gt;=5,B2810&gt;A2810+1E-9,C2810&gt;=2,D2810&gt;=1,E2810&gt;=2)</f>
        <v/>
      </c>
      <c r="G2810">
        <f>SUMPRODUCT(Calc!$K$3:$K$22*(Calc!$G$3:$G$22&gt;A2810)*(Calc!$G$3:$G$22-A2810))</f>
        <v/>
      </c>
      <c r="H2810">
        <f>SUMPRODUCT(Calc!$K$3:$K$22*(Calc!$G$3:$G$22&gt;B2810)*(Calc!$G$3:$G$22-B2810))</f>
        <v/>
      </c>
      <c r="I2810">
        <f>SUMPRODUCT(Calc!$K$3:$K$22*(Calc!$G$3:$G$22&gt;A2810)*(Calc!$G$3:$G$22-A2810)^2)</f>
        <v/>
      </c>
      <c r="J2810">
        <f>SUMPRODUCT(Calc!$K$3:$K$22*(Calc!$G$3:$G$22&gt;B2810)*(Calc!$G$3:$G$22-B2810)^2)</f>
        <v/>
      </c>
      <c r="K2810">
        <f>SUMPRODUCT(Calc!$K$3:$K$22*(Calc!$G$3:$G$22&gt;A2810)*(Calc!$G$3:$G$22-A2810)*(Calc!$G$3:$G$22&gt;B2810)*(Calc!$G$3:$G$22-B2810))</f>
        <v/>
      </c>
      <c r="L2810">
        <f>SUMPRODUCT(Calc!$K$3:$K$22*(Calc!$G$3:$G$22&gt;A2810)*(Calc!$G$3:$G$22-A2810)*Calc!$G$3:$G$22)</f>
        <v/>
      </c>
      <c r="M2810">
        <f>SUMPRODUCT(Calc!$K$3:$K$22*(Calc!$G$3:$G$22&gt;B2810)*(Calc!$G$3:$G$22-B2810)*Calc!$G$3:$G$22)</f>
        <v/>
      </c>
      <c r="N2810">
        <f>SUMPRODUCT(Calc!$K$3:$K$22*(Calc!$G$3:$G$22&gt;A2810)*(Calc!$G$3:$G$22-A2810)*Calc!$I$3:$I$22)</f>
        <v/>
      </c>
      <c r="O2810">
        <f>SUMPRODUCT(Calc!$K$3:$K$22*(Calc!$G$3:$G$22&gt;B2810)*(Calc!$G$3:$G$22-B2810)*Calc!$I$3:$I$22)</f>
        <v/>
      </c>
      <c r="P2810">
        <f>I2810-G2810^2/k_n</f>
        <v/>
      </c>
      <c r="Q2810">
        <f>J2810-H2810^2/k_n</f>
        <v/>
      </c>
      <c r="R2810">
        <f>K2810-G2810*H2810/k_n</f>
        <v/>
      </c>
      <c r="S2810">
        <f>L2810-LTP3!$D$3*G2810/k_n</f>
        <v/>
      </c>
      <c r="T2810">
        <f>M2810-LTP3!$D$3*H2810/k_n</f>
        <v/>
      </c>
      <c r="U2810">
        <f>N2810-G2810*LTP3!$D$4/k_n</f>
        <v/>
      </c>
      <c r="V2810">
        <f>O2810-H2810*LTP3!$D$4/k_n</f>
        <v/>
      </c>
      <c r="W2810">
        <f>((LTP3!$D$5)*((P2810)*(Q2810)-(R2810)*(R2810))-(S2810)*((S2810)*(Q2810)-(R2810)*(T2810))+(T2810)*((S2810)*(R2810)-(P2810)*(T2810)))</f>
        <v/>
      </c>
      <c r="X2810">
        <f>IF(ABS(W2810)&gt;1E-12,((LTP3!$D$6)*((P2810)*(Q2810)-(R2810)*(R2810))-(S2810)*((U2810)*(Q2810)-(R2810)*(V2810))+(T2810)*((U2810)*(R2810)-(P2810)*(V2810)))/W2810,0)</f>
        <v/>
      </c>
      <c r="Y2810">
        <f>IF(ABS(W2810)&gt;1E-12,((LTP3!$D$5)*((U2810)*(Q2810)-(R2810)*(V2810))-(LTP3!$D$6)*((S2810)*(Q2810)-(R2810)*(T2810))+(T2810)*((S2810)*(V2810)-(U2810)*(T2810)))/W2810,0)</f>
        <v/>
      </c>
      <c r="Z2810">
        <f>IF(ABS(W2810)&gt;1E-12,((LTP3!$D$5)*((P2810)*(V2810)-(U2810)*(R2810))-(S2810)*((S2810)*(V2810)-(U2810)*(T2810))+(LTP3!$D$6)*((S2810)*(R2810)-(P2810)*(T2810)))/W2810,0)</f>
        <v/>
      </c>
      <c r="AA2810">
        <f>LTP3!$D$7-X2810*LTP3!$D$6-Y2810*U2810-Z2810*V2810</f>
        <v/>
      </c>
      <c r="AB2810">
        <f>IF(AND(F2810,ABS(W2810)&gt;1E-12,Y2810&gt;0,Z2810&gt;0),AA2810,1E+300)</f>
        <v/>
      </c>
    </row>
    <row r="2811">
      <c r="A2811">
        <f>$B$3+$B$5*45</f>
        <v/>
      </c>
      <c r="B2811">
        <f>$B$3+$B$5*54</f>
        <v/>
      </c>
      <c r="C2811">
        <f>SUMPRODUCT(Calc!$K$3:$K$22*(Calc!$G$3:$G$22&lt;=A2811))</f>
        <v/>
      </c>
      <c r="D2811">
        <f>SUMPRODUCT(Calc!$K$3:$K$22*(Calc!$G$3:$G$22&gt;A2811)*(Calc!$G$3:$G$22&lt;B2811))</f>
        <v/>
      </c>
      <c r="E2811">
        <f>SUMPRODUCT(Calc!$K$3:$K$22*(Calc!$G$3:$G$22&gt;=B2811))</f>
        <v/>
      </c>
      <c r="F2811">
        <f>AND(k_n&gt;=5,B2811&gt;A2811+1E-9,C2811&gt;=2,D2811&gt;=1,E2811&gt;=2)</f>
        <v/>
      </c>
      <c r="G2811">
        <f>SUMPRODUCT(Calc!$K$3:$K$22*(Calc!$G$3:$G$22&gt;A2811)*(Calc!$G$3:$G$22-A2811))</f>
        <v/>
      </c>
      <c r="H2811">
        <f>SUMPRODUCT(Calc!$K$3:$K$22*(Calc!$G$3:$G$22&gt;B2811)*(Calc!$G$3:$G$22-B2811))</f>
        <v/>
      </c>
      <c r="I2811">
        <f>SUMPRODUCT(Calc!$K$3:$K$22*(Calc!$G$3:$G$22&gt;A2811)*(Calc!$G$3:$G$22-A2811)^2)</f>
        <v/>
      </c>
      <c r="J2811">
        <f>SUMPRODUCT(Calc!$K$3:$K$22*(Calc!$G$3:$G$22&gt;B2811)*(Calc!$G$3:$G$22-B2811)^2)</f>
        <v/>
      </c>
      <c r="K2811">
        <f>SUMPRODUCT(Calc!$K$3:$K$22*(Calc!$G$3:$G$22&gt;A2811)*(Calc!$G$3:$G$22-A2811)*(Calc!$G$3:$G$22&gt;B2811)*(Calc!$G$3:$G$22-B2811))</f>
        <v/>
      </c>
      <c r="L2811">
        <f>SUMPRODUCT(Calc!$K$3:$K$22*(Calc!$G$3:$G$22&gt;A2811)*(Calc!$G$3:$G$22-A2811)*Calc!$G$3:$G$22)</f>
        <v/>
      </c>
      <c r="M2811">
        <f>SUMPRODUCT(Calc!$K$3:$K$22*(Calc!$G$3:$G$22&gt;B2811)*(Calc!$G$3:$G$22-B2811)*Calc!$G$3:$G$22)</f>
        <v/>
      </c>
      <c r="N2811">
        <f>SUMPRODUCT(Calc!$K$3:$K$22*(Calc!$G$3:$G$22&gt;A2811)*(Calc!$G$3:$G$22-A2811)*Calc!$I$3:$I$22)</f>
        <v/>
      </c>
      <c r="O2811">
        <f>SUMPRODUCT(Calc!$K$3:$K$22*(Calc!$G$3:$G$22&gt;B2811)*(Calc!$G$3:$G$22-B2811)*Calc!$I$3:$I$22)</f>
        <v/>
      </c>
      <c r="P2811">
        <f>I2811-G2811^2/k_n</f>
        <v/>
      </c>
      <c r="Q2811">
        <f>J2811-H2811^2/k_n</f>
        <v/>
      </c>
      <c r="R2811">
        <f>K2811-G2811*H2811/k_n</f>
        <v/>
      </c>
      <c r="S2811">
        <f>L2811-LTP3!$D$3*G2811/k_n</f>
        <v/>
      </c>
      <c r="T2811">
        <f>M2811-LTP3!$D$3*H2811/k_n</f>
        <v/>
      </c>
      <c r="U2811">
        <f>N2811-G2811*LTP3!$D$4/k_n</f>
        <v/>
      </c>
      <c r="V2811">
        <f>O2811-H2811*LTP3!$D$4/k_n</f>
        <v/>
      </c>
      <c r="W2811">
        <f>((LTP3!$D$5)*((P2811)*(Q2811)-(R2811)*(R2811))-(S2811)*((S2811)*(Q2811)-(R2811)*(T2811))+(T2811)*((S2811)*(R2811)-(P2811)*(T2811)))</f>
        <v/>
      </c>
      <c r="X2811">
        <f>IF(ABS(W2811)&gt;1E-12,((LTP3!$D$6)*((P2811)*(Q2811)-(R2811)*(R2811))-(S2811)*((U2811)*(Q2811)-(R2811)*(V2811))+(T2811)*((U2811)*(R2811)-(P2811)*(V2811)))/W2811,0)</f>
        <v/>
      </c>
      <c r="Y2811">
        <f>IF(ABS(W2811)&gt;1E-12,((LTP3!$D$5)*((U2811)*(Q2811)-(R2811)*(V2811))-(LTP3!$D$6)*((S2811)*(Q2811)-(R2811)*(T2811))+(T2811)*((S2811)*(V2811)-(U2811)*(T2811)))/W2811,0)</f>
        <v/>
      </c>
      <c r="Z2811">
        <f>IF(ABS(W2811)&gt;1E-12,((LTP3!$D$5)*((P2811)*(V2811)-(U2811)*(R2811))-(S2811)*((S2811)*(V2811)-(U2811)*(T2811))+(LTP3!$D$6)*((S2811)*(R2811)-(P2811)*(T2811)))/W2811,0)</f>
        <v/>
      </c>
      <c r="AA2811">
        <f>LTP3!$D$7-X2811*LTP3!$D$6-Y2811*U2811-Z2811*V2811</f>
        <v/>
      </c>
      <c r="AB2811">
        <f>IF(AND(F2811,ABS(W2811)&gt;1E-12,Y2811&gt;0,Z2811&gt;0),AA2811,1E+300)</f>
        <v/>
      </c>
    </row>
    <row r="2812">
      <c r="A2812">
        <f>$B$3+$B$5*45</f>
        <v/>
      </c>
      <c r="B2812">
        <f>$B$3+$B$5*55</f>
        <v/>
      </c>
      <c r="C2812">
        <f>SUMPRODUCT(Calc!$K$3:$K$22*(Calc!$G$3:$G$22&lt;=A2812))</f>
        <v/>
      </c>
      <c r="D2812">
        <f>SUMPRODUCT(Calc!$K$3:$K$22*(Calc!$G$3:$G$22&gt;A2812)*(Calc!$G$3:$G$22&lt;B2812))</f>
        <v/>
      </c>
      <c r="E2812">
        <f>SUMPRODUCT(Calc!$K$3:$K$22*(Calc!$G$3:$G$22&gt;=B2812))</f>
        <v/>
      </c>
      <c r="F2812">
        <f>AND(k_n&gt;=5,B2812&gt;A2812+1E-9,C2812&gt;=2,D2812&gt;=1,E2812&gt;=2)</f>
        <v/>
      </c>
      <c r="G2812">
        <f>SUMPRODUCT(Calc!$K$3:$K$22*(Calc!$G$3:$G$22&gt;A2812)*(Calc!$G$3:$G$22-A2812))</f>
        <v/>
      </c>
      <c r="H2812">
        <f>SUMPRODUCT(Calc!$K$3:$K$22*(Calc!$G$3:$G$22&gt;B2812)*(Calc!$G$3:$G$22-B2812))</f>
        <v/>
      </c>
      <c r="I2812">
        <f>SUMPRODUCT(Calc!$K$3:$K$22*(Calc!$G$3:$G$22&gt;A2812)*(Calc!$G$3:$G$22-A2812)^2)</f>
        <v/>
      </c>
      <c r="J2812">
        <f>SUMPRODUCT(Calc!$K$3:$K$22*(Calc!$G$3:$G$22&gt;B2812)*(Calc!$G$3:$G$22-B2812)^2)</f>
        <v/>
      </c>
      <c r="K2812">
        <f>SUMPRODUCT(Calc!$K$3:$K$22*(Calc!$G$3:$G$22&gt;A2812)*(Calc!$G$3:$G$22-A2812)*(Calc!$G$3:$G$22&gt;B2812)*(Calc!$G$3:$G$22-B2812))</f>
        <v/>
      </c>
      <c r="L2812">
        <f>SUMPRODUCT(Calc!$K$3:$K$22*(Calc!$G$3:$G$22&gt;A2812)*(Calc!$G$3:$G$22-A2812)*Calc!$G$3:$G$22)</f>
        <v/>
      </c>
      <c r="M2812">
        <f>SUMPRODUCT(Calc!$K$3:$K$22*(Calc!$G$3:$G$22&gt;B2812)*(Calc!$G$3:$G$22-B2812)*Calc!$G$3:$G$22)</f>
        <v/>
      </c>
      <c r="N2812">
        <f>SUMPRODUCT(Calc!$K$3:$K$22*(Calc!$G$3:$G$22&gt;A2812)*(Calc!$G$3:$G$22-A2812)*Calc!$I$3:$I$22)</f>
        <v/>
      </c>
      <c r="O2812">
        <f>SUMPRODUCT(Calc!$K$3:$K$22*(Calc!$G$3:$G$22&gt;B2812)*(Calc!$G$3:$G$22-B2812)*Calc!$I$3:$I$22)</f>
        <v/>
      </c>
      <c r="P2812">
        <f>I2812-G2812^2/k_n</f>
        <v/>
      </c>
      <c r="Q2812">
        <f>J2812-H2812^2/k_n</f>
        <v/>
      </c>
      <c r="R2812">
        <f>K2812-G2812*H2812/k_n</f>
        <v/>
      </c>
      <c r="S2812">
        <f>L2812-LTP3!$D$3*G2812/k_n</f>
        <v/>
      </c>
      <c r="T2812">
        <f>M2812-LTP3!$D$3*H2812/k_n</f>
        <v/>
      </c>
      <c r="U2812">
        <f>N2812-G2812*LTP3!$D$4/k_n</f>
        <v/>
      </c>
      <c r="V2812">
        <f>O2812-H2812*LTP3!$D$4/k_n</f>
        <v/>
      </c>
      <c r="W2812">
        <f>((LTP3!$D$5)*((P2812)*(Q2812)-(R2812)*(R2812))-(S2812)*((S2812)*(Q2812)-(R2812)*(T2812))+(T2812)*((S2812)*(R2812)-(P2812)*(T2812)))</f>
        <v/>
      </c>
      <c r="X2812">
        <f>IF(ABS(W2812)&gt;1E-12,((LTP3!$D$6)*((P2812)*(Q2812)-(R2812)*(R2812))-(S2812)*((U2812)*(Q2812)-(R2812)*(V2812))+(T2812)*((U2812)*(R2812)-(P2812)*(V2812)))/W2812,0)</f>
        <v/>
      </c>
      <c r="Y2812">
        <f>IF(ABS(W2812)&gt;1E-12,((LTP3!$D$5)*((U2812)*(Q2812)-(R2812)*(V2812))-(LTP3!$D$6)*((S2812)*(Q2812)-(R2812)*(T2812))+(T2812)*((S2812)*(V2812)-(U2812)*(T2812)))/W2812,0)</f>
        <v/>
      </c>
      <c r="Z2812">
        <f>IF(ABS(W2812)&gt;1E-12,((LTP3!$D$5)*((P2812)*(V2812)-(U2812)*(R2812))-(S2812)*((S2812)*(V2812)-(U2812)*(T2812))+(LTP3!$D$6)*((S2812)*(R2812)-(P2812)*(T2812)))/W2812,0)</f>
        <v/>
      </c>
      <c r="AA2812">
        <f>LTP3!$D$7-X2812*LTP3!$D$6-Y2812*U2812-Z2812*V2812</f>
        <v/>
      </c>
      <c r="AB2812">
        <f>IF(AND(F2812,ABS(W2812)&gt;1E-12,Y2812&gt;0,Z2812&gt;0),AA2812,1E+300)</f>
        <v/>
      </c>
    </row>
    <row r="2813">
      <c r="A2813">
        <f>$B$3+$B$5*45</f>
        <v/>
      </c>
      <c r="B2813">
        <f>$B$3+$B$5*56</f>
        <v/>
      </c>
      <c r="C2813">
        <f>SUMPRODUCT(Calc!$K$3:$K$22*(Calc!$G$3:$G$22&lt;=A2813))</f>
        <v/>
      </c>
      <c r="D2813">
        <f>SUMPRODUCT(Calc!$K$3:$K$22*(Calc!$G$3:$G$22&gt;A2813)*(Calc!$G$3:$G$22&lt;B2813))</f>
        <v/>
      </c>
      <c r="E2813">
        <f>SUMPRODUCT(Calc!$K$3:$K$22*(Calc!$G$3:$G$22&gt;=B2813))</f>
        <v/>
      </c>
      <c r="F2813">
        <f>AND(k_n&gt;=5,B2813&gt;A2813+1E-9,C2813&gt;=2,D2813&gt;=1,E2813&gt;=2)</f>
        <v/>
      </c>
      <c r="G2813">
        <f>SUMPRODUCT(Calc!$K$3:$K$22*(Calc!$G$3:$G$22&gt;A2813)*(Calc!$G$3:$G$22-A2813))</f>
        <v/>
      </c>
      <c r="H2813">
        <f>SUMPRODUCT(Calc!$K$3:$K$22*(Calc!$G$3:$G$22&gt;B2813)*(Calc!$G$3:$G$22-B2813))</f>
        <v/>
      </c>
      <c r="I2813">
        <f>SUMPRODUCT(Calc!$K$3:$K$22*(Calc!$G$3:$G$22&gt;A2813)*(Calc!$G$3:$G$22-A2813)^2)</f>
        <v/>
      </c>
      <c r="J2813">
        <f>SUMPRODUCT(Calc!$K$3:$K$22*(Calc!$G$3:$G$22&gt;B2813)*(Calc!$G$3:$G$22-B2813)^2)</f>
        <v/>
      </c>
      <c r="K2813">
        <f>SUMPRODUCT(Calc!$K$3:$K$22*(Calc!$G$3:$G$22&gt;A2813)*(Calc!$G$3:$G$22-A2813)*(Calc!$G$3:$G$22&gt;B2813)*(Calc!$G$3:$G$22-B2813))</f>
        <v/>
      </c>
      <c r="L2813">
        <f>SUMPRODUCT(Calc!$K$3:$K$22*(Calc!$G$3:$G$22&gt;A2813)*(Calc!$G$3:$G$22-A2813)*Calc!$G$3:$G$22)</f>
        <v/>
      </c>
      <c r="M2813">
        <f>SUMPRODUCT(Calc!$K$3:$K$22*(Calc!$G$3:$G$22&gt;B2813)*(Calc!$G$3:$G$22-B2813)*Calc!$G$3:$G$22)</f>
        <v/>
      </c>
      <c r="N2813">
        <f>SUMPRODUCT(Calc!$K$3:$K$22*(Calc!$G$3:$G$22&gt;A2813)*(Calc!$G$3:$G$22-A2813)*Calc!$I$3:$I$22)</f>
        <v/>
      </c>
      <c r="O2813">
        <f>SUMPRODUCT(Calc!$K$3:$K$22*(Calc!$G$3:$G$22&gt;B2813)*(Calc!$G$3:$G$22-B2813)*Calc!$I$3:$I$22)</f>
        <v/>
      </c>
      <c r="P2813">
        <f>I2813-G2813^2/k_n</f>
        <v/>
      </c>
      <c r="Q2813">
        <f>J2813-H2813^2/k_n</f>
        <v/>
      </c>
      <c r="R2813">
        <f>K2813-G2813*H2813/k_n</f>
        <v/>
      </c>
      <c r="S2813">
        <f>L2813-LTP3!$D$3*G2813/k_n</f>
        <v/>
      </c>
      <c r="T2813">
        <f>M2813-LTP3!$D$3*H2813/k_n</f>
        <v/>
      </c>
      <c r="U2813">
        <f>N2813-G2813*LTP3!$D$4/k_n</f>
        <v/>
      </c>
      <c r="V2813">
        <f>O2813-H2813*LTP3!$D$4/k_n</f>
        <v/>
      </c>
      <c r="W2813">
        <f>((LTP3!$D$5)*((P2813)*(Q2813)-(R2813)*(R2813))-(S2813)*((S2813)*(Q2813)-(R2813)*(T2813))+(T2813)*((S2813)*(R2813)-(P2813)*(T2813)))</f>
        <v/>
      </c>
      <c r="X2813">
        <f>IF(ABS(W2813)&gt;1E-12,((LTP3!$D$6)*((P2813)*(Q2813)-(R2813)*(R2813))-(S2813)*((U2813)*(Q2813)-(R2813)*(V2813))+(T2813)*((U2813)*(R2813)-(P2813)*(V2813)))/W2813,0)</f>
        <v/>
      </c>
      <c r="Y2813">
        <f>IF(ABS(W2813)&gt;1E-12,((LTP3!$D$5)*((U2813)*(Q2813)-(R2813)*(V2813))-(LTP3!$D$6)*((S2813)*(Q2813)-(R2813)*(T2813))+(T2813)*((S2813)*(V2813)-(U2813)*(T2813)))/W2813,0)</f>
        <v/>
      </c>
      <c r="Z2813">
        <f>IF(ABS(W2813)&gt;1E-12,((LTP3!$D$5)*((P2813)*(V2813)-(U2813)*(R2813))-(S2813)*((S2813)*(V2813)-(U2813)*(T2813))+(LTP3!$D$6)*((S2813)*(R2813)-(P2813)*(T2813)))/W2813,0)</f>
        <v/>
      </c>
      <c r="AA2813">
        <f>LTP3!$D$7-X2813*LTP3!$D$6-Y2813*U2813-Z2813*V2813</f>
        <v/>
      </c>
      <c r="AB2813">
        <f>IF(AND(F2813,ABS(W2813)&gt;1E-12,Y2813&gt;0,Z2813&gt;0),AA2813,1E+300)</f>
        <v/>
      </c>
    </row>
    <row r="2814">
      <c r="A2814">
        <f>$B$3+$B$5*45</f>
        <v/>
      </c>
      <c r="B2814">
        <f>$B$3+$B$5*57</f>
        <v/>
      </c>
      <c r="C2814">
        <f>SUMPRODUCT(Calc!$K$3:$K$22*(Calc!$G$3:$G$22&lt;=A2814))</f>
        <v/>
      </c>
      <c r="D2814">
        <f>SUMPRODUCT(Calc!$K$3:$K$22*(Calc!$G$3:$G$22&gt;A2814)*(Calc!$G$3:$G$22&lt;B2814))</f>
        <v/>
      </c>
      <c r="E2814">
        <f>SUMPRODUCT(Calc!$K$3:$K$22*(Calc!$G$3:$G$22&gt;=B2814))</f>
        <v/>
      </c>
      <c r="F2814">
        <f>AND(k_n&gt;=5,B2814&gt;A2814+1E-9,C2814&gt;=2,D2814&gt;=1,E2814&gt;=2)</f>
        <v/>
      </c>
      <c r="G2814">
        <f>SUMPRODUCT(Calc!$K$3:$K$22*(Calc!$G$3:$G$22&gt;A2814)*(Calc!$G$3:$G$22-A2814))</f>
        <v/>
      </c>
      <c r="H2814">
        <f>SUMPRODUCT(Calc!$K$3:$K$22*(Calc!$G$3:$G$22&gt;B2814)*(Calc!$G$3:$G$22-B2814))</f>
        <v/>
      </c>
      <c r="I2814">
        <f>SUMPRODUCT(Calc!$K$3:$K$22*(Calc!$G$3:$G$22&gt;A2814)*(Calc!$G$3:$G$22-A2814)^2)</f>
        <v/>
      </c>
      <c r="J2814">
        <f>SUMPRODUCT(Calc!$K$3:$K$22*(Calc!$G$3:$G$22&gt;B2814)*(Calc!$G$3:$G$22-B2814)^2)</f>
        <v/>
      </c>
      <c r="K2814">
        <f>SUMPRODUCT(Calc!$K$3:$K$22*(Calc!$G$3:$G$22&gt;A2814)*(Calc!$G$3:$G$22-A2814)*(Calc!$G$3:$G$22&gt;B2814)*(Calc!$G$3:$G$22-B2814))</f>
        <v/>
      </c>
      <c r="L2814">
        <f>SUMPRODUCT(Calc!$K$3:$K$22*(Calc!$G$3:$G$22&gt;A2814)*(Calc!$G$3:$G$22-A2814)*Calc!$G$3:$G$22)</f>
        <v/>
      </c>
      <c r="M2814">
        <f>SUMPRODUCT(Calc!$K$3:$K$22*(Calc!$G$3:$G$22&gt;B2814)*(Calc!$G$3:$G$22-B2814)*Calc!$G$3:$G$22)</f>
        <v/>
      </c>
      <c r="N2814">
        <f>SUMPRODUCT(Calc!$K$3:$K$22*(Calc!$G$3:$G$22&gt;A2814)*(Calc!$G$3:$G$22-A2814)*Calc!$I$3:$I$22)</f>
        <v/>
      </c>
      <c r="O2814">
        <f>SUMPRODUCT(Calc!$K$3:$K$22*(Calc!$G$3:$G$22&gt;B2814)*(Calc!$G$3:$G$22-B2814)*Calc!$I$3:$I$22)</f>
        <v/>
      </c>
      <c r="P2814">
        <f>I2814-G2814^2/k_n</f>
        <v/>
      </c>
      <c r="Q2814">
        <f>J2814-H2814^2/k_n</f>
        <v/>
      </c>
      <c r="R2814">
        <f>K2814-G2814*H2814/k_n</f>
        <v/>
      </c>
      <c r="S2814">
        <f>L2814-LTP3!$D$3*G2814/k_n</f>
        <v/>
      </c>
      <c r="T2814">
        <f>M2814-LTP3!$D$3*H2814/k_n</f>
        <v/>
      </c>
      <c r="U2814">
        <f>N2814-G2814*LTP3!$D$4/k_n</f>
        <v/>
      </c>
      <c r="V2814">
        <f>O2814-H2814*LTP3!$D$4/k_n</f>
        <v/>
      </c>
      <c r="W2814">
        <f>((LTP3!$D$5)*((P2814)*(Q2814)-(R2814)*(R2814))-(S2814)*((S2814)*(Q2814)-(R2814)*(T2814))+(T2814)*((S2814)*(R2814)-(P2814)*(T2814)))</f>
        <v/>
      </c>
      <c r="X2814">
        <f>IF(ABS(W2814)&gt;1E-12,((LTP3!$D$6)*((P2814)*(Q2814)-(R2814)*(R2814))-(S2814)*((U2814)*(Q2814)-(R2814)*(V2814))+(T2814)*((U2814)*(R2814)-(P2814)*(V2814)))/W2814,0)</f>
        <v/>
      </c>
      <c r="Y2814">
        <f>IF(ABS(W2814)&gt;1E-12,((LTP3!$D$5)*((U2814)*(Q2814)-(R2814)*(V2814))-(LTP3!$D$6)*((S2814)*(Q2814)-(R2814)*(T2814))+(T2814)*((S2814)*(V2814)-(U2814)*(T2814)))/W2814,0)</f>
        <v/>
      </c>
      <c r="Z2814">
        <f>IF(ABS(W2814)&gt;1E-12,((LTP3!$D$5)*((P2814)*(V2814)-(U2814)*(R2814))-(S2814)*((S2814)*(V2814)-(U2814)*(T2814))+(LTP3!$D$6)*((S2814)*(R2814)-(P2814)*(T2814)))/W2814,0)</f>
        <v/>
      </c>
      <c r="AA2814">
        <f>LTP3!$D$7-X2814*LTP3!$D$6-Y2814*U2814-Z2814*V2814</f>
        <v/>
      </c>
      <c r="AB2814">
        <f>IF(AND(F2814,ABS(W2814)&gt;1E-12,Y2814&gt;0,Z2814&gt;0),AA2814,1E+300)</f>
        <v/>
      </c>
    </row>
    <row r="2815">
      <c r="A2815">
        <f>$B$3+$B$5*45</f>
        <v/>
      </c>
      <c r="B2815">
        <f>$B$3+$B$5*58</f>
        <v/>
      </c>
      <c r="C2815">
        <f>SUMPRODUCT(Calc!$K$3:$K$22*(Calc!$G$3:$G$22&lt;=A2815))</f>
        <v/>
      </c>
      <c r="D2815">
        <f>SUMPRODUCT(Calc!$K$3:$K$22*(Calc!$G$3:$G$22&gt;A2815)*(Calc!$G$3:$G$22&lt;B2815))</f>
        <v/>
      </c>
      <c r="E2815">
        <f>SUMPRODUCT(Calc!$K$3:$K$22*(Calc!$G$3:$G$22&gt;=B2815))</f>
        <v/>
      </c>
      <c r="F2815">
        <f>AND(k_n&gt;=5,B2815&gt;A2815+1E-9,C2815&gt;=2,D2815&gt;=1,E2815&gt;=2)</f>
        <v/>
      </c>
      <c r="G2815">
        <f>SUMPRODUCT(Calc!$K$3:$K$22*(Calc!$G$3:$G$22&gt;A2815)*(Calc!$G$3:$G$22-A2815))</f>
        <v/>
      </c>
      <c r="H2815">
        <f>SUMPRODUCT(Calc!$K$3:$K$22*(Calc!$G$3:$G$22&gt;B2815)*(Calc!$G$3:$G$22-B2815))</f>
        <v/>
      </c>
      <c r="I2815">
        <f>SUMPRODUCT(Calc!$K$3:$K$22*(Calc!$G$3:$G$22&gt;A2815)*(Calc!$G$3:$G$22-A2815)^2)</f>
        <v/>
      </c>
      <c r="J2815">
        <f>SUMPRODUCT(Calc!$K$3:$K$22*(Calc!$G$3:$G$22&gt;B2815)*(Calc!$G$3:$G$22-B2815)^2)</f>
        <v/>
      </c>
      <c r="K2815">
        <f>SUMPRODUCT(Calc!$K$3:$K$22*(Calc!$G$3:$G$22&gt;A2815)*(Calc!$G$3:$G$22-A2815)*(Calc!$G$3:$G$22&gt;B2815)*(Calc!$G$3:$G$22-B2815))</f>
        <v/>
      </c>
      <c r="L2815">
        <f>SUMPRODUCT(Calc!$K$3:$K$22*(Calc!$G$3:$G$22&gt;A2815)*(Calc!$G$3:$G$22-A2815)*Calc!$G$3:$G$22)</f>
        <v/>
      </c>
      <c r="M2815">
        <f>SUMPRODUCT(Calc!$K$3:$K$22*(Calc!$G$3:$G$22&gt;B2815)*(Calc!$G$3:$G$22-B2815)*Calc!$G$3:$G$22)</f>
        <v/>
      </c>
      <c r="N2815">
        <f>SUMPRODUCT(Calc!$K$3:$K$22*(Calc!$G$3:$G$22&gt;A2815)*(Calc!$G$3:$G$22-A2815)*Calc!$I$3:$I$22)</f>
        <v/>
      </c>
      <c r="O2815">
        <f>SUMPRODUCT(Calc!$K$3:$K$22*(Calc!$G$3:$G$22&gt;B2815)*(Calc!$G$3:$G$22-B2815)*Calc!$I$3:$I$22)</f>
        <v/>
      </c>
      <c r="P2815">
        <f>I2815-G2815^2/k_n</f>
        <v/>
      </c>
      <c r="Q2815">
        <f>J2815-H2815^2/k_n</f>
        <v/>
      </c>
      <c r="R2815">
        <f>K2815-G2815*H2815/k_n</f>
        <v/>
      </c>
      <c r="S2815">
        <f>L2815-LTP3!$D$3*G2815/k_n</f>
        <v/>
      </c>
      <c r="T2815">
        <f>M2815-LTP3!$D$3*H2815/k_n</f>
        <v/>
      </c>
      <c r="U2815">
        <f>N2815-G2815*LTP3!$D$4/k_n</f>
        <v/>
      </c>
      <c r="V2815">
        <f>O2815-H2815*LTP3!$D$4/k_n</f>
        <v/>
      </c>
      <c r="W2815">
        <f>((LTP3!$D$5)*((P2815)*(Q2815)-(R2815)*(R2815))-(S2815)*((S2815)*(Q2815)-(R2815)*(T2815))+(T2815)*((S2815)*(R2815)-(P2815)*(T2815)))</f>
        <v/>
      </c>
      <c r="X2815">
        <f>IF(ABS(W2815)&gt;1E-12,((LTP3!$D$6)*((P2815)*(Q2815)-(R2815)*(R2815))-(S2815)*((U2815)*(Q2815)-(R2815)*(V2815))+(T2815)*((U2815)*(R2815)-(P2815)*(V2815)))/W2815,0)</f>
        <v/>
      </c>
      <c r="Y2815">
        <f>IF(ABS(W2815)&gt;1E-12,((LTP3!$D$5)*((U2815)*(Q2815)-(R2815)*(V2815))-(LTP3!$D$6)*((S2815)*(Q2815)-(R2815)*(T2815))+(T2815)*((S2815)*(V2815)-(U2815)*(T2815)))/W2815,0)</f>
        <v/>
      </c>
      <c r="Z2815">
        <f>IF(ABS(W2815)&gt;1E-12,((LTP3!$D$5)*((P2815)*(V2815)-(U2815)*(R2815))-(S2815)*((S2815)*(V2815)-(U2815)*(T2815))+(LTP3!$D$6)*((S2815)*(R2815)-(P2815)*(T2815)))/W2815,0)</f>
        <v/>
      </c>
      <c r="AA2815">
        <f>LTP3!$D$7-X2815*LTP3!$D$6-Y2815*U2815-Z2815*V2815</f>
        <v/>
      </c>
      <c r="AB2815">
        <f>IF(AND(F2815,ABS(W2815)&gt;1E-12,Y2815&gt;0,Z2815&gt;0),AA2815,1E+300)</f>
        <v/>
      </c>
    </row>
    <row r="2816">
      <c r="A2816">
        <f>$B$3+$B$5*45</f>
        <v/>
      </c>
      <c r="B2816">
        <f>$B$3+$B$5*59</f>
        <v/>
      </c>
      <c r="C2816">
        <f>SUMPRODUCT(Calc!$K$3:$K$22*(Calc!$G$3:$G$22&lt;=A2816))</f>
        <v/>
      </c>
      <c r="D2816">
        <f>SUMPRODUCT(Calc!$K$3:$K$22*(Calc!$G$3:$G$22&gt;A2816)*(Calc!$G$3:$G$22&lt;B2816))</f>
        <v/>
      </c>
      <c r="E2816">
        <f>SUMPRODUCT(Calc!$K$3:$K$22*(Calc!$G$3:$G$22&gt;=B2816))</f>
        <v/>
      </c>
      <c r="F2816">
        <f>AND(k_n&gt;=5,B2816&gt;A2816+1E-9,C2816&gt;=2,D2816&gt;=1,E2816&gt;=2)</f>
        <v/>
      </c>
      <c r="G2816">
        <f>SUMPRODUCT(Calc!$K$3:$K$22*(Calc!$G$3:$G$22&gt;A2816)*(Calc!$G$3:$G$22-A2816))</f>
        <v/>
      </c>
      <c r="H2816">
        <f>SUMPRODUCT(Calc!$K$3:$K$22*(Calc!$G$3:$G$22&gt;B2816)*(Calc!$G$3:$G$22-B2816))</f>
        <v/>
      </c>
      <c r="I2816">
        <f>SUMPRODUCT(Calc!$K$3:$K$22*(Calc!$G$3:$G$22&gt;A2816)*(Calc!$G$3:$G$22-A2816)^2)</f>
        <v/>
      </c>
      <c r="J2816">
        <f>SUMPRODUCT(Calc!$K$3:$K$22*(Calc!$G$3:$G$22&gt;B2816)*(Calc!$G$3:$G$22-B2816)^2)</f>
        <v/>
      </c>
      <c r="K2816">
        <f>SUMPRODUCT(Calc!$K$3:$K$22*(Calc!$G$3:$G$22&gt;A2816)*(Calc!$G$3:$G$22-A2816)*(Calc!$G$3:$G$22&gt;B2816)*(Calc!$G$3:$G$22-B2816))</f>
        <v/>
      </c>
      <c r="L2816">
        <f>SUMPRODUCT(Calc!$K$3:$K$22*(Calc!$G$3:$G$22&gt;A2816)*(Calc!$G$3:$G$22-A2816)*Calc!$G$3:$G$22)</f>
        <v/>
      </c>
      <c r="M2816">
        <f>SUMPRODUCT(Calc!$K$3:$K$22*(Calc!$G$3:$G$22&gt;B2816)*(Calc!$G$3:$G$22-B2816)*Calc!$G$3:$G$22)</f>
        <v/>
      </c>
      <c r="N2816">
        <f>SUMPRODUCT(Calc!$K$3:$K$22*(Calc!$G$3:$G$22&gt;A2816)*(Calc!$G$3:$G$22-A2816)*Calc!$I$3:$I$22)</f>
        <v/>
      </c>
      <c r="O2816">
        <f>SUMPRODUCT(Calc!$K$3:$K$22*(Calc!$G$3:$G$22&gt;B2816)*(Calc!$G$3:$G$22-B2816)*Calc!$I$3:$I$22)</f>
        <v/>
      </c>
      <c r="P2816">
        <f>I2816-G2816^2/k_n</f>
        <v/>
      </c>
      <c r="Q2816">
        <f>J2816-H2816^2/k_n</f>
        <v/>
      </c>
      <c r="R2816">
        <f>K2816-G2816*H2816/k_n</f>
        <v/>
      </c>
      <c r="S2816">
        <f>L2816-LTP3!$D$3*G2816/k_n</f>
        <v/>
      </c>
      <c r="T2816">
        <f>M2816-LTP3!$D$3*H2816/k_n</f>
        <v/>
      </c>
      <c r="U2816">
        <f>N2816-G2816*LTP3!$D$4/k_n</f>
        <v/>
      </c>
      <c r="V2816">
        <f>O2816-H2816*LTP3!$D$4/k_n</f>
        <v/>
      </c>
      <c r="W2816">
        <f>((LTP3!$D$5)*((P2816)*(Q2816)-(R2816)*(R2816))-(S2816)*((S2816)*(Q2816)-(R2816)*(T2816))+(T2816)*((S2816)*(R2816)-(P2816)*(T2816)))</f>
        <v/>
      </c>
      <c r="X2816">
        <f>IF(ABS(W2816)&gt;1E-12,((LTP3!$D$6)*((P2816)*(Q2816)-(R2816)*(R2816))-(S2816)*((U2816)*(Q2816)-(R2816)*(V2816))+(T2816)*((U2816)*(R2816)-(P2816)*(V2816)))/W2816,0)</f>
        <v/>
      </c>
      <c r="Y2816">
        <f>IF(ABS(W2816)&gt;1E-12,((LTP3!$D$5)*((U2816)*(Q2816)-(R2816)*(V2816))-(LTP3!$D$6)*((S2816)*(Q2816)-(R2816)*(T2816))+(T2816)*((S2816)*(V2816)-(U2816)*(T2816)))/W2816,0)</f>
        <v/>
      </c>
      <c r="Z2816">
        <f>IF(ABS(W2816)&gt;1E-12,((LTP3!$D$5)*((P2816)*(V2816)-(U2816)*(R2816))-(S2816)*((S2816)*(V2816)-(U2816)*(T2816))+(LTP3!$D$6)*((S2816)*(R2816)-(P2816)*(T2816)))/W2816,0)</f>
        <v/>
      </c>
      <c r="AA2816">
        <f>LTP3!$D$7-X2816*LTP3!$D$6-Y2816*U2816-Z2816*V2816</f>
        <v/>
      </c>
      <c r="AB2816">
        <f>IF(AND(F2816,ABS(W2816)&gt;1E-12,Y2816&gt;0,Z2816&gt;0),AA2816,1E+300)</f>
        <v/>
      </c>
    </row>
    <row r="2817">
      <c r="A2817">
        <f>$B$3+$B$5*45</f>
        <v/>
      </c>
      <c r="B2817">
        <f>$B$3+$B$5*60</f>
        <v/>
      </c>
      <c r="C2817">
        <f>SUMPRODUCT(Calc!$K$3:$K$22*(Calc!$G$3:$G$22&lt;=A2817))</f>
        <v/>
      </c>
      <c r="D2817">
        <f>SUMPRODUCT(Calc!$K$3:$K$22*(Calc!$G$3:$G$22&gt;A2817)*(Calc!$G$3:$G$22&lt;B2817))</f>
        <v/>
      </c>
      <c r="E2817">
        <f>SUMPRODUCT(Calc!$K$3:$K$22*(Calc!$G$3:$G$22&gt;=B2817))</f>
        <v/>
      </c>
      <c r="F2817">
        <f>AND(k_n&gt;=5,B2817&gt;A2817+1E-9,C2817&gt;=2,D2817&gt;=1,E2817&gt;=2)</f>
        <v/>
      </c>
      <c r="G2817">
        <f>SUMPRODUCT(Calc!$K$3:$K$22*(Calc!$G$3:$G$22&gt;A2817)*(Calc!$G$3:$G$22-A2817))</f>
        <v/>
      </c>
      <c r="H2817">
        <f>SUMPRODUCT(Calc!$K$3:$K$22*(Calc!$G$3:$G$22&gt;B2817)*(Calc!$G$3:$G$22-B2817))</f>
        <v/>
      </c>
      <c r="I2817">
        <f>SUMPRODUCT(Calc!$K$3:$K$22*(Calc!$G$3:$G$22&gt;A2817)*(Calc!$G$3:$G$22-A2817)^2)</f>
        <v/>
      </c>
      <c r="J2817">
        <f>SUMPRODUCT(Calc!$K$3:$K$22*(Calc!$G$3:$G$22&gt;B2817)*(Calc!$G$3:$G$22-B2817)^2)</f>
        <v/>
      </c>
      <c r="K2817">
        <f>SUMPRODUCT(Calc!$K$3:$K$22*(Calc!$G$3:$G$22&gt;A2817)*(Calc!$G$3:$G$22-A2817)*(Calc!$G$3:$G$22&gt;B2817)*(Calc!$G$3:$G$22-B2817))</f>
        <v/>
      </c>
      <c r="L2817">
        <f>SUMPRODUCT(Calc!$K$3:$K$22*(Calc!$G$3:$G$22&gt;A2817)*(Calc!$G$3:$G$22-A2817)*Calc!$G$3:$G$22)</f>
        <v/>
      </c>
      <c r="M2817">
        <f>SUMPRODUCT(Calc!$K$3:$K$22*(Calc!$G$3:$G$22&gt;B2817)*(Calc!$G$3:$G$22-B2817)*Calc!$G$3:$G$22)</f>
        <v/>
      </c>
      <c r="N2817">
        <f>SUMPRODUCT(Calc!$K$3:$K$22*(Calc!$G$3:$G$22&gt;A2817)*(Calc!$G$3:$G$22-A2817)*Calc!$I$3:$I$22)</f>
        <v/>
      </c>
      <c r="O2817">
        <f>SUMPRODUCT(Calc!$K$3:$K$22*(Calc!$G$3:$G$22&gt;B2817)*(Calc!$G$3:$G$22-B2817)*Calc!$I$3:$I$22)</f>
        <v/>
      </c>
      <c r="P2817">
        <f>I2817-G2817^2/k_n</f>
        <v/>
      </c>
      <c r="Q2817">
        <f>J2817-H2817^2/k_n</f>
        <v/>
      </c>
      <c r="R2817">
        <f>K2817-G2817*H2817/k_n</f>
        <v/>
      </c>
      <c r="S2817">
        <f>L2817-LTP3!$D$3*G2817/k_n</f>
        <v/>
      </c>
      <c r="T2817">
        <f>M2817-LTP3!$D$3*H2817/k_n</f>
        <v/>
      </c>
      <c r="U2817">
        <f>N2817-G2817*LTP3!$D$4/k_n</f>
        <v/>
      </c>
      <c r="V2817">
        <f>O2817-H2817*LTP3!$D$4/k_n</f>
        <v/>
      </c>
      <c r="W2817">
        <f>((LTP3!$D$5)*((P2817)*(Q2817)-(R2817)*(R2817))-(S2817)*((S2817)*(Q2817)-(R2817)*(T2817))+(T2817)*((S2817)*(R2817)-(P2817)*(T2817)))</f>
        <v/>
      </c>
      <c r="X2817">
        <f>IF(ABS(W2817)&gt;1E-12,((LTP3!$D$6)*((P2817)*(Q2817)-(R2817)*(R2817))-(S2817)*((U2817)*(Q2817)-(R2817)*(V2817))+(T2817)*((U2817)*(R2817)-(P2817)*(V2817)))/W2817,0)</f>
        <v/>
      </c>
      <c r="Y2817">
        <f>IF(ABS(W2817)&gt;1E-12,((LTP3!$D$5)*((U2817)*(Q2817)-(R2817)*(V2817))-(LTP3!$D$6)*((S2817)*(Q2817)-(R2817)*(T2817))+(T2817)*((S2817)*(V2817)-(U2817)*(T2817)))/W2817,0)</f>
        <v/>
      </c>
      <c r="Z2817">
        <f>IF(ABS(W2817)&gt;1E-12,((LTP3!$D$5)*((P2817)*(V2817)-(U2817)*(R2817))-(S2817)*((S2817)*(V2817)-(U2817)*(T2817))+(LTP3!$D$6)*((S2817)*(R2817)-(P2817)*(T2817)))/W2817,0)</f>
        <v/>
      </c>
      <c r="AA2817">
        <f>LTP3!$D$7-X2817*LTP3!$D$6-Y2817*U2817-Z2817*V2817</f>
        <v/>
      </c>
      <c r="AB2817">
        <f>IF(AND(F2817,ABS(W2817)&gt;1E-12,Y2817&gt;0,Z2817&gt;0),AA2817,1E+300)</f>
        <v/>
      </c>
    </row>
    <row r="2818">
      <c r="A2818">
        <f>$B$3+$B$5*46</f>
        <v/>
      </c>
      <c r="B2818">
        <f>$B$3+$B$5*0</f>
        <v/>
      </c>
      <c r="C2818">
        <f>SUMPRODUCT(Calc!$K$3:$K$22*(Calc!$G$3:$G$22&lt;=A2818))</f>
        <v/>
      </c>
      <c r="D2818">
        <f>SUMPRODUCT(Calc!$K$3:$K$22*(Calc!$G$3:$G$22&gt;A2818)*(Calc!$G$3:$G$22&lt;B2818))</f>
        <v/>
      </c>
      <c r="E2818">
        <f>SUMPRODUCT(Calc!$K$3:$K$22*(Calc!$G$3:$G$22&gt;=B2818))</f>
        <v/>
      </c>
      <c r="F2818">
        <f>AND(k_n&gt;=5,B2818&gt;A2818+1E-9,C2818&gt;=2,D2818&gt;=1,E2818&gt;=2)</f>
        <v/>
      </c>
      <c r="G2818">
        <f>SUMPRODUCT(Calc!$K$3:$K$22*(Calc!$G$3:$G$22&gt;A2818)*(Calc!$G$3:$G$22-A2818))</f>
        <v/>
      </c>
      <c r="H2818">
        <f>SUMPRODUCT(Calc!$K$3:$K$22*(Calc!$G$3:$G$22&gt;B2818)*(Calc!$G$3:$G$22-B2818))</f>
        <v/>
      </c>
      <c r="I2818">
        <f>SUMPRODUCT(Calc!$K$3:$K$22*(Calc!$G$3:$G$22&gt;A2818)*(Calc!$G$3:$G$22-A2818)^2)</f>
        <v/>
      </c>
      <c r="J2818">
        <f>SUMPRODUCT(Calc!$K$3:$K$22*(Calc!$G$3:$G$22&gt;B2818)*(Calc!$G$3:$G$22-B2818)^2)</f>
        <v/>
      </c>
      <c r="K2818">
        <f>SUMPRODUCT(Calc!$K$3:$K$22*(Calc!$G$3:$G$22&gt;A2818)*(Calc!$G$3:$G$22-A2818)*(Calc!$G$3:$G$22&gt;B2818)*(Calc!$G$3:$G$22-B2818))</f>
        <v/>
      </c>
      <c r="L2818">
        <f>SUMPRODUCT(Calc!$K$3:$K$22*(Calc!$G$3:$G$22&gt;A2818)*(Calc!$G$3:$G$22-A2818)*Calc!$G$3:$G$22)</f>
        <v/>
      </c>
      <c r="M2818">
        <f>SUMPRODUCT(Calc!$K$3:$K$22*(Calc!$G$3:$G$22&gt;B2818)*(Calc!$G$3:$G$22-B2818)*Calc!$G$3:$G$22)</f>
        <v/>
      </c>
      <c r="N2818">
        <f>SUMPRODUCT(Calc!$K$3:$K$22*(Calc!$G$3:$G$22&gt;A2818)*(Calc!$G$3:$G$22-A2818)*Calc!$I$3:$I$22)</f>
        <v/>
      </c>
      <c r="O2818">
        <f>SUMPRODUCT(Calc!$K$3:$K$22*(Calc!$G$3:$G$22&gt;B2818)*(Calc!$G$3:$G$22-B2818)*Calc!$I$3:$I$22)</f>
        <v/>
      </c>
      <c r="P2818">
        <f>I2818-G2818^2/k_n</f>
        <v/>
      </c>
      <c r="Q2818">
        <f>J2818-H2818^2/k_n</f>
        <v/>
      </c>
      <c r="R2818">
        <f>K2818-G2818*H2818/k_n</f>
        <v/>
      </c>
      <c r="S2818">
        <f>L2818-LTP3!$D$3*G2818/k_n</f>
        <v/>
      </c>
      <c r="T2818">
        <f>M2818-LTP3!$D$3*H2818/k_n</f>
        <v/>
      </c>
      <c r="U2818">
        <f>N2818-G2818*LTP3!$D$4/k_n</f>
        <v/>
      </c>
      <c r="V2818">
        <f>O2818-H2818*LTP3!$D$4/k_n</f>
        <v/>
      </c>
      <c r="W2818">
        <f>((LTP3!$D$5)*((P2818)*(Q2818)-(R2818)*(R2818))-(S2818)*((S2818)*(Q2818)-(R2818)*(T2818))+(T2818)*((S2818)*(R2818)-(P2818)*(T2818)))</f>
        <v/>
      </c>
      <c r="X2818">
        <f>IF(ABS(W2818)&gt;1E-12,((LTP3!$D$6)*((P2818)*(Q2818)-(R2818)*(R2818))-(S2818)*((U2818)*(Q2818)-(R2818)*(V2818))+(T2818)*((U2818)*(R2818)-(P2818)*(V2818)))/W2818,0)</f>
        <v/>
      </c>
      <c r="Y2818">
        <f>IF(ABS(W2818)&gt;1E-12,((LTP3!$D$5)*((U2818)*(Q2818)-(R2818)*(V2818))-(LTP3!$D$6)*((S2818)*(Q2818)-(R2818)*(T2818))+(T2818)*((S2818)*(V2818)-(U2818)*(T2818)))/W2818,0)</f>
        <v/>
      </c>
      <c r="Z2818">
        <f>IF(ABS(W2818)&gt;1E-12,((LTP3!$D$5)*((P2818)*(V2818)-(U2818)*(R2818))-(S2818)*((S2818)*(V2818)-(U2818)*(T2818))+(LTP3!$D$6)*((S2818)*(R2818)-(P2818)*(T2818)))/W2818,0)</f>
        <v/>
      </c>
      <c r="AA2818">
        <f>LTP3!$D$7-X2818*LTP3!$D$6-Y2818*U2818-Z2818*V2818</f>
        <v/>
      </c>
      <c r="AB2818">
        <f>IF(AND(F2818,ABS(W2818)&gt;1E-12,Y2818&gt;0,Z2818&gt;0),AA2818,1E+300)</f>
        <v/>
      </c>
    </row>
    <row r="2819">
      <c r="A2819">
        <f>$B$3+$B$5*46</f>
        <v/>
      </c>
      <c r="B2819">
        <f>$B$3+$B$5*1</f>
        <v/>
      </c>
      <c r="C2819">
        <f>SUMPRODUCT(Calc!$K$3:$K$22*(Calc!$G$3:$G$22&lt;=A2819))</f>
        <v/>
      </c>
      <c r="D2819">
        <f>SUMPRODUCT(Calc!$K$3:$K$22*(Calc!$G$3:$G$22&gt;A2819)*(Calc!$G$3:$G$22&lt;B2819))</f>
        <v/>
      </c>
      <c r="E2819">
        <f>SUMPRODUCT(Calc!$K$3:$K$22*(Calc!$G$3:$G$22&gt;=B2819))</f>
        <v/>
      </c>
      <c r="F2819">
        <f>AND(k_n&gt;=5,B2819&gt;A2819+1E-9,C2819&gt;=2,D2819&gt;=1,E2819&gt;=2)</f>
        <v/>
      </c>
      <c r="G2819">
        <f>SUMPRODUCT(Calc!$K$3:$K$22*(Calc!$G$3:$G$22&gt;A2819)*(Calc!$G$3:$G$22-A2819))</f>
        <v/>
      </c>
      <c r="H2819">
        <f>SUMPRODUCT(Calc!$K$3:$K$22*(Calc!$G$3:$G$22&gt;B2819)*(Calc!$G$3:$G$22-B2819))</f>
        <v/>
      </c>
      <c r="I2819">
        <f>SUMPRODUCT(Calc!$K$3:$K$22*(Calc!$G$3:$G$22&gt;A2819)*(Calc!$G$3:$G$22-A2819)^2)</f>
        <v/>
      </c>
      <c r="J2819">
        <f>SUMPRODUCT(Calc!$K$3:$K$22*(Calc!$G$3:$G$22&gt;B2819)*(Calc!$G$3:$G$22-B2819)^2)</f>
        <v/>
      </c>
      <c r="K2819">
        <f>SUMPRODUCT(Calc!$K$3:$K$22*(Calc!$G$3:$G$22&gt;A2819)*(Calc!$G$3:$G$22-A2819)*(Calc!$G$3:$G$22&gt;B2819)*(Calc!$G$3:$G$22-B2819))</f>
        <v/>
      </c>
      <c r="L2819">
        <f>SUMPRODUCT(Calc!$K$3:$K$22*(Calc!$G$3:$G$22&gt;A2819)*(Calc!$G$3:$G$22-A2819)*Calc!$G$3:$G$22)</f>
        <v/>
      </c>
      <c r="M2819">
        <f>SUMPRODUCT(Calc!$K$3:$K$22*(Calc!$G$3:$G$22&gt;B2819)*(Calc!$G$3:$G$22-B2819)*Calc!$G$3:$G$22)</f>
        <v/>
      </c>
      <c r="N2819">
        <f>SUMPRODUCT(Calc!$K$3:$K$22*(Calc!$G$3:$G$22&gt;A2819)*(Calc!$G$3:$G$22-A2819)*Calc!$I$3:$I$22)</f>
        <v/>
      </c>
      <c r="O2819">
        <f>SUMPRODUCT(Calc!$K$3:$K$22*(Calc!$G$3:$G$22&gt;B2819)*(Calc!$G$3:$G$22-B2819)*Calc!$I$3:$I$22)</f>
        <v/>
      </c>
      <c r="P2819">
        <f>I2819-G2819^2/k_n</f>
        <v/>
      </c>
      <c r="Q2819">
        <f>J2819-H2819^2/k_n</f>
        <v/>
      </c>
      <c r="R2819">
        <f>K2819-G2819*H2819/k_n</f>
        <v/>
      </c>
      <c r="S2819">
        <f>L2819-LTP3!$D$3*G2819/k_n</f>
        <v/>
      </c>
      <c r="T2819">
        <f>M2819-LTP3!$D$3*H2819/k_n</f>
        <v/>
      </c>
      <c r="U2819">
        <f>N2819-G2819*LTP3!$D$4/k_n</f>
        <v/>
      </c>
      <c r="V2819">
        <f>O2819-H2819*LTP3!$D$4/k_n</f>
        <v/>
      </c>
      <c r="W2819">
        <f>((LTP3!$D$5)*((P2819)*(Q2819)-(R2819)*(R2819))-(S2819)*((S2819)*(Q2819)-(R2819)*(T2819))+(T2819)*((S2819)*(R2819)-(P2819)*(T2819)))</f>
        <v/>
      </c>
      <c r="X2819">
        <f>IF(ABS(W2819)&gt;1E-12,((LTP3!$D$6)*((P2819)*(Q2819)-(R2819)*(R2819))-(S2819)*((U2819)*(Q2819)-(R2819)*(V2819))+(T2819)*((U2819)*(R2819)-(P2819)*(V2819)))/W2819,0)</f>
        <v/>
      </c>
      <c r="Y2819">
        <f>IF(ABS(W2819)&gt;1E-12,((LTP3!$D$5)*((U2819)*(Q2819)-(R2819)*(V2819))-(LTP3!$D$6)*((S2819)*(Q2819)-(R2819)*(T2819))+(T2819)*((S2819)*(V2819)-(U2819)*(T2819)))/W2819,0)</f>
        <v/>
      </c>
      <c r="Z2819">
        <f>IF(ABS(W2819)&gt;1E-12,((LTP3!$D$5)*((P2819)*(V2819)-(U2819)*(R2819))-(S2819)*((S2819)*(V2819)-(U2819)*(T2819))+(LTP3!$D$6)*((S2819)*(R2819)-(P2819)*(T2819)))/W2819,0)</f>
        <v/>
      </c>
      <c r="AA2819">
        <f>LTP3!$D$7-X2819*LTP3!$D$6-Y2819*U2819-Z2819*V2819</f>
        <v/>
      </c>
      <c r="AB2819">
        <f>IF(AND(F2819,ABS(W2819)&gt;1E-12,Y2819&gt;0,Z2819&gt;0),AA2819,1E+300)</f>
        <v/>
      </c>
    </row>
    <row r="2820">
      <c r="A2820">
        <f>$B$3+$B$5*46</f>
        <v/>
      </c>
      <c r="B2820">
        <f>$B$3+$B$5*2</f>
        <v/>
      </c>
      <c r="C2820">
        <f>SUMPRODUCT(Calc!$K$3:$K$22*(Calc!$G$3:$G$22&lt;=A2820))</f>
        <v/>
      </c>
      <c r="D2820">
        <f>SUMPRODUCT(Calc!$K$3:$K$22*(Calc!$G$3:$G$22&gt;A2820)*(Calc!$G$3:$G$22&lt;B2820))</f>
        <v/>
      </c>
      <c r="E2820">
        <f>SUMPRODUCT(Calc!$K$3:$K$22*(Calc!$G$3:$G$22&gt;=B2820))</f>
        <v/>
      </c>
      <c r="F2820">
        <f>AND(k_n&gt;=5,B2820&gt;A2820+1E-9,C2820&gt;=2,D2820&gt;=1,E2820&gt;=2)</f>
        <v/>
      </c>
      <c r="G2820">
        <f>SUMPRODUCT(Calc!$K$3:$K$22*(Calc!$G$3:$G$22&gt;A2820)*(Calc!$G$3:$G$22-A2820))</f>
        <v/>
      </c>
      <c r="H2820">
        <f>SUMPRODUCT(Calc!$K$3:$K$22*(Calc!$G$3:$G$22&gt;B2820)*(Calc!$G$3:$G$22-B2820))</f>
        <v/>
      </c>
      <c r="I2820">
        <f>SUMPRODUCT(Calc!$K$3:$K$22*(Calc!$G$3:$G$22&gt;A2820)*(Calc!$G$3:$G$22-A2820)^2)</f>
        <v/>
      </c>
      <c r="J2820">
        <f>SUMPRODUCT(Calc!$K$3:$K$22*(Calc!$G$3:$G$22&gt;B2820)*(Calc!$G$3:$G$22-B2820)^2)</f>
        <v/>
      </c>
      <c r="K2820">
        <f>SUMPRODUCT(Calc!$K$3:$K$22*(Calc!$G$3:$G$22&gt;A2820)*(Calc!$G$3:$G$22-A2820)*(Calc!$G$3:$G$22&gt;B2820)*(Calc!$G$3:$G$22-B2820))</f>
        <v/>
      </c>
      <c r="L2820">
        <f>SUMPRODUCT(Calc!$K$3:$K$22*(Calc!$G$3:$G$22&gt;A2820)*(Calc!$G$3:$G$22-A2820)*Calc!$G$3:$G$22)</f>
        <v/>
      </c>
      <c r="M2820">
        <f>SUMPRODUCT(Calc!$K$3:$K$22*(Calc!$G$3:$G$22&gt;B2820)*(Calc!$G$3:$G$22-B2820)*Calc!$G$3:$G$22)</f>
        <v/>
      </c>
      <c r="N2820">
        <f>SUMPRODUCT(Calc!$K$3:$K$22*(Calc!$G$3:$G$22&gt;A2820)*(Calc!$G$3:$G$22-A2820)*Calc!$I$3:$I$22)</f>
        <v/>
      </c>
      <c r="O2820">
        <f>SUMPRODUCT(Calc!$K$3:$K$22*(Calc!$G$3:$G$22&gt;B2820)*(Calc!$G$3:$G$22-B2820)*Calc!$I$3:$I$22)</f>
        <v/>
      </c>
      <c r="P2820">
        <f>I2820-G2820^2/k_n</f>
        <v/>
      </c>
      <c r="Q2820">
        <f>J2820-H2820^2/k_n</f>
        <v/>
      </c>
      <c r="R2820">
        <f>K2820-G2820*H2820/k_n</f>
        <v/>
      </c>
      <c r="S2820">
        <f>L2820-LTP3!$D$3*G2820/k_n</f>
        <v/>
      </c>
      <c r="T2820">
        <f>M2820-LTP3!$D$3*H2820/k_n</f>
        <v/>
      </c>
      <c r="U2820">
        <f>N2820-G2820*LTP3!$D$4/k_n</f>
        <v/>
      </c>
      <c r="V2820">
        <f>O2820-H2820*LTP3!$D$4/k_n</f>
        <v/>
      </c>
      <c r="W2820">
        <f>((LTP3!$D$5)*((P2820)*(Q2820)-(R2820)*(R2820))-(S2820)*((S2820)*(Q2820)-(R2820)*(T2820))+(T2820)*((S2820)*(R2820)-(P2820)*(T2820)))</f>
        <v/>
      </c>
      <c r="X2820">
        <f>IF(ABS(W2820)&gt;1E-12,((LTP3!$D$6)*((P2820)*(Q2820)-(R2820)*(R2820))-(S2820)*((U2820)*(Q2820)-(R2820)*(V2820))+(T2820)*((U2820)*(R2820)-(P2820)*(V2820)))/W2820,0)</f>
        <v/>
      </c>
      <c r="Y2820">
        <f>IF(ABS(W2820)&gt;1E-12,((LTP3!$D$5)*((U2820)*(Q2820)-(R2820)*(V2820))-(LTP3!$D$6)*((S2820)*(Q2820)-(R2820)*(T2820))+(T2820)*((S2820)*(V2820)-(U2820)*(T2820)))/W2820,0)</f>
        <v/>
      </c>
      <c r="Z2820">
        <f>IF(ABS(W2820)&gt;1E-12,((LTP3!$D$5)*((P2820)*(V2820)-(U2820)*(R2820))-(S2820)*((S2820)*(V2820)-(U2820)*(T2820))+(LTP3!$D$6)*((S2820)*(R2820)-(P2820)*(T2820)))/W2820,0)</f>
        <v/>
      </c>
      <c r="AA2820">
        <f>LTP3!$D$7-X2820*LTP3!$D$6-Y2820*U2820-Z2820*V2820</f>
        <v/>
      </c>
      <c r="AB2820">
        <f>IF(AND(F2820,ABS(W2820)&gt;1E-12,Y2820&gt;0,Z2820&gt;0),AA2820,1E+300)</f>
        <v/>
      </c>
    </row>
    <row r="2821">
      <c r="A2821">
        <f>$B$3+$B$5*46</f>
        <v/>
      </c>
      <c r="B2821">
        <f>$B$3+$B$5*3</f>
        <v/>
      </c>
      <c r="C2821">
        <f>SUMPRODUCT(Calc!$K$3:$K$22*(Calc!$G$3:$G$22&lt;=A2821))</f>
        <v/>
      </c>
      <c r="D2821">
        <f>SUMPRODUCT(Calc!$K$3:$K$22*(Calc!$G$3:$G$22&gt;A2821)*(Calc!$G$3:$G$22&lt;B2821))</f>
        <v/>
      </c>
      <c r="E2821">
        <f>SUMPRODUCT(Calc!$K$3:$K$22*(Calc!$G$3:$G$22&gt;=B2821))</f>
        <v/>
      </c>
      <c r="F2821">
        <f>AND(k_n&gt;=5,B2821&gt;A2821+1E-9,C2821&gt;=2,D2821&gt;=1,E2821&gt;=2)</f>
        <v/>
      </c>
      <c r="G2821">
        <f>SUMPRODUCT(Calc!$K$3:$K$22*(Calc!$G$3:$G$22&gt;A2821)*(Calc!$G$3:$G$22-A2821))</f>
        <v/>
      </c>
      <c r="H2821">
        <f>SUMPRODUCT(Calc!$K$3:$K$22*(Calc!$G$3:$G$22&gt;B2821)*(Calc!$G$3:$G$22-B2821))</f>
        <v/>
      </c>
      <c r="I2821">
        <f>SUMPRODUCT(Calc!$K$3:$K$22*(Calc!$G$3:$G$22&gt;A2821)*(Calc!$G$3:$G$22-A2821)^2)</f>
        <v/>
      </c>
      <c r="J2821">
        <f>SUMPRODUCT(Calc!$K$3:$K$22*(Calc!$G$3:$G$22&gt;B2821)*(Calc!$G$3:$G$22-B2821)^2)</f>
        <v/>
      </c>
      <c r="K2821">
        <f>SUMPRODUCT(Calc!$K$3:$K$22*(Calc!$G$3:$G$22&gt;A2821)*(Calc!$G$3:$G$22-A2821)*(Calc!$G$3:$G$22&gt;B2821)*(Calc!$G$3:$G$22-B2821))</f>
        <v/>
      </c>
      <c r="L2821">
        <f>SUMPRODUCT(Calc!$K$3:$K$22*(Calc!$G$3:$G$22&gt;A2821)*(Calc!$G$3:$G$22-A2821)*Calc!$G$3:$G$22)</f>
        <v/>
      </c>
      <c r="M2821">
        <f>SUMPRODUCT(Calc!$K$3:$K$22*(Calc!$G$3:$G$22&gt;B2821)*(Calc!$G$3:$G$22-B2821)*Calc!$G$3:$G$22)</f>
        <v/>
      </c>
      <c r="N2821">
        <f>SUMPRODUCT(Calc!$K$3:$K$22*(Calc!$G$3:$G$22&gt;A2821)*(Calc!$G$3:$G$22-A2821)*Calc!$I$3:$I$22)</f>
        <v/>
      </c>
      <c r="O2821">
        <f>SUMPRODUCT(Calc!$K$3:$K$22*(Calc!$G$3:$G$22&gt;B2821)*(Calc!$G$3:$G$22-B2821)*Calc!$I$3:$I$22)</f>
        <v/>
      </c>
      <c r="P2821">
        <f>I2821-G2821^2/k_n</f>
        <v/>
      </c>
      <c r="Q2821">
        <f>J2821-H2821^2/k_n</f>
        <v/>
      </c>
      <c r="R2821">
        <f>K2821-G2821*H2821/k_n</f>
        <v/>
      </c>
      <c r="S2821">
        <f>L2821-LTP3!$D$3*G2821/k_n</f>
        <v/>
      </c>
      <c r="T2821">
        <f>M2821-LTP3!$D$3*H2821/k_n</f>
        <v/>
      </c>
      <c r="U2821">
        <f>N2821-G2821*LTP3!$D$4/k_n</f>
        <v/>
      </c>
      <c r="V2821">
        <f>O2821-H2821*LTP3!$D$4/k_n</f>
        <v/>
      </c>
      <c r="W2821">
        <f>((LTP3!$D$5)*((P2821)*(Q2821)-(R2821)*(R2821))-(S2821)*((S2821)*(Q2821)-(R2821)*(T2821))+(T2821)*((S2821)*(R2821)-(P2821)*(T2821)))</f>
        <v/>
      </c>
      <c r="X2821">
        <f>IF(ABS(W2821)&gt;1E-12,((LTP3!$D$6)*((P2821)*(Q2821)-(R2821)*(R2821))-(S2821)*((U2821)*(Q2821)-(R2821)*(V2821))+(T2821)*((U2821)*(R2821)-(P2821)*(V2821)))/W2821,0)</f>
        <v/>
      </c>
      <c r="Y2821">
        <f>IF(ABS(W2821)&gt;1E-12,((LTP3!$D$5)*((U2821)*(Q2821)-(R2821)*(V2821))-(LTP3!$D$6)*((S2821)*(Q2821)-(R2821)*(T2821))+(T2821)*((S2821)*(V2821)-(U2821)*(T2821)))/W2821,0)</f>
        <v/>
      </c>
      <c r="Z2821">
        <f>IF(ABS(W2821)&gt;1E-12,((LTP3!$D$5)*((P2821)*(V2821)-(U2821)*(R2821))-(S2821)*((S2821)*(V2821)-(U2821)*(T2821))+(LTP3!$D$6)*((S2821)*(R2821)-(P2821)*(T2821)))/W2821,0)</f>
        <v/>
      </c>
      <c r="AA2821">
        <f>LTP3!$D$7-X2821*LTP3!$D$6-Y2821*U2821-Z2821*V2821</f>
        <v/>
      </c>
      <c r="AB2821">
        <f>IF(AND(F2821,ABS(W2821)&gt;1E-12,Y2821&gt;0,Z2821&gt;0),AA2821,1E+300)</f>
        <v/>
      </c>
    </row>
    <row r="2822">
      <c r="A2822">
        <f>$B$3+$B$5*46</f>
        <v/>
      </c>
      <c r="B2822">
        <f>$B$3+$B$5*4</f>
        <v/>
      </c>
      <c r="C2822">
        <f>SUMPRODUCT(Calc!$K$3:$K$22*(Calc!$G$3:$G$22&lt;=A2822))</f>
        <v/>
      </c>
      <c r="D2822">
        <f>SUMPRODUCT(Calc!$K$3:$K$22*(Calc!$G$3:$G$22&gt;A2822)*(Calc!$G$3:$G$22&lt;B2822))</f>
        <v/>
      </c>
      <c r="E2822">
        <f>SUMPRODUCT(Calc!$K$3:$K$22*(Calc!$G$3:$G$22&gt;=B2822))</f>
        <v/>
      </c>
      <c r="F2822">
        <f>AND(k_n&gt;=5,B2822&gt;A2822+1E-9,C2822&gt;=2,D2822&gt;=1,E2822&gt;=2)</f>
        <v/>
      </c>
      <c r="G2822">
        <f>SUMPRODUCT(Calc!$K$3:$K$22*(Calc!$G$3:$G$22&gt;A2822)*(Calc!$G$3:$G$22-A2822))</f>
        <v/>
      </c>
      <c r="H2822">
        <f>SUMPRODUCT(Calc!$K$3:$K$22*(Calc!$G$3:$G$22&gt;B2822)*(Calc!$G$3:$G$22-B2822))</f>
        <v/>
      </c>
      <c r="I2822">
        <f>SUMPRODUCT(Calc!$K$3:$K$22*(Calc!$G$3:$G$22&gt;A2822)*(Calc!$G$3:$G$22-A2822)^2)</f>
        <v/>
      </c>
      <c r="J2822">
        <f>SUMPRODUCT(Calc!$K$3:$K$22*(Calc!$G$3:$G$22&gt;B2822)*(Calc!$G$3:$G$22-B2822)^2)</f>
        <v/>
      </c>
      <c r="K2822">
        <f>SUMPRODUCT(Calc!$K$3:$K$22*(Calc!$G$3:$G$22&gt;A2822)*(Calc!$G$3:$G$22-A2822)*(Calc!$G$3:$G$22&gt;B2822)*(Calc!$G$3:$G$22-B2822))</f>
        <v/>
      </c>
      <c r="L2822">
        <f>SUMPRODUCT(Calc!$K$3:$K$22*(Calc!$G$3:$G$22&gt;A2822)*(Calc!$G$3:$G$22-A2822)*Calc!$G$3:$G$22)</f>
        <v/>
      </c>
      <c r="M2822">
        <f>SUMPRODUCT(Calc!$K$3:$K$22*(Calc!$G$3:$G$22&gt;B2822)*(Calc!$G$3:$G$22-B2822)*Calc!$G$3:$G$22)</f>
        <v/>
      </c>
      <c r="N2822">
        <f>SUMPRODUCT(Calc!$K$3:$K$22*(Calc!$G$3:$G$22&gt;A2822)*(Calc!$G$3:$G$22-A2822)*Calc!$I$3:$I$22)</f>
        <v/>
      </c>
      <c r="O2822">
        <f>SUMPRODUCT(Calc!$K$3:$K$22*(Calc!$G$3:$G$22&gt;B2822)*(Calc!$G$3:$G$22-B2822)*Calc!$I$3:$I$22)</f>
        <v/>
      </c>
      <c r="P2822">
        <f>I2822-G2822^2/k_n</f>
        <v/>
      </c>
      <c r="Q2822">
        <f>J2822-H2822^2/k_n</f>
        <v/>
      </c>
      <c r="R2822">
        <f>K2822-G2822*H2822/k_n</f>
        <v/>
      </c>
      <c r="S2822">
        <f>L2822-LTP3!$D$3*G2822/k_n</f>
        <v/>
      </c>
      <c r="T2822">
        <f>M2822-LTP3!$D$3*H2822/k_n</f>
        <v/>
      </c>
      <c r="U2822">
        <f>N2822-G2822*LTP3!$D$4/k_n</f>
        <v/>
      </c>
      <c r="V2822">
        <f>O2822-H2822*LTP3!$D$4/k_n</f>
        <v/>
      </c>
      <c r="W2822">
        <f>((LTP3!$D$5)*((P2822)*(Q2822)-(R2822)*(R2822))-(S2822)*((S2822)*(Q2822)-(R2822)*(T2822))+(T2822)*((S2822)*(R2822)-(P2822)*(T2822)))</f>
        <v/>
      </c>
      <c r="X2822">
        <f>IF(ABS(W2822)&gt;1E-12,((LTP3!$D$6)*((P2822)*(Q2822)-(R2822)*(R2822))-(S2822)*((U2822)*(Q2822)-(R2822)*(V2822))+(T2822)*((U2822)*(R2822)-(P2822)*(V2822)))/W2822,0)</f>
        <v/>
      </c>
      <c r="Y2822">
        <f>IF(ABS(W2822)&gt;1E-12,((LTP3!$D$5)*((U2822)*(Q2822)-(R2822)*(V2822))-(LTP3!$D$6)*((S2822)*(Q2822)-(R2822)*(T2822))+(T2822)*((S2822)*(V2822)-(U2822)*(T2822)))/W2822,0)</f>
        <v/>
      </c>
      <c r="Z2822">
        <f>IF(ABS(W2822)&gt;1E-12,((LTP3!$D$5)*((P2822)*(V2822)-(U2822)*(R2822))-(S2822)*((S2822)*(V2822)-(U2822)*(T2822))+(LTP3!$D$6)*((S2822)*(R2822)-(P2822)*(T2822)))/W2822,0)</f>
        <v/>
      </c>
      <c r="AA2822">
        <f>LTP3!$D$7-X2822*LTP3!$D$6-Y2822*U2822-Z2822*V2822</f>
        <v/>
      </c>
      <c r="AB2822">
        <f>IF(AND(F2822,ABS(W2822)&gt;1E-12,Y2822&gt;0,Z2822&gt;0),AA2822,1E+300)</f>
        <v/>
      </c>
    </row>
    <row r="2823">
      <c r="A2823">
        <f>$B$3+$B$5*46</f>
        <v/>
      </c>
      <c r="B2823">
        <f>$B$3+$B$5*5</f>
        <v/>
      </c>
      <c r="C2823">
        <f>SUMPRODUCT(Calc!$K$3:$K$22*(Calc!$G$3:$G$22&lt;=A2823))</f>
        <v/>
      </c>
      <c r="D2823">
        <f>SUMPRODUCT(Calc!$K$3:$K$22*(Calc!$G$3:$G$22&gt;A2823)*(Calc!$G$3:$G$22&lt;B2823))</f>
        <v/>
      </c>
      <c r="E2823">
        <f>SUMPRODUCT(Calc!$K$3:$K$22*(Calc!$G$3:$G$22&gt;=B2823))</f>
        <v/>
      </c>
      <c r="F2823">
        <f>AND(k_n&gt;=5,B2823&gt;A2823+1E-9,C2823&gt;=2,D2823&gt;=1,E2823&gt;=2)</f>
        <v/>
      </c>
      <c r="G2823">
        <f>SUMPRODUCT(Calc!$K$3:$K$22*(Calc!$G$3:$G$22&gt;A2823)*(Calc!$G$3:$G$22-A2823))</f>
        <v/>
      </c>
      <c r="H2823">
        <f>SUMPRODUCT(Calc!$K$3:$K$22*(Calc!$G$3:$G$22&gt;B2823)*(Calc!$G$3:$G$22-B2823))</f>
        <v/>
      </c>
      <c r="I2823">
        <f>SUMPRODUCT(Calc!$K$3:$K$22*(Calc!$G$3:$G$22&gt;A2823)*(Calc!$G$3:$G$22-A2823)^2)</f>
        <v/>
      </c>
      <c r="J2823">
        <f>SUMPRODUCT(Calc!$K$3:$K$22*(Calc!$G$3:$G$22&gt;B2823)*(Calc!$G$3:$G$22-B2823)^2)</f>
        <v/>
      </c>
      <c r="K2823">
        <f>SUMPRODUCT(Calc!$K$3:$K$22*(Calc!$G$3:$G$22&gt;A2823)*(Calc!$G$3:$G$22-A2823)*(Calc!$G$3:$G$22&gt;B2823)*(Calc!$G$3:$G$22-B2823))</f>
        <v/>
      </c>
      <c r="L2823">
        <f>SUMPRODUCT(Calc!$K$3:$K$22*(Calc!$G$3:$G$22&gt;A2823)*(Calc!$G$3:$G$22-A2823)*Calc!$G$3:$G$22)</f>
        <v/>
      </c>
      <c r="M2823">
        <f>SUMPRODUCT(Calc!$K$3:$K$22*(Calc!$G$3:$G$22&gt;B2823)*(Calc!$G$3:$G$22-B2823)*Calc!$G$3:$G$22)</f>
        <v/>
      </c>
      <c r="N2823">
        <f>SUMPRODUCT(Calc!$K$3:$K$22*(Calc!$G$3:$G$22&gt;A2823)*(Calc!$G$3:$G$22-A2823)*Calc!$I$3:$I$22)</f>
        <v/>
      </c>
      <c r="O2823">
        <f>SUMPRODUCT(Calc!$K$3:$K$22*(Calc!$G$3:$G$22&gt;B2823)*(Calc!$G$3:$G$22-B2823)*Calc!$I$3:$I$22)</f>
        <v/>
      </c>
      <c r="P2823">
        <f>I2823-G2823^2/k_n</f>
        <v/>
      </c>
      <c r="Q2823">
        <f>J2823-H2823^2/k_n</f>
        <v/>
      </c>
      <c r="R2823">
        <f>K2823-G2823*H2823/k_n</f>
        <v/>
      </c>
      <c r="S2823">
        <f>L2823-LTP3!$D$3*G2823/k_n</f>
        <v/>
      </c>
      <c r="T2823">
        <f>M2823-LTP3!$D$3*H2823/k_n</f>
        <v/>
      </c>
      <c r="U2823">
        <f>N2823-G2823*LTP3!$D$4/k_n</f>
        <v/>
      </c>
      <c r="V2823">
        <f>O2823-H2823*LTP3!$D$4/k_n</f>
        <v/>
      </c>
      <c r="W2823">
        <f>((LTP3!$D$5)*((P2823)*(Q2823)-(R2823)*(R2823))-(S2823)*((S2823)*(Q2823)-(R2823)*(T2823))+(T2823)*((S2823)*(R2823)-(P2823)*(T2823)))</f>
        <v/>
      </c>
      <c r="X2823">
        <f>IF(ABS(W2823)&gt;1E-12,((LTP3!$D$6)*((P2823)*(Q2823)-(R2823)*(R2823))-(S2823)*((U2823)*(Q2823)-(R2823)*(V2823))+(T2823)*((U2823)*(R2823)-(P2823)*(V2823)))/W2823,0)</f>
        <v/>
      </c>
      <c r="Y2823">
        <f>IF(ABS(W2823)&gt;1E-12,((LTP3!$D$5)*((U2823)*(Q2823)-(R2823)*(V2823))-(LTP3!$D$6)*((S2823)*(Q2823)-(R2823)*(T2823))+(T2823)*((S2823)*(V2823)-(U2823)*(T2823)))/W2823,0)</f>
        <v/>
      </c>
      <c r="Z2823">
        <f>IF(ABS(W2823)&gt;1E-12,((LTP3!$D$5)*((P2823)*(V2823)-(U2823)*(R2823))-(S2823)*((S2823)*(V2823)-(U2823)*(T2823))+(LTP3!$D$6)*((S2823)*(R2823)-(P2823)*(T2823)))/W2823,0)</f>
        <v/>
      </c>
      <c r="AA2823">
        <f>LTP3!$D$7-X2823*LTP3!$D$6-Y2823*U2823-Z2823*V2823</f>
        <v/>
      </c>
      <c r="AB2823">
        <f>IF(AND(F2823,ABS(W2823)&gt;1E-12,Y2823&gt;0,Z2823&gt;0),AA2823,1E+300)</f>
        <v/>
      </c>
    </row>
    <row r="2824">
      <c r="A2824">
        <f>$B$3+$B$5*46</f>
        <v/>
      </c>
      <c r="B2824">
        <f>$B$3+$B$5*6</f>
        <v/>
      </c>
      <c r="C2824">
        <f>SUMPRODUCT(Calc!$K$3:$K$22*(Calc!$G$3:$G$22&lt;=A2824))</f>
        <v/>
      </c>
      <c r="D2824">
        <f>SUMPRODUCT(Calc!$K$3:$K$22*(Calc!$G$3:$G$22&gt;A2824)*(Calc!$G$3:$G$22&lt;B2824))</f>
        <v/>
      </c>
      <c r="E2824">
        <f>SUMPRODUCT(Calc!$K$3:$K$22*(Calc!$G$3:$G$22&gt;=B2824))</f>
        <v/>
      </c>
      <c r="F2824">
        <f>AND(k_n&gt;=5,B2824&gt;A2824+1E-9,C2824&gt;=2,D2824&gt;=1,E2824&gt;=2)</f>
        <v/>
      </c>
      <c r="G2824">
        <f>SUMPRODUCT(Calc!$K$3:$K$22*(Calc!$G$3:$G$22&gt;A2824)*(Calc!$G$3:$G$22-A2824))</f>
        <v/>
      </c>
      <c r="H2824">
        <f>SUMPRODUCT(Calc!$K$3:$K$22*(Calc!$G$3:$G$22&gt;B2824)*(Calc!$G$3:$G$22-B2824))</f>
        <v/>
      </c>
      <c r="I2824">
        <f>SUMPRODUCT(Calc!$K$3:$K$22*(Calc!$G$3:$G$22&gt;A2824)*(Calc!$G$3:$G$22-A2824)^2)</f>
        <v/>
      </c>
      <c r="J2824">
        <f>SUMPRODUCT(Calc!$K$3:$K$22*(Calc!$G$3:$G$22&gt;B2824)*(Calc!$G$3:$G$22-B2824)^2)</f>
        <v/>
      </c>
      <c r="K2824">
        <f>SUMPRODUCT(Calc!$K$3:$K$22*(Calc!$G$3:$G$22&gt;A2824)*(Calc!$G$3:$G$22-A2824)*(Calc!$G$3:$G$22&gt;B2824)*(Calc!$G$3:$G$22-B2824))</f>
        <v/>
      </c>
      <c r="L2824">
        <f>SUMPRODUCT(Calc!$K$3:$K$22*(Calc!$G$3:$G$22&gt;A2824)*(Calc!$G$3:$G$22-A2824)*Calc!$G$3:$G$22)</f>
        <v/>
      </c>
      <c r="M2824">
        <f>SUMPRODUCT(Calc!$K$3:$K$22*(Calc!$G$3:$G$22&gt;B2824)*(Calc!$G$3:$G$22-B2824)*Calc!$G$3:$G$22)</f>
        <v/>
      </c>
      <c r="N2824">
        <f>SUMPRODUCT(Calc!$K$3:$K$22*(Calc!$G$3:$G$22&gt;A2824)*(Calc!$G$3:$G$22-A2824)*Calc!$I$3:$I$22)</f>
        <v/>
      </c>
      <c r="O2824">
        <f>SUMPRODUCT(Calc!$K$3:$K$22*(Calc!$G$3:$G$22&gt;B2824)*(Calc!$G$3:$G$22-B2824)*Calc!$I$3:$I$22)</f>
        <v/>
      </c>
      <c r="P2824">
        <f>I2824-G2824^2/k_n</f>
        <v/>
      </c>
      <c r="Q2824">
        <f>J2824-H2824^2/k_n</f>
        <v/>
      </c>
      <c r="R2824">
        <f>K2824-G2824*H2824/k_n</f>
        <v/>
      </c>
      <c r="S2824">
        <f>L2824-LTP3!$D$3*G2824/k_n</f>
        <v/>
      </c>
      <c r="T2824">
        <f>M2824-LTP3!$D$3*H2824/k_n</f>
        <v/>
      </c>
      <c r="U2824">
        <f>N2824-G2824*LTP3!$D$4/k_n</f>
        <v/>
      </c>
      <c r="V2824">
        <f>O2824-H2824*LTP3!$D$4/k_n</f>
        <v/>
      </c>
      <c r="W2824">
        <f>((LTP3!$D$5)*((P2824)*(Q2824)-(R2824)*(R2824))-(S2824)*((S2824)*(Q2824)-(R2824)*(T2824))+(T2824)*((S2824)*(R2824)-(P2824)*(T2824)))</f>
        <v/>
      </c>
      <c r="X2824">
        <f>IF(ABS(W2824)&gt;1E-12,((LTP3!$D$6)*((P2824)*(Q2824)-(R2824)*(R2824))-(S2824)*((U2824)*(Q2824)-(R2824)*(V2824))+(T2824)*((U2824)*(R2824)-(P2824)*(V2824)))/W2824,0)</f>
        <v/>
      </c>
      <c r="Y2824">
        <f>IF(ABS(W2824)&gt;1E-12,((LTP3!$D$5)*((U2824)*(Q2824)-(R2824)*(V2824))-(LTP3!$D$6)*((S2824)*(Q2824)-(R2824)*(T2824))+(T2824)*((S2824)*(V2824)-(U2824)*(T2824)))/W2824,0)</f>
        <v/>
      </c>
      <c r="Z2824">
        <f>IF(ABS(W2824)&gt;1E-12,((LTP3!$D$5)*((P2824)*(V2824)-(U2824)*(R2824))-(S2824)*((S2824)*(V2824)-(U2824)*(T2824))+(LTP3!$D$6)*((S2824)*(R2824)-(P2824)*(T2824)))/W2824,0)</f>
        <v/>
      </c>
      <c r="AA2824">
        <f>LTP3!$D$7-X2824*LTP3!$D$6-Y2824*U2824-Z2824*V2824</f>
        <v/>
      </c>
      <c r="AB2824">
        <f>IF(AND(F2824,ABS(W2824)&gt;1E-12,Y2824&gt;0,Z2824&gt;0),AA2824,1E+300)</f>
        <v/>
      </c>
    </row>
    <row r="2825">
      <c r="A2825">
        <f>$B$3+$B$5*46</f>
        <v/>
      </c>
      <c r="B2825">
        <f>$B$3+$B$5*7</f>
        <v/>
      </c>
      <c r="C2825">
        <f>SUMPRODUCT(Calc!$K$3:$K$22*(Calc!$G$3:$G$22&lt;=A2825))</f>
        <v/>
      </c>
      <c r="D2825">
        <f>SUMPRODUCT(Calc!$K$3:$K$22*(Calc!$G$3:$G$22&gt;A2825)*(Calc!$G$3:$G$22&lt;B2825))</f>
        <v/>
      </c>
      <c r="E2825">
        <f>SUMPRODUCT(Calc!$K$3:$K$22*(Calc!$G$3:$G$22&gt;=B2825))</f>
        <v/>
      </c>
      <c r="F2825">
        <f>AND(k_n&gt;=5,B2825&gt;A2825+1E-9,C2825&gt;=2,D2825&gt;=1,E2825&gt;=2)</f>
        <v/>
      </c>
      <c r="G2825">
        <f>SUMPRODUCT(Calc!$K$3:$K$22*(Calc!$G$3:$G$22&gt;A2825)*(Calc!$G$3:$G$22-A2825))</f>
        <v/>
      </c>
      <c r="H2825">
        <f>SUMPRODUCT(Calc!$K$3:$K$22*(Calc!$G$3:$G$22&gt;B2825)*(Calc!$G$3:$G$22-B2825))</f>
        <v/>
      </c>
      <c r="I2825">
        <f>SUMPRODUCT(Calc!$K$3:$K$22*(Calc!$G$3:$G$22&gt;A2825)*(Calc!$G$3:$G$22-A2825)^2)</f>
        <v/>
      </c>
      <c r="J2825">
        <f>SUMPRODUCT(Calc!$K$3:$K$22*(Calc!$G$3:$G$22&gt;B2825)*(Calc!$G$3:$G$22-B2825)^2)</f>
        <v/>
      </c>
      <c r="K2825">
        <f>SUMPRODUCT(Calc!$K$3:$K$22*(Calc!$G$3:$G$22&gt;A2825)*(Calc!$G$3:$G$22-A2825)*(Calc!$G$3:$G$22&gt;B2825)*(Calc!$G$3:$G$22-B2825))</f>
        <v/>
      </c>
      <c r="L2825">
        <f>SUMPRODUCT(Calc!$K$3:$K$22*(Calc!$G$3:$G$22&gt;A2825)*(Calc!$G$3:$G$22-A2825)*Calc!$G$3:$G$22)</f>
        <v/>
      </c>
      <c r="M2825">
        <f>SUMPRODUCT(Calc!$K$3:$K$22*(Calc!$G$3:$G$22&gt;B2825)*(Calc!$G$3:$G$22-B2825)*Calc!$G$3:$G$22)</f>
        <v/>
      </c>
      <c r="N2825">
        <f>SUMPRODUCT(Calc!$K$3:$K$22*(Calc!$G$3:$G$22&gt;A2825)*(Calc!$G$3:$G$22-A2825)*Calc!$I$3:$I$22)</f>
        <v/>
      </c>
      <c r="O2825">
        <f>SUMPRODUCT(Calc!$K$3:$K$22*(Calc!$G$3:$G$22&gt;B2825)*(Calc!$G$3:$G$22-B2825)*Calc!$I$3:$I$22)</f>
        <v/>
      </c>
      <c r="P2825">
        <f>I2825-G2825^2/k_n</f>
        <v/>
      </c>
      <c r="Q2825">
        <f>J2825-H2825^2/k_n</f>
        <v/>
      </c>
      <c r="R2825">
        <f>K2825-G2825*H2825/k_n</f>
        <v/>
      </c>
      <c r="S2825">
        <f>L2825-LTP3!$D$3*G2825/k_n</f>
        <v/>
      </c>
      <c r="T2825">
        <f>M2825-LTP3!$D$3*H2825/k_n</f>
        <v/>
      </c>
      <c r="U2825">
        <f>N2825-G2825*LTP3!$D$4/k_n</f>
        <v/>
      </c>
      <c r="V2825">
        <f>O2825-H2825*LTP3!$D$4/k_n</f>
        <v/>
      </c>
      <c r="W2825">
        <f>((LTP3!$D$5)*((P2825)*(Q2825)-(R2825)*(R2825))-(S2825)*((S2825)*(Q2825)-(R2825)*(T2825))+(T2825)*((S2825)*(R2825)-(P2825)*(T2825)))</f>
        <v/>
      </c>
      <c r="X2825">
        <f>IF(ABS(W2825)&gt;1E-12,((LTP3!$D$6)*((P2825)*(Q2825)-(R2825)*(R2825))-(S2825)*((U2825)*(Q2825)-(R2825)*(V2825))+(T2825)*((U2825)*(R2825)-(P2825)*(V2825)))/W2825,0)</f>
        <v/>
      </c>
      <c r="Y2825">
        <f>IF(ABS(W2825)&gt;1E-12,((LTP3!$D$5)*((U2825)*(Q2825)-(R2825)*(V2825))-(LTP3!$D$6)*((S2825)*(Q2825)-(R2825)*(T2825))+(T2825)*((S2825)*(V2825)-(U2825)*(T2825)))/W2825,0)</f>
        <v/>
      </c>
      <c r="Z2825">
        <f>IF(ABS(W2825)&gt;1E-12,((LTP3!$D$5)*((P2825)*(V2825)-(U2825)*(R2825))-(S2825)*((S2825)*(V2825)-(U2825)*(T2825))+(LTP3!$D$6)*((S2825)*(R2825)-(P2825)*(T2825)))/W2825,0)</f>
        <v/>
      </c>
      <c r="AA2825">
        <f>LTP3!$D$7-X2825*LTP3!$D$6-Y2825*U2825-Z2825*V2825</f>
        <v/>
      </c>
      <c r="AB2825">
        <f>IF(AND(F2825,ABS(W2825)&gt;1E-12,Y2825&gt;0,Z2825&gt;0),AA2825,1E+300)</f>
        <v/>
      </c>
    </row>
    <row r="2826">
      <c r="A2826">
        <f>$B$3+$B$5*46</f>
        <v/>
      </c>
      <c r="B2826">
        <f>$B$3+$B$5*8</f>
        <v/>
      </c>
      <c r="C2826">
        <f>SUMPRODUCT(Calc!$K$3:$K$22*(Calc!$G$3:$G$22&lt;=A2826))</f>
        <v/>
      </c>
      <c r="D2826">
        <f>SUMPRODUCT(Calc!$K$3:$K$22*(Calc!$G$3:$G$22&gt;A2826)*(Calc!$G$3:$G$22&lt;B2826))</f>
        <v/>
      </c>
      <c r="E2826">
        <f>SUMPRODUCT(Calc!$K$3:$K$22*(Calc!$G$3:$G$22&gt;=B2826))</f>
        <v/>
      </c>
      <c r="F2826">
        <f>AND(k_n&gt;=5,B2826&gt;A2826+1E-9,C2826&gt;=2,D2826&gt;=1,E2826&gt;=2)</f>
        <v/>
      </c>
      <c r="G2826">
        <f>SUMPRODUCT(Calc!$K$3:$K$22*(Calc!$G$3:$G$22&gt;A2826)*(Calc!$G$3:$G$22-A2826))</f>
        <v/>
      </c>
      <c r="H2826">
        <f>SUMPRODUCT(Calc!$K$3:$K$22*(Calc!$G$3:$G$22&gt;B2826)*(Calc!$G$3:$G$22-B2826))</f>
        <v/>
      </c>
      <c r="I2826">
        <f>SUMPRODUCT(Calc!$K$3:$K$22*(Calc!$G$3:$G$22&gt;A2826)*(Calc!$G$3:$G$22-A2826)^2)</f>
        <v/>
      </c>
      <c r="J2826">
        <f>SUMPRODUCT(Calc!$K$3:$K$22*(Calc!$G$3:$G$22&gt;B2826)*(Calc!$G$3:$G$22-B2826)^2)</f>
        <v/>
      </c>
      <c r="K2826">
        <f>SUMPRODUCT(Calc!$K$3:$K$22*(Calc!$G$3:$G$22&gt;A2826)*(Calc!$G$3:$G$22-A2826)*(Calc!$G$3:$G$22&gt;B2826)*(Calc!$G$3:$G$22-B2826))</f>
        <v/>
      </c>
      <c r="L2826">
        <f>SUMPRODUCT(Calc!$K$3:$K$22*(Calc!$G$3:$G$22&gt;A2826)*(Calc!$G$3:$G$22-A2826)*Calc!$G$3:$G$22)</f>
        <v/>
      </c>
      <c r="M2826">
        <f>SUMPRODUCT(Calc!$K$3:$K$22*(Calc!$G$3:$G$22&gt;B2826)*(Calc!$G$3:$G$22-B2826)*Calc!$G$3:$G$22)</f>
        <v/>
      </c>
      <c r="N2826">
        <f>SUMPRODUCT(Calc!$K$3:$K$22*(Calc!$G$3:$G$22&gt;A2826)*(Calc!$G$3:$G$22-A2826)*Calc!$I$3:$I$22)</f>
        <v/>
      </c>
      <c r="O2826">
        <f>SUMPRODUCT(Calc!$K$3:$K$22*(Calc!$G$3:$G$22&gt;B2826)*(Calc!$G$3:$G$22-B2826)*Calc!$I$3:$I$22)</f>
        <v/>
      </c>
      <c r="P2826">
        <f>I2826-G2826^2/k_n</f>
        <v/>
      </c>
      <c r="Q2826">
        <f>J2826-H2826^2/k_n</f>
        <v/>
      </c>
      <c r="R2826">
        <f>K2826-G2826*H2826/k_n</f>
        <v/>
      </c>
      <c r="S2826">
        <f>L2826-LTP3!$D$3*G2826/k_n</f>
        <v/>
      </c>
      <c r="T2826">
        <f>M2826-LTP3!$D$3*H2826/k_n</f>
        <v/>
      </c>
      <c r="U2826">
        <f>N2826-G2826*LTP3!$D$4/k_n</f>
        <v/>
      </c>
      <c r="V2826">
        <f>O2826-H2826*LTP3!$D$4/k_n</f>
        <v/>
      </c>
      <c r="W2826">
        <f>((LTP3!$D$5)*((P2826)*(Q2826)-(R2826)*(R2826))-(S2826)*((S2826)*(Q2826)-(R2826)*(T2826))+(T2826)*((S2826)*(R2826)-(P2826)*(T2826)))</f>
        <v/>
      </c>
      <c r="X2826">
        <f>IF(ABS(W2826)&gt;1E-12,((LTP3!$D$6)*((P2826)*(Q2826)-(R2826)*(R2826))-(S2826)*((U2826)*(Q2826)-(R2826)*(V2826))+(T2826)*((U2826)*(R2826)-(P2826)*(V2826)))/W2826,0)</f>
        <v/>
      </c>
      <c r="Y2826">
        <f>IF(ABS(W2826)&gt;1E-12,((LTP3!$D$5)*((U2826)*(Q2826)-(R2826)*(V2826))-(LTP3!$D$6)*((S2826)*(Q2826)-(R2826)*(T2826))+(T2826)*((S2826)*(V2826)-(U2826)*(T2826)))/W2826,0)</f>
        <v/>
      </c>
      <c r="Z2826">
        <f>IF(ABS(W2826)&gt;1E-12,((LTP3!$D$5)*((P2826)*(V2826)-(U2826)*(R2826))-(S2826)*((S2826)*(V2826)-(U2826)*(T2826))+(LTP3!$D$6)*((S2826)*(R2826)-(P2826)*(T2826)))/W2826,0)</f>
        <v/>
      </c>
      <c r="AA2826">
        <f>LTP3!$D$7-X2826*LTP3!$D$6-Y2826*U2826-Z2826*V2826</f>
        <v/>
      </c>
      <c r="AB2826">
        <f>IF(AND(F2826,ABS(W2826)&gt;1E-12,Y2826&gt;0,Z2826&gt;0),AA2826,1E+300)</f>
        <v/>
      </c>
    </row>
    <row r="2827">
      <c r="A2827">
        <f>$B$3+$B$5*46</f>
        <v/>
      </c>
      <c r="B2827">
        <f>$B$3+$B$5*9</f>
        <v/>
      </c>
      <c r="C2827">
        <f>SUMPRODUCT(Calc!$K$3:$K$22*(Calc!$G$3:$G$22&lt;=A2827))</f>
        <v/>
      </c>
      <c r="D2827">
        <f>SUMPRODUCT(Calc!$K$3:$K$22*(Calc!$G$3:$G$22&gt;A2827)*(Calc!$G$3:$G$22&lt;B2827))</f>
        <v/>
      </c>
      <c r="E2827">
        <f>SUMPRODUCT(Calc!$K$3:$K$22*(Calc!$G$3:$G$22&gt;=B2827))</f>
        <v/>
      </c>
      <c r="F2827">
        <f>AND(k_n&gt;=5,B2827&gt;A2827+1E-9,C2827&gt;=2,D2827&gt;=1,E2827&gt;=2)</f>
        <v/>
      </c>
      <c r="G2827">
        <f>SUMPRODUCT(Calc!$K$3:$K$22*(Calc!$G$3:$G$22&gt;A2827)*(Calc!$G$3:$G$22-A2827))</f>
        <v/>
      </c>
      <c r="H2827">
        <f>SUMPRODUCT(Calc!$K$3:$K$22*(Calc!$G$3:$G$22&gt;B2827)*(Calc!$G$3:$G$22-B2827))</f>
        <v/>
      </c>
      <c r="I2827">
        <f>SUMPRODUCT(Calc!$K$3:$K$22*(Calc!$G$3:$G$22&gt;A2827)*(Calc!$G$3:$G$22-A2827)^2)</f>
        <v/>
      </c>
      <c r="J2827">
        <f>SUMPRODUCT(Calc!$K$3:$K$22*(Calc!$G$3:$G$22&gt;B2827)*(Calc!$G$3:$G$22-B2827)^2)</f>
        <v/>
      </c>
      <c r="K2827">
        <f>SUMPRODUCT(Calc!$K$3:$K$22*(Calc!$G$3:$G$22&gt;A2827)*(Calc!$G$3:$G$22-A2827)*(Calc!$G$3:$G$22&gt;B2827)*(Calc!$G$3:$G$22-B2827))</f>
        <v/>
      </c>
      <c r="L2827">
        <f>SUMPRODUCT(Calc!$K$3:$K$22*(Calc!$G$3:$G$22&gt;A2827)*(Calc!$G$3:$G$22-A2827)*Calc!$G$3:$G$22)</f>
        <v/>
      </c>
      <c r="M2827">
        <f>SUMPRODUCT(Calc!$K$3:$K$22*(Calc!$G$3:$G$22&gt;B2827)*(Calc!$G$3:$G$22-B2827)*Calc!$G$3:$G$22)</f>
        <v/>
      </c>
      <c r="N2827">
        <f>SUMPRODUCT(Calc!$K$3:$K$22*(Calc!$G$3:$G$22&gt;A2827)*(Calc!$G$3:$G$22-A2827)*Calc!$I$3:$I$22)</f>
        <v/>
      </c>
      <c r="O2827">
        <f>SUMPRODUCT(Calc!$K$3:$K$22*(Calc!$G$3:$G$22&gt;B2827)*(Calc!$G$3:$G$22-B2827)*Calc!$I$3:$I$22)</f>
        <v/>
      </c>
      <c r="P2827">
        <f>I2827-G2827^2/k_n</f>
        <v/>
      </c>
      <c r="Q2827">
        <f>J2827-H2827^2/k_n</f>
        <v/>
      </c>
      <c r="R2827">
        <f>K2827-G2827*H2827/k_n</f>
        <v/>
      </c>
      <c r="S2827">
        <f>L2827-LTP3!$D$3*G2827/k_n</f>
        <v/>
      </c>
      <c r="T2827">
        <f>M2827-LTP3!$D$3*H2827/k_n</f>
        <v/>
      </c>
      <c r="U2827">
        <f>N2827-G2827*LTP3!$D$4/k_n</f>
        <v/>
      </c>
      <c r="V2827">
        <f>O2827-H2827*LTP3!$D$4/k_n</f>
        <v/>
      </c>
      <c r="W2827">
        <f>((LTP3!$D$5)*((P2827)*(Q2827)-(R2827)*(R2827))-(S2827)*((S2827)*(Q2827)-(R2827)*(T2827))+(T2827)*((S2827)*(R2827)-(P2827)*(T2827)))</f>
        <v/>
      </c>
      <c r="X2827">
        <f>IF(ABS(W2827)&gt;1E-12,((LTP3!$D$6)*((P2827)*(Q2827)-(R2827)*(R2827))-(S2827)*((U2827)*(Q2827)-(R2827)*(V2827))+(T2827)*((U2827)*(R2827)-(P2827)*(V2827)))/W2827,0)</f>
        <v/>
      </c>
      <c r="Y2827">
        <f>IF(ABS(W2827)&gt;1E-12,((LTP3!$D$5)*((U2827)*(Q2827)-(R2827)*(V2827))-(LTP3!$D$6)*((S2827)*(Q2827)-(R2827)*(T2827))+(T2827)*((S2827)*(V2827)-(U2827)*(T2827)))/W2827,0)</f>
        <v/>
      </c>
      <c r="Z2827">
        <f>IF(ABS(W2827)&gt;1E-12,((LTP3!$D$5)*((P2827)*(V2827)-(U2827)*(R2827))-(S2827)*((S2827)*(V2827)-(U2827)*(T2827))+(LTP3!$D$6)*((S2827)*(R2827)-(P2827)*(T2827)))/W2827,0)</f>
        <v/>
      </c>
      <c r="AA2827">
        <f>LTP3!$D$7-X2827*LTP3!$D$6-Y2827*U2827-Z2827*V2827</f>
        <v/>
      </c>
      <c r="AB2827">
        <f>IF(AND(F2827,ABS(W2827)&gt;1E-12,Y2827&gt;0,Z2827&gt;0),AA2827,1E+300)</f>
        <v/>
      </c>
    </row>
    <row r="2828">
      <c r="A2828">
        <f>$B$3+$B$5*46</f>
        <v/>
      </c>
      <c r="B2828">
        <f>$B$3+$B$5*10</f>
        <v/>
      </c>
      <c r="C2828">
        <f>SUMPRODUCT(Calc!$K$3:$K$22*(Calc!$G$3:$G$22&lt;=A2828))</f>
        <v/>
      </c>
      <c r="D2828">
        <f>SUMPRODUCT(Calc!$K$3:$K$22*(Calc!$G$3:$G$22&gt;A2828)*(Calc!$G$3:$G$22&lt;B2828))</f>
        <v/>
      </c>
      <c r="E2828">
        <f>SUMPRODUCT(Calc!$K$3:$K$22*(Calc!$G$3:$G$22&gt;=B2828))</f>
        <v/>
      </c>
      <c r="F2828">
        <f>AND(k_n&gt;=5,B2828&gt;A2828+1E-9,C2828&gt;=2,D2828&gt;=1,E2828&gt;=2)</f>
        <v/>
      </c>
      <c r="G2828">
        <f>SUMPRODUCT(Calc!$K$3:$K$22*(Calc!$G$3:$G$22&gt;A2828)*(Calc!$G$3:$G$22-A2828))</f>
        <v/>
      </c>
      <c r="H2828">
        <f>SUMPRODUCT(Calc!$K$3:$K$22*(Calc!$G$3:$G$22&gt;B2828)*(Calc!$G$3:$G$22-B2828))</f>
        <v/>
      </c>
      <c r="I2828">
        <f>SUMPRODUCT(Calc!$K$3:$K$22*(Calc!$G$3:$G$22&gt;A2828)*(Calc!$G$3:$G$22-A2828)^2)</f>
        <v/>
      </c>
      <c r="J2828">
        <f>SUMPRODUCT(Calc!$K$3:$K$22*(Calc!$G$3:$G$22&gt;B2828)*(Calc!$G$3:$G$22-B2828)^2)</f>
        <v/>
      </c>
      <c r="K2828">
        <f>SUMPRODUCT(Calc!$K$3:$K$22*(Calc!$G$3:$G$22&gt;A2828)*(Calc!$G$3:$G$22-A2828)*(Calc!$G$3:$G$22&gt;B2828)*(Calc!$G$3:$G$22-B2828))</f>
        <v/>
      </c>
      <c r="L2828">
        <f>SUMPRODUCT(Calc!$K$3:$K$22*(Calc!$G$3:$G$22&gt;A2828)*(Calc!$G$3:$G$22-A2828)*Calc!$G$3:$G$22)</f>
        <v/>
      </c>
      <c r="M2828">
        <f>SUMPRODUCT(Calc!$K$3:$K$22*(Calc!$G$3:$G$22&gt;B2828)*(Calc!$G$3:$G$22-B2828)*Calc!$G$3:$G$22)</f>
        <v/>
      </c>
      <c r="N2828">
        <f>SUMPRODUCT(Calc!$K$3:$K$22*(Calc!$G$3:$G$22&gt;A2828)*(Calc!$G$3:$G$22-A2828)*Calc!$I$3:$I$22)</f>
        <v/>
      </c>
      <c r="O2828">
        <f>SUMPRODUCT(Calc!$K$3:$K$22*(Calc!$G$3:$G$22&gt;B2828)*(Calc!$G$3:$G$22-B2828)*Calc!$I$3:$I$22)</f>
        <v/>
      </c>
      <c r="P2828">
        <f>I2828-G2828^2/k_n</f>
        <v/>
      </c>
      <c r="Q2828">
        <f>J2828-H2828^2/k_n</f>
        <v/>
      </c>
      <c r="R2828">
        <f>K2828-G2828*H2828/k_n</f>
        <v/>
      </c>
      <c r="S2828">
        <f>L2828-LTP3!$D$3*G2828/k_n</f>
        <v/>
      </c>
      <c r="T2828">
        <f>M2828-LTP3!$D$3*H2828/k_n</f>
        <v/>
      </c>
      <c r="U2828">
        <f>N2828-G2828*LTP3!$D$4/k_n</f>
        <v/>
      </c>
      <c r="V2828">
        <f>O2828-H2828*LTP3!$D$4/k_n</f>
        <v/>
      </c>
      <c r="W2828">
        <f>((LTP3!$D$5)*((P2828)*(Q2828)-(R2828)*(R2828))-(S2828)*((S2828)*(Q2828)-(R2828)*(T2828))+(T2828)*((S2828)*(R2828)-(P2828)*(T2828)))</f>
        <v/>
      </c>
      <c r="X2828">
        <f>IF(ABS(W2828)&gt;1E-12,((LTP3!$D$6)*((P2828)*(Q2828)-(R2828)*(R2828))-(S2828)*((U2828)*(Q2828)-(R2828)*(V2828))+(T2828)*((U2828)*(R2828)-(P2828)*(V2828)))/W2828,0)</f>
        <v/>
      </c>
      <c r="Y2828">
        <f>IF(ABS(W2828)&gt;1E-12,((LTP3!$D$5)*((U2828)*(Q2828)-(R2828)*(V2828))-(LTP3!$D$6)*((S2828)*(Q2828)-(R2828)*(T2828))+(T2828)*((S2828)*(V2828)-(U2828)*(T2828)))/W2828,0)</f>
        <v/>
      </c>
      <c r="Z2828">
        <f>IF(ABS(W2828)&gt;1E-12,((LTP3!$D$5)*((P2828)*(V2828)-(U2828)*(R2828))-(S2828)*((S2828)*(V2828)-(U2828)*(T2828))+(LTP3!$D$6)*((S2828)*(R2828)-(P2828)*(T2828)))/W2828,0)</f>
        <v/>
      </c>
      <c r="AA2828">
        <f>LTP3!$D$7-X2828*LTP3!$D$6-Y2828*U2828-Z2828*V2828</f>
        <v/>
      </c>
      <c r="AB2828">
        <f>IF(AND(F2828,ABS(W2828)&gt;1E-12,Y2828&gt;0,Z2828&gt;0),AA2828,1E+300)</f>
        <v/>
      </c>
    </row>
    <row r="2829">
      <c r="A2829">
        <f>$B$3+$B$5*46</f>
        <v/>
      </c>
      <c r="B2829">
        <f>$B$3+$B$5*11</f>
        <v/>
      </c>
      <c r="C2829">
        <f>SUMPRODUCT(Calc!$K$3:$K$22*(Calc!$G$3:$G$22&lt;=A2829))</f>
        <v/>
      </c>
      <c r="D2829">
        <f>SUMPRODUCT(Calc!$K$3:$K$22*(Calc!$G$3:$G$22&gt;A2829)*(Calc!$G$3:$G$22&lt;B2829))</f>
        <v/>
      </c>
      <c r="E2829">
        <f>SUMPRODUCT(Calc!$K$3:$K$22*(Calc!$G$3:$G$22&gt;=B2829))</f>
        <v/>
      </c>
      <c r="F2829">
        <f>AND(k_n&gt;=5,B2829&gt;A2829+1E-9,C2829&gt;=2,D2829&gt;=1,E2829&gt;=2)</f>
        <v/>
      </c>
      <c r="G2829">
        <f>SUMPRODUCT(Calc!$K$3:$K$22*(Calc!$G$3:$G$22&gt;A2829)*(Calc!$G$3:$G$22-A2829))</f>
        <v/>
      </c>
      <c r="H2829">
        <f>SUMPRODUCT(Calc!$K$3:$K$22*(Calc!$G$3:$G$22&gt;B2829)*(Calc!$G$3:$G$22-B2829))</f>
        <v/>
      </c>
      <c r="I2829">
        <f>SUMPRODUCT(Calc!$K$3:$K$22*(Calc!$G$3:$G$22&gt;A2829)*(Calc!$G$3:$G$22-A2829)^2)</f>
        <v/>
      </c>
      <c r="J2829">
        <f>SUMPRODUCT(Calc!$K$3:$K$22*(Calc!$G$3:$G$22&gt;B2829)*(Calc!$G$3:$G$22-B2829)^2)</f>
        <v/>
      </c>
      <c r="K2829">
        <f>SUMPRODUCT(Calc!$K$3:$K$22*(Calc!$G$3:$G$22&gt;A2829)*(Calc!$G$3:$G$22-A2829)*(Calc!$G$3:$G$22&gt;B2829)*(Calc!$G$3:$G$22-B2829))</f>
        <v/>
      </c>
      <c r="L2829">
        <f>SUMPRODUCT(Calc!$K$3:$K$22*(Calc!$G$3:$G$22&gt;A2829)*(Calc!$G$3:$G$22-A2829)*Calc!$G$3:$G$22)</f>
        <v/>
      </c>
      <c r="M2829">
        <f>SUMPRODUCT(Calc!$K$3:$K$22*(Calc!$G$3:$G$22&gt;B2829)*(Calc!$G$3:$G$22-B2829)*Calc!$G$3:$G$22)</f>
        <v/>
      </c>
      <c r="N2829">
        <f>SUMPRODUCT(Calc!$K$3:$K$22*(Calc!$G$3:$G$22&gt;A2829)*(Calc!$G$3:$G$22-A2829)*Calc!$I$3:$I$22)</f>
        <v/>
      </c>
      <c r="O2829">
        <f>SUMPRODUCT(Calc!$K$3:$K$22*(Calc!$G$3:$G$22&gt;B2829)*(Calc!$G$3:$G$22-B2829)*Calc!$I$3:$I$22)</f>
        <v/>
      </c>
      <c r="P2829">
        <f>I2829-G2829^2/k_n</f>
        <v/>
      </c>
      <c r="Q2829">
        <f>J2829-H2829^2/k_n</f>
        <v/>
      </c>
      <c r="R2829">
        <f>K2829-G2829*H2829/k_n</f>
        <v/>
      </c>
      <c r="S2829">
        <f>L2829-LTP3!$D$3*G2829/k_n</f>
        <v/>
      </c>
      <c r="T2829">
        <f>M2829-LTP3!$D$3*H2829/k_n</f>
        <v/>
      </c>
      <c r="U2829">
        <f>N2829-G2829*LTP3!$D$4/k_n</f>
        <v/>
      </c>
      <c r="V2829">
        <f>O2829-H2829*LTP3!$D$4/k_n</f>
        <v/>
      </c>
      <c r="W2829">
        <f>((LTP3!$D$5)*((P2829)*(Q2829)-(R2829)*(R2829))-(S2829)*((S2829)*(Q2829)-(R2829)*(T2829))+(T2829)*((S2829)*(R2829)-(P2829)*(T2829)))</f>
        <v/>
      </c>
      <c r="X2829">
        <f>IF(ABS(W2829)&gt;1E-12,((LTP3!$D$6)*((P2829)*(Q2829)-(R2829)*(R2829))-(S2829)*((U2829)*(Q2829)-(R2829)*(V2829))+(T2829)*((U2829)*(R2829)-(P2829)*(V2829)))/W2829,0)</f>
        <v/>
      </c>
      <c r="Y2829">
        <f>IF(ABS(W2829)&gt;1E-12,((LTP3!$D$5)*((U2829)*(Q2829)-(R2829)*(V2829))-(LTP3!$D$6)*((S2829)*(Q2829)-(R2829)*(T2829))+(T2829)*((S2829)*(V2829)-(U2829)*(T2829)))/W2829,0)</f>
        <v/>
      </c>
      <c r="Z2829">
        <f>IF(ABS(W2829)&gt;1E-12,((LTP3!$D$5)*((P2829)*(V2829)-(U2829)*(R2829))-(S2829)*((S2829)*(V2829)-(U2829)*(T2829))+(LTP3!$D$6)*((S2829)*(R2829)-(P2829)*(T2829)))/W2829,0)</f>
        <v/>
      </c>
      <c r="AA2829">
        <f>LTP3!$D$7-X2829*LTP3!$D$6-Y2829*U2829-Z2829*V2829</f>
        <v/>
      </c>
      <c r="AB2829">
        <f>IF(AND(F2829,ABS(W2829)&gt;1E-12,Y2829&gt;0,Z2829&gt;0),AA2829,1E+300)</f>
        <v/>
      </c>
    </row>
    <row r="2830">
      <c r="A2830">
        <f>$B$3+$B$5*46</f>
        <v/>
      </c>
      <c r="B2830">
        <f>$B$3+$B$5*12</f>
        <v/>
      </c>
      <c r="C2830">
        <f>SUMPRODUCT(Calc!$K$3:$K$22*(Calc!$G$3:$G$22&lt;=A2830))</f>
        <v/>
      </c>
      <c r="D2830">
        <f>SUMPRODUCT(Calc!$K$3:$K$22*(Calc!$G$3:$G$22&gt;A2830)*(Calc!$G$3:$G$22&lt;B2830))</f>
        <v/>
      </c>
      <c r="E2830">
        <f>SUMPRODUCT(Calc!$K$3:$K$22*(Calc!$G$3:$G$22&gt;=B2830))</f>
        <v/>
      </c>
      <c r="F2830">
        <f>AND(k_n&gt;=5,B2830&gt;A2830+1E-9,C2830&gt;=2,D2830&gt;=1,E2830&gt;=2)</f>
        <v/>
      </c>
      <c r="G2830">
        <f>SUMPRODUCT(Calc!$K$3:$K$22*(Calc!$G$3:$G$22&gt;A2830)*(Calc!$G$3:$G$22-A2830))</f>
        <v/>
      </c>
      <c r="H2830">
        <f>SUMPRODUCT(Calc!$K$3:$K$22*(Calc!$G$3:$G$22&gt;B2830)*(Calc!$G$3:$G$22-B2830))</f>
        <v/>
      </c>
      <c r="I2830">
        <f>SUMPRODUCT(Calc!$K$3:$K$22*(Calc!$G$3:$G$22&gt;A2830)*(Calc!$G$3:$G$22-A2830)^2)</f>
        <v/>
      </c>
      <c r="J2830">
        <f>SUMPRODUCT(Calc!$K$3:$K$22*(Calc!$G$3:$G$22&gt;B2830)*(Calc!$G$3:$G$22-B2830)^2)</f>
        <v/>
      </c>
      <c r="K2830">
        <f>SUMPRODUCT(Calc!$K$3:$K$22*(Calc!$G$3:$G$22&gt;A2830)*(Calc!$G$3:$G$22-A2830)*(Calc!$G$3:$G$22&gt;B2830)*(Calc!$G$3:$G$22-B2830))</f>
        <v/>
      </c>
      <c r="L2830">
        <f>SUMPRODUCT(Calc!$K$3:$K$22*(Calc!$G$3:$G$22&gt;A2830)*(Calc!$G$3:$G$22-A2830)*Calc!$G$3:$G$22)</f>
        <v/>
      </c>
      <c r="M2830">
        <f>SUMPRODUCT(Calc!$K$3:$K$22*(Calc!$G$3:$G$22&gt;B2830)*(Calc!$G$3:$G$22-B2830)*Calc!$G$3:$G$22)</f>
        <v/>
      </c>
      <c r="N2830">
        <f>SUMPRODUCT(Calc!$K$3:$K$22*(Calc!$G$3:$G$22&gt;A2830)*(Calc!$G$3:$G$22-A2830)*Calc!$I$3:$I$22)</f>
        <v/>
      </c>
      <c r="O2830">
        <f>SUMPRODUCT(Calc!$K$3:$K$22*(Calc!$G$3:$G$22&gt;B2830)*(Calc!$G$3:$G$22-B2830)*Calc!$I$3:$I$22)</f>
        <v/>
      </c>
      <c r="P2830">
        <f>I2830-G2830^2/k_n</f>
        <v/>
      </c>
      <c r="Q2830">
        <f>J2830-H2830^2/k_n</f>
        <v/>
      </c>
      <c r="R2830">
        <f>K2830-G2830*H2830/k_n</f>
        <v/>
      </c>
      <c r="S2830">
        <f>L2830-LTP3!$D$3*G2830/k_n</f>
        <v/>
      </c>
      <c r="T2830">
        <f>M2830-LTP3!$D$3*H2830/k_n</f>
        <v/>
      </c>
      <c r="U2830">
        <f>N2830-G2830*LTP3!$D$4/k_n</f>
        <v/>
      </c>
      <c r="V2830">
        <f>O2830-H2830*LTP3!$D$4/k_n</f>
        <v/>
      </c>
      <c r="W2830">
        <f>((LTP3!$D$5)*((P2830)*(Q2830)-(R2830)*(R2830))-(S2830)*((S2830)*(Q2830)-(R2830)*(T2830))+(T2830)*((S2830)*(R2830)-(P2830)*(T2830)))</f>
        <v/>
      </c>
      <c r="X2830">
        <f>IF(ABS(W2830)&gt;1E-12,((LTP3!$D$6)*((P2830)*(Q2830)-(R2830)*(R2830))-(S2830)*((U2830)*(Q2830)-(R2830)*(V2830))+(T2830)*((U2830)*(R2830)-(P2830)*(V2830)))/W2830,0)</f>
        <v/>
      </c>
      <c r="Y2830">
        <f>IF(ABS(W2830)&gt;1E-12,((LTP3!$D$5)*((U2830)*(Q2830)-(R2830)*(V2830))-(LTP3!$D$6)*((S2830)*(Q2830)-(R2830)*(T2830))+(T2830)*((S2830)*(V2830)-(U2830)*(T2830)))/W2830,0)</f>
        <v/>
      </c>
      <c r="Z2830">
        <f>IF(ABS(W2830)&gt;1E-12,((LTP3!$D$5)*((P2830)*(V2830)-(U2830)*(R2830))-(S2830)*((S2830)*(V2830)-(U2830)*(T2830))+(LTP3!$D$6)*((S2830)*(R2830)-(P2830)*(T2830)))/W2830,0)</f>
        <v/>
      </c>
      <c r="AA2830">
        <f>LTP3!$D$7-X2830*LTP3!$D$6-Y2830*U2830-Z2830*V2830</f>
        <v/>
      </c>
      <c r="AB2830">
        <f>IF(AND(F2830,ABS(W2830)&gt;1E-12,Y2830&gt;0,Z2830&gt;0),AA2830,1E+300)</f>
        <v/>
      </c>
    </row>
    <row r="2831">
      <c r="A2831">
        <f>$B$3+$B$5*46</f>
        <v/>
      </c>
      <c r="B2831">
        <f>$B$3+$B$5*13</f>
        <v/>
      </c>
      <c r="C2831">
        <f>SUMPRODUCT(Calc!$K$3:$K$22*(Calc!$G$3:$G$22&lt;=A2831))</f>
        <v/>
      </c>
      <c r="D2831">
        <f>SUMPRODUCT(Calc!$K$3:$K$22*(Calc!$G$3:$G$22&gt;A2831)*(Calc!$G$3:$G$22&lt;B2831))</f>
        <v/>
      </c>
      <c r="E2831">
        <f>SUMPRODUCT(Calc!$K$3:$K$22*(Calc!$G$3:$G$22&gt;=B2831))</f>
        <v/>
      </c>
      <c r="F2831">
        <f>AND(k_n&gt;=5,B2831&gt;A2831+1E-9,C2831&gt;=2,D2831&gt;=1,E2831&gt;=2)</f>
        <v/>
      </c>
      <c r="G2831">
        <f>SUMPRODUCT(Calc!$K$3:$K$22*(Calc!$G$3:$G$22&gt;A2831)*(Calc!$G$3:$G$22-A2831))</f>
        <v/>
      </c>
      <c r="H2831">
        <f>SUMPRODUCT(Calc!$K$3:$K$22*(Calc!$G$3:$G$22&gt;B2831)*(Calc!$G$3:$G$22-B2831))</f>
        <v/>
      </c>
      <c r="I2831">
        <f>SUMPRODUCT(Calc!$K$3:$K$22*(Calc!$G$3:$G$22&gt;A2831)*(Calc!$G$3:$G$22-A2831)^2)</f>
        <v/>
      </c>
      <c r="J2831">
        <f>SUMPRODUCT(Calc!$K$3:$K$22*(Calc!$G$3:$G$22&gt;B2831)*(Calc!$G$3:$G$22-B2831)^2)</f>
        <v/>
      </c>
      <c r="K2831">
        <f>SUMPRODUCT(Calc!$K$3:$K$22*(Calc!$G$3:$G$22&gt;A2831)*(Calc!$G$3:$G$22-A2831)*(Calc!$G$3:$G$22&gt;B2831)*(Calc!$G$3:$G$22-B2831))</f>
        <v/>
      </c>
      <c r="L2831">
        <f>SUMPRODUCT(Calc!$K$3:$K$22*(Calc!$G$3:$G$22&gt;A2831)*(Calc!$G$3:$G$22-A2831)*Calc!$G$3:$G$22)</f>
        <v/>
      </c>
      <c r="M2831">
        <f>SUMPRODUCT(Calc!$K$3:$K$22*(Calc!$G$3:$G$22&gt;B2831)*(Calc!$G$3:$G$22-B2831)*Calc!$G$3:$G$22)</f>
        <v/>
      </c>
      <c r="N2831">
        <f>SUMPRODUCT(Calc!$K$3:$K$22*(Calc!$G$3:$G$22&gt;A2831)*(Calc!$G$3:$G$22-A2831)*Calc!$I$3:$I$22)</f>
        <v/>
      </c>
      <c r="O2831">
        <f>SUMPRODUCT(Calc!$K$3:$K$22*(Calc!$G$3:$G$22&gt;B2831)*(Calc!$G$3:$G$22-B2831)*Calc!$I$3:$I$22)</f>
        <v/>
      </c>
      <c r="P2831">
        <f>I2831-G2831^2/k_n</f>
        <v/>
      </c>
      <c r="Q2831">
        <f>J2831-H2831^2/k_n</f>
        <v/>
      </c>
      <c r="R2831">
        <f>K2831-G2831*H2831/k_n</f>
        <v/>
      </c>
      <c r="S2831">
        <f>L2831-LTP3!$D$3*G2831/k_n</f>
        <v/>
      </c>
      <c r="T2831">
        <f>M2831-LTP3!$D$3*H2831/k_n</f>
        <v/>
      </c>
      <c r="U2831">
        <f>N2831-G2831*LTP3!$D$4/k_n</f>
        <v/>
      </c>
      <c r="V2831">
        <f>O2831-H2831*LTP3!$D$4/k_n</f>
        <v/>
      </c>
      <c r="W2831">
        <f>((LTP3!$D$5)*((P2831)*(Q2831)-(R2831)*(R2831))-(S2831)*((S2831)*(Q2831)-(R2831)*(T2831))+(T2831)*((S2831)*(R2831)-(P2831)*(T2831)))</f>
        <v/>
      </c>
      <c r="X2831">
        <f>IF(ABS(W2831)&gt;1E-12,((LTP3!$D$6)*((P2831)*(Q2831)-(R2831)*(R2831))-(S2831)*((U2831)*(Q2831)-(R2831)*(V2831))+(T2831)*((U2831)*(R2831)-(P2831)*(V2831)))/W2831,0)</f>
        <v/>
      </c>
      <c r="Y2831">
        <f>IF(ABS(W2831)&gt;1E-12,((LTP3!$D$5)*((U2831)*(Q2831)-(R2831)*(V2831))-(LTP3!$D$6)*((S2831)*(Q2831)-(R2831)*(T2831))+(T2831)*((S2831)*(V2831)-(U2831)*(T2831)))/W2831,0)</f>
        <v/>
      </c>
      <c r="Z2831">
        <f>IF(ABS(W2831)&gt;1E-12,((LTP3!$D$5)*((P2831)*(V2831)-(U2831)*(R2831))-(S2831)*((S2831)*(V2831)-(U2831)*(T2831))+(LTP3!$D$6)*((S2831)*(R2831)-(P2831)*(T2831)))/W2831,0)</f>
        <v/>
      </c>
      <c r="AA2831">
        <f>LTP3!$D$7-X2831*LTP3!$D$6-Y2831*U2831-Z2831*V2831</f>
        <v/>
      </c>
      <c r="AB2831">
        <f>IF(AND(F2831,ABS(W2831)&gt;1E-12,Y2831&gt;0,Z2831&gt;0),AA2831,1E+300)</f>
        <v/>
      </c>
    </row>
    <row r="2832">
      <c r="A2832">
        <f>$B$3+$B$5*46</f>
        <v/>
      </c>
      <c r="B2832">
        <f>$B$3+$B$5*14</f>
        <v/>
      </c>
      <c r="C2832">
        <f>SUMPRODUCT(Calc!$K$3:$K$22*(Calc!$G$3:$G$22&lt;=A2832))</f>
        <v/>
      </c>
      <c r="D2832">
        <f>SUMPRODUCT(Calc!$K$3:$K$22*(Calc!$G$3:$G$22&gt;A2832)*(Calc!$G$3:$G$22&lt;B2832))</f>
        <v/>
      </c>
      <c r="E2832">
        <f>SUMPRODUCT(Calc!$K$3:$K$22*(Calc!$G$3:$G$22&gt;=B2832))</f>
        <v/>
      </c>
      <c r="F2832">
        <f>AND(k_n&gt;=5,B2832&gt;A2832+1E-9,C2832&gt;=2,D2832&gt;=1,E2832&gt;=2)</f>
        <v/>
      </c>
      <c r="G2832">
        <f>SUMPRODUCT(Calc!$K$3:$K$22*(Calc!$G$3:$G$22&gt;A2832)*(Calc!$G$3:$G$22-A2832))</f>
        <v/>
      </c>
      <c r="H2832">
        <f>SUMPRODUCT(Calc!$K$3:$K$22*(Calc!$G$3:$G$22&gt;B2832)*(Calc!$G$3:$G$22-B2832))</f>
        <v/>
      </c>
      <c r="I2832">
        <f>SUMPRODUCT(Calc!$K$3:$K$22*(Calc!$G$3:$G$22&gt;A2832)*(Calc!$G$3:$G$22-A2832)^2)</f>
        <v/>
      </c>
      <c r="J2832">
        <f>SUMPRODUCT(Calc!$K$3:$K$22*(Calc!$G$3:$G$22&gt;B2832)*(Calc!$G$3:$G$22-B2832)^2)</f>
        <v/>
      </c>
      <c r="K2832">
        <f>SUMPRODUCT(Calc!$K$3:$K$22*(Calc!$G$3:$G$22&gt;A2832)*(Calc!$G$3:$G$22-A2832)*(Calc!$G$3:$G$22&gt;B2832)*(Calc!$G$3:$G$22-B2832))</f>
        <v/>
      </c>
      <c r="L2832">
        <f>SUMPRODUCT(Calc!$K$3:$K$22*(Calc!$G$3:$G$22&gt;A2832)*(Calc!$G$3:$G$22-A2832)*Calc!$G$3:$G$22)</f>
        <v/>
      </c>
      <c r="M2832">
        <f>SUMPRODUCT(Calc!$K$3:$K$22*(Calc!$G$3:$G$22&gt;B2832)*(Calc!$G$3:$G$22-B2832)*Calc!$G$3:$G$22)</f>
        <v/>
      </c>
      <c r="N2832">
        <f>SUMPRODUCT(Calc!$K$3:$K$22*(Calc!$G$3:$G$22&gt;A2832)*(Calc!$G$3:$G$22-A2832)*Calc!$I$3:$I$22)</f>
        <v/>
      </c>
      <c r="O2832">
        <f>SUMPRODUCT(Calc!$K$3:$K$22*(Calc!$G$3:$G$22&gt;B2832)*(Calc!$G$3:$G$22-B2832)*Calc!$I$3:$I$22)</f>
        <v/>
      </c>
      <c r="P2832">
        <f>I2832-G2832^2/k_n</f>
        <v/>
      </c>
      <c r="Q2832">
        <f>J2832-H2832^2/k_n</f>
        <v/>
      </c>
      <c r="R2832">
        <f>K2832-G2832*H2832/k_n</f>
        <v/>
      </c>
      <c r="S2832">
        <f>L2832-LTP3!$D$3*G2832/k_n</f>
        <v/>
      </c>
      <c r="T2832">
        <f>M2832-LTP3!$D$3*H2832/k_n</f>
        <v/>
      </c>
      <c r="U2832">
        <f>N2832-G2832*LTP3!$D$4/k_n</f>
        <v/>
      </c>
      <c r="V2832">
        <f>O2832-H2832*LTP3!$D$4/k_n</f>
        <v/>
      </c>
      <c r="W2832">
        <f>((LTP3!$D$5)*((P2832)*(Q2832)-(R2832)*(R2832))-(S2832)*((S2832)*(Q2832)-(R2832)*(T2832))+(T2832)*((S2832)*(R2832)-(P2832)*(T2832)))</f>
        <v/>
      </c>
      <c r="X2832">
        <f>IF(ABS(W2832)&gt;1E-12,((LTP3!$D$6)*((P2832)*(Q2832)-(R2832)*(R2832))-(S2832)*((U2832)*(Q2832)-(R2832)*(V2832))+(T2832)*((U2832)*(R2832)-(P2832)*(V2832)))/W2832,0)</f>
        <v/>
      </c>
      <c r="Y2832">
        <f>IF(ABS(W2832)&gt;1E-12,((LTP3!$D$5)*((U2832)*(Q2832)-(R2832)*(V2832))-(LTP3!$D$6)*((S2832)*(Q2832)-(R2832)*(T2832))+(T2832)*((S2832)*(V2832)-(U2832)*(T2832)))/W2832,0)</f>
        <v/>
      </c>
      <c r="Z2832">
        <f>IF(ABS(W2832)&gt;1E-12,((LTP3!$D$5)*((P2832)*(V2832)-(U2832)*(R2832))-(S2832)*((S2832)*(V2832)-(U2832)*(T2832))+(LTP3!$D$6)*((S2832)*(R2832)-(P2832)*(T2832)))/W2832,0)</f>
        <v/>
      </c>
      <c r="AA2832">
        <f>LTP3!$D$7-X2832*LTP3!$D$6-Y2832*U2832-Z2832*V2832</f>
        <v/>
      </c>
      <c r="AB2832">
        <f>IF(AND(F2832,ABS(W2832)&gt;1E-12,Y2832&gt;0,Z2832&gt;0),AA2832,1E+300)</f>
        <v/>
      </c>
    </row>
    <row r="2833">
      <c r="A2833">
        <f>$B$3+$B$5*46</f>
        <v/>
      </c>
      <c r="B2833">
        <f>$B$3+$B$5*15</f>
        <v/>
      </c>
      <c r="C2833">
        <f>SUMPRODUCT(Calc!$K$3:$K$22*(Calc!$G$3:$G$22&lt;=A2833))</f>
        <v/>
      </c>
      <c r="D2833">
        <f>SUMPRODUCT(Calc!$K$3:$K$22*(Calc!$G$3:$G$22&gt;A2833)*(Calc!$G$3:$G$22&lt;B2833))</f>
        <v/>
      </c>
      <c r="E2833">
        <f>SUMPRODUCT(Calc!$K$3:$K$22*(Calc!$G$3:$G$22&gt;=B2833))</f>
        <v/>
      </c>
      <c r="F2833">
        <f>AND(k_n&gt;=5,B2833&gt;A2833+1E-9,C2833&gt;=2,D2833&gt;=1,E2833&gt;=2)</f>
        <v/>
      </c>
      <c r="G2833">
        <f>SUMPRODUCT(Calc!$K$3:$K$22*(Calc!$G$3:$G$22&gt;A2833)*(Calc!$G$3:$G$22-A2833))</f>
        <v/>
      </c>
      <c r="H2833">
        <f>SUMPRODUCT(Calc!$K$3:$K$22*(Calc!$G$3:$G$22&gt;B2833)*(Calc!$G$3:$G$22-B2833))</f>
        <v/>
      </c>
      <c r="I2833">
        <f>SUMPRODUCT(Calc!$K$3:$K$22*(Calc!$G$3:$G$22&gt;A2833)*(Calc!$G$3:$G$22-A2833)^2)</f>
        <v/>
      </c>
      <c r="J2833">
        <f>SUMPRODUCT(Calc!$K$3:$K$22*(Calc!$G$3:$G$22&gt;B2833)*(Calc!$G$3:$G$22-B2833)^2)</f>
        <v/>
      </c>
      <c r="K2833">
        <f>SUMPRODUCT(Calc!$K$3:$K$22*(Calc!$G$3:$G$22&gt;A2833)*(Calc!$G$3:$G$22-A2833)*(Calc!$G$3:$G$22&gt;B2833)*(Calc!$G$3:$G$22-B2833))</f>
        <v/>
      </c>
      <c r="L2833">
        <f>SUMPRODUCT(Calc!$K$3:$K$22*(Calc!$G$3:$G$22&gt;A2833)*(Calc!$G$3:$G$22-A2833)*Calc!$G$3:$G$22)</f>
        <v/>
      </c>
      <c r="M2833">
        <f>SUMPRODUCT(Calc!$K$3:$K$22*(Calc!$G$3:$G$22&gt;B2833)*(Calc!$G$3:$G$22-B2833)*Calc!$G$3:$G$22)</f>
        <v/>
      </c>
      <c r="N2833">
        <f>SUMPRODUCT(Calc!$K$3:$K$22*(Calc!$G$3:$G$22&gt;A2833)*(Calc!$G$3:$G$22-A2833)*Calc!$I$3:$I$22)</f>
        <v/>
      </c>
      <c r="O2833">
        <f>SUMPRODUCT(Calc!$K$3:$K$22*(Calc!$G$3:$G$22&gt;B2833)*(Calc!$G$3:$G$22-B2833)*Calc!$I$3:$I$22)</f>
        <v/>
      </c>
      <c r="P2833">
        <f>I2833-G2833^2/k_n</f>
        <v/>
      </c>
      <c r="Q2833">
        <f>J2833-H2833^2/k_n</f>
        <v/>
      </c>
      <c r="R2833">
        <f>K2833-G2833*H2833/k_n</f>
        <v/>
      </c>
      <c r="S2833">
        <f>L2833-LTP3!$D$3*G2833/k_n</f>
        <v/>
      </c>
      <c r="T2833">
        <f>M2833-LTP3!$D$3*H2833/k_n</f>
        <v/>
      </c>
      <c r="U2833">
        <f>N2833-G2833*LTP3!$D$4/k_n</f>
        <v/>
      </c>
      <c r="V2833">
        <f>O2833-H2833*LTP3!$D$4/k_n</f>
        <v/>
      </c>
      <c r="W2833">
        <f>((LTP3!$D$5)*((P2833)*(Q2833)-(R2833)*(R2833))-(S2833)*((S2833)*(Q2833)-(R2833)*(T2833))+(T2833)*((S2833)*(R2833)-(P2833)*(T2833)))</f>
        <v/>
      </c>
      <c r="X2833">
        <f>IF(ABS(W2833)&gt;1E-12,((LTP3!$D$6)*((P2833)*(Q2833)-(R2833)*(R2833))-(S2833)*((U2833)*(Q2833)-(R2833)*(V2833))+(T2833)*((U2833)*(R2833)-(P2833)*(V2833)))/W2833,0)</f>
        <v/>
      </c>
      <c r="Y2833">
        <f>IF(ABS(W2833)&gt;1E-12,((LTP3!$D$5)*((U2833)*(Q2833)-(R2833)*(V2833))-(LTP3!$D$6)*((S2833)*(Q2833)-(R2833)*(T2833))+(T2833)*((S2833)*(V2833)-(U2833)*(T2833)))/W2833,0)</f>
        <v/>
      </c>
      <c r="Z2833">
        <f>IF(ABS(W2833)&gt;1E-12,((LTP3!$D$5)*((P2833)*(V2833)-(U2833)*(R2833))-(S2833)*((S2833)*(V2833)-(U2833)*(T2833))+(LTP3!$D$6)*((S2833)*(R2833)-(P2833)*(T2833)))/W2833,0)</f>
        <v/>
      </c>
      <c r="AA2833">
        <f>LTP3!$D$7-X2833*LTP3!$D$6-Y2833*U2833-Z2833*V2833</f>
        <v/>
      </c>
      <c r="AB2833">
        <f>IF(AND(F2833,ABS(W2833)&gt;1E-12,Y2833&gt;0,Z2833&gt;0),AA2833,1E+300)</f>
        <v/>
      </c>
    </row>
    <row r="2834">
      <c r="A2834">
        <f>$B$3+$B$5*46</f>
        <v/>
      </c>
      <c r="B2834">
        <f>$B$3+$B$5*16</f>
        <v/>
      </c>
      <c r="C2834">
        <f>SUMPRODUCT(Calc!$K$3:$K$22*(Calc!$G$3:$G$22&lt;=A2834))</f>
        <v/>
      </c>
      <c r="D2834">
        <f>SUMPRODUCT(Calc!$K$3:$K$22*(Calc!$G$3:$G$22&gt;A2834)*(Calc!$G$3:$G$22&lt;B2834))</f>
        <v/>
      </c>
      <c r="E2834">
        <f>SUMPRODUCT(Calc!$K$3:$K$22*(Calc!$G$3:$G$22&gt;=B2834))</f>
        <v/>
      </c>
      <c r="F2834">
        <f>AND(k_n&gt;=5,B2834&gt;A2834+1E-9,C2834&gt;=2,D2834&gt;=1,E2834&gt;=2)</f>
        <v/>
      </c>
      <c r="G2834">
        <f>SUMPRODUCT(Calc!$K$3:$K$22*(Calc!$G$3:$G$22&gt;A2834)*(Calc!$G$3:$G$22-A2834))</f>
        <v/>
      </c>
      <c r="H2834">
        <f>SUMPRODUCT(Calc!$K$3:$K$22*(Calc!$G$3:$G$22&gt;B2834)*(Calc!$G$3:$G$22-B2834))</f>
        <v/>
      </c>
      <c r="I2834">
        <f>SUMPRODUCT(Calc!$K$3:$K$22*(Calc!$G$3:$G$22&gt;A2834)*(Calc!$G$3:$G$22-A2834)^2)</f>
        <v/>
      </c>
      <c r="J2834">
        <f>SUMPRODUCT(Calc!$K$3:$K$22*(Calc!$G$3:$G$22&gt;B2834)*(Calc!$G$3:$G$22-B2834)^2)</f>
        <v/>
      </c>
      <c r="K2834">
        <f>SUMPRODUCT(Calc!$K$3:$K$22*(Calc!$G$3:$G$22&gt;A2834)*(Calc!$G$3:$G$22-A2834)*(Calc!$G$3:$G$22&gt;B2834)*(Calc!$G$3:$G$22-B2834))</f>
        <v/>
      </c>
      <c r="L2834">
        <f>SUMPRODUCT(Calc!$K$3:$K$22*(Calc!$G$3:$G$22&gt;A2834)*(Calc!$G$3:$G$22-A2834)*Calc!$G$3:$G$22)</f>
        <v/>
      </c>
      <c r="M2834">
        <f>SUMPRODUCT(Calc!$K$3:$K$22*(Calc!$G$3:$G$22&gt;B2834)*(Calc!$G$3:$G$22-B2834)*Calc!$G$3:$G$22)</f>
        <v/>
      </c>
      <c r="N2834">
        <f>SUMPRODUCT(Calc!$K$3:$K$22*(Calc!$G$3:$G$22&gt;A2834)*(Calc!$G$3:$G$22-A2834)*Calc!$I$3:$I$22)</f>
        <v/>
      </c>
      <c r="O2834">
        <f>SUMPRODUCT(Calc!$K$3:$K$22*(Calc!$G$3:$G$22&gt;B2834)*(Calc!$G$3:$G$22-B2834)*Calc!$I$3:$I$22)</f>
        <v/>
      </c>
      <c r="P2834">
        <f>I2834-G2834^2/k_n</f>
        <v/>
      </c>
      <c r="Q2834">
        <f>J2834-H2834^2/k_n</f>
        <v/>
      </c>
      <c r="R2834">
        <f>K2834-G2834*H2834/k_n</f>
        <v/>
      </c>
      <c r="S2834">
        <f>L2834-LTP3!$D$3*G2834/k_n</f>
        <v/>
      </c>
      <c r="T2834">
        <f>M2834-LTP3!$D$3*H2834/k_n</f>
        <v/>
      </c>
      <c r="U2834">
        <f>N2834-G2834*LTP3!$D$4/k_n</f>
        <v/>
      </c>
      <c r="V2834">
        <f>O2834-H2834*LTP3!$D$4/k_n</f>
        <v/>
      </c>
      <c r="W2834">
        <f>((LTP3!$D$5)*((P2834)*(Q2834)-(R2834)*(R2834))-(S2834)*((S2834)*(Q2834)-(R2834)*(T2834))+(T2834)*((S2834)*(R2834)-(P2834)*(T2834)))</f>
        <v/>
      </c>
      <c r="X2834">
        <f>IF(ABS(W2834)&gt;1E-12,((LTP3!$D$6)*((P2834)*(Q2834)-(R2834)*(R2834))-(S2834)*((U2834)*(Q2834)-(R2834)*(V2834))+(T2834)*((U2834)*(R2834)-(P2834)*(V2834)))/W2834,0)</f>
        <v/>
      </c>
      <c r="Y2834">
        <f>IF(ABS(W2834)&gt;1E-12,((LTP3!$D$5)*((U2834)*(Q2834)-(R2834)*(V2834))-(LTP3!$D$6)*((S2834)*(Q2834)-(R2834)*(T2834))+(T2834)*((S2834)*(V2834)-(U2834)*(T2834)))/W2834,0)</f>
        <v/>
      </c>
      <c r="Z2834">
        <f>IF(ABS(W2834)&gt;1E-12,((LTP3!$D$5)*((P2834)*(V2834)-(U2834)*(R2834))-(S2834)*((S2834)*(V2834)-(U2834)*(T2834))+(LTP3!$D$6)*((S2834)*(R2834)-(P2834)*(T2834)))/W2834,0)</f>
        <v/>
      </c>
      <c r="AA2834">
        <f>LTP3!$D$7-X2834*LTP3!$D$6-Y2834*U2834-Z2834*V2834</f>
        <v/>
      </c>
      <c r="AB2834">
        <f>IF(AND(F2834,ABS(W2834)&gt;1E-12,Y2834&gt;0,Z2834&gt;0),AA2834,1E+300)</f>
        <v/>
      </c>
    </row>
    <row r="2835">
      <c r="A2835">
        <f>$B$3+$B$5*46</f>
        <v/>
      </c>
      <c r="B2835">
        <f>$B$3+$B$5*17</f>
        <v/>
      </c>
      <c r="C2835">
        <f>SUMPRODUCT(Calc!$K$3:$K$22*(Calc!$G$3:$G$22&lt;=A2835))</f>
        <v/>
      </c>
      <c r="D2835">
        <f>SUMPRODUCT(Calc!$K$3:$K$22*(Calc!$G$3:$G$22&gt;A2835)*(Calc!$G$3:$G$22&lt;B2835))</f>
        <v/>
      </c>
      <c r="E2835">
        <f>SUMPRODUCT(Calc!$K$3:$K$22*(Calc!$G$3:$G$22&gt;=B2835))</f>
        <v/>
      </c>
      <c r="F2835">
        <f>AND(k_n&gt;=5,B2835&gt;A2835+1E-9,C2835&gt;=2,D2835&gt;=1,E2835&gt;=2)</f>
        <v/>
      </c>
      <c r="G2835">
        <f>SUMPRODUCT(Calc!$K$3:$K$22*(Calc!$G$3:$G$22&gt;A2835)*(Calc!$G$3:$G$22-A2835))</f>
        <v/>
      </c>
      <c r="H2835">
        <f>SUMPRODUCT(Calc!$K$3:$K$22*(Calc!$G$3:$G$22&gt;B2835)*(Calc!$G$3:$G$22-B2835))</f>
        <v/>
      </c>
      <c r="I2835">
        <f>SUMPRODUCT(Calc!$K$3:$K$22*(Calc!$G$3:$G$22&gt;A2835)*(Calc!$G$3:$G$22-A2835)^2)</f>
        <v/>
      </c>
      <c r="J2835">
        <f>SUMPRODUCT(Calc!$K$3:$K$22*(Calc!$G$3:$G$22&gt;B2835)*(Calc!$G$3:$G$22-B2835)^2)</f>
        <v/>
      </c>
      <c r="K2835">
        <f>SUMPRODUCT(Calc!$K$3:$K$22*(Calc!$G$3:$G$22&gt;A2835)*(Calc!$G$3:$G$22-A2835)*(Calc!$G$3:$G$22&gt;B2835)*(Calc!$G$3:$G$22-B2835))</f>
        <v/>
      </c>
      <c r="L2835">
        <f>SUMPRODUCT(Calc!$K$3:$K$22*(Calc!$G$3:$G$22&gt;A2835)*(Calc!$G$3:$G$22-A2835)*Calc!$G$3:$G$22)</f>
        <v/>
      </c>
      <c r="M2835">
        <f>SUMPRODUCT(Calc!$K$3:$K$22*(Calc!$G$3:$G$22&gt;B2835)*(Calc!$G$3:$G$22-B2835)*Calc!$G$3:$G$22)</f>
        <v/>
      </c>
      <c r="N2835">
        <f>SUMPRODUCT(Calc!$K$3:$K$22*(Calc!$G$3:$G$22&gt;A2835)*(Calc!$G$3:$G$22-A2835)*Calc!$I$3:$I$22)</f>
        <v/>
      </c>
      <c r="O2835">
        <f>SUMPRODUCT(Calc!$K$3:$K$22*(Calc!$G$3:$G$22&gt;B2835)*(Calc!$G$3:$G$22-B2835)*Calc!$I$3:$I$22)</f>
        <v/>
      </c>
      <c r="P2835">
        <f>I2835-G2835^2/k_n</f>
        <v/>
      </c>
      <c r="Q2835">
        <f>J2835-H2835^2/k_n</f>
        <v/>
      </c>
      <c r="R2835">
        <f>K2835-G2835*H2835/k_n</f>
        <v/>
      </c>
      <c r="S2835">
        <f>L2835-LTP3!$D$3*G2835/k_n</f>
        <v/>
      </c>
      <c r="T2835">
        <f>M2835-LTP3!$D$3*H2835/k_n</f>
        <v/>
      </c>
      <c r="U2835">
        <f>N2835-G2835*LTP3!$D$4/k_n</f>
        <v/>
      </c>
      <c r="V2835">
        <f>O2835-H2835*LTP3!$D$4/k_n</f>
        <v/>
      </c>
      <c r="W2835">
        <f>((LTP3!$D$5)*((P2835)*(Q2835)-(R2835)*(R2835))-(S2835)*((S2835)*(Q2835)-(R2835)*(T2835))+(T2835)*((S2835)*(R2835)-(P2835)*(T2835)))</f>
        <v/>
      </c>
      <c r="X2835">
        <f>IF(ABS(W2835)&gt;1E-12,((LTP3!$D$6)*((P2835)*(Q2835)-(R2835)*(R2835))-(S2835)*((U2835)*(Q2835)-(R2835)*(V2835))+(T2835)*((U2835)*(R2835)-(P2835)*(V2835)))/W2835,0)</f>
        <v/>
      </c>
      <c r="Y2835">
        <f>IF(ABS(W2835)&gt;1E-12,((LTP3!$D$5)*((U2835)*(Q2835)-(R2835)*(V2835))-(LTP3!$D$6)*((S2835)*(Q2835)-(R2835)*(T2835))+(T2835)*((S2835)*(V2835)-(U2835)*(T2835)))/W2835,0)</f>
        <v/>
      </c>
      <c r="Z2835">
        <f>IF(ABS(W2835)&gt;1E-12,((LTP3!$D$5)*((P2835)*(V2835)-(U2835)*(R2835))-(S2835)*((S2835)*(V2835)-(U2835)*(T2835))+(LTP3!$D$6)*((S2835)*(R2835)-(P2835)*(T2835)))/W2835,0)</f>
        <v/>
      </c>
      <c r="AA2835">
        <f>LTP3!$D$7-X2835*LTP3!$D$6-Y2835*U2835-Z2835*V2835</f>
        <v/>
      </c>
      <c r="AB2835">
        <f>IF(AND(F2835,ABS(W2835)&gt;1E-12,Y2835&gt;0,Z2835&gt;0),AA2835,1E+300)</f>
        <v/>
      </c>
    </row>
    <row r="2836">
      <c r="A2836">
        <f>$B$3+$B$5*46</f>
        <v/>
      </c>
      <c r="B2836">
        <f>$B$3+$B$5*18</f>
        <v/>
      </c>
      <c r="C2836">
        <f>SUMPRODUCT(Calc!$K$3:$K$22*(Calc!$G$3:$G$22&lt;=A2836))</f>
        <v/>
      </c>
      <c r="D2836">
        <f>SUMPRODUCT(Calc!$K$3:$K$22*(Calc!$G$3:$G$22&gt;A2836)*(Calc!$G$3:$G$22&lt;B2836))</f>
        <v/>
      </c>
      <c r="E2836">
        <f>SUMPRODUCT(Calc!$K$3:$K$22*(Calc!$G$3:$G$22&gt;=B2836))</f>
        <v/>
      </c>
      <c r="F2836">
        <f>AND(k_n&gt;=5,B2836&gt;A2836+1E-9,C2836&gt;=2,D2836&gt;=1,E2836&gt;=2)</f>
        <v/>
      </c>
      <c r="G2836">
        <f>SUMPRODUCT(Calc!$K$3:$K$22*(Calc!$G$3:$G$22&gt;A2836)*(Calc!$G$3:$G$22-A2836))</f>
        <v/>
      </c>
      <c r="H2836">
        <f>SUMPRODUCT(Calc!$K$3:$K$22*(Calc!$G$3:$G$22&gt;B2836)*(Calc!$G$3:$G$22-B2836))</f>
        <v/>
      </c>
      <c r="I2836">
        <f>SUMPRODUCT(Calc!$K$3:$K$22*(Calc!$G$3:$G$22&gt;A2836)*(Calc!$G$3:$G$22-A2836)^2)</f>
        <v/>
      </c>
      <c r="J2836">
        <f>SUMPRODUCT(Calc!$K$3:$K$22*(Calc!$G$3:$G$22&gt;B2836)*(Calc!$G$3:$G$22-B2836)^2)</f>
        <v/>
      </c>
      <c r="K2836">
        <f>SUMPRODUCT(Calc!$K$3:$K$22*(Calc!$G$3:$G$22&gt;A2836)*(Calc!$G$3:$G$22-A2836)*(Calc!$G$3:$G$22&gt;B2836)*(Calc!$G$3:$G$22-B2836))</f>
        <v/>
      </c>
      <c r="L2836">
        <f>SUMPRODUCT(Calc!$K$3:$K$22*(Calc!$G$3:$G$22&gt;A2836)*(Calc!$G$3:$G$22-A2836)*Calc!$G$3:$G$22)</f>
        <v/>
      </c>
      <c r="M2836">
        <f>SUMPRODUCT(Calc!$K$3:$K$22*(Calc!$G$3:$G$22&gt;B2836)*(Calc!$G$3:$G$22-B2836)*Calc!$G$3:$G$22)</f>
        <v/>
      </c>
      <c r="N2836">
        <f>SUMPRODUCT(Calc!$K$3:$K$22*(Calc!$G$3:$G$22&gt;A2836)*(Calc!$G$3:$G$22-A2836)*Calc!$I$3:$I$22)</f>
        <v/>
      </c>
      <c r="O2836">
        <f>SUMPRODUCT(Calc!$K$3:$K$22*(Calc!$G$3:$G$22&gt;B2836)*(Calc!$G$3:$G$22-B2836)*Calc!$I$3:$I$22)</f>
        <v/>
      </c>
      <c r="P2836">
        <f>I2836-G2836^2/k_n</f>
        <v/>
      </c>
      <c r="Q2836">
        <f>J2836-H2836^2/k_n</f>
        <v/>
      </c>
      <c r="R2836">
        <f>K2836-G2836*H2836/k_n</f>
        <v/>
      </c>
      <c r="S2836">
        <f>L2836-LTP3!$D$3*G2836/k_n</f>
        <v/>
      </c>
      <c r="T2836">
        <f>M2836-LTP3!$D$3*H2836/k_n</f>
        <v/>
      </c>
      <c r="U2836">
        <f>N2836-G2836*LTP3!$D$4/k_n</f>
        <v/>
      </c>
      <c r="V2836">
        <f>O2836-H2836*LTP3!$D$4/k_n</f>
        <v/>
      </c>
      <c r="W2836">
        <f>((LTP3!$D$5)*((P2836)*(Q2836)-(R2836)*(R2836))-(S2836)*((S2836)*(Q2836)-(R2836)*(T2836))+(T2836)*((S2836)*(R2836)-(P2836)*(T2836)))</f>
        <v/>
      </c>
      <c r="X2836">
        <f>IF(ABS(W2836)&gt;1E-12,((LTP3!$D$6)*((P2836)*(Q2836)-(R2836)*(R2836))-(S2836)*((U2836)*(Q2836)-(R2836)*(V2836))+(T2836)*((U2836)*(R2836)-(P2836)*(V2836)))/W2836,0)</f>
        <v/>
      </c>
      <c r="Y2836">
        <f>IF(ABS(W2836)&gt;1E-12,((LTP3!$D$5)*((U2836)*(Q2836)-(R2836)*(V2836))-(LTP3!$D$6)*((S2836)*(Q2836)-(R2836)*(T2836))+(T2836)*((S2836)*(V2836)-(U2836)*(T2836)))/W2836,0)</f>
        <v/>
      </c>
      <c r="Z2836">
        <f>IF(ABS(W2836)&gt;1E-12,((LTP3!$D$5)*((P2836)*(V2836)-(U2836)*(R2836))-(S2836)*((S2836)*(V2836)-(U2836)*(T2836))+(LTP3!$D$6)*((S2836)*(R2836)-(P2836)*(T2836)))/W2836,0)</f>
        <v/>
      </c>
      <c r="AA2836">
        <f>LTP3!$D$7-X2836*LTP3!$D$6-Y2836*U2836-Z2836*V2836</f>
        <v/>
      </c>
      <c r="AB2836">
        <f>IF(AND(F2836,ABS(W2836)&gt;1E-12,Y2836&gt;0,Z2836&gt;0),AA2836,1E+300)</f>
        <v/>
      </c>
    </row>
    <row r="2837">
      <c r="A2837">
        <f>$B$3+$B$5*46</f>
        <v/>
      </c>
      <c r="B2837">
        <f>$B$3+$B$5*19</f>
        <v/>
      </c>
      <c r="C2837">
        <f>SUMPRODUCT(Calc!$K$3:$K$22*(Calc!$G$3:$G$22&lt;=A2837))</f>
        <v/>
      </c>
      <c r="D2837">
        <f>SUMPRODUCT(Calc!$K$3:$K$22*(Calc!$G$3:$G$22&gt;A2837)*(Calc!$G$3:$G$22&lt;B2837))</f>
        <v/>
      </c>
      <c r="E2837">
        <f>SUMPRODUCT(Calc!$K$3:$K$22*(Calc!$G$3:$G$22&gt;=B2837))</f>
        <v/>
      </c>
      <c r="F2837">
        <f>AND(k_n&gt;=5,B2837&gt;A2837+1E-9,C2837&gt;=2,D2837&gt;=1,E2837&gt;=2)</f>
        <v/>
      </c>
      <c r="G2837">
        <f>SUMPRODUCT(Calc!$K$3:$K$22*(Calc!$G$3:$G$22&gt;A2837)*(Calc!$G$3:$G$22-A2837))</f>
        <v/>
      </c>
      <c r="H2837">
        <f>SUMPRODUCT(Calc!$K$3:$K$22*(Calc!$G$3:$G$22&gt;B2837)*(Calc!$G$3:$G$22-B2837))</f>
        <v/>
      </c>
      <c r="I2837">
        <f>SUMPRODUCT(Calc!$K$3:$K$22*(Calc!$G$3:$G$22&gt;A2837)*(Calc!$G$3:$G$22-A2837)^2)</f>
        <v/>
      </c>
      <c r="J2837">
        <f>SUMPRODUCT(Calc!$K$3:$K$22*(Calc!$G$3:$G$22&gt;B2837)*(Calc!$G$3:$G$22-B2837)^2)</f>
        <v/>
      </c>
      <c r="K2837">
        <f>SUMPRODUCT(Calc!$K$3:$K$22*(Calc!$G$3:$G$22&gt;A2837)*(Calc!$G$3:$G$22-A2837)*(Calc!$G$3:$G$22&gt;B2837)*(Calc!$G$3:$G$22-B2837))</f>
        <v/>
      </c>
      <c r="L2837">
        <f>SUMPRODUCT(Calc!$K$3:$K$22*(Calc!$G$3:$G$22&gt;A2837)*(Calc!$G$3:$G$22-A2837)*Calc!$G$3:$G$22)</f>
        <v/>
      </c>
      <c r="M2837">
        <f>SUMPRODUCT(Calc!$K$3:$K$22*(Calc!$G$3:$G$22&gt;B2837)*(Calc!$G$3:$G$22-B2837)*Calc!$G$3:$G$22)</f>
        <v/>
      </c>
      <c r="N2837">
        <f>SUMPRODUCT(Calc!$K$3:$K$22*(Calc!$G$3:$G$22&gt;A2837)*(Calc!$G$3:$G$22-A2837)*Calc!$I$3:$I$22)</f>
        <v/>
      </c>
      <c r="O2837">
        <f>SUMPRODUCT(Calc!$K$3:$K$22*(Calc!$G$3:$G$22&gt;B2837)*(Calc!$G$3:$G$22-B2837)*Calc!$I$3:$I$22)</f>
        <v/>
      </c>
      <c r="P2837">
        <f>I2837-G2837^2/k_n</f>
        <v/>
      </c>
      <c r="Q2837">
        <f>J2837-H2837^2/k_n</f>
        <v/>
      </c>
      <c r="R2837">
        <f>K2837-G2837*H2837/k_n</f>
        <v/>
      </c>
      <c r="S2837">
        <f>L2837-LTP3!$D$3*G2837/k_n</f>
        <v/>
      </c>
      <c r="T2837">
        <f>M2837-LTP3!$D$3*H2837/k_n</f>
        <v/>
      </c>
      <c r="U2837">
        <f>N2837-G2837*LTP3!$D$4/k_n</f>
        <v/>
      </c>
      <c r="V2837">
        <f>O2837-H2837*LTP3!$D$4/k_n</f>
        <v/>
      </c>
      <c r="W2837">
        <f>((LTP3!$D$5)*((P2837)*(Q2837)-(R2837)*(R2837))-(S2837)*((S2837)*(Q2837)-(R2837)*(T2837))+(T2837)*((S2837)*(R2837)-(P2837)*(T2837)))</f>
        <v/>
      </c>
      <c r="X2837">
        <f>IF(ABS(W2837)&gt;1E-12,((LTP3!$D$6)*((P2837)*(Q2837)-(R2837)*(R2837))-(S2837)*((U2837)*(Q2837)-(R2837)*(V2837))+(T2837)*((U2837)*(R2837)-(P2837)*(V2837)))/W2837,0)</f>
        <v/>
      </c>
      <c r="Y2837">
        <f>IF(ABS(W2837)&gt;1E-12,((LTP3!$D$5)*((U2837)*(Q2837)-(R2837)*(V2837))-(LTP3!$D$6)*((S2837)*(Q2837)-(R2837)*(T2837))+(T2837)*((S2837)*(V2837)-(U2837)*(T2837)))/W2837,0)</f>
        <v/>
      </c>
      <c r="Z2837">
        <f>IF(ABS(W2837)&gt;1E-12,((LTP3!$D$5)*((P2837)*(V2837)-(U2837)*(R2837))-(S2837)*((S2837)*(V2837)-(U2837)*(T2837))+(LTP3!$D$6)*((S2837)*(R2837)-(P2837)*(T2837)))/W2837,0)</f>
        <v/>
      </c>
      <c r="AA2837">
        <f>LTP3!$D$7-X2837*LTP3!$D$6-Y2837*U2837-Z2837*V2837</f>
        <v/>
      </c>
      <c r="AB2837">
        <f>IF(AND(F2837,ABS(W2837)&gt;1E-12,Y2837&gt;0,Z2837&gt;0),AA2837,1E+300)</f>
        <v/>
      </c>
    </row>
    <row r="2838">
      <c r="A2838">
        <f>$B$3+$B$5*46</f>
        <v/>
      </c>
      <c r="B2838">
        <f>$B$3+$B$5*20</f>
        <v/>
      </c>
      <c r="C2838">
        <f>SUMPRODUCT(Calc!$K$3:$K$22*(Calc!$G$3:$G$22&lt;=A2838))</f>
        <v/>
      </c>
      <c r="D2838">
        <f>SUMPRODUCT(Calc!$K$3:$K$22*(Calc!$G$3:$G$22&gt;A2838)*(Calc!$G$3:$G$22&lt;B2838))</f>
        <v/>
      </c>
      <c r="E2838">
        <f>SUMPRODUCT(Calc!$K$3:$K$22*(Calc!$G$3:$G$22&gt;=B2838))</f>
        <v/>
      </c>
      <c r="F2838">
        <f>AND(k_n&gt;=5,B2838&gt;A2838+1E-9,C2838&gt;=2,D2838&gt;=1,E2838&gt;=2)</f>
        <v/>
      </c>
      <c r="G2838">
        <f>SUMPRODUCT(Calc!$K$3:$K$22*(Calc!$G$3:$G$22&gt;A2838)*(Calc!$G$3:$G$22-A2838))</f>
        <v/>
      </c>
      <c r="H2838">
        <f>SUMPRODUCT(Calc!$K$3:$K$22*(Calc!$G$3:$G$22&gt;B2838)*(Calc!$G$3:$G$22-B2838))</f>
        <v/>
      </c>
      <c r="I2838">
        <f>SUMPRODUCT(Calc!$K$3:$K$22*(Calc!$G$3:$G$22&gt;A2838)*(Calc!$G$3:$G$22-A2838)^2)</f>
        <v/>
      </c>
      <c r="J2838">
        <f>SUMPRODUCT(Calc!$K$3:$K$22*(Calc!$G$3:$G$22&gt;B2838)*(Calc!$G$3:$G$22-B2838)^2)</f>
        <v/>
      </c>
      <c r="K2838">
        <f>SUMPRODUCT(Calc!$K$3:$K$22*(Calc!$G$3:$G$22&gt;A2838)*(Calc!$G$3:$G$22-A2838)*(Calc!$G$3:$G$22&gt;B2838)*(Calc!$G$3:$G$22-B2838))</f>
        <v/>
      </c>
      <c r="L2838">
        <f>SUMPRODUCT(Calc!$K$3:$K$22*(Calc!$G$3:$G$22&gt;A2838)*(Calc!$G$3:$G$22-A2838)*Calc!$G$3:$G$22)</f>
        <v/>
      </c>
      <c r="M2838">
        <f>SUMPRODUCT(Calc!$K$3:$K$22*(Calc!$G$3:$G$22&gt;B2838)*(Calc!$G$3:$G$22-B2838)*Calc!$G$3:$G$22)</f>
        <v/>
      </c>
      <c r="N2838">
        <f>SUMPRODUCT(Calc!$K$3:$K$22*(Calc!$G$3:$G$22&gt;A2838)*(Calc!$G$3:$G$22-A2838)*Calc!$I$3:$I$22)</f>
        <v/>
      </c>
      <c r="O2838">
        <f>SUMPRODUCT(Calc!$K$3:$K$22*(Calc!$G$3:$G$22&gt;B2838)*(Calc!$G$3:$G$22-B2838)*Calc!$I$3:$I$22)</f>
        <v/>
      </c>
      <c r="P2838">
        <f>I2838-G2838^2/k_n</f>
        <v/>
      </c>
      <c r="Q2838">
        <f>J2838-H2838^2/k_n</f>
        <v/>
      </c>
      <c r="R2838">
        <f>K2838-G2838*H2838/k_n</f>
        <v/>
      </c>
      <c r="S2838">
        <f>L2838-LTP3!$D$3*G2838/k_n</f>
        <v/>
      </c>
      <c r="T2838">
        <f>M2838-LTP3!$D$3*H2838/k_n</f>
        <v/>
      </c>
      <c r="U2838">
        <f>N2838-G2838*LTP3!$D$4/k_n</f>
        <v/>
      </c>
      <c r="V2838">
        <f>O2838-H2838*LTP3!$D$4/k_n</f>
        <v/>
      </c>
      <c r="W2838">
        <f>((LTP3!$D$5)*((P2838)*(Q2838)-(R2838)*(R2838))-(S2838)*((S2838)*(Q2838)-(R2838)*(T2838))+(T2838)*((S2838)*(R2838)-(P2838)*(T2838)))</f>
        <v/>
      </c>
      <c r="X2838">
        <f>IF(ABS(W2838)&gt;1E-12,((LTP3!$D$6)*((P2838)*(Q2838)-(R2838)*(R2838))-(S2838)*((U2838)*(Q2838)-(R2838)*(V2838))+(T2838)*((U2838)*(R2838)-(P2838)*(V2838)))/W2838,0)</f>
        <v/>
      </c>
      <c r="Y2838">
        <f>IF(ABS(W2838)&gt;1E-12,((LTP3!$D$5)*((U2838)*(Q2838)-(R2838)*(V2838))-(LTP3!$D$6)*((S2838)*(Q2838)-(R2838)*(T2838))+(T2838)*((S2838)*(V2838)-(U2838)*(T2838)))/W2838,0)</f>
        <v/>
      </c>
      <c r="Z2838">
        <f>IF(ABS(W2838)&gt;1E-12,((LTP3!$D$5)*((P2838)*(V2838)-(U2838)*(R2838))-(S2838)*((S2838)*(V2838)-(U2838)*(T2838))+(LTP3!$D$6)*((S2838)*(R2838)-(P2838)*(T2838)))/W2838,0)</f>
        <v/>
      </c>
      <c r="AA2838">
        <f>LTP3!$D$7-X2838*LTP3!$D$6-Y2838*U2838-Z2838*V2838</f>
        <v/>
      </c>
      <c r="AB2838">
        <f>IF(AND(F2838,ABS(W2838)&gt;1E-12,Y2838&gt;0,Z2838&gt;0),AA2838,1E+300)</f>
        <v/>
      </c>
    </row>
    <row r="2839">
      <c r="A2839">
        <f>$B$3+$B$5*46</f>
        <v/>
      </c>
      <c r="B2839">
        <f>$B$3+$B$5*21</f>
        <v/>
      </c>
      <c r="C2839">
        <f>SUMPRODUCT(Calc!$K$3:$K$22*(Calc!$G$3:$G$22&lt;=A2839))</f>
        <v/>
      </c>
      <c r="D2839">
        <f>SUMPRODUCT(Calc!$K$3:$K$22*(Calc!$G$3:$G$22&gt;A2839)*(Calc!$G$3:$G$22&lt;B2839))</f>
        <v/>
      </c>
      <c r="E2839">
        <f>SUMPRODUCT(Calc!$K$3:$K$22*(Calc!$G$3:$G$22&gt;=B2839))</f>
        <v/>
      </c>
      <c r="F2839">
        <f>AND(k_n&gt;=5,B2839&gt;A2839+1E-9,C2839&gt;=2,D2839&gt;=1,E2839&gt;=2)</f>
        <v/>
      </c>
      <c r="G2839">
        <f>SUMPRODUCT(Calc!$K$3:$K$22*(Calc!$G$3:$G$22&gt;A2839)*(Calc!$G$3:$G$22-A2839))</f>
        <v/>
      </c>
      <c r="H2839">
        <f>SUMPRODUCT(Calc!$K$3:$K$22*(Calc!$G$3:$G$22&gt;B2839)*(Calc!$G$3:$G$22-B2839))</f>
        <v/>
      </c>
      <c r="I2839">
        <f>SUMPRODUCT(Calc!$K$3:$K$22*(Calc!$G$3:$G$22&gt;A2839)*(Calc!$G$3:$G$22-A2839)^2)</f>
        <v/>
      </c>
      <c r="J2839">
        <f>SUMPRODUCT(Calc!$K$3:$K$22*(Calc!$G$3:$G$22&gt;B2839)*(Calc!$G$3:$G$22-B2839)^2)</f>
        <v/>
      </c>
      <c r="K2839">
        <f>SUMPRODUCT(Calc!$K$3:$K$22*(Calc!$G$3:$G$22&gt;A2839)*(Calc!$G$3:$G$22-A2839)*(Calc!$G$3:$G$22&gt;B2839)*(Calc!$G$3:$G$22-B2839))</f>
        <v/>
      </c>
      <c r="L2839">
        <f>SUMPRODUCT(Calc!$K$3:$K$22*(Calc!$G$3:$G$22&gt;A2839)*(Calc!$G$3:$G$22-A2839)*Calc!$G$3:$G$22)</f>
        <v/>
      </c>
      <c r="M2839">
        <f>SUMPRODUCT(Calc!$K$3:$K$22*(Calc!$G$3:$G$22&gt;B2839)*(Calc!$G$3:$G$22-B2839)*Calc!$G$3:$G$22)</f>
        <v/>
      </c>
      <c r="N2839">
        <f>SUMPRODUCT(Calc!$K$3:$K$22*(Calc!$G$3:$G$22&gt;A2839)*(Calc!$G$3:$G$22-A2839)*Calc!$I$3:$I$22)</f>
        <v/>
      </c>
      <c r="O2839">
        <f>SUMPRODUCT(Calc!$K$3:$K$22*(Calc!$G$3:$G$22&gt;B2839)*(Calc!$G$3:$G$22-B2839)*Calc!$I$3:$I$22)</f>
        <v/>
      </c>
      <c r="P2839">
        <f>I2839-G2839^2/k_n</f>
        <v/>
      </c>
      <c r="Q2839">
        <f>J2839-H2839^2/k_n</f>
        <v/>
      </c>
      <c r="R2839">
        <f>K2839-G2839*H2839/k_n</f>
        <v/>
      </c>
      <c r="S2839">
        <f>L2839-LTP3!$D$3*G2839/k_n</f>
        <v/>
      </c>
      <c r="T2839">
        <f>M2839-LTP3!$D$3*H2839/k_n</f>
        <v/>
      </c>
      <c r="U2839">
        <f>N2839-G2839*LTP3!$D$4/k_n</f>
        <v/>
      </c>
      <c r="V2839">
        <f>O2839-H2839*LTP3!$D$4/k_n</f>
        <v/>
      </c>
      <c r="W2839">
        <f>((LTP3!$D$5)*((P2839)*(Q2839)-(R2839)*(R2839))-(S2839)*((S2839)*(Q2839)-(R2839)*(T2839))+(T2839)*((S2839)*(R2839)-(P2839)*(T2839)))</f>
        <v/>
      </c>
      <c r="X2839">
        <f>IF(ABS(W2839)&gt;1E-12,((LTP3!$D$6)*((P2839)*(Q2839)-(R2839)*(R2839))-(S2839)*((U2839)*(Q2839)-(R2839)*(V2839))+(T2839)*((U2839)*(R2839)-(P2839)*(V2839)))/W2839,0)</f>
        <v/>
      </c>
      <c r="Y2839">
        <f>IF(ABS(W2839)&gt;1E-12,((LTP3!$D$5)*((U2839)*(Q2839)-(R2839)*(V2839))-(LTP3!$D$6)*((S2839)*(Q2839)-(R2839)*(T2839))+(T2839)*((S2839)*(V2839)-(U2839)*(T2839)))/W2839,0)</f>
        <v/>
      </c>
      <c r="Z2839">
        <f>IF(ABS(W2839)&gt;1E-12,((LTP3!$D$5)*((P2839)*(V2839)-(U2839)*(R2839))-(S2839)*((S2839)*(V2839)-(U2839)*(T2839))+(LTP3!$D$6)*((S2839)*(R2839)-(P2839)*(T2839)))/W2839,0)</f>
        <v/>
      </c>
      <c r="AA2839">
        <f>LTP3!$D$7-X2839*LTP3!$D$6-Y2839*U2839-Z2839*V2839</f>
        <v/>
      </c>
      <c r="AB2839">
        <f>IF(AND(F2839,ABS(W2839)&gt;1E-12,Y2839&gt;0,Z2839&gt;0),AA2839,1E+300)</f>
        <v/>
      </c>
    </row>
    <row r="2840">
      <c r="A2840">
        <f>$B$3+$B$5*46</f>
        <v/>
      </c>
      <c r="B2840">
        <f>$B$3+$B$5*22</f>
        <v/>
      </c>
      <c r="C2840">
        <f>SUMPRODUCT(Calc!$K$3:$K$22*(Calc!$G$3:$G$22&lt;=A2840))</f>
        <v/>
      </c>
      <c r="D2840">
        <f>SUMPRODUCT(Calc!$K$3:$K$22*(Calc!$G$3:$G$22&gt;A2840)*(Calc!$G$3:$G$22&lt;B2840))</f>
        <v/>
      </c>
      <c r="E2840">
        <f>SUMPRODUCT(Calc!$K$3:$K$22*(Calc!$G$3:$G$22&gt;=B2840))</f>
        <v/>
      </c>
      <c r="F2840">
        <f>AND(k_n&gt;=5,B2840&gt;A2840+1E-9,C2840&gt;=2,D2840&gt;=1,E2840&gt;=2)</f>
        <v/>
      </c>
      <c r="G2840">
        <f>SUMPRODUCT(Calc!$K$3:$K$22*(Calc!$G$3:$G$22&gt;A2840)*(Calc!$G$3:$G$22-A2840))</f>
        <v/>
      </c>
      <c r="H2840">
        <f>SUMPRODUCT(Calc!$K$3:$K$22*(Calc!$G$3:$G$22&gt;B2840)*(Calc!$G$3:$G$22-B2840))</f>
        <v/>
      </c>
      <c r="I2840">
        <f>SUMPRODUCT(Calc!$K$3:$K$22*(Calc!$G$3:$G$22&gt;A2840)*(Calc!$G$3:$G$22-A2840)^2)</f>
        <v/>
      </c>
      <c r="J2840">
        <f>SUMPRODUCT(Calc!$K$3:$K$22*(Calc!$G$3:$G$22&gt;B2840)*(Calc!$G$3:$G$22-B2840)^2)</f>
        <v/>
      </c>
      <c r="K2840">
        <f>SUMPRODUCT(Calc!$K$3:$K$22*(Calc!$G$3:$G$22&gt;A2840)*(Calc!$G$3:$G$22-A2840)*(Calc!$G$3:$G$22&gt;B2840)*(Calc!$G$3:$G$22-B2840))</f>
        <v/>
      </c>
      <c r="L2840">
        <f>SUMPRODUCT(Calc!$K$3:$K$22*(Calc!$G$3:$G$22&gt;A2840)*(Calc!$G$3:$G$22-A2840)*Calc!$G$3:$G$22)</f>
        <v/>
      </c>
      <c r="M2840">
        <f>SUMPRODUCT(Calc!$K$3:$K$22*(Calc!$G$3:$G$22&gt;B2840)*(Calc!$G$3:$G$22-B2840)*Calc!$G$3:$G$22)</f>
        <v/>
      </c>
      <c r="N2840">
        <f>SUMPRODUCT(Calc!$K$3:$K$22*(Calc!$G$3:$G$22&gt;A2840)*(Calc!$G$3:$G$22-A2840)*Calc!$I$3:$I$22)</f>
        <v/>
      </c>
      <c r="O2840">
        <f>SUMPRODUCT(Calc!$K$3:$K$22*(Calc!$G$3:$G$22&gt;B2840)*(Calc!$G$3:$G$22-B2840)*Calc!$I$3:$I$22)</f>
        <v/>
      </c>
      <c r="P2840">
        <f>I2840-G2840^2/k_n</f>
        <v/>
      </c>
      <c r="Q2840">
        <f>J2840-H2840^2/k_n</f>
        <v/>
      </c>
      <c r="R2840">
        <f>K2840-G2840*H2840/k_n</f>
        <v/>
      </c>
      <c r="S2840">
        <f>L2840-LTP3!$D$3*G2840/k_n</f>
        <v/>
      </c>
      <c r="T2840">
        <f>M2840-LTP3!$D$3*H2840/k_n</f>
        <v/>
      </c>
      <c r="U2840">
        <f>N2840-G2840*LTP3!$D$4/k_n</f>
        <v/>
      </c>
      <c r="V2840">
        <f>O2840-H2840*LTP3!$D$4/k_n</f>
        <v/>
      </c>
      <c r="W2840">
        <f>((LTP3!$D$5)*((P2840)*(Q2840)-(R2840)*(R2840))-(S2840)*((S2840)*(Q2840)-(R2840)*(T2840))+(T2840)*((S2840)*(R2840)-(P2840)*(T2840)))</f>
        <v/>
      </c>
      <c r="X2840">
        <f>IF(ABS(W2840)&gt;1E-12,((LTP3!$D$6)*((P2840)*(Q2840)-(R2840)*(R2840))-(S2840)*((U2840)*(Q2840)-(R2840)*(V2840))+(T2840)*((U2840)*(R2840)-(P2840)*(V2840)))/W2840,0)</f>
        <v/>
      </c>
      <c r="Y2840">
        <f>IF(ABS(W2840)&gt;1E-12,((LTP3!$D$5)*((U2840)*(Q2840)-(R2840)*(V2840))-(LTP3!$D$6)*((S2840)*(Q2840)-(R2840)*(T2840))+(T2840)*((S2840)*(V2840)-(U2840)*(T2840)))/W2840,0)</f>
        <v/>
      </c>
      <c r="Z2840">
        <f>IF(ABS(W2840)&gt;1E-12,((LTP3!$D$5)*((P2840)*(V2840)-(U2840)*(R2840))-(S2840)*((S2840)*(V2840)-(U2840)*(T2840))+(LTP3!$D$6)*((S2840)*(R2840)-(P2840)*(T2840)))/W2840,0)</f>
        <v/>
      </c>
      <c r="AA2840">
        <f>LTP3!$D$7-X2840*LTP3!$D$6-Y2840*U2840-Z2840*V2840</f>
        <v/>
      </c>
      <c r="AB2840">
        <f>IF(AND(F2840,ABS(W2840)&gt;1E-12,Y2840&gt;0,Z2840&gt;0),AA2840,1E+300)</f>
        <v/>
      </c>
    </row>
    <row r="2841">
      <c r="A2841">
        <f>$B$3+$B$5*46</f>
        <v/>
      </c>
      <c r="B2841">
        <f>$B$3+$B$5*23</f>
        <v/>
      </c>
      <c r="C2841">
        <f>SUMPRODUCT(Calc!$K$3:$K$22*(Calc!$G$3:$G$22&lt;=A2841))</f>
        <v/>
      </c>
      <c r="D2841">
        <f>SUMPRODUCT(Calc!$K$3:$K$22*(Calc!$G$3:$G$22&gt;A2841)*(Calc!$G$3:$G$22&lt;B2841))</f>
        <v/>
      </c>
      <c r="E2841">
        <f>SUMPRODUCT(Calc!$K$3:$K$22*(Calc!$G$3:$G$22&gt;=B2841))</f>
        <v/>
      </c>
      <c r="F2841">
        <f>AND(k_n&gt;=5,B2841&gt;A2841+1E-9,C2841&gt;=2,D2841&gt;=1,E2841&gt;=2)</f>
        <v/>
      </c>
      <c r="G2841">
        <f>SUMPRODUCT(Calc!$K$3:$K$22*(Calc!$G$3:$G$22&gt;A2841)*(Calc!$G$3:$G$22-A2841))</f>
        <v/>
      </c>
      <c r="H2841">
        <f>SUMPRODUCT(Calc!$K$3:$K$22*(Calc!$G$3:$G$22&gt;B2841)*(Calc!$G$3:$G$22-B2841))</f>
        <v/>
      </c>
      <c r="I2841">
        <f>SUMPRODUCT(Calc!$K$3:$K$22*(Calc!$G$3:$G$22&gt;A2841)*(Calc!$G$3:$G$22-A2841)^2)</f>
        <v/>
      </c>
      <c r="J2841">
        <f>SUMPRODUCT(Calc!$K$3:$K$22*(Calc!$G$3:$G$22&gt;B2841)*(Calc!$G$3:$G$22-B2841)^2)</f>
        <v/>
      </c>
      <c r="K2841">
        <f>SUMPRODUCT(Calc!$K$3:$K$22*(Calc!$G$3:$G$22&gt;A2841)*(Calc!$G$3:$G$22-A2841)*(Calc!$G$3:$G$22&gt;B2841)*(Calc!$G$3:$G$22-B2841))</f>
        <v/>
      </c>
      <c r="L2841">
        <f>SUMPRODUCT(Calc!$K$3:$K$22*(Calc!$G$3:$G$22&gt;A2841)*(Calc!$G$3:$G$22-A2841)*Calc!$G$3:$G$22)</f>
        <v/>
      </c>
      <c r="M2841">
        <f>SUMPRODUCT(Calc!$K$3:$K$22*(Calc!$G$3:$G$22&gt;B2841)*(Calc!$G$3:$G$22-B2841)*Calc!$G$3:$G$22)</f>
        <v/>
      </c>
      <c r="N2841">
        <f>SUMPRODUCT(Calc!$K$3:$K$22*(Calc!$G$3:$G$22&gt;A2841)*(Calc!$G$3:$G$22-A2841)*Calc!$I$3:$I$22)</f>
        <v/>
      </c>
      <c r="O2841">
        <f>SUMPRODUCT(Calc!$K$3:$K$22*(Calc!$G$3:$G$22&gt;B2841)*(Calc!$G$3:$G$22-B2841)*Calc!$I$3:$I$22)</f>
        <v/>
      </c>
      <c r="P2841">
        <f>I2841-G2841^2/k_n</f>
        <v/>
      </c>
      <c r="Q2841">
        <f>J2841-H2841^2/k_n</f>
        <v/>
      </c>
      <c r="R2841">
        <f>K2841-G2841*H2841/k_n</f>
        <v/>
      </c>
      <c r="S2841">
        <f>L2841-LTP3!$D$3*G2841/k_n</f>
        <v/>
      </c>
      <c r="T2841">
        <f>M2841-LTP3!$D$3*H2841/k_n</f>
        <v/>
      </c>
      <c r="U2841">
        <f>N2841-G2841*LTP3!$D$4/k_n</f>
        <v/>
      </c>
      <c r="V2841">
        <f>O2841-H2841*LTP3!$D$4/k_n</f>
        <v/>
      </c>
      <c r="W2841">
        <f>((LTP3!$D$5)*((P2841)*(Q2841)-(R2841)*(R2841))-(S2841)*((S2841)*(Q2841)-(R2841)*(T2841))+(T2841)*((S2841)*(R2841)-(P2841)*(T2841)))</f>
        <v/>
      </c>
      <c r="X2841">
        <f>IF(ABS(W2841)&gt;1E-12,((LTP3!$D$6)*((P2841)*(Q2841)-(R2841)*(R2841))-(S2841)*((U2841)*(Q2841)-(R2841)*(V2841))+(T2841)*((U2841)*(R2841)-(P2841)*(V2841)))/W2841,0)</f>
        <v/>
      </c>
      <c r="Y2841">
        <f>IF(ABS(W2841)&gt;1E-12,((LTP3!$D$5)*((U2841)*(Q2841)-(R2841)*(V2841))-(LTP3!$D$6)*((S2841)*(Q2841)-(R2841)*(T2841))+(T2841)*((S2841)*(V2841)-(U2841)*(T2841)))/W2841,0)</f>
        <v/>
      </c>
      <c r="Z2841">
        <f>IF(ABS(W2841)&gt;1E-12,((LTP3!$D$5)*((P2841)*(V2841)-(U2841)*(R2841))-(S2841)*((S2841)*(V2841)-(U2841)*(T2841))+(LTP3!$D$6)*((S2841)*(R2841)-(P2841)*(T2841)))/W2841,0)</f>
        <v/>
      </c>
      <c r="AA2841">
        <f>LTP3!$D$7-X2841*LTP3!$D$6-Y2841*U2841-Z2841*V2841</f>
        <v/>
      </c>
      <c r="AB2841">
        <f>IF(AND(F2841,ABS(W2841)&gt;1E-12,Y2841&gt;0,Z2841&gt;0),AA2841,1E+300)</f>
        <v/>
      </c>
    </row>
    <row r="2842">
      <c r="A2842">
        <f>$B$3+$B$5*46</f>
        <v/>
      </c>
      <c r="B2842">
        <f>$B$3+$B$5*24</f>
        <v/>
      </c>
      <c r="C2842">
        <f>SUMPRODUCT(Calc!$K$3:$K$22*(Calc!$G$3:$G$22&lt;=A2842))</f>
        <v/>
      </c>
      <c r="D2842">
        <f>SUMPRODUCT(Calc!$K$3:$K$22*(Calc!$G$3:$G$22&gt;A2842)*(Calc!$G$3:$G$22&lt;B2842))</f>
        <v/>
      </c>
      <c r="E2842">
        <f>SUMPRODUCT(Calc!$K$3:$K$22*(Calc!$G$3:$G$22&gt;=B2842))</f>
        <v/>
      </c>
      <c r="F2842">
        <f>AND(k_n&gt;=5,B2842&gt;A2842+1E-9,C2842&gt;=2,D2842&gt;=1,E2842&gt;=2)</f>
        <v/>
      </c>
      <c r="G2842">
        <f>SUMPRODUCT(Calc!$K$3:$K$22*(Calc!$G$3:$G$22&gt;A2842)*(Calc!$G$3:$G$22-A2842))</f>
        <v/>
      </c>
      <c r="H2842">
        <f>SUMPRODUCT(Calc!$K$3:$K$22*(Calc!$G$3:$G$22&gt;B2842)*(Calc!$G$3:$G$22-B2842))</f>
        <v/>
      </c>
      <c r="I2842">
        <f>SUMPRODUCT(Calc!$K$3:$K$22*(Calc!$G$3:$G$22&gt;A2842)*(Calc!$G$3:$G$22-A2842)^2)</f>
        <v/>
      </c>
      <c r="J2842">
        <f>SUMPRODUCT(Calc!$K$3:$K$22*(Calc!$G$3:$G$22&gt;B2842)*(Calc!$G$3:$G$22-B2842)^2)</f>
        <v/>
      </c>
      <c r="K2842">
        <f>SUMPRODUCT(Calc!$K$3:$K$22*(Calc!$G$3:$G$22&gt;A2842)*(Calc!$G$3:$G$22-A2842)*(Calc!$G$3:$G$22&gt;B2842)*(Calc!$G$3:$G$22-B2842))</f>
        <v/>
      </c>
      <c r="L2842">
        <f>SUMPRODUCT(Calc!$K$3:$K$22*(Calc!$G$3:$G$22&gt;A2842)*(Calc!$G$3:$G$22-A2842)*Calc!$G$3:$G$22)</f>
        <v/>
      </c>
      <c r="M2842">
        <f>SUMPRODUCT(Calc!$K$3:$K$22*(Calc!$G$3:$G$22&gt;B2842)*(Calc!$G$3:$G$22-B2842)*Calc!$G$3:$G$22)</f>
        <v/>
      </c>
      <c r="N2842">
        <f>SUMPRODUCT(Calc!$K$3:$K$22*(Calc!$G$3:$G$22&gt;A2842)*(Calc!$G$3:$G$22-A2842)*Calc!$I$3:$I$22)</f>
        <v/>
      </c>
      <c r="O2842">
        <f>SUMPRODUCT(Calc!$K$3:$K$22*(Calc!$G$3:$G$22&gt;B2842)*(Calc!$G$3:$G$22-B2842)*Calc!$I$3:$I$22)</f>
        <v/>
      </c>
      <c r="P2842">
        <f>I2842-G2842^2/k_n</f>
        <v/>
      </c>
      <c r="Q2842">
        <f>J2842-H2842^2/k_n</f>
        <v/>
      </c>
      <c r="R2842">
        <f>K2842-G2842*H2842/k_n</f>
        <v/>
      </c>
      <c r="S2842">
        <f>L2842-LTP3!$D$3*G2842/k_n</f>
        <v/>
      </c>
      <c r="T2842">
        <f>M2842-LTP3!$D$3*H2842/k_n</f>
        <v/>
      </c>
      <c r="U2842">
        <f>N2842-G2842*LTP3!$D$4/k_n</f>
        <v/>
      </c>
      <c r="V2842">
        <f>O2842-H2842*LTP3!$D$4/k_n</f>
        <v/>
      </c>
      <c r="W2842">
        <f>((LTP3!$D$5)*((P2842)*(Q2842)-(R2842)*(R2842))-(S2842)*((S2842)*(Q2842)-(R2842)*(T2842))+(T2842)*((S2842)*(R2842)-(P2842)*(T2842)))</f>
        <v/>
      </c>
      <c r="X2842">
        <f>IF(ABS(W2842)&gt;1E-12,((LTP3!$D$6)*((P2842)*(Q2842)-(R2842)*(R2842))-(S2842)*((U2842)*(Q2842)-(R2842)*(V2842))+(T2842)*((U2842)*(R2842)-(P2842)*(V2842)))/W2842,0)</f>
        <v/>
      </c>
      <c r="Y2842">
        <f>IF(ABS(W2842)&gt;1E-12,((LTP3!$D$5)*((U2842)*(Q2842)-(R2842)*(V2842))-(LTP3!$D$6)*((S2842)*(Q2842)-(R2842)*(T2842))+(T2842)*((S2842)*(V2842)-(U2842)*(T2842)))/W2842,0)</f>
        <v/>
      </c>
      <c r="Z2842">
        <f>IF(ABS(W2842)&gt;1E-12,((LTP3!$D$5)*((P2842)*(V2842)-(U2842)*(R2842))-(S2842)*((S2842)*(V2842)-(U2842)*(T2842))+(LTP3!$D$6)*((S2842)*(R2842)-(P2842)*(T2842)))/W2842,0)</f>
        <v/>
      </c>
      <c r="AA2842">
        <f>LTP3!$D$7-X2842*LTP3!$D$6-Y2842*U2842-Z2842*V2842</f>
        <v/>
      </c>
      <c r="AB2842">
        <f>IF(AND(F2842,ABS(W2842)&gt;1E-12,Y2842&gt;0,Z2842&gt;0),AA2842,1E+300)</f>
        <v/>
      </c>
    </row>
    <row r="2843">
      <c r="A2843">
        <f>$B$3+$B$5*46</f>
        <v/>
      </c>
      <c r="B2843">
        <f>$B$3+$B$5*25</f>
        <v/>
      </c>
      <c r="C2843">
        <f>SUMPRODUCT(Calc!$K$3:$K$22*(Calc!$G$3:$G$22&lt;=A2843))</f>
        <v/>
      </c>
      <c r="D2843">
        <f>SUMPRODUCT(Calc!$K$3:$K$22*(Calc!$G$3:$G$22&gt;A2843)*(Calc!$G$3:$G$22&lt;B2843))</f>
        <v/>
      </c>
      <c r="E2843">
        <f>SUMPRODUCT(Calc!$K$3:$K$22*(Calc!$G$3:$G$22&gt;=B2843))</f>
        <v/>
      </c>
      <c r="F2843">
        <f>AND(k_n&gt;=5,B2843&gt;A2843+1E-9,C2843&gt;=2,D2843&gt;=1,E2843&gt;=2)</f>
        <v/>
      </c>
      <c r="G2843">
        <f>SUMPRODUCT(Calc!$K$3:$K$22*(Calc!$G$3:$G$22&gt;A2843)*(Calc!$G$3:$G$22-A2843))</f>
        <v/>
      </c>
      <c r="H2843">
        <f>SUMPRODUCT(Calc!$K$3:$K$22*(Calc!$G$3:$G$22&gt;B2843)*(Calc!$G$3:$G$22-B2843))</f>
        <v/>
      </c>
      <c r="I2843">
        <f>SUMPRODUCT(Calc!$K$3:$K$22*(Calc!$G$3:$G$22&gt;A2843)*(Calc!$G$3:$G$22-A2843)^2)</f>
        <v/>
      </c>
      <c r="J2843">
        <f>SUMPRODUCT(Calc!$K$3:$K$22*(Calc!$G$3:$G$22&gt;B2843)*(Calc!$G$3:$G$22-B2843)^2)</f>
        <v/>
      </c>
      <c r="K2843">
        <f>SUMPRODUCT(Calc!$K$3:$K$22*(Calc!$G$3:$G$22&gt;A2843)*(Calc!$G$3:$G$22-A2843)*(Calc!$G$3:$G$22&gt;B2843)*(Calc!$G$3:$G$22-B2843))</f>
        <v/>
      </c>
      <c r="L2843">
        <f>SUMPRODUCT(Calc!$K$3:$K$22*(Calc!$G$3:$G$22&gt;A2843)*(Calc!$G$3:$G$22-A2843)*Calc!$G$3:$G$22)</f>
        <v/>
      </c>
      <c r="M2843">
        <f>SUMPRODUCT(Calc!$K$3:$K$22*(Calc!$G$3:$G$22&gt;B2843)*(Calc!$G$3:$G$22-B2843)*Calc!$G$3:$G$22)</f>
        <v/>
      </c>
      <c r="N2843">
        <f>SUMPRODUCT(Calc!$K$3:$K$22*(Calc!$G$3:$G$22&gt;A2843)*(Calc!$G$3:$G$22-A2843)*Calc!$I$3:$I$22)</f>
        <v/>
      </c>
      <c r="O2843">
        <f>SUMPRODUCT(Calc!$K$3:$K$22*(Calc!$G$3:$G$22&gt;B2843)*(Calc!$G$3:$G$22-B2843)*Calc!$I$3:$I$22)</f>
        <v/>
      </c>
      <c r="P2843">
        <f>I2843-G2843^2/k_n</f>
        <v/>
      </c>
      <c r="Q2843">
        <f>J2843-H2843^2/k_n</f>
        <v/>
      </c>
      <c r="R2843">
        <f>K2843-G2843*H2843/k_n</f>
        <v/>
      </c>
      <c r="S2843">
        <f>L2843-LTP3!$D$3*G2843/k_n</f>
        <v/>
      </c>
      <c r="T2843">
        <f>M2843-LTP3!$D$3*H2843/k_n</f>
        <v/>
      </c>
      <c r="U2843">
        <f>N2843-G2843*LTP3!$D$4/k_n</f>
        <v/>
      </c>
      <c r="V2843">
        <f>O2843-H2843*LTP3!$D$4/k_n</f>
        <v/>
      </c>
      <c r="W2843">
        <f>((LTP3!$D$5)*((P2843)*(Q2843)-(R2843)*(R2843))-(S2843)*((S2843)*(Q2843)-(R2843)*(T2843))+(T2843)*((S2843)*(R2843)-(P2843)*(T2843)))</f>
        <v/>
      </c>
      <c r="X2843">
        <f>IF(ABS(W2843)&gt;1E-12,((LTP3!$D$6)*((P2843)*(Q2843)-(R2843)*(R2843))-(S2843)*((U2843)*(Q2843)-(R2843)*(V2843))+(T2843)*((U2843)*(R2843)-(P2843)*(V2843)))/W2843,0)</f>
        <v/>
      </c>
      <c r="Y2843">
        <f>IF(ABS(W2843)&gt;1E-12,((LTP3!$D$5)*((U2843)*(Q2843)-(R2843)*(V2843))-(LTP3!$D$6)*((S2843)*(Q2843)-(R2843)*(T2843))+(T2843)*((S2843)*(V2843)-(U2843)*(T2843)))/W2843,0)</f>
        <v/>
      </c>
      <c r="Z2843">
        <f>IF(ABS(W2843)&gt;1E-12,((LTP3!$D$5)*((P2843)*(V2843)-(U2843)*(R2843))-(S2843)*((S2843)*(V2843)-(U2843)*(T2843))+(LTP3!$D$6)*((S2843)*(R2843)-(P2843)*(T2843)))/W2843,0)</f>
        <v/>
      </c>
      <c r="AA2843">
        <f>LTP3!$D$7-X2843*LTP3!$D$6-Y2843*U2843-Z2843*V2843</f>
        <v/>
      </c>
      <c r="AB2843">
        <f>IF(AND(F2843,ABS(W2843)&gt;1E-12,Y2843&gt;0,Z2843&gt;0),AA2843,1E+300)</f>
        <v/>
      </c>
    </row>
    <row r="2844">
      <c r="A2844">
        <f>$B$3+$B$5*46</f>
        <v/>
      </c>
      <c r="B2844">
        <f>$B$3+$B$5*26</f>
        <v/>
      </c>
      <c r="C2844">
        <f>SUMPRODUCT(Calc!$K$3:$K$22*(Calc!$G$3:$G$22&lt;=A2844))</f>
        <v/>
      </c>
      <c r="D2844">
        <f>SUMPRODUCT(Calc!$K$3:$K$22*(Calc!$G$3:$G$22&gt;A2844)*(Calc!$G$3:$G$22&lt;B2844))</f>
        <v/>
      </c>
      <c r="E2844">
        <f>SUMPRODUCT(Calc!$K$3:$K$22*(Calc!$G$3:$G$22&gt;=B2844))</f>
        <v/>
      </c>
      <c r="F2844">
        <f>AND(k_n&gt;=5,B2844&gt;A2844+1E-9,C2844&gt;=2,D2844&gt;=1,E2844&gt;=2)</f>
        <v/>
      </c>
      <c r="G2844">
        <f>SUMPRODUCT(Calc!$K$3:$K$22*(Calc!$G$3:$G$22&gt;A2844)*(Calc!$G$3:$G$22-A2844))</f>
        <v/>
      </c>
      <c r="H2844">
        <f>SUMPRODUCT(Calc!$K$3:$K$22*(Calc!$G$3:$G$22&gt;B2844)*(Calc!$G$3:$G$22-B2844))</f>
        <v/>
      </c>
      <c r="I2844">
        <f>SUMPRODUCT(Calc!$K$3:$K$22*(Calc!$G$3:$G$22&gt;A2844)*(Calc!$G$3:$G$22-A2844)^2)</f>
        <v/>
      </c>
      <c r="J2844">
        <f>SUMPRODUCT(Calc!$K$3:$K$22*(Calc!$G$3:$G$22&gt;B2844)*(Calc!$G$3:$G$22-B2844)^2)</f>
        <v/>
      </c>
      <c r="K2844">
        <f>SUMPRODUCT(Calc!$K$3:$K$22*(Calc!$G$3:$G$22&gt;A2844)*(Calc!$G$3:$G$22-A2844)*(Calc!$G$3:$G$22&gt;B2844)*(Calc!$G$3:$G$22-B2844))</f>
        <v/>
      </c>
      <c r="L2844">
        <f>SUMPRODUCT(Calc!$K$3:$K$22*(Calc!$G$3:$G$22&gt;A2844)*(Calc!$G$3:$G$22-A2844)*Calc!$G$3:$G$22)</f>
        <v/>
      </c>
      <c r="M2844">
        <f>SUMPRODUCT(Calc!$K$3:$K$22*(Calc!$G$3:$G$22&gt;B2844)*(Calc!$G$3:$G$22-B2844)*Calc!$G$3:$G$22)</f>
        <v/>
      </c>
      <c r="N2844">
        <f>SUMPRODUCT(Calc!$K$3:$K$22*(Calc!$G$3:$G$22&gt;A2844)*(Calc!$G$3:$G$22-A2844)*Calc!$I$3:$I$22)</f>
        <v/>
      </c>
      <c r="O2844">
        <f>SUMPRODUCT(Calc!$K$3:$K$22*(Calc!$G$3:$G$22&gt;B2844)*(Calc!$G$3:$G$22-B2844)*Calc!$I$3:$I$22)</f>
        <v/>
      </c>
      <c r="P2844">
        <f>I2844-G2844^2/k_n</f>
        <v/>
      </c>
      <c r="Q2844">
        <f>J2844-H2844^2/k_n</f>
        <v/>
      </c>
      <c r="R2844">
        <f>K2844-G2844*H2844/k_n</f>
        <v/>
      </c>
      <c r="S2844">
        <f>L2844-LTP3!$D$3*G2844/k_n</f>
        <v/>
      </c>
      <c r="T2844">
        <f>M2844-LTP3!$D$3*H2844/k_n</f>
        <v/>
      </c>
      <c r="U2844">
        <f>N2844-G2844*LTP3!$D$4/k_n</f>
        <v/>
      </c>
      <c r="V2844">
        <f>O2844-H2844*LTP3!$D$4/k_n</f>
        <v/>
      </c>
      <c r="W2844">
        <f>((LTP3!$D$5)*((P2844)*(Q2844)-(R2844)*(R2844))-(S2844)*((S2844)*(Q2844)-(R2844)*(T2844))+(T2844)*((S2844)*(R2844)-(P2844)*(T2844)))</f>
        <v/>
      </c>
      <c r="X2844">
        <f>IF(ABS(W2844)&gt;1E-12,((LTP3!$D$6)*((P2844)*(Q2844)-(R2844)*(R2844))-(S2844)*((U2844)*(Q2844)-(R2844)*(V2844))+(T2844)*((U2844)*(R2844)-(P2844)*(V2844)))/W2844,0)</f>
        <v/>
      </c>
      <c r="Y2844">
        <f>IF(ABS(W2844)&gt;1E-12,((LTP3!$D$5)*((U2844)*(Q2844)-(R2844)*(V2844))-(LTP3!$D$6)*((S2844)*(Q2844)-(R2844)*(T2844))+(T2844)*((S2844)*(V2844)-(U2844)*(T2844)))/W2844,0)</f>
        <v/>
      </c>
      <c r="Z2844">
        <f>IF(ABS(W2844)&gt;1E-12,((LTP3!$D$5)*((P2844)*(V2844)-(U2844)*(R2844))-(S2844)*((S2844)*(V2844)-(U2844)*(T2844))+(LTP3!$D$6)*((S2844)*(R2844)-(P2844)*(T2844)))/W2844,0)</f>
        <v/>
      </c>
      <c r="AA2844">
        <f>LTP3!$D$7-X2844*LTP3!$D$6-Y2844*U2844-Z2844*V2844</f>
        <v/>
      </c>
      <c r="AB2844">
        <f>IF(AND(F2844,ABS(W2844)&gt;1E-12,Y2844&gt;0,Z2844&gt;0),AA2844,1E+300)</f>
        <v/>
      </c>
    </row>
    <row r="2845">
      <c r="A2845">
        <f>$B$3+$B$5*46</f>
        <v/>
      </c>
      <c r="B2845">
        <f>$B$3+$B$5*27</f>
        <v/>
      </c>
      <c r="C2845">
        <f>SUMPRODUCT(Calc!$K$3:$K$22*(Calc!$G$3:$G$22&lt;=A2845))</f>
        <v/>
      </c>
      <c r="D2845">
        <f>SUMPRODUCT(Calc!$K$3:$K$22*(Calc!$G$3:$G$22&gt;A2845)*(Calc!$G$3:$G$22&lt;B2845))</f>
        <v/>
      </c>
      <c r="E2845">
        <f>SUMPRODUCT(Calc!$K$3:$K$22*(Calc!$G$3:$G$22&gt;=B2845))</f>
        <v/>
      </c>
      <c r="F2845">
        <f>AND(k_n&gt;=5,B2845&gt;A2845+1E-9,C2845&gt;=2,D2845&gt;=1,E2845&gt;=2)</f>
        <v/>
      </c>
      <c r="G2845">
        <f>SUMPRODUCT(Calc!$K$3:$K$22*(Calc!$G$3:$G$22&gt;A2845)*(Calc!$G$3:$G$22-A2845))</f>
        <v/>
      </c>
      <c r="H2845">
        <f>SUMPRODUCT(Calc!$K$3:$K$22*(Calc!$G$3:$G$22&gt;B2845)*(Calc!$G$3:$G$22-B2845))</f>
        <v/>
      </c>
      <c r="I2845">
        <f>SUMPRODUCT(Calc!$K$3:$K$22*(Calc!$G$3:$G$22&gt;A2845)*(Calc!$G$3:$G$22-A2845)^2)</f>
        <v/>
      </c>
      <c r="J2845">
        <f>SUMPRODUCT(Calc!$K$3:$K$22*(Calc!$G$3:$G$22&gt;B2845)*(Calc!$G$3:$G$22-B2845)^2)</f>
        <v/>
      </c>
      <c r="K2845">
        <f>SUMPRODUCT(Calc!$K$3:$K$22*(Calc!$G$3:$G$22&gt;A2845)*(Calc!$G$3:$G$22-A2845)*(Calc!$G$3:$G$22&gt;B2845)*(Calc!$G$3:$G$22-B2845))</f>
        <v/>
      </c>
      <c r="L2845">
        <f>SUMPRODUCT(Calc!$K$3:$K$22*(Calc!$G$3:$G$22&gt;A2845)*(Calc!$G$3:$G$22-A2845)*Calc!$G$3:$G$22)</f>
        <v/>
      </c>
      <c r="M2845">
        <f>SUMPRODUCT(Calc!$K$3:$K$22*(Calc!$G$3:$G$22&gt;B2845)*(Calc!$G$3:$G$22-B2845)*Calc!$G$3:$G$22)</f>
        <v/>
      </c>
      <c r="N2845">
        <f>SUMPRODUCT(Calc!$K$3:$K$22*(Calc!$G$3:$G$22&gt;A2845)*(Calc!$G$3:$G$22-A2845)*Calc!$I$3:$I$22)</f>
        <v/>
      </c>
      <c r="O2845">
        <f>SUMPRODUCT(Calc!$K$3:$K$22*(Calc!$G$3:$G$22&gt;B2845)*(Calc!$G$3:$G$22-B2845)*Calc!$I$3:$I$22)</f>
        <v/>
      </c>
      <c r="P2845">
        <f>I2845-G2845^2/k_n</f>
        <v/>
      </c>
      <c r="Q2845">
        <f>J2845-H2845^2/k_n</f>
        <v/>
      </c>
      <c r="R2845">
        <f>K2845-G2845*H2845/k_n</f>
        <v/>
      </c>
      <c r="S2845">
        <f>L2845-LTP3!$D$3*G2845/k_n</f>
        <v/>
      </c>
      <c r="T2845">
        <f>M2845-LTP3!$D$3*H2845/k_n</f>
        <v/>
      </c>
      <c r="U2845">
        <f>N2845-G2845*LTP3!$D$4/k_n</f>
        <v/>
      </c>
      <c r="V2845">
        <f>O2845-H2845*LTP3!$D$4/k_n</f>
        <v/>
      </c>
      <c r="W2845">
        <f>((LTP3!$D$5)*((P2845)*(Q2845)-(R2845)*(R2845))-(S2845)*((S2845)*(Q2845)-(R2845)*(T2845))+(T2845)*((S2845)*(R2845)-(P2845)*(T2845)))</f>
        <v/>
      </c>
      <c r="X2845">
        <f>IF(ABS(W2845)&gt;1E-12,((LTP3!$D$6)*((P2845)*(Q2845)-(R2845)*(R2845))-(S2845)*((U2845)*(Q2845)-(R2845)*(V2845))+(T2845)*((U2845)*(R2845)-(P2845)*(V2845)))/W2845,0)</f>
        <v/>
      </c>
      <c r="Y2845">
        <f>IF(ABS(W2845)&gt;1E-12,((LTP3!$D$5)*((U2845)*(Q2845)-(R2845)*(V2845))-(LTP3!$D$6)*((S2845)*(Q2845)-(R2845)*(T2845))+(T2845)*((S2845)*(V2845)-(U2845)*(T2845)))/W2845,0)</f>
        <v/>
      </c>
      <c r="Z2845">
        <f>IF(ABS(W2845)&gt;1E-12,((LTP3!$D$5)*((P2845)*(V2845)-(U2845)*(R2845))-(S2845)*((S2845)*(V2845)-(U2845)*(T2845))+(LTP3!$D$6)*((S2845)*(R2845)-(P2845)*(T2845)))/W2845,0)</f>
        <v/>
      </c>
      <c r="AA2845">
        <f>LTP3!$D$7-X2845*LTP3!$D$6-Y2845*U2845-Z2845*V2845</f>
        <v/>
      </c>
      <c r="AB2845">
        <f>IF(AND(F2845,ABS(W2845)&gt;1E-12,Y2845&gt;0,Z2845&gt;0),AA2845,1E+300)</f>
        <v/>
      </c>
    </row>
    <row r="2846">
      <c r="A2846">
        <f>$B$3+$B$5*46</f>
        <v/>
      </c>
      <c r="B2846">
        <f>$B$3+$B$5*28</f>
        <v/>
      </c>
      <c r="C2846">
        <f>SUMPRODUCT(Calc!$K$3:$K$22*(Calc!$G$3:$G$22&lt;=A2846))</f>
        <v/>
      </c>
      <c r="D2846">
        <f>SUMPRODUCT(Calc!$K$3:$K$22*(Calc!$G$3:$G$22&gt;A2846)*(Calc!$G$3:$G$22&lt;B2846))</f>
        <v/>
      </c>
      <c r="E2846">
        <f>SUMPRODUCT(Calc!$K$3:$K$22*(Calc!$G$3:$G$22&gt;=B2846))</f>
        <v/>
      </c>
      <c r="F2846">
        <f>AND(k_n&gt;=5,B2846&gt;A2846+1E-9,C2846&gt;=2,D2846&gt;=1,E2846&gt;=2)</f>
        <v/>
      </c>
      <c r="G2846">
        <f>SUMPRODUCT(Calc!$K$3:$K$22*(Calc!$G$3:$G$22&gt;A2846)*(Calc!$G$3:$G$22-A2846))</f>
        <v/>
      </c>
      <c r="H2846">
        <f>SUMPRODUCT(Calc!$K$3:$K$22*(Calc!$G$3:$G$22&gt;B2846)*(Calc!$G$3:$G$22-B2846))</f>
        <v/>
      </c>
      <c r="I2846">
        <f>SUMPRODUCT(Calc!$K$3:$K$22*(Calc!$G$3:$G$22&gt;A2846)*(Calc!$G$3:$G$22-A2846)^2)</f>
        <v/>
      </c>
      <c r="J2846">
        <f>SUMPRODUCT(Calc!$K$3:$K$22*(Calc!$G$3:$G$22&gt;B2846)*(Calc!$G$3:$G$22-B2846)^2)</f>
        <v/>
      </c>
      <c r="K2846">
        <f>SUMPRODUCT(Calc!$K$3:$K$22*(Calc!$G$3:$G$22&gt;A2846)*(Calc!$G$3:$G$22-A2846)*(Calc!$G$3:$G$22&gt;B2846)*(Calc!$G$3:$G$22-B2846))</f>
        <v/>
      </c>
      <c r="L2846">
        <f>SUMPRODUCT(Calc!$K$3:$K$22*(Calc!$G$3:$G$22&gt;A2846)*(Calc!$G$3:$G$22-A2846)*Calc!$G$3:$G$22)</f>
        <v/>
      </c>
      <c r="M2846">
        <f>SUMPRODUCT(Calc!$K$3:$K$22*(Calc!$G$3:$G$22&gt;B2846)*(Calc!$G$3:$G$22-B2846)*Calc!$G$3:$G$22)</f>
        <v/>
      </c>
      <c r="N2846">
        <f>SUMPRODUCT(Calc!$K$3:$K$22*(Calc!$G$3:$G$22&gt;A2846)*(Calc!$G$3:$G$22-A2846)*Calc!$I$3:$I$22)</f>
        <v/>
      </c>
      <c r="O2846">
        <f>SUMPRODUCT(Calc!$K$3:$K$22*(Calc!$G$3:$G$22&gt;B2846)*(Calc!$G$3:$G$22-B2846)*Calc!$I$3:$I$22)</f>
        <v/>
      </c>
      <c r="P2846">
        <f>I2846-G2846^2/k_n</f>
        <v/>
      </c>
      <c r="Q2846">
        <f>J2846-H2846^2/k_n</f>
        <v/>
      </c>
      <c r="R2846">
        <f>K2846-G2846*H2846/k_n</f>
        <v/>
      </c>
      <c r="S2846">
        <f>L2846-LTP3!$D$3*G2846/k_n</f>
        <v/>
      </c>
      <c r="T2846">
        <f>M2846-LTP3!$D$3*H2846/k_n</f>
        <v/>
      </c>
      <c r="U2846">
        <f>N2846-G2846*LTP3!$D$4/k_n</f>
        <v/>
      </c>
      <c r="V2846">
        <f>O2846-H2846*LTP3!$D$4/k_n</f>
        <v/>
      </c>
      <c r="W2846">
        <f>((LTP3!$D$5)*((P2846)*(Q2846)-(R2846)*(R2846))-(S2846)*((S2846)*(Q2846)-(R2846)*(T2846))+(T2846)*((S2846)*(R2846)-(P2846)*(T2846)))</f>
        <v/>
      </c>
      <c r="X2846">
        <f>IF(ABS(W2846)&gt;1E-12,((LTP3!$D$6)*((P2846)*(Q2846)-(R2846)*(R2846))-(S2846)*((U2846)*(Q2846)-(R2846)*(V2846))+(T2846)*((U2846)*(R2846)-(P2846)*(V2846)))/W2846,0)</f>
        <v/>
      </c>
      <c r="Y2846">
        <f>IF(ABS(W2846)&gt;1E-12,((LTP3!$D$5)*((U2846)*(Q2846)-(R2846)*(V2846))-(LTP3!$D$6)*((S2846)*(Q2846)-(R2846)*(T2846))+(T2846)*((S2846)*(V2846)-(U2846)*(T2846)))/W2846,0)</f>
        <v/>
      </c>
      <c r="Z2846">
        <f>IF(ABS(W2846)&gt;1E-12,((LTP3!$D$5)*((P2846)*(V2846)-(U2846)*(R2846))-(S2846)*((S2846)*(V2846)-(U2846)*(T2846))+(LTP3!$D$6)*((S2846)*(R2846)-(P2846)*(T2846)))/W2846,0)</f>
        <v/>
      </c>
      <c r="AA2846">
        <f>LTP3!$D$7-X2846*LTP3!$D$6-Y2846*U2846-Z2846*V2846</f>
        <v/>
      </c>
      <c r="AB2846">
        <f>IF(AND(F2846,ABS(W2846)&gt;1E-12,Y2846&gt;0,Z2846&gt;0),AA2846,1E+300)</f>
        <v/>
      </c>
    </row>
    <row r="2847">
      <c r="A2847">
        <f>$B$3+$B$5*46</f>
        <v/>
      </c>
      <c r="B2847">
        <f>$B$3+$B$5*29</f>
        <v/>
      </c>
      <c r="C2847">
        <f>SUMPRODUCT(Calc!$K$3:$K$22*(Calc!$G$3:$G$22&lt;=A2847))</f>
        <v/>
      </c>
      <c r="D2847">
        <f>SUMPRODUCT(Calc!$K$3:$K$22*(Calc!$G$3:$G$22&gt;A2847)*(Calc!$G$3:$G$22&lt;B2847))</f>
        <v/>
      </c>
      <c r="E2847">
        <f>SUMPRODUCT(Calc!$K$3:$K$22*(Calc!$G$3:$G$22&gt;=B2847))</f>
        <v/>
      </c>
      <c r="F2847">
        <f>AND(k_n&gt;=5,B2847&gt;A2847+1E-9,C2847&gt;=2,D2847&gt;=1,E2847&gt;=2)</f>
        <v/>
      </c>
      <c r="G2847">
        <f>SUMPRODUCT(Calc!$K$3:$K$22*(Calc!$G$3:$G$22&gt;A2847)*(Calc!$G$3:$G$22-A2847))</f>
        <v/>
      </c>
      <c r="H2847">
        <f>SUMPRODUCT(Calc!$K$3:$K$22*(Calc!$G$3:$G$22&gt;B2847)*(Calc!$G$3:$G$22-B2847))</f>
        <v/>
      </c>
      <c r="I2847">
        <f>SUMPRODUCT(Calc!$K$3:$K$22*(Calc!$G$3:$G$22&gt;A2847)*(Calc!$G$3:$G$22-A2847)^2)</f>
        <v/>
      </c>
      <c r="J2847">
        <f>SUMPRODUCT(Calc!$K$3:$K$22*(Calc!$G$3:$G$22&gt;B2847)*(Calc!$G$3:$G$22-B2847)^2)</f>
        <v/>
      </c>
      <c r="K2847">
        <f>SUMPRODUCT(Calc!$K$3:$K$22*(Calc!$G$3:$G$22&gt;A2847)*(Calc!$G$3:$G$22-A2847)*(Calc!$G$3:$G$22&gt;B2847)*(Calc!$G$3:$G$22-B2847))</f>
        <v/>
      </c>
      <c r="L2847">
        <f>SUMPRODUCT(Calc!$K$3:$K$22*(Calc!$G$3:$G$22&gt;A2847)*(Calc!$G$3:$G$22-A2847)*Calc!$G$3:$G$22)</f>
        <v/>
      </c>
      <c r="M2847">
        <f>SUMPRODUCT(Calc!$K$3:$K$22*(Calc!$G$3:$G$22&gt;B2847)*(Calc!$G$3:$G$22-B2847)*Calc!$G$3:$G$22)</f>
        <v/>
      </c>
      <c r="N2847">
        <f>SUMPRODUCT(Calc!$K$3:$K$22*(Calc!$G$3:$G$22&gt;A2847)*(Calc!$G$3:$G$22-A2847)*Calc!$I$3:$I$22)</f>
        <v/>
      </c>
      <c r="O2847">
        <f>SUMPRODUCT(Calc!$K$3:$K$22*(Calc!$G$3:$G$22&gt;B2847)*(Calc!$G$3:$G$22-B2847)*Calc!$I$3:$I$22)</f>
        <v/>
      </c>
      <c r="P2847">
        <f>I2847-G2847^2/k_n</f>
        <v/>
      </c>
      <c r="Q2847">
        <f>J2847-H2847^2/k_n</f>
        <v/>
      </c>
      <c r="R2847">
        <f>K2847-G2847*H2847/k_n</f>
        <v/>
      </c>
      <c r="S2847">
        <f>L2847-LTP3!$D$3*G2847/k_n</f>
        <v/>
      </c>
      <c r="T2847">
        <f>M2847-LTP3!$D$3*H2847/k_n</f>
        <v/>
      </c>
      <c r="U2847">
        <f>N2847-G2847*LTP3!$D$4/k_n</f>
        <v/>
      </c>
      <c r="V2847">
        <f>O2847-H2847*LTP3!$D$4/k_n</f>
        <v/>
      </c>
      <c r="W2847">
        <f>((LTP3!$D$5)*((P2847)*(Q2847)-(R2847)*(R2847))-(S2847)*((S2847)*(Q2847)-(R2847)*(T2847))+(T2847)*((S2847)*(R2847)-(P2847)*(T2847)))</f>
        <v/>
      </c>
      <c r="X2847">
        <f>IF(ABS(W2847)&gt;1E-12,((LTP3!$D$6)*((P2847)*(Q2847)-(R2847)*(R2847))-(S2847)*((U2847)*(Q2847)-(R2847)*(V2847))+(T2847)*((U2847)*(R2847)-(P2847)*(V2847)))/W2847,0)</f>
        <v/>
      </c>
      <c r="Y2847">
        <f>IF(ABS(W2847)&gt;1E-12,((LTP3!$D$5)*((U2847)*(Q2847)-(R2847)*(V2847))-(LTP3!$D$6)*((S2847)*(Q2847)-(R2847)*(T2847))+(T2847)*((S2847)*(V2847)-(U2847)*(T2847)))/W2847,0)</f>
        <v/>
      </c>
      <c r="Z2847">
        <f>IF(ABS(W2847)&gt;1E-12,((LTP3!$D$5)*((P2847)*(V2847)-(U2847)*(R2847))-(S2847)*((S2847)*(V2847)-(U2847)*(T2847))+(LTP3!$D$6)*((S2847)*(R2847)-(P2847)*(T2847)))/W2847,0)</f>
        <v/>
      </c>
      <c r="AA2847">
        <f>LTP3!$D$7-X2847*LTP3!$D$6-Y2847*U2847-Z2847*V2847</f>
        <v/>
      </c>
      <c r="AB2847">
        <f>IF(AND(F2847,ABS(W2847)&gt;1E-12,Y2847&gt;0,Z2847&gt;0),AA2847,1E+300)</f>
        <v/>
      </c>
    </row>
    <row r="2848">
      <c r="A2848">
        <f>$B$3+$B$5*46</f>
        <v/>
      </c>
      <c r="B2848">
        <f>$B$3+$B$5*30</f>
        <v/>
      </c>
      <c r="C2848">
        <f>SUMPRODUCT(Calc!$K$3:$K$22*(Calc!$G$3:$G$22&lt;=A2848))</f>
        <v/>
      </c>
      <c r="D2848">
        <f>SUMPRODUCT(Calc!$K$3:$K$22*(Calc!$G$3:$G$22&gt;A2848)*(Calc!$G$3:$G$22&lt;B2848))</f>
        <v/>
      </c>
      <c r="E2848">
        <f>SUMPRODUCT(Calc!$K$3:$K$22*(Calc!$G$3:$G$22&gt;=B2848))</f>
        <v/>
      </c>
      <c r="F2848">
        <f>AND(k_n&gt;=5,B2848&gt;A2848+1E-9,C2848&gt;=2,D2848&gt;=1,E2848&gt;=2)</f>
        <v/>
      </c>
      <c r="G2848">
        <f>SUMPRODUCT(Calc!$K$3:$K$22*(Calc!$G$3:$G$22&gt;A2848)*(Calc!$G$3:$G$22-A2848))</f>
        <v/>
      </c>
      <c r="H2848">
        <f>SUMPRODUCT(Calc!$K$3:$K$22*(Calc!$G$3:$G$22&gt;B2848)*(Calc!$G$3:$G$22-B2848))</f>
        <v/>
      </c>
      <c r="I2848">
        <f>SUMPRODUCT(Calc!$K$3:$K$22*(Calc!$G$3:$G$22&gt;A2848)*(Calc!$G$3:$G$22-A2848)^2)</f>
        <v/>
      </c>
      <c r="J2848">
        <f>SUMPRODUCT(Calc!$K$3:$K$22*(Calc!$G$3:$G$22&gt;B2848)*(Calc!$G$3:$G$22-B2848)^2)</f>
        <v/>
      </c>
      <c r="K2848">
        <f>SUMPRODUCT(Calc!$K$3:$K$22*(Calc!$G$3:$G$22&gt;A2848)*(Calc!$G$3:$G$22-A2848)*(Calc!$G$3:$G$22&gt;B2848)*(Calc!$G$3:$G$22-B2848))</f>
        <v/>
      </c>
      <c r="L2848">
        <f>SUMPRODUCT(Calc!$K$3:$K$22*(Calc!$G$3:$G$22&gt;A2848)*(Calc!$G$3:$G$22-A2848)*Calc!$G$3:$G$22)</f>
        <v/>
      </c>
      <c r="M2848">
        <f>SUMPRODUCT(Calc!$K$3:$K$22*(Calc!$G$3:$G$22&gt;B2848)*(Calc!$G$3:$G$22-B2848)*Calc!$G$3:$G$22)</f>
        <v/>
      </c>
      <c r="N2848">
        <f>SUMPRODUCT(Calc!$K$3:$K$22*(Calc!$G$3:$G$22&gt;A2848)*(Calc!$G$3:$G$22-A2848)*Calc!$I$3:$I$22)</f>
        <v/>
      </c>
      <c r="O2848">
        <f>SUMPRODUCT(Calc!$K$3:$K$22*(Calc!$G$3:$G$22&gt;B2848)*(Calc!$G$3:$G$22-B2848)*Calc!$I$3:$I$22)</f>
        <v/>
      </c>
      <c r="P2848">
        <f>I2848-G2848^2/k_n</f>
        <v/>
      </c>
      <c r="Q2848">
        <f>J2848-H2848^2/k_n</f>
        <v/>
      </c>
      <c r="R2848">
        <f>K2848-G2848*H2848/k_n</f>
        <v/>
      </c>
      <c r="S2848">
        <f>L2848-LTP3!$D$3*G2848/k_n</f>
        <v/>
      </c>
      <c r="T2848">
        <f>M2848-LTP3!$D$3*H2848/k_n</f>
        <v/>
      </c>
      <c r="U2848">
        <f>N2848-G2848*LTP3!$D$4/k_n</f>
        <v/>
      </c>
      <c r="V2848">
        <f>O2848-H2848*LTP3!$D$4/k_n</f>
        <v/>
      </c>
      <c r="W2848">
        <f>((LTP3!$D$5)*((P2848)*(Q2848)-(R2848)*(R2848))-(S2848)*((S2848)*(Q2848)-(R2848)*(T2848))+(T2848)*((S2848)*(R2848)-(P2848)*(T2848)))</f>
        <v/>
      </c>
      <c r="X2848">
        <f>IF(ABS(W2848)&gt;1E-12,((LTP3!$D$6)*((P2848)*(Q2848)-(R2848)*(R2848))-(S2848)*((U2848)*(Q2848)-(R2848)*(V2848))+(T2848)*((U2848)*(R2848)-(P2848)*(V2848)))/W2848,0)</f>
        <v/>
      </c>
      <c r="Y2848">
        <f>IF(ABS(W2848)&gt;1E-12,((LTP3!$D$5)*((U2848)*(Q2848)-(R2848)*(V2848))-(LTP3!$D$6)*((S2848)*(Q2848)-(R2848)*(T2848))+(T2848)*((S2848)*(V2848)-(U2848)*(T2848)))/W2848,0)</f>
        <v/>
      </c>
      <c r="Z2848">
        <f>IF(ABS(W2848)&gt;1E-12,((LTP3!$D$5)*((P2848)*(V2848)-(U2848)*(R2848))-(S2848)*((S2848)*(V2848)-(U2848)*(T2848))+(LTP3!$D$6)*((S2848)*(R2848)-(P2848)*(T2848)))/W2848,0)</f>
        <v/>
      </c>
      <c r="AA2848">
        <f>LTP3!$D$7-X2848*LTP3!$D$6-Y2848*U2848-Z2848*V2848</f>
        <v/>
      </c>
      <c r="AB2848">
        <f>IF(AND(F2848,ABS(W2848)&gt;1E-12,Y2848&gt;0,Z2848&gt;0),AA2848,1E+300)</f>
        <v/>
      </c>
    </row>
    <row r="2849">
      <c r="A2849">
        <f>$B$3+$B$5*46</f>
        <v/>
      </c>
      <c r="B2849">
        <f>$B$3+$B$5*31</f>
        <v/>
      </c>
      <c r="C2849">
        <f>SUMPRODUCT(Calc!$K$3:$K$22*(Calc!$G$3:$G$22&lt;=A2849))</f>
        <v/>
      </c>
      <c r="D2849">
        <f>SUMPRODUCT(Calc!$K$3:$K$22*(Calc!$G$3:$G$22&gt;A2849)*(Calc!$G$3:$G$22&lt;B2849))</f>
        <v/>
      </c>
      <c r="E2849">
        <f>SUMPRODUCT(Calc!$K$3:$K$22*(Calc!$G$3:$G$22&gt;=B2849))</f>
        <v/>
      </c>
      <c r="F2849">
        <f>AND(k_n&gt;=5,B2849&gt;A2849+1E-9,C2849&gt;=2,D2849&gt;=1,E2849&gt;=2)</f>
        <v/>
      </c>
      <c r="G2849">
        <f>SUMPRODUCT(Calc!$K$3:$K$22*(Calc!$G$3:$G$22&gt;A2849)*(Calc!$G$3:$G$22-A2849))</f>
        <v/>
      </c>
      <c r="H2849">
        <f>SUMPRODUCT(Calc!$K$3:$K$22*(Calc!$G$3:$G$22&gt;B2849)*(Calc!$G$3:$G$22-B2849))</f>
        <v/>
      </c>
      <c r="I2849">
        <f>SUMPRODUCT(Calc!$K$3:$K$22*(Calc!$G$3:$G$22&gt;A2849)*(Calc!$G$3:$G$22-A2849)^2)</f>
        <v/>
      </c>
      <c r="J2849">
        <f>SUMPRODUCT(Calc!$K$3:$K$22*(Calc!$G$3:$G$22&gt;B2849)*(Calc!$G$3:$G$22-B2849)^2)</f>
        <v/>
      </c>
      <c r="K2849">
        <f>SUMPRODUCT(Calc!$K$3:$K$22*(Calc!$G$3:$G$22&gt;A2849)*(Calc!$G$3:$G$22-A2849)*(Calc!$G$3:$G$22&gt;B2849)*(Calc!$G$3:$G$22-B2849))</f>
        <v/>
      </c>
      <c r="L2849">
        <f>SUMPRODUCT(Calc!$K$3:$K$22*(Calc!$G$3:$G$22&gt;A2849)*(Calc!$G$3:$G$22-A2849)*Calc!$G$3:$G$22)</f>
        <v/>
      </c>
      <c r="M2849">
        <f>SUMPRODUCT(Calc!$K$3:$K$22*(Calc!$G$3:$G$22&gt;B2849)*(Calc!$G$3:$G$22-B2849)*Calc!$G$3:$G$22)</f>
        <v/>
      </c>
      <c r="N2849">
        <f>SUMPRODUCT(Calc!$K$3:$K$22*(Calc!$G$3:$G$22&gt;A2849)*(Calc!$G$3:$G$22-A2849)*Calc!$I$3:$I$22)</f>
        <v/>
      </c>
      <c r="O2849">
        <f>SUMPRODUCT(Calc!$K$3:$K$22*(Calc!$G$3:$G$22&gt;B2849)*(Calc!$G$3:$G$22-B2849)*Calc!$I$3:$I$22)</f>
        <v/>
      </c>
      <c r="P2849">
        <f>I2849-G2849^2/k_n</f>
        <v/>
      </c>
      <c r="Q2849">
        <f>J2849-H2849^2/k_n</f>
        <v/>
      </c>
      <c r="R2849">
        <f>K2849-G2849*H2849/k_n</f>
        <v/>
      </c>
      <c r="S2849">
        <f>L2849-LTP3!$D$3*G2849/k_n</f>
        <v/>
      </c>
      <c r="T2849">
        <f>M2849-LTP3!$D$3*H2849/k_n</f>
        <v/>
      </c>
      <c r="U2849">
        <f>N2849-G2849*LTP3!$D$4/k_n</f>
        <v/>
      </c>
      <c r="V2849">
        <f>O2849-H2849*LTP3!$D$4/k_n</f>
        <v/>
      </c>
      <c r="W2849">
        <f>((LTP3!$D$5)*((P2849)*(Q2849)-(R2849)*(R2849))-(S2849)*((S2849)*(Q2849)-(R2849)*(T2849))+(T2849)*((S2849)*(R2849)-(P2849)*(T2849)))</f>
        <v/>
      </c>
      <c r="X2849">
        <f>IF(ABS(W2849)&gt;1E-12,((LTP3!$D$6)*((P2849)*(Q2849)-(R2849)*(R2849))-(S2849)*((U2849)*(Q2849)-(R2849)*(V2849))+(T2849)*((U2849)*(R2849)-(P2849)*(V2849)))/W2849,0)</f>
        <v/>
      </c>
      <c r="Y2849">
        <f>IF(ABS(W2849)&gt;1E-12,((LTP3!$D$5)*((U2849)*(Q2849)-(R2849)*(V2849))-(LTP3!$D$6)*((S2849)*(Q2849)-(R2849)*(T2849))+(T2849)*((S2849)*(V2849)-(U2849)*(T2849)))/W2849,0)</f>
        <v/>
      </c>
      <c r="Z2849">
        <f>IF(ABS(W2849)&gt;1E-12,((LTP3!$D$5)*((P2849)*(V2849)-(U2849)*(R2849))-(S2849)*((S2849)*(V2849)-(U2849)*(T2849))+(LTP3!$D$6)*((S2849)*(R2849)-(P2849)*(T2849)))/W2849,0)</f>
        <v/>
      </c>
      <c r="AA2849">
        <f>LTP3!$D$7-X2849*LTP3!$D$6-Y2849*U2849-Z2849*V2849</f>
        <v/>
      </c>
      <c r="AB2849">
        <f>IF(AND(F2849,ABS(W2849)&gt;1E-12,Y2849&gt;0,Z2849&gt;0),AA2849,1E+300)</f>
        <v/>
      </c>
    </row>
    <row r="2850">
      <c r="A2850">
        <f>$B$3+$B$5*46</f>
        <v/>
      </c>
      <c r="B2850">
        <f>$B$3+$B$5*32</f>
        <v/>
      </c>
      <c r="C2850">
        <f>SUMPRODUCT(Calc!$K$3:$K$22*(Calc!$G$3:$G$22&lt;=A2850))</f>
        <v/>
      </c>
      <c r="D2850">
        <f>SUMPRODUCT(Calc!$K$3:$K$22*(Calc!$G$3:$G$22&gt;A2850)*(Calc!$G$3:$G$22&lt;B2850))</f>
        <v/>
      </c>
      <c r="E2850">
        <f>SUMPRODUCT(Calc!$K$3:$K$22*(Calc!$G$3:$G$22&gt;=B2850))</f>
        <v/>
      </c>
      <c r="F2850">
        <f>AND(k_n&gt;=5,B2850&gt;A2850+1E-9,C2850&gt;=2,D2850&gt;=1,E2850&gt;=2)</f>
        <v/>
      </c>
      <c r="G2850">
        <f>SUMPRODUCT(Calc!$K$3:$K$22*(Calc!$G$3:$G$22&gt;A2850)*(Calc!$G$3:$G$22-A2850))</f>
        <v/>
      </c>
      <c r="H2850">
        <f>SUMPRODUCT(Calc!$K$3:$K$22*(Calc!$G$3:$G$22&gt;B2850)*(Calc!$G$3:$G$22-B2850))</f>
        <v/>
      </c>
      <c r="I2850">
        <f>SUMPRODUCT(Calc!$K$3:$K$22*(Calc!$G$3:$G$22&gt;A2850)*(Calc!$G$3:$G$22-A2850)^2)</f>
        <v/>
      </c>
      <c r="J2850">
        <f>SUMPRODUCT(Calc!$K$3:$K$22*(Calc!$G$3:$G$22&gt;B2850)*(Calc!$G$3:$G$22-B2850)^2)</f>
        <v/>
      </c>
      <c r="K2850">
        <f>SUMPRODUCT(Calc!$K$3:$K$22*(Calc!$G$3:$G$22&gt;A2850)*(Calc!$G$3:$G$22-A2850)*(Calc!$G$3:$G$22&gt;B2850)*(Calc!$G$3:$G$22-B2850))</f>
        <v/>
      </c>
      <c r="L2850">
        <f>SUMPRODUCT(Calc!$K$3:$K$22*(Calc!$G$3:$G$22&gt;A2850)*(Calc!$G$3:$G$22-A2850)*Calc!$G$3:$G$22)</f>
        <v/>
      </c>
      <c r="M2850">
        <f>SUMPRODUCT(Calc!$K$3:$K$22*(Calc!$G$3:$G$22&gt;B2850)*(Calc!$G$3:$G$22-B2850)*Calc!$G$3:$G$22)</f>
        <v/>
      </c>
      <c r="N2850">
        <f>SUMPRODUCT(Calc!$K$3:$K$22*(Calc!$G$3:$G$22&gt;A2850)*(Calc!$G$3:$G$22-A2850)*Calc!$I$3:$I$22)</f>
        <v/>
      </c>
      <c r="O2850">
        <f>SUMPRODUCT(Calc!$K$3:$K$22*(Calc!$G$3:$G$22&gt;B2850)*(Calc!$G$3:$G$22-B2850)*Calc!$I$3:$I$22)</f>
        <v/>
      </c>
      <c r="P2850">
        <f>I2850-G2850^2/k_n</f>
        <v/>
      </c>
      <c r="Q2850">
        <f>J2850-H2850^2/k_n</f>
        <v/>
      </c>
      <c r="R2850">
        <f>K2850-G2850*H2850/k_n</f>
        <v/>
      </c>
      <c r="S2850">
        <f>L2850-LTP3!$D$3*G2850/k_n</f>
        <v/>
      </c>
      <c r="T2850">
        <f>M2850-LTP3!$D$3*H2850/k_n</f>
        <v/>
      </c>
      <c r="U2850">
        <f>N2850-G2850*LTP3!$D$4/k_n</f>
        <v/>
      </c>
      <c r="V2850">
        <f>O2850-H2850*LTP3!$D$4/k_n</f>
        <v/>
      </c>
      <c r="W2850">
        <f>((LTP3!$D$5)*((P2850)*(Q2850)-(R2850)*(R2850))-(S2850)*((S2850)*(Q2850)-(R2850)*(T2850))+(T2850)*((S2850)*(R2850)-(P2850)*(T2850)))</f>
        <v/>
      </c>
      <c r="X2850">
        <f>IF(ABS(W2850)&gt;1E-12,((LTP3!$D$6)*((P2850)*(Q2850)-(R2850)*(R2850))-(S2850)*((U2850)*(Q2850)-(R2850)*(V2850))+(T2850)*((U2850)*(R2850)-(P2850)*(V2850)))/W2850,0)</f>
        <v/>
      </c>
      <c r="Y2850">
        <f>IF(ABS(W2850)&gt;1E-12,((LTP3!$D$5)*((U2850)*(Q2850)-(R2850)*(V2850))-(LTP3!$D$6)*((S2850)*(Q2850)-(R2850)*(T2850))+(T2850)*((S2850)*(V2850)-(U2850)*(T2850)))/W2850,0)</f>
        <v/>
      </c>
      <c r="Z2850">
        <f>IF(ABS(W2850)&gt;1E-12,((LTP3!$D$5)*((P2850)*(V2850)-(U2850)*(R2850))-(S2850)*((S2850)*(V2850)-(U2850)*(T2850))+(LTP3!$D$6)*((S2850)*(R2850)-(P2850)*(T2850)))/W2850,0)</f>
        <v/>
      </c>
      <c r="AA2850">
        <f>LTP3!$D$7-X2850*LTP3!$D$6-Y2850*U2850-Z2850*V2850</f>
        <v/>
      </c>
      <c r="AB2850">
        <f>IF(AND(F2850,ABS(W2850)&gt;1E-12,Y2850&gt;0,Z2850&gt;0),AA2850,1E+300)</f>
        <v/>
      </c>
    </row>
    <row r="2851">
      <c r="A2851">
        <f>$B$3+$B$5*46</f>
        <v/>
      </c>
      <c r="B2851">
        <f>$B$3+$B$5*33</f>
        <v/>
      </c>
      <c r="C2851">
        <f>SUMPRODUCT(Calc!$K$3:$K$22*(Calc!$G$3:$G$22&lt;=A2851))</f>
        <v/>
      </c>
      <c r="D2851">
        <f>SUMPRODUCT(Calc!$K$3:$K$22*(Calc!$G$3:$G$22&gt;A2851)*(Calc!$G$3:$G$22&lt;B2851))</f>
        <v/>
      </c>
      <c r="E2851">
        <f>SUMPRODUCT(Calc!$K$3:$K$22*(Calc!$G$3:$G$22&gt;=B2851))</f>
        <v/>
      </c>
      <c r="F2851">
        <f>AND(k_n&gt;=5,B2851&gt;A2851+1E-9,C2851&gt;=2,D2851&gt;=1,E2851&gt;=2)</f>
        <v/>
      </c>
      <c r="G2851">
        <f>SUMPRODUCT(Calc!$K$3:$K$22*(Calc!$G$3:$G$22&gt;A2851)*(Calc!$G$3:$G$22-A2851))</f>
        <v/>
      </c>
      <c r="H2851">
        <f>SUMPRODUCT(Calc!$K$3:$K$22*(Calc!$G$3:$G$22&gt;B2851)*(Calc!$G$3:$G$22-B2851))</f>
        <v/>
      </c>
      <c r="I2851">
        <f>SUMPRODUCT(Calc!$K$3:$K$22*(Calc!$G$3:$G$22&gt;A2851)*(Calc!$G$3:$G$22-A2851)^2)</f>
        <v/>
      </c>
      <c r="J2851">
        <f>SUMPRODUCT(Calc!$K$3:$K$22*(Calc!$G$3:$G$22&gt;B2851)*(Calc!$G$3:$G$22-B2851)^2)</f>
        <v/>
      </c>
      <c r="K2851">
        <f>SUMPRODUCT(Calc!$K$3:$K$22*(Calc!$G$3:$G$22&gt;A2851)*(Calc!$G$3:$G$22-A2851)*(Calc!$G$3:$G$22&gt;B2851)*(Calc!$G$3:$G$22-B2851))</f>
        <v/>
      </c>
      <c r="L2851">
        <f>SUMPRODUCT(Calc!$K$3:$K$22*(Calc!$G$3:$G$22&gt;A2851)*(Calc!$G$3:$G$22-A2851)*Calc!$G$3:$G$22)</f>
        <v/>
      </c>
      <c r="M2851">
        <f>SUMPRODUCT(Calc!$K$3:$K$22*(Calc!$G$3:$G$22&gt;B2851)*(Calc!$G$3:$G$22-B2851)*Calc!$G$3:$G$22)</f>
        <v/>
      </c>
      <c r="N2851">
        <f>SUMPRODUCT(Calc!$K$3:$K$22*(Calc!$G$3:$G$22&gt;A2851)*(Calc!$G$3:$G$22-A2851)*Calc!$I$3:$I$22)</f>
        <v/>
      </c>
      <c r="O2851">
        <f>SUMPRODUCT(Calc!$K$3:$K$22*(Calc!$G$3:$G$22&gt;B2851)*(Calc!$G$3:$G$22-B2851)*Calc!$I$3:$I$22)</f>
        <v/>
      </c>
      <c r="P2851">
        <f>I2851-G2851^2/k_n</f>
        <v/>
      </c>
      <c r="Q2851">
        <f>J2851-H2851^2/k_n</f>
        <v/>
      </c>
      <c r="R2851">
        <f>K2851-G2851*H2851/k_n</f>
        <v/>
      </c>
      <c r="S2851">
        <f>L2851-LTP3!$D$3*G2851/k_n</f>
        <v/>
      </c>
      <c r="T2851">
        <f>M2851-LTP3!$D$3*H2851/k_n</f>
        <v/>
      </c>
      <c r="U2851">
        <f>N2851-G2851*LTP3!$D$4/k_n</f>
        <v/>
      </c>
      <c r="V2851">
        <f>O2851-H2851*LTP3!$D$4/k_n</f>
        <v/>
      </c>
      <c r="W2851">
        <f>((LTP3!$D$5)*((P2851)*(Q2851)-(R2851)*(R2851))-(S2851)*((S2851)*(Q2851)-(R2851)*(T2851))+(T2851)*((S2851)*(R2851)-(P2851)*(T2851)))</f>
        <v/>
      </c>
      <c r="X2851">
        <f>IF(ABS(W2851)&gt;1E-12,((LTP3!$D$6)*((P2851)*(Q2851)-(R2851)*(R2851))-(S2851)*((U2851)*(Q2851)-(R2851)*(V2851))+(T2851)*((U2851)*(R2851)-(P2851)*(V2851)))/W2851,0)</f>
        <v/>
      </c>
      <c r="Y2851">
        <f>IF(ABS(W2851)&gt;1E-12,((LTP3!$D$5)*((U2851)*(Q2851)-(R2851)*(V2851))-(LTP3!$D$6)*((S2851)*(Q2851)-(R2851)*(T2851))+(T2851)*((S2851)*(V2851)-(U2851)*(T2851)))/W2851,0)</f>
        <v/>
      </c>
      <c r="Z2851">
        <f>IF(ABS(W2851)&gt;1E-12,((LTP3!$D$5)*((P2851)*(V2851)-(U2851)*(R2851))-(S2851)*((S2851)*(V2851)-(U2851)*(T2851))+(LTP3!$D$6)*((S2851)*(R2851)-(P2851)*(T2851)))/W2851,0)</f>
        <v/>
      </c>
      <c r="AA2851">
        <f>LTP3!$D$7-X2851*LTP3!$D$6-Y2851*U2851-Z2851*V2851</f>
        <v/>
      </c>
      <c r="AB2851">
        <f>IF(AND(F2851,ABS(W2851)&gt;1E-12,Y2851&gt;0,Z2851&gt;0),AA2851,1E+300)</f>
        <v/>
      </c>
    </row>
    <row r="2852">
      <c r="A2852">
        <f>$B$3+$B$5*46</f>
        <v/>
      </c>
      <c r="B2852">
        <f>$B$3+$B$5*34</f>
        <v/>
      </c>
      <c r="C2852">
        <f>SUMPRODUCT(Calc!$K$3:$K$22*(Calc!$G$3:$G$22&lt;=A2852))</f>
        <v/>
      </c>
      <c r="D2852">
        <f>SUMPRODUCT(Calc!$K$3:$K$22*(Calc!$G$3:$G$22&gt;A2852)*(Calc!$G$3:$G$22&lt;B2852))</f>
        <v/>
      </c>
      <c r="E2852">
        <f>SUMPRODUCT(Calc!$K$3:$K$22*(Calc!$G$3:$G$22&gt;=B2852))</f>
        <v/>
      </c>
      <c r="F2852">
        <f>AND(k_n&gt;=5,B2852&gt;A2852+1E-9,C2852&gt;=2,D2852&gt;=1,E2852&gt;=2)</f>
        <v/>
      </c>
      <c r="G2852">
        <f>SUMPRODUCT(Calc!$K$3:$K$22*(Calc!$G$3:$G$22&gt;A2852)*(Calc!$G$3:$G$22-A2852))</f>
        <v/>
      </c>
      <c r="H2852">
        <f>SUMPRODUCT(Calc!$K$3:$K$22*(Calc!$G$3:$G$22&gt;B2852)*(Calc!$G$3:$G$22-B2852))</f>
        <v/>
      </c>
      <c r="I2852">
        <f>SUMPRODUCT(Calc!$K$3:$K$22*(Calc!$G$3:$G$22&gt;A2852)*(Calc!$G$3:$G$22-A2852)^2)</f>
        <v/>
      </c>
      <c r="J2852">
        <f>SUMPRODUCT(Calc!$K$3:$K$22*(Calc!$G$3:$G$22&gt;B2852)*(Calc!$G$3:$G$22-B2852)^2)</f>
        <v/>
      </c>
      <c r="K2852">
        <f>SUMPRODUCT(Calc!$K$3:$K$22*(Calc!$G$3:$G$22&gt;A2852)*(Calc!$G$3:$G$22-A2852)*(Calc!$G$3:$G$22&gt;B2852)*(Calc!$G$3:$G$22-B2852))</f>
        <v/>
      </c>
      <c r="L2852">
        <f>SUMPRODUCT(Calc!$K$3:$K$22*(Calc!$G$3:$G$22&gt;A2852)*(Calc!$G$3:$G$22-A2852)*Calc!$G$3:$G$22)</f>
        <v/>
      </c>
      <c r="M2852">
        <f>SUMPRODUCT(Calc!$K$3:$K$22*(Calc!$G$3:$G$22&gt;B2852)*(Calc!$G$3:$G$22-B2852)*Calc!$G$3:$G$22)</f>
        <v/>
      </c>
      <c r="N2852">
        <f>SUMPRODUCT(Calc!$K$3:$K$22*(Calc!$G$3:$G$22&gt;A2852)*(Calc!$G$3:$G$22-A2852)*Calc!$I$3:$I$22)</f>
        <v/>
      </c>
      <c r="O2852">
        <f>SUMPRODUCT(Calc!$K$3:$K$22*(Calc!$G$3:$G$22&gt;B2852)*(Calc!$G$3:$G$22-B2852)*Calc!$I$3:$I$22)</f>
        <v/>
      </c>
      <c r="P2852">
        <f>I2852-G2852^2/k_n</f>
        <v/>
      </c>
      <c r="Q2852">
        <f>J2852-H2852^2/k_n</f>
        <v/>
      </c>
      <c r="R2852">
        <f>K2852-G2852*H2852/k_n</f>
        <v/>
      </c>
      <c r="S2852">
        <f>L2852-LTP3!$D$3*G2852/k_n</f>
        <v/>
      </c>
      <c r="T2852">
        <f>M2852-LTP3!$D$3*H2852/k_n</f>
        <v/>
      </c>
      <c r="U2852">
        <f>N2852-G2852*LTP3!$D$4/k_n</f>
        <v/>
      </c>
      <c r="V2852">
        <f>O2852-H2852*LTP3!$D$4/k_n</f>
        <v/>
      </c>
      <c r="W2852">
        <f>((LTP3!$D$5)*((P2852)*(Q2852)-(R2852)*(R2852))-(S2852)*((S2852)*(Q2852)-(R2852)*(T2852))+(T2852)*((S2852)*(R2852)-(P2852)*(T2852)))</f>
        <v/>
      </c>
      <c r="X2852">
        <f>IF(ABS(W2852)&gt;1E-12,((LTP3!$D$6)*((P2852)*(Q2852)-(R2852)*(R2852))-(S2852)*((U2852)*(Q2852)-(R2852)*(V2852))+(T2852)*((U2852)*(R2852)-(P2852)*(V2852)))/W2852,0)</f>
        <v/>
      </c>
      <c r="Y2852">
        <f>IF(ABS(W2852)&gt;1E-12,((LTP3!$D$5)*((U2852)*(Q2852)-(R2852)*(V2852))-(LTP3!$D$6)*((S2852)*(Q2852)-(R2852)*(T2852))+(T2852)*((S2852)*(V2852)-(U2852)*(T2852)))/W2852,0)</f>
        <v/>
      </c>
      <c r="Z2852">
        <f>IF(ABS(W2852)&gt;1E-12,((LTP3!$D$5)*((P2852)*(V2852)-(U2852)*(R2852))-(S2852)*((S2852)*(V2852)-(U2852)*(T2852))+(LTP3!$D$6)*((S2852)*(R2852)-(P2852)*(T2852)))/W2852,0)</f>
        <v/>
      </c>
      <c r="AA2852">
        <f>LTP3!$D$7-X2852*LTP3!$D$6-Y2852*U2852-Z2852*V2852</f>
        <v/>
      </c>
      <c r="AB2852">
        <f>IF(AND(F2852,ABS(W2852)&gt;1E-12,Y2852&gt;0,Z2852&gt;0),AA2852,1E+300)</f>
        <v/>
      </c>
    </row>
    <row r="2853">
      <c r="A2853">
        <f>$B$3+$B$5*46</f>
        <v/>
      </c>
      <c r="B2853">
        <f>$B$3+$B$5*35</f>
        <v/>
      </c>
      <c r="C2853">
        <f>SUMPRODUCT(Calc!$K$3:$K$22*(Calc!$G$3:$G$22&lt;=A2853))</f>
        <v/>
      </c>
      <c r="D2853">
        <f>SUMPRODUCT(Calc!$K$3:$K$22*(Calc!$G$3:$G$22&gt;A2853)*(Calc!$G$3:$G$22&lt;B2853))</f>
        <v/>
      </c>
      <c r="E2853">
        <f>SUMPRODUCT(Calc!$K$3:$K$22*(Calc!$G$3:$G$22&gt;=B2853))</f>
        <v/>
      </c>
      <c r="F2853">
        <f>AND(k_n&gt;=5,B2853&gt;A2853+1E-9,C2853&gt;=2,D2853&gt;=1,E2853&gt;=2)</f>
        <v/>
      </c>
      <c r="G2853">
        <f>SUMPRODUCT(Calc!$K$3:$K$22*(Calc!$G$3:$G$22&gt;A2853)*(Calc!$G$3:$G$22-A2853))</f>
        <v/>
      </c>
      <c r="H2853">
        <f>SUMPRODUCT(Calc!$K$3:$K$22*(Calc!$G$3:$G$22&gt;B2853)*(Calc!$G$3:$G$22-B2853))</f>
        <v/>
      </c>
      <c r="I2853">
        <f>SUMPRODUCT(Calc!$K$3:$K$22*(Calc!$G$3:$G$22&gt;A2853)*(Calc!$G$3:$G$22-A2853)^2)</f>
        <v/>
      </c>
      <c r="J2853">
        <f>SUMPRODUCT(Calc!$K$3:$K$22*(Calc!$G$3:$G$22&gt;B2853)*(Calc!$G$3:$G$22-B2853)^2)</f>
        <v/>
      </c>
      <c r="K2853">
        <f>SUMPRODUCT(Calc!$K$3:$K$22*(Calc!$G$3:$G$22&gt;A2853)*(Calc!$G$3:$G$22-A2853)*(Calc!$G$3:$G$22&gt;B2853)*(Calc!$G$3:$G$22-B2853))</f>
        <v/>
      </c>
      <c r="L2853">
        <f>SUMPRODUCT(Calc!$K$3:$K$22*(Calc!$G$3:$G$22&gt;A2853)*(Calc!$G$3:$G$22-A2853)*Calc!$G$3:$G$22)</f>
        <v/>
      </c>
      <c r="M2853">
        <f>SUMPRODUCT(Calc!$K$3:$K$22*(Calc!$G$3:$G$22&gt;B2853)*(Calc!$G$3:$G$22-B2853)*Calc!$G$3:$G$22)</f>
        <v/>
      </c>
      <c r="N2853">
        <f>SUMPRODUCT(Calc!$K$3:$K$22*(Calc!$G$3:$G$22&gt;A2853)*(Calc!$G$3:$G$22-A2853)*Calc!$I$3:$I$22)</f>
        <v/>
      </c>
      <c r="O2853">
        <f>SUMPRODUCT(Calc!$K$3:$K$22*(Calc!$G$3:$G$22&gt;B2853)*(Calc!$G$3:$G$22-B2853)*Calc!$I$3:$I$22)</f>
        <v/>
      </c>
      <c r="P2853">
        <f>I2853-G2853^2/k_n</f>
        <v/>
      </c>
      <c r="Q2853">
        <f>J2853-H2853^2/k_n</f>
        <v/>
      </c>
      <c r="R2853">
        <f>K2853-G2853*H2853/k_n</f>
        <v/>
      </c>
      <c r="S2853">
        <f>L2853-LTP3!$D$3*G2853/k_n</f>
        <v/>
      </c>
      <c r="T2853">
        <f>M2853-LTP3!$D$3*H2853/k_n</f>
        <v/>
      </c>
      <c r="U2853">
        <f>N2853-G2853*LTP3!$D$4/k_n</f>
        <v/>
      </c>
      <c r="V2853">
        <f>O2853-H2853*LTP3!$D$4/k_n</f>
        <v/>
      </c>
      <c r="W2853">
        <f>((LTP3!$D$5)*((P2853)*(Q2853)-(R2853)*(R2853))-(S2853)*((S2853)*(Q2853)-(R2853)*(T2853))+(T2853)*((S2853)*(R2853)-(P2853)*(T2853)))</f>
        <v/>
      </c>
      <c r="X2853">
        <f>IF(ABS(W2853)&gt;1E-12,((LTP3!$D$6)*((P2853)*(Q2853)-(R2853)*(R2853))-(S2853)*((U2853)*(Q2853)-(R2853)*(V2853))+(T2853)*((U2853)*(R2853)-(P2853)*(V2853)))/W2853,0)</f>
        <v/>
      </c>
      <c r="Y2853">
        <f>IF(ABS(W2853)&gt;1E-12,((LTP3!$D$5)*((U2853)*(Q2853)-(R2853)*(V2853))-(LTP3!$D$6)*((S2853)*(Q2853)-(R2853)*(T2853))+(T2853)*((S2853)*(V2853)-(U2853)*(T2853)))/W2853,0)</f>
        <v/>
      </c>
      <c r="Z2853">
        <f>IF(ABS(W2853)&gt;1E-12,((LTP3!$D$5)*((P2853)*(V2853)-(U2853)*(R2853))-(S2853)*((S2853)*(V2853)-(U2853)*(T2853))+(LTP3!$D$6)*((S2853)*(R2853)-(P2853)*(T2853)))/W2853,0)</f>
        <v/>
      </c>
      <c r="AA2853">
        <f>LTP3!$D$7-X2853*LTP3!$D$6-Y2853*U2853-Z2853*V2853</f>
        <v/>
      </c>
      <c r="AB2853">
        <f>IF(AND(F2853,ABS(W2853)&gt;1E-12,Y2853&gt;0,Z2853&gt;0),AA2853,1E+300)</f>
        <v/>
      </c>
    </row>
    <row r="2854">
      <c r="A2854">
        <f>$B$3+$B$5*46</f>
        <v/>
      </c>
      <c r="B2854">
        <f>$B$3+$B$5*36</f>
        <v/>
      </c>
      <c r="C2854">
        <f>SUMPRODUCT(Calc!$K$3:$K$22*(Calc!$G$3:$G$22&lt;=A2854))</f>
        <v/>
      </c>
      <c r="D2854">
        <f>SUMPRODUCT(Calc!$K$3:$K$22*(Calc!$G$3:$G$22&gt;A2854)*(Calc!$G$3:$G$22&lt;B2854))</f>
        <v/>
      </c>
      <c r="E2854">
        <f>SUMPRODUCT(Calc!$K$3:$K$22*(Calc!$G$3:$G$22&gt;=B2854))</f>
        <v/>
      </c>
      <c r="F2854">
        <f>AND(k_n&gt;=5,B2854&gt;A2854+1E-9,C2854&gt;=2,D2854&gt;=1,E2854&gt;=2)</f>
        <v/>
      </c>
      <c r="G2854">
        <f>SUMPRODUCT(Calc!$K$3:$K$22*(Calc!$G$3:$G$22&gt;A2854)*(Calc!$G$3:$G$22-A2854))</f>
        <v/>
      </c>
      <c r="H2854">
        <f>SUMPRODUCT(Calc!$K$3:$K$22*(Calc!$G$3:$G$22&gt;B2854)*(Calc!$G$3:$G$22-B2854))</f>
        <v/>
      </c>
      <c r="I2854">
        <f>SUMPRODUCT(Calc!$K$3:$K$22*(Calc!$G$3:$G$22&gt;A2854)*(Calc!$G$3:$G$22-A2854)^2)</f>
        <v/>
      </c>
      <c r="J2854">
        <f>SUMPRODUCT(Calc!$K$3:$K$22*(Calc!$G$3:$G$22&gt;B2854)*(Calc!$G$3:$G$22-B2854)^2)</f>
        <v/>
      </c>
      <c r="K2854">
        <f>SUMPRODUCT(Calc!$K$3:$K$22*(Calc!$G$3:$G$22&gt;A2854)*(Calc!$G$3:$G$22-A2854)*(Calc!$G$3:$G$22&gt;B2854)*(Calc!$G$3:$G$22-B2854))</f>
        <v/>
      </c>
      <c r="L2854">
        <f>SUMPRODUCT(Calc!$K$3:$K$22*(Calc!$G$3:$G$22&gt;A2854)*(Calc!$G$3:$G$22-A2854)*Calc!$G$3:$G$22)</f>
        <v/>
      </c>
      <c r="M2854">
        <f>SUMPRODUCT(Calc!$K$3:$K$22*(Calc!$G$3:$G$22&gt;B2854)*(Calc!$G$3:$G$22-B2854)*Calc!$G$3:$G$22)</f>
        <v/>
      </c>
      <c r="N2854">
        <f>SUMPRODUCT(Calc!$K$3:$K$22*(Calc!$G$3:$G$22&gt;A2854)*(Calc!$G$3:$G$22-A2854)*Calc!$I$3:$I$22)</f>
        <v/>
      </c>
      <c r="O2854">
        <f>SUMPRODUCT(Calc!$K$3:$K$22*(Calc!$G$3:$G$22&gt;B2854)*(Calc!$G$3:$G$22-B2854)*Calc!$I$3:$I$22)</f>
        <v/>
      </c>
      <c r="P2854">
        <f>I2854-G2854^2/k_n</f>
        <v/>
      </c>
      <c r="Q2854">
        <f>J2854-H2854^2/k_n</f>
        <v/>
      </c>
      <c r="R2854">
        <f>K2854-G2854*H2854/k_n</f>
        <v/>
      </c>
      <c r="S2854">
        <f>L2854-LTP3!$D$3*G2854/k_n</f>
        <v/>
      </c>
      <c r="T2854">
        <f>M2854-LTP3!$D$3*H2854/k_n</f>
        <v/>
      </c>
      <c r="U2854">
        <f>N2854-G2854*LTP3!$D$4/k_n</f>
        <v/>
      </c>
      <c r="V2854">
        <f>O2854-H2854*LTP3!$D$4/k_n</f>
        <v/>
      </c>
      <c r="W2854">
        <f>((LTP3!$D$5)*((P2854)*(Q2854)-(R2854)*(R2854))-(S2854)*((S2854)*(Q2854)-(R2854)*(T2854))+(T2854)*((S2854)*(R2854)-(P2854)*(T2854)))</f>
        <v/>
      </c>
      <c r="X2854">
        <f>IF(ABS(W2854)&gt;1E-12,((LTP3!$D$6)*((P2854)*(Q2854)-(R2854)*(R2854))-(S2854)*((U2854)*(Q2854)-(R2854)*(V2854))+(T2854)*((U2854)*(R2854)-(P2854)*(V2854)))/W2854,0)</f>
        <v/>
      </c>
      <c r="Y2854">
        <f>IF(ABS(W2854)&gt;1E-12,((LTP3!$D$5)*((U2854)*(Q2854)-(R2854)*(V2854))-(LTP3!$D$6)*((S2854)*(Q2854)-(R2854)*(T2854))+(T2854)*((S2854)*(V2854)-(U2854)*(T2854)))/W2854,0)</f>
        <v/>
      </c>
      <c r="Z2854">
        <f>IF(ABS(W2854)&gt;1E-12,((LTP3!$D$5)*((P2854)*(V2854)-(U2854)*(R2854))-(S2854)*((S2854)*(V2854)-(U2854)*(T2854))+(LTP3!$D$6)*((S2854)*(R2854)-(P2854)*(T2854)))/W2854,0)</f>
        <v/>
      </c>
      <c r="AA2854">
        <f>LTP3!$D$7-X2854*LTP3!$D$6-Y2854*U2854-Z2854*V2854</f>
        <v/>
      </c>
      <c r="AB2854">
        <f>IF(AND(F2854,ABS(W2854)&gt;1E-12,Y2854&gt;0,Z2854&gt;0),AA2854,1E+300)</f>
        <v/>
      </c>
    </row>
    <row r="2855">
      <c r="A2855">
        <f>$B$3+$B$5*46</f>
        <v/>
      </c>
      <c r="B2855">
        <f>$B$3+$B$5*37</f>
        <v/>
      </c>
      <c r="C2855">
        <f>SUMPRODUCT(Calc!$K$3:$K$22*(Calc!$G$3:$G$22&lt;=A2855))</f>
        <v/>
      </c>
      <c r="D2855">
        <f>SUMPRODUCT(Calc!$K$3:$K$22*(Calc!$G$3:$G$22&gt;A2855)*(Calc!$G$3:$G$22&lt;B2855))</f>
        <v/>
      </c>
      <c r="E2855">
        <f>SUMPRODUCT(Calc!$K$3:$K$22*(Calc!$G$3:$G$22&gt;=B2855))</f>
        <v/>
      </c>
      <c r="F2855">
        <f>AND(k_n&gt;=5,B2855&gt;A2855+1E-9,C2855&gt;=2,D2855&gt;=1,E2855&gt;=2)</f>
        <v/>
      </c>
      <c r="G2855">
        <f>SUMPRODUCT(Calc!$K$3:$K$22*(Calc!$G$3:$G$22&gt;A2855)*(Calc!$G$3:$G$22-A2855))</f>
        <v/>
      </c>
      <c r="H2855">
        <f>SUMPRODUCT(Calc!$K$3:$K$22*(Calc!$G$3:$G$22&gt;B2855)*(Calc!$G$3:$G$22-B2855))</f>
        <v/>
      </c>
      <c r="I2855">
        <f>SUMPRODUCT(Calc!$K$3:$K$22*(Calc!$G$3:$G$22&gt;A2855)*(Calc!$G$3:$G$22-A2855)^2)</f>
        <v/>
      </c>
      <c r="J2855">
        <f>SUMPRODUCT(Calc!$K$3:$K$22*(Calc!$G$3:$G$22&gt;B2855)*(Calc!$G$3:$G$22-B2855)^2)</f>
        <v/>
      </c>
      <c r="K2855">
        <f>SUMPRODUCT(Calc!$K$3:$K$22*(Calc!$G$3:$G$22&gt;A2855)*(Calc!$G$3:$G$22-A2855)*(Calc!$G$3:$G$22&gt;B2855)*(Calc!$G$3:$G$22-B2855))</f>
        <v/>
      </c>
      <c r="L2855">
        <f>SUMPRODUCT(Calc!$K$3:$K$22*(Calc!$G$3:$G$22&gt;A2855)*(Calc!$G$3:$G$22-A2855)*Calc!$G$3:$G$22)</f>
        <v/>
      </c>
      <c r="M2855">
        <f>SUMPRODUCT(Calc!$K$3:$K$22*(Calc!$G$3:$G$22&gt;B2855)*(Calc!$G$3:$G$22-B2855)*Calc!$G$3:$G$22)</f>
        <v/>
      </c>
      <c r="N2855">
        <f>SUMPRODUCT(Calc!$K$3:$K$22*(Calc!$G$3:$G$22&gt;A2855)*(Calc!$G$3:$G$22-A2855)*Calc!$I$3:$I$22)</f>
        <v/>
      </c>
      <c r="O2855">
        <f>SUMPRODUCT(Calc!$K$3:$K$22*(Calc!$G$3:$G$22&gt;B2855)*(Calc!$G$3:$G$22-B2855)*Calc!$I$3:$I$22)</f>
        <v/>
      </c>
      <c r="P2855">
        <f>I2855-G2855^2/k_n</f>
        <v/>
      </c>
      <c r="Q2855">
        <f>J2855-H2855^2/k_n</f>
        <v/>
      </c>
      <c r="R2855">
        <f>K2855-G2855*H2855/k_n</f>
        <v/>
      </c>
      <c r="S2855">
        <f>L2855-LTP3!$D$3*G2855/k_n</f>
        <v/>
      </c>
      <c r="T2855">
        <f>M2855-LTP3!$D$3*H2855/k_n</f>
        <v/>
      </c>
      <c r="U2855">
        <f>N2855-G2855*LTP3!$D$4/k_n</f>
        <v/>
      </c>
      <c r="V2855">
        <f>O2855-H2855*LTP3!$D$4/k_n</f>
        <v/>
      </c>
      <c r="W2855">
        <f>((LTP3!$D$5)*((P2855)*(Q2855)-(R2855)*(R2855))-(S2855)*((S2855)*(Q2855)-(R2855)*(T2855))+(T2855)*((S2855)*(R2855)-(P2855)*(T2855)))</f>
        <v/>
      </c>
      <c r="X2855">
        <f>IF(ABS(W2855)&gt;1E-12,((LTP3!$D$6)*((P2855)*(Q2855)-(R2855)*(R2855))-(S2855)*((U2855)*(Q2855)-(R2855)*(V2855))+(T2855)*((U2855)*(R2855)-(P2855)*(V2855)))/W2855,0)</f>
        <v/>
      </c>
      <c r="Y2855">
        <f>IF(ABS(W2855)&gt;1E-12,((LTP3!$D$5)*((U2855)*(Q2855)-(R2855)*(V2855))-(LTP3!$D$6)*((S2855)*(Q2855)-(R2855)*(T2855))+(T2855)*((S2855)*(V2855)-(U2855)*(T2855)))/W2855,0)</f>
        <v/>
      </c>
      <c r="Z2855">
        <f>IF(ABS(W2855)&gt;1E-12,((LTP3!$D$5)*((P2855)*(V2855)-(U2855)*(R2855))-(S2855)*((S2855)*(V2855)-(U2855)*(T2855))+(LTP3!$D$6)*((S2855)*(R2855)-(P2855)*(T2855)))/W2855,0)</f>
        <v/>
      </c>
      <c r="AA2855">
        <f>LTP3!$D$7-X2855*LTP3!$D$6-Y2855*U2855-Z2855*V2855</f>
        <v/>
      </c>
      <c r="AB2855">
        <f>IF(AND(F2855,ABS(W2855)&gt;1E-12,Y2855&gt;0,Z2855&gt;0),AA2855,1E+300)</f>
        <v/>
      </c>
    </row>
    <row r="2856">
      <c r="A2856">
        <f>$B$3+$B$5*46</f>
        <v/>
      </c>
      <c r="B2856">
        <f>$B$3+$B$5*38</f>
        <v/>
      </c>
      <c r="C2856">
        <f>SUMPRODUCT(Calc!$K$3:$K$22*(Calc!$G$3:$G$22&lt;=A2856))</f>
        <v/>
      </c>
      <c r="D2856">
        <f>SUMPRODUCT(Calc!$K$3:$K$22*(Calc!$G$3:$G$22&gt;A2856)*(Calc!$G$3:$G$22&lt;B2856))</f>
        <v/>
      </c>
      <c r="E2856">
        <f>SUMPRODUCT(Calc!$K$3:$K$22*(Calc!$G$3:$G$22&gt;=B2856))</f>
        <v/>
      </c>
      <c r="F2856">
        <f>AND(k_n&gt;=5,B2856&gt;A2856+1E-9,C2856&gt;=2,D2856&gt;=1,E2856&gt;=2)</f>
        <v/>
      </c>
      <c r="G2856">
        <f>SUMPRODUCT(Calc!$K$3:$K$22*(Calc!$G$3:$G$22&gt;A2856)*(Calc!$G$3:$G$22-A2856))</f>
        <v/>
      </c>
      <c r="H2856">
        <f>SUMPRODUCT(Calc!$K$3:$K$22*(Calc!$G$3:$G$22&gt;B2856)*(Calc!$G$3:$G$22-B2856))</f>
        <v/>
      </c>
      <c r="I2856">
        <f>SUMPRODUCT(Calc!$K$3:$K$22*(Calc!$G$3:$G$22&gt;A2856)*(Calc!$G$3:$G$22-A2856)^2)</f>
        <v/>
      </c>
      <c r="J2856">
        <f>SUMPRODUCT(Calc!$K$3:$K$22*(Calc!$G$3:$G$22&gt;B2856)*(Calc!$G$3:$G$22-B2856)^2)</f>
        <v/>
      </c>
      <c r="K2856">
        <f>SUMPRODUCT(Calc!$K$3:$K$22*(Calc!$G$3:$G$22&gt;A2856)*(Calc!$G$3:$G$22-A2856)*(Calc!$G$3:$G$22&gt;B2856)*(Calc!$G$3:$G$22-B2856))</f>
        <v/>
      </c>
      <c r="L2856">
        <f>SUMPRODUCT(Calc!$K$3:$K$22*(Calc!$G$3:$G$22&gt;A2856)*(Calc!$G$3:$G$22-A2856)*Calc!$G$3:$G$22)</f>
        <v/>
      </c>
      <c r="M2856">
        <f>SUMPRODUCT(Calc!$K$3:$K$22*(Calc!$G$3:$G$22&gt;B2856)*(Calc!$G$3:$G$22-B2856)*Calc!$G$3:$G$22)</f>
        <v/>
      </c>
      <c r="N2856">
        <f>SUMPRODUCT(Calc!$K$3:$K$22*(Calc!$G$3:$G$22&gt;A2856)*(Calc!$G$3:$G$22-A2856)*Calc!$I$3:$I$22)</f>
        <v/>
      </c>
      <c r="O2856">
        <f>SUMPRODUCT(Calc!$K$3:$K$22*(Calc!$G$3:$G$22&gt;B2856)*(Calc!$G$3:$G$22-B2856)*Calc!$I$3:$I$22)</f>
        <v/>
      </c>
      <c r="P2856">
        <f>I2856-G2856^2/k_n</f>
        <v/>
      </c>
      <c r="Q2856">
        <f>J2856-H2856^2/k_n</f>
        <v/>
      </c>
      <c r="R2856">
        <f>K2856-G2856*H2856/k_n</f>
        <v/>
      </c>
      <c r="S2856">
        <f>L2856-LTP3!$D$3*G2856/k_n</f>
        <v/>
      </c>
      <c r="T2856">
        <f>M2856-LTP3!$D$3*H2856/k_n</f>
        <v/>
      </c>
      <c r="U2856">
        <f>N2856-G2856*LTP3!$D$4/k_n</f>
        <v/>
      </c>
      <c r="V2856">
        <f>O2856-H2856*LTP3!$D$4/k_n</f>
        <v/>
      </c>
      <c r="W2856">
        <f>((LTP3!$D$5)*((P2856)*(Q2856)-(R2856)*(R2856))-(S2856)*((S2856)*(Q2856)-(R2856)*(T2856))+(T2856)*((S2856)*(R2856)-(P2856)*(T2856)))</f>
        <v/>
      </c>
      <c r="X2856">
        <f>IF(ABS(W2856)&gt;1E-12,((LTP3!$D$6)*((P2856)*(Q2856)-(R2856)*(R2856))-(S2856)*((U2856)*(Q2856)-(R2856)*(V2856))+(T2856)*((U2856)*(R2856)-(P2856)*(V2856)))/W2856,0)</f>
        <v/>
      </c>
      <c r="Y2856">
        <f>IF(ABS(W2856)&gt;1E-12,((LTP3!$D$5)*((U2856)*(Q2856)-(R2856)*(V2856))-(LTP3!$D$6)*((S2856)*(Q2856)-(R2856)*(T2856))+(T2856)*((S2856)*(V2856)-(U2856)*(T2856)))/W2856,0)</f>
        <v/>
      </c>
      <c r="Z2856">
        <f>IF(ABS(W2856)&gt;1E-12,((LTP3!$D$5)*((P2856)*(V2856)-(U2856)*(R2856))-(S2856)*((S2856)*(V2856)-(U2856)*(T2856))+(LTP3!$D$6)*((S2856)*(R2856)-(P2856)*(T2856)))/W2856,0)</f>
        <v/>
      </c>
      <c r="AA2856">
        <f>LTP3!$D$7-X2856*LTP3!$D$6-Y2856*U2856-Z2856*V2856</f>
        <v/>
      </c>
      <c r="AB2856">
        <f>IF(AND(F2856,ABS(W2856)&gt;1E-12,Y2856&gt;0,Z2856&gt;0),AA2856,1E+300)</f>
        <v/>
      </c>
    </row>
    <row r="2857">
      <c r="A2857">
        <f>$B$3+$B$5*46</f>
        <v/>
      </c>
      <c r="B2857">
        <f>$B$3+$B$5*39</f>
        <v/>
      </c>
      <c r="C2857">
        <f>SUMPRODUCT(Calc!$K$3:$K$22*(Calc!$G$3:$G$22&lt;=A2857))</f>
        <v/>
      </c>
      <c r="D2857">
        <f>SUMPRODUCT(Calc!$K$3:$K$22*(Calc!$G$3:$G$22&gt;A2857)*(Calc!$G$3:$G$22&lt;B2857))</f>
        <v/>
      </c>
      <c r="E2857">
        <f>SUMPRODUCT(Calc!$K$3:$K$22*(Calc!$G$3:$G$22&gt;=B2857))</f>
        <v/>
      </c>
      <c r="F2857">
        <f>AND(k_n&gt;=5,B2857&gt;A2857+1E-9,C2857&gt;=2,D2857&gt;=1,E2857&gt;=2)</f>
        <v/>
      </c>
      <c r="G2857">
        <f>SUMPRODUCT(Calc!$K$3:$K$22*(Calc!$G$3:$G$22&gt;A2857)*(Calc!$G$3:$G$22-A2857))</f>
        <v/>
      </c>
      <c r="H2857">
        <f>SUMPRODUCT(Calc!$K$3:$K$22*(Calc!$G$3:$G$22&gt;B2857)*(Calc!$G$3:$G$22-B2857))</f>
        <v/>
      </c>
      <c r="I2857">
        <f>SUMPRODUCT(Calc!$K$3:$K$22*(Calc!$G$3:$G$22&gt;A2857)*(Calc!$G$3:$G$22-A2857)^2)</f>
        <v/>
      </c>
      <c r="J2857">
        <f>SUMPRODUCT(Calc!$K$3:$K$22*(Calc!$G$3:$G$22&gt;B2857)*(Calc!$G$3:$G$22-B2857)^2)</f>
        <v/>
      </c>
      <c r="K2857">
        <f>SUMPRODUCT(Calc!$K$3:$K$22*(Calc!$G$3:$G$22&gt;A2857)*(Calc!$G$3:$G$22-A2857)*(Calc!$G$3:$G$22&gt;B2857)*(Calc!$G$3:$G$22-B2857))</f>
        <v/>
      </c>
      <c r="L2857">
        <f>SUMPRODUCT(Calc!$K$3:$K$22*(Calc!$G$3:$G$22&gt;A2857)*(Calc!$G$3:$G$22-A2857)*Calc!$G$3:$G$22)</f>
        <v/>
      </c>
      <c r="M2857">
        <f>SUMPRODUCT(Calc!$K$3:$K$22*(Calc!$G$3:$G$22&gt;B2857)*(Calc!$G$3:$G$22-B2857)*Calc!$G$3:$G$22)</f>
        <v/>
      </c>
      <c r="N2857">
        <f>SUMPRODUCT(Calc!$K$3:$K$22*(Calc!$G$3:$G$22&gt;A2857)*(Calc!$G$3:$G$22-A2857)*Calc!$I$3:$I$22)</f>
        <v/>
      </c>
      <c r="O2857">
        <f>SUMPRODUCT(Calc!$K$3:$K$22*(Calc!$G$3:$G$22&gt;B2857)*(Calc!$G$3:$G$22-B2857)*Calc!$I$3:$I$22)</f>
        <v/>
      </c>
      <c r="P2857">
        <f>I2857-G2857^2/k_n</f>
        <v/>
      </c>
      <c r="Q2857">
        <f>J2857-H2857^2/k_n</f>
        <v/>
      </c>
      <c r="R2857">
        <f>K2857-G2857*H2857/k_n</f>
        <v/>
      </c>
      <c r="S2857">
        <f>L2857-LTP3!$D$3*G2857/k_n</f>
        <v/>
      </c>
      <c r="T2857">
        <f>M2857-LTP3!$D$3*H2857/k_n</f>
        <v/>
      </c>
      <c r="U2857">
        <f>N2857-G2857*LTP3!$D$4/k_n</f>
        <v/>
      </c>
      <c r="V2857">
        <f>O2857-H2857*LTP3!$D$4/k_n</f>
        <v/>
      </c>
      <c r="W2857">
        <f>((LTP3!$D$5)*((P2857)*(Q2857)-(R2857)*(R2857))-(S2857)*((S2857)*(Q2857)-(R2857)*(T2857))+(T2857)*((S2857)*(R2857)-(P2857)*(T2857)))</f>
        <v/>
      </c>
      <c r="X2857">
        <f>IF(ABS(W2857)&gt;1E-12,((LTP3!$D$6)*((P2857)*(Q2857)-(R2857)*(R2857))-(S2857)*((U2857)*(Q2857)-(R2857)*(V2857))+(T2857)*((U2857)*(R2857)-(P2857)*(V2857)))/W2857,0)</f>
        <v/>
      </c>
      <c r="Y2857">
        <f>IF(ABS(W2857)&gt;1E-12,((LTP3!$D$5)*((U2857)*(Q2857)-(R2857)*(V2857))-(LTP3!$D$6)*((S2857)*(Q2857)-(R2857)*(T2857))+(T2857)*((S2857)*(V2857)-(U2857)*(T2857)))/W2857,0)</f>
        <v/>
      </c>
      <c r="Z2857">
        <f>IF(ABS(W2857)&gt;1E-12,((LTP3!$D$5)*((P2857)*(V2857)-(U2857)*(R2857))-(S2857)*((S2857)*(V2857)-(U2857)*(T2857))+(LTP3!$D$6)*((S2857)*(R2857)-(P2857)*(T2857)))/W2857,0)</f>
        <v/>
      </c>
      <c r="AA2857">
        <f>LTP3!$D$7-X2857*LTP3!$D$6-Y2857*U2857-Z2857*V2857</f>
        <v/>
      </c>
      <c r="AB2857">
        <f>IF(AND(F2857,ABS(W2857)&gt;1E-12,Y2857&gt;0,Z2857&gt;0),AA2857,1E+300)</f>
        <v/>
      </c>
    </row>
    <row r="2858">
      <c r="A2858">
        <f>$B$3+$B$5*46</f>
        <v/>
      </c>
      <c r="B2858">
        <f>$B$3+$B$5*40</f>
        <v/>
      </c>
      <c r="C2858">
        <f>SUMPRODUCT(Calc!$K$3:$K$22*(Calc!$G$3:$G$22&lt;=A2858))</f>
        <v/>
      </c>
      <c r="D2858">
        <f>SUMPRODUCT(Calc!$K$3:$K$22*(Calc!$G$3:$G$22&gt;A2858)*(Calc!$G$3:$G$22&lt;B2858))</f>
        <v/>
      </c>
      <c r="E2858">
        <f>SUMPRODUCT(Calc!$K$3:$K$22*(Calc!$G$3:$G$22&gt;=B2858))</f>
        <v/>
      </c>
      <c r="F2858">
        <f>AND(k_n&gt;=5,B2858&gt;A2858+1E-9,C2858&gt;=2,D2858&gt;=1,E2858&gt;=2)</f>
        <v/>
      </c>
      <c r="G2858">
        <f>SUMPRODUCT(Calc!$K$3:$K$22*(Calc!$G$3:$G$22&gt;A2858)*(Calc!$G$3:$G$22-A2858))</f>
        <v/>
      </c>
      <c r="H2858">
        <f>SUMPRODUCT(Calc!$K$3:$K$22*(Calc!$G$3:$G$22&gt;B2858)*(Calc!$G$3:$G$22-B2858))</f>
        <v/>
      </c>
      <c r="I2858">
        <f>SUMPRODUCT(Calc!$K$3:$K$22*(Calc!$G$3:$G$22&gt;A2858)*(Calc!$G$3:$G$22-A2858)^2)</f>
        <v/>
      </c>
      <c r="J2858">
        <f>SUMPRODUCT(Calc!$K$3:$K$22*(Calc!$G$3:$G$22&gt;B2858)*(Calc!$G$3:$G$22-B2858)^2)</f>
        <v/>
      </c>
      <c r="K2858">
        <f>SUMPRODUCT(Calc!$K$3:$K$22*(Calc!$G$3:$G$22&gt;A2858)*(Calc!$G$3:$G$22-A2858)*(Calc!$G$3:$G$22&gt;B2858)*(Calc!$G$3:$G$22-B2858))</f>
        <v/>
      </c>
      <c r="L2858">
        <f>SUMPRODUCT(Calc!$K$3:$K$22*(Calc!$G$3:$G$22&gt;A2858)*(Calc!$G$3:$G$22-A2858)*Calc!$G$3:$G$22)</f>
        <v/>
      </c>
      <c r="M2858">
        <f>SUMPRODUCT(Calc!$K$3:$K$22*(Calc!$G$3:$G$22&gt;B2858)*(Calc!$G$3:$G$22-B2858)*Calc!$G$3:$G$22)</f>
        <v/>
      </c>
      <c r="N2858">
        <f>SUMPRODUCT(Calc!$K$3:$K$22*(Calc!$G$3:$G$22&gt;A2858)*(Calc!$G$3:$G$22-A2858)*Calc!$I$3:$I$22)</f>
        <v/>
      </c>
      <c r="O2858">
        <f>SUMPRODUCT(Calc!$K$3:$K$22*(Calc!$G$3:$G$22&gt;B2858)*(Calc!$G$3:$G$22-B2858)*Calc!$I$3:$I$22)</f>
        <v/>
      </c>
      <c r="P2858">
        <f>I2858-G2858^2/k_n</f>
        <v/>
      </c>
      <c r="Q2858">
        <f>J2858-H2858^2/k_n</f>
        <v/>
      </c>
      <c r="R2858">
        <f>K2858-G2858*H2858/k_n</f>
        <v/>
      </c>
      <c r="S2858">
        <f>L2858-LTP3!$D$3*G2858/k_n</f>
        <v/>
      </c>
      <c r="T2858">
        <f>M2858-LTP3!$D$3*H2858/k_n</f>
        <v/>
      </c>
      <c r="U2858">
        <f>N2858-G2858*LTP3!$D$4/k_n</f>
        <v/>
      </c>
      <c r="V2858">
        <f>O2858-H2858*LTP3!$D$4/k_n</f>
        <v/>
      </c>
      <c r="W2858">
        <f>((LTP3!$D$5)*((P2858)*(Q2858)-(R2858)*(R2858))-(S2858)*((S2858)*(Q2858)-(R2858)*(T2858))+(T2858)*((S2858)*(R2858)-(P2858)*(T2858)))</f>
        <v/>
      </c>
      <c r="X2858">
        <f>IF(ABS(W2858)&gt;1E-12,((LTP3!$D$6)*((P2858)*(Q2858)-(R2858)*(R2858))-(S2858)*((U2858)*(Q2858)-(R2858)*(V2858))+(T2858)*((U2858)*(R2858)-(P2858)*(V2858)))/W2858,0)</f>
        <v/>
      </c>
      <c r="Y2858">
        <f>IF(ABS(W2858)&gt;1E-12,((LTP3!$D$5)*((U2858)*(Q2858)-(R2858)*(V2858))-(LTP3!$D$6)*((S2858)*(Q2858)-(R2858)*(T2858))+(T2858)*((S2858)*(V2858)-(U2858)*(T2858)))/W2858,0)</f>
        <v/>
      </c>
      <c r="Z2858">
        <f>IF(ABS(W2858)&gt;1E-12,((LTP3!$D$5)*((P2858)*(V2858)-(U2858)*(R2858))-(S2858)*((S2858)*(V2858)-(U2858)*(T2858))+(LTP3!$D$6)*((S2858)*(R2858)-(P2858)*(T2858)))/W2858,0)</f>
        <v/>
      </c>
      <c r="AA2858">
        <f>LTP3!$D$7-X2858*LTP3!$D$6-Y2858*U2858-Z2858*V2858</f>
        <v/>
      </c>
      <c r="AB2858">
        <f>IF(AND(F2858,ABS(W2858)&gt;1E-12,Y2858&gt;0,Z2858&gt;0),AA2858,1E+300)</f>
        <v/>
      </c>
    </row>
    <row r="2859">
      <c r="A2859">
        <f>$B$3+$B$5*46</f>
        <v/>
      </c>
      <c r="B2859">
        <f>$B$3+$B$5*41</f>
        <v/>
      </c>
      <c r="C2859">
        <f>SUMPRODUCT(Calc!$K$3:$K$22*(Calc!$G$3:$G$22&lt;=A2859))</f>
        <v/>
      </c>
      <c r="D2859">
        <f>SUMPRODUCT(Calc!$K$3:$K$22*(Calc!$G$3:$G$22&gt;A2859)*(Calc!$G$3:$G$22&lt;B2859))</f>
        <v/>
      </c>
      <c r="E2859">
        <f>SUMPRODUCT(Calc!$K$3:$K$22*(Calc!$G$3:$G$22&gt;=B2859))</f>
        <v/>
      </c>
      <c r="F2859">
        <f>AND(k_n&gt;=5,B2859&gt;A2859+1E-9,C2859&gt;=2,D2859&gt;=1,E2859&gt;=2)</f>
        <v/>
      </c>
      <c r="G2859">
        <f>SUMPRODUCT(Calc!$K$3:$K$22*(Calc!$G$3:$G$22&gt;A2859)*(Calc!$G$3:$G$22-A2859))</f>
        <v/>
      </c>
      <c r="H2859">
        <f>SUMPRODUCT(Calc!$K$3:$K$22*(Calc!$G$3:$G$22&gt;B2859)*(Calc!$G$3:$G$22-B2859))</f>
        <v/>
      </c>
      <c r="I2859">
        <f>SUMPRODUCT(Calc!$K$3:$K$22*(Calc!$G$3:$G$22&gt;A2859)*(Calc!$G$3:$G$22-A2859)^2)</f>
        <v/>
      </c>
      <c r="J2859">
        <f>SUMPRODUCT(Calc!$K$3:$K$22*(Calc!$G$3:$G$22&gt;B2859)*(Calc!$G$3:$G$22-B2859)^2)</f>
        <v/>
      </c>
      <c r="K2859">
        <f>SUMPRODUCT(Calc!$K$3:$K$22*(Calc!$G$3:$G$22&gt;A2859)*(Calc!$G$3:$G$22-A2859)*(Calc!$G$3:$G$22&gt;B2859)*(Calc!$G$3:$G$22-B2859))</f>
        <v/>
      </c>
      <c r="L2859">
        <f>SUMPRODUCT(Calc!$K$3:$K$22*(Calc!$G$3:$G$22&gt;A2859)*(Calc!$G$3:$G$22-A2859)*Calc!$G$3:$G$22)</f>
        <v/>
      </c>
      <c r="M2859">
        <f>SUMPRODUCT(Calc!$K$3:$K$22*(Calc!$G$3:$G$22&gt;B2859)*(Calc!$G$3:$G$22-B2859)*Calc!$G$3:$G$22)</f>
        <v/>
      </c>
      <c r="N2859">
        <f>SUMPRODUCT(Calc!$K$3:$K$22*(Calc!$G$3:$G$22&gt;A2859)*(Calc!$G$3:$G$22-A2859)*Calc!$I$3:$I$22)</f>
        <v/>
      </c>
      <c r="O2859">
        <f>SUMPRODUCT(Calc!$K$3:$K$22*(Calc!$G$3:$G$22&gt;B2859)*(Calc!$G$3:$G$22-B2859)*Calc!$I$3:$I$22)</f>
        <v/>
      </c>
      <c r="P2859">
        <f>I2859-G2859^2/k_n</f>
        <v/>
      </c>
      <c r="Q2859">
        <f>J2859-H2859^2/k_n</f>
        <v/>
      </c>
      <c r="R2859">
        <f>K2859-G2859*H2859/k_n</f>
        <v/>
      </c>
      <c r="S2859">
        <f>L2859-LTP3!$D$3*G2859/k_n</f>
        <v/>
      </c>
      <c r="T2859">
        <f>M2859-LTP3!$D$3*H2859/k_n</f>
        <v/>
      </c>
      <c r="U2859">
        <f>N2859-G2859*LTP3!$D$4/k_n</f>
        <v/>
      </c>
      <c r="V2859">
        <f>O2859-H2859*LTP3!$D$4/k_n</f>
        <v/>
      </c>
      <c r="W2859">
        <f>((LTP3!$D$5)*((P2859)*(Q2859)-(R2859)*(R2859))-(S2859)*((S2859)*(Q2859)-(R2859)*(T2859))+(T2859)*((S2859)*(R2859)-(P2859)*(T2859)))</f>
        <v/>
      </c>
      <c r="X2859">
        <f>IF(ABS(W2859)&gt;1E-12,((LTP3!$D$6)*((P2859)*(Q2859)-(R2859)*(R2859))-(S2859)*((U2859)*(Q2859)-(R2859)*(V2859))+(T2859)*((U2859)*(R2859)-(P2859)*(V2859)))/W2859,0)</f>
        <v/>
      </c>
      <c r="Y2859">
        <f>IF(ABS(W2859)&gt;1E-12,((LTP3!$D$5)*((U2859)*(Q2859)-(R2859)*(V2859))-(LTP3!$D$6)*((S2859)*(Q2859)-(R2859)*(T2859))+(T2859)*((S2859)*(V2859)-(U2859)*(T2859)))/W2859,0)</f>
        <v/>
      </c>
      <c r="Z2859">
        <f>IF(ABS(W2859)&gt;1E-12,((LTP3!$D$5)*((P2859)*(V2859)-(U2859)*(R2859))-(S2859)*((S2859)*(V2859)-(U2859)*(T2859))+(LTP3!$D$6)*((S2859)*(R2859)-(P2859)*(T2859)))/W2859,0)</f>
        <v/>
      </c>
      <c r="AA2859">
        <f>LTP3!$D$7-X2859*LTP3!$D$6-Y2859*U2859-Z2859*V2859</f>
        <v/>
      </c>
      <c r="AB2859">
        <f>IF(AND(F2859,ABS(W2859)&gt;1E-12,Y2859&gt;0,Z2859&gt;0),AA2859,1E+300)</f>
        <v/>
      </c>
    </row>
    <row r="2860">
      <c r="A2860">
        <f>$B$3+$B$5*46</f>
        <v/>
      </c>
      <c r="B2860">
        <f>$B$3+$B$5*42</f>
        <v/>
      </c>
      <c r="C2860">
        <f>SUMPRODUCT(Calc!$K$3:$K$22*(Calc!$G$3:$G$22&lt;=A2860))</f>
        <v/>
      </c>
      <c r="D2860">
        <f>SUMPRODUCT(Calc!$K$3:$K$22*(Calc!$G$3:$G$22&gt;A2860)*(Calc!$G$3:$G$22&lt;B2860))</f>
        <v/>
      </c>
      <c r="E2860">
        <f>SUMPRODUCT(Calc!$K$3:$K$22*(Calc!$G$3:$G$22&gt;=B2860))</f>
        <v/>
      </c>
      <c r="F2860">
        <f>AND(k_n&gt;=5,B2860&gt;A2860+1E-9,C2860&gt;=2,D2860&gt;=1,E2860&gt;=2)</f>
        <v/>
      </c>
      <c r="G2860">
        <f>SUMPRODUCT(Calc!$K$3:$K$22*(Calc!$G$3:$G$22&gt;A2860)*(Calc!$G$3:$G$22-A2860))</f>
        <v/>
      </c>
      <c r="H2860">
        <f>SUMPRODUCT(Calc!$K$3:$K$22*(Calc!$G$3:$G$22&gt;B2860)*(Calc!$G$3:$G$22-B2860))</f>
        <v/>
      </c>
      <c r="I2860">
        <f>SUMPRODUCT(Calc!$K$3:$K$22*(Calc!$G$3:$G$22&gt;A2860)*(Calc!$G$3:$G$22-A2860)^2)</f>
        <v/>
      </c>
      <c r="J2860">
        <f>SUMPRODUCT(Calc!$K$3:$K$22*(Calc!$G$3:$G$22&gt;B2860)*(Calc!$G$3:$G$22-B2860)^2)</f>
        <v/>
      </c>
      <c r="K2860">
        <f>SUMPRODUCT(Calc!$K$3:$K$22*(Calc!$G$3:$G$22&gt;A2860)*(Calc!$G$3:$G$22-A2860)*(Calc!$G$3:$G$22&gt;B2860)*(Calc!$G$3:$G$22-B2860))</f>
        <v/>
      </c>
      <c r="L2860">
        <f>SUMPRODUCT(Calc!$K$3:$K$22*(Calc!$G$3:$G$22&gt;A2860)*(Calc!$G$3:$G$22-A2860)*Calc!$G$3:$G$22)</f>
        <v/>
      </c>
      <c r="M2860">
        <f>SUMPRODUCT(Calc!$K$3:$K$22*(Calc!$G$3:$G$22&gt;B2860)*(Calc!$G$3:$G$22-B2860)*Calc!$G$3:$G$22)</f>
        <v/>
      </c>
      <c r="N2860">
        <f>SUMPRODUCT(Calc!$K$3:$K$22*(Calc!$G$3:$G$22&gt;A2860)*(Calc!$G$3:$G$22-A2860)*Calc!$I$3:$I$22)</f>
        <v/>
      </c>
      <c r="O2860">
        <f>SUMPRODUCT(Calc!$K$3:$K$22*(Calc!$G$3:$G$22&gt;B2860)*(Calc!$G$3:$G$22-B2860)*Calc!$I$3:$I$22)</f>
        <v/>
      </c>
      <c r="P2860">
        <f>I2860-G2860^2/k_n</f>
        <v/>
      </c>
      <c r="Q2860">
        <f>J2860-H2860^2/k_n</f>
        <v/>
      </c>
      <c r="R2860">
        <f>K2860-G2860*H2860/k_n</f>
        <v/>
      </c>
      <c r="S2860">
        <f>L2860-LTP3!$D$3*G2860/k_n</f>
        <v/>
      </c>
      <c r="T2860">
        <f>M2860-LTP3!$D$3*H2860/k_n</f>
        <v/>
      </c>
      <c r="U2860">
        <f>N2860-G2860*LTP3!$D$4/k_n</f>
        <v/>
      </c>
      <c r="V2860">
        <f>O2860-H2860*LTP3!$D$4/k_n</f>
        <v/>
      </c>
      <c r="W2860">
        <f>((LTP3!$D$5)*((P2860)*(Q2860)-(R2860)*(R2860))-(S2860)*((S2860)*(Q2860)-(R2860)*(T2860))+(T2860)*((S2860)*(R2860)-(P2860)*(T2860)))</f>
        <v/>
      </c>
      <c r="X2860">
        <f>IF(ABS(W2860)&gt;1E-12,((LTP3!$D$6)*((P2860)*(Q2860)-(R2860)*(R2860))-(S2860)*((U2860)*(Q2860)-(R2860)*(V2860))+(T2860)*((U2860)*(R2860)-(P2860)*(V2860)))/W2860,0)</f>
        <v/>
      </c>
      <c r="Y2860">
        <f>IF(ABS(W2860)&gt;1E-12,((LTP3!$D$5)*((U2860)*(Q2860)-(R2860)*(V2860))-(LTP3!$D$6)*((S2860)*(Q2860)-(R2860)*(T2860))+(T2860)*((S2860)*(V2860)-(U2860)*(T2860)))/W2860,0)</f>
        <v/>
      </c>
      <c r="Z2860">
        <f>IF(ABS(W2860)&gt;1E-12,((LTP3!$D$5)*((P2860)*(V2860)-(U2860)*(R2860))-(S2860)*((S2860)*(V2860)-(U2860)*(T2860))+(LTP3!$D$6)*((S2860)*(R2860)-(P2860)*(T2860)))/W2860,0)</f>
        <v/>
      </c>
      <c r="AA2860">
        <f>LTP3!$D$7-X2860*LTP3!$D$6-Y2860*U2860-Z2860*V2860</f>
        <v/>
      </c>
      <c r="AB2860">
        <f>IF(AND(F2860,ABS(W2860)&gt;1E-12,Y2860&gt;0,Z2860&gt;0),AA2860,1E+300)</f>
        <v/>
      </c>
    </row>
    <row r="2861">
      <c r="A2861">
        <f>$B$3+$B$5*46</f>
        <v/>
      </c>
      <c r="B2861">
        <f>$B$3+$B$5*43</f>
        <v/>
      </c>
      <c r="C2861">
        <f>SUMPRODUCT(Calc!$K$3:$K$22*(Calc!$G$3:$G$22&lt;=A2861))</f>
        <v/>
      </c>
      <c r="D2861">
        <f>SUMPRODUCT(Calc!$K$3:$K$22*(Calc!$G$3:$G$22&gt;A2861)*(Calc!$G$3:$G$22&lt;B2861))</f>
        <v/>
      </c>
      <c r="E2861">
        <f>SUMPRODUCT(Calc!$K$3:$K$22*(Calc!$G$3:$G$22&gt;=B2861))</f>
        <v/>
      </c>
      <c r="F2861">
        <f>AND(k_n&gt;=5,B2861&gt;A2861+1E-9,C2861&gt;=2,D2861&gt;=1,E2861&gt;=2)</f>
        <v/>
      </c>
      <c r="G2861">
        <f>SUMPRODUCT(Calc!$K$3:$K$22*(Calc!$G$3:$G$22&gt;A2861)*(Calc!$G$3:$G$22-A2861))</f>
        <v/>
      </c>
      <c r="H2861">
        <f>SUMPRODUCT(Calc!$K$3:$K$22*(Calc!$G$3:$G$22&gt;B2861)*(Calc!$G$3:$G$22-B2861))</f>
        <v/>
      </c>
      <c r="I2861">
        <f>SUMPRODUCT(Calc!$K$3:$K$22*(Calc!$G$3:$G$22&gt;A2861)*(Calc!$G$3:$G$22-A2861)^2)</f>
        <v/>
      </c>
      <c r="J2861">
        <f>SUMPRODUCT(Calc!$K$3:$K$22*(Calc!$G$3:$G$22&gt;B2861)*(Calc!$G$3:$G$22-B2861)^2)</f>
        <v/>
      </c>
      <c r="K2861">
        <f>SUMPRODUCT(Calc!$K$3:$K$22*(Calc!$G$3:$G$22&gt;A2861)*(Calc!$G$3:$G$22-A2861)*(Calc!$G$3:$G$22&gt;B2861)*(Calc!$G$3:$G$22-B2861))</f>
        <v/>
      </c>
      <c r="L2861">
        <f>SUMPRODUCT(Calc!$K$3:$K$22*(Calc!$G$3:$G$22&gt;A2861)*(Calc!$G$3:$G$22-A2861)*Calc!$G$3:$G$22)</f>
        <v/>
      </c>
      <c r="M2861">
        <f>SUMPRODUCT(Calc!$K$3:$K$22*(Calc!$G$3:$G$22&gt;B2861)*(Calc!$G$3:$G$22-B2861)*Calc!$G$3:$G$22)</f>
        <v/>
      </c>
      <c r="N2861">
        <f>SUMPRODUCT(Calc!$K$3:$K$22*(Calc!$G$3:$G$22&gt;A2861)*(Calc!$G$3:$G$22-A2861)*Calc!$I$3:$I$22)</f>
        <v/>
      </c>
      <c r="O2861">
        <f>SUMPRODUCT(Calc!$K$3:$K$22*(Calc!$G$3:$G$22&gt;B2861)*(Calc!$G$3:$G$22-B2861)*Calc!$I$3:$I$22)</f>
        <v/>
      </c>
      <c r="P2861">
        <f>I2861-G2861^2/k_n</f>
        <v/>
      </c>
      <c r="Q2861">
        <f>J2861-H2861^2/k_n</f>
        <v/>
      </c>
      <c r="R2861">
        <f>K2861-G2861*H2861/k_n</f>
        <v/>
      </c>
      <c r="S2861">
        <f>L2861-LTP3!$D$3*G2861/k_n</f>
        <v/>
      </c>
      <c r="T2861">
        <f>M2861-LTP3!$D$3*H2861/k_n</f>
        <v/>
      </c>
      <c r="U2861">
        <f>N2861-G2861*LTP3!$D$4/k_n</f>
        <v/>
      </c>
      <c r="V2861">
        <f>O2861-H2861*LTP3!$D$4/k_n</f>
        <v/>
      </c>
      <c r="W2861">
        <f>((LTP3!$D$5)*((P2861)*(Q2861)-(R2861)*(R2861))-(S2861)*((S2861)*(Q2861)-(R2861)*(T2861))+(T2861)*((S2861)*(R2861)-(P2861)*(T2861)))</f>
        <v/>
      </c>
      <c r="X2861">
        <f>IF(ABS(W2861)&gt;1E-12,((LTP3!$D$6)*((P2861)*(Q2861)-(R2861)*(R2861))-(S2861)*((U2861)*(Q2861)-(R2861)*(V2861))+(T2861)*((U2861)*(R2861)-(P2861)*(V2861)))/W2861,0)</f>
        <v/>
      </c>
      <c r="Y2861">
        <f>IF(ABS(W2861)&gt;1E-12,((LTP3!$D$5)*((U2861)*(Q2861)-(R2861)*(V2861))-(LTP3!$D$6)*((S2861)*(Q2861)-(R2861)*(T2861))+(T2861)*((S2861)*(V2861)-(U2861)*(T2861)))/W2861,0)</f>
        <v/>
      </c>
      <c r="Z2861">
        <f>IF(ABS(W2861)&gt;1E-12,((LTP3!$D$5)*((P2861)*(V2861)-(U2861)*(R2861))-(S2861)*((S2861)*(V2861)-(U2861)*(T2861))+(LTP3!$D$6)*((S2861)*(R2861)-(P2861)*(T2861)))/W2861,0)</f>
        <v/>
      </c>
      <c r="AA2861">
        <f>LTP3!$D$7-X2861*LTP3!$D$6-Y2861*U2861-Z2861*V2861</f>
        <v/>
      </c>
      <c r="AB2861">
        <f>IF(AND(F2861,ABS(W2861)&gt;1E-12,Y2861&gt;0,Z2861&gt;0),AA2861,1E+300)</f>
        <v/>
      </c>
    </row>
    <row r="2862">
      <c r="A2862">
        <f>$B$3+$B$5*46</f>
        <v/>
      </c>
      <c r="B2862">
        <f>$B$3+$B$5*44</f>
        <v/>
      </c>
      <c r="C2862">
        <f>SUMPRODUCT(Calc!$K$3:$K$22*(Calc!$G$3:$G$22&lt;=A2862))</f>
        <v/>
      </c>
      <c r="D2862">
        <f>SUMPRODUCT(Calc!$K$3:$K$22*(Calc!$G$3:$G$22&gt;A2862)*(Calc!$G$3:$G$22&lt;B2862))</f>
        <v/>
      </c>
      <c r="E2862">
        <f>SUMPRODUCT(Calc!$K$3:$K$22*(Calc!$G$3:$G$22&gt;=B2862))</f>
        <v/>
      </c>
      <c r="F2862">
        <f>AND(k_n&gt;=5,B2862&gt;A2862+1E-9,C2862&gt;=2,D2862&gt;=1,E2862&gt;=2)</f>
        <v/>
      </c>
      <c r="G2862">
        <f>SUMPRODUCT(Calc!$K$3:$K$22*(Calc!$G$3:$G$22&gt;A2862)*(Calc!$G$3:$G$22-A2862))</f>
        <v/>
      </c>
      <c r="H2862">
        <f>SUMPRODUCT(Calc!$K$3:$K$22*(Calc!$G$3:$G$22&gt;B2862)*(Calc!$G$3:$G$22-B2862))</f>
        <v/>
      </c>
      <c r="I2862">
        <f>SUMPRODUCT(Calc!$K$3:$K$22*(Calc!$G$3:$G$22&gt;A2862)*(Calc!$G$3:$G$22-A2862)^2)</f>
        <v/>
      </c>
      <c r="J2862">
        <f>SUMPRODUCT(Calc!$K$3:$K$22*(Calc!$G$3:$G$22&gt;B2862)*(Calc!$G$3:$G$22-B2862)^2)</f>
        <v/>
      </c>
      <c r="K2862">
        <f>SUMPRODUCT(Calc!$K$3:$K$22*(Calc!$G$3:$G$22&gt;A2862)*(Calc!$G$3:$G$22-A2862)*(Calc!$G$3:$G$22&gt;B2862)*(Calc!$G$3:$G$22-B2862))</f>
        <v/>
      </c>
      <c r="L2862">
        <f>SUMPRODUCT(Calc!$K$3:$K$22*(Calc!$G$3:$G$22&gt;A2862)*(Calc!$G$3:$G$22-A2862)*Calc!$G$3:$G$22)</f>
        <v/>
      </c>
      <c r="M2862">
        <f>SUMPRODUCT(Calc!$K$3:$K$22*(Calc!$G$3:$G$22&gt;B2862)*(Calc!$G$3:$G$22-B2862)*Calc!$G$3:$G$22)</f>
        <v/>
      </c>
      <c r="N2862">
        <f>SUMPRODUCT(Calc!$K$3:$K$22*(Calc!$G$3:$G$22&gt;A2862)*(Calc!$G$3:$G$22-A2862)*Calc!$I$3:$I$22)</f>
        <v/>
      </c>
      <c r="O2862">
        <f>SUMPRODUCT(Calc!$K$3:$K$22*(Calc!$G$3:$G$22&gt;B2862)*(Calc!$G$3:$G$22-B2862)*Calc!$I$3:$I$22)</f>
        <v/>
      </c>
      <c r="P2862">
        <f>I2862-G2862^2/k_n</f>
        <v/>
      </c>
      <c r="Q2862">
        <f>J2862-H2862^2/k_n</f>
        <v/>
      </c>
      <c r="R2862">
        <f>K2862-G2862*H2862/k_n</f>
        <v/>
      </c>
      <c r="S2862">
        <f>L2862-LTP3!$D$3*G2862/k_n</f>
        <v/>
      </c>
      <c r="T2862">
        <f>M2862-LTP3!$D$3*H2862/k_n</f>
        <v/>
      </c>
      <c r="U2862">
        <f>N2862-G2862*LTP3!$D$4/k_n</f>
        <v/>
      </c>
      <c r="V2862">
        <f>O2862-H2862*LTP3!$D$4/k_n</f>
        <v/>
      </c>
      <c r="W2862">
        <f>((LTP3!$D$5)*((P2862)*(Q2862)-(R2862)*(R2862))-(S2862)*((S2862)*(Q2862)-(R2862)*(T2862))+(T2862)*((S2862)*(R2862)-(P2862)*(T2862)))</f>
        <v/>
      </c>
      <c r="X2862">
        <f>IF(ABS(W2862)&gt;1E-12,((LTP3!$D$6)*((P2862)*(Q2862)-(R2862)*(R2862))-(S2862)*((U2862)*(Q2862)-(R2862)*(V2862))+(T2862)*((U2862)*(R2862)-(P2862)*(V2862)))/W2862,0)</f>
        <v/>
      </c>
      <c r="Y2862">
        <f>IF(ABS(W2862)&gt;1E-12,((LTP3!$D$5)*((U2862)*(Q2862)-(R2862)*(V2862))-(LTP3!$D$6)*((S2862)*(Q2862)-(R2862)*(T2862))+(T2862)*((S2862)*(V2862)-(U2862)*(T2862)))/W2862,0)</f>
        <v/>
      </c>
      <c r="Z2862">
        <f>IF(ABS(W2862)&gt;1E-12,((LTP3!$D$5)*((P2862)*(V2862)-(U2862)*(R2862))-(S2862)*((S2862)*(V2862)-(U2862)*(T2862))+(LTP3!$D$6)*((S2862)*(R2862)-(P2862)*(T2862)))/W2862,0)</f>
        <v/>
      </c>
      <c r="AA2862">
        <f>LTP3!$D$7-X2862*LTP3!$D$6-Y2862*U2862-Z2862*V2862</f>
        <v/>
      </c>
      <c r="AB2862">
        <f>IF(AND(F2862,ABS(W2862)&gt;1E-12,Y2862&gt;0,Z2862&gt;0),AA2862,1E+300)</f>
        <v/>
      </c>
    </row>
    <row r="2863">
      <c r="A2863">
        <f>$B$3+$B$5*46</f>
        <v/>
      </c>
      <c r="B2863">
        <f>$B$3+$B$5*45</f>
        <v/>
      </c>
      <c r="C2863">
        <f>SUMPRODUCT(Calc!$K$3:$K$22*(Calc!$G$3:$G$22&lt;=A2863))</f>
        <v/>
      </c>
      <c r="D2863">
        <f>SUMPRODUCT(Calc!$K$3:$K$22*(Calc!$G$3:$G$22&gt;A2863)*(Calc!$G$3:$G$22&lt;B2863))</f>
        <v/>
      </c>
      <c r="E2863">
        <f>SUMPRODUCT(Calc!$K$3:$K$22*(Calc!$G$3:$G$22&gt;=B2863))</f>
        <v/>
      </c>
      <c r="F2863">
        <f>AND(k_n&gt;=5,B2863&gt;A2863+1E-9,C2863&gt;=2,D2863&gt;=1,E2863&gt;=2)</f>
        <v/>
      </c>
      <c r="G2863">
        <f>SUMPRODUCT(Calc!$K$3:$K$22*(Calc!$G$3:$G$22&gt;A2863)*(Calc!$G$3:$G$22-A2863))</f>
        <v/>
      </c>
      <c r="H2863">
        <f>SUMPRODUCT(Calc!$K$3:$K$22*(Calc!$G$3:$G$22&gt;B2863)*(Calc!$G$3:$G$22-B2863))</f>
        <v/>
      </c>
      <c r="I2863">
        <f>SUMPRODUCT(Calc!$K$3:$K$22*(Calc!$G$3:$G$22&gt;A2863)*(Calc!$G$3:$G$22-A2863)^2)</f>
        <v/>
      </c>
      <c r="J2863">
        <f>SUMPRODUCT(Calc!$K$3:$K$22*(Calc!$G$3:$G$22&gt;B2863)*(Calc!$G$3:$G$22-B2863)^2)</f>
        <v/>
      </c>
      <c r="K2863">
        <f>SUMPRODUCT(Calc!$K$3:$K$22*(Calc!$G$3:$G$22&gt;A2863)*(Calc!$G$3:$G$22-A2863)*(Calc!$G$3:$G$22&gt;B2863)*(Calc!$G$3:$G$22-B2863))</f>
        <v/>
      </c>
      <c r="L2863">
        <f>SUMPRODUCT(Calc!$K$3:$K$22*(Calc!$G$3:$G$22&gt;A2863)*(Calc!$G$3:$G$22-A2863)*Calc!$G$3:$G$22)</f>
        <v/>
      </c>
      <c r="M2863">
        <f>SUMPRODUCT(Calc!$K$3:$K$22*(Calc!$G$3:$G$22&gt;B2863)*(Calc!$G$3:$G$22-B2863)*Calc!$G$3:$G$22)</f>
        <v/>
      </c>
      <c r="N2863">
        <f>SUMPRODUCT(Calc!$K$3:$K$22*(Calc!$G$3:$G$22&gt;A2863)*(Calc!$G$3:$G$22-A2863)*Calc!$I$3:$I$22)</f>
        <v/>
      </c>
      <c r="O2863">
        <f>SUMPRODUCT(Calc!$K$3:$K$22*(Calc!$G$3:$G$22&gt;B2863)*(Calc!$G$3:$G$22-B2863)*Calc!$I$3:$I$22)</f>
        <v/>
      </c>
      <c r="P2863">
        <f>I2863-G2863^2/k_n</f>
        <v/>
      </c>
      <c r="Q2863">
        <f>J2863-H2863^2/k_n</f>
        <v/>
      </c>
      <c r="R2863">
        <f>K2863-G2863*H2863/k_n</f>
        <v/>
      </c>
      <c r="S2863">
        <f>L2863-LTP3!$D$3*G2863/k_n</f>
        <v/>
      </c>
      <c r="T2863">
        <f>M2863-LTP3!$D$3*H2863/k_n</f>
        <v/>
      </c>
      <c r="U2863">
        <f>N2863-G2863*LTP3!$D$4/k_n</f>
        <v/>
      </c>
      <c r="V2863">
        <f>O2863-H2863*LTP3!$D$4/k_n</f>
        <v/>
      </c>
      <c r="W2863">
        <f>((LTP3!$D$5)*((P2863)*(Q2863)-(R2863)*(R2863))-(S2863)*((S2863)*(Q2863)-(R2863)*(T2863))+(T2863)*((S2863)*(R2863)-(P2863)*(T2863)))</f>
        <v/>
      </c>
      <c r="X2863">
        <f>IF(ABS(W2863)&gt;1E-12,((LTP3!$D$6)*((P2863)*(Q2863)-(R2863)*(R2863))-(S2863)*((U2863)*(Q2863)-(R2863)*(V2863))+(T2863)*((U2863)*(R2863)-(P2863)*(V2863)))/W2863,0)</f>
        <v/>
      </c>
      <c r="Y2863">
        <f>IF(ABS(W2863)&gt;1E-12,((LTP3!$D$5)*((U2863)*(Q2863)-(R2863)*(V2863))-(LTP3!$D$6)*((S2863)*(Q2863)-(R2863)*(T2863))+(T2863)*((S2863)*(V2863)-(U2863)*(T2863)))/W2863,0)</f>
        <v/>
      </c>
      <c r="Z2863">
        <f>IF(ABS(W2863)&gt;1E-12,((LTP3!$D$5)*((P2863)*(V2863)-(U2863)*(R2863))-(S2863)*((S2863)*(V2863)-(U2863)*(T2863))+(LTP3!$D$6)*((S2863)*(R2863)-(P2863)*(T2863)))/W2863,0)</f>
        <v/>
      </c>
      <c r="AA2863">
        <f>LTP3!$D$7-X2863*LTP3!$D$6-Y2863*U2863-Z2863*V2863</f>
        <v/>
      </c>
      <c r="AB2863">
        <f>IF(AND(F2863,ABS(W2863)&gt;1E-12,Y2863&gt;0,Z2863&gt;0),AA2863,1E+300)</f>
        <v/>
      </c>
    </row>
    <row r="2864">
      <c r="A2864">
        <f>$B$3+$B$5*46</f>
        <v/>
      </c>
      <c r="B2864">
        <f>$B$3+$B$5*46</f>
        <v/>
      </c>
      <c r="C2864">
        <f>SUMPRODUCT(Calc!$K$3:$K$22*(Calc!$G$3:$G$22&lt;=A2864))</f>
        <v/>
      </c>
      <c r="D2864">
        <f>SUMPRODUCT(Calc!$K$3:$K$22*(Calc!$G$3:$G$22&gt;A2864)*(Calc!$G$3:$G$22&lt;B2864))</f>
        <v/>
      </c>
      <c r="E2864">
        <f>SUMPRODUCT(Calc!$K$3:$K$22*(Calc!$G$3:$G$22&gt;=B2864))</f>
        <v/>
      </c>
      <c r="F2864">
        <f>AND(k_n&gt;=5,B2864&gt;A2864+1E-9,C2864&gt;=2,D2864&gt;=1,E2864&gt;=2)</f>
        <v/>
      </c>
      <c r="G2864">
        <f>SUMPRODUCT(Calc!$K$3:$K$22*(Calc!$G$3:$G$22&gt;A2864)*(Calc!$G$3:$G$22-A2864))</f>
        <v/>
      </c>
      <c r="H2864">
        <f>SUMPRODUCT(Calc!$K$3:$K$22*(Calc!$G$3:$G$22&gt;B2864)*(Calc!$G$3:$G$22-B2864))</f>
        <v/>
      </c>
      <c r="I2864">
        <f>SUMPRODUCT(Calc!$K$3:$K$22*(Calc!$G$3:$G$22&gt;A2864)*(Calc!$G$3:$G$22-A2864)^2)</f>
        <v/>
      </c>
      <c r="J2864">
        <f>SUMPRODUCT(Calc!$K$3:$K$22*(Calc!$G$3:$G$22&gt;B2864)*(Calc!$G$3:$G$22-B2864)^2)</f>
        <v/>
      </c>
      <c r="K2864">
        <f>SUMPRODUCT(Calc!$K$3:$K$22*(Calc!$G$3:$G$22&gt;A2864)*(Calc!$G$3:$G$22-A2864)*(Calc!$G$3:$G$22&gt;B2864)*(Calc!$G$3:$G$22-B2864))</f>
        <v/>
      </c>
      <c r="L2864">
        <f>SUMPRODUCT(Calc!$K$3:$K$22*(Calc!$G$3:$G$22&gt;A2864)*(Calc!$G$3:$G$22-A2864)*Calc!$G$3:$G$22)</f>
        <v/>
      </c>
      <c r="M2864">
        <f>SUMPRODUCT(Calc!$K$3:$K$22*(Calc!$G$3:$G$22&gt;B2864)*(Calc!$G$3:$G$22-B2864)*Calc!$G$3:$G$22)</f>
        <v/>
      </c>
      <c r="N2864">
        <f>SUMPRODUCT(Calc!$K$3:$K$22*(Calc!$G$3:$G$22&gt;A2864)*(Calc!$G$3:$G$22-A2864)*Calc!$I$3:$I$22)</f>
        <v/>
      </c>
      <c r="O2864">
        <f>SUMPRODUCT(Calc!$K$3:$K$22*(Calc!$G$3:$G$22&gt;B2864)*(Calc!$G$3:$G$22-B2864)*Calc!$I$3:$I$22)</f>
        <v/>
      </c>
      <c r="P2864">
        <f>I2864-G2864^2/k_n</f>
        <v/>
      </c>
      <c r="Q2864">
        <f>J2864-H2864^2/k_n</f>
        <v/>
      </c>
      <c r="R2864">
        <f>K2864-G2864*H2864/k_n</f>
        <v/>
      </c>
      <c r="S2864">
        <f>L2864-LTP3!$D$3*G2864/k_n</f>
        <v/>
      </c>
      <c r="T2864">
        <f>M2864-LTP3!$D$3*H2864/k_n</f>
        <v/>
      </c>
      <c r="U2864">
        <f>N2864-G2864*LTP3!$D$4/k_n</f>
        <v/>
      </c>
      <c r="V2864">
        <f>O2864-H2864*LTP3!$D$4/k_n</f>
        <v/>
      </c>
      <c r="W2864">
        <f>((LTP3!$D$5)*((P2864)*(Q2864)-(R2864)*(R2864))-(S2864)*((S2864)*(Q2864)-(R2864)*(T2864))+(T2864)*((S2864)*(R2864)-(P2864)*(T2864)))</f>
        <v/>
      </c>
      <c r="X2864">
        <f>IF(ABS(W2864)&gt;1E-12,((LTP3!$D$6)*((P2864)*(Q2864)-(R2864)*(R2864))-(S2864)*((U2864)*(Q2864)-(R2864)*(V2864))+(T2864)*((U2864)*(R2864)-(P2864)*(V2864)))/W2864,0)</f>
        <v/>
      </c>
      <c r="Y2864">
        <f>IF(ABS(W2864)&gt;1E-12,((LTP3!$D$5)*((U2864)*(Q2864)-(R2864)*(V2864))-(LTP3!$D$6)*((S2864)*(Q2864)-(R2864)*(T2864))+(T2864)*((S2864)*(V2864)-(U2864)*(T2864)))/W2864,0)</f>
        <v/>
      </c>
      <c r="Z2864">
        <f>IF(ABS(W2864)&gt;1E-12,((LTP3!$D$5)*((P2864)*(V2864)-(U2864)*(R2864))-(S2864)*((S2864)*(V2864)-(U2864)*(T2864))+(LTP3!$D$6)*((S2864)*(R2864)-(P2864)*(T2864)))/W2864,0)</f>
        <v/>
      </c>
      <c r="AA2864">
        <f>LTP3!$D$7-X2864*LTP3!$D$6-Y2864*U2864-Z2864*V2864</f>
        <v/>
      </c>
      <c r="AB2864">
        <f>IF(AND(F2864,ABS(W2864)&gt;1E-12,Y2864&gt;0,Z2864&gt;0),AA2864,1E+300)</f>
        <v/>
      </c>
    </row>
    <row r="2865">
      <c r="A2865">
        <f>$B$3+$B$5*46</f>
        <v/>
      </c>
      <c r="B2865">
        <f>$B$3+$B$5*47</f>
        <v/>
      </c>
      <c r="C2865">
        <f>SUMPRODUCT(Calc!$K$3:$K$22*(Calc!$G$3:$G$22&lt;=A2865))</f>
        <v/>
      </c>
      <c r="D2865">
        <f>SUMPRODUCT(Calc!$K$3:$K$22*(Calc!$G$3:$G$22&gt;A2865)*(Calc!$G$3:$G$22&lt;B2865))</f>
        <v/>
      </c>
      <c r="E2865">
        <f>SUMPRODUCT(Calc!$K$3:$K$22*(Calc!$G$3:$G$22&gt;=B2865))</f>
        <v/>
      </c>
      <c r="F2865">
        <f>AND(k_n&gt;=5,B2865&gt;A2865+1E-9,C2865&gt;=2,D2865&gt;=1,E2865&gt;=2)</f>
        <v/>
      </c>
      <c r="G2865">
        <f>SUMPRODUCT(Calc!$K$3:$K$22*(Calc!$G$3:$G$22&gt;A2865)*(Calc!$G$3:$G$22-A2865))</f>
        <v/>
      </c>
      <c r="H2865">
        <f>SUMPRODUCT(Calc!$K$3:$K$22*(Calc!$G$3:$G$22&gt;B2865)*(Calc!$G$3:$G$22-B2865))</f>
        <v/>
      </c>
      <c r="I2865">
        <f>SUMPRODUCT(Calc!$K$3:$K$22*(Calc!$G$3:$G$22&gt;A2865)*(Calc!$G$3:$G$22-A2865)^2)</f>
        <v/>
      </c>
      <c r="J2865">
        <f>SUMPRODUCT(Calc!$K$3:$K$22*(Calc!$G$3:$G$22&gt;B2865)*(Calc!$G$3:$G$22-B2865)^2)</f>
        <v/>
      </c>
      <c r="K2865">
        <f>SUMPRODUCT(Calc!$K$3:$K$22*(Calc!$G$3:$G$22&gt;A2865)*(Calc!$G$3:$G$22-A2865)*(Calc!$G$3:$G$22&gt;B2865)*(Calc!$G$3:$G$22-B2865))</f>
        <v/>
      </c>
      <c r="L2865">
        <f>SUMPRODUCT(Calc!$K$3:$K$22*(Calc!$G$3:$G$22&gt;A2865)*(Calc!$G$3:$G$22-A2865)*Calc!$G$3:$G$22)</f>
        <v/>
      </c>
      <c r="M2865">
        <f>SUMPRODUCT(Calc!$K$3:$K$22*(Calc!$G$3:$G$22&gt;B2865)*(Calc!$G$3:$G$22-B2865)*Calc!$G$3:$G$22)</f>
        <v/>
      </c>
      <c r="N2865">
        <f>SUMPRODUCT(Calc!$K$3:$K$22*(Calc!$G$3:$G$22&gt;A2865)*(Calc!$G$3:$G$22-A2865)*Calc!$I$3:$I$22)</f>
        <v/>
      </c>
      <c r="O2865">
        <f>SUMPRODUCT(Calc!$K$3:$K$22*(Calc!$G$3:$G$22&gt;B2865)*(Calc!$G$3:$G$22-B2865)*Calc!$I$3:$I$22)</f>
        <v/>
      </c>
      <c r="P2865">
        <f>I2865-G2865^2/k_n</f>
        <v/>
      </c>
      <c r="Q2865">
        <f>J2865-H2865^2/k_n</f>
        <v/>
      </c>
      <c r="R2865">
        <f>K2865-G2865*H2865/k_n</f>
        <v/>
      </c>
      <c r="S2865">
        <f>L2865-LTP3!$D$3*G2865/k_n</f>
        <v/>
      </c>
      <c r="T2865">
        <f>M2865-LTP3!$D$3*H2865/k_n</f>
        <v/>
      </c>
      <c r="U2865">
        <f>N2865-G2865*LTP3!$D$4/k_n</f>
        <v/>
      </c>
      <c r="V2865">
        <f>O2865-H2865*LTP3!$D$4/k_n</f>
        <v/>
      </c>
      <c r="W2865">
        <f>((LTP3!$D$5)*((P2865)*(Q2865)-(R2865)*(R2865))-(S2865)*((S2865)*(Q2865)-(R2865)*(T2865))+(T2865)*((S2865)*(R2865)-(P2865)*(T2865)))</f>
        <v/>
      </c>
      <c r="X2865">
        <f>IF(ABS(W2865)&gt;1E-12,((LTP3!$D$6)*((P2865)*(Q2865)-(R2865)*(R2865))-(S2865)*((U2865)*(Q2865)-(R2865)*(V2865))+(T2865)*((U2865)*(R2865)-(P2865)*(V2865)))/W2865,0)</f>
        <v/>
      </c>
      <c r="Y2865">
        <f>IF(ABS(W2865)&gt;1E-12,((LTP3!$D$5)*((U2865)*(Q2865)-(R2865)*(V2865))-(LTP3!$D$6)*((S2865)*(Q2865)-(R2865)*(T2865))+(T2865)*((S2865)*(V2865)-(U2865)*(T2865)))/W2865,0)</f>
        <v/>
      </c>
      <c r="Z2865">
        <f>IF(ABS(W2865)&gt;1E-12,((LTP3!$D$5)*((P2865)*(V2865)-(U2865)*(R2865))-(S2865)*((S2865)*(V2865)-(U2865)*(T2865))+(LTP3!$D$6)*((S2865)*(R2865)-(P2865)*(T2865)))/W2865,0)</f>
        <v/>
      </c>
      <c r="AA2865">
        <f>LTP3!$D$7-X2865*LTP3!$D$6-Y2865*U2865-Z2865*V2865</f>
        <v/>
      </c>
      <c r="AB2865">
        <f>IF(AND(F2865,ABS(W2865)&gt;1E-12,Y2865&gt;0,Z2865&gt;0),AA2865,1E+300)</f>
        <v/>
      </c>
    </row>
    <row r="2866">
      <c r="A2866">
        <f>$B$3+$B$5*46</f>
        <v/>
      </c>
      <c r="B2866">
        <f>$B$3+$B$5*48</f>
        <v/>
      </c>
      <c r="C2866">
        <f>SUMPRODUCT(Calc!$K$3:$K$22*(Calc!$G$3:$G$22&lt;=A2866))</f>
        <v/>
      </c>
      <c r="D2866">
        <f>SUMPRODUCT(Calc!$K$3:$K$22*(Calc!$G$3:$G$22&gt;A2866)*(Calc!$G$3:$G$22&lt;B2866))</f>
        <v/>
      </c>
      <c r="E2866">
        <f>SUMPRODUCT(Calc!$K$3:$K$22*(Calc!$G$3:$G$22&gt;=B2866))</f>
        <v/>
      </c>
      <c r="F2866">
        <f>AND(k_n&gt;=5,B2866&gt;A2866+1E-9,C2866&gt;=2,D2866&gt;=1,E2866&gt;=2)</f>
        <v/>
      </c>
      <c r="G2866">
        <f>SUMPRODUCT(Calc!$K$3:$K$22*(Calc!$G$3:$G$22&gt;A2866)*(Calc!$G$3:$G$22-A2866))</f>
        <v/>
      </c>
      <c r="H2866">
        <f>SUMPRODUCT(Calc!$K$3:$K$22*(Calc!$G$3:$G$22&gt;B2866)*(Calc!$G$3:$G$22-B2866))</f>
        <v/>
      </c>
      <c r="I2866">
        <f>SUMPRODUCT(Calc!$K$3:$K$22*(Calc!$G$3:$G$22&gt;A2866)*(Calc!$G$3:$G$22-A2866)^2)</f>
        <v/>
      </c>
      <c r="J2866">
        <f>SUMPRODUCT(Calc!$K$3:$K$22*(Calc!$G$3:$G$22&gt;B2866)*(Calc!$G$3:$G$22-B2866)^2)</f>
        <v/>
      </c>
      <c r="K2866">
        <f>SUMPRODUCT(Calc!$K$3:$K$22*(Calc!$G$3:$G$22&gt;A2866)*(Calc!$G$3:$G$22-A2866)*(Calc!$G$3:$G$22&gt;B2866)*(Calc!$G$3:$G$22-B2866))</f>
        <v/>
      </c>
      <c r="L2866">
        <f>SUMPRODUCT(Calc!$K$3:$K$22*(Calc!$G$3:$G$22&gt;A2866)*(Calc!$G$3:$G$22-A2866)*Calc!$G$3:$G$22)</f>
        <v/>
      </c>
      <c r="M2866">
        <f>SUMPRODUCT(Calc!$K$3:$K$22*(Calc!$G$3:$G$22&gt;B2866)*(Calc!$G$3:$G$22-B2866)*Calc!$G$3:$G$22)</f>
        <v/>
      </c>
      <c r="N2866">
        <f>SUMPRODUCT(Calc!$K$3:$K$22*(Calc!$G$3:$G$22&gt;A2866)*(Calc!$G$3:$G$22-A2866)*Calc!$I$3:$I$22)</f>
        <v/>
      </c>
      <c r="O2866">
        <f>SUMPRODUCT(Calc!$K$3:$K$22*(Calc!$G$3:$G$22&gt;B2866)*(Calc!$G$3:$G$22-B2866)*Calc!$I$3:$I$22)</f>
        <v/>
      </c>
      <c r="P2866">
        <f>I2866-G2866^2/k_n</f>
        <v/>
      </c>
      <c r="Q2866">
        <f>J2866-H2866^2/k_n</f>
        <v/>
      </c>
      <c r="R2866">
        <f>K2866-G2866*H2866/k_n</f>
        <v/>
      </c>
      <c r="S2866">
        <f>L2866-LTP3!$D$3*G2866/k_n</f>
        <v/>
      </c>
      <c r="T2866">
        <f>M2866-LTP3!$D$3*H2866/k_n</f>
        <v/>
      </c>
      <c r="U2866">
        <f>N2866-G2866*LTP3!$D$4/k_n</f>
        <v/>
      </c>
      <c r="V2866">
        <f>O2866-H2866*LTP3!$D$4/k_n</f>
        <v/>
      </c>
      <c r="W2866">
        <f>((LTP3!$D$5)*((P2866)*(Q2866)-(R2866)*(R2866))-(S2866)*((S2866)*(Q2866)-(R2866)*(T2866))+(T2866)*((S2866)*(R2866)-(P2866)*(T2866)))</f>
        <v/>
      </c>
      <c r="X2866">
        <f>IF(ABS(W2866)&gt;1E-12,((LTP3!$D$6)*((P2866)*(Q2866)-(R2866)*(R2866))-(S2866)*((U2866)*(Q2866)-(R2866)*(V2866))+(T2866)*((U2866)*(R2866)-(P2866)*(V2866)))/W2866,0)</f>
        <v/>
      </c>
      <c r="Y2866">
        <f>IF(ABS(W2866)&gt;1E-12,((LTP3!$D$5)*((U2866)*(Q2866)-(R2866)*(V2866))-(LTP3!$D$6)*((S2866)*(Q2866)-(R2866)*(T2866))+(T2866)*((S2866)*(V2866)-(U2866)*(T2866)))/W2866,0)</f>
        <v/>
      </c>
      <c r="Z2866">
        <f>IF(ABS(W2866)&gt;1E-12,((LTP3!$D$5)*((P2866)*(V2866)-(U2866)*(R2866))-(S2866)*((S2866)*(V2866)-(U2866)*(T2866))+(LTP3!$D$6)*((S2866)*(R2866)-(P2866)*(T2866)))/W2866,0)</f>
        <v/>
      </c>
      <c r="AA2866">
        <f>LTP3!$D$7-X2866*LTP3!$D$6-Y2866*U2866-Z2866*V2866</f>
        <v/>
      </c>
      <c r="AB2866">
        <f>IF(AND(F2866,ABS(W2866)&gt;1E-12,Y2866&gt;0,Z2866&gt;0),AA2866,1E+300)</f>
        <v/>
      </c>
    </row>
    <row r="2867">
      <c r="A2867">
        <f>$B$3+$B$5*46</f>
        <v/>
      </c>
      <c r="B2867">
        <f>$B$3+$B$5*49</f>
        <v/>
      </c>
      <c r="C2867">
        <f>SUMPRODUCT(Calc!$K$3:$K$22*(Calc!$G$3:$G$22&lt;=A2867))</f>
        <v/>
      </c>
      <c r="D2867">
        <f>SUMPRODUCT(Calc!$K$3:$K$22*(Calc!$G$3:$G$22&gt;A2867)*(Calc!$G$3:$G$22&lt;B2867))</f>
        <v/>
      </c>
      <c r="E2867">
        <f>SUMPRODUCT(Calc!$K$3:$K$22*(Calc!$G$3:$G$22&gt;=B2867))</f>
        <v/>
      </c>
      <c r="F2867">
        <f>AND(k_n&gt;=5,B2867&gt;A2867+1E-9,C2867&gt;=2,D2867&gt;=1,E2867&gt;=2)</f>
        <v/>
      </c>
      <c r="G2867">
        <f>SUMPRODUCT(Calc!$K$3:$K$22*(Calc!$G$3:$G$22&gt;A2867)*(Calc!$G$3:$G$22-A2867))</f>
        <v/>
      </c>
      <c r="H2867">
        <f>SUMPRODUCT(Calc!$K$3:$K$22*(Calc!$G$3:$G$22&gt;B2867)*(Calc!$G$3:$G$22-B2867))</f>
        <v/>
      </c>
      <c r="I2867">
        <f>SUMPRODUCT(Calc!$K$3:$K$22*(Calc!$G$3:$G$22&gt;A2867)*(Calc!$G$3:$G$22-A2867)^2)</f>
        <v/>
      </c>
      <c r="J2867">
        <f>SUMPRODUCT(Calc!$K$3:$K$22*(Calc!$G$3:$G$22&gt;B2867)*(Calc!$G$3:$G$22-B2867)^2)</f>
        <v/>
      </c>
      <c r="K2867">
        <f>SUMPRODUCT(Calc!$K$3:$K$22*(Calc!$G$3:$G$22&gt;A2867)*(Calc!$G$3:$G$22-A2867)*(Calc!$G$3:$G$22&gt;B2867)*(Calc!$G$3:$G$22-B2867))</f>
        <v/>
      </c>
      <c r="L2867">
        <f>SUMPRODUCT(Calc!$K$3:$K$22*(Calc!$G$3:$G$22&gt;A2867)*(Calc!$G$3:$G$22-A2867)*Calc!$G$3:$G$22)</f>
        <v/>
      </c>
      <c r="M2867">
        <f>SUMPRODUCT(Calc!$K$3:$K$22*(Calc!$G$3:$G$22&gt;B2867)*(Calc!$G$3:$G$22-B2867)*Calc!$G$3:$G$22)</f>
        <v/>
      </c>
      <c r="N2867">
        <f>SUMPRODUCT(Calc!$K$3:$K$22*(Calc!$G$3:$G$22&gt;A2867)*(Calc!$G$3:$G$22-A2867)*Calc!$I$3:$I$22)</f>
        <v/>
      </c>
      <c r="O2867">
        <f>SUMPRODUCT(Calc!$K$3:$K$22*(Calc!$G$3:$G$22&gt;B2867)*(Calc!$G$3:$G$22-B2867)*Calc!$I$3:$I$22)</f>
        <v/>
      </c>
      <c r="P2867">
        <f>I2867-G2867^2/k_n</f>
        <v/>
      </c>
      <c r="Q2867">
        <f>J2867-H2867^2/k_n</f>
        <v/>
      </c>
      <c r="R2867">
        <f>K2867-G2867*H2867/k_n</f>
        <v/>
      </c>
      <c r="S2867">
        <f>L2867-LTP3!$D$3*G2867/k_n</f>
        <v/>
      </c>
      <c r="T2867">
        <f>M2867-LTP3!$D$3*H2867/k_n</f>
        <v/>
      </c>
      <c r="U2867">
        <f>N2867-G2867*LTP3!$D$4/k_n</f>
        <v/>
      </c>
      <c r="V2867">
        <f>O2867-H2867*LTP3!$D$4/k_n</f>
        <v/>
      </c>
      <c r="W2867">
        <f>((LTP3!$D$5)*((P2867)*(Q2867)-(R2867)*(R2867))-(S2867)*((S2867)*(Q2867)-(R2867)*(T2867))+(T2867)*((S2867)*(R2867)-(P2867)*(T2867)))</f>
        <v/>
      </c>
      <c r="X2867">
        <f>IF(ABS(W2867)&gt;1E-12,((LTP3!$D$6)*((P2867)*(Q2867)-(R2867)*(R2867))-(S2867)*((U2867)*(Q2867)-(R2867)*(V2867))+(T2867)*((U2867)*(R2867)-(P2867)*(V2867)))/W2867,0)</f>
        <v/>
      </c>
      <c r="Y2867">
        <f>IF(ABS(W2867)&gt;1E-12,((LTP3!$D$5)*((U2867)*(Q2867)-(R2867)*(V2867))-(LTP3!$D$6)*((S2867)*(Q2867)-(R2867)*(T2867))+(T2867)*((S2867)*(V2867)-(U2867)*(T2867)))/W2867,0)</f>
        <v/>
      </c>
      <c r="Z2867">
        <f>IF(ABS(W2867)&gt;1E-12,((LTP3!$D$5)*((P2867)*(V2867)-(U2867)*(R2867))-(S2867)*((S2867)*(V2867)-(U2867)*(T2867))+(LTP3!$D$6)*((S2867)*(R2867)-(P2867)*(T2867)))/W2867,0)</f>
        <v/>
      </c>
      <c r="AA2867">
        <f>LTP3!$D$7-X2867*LTP3!$D$6-Y2867*U2867-Z2867*V2867</f>
        <v/>
      </c>
      <c r="AB2867">
        <f>IF(AND(F2867,ABS(W2867)&gt;1E-12,Y2867&gt;0,Z2867&gt;0),AA2867,1E+300)</f>
        <v/>
      </c>
    </row>
    <row r="2868">
      <c r="A2868">
        <f>$B$3+$B$5*46</f>
        <v/>
      </c>
      <c r="B2868">
        <f>$B$3+$B$5*50</f>
        <v/>
      </c>
      <c r="C2868">
        <f>SUMPRODUCT(Calc!$K$3:$K$22*(Calc!$G$3:$G$22&lt;=A2868))</f>
        <v/>
      </c>
      <c r="D2868">
        <f>SUMPRODUCT(Calc!$K$3:$K$22*(Calc!$G$3:$G$22&gt;A2868)*(Calc!$G$3:$G$22&lt;B2868))</f>
        <v/>
      </c>
      <c r="E2868">
        <f>SUMPRODUCT(Calc!$K$3:$K$22*(Calc!$G$3:$G$22&gt;=B2868))</f>
        <v/>
      </c>
      <c r="F2868">
        <f>AND(k_n&gt;=5,B2868&gt;A2868+1E-9,C2868&gt;=2,D2868&gt;=1,E2868&gt;=2)</f>
        <v/>
      </c>
      <c r="G2868">
        <f>SUMPRODUCT(Calc!$K$3:$K$22*(Calc!$G$3:$G$22&gt;A2868)*(Calc!$G$3:$G$22-A2868))</f>
        <v/>
      </c>
      <c r="H2868">
        <f>SUMPRODUCT(Calc!$K$3:$K$22*(Calc!$G$3:$G$22&gt;B2868)*(Calc!$G$3:$G$22-B2868))</f>
        <v/>
      </c>
      <c r="I2868">
        <f>SUMPRODUCT(Calc!$K$3:$K$22*(Calc!$G$3:$G$22&gt;A2868)*(Calc!$G$3:$G$22-A2868)^2)</f>
        <v/>
      </c>
      <c r="J2868">
        <f>SUMPRODUCT(Calc!$K$3:$K$22*(Calc!$G$3:$G$22&gt;B2868)*(Calc!$G$3:$G$22-B2868)^2)</f>
        <v/>
      </c>
      <c r="K2868">
        <f>SUMPRODUCT(Calc!$K$3:$K$22*(Calc!$G$3:$G$22&gt;A2868)*(Calc!$G$3:$G$22-A2868)*(Calc!$G$3:$G$22&gt;B2868)*(Calc!$G$3:$G$22-B2868))</f>
        <v/>
      </c>
      <c r="L2868">
        <f>SUMPRODUCT(Calc!$K$3:$K$22*(Calc!$G$3:$G$22&gt;A2868)*(Calc!$G$3:$G$22-A2868)*Calc!$G$3:$G$22)</f>
        <v/>
      </c>
      <c r="M2868">
        <f>SUMPRODUCT(Calc!$K$3:$K$22*(Calc!$G$3:$G$22&gt;B2868)*(Calc!$G$3:$G$22-B2868)*Calc!$G$3:$G$22)</f>
        <v/>
      </c>
      <c r="N2868">
        <f>SUMPRODUCT(Calc!$K$3:$K$22*(Calc!$G$3:$G$22&gt;A2868)*(Calc!$G$3:$G$22-A2868)*Calc!$I$3:$I$22)</f>
        <v/>
      </c>
      <c r="O2868">
        <f>SUMPRODUCT(Calc!$K$3:$K$22*(Calc!$G$3:$G$22&gt;B2868)*(Calc!$G$3:$G$22-B2868)*Calc!$I$3:$I$22)</f>
        <v/>
      </c>
      <c r="P2868">
        <f>I2868-G2868^2/k_n</f>
        <v/>
      </c>
      <c r="Q2868">
        <f>J2868-H2868^2/k_n</f>
        <v/>
      </c>
      <c r="R2868">
        <f>K2868-G2868*H2868/k_n</f>
        <v/>
      </c>
      <c r="S2868">
        <f>L2868-LTP3!$D$3*G2868/k_n</f>
        <v/>
      </c>
      <c r="T2868">
        <f>M2868-LTP3!$D$3*H2868/k_n</f>
        <v/>
      </c>
      <c r="U2868">
        <f>N2868-G2868*LTP3!$D$4/k_n</f>
        <v/>
      </c>
      <c r="V2868">
        <f>O2868-H2868*LTP3!$D$4/k_n</f>
        <v/>
      </c>
      <c r="W2868">
        <f>((LTP3!$D$5)*((P2868)*(Q2868)-(R2868)*(R2868))-(S2868)*((S2868)*(Q2868)-(R2868)*(T2868))+(T2868)*((S2868)*(R2868)-(P2868)*(T2868)))</f>
        <v/>
      </c>
      <c r="X2868">
        <f>IF(ABS(W2868)&gt;1E-12,((LTP3!$D$6)*((P2868)*(Q2868)-(R2868)*(R2868))-(S2868)*((U2868)*(Q2868)-(R2868)*(V2868))+(T2868)*((U2868)*(R2868)-(P2868)*(V2868)))/W2868,0)</f>
        <v/>
      </c>
      <c r="Y2868">
        <f>IF(ABS(W2868)&gt;1E-12,((LTP3!$D$5)*((U2868)*(Q2868)-(R2868)*(V2868))-(LTP3!$D$6)*((S2868)*(Q2868)-(R2868)*(T2868))+(T2868)*((S2868)*(V2868)-(U2868)*(T2868)))/W2868,0)</f>
        <v/>
      </c>
      <c r="Z2868">
        <f>IF(ABS(W2868)&gt;1E-12,((LTP3!$D$5)*((P2868)*(V2868)-(U2868)*(R2868))-(S2868)*((S2868)*(V2868)-(U2868)*(T2868))+(LTP3!$D$6)*((S2868)*(R2868)-(P2868)*(T2868)))/W2868,0)</f>
        <v/>
      </c>
      <c r="AA2868">
        <f>LTP3!$D$7-X2868*LTP3!$D$6-Y2868*U2868-Z2868*V2868</f>
        <v/>
      </c>
      <c r="AB2868">
        <f>IF(AND(F2868,ABS(W2868)&gt;1E-12,Y2868&gt;0,Z2868&gt;0),AA2868,1E+300)</f>
        <v/>
      </c>
    </row>
    <row r="2869">
      <c r="A2869">
        <f>$B$3+$B$5*46</f>
        <v/>
      </c>
      <c r="B2869">
        <f>$B$3+$B$5*51</f>
        <v/>
      </c>
      <c r="C2869">
        <f>SUMPRODUCT(Calc!$K$3:$K$22*(Calc!$G$3:$G$22&lt;=A2869))</f>
        <v/>
      </c>
      <c r="D2869">
        <f>SUMPRODUCT(Calc!$K$3:$K$22*(Calc!$G$3:$G$22&gt;A2869)*(Calc!$G$3:$G$22&lt;B2869))</f>
        <v/>
      </c>
      <c r="E2869">
        <f>SUMPRODUCT(Calc!$K$3:$K$22*(Calc!$G$3:$G$22&gt;=B2869))</f>
        <v/>
      </c>
      <c r="F2869">
        <f>AND(k_n&gt;=5,B2869&gt;A2869+1E-9,C2869&gt;=2,D2869&gt;=1,E2869&gt;=2)</f>
        <v/>
      </c>
      <c r="G2869">
        <f>SUMPRODUCT(Calc!$K$3:$K$22*(Calc!$G$3:$G$22&gt;A2869)*(Calc!$G$3:$G$22-A2869))</f>
        <v/>
      </c>
      <c r="H2869">
        <f>SUMPRODUCT(Calc!$K$3:$K$22*(Calc!$G$3:$G$22&gt;B2869)*(Calc!$G$3:$G$22-B2869))</f>
        <v/>
      </c>
      <c r="I2869">
        <f>SUMPRODUCT(Calc!$K$3:$K$22*(Calc!$G$3:$G$22&gt;A2869)*(Calc!$G$3:$G$22-A2869)^2)</f>
        <v/>
      </c>
      <c r="J2869">
        <f>SUMPRODUCT(Calc!$K$3:$K$22*(Calc!$G$3:$G$22&gt;B2869)*(Calc!$G$3:$G$22-B2869)^2)</f>
        <v/>
      </c>
      <c r="K2869">
        <f>SUMPRODUCT(Calc!$K$3:$K$22*(Calc!$G$3:$G$22&gt;A2869)*(Calc!$G$3:$G$22-A2869)*(Calc!$G$3:$G$22&gt;B2869)*(Calc!$G$3:$G$22-B2869))</f>
        <v/>
      </c>
      <c r="L2869">
        <f>SUMPRODUCT(Calc!$K$3:$K$22*(Calc!$G$3:$G$22&gt;A2869)*(Calc!$G$3:$G$22-A2869)*Calc!$G$3:$G$22)</f>
        <v/>
      </c>
      <c r="M2869">
        <f>SUMPRODUCT(Calc!$K$3:$K$22*(Calc!$G$3:$G$22&gt;B2869)*(Calc!$G$3:$G$22-B2869)*Calc!$G$3:$G$22)</f>
        <v/>
      </c>
      <c r="N2869">
        <f>SUMPRODUCT(Calc!$K$3:$K$22*(Calc!$G$3:$G$22&gt;A2869)*(Calc!$G$3:$G$22-A2869)*Calc!$I$3:$I$22)</f>
        <v/>
      </c>
      <c r="O2869">
        <f>SUMPRODUCT(Calc!$K$3:$K$22*(Calc!$G$3:$G$22&gt;B2869)*(Calc!$G$3:$G$22-B2869)*Calc!$I$3:$I$22)</f>
        <v/>
      </c>
      <c r="P2869">
        <f>I2869-G2869^2/k_n</f>
        <v/>
      </c>
      <c r="Q2869">
        <f>J2869-H2869^2/k_n</f>
        <v/>
      </c>
      <c r="R2869">
        <f>K2869-G2869*H2869/k_n</f>
        <v/>
      </c>
      <c r="S2869">
        <f>L2869-LTP3!$D$3*G2869/k_n</f>
        <v/>
      </c>
      <c r="T2869">
        <f>M2869-LTP3!$D$3*H2869/k_n</f>
        <v/>
      </c>
      <c r="U2869">
        <f>N2869-G2869*LTP3!$D$4/k_n</f>
        <v/>
      </c>
      <c r="V2869">
        <f>O2869-H2869*LTP3!$D$4/k_n</f>
        <v/>
      </c>
      <c r="W2869">
        <f>((LTP3!$D$5)*((P2869)*(Q2869)-(R2869)*(R2869))-(S2869)*((S2869)*(Q2869)-(R2869)*(T2869))+(T2869)*((S2869)*(R2869)-(P2869)*(T2869)))</f>
        <v/>
      </c>
      <c r="X2869">
        <f>IF(ABS(W2869)&gt;1E-12,((LTP3!$D$6)*((P2869)*(Q2869)-(R2869)*(R2869))-(S2869)*((U2869)*(Q2869)-(R2869)*(V2869))+(T2869)*((U2869)*(R2869)-(P2869)*(V2869)))/W2869,0)</f>
        <v/>
      </c>
      <c r="Y2869">
        <f>IF(ABS(W2869)&gt;1E-12,((LTP3!$D$5)*((U2869)*(Q2869)-(R2869)*(V2869))-(LTP3!$D$6)*((S2869)*(Q2869)-(R2869)*(T2869))+(T2869)*((S2869)*(V2869)-(U2869)*(T2869)))/W2869,0)</f>
        <v/>
      </c>
      <c r="Z2869">
        <f>IF(ABS(W2869)&gt;1E-12,((LTP3!$D$5)*((P2869)*(V2869)-(U2869)*(R2869))-(S2869)*((S2869)*(V2869)-(U2869)*(T2869))+(LTP3!$D$6)*((S2869)*(R2869)-(P2869)*(T2869)))/W2869,0)</f>
        <v/>
      </c>
      <c r="AA2869">
        <f>LTP3!$D$7-X2869*LTP3!$D$6-Y2869*U2869-Z2869*V2869</f>
        <v/>
      </c>
      <c r="AB2869">
        <f>IF(AND(F2869,ABS(W2869)&gt;1E-12,Y2869&gt;0,Z2869&gt;0),AA2869,1E+300)</f>
        <v/>
      </c>
    </row>
    <row r="2870">
      <c r="A2870">
        <f>$B$3+$B$5*46</f>
        <v/>
      </c>
      <c r="B2870">
        <f>$B$3+$B$5*52</f>
        <v/>
      </c>
      <c r="C2870">
        <f>SUMPRODUCT(Calc!$K$3:$K$22*(Calc!$G$3:$G$22&lt;=A2870))</f>
        <v/>
      </c>
      <c r="D2870">
        <f>SUMPRODUCT(Calc!$K$3:$K$22*(Calc!$G$3:$G$22&gt;A2870)*(Calc!$G$3:$G$22&lt;B2870))</f>
        <v/>
      </c>
      <c r="E2870">
        <f>SUMPRODUCT(Calc!$K$3:$K$22*(Calc!$G$3:$G$22&gt;=B2870))</f>
        <v/>
      </c>
      <c r="F2870">
        <f>AND(k_n&gt;=5,B2870&gt;A2870+1E-9,C2870&gt;=2,D2870&gt;=1,E2870&gt;=2)</f>
        <v/>
      </c>
      <c r="G2870">
        <f>SUMPRODUCT(Calc!$K$3:$K$22*(Calc!$G$3:$G$22&gt;A2870)*(Calc!$G$3:$G$22-A2870))</f>
        <v/>
      </c>
      <c r="H2870">
        <f>SUMPRODUCT(Calc!$K$3:$K$22*(Calc!$G$3:$G$22&gt;B2870)*(Calc!$G$3:$G$22-B2870))</f>
        <v/>
      </c>
      <c r="I2870">
        <f>SUMPRODUCT(Calc!$K$3:$K$22*(Calc!$G$3:$G$22&gt;A2870)*(Calc!$G$3:$G$22-A2870)^2)</f>
        <v/>
      </c>
      <c r="J2870">
        <f>SUMPRODUCT(Calc!$K$3:$K$22*(Calc!$G$3:$G$22&gt;B2870)*(Calc!$G$3:$G$22-B2870)^2)</f>
        <v/>
      </c>
      <c r="K2870">
        <f>SUMPRODUCT(Calc!$K$3:$K$22*(Calc!$G$3:$G$22&gt;A2870)*(Calc!$G$3:$G$22-A2870)*(Calc!$G$3:$G$22&gt;B2870)*(Calc!$G$3:$G$22-B2870))</f>
        <v/>
      </c>
      <c r="L2870">
        <f>SUMPRODUCT(Calc!$K$3:$K$22*(Calc!$G$3:$G$22&gt;A2870)*(Calc!$G$3:$G$22-A2870)*Calc!$G$3:$G$22)</f>
        <v/>
      </c>
      <c r="M2870">
        <f>SUMPRODUCT(Calc!$K$3:$K$22*(Calc!$G$3:$G$22&gt;B2870)*(Calc!$G$3:$G$22-B2870)*Calc!$G$3:$G$22)</f>
        <v/>
      </c>
      <c r="N2870">
        <f>SUMPRODUCT(Calc!$K$3:$K$22*(Calc!$G$3:$G$22&gt;A2870)*(Calc!$G$3:$G$22-A2870)*Calc!$I$3:$I$22)</f>
        <v/>
      </c>
      <c r="O2870">
        <f>SUMPRODUCT(Calc!$K$3:$K$22*(Calc!$G$3:$G$22&gt;B2870)*(Calc!$G$3:$G$22-B2870)*Calc!$I$3:$I$22)</f>
        <v/>
      </c>
      <c r="P2870">
        <f>I2870-G2870^2/k_n</f>
        <v/>
      </c>
      <c r="Q2870">
        <f>J2870-H2870^2/k_n</f>
        <v/>
      </c>
      <c r="R2870">
        <f>K2870-G2870*H2870/k_n</f>
        <v/>
      </c>
      <c r="S2870">
        <f>L2870-LTP3!$D$3*G2870/k_n</f>
        <v/>
      </c>
      <c r="T2870">
        <f>M2870-LTP3!$D$3*H2870/k_n</f>
        <v/>
      </c>
      <c r="U2870">
        <f>N2870-G2870*LTP3!$D$4/k_n</f>
        <v/>
      </c>
      <c r="V2870">
        <f>O2870-H2870*LTP3!$D$4/k_n</f>
        <v/>
      </c>
      <c r="W2870">
        <f>((LTP3!$D$5)*((P2870)*(Q2870)-(R2870)*(R2870))-(S2870)*((S2870)*(Q2870)-(R2870)*(T2870))+(T2870)*((S2870)*(R2870)-(P2870)*(T2870)))</f>
        <v/>
      </c>
      <c r="X2870">
        <f>IF(ABS(W2870)&gt;1E-12,((LTP3!$D$6)*((P2870)*(Q2870)-(R2870)*(R2870))-(S2870)*((U2870)*(Q2870)-(R2870)*(V2870))+(T2870)*((U2870)*(R2870)-(P2870)*(V2870)))/W2870,0)</f>
        <v/>
      </c>
      <c r="Y2870">
        <f>IF(ABS(W2870)&gt;1E-12,((LTP3!$D$5)*((U2870)*(Q2870)-(R2870)*(V2870))-(LTP3!$D$6)*((S2870)*(Q2870)-(R2870)*(T2870))+(T2870)*((S2870)*(V2870)-(U2870)*(T2870)))/W2870,0)</f>
        <v/>
      </c>
      <c r="Z2870">
        <f>IF(ABS(W2870)&gt;1E-12,((LTP3!$D$5)*((P2870)*(V2870)-(U2870)*(R2870))-(S2870)*((S2870)*(V2870)-(U2870)*(T2870))+(LTP3!$D$6)*((S2870)*(R2870)-(P2870)*(T2870)))/W2870,0)</f>
        <v/>
      </c>
      <c r="AA2870">
        <f>LTP3!$D$7-X2870*LTP3!$D$6-Y2870*U2870-Z2870*V2870</f>
        <v/>
      </c>
      <c r="AB2870">
        <f>IF(AND(F2870,ABS(W2870)&gt;1E-12,Y2870&gt;0,Z2870&gt;0),AA2870,1E+300)</f>
        <v/>
      </c>
    </row>
    <row r="2871">
      <c r="A2871">
        <f>$B$3+$B$5*46</f>
        <v/>
      </c>
      <c r="B2871">
        <f>$B$3+$B$5*53</f>
        <v/>
      </c>
      <c r="C2871">
        <f>SUMPRODUCT(Calc!$K$3:$K$22*(Calc!$G$3:$G$22&lt;=A2871))</f>
        <v/>
      </c>
      <c r="D2871">
        <f>SUMPRODUCT(Calc!$K$3:$K$22*(Calc!$G$3:$G$22&gt;A2871)*(Calc!$G$3:$G$22&lt;B2871))</f>
        <v/>
      </c>
      <c r="E2871">
        <f>SUMPRODUCT(Calc!$K$3:$K$22*(Calc!$G$3:$G$22&gt;=B2871))</f>
        <v/>
      </c>
      <c r="F2871">
        <f>AND(k_n&gt;=5,B2871&gt;A2871+1E-9,C2871&gt;=2,D2871&gt;=1,E2871&gt;=2)</f>
        <v/>
      </c>
      <c r="G2871">
        <f>SUMPRODUCT(Calc!$K$3:$K$22*(Calc!$G$3:$G$22&gt;A2871)*(Calc!$G$3:$G$22-A2871))</f>
        <v/>
      </c>
      <c r="H2871">
        <f>SUMPRODUCT(Calc!$K$3:$K$22*(Calc!$G$3:$G$22&gt;B2871)*(Calc!$G$3:$G$22-B2871))</f>
        <v/>
      </c>
      <c r="I2871">
        <f>SUMPRODUCT(Calc!$K$3:$K$22*(Calc!$G$3:$G$22&gt;A2871)*(Calc!$G$3:$G$22-A2871)^2)</f>
        <v/>
      </c>
      <c r="J2871">
        <f>SUMPRODUCT(Calc!$K$3:$K$22*(Calc!$G$3:$G$22&gt;B2871)*(Calc!$G$3:$G$22-B2871)^2)</f>
        <v/>
      </c>
      <c r="K2871">
        <f>SUMPRODUCT(Calc!$K$3:$K$22*(Calc!$G$3:$G$22&gt;A2871)*(Calc!$G$3:$G$22-A2871)*(Calc!$G$3:$G$22&gt;B2871)*(Calc!$G$3:$G$22-B2871))</f>
        <v/>
      </c>
      <c r="L2871">
        <f>SUMPRODUCT(Calc!$K$3:$K$22*(Calc!$G$3:$G$22&gt;A2871)*(Calc!$G$3:$G$22-A2871)*Calc!$G$3:$G$22)</f>
        <v/>
      </c>
      <c r="M2871">
        <f>SUMPRODUCT(Calc!$K$3:$K$22*(Calc!$G$3:$G$22&gt;B2871)*(Calc!$G$3:$G$22-B2871)*Calc!$G$3:$G$22)</f>
        <v/>
      </c>
      <c r="N2871">
        <f>SUMPRODUCT(Calc!$K$3:$K$22*(Calc!$G$3:$G$22&gt;A2871)*(Calc!$G$3:$G$22-A2871)*Calc!$I$3:$I$22)</f>
        <v/>
      </c>
      <c r="O2871">
        <f>SUMPRODUCT(Calc!$K$3:$K$22*(Calc!$G$3:$G$22&gt;B2871)*(Calc!$G$3:$G$22-B2871)*Calc!$I$3:$I$22)</f>
        <v/>
      </c>
      <c r="P2871">
        <f>I2871-G2871^2/k_n</f>
        <v/>
      </c>
      <c r="Q2871">
        <f>J2871-H2871^2/k_n</f>
        <v/>
      </c>
      <c r="R2871">
        <f>K2871-G2871*H2871/k_n</f>
        <v/>
      </c>
      <c r="S2871">
        <f>L2871-LTP3!$D$3*G2871/k_n</f>
        <v/>
      </c>
      <c r="T2871">
        <f>M2871-LTP3!$D$3*H2871/k_n</f>
        <v/>
      </c>
      <c r="U2871">
        <f>N2871-G2871*LTP3!$D$4/k_n</f>
        <v/>
      </c>
      <c r="V2871">
        <f>O2871-H2871*LTP3!$D$4/k_n</f>
        <v/>
      </c>
      <c r="W2871">
        <f>((LTP3!$D$5)*((P2871)*(Q2871)-(R2871)*(R2871))-(S2871)*((S2871)*(Q2871)-(R2871)*(T2871))+(T2871)*((S2871)*(R2871)-(P2871)*(T2871)))</f>
        <v/>
      </c>
      <c r="X2871">
        <f>IF(ABS(W2871)&gt;1E-12,((LTP3!$D$6)*((P2871)*(Q2871)-(R2871)*(R2871))-(S2871)*((U2871)*(Q2871)-(R2871)*(V2871))+(T2871)*((U2871)*(R2871)-(P2871)*(V2871)))/W2871,0)</f>
        <v/>
      </c>
      <c r="Y2871">
        <f>IF(ABS(W2871)&gt;1E-12,((LTP3!$D$5)*((U2871)*(Q2871)-(R2871)*(V2871))-(LTP3!$D$6)*((S2871)*(Q2871)-(R2871)*(T2871))+(T2871)*((S2871)*(V2871)-(U2871)*(T2871)))/W2871,0)</f>
        <v/>
      </c>
      <c r="Z2871">
        <f>IF(ABS(W2871)&gt;1E-12,((LTP3!$D$5)*((P2871)*(V2871)-(U2871)*(R2871))-(S2871)*((S2871)*(V2871)-(U2871)*(T2871))+(LTP3!$D$6)*((S2871)*(R2871)-(P2871)*(T2871)))/W2871,0)</f>
        <v/>
      </c>
      <c r="AA2871">
        <f>LTP3!$D$7-X2871*LTP3!$D$6-Y2871*U2871-Z2871*V2871</f>
        <v/>
      </c>
      <c r="AB2871">
        <f>IF(AND(F2871,ABS(W2871)&gt;1E-12,Y2871&gt;0,Z2871&gt;0),AA2871,1E+300)</f>
        <v/>
      </c>
    </row>
    <row r="2872">
      <c r="A2872">
        <f>$B$3+$B$5*46</f>
        <v/>
      </c>
      <c r="B2872">
        <f>$B$3+$B$5*54</f>
        <v/>
      </c>
      <c r="C2872">
        <f>SUMPRODUCT(Calc!$K$3:$K$22*(Calc!$G$3:$G$22&lt;=A2872))</f>
        <v/>
      </c>
      <c r="D2872">
        <f>SUMPRODUCT(Calc!$K$3:$K$22*(Calc!$G$3:$G$22&gt;A2872)*(Calc!$G$3:$G$22&lt;B2872))</f>
        <v/>
      </c>
      <c r="E2872">
        <f>SUMPRODUCT(Calc!$K$3:$K$22*(Calc!$G$3:$G$22&gt;=B2872))</f>
        <v/>
      </c>
      <c r="F2872">
        <f>AND(k_n&gt;=5,B2872&gt;A2872+1E-9,C2872&gt;=2,D2872&gt;=1,E2872&gt;=2)</f>
        <v/>
      </c>
      <c r="G2872">
        <f>SUMPRODUCT(Calc!$K$3:$K$22*(Calc!$G$3:$G$22&gt;A2872)*(Calc!$G$3:$G$22-A2872))</f>
        <v/>
      </c>
      <c r="H2872">
        <f>SUMPRODUCT(Calc!$K$3:$K$22*(Calc!$G$3:$G$22&gt;B2872)*(Calc!$G$3:$G$22-B2872))</f>
        <v/>
      </c>
      <c r="I2872">
        <f>SUMPRODUCT(Calc!$K$3:$K$22*(Calc!$G$3:$G$22&gt;A2872)*(Calc!$G$3:$G$22-A2872)^2)</f>
        <v/>
      </c>
      <c r="J2872">
        <f>SUMPRODUCT(Calc!$K$3:$K$22*(Calc!$G$3:$G$22&gt;B2872)*(Calc!$G$3:$G$22-B2872)^2)</f>
        <v/>
      </c>
      <c r="K2872">
        <f>SUMPRODUCT(Calc!$K$3:$K$22*(Calc!$G$3:$G$22&gt;A2872)*(Calc!$G$3:$G$22-A2872)*(Calc!$G$3:$G$22&gt;B2872)*(Calc!$G$3:$G$22-B2872))</f>
        <v/>
      </c>
      <c r="L2872">
        <f>SUMPRODUCT(Calc!$K$3:$K$22*(Calc!$G$3:$G$22&gt;A2872)*(Calc!$G$3:$G$22-A2872)*Calc!$G$3:$G$22)</f>
        <v/>
      </c>
      <c r="M2872">
        <f>SUMPRODUCT(Calc!$K$3:$K$22*(Calc!$G$3:$G$22&gt;B2872)*(Calc!$G$3:$G$22-B2872)*Calc!$G$3:$G$22)</f>
        <v/>
      </c>
      <c r="N2872">
        <f>SUMPRODUCT(Calc!$K$3:$K$22*(Calc!$G$3:$G$22&gt;A2872)*(Calc!$G$3:$G$22-A2872)*Calc!$I$3:$I$22)</f>
        <v/>
      </c>
      <c r="O2872">
        <f>SUMPRODUCT(Calc!$K$3:$K$22*(Calc!$G$3:$G$22&gt;B2872)*(Calc!$G$3:$G$22-B2872)*Calc!$I$3:$I$22)</f>
        <v/>
      </c>
      <c r="P2872">
        <f>I2872-G2872^2/k_n</f>
        <v/>
      </c>
      <c r="Q2872">
        <f>J2872-H2872^2/k_n</f>
        <v/>
      </c>
      <c r="R2872">
        <f>K2872-G2872*H2872/k_n</f>
        <v/>
      </c>
      <c r="S2872">
        <f>L2872-LTP3!$D$3*G2872/k_n</f>
        <v/>
      </c>
      <c r="T2872">
        <f>M2872-LTP3!$D$3*H2872/k_n</f>
        <v/>
      </c>
      <c r="U2872">
        <f>N2872-G2872*LTP3!$D$4/k_n</f>
        <v/>
      </c>
      <c r="V2872">
        <f>O2872-H2872*LTP3!$D$4/k_n</f>
        <v/>
      </c>
      <c r="W2872">
        <f>((LTP3!$D$5)*((P2872)*(Q2872)-(R2872)*(R2872))-(S2872)*((S2872)*(Q2872)-(R2872)*(T2872))+(T2872)*((S2872)*(R2872)-(P2872)*(T2872)))</f>
        <v/>
      </c>
      <c r="X2872">
        <f>IF(ABS(W2872)&gt;1E-12,((LTP3!$D$6)*((P2872)*(Q2872)-(R2872)*(R2872))-(S2872)*((U2872)*(Q2872)-(R2872)*(V2872))+(T2872)*((U2872)*(R2872)-(P2872)*(V2872)))/W2872,0)</f>
        <v/>
      </c>
      <c r="Y2872">
        <f>IF(ABS(W2872)&gt;1E-12,((LTP3!$D$5)*((U2872)*(Q2872)-(R2872)*(V2872))-(LTP3!$D$6)*((S2872)*(Q2872)-(R2872)*(T2872))+(T2872)*((S2872)*(V2872)-(U2872)*(T2872)))/W2872,0)</f>
        <v/>
      </c>
      <c r="Z2872">
        <f>IF(ABS(W2872)&gt;1E-12,((LTP3!$D$5)*((P2872)*(V2872)-(U2872)*(R2872))-(S2872)*((S2872)*(V2872)-(U2872)*(T2872))+(LTP3!$D$6)*((S2872)*(R2872)-(P2872)*(T2872)))/W2872,0)</f>
        <v/>
      </c>
      <c r="AA2872">
        <f>LTP3!$D$7-X2872*LTP3!$D$6-Y2872*U2872-Z2872*V2872</f>
        <v/>
      </c>
      <c r="AB2872">
        <f>IF(AND(F2872,ABS(W2872)&gt;1E-12,Y2872&gt;0,Z2872&gt;0),AA2872,1E+300)</f>
        <v/>
      </c>
    </row>
    <row r="2873">
      <c r="A2873">
        <f>$B$3+$B$5*46</f>
        <v/>
      </c>
      <c r="B2873">
        <f>$B$3+$B$5*55</f>
        <v/>
      </c>
      <c r="C2873">
        <f>SUMPRODUCT(Calc!$K$3:$K$22*(Calc!$G$3:$G$22&lt;=A2873))</f>
        <v/>
      </c>
      <c r="D2873">
        <f>SUMPRODUCT(Calc!$K$3:$K$22*(Calc!$G$3:$G$22&gt;A2873)*(Calc!$G$3:$G$22&lt;B2873))</f>
        <v/>
      </c>
      <c r="E2873">
        <f>SUMPRODUCT(Calc!$K$3:$K$22*(Calc!$G$3:$G$22&gt;=B2873))</f>
        <v/>
      </c>
      <c r="F2873">
        <f>AND(k_n&gt;=5,B2873&gt;A2873+1E-9,C2873&gt;=2,D2873&gt;=1,E2873&gt;=2)</f>
        <v/>
      </c>
      <c r="G2873">
        <f>SUMPRODUCT(Calc!$K$3:$K$22*(Calc!$G$3:$G$22&gt;A2873)*(Calc!$G$3:$G$22-A2873))</f>
        <v/>
      </c>
      <c r="H2873">
        <f>SUMPRODUCT(Calc!$K$3:$K$22*(Calc!$G$3:$G$22&gt;B2873)*(Calc!$G$3:$G$22-B2873))</f>
        <v/>
      </c>
      <c r="I2873">
        <f>SUMPRODUCT(Calc!$K$3:$K$22*(Calc!$G$3:$G$22&gt;A2873)*(Calc!$G$3:$G$22-A2873)^2)</f>
        <v/>
      </c>
      <c r="J2873">
        <f>SUMPRODUCT(Calc!$K$3:$K$22*(Calc!$G$3:$G$22&gt;B2873)*(Calc!$G$3:$G$22-B2873)^2)</f>
        <v/>
      </c>
      <c r="K2873">
        <f>SUMPRODUCT(Calc!$K$3:$K$22*(Calc!$G$3:$G$22&gt;A2873)*(Calc!$G$3:$G$22-A2873)*(Calc!$G$3:$G$22&gt;B2873)*(Calc!$G$3:$G$22-B2873))</f>
        <v/>
      </c>
      <c r="L2873">
        <f>SUMPRODUCT(Calc!$K$3:$K$22*(Calc!$G$3:$G$22&gt;A2873)*(Calc!$G$3:$G$22-A2873)*Calc!$G$3:$G$22)</f>
        <v/>
      </c>
      <c r="M2873">
        <f>SUMPRODUCT(Calc!$K$3:$K$22*(Calc!$G$3:$G$22&gt;B2873)*(Calc!$G$3:$G$22-B2873)*Calc!$G$3:$G$22)</f>
        <v/>
      </c>
      <c r="N2873">
        <f>SUMPRODUCT(Calc!$K$3:$K$22*(Calc!$G$3:$G$22&gt;A2873)*(Calc!$G$3:$G$22-A2873)*Calc!$I$3:$I$22)</f>
        <v/>
      </c>
      <c r="O2873">
        <f>SUMPRODUCT(Calc!$K$3:$K$22*(Calc!$G$3:$G$22&gt;B2873)*(Calc!$G$3:$G$22-B2873)*Calc!$I$3:$I$22)</f>
        <v/>
      </c>
      <c r="P2873">
        <f>I2873-G2873^2/k_n</f>
        <v/>
      </c>
      <c r="Q2873">
        <f>J2873-H2873^2/k_n</f>
        <v/>
      </c>
      <c r="R2873">
        <f>K2873-G2873*H2873/k_n</f>
        <v/>
      </c>
      <c r="S2873">
        <f>L2873-LTP3!$D$3*G2873/k_n</f>
        <v/>
      </c>
      <c r="T2873">
        <f>M2873-LTP3!$D$3*H2873/k_n</f>
        <v/>
      </c>
      <c r="U2873">
        <f>N2873-G2873*LTP3!$D$4/k_n</f>
        <v/>
      </c>
      <c r="V2873">
        <f>O2873-H2873*LTP3!$D$4/k_n</f>
        <v/>
      </c>
      <c r="W2873">
        <f>((LTP3!$D$5)*((P2873)*(Q2873)-(R2873)*(R2873))-(S2873)*((S2873)*(Q2873)-(R2873)*(T2873))+(T2873)*((S2873)*(R2873)-(P2873)*(T2873)))</f>
        <v/>
      </c>
      <c r="X2873">
        <f>IF(ABS(W2873)&gt;1E-12,((LTP3!$D$6)*((P2873)*(Q2873)-(R2873)*(R2873))-(S2873)*((U2873)*(Q2873)-(R2873)*(V2873))+(T2873)*((U2873)*(R2873)-(P2873)*(V2873)))/W2873,0)</f>
        <v/>
      </c>
      <c r="Y2873">
        <f>IF(ABS(W2873)&gt;1E-12,((LTP3!$D$5)*((U2873)*(Q2873)-(R2873)*(V2873))-(LTP3!$D$6)*((S2873)*(Q2873)-(R2873)*(T2873))+(T2873)*((S2873)*(V2873)-(U2873)*(T2873)))/W2873,0)</f>
        <v/>
      </c>
      <c r="Z2873">
        <f>IF(ABS(W2873)&gt;1E-12,((LTP3!$D$5)*((P2873)*(V2873)-(U2873)*(R2873))-(S2873)*((S2873)*(V2873)-(U2873)*(T2873))+(LTP3!$D$6)*((S2873)*(R2873)-(P2873)*(T2873)))/W2873,0)</f>
        <v/>
      </c>
      <c r="AA2873">
        <f>LTP3!$D$7-X2873*LTP3!$D$6-Y2873*U2873-Z2873*V2873</f>
        <v/>
      </c>
      <c r="AB2873">
        <f>IF(AND(F2873,ABS(W2873)&gt;1E-12,Y2873&gt;0,Z2873&gt;0),AA2873,1E+300)</f>
        <v/>
      </c>
    </row>
    <row r="2874">
      <c r="A2874">
        <f>$B$3+$B$5*46</f>
        <v/>
      </c>
      <c r="B2874">
        <f>$B$3+$B$5*56</f>
        <v/>
      </c>
      <c r="C2874">
        <f>SUMPRODUCT(Calc!$K$3:$K$22*(Calc!$G$3:$G$22&lt;=A2874))</f>
        <v/>
      </c>
      <c r="D2874">
        <f>SUMPRODUCT(Calc!$K$3:$K$22*(Calc!$G$3:$G$22&gt;A2874)*(Calc!$G$3:$G$22&lt;B2874))</f>
        <v/>
      </c>
      <c r="E2874">
        <f>SUMPRODUCT(Calc!$K$3:$K$22*(Calc!$G$3:$G$22&gt;=B2874))</f>
        <v/>
      </c>
      <c r="F2874">
        <f>AND(k_n&gt;=5,B2874&gt;A2874+1E-9,C2874&gt;=2,D2874&gt;=1,E2874&gt;=2)</f>
        <v/>
      </c>
      <c r="G2874">
        <f>SUMPRODUCT(Calc!$K$3:$K$22*(Calc!$G$3:$G$22&gt;A2874)*(Calc!$G$3:$G$22-A2874))</f>
        <v/>
      </c>
      <c r="H2874">
        <f>SUMPRODUCT(Calc!$K$3:$K$22*(Calc!$G$3:$G$22&gt;B2874)*(Calc!$G$3:$G$22-B2874))</f>
        <v/>
      </c>
      <c r="I2874">
        <f>SUMPRODUCT(Calc!$K$3:$K$22*(Calc!$G$3:$G$22&gt;A2874)*(Calc!$G$3:$G$22-A2874)^2)</f>
        <v/>
      </c>
      <c r="J2874">
        <f>SUMPRODUCT(Calc!$K$3:$K$22*(Calc!$G$3:$G$22&gt;B2874)*(Calc!$G$3:$G$22-B2874)^2)</f>
        <v/>
      </c>
      <c r="K2874">
        <f>SUMPRODUCT(Calc!$K$3:$K$22*(Calc!$G$3:$G$22&gt;A2874)*(Calc!$G$3:$G$22-A2874)*(Calc!$G$3:$G$22&gt;B2874)*(Calc!$G$3:$G$22-B2874))</f>
        <v/>
      </c>
      <c r="L2874">
        <f>SUMPRODUCT(Calc!$K$3:$K$22*(Calc!$G$3:$G$22&gt;A2874)*(Calc!$G$3:$G$22-A2874)*Calc!$G$3:$G$22)</f>
        <v/>
      </c>
      <c r="M2874">
        <f>SUMPRODUCT(Calc!$K$3:$K$22*(Calc!$G$3:$G$22&gt;B2874)*(Calc!$G$3:$G$22-B2874)*Calc!$G$3:$G$22)</f>
        <v/>
      </c>
      <c r="N2874">
        <f>SUMPRODUCT(Calc!$K$3:$K$22*(Calc!$G$3:$G$22&gt;A2874)*(Calc!$G$3:$G$22-A2874)*Calc!$I$3:$I$22)</f>
        <v/>
      </c>
      <c r="O2874">
        <f>SUMPRODUCT(Calc!$K$3:$K$22*(Calc!$G$3:$G$22&gt;B2874)*(Calc!$G$3:$G$22-B2874)*Calc!$I$3:$I$22)</f>
        <v/>
      </c>
      <c r="P2874">
        <f>I2874-G2874^2/k_n</f>
        <v/>
      </c>
      <c r="Q2874">
        <f>J2874-H2874^2/k_n</f>
        <v/>
      </c>
      <c r="R2874">
        <f>K2874-G2874*H2874/k_n</f>
        <v/>
      </c>
      <c r="S2874">
        <f>L2874-LTP3!$D$3*G2874/k_n</f>
        <v/>
      </c>
      <c r="T2874">
        <f>M2874-LTP3!$D$3*H2874/k_n</f>
        <v/>
      </c>
      <c r="U2874">
        <f>N2874-G2874*LTP3!$D$4/k_n</f>
        <v/>
      </c>
      <c r="V2874">
        <f>O2874-H2874*LTP3!$D$4/k_n</f>
        <v/>
      </c>
      <c r="W2874">
        <f>((LTP3!$D$5)*((P2874)*(Q2874)-(R2874)*(R2874))-(S2874)*((S2874)*(Q2874)-(R2874)*(T2874))+(T2874)*((S2874)*(R2874)-(P2874)*(T2874)))</f>
        <v/>
      </c>
      <c r="X2874">
        <f>IF(ABS(W2874)&gt;1E-12,((LTP3!$D$6)*((P2874)*(Q2874)-(R2874)*(R2874))-(S2874)*((U2874)*(Q2874)-(R2874)*(V2874))+(T2874)*((U2874)*(R2874)-(P2874)*(V2874)))/W2874,0)</f>
        <v/>
      </c>
      <c r="Y2874">
        <f>IF(ABS(W2874)&gt;1E-12,((LTP3!$D$5)*((U2874)*(Q2874)-(R2874)*(V2874))-(LTP3!$D$6)*((S2874)*(Q2874)-(R2874)*(T2874))+(T2874)*((S2874)*(V2874)-(U2874)*(T2874)))/W2874,0)</f>
        <v/>
      </c>
      <c r="Z2874">
        <f>IF(ABS(W2874)&gt;1E-12,((LTP3!$D$5)*((P2874)*(V2874)-(U2874)*(R2874))-(S2874)*((S2874)*(V2874)-(U2874)*(T2874))+(LTP3!$D$6)*((S2874)*(R2874)-(P2874)*(T2874)))/W2874,0)</f>
        <v/>
      </c>
      <c r="AA2874">
        <f>LTP3!$D$7-X2874*LTP3!$D$6-Y2874*U2874-Z2874*V2874</f>
        <v/>
      </c>
      <c r="AB2874">
        <f>IF(AND(F2874,ABS(W2874)&gt;1E-12,Y2874&gt;0,Z2874&gt;0),AA2874,1E+300)</f>
        <v/>
      </c>
    </row>
    <row r="2875">
      <c r="A2875">
        <f>$B$3+$B$5*46</f>
        <v/>
      </c>
      <c r="B2875">
        <f>$B$3+$B$5*57</f>
        <v/>
      </c>
      <c r="C2875">
        <f>SUMPRODUCT(Calc!$K$3:$K$22*(Calc!$G$3:$G$22&lt;=A2875))</f>
        <v/>
      </c>
      <c r="D2875">
        <f>SUMPRODUCT(Calc!$K$3:$K$22*(Calc!$G$3:$G$22&gt;A2875)*(Calc!$G$3:$G$22&lt;B2875))</f>
        <v/>
      </c>
      <c r="E2875">
        <f>SUMPRODUCT(Calc!$K$3:$K$22*(Calc!$G$3:$G$22&gt;=B2875))</f>
        <v/>
      </c>
      <c r="F2875">
        <f>AND(k_n&gt;=5,B2875&gt;A2875+1E-9,C2875&gt;=2,D2875&gt;=1,E2875&gt;=2)</f>
        <v/>
      </c>
      <c r="G2875">
        <f>SUMPRODUCT(Calc!$K$3:$K$22*(Calc!$G$3:$G$22&gt;A2875)*(Calc!$G$3:$G$22-A2875))</f>
        <v/>
      </c>
      <c r="H2875">
        <f>SUMPRODUCT(Calc!$K$3:$K$22*(Calc!$G$3:$G$22&gt;B2875)*(Calc!$G$3:$G$22-B2875))</f>
        <v/>
      </c>
      <c r="I2875">
        <f>SUMPRODUCT(Calc!$K$3:$K$22*(Calc!$G$3:$G$22&gt;A2875)*(Calc!$G$3:$G$22-A2875)^2)</f>
        <v/>
      </c>
      <c r="J2875">
        <f>SUMPRODUCT(Calc!$K$3:$K$22*(Calc!$G$3:$G$22&gt;B2875)*(Calc!$G$3:$G$22-B2875)^2)</f>
        <v/>
      </c>
      <c r="K2875">
        <f>SUMPRODUCT(Calc!$K$3:$K$22*(Calc!$G$3:$G$22&gt;A2875)*(Calc!$G$3:$G$22-A2875)*(Calc!$G$3:$G$22&gt;B2875)*(Calc!$G$3:$G$22-B2875))</f>
        <v/>
      </c>
      <c r="L2875">
        <f>SUMPRODUCT(Calc!$K$3:$K$22*(Calc!$G$3:$G$22&gt;A2875)*(Calc!$G$3:$G$22-A2875)*Calc!$G$3:$G$22)</f>
        <v/>
      </c>
      <c r="M2875">
        <f>SUMPRODUCT(Calc!$K$3:$K$22*(Calc!$G$3:$G$22&gt;B2875)*(Calc!$G$3:$G$22-B2875)*Calc!$G$3:$G$22)</f>
        <v/>
      </c>
      <c r="N2875">
        <f>SUMPRODUCT(Calc!$K$3:$K$22*(Calc!$G$3:$G$22&gt;A2875)*(Calc!$G$3:$G$22-A2875)*Calc!$I$3:$I$22)</f>
        <v/>
      </c>
      <c r="O2875">
        <f>SUMPRODUCT(Calc!$K$3:$K$22*(Calc!$G$3:$G$22&gt;B2875)*(Calc!$G$3:$G$22-B2875)*Calc!$I$3:$I$22)</f>
        <v/>
      </c>
      <c r="P2875">
        <f>I2875-G2875^2/k_n</f>
        <v/>
      </c>
      <c r="Q2875">
        <f>J2875-H2875^2/k_n</f>
        <v/>
      </c>
      <c r="R2875">
        <f>K2875-G2875*H2875/k_n</f>
        <v/>
      </c>
      <c r="S2875">
        <f>L2875-LTP3!$D$3*G2875/k_n</f>
        <v/>
      </c>
      <c r="T2875">
        <f>M2875-LTP3!$D$3*H2875/k_n</f>
        <v/>
      </c>
      <c r="U2875">
        <f>N2875-G2875*LTP3!$D$4/k_n</f>
        <v/>
      </c>
      <c r="V2875">
        <f>O2875-H2875*LTP3!$D$4/k_n</f>
        <v/>
      </c>
      <c r="W2875">
        <f>((LTP3!$D$5)*((P2875)*(Q2875)-(R2875)*(R2875))-(S2875)*((S2875)*(Q2875)-(R2875)*(T2875))+(T2875)*((S2875)*(R2875)-(P2875)*(T2875)))</f>
        <v/>
      </c>
      <c r="X2875">
        <f>IF(ABS(W2875)&gt;1E-12,((LTP3!$D$6)*((P2875)*(Q2875)-(R2875)*(R2875))-(S2875)*((U2875)*(Q2875)-(R2875)*(V2875))+(T2875)*((U2875)*(R2875)-(P2875)*(V2875)))/W2875,0)</f>
        <v/>
      </c>
      <c r="Y2875">
        <f>IF(ABS(W2875)&gt;1E-12,((LTP3!$D$5)*((U2875)*(Q2875)-(R2875)*(V2875))-(LTP3!$D$6)*((S2875)*(Q2875)-(R2875)*(T2875))+(T2875)*((S2875)*(V2875)-(U2875)*(T2875)))/W2875,0)</f>
        <v/>
      </c>
      <c r="Z2875">
        <f>IF(ABS(W2875)&gt;1E-12,((LTP3!$D$5)*((P2875)*(V2875)-(U2875)*(R2875))-(S2875)*((S2875)*(V2875)-(U2875)*(T2875))+(LTP3!$D$6)*((S2875)*(R2875)-(P2875)*(T2875)))/W2875,0)</f>
        <v/>
      </c>
      <c r="AA2875">
        <f>LTP3!$D$7-X2875*LTP3!$D$6-Y2875*U2875-Z2875*V2875</f>
        <v/>
      </c>
      <c r="AB2875">
        <f>IF(AND(F2875,ABS(W2875)&gt;1E-12,Y2875&gt;0,Z2875&gt;0),AA2875,1E+300)</f>
        <v/>
      </c>
    </row>
    <row r="2876">
      <c r="A2876">
        <f>$B$3+$B$5*46</f>
        <v/>
      </c>
      <c r="B2876">
        <f>$B$3+$B$5*58</f>
        <v/>
      </c>
      <c r="C2876">
        <f>SUMPRODUCT(Calc!$K$3:$K$22*(Calc!$G$3:$G$22&lt;=A2876))</f>
        <v/>
      </c>
      <c r="D2876">
        <f>SUMPRODUCT(Calc!$K$3:$K$22*(Calc!$G$3:$G$22&gt;A2876)*(Calc!$G$3:$G$22&lt;B2876))</f>
        <v/>
      </c>
      <c r="E2876">
        <f>SUMPRODUCT(Calc!$K$3:$K$22*(Calc!$G$3:$G$22&gt;=B2876))</f>
        <v/>
      </c>
      <c r="F2876">
        <f>AND(k_n&gt;=5,B2876&gt;A2876+1E-9,C2876&gt;=2,D2876&gt;=1,E2876&gt;=2)</f>
        <v/>
      </c>
      <c r="G2876">
        <f>SUMPRODUCT(Calc!$K$3:$K$22*(Calc!$G$3:$G$22&gt;A2876)*(Calc!$G$3:$G$22-A2876))</f>
        <v/>
      </c>
      <c r="H2876">
        <f>SUMPRODUCT(Calc!$K$3:$K$22*(Calc!$G$3:$G$22&gt;B2876)*(Calc!$G$3:$G$22-B2876))</f>
        <v/>
      </c>
      <c r="I2876">
        <f>SUMPRODUCT(Calc!$K$3:$K$22*(Calc!$G$3:$G$22&gt;A2876)*(Calc!$G$3:$G$22-A2876)^2)</f>
        <v/>
      </c>
      <c r="J2876">
        <f>SUMPRODUCT(Calc!$K$3:$K$22*(Calc!$G$3:$G$22&gt;B2876)*(Calc!$G$3:$G$22-B2876)^2)</f>
        <v/>
      </c>
      <c r="K2876">
        <f>SUMPRODUCT(Calc!$K$3:$K$22*(Calc!$G$3:$G$22&gt;A2876)*(Calc!$G$3:$G$22-A2876)*(Calc!$G$3:$G$22&gt;B2876)*(Calc!$G$3:$G$22-B2876))</f>
        <v/>
      </c>
      <c r="L2876">
        <f>SUMPRODUCT(Calc!$K$3:$K$22*(Calc!$G$3:$G$22&gt;A2876)*(Calc!$G$3:$G$22-A2876)*Calc!$G$3:$G$22)</f>
        <v/>
      </c>
      <c r="M2876">
        <f>SUMPRODUCT(Calc!$K$3:$K$22*(Calc!$G$3:$G$22&gt;B2876)*(Calc!$G$3:$G$22-B2876)*Calc!$G$3:$G$22)</f>
        <v/>
      </c>
      <c r="N2876">
        <f>SUMPRODUCT(Calc!$K$3:$K$22*(Calc!$G$3:$G$22&gt;A2876)*(Calc!$G$3:$G$22-A2876)*Calc!$I$3:$I$22)</f>
        <v/>
      </c>
      <c r="O2876">
        <f>SUMPRODUCT(Calc!$K$3:$K$22*(Calc!$G$3:$G$22&gt;B2876)*(Calc!$G$3:$G$22-B2876)*Calc!$I$3:$I$22)</f>
        <v/>
      </c>
      <c r="P2876">
        <f>I2876-G2876^2/k_n</f>
        <v/>
      </c>
      <c r="Q2876">
        <f>J2876-H2876^2/k_n</f>
        <v/>
      </c>
      <c r="R2876">
        <f>K2876-G2876*H2876/k_n</f>
        <v/>
      </c>
      <c r="S2876">
        <f>L2876-LTP3!$D$3*G2876/k_n</f>
        <v/>
      </c>
      <c r="T2876">
        <f>M2876-LTP3!$D$3*H2876/k_n</f>
        <v/>
      </c>
      <c r="U2876">
        <f>N2876-G2876*LTP3!$D$4/k_n</f>
        <v/>
      </c>
      <c r="V2876">
        <f>O2876-H2876*LTP3!$D$4/k_n</f>
        <v/>
      </c>
      <c r="W2876">
        <f>((LTP3!$D$5)*((P2876)*(Q2876)-(R2876)*(R2876))-(S2876)*((S2876)*(Q2876)-(R2876)*(T2876))+(T2876)*((S2876)*(R2876)-(P2876)*(T2876)))</f>
        <v/>
      </c>
      <c r="X2876">
        <f>IF(ABS(W2876)&gt;1E-12,((LTP3!$D$6)*((P2876)*(Q2876)-(R2876)*(R2876))-(S2876)*((U2876)*(Q2876)-(R2876)*(V2876))+(T2876)*((U2876)*(R2876)-(P2876)*(V2876)))/W2876,0)</f>
        <v/>
      </c>
      <c r="Y2876">
        <f>IF(ABS(W2876)&gt;1E-12,((LTP3!$D$5)*((U2876)*(Q2876)-(R2876)*(V2876))-(LTP3!$D$6)*((S2876)*(Q2876)-(R2876)*(T2876))+(T2876)*((S2876)*(V2876)-(U2876)*(T2876)))/W2876,0)</f>
        <v/>
      </c>
      <c r="Z2876">
        <f>IF(ABS(W2876)&gt;1E-12,((LTP3!$D$5)*((P2876)*(V2876)-(U2876)*(R2876))-(S2876)*((S2876)*(V2876)-(U2876)*(T2876))+(LTP3!$D$6)*((S2876)*(R2876)-(P2876)*(T2876)))/W2876,0)</f>
        <v/>
      </c>
      <c r="AA2876">
        <f>LTP3!$D$7-X2876*LTP3!$D$6-Y2876*U2876-Z2876*V2876</f>
        <v/>
      </c>
      <c r="AB2876">
        <f>IF(AND(F2876,ABS(W2876)&gt;1E-12,Y2876&gt;0,Z2876&gt;0),AA2876,1E+300)</f>
        <v/>
      </c>
    </row>
    <row r="2877">
      <c r="A2877">
        <f>$B$3+$B$5*46</f>
        <v/>
      </c>
      <c r="B2877">
        <f>$B$3+$B$5*59</f>
        <v/>
      </c>
      <c r="C2877">
        <f>SUMPRODUCT(Calc!$K$3:$K$22*(Calc!$G$3:$G$22&lt;=A2877))</f>
        <v/>
      </c>
      <c r="D2877">
        <f>SUMPRODUCT(Calc!$K$3:$K$22*(Calc!$G$3:$G$22&gt;A2877)*(Calc!$G$3:$G$22&lt;B2877))</f>
        <v/>
      </c>
      <c r="E2877">
        <f>SUMPRODUCT(Calc!$K$3:$K$22*(Calc!$G$3:$G$22&gt;=B2877))</f>
        <v/>
      </c>
      <c r="F2877">
        <f>AND(k_n&gt;=5,B2877&gt;A2877+1E-9,C2877&gt;=2,D2877&gt;=1,E2877&gt;=2)</f>
        <v/>
      </c>
      <c r="G2877">
        <f>SUMPRODUCT(Calc!$K$3:$K$22*(Calc!$G$3:$G$22&gt;A2877)*(Calc!$G$3:$G$22-A2877))</f>
        <v/>
      </c>
      <c r="H2877">
        <f>SUMPRODUCT(Calc!$K$3:$K$22*(Calc!$G$3:$G$22&gt;B2877)*(Calc!$G$3:$G$22-B2877))</f>
        <v/>
      </c>
      <c r="I2877">
        <f>SUMPRODUCT(Calc!$K$3:$K$22*(Calc!$G$3:$G$22&gt;A2877)*(Calc!$G$3:$G$22-A2877)^2)</f>
        <v/>
      </c>
      <c r="J2877">
        <f>SUMPRODUCT(Calc!$K$3:$K$22*(Calc!$G$3:$G$22&gt;B2877)*(Calc!$G$3:$G$22-B2877)^2)</f>
        <v/>
      </c>
      <c r="K2877">
        <f>SUMPRODUCT(Calc!$K$3:$K$22*(Calc!$G$3:$G$22&gt;A2877)*(Calc!$G$3:$G$22-A2877)*(Calc!$G$3:$G$22&gt;B2877)*(Calc!$G$3:$G$22-B2877))</f>
        <v/>
      </c>
      <c r="L2877">
        <f>SUMPRODUCT(Calc!$K$3:$K$22*(Calc!$G$3:$G$22&gt;A2877)*(Calc!$G$3:$G$22-A2877)*Calc!$G$3:$G$22)</f>
        <v/>
      </c>
      <c r="M2877">
        <f>SUMPRODUCT(Calc!$K$3:$K$22*(Calc!$G$3:$G$22&gt;B2877)*(Calc!$G$3:$G$22-B2877)*Calc!$G$3:$G$22)</f>
        <v/>
      </c>
      <c r="N2877">
        <f>SUMPRODUCT(Calc!$K$3:$K$22*(Calc!$G$3:$G$22&gt;A2877)*(Calc!$G$3:$G$22-A2877)*Calc!$I$3:$I$22)</f>
        <v/>
      </c>
      <c r="O2877">
        <f>SUMPRODUCT(Calc!$K$3:$K$22*(Calc!$G$3:$G$22&gt;B2877)*(Calc!$G$3:$G$22-B2877)*Calc!$I$3:$I$22)</f>
        <v/>
      </c>
      <c r="P2877">
        <f>I2877-G2877^2/k_n</f>
        <v/>
      </c>
      <c r="Q2877">
        <f>J2877-H2877^2/k_n</f>
        <v/>
      </c>
      <c r="R2877">
        <f>K2877-G2877*H2877/k_n</f>
        <v/>
      </c>
      <c r="S2877">
        <f>L2877-LTP3!$D$3*G2877/k_n</f>
        <v/>
      </c>
      <c r="T2877">
        <f>M2877-LTP3!$D$3*H2877/k_n</f>
        <v/>
      </c>
      <c r="U2877">
        <f>N2877-G2877*LTP3!$D$4/k_n</f>
        <v/>
      </c>
      <c r="V2877">
        <f>O2877-H2877*LTP3!$D$4/k_n</f>
        <v/>
      </c>
      <c r="W2877">
        <f>((LTP3!$D$5)*((P2877)*(Q2877)-(R2877)*(R2877))-(S2877)*((S2877)*(Q2877)-(R2877)*(T2877))+(T2877)*((S2877)*(R2877)-(P2877)*(T2877)))</f>
        <v/>
      </c>
      <c r="X2877">
        <f>IF(ABS(W2877)&gt;1E-12,((LTP3!$D$6)*((P2877)*(Q2877)-(R2877)*(R2877))-(S2877)*((U2877)*(Q2877)-(R2877)*(V2877))+(T2877)*((U2877)*(R2877)-(P2877)*(V2877)))/W2877,0)</f>
        <v/>
      </c>
      <c r="Y2877">
        <f>IF(ABS(W2877)&gt;1E-12,((LTP3!$D$5)*((U2877)*(Q2877)-(R2877)*(V2877))-(LTP3!$D$6)*((S2877)*(Q2877)-(R2877)*(T2877))+(T2877)*((S2877)*(V2877)-(U2877)*(T2877)))/W2877,0)</f>
        <v/>
      </c>
      <c r="Z2877">
        <f>IF(ABS(W2877)&gt;1E-12,((LTP3!$D$5)*((P2877)*(V2877)-(U2877)*(R2877))-(S2877)*((S2877)*(V2877)-(U2877)*(T2877))+(LTP3!$D$6)*((S2877)*(R2877)-(P2877)*(T2877)))/W2877,0)</f>
        <v/>
      </c>
      <c r="AA2877">
        <f>LTP3!$D$7-X2877*LTP3!$D$6-Y2877*U2877-Z2877*V2877</f>
        <v/>
      </c>
      <c r="AB2877">
        <f>IF(AND(F2877,ABS(W2877)&gt;1E-12,Y2877&gt;0,Z2877&gt;0),AA2877,1E+300)</f>
        <v/>
      </c>
    </row>
    <row r="2878">
      <c r="A2878">
        <f>$B$3+$B$5*46</f>
        <v/>
      </c>
      <c r="B2878">
        <f>$B$3+$B$5*60</f>
        <v/>
      </c>
      <c r="C2878">
        <f>SUMPRODUCT(Calc!$K$3:$K$22*(Calc!$G$3:$G$22&lt;=A2878))</f>
        <v/>
      </c>
      <c r="D2878">
        <f>SUMPRODUCT(Calc!$K$3:$K$22*(Calc!$G$3:$G$22&gt;A2878)*(Calc!$G$3:$G$22&lt;B2878))</f>
        <v/>
      </c>
      <c r="E2878">
        <f>SUMPRODUCT(Calc!$K$3:$K$22*(Calc!$G$3:$G$22&gt;=B2878))</f>
        <v/>
      </c>
      <c r="F2878">
        <f>AND(k_n&gt;=5,B2878&gt;A2878+1E-9,C2878&gt;=2,D2878&gt;=1,E2878&gt;=2)</f>
        <v/>
      </c>
      <c r="G2878">
        <f>SUMPRODUCT(Calc!$K$3:$K$22*(Calc!$G$3:$G$22&gt;A2878)*(Calc!$G$3:$G$22-A2878))</f>
        <v/>
      </c>
      <c r="H2878">
        <f>SUMPRODUCT(Calc!$K$3:$K$22*(Calc!$G$3:$G$22&gt;B2878)*(Calc!$G$3:$G$22-B2878))</f>
        <v/>
      </c>
      <c r="I2878">
        <f>SUMPRODUCT(Calc!$K$3:$K$22*(Calc!$G$3:$G$22&gt;A2878)*(Calc!$G$3:$G$22-A2878)^2)</f>
        <v/>
      </c>
      <c r="J2878">
        <f>SUMPRODUCT(Calc!$K$3:$K$22*(Calc!$G$3:$G$22&gt;B2878)*(Calc!$G$3:$G$22-B2878)^2)</f>
        <v/>
      </c>
      <c r="K2878">
        <f>SUMPRODUCT(Calc!$K$3:$K$22*(Calc!$G$3:$G$22&gt;A2878)*(Calc!$G$3:$G$22-A2878)*(Calc!$G$3:$G$22&gt;B2878)*(Calc!$G$3:$G$22-B2878))</f>
        <v/>
      </c>
      <c r="L2878">
        <f>SUMPRODUCT(Calc!$K$3:$K$22*(Calc!$G$3:$G$22&gt;A2878)*(Calc!$G$3:$G$22-A2878)*Calc!$G$3:$G$22)</f>
        <v/>
      </c>
      <c r="M2878">
        <f>SUMPRODUCT(Calc!$K$3:$K$22*(Calc!$G$3:$G$22&gt;B2878)*(Calc!$G$3:$G$22-B2878)*Calc!$G$3:$G$22)</f>
        <v/>
      </c>
      <c r="N2878">
        <f>SUMPRODUCT(Calc!$K$3:$K$22*(Calc!$G$3:$G$22&gt;A2878)*(Calc!$G$3:$G$22-A2878)*Calc!$I$3:$I$22)</f>
        <v/>
      </c>
      <c r="O2878">
        <f>SUMPRODUCT(Calc!$K$3:$K$22*(Calc!$G$3:$G$22&gt;B2878)*(Calc!$G$3:$G$22-B2878)*Calc!$I$3:$I$22)</f>
        <v/>
      </c>
      <c r="P2878">
        <f>I2878-G2878^2/k_n</f>
        <v/>
      </c>
      <c r="Q2878">
        <f>J2878-H2878^2/k_n</f>
        <v/>
      </c>
      <c r="R2878">
        <f>K2878-G2878*H2878/k_n</f>
        <v/>
      </c>
      <c r="S2878">
        <f>L2878-LTP3!$D$3*G2878/k_n</f>
        <v/>
      </c>
      <c r="T2878">
        <f>M2878-LTP3!$D$3*H2878/k_n</f>
        <v/>
      </c>
      <c r="U2878">
        <f>N2878-G2878*LTP3!$D$4/k_n</f>
        <v/>
      </c>
      <c r="V2878">
        <f>O2878-H2878*LTP3!$D$4/k_n</f>
        <v/>
      </c>
      <c r="W2878">
        <f>((LTP3!$D$5)*((P2878)*(Q2878)-(R2878)*(R2878))-(S2878)*((S2878)*(Q2878)-(R2878)*(T2878))+(T2878)*((S2878)*(R2878)-(P2878)*(T2878)))</f>
        <v/>
      </c>
      <c r="X2878">
        <f>IF(ABS(W2878)&gt;1E-12,((LTP3!$D$6)*((P2878)*(Q2878)-(R2878)*(R2878))-(S2878)*((U2878)*(Q2878)-(R2878)*(V2878))+(T2878)*((U2878)*(R2878)-(P2878)*(V2878)))/W2878,0)</f>
        <v/>
      </c>
      <c r="Y2878">
        <f>IF(ABS(W2878)&gt;1E-12,((LTP3!$D$5)*((U2878)*(Q2878)-(R2878)*(V2878))-(LTP3!$D$6)*((S2878)*(Q2878)-(R2878)*(T2878))+(T2878)*((S2878)*(V2878)-(U2878)*(T2878)))/W2878,0)</f>
        <v/>
      </c>
      <c r="Z2878">
        <f>IF(ABS(W2878)&gt;1E-12,((LTP3!$D$5)*((P2878)*(V2878)-(U2878)*(R2878))-(S2878)*((S2878)*(V2878)-(U2878)*(T2878))+(LTP3!$D$6)*((S2878)*(R2878)-(P2878)*(T2878)))/W2878,0)</f>
        <v/>
      </c>
      <c r="AA2878">
        <f>LTP3!$D$7-X2878*LTP3!$D$6-Y2878*U2878-Z2878*V2878</f>
        <v/>
      </c>
      <c r="AB2878">
        <f>IF(AND(F2878,ABS(W2878)&gt;1E-12,Y2878&gt;0,Z2878&gt;0),AA2878,1E+300)</f>
        <v/>
      </c>
    </row>
    <row r="2879">
      <c r="A2879">
        <f>$B$3+$B$5*47</f>
        <v/>
      </c>
      <c r="B2879">
        <f>$B$3+$B$5*0</f>
        <v/>
      </c>
      <c r="C2879">
        <f>SUMPRODUCT(Calc!$K$3:$K$22*(Calc!$G$3:$G$22&lt;=A2879))</f>
        <v/>
      </c>
      <c r="D2879">
        <f>SUMPRODUCT(Calc!$K$3:$K$22*(Calc!$G$3:$G$22&gt;A2879)*(Calc!$G$3:$G$22&lt;B2879))</f>
        <v/>
      </c>
      <c r="E2879">
        <f>SUMPRODUCT(Calc!$K$3:$K$22*(Calc!$G$3:$G$22&gt;=B2879))</f>
        <v/>
      </c>
      <c r="F2879">
        <f>AND(k_n&gt;=5,B2879&gt;A2879+1E-9,C2879&gt;=2,D2879&gt;=1,E2879&gt;=2)</f>
        <v/>
      </c>
      <c r="G2879">
        <f>SUMPRODUCT(Calc!$K$3:$K$22*(Calc!$G$3:$G$22&gt;A2879)*(Calc!$G$3:$G$22-A2879))</f>
        <v/>
      </c>
      <c r="H2879">
        <f>SUMPRODUCT(Calc!$K$3:$K$22*(Calc!$G$3:$G$22&gt;B2879)*(Calc!$G$3:$G$22-B2879))</f>
        <v/>
      </c>
      <c r="I2879">
        <f>SUMPRODUCT(Calc!$K$3:$K$22*(Calc!$G$3:$G$22&gt;A2879)*(Calc!$G$3:$G$22-A2879)^2)</f>
        <v/>
      </c>
      <c r="J2879">
        <f>SUMPRODUCT(Calc!$K$3:$K$22*(Calc!$G$3:$G$22&gt;B2879)*(Calc!$G$3:$G$22-B2879)^2)</f>
        <v/>
      </c>
      <c r="K2879">
        <f>SUMPRODUCT(Calc!$K$3:$K$22*(Calc!$G$3:$G$22&gt;A2879)*(Calc!$G$3:$G$22-A2879)*(Calc!$G$3:$G$22&gt;B2879)*(Calc!$G$3:$G$22-B2879))</f>
        <v/>
      </c>
      <c r="L2879">
        <f>SUMPRODUCT(Calc!$K$3:$K$22*(Calc!$G$3:$G$22&gt;A2879)*(Calc!$G$3:$G$22-A2879)*Calc!$G$3:$G$22)</f>
        <v/>
      </c>
      <c r="M2879">
        <f>SUMPRODUCT(Calc!$K$3:$K$22*(Calc!$G$3:$G$22&gt;B2879)*(Calc!$G$3:$G$22-B2879)*Calc!$G$3:$G$22)</f>
        <v/>
      </c>
      <c r="N2879">
        <f>SUMPRODUCT(Calc!$K$3:$K$22*(Calc!$G$3:$G$22&gt;A2879)*(Calc!$G$3:$G$22-A2879)*Calc!$I$3:$I$22)</f>
        <v/>
      </c>
      <c r="O2879">
        <f>SUMPRODUCT(Calc!$K$3:$K$22*(Calc!$G$3:$G$22&gt;B2879)*(Calc!$G$3:$G$22-B2879)*Calc!$I$3:$I$22)</f>
        <v/>
      </c>
      <c r="P2879">
        <f>I2879-G2879^2/k_n</f>
        <v/>
      </c>
      <c r="Q2879">
        <f>J2879-H2879^2/k_n</f>
        <v/>
      </c>
      <c r="R2879">
        <f>K2879-G2879*H2879/k_n</f>
        <v/>
      </c>
      <c r="S2879">
        <f>L2879-LTP3!$D$3*G2879/k_n</f>
        <v/>
      </c>
      <c r="T2879">
        <f>M2879-LTP3!$D$3*H2879/k_n</f>
        <v/>
      </c>
      <c r="U2879">
        <f>N2879-G2879*LTP3!$D$4/k_n</f>
        <v/>
      </c>
      <c r="V2879">
        <f>O2879-H2879*LTP3!$D$4/k_n</f>
        <v/>
      </c>
      <c r="W2879">
        <f>((LTP3!$D$5)*((P2879)*(Q2879)-(R2879)*(R2879))-(S2879)*((S2879)*(Q2879)-(R2879)*(T2879))+(T2879)*((S2879)*(R2879)-(P2879)*(T2879)))</f>
        <v/>
      </c>
      <c r="X2879">
        <f>IF(ABS(W2879)&gt;1E-12,((LTP3!$D$6)*((P2879)*(Q2879)-(R2879)*(R2879))-(S2879)*((U2879)*(Q2879)-(R2879)*(V2879))+(T2879)*((U2879)*(R2879)-(P2879)*(V2879)))/W2879,0)</f>
        <v/>
      </c>
      <c r="Y2879">
        <f>IF(ABS(W2879)&gt;1E-12,((LTP3!$D$5)*((U2879)*(Q2879)-(R2879)*(V2879))-(LTP3!$D$6)*((S2879)*(Q2879)-(R2879)*(T2879))+(T2879)*((S2879)*(V2879)-(U2879)*(T2879)))/W2879,0)</f>
        <v/>
      </c>
      <c r="Z2879">
        <f>IF(ABS(W2879)&gt;1E-12,((LTP3!$D$5)*((P2879)*(V2879)-(U2879)*(R2879))-(S2879)*((S2879)*(V2879)-(U2879)*(T2879))+(LTP3!$D$6)*((S2879)*(R2879)-(P2879)*(T2879)))/W2879,0)</f>
        <v/>
      </c>
      <c r="AA2879">
        <f>LTP3!$D$7-X2879*LTP3!$D$6-Y2879*U2879-Z2879*V2879</f>
        <v/>
      </c>
      <c r="AB2879">
        <f>IF(AND(F2879,ABS(W2879)&gt;1E-12,Y2879&gt;0,Z2879&gt;0),AA2879,1E+300)</f>
        <v/>
      </c>
    </row>
    <row r="2880">
      <c r="A2880">
        <f>$B$3+$B$5*47</f>
        <v/>
      </c>
      <c r="B2880">
        <f>$B$3+$B$5*1</f>
        <v/>
      </c>
      <c r="C2880">
        <f>SUMPRODUCT(Calc!$K$3:$K$22*(Calc!$G$3:$G$22&lt;=A2880))</f>
        <v/>
      </c>
      <c r="D2880">
        <f>SUMPRODUCT(Calc!$K$3:$K$22*(Calc!$G$3:$G$22&gt;A2880)*(Calc!$G$3:$G$22&lt;B2880))</f>
        <v/>
      </c>
      <c r="E2880">
        <f>SUMPRODUCT(Calc!$K$3:$K$22*(Calc!$G$3:$G$22&gt;=B2880))</f>
        <v/>
      </c>
      <c r="F2880">
        <f>AND(k_n&gt;=5,B2880&gt;A2880+1E-9,C2880&gt;=2,D2880&gt;=1,E2880&gt;=2)</f>
        <v/>
      </c>
      <c r="G2880">
        <f>SUMPRODUCT(Calc!$K$3:$K$22*(Calc!$G$3:$G$22&gt;A2880)*(Calc!$G$3:$G$22-A2880))</f>
        <v/>
      </c>
      <c r="H2880">
        <f>SUMPRODUCT(Calc!$K$3:$K$22*(Calc!$G$3:$G$22&gt;B2880)*(Calc!$G$3:$G$22-B2880))</f>
        <v/>
      </c>
      <c r="I2880">
        <f>SUMPRODUCT(Calc!$K$3:$K$22*(Calc!$G$3:$G$22&gt;A2880)*(Calc!$G$3:$G$22-A2880)^2)</f>
        <v/>
      </c>
      <c r="J2880">
        <f>SUMPRODUCT(Calc!$K$3:$K$22*(Calc!$G$3:$G$22&gt;B2880)*(Calc!$G$3:$G$22-B2880)^2)</f>
        <v/>
      </c>
      <c r="K2880">
        <f>SUMPRODUCT(Calc!$K$3:$K$22*(Calc!$G$3:$G$22&gt;A2880)*(Calc!$G$3:$G$22-A2880)*(Calc!$G$3:$G$22&gt;B2880)*(Calc!$G$3:$G$22-B2880))</f>
        <v/>
      </c>
      <c r="L2880">
        <f>SUMPRODUCT(Calc!$K$3:$K$22*(Calc!$G$3:$G$22&gt;A2880)*(Calc!$G$3:$G$22-A2880)*Calc!$G$3:$G$22)</f>
        <v/>
      </c>
      <c r="M2880">
        <f>SUMPRODUCT(Calc!$K$3:$K$22*(Calc!$G$3:$G$22&gt;B2880)*(Calc!$G$3:$G$22-B2880)*Calc!$G$3:$G$22)</f>
        <v/>
      </c>
      <c r="N2880">
        <f>SUMPRODUCT(Calc!$K$3:$K$22*(Calc!$G$3:$G$22&gt;A2880)*(Calc!$G$3:$G$22-A2880)*Calc!$I$3:$I$22)</f>
        <v/>
      </c>
      <c r="O2880">
        <f>SUMPRODUCT(Calc!$K$3:$K$22*(Calc!$G$3:$G$22&gt;B2880)*(Calc!$G$3:$G$22-B2880)*Calc!$I$3:$I$22)</f>
        <v/>
      </c>
      <c r="P2880">
        <f>I2880-G2880^2/k_n</f>
        <v/>
      </c>
      <c r="Q2880">
        <f>J2880-H2880^2/k_n</f>
        <v/>
      </c>
      <c r="R2880">
        <f>K2880-G2880*H2880/k_n</f>
        <v/>
      </c>
      <c r="S2880">
        <f>L2880-LTP3!$D$3*G2880/k_n</f>
        <v/>
      </c>
      <c r="T2880">
        <f>M2880-LTP3!$D$3*H2880/k_n</f>
        <v/>
      </c>
      <c r="U2880">
        <f>N2880-G2880*LTP3!$D$4/k_n</f>
        <v/>
      </c>
      <c r="V2880">
        <f>O2880-H2880*LTP3!$D$4/k_n</f>
        <v/>
      </c>
      <c r="W2880">
        <f>((LTP3!$D$5)*((P2880)*(Q2880)-(R2880)*(R2880))-(S2880)*((S2880)*(Q2880)-(R2880)*(T2880))+(T2880)*((S2880)*(R2880)-(P2880)*(T2880)))</f>
        <v/>
      </c>
      <c r="X2880">
        <f>IF(ABS(W2880)&gt;1E-12,((LTP3!$D$6)*((P2880)*(Q2880)-(R2880)*(R2880))-(S2880)*((U2880)*(Q2880)-(R2880)*(V2880))+(T2880)*((U2880)*(R2880)-(P2880)*(V2880)))/W2880,0)</f>
        <v/>
      </c>
      <c r="Y2880">
        <f>IF(ABS(W2880)&gt;1E-12,((LTP3!$D$5)*((U2880)*(Q2880)-(R2880)*(V2880))-(LTP3!$D$6)*((S2880)*(Q2880)-(R2880)*(T2880))+(T2880)*((S2880)*(V2880)-(U2880)*(T2880)))/W2880,0)</f>
        <v/>
      </c>
      <c r="Z2880">
        <f>IF(ABS(W2880)&gt;1E-12,((LTP3!$D$5)*((P2880)*(V2880)-(U2880)*(R2880))-(S2880)*((S2880)*(V2880)-(U2880)*(T2880))+(LTP3!$D$6)*((S2880)*(R2880)-(P2880)*(T2880)))/W2880,0)</f>
        <v/>
      </c>
      <c r="AA2880">
        <f>LTP3!$D$7-X2880*LTP3!$D$6-Y2880*U2880-Z2880*V2880</f>
        <v/>
      </c>
      <c r="AB2880">
        <f>IF(AND(F2880,ABS(W2880)&gt;1E-12,Y2880&gt;0,Z2880&gt;0),AA2880,1E+300)</f>
        <v/>
      </c>
    </row>
    <row r="2881">
      <c r="A2881">
        <f>$B$3+$B$5*47</f>
        <v/>
      </c>
      <c r="B2881">
        <f>$B$3+$B$5*2</f>
        <v/>
      </c>
      <c r="C2881">
        <f>SUMPRODUCT(Calc!$K$3:$K$22*(Calc!$G$3:$G$22&lt;=A2881))</f>
        <v/>
      </c>
      <c r="D2881">
        <f>SUMPRODUCT(Calc!$K$3:$K$22*(Calc!$G$3:$G$22&gt;A2881)*(Calc!$G$3:$G$22&lt;B2881))</f>
        <v/>
      </c>
      <c r="E2881">
        <f>SUMPRODUCT(Calc!$K$3:$K$22*(Calc!$G$3:$G$22&gt;=B2881))</f>
        <v/>
      </c>
      <c r="F2881">
        <f>AND(k_n&gt;=5,B2881&gt;A2881+1E-9,C2881&gt;=2,D2881&gt;=1,E2881&gt;=2)</f>
        <v/>
      </c>
      <c r="G2881">
        <f>SUMPRODUCT(Calc!$K$3:$K$22*(Calc!$G$3:$G$22&gt;A2881)*(Calc!$G$3:$G$22-A2881))</f>
        <v/>
      </c>
      <c r="H2881">
        <f>SUMPRODUCT(Calc!$K$3:$K$22*(Calc!$G$3:$G$22&gt;B2881)*(Calc!$G$3:$G$22-B2881))</f>
        <v/>
      </c>
      <c r="I2881">
        <f>SUMPRODUCT(Calc!$K$3:$K$22*(Calc!$G$3:$G$22&gt;A2881)*(Calc!$G$3:$G$22-A2881)^2)</f>
        <v/>
      </c>
      <c r="J2881">
        <f>SUMPRODUCT(Calc!$K$3:$K$22*(Calc!$G$3:$G$22&gt;B2881)*(Calc!$G$3:$G$22-B2881)^2)</f>
        <v/>
      </c>
      <c r="K2881">
        <f>SUMPRODUCT(Calc!$K$3:$K$22*(Calc!$G$3:$G$22&gt;A2881)*(Calc!$G$3:$G$22-A2881)*(Calc!$G$3:$G$22&gt;B2881)*(Calc!$G$3:$G$22-B2881))</f>
        <v/>
      </c>
      <c r="L2881">
        <f>SUMPRODUCT(Calc!$K$3:$K$22*(Calc!$G$3:$G$22&gt;A2881)*(Calc!$G$3:$G$22-A2881)*Calc!$G$3:$G$22)</f>
        <v/>
      </c>
      <c r="M2881">
        <f>SUMPRODUCT(Calc!$K$3:$K$22*(Calc!$G$3:$G$22&gt;B2881)*(Calc!$G$3:$G$22-B2881)*Calc!$G$3:$G$22)</f>
        <v/>
      </c>
      <c r="N2881">
        <f>SUMPRODUCT(Calc!$K$3:$K$22*(Calc!$G$3:$G$22&gt;A2881)*(Calc!$G$3:$G$22-A2881)*Calc!$I$3:$I$22)</f>
        <v/>
      </c>
      <c r="O2881">
        <f>SUMPRODUCT(Calc!$K$3:$K$22*(Calc!$G$3:$G$22&gt;B2881)*(Calc!$G$3:$G$22-B2881)*Calc!$I$3:$I$22)</f>
        <v/>
      </c>
      <c r="P2881">
        <f>I2881-G2881^2/k_n</f>
        <v/>
      </c>
      <c r="Q2881">
        <f>J2881-H2881^2/k_n</f>
        <v/>
      </c>
      <c r="R2881">
        <f>K2881-G2881*H2881/k_n</f>
        <v/>
      </c>
      <c r="S2881">
        <f>L2881-LTP3!$D$3*G2881/k_n</f>
        <v/>
      </c>
      <c r="T2881">
        <f>M2881-LTP3!$D$3*H2881/k_n</f>
        <v/>
      </c>
      <c r="U2881">
        <f>N2881-G2881*LTP3!$D$4/k_n</f>
        <v/>
      </c>
      <c r="V2881">
        <f>O2881-H2881*LTP3!$D$4/k_n</f>
        <v/>
      </c>
      <c r="W2881">
        <f>((LTP3!$D$5)*((P2881)*(Q2881)-(R2881)*(R2881))-(S2881)*((S2881)*(Q2881)-(R2881)*(T2881))+(T2881)*((S2881)*(R2881)-(P2881)*(T2881)))</f>
        <v/>
      </c>
      <c r="X2881">
        <f>IF(ABS(W2881)&gt;1E-12,((LTP3!$D$6)*((P2881)*(Q2881)-(R2881)*(R2881))-(S2881)*((U2881)*(Q2881)-(R2881)*(V2881))+(T2881)*((U2881)*(R2881)-(P2881)*(V2881)))/W2881,0)</f>
        <v/>
      </c>
      <c r="Y2881">
        <f>IF(ABS(W2881)&gt;1E-12,((LTP3!$D$5)*((U2881)*(Q2881)-(R2881)*(V2881))-(LTP3!$D$6)*((S2881)*(Q2881)-(R2881)*(T2881))+(T2881)*((S2881)*(V2881)-(U2881)*(T2881)))/W2881,0)</f>
        <v/>
      </c>
      <c r="Z2881">
        <f>IF(ABS(W2881)&gt;1E-12,((LTP3!$D$5)*((P2881)*(V2881)-(U2881)*(R2881))-(S2881)*((S2881)*(V2881)-(U2881)*(T2881))+(LTP3!$D$6)*((S2881)*(R2881)-(P2881)*(T2881)))/W2881,0)</f>
        <v/>
      </c>
      <c r="AA2881">
        <f>LTP3!$D$7-X2881*LTP3!$D$6-Y2881*U2881-Z2881*V2881</f>
        <v/>
      </c>
      <c r="AB2881">
        <f>IF(AND(F2881,ABS(W2881)&gt;1E-12,Y2881&gt;0,Z2881&gt;0),AA2881,1E+300)</f>
        <v/>
      </c>
    </row>
    <row r="2882">
      <c r="A2882">
        <f>$B$3+$B$5*47</f>
        <v/>
      </c>
      <c r="B2882">
        <f>$B$3+$B$5*3</f>
        <v/>
      </c>
      <c r="C2882">
        <f>SUMPRODUCT(Calc!$K$3:$K$22*(Calc!$G$3:$G$22&lt;=A2882))</f>
        <v/>
      </c>
      <c r="D2882">
        <f>SUMPRODUCT(Calc!$K$3:$K$22*(Calc!$G$3:$G$22&gt;A2882)*(Calc!$G$3:$G$22&lt;B2882))</f>
        <v/>
      </c>
      <c r="E2882">
        <f>SUMPRODUCT(Calc!$K$3:$K$22*(Calc!$G$3:$G$22&gt;=B2882))</f>
        <v/>
      </c>
      <c r="F2882">
        <f>AND(k_n&gt;=5,B2882&gt;A2882+1E-9,C2882&gt;=2,D2882&gt;=1,E2882&gt;=2)</f>
        <v/>
      </c>
      <c r="G2882">
        <f>SUMPRODUCT(Calc!$K$3:$K$22*(Calc!$G$3:$G$22&gt;A2882)*(Calc!$G$3:$G$22-A2882))</f>
        <v/>
      </c>
      <c r="H2882">
        <f>SUMPRODUCT(Calc!$K$3:$K$22*(Calc!$G$3:$G$22&gt;B2882)*(Calc!$G$3:$G$22-B2882))</f>
        <v/>
      </c>
      <c r="I2882">
        <f>SUMPRODUCT(Calc!$K$3:$K$22*(Calc!$G$3:$G$22&gt;A2882)*(Calc!$G$3:$G$22-A2882)^2)</f>
        <v/>
      </c>
      <c r="J2882">
        <f>SUMPRODUCT(Calc!$K$3:$K$22*(Calc!$G$3:$G$22&gt;B2882)*(Calc!$G$3:$G$22-B2882)^2)</f>
        <v/>
      </c>
      <c r="K2882">
        <f>SUMPRODUCT(Calc!$K$3:$K$22*(Calc!$G$3:$G$22&gt;A2882)*(Calc!$G$3:$G$22-A2882)*(Calc!$G$3:$G$22&gt;B2882)*(Calc!$G$3:$G$22-B2882))</f>
        <v/>
      </c>
      <c r="L2882">
        <f>SUMPRODUCT(Calc!$K$3:$K$22*(Calc!$G$3:$G$22&gt;A2882)*(Calc!$G$3:$G$22-A2882)*Calc!$G$3:$G$22)</f>
        <v/>
      </c>
      <c r="M2882">
        <f>SUMPRODUCT(Calc!$K$3:$K$22*(Calc!$G$3:$G$22&gt;B2882)*(Calc!$G$3:$G$22-B2882)*Calc!$G$3:$G$22)</f>
        <v/>
      </c>
      <c r="N2882">
        <f>SUMPRODUCT(Calc!$K$3:$K$22*(Calc!$G$3:$G$22&gt;A2882)*(Calc!$G$3:$G$22-A2882)*Calc!$I$3:$I$22)</f>
        <v/>
      </c>
      <c r="O2882">
        <f>SUMPRODUCT(Calc!$K$3:$K$22*(Calc!$G$3:$G$22&gt;B2882)*(Calc!$G$3:$G$22-B2882)*Calc!$I$3:$I$22)</f>
        <v/>
      </c>
      <c r="P2882">
        <f>I2882-G2882^2/k_n</f>
        <v/>
      </c>
      <c r="Q2882">
        <f>J2882-H2882^2/k_n</f>
        <v/>
      </c>
      <c r="R2882">
        <f>K2882-G2882*H2882/k_n</f>
        <v/>
      </c>
      <c r="S2882">
        <f>L2882-LTP3!$D$3*G2882/k_n</f>
        <v/>
      </c>
      <c r="T2882">
        <f>M2882-LTP3!$D$3*H2882/k_n</f>
        <v/>
      </c>
      <c r="U2882">
        <f>N2882-G2882*LTP3!$D$4/k_n</f>
        <v/>
      </c>
      <c r="V2882">
        <f>O2882-H2882*LTP3!$D$4/k_n</f>
        <v/>
      </c>
      <c r="W2882">
        <f>((LTP3!$D$5)*((P2882)*(Q2882)-(R2882)*(R2882))-(S2882)*((S2882)*(Q2882)-(R2882)*(T2882))+(T2882)*((S2882)*(R2882)-(P2882)*(T2882)))</f>
        <v/>
      </c>
      <c r="X2882">
        <f>IF(ABS(W2882)&gt;1E-12,((LTP3!$D$6)*((P2882)*(Q2882)-(R2882)*(R2882))-(S2882)*((U2882)*(Q2882)-(R2882)*(V2882))+(T2882)*((U2882)*(R2882)-(P2882)*(V2882)))/W2882,0)</f>
        <v/>
      </c>
      <c r="Y2882">
        <f>IF(ABS(W2882)&gt;1E-12,((LTP3!$D$5)*((U2882)*(Q2882)-(R2882)*(V2882))-(LTP3!$D$6)*((S2882)*(Q2882)-(R2882)*(T2882))+(T2882)*((S2882)*(V2882)-(U2882)*(T2882)))/W2882,0)</f>
        <v/>
      </c>
      <c r="Z2882">
        <f>IF(ABS(W2882)&gt;1E-12,((LTP3!$D$5)*((P2882)*(V2882)-(U2882)*(R2882))-(S2882)*((S2882)*(V2882)-(U2882)*(T2882))+(LTP3!$D$6)*((S2882)*(R2882)-(P2882)*(T2882)))/W2882,0)</f>
        <v/>
      </c>
      <c r="AA2882">
        <f>LTP3!$D$7-X2882*LTP3!$D$6-Y2882*U2882-Z2882*V2882</f>
        <v/>
      </c>
      <c r="AB2882">
        <f>IF(AND(F2882,ABS(W2882)&gt;1E-12,Y2882&gt;0,Z2882&gt;0),AA2882,1E+300)</f>
        <v/>
      </c>
    </row>
    <row r="2883">
      <c r="A2883">
        <f>$B$3+$B$5*47</f>
        <v/>
      </c>
      <c r="B2883">
        <f>$B$3+$B$5*4</f>
        <v/>
      </c>
      <c r="C2883">
        <f>SUMPRODUCT(Calc!$K$3:$K$22*(Calc!$G$3:$G$22&lt;=A2883))</f>
        <v/>
      </c>
      <c r="D2883">
        <f>SUMPRODUCT(Calc!$K$3:$K$22*(Calc!$G$3:$G$22&gt;A2883)*(Calc!$G$3:$G$22&lt;B2883))</f>
        <v/>
      </c>
      <c r="E2883">
        <f>SUMPRODUCT(Calc!$K$3:$K$22*(Calc!$G$3:$G$22&gt;=B2883))</f>
        <v/>
      </c>
      <c r="F2883">
        <f>AND(k_n&gt;=5,B2883&gt;A2883+1E-9,C2883&gt;=2,D2883&gt;=1,E2883&gt;=2)</f>
        <v/>
      </c>
      <c r="G2883">
        <f>SUMPRODUCT(Calc!$K$3:$K$22*(Calc!$G$3:$G$22&gt;A2883)*(Calc!$G$3:$G$22-A2883))</f>
        <v/>
      </c>
      <c r="H2883">
        <f>SUMPRODUCT(Calc!$K$3:$K$22*(Calc!$G$3:$G$22&gt;B2883)*(Calc!$G$3:$G$22-B2883))</f>
        <v/>
      </c>
      <c r="I2883">
        <f>SUMPRODUCT(Calc!$K$3:$K$22*(Calc!$G$3:$G$22&gt;A2883)*(Calc!$G$3:$G$22-A2883)^2)</f>
        <v/>
      </c>
      <c r="J2883">
        <f>SUMPRODUCT(Calc!$K$3:$K$22*(Calc!$G$3:$G$22&gt;B2883)*(Calc!$G$3:$G$22-B2883)^2)</f>
        <v/>
      </c>
      <c r="K2883">
        <f>SUMPRODUCT(Calc!$K$3:$K$22*(Calc!$G$3:$G$22&gt;A2883)*(Calc!$G$3:$G$22-A2883)*(Calc!$G$3:$G$22&gt;B2883)*(Calc!$G$3:$G$22-B2883))</f>
        <v/>
      </c>
      <c r="L2883">
        <f>SUMPRODUCT(Calc!$K$3:$K$22*(Calc!$G$3:$G$22&gt;A2883)*(Calc!$G$3:$G$22-A2883)*Calc!$G$3:$G$22)</f>
        <v/>
      </c>
      <c r="M2883">
        <f>SUMPRODUCT(Calc!$K$3:$K$22*(Calc!$G$3:$G$22&gt;B2883)*(Calc!$G$3:$G$22-B2883)*Calc!$G$3:$G$22)</f>
        <v/>
      </c>
      <c r="N2883">
        <f>SUMPRODUCT(Calc!$K$3:$K$22*(Calc!$G$3:$G$22&gt;A2883)*(Calc!$G$3:$G$22-A2883)*Calc!$I$3:$I$22)</f>
        <v/>
      </c>
      <c r="O2883">
        <f>SUMPRODUCT(Calc!$K$3:$K$22*(Calc!$G$3:$G$22&gt;B2883)*(Calc!$G$3:$G$22-B2883)*Calc!$I$3:$I$22)</f>
        <v/>
      </c>
      <c r="P2883">
        <f>I2883-G2883^2/k_n</f>
        <v/>
      </c>
      <c r="Q2883">
        <f>J2883-H2883^2/k_n</f>
        <v/>
      </c>
      <c r="R2883">
        <f>K2883-G2883*H2883/k_n</f>
        <v/>
      </c>
      <c r="S2883">
        <f>L2883-LTP3!$D$3*G2883/k_n</f>
        <v/>
      </c>
      <c r="T2883">
        <f>M2883-LTP3!$D$3*H2883/k_n</f>
        <v/>
      </c>
      <c r="U2883">
        <f>N2883-G2883*LTP3!$D$4/k_n</f>
        <v/>
      </c>
      <c r="V2883">
        <f>O2883-H2883*LTP3!$D$4/k_n</f>
        <v/>
      </c>
      <c r="W2883">
        <f>((LTP3!$D$5)*((P2883)*(Q2883)-(R2883)*(R2883))-(S2883)*((S2883)*(Q2883)-(R2883)*(T2883))+(T2883)*((S2883)*(R2883)-(P2883)*(T2883)))</f>
        <v/>
      </c>
      <c r="X2883">
        <f>IF(ABS(W2883)&gt;1E-12,((LTP3!$D$6)*((P2883)*(Q2883)-(R2883)*(R2883))-(S2883)*((U2883)*(Q2883)-(R2883)*(V2883))+(T2883)*((U2883)*(R2883)-(P2883)*(V2883)))/W2883,0)</f>
        <v/>
      </c>
      <c r="Y2883">
        <f>IF(ABS(W2883)&gt;1E-12,((LTP3!$D$5)*((U2883)*(Q2883)-(R2883)*(V2883))-(LTP3!$D$6)*((S2883)*(Q2883)-(R2883)*(T2883))+(T2883)*((S2883)*(V2883)-(U2883)*(T2883)))/W2883,0)</f>
        <v/>
      </c>
      <c r="Z2883">
        <f>IF(ABS(W2883)&gt;1E-12,((LTP3!$D$5)*((P2883)*(V2883)-(U2883)*(R2883))-(S2883)*((S2883)*(V2883)-(U2883)*(T2883))+(LTP3!$D$6)*((S2883)*(R2883)-(P2883)*(T2883)))/W2883,0)</f>
        <v/>
      </c>
      <c r="AA2883">
        <f>LTP3!$D$7-X2883*LTP3!$D$6-Y2883*U2883-Z2883*V2883</f>
        <v/>
      </c>
      <c r="AB2883">
        <f>IF(AND(F2883,ABS(W2883)&gt;1E-12,Y2883&gt;0,Z2883&gt;0),AA2883,1E+300)</f>
        <v/>
      </c>
    </row>
    <row r="2884">
      <c r="A2884">
        <f>$B$3+$B$5*47</f>
        <v/>
      </c>
      <c r="B2884">
        <f>$B$3+$B$5*5</f>
        <v/>
      </c>
      <c r="C2884">
        <f>SUMPRODUCT(Calc!$K$3:$K$22*(Calc!$G$3:$G$22&lt;=A2884))</f>
        <v/>
      </c>
      <c r="D2884">
        <f>SUMPRODUCT(Calc!$K$3:$K$22*(Calc!$G$3:$G$22&gt;A2884)*(Calc!$G$3:$G$22&lt;B2884))</f>
        <v/>
      </c>
      <c r="E2884">
        <f>SUMPRODUCT(Calc!$K$3:$K$22*(Calc!$G$3:$G$22&gt;=B2884))</f>
        <v/>
      </c>
      <c r="F2884">
        <f>AND(k_n&gt;=5,B2884&gt;A2884+1E-9,C2884&gt;=2,D2884&gt;=1,E2884&gt;=2)</f>
        <v/>
      </c>
      <c r="G2884">
        <f>SUMPRODUCT(Calc!$K$3:$K$22*(Calc!$G$3:$G$22&gt;A2884)*(Calc!$G$3:$G$22-A2884))</f>
        <v/>
      </c>
      <c r="H2884">
        <f>SUMPRODUCT(Calc!$K$3:$K$22*(Calc!$G$3:$G$22&gt;B2884)*(Calc!$G$3:$G$22-B2884))</f>
        <v/>
      </c>
      <c r="I2884">
        <f>SUMPRODUCT(Calc!$K$3:$K$22*(Calc!$G$3:$G$22&gt;A2884)*(Calc!$G$3:$G$22-A2884)^2)</f>
        <v/>
      </c>
      <c r="J2884">
        <f>SUMPRODUCT(Calc!$K$3:$K$22*(Calc!$G$3:$G$22&gt;B2884)*(Calc!$G$3:$G$22-B2884)^2)</f>
        <v/>
      </c>
      <c r="K2884">
        <f>SUMPRODUCT(Calc!$K$3:$K$22*(Calc!$G$3:$G$22&gt;A2884)*(Calc!$G$3:$G$22-A2884)*(Calc!$G$3:$G$22&gt;B2884)*(Calc!$G$3:$G$22-B2884))</f>
        <v/>
      </c>
      <c r="L2884">
        <f>SUMPRODUCT(Calc!$K$3:$K$22*(Calc!$G$3:$G$22&gt;A2884)*(Calc!$G$3:$G$22-A2884)*Calc!$G$3:$G$22)</f>
        <v/>
      </c>
      <c r="M2884">
        <f>SUMPRODUCT(Calc!$K$3:$K$22*(Calc!$G$3:$G$22&gt;B2884)*(Calc!$G$3:$G$22-B2884)*Calc!$G$3:$G$22)</f>
        <v/>
      </c>
      <c r="N2884">
        <f>SUMPRODUCT(Calc!$K$3:$K$22*(Calc!$G$3:$G$22&gt;A2884)*(Calc!$G$3:$G$22-A2884)*Calc!$I$3:$I$22)</f>
        <v/>
      </c>
      <c r="O2884">
        <f>SUMPRODUCT(Calc!$K$3:$K$22*(Calc!$G$3:$G$22&gt;B2884)*(Calc!$G$3:$G$22-B2884)*Calc!$I$3:$I$22)</f>
        <v/>
      </c>
      <c r="P2884">
        <f>I2884-G2884^2/k_n</f>
        <v/>
      </c>
      <c r="Q2884">
        <f>J2884-H2884^2/k_n</f>
        <v/>
      </c>
      <c r="R2884">
        <f>K2884-G2884*H2884/k_n</f>
        <v/>
      </c>
      <c r="S2884">
        <f>L2884-LTP3!$D$3*G2884/k_n</f>
        <v/>
      </c>
      <c r="T2884">
        <f>M2884-LTP3!$D$3*H2884/k_n</f>
        <v/>
      </c>
      <c r="U2884">
        <f>N2884-G2884*LTP3!$D$4/k_n</f>
        <v/>
      </c>
      <c r="V2884">
        <f>O2884-H2884*LTP3!$D$4/k_n</f>
        <v/>
      </c>
      <c r="W2884">
        <f>((LTP3!$D$5)*((P2884)*(Q2884)-(R2884)*(R2884))-(S2884)*((S2884)*(Q2884)-(R2884)*(T2884))+(T2884)*((S2884)*(R2884)-(P2884)*(T2884)))</f>
        <v/>
      </c>
      <c r="X2884">
        <f>IF(ABS(W2884)&gt;1E-12,((LTP3!$D$6)*((P2884)*(Q2884)-(R2884)*(R2884))-(S2884)*((U2884)*(Q2884)-(R2884)*(V2884))+(T2884)*((U2884)*(R2884)-(P2884)*(V2884)))/W2884,0)</f>
        <v/>
      </c>
      <c r="Y2884">
        <f>IF(ABS(W2884)&gt;1E-12,((LTP3!$D$5)*((U2884)*(Q2884)-(R2884)*(V2884))-(LTP3!$D$6)*((S2884)*(Q2884)-(R2884)*(T2884))+(T2884)*((S2884)*(V2884)-(U2884)*(T2884)))/W2884,0)</f>
        <v/>
      </c>
      <c r="Z2884">
        <f>IF(ABS(W2884)&gt;1E-12,((LTP3!$D$5)*((P2884)*(V2884)-(U2884)*(R2884))-(S2884)*((S2884)*(V2884)-(U2884)*(T2884))+(LTP3!$D$6)*((S2884)*(R2884)-(P2884)*(T2884)))/W2884,0)</f>
        <v/>
      </c>
      <c r="AA2884">
        <f>LTP3!$D$7-X2884*LTP3!$D$6-Y2884*U2884-Z2884*V2884</f>
        <v/>
      </c>
      <c r="AB2884">
        <f>IF(AND(F2884,ABS(W2884)&gt;1E-12,Y2884&gt;0,Z2884&gt;0),AA2884,1E+300)</f>
        <v/>
      </c>
    </row>
    <row r="2885">
      <c r="A2885">
        <f>$B$3+$B$5*47</f>
        <v/>
      </c>
      <c r="B2885">
        <f>$B$3+$B$5*6</f>
        <v/>
      </c>
      <c r="C2885">
        <f>SUMPRODUCT(Calc!$K$3:$K$22*(Calc!$G$3:$G$22&lt;=A2885))</f>
        <v/>
      </c>
      <c r="D2885">
        <f>SUMPRODUCT(Calc!$K$3:$K$22*(Calc!$G$3:$G$22&gt;A2885)*(Calc!$G$3:$G$22&lt;B2885))</f>
        <v/>
      </c>
      <c r="E2885">
        <f>SUMPRODUCT(Calc!$K$3:$K$22*(Calc!$G$3:$G$22&gt;=B2885))</f>
        <v/>
      </c>
      <c r="F2885">
        <f>AND(k_n&gt;=5,B2885&gt;A2885+1E-9,C2885&gt;=2,D2885&gt;=1,E2885&gt;=2)</f>
        <v/>
      </c>
      <c r="G2885">
        <f>SUMPRODUCT(Calc!$K$3:$K$22*(Calc!$G$3:$G$22&gt;A2885)*(Calc!$G$3:$G$22-A2885))</f>
        <v/>
      </c>
      <c r="H2885">
        <f>SUMPRODUCT(Calc!$K$3:$K$22*(Calc!$G$3:$G$22&gt;B2885)*(Calc!$G$3:$G$22-B2885))</f>
        <v/>
      </c>
      <c r="I2885">
        <f>SUMPRODUCT(Calc!$K$3:$K$22*(Calc!$G$3:$G$22&gt;A2885)*(Calc!$G$3:$G$22-A2885)^2)</f>
        <v/>
      </c>
      <c r="J2885">
        <f>SUMPRODUCT(Calc!$K$3:$K$22*(Calc!$G$3:$G$22&gt;B2885)*(Calc!$G$3:$G$22-B2885)^2)</f>
        <v/>
      </c>
      <c r="K2885">
        <f>SUMPRODUCT(Calc!$K$3:$K$22*(Calc!$G$3:$G$22&gt;A2885)*(Calc!$G$3:$G$22-A2885)*(Calc!$G$3:$G$22&gt;B2885)*(Calc!$G$3:$G$22-B2885))</f>
        <v/>
      </c>
      <c r="L2885">
        <f>SUMPRODUCT(Calc!$K$3:$K$22*(Calc!$G$3:$G$22&gt;A2885)*(Calc!$G$3:$G$22-A2885)*Calc!$G$3:$G$22)</f>
        <v/>
      </c>
      <c r="M2885">
        <f>SUMPRODUCT(Calc!$K$3:$K$22*(Calc!$G$3:$G$22&gt;B2885)*(Calc!$G$3:$G$22-B2885)*Calc!$G$3:$G$22)</f>
        <v/>
      </c>
      <c r="N2885">
        <f>SUMPRODUCT(Calc!$K$3:$K$22*(Calc!$G$3:$G$22&gt;A2885)*(Calc!$G$3:$G$22-A2885)*Calc!$I$3:$I$22)</f>
        <v/>
      </c>
      <c r="O2885">
        <f>SUMPRODUCT(Calc!$K$3:$K$22*(Calc!$G$3:$G$22&gt;B2885)*(Calc!$G$3:$G$22-B2885)*Calc!$I$3:$I$22)</f>
        <v/>
      </c>
      <c r="P2885">
        <f>I2885-G2885^2/k_n</f>
        <v/>
      </c>
      <c r="Q2885">
        <f>J2885-H2885^2/k_n</f>
        <v/>
      </c>
      <c r="R2885">
        <f>K2885-G2885*H2885/k_n</f>
        <v/>
      </c>
      <c r="S2885">
        <f>L2885-LTP3!$D$3*G2885/k_n</f>
        <v/>
      </c>
      <c r="T2885">
        <f>M2885-LTP3!$D$3*H2885/k_n</f>
        <v/>
      </c>
      <c r="U2885">
        <f>N2885-G2885*LTP3!$D$4/k_n</f>
        <v/>
      </c>
      <c r="V2885">
        <f>O2885-H2885*LTP3!$D$4/k_n</f>
        <v/>
      </c>
      <c r="W2885">
        <f>((LTP3!$D$5)*((P2885)*(Q2885)-(R2885)*(R2885))-(S2885)*((S2885)*(Q2885)-(R2885)*(T2885))+(T2885)*((S2885)*(R2885)-(P2885)*(T2885)))</f>
        <v/>
      </c>
      <c r="X2885">
        <f>IF(ABS(W2885)&gt;1E-12,((LTP3!$D$6)*((P2885)*(Q2885)-(R2885)*(R2885))-(S2885)*((U2885)*(Q2885)-(R2885)*(V2885))+(T2885)*((U2885)*(R2885)-(P2885)*(V2885)))/W2885,0)</f>
        <v/>
      </c>
      <c r="Y2885">
        <f>IF(ABS(W2885)&gt;1E-12,((LTP3!$D$5)*((U2885)*(Q2885)-(R2885)*(V2885))-(LTP3!$D$6)*((S2885)*(Q2885)-(R2885)*(T2885))+(T2885)*((S2885)*(V2885)-(U2885)*(T2885)))/W2885,0)</f>
        <v/>
      </c>
      <c r="Z2885">
        <f>IF(ABS(W2885)&gt;1E-12,((LTP3!$D$5)*((P2885)*(V2885)-(U2885)*(R2885))-(S2885)*((S2885)*(V2885)-(U2885)*(T2885))+(LTP3!$D$6)*((S2885)*(R2885)-(P2885)*(T2885)))/W2885,0)</f>
        <v/>
      </c>
      <c r="AA2885">
        <f>LTP3!$D$7-X2885*LTP3!$D$6-Y2885*U2885-Z2885*V2885</f>
        <v/>
      </c>
      <c r="AB2885">
        <f>IF(AND(F2885,ABS(W2885)&gt;1E-12,Y2885&gt;0,Z2885&gt;0),AA2885,1E+300)</f>
        <v/>
      </c>
    </row>
    <row r="2886">
      <c r="A2886">
        <f>$B$3+$B$5*47</f>
        <v/>
      </c>
      <c r="B2886">
        <f>$B$3+$B$5*7</f>
        <v/>
      </c>
      <c r="C2886">
        <f>SUMPRODUCT(Calc!$K$3:$K$22*(Calc!$G$3:$G$22&lt;=A2886))</f>
        <v/>
      </c>
      <c r="D2886">
        <f>SUMPRODUCT(Calc!$K$3:$K$22*(Calc!$G$3:$G$22&gt;A2886)*(Calc!$G$3:$G$22&lt;B2886))</f>
        <v/>
      </c>
      <c r="E2886">
        <f>SUMPRODUCT(Calc!$K$3:$K$22*(Calc!$G$3:$G$22&gt;=B2886))</f>
        <v/>
      </c>
      <c r="F2886">
        <f>AND(k_n&gt;=5,B2886&gt;A2886+1E-9,C2886&gt;=2,D2886&gt;=1,E2886&gt;=2)</f>
        <v/>
      </c>
      <c r="G2886">
        <f>SUMPRODUCT(Calc!$K$3:$K$22*(Calc!$G$3:$G$22&gt;A2886)*(Calc!$G$3:$G$22-A2886))</f>
        <v/>
      </c>
      <c r="H2886">
        <f>SUMPRODUCT(Calc!$K$3:$K$22*(Calc!$G$3:$G$22&gt;B2886)*(Calc!$G$3:$G$22-B2886))</f>
        <v/>
      </c>
      <c r="I2886">
        <f>SUMPRODUCT(Calc!$K$3:$K$22*(Calc!$G$3:$G$22&gt;A2886)*(Calc!$G$3:$G$22-A2886)^2)</f>
        <v/>
      </c>
      <c r="J2886">
        <f>SUMPRODUCT(Calc!$K$3:$K$22*(Calc!$G$3:$G$22&gt;B2886)*(Calc!$G$3:$G$22-B2886)^2)</f>
        <v/>
      </c>
      <c r="K2886">
        <f>SUMPRODUCT(Calc!$K$3:$K$22*(Calc!$G$3:$G$22&gt;A2886)*(Calc!$G$3:$G$22-A2886)*(Calc!$G$3:$G$22&gt;B2886)*(Calc!$G$3:$G$22-B2886))</f>
        <v/>
      </c>
      <c r="L2886">
        <f>SUMPRODUCT(Calc!$K$3:$K$22*(Calc!$G$3:$G$22&gt;A2886)*(Calc!$G$3:$G$22-A2886)*Calc!$G$3:$G$22)</f>
        <v/>
      </c>
      <c r="M2886">
        <f>SUMPRODUCT(Calc!$K$3:$K$22*(Calc!$G$3:$G$22&gt;B2886)*(Calc!$G$3:$G$22-B2886)*Calc!$G$3:$G$22)</f>
        <v/>
      </c>
      <c r="N2886">
        <f>SUMPRODUCT(Calc!$K$3:$K$22*(Calc!$G$3:$G$22&gt;A2886)*(Calc!$G$3:$G$22-A2886)*Calc!$I$3:$I$22)</f>
        <v/>
      </c>
      <c r="O2886">
        <f>SUMPRODUCT(Calc!$K$3:$K$22*(Calc!$G$3:$G$22&gt;B2886)*(Calc!$G$3:$G$22-B2886)*Calc!$I$3:$I$22)</f>
        <v/>
      </c>
      <c r="P2886">
        <f>I2886-G2886^2/k_n</f>
        <v/>
      </c>
      <c r="Q2886">
        <f>J2886-H2886^2/k_n</f>
        <v/>
      </c>
      <c r="R2886">
        <f>K2886-G2886*H2886/k_n</f>
        <v/>
      </c>
      <c r="S2886">
        <f>L2886-LTP3!$D$3*G2886/k_n</f>
        <v/>
      </c>
      <c r="T2886">
        <f>M2886-LTP3!$D$3*H2886/k_n</f>
        <v/>
      </c>
      <c r="U2886">
        <f>N2886-G2886*LTP3!$D$4/k_n</f>
        <v/>
      </c>
      <c r="V2886">
        <f>O2886-H2886*LTP3!$D$4/k_n</f>
        <v/>
      </c>
      <c r="W2886">
        <f>((LTP3!$D$5)*((P2886)*(Q2886)-(R2886)*(R2886))-(S2886)*((S2886)*(Q2886)-(R2886)*(T2886))+(T2886)*((S2886)*(R2886)-(P2886)*(T2886)))</f>
        <v/>
      </c>
      <c r="X2886">
        <f>IF(ABS(W2886)&gt;1E-12,((LTP3!$D$6)*((P2886)*(Q2886)-(R2886)*(R2886))-(S2886)*((U2886)*(Q2886)-(R2886)*(V2886))+(T2886)*((U2886)*(R2886)-(P2886)*(V2886)))/W2886,0)</f>
        <v/>
      </c>
      <c r="Y2886">
        <f>IF(ABS(W2886)&gt;1E-12,((LTP3!$D$5)*((U2886)*(Q2886)-(R2886)*(V2886))-(LTP3!$D$6)*((S2886)*(Q2886)-(R2886)*(T2886))+(T2886)*((S2886)*(V2886)-(U2886)*(T2886)))/W2886,0)</f>
        <v/>
      </c>
      <c r="Z2886">
        <f>IF(ABS(W2886)&gt;1E-12,((LTP3!$D$5)*((P2886)*(V2886)-(U2886)*(R2886))-(S2886)*((S2886)*(V2886)-(U2886)*(T2886))+(LTP3!$D$6)*((S2886)*(R2886)-(P2886)*(T2886)))/W2886,0)</f>
        <v/>
      </c>
      <c r="AA2886">
        <f>LTP3!$D$7-X2886*LTP3!$D$6-Y2886*U2886-Z2886*V2886</f>
        <v/>
      </c>
      <c r="AB2886">
        <f>IF(AND(F2886,ABS(W2886)&gt;1E-12,Y2886&gt;0,Z2886&gt;0),AA2886,1E+300)</f>
        <v/>
      </c>
    </row>
    <row r="2887">
      <c r="A2887">
        <f>$B$3+$B$5*47</f>
        <v/>
      </c>
      <c r="B2887">
        <f>$B$3+$B$5*8</f>
        <v/>
      </c>
      <c r="C2887">
        <f>SUMPRODUCT(Calc!$K$3:$K$22*(Calc!$G$3:$G$22&lt;=A2887))</f>
        <v/>
      </c>
      <c r="D2887">
        <f>SUMPRODUCT(Calc!$K$3:$K$22*(Calc!$G$3:$G$22&gt;A2887)*(Calc!$G$3:$G$22&lt;B2887))</f>
        <v/>
      </c>
      <c r="E2887">
        <f>SUMPRODUCT(Calc!$K$3:$K$22*(Calc!$G$3:$G$22&gt;=B2887))</f>
        <v/>
      </c>
      <c r="F2887">
        <f>AND(k_n&gt;=5,B2887&gt;A2887+1E-9,C2887&gt;=2,D2887&gt;=1,E2887&gt;=2)</f>
        <v/>
      </c>
      <c r="G2887">
        <f>SUMPRODUCT(Calc!$K$3:$K$22*(Calc!$G$3:$G$22&gt;A2887)*(Calc!$G$3:$G$22-A2887))</f>
        <v/>
      </c>
      <c r="H2887">
        <f>SUMPRODUCT(Calc!$K$3:$K$22*(Calc!$G$3:$G$22&gt;B2887)*(Calc!$G$3:$G$22-B2887))</f>
        <v/>
      </c>
      <c r="I2887">
        <f>SUMPRODUCT(Calc!$K$3:$K$22*(Calc!$G$3:$G$22&gt;A2887)*(Calc!$G$3:$G$22-A2887)^2)</f>
        <v/>
      </c>
      <c r="J2887">
        <f>SUMPRODUCT(Calc!$K$3:$K$22*(Calc!$G$3:$G$22&gt;B2887)*(Calc!$G$3:$G$22-B2887)^2)</f>
        <v/>
      </c>
      <c r="K2887">
        <f>SUMPRODUCT(Calc!$K$3:$K$22*(Calc!$G$3:$G$22&gt;A2887)*(Calc!$G$3:$G$22-A2887)*(Calc!$G$3:$G$22&gt;B2887)*(Calc!$G$3:$G$22-B2887))</f>
        <v/>
      </c>
      <c r="L2887">
        <f>SUMPRODUCT(Calc!$K$3:$K$22*(Calc!$G$3:$G$22&gt;A2887)*(Calc!$G$3:$G$22-A2887)*Calc!$G$3:$G$22)</f>
        <v/>
      </c>
      <c r="M2887">
        <f>SUMPRODUCT(Calc!$K$3:$K$22*(Calc!$G$3:$G$22&gt;B2887)*(Calc!$G$3:$G$22-B2887)*Calc!$G$3:$G$22)</f>
        <v/>
      </c>
      <c r="N2887">
        <f>SUMPRODUCT(Calc!$K$3:$K$22*(Calc!$G$3:$G$22&gt;A2887)*(Calc!$G$3:$G$22-A2887)*Calc!$I$3:$I$22)</f>
        <v/>
      </c>
      <c r="O2887">
        <f>SUMPRODUCT(Calc!$K$3:$K$22*(Calc!$G$3:$G$22&gt;B2887)*(Calc!$G$3:$G$22-B2887)*Calc!$I$3:$I$22)</f>
        <v/>
      </c>
      <c r="P2887">
        <f>I2887-G2887^2/k_n</f>
        <v/>
      </c>
      <c r="Q2887">
        <f>J2887-H2887^2/k_n</f>
        <v/>
      </c>
      <c r="R2887">
        <f>K2887-G2887*H2887/k_n</f>
        <v/>
      </c>
      <c r="S2887">
        <f>L2887-LTP3!$D$3*G2887/k_n</f>
        <v/>
      </c>
      <c r="T2887">
        <f>M2887-LTP3!$D$3*H2887/k_n</f>
        <v/>
      </c>
      <c r="U2887">
        <f>N2887-G2887*LTP3!$D$4/k_n</f>
        <v/>
      </c>
      <c r="V2887">
        <f>O2887-H2887*LTP3!$D$4/k_n</f>
        <v/>
      </c>
      <c r="W2887">
        <f>((LTP3!$D$5)*((P2887)*(Q2887)-(R2887)*(R2887))-(S2887)*((S2887)*(Q2887)-(R2887)*(T2887))+(T2887)*((S2887)*(R2887)-(P2887)*(T2887)))</f>
        <v/>
      </c>
      <c r="X2887">
        <f>IF(ABS(W2887)&gt;1E-12,((LTP3!$D$6)*((P2887)*(Q2887)-(R2887)*(R2887))-(S2887)*((U2887)*(Q2887)-(R2887)*(V2887))+(T2887)*((U2887)*(R2887)-(P2887)*(V2887)))/W2887,0)</f>
        <v/>
      </c>
      <c r="Y2887">
        <f>IF(ABS(W2887)&gt;1E-12,((LTP3!$D$5)*((U2887)*(Q2887)-(R2887)*(V2887))-(LTP3!$D$6)*((S2887)*(Q2887)-(R2887)*(T2887))+(T2887)*((S2887)*(V2887)-(U2887)*(T2887)))/W2887,0)</f>
        <v/>
      </c>
      <c r="Z2887">
        <f>IF(ABS(W2887)&gt;1E-12,((LTP3!$D$5)*((P2887)*(V2887)-(U2887)*(R2887))-(S2887)*((S2887)*(V2887)-(U2887)*(T2887))+(LTP3!$D$6)*((S2887)*(R2887)-(P2887)*(T2887)))/W2887,0)</f>
        <v/>
      </c>
      <c r="AA2887">
        <f>LTP3!$D$7-X2887*LTP3!$D$6-Y2887*U2887-Z2887*V2887</f>
        <v/>
      </c>
      <c r="AB2887">
        <f>IF(AND(F2887,ABS(W2887)&gt;1E-12,Y2887&gt;0,Z2887&gt;0),AA2887,1E+300)</f>
        <v/>
      </c>
    </row>
    <row r="2888">
      <c r="A2888">
        <f>$B$3+$B$5*47</f>
        <v/>
      </c>
      <c r="B2888">
        <f>$B$3+$B$5*9</f>
        <v/>
      </c>
      <c r="C2888">
        <f>SUMPRODUCT(Calc!$K$3:$K$22*(Calc!$G$3:$G$22&lt;=A2888))</f>
        <v/>
      </c>
      <c r="D2888">
        <f>SUMPRODUCT(Calc!$K$3:$K$22*(Calc!$G$3:$G$22&gt;A2888)*(Calc!$G$3:$G$22&lt;B2888))</f>
        <v/>
      </c>
      <c r="E2888">
        <f>SUMPRODUCT(Calc!$K$3:$K$22*(Calc!$G$3:$G$22&gt;=B2888))</f>
        <v/>
      </c>
      <c r="F2888">
        <f>AND(k_n&gt;=5,B2888&gt;A2888+1E-9,C2888&gt;=2,D2888&gt;=1,E2888&gt;=2)</f>
        <v/>
      </c>
      <c r="G2888">
        <f>SUMPRODUCT(Calc!$K$3:$K$22*(Calc!$G$3:$G$22&gt;A2888)*(Calc!$G$3:$G$22-A2888))</f>
        <v/>
      </c>
      <c r="H2888">
        <f>SUMPRODUCT(Calc!$K$3:$K$22*(Calc!$G$3:$G$22&gt;B2888)*(Calc!$G$3:$G$22-B2888))</f>
        <v/>
      </c>
      <c r="I2888">
        <f>SUMPRODUCT(Calc!$K$3:$K$22*(Calc!$G$3:$G$22&gt;A2888)*(Calc!$G$3:$G$22-A2888)^2)</f>
        <v/>
      </c>
      <c r="J2888">
        <f>SUMPRODUCT(Calc!$K$3:$K$22*(Calc!$G$3:$G$22&gt;B2888)*(Calc!$G$3:$G$22-B2888)^2)</f>
        <v/>
      </c>
      <c r="K2888">
        <f>SUMPRODUCT(Calc!$K$3:$K$22*(Calc!$G$3:$G$22&gt;A2888)*(Calc!$G$3:$G$22-A2888)*(Calc!$G$3:$G$22&gt;B2888)*(Calc!$G$3:$G$22-B2888))</f>
        <v/>
      </c>
      <c r="L2888">
        <f>SUMPRODUCT(Calc!$K$3:$K$22*(Calc!$G$3:$G$22&gt;A2888)*(Calc!$G$3:$G$22-A2888)*Calc!$G$3:$G$22)</f>
        <v/>
      </c>
      <c r="M2888">
        <f>SUMPRODUCT(Calc!$K$3:$K$22*(Calc!$G$3:$G$22&gt;B2888)*(Calc!$G$3:$G$22-B2888)*Calc!$G$3:$G$22)</f>
        <v/>
      </c>
      <c r="N2888">
        <f>SUMPRODUCT(Calc!$K$3:$K$22*(Calc!$G$3:$G$22&gt;A2888)*(Calc!$G$3:$G$22-A2888)*Calc!$I$3:$I$22)</f>
        <v/>
      </c>
      <c r="O2888">
        <f>SUMPRODUCT(Calc!$K$3:$K$22*(Calc!$G$3:$G$22&gt;B2888)*(Calc!$G$3:$G$22-B2888)*Calc!$I$3:$I$22)</f>
        <v/>
      </c>
      <c r="P2888">
        <f>I2888-G2888^2/k_n</f>
        <v/>
      </c>
      <c r="Q2888">
        <f>J2888-H2888^2/k_n</f>
        <v/>
      </c>
      <c r="R2888">
        <f>K2888-G2888*H2888/k_n</f>
        <v/>
      </c>
      <c r="S2888">
        <f>L2888-LTP3!$D$3*G2888/k_n</f>
        <v/>
      </c>
      <c r="T2888">
        <f>M2888-LTP3!$D$3*H2888/k_n</f>
        <v/>
      </c>
      <c r="U2888">
        <f>N2888-G2888*LTP3!$D$4/k_n</f>
        <v/>
      </c>
      <c r="V2888">
        <f>O2888-H2888*LTP3!$D$4/k_n</f>
        <v/>
      </c>
      <c r="W2888">
        <f>((LTP3!$D$5)*((P2888)*(Q2888)-(R2888)*(R2888))-(S2888)*((S2888)*(Q2888)-(R2888)*(T2888))+(T2888)*((S2888)*(R2888)-(P2888)*(T2888)))</f>
        <v/>
      </c>
      <c r="X2888">
        <f>IF(ABS(W2888)&gt;1E-12,((LTP3!$D$6)*((P2888)*(Q2888)-(R2888)*(R2888))-(S2888)*((U2888)*(Q2888)-(R2888)*(V2888))+(T2888)*((U2888)*(R2888)-(P2888)*(V2888)))/W2888,0)</f>
        <v/>
      </c>
      <c r="Y2888">
        <f>IF(ABS(W2888)&gt;1E-12,((LTP3!$D$5)*((U2888)*(Q2888)-(R2888)*(V2888))-(LTP3!$D$6)*((S2888)*(Q2888)-(R2888)*(T2888))+(T2888)*((S2888)*(V2888)-(U2888)*(T2888)))/W2888,0)</f>
        <v/>
      </c>
      <c r="Z2888">
        <f>IF(ABS(W2888)&gt;1E-12,((LTP3!$D$5)*((P2888)*(V2888)-(U2888)*(R2888))-(S2888)*((S2888)*(V2888)-(U2888)*(T2888))+(LTP3!$D$6)*((S2888)*(R2888)-(P2888)*(T2888)))/W2888,0)</f>
        <v/>
      </c>
      <c r="AA2888">
        <f>LTP3!$D$7-X2888*LTP3!$D$6-Y2888*U2888-Z2888*V2888</f>
        <v/>
      </c>
      <c r="AB2888">
        <f>IF(AND(F2888,ABS(W2888)&gt;1E-12,Y2888&gt;0,Z2888&gt;0),AA2888,1E+300)</f>
        <v/>
      </c>
    </row>
    <row r="2889">
      <c r="A2889">
        <f>$B$3+$B$5*47</f>
        <v/>
      </c>
      <c r="B2889">
        <f>$B$3+$B$5*10</f>
        <v/>
      </c>
      <c r="C2889">
        <f>SUMPRODUCT(Calc!$K$3:$K$22*(Calc!$G$3:$G$22&lt;=A2889))</f>
        <v/>
      </c>
      <c r="D2889">
        <f>SUMPRODUCT(Calc!$K$3:$K$22*(Calc!$G$3:$G$22&gt;A2889)*(Calc!$G$3:$G$22&lt;B2889))</f>
        <v/>
      </c>
      <c r="E2889">
        <f>SUMPRODUCT(Calc!$K$3:$K$22*(Calc!$G$3:$G$22&gt;=B2889))</f>
        <v/>
      </c>
      <c r="F2889">
        <f>AND(k_n&gt;=5,B2889&gt;A2889+1E-9,C2889&gt;=2,D2889&gt;=1,E2889&gt;=2)</f>
        <v/>
      </c>
      <c r="G2889">
        <f>SUMPRODUCT(Calc!$K$3:$K$22*(Calc!$G$3:$G$22&gt;A2889)*(Calc!$G$3:$G$22-A2889))</f>
        <v/>
      </c>
      <c r="H2889">
        <f>SUMPRODUCT(Calc!$K$3:$K$22*(Calc!$G$3:$G$22&gt;B2889)*(Calc!$G$3:$G$22-B2889))</f>
        <v/>
      </c>
      <c r="I2889">
        <f>SUMPRODUCT(Calc!$K$3:$K$22*(Calc!$G$3:$G$22&gt;A2889)*(Calc!$G$3:$G$22-A2889)^2)</f>
        <v/>
      </c>
      <c r="J2889">
        <f>SUMPRODUCT(Calc!$K$3:$K$22*(Calc!$G$3:$G$22&gt;B2889)*(Calc!$G$3:$G$22-B2889)^2)</f>
        <v/>
      </c>
      <c r="K2889">
        <f>SUMPRODUCT(Calc!$K$3:$K$22*(Calc!$G$3:$G$22&gt;A2889)*(Calc!$G$3:$G$22-A2889)*(Calc!$G$3:$G$22&gt;B2889)*(Calc!$G$3:$G$22-B2889))</f>
        <v/>
      </c>
      <c r="L2889">
        <f>SUMPRODUCT(Calc!$K$3:$K$22*(Calc!$G$3:$G$22&gt;A2889)*(Calc!$G$3:$G$22-A2889)*Calc!$G$3:$G$22)</f>
        <v/>
      </c>
      <c r="M2889">
        <f>SUMPRODUCT(Calc!$K$3:$K$22*(Calc!$G$3:$G$22&gt;B2889)*(Calc!$G$3:$G$22-B2889)*Calc!$G$3:$G$22)</f>
        <v/>
      </c>
      <c r="N2889">
        <f>SUMPRODUCT(Calc!$K$3:$K$22*(Calc!$G$3:$G$22&gt;A2889)*(Calc!$G$3:$G$22-A2889)*Calc!$I$3:$I$22)</f>
        <v/>
      </c>
      <c r="O2889">
        <f>SUMPRODUCT(Calc!$K$3:$K$22*(Calc!$G$3:$G$22&gt;B2889)*(Calc!$G$3:$G$22-B2889)*Calc!$I$3:$I$22)</f>
        <v/>
      </c>
      <c r="P2889">
        <f>I2889-G2889^2/k_n</f>
        <v/>
      </c>
      <c r="Q2889">
        <f>J2889-H2889^2/k_n</f>
        <v/>
      </c>
      <c r="R2889">
        <f>K2889-G2889*H2889/k_n</f>
        <v/>
      </c>
      <c r="S2889">
        <f>L2889-LTP3!$D$3*G2889/k_n</f>
        <v/>
      </c>
      <c r="T2889">
        <f>M2889-LTP3!$D$3*H2889/k_n</f>
        <v/>
      </c>
      <c r="U2889">
        <f>N2889-G2889*LTP3!$D$4/k_n</f>
        <v/>
      </c>
      <c r="V2889">
        <f>O2889-H2889*LTP3!$D$4/k_n</f>
        <v/>
      </c>
      <c r="W2889">
        <f>((LTP3!$D$5)*((P2889)*(Q2889)-(R2889)*(R2889))-(S2889)*((S2889)*(Q2889)-(R2889)*(T2889))+(T2889)*((S2889)*(R2889)-(P2889)*(T2889)))</f>
        <v/>
      </c>
      <c r="X2889">
        <f>IF(ABS(W2889)&gt;1E-12,((LTP3!$D$6)*((P2889)*(Q2889)-(R2889)*(R2889))-(S2889)*((U2889)*(Q2889)-(R2889)*(V2889))+(T2889)*((U2889)*(R2889)-(P2889)*(V2889)))/W2889,0)</f>
        <v/>
      </c>
      <c r="Y2889">
        <f>IF(ABS(W2889)&gt;1E-12,((LTP3!$D$5)*((U2889)*(Q2889)-(R2889)*(V2889))-(LTP3!$D$6)*((S2889)*(Q2889)-(R2889)*(T2889))+(T2889)*((S2889)*(V2889)-(U2889)*(T2889)))/W2889,0)</f>
        <v/>
      </c>
      <c r="Z2889">
        <f>IF(ABS(W2889)&gt;1E-12,((LTP3!$D$5)*((P2889)*(V2889)-(U2889)*(R2889))-(S2889)*((S2889)*(V2889)-(U2889)*(T2889))+(LTP3!$D$6)*((S2889)*(R2889)-(P2889)*(T2889)))/W2889,0)</f>
        <v/>
      </c>
      <c r="AA2889">
        <f>LTP3!$D$7-X2889*LTP3!$D$6-Y2889*U2889-Z2889*V2889</f>
        <v/>
      </c>
      <c r="AB2889">
        <f>IF(AND(F2889,ABS(W2889)&gt;1E-12,Y2889&gt;0,Z2889&gt;0),AA2889,1E+300)</f>
        <v/>
      </c>
    </row>
    <row r="2890">
      <c r="A2890">
        <f>$B$3+$B$5*47</f>
        <v/>
      </c>
      <c r="B2890">
        <f>$B$3+$B$5*11</f>
        <v/>
      </c>
      <c r="C2890">
        <f>SUMPRODUCT(Calc!$K$3:$K$22*(Calc!$G$3:$G$22&lt;=A2890))</f>
        <v/>
      </c>
      <c r="D2890">
        <f>SUMPRODUCT(Calc!$K$3:$K$22*(Calc!$G$3:$G$22&gt;A2890)*(Calc!$G$3:$G$22&lt;B2890))</f>
        <v/>
      </c>
      <c r="E2890">
        <f>SUMPRODUCT(Calc!$K$3:$K$22*(Calc!$G$3:$G$22&gt;=B2890))</f>
        <v/>
      </c>
      <c r="F2890">
        <f>AND(k_n&gt;=5,B2890&gt;A2890+1E-9,C2890&gt;=2,D2890&gt;=1,E2890&gt;=2)</f>
        <v/>
      </c>
      <c r="G2890">
        <f>SUMPRODUCT(Calc!$K$3:$K$22*(Calc!$G$3:$G$22&gt;A2890)*(Calc!$G$3:$G$22-A2890))</f>
        <v/>
      </c>
      <c r="H2890">
        <f>SUMPRODUCT(Calc!$K$3:$K$22*(Calc!$G$3:$G$22&gt;B2890)*(Calc!$G$3:$G$22-B2890))</f>
        <v/>
      </c>
      <c r="I2890">
        <f>SUMPRODUCT(Calc!$K$3:$K$22*(Calc!$G$3:$G$22&gt;A2890)*(Calc!$G$3:$G$22-A2890)^2)</f>
        <v/>
      </c>
      <c r="J2890">
        <f>SUMPRODUCT(Calc!$K$3:$K$22*(Calc!$G$3:$G$22&gt;B2890)*(Calc!$G$3:$G$22-B2890)^2)</f>
        <v/>
      </c>
      <c r="K2890">
        <f>SUMPRODUCT(Calc!$K$3:$K$22*(Calc!$G$3:$G$22&gt;A2890)*(Calc!$G$3:$G$22-A2890)*(Calc!$G$3:$G$22&gt;B2890)*(Calc!$G$3:$G$22-B2890))</f>
        <v/>
      </c>
      <c r="L2890">
        <f>SUMPRODUCT(Calc!$K$3:$K$22*(Calc!$G$3:$G$22&gt;A2890)*(Calc!$G$3:$G$22-A2890)*Calc!$G$3:$G$22)</f>
        <v/>
      </c>
      <c r="M2890">
        <f>SUMPRODUCT(Calc!$K$3:$K$22*(Calc!$G$3:$G$22&gt;B2890)*(Calc!$G$3:$G$22-B2890)*Calc!$G$3:$G$22)</f>
        <v/>
      </c>
      <c r="N2890">
        <f>SUMPRODUCT(Calc!$K$3:$K$22*(Calc!$G$3:$G$22&gt;A2890)*(Calc!$G$3:$G$22-A2890)*Calc!$I$3:$I$22)</f>
        <v/>
      </c>
      <c r="O2890">
        <f>SUMPRODUCT(Calc!$K$3:$K$22*(Calc!$G$3:$G$22&gt;B2890)*(Calc!$G$3:$G$22-B2890)*Calc!$I$3:$I$22)</f>
        <v/>
      </c>
      <c r="P2890">
        <f>I2890-G2890^2/k_n</f>
        <v/>
      </c>
      <c r="Q2890">
        <f>J2890-H2890^2/k_n</f>
        <v/>
      </c>
      <c r="R2890">
        <f>K2890-G2890*H2890/k_n</f>
        <v/>
      </c>
      <c r="S2890">
        <f>L2890-LTP3!$D$3*G2890/k_n</f>
        <v/>
      </c>
      <c r="T2890">
        <f>M2890-LTP3!$D$3*H2890/k_n</f>
        <v/>
      </c>
      <c r="U2890">
        <f>N2890-G2890*LTP3!$D$4/k_n</f>
        <v/>
      </c>
      <c r="V2890">
        <f>O2890-H2890*LTP3!$D$4/k_n</f>
        <v/>
      </c>
      <c r="W2890">
        <f>((LTP3!$D$5)*((P2890)*(Q2890)-(R2890)*(R2890))-(S2890)*((S2890)*(Q2890)-(R2890)*(T2890))+(T2890)*((S2890)*(R2890)-(P2890)*(T2890)))</f>
        <v/>
      </c>
      <c r="X2890">
        <f>IF(ABS(W2890)&gt;1E-12,((LTP3!$D$6)*((P2890)*(Q2890)-(R2890)*(R2890))-(S2890)*((U2890)*(Q2890)-(R2890)*(V2890))+(T2890)*((U2890)*(R2890)-(P2890)*(V2890)))/W2890,0)</f>
        <v/>
      </c>
      <c r="Y2890">
        <f>IF(ABS(W2890)&gt;1E-12,((LTP3!$D$5)*((U2890)*(Q2890)-(R2890)*(V2890))-(LTP3!$D$6)*((S2890)*(Q2890)-(R2890)*(T2890))+(T2890)*((S2890)*(V2890)-(U2890)*(T2890)))/W2890,0)</f>
        <v/>
      </c>
      <c r="Z2890">
        <f>IF(ABS(W2890)&gt;1E-12,((LTP3!$D$5)*((P2890)*(V2890)-(U2890)*(R2890))-(S2890)*((S2890)*(V2890)-(U2890)*(T2890))+(LTP3!$D$6)*((S2890)*(R2890)-(P2890)*(T2890)))/W2890,0)</f>
        <v/>
      </c>
      <c r="AA2890">
        <f>LTP3!$D$7-X2890*LTP3!$D$6-Y2890*U2890-Z2890*V2890</f>
        <v/>
      </c>
      <c r="AB2890">
        <f>IF(AND(F2890,ABS(W2890)&gt;1E-12,Y2890&gt;0,Z2890&gt;0),AA2890,1E+300)</f>
        <v/>
      </c>
    </row>
    <row r="2891">
      <c r="A2891">
        <f>$B$3+$B$5*47</f>
        <v/>
      </c>
      <c r="B2891">
        <f>$B$3+$B$5*12</f>
        <v/>
      </c>
      <c r="C2891">
        <f>SUMPRODUCT(Calc!$K$3:$K$22*(Calc!$G$3:$G$22&lt;=A2891))</f>
        <v/>
      </c>
      <c r="D2891">
        <f>SUMPRODUCT(Calc!$K$3:$K$22*(Calc!$G$3:$G$22&gt;A2891)*(Calc!$G$3:$G$22&lt;B2891))</f>
        <v/>
      </c>
      <c r="E2891">
        <f>SUMPRODUCT(Calc!$K$3:$K$22*(Calc!$G$3:$G$22&gt;=B2891))</f>
        <v/>
      </c>
      <c r="F2891">
        <f>AND(k_n&gt;=5,B2891&gt;A2891+1E-9,C2891&gt;=2,D2891&gt;=1,E2891&gt;=2)</f>
        <v/>
      </c>
      <c r="G2891">
        <f>SUMPRODUCT(Calc!$K$3:$K$22*(Calc!$G$3:$G$22&gt;A2891)*(Calc!$G$3:$G$22-A2891))</f>
        <v/>
      </c>
      <c r="H2891">
        <f>SUMPRODUCT(Calc!$K$3:$K$22*(Calc!$G$3:$G$22&gt;B2891)*(Calc!$G$3:$G$22-B2891))</f>
        <v/>
      </c>
      <c r="I2891">
        <f>SUMPRODUCT(Calc!$K$3:$K$22*(Calc!$G$3:$G$22&gt;A2891)*(Calc!$G$3:$G$22-A2891)^2)</f>
        <v/>
      </c>
      <c r="J2891">
        <f>SUMPRODUCT(Calc!$K$3:$K$22*(Calc!$G$3:$G$22&gt;B2891)*(Calc!$G$3:$G$22-B2891)^2)</f>
        <v/>
      </c>
      <c r="K2891">
        <f>SUMPRODUCT(Calc!$K$3:$K$22*(Calc!$G$3:$G$22&gt;A2891)*(Calc!$G$3:$G$22-A2891)*(Calc!$G$3:$G$22&gt;B2891)*(Calc!$G$3:$G$22-B2891))</f>
        <v/>
      </c>
      <c r="L2891">
        <f>SUMPRODUCT(Calc!$K$3:$K$22*(Calc!$G$3:$G$22&gt;A2891)*(Calc!$G$3:$G$22-A2891)*Calc!$G$3:$G$22)</f>
        <v/>
      </c>
      <c r="M2891">
        <f>SUMPRODUCT(Calc!$K$3:$K$22*(Calc!$G$3:$G$22&gt;B2891)*(Calc!$G$3:$G$22-B2891)*Calc!$G$3:$G$22)</f>
        <v/>
      </c>
      <c r="N2891">
        <f>SUMPRODUCT(Calc!$K$3:$K$22*(Calc!$G$3:$G$22&gt;A2891)*(Calc!$G$3:$G$22-A2891)*Calc!$I$3:$I$22)</f>
        <v/>
      </c>
      <c r="O2891">
        <f>SUMPRODUCT(Calc!$K$3:$K$22*(Calc!$G$3:$G$22&gt;B2891)*(Calc!$G$3:$G$22-B2891)*Calc!$I$3:$I$22)</f>
        <v/>
      </c>
      <c r="P2891">
        <f>I2891-G2891^2/k_n</f>
        <v/>
      </c>
      <c r="Q2891">
        <f>J2891-H2891^2/k_n</f>
        <v/>
      </c>
      <c r="R2891">
        <f>K2891-G2891*H2891/k_n</f>
        <v/>
      </c>
      <c r="S2891">
        <f>L2891-LTP3!$D$3*G2891/k_n</f>
        <v/>
      </c>
      <c r="T2891">
        <f>M2891-LTP3!$D$3*H2891/k_n</f>
        <v/>
      </c>
      <c r="U2891">
        <f>N2891-G2891*LTP3!$D$4/k_n</f>
        <v/>
      </c>
      <c r="V2891">
        <f>O2891-H2891*LTP3!$D$4/k_n</f>
        <v/>
      </c>
      <c r="W2891">
        <f>((LTP3!$D$5)*((P2891)*(Q2891)-(R2891)*(R2891))-(S2891)*((S2891)*(Q2891)-(R2891)*(T2891))+(T2891)*((S2891)*(R2891)-(P2891)*(T2891)))</f>
        <v/>
      </c>
      <c r="X2891">
        <f>IF(ABS(W2891)&gt;1E-12,((LTP3!$D$6)*((P2891)*(Q2891)-(R2891)*(R2891))-(S2891)*((U2891)*(Q2891)-(R2891)*(V2891))+(T2891)*((U2891)*(R2891)-(P2891)*(V2891)))/W2891,0)</f>
        <v/>
      </c>
      <c r="Y2891">
        <f>IF(ABS(W2891)&gt;1E-12,((LTP3!$D$5)*((U2891)*(Q2891)-(R2891)*(V2891))-(LTP3!$D$6)*((S2891)*(Q2891)-(R2891)*(T2891))+(T2891)*((S2891)*(V2891)-(U2891)*(T2891)))/W2891,0)</f>
        <v/>
      </c>
      <c r="Z2891">
        <f>IF(ABS(W2891)&gt;1E-12,((LTP3!$D$5)*((P2891)*(V2891)-(U2891)*(R2891))-(S2891)*((S2891)*(V2891)-(U2891)*(T2891))+(LTP3!$D$6)*((S2891)*(R2891)-(P2891)*(T2891)))/W2891,0)</f>
        <v/>
      </c>
      <c r="AA2891">
        <f>LTP3!$D$7-X2891*LTP3!$D$6-Y2891*U2891-Z2891*V2891</f>
        <v/>
      </c>
      <c r="AB2891">
        <f>IF(AND(F2891,ABS(W2891)&gt;1E-12,Y2891&gt;0,Z2891&gt;0),AA2891,1E+300)</f>
        <v/>
      </c>
    </row>
    <row r="2892">
      <c r="A2892">
        <f>$B$3+$B$5*47</f>
        <v/>
      </c>
      <c r="B2892">
        <f>$B$3+$B$5*13</f>
        <v/>
      </c>
      <c r="C2892">
        <f>SUMPRODUCT(Calc!$K$3:$K$22*(Calc!$G$3:$G$22&lt;=A2892))</f>
        <v/>
      </c>
      <c r="D2892">
        <f>SUMPRODUCT(Calc!$K$3:$K$22*(Calc!$G$3:$G$22&gt;A2892)*(Calc!$G$3:$G$22&lt;B2892))</f>
        <v/>
      </c>
      <c r="E2892">
        <f>SUMPRODUCT(Calc!$K$3:$K$22*(Calc!$G$3:$G$22&gt;=B2892))</f>
        <v/>
      </c>
      <c r="F2892">
        <f>AND(k_n&gt;=5,B2892&gt;A2892+1E-9,C2892&gt;=2,D2892&gt;=1,E2892&gt;=2)</f>
        <v/>
      </c>
      <c r="G2892">
        <f>SUMPRODUCT(Calc!$K$3:$K$22*(Calc!$G$3:$G$22&gt;A2892)*(Calc!$G$3:$G$22-A2892))</f>
        <v/>
      </c>
      <c r="H2892">
        <f>SUMPRODUCT(Calc!$K$3:$K$22*(Calc!$G$3:$G$22&gt;B2892)*(Calc!$G$3:$G$22-B2892))</f>
        <v/>
      </c>
      <c r="I2892">
        <f>SUMPRODUCT(Calc!$K$3:$K$22*(Calc!$G$3:$G$22&gt;A2892)*(Calc!$G$3:$G$22-A2892)^2)</f>
        <v/>
      </c>
      <c r="J2892">
        <f>SUMPRODUCT(Calc!$K$3:$K$22*(Calc!$G$3:$G$22&gt;B2892)*(Calc!$G$3:$G$22-B2892)^2)</f>
        <v/>
      </c>
      <c r="K2892">
        <f>SUMPRODUCT(Calc!$K$3:$K$22*(Calc!$G$3:$G$22&gt;A2892)*(Calc!$G$3:$G$22-A2892)*(Calc!$G$3:$G$22&gt;B2892)*(Calc!$G$3:$G$22-B2892))</f>
        <v/>
      </c>
      <c r="L2892">
        <f>SUMPRODUCT(Calc!$K$3:$K$22*(Calc!$G$3:$G$22&gt;A2892)*(Calc!$G$3:$G$22-A2892)*Calc!$G$3:$G$22)</f>
        <v/>
      </c>
      <c r="M2892">
        <f>SUMPRODUCT(Calc!$K$3:$K$22*(Calc!$G$3:$G$22&gt;B2892)*(Calc!$G$3:$G$22-B2892)*Calc!$G$3:$G$22)</f>
        <v/>
      </c>
      <c r="N2892">
        <f>SUMPRODUCT(Calc!$K$3:$K$22*(Calc!$G$3:$G$22&gt;A2892)*(Calc!$G$3:$G$22-A2892)*Calc!$I$3:$I$22)</f>
        <v/>
      </c>
      <c r="O2892">
        <f>SUMPRODUCT(Calc!$K$3:$K$22*(Calc!$G$3:$G$22&gt;B2892)*(Calc!$G$3:$G$22-B2892)*Calc!$I$3:$I$22)</f>
        <v/>
      </c>
      <c r="P2892">
        <f>I2892-G2892^2/k_n</f>
        <v/>
      </c>
      <c r="Q2892">
        <f>J2892-H2892^2/k_n</f>
        <v/>
      </c>
      <c r="R2892">
        <f>K2892-G2892*H2892/k_n</f>
        <v/>
      </c>
      <c r="S2892">
        <f>L2892-LTP3!$D$3*G2892/k_n</f>
        <v/>
      </c>
      <c r="T2892">
        <f>M2892-LTP3!$D$3*H2892/k_n</f>
        <v/>
      </c>
      <c r="U2892">
        <f>N2892-G2892*LTP3!$D$4/k_n</f>
        <v/>
      </c>
      <c r="V2892">
        <f>O2892-H2892*LTP3!$D$4/k_n</f>
        <v/>
      </c>
      <c r="W2892">
        <f>((LTP3!$D$5)*((P2892)*(Q2892)-(R2892)*(R2892))-(S2892)*((S2892)*(Q2892)-(R2892)*(T2892))+(T2892)*((S2892)*(R2892)-(P2892)*(T2892)))</f>
        <v/>
      </c>
      <c r="X2892">
        <f>IF(ABS(W2892)&gt;1E-12,((LTP3!$D$6)*((P2892)*(Q2892)-(R2892)*(R2892))-(S2892)*((U2892)*(Q2892)-(R2892)*(V2892))+(T2892)*((U2892)*(R2892)-(P2892)*(V2892)))/W2892,0)</f>
        <v/>
      </c>
      <c r="Y2892">
        <f>IF(ABS(W2892)&gt;1E-12,((LTP3!$D$5)*((U2892)*(Q2892)-(R2892)*(V2892))-(LTP3!$D$6)*((S2892)*(Q2892)-(R2892)*(T2892))+(T2892)*((S2892)*(V2892)-(U2892)*(T2892)))/W2892,0)</f>
        <v/>
      </c>
      <c r="Z2892">
        <f>IF(ABS(W2892)&gt;1E-12,((LTP3!$D$5)*((P2892)*(V2892)-(U2892)*(R2892))-(S2892)*((S2892)*(V2892)-(U2892)*(T2892))+(LTP3!$D$6)*((S2892)*(R2892)-(P2892)*(T2892)))/W2892,0)</f>
        <v/>
      </c>
      <c r="AA2892">
        <f>LTP3!$D$7-X2892*LTP3!$D$6-Y2892*U2892-Z2892*V2892</f>
        <v/>
      </c>
      <c r="AB2892">
        <f>IF(AND(F2892,ABS(W2892)&gt;1E-12,Y2892&gt;0,Z2892&gt;0),AA2892,1E+300)</f>
        <v/>
      </c>
    </row>
    <row r="2893">
      <c r="A2893">
        <f>$B$3+$B$5*47</f>
        <v/>
      </c>
      <c r="B2893">
        <f>$B$3+$B$5*14</f>
        <v/>
      </c>
      <c r="C2893">
        <f>SUMPRODUCT(Calc!$K$3:$K$22*(Calc!$G$3:$G$22&lt;=A2893))</f>
        <v/>
      </c>
      <c r="D2893">
        <f>SUMPRODUCT(Calc!$K$3:$K$22*(Calc!$G$3:$G$22&gt;A2893)*(Calc!$G$3:$G$22&lt;B2893))</f>
        <v/>
      </c>
      <c r="E2893">
        <f>SUMPRODUCT(Calc!$K$3:$K$22*(Calc!$G$3:$G$22&gt;=B2893))</f>
        <v/>
      </c>
      <c r="F2893">
        <f>AND(k_n&gt;=5,B2893&gt;A2893+1E-9,C2893&gt;=2,D2893&gt;=1,E2893&gt;=2)</f>
        <v/>
      </c>
      <c r="G2893">
        <f>SUMPRODUCT(Calc!$K$3:$K$22*(Calc!$G$3:$G$22&gt;A2893)*(Calc!$G$3:$G$22-A2893))</f>
        <v/>
      </c>
      <c r="H2893">
        <f>SUMPRODUCT(Calc!$K$3:$K$22*(Calc!$G$3:$G$22&gt;B2893)*(Calc!$G$3:$G$22-B2893))</f>
        <v/>
      </c>
      <c r="I2893">
        <f>SUMPRODUCT(Calc!$K$3:$K$22*(Calc!$G$3:$G$22&gt;A2893)*(Calc!$G$3:$G$22-A2893)^2)</f>
        <v/>
      </c>
      <c r="J2893">
        <f>SUMPRODUCT(Calc!$K$3:$K$22*(Calc!$G$3:$G$22&gt;B2893)*(Calc!$G$3:$G$22-B2893)^2)</f>
        <v/>
      </c>
      <c r="K2893">
        <f>SUMPRODUCT(Calc!$K$3:$K$22*(Calc!$G$3:$G$22&gt;A2893)*(Calc!$G$3:$G$22-A2893)*(Calc!$G$3:$G$22&gt;B2893)*(Calc!$G$3:$G$22-B2893))</f>
        <v/>
      </c>
      <c r="L2893">
        <f>SUMPRODUCT(Calc!$K$3:$K$22*(Calc!$G$3:$G$22&gt;A2893)*(Calc!$G$3:$G$22-A2893)*Calc!$G$3:$G$22)</f>
        <v/>
      </c>
      <c r="M2893">
        <f>SUMPRODUCT(Calc!$K$3:$K$22*(Calc!$G$3:$G$22&gt;B2893)*(Calc!$G$3:$G$22-B2893)*Calc!$G$3:$G$22)</f>
        <v/>
      </c>
      <c r="N2893">
        <f>SUMPRODUCT(Calc!$K$3:$K$22*(Calc!$G$3:$G$22&gt;A2893)*(Calc!$G$3:$G$22-A2893)*Calc!$I$3:$I$22)</f>
        <v/>
      </c>
      <c r="O2893">
        <f>SUMPRODUCT(Calc!$K$3:$K$22*(Calc!$G$3:$G$22&gt;B2893)*(Calc!$G$3:$G$22-B2893)*Calc!$I$3:$I$22)</f>
        <v/>
      </c>
      <c r="P2893">
        <f>I2893-G2893^2/k_n</f>
        <v/>
      </c>
      <c r="Q2893">
        <f>J2893-H2893^2/k_n</f>
        <v/>
      </c>
      <c r="R2893">
        <f>K2893-G2893*H2893/k_n</f>
        <v/>
      </c>
      <c r="S2893">
        <f>L2893-LTP3!$D$3*G2893/k_n</f>
        <v/>
      </c>
      <c r="T2893">
        <f>M2893-LTP3!$D$3*H2893/k_n</f>
        <v/>
      </c>
      <c r="U2893">
        <f>N2893-G2893*LTP3!$D$4/k_n</f>
        <v/>
      </c>
      <c r="V2893">
        <f>O2893-H2893*LTP3!$D$4/k_n</f>
        <v/>
      </c>
      <c r="W2893">
        <f>((LTP3!$D$5)*((P2893)*(Q2893)-(R2893)*(R2893))-(S2893)*((S2893)*(Q2893)-(R2893)*(T2893))+(T2893)*((S2893)*(R2893)-(P2893)*(T2893)))</f>
        <v/>
      </c>
      <c r="X2893">
        <f>IF(ABS(W2893)&gt;1E-12,((LTP3!$D$6)*((P2893)*(Q2893)-(R2893)*(R2893))-(S2893)*((U2893)*(Q2893)-(R2893)*(V2893))+(T2893)*((U2893)*(R2893)-(P2893)*(V2893)))/W2893,0)</f>
        <v/>
      </c>
      <c r="Y2893">
        <f>IF(ABS(W2893)&gt;1E-12,((LTP3!$D$5)*((U2893)*(Q2893)-(R2893)*(V2893))-(LTP3!$D$6)*((S2893)*(Q2893)-(R2893)*(T2893))+(T2893)*((S2893)*(V2893)-(U2893)*(T2893)))/W2893,0)</f>
        <v/>
      </c>
      <c r="Z2893">
        <f>IF(ABS(W2893)&gt;1E-12,((LTP3!$D$5)*((P2893)*(V2893)-(U2893)*(R2893))-(S2893)*((S2893)*(V2893)-(U2893)*(T2893))+(LTP3!$D$6)*((S2893)*(R2893)-(P2893)*(T2893)))/W2893,0)</f>
        <v/>
      </c>
      <c r="AA2893">
        <f>LTP3!$D$7-X2893*LTP3!$D$6-Y2893*U2893-Z2893*V2893</f>
        <v/>
      </c>
      <c r="AB2893">
        <f>IF(AND(F2893,ABS(W2893)&gt;1E-12,Y2893&gt;0,Z2893&gt;0),AA2893,1E+300)</f>
        <v/>
      </c>
    </row>
    <row r="2894">
      <c r="A2894">
        <f>$B$3+$B$5*47</f>
        <v/>
      </c>
      <c r="B2894">
        <f>$B$3+$B$5*15</f>
        <v/>
      </c>
      <c r="C2894">
        <f>SUMPRODUCT(Calc!$K$3:$K$22*(Calc!$G$3:$G$22&lt;=A2894))</f>
        <v/>
      </c>
      <c r="D2894">
        <f>SUMPRODUCT(Calc!$K$3:$K$22*(Calc!$G$3:$G$22&gt;A2894)*(Calc!$G$3:$G$22&lt;B2894))</f>
        <v/>
      </c>
      <c r="E2894">
        <f>SUMPRODUCT(Calc!$K$3:$K$22*(Calc!$G$3:$G$22&gt;=B2894))</f>
        <v/>
      </c>
      <c r="F2894">
        <f>AND(k_n&gt;=5,B2894&gt;A2894+1E-9,C2894&gt;=2,D2894&gt;=1,E2894&gt;=2)</f>
        <v/>
      </c>
      <c r="G2894">
        <f>SUMPRODUCT(Calc!$K$3:$K$22*(Calc!$G$3:$G$22&gt;A2894)*(Calc!$G$3:$G$22-A2894))</f>
        <v/>
      </c>
      <c r="H2894">
        <f>SUMPRODUCT(Calc!$K$3:$K$22*(Calc!$G$3:$G$22&gt;B2894)*(Calc!$G$3:$G$22-B2894))</f>
        <v/>
      </c>
      <c r="I2894">
        <f>SUMPRODUCT(Calc!$K$3:$K$22*(Calc!$G$3:$G$22&gt;A2894)*(Calc!$G$3:$G$22-A2894)^2)</f>
        <v/>
      </c>
      <c r="J2894">
        <f>SUMPRODUCT(Calc!$K$3:$K$22*(Calc!$G$3:$G$22&gt;B2894)*(Calc!$G$3:$G$22-B2894)^2)</f>
        <v/>
      </c>
      <c r="K2894">
        <f>SUMPRODUCT(Calc!$K$3:$K$22*(Calc!$G$3:$G$22&gt;A2894)*(Calc!$G$3:$G$22-A2894)*(Calc!$G$3:$G$22&gt;B2894)*(Calc!$G$3:$G$22-B2894))</f>
        <v/>
      </c>
      <c r="L2894">
        <f>SUMPRODUCT(Calc!$K$3:$K$22*(Calc!$G$3:$G$22&gt;A2894)*(Calc!$G$3:$G$22-A2894)*Calc!$G$3:$G$22)</f>
        <v/>
      </c>
      <c r="M2894">
        <f>SUMPRODUCT(Calc!$K$3:$K$22*(Calc!$G$3:$G$22&gt;B2894)*(Calc!$G$3:$G$22-B2894)*Calc!$G$3:$G$22)</f>
        <v/>
      </c>
      <c r="N2894">
        <f>SUMPRODUCT(Calc!$K$3:$K$22*(Calc!$G$3:$G$22&gt;A2894)*(Calc!$G$3:$G$22-A2894)*Calc!$I$3:$I$22)</f>
        <v/>
      </c>
      <c r="O2894">
        <f>SUMPRODUCT(Calc!$K$3:$K$22*(Calc!$G$3:$G$22&gt;B2894)*(Calc!$G$3:$G$22-B2894)*Calc!$I$3:$I$22)</f>
        <v/>
      </c>
      <c r="P2894">
        <f>I2894-G2894^2/k_n</f>
        <v/>
      </c>
      <c r="Q2894">
        <f>J2894-H2894^2/k_n</f>
        <v/>
      </c>
      <c r="R2894">
        <f>K2894-G2894*H2894/k_n</f>
        <v/>
      </c>
      <c r="S2894">
        <f>L2894-LTP3!$D$3*G2894/k_n</f>
        <v/>
      </c>
      <c r="T2894">
        <f>M2894-LTP3!$D$3*H2894/k_n</f>
        <v/>
      </c>
      <c r="U2894">
        <f>N2894-G2894*LTP3!$D$4/k_n</f>
        <v/>
      </c>
      <c r="V2894">
        <f>O2894-H2894*LTP3!$D$4/k_n</f>
        <v/>
      </c>
      <c r="W2894">
        <f>((LTP3!$D$5)*((P2894)*(Q2894)-(R2894)*(R2894))-(S2894)*((S2894)*(Q2894)-(R2894)*(T2894))+(T2894)*((S2894)*(R2894)-(P2894)*(T2894)))</f>
        <v/>
      </c>
      <c r="X2894">
        <f>IF(ABS(W2894)&gt;1E-12,((LTP3!$D$6)*((P2894)*(Q2894)-(R2894)*(R2894))-(S2894)*((U2894)*(Q2894)-(R2894)*(V2894))+(T2894)*((U2894)*(R2894)-(P2894)*(V2894)))/W2894,0)</f>
        <v/>
      </c>
      <c r="Y2894">
        <f>IF(ABS(W2894)&gt;1E-12,((LTP3!$D$5)*((U2894)*(Q2894)-(R2894)*(V2894))-(LTP3!$D$6)*((S2894)*(Q2894)-(R2894)*(T2894))+(T2894)*((S2894)*(V2894)-(U2894)*(T2894)))/W2894,0)</f>
        <v/>
      </c>
      <c r="Z2894">
        <f>IF(ABS(W2894)&gt;1E-12,((LTP3!$D$5)*((P2894)*(V2894)-(U2894)*(R2894))-(S2894)*((S2894)*(V2894)-(U2894)*(T2894))+(LTP3!$D$6)*((S2894)*(R2894)-(P2894)*(T2894)))/W2894,0)</f>
        <v/>
      </c>
      <c r="AA2894">
        <f>LTP3!$D$7-X2894*LTP3!$D$6-Y2894*U2894-Z2894*V2894</f>
        <v/>
      </c>
      <c r="AB2894">
        <f>IF(AND(F2894,ABS(W2894)&gt;1E-12,Y2894&gt;0,Z2894&gt;0),AA2894,1E+300)</f>
        <v/>
      </c>
    </row>
    <row r="2895">
      <c r="A2895">
        <f>$B$3+$B$5*47</f>
        <v/>
      </c>
      <c r="B2895">
        <f>$B$3+$B$5*16</f>
        <v/>
      </c>
      <c r="C2895">
        <f>SUMPRODUCT(Calc!$K$3:$K$22*(Calc!$G$3:$G$22&lt;=A2895))</f>
        <v/>
      </c>
      <c r="D2895">
        <f>SUMPRODUCT(Calc!$K$3:$K$22*(Calc!$G$3:$G$22&gt;A2895)*(Calc!$G$3:$G$22&lt;B2895))</f>
        <v/>
      </c>
      <c r="E2895">
        <f>SUMPRODUCT(Calc!$K$3:$K$22*(Calc!$G$3:$G$22&gt;=B2895))</f>
        <v/>
      </c>
      <c r="F2895">
        <f>AND(k_n&gt;=5,B2895&gt;A2895+1E-9,C2895&gt;=2,D2895&gt;=1,E2895&gt;=2)</f>
        <v/>
      </c>
      <c r="G2895">
        <f>SUMPRODUCT(Calc!$K$3:$K$22*(Calc!$G$3:$G$22&gt;A2895)*(Calc!$G$3:$G$22-A2895))</f>
        <v/>
      </c>
      <c r="H2895">
        <f>SUMPRODUCT(Calc!$K$3:$K$22*(Calc!$G$3:$G$22&gt;B2895)*(Calc!$G$3:$G$22-B2895))</f>
        <v/>
      </c>
      <c r="I2895">
        <f>SUMPRODUCT(Calc!$K$3:$K$22*(Calc!$G$3:$G$22&gt;A2895)*(Calc!$G$3:$G$22-A2895)^2)</f>
        <v/>
      </c>
      <c r="J2895">
        <f>SUMPRODUCT(Calc!$K$3:$K$22*(Calc!$G$3:$G$22&gt;B2895)*(Calc!$G$3:$G$22-B2895)^2)</f>
        <v/>
      </c>
      <c r="K2895">
        <f>SUMPRODUCT(Calc!$K$3:$K$22*(Calc!$G$3:$G$22&gt;A2895)*(Calc!$G$3:$G$22-A2895)*(Calc!$G$3:$G$22&gt;B2895)*(Calc!$G$3:$G$22-B2895))</f>
        <v/>
      </c>
      <c r="L2895">
        <f>SUMPRODUCT(Calc!$K$3:$K$22*(Calc!$G$3:$G$22&gt;A2895)*(Calc!$G$3:$G$22-A2895)*Calc!$G$3:$G$22)</f>
        <v/>
      </c>
      <c r="M2895">
        <f>SUMPRODUCT(Calc!$K$3:$K$22*(Calc!$G$3:$G$22&gt;B2895)*(Calc!$G$3:$G$22-B2895)*Calc!$G$3:$G$22)</f>
        <v/>
      </c>
      <c r="N2895">
        <f>SUMPRODUCT(Calc!$K$3:$K$22*(Calc!$G$3:$G$22&gt;A2895)*(Calc!$G$3:$G$22-A2895)*Calc!$I$3:$I$22)</f>
        <v/>
      </c>
      <c r="O2895">
        <f>SUMPRODUCT(Calc!$K$3:$K$22*(Calc!$G$3:$G$22&gt;B2895)*(Calc!$G$3:$G$22-B2895)*Calc!$I$3:$I$22)</f>
        <v/>
      </c>
      <c r="P2895">
        <f>I2895-G2895^2/k_n</f>
        <v/>
      </c>
      <c r="Q2895">
        <f>J2895-H2895^2/k_n</f>
        <v/>
      </c>
      <c r="R2895">
        <f>K2895-G2895*H2895/k_n</f>
        <v/>
      </c>
      <c r="S2895">
        <f>L2895-LTP3!$D$3*G2895/k_n</f>
        <v/>
      </c>
      <c r="T2895">
        <f>M2895-LTP3!$D$3*H2895/k_n</f>
        <v/>
      </c>
      <c r="U2895">
        <f>N2895-G2895*LTP3!$D$4/k_n</f>
        <v/>
      </c>
      <c r="V2895">
        <f>O2895-H2895*LTP3!$D$4/k_n</f>
        <v/>
      </c>
      <c r="W2895">
        <f>((LTP3!$D$5)*((P2895)*(Q2895)-(R2895)*(R2895))-(S2895)*((S2895)*(Q2895)-(R2895)*(T2895))+(T2895)*((S2895)*(R2895)-(P2895)*(T2895)))</f>
        <v/>
      </c>
      <c r="X2895">
        <f>IF(ABS(W2895)&gt;1E-12,((LTP3!$D$6)*((P2895)*(Q2895)-(R2895)*(R2895))-(S2895)*((U2895)*(Q2895)-(R2895)*(V2895))+(T2895)*((U2895)*(R2895)-(P2895)*(V2895)))/W2895,0)</f>
        <v/>
      </c>
      <c r="Y2895">
        <f>IF(ABS(W2895)&gt;1E-12,((LTP3!$D$5)*((U2895)*(Q2895)-(R2895)*(V2895))-(LTP3!$D$6)*((S2895)*(Q2895)-(R2895)*(T2895))+(T2895)*((S2895)*(V2895)-(U2895)*(T2895)))/W2895,0)</f>
        <v/>
      </c>
      <c r="Z2895">
        <f>IF(ABS(W2895)&gt;1E-12,((LTP3!$D$5)*((P2895)*(V2895)-(U2895)*(R2895))-(S2895)*((S2895)*(V2895)-(U2895)*(T2895))+(LTP3!$D$6)*((S2895)*(R2895)-(P2895)*(T2895)))/W2895,0)</f>
        <v/>
      </c>
      <c r="AA2895">
        <f>LTP3!$D$7-X2895*LTP3!$D$6-Y2895*U2895-Z2895*V2895</f>
        <v/>
      </c>
      <c r="AB2895">
        <f>IF(AND(F2895,ABS(W2895)&gt;1E-12,Y2895&gt;0,Z2895&gt;0),AA2895,1E+300)</f>
        <v/>
      </c>
    </row>
    <row r="2896">
      <c r="A2896">
        <f>$B$3+$B$5*47</f>
        <v/>
      </c>
      <c r="B2896">
        <f>$B$3+$B$5*17</f>
        <v/>
      </c>
      <c r="C2896">
        <f>SUMPRODUCT(Calc!$K$3:$K$22*(Calc!$G$3:$G$22&lt;=A2896))</f>
        <v/>
      </c>
      <c r="D2896">
        <f>SUMPRODUCT(Calc!$K$3:$K$22*(Calc!$G$3:$G$22&gt;A2896)*(Calc!$G$3:$G$22&lt;B2896))</f>
        <v/>
      </c>
      <c r="E2896">
        <f>SUMPRODUCT(Calc!$K$3:$K$22*(Calc!$G$3:$G$22&gt;=B2896))</f>
        <v/>
      </c>
      <c r="F2896">
        <f>AND(k_n&gt;=5,B2896&gt;A2896+1E-9,C2896&gt;=2,D2896&gt;=1,E2896&gt;=2)</f>
        <v/>
      </c>
      <c r="G2896">
        <f>SUMPRODUCT(Calc!$K$3:$K$22*(Calc!$G$3:$G$22&gt;A2896)*(Calc!$G$3:$G$22-A2896))</f>
        <v/>
      </c>
      <c r="H2896">
        <f>SUMPRODUCT(Calc!$K$3:$K$22*(Calc!$G$3:$G$22&gt;B2896)*(Calc!$G$3:$G$22-B2896))</f>
        <v/>
      </c>
      <c r="I2896">
        <f>SUMPRODUCT(Calc!$K$3:$K$22*(Calc!$G$3:$G$22&gt;A2896)*(Calc!$G$3:$G$22-A2896)^2)</f>
        <v/>
      </c>
      <c r="J2896">
        <f>SUMPRODUCT(Calc!$K$3:$K$22*(Calc!$G$3:$G$22&gt;B2896)*(Calc!$G$3:$G$22-B2896)^2)</f>
        <v/>
      </c>
      <c r="K2896">
        <f>SUMPRODUCT(Calc!$K$3:$K$22*(Calc!$G$3:$G$22&gt;A2896)*(Calc!$G$3:$G$22-A2896)*(Calc!$G$3:$G$22&gt;B2896)*(Calc!$G$3:$G$22-B2896))</f>
        <v/>
      </c>
      <c r="L2896">
        <f>SUMPRODUCT(Calc!$K$3:$K$22*(Calc!$G$3:$G$22&gt;A2896)*(Calc!$G$3:$G$22-A2896)*Calc!$G$3:$G$22)</f>
        <v/>
      </c>
      <c r="M2896">
        <f>SUMPRODUCT(Calc!$K$3:$K$22*(Calc!$G$3:$G$22&gt;B2896)*(Calc!$G$3:$G$22-B2896)*Calc!$G$3:$G$22)</f>
        <v/>
      </c>
      <c r="N2896">
        <f>SUMPRODUCT(Calc!$K$3:$K$22*(Calc!$G$3:$G$22&gt;A2896)*(Calc!$G$3:$G$22-A2896)*Calc!$I$3:$I$22)</f>
        <v/>
      </c>
      <c r="O2896">
        <f>SUMPRODUCT(Calc!$K$3:$K$22*(Calc!$G$3:$G$22&gt;B2896)*(Calc!$G$3:$G$22-B2896)*Calc!$I$3:$I$22)</f>
        <v/>
      </c>
      <c r="P2896">
        <f>I2896-G2896^2/k_n</f>
        <v/>
      </c>
      <c r="Q2896">
        <f>J2896-H2896^2/k_n</f>
        <v/>
      </c>
      <c r="R2896">
        <f>K2896-G2896*H2896/k_n</f>
        <v/>
      </c>
      <c r="S2896">
        <f>L2896-LTP3!$D$3*G2896/k_n</f>
        <v/>
      </c>
      <c r="T2896">
        <f>M2896-LTP3!$D$3*H2896/k_n</f>
        <v/>
      </c>
      <c r="U2896">
        <f>N2896-G2896*LTP3!$D$4/k_n</f>
        <v/>
      </c>
      <c r="V2896">
        <f>O2896-H2896*LTP3!$D$4/k_n</f>
        <v/>
      </c>
      <c r="W2896">
        <f>((LTP3!$D$5)*((P2896)*(Q2896)-(R2896)*(R2896))-(S2896)*((S2896)*(Q2896)-(R2896)*(T2896))+(T2896)*((S2896)*(R2896)-(P2896)*(T2896)))</f>
        <v/>
      </c>
      <c r="X2896">
        <f>IF(ABS(W2896)&gt;1E-12,((LTP3!$D$6)*((P2896)*(Q2896)-(R2896)*(R2896))-(S2896)*((U2896)*(Q2896)-(R2896)*(V2896))+(T2896)*((U2896)*(R2896)-(P2896)*(V2896)))/W2896,0)</f>
        <v/>
      </c>
      <c r="Y2896">
        <f>IF(ABS(W2896)&gt;1E-12,((LTP3!$D$5)*((U2896)*(Q2896)-(R2896)*(V2896))-(LTP3!$D$6)*((S2896)*(Q2896)-(R2896)*(T2896))+(T2896)*((S2896)*(V2896)-(U2896)*(T2896)))/W2896,0)</f>
        <v/>
      </c>
      <c r="Z2896">
        <f>IF(ABS(W2896)&gt;1E-12,((LTP3!$D$5)*((P2896)*(V2896)-(U2896)*(R2896))-(S2896)*((S2896)*(V2896)-(U2896)*(T2896))+(LTP3!$D$6)*((S2896)*(R2896)-(P2896)*(T2896)))/W2896,0)</f>
        <v/>
      </c>
      <c r="AA2896">
        <f>LTP3!$D$7-X2896*LTP3!$D$6-Y2896*U2896-Z2896*V2896</f>
        <v/>
      </c>
      <c r="AB2896">
        <f>IF(AND(F2896,ABS(W2896)&gt;1E-12,Y2896&gt;0,Z2896&gt;0),AA2896,1E+300)</f>
        <v/>
      </c>
    </row>
    <row r="2897">
      <c r="A2897">
        <f>$B$3+$B$5*47</f>
        <v/>
      </c>
      <c r="B2897">
        <f>$B$3+$B$5*18</f>
        <v/>
      </c>
      <c r="C2897">
        <f>SUMPRODUCT(Calc!$K$3:$K$22*(Calc!$G$3:$G$22&lt;=A2897))</f>
        <v/>
      </c>
      <c r="D2897">
        <f>SUMPRODUCT(Calc!$K$3:$K$22*(Calc!$G$3:$G$22&gt;A2897)*(Calc!$G$3:$G$22&lt;B2897))</f>
        <v/>
      </c>
      <c r="E2897">
        <f>SUMPRODUCT(Calc!$K$3:$K$22*(Calc!$G$3:$G$22&gt;=B2897))</f>
        <v/>
      </c>
      <c r="F2897">
        <f>AND(k_n&gt;=5,B2897&gt;A2897+1E-9,C2897&gt;=2,D2897&gt;=1,E2897&gt;=2)</f>
        <v/>
      </c>
      <c r="G2897">
        <f>SUMPRODUCT(Calc!$K$3:$K$22*(Calc!$G$3:$G$22&gt;A2897)*(Calc!$G$3:$G$22-A2897))</f>
        <v/>
      </c>
      <c r="H2897">
        <f>SUMPRODUCT(Calc!$K$3:$K$22*(Calc!$G$3:$G$22&gt;B2897)*(Calc!$G$3:$G$22-B2897))</f>
        <v/>
      </c>
      <c r="I2897">
        <f>SUMPRODUCT(Calc!$K$3:$K$22*(Calc!$G$3:$G$22&gt;A2897)*(Calc!$G$3:$G$22-A2897)^2)</f>
        <v/>
      </c>
      <c r="J2897">
        <f>SUMPRODUCT(Calc!$K$3:$K$22*(Calc!$G$3:$G$22&gt;B2897)*(Calc!$G$3:$G$22-B2897)^2)</f>
        <v/>
      </c>
      <c r="K2897">
        <f>SUMPRODUCT(Calc!$K$3:$K$22*(Calc!$G$3:$G$22&gt;A2897)*(Calc!$G$3:$G$22-A2897)*(Calc!$G$3:$G$22&gt;B2897)*(Calc!$G$3:$G$22-B2897))</f>
        <v/>
      </c>
      <c r="L2897">
        <f>SUMPRODUCT(Calc!$K$3:$K$22*(Calc!$G$3:$G$22&gt;A2897)*(Calc!$G$3:$G$22-A2897)*Calc!$G$3:$G$22)</f>
        <v/>
      </c>
      <c r="M2897">
        <f>SUMPRODUCT(Calc!$K$3:$K$22*(Calc!$G$3:$G$22&gt;B2897)*(Calc!$G$3:$G$22-B2897)*Calc!$G$3:$G$22)</f>
        <v/>
      </c>
      <c r="N2897">
        <f>SUMPRODUCT(Calc!$K$3:$K$22*(Calc!$G$3:$G$22&gt;A2897)*(Calc!$G$3:$G$22-A2897)*Calc!$I$3:$I$22)</f>
        <v/>
      </c>
      <c r="O2897">
        <f>SUMPRODUCT(Calc!$K$3:$K$22*(Calc!$G$3:$G$22&gt;B2897)*(Calc!$G$3:$G$22-B2897)*Calc!$I$3:$I$22)</f>
        <v/>
      </c>
      <c r="P2897">
        <f>I2897-G2897^2/k_n</f>
        <v/>
      </c>
      <c r="Q2897">
        <f>J2897-H2897^2/k_n</f>
        <v/>
      </c>
      <c r="R2897">
        <f>K2897-G2897*H2897/k_n</f>
        <v/>
      </c>
      <c r="S2897">
        <f>L2897-LTP3!$D$3*G2897/k_n</f>
        <v/>
      </c>
      <c r="T2897">
        <f>M2897-LTP3!$D$3*H2897/k_n</f>
        <v/>
      </c>
      <c r="U2897">
        <f>N2897-G2897*LTP3!$D$4/k_n</f>
        <v/>
      </c>
      <c r="V2897">
        <f>O2897-H2897*LTP3!$D$4/k_n</f>
        <v/>
      </c>
      <c r="W2897">
        <f>((LTP3!$D$5)*((P2897)*(Q2897)-(R2897)*(R2897))-(S2897)*((S2897)*(Q2897)-(R2897)*(T2897))+(T2897)*((S2897)*(R2897)-(P2897)*(T2897)))</f>
        <v/>
      </c>
      <c r="X2897">
        <f>IF(ABS(W2897)&gt;1E-12,((LTP3!$D$6)*((P2897)*(Q2897)-(R2897)*(R2897))-(S2897)*((U2897)*(Q2897)-(R2897)*(V2897))+(T2897)*((U2897)*(R2897)-(P2897)*(V2897)))/W2897,0)</f>
        <v/>
      </c>
      <c r="Y2897">
        <f>IF(ABS(W2897)&gt;1E-12,((LTP3!$D$5)*((U2897)*(Q2897)-(R2897)*(V2897))-(LTP3!$D$6)*((S2897)*(Q2897)-(R2897)*(T2897))+(T2897)*((S2897)*(V2897)-(U2897)*(T2897)))/W2897,0)</f>
        <v/>
      </c>
      <c r="Z2897">
        <f>IF(ABS(W2897)&gt;1E-12,((LTP3!$D$5)*((P2897)*(V2897)-(U2897)*(R2897))-(S2897)*((S2897)*(V2897)-(U2897)*(T2897))+(LTP3!$D$6)*((S2897)*(R2897)-(P2897)*(T2897)))/W2897,0)</f>
        <v/>
      </c>
      <c r="AA2897">
        <f>LTP3!$D$7-X2897*LTP3!$D$6-Y2897*U2897-Z2897*V2897</f>
        <v/>
      </c>
      <c r="AB2897">
        <f>IF(AND(F2897,ABS(W2897)&gt;1E-12,Y2897&gt;0,Z2897&gt;0),AA2897,1E+300)</f>
        <v/>
      </c>
    </row>
    <row r="2898">
      <c r="A2898">
        <f>$B$3+$B$5*47</f>
        <v/>
      </c>
      <c r="B2898">
        <f>$B$3+$B$5*19</f>
        <v/>
      </c>
      <c r="C2898">
        <f>SUMPRODUCT(Calc!$K$3:$K$22*(Calc!$G$3:$G$22&lt;=A2898))</f>
        <v/>
      </c>
      <c r="D2898">
        <f>SUMPRODUCT(Calc!$K$3:$K$22*(Calc!$G$3:$G$22&gt;A2898)*(Calc!$G$3:$G$22&lt;B2898))</f>
        <v/>
      </c>
      <c r="E2898">
        <f>SUMPRODUCT(Calc!$K$3:$K$22*(Calc!$G$3:$G$22&gt;=B2898))</f>
        <v/>
      </c>
      <c r="F2898">
        <f>AND(k_n&gt;=5,B2898&gt;A2898+1E-9,C2898&gt;=2,D2898&gt;=1,E2898&gt;=2)</f>
        <v/>
      </c>
      <c r="G2898">
        <f>SUMPRODUCT(Calc!$K$3:$K$22*(Calc!$G$3:$G$22&gt;A2898)*(Calc!$G$3:$G$22-A2898))</f>
        <v/>
      </c>
      <c r="H2898">
        <f>SUMPRODUCT(Calc!$K$3:$K$22*(Calc!$G$3:$G$22&gt;B2898)*(Calc!$G$3:$G$22-B2898))</f>
        <v/>
      </c>
      <c r="I2898">
        <f>SUMPRODUCT(Calc!$K$3:$K$22*(Calc!$G$3:$G$22&gt;A2898)*(Calc!$G$3:$G$22-A2898)^2)</f>
        <v/>
      </c>
      <c r="J2898">
        <f>SUMPRODUCT(Calc!$K$3:$K$22*(Calc!$G$3:$G$22&gt;B2898)*(Calc!$G$3:$G$22-B2898)^2)</f>
        <v/>
      </c>
      <c r="K2898">
        <f>SUMPRODUCT(Calc!$K$3:$K$22*(Calc!$G$3:$G$22&gt;A2898)*(Calc!$G$3:$G$22-A2898)*(Calc!$G$3:$G$22&gt;B2898)*(Calc!$G$3:$G$22-B2898))</f>
        <v/>
      </c>
      <c r="L2898">
        <f>SUMPRODUCT(Calc!$K$3:$K$22*(Calc!$G$3:$G$22&gt;A2898)*(Calc!$G$3:$G$22-A2898)*Calc!$G$3:$G$22)</f>
        <v/>
      </c>
      <c r="M2898">
        <f>SUMPRODUCT(Calc!$K$3:$K$22*(Calc!$G$3:$G$22&gt;B2898)*(Calc!$G$3:$G$22-B2898)*Calc!$G$3:$G$22)</f>
        <v/>
      </c>
      <c r="N2898">
        <f>SUMPRODUCT(Calc!$K$3:$K$22*(Calc!$G$3:$G$22&gt;A2898)*(Calc!$G$3:$G$22-A2898)*Calc!$I$3:$I$22)</f>
        <v/>
      </c>
      <c r="O2898">
        <f>SUMPRODUCT(Calc!$K$3:$K$22*(Calc!$G$3:$G$22&gt;B2898)*(Calc!$G$3:$G$22-B2898)*Calc!$I$3:$I$22)</f>
        <v/>
      </c>
      <c r="P2898">
        <f>I2898-G2898^2/k_n</f>
        <v/>
      </c>
      <c r="Q2898">
        <f>J2898-H2898^2/k_n</f>
        <v/>
      </c>
      <c r="R2898">
        <f>K2898-G2898*H2898/k_n</f>
        <v/>
      </c>
      <c r="S2898">
        <f>L2898-LTP3!$D$3*G2898/k_n</f>
        <v/>
      </c>
      <c r="T2898">
        <f>M2898-LTP3!$D$3*H2898/k_n</f>
        <v/>
      </c>
      <c r="U2898">
        <f>N2898-G2898*LTP3!$D$4/k_n</f>
        <v/>
      </c>
      <c r="V2898">
        <f>O2898-H2898*LTP3!$D$4/k_n</f>
        <v/>
      </c>
      <c r="W2898">
        <f>((LTP3!$D$5)*((P2898)*(Q2898)-(R2898)*(R2898))-(S2898)*((S2898)*(Q2898)-(R2898)*(T2898))+(T2898)*((S2898)*(R2898)-(P2898)*(T2898)))</f>
        <v/>
      </c>
      <c r="X2898">
        <f>IF(ABS(W2898)&gt;1E-12,((LTP3!$D$6)*((P2898)*(Q2898)-(R2898)*(R2898))-(S2898)*((U2898)*(Q2898)-(R2898)*(V2898))+(T2898)*((U2898)*(R2898)-(P2898)*(V2898)))/W2898,0)</f>
        <v/>
      </c>
      <c r="Y2898">
        <f>IF(ABS(W2898)&gt;1E-12,((LTP3!$D$5)*((U2898)*(Q2898)-(R2898)*(V2898))-(LTP3!$D$6)*((S2898)*(Q2898)-(R2898)*(T2898))+(T2898)*((S2898)*(V2898)-(U2898)*(T2898)))/W2898,0)</f>
        <v/>
      </c>
      <c r="Z2898">
        <f>IF(ABS(W2898)&gt;1E-12,((LTP3!$D$5)*((P2898)*(V2898)-(U2898)*(R2898))-(S2898)*((S2898)*(V2898)-(U2898)*(T2898))+(LTP3!$D$6)*((S2898)*(R2898)-(P2898)*(T2898)))/W2898,0)</f>
        <v/>
      </c>
      <c r="AA2898">
        <f>LTP3!$D$7-X2898*LTP3!$D$6-Y2898*U2898-Z2898*V2898</f>
        <v/>
      </c>
      <c r="AB2898">
        <f>IF(AND(F2898,ABS(W2898)&gt;1E-12,Y2898&gt;0,Z2898&gt;0),AA2898,1E+300)</f>
        <v/>
      </c>
    </row>
    <row r="2899">
      <c r="A2899">
        <f>$B$3+$B$5*47</f>
        <v/>
      </c>
      <c r="B2899">
        <f>$B$3+$B$5*20</f>
        <v/>
      </c>
      <c r="C2899">
        <f>SUMPRODUCT(Calc!$K$3:$K$22*(Calc!$G$3:$G$22&lt;=A2899))</f>
        <v/>
      </c>
      <c r="D2899">
        <f>SUMPRODUCT(Calc!$K$3:$K$22*(Calc!$G$3:$G$22&gt;A2899)*(Calc!$G$3:$G$22&lt;B2899))</f>
        <v/>
      </c>
      <c r="E2899">
        <f>SUMPRODUCT(Calc!$K$3:$K$22*(Calc!$G$3:$G$22&gt;=B2899))</f>
        <v/>
      </c>
      <c r="F2899">
        <f>AND(k_n&gt;=5,B2899&gt;A2899+1E-9,C2899&gt;=2,D2899&gt;=1,E2899&gt;=2)</f>
        <v/>
      </c>
      <c r="G2899">
        <f>SUMPRODUCT(Calc!$K$3:$K$22*(Calc!$G$3:$G$22&gt;A2899)*(Calc!$G$3:$G$22-A2899))</f>
        <v/>
      </c>
      <c r="H2899">
        <f>SUMPRODUCT(Calc!$K$3:$K$22*(Calc!$G$3:$G$22&gt;B2899)*(Calc!$G$3:$G$22-B2899))</f>
        <v/>
      </c>
      <c r="I2899">
        <f>SUMPRODUCT(Calc!$K$3:$K$22*(Calc!$G$3:$G$22&gt;A2899)*(Calc!$G$3:$G$22-A2899)^2)</f>
        <v/>
      </c>
      <c r="J2899">
        <f>SUMPRODUCT(Calc!$K$3:$K$22*(Calc!$G$3:$G$22&gt;B2899)*(Calc!$G$3:$G$22-B2899)^2)</f>
        <v/>
      </c>
      <c r="K2899">
        <f>SUMPRODUCT(Calc!$K$3:$K$22*(Calc!$G$3:$G$22&gt;A2899)*(Calc!$G$3:$G$22-A2899)*(Calc!$G$3:$G$22&gt;B2899)*(Calc!$G$3:$G$22-B2899))</f>
        <v/>
      </c>
      <c r="L2899">
        <f>SUMPRODUCT(Calc!$K$3:$K$22*(Calc!$G$3:$G$22&gt;A2899)*(Calc!$G$3:$G$22-A2899)*Calc!$G$3:$G$22)</f>
        <v/>
      </c>
      <c r="M2899">
        <f>SUMPRODUCT(Calc!$K$3:$K$22*(Calc!$G$3:$G$22&gt;B2899)*(Calc!$G$3:$G$22-B2899)*Calc!$G$3:$G$22)</f>
        <v/>
      </c>
      <c r="N2899">
        <f>SUMPRODUCT(Calc!$K$3:$K$22*(Calc!$G$3:$G$22&gt;A2899)*(Calc!$G$3:$G$22-A2899)*Calc!$I$3:$I$22)</f>
        <v/>
      </c>
      <c r="O2899">
        <f>SUMPRODUCT(Calc!$K$3:$K$22*(Calc!$G$3:$G$22&gt;B2899)*(Calc!$G$3:$G$22-B2899)*Calc!$I$3:$I$22)</f>
        <v/>
      </c>
      <c r="P2899">
        <f>I2899-G2899^2/k_n</f>
        <v/>
      </c>
      <c r="Q2899">
        <f>J2899-H2899^2/k_n</f>
        <v/>
      </c>
      <c r="R2899">
        <f>K2899-G2899*H2899/k_n</f>
        <v/>
      </c>
      <c r="S2899">
        <f>L2899-LTP3!$D$3*G2899/k_n</f>
        <v/>
      </c>
      <c r="T2899">
        <f>M2899-LTP3!$D$3*H2899/k_n</f>
        <v/>
      </c>
      <c r="U2899">
        <f>N2899-G2899*LTP3!$D$4/k_n</f>
        <v/>
      </c>
      <c r="V2899">
        <f>O2899-H2899*LTP3!$D$4/k_n</f>
        <v/>
      </c>
      <c r="W2899">
        <f>((LTP3!$D$5)*((P2899)*(Q2899)-(R2899)*(R2899))-(S2899)*((S2899)*(Q2899)-(R2899)*(T2899))+(T2899)*((S2899)*(R2899)-(P2899)*(T2899)))</f>
        <v/>
      </c>
      <c r="X2899">
        <f>IF(ABS(W2899)&gt;1E-12,((LTP3!$D$6)*((P2899)*(Q2899)-(R2899)*(R2899))-(S2899)*((U2899)*(Q2899)-(R2899)*(V2899))+(T2899)*((U2899)*(R2899)-(P2899)*(V2899)))/W2899,0)</f>
        <v/>
      </c>
      <c r="Y2899">
        <f>IF(ABS(W2899)&gt;1E-12,((LTP3!$D$5)*((U2899)*(Q2899)-(R2899)*(V2899))-(LTP3!$D$6)*((S2899)*(Q2899)-(R2899)*(T2899))+(T2899)*((S2899)*(V2899)-(U2899)*(T2899)))/W2899,0)</f>
        <v/>
      </c>
      <c r="Z2899">
        <f>IF(ABS(W2899)&gt;1E-12,((LTP3!$D$5)*((P2899)*(V2899)-(U2899)*(R2899))-(S2899)*((S2899)*(V2899)-(U2899)*(T2899))+(LTP3!$D$6)*((S2899)*(R2899)-(P2899)*(T2899)))/W2899,0)</f>
        <v/>
      </c>
      <c r="AA2899">
        <f>LTP3!$D$7-X2899*LTP3!$D$6-Y2899*U2899-Z2899*V2899</f>
        <v/>
      </c>
      <c r="AB2899">
        <f>IF(AND(F2899,ABS(W2899)&gt;1E-12,Y2899&gt;0,Z2899&gt;0),AA2899,1E+300)</f>
        <v/>
      </c>
    </row>
    <row r="2900">
      <c r="A2900">
        <f>$B$3+$B$5*47</f>
        <v/>
      </c>
      <c r="B2900">
        <f>$B$3+$B$5*21</f>
        <v/>
      </c>
      <c r="C2900">
        <f>SUMPRODUCT(Calc!$K$3:$K$22*(Calc!$G$3:$G$22&lt;=A2900))</f>
        <v/>
      </c>
      <c r="D2900">
        <f>SUMPRODUCT(Calc!$K$3:$K$22*(Calc!$G$3:$G$22&gt;A2900)*(Calc!$G$3:$G$22&lt;B2900))</f>
        <v/>
      </c>
      <c r="E2900">
        <f>SUMPRODUCT(Calc!$K$3:$K$22*(Calc!$G$3:$G$22&gt;=B2900))</f>
        <v/>
      </c>
      <c r="F2900">
        <f>AND(k_n&gt;=5,B2900&gt;A2900+1E-9,C2900&gt;=2,D2900&gt;=1,E2900&gt;=2)</f>
        <v/>
      </c>
      <c r="G2900">
        <f>SUMPRODUCT(Calc!$K$3:$K$22*(Calc!$G$3:$G$22&gt;A2900)*(Calc!$G$3:$G$22-A2900))</f>
        <v/>
      </c>
      <c r="H2900">
        <f>SUMPRODUCT(Calc!$K$3:$K$22*(Calc!$G$3:$G$22&gt;B2900)*(Calc!$G$3:$G$22-B2900))</f>
        <v/>
      </c>
      <c r="I2900">
        <f>SUMPRODUCT(Calc!$K$3:$K$22*(Calc!$G$3:$G$22&gt;A2900)*(Calc!$G$3:$G$22-A2900)^2)</f>
        <v/>
      </c>
      <c r="J2900">
        <f>SUMPRODUCT(Calc!$K$3:$K$22*(Calc!$G$3:$G$22&gt;B2900)*(Calc!$G$3:$G$22-B2900)^2)</f>
        <v/>
      </c>
      <c r="K2900">
        <f>SUMPRODUCT(Calc!$K$3:$K$22*(Calc!$G$3:$G$22&gt;A2900)*(Calc!$G$3:$G$22-A2900)*(Calc!$G$3:$G$22&gt;B2900)*(Calc!$G$3:$G$22-B2900))</f>
        <v/>
      </c>
      <c r="L2900">
        <f>SUMPRODUCT(Calc!$K$3:$K$22*(Calc!$G$3:$G$22&gt;A2900)*(Calc!$G$3:$G$22-A2900)*Calc!$G$3:$G$22)</f>
        <v/>
      </c>
      <c r="M2900">
        <f>SUMPRODUCT(Calc!$K$3:$K$22*(Calc!$G$3:$G$22&gt;B2900)*(Calc!$G$3:$G$22-B2900)*Calc!$G$3:$G$22)</f>
        <v/>
      </c>
      <c r="N2900">
        <f>SUMPRODUCT(Calc!$K$3:$K$22*(Calc!$G$3:$G$22&gt;A2900)*(Calc!$G$3:$G$22-A2900)*Calc!$I$3:$I$22)</f>
        <v/>
      </c>
      <c r="O2900">
        <f>SUMPRODUCT(Calc!$K$3:$K$22*(Calc!$G$3:$G$22&gt;B2900)*(Calc!$G$3:$G$22-B2900)*Calc!$I$3:$I$22)</f>
        <v/>
      </c>
      <c r="P2900">
        <f>I2900-G2900^2/k_n</f>
        <v/>
      </c>
      <c r="Q2900">
        <f>J2900-H2900^2/k_n</f>
        <v/>
      </c>
      <c r="R2900">
        <f>K2900-G2900*H2900/k_n</f>
        <v/>
      </c>
      <c r="S2900">
        <f>L2900-LTP3!$D$3*G2900/k_n</f>
        <v/>
      </c>
      <c r="T2900">
        <f>M2900-LTP3!$D$3*H2900/k_n</f>
        <v/>
      </c>
      <c r="U2900">
        <f>N2900-G2900*LTP3!$D$4/k_n</f>
        <v/>
      </c>
      <c r="V2900">
        <f>O2900-H2900*LTP3!$D$4/k_n</f>
        <v/>
      </c>
      <c r="W2900">
        <f>((LTP3!$D$5)*((P2900)*(Q2900)-(R2900)*(R2900))-(S2900)*((S2900)*(Q2900)-(R2900)*(T2900))+(T2900)*((S2900)*(R2900)-(P2900)*(T2900)))</f>
        <v/>
      </c>
      <c r="X2900">
        <f>IF(ABS(W2900)&gt;1E-12,((LTP3!$D$6)*((P2900)*(Q2900)-(R2900)*(R2900))-(S2900)*((U2900)*(Q2900)-(R2900)*(V2900))+(T2900)*((U2900)*(R2900)-(P2900)*(V2900)))/W2900,0)</f>
        <v/>
      </c>
      <c r="Y2900">
        <f>IF(ABS(W2900)&gt;1E-12,((LTP3!$D$5)*((U2900)*(Q2900)-(R2900)*(V2900))-(LTP3!$D$6)*((S2900)*(Q2900)-(R2900)*(T2900))+(T2900)*((S2900)*(V2900)-(U2900)*(T2900)))/W2900,0)</f>
        <v/>
      </c>
      <c r="Z2900">
        <f>IF(ABS(W2900)&gt;1E-12,((LTP3!$D$5)*((P2900)*(V2900)-(U2900)*(R2900))-(S2900)*((S2900)*(V2900)-(U2900)*(T2900))+(LTP3!$D$6)*((S2900)*(R2900)-(P2900)*(T2900)))/W2900,0)</f>
        <v/>
      </c>
      <c r="AA2900">
        <f>LTP3!$D$7-X2900*LTP3!$D$6-Y2900*U2900-Z2900*V2900</f>
        <v/>
      </c>
      <c r="AB2900">
        <f>IF(AND(F2900,ABS(W2900)&gt;1E-12,Y2900&gt;0,Z2900&gt;0),AA2900,1E+300)</f>
        <v/>
      </c>
    </row>
    <row r="2901">
      <c r="A2901">
        <f>$B$3+$B$5*47</f>
        <v/>
      </c>
      <c r="B2901">
        <f>$B$3+$B$5*22</f>
        <v/>
      </c>
      <c r="C2901">
        <f>SUMPRODUCT(Calc!$K$3:$K$22*(Calc!$G$3:$G$22&lt;=A2901))</f>
        <v/>
      </c>
      <c r="D2901">
        <f>SUMPRODUCT(Calc!$K$3:$K$22*(Calc!$G$3:$G$22&gt;A2901)*(Calc!$G$3:$G$22&lt;B2901))</f>
        <v/>
      </c>
      <c r="E2901">
        <f>SUMPRODUCT(Calc!$K$3:$K$22*(Calc!$G$3:$G$22&gt;=B2901))</f>
        <v/>
      </c>
      <c r="F2901">
        <f>AND(k_n&gt;=5,B2901&gt;A2901+1E-9,C2901&gt;=2,D2901&gt;=1,E2901&gt;=2)</f>
        <v/>
      </c>
      <c r="G2901">
        <f>SUMPRODUCT(Calc!$K$3:$K$22*(Calc!$G$3:$G$22&gt;A2901)*(Calc!$G$3:$G$22-A2901))</f>
        <v/>
      </c>
      <c r="H2901">
        <f>SUMPRODUCT(Calc!$K$3:$K$22*(Calc!$G$3:$G$22&gt;B2901)*(Calc!$G$3:$G$22-B2901))</f>
        <v/>
      </c>
      <c r="I2901">
        <f>SUMPRODUCT(Calc!$K$3:$K$22*(Calc!$G$3:$G$22&gt;A2901)*(Calc!$G$3:$G$22-A2901)^2)</f>
        <v/>
      </c>
      <c r="J2901">
        <f>SUMPRODUCT(Calc!$K$3:$K$22*(Calc!$G$3:$G$22&gt;B2901)*(Calc!$G$3:$G$22-B2901)^2)</f>
        <v/>
      </c>
      <c r="K2901">
        <f>SUMPRODUCT(Calc!$K$3:$K$22*(Calc!$G$3:$G$22&gt;A2901)*(Calc!$G$3:$G$22-A2901)*(Calc!$G$3:$G$22&gt;B2901)*(Calc!$G$3:$G$22-B2901))</f>
        <v/>
      </c>
      <c r="L2901">
        <f>SUMPRODUCT(Calc!$K$3:$K$22*(Calc!$G$3:$G$22&gt;A2901)*(Calc!$G$3:$G$22-A2901)*Calc!$G$3:$G$22)</f>
        <v/>
      </c>
      <c r="M2901">
        <f>SUMPRODUCT(Calc!$K$3:$K$22*(Calc!$G$3:$G$22&gt;B2901)*(Calc!$G$3:$G$22-B2901)*Calc!$G$3:$G$22)</f>
        <v/>
      </c>
      <c r="N2901">
        <f>SUMPRODUCT(Calc!$K$3:$K$22*(Calc!$G$3:$G$22&gt;A2901)*(Calc!$G$3:$G$22-A2901)*Calc!$I$3:$I$22)</f>
        <v/>
      </c>
      <c r="O2901">
        <f>SUMPRODUCT(Calc!$K$3:$K$22*(Calc!$G$3:$G$22&gt;B2901)*(Calc!$G$3:$G$22-B2901)*Calc!$I$3:$I$22)</f>
        <v/>
      </c>
      <c r="P2901">
        <f>I2901-G2901^2/k_n</f>
        <v/>
      </c>
      <c r="Q2901">
        <f>J2901-H2901^2/k_n</f>
        <v/>
      </c>
      <c r="R2901">
        <f>K2901-G2901*H2901/k_n</f>
        <v/>
      </c>
      <c r="S2901">
        <f>L2901-LTP3!$D$3*G2901/k_n</f>
        <v/>
      </c>
      <c r="T2901">
        <f>M2901-LTP3!$D$3*H2901/k_n</f>
        <v/>
      </c>
      <c r="U2901">
        <f>N2901-G2901*LTP3!$D$4/k_n</f>
        <v/>
      </c>
      <c r="V2901">
        <f>O2901-H2901*LTP3!$D$4/k_n</f>
        <v/>
      </c>
      <c r="W2901">
        <f>((LTP3!$D$5)*((P2901)*(Q2901)-(R2901)*(R2901))-(S2901)*((S2901)*(Q2901)-(R2901)*(T2901))+(T2901)*((S2901)*(R2901)-(P2901)*(T2901)))</f>
        <v/>
      </c>
      <c r="X2901">
        <f>IF(ABS(W2901)&gt;1E-12,((LTP3!$D$6)*((P2901)*(Q2901)-(R2901)*(R2901))-(S2901)*((U2901)*(Q2901)-(R2901)*(V2901))+(T2901)*((U2901)*(R2901)-(P2901)*(V2901)))/W2901,0)</f>
        <v/>
      </c>
      <c r="Y2901">
        <f>IF(ABS(W2901)&gt;1E-12,((LTP3!$D$5)*((U2901)*(Q2901)-(R2901)*(V2901))-(LTP3!$D$6)*((S2901)*(Q2901)-(R2901)*(T2901))+(T2901)*((S2901)*(V2901)-(U2901)*(T2901)))/W2901,0)</f>
        <v/>
      </c>
      <c r="Z2901">
        <f>IF(ABS(W2901)&gt;1E-12,((LTP3!$D$5)*((P2901)*(V2901)-(U2901)*(R2901))-(S2901)*((S2901)*(V2901)-(U2901)*(T2901))+(LTP3!$D$6)*((S2901)*(R2901)-(P2901)*(T2901)))/W2901,0)</f>
        <v/>
      </c>
      <c r="AA2901">
        <f>LTP3!$D$7-X2901*LTP3!$D$6-Y2901*U2901-Z2901*V2901</f>
        <v/>
      </c>
      <c r="AB2901">
        <f>IF(AND(F2901,ABS(W2901)&gt;1E-12,Y2901&gt;0,Z2901&gt;0),AA2901,1E+300)</f>
        <v/>
      </c>
    </row>
    <row r="2902">
      <c r="A2902">
        <f>$B$3+$B$5*47</f>
        <v/>
      </c>
      <c r="B2902">
        <f>$B$3+$B$5*23</f>
        <v/>
      </c>
      <c r="C2902">
        <f>SUMPRODUCT(Calc!$K$3:$K$22*(Calc!$G$3:$G$22&lt;=A2902))</f>
        <v/>
      </c>
      <c r="D2902">
        <f>SUMPRODUCT(Calc!$K$3:$K$22*(Calc!$G$3:$G$22&gt;A2902)*(Calc!$G$3:$G$22&lt;B2902))</f>
        <v/>
      </c>
      <c r="E2902">
        <f>SUMPRODUCT(Calc!$K$3:$K$22*(Calc!$G$3:$G$22&gt;=B2902))</f>
        <v/>
      </c>
      <c r="F2902">
        <f>AND(k_n&gt;=5,B2902&gt;A2902+1E-9,C2902&gt;=2,D2902&gt;=1,E2902&gt;=2)</f>
        <v/>
      </c>
      <c r="G2902">
        <f>SUMPRODUCT(Calc!$K$3:$K$22*(Calc!$G$3:$G$22&gt;A2902)*(Calc!$G$3:$G$22-A2902))</f>
        <v/>
      </c>
      <c r="H2902">
        <f>SUMPRODUCT(Calc!$K$3:$K$22*(Calc!$G$3:$G$22&gt;B2902)*(Calc!$G$3:$G$22-B2902))</f>
        <v/>
      </c>
      <c r="I2902">
        <f>SUMPRODUCT(Calc!$K$3:$K$22*(Calc!$G$3:$G$22&gt;A2902)*(Calc!$G$3:$G$22-A2902)^2)</f>
        <v/>
      </c>
      <c r="J2902">
        <f>SUMPRODUCT(Calc!$K$3:$K$22*(Calc!$G$3:$G$22&gt;B2902)*(Calc!$G$3:$G$22-B2902)^2)</f>
        <v/>
      </c>
      <c r="K2902">
        <f>SUMPRODUCT(Calc!$K$3:$K$22*(Calc!$G$3:$G$22&gt;A2902)*(Calc!$G$3:$G$22-A2902)*(Calc!$G$3:$G$22&gt;B2902)*(Calc!$G$3:$G$22-B2902))</f>
        <v/>
      </c>
      <c r="L2902">
        <f>SUMPRODUCT(Calc!$K$3:$K$22*(Calc!$G$3:$G$22&gt;A2902)*(Calc!$G$3:$G$22-A2902)*Calc!$G$3:$G$22)</f>
        <v/>
      </c>
      <c r="M2902">
        <f>SUMPRODUCT(Calc!$K$3:$K$22*(Calc!$G$3:$G$22&gt;B2902)*(Calc!$G$3:$G$22-B2902)*Calc!$G$3:$G$22)</f>
        <v/>
      </c>
      <c r="N2902">
        <f>SUMPRODUCT(Calc!$K$3:$K$22*(Calc!$G$3:$G$22&gt;A2902)*(Calc!$G$3:$G$22-A2902)*Calc!$I$3:$I$22)</f>
        <v/>
      </c>
      <c r="O2902">
        <f>SUMPRODUCT(Calc!$K$3:$K$22*(Calc!$G$3:$G$22&gt;B2902)*(Calc!$G$3:$G$22-B2902)*Calc!$I$3:$I$22)</f>
        <v/>
      </c>
      <c r="P2902">
        <f>I2902-G2902^2/k_n</f>
        <v/>
      </c>
      <c r="Q2902">
        <f>J2902-H2902^2/k_n</f>
        <v/>
      </c>
      <c r="R2902">
        <f>K2902-G2902*H2902/k_n</f>
        <v/>
      </c>
      <c r="S2902">
        <f>L2902-LTP3!$D$3*G2902/k_n</f>
        <v/>
      </c>
      <c r="T2902">
        <f>M2902-LTP3!$D$3*H2902/k_n</f>
        <v/>
      </c>
      <c r="U2902">
        <f>N2902-G2902*LTP3!$D$4/k_n</f>
        <v/>
      </c>
      <c r="V2902">
        <f>O2902-H2902*LTP3!$D$4/k_n</f>
        <v/>
      </c>
      <c r="W2902">
        <f>((LTP3!$D$5)*((P2902)*(Q2902)-(R2902)*(R2902))-(S2902)*((S2902)*(Q2902)-(R2902)*(T2902))+(T2902)*((S2902)*(R2902)-(P2902)*(T2902)))</f>
        <v/>
      </c>
      <c r="X2902">
        <f>IF(ABS(W2902)&gt;1E-12,((LTP3!$D$6)*((P2902)*(Q2902)-(R2902)*(R2902))-(S2902)*((U2902)*(Q2902)-(R2902)*(V2902))+(T2902)*((U2902)*(R2902)-(P2902)*(V2902)))/W2902,0)</f>
        <v/>
      </c>
      <c r="Y2902">
        <f>IF(ABS(W2902)&gt;1E-12,((LTP3!$D$5)*((U2902)*(Q2902)-(R2902)*(V2902))-(LTP3!$D$6)*((S2902)*(Q2902)-(R2902)*(T2902))+(T2902)*((S2902)*(V2902)-(U2902)*(T2902)))/W2902,0)</f>
        <v/>
      </c>
      <c r="Z2902">
        <f>IF(ABS(W2902)&gt;1E-12,((LTP3!$D$5)*((P2902)*(V2902)-(U2902)*(R2902))-(S2902)*((S2902)*(V2902)-(U2902)*(T2902))+(LTP3!$D$6)*((S2902)*(R2902)-(P2902)*(T2902)))/W2902,0)</f>
        <v/>
      </c>
      <c r="AA2902">
        <f>LTP3!$D$7-X2902*LTP3!$D$6-Y2902*U2902-Z2902*V2902</f>
        <v/>
      </c>
      <c r="AB2902">
        <f>IF(AND(F2902,ABS(W2902)&gt;1E-12,Y2902&gt;0,Z2902&gt;0),AA2902,1E+300)</f>
        <v/>
      </c>
    </row>
    <row r="2903">
      <c r="A2903">
        <f>$B$3+$B$5*47</f>
        <v/>
      </c>
      <c r="B2903">
        <f>$B$3+$B$5*24</f>
        <v/>
      </c>
      <c r="C2903">
        <f>SUMPRODUCT(Calc!$K$3:$K$22*(Calc!$G$3:$G$22&lt;=A2903))</f>
        <v/>
      </c>
      <c r="D2903">
        <f>SUMPRODUCT(Calc!$K$3:$K$22*(Calc!$G$3:$G$22&gt;A2903)*(Calc!$G$3:$G$22&lt;B2903))</f>
        <v/>
      </c>
      <c r="E2903">
        <f>SUMPRODUCT(Calc!$K$3:$K$22*(Calc!$G$3:$G$22&gt;=B2903))</f>
        <v/>
      </c>
      <c r="F2903">
        <f>AND(k_n&gt;=5,B2903&gt;A2903+1E-9,C2903&gt;=2,D2903&gt;=1,E2903&gt;=2)</f>
        <v/>
      </c>
      <c r="G2903">
        <f>SUMPRODUCT(Calc!$K$3:$K$22*(Calc!$G$3:$G$22&gt;A2903)*(Calc!$G$3:$G$22-A2903))</f>
        <v/>
      </c>
      <c r="H2903">
        <f>SUMPRODUCT(Calc!$K$3:$K$22*(Calc!$G$3:$G$22&gt;B2903)*(Calc!$G$3:$G$22-B2903))</f>
        <v/>
      </c>
      <c r="I2903">
        <f>SUMPRODUCT(Calc!$K$3:$K$22*(Calc!$G$3:$G$22&gt;A2903)*(Calc!$G$3:$G$22-A2903)^2)</f>
        <v/>
      </c>
      <c r="J2903">
        <f>SUMPRODUCT(Calc!$K$3:$K$22*(Calc!$G$3:$G$22&gt;B2903)*(Calc!$G$3:$G$22-B2903)^2)</f>
        <v/>
      </c>
      <c r="K2903">
        <f>SUMPRODUCT(Calc!$K$3:$K$22*(Calc!$G$3:$G$22&gt;A2903)*(Calc!$G$3:$G$22-A2903)*(Calc!$G$3:$G$22&gt;B2903)*(Calc!$G$3:$G$22-B2903))</f>
        <v/>
      </c>
      <c r="L2903">
        <f>SUMPRODUCT(Calc!$K$3:$K$22*(Calc!$G$3:$G$22&gt;A2903)*(Calc!$G$3:$G$22-A2903)*Calc!$G$3:$G$22)</f>
        <v/>
      </c>
      <c r="M2903">
        <f>SUMPRODUCT(Calc!$K$3:$K$22*(Calc!$G$3:$G$22&gt;B2903)*(Calc!$G$3:$G$22-B2903)*Calc!$G$3:$G$22)</f>
        <v/>
      </c>
      <c r="N2903">
        <f>SUMPRODUCT(Calc!$K$3:$K$22*(Calc!$G$3:$G$22&gt;A2903)*(Calc!$G$3:$G$22-A2903)*Calc!$I$3:$I$22)</f>
        <v/>
      </c>
      <c r="O2903">
        <f>SUMPRODUCT(Calc!$K$3:$K$22*(Calc!$G$3:$G$22&gt;B2903)*(Calc!$G$3:$G$22-B2903)*Calc!$I$3:$I$22)</f>
        <v/>
      </c>
      <c r="P2903">
        <f>I2903-G2903^2/k_n</f>
        <v/>
      </c>
      <c r="Q2903">
        <f>J2903-H2903^2/k_n</f>
        <v/>
      </c>
      <c r="R2903">
        <f>K2903-G2903*H2903/k_n</f>
        <v/>
      </c>
      <c r="S2903">
        <f>L2903-LTP3!$D$3*G2903/k_n</f>
        <v/>
      </c>
      <c r="T2903">
        <f>M2903-LTP3!$D$3*H2903/k_n</f>
        <v/>
      </c>
      <c r="U2903">
        <f>N2903-G2903*LTP3!$D$4/k_n</f>
        <v/>
      </c>
      <c r="V2903">
        <f>O2903-H2903*LTP3!$D$4/k_n</f>
        <v/>
      </c>
      <c r="W2903">
        <f>((LTP3!$D$5)*((P2903)*(Q2903)-(R2903)*(R2903))-(S2903)*((S2903)*(Q2903)-(R2903)*(T2903))+(T2903)*((S2903)*(R2903)-(P2903)*(T2903)))</f>
        <v/>
      </c>
      <c r="X2903">
        <f>IF(ABS(W2903)&gt;1E-12,((LTP3!$D$6)*((P2903)*(Q2903)-(R2903)*(R2903))-(S2903)*((U2903)*(Q2903)-(R2903)*(V2903))+(T2903)*((U2903)*(R2903)-(P2903)*(V2903)))/W2903,0)</f>
        <v/>
      </c>
      <c r="Y2903">
        <f>IF(ABS(W2903)&gt;1E-12,((LTP3!$D$5)*((U2903)*(Q2903)-(R2903)*(V2903))-(LTP3!$D$6)*((S2903)*(Q2903)-(R2903)*(T2903))+(T2903)*((S2903)*(V2903)-(U2903)*(T2903)))/W2903,0)</f>
        <v/>
      </c>
      <c r="Z2903">
        <f>IF(ABS(W2903)&gt;1E-12,((LTP3!$D$5)*((P2903)*(V2903)-(U2903)*(R2903))-(S2903)*((S2903)*(V2903)-(U2903)*(T2903))+(LTP3!$D$6)*((S2903)*(R2903)-(P2903)*(T2903)))/W2903,0)</f>
        <v/>
      </c>
      <c r="AA2903">
        <f>LTP3!$D$7-X2903*LTP3!$D$6-Y2903*U2903-Z2903*V2903</f>
        <v/>
      </c>
      <c r="AB2903">
        <f>IF(AND(F2903,ABS(W2903)&gt;1E-12,Y2903&gt;0,Z2903&gt;0),AA2903,1E+300)</f>
        <v/>
      </c>
    </row>
    <row r="2904">
      <c r="A2904">
        <f>$B$3+$B$5*47</f>
        <v/>
      </c>
      <c r="B2904">
        <f>$B$3+$B$5*25</f>
        <v/>
      </c>
      <c r="C2904">
        <f>SUMPRODUCT(Calc!$K$3:$K$22*(Calc!$G$3:$G$22&lt;=A2904))</f>
        <v/>
      </c>
      <c r="D2904">
        <f>SUMPRODUCT(Calc!$K$3:$K$22*(Calc!$G$3:$G$22&gt;A2904)*(Calc!$G$3:$G$22&lt;B2904))</f>
        <v/>
      </c>
      <c r="E2904">
        <f>SUMPRODUCT(Calc!$K$3:$K$22*(Calc!$G$3:$G$22&gt;=B2904))</f>
        <v/>
      </c>
      <c r="F2904">
        <f>AND(k_n&gt;=5,B2904&gt;A2904+1E-9,C2904&gt;=2,D2904&gt;=1,E2904&gt;=2)</f>
        <v/>
      </c>
      <c r="G2904">
        <f>SUMPRODUCT(Calc!$K$3:$K$22*(Calc!$G$3:$G$22&gt;A2904)*(Calc!$G$3:$G$22-A2904))</f>
        <v/>
      </c>
      <c r="H2904">
        <f>SUMPRODUCT(Calc!$K$3:$K$22*(Calc!$G$3:$G$22&gt;B2904)*(Calc!$G$3:$G$22-B2904))</f>
        <v/>
      </c>
      <c r="I2904">
        <f>SUMPRODUCT(Calc!$K$3:$K$22*(Calc!$G$3:$G$22&gt;A2904)*(Calc!$G$3:$G$22-A2904)^2)</f>
        <v/>
      </c>
      <c r="J2904">
        <f>SUMPRODUCT(Calc!$K$3:$K$22*(Calc!$G$3:$G$22&gt;B2904)*(Calc!$G$3:$G$22-B2904)^2)</f>
        <v/>
      </c>
      <c r="K2904">
        <f>SUMPRODUCT(Calc!$K$3:$K$22*(Calc!$G$3:$G$22&gt;A2904)*(Calc!$G$3:$G$22-A2904)*(Calc!$G$3:$G$22&gt;B2904)*(Calc!$G$3:$G$22-B2904))</f>
        <v/>
      </c>
      <c r="L2904">
        <f>SUMPRODUCT(Calc!$K$3:$K$22*(Calc!$G$3:$G$22&gt;A2904)*(Calc!$G$3:$G$22-A2904)*Calc!$G$3:$G$22)</f>
        <v/>
      </c>
      <c r="M2904">
        <f>SUMPRODUCT(Calc!$K$3:$K$22*(Calc!$G$3:$G$22&gt;B2904)*(Calc!$G$3:$G$22-B2904)*Calc!$G$3:$G$22)</f>
        <v/>
      </c>
      <c r="N2904">
        <f>SUMPRODUCT(Calc!$K$3:$K$22*(Calc!$G$3:$G$22&gt;A2904)*(Calc!$G$3:$G$22-A2904)*Calc!$I$3:$I$22)</f>
        <v/>
      </c>
      <c r="O2904">
        <f>SUMPRODUCT(Calc!$K$3:$K$22*(Calc!$G$3:$G$22&gt;B2904)*(Calc!$G$3:$G$22-B2904)*Calc!$I$3:$I$22)</f>
        <v/>
      </c>
      <c r="P2904">
        <f>I2904-G2904^2/k_n</f>
        <v/>
      </c>
      <c r="Q2904">
        <f>J2904-H2904^2/k_n</f>
        <v/>
      </c>
      <c r="R2904">
        <f>K2904-G2904*H2904/k_n</f>
        <v/>
      </c>
      <c r="S2904">
        <f>L2904-LTP3!$D$3*G2904/k_n</f>
        <v/>
      </c>
      <c r="T2904">
        <f>M2904-LTP3!$D$3*H2904/k_n</f>
        <v/>
      </c>
      <c r="U2904">
        <f>N2904-G2904*LTP3!$D$4/k_n</f>
        <v/>
      </c>
      <c r="V2904">
        <f>O2904-H2904*LTP3!$D$4/k_n</f>
        <v/>
      </c>
      <c r="W2904">
        <f>((LTP3!$D$5)*((P2904)*(Q2904)-(R2904)*(R2904))-(S2904)*((S2904)*(Q2904)-(R2904)*(T2904))+(T2904)*((S2904)*(R2904)-(P2904)*(T2904)))</f>
        <v/>
      </c>
      <c r="X2904">
        <f>IF(ABS(W2904)&gt;1E-12,((LTP3!$D$6)*((P2904)*(Q2904)-(R2904)*(R2904))-(S2904)*((U2904)*(Q2904)-(R2904)*(V2904))+(T2904)*((U2904)*(R2904)-(P2904)*(V2904)))/W2904,0)</f>
        <v/>
      </c>
      <c r="Y2904">
        <f>IF(ABS(W2904)&gt;1E-12,((LTP3!$D$5)*((U2904)*(Q2904)-(R2904)*(V2904))-(LTP3!$D$6)*((S2904)*(Q2904)-(R2904)*(T2904))+(T2904)*((S2904)*(V2904)-(U2904)*(T2904)))/W2904,0)</f>
        <v/>
      </c>
      <c r="Z2904">
        <f>IF(ABS(W2904)&gt;1E-12,((LTP3!$D$5)*((P2904)*(V2904)-(U2904)*(R2904))-(S2904)*((S2904)*(V2904)-(U2904)*(T2904))+(LTP3!$D$6)*((S2904)*(R2904)-(P2904)*(T2904)))/W2904,0)</f>
        <v/>
      </c>
      <c r="AA2904">
        <f>LTP3!$D$7-X2904*LTP3!$D$6-Y2904*U2904-Z2904*V2904</f>
        <v/>
      </c>
      <c r="AB2904">
        <f>IF(AND(F2904,ABS(W2904)&gt;1E-12,Y2904&gt;0,Z2904&gt;0),AA2904,1E+300)</f>
        <v/>
      </c>
    </row>
    <row r="2905">
      <c r="A2905">
        <f>$B$3+$B$5*47</f>
        <v/>
      </c>
      <c r="B2905">
        <f>$B$3+$B$5*26</f>
        <v/>
      </c>
      <c r="C2905">
        <f>SUMPRODUCT(Calc!$K$3:$K$22*(Calc!$G$3:$G$22&lt;=A2905))</f>
        <v/>
      </c>
      <c r="D2905">
        <f>SUMPRODUCT(Calc!$K$3:$K$22*(Calc!$G$3:$G$22&gt;A2905)*(Calc!$G$3:$G$22&lt;B2905))</f>
        <v/>
      </c>
      <c r="E2905">
        <f>SUMPRODUCT(Calc!$K$3:$K$22*(Calc!$G$3:$G$22&gt;=B2905))</f>
        <v/>
      </c>
      <c r="F2905">
        <f>AND(k_n&gt;=5,B2905&gt;A2905+1E-9,C2905&gt;=2,D2905&gt;=1,E2905&gt;=2)</f>
        <v/>
      </c>
      <c r="G2905">
        <f>SUMPRODUCT(Calc!$K$3:$K$22*(Calc!$G$3:$G$22&gt;A2905)*(Calc!$G$3:$G$22-A2905))</f>
        <v/>
      </c>
      <c r="H2905">
        <f>SUMPRODUCT(Calc!$K$3:$K$22*(Calc!$G$3:$G$22&gt;B2905)*(Calc!$G$3:$G$22-B2905))</f>
        <v/>
      </c>
      <c r="I2905">
        <f>SUMPRODUCT(Calc!$K$3:$K$22*(Calc!$G$3:$G$22&gt;A2905)*(Calc!$G$3:$G$22-A2905)^2)</f>
        <v/>
      </c>
      <c r="J2905">
        <f>SUMPRODUCT(Calc!$K$3:$K$22*(Calc!$G$3:$G$22&gt;B2905)*(Calc!$G$3:$G$22-B2905)^2)</f>
        <v/>
      </c>
      <c r="K2905">
        <f>SUMPRODUCT(Calc!$K$3:$K$22*(Calc!$G$3:$G$22&gt;A2905)*(Calc!$G$3:$G$22-A2905)*(Calc!$G$3:$G$22&gt;B2905)*(Calc!$G$3:$G$22-B2905))</f>
        <v/>
      </c>
      <c r="L2905">
        <f>SUMPRODUCT(Calc!$K$3:$K$22*(Calc!$G$3:$G$22&gt;A2905)*(Calc!$G$3:$G$22-A2905)*Calc!$G$3:$G$22)</f>
        <v/>
      </c>
      <c r="M2905">
        <f>SUMPRODUCT(Calc!$K$3:$K$22*(Calc!$G$3:$G$22&gt;B2905)*(Calc!$G$3:$G$22-B2905)*Calc!$G$3:$G$22)</f>
        <v/>
      </c>
      <c r="N2905">
        <f>SUMPRODUCT(Calc!$K$3:$K$22*(Calc!$G$3:$G$22&gt;A2905)*(Calc!$G$3:$G$22-A2905)*Calc!$I$3:$I$22)</f>
        <v/>
      </c>
      <c r="O2905">
        <f>SUMPRODUCT(Calc!$K$3:$K$22*(Calc!$G$3:$G$22&gt;B2905)*(Calc!$G$3:$G$22-B2905)*Calc!$I$3:$I$22)</f>
        <v/>
      </c>
      <c r="P2905">
        <f>I2905-G2905^2/k_n</f>
        <v/>
      </c>
      <c r="Q2905">
        <f>J2905-H2905^2/k_n</f>
        <v/>
      </c>
      <c r="R2905">
        <f>K2905-G2905*H2905/k_n</f>
        <v/>
      </c>
      <c r="S2905">
        <f>L2905-LTP3!$D$3*G2905/k_n</f>
        <v/>
      </c>
      <c r="T2905">
        <f>M2905-LTP3!$D$3*H2905/k_n</f>
        <v/>
      </c>
      <c r="U2905">
        <f>N2905-G2905*LTP3!$D$4/k_n</f>
        <v/>
      </c>
      <c r="V2905">
        <f>O2905-H2905*LTP3!$D$4/k_n</f>
        <v/>
      </c>
      <c r="W2905">
        <f>((LTP3!$D$5)*((P2905)*(Q2905)-(R2905)*(R2905))-(S2905)*((S2905)*(Q2905)-(R2905)*(T2905))+(T2905)*((S2905)*(R2905)-(P2905)*(T2905)))</f>
        <v/>
      </c>
      <c r="X2905">
        <f>IF(ABS(W2905)&gt;1E-12,((LTP3!$D$6)*((P2905)*(Q2905)-(R2905)*(R2905))-(S2905)*((U2905)*(Q2905)-(R2905)*(V2905))+(T2905)*((U2905)*(R2905)-(P2905)*(V2905)))/W2905,0)</f>
        <v/>
      </c>
      <c r="Y2905">
        <f>IF(ABS(W2905)&gt;1E-12,((LTP3!$D$5)*((U2905)*(Q2905)-(R2905)*(V2905))-(LTP3!$D$6)*((S2905)*(Q2905)-(R2905)*(T2905))+(T2905)*((S2905)*(V2905)-(U2905)*(T2905)))/W2905,0)</f>
        <v/>
      </c>
      <c r="Z2905">
        <f>IF(ABS(W2905)&gt;1E-12,((LTP3!$D$5)*((P2905)*(V2905)-(U2905)*(R2905))-(S2905)*((S2905)*(V2905)-(U2905)*(T2905))+(LTP3!$D$6)*((S2905)*(R2905)-(P2905)*(T2905)))/W2905,0)</f>
        <v/>
      </c>
      <c r="AA2905">
        <f>LTP3!$D$7-X2905*LTP3!$D$6-Y2905*U2905-Z2905*V2905</f>
        <v/>
      </c>
      <c r="AB2905">
        <f>IF(AND(F2905,ABS(W2905)&gt;1E-12,Y2905&gt;0,Z2905&gt;0),AA2905,1E+300)</f>
        <v/>
      </c>
    </row>
    <row r="2906">
      <c r="A2906">
        <f>$B$3+$B$5*47</f>
        <v/>
      </c>
      <c r="B2906">
        <f>$B$3+$B$5*27</f>
        <v/>
      </c>
      <c r="C2906">
        <f>SUMPRODUCT(Calc!$K$3:$K$22*(Calc!$G$3:$G$22&lt;=A2906))</f>
        <v/>
      </c>
      <c r="D2906">
        <f>SUMPRODUCT(Calc!$K$3:$K$22*(Calc!$G$3:$G$22&gt;A2906)*(Calc!$G$3:$G$22&lt;B2906))</f>
        <v/>
      </c>
      <c r="E2906">
        <f>SUMPRODUCT(Calc!$K$3:$K$22*(Calc!$G$3:$G$22&gt;=B2906))</f>
        <v/>
      </c>
      <c r="F2906">
        <f>AND(k_n&gt;=5,B2906&gt;A2906+1E-9,C2906&gt;=2,D2906&gt;=1,E2906&gt;=2)</f>
        <v/>
      </c>
      <c r="G2906">
        <f>SUMPRODUCT(Calc!$K$3:$K$22*(Calc!$G$3:$G$22&gt;A2906)*(Calc!$G$3:$G$22-A2906))</f>
        <v/>
      </c>
      <c r="H2906">
        <f>SUMPRODUCT(Calc!$K$3:$K$22*(Calc!$G$3:$G$22&gt;B2906)*(Calc!$G$3:$G$22-B2906))</f>
        <v/>
      </c>
      <c r="I2906">
        <f>SUMPRODUCT(Calc!$K$3:$K$22*(Calc!$G$3:$G$22&gt;A2906)*(Calc!$G$3:$G$22-A2906)^2)</f>
        <v/>
      </c>
      <c r="J2906">
        <f>SUMPRODUCT(Calc!$K$3:$K$22*(Calc!$G$3:$G$22&gt;B2906)*(Calc!$G$3:$G$22-B2906)^2)</f>
        <v/>
      </c>
      <c r="K2906">
        <f>SUMPRODUCT(Calc!$K$3:$K$22*(Calc!$G$3:$G$22&gt;A2906)*(Calc!$G$3:$G$22-A2906)*(Calc!$G$3:$G$22&gt;B2906)*(Calc!$G$3:$G$22-B2906))</f>
        <v/>
      </c>
      <c r="L2906">
        <f>SUMPRODUCT(Calc!$K$3:$K$22*(Calc!$G$3:$G$22&gt;A2906)*(Calc!$G$3:$G$22-A2906)*Calc!$G$3:$G$22)</f>
        <v/>
      </c>
      <c r="M2906">
        <f>SUMPRODUCT(Calc!$K$3:$K$22*(Calc!$G$3:$G$22&gt;B2906)*(Calc!$G$3:$G$22-B2906)*Calc!$G$3:$G$22)</f>
        <v/>
      </c>
      <c r="N2906">
        <f>SUMPRODUCT(Calc!$K$3:$K$22*(Calc!$G$3:$G$22&gt;A2906)*(Calc!$G$3:$G$22-A2906)*Calc!$I$3:$I$22)</f>
        <v/>
      </c>
      <c r="O2906">
        <f>SUMPRODUCT(Calc!$K$3:$K$22*(Calc!$G$3:$G$22&gt;B2906)*(Calc!$G$3:$G$22-B2906)*Calc!$I$3:$I$22)</f>
        <v/>
      </c>
      <c r="P2906">
        <f>I2906-G2906^2/k_n</f>
        <v/>
      </c>
      <c r="Q2906">
        <f>J2906-H2906^2/k_n</f>
        <v/>
      </c>
      <c r="R2906">
        <f>K2906-G2906*H2906/k_n</f>
        <v/>
      </c>
      <c r="S2906">
        <f>L2906-LTP3!$D$3*G2906/k_n</f>
        <v/>
      </c>
      <c r="T2906">
        <f>M2906-LTP3!$D$3*H2906/k_n</f>
        <v/>
      </c>
      <c r="U2906">
        <f>N2906-G2906*LTP3!$D$4/k_n</f>
        <v/>
      </c>
      <c r="V2906">
        <f>O2906-H2906*LTP3!$D$4/k_n</f>
        <v/>
      </c>
      <c r="W2906">
        <f>((LTP3!$D$5)*((P2906)*(Q2906)-(R2906)*(R2906))-(S2906)*((S2906)*(Q2906)-(R2906)*(T2906))+(T2906)*((S2906)*(R2906)-(P2906)*(T2906)))</f>
        <v/>
      </c>
      <c r="X2906">
        <f>IF(ABS(W2906)&gt;1E-12,((LTP3!$D$6)*((P2906)*(Q2906)-(R2906)*(R2906))-(S2906)*((U2906)*(Q2906)-(R2906)*(V2906))+(T2906)*((U2906)*(R2906)-(P2906)*(V2906)))/W2906,0)</f>
        <v/>
      </c>
      <c r="Y2906">
        <f>IF(ABS(W2906)&gt;1E-12,((LTP3!$D$5)*((U2906)*(Q2906)-(R2906)*(V2906))-(LTP3!$D$6)*((S2906)*(Q2906)-(R2906)*(T2906))+(T2906)*((S2906)*(V2906)-(U2906)*(T2906)))/W2906,0)</f>
        <v/>
      </c>
      <c r="Z2906">
        <f>IF(ABS(W2906)&gt;1E-12,((LTP3!$D$5)*((P2906)*(V2906)-(U2906)*(R2906))-(S2906)*((S2906)*(V2906)-(U2906)*(T2906))+(LTP3!$D$6)*((S2906)*(R2906)-(P2906)*(T2906)))/W2906,0)</f>
        <v/>
      </c>
      <c r="AA2906">
        <f>LTP3!$D$7-X2906*LTP3!$D$6-Y2906*U2906-Z2906*V2906</f>
        <v/>
      </c>
      <c r="AB2906">
        <f>IF(AND(F2906,ABS(W2906)&gt;1E-12,Y2906&gt;0,Z2906&gt;0),AA2906,1E+300)</f>
        <v/>
      </c>
    </row>
    <row r="2907">
      <c r="A2907">
        <f>$B$3+$B$5*47</f>
        <v/>
      </c>
      <c r="B2907">
        <f>$B$3+$B$5*28</f>
        <v/>
      </c>
      <c r="C2907">
        <f>SUMPRODUCT(Calc!$K$3:$K$22*(Calc!$G$3:$G$22&lt;=A2907))</f>
        <v/>
      </c>
      <c r="D2907">
        <f>SUMPRODUCT(Calc!$K$3:$K$22*(Calc!$G$3:$G$22&gt;A2907)*(Calc!$G$3:$G$22&lt;B2907))</f>
        <v/>
      </c>
      <c r="E2907">
        <f>SUMPRODUCT(Calc!$K$3:$K$22*(Calc!$G$3:$G$22&gt;=B2907))</f>
        <v/>
      </c>
      <c r="F2907">
        <f>AND(k_n&gt;=5,B2907&gt;A2907+1E-9,C2907&gt;=2,D2907&gt;=1,E2907&gt;=2)</f>
        <v/>
      </c>
      <c r="G2907">
        <f>SUMPRODUCT(Calc!$K$3:$K$22*(Calc!$G$3:$G$22&gt;A2907)*(Calc!$G$3:$G$22-A2907))</f>
        <v/>
      </c>
      <c r="H2907">
        <f>SUMPRODUCT(Calc!$K$3:$K$22*(Calc!$G$3:$G$22&gt;B2907)*(Calc!$G$3:$G$22-B2907))</f>
        <v/>
      </c>
      <c r="I2907">
        <f>SUMPRODUCT(Calc!$K$3:$K$22*(Calc!$G$3:$G$22&gt;A2907)*(Calc!$G$3:$G$22-A2907)^2)</f>
        <v/>
      </c>
      <c r="J2907">
        <f>SUMPRODUCT(Calc!$K$3:$K$22*(Calc!$G$3:$G$22&gt;B2907)*(Calc!$G$3:$G$22-B2907)^2)</f>
        <v/>
      </c>
      <c r="K2907">
        <f>SUMPRODUCT(Calc!$K$3:$K$22*(Calc!$G$3:$G$22&gt;A2907)*(Calc!$G$3:$G$22-A2907)*(Calc!$G$3:$G$22&gt;B2907)*(Calc!$G$3:$G$22-B2907))</f>
        <v/>
      </c>
      <c r="L2907">
        <f>SUMPRODUCT(Calc!$K$3:$K$22*(Calc!$G$3:$G$22&gt;A2907)*(Calc!$G$3:$G$22-A2907)*Calc!$G$3:$G$22)</f>
        <v/>
      </c>
      <c r="M2907">
        <f>SUMPRODUCT(Calc!$K$3:$K$22*(Calc!$G$3:$G$22&gt;B2907)*(Calc!$G$3:$G$22-B2907)*Calc!$G$3:$G$22)</f>
        <v/>
      </c>
      <c r="N2907">
        <f>SUMPRODUCT(Calc!$K$3:$K$22*(Calc!$G$3:$G$22&gt;A2907)*(Calc!$G$3:$G$22-A2907)*Calc!$I$3:$I$22)</f>
        <v/>
      </c>
      <c r="O2907">
        <f>SUMPRODUCT(Calc!$K$3:$K$22*(Calc!$G$3:$G$22&gt;B2907)*(Calc!$G$3:$G$22-B2907)*Calc!$I$3:$I$22)</f>
        <v/>
      </c>
      <c r="P2907">
        <f>I2907-G2907^2/k_n</f>
        <v/>
      </c>
      <c r="Q2907">
        <f>J2907-H2907^2/k_n</f>
        <v/>
      </c>
      <c r="R2907">
        <f>K2907-G2907*H2907/k_n</f>
        <v/>
      </c>
      <c r="S2907">
        <f>L2907-LTP3!$D$3*G2907/k_n</f>
        <v/>
      </c>
      <c r="T2907">
        <f>M2907-LTP3!$D$3*H2907/k_n</f>
        <v/>
      </c>
      <c r="U2907">
        <f>N2907-G2907*LTP3!$D$4/k_n</f>
        <v/>
      </c>
      <c r="V2907">
        <f>O2907-H2907*LTP3!$D$4/k_n</f>
        <v/>
      </c>
      <c r="W2907">
        <f>((LTP3!$D$5)*((P2907)*(Q2907)-(R2907)*(R2907))-(S2907)*((S2907)*(Q2907)-(R2907)*(T2907))+(T2907)*((S2907)*(R2907)-(P2907)*(T2907)))</f>
        <v/>
      </c>
      <c r="X2907">
        <f>IF(ABS(W2907)&gt;1E-12,((LTP3!$D$6)*((P2907)*(Q2907)-(R2907)*(R2907))-(S2907)*((U2907)*(Q2907)-(R2907)*(V2907))+(T2907)*((U2907)*(R2907)-(P2907)*(V2907)))/W2907,0)</f>
        <v/>
      </c>
      <c r="Y2907">
        <f>IF(ABS(W2907)&gt;1E-12,((LTP3!$D$5)*((U2907)*(Q2907)-(R2907)*(V2907))-(LTP3!$D$6)*((S2907)*(Q2907)-(R2907)*(T2907))+(T2907)*((S2907)*(V2907)-(U2907)*(T2907)))/W2907,0)</f>
        <v/>
      </c>
      <c r="Z2907">
        <f>IF(ABS(W2907)&gt;1E-12,((LTP3!$D$5)*((P2907)*(V2907)-(U2907)*(R2907))-(S2907)*((S2907)*(V2907)-(U2907)*(T2907))+(LTP3!$D$6)*((S2907)*(R2907)-(P2907)*(T2907)))/W2907,0)</f>
        <v/>
      </c>
      <c r="AA2907">
        <f>LTP3!$D$7-X2907*LTP3!$D$6-Y2907*U2907-Z2907*V2907</f>
        <v/>
      </c>
      <c r="AB2907">
        <f>IF(AND(F2907,ABS(W2907)&gt;1E-12,Y2907&gt;0,Z2907&gt;0),AA2907,1E+300)</f>
        <v/>
      </c>
    </row>
    <row r="2908">
      <c r="A2908">
        <f>$B$3+$B$5*47</f>
        <v/>
      </c>
      <c r="B2908">
        <f>$B$3+$B$5*29</f>
        <v/>
      </c>
      <c r="C2908">
        <f>SUMPRODUCT(Calc!$K$3:$K$22*(Calc!$G$3:$G$22&lt;=A2908))</f>
        <v/>
      </c>
      <c r="D2908">
        <f>SUMPRODUCT(Calc!$K$3:$K$22*(Calc!$G$3:$G$22&gt;A2908)*(Calc!$G$3:$G$22&lt;B2908))</f>
        <v/>
      </c>
      <c r="E2908">
        <f>SUMPRODUCT(Calc!$K$3:$K$22*(Calc!$G$3:$G$22&gt;=B2908))</f>
        <v/>
      </c>
      <c r="F2908">
        <f>AND(k_n&gt;=5,B2908&gt;A2908+1E-9,C2908&gt;=2,D2908&gt;=1,E2908&gt;=2)</f>
        <v/>
      </c>
      <c r="G2908">
        <f>SUMPRODUCT(Calc!$K$3:$K$22*(Calc!$G$3:$G$22&gt;A2908)*(Calc!$G$3:$G$22-A2908))</f>
        <v/>
      </c>
      <c r="H2908">
        <f>SUMPRODUCT(Calc!$K$3:$K$22*(Calc!$G$3:$G$22&gt;B2908)*(Calc!$G$3:$G$22-B2908))</f>
        <v/>
      </c>
      <c r="I2908">
        <f>SUMPRODUCT(Calc!$K$3:$K$22*(Calc!$G$3:$G$22&gt;A2908)*(Calc!$G$3:$G$22-A2908)^2)</f>
        <v/>
      </c>
      <c r="J2908">
        <f>SUMPRODUCT(Calc!$K$3:$K$22*(Calc!$G$3:$G$22&gt;B2908)*(Calc!$G$3:$G$22-B2908)^2)</f>
        <v/>
      </c>
      <c r="K2908">
        <f>SUMPRODUCT(Calc!$K$3:$K$22*(Calc!$G$3:$G$22&gt;A2908)*(Calc!$G$3:$G$22-A2908)*(Calc!$G$3:$G$22&gt;B2908)*(Calc!$G$3:$G$22-B2908))</f>
        <v/>
      </c>
      <c r="L2908">
        <f>SUMPRODUCT(Calc!$K$3:$K$22*(Calc!$G$3:$G$22&gt;A2908)*(Calc!$G$3:$G$22-A2908)*Calc!$G$3:$G$22)</f>
        <v/>
      </c>
      <c r="M2908">
        <f>SUMPRODUCT(Calc!$K$3:$K$22*(Calc!$G$3:$G$22&gt;B2908)*(Calc!$G$3:$G$22-B2908)*Calc!$G$3:$G$22)</f>
        <v/>
      </c>
      <c r="N2908">
        <f>SUMPRODUCT(Calc!$K$3:$K$22*(Calc!$G$3:$G$22&gt;A2908)*(Calc!$G$3:$G$22-A2908)*Calc!$I$3:$I$22)</f>
        <v/>
      </c>
      <c r="O2908">
        <f>SUMPRODUCT(Calc!$K$3:$K$22*(Calc!$G$3:$G$22&gt;B2908)*(Calc!$G$3:$G$22-B2908)*Calc!$I$3:$I$22)</f>
        <v/>
      </c>
      <c r="P2908">
        <f>I2908-G2908^2/k_n</f>
        <v/>
      </c>
      <c r="Q2908">
        <f>J2908-H2908^2/k_n</f>
        <v/>
      </c>
      <c r="R2908">
        <f>K2908-G2908*H2908/k_n</f>
        <v/>
      </c>
      <c r="S2908">
        <f>L2908-LTP3!$D$3*G2908/k_n</f>
        <v/>
      </c>
      <c r="T2908">
        <f>M2908-LTP3!$D$3*H2908/k_n</f>
        <v/>
      </c>
      <c r="U2908">
        <f>N2908-G2908*LTP3!$D$4/k_n</f>
        <v/>
      </c>
      <c r="V2908">
        <f>O2908-H2908*LTP3!$D$4/k_n</f>
        <v/>
      </c>
      <c r="W2908">
        <f>((LTP3!$D$5)*((P2908)*(Q2908)-(R2908)*(R2908))-(S2908)*((S2908)*(Q2908)-(R2908)*(T2908))+(T2908)*((S2908)*(R2908)-(P2908)*(T2908)))</f>
        <v/>
      </c>
      <c r="X2908">
        <f>IF(ABS(W2908)&gt;1E-12,((LTP3!$D$6)*((P2908)*(Q2908)-(R2908)*(R2908))-(S2908)*((U2908)*(Q2908)-(R2908)*(V2908))+(T2908)*((U2908)*(R2908)-(P2908)*(V2908)))/W2908,0)</f>
        <v/>
      </c>
      <c r="Y2908">
        <f>IF(ABS(W2908)&gt;1E-12,((LTP3!$D$5)*((U2908)*(Q2908)-(R2908)*(V2908))-(LTP3!$D$6)*((S2908)*(Q2908)-(R2908)*(T2908))+(T2908)*((S2908)*(V2908)-(U2908)*(T2908)))/W2908,0)</f>
        <v/>
      </c>
      <c r="Z2908">
        <f>IF(ABS(W2908)&gt;1E-12,((LTP3!$D$5)*((P2908)*(V2908)-(U2908)*(R2908))-(S2908)*((S2908)*(V2908)-(U2908)*(T2908))+(LTP3!$D$6)*((S2908)*(R2908)-(P2908)*(T2908)))/W2908,0)</f>
        <v/>
      </c>
      <c r="AA2908">
        <f>LTP3!$D$7-X2908*LTP3!$D$6-Y2908*U2908-Z2908*V2908</f>
        <v/>
      </c>
      <c r="AB2908">
        <f>IF(AND(F2908,ABS(W2908)&gt;1E-12,Y2908&gt;0,Z2908&gt;0),AA2908,1E+300)</f>
        <v/>
      </c>
    </row>
    <row r="2909">
      <c r="A2909">
        <f>$B$3+$B$5*47</f>
        <v/>
      </c>
      <c r="B2909">
        <f>$B$3+$B$5*30</f>
        <v/>
      </c>
      <c r="C2909">
        <f>SUMPRODUCT(Calc!$K$3:$K$22*(Calc!$G$3:$G$22&lt;=A2909))</f>
        <v/>
      </c>
      <c r="D2909">
        <f>SUMPRODUCT(Calc!$K$3:$K$22*(Calc!$G$3:$G$22&gt;A2909)*(Calc!$G$3:$G$22&lt;B2909))</f>
        <v/>
      </c>
      <c r="E2909">
        <f>SUMPRODUCT(Calc!$K$3:$K$22*(Calc!$G$3:$G$22&gt;=B2909))</f>
        <v/>
      </c>
      <c r="F2909">
        <f>AND(k_n&gt;=5,B2909&gt;A2909+1E-9,C2909&gt;=2,D2909&gt;=1,E2909&gt;=2)</f>
        <v/>
      </c>
      <c r="G2909">
        <f>SUMPRODUCT(Calc!$K$3:$K$22*(Calc!$G$3:$G$22&gt;A2909)*(Calc!$G$3:$G$22-A2909))</f>
        <v/>
      </c>
      <c r="H2909">
        <f>SUMPRODUCT(Calc!$K$3:$K$22*(Calc!$G$3:$G$22&gt;B2909)*(Calc!$G$3:$G$22-B2909))</f>
        <v/>
      </c>
      <c r="I2909">
        <f>SUMPRODUCT(Calc!$K$3:$K$22*(Calc!$G$3:$G$22&gt;A2909)*(Calc!$G$3:$G$22-A2909)^2)</f>
        <v/>
      </c>
      <c r="J2909">
        <f>SUMPRODUCT(Calc!$K$3:$K$22*(Calc!$G$3:$G$22&gt;B2909)*(Calc!$G$3:$G$22-B2909)^2)</f>
        <v/>
      </c>
      <c r="K2909">
        <f>SUMPRODUCT(Calc!$K$3:$K$22*(Calc!$G$3:$G$22&gt;A2909)*(Calc!$G$3:$G$22-A2909)*(Calc!$G$3:$G$22&gt;B2909)*(Calc!$G$3:$G$22-B2909))</f>
        <v/>
      </c>
      <c r="L2909">
        <f>SUMPRODUCT(Calc!$K$3:$K$22*(Calc!$G$3:$G$22&gt;A2909)*(Calc!$G$3:$G$22-A2909)*Calc!$G$3:$G$22)</f>
        <v/>
      </c>
      <c r="M2909">
        <f>SUMPRODUCT(Calc!$K$3:$K$22*(Calc!$G$3:$G$22&gt;B2909)*(Calc!$G$3:$G$22-B2909)*Calc!$G$3:$G$22)</f>
        <v/>
      </c>
      <c r="N2909">
        <f>SUMPRODUCT(Calc!$K$3:$K$22*(Calc!$G$3:$G$22&gt;A2909)*(Calc!$G$3:$G$22-A2909)*Calc!$I$3:$I$22)</f>
        <v/>
      </c>
      <c r="O2909">
        <f>SUMPRODUCT(Calc!$K$3:$K$22*(Calc!$G$3:$G$22&gt;B2909)*(Calc!$G$3:$G$22-B2909)*Calc!$I$3:$I$22)</f>
        <v/>
      </c>
      <c r="P2909">
        <f>I2909-G2909^2/k_n</f>
        <v/>
      </c>
      <c r="Q2909">
        <f>J2909-H2909^2/k_n</f>
        <v/>
      </c>
      <c r="R2909">
        <f>K2909-G2909*H2909/k_n</f>
        <v/>
      </c>
      <c r="S2909">
        <f>L2909-LTP3!$D$3*G2909/k_n</f>
        <v/>
      </c>
      <c r="T2909">
        <f>M2909-LTP3!$D$3*H2909/k_n</f>
        <v/>
      </c>
      <c r="U2909">
        <f>N2909-G2909*LTP3!$D$4/k_n</f>
        <v/>
      </c>
      <c r="V2909">
        <f>O2909-H2909*LTP3!$D$4/k_n</f>
        <v/>
      </c>
      <c r="W2909">
        <f>((LTP3!$D$5)*((P2909)*(Q2909)-(R2909)*(R2909))-(S2909)*((S2909)*(Q2909)-(R2909)*(T2909))+(T2909)*((S2909)*(R2909)-(P2909)*(T2909)))</f>
        <v/>
      </c>
      <c r="X2909">
        <f>IF(ABS(W2909)&gt;1E-12,((LTP3!$D$6)*((P2909)*(Q2909)-(R2909)*(R2909))-(S2909)*((U2909)*(Q2909)-(R2909)*(V2909))+(T2909)*((U2909)*(R2909)-(P2909)*(V2909)))/W2909,0)</f>
        <v/>
      </c>
      <c r="Y2909">
        <f>IF(ABS(W2909)&gt;1E-12,((LTP3!$D$5)*((U2909)*(Q2909)-(R2909)*(V2909))-(LTP3!$D$6)*((S2909)*(Q2909)-(R2909)*(T2909))+(T2909)*((S2909)*(V2909)-(U2909)*(T2909)))/W2909,0)</f>
        <v/>
      </c>
      <c r="Z2909">
        <f>IF(ABS(W2909)&gt;1E-12,((LTP3!$D$5)*((P2909)*(V2909)-(U2909)*(R2909))-(S2909)*((S2909)*(V2909)-(U2909)*(T2909))+(LTP3!$D$6)*((S2909)*(R2909)-(P2909)*(T2909)))/W2909,0)</f>
        <v/>
      </c>
      <c r="AA2909">
        <f>LTP3!$D$7-X2909*LTP3!$D$6-Y2909*U2909-Z2909*V2909</f>
        <v/>
      </c>
      <c r="AB2909">
        <f>IF(AND(F2909,ABS(W2909)&gt;1E-12,Y2909&gt;0,Z2909&gt;0),AA2909,1E+300)</f>
        <v/>
      </c>
    </row>
    <row r="2910">
      <c r="A2910">
        <f>$B$3+$B$5*47</f>
        <v/>
      </c>
      <c r="B2910">
        <f>$B$3+$B$5*31</f>
        <v/>
      </c>
      <c r="C2910">
        <f>SUMPRODUCT(Calc!$K$3:$K$22*(Calc!$G$3:$G$22&lt;=A2910))</f>
        <v/>
      </c>
      <c r="D2910">
        <f>SUMPRODUCT(Calc!$K$3:$K$22*(Calc!$G$3:$G$22&gt;A2910)*(Calc!$G$3:$G$22&lt;B2910))</f>
        <v/>
      </c>
      <c r="E2910">
        <f>SUMPRODUCT(Calc!$K$3:$K$22*(Calc!$G$3:$G$22&gt;=B2910))</f>
        <v/>
      </c>
      <c r="F2910">
        <f>AND(k_n&gt;=5,B2910&gt;A2910+1E-9,C2910&gt;=2,D2910&gt;=1,E2910&gt;=2)</f>
        <v/>
      </c>
      <c r="G2910">
        <f>SUMPRODUCT(Calc!$K$3:$K$22*(Calc!$G$3:$G$22&gt;A2910)*(Calc!$G$3:$G$22-A2910))</f>
        <v/>
      </c>
      <c r="H2910">
        <f>SUMPRODUCT(Calc!$K$3:$K$22*(Calc!$G$3:$G$22&gt;B2910)*(Calc!$G$3:$G$22-B2910))</f>
        <v/>
      </c>
      <c r="I2910">
        <f>SUMPRODUCT(Calc!$K$3:$K$22*(Calc!$G$3:$G$22&gt;A2910)*(Calc!$G$3:$G$22-A2910)^2)</f>
        <v/>
      </c>
      <c r="J2910">
        <f>SUMPRODUCT(Calc!$K$3:$K$22*(Calc!$G$3:$G$22&gt;B2910)*(Calc!$G$3:$G$22-B2910)^2)</f>
        <v/>
      </c>
      <c r="K2910">
        <f>SUMPRODUCT(Calc!$K$3:$K$22*(Calc!$G$3:$G$22&gt;A2910)*(Calc!$G$3:$G$22-A2910)*(Calc!$G$3:$G$22&gt;B2910)*(Calc!$G$3:$G$22-B2910))</f>
        <v/>
      </c>
      <c r="L2910">
        <f>SUMPRODUCT(Calc!$K$3:$K$22*(Calc!$G$3:$G$22&gt;A2910)*(Calc!$G$3:$G$22-A2910)*Calc!$G$3:$G$22)</f>
        <v/>
      </c>
      <c r="M2910">
        <f>SUMPRODUCT(Calc!$K$3:$K$22*(Calc!$G$3:$G$22&gt;B2910)*(Calc!$G$3:$G$22-B2910)*Calc!$G$3:$G$22)</f>
        <v/>
      </c>
      <c r="N2910">
        <f>SUMPRODUCT(Calc!$K$3:$K$22*(Calc!$G$3:$G$22&gt;A2910)*(Calc!$G$3:$G$22-A2910)*Calc!$I$3:$I$22)</f>
        <v/>
      </c>
      <c r="O2910">
        <f>SUMPRODUCT(Calc!$K$3:$K$22*(Calc!$G$3:$G$22&gt;B2910)*(Calc!$G$3:$G$22-B2910)*Calc!$I$3:$I$22)</f>
        <v/>
      </c>
      <c r="P2910">
        <f>I2910-G2910^2/k_n</f>
        <v/>
      </c>
      <c r="Q2910">
        <f>J2910-H2910^2/k_n</f>
        <v/>
      </c>
      <c r="R2910">
        <f>K2910-G2910*H2910/k_n</f>
        <v/>
      </c>
      <c r="S2910">
        <f>L2910-LTP3!$D$3*G2910/k_n</f>
        <v/>
      </c>
      <c r="T2910">
        <f>M2910-LTP3!$D$3*H2910/k_n</f>
        <v/>
      </c>
      <c r="U2910">
        <f>N2910-G2910*LTP3!$D$4/k_n</f>
        <v/>
      </c>
      <c r="V2910">
        <f>O2910-H2910*LTP3!$D$4/k_n</f>
        <v/>
      </c>
      <c r="W2910">
        <f>((LTP3!$D$5)*((P2910)*(Q2910)-(R2910)*(R2910))-(S2910)*((S2910)*(Q2910)-(R2910)*(T2910))+(T2910)*((S2910)*(R2910)-(P2910)*(T2910)))</f>
        <v/>
      </c>
      <c r="X2910">
        <f>IF(ABS(W2910)&gt;1E-12,((LTP3!$D$6)*((P2910)*(Q2910)-(R2910)*(R2910))-(S2910)*((U2910)*(Q2910)-(R2910)*(V2910))+(T2910)*((U2910)*(R2910)-(P2910)*(V2910)))/W2910,0)</f>
        <v/>
      </c>
      <c r="Y2910">
        <f>IF(ABS(W2910)&gt;1E-12,((LTP3!$D$5)*((U2910)*(Q2910)-(R2910)*(V2910))-(LTP3!$D$6)*((S2910)*(Q2910)-(R2910)*(T2910))+(T2910)*((S2910)*(V2910)-(U2910)*(T2910)))/W2910,0)</f>
        <v/>
      </c>
      <c r="Z2910">
        <f>IF(ABS(W2910)&gt;1E-12,((LTP3!$D$5)*((P2910)*(V2910)-(U2910)*(R2910))-(S2910)*((S2910)*(V2910)-(U2910)*(T2910))+(LTP3!$D$6)*((S2910)*(R2910)-(P2910)*(T2910)))/W2910,0)</f>
        <v/>
      </c>
      <c r="AA2910">
        <f>LTP3!$D$7-X2910*LTP3!$D$6-Y2910*U2910-Z2910*V2910</f>
        <v/>
      </c>
      <c r="AB2910">
        <f>IF(AND(F2910,ABS(W2910)&gt;1E-12,Y2910&gt;0,Z2910&gt;0),AA2910,1E+300)</f>
        <v/>
      </c>
    </row>
    <row r="2911">
      <c r="A2911">
        <f>$B$3+$B$5*47</f>
        <v/>
      </c>
      <c r="B2911">
        <f>$B$3+$B$5*32</f>
        <v/>
      </c>
      <c r="C2911">
        <f>SUMPRODUCT(Calc!$K$3:$K$22*(Calc!$G$3:$G$22&lt;=A2911))</f>
        <v/>
      </c>
      <c r="D2911">
        <f>SUMPRODUCT(Calc!$K$3:$K$22*(Calc!$G$3:$G$22&gt;A2911)*(Calc!$G$3:$G$22&lt;B2911))</f>
        <v/>
      </c>
      <c r="E2911">
        <f>SUMPRODUCT(Calc!$K$3:$K$22*(Calc!$G$3:$G$22&gt;=B2911))</f>
        <v/>
      </c>
      <c r="F2911">
        <f>AND(k_n&gt;=5,B2911&gt;A2911+1E-9,C2911&gt;=2,D2911&gt;=1,E2911&gt;=2)</f>
        <v/>
      </c>
      <c r="G2911">
        <f>SUMPRODUCT(Calc!$K$3:$K$22*(Calc!$G$3:$G$22&gt;A2911)*(Calc!$G$3:$G$22-A2911))</f>
        <v/>
      </c>
      <c r="H2911">
        <f>SUMPRODUCT(Calc!$K$3:$K$22*(Calc!$G$3:$G$22&gt;B2911)*(Calc!$G$3:$G$22-B2911))</f>
        <v/>
      </c>
      <c r="I2911">
        <f>SUMPRODUCT(Calc!$K$3:$K$22*(Calc!$G$3:$G$22&gt;A2911)*(Calc!$G$3:$G$22-A2911)^2)</f>
        <v/>
      </c>
      <c r="J2911">
        <f>SUMPRODUCT(Calc!$K$3:$K$22*(Calc!$G$3:$G$22&gt;B2911)*(Calc!$G$3:$G$22-B2911)^2)</f>
        <v/>
      </c>
      <c r="K2911">
        <f>SUMPRODUCT(Calc!$K$3:$K$22*(Calc!$G$3:$G$22&gt;A2911)*(Calc!$G$3:$G$22-A2911)*(Calc!$G$3:$G$22&gt;B2911)*(Calc!$G$3:$G$22-B2911))</f>
        <v/>
      </c>
      <c r="L2911">
        <f>SUMPRODUCT(Calc!$K$3:$K$22*(Calc!$G$3:$G$22&gt;A2911)*(Calc!$G$3:$G$22-A2911)*Calc!$G$3:$G$22)</f>
        <v/>
      </c>
      <c r="M2911">
        <f>SUMPRODUCT(Calc!$K$3:$K$22*(Calc!$G$3:$G$22&gt;B2911)*(Calc!$G$3:$G$22-B2911)*Calc!$G$3:$G$22)</f>
        <v/>
      </c>
      <c r="N2911">
        <f>SUMPRODUCT(Calc!$K$3:$K$22*(Calc!$G$3:$G$22&gt;A2911)*(Calc!$G$3:$G$22-A2911)*Calc!$I$3:$I$22)</f>
        <v/>
      </c>
      <c r="O2911">
        <f>SUMPRODUCT(Calc!$K$3:$K$22*(Calc!$G$3:$G$22&gt;B2911)*(Calc!$G$3:$G$22-B2911)*Calc!$I$3:$I$22)</f>
        <v/>
      </c>
      <c r="P2911">
        <f>I2911-G2911^2/k_n</f>
        <v/>
      </c>
      <c r="Q2911">
        <f>J2911-H2911^2/k_n</f>
        <v/>
      </c>
      <c r="R2911">
        <f>K2911-G2911*H2911/k_n</f>
        <v/>
      </c>
      <c r="S2911">
        <f>L2911-LTP3!$D$3*G2911/k_n</f>
        <v/>
      </c>
      <c r="T2911">
        <f>M2911-LTP3!$D$3*H2911/k_n</f>
        <v/>
      </c>
      <c r="U2911">
        <f>N2911-G2911*LTP3!$D$4/k_n</f>
        <v/>
      </c>
      <c r="V2911">
        <f>O2911-H2911*LTP3!$D$4/k_n</f>
        <v/>
      </c>
      <c r="W2911">
        <f>((LTP3!$D$5)*((P2911)*(Q2911)-(R2911)*(R2911))-(S2911)*((S2911)*(Q2911)-(R2911)*(T2911))+(T2911)*((S2911)*(R2911)-(P2911)*(T2911)))</f>
        <v/>
      </c>
      <c r="X2911">
        <f>IF(ABS(W2911)&gt;1E-12,((LTP3!$D$6)*((P2911)*(Q2911)-(R2911)*(R2911))-(S2911)*((U2911)*(Q2911)-(R2911)*(V2911))+(T2911)*((U2911)*(R2911)-(P2911)*(V2911)))/W2911,0)</f>
        <v/>
      </c>
      <c r="Y2911">
        <f>IF(ABS(W2911)&gt;1E-12,((LTP3!$D$5)*((U2911)*(Q2911)-(R2911)*(V2911))-(LTP3!$D$6)*((S2911)*(Q2911)-(R2911)*(T2911))+(T2911)*((S2911)*(V2911)-(U2911)*(T2911)))/W2911,0)</f>
        <v/>
      </c>
      <c r="Z2911">
        <f>IF(ABS(W2911)&gt;1E-12,((LTP3!$D$5)*((P2911)*(V2911)-(U2911)*(R2911))-(S2911)*((S2911)*(V2911)-(U2911)*(T2911))+(LTP3!$D$6)*((S2911)*(R2911)-(P2911)*(T2911)))/W2911,0)</f>
        <v/>
      </c>
      <c r="AA2911">
        <f>LTP3!$D$7-X2911*LTP3!$D$6-Y2911*U2911-Z2911*V2911</f>
        <v/>
      </c>
      <c r="AB2911">
        <f>IF(AND(F2911,ABS(W2911)&gt;1E-12,Y2911&gt;0,Z2911&gt;0),AA2911,1E+300)</f>
        <v/>
      </c>
    </row>
    <row r="2912">
      <c r="A2912">
        <f>$B$3+$B$5*47</f>
        <v/>
      </c>
      <c r="B2912">
        <f>$B$3+$B$5*33</f>
        <v/>
      </c>
      <c r="C2912">
        <f>SUMPRODUCT(Calc!$K$3:$K$22*(Calc!$G$3:$G$22&lt;=A2912))</f>
        <v/>
      </c>
      <c r="D2912">
        <f>SUMPRODUCT(Calc!$K$3:$K$22*(Calc!$G$3:$G$22&gt;A2912)*(Calc!$G$3:$G$22&lt;B2912))</f>
        <v/>
      </c>
      <c r="E2912">
        <f>SUMPRODUCT(Calc!$K$3:$K$22*(Calc!$G$3:$G$22&gt;=B2912))</f>
        <v/>
      </c>
      <c r="F2912">
        <f>AND(k_n&gt;=5,B2912&gt;A2912+1E-9,C2912&gt;=2,D2912&gt;=1,E2912&gt;=2)</f>
        <v/>
      </c>
      <c r="G2912">
        <f>SUMPRODUCT(Calc!$K$3:$K$22*(Calc!$G$3:$G$22&gt;A2912)*(Calc!$G$3:$G$22-A2912))</f>
        <v/>
      </c>
      <c r="H2912">
        <f>SUMPRODUCT(Calc!$K$3:$K$22*(Calc!$G$3:$G$22&gt;B2912)*(Calc!$G$3:$G$22-B2912))</f>
        <v/>
      </c>
      <c r="I2912">
        <f>SUMPRODUCT(Calc!$K$3:$K$22*(Calc!$G$3:$G$22&gt;A2912)*(Calc!$G$3:$G$22-A2912)^2)</f>
        <v/>
      </c>
      <c r="J2912">
        <f>SUMPRODUCT(Calc!$K$3:$K$22*(Calc!$G$3:$G$22&gt;B2912)*(Calc!$G$3:$G$22-B2912)^2)</f>
        <v/>
      </c>
      <c r="K2912">
        <f>SUMPRODUCT(Calc!$K$3:$K$22*(Calc!$G$3:$G$22&gt;A2912)*(Calc!$G$3:$G$22-A2912)*(Calc!$G$3:$G$22&gt;B2912)*(Calc!$G$3:$G$22-B2912))</f>
        <v/>
      </c>
      <c r="L2912">
        <f>SUMPRODUCT(Calc!$K$3:$K$22*(Calc!$G$3:$G$22&gt;A2912)*(Calc!$G$3:$G$22-A2912)*Calc!$G$3:$G$22)</f>
        <v/>
      </c>
      <c r="M2912">
        <f>SUMPRODUCT(Calc!$K$3:$K$22*(Calc!$G$3:$G$22&gt;B2912)*(Calc!$G$3:$G$22-B2912)*Calc!$G$3:$G$22)</f>
        <v/>
      </c>
      <c r="N2912">
        <f>SUMPRODUCT(Calc!$K$3:$K$22*(Calc!$G$3:$G$22&gt;A2912)*(Calc!$G$3:$G$22-A2912)*Calc!$I$3:$I$22)</f>
        <v/>
      </c>
      <c r="O2912">
        <f>SUMPRODUCT(Calc!$K$3:$K$22*(Calc!$G$3:$G$22&gt;B2912)*(Calc!$G$3:$G$22-B2912)*Calc!$I$3:$I$22)</f>
        <v/>
      </c>
      <c r="P2912">
        <f>I2912-G2912^2/k_n</f>
        <v/>
      </c>
      <c r="Q2912">
        <f>J2912-H2912^2/k_n</f>
        <v/>
      </c>
      <c r="R2912">
        <f>K2912-G2912*H2912/k_n</f>
        <v/>
      </c>
      <c r="S2912">
        <f>L2912-LTP3!$D$3*G2912/k_n</f>
        <v/>
      </c>
      <c r="T2912">
        <f>M2912-LTP3!$D$3*H2912/k_n</f>
        <v/>
      </c>
      <c r="U2912">
        <f>N2912-G2912*LTP3!$D$4/k_n</f>
        <v/>
      </c>
      <c r="V2912">
        <f>O2912-H2912*LTP3!$D$4/k_n</f>
        <v/>
      </c>
      <c r="W2912">
        <f>((LTP3!$D$5)*((P2912)*(Q2912)-(R2912)*(R2912))-(S2912)*((S2912)*(Q2912)-(R2912)*(T2912))+(T2912)*((S2912)*(R2912)-(P2912)*(T2912)))</f>
        <v/>
      </c>
      <c r="X2912">
        <f>IF(ABS(W2912)&gt;1E-12,((LTP3!$D$6)*((P2912)*(Q2912)-(R2912)*(R2912))-(S2912)*((U2912)*(Q2912)-(R2912)*(V2912))+(T2912)*((U2912)*(R2912)-(P2912)*(V2912)))/W2912,0)</f>
        <v/>
      </c>
      <c r="Y2912">
        <f>IF(ABS(W2912)&gt;1E-12,((LTP3!$D$5)*((U2912)*(Q2912)-(R2912)*(V2912))-(LTP3!$D$6)*((S2912)*(Q2912)-(R2912)*(T2912))+(T2912)*((S2912)*(V2912)-(U2912)*(T2912)))/W2912,0)</f>
        <v/>
      </c>
      <c r="Z2912">
        <f>IF(ABS(W2912)&gt;1E-12,((LTP3!$D$5)*((P2912)*(V2912)-(U2912)*(R2912))-(S2912)*((S2912)*(V2912)-(U2912)*(T2912))+(LTP3!$D$6)*((S2912)*(R2912)-(P2912)*(T2912)))/W2912,0)</f>
        <v/>
      </c>
      <c r="AA2912">
        <f>LTP3!$D$7-X2912*LTP3!$D$6-Y2912*U2912-Z2912*V2912</f>
        <v/>
      </c>
      <c r="AB2912">
        <f>IF(AND(F2912,ABS(W2912)&gt;1E-12,Y2912&gt;0,Z2912&gt;0),AA2912,1E+300)</f>
        <v/>
      </c>
    </row>
    <row r="2913">
      <c r="A2913">
        <f>$B$3+$B$5*47</f>
        <v/>
      </c>
      <c r="B2913">
        <f>$B$3+$B$5*34</f>
        <v/>
      </c>
      <c r="C2913">
        <f>SUMPRODUCT(Calc!$K$3:$K$22*(Calc!$G$3:$G$22&lt;=A2913))</f>
        <v/>
      </c>
      <c r="D2913">
        <f>SUMPRODUCT(Calc!$K$3:$K$22*(Calc!$G$3:$G$22&gt;A2913)*(Calc!$G$3:$G$22&lt;B2913))</f>
        <v/>
      </c>
      <c r="E2913">
        <f>SUMPRODUCT(Calc!$K$3:$K$22*(Calc!$G$3:$G$22&gt;=B2913))</f>
        <v/>
      </c>
      <c r="F2913">
        <f>AND(k_n&gt;=5,B2913&gt;A2913+1E-9,C2913&gt;=2,D2913&gt;=1,E2913&gt;=2)</f>
        <v/>
      </c>
      <c r="G2913">
        <f>SUMPRODUCT(Calc!$K$3:$K$22*(Calc!$G$3:$G$22&gt;A2913)*(Calc!$G$3:$G$22-A2913))</f>
        <v/>
      </c>
      <c r="H2913">
        <f>SUMPRODUCT(Calc!$K$3:$K$22*(Calc!$G$3:$G$22&gt;B2913)*(Calc!$G$3:$G$22-B2913))</f>
        <v/>
      </c>
      <c r="I2913">
        <f>SUMPRODUCT(Calc!$K$3:$K$22*(Calc!$G$3:$G$22&gt;A2913)*(Calc!$G$3:$G$22-A2913)^2)</f>
        <v/>
      </c>
      <c r="J2913">
        <f>SUMPRODUCT(Calc!$K$3:$K$22*(Calc!$G$3:$G$22&gt;B2913)*(Calc!$G$3:$G$22-B2913)^2)</f>
        <v/>
      </c>
      <c r="K2913">
        <f>SUMPRODUCT(Calc!$K$3:$K$22*(Calc!$G$3:$G$22&gt;A2913)*(Calc!$G$3:$G$22-A2913)*(Calc!$G$3:$G$22&gt;B2913)*(Calc!$G$3:$G$22-B2913))</f>
        <v/>
      </c>
      <c r="L2913">
        <f>SUMPRODUCT(Calc!$K$3:$K$22*(Calc!$G$3:$G$22&gt;A2913)*(Calc!$G$3:$G$22-A2913)*Calc!$G$3:$G$22)</f>
        <v/>
      </c>
      <c r="M2913">
        <f>SUMPRODUCT(Calc!$K$3:$K$22*(Calc!$G$3:$G$22&gt;B2913)*(Calc!$G$3:$G$22-B2913)*Calc!$G$3:$G$22)</f>
        <v/>
      </c>
      <c r="N2913">
        <f>SUMPRODUCT(Calc!$K$3:$K$22*(Calc!$G$3:$G$22&gt;A2913)*(Calc!$G$3:$G$22-A2913)*Calc!$I$3:$I$22)</f>
        <v/>
      </c>
      <c r="O2913">
        <f>SUMPRODUCT(Calc!$K$3:$K$22*(Calc!$G$3:$G$22&gt;B2913)*(Calc!$G$3:$G$22-B2913)*Calc!$I$3:$I$22)</f>
        <v/>
      </c>
      <c r="P2913">
        <f>I2913-G2913^2/k_n</f>
        <v/>
      </c>
      <c r="Q2913">
        <f>J2913-H2913^2/k_n</f>
        <v/>
      </c>
      <c r="R2913">
        <f>K2913-G2913*H2913/k_n</f>
        <v/>
      </c>
      <c r="S2913">
        <f>L2913-LTP3!$D$3*G2913/k_n</f>
        <v/>
      </c>
      <c r="T2913">
        <f>M2913-LTP3!$D$3*H2913/k_n</f>
        <v/>
      </c>
      <c r="U2913">
        <f>N2913-G2913*LTP3!$D$4/k_n</f>
        <v/>
      </c>
      <c r="V2913">
        <f>O2913-H2913*LTP3!$D$4/k_n</f>
        <v/>
      </c>
      <c r="W2913">
        <f>((LTP3!$D$5)*((P2913)*(Q2913)-(R2913)*(R2913))-(S2913)*((S2913)*(Q2913)-(R2913)*(T2913))+(T2913)*((S2913)*(R2913)-(P2913)*(T2913)))</f>
        <v/>
      </c>
      <c r="X2913">
        <f>IF(ABS(W2913)&gt;1E-12,((LTP3!$D$6)*((P2913)*(Q2913)-(R2913)*(R2913))-(S2913)*((U2913)*(Q2913)-(R2913)*(V2913))+(T2913)*((U2913)*(R2913)-(P2913)*(V2913)))/W2913,0)</f>
        <v/>
      </c>
      <c r="Y2913">
        <f>IF(ABS(W2913)&gt;1E-12,((LTP3!$D$5)*((U2913)*(Q2913)-(R2913)*(V2913))-(LTP3!$D$6)*((S2913)*(Q2913)-(R2913)*(T2913))+(T2913)*((S2913)*(V2913)-(U2913)*(T2913)))/W2913,0)</f>
        <v/>
      </c>
      <c r="Z2913">
        <f>IF(ABS(W2913)&gt;1E-12,((LTP3!$D$5)*((P2913)*(V2913)-(U2913)*(R2913))-(S2913)*((S2913)*(V2913)-(U2913)*(T2913))+(LTP3!$D$6)*((S2913)*(R2913)-(P2913)*(T2913)))/W2913,0)</f>
        <v/>
      </c>
      <c r="AA2913">
        <f>LTP3!$D$7-X2913*LTP3!$D$6-Y2913*U2913-Z2913*V2913</f>
        <v/>
      </c>
      <c r="AB2913">
        <f>IF(AND(F2913,ABS(W2913)&gt;1E-12,Y2913&gt;0,Z2913&gt;0),AA2913,1E+300)</f>
        <v/>
      </c>
    </row>
    <row r="2914">
      <c r="A2914">
        <f>$B$3+$B$5*47</f>
        <v/>
      </c>
      <c r="B2914">
        <f>$B$3+$B$5*35</f>
        <v/>
      </c>
      <c r="C2914">
        <f>SUMPRODUCT(Calc!$K$3:$K$22*(Calc!$G$3:$G$22&lt;=A2914))</f>
        <v/>
      </c>
      <c r="D2914">
        <f>SUMPRODUCT(Calc!$K$3:$K$22*(Calc!$G$3:$G$22&gt;A2914)*(Calc!$G$3:$G$22&lt;B2914))</f>
        <v/>
      </c>
      <c r="E2914">
        <f>SUMPRODUCT(Calc!$K$3:$K$22*(Calc!$G$3:$G$22&gt;=B2914))</f>
        <v/>
      </c>
      <c r="F2914">
        <f>AND(k_n&gt;=5,B2914&gt;A2914+1E-9,C2914&gt;=2,D2914&gt;=1,E2914&gt;=2)</f>
        <v/>
      </c>
      <c r="G2914">
        <f>SUMPRODUCT(Calc!$K$3:$K$22*(Calc!$G$3:$G$22&gt;A2914)*(Calc!$G$3:$G$22-A2914))</f>
        <v/>
      </c>
      <c r="H2914">
        <f>SUMPRODUCT(Calc!$K$3:$K$22*(Calc!$G$3:$G$22&gt;B2914)*(Calc!$G$3:$G$22-B2914))</f>
        <v/>
      </c>
      <c r="I2914">
        <f>SUMPRODUCT(Calc!$K$3:$K$22*(Calc!$G$3:$G$22&gt;A2914)*(Calc!$G$3:$G$22-A2914)^2)</f>
        <v/>
      </c>
      <c r="J2914">
        <f>SUMPRODUCT(Calc!$K$3:$K$22*(Calc!$G$3:$G$22&gt;B2914)*(Calc!$G$3:$G$22-B2914)^2)</f>
        <v/>
      </c>
      <c r="K2914">
        <f>SUMPRODUCT(Calc!$K$3:$K$22*(Calc!$G$3:$G$22&gt;A2914)*(Calc!$G$3:$G$22-A2914)*(Calc!$G$3:$G$22&gt;B2914)*(Calc!$G$3:$G$22-B2914))</f>
        <v/>
      </c>
      <c r="L2914">
        <f>SUMPRODUCT(Calc!$K$3:$K$22*(Calc!$G$3:$G$22&gt;A2914)*(Calc!$G$3:$G$22-A2914)*Calc!$G$3:$G$22)</f>
        <v/>
      </c>
      <c r="M2914">
        <f>SUMPRODUCT(Calc!$K$3:$K$22*(Calc!$G$3:$G$22&gt;B2914)*(Calc!$G$3:$G$22-B2914)*Calc!$G$3:$G$22)</f>
        <v/>
      </c>
      <c r="N2914">
        <f>SUMPRODUCT(Calc!$K$3:$K$22*(Calc!$G$3:$G$22&gt;A2914)*(Calc!$G$3:$G$22-A2914)*Calc!$I$3:$I$22)</f>
        <v/>
      </c>
      <c r="O2914">
        <f>SUMPRODUCT(Calc!$K$3:$K$22*(Calc!$G$3:$G$22&gt;B2914)*(Calc!$G$3:$G$22-B2914)*Calc!$I$3:$I$22)</f>
        <v/>
      </c>
      <c r="P2914">
        <f>I2914-G2914^2/k_n</f>
        <v/>
      </c>
      <c r="Q2914">
        <f>J2914-H2914^2/k_n</f>
        <v/>
      </c>
      <c r="R2914">
        <f>K2914-G2914*H2914/k_n</f>
        <v/>
      </c>
      <c r="S2914">
        <f>L2914-LTP3!$D$3*G2914/k_n</f>
        <v/>
      </c>
      <c r="T2914">
        <f>M2914-LTP3!$D$3*H2914/k_n</f>
        <v/>
      </c>
      <c r="U2914">
        <f>N2914-G2914*LTP3!$D$4/k_n</f>
        <v/>
      </c>
      <c r="V2914">
        <f>O2914-H2914*LTP3!$D$4/k_n</f>
        <v/>
      </c>
      <c r="W2914">
        <f>((LTP3!$D$5)*((P2914)*(Q2914)-(R2914)*(R2914))-(S2914)*((S2914)*(Q2914)-(R2914)*(T2914))+(T2914)*((S2914)*(R2914)-(P2914)*(T2914)))</f>
        <v/>
      </c>
      <c r="X2914">
        <f>IF(ABS(W2914)&gt;1E-12,((LTP3!$D$6)*((P2914)*(Q2914)-(R2914)*(R2914))-(S2914)*((U2914)*(Q2914)-(R2914)*(V2914))+(T2914)*((U2914)*(R2914)-(P2914)*(V2914)))/W2914,0)</f>
        <v/>
      </c>
      <c r="Y2914">
        <f>IF(ABS(W2914)&gt;1E-12,((LTP3!$D$5)*((U2914)*(Q2914)-(R2914)*(V2914))-(LTP3!$D$6)*((S2914)*(Q2914)-(R2914)*(T2914))+(T2914)*((S2914)*(V2914)-(U2914)*(T2914)))/W2914,0)</f>
        <v/>
      </c>
      <c r="Z2914">
        <f>IF(ABS(W2914)&gt;1E-12,((LTP3!$D$5)*((P2914)*(V2914)-(U2914)*(R2914))-(S2914)*((S2914)*(V2914)-(U2914)*(T2914))+(LTP3!$D$6)*((S2914)*(R2914)-(P2914)*(T2914)))/W2914,0)</f>
        <v/>
      </c>
      <c r="AA2914">
        <f>LTP3!$D$7-X2914*LTP3!$D$6-Y2914*U2914-Z2914*V2914</f>
        <v/>
      </c>
      <c r="AB2914">
        <f>IF(AND(F2914,ABS(W2914)&gt;1E-12,Y2914&gt;0,Z2914&gt;0),AA2914,1E+300)</f>
        <v/>
      </c>
    </row>
    <row r="2915">
      <c r="A2915">
        <f>$B$3+$B$5*47</f>
        <v/>
      </c>
      <c r="B2915">
        <f>$B$3+$B$5*36</f>
        <v/>
      </c>
      <c r="C2915">
        <f>SUMPRODUCT(Calc!$K$3:$K$22*(Calc!$G$3:$G$22&lt;=A2915))</f>
        <v/>
      </c>
      <c r="D2915">
        <f>SUMPRODUCT(Calc!$K$3:$K$22*(Calc!$G$3:$G$22&gt;A2915)*(Calc!$G$3:$G$22&lt;B2915))</f>
        <v/>
      </c>
      <c r="E2915">
        <f>SUMPRODUCT(Calc!$K$3:$K$22*(Calc!$G$3:$G$22&gt;=B2915))</f>
        <v/>
      </c>
      <c r="F2915">
        <f>AND(k_n&gt;=5,B2915&gt;A2915+1E-9,C2915&gt;=2,D2915&gt;=1,E2915&gt;=2)</f>
        <v/>
      </c>
      <c r="G2915">
        <f>SUMPRODUCT(Calc!$K$3:$K$22*(Calc!$G$3:$G$22&gt;A2915)*(Calc!$G$3:$G$22-A2915))</f>
        <v/>
      </c>
      <c r="H2915">
        <f>SUMPRODUCT(Calc!$K$3:$K$22*(Calc!$G$3:$G$22&gt;B2915)*(Calc!$G$3:$G$22-B2915))</f>
        <v/>
      </c>
      <c r="I2915">
        <f>SUMPRODUCT(Calc!$K$3:$K$22*(Calc!$G$3:$G$22&gt;A2915)*(Calc!$G$3:$G$22-A2915)^2)</f>
        <v/>
      </c>
      <c r="J2915">
        <f>SUMPRODUCT(Calc!$K$3:$K$22*(Calc!$G$3:$G$22&gt;B2915)*(Calc!$G$3:$G$22-B2915)^2)</f>
        <v/>
      </c>
      <c r="K2915">
        <f>SUMPRODUCT(Calc!$K$3:$K$22*(Calc!$G$3:$G$22&gt;A2915)*(Calc!$G$3:$G$22-A2915)*(Calc!$G$3:$G$22&gt;B2915)*(Calc!$G$3:$G$22-B2915))</f>
        <v/>
      </c>
      <c r="L2915">
        <f>SUMPRODUCT(Calc!$K$3:$K$22*(Calc!$G$3:$G$22&gt;A2915)*(Calc!$G$3:$G$22-A2915)*Calc!$G$3:$G$22)</f>
        <v/>
      </c>
      <c r="M2915">
        <f>SUMPRODUCT(Calc!$K$3:$K$22*(Calc!$G$3:$G$22&gt;B2915)*(Calc!$G$3:$G$22-B2915)*Calc!$G$3:$G$22)</f>
        <v/>
      </c>
      <c r="N2915">
        <f>SUMPRODUCT(Calc!$K$3:$K$22*(Calc!$G$3:$G$22&gt;A2915)*(Calc!$G$3:$G$22-A2915)*Calc!$I$3:$I$22)</f>
        <v/>
      </c>
      <c r="O2915">
        <f>SUMPRODUCT(Calc!$K$3:$K$22*(Calc!$G$3:$G$22&gt;B2915)*(Calc!$G$3:$G$22-B2915)*Calc!$I$3:$I$22)</f>
        <v/>
      </c>
      <c r="P2915">
        <f>I2915-G2915^2/k_n</f>
        <v/>
      </c>
      <c r="Q2915">
        <f>J2915-H2915^2/k_n</f>
        <v/>
      </c>
      <c r="R2915">
        <f>K2915-G2915*H2915/k_n</f>
        <v/>
      </c>
      <c r="S2915">
        <f>L2915-LTP3!$D$3*G2915/k_n</f>
        <v/>
      </c>
      <c r="T2915">
        <f>M2915-LTP3!$D$3*H2915/k_n</f>
        <v/>
      </c>
      <c r="U2915">
        <f>N2915-G2915*LTP3!$D$4/k_n</f>
        <v/>
      </c>
      <c r="V2915">
        <f>O2915-H2915*LTP3!$D$4/k_n</f>
        <v/>
      </c>
      <c r="W2915">
        <f>((LTP3!$D$5)*((P2915)*(Q2915)-(R2915)*(R2915))-(S2915)*((S2915)*(Q2915)-(R2915)*(T2915))+(T2915)*((S2915)*(R2915)-(P2915)*(T2915)))</f>
        <v/>
      </c>
      <c r="X2915">
        <f>IF(ABS(W2915)&gt;1E-12,((LTP3!$D$6)*((P2915)*(Q2915)-(R2915)*(R2915))-(S2915)*((U2915)*(Q2915)-(R2915)*(V2915))+(T2915)*((U2915)*(R2915)-(P2915)*(V2915)))/W2915,0)</f>
        <v/>
      </c>
      <c r="Y2915">
        <f>IF(ABS(W2915)&gt;1E-12,((LTP3!$D$5)*((U2915)*(Q2915)-(R2915)*(V2915))-(LTP3!$D$6)*((S2915)*(Q2915)-(R2915)*(T2915))+(T2915)*((S2915)*(V2915)-(U2915)*(T2915)))/W2915,0)</f>
        <v/>
      </c>
      <c r="Z2915">
        <f>IF(ABS(W2915)&gt;1E-12,((LTP3!$D$5)*((P2915)*(V2915)-(U2915)*(R2915))-(S2915)*((S2915)*(V2915)-(U2915)*(T2915))+(LTP3!$D$6)*((S2915)*(R2915)-(P2915)*(T2915)))/W2915,0)</f>
        <v/>
      </c>
      <c r="AA2915">
        <f>LTP3!$D$7-X2915*LTP3!$D$6-Y2915*U2915-Z2915*V2915</f>
        <v/>
      </c>
      <c r="AB2915">
        <f>IF(AND(F2915,ABS(W2915)&gt;1E-12,Y2915&gt;0,Z2915&gt;0),AA2915,1E+300)</f>
        <v/>
      </c>
    </row>
    <row r="2916">
      <c r="A2916">
        <f>$B$3+$B$5*47</f>
        <v/>
      </c>
      <c r="B2916">
        <f>$B$3+$B$5*37</f>
        <v/>
      </c>
      <c r="C2916">
        <f>SUMPRODUCT(Calc!$K$3:$K$22*(Calc!$G$3:$G$22&lt;=A2916))</f>
        <v/>
      </c>
      <c r="D2916">
        <f>SUMPRODUCT(Calc!$K$3:$K$22*(Calc!$G$3:$G$22&gt;A2916)*(Calc!$G$3:$G$22&lt;B2916))</f>
        <v/>
      </c>
      <c r="E2916">
        <f>SUMPRODUCT(Calc!$K$3:$K$22*(Calc!$G$3:$G$22&gt;=B2916))</f>
        <v/>
      </c>
      <c r="F2916">
        <f>AND(k_n&gt;=5,B2916&gt;A2916+1E-9,C2916&gt;=2,D2916&gt;=1,E2916&gt;=2)</f>
        <v/>
      </c>
      <c r="G2916">
        <f>SUMPRODUCT(Calc!$K$3:$K$22*(Calc!$G$3:$G$22&gt;A2916)*(Calc!$G$3:$G$22-A2916))</f>
        <v/>
      </c>
      <c r="H2916">
        <f>SUMPRODUCT(Calc!$K$3:$K$22*(Calc!$G$3:$G$22&gt;B2916)*(Calc!$G$3:$G$22-B2916))</f>
        <v/>
      </c>
      <c r="I2916">
        <f>SUMPRODUCT(Calc!$K$3:$K$22*(Calc!$G$3:$G$22&gt;A2916)*(Calc!$G$3:$G$22-A2916)^2)</f>
        <v/>
      </c>
      <c r="J2916">
        <f>SUMPRODUCT(Calc!$K$3:$K$22*(Calc!$G$3:$G$22&gt;B2916)*(Calc!$G$3:$G$22-B2916)^2)</f>
        <v/>
      </c>
      <c r="K2916">
        <f>SUMPRODUCT(Calc!$K$3:$K$22*(Calc!$G$3:$G$22&gt;A2916)*(Calc!$G$3:$G$22-A2916)*(Calc!$G$3:$G$22&gt;B2916)*(Calc!$G$3:$G$22-B2916))</f>
        <v/>
      </c>
      <c r="L2916">
        <f>SUMPRODUCT(Calc!$K$3:$K$22*(Calc!$G$3:$G$22&gt;A2916)*(Calc!$G$3:$G$22-A2916)*Calc!$G$3:$G$22)</f>
        <v/>
      </c>
      <c r="M2916">
        <f>SUMPRODUCT(Calc!$K$3:$K$22*(Calc!$G$3:$G$22&gt;B2916)*(Calc!$G$3:$G$22-B2916)*Calc!$G$3:$G$22)</f>
        <v/>
      </c>
      <c r="N2916">
        <f>SUMPRODUCT(Calc!$K$3:$K$22*(Calc!$G$3:$G$22&gt;A2916)*(Calc!$G$3:$G$22-A2916)*Calc!$I$3:$I$22)</f>
        <v/>
      </c>
      <c r="O2916">
        <f>SUMPRODUCT(Calc!$K$3:$K$22*(Calc!$G$3:$G$22&gt;B2916)*(Calc!$G$3:$G$22-B2916)*Calc!$I$3:$I$22)</f>
        <v/>
      </c>
      <c r="P2916">
        <f>I2916-G2916^2/k_n</f>
        <v/>
      </c>
      <c r="Q2916">
        <f>J2916-H2916^2/k_n</f>
        <v/>
      </c>
      <c r="R2916">
        <f>K2916-G2916*H2916/k_n</f>
        <v/>
      </c>
      <c r="S2916">
        <f>L2916-LTP3!$D$3*G2916/k_n</f>
        <v/>
      </c>
      <c r="T2916">
        <f>M2916-LTP3!$D$3*H2916/k_n</f>
        <v/>
      </c>
      <c r="U2916">
        <f>N2916-G2916*LTP3!$D$4/k_n</f>
        <v/>
      </c>
      <c r="V2916">
        <f>O2916-H2916*LTP3!$D$4/k_n</f>
        <v/>
      </c>
      <c r="W2916">
        <f>((LTP3!$D$5)*((P2916)*(Q2916)-(R2916)*(R2916))-(S2916)*((S2916)*(Q2916)-(R2916)*(T2916))+(T2916)*((S2916)*(R2916)-(P2916)*(T2916)))</f>
        <v/>
      </c>
      <c r="X2916">
        <f>IF(ABS(W2916)&gt;1E-12,((LTP3!$D$6)*((P2916)*(Q2916)-(R2916)*(R2916))-(S2916)*((U2916)*(Q2916)-(R2916)*(V2916))+(T2916)*((U2916)*(R2916)-(P2916)*(V2916)))/W2916,0)</f>
        <v/>
      </c>
      <c r="Y2916">
        <f>IF(ABS(W2916)&gt;1E-12,((LTP3!$D$5)*((U2916)*(Q2916)-(R2916)*(V2916))-(LTP3!$D$6)*((S2916)*(Q2916)-(R2916)*(T2916))+(T2916)*((S2916)*(V2916)-(U2916)*(T2916)))/W2916,0)</f>
        <v/>
      </c>
      <c r="Z2916">
        <f>IF(ABS(W2916)&gt;1E-12,((LTP3!$D$5)*((P2916)*(V2916)-(U2916)*(R2916))-(S2916)*((S2916)*(V2916)-(U2916)*(T2916))+(LTP3!$D$6)*((S2916)*(R2916)-(P2916)*(T2916)))/W2916,0)</f>
        <v/>
      </c>
      <c r="AA2916">
        <f>LTP3!$D$7-X2916*LTP3!$D$6-Y2916*U2916-Z2916*V2916</f>
        <v/>
      </c>
      <c r="AB2916">
        <f>IF(AND(F2916,ABS(W2916)&gt;1E-12,Y2916&gt;0,Z2916&gt;0),AA2916,1E+300)</f>
        <v/>
      </c>
    </row>
    <row r="2917">
      <c r="A2917">
        <f>$B$3+$B$5*47</f>
        <v/>
      </c>
      <c r="B2917">
        <f>$B$3+$B$5*38</f>
        <v/>
      </c>
      <c r="C2917">
        <f>SUMPRODUCT(Calc!$K$3:$K$22*(Calc!$G$3:$G$22&lt;=A2917))</f>
        <v/>
      </c>
      <c r="D2917">
        <f>SUMPRODUCT(Calc!$K$3:$K$22*(Calc!$G$3:$G$22&gt;A2917)*(Calc!$G$3:$G$22&lt;B2917))</f>
        <v/>
      </c>
      <c r="E2917">
        <f>SUMPRODUCT(Calc!$K$3:$K$22*(Calc!$G$3:$G$22&gt;=B2917))</f>
        <v/>
      </c>
      <c r="F2917">
        <f>AND(k_n&gt;=5,B2917&gt;A2917+1E-9,C2917&gt;=2,D2917&gt;=1,E2917&gt;=2)</f>
        <v/>
      </c>
      <c r="G2917">
        <f>SUMPRODUCT(Calc!$K$3:$K$22*(Calc!$G$3:$G$22&gt;A2917)*(Calc!$G$3:$G$22-A2917))</f>
        <v/>
      </c>
      <c r="H2917">
        <f>SUMPRODUCT(Calc!$K$3:$K$22*(Calc!$G$3:$G$22&gt;B2917)*(Calc!$G$3:$G$22-B2917))</f>
        <v/>
      </c>
      <c r="I2917">
        <f>SUMPRODUCT(Calc!$K$3:$K$22*(Calc!$G$3:$G$22&gt;A2917)*(Calc!$G$3:$G$22-A2917)^2)</f>
        <v/>
      </c>
      <c r="J2917">
        <f>SUMPRODUCT(Calc!$K$3:$K$22*(Calc!$G$3:$G$22&gt;B2917)*(Calc!$G$3:$G$22-B2917)^2)</f>
        <v/>
      </c>
      <c r="K2917">
        <f>SUMPRODUCT(Calc!$K$3:$K$22*(Calc!$G$3:$G$22&gt;A2917)*(Calc!$G$3:$G$22-A2917)*(Calc!$G$3:$G$22&gt;B2917)*(Calc!$G$3:$G$22-B2917))</f>
        <v/>
      </c>
      <c r="L2917">
        <f>SUMPRODUCT(Calc!$K$3:$K$22*(Calc!$G$3:$G$22&gt;A2917)*(Calc!$G$3:$G$22-A2917)*Calc!$G$3:$G$22)</f>
        <v/>
      </c>
      <c r="M2917">
        <f>SUMPRODUCT(Calc!$K$3:$K$22*(Calc!$G$3:$G$22&gt;B2917)*(Calc!$G$3:$G$22-B2917)*Calc!$G$3:$G$22)</f>
        <v/>
      </c>
      <c r="N2917">
        <f>SUMPRODUCT(Calc!$K$3:$K$22*(Calc!$G$3:$G$22&gt;A2917)*(Calc!$G$3:$G$22-A2917)*Calc!$I$3:$I$22)</f>
        <v/>
      </c>
      <c r="O2917">
        <f>SUMPRODUCT(Calc!$K$3:$K$22*(Calc!$G$3:$G$22&gt;B2917)*(Calc!$G$3:$G$22-B2917)*Calc!$I$3:$I$22)</f>
        <v/>
      </c>
      <c r="P2917">
        <f>I2917-G2917^2/k_n</f>
        <v/>
      </c>
      <c r="Q2917">
        <f>J2917-H2917^2/k_n</f>
        <v/>
      </c>
      <c r="R2917">
        <f>K2917-G2917*H2917/k_n</f>
        <v/>
      </c>
      <c r="S2917">
        <f>L2917-LTP3!$D$3*G2917/k_n</f>
        <v/>
      </c>
      <c r="T2917">
        <f>M2917-LTP3!$D$3*H2917/k_n</f>
        <v/>
      </c>
      <c r="U2917">
        <f>N2917-G2917*LTP3!$D$4/k_n</f>
        <v/>
      </c>
      <c r="V2917">
        <f>O2917-H2917*LTP3!$D$4/k_n</f>
        <v/>
      </c>
      <c r="W2917">
        <f>((LTP3!$D$5)*((P2917)*(Q2917)-(R2917)*(R2917))-(S2917)*((S2917)*(Q2917)-(R2917)*(T2917))+(T2917)*((S2917)*(R2917)-(P2917)*(T2917)))</f>
        <v/>
      </c>
      <c r="X2917">
        <f>IF(ABS(W2917)&gt;1E-12,((LTP3!$D$6)*((P2917)*(Q2917)-(R2917)*(R2917))-(S2917)*((U2917)*(Q2917)-(R2917)*(V2917))+(T2917)*((U2917)*(R2917)-(P2917)*(V2917)))/W2917,0)</f>
        <v/>
      </c>
      <c r="Y2917">
        <f>IF(ABS(W2917)&gt;1E-12,((LTP3!$D$5)*((U2917)*(Q2917)-(R2917)*(V2917))-(LTP3!$D$6)*((S2917)*(Q2917)-(R2917)*(T2917))+(T2917)*((S2917)*(V2917)-(U2917)*(T2917)))/W2917,0)</f>
        <v/>
      </c>
      <c r="Z2917">
        <f>IF(ABS(W2917)&gt;1E-12,((LTP3!$D$5)*((P2917)*(V2917)-(U2917)*(R2917))-(S2917)*((S2917)*(V2917)-(U2917)*(T2917))+(LTP3!$D$6)*((S2917)*(R2917)-(P2917)*(T2917)))/W2917,0)</f>
        <v/>
      </c>
      <c r="AA2917">
        <f>LTP3!$D$7-X2917*LTP3!$D$6-Y2917*U2917-Z2917*V2917</f>
        <v/>
      </c>
      <c r="AB2917">
        <f>IF(AND(F2917,ABS(W2917)&gt;1E-12,Y2917&gt;0,Z2917&gt;0),AA2917,1E+300)</f>
        <v/>
      </c>
    </row>
    <row r="2918">
      <c r="A2918">
        <f>$B$3+$B$5*47</f>
        <v/>
      </c>
      <c r="B2918">
        <f>$B$3+$B$5*39</f>
        <v/>
      </c>
      <c r="C2918">
        <f>SUMPRODUCT(Calc!$K$3:$K$22*(Calc!$G$3:$G$22&lt;=A2918))</f>
        <v/>
      </c>
      <c r="D2918">
        <f>SUMPRODUCT(Calc!$K$3:$K$22*(Calc!$G$3:$G$22&gt;A2918)*(Calc!$G$3:$G$22&lt;B2918))</f>
        <v/>
      </c>
      <c r="E2918">
        <f>SUMPRODUCT(Calc!$K$3:$K$22*(Calc!$G$3:$G$22&gt;=B2918))</f>
        <v/>
      </c>
      <c r="F2918">
        <f>AND(k_n&gt;=5,B2918&gt;A2918+1E-9,C2918&gt;=2,D2918&gt;=1,E2918&gt;=2)</f>
        <v/>
      </c>
      <c r="G2918">
        <f>SUMPRODUCT(Calc!$K$3:$K$22*(Calc!$G$3:$G$22&gt;A2918)*(Calc!$G$3:$G$22-A2918))</f>
        <v/>
      </c>
      <c r="H2918">
        <f>SUMPRODUCT(Calc!$K$3:$K$22*(Calc!$G$3:$G$22&gt;B2918)*(Calc!$G$3:$G$22-B2918))</f>
        <v/>
      </c>
      <c r="I2918">
        <f>SUMPRODUCT(Calc!$K$3:$K$22*(Calc!$G$3:$G$22&gt;A2918)*(Calc!$G$3:$G$22-A2918)^2)</f>
        <v/>
      </c>
      <c r="J2918">
        <f>SUMPRODUCT(Calc!$K$3:$K$22*(Calc!$G$3:$G$22&gt;B2918)*(Calc!$G$3:$G$22-B2918)^2)</f>
        <v/>
      </c>
      <c r="K2918">
        <f>SUMPRODUCT(Calc!$K$3:$K$22*(Calc!$G$3:$G$22&gt;A2918)*(Calc!$G$3:$G$22-A2918)*(Calc!$G$3:$G$22&gt;B2918)*(Calc!$G$3:$G$22-B2918))</f>
        <v/>
      </c>
      <c r="L2918">
        <f>SUMPRODUCT(Calc!$K$3:$K$22*(Calc!$G$3:$G$22&gt;A2918)*(Calc!$G$3:$G$22-A2918)*Calc!$G$3:$G$22)</f>
        <v/>
      </c>
      <c r="M2918">
        <f>SUMPRODUCT(Calc!$K$3:$K$22*(Calc!$G$3:$G$22&gt;B2918)*(Calc!$G$3:$G$22-B2918)*Calc!$G$3:$G$22)</f>
        <v/>
      </c>
      <c r="N2918">
        <f>SUMPRODUCT(Calc!$K$3:$K$22*(Calc!$G$3:$G$22&gt;A2918)*(Calc!$G$3:$G$22-A2918)*Calc!$I$3:$I$22)</f>
        <v/>
      </c>
      <c r="O2918">
        <f>SUMPRODUCT(Calc!$K$3:$K$22*(Calc!$G$3:$G$22&gt;B2918)*(Calc!$G$3:$G$22-B2918)*Calc!$I$3:$I$22)</f>
        <v/>
      </c>
      <c r="P2918">
        <f>I2918-G2918^2/k_n</f>
        <v/>
      </c>
      <c r="Q2918">
        <f>J2918-H2918^2/k_n</f>
        <v/>
      </c>
      <c r="R2918">
        <f>K2918-G2918*H2918/k_n</f>
        <v/>
      </c>
      <c r="S2918">
        <f>L2918-LTP3!$D$3*G2918/k_n</f>
        <v/>
      </c>
      <c r="T2918">
        <f>M2918-LTP3!$D$3*H2918/k_n</f>
        <v/>
      </c>
      <c r="U2918">
        <f>N2918-G2918*LTP3!$D$4/k_n</f>
        <v/>
      </c>
      <c r="V2918">
        <f>O2918-H2918*LTP3!$D$4/k_n</f>
        <v/>
      </c>
      <c r="W2918">
        <f>((LTP3!$D$5)*((P2918)*(Q2918)-(R2918)*(R2918))-(S2918)*((S2918)*(Q2918)-(R2918)*(T2918))+(T2918)*((S2918)*(R2918)-(P2918)*(T2918)))</f>
        <v/>
      </c>
      <c r="X2918">
        <f>IF(ABS(W2918)&gt;1E-12,((LTP3!$D$6)*((P2918)*(Q2918)-(R2918)*(R2918))-(S2918)*((U2918)*(Q2918)-(R2918)*(V2918))+(T2918)*((U2918)*(R2918)-(P2918)*(V2918)))/W2918,0)</f>
        <v/>
      </c>
      <c r="Y2918">
        <f>IF(ABS(W2918)&gt;1E-12,((LTP3!$D$5)*((U2918)*(Q2918)-(R2918)*(V2918))-(LTP3!$D$6)*((S2918)*(Q2918)-(R2918)*(T2918))+(T2918)*((S2918)*(V2918)-(U2918)*(T2918)))/W2918,0)</f>
        <v/>
      </c>
      <c r="Z2918">
        <f>IF(ABS(W2918)&gt;1E-12,((LTP3!$D$5)*((P2918)*(V2918)-(U2918)*(R2918))-(S2918)*((S2918)*(V2918)-(U2918)*(T2918))+(LTP3!$D$6)*((S2918)*(R2918)-(P2918)*(T2918)))/W2918,0)</f>
        <v/>
      </c>
      <c r="AA2918">
        <f>LTP3!$D$7-X2918*LTP3!$D$6-Y2918*U2918-Z2918*V2918</f>
        <v/>
      </c>
      <c r="AB2918">
        <f>IF(AND(F2918,ABS(W2918)&gt;1E-12,Y2918&gt;0,Z2918&gt;0),AA2918,1E+300)</f>
        <v/>
      </c>
    </row>
    <row r="2919">
      <c r="A2919">
        <f>$B$3+$B$5*47</f>
        <v/>
      </c>
      <c r="B2919">
        <f>$B$3+$B$5*40</f>
        <v/>
      </c>
      <c r="C2919">
        <f>SUMPRODUCT(Calc!$K$3:$K$22*(Calc!$G$3:$G$22&lt;=A2919))</f>
        <v/>
      </c>
      <c r="D2919">
        <f>SUMPRODUCT(Calc!$K$3:$K$22*(Calc!$G$3:$G$22&gt;A2919)*(Calc!$G$3:$G$22&lt;B2919))</f>
        <v/>
      </c>
      <c r="E2919">
        <f>SUMPRODUCT(Calc!$K$3:$K$22*(Calc!$G$3:$G$22&gt;=B2919))</f>
        <v/>
      </c>
      <c r="F2919">
        <f>AND(k_n&gt;=5,B2919&gt;A2919+1E-9,C2919&gt;=2,D2919&gt;=1,E2919&gt;=2)</f>
        <v/>
      </c>
      <c r="G2919">
        <f>SUMPRODUCT(Calc!$K$3:$K$22*(Calc!$G$3:$G$22&gt;A2919)*(Calc!$G$3:$G$22-A2919))</f>
        <v/>
      </c>
      <c r="H2919">
        <f>SUMPRODUCT(Calc!$K$3:$K$22*(Calc!$G$3:$G$22&gt;B2919)*(Calc!$G$3:$G$22-B2919))</f>
        <v/>
      </c>
      <c r="I2919">
        <f>SUMPRODUCT(Calc!$K$3:$K$22*(Calc!$G$3:$G$22&gt;A2919)*(Calc!$G$3:$G$22-A2919)^2)</f>
        <v/>
      </c>
      <c r="J2919">
        <f>SUMPRODUCT(Calc!$K$3:$K$22*(Calc!$G$3:$G$22&gt;B2919)*(Calc!$G$3:$G$22-B2919)^2)</f>
        <v/>
      </c>
      <c r="K2919">
        <f>SUMPRODUCT(Calc!$K$3:$K$22*(Calc!$G$3:$G$22&gt;A2919)*(Calc!$G$3:$G$22-A2919)*(Calc!$G$3:$G$22&gt;B2919)*(Calc!$G$3:$G$22-B2919))</f>
        <v/>
      </c>
      <c r="L2919">
        <f>SUMPRODUCT(Calc!$K$3:$K$22*(Calc!$G$3:$G$22&gt;A2919)*(Calc!$G$3:$G$22-A2919)*Calc!$G$3:$G$22)</f>
        <v/>
      </c>
      <c r="M2919">
        <f>SUMPRODUCT(Calc!$K$3:$K$22*(Calc!$G$3:$G$22&gt;B2919)*(Calc!$G$3:$G$22-B2919)*Calc!$G$3:$G$22)</f>
        <v/>
      </c>
      <c r="N2919">
        <f>SUMPRODUCT(Calc!$K$3:$K$22*(Calc!$G$3:$G$22&gt;A2919)*(Calc!$G$3:$G$22-A2919)*Calc!$I$3:$I$22)</f>
        <v/>
      </c>
      <c r="O2919">
        <f>SUMPRODUCT(Calc!$K$3:$K$22*(Calc!$G$3:$G$22&gt;B2919)*(Calc!$G$3:$G$22-B2919)*Calc!$I$3:$I$22)</f>
        <v/>
      </c>
      <c r="P2919">
        <f>I2919-G2919^2/k_n</f>
        <v/>
      </c>
      <c r="Q2919">
        <f>J2919-H2919^2/k_n</f>
        <v/>
      </c>
      <c r="R2919">
        <f>K2919-G2919*H2919/k_n</f>
        <v/>
      </c>
      <c r="S2919">
        <f>L2919-LTP3!$D$3*G2919/k_n</f>
        <v/>
      </c>
      <c r="T2919">
        <f>M2919-LTP3!$D$3*H2919/k_n</f>
        <v/>
      </c>
      <c r="U2919">
        <f>N2919-G2919*LTP3!$D$4/k_n</f>
        <v/>
      </c>
      <c r="V2919">
        <f>O2919-H2919*LTP3!$D$4/k_n</f>
        <v/>
      </c>
      <c r="W2919">
        <f>((LTP3!$D$5)*((P2919)*(Q2919)-(R2919)*(R2919))-(S2919)*((S2919)*(Q2919)-(R2919)*(T2919))+(T2919)*((S2919)*(R2919)-(P2919)*(T2919)))</f>
        <v/>
      </c>
      <c r="X2919">
        <f>IF(ABS(W2919)&gt;1E-12,((LTP3!$D$6)*((P2919)*(Q2919)-(R2919)*(R2919))-(S2919)*((U2919)*(Q2919)-(R2919)*(V2919))+(T2919)*((U2919)*(R2919)-(P2919)*(V2919)))/W2919,0)</f>
        <v/>
      </c>
      <c r="Y2919">
        <f>IF(ABS(W2919)&gt;1E-12,((LTP3!$D$5)*((U2919)*(Q2919)-(R2919)*(V2919))-(LTP3!$D$6)*((S2919)*(Q2919)-(R2919)*(T2919))+(T2919)*((S2919)*(V2919)-(U2919)*(T2919)))/W2919,0)</f>
        <v/>
      </c>
      <c r="Z2919">
        <f>IF(ABS(W2919)&gt;1E-12,((LTP3!$D$5)*((P2919)*(V2919)-(U2919)*(R2919))-(S2919)*((S2919)*(V2919)-(U2919)*(T2919))+(LTP3!$D$6)*((S2919)*(R2919)-(P2919)*(T2919)))/W2919,0)</f>
        <v/>
      </c>
      <c r="AA2919">
        <f>LTP3!$D$7-X2919*LTP3!$D$6-Y2919*U2919-Z2919*V2919</f>
        <v/>
      </c>
      <c r="AB2919">
        <f>IF(AND(F2919,ABS(W2919)&gt;1E-12,Y2919&gt;0,Z2919&gt;0),AA2919,1E+300)</f>
        <v/>
      </c>
    </row>
    <row r="2920">
      <c r="A2920">
        <f>$B$3+$B$5*47</f>
        <v/>
      </c>
      <c r="B2920">
        <f>$B$3+$B$5*41</f>
        <v/>
      </c>
      <c r="C2920">
        <f>SUMPRODUCT(Calc!$K$3:$K$22*(Calc!$G$3:$G$22&lt;=A2920))</f>
        <v/>
      </c>
      <c r="D2920">
        <f>SUMPRODUCT(Calc!$K$3:$K$22*(Calc!$G$3:$G$22&gt;A2920)*(Calc!$G$3:$G$22&lt;B2920))</f>
        <v/>
      </c>
      <c r="E2920">
        <f>SUMPRODUCT(Calc!$K$3:$K$22*(Calc!$G$3:$G$22&gt;=B2920))</f>
        <v/>
      </c>
      <c r="F2920">
        <f>AND(k_n&gt;=5,B2920&gt;A2920+1E-9,C2920&gt;=2,D2920&gt;=1,E2920&gt;=2)</f>
        <v/>
      </c>
      <c r="G2920">
        <f>SUMPRODUCT(Calc!$K$3:$K$22*(Calc!$G$3:$G$22&gt;A2920)*(Calc!$G$3:$G$22-A2920))</f>
        <v/>
      </c>
      <c r="H2920">
        <f>SUMPRODUCT(Calc!$K$3:$K$22*(Calc!$G$3:$G$22&gt;B2920)*(Calc!$G$3:$G$22-B2920))</f>
        <v/>
      </c>
      <c r="I2920">
        <f>SUMPRODUCT(Calc!$K$3:$K$22*(Calc!$G$3:$G$22&gt;A2920)*(Calc!$G$3:$G$22-A2920)^2)</f>
        <v/>
      </c>
      <c r="J2920">
        <f>SUMPRODUCT(Calc!$K$3:$K$22*(Calc!$G$3:$G$22&gt;B2920)*(Calc!$G$3:$G$22-B2920)^2)</f>
        <v/>
      </c>
      <c r="K2920">
        <f>SUMPRODUCT(Calc!$K$3:$K$22*(Calc!$G$3:$G$22&gt;A2920)*(Calc!$G$3:$G$22-A2920)*(Calc!$G$3:$G$22&gt;B2920)*(Calc!$G$3:$G$22-B2920))</f>
        <v/>
      </c>
      <c r="L2920">
        <f>SUMPRODUCT(Calc!$K$3:$K$22*(Calc!$G$3:$G$22&gt;A2920)*(Calc!$G$3:$G$22-A2920)*Calc!$G$3:$G$22)</f>
        <v/>
      </c>
      <c r="M2920">
        <f>SUMPRODUCT(Calc!$K$3:$K$22*(Calc!$G$3:$G$22&gt;B2920)*(Calc!$G$3:$G$22-B2920)*Calc!$G$3:$G$22)</f>
        <v/>
      </c>
      <c r="N2920">
        <f>SUMPRODUCT(Calc!$K$3:$K$22*(Calc!$G$3:$G$22&gt;A2920)*(Calc!$G$3:$G$22-A2920)*Calc!$I$3:$I$22)</f>
        <v/>
      </c>
      <c r="O2920">
        <f>SUMPRODUCT(Calc!$K$3:$K$22*(Calc!$G$3:$G$22&gt;B2920)*(Calc!$G$3:$G$22-B2920)*Calc!$I$3:$I$22)</f>
        <v/>
      </c>
      <c r="P2920">
        <f>I2920-G2920^2/k_n</f>
        <v/>
      </c>
      <c r="Q2920">
        <f>J2920-H2920^2/k_n</f>
        <v/>
      </c>
      <c r="R2920">
        <f>K2920-G2920*H2920/k_n</f>
        <v/>
      </c>
      <c r="S2920">
        <f>L2920-LTP3!$D$3*G2920/k_n</f>
        <v/>
      </c>
      <c r="T2920">
        <f>M2920-LTP3!$D$3*H2920/k_n</f>
        <v/>
      </c>
      <c r="U2920">
        <f>N2920-G2920*LTP3!$D$4/k_n</f>
        <v/>
      </c>
      <c r="V2920">
        <f>O2920-H2920*LTP3!$D$4/k_n</f>
        <v/>
      </c>
      <c r="W2920">
        <f>((LTP3!$D$5)*((P2920)*(Q2920)-(R2920)*(R2920))-(S2920)*((S2920)*(Q2920)-(R2920)*(T2920))+(T2920)*((S2920)*(R2920)-(P2920)*(T2920)))</f>
        <v/>
      </c>
      <c r="X2920">
        <f>IF(ABS(W2920)&gt;1E-12,((LTP3!$D$6)*((P2920)*(Q2920)-(R2920)*(R2920))-(S2920)*((U2920)*(Q2920)-(R2920)*(V2920))+(T2920)*((U2920)*(R2920)-(P2920)*(V2920)))/W2920,0)</f>
        <v/>
      </c>
      <c r="Y2920">
        <f>IF(ABS(W2920)&gt;1E-12,((LTP3!$D$5)*((U2920)*(Q2920)-(R2920)*(V2920))-(LTP3!$D$6)*((S2920)*(Q2920)-(R2920)*(T2920))+(T2920)*((S2920)*(V2920)-(U2920)*(T2920)))/W2920,0)</f>
        <v/>
      </c>
      <c r="Z2920">
        <f>IF(ABS(W2920)&gt;1E-12,((LTP3!$D$5)*((P2920)*(V2920)-(U2920)*(R2920))-(S2920)*((S2920)*(V2920)-(U2920)*(T2920))+(LTP3!$D$6)*((S2920)*(R2920)-(P2920)*(T2920)))/W2920,0)</f>
        <v/>
      </c>
      <c r="AA2920">
        <f>LTP3!$D$7-X2920*LTP3!$D$6-Y2920*U2920-Z2920*V2920</f>
        <v/>
      </c>
      <c r="AB2920">
        <f>IF(AND(F2920,ABS(W2920)&gt;1E-12,Y2920&gt;0,Z2920&gt;0),AA2920,1E+300)</f>
        <v/>
      </c>
    </row>
    <row r="2921">
      <c r="A2921">
        <f>$B$3+$B$5*47</f>
        <v/>
      </c>
      <c r="B2921">
        <f>$B$3+$B$5*42</f>
        <v/>
      </c>
      <c r="C2921">
        <f>SUMPRODUCT(Calc!$K$3:$K$22*(Calc!$G$3:$G$22&lt;=A2921))</f>
        <v/>
      </c>
      <c r="D2921">
        <f>SUMPRODUCT(Calc!$K$3:$K$22*(Calc!$G$3:$G$22&gt;A2921)*(Calc!$G$3:$G$22&lt;B2921))</f>
        <v/>
      </c>
      <c r="E2921">
        <f>SUMPRODUCT(Calc!$K$3:$K$22*(Calc!$G$3:$G$22&gt;=B2921))</f>
        <v/>
      </c>
      <c r="F2921">
        <f>AND(k_n&gt;=5,B2921&gt;A2921+1E-9,C2921&gt;=2,D2921&gt;=1,E2921&gt;=2)</f>
        <v/>
      </c>
      <c r="G2921">
        <f>SUMPRODUCT(Calc!$K$3:$K$22*(Calc!$G$3:$G$22&gt;A2921)*(Calc!$G$3:$G$22-A2921))</f>
        <v/>
      </c>
      <c r="H2921">
        <f>SUMPRODUCT(Calc!$K$3:$K$22*(Calc!$G$3:$G$22&gt;B2921)*(Calc!$G$3:$G$22-B2921))</f>
        <v/>
      </c>
      <c r="I2921">
        <f>SUMPRODUCT(Calc!$K$3:$K$22*(Calc!$G$3:$G$22&gt;A2921)*(Calc!$G$3:$G$22-A2921)^2)</f>
        <v/>
      </c>
      <c r="J2921">
        <f>SUMPRODUCT(Calc!$K$3:$K$22*(Calc!$G$3:$G$22&gt;B2921)*(Calc!$G$3:$G$22-B2921)^2)</f>
        <v/>
      </c>
      <c r="K2921">
        <f>SUMPRODUCT(Calc!$K$3:$K$22*(Calc!$G$3:$G$22&gt;A2921)*(Calc!$G$3:$G$22-A2921)*(Calc!$G$3:$G$22&gt;B2921)*(Calc!$G$3:$G$22-B2921))</f>
        <v/>
      </c>
      <c r="L2921">
        <f>SUMPRODUCT(Calc!$K$3:$K$22*(Calc!$G$3:$G$22&gt;A2921)*(Calc!$G$3:$G$22-A2921)*Calc!$G$3:$G$22)</f>
        <v/>
      </c>
      <c r="M2921">
        <f>SUMPRODUCT(Calc!$K$3:$K$22*(Calc!$G$3:$G$22&gt;B2921)*(Calc!$G$3:$G$22-B2921)*Calc!$G$3:$G$22)</f>
        <v/>
      </c>
      <c r="N2921">
        <f>SUMPRODUCT(Calc!$K$3:$K$22*(Calc!$G$3:$G$22&gt;A2921)*(Calc!$G$3:$G$22-A2921)*Calc!$I$3:$I$22)</f>
        <v/>
      </c>
      <c r="O2921">
        <f>SUMPRODUCT(Calc!$K$3:$K$22*(Calc!$G$3:$G$22&gt;B2921)*(Calc!$G$3:$G$22-B2921)*Calc!$I$3:$I$22)</f>
        <v/>
      </c>
      <c r="P2921">
        <f>I2921-G2921^2/k_n</f>
        <v/>
      </c>
      <c r="Q2921">
        <f>J2921-H2921^2/k_n</f>
        <v/>
      </c>
      <c r="R2921">
        <f>K2921-G2921*H2921/k_n</f>
        <v/>
      </c>
      <c r="S2921">
        <f>L2921-LTP3!$D$3*G2921/k_n</f>
        <v/>
      </c>
      <c r="T2921">
        <f>M2921-LTP3!$D$3*H2921/k_n</f>
        <v/>
      </c>
      <c r="U2921">
        <f>N2921-G2921*LTP3!$D$4/k_n</f>
        <v/>
      </c>
      <c r="V2921">
        <f>O2921-H2921*LTP3!$D$4/k_n</f>
        <v/>
      </c>
      <c r="W2921">
        <f>((LTP3!$D$5)*((P2921)*(Q2921)-(R2921)*(R2921))-(S2921)*((S2921)*(Q2921)-(R2921)*(T2921))+(T2921)*((S2921)*(R2921)-(P2921)*(T2921)))</f>
        <v/>
      </c>
      <c r="X2921">
        <f>IF(ABS(W2921)&gt;1E-12,((LTP3!$D$6)*((P2921)*(Q2921)-(R2921)*(R2921))-(S2921)*((U2921)*(Q2921)-(R2921)*(V2921))+(T2921)*((U2921)*(R2921)-(P2921)*(V2921)))/W2921,0)</f>
        <v/>
      </c>
      <c r="Y2921">
        <f>IF(ABS(W2921)&gt;1E-12,((LTP3!$D$5)*((U2921)*(Q2921)-(R2921)*(V2921))-(LTP3!$D$6)*((S2921)*(Q2921)-(R2921)*(T2921))+(T2921)*((S2921)*(V2921)-(U2921)*(T2921)))/W2921,0)</f>
        <v/>
      </c>
      <c r="Z2921">
        <f>IF(ABS(W2921)&gt;1E-12,((LTP3!$D$5)*((P2921)*(V2921)-(U2921)*(R2921))-(S2921)*((S2921)*(V2921)-(U2921)*(T2921))+(LTP3!$D$6)*((S2921)*(R2921)-(P2921)*(T2921)))/W2921,0)</f>
        <v/>
      </c>
      <c r="AA2921">
        <f>LTP3!$D$7-X2921*LTP3!$D$6-Y2921*U2921-Z2921*V2921</f>
        <v/>
      </c>
      <c r="AB2921">
        <f>IF(AND(F2921,ABS(W2921)&gt;1E-12,Y2921&gt;0,Z2921&gt;0),AA2921,1E+300)</f>
        <v/>
      </c>
    </row>
    <row r="2922">
      <c r="A2922">
        <f>$B$3+$B$5*47</f>
        <v/>
      </c>
      <c r="B2922">
        <f>$B$3+$B$5*43</f>
        <v/>
      </c>
      <c r="C2922">
        <f>SUMPRODUCT(Calc!$K$3:$K$22*(Calc!$G$3:$G$22&lt;=A2922))</f>
        <v/>
      </c>
      <c r="D2922">
        <f>SUMPRODUCT(Calc!$K$3:$K$22*(Calc!$G$3:$G$22&gt;A2922)*(Calc!$G$3:$G$22&lt;B2922))</f>
        <v/>
      </c>
      <c r="E2922">
        <f>SUMPRODUCT(Calc!$K$3:$K$22*(Calc!$G$3:$G$22&gt;=B2922))</f>
        <v/>
      </c>
      <c r="F2922">
        <f>AND(k_n&gt;=5,B2922&gt;A2922+1E-9,C2922&gt;=2,D2922&gt;=1,E2922&gt;=2)</f>
        <v/>
      </c>
      <c r="G2922">
        <f>SUMPRODUCT(Calc!$K$3:$K$22*(Calc!$G$3:$G$22&gt;A2922)*(Calc!$G$3:$G$22-A2922))</f>
        <v/>
      </c>
      <c r="H2922">
        <f>SUMPRODUCT(Calc!$K$3:$K$22*(Calc!$G$3:$G$22&gt;B2922)*(Calc!$G$3:$G$22-B2922))</f>
        <v/>
      </c>
      <c r="I2922">
        <f>SUMPRODUCT(Calc!$K$3:$K$22*(Calc!$G$3:$G$22&gt;A2922)*(Calc!$G$3:$G$22-A2922)^2)</f>
        <v/>
      </c>
      <c r="J2922">
        <f>SUMPRODUCT(Calc!$K$3:$K$22*(Calc!$G$3:$G$22&gt;B2922)*(Calc!$G$3:$G$22-B2922)^2)</f>
        <v/>
      </c>
      <c r="K2922">
        <f>SUMPRODUCT(Calc!$K$3:$K$22*(Calc!$G$3:$G$22&gt;A2922)*(Calc!$G$3:$G$22-A2922)*(Calc!$G$3:$G$22&gt;B2922)*(Calc!$G$3:$G$22-B2922))</f>
        <v/>
      </c>
      <c r="L2922">
        <f>SUMPRODUCT(Calc!$K$3:$K$22*(Calc!$G$3:$G$22&gt;A2922)*(Calc!$G$3:$G$22-A2922)*Calc!$G$3:$G$22)</f>
        <v/>
      </c>
      <c r="M2922">
        <f>SUMPRODUCT(Calc!$K$3:$K$22*(Calc!$G$3:$G$22&gt;B2922)*(Calc!$G$3:$G$22-B2922)*Calc!$G$3:$G$22)</f>
        <v/>
      </c>
      <c r="N2922">
        <f>SUMPRODUCT(Calc!$K$3:$K$22*(Calc!$G$3:$G$22&gt;A2922)*(Calc!$G$3:$G$22-A2922)*Calc!$I$3:$I$22)</f>
        <v/>
      </c>
      <c r="O2922">
        <f>SUMPRODUCT(Calc!$K$3:$K$22*(Calc!$G$3:$G$22&gt;B2922)*(Calc!$G$3:$G$22-B2922)*Calc!$I$3:$I$22)</f>
        <v/>
      </c>
      <c r="P2922">
        <f>I2922-G2922^2/k_n</f>
        <v/>
      </c>
      <c r="Q2922">
        <f>J2922-H2922^2/k_n</f>
        <v/>
      </c>
      <c r="R2922">
        <f>K2922-G2922*H2922/k_n</f>
        <v/>
      </c>
      <c r="S2922">
        <f>L2922-LTP3!$D$3*G2922/k_n</f>
        <v/>
      </c>
      <c r="T2922">
        <f>M2922-LTP3!$D$3*H2922/k_n</f>
        <v/>
      </c>
      <c r="U2922">
        <f>N2922-G2922*LTP3!$D$4/k_n</f>
        <v/>
      </c>
      <c r="V2922">
        <f>O2922-H2922*LTP3!$D$4/k_n</f>
        <v/>
      </c>
      <c r="W2922">
        <f>((LTP3!$D$5)*((P2922)*(Q2922)-(R2922)*(R2922))-(S2922)*((S2922)*(Q2922)-(R2922)*(T2922))+(T2922)*((S2922)*(R2922)-(P2922)*(T2922)))</f>
        <v/>
      </c>
      <c r="X2922">
        <f>IF(ABS(W2922)&gt;1E-12,((LTP3!$D$6)*((P2922)*(Q2922)-(R2922)*(R2922))-(S2922)*((U2922)*(Q2922)-(R2922)*(V2922))+(T2922)*((U2922)*(R2922)-(P2922)*(V2922)))/W2922,0)</f>
        <v/>
      </c>
      <c r="Y2922">
        <f>IF(ABS(W2922)&gt;1E-12,((LTP3!$D$5)*((U2922)*(Q2922)-(R2922)*(V2922))-(LTP3!$D$6)*((S2922)*(Q2922)-(R2922)*(T2922))+(T2922)*((S2922)*(V2922)-(U2922)*(T2922)))/W2922,0)</f>
        <v/>
      </c>
      <c r="Z2922">
        <f>IF(ABS(W2922)&gt;1E-12,((LTP3!$D$5)*((P2922)*(V2922)-(U2922)*(R2922))-(S2922)*((S2922)*(V2922)-(U2922)*(T2922))+(LTP3!$D$6)*((S2922)*(R2922)-(P2922)*(T2922)))/W2922,0)</f>
        <v/>
      </c>
      <c r="AA2922">
        <f>LTP3!$D$7-X2922*LTP3!$D$6-Y2922*U2922-Z2922*V2922</f>
        <v/>
      </c>
      <c r="AB2922">
        <f>IF(AND(F2922,ABS(W2922)&gt;1E-12,Y2922&gt;0,Z2922&gt;0),AA2922,1E+300)</f>
        <v/>
      </c>
    </row>
    <row r="2923">
      <c r="A2923">
        <f>$B$3+$B$5*47</f>
        <v/>
      </c>
      <c r="B2923">
        <f>$B$3+$B$5*44</f>
        <v/>
      </c>
      <c r="C2923">
        <f>SUMPRODUCT(Calc!$K$3:$K$22*(Calc!$G$3:$G$22&lt;=A2923))</f>
        <v/>
      </c>
      <c r="D2923">
        <f>SUMPRODUCT(Calc!$K$3:$K$22*(Calc!$G$3:$G$22&gt;A2923)*(Calc!$G$3:$G$22&lt;B2923))</f>
        <v/>
      </c>
      <c r="E2923">
        <f>SUMPRODUCT(Calc!$K$3:$K$22*(Calc!$G$3:$G$22&gt;=B2923))</f>
        <v/>
      </c>
      <c r="F2923">
        <f>AND(k_n&gt;=5,B2923&gt;A2923+1E-9,C2923&gt;=2,D2923&gt;=1,E2923&gt;=2)</f>
        <v/>
      </c>
      <c r="G2923">
        <f>SUMPRODUCT(Calc!$K$3:$K$22*(Calc!$G$3:$G$22&gt;A2923)*(Calc!$G$3:$G$22-A2923))</f>
        <v/>
      </c>
      <c r="H2923">
        <f>SUMPRODUCT(Calc!$K$3:$K$22*(Calc!$G$3:$G$22&gt;B2923)*(Calc!$G$3:$G$22-B2923))</f>
        <v/>
      </c>
      <c r="I2923">
        <f>SUMPRODUCT(Calc!$K$3:$K$22*(Calc!$G$3:$G$22&gt;A2923)*(Calc!$G$3:$G$22-A2923)^2)</f>
        <v/>
      </c>
      <c r="J2923">
        <f>SUMPRODUCT(Calc!$K$3:$K$22*(Calc!$G$3:$G$22&gt;B2923)*(Calc!$G$3:$G$22-B2923)^2)</f>
        <v/>
      </c>
      <c r="K2923">
        <f>SUMPRODUCT(Calc!$K$3:$K$22*(Calc!$G$3:$G$22&gt;A2923)*(Calc!$G$3:$G$22-A2923)*(Calc!$G$3:$G$22&gt;B2923)*(Calc!$G$3:$G$22-B2923))</f>
        <v/>
      </c>
      <c r="L2923">
        <f>SUMPRODUCT(Calc!$K$3:$K$22*(Calc!$G$3:$G$22&gt;A2923)*(Calc!$G$3:$G$22-A2923)*Calc!$G$3:$G$22)</f>
        <v/>
      </c>
      <c r="M2923">
        <f>SUMPRODUCT(Calc!$K$3:$K$22*(Calc!$G$3:$G$22&gt;B2923)*(Calc!$G$3:$G$22-B2923)*Calc!$G$3:$G$22)</f>
        <v/>
      </c>
      <c r="N2923">
        <f>SUMPRODUCT(Calc!$K$3:$K$22*(Calc!$G$3:$G$22&gt;A2923)*(Calc!$G$3:$G$22-A2923)*Calc!$I$3:$I$22)</f>
        <v/>
      </c>
      <c r="O2923">
        <f>SUMPRODUCT(Calc!$K$3:$K$22*(Calc!$G$3:$G$22&gt;B2923)*(Calc!$G$3:$G$22-B2923)*Calc!$I$3:$I$22)</f>
        <v/>
      </c>
      <c r="P2923">
        <f>I2923-G2923^2/k_n</f>
        <v/>
      </c>
      <c r="Q2923">
        <f>J2923-H2923^2/k_n</f>
        <v/>
      </c>
      <c r="R2923">
        <f>K2923-G2923*H2923/k_n</f>
        <v/>
      </c>
      <c r="S2923">
        <f>L2923-LTP3!$D$3*G2923/k_n</f>
        <v/>
      </c>
      <c r="T2923">
        <f>M2923-LTP3!$D$3*H2923/k_n</f>
        <v/>
      </c>
      <c r="U2923">
        <f>N2923-G2923*LTP3!$D$4/k_n</f>
        <v/>
      </c>
      <c r="V2923">
        <f>O2923-H2923*LTP3!$D$4/k_n</f>
        <v/>
      </c>
      <c r="W2923">
        <f>((LTP3!$D$5)*((P2923)*(Q2923)-(R2923)*(R2923))-(S2923)*((S2923)*(Q2923)-(R2923)*(T2923))+(T2923)*((S2923)*(R2923)-(P2923)*(T2923)))</f>
        <v/>
      </c>
      <c r="X2923">
        <f>IF(ABS(W2923)&gt;1E-12,((LTP3!$D$6)*((P2923)*(Q2923)-(R2923)*(R2923))-(S2923)*((U2923)*(Q2923)-(R2923)*(V2923))+(T2923)*((U2923)*(R2923)-(P2923)*(V2923)))/W2923,0)</f>
        <v/>
      </c>
      <c r="Y2923">
        <f>IF(ABS(W2923)&gt;1E-12,((LTP3!$D$5)*((U2923)*(Q2923)-(R2923)*(V2923))-(LTP3!$D$6)*((S2923)*(Q2923)-(R2923)*(T2923))+(T2923)*((S2923)*(V2923)-(U2923)*(T2923)))/W2923,0)</f>
        <v/>
      </c>
      <c r="Z2923">
        <f>IF(ABS(W2923)&gt;1E-12,((LTP3!$D$5)*((P2923)*(V2923)-(U2923)*(R2923))-(S2923)*((S2923)*(V2923)-(U2923)*(T2923))+(LTP3!$D$6)*((S2923)*(R2923)-(P2923)*(T2923)))/W2923,0)</f>
        <v/>
      </c>
      <c r="AA2923">
        <f>LTP3!$D$7-X2923*LTP3!$D$6-Y2923*U2923-Z2923*V2923</f>
        <v/>
      </c>
      <c r="AB2923">
        <f>IF(AND(F2923,ABS(W2923)&gt;1E-12,Y2923&gt;0,Z2923&gt;0),AA2923,1E+300)</f>
        <v/>
      </c>
    </row>
    <row r="2924">
      <c r="A2924">
        <f>$B$3+$B$5*47</f>
        <v/>
      </c>
      <c r="B2924">
        <f>$B$3+$B$5*45</f>
        <v/>
      </c>
      <c r="C2924">
        <f>SUMPRODUCT(Calc!$K$3:$K$22*(Calc!$G$3:$G$22&lt;=A2924))</f>
        <v/>
      </c>
      <c r="D2924">
        <f>SUMPRODUCT(Calc!$K$3:$K$22*(Calc!$G$3:$G$22&gt;A2924)*(Calc!$G$3:$G$22&lt;B2924))</f>
        <v/>
      </c>
      <c r="E2924">
        <f>SUMPRODUCT(Calc!$K$3:$K$22*(Calc!$G$3:$G$22&gt;=B2924))</f>
        <v/>
      </c>
      <c r="F2924">
        <f>AND(k_n&gt;=5,B2924&gt;A2924+1E-9,C2924&gt;=2,D2924&gt;=1,E2924&gt;=2)</f>
        <v/>
      </c>
      <c r="G2924">
        <f>SUMPRODUCT(Calc!$K$3:$K$22*(Calc!$G$3:$G$22&gt;A2924)*(Calc!$G$3:$G$22-A2924))</f>
        <v/>
      </c>
      <c r="H2924">
        <f>SUMPRODUCT(Calc!$K$3:$K$22*(Calc!$G$3:$G$22&gt;B2924)*(Calc!$G$3:$G$22-B2924))</f>
        <v/>
      </c>
      <c r="I2924">
        <f>SUMPRODUCT(Calc!$K$3:$K$22*(Calc!$G$3:$G$22&gt;A2924)*(Calc!$G$3:$G$22-A2924)^2)</f>
        <v/>
      </c>
      <c r="J2924">
        <f>SUMPRODUCT(Calc!$K$3:$K$22*(Calc!$G$3:$G$22&gt;B2924)*(Calc!$G$3:$G$22-B2924)^2)</f>
        <v/>
      </c>
      <c r="K2924">
        <f>SUMPRODUCT(Calc!$K$3:$K$22*(Calc!$G$3:$G$22&gt;A2924)*(Calc!$G$3:$G$22-A2924)*(Calc!$G$3:$G$22&gt;B2924)*(Calc!$G$3:$G$22-B2924))</f>
        <v/>
      </c>
      <c r="L2924">
        <f>SUMPRODUCT(Calc!$K$3:$K$22*(Calc!$G$3:$G$22&gt;A2924)*(Calc!$G$3:$G$22-A2924)*Calc!$G$3:$G$22)</f>
        <v/>
      </c>
      <c r="M2924">
        <f>SUMPRODUCT(Calc!$K$3:$K$22*(Calc!$G$3:$G$22&gt;B2924)*(Calc!$G$3:$G$22-B2924)*Calc!$G$3:$G$22)</f>
        <v/>
      </c>
      <c r="N2924">
        <f>SUMPRODUCT(Calc!$K$3:$K$22*(Calc!$G$3:$G$22&gt;A2924)*(Calc!$G$3:$G$22-A2924)*Calc!$I$3:$I$22)</f>
        <v/>
      </c>
      <c r="O2924">
        <f>SUMPRODUCT(Calc!$K$3:$K$22*(Calc!$G$3:$G$22&gt;B2924)*(Calc!$G$3:$G$22-B2924)*Calc!$I$3:$I$22)</f>
        <v/>
      </c>
      <c r="P2924">
        <f>I2924-G2924^2/k_n</f>
        <v/>
      </c>
      <c r="Q2924">
        <f>J2924-H2924^2/k_n</f>
        <v/>
      </c>
      <c r="R2924">
        <f>K2924-G2924*H2924/k_n</f>
        <v/>
      </c>
      <c r="S2924">
        <f>L2924-LTP3!$D$3*G2924/k_n</f>
        <v/>
      </c>
      <c r="T2924">
        <f>M2924-LTP3!$D$3*H2924/k_n</f>
        <v/>
      </c>
      <c r="U2924">
        <f>N2924-G2924*LTP3!$D$4/k_n</f>
        <v/>
      </c>
      <c r="V2924">
        <f>O2924-H2924*LTP3!$D$4/k_n</f>
        <v/>
      </c>
      <c r="W2924">
        <f>((LTP3!$D$5)*((P2924)*(Q2924)-(R2924)*(R2924))-(S2924)*((S2924)*(Q2924)-(R2924)*(T2924))+(T2924)*((S2924)*(R2924)-(P2924)*(T2924)))</f>
        <v/>
      </c>
      <c r="X2924">
        <f>IF(ABS(W2924)&gt;1E-12,((LTP3!$D$6)*((P2924)*(Q2924)-(R2924)*(R2924))-(S2924)*((U2924)*(Q2924)-(R2924)*(V2924))+(T2924)*((U2924)*(R2924)-(P2924)*(V2924)))/W2924,0)</f>
        <v/>
      </c>
      <c r="Y2924">
        <f>IF(ABS(W2924)&gt;1E-12,((LTP3!$D$5)*((U2924)*(Q2924)-(R2924)*(V2924))-(LTP3!$D$6)*((S2924)*(Q2924)-(R2924)*(T2924))+(T2924)*((S2924)*(V2924)-(U2924)*(T2924)))/W2924,0)</f>
        <v/>
      </c>
      <c r="Z2924">
        <f>IF(ABS(W2924)&gt;1E-12,((LTP3!$D$5)*((P2924)*(V2924)-(U2924)*(R2924))-(S2924)*((S2924)*(V2924)-(U2924)*(T2924))+(LTP3!$D$6)*((S2924)*(R2924)-(P2924)*(T2924)))/W2924,0)</f>
        <v/>
      </c>
      <c r="AA2924">
        <f>LTP3!$D$7-X2924*LTP3!$D$6-Y2924*U2924-Z2924*V2924</f>
        <v/>
      </c>
      <c r="AB2924">
        <f>IF(AND(F2924,ABS(W2924)&gt;1E-12,Y2924&gt;0,Z2924&gt;0),AA2924,1E+300)</f>
        <v/>
      </c>
    </row>
    <row r="2925">
      <c r="A2925">
        <f>$B$3+$B$5*47</f>
        <v/>
      </c>
      <c r="B2925">
        <f>$B$3+$B$5*46</f>
        <v/>
      </c>
      <c r="C2925">
        <f>SUMPRODUCT(Calc!$K$3:$K$22*(Calc!$G$3:$G$22&lt;=A2925))</f>
        <v/>
      </c>
      <c r="D2925">
        <f>SUMPRODUCT(Calc!$K$3:$K$22*(Calc!$G$3:$G$22&gt;A2925)*(Calc!$G$3:$G$22&lt;B2925))</f>
        <v/>
      </c>
      <c r="E2925">
        <f>SUMPRODUCT(Calc!$K$3:$K$22*(Calc!$G$3:$G$22&gt;=B2925))</f>
        <v/>
      </c>
      <c r="F2925">
        <f>AND(k_n&gt;=5,B2925&gt;A2925+1E-9,C2925&gt;=2,D2925&gt;=1,E2925&gt;=2)</f>
        <v/>
      </c>
      <c r="G2925">
        <f>SUMPRODUCT(Calc!$K$3:$K$22*(Calc!$G$3:$G$22&gt;A2925)*(Calc!$G$3:$G$22-A2925))</f>
        <v/>
      </c>
      <c r="H2925">
        <f>SUMPRODUCT(Calc!$K$3:$K$22*(Calc!$G$3:$G$22&gt;B2925)*(Calc!$G$3:$G$22-B2925))</f>
        <v/>
      </c>
      <c r="I2925">
        <f>SUMPRODUCT(Calc!$K$3:$K$22*(Calc!$G$3:$G$22&gt;A2925)*(Calc!$G$3:$G$22-A2925)^2)</f>
        <v/>
      </c>
      <c r="J2925">
        <f>SUMPRODUCT(Calc!$K$3:$K$22*(Calc!$G$3:$G$22&gt;B2925)*(Calc!$G$3:$G$22-B2925)^2)</f>
        <v/>
      </c>
      <c r="K2925">
        <f>SUMPRODUCT(Calc!$K$3:$K$22*(Calc!$G$3:$G$22&gt;A2925)*(Calc!$G$3:$G$22-A2925)*(Calc!$G$3:$G$22&gt;B2925)*(Calc!$G$3:$G$22-B2925))</f>
        <v/>
      </c>
      <c r="L2925">
        <f>SUMPRODUCT(Calc!$K$3:$K$22*(Calc!$G$3:$G$22&gt;A2925)*(Calc!$G$3:$G$22-A2925)*Calc!$G$3:$G$22)</f>
        <v/>
      </c>
      <c r="M2925">
        <f>SUMPRODUCT(Calc!$K$3:$K$22*(Calc!$G$3:$G$22&gt;B2925)*(Calc!$G$3:$G$22-B2925)*Calc!$G$3:$G$22)</f>
        <v/>
      </c>
      <c r="N2925">
        <f>SUMPRODUCT(Calc!$K$3:$K$22*(Calc!$G$3:$G$22&gt;A2925)*(Calc!$G$3:$G$22-A2925)*Calc!$I$3:$I$22)</f>
        <v/>
      </c>
      <c r="O2925">
        <f>SUMPRODUCT(Calc!$K$3:$K$22*(Calc!$G$3:$G$22&gt;B2925)*(Calc!$G$3:$G$22-B2925)*Calc!$I$3:$I$22)</f>
        <v/>
      </c>
      <c r="P2925">
        <f>I2925-G2925^2/k_n</f>
        <v/>
      </c>
      <c r="Q2925">
        <f>J2925-H2925^2/k_n</f>
        <v/>
      </c>
      <c r="R2925">
        <f>K2925-G2925*H2925/k_n</f>
        <v/>
      </c>
      <c r="S2925">
        <f>L2925-LTP3!$D$3*G2925/k_n</f>
        <v/>
      </c>
      <c r="T2925">
        <f>M2925-LTP3!$D$3*H2925/k_n</f>
        <v/>
      </c>
      <c r="U2925">
        <f>N2925-G2925*LTP3!$D$4/k_n</f>
        <v/>
      </c>
      <c r="V2925">
        <f>O2925-H2925*LTP3!$D$4/k_n</f>
        <v/>
      </c>
      <c r="W2925">
        <f>((LTP3!$D$5)*((P2925)*(Q2925)-(R2925)*(R2925))-(S2925)*((S2925)*(Q2925)-(R2925)*(T2925))+(T2925)*((S2925)*(R2925)-(P2925)*(T2925)))</f>
        <v/>
      </c>
      <c r="X2925">
        <f>IF(ABS(W2925)&gt;1E-12,((LTP3!$D$6)*((P2925)*(Q2925)-(R2925)*(R2925))-(S2925)*((U2925)*(Q2925)-(R2925)*(V2925))+(T2925)*((U2925)*(R2925)-(P2925)*(V2925)))/W2925,0)</f>
        <v/>
      </c>
      <c r="Y2925">
        <f>IF(ABS(W2925)&gt;1E-12,((LTP3!$D$5)*((U2925)*(Q2925)-(R2925)*(V2925))-(LTP3!$D$6)*((S2925)*(Q2925)-(R2925)*(T2925))+(T2925)*((S2925)*(V2925)-(U2925)*(T2925)))/W2925,0)</f>
        <v/>
      </c>
      <c r="Z2925">
        <f>IF(ABS(W2925)&gt;1E-12,((LTP3!$D$5)*((P2925)*(V2925)-(U2925)*(R2925))-(S2925)*((S2925)*(V2925)-(U2925)*(T2925))+(LTP3!$D$6)*((S2925)*(R2925)-(P2925)*(T2925)))/W2925,0)</f>
        <v/>
      </c>
      <c r="AA2925">
        <f>LTP3!$D$7-X2925*LTP3!$D$6-Y2925*U2925-Z2925*V2925</f>
        <v/>
      </c>
      <c r="AB2925">
        <f>IF(AND(F2925,ABS(W2925)&gt;1E-12,Y2925&gt;0,Z2925&gt;0),AA2925,1E+300)</f>
        <v/>
      </c>
    </row>
    <row r="2926">
      <c r="A2926">
        <f>$B$3+$B$5*47</f>
        <v/>
      </c>
      <c r="B2926">
        <f>$B$3+$B$5*47</f>
        <v/>
      </c>
      <c r="C2926">
        <f>SUMPRODUCT(Calc!$K$3:$K$22*(Calc!$G$3:$G$22&lt;=A2926))</f>
        <v/>
      </c>
      <c r="D2926">
        <f>SUMPRODUCT(Calc!$K$3:$K$22*(Calc!$G$3:$G$22&gt;A2926)*(Calc!$G$3:$G$22&lt;B2926))</f>
        <v/>
      </c>
      <c r="E2926">
        <f>SUMPRODUCT(Calc!$K$3:$K$22*(Calc!$G$3:$G$22&gt;=B2926))</f>
        <v/>
      </c>
      <c r="F2926">
        <f>AND(k_n&gt;=5,B2926&gt;A2926+1E-9,C2926&gt;=2,D2926&gt;=1,E2926&gt;=2)</f>
        <v/>
      </c>
      <c r="G2926">
        <f>SUMPRODUCT(Calc!$K$3:$K$22*(Calc!$G$3:$G$22&gt;A2926)*(Calc!$G$3:$G$22-A2926))</f>
        <v/>
      </c>
      <c r="H2926">
        <f>SUMPRODUCT(Calc!$K$3:$K$22*(Calc!$G$3:$G$22&gt;B2926)*(Calc!$G$3:$G$22-B2926))</f>
        <v/>
      </c>
      <c r="I2926">
        <f>SUMPRODUCT(Calc!$K$3:$K$22*(Calc!$G$3:$G$22&gt;A2926)*(Calc!$G$3:$G$22-A2926)^2)</f>
        <v/>
      </c>
      <c r="J2926">
        <f>SUMPRODUCT(Calc!$K$3:$K$22*(Calc!$G$3:$G$22&gt;B2926)*(Calc!$G$3:$G$22-B2926)^2)</f>
        <v/>
      </c>
      <c r="K2926">
        <f>SUMPRODUCT(Calc!$K$3:$K$22*(Calc!$G$3:$G$22&gt;A2926)*(Calc!$G$3:$G$22-A2926)*(Calc!$G$3:$G$22&gt;B2926)*(Calc!$G$3:$G$22-B2926))</f>
        <v/>
      </c>
      <c r="L2926">
        <f>SUMPRODUCT(Calc!$K$3:$K$22*(Calc!$G$3:$G$22&gt;A2926)*(Calc!$G$3:$G$22-A2926)*Calc!$G$3:$G$22)</f>
        <v/>
      </c>
      <c r="M2926">
        <f>SUMPRODUCT(Calc!$K$3:$K$22*(Calc!$G$3:$G$22&gt;B2926)*(Calc!$G$3:$G$22-B2926)*Calc!$G$3:$G$22)</f>
        <v/>
      </c>
      <c r="N2926">
        <f>SUMPRODUCT(Calc!$K$3:$K$22*(Calc!$G$3:$G$22&gt;A2926)*(Calc!$G$3:$G$22-A2926)*Calc!$I$3:$I$22)</f>
        <v/>
      </c>
      <c r="O2926">
        <f>SUMPRODUCT(Calc!$K$3:$K$22*(Calc!$G$3:$G$22&gt;B2926)*(Calc!$G$3:$G$22-B2926)*Calc!$I$3:$I$22)</f>
        <v/>
      </c>
      <c r="P2926">
        <f>I2926-G2926^2/k_n</f>
        <v/>
      </c>
      <c r="Q2926">
        <f>J2926-H2926^2/k_n</f>
        <v/>
      </c>
      <c r="R2926">
        <f>K2926-G2926*H2926/k_n</f>
        <v/>
      </c>
      <c r="S2926">
        <f>L2926-LTP3!$D$3*G2926/k_n</f>
        <v/>
      </c>
      <c r="T2926">
        <f>M2926-LTP3!$D$3*H2926/k_n</f>
        <v/>
      </c>
      <c r="U2926">
        <f>N2926-G2926*LTP3!$D$4/k_n</f>
        <v/>
      </c>
      <c r="V2926">
        <f>O2926-H2926*LTP3!$D$4/k_n</f>
        <v/>
      </c>
      <c r="W2926">
        <f>((LTP3!$D$5)*((P2926)*(Q2926)-(R2926)*(R2926))-(S2926)*((S2926)*(Q2926)-(R2926)*(T2926))+(T2926)*((S2926)*(R2926)-(P2926)*(T2926)))</f>
        <v/>
      </c>
      <c r="X2926">
        <f>IF(ABS(W2926)&gt;1E-12,((LTP3!$D$6)*((P2926)*(Q2926)-(R2926)*(R2926))-(S2926)*((U2926)*(Q2926)-(R2926)*(V2926))+(T2926)*((U2926)*(R2926)-(P2926)*(V2926)))/W2926,0)</f>
        <v/>
      </c>
      <c r="Y2926">
        <f>IF(ABS(W2926)&gt;1E-12,((LTP3!$D$5)*((U2926)*(Q2926)-(R2926)*(V2926))-(LTP3!$D$6)*((S2926)*(Q2926)-(R2926)*(T2926))+(T2926)*((S2926)*(V2926)-(U2926)*(T2926)))/W2926,0)</f>
        <v/>
      </c>
      <c r="Z2926">
        <f>IF(ABS(W2926)&gt;1E-12,((LTP3!$D$5)*((P2926)*(V2926)-(U2926)*(R2926))-(S2926)*((S2926)*(V2926)-(U2926)*(T2926))+(LTP3!$D$6)*((S2926)*(R2926)-(P2926)*(T2926)))/W2926,0)</f>
        <v/>
      </c>
      <c r="AA2926">
        <f>LTP3!$D$7-X2926*LTP3!$D$6-Y2926*U2926-Z2926*V2926</f>
        <v/>
      </c>
      <c r="AB2926">
        <f>IF(AND(F2926,ABS(W2926)&gt;1E-12,Y2926&gt;0,Z2926&gt;0),AA2926,1E+300)</f>
        <v/>
      </c>
    </row>
    <row r="2927">
      <c r="A2927">
        <f>$B$3+$B$5*47</f>
        <v/>
      </c>
      <c r="B2927">
        <f>$B$3+$B$5*48</f>
        <v/>
      </c>
      <c r="C2927">
        <f>SUMPRODUCT(Calc!$K$3:$K$22*(Calc!$G$3:$G$22&lt;=A2927))</f>
        <v/>
      </c>
      <c r="D2927">
        <f>SUMPRODUCT(Calc!$K$3:$K$22*(Calc!$G$3:$G$22&gt;A2927)*(Calc!$G$3:$G$22&lt;B2927))</f>
        <v/>
      </c>
      <c r="E2927">
        <f>SUMPRODUCT(Calc!$K$3:$K$22*(Calc!$G$3:$G$22&gt;=B2927))</f>
        <v/>
      </c>
      <c r="F2927">
        <f>AND(k_n&gt;=5,B2927&gt;A2927+1E-9,C2927&gt;=2,D2927&gt;=1,E2927&gt;=2)</f>
        <v/>
      </c>
      <c r="G2927">
        <f>SUMPRODUCT(Calc!$K$3:$K$22*(Calc!$G$3:$G$22&gt;A2927)*(Calc!$G$3:$G$22-A2927))</f>
        <v/>
      </c>
      <c r="H2927">
        <f>SUMPRODUCT(Calc!$K$3:$K$22*(Calc!$G$3:$G$22&gt;B2927)*(Calc!$G$3:$G$22-B2927))</f>
        <v/>
      </c>
      <c r="I2927">
        <f>SUMPRODUCT(Calc!$K$3:$K$22*(Calc!$G$3:$G$22&gt;A2927)*(Calc!$G$3:$G$22-A2927)^2)</f>
        <v/>
      </c>
      <c r="J2927">
        <f>SUMPRODUCT(Calc!$K$3:$K$22*(Calc!$G$3:$G$22&gt;B2927)*(Calc!$G$3:$G$22-B2927)^2)</f>
        <v/>
      </c>
      <c r="K2927">
        <f>SUMPRODUCT(Calc!$K$3:$K$22*(Calc!$G$3:$G$22&gt;A2927)*(Calc!$G$3:$G$22-A2927)*(Calc!$G$3:$G$22&gt;B2927)*(Calc!$G$3:$G$22-B2927))</f>
        <v/>
      </c>
      <c r="L2927">
        <f>SUMPRODUCT(Calc!$K$3:$K$22*(Calc!$G$3:$G$22&gt;A2927)*(Calc!$G$3:$G$22-A2927)*Calc!$G$3:$G$22)</f>
        <v/>
      </c>
      <c r="M2927">
        <f>SUMPRODUCT(Calc!$K$3:$K$22*(Calc!$G$3:$G$22&gt;B2927)*(Calc!$G$3:$G$22-B2927)*Calc!$G$3:$G$22)</f>
        <v/>
      </c>
      <c r="N2927">
        <f>SUMPRODUCT(Calc!$K$3:$K$22*(Calc!$G$3:$G$22&gt;A2927)*(Calc!$G$3:$G$22-A2927)*Calc!$I$3:$I$22)</f>
        <v/>
      </c>
      <c r="O2927">
        <f>SUMPRODUCT(Calc!$K$3:$K$22*(Calc!$G$3:$G$22&gt;B2927)*(Calc!$G$3:$G$22-B2927)*Calc!$I$3:$I$22)</f>
        <v/>
      </c>
      <c r="P2927">
        <f>I2927-G2927^2/k_n</f>
        <v/>
      </c>
      <c r="Q2927">
        <f>J2927-H2927^2/k_n</f>
        <v/>
      </c>
      <c r="R2927">
        <f>K2927-G2927*H2927/k_n</f>
        <v/>
      </c>
      <c r="S2927">
        <f>L2927-LTP3!$D$3*G2927/k_n</f>
        <v/>
      </c>
      <c r="T2927">
        <f>M2927-LTP3!$D$3*H2927/k_n</f>
        <v/>
      </c>
      <c r="U2927">
        <f>N2927-G2927*LTP3!$D$4/k_n</f>
        <v/>
      </c>
      <c r="V2927">
        <f>O2927-H2927*LTP3!$D$4/k_n</f>
        <v/>
      </c>
      <c r="W2927">
        <f>((LTP3!$D$5)*((P2927)*(Q2927)-(R2927)*(R2927))-(S2927)*((S2927)*(Q2927)-(R2927)*(T2927))+(T2927)*((S2927)*(R2927)-(P2927)*(T2927)))</f>
        <v/>
      </c>
      <c r="X2927">
        <f>IF(ABS(W2927)&gt;1E-12,((LTP3!$D$6)*((P2927)*(Q2927)-(R2927)*(R2927))-(S2927)*((U2927)*(Q2927)-(R2927)*(V2927))+(T2927)*((U2927)*(R2927)-(P2927)*(V2927)))/W2927,0)</f>
        <v/>
      </c>
      <c r="Y2927">
        <f>IF(ABS(W2927)&gt;1E-12,((LTP3!$D$5)*((U2927)*(Q2927)-(R2927)*(V2927))-(LTP3!$D$6)*((S2927)*(Q2927)-(R2927)*(T2927))+(T2927)*((S2927)*(V2927)-(U2927)*(T2927)))/W2927,0)</f>
        <v/>
      </c>
      <c r="Z2927">
        <f>IF(ABS(W2927)&gt;1E-12,((LTP3!$D$5)*((P2927)*(V2927)-(U2927)*(R2927))-(S2927)*((S2927)*(V2927)-(U2927)*(T2927))+(LTP3!$D$6)*((S2927)*(R2927)-(P2927)*(T2927)))/W2927,0)</f>
        <v/>
      </c>
      <c r="AA2927">
        <f>LTP3!$D$7-X2927*LTP3!$D$6-Y2927*U2927-Z2927*V2927</f>
        <v/>
      </c>
      <c r="AB2927">
        <f>IF(AND(F2927,ABS(W2927)&gt;1E-12,Y2927&gt;0,Z2927&gt;0),AA2927,1E+300)</f>
        <v/>
      </c>
    </row>
    <row r="2928">
      <c r="A2928">
        <f>$B$3+$B$5*47</f>
        <v/>
      </c>
      <c r="B2928">
        <f>$B$3+$B$5*49</f>
        <v/>
      </c>
      <c r="C2928">
        <f>SUMPRODUCT(Calc!$K$3:$K$22*(Calc!$G$3:$G$22&lt;=A2928))</f>
        <v/>
      </c>
      <c r="D2928">
        <f>SUMPRODUCT(Calc!$K$3:$K$22*(Calc!$G$3:$G$22&gt;A2928)*(Calc!$G$3:$G$22&lt;B2928))</f>
        <v/>
      </c>
      <c r="E2928">
        <f>SUMPRODUCT(Calc!$K$3:$K$22*(Calc!$G$3:$G$22&gt;=B2928))</f>
        <v/>
      </c>
      <c r="F2928">
        <f>AND(k_n&gt;=5,B2928&gt;A2928+1E-9,C2928&gt;=2,D2928&gt;=1,E2928&gt;=2)</f>
        <v/>
      </c>
      <c r="G2928">
        <f>SUMPRODUCT(Calc!$K$3:$K$22*(Calc!$G$3:$G$22&gt;A2928)*(Calc!$G$3:$G$22-A2928))</f>
        <v/>
      </c>
      <c r="H2928">
        <f>SUMPRODUCT(Calc!$K$3:$K$22*(Calc!$G$3:$G$22&gt;B2928)*(Calc!$G$3:$G$22-B2928))</f>
        <v/>
      </c>
      <c r="I2928">
        <f>SUMPRODUCT(Calc!$K$3:$K$22*(Calc!$G$3:$G$22&gt;A2928)*(Calc!$G$3:$G$22-A2928)^2)</f>
        <v/>
      </c>
      <c r="J2928">
        <f>SUMPRODUCT(Calc!$K$3:$K$22*(Calc!$G$3:$G$22&gt;B2928)*(Calc!$G$3:$G$22-B2928)^2)</f>
        <v/>
      </c>
      <c r="K2928">
        <f>SUMPRODUCT(Calc!$K$3:$K$22*(Calc!$G$3:$G$22&gt;A2928)*(Calc!$G$3:$G$22-A2928)*(Calc!$G$3:$G$22&gt;B2928)*(Calc!$G$3:$G$22-B2928))</f>
        <v/>
      </c>
      <c r="L2928">
        <f>SUMPRODUCT(Calc!$K$3:$K$22*(Calc!$G$3:$G$22&gt;A2928)*(Calc!$G$3:$G$22-A2928)*Calc!$G$3:$G$22)</f>
        <v/>
      </c>
      <c r="M2928">
        <f>SUMPRODUCT(Calc!$K$3:$K$22*(Calc!$G$3:$G$22&gt;B2928)*(Calc!$G$3:$G$22-B2928)*Calc!$G$3:$G$22)</f>
        <v/>
      </c>
      <c r="N2928">
        <f>SUMPRODUCT(Calc!$K$3:$K$22*(Calc!$G$3:$G$22&gt;A2928)*(Calc!$G$3:$G$22-A2928)*Calc!$I$3:$I$22)</f>
        <v/>
      </c>
      <c r="O2928">
        <f>SUMPRODUCT(Calc!$K$3:$K$22*(Calc!$G$3:$G$22&gt;B2928)*(Calc!$G$3:$G$22-B2928)*Calc!$I$3:$I$22)</f>
        <v/>
      </c>
      <c r="P2928">
        <f>I2928-G2928^2/k_n</f>
        <v/>
      </c>
      <c r="Q2928">
        <f>J2928-H2928^2/k_n</f>
        <v/>
      </c>
      <c r="R2928">
        <f>K2928-G2928*H2928/k_n</f>
        <v/>
      </c>
      <c r="S2928">
        <f>L2928-LTP3!$D$3*G2928/k_n</f>
        <v/>
      </c>
      <c r="T2928">
        <f>M2928-LTP3!$D$3*H2928/k_n</f>
        <v/>
      </c>
      <c r="U2928">
        <f>N2928-G2928*LTP3!$D$4/k_n</f>
        <v/>
      </c>
      <c r="V2928">
        <f>O2928-H2928*LTP3!$D$4/k_n</f>
        <v/>
      </c>
      <c r="W2928">
        <f>((LTP3!$D$5)*((P2928)*(Q2928)-(R2928)*(R2928))-(S2928)*((S2928)*(Q2928)-(R2928)*(T2928))+(T2928)*((S2928)*(R2928)-(P2928)*(T2928)))</f>
        <v/>
      </c>
      <c r="X2928">
        <f>IF(ABS(W2928)&gt;1E-12,((LTP3!$D$6)*((P2928)*(Q2928)-(R2928)*(R2928))-(S2928)*((U2928)*(Q2928)-(R2928)*(V2928))+(T2928)*((U2928)*(R2928)-(P2928)*(V2928)))/W2928,0)</f>
        <v/>
      </c>
      <c r="Y2928">
        <f>IF(ABS(W2928)&gt;1E-12,((LTP3!$D$5)*((U2928)*(Q2928)-(R2928)*(V2928))-(LTP3!$D$6)*((S2928)*(Q2928)-(R2928)*(T2928))+(T2928)*((S2928)*(V2928)-(U2928)*(T2928)))/W2928,0)</f>
        <v/>
      </c>
      <c r="Z2928">
        <f>IF(ABS(W2928)&gt;1E-12,((LTP3!$D$5)*((P2928)*(V2928)-(U2928)*(R2928))-(S2928)*((S2928)*(V2928)-(U2928)*(T2928))+(LTP3!$D$6)*((S2928)*(R2928)-(P2928)*(T2928)))/W2928,0)</f>
        <v/>
      </c>
      <c r="AA2928">
        <f>LTP3!$D$7-X2928*LTP3!$D$6-Y2928*U2928-Z2928*V2928</f>
        <v/>
      </c>
      <c r="AB2928">
        <f>IF(AND(F2928,ABS(W2928)&gt;1E-12,Y2928&gt;0,Z2928&gt;0),AA2928,1E+300)</f>
        <v/>
      </c>
    </row>
    <row r="2929">
      <c r="A2929">
        <f>$B$3+$B$5*47</f>
        <v/>
      </c>
      <c r="B2929">
        <f>$B$3+$B$5*50</f>
        <v/>
      </c>
      <c r="C2929">
        <f>SUMPRODUCT(Calc!$K$3:$K$22*(Calc!$G$3:$G$22&lt;=A2929))</f>
        <v/>
      </c>
      <c r="D2929">
        <f>SUMPRODUCT(Calc!$K$3:$K$22*(Calc!$G$3:$G$22&gt;A2929)*(Calc!$G$3:$G$22&lt;B2929))</f>
        <v/>
      </c>
      <c r="E2929">
        <f>SUMPRODUCT(Calc!$K$3:$K$22*(Calc!$G$3:$G$22&gt;=B2929))</f>
        <v/>
      </c>
      <c r="F2929">
        <f>AND(k_n&gt;=5,B2929&gt;A2929+1E-9,C2929&gt;=2,D2929&gt;=1,E2929&gt;=2)</f>
        <v/>
      </c>
      <c r="G2929">
        <f>SUMPRODUCT(Calc!$K$3:$K$22*(Calc!$G$3:$G$22&gt;A2929)*(Calc!$G$3:$G$22-A2929))</f>
        <v/>
      </c>
      <c r="H2929">
        <f>SUMPRODUCT(Calc!$K$3:$K$22*(Calc!$G$3:$G$22&gt;B2929)*(Calc!$G$3:$G$22-B2929))</f>
        <v/>
      </c>
      <c r="I2929">
        <f>SUMPRODUCT(Calc!$K$3:$K$22*(Calc!$G$3:$G$22&gt;A2929)*(Calc!$G$3:$G$22-A2929)^2)</f>
        <v/>
      </c>
      <c r="J2929">
        <f>SUMPRODUCT(Calc!$K$3:$K$22*(Calc!$G$3:$G$22&gt;B2929)*(Calc!$G$3:$G$22-B2929)^2)</f>
        <v/>
      </c>
      <c r="K2929">
        <f>SUMPRODUCT(Calc!$K$3:$K$22*(Calc!$G$3:$G$22&gt;A2929)*(Calc!$G$3:$G$22-A2929)*(Calc!$G$3:$G$22&gt;B2929)*(Calc!$G$3:$G$22-B2929))</f>
        <v/>
      </c>
      <c r="L2929">
        <f>SUMPRODUCT(Calc!$K$3:$K$22*(Calc!$G$3:$G$22&gt;A2929)*(Calc!$G$3:$G$22-A2929)*Calc!$G$3:$G$22)</f>
        <v/>
      </c>
      <c r="M2929">
        <f>SUMPRODUCT(Calc!$K$3:$K$22*(Calc!$G$3:$G$22&gt;B2929)*(Calc!$G$3:$G$22-B2929)*Calc!$G$3:$G$22)</f>
        <v/>
      </c>
      <c r="N2929">
        <f>SUMPRODUCT(Calc!$K$3:$K$22*(Calc!$G$3:$G$22&gt;A2929)*(Calc!$G$3:$G$22-A2929)*Calc!$I$3:$I$22)</f>
        <v/>
      </c>
      <c r="O2929">
        <f>SUMPRODUCT(Calc!$K$3:$K$22*(Calc!$G$3:$G$22&gt;B2929)*(Calc!$G$3:$G$22-B2929)*Calc!$I$3:$I$22)</f>
        <v/>
      </c>
      <c r="P2929">
        <f>I2929-G2929^2/k_n</f>
        <v/>
      </c>
      <c r="Q2929">
        <f>J2929-H2929^2/k_n</f>
        <v/>
      </c>
      <c r="R2929">
        <f>K2929-G2929*H2929/k_n</f>
        <v/>
      </c>
      <c r="S2929">
        <f>L2929-LTP3!$D$3*G2929/k_n</f>
        <v/>
      </c>
      <c r="T2929">
        <f>M2929-LTP3!$D$3*H2929/k_n</f>
        <v/>
      </c>
      <c r="U2929">
        <f>N2929-G2929*LTP3!$D$4/k_n</f>
        <v/>
      </c>
      <c r="V2929">
        <f>O2929-H2929*LTP3!$D$4/k_n</f>
        <v/>
      </c>
      <c r="W2929">
        <f>((LTP3!$D$5)*((P2929)*(Q2929)-(R2929)*(R2929))-(S2929)*((S2929)*(Q2929)-(R2929)*(T2929))+(T2929)*((S2929)*(R2929)-(P2929)*(T2929)))</f>
        <v/>
      </c>
      <c r="X2929">
        <f>IF(ABS(W2929)&gt;1E-12,((LTP3!$D$6)*((P2929)*(Q2929)-(R2929)*(R2929))-(S2929)*((U2929)*(Q2929)-(R2929)*(V2929))+(T2929)*((U2929)*(R2929)-(P2929)*(V2929)))/W2929,0)</f>
        <v/>
      </c>
      <c r="Y2929">
        <f>IF(ABS(W2929)&gt;1E-12,((LTP3!$D$5)*((U2929)*(Q2929)-(R2929)*(V2929))-(LTP3!$D$6)*((S2929)*(Q2929)-(R2929)*(T2929))+(T2929)*((S2929)*(V2929)-(U2929)*(T2929)))/W2929,0)</f>
        <v/>
      </c>
      <c r="Z2929">
        <f>IF(ABS(W2929)&gt;1E-12,((LTP3!$D$5)*((P2929)*(V2929)-(U2929)*(R2929))-(S2929)*((S2929)*(V2929)-(U2929)*(T2929))+(LTP3!$D$6)*((S2929)*(R2929)-(P2929)*(T2929)))/W2929,0)</f>
        <v/>
      </c>
      <c r="AA2929">
        <f>LTP3!$D$7-X2929*LTP3!$D$6-Y2929*U2929-Z2929*V2929</f>
        <v/>
      </c>
      <c r="AB2929">
        <f>IF(AND(F2929,ABS(W2929)&gt;1E-12,Y2929&gt;0,Z2929&gt;0),AA2929,1E+300)</f>
        <v/>
      </c>
    </row>
    <row r="2930">
      <c r="A2930">
        <f>$B$3+$B$5*47</f>
        <v/>
      </c>
      <c r="B2930">
        <f>$B$3+$B$5*51</f>
        <v/>
      </c>
      <c r="C2930">
        <f>SUMPRODUCT(Calc!$K$3:$K$22*(Calc!$G$3:$G$22&lt;=A2930))</f>
        <v/>
      </c>
      <c r="D2930">
        <f>SUMPRODUCT(Calc!$K$3:$K$22*(Calc!$G$3:$G$22&gt;A2930)*(Calc!$G$3:$G$22&lt;B2930))</f>
        <v/>
      </c>
      <c r="E2930">
        <f>SUMPRODUCT(Calc!$K$3:$K$22*(Calc!$G$3:$G$22&gt;=B2930))</f>
        <v/>
      </c>
      <c r="F2930">
        <f>AND(k_n&gt;=5,B2930&gt;A2930+1E-9,C2930&gt;=2,D2930&gt;=1,E2930&gt;=2)</f>
        <v/>
      </c>
      <c r="G2930">
        <f>SUMPRODUCT(Calc!$K$3:$K$22*(Calc!$G$3:$G$22&gt;A2930)*(Calc!$G$3:$G$22-A2930))</f>
        <v/>
      </c>
      <c r="H2930">
        <f>SUMPRODUCT(Calc!$K$3:$K$22*(Calc!$G$3:$G$22&gt;B2930)*(Calc!$G$3:$G$22-B2930))</f>
        <v/>
      </c>
      <c r="I2930">
        <f>SUMPRODUCT(Calc!$K$3:$K$22*(Calc!$G$3:$G$22&gt;A2930)*(Calc!$G$3:$G$22-A2930)^2)</f>
        <v/>
      </c>
      <c r="J2930">
        <f>SUMPRODUCT(Calc!$K$3:$K$22*(Calc!$G$3:$G$22&gt;B2930)*(Calc!$G$3:$G$22-B2930)^2)</f>
        <v/>
      </c>
      <c r="K2930">
        <f>SUMPRODUCT(Calc!$K$3:$K$22*(Calc!$G$3:$G$22&gt;A2930)*(Calc!$G$3:$G$22-A2930)*(Calc!$G$3:$G$22&gt;B2930)*(Calc!$G$3:$G$22-B2930))</f>
        <v/>
      </c>
      <c r="L2930">
        <f>SUMPRODUCT(Calc!$K$3:$K$22*(Calc!$G$3:$G$22&gt;A2930)*(Calc!$G$3:$G$22-A2930)*Calc!$G$3:$G$22)</f>
        <v/>
      </c>
      <c r="M2930">
        <f>SUMPRODUCT(Calc!$K$3:$K$22*(Calc!$G$3:$G$22&gt;B2930)*(Calc!$G$3:$G$22-B2930)*Calc!$G$3:$G$22)</f>
        <v/>
      </c>
      <c r="N2930">
        <f>SUMPRODUCT(Calc!$K$3:$K$22*(Calc!$G$3:$G$22&gt;A2930)*(Calc!$G$3:$G$22-A2930)*Calc!$I$3:$I$22)</f>
        <v/>
      </c>
      <c r="O2930">
        <f>SUMPRODUCT(Calc!$K$3:$K$22*(Calc!$G$3:$G$22&gt;B2930)*(Calc!$G$3:$G$22-B2930)*Calc!$I$3:$I$22)</f>
        <v/>
      </c>
      <c r="P2930">
        <f>I2930-G2930^2/k_n</f>
        <v/>
      </c>
      <c r="Q2930">
        <f>J2930-H2930^2/k_n</f>
        <v/>
      </c>
      <c r="R2930">
        <f>K2930-G2930*H2930/k_n</f>
        <v/>
      </c>
      <c r="S2930">
        <f>L2930-LTP3!$D$3*G2930/k_n</f>
        <v/>
      </c>
      <c r="T2930">
        <f>M2930-LTP3!$D$3*H2930/k_n</f>
        <v/>
      </c>
      <c r="U2930">
        <f>N2930-G2930*LTP3!$D$4/k_n</f>
        <v/>
      </c>
      <c r="V2930">
        <f>O2930-H2930*LTP3!$D$4/k_n</f>
        <v/>
      </c>
      <c r="W2930">
        <f>((LTP3!$D$5)*((P2930)*(Q2930)-(R2930)*(R2930))-(S2930)*((S2930)*(Q2930)-(R2930)*(T2930))+(T2930)*((S2930)*(R2930)-(P2930)*(T2930)))</f>
        <v/>
      </c>
      <c r="X2930">
        <f>IF(ABS(W2930)&gt;1E-12,((LTP3!$D$6)*((P2930)*(Q2930)-(R2930)*(R2930))-(S2930)*((U2930)*(Q2930)-(R2930)*(V2930))+(T2930)*((U2930)*(R2930)-(P2930)*(V2930)))/W2930,0)</f>
        <v/>
      </c>
      <c r="Y2930">
        <f>IF(ABS(W2930)&gt;1E-12,((LTP3!$D$5)*((U2930)*(Q2930)-(R2930)*(V2930))-(LTP3!$D$6)*((S2930)*(Q2930)-(R2930)*(T2930))+(T2930)*((S2930)*(V2930)-(U2930)*(T2930)))/W2930,0)</f>
        <v/>
      </c>
      <c r="Z2930">
        <f>IF(ABS(W2930)&gt;1E-12,((LTP3!$D$5)*((P2930)*(V2930)-(U2930)*(R2930))-(S2930)*((S2930)*(V2930)-(U2930)*(T2930))+(LTP3!$D$6)*((S2930)*(R2930)-(P2930)*(T2930)))/W2930,0)</f>
        <v/>
      </c>
      <c r="AA2930">
        <f>LTP3!$D$7-X2930*LTP3!$D$6-Y2930*U2930-Z2930*V2930</f>
        <v/>
      </c>
      <c r="AB2930">
        <f>IF(AND(F2930,ABS(W2930)&gt;1E-12,Y2930&gt;0,Z2930&gt;0),AA2930,1E+300)</f>
        <v/>
      </c>
    </row>
    <row r="2931">
      <c r="A2931">
        <f>$B$3+$B$5*47</f>
        <v/>
      </c>
      <c r="B2931">
        <f>$B$3+$B$5*52</f>
        <v/>
      </c>
      <c r="C2931">
        <f>SUMPRODUCT(Calc!$K$3:$K$22*(Calc!$G$3:$G$22&lt;=A2931))</f>
        <v/>
      </c>
      <c r="D2931">
        <f>SUMPRODUCT(Calc!$K$3:$K$22*(Calc!$G$3:$G$22&gt;A2931)*(Calc!$G$3:$G$22&lt;B2931))</f>
        <v/>
      </c>
      <c r="E2931">
        <f>SUMPRODUCT(Calc!$K$3:$K$22*(Calc!$G$3:$G$22&gt;=B2931))</f>
        <v/>
      </c>
      <c r="F2931">
        <f>AND(k_n&gt;=5,B2931&gt;A2931+1E-9,C2931&gt;=2,D2931&gt;=1,E2931&gt;=2)</f>
        <v/>
      </c>
      <c r="G2931">
        <f>SUMPRODUCT(Calc!$K$3:$K$22*(Calc!$G$3:$G$22&gt;A2931)*(Calc!$G$3:$G$22-A2931))</f>
        <v/>
      </c>
      <c r="H2931">
        <f>SUMPRODUCT(Calc!$K$3:$K$22*(Calc!$G$3:$G$22&gt;B2931)*(Calc!$G$3:$G$22-B2931))</f>
        <v/>
      </c>
      <c r="I2931">
        <f>SUMPRODUCT(Calc!$K$3:$K$22*(Calc!$G$3:$G$22&gt;A2931)*(Calc!$G$3:$G$22-A2931)^2)</f>
        <v/>
      </c>
      <c r="J2931">
        <f>SUMPRODUCT(Calc!$K$3:$K$22*(Calc!$G$3:$G$22&gt;B2931)*(Calc!$G$3:$G$22-B2931)^2)</f>
        <v/>
      </c>
      <c r="K2931">
        <f>SUMPRODUCT(Calc!$K$3:$K$22*(Calc!$G$3:$G$22&gt;A2931)*(Calc!$G$3:$G$22-A2931)*(Calc!$G$3:$G$22&gt;B2931)*(Calc!$G$3:$G$22-B2931))</f>
        <v/>
      </c>
      <c r="L2931">
        <f>SUMPRODUCT(Calc!$K$3:$K$22*(Calc!$G$3:$G$22&gt;A2931)*(Calc!$G$3:$G$22-A2931)*Calc!$G$3:$G$22)</f>
        <v/>
      </c>
      <c r="M2931">
        <f>SUMPRODUCT(Calc!$K$3:$K$22*(Calc!$G$3:$G$22&gt;B2931)*(Calc!$G$3:$G$22-B2931)*Calc!$G$3:$G$22)</f>
        <v/>
      </c>
      <c r="N2931">
        <f>SUMPRODUCT(Calc!$K$3:$K$22*(Calc!$G$3:$G$22&gt;A2931)*(Calc!$G$3:$G$22-A2931)*Calc!$I$3:$I$22)</f>
        <v/>
      </c>
      <c r="O2931">
        <f>SUMPRODUCT(Calc!$K$3:$K$22*(Calc!$G$3:$G$22&gt;B2931)*(Calc!$G$3:$G$22-B2931)*Calc!$I$3:$I$22)</f>
        <v/>
      </c>
      <c r="P2931">
        <f>I2931-G2931^2/k_n</f>
        <v/>
      </c>
      <c r="Q2931">
        <f>J2931-H2931^2/k_n</f>
        <v/>
      </c>
      <c r="R2931">
        <f>K2931-G2931*H2931/k_n</f>
        <v/>
      </c>
      <c r="S2931">
        <f>L2931-LTP3!$D$3*G2931/k_n</f>
        <v/>
      </c>
      <c r="T2931">
        <f>M2931-LTP3!$D$3*H2931/k_n</f>
        <v/>
      </c>
      <c r="U2931">
        <f>N2931-G2931*LTP3!$D$4/k_n</f>
        <v/>
      </c>
      <c r="V2931">
        <f>O2931-H2931*LTP3!$D$4/k_n</f>
        <v/>
      </c>
      <c r="W2931">
        <f>((LTP3!$D$5)*((P2931)*(Q2931)-(R2931)*(R2931))-(S2931)*((S2931)*(Q2931)-(R2931)*(T2931))+(T2931)*((S2931)*(R2931)-(P2931)*(T2931)))</f>
        <v/>
      </c>
      <c r="X2931">
        <f>IF(ABS(W2931)&gt;1E-12,((LTP3!$D$6)*((P2931)*(Q2931)-(R2931)*(R2931))-(S2931)*((U2931)*(Q2931)-(R2931)*(V2931))+(T2931)*((U2931)*(R2931)-(P2931)*(V2931)))/W2931,0)</f>
        <v/>
      </c>
      <c r="Y2931">
        <f>IF(ABS(W2931)&gt;1E-12,((LTP3!$D$5)*((U2931)*(Q2931)-(R2931)*(V2931))-(LTP3!$D$6)*((S2931)*(Q2931)-(R2931)*(T2931))+(T2931)*((S2931)*(V2931)-(U2931)*(T2931)))/W2931,0)</f>
        <v/>
      </c>
      <c r="Z2931">
        <f>IF(ABS(W2931)&gt;1E-12,((LTP3!$D$5)*((P2931)*(V2931)-(U2931)*(R2931))-(S2931)*((S2931)*(V2931)-(U2931)*(T2931))+(LTP3!$D$6)*((S2931)*(R2931)-(P2931)*(T2931)))/W2931,0)</f>
        <v/>
      </c>
      <c r="AA2931">
        <f>LTP3!$D$7-X2931*LTP3!$D$6-Y2931*U2931-Z2931*V2931</f>
        <v/>
      </c>
      <c r="AB2931">
        <f>IF(AND(F2931,ABS(W2931)&gt;1E-12,Y2931&gt;0,Z2931&gt;0),AA2931,1E+300)</f>
        <v/>
      </c>
    </row>
    <row r="2932">
      <c r="A2932">
        <f>$B$3+$B$5*47</f>
        <v/>
      </c>
      <c r="B2932">
        <f>$B$3+$B$5*53</f>
        <v/>
      </c>
      <c r="C2932">
        <f>SUMPRODUCT(Calc!$K$3:$K$22*(Calc!$G$3:$G$22&lt;=A2932))</f>
        <v/>
      </c>
      <c r="D2932">
        <f>SUMPRODUCT(Calc!$K$3:$K$22*(Calc!$G$3:$G$22&gt;A2932)*(Calc!$G$3:$G$22&lt;B2932))</f>
        <v/>
      </c>
      <c r="E2932">
        <f>SUMPRODUCT(Calc!$K$3:$K$22*(Calc!$G$3:$G$22&gt;=B2932))</f>
        <v/>
      </c>
      <c r="F2932">
        <f>AND(k_n&gt;=5,B2932&gt;A2932+1E-9,C2932&gt;=2,D2932&gt;=1,E2932&gt;=2)</f>
        <v/>
      </c>
      <c r="G2932">
        <f>SUMPRODUCT(Calc!$K$3:$K$22*(Calc!$G$3:$G$22&gt;A2932)*(Calc!$G$3:$G$22-A2932))</f>
        <v/>
      </c>
      <c r="H2932">
        <f>SUMPRODUCT(Calc!$K$3:$K$22*(Calc!$G$3:$G$22&gt;B2932)*(Calc!$G$3:$G$22-B2932))</f>
        <v/>
      </c>
      <c r="I2932">
        <f>SUMPRODUCT(Calc!$K$3:$K$22*(Calc!$G$3:$G$22&gt;A2932)*(Calc!$G$3:$G$22-A2932)^2)</f>
        <v/>
      </c>
      <c r="J2932">
        <f>SUMPRODUCT(Calc!$K$3:$K$22*(Calc!$G$3:$G$22&gt;B2932)*(Calc!$G$3:$G$22-B2932)^2)</f>
        <v/>
      </c>
      <c r="K2932">
        <f>SUMPRODUCT(Calc!$K$3:$K$22*(Calc!$G$3:$G$22&gt;A2932)*(Calc!$G$3:$G$22-A2932)*(Calc!$G$3:$G$22&gt;B2932)*(Calc!$G$3:$G$22-B2932))</f>
        <v/>
      </c>
      <c r="L2932">
        <f>SUMPRODUCT(Calc!$K$3:$K$22*(Calc!$G$3:$G$22&gt;A2932)*(Calc!$G$3:$G$22-A2932)*Calc!$G$3:$G$22)</f>
        <v/>
      </c>
      <c r="M2932">
        <f>SUMPRODUCT(Calc!$K$3:$K$22*(Calc!$G$3:$G$22&gt;B2932)*(Calc!$G$3:$G$22-B2932)*Calc!$G$3:$G$22)</f>
        <v/>
      </c>
      <c r="N2932">
        <f>SUMPRODUCT(Calc!$K$3:$K$22*(Calc!$G$3:$G$22&gt;A2932)*(Calc!$G$3:$G$22-A2932)*Calc!$I$3:$I$22)</f>
        <v/>
      </c>
      <c r="O2932">
        <f>SUMPRODUCT(Calc!$K$3:$K$22*(Calc!$G$3:$G$22&gt;B2932)*(Calc!$G$3:$G$22-B2932)*Calc!$I$3:$I$22)</f>
        <v/>
      </c>
      <c r="P2932">
        <f>I2932-G2932^2/k_n</f>
        <v/>
      </c>
      <c r="Q2932">
        <f>J2932-H2932^2/k_n</f>
        <v/>
      </c>
      <c r="R2932">
        <f>K2932-G2932*H2932/k_n</f>
        <v/>
      </c>
      <c r="S2932">
        <f>L2932-LTP3!$D$3*G2932/k_n</f>
        <v/>
      </c>
      <c r="T2932">
        <f>M2932-LTP3!$D$3*H2932/k_n</f>
        <v/>
      </c>
      <c r="U2932">
        <f>N2932-G2932*LTP3!$D$4/k_n</f>
        <v/>
      </c>
      <c r="V2932">
        <f>O2932-H2932*LTP3!$D$4/k_n</f>
        <v/>
      </c>
      <c r="W2932">
        <f>((LTP3!$D$5)*((P2932)*(Q2932)-(R2932)*(R2932))-(S2932)*((S2932)*(Q2932)-(R2932)*(T2932))+(T2932)*((S2932)*(R2932)-(P2932)*(T2932)))</f>
        <v/>
      </c>
      <c r="X2932">
        <f>IF(ABS(W2932)&gt;1E-12,((LTP3!$D$6)*((P2932)*(Q2932)-(R2932)*(R2932))-(S2932)*((U2932)*(Q2932)-(R2932)*(V2932))+(T2932)*((U2932)*(R2932)-(P2932)*(V2932)))/W2932,0)</f>
        <v/>
      </c>
      <c r="Y2932">
        <f>IF(ABS(W2932)&gt;1E-12,((LTP3!$D$5)*((U2932)*(Q2932)-(R2932)*(V2932))-(LTP3!$D$6)*((S2932)*(Q2932)-(R2932)*(T2932))+(T2932)*((S2932)*(V2932)-(U2932)*(T2932)))/W2932,0)</f>
        <v/>
      </c>
      <c r="Z2932">
        <f>IF(ABS(W2932)&gt;1E-12,((LTP3!$D$5)*((P2932)*(V2932)-(U2932)*(R2932))-(S2932)*((S2932)*(V2932)-(U2932)*(T2932))+(LTP3!$D$6)*((S2932)*(R2932)-(P2932)*(T2932)))/W2932,0)</f>
        <v/>
      </c>
      <c r="AA2932">
        <f>LTP3!$D$7-X2932*LTP3!$D$6-Y2932*U2932-Z2932*V2932</f>
        <v/>
      </c>
      <c r="AB2932">
        <f>IF(AND(F2932,ABS(W2932)&gt;1E-12,Y2932&gt;0,Z2932&gt;0),AA2932,1E+300)</f>
        <v/>
      </c>
    </row>
    <row r="2933">
      <c r="A2933">
        <f>$B$3+$B$5*47</f>
        <v/>
      </c>
      <c r="B2933">
        <f>$B$3+$B$5*54</f>
        <v/>
      </c>
      <c r="C2933">
        <f>SUMPRODUCT(Calc!$K$3:$K$22*(Calc!$G$3:$G$22&lt;=A2933))</f>
        <v/>
      </c>
      <c r="D2933">
        <f>SUMPRODUCT(Calc!$K$3:$K$22*(Calc!$G$3:$G$22&gt;A2933)*(Calc!$G$3:$G$22&lt;B2933))</f>
        <v/>
      </c>
      <c r="E2933">
        <f>SUMPRODUCT(Calc!$K$3:$K$22*(Calc!$G$3:$G$22&gt;=B2933))</f>
        <v/>
      </c>
      <c r="F2933">
        <f>AND(k_n&gt;=5,B2933&gt;A2933+1E-9,C2933&gt;=2,D2933&gt;=1,E2933&gt;=2)</f>
        <v/>
      </c>
      <c r="G2933">
        <f>SUMPRODUCT(Calc!$K$3:$K$22*(Calc!$G$3:$G$22&gt;A2933)*(Calc!$G$3:$G$22-A2933))</f>
        <v/>
      </c>
      <c r="H2933">
        <f>SUMPRODUCT(Calc!$K$3:$K$22*(Calc!$G$3:$G$22&gt;B2933)*(Calc!$G$3:$G$22-B2933))</f>
        <v/>
      </c>
      <c r="I2933">
        <f>SUMPRODUCT(Calc!$K$3:$K$22*(Calc!$G$3:$G$22&gt;A2933)*(Calc!$G$3:$G$22-A2933)^2)</f>
        <v/>
      </c>
      <c r="J2933">
        <f>SUMPRODUCT(Calc!$K$3:$K$22*(Calc!$G$3:$G$22&gt;B2933)*(Calc!$G$3:$G$22-B2933)^2)</f>
        <v/>
      </c>
      <c r="K2933">
        <f>SUMPRODUCT(Calc!$K$3:$K$22*(Calc!$G$3:$G$22&gt;A2933)*(Calc!$G$3:$G$22-A2933)*(Calc!$G$3:$G$22&gt;B2933)*(Calc!$G$3:$G$22-B2933))</f>
        <v/>
      </c>
      <c r="L2933">
        <f>SUMPRODUCT(Calc!$K$3:$K$22*(Calc!$G$3:$G$22&gt;A2933)*(Calc!$G$3:$G$22-A2933)*Calc!$G$3:$G$22)</f>
        <v/>
      </c>
      <c r="M2933">
        <f>SUMPRODUCT(Calc!$K$3:$K$22*(Calc!$G$3:$G$22&gt;B2933)*(Calc!$G$3:$G$22-B2933)*Calc!$G$3:$G$22)</f>
        <v/>
      </c>
      <c r="N2933">
        <f>SUMPRODUCT(Calc!$K$3:$K$22*(Calc!$G$3:$G$22&gt;A2933)*(Calc!$G$3:$G$22-A2933)*Calc!$I$3:$I$22)</f>
        <v/>
      </c>
      <c r="O2933">
        <f>SUMPRODUCT(Calc!$K$3:$K$22*(Calc!$G$3:$G$22&gt;B2933)*(Calc!$G$3:$G$22-B2933)*Calc!$I$3:$I$22)</f>
        <v/>
      </c>
      <c r="P2933">
        <f>I2933-G2933^2/k_n</f>
        <v/>
      </c>
      <c r="Q2933">
        <f>J2933-H2933^2/k_n</f>
        <v/>
      </c>
      <c r="R2933">
        <f>K2933-G2933*H2933/k_n</f>
        <v/>
      </c>
      <c r="S2933">
        <f>L2933-LTP3!$D$3*G2933/k_n</f>
        <v/>
      </c>
      <c r="T2933">
        <f>M2933-LTP3!$D$3*H2933/k_n</f>
        <v/>
      </c>
      <c r="U2933">
        <f>N2933-G2933*LTP3!$D$4/k_n</f>
        <v/>
      </c>
      <c r="V2933">
        <f>O2933-H2933*LTP3!$D$4/k_n</f>
        <v/>
      </c>
      <c r="W2933">
        <f>((LTP3!$D$5)*((P2933)*(Q2933)-(R2933)*(R2933))-(S2933)*((S2933)*(Q2933)-(R2933)*(T2933))+(T2933)*((S2933)*(R2933)-(P2933)*(T2933)))</f>
        <v/>
      </c>
      <c r="X2933">
        <f>IF(ABS(W2933)&gt;1E-12,((LTP3!$D$6)*((P2933)*(Q2933)-(R2933)*(R2933))-(S2933)*((U2933)*(Q2933)-(R2933)*(V2933))+(T2933)*((U2933)*(R2933)-(P2933)*(V2933)))/W2933,0)</f>
        <v/>
      </c>
      <c r="Y2933">
        <f>IF(ABS(W2933)&gt;1E-12,((LTP3!$D$5)*((U2933)*(Q2933)-(R2933)*(V2933))-(LTP3!$D$6)*((S2933)*(Q2933)-(R2933)*(T2933))+(T2933)*((S2933)*(V2933)-(U2933)*(T2933)))/W2933,0)</f>
        <v/>
      </c>
      <c r="Z2933">
        <f>IF(ABS(W2933)&gt;1E-12,((LTP3!$D$5)*((P2933)*(V2933)-(U2933)*(R2933))-(S2933)*((S2933)*(V2933)-(U2933)*(T2933))+(LTP3!$D$6)*((S2933)*(R2933)-(P2933)*(T2933)))/W2933,0)</f>
        <v/>
      </c>
      <c r="AA2933">
        <f>LTP3!$D$7-X2933*LTP3!$D$6-Y2933*U2933-Z2933*V2933</f>
        <v/>
      </c>
      <c r="AB2933">
        <f>IF(AND(F2933,ABS(W2933)&gt;1E-12,Y2933&gt;0,Z2933&gt;0),AA2933,1E+300)</f>
        <v/>
      </c>
    </row>
    <row r="2934">
      <c r="A2934">
        <f>$B$3+$B$5*47</f>
        <v/>
      </c>
      <c r="B2934">
        <f>$B$3+$B$5*55</f>
        <v/>
      </c>
      <c r="C2934">
        <f>SUMPRODUCT(Calc!$K$3:$K$22*(Calc!$G$3:$G$22&lt;=A2934))</f>
        <v/>
      </c>
      <c r="D2934">
        <f>SUMPRODUCT(Calc!$K$3:$K$22*(Calc!$G$3:$G$22&gt;A2934)*(Calc!$G$3:$G$22&lt;B2934))</f>
        <v/>
      </c>
      <c r="E2934">
        <f>SUMPRODUCT(Calc!$K$3:$K$22*(Calc!$G$3:$G$22&gt;=B2934))</f>
        <v/>
      </c>
      <c r="F2934">
        <f>AND(k_n&gt;=5,B2934&gt;A2934+1E-9,C2934&gt;=2,D2934&gt;=1,E2934&gt;=2)</f>
        <v/>
      </c>
      <c r="G2934">
        <f>SUMPRODUCT(Calc!$K$3:$K$22*(Calc!$G$3:$G$22&gt;A2934)*(Calc!$G$3:$G$22-A2934))</f>
        <v/>
      </c>
      <c r="H2934">
        <f>SUMPRODUCT(Calc!$K$3:$K$22*(Calc!$G$3:$G$22&gt;B2934)*(Calc!$G$3:$G$22-B2934))</f>
        <v/>
      </c>
      <c r="I2934">
        <f>SUMPRODUCT(Calc!$K$3:$K$22*(Calc!$G$3:$G$22&gt;A2934)*(Calc!$G$3:$G$22-A2934)^2)</f>
        <v/>
      </c>
      <c r="J2934">
        <f>SUMPRODUCT(Calc!$K$3:$K$22*(Calc!$G$3:$G$22&gt;B2934)*(Calc!$G$3:$G$22-B2934)^2)</f>
        <v/>
      </c>
      <c r="K2934">
        <f>SUMPRODUCT(Calc!$K$3:$K$22*(Calc!$G$3:$G$22&gt;A2934)*(Calc!$G$3:$G$22-A2934)*(Calc!$G$3:$G$22&gt;B2934)*(Calc!$G$3:$G$22-B2934))</f>
        <v/>
      </c>
      <c r="L2934">
        <f>SUMPRODUCT(Calc!$K$3:$K$22*(Calc!$G$3:$G$22&gt;A2934)*(Calc!$G$3:$G$22-A2934)*Calc!$G$3:$G$22)</f>
        <v/>
      </c>
      <c r="M2934">
        <f>SUMPRODUCT(Calc!$K$3:$K$22*(Calc!$G$3:$G$22&gt;B2934)*(Calc!$G$3:$G$22-B2934)*Calc!$G$3:$G$22)</f>
        <v/>
      </c>
      <c r="N2934">
        <f>SUMPRODUCT(Calc!$K$3:$K$22*(Calc!$G$3:$G$22&gt;A2934)*(Calc!$G$3:$G$22-A2934)*Calc!$I$3:$I$22)</f>
        <v/>
      </c>
      <c r="O2934">
        <f>SUMPRODUCT(Calc!$K$3:$K$22*(Calc!$G$3:$G$22&gt;B2934)*(Calc!$G$3:$G$22-B2934)*Calc!$I$3:$I$22)</f>
        <v/>
      </c>
      <c r="P2934">
        <f>I2934-G2934^2/k_n</f>
        <v/>
      </c>
      <c r="Q2934">
        <f>J2934-H2934^2/k_n</f>
        <v/>
      </c>
      <c r="R2934">
        <f>K2934-G2934*H2934/k_n</f>
        <v/>
      </c>
      <c r="S2934">
        <f>L2934-LTP3!$D$3*G2934/k_n</f>
        <v/>
      </c>
      <c r="T2934">
        <f>M2934-LTP3!$D$3*H2934/k_n</f>
        <v/>
      </c>
      <c r="U2934">
        <f>N2934-G2934*LTP3!$D$4/k_n</f>
        <v/>
      </c>
      <c r="V2934">
        <f>O2934-H2934*LTP3!$D$4/k_n</f>
        <v/>
      </c>
      <c r="W2934">
        <f>((LTP3!$D$5)*((P2934)*(Q2934)-(R2934)*(R2934))-(S2934)*((S2934)*(Q2934)-(R2934)*(T2934))+(T2934)*((S2934)*(R2934)-(P2934)*(T2934)))</f>
        <v/>
      </c>
      <c r="X2934">
        <f>IF(ABS(W2934)&gt;1E-12,((LTP3!$D$6)*((P2934)*(Q2934)-(R2934)*(R2934))-(S2934)*((U2934)*(Q2934)-(R2934)*(V2934))+(T2934)*((U2934)*(R2934)-(P2934)*(V2934)))/W2934,0)</f>
        <v/>
      </c>
      <c r="Y2934">
        <f>IF(ABS(W2934)&gt;1E-12,((LTP3!$D$5)*((U2934)*(Q2934)-(R2934)*(V2934))-(LTP3!$D$6)*((S2934)*(Q2934)-(R2934)*(T2934))+(T2934)*((S2934)*(V2934)-(U2934)*(T2934)))/W2934,0)</f>
        <v/>
      </c>
      <c r="Z2934">
        <f>IF(ABS(W2934)&gt;1E-12,((LTP3!$D$5)*((P2934)*(V2934)-(U2934)*(R2934))-(S2934)*((S2934)*(V2934)-(U2934)*(T2934))+(LTP3!$D$6)*((S2934)*(R2934)-(P2934)*(T2934)))/W2934,0)</f>
        <v/>
      </c>
      <c r="AA2934">
        <f>LTP3!$D$7-X2934*LTP3!$D$6-Y2934*U2934-Z2934*V2934</f>
        <v/>
      </c>
      <c r="AB2934">
        <f>IF(AND(F2934,ABS(W2934)&gt;1E-12,Y2934&gt;0,Z2934&gt;0),AA2934,1E+300)</f>
        <v/>
      </c>
    </row>
    <row r="2935">
      <c r="A2935">
        <f>$B$3+$B$5*47</f>
        <v/>
      </c>
      <c r="B2935">
        <f>$B$3+$B$5*56</f>
        <v/>
      </c>
      <c r="C2935">
        <f>SUMPRODUCT(Calc!$K$3:$K$22*(Calc!$G$3:$G$22&lt;=A2935))</f>
        <v/>
      </c>
      <c r="D2935">
        <f>SUMPRODUCT(Calc!$K$3:$K$22*(Calc!$G$3:$G$22&gt;A2935)*(Calc!$G$3:$G$22&lt;B2935))</f>
        <v/>
      </c>
      <c r="E2935">
        <f>SUMPRODUCT(Calc!$K$3:$K$22*(Calc!$G$3:$G$22&gt;=B2935))</f>
        <v/>
      </c>
      <c r="F2935">
        <f>AND(k_n&gt;=5,B2935&gt;A2935+1E-9,C2935&gt;=2,D2935&gt;=1,E2935&gt;=2)</f>
        <v/>
      </c>
      <c r="G2935">
        <f>SUMPRODUCT(Calc!$K$3:$K$22*(Calc!$G$3:$G$22&gt;A2935)*(Calc!$G$3:$G$22-A2935))</f>
        <v/>
      </c>
      <c r="H2935">
        <f>SUMPRODUCT(Calc!$K$3:$K$22*(Calc!$G$3:$G$22&gt;B2935)*(Calc!$G$3:$G$22-B2935))</f>
        <v/>
      </c>
      <c r="I2935">
        <f>SUMPRODUCT(Calc!$K$3:$K$22*(Calc!$G$3:$G$22&gt;A2935)*(Calc!$G$3:$G$22-A2935)^2)</f>
        <v/>
      </c>
      <c r="J2935">
        <f>SUMPRODUCT(Calc!$K$3:$K$22*(Calc!$G$3:$G$22&gt;B2935)*(Calc!$G$3:$G$22-B2935)^2)</f>
        <v/>
      </c>
      <c r="K2935">
        <f>SUMPRODUCT(Calc!$K$3:$K$22*(Calc!$G$3:$G$22&gt;A2935)*(Calc!$G$3:$G$22-A2935)*(Calc!$G$3:$G$22&gt;B2935)*(Calc!$G$3:$G$22-B2935))</f>
        <v/>
      </c>
      <c r="L2935">
        <f>SUMPRODUCT(Calc!$K$3:$K$22*(Calc!$G$3:$G$22&gt;A2935)*(Calc!$G$3:$G$22-A2935)*Calc!$G$3:$G$22)</f>
        <v/>
      </c>
      <c r="M2935">
        <f>SUMPRODUCT(Calc!$K$3:$K$22*(Calc!$G$3:$G$22&gt;B2935)*(Calc!$G$3:$G$22-B2935)*Calc!$G$3:$G$22)</f>
        <v/>
      </c>
      <c r="N2935">
        <f>SUMPRODUCT(Calc!$K$3:$K$22*(Calc!$G$3:$G$22&gt;A2935)*(Calc!$G$3:$G$22-A2935)*Calc!$I$3:$I$22)</f>
        <v/>
      </c>
      <c r="O2935">
        <f>SUMPRODUCT(Calc!$K$3:$K$22*(Calc!$G$3:$G$22&gt;B2935)*(Calc!$G$3:$G$22-B2935)*Calc!$I$3:$I$22)</f>
        <v/>
      </c>
      <c r="P2935">
        <f>I2935-G2935^2/k_n</f>
        <v/>
      </c>
      <c r="Q2935">
        <f>J2935-H2935^2/k_n</f>
        <v/>
      </c>
      <c r="R2935">
        <f>K2935-G2935*H2935/k_n</f>
        <v/>
      </c>
      <c r="S2935">
        <f>L2935-LTP3!$D$3*G2935/k_n</f>
        <v/>
      </c>
      <c r="T2935">
        <f>M2935-LTP3!$D$3*H2935/k_n</f>
        <v/>
      </c>
      <c r="U2935">
        <f>N2935-G2935*LTP3!$D$4/k_n</f>
        <v/>
      </c>
      <c r="V2935">
        <f>O2935-H2935*LTP3!$D$4/k_n</f>
        <v/>
      </c>
      <c r="W2935">
        <f>((LTP3!$D$5)*((P2935)*(Q2935)-(R2935)*(R2935))-(S2935)*((S2935)*(Q2935)-(R2935)*(T2935))+(T2935)*((S2935)*(R2935)-(P2935)*(T2935)))</f>
        <v/>
      </c>
      <c r="X2935">
        <f>IF(ABS(W2935)&gt;1E-12,((LTP3!$D$6)*((P2935)*(Q2935)-(R2935)*(R2935))-(S2935)*((U2935)*(Q2935)-(R2935)*(V2935))+(T2935)*((U2935)*(R2935)-(P2935)*(V2935)))/W2935,0)</f>
        <v/>
      </c>
      <c r="Y2935">
        <f>IF(ABS(W2935)&gt;1E-12,((LTP3!$D$5)*((U2935)*(Q2935)-(R2935)*(V2935))-(LTP3!$D$6)*((S2935)*(Q2935)-(R2935)*(T2935))+(T2935)*((S2935)*(V2935)-(U2935)*(T2935)))/W2935,0)</f>
        <v/>
      </c>
      <c r="Z2935">
        <f>IF(ABS(W2935)&gt;1E-12,((LTP3!$D$5)*((P2935)*(V2935)-(U2935)*(R2935))-(S2935)*((S2935)*(V2935)-(U2935)*(T2935))+(LTP3!$D$6)*((S2935)*(R2935)-(P2935)*(T2935)))/W2935,0)</f>
        <v/>
      </c>
      <c r="AA2935">
        <f>LTP3!$D$7-X2935*LTP3!$D$6-Y2935*U2935-Z2935*V2935</f>
        <v/>
      </c>
      <c r="AB2935">
        <f>IF(AND(F2935,ABS(W2935)&gt;1E-12,Y2935&gt;0,Z2935&gt;0),AA2935,1E+300)</f>
        <v/>
      </c>
    </row>
    <row r="2936">
      <c r="A2936">
        <f>$B$3+$B$5*47</f>
        <v/>
      </c>
      <c r="B2936">
        <f>$B$3+$B$5*57</f>
        <v/>
      </c>
      <c r="C2936">
        <f>SUMPRODUCT(Calc!$K$3:$K$22*(Calc!$G$3:$G$22&lt;=A2936))</f>
        <v/>
      </c>
      <c r="D2936">
        <f>SUMPRODUCT(Calc!$K$3:$K$22*(Calc!$G$3:$G$22&gt;A2936)*(Calc!$G$3:$G$22&lt;B2936))</f>
        <v/>
      </c>
      <c r="E2936">
        <f>SUMPRODUCT(Calc!$K$3:$K$22*(Calc!$G$3:$G$22&gt;=B2936))</f>
        <v/>
      </c>
      <c r="F2936">
        <f>AND(k_n&gt;=5,B2936&gt;A2936+1E-9,C2936&gt;=2,D2936&gt;=1,E2936&gt;=2)</f>
        <v/>
      </c>
      <c r="G2936">
        <f>SUMPRODUCT(Calc!$K$3:$K$22*(Calc!$G$3:$G$22&gt;A2936)*(Calc!$G$3:$G$22-A2936))</f>
        <v/>
      </c>
      <c r="H2936">
        <f>SUMPRODUCT(Calc!$K$3:$K$22*(Calc!$G$3:$G$22&gt;B2936)*(Calc!$G$3:$G$22-B2936))</f>
        <v/>
      </c>
      <c r="I2936">
        <f>SUMPRODUCT(Calc!$K$3:$K$22*(Calc!$G$3:$G$22&gt;A2936)*(Calc!$G$3:$G$22-A2936)^2)</f>
        <v/>
      </c>
      <c r="J2936">
        <f>SUMPRODUCT(Calc!$K$3:$K$22*(Calc!$G$3:$G$22&gt;B2936)*(Calc!$G$3:$G$22-B2936)^2)</f>
        <v/>
      </c>
      <c r="K2936">
        <f>SUMPRODUCT(Calc!$K$3:$K$22*(Calc!$G$3:$G$22&gt;A2936)*(Calc!$G$3:$G$22-A2936)*(Calc!$G$3:$G$22&gt;B2936)*(Calc!$G$3:$G$22-B2936))</f>
        <v/>
      </c>
      <c r="L2936">
        <f>SUMPRODUCT(Calc!$K$3:$K$22*(Calc!$G$3:$G$22&gt;A2936)*(Calc!$G$3:$G$22-A2936)*Calc!$G$3:$G$22)</f>
        <v/>
      </c>
      <c r="M2936">
        <f>SUMPRODUCT(Calc!$K$3:$K$22*(Calc!$G$3:$G$22&gt;B2936)*(Calc!$G$3:$G$22-B2936)*Calc!$G$3:$G$22)</f>
        <v/>
      </c>
      <c r="N2936">
        <f>SUMPRODUCT(Calc!$K$3:$K$22*(Calc!$G$3:$G$22&gt;A2936)*(Calc!$G$3:$G$22-A2936)*Calc!$I$3:$I$22)</f>
        <v/>
      </c>
      <c r="O2936">
        <f>SUMPRODUCT(Calc!$K$3:$K$22*(Calc!$G$3:$G$22&gt;B2936)*(Calc!$G$3:$G$22-B2936)*Calc!$I$3:$I$22)</f>
        <v/>
      </c>
      <c r="P2936">
        <f>I2936-G2936^2/k_n</f>
        <v/>
      </c>
      <c r="Q2936">
        <f>J2936-H2936^2/k_n</f>
        <v/>
      </c>
      <c r="R2936">
        <f>K2936-G2936*H2936/k_n</f>
        <v/>
      </c>
      <c r="S2936">
        <f>L2936-LTP3!$D$3*G2936/k_n</f>
        <v/>
      </c>
      <c r="T2936">
        <f>M2936-LTP3!$D$3*H2936/k_n</f>
        <v/>
      </c>
      <c r="U2936">
        <f>N2936-G2936*LTP3!$D$4/k_n</f>
        <v/>
      </c>
      <c r="V2936">
        <f>O2936-H2936*LTP3!$D$4/k_n</f>
        <v/>
      </c>
      <c r="W2936">
        <f>((LTP3!$D$5)*((P2936)*(Q2936)-(R2936)*(R2936))-(S2936)*((S2936)*(Q2936)-(R2936)*(T2936))+(T2936)*((S2936)*(R2936)-(P2936)*(T2936)))</f>
        <v/>
      </c>
      <c r="X2936">
        <f>IF(ABS(W2936)&gt;1E-12,((LTP3!$D$6)*((P2936)*(Q2936)-(R2936)*(R2936))-(S2936)*((U2936)*(Q2936)-(R2936)*(V2936))+(T2936)*((U2936)*(R2936)-(P2936)*(V2936)))/W2936,0)</f>
        <v/>
      </c>
      <c r="Y2936">
        <f>IF(ABS(W2936)&gt;1E-12,((LTP3!$D$5)*((U2936)*(Q2936)-(R2936)*(V2936))-(LTP3!$D$6)*((S2936)*(Q2936)-(R2936)*(T2936))+(T2936)*((S2936)*(V2936)-(U2936)*(T2936)))/W2936,0)</f>
        <v/>
      </c>
      <c r="Z2936">
        <f>IF(ABS(W2936)&gt;1E-12,((LTP3!$D$5)*((P2936)*(V2936)-(U2936)*(R2936))-(S2936)*((S2936)*(V2936)-(U2936)*(T2936))+(LTP3!$D$6)*((S2936)*(R2936)-(P2936)*(T2936)))/W2936,0)</f>
        <v/>
      </c>
      <c r="AA2936">
        <f>LTP3!$D$7-X2936*LTP3!$D$6-Y2936*U2936-Z2936*V2936</f>
        <v/>
      </c>
      <c r="AB2936">
        <f>IF(AND(F2936,ABS(W2936)&gt;1E-12,Y2936&gt;0,Z2936&gt;0),AA2936,1E+300)</f>
        <v/>
      </c>
    </row>
    <row r="2937">
      <c r="A2937">
        <f>$B$3+$B$5*47</f>
        <v/>
      </c>
      <c r="B2937">
        <f>$B$3+$B$5*58</f>
        <v/>
      </c>
      <c r="C2937">
        <f>SUMPRODUCT(Calc!$K$3:$K$22*(Calc!$G$3:$G$22&lt;=A2937))</f>
        <v/>
      </c>
      <c r="D2937">
        <f>SUMPRODUCT(Calc!$K$3:$K$22*(Calc!$G$3:$G$22&gt;A2937)*(Calc!$G$3:$G$22&lt;B2937))</f>
        <v/>
      </c>
      <c r="E2937">
        <f>SUMPRODUCT(Calc!$K$3:$K$22*(Calc!$G$3:$G$22&gt;=B2937))</f>
        <v/>
      </c>
      <c r="F2937">
        <f>AND(k_n&gt;=5,B2937&gt;A2937+1E-9,C2937&gt;=2,D2937&gt;=1,E2937&gt;=2)</f>
        <v/>
      </c>
      <c r="G2937">
        <f>SUMPRODUCT(Calc!$K$3:$K$22*(Calc!$G$3:$G$22&gt;A2937)*(Calc!$G$3:$G$22-A2937))</f>
        <v/>
      </c>
      <c r="H2937">
        <f>SUMPRODUCT(Calc!$K$3:$K$22*(Calc!$G$3:$G$22&gt;B2937)*(Calc!$G$3:$G$22-B2937))</f>
        <v/>
      </c>
      <c r="I2937">
        <f>SUMPRODUCT(Calc!$K$3:$K$22*(Calc!$G$3:$G$22&gt;A2937)*(Calc!$G$3:$G$22-A2937)^2)</f>
        <v/>
      </c>
      <c r="J2937">
        <f>SUMPRODUCT(Calc!$K$3:$K$22*(Calc!$G$3:$G$22&gt;B2937)*(Calc!$G$3:$G$22-B2937)^2)</f>
        <v/>
      </c>
      <c r="K2937">
        <f>SUMPRODUCT(Calc!$K$3:$K$22*(Calc!$G$3:$G$22&gt;A2937)*(Calc!$G$3:$G$22-A2937)*(Calc!$G$3:$G$22&gt;B2937)*(Calc!$G$3:$G$22-B2937))</f>
        <v/>
      </c>
      <c r="L2937">
        <f>SUMPRODUCT(Calc!$K$3:$K$22*(Calc!$G$3:$G$22&gt;A2937)*(Calc!$G$3:$G$22-A2937)*Calc!$G$3:$G$22)</f>
        <v/>
      </c>
      <c r="M2937">
        <f>SUMPRODUCT(Calc!$K$3:$K$22*(Calc!$G$3:$G$22&gt;B2937)*(Calc!$G$3:$G$22-B2937)*Calc!$G$3:$G$22)</f>
        <v/>
      </c>
      <c r="N2937">
        <f>SUMPRODUCT(Calc!$K$3:$K$22*(Calc!$G$3:$G$22&gt;A2937)*(Calc!$G$3:$G$22-A2937)*Calc!$I$3:$I$22)</f>
        <v/>
      </c>
      <c r="O2937">
        <f>SUMPRODUCT(Calc!$K$3:$K$22*(Calc!$G$3:$G$22&gt;B2937)*(Calc!$G$3:$G$22-B2937)*Calc!$I$3:$I$22)</f>
        <v/>
      </c>
      <c r="P2937">
        <f>I2937-G2937^2/k_n</f>
        <v/>
      </c>
      <c r="Q2937">
        <f>J2937-H2937^2/k_n</f>
        <v/>
      </c>
      <c r="R2937">
        <f>K2937-G2937*H2937/k_n</f>
        <v/>
      </c>
      <c r="S2937">
        <f>L2937-LTP3!$D$3*G2937/k_n</f>
        <v/>
      </c>
      <c r="T2937">
        <f>M2937-LTP3!$D$3*H2937/k_n</f>
        <v/>
      </c>
      <c r="U2937">
        <f>N2937-G2937*LTP3!$D$4/k_n</f>
        <v/>
      </c>
      <c r="V2937">
        <f>O2937-H2937*LTP3!$D$4/k_n</f>
        <v/>
      </c>
      <c r="W2937">
        <f>((LTP3!$D$5)*((P2937)*(Q2937)-(R2937)*(R2937))-(S2937)*((S2937)*(Q2937)-(R2937)*(T2937))+(T2937)*((S2937)*(R2937)-(P2937)*(T2937)))</f>
        <v/>
      </c>
      <c r="X2937">
        <f>IF(ABS(W2937)&gt;1E-12,((LTP3!$D$6)*((P2937)*(Q2937)-(R2937)*(R2937))-(S2937)*((U2937)*(Q2937)-(R2937)*(V2937))+(T2937)*((U2937)*(R2937)-(P2937)*(V2937)))/W2937,0)</f>
        <v/>
      </c>
      <c r="Y2937">
        <f>IF(ABS(W2937)&gt;1E-12,((LTP3!$D$5)*((U2937)*(Q2937)-(R2937)*(V2937))-(LTP3!$D$6)*((S2937)*(Q2937)-(R2937)*(T2937))+(T2937)*((S2937)*(V2937)-(U2937)*(T2937)))/W2937,0)</f>
        <v/>
      </c>
      <c r="Z2937">
        <f>IF(ABS(W2937)&gt;1E-12,((LTP3!$D$5)*((P2937)*(V2937)-(U2937)*(R2937))-(S2937)*((S2937)*(V2937)-(U2937)*(T2937))+(LTP3!$D$6)*((S2937)*(R2937)-(P2937)*(T2937)))/W2937,0)</f>
        <v/>
      </c>
      <c r="AA2937">
        <f>LTP3!$D$7-X2937*LTP3!$D$6-Y2937*U2937-Z2937*V2937</f>
        <v/>
      </c>
      <c r="AB2937">
        <f>IF(AND(F2937,ABS(W2937)&gt;1E-12,Y2937&gt;0,Z2937&gt;0),AA2937,1E+300)</f>
        <v/>
      </c>
    </row>
    <row r="2938">
      <c r="A2938">
        <f>$B$3+$B$5*47</f>
        <v/>
      </c>
      <c r="B2938">
        <f>$B$3+$B$5*59</f>
        <v/>
      </c>
      <c r="C2938">
        <f>SUMPRODUCT(Calc!$K$3:$K$22*(Calc!$G$3:$G$22&lt;=A2938))</f>
        <v/>
      </c>
      <c r="D2938">
        <f>SUMPRODUCT(Calc!$K$3:$K$22*(Calc!$G$3:$G$22&gt;A2938)*(Calc!$G$3:$G$22&lt;B2938))</f>
        <v/>
      </c>
      <c r="E2938">
        <f>SUMPRODUCT(Calc!$K$3:$K$22*(Calc!$G$3:$G$22&gt;=B2938))</f>
        <v/>
      </c>
      <c r="F2938">
        <f>AND(k_n&gt;=5,B2938&gt;A2938+1E-9,C2938&gt;=2,D2938&gt;=1,E2938&gt;=2)</f>
        <v/>
      </c>
      <c r="G2938">
        <f>SUMPRODUCT(Calc!$K$3:$K$22*(Calc!$G$3:$G$22&gt;A2938)*(Calc!$G$3:$G$22-A2938))</f>
        <v/>
      </c>
      <c r="H2938">
        <f>SUMPRODUCT(Calc!$K$3:$K$22*(Calc!$G$3:$G$22&gt;B2938)*(Calc!$G$3:$G$22-B2938))</f>
        <v/>
      </c>
      <c r="I2938">
        <f>SUMPRODUCT(Calc!$K$3:$K$22*(Calc!$G$3:$G$22&gt;A2938)*(Calc!$G$3:$G$22-A2938)^2)</f>
        <v/>
      </c>
      <c r="J2938">
        <f>SUMPRODUCT(Calc!$K$3:$K$22*(Calc!$G$3:$G$22&gt;B2938)*(Calc!$G$3:$G$22-B2938)^2)</f>
        <v/>
      </c>
      <c r="K2938">
        <f>SUMPRODUCT(Calc!$K$3:$K$22*(Calc!$G$3:$G$22&gt;A2938)*(Calc!$G$3:$G$22-A2938)*(Calc!$G$3:$G$22&gt;B2938)*(Calc!$G$3:$G$22-B2938))</f>
        <v/>
      </c>
      <c r="L2938">
        <f>SUMPRODUCT(Calc!$K$3:$K$22*(Calc!$G$3:$G$22&gt;A2938)*(Calc!$G$3:$G$22-A2938)*Calc!$G$3:$G$22)</f>
        <v/>
      </c>
      <c r="M2938">
        <f>SUMPRODUCT(Calc!$K$3:$K$22*(Calc!$G$3:$G$22&gt;B2938)*(Calc!$G$3:$G$22-B2938)*Calc!$G$3:$G$22)</f>
        <v/>
      </c>
      <c r="N2938">
        <f>SUMPRODUCT(Calc!$K$3:$K$22*(Calc!$G$3:$G$22&gt;A2938)*(Calc!$G$3:$G$22-A2938)*Calc!$I$3:$I$22)</f>
        <v/>
      </c>
      <c r="O2938">
        <f>SUMPRODUCT(Calc!$K$3:$K$22*(Calc!$G$3:$G$22&gt;B2938)*(Calc!$G$3:$G$22-B2938)*Calc!$I$3:$I$22)</f>
        <v/>
      </c>
      <c r="P2938">
        <f>I2938-G2938^2/k_n</f>
        <v/>
      </c>
      <c r="Q2938">
        <f>J2938-H2938^2/k_n</f>
        <v/>
      </c>
      <c r="R2938">
        <f>K2938-G2938*H2938/k_n</f>
        <v/>
      </c>
      <c r="S2938">
        <f>L2938-LTP3!$D$3*G2938/k_n</f>
        <v/>
      </c>
      <c r="T2938">
        <f>M2938-LTP3!$D$3*H2938/k_n</f>
        <v/>
      </c>
      <c r="U2938">
        <f>N2938-G2938*LTP3!$D$4/k_n</f>
        <v/>
      </c>
      <c r="V2938">
        <f>O2938-H2938*LTP3!$D$4/k_n</f>
        <v/>
      </c>
      <c r="W2938">
        <f>((LTP3!$D$5)*((P2938)*(Q2938)-(R2938)*(R2938))-(S2938)*((S2938)*(Q2938)-(R2938)*(T2938))+(T2938)*((S2938)*(R2938)-(P2938)*(T2938)))</f>
        <v/>
      </c>
      <c r="X2938">
        <f>IF(ABS(W2938)&gt;1E-12,((LTP3!$D$6)*((P2938)*(Q2938)-(R2938)*(R2938))-(S2938)*((U2938)*(Q2938)-(R2938)*(V2938))+(T2938)*((U2938)*(R2938)-(P2938)*(V2938)))/W2938,0)</f>
        <v/>
      </c>
      <c r="Y2938">
        <f>IF(ABS(W2938)&gt;1E-12,((LTP3!$D$5)*((U2938)*(Q2938)-(R2938)*(V2938))-(LTP3!$D$6)*((S2938)*(Q2938)-(R2938)*(T2938))+(T2938)*((S2938)*(V2938)-(U2938)*(T2938)))/W2938,0)</f>
        <v/>
      </c>
      <c r="Z2938">
        <f>IF(ABS(W2938)&gt;1E-12,((LTP3!$D$5)*((P2938)*(V2938)-(U2938)*(R2938))-(S2938)*((S2938)*(V2938)-(U2938)*(T2938))+(LTP3!$D$6)*((S2938)*(R2938)-(P2938)*(T2938)))/W2938,0)</f>
        <v/>
      </c>
      <c r="AA2938">
        <f>LTP3!$D$7-X2938*LTP3!$D$6-Y2938*U2938-Z2938*V2938</f>
        <v/>
      </c>
      <c r="AB2938">
        <f>IF(AND(F2938,ABS(W2938)&gt;1E-12,Y2938&gt;0,Z2938&gt;0),AA2938,1E+300)</f>
        <v/>
      </c>
    </row>
    <row r="2939">
      <c r="A2939">
        <f>$B$3+$B$5*47</f>
        <v/>
      </c>
      <c r="B2939">
        <f>$B$3+$B$5*60</f>
        <v/>
      </c>
      <c r="C2939">
        <f>SUMPRODUCT(Calc!$K$3:$K$22*(Calc!$G$3:$G$22&lt;=A2939))</f>
        <v/>
      </c>
      <c r="D2939">
        <f>SUMPRODUCT(Calc!$K$3:$K$22*(Calc!$G$3:$G$22&gt;A2939)*(Calc!$G$3:$G$22&lt;B2939))</f>
        <v/>
      </c>
      <c r="E2939">
        <f>SUMPRODUCT(Calc!$K$3:$K$22*(Calc!$G$3:$G$22&gt;=B2939))</f>
        <v/>
      </c>
      <c r="F2939">
        <f>AND(k_n&gt;=5,B2939&gt;A2939+1E-9,C2939&gt;=2,D2939&gt;=1,E2939&gt;=2)</f>
        <v/>
      </c>
      <c r="G2939">
        <f>SUMPRODUCT(Calc!$K$3:$K$22*(Calc!$G$3:$G$22&gt;A2939)*(Calc!$G$3:$G$22-A2939))</f>
        <v/>
      </c>
      <c r="H2939">
        <f>SUMPRODUCT(Calc!$K$3:$K$22*(Calc!$G$3:$G$22&gt;B2939)*(Calc!$G$3:$G$22-B2939))</f>
        <v/>
      </c>
      <c r="I2939">
        <f>SUMPRODUCT(Calc!$K$3:$K$22*(Calc!$G$3:$G$22&gt;A2939)*(Calc!$G$3:$G$22-A2939)^2)</f>
        <v/>
      </c>
      <c r="J2939">
        <f>SUMPRODUCT(Calc!$K$3:$K$22*(Calc!$G$3:$G$22&gt;B2939)*(Calc!$G$3:$G$22-B2939)^2)</f>
        <v/>
      </c>
      <c r="K2939">
        <f>SUMPRODUCT(Calc!$K$3:$K$22*(Calc!$G$3:$G$22&gt;A2939)*(Calc!$G$3:$G$22-A2939)*(Calc!$G$3:$G$22&gt;B2939)*(Calc!$G$3:$G$22-B2939))</f>
        <v/>
      </c>
      <c r="L2939">
        <f>SUMPRODUCT(Calc!$K$3:$K$22*(Calc!$G$3:$G$22&gt;A2939)*(Calc!$G$3:$G$22-A2939)*Calc!$G$3:$G$22)</f>
        <v/>
      </c>
      <c r="M2939">
        <f>SUMPRODUCT(Calc!$K$3:$K$22*(Calc!$G$3:$G$22&gt;B2939)*(Calc!$G$3:$G$22-B2939)*Calc!$G$3:$G$22)</f>
        <v/>
      </c>
      <c r="N2939">
        <f>SUMPRODUCT(Calc!$K$3:$K$22*(Calc!$G$3:$G$22&gt;A2939)*(Calc!$G$3:$G$22-A2939)*Calc!$I$3:$I$22)</f>
        <v/>
      </c>
      <c r="O2939">
        <f>SUMPRODUCT(Calc!$K$3:$K$22*(Calc!$G$3:$G$22&gt;B2939)*(Calc!$G$3:$G$22-B2939)*Calc!$I$3:$I$22)</f>
        <v/>
      </c>
      <c r="P2939">
        <f>I2939-G2939^2/k_n</f>
        <v/>
      </c>
      <c r="Q2939">
        <f>J2939-H2939^2/k_n</f>
        <v/>
      </c>
      <c r="R2939">
        <f>K2939-G2939*H2939/k_n</f>
        <v/>
      </c>
      <c r="S2939">
        <f>L2939-LTP3!$D$3*G2939/k_n</f>
        <v/>
      </c>
      <c r="T2939">
        <f>M2939-LTP3!$D$3*H2939/k_n</f>
        <v/>
      </c>
      <c r="U2939">
        <f>N2939-G2939*LTP3!$D$4/k_n</f>
        <v/>
      </c>
      <c r="V2939">
        <f>O2939-H2939*LTP3!$D$4/k_n</f>
        <v/>
      </c>
      <c r="W2939">
        <f>((LTP3!$D$5)*((P2939)*(Q2939)-(R2939)*(R2939))-(S2939)*((S2939)*(Q2939)-(R2939)*(T2939))+(T2939)*((S2939)*(R2939)-(P2939)*(T2939)))</f>
        <v/>
      </c>
      <c r="X2939">
        <f>IF(ABS(W2939)&gt;1E-12,((LTP3!$D$6)*((P2939)*(Q2939)-(R2939)*(R2939))-(S2939)*((U2939)*(Q2939)-(R2939)*(V2939))+(T2939)*((U2939)*(R2939)-(P2939)*(V2939)))/W2939,0)</f>
        <v/>
      </c>
      <c r="Y2939">
        <f>IF(ABS(W2939)&gt;1E-12,((LTP3!$D$5)*((U2939)*(Q2939)-(R2939)*(V2939))-(LTP3!$D$6)*((S2939)*(Q2939)-(R2939)*(T2939))+(T2939)*((S2939)*(V2939)-(U2939)*(T2939)))/W2939,0)</f>
        <v/>
      </c>
      <c r="Z2939">
        <f>IF(ABS(W2939)&gt;1E-12,((LTP3!$D$5)*((P2939)*(V2939)-(U2939)*(R2939))-(S2939)*((S2939)*(V2939)-(U2939)*(T2939))+(LTP3!$D$6)*((S2939)*(R2939)-(P2939)*(T2939)))/W2939,0)</f>
        <v/>
      </c>
      <c r="AA2939">
        <f>LTP3!$D$7-X2939*LTP3!$D$6-Y2939*U2939-Z2939*V2939</f>
        <v/>
      </c>
      <c r="AB2939">
        <f>IF(AND(F2939,ABS(W2939)&gt;1E-12,Y2939&gt;0,Z2939&gt;0),AA2939,1E+300)</f>
        <v/>
      </c>
    </row>
    <row r="2940">
      <c r="A2940">
        <f>$B$3+$B$5*48</f>
        <v/>
      </c>
      <c r="B2940">
        <f>$B$3+$B$5*0</f>
        <v/>
      </c>
      <c r="C2940">
        <f>SUMPRODUCT(Calc!$K$3:$K$22*(Calc!$G$3:$G$22&lt;=A2940))</f>
        <v/>
      </c>
      <c r="D2940">
        <f>SUMPRODUCT(Calc!$K$3:$K$22*(Calc!$G$3:$G$22&gt;A2940)*(Calc!$G$3:$G$22&lt;B2940))</f>
        <v/>
      </c>
      <c r="E2940">
        <f>SUMPRODUCT(Calc!$K$3:$K$22*(Calc!$G$3:$G$22&gt;=B2940))</f>
        <v/>
      </c>
      <c r="F2940">
        <f>AND(k_n&gt;=5,B2940&gt;A2940+1E-9,C2940&gt;=2,D2940&gt;=1,E2940&gt;=2)</f>
        <v/>
      </c>
      <c r="G2940">
        <f>SUMPRODUCT(Calc!$K$3:$K$22*(Calc!$G$3:$G$22&gt;A2940)*(Calc!$G$3:$G$22-A2940))</f>
        <v/>
      </c>
      <c r="H2940">
        <f>SUMPRODUCT(Calc!$K$3:$K$22*(Calc!$G$3:$G$22&gt;B2940)*(Calc!$G$3:$G$22-B2940))</f>
        <v/>
      </c>
      <c r="I2940">
        <f>SUMPRODUCT(Calc!$K$3:$K$22*(Calc!$G$3:$G$22&gt;A2940)*(Calc!$G$3:$G$22-A2940)^2)</f>
        <v/>
      </c>
      <c r="J2940">
        <f>SUMPRODUCT(Calc!$K$3:$K$22*(Calc!$G$3:$G$22&gt;B2940)*(Calc!$G$3:$G$22-B2940)^2)</f>
        <v/>
      </c>
      <c r="K2940">
        <f>SUMPRODUCT(Calc!$K$3:$K$22*(Calc!$G$3:$G$22&gt;A2940)*(Calc!$G$3:$G$22-A2940)*(Calc!$G$3:$G$22&gt;B2940)*(Calc!$G$3:$G$22-B2940))</f>
        <v/>
      </c>
      <c r="L2940">
        <f>SUMPRODUCT(Calc!$K$3:$K$22*(Calc!$G$3:$G$22&gt;A2940)*(Calc!$G$3:$G$22-A2940)*Calc!$G$3:$G$22)</f>
        <v/>
      </c>
      <c r="M2940">
        <f>SUMPRODUCT(Calc!$K$3:$K$22*(Calc!$G$3:$G$22&gt;B2940)*(Calc!$G$3:$G$22-B2940)*Calc!$G$3:$G$22)</f>
        <v/>
      </c>
      <c r="N2940">
        <f>SUMPRODUCT(Calc!$K$3:$K$22*(Calc!$G$3:$G$22&gt;A2940)*(Calc!$G$3:$G$22-A2940)*Calc!$I$3:$I$22)</f>
        <v/>
      </c>
      <c r="O2940">
        <f>SUMPRODUCT(Calc!$K$3:$K$22*(Calc!$G$3:$G$22&gt;B2940)*(Calc!$G$3:$G$22-B2940)*Calc!$I$3:$I$22)</f>
        <v/>
      </c>
      <c r="P2940">
        <f>I2940-G2940^2/k_n</f>
        <v/>
      </c>
      <c r="Q2940">
        <f>J2940-H2940^2/k_n</f>
        <v/>
      </c>
      <c r="R2940">
        <f>K2940-G2940*H2940/k_n</f>
        <v/>
      </c>
      <c r="S2940">
        <f>L2940-LTP3!$D$3*G2940/k_n</f>
        <v/>
      </c>
      <c r="T2940">
        <f>M2940-LTP3!$D$3*H2940/k_n</f>
        <v/>
      </c>
      <c r="U2940">
        <f>N2940-G2940*LTP3!$D$4/k_n</f>
        <v/>
      </c>
      <c r="V2940">
        <f>O2940-H2940*LTP3!$D$4/k_n</f>
        <v/>
      </c>
      <c r="W2940">
        <f>((LTP3!$D$5)*((P2940)*(Q2940)-(R2940)*(R2940))-(S2940)*((S2940)*(Q2940)-(R2940)*(T2940))+(T2940)*((S2940)*(R2940)-(P2940)*(T2940)))</f>
        <v/>
      </c>
      <c r="X2940">
        <f>IF(ABS(W2940)&gt;1E-12,((LTP3!$D$6)*((P2940)*(Q2940)-(R2940)*(R2940))-(S2940)*((U2940)*(Q2940)-(R2940)*(V2940))+(T2940)*((U2940)*(R2940)-(P2940)*(V2940)))/W2940,0)</f>
        <v/>
      </c>
      <c r="Y2940">
        <f>IF(ABS(W2940)&gt;1E-12,((LTP3!$D$5)*((U2940)*(Q2940)-(R2940)*(V2940))-(LTP3!$D$6)*((S2940)*(Q2940)-(R2940)*(T2940))+(T2940)*((S2940)*(V2940)-(U2940)*(T2940)))/W2940,0)</f>
        <v/>
      </c>
      <c r="Z2940">
        <f>IF(ABS(W2940)&gt;1E-12,((LTP3!$D$5)*((P2940)*(V2940)-(U2940)*(R2940))-(S2940)*((S2940)*(V2940)-(U2940)*(T2940))+(LTP3!$D$6)*((S2940)*(R2940)-(P2940)*(T2940)))/W2940,0)</f>
        <v/>
      </c>
      <c r="AA2940">
        <f>LTP3!$D$7-X2940*LTP3!$D$6-Y2940*U2940-Z2940*V2940</f>
        <v/>
      </c>
      <c r="AB2940">
        <f>IF(AND(F2940,ABS(W2940)&gt;1E-12,Y2940&gt;0,Z2940&gt;0),AA2940,1E+300)</f>
        <v/>
      </c>
    </row>
    <row r="2941">
      <c r="A2941">
        <f>$B$3+$B$5*48</f>
        <v/>
      </c>
      <c r="B2941">
        <f>$B$3+$B$5*1</f>
        <v/>
      </c>
      <c r="C2941">
        <f>SUMPRODUCT(Calc!$K$3:$K$22*(Calc!$G$3:$G$22&lt;=A2941))</f>
        <v/>
      </c>
      <c r="D2941">
        <f>SUMPRODUCT(Calc!$K$3:$K$22*(Calc!$G$3:$G$22&gt;A2941)*(Calc!$G$3:$G$22&lt;B2941))</f>
        <v/>
      </c>
      <c r="E2941">
        <f>SUMPRODUCT(Calc!$K$3:$K$22*(Calc!$G$3:$G$22&gt;=B2941))</f>
        <v/>
      </c>
      <c r="F2941">
        <f>AND(k_n&gt;=5,B2941&gt;A2941+1E-9,C2941&gt;=2,D2941&gt;=1,E2941&gt;=2)</f>
        <v/>
      </c>
      <c r="G2941">
        <f>SUMPRODUCT(Calc!$K$3:$K$22*(Calc!$G$3:$G$22&gt;A2941)*(Calc!$G$3:$G$22-A2941))</f>
        <v/>
      </c>
      <c r="H2941">
        <f>SUMPRODUCT(Calc!$K$3:$K$22*(Calc!$G$3:$G$22&gt;B2941)*(Calc!$G$3:$G$22-B2941))</f>
        <v/>
      </c>
      <c r="I2941">
        <f>SUMPRODUCT(Calc!$K$3:$K$22*(Calc!$G$3:$G$22&gt;A2941)*(Calc!$G$3:$G$22-A2941)^2)</f>
        <v/>
      </c>
      <c r="J2941">
        <f>SUMPRODUCT(Calc!$K$3:$K$22*(Calc!$G$3:$G$22&gt;B2941)*(Calc!$G$3:$G$22-B2941)^2)</f>
        <v/>
      </c>
      <c r="K2941">
        <f>SUMPRODUCT(Calc!$K$3:$K$22*(Calc!$G$3:$G$22&gt;A2941)*(Calc!$G$3:$G$22-A2941)*(Calc!$G$3:$G$22&gt;B2941)*(Calc!$G$3:$G$22-B2941))</f>
        <v/>
      </c>
      <c r="L2941">
        <f>SUMPRODUCT(Calc!$K$3:$K$22*(Calc!$G$3:$G$22&gt;A2941)*(Calc!$G$3:$G$22-A2941)*Calc!$G$3:$G$22)</f>
        <v/>
      </c>
      <c r="M2941">
        <f>SUMPRODUCT(Calc!$K$3:$K$22*(Calc!$G$3:$G$22&gt;B2941)*(Calc!$G$3:$G$22-B2941)*Calc!$G$3:$G$22)</f>
        <v/>
      </c>
      <c r="N2941">
        <f>SUMPRODUCT(Calc!$K$3:$K$22*(Calc!$G$3:$G$22&gt;A2941)*(Calc!$G$3:$G$22-A2941)*Calc!$I$3:$I$22)</f>
        <v/>
      </c>
      <c r="O2941">
        <f>SUMPRODUCT(Calc!$K$3:$K$22*(Calc!$G$3:$G$22&gt;B2941)*(Calc!$G$3:$G$22-B2941)*Calc!$I$3:$I$22)</f>
        <v/>
      </c>
      <c r="P2941">
        <f>I2941-G2941^2/k_n</f>
        <v/>
      </c>
      <c r="Q2941">
        <f>J2941-H2941^2/k_n</f>
        <v/>
      </c>
      <c r="R2941">
        <f>K2941-G2941*H2941/k_n</f>
        <v/>
      </c>
      <c r="S2941">
        <f>L2941-LTP3!$D$3*G2941/k_n</f>
        <v/>
      </c>
      <c r="T2941">
        <f>M2941-LTP3!$D$3*H2941/k_n</f>
        <v/>
      </c>
      <c r="U2941">
        <f>N2941-G2941*LTP3!$D$4/k_n</f>
        <v/>
      </c>
      <c r="V2941">
        <f>O2941-H2941*LTP3!$D$4/k_n</f>
        <v/>
      </c>
      <c r="W2941">
        <f>((LTP3!$D$5)*((P2941)*(Q2941)-(R2941)*(R2941))-(S2941)*((S2941)*(Q2941)-(R2941)*(T2941))+(T2941)*((S2941)*(R2941)-(P2941)*(T2941)))</f>
        <v/>
      </c>
      <c r="X2941">
        <f>IF(ABS(W2941)&gt;1E-12,((LTP3!$D$6)*((P2941)*(Q2941)-(R2941)*(R2941))-(S2941)*((U2941)*(Q2941)-(R2941)*(V2941))+(T2941)*((U2941)*(R2941)-(P2941)*(V2941)))/W2941,0)</f>
        <v/>
      </c>
      <c r="Y2941">
        <f>IF(ABS(W2941)&gt;1E-12,((LTP3!$D$5)*((U2941)*(Q2941)-(R2941)*(V2941))-(LTP3!$D$6)*((S2941)*(Q2941)-(R2941)*(T2941))+(T2941)*((S2941)*(V2941)-(U2941)*(T2941)))/W2941,0)</f>
        <v/>
      </c>
      <c r="Z2941">
        <f>IF(ABS(W2941)&gt;1E-12,((LTP3!$D$5)*((P2941)*(V2941)-(U2941)*(R2941))-(S2941)*((S2941)*(V2941)-(U2941)*(T2941))+(LTP3!$D$6)*((S2941)*(R2941)-(P2941)*(T2941)))/W2941,0)</f>
        <v/>
      </c>
      <c r="AA2941">
        <f>LTP3!$D$7-X2941*LTP3!$D$6-Y2941*U2941-Z2941*V2941</f>
        <v/>
      </c>
      <c r="AB2941">
        <f>IF(AND(F2941,ABS(W2941)&gt;1E-12,Y2941&gt;0,Z2941&gt;0),AA2941,1E+300)</f>
        <v/>
      </c>
    </row>
    <row r="2942">
      <c r="A2942">
        <f>$B$3+$B$5*48</f>
        <v/>
      </c>
      <c r="B2942">
        <f>$B$3+$B$5*2</f>
        <v/>
      </c>
      <c r="C2942">
        <f>SUMPRODUCT(Calc!$K$3:$K$22*(Calc!$G$3:$G$22&lt;=A2942))</f>
        <v/>
      </c>
      <c r="D2942">
        <f>SUMPRODUCT(Calc!$K$3:$K$22*(Calc!$G$3:$G$22&gt;A2942)*(Calc!$G$3:$G$22&lt;B2942))</f>
        <v/>
      </c>
      <c r="E2942">
        <f>SUMPRODUCT(Calc!$K$3:$K$22*(Calc!$G$3:$G$22&gt;=B2942))</f>
        <v/>
      </c>
      <c r="F2942">
        <f>AND(k_n&gt;=5,B2942&gt;A2942+1E-9,C2942&gt;=2,D2942&gt;=1,E2942&gt;=2)</f>
        <v/>
      </c>
      <c r="G2942">
        <f>SUMPRODUCT(Calc!$K$3:$K$22*(Calc!$G$3:$G$22&gt;A2942)*(Calc!$G$3:$G$22-A2942))</f>
        <v/>
      </c>
      <c r="H2942">
        <f>SUMPRODUCT(Calc!$K$3:$K$22*(Calc!$G$3:$G$22&gt;B2942)*(Calc!$G$3:$G$22-B2942))</f>
        <v/>
      </c>
      <c r="I2942">
        <f>SUMPRODUCT(Calc!$K$3:$K$22*(Calc!$G$3:$G$22&gt;A2942)*(Calc!$G$3:$G$22-A2942)^2)</f>
        <v/>
      </c>
      <c r="J2942">
        <f>SUMPRODUCT(Calc!$K$3:$K$22*(Calc!$G$3:$G$22&gt;B2942)*(Calc!$G$3:$G$22-B2942)^2)</f>
        <v/>
      </c>
      <c r="K2942">
        <f>SUMPRODUCT(Calc!$K$3:$K$22*(Calc!$G$3:$G$22&gt;A2942)*(Calc!$G$3:$G$22-A2942)*(Calc!$G$3:$G$22&gt;B2942)*(Calc!$G$3:$G$22-B2942))</f>
        <v/>
      </c>
      <c r="L2942">
        <f>SUMPRODUCT(Calc!$K$3:$K$22*(Calc!$G$3:$G$22&gt;A2942)*(Calc!$G$3:$G$22-A2942)*Calc!$G$3:$G$22)</f>
        <v/>
      </c>
      <c r="M2942">
        <f>SUMPRODUCT(Calc!$K$3:$K$22*(Calc!$G$3:$G$22&gt;B2942)*(Calc!$G$3:$G$22-B2942)*Calc!$G$3:$G$22)</f>
        <v/>
      </c>
      <c r="N2942">
        <f>SUMPRODUCT(Calc!$K$3:$K$22*(Calc!$G$3:$G$22&gt;A2942)*(Calc!$G$3:$G$22-A2942)*Calc!$I$3:$I$22)</f>
        <v/>
      </c>
      <c r="O2942">
        <f>SUMPRODUCT(Calc!$K$3:$K$22*(Calc!$G$3:$G$22&gt;B2942)*(Calc!$G$3:$G$22-B2942)*Calc!$I$3:$I$22)</f>
        <v/>
      </c>
      <c r="P2942">
        <f>I2942-G2942^2/k_n</f>
        <v/>
      </c>
      <c r="Q2942">
        <f>J2942-H2942^2/k_n</f>
        <v/>
      </c>
      <c r="R2942">
        <f>K2942-G2942*H2942/k_n</f>
        <v/>
      </c>
      <c r="S2942">
        <f>L2942-LTP3!$D$3*G2942/k_n</f>
        <v/>
      </c>
      <c r="T2942">
        <f>M2942-LTP3!$D$3*H2942/k_n</f>
        <v/>
      </c>
      <c r="U2942">
        <f>N2942-G2942*LTP3!$D$4/k_n</f>
        <v/>
      </c>
      <c r="V2942">
        <f>O2942-H2942*LTP3!$D$4/k_n</f>
        <v/>
      </c>
      <c r="W2942">
        <f>((LTP3!$D$5)*((P2942)*(Q2942)-(R2942)*(R2942))-(S2942)*((S2942)*(Q2942)-(R2942)*(T2942))+(T2942)*((S2942)*(R2942)-(P2942)*(T2942)))</f>
        <v/>
      </c>
      <c r="X2942">
        <f>IF(ABS(W2942)&gt;1E-12,((LTP3!$D$6)*((P2942)*(Q2942)-(R2942)*(R2942))-(S2942)*((U2942)*(Q2942)-(R2942)*(V2942))+(T2942)*((U2942)*(R2942)-(P2942)*(V2942)))/W2942,0)</f>
        <v/>
      </c>
      <c r="Y2942">
        <f>IF(ABS(W2942)&gt;1E-12,((LTP3!$D$5)*((U2942)*(Q2942)-(R2942)*(V2942))-(LTP3!$D$6)*((S2942)*(Q2942)-(R2942)*(T2942))+(T2942)*((S2942)*(V2942)-(U2942)*(T2942)))/W2942,0)</f>
        <v/>
      </c>
      <c r="Z2942">
        <f>IF(ABS(W2942)&gt;1E-12,((LTP3!$D$5)*((P2942)*(V2942)-(U2942)*(R2942))-(S2942)*((S2942)*(V2942)-(U2942)*(T2942))+(LTP3!$D$6)*((S2942)*(R2942)-(P2942)*(T2942)))/W2942,0)</f>
        <v/>
      </c>
      <c r="AA2942">
        <f>LTP3!$D$7-X2942*LTP3!$D$6-Y2942*U2942-Z2942*V2942</f>
        <v/>
      </c>
      <c r="AB2942">
        <f>IF(AND(F2942,ABS(W2942)&gt;1E-12,Y2942&gt;0,Z2942&gt;0),AA2942,1E+300)</f>
        <v/>
      </c>
    </row>
    <row r="2943">
      <c r="A2943">
        <f>$B$3+$B$5*48</f>
        <v/>
      </c>
      <c r="B2943">
        <f>$B$3+$B$5*3</f>
        <v/>
      </c>
      <c r="C2943">
        <f>SUMPRODUCT(Calc!$K$3:$K$22*(Calc!$G$3:$G$22&lt;=A2943))</f>
        <v/>
      </c>
      <c r="D2943">
        <f>SUMPRODUCT(Calc!$K$3:$K$22*(Calc!$G$3:$G$22&gt;A2943)*(Calc!$G$3:$G$22&lt;B2943))</f>
        <v/>
      </c>
      <c r="E2943">
        <f>SUMPRODUCT(Calc!$K$3:$K$22*(Calc!$G$3:$G$22&gt;=B2943))</f>
        <v/>
      </c>
      <c r="F2943">
        <f>AND(k_n&gt;=5,B2943&gt;A2943+1E-9,C2943&gt;=2,D2943&gt;=1,E2943&gt;=2)</f>
        <v/>
      </c>
      <c r="G2943">
        <f>SUMPRODUCT(Calc!$K$3:$K$22*(Calc!$G$3:$G$22&gt;A2943)*(Calc!$G$3:$G$22-A2943))</f>
        <v/>
      </c>
      <c r="H2943">
        <f>SUMPRODUCT(Calc!$K$3:$K$22*(Calc!$G$3:$G$22&gt;B2943)*(Calc!$G$3:$G$22-B2943))</f>
        <v/>
      </c>
      <c r="I2943">
        <f>SUMPRODUCT(Calc!$K$3:$K$22*(Calc!$G$3:$G$22&gt;A2943)*(Calc!$G$3:$G$22-A2943)^2)</f>
        <v/>
      </c>
      <c r="J2943">
        <f>SUMPRODUCT(Calc!$K$3:$K$22*(Calc!$G$3:$G$22&gt;B2943)*(Calc!$G$3:$G$22-B2943)^2)</f>
        <v/>
      </c>
      <c r="K2943">
        <f>SUMPRODUCT(Calc!$K$3:$K$22*(Calc!$G$3:$G$22&gt;A2943)*(Calc!$G$3:$G$22-A2943)*(Calc!$G$3:$G$22&gt;B2943)*(Calc!$G$3:$G$22-B2943))</f>
        <v/>
      </c>
      <c r="L2943">
        <f>SUMPRODUCT(Calc!$K$3:$K$22*(Calc!$G$3:$G$22&gt;A2943)*(Calc!$G$3:$G$22-A2943)*Calc!$G$3:$G$22)</f>
        <v/>
      </c>
      <c r="M2943">
        <f>SUMPRODUCT(Calc!$K$3:$K$22*(Calc!$G$3:$G$22&gt;B2943)*(Calc!$G$3:$G$22-B2943)*Calc!$G$3:$G$22)</f>
        <v/>
      </c>
      <c r="N2943">
        <f>SUMPRODUCT(Calc!$K$3:$K$22*(Calc!$G$3:$G$22&gt;A2943)*(Calc!$G$3:$G$22-A2943)*Calc!$I$3:$I$22)</f>
        <v/>
      </c>
      <c r="O2943">
        <f>SUMPRODUCT(Calc!$K$3:$K$22*(Calc!$G$3:$G$22&gt;B2943)*(Calc!$G$3:$G$22-B2943)*Calc!$I$3:$I$22)</f>
        <v/>
      </c>
      <c r="P2943">
        <f>I2943-G2943^2/k_n</f>
        <v/>
      </c>
      <c r="Q2943">
        <f>J2943-H2943^2/k_n</f>
        <v/>
      </c>
      <c r="R2943">
        <f>K2943-G2943*H2943/k_n</f>
        <v/>
      </c>
      <c r="S2943">
        <f>L2943-LTP3!$D$3*G2943/k_n</f>
        <v/>
      </c>
      <c r="T2943">
        <f>M2943-LTP3!$D$3*H2943/k_n</f>
        <v/>
      </c>
      <c r="U2943">
        <f>N2943-G2943*LTP3!$D$4/k_n</f>
        <v/>
      </c>
      <c r="V2943">
        <f>O2943-H2943*LTP3!$D$4/k_n</f>
        <v/>
      </c>
      <c r="W2943">
        <f>((LTP3!$D$5)*((P2943)*(Q2943)-(R2943)*(R2943))-(S2943)*((S2943)*(Q2943)-(R2943)*(T2943))+(T2943)*((S2943)*(R2943)-(P2943)*(T2943)))</f>
        <v/>
      </c>
      <c r="X2943">
        <f>IF(ABS(W2943)&gt;1E-12,((LTP3!$D$6)*((P2943)*(Q2943)-(R2943)*(R2943))-(S2943)*((U2943)*(Q2943)-(R2943)*(V2943))+(T2943)*((U2943)*(R2943)-(P2943)*(V2943)))/W2943,0)</f>
        <v/>
      </c>
      <c r="Y2943">
        <f>IF(ABS(W2943)&gt;1E-12,((LTP3!$D$5)*((U2943)*(Q2943)-(R2943)*(V2943))-(LTP3!$D$6)*((S2943)*(Q2943)-(R2943)*(T2943))+(T2943)*((S2943)*(V2943)-(U2943)*(T2943)))/W2943,0)</f>
        <v/>
      </c>
      <c r="Z2943">
        <f>IF(ABS(W2943)&gt;1E-12,((LTP3!$D$5)*((P2943)*(V2943)-(U2943)*(R2943))-(S2943)*((S2943)*(V2943)-(U2943)*(T2943))+(LTP3!$D$6)*((S2943)*(R2943)-(P2943)*(T2943)))/W2943,0)</f>
        <v/>
      </c>
      <c r="AA2943">
        <f>LTP3!$D$7-X2943*LTP3!$D$6-Y2943*U2943-Z2943*V2943</f>
        <v/>
      </c>
      <c r="AB2943">
        <f>IF(AND(F2943,ABS(W2943)&gt;1E-12,Y2943&gt;0,Z2943&gt;0),AA2943,1E+300)</f>
        <v/>
      </c>
    </row>
    <row r="2944">
      <c r="A2944">
        <f>$B$3+$B$5*48</f>
        <v/>
      </c>
      <c r="B2944">
        <f>$B$3+$B$5*4</f>
        <v/>
      </c>
      <c r="C2944">
        <f>SUMPRODUCT(Calc!$K$3:$K$22*(Calc!$G$3:$G$22&lt;=A2944))</f>
        <v/>
      </c>
      <c r="D2944">
        <f>SUMPRODUCT(Calc!$K$3:$K$22*(Calc!$G$3:$G$22&gt;A2944)*(Calc!$G$3:$G$22&lt;B2944))</f>
        <v/>
      </c>
      <c r="E2944">
        <f>SUMPRODUCT(Calc!$K$3:$K$22*(Calc!$G$3:$G$22&gt;=B2944))</f>
        <v/>
      </c>
      <c r="F2944">
        <f>AND(k_n&gt;=5,B2944&gt;A2944+1E-9,C2944&gt;=2,D2944&gt;=1,E2944&gt;=2)</f>
        <v/>
      </c>
      <c r="G2944">
        <f>SUMPRODUCT(Calc!$K$3:$K$22*(Calc!$G$3:$G$22&gt;A2944)*(Calc!$G$3:$G$22-A2944))</f>
        <v/>
      </c>
      <c r="H2944">
        <f>SUMPRODUCT(Calc!$K$3:$K$22*(Calc!$G$3:$G$22&gt;B2944)*(Calc!$G$3:$G$22-B2944))</f>
        <v/>
      </c>
      <c r="I2944">
        <f>SUMPRODUCT(Calc!$K$3:$K$22*(Calc!$G$3:$G$22&gt;A2944)*(Calc!$G$3:$G$22-A2944)^2)</f>
        <v/>
      </c>
      <c r="J2944">
        <f>SUMPRODUCT(Calc!$K$3:$K$22*(Calc!$G$3:$G$22&gt;B2944)*(Calc!$G$3:$G$22-B2944)^2)</f>
        <v/>
      </c>
      <c r="K2944">
        <f>SUMPRODUCT(Calc!$K$3:$K$22*(Calc!$G$3:$G$22&gt;A2944)*(Calc!$G$3:$G$22-A2944)*(Calc!$G$3:$G$22&gt;B2944)*(Calc!$G$3:$G$22-B2944))</f>
        <v/>
      </c>
      <c r="L2944">
        <f>SUMPRODUCT(Calc!$K$3:$K$22*(Calc!$G$3:$G$22&gt;A2944)*(Calc!$G$3:$G$22-A2944)*Calc!$G$3:$G$22)</f>
        <v/>
      </c>
      <c r="M2944">
        <f>SUMPRODUCT(Calc!$K$3:$K$22*(Calc!$G$3:$G$22&gt;B2944)*(Calc!$G$3:$G$22-B2944)*Calc!$G$3:$G$22)</f>
        <v/>
      </c>
      <c r="N2944">
        <f>SUMPRODUCT(Calc!$K$3:$K$22*(Calc!$G$3:$G$22&gt;A2944)*(Calc!$G$3:$G$22-A2944)*Calc!$I$3:$I$22)</f>
        <v/>
      </c>
      <c r="O2944">
        <f>SUMPRODUCT(Calc!$K$3:$K$22*(Calc!$G$3:$G$22&gt;B2944)*(Calc!$G$3:$G$22-B2944)*Calc!$I$3:$I$22)</f>
        <v/>
      </c>
      <c r="P2944">
        <f>I2944-G2944^2/k_n</f>
        <v/>
      </c>
      <c r="Q2944">
        <f>J2944-H2944^2/k_n</f>
        <v/>
      </c>
      <c r="R2944">
        <f>K2944-G2944*H2944/k_n</f>
        <v/>
      </c>
      <c r="S2944">
        <f>L2944-LTP3!$D$3*G2944/k_n</f>
        <v/>
      </c>
      <c r="T2944">
        <f>M2944-LTP3!$D$3*H2944/k_n</f>
        <v/>
      </c>
      <c r="U2944">
        <f>N2944-G2944*LTP3!$D$4/k_n</f>
        <v/>
      </c>
      <c r="V2944">
        <f>O2944-H2944*LTP3!$D$4/k_n</f>
        <v/>
      </c>
      <c r="W2944">
        <f>((LTP3!$D$5)*((P2944)*(Q2944)-(R2944)*(R2944))-(S2944)*((S2944)*(Q2944)-(R2944)*(T2944))+(T2944)*((S2944)*(R2944)-(P2944)*(T2944)))</f>
        <v/>
      </c>
      <c r="X2944">
        <f>IF(ABS(W2944)&gt;1E-12,((LTP3!$D$6)*((P2944)*(Q2944)-(R2944)*(R2944))-(S2944)*((U2944)*(Q2944)-(R2944)*(V2944))+(T2944)*((U2944)*(R2944)-(P2944)*(V2944)))/W2944,0)</f>
        <v/>
      </c>
      <c r="Y2944">
        <f>IF(ABS(W2944)&gt;1E-12,((LTP3!$D$5)*((U2944)*(Q2944)-(R2944)*(V2944))-(LTP3!$D$6)*((S2944)*(Q2944)-(R2944)*(T2944))+(T2944)*((S2944)*(V2944)-(U2944)*(T2944)))/W2944,0)</f>
        <v/>
      </c>
      <c r="Z2944">
        <f>IF(ABS(W2944)&gt;1E-12,((LTP3!$D$5)*((P2944)*(V2944)-(U2944)*(R2944))-(S2944)*((S2944)*(V2944)-(U2944)*(T2944))+(LTP3!$D$6)*((S2944)*(R2944)-(P2944)*(T2944)))/W2944,0)</f>
        <v/>
      </c>
      <c r="AA2944">
        <f>LTP3!$D$7-X2944*LTP3!$D$6-Y2944*U2944-Z2944*V2944</f>
        <v/>
      </c>
      <c r="AB2944">
        <f>IF(AND(F2944,ABS(W2944)&gt;1E-12,Y2944&gt;0,Z2944&gt;0),AA2944,1E+300)</f>
        <v/>
      </c>
    </row>
    <row r="2945">
      <c r="A2945">
        <f>$B$3+$B$5*48</f>
        <v/>
      </c>
      <c r="B2945">
        <f>$B$3+$B$5*5</f>
        <v/>
      </c>
      <c r="C2945">
        <f>SUMPRODUCT(Calc!$K$3:$K$22*(Calc!$G$3:$G$22&lt;=A2945))</f>
        <v/>
      </c>
      <c r="D2945">
        <f>SUMPRODUCT(Calc!$K$3:$K$22*(Calc!$G$3:$G$22&gt;A2945)*(Calc!$G$3:$G$22&lt;B2945))</f>
        <v/>
      </c>
      <c r="E2945">
        <f>SUMPRODUCT(Calc!$K$3:$K$22*(Calc!$G$3:$G$22&gt;=B2945))</f>
        <v/>
      </c>
      <c r="F2945">
        <f>AND(k_n&gt;=5,B2945&gt;A2945+1E-9,C2945&gt;=2,D2945&gt;=1,E2945&gt;=2)</f>
        <v/>
      </c>
      <c r="G2945">
        <f>SUMPRODUCT(Calc!$K$3:$K$22*(Calc!$G$3:$G$22&gt;A2945)*(Calc!$G$3:$G$22-A2945))</f>
        <v/>
      </c>
      <c r="H2945">
        <f>SUMPRODUCT(Calc!$K$3:$K$22*(Calc!$G$3:$G$22&gt;B2945)*(Calc!$G$3:$G$22-B2945))</f>
        <v/>
      </c>
      <c r="I2945">
        <f>SUMPRODUCT(Calc!$K$3:$K$22*(Calc!$G$3:$G$22&gt;A2945)*(Calc!$G$3:$G$22-A2945)^2)</f>
        <v/>
      </c>
      <c r="J2945">
        <f>SUMPRODUCT(Calc!$K$3:$K$22*(Calc!$G$3:$G$22&gt;B2945)*(Calc!$G$3:$G$22-B2945)^2)</f>
        <v/>
      </c>
      <c r="K2945">
        <f>SUMPRODUCT(Calc!$K$3:$K$22*(Calc!$G$3:$G$22&gt;A2945)*(Calc!$G$3:$G$22-A2945)*(Calc!$G$3:$G$22&gt;B2945)*(Calc!$G$3:$G$22-B2945))</f>
        <v/>
      </c>
      <c r="L2945">
        <f>SUMPRODUCT(Calc!$K$3:$K$22*(Calc!$G$3:$G$22&gt;A2945)*(Calc!$G$3:$G$22-A2945)*Calc!$G$3:$G$22)</f>
        <v/>
      </c>
      <c r="M2945">
        <f>SUMPRODUCT(Calc!$K$3:$K$22*(Calc!$G$3:$G$22&gt;B2945)*(Calc!$G$3:$G$22-B2945)*Calc!$G$3:$G$22)</f>
        <v/>
      </c>
      <c r="N2945">
        <f>SUMPRODUCT(Calc!$K$3:$K$22*(Calc!$G$3:$G$22&gt;A2945)*(Calc!$G$3:$G$22-A2945)*Calc!$I$3:$I$22)</f>
        <v/>
      </c>
      <c r="O2945">
        <f>SUMPRODUCT(Calc!$K$3:$K$22*(Calc!$G$3:$G$22&gt;B2945)*(Calc!$G$3:$G$22-B2945)*Calc!$I$3:$I$22)</f>
        <v/>
      </c>
      <c r="P2945">
        <f>I2945-G2945^2/k_n</f>
        <v/>
      </c>
      <c r="Q2945">
        <f>J2945-H2945^2/k_n</f>
        <v/>
      </c>
      <c r="R2945">
        <f>K2945-G2945*H2945/k_n</f>
        <v/>
      </c>
      <c r="S2945">
        <f>L2945-LTP3!$D$3*G2945/k_n</f>
        <v/>
      </c>
      <c r="T2945">
        <f>M2945-LTP3!$D$3*H2945/k_n</f>
        <v/>
      </c>
      <c r="U2945">
        <f>N2945-G2945*LTP3!$D$4/k_n</f>
        <v/>
      </c>
      <c r="V2945">
        <f>O2945-H2945*LTP3!$D$4/k_n</f>
        <v/>
      </c>
      <c r="W2945">
        <f>((LTP3!$D$5)*((P2945)*(Q2945)-(R2945)*(R2945))-(S2945)*((S2945)*(Q2945)-(R2945)*(T2945))+(T2945)*((S2945)*(R2945)-(P2945)*(T2945)))</f>
        <v/>
      </c>
      <c r="X2945">
        <f>IF(ABS(W2945)&gt;1E-12,((LTP3!$D$6)*((P2945)*(Q2945)-(R2945)*(R2945))-(S2945)*((U2945)*(Q2945)-(R2945)*(V2945))+(T2945)*((U2945)*(R2945)-(P2945)*(V2945)))/W2945,0)</f>
        <v/>
      </c>
      <c r="Y2945">
        <f>IF(ABS(W2945)&gt;1E-12,((LTP3!$D$5)*((U2945)*(Q2945)-(R2945)*(V2945))-(LTP3!$D$6)*((S2945)*(Q2945)-(R2945)*(T2945))+(T2945)*((S2945)*(V2945)-(U2945)*(T2945)))/W2945,0)</f>
        <v/>
      </c>
      <c r="Z2945">
        <f>IF(ABS(W2945)&gt;1E-12,((LTP3!$D$5)*((P2945)*(V2945)-(U2945)*(R2945))-(S2945)*((S2945)*(V2945)-(U2945)*(T2945))+(LTP3!$D$6)*((S2945)*(R2945)-(P2945)*(T2945)))/W2945,0)</f>
        <v/>
      </c>
      <c r="AA2945">
        <f>LTP3!$D$7-X2945*LTP3!$D$6-Y2945*U2945-Z2945*V2945</f>
        <v/>
      </c>
      <c r="AB2945">
        <f>IF(AND(F2945,ABS(W2945)&gt;1E-12,Y2945&gt;0,Z2945&gt;0),AA2945,1E+300)</f>
        <v/>
      </c>
    </row>
    <row r="2946">
      <c r="A2946">
        <f>$B$3+$B$5*48</f>
        <v/>
      </c>
      <c r="B2946">
        <f>$B$3+$B$5*6</f>
        <v/>
      </c>
      <c r="C2946">
        <f>SUMPRODUCT(Calc!$K$3:$K$22*(Calc!$G$3:$G$22&lt;=A2946))</f>
        <v/>
      </c>
      <c r="D2946">
        <f>SUMPRODUCT(Calc!$K$3:$K$22*(Calc!$G$3:$G$22&gt;A2946)*(Calc!$G$3:$G$22&lt;B2946))</f>
        <v/>
      </c>
      <c r="E2946">
        <f>SUMPRODUCT(Calc!$K$3:$K$22*(Calc!$G$3:$G$22&gt;=B2946))</f>
        <v/>
      </c>
      <c r="F2946">
        <f>AND(k_n&gt;=5,B2946&gt;A2946+1E-9,C2946&gt;=2,D2946&gt;=1,E2946&gt;=2)</f>
        <v/>
      </c>
      <c r="G2946">
        <f>SUMPRODUCT(Calc!$K$3:$K$22*(Calc!$G$3:$G$22&gt;A2946)*(Calc!$G$3:$G$22-A2946))</f>
        <v/>
      </c>
      <c r="H2946">
        <f>SUMPRODUCT(Calc!$K$3:$K$22*(Calc!$G$3:$G$22&gt;B2946)*(Calc!$G$3:$G$22-B2946))</f>
        <v/>
      </c>
      <c r="I2946">
        <f>SUMPRODUCT(Calc!$K$3:$K$22*(Calc!$G$3:$G$22&gt;A2946)*(Calc!$G$3:$G$22-A2946)^2)</f>
        <v/>
      </c>
      <c r="J2946">
        <f>SUMPRODUCT(Calc!$K$3:$K$22*(Calc!$G$3:$G$22&gt;B2946)*(Calc!$G$3:$G$22-B2946)^2)</f>
        <v/>
      </c>
      <c r="K2946">
        <f>SUMPRODUCT(Calc!$K$3:$K$22*(Calc!$G$3:$G$22&gt;A2946)*(Calc!$G$3:$G$22-A2946)*(Calc!$G$3:$G$22&gt;B2946)*(Calc!$G$3:$G$22-B2946))</f>
        <v/>
      </c>
      <c r="L2946">
        <f>SUMPRODUCT(Calc!$K$3:$K$22*(Calc!$G$3:$G$22&gt;A2946)*(Calc!$G$3:$G$22-A2946)*Calc!$G$3:$G$22)</f>
        <v/>
      </c>
      <c r="M2946">
        <f>SUMPRODUCT(Calc!$K$3:$K$22*(Calc!$G$3:$G$22&gt;B2946)*(Calc!$G$3:$G$22-B2946)*Calc!$G$3:$G$22)</f>
        <v/>
      </c>
      <c r="N2946">
        <f>SUMPRODUCT(Calc!$K$3:$K$22*(Calc!$G$3:$G$22&gt;A2946)*(Calc!$G$3:$G$22-A2946)*Calc!$I$3:$I$22)</f>
        <v/>
      </c>
      <c r="O2946">
        <f>SUMPRODUCT(Calc!$K$3:$K$22*(Calc!$G$3:$G$22&gt;B2946)*(Calc!$G$3:$G$22-B2946)*Calc!$I$3:$I$22)</f>
        <v/>
      </c>
      <c r="P2946">
        <f>I2946-G2946^2/k_n</f>
        <v/>
      </c>
      <c r="Q2946">
        <f>J2946-H2946^2/k_n</f>
        <v/>
      </c>
      <c r="R2946">
        <f>K2946-G2946*H2946/k_n</f>
        <v/>
      </c>
      <c r="S2946">
        <f>L2946-LTP3!$D$3*G2946/k_n</f>
        <v/>
      </c>
      <c r="T2946">
        <f>M2946-LTP3!$D$3*H2946/k_n</f>
        <v/>
      </c>
      <c r="U2946">
        <f>N2946-G2946*LTP3!$D$4/k_n</f>
        <v/>
      </c>
      <c r="V2946">
        <f>O2946-H2946*LTP3!$D$4/k_n</f>
        <v/>
      </c>
      <c r="W2946">
        <f>((LTP3!$D$5)*((P2946)*(Q2946)-(R2946)*(R2946))-(S2946)*((S2946)*(Q2946)-(R2946)*(T2946))+(T2946)*((S2946)*(R2946)-(P2946)*(T2946)))</f>
        <v/>
      </c>
      <c r="X2946">
        <f>IF(ABS(W2946)&gt;1E-12,((LTP3!$D$6)*((P2946)*(Q2946)-(R2946)*(R2946))-(S2946)*((U2946)*(Q2946)-(R2946)*(V2946))+(T2946)*((U2946)*(R2946)-(P2946)*(V2946)))/W2946,0)</f>
        <v/>
      </c>
      <c r="Y2946">
        <f>IF(ABS(W2946)&gt;1E-12,((LTP3!$D$5)*((U2946)*(Q2946)-(R2946)*(V2946))-(LTP3!$D$6)*((S2946)*(Q2946)-(R2946)*(T2946))+(T2946)*((S2946)*(V2946)-(U2946)*(T2946)))/W2946,0)</f>
        <v/>
      </c>
      <c r="Z2946">
        <f>IF(ABS(W2946)&gt;1E-12,((LTP3!$D$5)*((P2946)*(V2946)-(U2946)*(R2946))-(S2946)*((S2946)*(V2946)-(U2946)*(T2946))+(LTP3!$D$6)*((S2946)*(R2946)-(P2946)*(T2946)))/W2946,0)</f>
        <v/>
      </c>
      <c r="AA2946">
        <f>LTP3!$D$7-X2946*LTP3!$D$6-Y2946*U2946-Z2946*V2946</f>
        <v/>
      </c>
      <c r="AB2946">
        <f>IF(AND(F2946,ABS(W2946)&gt;1E-12,Y2946&gt;0,Z2946&gt;0),AA2946,1E+300)</f>
        <v/>
      </c>
    </row>
    <row r="2947">
      <c r="A2947">
        <f>$B$3+$B$5*48</f>
        <v/>
      </c>
      <c r="B2947">
        <f>$B$3+$B$5*7</f>
        <v/>
      </c>
      <c r="C2947">
        <f>SUMPRODUCT(Calc!$K$3:$K$22*(Calc!$G$3:$G$22&lt;=A2947))</f>
        <v/>
      </c>
      <c r="D2947">
        <f>SUMPRODUCT(Calc!$K$3:$K$22*(Calc!$G$3:$G$22&gt;A2947)*(Calc!$G$3:$G$22&lt;B2947))</f>
        <v/>
      </c>
      <c r="E2947">
        <f>SUMPRODUCT(Calc!$K$3:$K$22*(Calc!$G$3:$G$22&gt;=B2947))</f>
        <v/>
      </c>
      <c r="F2947">
        <f>AND(k_n&gt;=5,B2947&gt;A2947+1E-9,C2947&gt;=2,D2947&gt;=1,E2947&gt;=2)</f>
        <v/>
      </c>
      <c r="G2947">
        <f>SUMPRODUCT(Calc!$K$3:$K$22*(Calc!$G$3:$G$22&gt;A2947)*(Calc!$G$3:$G$22-A2947))</f>
        <v/>
      </c>
      <c r="H2947">
        <f>SUMPRODUCT(Calc!$K$3:$K$22*(Calc!$G$3:$G$22&gt;B2947)*(Calc!$G$3:$G$22-B2947))</f>
        <v/>
      </c>
      <c r="I2947">
        <f>SUMPRODUCT(Calc!$K$3:$K$22*(Calc!$G$3:$G$22&gt;A2947)*(Calc!$G$3:$G$22-A2947)^2)</f>
        <v/>
      </c>
      <c r="J2947">
        <f>SUMPRODUCT(Calc!$K$3:$K$22*(Calc!$G$3:$G$22&gt;B2947)*(Calc!$G$3:$G$22-B2947)^2)</f>
        <v/>
      </c>
      <c r="K2947">
        <f>SUMPRODUCT(Calc!$K$3:$K$22*(Calc!$G$3:$G$22&gt;A2947)*(Calc!$G$3:$G$22-A2947)*(Calc!$G$3:$G$22&gt;B2947)*(Calc!$G$3:$G$22-B2947))</f>
        <v/>
      </c>
      <c r="L2947">
        <f>SUMPRODUCT(Calc!$K$3:$K$22*(Calc!$G$3:$G$22&gt;A2947)*(Calc!$G$3:$G$22-A2947)*Calc!$G$3:$G$22)</f>
        <v/>
      </c>
      <c r="M2947">
        <f>SUMPRODUCT(Calc!$K$3:$K$22*(Calc!$G$3:$G$22&gt;B2947)*(Calc!$G$3:$G$22-B2947)*Calc!$G$3:$G$22)</f>
        <v/>
      </c>
      <c r="N2947">
        <f>SUMPRODUCT(Calc!$K$3:$K$22*(Calc!$G$3:$G$22&gt;A2947)*(Calc!$G$3:$G$22-A2947)*Calc!$I$3:$I$22)</f>
        <v/>
      </c>
      <c r="O2947">
        <f>SUMPRODUCT(Calc!$K$3:$K$22*(Calc!$G$3:$G$22&gt;B2947)*(Calc!$G$3:$G$22-B2947)*Calc!$I$3:$I$22)</f>
        <v/>
      </c>
      <c r="P2947">
        <f>I2947-G2947^2/k_n</f>
        <v/>
      </c>
      <c r="Q2947">
        <f>J2947-H2947^2/k_n</f>
        <v/>
      </c>
      <c r="R2947">
        <f>K2947-G2947*H2947/k_n</f>
        <v/>
      </c>
      <c r="S2947">
        <f>L2947-LTP3!$D$3*G2947/k_n</f>
        <v/>
      </c>
      <c r="T2947">
        <f>M2947-LTP3!$D$3*H2947/k_n</f>
        <v/>
      </c>
      <c r="U2947">
        <f>N2947-G2947*LTP3!$D$4/k_n</f>
        <v/>
      </c>
      <c r="V2947">
        <f>O2947-H2947*LTP3!$D$4/k_n</f>
        <v/>
      </c>
      <c r="W2947">
        <f>((LTP3!$D$5)*((P2947)*(Q2947)-(R2947)*(R2947))-(S2947)*((S2947)*(Q2947)-(R2947)*(T2947))+(T2947)*((S2947)*(R2947)-(P2947)*(T2947)))</f>
        <v/>
      </c>
      <c r="X2947">
        <f>IF(ABS(W2947)&gt;1E-12,((LTP3!$D$6)*((P2947)*(Q2947)-(R2947)*(R2947))-(S2947)*((U2947)*(Q2947)-(R2947)*(V2947))+(T2947)*((U2947)*(R2947)-(P2947)*(V2947)))/W2947,0)</f>
        <v/>
      </c>
      <c r="Y2947">
        <f>IF(ABS(W2947)&gt;1E-12,((LTP3!$D$5)*((U2947)*(Q2947)-(R2947)*(V2947))-(LTP3!$D$6)*((S2947)*(Q2947)-(R2947)*(T2947))+(T2947)*((S2947)*(V2947)-(U2947)*(T2947)))/W2947,0)</f>
        <v/>
      </c>
      <c r="Z2947">
        <f>IF(ABS(W2947)&gt;1E-12,((LTP3!$D$5)*((P2947)*(V2947)-(U2947)*(R2947))-(S2947)*((S2947)*(V2947)-(U2947)*(T2947))+(LTP3!$D$6)*((S2947)*(R2947)-(P2947)*(T2947)))/W2947,0)</f>
        <v/>
      </c>
      <c r="AA2947">
        <f>LTP3!$D$7-X2947*LTP3!$D$6-Y2947*U2947-Z2947*V2947</f>
        <v/>
      </c>
      <c r="AB2947">
        <f>IF(AND(F2947,ABS(W2947)&gt;1E-12,Y2947&gt;0,Z2947&gt;0),AA2947,1E+300)</f>
        <v/>
      </c>
    </row>
    <row r="2948">
      <c r="A2948">
        <f>$B$3+$B$5*48</f>
        <v/>
      </c>
      <c r="B2948">
        <f>$B$3+$B$5*8</f>
        <v/>
      </c>
      <c r="C2948">
        <f>SUMPRODUCT(Calc!$K$3:$K$22*(Calc!$G$3:$G$22&lt;=A2948))</f>
        <v/>
      </c>
      <c r="D2948">
        <f>SUMPRODUCT(Calc!$K$3:$K$22*(Calc!$G$3:$G$22&gt;A2948)*(Calc!$G$3:$G$22&lt;B2948))</f>
        <v/>
      </c>
      <c r="E2948">
        <f>SUMPRODUCT(Calc!$K$3:$K$22*(Calc!$G$3:$G$22&gt;=B2948))</f>
        <v/>
      </c>
      <c r="F2948">
        <f>AND(k_n&gt;=5,B2948&gt;A2948+1E-9,C2948&gt;=2,D2948&gt;=1,E2948&gt;=2)</f>
        <v/>
      </c>
      <c r="G2948">
        <f>SUMPRODUCT(Calc!$K$3:$K$22*(Calc!$G$3:$G$22&gt;A2948)*(Calc!$G$3:$G$22-A2948))</f>
        <v/>
      </c>
      <c r="H2948">
        <f>SUMPRODUCT(Calc!$K$3:$K$22*(Calc!$G$3:$G$22&gt;B2948)*(Calc!$G$3:$G$22-B2948))</f>
        <v/>
      </c>
      <c r="I2948">
        <f>SUMPRODUCT(Calc!$K$3:$K$22*(Calc!$G$3:$G$22&gt;A2948)*(Calc!$G$3:$G$22-A2948)^2)</f>
        <v/>
      </c>
      <c r="J2948">
        <f>SUMPRODUCT(Calc!$K$3:$K$22*(Calc!$G$3:$G$22&gt;B2948)*(Calc!$G$3:$G$22-B2948)^2)</f>
        <v/>
      </c>
      <c r="K2948">
        <f>SUMPRODUCT(Calc!$K$3:$K$22*(Calc!$G$3:$G$22&gt;A2948)*(Calc!$G$3:$G$22-A2948)*(Calc!$G$3:$G$22&gt;B2948)*(Calc!$G$3:$G$22-B2948))</f>
        <v/>
      </c>
      <c r="L2948">
        <f>SUMPRODUCT(Calc!$K$3:$K$22*(Calc!$G$3:$G$22&gt;A2948)*(Calc!$G$3:$G$22-A2948)*Calc!$G$3:$G$22)</f>
        <v/>
      </c>
      <c r="M2948">
        <f>SUMPRODUCT(Calc!$K$3:$K$22*(Calc!$G$3:$G$22&gt;B2948)*(Calc!$G$3:$G$22-B2948)*Calc!$G$3:$G$22)</f>
        <v/>
      </c>
      <c r="N2948">
        <f>SUMPRODUCT(Calc!$K$3:$K$22*(Calc!$G$3:$G$22&gt;A2948)*(Calc!$G$3:$G$22-A2948)*Calc!$I$3:$I$22)</f>
        <v/>
      </c>
      <c r="O2948">
        <f>SUMPRODUCT(Calc!$K$3:$K$22*(Calc!$G$3:$G$22&gt;B2948)*(Calc!$G$3:$G$22-B2948)*Calc!$I$3:$I$22)</f>
        <v/>
      </c>
      <c r="P2948">
        <f>I2948-G2948^2/k_n</f>
        <v/>
      </c>
      <c r="Q2948">
        <f>J2948-H2948^2/k_n</f>
        <v/>
      </c>
      <c r="R2948">
        <f>K2948-G2948*H2948/k_n</f>
        <v/>
      </c>
      <c r="S2948">
        <f>L2948-LTP3!$D$3*G2948/k_n</f>
        <v/>
      </c>
      <c r="T2948">
        <f>M2948-LTP3!$D$3*H2948/k_n</f>
        <v/>
      </c>
      <c r="U2948">
        <f>N2948-G2948*LTP3!$D$4/k_n</f>
        <v/>
      </c>
      <c r="V2948">
        <f>O2948-H2948*LTP3!$D$4/k_n</f>
        <v/>
      </c>
      <c r="W2948">
        <f>((LTP3!$D$5)*((P2948)*(Q2948)-(R2948)*(R2948))-(S2948)*((S2948)*(Q2948)-(R2948)*(T2948))+(T2948)*((S2948)*(R2948)-(P2948)*(T2948)))</f>
        <v/>
      </c>
      <c r="X2948">
        <f>IF(ABS(W2948)&gt;1E-12,((LTP3!$D$6)*((P2948)*(Q2948)-(R2948)*(R2948))-(S2948)*((U2948)*(Q2948)-(R2948)*(V2948))+(T2948)*((U2948)*(R2948)-(P2948)*(V2948)))/W2948,0)</f>
        <v/>
      </c>
      <c r="Y2948">
        <f>IF(ABS(W2948)&gt;1E-12,((LTP3!$D$5)*((U2948)*(Q2948)-(R2948)*(V2948))-(LTP3!$D$6)*((S2948)*(Q2948)-(R2948)*(T2948))+(T2948)*((S2948)*(V2948)-(U2948)*(T2948)))/W2948,0)</f>
        <v/>
      </c>
      <c r="Z2948">
        <f>IF(ABS(W2948)&gt;1E-12,((LTP3!$D$5)*((P2948)*(V2948)-(U2948)*(R2948))-(S2948)*((S2948)*(V2948)-(U2948)*(T2948))+(LTP3!$D$6)*((S2948)*(R2948)-(P2948)*(T2948)))/W2948,0)</f>
        <v/>
      </c>
      <c r="AA2948">
        <f>LTP3!$D$7-X2948*LTP3!$D$6-Y2948*U2948-Z2948*V2948</f>
        <v/>
      </c>
      <c r="AB2948">
        <f>IF(AND(F2948,ABS(W2948)&gt;1E-12,Y2948&gt;0,Z2948&gt;0),AA2948,1E+300)</f>
        <v/>
      </c>
    </row>
    <row r="2949">
      <c r="A2949">
        <f>$B$3+$B$5*48</f>
        <v/>
      </c>
      <c r="B2949">
        <f>$B$3+$B$5*9</f>
        <v/>
      </c>
      <c r="C2949">
        <f>SUMPRODUCT(Calc!$K$3:$K$22*(Calc!$G$3:$G$22&lt;=A2949))</f>
        <v/>
      </c>
      <c r="D2949">
        <f>SUMPRODUCT(Calc!$K$3:$K$22*(Calc!$G$3:$G$22&gt;A2949)*(Calc!$G$3:$G$22&lt;B2949))</f>
        <v/>
      </c>
      <c r="E2949">
        <f>SUMPRODUCT(Calc!$K$3:$K$22*(Calc!$G$3:$G$22&gt;=B2949))</f>
        <v/>
      </c>
      <c r="F2949">
        <f>AND(k_n&gt;=5,B2949&gt;A2949+1E-9,C2949&gt;=2,D2949&gt;=1,E2949&gt;=2)</f>
        <v/>
      </c>
      <c r="G2949">
        <f>SUMPRODUCT(Calc!$K$3:$K$22*(Calc!$G$3:$G$22&gt;A2949)*(Calc!$G$3:$G$22-A2949))</f>
        <v/>
      </c>
      <c r="H2949">
        <f>SUMPRODUCT(Calc!$K$3:$K$22*(Calc!$G$3:$G$22&gt;B2949)*(Calc!$G$3:$G$22-B2949))</f>
        <v/>
      </c>
      <c r="I2949">
        <f>SUMPRODUCT(Calc!$K$3:$K$22*(Calc!$G$3:$G$22&gt;A2949)*(Calc!$G$3:$G$22-A2949)^2)</f>
        <v/>
      </c>
      <c r="J2949">
        <f>SUMPRODUCT(Calc!$K$3:$K$22*(Calc!$G$3:$G$22&gt;B2949)*(Calc!$G$3:$G$22-B2949)^2)</f>
        <v/>
      </c>
      <c r="K2949">
        <f>SUMPRODUCT(Calc!$K$3:$K$22*(Calc!$G$3:$G$22&gt;A2949)*(Calc!$G$3:$G$22-A2949)*(Calc!$G$3:$G$22&gt;B2949)*(Calc!$G$3:$G$22-B2949))</f>
        <v/>
      </c>
      <c r="L2949">
        <f>SUMPRODUCT(Calc!$K$3:$K$22*(Calc!$G$3:$G$22&gt;A2949)*(Calc!$G$3:$G$22-A2949)*Calc!$G$3:$G$22)</f>
        <v/>
      </c>
      <c r="M2949">
        <f>SUMPRODUCT(Calc!$K$3:$K$22*(Calc!$G$3:$G$22&gt;B2949)*(Calc!$G$3:$G$22-B2949)*Calc!$G$3:$G$22)</f>
        <v/>
      </c>
      <c r="N2949">
        <f>SUMPRODUCT(Calc!$K$3:$K$22*(Calc!$G$3:$G$22&gt;A2949)*(Calc!$G$3:$G$22-A2949)*Calc!$I$3:$I$22)</f>
        <v/>
      </c>
      <c r="O2949">
        <f>SUMPRODUCT(Calc!$K$3:$K$22*(Calc!$G$3:$G$22&gt;B2949)*(Calc!$G$3:$G$22-B2949)*Calc!$I$3:$I$22)</f>
        <v/>
      </c>
      <c r="P2949">
        <f>I2949-G2949^2/k_n</f>
        <v/>
      </c>
      <c r="Q2949">
        <f>J2949-H2949^2/k_n</f>
        <v/>
      </c>
      <c r="R2949">
        <f>K2949-G2949*H2949/k_n</f>
        <v/>
      </c>
      <c r="S2949">
        <f>L2949-LTP3!$D$3*G2949/k_n</f>
        <v/>
      </c>
      <c r="T2949">
        <f>M2949-LTP3!$D$3*H2949/k_n</f>
        <v/>
      </c>
      <c r="U2949">
        <f>N2949-G2949*LTP3!$D$4/k_n</f>
        <v/>
      </c>
      <c r="V2949">
        <f>O2949-H2949*LTP3!$D$4/k_n</f>
        <v/>
      </c>
      <c r="W2949">
        <f>((LTP3!$D$5)*((P2949)*(Q2949)-(R2949)*(R2949))-(S2949)*((S2949)*(Q2949)-(R2949)*(T2949))+(T2949)*((S2949)*(R2949)-(P2949)*(T2949)))</f>
        <v/>
      </c>
      <c r="X2949">
        <f>IF(ABS(W2949)&gt;1E-12,((LTP3!$D$6)*((P2949)*(Q2949)-(R2949)*(R2949))-(S2949)*((U2949)*(Q2949)-(R2949)*(V2949))+(T2949)*((U2949)*(R2949)-(P2949)*(V2949)))/W2949,0)</f>
        <v/>
      </c>
      <c r="Y2949">
        <f>IF(ABS(W2949)&gt;1E-12,((LTP3!$D$5)*((U2949)*(Q2949)-(R2949)*(V2949))-(LTP3!$D$6)*((S2949)*(Q2949)-(R2949)*(T2949))+(T2949)*((S2949)*(V2949)-(U2949)*(T2949)))/W2949,0)</f>
        <v/>
      </c>
      <c r="Z2949">
        <f>IF(ABS(W2949)&gt;1E-12,((LTP3!$D$5)*((P2949)*(V2949)-(U2949)*(R2949))-(S2949)*((S2949)*(V2949)-(U2949)*(T2949))+(LTP3!$D$6)*((S2949)*(R2949)-(P2949)*(T2949)))/W2949,0)</f>
        <v/>
      </c>
      <c r="AA2949">
        <f>LTP3!$D$7-X2949*LTP3!$D$6-Y2949*U2949-Z2949*V2949</f>
        <v/>
      </c>
      <c r="AB2949">
        <f>IF(AND(F2949,ABS(W2949)&gt;1E-12,Y2949&gt;0,Z2949&gt;0),AA2949,1E+300)</f>
        <v/>
      </c>
    </row>
    <row r="2950">
      <c r="A2950">
        <f>$B$3+$B$5*48</f>
        <v/>
      </c>
      <c r="B2950">
        <f>$B$3+$B$5*10</f>
        <v/>
      </c>
      <c r="C2950">
        <f>SUMPRODUCT(Calc!$K$3:$K$22*(Calc!$G$3:$G$22&lt;=A2950))</f>
        <v/>
      </c>
      <c r="D2950">
        <f>SUMPRODUCT(Calc!$K$3:$K$22*(Calc!$G$3:$G$22&gt;A2950)*(Calc!$G$3:$G$22&lt;B2950))</f>
        <v/>
      </c>
      <c r="E2950">
        <f>SUMPRODUCT(Calc!$K$3:$K$22*(Calc!$G$3:$G$22&gt;=B2950))</f>
        <v/>
      </c>
      <c r="F2950">
        <f>AND(k_n&gt;=5,B2950&gt;A2950+1E-9,C2950&gt;=2,D2950&gt;=1,E2950&gt;=2)</f>
        <v/>
      </c>
      <c r="G2950">
        <f>SUMPRODUCT(Calc!$K$3:$K$22*(Calc!$G$3:$G$22&gt;A2950)*(Calc!$G$3:$G$22-A2950))</f>
        <v/>
      </c>
      <c r="H2950">
        <f>SUMPRODUCT(Calc!$K$3:$K$22*(Calc!$G$3:$G$22&gt;B2950)*(Calc!$G$3:$G$22-B2950))</f>
        <v/>
      </c>
      <c r="I2950">
        <f>SUMPRODUCT(Calc!$K$3:$K$22*(Calc!$G$3:$G$22&gt;A2950)*(Calc!$G$3:$G$22-A2950)^2)</f>
        <v/>
      </c>
      <c r="J2950">
        <f>SUMPRODUCT(Calc!$K$3:$K$22*(Calc!$G$3:$G$22&gt;B2950)*(Calc!$G$3:$G$22-B2950)^2)</f>
        <v/>
      </c>
      <c r="K2950">
        <f>SUMPRODUCT(Calc!$K$3:$K$22*(Calc!$G$3:$G$22&gt;A2950)*(Calc!$G$3:$G$22-A2950)*(Calc!$G$3:$G$22&gt;B2950)*(Calc!$G$3:$G$22-B2950))</f>
        <v/>
      </c>
      <c r="L2950">
        <f>SUMPRODUCT(Calc!$K$3:$K$22*(Calc!$G$3:$G$22&gt;A2950)*(Calc!$G$3:$G$22-A2950)*Calc!$G$3:$G$22)</f>
        <v/>
      </c>
      <c r="M2950">
        <f>SUMPRODUCT(Calc!$K$3:$K$22*(Calc!$G$3:$G$22&gt;B2950)*(Calc!$G$3:$G$22-B2950)*Calc!$G$3:$G$22)</f>
        <v/>
      </c>
      <c r="N2950">
        <f>SUMPRODUCT(Calc!$K$3:$K$22*(Calc!$G$3:$G$22&gt;A2950)*(Calc!$G$3:$G$22-A2950)*Calc!$I$3:$I$22)</f>
        <v/>
      </c>
      <c r="O2950">
        <f>SUMPRODUCT(Calc!$K$3:$K$22*(Calc!$G$3:$G$22&gt;B2950)*(Calc!$G$3:$G$22-B2950)*Calc!$I$3:$I$22)</f>
        <v/>
      </c>
      <c r="P2950">
        <f>I2950-G2950^2/k_n</f>
        <v/>
      </c>
      <c r="Q2950">
        <f>J2950-H2950^2/k_n</f>
        <v/>
      </c>
      <c r="R2950">
        <f>K2950-G2950*H2950/k_n</f>
        <v/>
      </c>
      <c r="S2950">
        <f>L2950-LTP3!$D$3*G2950/k_n</f>
        <v/>
      </c>
      <c r="T2950">
        <f>M2950-LTP3!$D$3*H2950/k_n</f>
        <v/>
      </c>
      <c r="U2950">
        <f>N2950-G2950*LTP3!$D$4/k_n</f>
        <v/>
      </c>
      <c r="V2950">
        <f>O2950-H2950*LTP3!$D$4/k_n</f>
        <v/>
      </c>
      <c r="W2950">
        <f>((LTP3!$D$5)*((P2950)*(Q2950)-(R2950)*(R2950))-(S2950)*((S2950)*(Q2950)-(R2950)*(T2950))+(T2950)*((S2950)*(R2950)-(P2950)*(T2950)))</f>
        <v/>
      </c>
      <c r="X2950">
        <f>IF(ABS(W2950)&gt;1E-12,((LTP3!$D$6)*((P2950)*(Q2950)-(R2950)*(R2950))-(S2950)*((U2950)*(Q2950)-(R2950)*(V2950))+(T2950)*((U2950)*(R2950)-(P2950)*(V2950)))/W2950,0)</f>
        <v/>
      </c>
      <c r="Y2950">
        <f>IF(ABS(W2950)&gt;1E-12,((LTP3!$D$5)*((U2950)*(Q2950)-(R2950)*(V2950))-(LTP3!$D$6)*((S2950)*(Q2950)-(R2950)*(T2950))+(T2950)*((S2950)*(V2950)-(U2950)*(T2950)))/W2950,0)</f>
        <v/>
      </c>
      <c r="Z2950">
        <f>IF(ABS(W2950)&gt;1E-12,((LTP3!$D$5)*((P2950)*(V2950)-(U2950)*(R2950))-(S2950)*((S2950)*(V2950)-(U2950)*(T2950))+(LTP3!$D$6)*((S2950)*(R2950)-(P2950)*(T2950)))/W2950,0)</f>
        <v/>
      </c>
      <c r="AA2950">
        <f>LTP3!$D$7-X2950*LTP3!$D$6-Y2950*U2950-Z2950*V2950</f>
        <v/>
      </c>
      <c r="AB2950">
        <f>IF(AND(F2950,ABS(W2950)&gt;1E-12,Y2950&gt;0,Z2950&gt;0),AA2950,1E+300)</f>
        <v/>
      </c>
    </row>
    <row r="2951">
      <c r="A2951">
        <f>$B$3+$B$5*48</f>
        <v/>
      </c>
      <c r="B2951">
        <f>$B$3+$B$5*11</f>
        <v/>
      </c>
      <c r="C2951">
        <f>SUMPRODUCT(Calc!$K$3:$K$22*(Calc!$G$3:$G$22&lt;=A2951))</f>
        <v/>
      </c>
      <c r="D2951">
        <f>SUMPRODUCT(Calc!$K$3:$K$22*(Calc!$G$3:$G$22&gt;A2951)*(Calc!$G$3:$G$22&lt;B2951))</f>
        <v/>
      </c>
      <c r="E2951">
        <f>SUMPRODUCT(Calc!$K$3:$K$22*(Calc!$G$3:$G$22&gt;=B2951))</f>
        <v/>
      </c>
      <c r="F2951">
        <f>AND(k_n&gt;=5,B2951&gt;A2951+1E-9,C2951&gt;=2,D2951&gt;=1,E2951&gt;=2)</f>
        <v/>
      </c>
      <c r="G2951">
        <f>SUMPRODUCT(Calc!$K$3:$K$22*(Calc!$G$3:$G$22&gt;A2951)*(Calc!$G$3:$G$22-A2951))</f>
        <v/>
      </c>
      <c r="H2951">
        <f>SUMPRODUCT(Calc!$K$3:$K$22*(Calc!$G$3:$G$22&gt;B2951)*(Calc!$G$3:$G$22-B2951))</f>
        <v/>
      </c>
      <c r="I2951">
        <f>SUMPRODUCT(Calc!$K$3:$K$22*(Calc!$G$3:$G$22&gt;A2951)*(Calc!$G$3:$G$22-A2951)^2)</f>
        <v/>
      </c>
      <c r="J2951">
        <f>SUMPRODUCT(Calc!$K$3:$K$22*(Calc!$G$3:$G$22&gt;B2951)*(Calc!$G$3:$G$22-B2951)^2)</f>
        <v/>
      </c>
      <c r="K2951">
        <f>SUMPRODUCT(Calc!$K$3:$K$22*(Calc!$G$3:$G$22&gt;A2951)*(Calc!$G$3:$G$22-A2951)*(Calc!$G$3:$G$22&gt;B2951)*(Calc!$G$3:$G$22-B2951))</f>
        <v/>
      </c>
      <c r="L2951">
        <f>SUMPRODUCT(Calc!$K$3:$K$22*(Calc!$G$3:$G$22&gt;A2951)*(Calc!$G$3:$G$22-A2951)*Calc!$G$3:$G$22)</f>
        <v/>
      </c>
      <c r="M2951">
        <f>SUMPRODUCT(Calc!$K$3:$K$22*(Calc!$G$3:$G$22&gt;B2951)*(Calc!$G$3:$G$22-B2951)*Calc!$G$3:$G$22)</f>
        <v/>
      </c>
      <c r="N2951">
        <f>SUMPRODUCT(Calc!$K$3:$K$22*(Calc!$G$3:$G$22&gt;A2951)*(Calc!$G$3:$G$22-A2951)*Calc!$I$3:$I$22)</f>
        <v/>
      </c>
      <c r="O2951">
        <f>SUMPRODUCT(Calc!$K$3:$K$22*(Calc!$G$3:$G$22&gt;B2951)*(Calc!$G$3:$G$22-B2951)*Calc!$I$3:$I$22)</f>
        <v/>
      </c>
      <c r="P2951">
        <f>I2951-G2951^2/k_n</f>
        <v/>
      </c>
      <c r="Q2951">
        <f>J2951-H2951^2/k_n</f>
        <v/>
      </c>
      <c r="R2951">
        <f>K2951-G2951*H2951/k_n</f>
        <v/>
      </c>
      <c r="S2951">
        <f>L2951-LTP3!$D$3*G2951/k_n</f>
        <v/>
      </c>
      <c r="T2951">
        <f>M2951-LTP3!$D$3*H2951/k_n</f>
        <v/>
      </c>
      <c r="U2951">
        <f>N2951-G2951*LTP3!$D$4/k_n</f>
        <v/>
      </c>
      <c r="V2951">
        <f>O2951-H2951*LTP3!$D$4/k_n</f>
        <v/>
      </c>
      <c r="W2951">
        <f>((LTP3!$D$5)*((P2951)*(Q2951)-(R2951)*(R2951))-(S2951)*((S2951)*(Q2951)-(R2951)*(T2951))+(T2951)*((S2951)*(R2951)-(P2951)*(T2951)))</f>
        <v/>
      </c>
      <c r="X2951">
        <f>IF(ABS(W2951)&gt;1E-12,((LTP3!$D$6)*((P2951)*(Q2951)-(R2951)*(R2951))-(S2951)*((U2951)*(Q2951)-(R2951)*(V2951))+(T2951)*((U2951)*(R2951)-(P2951)*(V2951)))/W2951,0)</f>
        <v/>
      </c>
      <c r="Y2951">
        <f>IF(ABS(W2951)&gt;1E-12,((LTP3!$D$5)*((U2951)*(Q2951)-(R2951)*(V2951))-(LTP3!$D$6)*((S2951)*(Q2951)-(R2951)*(T2951))+(T2951)*((S2951)*(V2951)-(U2951)*(T2951)))/W2951,0)</f>
        <v/>
      </c>
      <c r="Z2951">
        <f>IF(ABS(W2951)&gt;1E-12,((LTP3!$D$5)*((P2951)*(V2951)-(U2951)*(R2951))-(S2951)*((S2951)*(V2951)-(U2951)*(T2951))+(LTP3!$D$6)*((S2951)*(R2951)-(P2951)*(T2951)))/W2951,0)</f>
        <v/>
      </c>
      <c r="AA2951">
        <f>LTP3!$D$7-X2951*LTP3!$D$6-Y2951*U2951-Z2951*V2951</f>
        <v/>
      </c>
      <c r="AB2951">
        <f>IF(AND(F2951,ABS(W2951)&gt;1E-12,Y2951&gt;0,Z2951&gt;0),AA2951,1E+300)</f>
        <v/>
      </c>
    </row>
    <row r="2952">
      <c r="A2952">
        <f>$B$3+$B$5*48</f>
        <v/>
      </c>
      <c r="B2952">
        <f>$B$3+$B$5*12</f>
        <v/>
      </c>
      <c r="C2952">
        <f>SUMPRODUCT(Calc!$K$3:$K$22*(Calc!$G$3:$G$22&lt;=A2952))</f>
        <v/>
      </c>
      <c r="D2952">
        <f>SUMPRODUCT(Calc!$K$3:$K$22*(Calc!$G$3:$G$22&gt;A2952)*(Calc!$G$3:$G$22&lt;B2952))</f>
        <v/>
      </c>
      <c r="E2952">
        <f>SUMPRODUCT(Calc!$K$3:$K$22*(Calc!$G$3:$G$22&gt;=B2952))</f>
        <v/>
      </c>
      <c r="F2952">
        <f>AND(k_n&gt;=5,B2952&gt;A2952+1E-9,C2952&gt;=2,D2952&gt;=1,E2952&gt;=2)</f>
        <v/>
      </c>
      <c r="G2952">
        <f>SUMPRODUCT(Calc!$K$3:$K$22*(Calc!$G$3:$G$22&gt;A2952)*(Calc!$G$3:$G$22-A2952))</f>
        <v/>
      </c>
      <c r="H2952">
        <f>SUMPRODUCT(Calc!$K$3:$K$22*(Calc!$G$3:$G$22&gt;B2952)*(Calc!$G$3:$G$22-B2952))</f>
        <v/>
      </c>
      <c r="I2952">
        <f>SUMPRODUCT(Calc!$K$3:$K$22*(Calc!$G$3:$G$22&gt;A2952)*(Calc!$G$3:$G$22-A2952)^2)</f>
        <v/>
      </c>
      <c r="J2952">
        <f>SUMPRODUCT(Calc!$K$3:$K$22*(Calc!$G$3:$G$22&gt;B2952)*(Calc!$G$3:$G$22-B2952)^2)</f>
        <v/>
      </c>
      <c r="K2952">
        <f>SUMPRODUCT(Calc!$K$3:$K$22*(Calc!$G$3:$G$22&gt;A2952)*(Calc!$G$3:$G$22-A2952)*(Calc!$G$3:$G$22&gt;B2952)*(Calc!$G$3:$G$22-B2952))</f>
        <v/>
      </c>
      <c r="L2952">
        <f>SUMPRODUCT(Calc!$K$3:$K$22*(Calc!$G$3:$G$22&gt;A2952)*(Calc!$G$3:$G$22-A2952)*Calc!$G$3:$G$22)</f>
        <v/>
      </c>
      <c r="M2952">
        <f>SUMPRODUCT(Calc!$K$3:$K$22*(Calc!$G$3:$G$22&gt;B2952)*(Calc!$G$3:$G$22-B2952)*Calc!$G$3:$G$22)</f>
        <v/>
      </c>
      <c r="N2952">
        <f>SUMPRODUCT(Calc!$K$3:$K$22*(Calc!$G$3:$G$22&gt;A2952)*(Calc!$G$3:$G$22-A2952)*Calc!$I$3:$I$22)</f>
        <v/>
      </c>
      <c r="O2952">
        <f>SUMPRODUCT(Calc!$K$3:$K$22*(Calc!$G$3:$G$22&gt;B2952)*(Calc!$G$3:$G$22-B2952)*Calc!$I$3:$I$22)</f>
        <v/>
      </c>
      <c r="P2952">
        <f>I2952-G2952^2/k_n</f>
        <v/>
      </c>
      <c r="Q2952">
        <f>J2952-H2952^2/k_n</f>
        <v/>
      </c>
      <c r="R2952">
        <f>K2952-G2952*H2952/k_n</f>
        <v/>
      </c>
      <c r="S2952">
        <f>L2952-LTP3!$D$3*G2952/k_n</f>
        <v/>
      </c>
      <c r="T2952">
        <f>M2952-LTP3!$D$3*H2952/k_n</f>
        <v/>
      </c>
      <c r="U2952">
        <f>N2952-G2952*LTP3!$D$4/k_n</f>
        <v/>
      </c>
      <c r="V2952">
        <f>O2952-H2952*LTP3!$D$4/k_n</f>
        <v/>
      </c>
      <c r="W2952">
        <f>((LTP3!$D$5)*((P2952)*(Q2952)-(R2952)*(R2952))-(S2952)*((S2952)*(Q2952)-(R2952)*(T2952))+(T2952)*((S2952)*(R2952)-(P2952)*(T2952)))</f>
        <v/>
      </c>
      <c r="X2952">
        <f>IF(ABS(W2952)&gt;1E-12,((LTP3!$D$6)*((P2952)*(Q2952)-(R2952)*(R2952))-(S2952)*((U2952)*(Q2952)-(R2952)*(V2952))+(T2952)*((U2952)*(R2952)-(P2952)*(V2952)))/W2952,0)</f>
        <v/>
      </c>
      <c r="Y2952">
        <f>IF(ABS(W2952)&gt;1E-12,((LTP3!$D$5)*((U2952)*(Q2952)-(R2952)*(V2952))-(LTP3!$D$6)*((S2952)*(Q2952)-(R2952)*(T2952))+(T2952)*((S2952)*(V2952)-(U2952)*(T2952)))/W2952,0)</f>
        <v/>
      </c>
      <c r="Z2952">
        <f>IF(ABS(W2952)&gt;1E-12,((LTP3!$D$5)*((P2952)*(V2952)-(U2952)*(R2952))-(S2952)*((S2952)*(V2952)-(U2952)*(T2952))+(LTP3!$D$6)*((S2952)*(R2952)-(P2952)*(T2952)))/W2952,0)</f>
        <v/>
      </c>
      <c r="AA2952">
        <f>LTP3!$D$7-X2952*LTP3!$D$6-Y2952*U2952-Z2952*V2952</f>
        <v/>
      </c>
      <c r="AB2952">
        <f>IF(AND(F2952,ABS(W2952)&gt;1E-12,Y2952&gt;0,Z2952&gt;0),AA2952,1E+300)</f>
        <v/>
      </c>
    </row>
    <row r="2953">
      <c r="A2953">
        <f>$B$3+$B$5*48</f>
        <v/>
      </c>
      <c r="B2953">
        <f>$B$3+$B$5*13</f>
        <v/>
      </c>
      <c r="C2953">
        <f>SUMPRODUCT(Calc!$K$3:$K$22*(Calc!$G$3:$G$22&lt;=A2953))</f>
        <v/>
      </c>
      <c r="D2953">
        <f>SUMPRODUCT(Calc!$K$3:$K$22*(Calc!$G$3:$G$22&gt;A2953)*(Calc!$G$3:$G$22&lt;B2953))</f>
        <v/>
      </c>
      <c r="E2953">
        <f>SUMPRODUCT(Calc!$K$3:$K$22*(Calc!$G$3:$G$22&gt;=B2953))</f>
        <v/>
      </c>
      <c r="F2953">
        <f>AND(k_n&gt;=5,B2953&gt;A2953+1E-9,C2953&gt;=2,D2953&gt;=1,E2953&gt;=2)</f>
        <v/>
      </c>
      <c r="G2953">
        <f>SUMPRODUCT(Calc!$K$3:$K$22*(Calc!$G$3:$G$22&gt;A2953)*(Calc!$G$3:$G$22-A2953))</f>
        <v/>
      </c>
      <c r="H2953">
        <f>SUMPRODUCT(Calc!$K$3:$K$22*(Calc!$G$3:$G$22&gt;B2953)*(Calc!$G$3:$G$22-B2953))</f>
        <v/>
      </c>
      <c r="I2953">
        <f>SUMPRODUCT(Calc!$K$3:$K$22*(Calc!$G$3:$G$22&gt;A2953)*(Calc!$G$3:$G$22-A2953)^2)</f>
        <v/>
      </c>
      <c r="J2953">
        <f>SUMPRODUCT(Calc!$K$3:$K$22*(Calc!$G$3:$G$22&gt;B2953)*(Calc!$G$3:$G$22-B2953)^2)</f>
        <v/>
      </c>
      <c r="K2953">
        <f>SUMPRODUCT(Calc!$K$3:$K$22*(Calc!$G$3:$G$22&gt;A2953)*(Calc!$G$3:$G$22-A2953)*(Calc!$G$3:$G$22&gt;B2953)*(Calc!$G$3:$G$22-B2953))</f>
        <v/>
      </c>
      <c r="L2953">
        <f>SUMPRODUCT(Calc!$K$3:$K$22*(Calc!$G$3:$G$22&gt;A2953)*(Calc!$G$3:$G$22-A2953)*Calc!$G$3:$G$22)</f>
        <v/>
      </c>
      <c r="M2953">
        <f>SUMPRODUCT(Calc!$K$3:$K$22*(Calc!$G$3:$G$22&gt;B2953)*(Calc!$G$3:$G$22-B2953)*Calc!$G$3:$G$22)</f>
        <v/>
      </c>
      <c r="N2953">
        <f>SUMPRODUCT(Calc!$K$3:$K$22*(Calc!$G$3:$G$22&gt;A2953)*(Calc!$G$3:$G$22-A2953)*Calc!$I$3:$I$22)</f>
        <v/>
      </c>
      <c r="O2953">
        <f>SUMPRODUCT(Calc!$K$3:$K$22*(Calc!$G$3:$G$22&gt;B2953)*(Calc!$G$3:$G$22-B2953)*Calc!$I$3:$I$22)</f>
        <v/>
      </c>
      <c r="P2953">
        <f>I2953-G2953^2/k_n</f>
        <v/>
      </c>
      <c r="Q2953">
        <f>J2953-H2953^2/k_n</f>
        <v/>
      </c>
      <c r="R2953">
        <f>K2953-G2953*H2953/k_n</f>
        <v/>
      </c>
      <c r="S2953">
        <f>L2953-LTP3!$D$3*G2953/k_n</f>
        <v/>
      </c>
      <c r="T2953">
        <f>M2953-LTP3!$D$3*H2953/k_n</f>
        <v/>
      </c>
      <c r="U2953">
        <f>N2953-G2953*LTP3!$D$4/k_n</f>
        <v/>
      </c>
      <c r="V2953">
        <f>O2953-H2953*LTP3!$D$4/k_n</f>
        <v/>
      </c>
      <c r="W2953">
        <f>((LTP3!$D$5)*((P2953)*(Q2953)-(R2953)*(R2953))-(S2953)*((S2953)*(Q2953)-(R2953)*(T2953))+(T2953)*((S2953)*(R2953)-(P2953)*(T2953)))</f>
        <v/>
      </c>
      <c r="X2953">
        <f>IF(ABS(W2953)&gt;1E-12,((LTP3!$D$6)*((P2953)*(Q2953)-(R2953)*(R2953))-(S2953)*((U2953)*(Q2953)-(R2953)*(V2953))+(T2953)*((U2953)*(R2953)-(P2953)*(V2953)))/W2953,0)</f>
        <v/>
      </c>
      <c r="Y2953">
        <f>IF(ABS(W2953)&gt;1E-12,((LTP3!$D$5)*((U2953)*(Q2953)-(R2953)*(V2953))-(LTP3!$D$6)*((S2953)*(Q2953)-(R2953)*(T2953))+(T2953)*((S2953)*(V2953)-(U2953)*(T2953)))/W2953,0)</f>
        <v/>
      </c>
      <c r="Z2953">
        <f>IF(ABS(W2953)&gt;1E-12,((LTP3!$D$5)*((P2953)*(V2953)-(U2953)*(R2953))-(S2953)*((S2953)*(V2953)-(U2953)*(T2953))+(LTP3!$D$6)*((S2953)*(R2953)-(P2953)*(T2953)))/W2953,0)</f>
        <v/>
      </c>
      <c r="AA2953">
        <f>LTP3!$D$7-X2953*LTP3!$D$6-Y2953*U2953-Z2953*V2953</f>
        <v/>
      </c>
      <c r="AB2953">
        <f>IF(AND(F2953,ABS(W2953)&gt;1E-12,Y2953&gt;0,Z2953&gt;0),AA2953,1E+300)</f>
        <v/>
      </c>
    </row>
    <row r="2954">
      <c r="A2954">
        <f>$B$3+$B$5*48</f>
        <v/>
      </c>
      <c r="B2954">
        <f>$B$3+$B$5*14</f>
        <v/>
      </c>
      <c r="C2954">
        <f>SUMPRODUCT(Calc!$K$3:$K$22*(Calc!$G$3:$G$22&lt;=A2954))</f>
        <v/>
      </c>
      <c r="D2954">
        <f>SUMPRODUCT(Calc!$K$3:$K$22*(Calc!$G$3:$G$22&gt;A2954)*(Calc!$G$3:$G$22&lt;B2954))</f>
        <v/>
      </c>
      <c r="E2954">
        <f>SUMPRODUCT(Calc!$K$3:$K$22*(Calc!$G$3:$G$22&gt;=B2954))</f>
        <v/>
      </c>
      <c r="F2954">
        <f>AND(k_n&gt;=5,B2954&gt;A2954+1E-9,C2954&gt;=2,D2954&gt;=1,E2954&gt;=2)</f>
        <v/>
      </c>
      <c r="G2954">
        <f>SUMPRODUCT(Calc!$K$3:$K$22*(Calc!$G$3:$G$22&gt;A2954)*(Calc!$G$3:$G$22-A2954))</f>
        <v/>
      </c>
      <c r="H2954">
        <f>SUMPRODUCT(Calc!$K$3:$K$22*(Calc!$G$3:$G$22&gt;B2954)*(Calc!$G$3:$G$22-B2954))</f>
        <v/>
      </c>
      <c r="I2954">
        <f>SUMPRODUCT(Calc!$K$3:$K$22*(Calc!$G$3:$G$22&gt;A2954)*(Calc!$G$3:$G$22-A2954)^2)</f>
        <v/>
      </c>
      <c r="J2954">
        <f>SUMPRODUCT(Calc!$K$3:$K$22*(Calc!$G$3:$G$22&gt;B2954)*(Calc!$G$3:$G$22-B2954)^2)</f>
        <v/>
      </c>
      <c r="K2954">
        <f>SUMPRODUCT(Calc!$K$3:$K$22*(Calc!$G$3:$G$22&gt;A2954)*(Calc!$G$3:$G$22-A2954)*(Calc!$G$3:$G$22&gt;B2954)*(Calc!$G$3:$G$22-B2954))</f>
        <v/>
      </c>
      <c r="L2954">
        <f>SUMPRODUCT(Calc!$K$3:$K$22*(Calc!$G$3:$G$22&gt;A2954)*(Calc!$G$3:$G$22-A2954)*Calc!$G$3:$G$22)</f>
        <v/>
      </c>
      <c r="M2954">
        <f>SUMPRODUCT(Calc!$K$3:$K$22*(Calc!$G$3:$G$22&gt;B2954)*(Calc!$G$3:$G$22-B2954)*Calc!$G$3:$G$22)</f>
        <v/>
      </c>
      <c r="N2954">
        <f>SUMPRODUCT(Calc!$K$3:$K$22*(Calc!$G$3:$G$22&gt;A2954)*(Calc!$G$3:$G$22-A2954)*Calc!$I$3:$I$22)</f>
        <v/>
      </c>
      <c r="O2954">
        <f>SUMPRODUCT(Calc!$K$3:$K$22*(Calc!$G$3:$G$22&gt;B2954)*(Calc!$G$3:$G$22-B2954)*Calc!$I$3:$I$22)</f>
        <v/>
      </c>
      <c r="P2954">
        <f>I2954-G2954^2/k_n</f>
        <v/>
      </c>
      <c r="Q2954">
        <f>J2954-H2954^2/k_n</f>
        <v/>
      </c>
      <c r="R2954">
        <f>K2954-G2954*H2954/k_n</f>
        <v/>
      </c>
      <c r="S2954">
        <f>L2954-LTP3!$D$3*G2954/k_n</f>
        <v/>
      </c>
      <c r="T2954">
        <f>M2954-LTP3!$D$3*H2954/k_n</f>
        <v/>
      </c>
      <c r="U2954">
        <f>N2954-G2954*LTP3!$D$4/k_n</f>
        <v/>
      </c>
      <c r="V2954">
        <f>O2954-H2954*LTP3!$D$4/k_n</f>
        <v/>
      </c>
      <c r="W2954">
        <f>((LTP3!$D$5)*((P2954)*(Q2954)-(R2954)*(R2954))-(S2954)*((S2954)*(Q2954)-(R2954)*(T2954))+(T2954)*((S2954)*(R2954)-(P2954)*(T2954)))</f>
        <v/>
      </c>
      <c r="X2954">
        <f>IF(ABS(W2954)&gt;1E-12,((LTP3!$D$6)*((P2954)*(Q2954)-(R2954)*(R2954))-(S2954)*((U2954)*(Q2954)-(R2954)*(V2954))+(T2954)*((U2954)*(R2954)-(P2954)*(V2954)))/W2954,0)</f>
        <v/>
      </c>
      <c r="Y2954">
        <f>IF(ABS(W2954)&gt;1E-12,((LTP3!$D$5)*((U2954)*(Q2954)-(R2954)*(V2954))-(LTP3!$D$6)*((S2954)*(Q2954)-(R2954)*(T2954))+(T2954)*((S2954)*(V2954)-(U2954)*(T2954)))/W2954,0)</f>
        <v/>
      </c>
      <c r="Z2954">
        <f>IF(ABS(W2954)&gt;1E-12,((LTP3!$D$5)*((P2954)*(V2954)-(U2954)*(R2954))-(S2954)*((S2954)*(V2954)-(U2954)*(T2954))+(LTP3!$D$6)*((S2954)*(R2954)-(P2954)*(T2954)))/W2954,0)</f>
        <v/>
      </c>
      <c r="AA2954">
        <f>LTP3!$D$7-X2954*LTP3!$D$6-Y2954*U2954-Z2954*V2954</f>
        <v/>
      </c>
      <c r="AB2954">
        <f>IF(AND(F2954,ABS(W2954)&gt;1E-12,Y2954&gt;0,Z2954&gt;0),AA2954,1E+300)</f>
        <v/>
      </c>
    </row>
    <row r="2955">
      <c r="A2955">
        <f>$B$3+$B$5*48</f>
        <v/>
      </c>
      <c r="B2955">
        <f>$B$3+$B$5*15</f>
        <v/>
      </c>
      <c r="C2955">
        <f>SUMPRODUCT(Calc!$K$3:$K$22*(Calc!$G$3:$G$22&lt;=A2955))</f>
        <v/>
      </c>
      <c r="D2955">
        <f>SUMPRODUCT(Calc!$K$3:$K$22*(Calc!$G$3:$G$22&gt;A2955)*(Calc!$G$3:$G$22&lt;B2955))</f>
        <v/>
      </c>
      <c r="E2955">
        <f>SUMPRODUCT(Calc!$K$3:$K$22*(Calc!$G$3:$G$22&gt;=B2955))</f>
        <v/>
      </c>
      <c r="F2955">
        <f>AND(k_n&gt;=5,B2955&gt;A2955+1E-9,C2955&gt;=2,D2955&gt;=1,E2955&gt;=2)</f>
        <v/>
      </c>
      <c r="G2955">
        <f>SUMPRODUCT(Calc!$K$3:$K$22*(Calc!$G$3:$G$22&gt;A2955)*(Calc!$G$3:$G$22-A2955))</f>
        <v/>
      </c>
      <c r="H2955">
        <f>SUMPRODUCT(Calc!$K$3:$K$22*(Calc!$G$3:$G$22&gt;B2955)*(Calc!$G$3:$G$22-B2955))</f>
        <v/>
      </c>
      <c r="I2955">
        <f>SUMPRODUCT(Calc!$K$3:$K$22*(Calc!$G$3:$G$22&gt;A2955)*(Calc!$G$3:$G$22-A2955)^2)</f>
        <v/>
      </c>
      <c r="J2955">
        <f>SUMPRODUCT(Calc!$K$3:$K$22*(Calc!$G$3:$G$22&gt;B2955)*(Calc!$G$3:$G$22-B2955)^2)</f>
        <v/>
      </c>
      <c r="K2955">
        <f>SUMPRODUCT(Calc!$K$3:$K$22*(Calc!$G$3:$G$22&gt;A2955)*(Calc!$G$3:$G$22-A2955)*(Calc!$G$3:$G$22&gt;B2955)*(Calc!$G$3:$G$22-B2955))</f>
        <v/>
      </c>
      <c r="L2955">
        <f>SUMPRODUCT(Calc!$K$3:$K$22*(Calc!$G$3:$G$22&gt;A2955)*(Calc!$G$3:$G$22-A2955)*Calc!$G$3:$G$22)</f>
        <v/>
      </c>
      <c r="M2955">
        <f>SUMPRODUCT(Calc!$K$3:$K$22*(Calc!$G$3:$G$22&gt;B2955)*(Calc!$G$3:$G$22-B2955)*Calc!$G$3:$G$22)</f>
        <v/>
      </c>
      <c r="N2955">
        <f>SUMPRODUCT(Calc!$K$3:$K$22*(Calc!$G$3:$G$22&gt;A2955)*(Calc!$G$3:$G$22-A2955)*Calc!$I$3:$I$22)</f>
        <v/>
      </c>
      <c r="O2955">
        <f>SUMPRODUCT(Calc!$K$3:$K$22*(Calc!$G$3:$G$22&gt;B2955)*(Calc!$G$3:$G$22-B2955)*Calc!$I$3:$I$22)</f>
        <v/>
      </c>
      <c r="P2955">
        <f>I2955-G2955^2/k_n</f>
        <v/>
      </c>
      <c r="Q2955">
        <f>J2955-H2955^2/k_n</f>
        <v/>
      </c>
      <c r="R2955">
        <f>K2955-G2955*H2955/k_n</f>
        <v/>
      </c>
      <c r="S2955">
        <f>L2955-LTP3!$D$3*G2955/k_n</f>
        <v/>
      </c>
      <c r="T2955">
        <f>M2955-LTP3!$D$3*H2955/k_n</f>
        <v/>
      </c>
      <c r="U2955">
        <f>N2955-G2955*LTP3!$D$4/k_n</f>
        <v/>
      </c>
      <c r="V2955">
        <f>O2955-H2955*LTP3!$D$4/k_n</f>
        <v/>
      </c>
      <c r="W2955">
        <f>((LTP3!$D$5)*((P2955)*(Q2955)-(R2955)*(R2955))-(S2955)*((S2955)*(Q2955)-(R2955)*(T2955))+(T2955)*((S2955)*(R2955)-(P2955)*(T2955)))</f>
        <v/>
      </c>
      <c r="X2955">
        <f>IF(ABS(W2955)&gt;1E-12,((LTP3!$D$6)*((P2955)*(Q2955)-(R2955)*(R2955))-(S2955)*((U2955)*(Q2955)-(R2955)*(V2955))+(T2955)*((U2955)*(R2955)-(P2955)*(V2955)))/W2955,0)</f>
        <v/>
      </c>
      <c r="Y2955">
        <f>IF(ABS(W2955)&gt;1E-12,((LTP3!$D$5)*((U2955)*(Q2955)-(R2955)*(V2955))-(LTP3!$D$6)*((S2955)*(Q2955)-(R2955)*(T2955))+(T2955)*((S2955)*(V2955)-(U2955)*(T2955)))/W2955,0)</f>
        <v/>
      </c>
      <c r="Z2955">
        <f>IF(ABS(W2955)&gt;1E-12,((LTP3!$D$5)*((P2955)*(V2955)-(U2955)*(R2955))-(S2955)*((S2955)*(V2955)-(U2955)*(T2955))+(LTP3!$D$6)*((S2955)*(R2955)-(P2955)*(T2955)))/W2955,0)</f>
        <v/>
      </c>
      <c r="AA2955">
        <f>LTP3!$D$7-X2955*LTP3!$D$6-Y2955*U2955-Z2955*V2955</f>
        <v/>
      </c>
      <c r="AB2955">
        <f>IF(AND(F2955,ABS(W2955)&gt;1E-12,Y2955&gt;0,Z2955&gt;0),AA2955,1E+300)</f>
        <v/>
      </c>
    </row>
    <row r="2956">
      <c r="A2956">
        <f>$B$3+$B$5*48</f>
        <v/>
      </c>
      <c r="B2956">
        <f>$B$3+$B$5*16</f>
        <v/>
      </c>
      <c r="C2956">
        <f>SUMPRODUCT(Calc!$K$3:$K$22*(Calc!$G$3:$G$22&lt;=A2956))</f>
        <v/>
      </c>
      <c r="D2956">
        <f>SUMPRODUCT(Calc!$K$3:$K$22*(Calc!$G$3:$G$22&gt;A2956)*(Calc!$G$3:$G$22&lt;B2956))</f>
        <v/>
      </c>
      <c r="E2956">
        <f>SUMPRODUCT(Calc!$K$3:$K$22*(Calc!$G$3:$G$22&gt;=B2956))</f>
        <v/>
      </c>
      <c r="F2956">
        <f>AND(k_n&gt;=5,B2956&gt;A2956+1E-9,C2956&gt;=2,D2956&gt;=1,E2956&gt;=2)</f>
        <v/>
      </c>
      <c r="G2956">
        <f>SUMPRODUCT(Calc!$K$3:$K$22*(Calc!$G$3:$G$22&gt;A2956)*(Calc!$G$3:$G$22-A2956))</f>
        <v/>
      </c>
      <c r="H2956">
        <f>SUMPRODUCT(Calc!$K$3:$K$22*(Calc!$G$3:$G$22&gt;B2956)*(Calc!$G$3:$G$22-B2956))</f>
        <v/>
      </c>
      <c r="I2956">
        <f>SUMPRODUCT(Calc!$K$3:$K$22*(Calc!$G$3:$G$22&gt;A2956)*(Calc!$G$3:$G$22-A2956)^2)</f>
        <v/>
      </c>
      <c r="J2956">
        <f>SUMPRODUCT(Calc!$K$3:$K$22*(Calc!$G$3:$G$22&gt;B2956)*(Calc!$G$3:$G$22-B2956)^2)</f>
        <v/>
      </c>
      <c r="K2956">
        <f>SUMPRODUCT(Calc!$K$3:$K$22*(Calc!$G$3:$G$22&gt;A2956)*(Calc!$G$3:$G$22-A2956)*(Calc!$G$3:$G$22&gt;B2956)*(Calc!$G$3:$G$22-B2956))</f>
        <v/>
      </c>
      <c r="L2956">
        <f>SUMPRODUCT(Calc!$K$3:$K$22*(Calc!$G$3:$G$22&gt;A2956)*(Calc!$G$3:$G$22-A2956)*Calc!$G$3:$G$22)</f>
        <v/>
      </c>
      <c r="M2956">
        <f>SUMPRODUCT(Calc!$K$3:$K$22*(Calc!$G$3:$G$22&gt;B2956)*(Calc!$G$3:$G$22-B2956)*Calc!$G$3:$G$22)</f>
        <v/>
      </c>
      <c r="N2956">
        <f>SUMPRODUCT(Calc!$K$3:$K$22*(Calc!$G$3:$G$22&gt;A2956)*(Calc!$G$3:$G$22-A2956)*Calc!$I$3:$I$22)</f>
        <v/>
      </c>
      <c r="O2956">
        <f>SUMPRODUCT(Calc!$K$3:$K$22*(Calc!$G$3:$G$22&gt;B2956)*(Calc!$G$3:$G$22-B2956)*Calc!$I$3:$I$22)</f>
        <v/>
      </c>
      <c r="P2956">
        <f>I2956-G2956^2/k_n</f>
        <v/>
      </c>
      <c r="Q2956">
        <f>J2956-H2956^2/k_n</f>
        <v/>
      </c>
      <c r="R2956">
        <f>K2956-G2956*H2956/k_n</f>
        <v/>
      </c>
      <c r="S2956">
        <f>L2956-LTP3!$D$3*G2956/k_n</f>
        <v/>
      </c>
      <c r="T2956">
        <f>M2956-LTP3!$D$3*H2956/k_n</f>
        <v/>
      </c>
      <c r="U2956">
        <f>N2956-G2956*LTP3!$D$4/k_n</f>
        <v/>
      </c>
      <c r="V2956">
        <f>O2956-H2956*LTP3!$D$4/k_n</f>
        <v/>
      </c>
      <c r="W2956">
        <f>((LTP3!$D$5)*((P2956)*(Q2956)-(R2956)*(R2956))-(S2956)*((S2956)*(Q2956)-(R2956)*(T2956))+(T2956)*((S2956)*(R2956)-(P2956)*(T2956)))</f>
        <v/>
      </c>
      <c r="X2956">
        <f>IF(ABS(W2956)&gt;1E-12,((LTP3!$D$6)*((P2956)*(Q2956)-(R2956)*(R2956))-(S2956)*((U2956)*(Q2956)-(R2956)*(V2956))+(T2956)*((U2956)*(R2956)-(P2956)*(V2956)))/W2956,0)</f>
        <v/>
      </c>
      <c r="Y2956">
        <f>IF(ABS(W2956)&gt;1E-12,((LTP3!$D$5)*((U2956)*(Q2956)-(R2956)*(V2956))-(LTP3!$D$6)*((S2956)*(Q2956)-(R2956)*(T2956))+(T2956)*((S2956)*(V2956)-(U2956)*(T2956)))/W2956,0)</f>
        <v/>
      </c>
      <c r="Z2956">
        <f>IF(ABS(W2956)&gt;1E-12,((LTP3!$D$5)*((P2956)*(V2956)-(U2956)*(R2956))-(S2956)*((S2956)*(V2956)-(U2956)*(T2956))+(LTP3!$D$6)*((S2956)*(R2956)-(P2956)*(T2956)))/W2956,0)</f>
        <v/>
      </c>
      <c r="AA2956">
        <f>LTP3!$D$7-X2956*LTP3!$D$6-Y2956*U2956-Z2956*V2956</f>
        <v/>
      </c>
      <c r="AB2956">
        <f>IF(AND(F2956,ABS(W2956)&gt;1E-12,Y2956&gt;0,Z2956&gt;0),AA2956,1E+300)</f>
        <v/>
      </c>
    </row>
    <row r="2957">
      <c r="A2957">
        <f>$B$3+$B$5*48</f>
        <v/>
      </c>
      <c r="B2957">
        <f>$B$3+$B$5*17</f>
        <v/>
      </c>
      <c r="C2957">
        <f>SUMPRODUCT(Calc!$K$3:$K$22*(Calc!$G$3:$G$22&lt;=A2957))</f>
        <v/>
      </c>
      <c r="D2957">
        <f>SUMPRODUCT(Calc!$K$3:$K$22*(Calc!$G$3:$G$22&gt;A2957)*(Calc!$G$3:$G$22&lt;B2957))</f>
        <v/>
      </c>
      <c r="E2957">
        <f>SUMPRODUCT(Calc!$K$3:$K$22*(Calc!$G$3:$G$22&gt;=B2957))</f>
        <v/>
      </c>
      <c r="F2957">
        <f>AND(k_n&gt;=5,B2957&gt;A2957+1E-9,C2957&gt;=2,D2957&gt;=1,E2957&gt;=2)</f>
        <v/>
      </c>
      <c r="G2957">
        <f>SUMPRODUCT(Calc!$K$3:$K$22*(Calc!$G$3:$G$22&gt;A2957)*(Calc!$G$3:$G$22-A2957))</f>
        <v/>
      </c>
      <c r="H2957">
        <f>SUMPRODUCT(Calc!$K$3:$K$22*(Calc!$G$3:$G$22&gt;B2957)*(Calc!$G$3:$G$22-B2957))</f>
        <v/>
      </c>
      <c r="I2957">
        <f>SUMPRODUCT(Calc!$K$3:$K$22*(Calc!$G$3:$G$22&gt;A2957)*(Calc!$G$3:$G$22-A2957)^2)</f>
        <v/>
      </c>
      <c r="J2957">
        <f>SUMPRODUCT(Calc!$K$3:$K$22*(Calc!$G$3:$G$22&gt;B2957)*(Calc!$G$3:$G$22-B2957)^2)</f>
        <v/>
      </c>
      <c r="K2957">
        <f>SUMPRODUCT(Calc!$K$3:$K$22*(Calc!$G$3:$G$22&gt;A2957)*(Calc!$G$3:$G$22-A2957)*(Calc!$G$3:$G$22&gt;B2957)*(Calc!$G$3:$G$22-B2957))</f>
        <v/>
      </c>
      <c r="L2957">
        <f>SUMPRODUCT(Calc!$K$3:$K$22*(Calc!$G$3:$G$22&gt;A2957)*(Calc!$G$3:$G$22-A2957)*Calc!$G$3:$G$22)</f>
        <v/>
      </c>
      <c r="M2957">
        <f>SUMPRODUCT(Calc!$K$3:$K$22*(Calc!$G$3:$G$22&gt;B2957)*(Calc!$G$3:$G$22-B2957)*Calc!$G$3:$G$22)</f>
        <v/>
      </c>
      <c r="N2957">
        <f>SUMPRODUCT(Calc!$K$3:$K$22*(Calc!$G$3:$G$22&gt;A2957)*(Calc!$G$3:$G$22-A2957)*Calc!$I$3:$I$22)</f>
        <v/>
      </c>
      <c r="O2957">
        <f>SUMPRODUCT(Calc!$K$3:$K$22*(Calc!$G$3:$G$22&gt;B2957)*(Calc!$G$3:$G$22-B2957)*Calc!$I$3:$I$22)</f>
        <v/>
      </c>
      <c r="P2957">
        <f>I2957-G2957^2/k_n</f>
        <v/>
      </c>
      <c r="Q2957">
        <f>J2957-H2957^2/k_n</f>
        <v/>
      </c>
      <c r="R2957">
        <f>K2957-G2957*H2957/k_n</f>
        <v/>
      </c>
      <c r="S2957">
        <f>L2957-LTP3!$D$3*G2957/k_n</f>
        <v/>
      </c>
      <c r="T2957">
        <f>M2957-LTP3!$D$3*H2957/k_n</f>
        <v/>
      </c>
      <c r="U2957">
        <f>N2957-G2957*LTP3!$D$4/k_n</f>
        <v/>
      </c>
      <c r="V2957">
        <f>O2957-H2957*LTP3!$D$4/k_n</f>
        <v/>
      </c>
      <c r="W2957">
        <f>((LTP3!$D$5)*((P2957)*(Q2957)-(R2957)*(R2957))-(S2957)*((S2957)*(Q2957)-(R2957)*(T2957))+(T2957)*((S2957)*(R2957)-(P2957)*(T2957)))</f>
        <v/>
      </c>
      <c r="X2957">
        <f>IF(ABS(W2957)&gt;1E-12,((LTP3!$D$6)*((P2957)*(Q2957)-(R2957)*(R2957))-(S2957)*((U2957)*(Q2957)-(R2957)*(V2957))+(T2957)*((U2957)*(R2957)-(P2957)*(V2957)))/W2957,0)</f>
        <v/>
      </c>
      <c r="Y2957">
        <f>IF(ABS(W2957)&gt;1E-12,((LTP3!$D$5)*((U2957)*(Q2957)-(R2957)*(V2957))-(LTP3!$D$6)*((S2957)*(Q2957)-(R2957)*(T2957))+(T2957)*((S2957)*(V2957)-(U2957)*(T2957)))/W2957,0)</f>
        <v/>
      </c>
      <c r="Z2957">
        <f>IF(ABS(W2957)&gt;1E-12,((LTP3!$D$5)*((P2957)*(V2957)-(U2957)*(R2957))-(S2957)*((S2957)*(V2957)-(U2957)*(T2957))+(LTP3!$D$6)*((S2957)*(R2957)-(P2957)*(T2957)))/W2957,0)</f>
        <v/>
      </c>
      <c r="AA2957">
        <f>LTP3!$D$7-X2957*LTP3!$D$6-Y2957*U2957-Z2957*V2957</f>
        <v/>
      </c>
      <c r="AB2957">
        <f>IF(AND(F2957,ABS(W2957)&gt;1E-12,Y2957&gt;0,Z2957&gt;0),AA2957,1E+300)</f>
        <v/>
      </c>
    </row>
    <row r="2958">
      <c r="A2958">
        <f>$B$3+$B$5*48</f>
        <v/>
      </c>
      <c r="B2958">
        <f>$B$3+$B$5*18</f>
        <v/>
      </c>
      <c r="C2958">
        <f>SUMPRODUCT(Calc!$K$3:$K$22*(Calc!$G$3:$G$22&lt;=A2958))</f>
        <v/>
      </c>
      <c r="D2958">
        <f>SUMPRODUCT(Calc!$K$3:$K$22*(Calc!$G$3:$G$22&gt;A2958)*(Calc!$G$3:$G$22&lt;B2958))</f>
        <v/>
      </c>
      <c r="E2958">
        <f>SUMPRODUCT(Calc!$K$3:$K$22*(Calc!$G$3:$G$22&gt;=B2958))</f>
        <v/>
      </c>
      <c r="F2958">
        <f>AND(k_n&gt;=5,B2958&gt;A2958+1E-9,C2958&gt;=2,D2958&gt;=1,E2958&gt;=2)</f>
        <v/>
      </c>
      <c r="G2958">
        <f>SUMPRODUCT(Calc!$K$3:$K$22*(Calc!$G$3:$G$22&gt;A2958)*(Calc!$G$3:$G$22-A2958))</f>
        <v/>
      </c>
      <c r="H2958">
        <f>SUMPRODUCT(Calc!$K$3:$K$22*(Calc!$G$3:$G$22&gt;B2958)*(Calc!$G$3:$G$22-B2958))</f>
        <v/>
      </c>
      <c r="I2958">
        <f>SUMPRODUCT(Calc!$K$3:$K$22*(Calc!$G$3:$G$22&gt;A2958)*(Calc!$G$3:$G$22-A2958)^2)</f>
        <v/>
      </c>
      <c r="J2958">
        <f>SUMPRODUCT(Calc!$K$3:$K$22*(Calc!$G$3:$G$22&gt;B2958)*(Calc!$G$3:$G$22-B2958)^2)</f>
        <v/>
      </c>
      <c r="K2958">
        <f>SUMPRODUCT(Calc!$K$3:$K$22*(Calc!$G$3:$G$22&gt;A2958)*(Calc!$G$3:$G$22-A2958)*(Calc!$G$3:$G$22&gt;B2958)*(Calc!$G$3:$G$22-B2958))</f>
        <v/>
      </c>
      <c r="L2958">
        <f>SUMPRODUCT(Calc!$K$3:$K$22*(Calc!$G$3:$G$22&gt;A2958)*(Calc!$G$3:$G$22-A2958)*Calc!$G$3:$G$22)</f>
        <v/>
      </c>
      <c r="M2958">
        <f>SUMPRODUCT(Calc!$K$3:$K$22*(Calc!$G$3:$G$22&gt;B2958)*(Calc!$G$3:$G$22-B2958)*Calc!$G$3:$G$22)</f>
        <v/>
      </c>
      <c r="N2958">
        <f>SUMPRODUCT(Calc!$K$3:$K$22*(Calc!$G$3:$G$22&gt;A2958)*(Calc!$G$3:$G$22-A2958)*Calc!$I$3:$I$22)</f>
        <v/>
      </c>
      <c r="O2958">
        <f>SUMPRODUCT(Calc!$K$3:$K$22*(Calc!$G$3:$G$22&gt;B2958)*(Calc!$G$3:$G$22-B2958)*Calc!$I$3:$I$22)</f>
        <v/>
      </c>
      <c r="P2958">
        <f>I2958-G2958^2/k_n</f>
        <v/>
      </c>
      <c r="Q2958">
        <f>J2958-H2958^2/k_n</f>
        <v/>
      </c>
      <c r="R2958">
        <f>K2958-G2958*H2958/k_n</f>
        <v/>
      </c>
      <c r="S2958">
        <f>L2958-LTP3!$D$3*G2958/k_n</f>
        <v/>
      </c>
      <c r="T2958">
        <f>M2958-LTP3!$D$3*H2958/k_n</f>
        <v/>
      </c>
      <c r="U2958">
        <f>N2958-G2958*LTP3!$D$4/k_n</f>
        <v/>
      </c>
      <c r="V2958">
        <f>O2958-H2958*LTP3!$D$4/k_n</f>
        <v/>
      </c>
      <c r="W2958">
        <f>((LTP3!$D$5)*((P2958)*(Q2958)-(R2958)*(R2958))-(S2958)*((S2958)*(Q2958)-(R2958)*(T2958))+(T2958)*((S2958)*(R2958)-(P2958)*(T2958)))</f>
        <v/>
      </c>
      <c r="X2958">
        <f>IF(ABS(W2958)&gt;1E-12,((LTP3!$D$6)*((P2958)*(Q2958)-(R2958)*(R2958))-(S2958)*((U2958)*(Q2958)-(R2958)*(V2958))+(T2958)*((U2958)*(R2958)-(P2958)*(V2958)))/W2958,0)</f>
        <v/>
      </c>
      <c r="Y2958">
        <f>IF(ABS(W2958)&gt;1E-12,((LTP3!$D$5)*((U2958)*(Q2958)-(R2958)*(V2958))-(LTP3!$D$6)*((S2958)*(Q2958)-(R2958)*(T2958))+(T2958)*((S2958)*(V2958)-(U2958)*(T2958)))/W2958,0)</f>
        <v/>
      </c>
      <c r="Z2958">
        <f>IF(ABS(W2958)&gt;1E-12,((LTP3!$D$5)*((P2958)*(V2958)-(U2958)*(R2958))-(S2958)*((S2958)*(V2958)-(U2958)*(T2958))+(LTP3!$D$6)*((S2958)*(R2958)-(P2958)*(T2958)))/W2958,0)</f>
        <v/>
      </c>
      <c r="AA2958">
        <f>LTP3!$D$7-X2958*LTP3!$D$6-Y2958*U2958-Z2958*V2958</f>
        <v/>
      </c>
      <c r="AB2958">
        <f>IF(AND(F2958,ABS(W2958)&gt;1E-12,Y2958&gt;0,Z2958&gt;0),AA2958,1E+300)</f>
        <v/>
      </c>
    </row>
    <row r="2959">
      <c r="A2959">
        <f>$B$3+$B$5*48</f>
        <v/>
      </c>
      <c r="B2959">
        <f>$B$3+$B$5*19</f>
        <v/>
      </c>
      <c r="C2959">
        <f>SUMPRODUCT(Calc!$K$3:$K$22*(Calc!$G$3:$G$22&lt;=A2959))</f>
        <v/>
      </c>
      <c r="D2959">
        <f>SUMPRODUCT(Calc!$K$3:$K$22*(Calc!$G$3:$G$22&gt;A2959)*(Calc!$G$3:$G$22&lt;B2959))</f>
        <v/>
      </c>
      <c r="E2959">
        <f>SUMPRODUCT(Calc!$K$3:$K$22*(Calc!$G$3:$G$22&gt;=B2959))</f>
        <v/>
      </c>
      <c r="F2959">
        <f>AND(k_n&gt;=5,B2959&gt;A2959+1E-9,C2959&gt;=2,D2959&gt;=1,E2959&gt;=2)</f>
        <v/>
      </c>
      <c r="G2959">
        <f>SUMPRODUCT(Calc!$K$3:$K$22*(Calc!$G$3:$G$22&gt;A2959)*(Calc!$G$3:$G$22-A2959))</f>
        <v/>
      </c>
      <c r="H2959">
        <f>SUMPRODUCT(Calc!$K$3:$K$22*(Calc!$G$3:$G$22&gt;B2959)*(Calc!$G$3:$G$22-B2959))</f>
        <v/>
      </c>
      <c r="I2959">
        <f>SUMPRODUCT(Calc!$K$3:$K$22*(Calc!$G$3:$G$22&gt;A2959)*(Calc!$G$3:$G$22-A2959)^2)</f>
        <v/>
      </c>
      <c r="J2959">
        <f>SUMPRODUCT(Calc!$K$3:$K$22*(Calc!$G$3:$G$22&gt;B2959)*(Calc!$G$3:$G$22-B2959)^2)</f>
        <v/>
      </c>
      <c r="K2959">
        <f>SUMPRODUCT(Calc!$K$3:$K$22*(Calc!$G$3:$G$22&gt;A2959)*(Calc!$G$3:$G$22-A2959)*(Calc!$G$3:$G$22&gt;B2959)*(Calc!$G$3:$G$22-B2959))</f>
        <v/>
      </c>
      <c r="L2959">
        <f>SUMPRODUCT(Calc!$K$3:$K$22*(Calc!$G$3:$G$22&gt;A2959)*(Calc!$G$3:$G$22-A2959)*Calc!$G$3:$G$22)</f>
        <v/>
      </c>
      <c r="M2959">
        <f>SUMPRODUCT(Calc!$K$3:$K$22*(Calc!$G$3:$G$22&gt;B2959)*(Calc!$G$3:$G$22-B2959)*Calc!$G$3:$G$22)</f>
        <v/>
      </c>
      <c r="N2959">
        <f>SUMPRODUCT(Calc!$K$3:$K$22*(Calc!$G$3:$G$22&gt;A2959)*(Calc!$G$3:$G$22-A2959)*Calc!$I$3:$I$22)</f>
        <v/>
      </c>
      <c r="O2959">
        <f>SUMPRODUCT(Calc!$K$3:$K$22*(Calc!$G$3:$G$22&gt;B2959)*(Calc!$G$3:$G$22-B2959)*Calc!$I$3:$I$22)</f>
        <v/>
      </c>
      <c r="P2959">
        <f>I2959-G2959^2/k_n</f>
        <v/>
      </c>
      <c r="Q2959">
        <f>J2959-H2959^2/k_n</f>
        <v/>
      </c>
      <c r="R2959">
        <f>K2959-G2959*H2959/k_n</f>
        <v/>
      </c>
      <c r="S2959">
        <f>L2959-LTP3!$D$3*G2959/k_n</f>
        <v/>
      </c>
      <c r="T2959">
        <f>M2959-LTP3!$D$3*H2959/k_n</f>
        <v/>
      </c>
      <c r="U2959">
        <f>N2959-G2959*LTP3!$D$4/k_n</f>
        <v/>
      </c>
      <c r="V2959">
        <f>O2959-H2959*LTP3!$D$4/k_n</f>
        <v/>
      </c>
      <c r="W2959">
        <f>((LTP3!$D$5)*((P2959)*(Q2959)-(R2959)*(R2959))-(S2959)*((S2959)*(Q2959)-(R2959)*(T2959))+(T2959)*((S2959)*(R2959)-(P2959)*(T2959)))</f>
        <v/>
      </c>
      <c r="X2959">
        <f>IF(ABS(W2959)&gt;1E-12,((LTP3!$D$6)*((P2959)*(Q2959)-(R2959)*(R2959))-(S2959)*((U2959)*(Q2959)-(R2959)*(V2959))+(T2959)*((U2959)*(R2959)-(P2959)*(V2959)))/W2959,0)</f>
        <v/>
      </c>
      <c r="Y2959">
        <f>IF(ABS(W2959)&gt;1E-12,((LTP3!$D$5)*((U2959)*(Q2959)-(R2959)*(V2959))-(LTP3!$D$6)*((S2959)*(Q2959)-(R2959)*(T2959))+(T2959)*((S2959)*(V2959)-(U2959)*(T2959)))/W2959,0)</f>
        <v/>
      </c>
      <c r="Z2959">
        <f>IF(ABS(W2959)&gt;1E-12,((LTP3!$D$5)*((P2959)*(V2959)-(U2959)*(R2959))-(S2959)*((S2959)*(V2959)-(U2959)*(T2959))+(LTP3!$D$6)*((S2959)*(R2959)-(P2959)*(T2959)))/W2959,0)</f>
        <v/>
      </c>
      <c r="AA2959">
        <f>LTP3!$D$7-X2959*LTP3!$D$6-Y2959*U2959-Z2959*V2959</f>
        <v/>
      </c>
      <c r="AB2959">
        <f>IF(AND(F2959,ABS(W2959)&gt;1E-12,Y2959&gt;0,Z2959&gt;0),AA2959,1E+300)</f>
        <v/>
      </c>
    </row>
    <row r="2960">
      <c r="A2960">
        <f>$B$3+$B$5*48</f>
        <v/>
      </c>
      <c r="B2960">
        <f>$B$3+$B$5*20</f>
        <v/>
      </c>
      <c r="C2960">
        <f>SUMPRODUCT(Calc!$K$3:$K$22*(Calc!$G$3:$G$22&lt;=A2960))</f>
        <v/>
      </c>
      <c r="D2960">
        <f>SUMPRODUCT(Calc!$K$3:$K$22*(Calc!$G$3:$G$22&gt;A2960)*(Calc!$G$3:$G$22&lt;B2960))</f>
        <v/>
      </c>
      <c r="E2960">
        <f>SUMPRODUCT(Calc!$K$3:$K$22*(Calc!$G$3:$G$22&gt;=B2960))</f>
        <v/>
      </c>
      <c r="F2960">
        <f>AND(k_n&gt;=5,B2960&gt;A2960+1E-9,C2960&gt;=2,D2960&gt;=1,E2960&gt;=2)</f>
        <v/>
      </c>
      <c r="G2960">
        <f>SUMPRODUCT(Calc!$K$3:$K$22*(Calc!$G$3:$G$22&gt;A2960)*(Calc!$G$3:$G$22-A2960))</f>
        <v/>
      </c>
      <c r="H2960">
        <f>SUMPRODUCT(Calc!$K$3:$K$22*(Calc!$G$3:$G$22&gt;B2960)*(Calc!$G$3:$G$22-B2960))</f>
        <v/>
      </c>
      <c r="I2960">
        <f>SUMPRODUCT(Calc!$K$3:$K$22*(Calc!$G$3:$G$22&gt;A2960)*(Calc!$G$3:$G$22-A2960)^2)</f>
        <v/>
      </c>
      <c r="J2960">
        <f>SUMPRODUCT(Calc!$K$3:$K$22*(Calc!$G$3:$G$22&gt;B2960)*(Calc!$G$3:$G$22-B2960)^2)</f>
        <v/>
      </c>
      <c r="K2960">
        <f>SUMPRODUCT(Calc!$K$3:$K$22*(Calc!$G$3:$G$22&gt;A2960)*(Calc!$G$3:$G$22-A2960)*(Calc!$G$3:$G$22&gt;B2960)*(Calc!$G$3:$G$22-B2960))</f>
        <v/>
      </c>
      <c r="L2960">
        <f>SUMPRODUCT(Calc!$K$3:$K$22*(Calc!$G$3:$G$22&gt;A2960)*(Calc!$G$3:$G$22-A2960)*Calc!$G$3:$G$22)</f>
        <v/>
      </c>
      <c r="M2960">
        <f>SUMPRODUCT(Calc!$K$3:$K$22*(Calc!$G$3:$G$22&gt;B2960)*(Calc!$G$3:$G$22-B2960)*Calc!$G$3:$G$22)</f>
        <v/>
      </c>
      <c r="N2960">
        <f>SUMPRODUCT(Calc!$K$3:$K$22*(Calc!$G$3:$G$22&gt;A2960)*(Calc!$G$3:$G$22-A2960)*Calc!$I$3:$I$22)</f>
        <v/>
      </c>
      <c r="O2960">
        <f>SUMPRODUCT(Calc!$K$3:$K$22*(Calc!$G$3:$G$22&gt;B2960)*(Calc!$G$3:$G$22-B2960)*Calc!$I$3:$I$22)</f>
        <v/>
      </c>
      <c r="P2960">
        <f>I2960-G2960^2/k_n</f>
        <v/>
      </c>
      <c r="Q2960">
        <f>J2960-H2960^2/k_n</f>
        <v/>
      </c>
      <c r="R2960">
        <f>K2960-G2960*H2960/k_n</f>
        <v/>
      </c>
      <c r="S2960">
        <f>L2960-LTP3!$D$3*G2960/k_n</f>
        <v/>
      </c>
      <c r="T2960">
        <f>M2960-LTP3!$D$3*H2960/k_n</f>
        <v/>
      </c>
      <c r="U2960">
        <f>N2960-G2960*LTP3!$D$4/k_n</f>
        <v/>
      </c>
      <c r="V2960">
        <f>O2960-H2960*LTP3!$D$4/k_n</f>
        <v/>
      </c>
      <c r="W2960">
        <f>((LTP3!$D$5)*((P2960)*(Q2960)-(R2960)*(R2960))-(S2960)*((S2960)*(Q2960)-(R2960)*(T2960))+(T2960)*((S2960)*(R2960)-(P2960)*(T2960)))</f>
        <v/>
      </c>
      <c r="X2960">
        <f>IF(ABS(W2960)&gt;1E-12,((LTP3!$D$6)*((P2960)*(Q2960)-(R2960)*(R2960))-(S2960)*((U2960)*(Q2960)-(R2960)*(V2960))+(T2960)*((U2960)*(R2960)-(P2960)*(V2960)))/W2960,0)</f>
        <v/>
      </c>
      <c r="Y2960">
        <f>IF(ABS(W2960)&gt;1E-12,((LTP3!$D$5)*((U2960)*(Q2960)-(R2960)*(V2960))-(LTP3!$D$6)*((S2960)*(Q2960)-(R2960)*(T2960))+(T2960)*((S2960)*(V2960)-(U2960)*(T2960)))/W2960,0)</f>
        <v/>
      </c>
      <c r="Z2960">
        <f>IF(ABS(W2960)&gt;1E-12,((LTP3!$D$5)*((P2960)*(V2960)-(U2960)*(R2960))-(S2960)*((S2960)*(V2960)-(U2960)*(T2960))+(LTP3!$D$6)*((S2960)*(R2960)-(P2960)*(T2960)))/W2960,0)</f>
        <v/>
      </c>
      <c r="AA2960">
        <f>LTP3!$D$7-X2960*LTP3!$D$6-Y2960*U2960-Z2960*V2960</f>
        <v/>
      </c>
      <c r="AB2960">
        <f>IF(AND(F2960,ABS(W2960)&gt;1E-12,Y2960&gt;0,Z2960&gt;0),AA2960,1E+300)</f>
        <v/>
      </c>
    </row>
    <row r="2961">
      <c r="A2961">
        <f>$B$3+$B$5*48</f>
        <v/>
      </c>
      <c r="B2961">
        <f>$B$3+$B$5*21</f>
        <v/>
      </c>
      <c r="C2961">
        <f>SUMPRODUCT(Calc!$K$3:$K$22*(Calc!$G$3:$G$22&lt;=A2961))</f>
        <v/>
      </c>
      <c r="D2961">
        <f>SUMPRODUCT(Calc!$K$3:$K$22*(Calc!$G$3:$G$22&gt;A2961)*(Calc!$G$3:$G$22&lt;B2961))</f>
        <v/>
      </c>
      <c r="E2961">
        <f>SUMPRODUCT(Calc!$K$3:$K$22*(Calc!$G$3:$G$22&gt;=B2961))</f>
        <v/>
      </c>
      <c r="F2961">
        <f>AND(k_n&gt;=5,B2961&gt;A2961+1E-9,C2961&gt;=2,D2961&gt;=1,E2961&gt;=2)</f>
        <v/>
      </c>
      <c r="G2961">
        <f>SUMPRODUCT(Calc!$K$3:$K$22*(Calc!$G$3:$G$22&gt;A2961)*(Calc!$G$3:$G$22-A2961))</f>
        <v/>
      </c>
      <c r="H2961">
        <f>SUMPRODUCT(Calc!$K$3:$K$22*(Calc!$G$3:$G$22&gt;B2961)*(Calc!$G$3:$G$22-B2961))</f>
        <v/>
      </c>
      <c r="I2961">
        <f>SUMPRODUCT(Calc!$K$3:$K$22*(Calc!$G$3:$G$22&gt;A2961)*(Calc!$G$3:$G$22-A2961)^2)</f>
        <v/>
      </c>
      <c r="J2961">
        <f>SUMPRODUCT(Calc!$K$3:$K$22*(Calc!$G$3:$G$22&gt;B2961)*(Calc!$G$3:$G$22-B2961)^2)</f>
        <v/>
      </c>
      <c r="K2961">
        <f>SUMPRODUCT(Calc!$K$3:$K$22*(Calc!$G$3:$G$22&gt;A2961)*(Calc!$G$3:$G$22-A2961)*(Calc!$G$3:$G$22&gt;B2961)*(Calc!$G$3:$G$22-B2961))</f>
        <v/>
      </c>
      <c r="L2961">
        <f>SUMPRODUCT(Calc!$K$3:$K$22*(Calc!$G$3:$G$22&gt;A2961)*(Calc!$G$3:$G$22-A2961)*Calc!$G$3:$G$22)</f>
        <v/>
      </c>
      <c r="M2961">
        <f>SUMPRODUCT(Calc!$K$3:$K$22*(Calc!$G$3:$G$22&gt;B2961)*(Calc!$G$3:$G$22-B2961)*Calc!$G$3:$G$22)</f>
        <v/>
      </c>
      <c r="N2961">
        <f>SUMPRODUCT(Calc!$K$3:$K$22*(Calc!$G$3:$G$22&gt;A2961)*(Calc!$G$3:$G$22-A2961)*Calc!$I$3:$I$22)</f>
        <v/>
      </c>
      <c r="O2961">
        <f>SUMPRODUCT(Calc!$K$3:$K$22*(Calc!$G$3:$G$22&gt;B2961)*(Calc!$G$3:$G$22-B2961)*Calc!$I$3:$I$22)</f>
        <v/>
      </c>
      <c r="P2961">
        <f>I2961-G2961^2/k_n</f>
        <v/>
      </c>
      <c r="Q2961">
        <f>J2961-H2961^2/k_n</f>
        <v/>
      </c>
      <c r="R2961">
        <f>K2961-G2961*H2961/k_n</f>
        <v/>
      </c>
      <c r="S2961">
        <f>L2961-LTP3!$D$3*G2961/k_n</f>
        <v/>
      </c>
      <c r="T2961">
        <f>M2961-LTP3!$D$3*H2961/k_n</f>
        <v/>
      </c>
      <c r="U2961">
        <f>N2961-G2961*LTP3!$D$4/k_n</f>
        <v/>
      </c>
      <c r="V2961">
        <f>O2961-H2961*LTP3!$D$4/k_n</f>
        <v/>
      </c>
      <c r="W2961">
        <f>((LTP3!$D$5)*((P2961)*(Q2961)-(R2961)*(R2961))-(S2961)*((S2961)*(Q2961)-(R2961)*(T2961))+(T2961)*((S2961)*(R2961)-(P2961)*(T2961)))</f>
        <v/>
      </c>
      <c r="X2961">
        <f>IF(ABS(W2961)&gt;1E-12,((LTP3!$D$6)*((P2961)*(Q2961)-(R2961)*(R2961))-(S2961)*((U2961)*(Q2961)-(R2961)*(V2961))+(T2961)*((U2961)*(R2961)-(P2961)*(V2961)))/W2961,0)</f>
        <v/>
      </c>
      <c r="Y2961">
        <f>IF(ABS(W2961)&gt;1E-12,((LTP3!$D$5)*((U2961)*(Q2961)-(R2961)*(V2961))-(LTP3!$D$6)*((S2961)*(Q2961)-(R2961)*(T2961))+(T2961)*((S2961)*(V2961)-(U2961)*(T2961)))/W2961,0)</f>
        <v/>
      </c>
      <c r="Z2961">
        <f>IF(ABS(W2961)&gt;1E-12,((LTP3!$D$5)*((P2961)*(V2961)-(U2961)*(R2961))-(S2961)*((S2961)*(V2961)-(U2961)*(T2961))+(LTP3!$D$6)*((S2961)*(R2961)-(P2961)*(T2961)))/W2961,0)</f>
        <v/>
      </c>
      <c r="AA2961">
        <f>LTP3!$D$7-X2961*LTP3!$D$6-Y2961*U2961-Z2961*V2961</f>
        <v/>
      </c>
      <c r="AB2961">
        <f>IF(AND(F2961,ABS(W2961)&gt;1E-12,Y2961&gt;0,Z2961&gt;0),AA2961,1E+300)</f>
        <v/>
      </c>
    </row>
    <row r="2962">
      <c r="A2962">
        <f>$B$3+$B$5*48</f>
        <v/>
      </c>
      <c r="B2962">
        <f>$B$3+$B$5*22</f>
        <v/>
      </c>
      <c r="C2962">
        <f>SUMPRODUCT(Calc!$K$3:$K$22*(Calc!$G$3:$G$22&lt;=A2962))</f>
        <v/>
      </c>
      <c r="D2962">
        <f>SUMPRODUCT(Calc!$K$3:$K$22*(Calc!$G$3:$G$22&gt;A2962)*(Calc!$G$3:$G$22&lt;B2962))</f>
        <v/>
      </c>
      <c r="E2962">
        <f>SUMPRODUCT(Calc!$K$3:$K$22*(Calc!$G$3:$G$22&gt;=B2962))</f>
        <v/>
      </c>
      <c r="F2962">
        <f>AND(k_n&gt;=5,B2962&gt;A2962+1E-9,C2962&gt;=2,D2962&gt;=1,E2962&gt;=2)</f>
        <v/>
      </c>
      <c r="G2962">
        <f>SUMPRODUCT(Calc!$K$3:$K$22*(Calc!$G$3:$G$22&gt;A2962)*(Calc!$G$3:$G$22-A2962))</f>
        <v/>
      </c>
      <c r="H2962">
        <f>SUMPRODUCT(Calc!$K$3:$K$22*(Calc!$G$3:$G$22&gt;B2962)*(Calc!$G$3:$G$22-B2962))</f>
        <v/>
      </c>
      <c r="I2962">
        <f>SUMPRODUCT(Calc!$K$3:$K$22*(Calc!$G$3:$G$22&gt;A2962)*(Calc!$G$3:$G$22-A2962)^2)</f>
        <v/>
      </c>
      <c r="J2962">
        <f>SUMPRODUCT(Calc!$K$3:$K$22*(Calc!$G$3:$G$22&gt;B2962)*(Calc!$G$3:$G$22-B2962)^2)</f>
        <v/>
      </c>
      <c r="K2962">
        <f>SUMPRODUCT(Calc!$K$3:$K$22*(Calc!$G$3:$G$22&gt;A2962)*(Calc!$G$3:$G$22-A2962)*(Calc!$G$3:$G$22&gt;B2962)*(Calc!$G$3:$G$22-B2962))</f>
        <v/>
      </c>
      <c r="L2962">
        <f>SUMPRODUCT(Calc!$K$3:$K$22*(Calc!$G$3:$G$22&gt;A2962)*(Calc!$G$3:$G$22-A2962)*Calc!$G$3:$G$22)</f>
        <v/>
      </c>
      <c r="M2962">
        <f>SUMPRODUCT(Calc!$K$3:$K$22*(Calc!$G$3:$G$22&gt;B2962)*(Calc!$G$3:$G$22-B2962)*Calc!$G$3:$G$22)</f>
        <v/>
      </c>
      <c r="N2962">
        <f>SUMPRODUCT(Calc!$K$3:$K$22*(Calc!$G$3:$G$22&gt;A2962)*(Calc!$G$3:$G$22-A2962)*Calc!$I$3:$I$22)</f>
        <v/>
      </c>
      <c r="O2962">
        <f>SUMPRODUCT(Calc!$K$3:$K$22*(Calc!$G$3:$G$22&gt;B2962)*(Calc!$G$3:$G$22-B2962)*Calc!$I$3:$I$22)</f>
        <v/>
      </c>
      <c r="P2962">
        <f>I2962-G2962^2/k_n</f>
        <v/>
      </c>
      <c r="Q2962">
        <f>J2962-H2962^2/k_n</f>
        <v/>
      </c>
      <c r="R2962">
        <f>K2962-G2962*H2962/k_n</f>
        <v/>
      </c>
      <c r="S2962">
        <f>L2962-LTP3!$D$3*G2962/k_n</f>
        <v/>
      </c>
      <c r="T2962">
        <f>M2962-LTP3!$D$3*H2962/k_n</f>
        <v/>
      </c>
      <c r="U2962">
        <f>N2962-G2962*LTP3!$D$4/k_n</f>
        <v/>
      </c>
      <c r="V2962">
        <f>O2962-H2962*LTP3!$D$4/k_n</f>
        <v/>
      </c>
      <c r="W2962">
        <f>((LTP3!$D$5)*((P2962)*(Q2962)-(R2962)*(R2962))-(S2962)*((S2962)*(Q2962)-(R2962)*(T2962))+(T2962)*((S2962)*(R2962)-(P2962)*(T2962)))</f>
        <v/>
      </c>
      <c r="X2962">
        <f>IF(ABS(W2962)&gt;1E-12,((LTP3!$D$6)*((P2962)*(Q2962)-(R2962)*(R2962))-(S2962)*((U2962)*(Q2962)-(R2962)*(V2962))+(T2962)*((U2962)*(R2962)-(P2962)*(V2962)))/W2962,0)</f>
        <v/>
      </c>
      <c r="Y2962">
        <f>IF(ABS(W2962)&gt;1E-12,((LTP3!$D$5)*((U2962)*(Q2962)-(R2962)*(V2962))-(LTP3!$D$6)*((S2962)*(Q2962)-(R2962)*(T2962))+(T2962)*((S2962)*(V2962)-(U2962)*(T2962)))/W2962,0)</f>
        <v/>
      </c>
      <c r="Z2962">
        <f>IF(ABS(W2962)&gt;1E-12,((LTP3!$D$5)*((P2962)*(V2962)-(U2962)*(R2962))-(S2962)*((S2962)*(V2962)-(U2962)*(T2962))+(LTP3!$D$6)*((S2962)*(R2962)-(P2962)*(T2962)))/W2962,0)</f>
        <v/>
      </c>
      <c r="AA2962">
        <f>LTP3!$D$7-X2962*LTP3!$D$6-Y2962*U2962-Z2962*V2962</f>
        <v/>
      </c>
      <c r="AB2962">
        <f>IF(AND(F2962,ABS(W2962)&gt;1E-12,Y2962&gt;0,Z2962&gt;0),AA2962,1E+300)</f>
        <v/>
      </c>
    </row>
    <row r="2963">
      <c r="A2963">
        <f>$B$3+$B$5*48</f>
        <v/>
      </c>
      <c r="B2963">
        <f>$B$3+$B$5*23</f>
        <v/>
      </c>
      <c r="C2963">
        <f>SUMPRODUCT(Calc!$K$3:$K$22*(Calc!$G$3:$G$22&lt;=A2963))</f>
        <v/>
      </c>
      <c r="D2963">
        <f>SUMPRODUCT(Calc!$K$3:$K$22*(Calc!$G$3:$G$22&gt;A2963)*(Calc!$G$3:$G$22&lt;B2963))</f>
        <v/>
      </c>
      <c r="E2963">
        <f>SUMPRODUCT(Calc!$K$3:$K$22*(Calc!$G$3:$G$22&gt;=B2963))</f>
        <v/>
      </c>
      <c r="F2963">
        <f>AND(k_n&gt;=5,B2963&gt;A2963+1E-9,C2963&gt;=2,D2963&gt;=1,E2963&gt;=2)</f>
        <v/>
      </c>
      <c r="G2963">
        <f>SUMPRODUCT(Calc!$K$3:$K$22*(Calc!$G$3:$G$22&gt;A2963)*(Calc!$G$3:$G$22-A2963))</f>
        <v/>
      </c>
      <c r="H2963">
        <f>SUMPRODUCT(Calc!$K$3:$K$22*(Calc!$G$3:$G$22&gt;B2963)*(Calc!$G$3:$G$22-B2963))</f>
        <v/>
      </c>
      <c r="I2963">
        <f>SUMPRODUCT(Calc!$K$3:$K$22*(Calc!$G$3:$G$22&gt;A2963)*(Calc!$G$3:$G$22-A2963)^2)</f>
        <v/>
      </c>
      <c r="J2963">
        <f>SUMPRODUCT(Calc!$K$3:$K$22*(Calc!$G$3:$G$22&gt;B2963)*(Calc!$G$3:$G$22-B2963)^2)</f>
        <v/>
      </c>
      <c r="K2963">
        <f>SUMPRODUCT(Calc!$K$3:$K$22*(Calc!$G$3:$G$22&gt;A2963)*(Calc!$G$3:$G$22-A2963)*(Calc!$G$3:$G$22&gt;B2963)*(Calc!$G$3:$G$22-B2963))</f>
        <v/>
      </c>
      <c r="L2963">
        <f>SUMPRODUCT(Calc!$K$3:$K$22*(Calc!$G$3:$G$22&gt;A2963)*(Calc!$G$3:$G$22-A2963)*Calc!$G$3:$G$22)</f>
        <v/>
      </c>
      <c r="M2963">
        <f>SUMPRODUCT(Calc!$K$3:$K$22*(Calc!$G$3:$G$22&gt;B2963)*(Calc!$G$3:$G$22-B2963)*Calc!$G$3:$G$22)</f>
        <v/>
      </c>
      <c r="N2963">
        <f>SUMPRODUCT(Calc!$K$3:$K$22*(Calc!$G$3:$G$22&gt;A2963)*(Calc!$G$3:$G$22-A2963)*Calc!$I$3:$I$22)</f>
        <v/>
      </c>
      <c r="O2963">
        <f>SUMPRODUCT(Calc!$K$3:$K$22*(Calc!$G$3:$G$22&gt;B2963)*(Calc!$G$3:$G$22-B2963)*Calc!$I$3:$I$22)</f>
        <v/>
      </c>
      <c r="P2963">
        <f>I2963-G2963^2/k_n</f>
        <v/>
      </c>
      <c r="Q2963">
        <f>J2963-H2963^2/k_n</f>
        <v/>
      </c>
      <c r="R2963">
        <f>K2963-G2963*H2963/k_n</f>
        <v/>
      </c>
      <c r="S2963">
        <f>L2963-LTP3!$D$3*G2963/k_n</f>
        <v/>
      </c>
      <c r="T2963">
        <f>M2963-LTP3!$D$3*H2963/k_n</f>
        <v/>
      </c>
      <c r="U2963">
        <f>N2963-G2963*LTP3!$D$4/k_n</f>
        <v/>
      </c>
      <c r="V2963">
        <f>O2963-H2963*LTP3!$D$4/k_n</f>
        <v/>
      </c>
      <c r="W2963">
        <f>((LTP3!$D$5)*((P2963)*(Q2963)-(R2963)*(R2963))-(S2963)*((S2963)*(Q2963)-(R2963)*(T2963))+(T2963)*((S2963)*(R2963)-(P2963)*(T2963)))</f>
        <v/>
      </c>
      <c r="X2963">
        <f>IF(ABS(W2963)&gt;1E-12,((LTP3!$D$6)*((P2963)*(Q2963)-(R2963)*(R2963))-(S2963)*((U2963)*(Q2963)-(R2963)*(V2963))+(T2963)*((U2963)*(R2963)-(P2963)*(V2963)))/W2963,0)</f>
        <v/>
      </c>
      <c r="Y2963">
        <f>IF(ABS(W2963)&gt;1E-12,((LTP3!$D$5)*((U2963)*(Q2963)-(R2963)*(V2963))-(LTP3!$D$6)*((S2963)*(Q2963)-(R2963)*(T2963))+(T2963)*((S2963)*(V2963)-(U2963)*(T2963)))/W2963,0)</f>
        <v/>
      </c>
      <c r="Z2963">
        <f>IF(ABS(W2963)&gt;1E-12,((LTP3!$D$5)*((P2963)*(V2963)-(U2963)*(R2963))-(S2963)*((S2963)*(V2963)-(U2963)*(T2963))+(LTP3!$D$6)*((S2963)*(R2963)-(P2963)*(T2963)))/W2963,0)</f>
        <v/>
      </c>
      <c r="AA2963">
        <f>LTP3!$D$7-X2963*LTP3!$D$6-Y2963*U2963-Z2963*V2963</f>
        <v/>
      </c>
      <c r="AB2963">
        <f>IF(AND(F2963,ABS(W2963)&gt;1E-12,Y2963&gt;0,Z2963&gt;0),AA2963,1E+300)</f>
        <v/>
      </c>
    </row>
    <row r="2964">
      <c r="A2964">
        <f>$B$3+$B$5*48</f>
        <v/>
      </c>
      <c r="B2964">
        <f>$B$3+$B$5*24</f>
        <v/>
      </c>
      <c r="C2964">
        <f>SUMPRODUCT(Calc!$K$3:$K$22*(Calc!$G$3:$G$22&lt;=A2964))</f>
        <v/>
      </c>
      <c r="D2964">
        <f>SUMPRODUCT(Calc!$K$3:$K$22*(Calc!$G$3:$G$22&gt;A2964)*(Calc!$G$3:$G$22&lt;B2964))</f>
        <v/>
      </c>
      <c r="E2964">
        <f>SUMPRODUCT(Calc!$K$3:$K$22*(Calc!$G$3:$G$22&gt;=B2964))</f>
        <v/>
      </c>
      <c r="F2964">
        <f>AND(k_n&gt;=5,B2964&gt;A2964+1E-9,C2964&gt;=2,D2964&gt;=1,E2964&gt;=2)</f>
        <v/>
      </c>
      <c r="G2964">
        <f>SUMPRODUCT(Calc!$K$3:$K$22*(Calc!$G$3:$G$22&gt;A2964)*(Calc!$G$3:$G$22-A2964))</f>
        <v/>
      </c>
      <c r="H2964">
        <f>SUMPRODUCT(Calc!$K$3:$K$22*(Calc!$G$3:$G$22&gt;B2964)*(Calc!$G$3:$G$22-B2964))</f>
        <v/>
      </c>
      <c r="I2964">
        <f>SUMPRODUCT(Calc!$K$3:$K$22*(Calc!$G$3:$G$22&gt;A2964)*(Calc!$G$3:$G$22-A2964)^2)</f>
        <v/>
      </c>
      <c r="J2964">
        <f>SUMPRODUCT(Calc!$K$3:$K$22*(Calc!$G$3:$G$22&gt;B2964)*(Calc!$G$3:$G$22-B2964)^2)</f>
        <v/>
      </c>
      <c r="K2964">
        <f>SUMPRODUCT(Calc!$K$3:$K$22*(Calc!$G$3:$G$22&gt;A2964)*(Calc!$G$3:$G$22-A2964)*(Calc!$G$3:$G$22&gt;B2964)*(Calc!$G$3:$G$22-B2964))</f>
        <v/>
      </c>
      <c r="L2964">
        <f>SUMPRODUCT(Calc!$K$3:$K$22*(Calc!$G$3:$G$22&gt;A2964)*(Calc!$G$3:$G$22-A2964)*Calc!$G$3:$G$22)</f>
        <v/>
      </c>
      <c r="M2964">
        <f>SUMPRODUCT(Calc!$K$3:$K$22*(Calc!$G$3:$G$22&gt;B2964)*(Calc!$G$3:$G$22-B2964)*Calc!$G$3:$G$22)</f>
        <v/>
      </c>
      <c r="N2964">
        <f>SUMPRODUCT(Calc!$K$3:$K$22*(Calc!$G$3:$G$22&gt;A2964)*(Calc!$G$3:$G$22-A2964)*Calc!$I$3:$I$22)</f>
        <v/>
      </c>
      <c r="O2964">
        <f>SUMPRODUCT(Calc!$K$3:$K$22*(Calc!$G$3:$G$22&gt;B2964)*(Calc!$G$3:$G$22-B2964)*Calc!$I$3:$I$22)</f>
        <v/>
      </c>
      <c r="P2964">
        <f>I2964-G2964^2/k_n</f>
        <v/>
      </c>
      <c r="Q2964">
        <f>J2964-H2964^2/k_n</f>
        <v/>
      </c>
      <c r="R2964">
        <f>K2964-G2964*H2964/k_n</f>
        <v/>
      </c>
      <c r="S2964">
        <f>L2964-LTP3!$D$3*G2964/k_n</f>
        <v/>
      </c>
      <c r="T2964">
        <f>M2964-LTP3!$D$3*H2964/k_n</f>
        <v/>
      </c>
      <c r="U2964">
        <f>N2964-G2964*LTP3!$D$4/k_n</f>
        <v/>
      </c>
      <c r="V2964">
        <f>O2964-H2964*LTP3!$D$4/k_n</f>
        <v/>
      </c>
      <c r="W2964">
        <f>((LTP3!$D$5)*((P2964)*(Q2964)-(R2964)*(R2964))-(S2964)*((S2964)*(Q2964)-(R2964)*(T2964))+(T2964)*((S2964)*(R2964)-(P2964)*(T2964)))</f>
        <v/>
      </c>
      <c r="X2964">
        <f>IF(ABS(W2964)&gt;1E-12,((LTP3!$D$6)*((P2964)*(Q2964)-(R2964)*(R2964))-(S2964)*((U2964)*(Q2964)-(R2964)*(V2964))+(T2964)*((U2964)*(R2964)-(P2964)*(V2964)))/W2964,0)</f>
        <v/>
      </c>
      <c r="Y2964">
        <f>IF(ABS(W2964)&gt;1E-12,((LTP3!$D$5)*((U2964)*(Q2964)-(R2964)*(V2964))-(LTP3!$D$6)*((S2964)*(Q2964)-(R2964)*(T2964))+(T2964)*((S2964)*(V2964)-(U2964)*(T2964)))/W2964,0)</f>
        <v/>
      </c>
      <c r="Z2964">
        <f>IF(ABS(W2964)&gt;1E-12,((LTP3!$D$5)*((P2964)*(V2964)-(U2964)*(R2964))-(S2964)*((S2964)*(V2964)-(U2964)*(T2964))+(LTP3!$D$6)*((S2964)*(R2964)-(P2964)*(T2964)))/W2964,0)</f>
        <v/>
      </c>
      <c r="AA2964">
        <f>LTP3!$D$7-X2964*LTP3!$D$6-Y2964*U2964-Z2964*V2964</f>
        <v/>
      </c>
      <c r="AB2964">
        <f>IF(AND(F2964,ABS(W2964)&gt;1E-12,Y2964&gt;0,Z2964&gt;0),AA2964,1E+300)</f>
        <v/>
      </c>
    </row>
    <row r="2965">
      <c r="A2965">
        <f>$B$3+$B$5*48</f>
        <v/>
      </c>
      <c r="B2965">
        <f>$B$3+$B$5*25</f>
        <v/>
      </c>
      <c r="C2965">
        <f>SUMPRODUCT(Calc!$K$3:$K$22*(Calc!$G$3:$G$22&lt;=A2965))</f>
        <v/>
      </c>
      <c r="D2965">
        <f>SUMPRODUCT(Calc!$K$3:$K$22*(Calc!$G$3:$G$22&gt;A2965)*(Calc!$G$3:$G$22&lt;B2965))</f>
        <v/>
      </c>
      <c r="E2965">
        <f>SUMPRODUCT(Calc!$K$3:$K$22*(Calc!$G$3:$G$22&gt;=B2965))</f>
        <v/>
      </c>
      <c r="F2965">
        <f>AND(k_n&gt;=5,B2965&gt;A2965+1E-9,C2965&gt;=2,D2965&gt;=1,E2965&gt;=2)</f>
        <v/>
      </c>
      <c r="G2965">
        <f>SUMPRODUCT(Calc!$K$3:$K$22*(Calc!$G$3:$G$22&gt;A2965)*(Calc!$G$3:$G$22-A2965))</f>
        <v/>
      </c>
      <c r="H2965">
        <f>SUMPRODUCT(Calc!$K$3:$K$22*(Calc!$G$3:$G$22&gt;B2965)*(Calc!$G$3:$G$22-B2965))</f>
        <v/>
      </c>
      <c r="I2965">
        <f>SUMPRODUCT(Calc!$K$3:$K$22*(Calc!$G$3:$G$22&gt;A2965)*(Calc!$G$3:$G$22-A2965)^2)</f>
        <v/>
      </c>
      <c r="J2965">
        <f>SUMPRODUCT(Calc!$K$3:$K$22*(Calc!$G$3:$G$22&gt;B2965)*(Calc!$G$3:$G$22-B2965)^2)</f>
        <v/>
      </c>
      <c r="K2965">
        <f>SUMPRODUCT(Calc!$K$3:$K$22*(Calc!$G$3:$G$22&gt;A2965)*(Calc!$G$3:$G$22-A2965)*(Calc!$G$3:$G$22&gt;B2965)*(Calc!$G$3:$G$22-B2965))</f>
        <v/>
      </c>
      <c r="L2965">
        <f>SUMPRODUCT(Calc!$K$3:$K$22*(Calc!$G$3:$G$22&gt;A2965)*(Calc!$G$3:$G$22-A2965)*Calc!$G$3:$G$22)</f>
        <v/>
      </c>
      <c r="M2965">
        <f>SUMPRODUCT(Calc!$K$3:$K$22*(Calc!$G$3:$G$22&gt;B2965)*(Calc!$G$3:$G$22-B2965)*Calc!$G$3:$G$22)</f>
        <v/>
      </c>
      <c r="N2965">
        <f>SUMPRODUCT(Calc!$K$3:$K$22*(Calc!$G$3:$G$22&gt;A2965)*(Calc!$G$3:$G$22-A2965)*Calc!$I$3:$I$22)</f>
        <v/>
      </c>
      <c r="O2965">
        <f>SUMPRODUCT(Calc!$K$3:$K$22*(Calc!$G$3:$G$22&gt;B2965)*(Calc!$G$3:$G$22-B2965)*Calc!$I$3:$I$22)</f>
        <v/>
      </c>
      <c r="P2965">
        <f>I2965-G2965^2/k_n</f>
        <v/>
      </c>
      <c r="Q2965">
        <f>J2965-H2965^2/k_n</f>
        <v/>
      </c>
      <c r="R2965">
        <f>K2965-G2965*H2965/k_n</f>
        <v/>
      </c>
      <c r="S2965">
        <f>L2965-LTP3!$D$3*G2965/k_n</f>
        <v/>
      </c>
      <c r="T2965">
        <f>M2965-LTP3!$D$3*H2965/k_n</f>
        <v/>
      </c>
      <c r="U2965">
        <f>N2965-G2965*LTP3!$D$4/k_n</f>
        <v/>
      </c>
      <c r="V2965">
        <f>O2965-H2965*LTP3!$D$4/k_n</f>
        <v/>
      </c>
      <c r="W2965">
        <f>((LTP3!$D$5)*((P2965)*(Q2965)-(R2965)*(R2965))-(S2965)*((S2965)*(Q2965)-(R2965)*(T2965))+(T2965)*((S2965)*(R2965)-(P2965)*(T2965)))</f>
        <v/>
      </c>
      <c r="X2965">
        <f>IF(ABS(W2965)&gt;1E-12,((LTP3!$D$6)*((P2965)*(Q2965)-(R2965)*(R2965))-(S2965)*((U2965)*(Q2965)-(R2965)*(V2965))+(T2965)*((U2965)*(R2965)-(P2965)*(V2965)))/W2965,0)</f>
        <v/>
      </c>
      <c r="Y2965">
        <f>IF(ABS(W2965)&gt;1E-12,((LTP3!$D$5)*((U2965)*(Q2965)-(R2965)*(V2965))-(LTP3!$D$6)*((S2965)*(Q2965)-(R2965)*(T2965))+(T2965)*((S2965)*(V2965)-(U2965)*(T2965)))/W2965,0)</f>
        <v/>
      </c>
      <c r="Z2965">
        <f>IF(ABS(W2965)&gt;1E-12,((LTP3!$D$5)*((P2965)*(V2965)-(U2965)*(R2965))-(S2965)*((S2965)*(V2965)-(U2965)*(T2965))+(LTP3!$D$6)*((S2965)*(R2965)-(P2965)*(T2965)))/W2965,0)</f>
        <v/>
      </c>
      <c r="AA2965">
        <f>LTP3!$D$7-X2965*LTP3!$D$6-Y2965*U2965-Z2965*V2965</f>
        <v/>
      </c>
      <c r="AB2965">
        <f>IF(AND(F2965,ABS(W2965)&gt;1E-12,Y2965&gt;0,Z2965&gt;0),AA2965,1E+300)</f>
        <v/>
      </c>
    </row>
    <row r="2966">
      <c r="A2966">
        <f>$B$3+$B$5*48</f>
        <v/>
      </c>
      <c r="B2966">
        <f>$B$3+$B$5*26</f>
        <v/>
      </c>
      <c r="C2966">
        <f>SUMPRODUCT(Calc!$K$3:$K$22*(Calc!$G$3:$G$22&lt;=A2966))</f>
        <v/>
      </c>
      <c r="D2966">
        <f>SUMPRODUCT(Calc!$K$3:$K$22*(Calc!$G$3:$G$22&gt;A2966)*(Calc!$G$3:$G$22&lt;B2966))</f>
        <v/>
      </c>
      <c r="E2966">
        <f>SUMPRODUCT(Calc!$K$3:$K$22*(Calc!$G$3:$G$22&gt;=B2966))</f>
        <v/>
      </c>
      <c r="F2966">
        <f>AND(k_n&gt;=5,B2966&gt;A2966+1E-9,C2966&gt;=2,D2966&gt;=1,E2966&gt;=2)</f>
        <v/>
      </c>
      <c r="G2966">
        <f>SUMPRODUCT(Calc!$K$3:$K$22*(Calc!$G$3:$G$22&gt;A2966)*(Calc!$G$3:$G$22-A2966))</f>
        <v/>
      </c>
      <c r="H2966">
        <f>SUMPRODUCT(Calc!$K$3:$K$22*(Calc!$G$3:$G$22&gt;B2966)*(Calc!$G$3:$G$22-B2966))</f>
        <v/>
      </c>
      <c r="I2966">
        <f>SUMPRODUCT(Calc!$K$3:$K$22*(Calc!$G$3:$G$22&gt;A2966)*(Calc!$G$3:$G$22-A2966)^2)</f>
        <v/>
      </c>
      <c r="J2966">
        <f>SUMPRODUCT(Calc!$K$3:$K$22*(Calc!$G$3:$G$22&gt;B2966)*(Calc!$G$3:$G$22-B2966)^2)</f>
        <v/>
      </c>
      <c r="K2966">
        <f>SUMPRODUCT(Calc!$K$3:$K$22*(Calc!$G$3:$G$22&gt;A2966)*(Calc!$G$3:$G$22-A2966)*(Calc!$G$3:$G$22&gt;B2966)*(Calc!$G$3:$G$22-B2966))</f>
        <v/>
      </c>
      <c r="L2966">
        <f>SUMPRODUCT(Calc!$K$3:$K$22*(Calc!$G$3:$G$22&gt;A2966)*(Calc!$G$3:$G$22-A2966)*Calc!$G$3:$G$22)</f>
        <v/>
      </c>
      <c r="M2966">
        <f>SUMPRODUCT(Calc!$K$3:$K$22*(Calc!$G$3:$G$22&gt;B2966)*(Calc!$G$3:$G$22-B2966)*Calc!$G$3:$G$22)</f>
        <v/>
      </c>
      <c r="N2966">
        <f>SUMPRODUCT(Calc!$K$3:$K$22*(Calc!$G$3:$G$22&gt;A2966)*(Calc!$G$3:$G$22-A2966)*Calc!$I$3:$I$22)</f>
        <v/>
      </c>
      <c r="O2966">
        <f>SUMPRODUCT(Calc!$K$3:$K$22*(Calc!$G$3:$G$22&gt;B2966)*(Calc!$G$3:$G$22-B2966)*Calc!$I$3:$I$22)</f>
        <v/>
      </c>
      <c r="P2966">
        <f>I2966-G2966^2/k_n</f>
        <v/>
      </c>
      <c r="Q2966">
        <f>J2966-H2966^2/k_n</f>
        <v/>
      </c>
      <c r="R2966">
        <f>K2966-G2966*H2966/k_n</f>
        <v/>
      </c>
      <c r="S2966">
        <f>L2966-LTP3!$D$3*G2966/k_n</f>
        <v/>
      </c>
      <c r="T2966">
        <f>M2966-LTP3!$D$3*H2966/k_n</f>
        <v/>
      </c>
      <c r="U2966">
        <f>N2966-G2966*LTP3!$D$4/k_n</f>
        <v/>
      </c>
      <c r="V2966">
        <f>O2966-H2966*LTP3!$D$4/k_n</f>
        <v/>
      </c>
      <c r="W2966">
        <f>((LTP3!$D$5)*((P2966)*(Q2966)-(R2966)*(R2966))-(S2966)*((S2966)*(Q2966)-(R2966)*(T2966))+(T2966)*((S2966)*(R2966)-(P2966)*(T2966)))</f>
        <v/>
      </c>
      <c r="X2966">
        <f>IF(ABS(W2966)&gt;1E-12,((LTP3!$D$6)*((P2966)*(Q2966)-(R2966)*(R2966))-(S2966)*((U2966)*(Q2966)-(R2966)*(V2966))+(T2966)*((U2966)*(R2966)-(P2966)*(V2966)))/W2966,0)</f>
        <v/>
      </c>
      <c r="Y2966">
        <f>IF(ABS(W2966)&gt;1E-12,((LTP3!$D$5)*((U2966)*(Q2966)-(R2966)*(V2966))-(LTP3!$D$6)*((S2966)*(Q2966)-(R2966)*(T2966))+(T2966)*((S2966)*(V2966)-(U2966)*(T2966)))/W2966,0)</f>
        <v/>
      </c>
      <c r="Z2966">
        <f>IF(ABS(W2966)&gt;1E-12,((LTP3!$D$5)*((P2966)*(V2966)-(U2966)*(R2966))-(S2966)*((S2966)*(V2966)-(U2966)*(T2966))+(LTP3!$D$6)*((S2966)*(R2966)-(P2966)*(T2966)))/W2966,0)</f>
        <v/>
      </c>
      <c r="AA2966">
        <f>LTP3!$D$7-X2966*LTP3!$D$6-Y2966*U2966-Z2966*V2966</f>
        <v/>
      </c>
      <c r="AB2966">
        <f>IF(AND(F2966,ABS(W2966)&gt;1E-12,Y2966&gt;0,Z2966&gt;0),AA2966,1E+300)</f>
        <v/>
      </c>
    </row>
    <row r="2967">
      <c r="A2967">
        <f>$B$3+$B$5*48</f>
        <v/>
      </c>
      <c r="B2967">
        <f>$B$3+$B$5*27</f>
        <v/>
      </c>
      <c r="C2967">
        <f>SUMPRODUCT(Calc!$K$3:$K$22*(Calc!$G$3:$G$22&lt;=A2967))</f>
        <v/>
      </c>
      <c r="D2967">
        <f>SUMPRODUCT(Calc!$K$3:$K$22*(Calc!$G$3:$G$22&gt;A2967)*(Calc!$G$3:$G$22&lt;B2967))</f>
        <v/>
      </c>
      <c r="E2967">
        <f>SUMPRODUCT(Calc!$K$3:$K$22*(Calc!$G$3:$G$22&gt;=B2967))</f>
        <v/>
      </c>
      <c r="F2967">
        <f>AND(k_n&gt;=5,B2967&gt;A2967+1E-9,C2967&gt;=2,D2967&gt;=1,E2967&gt;=2)</f>
        <v/>
      </c>
      <c r="G2967">
        <f>SUMPRODUCT(Calc!$K$3:$K$22*(Calc!$G$3:$G$22&gt;A2967)*(Calc!$G$3:$G$22-A2967))</f>
        <v/>
      </c>
      <c r="H2967">
        <f>SUMPRODUCT(Calc!$K$3:$K$22*(Calc!$G$3:$G$22&gt;B2967)*(Calc!$G$3:$G$22-B2967))</f>
        <v/>
      </c>
      <c r="I2967">
        <f>SUMPRODUCT(Calc!$K$3:$K$22*(Calc!$G$3:$G$22&gt;A2967)*(Calc!$G$3:$G$22-A2967)^2)</f>
        <v/>
      </c>
      <c r="J2967">
        <f>SUMPRODUCT(Calc!$K$3:$K$22*(Calc!$G$3:$G$22&gt;B2967)*(Calc!$G$3:$G$22-B2967)^2)</f>
        <v/>
      </c>
      <c r="K2967">
        <f>SUMPRODUCT(Calc!$K$3:$K$22*(Calc!$G$3:$G$22&gt;A2967)*(Calc!$G$3:$G$22-A2967)*(Calc!$G$3:$G$22&gt;B2967)*(Calc!$G$3:$G$22-B2967))</f>
        <v/>
      </c>
      <c r="L2967">
        <f>SUMPRODUCT(Calc!$K$3:$K$22*(Calc!$G$3:$G$22&gt;A2967)*(Calc!$G$3:$G$22-A2967)*Calc!$G$3:$G$22)</f>
        <v/>
      </c>
      <c r="M2967">
        <f>SUMPRODUCT(Calc!$K$3:$K$22*(Calc!$G$3:$G$22&gt;B2967)*(Calc!$G$3:$G$22-B2967)*Calc!$G$3:$G$22)</f>
        <v/>
      </c>
      <c r="N2967">
        <f>SUMPRODUCT(Calc!$K$3:$K$22*(Calc!$G$3:$G$22&gt;A2967)*(Calc!$G$3:$G$22-A2967)*Calc!$I$3:$I$22)</f>
        <v/>
      </c>
      <c r="O2967">
        <f>SUMPRODUCT(Calc!$K$3:$K$22*(Calc!$G$3:$G$22&gt;B2967)*(Calc!$G$3:$G$22-B2967)*Calc!$I$3:$I$22)</f>
        <v/>
      </c>
      <c r="P2967">
        <f>I2967-G2967^2/k_n</f>
        <v/>
      </c>
      <c r="Q2967">
        <f>J2967-H2967^2/k_n</f>
        <v/>
      </c>
      <c r="R2967">
        <f>K2967-G2967*H2967/k_n</f>
        <v/>
      </c>
      <c r="S2967">
        <f>L2967-LTP3!$D$3*G2967/k_n</f>
        <v/>
      </c>
      <c r="T2967">
        <f>M2967-LTP3!$D$3*H2967/k_n</f>
        <v/>
      </c>
      <c r="U2967">
        <f>N2967-G2967*LTP3!$D$4/k_n</f>
        <v/>
      </c>
      <c r="V2967">
        <f>O2967-H2967*LTP3!$D$4/k_n</f>
        <v/>
      </c>
      <c r="W2967">
        <f>((LTP3!$D$5)*((P2967)*(Q2967)-(R2967)*(R2967))-(S2967)*((S2967)*(Q2967)-(R2967)*(T2967))+(T2967)*((S2967)*(R2967)-(P2967)*(T2967)))</f>
        <v/>
      </c>
      <c r="X2967">
        <f>IF(ABS(W2967)&gt;1E-12,((LTP3!$D$6)*((P2967)*(Q2967)-(R2967)*(R2967))-(S2967)*((U2967)*(Q2967)-(R2967)*(V2967))+(T2967)*((U2967)*(R2967)-(P2967)*(V2967)))/W2967,0)</f>
        <v/>
      </c>
      <c r="Y2967">
        <f>IF(ABS(W2967)&gt;1E-12,((LTP3!$D$5)*((U2967)*(Q2967)-(R2967)*(V2967))-(LTP3!$D$6)*((S2967)*(Q2967)-(R2967)*(T2967))+(T2967)*((S2967)*(V2967)-(U2967)*(T2967)))/W2967,0)</f>
        <v/>
      </c>
      <c r="Z2967">
        <f>IF(ABS(W2967)&gt;1E-12,((LTP3!$D$5)*((P2967)*(V2967)-(U2967)*(R2967))-(S2967)*((S2967)*(V2967)-(U2967)*(T2967))+(LTP3!$D$6)*((S2967)*(R2967)-(P2967)*(T2967)))/W2967,0)</f>
        <v/>
      </c>
      <c r="AA2967">
        <f>LTP3!$D$7-X2967*LTP3!$D$6-Y2967*U2967-Z2967*V2967</f>
        <v/>
      </c>
      <c r="AB2967">
        <f>IF(AND(F2967,ABS(W2967)&gt;1E-12,Y2967&gt;0,Z2967&gt;0),AA2967,1E+300)</f>
        <v/>
      </c>
    </row>
    <row r="2968">
      <c r="A2968">
        <f>$B$3+$B$5*48</f>
        <v/>
      </c>
      <c r="B2968">
        <f>$B$3+$B$5*28</f>
        <v/>
      </c>
      <c r="C2968">
        <f>SUMPRODUCT(Calc!$K$3:$K$22*(Calc!$G$3:$G$22&lt;=A2968))</f>
        <v/>
      </c>
      <c r="D2968">
        <f>SUMPRODUCT(Calc!$K$3:$K$22*(Calc!$G$3:$G$22&gt;A2968)*(Calc!$G$3:$G$22&lt;B2968))</f>
        <v/>
      </c>
      <c r="E2968">
        <f>SUMPRODUCT(Calc!$K$3:$K$22*(Calc!$G$3:$G$22&gt;=B2968))</f>
        <v/>
      </c>
      <c r="F2968">
        <f>AND(k_n&gt;=5,B2968&gt;A2968+1E-9,C2968&gt;=2,D2968&gt;=1,E2968&gt;=2)</f>
        <v/>
      </c>
      <c r="G2968">
        <f>SUMPRODUCT(Calc!$K$3:$K$22*(Calc!$G$3:$G$22&gt;A2968)*(Calc!$G$3:$G$22-A2968))</f>
        <v/>
      </c>
      <c r="H2968">
        <f>SUMPRODUCT(Calc!$K$3:$K$22*(Calc!$G$3:$G$22&gt;B2968)*(Calc!$G$3:$G$22-B2968))</f>
        <v/>
      </c>
      <c r="I2968">
        <f>SUMPRODUCT(Calc!$K$3:$K$22*(Calc!$G$3:$G$22&gt;A2968)*(Calc!$G$3:$G$22-A2968)^2)</f>
        <v/>
      </c>
      <c r="J2968">
        <f>SUMPRODUCT(Calc!$K$3:$K$22*(Calc!$G$3:$G$22&gt;B2968)*(Calc!$G$3:$G$22-B2968)^2)</f>
        <v/>
      </c>
      <c r="K2968">
        <f>SUMPRODUCT(Calc!$K$3:$K$22*(Calc!$G$3:$G$22&gt;A2968)*(Calc!$G$3:$G$22-A2968)*(Calc!$G$3:$G$22&gt;B2968)*(Calc!$G$3:$G$22-B2968))</f>
        <v/>
      </c>
      <c r="L2968">
        <f>SUMPRODUCT(Calc!$K$3:$K$22*(Calc!$G$3:$G$22&gt;A2968)*(Calc!$G$3:$G$22-A2968)*Calc!$G$3:$G$22)</f>
        <v/>
      </c>
      <c r="M2968">
        <f>SUMPRODUCT(Calc!$K$3:$K$22*(Calc!$G$3:$G$22&gt;B2968)*(Calc!$G$3:$G$22-B2968)*Calc!$G$3:$G$22)</f>
        <v/>
      </c>
      <c r="N2968">
        <f>SUMPRODUCT(Calc!$K$3:$K$22*(Calc!$G$3:$G$22&gt;A2968)*(Calc!$G$3:$G$22-A2968)*Calc!$I$3:$I$22)</f>
        <v/>
      </c>
      <c r="O2968">
        <f>SUMPRODUCT(Calc!$K$3:$K$22*(Calc!$G$3:$G$22&gt;B2968)*(Calc!$G$3:$G$22-B2968)*Calc!$I$3:$I$22)</f>
        <v/>
      </c>
      <c r="P2968">
        <f>I2968-G2968^2/k_n</f>
        <v/>
      </c>
      <c r="Q2968">
        <f>J2968-H2968^2/k_n</f>
        <v/>
      </c>
      <c r="R2968">
        <f>K2968-G2968*H2968/k_n</f>
        <v/>
      </c>
      <c r="S2968">
        <f>L2968-LTP3!$D$3*G2968/k_n</f>
        <v/>
      </c>
      <c r="T2968">
        <f>M2968-LTP3!$D$3*H2968/k_n</f>
        <v/>
      </c>
      <c r="U2968">
        <f>N2968-G2968*LTP3!$D$4/k_n</f>
        <v/>
      </c>
      <c r="V2968">
        <f>O2968-H2968*LTP3!$D$4/k_n</f>
        <v/>
      </c>
      <c r="W2968">
        <f>((LTP3!$D$5)*((P2968)*(Q2968)-(R2968)*(R2968))-(S2968)*((S2968)*(Q2968)-(R2968)*(T2968))+(T2968)*((S2968)*(R2968)-(P2968)*(T2968)))</f>
        <v/>
      </c>
      <c r="X2968">
        <f>IF(ABS(W2968)&gt;1E-12,((LTP3!$D$6)*((P2968)*(Q2968)-(R2968)*(R2968))-(S2968)*((U2968)*(Q2968)-(R2968)*(V2968))+(T2968)*((U2968)*(R2968)-(P2968)*(V2968)))/W2968,0)</f>
        <v/>
      </c>
      <c r="Y2968">
        <f>IF(ABS(W2968)&gt;1E-12,((LTP3!$D$5)*((U2968)*(Q2968)-(R2968)*(V2968))-(LTP3!$D$6)*((S2968)*(Q2968)-(R2968)*(T2968))+(T2968)*((S2968)*(V2968)-(U2968)*(T2968)))/W2968,0)</f>
        <v/>
      </c>
      <c r="Z2968">
        <f>IF(ABS(W2968)&gt;1E-12,((LTP3!$D$5)*((P2968)*(V2968)-(U2968)*(R2968))-(S2968)*((S2968)*(V2968)-(U2968)*(T2968))+(LTP3!$D$6)*((S2968)*(R2968)-(P2968)*(T2968)))/W2968,0)</f>
        <v/>
      </c>
      <c r="AA2968">
        <f>LTP3!$D$7-X2968*LTP3!$D$6-Y2968*U2968-Z2968*V2968</f>
        <v/>
      </c>
      <c r="AB2968">
        <f>IF(AND(F2968,ABS(W2968)&gt;1E-12,Y2968&gt;0,Z2968&gt;0),AA2968,1E+300)</f>
        <v/>
      </c>
    </row>
    <row r="2969">
      <c r="A2969">
        <f>$B$3+$B$5*48</f>
        <v/>
      </c>
      <c r="B2969">
        <f>$B$3+$B$5*29</f>
        <v/>
      </c>
      <c r="C2969">
        <f>SUMPRODUCT(Calc!$K$3:$K$22*(Calc!$G$3:$G$22&lt;=A2969))</f>
        <v/>
      </c>
      <c r="D2969">
        <f>SUMPRODUCT(Calc!$K$3:$K$22*(Calc!$G$3:$G$22&gt;A2969)*(Calc!$G$3:$G$22&lt;B2969))</f>
        <v/>
      </c>
      <c r="E2969">
        <f>SUMPRODUCT(Calc!$K$3:$K$22*(Calc!$G$3:$G$22&gt;=B2969))</f>
        <v/>
      </c>
      <c r="F2969">
        <f>AND(k_n&gt;=5,B2969&gt;A2969+1E-9,C2969&gt;=2,D2969&gt;=1,E2969&gt;=2)</f>
        <v/>
      </c>
      <c r="G2969">
        <f>SUMPRODUCT(Calc!$K$3:$K$22*(Calc!$G$3:$G$22&gt;A2969)*(Calc!$G$3:$G$22-A2969))</f>
        <v/>
      </c>
      <c r="H2969">
        <f>SUMPRODUCT(Calc!$K$3:$K$22*(Calc!$G$3:$G$22&gt;B2969)*(Calc!$G$3:$G$22-B2969))</f>
        <v/>
      </c>
      <c r="I2969">
        <f>SUMPRODUCT(Calc!$K$3:$K$22*(Calc!$G$3:$G$22&gt;A2969)*(Calc!$G$3:$G$22-A2969)^2)</f>
        <v/>
      </c>
      <c r="J2969">
        <f>SUMPRODUCT(Calc!$K$3:$K$22*(Calc!$G$3:$G$22&gt;B2969)*(Calc!$G$3:$G$22-B2969)^2)</f>
        <v/>
      </c>
      <c r="K2969">
        <f>SUMPRODUCT(Calc!$K$3:$K$22*(Calc!$G$3:$G$22&gt;A2969)*(Calc!$G$3:$G$22-A2969)*(Calc!$G$3:$G$22&gt;B2969)*(Calc!$G$3:$G$22-B2969))</f>
        <v/>
      </c>
      <c r="L2969">
        <f>SUMPRODUCT(Calc!$K$3:$K$22*(Calc!$G$3:$G$22&gt;A2969)*(Calc!$G$3:$G$22-A2969)*Calc!$G$3:$G$22)</f>
        <v/>
      </c>
      <c r="M2969">
        <f>SUMPRODUCT(Calc!$K$3:$K$22*(Calc!$G$3:$G$22&gt;B2969)*(Calc!$G$3:$G$22-B2969)*Calc!$G$3:$G$22)</f>
        <v/>
      </c>
      <c r="N2969">
        <f>SUMPRODUCT(Calc!$K$3:$K$22*(Calc!$G$3:$G$22&gt;A2969)*(Calc!$G$3:$G$22-A2969)*Calc!$I$3:$I$22)</f>
        <v/>
      </c>
      <c r="O2969">
        <f>SUMPRODUCT(Calc!$K$3:$K$22*(Calc!$G$3:$G$22&gt;B2969)*(Calc!$G$3:$G$22-B2969)*Calc!$I$3:$I$22)</f>
        <v/>
      </c>
      <c r="P2969">
        <f>I2969-G2969^2/k_n</f>
        <v/>
      </c>
      <c r="Q2969">
        <f>J2969-H2969^2/k_n</f>
        <v/>
      </c>
      <c r="R2969">
        <f>K2969-G2969*H2969/k_n</f>
        <v/>
      </c>
      <c r="S2969">
        <f>L2969-LTP3!$D$3*G2969/k_n</f>
        <v/>
      </c>
      <c r="T2969">
        <f>M2969-LTP3!$D$3*H2969/k_n</f>
        <v/>
      </c>
      <c r="U2969">
        <f>N2969-G2969*LTP3!$D$4/k_n</f>
        <v/>
      </c>
      <c r="V2969">
        <f>O2969-H2969*LTP3!$D$4/k_n</f>
        <v/>
      </c>
      <c r="W2969">
        <f>((LTP3!$D$5)*((P2969)*(Q2969)-(R2969)*(R2969))-(S2969)*((S2969)*(Q2969)-(R2969)*(T2969))+(T2969)*((S2969)*(R2969)-(P2969)*(T2969)))</f>
        <v/>
      </c>
      <c r="X2969">
        <f>IF(ABS(W2969)&gt;1E-12,((LTP3!$D$6)*((P2969)*(Q2969)-(R2969)*(R2969))-(S2969)*((U2969)*(Q2969)-(R2969)*(V2969))+(T2969)*((U2969)*(R2969)-(P2969)*(V2969)))/W2969,0)</f>
        <v/>
      </c>
      <c r="Y2969">
        <f>IF(ABS(W2969)&gt;1E-12,((LTP3!$D$5)*((U2969)*(Q2969)-(R2969)*(V2969))-(LTP3!$D$6)*((S2969)*(Q2969)-(R2969)*(T2969))+(T2969)*((S2969)*(V2969)-(U2969)*(T2969)))/W2969,0)</f>
        <v/>
      </c>
      <c r="Z2969">
        <f>IF(ABS(W2969)&gt;1E-12,((LTP3!$D$5)*((P2969)*(V2969)-(U2969)*(R2969))-(S2969)*((S2969)*(V2969)-(U2969)*(T2969))+(LTP3!$D$6)*((S2969)*(R2969)-(P2969)*(T2969)))/W2969,0)</f>
        <v/>
      </c>
      <c r="AA2969">
        <f>LTP3!$D$7-X2969*LTP3!$D$6-Y2969*U2969-Z2969*V2969</f>
        <v/>
      </c>
      <c r="AB2969">
        <f>IF(AND(F2969,ABS(W2969)&gt;1E-12,Y2969&gt;0,Z2969&gt;0),AA2969,1E+300)</f>
        <v/>
      </c>
    </row>
    <row r="2970">
      <c r="A2970">
        <f>$B$3+$B$5*48</f>
        <v/>
      </c>
      <c r="B2970">
        <f>$B$3+$B$5*30</f>
        <v/>
      </c>
      <c r="C2970">
        <f>SUMPRODUCT(Calc!$K$3:$K$22*(Calc!$G$3:$G$22&lt;=A2970))</f>
        <v/>
      </c>
      <c r="D2970">
        <f>SUMPRODUCT(Calc!$K$3:$K$22*(Calc!$G$3:$G$22&gt;A2970)*(Calc!$G$3:$G$22&lt;B2970))</f>
        <v/>
      </c>
      <c r="E2970">
        <f>SUMPRODUCT(Calc!$K$3:$K$22*(Calc!$G$3:$G$22&gt;=B2970))</f>
        <v/>
      </c>
      <c r="F2970">
        <f>AND(k_n&gt;=5,B2970&gt;A2970+1E-9,C2970&gt;=2,D2970&gt;=1,E2970&gt;=2)</f>
        <v/>
      </c>
      <c r="G2970">
        <f>SUMPRODUCT(Calc!$K$3:$K$22*(Calc!$G$3:$G$22&gt;A2970)*(Calc!$G$3:$G$22-A2970))</f>
        <v/>
      </c>
      <c r="H2970">
        <f>SUMPRODUCT(Calc!$K$3:$K$22*(Calc!$G$3:$G$22&gt;B2970)*(Calc!$G$3:$G$22-B2970))</f>
        <v/>
      </c>
      <c r="I2970">
        <f>SUMPRODUCT(Calc!$K$3:$K$22*(Calc!$G$3:$G$22&gt;A2970)*(Calc!$G$3:$G$22-A2970)^2)</f>
        <v/>
      </c>
      <c r="J2970">
        <f>SUMPRODUCT(Calc!$K$3:$K$22*(Calc!$G$3:$G$22&gt;B2970)*(Calc!$G$3:$G$22-B2970)^2)</f>
        <v/>
      </c>
      <c r="K2970">
        <f>SUMPRODUCT(Calc!$K$3:$K$22*(Calc!$G$3:$G$22&gt;A2970)*(Calc!$G$3:$G$22-A2970)*(Calc!$G$3:$G$22&gt;B2970)*(Calc!$G$3:$G$22-B2970))</f>
        <v/>
      </c>
      <c r="L2970">
        <f>SUMPRODUCT(Calc!$K$3:$K$22*(Calc!$G$3:$G$22&gt;A2970)*(Calc!$G$3:$G$22-A2970)*Calc!$G$3:$G$22)</f>
        <v/>
      </c>
      <c r="M2970">
        <f>SUMPRODUCT(Calc!$K$3:$K$22*(Calc!$G$3:$G$22&gt;B2970)*(Calc!$G$3:$G$22-B2970)*Calc!$G$3:$G$22)</f>
        <v/>
      </c>
      <c r="N2970">
        <f>SUMPRODUCT(Calc!$K$3:$K$22*(Calc!$G$3:$G$22&gt;A2970)*(Calc!$G$3:$G$22-A2970)*Calc!$I$3:$I$22)</f>
        <v/>
      </c>
      <c r="O2970">
        <f>SUMPRODUCT(Calc!$K$3:$K$22*(Calc!$G$3:$G$22&gt;B2970)*(Calc!$G$3:$G$22-B2970)*Calc!$I$3:$I$22)</f>
        <v/>
      </c>
      <c r="P2970">
        <f>I2970-G2970^2/k_n</f>
        <v/>
      </c>
      <c r="Q2970">
        <f>J2970-H2970^2/k_n</f>
        <v/>
      </c>
      <c r="R2970">
        <f>K2970-G2970*H2970/k_n</f>
        <v/>
      </c>
      <c r="S2970">
        <f>L2970-LTP3!$D$3*G2970/k_n</f>
        <v/>
      </c>
      <c r="T2970">
        <f>M2970-LTP3!$D$3*H2970/k_n</f>
        <v/>
      </c>
      <c r="U2970">
        <f>N2970-G2970*LTP3!$D$4/k_n</f>
        <v/>
      </c>
      <c r="V2970">
        <f>O2970-H2970*LTP3!$D$4/k_n</f>
        <v/>
      </c>
      <c r="W2970">
        <f>((LTP3!$D$5)*((P2970)*(Q2970)-(R2970)*(R2970))-(S2970)*((S2970)*(Q2970)-(R2970)*(T2970))+(T2970)*((S2970)*(R2970)-(P2970)*(T2970)))</f>
        <v/>
      </c>
      <c r="X2970">
        <f>IF(ABS(W2970)&gt;1E-12,((LTP3!$D$6)*((P2970)*(Q2970)-(R2970)*(R2970))-(S2970)*((U2970)*(Q2970)-(R2970)*(V2970))+(T2970)*((U2970)*(R2970)-(P2970)*(V2970)))/W2970,0)</f>
        <v/>
      </c>
      <c r="Y2970">
        <f>IF(ABS(W2970)&gt;1E-12,((LTP3!$D$5)*((U2970)*(Q2970)-(R2970)*(V2970))-(LTP3!$D$6)*((S2970)*(Q2970)-(R2970)*(T2970))+(T2970)*((S2970)*(V2970)-(U2970)*(T2970)))/W2970,0)</f>
        <v/>
      </c>
      <c r="Z2970">
        <f>IF(ABS(W2970)&gt;1E-12,((LTP3!$D$5)*((P2970)*(V2970)-(U2970)*(R2970))-(S2970)*((S2970)*(V2970)-(U2970)*(T2970))+(LTP3!$D$6)*((S2970)*(R2970)-(P2970)*(T2970)))/W2970,0)</f>
        <v/>
      </c>
      <c r="AA2970">
        <f>LTP3!$D$7-X2970*LTP3!$D$6-Y2970*U2970-Z2970*V2970</f>
        <v/>
      </c>
      <c r="AB2970">
        <f>IF(AND(F2970,ABS(W2970)&gt;1E-12,Y2970&gt;0,Z2970&gt;0),AA2970,1E+300)</f>
        <v/>
      </c>
    </row>
    <row r="2971">
      <c r="A2971">
        <f>$B$3+$B$5*48</f>
        <v/>
      </c>
      <c r="B2971">
        <f>$B$3+$B$5*31</f>
        <v/>
      </c>
      <c r="C2971">
        <f>SUMPRODUCT(Calc!$K$3:$K$22*(Calc!$G$3:$G$22&lt;=A2971))</f>
        <v/>
      </c>
      <c r="D2971">
        <f>SUMPRODUCT(Calc!$K$3:$K$22*(Calc!$G$3:$G$22&gt;A2971)*(Calc!$G$3:$G$22&lt;B2971))</f>
        <v/>
      </c>
      <c r="E2971">
        <f>SUMPRODUCT(Calc!$K$3:$K$22*(Calc!$G$3:$G$22&gt;=B2971))</f>
        <v/>
      </c>
      <c r="F2971">
        <f>AND(k_n&gt;=5,B2971&gt;A2971+1E-9,C2971&gt;=2,D2971&gt;=1,E2971&gt;=2)</f>
        <v/>
      </c>
      <c r="G2971">
        <f>SUMPRODUCT(Calc!$K$3:$K$22*(Calc!$G$3:$G$22&gt;A2971)*(Calc!$G$3:$G$22-A2971))</f>
        <v/>
      </c>
      <c r="H2971">
        <f>SUMPRODUCT(Calc!$K$3:$K$22*(Calc!$G$3:$G$22&gt;B2971)*(Calc!$G$3:$G$22-B2971))</f>
        <v/>
      </c>
      <c r="I2971">
        <f>SUMPRODUCT(Calc!$K$3:$K$22*(Calc!$G$3:$G$22&gt;A2971)*(Calc!$G$3:$G$22-A2971)^2)</f>
        <v/>
      </c>
      <c r="J2971">
        <f>SUMPRODUCT(Calc!$K$3:$K$22*(Calc!$G$3:$G$22&gt;B2971)*(Calc!$G$3:$G$22-B2971)^2)</f>
        <v/>
      </c>
      <c r="K2971">
        <f>SUMPRODUCT(Calc!$K$3:$K$22*(Calc!$G$3:$G$22&gt;A2971)*(Calc!$G$3:$G$22-A2971)*(Calc!$G$3:$G$22&gt;B2971)*(Calc!$G$3:$G$22-B2971))</f>
        <v/>
      </c>
      <c r="L2971">
        <f>SUMPRODUCT(Calc!$K$3:$K$22*(Calc!$G$3:$G$22&gt;A2971)*(Calc!$G$3:$G$22-A2971)*Calc!$G$3:$G$22)</f>
        <v/>
      </c>
      <c r="M2971">
        <f>SUMPRODUCT(Calc!$K$3:$K$22*(Calc!$G$3:$G$22&gt;B2971)*(Calc!$G$3:$G$22-B2971)*Calc!$G$3:$G$22)</f>
        <v/>
      </c>
      <c r="N2971">
        <f>SUMPRODUCT(Calc!$K$3:$K$22*(Calc!$G$3:$G$22&gt;A2971)*(Calc!$G$3:$G$22-A2971)*Calc!$I$3:$I$22)</f>
        <v/>
      </c>
      <c r="O2971">
        <f>SUMPRODUCT(Calc!$K$3:$K$22*(Calc!$G$3:$G$22&gt;B2971)*(Calc!$G$3:$G$22-B2971)*Calc!$I$3:$I$22)</f>
        <v/>
      </c>
      <c r="P2971">
        <f>I2971-G2971^2/k_n</f>
        <v/>
      </c>
      <c r="Q2971">
        <f>J2971-H2971^2/k_n</f>
        <v/>
      </c>
      <c r="R2971">
        <f>K2971-G2971*H2971/k_n</f>
        <v/>
      </c>
      <c r="S2971">
        <f>L2971-LTP3!$D$3*G2971/k_n</f>
        <v/>
      </c>
      <c r="T2971">
        <f>M2971-LTP3!$D$3*H2971/k_n</f>
        <v/>
      </c>
      <c r="U2971">
        <f>N2971-G2971*LTP3!$D$4/k_n</f>
        <v/>
      </c>
      <c r="V2971">
        <f>O2971-H2971*LTP3!$D$4/k_n</f>
        <v/>
      </c>
      <c r="W2971">
        <f>((LTP3!$D$5)*((P2971)*(Q2971)-(R2971)*(R2971))-(S2971)*((S2971)*(Q2971)-(R2971)*(T2971))+(T2971)*((S2971)*(R2971)-(P2971)*(T2971)))</f>
        <v/>
      </c>
      <c r="X2971">
        <f>IF(ABS(W2971)&gt;1E-12,((LTP3!$D$6)*((P2971)*(Q2971)-(R2971)*(R2971))-(S2971)*((U2971)*(Q2971)-(R2971)*(V2971))+(T2971)*((U2971)*(R2971)-(P2971)*(V2971)))/W2971,0)</f>
        <v/>
      </c>
      <c r="Y2971">
        <f>IF(ABS(W2971)&gt;1E-12,((LTP3!$D$5)*((U2971)*(Q2971)-(R2971)*(V2971))-(LTP3!$D$6)*((S2971)*(Q2971)-(R2971)*(T2971))+(T2971)*((S2971)*(V2971)-(U2971)*(T2971)))/W2971,0)</f>
        <v/>
      </c>
      <c r="Z2971">
        <f>IF(ABS(W2971)&gt;1E-12,((LTP3!$D$5)*((P2971)*(V2971)-(U2971)*(R2971))-(S2971)*((S2971)*(V2971)-(U2971)*(T2971))+(LTP3!$D$6)*((S2971)*(R2971)-(P2971)*(T2971)))/W2971,0)</f>
        <v/>
      </c>
      <c r="AA2971">
        <f>LTP3!$D$7-X2971*LTP3!$D$6-Y2971*U2971-Z2971*V2971</f>
        <v/>
      </c>
      <c r="AB2971">
        <f>IF(AND(F2971,ABS(W2971)&gt;1E-12,Y2971&gt;0,Z2971&gt;0),AA2971,1E+300)</f>
        <v/>
      </c>
    </row>
    <row r="2972">
      <c r="A2972">
        <f>$B$3+$B$5*48</f>
        <v/>
      </c>
      <c r="B2972">
        <f>$B$3+$B$5*32</f>
        <v/>
      </c>
      <c r="C2972">
        <f>SUMPRODUCT(Calc!$K$3:$K$22*(Calc!$G$3:$G$22&lt;=A2972))</f>
        <v/>
      </c>
      <c r="D2972">
        <f>SUMPRODUCT(Calc!$K$3:$K$22*(Calc!$G$3:$G$22&gt;A2972)*(Calc!$G$3:$G$22&lt;B2972))</f>
        <v/>
      </c>
      <c r="E2972">
        <f>SUMPRODUCT(Calc!$K$3:$K$22*(Calc!$G$3:$G$22&gt;=B2972))</f>
        <v/>
      </c>
      <c r="F2972">
        <f>AND(k_n&gt;=5,B2972&gt;A2972+1E-9,C2972&gt;=2,D2972&gt;=1,E2972&gt;=2)</f>
        <v/>
      </c>
      <c r="G2972">
        <f>SUMPRODUCT(Calc!$K$3:$K$22*(Calc!$G$3:$G$22&gt;A2972)*(Calc!$G$3:$G$22-A2972))</f>
        <v/>
      </c>
      <c r="H2972">
        <f>SUMPRODUCT(Calc!$K$3:$K$22*(Calc!$G$3:$G$22&gt;B2972)*(Calc!$G$3:$G$22-B2972))</f>
        <v/>
      </c>
      <c r="I2972">
        <f>SUMPRODUCT(Calc!$K$3:$K$22*(Calc!$G$3:$G$22&gt;A2972)*(Calc!$G$3:$G$22-A2972)^2)</f>
        <v/>
      </c>
      <c r="J2972">
        <f>SUMPRODUCT(Calc!$K$3:$K$22*(Calc!$G$3:$G$22&gt;B2972)*(Calc!$G$3:$G$22-B2972)^2)</f>
        <v/>
      </c>
      <c r="K2972">
        <f>SUMPRODUCT(Calc!$K$3:$K$22*(Calc!$G$3:$G$22&gt;A2972)*(Calc!$G$3:$G$22-A2972)*(Calc!$G$3:$G$22&gt;B2972)*(Calc!$G$3:$G$22-B2972))</f>
        <v/>
      </c>
      <c r="L2972">
        <f>SUMPRODUCT(Calc!$K$3:$K$22*(Calc!$G$3:$G$22&gt;A2972)*(Calc!$G$3:$G$22-A2972)*Calc!$G$3:$G$22)</f>
        <v/>
      </c>
      <c r="M2972">
        <f>SUMPRODUCT(Calc!$K$3:$K$22*(Calc!$G$3:$G$22&gt;B2972)*(Calc!$G$3:$G$22-B2972)*Calc!$G$3:$G$22)</f>
        <v/>
      </c>
      <c r="N2972">
        <f>SUMPRODUCT(Calc!$K$3:$K$22*(Calc!$G$3:$G$22&gt;A2972)*(Calc!$G$3:$G$22-A2972)*Calc!$I$3:$I$22)</f>
        <v/>
      </c>
      <c r="O2972">
        <f>SUMPRODUCT(Calc!$K$3:$K$22*(Calc!$G$3:$G$22&gt;B2972)*(Calc!$G$3:$G$22-B2972)*Calc!$I$3:$I$22)</f>
        <v/>
      </c>
      <c r="P2972">
        <f>I2972-G2972^2/k_n</f>
        <v/>
      </c>
      <c r="Q2972">
        <f>J2972-H2972^2/k_n</f>
        <v/>
      </c>
      <c r="R2972">
        <f>K2972-G2972*H2972/k_n</f>
        <v/>
      </c>
      <c r="S2972">
        <f>L2972-LTP3!$D$3*G2972/k_n</f>
        <v/>
      </c>
      <c r="T2972">
        <f>M2972-LTP3!$D$3*H2972/k_n</f>
        <v/>
      </c>
      <c r="U2972">
        <f>N2972-G2972*LTP3!$D$4/k_n</f>
        <v/>
      </c>
      <c r="V2972">
        <f>O2972-H2972*LTP3!$D$4/k_n</f>
        <v/>
      </c>
      <c r="W2972">
        <f>((LTP3!$D$5)*((P2972)*(Q2972)-(R2972)*(R2972))-(S2972)*((S2972)*(Q2972)-(R2972)*(T2972))+(T2972)*((S2972)*(R2972)-(P2972)*(T2972)))</f>
        <v/>
      </c>
      <c r="X2972">
        <f>IF(ABS(W2972)&gt;1E-12,((LTP3!$D$6)*((P2972)*(Q2972)-(R2972)*(R2972))-(S2972)*((U2972)*(Q2972)-(R2972)*(V2972))+(T2972)*((U2972)*(R2972)-(P2972)*(V2972)))/W2972,0)</f>
        <v/>
      </c>
      <c r="Y2972">
        <f>IF(ABS(W2972)&gt;1E-12,((LTP3!$D$5)*((U2972)*(Q2972)-(R2972)*(V2972))-(LTP3!$D$6)*((S2972)*(Q2972)-(R2972)*(T2972))+(T2972)*((S2972)*(V2972)-(U2972)*(T2972)))/W2972,0)</f>
        <v/>
      </c>
      <c r="Z2972">
        <f>IF(ABS(W2972)&gt;1E-12,((LTP3!$D$5)*((P2972)*(V2972)-(U2972)*(R2972))-(S2972)*((S2972)*(V2972)-(U2972)*(T2972))+(LTP3!$D$6)*((S2972)*(R2972)-(P2972)*(T2972)))/W2972,0)</f>
        <v/>
      </c>
      <c r="AA2972">
        <f>LTP3!$D$7-X2972*LTP3!$D$6-Y2972*U2972-Z2972*V2972</f>
        <v/>
      </c>
      <c r="AB2972">
        <f>IF(AND(F2972,ABS(W2972)&gt;1E-12,Y2972&gt;0,Z2972&gt;0),AA2972,1E+300)</f>
        <v/>
      </c>
    </row>
    <row r="2973">
      <c r="A2973">
        <f>$B$3+$B$5*48</f>
        <v/>
      </c>
      <c r="B2973">
        <f>$B$3+$B$5*33</f>
        <v/>
      </c>
      <c r="C2973">
        <f>SUMPRODUCT(Calc!$K$3:$K$22*(Calc!$G$3:$G$22&lt;=A2973))</f>
        <v/>
      </c>
      <c r="D2973">
        <f>SUMPRODUCT(Calc!$K$3:$K$22*(Calc!$G$3:$G$22&gt;A2973)*(Calc!$G$3:$G$22&lt;B2973))</f>
        <v/>
      </c>
      <c r="E2973">
        <f>SUMPRODUCT(Calc!$K$3:$K$22*(Calc!$G$3:$G$22&gt;=B2973))</f>
        <v/>
      </c>
      <c r="F2973">
        <f>AND(k_n&gt;=5,B2973&gt;A2973+1E-9,C2973&gt;=2,D2973&gt;=1,E2973&gt;=2)</f>
        <v/>
      </c>
      <c r="G2973">
        <f>SUMPRODUCT(Calc!$K$3:$K$22*(Calc!$G$3:$G$22&gt;A2973)*(Calc!$G$3:$G$22-A2973))</f>
        <v/>
      </c>
      <c r="H2973">
        <f>SUMPRODUCT(Calc!$K$3:$K$22*(Calc!$G$3:$G$22&gt;B2973)*(Calc!$G$3:$G$22-B2973))</f>
        <v/>
      </c>
      <c r="I2973">
        <f>SUMPRODUCT(Calc!$K$3:$K$22*(Calc!$G$3:$G$22&gt;A2973)*(Calc!$G$3:$G$22-A2973)^2)</f>
        <v/>
      </c>
      <c r="J2973">
        <f>SUMPRODUCT(Calc!$K$3:$K$22*(Calc!$G$3:$G$22&gt;B2973)*(Calc!$G$3:$G$22-B2973)^2)</f>
        <v/>
      </c>
      <c r="K2973">
        <f>SUMPRODUCT(Calc!$K$3:$K$22*(Calc!$G$3:$G$22&gt;A2973)*(Calc!$G$3:$G$22-A2973)*(Calc!$G$3:$G$22&gt;B2973)*(Calc!$G$3:$G$22-B2973))</f>
        <v/>
      </c>
      <c r="L2973">
        <f>SUMPRODUCT(Calc!$K$3:$K$22*(Calc!$G$3:$G$22&gt;A2973)*(Calc!$G$3:$G$22-A2973)*Calc!$G$3:$G$22)</f>
        <v/>
      </c>
      <c r="M2973">
        <f>SUMPRODUCT(Calc!$K$3:$K$22*(Calc!$G$3:$G$22&gt;B2973)*(Calc!$G$3:$G$22-B2973)*Calc!$G$3:$G$22)</f>
        <v/>
      </c>
      <c r="N2973">
        <f>SUMPRODUCT(Calc!$K$3:$K$22*(Calc!$G$3:$G$22&gt;A2973)*(Calc!$G$3:$G$22-A2973)*Calc!$I$3:$I$22)</f>
        <v/>
      </c>
      <c r="O2973">
        <f>SUMPRODUCT(Calc!$K$3:$K$22*(Calc!$G$3:$G$22&gt;B2973)*(Calc!$G$3:$G$22-B2973)*Calc!$I$3:$I$22)</f>
        <v/>
      </c>
      <c r="P2973">
        <f>I2973-G2973^2/k_n</f>
        <v/>
      </c>
      <c r="Q2973">
        <f>J2973-H2973^2/k_n</f>
        <v/>
      </c>
      <c r="R2973">
        <f>K2973-G2973*H2973/k_n</f>
        <v/>
      </c>
      <c r="S2973">
        <f>L2973-LTP3!$D$3*G2973/k_n</f>
        <v/>
      </c>
      <c r="T2973">
        <f>M2973-LTP3!$D$3*H2973/k_n</f>
        <v/>
      </c>
      <c r="U2973">
        <f>N2973-G2973*LTP3!$D$4/k_n</f>
        <v/>
      </c>
      <c r="V2973">
        <f>O2973-H2973*LTP3!$D$4/k_n</f>
        <v/>
      </c>
      <c r="W2973">
        <f>((LTP3!$D$5)*((P2973)*(Q2973)-(R2973)*(R2973))-(S2973)*((S2973)*(Q2973)-(R2973)*(T2973))+(T2973)*((S2973)*(R2973)-(P2973)*(T2973)))</f>
        <v/>
      </c>
      <c r="X2973">
        <f>IF(ABS(W2973)&gt;1E-12,((LTP3!$D$6)*((P2973)*(Q2973)-(R2973)*(R2973))-(S2973)*((U2973)*(Q2973)-(R2973)*(V2973))+(T2973)*((U2973)*(R2973)-(P2973)*(V2973)))/W2973,0)</f>
        <v/>
      </c>
      <c r="Y2973">
        <f>IF(ABS(W2973)&gt;1E-12,((LTP3!$D$5)*((U2973)*(Q2973)-(R2973)*(V2973))-(LTP3!$D$6)*((S2973)*(Q2973)-(R2973)*(T2973))+(T2973)*((S2973)*(V2973)-(U2973)*(T2973)))/W2973,0)</f>
        <v/>
      </c>
      <c r="Z2973">
        <f>IF(ABS(W2973)&gt;1E-12,((LTP3!$D$5)*((P2973)*(V2973)-(U2973)*(R2973))-(S2973)*((S2973)*(V2973)-(U2973)*(T2973))+(LTP3!$D$6)*((S2973)*(R2973)-(P2973)*(T2973)))/W2973,0)</f>
        <v/>
      </c>
      <c r="AA2973">
        <f>LTP3!$D$7-X2973*LTP3!$D$6-Y2973*U2973-Z2973*V2973</f>
        <v/>
      </c>
      <c r="AB2973">
        <f>IF(AND(F2973,ABS(W2973)&gt;1E-12,Y2973&gt;0,Z2973&gt;0),AA2973,1E+300)</f>
        <v/>
      </c>
    </row>
    <row r="2974">
      <c r="A2974">
        <f>$B$3+$B$5*48</f>
        <v/>
      </c>
      <c r="B2974">
        <f>$B$3+$B$5*34</f>
        <v/>
      </c>
      <c r="C2974">
        <f>SUMPRODUCT(Calc!$K$3:$K$22*(Calc!$G$3:$G$22&lt;=A2974))</f>
        <v/>
      </c>
      <c r="D2974">
        <f>SUMPRODUCT(Calc!$K$3:$K$22*(Calc!$G$3:$G$22&gt;A2974)*(Calc!$G$3:$G$22&lt;B2974))</f>
        <v/>
      </c>
      <c r="E2974">
        <f>SUMPRODUCT(Calc!$K$3:$K$22*(Calc!$G$3:$G$22&gt;=B2974))</f>
        <v/>
      </c>
      <c r="F2974">
        <f>AND(k_n&gt;=5,B2974&gt;A2974+1E-9,C2974&gt;=2,D2974&gt;=1,E2974&gt;=2)</f>
        <v/>
      </c>
      <c r="G2974">
        <f>SUMPRODUCT(Calc!$K$3:$K$22*(Calc!$G$3:$G$22&gt;A2974)*(Calc!$G$3:$G$22-A2974))</f>
        <v/>
      </c>
      <c r="H2974">
        <f>SUMPRODUCT(Calc!$K$3:$K$22*(Calc!$G$3:$G$22&gt;B2974)*(Calc!$G$3:$G$22-B2974))</f>
        <v/>
      </c>
      <c r="I2974">
        <f>SUMPRODUCT(Calc!$K$3:$K$22*(Calc!$G$3:$G$22&gt;A2974)*(Calc!$G$3:$G$22-A2974)^2)</f>
        <v/>
      </c>
      <c r="J2974">
        <f>SUMPRODUCT(Calc!$K$3:$K$22*(Calc!$G$3:$G$22&gt;B2974)*(Calc!$G$3:$G$22-B2974)^2)</f>
        <v/>
      </c>
      <c r="K2974">
        <f>SUMPRODUCT(Calc!$K$3:$K$22*(Calc!$G$3:$G$22&gt;A2974)*(Calc!$G$3:$G$22-A2974)*(Calc!$G$3:$G$22&gt;B2974)*(Calc!$G$3:$G$22-B2974))</f>
        <v/>
      </c>
      <c r="L2974">
        <f>SUMPRODUCT(Calc!$K$3:$K$22*(Calc!$G$3:$G$22&gt;A2974)*(Calc!$G$3:$G$22-A2974)*Calc!$G$3:$G$22)</f>
        <v/>
      </c>
      <c r="M2974">
        <f>SUMPRODUCT(Calc!$K$3:$K$22*(Calc!$G$3:$G$22&gt;B2974)*(Calc!$G$3:$G$22-B2974)*Calc!$G$3:$G$22)</f>
        <v/>
      </c>
      <c r="N2974">
        <f>SUMPRODUCT(Calc!$K$3:$K$22*(Calc!$G$3:$G$22&gt;A2974)*(Calc!$G$3:$G$22-A2974)*Calc!$I$3:$I$22)</f>
        <v/>
      </c>
      <c r="O2974">
        <f>SUMPRODUCT(Calc!$K$3:$K$22*(Calc!$G$3:$G$22&gt;B2974)*(Calc!$G$3:$G$22-B2974)*Calc!$I$3:$I$22)</f>
        <v/>
      </c>
      <c r="P2974">
        <f>I2974-G2974^2/k_n</f>
        <v/>
      </c>
      <c r="Q2974">
        <f>J2974-H2974^2/k_n</f>
        <v/>
      </c>
      <c r="R2974">
        <f>K2974-G2974*H2974/k_n</f>
        <v/>
      </c>
      <c r="S2974">
        <f>L2974-LTP3!$D$3*G2974/k_n</f>
        <v/>
      </c>
      <c r="T2974">
        <f>M2974-LTP3!$D$3*H2974/k_n</f>
        <v/>
      </c>
      <c r="U2974">
        <f>N2974-G2974*LTP3!$D$4/k_n</f>
        <v/>
      </c>
      <c r="V2974">
        <f>O2974-H2974*LTP3!$D$4/k_n</f>
        <v/>
      </c>
      <c r="W2974">
        <f>((LTP3!$D$5)*((P2974)*(Q2974)-(R2974)*(R2974))-(S2974)*((S2974)*(Q2974)-(R2974)*(T2974))+(T2974)*((S2974)*(R2974)-(P2974)*(T2974)))</f>
        <v/>
      </c>
      <c r="X2974">
        <f>IF(ABS(W2974)&gt;1E-12,((LTP3!$D$6)*((P2974)*(Q2974)-(R2974)*(R2974))-(S2974)*((U2974)*(Q2974)-(R2974)*(V2974))+(T2974)*((U2974)*(R2974)-(P2974)*(V2974)))/W2974,0)</f>
        <v/>
      </c>
      <c r="Y2974">
        <f>IF(ABS(W2974)&gt;1E-12,((LTP3!$D$5)*((U2974)*(Q2974)-(R2974)*(V2974))-(LTP3!$D$6)*((S2974)*(Q2974)-(R2974)*(T2974))+(T2974)*((S2974)*(V2974)-(U2974)*(T2974)))/W2974,0)</f>
        <v/>
      </c>
      <c r="Z2974">
        <f>IF(ABS(W2974)&gt;1E-12,((LTP3!$D$5)*((P2974)*(V2974)-(U2974)*(R2974))-(S2974)*((S2974)*(V2974)-(U2974)*(T2974))+(LTP3!$D$6)*((S2974)*(R2974)-(P2974)*(T2974)))/W2974,0)</f>
        <v/>
      </c>
      <c r="AA2974">
        <f>LTP3!$D$7-X2974*LTP3!$D$6-Y2974*U2974-Z2974*V2974</f>
        <v/>
      </c>
      <c r="AB2974">
        <f>IF(AND(F2974,ABS(W2974)&gt;1E-12,Y2974&gt;0,Z2974&gt;0),AA2974,1E+300)</f>
        <v/>
      </c>
    </row>
    <row r="2975">
      <c r="A2975">
        <f>$B$3+$B$5*48</f>
        <v/>
      </c>
      <c r="B2975">
        <f>$B$3+$B$5*35</f>
        <v/>
      </c>
      <c r="C2975">
        <f>SUMPRODUCT(Calc!$K$3:$K$22*(Calc!$G$3:$G$22&lt;=A2975))</f>
        <v/>
      </c>
      <c r="D2975">
        <f>SUMPRODUCT(Calc!$K$3:$K$22*(Calc!$G$3:$G$22&gt;A2975)*(Calc!$G$3:$G$22&lt;B2975))</f>
        <v/>
      </c>
      <c r="E2975">
        <f>SUMPRODUCT(Calc!$K$3:$K$22*(Calc!$G$3:$G$22&gt;=B2975))</f>
        <v/>
      </c>
      <c r="F2975">
        <f>AND(k_n&gt;=5,B2975&gt;A2975+1E-9,C2975&gt;=2,D2975&gt;=1,E2975&gt;=2)</f>
        <v/>
      </c>
      <c r="G2975">
        <f>SUMPRODUCT(Calc!$K$3:$K$22*(Calc!$G$3:$G$22&gt;A2975)*(Calc!$G$3:$G$22-A2975))</f>
        <v/>
      </c>
      <c r="H2975">
        <f>SUMPRODUCT(Calc!$K$3:$K$22*(Calc!$G$3:$G$22&gt;B2975)*(Calc!$G$3:$G$22-B2975))</f>
        <v/>
      </c>
      <c r="I2975">
        <f>SUMPRODUCT(Calc!$K$3:$K$22*(Calc!$G$3:$G$22&gt;A2975)*(Calc!$G$3:$G$22-A2975)^2)</f>
        <v/>
      </c>
      <c r="J2975">
        <f>SUMPRODUCT(Calc!$K$3:$K$22*(Calc!$G$3:$G$22&gt;B2975)*(Calc!$G$3:$G$22-B2975)^2)</f>
        <v/>
      </c>
      <c r="K2975">
        <f>SUMPRODUCT(Calc!$K$3:$K$22*(Calc!$G$3:$G$22&gt;A2975)*(Calc!$G$3:$G$22-A2975)*(Calc!$G$3:$G$22&gt;B2975)*(Calc!$G$3:$G$22-B2975))</f>
        <v/>
      </c>
      <c r="L2975">
        <f>SUMPRODUCT(Calc!$K$3:$K$22*(Calc!$G$3:$G$22&gt;A2975)*(Calc!$G$3:$G$22-A2975)*Calc!$G$3:$G$22)</f>
        <v/>
      </c>
      <c r="M2975">
        <f>SUMPRODUCT(Calc!$K$3:$K$22*(Calc!$G$3:$G$22&gt;B2975)*(Calc!$G$3:$G$22-B2975)*Calc!$G$3:$G$22)</f>
        <v/>
      </c>
      <c r="N2975">
        <f>SUMPRODUCT(Calc!$K$3:$K$22*(Calc!$G$3:$G$22&gt;A2975)*(Calc!$G$3:$G$22-A2975)*Calc!$I$3:$I$22)</f>
        <v/>
      </c>
      <c r="O2975">
        <f>SUMPRODUCT(Calc!$K$3:$K$22*(Calc!$G$3:$G$22&gt;B2975)*(Calc!$G$3:$G$22-B2975)*Calc!$I$3:$I$22)</f>
        <v/>
      </c>
      <c r="P2975">
        <f>I2975-G2975^2/k_n</f>
        <v/>
      </c>
      <c r="Q2975">
        <f>J2975-H2975^2/k_n</f>
        <v/>
      </c>
      <c r="R2975">
        <f>K2975-G2975*H2975/k_n</f>
        <v/>
      </c>
      <c r="S2975">
        <f>L2975-LTP3!$D$3*G2975/k_n</f>
        <v/>
      </c>
      <c r="T2975">
        <f>M2975-LTP3!$D$3*H2975/k_n</f>
        <v/>
      </c>
      <c r="U2975">
        <f>N2975-G2975*LTP3!$D$4/k_n</f>
        <v/>
      </c>
      <c r="V2975">
        <f>O2975-H2975*LTP3!$D$4/k_n</f>
        <v/>
      </c>
      <c r="W2975">
        <f>((LTP3!$D$5)*((P2975)*(Q2975)-(R2975)*(R2975))-(S2975)*((S2975)*(Q2975)-(R2975)*(T2975))+(T2975)*((S2975)*(R2975)-(P2975)*(T2975)))</f>
        <v/>
      </c>
      <c r="X2975">
        <f>IF(ABS(W2975)&gt;1E-12,((LTP3!$D$6)*((P2975)*(Q2975)-(R2975)*(R2975))-(S2975)*((U2975)*(Q2975)-(R2975)*(V2975))+(T2975)*((U2975)*(R2975)-(P2975)*(V2975)))/W2975,0)</f>
        <v/>
      </c>
      <c r="Y2975">
        <f>IF(ABS(W2975)&gt;1E-12,((LTP3!$D$5)*((U2975)*(Q2975)-(R2975)*(V2975))-(LTP3!$D$6)*((S2975)*(Q2975)-(R2975)*(T2975))+(T2975)*((S2975)*(V2975)-(U2975)*(T2975)))/W2975,0)</f>
        <v/>
      </c>
      <c r="Z2975">
        <f>IF(ABS(W2975)&gt;1E-12,((LTP3!$D$5)*((P2975)*(V2975)-(U2975)*(R2975))-(S2975)*((S2975)*(V2975)-(U2975)*(T2975))+(LTP3!$D$6)*((S2975)*(R2975)-(P2975)*(T2975)))/W2975,0)</f>
        <v/>
      </c>
      <c r="AA2975">
        <f>LTP3!$D$7-X2975*LTP3!$D$6-Y2975*U2975-Z2975*V2975</f>
        <v/>
      </c>
      <c r="AB2975">
        <f>IF(AND(F2975,ABS(W2975)&gt;1E-12,Y2975&gt;0,Z2975&gt;0),AA2975,1E+300)</f>
        <v/>
      </c>
    </row>
    <row r="2976">
      <c r="A2976">
        <f>$B$3+$B$5*48</f>
        <v/>
      </c>
      <c r="B2976">
        <f>$B$3+$B$5*36</f>
        <v/>
      </c>
      <c r="C2976">
        <f>SUMPRODUCT(Calc!$K$3:$K$22*(Calc!$G$3:$G$22&lt;=A2976))</f>
        <v/>
      </c>
      <c r="D2976">
        <f>SUMPRODUCT(Calc!$K$3:$K$22*(Calc!$G$3:$G$22&gt;A2976)*(Calc!$G$3:$G$22&lt;B2976))</f>
        <v/>
      </c>
      <c r="E2976">
        <f>SUMPRODUCT(Calc!$K$3:$K$22*(Calc!$G$3:$G$22&gt;=B2976))</f>
        <v/>
      </c>
      <c r="F2976">
        <f>AND(k_n&gt;=5,B2976&gt;A2976+1E-9,C2976&gt;=2,D2976&gt;=1,E2976&gt;=2)</f>
        <v/>
      </c>
      <c r="G2976">
        <f>SUMPRODUCT(Calc!$K$3:$K$22*(Calc!$G$3:$G$22&gt;A2976)*(Calc!$G$3:$G$22-A2976))</f>
        <v/>
      </c>
      <c r="H2976">
        <f>SUMPRODUCT(Calc!$K$3:$K$22*(Calc!$G$3:$G$22&gt;B2976)*(Calc!$G$3:$G$22-B2976))</f>
        <v/>
      </c>
      <c r="I2976">
        <f>SUMPRODUCT(Calc!$K$3:$K$22*(Calc!$G$3:$G$22&gt;A2976)*(Calc!$G$3:$G$22-A2976)^2)</f>
        <v/>
      </c>
      <c r="J2976">
        <f>SUMPRODUCT(Calc!$K$3:$K$22*(Calc!$G$3:$G$22&gt;B2976)*(Calc!$G$3:$G$22-B2976)^2)</f>
        <v/>
      </c>
      <c r="K2976">
        <f>SUMPRODUCT(Calc!$K$3:$K$22*(Calc!$G$3:$G$22&gt;A2976)*(Calc!$G$3:$G$22-A2976)*(Calc!$G$3:$G$22&gt;B2976)*(Calc!$G$3:$G$22-B2976))</f>
        <v/>
      </c>
      <c r="L2976">
        <f>SUMPRODUCT(Calc!$K$3:$K$22*(Calc!$G$3:$G$22&gt;A2976)*(Calc!$G$3:$G$22-A2976)*Calc!$G$3:$G$22)</f>
        <v/>
      </c>
      <c r="M2976">
        <f>SUMPRODUCT(Calc!$K$3:$K$22*(Calc!$G$3:$G$22&gt;B2976)*(Calc!$G$3:$G$22-B2976)*Calc!$G$3:$G$22)</f>
        <v/>
      </c>
      <c r="N2976">
        <f>SUMPRODUCT(Calc!$K$3:$K$22*(Calc!$G$3:$G$22&gt;A2976)*(Calc!$G$3:$G$22-A2976)*Calc!$I$3:$I$22)</f>
        <v/>
      </c>
      <c r="O2976">
        <f>SUMPRODUCT(Calc!$K$3:$K$22*(Calc!$G$3:$G$22&gt;B2976)*(Calc!$G$3:$G$22-B2976)*Calc!$I$3:$I$22)</f>
        <v/>
      </c>
      <c r="P2976">
        <f>I2976-G2976^2/k_n</f>
        <v/>
      </c>
      <c r="Q2976">
        <f>J2976-H2976^2/k_n</f>
        <v/>
      </c>
      <c r="R2976">
        <f>K2976-G2976*H2976/k_n</f>
        <v/>
      </c>
      <c r="S2976">
        <f>L2976-LTP3!$D$3*G2976/k_n</f>
        <v/>
      </c>
      <c r="T2976">
        <f>M2976-LTP3!$D$3*H2976/k_n</f>
        <v/>
      </c>
      <c r="U2976">
        <f>N2976-G2976*LTP3!$D$4/k_n</f>
        <v/>
      </c>
      <c r="V2976">
        <f>O2976-H2976*LTP3!$D$4/k_n</f>
        <v/>
      </c>
      <c r="W2976">
        <f>((LTP3!$D$5)*((P2976)*(Q2976)-(R2976)*(R2976))-(S2976)*((S2976)*(Q2976)-(R2976)*(T2976))+(T2976)*((S2976)*(R2976)-(P2976)*(T2976)))</f>
        <v/>
      </c>
      <c r="X2976">
        <f>IF(ABS(W2976)&gt;1E-12,((LTP3!$D$6)*((P2976)*(Q2976)-(R2976)*(R2976))-(S2976)*((U2976)*(Q2976)-(R2976)*(V2976))+(T2976)*((U2976)*(R2976)-(P2976)*(V2976)))/W2976,0)</f>
        <v/>
      </c>
      <c r="Y2976">
        <f>IF(ABS(W2976)&gt;1E-12,((LTP3!$D$5)*((U2976)*(Q2976)-(R2976)*(V2976))-(LTP3!$D$6)*((S2976)*(Q2976)-(R2976)*(T2976))+(T2976)*((S2976)*(V2976)-(U2976)*(T2976)))/W2976,0)</f>
        <v/>
      </c>
      <c r="Z2976">
        <f>IF(ABS(W2976)&gt;1E-12,((LTP3!$D$5)*((P2976)*(V2976)-(U2976)*(R2976))-(S2976)*((S2976)*(V2976)-(U2976)*(T2976))+(LTP3!$D$6)*((S2976)*(R2976)-(P2976)*(T2976)))/W2976,0)</f>
        <v/>
      </c>
      <c r="AA2976">
        <f>LTP3!$D$7-X2976*LTP3!$D$6-Y2976*U2976-Z2976*V2976</f>
        <v/>
      </c>
      <c r="AB2976">
        <f>IF(AND(F2976,ABS(W2976)&gt;1E-12,Y2976&gt;0,Z2976&gt;0),AA2976,1E+300)</f>
        <v/>
      </c>
    </row>
    <row r="2977">
      <c r="A2977">
        <f>$B$3+$B$5*48</f>
        <v/>
      </c>
      <c r="B2977">
        <f>$B$3+$B$5*37</f>
        <v/>
      </c>
      <c r="C2977">
        <f>SUMPRODUCT(Calc!$K$3:$K$22*(Calc!$G$3:$G$22&lt;=A2977))</f>
        <v/>
      </c>
      <c r="D2977">
        <f>SUMPRODUCT(Calc!$K$3:$K$22*(Calc!$G$3:$G$22&gt;A2977)*(Calc!$G$3:$G$22&lt;B2977))</f>
        <v/>
      </c>
      <c r="E2977">
        <f>SUMPRODUCT(Calc!$K$3:$K$22*(Calc!$G$3:$G$22&gt;=B2977))</f>
        <v/>
      </c>
      <c r="F2977">
        <f>AND(k_n&gt;=5,B2977&gt;A2977+1E-9,C2977&gt;=2,D2977&gt;=1,E2977&gt;=2)</f>
        <v/>
      </c>
      <c r="G2977">
        <f>SUMPRODUCT(Calc!$K$3:$K$22*(Calc!$G$3:$G$22&gt;A2977)*(Calc!$G$3:$G$22-A2977))</f>
        <v/>
      </c>
      <c r="H2977">
        <f>SUMPRODUCT(Calc!$K$3:$K$22*(Calc!$G$3:$G$22&gt;B2977)*(Calc!$G$3:$G$22-B2977))</f>
        <v/>
      </c>
      <c r="I2977">
        <f>SUMPRODUCT(Calc!$K$3:$K$22*(Calc!$G$3:$G$22&gt;A2977)*(Calc!$G$3:$G$22-A2977)^2)</f>
        <v/>
      </c>
      <c r="J2977">
        <f>SUMPRODUCT(Calc!$K$3:$K$22*(Calc!$G$3:$G$22&gt;B2977)*(Calc!$G$3:$G$22-B2977)^2)</f>
        <v/>
      </c>
      <c r="K2977">
        <f>SUMPRODUCT(Calc!$K$3:$K$22*(Calc!$G$3:$G$22&gt;A2977)*(Calc!$G$3:$G$22-A2977)*(Calc!$G$3:$G$22&gt;B2977)*(Calc!$G$3:$G$22-B2977))</f>
        <v/>
      </c>
      <c r="L2977">
        <f>SUMPRODUCT(Calc!$K$3:$K$22*(Calc!$G$3:$G$22&gt;A2977)*(Calc!$G$3:$G$22-A2977)*Calc!$G$3:$G$22)</f>
        <v/>
      </c>
      <c r="M2977">
        <f>SUMPRODUCT(Calc!$K$3:$K$22*(Calc!$G$3:$G$22&gt;B2977)*(Calc!$G$3:$G$22-B2977)*Calc!$G$3:$G$22)</f>
        <v/>
      </c>
      <c r="N2977">
        <f>SUMPRODUCT(Calc!$K$3:$K$22*(Calc!$G$3:$G$22&gt;A2977)*(Calc!$G$3:$G$22-A2977)*Calc!$I$3:$I$22)</f>
        <v/>
      </c>
      <c r="O2977">
        <f>SUMPRODUCT(Calc!$K$3:$K$22*(Calc!$G$3:$G$22&gt;B2977)*(Calc!$G$3:$G$22-B2977)*Calc!$I$3:$I$22)</f>
        <v/>
      </c>
      <c r="P2977">
        <f>I2977-G2977^2/k_n</f>
        <v/>
      </c>
      <c r="Q2977">
        <f>J2977-H2977^2/k_n</f>
        <v/>
      </c>
      <c r="R2977">
        <f>K2977-G2977*H2977/k_n</f>
        <v/>
      </c>
      <c r="S2977">
        <f>L2977-LTP3!$D$3*G2977/k_n</f>
        <v/>
      </c>
      <c r="T2977">
        <f>M2977-LTP3!$D$3*H2977/k_n</f>
        <v/>
      </c>
      <c r="U2977">
        <f>N2977-G2977*LTP3!$D$4/k_n</f>
        <v/>
      </c>
      <c r="V2977">
        <f>O2977-H2977*LTP3!$D$4/k_n</f>
        <v/>
      </c>
      <c r="W2977">
        <f>((LTP3!$D$5)*((P2977)*(Q2977)-(R2977)*(R2977))-(S2977)*((S2977)*(Q2977)-(R2977)*(T2977))+(T2977)*((S2977)*(R2977)-(P2977)*(T2977)))</f>
        <v/>
      </c>
      <c r="X2977">
        <f>IF(ABS(W2977)&gt;1E-12,((LTP3!$D$6)*((P2977)*(Q2977)-(R2977)*(R2977))-(S2977)*((U2977)*(Q2977)-(R2977)*(V2977))+(T2977)*((U2977)*(R2977)-(P2977)*(V2977)))/W2977,0)</f>
        <v/>
      </c>
      <c r="Y2977">
        <f>IF(ABS(W2977)&gt;1E-12,((LTP3!$D$5)*((U2977)*(Q2977)-(R2977)*(V2977))-(LTP3!$D$6)*((S2977)*(Q2977)-(R2977)*(T2977))+(T2977)*((S2977)*(V2977)-(U2977)*(T2977)))/W2977,0)</f>
        <v/>
      </c>
      <c r="Z2977">
        <f>IF(ABS(W2977)&gt;1E-12,((LTP3!$D$5)*((P2977)*(V2977)-(U2977)*(R2977))-(S2977)*((S2977)*(V2977)-(U2977)*(T2977))+(LTP3!$D$6)*((S2977)*(R2977)-(P2977)*(T2977)))/W2977,0)</f>
        <v/>
      </c>
      <c r="AA2977">
        <f>LTP3!$D$7-X2977*LTP3!$D$6-Y2977*U2977-Z2977*V2977</f>
        <v/>
      </c>
      <c r="AB2977">
        <f>IF(AND(F2977,ABS(W2977)&gt;1E-12,Y2977&gt;0,Z2977&gt;0),AA2977,1E+300)</f>
        <v/>
      </c>
    </row>
    <row r="2978">
      <c r="A2978">
        <f>$B$3+$B$5*48</f>
        <v/>
      </c>
      <c r="B2978">
        <f>$B$3+$B$5*38</f>
        <v/>
      </c>
      <c r="C2978">
        <f>SUMPRODUCT(Calc!$K$3:$K$22*(Calc!$G$3:$G$22&lt;=A2978))</f>
        <v/>
      </c>
      <c r="D2978">
        <f>SUMPRODUCT(Calc!$K$3:$K$22*(Calc!$G$3:$G$22&gt;A2978)*(Calc!$G$3:$G$22&lt;B2978))</f>
        <v/>
      </c>
      <c r="E2978">
        <f>SUMPRODUCT(Calc!$K$3:$K$22*(Calc!$G$3:$G$22&gt;=B2978))</f>
        <v/>
      </c>
      <c r="F2978">
        <f>AND(k_n&gt;=5,B2978&gt;A2978+1E-9,C2978&gt;=2,D2978&gt;=1,E2978&gt;=2)</f>
        <v/>
      </c>
      <c r="G2978">
        <f>SUMPRODUCT(Calc!$K$3:$K$22*(Calc!$G$3:$G$22&gt;A2978)*(Calc!$G$3:$G$22-A2978))</f>
        <v/>
      </c>
      <c r="H2978">
        <f>SUMPRODUCT(Calc!$K$3:$K$22*(Calc!$G$3:$G$22&gt;B2978)*(Calc!$G$3:$G$22-B2978))</f>
        <v/>
      </c>
      <c r="I2978">
        <f>SUMPRODUCT(Calc!$K$3:$K$22*(Calc!$G$3:$G$22&gt;A2978)*(Calc!$G$3:$G$22-A2978)^2)</f>
        <v/>
      </c>
      <c r="J2978">
        <f>SUMPRODUCT(Calc!$K$3:$K$22*(Calc!$G$3:$G$22&gt;B2978)*(Calc!$G$3:$G$22-B2978)^2)</f>
        <v/>
      </c>
      <c r="K2978">
        <f>SUMPRODUCT(Calc!$K$3:$K$22*(Calc!$G$3:$G$22&gt;A2978)*(Calc!$G$3:$G$22-A2978)*(Calc!$G$3:$G$22&gt;B2978)*(Calc!$G$3:$G$22-B2978))</f>
        <v/>
      </c>
      <c r="L2978">
        <f>SUMPRODUCT(Calc!$K$3:$K$22*(Calc!$G$3:$G$22&gt;A2978)*(Calc!$G$3:$G$22-A2978)*Calc!$G$3:$G$22)</f>
        <v/>
      </c>
      <c r="M2978">
        <f>SUMPRODUCT(Calc!$K$3:$K$22*(Calc!$G$3:$G$22&gt;B2978)*(Calc!$G$3:$G$22-B2978)*Calc!$G$3:$G$22)</f>
        <v/>
      </c>
      <c r="N2978">
        <f>SUMPRODUCT(Calc!$K$3:$K$22*(Calc!$G$3:$G$22&gt;A2978)*(Calc!$G$3:$G$22-A2978)*Calc!$I$3:$I$22)</f>
        <v/>
      </c>
      <c r="O2978">
        <f>SUMPRODUCT(Calc!$K$3:$K$22*(Calc!$G$3:$G$22&gt;B2978)*(Calc!$G$3:$G$22-B2978)*Calc!$I$3:$I$22)</f>
        <v/>
      </c>
      <c r="P2978">
        <f>I2978-G2978^2/k_n</f>
        <v/>
      </c>
      <c r="Q2978">
        <f>J2978-H2978^2/k_n</f>
        <v/>
      </c>
      <c r="R2978">
        <f>K2978-G2978*H2978/k_n</f>
        <v/>
      </c>
      <c r="S2978">
        <f>L2978-LTP3!$D$3*G2978/k_n</f>
        <v/>
      </c>
      <c r="T2978">
        <f>M2978-LTP3!$D$3*H2978/k_n</f>
        <v/>
      </c>
      <c r="U2978">
        <f>N2978-G2978*LTP3!$D$4/k_n</f>
        <v/>
      </c>
      <c r="V2978">
        <f>O2978-H2978*LTP3!$D$4/k_n</f>
        <v/>
      </c>
      <c r="W2978">
        <f>((LTP3!$D$5)*((P2978)*(Q2978)-(R2978)*(R2978))-(S2978)*((S2978)*(Q2978)-(R2978)*(T2978))+(T2978)*((S2978)*(R2978)-(P2978)*(T2978)))</f>
        <v/>
      </c>
      <c r="X2978">
        <f>IF(ABS(W2978)&gt;1E-12,((LTP3!$D$6)*((P2978)*(Q2978)-(R2978)*(R2978))-(S2978)*((U2978)*(Q2978)-(R2978)*(V2978))+(T2978)*((U2978)*(R2978)-(P2978)*(V2978)))/W2978,0)</f>
        <v/>
      </c>
      <c r="Y2978">
        <f>IF(ABS(W2978)&gt;1E-12,((LTP3!$D$5)*((U2978)*(Q2978)-(R2978)*(V2978))-(LTP3!$D$6)*((S2978)*(Q2978)-(R2978)*(T2978))+(T2978)*((S2978)*(V2978)-(U2978)*(T2978)))/W2978,0)</f>
        <v/>
      </c>
      <c r="Z2978">
        <f>IF(ABS(W2978)&gt;1E-12,((LTP3!$D$5)*((P2978)*(V2978)-(U2978)*(R2978))-(S2978)*((S2978)*(V2978)-(U2978)*(T2978))+(LTP3!$D$6)*((S2978)*(R2978)-(P2978)*(T2978)))/W2978,0)</f>
        <v/>
      </c>
      <c r="AA2978">
        <f>LTP3!$D$7-X2978*LTP3!$D$6-Y2978*U2978-Z2978*V2978</f>
        <v/>
      </c>
      <c r="AB2978">
        <f>IF(AND(F2978,ABS(W2978)&gt;1E-12,Y2978&gt;0,Z2978&gt;0),AA2978,1E+300)</f>
        <v/>
      </c>
    </row>
    <row r="2979">
      <c r="A2979">
        <f>$B$3+$B$5*48</f>
        <v/>
      </c>
      <c r="B2979">
        <f>$B$3+$B$5*39</f>
        <v/>
      </c>
      <c r="C2979">
        <f>SUMPRODUCT(Calc!$K$3:$K$22*(Calc!$G$3:$G$22&lt;=A2979))</f>
        <v/>
      </c>
      <c r="D2979">
        <f>SUMPRODUCT(Calc!$K$3:$K$22*(Calc!$G$3:$G$22&gt;A2979)*(Calc!$G$3:$G$22&lt;B2979))</f>
        <v/>
      </c>
      <c r="E2979">
        <f>SUMPRODUCT(Calc!$K$3:$K$22*(Calc!$G$3:$G$22&gt;=B2979))</f>
        <v/>
      </c>
      <c r="F2979">
        <f>AND(k_n&gt;=5,B2979&gt;A2979+1E-9,C2979&gt;=2,D2979&gt;=1,E2979&gt;=2)</f>
        <v/>
      </c>
      <c r="G2979">
        <f>SUMPRODUCT(Calc!$K$3:$K$22*(Calc!$G$3:$G$22&gt;A2979)*(Calc!$G$3:$G$22-A2979))</f>
        <v/>
      </c>
      <c r="H2979">
        <f>SUMPRODUCT(Calc!$K$3:$K$22*(Calc!$G$3:$G$22&gt;B2979)*(Calc!$G$3:$G$22-B2979))</f>
        <v/>
      </c>
      <c r="I2979">
        <f>SUMPRODUCT(Calc!$K$3:$K$22*(Calc!$G$3:$G$22&gt;A2979)*(Calc!$G$3:$G$22-A2979)^2)</f>
        <v/>
      </c>
      <c r="J2979">
        <f>SUMPRODUCT(Calc!$K$3:$K$22*(Calc!$G$3:$G$22&gt;B2979)*(Calc!$G$3:$G$22-B2979)^2)</f>
        <v/>
      </c>
      <c r="K2979">
        <f>SUMPRODUCT(Calc!$K$3:$K$22*(Calc!$G$3:$G$22&gt;A2979)*(Calc!$G$3:$G$22-A2979)*(Calc!$G$3:$G$22&gt;B2979)*(Calc!$G$3:$G$22-B2979))</f>
        <v/>
      </c>
      <c r="L2979">
        <f>SUMPRODUCT(Calc!$K$3:$K$22*(Calc!$G$3:$G$22&gt;A2979)*(Calc!$G$3:$G$22-A2979)*Calc!$G$3:$G$22)</f>
        <v/>
      </c>
      <c r="M2979">
        <f>SUMPRODUCT(Calc!$K$3:$K$22*(Calc!$G$3:$G$22&gt;B2979)*(Calc!$G$3:$G$22-B2979)*Calc!$G$3:$G$22)</f>
        <v/>
      </c>
      <c r="N2979">
        <f>SUMPRODUCT(Calc!$K$3:$K$22*(Calc!$G$3:$G$22&gt;A2979)*(Calc!$G$3:$G$22-A2979)*Calc!$I$3:$I$22)</f>
        <v/>
      </c>
      <c r="O2979">
        <f>SUMPRODUCT(Calc!$K$3:$K$22*(Calc!$G$3:$G$22&gt;B2979)*(Calc!$G$3:$G$22-B2979)*Calc!$I$3:$I$22)</f>
        <v/>
      </c>
      <c r="P2979">
        <f>I2979-G2979^2/k_n</f>
        <v/>
      </c>
      <c r="Q2979">
        <f>J2979-H2979^2/k_n</f>
        <v/>
      </c>
      <c r="R2979">
        <f>K2979-G2979*H2979/k_n</f>
        <v/>
      </c>
      <c r="S2979">
        <f>L2979-LTP3!$D$3*G2979/k_n</f>
        <v/>
      </c>
      <c r="T2979">
        <f>M2979-LTP3!$D$3*H2979/k_n</f>
        <v/>
      </c>
      <c r="U2979">
        <f>N2979-G2979*LTP3!$D$4/k_n</f>
        <v/>
      </c>
      <c r="V2979">
        <f>O2979-H2979*LTP3!$D$4/k_n</f>
        <v/>
      </c>
      <c r="W2979">
        <f>((LTP3!$D$5)*((P2979)*(Q2979)-(R2979)*(R2979))-(S2979)*((S2979)*(Q2979)-(R2979)*(T2979))+(T2979)*((S2979)*(R2979)-(P2979)*(T2979)))</f>
        <v/>
      </c>
      <c r="X2979">
        <f>IF(ABS(W2979)&gt;1E-12,((LTP3!$D$6)*((P2979)*(Q2979)-(R2979)*(R2979))-(S2979)*((U2979)*(Q2979)-(R2979)*(V2979))+(T2979)*((U2979)*(R2979)-(P2979)*(V2979)))/W2979,0)</f>
        <v/>
      </c>
      <c r="Y2979">
        <f>IF(ABS(W2979)&gt;1E-12,((LTP3!$D$5)*((U2979)*(Q2979)-(R2979)*(V2979))-(LTP3!$D$6)*((S2979)*(Q2979)-(R2979)*(T2979))+(T2979)*((S2979)*(V2979)-(U2979)*(T2979)))/W2979,0)</f>
        <v/>
      </c>
      <c r="Z2979">
        <f>IF(ABS(W2979)&gt;1E-12,((LTP3!$D$5)*((P2979)*(V2979)-(U2979)*(R2979))-(S2979)*((S2979)*(V2979)-(U2979)*(T2979))+(LTP3!$D$6)*((S2979)*(R2979)-(P2979)*(T2979)))/W2979,0)</f>
        <v/>
      </c>
      <c r="AA2979">
        <f>LTP3!$D$7-X2979*LTP3!$D$6-Y2979*U2979-Z2979*V2979</f>
        <v/>
      </c>
      <c r="AB2979">
        <f>IF(AND(F2979,ABS(W2979)&gt;1E-12,Y2979&gt;0,Z2979&gt;0),AA2979,1E+300)</f>
        <v/>
      </c>
    </row>
    <row r="2980">
      <c r="A2980">
        <f>$B$3+$B$5*48</f>
        <v/>
      </c>
      <c r="B2980">
        <f>$B$3+$B$5*40</f>
        <v/>
      </c>
      <c r="C2980">
        <f>SUMPRODUCT(Calc!$K$3:$K$22*(Calc!$G$3:$G$22&lt;=A2980))</f>
        <v/>
      </c>
      <c r="D2980">
        <f>SUMPRODUCT(Calc!$K$3:$K$22*(Calc!$G$3:$G$22&gt;A2980)*(Calc!$G$3:$G$22&lt;B2980))</f>
        <v/>
      </c>
      <c r="E2980">
        <f>SUMPRODUCT(Calc!$K$3:$K$22*(Calc!$G$3:$G$22&gt;=B2980))</f>
        <v/>
      </c>
      <c r="F2980">
        <f>AND(k_n&gt;=5,B2980&gt;A2980+1E-9,C2980&gt;=2,D2980&gt;=1,E2980&gt;=2)</f>
        <v/>
      </c>
      <c r="G2980">
        <f>SUMPRODUCT(Calc!$K$3:$K$22*(Calc!$G$3:$G$22&gt;A2980)*(Calc!$G$3:$G$22-A2980))</f>
        <v/>
      </c>
      <c r="H2980">
        <f>SUMPRODUCT(Calc!$K$3:$K$22*(Calc!$G$3:$G$22&gt;B2980)*(Calc!$G$3:$G$22-B2980))</f>
        <v/>
      </c>
      <c r="I2980">
        <f>SUMPRODUCT(Calc!$K$3:$K$22*(Calc!$G$3:$G$22&gt;A2980)*(Calc!$G$3:$G$22-A2980)^2)</f>
        <v/>
      </c>
      <c r="J2980">
        <f>SUMPRODUCT(Calc!$K$3:$K$22*(Calc!$G$3:$G$22&gt;B2980)*(Calc!$G$3:$G$22-B2980)^2)</f>
        <v/>
      </c>
      <c r="K2980">
        <f>SUMPRODUCT(Calc!$K$3:$K$22*(Calc!$G$3:$G$22&gt;A2980)*(Calc!$G$3:$G$22-A2980)*(Calc!$G$3:$G$22&gt;B2980)*(Calc!$G$3:$G$22-B2980))</f>
        <v/>
      </c>
      <c r="L2980">
        <f>SUMPRODUCT(Calc!$K$3:$K$22*(Calc!$G$3:$G$22&gt;A2980)*(Calc!$G$3:$G$22-A2980)*Calc!$G$3:$G$22)</f>
        <v/>
      </c>
      <c r="M2980">
        <f>SUMPRODUCT(Calc!$K$3:$K$22*(Calc!$G$3:$G$22&gt;B2980)*(Calc!$G$3:$G$22-B2980)*Calc!$G$3:$G$22)</f>
        <v/>
      </c>
      <c r="N2980">
        <f>SUMPRODUCT(Calc!$K$3:$K$22*(Calc!$G$3:$G$22&gt;A2980)*(Calc!$G$3:$G$22-A2980)*Calc!$I$3:$I$22)</f>
        <v/>
      </c>
      <c r="O2980">
        <f>SUMPRODUCT(Calc!$K$3:$K$22*(Calc!$G$3:$G$22&gt;B2980)*(Calc!$G$3:$G$22-B2980)*Calc!$I$3:$I$22)</f>
        <v/>
      </c>
      <c r="P2980">
        <f>I2980-G2980^2/k_n</f>
        <v/>
      </c>
      <c r="Q2980">
        <f>J2980-H2980^2/k_n</f>
        <v/>
      </c>
      <c r="R2980">
        <f>K2980-G2980*H2980/k_n</f>
        <v/>
      </c>
      <c r="S2980">
        <f>L2980-LTP3!$D$3*G2980/k_n</f>
        <v/>
      </c>
      <c r="T2980">
        <f>M2980-LTP3!$D$3*H2980/k_n</f>
        <v/>
      </c>
      <c r="U2980">
        <f>N2980-G2980*LTP3!$D$4/k_n</f>
        <v/>
      </c>
      <c r="V2980">
        <f>O2980-H2980*LTP3!$D$4/k_n</f>
        <v/>
      </c>
      <c r="W2980">
        <f>((LTP3!$D$5)*((P2980)*(Q2980)-(R2980)*(R2980))-(S2980)*((S2980)*(Q2980)-(R2980)*(T2980))+(T2980)*((S2980)*(R2980)-(P2980)*(T2980)))</f>
        <v/>
      </c>
      <c r="X2980">
        <f>IF(ABS(W2980)&gt;1E-12,((LTP3!$D$6)*((P2980)*(Q2980)-(R2980)*(R2980))-(S2980)*((U2980)*(Q2980)-(R2980)*(V2980))+(T2980)*((U2980)*(R2980)-(P2980)*(V2980)))/W2980,0)</f>
        <v/>
      </c>
      <c r="Y2980">
        <f>IF(ABS(W2980)&gt;1E-12,((LTP3!$D$5)*((U2980)*(Q2980)-(R2980)*(V2980))-(LTP3!$D$6)*((S2980)*(Q2980)-(R2980)*(T2980))+(T2980)*((S2980)*(V2980)-(U2980)*(T2980)))/W2980,0)</f>
        <v/>
      </c>
      <c r="Z2980">
        <f>IF(ABS(W2980)&gt;1E-12,((LTP3!$D$5)*((P2980)*(V2980)-(U2980)*(R2980))-(S2980)*((S2980)*(V2980)-(U2980)*(T2980))+(LTP3!$D$6)*((S2980)*(R2980)-(P2980)*(T2980)))/W2980,0)</f>
        <v/>
      </c>
      <c r="AA2980">
        <f>LTP3!$D$7-X2980*LTP3!$D$6-Y2980*U2980-Z2980*V2980</f>
        <v/>
      </c>
      <c r="AB2980">
        <f>IF(AND(F2980,ABS(W2980)&gt;1E-12,Y2980&gt;0,Z2980&gt;0),AA2980,1E+300)</f>
        <v/>
      </c>
    </row>
    <row r="2981">
      <c r="A2981">
        <f>$B$3+$B$5*48</f>
        <v/>
      </c>
      <c r="B2981">
        <f>$B$3+$B$5*41</f>
        <v/>
      </c>
      <c r="C2981">
        <f>SUMPRODUCT(Calc!$K$3:$K$22*(Calc!$G$3:$G$22&lt;=A2981))</f>
        <v/>
      </c>
      <c r="D2981">
        <f>SUMPRODUCT(Calc!$K$3:$K$22*(Calc!$G$3:$G$22&gt;A2981)*(Calc!$G$3:$G$22&lt;B2981))</f>
        <v/>
      </c>
      <c r="E2981">
        <f>SUMPRODUCT(Calc!$K$3:$K$22*(Calc!$G$3:$G$22&gt;=B2981))</f>
        <v/>
      </c>
      <c r="F2981">
        <f>AND(k_n&gt;=5,B2981&gt;A2981+1E-9,C2981&gt;=2,D2981&gt;=1,E2981&gt;=2)</f>
        <v/>
      </c>
      <c r="G2981">
        <f>SUMPRODUCT(Calc!$K$3:$K$22*(Calc!$G$3:$G$22&gt;A2981)*(Calc!$G$3:$G$22-A2981))</f>
        <v/>
      </c>
      <c r="H2981">
        <f>SUMPRODUCT(Calc!$K$3:$K$22*(Calc!$G$3:$G$22&gt;B2981)*(Calc!$G$3:$G$22-B2981))</f>
        <v/>
      </c>
      <c r="I2981">
        <f>SUMPRODUCT(Calc!$K$3:$K$22*(Calc!$G$3:$G$22&gt;A2981)*(Calc!$G$3:$G$22-A2981)^2)</f>
        <v/>
      </c>
      <c r="J2981">
        <f>SUMPRODUCT(Calc!$K$3:$K$22*(Calc!$G$3:$G$22&gt;B2981)*(Calc!$G$3:$G$22-B2981)^2)</f>
        <v/>
      </c>
      <c r="K2981">
        <f>SUMPRODUCT(Calc!$K$3:$K$22*(Calc!$G$3:$G$22&gt;A2981)*(Calc!$G$3:$G$22-A2981)*(Calc!$G$3:$G$22&gt;B2981)*(Calc!$G$3:$G$22-B2981))</f>
        <v/>
      </c>
      <c r="L2981">
        <f>SUMPRODUCT(Calc!$K$3:$K$22*(Calc!$G$3:$G$22&gt;A2981)*(Calc!$G$3:$G$22-A2981)*Calc!$G$3:$G$22)</f>
        <v/>
      </c>
      <c r="M2981">
        <f>SUMPRODUCT(Calc!$K$3:$K$22*(Calc!$G$3:$G$22&gt;B2981)*(Calc!$G$3:$G$22-B2981)*Calc!$G$3:$G$22)</f>
        <v/>
      </c>
      <c r="N2981">
        <f>SUMPRODUCT(Calc!$K$3:$K$22*(Calc!$G$3:$G$22&gt;A2981)*(Calc!$G$3:$G$22-A2981)*Calc!$I$3:$I$22)</f>
        <v/>
      </c>
      <c r="O2981">
        <f>SUMPRODUCT(Calc!$K$3:$K$22*(Calc!$G$3:$G$22&gt;B2981)*(Calc!$G$3:$G$22-B2981)*Calc!$I$3:$I$22)</f>
        <v/>
      </c>
      <c r="P2981">
        <f>I2981-G2981^2/k_n</f>
        <v/>
      </c>
      <c r="Q2981">
        <f>J2981-H2981^2/k_n</f>
        <v/>
      </c>
      <c r="R2981">
        <f>K2981-G2981*H2981/k_n</f>
        <v/>
      </c>
      <c r="S2981">
        <f>L2981-LTP3!$D$3*G2981/k_n</f>
        <v/>
      </c>
      <c r="T2981">
        <f>M2981-LTP3!$D$3*H2981/k_n</f>
        <v/>
      </c>
      <c r="U2981">
        <f>N2981-G2981*LTP3!$D$4/k_n</f>
        <v/>
      </c>
      <c r="V2981">
        <f>O2981-H2981*LTP3!$D$4/k_n</f>
        <v/>
      </c>
      <c r="W2981">
        <f>((LTP3!$D$5)*((P2981)*(Q2981)-(R2981)*(R2981))-(S2981)*((S2981)*(Q2981)-(R2981)*(T2981))+(T2981)*((S2981)*(R2981)-(P2981)*(T2981)))</f>
        <v/>
      </c>
      <c r="X2981">
        <f>IF(ABS(W2981)&gt;1E-12,((LTP3!$D$6)*((P2981)*(Q2981)-(R2981)*(R2981))-(S2981)*((U2981)*(Q2981)-(R2981)*(V2981))+(T2981)*((U2981)*(R2981)-(P2981)*(V2981)))/W2981,0)</f>
        <v/>
      </c>
      <c r="Y2981">
        <f>IF(ABS(W2981)&gt;1E-12,((LTP3!$D$5)*((U2981)*(Q2981)-(R2981)*(V2981))-(LTP3!$D$6)*((S2981)*(Q2981)-(R2981)*(T2981))+(T2981)*((S2981)*(V2981)-(U2981)*(T2981)))/W2981,0)</f>
        <v/>
      </c>
      <c r="Z2981">
        <f>IF(ABS(W2981)&gt;1E-12,((LTP3!$D$5)*((P2981)*(V2981)-(U2981)*(R2981))-(S2981)*((S2981)*(V2981)-(U2981)*(T2981))+(LTP3!$D$6)*((S2981)*(R2981)-(P2981)*(T2981)))/W2981,0)</f>
        <v/>
      </c>
      <c r="AA2981">
        <f>LTP3!$D$7-X2981*LTP3!$D$6-Y2981*U2981-Z2981*V2981</f>
        <v/>
      </c>
      <c r="AB2981">
        <f>IF(AND(F2981,ABS(W2981)&gt;1E-12,Y2981&gt;0,Z2981&gt;0),AA2981,1E+300)</f>
        <v/>
      </c>
    </row>
    <row r="2982">
      <c r="A2982">
        <f>$B$3+$B$5*48</f>
        <v/>
      </c>
      <c r="B2982">
        <f>$B$3+$B$5*42</f>
        <v/>
      </c>
      <c r="C2982">
        <f>SUMPRODUCT(Calc!$K$3:$K$22*(Calc!$G$3:$G$22&lt;=A2982))</f>
        <v/>
      </c>
      <c r="D2982">
        <f>SUMPRODUCT(Calc!$K$3:$K$22*(Calc!$G$3:$G$22&gt;A2982)*(Calc!$G$3:$G$22&lt;B2982))</f>
        <v/>
      </c>
      <c r="E2982">
        <f>SUMPRODUCT(Calc!$K$3:$K$22*(Calc!$G$3:$G$22&gt;=B2982))</f>
        <v/>
      </c>
      <c r="F2982">
        <f>AND(k_n&gt;=5,B2982&gt;A2982+1E-9,C2982&gt;=2,D2982&gt;=1,E2982&gt;=2)</f>
        <v/>
      </c>
      <c r="G2982">
        <f>SUMPRODUCT(Calc!$K$3:$K$22*(Calc!$G$3:$G$22&gt;A2982)*(Calc!$G$3:$G$22-A2982))</f>
        <v/>
      </c>
      <c r="H2982">
        <f>SUMPRODUCT(Calc!$K$3:$K$22*(Calc!$G$3:$G$22&gt;B2982)*(Calc!$G$3:$G$22-B2982))</f>
        <v/>
      </c>
      <c r="I2982">
        <f>SUMPRODUCT(Calc!$K$3:$K$22*(Calc!$G$3:$G$22&gt;A2982)*(Calc!$G$3:$G$22-A2982)^2)</f>
        <v/>
      </c>
      <c r="J2982">
        <f>SUMPRODUCT(Calc!$K$3:$K$22*(Calc!$G$3:$G$22&gt;B2982)*(Calc!$G$3:$G$22-B2982)^2)</f>
        <v/>
      </c>
      <c r="K2982">
        <f>SUMPRODUCT(Calc!$K$3:$K$22*(Calc!$G$3:$G$22&gt;A2982)*(Calc!$G$3:$G$22-A2982)*(Calc!$G$3:$G$22&gt;B2982)*(Calc!$G$3:$G$22-B2982))</f>
        <v/>
      </c>
      <c r="L2982">
        <f>SUMPRODUCT(Calc!$K$3:$K$22*(Calc!$G$3:$G$22&gt;A2982)*(Calc!$G$3:$G$22-A2982)*Calc!$G$3:$G$22)</f>
        <v/>
      </c>
      <c r="M2982">
        <f>SUMPRODUCT(Calc!$K$3:$K$22*(Calc!$G$3:$G$22&gt;B2982)*(Calc!$G$3:$G$22-B2982)*Calc!$G$3:$G$22)</f>
        <v/>
      </c>
      <c r="N2982">
        <f>SUMPRODUCT(Calc!$K$3:$K$22*(Calc!$G$3:$G$22&gt;A2982)*(Calc!$G$3:$G$22-A2982)*Calc!$I$3:$I$22)</f>
        <v/>
      </c>
      <c r="O2982">
        <f>SUMPRODUCT(Calc!$K$3:$K$22*(Calc!$G$3:$G$22&gt;B2982)*(Calc!$G$3:$G$22-B2982)*Calc!$I$3:$I$22)</f>
        <v/>
      </c>
      <c r="P2982">
        <f>I2982-G2982^2/k_n</f>
        <v/>
      </c>
      <c r="Q2982">
        <f>J2982-H2982^2/k_n</f>
        <v/>
      </c>
      <c r="R2982">
        <f>K2982-G2982*H2982/k_n</f>
        <v/>
      </c>
      <c r="S2982">
        <f>L2982-LTP3!$D$3*G2982/k_n</f>
        <v/>
      </c>
      <c r="T2982">
        <f>M2982-LTP3!$D$3*H2982/k_n</f>
        <v/>
      </c>
      <c r="U2982">
        <f>N2982-G2982*LTP3!$D$4/k_n</f>
        <v/>
      </c>
      <c r="V2982">
        <f>O2982-H2982*LTP3!$D$4/k_n</f>
        <v/>
      </c>
      <c r="W2982">
        <f>((LTP3!$D$5)*((P2982)*(Q2982)-(R2982)*(R2982))-(S2982)*((S2982)*(Q2982)-(R2982)*(T2982))+(T2982)*((S2982)*(R2982)-(P2982)*(T2982)))</f>
        <v/>
      </c>
      <c r="X2982">
        <f>IF(ABS(W2982)&gt;1E-12,((LTP3!$D$6)*((P2982)*(Q2982)-(R2982)*(R2982))-(S2982)*((U2982)*(Q2982)-(R2982)*(V2982))+(T2982)*((U2982)*(R2982)-(P2982)*(V2982)))/W2982,0)</f>
        <v/>
      </c>
      <c r="Y2982">
        <f>IF(ABS(W2982)&gt;1E-12,((LTP3!$D$5)*((U2982)*(Q2982)-(R2982)*(V2982))-(LTP3!$D$6)*((S2982)*(Q2982)-(R2982)*(T2982))+(T2982)*((S2982)*(V2982)-(U2982)*(T2982)))/W2982,0)</f>
        <v/>
      </c>
      <c r="Z2982">
        <f>IF(ABS(W2982)&gt;1E-12,((LTP3!$D$5)*((P2982)*(V2982)-(U2982)*(R2982))-(S2982)*((S2982)*(V2982)-(U2982)*(T2982))+(LTP3!$D$6)*((S2982)*(R2982)-(P2982)*(T2982)))/W2982,0)</f>
        <v/>
      </c>
      <c r="AA2982">
        <f>LTP3!$D$7-X2982*LTP3!$D$6-Y2982*U2982-Z2982*V2982</f>
        <v/>
      </c>
      <c r="AB2982">
        <f>IF(AND(F2982,ABS(W2982)&gt;1E-12,Y2982&gt;0,Z2982&gt;0),AA2982,1E+300)</f>
        <v/>
      </c>
    </row>
    <row r="2983">
      <c r="A2983">
        <f>$B$3+$B$5*48</f>
        <v/>
      </c>
      <c r="B2983">
        <f>$B$3+$B$5*43</f>
        <v/>
      </c>
      <c r="C2983">
        <f>SUMPRODUCT(Calc!$K$3:$K$22*(Calc!$G$3:$G$22&lt;=A2983))</f>
        <v/>
      </c>
      <c r="D2983">
        <f>SUMPRODUCT(Calc!$K$3:$K$22*(Calc!$G$3:$G$22&gt;A2983)*(Calc!$G$3:$G$22&lt;B2983))</f>
        <v/>
      </c>
      <c r="E2983">
        <f>SUMPRODUCT(Calc!$K$3:$K$22*(Calc!$G$3:$G$22&gt;=B2983))</f>
        <v/>
      </c>
      <c r="F2983">
        <f>AND(k_n&gt;=5,B2983&gt;A2983+1E-9,C2983&gt;=2,D2983&gt;=1,E2983&gt;=2)</f>
        <v/>
      </c>
      <c r="G2983">
        <f>SUMPRODUCT(Calc!$K$3:$K$22*(Calc!$G$3:$G$22&gt;A2983)*(Calc!$G$3:$G$22-A2983))</f>
        <v/>
      </c>
      <c r="H2983">
        <f>SUMPRODUCT(Calc!$K$3:$K$22*(Calc!$G$3:$G$22&gt;B2983)*(Calc!$G$3:$G$22-B2983))</f>
        <v/>
      </c>
      <c r="I2983">
        <f>SUMPRODUCT(Calc!$K$3:$K$22*(Calc!$G$3:$G$22&gt;A2983)*(Calc!$G$3:$G$22-A2983)^2)</f>
        <v/>
      </c>
      <c r="J2983">
        <f>SUMPRODUCT(Calc!$K$3:$K$22*(Calc!$G$3:$G$22&gt;B2983)*(Calc!$G$3:$G$22-B2983)^2)</f>
        <v/>
      </c>
      <c r="K2983">
        <f>SUMPRODUCT(Calc!$K$3:$K$22*(Calc!$G$3:$G$22&gt;A2983)*(Calc!$G$3:$G$22-A2983)*(Calc!$G$3:$G$22&gt;B2983)*(Calc!$G$3:$G$22-B2983))</f>
        <v/>
      </c>
      <c r="L2983">
        <f>SUMPRODUCT(Calc!$K$3:$K$22*(Calc!$G$3:$G$22&gt;A2983)*(Calc!$G$3:$G$22-A2983)*Calc!$G$3:$G$22)</f>
        <v/>
      </c>
      <c r="M2983">
        <f>SUMPRODUCT(Calc!$K$3:$K$22*(Calc!$G$3:$G$22&gt;B2983)*(Calc!$G$3:$G$22-B2983)*Calc!$G$3:$G$22)</f>
        <v/>
      </c>
      <c r="N2983">
        <f>SUMPRODUCT(Calc!$K$3:$K$22*(Calc!$G$3:$G$22&gt;A2983)*(Calc!$G$3:$G$22-A2983)*Calc!$I$3:$I$22)</f>
        <v/>
      </c>
      <c r="O2983">
        <f>SUMPRODUCT(Calc!$K$3:$K$22*(Calc!$G$3:$G$22&gt;B2983)*(Calc!$G$3:$G$22-B2983)*Calc!$I$3:$I$22)</f>
        <v/>
      </c>
      <c r="P2983">
        <f>I2983-G2983^2/k_n</f>
        <v/>
      </c>
      <c r="Q2983">
        <f>J2983-H2983^2/k_n</f>
        <v/>
      </c>
      <c r="R2983">
        <f>K2983-G2983*H2983/k_n</f>
        <v/>
      </c>
      <c r="S2983">
        <f>L2983-LTP3!$D$3*G2983/k_n</f>
        <v/>
      </c>
      <c r="T2983">
        <f>M2983-LTP3!$D$3*H2983/k_n</f>
        <v/>
      </c>
      <c r="U2983">
        <f>N2983-G2983*LTP3!$D$4/k_n</f>
        <v/>
      </c>
      <c r="V2983">
        <f>O2983-H2983*LTP3!$D$4/k_n</f>
        <v/>
      </c>
      <c r="W2983">
        <f>((LTP3!$D$5)*((P2983)*(Q2983)-(R2983)*(R2983))-(S2983)*((S2983)*(Q2983)-(R2983)*(T2983))+(T2983)*((S2983)*(R2983)-(P2983)*(T2983)))</f>
        <v/>
      </c>
      <c r="X2983">
        <f>IF(ABS(W2983)&gt;1E-12,((LTP3!$D$6)*((P2983)*(Q2983)-(R2983)*(R2983))-(S2983)*((U2983)*(Q2983)-(R2983)*(V2983))+(T2983)*((U2983)*(R2983)-(P2983)*(V2983)))/W2983,0)</f>
        <v/>
      </c>
      <c r="Y2983">
        <f>IF(ABS(W2983)&gt;1E-12,((LTP3!$D$5)*((U2983)*(Q2983)-(R2983)*(V2983))-(LTP3!$D$6)*((S2983)*(Q2983)-(R2983)*(T2983))+(T2983)*((S2983)*(V2983)-(U2983)*(T2983)))/W2983,0)</f>
        <v/>
      </c>
      <c r="Z2983">
        <f>IF(ABS(W2983)&gt;1E-12,((LTP3!$D$5)*((P2983)*(V2983)-(U2983)*(R2983))-(S2983)*((S2983)*(V2983)-(U2983)*(T2983))+(LTP3!$D$6)*((S2983)*(R2983)-(P2983)*(T2983)))/W2983,0)</f>
        <v/>
      </c>
      <c r="AA2983">
        <f>LTP3!$D$7-X2983*LTP3!$D$6-Y2983*U2983-Z2983*V2983</f>
        <v/>
      </c>
      <c r="AB2983">
        <f>IF(AND(F2983,ABS(W2983)&gt;1E-12,Y2983&gt;0,Z2983&gt;0),AA2983,1E+300)</f>
        <v/>
      </c>
    </row>
    <row r="2984">
      <c r="A2984">
        <f>$B$3+$B$5*48</f>
        <v/>
      </c>
      <c r="B2984">
        <f>$B$3+$B$5*44</f>
        <v/>
      </c>
      <c r="C2984">
        <f>SUMPRODUCT(Calc!$K$3:$K$22*(Calc!$G$3:$G$22&lt;=A2984))</f>
        <v/>
      </c>
      <c r="D2984">
        <f>SUMPRODUCT(Calc!$K$3:$K$22*(Calc!$G$3:$G$22&gt;A2984)*(Calc!$G$3:$G$22&lt;B2984))</f>
        <v/>
      </c>
      <c r="E2984">
        <f>SUMPRODUCT(Calc!$K$3:$K$22*(Calc!$G$3:$G$22&gt;=B2984))</f>
        <v/>
      </c>
      <c r="F2984">
        <f>AND(k_n&gt;=5,B2984&gt;A2984+1E-9,C2984&gt;=2,D2984&gt;=1,E2984&gt;=2)</f>
        <v/>
      </c>
      <c r="G2984">
        <f>SUMPRODUCT(Calc!$K$3:$K$22*(Calc!$G$3:$G$22&gt;A2984)*(Calc!$G$3:$G$22-A2984))</f>
        <v/>
      </c>
      <c r="H2984">
        <f>SUMPRODUCT(Calc!$K$3:$K$22*(Calc!$G$3:$G$22&gt;B2984)*(Calc!$G$3:$G$22-B2984))</f>
        <v/>
      </c>
      <c r="I2984">
        <f>SUMPRODUCT(Calc!$K$3:$K$22*(Calc!$G$3:$G$22&gt;A2984)*(Calc!$G$3:$G$22-A2984)^2)</f>
        <v/>
      </c>
      <c r="J2984">
        <f>SUMPRODUCT(Calc!$K$3:$K$22*(Calc!$G$3:$G$22&gt;B2984)*(Calc!$G$3:$G$22-B2984)^2)</f>
        <v/>
      </c>
      <c r="K2984">
        <f>SUMPRODUCT(Calc!$K$3:$K$22*(Calc!$G$3:$G$22&gt;A2984)*(Calc!$G$3:$G$22-A2984)*(Calc!$G$3:$G$22&gt;B2984)*(Calc!$G$3:$G$22-B2984))</f>
        <v/>
      </c>
      <c r="L2984">
        <f>SUMPRODUCT(Calc!$K$3:$K$22*(Calc!$G$3:$G$22&gt;A2984)*(Calc!$G$3:$G$22-A2984)*Calc!$G$3:$G$22)</f>
        <v/>
      </c>
      <c r="M2984">
        <f>SUMPRODUCT(Calc!$K$3:$K$22*(Calc!$G$3:$G$22&gt;B2984)*(Calc!$G$3:$G$22-B2984)*Calc!$G$3:$G$22)</f>
        <v/>
      </c>
      <c r="N2984">
        <f>SUMPRODUCT(Calc!$K$3:$K$22*(Calc!$G$3:$G$22&gt;A2984)*(Calc!$G$3:$G$22-A2984)*Calc!$I$3:$I$22)</f>
        <v/>
      </c>
      <c r="O2984">
        <f>SUMPRODUCT(Calc!$K$3:$K$22*(Calc!$G$3:$G$22&gt;B2984)*(Calc!$G$3:$G$22-B2984)*Calc!$I$3:$I$22)</f>
        <v/>
      </c>
      <c r="P2984">
        <f>I2984-G2984^2/k_n</f>
        <v/>
      </c>
      <c r="Q2984">
        <f>J2984-H2984^2/k_n</f>
        <v/>
      </c>
      <c r="R2984">
        <f>K2984-G2984*H2984/k_n</f>
        <v/>
      </c>
      <c r="S2984">
        <f>L2984-LTP3!$D$3*G2984/k_n</f>
        <v/>
      </c>
      <c r="T2984">
        <f>M2984-LTP3!$D$3*H2984/k_n</f>
        <v/>
      </c>
      <c r="U2984">
        <f>N2984-G2984*LTP3!$D$4/k_n</f>
        <v/>
      </c>
      <c r="V2984">
        <f>O2984-H2984*LTP3!$D$4/k_n</f>
        <v/>
      </c>
      <c r="W2984">
        <f>((LTP3!$D$5)*((P2984)*(Q2984)-(R2984)*(R2984))-(S2984)*((S2984)*(Q2984)-(R2984)*(T2984))+(T2984)*((S2984)*(R2984)-(P2984)*(T2984)))</f>
        <v/>
      </c>
      <c r="X2984">
        <f>IF(ABS(W2984)&gt;1E-12,((LTP3!$D$6)*((P2984)*(Q2984)-(R2984)*(R2984))-(S2984)*((U2984)*(Q2984)-(R2984)*(V2984))+(T2984)*((U2984)*(R2984)-(P2984)*(V2984)))/W2984,0)</f>
        <v/>
      </c>
      <c r="Y2984">
        <f>IF(ABS(W2984)&gt;1E-12,((LTP3!$D$5)*((U2984)*(Q2984)-(R2984)*(V2984))-(LTP3!$D$6)*((S2984)*(Q2984)-(R2984)*(T2984))+(T2984)*((S2984)*(V2984)-(U2984)*(T2984)))/W2984,0)</f>
        <v/>
      </c>
      <c r="Z2984">
        <f>IF(ABS(W2984)&gt;1E-12,((LTP3!$D$5)*((P2984)*(V2984)-(U2984)*(R2984))-(S2984)*((S2984)*(V2984)-(U2984)*(T2984))+(LTP3!$D$6)*((S2984)*(R2984)-(P2984)*(T2984)))/W2984,0)</f>
        <v/>
      </c>
      <c r="AA2984">
        <f>LTP3!$D$7-X2984*LTP3!$D$6-Y2984*U2984-Z2984*V2984</f>
        <v/>
      </c>
      <c r="AB2984">
        <f>IF(AND(F2984,ABS(W2984)&gt;1E-12,Y2984&gt;0,Z2984&gt;0),AA2984,1E+300)</f>
        <v/>
      </c>
    </row>
    <row r="2985">
      <c r="A2985">
        <f>$B$3+$B$5*48</f>
        <v/>
      </c>
      <c r="B2985">
        <f>$B$3+$B$5*45</f>
        <v/>
      </c>
      <c r="C2985">
        <f>SUMPRODUCT(Calc!$K$3:$K$22*(Calc!$G$3:$G$22&lt;=A2985))</f>
        <v/>
      </c>
      <c r="D2985">
        <f>SUMPRODUCT(Calc!$K$3:$K$22*(Calc!$G$3:$G$22&gt;A2985)*(Calc!$G$3:$G$22&lt;B2985))</f>
        <v/>
      </c>
      <c r="E2985">
        <f>SUMPRODUCT(Calc!$K$3:$K$22*(Calc!$G$3:$G$22&gt;=B2985))</f>
        <v/>
      </c>
      <c r="F2985">
        <f>AND(k_n&gt;=5,B2985&gt;A2985+1E-9,C2985&gt;=2,D2985&gt;=1,E2985&gt;=2)</f>
        <v/>
      </c>
      <c r="G2985">
        <f>SUMPRODUCT(Calc!$K$3:$K$22*(Calc!$G$3:$G$22&gt;A2985)*(Calc!$G$3:$G$22-A2985))</f>
        <v/>
      </c>
      <c r="H2985">
        <f>SUMPRODUCT(Calc!$K$3:$K$22*(Calc!$G$3:$G$22&gt;B2985)*(Calc!$G$3:$G$22-B2985))</f>
        <v/>
      </c>
      <c r="I2985">
        <f>SUMPRODUCT(Calc!$K$3:$K$22*(Calc!$G$3:$G$22&gt;A2985)*(Calc!$G$3:$G$22-A2985)^2)</f>
        <v/>
      </c>
      <c r="J2985">
        <f>SUMPRODUCT(Calc!$K$3:$K$22*(Calc!$G$3:$G$22&gt;B2985)*(Calc!$G$3:$G$22-B2985)^2)</f>
        <v/>
      </c>
      <c r="K2985">
        <f>SUMPRODUCT(Calc!$K$3:$K$22*(Calc!$G$3:$G$22&gt;A2985)*(Calc!$G$3:$G$22-A2985)*(Calc!$G$3:$G$22&gt;B2985)*(Calc!$G$3:$G$22-B2985))</f>
        <v/>
      </c>
      <c r="L2985">
        <f>SUMPRODUCT(Calc!$K$3:$K$22*(Calc!$G$3:$G$22&gt;A2985)*(Calc!$G$3:$G$22-A2985)*Calc!$G$3:$G$22)</f>
        <v/>
      </c>
      <c r="M2985">
        <f>SUMPRODUCT(Calc!$K$3:$K$22*(Calc!$G$3:$G$22&gt;B2985)*(Calc!$G$3:$G$22-B2985)*Calc!$G$3:$G$22)</f>
        <v/>
      </c>
      <c r="N2985">
        <f>SUMPRODUCT(Calc!$K$3:$K$22*(Calc!$G$3:$G$22&gt;A2985)*(Calc!$G$3:$G$22-A2985)*Calc!$I$3:$I$22)</f>
        <v/>
      </c>
      <c r="O2985">
        <f>SUMPRODUCT(Calc!$K$3:$K$22*(Calc!$G$3:$G$22&gt;B2985)*(Calc!$G$3:$G$22-B2985)*Calc!$I$3:$I$22)</f>
        <v/>
      </c>
      <c r="P2985">
        <f>I2985-G2985^2/k_n</f>
        <v/>
      </c>
      <c r="Q2985">
        <f>J2985-H2985^2/k_n</f>
        <v/>
      </c>
      <c r="R2985">
        <f>K2985-G2985*H2985/k_n</f>
        <v/>
      </c>
      <c r="S2985">
        <f>L2985-LTP3!$D$3*G2985/k_n</f>
        <v/>
      </c>
      <c r="T2985">
        <f>M2985-LTP3!$D$3*H2985/k_n</f>
        <v/>
      </c>
      <c r="U2985">
        <f>N2985-G2985*LTP3!$D$4/k_n</f>
        <v/>
      </c>
      <c r="V2985">
        <f>O2985-H2985*LTP3!$D$4/k_n</f>
        <v/>
      </c>
      <c r="W2985">
        <f>((LTP3!$D$5)*((P2985)*(Q2985)-(R2985)*(R2985))-(S2985)*((S2985)*(Q2985)-(R2985)*(T2985))+(T2985)*((S2985)*(R2985)-(P2985)*(T2985)))</f>
        <v/>
      </c>
      <c r="X2985">
        <f>IF(ABS(W2985)&gt;1E-12,((LTP3!$D$6)*((P2985)*(Q2985)-(R2985)*(R2985))-(S2985)*((U2985)*(Q2985)-(R2985)*(V2985))+(T2985)*((U2985)*(R2985)-(P2985)*(V2985)))/W2985,0)</f>
        <v/>
      </c>
      <c r="Y2985">
        <f>IF(ABS(W2985)&gt;1E-12,((LTP3!$D$5)*((U2985)*(Q2985)-(R2985)*(V2985))-(LTP3!$D$6)*((S2985)*(Q2985)-(R2985)*(T2985))+(T2985)*((S2985)*(V2985)-(U2985)*(T2985)))/W2985,0)</f>
        <v/>
      </c>
      <c r="Z2985">
        <f>IF(ABS(W2985)&gt;1E-12,((LTP3!$D$5)*((P2985)*(V2985)-(U2985)*(R2985))-(S2985)*((S2985)*(V2985)-(U2985)*(T2985))+(LTP3!$D$6)*((S2985)*(R2985)-(P2985)*(T2985)))/W2985,0)</f>
        <v/>
      </c>
      <c r="AA2985">
        <f>LTP3!$D$7-X2985*LTP3!$D$6-Y2985*U2985-Z2985*V2985</f>
        <v/>
      </c>
      <c r="AB2985">
        <f>IF(AND(F2985,ABS(W2985)&gt;1E-12,Y2985&gt;0,Z2985&gt;0),AA2985,1E+300)</f>
        <v/>
      </c>
    </row>
    <row r="2986">
      <c r="A2986">
        <f>$B$3+$B$5*48</f>
        <v/>
      </c>
      <c r="B2986">
        <f>$B$3+$B$5*46</f>
        <v/>
      </c>
      <c r="C2986">
        <f>SUMPRODUCT(Calc!$K$3:$K$22*(Calc!$G$3:$G$22&lt;=A2986))</f>
        <v/>
      </c>
      <c r="D2986">
        <f>SUMPRODUCT(Calc!$K$3:$K$22*(Calc!$G$3:$G$22&gt;A2986)*(Calc!$G$3:$G$22&lt;B2986))</f>
        <v/>
      </c>
      <c r="E2986">
        <f>SUMPRODUCT(Calc!$K$3:$K$22*(Calc!$G$3:$G$22&gt;=B2986))</f>
        <v/>
      </c>
      <c r="F2986">
        <f>AND(k_n&gt;=5,B2986&gt;A2986+1E-9,C2986&gt;=2,D2986&gt;=1,E2986&gt;=2)</f>
        <v/>
      </c>
      <c r="G2986">
        <f>SUMPRODUCT(Calc!$K$3:$K$22*(Calc!$G$3:$G$22&gt;A2986)*(Calc!$G$3:$G$22-A2986))</f>
        <v/>
      </c>
      <c r="H2986">
        <f>SUMPRODUCT(Calc!$K$3:$K$22*(Calc!$G$3:$G$22&gt;B2986)*(Calc!$G$3:$G$22-B2986))</f>
        <v/>
      </c>
      <c r="I2986">
        <f>SUMPRODUCT(Calc!$K$3:$K$22*(Calc!$G$3:$G$22&gt;A2986)*(Calc!$G$3:$G$22-A2986)^2)</f>
        <v/>
      </c>
      <c r="J2986">
        <f>SUMPRODUCT(Calc!$K$3:$K$22*(Calc!$G$3:$G$22&gt;B2986)*(Calc!$G$3:$G$22-B2986)^2)</f>
        <v/>
      </c>
      <c r="K2986">
        <f>SUMPRODUCT(Calc!$K$3:$K$22*(Calc!$G$3:$G$22&gt;A2986)*(Calc!$G$3:$G$22-A2986)*(Calc!$G$3:$G$22&gt;B2986)*(Calc!$G$3:$G$22-B2986))</f>
        <v/>
      </c>
      <c r="L2986">
        <f>SUMPRODUCT(Calc!$K$3:$K$22*(Calc!$G$3:$G$22&gt;A2986)*(Calc!$G$3:$G$22-A2986)*Calc!$G$3:$G$22)</f>
        <v/>
      </c>
      <c r="M2986">
        <f>SUMPRODUCT(Calc!$K$3:$K$22*(Calc!$G$3:$G$22&gt;B2986)*(Calc!$G$3:$G$22-B2986)*Calc!$G$3:$G$22)</f>
        <v/>
      </c>
      <c r="N2986">
        <f>SUMPRODUCT(Calc!$K$3:$K$22*(Calc!$G$3:$G$22&gt;A2986)*(Calc!$G$3:$G$22-A2986)*Calc!$I$3:$I$22)</f>
        <v/>
      </c>
      <c r="O2986">
        <f>SUMPRODUCT(Calc!$K$3:$K$22*(Calc!$G$3:$G$22&gt;B2986)*(Calc!$G$3:$G$22-B2986)*Calc!$I$3:$I$22)</f>
        <v/>
      </c>
      <c r="P2986">
        <f>I2986-G2986^2/k_n</f>
        <v/>
      </c>
      <c r="Q2986">
        <f>J2986-H2986^2/k_n</f>
        <v/>
      </c>
      <c r="R2986">
        <f>K2986-G2986*H2986/k_n</f>
        <v/>
      </c>
      <c r="S2986">
        <f>L2986-LTP3!$D$3*G2986/k_n</f>
        <v/>
      </c>
      <c r="T2986">
        <f>M2986-LTP3!$D$3*H2986/k_n</f>
        <v/>
      </c>
      <c r="U2986">
        <f>N2986-G2986*LTP3!$D$4/k_n</f>
        <v/>
      </c>
      <c r="V2986">
        <f>O2986-H2986*LTP3!$D$4/k_n</f>
        <v/>
      </c>
      <c r="W2986">
        <f>((LTP3!$D$5)*((P2986)*(Q2986)-(R2986)*(R2986))-(S2986)*((S2986)*(Q2986)-(R2986)*(T2986))+(T2986)*((S2986)*(R2986)-(P2986)*(T2986)))</f>
        <v/>
      </c>
      <c r="X2986">
        <f>IF(ABS(W2986)&gt;1E-12,((LTP3!$D$6)*((P2986)*(Q2986)-(R2986)*(R2986))-(S2986)*((U2986)*(Q2986)-(R2986)*(V2986))+(T2986)*((U2986)*(R2986)-(P2986)*(V2986)))/W2986,0)</f>
        <v/>
      </c>
      <c r="Y2986">
        <f>IF(ABS(W2986)&gt;1E-12,((LTP3!$D$5)*((U2986)*(Q2986)-(R2986)*(V2986))-(LTP3!$D$6)*((S2986)*(Q2986)-(R2986)*(T2986))+(T2986)*((S2986)*(V2986)-(U2986)*(T2986)))/W2986,0)</f>
        <v/>
      </c>
      <c r="Z2986">
        <f>IF(ABS(W2986)&gt;1E-12,((LTP3!$D$5)*((P2986)*(V2986)-(U2986)*(R2986))-(S2986)*((S2986)*(V2986)-(U2986)*(T2986))+(LTP3!$D$6)*((S2986)*(R2986)-(P2986)*(T2986)))/W2986,0)</f>
        <v/>
      </c>
      <c r="AA2986">
        <f>LTP3!$D$7-X2986*LTP3!$D$6-Y2986*U2986-Z2986*V2986</f>
        <v/>
      </c>
      <c r="AB2986">
        <f>IF(AND(F2986,ABS(W2986)&gt;1E-12,Y2986&gt;0,Z2986&gt;0),AA2986,1E+300)</f>
        <v/>
      </c>
    </row>
    <row r="2987">
      <c r="A2987">
        <f>$B$3+$B$5*48</f>
        <v/>
      </c>
      <c r="B2987">
        <f>$B$3+$B$5*47</f>
        <v/>
      </c>
      <c r="C2987">
        <f>SUMPRODUCT(Calc!$K$3:$K$22*(Calc!$G$3:$G$22&lt;=A2987))</f>
        <v/>
      </c>
      <c r="D2987">
        <f>SUMPRODUCT(Calc!$K$3:$K$22*(Calc!$G$3:$G$22&gt;A2987)*(Calc!$G$3:$G$22&lt;B2987))</f>
        <v/>
      </c>
      <c r="E2987">
        <f>SUMPRODUCT(Calc!$K$3:$K$22*(Calc!$G$3:$G$22&gt;=B2987))</f>
        <v/>
      </c>
      <c r="F2987">
        <f>AND(k_n&gt;=5,B2987&gt;A2987+1E-9,C2987&gt;=2,D2987&gt;=1,E2987&gt;=2)</f>
        <v/>
      </c>
      <c r="G2987">
        <f>SUMPRODUCT(Calc!$K$3:$K$22*(Calc!$G$3:$G$22&gt;A2987)*(Calc!$G$3:$G$22-A2987))</f>
        <v/>
      </c>
      <c r="H2987">
        <f>SUMPRODUCT(Calc!$K$3:$K$22*(Calc!$G$3:$G$22&gt;B2987)*(Calc!$G$3:$G$22-B2987))</f>
        <v/>
      </c>
      <c r="I2987">
        <f>SUMPRODUCT(Calc!$K$3:$K$22*(Calc!$G$3:$G$22&gt;A2987)*(Calc!$G$3:$G$22-A2987)^2)</f>
        <v/>
      </c>
      <c r="J2987">
        <f>SUMPRODUCT(Calc!$K$3:$K$22*(Calc!$G$3:$G$22&gt;B2987)*(Calc!$G$3:$G$22-B2987)^2)</f>
        <v/>
      </c>
      <c r="K2987">
        <f>SUMPRODUCT(Calc!$K$3:$K$22*(Calc!$G$3:$G$22&gt;A2987)*(Calc!$G$3:$G$22-A2987)*(Calc!$G$3:$G$22&gt;B2987)*(Calc!$G$3:$G$22-B2987))</f>
        <v/>
      </c>
      <c r="L2987">
        <f>SUMPRODUCT(Calc!$K$3:$K$22*(Calc!$G$3:$G$22&gt;A2987)*(Calc!$G$3:$G$22-A2987)*Calc!$G$3:$G$22)</f>
        <v/>
      </c>
      <c r="M2987">
        <f>SUMPRODUCT(Calc!$K$3:$K$22*(Calc!$G$3:$G$22&gt;B2987)*(Calc!$G$3:$G$22-B2987)*Calc!$G$3:$G$22)</f>
        <v/>
      </c>
      <c r="N2987">
        <f>SUMPRODUCT(Calc!$K$3:$K$22*(Calc!$G$3:$G$22&gt;A2987)*(Calc!$G$3:$G$22-A2987)*Calc!$I$3:$I$22)</f>
        <v/>
      </c>
      <c r="O2987">
        <f>SUMPRODUCT(Calc!$K$3:$K$22*(Calc!$G$3:$G$22&gt;B2987)*(Calc!$G$3:$G$22-B2987)*Calc!$I$3:$I$22)</f>
        <v/>
      </c>
      <c r="P2987">
        <f>I2987-G2987^2/k_n</f>
        <v/>
      </c>
      <c r="Q2987">
        <f>J2987-H2987^2/k_n</f>
        <v/>
      </c>
      <c r="R2987">
        <f>K2987-G2987*H2987/k_n</f>
        <v/>
      </c>
      <c r="S2987">
        <f>L2987-LTP3!$D$3*G2987/k_n</f>
        <v/>
      </c>
      <c r="T2987">
        <f>M2987-LTP3!$D$3*H2987/k_n</f>
        <v/>
      </c>
      <c r="U2987">
        <f>N2987-G2987*LTP3!$D$4/k_n</f>
        <v/>
      </c>
      <c r="V2987">
        <f>O2987-H2987*LTP3!$D$4/k_n</f>
        <v/>
      </c>
      <c r="W2987">
        <f>((LTP3!$D$5)*((P2987)*(Q2987)-(R2987)*(R2987))-(S2987)*((S2987)*(Q2987)-(R2987)*(T2987))+(T2987)*((S2987)*(R2987)-(P2987)*(T2987)))</f>
        <v/>
      </c>
      <c r="X2987">
        <f>IF(ABS(W2987)&gt;1E-12,((LTP3!$D$6)*((P2987)*(Q2987)-(R2987)*(R2987))-(S2987)*((U2987)*(Q2987)-(R2987)*(V2987))+(T2987)*((U2987)*(R2987)-(P2987)*(V2987)))/W2987,0)</f>
        <v/>
      </c>
      <c r="Y2987">
        <f>IF(ABS(W2987)&gt;1E-12,((LTP3!$D$5)*((U2987)*(Q2987)-(R2987)*(V2987))-(LTP3!$D$6)*((S2987)*(Q2987)-(R2987)*(T2987))+(T2987)*((S2987)*(V2987)-(U2987)*(T2987)))/W2987,0)</f>
        <v/>
      </c>
      <c r="Z2987">
        <f>IF(ABS(W2987)&gt;1E-12,((LTP3!$D$5)*((P2987)*(V2987)-(U2987)*(R2987))-(S2987)*((S2987)*(V2987)-(U2987)*(T2987))+(LTP3!$D$6)*((S2987)*(R2987)-(P2987)*(T2987)))/W2987,0)</f>
        <v/>
      </c>
      <c r="AA2987">
        <f>LTP3!$D$7-X2987*LTP3!$D$6-Y2987*U2987-Z2987*V2987</f>
        <v/>
      </c>
      <c r="AB2987">
        <f>IF(AND(F2987,ABS(W2987)&gt;1E-12,Y2987&gt;0,Z2987&gt;0),AA2987,1E+300)</f>
        <v/>
      </c>
    </row>
    <row r="2988">
      <c r="A2988">
        <f>$B$3+$B$5*48</f>
        <v/>
      </c>
      <c r="B2988">
        <f>$B$3+$B$5*48</f>
        <v/>
      </c>
      <c r="C2988">
        <f>SUMPRODUCT(Calc!$K$3:$K$22*(Calc!$G$3:$G$22&lt;=A2988))</f>
        <v/>
      </c>
      <c r="D2988">
        <f>SUMPRODUCT(Calc!$K$3:$K$22*(Calc!$G$3:$G$22&gt;A2988)*(Calc!$G$3:$G$22&lt;B2988))</f>
        <v/>
      </c>
      <c r="E2988">
        <f>SUMPRODUCT(Calc!$K$3:$K$22*(Calc!$G$3:$G$22&gt;=B2988))</f>
        <v/>
      </c>
      <c r="F2988">
        <f>AND(k_n&gt;=5,B2988&gt;A2988+1E-9,C2988&gt;=2,D2988&gt;=1,E2988&gt;=2)</f>
        <v/>
      </c>
      <c r="G2988">
        <f>SUMPRODUCT(Calc!$K$3:$K$22*(Calc!$G$3:$G$22&gt;A2988)*(Calc!$G$3:$G$22-A2988))</f>
        <v/>
      </c>
      <c r="H2988">
        <f>SUMPRODUCT(Calc!$K$3:$K$22*(Calc!$G$3:$G$22&gt;B2988)*(Calc!$G$3:$G$22-B2988))</f>
        <v/>
      </c>
      <c r="I2988">
        <f>SUMPRODUCT(Calc!$K$3:$K$22*(Calc!$G$3:$G$22&gt;A2988)*(Calc!$G$3:$G$22-A2988)^2)</f>
        <v/>
      </c>
      <c r="J2988">
        <f>SUMPRODUCT(Calc!$K$3:$K$22*(Calc!$G$3:$G$22&gt;B2988)*(Calc!$G$3:$G$22-B2988)^2)</f>
        <v/>
      </c>
      <c r="K2988">
        <f>SUMPRODUCT(Calc!$K$3:$K$22*(Calc!$G$3:$G$22&gt;A2988)*(Calc!$G$3:$G$22-A2988)*(Calc!$G$3:$G$22&gt;B2988)*(Calc!$G$3:$G$22-B2988))</f>
        <v/>
      </c>
      <c r="L2988">
        <f>SUMPRODUCT(Calc!$K$3:$K$22*(Calc!$G$3:$G$22&gt;A2988)*(Calc!$G$3:$G$22-A2988)*Calc!$G$3:$G$22)</f>
        <v/>
      </c>
      <c r="M2988">
        <f>SUMPRODUCT(Calc!$K$3:$K$22*(Calc!$G$3:$G$22&gt;B2988)*(Calc!$G$3:$G$22-B2988)*Calc!$G$3:$G$22)</f>
        <v/>
      </c>
      <c r="N2988">
        <f>SUMPRODUCT(Calc!$K$3:$K$22*(Calc!$G$3:$G$22&gt;A2988)*(Calc!$G$3:$G$22-A2988)*Calc!$I$3:$I$22)</f>
        <v/>
      </c>
      <c r="O2988">
        <f>SUMPRODUCT(Calc!$K$3:$K$22*(Calc!$G$3:$G$22&gt;B2988)*(Calc!$G$3:$G$22-B2988)*Calc!$I$3:$I$22)</f>
        <v/>
      </c>
      <c r="P2988">
        <f>I2988-G2988^2/k_n</f>
        <v/>
      </c>
      <c r="Q2988">
        <f>J2988-H2988^2/k_n</f>
        <v/>
      </c>
      <c r="R2988">
        <f>K2988-G2988*H2988/k_n</f>
        <v/>
      </c>
      <c r="S2988">
        <f>L2988-LTP3!$D$3*G2988/k_n</f>
        <v/>
      </c>
      <c r="T2988">
        <f>M2988-LTP3!$D$3*H2988/k_n</f>
        <v/>
      </c>
      <c r="U2988">
        <f>N2988-G2988*LTP3!$D$4/k_n</f>
        <v/>
      </c>
      <c r="V2988">
        <f>O2988-H2988*LTP3!$D$4/k_n</f>
        <v/>
      </c>
      <c r="W2988">
        <f>((LTP3!$D$5)*((P2988)*(Q2988)-(R2988)*(R2988))-(S2988)*((S2988)*(Q2988)-(R2988)*(T2988))+(T2988)*((S2988)*(R2988)-(P2988)*(T2988)))</f>
        <v/>
      </c>
      <c r="X2988">
        <f>IF(ABS(W2988)&gt;1E-12,((LTP3!$D$6)*((P2988)*(Q2988)-(R2988)*(R2988))-(S2988)*((U2988)*(Q2988)-(R2988)*(V2988))+(T2988)*((U2988)*(R2988)-(P2988)*(V2988)))/W2988,0)</f>
        <v/>
      </c>
      <c r="Y2988">
        <f>IF(ABS(W2988)&gt;1E-12,((LTP3!$D$5)*((U2988)*(Q2988)-(R2988)*(V2988))-(LTP3!$D$6)*((S2988)*(Q2988)-(R2988)*(T2988))+(T2988)*((S2988)*(V2988)-(U2988)*(T2988)))/W2988,0)</f>
        <v/>
      </c>
      <c r="Z2988">
        <f>IF(ABS(W2988)&gt;1E-12,((LTP3!$D$5)*((P2988)*(V2988)-(U2988)*(R2988))-(S2988)*((S2988)*(V2988)-(U2988)*(T2988))+(LTP3!$D$6)*((S2988)*(R2988)-(P2988)*(T2988)))/W2988,0)</f>
        <v/>
      </c>
      <c r="AA2988">
        <f>LTP3!$D$7-X2988*LTP3!$D$6-Y2988*U2988-Z2988*V2988</f>
        <v/>
      </c>
      <c r="AB2988">
        <f>IF(AND(F2988,ABS(W2988)&gt;1E-12,Y2988&gt;0,Z2988&gt;0),AA2988,1E+300)</f>
        <v/>
      </c>
    </row>
    <row r="2989">
      <c r="A2989">
        <f>$B$3+$B$5*48</f>
        <v/>
      </c>
      <c r="B2989">
        <f>$B$3+$B$5*49</f>
        <v/>
      </c>
      <c r="C2989">
        <f>SUMPRODUCT(Calc!$K$3:$K$22*(Calc!$G$3:$G$22&lt;=A2989))</f>
        <v/>
      </c>
      <c r="D2989">
        <f>SUMPRODUCT(Calc!$K$3:$K$22*(Calc!$G$3:$G$22&gt;A2989)*(Calc!$G$3:$G$22&lt;B2989))</f>
        <v/>
      </c>
      <c r="E2989">
        <f>SUMPRODUCT(Calc!$K$3:$K$22*(Calc!$G$3:$G$22&gt;=B2989))</f>
        <v/>
      </c>
      <c r="F2989">
        <f>AND(k_n&gt;=5,B2989&gt;A2989+1E-9,C2989&gt;=2,D2989&gt;=1,E2989&gt;=2)</f>
        <v/>
      </c>
      <c r="G2989">
        <f>SUMPRODUCT(Calc!$K$3:$K$22*(Calc!$G$3:$G$22&gt;A2989)*(Calc!$G$3:$G$22-A2989))</f>
        <v/>
      </c>
      <c r="H2989">
        <f>SUMPRODUCT(Calc!$K$3:$K$22*(Calc!$G$3:$G$22&gt;B2989)*(Calc!$G$3:$G$22-B2989))</f>
        <v/>
      </c>
      <c r="I2989">
        <f>SUMPRODUCT(Calc!$K$3:$K$22*(Calc!$G$3:$G$22&gt;A2989)*(Calc!$G$3:$G$22-A2989)^2)</f>
        <v/>
      </c>
      <c r="J2989">
        <f>SUMPRODUCT(Calc!$K$3:$K$22*(Calc!$G$3:$G$22&gt;B2989)*(Calc!$G$3:$G$22-B2989)^2)</f>
        <v/>
      </c>
      <c r="K2989">
        <f>SUMPRODUCT(Calc!$K$3:$K$22*(Calc!$G$3:$G$22&gt;A2989)*(Calc!$G$3:$G$22-A2989)*(Calc!$G$3:$G$22&gt;B2989)*(Calc!$G$3:$G$22-B2989))</f>
        <v/>
      </c>
      <c r="L2989">
        <f>SUMPRODUCT(Calc!$K$3:$K$22*(Calc!$G$3:$G$22&gt;A2989)*(Calc!$G$3:$G$22-A2989)*Calc!$G$3:$G$22)</f>
        <v/>
      </c>
      <c r="M2989">
        <f>SUMPRODUCT(Calc!$K$3:$K$22*(Calc!$G$3:$G$22&gt;B2989)*(Calc!$G$3:$G$22-B2989)*Calc!$G$3:$G$22)</f>
        <v/>
      </c>
      <c r="N2989">
        <f>SUMPRODUCT(Calc!$K$3:$K$22*(Calc!$G$3:$G$22&gt;A2989)*(Calc!$G$3:$G$22-A2989)*Calc!$I$3:$I$22)</f>
        <v/>
      </c>
      <c r="O2989">
        <f>SUMPRODUCT(Calc!$K$3:$K$22*(Calc!$G$3:$G$22&gt;B2989)*(Calc!$G$3:$G$22-B2989)*Calc!$I$3:$I$22)</f>
        <v/>
      </c>
      <c r="P2989">
        <f>I2989-G2989^2/k_n</f>
        <v/>
      </c>
      <c r="Q2989">
        <f>J2989-H2989^2/k_n</f>
        <v/>
      </c>
      <c r="R2989">
        <f>K2989-G2989*H2989/k_n</f>
        <v/>
      </c>
      <c r="S2989">
        <f>L2989-LTP3!$D$3*G2989/k_n</f>
        <v/>
      </c>
      <c r="T2989">
        <f>M2989-LTP3!$D$3*H2989/k_n</f>
        <v/>
      </c>
      <c r="U2989">
        <f>N2989-G2989*LTP3!$D$4/k_n</f>
        <v/>
      </c>
      <c r="V2989">
        <f>O2989-H2989*LTP3!$D$4/k_n</f>
        <v/>
      </c>
      <c r="W2989">
        <f>((LTP3!$D$5)*((P2989)*(Q2989)-(R2989)*(R2989))-(S2989)*((S2989)*(Q2989)-(R2989)*(T2989))+(T2989)*((S2989)*(R2989)-(P2989)*(T2989)))</f>
        <v/>
      </c>
      <c r="X2989">
        <f>IF(ABS(W2989)&gt;1E-12,((LTP3!$D$6)*((P2989)*(Q2989)-(R2989)*(R2989))-(S2989)*((U2989)*(Q2989)-(R2989)*(V2989))+(T2989)*((U2989)*(R2989)-(P2989)*(V2989)))/W2989,0)</f>
        <v/>
      </c>
      <c r="Y2989">
        <f>IF(ABS(W2989)&gt;1E-12,((LTP3!$D$5)*((U2989)*(Q2989)-(R2989)*(V2989))-(LTP3!$D$6)*((S2989)*(Q2989)-(R2989)*(T2989))+(T2989)*((S2989)*(V2989)-(U2989)*(T2989)))/W2989,0)</f>
        <v/>
      </c>
      <c r="Z2989">
        <f>IF(ABS(W2989)&gt;1E-12,((LTP3!$D$5)*((P2989)*(V2989)-(U2989)*(R2989))-(S2989)*((S2989)*(V2989)-(U2989)*(T2989))+(LTP3!$D$6)*((S2989)*(R2989)-(P2989)*(T2989)))/W2989,0)</f>
        <v/>
      </c>
      <c r="AA2989">
        <f>LTP3!$D$7-X2989*LTP3!$D$6-Y2989*U2989-Z2989*V2989</f>
        <v/>
      </c>
      <c r="AB2989">
        <f>IF(AND(F2989,ABS(W2989)&gt;1E-12,Y2989&gt;0,Z2989&gt;0),AA2989,1E+300)</f>
        <v/>
      </c>
    </row>
    <row r="2990">
      <c r="A2990">
        <f>$B$3+$B$5*48</f>
        <v/>
      </c>
      <c r="B2990">
        <f>$B$3+$B$5*50</f>
        <v/>
      </c>
      <c r="C2990">
        <f>SUMPRODUCT(Calc!$K$3:$K$22*(Calc!$G$3:$G$22&lt;=A2990))</f>
        <v/>
      </c>
      <c r="D2990">
        <f>SUMPRODUCT(Calc!$K$3:$K$22*(Calc!$G$3:$G$22&gt;A2990)*(Calc!$G$3:$G$22&lt;B2990))</f>
        <v/>
      </c>
      <c r="E2990">
        <f>SUMPRODUCT(Calc!$K$3:$K$22*(Calc!$G$3:$G$22&gt;=B2990))</f>
        <v/>
      </c>
      <c r="F2990">
        <f>AND(k_n&gt;=5,B2990&gt;A2990+1E-9,C2990&gt;=2,D2990&gt;=1,E2990&gt;=2)</f>
        <v/>
      </c>
      <c r="G2990">
        <f>SUMPRODUCT(Calc!$K$3:$K$22*(Calc!$G$3:$G$22&gt;A2990)*(Calc!$G$3:$G$22-A2990))</f>
        <v/>
      </c>
      <c r="H2990">
        <f>SUMPRODUCT(Calc!$K$3:$K$22*(Calc!$G$3:$G$22&gt;B2990)*(Calc!$G$3:$G$22-B2990))</f>
        <v/>
      </c>
      <c r="I2990">
        <f>SUMPRODUCT(Calc!$K$3:$K$22*(Calc!$G$3:$G$22&gt;A2990)*(Calc!$G$3:$G$22-A2990)^2)</f>
        <v/>
      </c>
      <c r="J2990">
        <f>SUMPRODUCT(Calc!$K$3:$K$22*(Calc!$G$3:$G$22&gt;B2990)*(Calc!$G$3:$G$22-B2990)^2)</f>
        <v/>
      </c>
      <c r="K2990">
        <f>SUMPRODUCT(Calc!$K$3:$K$22*(Calc!$G$3:$G$22&gt;A2990)*(Calc!$G$3:$G$22-A2990)*(Calc!$G$3:$G$22&gt;B2990)*(Calc!$G$3:$G$22-B2990))</f>
        <v/>
      </c>
      <c r="L2990">
        <f>SUMPRODUCT(Calc!$K$3:$K$22*(Calc!$G$3:$G$22&gt;A2990)*(Calc!$G$3:$G$22-A2990)*Calc!$G$3:$G$22)</f>
        <v/>
      </c>
      <c r="M2990">
        <f>SUMPRODUCT(Calc!$K$3:$K$22*(Calc!$G$3:$G$22&gt;B2990)*(Calc!$G$3:$G$22-B2990)*Calc!$G$3:$G$22)</f>
        <v/>
      </c>
      <c r="N2990">
        <f>SUMPRODUCT(Calc!$K$3:$K$22*(Calc!$G$3:$G$22&gt;A2990)*(Calc!$G$3:$G$22-A2990)*Calc!$I$3:$I$22)</f>
        <v/>
      </c>
      <c r="O2990">
        <f>SUMPRODUCT(Calc!$K$3:$K$22*(Calc!$G$3:$G$22&gt;B2990)*(Calc!$G$3:$G$22-B2990)*Calc!$I$3:$I$22)</f>
        <v/>
      </c>
      <c r="P2990">
        <f>I2990-G2990^2/k_n</f>
        <v/>
      </c>
      <c r="Q2990">
        <f>J2990-H2990^2/k_n</f>
        <v/>
      </c>
      <c r="R2990">
        <f>K2990-G2990*H2990/k_n</f>
        <v/>
      </c>
      <c r="S2990">
        <f>L2990-LTP3!$D$3*G2990/k_n</f>
        <v/>
      </c>
      <c r="T2990">
        <f>M2990-LTP3!$D$3*H2990/k_n</f>
        <v/>
      </c>
      <c r="U2990">
        <f>N2990-G2990*LTP3!$D$4/k_n</f>
        <v/>
      </c>
      <c r="V2990">
        <f>O2990-H2990*LTP3!$D$4/k_n</f>
        <v/>
      </c>
      <c r="W2990">
        <f>((LTP3!$D$5)*((P2990)*(Q2990)-(R2990)*(R2990))-(S2990)*((S2990)*(Q2990)-(R2990)*(T2990))+(T2990)*((S2990)*(R2990)-(P2990)*(T2990)))</f>
        <v/>
      </c>
      <c r="X2990">
        <f>IF(ABS(W2990)&gt;1E-12,((LTP3!$D$6)*((P2990)*(Q2990)-(R2990)*(R2990))-(S2990)*((U2990)*(Q2990)-(R2990)*(V2990))+(T2990)*((U2990)*(R2990)-(P2990)*(V2990)))/W2990,0)</f>
        <v/>
      </c>
      <c r="Y2990">
        <f>IF(ABS(W2990)&gt;1E-12,((LTP3!$D$5)*((U2990)*(Q2990)-(R2990)*(V2990))-(LTP3!$D$6)*((S2990)*(Q2990)-(R2990)*(T2990))+(T2990)*((S2990)*(V2990)-(U2990)*(T2990)))/W2990,0)</f>
        <v/>
      </c>
      <c r="Z2990">
        <f>IF(ABS(W2990)&gt;1E-12,((LTP3!$D$5)*((P2990)*(V2990)-(U2990)*(R2990))-(S2990)*((S2990)*(V2990)-(U2990)*(T2990))+(LTP3!$D$6)*((S2990)*(R2990)-(P2990)*(T2990)))/W2990,0)</f>
        <v/>
      </c>
      <c r="AA2990">
        <f>LTP3!$D$7-X2990*LTP3!$D$6-Y2990*U2990-Z2990*V2990</f>
        <v/>
      </c>
      <c r="AB2990">
        <f>IF(AND(F2990,ABS(W2990)&gt;1E-12,Y2990&gt;0,Z2990&gt;0),AA2990,1E+300)</f>
        <v/>
      </c>
    </row>
    <row r="2991">
      <c r="A2991">
        <f>$B$3+$B$5*48</f>
        <v/>
      </c>
      <c r="B2991">
        <f>$B$3+$B$5*51</f>
        <v/>
      </c>
      <c r="C2991">
        <f>SUMPRODUCT(Calc!$K$3:$K$22*(Calc!$G$3:$G$22&lt;=A2991))</f>
        <v/>
      </c>
      <c r="D2991">
        <f>SUMPRODUCT(Calc!$K$3:$K$22*(Calc!$G$3:$G$22&gt;A2991)*(Calc!$G$3:$G$22&lt;B2991))</f>
        <v/>
      </c>
      <c r="E2991">
        <f>SUMPRODUCT(Calc!$K$3:$K$22*(Calc!$G$3:$G$22&gt;=B2991))</f>
        <v/>
      </c>
      <c r="F2991">
        <f>AND(k_n&gt;=5,B2991&gt;A2991+1E-9,C2991&gt;=2,D2991&gt;=1,E2991&gt;=2)</f>
        <v/>
      </c>
      <c r="G2991">
        <f>SUMPRODUCT(Calc!$K$3:$K$22*(Calc!$G$3:$G$22&gt;A2991)*(Calc!$G$3:$G$22-A2991))</f>
        <v/>
      </c>
      <c r="H2991">
        <f>SUMPRODUCT(Calc!$K$3:$K$22*(Calc!$G$3:$G$22&gt;B2991)*(Calc!$G$3:$G$22-B2991))</f>
        <v/>
      </c>
      <c r="I2991">
        <f>SUMPRODUCT(Calc!$K$3:$K$22*(Calc!$G$3:$G$22&gt;A2991)*(Calc!$G$3:$G$22-A2991)^2)</f>
        <v/>
      </c>
      <c r="J2991">
        <f>SUMPRODUCT(Calc!$K$3:$K$22*(Calc!$G$3:$G$22&gt;B2991)*(Calc!$G$3:$G$22-B2991)^2)</f>
        <v/>
      </c>
      <c r="K2991">
        <f>SUMPRODUCT(Calc!$K$3:$K$22*(Calc!$G$3:$G$22&gt;A2991)*(Calc!$G$3:$G$22-A2991)*(Calc!$G$3:$G$22&gt;B2991)*(Calc!$G$3:$G$22-B2991))</f>
        <v/>
      </c>
      <c r="L2991">
        <f>SUMPRODUCT(Calc!$K$3:$K$22*(Calc!$G$3:$G$22&gt;A2991)*(Calc!$G$3:$G$22-A2991)*Calc!$G$3:$G$22)</f>
        <v/>
      </c>
      <c r="M2991">
        <f>SUMPRODUCT(Calc!$K$3:$K$22*(Calc!$G$3:$G$22&gt;B2991)*(Calc!$G$3:$G$22-B2991)*Calc!$G$3:$G$22)</f>
        <v/>
      </c>
      <c r="N2991">
        <f>SUMPRODUCT(Calc!$K$3:$K$22*(Calc!$G$3:$G$22&gt;A2991)*(Calc!$G$3:$G$22-A2991)*Calc!$I$3:$I$22)</f>
        <v/>
      </c>
      <c r="O2991">
        <f>SUMPRODUCT(Calc!$K$3:$K$22*(Calc!$G$3:$G$22&gt;B2991)*(Calc!$G$3:$G$22-B2991)*Calc!$I$3:$I$22)</f>
        <v/>
      </c>
      <c r="P2991">
        <f>I2991-G2991^2/k_n</f>
        <v/>
      </c>
      <c r="Q2991">
        <f>J2991-H2991^2/k_n</f>
        <v/>
      </c>
      <c r="R2991">
        <f>K2991-G2991*H2991/k_n</f>
        <v/>
      </c>
      <c r="S2991">
        <f>L2991-LTP3!$D$3*G2991/k_n</f>
        <v/>
      </c>
      <c r="T2991">
        <f>M2991-LTP3!$D$3*H2991/k_n</f>
        <v/>
      </c>
      <c r="U2991">
        <f>N2991-G2991*LTP3!$D$4/k_n</f>
        <v/>
      </c>
      <c r="V2991">
        <f>O2991-H2991*LTP3!$D$4/k_n</f>
        <v/>
      </c>
      <c r="W2991">
        <f>((LTP3!$D$5)*((P2991)*(Q2991)-(R2991)*(R2991))-(S2991)*((S2991)*(Q2991)-(R2991)*(T2991))+(T2991)*((S2991)*(R2991)-(P2991)*(T2991)))</f>
        <v/>
      </c>
      <c r="X2991">
        <f>IF(ABS(W2991)&gt;1E-12,((LTP3!$D$6)*((P2991)*(Q2991)-(R2991)*(R2991))-(S2991)*((U2991)*(Q2991)-(R2991)*(V2991))+(T2991)*((U2991)*(R2991)-(P2991)*(V2991)))/W2991,0)</f>
        <v/>
      </c>
      <c r="Y2991">
        <f>IF(ABS(W2991)&gt;1E-12,((LTP3!$D$5)*((U2991)*(Q2991)-(R2991)*(V2991))-(LTP3!$D$6)*((S2991)*(Q2991)-(R2991)*(T2991))+(T2991)*((S2991)*(V2991)-(U2991)*(T2991)))/W2991,0)</f>
        <v/>
      </c>
      <c r="Z2991">
        <f>IF(ABS(W2991)&gt;1E-12,((LTP3!$D$5)*((P2991)*(V2991)-(U2991)*(R2991))-(S2991)*((S2991)*(V2991)-(U2991)*(T2991))+(LTP3!$D$6)*((S2991)*(R2991)-(P2991)*(T2991)))/W2991,0)</f>
        <v/>
      </c>
      <c r="AA2991">
        <f>LTP3!$D$7-X2991*LTP3!$D$6-Y2991*U2991-Z2991*V2991</f>
        <v/>
      </c>
      <c r="AB2991">
        <f>IF(AND(F2991,ABS(W2991)&gt;1E-12,Y2991&gt;0,Z2991&gt;0),AA2991,1E+300)</f>
        <v/>
      </c>
    </row>
    <row r="2992">
      <c r="A2992">
        <f>$B$3+$B$5*48</f>
        <v/>
      </c>
      <c r="B2992">
        <f>$B$3+$B$5*52</f>
        <v/>
      </c>
      <c r="C2992">
        <f>SUMPRODUCT(Calc!$K$3:$K$22*(Calc!$G$3:$G$22&lt;=A2992))</f>
        <v/>
      </c>
      <c r="D2992">
        <f>SUMPRODUCT(Calc!$K$3:$K$22*(Calc!$G$3:$G$22&gt;A2992)*(Calc!$G$3:$G$22&lt;B2992))</f>
        <v/>
      </c>
      <c r="E2992">
        <f>SUMPRODUCT(Calc!$K$3:$K$22*(Calc!$G$3:$G$22&gt;=B2992))</f>
        <v/>
      </c>
      <c r="F2992">
        <f>AND(k_n&gt;=5,B2992&gt;A2992+1E-9,C2992&gt;=2,D2992&gt;=1,E2992&gt;=2)</f>
        <v/>
      </c>
      <c r="G2992">
        <f>SUMPRODUCT(Calc!$K$3:$K$22*(Calc!$G$3:$G$22&gt;A2992)*(Calc!$G$3:$G$22-A2992))</f>
        <v/>
      </c>
      <c r="H2992">
        <f>SUMPRODUCT(Calc!$K$3:$K$22*(Calc!$G$3:$G$22&gt;B2992)*(Calc!$G$3:$G$22-B2992))</f>
        <v/>
      </c>
      <c r="I2992">
        <f>SUMPRODUCT(Calc!$K$3:$K$22*(Calc!$G$3:$G$22&gt;A2992)*(Calc!$G$3:$G$22-A2992)^2)</f>
        <v/>
      </c>
      <c r="J2992">
        <f>SUMPRODUCT(Calc!$K$3:$K$22*(Calc!$G$3:$G$22&gt;B2992)*(Calc!$G$3:$G$22-B2992)^2)</f>
        <v/>
      </c>
      <c r="K2992">
        <f>SUMPRODUCT(Calc!$K$3:$K$22*(Calc!$G$3:$G$22&gt;A2992)*(Calc!$G$3:$G$22-A2992)*(Calc!$G$3:$G$22&gt;B2992)*(Calc!$G$3:$G$22-B2992))</f>
        <v/>
      </c>
      <c r="L2992">
        <f>SUMPRODUCT(Calc!$K$3:$K$22*(Calc!$G$3:$G$22&gt;A2992)*(Calc!$G$3:$G$22-A2992)*Calc!$G$3:$G$22)</f>
        <v/>
      </c>
      <c r="M2992">
        <f>SUMPRODUCT(Calc!$K$3:$K$22*(Calc!$G$3:$G$22&gt;B2992)*(Calc!$G$3:$G$22-B2992)*Calc!$G$3:$G$22)</f>
        <v/>
      </c>
      <c r="N2992">
        <f>SUMPRODUCT(Calc!$K$3:$K$22*(Calc!$G$3:$G$22&gt;A2992)*(Calc!$G$3:$G$22-A2992)*Calc!$I$3:$I$22)</f>
        <v/>
      </c>
      <c r="O2992">
        <f>SUMPRODUCT(Calc!$K$3:$K$22*(Calc!$G$3:$G$22&gt;B2992)*(Calc!$G$3:$G$22-B2992)*Calc!$I$3:$I$22)</f>
        <v/>
      </c>
      <c r="P2992">
        <f>I2992-G2992^2/k_n</f>
        <v/>
      </c>
      <c r="Q2992">
        <f>J2992-H2992^2/k_n</f>
        <v/>
      </c>
      <c r="R2992">
        <f>K2992-G2992*H2992/k_n</f>
        <v/>
      </c>
      <c r="S2992">
        <f>L2992-LTP3!$D$3*G2992/k_n</f>
        <v/>
      </c>
      <c r="T2992">
        <f>M2992-LTP3!$D$3*H2992/k_n</f>
        <v/>
      </c>
      <c r="U2992">
        <f>N2992-G2992*LTP3!$D$4/k_n</f>
        <v/>
      </c>
      <c r="V2992">
        <f>O2992-H2992*LTP3!$D$4/k_n</f>
        <v/>
      </c>
      <c r="W2992">
        <f>((LTP3!$D$5)*((P2992)*(Q2992)-(R2992)*(R2992))-(S2992)*((S2992)*(Q2992)-(R2992)*(T2992))+(T2992)*((S2992)*(R2992)-(P2992)*(T2992)))</f>
        <v/>
      </c>
      <c r="X2992">
        <f>IF(ABS(W2992)&gt;1E-12,((LTP3!$D$6)*((P2992)*(Q2992)-(R2992)*(R2992))-(S2992)*((U2992)*(Q2992)-(R2992)*(V2992))+(T2992)*((U2992)*(R2992)-(P2992)*(V2992)))/W2992,0)</f>
        <v/>
      </c>
      <c r="Y2992">
        <f>IF(ABS(W2992)&gt;1E-12,((LTP3!$D$5)*((U2992)*(Q2992)-(R2992)*(V2992))-(LTP3!$D$6)*((S2992)*(Q2992)-(R2992)*(T2992))+(T2992)*((S2992)*(V2992)-(U2992)*(T2992)))/W2992,0)</f>
        <v/>
      </c>
      <c r="Z2992">
        <f>IF(ABS(W2992)&gt;1E-12,((LTP3!$D$5)*((P2992)*(V2992)-(U2992)*(R2992))-(S2992)*((S2992)*(V2992)-(U2992)*(T2992))+(LTP3!$D$6)*((S2992)*(R2992)-(P2992)*(T2992)))/W2992,0)</f>
        <v/>
      </c>
      <c r="AA2992">
        <f>LTP3!$D$7-X2992*LTP3!$D$6-Y2992*U2992-Z2992*V2992</f>
        <v/>
      </c>
      <c r="AB2992">
        <f>IF(AND(F2992,ABS(W2992)&gt;1E-12,Y2992&gt;0,Z2992&gt;0),AA2992,1E+300)</f>
        <v/>
      </c>
    </row>
    <row r="2993">
      <c r="A2993">
        <f>$B$3+$B$5*48</f>
        <v/>
      </c>
      <c r="B2993">
        <f>$B$3+$B$5*53</f>
        <v/>
      </c>
      <c r="C2993">
        <f>SUMPRODUCT(Calc!$K$3:$K$22*(Calc!$G$3:$G$22&lt;=A2993))</f>
        <v/>
      </c>
      <c r="D2993">
        <f>SUMPRODUCT(Calc!$K$3:$K$22*(Calc!$G$3:$G$22&gt;A2993)*(Calc!$G$3:$G$22&lt;B2993))</f>
        <v/>
      </c>
      <c r="E2993">
        <f>SUMPRODUCT(Calc!$K$3:$K$22*(Calc!$G$3:$G$22&gt;=B2993))</f>
        <v/>
      </c>
      <c r="F2993">
        <f>AND(k_n&gt;=5,B2993&gt;A2993+1E-9,C2993&gt;=2,D2993&gt;=1,E2993&gt;=2)</f>
        <v/>
      </c>
      <c r="G2993">
        <f>SUMPRODUCT(Calc!$K$3:$K$22*(Calc!$G$3:$G$22&gt;A2993)*(Calc!$G$3:$G$22-A2993))</f>
        <v/>
      </c>
      <c r="H2993">
        <f>SUMPRODUCT(Calc!$K$3:$K$22*(Calc!$G$3:$G$22&gt;B2993)*(Calc!$G$3:$G$22-B2993))</f>
        <v/>
      </c>
      <c r="I2993">
        <f>SUMPRODUCT(Calc!$K$3:$K$22*(Calc!$G$3:$G$22&gt;A2993)*(Calc!$G$3:$G$22-A2993)^2)</f>
        <v/>
      </c>
      <c r="J2993">
        <f>SUMPRODUCT(Calc!$K$3:$K$22*(Calc!$G$3:$G$22&gt;B2993)*(Calc!$G$3:$G$22-B2993)^2)</f>
        <v/>
      </c>
      <c r="K2993">
        <f>SUMPRODUCT(Calc!$K$3:$K$22*(Calc!$G$3:$G$22&gt;A2993)*(Calc!$G$3:$G$22-A2993)*(Calc!$G$3:$G$22&gt;B2993)*(Calc!$G$3:$G$22-B2993))</f>
        <v/>
      </c>
      <c r="L2993">
        <f>SUMPRODUCT(Calc!$K$3:$K$22*(Calc!$G$3:$G$22&gt;A2993)*(Calc!$G$3:$G$22-A2993)*Calc!$G$3:$G$22)</f>
        <v/>
      </c>
      <c r="M2993">
        <f>SUMPRODUCT(Calc!$K$3:$K$22*(Calc!$G$3:$G$22&gt;B2993)*(Calc!$G$3:$G$22-B2993)*Calc!$G$3:$G$22)</f>
        <v/>
      </c>
      <c r="N2993">
        <f>SUMPRODUCT(Calc!$K$3:$K$22*(Calc!$G$3:$G$22&gt;A2993)*(Calc!$G$3:$G$22-A2993)*Calc!$I$3:$I$22)</f>
        <v/>
      </c>
      <c r="O2993">
        <f>SUMPRODUCT(Calc!$K$3:$K$22*(Calc!$G$3:$G$22&gt;B2993)*(Calc!$G$3:$G$22-B2993)*Calc!$I$3:$I$22)</f>
        <v/>
      </c>
      <c r="P2993">
        <f>I2993-G2993^2/k_n</f>
        <v/>
      </c>
      <c r="Q2993">
        <f>J2993-H2993^2/k_n</f>
        <v/>
      </c>
      <c r="R2993">
        <f>K2993-G2993*H2993/k_n</f>
        <v/>
      </c>
      <c r="S2993">
        <f>L2993-LTP3!$D$3*G2993/k_n</f>
        <v/>
      </c>
      <c r="T2993">
        <f>M2993-LTP3!$D$3*H2993/k_n</f>
        <v/>
      </c>
      <c r="U2993">
        <f>N2993-G2993*LTP3!$D$4/k_n</f>
        <v/>
      </c>
      <c r="V2993">
        <f>O2993-H2993*LTP3!$D$4/k_n</f>
        <v/>
      </c>
      <c r="W2993">
        <f>((LTP3!$D$5)*((P2993)*(Q2993)-(R2993)*(R2993))-(S2993)*((S2993)*(Q2993)-(R2993)*(T2993))+(T2993)*((S2993)*(R2993)-(P2993)*(T2993)))</f>
        <v/>
      </c>
      <c r="X2993">
        <f>IF(ABS(W2993)&gt;1E-12,((LTP3!$D$6)*((P2993)*(Q2993)-(R2993)*(R2993))-(S2993)*((U2993)*(Q2993)-(R2993)*(V2993))+(T2993)*((U2993)*(R2993)-(P2993)*(V2993)))/W2993,0)</f>
        <v/>
      </c>
      <c r="Y2993">
        <f>IF(ABS(W2993)&gt;1E-12,((LTP3!$D$5)*((U2993)*(Q2993)-(R2993)*(V2993))-(LTP3!$D$6)*((S2993)*(Q2993)-(R2993)*(T2993))+(T2993)*((S2993)*(V2993)-(U2993)*(T2993)))/W2993,0)</f>
        <v/>
      </c>
      <c r="Z2993">
        <f>IF(ABS(W2993)&gt;1E-12,((LTP3!$D$5)*((P2993)*(V2993)-(U2993)*(R2993))-(S2993)*((S2993)*(V2993)-(U2993)*(T2993))+(LTP3!$D$6)*((S2993)*(R2993)-(P2993)*(T2993)))/W2993,0)</f>
        <v/>
      </c>
      <c r="AA2993">
        <f>LTP3!$D$7-X2993*LTP3!$D$6-Y2993*U2993-Z2993*V2993</f>
        <v/>
      </c>
      <c r="AB2993">
        <f>IF(AND(F2993,ABS(W2993)&gt;1E-12,Y2993&gt;0,Z2993&gt;0),AA2993,1E+300)</f>
        <v/>
      </c>
    </row>
    <row r="2994">
      <c r="A2994">
        <f>$B$3+$B$5*48</f>
        <v/>
      </c>
      <c r="B2994">
        <f>$B$3+$B$5*54</f>
        <v/>
      </c>
      <c r="C2994">
        <f>SUMPRODUCT(Calc!$K$3:$K$22*(Calc!$G$3:$G$22&lt;=A2994))</f>
        <v/>
      </c>
      <c r="D2994">
        <f>SUMPRODUCT(Calc!$K$3:$K$22*(Calc!$G$3:$G$22&gt;A2994)*(Calc!$G$3:$G$22&lt;B2994))</f>
        <v/>
      </c>
      <c r="E2994">
        <f>SUMPRODUCT(Calc!$K$3:$K$22*(Calc!$G$3:$G$22&gt;=B2994))</f>
        <v/>
      </c>
      <c r="F2994">
        <f>AND(k_n&gt;=5,B2994&gt;A2994+1E-9,C2994&gt;=2,D2994&gt;=1,E2994&gt;=2)</f>
        <v/>
      </c>
      <c r="G2994">
        <f>SUMPRODUCT(Calc!$K$3:$K$22*(Calc!$G$3:$G$22&gt;A2994)*(Calc!$G$3:$G$22-A2994))</f>
        <v/>
      </c>
      <c r="H2994">
        <f>SUMPRODUCT(Calc!$K$3:$K$22*(Calc!$G$3:$G$22&gt;B2994)*(Calc!$G$3:$G$22-B2994))</f>
        <v/>
      </c>
      <c r="I2994">
        <f>SUMPRODUCT(Calc!$K$3:$K$22*(Calc!$G$3:$G$22&gt;A2994)*(Calc!$G$3:$G$22-A2994)^2)</f>
        <v/>
      </c>
      <c r="J2994">
        <f>SUMPRODUCT(Calc!$K$3:$K$22*(Calc!$G$3:$G$22&gt;B2994)*(Calc!$G$3:$G$22-B2994)^2)</f>
        <v/>
      </c>
      <c r="K2994">
        <f>SUMPRODUCT(Calc!$K$3:$K$22*(Calc!$G$3:$G$22&gt;A2994)*(Calc!$G$3:$G$22-A2994)*(Calc!$G$3:$G$22&gt;B2994)*(Calc!$G$3:$G$22-B2994))</f>
        <v/>
      </c>
      <c r="L2994">
        <f>SUMPRODUCT(Calc!$K$3:$K$22*(Calc!$G$3:$G$22&gt;A2994)*(Calc!$G$3:$G$22-A2994)*Calc!$G$3:$G$22)</f>
        <v/>
      </c>
      <c r="M2994">
        <f>SUMPRODUCT(Calc!$K$3:$K$22*(Calc!$G$3:$G$22&gt;B2994)*(Calc!$G$3:$G$22-B2994)*Calc!$G$3:$G$22)</f>
        <v/>
      </c>
      <c r="N2994">
        <f>SUMPRODUCT(Calc!$K$3:$K$22*(Calc!$G$3:$G$22&gt;A2994)*(Calc!$G$3:$G$22-A2994)*Calc!$I$3:$I$22)</f>
        <v/>
      </c>
      <c r="O2994">
        <f>SUMPRODUCT(Calc!$K$3:$K$22*(Calc!$G$3:$G$22&gt;B2994)*(Calc!$G$3:$G$22-B2994)*Calc!$I$3:$I$22)</f>
        <v/>
      </c>
      <c r="P2994">
        <f>I2994-G2994^2/k_n</f>
        <v/>
      </c>
      <c r="Q2994">
        <f>J2994-H2994^2/k_n</f>
        <v/>
      </c>
      <c r="R2994">
        <f>K2994-G2994*H2994/k_n</f>
        <v/>
      </c>
      <c r="S2994">
        <f>L2994-LTP3!$D$3*G2994/k_n</f>
        <v/>
      </c>
      <c r="T2994">
        <f>M2994-LTP3!$D$3*H2994/k_n</f>
        <v/>
      </c>
      <c r="U2994">
        <f>N2994-G2994*LTP3!$D$4/k_n</f>
        <v/>
      </c>
      <c r="V2994">
        <f>O2994-H2994*LTP3!$D$4/k_n</f>
        <v/>
      </c>
      <c r="W2994">
        <f>((LTP3!$D$5)*((P2994)*(Q2994)-(R2994)*(R2994))-(S2994)*((S2994)*(Q2994)-(R2994)*(T2994))+(T2994)*((S2994)*(R2994)-(P2994)*(T2994)))</f>
        <v/>
      </c>
      <c r="X2994">
        <f>IF(ABS(W2994)&gt;1E-12,((LTP3!$D$6)*((P2994)*(Q2994)-(R2994)*(R2994))-(S2994)*((U2994)*(Q2994)-(R2994)*(V2994))+(T2994)*((U2994)*(R2994)-(P2994)*(V2994)))/W2994,0)</f>
        <v/>
      </c>
      <c r="Y2994">
        <f>IF(ABS(W2994)&gt;1E-12,((LTP3!$D$5)*((U2994)*(Q2994)-(R2994)*(V2994))-(LTP3!$D$6)*((S2994)*(Q2994)-(R2994)*(T2994))+(T2994)*((S2994)*(V2994)-(U2994)*(T2994)))/W2994,0)</f>
        <v/>
      </c>
      <c r="Z2994">
        <f>IF(ABS(W2994)&gt;1E-12,((LTP3!$D$5)*((P2994)*(V2994)-(U2994)*(R2994))-(S2994)*((S2994)*(V2994)-(U2994)*(T2994))+(LTP3!$D$6)*((S2994)*(R2994)-(P2994)*(T2994)))/W2994,0)</f>
        <v/>
      </c>
      <c r="AA2994">
        <f>LTP3!$D$7-X2994*LTP3!$D$6-Y2994*U2994-Z2994*V2994</f>
        <v/>
      </c>
      <c r="AB2994">
        <f>IF(AND(F2994,ABS(W2994)&gt;1E-12,Y2994&gt;0,Z2994&gt;0),AA2994,1E+300)</f>
        <v/>
      </c>
    </row>
    <row r="2995">
      <c r="A2995">
        <f>$B$3+$B$5*48</f>
        <v/>
      </c>
      <c r="B2995">
        <f>$B$3+$B$5*55</f>
        <v/>
      </c>
      <c r="C2995">
        <f>SUMPRODUCT(Calc!$K$3:$K$22*(Calc!$G$3:$G$22&lt;=A2995))</f>
        <v/>
      </c>
      <c r="D2995">
        <f>SUMPRODUCT(Calc!$K$3:$K$22*(Calc!$G$3:$G$22&gt;A2995)*(Calc!$G$3:$G$22&lt;B2995))</f>
        <v/>
      </c>
      <c r="E2995">
        <f>SUMPRODUCT(Calc!$K$3:$K$22*(Calc!$G$3:$G$22&gt;=B2995))</f>
        <v/>
      </c>
      <c r="F2995">
        <f>AND(k_n&gt;=5,B2995&gt;A2995+1E-9,C2995&gt;=2,D2995&gt;=1,E2995&gt;=2)</f>
        <v/>
      </c>
      <c r="G2995">
        <f>SUMPRODUCT(Calc!$K$3:$K$22*(Calc!$G$3:$G$22&gt;A2995)*(Calc!$G$3:$G$22-A2995))</f>
        <v/>
      </c>
      <c r="H2995">
        <f>SUMPRODUCT(Calc!$K$3:$K$22*(Calc!$G$3:$G$22&gt;B2995)*(Calc!$G$3:$G$22-B2995))</f>
        <v/>
      </c>
      <c r="I2995">
        <f>SUMPRODUCT(Calc!$K$3:$K$22*(Calc!$G$3:$G$22&gt;A2995)*(Calc!$G$3:$G$22-A2995)^2)</f>
        <v/>
      </c>
      <c r="J2995">
        <f>SUMPRODUCT(Calc!$K$3:$K$22*(Calc!$G$3:$G$22&gt;B2995)*(Calc!$G$3:$G$22-B2995)^2)</f>
        <v/>
      </c>
      <c r="K2995">
        <f>SUMPRODUCT(Calc!$K$3:$K$22*(Calc!$G$3:$G$22&gt;A2995)*(Calc!$G$3:$G$22-A2995)*(Calc!$G$3:$G$22&gt;B2995)*(Calc!$G$3:$G$22-B2995))</f>
        <v/>
      </c>
      <c r="L2995">
        <f>SUMPRODUCT(Calc!$K$3:$K$22*(Calc!$G$3:$G$22&gt;A2995)*(Calc!$G$3:$G$22-A2995)*Calc!$G$3:$G$22)</f>
        <v/>
      </c>
      <c r="M2995">
        <f>SUMPRODUCT(Calc!$K$3:$K$22*(Calc!$G$3:$G$22&gt;B2995)*(Calc!$G$3:$G$22-B2995)*Calc!$G$3:$G$22)</f>
        <v/>
      </c>
      <c r="N2995">
        <f>SUMPRODUCT(Calc!$K$3:$K$22*(Calc!$G$3:$G$22&gt;A2995)*(Calc!$G$3:$G$22-A2995)*Calc!$I$3:$I$22)</f>
        <v/>
      </c>
      <c r="O2995">
        <f>SUMPRODUCT(Calc!$K$3:$K$22*(Calc!$G$3:$G$22&gt;B2995)*(Calc!$G$3:$G$22-B2995)*Calc!$I$3:$I$22)</f>
        <v/>
      </c>
      <c r="P2995">
        <f>I2995-G2995^2/k_n</f>
        <v/>
      </c>
      <c r="Q2995">
        <f>J2995-H2995^2/k_n</f>
        <v/>
      </c>
      <c r="R2995">
        <f>K2995-G2995*H2995/k_n</f>
        <v/>
      </c>
      <c r="S2995">
        <f>L2995-LTP3!$D$3*G2995/k_n</f>
        <v/>
      </c>
      <c r="T2995">
        <f>M2995-LTP3!$D$3*H2995/k_n</f>
        <v/>
      </c>
      <c r="U2995">
        <f>N2995-G2995*LTP3!$D$4/k_n</f>
        <v/>
      </c>
      <c r="V2995">
        <f>O2995-H2995*LTP3!$D$4/k_n</f>
        <v/>
      </c>
      <c r="W2995">
        <f>((LTP3!$D$5)*((P2995)*(Q2995)-(R2995)*(R2995))-(S2995)*((S2995)*(Q2995)-(R2995)*(T2995))+(T2995)*((S2995)*(R2995)-(P2995)*(T2995)))</f>
        <v/>
      </c>
      <c r="X2995">
        <f>IF(ABS(W2995)&gt;1E-12,((LTP3!$D$6)*((P2995)*(Q2995)-(R2995)*(R2995))-(S2995)*((U2995)*(Q2995)-(R2995)*(V2995))+(T2995)*((U2995)*(R2995)-(P2995)*(V2995)))/W2995,0)</f>
        <v/>
      </c>
      <c r="Y2995">
        <f>IF(ABS(W2995)&gt;1E-12,((LTP3!$D$5)*((U2995)*(Q2995)-(R2995)*(V2995))-(LTP3!$D$6)*((S2995)*(Q2995)-(R2995)*(T2995))+(T2995)*((S2995)*(V2995)-(U2995)*(T2995)))/W2995,0)</f>
        <v/>
      </c>
      <c r="Z2995">
        <f>IF(ABS(W2995)&gt;1E-12,((LTP3!$D$5)*((P2995)*(V2995)-(U2995)*(R2995))-(S2995)*((S2995)*(V2995)-(U2995)*(T2995))+(LTP3!$D$6)*((S2995)*(R2995)-(P2995)*(T2995)))/W2995,0)</f>
        <v/>
      </c>
      <c r="AA2995">
        <f>LTP3!$D$7-X2995*LTP3!$D$6-Y2995*U2995-Z2995*V2995</f>
        <v/>
      </c>
      <c r="AB2995">
        <f>IF(AND(F2995,ABS(W2995)&gt;1E-12,Y2995&gt;0,Z2995&gt;0),AA2995,1E+300)</f>
        <v/>
      </c>
    </row>
    <row r="2996">
      <c r="A2996">
        <f>$B$3+$B$5*48</f>
        <v/>
      </c>
      <c r="B2996">
        <f>$B$3+$B$5*56</f>
        <v/>
      </c>
      <c r="C2996">
        <f>SUMPRODUCT(Calc!$K$3:$K$22*(Calc!$G$3:$G$22&lt;=A2996))</f>
        <v/>
      </c>
      <c r="D2996">
        <f>SUMPRODUCT(Calc!$K$3:$K$22*(Calc!$G$3:$G$22&gt;A2996)*(Calc!$G$3:$G$22&lt;B2996))</f>
        <v/>
      </c>
      <c r="E2996">
        <f>SUMPRODUCT(Calc!$K$3:$K$22*(Calc!$G$3:$G$22&gt;=B2996))</f>
        <v/>
      </c>
      <c r="F2996">
        <f>AND(k_n&gt;=5,B2996&gt;A2996+1E-9,C2996&gt;=2,D2996&gt;=1,E2996&gt;=2)</f>
        <v/>
      </c>
      <c r="G2996">
        <f>SUMPRODUCT(Calc!$K$3:$K$22*(Calc!$G$3:$G$22&gt;A2996)*(Calc!$G$3:$G$22-A2996))</f>
        <v/>
      </c>
      <c r="H2996">
        <f>SUMPRODUCT(Calc!$K$3:$K$22*(Calc!$G$3:$G$22&gt;B2996)*(Calc!$G$3:$G$22-B2996))</f>
        <v/>
      </c>
      <c r="I2996">
        <f>SUMPRODUCT(Calc!$K$3:$K$22*(Calc!$G$3:$G$22&gt;A2996)*(Calc!$G$3:$G$22-A2996)^2)</f>
        <v/>
      </c>
      <c r="J2996">
        <f>SUMPRODUCT(Calc!$K$3:$K$22*(Calc!$G$3:$G$22&gt;B2996)*(Calc!$G$3:$G$22-B2996)^2)</f>
        <v/>
      </c>
      <c r="K2996">
        <f>SUMPRODUCT(Calc!$K$3:$K$22*(Calc!$G$3:$G$22&gt;A2996)*(Calc!$G$3:$G$22-A2996)*(Calc!$G$3:$G$22&gt;B2996)*(Calc!$G$3:$G$22-B2996))</f>
        <v/>
      </c>
      <c r="L2996">
        <f>SUMPRODUCT(Calc!$K$3:$K$22*(Calc!$G$3:$G$22&gt;A2996)*(Calc!$G$3:$G$22-A2996)*Calc!$G$3:$G$22)</f>
        <v/>
      </c>
      <c r="M2996">
        <f>SUMPRODUCT(Calc!$K$3:$K$22*(Calc!$G$3:$G$22&gt;B2996)*(Calc!$G$3:$G$22-B2996)*Calc!$G$3:$G$22)</f>
        <v/>
      </c>
      <c r="N2996">
        <f>SUMPRODUCT(Calc!$K$3:$K$22*(Calc!$G$3:$G$22&gt;A2996)*(Calc!$G$3:$G$22-A2996)*Calc!$I$3:$I$22)</f>
        <v/>
      </c>
      <c r="O2996">
        <f>SUMPRODUCT(Calc!$K$3:$K$22*(Calc!$G$3:$G$22&gt;B2996)*(Calc!$G$3:$G$22-B2996)*Calc!$I$3:$I$22)</f>
        <v/>
      </c>
      <c r="P2996">
        <f>I2996-G2996^2/k_n</f>
        <v/>
      </c>
      <c r="Q2996">
        <f>J2996-H2996^2/k_n</f>
        <v/>
      </c>
      <c r="R2996">
        <f>K2996-G2996*H2996/k_n</f>
        <v/>
      </c>
      <c r="S2996">
        <f>L2996-LTP3!$D$3*G2996/k_n</f>
        <v/>
      </c>
      <c r="T2996">
        <f>M2996-LTP3!$D$3*H2996/k_n</f>
        <v/>
      </c>
      <c r="U2996">
        <f>N2996-G2996*LTP3!$D$4/k_n</f>
        <v/>
      </c>
      <c r="V2996">
        <f>O2996-H2996*LTP3!$D$4/k_n</f>
        <v/>
      </c>
      <c r="W2996">
        <f>((LTP3!$D$5)*((P2996)*(Q2996)-(R2996)*(R2996))-(S2996)*((S2996)*(Q2996)-(R2996)*(T2996))+(T2996)*((S2996)*(R2996)-(P2996)*(T2996)))</f>
        <v/>
      </c>
      <c r="X2996">
        <f>IF(ABS(W2996)&gt;1E-12,((LTP3!$D$6)*((P2996)*(Q2996)-(R2996)*(R2996))-(S2996)*((U2996)*(Q2996)-(R2996)*(V2996))+(T2996)*((U2996)*(R2996)-(P2996)*(V2996)))/W2996,0)</f>
        <v/>
      </c>
      <c r="Y2996">
        <f>IF(ABS(W2996)&gt;1E-12,((LTP3!$D$5)*((U2996)*(Q2996)-(R2996)*(V2996))-(LTP3!$D$6)*((S2996)*(Q2996)-(R2996)*(T2996))+(T2996)*((S2996)*(V2996)-(U2996)*(T2996)))/W2996,0)</f>
        <v/>
      </c>
      <c r="Z2996">
        <f>IF(ABS(W2996)&gt;1E-12,((LTP3!$D$5)*((P2996)*(V2996)-(U2996)*(R2996))-(S2996)*((S2996)*(V2996)-(U2996)*(T2996))+(LTP3!$D$6)*((S2996)*(R2996)-(P2996)*(T2996)))/W2996,0)</f>
        <v/>
      </c>
      <c r="AA2996">
        <f>LTP3!$D$7-X2996*LTP3!$D$6-Y2996*U2996-Z2996*V2996</f>
        <v/>
      </c>
      <c r="AB2996">
        <f>IF(AND(F2996,ABS(W2996)&gt;1E-12,Y2996&gt;0,Z2996&gt;0),AA2996,1E+300)</f>
        <v/>
      </c>
    </row>
    <row r="2997">
      <c r="A2997">
        <f>$B$3+$B$5*48</f>
        <v/>
      </c>
      <c r="B2997">
        <f>$B$3+$B$5*57</f>
        <v/>
      </c>
      <c r="C2997">
        <f>SUMPRODUCT(Calc!$K$3:$K$22*(Calc!$G$3:$G$22&lt;=A2997))</f>
        <v/>
      </c>
      <c r="D2997">
        <f>SUMPRODUCT(Calc!$K$3:$K$22*(Calc!$G$3:$G$22&gt;A2997)*(Calc!$G$3:$G$22&lt;B2997))</f>
        <v/>
      </c>
      <c r="E2997">
        <f>SUMPRODUCT(Calc!$K$3:$K$22*(Calc!$G$3:$G$22&gt;=B2997))</f>
        <v/>
      </c>
      <c r="F2997">
        <f>AND(k_n&gt;=5,B2997&gt;A2997+1E-9,C2997&gt;=2,D2997&gt;=1,E2997&gt;=2)</f>
        <v/>
      </c>
      <c r="G2997">
        <f>SUMPRODUCT(Calc!$K$3:$K$22*(Calc!$G$3:$G$22&gt;A2997)*(Calc!$G$3:$G$22-A2997))</f>
        <v/>
      </c>
      <c r="H2997">
        <f>SUMPRODUCT(Calc!$K$3:$K$22*(Calc!$G$3:$G$22&gt;B2997)*(Calc!$G$3:$G$22-B2997))</f>
        <v/>
      </c>
      <c r="I2997">
        <f>SUMPRODUCT(Calc!$K$3:$K$22*(Calc!$G$3:$G$22&gt;A2997)*(Calc!$G$3:$G$22-A2997)^2)</f>
        <v/>
      </c>
      <c r="J2997">
        <f>SUMPRODUCT(Calc!$K$3:$K$22*(Calc!$G$3:$G$22&gt;B2997)*(Calc!$G$3:$G$22-B2997)^2)</f>
        <v/>
      </c>
      <c r="K2997">
        <f>SUMPRODUCT(Calc!$K$3:$K$22*(Calc!$G$3:$G$22&gt;A2997)*(Calc!$G$3:$G$22-A2997)*(Calc!$G$3:$G$22&gt;B2997)*(Calc!$G$3:$G$22-B2997))</f>
        <v/>
      </c>
      <c r="L2997">
        <f>SUMPRODUCT(Calc!$K$3:$K$22*(Calc!$G$3:$G$22&gt;A2997)*(Calc!$G$3:$G$22-A2997)*Calc!$G$3:$G$22)</f>
        <v/>
      </c>
      <c r="M2997">
        <f>SUMPRODUCT(Calc!$K$3:$K$22*(Calc!$G$3:$G$22&gt;B2997)*(Calc!$G$3:$G$22-B2997)*Calc!$G$3:$G$22)</f>
        <v/>
      </c>
      <c r="N2997">
        <f>SUMPRODUCT(Calc!$K$3:$K$22*(Calc!$G$3:$G$22&gt;A2997)*(Calc!$G$3:$G$22-A2997)*Calc!$I$3:$I$22)</f>
        <v/>
      </c>
      <c r="O2997">
        <f>SUMPRODUCT(Calc!$K$3:$K$22*(Calc!$G$3:$G$22&gt;B2997)*(Calc!$G$3:$G$22-B2997)*Calc!$I$3:$I$22)</f>
        <v/>
      </c>
      <c r="P2997">
        <f>I2997-G2997^2/k_n</f>
        <v/>
      </c>
      <c r="Q2997">
        <f>J2997-H2997^2/k_n</f>
        <v/>
      </c>
      <c r="R2997">
        <f>K2997-G2997*H2997/k_n</f>
        <v/>
      </c>
      <c r="S2997">
        <f>L2997-LTP3!$D$3*G2997/k_n</f>
        <v/>
      </c>
      <c r="T2997">
        <f>M2997-LTP3!$D$3*H2997/k_n</f>
        <v/>
      </c>
      <c r="U2997">
        <f>N2997-G2997*LTP3!$D$4/k_n</f>
        <v/>
      </c>
      <c r="V2997">
        <f>O2997-H2997*LTP3!$D$4/k_n</f>
        <v/>
      </c>
      <c r="W2997">
        <f>((LTP3!$D$5)*((P2997)*(Q2997)-(R2997)*(R2997))-(S2997)*((S2997)*(Q2997)-(R2997)*(T2997))+(T2997)*((S2997)*(R2997)-(P2997)*(T2997)))</f>
        <v/>
      </c>
      <c r="X2997">
        <f>IF(ABS(W2997)&gt;1E-12,((LTP3!$D$6)*((P2997)*(Q2997)-(R2997)*(R2997))-(S2997)*((U2997)*(Q2997)-(R2997)*(V2997))+(T2997)*((U2997)*(R2997)-(P2997)*(V2997)))/W2997,0)</f>
        <v/>
      </c>
      <c r="Y2997">
        <f>IF(ABS(W2997)&gt;1E-12,((LTP3!$D$5)*((U2997)*(Q2997)-(R2997)*(V2997))-(LTP3!$D$6)*((S2997)*(Q2997)-(R2997)*(T2997))+(T2997)*((S2997)*(V2997)-(U2997)*(T2997)))/W2997,0)</f>
        <v/>
      </c>
      <c r="Z2997">
        <f>IF(ABS(W2997)&gt;1E-12,((LTP3!$D$5)*((P2997)*(V2997)-(U2997)*(R2997))-(S2997)*((S2997)*(V2997)-(U2997)*(T2997))+(LTP3!$D$6)*((S2997)*(R2997)-(P2997)*(T2997)))/W2997,0)</f>
        <v/>
      </c>
      <c r="AA2997">
        <f>LTP3!$D$7-X2997*LTP3!$D$6-Y2997*U2997-Z2997*V2997</f>
        <v/>
      </c>
      <c r="AB2997">
        <f>IF(AND(F2997,ABS(W2997)&gt;1E-12,Y2997&gt;0,Z2997&gt;0),AA2997,1E+300)</f>
        <v/>
      </c>
    </row>
    <row r="2998">
      <c r="A2998">
        <f>$B$3+$B$5*48</f>
        <v/>
      </c>
      <c r="B2998">
        <f>$B$3+$B$5*58</f>
        <v/>
      </c>
      <c r="C2998">
        <f>SUMPRODUCT(Calc!$K$3:$K$22*(Calc!$G$3:$G$22&lt;=A2998))</f>
        <v/>
      </c>
      <c r="D2998">
        <f>SUMPRODUCT(Calc!$K$3:$K$22*(Calc!$G$3:$G$22&gt;A2998)*(Calc!$G$3:$G$22&lt;B2998))</f>
        <v/>
      </c>
      <c r="E2998">
        <f>SUMPRODUCT(Calc!$K$3:$K$22*(Calc!$G$3:$G$22&gt;=B2998))</f>
        <v/>
      </c>
      <c r="F2998">
        <f>AND(k_n&gt;=5,B2998&gt;A2998+1E-9,C2998&gt;=2,D2998&gt;=1,E2998&gt;=2)</f>
        <v/>
      </c>
      <c r="G2998">
        <f>SUMPRODUCT(Calc!$K$3:$K$22*(Calc!$G$3:$G$22&gt;A2998)*(Calc!$G$3:$G$22-A2998))</f>
        <v/>
      </c>
      <c r="H2998">
        <f>SUMPRODUCT(Calc!$K$3:$K$22*(Calc!$G$3:$G$22&gt;B2998)*(Calc!$G$3:$G$22-B2998))</f>
        <v/>
      </c>
      <c r="I2998">
        <f>SUMPRODUCT(Calc!$K$3:$K$22*(Calc!$G$3:$G$22&gt;A2998)*(Calc!$G$3:$G$22-A2998)^2)</f>
        <v/>
      </c>
      <c r="J2998">
        <f>SUMPRODUCT(Calc!$K$3:$K$22*(Calc!$G$3:$G$22&gt;B2998)*(Calc!$G$3:$G$22-B2998)^2)</f>
        <v/>
      </c>
      <c r="K2998">
        <f>SUMPRODUCT(Calc!$K$3:$K$22*(Calc!$G$3:$G$22&gt;A2998)*(Calc!$G$3:$G$22-A2998)*(Calc!$G$3:$G$22&gt;B2998)*(Calc!$G$3:$G$22-B2998))</f>
        <v/>
      </c>
      <c r="L2998">
        <f>SUMPRODUCT(Calc!$K$3:$K$22*(Calc!$G$3:$G$22&gt;A2998)*(Calc!$G$3:$G$22-A2998)*Calc!$G$3:$G$22)</f>
        <v/>
      </c>
      <c r="M2998">
        <f>SUMPRODUCT(Calc!$K$3:$K$22*(Calc!$G$3:$G$22&gt;B2998)*(Calc!$G$3:$G$22-B2998)*Calc!$G$3:$G$22)</f>
        <v/>
      </c>
      <c r="N2998">
        <f>SUMPRODUCT(Calc!$K$3:$K$22*(Calc!$G$3:$G$22&gt;A2998)*(Calc!$G$3:$G$22-A2998)*Calc!$I$3:$I$22)</f>
        <v/>
      </c>
      <c r="O2998">
        <f>SUMPRODUCT(Calc!$K$3:$K$22*(Calc!$G$3:$G$22&gt;B2998)*(Calc!$G$3:$G$22-B2998)*Calc!$I$3:$I$22)</f>
        <v/>
      </c>
      <c r="P2998">
        <f>I2998-G2998^2/k_n</f>
        <v/>
      </c>
      <c r="Q2998">
        <f>J2998-H2998^2/k_n</f>
        <v/>
      </c>
      <c r="R2998">
        <f>K2998-G2998*H2998/k_n</f>
        <v/>
      </c>
      <c r="S2998">
        <f>L2998-LTP3!$D$3*G2998/k_n</f>
        <v/>
      </c>
      <c r="T2998">
        <f>M2998-LTP3!$D$3*H2998/k_n</f>
        <v/>
      </c>
      <c r="U2998">
        <f>N2998-G2998*LTP3!$D$4/k_n</f>
        <v/>
      </c>
      <c r="V2998">
        <f>O2998-H2998*LTP3!$D$4/k_n</f>
        <v/>
      </c>
      <c r="W2998">
        <f>((LTP3!$D$5)*((P2998)*(Q2998)-(R2998)*(R2998))-(S2998)*((S2998)*(Q2998)-(R2998)*(T2998))+(T2998)*((S2998)*(R2998)-(P2998)*(T2998)))</f>
        <v/>
      </c>
      <c r="X2998">
        <f>IF(ABS(W2998)&gt;1E-12,((LTP3!$D$6)*((P2998)*(Q2998)-(R2998)*(R2998))-(S2998)*((U2998)*(Q2998)-(R2998)*(V2998))+(T2998)*((U2998)*(R2998)-(P2998)*(V2998)))/W2998,0)</f>
        <v/>
      </c>
      <c r="Y2998">
        <f>IF(ABS(W2998)&gt;1E-12,((LTP3!$D$5)*((U2998)*(Q2998)-(R2998)*(V2998))-(LTP3!$D$6)*((S2998)*(Q2998)-(R2998)*(T2998))+(T2998)*((S2998)*(V2998)-(U2998)*(T2998)))/W2998,0)</f>
        <v/>
      </c>
      <c r="Z2998">
        <f>IF(ABS(W2998)&gt;1E-12,((LTP3!$D$5)*((P2998)*(V2998)-(U2998)*(R2998))-(S2998)*((S2998)*(V2998)-(U2998)*(T2998))+(LTP3!$D$6)*((S2998)*(R2998)-(P2998)*(T2998)))/W2998,0)</f>
        <v/>
      </c>
      <c r="AA2998">
        <f>LTP3!$D$7-X2998*LTP3!$D$6-Y2998*U2998-Z2998*V2998</f>
        <v/>
      </c>
      <c r="AB2998">
        <f>IF(AND(F2998,ABS(W2998)&gt;1E-12,Y2998&gt;0,Z2998&gt;0),AA2998,1E+300)</f>
        <v/>
      </c>
    </row>
    <row r="2999">
      <c r="A2999">
        <f>$B$3+$B$5*48</f>
        <v/>
      </c>
      <c r="B2999">
        <f>$B$3+$B$5*59</f>
        <v/>
      </c>
      <c r="C2999">
        <f>SUMPRODUCT(Calc!$K$3:$K$22*(Calc!$G$3:$G$22&lt;=A2999))</f>
        <v/>
      </c>
      <c r="D2999">
        <f>SUMPRODUCT(Calc!$K$3:$K$22*(Calc!$G$3:$G$22&gt;A2999)*(Calc!$G$3:$G$22&lt;B2999))</f>
        <v/>
      </c>
      <c r="E2999">
        <f>SUMPRODUCT(Calc!$K$3:$K$22*(Calc!$G$3:$G$22&gt;=B2999))</f>
        <v/>
      </c>
      <c r="F2999">
        <f>AND(k_n&gt;=5,B2999&gt;A2999+1E-9,C2999&gt;=2,D2999&gt;=1,E2999&gt;=2)</f>
        <v/>
      </c>
      <c r="G2999">
        <f>SUMPRODUCT(Calc!$K$3:$K$22*(Calc!$G$3:$G$22&gt;A2999)*(Calc!$G$3:$G$22-A2999))</f>
        <v/>
      </c>
      <c r="H2999">
        <f>SUMPRODUCT(Calc!$K$3:$K$22*(Calc!$G$3:$G$22&gt;B2999)*(Calc!$G$3:$G$22-B2999))</f>
        <v/>
      </c>
      <c r="I2999">
        <f>SUMPRODUCT(Calc!$K$3:$K$22*(Calc!$G$3:$G$22&gt;A2999)*(Calc!$G$3:$G$22-A2999)^2)</f>
        <v/>
      </c>
      <c r="J2999">
        <f>SUMPRODUCT(Calc!$K$3:$K$22*(Calc!$G$3:$G$22&gt;B2999)*(Calc!$G$3:$G$22-B2999)^2)</f>
        <v/>
      </c>
      <c r="K2999">
        <f>SUMPRODUCT(Calc!$K$3:$K$22*(Calc!$G$3:$G$22&gt;A2999)*(Calc!$G$3:$G$22-A2999)*(Calc!$G$3:$G$22&gt;B2999)*(Calc!$G$3:$G$22-B2999))</f>
        <v/>
      </c>
      <c r="L2999">
        <f>SUMPRODUCT(Calc!$K$3:$K$22*(Calc!$G$3:$G$22&gt;A2999)*(Calc!$G$3:$G$22-A2999)*Calc!$G$3:$G$22)</f>
        <v/>
      </c>
      <c r="M2999">
        <f>SUMPRODUCT(Calc!$K$3:$K$22*(Calc!$G$3:$G$22&gt;B2999)*(Calc!$G$3:$G$22-B2999)*Calc!$G$3:$G$22)</f>
        <v/>
      </c>
      <c r="N2999">
        <f>SUMPRODUCT(Calc!$K$3:$K$22*(Calc!$G$3:$G$22&gt;A2999)*(Calc!$G$3:$G$22-A2999)*Calc!$I$3:$I$22)</f>
        <v/>
      </c>
      <c r="O2999">
        <f>SUMPRODUCT(Calc!$K$3:$K$22*(Calc!$G$3:$G$22&gt;B2999)*(Calc!$G$3:$G$22-B2999)*Calc!$I$3:$I$22)</f>
        <v/>
      </c>
      <c r="P2999">
        <f>I2999-G2999^2/k_n</f>
        <v/>
      </c>
      <c r="Q2999">
        <f>J2999-H2999^2/k_n</f>
        <v/>
      </c>
      <c r="R2999">
        <f>K2999-G2999*H2999/k_n</f>
        <v/>
      </c>
      <c r="S2999">
        <f>L2999-LTP3!$D$3*G2999/k_n</f>
        <v/>
      </c>
      <c r="T2999">
        <f>M2999-LTP3!$D$3*H2999/k_n</f>
        <v/>
      </c>
      <c r="U2999">
        <f>N2999-G2999*LTP3!$D$4/k_n</f>
        <v/>
      </c>
      <c r="V2999">
        <f>O2999-H2999*LTP3!$D$4/k_n</f>
        <v/>
      </c>
      <c r="W2999">
        <f>((LTP3!$D$5)*((P2999)*(Q2999)-(R2999)*(R2999))-(S2999)*((S2999)*(Q2999)-(R2999)*(T2999))+(T2999)*((S2999)*(R2999)-(P2999)*(T2999)))</f>
        <v/>
      </c>
      <c r="X2999">
        <f>IF(ABS(W2999)&gt;1E-12,((LTP3!$D$6)*((P2999)*(Q2999)-(R2999)*(R2999))-(S2999)*((U2999)*(Q2999)-(R2999)*(V2999))+(T2999)*((U2999)*(R2999)-(P2999)*(V2999)))/W2999,0)</f>
        <v/>
      </c>
      <c r="Y2999">
        <f>IF(ABS(W2999)&gt;1E-12,((LTP3!$D$5)*((U2999)*(Q2999)-(R2999)*(V2999))-(LTP3!$D$6)*((S2999)*(Q2999)-(R2999)*(T2999))+(T2999)*((S2999)*(V2999)-(U2999)*(T2999)))/W2999,0)</f>
        <v/>
      </c>
      <c r="Z2999">
        <f>IF(ABS(W2999)&gt;1E-12,((LTP3!$D$5)*((P2999)*(V2999)-(U2999)*(R2999))-(S2999)*((S2999)*(V2999)-(U2999)*(T2999))+(LTP3!$D$6)*((S2999)*(R2999)-(P2999)*(T2999)))/W2999,0)</f>
        <v/>
      </c>
      <c r="AA2999">
        <f>LTP3!$D$7-X2999*LTP3!$D$6-Y2999*U2999-Z2999*V2999</f>
        <v/>
      </c>
      <c r="AB2999">
        <f>IF(AND(F2999,ABS(W2999)&gt;1E-12,Y2999&gt;0,Z2999&gt;0),AA2999,1E+300)</f>
        <v/>
      </c>
    </row>
    <row r="3000">
      <c r="A3000">
        <f>$B$3+$B$5*48</f>
        <v/>
      </c>
      <c r="B3000">
        <f>$B$3+$B$5*60</f>
        <v/>
      </c>
      <c r="C3000">
        <f>SUMPRODUCT(Calc!$K$3:$K$22*(Calc!$G$3:$G$22&lt;=A3000))</f>
        <v/>
      </c>
      <c r="D3000">
        <f>SUMPRODUCT(Calc!$K$3:$K$22*(Calc!$G$3:$G$22&gt;A3000)*(Calc!$G$3:$G$22&lt;B3000))</f>
        <v/>
      </c>
      <c r="E3000">
        <f>SUMPRODUCT(Calc!$K$3:$K$22*(Calc!$G$3:$G$22&gt;=B3000))</f>
        <v/>
      </c>
      <c r="F3000">
        <f>AND(k_n&gt;=5,B3000&gt;A3000+1E-9,C3000&gt;=2,D3000&gt;=1,E3000&gt;=2)</f>
        <v/>
      </c>
      <c r="G3000">
        <f>SUMPRODUCT(Calc!$K$3:$K$22*(Calc!$G$3:$G$22&gt;A3000)*(Calc!$G$3:$G$22-A3000))</f>
        <v/>
      </c>
      <c r="H3000">
        <f>SUMPRODUCT(Calc!$K$3:$K$22*(Calc!$G$3:$G$22&gt;B3000)*(Calc!$G$3:$G$22-B3000))</f>
        <v/>
      </c>
      <c r="I3000">
        <f>SUMPRODUCT(Calc!$K$3:$K$22*(Calc!$G$3:$G$22&gt;A3000)*(Calc!$G$3:$G$22-A3000)^2)</f>
        <v/>
      </c>
      <c r="J3000">
        <f>SUMPRODUCT(Calc!$K$3:$K$22*(Calc!$G$3:$G$22&gt;B3000)*(Calc!$G$3:$G$22-B3000)^2)</f>
        <v/>
      </c>
      <c r="K3000">
        <f>SUMPRODUCT(Calc!$K$3:$K$22*(Calc!$G$3:$G$22&gt;A3000)*(Calc!$G$3:$G$22-A3000)*(Calc!$G$3:$G$22&gt;B3000)*(Calc!$G$3:$G$22-B3000))</f>
        <v/>
      </c>
      <c r="L3000">
        <f>SUMPRODUCT(Calc!$K$3:$K$22*(Calc!$G$3:$G$22&gt;A3000)*(Calc!$G$3:$G$22-A3000)*Calc!$G$3:$G$22)</f>
        <v/>
      </c>
      <c r="M3000">
        <f>SUMPRODUCT(Calc!$K$3:$K$22*(Calc!$G$3:$G$22&gt;B3000)*(Calc!$G$3:$G$22-B3000)*Calc!$G$3:$G$22)</f>
        <v/>
      </c>
      <c r="N3000">
        <f>SUMPRODUCT(Calc!$K$3:$K$22*(Calc!$G$3:$G$22&gt;A3000)*(Calc!$G$3:$G$22-A3000)*Calc!$I$3:$I$22)</f>
        <v/>
      </c>
      <c r="O3000">
        <f>SUMPRODUCT(Calc!$K$3:$K$22*(Calc!$G$3:$G$22&gt;B3000)*(Calc!$G$3:$G$22-B3000)*Calc!$I$3:$I$22)</f>
        <v/>
      </c>
      <c r="P3000">
        <f>I3000-G3000^2/k_n</f>
        <v/>
      </c>
      <c r="Q3000">
        <f>J3000-H3000^2/k_n</f>
        <v/>
      </c>
      <c r="R3000">
        <f>K3000-G3000*H3000/k_n</f>
        <v/>
      </c>
      <c r="S3000">
        <f>L3000-LTP3!$D$3*G3000/k_n</f>
        <v/>
      </c>
      <c r="T3000">
        <f>M3000-LTP3!$D$3*H3000/k_n</f>
        <v/>
      </c>
      <c r="U3000">
        <f>N3000-G3000*LTP3!$D$4/k_n</f>
        <v/>
      </c>
      <c r="V3000">
        <f>O3000-H3000*LTP3!$D$4/k_n</f>
        <v/>
      </c>
      <c r="W3000">
        <f>((LTP3!$D$5)*((P3000)*(Q3000)-(R3000)*(R3000))-(S3000)*((S3000)*(Q3000)-(R3000)*(T3000))+(T3000)*((S3000)*(R3000)-(P3000)*(T3000)))</f>
        <v/>
      </c>
      <c r="X3000">
        <f>IF(ABS(W3000)&gt;1E-12,((LTP3!$D$6)*((P3000)*(Q3000)-(R3000)*(R3000))-(S3000)*((U3000)*(Q3000)-(R3000)*(V3000))+(T3000)*((U3000)*(R3000)-(P3000)*(V3000)))/W3000,0)</f>
        <v/>
      </c>
      <c r="Y3000">
        <f>IF(ABS(W3000)&gt;1E-12,((LTP3!$D$5)*((U3000)*(Q3000)-(R3000)*(V3000))-(LTP3!$D$6)*((S3000)*(Q3000)-(R3000)*(T3000))+(T3000)*((S3000)*(V3000)-(U3000)*(T3000)))/W3000,0)</f>
        <v/>
      </c>
      <c r="Z3000">
        <f>IF(ABS(W3000)&gt;1E-12,((LTP3!$D$5)*((P3000)*(V3000)-(U3000)*(R3000))-(S3000)*((S3000)*(V3000)-(U3000)*(T3000))+(LTP3!$D$6)*((S3000)*(R3000)-(P3000)*(T3000)))/W3000,0)</f>
        <v/>
      </c>
      <c r="AA3000">
        <f>LTP3!$D$7-X3000*LTP3!$D$6-Y3000*U3000-Z3000*V3000</f>
        <v/>
      </c>
      <c r="AB3000">
        <f>IF(AND(F3000,ABS(W3000)&gt;1E-12,Y3000&gt;0,Z3000&gt;0),AA3000,1E+300)</f>
        <v/>
      </c>
    </row>
    <row r="3001">
      <c r="A3001">
        <f>$B$3+$B$5*49</f>
        <v/>
      </c>
      <c r="B3001">
        <f>$B$3+$B$5*0</f>
        <v/>
      </c>
      <c r="C3001">
        <f>SUMPRODUCT(Calc!$K$3:$K$22*(Calc!$G$3:$G$22&lt;=A3001))</f>
        <v/>
      </c>
      <c r="D3001">
        <f>SUMPRODUCT(Calc!$K$3:$K$22*(Calc!$G$3:$G$22&gt;A3001)*(Calc!$G$3:$G$22&lt;B3001))</f>
        <v/>
      </c>
      <c r="E3001">
        <f>SUMPRODUCT(Calc!$K$3:$K$22*(Calc!$G$3:$G$22&gt;=B3001))</f>
        <v/>
      </c>
      <c r="F3001">
        <f>AND(k_n&gt;=5,B3001&gt;A3001+1E-9,C3001&gt;=2,D3001&gt;=1,E3001&gt;=2)</f>
        <v/>
      </c>
      <c r="G3001">
        <f>SUMPRODUCT(Calc!$K$3:$K$22*(Calc!$G$3:$G$22&gt;A3001)*(Calc!$G$3:$G$22-A3001))</f>
        <v/>
      </c>
      <c r="H3001">
        <f>SUMPRODUCT(Calc!$K$3:$K$22*(Calc!$G$3:$G$22&gt;B3001)*(Calc!$G$3:$G$22-B3001))</f>
        <v/>
      </c>
      <c r="I3001">
        <f>SUMPRODUCT(Calc!$K$3:$K$22*(Calc!$G$3:$G$22&gt;A3001)*(Calc!$G$3:$G$22-A3001)^2)</f>
        <v/>
      </c>
      <c r="J3001">
        <f>SUMPRODUCT(Calc!$K$3:$K$22*(Calc!$G$3:$G$22&gt;B3001)*(Calc!$G$3:$G$22-B3001)^2)</f>
        <v/>
      </c>
      <c r="K3001">
        <f>SUMPRODUCT(Calc!$K$3:$K$22*(Calc!$G$3:$G$22&gt;A3001)*(Calc!$G$3:$G$22-A3001)*(Calc!$G$3:$G$22&gt;B3001)*(Calc!$G$3:$G$22-B3001))</f>
        <v/>
      </c>
      <c r="L3001">
        <f>SUMPRODUCT(Calc!$K$3:$K$22*(Calc!$G$3:$G$22&gt;A3001)*(Calc!$G$3:$G$22-A3001)*Calc!$G$3:$G$22)</f>
        <v/>
      </c>
      <c r="M3001">
        <f>SUMPRODUCT(Calc!$K$3:$K$22*(Calc!$G$3:$G$22&gt;B3001)*(Calc!$G$3:$G$22-B3001)*Calc!$G$3:$G$22)</f>
        <v/>
      </c>
      <c r="N3001">
        <f>SUMPRODUCT(Calc!$K$3:$K$22*(Calc!$G$3:$G$22&gt;A3001)*(Calc!$G$3:$G$22-A3001)*Calc!$I$3:$I$22)</f>
        <v/>
      </c>
      <c r="O3001">
        <f>SUMPRODUCT(Calc!$K$3:$K$22*(Calc!$G$3:$G$22&gt;B3001)*(Calc!$G$3:$G$22-B3001)*Calc!$I$3:$I$22)</f>
        <v/>
      </c>
      <c r="P3001">
        <f>I3001-G3001^2/k_n</f>
        <v/>
      </c>
      <c r="Q3001">
        <f>J3001-H3001^2/k_n</f>
        <v/>
      </c>
      <c r="R3001">
        <f>K3001-G3001*H3001/k_n</f>
        <v/>
      </c>
      <c r="S3001">
        <f>L3001-LTP3!$D$3*G3001/k_n</f>
        <v/>
      </c>
      <c r="T3001">
        <f>M3001-LTP3!$D$3*H3001/k_n</f>
        <v/>
      </c>
      <c r="U3001">
        <f>N3001-G3001*LTP3!$D$4/k_n</f>
        <v/>
      </c>
      <c r="V3001">
        <f>O3001-H3001*LTP3!$D$4/k_n</f>
        <v/>
      </c>
      <c r="W3001">
        <f>((LTP3!$D$5)*((P3001)*(Q3001)-(R3001)*(R3001))-(S3001)*((S3001)*(Q3001)-(R3001)*(T3001))+(T3001)*((S3001)*(R3001)-(P3001)*(T3001)))</f>
        <v/>
      </c>
      <c r="X3001">
        <f>IF(ABS(W3001)&gt;1E-12,((LTP3!$D$6)*((P3001)*(Q3001)-(R3001)*(R3001))-(S3001)*((U3001)*(Q3001)-(R3001)*(V3001))+(T3001)*((U3001)*(R3001)-(P3001)*(V3001)))/W3001,0)</f>
        <v/>
      </c>
      <c r="Y3001">
        <f>IF(ABS(W3001)&gt;1E-12,((LTP3!$D$5)*((U3001)*(Q3001)-(R3001)*(V3001))-(LTP3!$D$6)*((S3001)*(Q3001)-(R3001)*(T3001))+(T3001)*((S3001)*(V3001)-(U3001)*(T3001)))/W3001,0)</f>
        <v/>
      </c>
      <c r="Z3001">
        <f>IF(ABS(W3001)&gt;1E-12,((LTP3!$D$5)*((P3001)*(V3001)-(U3001)*(R3001))-(S3001)*((S3001)*(V3001)-(U3001)*(T3001))+(LTP3!$D$6)*((S3001)*(R3001)-(P3001)*(T3001)))/W3001,0)</f>
        <v/>
      </c>
      <c r="AA3001">
        <f>LTP3!$D$7-X3001*LTP3!$D$6-Y3001*U3001-Z3001*V3001</f>
        <v/>
      </c>
      <c r="AB3001">
        <f>IF(AND(F3001,ABS(W3001)&gt;1E-12,Y3001&gt;0,Z3001&gt;0),AA3001,1E+300)</f>
        <v/>
      </c>
    </row>
    <row r="3002">
      <c r="A3002">
        <f>$B$3+$B$5*49</f>
        <v/>
      </c>
      <c r="B3002">
        <f>$B$3+$B$5*1</f>
        <v/>
      </c>
      <c r="C3002">
        <f>SUMPRODUCT(Calc!$K$3:$K$22*(Calc!$G$3:$G$22&lt;=A3002))</f>
        <v/>
      </c>
      <c r="D3002">
        <f>SUMPRODUCT(Calc!$K$3:$K$22*(Calc!$G$3:$G$22&gt;A3002)*(Calc!$G$3:$G$22&lt;B3002))</f>
        <v/>
      </c>
      <c r="E3002">
        <f>SUMPRODUCT(Calc!$K$3:$K$22*(Calc!$G$3:$G$22&gt;=B3002))</f>
        <v/>
      </c>
      <c r="F3002">
        <f>AND(k_n&gt;=5,B3002&gt;A3002+1E-9,C3002&gt;=2,D3002&gt;=1,E3002&gt;=2)</f>
        <v/>
      </c>
      <c r="G3002">
        <f>SUMPRODUCT(Calc!$K$3:$K$22*(Calc!$G$3:$G$22&gt;A3002)*(Calc!$G$3:$G$22-A3002))</f>
        <v/>
      </c>
      <c r="H3002">
        <f>SUMPRODUCT(Calc!$K$3:$K$22*(Calc!$G$3:$G$22&gt;B3002)*(Calc!$G$3:$G$22-B3002))</f>
        <v/>
      </c>
      <c r="I3002">
        <f>SUMPRODUCT(Calc!$K$3:$K$22*(Calc!$G$3:$G$22&gt;A3002)*(Calc!$G$3:$G$22-A3002)^2)</f>
        <v/>
      </c>
      <c r="J3002">
        <f>SUMPRODUCT(Calc!$K$3:$K$22*(Calc!$G$3:$G$22&gt;B3002)*(Calc!$G$3:$G$22-B3002)^2)</f>
        <v/>
      </c>
      <c r="K3002">
        <f>SUMPRODUCT(Calc!$K$3:$K$22*(Calc!$G$3:$G$22&gt;A3002)*(Calc!$G$3:$G$22-A3002)*(Calc!$G$3:$G$22&gt;B3002)*(Calc!$G$3:$G$22-B3002))</f>
        <v/>
      </c>
      <c r="L3002">
        <f>SUMPRODUCT(Calc!$K$3:$K$22*(Calc!$G$3:$G$22&gt;A3002)*(Calc!$G$3:$G$22-A3002)*Calc!$G$3:$G$22)</f>
        <v/>
      </c>
      <c r="M3002">
        <f>SUMPRODUCT(Calc!$K$3:$K$22*(Calc!$G$3:$G$22&gt;B3002)*(Calc!$G$3:$G$22-B3002)*Calc!$G$3:$G$22)</f>
        <v/>
      </c>
      <c r="N3002">
        <f>SUMPRODUCT(Calc!$K$3:$K$22*(Calc!$G$3:$G$22&gt;A3002)*(Calc!$G$3:$G$22-A3002)*Calc!$I$3:$I$22)</f>
        <v/>
      </c>
      <c r="O3002">
        <f>SUMPRODUCT(Calc!$K$3:$K$22*(Calc!$G$3:$G$22&gt;B3002)*(Calc!$G$3:$G$22-B3002)*Calc!$I$3:$I$22)</f>
        <v/>
      </c>
      <c r="P3002">
        <f>I3002-G3002^2/k_n</f>
        <v/>
      </c>
      <c r="Q3002">
        <f>J3002-H3002^2/k_n</f>
        <v/>
      </c>
      <c r="R3002">
        <f>K3002-G3002*H3002/k_n</f>
        <v/>
      </c>
      <c r="S3002">
        <f>L3002-LTP3!$D$3*G3002/k_n</f>
        <v/>
      </c>
      <c r="T3002">
        <f>M3002-LTP3!$D$3*H3002/k_n</f>
        <v/>
      </c>
      <c r="U3002">
        <f>N3002-G3002*LTP3!$D$4/k_n</f>
        <v/>
      </c>
      <c r="V3002">
        <f>O3002-H3002*LTP3!$D$4/k_n</f>
        <v/>
      </c>
      <c r="W3002">
        <f>((LTP3!$D$5)*((P3002)*(Q3002)-(R3002)*(R3002))-(S3002)*((S3002)*(Q3002)-(R3002)*(T3002))+(T3002)*((S3002)*(R3002)-(P3002)*(T3002)))</f>
        <v/>
      </c>
      <c r="X3002">
        <f>IF(ABS(W3002)&gt;1E-12,((LTP3!$D$6)*((P3002)*(Q3002)-(R3002)*(R3002))-(S3002)*((U3002)*(Q3002)-(R3002)*(V3002))+(T3002)*((U3002)*(R3002)-(P3002)*(V3002)))/W3002,0)</f>
        <v/>
      </c>
      <c r="Y3002">
        <f>IF(ABS(W3002)&gt;1E-12,((LTP3!$D$5)*((U3002)*(Q3002)-(R3002)*(V3002))-(LTP3!$D$6)*((S3002)*(Q3002)-(R3002)*(T3002))+(T3002)*((S3002)*(V3002)-(U3002)*(T3002)))/W3002,0)</f>
        <v/>
      </c>
      <c r="Z3002">
        <f>IF(ABS(W3002)&gt;1E-12,((LTP3!$D$5)*((P3002)*(V3002)-(U3002)*(R3002))-(S3002)*((S3002)*(V3002)-(U3002)*(T3002))+(LTP3!$D$6)*((S3002)*(R3002)-(P3002)*(T3002)))/W3002,0)</f>
        <v/>
      </c>
      <c r="AA3002">
        <f>LTP3!$D$7-X3002*LTP3!$D$6-Y3002*U3002-Z3002*V3002</f>
        <v/>
      </c>
      <c r="AB3002">
        <f>IF(AND(F3002,ABS(W3002)&gt;1E-12,Y3002&gt;0,Z3002&gt;0),AA3002,1E+300)</f>
        <v/>
      </c>
    </row>
    <row r="3003">
      <c r="A3003">
        <f>$B$3+$B$5*49</f>
        <v/>
      </c>
      <c r="B3003">
        <f>$B$3+$B$5*2</f>
        <v/>
      </c>
      <c r="C3003">
        <f>SUMPRODUCT(Calc!$K$3:$K$22*(Calc!$G$3:$G$22&lt;=A3003))</f>
        <v/>
      </c>
      <c r="D3003">
        <f>SUMPRODUCT(Calc!$K$3:$K$22*(Calc!$G$3:$G$22&gt;A3003)*(Calc!$G$3:$G$22&lt;B3003))</f>
        <v/>
      </c>
      <c r="E3003">
        <f>SUMPRODUCT(Calc!$K$3:$K$22*(Calc!$G$3:$G$22&gt;=B3003))</f>
        <v/>
      </c>
      <c r="F3003">
        <f>AND(k_n&gt;=5,B3003&gt;A3003+1E-9,C3003&gt;=2,D3003&gt;=1,E3003&gt;=2)</f>
        <v/>
      </c>
      <c r="G3003">
        <f>SUMPRODUCT(Calc!$K$3:$K$22*(Calc!$G$3:$G$22&gt;A3003)*(Calc!$G$3:$G$22-A3003))</f>
        <v/>
      </c>
      <c r="H3003">
        <f>SUMPRODUCT(Calc!$K$3:$K$22*(Calc!$G$3:$G$22&gt;B3003)*(Calc!$G$3:$G$22-B3003))</f>
        <v/>
      </c>
      <c r="I3003">
        <f>SUMPRODUCT(Calc!$K$3:$K$22*(Calc!$G$3:$G$22&gt;A3003)*(Calc!$G$3:$G$22-A3003)^2)</f>
        <v/>
      </c>
      <c r="J3003">
        <f>SUMPRODUCT(Calc!$K$3:$K$22*(Calc!$G$3:$G$22&gt;B3003)*(Calc!$G$3:$G$22-B3003)^2)</f>
        <v/>
      </c>
      <c r="K3003">
        <f>SUMPRODUCT(Calc!$K$3:$K$22*(Calc!$G$3:$G$22&gt;A3003)*(Calc!$G$3:$G$22-A3003)*(Calc!$G$3:$G$22&gt;B3003)*(Calc!$G$3:$G$22-B3003))</f>
        <v/>
      </c>
      <c r="L3003">
        <f>SUMPRODUCT(Calc!$K$3:$K$22*(Calc!$G$3:$G$22&gt;A3003)*(Calc!$G$3:$G$22-A3003)*Calc!$G$3:$G$22)</f>
        <v/>
      </c>
      <c r="M3003">
        <f>SUMPRODUCT(Calc!$K$3:$K$22*(Calc!$G$3:$G$22&gt;B3003)*(Calc!$G$3:$G$22-B3003)*Calc!$G$3:$G$22)</f>
        <v/>
      </c>
      <c r="N3003">
        <f>SUMPRODUCT(Calc!$K$3:$K$22*(Calc!$G$3:$G$22&gt;A3003)*(Calc!$G$3:$G$22-A3003)*Calc!$I$3:$I$22)</f>
        <v/>
      </c>
      <c r="O3003">
        <f>SUMPRODUCT(Calc!$K$3:$K$22*(Calc!$G$3:$G$22&gt;B3003)*(Calc!$G$3:$G$22-B3003)*Calc!$I$3:$I$22)</f>
        <v/>
      </c>
      <c r="P3003">
        <f>I3003-G3003^2/k_n</f>
        <v/>
      </c>
      <c r="Q3003">
        <f>J3003-H3003^2/k_n</f>
        <v/>
      </c>
      <c r="R3003">
        <f>K3003-G3003*H3003/k_n</f>
        <v/>
      </c>
      <c r="S3003">
        <f>L3003-LTP3!$D$3*G3003/k_n</f>
        <v/>
      </c>
      <c r="T3003">
        <f>M3003-LTP3!$D$3*H3003/k_n</f>
        <v/>
      </c>
      <c r="U3003">
        <f>N3003-G3003*LTP3!$D$4/k_n</f>
        <v/>
      </c>
      <c r="V3003">
        <f>O3003-H3003*LTP3!$D$4/k_n</f>
        <v/>
      </c>
      <c r="W3003">
        <f>((LTP3!$D$5)*((P3003)*(Q3003)-(R3003)*(R3003))-(S3003)*((S3003)*(Q3003)-(R3003)*(T3003))+(T3003)*((S3003)*(R3003)-(P3003)*(T3003)))</f>
        <v/>
      </c>
      <c r="X3003">
        <f>IF(ABS(W3003)&gt;1E-12,((LTP3!$D$6)*((P3003)*(Q3003)-(R3003)*(R3003))-(S3003)*((U3003)*(Q3003)-(R3003)*(V3003))+(T3003)*((U3003)*(R3003)-(P3003)*(V3003)))/W3003,0)</f>
        <v/>
      </c>
      <c r="Y3003">
        <f>IF(ABS(W3003)&gt;1E-12,((LTP3!$D$5)*((U3003)*(Q3003)-(R3003)*(V3003))-(LTP3!$D$6)*((S3003)*(Q3003)-(R3003)*(T3003))+(T3003)*((S3003)*(V3003)-(U3003)*(T3003)))/W3003,0)</f>
        <v/>
      </c>
      <c r="Z3003">
        <f>IF(ABS(W3003)&gt;1E-12,((LTP3!$D$5)*((P3003)*(V3003)-(U3003)*(R3003))-(S3003)*((S3003)*(V3003)-(U3003)*(T3003))+(LTP3!$D$6)*((S3003)*(R3003)-(P3003)*(T3003)))/W3003,0)</f>
        <v/>
      </c>
      <c r="AA3003">
        <f>LTP3!$D$7-X3003*LTP3!$D$6-Y3003*U3003-Z3003*V3003</f>
        <v/>
      </c>
      <c r="AB3003">
        <f>IF(AND(F3003,ABS(W3003)&gt;1E-12,Y3003&gt;0,Z3003&gt;0),AA3003,1E+300)</f>
        <v/>
      </c>
    </row>
    <row r="3004">
      <c r="A3004">
        <f>$B$3+$B$5*49</f>
        <v/>
      </c>
      <c r="B3004">
        <f>$B$3+$B$5*3</f>
        <v/>
      </c>
      <c r="C3004">
        <f>SUMPRODUCT(Calc!$K$3:$K$22*(Calc!$G$3:$G$22&lt;=A3004))</f>
        <v/>
      </c>
      <c r="D3004">
        <f>SUMPRODUCT(Calc!$K$3:$K$22*(Calc!$G$3:$G$22&gt;A3004)*(Calc!$G$3:$G$22&lt;B3004))</f>
        <v/>
      </c>
      <c r="E3004">
        <f>SUMPRODUCT(Calc!$K$3:$K$22*(Calc!$G$3:$G$22&gt;=B3004))</f>
        <v/>
      </c>
      <c r="F3004">
        <f>AND(k_n&gt;=5,B3004&gt;A3004+1E-9,C3004&gt;=2,D3004&gt;=1,E3004&gt;=2)</f>
        <v/>
      </c>
      <c r="G3004">
        <f>SUMPRODUCT(Calc!$K$3:$K$22*(Calc!$G$3:$G$22&gt;A3004)*(Calc!$G$3:$G$22-A3004))</f>
        <v/>
      </c>
      <c r="H3004">
        <f>SUMPRODUCT(Calc!$K$3:$K$22*(Calc!$G$3:$G$22&gt;B3004)*(Calc!$G$3:$G$22-B3004))</f>
        <v/>
      </c>
      <c r="I3004">
        <f>SUMPRODUCT(Calc!$K$3:$K$22*(Calc!$G$3:$G$22&gt;A3004)*(Calc!$G$3:$G$22-A3004)^2)</f>
        <v/>
      </c>
      <c r="J3004">
        <f>SUMPRODUCT(Calc!$K$3:$K$22*(Calc!$G$3:$G$22&gt;B3004)*(Calc!$G$3:$G$22-B3004)^2)</f>
        <v/>
      </c>
      <c r="K3004">
        <f>SUMPRODUCT(Calc!$K$3:$K$22*(Calc!$G$3:$G$22&gt;A3004)*(Calc!$G$3:$G$22-A3004)*(Calc!$G$3:$G$22&gt;B3004)*(Calc!$G$3:$G$22-B3004))</f>
        <v/>
      </c>
      <c r="L3004">
        <f>SUMPRODUCT(Calc!$K$3:$K$22*(Calc!$G$3:$G$22&gt;A3004)*(Calc!$G$3:$G$22-A3004)*Calc!$G$3:$G$22)</f>
        <v/>
      </c>
      <c r="M3004">
        <f>SUMPRODUCT(Calc!$K$3:$K$22*(Calc!$G$3:$G$22&gt;B3004)*(Calc!$G$3:$G$22-B3004)*Calc!$G$3:$G$22)</f>
        <v/>
      </c>
      <c r="N3004">
        <f>SUMPRODUCT(Calc!$K$3:$K$22*(Calc!$G$3:$G$22&gt;A3004)*(Calc!$G$3:$G$22-A3004)*Calc!$I$3:$I$22)</f>
        <v/>
      </c>
      <c r="O3004">
        <f>SUMPRODUCT(Calc!$K$3:$K$22*(Calc!$G$3:$G$22&gt;B3004)*(Calc!$G$3:$G$22-B3004)*Calc!$I$3:$I$22)</f>
        <v/>
      </c>
      <c r="P3004">
        <f>I3004-G3004^2/k_n</f>
        <v/>
      </c>
      <c r="Q3004">
        <f>J3004-H3004^2/k_n</f>
        <v/>
      </c>
      <c r="R3004">
        <f>K3004-G3004*H3004/k_n</f>
        <v/>
      </c>
      <c r="S3004">
        <f>L3004-LTP3!$D$3*G3004/k_n</f>
        <v/>
      </c>
      <c r="T3004">
        <f>M3004-LTP3!$D$3*H3004/k_n</f>
        <v/>
      </c>
      <c r="U3004">
        <f>N3004-G3004*LTP3!$D$4/k_n</f>
        <v/>
      </c>
      <c r="V3004">
        <f>O3004-H3004*LTP3!$D$4/k_n</f>
        <v/>
      </c>
      <c r="W3004">
        <f>((LTP3!$D$5)*((P3004)*(Q3004)-(R3004)*(R3004))-(S3004)*((S3004)*(Q3004)-(R3004)*(T3004))+(T3004)*((S3004)*(R3004)-(P3004)*(T3004)))</f>
        <v/>
      </c>
      <c r="X3004">
        <f>IF(ABS(W3004)&gt;1E-12,((LTP3!$D$6)*((P3004)*(Q3004)-(R3004)*(R3004))-(S3004)*((U3004)*(Q3004)-(R3004)*(V3004))+(T3004)*((U3004)*(R3004)-(P3004)*(V3004)))/W3004,0)</f>
        <v/>
      </c>
      <c r="Y3004">
        <f>IF(ABS(W3004)&gt;1E-12,((LTP3!$D$5)*((U3004)*(Q3004)-(R3004)*(V3004))-(LTP3!$D$6)*((S3004)*(Q3004)-(R3004)*(T3004))+(T3004)*((S3004)*(V3004)-(U3004)*(T3004)))/W3004,0)</f>
        <v/>
      </c>
      <c r="Z3004">
        <f>IF(ABS(W3004)&gt;1E-12,((LTP3!$D$5)*((P3004)*(V3004)-(U3004)*(R3004))-(S3004)*((S3004)*(V3004)-(U3004)*(T3004))+(LTP3!$D$6)*((S3004)*(R3004)-(P3004)*(T3004)))/W3004,0)</f>
        <v/>
      </c>
      <c r="AA3004">
        <f>LTP3!$D$7-X3004*LTP3!$D$6-Y3004*U3004-Z3004*V3004</f>
        <v/>
      </c>
      <c r="AB3004">
        <f>IF(AND(F3004,ABS(W3004)&gt;1E-12,Y3004&gt;0,Z3004&gt;0),AA3004,1E+300)</f>
        <v/>
      </c>
    </row>
    <row r="3005">
      <c r="A3005">
        <f>$B$3+$B$5*49</f>
        <v/>
      </c>
      <c r="B3005">
        <f>$B$3+$B$5*4</f>
        <v/>
      </c>
      <c r="C3005">
        <f>SUMPRODUCT(Calc!$K$3:$K$22*(Calc!$G$3:$G$22&lt;=A3005))</f>
        <v/>
      </c>
      <c r="D3005">
        <f>SUMPRODUCT(Calc!$K$3:$K$22*(Calc!$G$3:$G$22&gt;A3005)*(Calc!$G$3:$G$22&lt;B3005))</f>
        <v/>
      </c>
      <c r="E3005">
        <f>SUMPRODUCT(Calc!$K$3:$K$22*(Calc!$G$3:$G$22&gt;=B3005))</f>
        <v/>
      </c>
      <c r="F3005">
        <f>AND(k_n&gt;=5,B3005&gt;A3005+1E-9,C3005&gt;=2,D3005&gt;=1,E3005&gt;=2)</f>
        <v/>
      </c>
      <c r="G3005">
        <f>SUMPRODUCT(Calc!$K$3:$K$22*(Calc!$G$3:$G$22&gt;A3005)*(Calc!$G$3:$G$22-A3005))</f>
        <v/>
      </c>
      <c r="H3005">
        <f>SUMPRODUCT(Calc!$K$3:$K$22*(Calc!$G$3:$G$22&gt;B3005)*(Calc!$G$3:$G$22-B3005))</f>
        <v/>
      </c>
      <c r="I3005">
        <f>SUMPRODUCT(Calc!$K$3:$K$22*(Calc!$G$3:$G$22&gt;A3005)*(Calc!$G$3:$G$22-A3005)^2)</f>
        <v/>
      </c>
      <c r="J3005">
        <f>SUMPRODUCT(Calc!$K$3:$K$22*(Calc!$G$3:$G$22&gt;B3005)*(Calc!$G$3:$G$22-B3005)^2)</f>
        <v/>
      </c>
      <c r="K3005">
        <f>SUMPRODUCT(Calc!$K$3:$K$22*(Calc!$G$3:$G$22&gt;A3005)*(Calc!$G$3:$G$22-A3005)*(Calc!$G$3:$G$22&gt;B3005)*(Calc!$G$3:$G$22-B3005))</f>
        <v/>
      </c>
      <c r="L3005">
        <f>SUMPRODUCT(Calc!$K$3:$K$22*(Calc!$G$3:$G$22&gt;A3005)*(Calc!$G$3:$G$22-A3005)*Calc!$G$3:$G$22)</f>
        <v/>
      </c>
      <c r="M3005">
        <f>SUMPRODUCT(Calc!$K$3:$K$22*(Calc!$G$3:$G$22&gt;B3005)*(Calc!$G$3:$G$22-B3005)*Calc!$G$3:$G$22)</f>
        <v/>
      </c>
      <c r="N3005">
        <f>SUMPRODUCT(Calc!$K$3:$K$22*(Calc!$G$3:$G$22&gt;A3005)*(Calc!$G$3:$G$22-A3005)*Calc!$I$3:$I$22)</f>
        <v/>
      </c>
      <c r="O3005">
        <f>SUMPRODUCT(Calc!$K$3:$K$22*(Calc!$G$3:$G$22&gt;B3005)*(Calc!$G$3:$G$22-B3005)*Calc!$I$3:$I$22)</f>
        <v/>
      </c>
      <c r="P3005">
        <f>I3005-G3005^2/k_n</f>
        <v/>
      </c>
      <c r="Q3005">
        <f>J3005-H3005^2/k_n</f>
        <v/>
      </c>
      <c r="R3005">
        <f>K3005-G3005*H3005/k_n</f>
        <v/>
      </c>
      <c r="S3005">
        <f>L3005-LTP3!$D$3*G3005/k_n</f>
        <v/>
      </c>
      <c r="T3005">
        <f>M3005-LTP3!$D$3*H3005/k_n</f>
        <v/>
      </c>
      <c r="U3005">
        <f>N3005-G3005*LTP3!$D$4/k_n</f>
        <v/>
      </c>
      <c r="V3005">
        <f>O3005-H3005*LTP3!$D$4/k_n</f>
        <v/>
      </c>
      <c r="W3005">
        <f>((LTP3!$D$5)*((P3005)*(Q3005)-(R3005)*(R3005))-(S3005)*((S3005)*(Q3005)-(R3005)*(T3005))+(T3005)*((S3005)*(R3005)-(P3005)*(T3005)))</f>
        <v/>
      </c>
      <c r="X3005">
        <f>IF(ABS(W3005)&gt;1E-12,((LTP3!$D$6)*((P3005)*(Q3005)-(R3005)*(R3005))-(S3005)*((U3005)*(Q3005)-(R3005)*(V3005))+(T3005)*((U3005)*(R3005)-(P3005)*(V3005)))/W3005,0)</f>
        <v/>
      </c>
      <c r="Y3005">
        <f>IF(ABS(W3005)&gt;1E-12,((LTP3!$D$5)*((U3005)*(Q3005)-(R3005)*(V3005))-(LTP3!$D$6)*((S3005)*(Q3005)-(R3005)*(T3005))+(T3005)*((S3005)*(V3005)-(U3005)*(T3005)))/W3005,0)</f>
        <v/>
      </c>
      <c r="Z3005">
        <f>IF(ABS(W3005)&gt;1E-12,((LTP3!$D$5)*((P3005)*(V3005)-(U3005)*(R3005))-(S3005)*((S3005)*(V3005)-(U3005)*(T3005))+(LTP3!$D$6)*((S3005)*(R3005)-(P3005)*(T3005)))/W3005,0)</f>
        <v/>
      </c>
      <c r="AA3005">
        <f>LTP3!$D$7-X3005*LTP3!$D$6-Y3005*U3005-Z3005*V3005</f>
        <v/>
      </c>
      <c r="AB3005">
        <f>IF(AND(F3005,ABS(W3005)&gt;1E-12,Y3005&gt;0,Z3005&gt;0),AA3005,1E+300)</f>
        <v/>
      </c>
    </row>
    <row r="3006">
      <c r="A3006">
        <f>$B$3+$B$5*49</f>
        <v/>
      </c>
      <c r="B3006">
        <f>$B$3+$B$5*5</f>
        <v/>
      </c>
      <c r="C3006">
        <f>SUMPRODUCT(Calc!$K$3:$K$22*(Calc!$G$3:$G$22&lt;=A3006))</f>
        <v/>
      </c>
      <c r="D3006">
        <f>SUMPRODUCT(Calc!$K$3:$K$22*(Calc!$G$3:$G$22&gt;A3006)*(Calc!$G$3:$G$22&lt;B3006))</f>
        <v/>
      </c>
      <c r="E3006">
        <f>SUMPRODUCT(Calc!$K$3:$K$22*(Calc!$G$3:$G$22&gt;=B3006))</f>
        <v/>
      </c>
      <c r="F3006">
        <f>AND(k_n&gt;=5,B3006&gt;A3006+1E-9,C3006&gt;=2,D3006&gt;=1,E3006&gt;=2)</f>
        <v/>
      </c>
      <c r="G3006">
        <f>SUMPRODUCT(Calc!$K$3:$K$22*(Calc!$G$3:$G$22&gt;A3006)*(Calc!$G$3:$G$22-A3006))</f>
        <v/>
      </c>
      <c r="H3006">
        <f>SUMPRODUCT(Calc!$K$3:$K$22*(Calc!$G$3:$G$22&gt;B3006)*(Calc!$G$3:$G$22-B3006))</f>
        <v/>
      </c>
      <c r="I3006">
        <f>SUMPRODUCT(Calc!$K$3:$K$22*(Calc!$G$3:$G$22&gt;A3006)*(Calc!$G$3:$G$22-A3006)^2)</f>
        <v/>
      </c>
      <c r="J3006">
        <f>SUMPRODUCT(Calc!$K$3:$K$22*(Calc!$G$3:$G$22&gt;B3006)*(Calc!$G$3:$G$22-B3006)^2)</f>
        <v/>
      </c>
      <c r="K3006">
        <f>SUMPRODUCT(Calc!$K$3:$K$22*(Calc!$G$3:$G$22&gt;A3006)*(Calc!$G$3:$G$22-A3006)*(Calc!$G$3:$G$22&gt;B3006)*(Calc!$G$3:$G$22-B3006))</f>
        <v/>
      </c>
      <c r="L3006">
        <f>SUMPRODUCT(Calc!$K$3:$K$22*(Calc!$G$3:$G$22&gt;A3006)*(Calc!$G$3:$G$22-A3006)*Calc!$G$3:$G$22)</f>
        <v/>
      </c>
      <c r="M3006">
        <f>SUMPRODUCT(Calc!$K$3:$K$22*(Calc!$G$3:$G$22&gt;B3006)*(Calc!$G$3:$G$22-B3006)*Calc!$G$3:$G$22)</f>
        <v/>
      </c>
      <c r="N3006">
        <f>SUMPRODUCT(Calc!$K$3:$K$22*(Calc!$G$3:$G$22&gt;A3006)*(Calc!$G$3:$G$22-A3006)*Calc!$I$3:$I$22)</f>
        <v/>
      </c>
      <c r="O3006">
        <f>SUMPRODUCT(Calc!$K$3:$K$22*(Calc!$G$3:$G$22&gt;B3006)*(Calc!$G$3:$G$22-B3006)*Calc!$I$3:$I$22)</f>
        <v/>
      </c>
      <c r="P3006">
        <f>I3006-G3006^2/k_n</f>
        <v/>
      </c>
      <c r="Q3006">
        <f>J3006-H3006^2/k_n</f>
        <v/>
      </c>
      <c r="R3006">
        <f>K3006-G3006*H3006/k_n</f>
        <v/>
      </c>
      <c r="S3006">
        <f>L3006-LTP3!$D$3*G3006/k_n</f>
        <v/>
      </c>
      <c r="T3006">
        <f>M3006-LTP3!$D$3*H3006/k_n</f>
        <v/>
      </c>
      <c r="U3006">
        <f>N3006-G3006*LTP3!$D$4/k_n</f>
        <v/>
      </c>
      <c r="V3006">
        <f>O3006-H3006*LTP3!$D$4/k_n</f>
        <v/>
      </c>
      <c r="W3006">
        <f>((LTP3!$D$5)*((P3006)*(Q3006)-(R3006)*(R3006))-(S3006)*((S3006)*(Q3006)-(R3006)*(T3006))+(T3006)*((S3006)*(R3006)-(P3006)*(T3006)))</f>
        <v/>
      </c>
      <c r="X3006">
        <f>IF(ABS(W3006)&gt;1E-12,((LTP3!$D$6)*((P3006)*(Q3006)-(R3006)*(R3006))-(S3006)*((U3006)*(Q3006)-(R3006)*(V3006))+(T3006)*((U3006)*(R3006)-(P3006)*(V3006)))/W3006,0)</f>
        <v/>
      </c>
      <c r="Y3006">
        <f>IF(ABS(W3006)&gt;1E-12,((LTP3!$D$5)*((U3006)*(Q3006)-(R3006)*(V3006))-(LTP3!$D$6)*((S3006)*(Q3006)-(R3006)*(T3006))+(T3006)*((S3006)*(V3006)-(U3006)*(T3006)))/W3006,0)</f>
        <v/>
      </c>
      <c r="Z3006">
        <f>IF(ABS(W3006)&gt;1E-12,((LTP3!$D$5)*((P3006)*(V3006)-(U3006)*(R3006))-(S3006)*((S3006)*(V3006)-(U3006)*(T3006))+(LTP3!$D$6)*((S3006)*(R3006)-(P3006)*(T3006)))/W3006,0)</f>
        <v/>
      </c>
      <c r="AA3006">
        <f>LTP3!$D$7-X3006*LTP3!$D$6-Y3006*U3006-Z3006*V3006</f>
        <v/>
      </c>
      <c r="AB3006">
        <f>IF(AND(F3006,ABS(W3006)&gt;1E-12,Y3006&gt;0,Z3006&gt;0),AA3006,1E+300)</f>
        <v/>
      </c>
    </row>
    <row r="3007">
      <c r="A3007">
        <f>$B$3+$B$5*49</f>
        <v/>
      </c>
      <c r="B3007">
        <f>$B$3+$B$5*6</f>
        <v/>
      </c>
      <c r="C3007">
        <f>SUMPRODUCT(Calc!$K$3:$K$22*(Calc!$G$3:$G$22&lt;=A3007))</f>
        <v/>
      </c>
      <c r="D3007">
        <f>SUMPRODUCT(Calc!$K$3:$K$22*(Calc!$G$3:$G$22&gt;A3007)*(Calc!$G$3:$G$22&lt;B3007))</f>
        <v/>
      </c>
      <c r="E3007">
        <f>SUMPRODUCT(Calc!$K$3:$K$22*(Calc!$G$3:$G$22&gt;=B3007))</f>
        <v/>
      </c>
      <c r="F3007">
        <f>AND(k_n&gt;=5,B3007&gt;A3007+1E-9,C3007&gt;=2,D3007&gt;=1,E3007&gt;=2)</f>
        <v/>
      </c>
      <c r="G3007">
        <f>SUMPRODUCT(Calc!$K$3:$K$22*(Calc!$G$3:$G$22&gt;A3007)*(Calc!$G$3:$G$22-A3007))</f>
        <v/>
      </c>
      <c r="H3007">
        <f>SUMPRODUCT(Calc!$K$3:$K$22*(Calc!$G$3:$G$22&gt;B3007)*(Calc!$G$3:$G$22-B3007))</f>
        <v/>
      </c>
      <c r="I3007">
        <f>SUMPRODUCT(Calc!$K$3:$K$22*(Calc!$G$3:$G$22&gt;A3007)*(Calc!$G$3:$G$22-A3007)^2)</f>
        <v/>
      </c>
      <c r="J3007">
        <f>SUMPRODUCT(Calc!$K$3:$K$22*(Calc!$G$3:$G$22&gt;B3007)*(Calc!$G$3:$G$22-B3007)^2)</f>
        <v/>
      </c>
      <c r="K3007">
        <f>SUMPRODUCT(Calc!$K$3:$K$22*(Calc!$G$3:$G$22&gt;A3007)*(Calc!$G$3:$G$22-A3007)*(Calc!$G$3:$G$22&gt;B3007)*(Calc!$G$3:$G$22-B3007))</f>
        <v/>
      </c>
      <c r="L3007">
        <f>SUMPRODUCT(Calc!$K$3:$K$22*(Calc!$G$3:$G$22&gt;A3007)*(Calc!$G$3:$G$22-A3007)*Calc!$G$3:$G$22)</f>
        <v/>
      </c>
      <c r="M3007">
        <f>SUMPRODUCT(Calc!$K$3:$K$22*(Calc!$G$3:$G$22&gt;B3007)*(Calc!$G$3:$G$22-B3007)*Calc!$G$3:$G$22)</f>
        <v/>
      </c>
      <c r="N3007">
        <f>SUMPRODUCT(Calc!$K$3:$K$22*(Calc!$G$3:$G$22&gt;A3007)*(Calc!$G$3:$G$22-A3007)*Calc!$I$3:$I$22)</f>
        <v/>
      </c>
      <c r="O3007">
        <f>SUMPRODUCT(Calc!$K$3:$K$22*(Calc!$G$3:$G$22&gt;B3007)*(Calc!$G$3:$G$22-B3007)*Calc!$I$3:$I$22)</f>
        <v/>
      </c>
      <c r="P3007">
        <f>I3007-G3007^2/k_n</f>
        <v/>
      </c>
      <c r="Q3007">
        <f>J3007-H3007^2/k_n</f>
        <v/>
      </c>
      <c r="R3007">
        <f>K3007-G3007*H3007/k_n</f>
        <v/>
      </c>
      <c r="S3007">
        <f>L3007-LTP3!$D$3*G3007/k_n</f>
        <v/>
      </c>
      <c r="T3007">
        <f>M3007-LTP3!$D$3*H3007/k_n</f>
        <v/>
      </c>
      <c r="U3007">
        <f>N3007-G3007*LTP3!$D$4/k_n</f>
        <v/>
      </c>
      <c r="V3007">
        <f>O3007-H3007*LTP3!$D$4/k_n</f>
        <v/>
      </c>
      <c r="W3007">
        <f>((LTP3!$D$5)*((P3007)*(Q3007)-(R3007)*(R3007))-(S3007)*((S3007)*(Q3007)-(R3007)*(T3007))+(T3007)*((S3007)*(R3007)-(P3007)*(T3007)))</f>
        <v/>
      </c>
      <c r="X3007">
        <f>IF(ABS(W3007)&gt;1E-12,((LTP3!$D$6)*((P3007)*(Q3007)-(R3007)*(R3007))-(S3007)*((U3007)*(Q3007)-(R3007)*(V3007))+(T3007)*((U3007)*(R3007)-(P3007)*(V3007)))/W3007,0)</f>
        <v/>
      </c>
      <c r="Y3007">
        <f>IF(ABS(W3007)&gt;1E-12,((LTP3!$D$5)*((U3007)*(Q3007)-(R3007)*(V3007))-(LTP3!$D$6)*((S3007)*(Q3007)-(R3007)*(T3007))+(T3007)*((S3007)*(V3007)-(U3007)*(T3007)))/W3007,0)</f>
        <v/>
      </c>
      <c r="Z3007">
        <f>IF(ABS(W3007)&gt;1E-12,((LTP3!$D$5)*((P3007)*(V3007)-(U3007)*(R3007))-(S3007)*((S3007)*(V3007)-(U3007)*(T3007))+(LTP3!$D$6)*((S3007)*(R3007)-(P3007)*(T3007)))/W3007,0)</f>
        <v/>
      </c>
      <c r="AA3007">
        <f>LTP3!$D$7-X3007*LTP3!$D$6-Y3007*U3007-Z3007*V3007</f>
        <v/>
      </c>
      <c r="AB3007">
        <f>IF(AND(F3007,ABS(W3007)&gt;1E-12,Y3007&gt;0,Z3007&gt;0),AA3007,1E+300)</f>
        <v/>
      </c>
    </row>
    <row r="3008">
      <c r="A3008">
        <f>$B$3+$B$5*49</f>
        <v/>
      </c>
      <c r="B3008">
        <f>$B$3+$B$5*7</f>
        <v/>
      </c>
      <c r="C3008">
        <f>SUMPRODUCT(Calc!$K$3:$K$22*(Calc!$G$3:$G$22&lt;=A3008))</f>
        <v/>
      </c>
      <c r="D3008">
        <f>SUMPRODUCT(Calc!$K$3:$K$22*(Calc!$G$3:$G$22&gt;A3008)*(Calc!$G$3:$G$22&lt;B3008))</f>
        <v/>
      </c>
      <c r="E3008">
        <f>SUMPRODUCT(Calc!$K$3:$K$22*(Calc!$G$3:$G$22&gt;=B3008))</f>
        <v/>
      </c>
      <c r="F3008">
        <f>AND(k_n&gt;=5,B3008&gt;A3008+1E-9,C3008&gt;=2,D3008&gt;=1,E3008&gt;=2)</f>
        <v/>
      </c>
      <c r="G3008">
        <f>SUMPRODUCT(Calc!$K$3:$K$22*(Calc!$G$3:$G$22&gt;A3008)*(Calc!$G$3:$G$22-A3008))</f>
        <v/>
      </c>
      <c r="H3008">
        <f>SUMPRODUCT(Calc!$K$3:$K$22*(Calc!$G$3:$G$22&gt;B3008)*(Calc!$G$3:$G$22-B3008))</f>
        <v/>
      </c>
      <c r="I3008">
        <f>SUMPRODUCT(Calc!$K$3:$K$22*(Calc!$G$3:$G$22&gt;A3008)*(Calc!$G$3:$G$22-A3008)^2)</f>
        <v/>
      </c>
      <c r="J3008">
        <f>SUMPRODUCT(Calc!$K$3:$K$22*(Calc!$G$3:$G$22&gt;B3008)*(Calc!$G$3:$G$22-B3008)^2)</f>
        <v/>
      </c>
      <c r="K3008">
        <f>SUMPRODUCT(Calc!$K$3:$K$22*(Calc!$G$3:$G$22&gt;A3008)*(Calc!$G$3:$G$22-A3008)*(Calc!$G$3:$G$22&gt;B3008)*(Calc!$G$3:$G$22-B3008))</f>
        <v/>
      </c>
      <c r="L3008">
        <f>SUMPRODUCT(Calc!$K$3:$K$22*(Calc!$G$3:$G$22&gt;A3008)*(Calc!$G$3:$G$22-A3008)*Calc!$G$3:$G$22)</f>
        <v/>
      </c>
      <c r="M3008">
        <f>SUMPRODUCT(Calc!$K$3:$K$22*(Calc!$G$3:$G$22&gt;B3008)*(Calc!$G$3:$G$22-B3008)*Calc!$G$3:$G$22)</f>
        <v/>
      </c>
      <c r="N3008">
        <f>SUMPRODUCT(Calc!$K$3:$K$22*(Calc!$G$3:$G$22&gt;A3008)*(Calc!$G$3:$G$22-A3008)*Calc!$I$3:$I$22)</f>
        <v/>
      </c>
      <c r="O3008">
        <f>SUMPRODUCT(Calc!$K$3:$K$22*(Calc!$G$3:$G$22&gt;B3008)*(Calc!$G$3:$G$22-B3008)*Calc!$I$3:$I$22)</f>
        <v/>
      </c>
      <c r="P3008">
        <f>I3008-G3008^2/k_n</f>
        <v/>
      </c>
      <c r="Q3008">
        <f>J3008-H3008^2/k_n</f>
        <v/>
      </c>
      <c r="R3008">
        <f>K3008-G3008*H3008/k_n</f>
        <v/>
      </c>
      <c r="S3008">
        <f>L3008-LTP3!$D$3*G3008/k_n</f>
        <v/>
      </c>
      <c r="T3008">
        <f>M3008-LTP3!$D$3*H3008/k_n</f>
        <v/>
      </c>
      <c r="U3008">
        <f>N3008-G3008*LTP3!$D$4/k_n</f>
        <v/>
      </c>
      <c r="V3008">
        <f>O3008-H3008*LTP3!$D$4/k_n</f>
        <v/>
      </c>
      <c r="W3008">
        <f>((LTP3!$D$5)*((P3008)*(Q3008)-(R3008)*(R3008))-(S3008)*((S3008)*(Q3008)-(R3008)*(T3008))+(T3008)*((S3008)*(R3008)-(P3008)*(T3008)))</f>
        <v/>
      </c>
      <c r="X3008">
        <f>IF(ABS(W3008)&gt;1E-12,((LTP3!$D$6)*((P3008)*(Q3008)-(R3008)*(R3008))-(S3008)*((U3008)*(Q3008)-(R3008)*(V3008))+(T3008)*((U3008)*(R3008)-(P3008)*(V3008)))/W3008,0)</f>
        <v/>
      </c>
      <c r="Y3008">
        <f>IF(ABS(W3008)&gt;1E-12,((LTP3!$D$5)*((U3008)*(Q3008)-(R3008)*(V3008))-(LTP3!$D$6)*((S3008)*(Q3008)-(R3008)*(T3008))+(T3008)*((S3008)*(V3008)-(U3008)*(T3008)))/W3008,0)</f>
        <v/>
      </c>
      <c r="Z3008">
        <f>IF(ABS(W3008)&gt;1E-12,((LTP3!$D$5)*((P3008)*(V3008)-(U3008)*(R3008))-(S3008)*((S3008)*(V3008)-(U3008)*(T3008))+(LTP3!$D$6)*((S3008)*(R3008)-(P3008)*(T3008)))/W3008,0)</f>
        <v/>
      </c>
      <c r="AA3008">
        <f>LTP3!$D$7-X3008*LTP3!$D$6-Y3008*U3008-Z3008*V3008</f>
        <v/>
      </c>
      <c r="AB3008">
        <f>IF(AND(F3008,ABS(W3008)&gt;1E-12,Y3008&gt;0,Z3008&gt;0),AA3008,1E+300)</f>
        <v/>
      </c>
    </row>
    <row r="3009">
      <c r="A3009">
        <f>$B$3+$B$5*49</f>
        <v/>
      </c>
      <c r="B3009">
        <f>$B$3+$B$5*8</f>
        <v/>
      </c>
      <c r="C3009">
        <f>SUMPRODUCT(Calc!$K$3:$K$22*(Calc!$G$3:$G$22&lt;=A3009))</f>
        <v/>
      </c>
      <c r="D3009">
        <f>SUMPRODUCT(Calc!$K$3:$K$22*(Calc!$G$3:$G$22&gt;A3009)*(Calc!$G$3:$G$22&lt;B3009))</f>
        <v/>
      </c>
      <c r="E3009">
        <f>SUMPRODUCT(Calc!$K$3:$K$22*(Calc!$G$3:$G$22&gt;=B3009))</f>
        <v/>
      </c>
      <c r="F3009">
        <f>AND(k_n&gt;=5,B3009&gt;A3009+1E-9,C3009&gt;=2,D3009&gt;=1,E3009&gt;=2)</f>
        <v/>
      </c>
      <c r="G3009">
        <f>SUMPRODUCT(Calc!$K$3:$K$22*(Calc!$G$3:$G$22&gt;A3009)*(Calc!$G$3:$G$22-A3009))</f>
        <v/>
      </c>
      <c r="H3009">
        <f>SUMPRODUCT(Calc!$K$3:$K$22*(Calc!$G$3:$G$22&gt;B3009)*(Calc!$G$3:$G$22-B3009))</f>
        <v/>
      </c>
      <c r="I3009">
        <f>SUMPRODUCT(Calc!$K$3:$K$22*(Calc!$G$3:$G$22&gt;A3009)*(Calc!$G$3:$G$22-A3009)^2)</f>
        <v/>
      </c>
      <c r="J3009">
        <f>SUMPRODUCT(Calc!$K$3:$K$22*(Calc!$G$3:$G$22&gt;B3009)*(Calc!$G$3:$G$22-B3009)^2)</f>
        <v/>
      </c>
      <c r="K3009">
        <f>SUMPRODUCT(Calc!$K$3:$K$22*(Calc!$G$3:$G$22&gt;A3009)*(Calc!$G$3:$G$22-A3009)*(Calc!$G$3:$G$22&gt;B3009)*(Calc!$G$3:$G$22-B3009))</f>
        <v/>
      </c>
      <c r="L3009">
        <f>SUMPRODUCT(Calc!$K$3:$K$22*(Calc!$G$3:$G$22&gt;A3009)*(Calc!$G$3:$G$22-A3009)*Calc!$G$3:$G$22)</f>
        <v/>
      </c>
      <c r="M3009">
        <f>SUMPRODUCT(Calc!$K$3:$K$22*(Calc!$G$3:$G$22&gt;B3009)*(Calc!$G$3:$G$22-B3009)*Calc!$G$3:$G$22)</f>
        <v/>
      </c>
      <c r="N3009">
        <f>SUMPRODUCT(Calc!$K$3:$K$22*(Calc!$G$3:$G$22&gt;A3009)*(Calc!$G$3:$G$22-A3009)*Calc!$I$3:$I$22)</f>
        <v/>
      </c>
      <c r="O3009">
        <f>SUMPRODUCT(Calc!$K$3:$K$22*(Calc!$G$3:$G$22&gt;B3009)*(Calc!$G$3:$G$22-B3009)*Calc!$I$3:$I$22)</f>
        <v/>
      </c>
      <c r="P3009">
        <f>I3009-G3009^2/k_n</f>
        <v/>
      </c>
      <c r="Q3009">
        <f>J3009-H3009^2/k_n</f>
        <v/>
      </c>
      <c r="R3009">
        <f>K3009-G3009*H3009/k_n</f>
        <v/>
      </c>
      <c r="S3009">
        <f>L3009-LTP3!$D$3*G3009/k_n</f>
        <v/>
      </c>
      <c r="T3009">
        <f>M3009-LTP3!$D$3*H3009/k_n</f>
        <v/>
      </c>
      <c r="U3009">
        <f>N3009-G3009*LTP3!$D$4/k_n</f>
        <v/>
      </c>
      <c r="V3009">
        <f>O3009-H3009*LTP3!$D$4/k_n</f>
        <v/>
      </c>
      <c r="W3009">
        <f>((LTP3!$D$5)*((P3009)*(Q3009)-(R3009)*(R3009))-(S3009)*((S3009)*(Q3009)-(R3009)*(T3009))+(T3009)*((S3009)*(R3009)-(P3009)*(T3009)))</f>
        <v/>
      </c>
      <c r="X3009">
        <f>IF(ABS(W3009)&gt;1E-12,((LTP3!$D$6)*((P3009)*(Q3009)-(R3009)*(R3009))-(S3009)*((U3009)*(Q3009)-(R3009)*(V3009))+(T3009)*((U3009)*(R3009)-(P3009)*(V3009)))/W3009,0)</f>
        <v/>
      </c>
      <c r="Y3009">
        <f>IF(ABS(W3009)&gt;1E-12,((LTP3!$D$5)*((U3009)*(Q3009)-(R3009)*(V3009))-(LTP3!$D$6)*((S3009)*(Q3009)-(R3009)*(T3009))+(T3009)*((S3009)*(V3009)-(U3009)*(T3009)))/W3009,0)</f>
        <v/>
      </c>
      <c r="Z3009">
        <f>IF(ABS(W3009)&gt;1E-12,((LTP3!$D$5)*((P3009)*(V3009)-(U3009)*(R3009))-(S3009)*((S3009)*(V3009)-(U3009)*(T3009))+(LTP3!$D$6)*((S3009)*(R3009)-(P3009)*(T3009)))/W3009,0)</f>
        <v/>
      </c>
      <c r="AA3009">
        <f>LTP3!$D$7-X3009*LTP3!$D$6-Y3009*U3009-Z3009*V3009</f>
        <v/>
      </c>
      <c r="AB3009">
        <f>IF(AND(F3009,ABS(W3009)&gt;1E-12,Y3009&gt;0,Z3009&gt;0),AA3009,1E+300)</f>
        <v/>
      </c>
    </row>
    <row r="3010">
      <c r="A3010">
        <f>$B$3+$B$5*49</f>
        <v/>
      </c>
      <c r="B3010">
        <f>$B$3+$B$5*9</f>
        <v/>
      </c>
      <c r="C3010">
        <f>SUMPRODUCT(Calc!$K$3:$K$22*(Calc!$G$3:$G$22&lt;=A3010))</f>
        <v/>
      </c>
      <c r="D3010">
        <f>SUMPRODUCT(Calc!$K$3:$K$22*(Calc!$G$3:$G$22&gt;A3010)*(Calc!$G$3:$G$22&lt;B3010))</f>
        <v/>
      </c>
      <c r="E3010">
        <f>SUMPRODUCT(Calc!$K$3:$K$22*(Calc!$G$3:$G$22&gt;=B3010))</f>
        <v/>
      </c>
      <c r="F3010">
        <f>AND(k_n&gt;=5,B3010&gt;A3010+1E-9,C3010&gt;=2,D3010&gt;=1,E3010&gt;=2)</f>
        <v/>
      </c>
      <c r="G3010">
        <f>SUMPRODUCT(Calc!$K$3:$K$22*(Calc!$G$3:$G$22&gt;A3010)*(Calc!$G$3:$G$22-A3010))</f>
        <v/>
      </c>
      <c r="H3010">
        <f>SUMPRODUCT(Calc!$K$3:$K$22*(Calc!$G$3:$G$22&gt;B3010)*(Calc!$G$3:$G$22-B3010))</f>
        <v/>
      </c>
      <c r="I3010">
        <f>SUMPRODUCT(Calc!$K$3:$K$22*(Calc!$G$3:$G$22&gt;A3010)*(Calc!$G$3:$G$22-A3010)^2)</f>
        <v/>
      </c>
      <c r="J3010">
        <f>SUMPRODUCT(Calc!$K$3:$K$22*(Calc!$G$3:$G$22&gt;B3010)*(Calc!$G$3:$G$22-B3010)^2)</f>
        <v/>
      </c>
      <c r="K3010">
        <f>SUMPRODUCT(Calc!$K$3:$K$22*(Calc!$G$3:$G$22&gt;A3010)*(Calc!$G$3:$G$22-A3010)*(Calc!$G$3:$G$22&gt;B3010)*(Calc!$G$3:$G$22-B3010))</f>
        <v/>
      </c>
      <c r="L3010">
        <f>SUMPRODUCT(Calc!$K$3:$K$22*(Calc!$G$3:$G$22&gt;A3010)*(Calc!$G$3:$G$22-A3010)*Calc!$G$3:$G$22)</f>
        <v/>
      </c>
      <c r="M3010">
        <f>SUMPRODUCT(Calc!$K$3:$K$22*(Calc!$G$3:$G$22&gt;B3010)*(Calc!$G$3:$G$22-B3010)*Calc!$G$3:$G$22)</f>
        <v/>
      </c>
      <c r="N3010">
        <f>SUMPRODUCT(Calc!$K$3:$K$22*(Calc!$G$3:$G$22&gt;A3010)*(Calc!$G$3:$G$22-A3010)*Calc!$I$3:$I$22)</f>
        <v/>
      </c>
      <c r="O3010">
        <f>SUMPRODUCT(Calc!$K$3:$K$22*(Calc!$G$3:$G$22&gt;B3010)*(Calc!$G$3:$G$22-B3010)*Calc!$I$3:$I$22)</f>
        <v/>
      </c>
      <c r="P3010">
        <f>I3010-G3010^2/k_n</f>
        <v/>
      </c>
      <c r="Q3010">
        <f>J3010-H3010^2/k_n</f>
        <v/>
      </c>
      <c r="R3010">
        <f>K3010-G3010*H3010/k_n</f>
        <v/>
      </c>
      <c r="S3010">
        <f>L3010-LTP3!$D$3*G3010/k_n</f>
        <v/>
      </c>
      <c r="T3010">
        <f>M3010-LTP3!$D$3*H3010/k_n</f>
        <v/>
      </c>
      <c r="U3010">
        <f>N3010-G3010*LTP3!$D$4/k_n</f>
        <v/>
      </c>
      <c r="V3010">
        <f>O3010-H3010*LTP3!$D$4/k_n</f>
        <v/>
      </c>
      <c r="W3010">
        <f>((LTP3!$D$5)*((P3010)*(Q3010)-(R3010)*(R3010))-(S3010)*((S3010)*(Q3010)-(R3010)*(T3010))+(T3010)*((S3010)*(R3010)-(P3010)*(T3010)))</f>
        <v/>
      </c>
      <c r="X3010">
        <f>IF(ABS(W3010)&gt;1E-12,((LTP3!$D$6)*((P3010)*(Q3010)-(R3010)*(R3010))-(S3010)*((U3010)*(Q3010)-(R3010)*(V3010))+(T3010)*((U3010)*(R3010)-(P3010)*(V3010)))/W3010,0)</f>
        <v/>
      </c>
      <c r="Y3010">
        <f>IF(ABS(W3010)&gt;1E-12,((LTP3!$D$5)*((U3010)*(Q3010)-(R3010)*(V3010))-(LTP3!$D$6)*((S3010)*(Q3010)-(R3010)*(T3010))+(T3010)*((S3010)*(V3010)-(U3010)*(T3010)))/W3010,0)</f>
        <v/>
      </c>
      <c r="Z3010">
        <f>IF(ABS(W3010)&gt;1E-12,((LTP3!$D$5)*((P3010)*(V3010)-(U3010)*(R3010))-(S3010)*((S3010)*(V3010)-(U3010)*(T3010))+(LTP3!$D$6)*((S3010)*(R3010)-(P3010)*(T3010)))/W3010,0)</f>
        <v/>
      </c>
      <c r="AA3010">
        <f>LTP3!$D$7-X3010*LTP3!$D$6-Y3010*U3010-Z3010*V3010</f>
        <v/>
      </c>
      <c r="AB3010">
        <f>IF(AND(F3010,ABS(W3010)&gt;1E-12,Y3010&gt;0,Z3010&gt;0),AA3010,1E+300)</f>
        <v/>
      </c>
    </row>
    <row r="3011">
      <c r="A3011">
        <f>$B$3+$B$5*49</f>
        <v/>
      </c>
      <c r="B3011">
        <f>$B$3+$B$5*10</f>
        <v/>
      </c>
      <c r="C3011">
        <f>SUMPRODUCT(Calc!$K$3:$K$22*(Calc!$G$3:$G$22&lt;=A3011))</f>
        <v/>
      </c>
      <c r="D3011">
        <f>SUMPRODUCT(Calc!$K$3:$K$22*(Calc!$G$3:$G$22&gt;A3011)*(Calc!$G$3:$G$22&lt;B3011))</f>
        <v/>
      </c>
      <c r="E3011">
        <f>SUMPRODUCT(Calc!$K$3:$K$22*(Calc!$G$3:$G$22&gt;=B3011))</f>
        <v/>
      </c>
      <c r="F3011">
        <f>AND(k_n&gt;=5,B3011&gt;A3011+1E-9,C3011&gt;=2,D3011&gt;=1,E3011&gt;=2)</f>
        <v/>
      </c>
      <c r="G3011">
        <f>SUMPRODUCT(Calc!$K$3:$K$22*(Calc!$G$3:$G$22&gt;A3011)*(Calc!$G$3:$G$22-A3011))</f>
        <v/>
      </c>
      <c r="H3011">
        <f>SUMPRODUCT(Calc!$K$3:$K$22*(Calc!$G$3:$G$22&gt;B3011)*(Calc!$G$3:$G$22-B3011))</f>
        <v/>
      </c>
      <c r="I3011">
        <f>SUMPRODUCT(Calc!$K$3:$K$22*(Calc!$G$3:$G$22&gt;A3011)*(Calc!$G$3:$G$22-A3011)^2)</f>
        <v/>
      </c>
      <c r="J3011">
        <f>SUMPRODUCT(Calc!$K$3:$K$22*(Calc!$G$3:$G$22&gt;B3011)*(Calc!$G$3:$G$22-B3011)^2)</f>
        <v/>
      </c>
      <c r="K3011">
        <f>SUMPRODUCT(Calc!$K$3:$K$22*(Calc!$G$3:$G$22&gt;A3011)*(Calc!$G$3:$G$22-A3011)*(Calc!$G$3:$G$22&gt;B3011)*(Calc!$G$3:$G$22-B3011))</f>
        <v/>
      </c>
      <c r="L3011">
        <f>SUMPRODUCT(Calc!$K$3:$K$22*(Calc!$G$3:$G$22&gt;A3011)*(Calc!$G$3:$G$22-A3011)*Calc!$G$3:$G$22)</f>
        <v/>
      </c>
      <c r="M3011">
        <f>SUMPRODUCT(Calc!$K$3:$K$22*(Calc!$G$3:$G$22&gt;B3011)*(Calc!$G$3:$G$22-B3011)*Calc!$G$3:$G$22)</f>
        <v/>
      </c>
      <c r="N3011">
        <f>SUMPRODUCT(Calc!$K$3:$K$22*(Calc!$G$3:$G$22&gt;A3011)*(Calc!$G$3:$G$22-A3011)*Calc!$I$3:$I$22)</f>
        <v/>
      </c>
      <c r="O3011">
        <f>SUMPRODUCT(Calc!$K$3:$K$22*(Calc!$G$3:$G$22&gt;B3011)*(Calc!$G$3:$G$22-B3011)*Calc!$I$3:$I$22)</f>
        <v/>
      </c>
      <c r="P3011">
        <f>I3011-G3011^2/k_n</f>
        <v/>
      </c>
      <c r="Q3011">
        <f>J3011-H3011^2/k_n</f>
        <v/>
      </c>
      <c r="R3011">
        <f>K3011-G3011*H3011/k_n</f>
        <v/>
      </c>
      <c r="S3011">
        <f>L3011-LTP3!$D$3*G3011/k_n</f>
        <v/>
      </c>
      <c r="T3011">
        <f>M3011-LTP3!$D$3*H3011/k_n</f>
        <v/>
      </c>
      <c r="U3011">
        <f>N3011-G3011*LTP3!$D$4/k_n</f>
        <v/>
      </c>
      <c r="V3011">
        <f>O3011-H3011*LTP3!$D$4/k_n</f>
        <v/>
      </c>
      <c r="W3011">
        <f>((LTP3!$D$5)*((P3011)*(Q3011)-(R3011)*(R3011))-(S3011)*((S3011)*(Q3011)-(R3011)*(T3011))+(T3011)*((S3011)*(R3011)-(P3011)*(T3011)))</f>
        <v/>
      </c>
      <c r="X3011">
        <f>IF(ABS(W3011)&gt;1E-12,((LTP3!$D$6)*((P3011)*(Q3011)-(R3011)*(R3011))-(S3011)*((U3011)*(Q3011)-(R3011)*(V3011))+(T3011)*((U3011)*(R3011)-(P3011)*(V3011)))/W3011,0)</f>
        <v/>
      </c>
      <c r="Y3011">
        <f>IF(ABS(W3011)&gt;1E-12,((LTP3!$D$5)*((U3011)*(Q3011)-(R3011)*(V3011))-(LTP3!$D$6)*((S3011)*(Q3011)-(R3011)*(T3011))+(T3011)*((S3011)*(V3011)-(U3011)*(T3011)))/W3011,0)</f>
        <v/>
      </c>
      <c r="Z3011">
        <f>IF(ABS(W3011)&gt;1E-12,((LTP3!$D$5)*((P3011)*(V3011)-(U3011)*(R3011))-(S3011)*((S3011)*(V3011)-(U3011)*(T3011))+(LTP3!$D$6)*((S3011)*(R3011)-(P3011)*(T3011)))/W3011,0)</f>
        <v/>
      </c>
      <c r="AA3011">
        <f>LTP3!$D$7-X3011*LTP3!$D$6-Y3011*U3011-Z3011*V3011</f>
        <v/>
      </c>
      <c r="AB3011">
        <f>IF(AND(F3011,ABS(W3011)&gt;1E-12,Y3011&gt;0,Z3011&gt;0),AA3011,1E+300)</f>
        <v/>
      </c>
    </row>
    <row r="3012">
      <c r="A3012">
        <f>$B$3+$B$5*49</f>
        <v/>
      </c>
      <c r="B3012">
        <f>$B$3+$B$5*11</f>
        <v/>
      </c>
      <c r="C3012">
        <f>SUMPRODUCT(Calc!$K$3:$K$22*(Calc!$G$3:$G$22&lt;=A3012))</f>
        <v/>
      </c>
      <c r="D3012">
        <f>SUMPRODUCT(Calc!$K$3:$K$22*(Calc!$G$3:$G$22&gt;A3012)*(Calc!$G$3:$G$22&lt;B3012))</f>
        <v/>
      </c>
      <c r="E3012">
        <f>SUMPRODUCT(Calc!$K$3:$K$22*(Calc!$G$3:$G$22&gt;=B3012))</f>
        <v/>
      </c>
      <c r="F3012">
        <f>AND(k_n&gt;=5,B3012&gt;A3012+1E-9,C3012&gt;=2,D3012&gt;=1,E3012&gt;=2)</f>
        <v/>
      </c>
      <c r="G3012">
        <f>SUMPRODUCT(Calc!$K$3:$K$22*(Calc!$G$3:$G$22&gt;A3012)*(Calc!$G$3:$G$22-A3012))</f>
        <v/>
      </c>
      <c r="H3012">
        <f>SUMPRODUCT(Calc!$K$3:$K$22*(Calc!$G$3:$G$22&gt;B3012)*(Calc!$G$3:$G$22-B3012))</f>
        <v/>
      </c>
      <c r="I3012">
        <f>SUMPRODUCT(Calc!$K$3:$K$22*(Calc!$G$3:$G$22&gt;A3012)*(Calc!$G$3:$G$22-A3012)^2)</f>
        <v/>
      </c>
      <c r="J3012">
        <f>SUMPRODUCT(Calc!$K$3:$K$22*(Calc!$G$3:$G$22&gt;B3012)*(Calc!$G$3:$G$22-B3012)^2)</f>
        <v/>
      </c>
      <c r="K3012">
        <f>SUMPRODUCT(Calc!$K$3:$K$22*(Calc!$G$3:$G$22&gt;A3012)*(Calc!$G$3:$G$22-A3012)*(Calc!$G$3:$G$22&gt;B3012)*(Calc!$G$3:$G$22-B3012))</f>
        <v/>
      </c>
      <c r="L3012">
        <f>SUMPRODUCT(Calc!$K$3:$K$22*(Calc!$G$3:$G$22&gt;A3012)*(Calc!$G$3:$G$22-A3012)*Calc!$G$3:$G$22)</f>
        <v/>
      </c>
      <c r="M3012">
        <f>SUMPRODUCT(Calc!$K$3:$K$22*(Calc!$G$3:$G$22&gt;B3012)*(Calc!$G$3:$G$22-B3012)*Calc!$G$3:$G$22)</f>
        <v/>
      </c>
      <c r="N3012">
        <f>SUMPRODUCT(Calc!$K$3:$K$22*(Calc!$G$3:$G$22&gt;A3012)*(Calc!$G$3:$G$22-A3012)*Calc!$I$3:$I$22)</f>
        <v/>
      </c>
      <c r="O3012">
        <f>SUMPRODUCT(Calc!$K$3:$K$22*(Calc!$G$3:$G$22&gt;B3012)*(Calc!$G$3:$G$22-B3012)*Calc!$I$3:$I$22)</f>
        <v/>
      </c>
      <c r="P3012">
        <f>I3012-G3012^2/k_n</f>
        <v/>
      </c>
      <c r="Q3012">
        <f>J3012-H3012^2/k_n</f>
        <v/>
      </c>
      <c r="R3012">
        <f>K3012-G3012*H3012/k_n</f>
        <v/>
      </c>
      <c r="S3012">
        <f>L3012-LTP3!$D$3*G3012/k_n</f>
        <v/>
      </c>
      <c r="T3012">
        <f>M3012-LTP3!$D$3*H3012/k_n</f>
        <v/>
      </c>
      <c r="U3012">
        <f>N3012-G3012*LTP3!$D$4/k_n</f>
        <v/>
      </c>
      <c r="V3012">
        <f>O3012-H3012*LTP3!$D$4/k_n</f>
        <v/>
      </c>
      <c r="W3012">
        <f>((LTP3!$D$5)*((P3012)*(Q3012)-(R3012)*(R3012))-(S3012)*((S3012)*(Q3012)-(R3012)*(T3012))+(T3012)*((S3012)*(R3012)-(P3012)*(T3012)))</f>
        <v/>
      </c>
      <c r="X3012">
        <f>IF(ABS(W3012)&gt;1E-12,((LTP3!$D$6)*((P3012)*(Q3012)-(R3012)*(R3012))-(S3012)*((U3012)*(Q3012)-(R3012)*(V3012))+(T3012)*((U3012)*(R3012)-(P3012)*(V3012)))/W3012,0)</f>
        <v/>
      </c>
      <c r="Y3012">
        <f>IF(ABS(W3012)&gt;1E-12,((LTP3!$D$5)*((U3012)*(Q3012)-(R3012)*(V3012))-(LTP3!$D$6)*((S3012)*(Q3012)-(R3012)*(T3012))+(T3012)*((S3012)*(V3012)-(U3012)*(T3012)))/W3012,0)</f>
        <v/>
      </c>
      <c r="Z3012">
        <f>IF(ABS(W3012)&gt;1E-12,((LTP3!$D$5)*((P3012)*(V3012)-(U3012)*(R3012))-(S3012)*((S3012)*(V3012)-(U3012)*(T3012))+(LTP3!$D$6)*((S3012)*(R3012)-(P3012)*(T3012)))/W3012,0)</f>
        <v/>
      </c>
      <c r="AA3012">
        <f>LTP3!$D$7-X3012*LTP3!$D$6-Y3012*U3012-Z3012*V3012</f>
        <v/>
      </c>
      <c r="AB3012">
        <f>IF(AND(F3012,ABS(W3012)&gt;1E-12,Y3012&gt;0,Z3012&gt;0),AA3012,1E+300)</f>
        <v/>
      </c>
    </row>
    <row r="3013">
      <c r="A3013">
        <f>$B$3+$B$5*49</f>
        <v/>
      </c>
      <c r="B3013">
        <f>$B$3+$B$5*12</f>
        <v/>
      </c>
      <c r="C3013">
        <f>SUMPRODUCT(Calc!$K$3:$K$22*(Calc!$G$3:$G$22&lt;=A3013))</f>
        <v/>
      </c>
      <c r="D3013">
        <f>SUMPRODUCT(Calc!$K$3:$K$22*(Calc!$G$3:$G$22&gt;A3013)*(Calc!$G$3:$G$22&lt;B3013))</f>
        <v/>
      </c>
      <c r="E3013">
        <f>SUMPRODUCT(Calc!$K$3:$K$22*(Calc!$G$3:$G$22&gt;=B3013))</f>
        <v/>
      </c>
      <c r="F3013">
        <f>AND(k_n&gt;=5,B3013&gt;A3013+1E-9,C3013&gt;=2,D3013&gt;=1,E3013&gt;=2)</f>
        <v/>
      </c>
      <c r="G3013">
        <f>SUMPRODUCT(Calc!$K$3:$K$22*(Calc!$G$3:$G$22&gt;A3013)*(Calc!$G$3:$G$22-A3013))</f>
        <v/>
      </c>
      <c r="H3013">
        <f>SUMPRODUCT(Calc!$K$3:$K$22*(Calc!$G$3:$G$22&gt;B3013)*(Calc!$G$3:$G$22-B3013))</f>
        <v/>
      </c>
      <c r="I3013">
        <f>SUMPRODUCT(Calc!$K$3:$K$22*(Calc!$G$3:$G$22&gt;A3013)*(Calc!$G$3:$G$22-A3013)^2)</f>
        <v/>
      </c>
      <c r="J3013">
        <f>SUMPRODUCT(Calc!$K$3:$K$22*(Calc!$G$3:$G$22&gt;B3013)*(Calc!$G$3:$G$22-B3013)^2)</f>
        <v/>
      </c>
      <c r="K3013">
        <f>SUMPRODUCT(Calc!$K$3:$K$22*(Calc!$G$3:$G$22&gt;A3013)*(Calc!$G$3:$G$22-A3013)*(Calc!$G$3:$G$22&gt;B3013)*(Calc!$G$3:$G$22-B3013))</f>
        <v/>
      </c>
      <c r="L3013">
        <f>SUMPRODUCT(Calc!$K$3:$K$22*(Calc!$G$3:$G$22&gt;A3013)*(Calc!$G$3:$G$22-A3013)*Calc!$G$3:$G$22)</f>
        <v/>
      </c>
      <c r="M3013">
        <f>SUMPRODUCT(Calc!$K$3:$K$22*(Calc!$G$3:$G$22&gt;B3013)*(Calc!$G$3:$G$22-B3013)*Calc!$G$3:$G$22)</f>
        <v/>
      </c>
      <c r="N3013">
        <f>SUMPRODUCT(Calc!$K$3:$K$22*(Calc!$G$3:$G$22&gt;A3013)*(Calc!$G$3:$G$22-A3013)*Calc!$I$3:$I$22)</f>
        <v/>
      </c>
      <c r="O3013">
        <f>SUMPRODUCT(Calc!$K$3:$K$22*(Calc!$G$3:$G$22&gt;B3013)*(Calc!$G$3:$G$22-B3013)*Calc!$I$3:$I$22)</f>
        <v/>
      </c>
      <c r="P3013">
        <f>I3013-G3013^2/k_n</f>
        <v/>
      </c>
      <c r="Q3013">
        <f>J3013-H3013^2/k_n</f>
        <v/>
      </c>
      <c r="R3013">
        <f>K3013-G3013*H3013/k_n</f>
        <v/>
      </c>
      <c r="S3013">
        <f>L3013-LTP3!$D$3*G3013/k_n</f>
        <v/>
      </c>
      <c r="T3013">
        <f>M3013-LTP3!$D$3*H3013/k_n</f>
        <v/>
      </c>
      <c r="U3013">
        <f>N3013-G3013*LTP3!$D$4/k_n</f>
        <v/>
      </c>
      <c r="V3013">
        <f>O3013-H3013*LTP3!$D$4/k_n</f>
        <v/>
      </c>
      <c r="W3013">
        <f>((LTP3!$D$5)*((P3013)*(Q3013)-(R3013)*(R3013))-(S3013)*((S3013)*(Q3013)-(R3013)*(T3013))+(T3013)*((S3013)*(R3013)-(P3013)*(T3013)))</f>
        <v/>
      </c>
      <c r="X3013">
        <f>IF(ABS(W3013)&gt;1E-12,((LTP3!$D$6)*((P3013)*(Q3013)-(R3013)*(R3013))-(S3013)*((U3013)*(Q3013)-(R3013)*(V3013))+(T3013)*((U3013)*(R3013)-(P3013)*(V3013)))/W3013,0)</f>
        <v/>
      </c>
      <c r="Y3013">
        <f>IF(ABS(W3013)&gt;1E-12,((LTP3!$D$5)*((U3013)*(Q3013)-(R3013)*(V3013))-(LTP3!$D$6)*((S3013)*(Q3013)-(R3013)*(T3013))+(T3013)*((S3013)*(V3013)-(U3013)*(T3013)))/W3013,0)</f>
        <v/>
      </c>
      <c r="Z3013">
        <f>IF(ABS(W3013)&gt;1E-12,((LTP3!$D$5)*((P3013)*(V3013)-(U3013)*(R3013))-(S3013)*((S3013)*(V3013)-(U3013)*(T3013))+(LTP3!$D$6)*((S3013)*(R3013)-(P3013)*(T3013)))/W3013,0)</f>
        <v/>
      </c>
      <c r="AA3013">
        <f>LTP3!$D$7-X3013*LTP3!$D$6-Y3013*U3013-Z3013*V3013</f>
        <v/>
      </c>
      <c r="AB3013">
        <f>IF(AND(F3013,ABS(W3013)&gt;1E-12,Y3013&gt;0,Z3013&gt;0),AA3013,1E+300)</f>
        <v/>
      </c>
    </row>
    <row r="3014">
      <c r="A3014">
        <f>$B$3+$B$5*49</f>
        <v/>
      </c>
      <c r="B3014">
        <f>$B$3+$B$5*13</f>
        <v/>
      </c>
      <c r="C3014">
        <f>SUMPRODUCT(Calc!$K$3:$K$22*(Calc!$G$3:$G$22&lt;=A3014))</f>
        <v/>
      </c>
      <c r="D3014">
        <f>SUMPRODUCT(Calc!$K$3:$K$22*(Calc!$G$3:$G$22&gt;A3014)*(Calc!$G$3:$G$22&lt;B3014))</f>
        <v/>
      </c>
      <c r="E3014">
        <f>SUMPRODUCT(Calc!$K$3:$K$22*(Calc!$G$3:$G$22&gt;=B3014))</f>
        <v/>
      </c>
      <c r="F3014">
        <f>AND(k_n&gt;=5,B3014&gt;A3014+1E-9,C3014&gt;=2,D3014&gt;=1,E3014&gt;=2)</f>
        <v/>
      </c>
      <c r="G3014">
        <f>SUMPRODUCT(Calc!$K$3:$K$22*(Calc!$G$3:$G$22&gt;A3014)*(Calc!$G$3:$G$22-A3014))</f>
        <v/>
      </c>
      <c r="H3014">
        <f>SUMPRODUCT(Calc!$K$3:$K$22*(Calc!$G$3:$G$22&gt;B3014)*(Calc!$G$3:$G$22-B3014))</f>
        <v/>
      </c>
      <c r="I3014">
        <f>SUMPRODUCT(Calc!$K$3:$K$22*(Calc!$G$3:$G$22&gt;A3014)*(Calc!$G$3:$G$22-A3014)^2)</f>
        <v/>
      </c>
      <c r="J3014">
        <f>SUMPRODUCT(Calc!$K$3:$K$22*(Calc!$G$3:$G$22&gt;B3014)*(Calc!$G$3:$G$22-B3014)^2)</f>
        <v/>
      </c>
      <c r="K3014">
        <f>SUMPRODUCT(Calc!$K$3:$K$22*(Calc!$G$3:$G$22&gt;A3014)*(Calc!$G$3:$G$22-A3014)*(Calc!$G$3:$G$22&gt;B3014)*(Calc!$G$3:$G$22-B3014))</f>
        <v/>
      </c>
      <c r="L3014">
        <f>SUMPRODUCT(Calc!$K$3:$K$22*(Calc!$G$3:$G$22&gt;A3014)*(Calc!$G$3:$G$22-A3014)*Calc!$G$3:$G$22)</f>
        <v/>
      </c>
      <c r="M3014">
        <f>SUMPRODUCT(Calc!$K$3:$K$22*(Calc!$G$3:$G$22&gt;B3014)*(Calc!$G$3:$G$22-B3014)*Calc!$G$3:$G$22)</f>
        <v/>
      </c>
      <c r="N3014">
        <f>SUMPRODUCT(Calc!$K$3:$K$22*(Calc!$G$3:$G$22&gt;A3014)*(Calc!$G$3:$G$22-A3014)*Calc!$I$3:$I$22)</f>
        <v/>
      </c>
      <c r="O3014">
        <f>SUMPRODUCT(Calc!$K$3:$K$22*(Calc!$G$3:$G$22&gt;B3014)*(Calc!$G$3:$G$22-B3014)*Calc!$I$3:$I$22)</f>
        <v/>
      </c>
      <c r="P3014">
        <f>I3014-G3014^2/k_n</f>
        <v/>
      </c>
      <c r="Q3014">
        <f>J3014-H3014^2/k_n</f>
        <v/>
      </c>
      <c r="R3014">
        <f>K3014-G3014*H3014/k_n</f>
        <v/>
      </c>
      <c r="S3014">
        <f>L3014-LTP3!$D$3*G3014/k_n</f>
        <v/>
      </c>
      <c r="T3014">
        <f>M3014-LTP3!$D$3*H3014/k_n</f>
        <v/>
      </c>
      <c r="U3014">
        <f>N3014-G3014*LTP3!$D$4/k_n</f>
        <v/>
      </c>
      <c r="V3014">
        <f>O3014-H3014*LTP3!$D$4/k_n</f>
        <v/>
      </c>
      <c r="W3014">
        <f>((LTP3!$D$5)*((P3014)*(Q3014)-(R3014)*(R3014))-(S3014)*((S3014)*(Q3014)-(R3014)*(T3014))+(T3014)*((S3014)*(R3014)-(P3014)*(T3014)))</f>
        <v/>
      </c>
      <c r="X3014">
        <f>IF(ABS(W3014)&gt;1E-12,((LTP3!$D$6)*((P3014)*(Q3014)-(R3014)*(R3014))-(S3014)*((U3014)*(Q3014)-(R3014)*(V3014))+(T3014)*((U3014)*(R3014)-(P3014)*(V3014)))/W3014,0)</f>
        <v/>
      </c>
      <c r="Y3014">
        <f>IF(ABS(W3014)&gt;1E-12,((LTP3!$D$5)*((U3014)*(Q3014)-(R3014)*(V3014))-(LTP3!$D$6)*((S3014)*(Q3014)-(R3014)*(T3014))+(T3014)*((S3014)*(V3014)-(U3014)*(T3014)))/W3014,0)</f>
        <v/>
      </c>
      <c r="Z3014">
        <f>IF(ABS(W3014)&gt;1E-12,((LTP3!$D$5)*((P3014)*(V3014)-(U3014)*(R3014))-(S3014)*((S3014)*(V3014)-(U3014)*(T3014))+(LTP3!$D$6)*((S3014)*(R3014)-(P3014)*(T3014)))/W3014,0)</f>
        <v/>
      </c>
      <c r="AA3014">
        <f>LTP3!$D$7-X3014*LTP3!$D$6-Y3014*U3014-Z3014*V3014</f>
        <v/>
      </c>
      <c r="AB3014">
        <f>IF(AND(F3014,ABS(W3014)&gt;1E-12,Y3014&gt;0,Z3014&gt;0),AA3014,1E+300)</f>
        <v/>
      </c>
    </row>
    <row r="3015">
      <c r="A3015">
        <f>$B$3+$B$5*49</f>
        <v/>
      </c>
      <c r="B3015">
        <f>$B$3+$B$5*14</f>
        <v/>
      </c>
      <c r="C3015">
        <f>SUMPRODUCT(Calc!$K$3:$K$22*(Calc!$G$3:$G$22&lt;=A3015))</f>
        <v/>
      </c>
      <c r="D3015">
        <f>SUMPRODUCT(Calc!$K$3:$K$22*(Calc!$G$3:$G$22&gt;A3015)*(Calc!$G$3:$G$22&lt;B3015))</f>
        <v/>
      </c>
      <c r="E3015">
        <f>SUMPRODUCT(Calc!$K$3:$K$22*(Calc!$G$3:$G$22&gt;=B3015))</f>
        <v/>
      </c>
      <c r="F3015">
        <f>AND(k_n&gt;=5,B3015&gt;A3015+1E-9,C3015&gt;=2,D3015&gt;=1,E3015&gt;=2)</f>
        <v/>
      </c>
      <c r="G3015">
        <f>SUMPRODUCT(Calc!$K$3:$K$22*(Calc!$G$3:$G$22&gt;A3015)*(Calc!$G$3:$G$22-A3015))</f>
        <v/>
      </c>
      <c r="H3015">
        <f>SUMPRODUCT(Calc!$K$3:$K$22*(Calc!$G$3:$G$22&gt;B3015)*(Calc!$G$3:$G$22-B3015))</f>
        <v/>
      </c>
      <c r="I3015">
        <f>SUMPRODUCT(Calc!$K$3:$K$22*(Calc!$G$3:$G$22&gt;A3015)*(Calc!$G$3:$G$22-A3015)^2)</f>
        <v/>
      </c>
      <c r="J3015">
        <f>SUMPRODUCT(Calc!$K$3:$K$22*(Calc!$G$3:$G$22&gt;B3015)*(Calc!$G$3:$G$22-B3015)^2)</f>
        <v/>
      </c>
      <c r="K3015">
        <f>SUMPRODUCT(Calc!$K$3:$K$22*(Calc!$G$3:$G$22&gt;A3015)*(Calc!$G$3:$G$22-A3015)*(Calc!$G$3:$G$22&gt;B3015)*(Calc!$G$3:$G$22-B3015))</f>
        <v/>
      </c>
      <c r="L3015">
        <f>SUMPRODUCT(Calc!$K$3:$K$22*(Calc!$G$3:$G$22&gt;A3015)*(Calc!$G$3:$G$22-A3015)*Calc!$G$3:$G$22)</f>
        <v/>
      </c>
      <c r="M3015">
        <f>SUMPRODUCT(Calc!$K$3:$K$22*(Calc!$G$3:$G$22&gt;B3015)*(Calc!$G$3:$G$22-B3015)*Calc!$G$3:$G$22)</f>
        <v/>
      </c>
      <c r="N3015">
        <f>SUMPRODUCT(Calc!$K$3:$K$22*(Calc!$G$3:$G$22&gt;A3015)*(Calc!$G$3:$G$22-A3015)*Calc!$I$3:$I$22)</f>
        <v/>
      </c>
      <c r="O3015">
        <f>SUMPRODUCT(Calc!$K$3:$K$22*(Calc!$G$3:$G$22&gt;B3015)*(Calc!$G$3:$G$22-B3015)*Calc!$I$3:$I$22)</f>
        <v/>
      </c>
      <c r="P3015">
        <f>I3015-G3015^2/k_n</f>
        <v/>
      </c>
      <c r="Q3015">
        <f>J3015-H3015^2/k_n</f>
        <v/>
      </c>
      <c r="R3015">
        <f>K3015-G3015*H3015/k_n</f>
        <v/>
      </c>
      <c r="S3015">
        <f>L3015-LTP3!$D$3*G3015/k_n</f>
        <v/>
      </c>
      <c r="T3015">
        <f>M3015-LTP3!$D$3*H3015/k_n</f>
        <v/>
      </c>
      <c r="U3015">
        <f>N3015-G3015*LTP3!$D$4/k_n</f>
        <v/>
      </c>
      <c r="V3015">
        <f>O3015-H3015*LTP3!$D$4/k_n</f>
        <v/>
      </c>
      <c r="W3015">
        <f>((LTP3!$D$5)*((P3015)*(Q3015)-(R3015)*(R3015))-(S3015)*((S3015)*(Q3015)-(R3015)*(T3015))+(T3015)*((S3015)*(R3015)-(P3015)*(T3015)))</f>
        <v/>
      </c>
      <c r="X3015">
        <f>IF(ABS(W3015)&gt;1E-12,((LTP3!$D$6)*((P3015)*(Q3015)-(R3015)*(R3015))-(S3015)*((U3015)*(Q3015)-(R3015)*(V3015))+(T3015)*((U3015)*(R3015)-(P3015)*(V3015)))/W3015,0)</f>
        <v/>
      </c>
      <c r="Y3015">
        <f>IF(ABS(W3015)&gt;1E-12,((LTP3!$D$5)*((U3015)*(Q3015)-(R3015)*(V3015))-(LTP3!$D$6)*((S3015)*(Q3015)-(R3015)*(T3015))+(T3015)*((S3015)*(V3015)-(U3015)*(T3015)))/W3015,0)</f>
        <v/>
      </c>
      <c r="Z3015">
        <f>IF(ABS(W3015)&gt;1E-12,((LTP3!$D$5)*((P3015)*(V3015)-(U3015)*(R3015))-(S3015)*((S3015)*(V3015)-(U3015)*(T3015))+(LTP3!$D$6)*((S3015)*(R3015)-(P3015)*(T3015)))/W3015,0)</f>
        <v/>
      </c>
      <c r="AA3015">
        <f>LTP3!$D$7-X3015*LTP3!$D$6-Y3015*U3015-Z3015*V3015</f>
        <v/>
      </c>
      <c r="AB3015">
        <f>IF(AND(F3015,ABS(W3015)&gt;1E-12,Y3015&gt;0,Z3015&gt;0),AA3015,1E+300)</f>
        <v/>
      </c>
    </row>
    <row r="3016">
      <c r="A3016">
        <f>$B$3+$B$5*49</f>
        <v/>
      </c>
      <c r="B3016">
        <f>$B$3+$B$5*15</f>
        <v/>
      </c>
      <c r="C3016">
        <f>SUMPRODUCT(Calc!$K$3:$K$22*(Calc!$G$3:$G$22&lt;=A3016))</f>
        <v/>
      </c>
      <c r="D3016">
        <f>SUMPRODUCT(Calc!$K$3:$K$22*(Calc!$G$3:$G$22&gt;A3016)*(Calc!$G$3:$G$22&lt;B3016))</f>
        <v/>
      </c>
      <c r="E3016">
        <f>SUMPRODUCT(Calc!$K$3:$K$22*(Calc!$G$3:$G$22&gt;=B3016))</f>
        <v/>
      </c>
      <c r="F3016">
        <f>AND(k_n&gt;=5,B3016&gt;A3016+1E-9,C3016&gt;=2,D3016&gt;=1,E3016&gt;=2)</f>
        <v/>
      </c>
      <c r="G3016">
        <f>SUMPRODUCT(Calc!$K$3:$K$22*(Calc!$G$3:$G$22&gt;A3016)*(Calc!$G$3:$G$22-A3016))</f>
        <v/>
      </c>
      <c r="H3016">
        <f>SUMPRODUCT(Calc!$K$3:$K$22*(Calc!$G$3:$G$22&gt;B3016)*(Calc!$G$3:$G$22-B3016))</f>
        <v/>
      </c>
      <c r="I3016">
        <f>SUMPRODUCT(Calc!$K$3:$K$22*(Calc!$G$3:$G$22&gt;A3016)*(Calc!$G$3:$G$22-A3016)^2)</f>
        <v/>
      </c>
      <c r="J3016">
        <f>SUMPRODUCT(Calc!$K$3:$K$22*(Calc!$G$3:$G$22&gt;B3016)*(Calc!$G$3:$G$22-B3016)^2)</f>
        <v/>
      </c>
      <c r="K3016">
        <f>SUMPRODUCT(Calc!$K$3:$K$22*(Calc!$G$3:$G$22&gt;A3016)*(Calc!$G$3:$G$22-A3016)*(Calc!$G$3:$G$22&gt;B3016)*(Calc!$G$3:$G$22-B3016))</f>
        <v/>
      </c>
      <c r="L3016">
        <f>SUMPRODUCT(Calc!$K$3:$K$22*(Calc!$G$3:$G$22&gt;A3016)*(Calc!$G$3:$G$22-A3016)*Calc!$G$3:$G$22)</f>
        <v/>
      </c>
      <c r="M3016">
        <f>SUMPRODUCT(Calc!$K$3:$K$22*(Calc!$G$3:$G$22&gt;B3016)*(Calc!$G$3:$G$22-B3016)*Calc!$G$3:$G$22)</f>
        <v/>
      </c>
      <c r="N3016">
        <f>SUMPRODUCT(Calc!$K$3:$K$22*(Calc!$G$3:$G$22&gt;A3016)*(Calc!$G$3:$G$22-A3016)*Calc!$I$3:$I$22)</f>
        <v/>
      </c>
      <c r="O3016">
        <f>SUMPRODUCT(Calc!$K$3:$K$22*(Calc!$G$3:$G$22&gt;B3016)*(Calc!$G$3:$G$22-B3016)*Calc!$I$3:$I$22)</f>
        <v/>
      </c>
      <c r="P3016">
        <f>I3016-G3016^2/k_n</f>
        <v/>
      </c>
      <c r="Q3016">
        <f>J3016-H3016^2/k_n</f>
        <v/>
      </c>
      <c r="R3016">
        <f>K3016-G3016*H3016/k_n</f>
        <v/>
      </c>
      <c r="S3016">
        <f>L3016-LTP3!$D$3*G3016/k_n</f>
        <v/>
      </c>
      <c r="T3016">
        <f>M3016-LTP3!$D$3*H3016/k_n</f>
        <v/>
      </c>
      <c r="U3016">
        <f>N3016-G3016*LTP3!$D$4/k_n</f>
        <v/>
      </c>
      <c r="V3016">
        <f>O3016-H3016*LTP3!$D$4/k_n</f>
        <v/>
      </c>
      <c r="W3016">
        <f>((LTP3!$D$5)*((P3016)*(Q3016)-(R3016)*(R3016))-(S3016)*((S3016)*(Q3016)-(R3016)*(T3016))+(T3016)*((S3016)*(R3016)-(P3016)*(T3016)))</f>
        <v/>
      </c>
      <c r="X3016">
        <f>IF(ABS(W3016)&gt;1E-12,((LTP3!$D$6)*((P3016)*(Q3016)-(R3016)*(R3016))-(S3016)*((U3016)*(Q3016)-(R3016)*(V3016))+(T3016)*((U3016)*(R3016)-(P3016)*(V3016)))/W3016,0)</f>
        <v/>
      </c>
      <c r="Y3016">
        <f>IF(ABS(W3016)&gt;1E-12,((LTP3!$D$5)*((U3016)*(Q3016)-(R3016)*(V3016))-(LTP3!$D$6)*((S3016)*(Q3016)-(R3016)*(T3016))+(T3016)*((S3016)*(V3016)-(U3016)*(T3016)))/W3016,0)</f>
        <v/>
      </c>
      <c r="Z3016">
        <f>IF(ABS(W3016)&gt;1E-12,((LTP3!$D$5)*((P3016)*(V3016)-(U3016)*(R3016))-(S3016)*((S3016)*(V3016)-(U3016)*(T3016))+(LTP3!$D$6)*((S3016)*(R3016)-(P3016)*(T3016)))/W3016,0)</f>
        <v/>
      </c>
      <c r="AA3016">
        <f>LTP3!$D$7-X3016*LTP3!$D$6-Y3016*U3016-Z3016*V3016</f>
        <v/>
      </c>
      <c r="AB3016">
        <f>IF(AND(F3016,ABS(W3016)&gt;1E-12,Y3016&gt;0,Z3016&gt;0),AA3016,1E+300)</f>
        <v/>
      </c>
    </row>
    <row r="3017">
      <c r="A3017">
        <f>$B$3+$B$5*49</f>
        <v/>
      </c>
      <c r="B3017">
        <f>$B$3+$B$5*16</f>
        <v/>
      </c>
      <c r="C3017">
        <f>SUMPRODUCT(Calc!$K$3:$K$22*(Calc!$G$3:$G$22&lt;=A3017))</f>
        <v/>
      </c>
      <c r="D3017">
        <f>SUMPRODUCT(Calc!$K$3:$K$22*(Calc!$G$3:$G$22&gt;A3017)*(Calc!$G$3:$G$22&lt;B3017))</f>
        <v/>
      </c>
      <c r="E3017">
        <f>SUMPRODUCT(Calc!$K$3:$K$22*(Calc!$G$3:$G$22&gt;=B3017))</f>
        <v/>
      </c>
      <c r="F3017">
        <f>AND(k_n&gt;=5,B3017&gt;A3017+1E-9,C3017&gt;=2,D3017&gt;=1,E3017&gt;=2)</f>
        <v/>
      </c>
      <c r="G3017">
        <f>SUMPRODUCT(Calc!$K$3:$K$22*(Calc!$G$3:$G$22&gt;A3017)*(Calc!$G$3:$G$22-A3017))</f>
        <v/>
      </c>
      <c r="H3017">
        <f>SUMPRODUCT(Calc!$K$3:$K$22*(Calc!$G$3:$G$22&gt;B3017)*(Calc!$G$3:$G$22-B3017))</f>
        <v/>
      </c>
      <c r="I3017">
        <f>SUMPRODUCT(Calc!$K$3:$K$22*(Calc!$G$3:$G$22&gt;A3017)*(Calc!$G$3:$G$22-A3017)^2)</f>
        <v/>
      </c>
      <c r="J3017">
        <f>SUMPRODUCT(Calc!$K$3:$K$22*(Calc!$G$3:$G$22&gt;B3017)*(Calc!$G$3:$G$22-B3017)^2)</f>
        <v/>
      </c>
      <c r="K3017">
        <f>SUMPRODUCT(Calc!$K$3:$K$22*(Calc!$G$3:$G$22&gt;A3017)*(Calc!$G$3:$G$22-A3017)*(Calc!$G$3:$G$22&gt;B3017)*(Calc!$G$3:$G$22-B3017))</f>
        <v/>
      </c>
      <c r="L3017">
        <f>SUMPRODUCT(Calc!$K$3:$K$22*(Calc!$G$3:$G$22&gt;A3017)*(Calc!$G$3:$G$22-A3017)*Calc!$G$3:$G$22)</f>
        <v/>
      </c>
      <c r="M3017">
        <f>SUMPRODUCT(Calc!$K$3:$K$22*(Calc!$G$3:$G$22&gt;B3017)*(Calc!$G$3:$G$22-B3017)*Calc!$G$3:$G$22)</f>
        <v/>
      </c>
      <c r="N3017">
        <f>SUMPRODUCT(Calc!$K$3:$K$22*(Calc!$G$3:$G$22&gt;A3017)*(Calc!$G$3:$G$22-A3017)*Calc!$I$3:$I$22)</f>
        <v/>
      </c>
      <c r="O3017">
        <f>SUMPRODUCT(Calc!$K$3:$K$22*(Calc!$G$3:$G$22&gt;B3017)*(Calc!$G$3:$G$22-B3017)*Calc!$I$3:$I$22)</f>
        <v/>
      </c>
      <c r="P3017">
        <f>I3017-G3017^2/k_n</f>
        <v/>
      </c>
      <c r="Q3017">
        <f>J3017-H3017^2/k_n</f>
        <v/>
      </c>
      <c r="R3017">
        <f>K3017-G3017*H3017/k_n</f>
        <v/>
      </c>
      <c r="S3017">
        <f>L3017-LTP3!$D$3*G3017/k_n</f>
        <v/>
      </c>
      <c r="T3017">
        <f>M3017-LTP3!$D$3*H3017/k_n</f>
        <v/>
      </c>
      <c r="U3017">
        <f>N3017-G3017*LTP3!$D$4/k_n</f>
        <v/>
      </c>
      <c r="V3017">
        <f>O3017-H3017*LTP3!$D$4/k_n</f>
        <v/>
      </c>
      <c r="W3017">
        <f>((LTP3!$D$5)*((P3017)*(Q3017)-(R3017)*(R3017))-(S3017)*((S3017)*(Q3017)-(R3017)*(T3017))+(T3017)*((S3017)*(R3017)-(P3017)*(T3017)))</f>
        <v/>
      </c>
      <c r="X3017">
        <f>IF(ABS(W3017)&gt;1E-12,((LTP3!$D$6)*((P3017)*(Q3017)-(R3017)*(R3017))-(S3017)*((U3017)*(Q3017)-(R3017)*(V3017))+(T3017)*((U3017)*(R3017)-(P3017)*(V3017)))/W3017,0)</f>
        <v/>
      </c>
      <c r="Y3017">
        <f>IF(ABS(W3017)&gt;1E-12,((LTP3!$D$5)*((U3017)*(Q3017)-(R3017)*(V3017))-(LTP3!$D$6)*((S3017)*(Q3017)-(R3017)*(T3017))+(T3017)*((S3017)*(V3017)-(U3017)*(T3017)))/W3017,0)</f>
        <v/>
      </c>
      <c r="Z3017">
        <f>IF(ABS(W3017)&gt;1E-12,((LTP3!$D$5)*((P3017)*(V3017)-(U3017)*(R3017))-(S3017)*((S3017)*(V3017)-(U3017)*(T3017))+(LTP3!$D$6)*((S3017)*(R3017)-(P3017)*(T3017)))/W3017,0)</f>
        <v/>
      </c>
      <c r="AA3017">
        <f>LTP3!$D$7-X3017*LTP3!$D$6-Y3017*U3017-Z3017*V3017</f>
        <v/>
      </c>
      <c r="AB3017">
        <f>IF(AND(F3017,ABS(W3017)&gt;1E-12,Y3017&gt;0,Z3017&gt;0),AA3017,1E+300)</f>
        <v/>
      </c>
    </row>
    <row r="3018">
      <c r="A3018">
        <f>$B$3+$B$5*49</f>
        <v/>
      </c>
      <c r="B3018">
        <f>$B$3+$B$5*17</f>
        <v/>
      </c>
      <c r="C3018">
        <f>SUMPRODUCT(Calc!$K$3:$K$22*(Calc!$G$3:$G$22&lt;=A3018))</f>
        <v/>
      </c>
      <c r="D3018">
        <f>SUMPRODUCT(Calc!$K$3:$K$22*(Calc!$G$3:$G$22&gt;A3018)*(Calc!$G$3:$G$22&lt;B3018))</f>
        <v/>
      </c>
      <c r="E3018">
        <f>SUMPRODUCT(Calc!$K$3:$K$22*(Calc!$G$3:$G$22&gt;=B3018))</f>
        <v/>
      </c>
      <c r="F3018">
        <f>AND(k_n&gt;=5,B3018&gt;A3018+1E-9,C3018&gt;=2,D3018&gt;=1,E3018&gt;=2)</f>
        <v/>
      </c>
      <c r="G3018">
        <f>SUMPRODUCT(Calc!$K$3:$K$22*(Calc!$G$3:$G$22&gt;A3018)*(Calc!$G$3:$G$22-A3018))</f>
        <v/>
      </c>
      <c r="H3018">
        <f>SUMPRODUCT(Calc!$K$3:$K$22*(Calc!$G$3:$G$22&gt;B3018)*(Calc!$G$3:$G$22-B3018))</f>
        <v/>
      </c>
      <c r="I3018">
        <f>SUMPRODUCT(Calc!$K$3:$K$22*(Calc!$G$3:$G$22&gt;A3018)*(Calc!$G$3:$G$22-A3018)^2)</f>
        <v/>
      </c>
      <c r="J3018">
        <f>SUMPRODUCT(Calc!$K$3:$K$22*(Calc!$G$3:$G$22&gt;B3018)*(Calc!$G$3:$G$22-B3018)^2)</f>
        <v/>
      </c>
      <c r="K3018">
        <f>SUMPRODUCT(Calc!$K$3:$K$22*(Calc!$G$3:$G$22&gt;A3018)*(Calc!$G$3:$G$22-A3018)*(Calc!$G$3:$G$22&gt;B3018)*(Calc!$G$3:$G$22-B3018))</f>
        <v/>
      </c>
      <c r="L3018">
        <f>SUMPRODUCT(Calc!$K$3:$K$22*(Calc!$G$3:$G$22&gt;A3018)*(Calc!$G$3:$G$22-A3018)*Calc!$G$3:$G$22)</f>
        <v/>
      </c>
      <c r="M3018">
        <f>SUMPRODUCT(Calc!$K$3:$K$22*(Calc!$G$3:$G$22&gt;B3018)*(Calc!$G$3:$G$22-B3018)*Calc!$G$3:$G$22)</f>
        <v/>
      </c>
      <c r="N3018">
        <f>SUMPRODUCT(Calc!$K$3:$K$22*(Calc!$G$3:$G$22&gt;A3018)*(Calc!$G$3:$G$22-A3018)*Calc!$I$3:$I$22)</f>
        <v/>
      </c>
      <c r="O3018">
        <f>SUMPRODUCT(Calc!$K$3:$K$22*(Calc!$G$3:$G$22&gt;B3018)*(Calc!$G$3:$G$22-B3018)*Calc!$I$3:$I$22)</f>
        <v/>
      </c>
      <c r="P3018">
        <f>I3018-G3018^2/k_n</f>
        <v/>
      </c>
      <c r="Q3018">
        <f>J3018-H3018^2/k_n</f>
        <v/>
      </c>
      <c r="R3018">
        <f>K3018-G3018*H3018/k_n</f>
        <v/>
      </c>
      <c r="S3018">
        <f>L3018-LTP3!$D$3*G3018/k_n</f>
        <v/>
      </c>
      <c r="T3018">
        <f>M3018-LTP3!$D$3*H3018/k_n</f>
        <v/>
      </c>
      <c r="U3018">
        <f>N3018-G3018*LTP3!$D$4/k_n</f>
        <v/>
      </c>
      <c r="V3018">
        <f>O3018-H3018*LTP3!$D$4/k_n</f>
        <v/>
      </c>
      <c r="W3018">
        <f>((LTP3!$D$5)*((P3018)*(Q3018)-(R3018)*(R3018))-(S3018)*((S3018)*(Q3018)-(R3018)*(T3018))+(T3018)*((S3018)*(R3018)-(P3018)*(T3018)))</f>
        <v/>
      </c>
      <c r="X3018">
        <f>IF(ABS(W3018)&gt;1E-12,((LTP3!$D$6)*((P3018)*(Q3018)-(R3018)*(R3018))-(S3018)*((U3018)*(Q3018)-(R3018)*(V3018))+(T3018)*((U3018)*(R3018)-(P3018)*(V3018)))/W3018,0)</f>
        <v/>
      </c>
      <c r="Y3018">
        <f>IF(ABS(W3018)&gt;1E-12,((LTP3!$D$5)*((U3018)*(Q3018)-(R3018)*(V3018))-(LTP3!$D$6)*((S3018)*(Q3018)-(R3018)*(T3018))+(T3018)*((S3018)*(V3018)-(U3018)*(T3018)))/W3018,0)</f>
        <v/>
      </c>
      <c r="Z3018">
        <f>IF(ABS(W3018)&gt;1E-12,((LTP3!$D$5)*((P3018)*(V3018)-(U3018)*(R3018))-(S3018)*((S3018)*(V3018)-(U3018)*(T3018))+(LTP3!$D$6)*((S3018)*(R3018)-(P3018)*(T3018)))/W3018,0)</f>
        <v/>
      </c>
      <c r="AA3018">
        <f>LTP3!$D$7-X3018*LTP3!$D$6-Y3018*U3018-Z3018*V3018</f>
        <v/>
      </c>
      <c r="AB3018">
        <f>IF(AND(F3018,ABS(W3018)&gt;1E-12,Y3018&gt;0,Z3018&gt;0),AA3018,1E+300)</f>
        <v/>
      </c>
    </row>
    <row r="3019">
      <c r="A3019">
        <f>$B$3+$B$5*49</f>
        <v/>
      </c>
      <c r="B3019">
        <f>$B$3+$B$5*18</f>
        <v/>
      </c>
      <c r="C3019">
        <f>SUMPRODUCT(Calc!$K$3:$K$22*(Calc!$G$3:$G$22&lt;=A3019))</f>
        <v/>
      </c>
      <c r="D3019">
        <f>SUMPRODUCT(Calc!$K$3:$K$22*(Calc!$G$3:$G$22&gt;A3019)*(Calc!$G$3:$G$22&lt;B3019))</f>
        <v/>
      </c>
      <c r="E3019">
        <f>SUMPRODUCT(Calc!$K$3:$K$22*(Calc!$G$3:$G$22&gt;=B3019))</f>
        <v/>
      </c>
      <c r="F3019">
        <f>AND(k_n&gt;=5,B3019&gt;A3019+1E-9,C3019&gt;=2,D3019&gt;=1,E3019&gt;=2)</f>
        <v/>
      </c>
      <c r="G3019">
        <f>SUMPRODUCT(Calc!$K$3:$K$22*(Calc!$G$3:$G$22&gt;A3019)*(Calc!$G$3:$G$22-A3019))</f>
        <v/>
      </c>
      <c r="H3019">
        <f>SUMPRODUCT(Calc!$K$3:$K$22*(Calc!$G$3:$G$22&gt;B3019)*(Calc!$G$3:$G$22-B3019))</f>
        <v/>
      </c>
      <c r="I3019">
        <f>SUMPRODUCT(Calc!$K$3:$K$22*(Calc!$G$3:$G$22&gt;A3019)*(Calc!$G$3:$G$22-A3019)^2)</f>
        <v/>
      </c>
      <c r="J3019">
        <f>SUMPRODUCT(Calc!$K$3:$K$22*(Calc!$G$3:$G$22&gt;B3019)*(Calc!$G$3:$G$22-B3019)^2)</f>
        <v/>
      </c>
      <c r="K3019">
        <f>SUMPRODUCT(Calc!$K$3:$K$22*(Calc!$G$3:$G$22&gt;A3019)*(Calc!$G$3:$G$22-A3019)*(Calc!$G$3:$G$22&gt;B3019)*(Calc!$G$3:$G$22-B3019))</f>
        <v/>
      </c>
      <c r="L3019">
        <f>SUMPRODUCT(Calc!$K$3:$K$22*(Calc!$G$3:$G$22&gt;A3019)*(Calc!$G$3:$G$22-A3019)*Calc!$G$3:$G$22)</f>
        <v/>
      </c>
      <c r="M3019">
        <f>SUMPRODUCT(Calc!$K$3:$K$22*(Calc!$G$3:$G$22&gt;B3019)*(Calc!$G$3:$G$22-B3019)*Calc!$G$3:$G$22)</f>
        <v/>
      </c>
      <c r="N3019">
        <f>SUMPRODUCT(Calc!$K$3:$K$22*(Calc!$G$3:$G$22&gt;A3019)*(Calc!$G$3:$G$22-A3019)*Calc!$I$3:$I$22)</f>
        <v/>
      </c>
      <c r="O3019">
        <f>SUMPRODUCT(Calc!$K$3:$K$22*(Calc!$G$3:$G$22&gt;B3019)*(Calc!$G$3:$G$22-B3019)*Calc!$I$3:$I$22)</f>
        <v/>
      </c>
      <c r="P3019">
        <f>I3019-G3019^2/k_n</f>
        <v/>
      </c>
      <c r="Q3019">
        <f>J3019-H3019^2/k_n</f>
        <v/>
      </c>
      <c r="R3019">
        <f>K3019-G3019*H3019/k_n</f>
        <v/>
      </c>
      <c r="S3019">
        <f>L3019-LTP3!$D$3*G3019/k_n</f>
        <v/>
      </c>
      <c r="T3019">
        <f>M3019-LTP3!$D$3*H3019/k_n</f>
        <v/>
      </c>
      <c r="U3019">
        <f>N3019-G3019*LTP3!$D$4/k_n</f>
        <v/>
      </c>
      <c r="V3019">
        <f>O3019-H3019*LTP3!$D$4/k_n</f>
        <v/>
      </c>
      <c r="W3019">
        <f>((LTP3!$D$5)*((P3019)*(Q3019)-(R3019)*(R3019))-(S3019)*((S3019)*(Q3019)-(R3019)*(T3019))+(T3019)*((S3019)*(R3019)-(P3019)*(T3019)))</f>
        <v/>
      </c>
      <c r="X3019">
        <f>IF(ABS(W3019)&gt;1E-12,((LTP3!$D$6)*((P3019)*(Q3019)-(R3019)*(R3019))-(S3019)*((U3019)*(Q3019)-(R3019)*(V3019))+(T3019)*((U3019)*(R3019)-(P3019)*(V3019)))/W3019,0)</f>
        <v/>
      </c>
      <c r="Y3019">
        <f>IF(ABS(W3019)&gt;1E-12,((LTP3!$D$5)*((U3019)*(Q3019)-(R3019)*(V3019))-(LTP3!$D$6)*((S3019)*(Q3019)-(R3019)*(T3019))+(T3019)*((S3019)*(V3019)-(U3019)*(T3019)))/W3019,0)</f>
        <v/>
      </c>
      <c r="Z3019">
        <f>IF(ABS(W3019)&gt;1E-12,((LTP3!$D$5)*((P3019)*(V3019)-(U3019)*(R3019))-(S3019)*((S3019)*(V3019)-(U3019)*(T3019))+(LTP3!$D$6)*((S3019)*(R3019)-(P3019)*(T3019)))/W3019,0)</f>
        <v/>
      </c>
      <c r="AA3019">
        <f>LTP3!$D$7-X3019*LTP3!$D$6-Y3019*U3019-Z3019*V3019</f>
        <v/>
      </c>
      <c r="AB3019">
        <f>IF(AND(F3019,ABS(W3019)&gt;1E-12,Y3019&gt;0,Z3019&gt;0),AA3019,1E+300)</f>
        <v/>
      </c>
    </row>
    <row r="3020">
      <c r="A3020">
        <f>$B$3+$B$5*49</f>
        <v/>
      </c>
      <c r="B3020">
        <f>$B$3+$B$5*19</f>
        <v/>
      </c>
      <c r="C3020">
        <f>SUMPRODUCT(Calc!$K$3:$K$22*(Calc!$G$3:$G$22&lt;=A3020))</f>
        <v/>
      </c>
      <c r="D3020">
        <f>SUMPRODUCT(Calc!$K$3:$K$22*(Calc!$G$3:$G$22&gt;A3020)*(Calc!$G$3:$G$22&lt;B3020))</f>
        <v/>
      </c>
      <c r="E3020">
        <f>SUMPRODUCT(Calc!$K$3:$K$22*(Calc!$G$3:$G$22&gt;=B3020))</f>
        <v/>
      </c>
      <c r="F3020">
        <f>AND(k_n&gt;=5,B3020&gt;A3020+1E-9,C3020&gt;=2,D3020&gt;=1,E3020&gt;=2)</f>
        <v/>
      </c>
      <c r="G3020">
        <f>SUMPRODUCT(Calc!$K$3:$K$22*(Calc!$G$3:$G$22&gt;A3020)*(Calc!$G$3:$G$22-A3020))</f>
        <v/>
      </c>
      <c r="H3020">
        <f>SUMPRODUCT(Calc!$K$3:$K$22*(Calc!$G$3:$G$22&gt;B3020)*(Calc!$G$3:$G$22-B3020))</f>
        <v/>
      </c>
      <c r="I3020">
        <f>SUMPRODUCT(Calc!$K$3:$K$22*(Calc!$G$3:$G$22&gt;A3020)*(Calc!$G$3:$G$22-A3020)^2)</f>
        <v/>
      </c>
      <c r="J3020">
        <f>SUMPRODUCT(Calc!$K$3:$K$22*(Calc!$G$3:$G$22&gt;B3020)*(Calc!$G$3:$G$22-B3020)^2)</f>
        <v/>
      </c>
      <c r="K3020">
        <f>SUMPRODUCT(Calc!$K$3:$K$22*(Calc!$G$3:$G$22&gt;A3020)*(Calc!$G$3:$G$22-A3020)*(Calc!$G$3:$G$22&gt;B3020)*(Calc!$G$3:$G$22-B3020))</f>
        <v/>
      </c>
      <c r="L3020">
        <f>SUMPRODUCT(Calc!$K$3:$K$22*(Calc!$G$3:$G$22&gt;A3020)*(Calc!$G$3:$G$22-A3020)*Calc!$G$3:$G$22)</f>
        <v/>
      </c>
      <c r="M3020">
        <f>SUMPRODUCT(Calc!$K$3:$K$22*(Calc!$G$3:$G$22&gt;B3020)*(Calc!$G$3:$G$22-B3020)*Calc!$G$3:$G$22)</f>
        <v/>
      </c>
      <c r="N3020">
        <f>SUMPRODUCT(Calc!$K$3:$K$22*(Calc!$G$3:$G$22&gt;A3020)*(Calc!$G$3:$G$22-A3020)*Calc!$I$3:$I$22)</f>
        <v/>
      </c>
      <c r="O3020">
        <f>SUMPRODUCT(Calc!$K$3:$K$22*(Calc!$G$3:$G$22&gt;B3020)*(Calc!$G$3:$G$22-B3020)*Calc!$I$3:$I$22)</f>
        <v/>
      </c>
      <c r="P3020">
        <f>I3020-G3020^2/k_n</f>
        <v/>
      </c>
      <c r="Q3020">
        <f>J3020-H3020^2/k_n</f>
        <v/>
      </c>
      <c r="R3020">
        <f>K3020-G3020*H3020/k_n</f>
        <v/>
      </c>
      <c r="S3020">
        <f>L3020-LTP3!$D$3*G3020/k_n</f>
        <v/>
      </c>
      <c r="T3020">
        <f>M3020-LTP3!$D$3*H3020/k_n</f>
        <v/>
      </c>
      <c r="U3020">
        <f>N3020-G3020*LTP3!$D$4/k_n</f>
        <v/>
      </c>
      <c r="V3020">
        <f>O3020-H3020*LTP3!$D$4/k_n</f>
        <v/>
      </c>
      <c r="W3020">
        <f>((LTP3!$D$5)*((P3020)*(Q3020)-(R3020)*(R3020))-(S3020)*((S3020)*(Q3020)-(R3020)*(T3020))+(T3020)*((S3020)*(R3020)-(P3020)*(T3020)))</f>
        <v/>
      </c>
      <c r="X3020">
        <f>IF(ABS(W3020)&gt;1E-12,((LTP3!$D$6)*((P3020)*(Q3020)-(R3020)*(R3020))-(S3020)*((U3020)*(Q3020)-(R3020)*(V3020))+(T3020)*((U3020)*(R3020)-(P3020)*(V3020)))/W3020,0)</f>
        <v/>
      </c>
      <c r="Y3020">
        <f>IF(ABS(W3020)&gt;1E-12,((LTP3!$D$5)*((U3020)*(Q3020)-(R3020)*(V3020))-(LTP3!$D$6)*((S3020)*(Q3020)-(R3020)*(T3020))+(T3020)*((S3020)*(V3020)-(U3020)*(T3020)))/W3020,0)</f>
        <v/>
      </c>
      <c r="Z3020">
        <f>IF(ABS(W3020)&gt;1E-12,((LTP3!$D$5)*((P3020)*(V3020)-(U3020)*(R3020))-(S3020)*((S3020)*(V3020)-(U3020)*(T3020))+(LTP3!$D$6)*((S3020)*(R3020)-(P3020)*(T3020)))/W3020,0)</f>
        <v/>
      </c>
      <c r="AA3020">
        <f>LTP3!$D$7-X3020*LTP3!$D$6-Y3020*U3020-Z3020*V3020</f>
        <v/>
      </c>
      <c r="AB3020">
        <f>IF(AND(F3020,ABS(W3020)&gt;1E-12,Y3020&gt;0,Z3020&gt;0),AA3020,1E+300)</f>
        <v/>
      </c>
    </row>
    <row r="3021">
      <c r="A3021">
        <f>$B$3+$B$5*49</f>
        <v/>
      </c>
      <c r="B3021">
        <f>$B$3+$B$5*20</f>
        <v/>
      </c>
      <c r="C3021">
        <f>SUMPRODUCT(Calc!$K$3:$K$22*(Calc!$G$3:$G$22&lt;=A3021))</f>
        <v/>
      </c>
      <c r="D3021">
        <f>SUMPRODUCT(Calc!$K$3:$K$22*(Calc!$G$3:$G$22&gt;A3021)*(Calc!$G$3:$G$22&lt;B3021))</f>
        <v/>
      </c>
      <c r="E3021">
        <f>SUMPRODUCT(Calc!$K$3:$K$22*(Calc!$G$3:$G$22&gt;=B3021))</f>
        <v/>
      </c>
      <c r="F3021">
        <f>AND(k_n&gt;=5,B3021&gt;A3021+1E-9,C3021&gt;=2,D3021&gt;=1,E3021&gt;=2)</f>
        <v/>
      </c>
      <c r="G3021">
        <f>SUMPRODUCT(Calc!$K$3:$K$22*(Calc!$G$3:$G$22&gt;A3021)*(Calc!$G$3:$G$22-A3021))</f>
        <v/>
      </c>
      <c r="H3021">
        <f>SUMPRODUCT(Calc!$K$3:$K$22*(Calc!$G$3:$G$22&gt;B3021)*(Calc!$G$3:$G$22-B3021))</f>
        <v/>
      </c>
      <c r="I3021">
        <f>SUMPRODUCT(Calc!$K$3:$K$22*(Calc!$G$3:$G$22&gt;A3021)*(Calc!$G$3:$G$22-A3021)^2)</f>
        <v/>
      </c>
      <c r="J3021">
        <f>SUMPRODUCT(Calc!$K$3:$K$22*(Calc!$G$3:$G$22&gt;B3021)*(Calc!$G$3:$G$22-B3021)^2)</f>
        <v/>
      </c>
      <c r="K3021">
        <f>SUMPRODUCT(Calc!$K$3:$K$22*(Calc!$G$3:$G$22&gt;A3021)*(Calc!$G$3:$G$22-A3021)*(Calc!$G$3:$G$22&gt;B3021)*(Calc!$G$3:$G$22-B3021))</f>
        <v/>
      </c>
      <c r="L3021">
        <f>SUMPRODUCT(Calc!$K$3:$K$22*(Calc!$G$3:$G$22&gt;A3021)*(Calc!$G$3:$G$22-A3021)*Calc!$G$3:$G$22)</f>
        <v/>
      </c>
      <c r="M3021">
        <f>SUMPRODUCT(Calc!$K$3:$K$22*(Calc!$G$3:$G$22&gt;B3021)*(Calc!$G$3:$G$22-B3021)*Calc!$G$3:$G$22)</f>
        <v/>
      </c>
      <c r="N3021">
        <f>SUMPRODUCT(Calc!$K$3:$K$22*(Calc!$G$3:$G$22&gt;A3021)*(Calc!$G$3:$G$22-A3021)*Calc!$I$3:$I$22)</f>
        <v/>
      </c>
      <c r="O3021">
        <f>SUMPRODUCT(Calc!$K$3:$K$22*(Calc!$G$3:$G$22&gt;B3021)*(Calc!$G$3:$G$22-B3021)*Calc!$I$3:$I$22)</f>
        <v/>
      </c>
      <c r="P3021">
        <f>I3021-G3021^2/k_n</f>
        <v/>
      </c>
      <c r="Q3021">
        <f>J3021-H3021^2/k_n</f>
        <v/>
      </c>
      <c r="R3021">
        <f>K3021-G3021*H3021/k_n</f>
        <v/>
      </c>
      <c r="S3021">
        <f>L3021-LTP3!$D$3*G3021/k_n</f>
        <v/>
      </c>
      <c r="T3021">
        <f>M3021-LTP3!$D$3*H3021/k_n</f>
        <v/>
      </c>
      <c r="U3021">
        <f>N3021-G3021*LTP3!$D$4/k_n</f>
        <v/>
      </c>
      <c r="V3021">
        <f>O3021-H3021*LTP3!$D$4/k_n</f>
        <v/>
      </c>
      <c r="W3021">
        <f>((LTP3!$D$5)*((P3021)*(Q3021)-(R3021)*(R3021))-(S3021)*((S3021)*(Q3021)-(R3021)*(T3021))+(T3021)*((S3021)*(R3021)-(P3021)*(T3021)))</f>
        <v/>
      </c>
      <c r="X3021">
        <f>IF(ABS(W3021)&gt;1E-12,((LTP3!$D$6)*((P3021)*(Q3021)-(R3021)*(R3021))-(S3021)*((U3021)*(Q3021)-(R3021)*(V3021))+(T3021)*((U3021)*(R3021)-(P3021)*(V3021)))/W3021,0)</f>
        <v/>
      </c>
      <c r="Y3021">
        <f>IF(ABS(W3021)&gt;1E-12,((LTP3!$D$5)*((U3021)*(Q3021)-(R3021)*(V3021))-(LTP3!$D$6)*((S3021)*(Q3021)-(R3021)*(T3021))+(T3021)*((S3021)*(V3021)-(U3021)*(T3021)))/W3021,0)</f>
        <v/>
      </c>
      <c r="Z3021">
        <f>IF(ABS(W3021)&gt;1E-12,((LTP3!$D$5)*((P3021)*(V3021)-(U3021)*(R3021))-(S3021)*((S3021)*(V3021)-(U3021)*(T3021))+(LTP3!$D$6)*((S3021)*(R3021)-(P3021)*(T3021)))/W3021,0)</f>
        <v/>
      </c>
      <c r="AA3021">
        <f>LTP3!$D$7-X3021*LTP3!$D$6-Y3021*U3021-Z3021*V3021</f>
        <v/>
      </c>
      <c r="AB3021">
        <f>IF(AND(F3021,ABS(W3021)&gt;1E-12,Y3021&gt;0,Z3021&gt;0),AA3021,1E+300)</f>
        <v/>
      </c>
    </row>
    <row r="3022">
      <c r="A3022">
        <f>$B$3+$B$5*49</f>
        <v/>
      </c>
      <c r="B3022">
        <f>$B$3+$B$5*21</f>
        <v/>
      </c>
      <c r="C3022">
        <f>SUMPRODUCT(Calc!$K$3:$K$22*(Calc!$G$3:$G$22&lt;=A3022))</f>
        <v/>
      </c>
      <c r="D3022">
        <f>SUMPRODUCT(Calc!$K$3:$K$22*(Calc!$G$3:$G$22&gt;A3022)*(Calc!$G$3:$G$22&lt;B3022))</f>
        <v/>
      </c>
      <c r="E3022">
        <f>SUMPRODUCT(Calc!$K$3:$K$22*(Calc!$G$3:$G$22&gt;=B3022))</f>
        <v/>
      </c>
      <c r="F3022">
        <f>AND(k_n&gt;=5,B3022&gt;A3022+1E-9,C3022&gt;=2,D3022&gt;=1,E3022&gt;=2)</f>
        <v/>
      </c>
      <c r="G3022">
        <f>SUMPRODUCT(Calc!$K$3:$K$22*(Calc!$G$3:$G$22&gt;A3022)*(Calc!$G$3:$G$22-A3022))</f>
        <v/>
      </c>
      <c r="H3022">
        <f>SUMPRODUCT(Calc!$K$3:$K$22*(Calc!$G$3:$G$22&gt;B3022)*(Calc!$G$3:$G$22-B3022))</f>
        <v/>
      </c>
      <c r="I3022">
        <f>SUMPRODUCT(Calc!$K$3:$K$22*(Calc!$G$3:$G$22&gt;A3022)*(Calc!$G$3:$G$22-A3022)^2)</f>
        <v/>
      </c>
      <c r="J3022">
        <f>SUMPRODUCT(Calc!$K$3:$K$22*(Calc!$G$3:$G$22&gt;B3022)*(Calc!$G$3:$G$22-B3022)^2)</f>
        <v/>
      </c>
      <c r="K3022">
        <f>SUMPRODUCT(Calc!$K$3:$K$22*(Calc!$G$3:$G$22&gt;A3022)*(Calc!$G$3:$G$22-A3022)*(Calc!$G$3:$G$22&gt;B3022)*(Calc!$G$3:$G$22-B3022))</f>
        <v/>
      </c>
      <c r="L3022">
        <f>SUMPRODUCT(Calc!$K$3:$K$22*(Calc!$G$3:$G$22&gt;A3022)*(Calc!$G$3:$G$22-A3022)*Calc!$G$3:$G$22)</f>
        <v/>
      </c>
      <c r="M3022">
        <f>SUMPRODUCT(Calc!$K$3:$K$22*(Calc!$G$3:$G$22&gt;B3022)*(Calc!$G$3:$G$22-B3022)*Calc!$G$3:$G$22)</f>
        <v/>
      </c>
      <c r="N3022">
        <f>SUMPRODUCT(Calc!$K$3:$K$22*(Calc!$G$3:$G$22&gt;A3022)*(Calc!$G$3:$G$22-A3022)*Calc!$I$3:$I$22)</f>
        <v/>
      </c>
      <c r="O3022">
        <f>SUMPRODUCT(Calc!$K$3:$K$22*(Calc!$G$3:$G$22&gt;B3022)*(Calc!$G$3:$G$22-B3022)*Calc!$I$3:$I$22)</f>
        <v/>
      </c>
      <c r="P3022">
        <f>I3022-G3022^2/k_n</f>
        <v/>
      </c>
      <c r="Q3022">
        <f>J3022-H3022^2/k_n</f>
        <v/>
      </c>
      <c r="R3022">
        <f>K3022-G3022*H3022/k_n</f>
        <v/>
      </c>
      <c r="S3022">
        <f>L3022-LTP3!$D$3*G3022/k_n</f>
        <v/>
      </c>
      <c r="T3022">
        <f>M3022-LTP3!$D$3*H3022/k_n</f>
        <v/>
      </c>
      <c r="U3022">
        <f>N3022-G3022*LTP3!$D$4/k_n</f>
        <v/>
      </c>
      <c r="V3022">
        <f>O3022-H3022*LTP3!$D$4/k_n</f>
        <v/>
      </c>
      <c r="W3022">
        <f>((LTP3!$D$5)*((P3022)*(Q3022)-(R3022)*(R3022))-(S3022)*((S3022)*(Q3022)-(R3022)*(T3022))+(T3022)*((S3022)*(R3022)-(P3022)*(T3022)))</f>
        <v/>
      </c>
      <c r="X3022">
        <f>IF(ABS(W3022)&gt;1E-12,((LTP3!$D$6)*((P3022)*(Q3022)-(R3022)*(R3022))-(S3022)*((U3022)*(Q3022)-(R3022)*(V3022))+(T3022)*((U3022)*(R3022)-(P3022)*(V3022)))/W3022,0)</f>
        <v/>
      </c>
      <c r="Y3022">
        <f>IF(ABS(W3022)&gt;1E-12,((LTP3!$D$5)*((U3022)*(Q3022)-(R3022)*(V3022))-(LTP3!$D$6)*((S3022)*(Q3022)-(R3022)*(T3022))+(T3022)*((S3022)*(V3022)-(U3022)*(T3022)))/W3022,0)</f>
        <v/>
      </c>
      <c r="Z3022">
        <f>IF(ABS(W3022)&gt;1E-12,((LTP3!$D$5)*((P3022)*(V3022)-(U3022)*(R3022))-(S3022)*((S3022)*(V3022)-(U3022)*(T3022))+(LTP3!$D$6)*((S3022)*(R3022)-(P3022)*(T3022)))/W3022,0)</f>
        <v/>
      </c>
      <c r="AA3022">
        <f>LTP3!$D$7-X3022*LTP3!$D$6-Y3022*U3022-Z3022*V3022</f>
        <v/>
      </c>
      <c r="AB3022">
        <f>IF(AND(F3022,ABS(W3022)&gt;1E-12,Y3022&gt;0,Z3022&gt;0),AA3022,1E+300)</f>
        <v/>
      </c>
    </row>
    <row r="3023">
      <c r="A3023">
        <f>$B$3+$B$5*49</f>
        <v/>
      </c>
      <c r="B3023">
        <f>$B$3+$B$5*22</f>
        <v/>
      </c>
      <c r="C3023">
        <f>SUMPRODUCT(Calc!$K$3:$K$22*(Calc!$G$3:$G$22&lt;=A3023))</f>
        <v/>
      </c>
      <c r="D3023">
        <f>SUMPRODUCT(Calc!$K$3:$K$22*(Calc!$G$3:$G$22&gt;A3023)*(Calc!$G$3:$G$22&lt;B3023))</f>
        <v/>
      </c>
      <c r="E3023">
        <f>SUMPRODUCT(Calc!$K$3:$K$22*(Calc!$G$3:$G$22&gt;=B3023))</f>
        <v/>
      </c>
      <c r="F3023">
        <f>AND(k_n&gt;=5,B3023&gt;A3023+1E-9,C3023&gt;=2,D3023&gt;=1,E3023&gt;=2)</f>
        <v/>
      </c>
      <c r="G3023">
        <f>SUMPRODUCT(Calc!$K$3:$K$22*(Calc!$G$3:$G$22&gt;A3023)*(Calc!$G$3:$G$22-A3023))</f>
        <v/>
      </c>
      <c r="H3023">
        <f>SUMPRODUCT(Calc!$K$3:$K$22*(Calc!$G$3:$G$22&gt;B3023)*(Calc!$G$3:$G$22-B3023))</f>
        <v/>
      </c>
      <c r="I3023">
        <f>SUMPRODUCT(Calc!$K$3:$K$22*(Calc!$G$3:$G$22&gt;A3023)*(Calc!$G$3:$G$22-A3023)^2)</f>
        <v/>
      </c>
      <c r="J3023">
        <f>SUMPRODUCT(Calc!$K$3:$K$22*(Calc!$G$3:$G$22&gt;B3023)*(Calc!$G$3:$G$22-B3023)^2)</f>
        <v/>
      </c>
      <c r="K3023">
        <f>SUMPRODUCT(Calc!$K$3:$K$22*(Calc!$G$3:$G$22&gt;A3023)*(Calc!$G$3:$G$22-A3023)*(Calc!$G$3:$G$22&gt;B3023)*(Calc!$G$3:$G$22-B3023))</f>
        <v/>
      </c>
      <c r="L3023">
        <f>SUMPRODUCT(Calc!$K$3:$K$22*(Calc!$G$3:$G$22&gt;A3023)*(Calc!$G$3:$G$22-A3023)*Calc!$G$3:$G$22)</f>
        <v/>
      </c>
      <c r="M3023">
        <f>SUMPRODUCT(Calc!$K$3:$K$22*(Calc!$G$3:$G$22&gt;B3023)*(Calc!$G$3:$G$22-B3023)*Calc!$G$3:$G$22)</f>
        <v/>
      </c>
      <c r="N3023">
        <f>SUMPRODUCT(Calc!$K$3:$K$22*(Calc!$G$3:$G$22&gt;A3023)*(Calc!$G$3:$G$22-A3023)*Calc!$I$3:$I$22)</f>
        <v/>
      </c>
      <c r="O3023">
        <f>SUMPRODUCT(Calc!$K$3:$K$22*(Calc!$G$3:$G$22&gt;B3023)*(Calc!$G$3:$G$22-B3023)*Calc!$I$3:$I$22)</f>
        <v/>
      </c>
      <c r="P3023">
        <f>I3023-G3023^2/k_n</f>
        <v/>
      </c>
      <c r="Q3023">
        <f>J3023-H3023^2/k_n</f>
        <v/>
      </c>
      <c r="R3023">
        <f>K3023-G3023*H3023/k_n</f>
        <v/>
      </c>
      <c r="S3023">
        <f>L3023-LTP3!$D$3*G3023/k_n</f>
        <v/>
      </c>
      <c r="T3023">
        <f>M3023-LTP3!$D$3*H3023/k_n</f>
        <v/>
      </c>
      <c r="U3023">
        <f>N3023-G3023*LTP3!$D$4/k_n</f>
        <v/>
      </c>
      <c r="V3023">
        <f>O3023-H3023*LTP3!$D$4/k_n</f>
        <v/>
      </c>
      <c r="W3023">
        <f>((LTP3!$D$5)*((P3023)*(Q3023)-(R3023)*(R3023))-(S3023)*((S3023)*(Q3023)-(R3023)*(T3023))+(T3023)*((S3023)*(R3023)-(P3023)*(T3023)))</f>
        <v/>
      </c>
      <c r="X3023">
        <f>IF(ABS(W3023)&gt;1E-12,((LTP3!$D$6)*((P3023)*(Q3023)-(R3023)*(R3023))-(S3023)*((U3023)*(Q3023)-(R3023)*(V3023))+(T3023)*((U3023)*(R3023)-(P3023)*(V3023)))/W3023,0)</f>
        <v/>
      </c>
      <c r="Y3023">
        <f>IF(ABS(W3023)&gt;1E-12,((LTP3!$D$5)*((U3023)*(Q3023)-(R3023)*(V3023))-(LTP3!$D$6)*((S3023)*(Q3023)-(R3023)*(T3023))+(T3023)*((S3023)*(V3023)-(U3023)*(T3023)))/W3023,0)</f>
        <v/>
      </c>
      <c r="Z3023">
        <f>IF(ABS(W3023)&gt;1E-12,((LTP3!$D$5)*((P3023)*(V3023)-(U3023)*(R3023))-(S3023)*((S3023)*(V3023)-(U3023)*(T3023))+(LTP3!$D$6)*((S3023)*(R3023)-(P3023)*(T3023)))/W3023,0)</f>
        <v/>
      </c>
      <c r="AA3023">
        <f>LTP3!$D$7-X3023*LTP3!$D$6-Y3023*U3023-Z3023*V3023</f>
        <v/>
      </c>
      <c r="AB3023">
        <f>IF(AND(F3023,ABS(W3023)&gt;1E-12,Y3023&gt;0,Z3023&gt;0),AA3023,1E+300)</f>
        <v/>
      </c>
    </row>
    <row r="3024">
      <c r="A3024">
        <f>$B$3+$B$5*49</f>
        <v/>
      </c>
      <c r="B3024">
        <f>$B$3+$B$5*23</f>
        <v/>
      </c>
      <c r="C3024">
        <f>SUMPRODUCT(Calc!$K$3:$K$22*(Calc!$G$3:$G$22&lt;=A3024))</f>
        <v/>
      </c>
      <c r="D3024">
        <f>SUMPRODUCT(Calc!$K$3:$K$22*(Calc!$G$3:$G$22&gt;A3024)*(Calc!$G$3:$G$22&lt;B3024))</f>
        <v/>
      </c>
      <c r="E3024">
        <f>SUMPRODUCT(Calc!$K$3:$K$22*(Calc!$G$3:$G$22&gt;=B3024))</f>
        <v/>
      </c>
      <c r="F3024">
        <f>AND(k_n&gt;=5,B3024&gt;A3024+1E-9,C3024&gt;=2,D3024&gt;=1,E3024&gt;=2)</f>
        <v/>
      </c>
      <c r="G3024">
        <f>SUMPRODUCT(Calc!$K$3:$K$22*(Calc!$G$3:$G$22&gt;A3024)*(Calc!$G$3:$G$22-A3024))</f>
        <v/>
      </c>
      <c r="H3024">
        <f>SUMPRODUCT(Calc!$K$3:$K$22*(Calc!$G$3:$G$22&gt;B3024)*(Calc!$G$3:$G$22-B3024))</f>
        <v/>
      </c>
      <c r="I3024">
        <f>SUMPRODUCT(Calc!$K$3:$K$22*(Calc!$G$3:$G$22&gt;A3024)*(Calc!$G$3:$G$22-A3024)^2)</f>
        <v/>
      </c>
      <c r="J3024">
        <f>SUMPRODUCT(Calc!$K$3:$K$22*(Calc!$G$3:$G$22&gt;B3024)*(Calc!$G$3:$G$22-B3024)^2)</f>
        <v/>
      </c>
      <c r="K3024">
        <f>SUMPRODUCT(Calc!$K$3:$K$22*(Calc!$G$3:$G$22&gt;A3024)*(Calc!$G$3:$G$22-A3024)*(Calc!$G$3:$G$22&gt;B3024)*(Calc!$G$3:$G$22-B3024))</f>
        <v/>
      </c>
      <c r="L3024">
        <f>SUMPRODUCT(Calc!$K$3:$K$22*(Calc!$G$3:$G$22&gt;A3024)*(Calc!$G$3:$G$22-A3024)*Calc!$G$3:$G$22)</f>
        <v/>
      </c>
      <c r="M3024">
        <f>SUMPRODUCT(Calc!$K$3:$K$22*(Calc!$G$3:$G$22&gt;B3024)*(Calc!$G$3:$G$22-B3024)*Calc!$G$3:$G$22)</f>
        <v/>
      </c>
      <c r="N3024">
        <f>SUMPRODUCT(Calc!$K$3:$K$22*(Calc!$G$3:$G$22&gt;A3024)*(Calc!$G$3:$G$22-A3024)*Calc!$I$3:$I$22)</f>
        <v/>
      </c>
      <c r="O3024">
        <f>SUMPRODUCT(Calc!$K$3:$K$22*(Calc!$G$3:$G$22&gt;B3024)*(Calc!$G$3:$G$22-B3024)*Calc!$I$3:$I$22)</f>
        <v/>
      </c>
      <c r="P3024">
        <f>I3024-G3024^2/k_n</f>
        <v/>
      </c>
      <c r="Q3024">
        <f>J3024-H3024^2/k_n</f>
        <v/>
      </c>
      <c r="R3024">
        <f>K3024-G3024*H3024/k_n</f>
        <v/>
      </c>
      <c r="S3024">
        <f>L3024-LTP3!$D$3*G3024/k_n</f>
        <v/>
      </c>
      <c r="T3024">
        <f>M3024-LTP3!$D$3*H3024/k_n</f>
        <v/>
      </c>
      <c r="U3024">
        <f>N3024-G3024*LTP3!$D$4/k_n</f>
        <v/>
      </c>
      <c r="V3024">
        <f>O3024-H3024*LTP3!$D$4/k_n</f>
        <v/>
      </c>
      <c r="W3024">
        <f>((LTP3!$D$5)*((P3024)*(Q3024)-(R3024)*(R3024))-(S3024)*((S3024)*(Q3024)-(R3024)*(T3024))+(T3024)*((S3024)*(R3024)-(P3024)*(T3024)))</f>
        <v/>
      </c>
      <c r="X3024">
        <f>IF(ABS(W3024)&gt;1E-12,((LTP3!$D$6)*((P3024)*(Q3024)-(R3024)*(R3024))-(S3024)*((U3024)*(Q3024)-(R3024)*(V3024))+(T3024)*((U3024)*(R3024)-(P3024)*(V3024)))/W3024,0)</f>
        <v/>
      </c>
      <c r="Y3024">
        <f>IF(ABS(W3024)&gt;1E-12,((LTP3!$D$5)*((U3024)*(Q3024)-(R3024)*(V3024))-(LTP3!$D$6)*((S3024)*(Q3024)-(R3024)*(T3024))+(T3024)*((S3024)*(V3024)-(U3024)*(T3024)))/W3024,0)</f>
        <v/>
      </c>
      <c r="Z3024">
        <f>IF(ABS(W3024)&gt;1E-12,((LTP3!$D$5)*((P3024)*(V3024)-(U3024)*(R3024))-(S3024)*((S3024)*(V3024)-(U3024)*(T3024))+(LTP3!$D$6)*((S3024)*(R3024)-(P3024)*(T3024)))/W3024,0)</f>
        <v/>
      </c>
      <c r="AA3024">
        <f>LTP3!$D$7-X3024*LTP3!$D$6-Y3024*U3024-Z3024*V3024</f>
        <v/>
      </c>
      <c r="AB3024">
        <f>IF(AND(F3024,ABS(W3024)&gt;1E-12,Y3024&gt;0,Z3024&gt;0),AA3024,1E+300)</f>
        <v/>
      </c>
    </row>
    <row r="3025">
      <c r="A3025">
        <f>$B$3+$B$5*49</f>
        <v/>
      </c>
      <c r="B3025">
        <f>$B$3+$B$5*24</f>
        <v/>
      </c>
      <c r="C3025">
        <f>SUMPRODUCT(Calc!$K$3:$K$22*(Calc!$G$3:$G$22&lt;=A3025))</f>
        <v/>
      </c>
      <c r="D3025">
        <f>SUMPRODUCT(Calc!$K$3:$K$22*(Calc!$G$3:$G$22&gt;A3025)*(Calc!$G$3:$G$22&lt;B3025))</f>
        <v/>
      </c>
      <c r="E3025">
        <f>SUMPRODUCT(Calc!$K$3:$K$22*(Calc!$G$3:$G$22&gt;=B3025))</f>
        <v/>
      </c>
      <c r="F3025">
        <f>AND(k_n&gt;=5,B3025&gt;A3025+1E-9,C3025&gt;=2,D3025&gt;=1,E3025&gt;=2)</f>
        <v/>
      </c>
      <c r="G3025">
        <f>SUMPRODUCT(Calc!$K$3:$K$22*(Calc!$G$3:$G$22&gt;A3025)*(Calc!$G$3:$G$22-A3025))</f>
        <v/>
      </c>
      <c r="H3025">
        <f>SUMPRODUCT(Calc!$K$3:$K$22*(Calc!$G$3:$G$22&gt;B3025)*(Calc!$G$3:$G$22-B3025))</f>
        <v/>
      </c>
      <c r="I3025">
        <f>SUMPRODUCT(Calc!$K$3:$K$22*(Calc!$G$3:$G$22&gt;A3025)*(Calc!$G$3:$G$22-A3025)^2)</f>
        <v/>
      </c>
      <c r="J3025">
        <f>SUMPRODUCT(Calc!$K$3:$K$22*(Calc!$G$3:$G$22&gt;B3025)*(Calc!$G$3:$G$22-B3025)^2)</f>
        <v/>
      </c>
      <c r="K3025">
        <f>SUMPRODUCT(Calc!$K$3:$K$22*(Calc!$G$3:$G$22&gt;A3025)*(Calc!$G$3:$G$22-A3025)*(Calc!$G$3:$G$22&gt;B3025)*(Calc!$G$3:$G$22-B3025))</f>
        <v/>
      </c>
      <c r="L3025">
        <f>SUMPRODUCT(Calc!$K$3:$K$22*(Calc!$G$3:$G$22&gt;A3025)*(Calc!$G$3:$G$22-A3025)*Calc!$G$3:$G$22)</f>
        <v/>
      </c>
      <c r="M3025">
        <f>SUMPRODUCT(Calc!$K$3:$K$22*(Calc!$G$3:$G$22&gt;B3025)*(Calc!$G$3:$G$22-B3025)*Calc!$G$3:$G$22)</f>
        <v/>
      </c>
      <c r="N3025">
        <f>SUMPRODUCT(Calc!$K$3:$K$22*(Calc!$G$3:$G$22&gt;A3025)*(Calc!$G$3:$G$22-A3025)*Calc!$I$3:$I$22)</f>
        <v/>
      </c>
      <c r="O3025">
        <f>SUMPRODUCT(Calc!$K$3:$K$22*(Calc!$G$3:$G$22&gt;B3025)*(Calc!$G$3:$G$22-B3025)*Calc!$I$3:$I$22)</f>
        <v/>
      </c>
      <c r="P3025">
        <f>I3025-G3025^2/k_n</f>
        <v/>
      </c>
      <c r="Q3025">
        <f>J3025-H3025^2/k_n</f>
        <v/>
      </c>
      <c r="R3025">
        <f>K3025-G3025*H3025/k_n</f>
        <v/>
      </c>
      <c r="S3025">
        <f>L3025-LTP3!$D$3*G3025/k_n</f>
        <v/>
      </c>
      <c r="T3025">
        <f>M3025-LTP3!$D$3*H3025/k_n</f>
        <v/>
      </c>
      <c r="U3025">
        <f>N3025-G3025*LTP3!$D$4/k_n</f>
        <v/>
      </c>
      <c r="V3025">
        <f>O3025-H3025*LTP3!$D$4/k_n</f>
        <v/>
      </c>
      <c r="W3025">
        <f>((LTP3!$D$5)*((P3025)*(Q3025)-(R3025)*(R3025))-(S3025)*((S3025)*(Q3025)-(R3025)*(T3025))+(T3025)*((S3025)*(R3025)-(P3025)*(T3025)))</f>
        <v/>
      </c>
      <c r="X3025">
        <f>IF(ABS(W3025)&gt;1E-12,((LTP3!$D$6)*((P3025)*(Q3025)-(R3025)*(R3025))-(S3025)*((U3025)*(Q3025)-(R3025)*(V3025))+(T3025)*((U3025)*(R3025)-(P3025)*(V3025)))/W3025,0)</f>
        <v/>
      </c>
      <c r="Y3025">
        <f>IF(ABS(W3025)&gt;1E-12,((LTP3!$D$5)*((U3025)*(Q3025)-(R3025)*(V3025))-(LTP3!$D$6)*((S3025)*(Q3025)-(R3025)*(T3025))+(T3025)*((S3025)*(V3025)-(U3025)*(T3025)))/W3025,0)</f>
        <v/>
      </c>
      <c r="Z3025">
        <f>IF(ABS(W3025)&gt;1E-12,((LTP3!$D$5)*((P3025)*(V3025)-(U3025)*(R3025))-(S3025)*((S3025)*(V3025)-(U3025)*(T3025))+(LTP3!$D$6)*((S3025)*(R3025)-(P3025)*(T3025)))/W3025,0)</f>
        <v/>
      </c>
      <c r="AA3025">
        <f>LTP3!$D$7-X3025*LTP3!$D$6-Y3025*U3025-Z3025*V3025</f>
        <v/>
      </c>
      <c r="AB3025">
        <f>IF(AND(F3025,ABS(W3025)&gt;1E-12,Y3025&gt;0,Z3025&gt;0),AA3025,1E+300)</f>
        <v/>
      </c>
    </row>
    <row r="3026">
      <c r="A3026">
        <f>$B$3+$B$5*49</f>
        <v/>
      </c>
      <c r="B3026">
        <f>$B$3+$B$5*25</f>
        <v/>
      </c>
      <c r="C3026">
        <f>SUMPRODUCT(Calc!$K$3:$K$22*(Calc!$G$3:$G$22&lt;=A3026))</f>
        <v/>
      </c>
      <c r="D3026">
        <f>SUMPRODUCT(Calc!$K$3:$K$22*(Calc!$G$3:$G$22&gt;A3026)*(Calc!$G$3:$G$22&lt;B3026))</f>
        <v/>
      </c>
      <c r="E3026">
        <f>SUMPRODUCT(Calc!$K$3:$K$22*(Calc!$G$3:$G$22&gt;=B3026))</f>
        <v/>
      </c>
      <c r="F3026">
        <f>AND(k_n&gt;=5,B3026&gt;A3026+1E-9,C3026&gt;=2,D3026&gt;=1,E3026&gt;=2)</f>
        <v/>
      </c>
      <c r="G3026">
        <f>SUMPRODUCT(Calc!$K$3:$K$22*(Calc!$G$3:$G$22&gt;A3026)*(Calc!$G$3:$G$22-A3026))</f>
        <v/>
      </c>
      <c r="H3026">
        <f>SUMPRODUCT(Calc!$K$3:$K$22*(Calc!$G$3:$G$22&gt;B3026)*(Calc!$G$3:$G$22-B3026))</f>
        <v/>
      </c>
      <c r="I3026">
        <f>SUMPRODUCT(Calc!$K$3:$K$22*(Calc!$G$3:$G$22&gt;A3026)*(Calc!$G$3:$G$22-A3026)^2)</f>
        <v/>
      </c>
      <c r="J3026">
        <f>SUMPRODUCT(Calc!$K$3:$K$22*(Calc!$G$3:$G$22&gt;B3026)*(Calc!$G$3:$G$22-B3026)^2)</f>
        <v/>
      </c>
      <c r="K3026">
        <f>SUMPRODUCT(Calc!$K$3:$K$22*(Calc!$G$3:$G$22&gt;A3026)*(Calc!$G$3:$G$22-A3026)*(Calc!$G$3:$G$22&gt;B3026)*(Calc!$G$3:$G$22-B3026))</f>
        <v/>
      </c>
      <c r="L3026">
        <f>SUMPRODUCT(Calc!$K$3:$K$22*(Calc!$G$3:$G$22&gt;A3026)*(Calc!$G$3:$G$22-A3026)*Calc!$G$3:$G$22)</f>
        <v/>
      </c>
      <c r="M3026">
        <f>SUMPRODUCT(Calc!$K$3:$K$22*(Calc!$G$3:$G$22&gt;B3026)*(Calc!$G$3:$G$22-B3026)*Calc!$G$3:$G$22)</f>
        <v/>
      </c>
      <c r="N3026">
        <f>SUMPRODUCT(Calc!$K$3:$K$22*(Calc!$G$3:$G$22&gt;A3026)*(Calc!$G$3:$G$22-A3026)*Calc!$I$3:$I$22)</f>
        <v/>
      </c>
      <c r="O3026">
        <f>SUMPRODUCT(Calc!$K$3:$K$22*(Calc!$G$3:$G$22&gt;B3026)*(Calc!$G$3:$G$22-B3026)*Calc!$I$3:$I$22)</f>
        <v/>
      </c>
      <c r="P3026">
        <f>I3026-G3026^2/k_n</f>
        <v/>
      </c>
      <c r="Q3026">
        <f>J3026-H3026^2/k_n</f>
        <v/>
      </c>
      <c r="R3026">
        <f>K3026-G3026*H3026/k_n</f>
        <v/>
      </c>
      <c r="S3026">
        <f>L3026-LTP3!$D$3*G3026/k_n</f>
        <v/>
      </c>
      <c r="T3026">
        <f>M3026-LTP3!$D$3*H3026/k_n</f>
        <v/>
      </c>
      <c r="U3026">
        <f>N3026-G3026*LTP3!$D$4/k_n</f>
        <v/>
      </c>
      <c r="V3026">
        <f>O3026-H3026*LTP3!$D$4/k_n</f>
        <v/>
      </c>
      <c r="W3026">
        <f>((LTP3!$D$5)*((P3026)*(Q3026)-(R3026)*(R3026))-(S3026)*((S3026)*(Q3026)-(R3026)*(T3026))+(T3026)*((S3026)*(R3026)-(P3026)*(T3026)))</f>
        <v/>
      </c>
      <c r="X3026">
        <f>IF(ABS(W3026)&gt;1E-12,((LTP3!$D$6)*((P3026)*(Q3026)-(R3026)*(R3026))-(S3026)*((U3026)*(Q3026)-(R3026)*(V3026))+(T3026)*((U3026)*(R3026)-(P3026)*(V3026)))/W3026,0)</f>
        <v/>
      </c>
      <c r="Y3026">
        <f>IF(ABS(W3026)&gt;1E-12,((LTP3!$D$5)*((U3026)*(Q3026)-(R3026)*(V3026))-(LTP3!$D$6)*((S3026)*(Q3026)-(R3026)*(T3026))+(T3026)*((S3026)*(V3026)-(U3026)*(T3026)))/W3026,0)</f>
        <v/>
      </c>
      <c r="Z3026">
        <f>IF(ABS(W3026)&gt;1E-12,((LTP3!$D$5)*((P3026)*(V3026)-(U3026)*(R3026))-(S3026)*((S3026)*(V3026)-(U3026)*(T3026))+(LTP3!$D$6)*((S3026)*(R3026)-(P3026)*(T3026)))/W3026,0)</f>
        <v/>
      </c>
      <c r="AA3026">
        <f>LTP3!$D$7-X3026*LTP3!$D$6-Y3026*U3026-Z3026*V3026</f>
        <v/>
      </c>
      <c r="AB3026">
        <f>IF(AND(F3026,ABS(W3026)&gt;1E-12,Y3026&gt;0,Z3026&gt;0),AA3026,1E+300)</f>
        <v/>
      </c>
    </row>
    <row r="3027">
      <c r="A3027">
        <f>$B$3+$B$5*49</f>
        <v/>
      </c>
      <c r="B3027">
        <f>$B$3+$B$5*26</f>
        <v/>
      </c>
      <c r="C3027">
        <f>SUMPRODUCT(Calc!$K$3:$K$22*(Calc!$G$3:$G$22&lt;=A3027))</f>
        <v/>
      </c>
      <c r="D3027">
        <f>SUMPRODUCT(Calc!$K$3:$K$22*(Calc!$G$3:$G$22&gt;A3027)*(Calc!$G$3:$G$22&lt;B3027))</f>
        <v/>
      </c>
      <c r="E3027">
        <f>SUMPRODUCT(Calc!$K$3:$K$22*(Calc!$G$3:$G$22&gt;=B3027))</f>
        <v/>
      </c>
      <c r="F3027">
        <f>AND(k_n&gt;=5,B3027&gt;A3027+1E-9,C3027&gt;=2,D3027&gt;=1,E3027&gt;=2)</f>
        <v/>
      </c>
      <c r="G3027">
        <f>SUMPRODUCT(Calc!$K$3:$K$22*(Calc!$G$3:$G$22&gt;A3027)*(Calc!$G$3:$G$22-A3027))</f>
        <v/>
      </c>
      <c r="H3027">
        <f>SUMPRODUCT(Calc!$K$3:$K$22*(Calc!$G$3:$G$22&gt;B3027)*(Calc!$G$3:$G$22-B3027))</f>
        <v/>
      </c>
      <c r="I3027">
        <f>SUMPRODUCT(Calc!$K$3:$K$22*(Calc!$G$3:$G$22&gt;A3027)*(Calc!$G$3:$G$22-A3027)^2)</f>
        <v/>
      </c>
      <c r="J3027">
        <f>SUMPRODUCT(Calc!$K$3:$K$22*(Calc!$G$3:$G$22&gt;B3027)*(Calc!$G$3:$G$22-B3027)^2)</f>
        <v/>
      </c>
      <c r="K3027">
        <f>SUMPRODUCT(Calc!$K$3:$K$22*(Calc!$G$3:$G$22&gt;A3027)*(Calc!$G$3:$G$22-A3027)*(Calc!$G$3:$G$22&gt;B3027)*(Calc!$G$3:$G$22-B3027))</f>
        <v/>
      </c>
      <c r="L3027">
        <f>SUMPRODUCT(Calc!$K$3:$K$22*(Calc!$G$3:$G$22&gt;A3027)*(Calc!$G$3:$G$22-A3027)*Calc!$G$3:$G$22)</f>
        <v/>
      </c>
      <c r="M3027">
        <f>SUMPRODUCT(Calc!$K$3:$K$22*(Calc!$G$3:$G$22&gt;B3027)*(Calc!$G$3:$G$22-B3027)*Calc!$G$3:$G$22)</f>
        <v/>
      </c>
      <c r="N3027">
        <f>SUMPRODUCT(Calc!$K$3:$K$22*(Calc!$G$3:$G$22&gt;A3027)*(Calc!$G$3:$G$22-A3027)*Calc!$I$3:$I$22)</f>
        <v/>
      </c>
      <c r="O3027">
        <f>SUMPRODUCT(Calc!$K$3:$K$22*(Calc!$G$3:$G$22&gt;B3027)*(Calc!$G$3:$G$22-B3027)*Calc!$I$3:$I$22)</f>
        <v/>
      </c>
      <c r="P3027">
        <f>I3027-G3027^2/k_n</f>
        <v/>
      </c>
      <c r="Q3027">
        <f>J3027-H3027^2/k_n</f>
        <v/>
      </c>
      <c r="R3027">
        <f>K3027-G3027*H3027/k_n</f>
        <v/>
      </c>
      <c r="S3027">
        <f>L3027-LTP3!$D$3*G3027/k_n</f>
        <v/>
      </c>
      <c r="T3027">
        <f>M3027-LTP3!$D$3*H3027/k_n</f>
        <v/>
      </c>
      <c r="U3027">
        <f>N3027-G3027*LTP3!$D$4/k_n</f>
        <v/>
      </c>
      <c r="V3027">
        <f>O3027-H3027*LTP3!$D$4/k_n</f>
        <v/>
      </c>
      <c r="W3027">
        <f>((LTP3!$D$5)*((P3027)*(Q3027)-(R3027)*(R3027))-(S3027)*((S3027)*(Q3027)-(R3027)*(T3027))+(T3027)*((S3027)*(R3027)-(P3027)*(T3027)))</f>
        <v/>
      </c>
      <c r="X3027">
        <f>IF(ABS(W3027)&gt;1E-12,((LTP3!$D$6)*((P3027)*(Q3027)-(R3027)*(R3027))-(S3027)*((U3027)*(Q3027)-(R3027)*(V3027))+(T3027)*((U3027)*(R3027)-(P3027)*(V3027)))/W3027,0)</f>
        <v/>
      </c>
      <c r="Y3027">
        <f>IF(ABS(W3027)&gt;1E-12,((LTP3!$D$5)*((U3027)*(Q3027)-(R3027)*(V3027))-(LTP3!$D$6)*((S3027)*(Q3027)-(R3027)*(T3027))+(T3027)*((S3027)*(V3027)-(U3027)*(T3027)))/W3027,0)</f>
        <v/>
      </c>
      <c r="Z3027">
        <f>IF(ABS(W3027)&gt;1E-12,((LTP3!$D$5)*((P3027)*(V3027)-(U3027)*(R3027))-(S3027)*((S3027)*(V3027)-(U3027)*(T3027))+(LTP3!$D$6)*((S3027)*(R3027)-(P3027)*(T3027)))/W3027,0)</f>
        <v/>
      </c>
      <c r="AA3027">
        <f>LTP3!$D$7-X3027*LTP3!$D$6-Y3027*U3027-Z3027*V3027</f>
        <v/>
      </c>
      <c r="AB3027">
        <f>IF(AND(F3027,ABS(W3027)&gt;1E-12,Y3027&gt;0,Z3027&gt;0),AA3027,1E+300)</f>
        <v/>
      </c>
    </row>
    <row r="3028">
      <c r="A3028">
        <f>$B$3+$B$5*49</f>
        <v/>
      </c>
      <c r="B3028">
        <f>$B$3+$B$5*27</f>
        <v/>
      </c>
      <c r="C3028">
        <f>SUMPRODUCT(Calc!$K$3:$K$22*(Calc!$G$3:$G$22&lt;=A3028))</f>
        <v/>
      </c>
      <c r="D3028">
        <f>SUMPRODUCT(Calc!$K$3:$K$22*(Calc!$G$3:$G$22&gt;A3028)*(Calc!$G$3:$G$22&lt;B3028))</f>
        <v/>
      </c>
      <c r="E3028">
        <f>SUMPRODUCT(Calc!$K$3:$K$22*(Calc!$G$3:$G$22&gt;=B3028))</f>
        <v/>
      </c>
      <c r="F3028">
        <f>AND(k_n&gt;=5,B3028&gt;A3028+1E-9,C3028&gt;=2,D3028&gt;=1,E3028&gt;=2)</f>
        <v/>
      </c>
      <c r="G3028">
        <f>SUMPRODUCT(Calc!$K$3:$K$22*(Calc!$G$3:$G$22&gt;A3028)*(Calc!$G$3:$G$22-A3028))</f>
        <v/>
      </c>
      <c r="H3028">
        <f>SUMPRODUCT(Calc!$K$3:$K$22*(Calc!$G$3:$G$22&gt;B3028)*(Calc!$G$3:$G$22-B3028))</f>
        <v/>
      </c>
      <c r="I3028">
        <f>SUMPRODUCT(Calc!$K$3:$K$22*(Calc!$G$3:$G$22&gt;A3028)*(Calc!$G$3:$G$22-A3028)^2)</f>
        <v/>
      </c>
      <c r="J3028">
        <f>SUMPRODUCT(Calc!$K$3:$K$22*(Calc!$G$3:$G$22&gt;B3028)*(Calc!$G$3:$G$22-B3028)^2)</f>
        <v/>
      </c>
      <c r="K3028">
        <f>SUMPRODUCT(Calc!$K$3:$K$22*(Calc!$G$3:$G$22&gt;A3028)*(Calc!$G$3:$G$22-A3028)*(Calc!$G$3:$G$22&gt;B3028)*(Calc!$G$3:$G$22-B3028))</f>
        <v/>
      </c>
      <c r="L3028">
        <f>SUMPRODUCT(Calc!$K$3:$K$22*(Calc!$G$3:$G$22&gt;A3028)*(Calc!$G$3:$G$22-A3028)*Calc!$G$3:$G$22)</f>
        <v/>
      </c>
      <c r="M3028">
        <f>SUMPRODUCT(Calc!$K$3:$K$22*(Calc!$G$3:$G$22&gt;B3028)*(Calc!$G$3:$G$22-B3028)*Calc!$G$3:$G$22)</f>
        <v/>
      </c>
      <c r="N3028">
        <f>SUMPRODUCT(Calc!$K$3:$K$22*(Calc!$G$3:$G$22&gt;A3028)*(Calc!$G$3:$G$22-A3028)*Calc!$I$3:$I$22)</f>
        <v/>
      </c>
      <c r="O3028">
        <f>SUMPRODUCT(Calc!$K$3:$K$22*(Calc!$G$3:$G$22&gt;B3028)*(Calc!$G$3:$G$22-B3028)*Calc!$I$3:$I$22)</f>
        <v/>
      </c>
      <c r="P3028">
        <f>I3028-G3028^2/k_n</f>
        <v/>
      </c>
      <c r="Q3028">
        <f>J3028-H3028^2/k_n</f>
        <v/>
      </c>
      <c r="R3028">
        <f>K3028-G3028*H3028/k_n</f>
        <v/>
      </c>
      <c r="S3028">
        <f>L3028-LTP3!$D$3*G3028/k_n</f>
        <v/>
      </c>
      <c r="T3028">
        <f>M3028-LTP3!$D$3*H3028/k_n</f>
        <v/>
      </c>
      <c r="U3028">
        <f>N3028-G3028*LTP3!$D$4/k_n</f>
        <v/>
      </c>
      <c r="V3028">
        <f>O3028-H3028*LTP3!$D$4/k_n</f>
        <v/>
      </c>
      <c r="W3028">
        <f>((LTP3!$D$5)*((P3028)*(Q3028)-(R3028)*(R3028))-(S3028)*((S3028)*(Q3028)-(R3028)*(T3028))+(T3028)*((S3028)*(R3028)-(P3028)*(T3028)))</f>
        <v/>
      </c>
      <c r="X3028">
        <f>IF(ABS(W3028)&gt;1E-12,((LTP3!$D$6)*((P3028)*(Q3028)-(R3028)*(R3028))-(S3028)*((U3028)*(Q3028)-(R3028)*(V3028))+(T3028)*((U3028)*(R3028)-(P3028)*(V3028)))/W3028,0)</f>
        <v/>
      </c>
      <c r="Y3028">
        <f>IF(ABS(W3028)&gt;1E-12,((LTP3!$D$5)*((U3028)*(Q3028)-(R3028)*(V3028))-(LTP3!$D$6)*((S3028)*(Q3028)-(R3028)*(T3028))+(T3028)*((S3028)*(V3028)-(U3028)*(T3028)))/W3028,0)</f>
        <v/>
      </c>
      <c r="Z3028">
        <f>IF(ABS(W3028)&gt;1E-12,((LTP3!$D$5)*((P3028)*(V3028)-(U3028)*(R3028))-(S3028)*((S3028)*(V3028)-(U3028)*(T3028))+(LTP3!$D$6)*((S3028)*(R3028)-(P3028)*(T3028)))/W3028,0)</f>
        <v/>
      </c>
      <c r="AA3028">
        <f>LTP3!$D$7-X3028*LTP3!$D$6-Y3028*U3028-Z3028*V3028</f>
        <v/>
      </c>
      <c r="AB3028">
        <f>IF(AND(F3028,ABS(W3028)&gt;1E-12,Y3028&gt;0,Z3028&gt;0),AA3028,1E+300)</f>
        <v/>
      </c>
    </row>
    <row r="3029">
      <c r="A3029">
        <f>$B$3+$B$5*49</f>
        <v/>
      </c>
      <c r="B3029">
        <f>$B$3+$B$5*28</f>
        <v/>
      </c>
      <c r="C3029">
        <f>SUMPRODUCT(Calc!$K$3:$K$22*(Calc!$G$3:$G$22&lt;=A3029))</f>
        <v/>
      </c>
      <c r="D3029">
        <f>SUMPRODUCT(Calc!$K$3:$K$22*(Calc!$G$3:$G$22&gt;A3029)*(Calc!$G$3:$G$22&lt;B3029))</f>
        <v/>
      </c>
      <c r="E3029">
        <f>SUMPRODUCT(Calc!$K$3:$K$22*(Calc!$G$3:$G$22&gt;=B3029))</f>
        <v/>
      </c>
      <c r="F3029">
        <f>AND(k_n&gt;=5,B3029&gt;A3029+1E-9,C3029&gt;=2,D3029&gt;=1,E3029&gt;=2)</f>
        <v/>
      </c>
      <c r="G3029">
        <f>SUMPRODUCT(Calc!$K$3:$K$22*(Calc!$G$3:$G$22&gt;A3029)*(Calc!$G$3:$G$22-A3029))</f>
        <v/>
      </c>
      <c r="H3029">
        <f>SUMPRODUCT(Calc!$K$3:$K$22*(Calc!$G$3:$G$22&gt;B3029)*(Calc!$G$3:$G$22-B3029))</f>
        <v/>
      </c>
      <c r="I3029">
        <f>SUMPRODUCT(Calc!$K$3:$K$22*(Calc!$G$3:$G$22&gt;A3029)*(Calc!$G$3:$G$22-A3029)^2)</f>
        <v/>
      </c>
      <c r="J3029">
        <f>SUMPRODUCT(Calc!$K$3:$K$22*(Calc!$G$3:$G$22&gt;B3029)*(Calc!$G$3:$G$22-B3029)^2)</f>
        <v/>
      </c>
      <c r="K3029">
        <f>SUMPRODUCT(Calc!$K$3:$K$22*(Calc!$G$3:$G$22&gt;A3029)*(Calc!$G$3:$G$22-A3029)*(Calc!$G$3:$G$22&gt;B3029)*(Calc!$G$3:$G$22-B3029))</f>
        <v/>
      </c>
      <c r="L3029">
        <f>SUMPRODUCT(Calc!$K$3:$K$22*(Calc!$G$3:$G$22&gt;A3029)*(Calc!$G$3:$G$22-A3029)*Calc!$G$3:$G$22)</f>
        <v/>
      </c>
      <c r="M3029">
        <f>SUMPRODUCT(Calc!$K$3:$K$22*(Calc!$G$3:$G$22&gt;B3029)*(Calc!$G$3:$G$22-B3029)*Calc!$G$3:$G$22)</f>
        <v/>
      </c>
      <c r="N3029">
        <f>SUMPRODUCT(Calc!$K$3:$K$22*(Calc!$G$3:$G$22&gt;A3029)*(Calc!$G$3:$G$22-A3029)*Calc!$I$3:$I$22)</f>
        <v/>
      </c>
      <c r="O3029">
        <f>SUMPRODUCT(Calc!$K$3:$K$22*(Calc!$G$3:$G$22&gt;B3029)*(Calc!$G$3:$G$22-B3029)*Calc!$I$3:$I$22)</f>
        <v/>
      </c>
      <c r="P3029">
        <f>I3029-G3029^2/k_n</f>
        <v/>
      </c>
      <c r="Q3029">
        <f>J3029-H3029^2/k_n</f>
        <v/>
      </c>
      <c r="R3029">
        <f>K3029-G3029*H3029/k_n</f>
        <v/>
      </c>
      <c r="S3029">
        <f>L3029-LTP3!$D$3*G3029/k_n</f>
        <v/>
      </c>
      <c r="T3029">
        <f>M3029-LTP3!$D$3*H3029/k_n</f>
        <v/>
      </c>
      <c r="U3029">
        <f>N3029-G3029*LTP3!$D$4/k_n</f>
        <v/>
      </c>
      <c r="V3029">
        <f>O3029-H3029*LTP3!$D$4/k_n</f>
        <v/>
      </c>
      <c r="W3029">
        <f>((LTP3!$D$5)*((P3029)*(Q3029)-(R3029)*(R3029))-(S3029)*((S3029)*(Q3029)-(R3029)*(T3029))+(T3029)*((S3029)*(R3029)-(P3029)*(T3029)))</f>
        <v/>
      </c>
      <c r="X3029">
        <f>IF(ABS(W3029)&gt;1E-12,((LTP3!$D$6)*((P3029)*(Q3029)-(R3029)*(R3029))-(S3029)*((U3029)*(Q3029)-(R3029)*(V3029))+(T3029)*((U3029)*(R3029)-(P3029)*(V3029)))/W3029,0)</f>
        <v/>
      </c>
      <c r="Y3029">
        <f>IF(ABS(W3029)&gt;1E-12,((LTP3!$D$5)*((U3029)*(Q3029)-(R3029)*(V3029))-(LTP3!$D$6)*((S3029)*(Q3029)-(R3029)*(T3029))+(T3029)*((S3029)*(V3029)-(U3029)*(T3029)))/W3029,0)</f>
        <v/>
      </c>
      <c r="Z3029">
        <f>IF(ABS(W3029)&gt;1E-12,((LTP3!$D$5)*((P3029)*(V3029)-(U3029)*(R3029))-(S3029)*((S3029)*(V3029)-(U3029)*(T3029))+(LTP3!$D$6)*((S3029)*(R3029)-(P3029)*(T3029)))/W3029,0)</f>
        <v/>
      </c>
      <c r="AA3029">
        <f>LTP3!$D$7-X3029*LTP3!$D$6-Y3029*U3029-Z3029*V3029</f>
        <v/>
      </c>
      <c r="AB3029">
        <f>IF(AND(F3029,ABS(W3029)&gt;1E-12,Y3029&gt;0,Z3029&gt;0),AA3029,1E+300)</f>
        <v/>
      </c>
    </row>
    <row r="3030">
      <c r="A3030">
        <f>$B$3+$B$5*49</f>
        <v/>
      </c>
      <c r="B3030">
        <f>$B$3+$B$5*29</f>
        <v/>
      </c>
      <c r="C3030">
        <f>SUMPRODUCT(Calc!$K$3:$K$22*(Calc!$G$3:$G$22&lt;=A3030))</f>
        <v/>
      </c>
      <c r="D3030">
        <f>SUMPRODUCT(Calc!$K$3:$K$22*(Calc!$G$3:$G$22&gt;A3030)*(Calc!$G$3:$G$22&lt;B3030))</f>
        <v/>
      </c>
      <c r="E3030">
        <f>SUMPRODUCT(Calc!$K$3:$K$22*(Calc!$G$3:$G$22&gt;=B3030))</f>
        <v/>
      </c>
      <c r="F3030">
        <f>AND(k_n&gt;=5,B3030&gt;A3030+1E-9,C3030&gt;=2,D3030&gt;=1,E3030&gt;=2)</f>
        <v/>
      </c>
      <c r="G3030">
        <f>SUMPRODUCT(Calc!$K$3:$K$22*(Calc!$G$3:$G$22&gt;A3030)*(Calc!$G$3:$G$22-A3030))</f>
        <v/>
      </c>
      <c r="H3030">
        <f>SUMPRODUCT(Calc!$K$3:$K$22*(Calc!$G$3:$G$22&gt;B3030)*(Calc!$G$3:$G$22-B3030))</f>
        <v/>
      </c>
      <c r="I3030">
        <f>SUMPRODUCT(Calc!$K$3:$K$22*(Calc!$G$3:$G$22&gt;A3030)*(Calc!$G$3:$G$22-A3030)^2)</f>
        <v/>
      </c>
      <c r="J3030">
        <f>SUMPRODUCT(Calc!$K$3:$K$22*(Calc!$G$3:$G$22&gt;B3030)*(Calc!$G$3:$G$22-B3030)^2)</f>
        <v/>
      </c>
      <c r="K3030">
        <f>SUMPRODUCT(Calc!$K$3:$K$22*(Calc!$G$3:$G$22&gt;A3030)*(Calc!$G$3:$G$22-A3030)*(Calc!$G$3:$G$22&gt;B3030)*(Calc!$G$3:$G$22-B3030))</f>
        <v/>
      </c>
      <c r="L3030">
        <f>SUMPRODUCT(Calc!$K$3:$K$22*(Calc!$G$3:$G$22&gt;A3030)*(Calc!$G$3:$G$22-A3030)*Calc!$G$3:$G$22)</f>
        <v/>
      </c>
      <c r="M3030">
        <f>SUMPRODUCT(Calc!$K$3:$K$22*(Calc!$G$3:$G$22&gt;B3030)*(Calc!$G$3:$G$22-B3030)*Calc!$G$3:$G$22)</f>
        <v/>
      </c>
      <c r="N3030">
        <f>SUMPRODUCT(Calc!$K$3:$K$22*(Calc!$G$3:$G$22&gt;A3030)*(Calc!$G$3:$G$22-A3030)*Calc!$I$3:$I$22)</f>
        <v/>
      </c>
      <c r="O3030">
        <f>SUMPRODUCT(Calc!$K$3:$K$22*(Calc!$G$3:$G$22&gt;B3030)*(Calc!$G$3:$G$22-B3030)*Calc!$I$3:$I$22)</f>
        <v/>
      </c>
      <c r="P3030">
        <f>I3030-G3030^2/k_n</f>
        <v/>
      </c>
      <c r="Q3030">
        <f>J3030-H3030^2/k_n</f>
        <v/>
      </c>
      <c r="R3030">
        <f>K3030-G3030*H3030/k_n</f>
        <v/>
      </c>
      <c r="S3030">
        <f>L3030-LTP3!$D$3*G3030/k_n</f>
        <v/>
      </c>
      <c r="T3030">
        <f>M3030-LTP3!$D$3*H3030/k_n</f>
        <v/>
      </c>
      <c r="U3030">
        <f>N3030-G3030*LTP3!$D$4/k_n</f>
        <v/>
      </c>
      <c r="V3030">
        <f>O3030-H3030*LTP3!$D$4/k_n</f>
        <v/>
      </c>
      <c r="W3030">
        <f>((LTP3!$D$5)*((P3030)*(Q3030)-(R3030)*(R3030))-(S3030)*((S3030)*(Q3030)-(R3030)*(T3030))+(T3030)*((S3030)*(R3030)-(P3030)*(T3030)))</f>
        <v/>
      </c>
      <c r="X3030">
        <f>IF(ABS(W3030)&gt;1E-12,((LTP3!$D$6)*((P3030)*(Q3030)-(R3030)*(R3030))-(S3030)*((U3030)*(Q3030)-(R3030)*(V3030))+(T3030)*((U3030)*(R3030)-(P3030)*(V3030)))/W3030,0)</f>
        <v/>
      </c>
      <c r="Y3030">
        <f>IF(ABS(W3030)&gt;1E-12,((LTP3!$D$5)*((U3030)*(Q3030)-(R3030)*(V3030))-(LTP3!$D$6)*((S3030)*(Q3030)-(R3030)*(T3030))+(T3030)*((S3030)*(V3030)-(U3030)*(T3030)))/W3030,0)</f>
        <v/>
      </c>
      <c r="Z3030">
        <f>IF(ABS(W3030)&gt;1E-12,((LTP3!$D$5)*((P3030)*(V3030)-(U3030)*(R3030))-(S3030)*((S3030)*(V3030)-(U3030)*(T3030))+(LTP3!$D$6)*((S3030)*(R3030)-(P3030)*(T3030)))/W3030,0)</f>
        <v/>
      </c>
      <c r="AA3030">
        <f>LTP3!$D$7-X3030*LTP3!$D$6-Y3030*U3030-Z3030*V3030</f>
        <v/>
      </c>
      <c r="AB3030">
        <f>IF(AND(F3030,ABS(W3030)&gt;1E-12,Y3030&gt;0,Z3030&gt;0),AA3030,1E+300)</f>
        <v/>
      </c>
    </row>
    <row r="3031">
      <c r="A3031">
        <f>$B$3+$B$5*49</f>
        <v/>
      </c>
      <c r="B3031">
        <f>$B$3+$B$5*30</f>
        <v/>
      </c>
      <c r="C3031">
        <f>SUMPRODUCT(Calc!$K$3:$K$22*(Calc!$G$3:$G$22&lt;=A3031))</f>
        <v/>
      </c>
      <c r="D3031">
        <f>SUMPRODUCT(Calc!$K$3:$K$22*(Calc!$G$3:$G$22&gt;A3031)*(Calc!$G$3:$G$22&lt;B3031))</f>
        <v/>
      </c>
      <c r="E3031">
        <f>SUMPRODUCT(Calc!$K$3:$K$22*(Calc!$G$3:$G$22&gt;=B3031))</f>
        <v/>
      </c>
      <c r="F3031">
        <f>AND(k_n&gt;=5,B3031&gt;A3031+1E-9,C3031&gt;=2,D3031&gt;=1,E3031&gt;=2)</f>
        <v/>
      </c>
      <c r="G3031">
        <f>SUMPRODUCT(Calc!$K$3:$K$22*(Calc!$G$3:$G$22&gt;A3031)*(Calc!$G$3:$G$22-A3031))</f>
        <v/>
      </c>
      <c r="H3031">
        <f>SUMPRODUCT(Calc!$K$3:$K$22*(Calc!$G$3:$G$22&gt;B3031)*(Calc!$G$3:$G$22-B3031))</f>
        <v/>
      </c>
      <c r="I3031">
        <f>SUMPRODUCT(Calc!$K$3:$K$22*(Calc!$G$3:$G$22&gt;A3031)*(Calc!$G$3:$G$22-A3031)^2)</f>
        <v/>
      </c>
      <c r="J3031">
        <f>SUMPRODUCT(Calc!$K$3:$K$22*(Calc!$G$3:$G$22&gt;B3031)*(Calc!$G$3:$G$22-B3031)^2)</f>
        <v/>
      </c>
      <c r="K3031">
        <f>SUMPRODUCT(Calc!$K$3:$K$22*(Calc!$G$3:$G$22&gt;A3031)*(Calc!$G$3:$G$22-A3031)*(Calc!$G$3:$G$22&gt;B3031)*(Calc!$G$3:$G$22-B3031))</f>
        <v/>
      </c>
      <c r="L3031">
        <f>SUMPRODUCT(Calc!$K$3:$K$22*(Calc!$G$3:$G$22&gt;A3031)*(Calc!$G$3:$G$22-A3031)*Calc!$G$3:$G$22)</f>
        <v/>
      </c>
      <c r="M3031">
        <f>SUMPRODUCT(Calc!$K$3:$K$22*(Calc!$G$3:$G$22&gt;B3031)*(Calc!$G$3:$G$22-B3031)*Calc!$G$3:$G$22)</f>
        <v/>
      </c>
      <c r="N3031">
        <f>SUMPRODUCT(Calc!$K$3:$K$22*(Calc!$G$3:$G$22&gt;A3031)*(Calc!$G$3:$G$22-A3031)*Calc!$I$3:$I$22)</f>
        <v/>
      </c>
      <c r="O3031">
        <f>SUMPRODUCT(Calc!$K$3:$K$22*(Calc!$G$3:$G$22&gt;B3031)*(Calc!$G$3:$G$22-B3031)*Calc!$I$3:$I$22)</f>
        <v/>
      </c>
      <c r="P3031">
        <f>I3031-G3031^2/k_n</f>
        <v/>
      </c>
      <c r="Q3031">
        <f>J3031-H3031^2/k_n</f>
        <v/>
      </c>
      <c r="R3031">
        <f>K3031-G3031*H3031/k_n</f>
        <v/>
      </c>
      <c r="S3031">
        <f>L3031-LTP3!$D$3*G3031/k_n</f>
        <v/>
      </c>
      <c r="T3031">
        <f>M3031-LTP3!$D$3*H3031/k_n</f>
        <v/>
      </c>
      <c r="U3031">
        <f>N3031-G3031*LTP3!$D$4/k_n</f>
        <v/>
      </c>
      <c r="V3031">
        <f>O3031-H3031*LTP3!$D$4/k_n</f>
        <v/>
      </c>
      <c r="W3031">
        <f>((LTP3!$D$5)*((P3031)*(Q3031)-(R3031)*(R3031))-(S3031)*((S3031)*(Q3031)-(R3031)*(T3031))+(T3031)*((S3031)*(R3031)-(P3031)*(T3031)))</f>
        <v/>
      </c>
      <c r="X3031">
        <f>IF(ABS(W3031)&gt;1E-12,((LTP3!$D$6)*((P3031)*(Q3031)-(R3031)*(R3031))-(S3031)*((U3031)*(Q3031)-(R3031)*(V3031))+(T3031)*((U3031)*(R3031)-(P3031)*(V3031)))/W3031,0)</f>
        <v/>
      </c>
      <c r="Y3031">
        <f>IF(ABS(W3031)&gt;1E-12,((LTP3!$D$5)*((U3031)*(Q3031)-(R3031)*(V3031))-(LTP3!$D$6)*((S3031)*(Q3031)-(R3031)*(T3031))+(T3031)*((S3031)*(V3031)-(U3031)*(T3031)))/W3031,0)</f>
        <v/>
      </c>
      <c r="Z3031">
        <f>IF(ABS(W3031)&gt;1E-12,((LTP3!$D$5)*((P3031)*(V3031)-(U3031)*(R3031))-(S3031)*((S3031)*(V3031)-(U3031)*(T3031))+(LTP3!$D$6)*((S3031)*(R3031)-(P3031)*(T3031)))/W3031,0)</f>
        <v/>
      </c>
      <c r="AA3031">
        <f>LTP3!$D$7-X3031*LTP3!$D$6-Y3031*U3031-Z3031*V3031</f>
        <v/>
      </c>
      <c r="AB3031">
        <f>IF(AND(F3031,ABS(W3031)&gt;1E-12,Y3031&gt;0,Z3031&gt;0),AA3031,1E+300)</f>
        <v/>
      </c>
    </row>
    <row r="3032">
      <c r="A3032">
        <f>$B$3+$B$5*49</f>
        <v/>
      </c>
      <c r="B3032">
        <f>$B$3+$B$5*31</f>
        <v/>
      </c>
      <c r="C3032">
        <f>SUMPRODUCT(Calc!$K$3:$K$22*(Calc!$G$3:$G$22&lt;=A3032))</f>
        <v/>
      </c>
      <c r="D3032">
        <f>SUMPRODUCT(Calc!$K$3:$K$22*(Calc!$G$3:$G$22&gt;A3032)*(Calc!$G$3:$G$22&lt;B3032))</f>
        <v/>
      </c>
      <c r="E3032">
        <f>SUMPRODUCT(Calc!$K$3:$K$22*(Calc!$G$3:$G$22&gt;=B3032))</f>
        <v/>
      </c>
      <c r="F3032">
        <f>AND(k_n&gt;=5,B3032&gt;A3032+1E-9,C3032&gt;=2,D3032&gt;=1,E3032&gt;=2)</f>
        <v/>
      </c>
      <c r="G3032">
        <f>SUMPRODUCT(Calc!$K$3:$K$22*(Calc!$G$3:$G$22&gt;A3032)*(Calc!$G$3:$G$22-A3032))</f>
        <v/>
      </c>
      <c r="H3032">
        <f>SUMPRODUCT(Calc!$K$3:$K$22*(Calc!$G$3:$G$22&gt;B3032)*(Calc!$G$3:$G$22-B3032))</f>
        <v/>
      </c>
      <c r="I3032">
        <f>SUMPRODUCT(Calc!$K$3:$K$22*(Calc!$G$3:$G$22&gt;A3032)*(Calc!$G$3:$G$22-A3032)^2)</f>
        <v/>
      </c>
      <c r="J3032">
        <f>SUMPRODUCT(Calc!$K$3:$K$22*(Calc!$G$3:$G$22&gt;B3032)*(Calc!$G$3:$G$22-B3032)^2)</f>
        <v/>
      </c>
      <c r="K3032">
        <f>SUMPRODUCT(Calc!$K$3:$K$22*(Calc!$G$3:$G$22&gt;A3032)*(Calc!$G$3:$G$22-A3032)*(Calc!$G$3:$G$22&gt;B3032)*(Calc!$G$3:$G$22-B3032))</f>
        <v/>
      </c>
      <c r="L3032">
        <f>SUMPRODUCT(Calc!$K$3:$K$22*(Calc!$G$3:$G$22&gt;A3032)*(Calc!$G$3:$G$22-A3032)*Calc!$G$3:$G$22)</f>
        <v/>
      </c>
      <c r="M3032">
        <f>SUMPRODUCT(Calc!$K$3:$K$22*(Calc!$G$3:$G$22&gt;B3032)*(Calc!$G$3:$G$22-B3032)*Calc!$G$3:$G$22)</f>
        <v/>
      </c>
      <c r="N3032">
        <f>SUMPRODUCT(Calc!$K$3:$K$22*(Calc!$G$3:$G$22&gt;A3032)*(Calc!$G$3:$G$22-A3032)*Calc!$I$3:$I$22)</f>
        <v/>
      </c>
      <c r="O3032">
        <f>SUMPRODUCT(Calc!$K$3:$K$22*(Calc!$G$3:$G$22&gt;B3032)*(Calc!$G$3:$G$22-B3032)*Calc!$I$3:$I$22)</f>
        <v/>
      </c>
      <c r="P3032">
        <f>I3032-G3032^2/k_n</f>
        <v/>
      </c>
      <c r="Q3032">
        <f>J3032-H3032^2/k_n</f>
        <v/>
      </c>
      <c r="R3032">
        <f>K3032-G3032*H3032/k_n</f>
        <v/>
      </c>
      <c r="S3032">
        <f>L3032-LTP3!$D$3*G3032/k_n</f>
        <v/>
      </c>
      <c r="T3032">
        <f>M3032-LTP3!$D$3*H3032/k_n</f>
        <v/>
      </c>
      <c r="U3032">
        <f>N3032-G3032*LTP3!$D$4/k_n</f>
        <v/>
      </c>
      <c r="V3032">
        <f>O3032-H3032*LTP3!$D$4/k_n</f>
        <v/>
      </c>
      <c r="W3032">
        <f>((LTP3!$D$5)*((P3032)*(Q3032)-(R3032)*(R3032))-(S3032)*((S3032)*(Q3032)-(R3032)*(T3032))+(T3032)*((S3032)*(R3032)-(P3032)*(T3032)))</f>
        <v/>
      </c>
      <c r="X3032">
        <f>IF(ABS(W3032)&gt;1E-12,((LTP3!$D$6)*((P3032)*(Q3032)-(R3032)*(R3032))-(S3032)*((U3032)*(Q3032)-(R3032)*(V3032))+(T3032)*((U3032)*(R3032)-(P3032)*(V3032)))/W3032,0)</f>
        <v/>
      </c>
      <c r="Y3032">
        <f>IF(ABS(W3032)&gt;1E-12,((LTP3!$D$5)*((U3032)*(Q3032)-(R3032)*(V3032))-(LTP3!$D$6)*((S3032)*(Q3032)-(R3032)*(T3032))+(T3032)*((S3032)*(V3032)-(U3032)*(T3032)))/W3032,0)</f>
        <v/>
      </c>
      <c r="Z3032">
        <f>IF(ABS(W3032)&gt;1E-12,((LTP3!$D$5)*((P3032)*(V3032)-(U3032)*(R3032))-(S3032)*((S3032)*(V3032)-(U3032)*(T3032))+(LTP3!$D$6)*((S3032)*(R3032)-(P3032)*(T3032)))/W3032,0)</f>
        <v/>
      </c>
      <c r="AA3032">
        <f>LTP3!$D$7-X3032*LTP3!$D$6-Y3032*U3032-Z3032*V3032</f>
        <v/>
      </c>
      <c r="AB3032">
        <f>IF(AND(F3032,ABS(W3032)&gt;1E-12,Y3032&gt;0,Z3032&gt;0),AA3032,1E+300)</f>
        <v/>
      </c>
    </row>
    <row r="3033">
      <c r="A3033">
        <f>$B$3+$B$5*49</f>
        <v/>
      </c>
      <c r="B3033">
        <f>$B$3+$B$5*32</f>
        <v/>
      </c>
      <c r="C3033">
        <f>SUMPRODUCT(Calc!$K$3:$K$22*(Calc!$G$3:$G$22&lt;=A3033))</f>
        <v/>
      </c>
      <c r="D3033">
        <f>SUMPRODUCT(Calc!$K$3:$K$22*(Calc!$G$3:$G$22&gt;A3033)*(Calc!$G$3:$G$22&lt;B3033))</f>
        <v/>
      </c>
      <c r="E3033">
        <f>SUMPRODUCT(Calc!$K$3:$K$22*(Calc!$G$3:$G$22&gt;=B3033))</f>
        <v/>
      </c>
      <c r="F3033">
        <f>AND(k_n&gt;=5,B3033&gt;A3033+1E-9,C3033&gt;=2,D3033&gt;=1,E3033&gt;=2)</f>
        <v/>
      </c>
      <c r="G3033">
        <f>SUMPRODUCT(Calc!$K$3:$K$22*(Calc!$G$3:$G$22&gt;A3033)*(Calc!$G$3:$G$22-A3033))</f>
        <v/>
      </c>
      <c r="H3033">
        <f>SUMPRODUCT(Calc!$K$3:$K$22*(Calc!$G$3:$G$22&gt;B3033)*(Calc!$G$3:$G$22-B3033))</f>
        <v/>
      </c>
      <c r="I3033">
        <f>SUMPRODUCT(Calc!$K$3:$K$22*(Calc!$G$3:$G$22&gt;A3033)*(Calc!$G$3:$G$22-A3033)^2)</f>
        <v/>
      </c>
      <c r="J3033">
        <f>SUMPRODUCT(Calc!$K$3:$K$22*(Calc!$G$3:$G$22&gt;B3033)*(Calc!$G$3:$G$22-B3033)^2)</f>
        <v/>
      </c>
      <c r="K3033">
        <f>SUMPRODUCT(Calc!$K$3:$K$22*(Calc!$G$3:$G$22&gt;A3033)*(Calc!$G$3:$G$22-A3033)*(Calc!$G$3:$G$22&gt;B3033)*(Calc!$G$3:$G$22-B3033))</f>
        <v/>
      </c>
      <c r="L3033">
        <f>SUMPRODUCT(Calc!$K$3:$K$22*(Calc!$G$3:$G$22&gt;A3033)*(Calc!$G$3:$G$22-A3033)*Calc!$G$3:$G$22)</f>
        <v/>
      </c>
      <c r="M3033">
        <f>SUMPRODUCT(Calc!$K$3:$K$22*(Calc!$G$3:$G$22&gt;B3033)*(Calc!$G$3:$G$22-B3033)*Calc!$G$3:$G$22)</f>
        <v/>
      </c>
      <c r="N3033">
        <f>SUMPRODUCT(Calc!$K$3:$K$22*(Calc!$G$3:$G$22&gt;A3033)*(Calc!$G$3:$G$22-A3033)*Calc!$I$3:$I$22)</f>
        <v/>
      </c>
      <c r="O3033">
        <f>SUMPRODUCT(Calc!$K$3:$K$22*(Calc!$G$3:$G$22&gt;B3033)*(Calc!$G$3:$G$22-B3033)*Calc!$I$3:$I$22)</f>
        <v/>
      </c>
      <c r="P3033">
        <f>I3033-G3033^2/k_n</f>
        <v/>
      </c>
      <c r="Q3033">
        <f>J3033-H3033^2/k_n</f>
        <v/>
      </c>
      <c r="R3033">
        <f>K3033-G3033*H3033/k_n</f>
        <v/>
      </c>
      <c r="S3033">
        <f>L3033-LTP3!$D$3*G3033/k_n</f>
        <v/>
      </c>
      <c r="T3033">
        <f>M3033-LTP3!$D$3*H3033/k_n</f>
        <v/>
      </c>
      <c r="U3033">
        <f>N3033-G3033*LTP3!$D$4/k_n</f>
        <v/>
      </c>
      <c r="V3033">
        <f>O3033-H3033*LTP3!$D$4/k_n</f>
        <v/>
      </c>
      <c r="W3033">
        <f>((LTP3!$D$5)*((P3033)*(Q3033)-(R3033)*(R3033))-(S3033)*((S3033)*(Q3033)-(R3033)*(T3033))+(T3033)*((S3033)*(R3033)-(P3033)*(T3033)))</f>
        <v/>
      </c>
      <c r="X3033">
        <f>IF(ABS(W3033)&gt;1E-12,((LTP3!$D$6)*((P3033)*(Q3033)-(R3033)*(R3033))-(S3033)*((U3033)*(Q3033)-(R3033)*(V3033))+(T3033)*((U3033)*(R3033)-(P3033)*(V3033)))/W3033,0)</f>
        <v/>
      </c>
      <c r="Y3033">
        <f>IF(ABS(W3033)&gt;1E-12,((LTP3!$D$5)*((U3033)*(Q3033)-(R3033)*(V3033))-(LTP3!$D$6)*((S3033)*(Q3033)-(R3033)*(T3033))+(T3033)*((S3033)*(V3033)-(U3033)*(T3033)))/W3033,0)</f>
        <v/>
      </c>
      <c r="Z3033">
        <f>IF(ABS(W3033)&gt;1E-12,((LTP3!$D$5)*((P3033)*(V3033)-(U3033)*(R3033))-(S3033)*((S3033)*(V3033)-(U3033)*(T3033))+(LTP3!$D$6)*((S3033)*(R3033)-(P3033)*(T3033)))/W3033,0)</f>
        <v/>
      </c>
      <c r="AA3033">
        <f>LTP3!$D$7-X3033*LTP3!$D$6-Y3033*U3033-Z3033*V3033</f>
        <v/>
      </c>
      <c r="AB3033">
        <f>IF(AND(F3033,ABS(W3033)&gt;1E-12,Y3033&gt;0,Z3033&gt;0),AA3033,1E+300)</f>
        <v/>
      </c>
    </row>
    <row r="3034">
      <c r="A3034">
        <f>$B$3+$B$5*49</f>
        <v/>
      </c>
      <c r="B3034">
        <f>$B$3+$B$5*33</f>
        <v/>
      </c>
      <c r="C3034">
        <f>SUMPRODUCT(Calc!$K$3:$K$22*(Calc!$G$3:$G$22&lt;=A3034))</f>
        <v/>
      </c>
      <c r="D3034">
        <f>SUMPRODUCT(Calc!$K$3:$K$22*(Calc!$G$3:$G$22&gt;A3034)*(Calc!$G$3:$G$22&lt;B3034))</f>
        <v/>
      </c>
      <c r="E3034">
        <f>SUMPRODUCT(Calc!$K$3:$K$22*(Calc!$G$3:$G$22&gt;=B3034))</f>
        <v/>
      </c>
      <c r="F3034">
        <f>AND(k_n&gt;=5,B3034&gt;A3034+1E-9,C3034&gt;=2,D3034&gt;=1,E3034&gt;=2)</f>
        <v/>
      </c>
      <c r="G3034">
        <f>SUMPRODUCT(Calc!$K$3:$K$22*(Calc!$G$3:$G$22&gt;A3034)*(Calc!$G$3:$G$22-A3034))</f>
        <v/>
      </c>
      <c r="H3034">
        <f>SUMPRODUCT(Calc!$K$3:$K$22*(Calc!$G$3:$G$22&gt;B3034)*(Calc!$G$3:$G$22-B3034))</f>
        <v/>
      </c>
      <c r="I3034">
        <f>SUMPRODUCT(Calc!$K$3:$K$22*(Calc!$G$3:$G$22&gt;A3034)*(Calc!$G$3:$G$22-A3034)^2)</f>
        <v/>
      </c>
      <c r="J3034">
        <f>SUMPRODUCT(Calc!$K$3:$K$22*(Calc!$G$3:$G$22&gt;B3034)*(Calc!$G$3:$G$22-B3034)^2)</f>
        <v/>
      </c>
      <c r="K3034">
        <f>SUMPRODUCT(Calc!$K$3:$K$22*(Calc!$G$3:$G$22&gt;A3034)*(Calc!$G$3:$G$22-A3034)*(Calc!$G$3:$G$22&gt;B3034)*(Calc!$G$3:$G$22-B3034))</f>
        <v/>
      </c>
      <c r="L3034">
        <f>SUMPRODUCT(Calc!$K$3:$K$22*(Calc!$G$3:$G$22&gt;A3034)*(Calc!$G$3:$G$22-A3034)*Calc!$G$3:$G$22)</f>
        <v/>
      </c>
      <c r="M3034">
        <f>SUMPRODUCT(Calc!$K$3:$K$22*(Calc!$G$3:$G$22&gt;B3034)*(Calc!$G$3:$G$22-B3034)*Calc!$G$3:$G$22)</f>
        <v/>
      </c>
      <c r="N3034">
        <f>SUMPRODUCT(Calc!$K$3:$K$22*(Calc!$G$3:$G$22&gt;A3034)*(Calc!$G$3:$G$22-A3034)*Calc!$I$3:$I$22)</f>
        <v/>
      </c>
      <c r="O3034">
        <f>SUMPRODUCT(Calc!$K$3:$K$22*(Calc!$G$3:$G$22&gt;B3034)*(Calc!$G$3:$G$22-B3034)*Calc!$I$3:$I$22)</f>
        <v/>
      </c>
      <c r="P3034">
        <f>I3034-G3034^2/k_n</f>
        <v/>
      </c>
      <c r="Q3034">
        <f>J3034-H3034^2/k_n</f>
        <v/>
      </c>
      <c r="R3034">
        <f>K3034-G3034*H3034/k_n</f>
        <v/>
      </c>
      <c r="S3034">
        <f>L3034-LTP3!$D$3*G3034/k_n</f>
        <v/>
      </c>
      <c r="T3034">
        <f>M3034-LTP3!$D$3*H3034/k_n</f>
        <v/>
      </c>
      <c r="U3034">
        <f>N3034-G3034*LTP3!$D$4/k_n</f>
        <v/>
      </c>
      <c r="V3034">
        <f>O3034-H3034*LTP3!$D$4/k_n</f>
        <v/>
      </c>
      <c r="W3034">
        <f>((LTP3!$D$5)*((P3034)*(Q3034)-(R3034)*(R3034))-(S3034)*((S3034)*(Q3034)-(R3034)*(T3034))+(T3034)*((S3034)*(R3034)-(P3034)*(T3034)))</f>
        <v/>
      </c>
      <c r="X3034">
        <f>IF(ABS(W3034)&gt;1E-12,((LTP3!$D$6)*((P3034)*(Q3034)-(R3034)*(R3034))-(S3034)*((U3034)*(Q3034)-(R3034)*(V3034))+(T3034)*((U3034)*(R3034)-(P3034)*(V3034)))/W3034,0)</f>
        <v/>
      </c>
      <c r="Y3034">
        <f>IF(ABS(W3034)&gt;1E-12,((LTP3!$D$5)*((U3034)*(Q3034)-(R3034)*(V3034))-(LTP3!$D$6)*((S3034)*(Q3034)-(R3034)*(T3034))+(T3034)*((S3034)*(V3034)-(U3034)*(T3034)))/W3034,0)</f>
        <v/>
      </c>
      <c r="Z3034">
        <f>IF(ABS(W3034)&gt;1E-12,((LTP3!$D$5)*((P3034)*(V3034)-(U3034)*(R3034))-(S3034)*((S3034)*(V3034)-(U3034)*(T3034))+(LTP3!$D$6)*((S3034)*(R3034)-(P3034)*(T3034)))/W3034,0)</f>
        <v/>
      </c>
      <c r="AA3034">
        <f>LTP3!$D$7-X3034*LTP3!$D$6-Y3034*U3034-Z3034*V3034</f>
        <v/>
      </c>
      <c r="AB3034">
        <f>IF(AND(F3034,ABS(W3034)&gt;1E-12,Y3034&gt;0,Z3034&gt;0),AA3034,1E+300)</f>
        <v/>
      </c>
    </row>
    <row r="3035">
      <c r="A3035">
        <f>$B$3+$B$5*49</f>
        <v/>
      </c>
      <c r="B3035">
        <f>$B$3+$B$5*34</f>
        <v/>
      </c>
      <c r="C3035">
        <f>SUMPRODUCT(Calc!$K$3:$K$22*(Calc!$G$3:$G$22&lt;=A3035))</f>
        <v/>
      </c>
      <c r="D3035">
        <f>SUMPRODUCT(Calc!$K$3:$K$22*(Calc!$G$3:$G$22&gt;A3035)*(Calc!$G$3:$G$22&lt;B3035))</f>
        <v/>
      </c>
      <c r="E3035">
        <f>SUMPRODUCT(Calc!$K$3:$K$22*(Calc!$G$3:$G$22&gt;=B3035))</f>
        <v/>
      </c>
      <c r="F3035">
        <f>AND(k_n&gt;=5,B3035&gt;A3035+1E-9,C3035&gt;=2,D3035&gt;=1,E3035&gt;=2)</f>
        <v/>
      </c>
      <c r="G3035">
        <f>SUMPRODUCT(Calc!$K$3:$K$22*(Calc!$G$3:$G$22&gt;A3035)*(Calc!$G$3:$G$22-A3035))</f>
        <v/>
      </c>
      <c r="H3035">
        <f>SUMPRODUCT(Calc!$K$3:$K$22*(Calc!$G$3:$G$22&gt;B3035)*(Calc!$G$3:$G$22-B3035))</f>
        <v/>
      </c>
      <c r="I3035">
        <f>SUMPRODUCT(Calc!$K$3:$K$22*(Calc!$G$3:$G$22&gt;A3035)*(Calc!$G$3:$G$22-A3035)^2)</f>
        <v/>
      </c>
      <c r="J3035">
        <f>SUMPRODUCT(Calc!$K$3:$K$22*(Calc!$G$3:$G$22&gt;B3035)*(Calc!$G$3:$G$22-B3035)^2)</f>
        <v/>
      </c>
      <c r="K3035">
        <f>SUMPRODUCT(Calc!$K$3:$K$22*(Calc!$G$3:$G$22&gt;A3035)*(Calc!$G$3:$G$22-A3035)*(Calc!$G$3:$G$22&gt;B3035)*(Calc!$G$3:$G$22-B3035))</f>
        <v/>
      </c>
      <c r="L3035">
        <f>SUMPRODUCT(Calc!$K$3:$K$22*(Calc!$G$3:$G$22&gt;A3035)*(Calc!$G$3:$G$22-A3035)*Calc!$G$3:$G$22)</f>
        <v/>
      </c>
      <c r="M3035">
        <f>SUMPRODUCT(Calc!$K$3:$K$22*(Calc!$G$3:$G$22&gt;B3035)*(Calc!$G$3:$G$22-B3035)*Calc!$G$3:$G$22)</f>
        <v/>
      </c>
      <c r="N3035">
        <f>SUMPRODUCT(Calc!$K$3:$K$22*(Calc!$G$3:$G$22&gt;A3035)*(Calc!$G$3:$G$22-A3035)*Calc!$I$3:$I$22)</f>
        <v/>
      </c>
      <c r="O3035">
        <f>SUMPRODUCT(Calc!$K$3:$K$22*(Calc!$G$3:$G$22&gt;B3035)*(Calc!$G$3:$G$22-B3035)*Calc!$I$3:$I$22)</f>
        <v/>
      </c>
      <c r="P3035">
        <f>I3035-G3035^2/k_n</f>
        <v/>
      </c>
      <c r="Q3035">
        <f>J3035-H3035^2/k_n</f>
        <v/>
      </c>
      <c r="R3035">
        <f>K3035-G3035*H3035/k_n</f>
        <v/>
      </c>
      <c r="S3035">
        <f>L3035-LTP3!$D$3*G3035/k_n</f>
        <v/>
      </c>
      <c r="T3035">
        <f>M3035-LTP3!$D$3*H3035/k_n</f>
        <v/>
      </c>
      <c r="U3035">
        <f>N3035-G3035*LTP3!$D$4/k_n</f>
        <v/>
      </c>
      <c r="V3035">
        <f>O3035-H3035*LTP3!$D$4/k_n</f>
        <v/>
      </c>
      <c r="W3035">
        <f>((LTP3!$D$5)*((P3035)*(Q3035)-(R3035)*(R3035))-(S3035)*((S3035)*(Q3035)-(R3035)*(T3035))+(T3035)*((S3035)*(R3035)-(P3035)*(T3035)))</f>
        <v/>
      </c>
      <c r="X3035">
        <f>IF(ABS(W3035)&gt;1E-12,((LTP3!$D$6)*((P3035)*(Q3035)-(R3035)*(R3035))-(S3035)*((U3035)*(Q3035)-(R3035)*(V3035))+(T3035)*((U3035)*(R3035)-(P3035)*(V3035)))/W3035,0)</f>
        <v/>
      </c>
      <c r="Y3035">
        <f>IF(ABS(W3035)&gt;1E-12,((LTP3!$D$5)*((U3035)*(Q3035)-(R3035)*(V3035))-(LTP3!$D$6)*((S3035)*(Q3035)-(R3035)*(T3035))+(T3035)*((S3035)*(V3035)-(U3035)*(T3035)))/W3035,0)</f>
        <v/>
      </c>
      <c r="Z3035">
        <f>IF(ABS(W3035)&gt;1E-12,((LTP3!$D$5)*((P3035)*(V3035)-(U3035)*(R3035))-(S3035)*((S3035)*(V3035)-(U3035)*(T3035))+(LTP3!$D$6)*((S3035)*(R3035)-(P3035)*(T3035)))/W3035,0)</f>
        <v/>
      </c>
      <c r="AA3035">
        <f>LTP3!$D$7-X3035*LTP3!$D$6-Y3035*U3035-Z3035*V3035</f>
        <v/>
      </c>
      <c r="AB3035">
        <f>IF(AND(F3035,ABS(W3035)&gt;1E-12,Y3035&gt;0,Z3035&gt;0),AA3035,1E+300)</f>
        <v/>
      </c>
    </row>
    <row r="3036">
      <c r="A3036">
        <f>$B$3+$B$5*49</f>
        <v/>
      </c>
      <c r="B3036">
        <f>$B$3+$B$5*35</f>
        <v/>
      </c>
      <c r="C3036">
        <f>SUMPRODUCT(Calc!$K$3:$K$22*(Calc!$G$3:$G$22&lt;=A3036))</f>
        <v/>
      </c>
      <c r="D3036">
        <f>SUMPRODUCT(Calc!$K$3:$K$22*(Calc!$G$3:$G$22&gt;A3036)*(Calc!$G$3:$G$22&lt;B3036))</f>
        <v/>
      </c>
      <c r="E3036">
        <f>SUMPRODUCT(Calc!$K$3:$K$22*(Calc!$G$3:$G$22&gt;=B3036))</f>
        <v/>
      </c>
      <c r="F3036">
        <f>AND(k_n&gt;=5,B3036&gt;A3036+1E-9,C3036&gt;=2,D3036&gt;=1,E3036&gt;=2)</f>
        <v/>
      </c>
      <c r="G3036">
        <f>SUMPRODUCT(Calc!$K$3:$K$22*(Calc!$G$3:$G$22&gt;A3036)*(Calc!$G$3:$G$22-A3036))</f>
        <v/>
      </c>
      <c r="H3036">
        <f>SUMPRODUCT(Calc!$K$3:$K$22*(Calc!$G$3:$G$22&gt;B3036)*(Calc!$G$3:$G$22-B3036))</f>
        <v/>
      </c>
      <c r="I3036">
        <f>SUMPRODUCT(Calc!$K$3:$K$22*(Calc!$G$3:$G$22&gt;A3036)*(Calc!$G$3:$G$22-A3036)^2)</f>
        <v/>
      </c>
      <c r="J3036">
        <f>SUMPRODUCT(Calc!$K$3:$K$22*(Calc!$G$3:$G$22&gt;B3036)*(Calc!$G$3:$G$22-B3036)^2)</f>
        <v/>
      </c>
      <c r="K3036">
        <f>SUMPRODUCT(Calc!$K$3:$K$22*(Calc!$G$3:$G$22&gt;A3036)*(Calc!$G$3:$G$22-A3036)*(Calc!$G$3:$G$22&gt;B3036)*(Calc!$G$3:$G$22-B3036))</f>
        <v/>
      </c>
      <c r="L3036">
        <f>SUMPRODUCT(Calc!$K$3:$K$22*(Calc!$G$3:$G$22&gt;A3036)*(Calc!$G$3:$G$22-A3036)*Calc!$G$3:$G$22)</f>
        <v/>
      </c>
      <c r="M3036">
        <f>SUMPRODUCT(Calc!$K$3:$K$22*(Calc!$G$3:$G$22&gt;B3036)*(Calc!$G$3:$G$22-B3036)*Calc!$G$3:$G$22)</f>
        <v/>
      </c>
      <c r="N3036">
        <f>SUMPRODUCT(Calc!$K$3:$K$22*(Calc!$G$3:$G$22&gt;A3036)*(Calc!$G$3:$G$22-A3036)*Calc!$I$3:$I$22)</f>
        <v/>
      </c>
      <c r="O3036">
        <f>SUMPRODUCT(Calc!$K$3:$K$22*(Calc!$G$3:$G$22&gt;B3036)*(Calc!$G$3:$G$22-B3036)*Calc!$I$3:$I$22)</f>
        <v/>
      </c>
      <c r="P3036">
        <f>I3036-G3036^2/k_n</f>
        <v/>
      </c>
      <c r="Q3036">
        <f>J3036-H3036^2/k_n</f>
        <v/>
      </c>
      <c r="R3036">
        <f>K3036-G3036*H3036/k_n</f>
        <v/>
      </c>
      <c r="S3036">
        <f>L3036-LTP3!$D$3*G3036/k_n</f>
        <v/>
      </c>
      <c r="T3036">
        <f>M3036-LTP3!$D$3*H3036/k_n</f>
        <v/>
      </c>
      <c r="U3036">
        <f>N3036-G3036*LTP3!$D$4/k_n</f>
        <v/>
      </c>
      <c r="V3036">
        <f>O3036-H3036*LTP3!$D$4/k_n</f>
        <v/>
      </c>
      <c r="W3036">
        <f>((LTP3!$D$5)*((P3036)*(Q3036)-(R3036)*(R3036))-(S3036)*((S3036)*(Q3036)-(R3036)*(T3036))+(T3036)*((S3036)*(R3036)-(P3036)*(T3036)))</f>
        <v/>
      </c>
      <c r="X3036">
        <f>IF(ABS(W3036)&gt;1E-12,((LTP3!$D$6)*((P3036)*(Q3036)-(R3036)*(R3036))-(S3036)*((U3036)*(Q3036)-(R3036)*(V3036))+(T3036)*((U3036)*(R3036)-(P3036)*(V3036)))/W3036,0)</f>
        <v/>
      </c>
      <c r="Y3036">
        <f>IF(ABS(W3036)&gt;1E-12,((LTP3!$D$5)*((U3036)*(Q3036)-(R3036)*(V3036))-(LTP3!$D$6)*((S3036)*(Q3036)-(R3036)*(T3036))+(T3036)*((S3036)*(V3036)-(U3036)*(T3036)))/W3036,0)</f>
        <v/>
      </c>
      <c r="Z3036">
        <f>IF(ABS(W3036)&gt;1E-12,((LTP3!$D$5)*((P3036)*(V3036)-(U3036)*(R3036))-(S3036)*((S3036)*(V3036)-(U3036)*(T3036))+(LTP3!$D$6)*((S3036)*(R3036)-(P3036)*(T3036)))/W3036,0)</f>
        <v/>
      </c>
      <c r="AA3036">
        <f>LTP3!$D$7-X3036*LTP3!$D$6-Y3036*U3036-Z3036*V3036</f>
        <v/>
      </c>
      <c r="AB3036">
        <f>IF(AND(F3036,ABS(W3036)&gt;1E-12,Y3036&gt;0,Z3036&gt;0),AA3036,1E+300)</f>
        <v/>
      </c>
    </row>
    <row r="3037">
      <c r="A3037">
        <f>$B$3+$B$5*49</f>
        <v/>
      </c>
      <c r="B3037">
        <f>$B$3+$B$5*36</f>
        <v/>
      </c>
      <c r="C3037">
        <f>SUMPRODUCT(Calc!$K$3:$K$22*(Calc!$G$3:$G$22&lt;=A3037))</f>
        <v/>
      </c>
      <c r="D3037">
        <f>SUMPRODUCT(Calc!$K$3:$K$22*(Calc!$G$3:$G$22&gt;A3037)*(Calc!$G$3:$G$22&lt;B3037))</f>
        <v/>
      </c>
      <c r="E3037">
        <f>SUMPRODUCT(Calc!$K$3:$K$22*(Calc!$G$3:$G$22&gt;=B3037))</f>
        <v/>
      </c>
      <c r="F3037">
        <f>AND(k_n&gt;=5,B3037&gt;A3037+1E-9,C3037&gt;=2,D3037&gt;=1,E3037&gt;=2)</f>
        <v/>
      </c>
      <c r="G3037">
        <f>SUMPRODUCT(Calc!$K$3:$K$22*(Calc!$G$3:$G$22&gt;A3037)*(Calc!$G$3:$G$22-A3037))</f>
        <v/>
      </c>
      <c r="H3037">
        <f>SUMPRODUCT(Calc!$K$3:$K$22*(Calc!$G$3:$G$22&gt;B3037)*(Calc!$G$3:$G$22-B3037))</f>
        <v/>
      </c>
      <c r="I3037">
        <f>SUMPRODUCT(Calc!$K$3:$K$22*(Calc!$G$3:$G$22&gt;A3037)*(Calc!$G$3:$G$22-A3037)^2)</f>
        <v/>
      </c>
      <c r="J3037">
        <f>SUMPRODUCT(Calc!$K$3:$K$22*(Calc!$G$3:$G$22&gt;B3037)*(Calc!$G$3:$G$22-B3037)^2)</f>
        <v/>
      </c>
      <c r="K3037">
        <f>SUMPRODUCT(Calc!$K$3:$K$22*(Calc!$G$3:$G$22&gt;A3037)*(Calc!$G$3:$G$22-A3037)*(Calc!$G$3:$G$22&gt;B3037)*(Calc!$G$3:$G$22-B3037))</f>
        <v/>
      </c>
      <c r="L3037">
        <f>SUMPRODUCT(Calc!$K$3:$K$22*(Calc!$G$3:$G$22&gt;A3037)*(Calc!$G$3:$G$22-A3037)*Calc!$G$3:$G$22)</f>
        <v/>
      </c>
      <c r="M3037">
        <f>SUMPRODUCT(Calc!$K$3:$K$22*(Calc!$G$3:$G$22&gt;B3037)*(Calc!$G$3:$G$22-B3037)*Calc!$G$3:$G$22)</f>
        <v/>
      </c>
      <c r="N3037">
        <f>SUMPRODUCT(Calc!$K$3:$K$22*(Calc!$G$3:$G$22&gt;A3037)*(Calc!$G$3:$G$22-A3037)*Calc!$I$3:$I$22)</f>
        <v/>
      </c>
      <c r="O3037">
        <f>SUMPRODUCT(Calc!$K$3:$K$22*(Calc!$G$3:$G$22&gt;B3037)*(Calc!$G$3:$G$22-B3037)*Calc!$I$3:$I$22)</f>
        <v/>
      </c>
      <c r="P3037">
        <f>I3037-G3037^2/k_n</f>
        <v/>
      </c>
      <c r="Q3037">
        <f>J3037-H3037^2/k_n</f>
        <v/>
      </c>
      <c r="R3037">
        <f>K3037-G3037*H3037/k_n</f>
        <v/>
      </c>
      <c r="S3037">
        <f>L3037-LTP3!$D$3*G3037/k_n</f>
        <v/>
      </c>
      <c r="T3037">
        <f>M3037-LTP3!$D$3*H3037/k_n</f>
        <v/>
      </c>
      <c r="U3037">
        <f>N3037-G3037*LTP3!$D$4/k_n</f>
        <v/>
      </c>
      <c r="V3037">
        <f>O3037-H3037*LTP3!$D$4/k_n</f>
        <v/>
      </c>
      <c r="W3037">
        <f>((LTP3!$D$5)*((P3037)*(Q3037)-(R3037)*(R3037))-(S3037)*((S3037)*(Q3037)-(R3037)*(T3037))+(T3037)*((S3037)*(R3037)-(P3037)*(T3037)))</f>
        <v/>
      </c>
      <c r="X3037">
        <f>IF(ABS(W3037)&gt;1E-12,((LTP3!$D$6)*((P3037)*(Q3037)-(R3037)*(R3037))-(S3037)*((U3037)*(Q3037)-(R3037)*(V3037))+(T3037)*((U3037)*(R3037)-(P3037)*(V3037)))/W3037,0)</f>
        <v/>
      </c>
      <c r="Y3037">
        <f>IF(ABS(W3037)&gt;1E-12,((LTP3!$D$5)*((U3037)*(Q3037)-(R3037)*(V3037))-(LTP3!$D$6)*((S3037)*(Q3037)-(R3037)*(T3037))+(T3037)*((S3037)*(V3037)-(U3037)*(T3037)))/W3037,0)</f>
        <v/>
      </c>
      <c r="Z3037">
        <f>IF(ABS(W3037)&gt;1E-12,((LTP3!$D$5)*((P3037)*(V3037)-(U3037)*(R3037))-(S3037)*((S3037)*(V3037)-(U3037)*(T3037))+(LTP3!$D$6)*((S3037)*(R3037)-(P3037)*(T3037)))/W3037,0)</f>
        <v/>
      </c>
      <c r="AA3037">
        <f>LTP3!$D$7-X3037*LTP3!$D$6-Y3037*U3037-Z3037*V3037</f>
        <v/>
      </c>
      <c r="AB3037">
        <f>IF(AND(F3037,ABS(W3037)&gt;1E-12,Y3037&gt;0,Z3037&gt;0),AA3037,1E+300)</f>
        <v/>
      </c>
    </row>
    <row r="3038">
      <c r="A3038">
        <f>$B$3+$B$5*49</f>
        <v/>
      </c>
      <c r="B3038">
        <f>$B$3+$B$5*37</f>
        <v/>
      </c>
      <c r="C3038">
        <f>SUMPRODUCT(Calc!$K$3:$K$22*(Calc!$G$3:$G$22&lt;=A3038))</f>
        <v/>
      </c>
      <c r="D3038">
        <f>SUMPRODUCT(Calc!$K$3:$K$22*(Calc!$G$3:$G$22&gt;A3038)*(Calc!$G$3:$G$22&lt;B3038))</f>
        <v/>
      </c>
      <c r="E3038">
        <f>SUMPRODUCT(Calc!$K$3:$K$22*(Calc!$G$3:$G$22&gt;=B3038))</f>
        <v/>
      </c>
      <c r="F3038">
        <f>AND(k_n&gt;=5,B3038&gt;A3038+1E-9,C3038&gt;=2,D3038&gt;=1,E3038&gt;=2)</f>
        <v/>
      </c>
      <c r="G3038">
        <f>SUMPRODUCT(Calc!$K$3:$K$22*(Calc!$G$3:$G$22&gt;A3038)*(Calc!$G$3:$G$22-A3038))</f>
        <v/>
      </c>
      <c r="H3038">
        <f>SUMPRODUCT(Calc!$K$3:$K$22*(Calc!$G$3:$G$22&gt;B3038)*(Calc!$G$3:$G$22-B3038))</f>
        <v/>
      </c>
      <c r="I3038">
        <f>SUMPRODUCT(Calc!$K$3:$K$22*(Calc!$G$3:$G$22&gt;A3038)*(Calc!$G$3:$G$22-A3038)^2)</f>
        <v/>
      </c>
      <c r="J3038">
        <f>SUMPRODUCT(Calc!$K$3:$K$22*(Calc!$G$3:$G$22&gt;B3038)*(Calc!$G$3:$G$22-B3038)^2)</f>
        <v/>
      </c>
      <c r="K3038">
        <f>SUMPRODUCT(Calc!$K$3:$K$22*(Calc!$G$3:$G$22&gt;A3038)*(Calc!$G$3:$G$22-A3038)*(Calc!$G$3:$G$22&gt;B3038)*(Calc!$G$3:$G$22-B3038))</f>
        <v/>
      </c>
      <c r="L3038">
        <f>SUMPRODUCT(Calc!$K$3:$K$22*(Calc!$G$3:$G$22&gt;A3038)*(Calc!$G$3:$G$22-A3038)*Calc!$G$3:$G$22)</f>
        <v/>
      </c>
      <c r="M3038">
        <f>SUMPRODUCT(Calc!$K$3:$K$22*(Calc!$G$3:$G$22&gt;B3038)*(Calc!$G$3:$G$22-B3038)*Calc!$G$3:$G$22)</f>
        <v/>
      </c>
      <c r="N3038">
        <f>SUMPRODUCT(Calc!$K$3:$K$22*(Calc!$G$3:$G$22&gt;A3038)*(Calc!$G$3:$G$22-A3038)*Calc!$I$3:$I$22)</f>
        <v/>
      </c>
      <c r="O3038">
        <f>SUMPRODUCT(Calc!$K$3:$K$22*(Calc!$G$3:$G$22&gt;B3038)*(Calc!$G$3:$G$22-B3038)*Calc!$I$3:$I$22)</f>
        <v/>
      </c>
      <c r="P3038">
        <f>I3038-G3038^2/k_n</f>
        <v/>
      </c>
      <c r="Q3038">
        <f>J3038-H3038^2/k_n</f>
        <v/>
      </c>
      <c r="R3038">
        <f>K3038-G3038*H3038/k_n</f>
        <v/>
      </c>
      <c r="S3038">
        <f>L3038-LTP3!$D$3*G3038/k_n</f>
        <v/>
      </c>
      <c r="T3038">
        <f>M3038-LTP3!$D$3*H3038/k_n</f>
        <v/>
      </c>
      <c r="U3038">
        <f>N3038-G3038*LTP3!$D$4/k_n</f>
        <v/>
      </c>
      <c r="V3038">
        <f>O3038-H3038*LTP3!$D$4/k_n</f>
        <v/>
      </c>
      <c r="W3038">
        <f>((LTP3!$D$5)*((P3038)*(Q3038)-(R3038)*(R3038))-(S3038)*((S3038)*(Q3038)-(R3038)*(T3038))+(T3038)*((S3038)*(R3038)-(P3038)*(T3038)))</f>
        <v/>
      </c>
      <c r="X3038">
        <f>IF(ABS(W3038)&gt;1E-12,((LTP3!$D$6)*((P3038)*(Q3038)-(R3038)*(R3038))-(S3038)*((U3038)*(Q3038)-(R3038)*(V3038))+(T3038)*((U3038)*(R3038)-(P3038)*(V3038)))/W3038,0)</f>
        <v/>
      </c>
      <c r="Y3038">
        <f>IF(ABS(W3038)&gt;1E-12,((LTP3!$D$5)*((U3038)*(Q3038)-(R3038)*(V3038))-(LTP3!$D$6)*((S3038)*(Q3038)-(R3038)*(T3038))+(T3038)*((S3038)*(V3038)-(U3038)*(T3038)))/W3038,0)</f>
        <v/>
      </c>
      <c r="Z3038">
        <f>IF(ABS(W3038)&gt;1E-12,((LTP3!$D$5)*((P3038)*(V3038)-(U3038)*(R3038))-(S3038)*((S3038)*(V3038)-(U3038)*(T3038))+(LTP3!$D$6)*((S3038)*(R3038)-(P3038)*(T3038)))/W3038,0)</f>
        <v/>
      </c>
      <c r="AA3038">
        <f>LTP3!$D$7-X3038*LTP3!$D$6-Y3038*U3038-Z3038*V3038</f>
        <v/>
      </c>
      <c r="AB3038">
        <f>IF(AND(F3038,ABS(W3038)&gt;1E-12,Y3038&gt;0,Z3038&gt;0),AA3038,1E+300)</f>
        <v/>
      </c>
    </row>
    <row r="3039">
      <c r="A3039">
        <f>$B$3+$B$5*49</f>
        <v/>
      </c>
      <c r="B3039">
        <f>$B$3+$B$5*38</f>
        <v/>
      </c>
      <c r="C3039">
        <f>SUMPRODUCT(Calc!$K$3:$K$22*(Calc!$G$3:$G$22&lt;=A3039))</f>
        <v/>
      </c>
      <c r="D3039">
        <f>SUMPRODUCT(Calc!$K$3:$K$22*(Calc!$G$3:$G$22&gt;A3039)*(Calc!$G$3:$G$22&lt;B3039))</f>
        <v/>
      </c>
      <c r="E3039">
        <f>SUMPRODUCT(Calc!$K$3:$K$22*(Calc!$G$3:$G$22&gt;=B3039))</f>
        <v/>
      </c>
      <c r="F3039">
        <f>AND(k_n&gt;=5,B3039&gt;A3039+1E-9,C3039&gt;=2,D3039&gt;=1,E3039&gt;=2)</f>
        <v/>
      </c>
      <c r="G3039">
        <f>SUMPRODUCT(Calc!$K$3:$K$22*(Calc!$G$3:$G$22&gt;A3039)*(Calc!$G$3:$G$22-A3039))</f>
        <v/>
      </c>
      <c r="H3039">
        <f>SUMPRODUCT(Calc!$K$3:$K$22*(Calc!$G$3:$G$22&gt;B3039)*(Calc!$G$3:$G$22-B3039))</f>
        <v/>
      </c>
      <c r="I3039">
        <f>SUMPRODUCT(Calc!$K$3:$K$22*(Calc!$G$3:$G$22&gt;A3039)*(Calc!$G$3:$G$22-A3039)^2)</f>
        <v/>
      </c>
      <c r="J3039">
        <f>SUMPRODUCT(Calc!$K$3:$K$22*(Calc!$G$3:$G$22&gt;B3039)*(Calc!$G$3:$G$22-B3039)^2)</f>
        <v/>
      </c>
      <c r="K3039">
        <f>SUMPRODUCT(Calc!$K$3:$K$22*(Calc!$G$3:$G$22&gt;A3039)*(Calc!$G$3:$G$22-A3039)*(Calc!$G$3:$G$22&gt;B3039)*(Calc!$G$3:$G$22-B3039))</f>
        <v/>
      </c>
      <c r="L3039">
        <f>SUMPRODUCT(Calc!$K$3:$K$22*(Calc!$G$3:$G$22&gt;A3039)*(Calc!$G$3:$G$22-A3039)*Calc!$G$3:$G$22)</f>
        <v/>
      </c>
      <c r="M3039">
        <f>SUMPRODUCT(Calc!$K$3:$K$22*(Calc!$G$3:$G$22&gt;B3039)*(Calc!$G$3:$G$22-B3039)*Calc!$G$3:$G$22)</f>
        <v/>
      </c>
      <c r="N3039">
        <f>SUMPRODUCT(Calc!$K$3:$K$22*(Calc!$G$3:$G$22&gt;A3039)*(Calc!$G$3:$G$22-A3039)*Calc!$I$3:$I$22)</f>
        <v/>
      </c>
      <c r="O3039">
        <f>SUMPRODUCT(Calc!$K$3:$K$22*(Calc!$G$3:$G$22&gt;B3039)*(Calc!$G$3:$G$22-B3039)*Calc!$I$3:$I$22)</f>
        <v/>
      </c>
      <c r="P3039">
        <f>I3039-G3039^2/k_n</f>
        <v/>
      </c>
      <c r="Q3039">
        <f>J3039-H3039^2/k_n</f>
        <v/>
      </c>
      <c r="R3039">
        <f>K3039-G3039*H3039/k_n</f>
        <v/>
      </c>
      <c r="S3039">
        <f>L3039-LTP3!$D$3*G3039/k_n</f>
        <v/>
      </c>
      <c r="T3039">
        <f>M3039-LTP3!$D$3*H3039/k_n</f>
        <v/>
      </c>
      <c r="U3039">
        <f>N3039-G3039*LTP3!$D$4/k_n</f>
        <v/>
      </c>
      <c r="V3039">
        <f>O3039-H3039*LTP3!$D$4/k_n</f>
        <v/>
      </c>
      <c r="W3039">
        <f>((LTP3!$D$5)*((P3039)*(Q3039)-(R3039)*(R3039))-(S3039)*((S3039)*(Q3039)-(R3039)*(T3039))+(T3039)*((S3039)*(R3039)-(P3039)*(T3039)))</f>
        <v/>
      </c>
      <c r="X3039">
        <f>IF(ABS(W3039)&gt;1E-12,((LTP3!$D$6)*((P3039)*(Q3039)-(R3039)*(R3039))-(S3039)*((U3039)*(Q3039)-(R3039)*(V3039))+(T3039)*((U3039)*(R3039)-(P3039)*(V3039)))/W3039,0)</f>
        <v/>
      </c>
      <c r="Y3039">
        <f>IF(ABS(W3039)&gt;1E-12,((LTP3!$D$5)*((U3039)*(Q3039)-(R3039)*(V3039))-(LTP3!$D$6)*((S3039)*(Q3039)-(R3039)*(T3039))+(T3039)*((S3039)*(V3039)-(U3039)*(T3039)))/W3039,0)</f>
        <v/>
      </c>
      <c r="Z3039">
        <f>IF(ABS(W3039)&gt;1E-12,((LTP3!$D$5)*((P3039)*(V3039)-(U3039)*(R3039))-(S3039)*((S3039)*(V3039)-(U3039)*(T3039))+(LTP3!$D$6)*((S3039)*(R3039)-(P3039)*(T3039)))/W3039,0)</f>
        <v/>
      </c>
      <c r="AA3039">
        <f>LTP3!$D$7-X3039*LTP3!$D$6-Y3039*U3039-Z3039*V3039</f>
        <v/>
      </c>
      <c r="AB3039">
        <f>IF(AND(F3039,ABS(W3039)&gt;1E-12,Y3039&gt;0,Z3039&gt;0),AA3039,1E+300)</f>
        <v/>
      </c>
    </row>
    <row r="3040">
      <c r="A3040">
        <f>$B$3+$B$5*49</f>
        <v/>
      </c>
      <c r="B3040">
        <f>$B$3+$B$5*39</f>
        <v/>
      </c>
      <c r="C3040">
        <f>SUMPRODUCT(Calc!$K$3:$K$22*(Calc!$G$3:$G$22&lt;=A3040))</f>
        <v/>
      </c>
      <c r="D3040">
        <f>SUMPRODUCT(Calc!$K$3:$K$22*(Calc!$G$3:$G$22&gt;A3040)*(Calc!$G$3:$G$22&lt;B3040))</f>
        <v/>
      </c>
      <c r="E3040">
        <f>SUMPRODUCT(Calc!$K$3:$K$22*(Calc!$G$3:$G$22&gt;=B3040))</f>
        <v/>
      </c>
      <c r="F3040">
        <f>AND(k_n&gt;=5,B3040&gt;A3040+1E-9,C3040&gt;=2,D3040&gt;=1,E3040&gt;=2)</f>
        <v/>
      </c>
      <c r="G3040">
        <f>SUMPRODUCT(Calc!$K$3:$K$22*(Calc!$G$3:$G$22&gt;A3040)*(Calc!$G$3:$G$22-A3040))</f>
        <v/>
      </c>
      <c r="H3040">
        <f>SUMPRODUCT(Calc!$K$3:$K$22*(Calc!$G$3:$G$22&gt;B3040)*(Calc!$G$3:$G$22-B3040))</f>
        <v/>
      </c>
      <c r="I3040">
        <f>SUMPRODUCT(Calc!$K$3:$K$22*(Calc!$G$3:$G$22&gt;A3040)*(Calc!$G$3:$G$22-A3040)^2)</f>
        <v/>
      </c>
      <c r="J3040">
        <f>SUMPRODUCT(Calc!$K$3:$K$22*(Calc!$G$3:$G$22&gt;B3040)*(Calc!$G$3:$G$22-B3040)^2)</f>
        <v/>
      </c>
      <c r="K3040">
        <f>SUMPRODUCT(Calc!$K$3:$K$22*(Calc!$G$3:$G$22&gt;A3040)*(Calc!$G$3:$G$22-A3040)*(Calc!$G$3:$G$22&gt;B3040)*(Calc!$G$3:$G$22-B3040))</f>
        <v/>
      </c>
      <c r="L3040">
        <f>SUMPRODUCT(Calc!$K$3:$K$22*(Calc!$G$3:$G$22&gt;A3040)*(Calc!$G$3:$G$22-A3040)*Calc!$G$3:$G$22)</f>
        <v/>
      </c>
      <c r="M3040">
        <f>SUMPRODUCT(Calc!$K$3:$K$22*(Calc!$G$3:$G$22&gt;B3040)*(Calc!$G$3:$G$22-B3040)*Calc!$G$3:$G$22)</f>
        <v/>
      </c>
      <c r="N3040">
        <f>SUMPRODUCT(Calc!$K$3:$K$22*(Calc!$G$3:$G$22&gt;A3040)*(Calc!$G$3:$G$22-A3040)*Calc!$I$3:$I$22)</f>
        <v/>
      </c>
      <c r="O3040">
        <f>SUMPRODUCT(Calc!$K$3:$K$22*(Calc!$G$3:$G$22&gt;B3040)*(Calc!$G$3:$G$22-B3040)*Calc!$I$3:$I$22)</f>
        <v/>
      </c>
      <c r="P3040">
        <f>I3040-G3040^2/k_n</f>
        <v/>
      </c>
      <c r="Q3040">
        <f>J3040-H3040^2/k_n</f>
        <v/>
      </c>
      <c r="R3040">
        <f>K3040-G3040*H3040/k_n</f>
        <v/>
      </c>
      <c r="S3040">
        <f>L3040-LTP3!$D$3*G3040/k_n</f>
        <v/>
      </c>
      <c r="T3040">
        <f>M3040-LTP3!$D$3*H3040/k_n</f>
        <v/>
      </c>
      <c r="U3040">
        <f>N3040-G3040*LTP3!$D$4/k_n</f>
        <v/>
      </c>
      <c r="V3040">
        <f>O3040-H3040*LTP3!$D$4/k_n</f>
        <v/>
      </c>
      <c r="W3040">
        <f>((LTP3!$D$5)*((P3040)*(Q3040)-(R3040)*(R3040))-(S3040)*((S3040)*(Q3040)-(R3040)*(T3040))+(T3040)*((S3040)*(R3040)-(P3040)*(T3040)))</f>
        <v/>
      </c>
      <c r="X3040">
        <f>IF(ABS(W3040)&gt;1E-12,((LTP3!$D$6)*((P3040)*(Q3040)-(R3040)*(R3040))-(S3040)*((U3040)*(Q3040)-(R3040)*(V3040))+(T3040)*((U3040)*(R3040)-(P3040)*(V3040)))/W3040,0)</f>
        <v/>
      </c>
      <c r="Y3040">
        <f>IF(ABS(W3040)&gt;1E-12,((LTP3!$D$5)*((U3040)*(Q3040)-(R3040)*(V3040))-(LTP3!$D$6)*((S3040)*(Q3040)-(R3040)*(T3040))+(T3040)*((S3040)*(V3040)-(U3040)*(T3040)))/W3040,0)</f>
        <v/>
      </c>
      <c r="Z3040">
        <f>IF(ABS(W3040)&gt;1E-12,((LTP3!$D$5)*((P3040)*(V3040)-(U3040)*(R3040))-(S3040)*((S3040)*(V3040)-(U3040)*(T3040))+(LTP3!$D$6)*((S3040)*(R3040)-(P3040)*(T3040)))/W3040,0)</f>
        <v/>
      </c>
      <c r="AA3040">
        <f>LTP3!$D$7-X3040*LTP3!$D$6-Y3040*U3040-Z3040*V3040</f>
        <v/>
      </c>
      <c r="AB3040">
        <f>IF(AND(F3040,ABS(W3040)&gt;1E-12,Y3040&gt;0,Z3040&gt;0),AA3040,1E+300)</f>
        <v/>
      </c>
    </row>
    <row r="3041">
      <c r="A3041">
        <f>$B$3+$B$5*49</f>
        <v/>
      </c>
      <c r="B3041">
        <f>$B$3+$B$5*40</f>
        <v/>
      </c>
      <c r="C3041">
        <f>SUMPRODUCT(Calc!$K$3:$K$22*(Calc!$G$3:$G$22&lt;=A3041))</f>
        <v/>
      </c>
      <c r="D3041">
        <f>SUMPRODUCT(Calc!$K$3:$K$22*(Calc!$G$3:$G$22&gt;A3041)*(Calc!$G$3:$G$22&lt;B3041))</f>
        <v/>
      </c>
      <c r="E3041">
        <f>SUMPRODUCT(Calc!$K$3:$K$22*(Calc!$G$3:$G$22&gt;=B3041))</f>
        <v/>
      </c>
      <c r="F3041">
        <f>AND(k_n&gt;=5,B3041&gt;A3041+1E-9,C3041&gt;=2,D3041&gt;=1,E3041&gt;=2)</f>
        <v/>
      </c>
      <c r="G3041">
        <f>SUMPRODUCT(Calc!$K$3:$K$22*(Calc!$G$3:$G$22&gt;A3041)*(Calc!$G$3:$G$22-A3041))</f>
        <v/>
      </c>
      <c r="H3041">
        <f>SUMPRODUCT(Calc!$K$3:$K$22*(Calc!$G$3:$G$22&gt;B3041)*(Calc!$G$3:$G$22-B3041))</f>
        <v/>
      </c>
      <c r="I3041">
        <f>SUMPRODUCT(Calc!$K$3:$K$22*(Calc!$G$3:$G$22&gt;A3041)*(Calc!$G$3:$G$22-A3041)^2)</f>
        <v/>
      </c>
      <c r="J3041">
        <f>SUMPRODUCT(Calc!$K$3:$K$22*(Calc!$G$3:$G$22&gt;B3041)*(Calc!$G$3:$G$22-B3041)^2)</f>
        <v/>
      </c>
      <c r="K3041">
        <f>SUMPRODUCT(Calc!$K$3:$K$22*(Calc!$G$3:$G$22&gt;A3041)*(Calc!$G$3:$G$22-A3041)*(Calc!$G$3:$G$22&gt;B3041)*(Calc!$G$3:$G$22-B3041))</f>
        <v/>
      </c>
      <c r="L3041">
        <f>SUMPRODUCT(Calc!$K$3:$K$22*(Calc!$G$3:$G$22&gt;A3041)*(Calc!$G$3:$G$22-A3041)*Calc!$G$3:$G$22)</f>
        <v/>
      </c>
      <c r="M3041">
        <f>SUMPRODUCT(Calc!$K$3:$K$22*(Calc!$G$3:$G$22&gt;B3041)*(Calc!$G$3:$G$22-B3041)*Calc!$G$3:$G$22)</f>
        <v/>
      </c>
      <c r="N3041">
        <f>SUMPRODUCT(Calc!$K$3:$K$22*(Calc!$G$3:$G$22&gt;A3041)*(Calc!$G$3:$G$22-A3041)*Calc!$I$3:$I$22)</f>
        <v/>
      </c>
      <c r="O3041">
        <f>SUMPRODUCT(Calc!$K$3:$K$22*(Calc!$G$3:$G$22&gt;B3041)*(Calc!$G$3:$G$22-B3041)*Calc!$I$3:$I$22)</f>
        <v/>
      </c>
      <c r="P3041">
        <f>I3041-G3041^2/k_n</f>
        <v/>
      </c>
      <c r="Q3041">
        <f>J3041-H3041^2/k_n</f>
        <v/>
      </c>
      <c r="R3041">
        <f>K3041-G3041*H3041/k_n</f>
        <v/>
      </c>
      <c r="S3041">
        <f>L3041-LTP3!$D$3*G3041/k_n</f>
        <v/>
      </c>
      <c r="T3041">
        <f>M3041-LTP3!$D$3*H3041/k_n</f>
        <v/>
      </c>
      <c r="U3041">
        <f>N3041-G3041*LTP3!$D$4/k_n</f>
        <v/>
      </c>
      <c r="V3041">
        <f>O3041-H3041*LTP3!$D$4/k_n</f>
        <v/>
      </c>
      <c r="W3041">
        <f>((LTP3!$D$5)*((P3041)*(Q3041)-(R3041)*(R3041))-(S3041)*((S3041)*(Q3041)-(R3041)*(T3041))+(T3041)*((S3041)*(R3041)-(P3041)*(T3041)))</f>
        <v/>
      </c>
      <c r="X3041">
        <f>IF(ABS(W3041)&gt;1E-12,((LTP3!$D$6)*((P3041)*(Q3041)-(R3041)*(R3041))-(S3041)*((U3041)*(Q3041)-(R3041)*(V3041))+(T3041)*((U3041)*(R3041)-(P3041)*(V3041)))/W3041,0)</f>
        <v/>
      </c>
      <c r="Y3041">
        <f>IF(ABS(W3041)&gt;1E-12,((LTP3!$D$5)*((U3041)*(Q3041)-(R3041)*(V3041))-(LTP3!$D$6)*((S3041)*(Q3041)-(R3041)*(T3041))+(T3041)*((S3041)*(V3041)-(U3041)*(T3041)))/W3041,0)</f>
        <v/>
      </c>
      <c r="Z3041">
        <f>IF(ABS(W3041)&gt;1E-12,((LTP3!$D$5)*((P3041)*(V3041)-(U3041)*(R3041))-(S3041)*((S3041)*(V3041)-(U3041)*(T3041))+(LTP3!$D$6)*((S3041)*(R3041)-(P3041)*(T3041)))/W3041,0)</f>
        <v/>
      </c>
      <c r="AA3041">
        <f>LTP3!$D$7-X3041*LTP3!$D$6-Y3041*U3041-Z3041*V3041</f>
        <v/>
      </c>
      <c r="AB3041">
        <f>IF(AND(F3041,ABS(W3041)&gt;1E-12,Y3041&gt;0,Z3041&gt;0),AA3041,1E+300)</f>
        <v/>
      </c>
    </row>
    <row r="3042">
      <c r="A3042">
        <f>$B$3+$B$5*49</f>
        <v/>
      </c>
      <c r="B3042">
        <f>$B$3+$B$5*41</f>
        <v/>
      </c>
      <c r="C3042">
        <f>SUMPRODUCT(Calc!$K$3:$K$22*(Calc!$G$3:$G$22&lt;=A3042))</f>
        <v/>
      </c>
      <c r="D3042">
        <f>SUMPRODUCT(Calc!$K$3:$K$22*(Calc!$G$3:$G$22&gt;A3042)*(Calc!$G$3:$G$22&lt;B3042))</f>
        <v/>
      </c>
      <c r="E3042">
        <f>SUMPRODUCT(Calc!$K$3:$K$22*(Calc!$G$3:$G$22&gt;=B3042))</f>
        <v/>
      </c>
      <c r="F3042">
        <f>AND(k_n&gt;=5,B3042&gt;A3042+1E-9,C3042&gt;=2,D3042&gt;=1,E3042&gt;=2)</f>
        <v/>
      </c>
      <c r="G3042">
        <f>SUMPRODUCT(Calc!$K$3:$K$22*(Calc!$G$3:$G$22&gt;A3042)*(Calc!$G$3:$G$22-A3042))</f>
        <v/>
      </c>
      <c r="H3042">
        <f>SUMPRODUCT(Calc!$K$3:$K$22*(Calc!$G$3:$G$22&gt;B3042)*(Calc!$G$3:$G$22-B3042))</f>
        <v/>
      </c>
      <c r="I3042">
        <f>SUMPRODUCT(Calc!$K$3:$K$22*(Calc!$G$3:$G$22&gt;A3042)*(Calc!$G$3:$G$22-A3042)^2)</f>
        <v/>
      </c>
      <c r="J3042">
        <f>SUMPRODUCT(Calc!$K$3:$K$22*(Calc!$G$3:$G$22&gt;B3042)*(Calc!$G$3:$G$22-B3042)^2)</f>
        <v/>
      </c>
      <c r="K3042">
        <f>SUMPRODUCT(Calc!$K$3:$K$22*(Calc!$G$3:$G$22&gt;A3042)*(Calc!$G$3:$G$22-A3042)*(Calc!$G$3:$G$22&gt;B3042)*(Calc!$G$3:$G$22-B3042))</f>
        <v/>
      </c>
      <c r="L3042">
        <f>SUMPRODUCT(Calc!$K$3:$K$22*(Calc!$G$3:$G$22&gt;A3042)*(Calc!$G$3:$G$22-A3042)*Calc!$G$3:$G$22)</f>
        <v/>
      </c>
      <c r="M3042">
        <f>SUMPRODUCT(Calc!$K$3:$K$22*(Calc!$G$3:$G$22&gt;B3042)*(Calc!$G$3:$G$22-B3042)*Calc!$G$3:$G$22)</f>
        <v/>
      </c>
      <c r="N3042">
        <f>SUMPRODUCT(Calc!$K$3:$K$22*(Calc!$G$3:$G$22&gt;A3042)*(Calc!$G$3:$G$22-A3042)*Calc!$I$3:$I$22)</f>
        <v/>
      </c>
      <c r="O3042">
        <f>SUMPRODUCT(Calc!$K$3:$K$22*(Calc!$G$3:$G$22&gt;B3042)*(Calc!$G$3:$G$22-B3042)*Calc!$I$3:$I$22)</f>
        <v/>
      </c>
      <c r="P3042">
        <f>I3042-G3042^2/k_n</f>
        <v/>
      </c>
      <c r="Q3042">
        <f>J3042-H3042^2/k_n</f>
        <v/>
      </c>
      <c r="R3042">
        <f>K3042-G3042*H3042/k_n</f>
        <v/>
      </c>
      <c r="S3042">
        <f>L3042-LTP3!$D$3*G3042/k_n</f>
        <v/>
      </c>
      <c r="T3042">
        <f>M3042-LTP3!$D$3*H3042/k_n</f>
        <v/>
      </c>
      <c r="U3042">
        <f>N3042-G3042*LTP3!$D$4/k_n</f>
        <v/>
      </c>
      <c r="V3042">
        <f>O3042-H3042*LTP3!$D$4/k_n</f>
        <v/>
      </c>
      <c r="W3042">
        <f>((LTP3!$D$5)*((P3042)*(Q3042)-(R3042)*(R3042))-(S3042)*((S3042)*(Q3042)-(R3042)*(T3042))+(T3042)*((S3042)*(R3042)-(P3042)*(T3042)))</f>
        <v/>
      </c>
      <c r="X3042">
        <f>IF(ABS(W3042)&gt;1E-12,((LTP3!$D$6)*((P3042)*(Q3042)-(R3042)*(R3042))-(S3042)*((U3042)*(Q3042)-(R3042)*(V3042))+(T3042)*((U3042)*(R3042)-(P3042)*(V3042)))/W3042,0)</f>
        <v/>
      </c>
      <c r="Y3042">
        <f>IF(ABS(W3042)&gt;1E-12,((LTP3!$D$5)*((U3042)*(Q3042)-(R3042)*(V3042))-(LTP3!$D$6)*((S3042)*(Q3042)-(R3042)*(T3042))+(T3042)*((S3042)*(V3042)-(U3042)*(T3042)))/W3042,0)</f>
        <v/>
      </c>
      <c r="Z3042">
        <f>IF(ABS(W3042)&gt;1E-12,((LTP3!$D$5)*((P3042)*(V3042)-(U3042)*(R3042))-(S3042)*((S3042)*(V3042)-(U3042)*(T3042))+(LTP3!$D$6)*((S3042)*(R3042)-(P3042)*(T3042)))/W3042,0)</f>
        <v/>
      </c>
      <c r="AA3042">
        <f>LTP3!$D$7-X3042*LTP3!$D$6-Y3042*U3042-Z3042*V3042</f>
        <v/>
      </c>
      <c r="AB3042">
        <f>IF(AND(F3042,ABS(W3042)&gt;1E-12,Y3042&gt;0,Z3042&gt;0),AA3042,1E+300)</f>
        <v/>
      </c>
    </row>
    <row r="3043">
      <c r="A3043">
        <f>$B$3+$B$5*49</f>
        <v/>
      </c>
      <c r="B3043">
        <f>$B$3+$B$5*42</f>
        <v/>
      </c>
      <c r="C3043">
        <f>SUMPRODUCT(Calc!$K$3:$K$22*(Calc!$G$3:$G$22&lt;=A3043))</f>
        <v/>
      </c>
      <c r="D3043">
        <f>SUMPRODUCT(Calc!$K$3:$K$22*(Calc!$G$3:$G$22&gt;A3043)*(Calc!$G$3:$G$22&lt;B3043))</f>
        <v/>
      </c>
      <c r="E3043">
        <f>SUMPRODUCT(Calc!$K$3:$K$22*(Calc!$G$3:$G$22&gt;=B3043))</f>
        <v/>
      </c>
      <c r="F3043">
        <f>AND(k_n&gt;=5,B3043&gt;A3043+1E-9,C3043&gt;=2,D3043&gt;=1,E3043&gt;=2)</f>
        <v/>
      </c>
      <c r="G3043">
        <f>SUMPRODUCT(Calc!$K$3:$K$22*(Calc!$G$3:$G$22&gt;A3043)*(Calc!$G$3:$G$22-A3043))</f>
        <v/>
      </c>
      <c r="H3043">
        <f>SUMPRODUCT(Calc!$K$3:$K$22*(Calc!$G$3:$G$22&gt;B3043)*(Calc!$G$3:$G$22-B3043))</f>
        <v/>
      </c>
      <c r="I3043">
        <f>SUMPRODUCT(Calc!$K$3:$K$22*(Calc!$G$3:$G$22&gt;A3043)*(Calc!$G$3:$G$22-A3043)^2)</f>
        <v/>
      </c>
      <c r="J3043">
        <f>SUMPRODUCT(Calc!$K$3:$K$22*(Calc!$G$3:$G$22&gt;B3043)*(Calc!$G$3:$G$22-B3043)^2)</f>
        <v/>
      </c>
      <c r="K3043">
        <f>SUMPRODUCT(Calc!$K$3:$K$22*(Calc!$G$3:$G$22&gt;A3043)*(Calc!$G$3:$G$22-A3043)*(Calc!$G$3:$G$22&gt;B3043)*(Calc!$G$3:$G$22-B3043))</f>
        <v/>
      </c>
      <c r="L3043">
        <f>SUMPRODUCT(Calc!$K$3:$K$22*(Calc!$G$3:$G$22&gt;A3043)*(Calc!$G$3:$G$22-A3043)*Calc!$G$3:$G$22)</f>
        <v/>
      </c>
      <c r="M3043">
        <f>SUMPRODUCT(Calc!$K$3:$K$22*(Calc!$G$3:$G$22&gt;B3043)*(Calc!$G$3:$G$22-B3043)*Calc!$G$3:$G$22)</f>
        <v/>
      </c>
      <c r="N3043">
        <f>SUMPRODUCT(Calc!$K$3:$K$22*(Calc!$G$3:$G$22&gt;A3043)*(Calc!$G$3:$G$22-A3043)*Calc!$I$3:$I$22)</f>
        <v/>
      </c>
      <c r="O3043">
        <f>SUMPRODUCT(Calc!$K$3:$K$22*(Calc!$G$3:$G$22&gt;B3043)*(Calc!$G$3:$G$22-B3043)*Calc!$I$3:$I$22)</f>
        <v/>
      </c>
      <c r="P3043">
        <f>I3043-G3043^2/k_n</f>
        <v/>
      </c>
      <c r="Q3043">
        <f>J3043-H3043^2/k_n</f>
        <v/>
      </c>
      <c r="R3043">
        <f>K3043-G3043*H3043/k_n</f>
        <v/>
      </c>
      <c r="S3043">
        <f>L3043-LTP3!$D$3*G3043/k_n</f>
        <v/>
      </c>
      <c r="T3043">
        <f>M3043-LTP3!$D$3*H3043/k_n</f>
        <v/>
      </c>
      <c r="U3043">
        <f>N3043-G3043*LTP3!$D$4/k_n</f>
        <v/>
      </c>
      <c r="V3043">
        <f>O3043-H3043*LTP3!$D$4/k_n</f>
        <v/>
      </c>
      <c r="W3043">
        <f>((LTP3!$D$5)*((P3043)*(Q3043)-(R3043)*(R3043))-(S3043)*((S3043)*(Q3043)-(R3043)*(T3043))+(T3043)*((S3043)*(R3043)-(P3043)*(T3043)))</f>
        <v/>
      </c>
      <c r="X3043">
        <f>IF(ABS(W3043)&gt;1E-12,((LTP3!$D$6)*((P3043)*(Q3043)-(R3043)*(R3043))-(S3043)*((U3043)*(Q3043)-(R3043)*(V3043))+(T3043)*((U3043)*(R3043)-(P3043)*(V3043)))/W3043,0)</f>
        <v/>
      </c>
      <c r="Y3043">
        <f>IF(ABS(W3043)&gt;1E-12,((LTP3!$D$5)*((U3043)*(Q3043)-(R3043)*(V3043))-(LTP3!$D$6)*((S3043)*(Q3043)-(R3043)*(T3043))+(T3043)*((S3043)*(V3043)-(U3043)*(T3043)))/W3043,0)</f>
        <v/>
      </c>
      <c r="Z3043">
        <f>IF(ABS(W3043)&gt;1E-12,((LTP3!$D$5)*((P3043)*(V3043)-(U3043)*(R3043))-(S3043)*((S3043)*(V3043)-(U3043)*(T3043))+(LTP3!$D$6)*((S3043)*(R3043)-(P3043)*(T3043)))/W3043,0)</f>
        <v/>
      </c>
      <c r="AA3043">
        <f>LTP3!$D$7-X3043*LTP3!$D$6-Y3043*U3043-Z3043*V3043</f>
        <v/>
      </c>
      <c r="AB3043">
        <f>IF(AND(F3043,ABS(W3043)&gt;1E-12,Y3043&gt;0,Z3043&gt;0),AA3043,1E+300)</f>
        <v/>
      </c>
    </row>
    <row r="3044">
      <c r="A3044">
        <f>$B$3+$B$5*49</f>
        <v/>
      </c>
      <c r="B3044">
        <f>$B$3+$B$5*43</f>
        <v/>
      </c>
      <c r="C3044">
        <f>SUMPRODUCT(Calc!$K$3:$K$22*(Calc!$G$3:$G$22&lt;=A3044))</f>
        <v/>
      </c>
      <c r="D3044">
        <f>SUMPRODUCT(Calc!$K$3:$K$22*(Calc!$G$3:$G$22&gt;A3044)*(Calc!$G$3:$G$22&lt;B3044))</f>
        <v/>
      </c>
      <c r="E3044">
        <f>SUMPRODUCT(Calc!$K$3:$K$22*(Calc!$G$3:$G$22&gt;=B3044))</f>
        <v/>
      </c>
      <c r="F3044">
        <f>AND(k_n&gt;=5,B3044&gt;A3044+1E-9,C3044&gt;=2,D3044&gt;=1,E3044&gt;=2)</f>
        <v/>
      </c>
      <c r="G3044">
        <f>SUMPRODUCT(Calc!$K$3:$K$22*(Calc!$G$3:$G$22&gt;A3044)*(Calc!$G$3:$G$22-A3044))</f>
        <v/>
      </c>
      <c r="H3044">
        <f>SUMPRODUCT(Calc!$K$3:$K$22*(Calc!$G$3:$G$22&gt;B3044)*(Calc!$G$3:$G$22-B3044))</f>
        <v/>
      </c>
      <c r="I3044">
        <f>SUMPRODUCT(Calc!$K$3:$K$22*(Calc!$G$3:$G$22&gt;A3044)*(Calc!$G$3:$G$22-A3044)^2)</f>
        <v/>
      </c>
      <c r="J3044">
        <f>SUMPRODUCT(Calc!$K$3:$K$22*(Calc!$G$3:$G$22&gt;B3044)*(Calc!$G$3:$G$22-B3044)^2)</f>
        <v/>
      </c>
      <c r="K3044">
        <f>SUMPRODUCT(Calc!$K$3:$K$22*(Calc!$G$3:$G$22&gt;A3044)*(Calc!$G$3:$G$22-A3044)*(Calc!$G$3:$G$22&gt;B3044)*(Calc!$G$3:$G$22-B3044))</f>
        <v/>
      </c>
      <c r="L3044">
        <f>SUMPRODUCT(Calc!$K$3:$K$22*(Calc!$G$3:$G$22&gt;A3044)*(Calc!$G$3:$G$22-A3044)*Calc!$G$3:$G$22)</f>
        <v/>
      </c>
      <c r="M3044">
        <f>SUMPRODUCT(Calc!$K$3:$K$22*(Calc!$G$3:$G$22&gt;B3044)*(Calc!$G$3:$G$22-B3044)*Calc!$G$3:$G$22)</f>
        <v/>
      </c>
      <c r="N3044">
        <f>SUMPRODUCT(Calc!$K$3:$K$22*(Calc!$G$3:$G$22&gt;A3044)*(Calc!$G$3:$G$22-A3044)*Calc!$I$3:$I$22)</f>
        <v/>
      </c>
      <c r="O3044">
        <f>SUMPRODUCT(Calc!$K$3:$K$22*(Calc!$G$3:$G$22&gt;B3044)*(Calc!$G$3:$G$22-B3044)*Calc!$I$3:$I$22)</f>
        <v/>
      </c>
      <c r="P3044">
        <f>I3044-G3044^2/k_n</f>
        <v/>
      </c>
      <c r="Q3044">
        <f>J3044-H3044^2/k_n</f>
        <v/>
      </c>
      <c r="R3044">
        <f>K3044-G3044*H3044/k_n</f>
        <v/>
      </c>
      <c r="S3044">
        <f>L3044-LTP3!$D$3*G3044/k_n</f>
        <v/>
      </c>
      <c r="T3044">
        <f>M3044-LTP3!$D$3*H3044/k_n</f>
        <v/>
      </c>
      <c r="U3044">
        <f>N3044-G3044*LTP3!$D$4/k_n</f>
        <v/>
      </c>
      <c r="V3044">
        <f>O3044-H3044*LTP3!$D$4/k_n</f>
        <v/>
      </c>
      <c r="W3044">
        <f>((LTP3!$D$5)*((P3044)*(Q3044)-(R3044)*(R3044))-(S3044)*((S3044)*(Q3044)-(R3044)*(T3044))+(T3044)*((S3044)*(R3044)-(P3044)*(T3044)))</f>
        <v/>
      </c>
      <c r="X3044">
        <f>IF(ABS(W3044)&gt;1E-12,((LTP3!$D$6)*((P3044)*(Q3044)-(R3044)*(R3044))-(S3044)*((U3044)*(Q3044)-(R3044)*(V3044))+(T3044)*((U3044)*(R3044)-(P3044)*(V3044)))/W3044,0)</f>
        <v/>
      </c>
      <c r="Y3044">
        <f>IF(ABS(W3044)&gt;1E-12,((LTP3!$D$5)*((U3044)*(Q3044)-(R3044)*(V3044))-(LTP3!$D$6)*((S3044)*(Q3044)-(R3044)*(T3044))+(T3044)*((S3044)*(V3044)-(U3044)*(T3044)))/W3044,0)</f>
        <v/>
      </c>
      <c r="Z3044">
        <f>IF(ABS(W3044)&gt;1E-12,((LTP3!$D$5)*((P3044)*(V3044)-(U3044)*(R3044))-(S3044)*((S3044)*(V3044)-(U3044)*(T3044))+(LTP3!$D$6)*((S3044)*(R3044)-(P3044)*(T3044)))/W3044,0)</f>
        <v/>
      </c>
      <c r="AA3044">
        <f>LTP3!$D$7-X3044*LTP3!$D$6-Y3044*U3044-Z3044*V3044</f>
        <v/>
      </c>
      <c r="AB3044">
        <f>IF(AND(F3044,ABS(W3044)&gt;1E-12,Y3044&gt;0,Z3044&gt;0),AA3044,1E+300)</f>
        <v/>
      </c>
    </row>
    <row r="3045">
      <c r="A3045">
        <f>$B$3+$B$5*49</f>
        <v/>
      </c>
      <c r="B3045">
        <f>$B$3+$B$5*44</f>
        <v/>
      </c>
      <c r="C3045">
        <f>SUMPRODUCT(Calc!$K$3:$K$22*(Calc!$G$3:$G$22&lt;=A3045))</f>
        <v/>
      </c>
      <c r="D3045">
        <f>SUMPRODUCT(Calc!$K$3:$K$22*(Calc!$G$3:$G$22&gt;A3045)*(Calc!$G$3:$G$22&lt;B3045))</f>
        <v/>
      </c>
      <c r="E3045">
        <f>SUMPRODUCT(Calc!$K$3:$K$22*(Calc!$G$3:$G$22&gt;=B3045))</f>
        <v/>
      </c>
      <c r="F3045">
        <f>AND(k_n&gt;=5,B3045&gt;A3045+1E-9,C3045&gt;=2,D3045&gt;=1,E3045&gt;=2)</f>
        <v/>
      </c>
      <c r="G3045">
        <f>SUMPRODUCT(Calc!$K$3:$K$22*(Calc!$G$3:$G$22&gt;A3045)*(Calc!$G$3:$G$22-A3045))</f>
        <v/>
      </c>
      <c r="H3045">
        <f>SUMPRODUCT(Calc!$K$3:$K$22*(Calc!$G$3:$G$22&gt;B3045)*(Calc!$G$3:$G$22-B3045))</f>
        <v/>
      </c>
      <c r="I3045">
        <f>SUMPRODUCT(Calc!$K$3:$K$22*(Calc!$G$3:$G$22&gt;A3045)*(Calc!$G$3:$G$22-A3045)^2)</f>
        <v/>
      </c>
      <c r="J3045">
        <f>SUMPRODUCT(Calc!$K$3:$K$22*(Calc!$G$3:$G$22&gt;B3045)*(Calc!$G$3:$G$22-B3045)^2)</f>
        <v/>
      </c>
      <c r="K3045">
        <f>SUMPRODUCT(Calc!$K$3:$K$22*(Calc!$G$3:$G$22&gt;A3045)*(Calc!$G$3:$G$22-A3045)*(Calc!$G$3:$G$22&gt;B3045)*(Calc!$G$3:$G$22-B3045))</f>
        <v/>
      </c>
      <c r="L3045">
        <f>SUMPRODUCT(Calc!$K$3:$K$22*(Calc!$G$3:$G$22&gt;A3045)*(Calc!$G$3:$G$22-A3045)*Calc!$G$3:$G$22)</f>
        <v/>
      </c>
      <c r="M3045">
        <f>SUMPRODUCT(Calc!$K$3:$K$22*(Calc!$G$3:$G$22&gt;B3045)*(Calc!$G$3:$G$22-B3045)*Calc!$G$3:$G$22)</f>
        <v/>
      </c>
      <c r="N3045">
        <f>SUMPRODUCT(Calc!$K$3:$K$22*(Calc!$G$3:$G$22&gt;A3045)*(Calc!$G$3:$G$22-A3045)*Calc!$I$3:$I$22)</f>
        <v/>
      </c>
      <c r="O3045">
        <f>SUMPRODUCT(Calc!$K$3:$K$22*(Calc!$G$3:$G$22&gt;B3045)*(Calc!$G$3:$G$22-B3045)*Calc!$I$3:$I$22)</f>
        <v/>
      </c>
      <c r="P3045">
        <f>I3045-G3045^2/k_n</f>
        <v/>
      </c>
      <c r="Q3045">
        <f>J3045-H3045^2/k_n</f>
        <v/>
      </c>
      <c r="R3045">
        <f>K3045-G3045*H3045/k_n</f>
        <v/>
      </c>
      <c r="S3045">
        <f>L3045-LTP3!$D$3*G3045/k_n</f>
        <v/>
      </c>
      <c r="T3045">
        <f>M3045-LTP3!$D$3*H3045/k_n</f>
        <v/>
      </c>
      <c r="U3045">
        <f>N3045-G3045*LTP3!$D$4/k_n</f>
        <v/>
      </c>
      <c r="V3045">
        <f>O3045-H3045*LTP3!$D$4/k_n</f>
        <v/>
      </c>
      <c r="W3045">
        <f>((LTP3!$D$5)*((P3045)*(Q3045)-(R3045)*(R3045))-(S3045)*((S3045)*(Q3045)-(R3045)*(T3045))+(T3045)*((S3045)*(R3045)-(P3045)*(T3045)))</f>
        <v/>
      </c>
      <c r="X3045">
        <f>IF(ABS(W3045)&gt;1E-12,((LTP3!$D$6)*((P3045)*(Q3045)-(R3045)*(R3045))-(S3045)*((U3045)*(Q3045)-(R3045)*(V3045))+(T3045)*((U3045)*(R3045)-(P3045)*(V3045)))/W3045,0)</f>
        <v/>
      </c>
      <c r="Y3045">
        <f>IF(ABS(W3045)&gt;1E-12,((LTP3!$D$5)*((U3045)*(Q3045)-(R3045)*(V3045))-(LTP3!$D$6)*((S3045)*(Q3045)-(R3045)*(T3045))+(T3045)*((S3045)*(V3045)-(U3045)*(T3045)))/W3045,0)</f>
        <v/>
      </c>
      <c r="Z3045">
        <f>IF(ABS(W3045)&gt;1E-12,((LTP3!$D$5)*((P3045)*(V3045)-(U3045)*(R3045))-(S3045)*((S3045)*(V3045)-(U3045)*(T3045))+(LTP3!$D$6)*((S3045)*(R3045)-(P3045)*(T3045)))/W3045,0)</f>
        <v/>
      </c>
      <c r="AA3045">
        <f>LTP3!$D$7-X3045*LTP3!$D$6-Y3045*U3045-Z3045*V3045</f>
        <v/>
      </c>
      <c r="AB3045">
        <f>IF(AND(F3045,ABS(W3045)&gt;1E-12,Y3045&gt;0,Z3045&gt;0),AA3045,1E+300)</f>
        <v/>
      </c>
    </row>
    <row r="3046">
      <c r="A3046">
        <f>$B$3+$B$5*49</f>
        <v/>
      </c>
      <c r="B3046">
        <f>$B$3+$B$5*45</f>
        <v/>
      </c>
      <c r="C3046">
        <f>SUMPRODUCT(Calc!$K$3:$K$22*(Calc!$G$3:$G$22&lt;=A3046))</f>
        <v/>
      </c>
      <c r="D3046">
        <f>SUMPRODUCT(Calc!$K$3:$K$22*(Calc!$G$3:$G$22&gt;A3046)*(Calc!$G$3:$G$22&lt;B3046))</f>
        <v/>
      </c>
      <c r="E3046">
        <f>SUMPRODUCT(Calc!$K$3:$K$22*(Calc!$G$3:$G$22&gt;=B3046))</f>
        <v/>
      </c>
      <c r="F3046">
        <f>AND(k_n&gt;=5,B3046&gt;A3046+1E-9,C3046&gt;=2,D3046&gt;=1,E3046&gt;=2)</f>
        <v/>
      </c>
      <c r="G3046">
        <f>SUMPRODUCT(Calc!$K$3:$K$22*(Calc!$G$3:$G$22&gt;A3046)*(Calc!$G$3:$G$22-A3046))</f>
        <v/>
      </c>
      <c r="H3046">
        <f>SUMPRODUCT(Calc!$K$3:$K$22*(Calc!$G$3:$G$22&gt;B3046)*(Calc!$G$3:$G$22-B3046))</f>
        <v/>
      </c>
      <c r="I3046">
        <f>SUMPRODUCT(Calc!$K$3:$K$22*(Calc!$G$3:$G$22&gt;A3046)*(Calc!$G$3:$G$22-A3046)^2)</f>
        <v/>
      </c>
      <c r="J3046">
        <f>SUMPRODUCT(Calc!$K$3:$K$22*(Calc!$G$3:$G$22&gt;B3046)*(Calc!$G$3:$G$22-B3046)^2)</f>
        <v/>
      </c>
      <c r="K3046">
        <f>SUMPRODUCT(Calc!$K$3:$K$22*(Calc!$G$3:$G$22&gt;A3046)*(Calc!$G$3:$G$22-A3046)*(Calc!$G$3:$G$22&gt;B3046)*(Calc!$G$3:$G$22-B3046))</f>
        <v/>
      </c>
      <c r="L3046">
        <f>SUMPRODUCT(Calc!$K$3:$K$22*(Calc!$G$3:$G$22&gt;A3046)*(Calc!$G$3:$G$22-A3046)*Calc!$G$3:$G$22)</f>
        <v/>
      </c>
      <c r="M3046">
        <f>SUMPRODUCT(Calc!$K$3:$K$22*(Calc!$G$3:$G$22&gt;B3046)*(Calc!$G$3:$G$22-B3046)*Calc!$G$3:$G$22)</f>
        <v/>
      </c>
      <c r="N3046">
        <f>SUMPRODUCT(Calc!$K$3:$K$22*(Calc!$G$3:$G$22&gt;A3046)*(Calc!$G$3:$G$22-A3046)*Calc!$I$3:$I$22)</f>
        <v/>
      </c>
      <c r="O3046">
        <f>SUMPRODUCT(Calc!$K$3:$K$22*(Calc!$G$3:$G$22&gt;B3046)*(Calc!$G$3:$G$22-B3046)*Calc!$I$3:$I$22)</f>
        <v/>
      </c>
      <c r="P3046">
        <f>I3046-G3046^2/k_n</f>
        <v/>
      </c>
      <c r="Q3046">
        <f>J3046-H3046^2/k_n</f>
        <v/>
      </c>
      <c r="R3046">
        <f>K3046-G3046*H3046/k_n</f>
        <v/>
      </c>
      <c r="S3046">
        <f>L3046-LTP3!$D$3*G3046/k_n</f>
        <v/>
      </c>
      <c r="T3046">
        <f>M3046-LTP3!$D$3*H3046/k_n</f>
        <v/>
      </c>
      <c r="U3046">
        <f>N3046-G3046*LTP3!$D$4/k_n</f>
        <v/>
      </c>
      <c r="V3046">
        <f>O3046-H3046*LTP3!$D$4/k_n</f>
        <v/>
      </c>
      <c r="W3046">
        <f>((LTP3!$D$5)*((P3046)*(Q3046)-(R3046)*(R3046))-(S3046)*((S3046)*(Q3046)-(R3046)*(T3046))+(T3046)*((S3046)*(R3046)-(P3046)*(T3046)))</f>
        <v/>
      </c>
      <c r="X3046">
        <f>IF(ABS(W3046)&gt;1E-12,((LTP3!$D$6)*((P3046)*(Q3046)-(R3046)*(R3046))-(S3046)*((U3046)*(Q3046)-(R3046)*(V3046))+(T3046)*((U3046)*(R3046)-(P3046)*(V3046)))/W3046,0)</f>
        <v/>
      </c>
      <c r="Y3046">
        <f>IF(ABS(W3046)&gt;1E-12,((LTP3!$D$5)*((U3046)*(Q3046)-(R3046)*(V3046))-(LTP3!$D$6)*((S3046)*(Q3046)-(R3046)*(T3046))+(T3046)*((S3046)*(V3046)-(U3046)*(T3046)))/W3046,0)</f>
        <v/>
      </c>
      <c r="Z3046">
        <f>IF(ABS(W3046)&gt;1E-12,((LTP3!$D$5)*((P3046)*(V3046)-(U3046)*(R3046))-(S3046)*((S3046)*(V3046)-(U3046)*(T3046))+(LTP3!$D$6)*((S3046)*(R3046)-(P3046)*(T3046)))/W3046,0)</f>
        <v/>
      </c>
      <c r="AA3046">
        <f>LTP3!$D$7-X3046*LTP3!$D$6-Y3046*U3046-Z3046*V3046</f>
        <v/>
      </c>
      <c r="AB3046">
        <f>IF(AND(F3046,ABS(W3046)&gt;1E-12,Y3046&gt;0,Z3046&gt;0),AA3046,1E+300)</f>
        <v/>
      </c>
    </row>
    <row r="3047">
      <c r="A3047">
        <f>$B$3+$B$5*49</f>
        <v/>
      </c>
      <c r="B3047">
        <f>$B$3+$B$5*46</f>
        <v/>
      </c>
      <c r="C3047">
        <f>SUMPRODUCT(Calc!$K$3:$K$22*(Calc!$G$3:$G$22&lt;=A3047))</f>
        <v/>
      </c>
      <c r="D3047">
        <f>SUMPRODUCT(Calc!$K$3:$K$22*(Calc!$G$3:$G$22&gt;A3047)*(Calc!$G$3:$G$22&lt;B3047))</f>
        <v/>
      </c>
      <c r="E3047">
        <f>SUMPRODUCT(Calc!$K$3:$K$22*(Calc!$G$3:$G$22&gt;=B3047))</f>
        <v/>
      </c>
      <c r="F3047">
        <f>AND(k_n&gt;=5,B3047&gt;A3047+1E-9,C3047&gt;=2,D3047&gt;=1,E3047&gt;=2)</f>
        <v/>
      </c>
      <c r="G3047">
        <f>SUMPRODUCT(Calc!$K$3:$K$22*(Calc!$G$3:$G$22&gt;A3047)*(Calc!$G$3:$G$22-A3047))</f>
        <v/>
      </c>
      <c r="H3047">
        <f>SUMPRODUCT(Calc!$K$3:$K$22*(Calc!$G$3:$G$22&gt;B3047)*(Calc!$G$3:$G$22-B3047))</f>
        <v/>
      </c>
      <c r="I3047">
        <f>SUMPRODUCT(Calc!$K$3:$K$22*(Calc!$G$3:$G$22&gt;A3047)*(Calc!$G$3:$G$22-A3047)^2)</f>
        <v/>
      </c>
      <c r="J3047">
        <f>SUMPRODUCT(Calc!$K$3:$K$22*(Calc!$G$3:$G$22&gt;B3047)*(Calc!$G$3:$G$22-B3047)^2)</f>
        <v/>
      </c>
      <c r="K3047">
        <f>SUMPRODUCT(Calc!$K$3:$K$22*(Calc!$G$3:$G$22&gt;A3047)*(Calc!$G$3:$G$22-A3047)*(Calc!$G$3:$G$22&gt;B3047)*(Calc!$G$3:$G$22-B3047))</f>
        <v/>
      </c>
      <c r="L3047">
        <f>SUMPRODUCT(Calc!$K$3:$K$22*(Calc!$G$3:$G$22&gt;A3047)*(Calc!$G$3:$G$22-A3047)*Calc!$G$3:$G$22)</f>
        <v/>
      </c>
      <c r="M3047">
        <f>SUMPRODUCT(Calc!$K$3:$K$22*(Calc!$G$3:$G$22&gt;B3047)*(Calc!$G$3:$G$22-B3047)*Calc!$G$3:$G$22)</f>
        <v/>
      </c>
      <c r="N3047">
        <f>SUMPRODUCT(Calc!$K$3:$K$22*(Calc!$G$3:$G$22&gt;A3047)*(Calc!$G$3:$G$22-A3047)*Calc!$I$3:$I$22)</f>
        <v/>
      </c>
      <c r="O3047">
        <f>SUMPRODUCT(Calc!$K$3:$K$22*(Calc!$G$3:$G$22&gt;B3047)*(Calc!$G$3:$G$22-B3047)*Calc!$I$3:$I$22)</f>
        <v/>
      </c>
      <c r="P3047">
        <f>I3047-G3047^2/k_n</f>
        <v/>
      </c>
      <c r="Q3047">
        <f>J3047-H3047^2/k_n</f>
        <v/>
      </c>
      <c r="R3047">
        <f>K3047-G3047*H3047/k_n</f>
        <v/>
      </c>
      <c r="S3047">
        <f>L3047-LTP3!$D$3*G3047/k_n</f>
        <v/>
      </c>
      <c r="T3047">
        <f>M3047-LTP3!$D$3*H3047/k_n</f>
        <v/>
      </c>
      <c r="U3047">
        <f>N3047-G3047*LTP3!$D$4/k_n</f>
        <v/>
      </c>
      <c r="V3047">
        <f>O3047-H3047*LTP3!$D$4/k_n</f>
        <v/>
      </c>
      <c r="W3047">
        <f>((LTP3!$D$5)*((P3047)*(Q3047)-(R3047)*(R3047))-(S3047)*((S3047)*(Q3047)-(R3047)*(T3047))+(T3047)*((S3047)*(R3047)-(P3047)*(T3047)))</f>
        <v/>
      </c>
      <c r="X3047">
        <f>IF(ABS(W3047)&gt;1E-12,((LTP3!$D$6)*((P3047)*(Q3047)-(R3047)*(R3047))-(S3047)*((U3047)*(Q3047)-(R3047)*(V3047))+(T3047)*((U3047)*(R3047)-(P3047)*(V3047)))/W3047,0)</f>
        <v/>
      </c>
      <c r="Y3047">
        <f>IF(ABS(W3047)&gt;1E-12,((LTP3!$D$5)*((U3047)*(Q3047)-(R3047)*(V3047))-(LTP3!$D$6)*((S3047)*(Q3047)-(R3047)*(T3047))+(T3047)*((S3047)*(V3047)-(U3047)*(T3047)))/W3047,0)</f>
        <v/>
      </c>
      <c r="Z3047">
        <f>IF(ABS(W3047)&gt;1E-12,((LTP3!$D$5)*((P3047)*(V3047)-(U3047)*(R3047))-(S3047)*((S3047)*(V3047)-(U3047)*(T3047))+(LTP3!$D$6)*((S3047)*(R3047)-(P3047)*(T3047)))/W3047,0)</f>
        <v/>
      </c>
      <c r="AA3047">
        <f>LTP3!$D$7-X3047*LTP3!$D$6-Y3047*U3047-Z3047*V3047</f>
        <v/>
      </c>
      <c r="AB3047">
        <f>IF(AND(F3047,ABS(W3047)&gt;1E-12,Y3047&gt;0,Z3047&gt;0),AA3047,1E+300)</f>
        <v/>
      </c>
    </row>
    <row r="3048">
      <c r="A3048">
        <f>$B$3+$B$5*49</f>
        <v/>
      </c>
      <c r="B3048">
        <f>$B$3+$B$5*47</f>
        <v/>
      </c>
      <c r="C3048">
        <f>SUMPRODUCT(Calc!$K$3:$K$22*(Calc!$G$3:$G$22&lt;=A3048))</f>
        <v/>
      </c>
      <c r="D3048">
        <f>SUMPRODUCT(Calc!$K$3:$K$22*(Calc!$G$3:$G$22&gt;A3048)*(Calc!$G$3:$G$22&lt;B3048))</f>
        <v/>
      </c>
      <c r="E3048">
        <f>SUMPRODUCT(Calc!$K$3:$K$22*(Calc!$G$3:$G$22&gt;=B3048))</f>
        <v/>
      </c>
      <c r="F3048">
        <f>AND(k_n&gt;=5,B3048&gt;A3048+1E-9,C3048&gt;=2,D3048&gt;=1,E3048&gt;=2)</f>
        <v/>
      </c>
      <c r="G3048">
        <f>SUMPRODUCT(Calc!$K$3:$K$22*(Calc!$G$3:$G$22&gt;A3048)*(Calc!$G$3:$G$22-A3048))</f>
        <v/>
      </c>
      <c r="H3048">
        <f>SUMPRODUCT(Calc!$K$3:$K$22*(Calc!$G$3:$G$22&gt;B3048)*(Calc!$G$3:$G$22-B3048))</f>
        <v/>
      </c>
      <c r="I3048">
        <f>SUMPRODUCT(Calc!$K$3:$K$22*(Calc!$G$3:$G$22&gt;A3048)*(Calc!$G$3:$G$22-A3048)^2)</f>
        <v/>
      </c>
      <c r="J3048">
        <f>SUMPRODUCT(Calc!$K$3:$K$22*(Calc!$G$3:$G$22&gt;B3048)*(Calc!$G$3:$G$22-B3048)^2)</f>
        <v/>
      </c>
      <c r="K3048">
        <f>SUMPRODUCT(Calc!$K$3:$K$22*(Calc!$G$3:$G$22&gt;A3048)*(Calc!$G$3:$G$22-A3048)*(Calc!$G$3:$G$22&gt;B3048)*(Calc!$G$3:$G$22-B3048))</f>
        <v/>
      </c>
      <c r="L3048">
        <f>SUMPRODUCT(Calc!$K$3:$K$22*(Calc!$G$3:$G$22&gt;A3048)*(Calc!$G$3:$G$22-A3048)*Calc!$G$3:$G$22)</f>
        <v/>
      </c>
      <c r="M3048">
        <f>SUMPRODUCT(Calc!$K$3:$K$22*(Calc!$G$3:$G$22&gt;B3048)*(Calc!$G$3:$G$22-B3048)*Calc!$G$3:$G$22)</f>
        <v/>
      </c>
      <c r="N3048">
        <f>SUMPRODUCT(Calc!$K$3:$K$22*(Calc!$G$3:$G$22&gt;A3048)*(Calc!$G$3:$G$22-A3048)*Calc!$I$3:$I$22)</f>
        <v/>
      </c>
      <c r="O3048">
        <f>SUMPRODUCT(Calc!$K$3:$K$22*(Calc!$G$3:$G$22&gt;B3048)*(Calc!$G$3:$G$22-B3048)*Calc!$I$3:$I$22)</f>
        <v/>
      </c>
      <c r="P3048">
        <f>I3048-G3048^2/k_n</f>
        <v/>
      </c>
      <c r="Q3048">
        <f>J3048-H3048^2/k_n</f>
        <v/>
      </c>
      <c r="R3048">
        <f>K3048-G3048*H3048/k_n</f>
        <v/>
      </c>
      <c r="S3048">
        <f>L3048-LTP3!$D$3*G3048/k_n</f>
        <v/>
      </c>
      <c r="T3048">
        <f>M3048-LTP3!$D$3*H3048/k_n</f>
        <v/>
      </c>
      <c r="U3048">
        <f>N3048-G3048*LTP3!$D$4/k_n</f>
        <v/>
      </c>
      <c r="V3048">
        <f>O3048-H3048*LTP3!$D$4/k_n</f>
        <v/>
      </c>
      <c r="W3048">
        <f>((LTP3!$D$5)*((P3048)*(Q3048)-(R3048)*(R3048))-(S3048)*((S3048)*(Q3048)-(R3048)*(T3048))+(T3048)*((S3048)*(R3048)-(P3048)*(T3048)))</f>
        <v/>
      </c>
      <c r="X3048">
        <f>IF(ABS(W3048)&gt;1E-12,((LTP3!$D$6)*((P3048)*(Q3048)-(R3048)*(R3048))-(S3048)*((U3048)*(Q3048)-(R3048)*(V3048))+(T3048)*((U3048)*(R3048)-(P3048)*(V3048)))/W3048,0)</f>
        <v/>
      </c>
      <c r="Y3048">
        <f>IF(ABS(W3048)&gt;1E-12,((LTP3!$D$5)*((U3048)*(Q3048)-(R3048)*(V3048))-(LTP3!$D$6)*((S3048)*(Q3048)-(R3048)*(T3048))+(T3048)*((S3048)*(V3048)-(U3048)*(T3048)))/W3048,0)</f>
        <v/>
      </c>
      <c r="Z3048">
        <f>IF(ABS(W3048)&gt;1E-12,((LTP3!$D$5)*((P3048)*(V3048)-(U3048)*(R3048))-(S3048)*((S3048)*(V3048)-(U3048)*(T3048))+(LTP3!$D$6)*((S3048)*(R3048)-(P3048)*(T3048)))/W3048,0)</f>
        <v/>
      </c>
      <c r="AA3048">
        <f>LTP3!$D$7-X3048*LTP3!$D$6-Y3048*U3048-Z3048*V3048</f>
        <v/>
      </c>
      <c r="AB3048">
        <f>IF(AND(F3048,ABS(W3048)&gt;1E-12,Y3048&gt;0,Z3048&gt;0),AA3048,1E+300)</f>
        <v/>
      </c>
    </row>
    <row r="3049">
      <c r="A3049">
        <f>$B$3+$B$5*49</f>
        <v/>
      </c>
      <c r="B3049">
        <f>$B$3+$B$5*48</f>
        <v/>
      </c>
      <c r="C3049">
        <f>SUMPRODUCT(Calc!$K$3:$K$22*(Calc!$G$3:$G$22&lt;=A3049))</f>
        <v/>
      </c>
      <c r="D3049">
        <f>SUMPRODUCT(Calc!$K$3:$K$22*(Calc!$G$3:$G$22&gt;A3049)*(Calc!$G$3:$G$22&lt;B3049))</f>
        <v/>
      </c>
      <c r="E3049">
        <f>SUMPRODUCT(Calc!$K$3:$K$22*(Calc!$G$3:$G$22&gt;=B3049))</f>
        <v/>
      </c>
      <c r="F3049">
        <f>AND(k_n&gt;=5,B3049&gt;A3049+1E-9,C3049&gt;=2,D3049&gt;=1,E3049&gt;=2)</f>
        <v/>
      </c>
      <c r="G3049">
        <f>SUMPRODUCT(Calc!$K$3:$K$22*(Calc!$G$3:$G$22&gt;A3049)*(Calc!$G$3:$G$22-A3049))</f>
        <v/>
      </c>
      <c r="H3049">
        <f>SUMPRODUCT(Calc!$K$3:$K$22*(Calc!$G$3:$G$22&gt;B3049)*(Calc!$G$3:$G$22-B3049))</f>
        <v/>
      </c>
      <c r="I3049">
        <f>SUMPRODUCT(Calc!$K$3:$K$22*(Calc!$G$3:$G$22&gt;A3049)*(Calc!$G$3:$G$22-A3049)^2)</f>
        <v/>
      </c>
      <c r="J3049">
        <f>SUMPRODUCT(Calc!$K$3:$K$22*(Calc!$G$3:$G$22&gt;B3049)*(Calc!$G$3:$G$22-B3049)^2)</f>
        <v/>
      </c>
      <c r="K3049">
        <f>SUMPRODUCT(Calc!$K$3:$K$22*(Calc!$G$3:$G$22&gt;A3049)*(Calc!$G$3:$G$22-A3049)*(Calc!$G$3:$G$22&gt;B3049)*(Calc!$G$3:$G$22-B3049))</f>
        <v/>
      </c>
      <c r="L3049">
        <f>SUMPRODUCT(Calc!$K$3:$K$22*(Calc!$G$3:$G$22&gt;A3049)*(Calc!$G$3:$G$22-A3049)*Calc!$G$3:$G$22)</f>
        <v/>
      </c>
      <c r="M3049">
        <f>SUMPRODUCT(Calc!$K$3:$K$22*(Calc!$G$3:$G$22&gt;B3049)*(Calc!$G$3:$G$22-B3049)*Calc!$G$3:$G$22)</f>
        <v/>
      </c>
      <c r="N3049">
        <f>SUMPRODUCT(Calc!$K$3:$K$22*(Calc!$G$3:$G$22&gt;A3049)*(Calc!$G$3:$G$22-A3049)*Calc!$I$3:$I$22)</f>
        <v/>
      </c>
      <c r="O3049">
        <f>SUMPRODUCT(Calc!$K$3:$K$22*(Calc!$G$3:$G$22&gt;B3049)*(Calc!$G$3:$G$22-B3049)*Calc!$I$3:$I$22)</f>
        <v/>
      </c>
      <c r="P3049">
        <f>I3049-G3049^2/k_n</f>
        <v/>
      </c>
      <c r="Q3049">
        <f>J3049-H3049^2/k_n</f>
        <v/>
      </c>
      <c r="R3049">
        <f>K3049-G3049*H3049/k_n</f>
        <v/>
      </c>
      <c r="S3049">
        <f>L3049-LTP3!$D$3*G3049/k_n</f>
        <v/>
      </c>
      <c r="T3049">
        <f>M3049-LTP3!$D$3*H3049/k_n</f>
        <v/>
      </c>
      <c r="U3049">
        <f>N3049-G3049*LTP3!$D$4/k_n</f>
        <v/>
      </c>
      <c r="V3049">
        <f>O3049-H3049*LTP3!$D$4/k_n</f>
        <v/>
      </c>
      <c r="W3049">
        <f>((LTP3!$D$5)*((P3049)*(Q3049)-(R3049)*(R3049))-(S3049)*((S3049)*(Q3049)-(R3049)*(T3049))+(T3049)*((S3049)*(R3049)-(P3049)*(T3049)))</f>
        <v/>
      </c>
      <c r="X3049">
        <f>IF(ABS(W3049)&gt;1E-12,((LTP3!$D$6)*((P3049)*(Q3049)-(R3049)*(R3049))-(S3049)*((U3049)*(Q3049)-(R3049)*(V3049))+(T3049)*((U3049)*(R3049)-(P3049)*(V3049)))/W3049,0)</f>
        <v/>
      </c>
      <c r="Y3049">
        <f>IF(ABS(W3049)&gt;1E-12,((LTP3!$D$5)*((U3049)*(Q3049)-(R3049)*(V3049))-(LTP3!$D$6)*((S3049)*(Q3049)-(R3049)*(T3049))+(T3049)*((S3049)*(V3049)-(U3049)*(T3049)))/W3049,0)</f>
        <v/>
      </c>
      <c r="Z3049">
        <f>IF(ABS(W3049)&gt;1E-12,((LTP3!$D$5)*((P3049)*(V3049)-(U3049)*(R3049))-(S3049)*((S3049)*(V3049)-(U3049)*(T3049))+(LTP3!$D$6)*((S3049)*(R3049)-(P3049)*(T3049)))/W3049,0)</f>
        <v/>
      </c>
      <c r="AA3049">
        <f>LTP3!$D$7-X3049*LTP3!$D$6-Y3049*U3049-Z3049*V3049</f>
        <v/>
      </c>
      <c r="AB3049">
        <f>IF(AND(F3049,ABS(W3049)&gt;1E-12,Y3049&gt;0,Z3049&gt;0),AA3049,1E+300)</f>
        <v/>
      </c>
    </row>
    <row r="3050">
      <c r="A3050">
        <f>$B$3+$B$5*49</f>
        <v/>
      </c>
      <c r="B3050">
        <f>$B$3+$B$5*49</f>
        <v/>
      </c>
      <c r="C3050">
        <f>SUMPRODUCT(Calc!$K$3:$K$22*(Calc!$G$3:$G$22&lt;=A3050))</f>
        <v/>
      </c>
      <c r="D3050">
        <f>SUMPRODUCT(Calc!$K$3:$K$22*(Calc!$G$3:$G$22&gt;A3050)*(Calc!$G$3:$G$22&lt;B3050))</f>
        <v/>
      </c>
      <c r="E3050">
        <f>SUMPRODUCT(Calc!$K$3:$K$22*(Calc!$G$3:$G$22&gt;=B3050))</f>
        <v/>
      </c>
      <c r="F3050">
        <f>AND(k_n&gt;=5,B3050&gt;A3050+1E-9,C3050&gt;=2,D3050&gt;=1,E3050&gt;=2)</f>
        <v/>
      </c>
      <c r="G3050">
        <f>SUMPRODUCT(Calc!$K$3:$K$22*(Calc!$G$3:$G$22&gt;A3050)*(Calc!$G$3:$G$22-A3050))</f>
        <v/>
      </c>
      <c r="H3050">
        <f>SUMPRODUCT(Calc!$K$3:$K$22*(Calc!$G$3:$G$22&gt;B3050)*(Calc!$G$3:$G$22-B3050))</f>
        <v/>
      </c>
      <c r="I3050">
        <f>SUMPRODUCT(Calc!$K$3:$K$22*(Calc!$G$3:$G$22&gt;A3050)*(Calc!$G$3:$G$22-A3050)^2)</f>
        <v/>
      </c>
      <c r="J3050">
        <f>SUMPRODUCT(Calc!$K$3:$K$22*(Calc!$G$3:$G$22&gt;B3050)*(Calc!$G$3:$G$22-B3050)^2)</f>
        <v/>
      </c>
      <c r="K3050">
        <f>SUMPRODUCT(Calc!$K$3:$K$22*(Calc!$G$3:$G$22&gt;A3050)*(Calc!$G$3:$G$22-A3050)*(Calc!$G$3:$G$22&gt;B3050)*(Calc!$G$3:$G$22-B3050))</f>
        <v/>
      </c>
      <c r="L3050">
        <f>SUMPRODUCT(Calc!$K$3:$K$22*(Calc!$G$3:$G$22&gt;A3050)*(Calc!$G$3:$G$22-A3050)*Calc!$G$3:$G$22)</f>
        <v/>
      </c>
      <c r="M3050">
        <f>SUMPRODUCT(Calc!$K$3:$K$22*(Calc!$G$3:$G$22&gt;B3050)*(Calc!$G$3:$G$22-B3050)*Calc!$G$3:$G$22)</f>
        <v/>
      </c>
      <c r="N3050">
        <f>SUMPRODUCT(Calc!$K$3:$K$22*(Calc!$G$3:$G$22&gt;A3050)*(Calc!$G$3:$G$22-A3050)*Calc!$I$3:$I$22)</f>
        <v/>
      </c>
      <c r="O3050">
        <f>SUMPRODUCT(Calc!$K$3:$K$22*(Calc!$G$3:$G$22&gt;B3050)*(Calc!$G$3:$G$22-B3050)*Calc!$I$3:$I$22)</f>
        <v/>
      </c>
      <c r="P3050">
        <f>I3050-G3050^2/k_n</f>
        <v/>
      </c>
      <c r="Q3050">
        <f>J3050-H3050^2/k_n</f>
        <v/>
      </c>
      <c r="R3050">
        <f>K3050-G3050*H3050/k_n</f>
        <v/>
      </c>
      <c r="S3050">
        <f>L3050-LTP3!$D$3*G3050/k_n</f>
        <v/>
      </c>
      <c r="T3050">
        <f>M3050-LTP3!$D$3*H3050/k_n</f>
        <v/>
      </c>
      <c r="U3050">
        <f>N3050-G3050*LTP3!$D$4/k_n</f>
        <v/>
      </c>
      <c r="V3050">
        <f>O3050-H3050*LTP3!$D$4/k_n</f>
        <v/>
      </c>
      <c r="W3050">
        <f>((LTP3!$D$5)*((P3050)*(Q3050)-(R3050)*(R3050))-(S3050)*((S3050)*(Q3050)-(R3050)*(T3050))+(T3050)*((S3050)*(R3050)-(P3050)*(T3050)))</f>
        <v/>
      </c>
      <c r="X3050">
        <f>IF(ABS(W3050)&gt;1E-12,((LTP3!$D$6)*((P3050)*(Q3050)-(R3050)*(R3050))-(S3050)*((U3050)*(Q3050)-(R3050)*(V3050))+(T3050)*((U3050)*(R3050)-(P3050)*(V3050)))/W3050,0)</f>
        <v/>
      </c>
      <c r="Y3050">
        <f>IF(ABS(W3050)&gt;1E-12,((LTP3!$D$5)*((U3050)*(Q3050)-(R3050)*(V3050))-(LTP3!$D$6)*((S3050)*(Q3050)-(R3050)*(T3050))+(T3050)*((S3050)*(V3050)-(U3050)*(T3050)))/W3050,0)</f>
        <v/>
      </c>
      <c r="Z3050">
        <f>IF(ABS(W3050)&gt;1E-12,((LTP3!$D$5)*((P3050)*(V3050)-(U3050)*(R3050))-(S3050)*((S3050)*(V3050)-(U3050)*(T3050))+(LTP3!$D$6)*((S3050)*(R3050)-(P3050)*(T3050)))/W3050,0)</f>
        <v/>
      </c>
      <c r="AA3050">
        <f>LTP3!$D$7-X3050*LTP3!$D$6-Y3050*U3050-Z3050*V3050</f>
        <v/>
      </c>
      <c r="AB3050">
        <f>IF(AND(F3050,ABS(W3050)&gt;1E-12,Y3050&gt;0,Z3050&gt;0),AA3050,1E+300)</f>
        <v/>
      </c>
    </row>
    <row r="3051">
      <c r="A3051">
        <f>$B$3+$B$5*49</f>
        <v/>
      </c>
      <c r="B3051">
        <f>$B$3+$B$5*50</f>
        <v/>
      </c>
      <c r="C3051">
        <f>SUMPRODUCT(Calc!$K$3:$K$22*(Calc!$G$3:$G$22&lt;=A3051))</f>
        <v/>
      </c>
      <c r="D3051">
        <f>SUMPRODUCT(Calc!$K$3:$K$22*(Calc!$G$3:$G$22&gt;A3051)*(Calc!$G$3:$G$22&lt;B3051))</f>
        <v/>
      </c>
      <c r="E3051">
        <f>SUMPRODUCT(Calc!$K$3:$K$22*(Calc!$G$3:$G$22&gt;=B3051))</f>
        <v/>
      </c>
      <c r="F3051">
        <f>AND(k_n&gt;=5,B3051&gt;A3051+1E-9,C3051&gt;=2,D3051&gt;=1,E3051&gt;=2)</f>
        <v/>
      </c>
      <c r="G3051">
        <f>SUMPRODUCT(Calc!$K$3:$K$22*(Calc!$G$3:$G$22&gt;A3051)*(Calc!$G$3:$G$22-A3051))</f>
        <v/>
      </c>
      <c r="H3051">
        <f>SUMPRODUCT(Calc!$K$3:$K$22*(Calc!$G$3:$G$22&gt;B3051)*(Calc!$G$3:$G$22-B3051))</f>
        <v/>
      </c>
      <c r="I3051">
        <f>SUMPRODUCT(Calc!$K$3:$K$22*(Calc!$G$3:$G$22&gt;A3051)*(Calc!$G$3:$G$22-A3051)^2)</f>
        <v/>
      </c>
      <c r="J3051">
        <f>SUMPRODUCT(Calc!$K$3:$K$22*(Calc!$G$3:$G$22&gt;B3051)*(Calc!$G$3:$G$22-B3051)^2)</f>
        <v/>
      </c>
      <c r="K3051">
        <f>SUMPRODUCT(Calc!$K$3:$K$22*(Calc!$G$3:$G$22&gt;A3051)*(Calc!$G$3:$G$22-A3051)*(Calc!$G$3:$G$22&gt;B3051)*(Calc!$G$3:$G$22-B3051))</f>
        <v/>
      </c>
      <c r="L3051">
        <f>SUMPRODUCT(Calc!$K$3:$K$22*(Calc!$G$3:$G$22&gt;A3051)*(Calc!$G$3:$G$22-A3051)*Calc!$G$3:$G$22)</f>
        <v/>
      </c>
      <c r="M3051">
        <f>SUMPRODUCT(Calc!$K$3:$K$22*(Calc!$G$3:$G$22&gt;B3051)*(Calc!$G$3:$G$22-B3051)*Calc!$G$3:$G$22)</f>
        <v/>
      </c>
      <c r="N3051">
        <f>SUMPRODUCT(Calc!$K$3:$K$22*(Calc!$G$3:$G$22&gt;A3051)*(Calc!$G$3:$G$22-A3051)*Calc!$I$3:$I$22)</f>
        <v/>
      </c>
      <c r="O3051">
        <f>SUMPRODUCT(Calc!$K$3:$K$22*(Calc!$G$3:$G$22&gt;B3051)*(Calc!$G$3:$G$22-B3051)*Calc!$I$3:$I$22)</f>
        <v/>
      </c>
      <c r="P3051">
        <f>I3051-G3051^2/k_n</f>
        <v/>
      </c>
      <c r="Q3051">
        <f>J3051-H3051^2/k_n</f>
        <v/>
      </c>
      <c r="R3051">
        <f>K3051-G3051*H3051/k_n</f>
        <v/>
      </c>
      <c r="S3051">
        <f>L3051-LTP3!$D$3*G3051/k_n</f>
        <v/>
      </c>
      <c r="T3051">
        <f>M3051-LTP3!$D$3*H3051/k_n</f>
        <v/>
      </c>
      <c r="U3051">
        <f>N3051-G3051*LTP3!$D$4/k_n</f>
        <v/>
      </c>
      <c r="V3051">
        <f>O3051-H3051*LTP3!$D$4/k_n</f>
        <v/>
      </c>
      <c r="W3051">
        <f>((LTP3!$D$5)*((P3051)*(Q3051)-(R3051)*(R3051))-(S3051)*((S3051)*(Q3051)-(R3051)*(T3051))+(T3051)*((S3051)*(R3051)-(P3051)*(T3051)))</f>
        <v/>
      </c>
      <c r="X3051">
        <f>IF(ABS(W3051)&gt;1E-12,((LTP3!$D$6)*((P3051)*(Q3051)-(R3051)*(R3051))-(S3051)*((U3051)*(Q3051)-(R3051)*(V3051))+(T3051)*((U3051)*(R3051)-(P3051)*(V3051)))/W3051,0)</f>
        <v/>
      </c>
      <c r="Y3051">
        <f>IF(ABS(W3051)&gt;1E-12,((LTP3!$D$5)*((U3051)*(Q3051)-(R3051)*(V3051))-(LTP3!$D$6)*((S3051)*(Q3051)-(R3051)*(T3051))+(T3051)*((S3051)*(V3051)-(U3051)*(T3051)))/W3051,0)</f>
        <v/>
      </c>
      <c r="Z3051">
        <f>IF(ABS(W3051)&gt;1E-12,((LTP3!$D$5)*((P3051)*(V3051)-(U3051)*(R3051))-(S3051)*((S3051)*(V3051)-(U3051)*(T3051))+(LTP3!$D$6)*((S3051)*(R3051)-(P3051)*(T3051)))/W3051,0)</f>
        <v/>
      </c>
      <c r="AA3051">
        <f>LTP3!$D$7-X3051*LTP3!$D$6-Y3051*U3051-Z3051*V3051</f>
        <v/>
      </c>
      <c r="AB3051">
        <f>IF(AND(F3051,ABS(W3051)&gt;1E-12,Y3051&gt;0,Z3051&gt;0),AA3051,1E+300)</f>
        <v/>
      </c>
    </row>
    <row r="3052">
      <c r="A3052">
        <f>$B$3+$B$5*49</f>
        <v/>
      </c>
      <c r="B3052">
        <f>$B$3+$B$5*51</f>
        <v/>
      </c>
      <c r="C3052">
        <f>SUMPRODUCT(Calc!$K$3:$K$22*(Calc!$G$3:$G$22&lt;=A3052))</f>
        <v/>
      </c>
      <c r="D3052">
        <f>SUMPRODUCT(Calc!$K$3:$K$22*(Calc!$G$3:$G$22&gt;A3052)*(Calc!$G$3:$G$22&lt;B3052))</f>
        <v/>
      </c>
      <c r="E3052">
        <f>SUMPRODUCT(Calc!$K$3:$K$22*(Calc!$G$3:$G$22&gt;=B3052))</f>
        <v/>
      </c>
      <c r="F3052">
        <f>AND(k_n&gt;=5,B3052&gt;A3052+1E-9,C3052&gt;=2,D3052&gt;=1,E3052&gt;=2)</f>
        <v/>
      </c>
      <c r="G3052">
        <f>SUMPRODUCT(Calc!$K$3:$K$22*(Calc!$G$3:$G$22&gt;A3052)*(Calc!$G$3:$G$22-A3052))</f>
        <v/>
      </c>
      <c r="H3052">
        <f>SUMPRODUCT(Calc!$K$3:$K$22*(Calc!$G$3:$G$22&gt;B3052)*(Calc!$G$3:$G$22-B3052))</f>
        <v/>
      </c>
      <c r="I3052">
        <f>SUMPRODUCT(Calc!$K$3:$K$22*(Calc!$G$3:$G$22&gt;A3052)*(Calc!$G$3:$G$22-A3052)^2)</f>
        <v/>
      </c>
      <c r="J3052">
        <f>SUMPRODUCT(Calc!$K$3:$K$22*(Calc!$G$3:$G$22&gt;B3052)*(Calc!$G$3:$G$22-B3052)^2)</f>
        <v/>
      </c>
      <c r="K3052">
        <f>SUMPRODUCT(Calc!$K$3:$K$22*(Calc!$G$3:$G$22&gt;A3052)*(Calc!$G$3:$G$22-A3052)*(Calc!$G$3:$G$22&gt;B3052)*(Calc!$G$3:$G$22-B3052))</f>
        <v/>
      </c>
      <c r="L3052">
        <f>SUMPRODUCT(Calc!$K$3:$K$22*(Calc!$G$3:$G$22&gt;A3052)*(Calc!$G$3:$G$22-A3052)*Calc!$G$3:$G$22)</f>
        <v/>
      </c>
      <c r="M3052">
        <f>SUMPRODUCT(Calc!$K$3:$K$22*(Calc!$G$3:$G$22&gt;B3052)*(Calc!$G$3:$G$22-B3052)*Calc!$G$3:$G$22)</f>
        <v/>
      </c>
      <c r="N3052">
        <f>SUMPRODUCT(Calc!$K$3:$K$22*(Calc!$G$3:$G$22&gt;A3052)*(Calc!$G$3:$G$22-A3052)*Calc!$I$3:$I$22)</f>
        <v/>
      </c>
      <c r="O3052">
        <f>SUMPRODUCT(Calc!$K$3:$K$22*(Calc!$G$3:$G$22&gt;B3052)*(Calc!$G$3:$G$22-B3052)*Calc!$I$3:$I$22)</f>
        <v/>
      </c>
      <c r="P3052">
        <f>I3052-G3052^2/k_n</f>
        <v/>
      </c>
      <c r="Q3052">
        <f>J3052-H3052^2/k_n</f>
        <v/>
      </c>
      <c r="R3052">
        <f>K3052-G3052*H3052/k_n</f>
        <v/>
      </c>
      <c r="S3052">
        <f>L3052-LTP3!$D$3*G3052/k_n</f>
        <v/>
      </c>
      <c r="T3052">
        <f>M3052-LTP3!$D$3*H3052/k_n</f>
        <v/>
      </c>
      <c r="U3052">
        <f>N3052-G3052*LTP3!$D$4/k_n</f>
        <v/>
      </c>
      <c r="V3052">
        <f>O3052-H3052*LTP3!$D$4/k_n</f>
        <v/>
      </c>
      <c r="W3052">
        <f>((LTP3!$D$5)*((P3052)*(Q3052)-(R3052)*(R3052))-(S3052)*((S3052)*(Q3052)-(R3052)*(T3052))+(T3052)*((S3052)*(R3052)-(P3052)*(T3052)))</f>
        <v/>
      </c>
      <c r="X3052">
        <f>IF(ABS(W3052)&gt;1E-12,((LTP3!$D$6)*((P3052)*(Q3052)-(R3052)*(R3052))-(S3052)*((U3052)*(Q3052)-(R3052)*(V3052))+(T3052)*((U3052)*(R3052)-(P3052)*(V3052)))/W3052,0)</f>
        <v/>
      </c>
      <c r="Y3052">
        <f>IF(ABS(W3052)&gt;1E-12,((LTP3!$D$5)*((U3052)*(Q3052)-(R3052)*(V3052))-(LTP3!$D$6)*((S3052)*(Q3052)-(R3052)*(T3052))+(T3052)*((S3052)*(V3052)-(U3052)*(T3052)))/W3052,0)</f>
        <v/>
      </c>
      <c r="Z3052">
        <f>IF(ABS(W3052)&gt;1E-12,((LTP3!$D$5)*((P3052)*(V3052)-(U3052)*(R3052))-(S3052)*((S3052)*(V3052)-(U3052)*(T3052))+(LTP3!$D$6)*((S3052)*(R3052)-(P3052)*(T3052)))/W3052,0)</f>
        <v/>
      </c>
      <c r="AA3052">
        <f>LTP3!$D$7-X3052*LTP3!$D$6-Y3052*U3052-Z3052*V3052</f>
        <v/>
      </c>
      <c r="AB3052">
        <f>IF(AND(F3052,ABS(W3052)&gt;1E-12,Y3052&gt;0,Z3052&gt;0),AA3052,1E+300)</f>
        <v/>
      </c>
    </row>
    <row r="3053">
      <c r="A3053">
        <f>$B$3+$B$5*49</f>
        <v/>
      </c>
      <c r="B3053">
        <f>$B$3+$B$5*52</f>
        <v/>
      </c>
      <c r="C3053">
        <f>SUMPRODUCT(Calc!$K$3:$K$22*(Calc!$G$3:$G$22&lt;=A3053))</f>
        <v/>
      </c>
      <c r="D3053">
        <f>SUMPRODUCT(Calc!$K$3:$K$22*(Calc!$G$3:$G$22&gt;A3053)*(Calc!$G$3:$G$22&lt;B3053))</f>
        <v/>
      </c>
      <c r="E3053">
        <f>SUMPRODUCT(Calc!$K$3:$K$22*(Calc!$G$3:$G$22&gt;=B3053))</f>
        <v/>
      </c>
      <c r="F3053">
        <f>AND(k_n&gt;=5,B3053&gt;A3053+1E-9,C3053&gt;=2,D3053&gt;=1,E3053&gt;=2)</f>
        <v/>
      </c>
      <c r="G3053">
        <f>SUMPRODUCT(Calc!$K$3:$K$22*(Calc!$G$3:$G$22&gt;A3053)*(Calc!$G$3:$G$22-A3053))</f>
        <v/>
      </c>
      <c r="H3053">
        <f>SUMPRODUCT(Calc!$K$3:$K$22*(Calc!$G$3:$G$22&gt;B3053)*(Calc!$G$3:$G$22-B3053))</f>
        <v/>
      </c>
      <c r="I3053">
        <f>SUMPRODUCT(Calc!$K$3:$K$22*(Calc!$G$3:$G$22&gt;A3053)*(Calc!$G$3:$G$22-A3053)^2)</f>
        <v/>
      </c>
      <c r="J3053">
        <f>SUMPRODUCT(Calc!$K$3:$K$22*(Calc!$G$3:$G$22&gt;B3053)*(Calc!$G$3:$G$22-B3053)^2)</f>
        <v/>
      </c>
      <c r="K3053">
        <f>SUMPRODUCT(Calc!$K$3:$K$22*(Calc!$G$3:$G$22&gt;A3053)*(Calc!$G$3:$G$22-A3053)*(Calc!$G$3:$G$22&gt;B3053)*(Calc!$G$3:$G$22-B3053))</f>
        <v/>
      </c>
      <c r="L3053">
        <f>SUMPRODUCT(Calc!$K$3:$K$22*(Calc!$G$3:$G$22&gt;A3053)*(Calc!$G$3:$G$22-A3053)*Calc!$G$3:$G$22)</f>
        <v/>
      </c>
      <c r="M3053">
        <f>SUMPRODUCT(Calc!$K$3:$K$22*(Calc!$G$3:$G$22&gt;B3053)*(Calc!$G$3:$G$22-B3053)*Calc!$G$3:$G$22)</f>
        <v/>
      </c>
      <c r="N3053">
        <f>SUMPRODUCT(Calc!$K$3:$K$22*(Calc!$G$3:$G$22&gt;A3053)*(Calc!$G$3:$G$22-A3053)*Calc!$I$3:$I$22)</f>
        <v/>
      </c>
      <c r="O3053">
        <f>SUMPRODUCT(Calc!$K$3:$K$22*(Calc!$G$3:$G$22&gt;B3053)*(Calc!$G$3:$G$22-B3053)*Calc!$I$3:$I$22)</f>
        <v/>
      </c>
      <c r="P3053">
        <f>I3053-G3053^2/k_n</f>
        <v/>
      </c>
      <c r="Q3053">
        <f>J3053-H3053^2/k_n</f>
        <v/>
      </c>
      <c r="R3053">
        <f>K3053-G3053*H3053/k_n</f>
        <v/>
      </c>
      <c r="S3053">
        <f>L3053-LTP3!$D$3*G3053/k_n</f>
        <v/>
      </c>
      <c r="T3053">
        <f>M3053-LTP3!$D$3*H3053/k_n</f>
        <v/>
      </c>
      <c r="U3053">
        <f>N3053-G3053*LTP3!$D$4/k_n</f>
        <v/>
      </c>
      <c r="V3053">
        <f>O3053-H3053*LTP3!$D$4/k_n</f>
        <v/>
      </c>
      <c r="W3053">
        <f>((LTP3!$D$5)*((P3053)*(Q3053)-(R3053)*(R3053))-(S3053)*((S3053)*(Q3053)-(R3053)*(T3053))+(T3053)*((S3053)*(R3053)-(P3053)*(T3053)))</f>
        <v/>
      </c>
      <c r="X3053">
        <f>IF(ABS(W3053)&gt;1E-12,((LTP3!$D$6)*((P3053)*(Q3053)-(R3053)*(R3053))-(S3053)*((U3053)*(Q3053)-(R3053)*(V3053))+(T3053)*((U3053)*(R3053)-(P3053)*(V3053)))/W3053,0)</f>
        <v/>
      </c>
      <c r="Y3053">
        <f>IF(ABS(W3053)&gt;1E-12,((LTP3!$D$5)*((U3053)*(Q3053)-(R3053)*(V3053))-(LTP3!$D$6)*((S3053)*(Q3053)-(R3053)*(T3053))+(T3053)*((S3053)*(V3053)-(U3053)*(T3053)))/W3053,0)</f>
        <v/>
      </c>
      <c r="Z3053">
        <f>IF(ABS(W3053)&gt;1E-12,((LTP3!$D$5)*((P3053)*(V3053)-(U3053)*(R3053))-(S3053)*((S3053)*(V3053)-(U3053)*(T3053))+(LTP3!$D$6)*((S3053)*(R3053)-(P3053)*(T3053)))/W3053,0)</f>
        <v/>
      </c>
      <c r="AA3053">
        <f>LTP3!$D$7-X3053*LTP3!$D$6-Y3053*U3053-Z3053*V3053</f>
        <v/>
      </c>
      <c r="AB3053">
        <f>IF(AND(F3053,ABS(W3053)&gt;1E-12,Y3053&gt;0,Z3053&gt;0),AA3053,1E+300)</f>
        <v/>
      </c>
    </row>
    <row r="3054">
      <c r="A3054">
        <f>$B$3+$B$5*49</f>
        <v/>
      </c>
      <c r="B3054">
        <f>$B$3+$B$5*53</f>
        <v/>
      </c>
      <c r="C3054">
        <f>SUMPRODUCT(Calc!$K$3:$K$22*(Calc!$G$3:$G$22&lt;=A3054))</f>
        <v/>
      </c>
      <c r="D3054">
        <f>SUMPRODUCT(Calc!$K$3:$K$22*(Calc!$G$3:$G$22&gt;A3054)*(Calc!$G$3:$G$22&lt;B3054))</f>
        <v/>
      </c>
      <c r="E3054">
        <f>SUMPRODUCT(Calc!$K$3:$K$22*(Calc!$G$3:$G$22&gt;=B3054))</f>
        <v/>
      </c>
      <c r="F3054">
        <f>AND(k_n&gt;=5,B3054&gt;A3054+1E-9,C3054&gt;=2,D3054&gt;=1,E3054&gt;=2)</f>
        <v/>
      </c>
      <c r="G3054">
        <f>SUMPRODUCT(Calc!$K$3:$K$22*(Calc!$G$3:$G$22&gt;A3054)*(Calc!$G$3:$G$22-A3054))</f>
        <v/>
      </c>
      <c r="H3054">
        <f>SUMPRODUCT(Calc!$K$3:$K$22*(Calc!$G$3:$G$22&gt;B3054)*(Calc!$G$3:$G$22-B3054))</f>
        <v/>
      </c>
      <c r="I3054">
        <f>SUMPRODUCT(Calc!$K$3:$K$22*(Calc!$G$3:$G$22&gt;A3054)*(Calc!$G$3:$G$22-A3054)^2)</f>
        <v/>
      </c>
      <c r="J3054">
        <f>SUMPRODUCT(Calc!$K$3:$K$22*(Calc!$G$3:$G$22&gt;B3054)*(Calc!$G$3:$G$22-B3054)^2)</f>
        <v/>
      </c>
      <c r="K3054">
        <f>SUMPRODUCT(Calc!$K$3:$K$22*(Calc!$G$3:$G$22&gt;A3054)*(Calc!$G$3:$G$22-A3054)*(Calc!$G$3:$G$22&gt;B3054)*(Calc!$G$3:$G$22-B3054))</f>
        <v/>
      </c>
      <c r="L3054">
        <f>SUMPRODUCT(Calc!$K$3:$K$22*(Calc!$G$3:$G$22&gt;A3054)*(Calc!$G$3:$G$22-A3054)*Calc!$G$3:$G$22)</f>
        <v/>
      </c>
      <c r="M3054">
        <f>SUMPRODUCT(Calc!$K$3:$K$22*(Calc!$G$3:$G$22&gt;B3054)*(Calc!$G$3:$G$22-B3054)*Calc!$G$3:$G$22)</f>
        <v/>
      </c>
      <c r="N3054">
        <f>SUMPRODUCT(Calc!$K$3:$K$22*(Calc!$G$3:$G$22&gt;A3054)*(Calc!$G$3:$G$22-A3054)*Calc!$I$3:$I$22)</f>
        <v/>
      </c>
      <c r="O3054">
        <f>SUMPRODUCT(Calc!$K$3:$K$22*(Calc!$G$3:$G$22&gt;B3054)*(Calc!$G$3:$G$22-B3054)*Calc!$I$3:$I$22)</f>
        <v/>
      </c>
      <c r="P3054">
        <f>I3054-G3054^2/k_n</f>
        <v/>
      </c>
      <c r="Q3054">
        <f>J3054-H3054^2/k_n</f>
        <v/>
      </c>
      <c r="R3054">
        <f>K3054-G3054*H3054/k_n</f>
        <v/>
      </c>
      <c r="S3054">
        <f>L3054-LTP3!$D$3*G3054/k_n</f>
        <v/>
      </c>
      <c r="T3054">
        <f>M3054-LTP3!$D$3*H3054/k_n</f>
        <v/>
      </c>
      <c r="U3054">
        <f>N3054-G3054*LTP3!$D$4/k_n</f>
        <v/>
      </c>
      <c r="V3054">
        <f>O3054-H3054*LTP3!$D$4/k_n</f>
        <v/>
      </c>
      <c r="W3054">
        <f>((LTP3!$D$5)*((P3054)*(Q3054)-(R3054)*(R3054))-(S3054)*((S3054)*(Q3054)-(R3054)*(T3054))+(T3054)*((S3054)*(R3054)-(P3054)*(T3054)))</f>
        <v/>
      </c>
      <c r="X3054">
        <f>IF(ABS(W3054)&gt;1E-12,((LTP3!$D$6)*((P3054)*(Q3054)-(R3054)*(R3054))-(S3054)*((U3054)*(Q3054)-(R3054)*(V3054))+(T3054)*((U3054)*(R3054)-(P3054)*(V3054)))/W3054,0)</f>
        <v/>
      </c>
      <c r="Y3054">
        <f>IF(ABS(W3054)&gt;1E-12,((LTP3!$D$5)*((U3054)*(Q3054)-(R3054)*(V3054))-(LTP3!$D$6)*((S3054)*(Q3054)-(R3054)*(T3054))+(T3054)*((S3054)*(V3054)-(U3054)*(T3054)))/W3054,0)</f>
        <v/>
      </c>
      <c r="Z3054">
        <f>IF(ABS(W3054)&gt;1E-12,((LTP3!$D$5)*((P3054)*(V3054)-(U3054)*(R3054))-(S3054)*((S3054)*(V3054)-(U3054)*(T3054))+(LTP3!$D$6)*((S3054)*(R3054)-(P3054)*(T3054)))/W3054,0)</f>
        <v/>
      </c>
      <c r="AA3054">
        <f>LTP3!$D$7-X3054*LTP3!$D$6-Y3054*U3054-Z3054*V3054</f>
        <v/>
      </c>
      <c r="AB3054">
        <f>IF(AND(F3054,ABS(W3054)&gt;1E-12,Y3054&gt;0,Z3054&gt;0),AA3054,1E+300)</f>
        <v/>
      </c>
    </row>
    <row r="3055">
      <c r="A3055">
        <f>$B$3+$B$5*49</f>
        <v/>
      </c>
      <c r="B3055">
        <f>$B$3+$B$5*54</f>
        <v/>
      </c>
      <c r="C3055">
        <f>SUMPRODUCT(Calc!$K$3:$K$22*(Calc!$G$3:$G$22&lt;=A3055))</f>
        <v/>
      </c>
      <c r="D3055">
        <f>SUMPRODUCT(Calc!$K$3:$K$22*(Calc!$G$3:$G$22&gt;A3055)*(Calc!$G$3:$G$22&lt;B3055))</f>
        <v/>
      </c>
      <c r="E3055">
        <f>SUMPRODUCT(Calc!$K$3:$K$22*(Calc!$G$3:$G$22&gt;=B3055))</f>
        <v/>
      </c>
      <c r="F3055">
        <f>AND(k_n&gt;=5,B3055&gt;A3055+1E-9,C3055&gt;=2,D3055&gt;=1,E3055&gt;=2)</f>
        <v/>
      </c>
      <c r="G3055">
        <f>SUMPRODUCT(Calc!$K$3:$K$22*(Calc!$G$3:$G$22&gt;A3055)*(Calc!$G$3:$G$22-A3055))</f>
        <v/>
      </c>
      <c r="H3055">
        <f>SUMPRODUCT(Calc!$K$3:$K$22*(Calc!$G$3:$G$22&gt;B3055)*(Calc!$G$3:$G$22-B3055))</f>
        <v/>
      </c>
      <c r="I3055">
        <f>SUMPRODUCT(Calc!$K$3:$K$22*(Calc!$G$3:$G$22&gt;A3055)*(Calc!$G$3:$G$22-A3055)^2)</f>
        <v/>
      </c>
      <c r="J3055">
        <f>SUMPRODUCT(Calc!$K$3:$K$22*(Calc!$G$3:$G$22&gt;B3055)*(Calc!$G$3:$G$22-B3055)^2)</f>
        <v/>
      </c>
      <c r="K3055">
        <f>SUMPRODUCT(Calc!$K$3:$K$22*(Calc!$G$3:$G$22&gt;A3055)*(Calc!$G$3:$G$22-A3055)*(Calc!$G$3:$G$22&gt;B3055)*(Calc!$G$3:$G$22-B3055))</f>
        <v/>
      </c>
      <c r="L3055">
        <f>SUMPRODUCT(Calc!$K$3:$K$22*(Calc!$G$3:$G$22&gt;A3055)*(Calc!$G$3:$G$22-A3055)*Calc!$G$3:$G$22)</f>
        <v/>
      </c>
      <c r="M3055">
        <f>SUMPRODUCT(Calc!$K$3:$K$22*(Calc!$G$3:$G$22&gt;B3055)*(Calc!$G$3:$G$22-B3055)*Calc!$G$3:$G$22)</f>
        <v/>
      </c>
      <c r="N3055">
        <f>SUMPRODUCT(Calc!$K$3:$K$22*(Calc!$G$3:$G$22&gt;A3055)*(Calc!$G$3:$G$22-A3055)*Calc!$I$3:$I$22)</f>
        <v/>
      </c>
      <c r="O3055">
        <f>SUMPRODUCT(Calc!$K$3:$K$22*(Calc!$G$3:$G$22&gt;B3055)*(Calc!$G$3:$G$22-B3055)*Calc!$I$3:$I$22)</f>
        <v/>
      </c>
      <c r="P3055">
        <f>I3055-G3055^2/k_n</f>
        <v/>
      </c>
      <c r="Q3055">
        <f>J3055-H3055^2/k_n</f>
        <v/>
      </c>
      <c r="R3055">
        <f>K3055-G3055*H3055/k_n</f>
        <v/>
      </c>
      <c r="S3055">
        <f>L3055-LTP3!$D$3*G3055/k_n</f>
        <v/>
      </c>
      <c r="T3055">
        <f>M3055-LTP3!$D$3*H3055/k_n</f>
        <v/>
      </c>
      <c r="U3055">
        <f>N3055-G3055*LTP3!$D$4/k_n</f>
        <v/>
      </c>
      <c r="V3055">
        <f>O3055-H3055*LTP3!$D$4/k_n</f>
        <v/>
      </c>
      <c r="W3055">
        <f>((LTP3!$D$5)*((P3055)*(Q3055)-(R3055)*(R3055))-(S3055)*((S3055)*(Q3055)-(R3055)*(T3055))+(T3055)*((S3055)*(R3055)-(P3055)*(T3055)))</f>
        <v/>
      </c>
      <c r="X3055">
        <f>IF(ABS(W3055)&gt;1E-12,((LTP3!$D$6)*((P3055)*(Q3055)-(R3055)*(R3055))-(S3055)*((U3055)*(Q3055)-(R3055)*(V3055))+(T3055)*((U3055)*(R3055)-(P3055)*(V3055)))/W3055,0)</f>
        <v/>
      </c>
      <c r="Y3055">
        <f>IF(ABS(W3055)&gt;1E-12,((LTP3!$D$5)*((U3055)*(Q3055)-(R3055)*(V3055))-(LTP3!$D$6)*((S3055)*(Q3055)-(R3055)*(T3055))+(T3055)*((S3055)*(V3055)-(U3055)*(T3055)))/W3055,0)</f>
        <v/>
      </c>
      <c r="Z3055">
        <f>IF(ABS(W3055)&gt;1E-12,((LTP3!$D$5)*((P3055)*(V3055)-(U3055)*(R3055))-(S3055)*((S3055)*(V3055)-(U3055)*(T3055))+(LTP3!$D$6)*((S3055)*(R3055)-(P3055)*(T3055)))/W3055,0)</f>
        <v/>
      </c>
      <c r="AA3055">
        <f>LTP3!$D$7-X3055*LTP3!$D$6-Y3055*U3055-Z3055*V3055</f>
        <v/>
      </c>
      <c r="AB3055">
        <f>IF(AND(F3055,ABS(W3055)&gt;1E-12,Y3055&gt;0,Z3055&gt;0),AA3055,1E+300)</f>
        <v/>
      </c>
    </row>
    <row r="3056">
      <c r="A3056">
        <f>$B$3+$B$5*49</f>
        <v/>
      </c>
      <c r="B3056">
        <f>$B$3+$B$5*55</f>
        <v/>
      </c>
      <c r="C3056">
        <f>SUMPRODUCT(Calc!$K$3:$K$22*(Calc!$G$3:$G$22&lt;=A3056))</f>
        <v/>
      </c>
      <c r="D3056">
        <f>SUMPRODUCT(Calc!$K$3:$K$22*(Calc!$G$3:$G$22&gt;A3056)*(Calc!$G$3:$G$22&lt;B3056))</f>
        <v/>
      </c>
      <c r="E3056">
        <f>SUMPRODUCT(Calc!$K$3:$K$22*(Calc!$G$3:$G$22&gt;=B3056))</f>
        <v/>
      </c>
      <c r="F3056">
        <f>AND(k_n&gt;=5,B3056&gt;A3056+1E-9,C3056&gt;=2,D3056&gt;=1,E3056&gt;=2)</f>
        <v/>
      </c>
      <c r="G3056">
        <f>SUMPRODUCT(Calc!$K$3:$K$22*(Calc!$G$3:$G$22&gt;A3056)*(Calc!$G$3:$G$22-A3056))</f>
        <v/>
      </c>
      <c r="H3056">
        <f>SUMPRODUCT(Calc!$K$3:$K$22*(Calc!$G$3:$G$22&gt;B3056)*(Calc!$G$3:$G$22-B3056))</f>
        <v/>
      </c>
      <c r="I3056">
        <f>SUMPRODUCT(Calc!$K$3:$K$22*(Calc!$G$3:$G$22&gt;A3056)*(Calc!$G$3:$G$22-A3056)^2)</f>
        <v/>
      </c>
      <c r="J3056">
        <f>SUMPRODUCT(Calc!$K$3:$K$22*(Calc!$G$3:$G$22&gt;B3056)*(Calc!$G$3:$G$22-B3056)^2)</f>
        <v/>
      </c>
      <c r="K3056">
        <f>SUMPRODUCT(Calc!$K$3:$K$22*(Calc!$G$3:$G$22&gt;A3056)*(Calc!$G$3:$G$22-A3056)*(Calc!$G$3:$G$22&gt;B3056)*(Calc!$G$3:$G$22-B3056))</f>
        <v/>
      </c>
      <c r="L3056">
        <f>SUMPRODUCT(Calc!$K$3:$K$22*(Calc!$G$3:$G$22&gt;A3056)*(Calc!$G$3:$G$22-A3056)*Calc!$G$3:$G$22)</f>
        <v/>
      </c>
      <c r="M3056">
        <f>SUMPRODUCT(Calc!$K$3:$K$22*(Calc!$G$3:$G$22&gt;B3056)*(Calc!$G$3:$G$22-B3056)*Calc!$G$3:$G$22)</f>
        <v/>
      </c>
      <c r="N3056">
        <f>SUMPRODUCT(Calc!$K$3:$K$22*(Calc!$G$3:$G$22&gt;A3056)*(Calc!$G$3:$G$22-A3056)*Calc!$I$3:$I$22)</f>
        <v/>
      </c>
      <c r="O3056">
        <f>SUMPRODUCT(Calc!$K$3:$K$22*(Calc!$G$3:$G$22&gt;B3056)*(Calc!$G$3:$G$22-B3056)*Calc!$I$3:$I$22)</f>
        <v/>
      </c>
      <c r="P3056">
        <f>I3056-G3056^2/k_n</f>
        <v/>
      </c>
      <c r="Q3056">
        <f>J3056-H3056^2/k_n</f>
        <v/>
      </c>
      <c r="R3056">
        <f>K3056-G3056*H3056/k_n</f>
        <v/>
      </c>
      <c r="S3056">
        <f>L3056-LTP3!$D$3*G3056/k_n</f>
        <v/>
      </c>
      <c r="T3056">
        <f>M3056-LTP3!$D$3*H3056/k_n</f>
        <v/>
      </c>
      <c r="U3056">
        <f>N3056-G3056*LTP3!$D$4/k_n</f>
        <v/>
      </c>
      <c r="V3056">
        <f>O3056-H3056*LTP3!$D$4/k_n</f>
        <v/>
      </c>
      <c r="W3056">
        <f>((LTP3!$D$5)*((P3056)*(Q3056)-(R3056)*(R3056))-(S3056)*((S3056)*(Q3056)-(R3056)*(T3056))+(T3056)*((S3056)*(R3056)-(P3056)*(T3056)))</f>
        <v/>
      </c>
      <c r="X3056">
        <f>IF(ABS(W3056)&gt;1E-12,((LTP3!$D$6)*((P3056)*(Q3056)-(R3056)*(R3056))-(S3056)*((U3056)*(Q3056)-(R3056)*(V3056))+(T3056)*((U3056)*(R3056)-(P3056)*(V3056)))/W3056,0)</f>
        <v/>
      </c>
      <c r="Y3056">
        <f>IF(ABS(W3056)&gt;1E-12,((LTP3!$D$5)*((U3056)*(Q3056)-(R3056)*(V3056))-(LTP3!$D$6)*((S3056)*(Q3056)-(R3056)*(T3056))+(T3056)*((S3056)*(V3056)-(U3056)*(T3056)))/W3056,0)</f>
        <v/>
      </c>
      <c r="Z3056">
        <f>IF(ABS(W3056)&gt;1E-12,((LTP3!$D$5)*((P3056)*(V3056)-(U3056)*(R3056))-(S3056)*((S3056)*(V3056)-(U3056)*(T3056))+(LTP3!$D$6)*((S3056)*(R3056)-(P3056)*(T3056)))/W3056,0)</f>
        <v/>
      </c>
      <c r="AA3056">
        <f>LTP3!$D$7-X3056*LTP3!$D$6-Y3056*U3056-Z3056*V3056</f>
        <v/>
      </c>
      <c r="AB3056">
        <f>IF(AND(F3056,ABS(W3056)&gt;1E-12,Y3056&gt;0,Z3056&gt;0),AA3056,1E+300)</f>
        <v/>
      </c>
    </row>
    <row r="3057">
      <c r="A3057">
        <f>$B$3+$B$5*49</f>
        <v/>
      </c>
      <c r="B3057">
        <f>$B$3+$B$5*56</f>
        <v/>
      </c>
      <c r="C3057">
        <f>SUMPRODUCT(Calc!$K$3:$K$22*(Calc!$G$3:$G$22&lt;=A3057))</f>
        <v/>
      </c>
      <c r="D3057">
        <f>SUMPRODUCT(Calc!$K$3:$K$22*(Calc!$G$3:$G$22&gt;A3057)*(Calc!$G$3:$G$22&lt;B3057))</f>
        <v/>
      </c>
      <c r="E3057">
        <f>SUMPRODUCT(Calc!$K$3:$K$22*(Calc!$G$3:$G$22&gt;=B3057))</f>
        <v/>
      </c>
      <c r="F3057">
        <f>AND(k_n&gt;=5,B3057&gt;A3057+1E-9,C3057&gt;=2,D3057&gt;=1,E3057&gt;=2)</f>
        <v/>
      </c>
      <c r="G3057">
        <f>SUMPRODUCT(Calc!$K$3:$K$22*(Calc!$G$3:$G$22&gt;A3057)*(Calc!$G$3:$G$22-A3057))</f>
        <v/>
      </c>
      <c r="H3057">
        <f>SUMPRODUCT(Calc!$K$3:$K$22*(Calc!$G$3:$G$22&gt;B3057)*(Calc!$G$3:$G$22-B3057))</f>
        <v/>
      </c>
      <c r="I3057">
        <f>SUMPRODUCT(Calc!$K$3:$K$22*(Calc!$G$3:$G$22&gt;A3057)*(Calc!$G$3:$G$22-A3057)^2)</f>
        <v/>
      </c>
      <c r="J3057">
        <f>SUMPRODUCT(Calc!$K$3:$K$22*(Calc!$G$3:$G$22&gt;B3057)*(Calc!$G$3:$G$22-B3057)^2)</f>
        <v/>
      </c>
      <c r="K3057">
        <f>SUMPRODUCT(Calc!$K$3:$K$22*(Calc!$G$3:$G$22&gt;A3057)*(Calc!$G$3:$G$22-A3057)*(Calc!$G$3:$G$22&gt;B3057)*(Calc!$G$3:$G$22-B3057))</f>
        <v/>
      </c>
      <c r="L3057">
        <f>SUMPRODUCT(Calc!$K$3:$K$22*(Calc!$G$3:$G$22&gt;A3057)*(Calc!$G$3:$G$22-A3057)*Calc!$G$3:$G$22)</f>
        <v/>
      </c>
      <c r="M3057">
        <f>SUMPRODUCT(Calc!$K$3:$K$22*(Calc!$G$3:$G$22&gt;B3057)*(Calc!$G$3:$G$22-B3057)*Calc!$G$3:$G$22)</f>
        <v/>
      </c>
      <c r="N3057">
        <f>SUMPRODUCT(Calc!$K$3:$K$22*(Calc!$G$3:$G$22&gt;A3057)*(Calc!$G$3:$G$22-A3057)*Calc!$I$3:$I$22)</f>
        <v/>
      </c>
      <c r="O3057">
        <f>SUMPRODUCT(Calc!$K$3:$K$22*(Calc!$G$3:$G$22&gt;B3057)*(Calc!$G$3:$G$22-B3057)*Calc!$I$3:$I$22)</f>
        <v/>
      </c>
      <c r="P3057">
        <f>I3057-G3057^2/k_n</f>
        <v/>
      </c>
      <c r="Q3057">
        <f>J3057-H3057^2/k_n</f>
        <v/>
      </c>
      <c r="R3057">
        <f>K3057-G3057*H3057/k_n</f>
        <v/>
      </c>
      <c r="S3057">
        <f>L3057-LTP3!$D$3*G3057/k_n</f>
        <v/>
      </c>
      <c r="T3057">
        <f>M3057-LTP3!$D$3*H3057/k_n</f>
        <v/>
      </c>
      <c r="U3057">
        <f>N3057-G3057*LTP3!$D$4/k_n</f>
        <v/>
      </c>
      <c r="V3057">
        <f>O3057-H3057*LTP3!$D$4/k_n</f>
        <v/>
      </c>
      <c r="W3057">
        <f>((LTP3!$D$5)*((P3057)*(Q3057)-(R3057)*(R3057))-(S3057)*((S3057)*(Q3057)-(R3057)*(T3057))+(T3057)*((S3057)*(R3057)-(P3057)*(T3057)))</f>
        <v/>
      </c>
      <c r="X3057">
        <f>IF(ABS(W3057)&gt;1E-12,((LTP3!$D$6)*((P3057)*(Q3057)-(R3057)*(R3057))-(S3057)*((U3057)*(Q3057)-(R3057)*(V3057))+(T3057)*((U3057)*(R3057)-(P3057)*(V3057)))/W3057,0)</f>
        <v/>
      </c>
      <c r="Y3057">
        <f>IF(ABS(W3057)&gt;1E-12,((LTP3!$D$5)*((U3057)*(Q3057)-(R3057)*(V3057))-(LTP3!$D$6)*((S3057)*(Q3057)-(R3057)*(T3057))+(T3057)*((S3057)*(V3057)-(U3057)*(T3057)))/W3057,0)</f>
        <v/>
      </c>
      <c r="Z3057">
        <f>IF(ABS(W3057)&gt;1E-12,((LTP3!$D$5)*((P3057)*(V3057)-(U3057)*(R3057))-(S3057)*((S3057)*(V3057)-(U3057)*(T3057))+(LTP3!$D$6)*((S3057)*(R3057)-(P3057)*(T3057)))/W3057,0)</f>
        <v/>
      </c>
      <c r="AA3057">
        <f>LTP3!$D$7-X3057*LTP3!$D$6-Y3057*U3057-Z3057*V3057</f>
        <v/>
      </c>
      <c r="AB3057">
        <f>IF(AND(F3057,ABS(W3057)&gt;1E-12,Y3057&gt;0,Z3057&gt;0),AA3057,1E+300)</f>
        <v/>
      </c>
    </row>
    <row r="3058">
      <c r="A3058">
        <f>$B$3+$B$5*49</f>
        <v/>
      </c>
      <c r="B3058">
        <f>$B$3+$B$5*57</f>
        <v/>
      </c>
      <c r="C3058">
        <f>SUMPRODUCT(Calc!$K$3:$K$22*(Calc!$G$3:$G$22&lt;=A3058))</f>
        <v/>
      </c>
      <c r="D3058">
        <f>SUMPRODUCT(Calc!$K$3:$K$22*(Calc!$G$3:$G$22&gt;A3058)*(Calc!$G$3:$G$22&lt;B3058))</f>
        <v/>
      </c>
      <c r="E3058">
        <f>SUMPRODUCT(Calc!$K$3:$K$22*(Calc!$G$3:$G$22&gt;=B3058))</f>
        <v/>
      </c>
      <c r="F3058">
        <f>AND(k_n&gt;=5,B3058&gt;A3058+1E-9,C3058&gt;=2,D3058&gt;=1,E3058&gt;=2)</f>
        <v/>
      </c>
      <c r="G3058">
        <f>SUMPRODUCT(Calc!$K$3:$K$22*(Calc!$G$3:$G$22&gt;A3058)*(Calc!$G$3:$G$22-A3058))</f>
        <v/>
      </c>
      <c r="H3058">
        <f>SUMPRODUCT(Calc!$K$3:$K$22*(Calc!$G$3:$G$22&gt;B3058)*(Calc!$G$3:$G$22-B3058))</f>
        <v/>
      </c>
      <c r="I3058">
        <f>SUMPRODUCT(Calc!$K$3:$K$22*(Calc!$G$3:$G$22&gt;A3058)*(Calc!$G$3:$G$22-A3058)^2)</f>
        <v/>
      </c>
      <c r="J3058">
        <f>SUMPRODUCT(Calc!$K$3:$K$22*(Calc!$G$3:$G$22&gt;B3058)*(Calc!$G$3:$G$22-B3058)^2)</f>
        <v/>
      </c>
      <c r="K3058">
        <f>SUMPRODUCT(Calc!$K$3:$K$22*(Calc!$G$3:$G$22&gt;A3058)*(Calc!$G$3:$G$22-A3058)*(Calc!$G$3:$G$22&gt;B3058)*(Calc!$G$3:$G$22-B3058))</f>
        <v/>
      </c>
      <c r="L3058">
        <f>SUMPRODUCT(Calc!$K$3:$K$22*(Calc!$G$3:$G$22&gt;A3058)*(Calc!$G$3:$G$22-A3058)*Calc!$G$3:$G$22)</f>
        <v/>
      </c>
      <c r="M3058">
        <f>SUMPRODUCT(Calc!$K$3:$K$22*(Calc!$G$3:$G$22&gt;B3058)*(Calc!$G$3:$G$22-B3058)*Calc!$G$3:$G$22)</f>
        <v/>
      </c>
      <c r="N3058">
        <f>SUMPRODUCT(Calc!$K$3:$K$22*(Calc!$G$3:$G$22&gt;A3058)*(Calc!$G$3:$G$22-A3058)*Calc!$I$3:$I$22)</f>
        <v/>
      </c>
      <c r="O3058">
        <f>SUMPRODUCT(Calc!$K$3:$K$22*(Calc!$G$3:$G$22&gt;B3058)*(Calc!$G$3:$G$22-B3058)*Calc!$I$3:$I$22)</f>
        <v/>
      </c>
      <c r="P3058">
        <f>I3058-G3058^2/k_n</f>
        <v/>
      </c>
      <c r="Q3058">
        <f>J3058-H3058^2/k_n</f>
        <v/>
      </c>
      <c r="R3058">
        <f>K3058-G3058*H3058/k_n</f>
        <v/>
      </c>
      <c r="S3058">
        <f>L3058-LTP3!$D$3*G3058/k_n</f>
        <v/>
      </c>
      <c r="T3058">
        <f>M3058-LTP3!$D$3*H3058/k_n</f>
        <v/>
      </c>
      <c r="U3058">
        <f>N3058-G3058*LTP3!$D$4/k_n</f>
        <v/>
      </c>
      <c r="V3058">
        <f>O3058-H3058*LTP3!$D$4/k_n</f>
        <v/>
      </c>
      <c r="W3058">
        <f>((LTP3!$D$5)*((P3058)*(Q3058)-(R3058)*(R3058))-(S3058)*((S3058)*(Q3058)-(R3058)*(T3058))+(T3058)*((S3058)*(R3058)-(P3058)*(T3058)))</f>
        <v/>
      </c>
      <c r="X3058">
        <f>IF(ABS(W3058)&gt;1E-12,((LTP3!$D$6)*((P3058)*(Q3058)-(R3058)*(R3058))-(S3058)*((U3058)*(Q3058)-(R3058)*(V3058))+(T3058)*((U3058)*(R3058)-(P3058)*(V3058)))/W3058,0)</f>
        <v/>
      </c>
      <c r="Y3058">
        <f>IF(ABS(W3058)&gt;1E-12,((LTP3!$D$5)*((U3058)*(Q3058)-(R3058)*(V3058))-(LTP3!$D$6)*((S3058)*(Q3058)-(R3058)*(T3058))+(T3058)*((S3058)*(V3058)-(U3058)*(T3058)))/W3058,0)</f>
        <v/>
      </c>
      <c r="Z3058">
        <f>IF(ABS(W3058)&gt;1E-12,((LTP3!$D$5)*((P3058)*(V3058)-(U3058)*(R3058))-(S3058)*((S3058)*(V3058)-(U3058)*(T3058))+(LTP3!$D$6)*((S3058)*(R3058)-(P3058)*(T3058)))/W3058,0)</f>
        <v/>
      </c>
      <c r="AA3058">
        <f>LTP3!$D$7-X3058*LTP3!$D$6-Y3058*U3058-Z3058*V3058</f>
        <v/>
      </c>
      <c r="AB3058">
        <f>IF(AND(F3058,ABS(W3058)&gt;1E-12,Y3058&gt;0,Z3058&gt;0),AA3058,1E+300)</f>
        <v/>
      </c>
    </row>
    <row r="3059">
      <c r="A3059">
        <f>$B$3+$B$5*49</f>
        <v/>
      </c>
      <c r="B3059">
        <f>$B$3+$B$5*58</f>
        <v/>
      </c>
      <c r="C3059">
        <f>SUMPRODUCT(Calc!$K$3:$K$22*(Calc!$G$3:$G$22&lt;=A3059))</f>
        <v/>
      </c>
      <c r="D3059">
        <f>SUMPRODUCT(Calc!$K$3:$K$22*(Calc!$G$3:$G$22&gt;A3059)*(Calc!$G$3:$G$22&lt;B3059))</f>
        <v/>
      </c>
      <c r="E3059">
        <f>SUMPRODUCT(Calc!$K$3:$K$22*(Calc!$G$3:$G$22&gt;=B3059))</f>
        <v/>
      </c>
      <c r="F3059">
        <f>AND(k_n&gt;=5,B3059&gt;A3059+1E-9,C3059&gt;=2,D3059&gt;=1,E3059&gt;=2)</f>
        <v/>
      </c>
      <c r="G3059">
        <f>SUMPRODUCT(Calc!$K$3:$K$22*(Calc!$G$3:$G$22&gt;A3059)*(Calc!$G$3:$G$22-A3059))</f>
        <v/>
      </c>
      <c r="H3059">
        <f>SUMPRODUCT(Calc!$K$3:$K$22*(Calc!$G$3:$G$22&gt;B3059)*(Calc!$G$3:$G$22-B3059))</f>
        <v/>
      </c>
      <c r="I3059">
        <f>SUMPRODUCT(Calc!$K$3:$K$22*(Calc!$G$3:$G$22&gt;A3059)*(Calc!$G$3:$G$22-A3059)^2)</f>
        <v/>
      </c>
      <c r="J3059">
        <f>SUMPRODUCT(Calc!$K$3:$K$22*(Calc!$G$3:$G$22&gt;B3059)*(Calc!$G$3:$G$22-B3059)^2)</f>
        <v/>
      </c>
      <c r="K3059">
        <f>SUMPRODUCT(Calc!$K$3:$K$22*(Calc!$G$3:$G$22&gt;A3059)*(Calc!$G$3:$G$22-A3059)*(Calc!$G$3:$G$22&gt;B3059)*(Calc!$G$3:$G$22-B3059))</f>
        <v/>
      </c>
      <c r="L3059">
        <f>SUMPRODUCT(Calc!$K$3:$K$22*(Calc!$G$3:$G$22&gt;A3059)*(Calc!$G$3:$G$22-A3059)*Calc!$G$3:$G$22)</f>
        <v/>
      </c>
      <c r="M3059">
        <f>SUMPRODUCT(Calc!$K$3:$K$22*(Calc!$G$3:$G$22&gt;B3059)*(Calc!$G$3:$G$22-B3059)*Calc!$G$3:$G$22)</f>
        <v/>
      </c>
      <c r="N3059">
        <f>SUMPRODUCT(Calc!$K$3:$K$22*(Calc!$G$3:$G$22&gt;A3059)*(Calc!$G$3:$G$22-A3059)*Calc!$I$3:$I$22)</f>
        <v/>
      </c>
      <c r="O3059">
        <f>SUMPRODUCT(Calc!$K$3:$K$22*(Calc!$G$3:$G$22&gt;B3059)*(Calc!$G$3:$G$22-B3059)*Calc!$I$3:$I$22)</f>
        <v/>
      </c>
      <c r="P3059">
        <f>I3059-G3059^2/k_n</f>
        <v/>
      </c>
      <c r="Q3059">
        <f>J3059-H3059^2/k_n</f>
        <v/>
      </c>
      <c r="R3059">
        <f>K3059-G3059*H3059/k_n</f>
        <v/>
      </c>
      <c r="S3059">
        <f>L3059-LTP3!$D$3*G3059/k_n</f>
        <v/>
      </c>
      <c r="T3059">
        <f>M3059-LTP3!$D$3*H3059/k_n</f>
        <v/>
      </c>
      <c r="U3059">
        <f>N3059-G3059*LTP3!$D$4/k_n</f>
        <v/>
      </c>
      <c r="V3059">
        <f>O3059-H3059*LTP3!$D$4/k_n</f>
        <v/>
      </c>
      <c r="W3059">
        <f>((LTP3!$D$5)*((P3059)*(Q3059)-(R3059)*(R3059))-(S3059)*((S3059)*(Q3059)-(R3059)*(T3059))+(T3059)*((S3059)*(R3059)-(P3059)*(T3059)))</f>
        <v/>
      </c>
      <c r="X3059">
        <f>IF(ABS(W3059)&gt;1E-12,((LTP3!$D$6)*((P3059)*(Q3059)-(R3059)*(R3059))-(S3059)*((U3059)*(Q3059)-(R3059)*(V3059))+(T3059)*((U3059)*(R3059)-(P3059)*(V3059)))/W3059,0)</f>
        <v/>
      </c>
      <c r="Y3059">
        <f>IF(ABS(W3059)&gt;1E-12,((LTP3!$D$5)*((U3059)*(Q3059)-(R3059)*(V3059))-(LTP3!$D$6)*((S3059)*(Q3059)-(R3059)*(T3059))+(T3059)*((S3059)*(V3059)-(U3059)*(T3059)))/W3059,0)</f>
        <v/>
      </c>
      <c r="Z3059">
        <f>IF(ABS(W3059)&gt;1E-12,((LTP3!$D$5)*((P3059)*(V3059)-(U3059)*(R3059))-(S3059)*((S3059)*(V3059)-(U3059)*(T3059))+(LTP3!$D$6)*((S3059)*(R3059)-(P3059)*(T3059)))/W3059,0)</f>
        <v/>
      </c>
      <c r="AA3059">
        <f>LTP3!$D$7-X3059*LTP3!$D$6-Y3059*U3059-Z3059*V3059</f>
        <v/>
      </c>
      <c r="AB3059">
        <f>IF(AND(F3059,ABS(W3059)&gt;1E-12,Y3059&gt;0,Z3059&gt;0),AA3059,1E+300)</f>
        <v/>
      </c>
    </row>
    <row r="3060">
      <c r="A3060">
        <f>$B$3+$B$5*49</f>
        <v/>
      </c>
      <c r="B3060">
        <f>$B$3+$B$5*59</f>
        <v/>
      </c>
      <c r="C3060">
        <f>SUMPRODUCT(Calc!$K$3:$K$22*(Calc!$G$3:$G$22&lt;=A3060))</f>
        <v/>
      </c>
      <c r="D3060">
        <f>SUMPRODUCT(Calc!$K$3:$K$22*(Calc!$G$3:$G$22&gt;A3060)*(Calc!$G$3:$G$22&lt;B3060))</f>
        <v/>
      </c>
      <c r="E3060">
        <f>SUMPRODUCT(Calc!$K$3:$K$22*(Calc!$G$3:$G$22&gt;=B3060))</f>
        <v/>
      </c>
      <c r="F3060">
        <f>AND(k_n&gt;=5,B3060&gt;A3060+1E-9,C3060&gt;=2,D3060&gt;=1,E3060&gt;=2)</f>
        <v/>
      </c>
      <c r="G3060">
        <f>SUMPRODUCT(Calc!$K$3:$K$22*(Calc!$G$3:$G$22&gt;A3060)*(Calc!$G$3:$G$22-A3060))</f>
        <v/>
      </c>
      <c r="H3060">
        <f>SUMPRODUCT(Calc!$K$3:$K$22*(Calc!$G$3:$G$22&gt;B3060)*(Calc!$G$3:$G$22-B3060))</f>
        <v/>
      </c>
      <c r="I3060">
        <f>SUMPRODUCT(Calc!$K$3:$K$22*(Calc!$G$3:$G$22&gt;A3060)*(Calc!$G$3:$G$22-A3060)^2)</f>
        <v/>
      </c>
      <c r="J3060">
        <f>SUMPRODUCT(Calc!$K$3:$K$22*(Calc!$G$3:$G$22&gt;B3060)*(Calc!$G$3:$G$22-B3060)^2)</f>
        <v/>
      </c>
      <c r="K3060">
        <f>SUMPRODUCT(Calc!$K$3:$K$22*(Calc!$G$3:$G$22&gt;A3060)*(Calc!$G$3:$G$22-A3060)*(Calc!$G$3:$G$22&gt;B3060)*(Calc!$G$3:$G$22-B3060))</f>
        <v/>
      </c>
      <c r="L3060">
        <f>SUMPRODUCT(Calc!$K$3:$K$22*(Calc!$G$3:$G$22&gt;A3060)*(Calc!$G$3:$G$22-A3060)*Calc!$G$3:$G$22)</f>
        <v/>
      </c>
      <c r="M3060">
        <f>SUMPRODUCT(Calc!$K$3:$K$22*(Calc!$G$3:$G$22&gt;B3060)*(Calc!$G$3:$G$22-B3060)*Calc!$G$3:$G$22)</f>
        <v/>
      </c>
      <c r="N3060">
        <f>SUMPRODUCT(Calc!$K$3:$K$22*(Calc!$G$3:$G$22&gt;A3060)*(Calc!$G$3:$G$22-A3060)*Calc!$I$3:$I$22)</f>
        <v/>
      </c>
      <c r="O3060">
        <f>SUMPRODUCT(Calc!$K$3:$K$22*(Calc!$G$3:$G$22&gt;B3060)*(Calc!$G$3:$G$22-B3060)*Calc!$I$3:$I$22)</f>
        <v/>
      </c>
      <c r="P3060">
        <f>I3060-G3060^2/k_n</f>
        <v/>
      </c>
      <c r="Q3060">
        <f>J3060-H3060^2/k_n</f>
        <v/>
      </c>
      <c r="R3060">
        <f>K3060-G3060*H3060/k_n</f>
        <v/>
      </c>
      <c r="S3060">
        <f>L3060-LTP3!$D$3*G3060/k_n</f>
        <v/>
      </c>
      <c r="T3060">
        <f>M3060-LTP3!$D$3*H3060/k_n</f>
        <v/>
      </c>
      <c r="U3060">
        <f>N3060-G3060*LTP3!$D$4/k_n</f>
        <v/>
      </c>
      <c r="V3060">
        <f>O3060-H3060*LTP3!$D$4/k_n</f>
        <v/>
      </c>
      <c r="W3060">
        <f>((LTP3!$D$5)*((P3060)*(Q3060)-(R3060)*(R3060))-(S3060)*((S3060)*(Q3060)-(R3060)*(T3060))+(T3060)*((S3060)*(R3060)-(P3060)*(T3060)))</f>
        <v/>
      </c>
      <c r="X3060">
        <f>IF(ABS(W3060)&gt;1E-12,((LTP3!$D$6)*((P3060)*(Q3060)-(R3060)*(R3060))-(S3060)*((U3060)*(Q3060)-(R3060)*(V3060))+(T3060)*((U3060)*(R3060)-(P3060)*(V3060)))/W3060,0)</f>
        <v/>
      </c>
      <c r="Y3060">
        <f>IF(ABS(W3060)&gt;1E-12,((LTP3!$D$5)*((U3060)*(Q3060)-(R3060)*(V3060))-(LTP3!$D$6)*((S3060)*(Q3060)-(R3060)*(T3060))+(T3060)*((S3060)*(V3060)-(U3060)*(T3060)))/W3060,0)</f>
        <v/>
      </c>
      <c r="Z3060">
        <f>IF(ABS(W3060)&gt;1E-12,((LTP3!$D$5)*((P3060)*(V3060)-(U3060)*(R3060))-(S3060)*((S3060)*(V3060)-(U3060)*(T3060))+(LTP3!$D$6)*((S3060)*(R3060)-(P3060)*(T3060)))/W3060,0)</f>
        <v/>
      </c>
      <c r="AA3060">
        <f>LTP3!$D$7-X3060*LTP3!$D$6-Y3060*U3060-Z3060*V3060</f>
        <v/>
      </c>
      <c r="AB3060">
        <f>IF(AND(F3060,ABS(W3060)&gt;1E-12,Y3060&gt;0,Z3060&gt;0),AA3060,1E+300)</f>
        <v/>
      </c>
    </row>
    <row r="3061">
      <c r="A3061">
        <f>$B$3+$B$5*49</f>
        <v/>
      </c>
      <c r="B3061">
        <f>$B$3+$B$5*60</f>
        <v/>
      </c>
      <c r="C3061">
        <f>SUMPRODUCT(Calc!$K$3:$K$22*(Calc!$G$3:$G$22&lt;=A3061))</f>
        <v/>
      </c>
      <c r="D3061">
        <f>SUMPRODUCT(Calc!$K$3:$K$22*(Calc!$G$3:$G$22&gt;A3061)*(Calc!$G$3:$G$22&lt;B3061))</f>
        <v/>
      </c>
      <c r="E3061">
        <f>SUMPRODUCT(Calc!$K$3:$K$22*(Calc!$G$3:$G$22&gt;=B3061))</f>
        <v/>
      </c>
      <c r="F3061">
        <f>AND(k_n&gt;=5,B3061&gt;A3061+1E-9,C3061&gt;=2,D3061&gt;=1,E3061&gt;=2)</f>
        <v/>
      </c>
      <c r="G3061">
        <f>SUMPRODUCT(Calc!$K$3:$K$22*(Calc!$G$3:$G$22&gt;A3061)*(Calc!$G$3:$G$22-A3061))</f>
        <v/>
      </c>
      <c r="H3061">
        <f>SUMPRODUCT(Calc!$K$3:$K$22*(Calc!$G$3:$G$22&gt;B3061)*(Calc!$G$3:$G$22-B3061))</f>
        <v/>
      </c>
      <c r="I3061">
        <f>SUMPRODUCT(Calc!$K$3:$K$22*(Calc!$G$3:$G$22&gt;A3061)*(Calc!$G$3:$G$22-A3061)^2)</f>
        <v/>
      </c>
      <c r="J3061">
        <f>SUMPRODUCT(Calc!$K$3:$K$22*(Calc!$G$3:$G$22&gt;B3061)*(Calc!$G$3:$G$22-B3061)^2)</f>
        <v/>
      </c>
      <c r="K3061">
        <f>SUMPRODUCT(Calc!$K$3:$K$22*(Calc!$G$3:$G$22&gt;A3061)*(Calc!$G$3:$G$22-A3061)*(Calc!$G$3:$G$22&gt;B3061)*(Calc!$G$3:$G$22-B3061))</f>
        <v/>
      </c>
      <c r="L3061">
        <f>SUMPRODUCT(Calc!$K$3:$K$22*(Calc!$G$3:$G$22&gt;A3061)*(Calc!$G$3:$G$22-A3061)*Calc!$G$3:$G$22)</f>
        <v/>
      </c>
      <c r="M3061">
        <f>SUMPRODUCT(Calc!$K$3:$K$22*(Calc!$G$3:$G$22&gt;B3061)*(Calc!$G$3:$G$22-B3061)*Calc!$G$3:$G$22)</f>
        <v/>
      </c>
      <c r="N3061">
        <f>SUMPRODUCT(Calc!$K$3:$K$22*(Calc!$G$3:$G$22&gt;A3061)*(Calc!$G$3:$G$22-A3061)*Calc!$I$3:$I$22)</f>
        <v/>
      </c>
      <c r="O3061">
        <f>SUMPRODUCT(Calc!$K$3:$K$22*(Calc!$G$3:$G$22&gt;B3061)*(Calc!$G$3:$G$22-B3061)*Calc!$I$3:$I$22)</f>
        <v/>
      </c>
      <c r="P3061">
        <f>I3061-G3061^2/k_n</f>
        <v/>
      </c>
      <c r="Q3061">
        <f>J3061-H3061^2/k_n</f>
        <v/>
      </c>
      <c r="R3061">
        <f>K3061-G3061*H3061/k_n</f>
        <v/>
      </c>
      <c r="S3061">
        <f>L3061-LTP3!$D$3*G3061/k_n</f>
        <v/>
      </c>
      <c r="T3061">
        <f>M3061-LTP3!$D$3*H3061/k_n</f>
        <v/>
      </c>
      <c r="U3061">
        <f>N3061-G3061*LTP3!$D$4/k_n</f>
        <v/>
      </c>
      <c r="V3061">
        <f>O3061-H3061*LTP3!$D$4/k_n</f>
        <v/>
      </c>
      <c r="W3061">
        <f>((LTP3!$D$5)*((P3061)*(Q3061)-(R3061)*(R3061))-(S3061)*((S3061)*(Q3061)-(R3061)*(T3061))+(T3061)*((S3061)*(R3061)-(P3061)*(T3061)))</f>
        <v/>
      </c>
      <c r="X3061">
        <f>IF(ABS(W3061)&gt;1E-12,((LTP3!$D$6)*((P3061)*(Q3061)-(R3061)*(R3061))-(S3061)*((U3061)*(Q3061)-(R3061)*(V3061))+(T3061)*((U3061)*(R3061)-(P3061)*(V3061)))/W3061,0)</f>
        <v/>
      </c>
      <c r="Y3061">
        <f>IF(ABS(W3061)&gt;1E-12,((LTP3!$D$5)*((U3061)*(Q3061)-(R3061)*(V3061))-(LTP3!$D$6)*((S3061)*(Q3061)-(R3061)*(T3061))+(T3061)*((S3061)*(V3061)-(U3061)*(T3061)))/W3061,0)</f>
        <v/>
      </c>
      <c r="Z3061">
        <f>IF(ABS(W3061)&gt;1E-12,((LTP3!$D$5)*((P3061)*(V3061)-(U3061)*(R3061))-(S3061)*((S3061)*(V3061)-(U3061)*(T3061))+(LTP3!$D$6)*((S3061)*(R3061)-(P3061)*(T3061)))/W3061,0)</f>
        <v/>
      </c>
      <c r="AA3061">
        <f>LTP3!$D$7-X3061*LTP3!$D$6-Y3061*U3061-Z3061*V3061</f>
        <v/>
      </c>
      <c r="AB3061">
        <f>IF(AND(F3061,ABS(W3061)&gt;1E-12,Y3061&gt;0,Z3061&gt;0),AA3061,1E+300)</f>
        <v/>
      </c>
    </row>
    <row r="3062">
      <c r="A3062">
        <f>$B$3+$B$5*50</f>
        <v/>
      </c>
      <c r="B3062">
        <f>$B$3+$B$5*0</f>
        <v/>
      </c>
      <c r="C3062">
        <f>SUMPRODUCT(Calc!$K$3:$K$22*(Calc!$G$3:$G$22&lt;=A3062))</f>
        <v/>
      </c>
      <c r="D3062">
        <f>SUMPRODUCT(Calc!$K$3:$K$22*(Calc!$G$3:$G$22&gt;A3062)*(Calc!$G$3:$G$22&lt;B3062))</f>
        <v/>
      </c>
      <c r="E3062">
        <f>SUMPRODUCT(Calc!$K$3:$K$22*(Calc!$G$3:$G$22&gt;=B3062))</f>
        <v/>
      </c>
      <c r="F3062">
        <f>AND(k_n&gt;=5,B3062&gt;A3062+1E-9,C3062&gt;=2,D3062&gt;=1,E3062&gt;=2)</f>
        <v/>
      </c>
      <c r="G3062">
        <f>SUMPRODUCT(Calc!$K$3:$K$22*(Calc!$G$3:$G$22&gt;A3062)*(Calc!$G$3:$G$22-A3062))</f>
        <v/>
      </c>
      <c r="H3062">
        <f>SUMPRODUCT(Calc!$K$3:$K$22*(Calc!$G$3:$G$22&gt;B3062)*(Calc!$G$3:$G$22-B3062))</f>
        <v/>
      </c>
      <c r="I3062">
        <f>SUMPRODUCT(Calc!$K$3:$K$22*(Calc!$G$3:$G$22&gt;A3062)*(Calc!$G$3:$G$22-A3062)^2)</f>
        <v/>
      </c>
      <c r="J3062">
        <f>SUMPRODUCT(Calc!$K$3:$K$22*(Calc!$G$3:$G$22&gt;B3062)*(Calc!$G$3:$G$22-B3062)^2)</f>
        <v/>
      </c>
      <c r="K3062">
        <f>SUMPRODUCT(Calc!$K$3:$K$22*(Calc!$G$3:$G$22&gt;A3062)*(Calc!$G$3:$G$22-A3062)*(Calc!$G$3:$G$22&gt;B3062)*(Calc!$G$3:$G$22-B3062))</f>
        <v/>
      </c>
      <c r="L3062">
        <f>SUMPRODUCT(Calc!$K$3:$K$22*(Calc!$G$3:$G$22&gt;A3062)*(Calc!$G$3:$G$22-A3062)*Calc!$G$3:$G$22)</f>
        <v/>
      </c>
      <c r="M3062">
        <f>SUMPRODUCT(Calc!$K$3:$K$22*(Calc!$G$3:$G$22&gt;B3062)*(Calc!$G$3:$G$22-B3062)*Calc!$G$3:$G$22)</f>
        <v/>
      </c>
      <c r="N3062">
        <f>SUMPRODUCT(Calc!$K$3:$K$22*(Calc!$G$3:$G$22&gt;A3062)*(Calc!$G$3:$G$22-A3062)*Calc!$I$3:$I$22)</f>
        <v/>
      </c>
      <c r="O3062">
        <f>SUMPRODUCT(Calc!$K$3:$K$22*(Calc!$G$3:$G$22&gt;B3062)*(Calc!$G$3:$G$22-B3062)*Calc!$I$3:$I$22)</f>
        <v/>
      </c>
      <c r="P3062">
        <f>I3062-G3062^2/k_n</f>
        <v/>
      </c>
      <c r="Q3062">
        <f>J3062-H3062^2/k_n</f>
        <v/>
      </c>
      <c r="R3062">
        <f>K3062-G3062*H3062/k_n</f>
        <v/>
      </c>
      <c r="S3062">
        <f>L3062-LTP3!$D$3*G3062/k_n</f>
        <v/>
      </c>
      <c r="T3062">
        <f>M3062-LTP3!$D$3*H3062/k_n</f>
        <v/>
      </c>
      <c r="U3062">
        <f>N3062-G3062*LTP3!$D$4/k_n</f>
        <v/>
      </c>
      <c r="V3062">
        <f>O3062-H3062*LTP3!$D$4/k_n</f>
        <v/>
      </c>
      <c r="W3062">
        <f>((LTP3!$D$5)*((P3062)*(Q3062)-(R3062)*(R3062))-(S3062)*((S3062)*(Q3062)-(R3062)*(T3062))+(T3062)*((S3062)*(R3062)-(P3062)*(T3062)))</f>
        <v/>
      </c>
      <c r="X3062">
        <f>IF(ABS(W3062)&gt;1E-12,((LTP3!$D$6)*((P3062)*(Q3062)-(R3062)*(R3062))-(S3062)*((U3062)*(Q3062)-(R3062)*(V3062))+(T3062)*((U3062)*(R3062)-(P3062)*(V3062)))/W3062,0)</f>
        <v/>
      </c>
      <c r="Y3062">
        <f>IF(ABS(W3062)&gt;1E-12,((LTP3!$D$5)*((U3062)*(Q3062)-(R3062)*(V3062))-(LTP3!$D$6)*((S3062)*(Q3062)-(R3062)*(T3062))+(T3062)*((S3062)*(V3062)-(U3062)*(T3062)))/W3062,0)</f>
        <v/>
      </c>
      <c r="Z3062">
        <f>IF(ABS(W3062)&gt;1E-12,((LTP3!$D$5)*((P3062)*(V3062)-(U3062)*(R3062))-(S3062)*((S3062)*(V3062)-(U3062)*(T3062))+(LTP3!$D$6)*((S3062)*(R3062)-(P3062)*(T3062)))/W3062,0)</f>
        <v/>
      </c>
      <c r="AA3062">
        <f>LTP3!$D$7-X3062*LTP3!$D$6-Y3062*U3062-Z3062*V3062</f>
        <v/>
      </c>
      <c r="AB3062">
        <f>IF(AND(F3062,ABS(W3062)&gt;1E-12,Y3062&gt;0,Z3062&gt;0),AA3062,1E+300)</f>
        <v/>
      </c>
    </row>
    <row r="3063">
      <c r="A3063">
        <f>$B$3+$B$5*50</f>
        <v/>
      </c>
      <c r="B3063">
        <f>$B$3+$B$5*1</f>
        <v/>
      </c>
      <c r="C3063">
        <f>SUMPRODUCT(Calc!$K$3:$K$22*(Calc!$G$3:$G$22&lt;=A3063))</f>
        <v/>
      </c>
      <c r="D3063">
        <f>SUMPRODUCT(Calc!$K$3:$K$22*(Calc!$G$3:$G$22&gt;A3063)*(Calc!$G$3:$G$22&lt;B3063))</f>
        <v/>
      </c>
      <c r="E3063">
        <f>SUMPRODUCT(Calc!$K$3:$K$22*(Calc!$G$3:$G$22&gt;=B3063))</f>
        <v/>
      </c>
      <c r="F3063">
        <f>AND(k_n&gt;=5,B3063&gt;A3063+1E-9,C3063&gt;=2,D3063&gt;=1,E3063&gt;=2)</f>
        <v/>
      </c>
      <c r="G3063">
        <f>SUMPRODUCT(Calc!$K$3:$K$22*(Calc!$G$3:$G$22&gt;A3063)*(Calc!$G$3:$G$22-A3063))</f>
        <v/>
      </c>
      <c r="H3063">
        <f>SUMPRODUCT(Calc!$K$3:$K$22*(Calc!$G$3:$G$22&gt;B3063)*(Calc!$G$3:$G$22-B3063))</f>
        <v/>
      </c>
      <c r="I3063">
        <f>SUMPRODUCT(Calc!$K$3:$K$22*(Calc!$G$3:$G$22&gt;A3063)*(Calc!$G$3:$G$22-A3063)^2)</f>
        <v/>
      </c>
      <c r="J3063">
        <f>SUMPRODUCT(Calc!$K$3:$K$22*(Calc!$G$3:$G$22&gt;B3063)*(Calc!$G$3:$G$22-B3063)^2)</f>
        <v/>
      </c>
      <c r="K3063">
        <f>SUMPRODUCT(Calc!$K$3:$K$22*(Calc!$G$3:$G$22&gt;A3063)*(Calc!$G$3:$G$22-A3063)*(Calc!$G$3:$G$22&gt;B3063)*(Calc!$G$3:$G$22-B3063))</f>
        <v/>
      </c>
      <c r="L3063">
        <f>SUMPRODUCT(Calc!$K$3:$K$22*(Calc!$G$3:$G$22&gt;A3063)*(Calc!$G$3:$G$22-A3063)*Calc!$G$3:$G$22)</f>
        <v/>
      </c>
      <c r="M3063">
        <f>SUMPRODUCT(Calc!$K$3:$K$22*(Calc!$G$3:$G$22&gt;B3063)*(Calc!$G$3:$G$22-B3063)*Calc!$G$3:$G$22)</f>
        <v/>
      </c>
      <c r="N3063">
        <f>SUMPRODUCT(Calc!$K$3:$K$22*(Calc!$G$3:$G$22&gt;A3063)*(Calc!$G$3:$G$22-A3063)*Calc!$I$3:$I$22)</f>
        <v/>
      </c>
      <c r="O3063">
        <f>SUMPRODUCT(Calc!$K$3:$K$22*(Calc!$G$3:$G$22&gt;B3063)*(Calc!$G$3:$G$22-B3063)*Calc!$I$3:$I$22)</f>
        <v/>
      </c>
      <c r="P3063">
        <f>I3063-G3063^2/k_n</f>
        <v/>
      </c>
      <c r="Q3063">
        <f>J3063-H3063^2/k_n</f>
        <v/>
      </c>
      <c r="R3063">
        <f>K3063-G3063*H3063/k_n</f>
        <v/>
      </c>
      <c r="S3063">
        <f>L3063-LTP3!$D$3*G3063/k_n</f>
        <v/>
      </c>
      <c r="T3063">
        <f>M3063-LTP3!$D$3*H3063/k_n</f>
        <v/>
      </c>
      <c r="U3063">
        <f>N3063-G3063*LTP3!$D$4/k_n</f>
        <v/>
      </c>
      <c r="V3063">
        <f>O3063-H3063*LTP3!$D$4/k_n</f>
        <v/>
      </c>
      <c r="W3063">
        <f>((LTP3!$D$5)*((P3063)*(Q3063)-(R3063)*(R3063))-(S3063)*((S3063)*(Q3063)-(R3063)*(T3063))+(T3063)*((S3063)*(R3063)-(P3063)*(T3063)))</f>
        <v/>
      </c>
      <c r="X3063">
        <f>IF(ABS(W3063)&gt;1E-12,((LTP3!$D$6)*((P3063)*(Q3063)-(R3063)*(R3063))-(S3063)*((U3063)*(Q3063)-(R3063)*(V3063))+(T3063)*((U3063)*(R3063)-(P3063)*(V3063)))/W3063,0)</f>
        <v/>
      </c>
      <c r="Y3063">
        <f>IF(ABS(W3063)&gt;1E-12,((LTP3!$D$5)*((U3063)*(Q3063)-(R3063)*(V3063))-(LTP3!$D$6)*((S3063)*(Q3063)-(R3063)*(T3063))+(T3063)*((S3063)*(V3063)-(U3063)*(T3063)))/W3063,0)</f>
        <v/>
      </c>
      <c r="Z3063">
        <f>IF(ABS(W3063)&gt;1E-12,((LTP3!$D$5)*((P3063)*(V3063)-(U3063)*(R3063))-(S3063)*((S3063)*(V3063)-(U3063)*(T3063))+(LTP3!$D$6)*((S3063)*(R3063)-(P3063)*(T3063)))/W3063,0)</f>
        <v/>
      </c>
      <c r="AA3063">
        <f>LTP3!$D$7-X3063*LTP3!$D$6-Y3063*U3063-Z3063*V3063</f>
        <v/>
      </c>
      <c r="AB3063">
        <f>IF(AND(F3063,ABS(W3063)&gt;1E-12,Y3063&gt;0,Z3063&gt;0),AA3063,1E+300)</f>
        <v/>
      </c>
    </row>
    <row r="3064">
      <c r="A3064">
        <f>$B$3+$B$5*50</f>
        <v/>
      </c>
      <c r="B3064">
        <f>$B$3+$B$5*2</f>
        <v/>
      </c>
      <c r="C3064">
        <f>SUMPRODUCT(Calc!$K$3:$K$22*(Calc!$G$3:$G$22&lt;=A3064))</f>
        <v/>
      </c>
      <c r="D3064">
        <f>SUMPRODUCT(Calc!$K$3:$K$22*(Calc!$G$3:$G$22&gt;A3064)*(Calc!$G$3:$G$22&lt;B3064))</f>
        <v/>
      </c>
      <c r="E3064">
        <f>SUMPRODUCT(Calc!$K$3:$K$22*(Calc!$G$3:$G$22&gt;=B3064))</f>
        <v/>
      </c>
      <c r="F3064">
        <f>AND(k_n&gt;=5,B3064&gt;A3064+1E-9,C3064&gt;=2,D3064&gt;=1,E3064&gt;=2)</f>
        <v/>
      </c>
      <c r="G3064">
        <f>SUMPRODUCT(Calc!$K$3:$K$22*(Calc!$G$3:$G$22&gt;A3064)*(Calc!$G$3:$G$22-A3064))</f>
        <v/>
      </c>
      <c r="H3064">
        <f>SUMPRODUCT(Calc!$K$3:$K$22*(Calc!$G$3:$G$22&gt;B3064)*(Calc!$G$3:$G$22-B3064))</f>
        <v/>
      </c>
      <c r="I3064">
        <f>SUMPRODUCT(Calc!$K$3:$K$22*(Calc!$G$3:$G$22&gt;A3064)*(Calc!$G$3:$G$22-A3064)^2)</f>
        <v/>
      </c>
      <c r="J3064">
        <f>SUMPRODUCT(Calc!$K$3:$K$22*(Calc!$G$3:$G$22&gt;B3064)*(Calc!$G$3:$G$22-B3064)^2)</f>
        <v/>
      </c>
      <c r="K3064">
        <f>SUMPRODUCT(Calc!$K$3:$K$22*(Calc!$G$3:$G$22&gt;A3064)*(Calc!$G$3:$G$22-A3064)*(Calc!$G$3:$G$22&gt;B3064)*(Calc!$G$3:$G$22-B3064))</f>
        <v/>
      </c>
      <c r="L3064">
        <f>SUMPRODUCT(Calc!$K$3:$K$22*(Calc!$G$3:$G$22&gt;A3064)*(Calc!$G$3:$G$22-A3064)*Calc!$G$3:$G$22)</f>
        <v/>
      </c>
      <c r="M3064">
        <f>SUMPRODUCT(Calc!$K$3:$K$22*(Calc!$G$3:$G$22&gt;B3064)*(Calc!$G$3:$G$22-B3064)*Calc!$G$3:$G$22)</f>
        <v/>
      </c>
      <c r="N3064">
        <f>SUMPRODUCT(Calc!$K$3:$K$22*(Calc!$G$3:$G$22&gt;A3064)*(Calc!$G$3:$G$22-A3064)*Calc!$I$3:$I$22)</f>
        <v/>
      </c>
      <c r="O3064">
        <f>SUMPRODUCT(Calc!$K$3:$K$22*(Calc!$G$3:$G$22&gt;B3064)*(Calc!$G$3:$G$22-B3064)*Calc!$I$3:$I$22)</f>
        <v/>
      </c>
      <c r="P3064">
        <f>I3064-G3064^2/k_n</f>
        <v/>
      </c>
      <c r="Q3064">
        <f>J3064-H3064^2/k_n</f>
        <v/>
      </c>
      <c r="R3064">
        <f>K3064-G3064*H3064/k_n</f>
        <v/>
      </c>
      <c r="S3064">
        <f>L3064-LTP3!$D$3*G3064/k_n</f>
        <v/>
      </c>
      <c r="T3064">
        <f>M3064-LTP3!$D$3*H3064/k_n</f>
        <v/>
      </c>
      <c r="U3064">
        <f>N3064-G3064*LTP3!$D$4/k_n</f>
        <v/>
      </c>
      <c r="V3064">
        <f>O3064-H3064*LTP3!$D$4/k_n</f>
        <v/>
      </c>
      <c r="W3064">
        <f>((LTP3!$D$5)*((P3064)*(Q3064)-(R3064)*(R3064))-(S3064)*((S3064)*(Q3064)-(R3064)*(T3064))+(T3064)*((S3064)*(R3064)-(P3064)*(T3064)))</f>
        <v/>
      </c>
      <c r="X3064">
        <f>IF(ABS(W3064)&gt;1E-12,((LTP3!$D$6)*((P3064)*(Q3064)-(R3064)*(R3064))-(S3064)*((U3064)*(Q3064)-(R3064)*(V3064))+(T3064)*((U3064)*(R3064)-(P3064)*(V3064)))/W3064,0)</f>
        <v/>
      </c>
      <c r="Y3064">
        <f>IF(ABS(W3064)&gt;1E-12,((LTP3!$D$5)*((U3064)*(Q3064)-(R3064)*(V3064))-(LTP3!$D$6)*((S3064)*(Q3064)-(R3064)*(T3064))+(T3064)*((S3064)*(V3064)-(U3064)*(T3064)))/W3064,0)</f>
        <v/>
      </c>
      <c r="Z3064">
        <f>IF(ABS(W3064)&gt;1E-12,((LTP3!$D$5)*((P3064)*(V3064)-(U3064)*(R3064))-(S3064)*((S3064)*(V3064)-(U3064)*(T3064))+(LTP3!$D$6)*((S3064)*(R3064)-(P3064)*(T3064)))/W3064,0)</f>
        <v/>
      </c>
      <c r="AA3064">
        <f>LTP3!$D$7-X3064*LTP3!$D$6-Y3064*U3064-Z3064*V3064</f>
        <v/>
      </c>
      <c r="AB3064">
        <f>IF(AND(F3064,ABS(W3064)&gt;1E-12,Y3064&gt;0,Z3064&gt;0),AA3064,1E+300)</f>
        <v/>
      </c>
    </row>
    <row r="3065">
      <c r="A3065">
        <f>$B$3+$B$5*50</f>
        <v/>
      </c>
      <c r="B3065">
        <f>$B$3+$B$5*3</f>
        <v/>
      </c>
      <c r="C3065">
        <f>SUMPRODUCT(Calc!$K$3:$K$22*(Calc!$G$3:$G$22&lt;=A3065))</f>
        <v/>
      </c>
      <c r="D3065">
        <f>SUMPRODUCT(Calc!$K$3:$K$22*(Calc!$G$3:$G$22&gt;A3065)*(Calc!$G$3:$G$22&lt;B3065))</f>
        <v/>
      </c>
      <c r="E3065">
        <f>SUMPRODUCT(Calc!$K$3:$K$22*(Calc!$G$3:$G$22&gt;=B3065))</f>
        <v/>
      </c>
      <c r="F3065">
        <f>AND(k_n&gt;=5,B3065&gt;A3065+1E-9,C3065&gt;=2,D3065&gt;=1,E3065&gt;=2)</f>
        <v/>
      </c>
      <c r="G3065">
        <f>SUMPRODUCT(Calc!$K$3:$K$22*(Calc!$G$3:$G$22&gt;A3065)*(Calc!$G$3:$G$22-A3065))</f>
        <v/>
      </c>
      <c r="H3065">
        <f>SUMPRODUCT(Calc!$K$3:$K$22*(Calc!$G$3:$G$22&gt;B3065)*(Calc!$G$3:$G$22-B3065))</f>
        <v/>
      </c>
      <c r="I3065">
        <f>SUMPRODUCT(Calc!$K$3:$K$22*(Calc!$G$3:$G$22&gt;A3065)*(Calc!$G$3:$G$22-A3065)^2)</f>
        <v/>
      </c>
      <c r="J3065">
        <f>SUMPRODUCT(Calc!$K$3:$K$22*(Calc!$G$3:$G$22&gt;B3065)*(Calc!$G$3:$G$22-B3065)^2)</f>
        <v/>
      </c>
      <c r="K3065">
        <f>SUMPRODUCT(Calc!$K$3:$K$22*(Calc!$G$3:$G$22&gt;A3065)*(Calc!$G$3:$G$22-A3065)*(Calc!$G$3:$G$22&gt;B3065)*(Calc!$G$3:$G$22-B3065))</f>
        <v/>
      </c>
      <c r="L3065">
        <f>SUMPRODUCT(Calc!$K$3:$K$22*(Calc!$G$3:$G$22&gt;A3065)*(Calc!$G$3:$G$22-A3065)*Calc!$G$3:$G$22)</f>
        <v/>
      </c>
      <c r="M3065">
        <f>SUMPRODUCT(Calc!$K$3:$K$22*(Calc!$G$3:$G$22&gt;B3065)*(Calc!$G$3:$G$22-B3065)*Calc!$G$3:$G$22)</f>
        <v/>
      </c>
      <c r="N3065">
        <f>SUMPRODUCT(Calc!$K$3:$K$22*(Calc!$G$3:$G$22&gt;A3065)*(Calc!$G$3:$G$22-A3065)*Calc!$I$3:$I$22)</f>
        <v/>
      </c>
      <c r="O3065">
        <f>SUMPRODUCT(Calc!$K$3:$K$22*(Calc!$G$3:$G$22&gt;B3065)*(Calc!$G$3:$G$22-B3065)*Calc!$I$3:$I$22)</f>
        <v/>
      </c>
      <c r="P3065">
        <f>I3065-G3065^2/k_n</f>
        <v/>
      </c>
      <c r="Q3065">
        <f>J3065-H3065^2/k_n</f>
        <v/>
      </c>
      <c r="R3065">
        <f>K3065-G3065*H3065/k_n</f>
        <v/>
      </c>
      <c r="S3065">
        <f>L3065-LTP3!$D$3*G3065/k_n</f>
        <v/>
      </c>
      <c r="T3065">
        <f>M3065-LTP3!$D$3*H3065/k_n</f>
        <v/>
      </c>
      <c r="U3065">
        <f>N3065-G3065*LTP3!$D$4/k_n</f>
        <v/>
      </c>
      <c r="V3065">
        <f>O3065-H3065*LTP3!$D$4/k_n</f>
        <v/>
      </c>
      <c r="W3065">
        <f>((LTP3!$D$5)*((P3065)*(Q3065)-(R3065)*(R3065))-(S3065)*((S3065)*(Q3065)-(R3065)*(T3065))+(T3065)*((S3065)*(R3065)-(P3065)*(T3065)))</f>
        <v/>
      </c>
      <c r="X3065">
        <f>IF(ABS(W3065)&gt;1E-12,((LTP3!$D$6)*((P3065)*(Q3065)-(R3065)*(R3065))-(S3065)*((U3065)*(Q3065)-(R3065)*(V3065))+(T3065)*((U3065)*(R3065)-(P3065)*(V3065)))/W3065,0)</f>
        <v/>
      </c>
      <c r="Y3065">
        <f>IF(ABS(W3065)&gt;1E-12,((LTP3!$D$5)*((U3065)*(Q3065)-(R3065)*(V3065))-(LTP3!$D$6)*((S3065)*(Q3065)-(R3065)*(T3065))+(T3065)*((S3065)*(V3065)-(U3065)*(T3065)))/W3065,0)</f>
        <v/>
      </c>
      <c r="Z3065">
        <f>IF(ABS(W3065)&gt;1E-12,((LTP3!$D$5)*((P3065)*(V3065)-(U3065)*(R3065))-(S3065)*((S3065)*(V3065)-(U3065)*(T3065))+(LTP3!$D$6)*((S3065)*(R3065)-(P3065)*(T3065)))/W3065,0)</f>
        <v/>
      </c>
      <c r="AA3065">
        <f>LTP3!$D$7-X3065*LTP3!$D$6-Y3065*U3065-Z3065*V3065</f>
        <v/>
      </c>
      <c r="AB3065">
        <f>IF(AND(F3065,ABS(W3065)&gt;1E-12,Y3065&gt;0,Z3065&gt;0),AA3065,1E+300)</f>
        <v/>
      </c>
    </row>
    <row r="3066">
      <c r="A3066">
        <f>$B$3+$B$5*50</f>
        <v/>
      </c>
      <c r="B3066">
        <f>$B$3+$B$5*4</f>
        <v/>
      </c>
      <c r="C3066">
        <f>SUMPRODUCT(Calc!$K$3:$K$22*(Calc!$G$3:$G$22&lt;=A3066))</f>
        <v/>
      </c>
      <c r="D3066">
        <f>SUMPRODUCT(Calc!$K$3:$K$22*(Calc!$G$3:$G$22&gt;A3066)*(Calc!$G$3:$G$22&lt;B3066))</f>
        <v/>
      </c>
      <c r="E3066">
        <f>SUMPRODUCT(Calc!$K$3:$K$22*(Calc!$G$3:$G$22&gt;=B3066))</f>
        <v/>
      </c>
      <c r="F3066">
        <f>AND(k_n&gt;=5,B3066&gt;A3066+1E-9,C3066&gt;=2,D3066&gt;=1,E3066&gt;=2)</f>
        <v/>
      </c>
      <c r="G3066">
        <f>SUMPRODUCT(Calc!$K$3:$K$22*(Calc!$G$3:$G$22&gt;A3066)*(Calc!$G$3:$G$22-A3066))</f>
        <v/>
      </c>
      <c r="H3066">
        <f>SUMPRODUCT(Calc!$K$3:$K$22*(Calc!$G$3:$G$22&gt;B3066)*(Calc!$G$3:$G$22-B3066))</f>
        <v/>
      </c>
      <c r="I3066">
        <f>SUMPRODUCT(Calc!$K$3:$K$22*(Calc!$G$3:$G$22&gt;A3066)*(Calc!$G$3:$G$22-A3066)^2)</f>
        <v/>
      </c>
      <c r="J3066">
        <f>SUMPRODUCT(Calc!$K$3:$K$22*(Calc!$G$3:$G$22&gt;B3066)*(Calc!$G$3:$G$22-B3066)^2)</f>
        <v/>
      </c>
      <c r="K3066">
        <f>SUMPRODUCT(Calc!$K$3:$K$22*(Calc!$G$3:$G$22&gt;A3066)*(Calc!$G$3:$G$22-A3066)*(Calc!$G$3:$G$22&gt;B3066)*(Calc!$G$3:$G$22-B3066))</f>
        <v/>
      </c>
      <c r="L3066">
        <f>SUMPRODUCT(Calc!$K$3:$K$22*(Calc!$G$3:$G$22&gt;A3066)*(Calc!$G$3:$G$22-A3066)*Calc!$G$3:$G$22)</f>
        <v/>
      </c>
      <c r="M3066">
        <f>SUMPRODUCT(Calc!$K$3:$K$22*(Calc!$G$3:$G$22&gt;B3066)*(Calc!$G$3:$G$22-B3066)*Calc!$G$3:$G$22)</f>
        <v/>
      </c>
      <c r="N3066">
        <f>SUMPRODUCT(Calc!$K$3:$K$22*(Calc!$G$3:$G$22&gt;A3066)*(Calc!$G$3:$G$22-A3066)*Calc!$I$3:$I$22)</f>
        <v/>
      </c>
      <c r="O3066">
        <f>SUMPRODUCT(Calc!$K$3:$K$22*(Calc!$G$3:$G$22&gt;B3066)*(Calc!$G$3:$G$22-B3066)*Calc!$I$3:$I$22)</f>
        <v/>
      </c>
      <c r="P3066">
        <f>I3066-G3066^2/k_n</f>
        <v/>
      </c>
      <c r="Q3066">
        <f>J3066-H3066^2/k_n</f>
        <v/>
      </c>
      <c r="R3066">
        <f>K3066-G3066*H3066/k_n</f>
        <v/>
      </c>
      <c r="S3066">
        <f>L3066-LTP3!$D$3*G3066/k_n</f>
        <v/>
      </c>
      <c r="T3066">
        <f>M3066-LTP3!$D$3*H3066/k_n</f>
        <v/>
      </c>
      <c r="U3066">
        <f>N3066-G3066*LTP3!$D$4/k_n</f>
        <v/>
      </c>
      <c r="V3066">
        <f>O3066-H3066*LTP3!$D$4/k_n</f>
        <v/>
      </c>
      <c r="W3066">
        <f>((LTP3!$D$5)*((P3066)*(Q3066)-(R3066)*(R3066))-(S3066)*((S3066)*(Q3066)-(R3066)*(T3066))+(T3066)*((S3066)*(R3066)-(P3066)*(T3066)))</f>
        <v/>
      </c>
      <c r="X3066">
        <f>IF(ABS(W3066)&gt;1E-12,((LTP3!$D$6)*((P3066)*(Q3066)-(R3066)*(R3066))-(S3066)*((U3066)*(Q3066)-(R3066)*(V3066))+(T3066)*((U3066)*(R3066)-(P3066)*(V3066)))/W3066,0)</f>
        <v/>
      </c>
      <c r="Y3066">
        <f>IF(ABS(W3066)&gt;1E-12,((LTP3!$D$5)*((U3066)*(Q3066)-(R3066)*(V3066))-(LTP3!$D$6)*((S3066)*(Q3066)-(R3066)*(T3066))+(T3066)*((S3066)*(V3066)-(U3066)*(T3066)))/W3066,0)</f>
        <v/>
      </c>
      <c r="Z3066">
        <f>IF(ABS(W3066)&gt;1E-12,((LTP3!$D$5)*((P3066)*(V3066)-(U3066)*(R3066))-(S3066)*((S3066)*(V3066)-(U3066)*(T3066))+(LTP3!$D$6)*((S3066)*(R3066)-(P3066)*(T3066)))/W3066,0)</f>
        <v/>
      </c>
      <c r="AA3066">
        <f>LTP3!$D$7-X3066*LTP3!$D$6-Y3066*U3066-Z3066*V3066</f>
        <v/>
      </c>
      <c r="AB3066">
        <f>IF(AND(F3066,ABS(W3066)&gt;1E-12,Y3066&gt;0,Z3066&gt;0),AA3066,1E+300)</f>
        <v/>
      </c>
    </row>
    <row r="3067">
      <c r="A3067">
        <f>$B$3+$B$5*50</f>
        <v/>
      </c>
      <c r="B3067">
        <f>$B$3+$B$5*5</f>
        <v/>
      </c>
      <c r="C3067">
        <f>SUMPRODUCT(Calc!$K$3:$K$22*(Calc!$G$3:$G$22&lt;=A3067))</f>
        <v/>
      </c>
      <c r="D3067">
        <f>SUMPRODUCT(Calc!$K$3:$K$22*(Calc!$G$3:$G$22&gt;A3067)*(Calc!$G$3:$G$22&lt;B3067))</f>
        <v/>
      </c>
      <c r="E3067">
        <f>SUMPRODUCT(Calc!$K$3:$K$22*(Calc!$G$3:$G$22&gt;=B3067))</f>
        <v/>
      </c>
      <c r="F3067">
        <f>AND(k_n&gt;=5,B3067&gt;A3067+1E-9,C3067&gt;=2,D3067&gt;=1,E3067&gt;=2)</f>
        <v/>
      </c>
      <c r="G3067">
        <f>SUMPRODUCT(Calc!$K$3:$K$22*(Calc!$G$3:$G$22&gt;A3067)*(Calc!$G$3:$G$22-A3067))</f>
        <v/>
      </c>
      <c r="H3067">
        <f>SUMPRODUCT(Calc!$K$3:$K$22*(Calc!$G$3:$G$22&gt;B3067)*(Calc!$G$3:$G$22-B3067))</f>
        <v/>
      </c>
      <c r="I3067">
        <f>SUMPRODUCT(Calc!$K$3:$K$22*(Calc!$G$3:$G$22&gt;A3067)*(Calc!$G$3:$G$22-A3067)^2)</f>
        <v/>
      </c>
      <c r="J3067">
        <f>SUMPRODUCT(Calc!$K$3:$K$22*(Calc!$G$3:$G$22&gt;B3067)*(Calc!$G$3:$G$22-B3067)^2)</f>
        <v/>
      </c>
      <c r="K3067">
        <f>SUMPRODUCT(Calc!$K$3:$K$22*(Calc!$G$3:$G$22&gt;A3067)*(Calc!$G$3:$G$22-A3067)*(Calc!$G$3:$G$22&gt;B3067)*(Calc!$G$3:$G$22-B3067))</f>
        <v/>
      </c>
      <c r="L3067">
        <f>SUMPRODUCT(Calc!$K$3:$K$22*(Calc!$G$3:$G$22&gt;A3067)*(Calc!$G$3:$G$22-A3067)*Calc!$G$3:$G$22)</f>
        <v/>
      </c>
      <c r="M3067">
        <f>SUMPRODUCT(Calc!$K$3:$K$22*(Calc!$G$3:$G$22&gt;B3067)*(Calc!$G$3:$G$22-B3067)*Calc!$G$3:$G$22)</f>
        <v/>
      </c>
      <c r="N3067">
        <f>SUMPRODUCT(Calc!$K$3:$K$22*(Calc!$G$3:$G$22&gt;A3067)*(Calc!$G$3:$G$22-A3067)*Calc!$I$3:$I$22)</f>
        <v/>
      </c>
      <c r="O3067">
        <f>SUMPRODUCT(Calc!$K$3:$K$22*(Calc!$G$3:$G$22&gt;B3067)*(Calc!$G$3:$G$22-B3067)*Calc!$I$3:$I$22)</f>
        <v/>
      </c>
      <c r="P3067">
        <f>I3067-G3067^2/k_n</f>
        <v/>
      </c>
      <c r="Q3067">
        <f>J3067-H3067^2/k_n</f>
        <v/>
      </c>
      <c r="R3067">
        <f>K3067-G3067*H3067/k_n</f>
        <v/>
      </c>
      <c r="S3067">
        <f>L3067-LTP3!$D$3*G3067/k_n</f>
        <v/>
      </c>
      <c r="T3067">
        <f>M3067-LTP3!$D$3*H3067/k_n</f>
        <v/>
      </c>
      <c r="U3067">
        <f>N3067-G3067*LTP3!$D$4/k_n</f>
        <v/>
      </c>
      <c r="V3067">
        <f>O3067-H3067*LTP3!$D$4/k_n</f>
        <v/>
      </c>
      <c r="W3067">
        <f>((LTP3!$D$5)*((P3067)*(Q3067)-(R3067)*(R3067))-(S3067)*((S3067)*(Q3067)-(R3067)*(T3067))+(T3067)*((S3067)*(R3067)-(P3067)*(T3067)))</f>
        <v/>
      </c>
      <c r="X3067">
        <f>IF(ABS(W3067)&gt;1E-12,((LTP3!$D$6)*((P3067)*(Q3067)-(R3067)*(R3067))-(S3067)*((U3067)*(Q3067)-(R3067)*(V3067))+(T3067)*((U3067)*(R3067)-(P3067)*(V3067)))/W3067,0)</f>
        <v/>
      </c>
      <c r="Y3067">
        <f>IF(ABS(W3067)&gt;1E-12,((LTP3!$D$5)*((U3067)*(Q3067)-(R3067)*(V3067))-(LTP3!$D$6)*((S3067)*(Q3067)-(R3067)*(T3067))+(T3067)*((S3067)*(V3067)-(U3067)*(T3067)))/W3067,0)</f>
        <v/>
      </c>
      <c r="Z3067">
        <f>IF(ABS(W3067)&gt;1E-12,((LTP3!$D$5)*((P3067)*(V3067)-(U3067)*(R3067))-(S3067)*((S3067)*(V3067)-(U3067)*(T3067))+(LTP3!$D$6)*((S3067)*(R3067)-(P3067)*(T3067)))/W3067,0)</f>
        <v/>
      </c>
      <c r="AA3067">
        <f>LTP3!$D$7-X3067*LTP3!$D$6-Y3067*U3067-Z3067*V3067</f>
        <v/>
      </c>
      <c r="AB3067">
        <f>IF(AND(F3067,ABS(W3067)&gt;1E-12,Y3067&gt;0,Z3067&gt;0),AA3067,1E+300)</f>
        <v/>
      </c>
    </row>
    <row r="3068">
      <c r="A3068">
        <f>$B$3+$B$5*50</f>
        <v/>
      </c>
      <c r="B3068">
        <f>$B$3+$B$5*6</f>
        <v/>
      </c>
      <c r="C3068">
        <f>SUMPRODUCT(Calc!$K$3:$K$22*(Calc!$G$3:$G$22&lt;=A3068))</f>
        <v/>
      </c>
      <c r="D3068">
        <f>SUMPRODUCT(Calc!$K$3:$K$22*(Calc!$G$3:$G$22&gt;A3068)*(Calc!$G$3:$G$22&lt;B3068))</f>
        <v/>
      </c>
      <c r="E3068">
        <f>SUMPRODUCT(Calc!$K$3:$K$22*(Calc!$G$3:$G$22&gt;=B3068))</f>
        <v/>
      </c>
      <c r="F3068">
        <f>AND(k_n&gt;=5,B3068&gt;A3068+1E-9,C3068&gt;=2,D3068&gt;=1,E3068&gt;=2)</f>
        <v/>
      </c>
      <c r="G3068">
        <f>SUMPRODUCT(Calc!$K$3:$K$22*(Calc!$G$3:$G$22&gt;A3068)*(Calc!$G$3:$G$22-A3068))</f>
        <v/>
      </c>
      <c r="H3068">
        <f>SUMPRODUCT(Calc!$K$3:$K$22*(Calc!$G$3:$G$22&gt;B3068)*(Calc!$G$3:$G$22-B3068))</f>
        <v/>
      </c>
      <c r="I3068">
        <f>SUMPRODUCT(Calc!$K$3:$K$22*(Calc!$G$3:$G$22&gt;A3068)*(Calc!$G$3:$G$22-A3068)^2)</f>
        <v/>
      </c>
      <c r="J3068">
        <f>SUMPRODUCT(Calc!$K$3:$K$22*(Calc!$G$3:$G$22&gt;B3068)*(Calc!$G$3:$G$22-B3068)^2)</f>
        <v/>
      </c>
      <c r="K3068">
        <f>SUMPRODUCT(Calc!$K$3:$K$22*(Calc!$G$3:$G$22&gt;A3068)*(Calc!$G$3:$G$22-A3068)*(Calc!$G$3:$G$22&gt;B3068)*(Calc!$G$3:$G$22-B3068))</f>
        <v/>
      </c>
      <c r="L3068">
        <f>SUMPRODUCT(Calc!$K$3:$K$22*(Calc!$G$3:$G$22&gt;A3068)*(Calc!$G$3:$G$22-A3068)*Calc!$G$3:$G$22)</f>
        <v/>
      </c>
      <c r="M3068">
        <f>SUMPRODUCT(Calc!$K$3:$K$22*(Calc!$G$3:$G$22&gt;B3068)*(Calc!$G$3:$G$22-B3068)*Calc!$G$3:$G$22)</f>
        <v/>
      </c>
      <c r="N3068">
        <f>SUMPRODUCT(Calc!$K$3:$K$22*(Calc!$G$3:$G$22&gt;A3068)*(Calc!$G$3:$G$22-A3068)*Calc!$I$3:$I$22)</f>
        <v/>
      </c>
      <c r="O3068">
        <f>SUMPRODUCT(Calc!$K$3:$K$22*(Calc!$G$3:$G$22&gt;B3068)*(Calc!$G$3:$G$22-B3068)*Calc!$I$3:$I$22)</f>
        <v/>
      </c>
      <c r="P3068">
        <f>I3068-G3068^2/k_n</f>
        <v/>
      </c>
      <c r="Q3068">
        <f>J3068-H3068^2/k_n</f>
        <v/>
      </c>
      <c r="R3068">
        <f>K3068-G3068*H3068/k_n</f>
        <v/>
      </c>
      <c r="S3068">
        <f>L3068-LTP3!$D$3*G3068/k_n</f>
        <v/>
      </c>
      <c r="T3068">
        <f>M3068-LTP3!$D$3*H3068/k_n</f>
        <v/>
      </c>
      <c r="U3068">
        <f>N3068-G3068*LTP3!$D$4/k_n</f>
        <v/>
      </c>
      <c r="V3068">
        <f>O3068-H3068*LTP3!$D$4/k_n</f>
        <v/>
      </c>
      <c r="W3068">
        <f>((LTP3!$D$5)*((P3068)*(Q3068)-(R3068)*(R3068))-(S3068)*((S3068)*(Q3068)-(R3068)*(T3068))+(T3068)*((S3068)*(R3068)-(P3068)*(T3068)))</f>
        <v/>
      </c>
      <c r="X3068">
        <f>IF(ABS(W3068)&gt;1E-12,((LTP3!$D$6)*((P3068)*(Q3068)-(R3068)*(R3068))-(S3068)*((U3068)*(Q3068)-(R3068)*(V3068))+(T3068)*((U3068)*(R3068)-(P3068)*(V3068)))/W3068,0)</f>
        <v/>
      </c>
      <c r="Y3068">
        <f>IF(ABS(W3068)&gt;1E-12,((LTP3!$D$5)*((U3068)*(Q3068)-(R3068)*(V3068))-(LTP3!$D$6)*((S3068)*(Q3068)-(R3068)*(T3068))+(T3068)*((S3068)*(V3068)-(U3068)*(T3068)))/W3068,0)</f>
        <v/>
      </c>
      <c r="Z3068">
        <f>IF(ABS(W3068)&gt;1E-12,((LTP3!$D$5)*((P3068)*(V3068)-(U3068)*(R3068))-(S3068)*((S3068)*(V3068)-(U3068)*(T3068))+(LTP3!$D$6)*((S3068)*(R3068)-(P3068)*(T3068)))/W3068,0)</f>
        <v/>
      </c>
      <c r="AA3068">
        <f>LTP3!$D$7-X3068*LTP3!$D$6-Y3068*U3068-Z3068*V3068</f>
        <v/>
      </c>
      <c r="AB3068">
        <f>IF(AND(F3068,ABS(W3068)&gt;1E-12,Y3068&gt;0,Z3068&gt;0),AA3068,1E+300)</f>
        <v/>
      </c>
    </row>
    <row r="3069">
      <c r="A3069">
        <f>$B$3+$B$5*50</f>
        <v/>
      </c>
      <c r="B3069">
        <f>$B$3+$B$5*7</f>
        <v/>
      </c>
      <c r="C3069">
        <f>SUMPRODUCT(Calc!$K$3:$K$22*(Calc!$G$3:$G$22&lt;=A3069))</f>
        <v/>
      </c>
      <c r="D3069">
        <f>SUMPRODUCT(Calc!$K$3:$K$22*(Calc!$G$3:$G$22&gt;A3069)*(Calc!$G$3:$G$22&lt;B3069))</f>
        <v/>
      </c>
      <c r="E3069">
        <f>SUMPRODUCT(Calc!$K$3:$K$22*(Calc!$G$3:$G$22&gt;=B3069))</f>
        <v/>
      </c>
      <c r="F3069">
        <f>AND(k_n&gt;=5,B3069&gt;A3069+1E-9,C3069&gt;=2,D3069&gt;=1,E3069&gt;=2)</f>
        <v/>
      </c>
      <c r="G3069">
        <f>SUMPRODUCT(Calc!$K$3:$K$22*(Calc!$G$3:$G$22&gt;A3069)*(Calc!$G$3:$G$22-A3069))</f>
        <v/>
      </c>
      <c r="H3069">
        <f>SUMPRODUCT(Calc!$K$3:$K$22*(Calc!$G$3:$G$22&gt;B3069)*(Calc!$G$3:$G$22-B3069))</f>
        <v/>
      </c>
      <c r="I3069">
        <f>SUMPRODUCT(Calc!$K$3:$K$22*(Calc!$G$3:$G$22&gt;A3069)*(Calc!$G$3:$G$22-A3069)^2)</f>
        <v/>
      </c>
      <c r="J3069">
        <f>SUMPRODUCT(Calc!$K$3:$K$22*(Calc!$G$3:$G$22&gt;B3069)*(Calc!$G$3:$G$22-B3069)^2)</f>
        <v/>
      </c>
      <c r="K3069">
        <f>SUMPRODUCT(Calc!$K$3:$K$22*(Calc!$G$3:$G$22&gt;A3069)*(Calc!$G$3:$G$22-A3069)*(Calc!$G$3:$G$22&gt;B3069)*(Calc!$G$3:$G$22-B3069))</f>
        <v/>
      </c>
      <c r="L3069">
        <f>SUMPRODUCT(Calc!$K$3:$K$22*(Calc!$G$3:$G$22&gt;A3069)*(Calc!$G$3:$G$22-A3069)*Calc!$G$3:$G$22)</f>
        <v/>
      </c>
      <c r="M3069">
        <f>SUMPRODUCT(Calc!$K$3:$K$22*(Calc!$G$3:$G$22&gt;B3069)*(Calc!$G$3:$G$22-B3069)*Calc!$G$3:$G$22)</f>
        <v/>
      </c>
      <c r="N3069">
        <f>SUMPRODUCT(Calc!$K$3:$K$22*(Calc!$G$3:$G$22&gt;A3069)*(Calc!$G$3:$G$22-A3069)*Calc!$I$3:$I$22)</f>
        <v/>
      </c>
      <c r="O3069">
        <f>SUMPRODUCT(Calc!$K$3:$K$22*(Calc!$G$3:$G$22&gt;B3069)*(Calc!$G$3:$G$22-B3069)*Calc!$I$3:$I$22)</f>
        <v/>
      </c>
      <c r="P3069">
        <f>I3069-G3069^2/k_n</f>
        <v/>
      </c>
      <c r="Q3069">
        <f>J3069-H3069^2/k_n</f>
        <v/>
      </c>
      <c r="R3069">
        <f>K3069-G3069*H3069/k_n</f>
        <v/>
      </c>
      <c r="S3069">
        <f>L3069-LTP3!$D$3*G3069/k_n</f>
        <v/>
      </c>
      <c r="T3069">
        <f>M3069-LTP3!$D$3*H3069/k_n</f>
        <v/>
      </c>
      <c r="U3069">
        <f>N3069-G3069*LTP3!$D$4/k_n</f>
        <v/>
      </c>
      <c r="V3069">
        <f>O3069-H3069*LTP3!$D$4/k_n</f>
        <v/>
      </c>
      <c r="W3069">
        <f>((LTP3!$D$5)*((P3069)*(Q3069)-(R3069)*(R3069))-(S3069)*((S3069)*(Q3069)-(R3069)*(T3069))+(T3069)*((S3069)*(R3069)-(P3069)*(T3069)))</f>
        <v/>
      </c>
      <c r="X3069">
        <f>IF(ABS(W3069)&gt;1E-12,((LTP3!$D$6)*((P3069)*(Q3069)-(R3069)*(R3069))-(S3069)*((U3069)*(Q3069)-(R3069)*(V3069))+(T3069)*((U3069)*(R3069)-(P3069)*(V3069)))/W3069,0)</f>
        <v/>
      </c>
      <c r="Y3069">
        <f>IF(ABS(W3069)&gt;1E-12,((LTP3!$D$5)*((U3069)*(Q3069)-(R3069)*(V3069))-(LTP3!$D$6)*((S3069)*(Q3069)-(R3069)*(T3069))+(T3069)*((S3069)*(V3069)-(U3069)*(T3069)))/W3069,0)</f>
        <v/>
      </c>
      <c r="Z3069">
        <f>IF(ABS(W3069)&gt;1E-12,((LTP3!$D$5)*((P3069)*(V3069)-(U3069)*(R3069))-(S3069)*((S3069)*(V3069)-(U3069)*(T3069))+(LTP3!$D$6)*((S3069)*(R3069)-(P3069)*(T3069)))/W3069,0)</f>
        <v/>
      </c>
      <c r="AA3069">
        <f>LTP3!$D$7-X3069*LTP3!$D$6-Y3069*U3069-Z3069*V3069</f>
        <v/>
      </c>
      <c r="AB3069">
        <f>IF(AND(F3069,ABS(W3069)&gt;1E-12,Y3069&gt;0,Z3069&gt;0),AA3069,1E+300)</f>
        <v/>
      </c>
    </row>
    <row r="3070">
      <c r="A3070">
        <f>$B$3+$B$5*50</f>
        <v/>
      </c>
      <c r="B3070">
        <f>$B$3+$B$5*8</f>
        <v/>
      </c>
      <c r="C3070">
        <f>SUMPRODUCT(Calc!$K$3:$K$22*(Calc!$G$3:$G$22&lt;=A3070))</f>
        <v/>
      </c>
      <c r="D3070">
        <f>SUMPRODUCT(Calc!$K$3:$K$22*(Calc!$G$3:$G$22&gt;A3070)*(Calc!$G$3:$G$22&lt;B3070))</f>
        <v/>
      </c>
      <c r="E3070">
        <f>SUMPRODUCT(Calc!$K$3:$K$22*(Calc!$G$3:$G$22&gt;=B3070))</f>
        <v/>
      </c>
      <c r="F3070">
        <f>AND(k_n&gt;=5,B3070&gt;A3070+1E-9,C3070&gt;=2,D3070&gt;=1,E3070&gt;=2)</f>
        <v/>
      </c>
      <c r="G3070">
        <f>SUMPRODUCT(Calc!$K$3:$K$22*(Calc!$G$3:$G$22&gt;A3070)*(Calc!$G$3:$G$22-A3070))</f>
        <v/>
      </c>
      <c r="H3070">
        <f>SUMPRODUCT(Calc!$K$3:$K$22*(Calc!$G$3:$G$22&gt;B3070)*(Calc!$G$3:$G$22-B3070))</f>
        <v/>
      </c>
      <c r="I3070">
        <f>SUMPRODUCT(Calc!$K$3:$K$22*(Calc!$G$3:$G$22&gt;A3070)*(Calc!$G$3:$G$22-A3070)^2)</f>
        <v/>
      </c>
      <c r="J3070">
        <f>SUMPRODUCT(Calc!$K$3:$K$22*(Calc!$G$3:$G$22&gt;B3070)*(Calc!$G$3:$G$22-B3070)^2)</f>
        <v/>
      </c>
      <c r="K3070">
        <f>SUMPRODUCT(Calc!$K$3:$K$22*(Calc!$G$3:$G$22&gt;A3070)*(Calc!$G$3:$G$22-A3070)*(Calc!$G$3:$G$22&gt;B3070)*(Calc!$G$3:$G$22-B3070))</f>
        <v/>
      </c>
      <c r="L3070">
        <f>SUMPRODUCT(Calc!$K$3:$K$22*(Calc!$G$3:$G$22&gt;A3070)*(Calc!$G$3:$G$22-A3070)*Calc!$G$3:$G$22)</f>
        <v/>
      </c>
      <c r="M3070">
        <f>SUMPRODUCT(Calc!$K$3:$K$22*(Calc!$G$3:$G$22&gt;B3070)*(Calc!$G$3:$G$22-B3070)*Calc!$G$3:$G$22)</f>
        <v/>
      </c>
      <c r="N3070">
        <f>SUMPRODUCT(Calc!$K$3:$K$22*(Calc!$G$3:$G$22&gt;A3070)*(Calc!$G$3:$G$22-A3070)*Calc!$I$3:$I$22)</f>
        <v/>
      </c>
      <c r="O3070">
        <f>SUMPRODUCT(Calc!$K$3:$K$22*(Calc!$G$3:$G$22&gt;B3070)*(Calc!$G$3:$G$22-B3070)*Calc!$I$3:$I$22)</f>
        <v/>
      </c>
      <c r="P3070">
        <f>I3070-G3070^2/k_n</f>
        <v/>
      </c>
      <c r="Q3070">
        <f>J3070-H3070^2/k_n</f>
        <v/>
      </c>
      <c r="R3070">
        <f>K3070-G3070*H3070/k_n</f>
        <v/>
      </c>
      <c r="S3070">
        <f>L3070-LTP3!$D$3*G3070/k_n</f>
        <v/>
      </c>
      <c r="T3070">
        <f>M3070-LTP3!$D$3*H3070/k_n</f>
        <v/>
      </c>
      <c r="U3070">
        <f>N3070-G3070*LTP3!$D$4/k_n</f>
        <v/>
      </c>
      <c r="V3070">
        <f>O3070-H3070*LTP3!$D$4/k_n</f>
        <v/>
      </c>
      <c r="W3070">
        <f>((LTP3!$D$5)*((P3070)*(Q3070)-(R3070)*(R3070))-(S3070)*((S3070)*(Q3070)-(R3070)*(T3070))+(T3070)*((S3070)*(R3070)-(P3070)*(T3070)))</f>
        <v/>
      </c>
      <c r="X3070">
        <f>IF(ABS(W3070)&gt;1E-12,((LTP3!$D$6)*((P3070)*(Q3070)-(R3070)*(R3070))-(S3070)*((U3070)*(Q3070)-(R3070)*(V3070))+(T3070)*((U3070)*(R3070)-(P3070)*(V3070)))/W3070,0)</f>
        <v/>
      </c>
      <c r="Y3070">
        <f>IF(ABS(W3070)&gt;1E-12,((LTP3!$D$5)*((U3070)*(Q3070)-(R3070)*(V3070))-(LTP3!$D$6)*((S3070)*(Q3070)-(R3070)*(T3070))+(T3070)*((S3070)*(V3070)-(U3070)*(T3070)))/W3070,0)</f>
        <v/>
      </c>
      <c r="Z3070">
        <f>IF(ABS(W3070)&gt;1E-12,((LTP3!$D$5)*((P3070)*(V3070)-(U3070)*(R3070))-(S3070)*((S3070)*(V3070)-(U3070)*(T3070))+(LTP3!$D$6)*((S3070)*(R3070)-(P3070)*(T3070)))/W3070,0)</f>
        <v/>
      </c>
      <c r="AA3070">
        <f>LTP3!$D$7-X3070*LTP3!$D$6-Y3070*U3070-Z3070*V3070</f>
        <v/>
      </c>
      <c r="AB3070">
        <f>IF(AND(F3070,ABS(W3070)&gt;1E-12,Y3070&gt;0,Z3070&gt;0),AA3070,1E+300)</f>
        <v/>
      </c>
    </row>
    <row r="3071">
      <c r="A3071">
        <f>$B$3+$B$5*50</f>
        <v/>
      </c>
      <c r="B3071">
        <f>$B$3+$B$5*9</f>
        <v/>
      </c>
      <c r="C3071">
        <f>SUMPRODUCT(Calc!$K$3:$K$22*(Calc!$G$3:$G$22&lt;=A3071))</f>
        <v/>
      </c>
      <c r="D3071">
        <f>SUMPRODUCT(Calc!$K$3:$K$22*(Calc!$G$3:$G$22&gt;A3071)*(Calc!$G$3:$G$22&lt;B3071))</f>
        <v/>
      </c>
      <c r="E3071">
        <f>SUMPRODUCT(Calc!$K$3:$K$22*(Calc!$G$3:$G$22&gt;=B3071))</f>
        <v/>
      </c>
      <c r="F3071">
        <f>AND(k_n&gt;=5,B3071&gt;A3071+1E-9,C3071&gt;=2,D3071&gt;=1,E3071&gt;=2)</f>
        <v/>
      </c>
      <c r="G3071">
        <f>SUMPRODUCT(Calc!$K$3:$K$22*(Calc!$G$3:$G$22&gt;A3071)*(Calc!$G$3:$G$22-A3071))</f>
        <v/>
      </c>
      <c r="H3071">
        <f>SUMPRODUCT(Calc!$K$3:$K$22*(Calc!$G$3:$G$22&gt;B3071)*(Calc!$G$3:$G$22-B3071))</f>
        <v/>
      </c>
      <c r="I3071">
        <f>SUMPRODUCT(Calc!$K$3:$K$22*(Calc!$G$3:$G$22&gt;A3071)*(Calc!$G$3:$G$22-A3071)^2)</f>
        <v/>
      </c>
      <c r="J3071">
        <f>SUMPRODUCT(Calc!$K$3:$K$22*(Calc!$G$3:$G$22&gt;B3071)*(Calc!$G$3:$G$22-B3071)^2)</f>
        <v/>
      </c>
      <c r="K3071">
        <f>SUMPRODUCT(Calc!$K$3:$K$22*(Calc!$G$3:$G$22&gt;A3071)*(Calc!$G$3:$G$22-A3071)*(Calc!$G$3:$G$22&gt;B3071)*(Calc!$G$3:$G$22-B3071))</f>
        <v/>
      </c>
      <c r="L3071">
        <f>SUMPRODUCT(Calc!$K$3:$K$22*(Calc!$G$3:$G$22&gt;A3071)*(Calc!$G$3:$G$22-A3071)*Calc!$G$3:$G$22)</f>
        <v/>
      </c>
      <c r="M3071">
        <f>SUMPRODUCT(Calc!$K$3:$K$22*(Calc!$G$3:$G$22&gt;B3071)*(Calc!$G$3:$G$22-B3071)*Calc!$G$3:$G$22)</f>
        <v/>
      </c>
      <c r="N3071">
        <f>SUMPRODUCT(Calc!$K$3:$K$22*(Calc!$G$3:$G$22&gt;A3071)*(Calc!$G$3:$G$22-A3071)*Calc!$I$3:$I$22)</f>
        <v/>
      </c>
      <c r="O3071">
        <f>SUMPRODUCT(Calc!$K$3:$K$22*(Calc!$G$3:$G$22&gt;B3071)*(Calc!$G$3:$G$22-B3071)*Calc!$I$3:$I$22)</f>
        <v/>
      </c>
      <c r="P3071">
        <f>I3071-G3071^2/k_n</f>
        <v/>
      </c>
      <c r="Q3071">
        <f>J3071-H3071^2/k_n</f>
        <v/>
      </c>
      <c r="R3071">
        <f>K3071-G3071*H3071/k_n</f>
        <v/>
      </c>
      <c r="S3071">
        <f>L3071-LTP3!$D$3*G3071/k_n</f>
        <v/>
      </c>
      <c r="T3071">
        <f>M3071-LTP3!$D$3*H3071/k_n</f>
        <v/>
      </c>
      <c r="U3071">
        <f>N3071-G3071*LTP3!$D$4/k_n</f>
        <v/>
      </c>
      <c r="V3071">
        <f>O3071-H3071*LTP3!$D$4/k_n</f>
        <v/>
      </c>
      <c r="W3071">
        <f>((LTP3!$D$5)*((P3071)*(Q3071)-(R3071)*(R3071))-(S3071)*((S3071)*(Q3071)-(R3071)*(T3071))+(T3071)*((S3071)*(R3071)-(P3071)*(T3071)))</f>
        <v/>
      </c>
      <c r="X3071">
        <f>IF(ABS(W3071)&gt;1E-12,((LTP3!$D$6)*((P3071)*(Q3071)-(R3071)*(R3071))-(S3071)*((U3071)*(Q3071)-(R3071)*(V3071))+(T3071)*((U3071)*(R3071)-(P3071)*(V3071)))/W3071,0)</f>
        <v/>
      </c>
      <c r="Y3071">
        <f>IF(ABS(W3071)&gt;1E-12,((LTP3!$D$5)*((U3071)*(Q3071)-(R3071)*(V3071))-(LTP3!$D$6)*((S3071)*(Q3071)-(R3071)*(T3071))+(T3071)*((S3071)*(V3071)-(U3071)*(T3071)))/W3071,0)</f>
        <v/>
      </c>
      <c r="Z3071">
        <f>IF(ABS(W3071)&gt;1E-12,((LTP3!$D$5)*((P3071)*(V3071)-(U3071)*(R3071))-(S3071)*((S3071)*(V3071)-(U3071)*(T3071))+(LTP3!$D$6)*((S3071)*(R3071)-(P3071)*(T3071)))/W3071,0)</f>
        <v/>
      </c>
      <c r="AA3071">
        <f>LTP3!$D$7-X3071*LTP3!$D$6-Y3071*U3071-Z3071*V3071</f>
        <v/>
      </c>
      <c r="AB3071">
        <f>IF(AND(F3071,ABS(W3071)&gt;1E-12,Y3071&gt;0,Z3071&gt;0),AA3071,1E+300)</f>
        <v/>
      </c>
    </row>
    <row r="3072">
      <c r="A3072">
        <f>$B$3+$B$5*50</f>
        <v/>
      </c>
      <c r="B3072">
        <f>$B$3+$B$5*10</f>
        <v/>
      </c>
      <c r="C3072">
        <f>SUMPRODUCT(Calc!$K$3:$K$22*(Calc!$G$3:$G$22&lt;=A3072))</f>
        <v/>
      </c>
      <c r="D3072">
        <f>SUMPRODUCT(Calc!$K$3:$K$22*(Calc!$G$3:$G$22&gt;A3072)*(Calc!$G$3:$G$22&lt;B3072))</f>
        <v/>
      </c>
      <c r="E3072">
        <f>SUMPRODUCT(Calc!$K$3:$K$22*(Calc!$G$3:$G$22&gt;=B3072))</f>
        <v/>
      </c>
      <c r="F3072">
        <f>AND(k_n&gt;=5,B3072&gt;A3072+1E-9,C3072&gt;=2,D3072&gt;=1,E3072&gt;=2)</f>
        <v/>
      </c>
      <c r="G3072">
        <f>SUMPRODUCT(Calc!$K$3:$K$22*(Calc!$G$3:$G$22&gt;A3072)*(Calc!$G$3:$G$22-A3072))</f>
        <v/>
      </c>
      <c r="H3072">
        <f>SUMPRODUCT(Calc!$K$3:$K$22*(Calc!$G$3:$G$22&gt;B3072)*(Calc!$G$3:$G$22-B3072))</f>
        <v/>
      </c>
      <c r="I3072">
        <f>SUMPRODUCT(Calc!$K$3:$K$22*(Calc!$G$3:$G$22&gt;A3072)*(Calc!$G$3:$G$22-A3072)^2)</f>
        <v/>
      </c>
      <c r="J3072">
        <f>SUMPRODUCT(Calc!$K$3:$K$22*(Calc!$G$3:$G$22&gt;B3072)*(Calc!$G$3:$G$22-B3072)^2)</f>
        <v/>
      </c>
      <c r="K3072">
        <f>SUMPRODUCT(Calc!$K$3:$K$22*(Calc!$G$3:$G$22&gt;A3072)*(Calc!$G$3:$G$22-A3072)*(Calc!$G$3:$G$22&gt;B3072)*(Calc!$G$3:$G$22-B3072))</f>
        <v/>
      </c>
      <c r="L3072">
        <f>SUMPRODUCT(Calc!$K$3:$K$22*(Calc!$G$3:$G$22&gt;A3072)*(Calc!$G$3:$G$22-A3072)*Calc!$G$3:$G$22)</f>
        <v/>
      </c>
      <c r="M3072">
        <f>SUMPRODUCT(Calc!$K$3:$K$22*(Calc!$G$3:$G$22&gt;B3072)*(Calc!$G$3:$G$22-B3072)*Calc!$G$3:$G$22)</f>
        <v/>
      </c>
      <c r="N3072">
        <f>SUMPRODUCT(Calc!$K$3:$K$22*(Calc!$G$3:$G$22&gt;A3072)*(Calc!$G$3:$G$22-A3072)*Calc!$I$3:$I$22)</f>
        <v/>
      </c>
      <c r="O3072">
        <f>SUMPRODUCT(Calc!$K$3:$K$22*(Calc!$G$3:$G$22&gt;B3072)*(Calc!$G$3:$G$22-B3072)*Calc!$I$3:$I$22)</f>
        <v/>
      </c>
      <c r="P3072">
        <f>I3072-G3072^2/k_n</f>
        <v/>
      </c>
      <c r="Q3072">
        <f>J3072-H3072^2/k_n</f>
        <v/>
      </c>
      <c r="R3072">
        <f>K3072-G3072*H3072/k_n</f>
        <v/>
      </c>
      <c r="S3072">
        <f>L3072-LTP3!$D$3*G3072/k_n</f>
        <v/>
      </c>
      <c r="T3072">
        <f>M3072-LTP3!$D$3*H3072/k_n</f>
        <v/>
      </c>
      <c r="U3072">
        <f>N3072-G3072*LTP3!$D$4/k_n</f>
        <v/>
      </c>
      <c r="V3072">
        <f>O3072-H3072*LTP3!$D$4/k_n</f>
        <v/>
      </c>
      <c r="W3072">
        <f>((LTP3!$D$5)*((P3072)*(Q3072)-(R3072)*(R3072))-(S3072)*((S3072)*(Q3072)-(R3072)*(T3072))+(T3072)*((S3072)*(R3072)-(P3072)*(T3072)))</f>
        <v/>
      </c>
      <c r="X3072">
        <f>IF(ABS(W3072)&gt;1E-12,((LTP3!$D$6)*((P3072)*(Q3072)-(R3072)*(R3072))-(S3072)*((U3072)*(Q3072)-(R3072)*(V3072))+(T3072)*((U3072)*(R3072)-(P3072)*(V3072)))/W3072,0)</f>
        <v/>
      </c>
      <c r="Y3072">
        <f>IF(ABS(W3072)&gt;1E-12,((LTP3!$D$5)*((U3072)*(Q3072)-(R3072)*(V3072))-(LTP3!$D$6)*((S3072)*(Q3072)-(R3072)*(T3072))+(T3072)*((S3072)*(V3072)-(U3072)*(T3072)))/W3072,0)</f>
        <v/>
      </c>
      <c r="Z3072">
        <f>IF(ABS(W3072)&gt;1E-12,((LTP3!$D$5)*((P3072)*(V3072)-(U3072)*(R3072))-(S3072)*((S3072)*(V3072)-(U3072)*(T3072))+(LTP3!$D$6)*((S3072)*(R3072)-(P3072)*(T3072)))/W3072,0)</f>
        <v/>
      </c>
      <c r="AA3072">
        <f>LTP3!$D$7-X3072*LTP3!$D$6-Y3072*U3072-Z3072*V3072</f>
        <v/>
      </c>
      <c r="AB3072">
        <f>IF(AND(F3072,ABS(W3072)&gt;1E-12,Y3072&gt;0,Z3072&gt;0),AA3072,1E+300)</f>
        <v/>
      </c>
    </row>
    <row r="3073">
      <c r="A3073">
        <f>$B$3+$B$5*50</f>
        <v/>
      </c>
      <c r="B3073">
        <f>$B$3+$B$5*11</f>
        <v/>
      </c>
      <c r="C3073">
        <f>SUMPRODUCT(Calc!$K$3:$K$22*(Calc!$G$3:$G$22&lt;=A3073))</f>
        <v/>
      </c>
      <c r="D3073">
        <f>SUMPRODUCT(Calc!$K$3:$K$22*(Calc!$G$3:$G$22&gt;A3073)*(Calc!$G$3:$G$22&lt;B3073))</f>
        <v/>
      </c>
      <c r="E3073">
        <f>SUMPRODUCT(Calc!$K$3:$K$22*(Calc!$G$3:$G$22&gt;=B3073))</f>
        <v/>
      </c>
      <c r="F3073">
        <f>AND(k_n&gt;=5,B3073&gt;A3073+1E-9,C3073&gt;=2,D3073&gt;=1,E3073&gt;=2)</f>
        <v/>
      </c>
      <c r="G3073">
        <f>SUMPRODUCT(Calc!$K$3:$K$22*(Calc!$G$3:$G$22&gt;A3073)*(Calc!$G$3:$G$22-A3073))</f>
        <v/>
      </c>
      <c r="H3073">
        <f>SUMPRODUCT(Calc!$K$3:$K$22*(Calc!$G$3:$G$22&gt;B3073)*(Calc!$G$3:$G$22-B3073))</f>
        <v/>
      </c>
      <c r="I3073">
        <f>SUMPRODUCT(Calc!$K$3:$K$22*(Calc!$G$3:$G$22&gt;A3073)*(Calc!$G$3:$G$22-A3073)^2)</f>
        <v/>
      </c>
      <c r="J3073">
        <f>SUMPRODUCT(Calc!$K$3:$K$22*(Calc!$G$3:$G$22&gt;B3073)*(Calc!$G$3:$G$22-B3073)^2)</f>
        <v/>
      </c>
      <c r="K3073">
        <f>SUMPRODUCT(Calc!$K$3:$K$22*(Calc!$G$3:$G$22&gt;A3073)*(Calc!$G$3:$G$22-A3073)*(Calc!$G$3:$G$22&gt;B3073)*(Calc!$G$3:$G$22-B3073))</f>
        <v/>
      </c>
      <c r="L3073">
        <f>SUMPRODUCT(Calc!$K$3:$K$22*(Calc!$G$3:$G$22&gt;A3073)*(Calc!$G$3:$G$22-A3073)*Calc!$G$3:$G$22)</f>
        <v/>
      </c>
      <c r="M3073">
        <f>SUMPRODUCT(Calc!$K$3:$K$22*(Calc!$G$3:$G$22&gt;B3073)*(Calc!$G$3:$G$22-B3073)*Calc!$G$3:$G$22)</f>
        <v/>
      </c>
      <c r="N3073">
        <f>SUMPRODUCT(Calc!$K$3:$K$22*(Calc!$G$3:$G$22&gt;A3073)*(Calc!$G$3:$G$22-A3073)*Calc!$I$3:$I$22)</f>
        <v/>
      </c>
      <c r="O3073">
        <f>SUMPRODUCT(Calc!$K$3:$K$22*(Calc!$G$3:$G$22&gt;B3073)*(Calc!$G$3:$G$22-B3073)*Calc!$I$3:$I$22)</f>
        <v/>
      </c>
      <c r="P3073">
        <f>I3073-G3073^2/k_n</f>
        <v/>
      </c>
      <c r="Q3073">
        <f>J3073-H3073^2/k_n</f>
        <v/>
      </c>
      <c r="R3073">
        <f>K3073-G3073*H3073/k_n</f>
        <v/>
      </c>
      <c r="S3073">
        <f>L3073-LTP3!$D$3*G3073/k_n</f>
        <v/>
      </c>
      <c r="T3073">
        <f>M3073-LTP3!$D$3*H3073/k_n</f>
        <v/>
      </c>
      <c r="U3073">
        <f>N3073-G3073*LTP3!$D$4/k_n</f>
        <v/>
      </c>
      <c r="V3073">
        <f>O3073-H3073*LTP3!$D$4/k_n</f>
        <v/>
      </c>
      <c r="W3073">
        <f>((LTP3!$D$5)*((P3073)*(Q3073)-(R3073)*(R3073))-(S3073)*((S3073)*(Q3073)-(R3073)*(T3073))+(T3073)*((S3073)*(R3073)-(P3073)*(T3073)))</f>
        <v/>
      </c>
      <c r="X3073">
        <f>IF(ABS(W3073)&gt;1E-12,((LTP3!$D$6)*((P3073)*(Q3073)-(R3073)*(R3073))-(S3073)*((U3073)*(Q3073)-(R3073)*(V3073))+(T3073)*((U3073)*(R3073)-(P3073)*(V3073)))/W3073,0)</f>
        <v/>
      </c>
      <c r="Y3073">
        <f>IF(ABS(W3073)&gt;1E-12,((LTP3!$D$5)*((U3073)*(Q3073)-(R3073)*(V3073))-(LTP3!$D$6)*((S3073)*(Q3073)-(R3073)*(T3073))+(T3073)*((S3073)*(V3073)-(U3073)*(T3073)))/W3073,0)</f>
        <v/>
      </c>
      <c r="Z3073">
        <f>IF(ABS(W3073)&gt;1E-12,((LTP3!$D$5)*((P3073)*(V3073)-(U3073)*(R3073))-(S3073)*((S3073)*(V3073)-(U3073)*(T3073))+(LTP3!$D$6)*((S3073)*(R3073)-(P3073)*(T3073)))/W3073,0)</f>
        <v/>
      </c>
      <c r="AA3073">
        <f>LTP3!$D$7-X3073*LTP3!$D$6-Y3073*U3073-Z3073*V3073</f>
        <v/>
      </c>
      <c r="AB3073">
        <f>IF(AND(F3073,ABS(W3073)&gt;1E-12,Y3073&gt;0,Z3073&gt;0),AA3073,1E+300)</f>
        <v/>
      </c>
    </row>
    <row r="3074">
      <c r="A3074">
        <f>$B$3+$B$5*50</f>
        <v/>
      </c>
      <c r="B3074">
        <f>$B$3+$B$5*12</f>
        <v/>
      </c>
      <c r="C3074">
        <f>SUMPRODUCT(Calc!$K$3:$K$22*(Calc!$G$3:$G$22&lt;=A3074))</f>
        <v/>
      </c>
      <c r="D3074">
        <f>SUMPRODUCT(Calc!$K$3:$K$22*(Calc!$G$3:$G$22&gt;A3074)*(Calc!$G$3:$G$22&lt;B3074))</f>
        <v/>
      </c>
      <c r="E3074">
        <f>SUMPRODUCT(Calc!$K$3:$K$22*(Calc!$G$3:$G$22&gt;=B3074))</f>
        <v/>
      </c>
      <c r="F3074">
        <f>AND(k_n&gt;=5,B3074&gt;A3074+1E-9,C3074&gt;=2,D3074&gt;=1,E3074&gt;=2)</f>
        <v/>
      </c>
      <c r="G3074">
        <f>SUMPRODUCT(Calc!$K$3:$K$22*(Calc!$G$3:$G$22&gt;A3074)*(Calc!$G$3:$G$22-A3074))</f>
        <v/>
      </c>
      <c r="H3074">
        <f>SUMPRODUCT(Calc!$K$3:$K$22*(Calc!$G$3:$G$22&gt;B3074)*(Calc!$G$3:$G$22-B3074))</f>
        <v/>
      </c>
      <c r="I3074">
        <f>SUMPRODUCT(Calc!$K$3:$K$22*(Calc!$G$3:$G$22&gt;A3074)*(Calc!$G$3:$G$22-A3074)^2)</f>
        <v/>
      </c>
      <c r="J3074">
        <f>SUMPRODUCT(Calc!$K$3:$K$22*(Calc!$G$3:$G$22&gt;B3074)*(Calc!$G$3:$G$22-B3074)^2)</f>
        <v/>
      </c>
      <c r="K3074">
        <f>SUMPRODUCT(Calc!$K$3:$K$22*(Calc!$G$3:$G$22&gt;A3074)*(Calc!$G$3:$G$22-A3074)*(Calc!$G$3:$G$22&gt;B3074)*(Calc!$G$3:$G$22-B3074))</f>
        <v/>
      </c>
      <c r="L3074">
        <f>SUMPRODUCT(Calc!$K$3:$K$22*(Calc!$G$3:$G$22&gt;A3074)*(Calc!$G$3:$G$22-A3074)*Calc!$G$3:$G$22)</f>
        <v/>
      </c>
      <c r="M3074">
        <f>SUMPRODUCT(Calc!$K$3:$K$22*(Calc!$G$3:$G$22&gt;B3074)*(Calc!$G$3:$G$22-B3074)*Calc!$G$3:$G$22)</f>
        <v/>
      </c>
      <c r="N3074">
        <f>SUMPRODUCT(Calc!$K$3:$K$22*(Calc!$G$3:$G$22&gt;A3074)*(Calc!$G$3:$G$22-A3074)*Calc!$I$3:$I$22)</f>
        <v/>
      </c>
      <c r="O3074">
        <f>SUMPRODUCT(Calc!$K$3:$K$22*(Calc!$G$3:$G$22&gt;B3074)*(Calc!$G$3:$G$22-B3074)*Calc!$I$3:$I$22)</f>
        <v/>
      </c>
      <c r="P3074">
        <f>I3074-G3074^2/k_n</f>
        <v/>
      </c>
      <c r="Q3074">
        <f>J3074-H3074^2/k_n</f>
        <v/>
      </c>
      <c r="R3074">
        <f>K3074-G3074*H3074/k_n</f>
        <v/>
      </c>
      <c r="S3074">
        <f>L3074-LTP3!$D$3*G3074/k_n</f>
        <v/>
      </c>
      <c r="T3074">
        <f>M3074-LTP3!$D$3*H3074/k_n</f>
        <v/>
      </c>
      <c r="U3074">
        <f>N3074-G3074*LTP3!$D$4/k_n</f>
        <v/>
      </c>
      <c r="V3074">
        <f>O3074-H3074*LTP3!$D$4/k_n</f>
        <v/>
      </c>
      <c r="W3074">
        <f>((LTP3!$D$5)*((P3074)*(Q3074)-(R3074)*(R3074))-(S3074)*((S3074)*(Q3074)-(R3074)*(T3074))+(T3074)*((S3074)*(R3074)-(P3074)*(T3074)))</f>
        <v/>
      </c>
      <c r="X3074">
        <f>IF(ABS(W3074)&gt;1E-12,((LTP3!$D$6)*((P3074)*(Q3074)-(R3074)*(R3074))-(S3074)*((U3074)*(Q3074)-(R3074)*(V3074))+(T3074)*((U3074)*(R3074)-(P3074)*(V3074)))/W3074,0)</f>
        <v/>
      </c>
      <c r="Y3074">
        <f>IF(ABS(W3074)&gt;1E-12,((LTP3!$D$5)*((U3074)*(Q3074)-(R3074)*(V3074))-(LTP3!$D$6)*((S3074)*(Q3074)-(R3074)*(T3074))+(T3074)*((S3074)*(V3074)-(U3074)*(T3074)))/W3074,0)</f>
        <v/>
      </c>
      <c r="Z3074">
        <f>IF(ABS(W3074)&gt;1E-12,((LTP3!$D$5)*((P3074)*(V3074)-(U3074)*(R3074))-(S3074)*((S3074)*(V3074)-(U3074)*(T3074))+(LTP3!$D$6)*((S3074)*(R3074)-(P3074)*(T3074)))/W3074,0)</f>
        <v/>
      </c>
      <c r="AA3074">
        <f>LTP3!$D$7-X3074*LTP3!$D$6-Y3074*U3074-Z3074*V3074</f>
        <v/>
      </c>
      <c r="AB3074">
        <f>IF(AND(F3074,ABS(W3074)&gt;1E-12,Y3074&gt;0,Z3074&gt;0),AA3074,1E+300)</f>
        <v/>
      </c>
    </row>
    <row r="3075">
      <c r="A3075">
        <f>$B$3+$B$5*50</f>
        <v/>
      </c>
      <c r="B3075">
        <f>$B$3+$B$5*13</f>
        <v/>
      </c>
      <c r="C3075">
        <f>SUMPRODUCT(Calc!$K$3:$K$22*(Calc!$G$3:$G$22&lt;=A3075))</f>
        <v/>
      </c>
      <c r="D3075">
        <f>SUMPRODUCT(Calc!$K$3:$K$22*(Calc!$G$3:$G$22&gt;A3075)*(Calc!$G$3:$G$22&lt;B3075))</f>
        <v/>
      </c>
      <c r="E3075">
        <f>SUMPRODUCT(Calc!$K$3:$K$22*(Calc!$G$3:$G$22&gt;=B3075))</f>
        <v/>
      </c>
      <c r="F3075">
        <f>AND(k_n&gt;=5,B3075&gt;A3075+1E-9,C3075&gt;=2,D3075&gt;=1,E3075&gt;=2)</f>
        <v/>
      </c>
      <c r="G3075">
        <f>SUMPRODUCT(Calc!$K$3:$K$22*(Calc!$G$3:$G$22&gt;A3075)*(Calc!$G$3:$G$22-A3075))</f>
        <v/>
      </c>
      <c r="H3075">
        <f>SUMPRODUCT(Calc!$K$3:$K$22*(Calc!$G$3:$G$22&gt;B3075)*(Calc!$G$3:$G$22-B3075))</f>
        <v/>
      </c>
      <c r="I3075">
        <f>SUMPRODUCT(Calc!$K$3:$K$22*(Calc!$G$3:$G$22&gt;A3075)*(Calc!$G$3:$G$22-A3075)^2)</f>
        <v/>
      </c>
      <c r="J3075">
        <f>SUMPRODUCT(Calc!$K$3:$K$22*(Calc!$G$3:$G$22&gt;B3075)*(Calc!$G$3:$G$22-B3075)^2)</f>
        <v/>
      </c>
      <c r="K3075">
        <f>SUMPRODUCT(Calc!$K$3:$K$22*(Calc!$G$3:$G$22&gt;A3075)*(Calc!$G$3:$G$22-A3075)*(Calc!$G$3:$G$22&gt;B3075)*(Calc!$G$3:$G$22-B3075))</f>
        <v/>
      </c>
      <c r="L3075">
        <f>SUMPRODUCT(Calc!$K$3:$K$22*(Calc!$G$3:$G$22&gt;A3075)*(Calc!$G$3:$G$22-A3075)*Calc!$G$3:$G$22)</f>
        <v/>
      </c>
      <c r="M3075">
        <f>SUMPRODUCT(Calc!$K$3:$K$22*(Calc!$G$3:$G$22&gt;B3075)*(Calc!$G$3:$G$22-B3075)*Calc!$G$3:$G$22)</f>
        <v/>
      </c>
      <c r="N3075">
        <f>SUMPRODUCT(Calc!$K$3:$K$22*(Calc!$G$3:$G$22&gt;A3075)*(Calc!$G$3:$G$22-A3075)*Calc!$I$3:$I$22)</f>
        <v/>
      </c>
      <c r="O3075">
        <f>SUMPRODUCT(Calc!$K$3:$K$22*(Calc!$G$3:$G$22&gt;B3075)*(Calc!$G$3:$G$22-B3075)*Calc!$I$3:$I$22)</f>
        <v/>
      </c>
      <c r="P3075">
        <f>I3075-G3075^2/k_n</f>
        <v/>
      </c>
      <c r="Q3075">
        <f>J3075-H3075^2/k_n</f>
        <v/>
      </c>
      <c r="R3075">
        <f>K3075-G3075*H3075/k_n</f>
        <v/>
      </c>
      <c r="S3075">
        <f>L3075-LTP3!$D$3*G3075/k_n</f>
        <v/>
      </c>
      <c r="T3075">
        <f>M3075-LTP3!$D$3*H3075/k_n</f>
        <v/>
      </c>
      <c r="U3075">
        <f>N3075-G3075*LTP3!$D$4/k_n</f>
        <v/>
      </c>
      <c r="V3075">
        <f>O3075-H3075*LTP3!$D$4/k_n</f>
        <v/>
      </c>
      <c r="W3075">
        <f>((LTP3!$D$5)*((P3075)*(Q3075)-(R3075)*(R3075))-(S3075)*((S3075)*(Q3075)-(R3075)*(T3075))+(T3075)*((S3075)*(R3075)-(P3075)*(T3075)))</f>
        <v/>
      </c>
      <c r="X3075">
        <f>IF(ABS(W3075)&gt;1E-12,((LTP3!$D$6)*((P3075)*(Q3075)-(R3075)*(R3075))-(S3075)*((U3075)*(Q3075)-(R3075)*(V3075))+(T3075)*((U3075)*(R3075)-(P3075)*(V3075)))/W3075,0)</f>
        <v/>
      </c>
      <c r="Y3075">
        <f>IF(ABS(W3075)&gt;1E-12,((LTP3!$D$5)*((U3075)*(Q3075)-(R3075)*(V3075))-(LTP3!$D$6)*((S3075)*(Q3075)-(R3075)*(T3075))+(T3075)*((S3075)*(V3075)-(U3075)*(T3075)))/W3075,0)</f>
        <v/>
      </c>
      <c r="Z3075">
        <f>IF(ABS(W3075)&gt;1E-12,((LTP3!$D$5)*((P3075)*(V3075)-(U3075)*(R3075))-(S3075)*((S3075)*(V3075)-(U3075)*(T3075))+(LTP3!$D$6)*((S3075)*(R3075)-(P3075)*(T3075)))/W3075,0)</f>
        <v/>
      </c>
      <c r="AA3075">
        <f>LTP3!$D$7-X3075*LTP3!$D$6-Y3075*U3075-Z3075*V3075</f>
        <v/>
      </c>
      <c r="AB3075">
        <f>IF(AND(F3075,ABS(W3075)&gt;1E-12,Y3075&gt;0,Z3075&gt;0),AA3075,1E+300)</f>
        <v/>
      </c>
    </row>
    <row r="3076">
      <c r="A3076">
        <f>$B$3+$B$5*50</f>
        <v/>
      </c>
      <c r="B3076">
        <f>$B$3+$B$5*14</f>
        <v/>
      </c>
      <c r="C3076">
        <f>SUMPRODUCT(Calc!$K$3:$K$22*(Calc!$G$3:$G$22&lt;=A3076))</f>
        <v/>
      </c>
      <c r="D3076">
        <f>SUMPRODUCT(Calc!$K$3:$K$22*(Calc!$G$3:$G$22&gt;A3076)*(Calc!$G$3:$G$22&lt;B3076))</f>
        <v/>
      </c>
      <c r="E3076">
        <f>SUMPRODUCT(Calc!$K$3:$K$22*(Calc!$G$3:$G$22&gt;=B3076))</f>
        <v/>
      </c>
      <c r="F3076">
        <f>AND(k_n&gt;=5,B3076&gt;A3076+1E-9,C3076&gt;=2,D3076&gt;=1,E3076&gt;=2)</f>
        <v/>
      </c>
      <c r="G3076">
        <f>SUMPRODUCT(Calc!$K$3:$K$22*(Calc!$G$3:$G$22&gt;A3076)*(Calc!$G$3:$G$22-A3076))</f>
        <v/>
      </c>
      <c r="H3076">
        <f>SUMPRODUCT(Calc!$K$3:$K$22*(Calc!$G$3:$G$22&gt;B3076)*(Calc!$G$3:$G$22-B3076))</f>
        <v/>
      </c>
      <c r="I3076">
        <f>SUMPRODUCT(Calc!$K$3:$K$22*(Calc!$G$3:$G$22&gt;A3076)*(Calc!$G$3:$G$22-A3076)^2)</f>
        <v/>
      </c>
      <c r="J3076">
        <f>SUMPRODUCT(Calc!$K$3:$K$22*(Calc!$G$3:$G$22&gt;B3076)*(Calc!$G$3:$G$22-B3076)^2)</f>
        <v/>
      </c>
      <c r="K3076">
        <f>SUMPRODUCT(Calc!$K$3:$K$22*(Calc!$G$3:$G$22&gt;A3076)*(Calc!$G$3:$G$22-A3076)*(Calc!$G$3:$G$22&gt;B3076)*(Calc!$G$3:$G$22-B3076))</f>
        <v/>
      </c>
      <c r="L3076">
        <f>SUMPRODUCT(Calc!$K$3:$K$22*(Calc!$G$3:$G$22&gt;A3076)*(Calc!$G$3:$G$22-A3076)*Calc!$G$3:$G$22)</f>
        <v/>
      </c>
      <c r="M3076">
        <f>SUMPRODUCT(Calc!$K$3:$K$22*(Calc!$G$3:$G$22&gt;B3076)*(Calc!$G$3:$G$22-B3076)*Calc!$G$3:$G$22)</f>
        <v/>
      </c>
      <c r="N3076">
        <f>SUMPRODUCT(Calc!$K$3:$K$22*(Calc!$G$3:$G$22&gt;A3076)*(Calc!$G$3:$G$22-A3076)*Calc!$I$3:$I$22)</f>
        <v/>
      </c>
      <c r="O3076">
        <f>SUMPRODUCT(Calc!$K$3:$K$22*(Calc!$G$3:$G$22&gt;B3076)*(Calc!$G$3:$G$22-B3076)*Calc!$I$3:$I$22)</f>
        <v/>
      </c>
      <c r="P3076">
        <f>I3076-G3076^2/k_n</f>
        <v/>
      </c>
      <c r="Q3076">
        <f>J3076-H3076^2/k_n</f>
        <v/>
      </c>
      <c r="R3076">
        <f>K3076-G3076*H3076/k_n</f>
        <v/>
      </c>
      <c r="S3076">
        <f>L3076-LTP3!$D$3*G3076/k_n</f>
        <v/>
      </c>
      <c r="T3076">
        <f>M3076-LTP3!$D$3*H3076/k_n</f>
        <v/>
      </c>
      <c r="U3076">
        <f>N3076-G3076*LTP3!$D$4/k_n</f>
        <v/>
      </c>
      <c r="V3076">
        <f>O3076-H3076*LTP3!$D$4/k_n</f>
        <v/>
      </c>
      <c r="W3076">
        <f>((LTP3!$D$5)*((P3076)*(Q3076)-(R3076)*(R3076))-(S3076)*((S3076)*(Q3076)-(R3076)*(T3076))+(T3076)*((S3076)*(R3076)-(P3076)*(T3076)))</f>
        <v/>
      </c>
      <c r="X3076">
        <f>IF(ABS(W3076)&gt;1E-12,((LTP3!$D$6)*((P3076)*(Q3076)-(R3076)*(R3076))-(S3076)*((U3076)*(Q3076)-(R3076)*(V3076))+(T3076)*((U3076)*(R3076)-(P3076)*(V3076)))/W3076,0)</f>
        <v/>
      </c>
      <c r="Y3076">
        <f>IF(ABS(W3076)&gt;1E-12,((LTP3!$D$5)*((U3076)*(Q3076)-(R3076)*(V3076))-(LTP3!$D$6)*((S3076)*(Q3076)-(R3076)*(T3076))+(T3076)*((S3076)*(V3076)-(U3076)*(T3076)))/W3076,0)</f>
        <v/>
      </c>
      <c r="Z3076">
        <f>IF(ABS(W3076)&gt;1E-12,((LTP3!$D$5)*((P3076)*(V3076)-(U3076)*(R3076))-(S3076)*((S3076)*(V3076)-(U3076)*(T3076))+(LTP3!$D$6)*((S3076)*(R3076)-(P3076)*(T3076)))/W3076,0)</f>
        <v/>
      </c>
      <c r="AA3076">
        <f>LTP3!$D$7-X3076*LTP3!$D$6-Y3076*U3076-Z3076*V3076</f>
        <v/>
      </c>
      <c r="AB3076">
        <f>IF(AND(F3076,ABS(W3076)&gt;1E-12,Y3076&gt;0,Z3076&gt;0),AA3076,1E+300)</f>
        <v/>
      </c>
    </row>
    <row r="3077">
      <c r="A3077">
        <f>$B$3+$B$5*50</f>
        <v/>
      </c>
      <c r="B3077">
        <f>$B$3+$B$5*15</f>
        <v/>
      </c>
      <c r="C3077">
        <f>SUMPRODUCT(Calc!$K$3:$K$22*(Calc!$G$3:$G$22&lt;=A3077))</f>
        <v/>
      </c>
      <c r="D3077">
        <f>SUMPRODUCT(Calc!$K$3:$K$22*(Calc!$G$3:$G$22&gt;A3077)*(Calc!$G$3:$G$22&lt;B3077))</f>
        <v/>
      </c>
      <c r="E3077">
        <f>SUMPRODUCT(Calc!$K$3:$K$22*(Calc!$G$3:$G$22&gt;=B3077))</f>
        <v/>
      </c>
      <c r="F3077">
        <f>AND(k_n&gt;=5,B3077&gt;A3077+1E-9,C3077&gt;=2,D3077&gt;=1,E3077&gt;=2)</f>
        <v/>
      </c>
      <c r="G3077">
        <f>SUMPRODUCT(Calc!$K$3:$K$22*(Calc!$G$3:$G$22&gt;A3077)*(Calc!$G$3:$G$22-A3077))</f>
        <v/>
      </c>
      <c r="H3077">
        <f>SUMPRODUCT(Calc!$K$3:$K$22*(Calc!$G$3:$G$22&gt;B3077)*(Calc!$G$3:$G$22-B3077))</f>
        <v/>
      </c>
      <c r="I3077">
        <f>SUMPRODUCT(Calc!$K$3:$K$22*(Calc!$G$3:$G$22&gt;A3077)*(Calc!$G$3:$G$22-A3077)^2)</f>
        <v/>
      </c>
      <c r="J3077">
        <f>SUMPRODUCT(Calc!$K$3:$K$22*(Calc!$G$3:$G$22&gt;B3077)*(Calc!$G$3:$G$22-B3077)^2)</f>
        <v/>
      </c>
      <c r="K3077">
        <f>SUMPRODUCT(Calc!$K$3:$K$22*(Calc!$G$3:$G$22&gt;A3077)*(Calc!$G$3:$G$22-A3077)*(Calc!$G$3:$G$22&gt;B3077)*(Calc!$G$3:$G$22-B3077))</f>
        <v/>
      </c>
      <c r="L3077">
        <f>SUMPRODUCT(Calc!$K$3:$K$22*(Calc!$G$3:$G$22&gt;A3077)*(Calc!$G$3:$G$22-A3077)*Calc!$G$3:$G$22)</f>
        <v/>
      </c>
      <c r="M3077">
        <f>SUMPRODUCT(Calc!$K$3:$K$22*(Calc!$G$3:$G$22&gt;B3077)*(Calc!$G$3:$G$22-B3077)*Calc!$G$3:$G$22)</f>
        <v/>
      </c>
      <c r="N3077">
        <f>SUMPRODUCT(Calc!$K$3:$K$22*(Calc!$G$3:$G$22&gt;A3077)*(Calc!$G$3:$G$22-A3077)*Calc!$I$3:$I$22)</f>
        <v/>
      </c>
      <c r="O3077">
        <f>SUMPRODUCT(Calc!$K$3:$K$22*(Calc!$G$3:$G$22&gt;B3077)*(Calc!$G$3:$G$22-B3077)*Calc!$I$3:$I$22)</f>
        <v/>
      </c>
      <c r="P3077">
        <f>I3077-G3077^2/k_n</f>
        <v/>
      </c>
      <c r="Q3077">
        <f>J3077-H3077^2/k_n</f>
        <v/>
      </c>
      <c r="R3077">
        <f>K3077-G3077*H3077/k_n</f>
        <v/>
      </c>
      <c r="S3077">
        <f>L3077-LTP3!$D$3*G3077/k_n</f>
        <v/>
      </c>
      <c r="T3077">
        <f>M3077-LTP3!$D$3*H3077/k_n</f>
        <v/>
      </c>
      <c r="U3077">
        <f>N3077-G3077*LTP3!$D$4/k_n</f>
        <v/>
      </c>
      <c r="V3077">
        <f>O3077-H3077*LTP3!$D$4/k_n</f>
        <v/>
      </c>
      <c r="W3077">
        <f>((LTP3!$D$5)*((P3077)*(Q3077)-(R3077)*(R3077))-(S3077)*((S3077)*(Q3077)-(R3077)*(T3077))+(T3077)*((S3077)*(R3077)-(P3077)*(T3077)))</f>
        <v/>
      </c>
      <c r="X3077">
        <f>IF(ABS(W3077)&gt;1E-12,((LTP3!$D$6)*((P3077)*(Q3077)-(R3077)*(R3077))-(S3077)*((U3077)*(Q3077)-(R3077)*(V3077))+(T3077)*((U3077)*(R3077)-(P3077)*(V3077)))/W3077,0)</f>
        <v/>
      </c>
      <c r="Y3077">
        <f>IF(ABS(W3077)&gt;1E-12,((LTP3!$D$5)*((U3077)*(Q3077)-(R3077)*(V3077))-(LTP3!$D$6)*((S3077)*(Q3077)-(R3077)*(T3077))+(T3077)*((S3077)*(V3077)-(U3077)*(T3077)))/W3077,0)</f>
        <v/>
      </c>
      <c r="Z3077">
        <f>IF(ABS(W3077)&gt;1E-12,((LTP3!$D$5)*((P3077)*(V3077)-(U3077)*(R3077))-(S3077)*((S3077)*(V3077)-(U3077)*(T3077))+(LTP3!$D$6)*((S3077)*(R3077)-(P3077)*(T3077)))/W3077,0)</f>
        <v/>
      </c>
      <c r="AA3077">
        <f>LTP3!$D$7-X3077*LTP3!$D$6-Y3077*U3077-Z3077*V3077</f>
        <v/>
      </c>
      <c r="AB3077">
        <f>IF(AND(F3077,ABS(W3077)&gt;1E-12,Y3077&gt;0,Z3077&gt;0),AA3077,1E+300)</f>
        <v/>
      </c>
    </row>
    <row r="3078">
      <c r="A3078">
        <f>$B$3+$B$5*50</f>
        <v/>
      </c>
      <c r="B3078">
        <f>$B$3+$B$5*16</f>
        <v/>
      </c>
      <c r="C3078">
        <f>SUMPRODUCT(Calc!$K$3:$K$22*(Calc!$G$3:$G$22&lt;=A3078))</f>
        <v/>
      </c>
      <c r="D3078">
        <f>SUMPRODUCT(Calc!$K$3:$K$22*(Calc!$G$3:$G$22&gt;A3078)*(Calc!$G$3:$G$22&lt;B3078))</f>
        <v/>
      </c>
      <c r="E3078">
        <f>SUMPRODUCT(Calc!$K$3:$K$22*(Calc!$G$3:$G$22&gt;=B3078))</f>
        <v/>
      </c>
      <c r="F3078">
        <f>AND(k_n&gt;=5,B3078&gt;A3078+1E-9,C3078&gt;=2,D3078&gt;=1,E3078&gt;=2)</f>
        <v/>
      </c>
      <c r="G3078">
        <f>SUMPRODUCT(Calc!$K$3:$K$22*(Calc!$G$3:$G$22&gt;A3078)*(Calc!$G$3:$G$22-A3078))</f>
        <v/>
      </c>
      <c r="H3078">
        <f>SUMPRODUCT(Calc!$K$3:$K$22*(Calc!$G$3:$G$22&gt;B3078)*(Calc!$G$3:$G$22-B3078))</f>
        <v/>
      </c>
      <c r="I3078">
        <f>SUMPRODUCT(Calc!$K$3:$K$22*(Calc!$G$3:$G$22&gt;A3078)*(Calc!$G$3:$G$22-A3078)^2)</f>
        <v/>
      </c>
      <c r="J3078">
        <f>SUMPRODUCT(Calc!$K$3:$K$22*(Calc!$G$3:$G$22&gt;B3078)*(Calc!$G$3:$G$22-B3078)^2)</f>
        <v/>
      </c>
      <c r="K3078">
        <f>SUMPRODUCT(Calc!$K$3:$K$22*(Calc!$G$3:$G$22&gt;A3078)*(Calc!$G$3:$G$22-A3078)*(Calc!$G$3:$G$22&gt;B3078)*(Calc!$G$3:$G$22-B3078))</f>
        <v/>
      </c>
      <c r="L3078">
        <f>SUMPRODUCT(Calc!$K$3:$K$22*(Calc!$G$3:$G$22&gt;A3078)*(Calc!$G$3:$G$22-A3078)*Calc!$G$3:$G$22)</f>
        <v/>
      </c>
      <c r="M3078">
        <f>SUMPRODUCT(Calc!$K$3:$K$22*(Calc!$G$3:$G$22&gt;B3078)*(Calc!$G$3:$G$22-B3078)*Calc!$G$3:$G$22)</f>
        <v/>
      </c>
      <c r="N3078">
        <f>SUMPRODUCT(Calc!$K$3:$K$22*(Calc!$G$3:$G$22&gt;A3078)*(Calc!$G$3:$G$22-A3078)*Calc!$I$3:$I$22)</f>
        <v/>
      </c>
      <c r="O3078">
        <f>SUMPRODUCT(Calc!$K$3:$K$22*(Calc!$G$3:$G$22&gt;B3078)*(Calc!$G$3:$G$22-B3078)*Calc!$I$3:$I$22)</f>
        <v/>
      </c>
      <c r="P3078">
        <f>I3078-G3078^2/k_n</f>
        <v/>
      </c>
      <c r="Q3078">
        <f>J3078-H3078^2/k_n</f>
        <v/>
      </c>
      <c r="R3078">
        <f>K3078-G3078*H3078/k_n</f>
        <v/>
      </c>
      <c r="S3078">
        <f>L3078-LTP3!$D$3*G3078/k_n</f>
        <v/>
      </c>
      <c r="T3078">
        <f>M3078-LTP3!$D$3*H3078/k_n</f>
        <v/>
      </c>
      <c r="U3078">
        <f>N3078-G3078*LTP3!$D$4/k_n</f>
        <v/>
      </c>
      <c r="V3078">
        <f>O3078-H3078*LTP3!$D$4/k_n</f>
        <v/>
      </c>
      <c r="W3078">
        <f>((LTP3!$D$5)*((P3078)*(Q3078)-(R3078)*(R3078))-(S3078)*((S3078)*(Q3078)-(R3078)*(T3078))+(T3078)*((S3078)*(R3078)-(P3078)*(T3078)))</f>
        <v/>
      </c>
      <c r="X3078">
        <f>IF(ABS(W3078)&gt;1E-12,((LTP3!$D$6)*((P3078)*(Q3078)-(R3078)*(R3078))-(S3078)*((U3078)*(Q3078)-(R3078)*(V3078))+(T3078)*((U3078)*(R3078)-(P3078)*(V3078)))/W3078,0)</f>
        <v/>
      </c>
      <c r="Y3078">
        <f>IF(ABS(W3078)&gt;1E-12,((LTP3!$D$5)*((U3078)*(Q3078)-(R3078)*(V3078))-(LTP3!$D$6)*((S3078)*(Q3078)-(R3078)*(T3078))+(T3078)*((S3078)*(V3078)-(U3078)*(T3078)))/W3078,0)</f>
        <v/>
      </c>
      <c r="Z3078">
        <f>IF(ABS(W3078)&gt;1E-12,((LTP3!$D$5)*((P3078)*(V3078)-(U3078)*(R3078))-(S3078)*((S3078)*(V3078)-(U3078)*(T3078))+(LTP3!$D$6)*((S3078)*(R3078)-(P3078)*(T3078)))/W3078,0)</f>
        <v/>
      </c>
      <c r="AA3078">
        <f>LTP3!$D$7-X3078*LTP3!$D$6-Y3078*U3078-Z3078*V3078</f>
        <v/>
      </c>
      <c r="AB3078">
        <f>IF(AND(F3078,ABS(W3078)&gt;1E-12,Y3078&gt;0,Z3078&gt;0),AA3078,1E+300)</f>
        <v/>
      </c>
    </row>
    <row r="3079">
      <c r="A3079">
        <f>$B$3+$B$5*50</f>
        <v/>
      </c>
      <c r="B3079">
        <f>$B$3+$B$5*17</f>
        <v/>
      </c>
      <c r="C3079">
        <f>SUMPRODUCT(Calc!$K$3:$K$22*(Calc!$G$3:$G$22&lt;=A3079))</f>
        <v/>
      </c>
      <c r="D3079">
        <f>SUMPRODUCT(Calc!$K$3:$K$22*(Calc!$G$3:$G$22&gt;A3079)*(Calc!$G$3:$G$22&lt;B3079))</f>
        <v/>
      </c>
      <c r="E3079">
        <f>SUMPRODUCT(Calc!$K$3:$K$22*(Calc!$G$3:$G$22&gt;=B3079))</f>
        <v/>
      </c>
      <c r="F3079">
        <f>AND(k_n&gt;=5,B3079&gt;A3079+1E-9,C3079&gt;=2,D3079&gt;=1,E3079&gt;=2)</f>
        <v/>
      </c>
      <c r="G3079">
        <f>SUMPRODUCT(Calc!$K$3:$K$22*(Calc!$G$3:$G$22&gt;A3079)*(Calc!$G$3:$G$22-A3079))</f>
        <v/>
      </c>
      <c r="H3079">
        <f>SUMPRODUCT(Calc!$K$3:$K$22*(Calc!$G$3:$G$22&gt;B3079)*(Calc!$G$3:$G$22-B3079))</f>
        <v/>
      </c>
      <c r="I3079">
        <f>SUMPRODUCT(Calc!$K$3:$K$22*(Calc!$G$3:$G$22&gt;A3079)*(Calc!$G$3:$G$22-A3079)^2)</f>
        <v/>
      </c>
      <c r="J3079">
        <f>SUMPRODUCT(Calc!$K$3:$K$22*(Calc!$G$3:$G$22&gt;B3079)*(Calc!$G$3:$G$22-B3079)^2)</f>
        <v/>
      </c>
      <c r="K3079">
        <f>SUMPRODUCT(Calc!$K$3:$K$22*(Calc!$G$3:$G$22&gt;A3079)*(Calc!$G$3:$G$22-A3079)*(Calc!$G$3:$G$22&gt;B3079)*(Calc!$G$3:$G$22-B3079))</f>
        <v/>
      </c>
      <c r="L3079">
        <f>SUMPRODUCT(Calc!$K$3:$K$22*(Calc!$G$3:$G$22&gt;A3079)*(Calc!$G$3:$G$22-A3079)*Calc!$G$3:$G$22)</f>
        <v/>
      </c>
      <c r="M3079">
        <f>SUMPRODUCT(Calc!$K$3:$K$22*(Calc!$G$3:$G$22&gt;B3079)*(Calc!$G$3:$G$22-B3079)*Calc!$G$3:$G$22)</f>
        <v/>
      </c>
      <c r="N3079">
        <f>SUMPRODUCT(Calc!$K$3:$K$22*(Calc!$G$3:$G$22&gt;A3079)*(Calc!$G$3:$G$22-A3079)*Calc!$I$3:$I$22)</f>
        <v/>
      </c>
      <c r="O3079">
        <f>SUMPRODUCT(Calc!$K$3:$K$22*(Calc!$G$3:$G$22&gt;B3079)*(Calc!$G$3:$G$22-B3079)*Calc!$I$3:$I$22)</f>
        <v/>
      </c>
      <c r="P3079">
        <f>I3079-G3079^2/k_n</f>
        <v/>
      </c>
      <c r="Q3079">
        <f>J3079-H3079^2/k_n</f>
        <v/>
      </c>
      <c r="R3079">
        <f>K3079-G3079*H3079/k_n</f>
        <v/>
      </c>
      <c r="S3079">
        <f>L3079-LTP3!$D$3*G3079/k_n</f>
        <v/>
      </c>
      <c r="T3079">
        <f>M3079-LTP3!$D$3*H3079/k_n</f>
        <v/>
      </c>
      <c r="U3079">
        <f>N3079-G3079*LTP3!$D$4/k_n</f>
        <v/>
      </c>
      <c r="V3079">
        <f>O3079-H3079*LTP3!$D$4/k_n</f>
        <v/>
      </c>
      <c r="W3079">
        <f>((LTP3!$D$5)*((P3079)*(Q3079)-(R3079)*(R3079))-(S3079)*((S3079)*(Q3079)-(R3079)*(T3079))+(T3079)*((S3079)*(R3079)-(P3079)*(T3079)))</f>
        <v/>
      </c>
      <c r="X3079">
        <f>IF(ABS(W3079)&gt;1E-12,((LTP3!$D$6)*((P3079)*(Q3079)-(R3079)*(R3079))-(S3079)*((U3079)*(Q3079)-(R3079)*(V3079))+(T3079)*((U3079)*(R3079)-(P3079)*(V3079)))/W3079,0)</f>
        <v/>
      </c>
      <c r="Y3079">
        <f>IF(ABS(W3079)&gt;1E-12,((LTP3!$D$5)*((U3079)*(Q3079)-(R3079)*(V3079))-(LTP3!$D$6)*((S3079)*(Q3079)-(R3079)*(T3079))+(T3079)*((S3079)*(V3079)-(U3079)*(T3079)))/W3079,0)</f>
        <v/>
      </c>
      <c r="Z3079">
        <f>IF(ABS(W3079)&gt;1E-12,((LTP3!$D$5)*((P3079)*(V3079)-(U3079)*(R3079))-(S3079)*((S3079)*(V3079)-(U3079)*(T3079))+(LTP3!$D$6)*((S3079)*(R3079)-(P3079)*(T3079)))/W3079,0)</f>
        <v/>
      </c>
      <c r="AA3079">
        <f>LTP3!$D$7-X3079*LTP3!$D$6-Y3079*U3079-Z3079*V3079</f>
        <v/>
      </c>
      <c r="AB3079">
        <f>IF(AND(F3079,ABS(W3079)&gt;1E-12,Y3079&gt;0,Z3079&gt;0),AA3079,1E+300)</f>
        <v/>
      </c>
    </row>
    <row r="3080">
      <c r="A3080">
        <f>$B$3+$B$5*50</f>
        <v/>
      </c>
      <c r="B3080">
        <f>$B$3+$B$5*18</f>
        <v/>
      </c>
      <c r="C3080">
        <f>SUMPRODUCT(Calc!$K$3:$K$22*(Calc!$G$3:$G$22&lt;=A3080))</f>
        <v/>
      </c>
      <c r="D3080">
        <f>SUMPRODUCT(Calc!$K$3:$K$22*(Calc!$G$3:$G$22&gt;A3080)*(Calc!$G$3:$G$22&lt;B3080))</f>
        <v/>
      </c>
      <c r="E3080">
        <f>SUMPRODUCT(Calc!$K$3:$K$22*(Calc!$G$3:$G$22&gt;=B3080))</f>
        <v/>
      </c>
      <c r="F3080">
        <f>AND(k_n&gt;=5,B3080&gt;A3080+1E-9,C3080&gt;=2,D3080&gt;=1,E3080&gt;=2)</f>
        <v/>
      </c>
      <c r="G3080">
        <f>SUMPRODUCT(Calc!$K$3:$K$22*(Calc!$G$3:$G$22&gt;A3080)*(Calc!$G$3:$G$22-A3080))</f>
        <v/>
      </c>
      <c r="H3080">
        <f>SUMPRODUCT(Calc!$K$3:$K$22*(Calc!$G$3:$G$22&gt;B3080)*(Calc!$G$3:$G$22-B3080))</f>
        <v/>
      </c>
      <c r="I3080">
        <f>SUMPRODUCT(Calc!$K$3:$K$22*(Calc!$G$3:$G$22&gt;A3080)*(Calc!$G$3:$G$22-A3080)^2)</f>
        <v/>
      </c>
      <c r="J3080">
        <f>SUMPRODUCT(Calc!$K$3:$K$22*(Calc!$G$3:$G$22&gt;B3080)*(Calc!$G$3:$G$22-B3080)^2)</f>
        <v/>
      </c>
      <c r="K3080">
        <f>SUMPRODUCT(Calc!$K$3:$K$22*(Calc!$G$3:$G$22&gt;A3080)*(Calc!$G$3:$G$22-A3080)*(Calc!$G$3:$G$22&gt;B3080)*(Calc!$G$3:$G$22-B3080))</f>
        <v/>
      </c>
      <c r="L3080">
        <f>SUMPRODUCT(Calc!$K$3:$K$22*(Calc!$G$3:$G$22&gt;A3080)*(Calc!$G$3:$G$22-A3080)*Calc!$G$3:$G$22)</f>
        <v/>
      </c>
      <c r="M3080">
        <f>SUMPRODUCT(Calc!$K$3:$K$22*(Calc!$G$3:$G$22&gt;B3080)*(Calc!$G$3:$G$22-B3080)*Calc!$G$3:$G$22)</f>
        <v/>
      </c>
      <c r="N3080">
        <f>SUMPRODUCT(Calc!$K$3:$K$22*(Calc!$G$3:$G$22&gt;A3080)*(Calc!$G$3:$G$22-A3080)*Calc!$I$3:$I$22)</f>
        <v/>
      </c>
      <c r="O3080">
        <f>SUMPRODUCT(Calc!$K$3:$K$22*(Calc!$G$3:$G$22&gt;B3080)*(Calc!$G$3:$G$22-B3080)*Calc!$I$3:$I$22)</f>
        <v/>
      </c>
      <c r="P3080">
        <f>I3080-G3080^2/k_n</f>
        <v/>
      </c>
      <c r="Q3080">
        <f>J3080-H3080^2/k_n</f>
        <v/>
      </c>
      <c r="R3080">
        <f>K3080-G3080*H3080/k_n</f>
        <v/>
      </c>
      <c r="S3080">
        <f>L3080-LTP3!$D$3*G3080/k_n</f>
        <v/>
      </c>
      <c r="T3080">
        <f>M3080-LTP3!$D$3*H3080/k_n</f>
        <v/>
      </c>
      <c r="U3080">
        <f>N3080-G3080*LTP3!$D$4/k_n</f>
        <v/>
      </c>
      <c r="V3080">
        <f>O3080-H3080*LTP3!$D$4/k_n</f>
        <v/>
      </c>
      <c r="W3080">
        <f>((LTP3!$D$5)*((P3080)*(Q3080)-(R3080)*(R3080))-(S3080)*((S3080)*(Q3080)-(R3080)*(T3080))+(T3080)*((S3080)*(R3080)-(P3080)*(T3080)))</f>
        <v/>
      </c>
      <c r="X3080">
        <f>IF(ABS(W3080)&gt;1E-12,((LTP3!$D$6)*((P3080)*(Q3080)-(R3080)*(R3080))-(S3080)*((U3080)*(Q3080)-(R3080)*(V3080))+(T3080)*((U3080)*(R3080)-(P3080)*(V3080)))/W3080,0)</f>
        <v/>
      </c>
      <c r="Y3080">
        <f>IF(ABS(W3080)&gt;1E-12,((LTP3!$D$5)*((U3080)*(Q3080)-(R3080)*(V3080))-(LTP3!$D$6)*((S3080)*(Q3080)-(R3080)*(T3080))+(T3080)*((S3080)*(V3080)-(U3080)*(T3080)))/W3080,0)</f>
        <v/>
      </c>
      <c r="Z3080">
        <f>IF(ABS(W3080)&gt;1E-12,((LTP3!$D$5)*((P3080)*(V3080)-(U3080)*(R3080))-(S3080)*((S3080)*(V3080)-(U3080)*(T3080))+(LTP3!$D$6)*((S3080)*(R3080)-(P3080)*(T3080)))/W3080,0)</f>
        <v/>
      </c>
      <c r="AA3080">
        <f>LTP3!$D$7-X3080*LTP3!$D$6-Y3080*U3080-Z3080*V3080</f>
        <v/>
      </c>
      <c r="AB3080">
        <f>IF(AND(F3080,ABS(W3080)&gt;1E-12,Y3080&gt;0,Z3080&gt;0),AA3080,1E+300)</f>
        <v/>
      </c>
    </row>
    <row r="3081">
      <c r="A3081">
        <f>$B$3+$B$5*50</f>
        <v/>
      </c>
      <c r="B3081">
        <f>$B$3+$B$5*19</f>
        <v/>
      </c>
      <c r="C3081">
        <f>SUMPRODUCT(Calc!$K$3:$K$22*(Calc!$G$3:$G$22&lt;=A3081))</f>
        <v/>
      </c>
      <c r="D3081">
        <f>SUMPRODUCT(Calc!$K$3:$K$22*(Calc!$G$3:$G$22&gt;A3081)*(Calc!$G$3:$G$22&lt;B3081))</f>
        <v/>
      </c>
      <c r="E3081">
        <f>SUMPRODUCT(Calc!$K$3:$K$22*(Calc!$G$3:$G$22&gt;=B3081))</f>
        <v/>
      </c>
      <c r="F3081">
        <f>AND(k_n&gt;=5,B3081&gt;A3081+1E-9,C3081&gt;=2,D3081&gt;=1,E3081&gt;=2)</f>
        <v/>
      </c>
      <c r="G3081">
        <f>SUMPRODUCT(Calc!$K$3:$K$22*(Calc!$G$3:$G$22&gt;A3081)*(Calc!$G$3:$G$22-A3081))</f>
        <v/>
      </c>
      <c r="H3081">
        <f>SUMPRODUCT(Calc!$K$3:$K$22*(Calc!$G$3:$G$22&gt;B3081)*(Calc!$G$3:$G$22-B3081))</f>
        <v/>
      </c>
      <c r="I3081">
        <f>SUMPRODUCT(Calc!$K$3:$K$22*(Calc!$G$3:$G$22&gt;A3081)*(Calc!$G$3:$G$22-A3081)^2)</f>
        <v/>
      </c>
      <c r="J3081">
        <f>SUMPRODUCT(Calc!$K$3:$K$22*(Calc!$G$3:$G$22&gt;B3081)*(Calc!$G$3:$G$22-B3081)^2)</f>
        <v/>
      </c>
      <c r="K3081">
        <f>SUMPRODUCT(Calc!$K$3:$K$22*(Calc!$G$3:$G$22&gt;A3081)*(Calc!$G$3:$G$22-A3081)*(Calc!$G$3:$G$22&gt;B3081)*(Calc!$G$3:$G$22-B3081))</f>
        <v/>
      </c>
      <c r="L3081">
        <f>SUMPRODUCT(Calc!$K$3:$K$22*(Calc!$G$3:$G$22&gt;A3081)*(Calc!$G$3:$G$22-A3081)*Calc!$G$3:$G$22)</f>
        <v/>
      </c>
      <c r="M3081">
        <f>SUMPRODUCT(Calc!$K$3:$K$22*(Calc!$G$3:$G$22&gt;B3081)*(Calc!$G$3:$G$22-B3081)*Calc!$G$3:$G$22)</f>
        <v/>
      </c>
      <c r="N3081">
        <f>SUMPRODUCT(Calc!$K$3:$K$22*(Calc!$G$3:$G$22&gt;A3081)*(Calc!$G$3:$G$22-A3081)*Calc!$I$3:$I$22)</f>
        <v/>
      </c>
      <c r="O3081">
        <f>SUMPRODUCT(Calc!$K$3:$K$22*(Calc!$G$3:$G$22&gt;B3081)*(Calc!$G$3:$G$22-B3081)*Calc!$I$3:$I$22)</f>
        <v/>
      </c>
      <c r="P3081">
        <f>I3081-G3081^2/k_n</f>
        <v/>
      </c>
      <c r="Q3081">
        <f>J3081-H3081^2/k_n</f>
        <v/>
      </c>
      <c r="R3081">
        <f>K3081-G3081*H3081/k_n</f>
        <v/>
      </c>
      <c r="S3081">
        <f>L3081-LTP3!$D$3*G3081/k_n</f>
        <v/>
      </c>
      <c r="T3081">
        <f>M3081-LTP3!$D$3*H3081/k_n</f>
        <v/>
      </c>
      <c r="U3081">
        <f>N3081-G3081*LTP3!$D$4/k_n</f>
        <v/>
      </c>
      <c r="V3081">
        <f>O3081-H3081*LTP3!$D$4/k_n</f>
        <v/>
      </c>
      <c r="W3081">
        <f>((LTP3!$D$5)*((P3081)*(Q3081)-(R3081)*(R3081))-(S3081)*((S3081)*(Q3081)-(R3081)*(T3081))+(T3081)*((S3081)*(R3081)-(P3081)*(T3081)))</f>
        <v/>
      </c>
      <c r="X3081">
        <f>IF(ABS(W3081)&gt;1E-12,((LTP3!$D$6)*((P3081)*(Q3081)-(R3081)*(R3081))-(S3081)*((U3081)*(Q3081)-(R3081)*(V3081))+(T3081)*((U3081)*(R3081)-(P3081)*(V3081)))/W3081,0)</f>
        <v/>
      </c>
      <c r="Y3081">
        <f>IF(ABS(W3081)&gt;1E-12,((LTP3!$D$5)*((U3081)*(Q3081)-(R3081)*(V3081))-(LTP3!$D$6)*((S3081)*(Q3081)-(R3081)*(T3081))+(T3081)*((S3081)*(V3081)-(U3081)*(T3081)))/W3081,0)</f>
        <v/>
      </c>
      <c r="Z3081">
        <f>IF(ABS(W3081)&gt;1E-12,((LTP3!$D$5)*((P3081)*(V3081)-(U3081)*(R3081))-(S3081)*((S3081)*(V3081)-(U3081)*(T3081))+(LTP3!$D$6)*((S3081)*(R3081)-(P3081)*(T3081)))/W3081,0)</f>
        <v/>
      </c>
      <c r="AA3081">
        <f>LTP3!$D$7-X3081*LTP3!$D$6-Y3081*U3081-Z3081*V3081</f>
        <v/>
      </c>
      <c r="AB3081">
        <f>IF(AND(F3081,ABS(W3081)&gt;1E-12,Y3081&gt;0,Z3081&gt;0),AA3081,1E+300)</f>
        <v/>
      </c>
    </row>
    <row r="3082">
      <c r="A3082">
        <f>$B$3+$B$5*50</f>
        <v/>
      </c>
      <c r="B3082">
        <f>$B$3+$B$5*20</f>
        <v/>
      </c>
      <c r="C3082">
        <f>SUMPRODUCT(Calc!$K$3:$K$22*(Calc!$G$3:$G$22&lt;=A3082))</f>
        <v/>
      </c>
      <c r="D3082">
        <f>SUMPRODUCT(Calc!$K$3:$K$22*(Calc!$G$3:$G$22&gt;A3082)*(Calc!$G$3:$G$22&lt;B3082))</f>
        <v/>
      </c>
      <c r="E3082">
        <f>SUMPRODUCT(Calc!$K$3:$K$22*(Calc!$G$3:$G$22&gt;=B3082))</f>
        <v/>
      </c>
      <c r="F3082">
        <f>AND(k_n&gt;=5,B3082&gt;A3082+1E-9,C3082&gt;=2,D3082&gt;=1,E3082&gt;=2)</f>
        <v/>
      </c>
      <c r="G3082">
        <f>SUMPRODUCT(Calc!$K$3:$K$22*(Calc!$G$3:$G$22&gt;A3082)*(Calc!$G$3:$G$22-A3082))</f>
        <v/>
      </c>
      <c r="H3082">
        <f>SUMPRODUCT(Calc!$K$3:$K$22*(Calc!$G$3:$G$22&gt;B3082)*(Calc!$G$3:$G$22-B3082))</f>
        <v/>
      </c>
      <c r="I3082">
        <f>SUMPRODUCT(Calc!$K$3:$K$22*(Calc!$G$3:$G$22&gt;A3082)*(Calc!$G$3:$G$22-A3082)^2)</f>
        <v/>
      </c>
      <c r="J3082">
        <f>SUMPRODUCT(Calc!$K$3:$K$22*(Calc!$G$3:$G$22&gt;B3082)*(Calc!$G$3:$G$22-B3082)^2)</f>
        <v/>
      </c>
      <c r="K3082">
        <f>SUMPRODUCT(Calc!$K$3:$K$22*(Calc!$G$3:$G$22&gt;A3082)*(Calc!$G$3:$G$22-A3082)*(Calc!$G$3:$G$22&gt;B3082)*(Calc!$G$3:$G$22-B3082))</f>
        <v/>
      </c>
      <c r="L3082">
        <f>SUMPRODUCT(Calc!$K$3:$K$22*(Calc!$G$3:$G$22&gt;A3082)*(Calc!$G$3:$G$22-A3082)*Calc!$G$3:$G$22)</f>
        <v/>
      </c>
      <c r="M3082">
        <f>SUMPRODUCT(Calc!$K$3:$K$22*(Calc!$G$3:$G$22&gt;B3082)*(Calc!$G$3:$G$22-B3082)*Calc!$G$3:$G$22)</f>
        <v/>
      </c>
      <c r="N3082">
        <f>SUMPRODUCT(Calc!$K$3:$K$22*(Calc!$G$3:$G$22&gt;A3082)*(Calc!$G$3:$G$22-A3082)*Calc!$I$3:$I$22)</f>
        <v/>
      </c>
      <c r="O3082">
        <f>SUMPRODUCT(Calc!$K$3:$K$22*(Calc!$G$3:$G$22&gt;B3082)*(Calc!$G$3:$G$22-B3082)*Calc!$I$3:$I$22)</f>
        <v/>
      </c>
      <c r="P3082">
        <f>I3082-G3082^2/k_n</f>
        <v/>
      </c>
      <c r="Q3082">
        <f>J3082-H3082^2/k_n</f>
        <v/>
      </c>
      <c r="R3082">
        <f>K3082-G3082*H3082/k_n</f>
        <v/>
      </c>
      <c r="S3082">
        <f>L3082-LTP3!$D$3*G3082/k_n</f>
        <v/>
      </c>
      <c r="T3082">
        <f>M3082-LTP3!$D$3*H3082/k_n</f>
        <v/>
      </c>
      <c r="U3082">
        <f>N3082-G3082*LTP3!$D$4/k_n</f>
        <v/>
      </c>
      <c r="V3082">
        <f>O3082-H3082*LTP3!$D$4/k_n</f>
        <v/>
      </c>
      <c r="W3082">
        <f>((LTP3!$D$5)*((P3082)*(Q3082)-(R3082)*(R3082))-(S3082)*((S3082)*(Q3082)-(R3082)*(T3082))+(T3082)*((S3082)*(R3082)-(P3082)*(T3082)))</f>
        <v/>
      </c>
      <c r="X3082">
        <f>IF(ABS(W3082)&gt;1E-12,((LTP3!$D$6)*((P3082)*(Q3082)-(R3082)*(R3082))-(S3082)*((U3082)*(Q3082)-(R3082)*(V3082))+(T3082)*((U3082)*(R3082)-(P3082)*(V3082)))/W3082,0)</f>
        <v/>
      </c>
      <c r="Y3082">
        <f>IF(ABS(W3082)&gt;1E-12,((LTP3!$D$5)*((U3082)*(Q3082)-(R3082)*(V3082))-(LTP3!$D$6)*((S3082)*(Q3082)-(R3082)*(T3082))+(T3082)*((S3082)*(V3082)-(U3082)*(T3082)))/W3082,0)</f>
        <v/>
      </c>
      <c r="Z3082">
        <f>IF(ABS(W3082)&gt;1E-12,((LTP3!$D$5)*((P3082)*(V3082)-(U3082)*(R3082))-(S3082)*((S3082)*(V3082)-(U3082)*(T3082))+(LTP3!$D$6)*((S3082)*(R3082)-(P3082)*(T3082)))/W3082,0)</f>
        <v/>
      </c>
      <c r="AA3082">
        <f>LTP3!$D$7-X3082*LTP3!$D$6-Y3082*U3082-Z3082*V3082</f>
        <v/>
      </c>
      <c r="AB3082">
        <f>IF(AND(F3082,ABS(W3082)&gt;1E-12,Y3082&gt;0,Z3082&gt;0),AA3082,1E+300)</f>
        <v/>
      </c>
    </row>
    <row r="3083">
      <c r="A3083">
        <f>$B$3+$B$5*50</f>
        <v/>
      </c>
      <c r="B3083">
        <f>$B$3+$B$5*21</f>
        <v/>
      </c>
      <c r="C3083">
        <f>SUMPRODUCT(Calc!$K$3:$K$22*(Calc!$G$3:$G$22&lt;=A3083))</f>
        <v/>
      </c>
      <c r="D3083">
        <f>SUMPRODUCT(Calc!$K$3:$K$22*(Calc!$G$3:$G$22&gt;A3083)*(Calc!$G$3:$G$22&lt;B3083))</f>
        <v/>
      </c>
      <c r="E3083">
        <f>SUMPRODUCT(Calc!$K$3:$K$22*(Calc!$G$3:$G$22&gt;=B3083))</f>
        <v/>
      </c>
      <c r="F3083">
        <f>AND(k_n&gt;=5,B3083&gt;A3083+1E-9,C3083&gt;=2,D3083&gt;=1,E3083&gt;=2)</f>
        <v/>
      </c>
      <c r="G3083">
        <f>SUMPRODUCT(Calc!$K$3:$K$22*(Calc!$G$3:$G$22&gt;A3083)*(Calc!$G$3:$G$22-A3083))</f>
        <v/>
      </c>
      <c r="H3083">
        <f>SUMPRODUCT(Calc!$K$3:$K$22*(Calc!$G$3:$G$22&gt;B3083)*(Calc!$G$3:$G$22-B3083))</f>
        <v/>
      </c>
      <c r="I3083">
        <f>SUMPRODUCT(Calc!$K$3:$K$22*(Calc!$G$3:$G$22&gt;A3083)*(Calc!$G$3:$G$22-A3083)^2)</f>
        <v/>
      </c>
      <c r="J3083">
        <f>SUMPRODUCT(Calc!$K$3:$K$22*(Calc!$G$3:$G$22&gt;B3083)*(Calc!$G$3:$G$22-B3083)^2)</f>
        <v/>
      </c>
      <c r="K3083">
        <f>SUMPRODUCT(Calc!$K$3:$K$22*(Calc!$G$3:$G$22&gt;A3083)*(Calc!$G$3:$G$22-A3083)*(Calc!$G$3:$G$22&gt;B3083)*(Calc!$G$3:$G$22-B3083))</f>
        <v/>
      </c>
      <c r="L3083">
        <f>SUMPRODUCT(Calc!$K$3:$K$22*(Calc!$G$3:$G$22&gt;A3083)*(Calc!$G$3:$G$22-A3083)*Calc!$G$3:$G$22)</f>
        <v/>
      </c>
      <c r="M3083">
        <f>SUMPRODUCT(Calc!$K$3:$K$22*(Calc!$G$3:$G$22&gt;B3083)*(Calc!$G$3:$G$22-B3083)*Calc!$G$3:$G$22)</f>
        <v/>
      </c>
      <c r="N3083">
        <f>SUMPRODUCT(Calc!$K$3:$K$22*(Calc!$G$3:$G$22&gt;A3083)*(Calc!$G$3:$G$22-A3083)*Calc!$I$3:$I$22)</f>
        <v/>
      </c>
      <c r="O3083">
        <f>SUMPRODUCT(Calc!$K$3:$K$22*(Calc!$G$3:$G$22&gt;B3083)*(Calc!$G$3:$G$22-B3083)*Calc!$I$3:$I$22)</f>
        <v/>
      </c>
      <c r="P3083">
        <f>I3083-G3083^2/k_n</f>
        <v/>
      </c>
      <c r="Q3083">
        <f>J3083-H3083^2/k_n</f>
        <v/>
      </c>
      <c r="R3083">
        <f>K3083-G3083*H3083/k_n</f>
        <v/>
      </c>
      <c r="S3083">
        <f>L3083-LTP3!$D$3*G3083/k_n</f>
        <v/>
      </c>
      <c r="T3083">
        <f>M3083-LTP3!$D$3*H3083/k_n</f>
        <v/>
      </c>
      <c r="U3083">
        <f>N3083-G3083*LTP3!$D$4/k_n</f>
        <v/>
      </c>
      <c r="V3083">
        <f>O3083-H3083*LTP3!$D$4/k_n</f>
        <v/>
      </c>
      <c r="W3083">
        <f>((LTP3!$D$5)*((P3083)*(Q3083)-(R3083)*(R3083))-(S3083)*((S3083)*(Q3083)-(R3083)*(T3083))+(T3083)*((S3083)*(R3083)-(P3083)*(T3083)))</f>
        <v/>
      </c>
      <c r="X3083">
        <f>IF(ABS(W3083)&gt;1E-12,((LTP3!$D$6)*((P3083)*(Q3083)-(R3083)*(R3083))-(S3083)*((U3083)*(Q3083)-(R3083)*(V3083))+(T3083)*((U3083)*(R3083)-(P3083)*(V3083)))/W3083,0)</f>
        <v/>
      </c>
      <c r="Y3083">
        <f>IF(ABS(W3083)&gt;1E-12,((LTP3!$D$5)*((U3083)*(Q3083)-(R3083)*(V3083))-(LTP3!$D$6)*((S3083)*(Q3083)-(R3083)*(T3083))+(T3083)*((S3083)*(V3083)-(U3083)*(T3083)))/W3083,0)</f>
        <v/>
      </c>
      <c r="Z3083">
        <f>IF(ABS(W3083)&gt;1E-12,((LTP3!$D$5)*((P3083)*(V3083)-(U3083)*(R3083))-(S3083)*((S3083)*(V3083)-(U3083)*(T3083))+(LTP3!$D$6)*((S3083)*(R3083)-(P3083)*(T3083)))/W3083,0)</f>
        <v/>
      </c>
      <c r="AA3083">
        <f>LTP3!$D$7-X3083*LTP3!$D$6-Y3083*U3083-Z3083*V3083</f>
        <v/>
      </c>
      <c r="AB3083">
        <f>IF(AND(F3083,ABS(W3083)&gt;1E-12,Y3083&gt;0,Z3083&gt;0),AA3083,1E+300)</f>
        <v/>
      </c>
    </row>
    <row r="3084">
      <c r="A3084">
        <f>$B$3+$B$5*50</f>
        <v/>
      </c>
      <c r="B3084">
        <f>$B$3+$B$5*22</f>
        <v/>
      </c>
      <c r="C3084">
        <f>SUMPRODUCT(Calc!$K$3:$K$22*(Calc!$G$3:$G$22&lt;=A3084))</f>
        <v/>
      </c>
      <c r="D3084">
        <f>SUMPRODUCT(Calc!$K$3:$K$22*(Calc!$G$3:$G$22&gt;A3084)*(Calc!$G$3:$G$22&lt;B3084))</f>
        <v/>
      </c>
      <c r="E3084">
        <f>SUMPRODUCT(Calc!$K$3:$K$22*(Calc!$G$3:$G$22&gt;=B3084))</f>
        <v/>
      </c>
      <c r="F3084">
        <f>AND(k_n&gt;=5,B3084&gt;A3084+1E-9,C3084&gt;=2,D3084&gt;=1,E3084&gt;=2)</f>
        <v/>
      </c>
      <c r="G3084">
        <f>SUMPRODUCT(Calc!$K$3:$K$22*(Calc!$G$3:$G$22&gt;A3084)*(Calc!$G$3:$G$22-A3084))</f>
        <v/>
      </c>
      <c r="H3084">
        <f>SUMPRODUCT(Calc!$K$3:$K$22*(Calc!$G$3:$G$22&gt;B3084)*(Calc!$G$3:$G$22-B3084))</f>
        <v/>
      </c>
      <c r="I3084">
        <f>SUMPRODUCT(Calc!$K$3:$K$22*(Calc!$G$3:$G$22&gt;A3084)*(Calc!$G$3:$G$22-A3084)^2)</f>
        <v/>
      </c>
      <c r="J3084">
        <f>SUMPRODUCT(Calc!$K$3:$K$22*(Calc!$G$3:$G$22&gt;B3084)*(Calc!$G$3:$G$22-B3084)^2)</f>
        <v/>
      </c>
      <c r="K3084">
        <f>SUMPRODUCT(Calc!$K$3:$K$22*(Calc!$G$3:$G$22&gt;A3084)*(Calc!$G$3:$G$22-A3084)*(Calc!$G$3:$G$22&gt;B3084)*(Calc!$G$3:$G$22-B3084))</f>
        <v/>
      </c>
      <c r="L3084">
        <f>SUMPRODUCT(Calc!$K$3:$K$22*(Calc!$G$3:$G$22&gt;A3084)*(Calc!$G$3:$G$22-A3084)*Calc!$G$3:$G$22)</f>
        <v/>
      </c>
      <c r="M3084">
        <f>SUMPRODUCT(Calc!$K$3:$K$22*(Calc!$G$3:$G$22&gt;B3084)*(Calc!$G$3:$G$22-B3084)*Calc!$G$3:$G$22)</f>
        <v/>
      </c>
      <c r="N3084">
        <f>SUMPRODUCT(Calc!$K$3:$K$22*(Calc!$G$3:$G$22&gt;A3084)*(Calc!$G$3:$G$22-A3084)*Calc!$I$3:$I$22)</f>
        <v/>
      </c>
      <c r="O3084">
        <f>SUMPRODUCT(Calc!$K$3:$K$22*(Calc!$G$3:$G$22&gt;B3084)*(Calc!$G$3:$G$22-B3084)*Calc!$I$3:$I$22)</f>
        <v/>
      </c>
      <c r="P3084">
        <f>I3084-G3084^2/k_n</f>
        <v/>
      </c>
      <c r="Q3084">
        <f>J3084-H3084^2/k_n</f>
        <v/>
      </c>
      <c r="R3084">
        <f>K3084-G3084*H3084/k_n</f>
        <v/>
      </c>
      <c r="S3084">
        <f>L3084-LTP3!$D$3*G3084/k_n</f>
        <v/>
      </c>
      <c r="T3084">
        <f>M3084-LTP3!$D$3*H3084/k_n</f>
        <v/>
      </c>
      <c r="U3084">
        <f>N3084-G3084*LTP3!$D$4/k_n</f>
        <v/>
      </c>
      <c r="V3084">
        <f>O3084-H3084*LTP3!$D$4/k_n</f>
        <v/>
      </c>
      <c r="W3084">
        <f>((LTP3!$D$5)*((P3084)*(Q3084)-(R3084)*(R3084))-(S3084)*((S3084)*(Q3084)-(R3084)*(T3084))+(T3084)*((S3084)*(R3084)-(P3084)*(T3084)))</f>
        <v/>
      </c>
      <c r="X3084">
        <f>IF(ABS(W3084)&gt;1E-12,((LTP3!$D$6)*((P3084)*(Q3084)-(R3084)*(R3084))-(S3084)*((U3084)*(Q3084)-(R3084)*(V3084))+(T3084)*((U3084)*(R3084)-(P3084)*(V3084)))/W3084,0)</f>
        <v/>
      </c>
      <c r="Y3084">
        <f>IF(ABS(W3084)&gt;1E-12,((LTP3!$D$5)*((U3084)*(Q3084)-(R3084)*(V3084))-(LTP3!$D$6)*((S3084)*(Q3084)-(R3084)*(T3084))+(T3084)*((S3084)*(V3084)-(U3084)*(T3084)))/W3084,0)</f>
        <v/>
      </c>
      <c r="Z3084">
        <f>IF(ABS(W3084)&gt;1E-12,((LTP3!$D$5)*((P3084)*(V3084)-(U3084)*(R3084))-(S3084)*((S3084)*(V3084)-(U3084)*(T3084))+(LTP3!$D$6)*((S3084)*(R3084)-(P3084)*(T3084)))/W3084,0)</f>
        <v/>
      </c>
      <c r="AA3084">
        <f>LTP3!$D$7-X3084*LTP3!$D$6-Y3084*U3084-Z3084*V3084</f>
        <v/>
      </c>
      <c r="AB3084">
        <f>IF(AND(F3084,ABS(W3084)&gt;1E-12,Y3084&gt;0,Z3084&gt;0),AA3084,1E+300)</f>
        <v/>
      </c>
    </row>
    <row r="3085">
      <c r="A3085">
        <f>$B$3+$B$5*50</f>
        <v/>
      </c>
      <c r="B3085">
        <f>$B$3+$B$5*23</f>
        <v/>
      </c>
      <c r="C3085">
        <f>SUMPRODUCT(Calc!$K$3:$K$22*(Calc!$G$3:$G$22&lt;=A3085))</f>
        <v/>
      </c>
      <c r="D3085">
        <f>SUMPRODUCT(Calc!$K$3:$K$22*(Calc!$G$3:$G$22&gt;A3085)*(Calc!$G$3:$G$22&lt;B3085))</f>
        <v/>
      </c>
      <c r="E3085">
        <f>SUMPRODUCT(Calc!$K$3:$K$22*(Calc!$G$3:$G$22&gt;=B3085))</f>
        <v/>
      </c>
      <c r="F3085">
        <f>AND(k_n&gt;=5,B3085&gt;A3085+1E-9,C3085&gt;=2,D3085&gt;=1,E3085&gt;=2)</f>
        <v/>
      </c>
      <c r="G3085">
        <f>SUMPRODUCT(Calc!$K$3:$K$22*(Calc!$G$3:$G$22&gt;A3085)*(Calc!$G$3:$G$22-A3085))</f>
        <v/>
      </c>
      <c r="H3085">
        <f>SUMPRODUCT(Calc!$K$3:$K$22*(Calc!$G$3:$G$22&gt;B3085)*(Calc!$G$3:$G$22-B3085))</f>
        <v/>
      </c>
      <c r="I3085">
        <f>SUMPRODUCT(Calc!$K$3:$K$22*(Calc!$G$3:$G$22&gt;A3085)*(Calc!$G$3:$G$22-A3085)^2)</f>
        <v/>
      </c>
      <c r="J3085">
        <f>SUMPRODUCT(Calc!$K$3:$K$22*(Calc!$G$3:$G$22&gt;B3085)*(Calc!$G$3:$G$22-B3085)^2)</f>
        <v/>
      </c>
      <c r="K3085">
        <f>SUMPRODUCT(Calc!$K$3:$K$22*(Calc!$G$3:$G$22&gt;A3085)*(Calc!$G$3:$G$22-A3085)*(Calc!$G$3:$G$22&gt;B3085)*(Calc!$G$3:$G$22-B3085))</f>
        <v/>
      </c>
      <c r="L3085">
        <f>SUMPRODUCT(Calc!$K$3:$K$22*(Calc!$G$3:$G$22&gt;A3085)*(Calc!$G$3:$G$22-A3085)*Calc!$G$3:$G$22)</f>
        <v/>
      </c>
      <c r="M3085">
        <f>SUMPRODUCT(Calc!$K$3:$K$22*(Calc!$G$3:$G$22&gt;B3085)*(Calc!$G$3:$G$22-B3085)*Calc!$G$3:$G$22)</f>
        <v/>
      </c>
      <c r="N3085">
        <f>SUMPRODUCT(Calc!$K$3:$K$22*(Calc!$G$3:$G$22&gt;A3085)*(Calc!$G$3:$G$22-A3085)*Calc!$I$3:$I$22)</f>
        <v/>
      </c>
      <c r="O3085">
        <f>SUMPRODUCT(Calc!$K$3:$K$22*(Calc!$G$3:$G$22&gt;B3085)*(Calc!$G$3:$G$22-B3085)*Calc!$I$3:$I$22)</f>
        <v/>
      </c>
      <c r="P3085">
        <f>I3085-G3085^2/k_n</f>
        <v/>
      </c>
      <c r="Q3085">
        <f>J3085-H3085^2/k_n</f>
        <v/>
      </c>
      <c r="R3085">
        <f>K3085-G3085*H3085/k_n</f>
        <v/>
      </c>
      <c r="S3085">
        <f>L3085-LTP3!$D$3*G3085/k_n</f>
        <v/>
      </c>
      <c r="T3085">
        <f>M3085-LTP3!$D$3*H3085/k_n</f>
        <v/>
      </c>
      <c r="U3085">
        <f>N3085-G3085*LTP3!$D$4/k_n</f>
        <v/>
      </c>
      <c r="V3085">
        <f>O3085-H3085*LTP3!$D$4/k_n</f>
        <v/>
      </c>
      <c r="W3085">
        <f>((LTP3!$D$5)*((P3085)*(Q3085)-(R3085)*(R3085))-(S3085)*((S3085)*(Q3085)-(R3085)*(T3085))+(T3085)*((S3085)*(R3085)-(P3085)*(T3085)))</f>
        <v/>
      </c>
      <c r="X3085">
        <f>IF(ABS(W3085)&gt;1E-12,((LTP3!$D$6)*((P3085)*(Q3085)-(R3085)*(R3085))-(S3085)*((U3085)*(Q3085)-(R3085)*(V3085))+(T3085)*((U3085)*(R3085)-(P3085)*(V3085)))/W3085,0)</f>
        <v/>
      </c>
      <c r="Y3085">
        <f>IF(ABS(W3085)&gt;1E-12,((LTP3!$D$5)*((U3085)*(Q3085)-(R3085)*(V3085))-(LTP3!$D$6)*((S3085)*(Q3085)-(R3085)*(T3085))+(T3085)*((S3085)*(V3085)-(U3085)*(T3085)))/W3085,0)</f>
        <v/>
      </c>
      <c r="Z3085">
        <f>IF(ABS(W3085)&gt;1E-12,((LTP3!$D$5)*((P3085)*(V3085)-(U3085)*(R3085))-(S3085)*((S3085)*(V3085)-(U3085)*(T3085))+(LTP3!$D$6)*((S3085)*(R3085)-(P3085)*(T3085)))/W3085,0)</f>
        <v/>
      </c>
      <c r="AA3085">
        <f>LTP3!$D$7-X3085*LTP3!$D$6-Y3085*U3085-Z3085*V3085</f>
        <v/>
      </c>
      <c r="AB3085">
        <f>IF(AND(F3085,ABS(W3085)&gt;1E-12,Y3085&gt;0,Z3085&gt;0),AA3085,1E+300)</f>
        <v/>
      </c>
    </row>
    <row r="3086">
      <c r="A3086">
        <f>$B$3+$B$5*50</f>
        <v/>
      </c>
      <c r="B3086">
        <f>$B$3+$B$5*24</f>
        <v/>
      </c>
      <c r="C3086">
        <f>SUMPRODUCT(Calc!$K$3:$K$22*(Calc!$G$3:$G$22&lt;=A3086))</f>
        <v/>
      </c>
      <c r="D3086">
        <f>SUMPRODUCT(Calc!$K$3:$K$22*(Calc!$G$3:$G$22&gt;A3086)*(Calc!$G$3:$G$22&lt;B3086))</f>
        <v/>
      </c>
      <c r="E3086">
        <f>SUMPRODUCT(Calc!$K$3:$K$22*(Calc!$G$3:$G$22&gt;=B3086))</f>
        <v/>
      </c>
      <c r="F3086">
        <f>AND(k_n&gt;=5,B3086&gt;A3086+1E-9,C3086&gt;=2,D3086&gt;=1,E3086&gt;=2)</f>
        <v/>
      </c>
      <c r="G3086">
        <f>SUMPRODUCT(Calc!$K$3:$K$22*(Calc!$G$3:$G$22&gt;A3086)*(Calc!$G$3:$G$22-A3086))</f>
        <v/>
      </c>
      <c r="H3086">
        <f>SUMPRODUCT(Calc!$K$3:$K$22*(Calc!$G$3:$G$22&gt;B3086)*(Calc!$G$3:$G$22-B3086))</f>
        <v/>
      </c>
      <c r="I3086">
        <f>SUMPRODUCT(Calc!$K$3:$K$22*(Calc!$G$3:$G$22&gt;A3086)*(Calc!$G$3:$G$22-A3086)^2)</f>
        <v/>
      </c>
      <c r="J3086">
        <f>SUMPRODUCT(Calc!$K$3:$K$22*(Calc!$G$3:$G$22&gt;B3086)*(Calc!$G$3:$G$22-B3086)^2)</f>
        <v/>
      </c>
      <c r="K3086">
        <f>SUMPRODUCT(Calc!$K$3:$K$22*(Calc!$G$3:$G$22&gt;A3086)*(Calc!$G$3:$G$22-A3086)*(Calc!$G$3:$G$22&gt;B3086)*(Calc!$G$3:$G$22-B3086))</f>
        <v/>
      </c>
      <c r="L3086">
        <f>SUMPRODUCT(Calc!$K$3:$K$22*(Calc!$G$3:$G$22&gt;A3086)*(Calc!$G$3:$G$22-A3086)*Calc!$G$3:$G$22)</f>
        <v/>
      </c>
      <c r="M3086">
        <f>SUMPRODUCT(Calc!$K$3:$K$22*(Calc!$G$3:$G$22&gt;B3086)*(Calc!$G$3:$G$22-B3086)*Calc!$G$3:$G$22)</f>
        <v/>
      </c>
      <c r="N3086">
        <f>SUMPRODUCT(Calc!$K$3:$K$22*(Calc!$G$3:$G$22&gt;A3086)*(Calc!$G$3:$G$22-A3086)*Calc!$I$3:$I$22)</f>
        <v/>
      </c>
      <c r="O3086">
        <f>SUMPRODUCT(Calc!$K$3:$K$22*(Calc!$G$3:$G$22&gt;B3086)*(Calc!$G$3:$G$22-B3086)*Calc!$I$3:$I$22)</f>
        <v/>
      </c>
      <c r="P3086">
        <f>I3086-G3086^2/k_n</f>
        <v/>
      </c>
      <c r="Q3086">
        <f>J3086-H3086^2/k_n</f>
        <v/>
      </c>
      <c r="R3086">
        <f>K3086-G3086*H3086/k_n</f>
        <v/>
      </c>
      <c r="S3086">
        <f>L3086-LTP3!$D$3*G3086/k_n</f>
        <v/>
      </c>
      <c r="T3086">
        <f>M3086-LTP3!$D$3*H3086/k_n</f>
        <v/>
      </c>
      <c r="U3086">
        <f>N3086-G3086*LTP3!$D$4/k_n</f>
        <v/>
      </c>
      <c r="V3086">
        <f>O3086-H3086*LTP3!$D$4/k_n</f>
        <v/>
      </c>
      <c r="W3086">
        <f>((LTP3!$D$5)*((P3086)*(Q3086)-(R3086)*(R3086))-(S3086)*((S3086)*(Q3086)-(R3086)*(T3086))+(T3086)*((S3086)*(R3086)-(P3086)*(T3086)))</f>
        <v/>
      </c>
      <c r="X3086">
        <f>IF(ABS(W3086)&gt;1E-12,((LTP3!$D$6)*((P3086)*(Q3086)-(R3086)*(R3086))-(S3086)*((U3086)*(Q3086)-(R3086)*(V3086))+(T3086)*((U3086)*(R3086)-(P3086)*(V3086)))/W3086,0)</f>
        <v/>
      </c>
      <c r="Y3086">
        <f>IF(ABS(W3086)&gt;1E-12,((LTP3!$D$5)*((U3086)*(Q3086)-(R3086)*(V3086))-(LTP3!$D$6)*((S3086)*(Q3086)-(R3086)*(T3086))+(T3086)*((S3086)*(V3086)-(U3086)*(T3086)))/W3086,0)</f>
        <v/>
      </c>
      <c r="Z3086">
        <f>IF(ABS(W3086)&gt;1E-12,((LTP3!$D$5)*((P3086)*(V3086)-(U3086)*(R3086))-(S3086)*((S3086)*(V3086)-(U3086)*(T3086))+(LTP3!$D$6)*((S3086)*(R3086)-(P3086)*(T3086)))/W3086,0)</f>
        <v/>
      </c>
      <c r="AA3086">
        <f>LTP3!$D$7-X3086*LTP3!$D$6-Y3086*U3086-Z3086*V3086</f>
        <v/>
      </c>
      <c r="AB3086">
        <f>IF(AND(F3086,ABS(W3086)&gt;1E-12,Y3086&gt;0,Z3086&gt;0),AA3086,1E+300)</f>
        <v/>
      </c>
    </row>
    <row r="3087">
      <c r="A3087">
        <f>$B$3+$B$5*50</f>
        <v/>
      </c>
      <c r="B3087">
        <f>$B$3+$B$5*25</f>
        <v/>
      </c>
      <c r="C3087">
        <f>SUMPRODUCT(Calc!$K$3:$K$22*(Calc!$G$3:$G$22&lt;=A3087))</f>
        <v/>
      </c>
      <c r="D3087">
        <f>SUMPRODUCT(Calc!$K$3:$K$22*(Calc!$G$3:$G$22&gt;A3087)*(Calc!$G$3:$G$22&lt;B3087))</f>
        <v/>
      </c>
      <c r="E3087">
        <f>SUMPRODUCT(Calc!$K$3:$K$22*(Calc!$G$3:$G$22&gt;=B3087))</f>
        <v/>
      </c>
      <c r="F3087">
        <f>AND(k_n&gt;=5,B3087&gt;A3087+1E-9,C3087&gt;=2,D3087&gt;=1,E3087&gt;=2)</f>
        <v/>
      </c>
      <c r="G3087">
        <f>SUMPRODUCT(Calc!$K$3:$K$22*(Calc!$G$3:$G$22&gt;A3087)*(Calc!$G$3:$G$22-A3087))</f>
        <v/>
      </c>
      <c r="H3087">
        <f>SUMPRODUCT(Calc!$K$3:$K$22*(Calc!$G$3:$G$22&gt;B3087)*(Calc!$G$3:$G$22-B3087))</f>
        <v/>
      </c>
      <c r="I3087">
        <f>SUMPRODUCT(Calc!$K$3:$K$22*(Calc!$G$3:$G$22&gt;A3087)*(Calc!$G$3:$G$22-A3087)^2)</f>
        <v/>
      </c>
      <c r="J3087">
        <f>SUMPRODUCT(Calc!$K$3:$K$22*(Calc!$G$3:$G$22&gt;B3087)*(Calc!$G$3:$G$22-B3087)^2)</f>
        <v/>
      </c>
      <c r="K3087">
        <f>SUMPRODUCT(Calc!$K$3:$K$22*(Calc!$G$3:$G$22&gt;A3087)*(Calc!$G$3:$G$22-A3087)*(Calc!$G$3:$G$22&gt;B3087)*(Calc!$G$3:$G$22-B3087))</f>
        <v/>
      </c>
      <c r="L3087">
        <f>SUMPRODUCT(Calc!$K$3:$K$22*(Calc!$G$3:$G$22&gt;A3087)*(Calc!$G$3:$G$22-A3087)*Calc!$G$3:$G$22)</f>
        <v/>
      </c>
      <c r="M3087">
        <f>SUMPRODUCT(Calc!$K$3:$K$22*(Calc!$G$3:$G$22&gt;B3087)*(Calc!$G$3:$G$22-B3087)*Calc!$G$3:$G$22)</f>
        <v/>
      </c>
      <c r="N3087">
        <f>SUMPRODUCT(Calc!$K$3:$K$22*(Calc!$G$3:$G$22&gt;A3087)*(Calc!$G$3:$G$22-A3087)*Calc!$I$3:$I$22)</f>
        <v/>
      </c>
      <c r="O3087">
        <f>SUMPRODUCT(Calc!$K$3:$K$22*(Calc!$G$3:$G$22&gt;B3087)*(Calc!$G$3:$G$22-B3087)*Calc!$I$3:$I$22)</f>
        <v/>
      </c>
      <c r="P3087">
        <f>I3087-G3087^2/k_n</f>
        <v/>
      </c>
      <c r="Q3087">
        <f>J3087-H3087^2/k_n</f>
        <v/>
      </c>
      <c r="R3087">
        <f>K3087-G3087*H3087/k_n</f>
        <v/>
      </c>
      <c r="S3087">
        <f>L3087-LTP3!$D$3*G3087/k_n</f>
        <v/>
      </c>
      <c r="T3087">
        <f>M3087-LTP3!$D$3*H3087/k_n</f>
        <v/>
      </c>
      <c r="U3087">
        <f>N3087-G3087*LTP3!$D$4/k_n</f>
        <v/>
      </c>
      <c r="V3087">
        <f>O3087-H3087*LTP3!$D$4/k_n</f>
        <v/>
      </c>
      <c r="W3087">
        <f>((LTP3!$D$5)*((P3087)*(Q3087)-(R3087)*(R3087))-(S3087)*((S3087)*(Q3087)-(R3087)*(T3087))+(T3087)*((S3087)*(R3087)-(P3087)*(T3087)))</f>
        <v/>
      </c>
      <c r="X3087">
        <f>IF(ABS(W3087)&gt;1E-12,((LTP3!$D$6)*((P3087)*(Q3087)-(R3087)*(R3087))-(S3087)*((U3087)*(Q3087)-(R3087)*(V3087))+(T3087)*((U3087)*(R3087)-(P3087)*(V3087)))/W3087,0)</f>
        <v/>
      </c>
      <c r="Y3087">
        <f>IF(ABS(W3087)&gt;1E-12,((LTP3!$D$5)*((U3087)*(Q3087)-(R3087)*(V3087))-(LTP3!$D$6)*((S3087)*(Q3087)-(R3087)*(T3087))+(T3087)*((S3087)*(V3087)-(U3087)*(T3087)))/W3087,0)</f>
        <v/>
      </c>
      <c r="Z3087">
        <f>IF(ABS(W3087)&gt;1E-12,((LTP3!$D$5)*((P3087)*(V3087)-(U3087)*(R3087))-(S3087)*((S3087)*(V3087)-(U3087)*(T3087))+(LTP3!$D$6)*((S3087)*(R3087)-(P3087)*(T3087)))/W3087,0)</f>
        <v/>
      </c>
      <c r="AA3087">
        <f>LTP3!$D$7-X3087*LTP3!$D$6-Y3087*U3087-Z3087*V3087</f>
        <v/>
      </c>
      <c r="AB3087">
        <f>IF(AND(F3087,ABS(W3087)&gt;1E-12,Y3087&gt;0,Z3087&gt;0),AA3087,1E+300)</f>
        <v/>
      </c>
    </row>
    <row r="3088">
      <c r="A3088">
        <f>$B$3+$B$5*50</f>
        <v/>
      </c>
      <c r="B3088">
        <f>$B$3+$B$5*26</f>
        <v/>
      </c>
      <c r="C3088">
        <f>SUMPRODUCT(Calc!$K$3:$K$22*(Calc!$G$3:$G$22&lt;=A3088))</f>
        <v/>
      </c>
      <c r="D3088">
        <f>SUMPRODUCT(Calc!$K$3:$K$22*(Calc!$G$3:$G$22&gt;A3088)*(Calc!$G$3:$G$22&lt;B3088))</f>
        <v/>
      </c>
      <c r="E3088">
        <f>SUMPRODUCT(Calc!$K$3:$K$22*(Calc!$G$3:$G$22&gt;=B3088))</f>
        <v/>
      </c>
      <c r="F3088">
        <f>AND(k_n&gt;=5,B3088&gt;A3088+1E-9,C3088&gt;=2,D3088&gt;=1,E3088&gt;=2)</f>
        <v/>
      </c>
      <c r="G3088">
        <f>SUMPRODUCT(Calc!$K$3:$K$22*(Calc!$G$3:$G$22&gt;A3088)*(Calc!$G$3:$G$22-A3088))</f>
        <v/>
      </c>
      <c r="H3088">
        <f>SUMPRODUCT(Calc!$K$3:$K$22*(Calc!$G$3:$G$22&gt;B3088)*(Calc!$G$3:$G$22-B3088))</f>
        <v/>
      </c>
      <c r="I3088">
        <f>SUMPRODUCT(Calc!$K$3:$K$22*(Calc!$G$3:$G$22&gt;A3088)*(Calc!$G$3:$G$22-A3088)^2)</f>
        <v/>
      </c>
      <c r="J3088">
        <f>SUMPRODUCT(Calc!$K$3:$K$22*(Calc!$G$3:$G$22&gt;B3088)*(Calc!$G$3:$G$22-B3088)^2)</f>
        <v/>
      </c>
      <c r="K3088">
        <f>SUMPRODUCT(Calc!$K$3:$K$22*(Calc!$G$3:$G$22&gt;A3088)*(Calc!$G$3:$G$22-A3088)*(Calc!$G$3:$G$22&gt;B3088)*(Calc!$G$3:$G$22-B3088))</f>
        <v/>
      </c>
      <c r="L3088">
        <f>SUMPRODUCT(Calc!$K$3:$K$22*(Calc!$G$3:$G$22&gt;A3088)*(Calc!$G$3:$G$22-A3088)*Calc!$G$3:$G$22)</f>
        <v/>
      </c>
      <c r="M3088">
        <f>SUMPRODUCT(Calc!$K$3:$K$22*(Calc!$G$3:$G$22&gt;B3088)*(Calc!$G$3:$G$22-B3088)*Calc!$G$3:$G$22)</f>
        <v/>
      </c>
      <c r="N3088">
        <f>SUMPRODUCT(Calc!$K$3:$K$22*(Calc!$G$3:$G$22&gt;A3088)*(Calc!$G$3:$G$22-A3088)*Calc!$I$3:$I$22)</f>
        <v/>
      </c>
      <c r="O3088">
        <f>SUMPRODUCT(Calc!$K$3:$K$22*(Calc!$G$3:$G$22&gt;B3088)*(Calc!$G$3:$G$22-B3088)*Calc!$I$3:$I$22)</f>
        <v/>
      </c>
      <c r="P3088">
        <f>I3088-G3088^2/k_n</f>
        <v/>
      </c>
      <c r="Q3088">
        <f>J3088-H3088^2/k_n</f>
        <v/>
      </c>
      <c r="R3088">
        <f>K3088-G3088*H3088/k_n</f>
        <v/>
      </c>
      <c r="S3088">
        <f>L3088-LTP3!$D$3*G3088/k_n</f>
        <v/>
      </c>
      <c r="T3088">
        <f>M3088-LTP3!$D$3*H3088/k_n</f>
        <v/>
      </c>
      <c r="U3088">
        <f>N3088-G3088*LTP3!$D$4/k_n</f>
        <v/>
      </c>
      <c r="V3088">
        <f>O3088-H3088*LTP3!$D$4/k_n</f>
        <v/>
      </c>
      <c r="W3088">
        <f>((LTP3!$D$5)*((P3088)*(Q3088)-(R3088)*(R3088))-(S3088)*((S3088)*(Q3088)-(R3088)*(T3088))+(T3088)*((S3088)*(R3088)-(P3088)*(T3088)))</f>
        <v/>
      </c>
      <c r="X3088">
        <f>IF(ABS(W3088)&gt;1E-12,((LTP3!$D$6)*((P3088)*(Q3088)-(R3088)*(R3088))-(S3088)*((U3088)*(Q3088)-(R3088)*(V3088))+(T3088)*((U3088)*(R3088)-(P3088)*(V3088)))/W3088,0)</f>
        <v/>
      </c>
      <c r="Y3088">
        <f>IF(ABS(W3088)&gt;1E-12,((LTP3!$D$5)*((U3088)*(Q3088)-(R3088)*(V3088))-(LTP3!$D$6)*((S3088)*(Q3088)-(R3088)*(T3088))+(T3088)*((S3088)*(V3088)-(U3088)*(T3088)))/W3088,0)</f>
        <v/>
      </c>
      <c r="Z3088">
        <f>IF(ABS(W3088)&gt;1E-12,((LTP3!$D$5)*((P3088)*(V3088)-(U3088)*(R3088))-(S3088)*((S3088)*(V3088)-(U3088)*(T3088))+(LTP3!$D$6)*((S3088)*(R3088)-(P3088)*(T3088)))/W3088,0)</f>
        <v/>
      </c>
      <c r="AA3088">
        <f>LTP3!$D$7-X3088*LTP3!$D$6-Y3088*U3088-Z3088*V3088</f>
        <v/>
      </c>
      <c r="AB3088">
        <f>IF(AND(F3088,ABS(W3088)&gt;1E-12,Y3088&gt;0,Z3088&gt;0),AA3088,1E+300)</f>
        <v/>
      </c>
    </row>
    <row r="3089">
      <c r="A3089">
        <f>$B$3+$B$5*50</f>
        <v/>
      </c>
      <c r="B3089">
        <f>$B$3+$B$5*27</f>
        <v/>
      </c>
      <c r="C3089">
        <f>SUMPRODUCT(Calc!$K$3:$K$22*(Calc!$G$3:$G$22&lt;=A3089))</f>
        <v/>
      </c>
      <c r="D3089">
        <f>SUMPRODUCT(Calc!$K$3:$K$22*(Calc!$G$3:$G$22&gt;A3089)*(Calc!$G$3:$G$22&lt;B3089))</f>
        <v/>
      </c>
      <c r="E3089">
        <f>SUMPRODUCT(Calc!$K$3:$K$22*(Calc!$G$3:$G$22&gt;=B3089))</f>
        <v/>
      </c>
      <c r="F3089">
        <f>AND(k_n&gt;=5,B3089&gt;A3089+1E-9,C3089&gt;=2,D3089&gt;=1,E3089&gt;=2)</f>
        <v/>
      </c>
      <c r="G3089">
        <f>SUMPRODUCT(Calc!$K$3:$K$22*(Calc!$G$3:$G$22&gt;A3089)*(Calc!$G$3:$G$22-A3089))</f>
        <v/>
      </c>
      <c r="H3089">
        <f>SUMPRODUCT(Calc!$K$3:$K$22*(Calc!$G$3:$G$22&gt;B3089)*(Calc!$G$3:$G$22-B3089))</f>
        <v/>
      </c>
      <c r="I3089">
        <f>SUMPRODUCT(Calc!$K$3:$K$22*(Calc!$G$3:$G$22&gt;A3089)*(Calc!$G$3:$G$22-A3089)^2)</f>
        <v/>
      </c>
      <c r="J3089">
        <f>SUMPRODUCT(Calc!$K$3:$K$22*(Calc!$G$3:$G$22&gt;B3089)*(Calc!$G$3:$G$22-B3089)^2)</f>
        <v/>
      </c>
      <c r="K3089">
        <f>SUMPRODUCT(Calc!$K$3:$K$22*(Calc!$G$3:$G$22&gt;A3089)*(Calc!$G$3:$G$22-A3089)*(Calc!$G$3:$G$22&gt;B3089)*(Calc!$G$3:$G$22-B3089))</f>
        <v/>
      </c>
      <c r="L3089">
        <f>SUMPRODUCT(Calc!$K$3:$K$22*(Calc!$G$3:$G$22&gt;A3089)*(Calc!$G$3:$G$22-A3089)*Calc!$G$3:$G$22)</f>
        <v/>
      </c>
      <c r="M3089">
        <f>SUMPRODUCT(Calc!$K$3:$K$22*(Calc!$G$3:$G$22&gt;B3089)*(Calc!$G$3:$G$22-B3089)*Calc!$G$3:$G$22)</f>
        <v/>
      </c>
      <c r="N3089">
        <f>SUMPRODUCT(Calc!$K$3:$K$22*(Calc!$G$3:$G$22&gt;A3089)*(Calc!$G$3:$G$22-A3089)*Calc!$I$3:$I$22)</f>
        <v/>
      </c>
      <c r="O3089">
        <f>SUMPRODUCT(Calc!$K$3:$K$22*(Calc!$G$3:$G$22&gt;B3089)*(Calc!$G$3:$G$22-B3089)*Calc!$I$3:$I$22)</f>
        <v/>
      </c>
      <c r="P3089">
        <f>I3089-G3089^2/k_n</f>
        <v/>
      </c>
      <c r="Q3089">
        <f>J3089-H3089^2/k_n</f>
        <v/>
      </c>
      <c r="R3089">
        <f>K3089-G3089*H3089/k_n</f>
        <v/>
      </c>
      <c r="S3089">
        <f>L3089-LTP3!$D$3*G3089/k_n</f>
        <v/>
      </c>
      <c r="T3089">
        <f>M3089-LTP3!$D$3*H3089/k_n</f>
        <v/>
      </c>
      <c r="U3089">
        <f>N3089-G3089*LTP3!$D$4/k_n</f>
        <v/>
      </c>
      <c r="V3089">
        <f>O3089-H3089*LTP3!$D$4/k_n</f>
        <v/>
      </c>
      <c r="W3089">
        <f>((LTP3!$D$5)*((P3089)*(Q3089)-(R3089)*(R3089))-(S3089)*((S3089)*(Q3089)-(R3089)*(T3089))+(T3089)*((S3089)*(R3089)-(P3089)*(T3089)))</f>
        <v/>
      </c>
      <c r="X3089">
        <f>IF(ABS(W3089)&gt;1E-12,((LTP3!$D$6)*((P3089)*(Q3089)-(R3089)*(R3089))-(S3089)*((U3089)*(Q3089)-(R3089)*(V3089))+(T3089)*((U3089)*(R3089)-(P3089)*(V3089)))/W3089,0)</f>
        <v/>
      </c>
      <c r="Y3089">
        <f>IF(ABS(W3089)&gt;1E-12,((LTP3!$D$5)*((U3089)*(Q3089)-(R3089)*(V3089))-(LTP3!$D$6)*((S3089)*(Q3089)-(R3089)*(T3089))+(T3089)*((S3089)*(V3089)-(U3089)*(T3089)))/W3089,0)</f>
        <v/>
      </c>
      <c r="Z3089">
        <f>IF(ABS(W3089)&gt;1E-12,((LTP3!$D$5)*((P3089)*(V3089)-(U3089)*(R3089))-(S3089)*((S3089)*(V3089)-(U3089)*(T3089))+(LTP3!$D$6)*((S3089)*(R3089)-(P3089)*(T3089)))/W3089,0)</f>
        <v/>
      </c>
      <c r="AA3089">
        <f>LTP3!$D$7-X3089*LTP3!$D$6-Y3089*U3089-Z3089*V3089</f>
        <v/>
      </c>
      <c r="AB3089">
        <f>IF(AND(F3089,ABS(W3089)&gt;1E-12,Y3089&gt;0,Z3089&gt;0),AA3089,1E+300)</f>
        <v/>
      </c>
    </row>
    <row r="3090">
      <c r="A3090">
        <f>$B$3+$B$5*50</f>
        <v/>
      </c>
      <c r="B3090">
        <f>$B$3+$B$5*28</f>
        <v/>
      </c>
      <c r="C3090">
        <f>SUMPRODUCT(Calc!$K$3:$K$22*(Calc!$G$3:$G$22&lt;=A3090))</f>
        <v/>
      </c>
      <c r="D3090">
        <f>SUMPRODUCT(Calc!$K$3:$K$22*(Calc!$G$3:$G$22&gt;A3090)*(Calc!$G$3:$G$22&lt;B3090))</f>
        <v/>
      </c>
      <c r="E3090">
        <f>SUMPRODUCT(Calc!$K$3:$K$22*(Calc!$G$3:$G$22&gt;=B3090))</f>
        <v/>
      </c>
      <c r="F3090">
        <f>AND(k_n&gt;=5,B3090&gt;A3090+1E-9,C3090&gt;=2,D3090&gt;=1,E3090&gt;=2)</f>
        <v/>
      </c>
      <c r="G3090">
        <f>SUMPRODUCT(Calc!$K$3:$K$22*(Calc!$G$3:$G$22&gt;A3090)*(Calc!$G$3:$G$22-A3090))</f>
        <v/>
      </c>
      <c r="H3090">
        <f>SUMPRODUCT(Calc!$K$3:$K$22*(Calc!$G$3:$G$22&gt;B3090)*(Calc!$G$3:$G$22-B3090))</f>
        <v/>
      </c>
      <c r="I3090">
        <f>SUMPRODUCT(Calc!$K$3:$K$22*(Calc!$G$3:$G$22&gt;A3090)*(Calc!$G$3:$G$22-A3090)^2)</f>
        <v/>
      </c>
      <c r="J3090">
        <f>SUMPRODUCT(Calc!$K$3:$K$22*(Calc!$G$3:$G$22&gt;B3090)*(Calc!$G$3:$G$22-B3090)^2)</f>
        <v/>
      </c>
      <c r="K3090">
        <f>SUMPRODUCT(Calc!$K$3:$K$22*(Calc!$G$3:$G$22&gt;A3090)*(Calc!$G$3:$G$22-A3090)*(Calc!$G$3:$G$22&gt;B3090)*(Calc!$G$3:$G$22-B3090))</f>
        <v/>
      </c>
      <c r="L3090">
        <f>SUMPRODUCT(Calc!$K$3:$K$22*(Calc!$G$3:$G$22&gt;A3090)*(Calc!$G$3:$G$22-A3090)*Calc!$G$3:$G$22)</f>
        <v/>
      </c>
      <c r="M3090">
        <f>SUMPRODUCT(Calc!$K$3:$K$22*(Calc!$G$3:$G$22&gt;B3090)*(Calc!$G$3:$G$22-B3090)*Calc!$G$3:$G$22)</f>
        <v/>
      </c>
      <c r="N3090">
        <f>SUMPRODUCT(Calc!$K$3:$K$22*(Calc!$G$3:$G$22&gt;A3090)*(Calc!$G$3:$G$22-A3090)*Calc!$I$3:$I$22)</f>
        <v/>
      </c>
      <c r="O3090">
        <f>SUMPRODUCT(Calc!$K$3:$K$22*(Calc!$G$3:$G$22&gt;B3090)*(Calc!$G$3:$G$22-B3090)*Calc!$I$3:$I$22)</f>
        <v/>
      </c>
      <c r="P3090">
        <f>I3090-G3090^2/k_n</f>
        <v/>
      </c>
      <c r="Q3090">
        <f>J3090-H3090^2/k_n</f>
        <v/>
      </c>
      <c r="R3090">
        <f>K3090-G3090*H3090/k_n</f>
        <v/>
      </c>
      <c r="S3090">
        <f>L3090-LTP3!$D$3*G3090/k_n</f>
        <v/>
      </c>
      <c r="T3090">
        <f>M3090-LTP3!$D$3*H3090/k_n</f>
        <v/>
      </c>
      <c r="U3090">
        <f>N3090-G3090*LTP3!$D$4/k_n</f>
        <v/>
      </c>
      <c r="V3090">
        <f>O3090-H3090*LTP3!$D$4/k_n</f>
        <v/>
      </c>
      <c r="W3090">
        <f>((LTP3!$D$5)*((P3090)*(Q3090)-(R3090)*(R3090))-(S3090)*((S3090)*(Q3090)-(R3090)*(T3090))+(T3090)*((S3090)*(R3090)-(P3090)*(T3090)))</f>
        <v/>
      </c>
      <c r="X3090">
        <f>IF(ABS(W3090)&gt;1E-12,((LTP3!$D$6)*((P3090)*(Q3090)-(R3090)*(R3090))-(S3090)*((U3090)*(Q3090)-(R3090)*(V3090))+(T3090)*((U3090)*(R3090)-(P3090)*(V3090)))/W3090,0)</f>
        <v/>
      </c>
      <c r="Y3090">
        <f>IF(ABS(W3090)&gt;1E-12,((LTP3!$D$5)*((U3090)*(Q3090)-(R3090)*(V3090))-(LTP3!$D$6)*((S3090)*(Q3090)-(R3090)*(T3090))+(T3090)*((S3090)*(V3090)-(U3090)*(T3090)))/W3090,0)</f>
        <v/>
      </c>
      <c r="Z3090">
        <f>IF(ABS(W3090)&gt;1E-12,((LTP3!$D$5)*((P3090)*(V3090)-(U3090)*(R3090))-(S3090)*((S3090)*(V3090)-(U3090)*(T3090))+(LTP3!$D$6)*((S3090)*(R3090)-(P3090)*(T3090)))/W3090,0)</f>
        <v/>
      </c>
      <c r="AA3090">
        <f>LTP3!$D$7-X3090*LTP3!$D$6-Y3090*U3090-Z3090*V3090</f>
        <v/>
      </c>
      <c r="AB3090">
        <f>IF(AND(F3090,ABS(W3090)&gt;1E-12,Y3090&gt;0,Z3090&gt;0),AA3090,1E+300)</f>
        <v/>
      </c>
    </row>
    <row r="3091">
      <c r="A3091">
        <f>$B$3+$B$5*50</f>
        <v/>
      </c>
      <c r="B3091">
        <f>$B$3+$B$5*29</f>
        <v/>
      </c>
      <c r="C3091">
        <f>SUMPRODUCT(Calc!$K$3:$K$22*(Calc!$G$3:$G$22&lt;=A3091))</f>
        <v/>
      </c>
      <c r="D3091">
        <f>SUMPRODUCT(Calc!$K$3:$K$22*(Calc!$G$3:$G$22&gt;A3091)*(Calc!$G$3:$G$22&lt;B3091))</f>
        <v/>
      </c>
      <c r="E3091">
        <f>SUMPRODUCT(Calc!$K$3:$K$22*(Calc!$G$3:$G$22&gt;=B3091))</f>
        <v/>
      </c>
      <c r="F3091">
        <f>AND(k_n&gt;=5,B3091&gt;A3091+1E-9,C3091&gt;=2,D3091&gt;=1,E3091&gt;=2)</f>
        <v/>
      </c>
      <c r="G3091">
        <f>SUMPRODUCT(Calc!$K$3:$K$22*(Calc!$G$3:$G$22&gt;A3091)*(Calc!$G$3:$G$22-A3091))</f>
        <v/>
      </c>
      <c r="H3091">
        <f>SUMPRODUCT(Calc!$K$3:$K$22*(Calc!$G$3:$G$22&gt;B3091)*(Calc!$G$3:$G$22-B3091))</f>
        <v/>
      </c>
      <c r="I3091">
        <f>SUMPRODUCT(Calc!$K$3:$K$22*(Calc!$G$3:$G$22&gt;A3091)*(Calc!$G$3:$G$22-A3091)^2)</f>
        <v/>
      </c>
      <c r="J3091">
        <f>SUMPRODUCT(Calc!$K$3:$K$22*(Calc!$G$3:$G$22&gt;B3091)*(Calc!$G$3:$G$22-B3091)^2)</f>
        <v/>
      </c>
      <c r="K3091">
        <f>SUMPRODUCT(Calc!$K$3:$K$22*(Calc!$G$3:$G$22&gt;A3091)*(Calc!$G$3:$G$22-A3091)*(Calc!$G$3:$G$22&gt;B3091)*(Calc!$G$3:$G$22-B3091))</f>
        <v/>
      </c>
      <c r="L3091">
        <f>SUMPRODUCT(Calc!$K$3:$K$22*(Calc!$G$3:$G$22&gt;A3091)*(Calc!$G$3:$G$22-A3091)*Calc!$G$3:$G$22)</f>
        <v/>
      </c>
      <c r="M3091">
        <f>SUMPRODUCT(Calc!$K$3:$K$22*(Calc!$G$3:$G$22&gt;B3091)*(Calc!$G$3:$G$22-B3091)*Calc!$G$3:$G$22)</f>
        <v/>
      </c>
      <c r="N3091">
        <f>SUMPRODUCT(Calc!$K$3:$K$22*(Calc!$G$3:$G$22&gt;A3091)*(Calc!$G$3:$G$22-A3091)*Calc!$I$3:$I$22)</f>
        <v/>
      </c>
      <c r="O3091">
        <f>SUMPRODUCT(Calc!$K$3:$K$22*(Calc!$G$3:$G$22&gt;B3091)*(Calc!$G$3:$G$22-B3091)*Calc!$I$3:$I$22)</f>
        <v/>
      </c>
      <c r="P3091">
        <f>I3091-G3091^2/k_n</f>
        <v/>
      </c>
      <c r="Q3091">
        <f>J3091-H3091^2/k_n</f>
        <v/>
      </c>
      <c r="R3091">
        <f>K3091-G3091*H3091/k_n</f>
        <v/>
      </c>
      <c r="S3091">
        <f>L3091-LTP3!$D$3*G3091/k_n</f>
        <v/>
      </c>
      <c r="T3091">
        <f>M3091-LTP3!$D$3*H3091/k_n</f>
        <v/>
      </c>
      <c r="U3091">
        <f>N3091-G3091*LTP3!$D$4/k_n</f>
        <v/>
      </c>
      <c r="V3091">
        <f>O3091-H3091*LTP3!$D$4/k_n</f>
        <v/>
      </c>
      <c r="W3091">
        <f>((LTP3!$D$5)*((P3091)*(Q3091)-(R3091)*(R3091))-(S3091)*((S3091)*(Q3091)-(R3091)*(T3091))+(T3091)*((S3091)*(R3091)-(P3091)*(T3091)))</f>
        <v/>
      </c>
      <c r="X3091">
        <f>IF(ABS(W3091)&gt;1E-12,((LTP3!$D$6)*((P3091)*(Q3091)-(R3091)*(R3091))-(S3091)*((U3091)*(Q3091)-(R3091)*(V3091))+(T3091)*((U3091)*(R3091)-(P3091)*(V3091)))/W3091,0)</f>
        <v/>
      </c>
      <c r="Y3091">
        <f>IF(ABS(W3091)&gt;1E-12,((LTP3!$D$5)*((U3091)*(Q3091)-(R3091)*(V3091))-(LTP3!$D$6)*((S3091)*(Q3091)-(R3091)*(T3091))+(T3091)*((S3091)*(V3091)-(U3091)*(T3091)))/W3091,0)</f>
        <v/>
      </c>
      <c r="Z3091">
        <f>IF(ABS(W3091)&gt;1E-12,((LTP3!$D$5)*((P3091)*(V3091)-(U3091)*(R3091))-(S3091)*((S3091)*(V3091)-(U3091)*(T3091))+(LTP3!$D$6)*((S3091)*(R3091)-(P3091)*(T3091)))/W3091,0)</f>
        <v/>
      </c>
      <c r="AA3091">
        <f>LTP3!$D$7-X3091*LTP3!$D$6-Y3091*U3091-Z3091*V3091</f>
        <v/>
      </c>
      <c r="AB3091">
        <f>IF(AND(F3091,ABS(W3091)&gt;1E-12,Y3091&gt;0,Z3091&gt;0),AA3091,1E+300)</f>
        <v/>
      </c>
    </row>
    <row r="3092">
      <c r="A3092">
        <f>$B$3+$B$5*50</f>
        <v/>
      </c>
      <c r="B3092">
        <f>$B$3+$B$5*30</f>
        <v/>
      </c>
      <c r="C3092">
        <f>SUMPRODUCT(Calc!$K$3:$K$22*(Calc!$G$3:$G$22&lt;=A3092))</f>
        <v/>
      </c>
      <c r="D3092">
        <f>SUMPRODUCT(Calc!$K$3:$K$22*(Calc!$G$3:$G$22&gt;A3092)*(Calc!$G$3:$G$22&lt;B3092))</f>
        <v/>
      </c>
      <c r="E3092">
        <f>SUMPRODUCT(Calc!$K$3:$K$22*(Calc!$G$3:$G$22&gt;=B3092))</f>
        <v/>
      </c>
      <c r="F3092">
        <f>AND(k_n&gt;=5,B3092&gt;A3092+1E-9,C3092&gt;=2,D3092&gt;=1,E3092&gt;=2)</f>
        <v/>
      </c>
      <c r="G3092">
        <f>SUMPRODUCT(Calc!$K$3:$K$22*(Calc!$G$3:$G$22&gt;A3092)*(Calc!$G$3:$G$22-A3092))</f>
        <v/>
      </c>
      <c r="H3092">
        <f>SUMPRODUCT(Calc!$K$3:$K$22*(Calc!$G$3:$G$22&gt;B3092)*(Calc!$G$3:$G$22-B3092))</f>
        <v/>
      </c>
      <c r="I3092">
        <f>SUMPRODUCT(Calc!$K$3:$K$22*(Calc!$G$3:$G$22&gt;A3092)*(Calc!$G$3:$G$22-A3092)^2)</f>
        <v/>
      </c>
      <c r="J3092">
        <f>SUMPRODUCT(Calc!$K$3:$K$22*(Calc!$G$3:$G$22&gt;B3092)*(Calc!$G$3:$G$22-B3092)^2)</f>
        <v/>
      </c>
      <c r="K3092">
        <f>SUMPRODUCT(Calc!$K$3:$K$22*(Calc!$G$3:$G$22&gt;A3092)*(Calc!$G$3:$G$22-A3092)*(Calc!$G$3:$G$22&gt;B3092)*(Calc!$G$3:$G$22-B3092))</f>
        <v/>
      </c>
      <c r="L3092">
        <f>SUMPRODUCT(Calc!$K$3:$K$22*(Calc!$G$3:$G$22&gt;A3092)*(Calc!$G$3:$G$22-A3092)*Calc!$G$3:$G$22)</f>
        <v/>
      </c>
      <c r="M3092">
        <f>SUMPRODUCT(Calc!$K$3:$K$22*(Calc!$G$3:$G$22&gt;B3092)*(Calc!$G$3:$G$22-B3092)*Calc!$G$3:$G$22)</f>
        <v/>
      </c>
      <c r="N3092">
        <f>SUMPRODUCT(Calc!$K$3:$K$22*(Calc!$G$3:$G$22&gt;A3092)*(Calc!$G$3:$G$22-A3092)*Calc!$I$3:$I$22)</f>
        <v/>
      </c>
      <c r="O3092">
        <f>SUMPRODUCT(Calc!$K$3:$K$22*(Calc!$G$3:$G$22&gt;B3092)*(Calc!$G$3:$G$22-B3092)*Calc!$I$3:$I$22)</f>
        <v/>
      </c>
      <c r="P3092">
        <f>I3092-G3092^2/k_n</f>
        <v/>
      </c>
      <c r="Q3092">
        <f>J3092-H3092^2/k_n</f>
        <v/>
      </c>
      <c r="R3092">
        <f>K3092-G3092*H3092/k_n</f>
        <v/>
      </c>
      <c r="S3092">
        <f>L3092-LTP3!$D$3*G3092/k_n</f>
        <v/>
      </c>
      <c r="T3092">
        <f>M3092-LTP3!$D$3*H3092/k_n</f>
        <v/>
      </c>
      <c r="U3092">
        <f>N3092-G3092*LTP3!$D$4/k_n</f>
        <v/>
      </c>
      <c r="V3092">
        <f>O3092-H3092*LTP3!$D$4/k_n</f>
        <v/>
      </c>
      <c r="W3092">
        <f>((LTP3!$D$5)*((P3092)*(Q3092)-(R3092)*(R3092))-(S3092)*((S3092)*(Q3092)-(R3092)*(T3092))+(T3092)*((S3092)*(R3092)-(P3092)*(T3092)))</f>
        <v/>
      </c>
      <c r="X3092">
        <f>IF(ABS(W3092)&gt;1E-12,((LTP3!$D$6)*((P3092)*(Q3092)-(R3092)*(R3092))-(S3092)*((U3092)*(Q3092)-(R3092)*(V3092))+(T3092)*((U3092)*(R3092)-(P3092)*(V3092)))/W3092,0)</f>
        <v/>
      </c>
      <c r="Y3092">
        <f>IF(ABS(W3092)&gt;1E-12,((LTP3!$D$5)*((U3092)*(Q3092)-(R3092)*(V3092))-(LTP3!$D$6)*((S3092)*(Q3092)-(R3092)*(T3092))+(T3092)*((S3092)*(V3092)-(U3092)*(T3092)))/W3092,0)</f>
        <v/>
      </c>
      <c r="Z3092">
        <f>IF(ABS(W3092)&gt;1E-12,((LTP3!$D$5)*((P3092)*(V3092)-(U3092)*(R3092))-(S3092)*((S3092)*(V3092)-(U3092)*(T3092))+(LTP3!$D$6)*((S3092)*(R3092)-(P3092)*(T3092)))/W3092,0)</f>
        <v/>
      </c>
      <c r="AA3092">
        <f>LTP3!$D$7-X3092*LTP3!$D$6-Y3092*U3092-Z3092*V3092</f>
        <v/>
      </c>
      <c r="AB3092">
        <f>IF(AND(F3092,ABS(W3092)&gt;1E-12,Y3092&gt;0,Z3092&gt;0),AA3092,1E+300)</f>
        <v/>
      </c>
    </row>
    <row r="3093">
      <c r="A3093">
        <f>$B$3+$B$5*50</f>
        <v/>
      </c>
      <c r="B3093">
        <f>$B$3+$B$5*31</f>
        <v/>
      </c>
      <c r="C3093">
        <f>SUMPRODUCT(Calc!$K$3:$K$22*(Calc!$G$3:$G$22&lt;=A3093))</f>
        <v/>
      </c>
      <c r="D3093">
        <f>SUMPRODUCT(Calc!$K$3:$K$22*(Calc!$G$3:$G$22&gt;A3093)*(Calc!$G$3:$G$22&lt;B3093))</f>
        <v/>
      </c>
      <c r="E3093">
        <f>SUMPRODUCT(Calc!$K$3:$K$22*(Calc!$G$3:$G$22&gt;=B3093))</f>
        <v/>
      </c>
      <c r="F3093">
        <f>AND(k_n&gt;=5,B3093&gt;A3093+1E-9,C3093&gt;=2,D3093&gt;=1,E3093&gt;=2)</f>
        <v/>
      </c>
      <c r="G3093">
        <f>SUMPRODUCT(Calc!$K$3:$K$22*(Calc!$G$3:$G$22&gt;A3093)*(Calc!$G$3:$G$22-A3093))</f>
        <v/>
      </c>
      <c r="H3093">
        <f>SUMPRODUCT(Calc!$K$3:$K$22*(Calc!$G$3:$G$22&gt;B3093)*(Calc!$G$3:$G$22-B3093))</f>
        <v/>
      </c>
      <c r="I3093">
        <f>SUMPRODUCT(Calc!$K$3:$K$22*(Calc!$G$3:$G$22&gt;A3093)*(Calc!$G$3:$G$22-A3093)^2)</f>
        <v/>
      </c>
      <c r="J3093">
        <f>SUMPRODUCT(Calc!$K$3:$K$22*(Calc!$G$3:$G$22&gt;B3093)*(Calc!$G$3:$G$22-B3093)^2)</f>
        <v/>
      </c>
      <c r="K3093">
        <f>SUMPRODUCT(Calc!$K$3:$K$22*(Calc!$G$3:$G$22&gt;A3093)*(Calc!$G$3:$G$22-A3093)*(Calc!$G$3:$G$22&gt;B3093)*(Calc!$G$3:$G$22-B3093))</f>
        <v/>
      </c>
      <c r="L3093">
        <f>SUMPRODUCT(Calc!$K$3:$K$22*(Calc!$G$3:$G$22&gt;A3093)*(Calc!$G$3:$G$22-A3093)*Calc!$G$3:$G$22)</f>
        <v/>
      </c>
      <c r="M3093">
        <f>SUMPRODUCT(Calc!$K$3:$K$22*(Calc!$G$3:$G$22&gt;B3093)*(Calc!$G$3:$G$22-B3093)*Calc!$G$3:$G$22)</f>
        <v/>
      </c>
      <c r="N3093">
        <f>SUMPRODUCT(Calc!$K$3:$K$22*(Calc!$G$3:$G$22&gt;A3093)*(Calc!$G$3:$G$22-A3093)*Calc!$I$3:$I$22)</f>
        <v/>
      </c>
      <c r="O3093">
        <f>SUMPRODUCT(Calc!$K$3:$K$22*(Calc!$G$3:$G$22&gt;B3093)*(Calc!$G$3:$G$22-B3093)*Calc!$I$3:$I$22)</f>
        <v/>
      </c>
      <c r="P3093">
        <f>I3093-G3093^2/k_n</f>
        <v/>
      </c>
      <c r="Q3093">
        <f>J3093-H3093^2/k_n</f>
        <v/>
      </c>
      <c r="R3093">
        <f>K3093-G3093*H3093/k_n</f>
        <v/>
      </c>
      <c r="S3093">
        <f>L3093-LTP3!$D$3*G3093/k_n</f>
        <v/>
      </c>
      <c r="T3093">
        <f>M3093-LTP3!$D$3*H3093/k_n</f>
        <v/>
      </c>
      <c r="U3093">
        <f>N3093-G3093*LTP3!$D$4/k_n</f>
        <v/>
      </c>
      <c r="V3093">
        <f>O3093-H3093*LTP3!$D$4/k_n</f>
        <v/>
      </c>
      <c r="W3093">
        <f>((LTP3!$D$5)*((P3093)*(Q3093)-(R3093)*(R3093))-(S3093)*((S3093)*(Q3093)-(R3093)*(T3093))+(T3093)*((S3093)*(R3093)-(P3093)*(T3093)))</f>
        <v/>
      </c>
      <c r="X3093">
        <f>IF(ABS(W3093)&gt;1E-12,((LTP3!$D$6)*((P3093)*(Q3093)-(R3093)*(R3093))-(S3093)*((U3093)*(Q3093)-(R3093)*(V3093))+(T3093)*((U3093)*(R3093)-(P3093)*(V3093)))/W3093,0)</f>
        <v/>
      </c>
      <c r="Y3093">
        <f>IF(ABS(W3093)&gt;1E-12,((LTP3!$D$5)*((U3093)*(Q3093)-(R3093)*(V3093))-(LTP3!$D$6)*((S3093)*(Q3093)-(R3093)*(T3093))+(T3093)*((S3093)*(V3093)-(U3093)*(T3093)))/W3093,0)</f>
        <v/>
      </c>
      <c r="Z3093">
        <f>IF(ABS(W3093)&gt;1E-12,((LTP3!$D$5)*((P3093)*(V3093)-(U3093)*(R3093))-(S3093)*((S3093)*(V3093)-(U3093)*(T3093))+(LTP3!$D$6)*((S3093)*(R3093)-(P3093)*(T3093)))/W3093,0)</f>
        <v/>
      </c>
      <c r="AA3093">
        <f>LTP3!$D$7-X3093*LTP3!$D$6-Y3093*U3093-Z3093*V3093</f>
        <v/>
      </c>
      <c r="AB3093">
        <f>IF(AND(F3093,ABS(W3093)&gt;1E-12,Y3093&gt;0,Z3093&gt;0),AA3093,1E+300)</f>
        <v/>
      </c>
    </row>
    <row r="3094">
      <c r="A3094">
        <f>$B$3+$B$5*50</f>
        <v/>
      </c>
      <c r="B3094">
        <f>$B$3+$B$5*32</f>
        <v/>
      </c>
      <c r="C3094">
        <f>SUMPRODUCT(Calc!$K$3:$K$22*(Calc!$G$3:$G$22&lt;=A3094))</f>
        <v/>
      </c>
      <c r="D3094">
        <f>SUMPRODUCT(Calc!$K$3:$K$22*(Calc!$G$3:$G$22&gt;A3094)*(Calc!$G$3:$G$22&lt;B3094))</f>
        <v/>
      </c>
      <c r="E3094">
        <f>SUMPRODUCT(Calc!$K$3:$K$22*(Calc!$G$3:$G$22&gt;=B3094))</f>
        <v/>
      </c>
      <c r="F3094">
        <f>AND(k_n&gt;=5,B3094&gt;A3094+1E-9,C3094&gt;=2,D3094&gt;=1,E3094&gt;=2)</f>
        <v/>
      </c>
      <c r="G3094">
        <f>SUMPRODUCT(Calc!$K$3:$K$22*(Calc!$G$3:$G$22&gt;A3094)*(Calc!$G$3:$G$22-A3094))</f>
        <v/>
      </c>
      <c r="H3094">
        <f>SUMPRODUCT(Calc!$K$3:$K$22*(Calc!$G$3:$G$22&gt;B3094)*(Calc!$G$3:$G$22-B3094))</f>
        <v/>
      </c>
      <c r="I3094">
        <f>SUMPRODUCT(Calc!$K$3:$K$22*(Calc!$G$3:$G$22&gt;A3094)*(Calc!$G$3:$G$22-A3094)^2)</f>
        <v/>
      </c>
      <c r="J3094">
        <f>SUMPRODUCT(Calc!$K$3:$K$22*(Calc!$G$3:$G$22&gt;B3094)*(Calc!$G$3:$G$22-B3094)^2)</f>
        <v/>
      </c>
      <c r="K3094">
        <f>SUMPRODUCT(Calc!$K$3:$K$22*(Calc!$G$3:$G$22&gt;A3094)*(Calc!$G$3:$G$22-A3094)*(Calc!$G$3:$G$22&gt;B3094)*(Calc!$G$3:$G$22-B3094))</f>
        <v/>
      </c>
      <c r="L3094">
        <f>SUMPRODUCT(Calc!$K$3:$K$22*(Calc!$G$3:$G$22&gt;A3094)*(Calc!$G$3:$G$22-A3094)*Calc!$G$3:$G$22)</f>
        <v/>
      </c>
      <c r="M3094">
        <f>SUMPRODUCT(Calc!$K$3:$K$22*(Calc!$G$3:$G$22&gt;B3094)*(Calc!$G$3:$G$22-B3094)*Calc!$G$3:$G$22)</f>
        <v/>
      </c>
      <c r="N3094">
        <f>SUMPRODUCT(Calc!$K$3:$K$22*(Calc!$G$3:$G$22&gt;A3094)*(Calc!$G$3:$G$22-A3094)*Calc!$I$3:$I$22)</f>
        <v/>
      </c>
      <c r="O3094">
        <f>SUMPRODUCT(Calc!$K$3:$K$22*(Calc!$G$3:$G$22&gt;B3094)*(Calc!$G$3:$G$22-B3094)*Calc!$I$3:$I$22)</f>
        <v/>
      </c>
      <c r="P3094">
        <f>I3094-G3094^2/k_n</f>
        <v/>
      </c>
      <c r="Q3094">
        <f>J3094-H3094^2/k_n</f>
        <v/>
      </c>
      <c r="R3094">
        <f>K3094-G3094*H3094/k_n</f>
        <v/>
      </c>
      <c r="S3094">
        <f>L3094-LTP3!$D$3*G3094/k_n</f>
        <v/>
      </c>
      <c r="T3094">
        <f>M3094-LTP3!$D$3*H3094/k_n</f>
        <v/>
      </c>
      <c r="U3094">
        <f>N3094-G3094*LTP3!$D$4/k_n</f>
        <v/>
      </c>
      <c r="V3094">
        <f>O3094-H3094*LTP3!$D$4/k_n</f>
        <v/>
      </c>
      <c r="W3094">
        <f>((LTP3!$D$5)*((P3094)*(Q3094)-(R3094)*(R3094))-(S3094)*((S3094)*(Q3094)-(R3094)*(T3094))+(T3094)*((S3094)*(R3094)-(P3094)*(T3094)))</f>
        <v/>
      </c>
      <c r="X3094">
        <f>IF(ABS(W3094)&gt;1E-12,((LTP3!$D$6)*((P3094)*(Q3094)-(R3094)*(R3094))-(S3094)*((U3094)*(Q3094)-(R3094)*(V3094))+(T3094)*((U3094)*(R3094)-(P3094)*(V3094)))/W3094,0)</f>
        <v/>
      </c>
      <c r="Y3094">
        <f>IF(ABS(W3094)&gt;1E-12,((LTP3!$D$5)*((U3094)*(Q3094)-(R3094)*(V3094))-(LTP3!$D$6)*((S3094)*(Q3094)-(R3094)*(T3094))+(T3094)*((S3094)*(V3094)-(U3094)*(T3094)))/W3094,0)</f>
        <v/>
      </c>
      <c r="Z3094">
        <f>IF(ABS(W3094)&gt;1E-12,((LTP3!$D$5)*((P3094)*(V3094)-(U3094)*(R3094))-(S3094)*((S3094)*(V3094)-(U3094)*(T3094))+(LTP3!$D$6)*((S3094)*(R3094)-(P3094)*(T3094)))/W3094,0)</f>
        <v/>
      </c>
      <c r="AA3094">
        <f>LTP3!$D$7-X3094*LTP3!$D$6-Y3094*U3094-Z3094*V3094</f>
        <v/>
      </c>
      <c r="AB3094">
        <f>IF(AND(F3094,ABS(W3094)&gt;1E-12,Y3094&gt;0,Z3094&gt;0),AA3094,1E+300)</f>
        <v/>
      </c>
    </row>
    <row r="3095">
      <c r="A3095">
        <f>$B$3+$B$5*50</f>
        <v/>
      </c>
      <c r="B3095">
        <f>$B$3+$B$5*33</f>
        <v/>
      </c>
      <c r="C3095">
        <f>SUMPRODUCT(Calc!$K$3:$K$22*(Calc!$G$3:$G$22&lt;=A3095))</f>
        <v/>
      </c>
      <c r="D3095">
        <f>SUMPRODUCT(Calc!$K$3:$K$22*(Calc!$G$3:$G$22&gt;A3095)*(Calc!$G$3:$G$22&lt;B3095))</f>
        <v/>
      </c>
      <c r="E3095">
        <f>SUMPRODUCT(Calc!$K$3:$K$22*(Calc!$G$3:$G$22&gt;=B3095))</f>
        <v/>
      </c>
      <c r="F3095">
        <f>AND(k_n&gt;=5,B3095&gt;A3095+1E-9,C3095&gt;=2,D3095&gt;=1,E3095&gt;=2)</f>
        <v/>
      </c>
      <c r="G3095">
        <f>SUMPRODUCT(Calc!$K$3:$K$22*(Calc!$G$3:$G$22&gt;A3095)*(Calc!$G$3:$G$22-A3095))</f>
        <v/>
      </c>
      <c r="H3095">
        <f>SUMPRODUCT(Calc!$K$3:$K$22*(Calc!$G$3:$G$22&gt;B3095)*(Calc!$G$3:$G$22-B3095))</f>
        <v/>
      </c>
      <c r="I3095">
        <f>SUMPRODUCT(Calc!$K$3:$K$22*(Calc!$G$3:$G$22&gt;A3095)*(Calc!$G$3:$G$22-A3095)^2)</f>
        <v/>
      </c>
      <c r="J3095">
        <f>SUMPRODUCT(Calc!$K$3:$K$22*(Calc!$G$3:$G$22&gt;B3095)*(Calc!$G$3:$G$22-B3095)^2)</f>
        <v/>
      </c>
      <c r="K3095">
        <f>SUMPRODUCT(Calc!$K$3:$K$22*(Calc!$G$3:$G$22&gt;A3095)*(Calc!$G$3:$G$22-A3095)*(Calc!$G$3:$G$22&gt;B3095)*(Calc!$G$3:$G$22-B3095))</f>
        <v/>
      </c>
      <c r="L3095">
        <f>SUMPRODUCT(Calc!$K$3:$K$22*(Calc!$G$3:$G$22&gt;A3095)*(Calc!$G$3:$G$22-A3095)*Calc!$G$3:$G$22)</f>
        <v/>
      </c>
      <c r="M3095">
        <f>SUMPRODUCT(Calc!$K$3:$K$22*(Calc!$G$3:$G$22&gt;B3095)*(Calc!$G$3:$G$22-B3095)*Calc!$G$3:$G$22)</f>
        <v/>
      </c>
      <c r="N3095">
        <f>SUMPRODUCT(Calc!$K$3:$K$22*(Calc!$G$3:$G$22&gt;A3095)*(Calc!$G$3:$G$22-A3095)*Calc!$I$3:$I$22)</f>
        <v/>
      </c>
      <c r="O3095">
        <f>SUMPRODUCT(Calc!$K$3:$K$22*(Calc!$G$3:$G$22&gt;B3095)*(Calc!$G$3:$G$22-B3095)*Calc!$I$3:$I$22)</f>
        <v/>
      </c>
      <c r="P3095">
        <f>I3095-G3095^2/k_n</f>
        <v/>
      </c>
      <c r="Q3095">
        <f>J3095-H3095^2/k_n</f>
        <v/>
      </c>
      <c r="R3095">
        <f>K3095-G3095*H3095/k_n</f>
        <v/>
      </c>
      <c r="S3095">
        <f>L3095-LTP3!$D$3*G3095/k_n</f>
        <v/>
      </c>
      <c r="T3095">
        <f>M3095-LTP3!$D$3*H3095/k_n</f>
        <v/>
      </c>
      <c r="U3095">
        <f>N3095-G3095*LTP3!$D$4/k_n</f>
        <v/>
      </c>
      <c r="V3095">
        <f>O3095-H3095*LTP3!$D$4/k_n</f>
        <v/>
      </c>
      <c r="W3095">
        <f>((LTP3!$D$5)*((P3095)*(Q3095)-(R3095)*(R3095))-(S3095)*((S3095)*(Q3095)-(R3095)*(T3095))+(T3095)*((S3095)*(R3095)-(P3095)*(T3095)))</f>
        <v/>
      </c>
      <c r="X3095">
        <f>IF(ABS(W3095)&gt;1E-12,((LTP3!$D$6)*((P3095)*(Q3095)-(R3095)*(R3095))-(S3095)*((U3095)*(Q3095)-(R3095)*(V3095))+(T3095)*((U3095)*(R3095)-(P3095)*(V3095)))/W3095,0)</f>
        <v/>
      </c>
      <c r="Y3095">
        <f>IF(ABS(W3095)&gt;1E-12,((LTP3!$D$5)*((U3095)*(Q3095)-(R3095)*(V3095))-(LTP3!$D$6)*((S3095)*(Q3095)-(R3095)*(T3095))+(T3095)*((S3095)*(V3095)-(U3095)*(T3095)))/W3095,0)</f>
        <v/>
      </c>
      <c r="Z3095">
        <f>IF(ABS(W3095)&gt;1E-12,((LTP3!$D$5)*((P3095)*(V3095)-(U3095)*(R3095))-(S3095)*((S3095)*(V3095)-(U3095)*(T3095))+(LTP3!$D$6)*((S3095)*(R3095)-(P3095)*(T3095)))/W3095,0)</f>
        <v/>
      </c>
      <c r="AA3095">
        <f>LTP3!$D$7-X3095*LTP3!$D$6-Y3095*U3095-Z3095*V3095</f>
        <v/>
      </c>
      <c r="AB3095">
        <f>IF(AND(F3095,ABS(W3095)&gt;1E-12,Y3095&gt;0,Z3095&gt;0),AA3095,1E+300)</f>
        <v/>
      </c>
    </row>
    <row r="3096">
      <c r="A3096">
        <f>$B$3+$B$5*50</f>
        <v/>
      </c>
      <c r="B3096">
        <f>$B$3+$B$5*34</f>
        <v/>
      </c>
      <c r="C3096">
        <f>SUMPRODUCT(Calc!$K$3:$K$22*(Calc!$G$3:$G$22&lt;=A3096))</f>
        <v/>
      </c>
      <c r="D3096">
        <f>SUMPRODUCT(Calc!$K$3:$K$22*(Calc!$G$3:$G$22&gt;A3096)*(Calc!$G$3:$G$22&lt;B3096))</f>
        <v/>
      </c>
      <c r="E3096">
        <f>SUMPRODUCT(Calc!$K$3:$K$22*(Calc!$G$3:$G$22&gt;=B3096))</f>
        <v/>
      </c>
      <c r="F3096">
        <f>AND(k_n&gt;=5,B3096&gt;A3096+1E-9,C3096&gt;=2,D3096&gt;=1,E3096&gt;=2)</f>
        <v/>
      </c>
      <c r="G3096">
        <f>SUMPRODUCT(Calc!$K$3:$K$22*(Calc!$G$3:$G$22&gt;A3096)*(Calc!$G$3:$G$22-A3096))</f>
        <v/>
      </c>
      <c r="H3096">
        <f>SUMPRODUCT(Calc!$K$3:$K$22*(Calc!$G$3:$G$22&gt;B3096)*(Calc!$G$3:$G$22-B3096))</f>
        <v/>
      </c>
      <c r="I3096">
        <f>SUMPRODUCT(Calc!$K$3:$K$22*(Calc!$G$3:$G$22&gt;A3096)*(Calc!$G$3:$G$22-A3096)^2)</f>
        <v/>
      </c>
      <c r="J3096">
        <f>SUMPRODUCT(Calc!$K$3:$K$22*(Calc!$G$3:$G$22&gt;B3096)*(Calc!$G$3:$G$22-B3096)^2)</f>
        <v/>
      </c>
      <c r="K3096">
        <f>SUMPRODUCT(Calc!$K$3:$K$22*(Calc!$G$3:$G$22&gt;A3096)*(Calc!$G$3:$G$22-A3096)*(Calc!$G$3:$G$22&gt;B3096)*(Calc!$G$3:$G$22-B3096))</f>
        <v/>
      </c>
      <c r="L3096">
        <f>SUMPRODUCT(Calc!$K$3:$K$22*(Calc!$G$3:$G$22&gt;A3096)*(Calc!$G$3:$G$22-A3096)*Calc!$G$3:$G$22)</f>
        <v/>
      </c>
      <c r="M3096">
        <f>SUMPRODUCT(Calc!$K$3:$K$22*(Calc!$G$3:$G$22&gt;B3096)*(Calc!$G$3:$G$22-B3096)*Calc!$G$3:$G$22)</f>
        <v/>
      </c>
      <c r="N3096">
        <f>SUMPRODUCT(Calc!$K$3:$K$22*(Calc!$G$3:$G$22&gt;A3096)*(Calc!$G$3:$G$22-A3096)*Calc!$I$3:$I$22)</f>
        <v/>
      </c>
      <c r="O3096">
        <f>SUMPRODUCT(Calc!$K$3:$K$22*(Calc!$G$3:$G$22&gt;B3096)*(Calc!$G$3:$G$22-B3096)*Calc!$I$3:$I$22)</f>
        <v/>
      </c>
      <c r="P3096">
        <f>I3096-G3096^2/k_n</f>
        <v/>
      </c>
      <c r="Q3096">
        <f>J3096-H3096^2/k_n</f>
        <v/>
      </c>
      <c r="R3096">
        <f>K3096-G3096*H3096/k_n</f>
        <v/>
      </c>
      <c r="S3096">
        <f>L3096-LTP3!$D$3*G3096/k_n</f>
        <v/>
      </c>
      <c r="T3096">
        <f>M3096-LTP3!$D$3*H3096/k_n</f>
        <v/>
      </c>
      <c r="U3096">
        <f>N3096-G3096*LTP3!$D$4/k_n</f>
        <v/>
      </c>
      <c r="V3096">
        <f>O3096-H3096*LTP3!$D$4/k_n</f>
        <v/>
      </c>
      <c r="W3096">
        <f>((LTP3!$D$5)*((P3096)*(Q3096)-(R3096)*(R3096))-(S3096)*((S3096)*(Q3096)-(R3096)*(T3096))+(T3096)*((S3096)*(R3096)-(P3096)*(T3096)))</f>
        <v/>
      </c>
      <c r="X3096">
        <f>IF(ABS(W3096)&gt;1E-12,((LTP3!$D$6)*((P3096)*(Q3096)-(R3096)*(R3096))-(S3096)*((U3096)*(Q3096)-(R3096)*(V3096))+(T3096)*((U3096)*(R3096)-(P3096)*(V3096)))/W3096,0)</f>
        <v/>
      </c>
      <c r="Y3096">
        <f>IF(ABS(W3096)&gt;1E-12,((LTP3!$D$5)*((U3096)*(Q3096)-(R3096)*(V3096))-(LTP3!$D$6)*((S3096)*(Q3096)-(R3096)*(T3096))+(T3096)*((S3096)*(V3096)-(U3096)*(T3096)))/W3096,0)</f>
        <v/>
      </c>
      <c r="Z3096">
        <f>IF(ABS(W3096)&gt;1E-12,((LTP3!$D$5)*((P3096)*(V3096)-(U3096)*(R3096))-(S3096)*((S3096)*(V3096)-(U3096)*(T3096))+(LTP3!$D$6)*((S3096)*(R3096)-(P3096)*(T3096)))/W3096,0)</f>
        <v/>
      </c>
      <c r="AA3096">
        <f>LTP3!$D$7-X3096*LTP3!$D$6-Y3096*U3096-Z3096*V3096</f>
        <v/>
      </c>
      <c r="AB3096">
        <f>IF(AND(F3096,ABS(W3096)&gt;1E-12,Y3096&gt;0,Z3096&gt;0),AA3096,1E+300)</f>
        <v/>
      </c>
    </row>
    <row r="3097">
      <c r="A3097">
        <f>$B$3+$B$5*50</f>
        <v/>
      </c>
      <c r="B3097">
        <f>$B$3+$B$5*35</f>
        <v/>
      </c>
      <c r="C3097">
        <f>SUMPRODUCT(Calc!$K$3:$K$22*(Calc!$G$3:$G$22&lt;=A3097))</f>
        <v/>
      </c>
      <c r="D3097">
        <f>SUMPRODUCT(Calc!$K$3:$K$22*(Calc!$G$3:$G$22&gt;A3097)*(Calc!$G$3:$G$22&lt;B3097))</f>
        <v/>
      </c>
      <c r="E3097">
        <f>SUMPRODUCT(Calc!$K$3:$K$22*(Calc!$G$3:$G$22&gt;=B3097))</f>
        <v/>
      </c>
      <c r="F3097">
        <f>AND(k_n&gt;=5,B3097&gt;A3097+1E-9,C3097&gt;=2,D3097&gt;=1,E3097&gt;=2)</f>
        <v/>
      </c>
      <c r="G3097">
        <f>SUMPRODUCT(Calc!$K$3:$K$22*(Calc!$G$3:$G$22&gt;A3097)*(Calc!$G$3:$G$22-A3097))</f>
        <v/>
      </c>
      <c r="H3097">
        <f>SUMPRODUCT(Calc!$K$3:$K$22*(Calc!$G$3:$G$22&gt;B3097)*(Calc!$G$3:$G$22-B3097))</f>
        <v/>
      </c>
      <c r="I3097">
        <f>SUMPRODUCT(Calc!$K$3:$K$22*(Calc!$G$3:$G$22&gt;A3097)*(Calc!$G$3:$G$22-A3097)^2)</f>
        <v/>
      </c>
      <c r="J3097">
        <f>SUMPRODUCT(Calc!$K$3:$K$22*(Calc!$G$3:$G$22&gt;B3097)*(Calc!$G$3:$G$22-B3097)^2)</f>
        <v/>
      </c>
      <c r="K3097">
        <f>SUMPRODUCT(Calc!$K$3:$K$22*(Calc!$G$3:$G$22&gt;A3097)*(Calc!$G$3:$G$22-A3097)*(Calc!$G$3:$G$22&gt;B3097)*(Calc!$G$3:$G$22-B3097))</f>
        <v/>
      </c>
      <c r="L3097">
        <f>SUMPRODUCT(Calc!$K$3:$K$22*(Calc!$G$3:$G$22&gt;A3097)*(Calc!$G$3:$G$22-A3097)*Calc!$G$3:$G$22)</f>
        <v/>
      </c>
      <c r="M3097">
        <f>SUMPRODUCT(Calc!$K$3:$K$22*(Calc!$G$3:$G$22&gt;B3097)*(Calc!$G$3:$G$22-B3097)*Calc!$G$3:$G$22)</f>
        <v/>
      </c>
      <c r="N3097">
        <f>SUMPRODUCT(Calc!$K$3:$K$22*(Calc!$G$3:$G$22&gt;A3097)*(Calc!$G$3:$G$22-A3097)*Calc!$I$3:$I$22)</f>
        <v/>
      </c>
      <c r="O3097">
        <f>SUMPRODUCT(Calc!$K$3:$K$22*(Calc!$G$3:$G$22&gt;B3097)*(Calc!$G$3:$G$22-B3097)*Calc!$I$3:$I$22)</f>
        <v/>
      </c>
      <c r="P3097">
        <f>I3097-G3097^2/k_n</f>
        <v/>
      </c>
      <c r="Q3097">
        <f>J3097-H3097^2/k_n</f>
        <v/>
      </c>
      <c r="R3097">
        <f>K3097-G3097*H3097/k_n</f>
        <v/>
      </c>
      <c r="S3097">
        <f>L3097-LTP3!$D$3*G3097/k_n</f>
        <v/>
      </c>
      <c r="T3097">
        <f>M3097-LTP3!$D$3*H3097/k_n</f>
        <v/>
      </c>
      <c r="U3097">
        <f>N3097-G3097*LTP3!$D$4/k_n</f>
        <v/>
      </c>
      <c r="V3097">
        <f>O3097-H3097*LTP3!$D$4/k_n</f>
        <v/>
      </c>
      <c r="W3097">
        <f>((LTP3!$D$5)*((P3097)*(Q3097)-(R3097)*(R3097))-(S3097)*((S3097)*(Q3097)-(R3097)*(T3097))+(T3097)*((S3097)*(R3097)-(P3097)*(T3097)))</f>
        <v/>
      </c>
      <c r="X3097">
        <f>IF(ABS(W3097)&gt;1E-12,((LTP3!$D$6)*((P3097)*(Q3097)-(R3097)*(R3097))-(S3097)*((U3097)*(Q3097)-(R3097)*(V3097))+(T3097)*((U3097)*(R3097)-(P3097)*(V3097)))/W3097,0)</f>
        <v/>
      </c>
      <c r="Y3097">
        <f>IF(ABS(W3097)&gt;1E-12,((LTP3!$D$5)*((U3097)*(Q3097)-(R3097)*(V3097))-(LTP3!$D$6)*((S3097)*(Q3097)-(R3097)*(T3097))+(T3097)*((S3097)*(V3097)-(U3097)*(T3097)))/W3097,0)</f>
        <v/>
      </c>
      <c r="Z3097">
        <f>IF(ABS(W3097)&gt;1E-12,((LTP3!$D$5)*((P3097)*(V3097)-(U3097)*(R3097))-(S3097)*((S3097)*(V3097)-(U3097)*(T3097))+(LTP3!$D$6)*((S3097)*(R3097)-(P3097)*(T3097)))/W3097,0)</f>
        <v/>
      </c>
      <c r="AA3097">
        <f>LTP3!$D$7-X3097*LTP3!$D$6-Y3097*U3097-Z3097*V3097</f>
        <v/>
      </c>
      <c r="AB3097">
        <f>IF(AND(F3097,ABS(W3097)&gt;1E-12,Y3097&gt;0,Z3097&gt;0),AA3097,1E+300)</f>
        <v/>
      </c>
    </row>
    <row r="3098">
      <c r="A3098">
        <f>$B$3+$B$5*50</f>
        <v/>
      </c>
      <c r="B3098">
        <f>$B$3+$B$5*36</f>
        <v/>
      </c>
      <c r="C3098">
        <f>SUMPRODUCT(Calc!$K$3:$K$22*(Calc!$G$3:$G$22&lt;=A3098))</f>
        <v/>
      </c>
      <c r="D3098">
        <f>SUMPRODUCT(Calc!$K$3:$K$22*(Calc!$G$3:$G$22&gt;A3098)*(Calc!$G$3:$G$22&lt;B3098))</f>
        <v/>
      </c>
      <c r="E3098">
        <f>SUMPRODUCT(Calc!$K$3:$K$22*(Calc!$G$3:$G$22&gt;=B3098))</f>
        <v/>
      </c>
      <c r="F3098">
        <f>AND(k_n&gt;=5,B3098&gt;A3098+1E-9,C3098&gt;=2,D3098&gt;=1,E3098&gt;=2)</f>
        <v/>
      </c>
      <c r="G3098">
        <f>SUMPRODUCT(Calc!$K$3:$K$22*(Calc!$G$3:$G$22&gt;A3098)*(Calc!$G$3:$G$22-A3098))</f>
        <v/>
      </c>
      <c r="H3098">
        <f>SUMPRODUCT(Calc!$K$3:$K$22*(Calc!$G$3:$G$22&gt;B3098)*(Calc!$G$3:$G$22-B3098))</f>
        <v/>
      </c>
      <c r="I3098">
        <f>SUMPRODUCT(Calc!$K$3:$K$22*(Calc!$G$3:$G$22&gt;A3098)*(Calc!$G$3:$G$22-A3098)^2)</f>
        <v/>
      </c>
      <c r="J3098">
        <f>SUMPRODUCT(Calc!$K$3:$K$22*(Calc!$G$3:$G$22&gt;B3098)*(Calc!$G$3:$G$22-B3098)^2)</f>
        <v/>
      </c>
      <c r="K3098">
        <f>SUMPRODUCT(Calc!$K$3:$K$22*(Calc!$G$3:$G$22&gt;A3098)*(Calc!$G$3:$G$22-A3098)*(Calc!$G$3:$G$22&gt;B3098)*(Calc!$G$3:$G$22-B3098))</f>
        <v/>
      </c>
      <c r="L3098">
        <f>SUMPRODUCT(Calc!$K$3:$K$22*(Calc!$G$3:$G$22&gt;A3098)*(Calc!$G$3:$G$22-A3098)*Calc!$G$3:$G$22)</f>
        <v/>
      </c>
      <c r="M3098">
        <f>SUMPRODUCT(Calc!$K$3:$K$22*(Calc!$G$3:$G$22&gt;B3098)*(Calc!$G$3:$G$22-B3098)*Calc!$G$3:$G$22)</f>
        <v/>
      </c>
      <c r="N3098">
        <f>SUMPRODUCT(Calc!$K$3:$K$22*(Calc!$G$3:$G$22&gt;A3098)*(Calc!$G$3:$G$22-A3098)*Calc!$I$3:$I$22)</f>
        <v/>
      </c>
      <c r="O3098">
        <f>SUMPRODUCT(Calc!$K$3:$K$22*(Calc!$G$3:$G$22&gt;B3098)*(Calc!$G$3:$G$22-B3098)*Calc!$I$3:$I$22)</f>
        <v/>
      </c>
      <c r="P3098">
        <f>I3098-G3098^2/k_n</f>
        <v/>
      </c>
      <c r="Q3098">
        <f>J3098-H3098^2/k_n</f>
        <v/>
      </c>
      <c r="R3098">
        <f>K3098-G3098*H3098/k_n</f>
        <v/>
      </c>
      <c r="S3098">
        <f>L3098-LTP3!$D$3*G3098/k_n</f>
        <v/>
      </c>
      <c r="T3098">
        <f>M3098-LTP3!$D$3*H3098/k_n</f>
        <v/>
      </c>
      <c r="U3098">
        <f>N3098-G3098*LTP3!$D$4/k_n</f>
        <v/>
      </c>
      <c r="V3098">
        <f>O3098-H3098*LTP3!$D$4/k_n</f>
        <v/>
      </c>
      <c r="W3098">
        <f>((LTP3!$D$5)*((P3098)*(Q3098)-(R3098)*(R3098))-(S3098)*((S3098)*(Q3098)-(R3098)*(T3098))+(T3098)*((S3098)*(R3098)-(P3098)*(T3098)))</f>
        <v/>
      </c>
      <c r="X3098">
        <f>IF(ABS(W3098)&gt;1E-12,((LTP3!$D$6)*((P3098)*(Q3098)-(R3098)*(R3098))-(S3098)*((U3098)*(Q3098)-(R3098)*(V3098))+(T3098)*((U3098)*(R3098)-(P3098)*(V3098)))/W3098,0)</f>
        <v/>
      </c>
      <c r="Y3098">
        <f>IF(ABS(W3098)&gt;1E-12,((LTP3!$D$5)*((U3098)*(Q3098)-(R3098)*(V3098))-(LTP3!$D$6)*((S3098)*(Q3098)-(R3098)*(T3098))+(T3098)*((S3098)*(V3098)-(U3098)*(T3098)))/W3098,0)</f>
        <v/>
      </c>
      <c r="Z3098">
        <f>IF(ABS(W3098)&gt;1E-12,((LTP3!$D$5)*((P3098)*(V3098)-(U3098)*(R3098))-(S3098)*((S3098)*(V3098)-(U3098)*(T3098))+(LTP3!$D$6)*((S3098)*(R3098)-(P3098)*(T3098)))/W3098,0)</f>
        <v/>
      </c>
      <c r="AA3098">
        <f>LTP3!$D$7-X3098*LTP3!$D$6-Y3098*U3098-Z3098*V3098</f>
        <v/>
      </c>
      <c r="AB3098">
        <f>IF(AND(F3098,ABS(W3098)&gt;1E-12,Y3098&gt;0,Z3098&gt;0),AA3098,1E+300)</f>
        <v/>
      </c>
    </row>
    <row r="3099">
      <c r="A3099">
        <f>$B$3+$B$5*50</f>
        <v/>
      </c>
      <c r="B3099">
        <f>$B$3+$B$5*37</f>
        <v/>
      </c>
      <c r="C3099">
        <f>SUMPRODUCT(Calc!$K$3:$K$22*(Calc!$G$3:$G$22&lt;=A3099))</f>
        <v/>
      </c>
      <c r="D3099">
        <f>SUMPRODUCT(Calc!$K$3:$K$22*(Calc!$G$3:$G$22&gt;A3099)*(Calc!$G$3:$G$22&lt;B3099))</f>
        <v/>
      </c>
      <c r="E3099">
        <f>SUMPRODUCT(Calc!$K$3:$K$22*(Calc!$G$3:$G$22&gt;=B3099))</f>
        <v/>
      </c>
      <c r="F3099">
        <f>AND(k_n&gt;=5,B3099&gt;A3099+1E-9,C3099&gt;=2,D3099&gt;=1,E3099&gt;=2)</f>
        <v/>
      </c>
      <c r="G3099">
        <f>SUMPRODUCT(Calc!$K$3:$K$22*(Calc!$G$3:$G$22&gt;A3099)*(Calc!$G$3:$G$22-A3099))</f>
        <v/>
      </c>
      <c r="H3099">
        <f>SUMPRODUCT(Calc!$K$3:$K$22*(Calc!$G$3:$G$22&gt;B3099)*(Calc!$G$3:$G$22-B3099))</f>
        <v/>
      </c>
      <c r="I3099">
        <f>SUMPRODUCT(Calc!$K$3:$K$22*(Calc!$G$3:$G$22&gt;A3099)*(Calc!$G$3:$G$22-A3099)^2)</f>
        <v/>
      </c>
      <c r="J3099">
        <f>SUMPRODUCT(Calc!$K$3:$K$22*(Calc!$G$3:$G$22&gt;B3099)*(Calc!$G$3:$G$22-B3099)^2)</f>
        <v/>
      </c>
      <c r="K3099">
        <f>SUMPRODUCT(Calc!$K$3:$K$22*(Calc!$G$3:$G$22&gt;A3099)*(Calc!$G$3:$G$22-A3099)*(Calc!$G$3:$G$22&gt;B3099)*(Calc!$G$3:$G$22-B3099))</f>
        <v/>
      </c>
      <c r="L3099">
        <f>SUMPRODUCT(Calc!$K$3:$K$22*(Calc!$G$3:$G$22&gt;A3099)*(Calc!$G$3:$G$22-A3099)*Calc!$G$3:$G$22)</f>
        <v/>
      </c>
      <c r="M3099">
        <f>SUMPRODUCT(Calc!$K$3:$K$22*(Calc!$G$3:$G$22&gt;B3099)*(Calc!$G$3:$G$22-B3099)*Calc!$G$3:$G$22)</f>
        <v/>
      </c>
      <c r="N3099">
        <f>SUMPRODUCT(Calc!$K$3:$K$22*(Calc!$G$3:$G$22&gt;A3099)*(Calc!$G$3:$G$22-A3099)*Calc!$I$3:$I$22)</f>
        <v/>
      </c>
      <c r="O3099">
        <f>SUMPRODUCT(Calc!$K$3:$K$22*(Calc!$G$3:$G$22&gt;B3099)*(Calc!$G$3:$G$22-B3099)*Calc!$I$3:$I$22)</f>
        <v/>
      </c>
      <c r="P3099">
        <f>I3099-G3099^2/k_n</f>
        <v/>
      </c>
      <c r="Q3099">
        <f>J3099-H3099^2/k_n</f>
        <v/>
      </c>
      <c r="R3099">
        <f>K3099-G3099*H3099/k_n</f>
        <v/>
      </c>
      <c r="S3099">
        <f>L3099-LTP3!$D$3*G3099/k_n</f>
        <v/>
      </c>
      <c r="T3099">
        <f>M3099-LTP3!$D$3*H3099/k_n</f>
        <v/>
      </c>
      <c r="U3099">
        <f>N3099-G3099*LTP3!$D$4/k_n</f>
        <v/>
      </c>
      <c r="V3099">
        <f>O3099-H3099*LTP3!$D$4/k_n</f>
        <v/>
      </c>
      <c r="W3099">
        <f>((LTP3!$D$5)*((P3099)*(Q3099)-(R3099)*(R3099))-(S3099)*((S3099)*(Q3099)-(R3099)*(T3099))+(T3099)*((S3099)*(R3099)-(P3099)*(T3099)))</f>
        <v/>
      </c>
      <c r="X3099">
        <f>IF(ABS(W3099)&gt;1E-12,((LTP3!$D$6)*((P3099)*(Q3099)-(R3099)*(R3099))-(S3099)*((U3099)*(Q3099)-(R3099)*(V3099))+(T3099)*((U3099)*(R3099)-(P3099)*(V3099)))/W3099,0)</f>
        <v/>
      </c>
      <c r="Y3099">
        <f>IF(ABS(W3099)&gt;1E-12,((LTP3!$D$5)*((U3099)*(Q3099)-(R3099)*(V3099))-(LTP3!$D$6)*((S3099)*(Q3099)-(R3099)*(T3099))+(T3099)*((S3099)*(V3099)-(U3099)*(T3099)))/W3099,0)</f>
        <v/>
      </c>
      <c r="Z3099">
        <f>IF(ABS(W3099)&gt;1E-12,((LTP3!$D$5)*((P3099)*(V3099)-(U3099)*(R3099))-(S3099)*((S3099)*(V3099)-(U3099)*(T3099))+(LTP3!$D$6)*((S3099)*(R3099)-(P3099)*(T3099)))/W3099,0)</f>
        <v/>
      </c>
      <c r="AA3099">
        <f>LTP3!$D$7-X3099*LTP3!$D$6-Y3099*U3099-Z3099*V3099</f>
        <v/>
      </c>
      <c r="AB3099">
        <f>IF(AND(F3099,ABS(W3099)&gt;1E-12,Y3099&gt;0,Z3099&gt;0),AA3099,1E+300)</f>
        <v/>
      </c>
    </row>
    <row r="3100">
      <c r="A3100">
        <f>$B$3+$B$5*50</f>
        <v/>
      </c>
      <c r="B3100">
        <f>$B$3+$B$5*38</f>
        <v/>
      </c>
      <c r="C3100">
        <f>SUMPRODUCT(Calc!$K$3:$K$22*(Calc!$G$3:$G$22&lt;=A3100))</f>
        <v/>
      </c>
      <c r="D3100">
        <f>SUMPRODUCT(Calc!$K$3:$K$22*(Calc!$G$3:$G$22&gt;A3100)*(Calc!$G$3:$G$22&lt;B3100))</f>
        <v/>
      </c>
      <c r="E3100">
        <f>SUMPRODUCT(Calc!$K$3:$K$22*(Calc!$G$3:$G$22&gt;=B3100))</f>
        <v/>
      </c>
      <c r="F3100">
        <f>AND(k_n&gt;=5,B3100&gt;A3100+1E-9,C3100&gt;=2,D3100&gt;=1,E3100&gt;=2)</f>
        <v/>
      </c>
      <c r="G3100">
        <f>SUMPRODUCT(Calc!$K$3:$K$22*(Calc!$G$3:$G$22&gt;A3100)*(Calc!$G$3:$G$22-A3100))</f>
        <v/>
      </c>
      <c r="H3100">
        <f>SUMPRODUCT(Calc!$K$3:$K$22*(Calc!$G$3:$G$22&gt;B3100)*(Calc!$G$3:$G$22-B3100))</f>
        <v/>
      </c>
      <c r="I3100">
        <f>SUMPRODUCT(Calc!$K$3:$K$22*(Calc!$G$3:$G$22&gt;A3100)*(Calc!$G$3:$G$22-A3100)^2)</f>
        <v/>
      </c>
      <c r="J3100">
        <f>SUMPRODUCT(Calc!$K$3:$K$22*(Calc!$G$3:$G$22&gt;B3100)*(Calc!$G$3:$G$22-B3100)^2)</f>
        <v/>
      </c>
      <c r="K3100">
        <f>SUMPRODUCT(Calc!$K$3:$K$22*(Calc!$G$3:$G$22&gt;A3100)*(Calc!$G$3:$G$22-A3100)*(Calc!$G$3:$G$22&gt;B3100)*(Calc!$G$3:$G$22-B3100))</f>
        <v/>
      </c>
      <c r="L3100">
        <f>SUMPRODUCT(Calc!$K$3:$K$22*(Calc!$G$3:$G$22&gt;A3100)*(Calc!$G$3:$G$22-A3100)*Calc!$G$3:$G$22)</f>
        <v/>
      </c>
      <c r="M3100">
        <f>SUMPRODUCT(Calc!$K$3:$K$22*(Calc!$G$3:$G$22&gt;B3100)*(Calc!$G$3:$G$22-B3100)*Calc!$G$3:$G$22)</f>
        <v/>
      </c>
      <c r="N3100">
        <f>SUMPRODUCT(Calc!$K$3:$K$22*(Calc!$G$3:$G$22&gt;A3100)*(Calc!$G$3:$G$22-A3100)*Calc!$I$3:$I$22)</f>
        <v/>
      </c>
      <c r="O3100">
        <f>SUMPRODUCT(Calc!$K$3:$K$22*(Calc!$G$3:$G$22&gt;B3100)*(Calc!$G$3:$G$22-B3100)*Calc!$I$3:$I$22)</f>
        <v/>
      </c>
      <c r="P3100">
        <f>I3100-G3100^2/k_n</f>
        <v/>
      </c>
      <c r="Q3100">
        <f>J3100-H3100^2/k_n</f>
        <v/>
      </c>
      <c r="R3100">
        <f>K3100-G3100*H3100/k_n</f>
        <v/>
      </c>
      <c r="S3100">
        <f>L3100-LTP3!$D$3*G3100/k_n</f>
        <v/>
      </c>
      <c r="T3100">
        <f>M3100-LTP3!$D$3*H3100/k_n</f>
        <v/>
      </c>
      <c r="U3100">
        <f>N3100-G3100*LTP3!$D$4/k_n</f>
        <v/>
      </c>
      <c r="V3100">
        <f>O3100-H3100*LTP3!$D$4/k_n</f>
        <v/>
      </c>
      <c r="W3100">
        <f>((LTP3!$D$5)*((P3100)*(Q3100)-(R3100)*(R3100))-(S3100)*((S3100)*(Q3100)-(R3100)*(T3100))+(T3100)*((S3100)*(R3100)-(P3100)*(T3100)))</f>
        <v/>
      </c>
      <c r="X3100">
        <f>IF(ABS(W3100)&gt;1E-12,((LTP3!$D$6)*((P3100)*(Q3100)-(R3100)*(R3100))-(S3100)*((U3100)*(Q3100)-(R3100)*(V3100))+(T3100)*((U3100)*(R3100)-(P3100)*(V3100)))/W3100,0)</f>
        <v/>
      </c>
      <c r="Y3100">
        <f>IF(ABS(W3100)&gt;1E-12,((LTP3!$D$5)*((U3100)*(Q3100)-(R3100)*(V3100))-(LTP3!$D$6)*((S3100)*(Q3100)-(R3100)*(T3100))+(T3100)*((S3100)*(V3100)-(U3100)*(T3100)))/W3100,0)</f>
        <v/>
      </c>
      <c r="Z3100">
        <f>IF(ABS(W3100)&gt;1E-12,((LTP3!$D$5)*((P3100)*(V3100)-(U3100)*(R3100))-(S3100)*((S3100)*(V3100)-(U3100)*(T3100))+(LTP3!$D$6)*((S3100)*(R3100)-(P3100)*(T3100)))/W3100,0)</f>
        <v/>
      </c>
      <c r="AA3100">
        <f>LTP3!$D$7-X3100*LTP3!$D$6-Y3100*U3100-Z3100*V3100</f>
        <v/>
      </c>
      <c r="AB3100">
        <f>IF(AND(F3100,ABS(W3100)&gt;1E-12,Y3100&gt;0,Z3100&gt;0),AA3100,1E+300)</f>
        <v/>
      </c>
    </row>
    <row r="3101">
      <c r="A3101">
        <f>$B$3+$B$5*50</f>
        <v/>
      </c>
      <c r="B3101">
        <f>$B$3+$B$5*39</f>
        <v/>
      </c>
      <c r="C3101">
        <f>SUMPRODUCT(Calc!$K$3:$K$22*(Calc!$G$3:$G$22&lt;=A3101))</f>
        <v/>
      </c>
      <c r="D3101">
        <f>SUMPRODUCT(Calc!$K$3:$K$22*(Calc!$G$3:$G$22&gt;A3101)*(Calc!$G$3:$G$22&lt;B3101))</f>
        <v/>
      </c>
      <c r="E3101">
        <f>SUMPRODUCT(Calc!$K$3:$K$22*(Calc!$G$3:$G$22&gt;=B3101))</f>
        <v/>
      </c>
      <c r="F3101">
        <f>AND(k_n&gt;=5,B3101&gt;A3101+1E-9,C3101&gt;=2,D3101&gt;=1,E3101&gt;=2)</f>
        <v/>
      </c>
      <c r="G3101">
        <f>SUMPRODUCT(Calc!$K$3:$K$22*(Calc!$G$3:$G$22&gt;A3101)*(Calc!$G$3:$G$22-A3101))</f>
        <v/>
      </c>
      <c r="H3101">
        <f>SUMPRODUCT(Calc!$K$3:$K$22*(Calc!$G$3:$G$22&gt;B3101)*(Calc!$G$3:$G$22-B3101))</f>
        <v/>
      </c>
      <c r="I3101">
        <f>SUMPRODUCT(Calc!$K$3:$K$22*(Calc!$G$3:$G$22&gt;A3101)*(Calc!$G$3:$G$22-A3101)^2)</f>
        <v/>
      </c>
      <c r="J3101">
        <f>SUMPRODUCT(Calc!$K$3:$K$22*(Calc!$G$3:$G$22&gt;B3101)*(Calc!$G$3:$G$22-B3101)^2)</f>
        <v/>
      </c>
      <c r="K3101">
        <f>SUMPRODUCT(Calc!$K$3:$K$22*(Calc!$G$3:$G$22&gt;A3101)*(Calc!$G$3:$G$22-A3101)*(Calc!$G$3:$G$22&gt;B3101)*(Calc!$G$3:$G$22-B3101))</f>
        <v/>
      </c>
      <c r="L3101">
        <f>SUMPRODUCT(Calc!$K$3:$K$22*(Calc!$G$3:$G$22&gt;A3101)*(Calc!$G$3:$G$22-A3101)*Calc!$G$3:$G$22)</f>
        <v/>
      </c>
      <c r="M3101">
        <f>SUMPRODUCT(Calc!$K$3:$K$22*(Calc!$G$3:$G$22&gt;B3101)*(Calc!$G$3:$G$22-B3101)*Calc!$G$3:$G$22)</f>
        <v/>
      </c>
      <c r="N3101">
        <f>SUMPRODUCT(Calc!$K$3:$K$22*(Calc!$G$3:$G$22&gt;A3101)*(Calc!$G$3:$G$22-A3101)*Calc!$I$3:$I$22)</f>
        <v/>
      </c>
      <c r="O3101">
        <f>SUMPRODUCT(Calc!$K$3:$K$22*(Calc!$G$3:$G$22&gt;B3101)*(Calc!$G$3:$G$22-B3101)*Calc!$I$3:$I$22)</f>
        <v/>
      </c>
      <c r="P3101">
        <f>I3101-G3101^2/k_n</f>
        <v/>
      </c>
      <c r="Q3101">
        <f>J3101-H3101^2/k_n</f>
        <v/>
      </c>
      <c r="R3101">
        <f>K3101-G3101*H3101/k_n</f>
        <v/>
      </c>
      <c r="S3101">
        <f>L3101-LTP3!$D$3*G3101/k_n</f>
        <v/>
      </c>
      <c r="T3101">
        <f>M3101-LTP3!$D$3*H3101/k_n</f>
        <v/>
      </c>
      <c r="U3101">
        <f>N3101-G3101*LTP3!$D$4/k_n</f>
        <v/>
      </c>
      <c r="V3101">
        <f>O3101-H3101*LTP3!$D$4/k_n</f>
        <v/>
      </c>
      <c r="W3101">
        <f>((LTP3!$D$5)*((P3101)*(Q3101)-(R3101)*(R3101))-(S3101)*((S3101)*(Q3101)-(R3101)*(T3101))+(T3101)*((S3101)*(R3101)-(P3101)*(T3101)))</f>
        <v/>
      </c>
      <c r="X3101">
        <f>IF(ABS(W3101)&gt;1E-12,((LTP3!$D$6)*((P3101)*(Q3101)-(R3101)*(R3101))-(S3101)*((U3101)*(Q3101)-(R3101)*(V3101))+(T3101)*((U3101)*(R3101)-(P3101)*(V3101)))/W3101,0)</f>
        <v/>
      </c>
      <c r="Y3101">
        <f>IF(ABS(W3101)&gt;1E-12,((LTP3!$D$5)*((U3101)*(Q3101)-(R3101)*(V3101))-(LTP3!$D$6)*((S3101)*(Q3101)-(R3101)*(T3101))+(T3101)*((S3101)*(V3101)-(U3101)*(T3101)))/W3101,0)</f>
        <v/>
      </c>
      <c r="Z3101">
        <f>IF(ABS(W3101)&gt;1E-12,((LTP3!$D$5)*((P3101)*(V3101)-(U3101)*(R3101))-(S3101)*((S3101)*(V3101)-(U3101)*(T3101))+(LTP3!$D$6)*((S3101)*(R3101)-(P3101)*(T3101)))/W3101,0)</f>
        <v/>
      </c>
      <c r="AA3101">
        <f>LTP3!$D$7-X3101*LTP3!$D$6-Y3101*U3101-Z3101*V3101</f>
        <v/>
      </c>
      <c r="AB3101">
        <f>IF(AND(F3101,ABS(W3101)&gt;1E-12,Y3101&gt;0,Z3101&gt;0),AA3101,1E+300)</f>
        <v/>
      </c>
    </row>
    <row r="3102">
      <c r="A3102">
        <f>$B$3+$B$5*50</f>
        <v/>
      </c>
      <c r="B3102">
        <f>$B$3+$B$5*40</f>
        <v/>
      </c>
      <c r="C3102">
        <f>SUMPRODUCT(Calc!$K$3:$K$22*(Calc!$G$3:$G$22&lt;=A3102))</f>
        <v/>
      </c>
      <c r="D3102">
        <f>SUMPRODUCT(Calc!$K$3:$K$22*(Calc!$G$3:$G$22&gt;A3102)*(Calc!$G$3:$G$22&lt;B3102))</f>
        <v/>
      </c>
      <c r="E3102">
        <f>SUMPRODUCT(Calc!$K$3:$K$22*(Calc!$G$3:$G$22&gt;=B3102))</f>
        <v/>
      </c>
      <c r="F3102">
        <f>AND(k_n&gt;=5,B3102&gt;A3102+1E-9,C3102&gt;=2,D3102&gt;=1,E3102&gt;=2)</f>
        <v/>
      </c>
      <c r="G3102">
        <f>SUMPRODUCT(Calc!$K$3:$K$22*(Calc!$G$3:$G$22&gt;A3102)*(Calc!$G$3:$G$22-A3102))</f>
        <v/>
      </c>
      <c r="H3102">
        <f>SUMPRODUCT(Calc!$K$3:$K$22*(Calc!$G$3:$G$22&gt;B3102)*(Calc!$G$3:$G$22-B3102))</f>
        <v/>
      </c>
      <c r="I3102">
        <f>SUMPRODUCT(Calc!$K$3:$K$22*(Calc!$G$3:$G$22&gt;A3102)*(Calc!$G$3:$G$22-A3102)^2)</f>
        <v/>
      </c>
      <c r="J3102">
        <f>SUMPRODUCT(Calc!$K$3:$K$22*(Calc!$G$3:$G$22&gt;B3102)*(Calc!$G$3:$G$22-B3102)^2)</f>
        <v/>
      </c>
      <c r="K3102">
        <f>SUMPRODUCT(Calc!$K$3:$K$22*(Calc!$G$3:$G$22&gt;A3102)*(Calc!$G$3:$G$22-A3102)*(Calc!$G$3:$G$22&gt;B3102)*(Calc!$G$3:$G$22-B3102))</f>
        <v/>
      </c>
      <c r="L3102">
        <f>SUMPRODUCT(Calc!$K$3:$K$22*(Calc!$G$3:$G$22&gt;A3102)*(Calc!$G$3:$G$22-A3102)*Calc!$G$3:$G$22)</f>
        <v/>
      </c>
      <c r="M3102">
        <f>SUMPRODUCT(Calc!$K$3:$K$22*(Calc!$G$3:$G$22&gt;B3102)*(Calc!$G$3:$G$22-B3102)*Calc!$G$3:$G$22)</f>
        <v/>
      </c>
      <c r="N3102">
        <f>SUMPRODUCT(Calc!$K$3:$K$22*(Calc!$G$3:$G$22&gt;A3102)*(Calc!$G$3:$G$22-A3102)*Calc!$I$3:$I$22)</f>
        <v/>
      </c>
      <c r="O3102">
        <f>SUMPRODUCT(Calc!$K$3:$K$22*(Calc!$G$3:$G$22&gt;B3102)*(Calc!$G$3:$G$22-B3102)*Calc!$I$3:$I$22)</f>
        <v/>
      </c>
      <c r="P3102">
        <f>I3102-G3102^2/k_n</f>
        <v/>
      </c>
      <c r="Q3102">
        <f>J3102-H3102^2/k_n</f>
        <v/>
      </c>
      <c r="R3102">
        <f>K3102-G3102*H3102/k_n</f>
        <v/>
      </c>
      <c r="S3102">
        <f>L3102-LTP3!$D$3*G3102/k_n</f>
        <v/>
      </c>
      <c r="T3102">
        <f>M3102-LTP3!$D$3*H3102/k_n</f>
        <v/>
      </c>
      <c r="U3102">
        <f>N3102-G3102*LTP3!$D$4/k_n</f>
        <v/>
      </c>
      <c r="V3102">
        <f>O3102-H3102*LTP3!$D$4/k_n</f>
        <v/>
      </c>
      <c r="W3102">
        <f>((LTP3!$D$5)*((P3102)*(Q3102)-(R3102)*(R3102))-(S3102)*((S3102)*(Q3102)-(R3102)*(T3102))+(T3102)*((S3102)*(R3102)-(P3102)*(T3102)))</f>
        <v/>
      </c>
      <c r="X3102">
        <f>IF(ABS(W3102)&gt;1E-12,((LTP3!$D$6)*((P3102)*(Q3102)-(R3102)*(R3102))-(S3102)*((U3102)*(Q3102)-(R3102)*(V3102))+(T3102)*((U3102)*(R3102)-(P3102)*(V3102)))/W3102,0)</f>
        <v/>
      </c>
      <c r="Y3102">
        <f>IF(ABS(W3102)&gt;1E-12,((LTP3!$D$5)*((U3102)*(Q3102)-(R3102)*(V3102))-(LTP3!$D$6)*((S3102)*(Q3102)-(R3102)*(T3102))+(T3102)*((S3102)*(V3102)-(U3102)*(T3102)))/W3102,0)</f>
        <v/>
      </c>
      <c r="Z3102">
        <f>IF(ABS(W3102)&gt;1E-12,((LTP3!$D$5)*((P3102)*(V3102)-(U3102)*(R3102))-(S3102)*((S3102)*(V3102)-(U3102)*(T3102))+(LTP3!$D$6)*((S3102)*(R3102)-(P3102)*(T3102)))/W3102,0)</f>
        <v/>
      </c>
      <c r="AA3102">
        <f>LTP3!$D$7-X3102*LTP3!$D$6-Y3102*U3102-Z3102*V3102</f>
        <v/>
      </c>
      <c r="AB3102">
        <f>IF(AND(F3102,ABS(W3102)&gt;1E-12,Y3102&gt;0,Z3102&gt;0),AA3102,1E+300)</f>
        <v/>
      </c>
    </row>
    <row r="3103">
      <c r="A3103">
        <f>$B$3+$B$5*50</f>
        <v/>
      </c>
      <c r="B3103">
        <f>$B$3+$B$5*41</f>
        <v/>
      </c>
      <c r="C3103">
        <f>SUMPRODUCT(Calc!$K$3:$K$22*(Calc!$G$3:$G$22&lt;=A3103))</f>
        <v/>
      </c>
      <c r="D3103">
        <f>SUMPRODUCT(Calc!$K$3:$K$22*(Calc!$G$3:$G$22&gt;A3103)*(Calc!$G$3:$G$22&lt;B3103))</f>
        <v/>
      </c>
      <c r="E3103">
        <f>SUMPRODUCT(Calc!$K$3:$K$22*(Calc!$G$3:$G$22&gt;=B3103))</f>
        <v/>
      </c>
      <c r="F3103">
        <f>AND(k_n&gt;=5,B3103&gt;A3103+1E-9,C3103&gt;=2,D3103&gt;=1,E3103&gt;=2)</f>
        <v/>
      </c>
      <c r="G3103">
        <f>SUMPRODUCT(Calc!$K$3:$K$22*(Calc!$G$3:$G$22&gt;A3103)*(Calc!$G$3:$G$22-A3103))</f>
        <v/>
      </c>
      <c r="H3103">
        <f>SUMPRODUCT(Calc!$K$3:$K$22*(Calc!$G$3:$G$22&gt;B3103)*(Calc!$G$3:$G$22-B3103))</f>
        <v/>
      </c>
      <c r="I3103">
        <f>SUMPRODUCT(Calc!$K$3:$K$22*(Calc!$G$3:$G$22&gt;A3103)*(Calc!$G$3:$G$22-A3103)^2)</f>
        <v/>
      </c>
      <c r="J3103">
        <f>SUMPRODUCT(Calc!$K$3:$K$22*(Calc!$G$3:$G$22&gt;B3103)*(Calc!$G$3:$G$22-B3103)^2)</f>
        <v/>
      </c>
      <c r="K3103">
        <f>SUMPRODUCT(Calc!$K$3:$K$22*(Calc!$G$3:$G$22&gt;A3103)*(Calc!$G$3:$G$22-A3103)*(Calc!$G$3:$G$22&gt;B3103)*(Calc!$G$3:$G$22-B3103))</f>
        <v/>
      </c>
      <c r="L3103">
        <f>SUMPRODUCT(Calc!$K$3:$K$22*(Calc!$G$3:$G$22&gt;A3103)*(Calc!$G$3:$G$22-A3103)*Calc!$G$3:$G$22)</f>
        <v/>
      </c>
      <c r="M3103">
        <f>SUMPRODUCT(Calc!$K$3:$K$22*(Calc!$G$3:$G$22&gt;B3103)*(Calc!$G$3:$G$22-B3103)*Calc!$G$3:$G$22)</f>
        <v/>
      </c>
      <c r="N3103">
        <f>SUMPRODUCT(Calc!$K$3:$K$22*(Calc!$G$3:$G$22&gt;A3103)*(Calc!$G$3:$G$22-A3103)*Calc!$I$3:$I$22)</f>
        <v/>
      </c>
      <c r="O3103">
        <f>SUMPRODUCT(Calc!$K$3:$K$22*(Calc!$G$3:$G$22&gt;B3103)*(Calc!$G$3:$G$22-B3103)*Calc!$I$3:$I$22)</f>
        <v/>
      </c>
      <c r="P3103">
        <f>I3103-G3103^2/k_n</f>
        <v/>
      </c>
      <c r="Q3103">
        <f>J3103-H3103^2/k_n</f>
        <v/>
      </c>
      <c r="R3103">
        <f>K3103-G3103*H3103/k_n</f>
        <v/>
      </c>
      <c r="S3103">
        <f>L3103-LTP3!$D$3*G3103/k_n</f>
        <v/>
      </c>
      <c r="T3103">
        <f>M3103-LTP3!$D$3*H3103/k_n</f>
        <v/>
      </c>
      <c r="U3103">
        <f>N3103-G3103*LTP3!$D$4/k_n</f>
        <v/>
      </c>
      <c r="V3103">
        <f>O3103-H3103*LTP3!$D$4/k_n</f>
        <v/>
      </c>
      <c r="W3103">
        <f>((LTP3!$D$5)*((P3103)*(Q3103)-(R3103)*(R3103))-(S3103)*((S3103)*(Q3103)-(R3103)*(T3103))+(T3103)*((S3103)*(R3103)-(P3103)*(T3103)))</f>
        <v/>
      </c>
      <c r="X3103">
        <f>IF(ABS(W3103)&gt;1E-12,((LTP3!$D$6)*((P3103)*(Q3103)-(R3103)*(R3103))-(S3103)*((U3103)*(Q3103)-(R3103)*(V3103))+(T3103)*((U3103)*(R3103)-(P3103)*(V3103)))/W3103,0)</f>
        <v/>
      </c>
      <c r="Y3103">
        <f>IF(ABS(W3103)&gt;1E-12,((LTP3!$D$5)*((U3103)*(Q3103)-(R3103)*(V3103))-(LTP3!$D$6)*((S3103)*(Q3103)-(R3103)*(T3103))+(T3103)*((S3103)*(V3103)-(U3103)*(T3103)))/W3103,0)</f>
        <v/>
      </c>
      <c r="Z3103">
        <f>IF(ABS(W3103)&gt;1E-12,((LTP3!$D$5)*((P3103)*(V3103)-(U3103)*(R3103))-(S3103)*((S3103)*(V3103)-(U3103)*(T3103))+(LTP3!$D$6)*((S3103)*(R3103)-(P3103)*(T3103)))/W3103,0)</f>
        <v/>
      </c>
      <c r="AA3103">
        <f>LTP3!$D$7-X3103*LTP3!$D$6-Y3103*U3103-Z3103*V3103</f>
        <v/>
      </c>
      <c r="AB3103">
        <f>IF(AND(F3103,ABS(W3103)&gt;1E-12,Y3103&gt;0,Z3103&gt;0),AA3103,1E+300)</f>
        <v/>
      </c>
    </row>
    <row r="3104">
      <c r="A3104">
        <f>$B$3+$B$5*50</f>
        <v/>
      </c>
      <c r="B3104">
        <f>$B$3+$B$5*42</f>
        <v/>
      </c>
      <c r="C3104">
        <f>SUMPRODUCT(Calc!$K$3:$K$22*(Calc!$G$3:$G$22&lt;=A3104))</f>
        <v/>
      </c>
      <c r="D3104">
        <f>SUMPRODUCT(Calc!$K$3:$K$22*(Calc!$G$3:$G$22&gt;A3104)*(Calc!$G$3:$G$22&lt;B3104))</f>
        <v/>
      </c>
      <c r="E3104">
        <f>SUMPRODUCT(Calc!$K$3:$K$22*(Calc!$G$3:$G$22&gt;=B3104))</f>
        <v/>
      </c>
      <c r="F3104">
        <f>AND(k_n&gt;=5,B3104&gt;A3104+1E-9,C3104&gt;=2,D3104&gt;=1,E3104&gt;=2)</f>
        <v/>
      </c>
      <c r="G3104">
        <f>SUMPRODUCT(Calc!$K$3:$K$22*(Calc!$G$3:$G$22&gt;A3104)*(Calc!$G$3:$G$22-A3104))</f>
        <v/>
      </c>
      <c r="H3104">
        <f>SUMPRODUCT(Calc!$K$3:$K$22*(Calc!$G$3:$G$22&gt;B3104)*(Calc!$G$3:$G$22-B3104))</f>
        <v/>
      </c>
      <c r="I3104">
        <f>SUMPRODUCT(Calc!$K$3:$K$22*(Calc!$G$3:$G$22&gt;A3104)*(Calc!$G$3:$G$22-A3104)^2)</f>
        <v/>
      </c>
      <c r="J3104">
        <f>SUMPRODUCT(Calc!$K$3:$K$22*(Calc!$G$3:$G$22&gt;B3104)*(Calc!$G$3:$G$22-B3104)^2)</f>
        <v/>
      </c>
      <c r="K3104">
        <f>SUMPRODUCT(Calc!$K$3:$K$22*(Calc!$G$3:$G$22&gt;A3104)*(Calc!$G$3:$G$22-A3104)*(Calc!$G$3:$G$22&gt;B3104)*(Calc!$G$3:$G$22-B3104))</f>
        <v/>
      </c>
      <c r="L3104">
        <f>SUMPRODUCT(Calc!$K$3:$K$22*(Calc!$G$3:$G$22&gt;A3104)*(Calc!$G$3:$G$22-A3104)*Calc!$G$3:$G$22)</f>
        <v/>
      </c>
      <c r="M3104">
        <f>SUMPRODUCT(Calc!$K$3:$K$22*(Calc!$G$3:$G$22&gt;B3104)*(Calc!$G$3:$G$22-B3104)*Calc!$G$3:$G$22)</f>
        <v/>
      </c>
      <c r="N3104">
        <f>SUMPRODUCT(Calc!$K$3:$K$22*(Calc!$G$3:$G$22&gt;A3104)*(Calc!$G$3:$G$22-A3104)*Calc!$I$3:$I$22)</f>
        <v/>
      </c>
      <c r="O3104">
        <f>SUMPRODUCT(Calc!$K$3:$K$22*(Calc!$G$3:$G$22&gt;B3104)*(Calc!$G$3:$G$22-B3104)*Calc!$I$3:$I$22)</f>
        <v/>
      </c>
      <c r="P3104">
        <f>I3104-G3104^2/k_n</f>
        <v/>
      </c>
      <c r="Q3104">
        <f>J3104-H3104^2/k_n</f>
        <v/>
      </c>
      <c r="R3104">
        <f>K3104-G3104*H3104/k_n</f>
        <v/>
      </c>
      <c r="S3104">
        <f>L3104-LTP3!$D$3*G3104/k_n</f>
        <v/>
      </c>
      <c r="T3104">
        <f>M3104-LTP3!$D$3*H3104/k_n</f>
        <v/>
      </c>
      <c r="U3104">
        <f>N3104-G3104*LTP3!$D$4/k_n</f>
        <v/>
      </c>
      <c r="V3104">
        <f>O3104-H3104*LTP3!$D$4/k_n</f>
        <v/>
      </c>
      <c r="W3104">
        <f>((LTP3!$D$5)*((P3104)*(Q3104)-(R3104)*(R3104))-(S3104)*((S3104)*(Q3104)-(R3104)*(T3104))+(T3104)*((S3104)*(R3104)-(P3104)*(T3104)))</f>
        <v/>
      </c>
      <c r="X3104">
        <f>IF(ABS(W3104)&gt;1E-12,((LTP3!$D$6)*((P3104)*(Q3104)-(R3104)*(R3104))-(S3104)*((U3104)*(Q3104)-(R3104)*(V3104))+(T3104)*((U3104)*(R3104)-(P3104)*(V3104)))/W3104,0)</f>
        <v/>
      </c>
      <c r="Y3104">
        <f>IF(ABS(W3104)&gt;1E-12,((LTP3!$D$5)*((U3104)*(Q3104)-(R3104)*(V3104))-(LTP3!$D$6)*((S3104)*(Q3104)-(R3104)*(T3104))+(T3104)*((S3104)*(V3104)-(U3104)*(T3104)))/W3104,0)</f>
        <v/>
      </c>
      <c r="Z3104">
        <f>IF(ABS(W3104)&gt;1E-12,((LTP3!$D$5)*((P3104)*(V3104)-(U3104)*(R3104))-(S3104)*((S3104)*(V3104)-(U3104)*(T3104))+(LTP3!$D$6)*((S3104)*(R3104)-(P3104)*(T3104)))/W3104,0)</f>
        <v/>
      </c>
      <c r="AA3104">
        <f>LTP3!$D$7-X3104*LTP3!$D$6-Y3104*U3104-Z3104*V3104</f>
        <v/>
      </c>
      <c r="AB3104">
        <f>IF(AND(F3104,ABS(W3104)&gt;1E-12,Y3104&gt;0,Z3104&gt;0),AA3104,1E+300)</f>
        <v/>
      </c>
    </row>
    <row r="3105">
      <c r="A3105">
        <f>$B$3+$B$5*50</f>
        <v/>
      </c>
      <c r="B3105">
        <f>$B$3+$B$5*43</f>
        <v/>
      </c>
      <c r="C3105">
        <f>SUMPRODUCT(Calc!$K$3:$K$22*(Calc!$G$3:$G$22&lt;=A3105))</f>
        <v/>
      </c>
      <c r="D3105">
        <f>SUMPRODUCT(Calc!$K$3:$K$22*(Calc!$G$3:$G$22&gt;A3105)*(Calc!$G$3:$G$22&lt;B3105))</f>
        <v/>
      </c>
      <c r="E3105">
        <f>SUMPRODUCT(Calc!$K$3:$K$22*(Calc!$G$3:$G$22&gt;=B3105))</f>
        <v/>
      </c>
      <c r="F3105">
        <f>AND(k_n&gt;=5,B3105&gt;A3105+1E-9,C3105&gt;=2,D3105&gt;=1,E3105&gt;=2)</f>
        <v/>
      </c>
      <c r="G3105">
        <f>SUMPRODUCT(Calc!$K$3:$K$22*(Calc!$G$3:$G$22&gt;A3105)*(Calc!$G$3:$G$22-A3105))</f>
        <v/>
      </c>
      <c r="H3105">
        <f>SUMPRODUCT(Calc!$K$3:$K$22*(Calc!$G$3:$G$22&gt;B3105)*(Calc!$G$3:$G$22-B3105))</f>
        <v/>
      </c>
      <c r="I3105">
        <f>SUMPRODUCT(Calc!$K$3:$K$22*(Calc!$G$3:$G$22&gt;A3105)*(Calc!$G$3:$G$22-A3105)^2)</f>
        <v/>
      </c>
      <c r="J3105">
        <f>SUMPRODUCT(Calc!$K$3:$K$22*(Calc!$G$3:$G$22&gt;B3105)*(Calc!$G$3:$G$22-B3105)^2)</f>
        <v/>
      </c>
      <c r="K3105">
        <f>SUMPRODUCT(Calc!$K$3:$K$22*(Calc!$G$3:$G$22&gt;A3105)*(Calc!$G$3:$G$22-A3105)*(Calc!$G$3:$G$22&gt;B3105)*(Calc!$G$3:$G$22-B3105))</f>
        <v/>
      </c>
      <c r="L3105">
        <f>SUMPRODUCT(Calc!$K$3:$K$22*(Calc!$G$3:$G$22&gt;A3105)*(Calc!$G$3:$G$22-A3105)*Calc!$G$3:$G$22)</f>
        <v/>
      </c>
      <c r="M3105">
        <f>SUMPRODUCT(Calc!$K$3:$K$22*(Calc!$G$3:$G$22&gt;B3105)*(Calc!$G$3:$G$22-B3105)*Calc!$G$3:$G$22)</f>
        <v/>
      </c>
      <c r="N3105">
        <f>SUMPRODUCT(Calc!$K$3:$K$22*(Calc!$G$3:$G$22&gt;A3105)*(Calc!$G$3:$G$22-A3105)*Calc!$I$3:$I$22)</f>
        <v/>
      </c>
      <c r="O3105">
        <f>SUMPRODUCT(Calc!$K$3:$K$22*(Calc!$G$3:$G$22&gt;B3105)*(Calc!$G$3:$G$22-B3105)*Calc!$I$3:$I$22)</f>
        <v/>
      </c>
      <c r="P3105">
        <f>I3105-G3105^2/k_n</f>
        <v/>
      </c>
      <c r="Q3105">
        <f>J3105-H3105^2/k_n</f>
        <v/>
      </c>
      <c r="R3105">
        <f>K3105-G3105*H3105/k_n</f>
        <v/>
      </c>
      <c r="S3105">
        <f>L3105-LTP3!$D$3*G3105/k_n</f>
        <v/>
      </c>
      <c r="T3105">
        <f>M3105-LTP3!$D$3*H3105/k_n</f>
        <v/>
      </c>
      <c r="U3105">
        <f>N3105-G3105*LTP3!$D$4/k_n</f>
        <v/>
      </c>
      <c r="V3105">
        <f>O3105-H3105*LTP3!$D$4/k_n</f>
        <v/>
      </c>
      <c r="W3105">
        <f>((LTP3!$D$5)*((P3105)*(Q3105)-(R3105)*(R3105))-(S3105)*((S3105)*(Q3105)-(R3105)*(T3105))+(T3105)*((S3105)*(R3105)-(P3105)*(T3105)))</f>
        <v/>
      </c>
      <c r="X3105">
        <f>IF(ABS(W3105)&gt;1E-12,((LTP3!$D$6)*((P3105)*(Q3105)-(R3105)*(R3105))-(S3105)*((U3105)*(Q3105)-(R3105)*(V3105))+(T3105)*((U3105)*(R3105)-(P3105)*(V3105)))/W3105,0)</f>
        <v/>
      </c>
      <c r="Y3105">
        <f>IF(ABS(W3105)&gt;1E-12,((LTP3!$D$5)*((U3105)*(Q3105)-(R3105)*(V3105))-(LTP3!$D$6)*((S3105)*(Q3105)-(R3105)*(T3105))+(T3105)*((S3105)*(V3105)-(U3105)*(T3105)))/W3105,0)</f>
        <v/>
      </c>
      <c r="Z3105">
        <f>IF(ABS(W3105)&gt;1E-12,((LTP3!$D$5)*((P3105)*(V3105)-(U3105)*(R3105))-(S3105)*((S3105)*(V3105)-(U3105)*(T3105))+(LTP3!$D$6)*((S3105)*(R3105)-(P3105)*(T3105)))/W3105,0)</f>
        <v/>
      </c>
      <c r="AA3105">
        <f>LTP3!$D$7-X3105*LTP3!$D$6-Y3105*U3105-Z3105*V3105</f>
        <v/>
      </c>
      <c r="AB3105">
        <f>IF(AND(F3105,ABS(W3105)&gt;1E-12,Y3105&gt;0,Z3105&gt;0),AA3105,1E+300)</f>
        <v/>
      </c>
    </row>
    <row r="3106">
      <c r="A3106">
        <f>$B$3+$B$5*50</f>
        <v/>
      </c>
      <c r="B3106">
        <f>$B$3+$B$5*44</f>
        <v/>
      </c>
      <c r="C3106">
        <f>SUMPRODUCT(Calc!$K$3:$K$22*(Calc!$G$3:$G$22&lt;=A3106))</f>
        <v/>
      </c>
      <c r="D3106">
        <f>SUMPRODUCT(Calc!$K$3:$K$22*(Calc!$G$3:$G$22&gt;A3106)*(Calc!$G$3:$G$22&lt;B3106))</f>
        <v/>
      </c>
      <c r="E3106">
        <f>SUMPRODUCT(Calc!$K$3:$K$22*(Calc!$G$3:$G$22&gt;=B3106))</f>
        <v/>
      </c>
      <c r="F3106">
        <f>AND(k_n&gt;=5,B3106&gt;A3106+1E-9,C3106&gt;=2,D3106&gt;=1,E3106&gt;=2)</f>
        <v/>
      </c>
      <c r="G3106">
        <f>SUMPRODUCT(Calc!$K$3:$K$22*(Calc!$G$3:$G$22&gt;A3106)*(Calc!$G$3:$G$22-A3106))</f>
        <v/>
      </c>
      <c r="H3106">
        <f>SUMPRODUCT(Calc!$K$3:$K$22*(Calc!$G$3:$G$22&gt;B3106)*(Calc!$G$3:$G$22-B3106))</f>
        <v/>
      </c>
      <c r="I3106">
        <f>SUMPRODUCT(Calc!$K$3:$K$22*(Calc!$G$3:$G$22&gt;A3106)*(Calc!$G$3:$G$22-A3106)^2)</f>
        <v/>
      </c>
      <c r="J3106">
        <f>SUMPRODUCT(Calc!$K$3:$K$22*(Calc!$G$3:$G$22&gt;B3106)*(Calc!$G$3:$G$22-B3106)^2)</f>
        <v/>
      </c>
      <c r="K3106">
        <f>SUMPRODUCT(Calc!$K$3:$K$22*(Calc!$G$3:$G$22&gt;A3106)*(Calc!$G$3:$G$22-A3106)*(Calc!$G$3:$G$22&gt;B3106)*(Calc!$G$3:$G$22-B3106))</f>
        <v/>
      </c>
      <c r="L3106">
        <f>SUMPRODUCT(Calc!$K$3:$K$22*(Calc!$G$3:$G$22&gt;A3106)*(Calc!$G$3:$G$22-A3106)*Calc!$G$3:$G$22)</f>
        <v/>
      </c>
      <c r="M3106">
        <f>SUMPRODUCT(Calc!$K$3:$K$22*(Calc!$G$3:$G$22&gt;B3106)*(Calc!$G$3:$G$22-B3106)*Calc!$G$3:$G$22)</f>
        <v/>
      </c>
      <c r="N3106">
        <f>SUMPRODUCT(Calc!$K$3:$K$22*(Calc!$G$3:$G$22&gt;A3106)*(Calc!$G$3:$G$22-A3106)*Calc!$I$3:$I$22)</f>
        <v/>
      </c>
      <c r="O3106">
        <f>SUMPRODUCT(Calc!$K$3:$K$22*(Calc!$G$3:$G$22&gt;B3106)*(Calc!$G$3:$G$22-B3106)*Calc!$I$3:$I$22)</f>
        <v/>
      </c>
      <c r="P3106">
        <f>I3106-G3106^2/k_n</f>
        <v/>
      </c>
      <c r="Q3106">
        <f>J3106-H3106^2/k_n</f>
        <v/>
      </c>
      <c r="R3106">
        <f>K3106-G3106*H3106/k_n</f>
        <v/>
      </c>
      <c r="S3106">
        <f>L3106-LTP3!$D$3*G3106/k_n</f>
        <v/>
      </c>
      <c r="T3106">
        <f>M3106-LTP3!$D$3*H3106/k_n</f>
        <v/>
      </c>
      <c r="U3106">
        <f>N3106-G3106*LTP3!$D$4/k_n</f>
        <v/>
      </c>
      <c r="V3106">
        <f>O3106-H3106*LTP3!$D$4/k_n</f>
        <v/>
      </c>
      <c r="W3106">
        <f>((LTP3!$D$5)*((P3106)*(Q3106)-(R3106)*(R3106))-(S3106)*((S3106)*(Q3106)-(R3106)*(T3106))+(T3106)*((S3106)*(R3106)-(P3106)*(T3106)))</f>
        <v/>
      </c>
      <c r="X3106">
        <f>IF(ABS(W3106)&gt;1E-12,((LTP3!$D$6)*((P3106)*(Q3106)-(R3106)*(R3106))-(S3106)*((U3106)*(Q3106)-(R3106)*(V3106))+(T3106)*((U3106)*(R3106)-(P3106)*(V3106)))/W3106,0)</f>
        <v/>
      </c>
      <c r="Y3106">
        <f>IF(ABS(W3106)&gt;1E-12,((LTP3!$D$5)*((U3106)*(Q3106)-(R3106)*(V3106))-(LTP3!$D$6)*((S3106)*(Q3106)-(R3106)*(T3106))+(T3106)*((S3106)*(V3106)-(U3106)*(T3106)))/W3106,0)</f>
        <v/>
      </c>
      <c r="Z3106">
        <f>IF(ABS(W3106)&gt;1E-12,((LTP3!$D$5)*((P3106)*(V3106)-(U3106)*(R3106))-(S3106)*((S3106)*(V3106)-(U3106)*(T3106))+(LTP3!$D$6)*((S3106)*(R3106)-(P3106)*(T3106)))/W3106,0)</f>
        <v/>
      </c>
      <c r="AA3106">
        <f>LTP3!$D$7-X3106*LTP3!$D$6-Y3106*U3106-Z3106*V3106</f>
        <v/>
      </c>
      <c r="AB3106">
        <f>IF(AND(F3106,ABS(W3106)&gt;1E-12,Y3106&gt;0,Z3106&gt;0),AA3106,1E+300)</f>
        <v/>
      </c>
    </row>
    <row r="3107">
      <c r="A3107">
        <f>$B$3+$B$5*50</f>
        <v/>
      </c>
      <c r="B3107">
        <f>$B$3+$B$5*45</f>
        <v/>
      </c>
      <c r="C3107">
        <f>SUMPRODUCT(Calc!$K$3:$K$22*(Calc!$G$3:$G$22&lt;=A3107))</f>
        <v/>
      </c>
      <c r="D3107">
        <f>SUMPRODUCT(Calc!$K$3:$K$22*(Calc!$G$3:$G$22&gt;A3107)*(Calc!$G$3:$G$22&lt;B3107))</f>
        <v/>
      </c>
      <c r="E3107">
        <f>SUMPRODUCT(Calc!$K$3:$K$22*(Calc!$G$3:$G$22&gt;=B3107))</f>
        <v/>
      </c>
      <c r="F3107">
        <f>AND(k_n&gt;=5,B3107&gt;A3107+1E-9,C3107&gt;=2,D3107&gt;=1,E3107&gt;=2)</f>
        <v/>
      </c>
      <c r="G3107">
        <f>SUMPRODUCT(Calc!$K$3:$K$22*(Calc!$G$3:$G$22&gt;A3107)*(Calc!$G$3:$G$22-A3107))</f>
        <v/>
      </c>
      <c r="H3107">
        <f>SUMPRODUCT(Calc!$K$3:$K$22*(Calc!$G$3:$G$22&gt;B3107)*(Calc!$G$3:$G$22-B3107))</f>
        <v/>
      </c>
      <c r="I3107">
        <f>SUMPRODUCT(Calc!$K$3:$K$22*(Calc!$G$3:$G$22&gt;A3107)*(Calc!$G$3:$G$22-A3107)^2)</f>
        <v/>
      </c>
      <c r="J3107">
        <f>SUMPRODUCT(Calc!$K$3:$K$22*(Calc!$G$3:$G$22&gt;B3107)*(Calc!$G$3:$G$22-B3107)^2)</f>
        <v/>
      </c>
      <c r="K3107">
        <f>SUMPRODUCT(Calc!$K$3:$K$22*(Calc!$G$3:$G$22&gt;A3107)*(Calc!$G$3:$G$22-A3107)*(Calc!$G$3:$G$22&gt;B3107)*(Calc!$G$3:$G$22-B3107))</f>
        <v/>
      </c>
      <c r="L3107">
        <f>SUMPRODUCT(Calc!$K$3:$K$22*(Calc!$G$3:$G$22&gt;A3107)*(Calc!$G$3:$G$22-A3107)*Calc!$G$3:$G$22)</f>
        <v/>
      </c>
      <c r="M3107">
        <f>SUMPRODUCT(Calc!$K$3:$K$22*(Calc!$G$3:$G$22&gt;B3107)*(Calc!$G$3:$G$22-B3107)*Calc!$G$3:$G$22)</f>
        <v/>
      </c>
      <c r="N3107">
        <f>SUMPRODUCT(Calc!$K$3:$K$22*(Calc!$G$3:$G$22&gt;A3107)*(Calc!$G$3:$G$22-A3107)*Calc!$I$3:$I$22)</f>
        <v/>
      </c>
      <c r="O3107">
        <f>SUMPRODUCT(Calc!$K$3:$K$22*(Calc!$G$3:$G$22&gt;B3107)*(Calc!$G$3:$G$22-B3107)*Calc!$I$3:$I$22)</f>
        <v/>
      </c>
      <c r="P3107">
        <f>I3107-G3107^2/k_n</f>
        <v/>
      </c>
      <c r="Q3107">
        <f>J3107-H3107^2/k_n</f>
        <v/>
      </c>
      <c r="R3107">
        <f>K3107-G3107*H3107/k_n</f>
        <v/>
      </c>
      <c r="S3107">
        <f>L3107-LTP3!$D$3*G3107/k_n</f>
        <v/>
      </c>
      <c r="T3107">
        <f>M3107-LTP3!$D$3*H3107/k_n</f>
        <v/>
      </c>
      <c r="U3107">
        <f>N3107-G3107*LTP3!$D$4/k_n</f>
        <v/>
      </c>
      <c r="V3107">
        <f>O3107-H3107*LTP3!$D$4/k_n</f>
        <v/>
      </c>
      <c r="W3107">
        <f>((LTP3!$D$5)*((P3107)*(Q3107)-(R3107)*(R3107))-(S3107)*((S3107)*(Q3107)-(R3107)*(T3107))+(T3107)*((S3107)*(R3107)-(P3107)*(T3107)))</f>
        <v/>
      </c>
      <c r="X3107">
        <f>IF(ABS(W3107)&gt;1E-12,((LTP3!$D$6)*((P3107)*(Q3107)-(R3107)*(R3107))-(S3107)*((U3107)*(Q3107)-(R3107)*(V3107))+(T3107)*((U3107)*(R3107)-(P3107)*(V3107)))/W3107,0)</f>
        <v/>
      </c>
      <c r="Y3107">
        <f>IF(ABS(W3107)&gt;1E-12,((LTP3!$D$5)*((U3107)*(Q3107)-(R3107)*(V3107))-(LTP3!$D$6)*((S3107)*(Q3107)-(R3107)*(T3107))+(T3107)*((S3107)*(V3107)-(U3107)*(T3107)))/W3107,0)</f>
        <v/>
      </c>
      <c r="Z3107">
        <f>IF(ABS(W3107)&gt;1E-12,((LTP3!$D$5)*((P3107)*(V3107)-(U3107)*(R3107))-(S3107)*((S3107)*(V3107)-(U3107)*(T3107))+(LTP3!$D$6)*((S3107)*(R3107)-(P3107)*(T3107)))/W3107,0)</f>
        <v/>
      </c>
      <c r="AA3107">
        <f>LTP3!$D$7-X3107*LTP3!$D$6-Y3107*U3107-Z3107*V3107</f>
        <v/>
      </c>
      <c r="AB3107">
        <f>IF(AND(F3107,ABS(W3107)&gt;1E-12,Y3107&gt;0,Z3107&gt;0),AA3107,1E+300)</f>
        <v/>
      </c>
    </row>
    <row r="3108">
      <c r="A3108">
        <f>$B$3+$B$5*50</f>
        <v/>
      </c>
      <c r="B3108">
        <f>$B$3+$B$5*46</f>
        <v/>
      </c>
      <c r="C3108">
        <f>SUMPRODUCT(Calc!$K$3:$K$22*(Calc!$G$3:$G$22&lt;=A3108))</f>
        <v/>
      </c>
      <c r="D3108">
        <f>SUMPRODUCT(Calc!$K$3:$K$22*(Calc!$G$3:$G$22&gt;A3108)*(Calc!$G$3:$G$22&lt;B3108))</f>
        <v/>
      </c>
      <c r="E3108">
        <f>SUMPRODUCT(Calc!$K$3:$K$22*(Calc!$G$3:$G$22&gt;=B3108))</f>
        <v/>
      </c>
      <c r="F3108">
        <f>AND(k_n&gt;=5,B3108&gt;A3108+1E-9,C3108&gt;=2,D3108&gt;=1,E3108&gt;=2)</f>
        <v/>
      </c>
      <c r="G3108">
        <f>SUMPRODUCT(Calc!$K$3:$K$22*(Calc!$G$3:$G$22&gt;A3108)*(Calc!$G$3:$G$22-A3108))</f>
        <v/>
      </c>
      <c r="H3108">
        <f>SUMPRODUCT(Calc!$K$3:$K$22*(Calc!$G$3:$G$22&gt;B3108)*(Calc!$G$3:$G$22-B3108))</f>
        <v/>
      </c>
      <c r="I3108">
        <f>SUMPRODUCT(Calc!$K$3:$K$22*(Calc!$G$3:$G$22&gt;A3108)*(Calc!$G$3:$G$22-A3108)^2)</f>
        <v/>
      </c>
      <c r="J3108">
        <f>SUMPRODUCT(Calc!$K$3:$K$22*(Calc!$G$3:$G$22&gt;B3108)*(Calc!$G$3:$G$22-B3108)^2)</f>
        <v/>
      </c>
      <c r="K3108">
        <f>SUMPRODUCT(Calc!$K$3:$K$22*(Calc!$G$3:$G$22&gt;A3108)*(Calc!$G$3:$G$22-A3108)*(Calc!$G$3:$G$22&gt;B3108)*(Calc!$G$3:$G$22-B3108))</f>
        <v/>
      </c>
      <c r="L3108">
        <f>SUMPRODUCT(Calc!$K$3:$K$22*(Calc!$G$3:$G$22&gt;A3108)*(Calc!$G$3:$G$22-A3108)*Calc!$G$3:$G$22)</f>
        <v/>
      </c>
      <c r="M3108">
        <f>SUMPRODUCT(Calc!$K$3:$K$22*(Calc!$G$3:$G$22&gt;B3108)*(Calc!$G$3:$G$22-B3108)*Calc!$G$3:$G$22)</f>
        <v/>
      </c>
      <c r="N3108">
        <f>SUMPRODUCT(Calc!$K$3:$K$22*(Calc!$G$3:$G$22&gt;A3108)*(Calc!$G$3:$G$22-A3108)*Calc!$I$3:$I$22)</f>
        <v/>
      </c>
      <c r="O3108">
        <f>SUMPRODUCT(Calc!$K$3:$K$22*(Calc!$G$3:$G$22&gt;B3108)*(Calc!$G$3:$G$22-B3108)*Calc!$I$3:$I$22)</f>
        <v/>
      </c>
      <c r="P3108">
        <f>I3108-G3108^2/k_n</f>
        <v/>
      </c>
      <c r="Q3108">
        <f>J3108-H3108^2/k_n</f>
        <v/>
      </c>
      <c r="R3108">
        <f>K3108-G3108*H3108/k_n</f>
        <v/>
      </c>
      <c r="S3108">
        <f>L3108-LTP3!$D$3*G3108/k_n</f>
        <v/>
      </c>
      <c r="T3108">
        <f>M3108-LTP3!$D$3*H3108/k_n</f>
        <v/>
      </c>
      <c r="U3108">
        <f>N3108-G3108*LTP3!$D$4/k_n</f>
        <v/>
      </c>
      <c r="V3108">
        <f>O3108-H3108*LTP3!$D$4/k_n</f>
        <v/>
      </c>
      <c r="W3108">
        <f>((LTP3!$D$5)*((P3108)*(Q3108)-(R3108)*(R3108))-(S3108)*((S3108)*(Q3108)-(R3108)*(T3108))+(T3108)*((S3108)*(R3108)-(P3108)*(T3108)))</f>
        <v/>
      </c>
      <c r="X3108">
        <f>IF(ABS(W3108)&gt;1E-12,((LTP3!$D$6)*((P3108)*(Q3108)-(R3108)*(R3108))-(S3108)*((U3108)*(Q3108)-(R3108)*(V3108))+(T3108)*((U3108)*(R3108)-(P3108)*(V3108)))/W3108,0)</f>
        <v/>
      </c>
      <c r="Y3108">
        <f>IF(ABS(W3108)&gt;1E-12,((LTP3!$D$5)*((U3108)*(Q3108)-(R3108)*(V3108))-(LTP3!$D$6)*((S3108)*(Q3108)-(R3108)*(T3108))+(T3108)*((S3108)*(V3108)-(U3108)*(T3108)))/W3108,0)</f>
        <v/>
      </c>
      <c r="Z3108">
        <f>IF(ABS(W3108)&gt;1E-12,((LTP3!$D$5)*((P3108)*(V3108)-(U3108)*(R3108))-(S3108)*((S3108)*(V3108)-(U3108)*(T3108))+(LTP3!$D$6)*((S3108)*(R3108)-(P3108)*(T3108)))/W3108,0)</f>
        <v/>
      </c>
      <c r="AA3108">
        <f>LTP3!$D$7-X3108*LTP3!$D$6-Y3108*U3108-Z3108*V3108</f>
        <v/>
      </c>
      <c r="AB3108">
        <f>IF(AND(F3108,ABS(W3108)&gt;1E-12,Y3108&gt;0,Z3108&gt;0),AA3108,1E+300)</f>
        <v/>
      </c>
    </row>
    <row r="3109">
      <c r="A3109">
        <f>$B$3+$B$5*50</f>
        <v/>
      </c>
      <c r="B3109">
        <f>$B$3+$B$5*47</f>
        <v/>
      </c>
      <c r="C3109">
        <f>SUMPRODUCT(Calc!$K$3:$K$22*(Calc!$G$3:$G$22&lt;=A3109))</f>
        <v/>
      </c>
      <c r="D3109">
        <f>SUMPRODUCT(Calc!$K$3:$K$22*(Calc!$G$3:$G$22&gt;A3109)*(Calc!$G$3:$G$22&lt;B3109))</f>
        <v/>
      </c>
      <c r="E3109">
        <f>SUMPRODUCT(Calc!$K$3:$K$22*(Calc!$G$3:$G$22&gt;=B3109))</f>
        <v/>
      </c>
      <c r="F3109">
        <f>AND(k_n&gt;=5,B3109&gt;A3109+1E-9,C3109&gt;=2,D3109&gt;=1,E3109&gt;=2)</f>
        <v/>
      </c>
      <c r="G3109">
        <f>SUMPRODUCT(Calc!$K$3:$K$22*(Calc!$G$3:$G$22&gt;A3109)*(Calc!$G$3:$G$22-A3109))</f>
        <v/>
      </c>
      <c r="H3109">
        <f>SUMPRODUCT(Calc!$K$3:$K$22*(Calc!$G$3:$G$22&gt;B3109)*(Calc!$G$3:$G$22-B3109))</f>
        <v/>
      </c>
      <c r="I3109">
        <f>SUMPRODUCT(Calc!$K$3:$K$22*(Calc!$G$3:$G$22&gt;A3109)*(Calc!$G$3:$G$22-A3109)^2)</f>
        <v/>
      </c>
      <c r="J3109">
        <f>SUMPRODUCT(Calc!$K$3:$K$22*(Calc!$G$3:$G$22&gt;B3109)*(Calc!$G$3:$G$22-B3109)^2)</f>
        <v/>
      </c>
      <c r="K3109">
        <f>SUMPRODUCT(Calc!$K$3:$K$22*(Calc!$G$3:$G$22&gt;A3109)*(Calc!$G$3:$G$22-A3109)*(Calc!$G$3:$G$22&gt;B3109)*(Calc!$G$3:$G$22-B3109))</f>
        <v/>
      </c>
      <c r="L3109">
        <f>SUMPRODUCT(Calc!$K$3:$K$22*(Calc!$G$3:$G$22&gt;A3109)*(Calc!$G$3:$G$22-A3109)*Calc!$G$3:$G$22)</f>
        <v/>
      </c>
      <c r="M3109">
        <f>SUMPRODUCT(Calc!$K$3:$K$22*(Calc!$G$3:$G$22&gt;B3109)*(Calc!$G$3:$G$22-B3109)*Calc!$G$3:$G$22)</f>
        <v/>
      </c>
      <c r="N3109">
        <f>SUMPRODUCT(Calc!$K$3:$K$22*(Calc!$G$3:$G$22&gt;A3109)*(Calc!$G$3:$G$22-A3109)*Calc!$I$3:$I$22)</f>
        <v/>
      </c>
      <c r="O3109">
        <f>SUMPRODUCT(Calc!$K$3:$K$22*(Calc!$G$3:$G$22&gt;B3109)*(Calc!$G$3:$G$22-B3109)*Calc!$I$3:$I$22)</f>
        <v/>
      </c>
      <c r="P3109">
        <f>I3109-G3109^2/k_n</f>
        <v/>
      </c>
      <c r="Q3109">
        <f>J3109-H3109^2/k_n</f>
        <v/>
      </c>
      <c r="R3109">
        <f>K3109-G3109*H3109/k_n</f>
        <v/>
      </c>
      <c r="S3109">
        <f>L3109-LTP3!$D$3*G3109/k_n</f>
        <v/>
      </c>
      <c r="T3109">
        <f>M3109-LTP3!$D$3*H3109/k_n</f>
        <v/>
      </c>
      <c r="U3109">
        <f>N3109-G3109*LTP3!$D$4/k_n</f>
        <v/>
      </c>
      <c r="V3109">
        <f>O3109-H3109*LTP3!$D$4/k_n</f>
        <v/>
      </c>
      <c r="W3109">
        <f>((LTP3!$D$5)*((P3109)*(Q3109)-(R3109)*(R3109))-(S3109)*((S3109)*(Q3109)-(R3109)*(T3109))+(T3109)*((S3109)*(R3109)-(P3109)*(T3109)))</f>
        <v/>
      </c>
      <c r="X3109">
        <f>IF(ABS(W3109)&gt;1E-12,((LTP3!$D$6)*((P3109)*(Q3109)-(R3109)*(R3109))-(S3109)*((U3109)*(Q3109)-(R3109)*(V3109))+(T3109)*((U3109)*(R3109)-(P3109)*(V3109)))/W3109,0)</f>
        <v/>
      </c>
      <c r="Y3109">
        <f>IF(ABS(W3109)&gt;1E-12,((LTP3!$D$5)*((U3109)*(Q3109)-(R3109)*(V3109))-(LTP3!$D$6)*((S3109)*(Q3109)-(R3109)*(T3109))+(T3109)*((S3109)*(V3109)-(U3109)*(T3109)))/W3109,0)</f>
        <v/>
      </c>
      <c r="Z3109">
        <f>IF(ABS(W3109)&gt;1E-12,((LTP3!$D$5)*((P3109)*(V3109)-(U3109)*(R3109))-(S3109)*((S3109)*(V3109)-(U3109)*(T3109))+(LTP3!$D$6)*((S3109)*(R3109)-(P3109)*(T3109)))/W3109,0)</f>
        <v/>
      </c>
      <c r="AA3109">
        <f>LTP3!$D$7-X3109*LTP3!$D$6-Y3109*U3109-Z3109*V3109</f>
        <v/>
      </c>
      <c r="AB3109">
        <f>IF(AND(F3109,ABS(W3109)&gt;1E-12,Y3109&gt;0,Z3109&gt;0),AA3109,1E+300)</f>
        <v/>
      </c>
    </row>
    <row r="3110">
      <c r="A3110">
        <f>$B$3+$B$5*50</f>
        <v/>
      </c>
      <c r="B3110">
        <f>$B$3+$B$5*48</f>
        <v/>
      </c>
      <c r="C3110">
        <f>SUMPRODUCT(Calc!$K$3:$K$22*(Calc!$G$3:$G$22&lt;=A3110))</f>
        <v/>
      </c>
      <c r="D3110">
        <f>SUMPRODUCT(Calc!$K$3:$K$22*(Calc!$G$3:$G$22&gt;A3110)*(Calc!$G$3:$G$22&lt;B3110))</f>
        <v/>
      </c>
      <c r="E3110">
        <f>SUMPRODUCT(Calc!$K$3:$K$22*(Calc!$G$3:$G$22&gt;=B3110))</f>
        <v/>
      </c>
      <c r="F3110">
        <f>AND(k_n&gt;=5,B3110&gt;A3110+1E-9,C3110&gt;=2,D3110&gt;=1,E3110&gt;=2)</f>
        <v/>
      </c>
      <c r="G3110">
        <f>SUMPRODUCT(Calc!$K$3:$K$22*(Calc!$G$3:$G$22&gt;A3110)*(Calc!$G$3:$G$22-A3110))</f>
        <v/>
      </c>
      <c r="H3110">
        <f>SUMPRODUCT(Calc!$K$3:$K$22*(Calc!$G$3:$G$22&gt;B3110)*(Calc!$G$3:$G$22-B3110))</f>
        <v/>
      </c>
      <c r="I3110">
        <f>SUMPRODUCT(Calc!$K$3:$K$22*(Calc!$G$3:$G$22&gt;A3110)*(Calc!$G$3:$G$22-A3110)^2)</f>
        <v/>
      </c>
      <c r="J3110">
        <f>SUMPRODUCT(Calc!$K$3:$K$22*(Calc!$G$3:$G$22&gt;B3110)*(Calc!$G$3:$G$22-B3110)^2)</f>
        <v/>
      </c>
      <c r="K3110">
        <f>SUMPRODUCT(Calc!$K$3:$K$22*(Calc!$G$3:$G$22&gt;A3110)*(Calc!$G$3:$G$22-A3110)*(Calc!$G$3:$G$22&gt;B3110)*(Calc!$G$3:$G$22-B3110))</f>
        <v/>
      </c>
      <c r="L3110">
        <f>SUMPRODUCT(Calc!$K$3:$K$22*(Calc!$G$3:$G$22&gt;A3110)*(Calc!$G$3:$G$22-A3110)*Calc!$G$3:$G$22)</f>
        <v/>
      </c>
      <c r="M3110">
        <f>SUMPRODUCT(Calc!$K$3:$K$22*(Calc!$G$3:$G$22&gt;B3110)*(Calc!$G$3:$G$22-B3110)*Calc!$G$3:$G$22)</f>
        <v/>
      </c>
      <c r="N3110">
        <f>SUMPRODUCT(Calc!$K$3:$K$22*(Calc!$G$3:$G$22&gt;A3110)*(Calc!$G$3:$G$22-A3110)*Calc!$I$3:$I$22)</f>
        <v/>
      </c>
      <c r="O3110">
        <f>SUMPRODUCT(Calc!$K$3:$K$22*(Calc!$G$3:$G$22&gt;B3110)*(Calc!$G$3:$G$22-B3110)*Calc!$I$3:$I$22)</f>
        <v/>
      </c>
      <c r="P3110">
        <f>I3110-G3110^2/k_n</f>
        <v/>
      </c>
      <c r="Q3110">
        <f>J3110-H3110^2/k_n</f>
        <v/>
      </c>
      <c r="R3110">
        <f>K3110-G3110*H3110/k_n</f>
        <v/>
      </c>
      <c r="S3110">
        <f>L3110-LTP3!$D$3*G3110/k_n</f>
        <v/>
      </c>
      <c r="T3110">
        <f>M3110-LTP3!$D$3*H3110/k_n</f>
        <v/>
      </c>
      <c r="U3110">
        <f>N3110-G3110*LTP3!$D$4/k_n</f>
        <v/>
      </c>
      <c r="V3110">
        <f>O3110-H3110*LTP3!$D$4/k_n</f>
        <v/>
      </c>
      <c r="W3110">
        <f>((LTP3!$D$5)*((P3110)*(Q3110)-(R3110)*(R3110))-(S3110)*((S3110)*(Q3110)-(R3110)*(T3110))+(T3110)*((S3110)*(R3110)-(P3110)*(T3110)))</f>
        <v/>
      </c>
      <c r="X3110">
        <f>IF(ABS(W3110)&gt;1E-12,((LTP3!$D$6)*((P3110)*(Q3110)-(R3110)*(R3110))-(S3110)*((U3110)*(Q3110)-(R3110)*(V3110))+(T3110)*((U3110)*(R3110)-(P3110)*(V3110)))/W3110,0)</f>
        <v/>
      </c>
      <c r="Y3110">
        <f>IF(ABS(W3110)&gt;1E-12,((LTP3!$D$5)*((U3110)*(Q3110)-(R3110)*(V3110))-(LTP3!$D$6)*((S3110)*(Q3110)-(R3110)*(T3110))+(T3110)*((S3110)*(V3110)-(U3110)*(T3110)))/W3110,0)</f>
        <v/>
      </c>
      <c r="Z3110">
        <f>IF(ABS(W3110)&gt;1E-12,((LTP3!$D$5)*((P3110)*(V3110)-(U3110)*(R3110))-(S3110)*((S3110)*(V3110)-(U3110)*(T3110))+(LTP3!$D$6)*((S3110)*(R3110)-(P3110)*(T3110)))/W3110,0)</f>
        <v/>
      </c>
      <c r="AA3110">
        <f>LTP3!$D$7-X3110*LTP3!$D$6-Y3110*U3110-Z3110*V3110</f>
        <v/>
      </c>
      <c r="AB3110">
        <f>IF(AND(F3110,ABS(W3110)&gt;1E-12,Y3110&gt;0,Z3110&gt;0),AA3110,1E+300)</f>
        <v/>
      </c>
    </row>
    <row r="3111">
      <c r="A3111">
        <f>$B$3+$B$5*50</f>
        <v/>
      </c>
      <c r="B3111">
        <f>$B$3+$B$5*49</f>
        <v/>
      </c>
      <c r="C3111">
        <f>SUMPRODUCT(Calc!$K$3:$K$22*(Calc!$G$3:$G$22&lt;=A3111))</f>
        <v/>
      </c>
      <c r="D3111">
        <f>SUMPRODUCT(Calc!$K$3:$K$22*(Calc!$G$3:$G$22&gt;A3111)*(Calc!$G$3:$G$22&lt;B3111))</f>
        <v/>
      </c>
      <c r="E3111">
        <f>SUMPRODUCT(Calc!$K$3:$K$22*(Calc!$G$3:$G$22&gt;=B3111))</f>
        <v/>
      </c>
      <c r="F3111">
        <f>AND(k_n&gt;=5,B3111&gt;A3111+1E-9,C3111&gt;=2,D3111&gt;=1,E3111&gt;=2)</f>
        <v/>
      </c>
      <c r="G3111">
        <f>SUMPRODUCT(Calc!$K$3:$K$22*(Calc!$G$3:$G$22&gt;A3111)*(Calc!$G$3:$G$22-A3111))</f>
        <v/>
      </c>
      <c r="H3111">
        <f>SUMPRODUCT(Calc!$K$3:$K$22*(Calc!$G$3:$G$22&gt;B3111)*(Calc!$G$3:$G$22-B3111))</f>
        <v/>
      </c>
      <c r="I3111">
        <f>SUMPRODUCT(Calc!$K$3:$K$22*(Calc!$G$3:$G$22&gt;A3111)*(Calc!$G$3:$G$22-A3111)^2)</f>
        <v/>
      </c>
      <c r="J3111">
        <f>SUMPRODUCT(Calc!$K$3:$K$22*(Calc!$G$3:$G$22&gt;B3111)*(Calc!$G$3:$G$22-B3111)^2)</f>
        <v/>
      </c>
      <c r="K3111">
        <f>SUMPRODUCT(Calc!$K$3:$K$22*(Calc!$G$3:$G$22&gt;A3111)*(Calc!$G$3:$G$22-A3111)*(Calc!$G$3:$G$22&gt;B3111)*(Calc!$G$3:$G$22-B3111))</f>
        <v/>
      </c>
      <c r="L3111">
        <f>SUMPRODUCT(Calc!$K$3:$K$22*(Calc!$G$3:$G$22&gt;A3111)*(Calc!$G$3:$G$22-A3111)*Calc!$G$3:$G$22)</f>
        <v/>
      </c>
      <c r="M3111">
        <f>SUMPRODUCT(Calc!$K$3:$K$22*(Calc!$G$3:$G$22&gt;B3111)*(Calc!$G$3:$G$22-B3111)*Calc!$G$3:$G$22)</f>
        <v/>
      </c>
      <c r="N3111">
        <f>SUMPRODUCT(Calc!$K$3:$K$22*(Calc!$G$3:$G$22&gt;A3111)*(Calc!$G$3:$G$22-A3111)*Calc!$I$3:$I$22)</f>
        <v/>
      </c>
      <c r="O3111">
        <f>SUMPRODUCT(Calc!$K$3:$K$22*(Calc!$G$3:$G$22&gt;B3111)*(Calc!$G$3:$G$22-B3111)*Calc!$I$3:$I$22)</f>
        <v/>
      </c>
      <c r="P3111">
        <f>I3111-G3111^2/k_n</f>
        <v/>
      </c>
      <c r="Q3111">
        <f>J3111-H3111^2/k_n</f>
        <v/>
      </c>
      <c r="R3111">
        <f>K3111-G3111*H3111/k_n</f>
        <v/>
      </c>
      <c r="S3111">
        <f>L3111-LTP3!$D$3*G3111/k_n</f>
        <v/>
      </c>
      <c r="T3111">
        <f>M3111-LTP3!$D$3*H3111/k_n</f>
        <v/>
      </c>
      <c r="U3111">
        <f>N3111-G3111*LTP3!$D$4/k_n</f>
        <v/>
      </c>
      <c r="V3111">
        <f>O3111-H3111*LTP3!$D$4/k_n</f>
        <v/>
      </c>
      <c r="W3111">
        <f>((LTP3!$D$5)*((P3111)*(Q3111)-(R3111)*(R3111))-(S3111)*((S3111)*(Q3111)-(R3111)*(T3111))+(T3111)*((S3111)*(R3111)-(P3111)*(T3111)))</f>
        <v/>
      </c>
      <c r="X3111">
        <f>IF(ABS(W3111)&gt;1E-12,((LTP3!$D$6)*((P3111)*(Q3111)-(R3111)*(R3111))-(S3111)*((U3111)*(Q3111)-(R3111)*(V3111))+(T3111)*((U3111)*(R3111)-(P3111)*(V3111)))/W3111,0)</f>
        <v/>
      </c>
      <c r="Y3111">
        <f>IF(ABS(W3111)&gt;1E-12,((LTP3!$D$5)*((U3111)*(Q3111)-(R3111)*(V3111))-(LTP3!$D$6)*((S3111)*(Q3111)-(R3111)*(T3111))+(T3111)*((S3111)*(V3111)-(U3111)*(T3111)))/W3111,0)</f>
        <v/>
      </c>
      <c r="Z3111">
        <f>IF(ABS(W3111)&gt;1E-12,((LTP3!$D$5)*((P3111)*(V3111)-(U3111)*(R3111))-(S3111)*((S3111)*(V3111)-(U3111)*(T3111))+(LTP3!$D$6)*((S3111)*(R3111)-(P3111)*(T3111)))/W3111,0)</f>
        <v/>
      </c>
      <c r="AA3111">
        <f>LTP3!$D$7-X3111*LTP3!$D$6-Y3111*U3111-Z3111*V3111</f>
        <v/>
      </c>
      <c r="AB3111">
        <f>IF(AND(F3111,ABS(W3111)&gt;1E-12,Y3111&gt;0,Z3111&gt;0),AA3111,1E+300)</f>
        <v/>
      </c>
    </row>
    <row r="3112">
      <c r="A3112">
        <f>$B$3+$B$5*50</f>
        <v/>
      </c>
      <c r="B3112">
        <f>$B$3+$B$5*50</f>
        <v/>
      </c>
      <c r="C3112">
        <f>SUMPRODUCT(Calc!$K$3:$K$22*(Calc!$G$3:$G$22&lt;=A3112))</f>
        <v/>
      </c>
      <c r="D3112">
        <f>SUMPRODUCT(Calc!$K$3:$K$22*(Calc!$G$3:$G$22&gt;A3112)*(Calc!$G$3:$G$22&lt;B3112))</f>
        <v/>
      </c>
      <c r="E3112">
        <f>SUMPRODUCT(Calc!$K$3:$K$22*(Calc!$G$3:$G$22&gt;=B3112))</f>
        <v/>
      </c>
      <c r="F3112">
        <f>AND(k_n&gt;=5,B3112&gt;A3112+1E-9,C3112&gt;=2,D3112&gt;=1,E3112&gt;=2)</f>
        <v/>
      </c>
      <c r="G3112">
        <f>SUMPRODUCT(Calc!$K$3:$K$22*(Calc!$G$3:$G$22&gt;A3112)*(Calc!$G$3:$G$22-A3112))</f>
        <v/>
      </c>
      <c r="H3112">
        <f>SUMPRODUCT(Calc!$K$3:$K$22*(Calc!$G$3:$G$22&gt;B3112)*(Calc!$G$3:$G$22-B3112))</f>
        <v/>
      </c>
      <c r="I3112">
        <f>SUMPRODUCT(Calc!$K$3:$K$22*(Calc!$G$3:$G$22&gt;A3112)*(Calc!$G$3:$G$22-A3112)^2)</f>
        <v/>
      </c>
      <c r="J3112">
        <f>SUMPRODUCT(Calc!$K$3:$K$22*(Calc!$G$3:$G$22&gt;B3112)*(Calc!$G$3:$G$22-B3112)^2)</f>
        <v/>
      </c>
      <c r="K3112">
        <f>SUMPRODUCT(Calc!$K$3:$K$22*(Calc!$G$3:$G$22&gt;A3112)*(Calc!$G$3:$G$22-A3112)*(Calc!$G$3:$G$22&gt;B3112)*(Calc!$G$3:$G$22-B3112))</f>
        <v/>
      </c>
      <c r="L3112">
        <f>SUMPRODUCT(Calc!$K$3:$K$22*(Calc!$G$3:$G$22&gt;A3112)*(Calc!$G$3:$G$22-A3112)*Calc!$G$3:$G$22)</f>
        <v/>
      </c>
      <c r="M3112">
        <f>SUMPRODUCT(Calc!$K$3:$K$22*(Calc!$G$3:$G$22&gt;B3112)*(Calc!$G$3:$G$22-B3112)*Calc!$G$3:$G$22)</f>
        <v/>
      </c>
      <c r="N3112">
        <f>SUMPRODUCT(Calc!$K$3:$K$22*(Calc!$G$3:$G$22&gt;A3112)*(Calc!$G$3:$G$22-A3112)*Calc!$I$3:$I$22)</f>
        <v/>
      </c>
      <c r="O3112">
        <f>SUMPRODUCT(Calc!$K$3:$K$22*(Calc!$G$3:$G$22&gt;B3112)*(Calc!$G$3:$G$22-B3112)*Calc!$I$3:$I$22)</f>
        <v/>
      </c>
      <c r="P3112">
        <f>I3112-G3112^2/k_n</f>
        <v/>
      </c>
      <c r="Q3112">
        <f>J3112-H3112^2/k_n</f>
        <v/>
      </c>
      <c r="R3112">
        <f>K3112-G3112*H3112/k_n</f>
        <v/>
      </c>
      <c r="S3112">
        <f>L3112-LTP3!$D$3*G3112/k_n</f>
        <v/>
      </c>
      <c r="T3112">
        <f>M3112-LTP3!$D$3*H3112/k_n</f>
        <v/>
      </c>
      <c r="U3112">
        <f>N3112-G3112*LTP3!$D$4/k_n</f>
        <v/>
      </c>
      <c r="V3112">
        <f>O3112-H3112*LTP3!$D$4/k_n</f>
        <v/>
      </c>
      <c r="W3112">
        <f>((LTP3!$D$5)*((P3112)*(Q3112)-(R3112)*(R3112))-(S3112)*((S3112)*(Q3112)-(R3112)*(T3112))+(T3112)*((S3112)*(R3112)-(P3112)*(T3112)))</f>
        <v/>
      </c>
      <c r="X3112">
        <f>IF(ABS(W3112)&gt;1E-12,((LTP3!$D$6)*((P3112)*(Q3112)-(R3112)*(R3112))-(S3112)*((U3112)*(Q3112)-(R3112)*(V3112))+(T3112)*((U3112)*(R3112)-(P3112)*(V3112)))/W3112,0)</f>
        <v/>
      </c>
      <c r="Y3112">
        <f>IF(ABS(W3112)&gt;1E-12,((LTP3!$D$5)*((U3112)*(Q3112)-(R3112)*(V3112))-(LTP3!$D$6)*((S3112)*(Q3112)-(R3112)*(T3112))+(T3112)*((S3112)*(V3112)-(U3112)*(T3112)))/W3112,0)</f>
        <v/>
      </c>
      <c r="Z3112">
        <f>IF(ABS(W3112)&gt;1E-12,((LTP3!$D$5)*((P3112)*(V3112)-(U3112)*(R3112))-(S3112)*((S3112)*(V3112)-(U3112)*(T3112))+(LTP3!$D$6)*((S3112)*(R3112)-(P3112)*(T3112)))/W3112,0)</f>
        <v/>
      </c>
      <c r="AA3112">
        <f>LTP3!$D$7-X3112*LTP3!$D$6-Y3112*U3112-Z3112*V3112</f>
        <v/>
      </c>
      <c r="AB3112">
        <f>IF(AND(F3112,ABS(W3112)&gt;1E-12,Y3112&gt;0,Z3112&gt;0),AA3112,1E+300)</f>
        <v/>
      </c>
    </row>
    <row r="3113">
      <c r="A3113">
        <f>$B$3+$B$5*50</f>
        <v/>
      </c>
      <c r="B3113">
        <f>$B$3+$B$5*51</f>
        <v/>
      </c>
      <c r="C3113">
        <f>SUMPRODUCT(Calc!$K$3:$K$22*(Calc!$G$3:$G$22&lt;=A3113))</f>
        <v/>
      </c>
      <c r="D3113">
        <f>SUMPRODUCT(Calc!$K$3:$K$22*(Calc!$G$3:$G$22&gt;A3113)*(Calc!$G$3:$G$22&lt;B3113))</f>
        <v/>
      </c>
      <c r="E3113">
        <f>SUMPRODUCT(Calc!$K$3:$K$22*(Calc!$G$3:$G$22&gt;=B3113))</f>
        <v/>
      </c>
      <c r="F3113">
        <f>AND(k_n&gt;=5,B3113&gt;A3113+1E-9,C3113&gt;=2,D3113&gt;=1,E3113&gt;=2)</f>
        <v/>
      </c>
      <c r="G3113">
        <f>SUMPRODUCT(Calc!$K$3:$K$22*(Calc!$G$3:$G$22&gt;A3113)*(Calc!$G$3:$G$22-A3113))</f>
        <v/>
      </c>
      <c r="H3113">
        <f>SUMPRODUCT(Calc!$K$3:$K$22*(Calc!$G$3:$G$22&gt;B3113)*(Calc!$G$3:$G$22-B3113))</f>
        <v/>
      </c>
      <c r="I3113">
        <f>SUMPRODUCT(Calc!$K$3:$K$22*(Calc!$G$3:$G$22&gt;A3113)*(Calc!$G$3:$G$22-A3113)^2)</f>
        <v/>
      </c>
      <c r="J3113">
        <f>SUMPRODUCT(Calc!$K$3:$K$22*(Calc!$G$3:$G$22&gt;B3113)*(Calc!$G$3:$G$22-B3113)^2)</f>
        <v/>
      </c>
      <c r="K3113">
        <f>SUMPRODUCT(Calc!$K$3:$K$22*(Calc!$G$3:$G$22&gt;A3113)*(Calc!$G$3:$G$22-A3113)*(Calc!$G$3:$G$22&gt;B3113)*(Calc!$G$3:$G$22-B3113))</f>
        <v/>
      </c>
      <c r="L3113">
        <f>SUMPRODUCT(Calc!$K$3:$K$22*(Calc!$G$3:$G$22&gt;A3113)*(Calc!$G$3:$G$22-A3113)*Calc!$G$3:$G$22)</f>
        <v/>
      </c>
      <c r="M3113">
        <f>SUMPRODUCT(Calc!$K$3:$K$22*(Calc!$G$3:$G$22&gt;B3113)*(Calc!$G$3:$G$22-B3113)*Calc!$G$3:$G$22)</f>
        <v/>
      </c>
      <c r="N3113">
        <f>SUMPRODUCT(Calc!$K$3:$K$22*(Calc!$G$3:$G$22&gt;A3113)*(Calc!$G$3:$G$22-A3113)*Calc!$I$3:$I$22)</f>
        <v/>
      </c>
      <c r="O3113">
        <f>SUMPRODUCT(Calc!$K$3:$K$22*(Calc!$G$3:$G$22&gt;B3113)*(Calc!$G$3:$G$22-B3113)*Calc!$I$3:$I$22)</f>
        <v/>
      </c>
      <c r="P3113">
        <f>I3113-G3113^2/k_n</f>
        <v/>
      </c>
      <c r="Q3113">
        <f>J3113-H3113^2/k_n</f>
        <v/>
      </c>
      <c r="R3113">
        <f>K3113-G3113*H3113/k_n</f>
        <v/>
      </c>
      <c r="S3113">
        <f>L3113-LTP3!$D$3*G3113/k_n</f>
        <v/>
      </c>
      <c r="T3113">
        <f>M3113-LTP3!$D$3*H3113/k_n</f>
        <v/>
      </c>
      <c r="U3113">
        <f>N3113-G3113*LTP3!$D$4/k_n</f>
        <v/>
      </c>
      <c r="V3113">
        <f>O3113-H3113*LTP3!$D$4/k_n</f>
        <v/>
      </c>
      <c r="W3113">
        <f>((LTP3!$D$5)*((P3113)*(Q3113)-(R3113)*(R3113))-(S3113)*((S3113)*(Q3113)-(R3113)*(T3113))+(T3113)*((S3113)*(R3113)-(P3113)*(T3113)))</f>
        <v/>
      </c>
      <c r="X3113">
        <f>IF(ABS(W3113)&gt;1E-12,((LTP3!$D$6)*((P3113)*(Q3113)-(R3113)*(R3113))-(S3113)*((U3113)*(Q3113)-(R3113)*(V3113))+(T3113)*((U3113)*(R3113)-(P3113)*(V3113)))/W3113,0)</f>
        <v/>
      </c>
      <c r="Y3113">
        <f>IF(ABS(W3113)&gt;1E-12,((LTP3!$D$5)*((U3113)*(Q3113)-(R3113)*(V3113))-(LTP3!$D$6)*((S3113)*(Q3113)-(R3113)*(T3113))+(T3113)*((S3113)*(V3113)-(U3113)*(T3113)))/W3113,0)</f>
        <v/>
      </c>
      <c r="Z3113">
        <f>IF(ABS(W3113)&gt;1E-12,((LTP3!$D$5)*((P3113)*(V3113)-(U3113)*(R3113))-(S3113)*((S3113)*(V3113)-(U3113)*(T3113))+(LTP3!$D$6)*((S3113)*(R3113)-(P3113)*(T3113)))/W3113,0)</f>
        <v/>
      </c>
      <c r="AA3113">
        <f>LTP3!$D$7-X3113*LTP3!$D$6-Y3113*U3113-Z3113*V3113</f>
        <v/>
      </c>
      <c r="AB3113">
        <f>IF(AND(F3113,ABS(W3113)&gt;1E-12,Y3113&gt;0,Z3113&gt;0),AA3113,1E+300)</f>
        <v/>
      </c>
    </row>
    <row r="3114">
      <c r="A3114">
        <f>$B$3+$B$5*50</f>
        <v/>
      </c>
      <c r="B3114">
        <f>$B$3+$B$5*52</f>
        <v/>
      </c>
      <c r="C3114">
        <f>SUMPRODUCT(Calc!$K$3:$K$22*(Calc!$G$3:$G$22&lt;=A3114))</f>
        <v/>
      </c>
      <c r="D3114">
        <f>SUMPRODUCT(Calc!$K$3:$K$22*(Calc!$G$3:$G$22&gt;A3114)*(Calc!$G$3:$G$22&lt;B3114))</f>
        <v/>
      </c>
      <c r="E3114">
        <f>SUMPRODUCT(Calc!$K$3:$K$22*(Calc!$G$3:$G$22&gt;=B3114))</f>
        <v/>
      </c>
      <c r="F3114">
        <f>AND(k_n&gt;=5,B3114&gt;A3114+1E-9,C3114&gt;=2,D3114&gt;=1,E3114&gt;=2)</f>
        <v/>
      </c>
      <c r="G3114">
        <f>SUMPRODUCT(Calc!$K$3:$K$22*(Calc!$G$3:$G$22&gt;A3114)*(Calc!$G$3:$G$22-A3114))</f>
        <v/>
      </c>
      <c r="H3114">
        <f>SUMPRODUCT(Calc!$K$3:$K$22*(Calc!$G$3:$G$22&gt;B3114)*(Calc!$G$3:$G$22-B3114))</f>
        <v/>
      </c>
      <c r="I3114">
        <f>SUMPRODUCT(Calc!$K$3:$K$22*(Calc!$G$3:$G$22&gt;A3114)*(Calc!$G$3:$G$22-A3114)^2)</f>
        <v/>
      </c>
      <c r="J3114">
        <f>SUMPRODUCT(Calc!$K$3:$K$22*(Calc!$G$3:$G$22&gt;B3114)*(Calc!$G$3:$G$22-B3114)^2)</f>
        <v/>
      </c>
      <c r="K3114">
        <f>SUMPRODUCT(Calc!$K$3:$K$22*(Calc!$G$3:$G$22&gt;A3114)*(Calc!$G$3:$G$22-A3114)*(Calc!$G$3:$G$22&gt;B3114)*(Calc!$G$3:$G$22-B3114))</f>
        <v/>
      </c>
      <c r="L3114">
        <f>SUMPRODUCT(Calc!$K$3:$K$22*(Calc!$G$3:$G$22&gt;A3114)*(Calc!$G$3:$G$22-A3114)*Calc!$G$3:$G$22)</f>
        <v/>
      </c>
      <c r="M3114">
        <f>SUMPRODUCT(Calc!$K$3:$K$22*(Calc!$G$3:$G$22&gt;B3114)*(Calc!$G$3:$G$22-B3114)*Calc!$G$3:$G$22)</f>
        <v/>
      </c>
      <c r="N3114">
        <f>SUMPRODUCT(Calc!$K$3:$K$22*(Calc!$G$3:$G$22&gt;A3114)*(Calc!$G$3:$G$22-A3114)*Calc!$I$3:$I$22)</f>
        <v/>
      </c>
      <c r="O3114">
        <f>SUMPRODUCT(Calc!$K$3:$K$22*(Calc!$G$3:$G$22&gt;B3114)*(Calc!$G$3:$G$22-B3114)*Calc!$I$3:$I$22)</f>
        <v/>
      </c>
      <c r="P3114">
        <f>I3114-G3114^2/k_n</f>
        <v/>
      </c>
      <c r="Q3114">
        <f>J3114-H3114^2/k_n</f>
        <v/>
      </c>
      <c r="R3114">
        <f>K3114-G3114*H3114/k_n</f>
        <v/>
      </c>
      <c r="S3114">
        <f>L3114-LTP3!$D$3*G3114/k_n</f>
        <v/>
      </c>
      <c r="T3114">
        <f>M3114-LTP3!$D$3*H3114/k_n</f>
        <v/>
      </c>
      <c r="U3114">
        <f>N3114-G3114*LTP3!$D$4/k_n</f>
        <v/>
      </c>
      <c r="V3114">
        <f>O3114-H3114*LTP3!$D$4/k_n</f>
        <v/>
      </c>
      <c r="W3114">
        <f>((LTP3!$D$5)*((P3114)*(Q3114)-(R3114)*(R3114))-(S3114)*((S3114)*(Q3114)-(R3114)*(T3114))+(T3114)*((S3114)*(R3114)-(P3114)*(T3114)))</f>
        <v/>
      </c>
      <c r="X3114">
        <f>IF(ABS(W3114)&gt;1E-12,((LTP3!$D$6)*((P3114)*(Q3114)-(R3114)*(R3114))-(S3114)*((U3114)*(Q3114)-(R3114)*(V3114))+(T3114)*((U3114)*(R3114)-(P3114)*(V3114)))/W3114,0)</f>
        <v/>
      </c>
      <c r="Y3114">
        <f>IF(ABS(W3114)&gt;1E-12,((LTP3!$D$5)*((U3114)*(Q3114)-(R3114)*(V3114))-(LTP3!$D$6)*((S3114)*(Q3114)-(R3114)*(T3114))+(T3114)*((S3114)*(V3114)-(U3114)*(T3114)))/W3114,0)</f>
        <v/>
      </c>
      <c r="Z3114">
        <f>IF(ABS(W3114)&gt;1E-12,((LTP3!$D$5)*((P3114)*(V3114)-(U3114)*(R3114))-(S3114)*((S3114)*(V3114)-(U3114)*(T3114))+(LTP3!$D$6)*((S3114)*(R3114)-(P3114)*(T3114)))/W3114,0)</f>
        <v/>
      </c>
      <c r="AA3114">
        <f>LTP3!$D$7-X3114*LTP3!$D$6-Y3114*U3114-Z3114*V3114</f>
        <v/>
      </c>
      <c r="AB3114">
        <f>IF(AND(F3114,ABS(W3114)&gt;1E-12,Y3114&gt;0,Z3114&gt;0),AA3114,1E+300)</f>
        <v/>
      </c>
    </row>
    <row r="3115">
      <c r="A3115">
        <f>$B$3+$B$5*50</f>
        <v/>
      </c>
      <c r="B3115">
        <f>$B$3+$B$5*53</f>
        <v/>
      </c>
      <c r="C3115">
        <f>SUMPRODUCT(Calc!$K$3:$K$22*(Calc!$G$3:$G$22&lt;=A3115))</f>
        <v/>
      </c>
      <c r="D3115">
        <f>SUMPRODUCT(Calc!$K$3:$K$22*(Calc!$G$3:$G$22&gt;A3115)*(Calc!$G$3:$G$22&lt;B3115))</f>
        <v/>
      </c>
      <c r="E3115">
        <f>SUMPRODUCT(Calc!$K$3:$K$22*(Calc!$G$3:$G$22&gt;=B3115))</f>
        <v/>
      </c>
      <c r="F3115">
        <f>AND(k_n&gt;=5,B3115&gt;A3115+1E-9,C3115&gt;=2,D3115&gt;=1,E3115&gt;=2)</f>
        <v/>
      </c>
      <c r="G3115">
        <f>SUMPRODUCT(Calc!$K$3:$K$22*(Calc!$G$3:$G$22&gt;A3115)*(Calc!$G$3:$G$22-A3115))</f>
        <v/>
      </c>
      <c r="H3115">
        <f>SUMPRODUCT(Calc!$K$3:$K$22*(Calc!$G$3:$G$22&gt;B3115)*(Calc!$G$3:$G$22-B3115))</f>
        <v/>
      </c>
      <c r="I3115">
        <f>SUMPRODUCT(Calc!$K$3:$K$22*(Calc!$G$3:$G$22&gt;A3115)*(Calc!$G$3:$G$22-A3115)^2)</f>
        <v/>
      </c>
      <c r="J3115">
        <f>SUMPRODUCT(Calc!$K$3:$K$22*(Calc!$G$3:$G$22&gt;B3115)*(Calc!$G$3:$G$22-B3115)^2)</f>
        <v/>
      </c>
      <c r="K3115">
        <f>SUMPRODUCT(Calc!$K$3:$K$22*(Calc!$G$3:$G$22&gt;A3115)*(Calc!$G$3:$G$22-A3115)*(Calc!$G$3:$G$22&gt;B3115)*(Calc!$G$3:$G$22-B3115))</f>
        <v/>
      </c>
      <c r="L3115">
        <f>SUMPRODUCT(Calc!$K$3:$K$22*(Calc!$G$3:$G$22&gt;A3115)*(Calc!$G$3:$G$22-A3115)*Calc!$G$3:$G$22)</f>
        <v/>
      </c>
      <c r="M3115">
        <f>SUMPRODUCT(Calc!$K$3:$K$22*(Calc!$G$3:$G$22&gt;B3115)*(Calc!$G$3:$G$22-B3115)*Calc!$G$3:$G$22)</f>
        <v/>
      </c>
      <c r="N3115">
        <f>SUMPRODUCT(Calc!$K$3:$K$22*(Calc!$G$3:$G$22&gt;A3115)*(Calc!$G$3:$G$22-A3115)*Calc!$I$3:$I$22)</f>
        <v/>
      </c>
      <c r="O3115">
        <f>SUMPRODUCT(Calc!$K$3:$K$22*(Calc!$G$3:$G$22&gt;B3115)*(Calc!$G$3:$G$22-B3115)*Calc!$I$3:$I$22)</f>
        <v/>
      </c>
      <c r="P3115">
        <f>I3115-G3115^2/k_n</f>
        <v/>
      </c>
      <c r="Q3115">
        <f>J3115-H3115^2/k_n</f>
        <v/>
      </c>
      <c r="R3115">
        <f>K3115-G3115*H3115/k_n</f>
        <v/>
      </c>
      <c r="S3115">
        <f>L3115-LTP3!$D$3*G3115/k_n</f>
        <v/>
      </c>
      <c r="T3115">
        <f>M3115-LTP3!$D$3*H3115/k_n</f>
        <v/>
      </c>
      <c r="U3115">
        <f>N3115-G3115*LTP3!$D$4/k_n</f>
        <v/>
      </c>
      <c r="V3115">
        <f>O3115-H3115*LTP3!$D$4/k_n</f>
        <v/>
      </c>
      <c r="W3115">
        <f>((LTP3!$D$5)*((P3115)*(Q3115)-(R3115)*(R3115))-(S3115)*((S3115)*(Q3115)-(R3115)*(T3115))+(T3115)*((S3115)*(R3115)-(P3115)*(T3115)))</f>
        <v/>
      </c>
      <c r="X3115">
        <f>IF(ABS(W3115)&gt;1E-12,((LTP3!$D$6)*((P3115)*(Q3115)-(R3115)*(R3115))-(S3115)*((U3115)*(Q3115)-(R3115)*(V3115))+(T3115)*((U3115)*(R3115)-(P3115)*(V3115)))/W3115,0)</f>
        <v/>
      </c>
      <c r="Y3115">
        <f>IF(ABS(W3115)&gt;1E-12,((LTP3!$D$5)*((U3115)*(Q3115)-(R3115)*(V3115))-(LTP3!$D$6)*((S3115)*(Q3115)-(R3115)*(T3115))+(T3115)*((S3115)*(V3115)-(U3115)*(T3115)))/W3115,0)</f>
        <v/>
      </c>
      <c r="Z3115">
        <f>IF(ABS(W3115)&gt;1E-12,((LTP3!$D$5)*((P3115)*(V3115)-(U3115)*(R3115))-(S3115)*((S3115)*(V3115)-(U3115)*(T3115))+(LTP3!$D$6)*((S3115)*(R3115)-(P3115)*(T3115)))/W3115,0)</f>
        <v/>
      </c>
      <c r="AA3115">
        <f>LTP3!$D$7-X3115*LTP3!$D$6-Y3115*U3115-Z3115*V3115</f>
        <v/>
      </c>
      <c r="AB3115">
        <f>IF(AND(F3115,ABS(W3115)&gt;1E-12,Y3115&gt;0,Z3115&gt;0),AA3115,1E+300)</f>
        <v/>
      </c>
    </row>
    <row r="3116">
      <c r="A3116">
        <f>$B$3+$B$5*50</f>
        <v/>
      </c>
      <c r="B3116">
        <f>$B$3+$B$5*54</f>
        <v/>
      </c>
      <c r="C3116">
        <f>SUMPRODUCT(Calc!$K$3:$K$22*(Calc!$G$3:$G$22&lt;=A3116))</f>
        <v/>
      </c>
      <c r="D3116">
        <f>SUMPRODUCT(Calc!$K$3:$K$22*(Calc!$G$3:$G$22&gt;A3116)*(Calc!$G$3:$G$22&lt;B3116))</f>
        <v/>
      </c>
      <c r="E3116">
        <f>SUMPRODUCT(Calc!$K$3:$K$22*(Calc!$G$3:$G$22&gt;=B3116))</f>
        <v/>
      </c>
      <c r="F3116">
        <f>AND(k_n&gt;=5,B3116&gt;A3116+1E-9,C3116&gt;=2,D3116&gt;=1,E3116&gt;=2)</f>
        <v/>
      </c>
      <c r="G3116">
        <f>SUMPRODUCT(Calc!$K$3:$K$22*(Calc!$G$3:$G$22&gt;A3116)*(Calc!$G$3:$G$22-A3116))</f>
        <v/>
      </c>
      <c r="H3116">
        <f>SUMPRODUCT(Calc!$K$3:$K$22*(Calc!$G$3:$G$22&gt;B3116)*(Calc!$G$3:$G$22-B3116))</f>
        <v/>
      </c>
      <c r="I3116">
        <f>SUMPRODUCT(Calc!$K$3:$K$22*(Calc!$G$3:$G$22&gt;A3116)*(Calc!$G$3:$G$22-A3116)^2)</f>
        <v/>
      </c>
      <c r="J3116">
        <f>SUMPRODUCT(Calc!$K$3:$K$22*(Calc!$G$3:$G$22&gt;B3116)*(Calc!$G$3:$G$22-B3116)^2)</f>
        <v/>
      </c>
      <c r="K3116">
        <f>SUMPRODUCT(Calc!$K$3:$K$22*(Calc!$G$3:$G$22&gt;A3116)*(Calc!$G$3:$G$22-A3116)*(Calc!$G$3:$G$22&gt;B3116)*(Calc!$G$3:$G$22-B3116))</f>
        <v/>
      </c>
      <c r="L3116">
        <f>SUMPRODUCT(Calc!$K$3:$K$22*(Calc!$G$3:$G$22&gt;A3116)*(Calc!$G$3:$G$22-A3116)*Calc!$G$3:$G$22)</f>
        <v/>
      </c>
      <c r="M3116">
        <f>SUMPRODUCT(Calc!$K$3:$K$22*(Calc!$G$3:$G$22&gt;B3116)*(Calc!$G$3:$G$22-B3116)*Calc!$G$3:$G$22)</f>
        <v/>
      </c>
      <c r="N3116">
        <f>SUMPRODUCT(Calc!$K$3:$K$22*(Calc!$G$3:$G$22&gt;A3116)*(Calc!$G$3:$G$22-A3116)*Calc!$I$3:$I$22)</f>
        <v/>
      </c>
      <c r="O3116">
        <f>SUMPRODUCT(Calc!$K$3:$K$22*(Calc!$G$3:$G$22&gt;B3116)*(Calc!$G$3:$G$22-B3116)*Calc!$I$3:$I$22)</f>
        <v/>
      </c>
      <c r="P3116">
        <f>I3116-G3116^2/k_n</f>
        <v/>
      </c>
      <c r="Q3116">
        <f>J3116-H3116^2/k_n</f>
        <v/>
      </c>
      <c r="R3116">
        <f>K3116-G3116*H3116/k_n</f>
        <v/>
      </c>
      <c r="S3116">
        <f>L3116-LTP3!$D$3*G3116/k_n</f>
        <v/>
      </c>
      <c r="T3116">
        <f>M3116-LTP3!$D$3*H3116/k_n</f>
        <v/>
      </c>
      <c r="U3116">
        <f>N3116-G3116*LTP3!$D$4/k_n</f>
        <v/>
      </c>
      <c r="V3116">
        <f>O3116-H3116*LTP3!$D$4/k_n</f>
        <v/>
      </c>
      <c r="W3116">
        <f>((LTP3!$D$5)*((P3116)*(Q3116)-(R3116)*(R3116))-(S3116)*((S3116)*(Q3116)-(R3116)*(T3116))+(T3116)*((S3116)*(R3116)-(P3116)*(T3116)))</f>
        <v/>
      </c>
      <c r="X3116">
        <f>IF(ABS(W3116)&gt;1E-12,((LTP3!$D$6)*((P3116)*(Q3116)-(R3116)*(R3116))-(S3116)*((U3116)*(Q3116)-(R3116)*(V3116))+(T3116)*((U3116)*(R3116)-(P3116)*(V3116)))/W3116,0)</f>
        <v/>
      </c>
      <c r="Y3116">
        <f>IF(ABS(W3116)&gt;1E-12,((LTP3!$D$5)*((U3116)*(Q3116)-(R3116)*(V3116))-(LTP3!$D$6)*((S3116)*(Q3116)-(R3116)*(T3116))+(T3116)*((S3116)*(V3116)-(U3116)*(T3116)))/W3116,0)</f>
        <v/>
      </c>
      <c r="Z3116">
        <f>IF(ABS(W3116)&gt;1E-12,((LTP3!$D$5)*((P3116)*(V3116)-(U3116)*(R3116))-(S3116)*((S3116)*(V3116)-(U3116)*(T3116))+(LTP3!$D$6)*((S3116)*(R3116)-(P3116)*(T3116)))/W3116,0)</f>
        <v/>
      </c>
      <c r="AA3116">
        <f>LTP3!$D$7-X3116*LTP3!$D$6-Y3116*U3116-Z3116*V3116</f>
        <v/>
      </c>
      <c r="AB3116">
        <f>IF(AND(F3116,ABS(W3116)&gt;1E-12,Y3116&gt;0,Z3116&gt;0),AA3116,1E+300)</f>
        <v/>
      </c>
    </row>
    <row r="3117">
      <c r="A3117">
        <f>$B$3+$B$5*50</f>
        <v/>
      </c>
      <c r="B3117">
        <f>$B$3+$B$5*55</f>
        <v/>
      </c>
      <c r="C3117">
        <f>SUMPRODUCT(Calc!$K$3:$K$22*(Calc!$G$3:$G$22&lt;=A3117))</f>
        <v/>
      </c>
      <c r="D3117">
        <f>SUMPRODUCT(Calc!$K$3:$K$22*(Calc!$G$3:$G$22&gt;A3117)*(Calc!$G$3:$G$22&lt;B3117))</f>
        <v/>
      </c>
      <c r="E3117">
        <f>SUMPRODUCT(Calc!$K$3:$K$22*(Calc!$G$3:$G$22&gt;=B3117))</f>
        <v/>
      </c>
      <c r="F3117">
        <f>AND(k_n&gt;=5,B3117&gt;A3117+1E-9,C3117&gt;=2,D3117&gt;=1,E3117&gt;=2)</f>
        <v/>
      </c>
      <c r="G3117">
        <f>SUMPRODUCT(Calc!$K$3:$K$22*(Calc!$G$3:$G$22&gt;A3117)*(Calc!$G$3:$G$22-A3117))</f>
        <v/>
      </c>
      <c r="H3117">
        <f>SUMPRODUCT(Calc!$K$3:$K$22*(Calc!$G$3:$G$22&gt;B3117)*(Calc!$G$3:$G$22-B3117))</f>
        <v/>
      </c>
      <c r="I3117">
        <f>SUMPRODUCT(Calc!$K$3:$K$22*(Calc!$G$3:$G$22&gt;A3117)*(Calc!$G$3:$G$22-A3117)^2)</f>
        <v/>
      </c>
      <c r="J3117">
        <f>SUMPRODUCT(Calc!$K$3:$K$22*(Calc!$G$3:$G$22&gt;B3117)*(Calc!$G$3:$G$22-B3117)^2)</f>
        <v/>
      </c>
      <c r="K3117">
        <f>SUMPRODUCT(Calc!$K$3:$K$22*(Calc!$G$3:$G$22&gt;A3117)*(Calc!$G$3:$G$22-A3117)*(Calc!$G$3:$G$22&gt;B3117)*(Calc!$G$3:$G$22-B3117))</f>
        <v/>
      </c>
      <c r="L3117">
        <f>SUMPRODUCT(Calc!$K$3:$K$22*(Calc!$G$3:$G$22&gt;A3117)*(Calc!$G$3:$G$22-A3117)*Calc!$G$3:$G$22)</f>
        <v/>
      </c>
      <c r="M3117">
        <f>SUMPRODUCT(Calc!$K$3:$K$22*(Calc!$G$3:$G$22&gt;B3117)*(Calc!$G$3:$G$22-B3117)*Calc!$G$3:$G$22)</f>
        <v/>
      </c>
      <c r="N3117">
        <f>SUMPRODUCT(Calc!$K$3:$K$22*(Calc!$G$3:$G$22&gt;A3117)*(Calc!$G$3:$G$22-A3117)*Calc!$I$3:$I$22)</f>
        <v/>
      </c>
      <c r="O3117">
        <f>SUMPRODUCT(Calc!$K$3:$K$22*(Calc!$G$3:$G$22&gt;B3117)*(Calc!$G$3:$G$22-B3117)*Calc!$I$3:$I$22)</f>
        <v/>
      </c>
      <c r="P3117">
        <f>I3117-G3117^2/k_n</f>
        <v/>
      </c>
      <c r="Q3117">
        <f>J3117-H3117^2/k_n</f>
        <v/>
      </c>
      <c r="R3117">
        <f>K3117-G3117*H3117/k_n</f>
        <v/>
      </c>
      <c r="S3117">
        <f>L3117-LTP3!$D$3*G3117/k_n</f>
        <v/>
      </c>
      <c r="T3117">
        <f>M3117-LTP3!$D$3*H3117/k_n</f>
        <v/>
      </c>
      <c r="U3117">
        <f>N3117-G3117*LTP3!$D$4/k_n</f>
        <v/>
      </c>
      <c r="V3117">
        <f>O3117-H3117*LTP3!$D$4/k_n</f>
        <v/>
      </c>
      <c r="W3117">
        <f>((LTP3!$D$5)*((P3117)*(Q3117)-(R3117)*(R3117))-(S3117)*((S3117)*(Q3117)-(R3117)*(T3117))+(T3117)*((S3117)*(R3117)-(P3117)*(T3117)))</f>
        <v/>
      </c>
      <c r="X3117">
        <f>IF(ABS(W3117)&gt;1E-12,((LTP3!$D$6)*((P3117)*(Q3117)-(R3117)*(R3117))-(S3117)*((U3117)*(Q3117)-(R3117)*(V3117))+(T3117)*((U3117)*(R3117)-(P3117)*(V3117)))/W3117,0)</f>
        <v/>
      </c>
      <c r="Y3117">
        <f>IF(ABS(W3117)&gt;1E-12,((LTP3!$D$5)*((U3117)*(Q3117)-(R3117)*(V3117))-(LTP3!$D$6)*((S3117)*(Q3117)-(R3117)*(T3117))+(T3117)*((S3117)*(V3117)-(U3117)*(T3117)))/W3117,0)</f>
        <v/>
      </c>
      <c r="Z3117">
        <f>IF(ABS(W3117)&gt;1E-12,((LTP3!$D$5)*((P3117)*(V3117)-(U3117)*(R3117))-(S3117)*((S3117)*(V3117)-(U3117)*(T3117))+(LTP3!$D$6)*((S3117)*(R3117)-(P3117)*(T3117)))/W3117,0)</f>
        <v/>
      </c>
      <c r="AA3117">
        <f>LTP3!$D$7-X3117*LTP3!$D$6-Y3117*U3117-Z3117*V3117</f>
        <v/>
      </c>
      <c r="AB3117">
        <f>IF(AND(F3117,ABS(W3117)&gt;1E-12,Y3117&gt;0,Z3117&gt;0),AA3117,1E+300)</f>
        <v/>
      </c>
    </row>
    <row r="3118">
      <c r="A3118">
        <f>$B$3+$B$5*50</f>
        <v/>
      </c>
      <c r="B3118">
        <f>$B$3+$B$5*56</f>
        <v/>
      </c>
      <c r="C3118">
        <f>SUMPRODUCT(Calc!$K$3:$K$22*(Calc!$G$3:$G$22&lt;=A3118))</f>
        <v/>
      </c>
      <c r="D3118">
        <f>SUMPRODUCT(Calc!$K$3:$K$22*(Calc!$G$3:$G$22&gt;A3118)*(Calc!$G$3:$G$22&lt;B3118))</f>
        <v/>
      </c>
      <c r="E3118">
        <f>SUMPRODUCT(Calc!$K$3:$K$22*(Calc!$G$3:$G$22&gt;=B3118))</f>
        <v/>
      </c>
      <c r="F3118">
        <f>AND(k_n&gt;=5,B3118&gt;A3118+1E-9,C3118&gt;=2,D3118&gt;=1,E3118&gt;=2)</f>
        <v/>
      </c>
      <c r="G3118">
        <f>SUMPRODUCT(Calc!$K$3:$K$22*(Calc!$G$3:$G$22&gt;A3118)*(Calc!$G$3:$G$22-A3118))</f>
        <v/>
      </c>
      <c r="H3118">
        <f>SUMPRODUCT(Calc!$K$3:$K$22*(Calc!$G$3:$G$22&gt;B3118)*(Calc!$G$3:$G$22-B3118))</f>
        <v/>
      </c>
      <c r="I3118">
        <f>SUMPRODUCT(Calc!$K$3:$K$22*(Calc!$G$3:$G$22&gt;A3118)*(Calc!$G$3:$G$22-A3118)^2)</f>
        <v/>
      </c>
      <c r="J3118">
        <f>SUMPRODUCT(Calc!$K$3:$K$22*(Calc!$G$3:$G$22&gt;B3118)*(Calc!$G$3:$G$22-B3118)^2)</f>
        <v/>
      </c>
      <c r="K3118">
        <f>SUMPRODUCT(Calc!$K$3:$K$22*(Calc!$G$3:$G$22&gt;A3118)*(Calc!$G$3:$G$22-A3118)*(Calc!$G$3:$G$22&gt;B3118)*(Calc!$G$3:$G$22-B3118))</f>
        <v/>
      </c>
      <c r="L3118">
        <f>SUMPRODUCT(Calc!$K$3:$K$22*(Calc!$G$3:$G$22&gt;A3118)*(Calc!$G$3:$G$22-A3118)*Calc!$G$3:$G$22)</f>
        <v/>
      </c>
      <c r="M3118">
        <f>SUMPRODUCT(Calc!$K$3:$K$22*(Calc!$G$3:$G$22&gt;B3118)*(Calc!$G$3:$G$22-B3118)*Calc!$G$3:$G$22)</f>
        <v/>
      </c>
      <c r="N3118">
        <f>SUMPRODUCT(Calc!$K$3:$K$22*(Calc!$G$3:$G$22&gt;A3118)*(Calc!$G$3:$G$22-A3118)*Calc!$I$3:$I$22)</f>
        <v/>
      </c>
      <c r="O3118">
        <f>SUMPRODUCT(Calc!$K$3:$K$22*(Calc!$G$3:$G$22&gt;B3118)*(Calc!$G$3:$G$22-B3118)*Calc!$I$3:$I$22)</f>
        <v/>
      </c>
      <c r="P3118">
        <f>I3118-G3118^2/k_n</f>
        <v/>
      </c>
      <c r="Q3118">
        <f>J3118-H3118^2/k_n</f>
        <v/>
      </c>
      <c r="R3118">
        <f>K3118-G3118*H3118/k_n</f>
        <v/>
      </c>
      <c r="S3118">
        <f>L3118-LTP3!$D$3*G3118/k_n</f>
        <v/>
      </c>
      <c r="T3118">
        <f>M3118-LTP3!$D$3*H3118/k_n</f>
        <v/>
      </c>
      <c r="U3118">
        <f>N3118-G3118*LTP3!$D$4/k_n</f>
        <v/>
      </c>
      <c r="V3118">
        <f>O3118-H3118*LTP3!$D$4/k_n</f>
        <v/>
      </c>
      <c r="W3118">
        <f>((LTP3!$D$5)*((P3118)*(Q3118)-(R3118)*(R3118))-(S3118)*((S3118)*(Q3118)-(R3118)*(T3118))+(T3118)*((S3118)*(R3118)-(P3118)*(T3118)))</f>
        <v/>
      </c>
      <c r="X3118">
        <f>IF(ABS(W3118)&gt;1E-12,((LTP3!$D$6)*((P3118)*(Q3118)-(R3118)*(R3118))-(S3118)*((U3118)*(Q3118)-(R3118)*(V3118))+(T3118)*((U3118)*(R3118)-(P3118)*(V3118)))/W3118,0)</f>
        <v/>
      </c>
      <c r="Y3118">
        <f>IF(ABS(W3118)&gt;1E-12,((LTP3!$D$5)*((U3118)*(Q3118)-(R3118)*(V3118))-(LTP3!$D$6)*((S3118)*(Q3118)-(R3118)*(T3118))+(T3118)*((S3118)*(V3118)-(U3118)*(T3118)))/W3118,0)</f>
        <v/>
      </c>
      <c r="Z3118">
        <f>IF(ABS(W3118)&gt;1E-12,((LTP3!$D$5)*((P3118)*(V3118)-(U3118)*(R3118))-(S3118)*((S3118)*(V3118)-(U3118)*(T3118))+(LTP3!$D$6)*((S3118)*(R3118)-(P3118)*(T3118)))/W3118,0)</f>
        <v/>
      </c>
      <c r="AA3118">
        <f>LTP3!$D$7-X3118*LTP3!$D$6-Y3118*U3118-Z3118*V3118</f>
        <v/>
      </c>
      <c r="AB3118">
        <f>IF(AND(F3118,ABS(W3118)&gt;1E-12,Y3118&gt;0,Z3118&gt;0),AA3118,1E+300)</f>
        <v/>
      </c>
    </row>
    <row r="3119">
      <c r="A3119">
        <f>$B$3+$B$5*50</f>
        <v/>
      </c>
      <c r="B3119">
        <f>$B$3+$B$5*57</f>
        <v/>
      </c>
      <c r="C3119">
        <f>SUMPRODUCT(Calc!$K$3:$K$22*(Calc!$G$3:$G$22&lt;=A3119))</f>
        <v/>
      </c>
      <c r="D3119">
        <f>SUMPRODUCT(Calc!$K$3:$K$22*(Calc!$G$3:$G$22&gt;A3119)*(Calc!$G$3:$G$22&lt;B3119))</f>
        <v/>
      </c>
      <c r="E3119">
        <f>SUMPRODUCT(Calc!$K$3:$K$22*(Calc!$G$3:$G$22&gt;=B3119))</f>
        <v/>
      </c>
      <c r="F3119">
        <f>AND(k_n&gt;=5,B3119&gt;A3119+1E-9,C3119&gt;=2,D3119&gt;=1,E3119&gt;=2)</f>
        <v/>
      </c>
      <c r="G3119">
        <f>SUMPRODUCT(Calc!$K$3:$K$22*(Calc!$G$3:$G$22&gt;A3119)*(Calc!$G$3:$G$22-A3119))</f>
        <v/>
      </c>
      <c r="H3119">
        <f>SUMPRODUCT(Calc!$K$3:$K$22*(Calc!$G$3:$G$22&gt;B3119)*(Calc!$G$3:$G$22-B3119))</f>
        <v/>
      </c>
      <c r="I3119">
        <f>SUMPRODUCT(Calc!$K$3:$K$22*(Calc!$G$3:$G$22&gt;A3119)*(Calc!$G$3:$G$22-A3119)^2)</f>
        <v/>
      </c>
      <c r="J3119">
        <f>SUMPRODUCT(Calc!$K$3:$K$22*(Calc!$G$3:$G$22&gt;B3119)*(Calc!$G$3:$G$22-B3119)^2)</f>
        <v/>
      </c>
      <c r="K3119">
        <f>SUMPRODUCT(Calc!$K$3:$K$22*(Calc!$G$3:$G$22&gt;A3119)*(Calc!$G$3:$G$22-A3119)*(Calc!$G$3:$G$22&gt;B3119)*(Calc!$G$3:$G$22-B3119))</f>
        <v/>
      </c>
      <c r="L3119">
        <f>SUMPRODUCT(Calc!$K$3:$K$22*(Calc!$G$3:$G$22&gt;A3119)*(Calc!$G$3:$G$22-A3119)*Calc!$G$3:$G$22)</f>
        <v/>
      </c>
      <c r="M3119">
        <f>SUMPRODUCT(Calc!$K$3:$K$22*(Calc!$G$3:$G$22&gt;B3119)*(Calc!$G$3:$G$22-B3119)*Calc!$G$3:$G$22)</f>
        <v/>
      </c>
      <c r="N3119">
        <f>SUMPRODUCT(Calc!$K$3:$K$22*(Calc!$G$3:$G$22&gt;A3119)*(Calc!$G$3:$G$22-A3119)*Calc!$I$3:$I$22)</f>
        <v/>
      </c>
      <c r="O3119">
        <f>SUMPRODUCT(Calc!$K$3:$K$22*(Calc!$G$3:$G$22&gt;B3119)*(Calc!$G$3:$G$22-B3119)*Calc!$I$3:$I$22)</f>
        <v/>
      </c>
      <c r="P3119">
        <f>I3119-G3119^2/k_n</f>
        <v/>
      </c>
      <c r="Q3119">
        <f>J3119-H3119^2/k_n</f>
        <v/>
      </c>
      <c r="R3119">
        <f>K3119-G3119*H3119/k_n</f>
        <v/>
      </c>
      <c r="S3119">
        <f>L3119-LTP3!$D$3*G3119/k_n</f>
        <v/>
      </c>
      <c r="T3119">
        <f>M3119-LTP3!$D$3*H3119/k_n</f>
        <v/>
      </c>
      <c r="U3119">
        <f>N3119-G3119*LTP3!$D$4/k_n</f>
        <v/>
      </c>
      <c r="V3119">
        <f>O3119-H3119*LTP3!$D$4/k_n</f>
        <v/>
      </c>
      <c r="W3119">
        <f>((LTP3!$D$5)*((P3119)*(Q3119)-(R3119)*(R3119))-(S3119)*((S3119)*(Q3119)-(R3119)*(T3119))+(T3119)*((S3119)*(R3119)-(P3119)*(T3119)))</f>
        <v/>
      </c>
      <c r="X3119">
        <f>IF(ABS(W3119)&gt;1E-12,((LTP3!$D$6)*((P3119)*(Q3119)-(R3119)*(R3119))-(S3119)*((U3119)*(Q3119)-(R3119)*(V3119))+(T3119)*((U3119)*(R3119)-(P3119)*(V3119)))/W3119,0)</f>
        <v/>
      </c>
      <c r="Y3119">
        <f>IF(ABS(W3119)&gt;1E-12,((LTP3!$D$5)*((U3119)*(Q3119)-(R3119)*(V3119))-(LTP3!$D$6)*((S3119)*(Q3119)-(R3119)*(T3119))+(T3119)*((S3119)*(V3119)-(U3119)*(T3119)))/W3119,0)</f>
        <v/>
      </c>
      <c r="Z3119">
        <f>IF(ABS(W3119)&gt;1E-12,((LTP3!$D$5)*((P3119)*(V3119)-(U3119)*(R3119))-(S3119)*((S3119)*(V3119)-(U3119)*(T3119))+(LTP3!$D$6)*((S3119)*(R3119)-(P3119)*(T3119)))/W3119,0)</f>
        <v/>
      </c>
      <c r="AA3119">
        <f>LTP3!$D$7-X3119*LTP3!$D$6-Y3119*U3119-Z3119*V3119</f>
        <v/>
      </c>
      <c r="AB3119">
        <f>IF(AND(F3119,ABS(W3119)&gt;1E-12,Y3119&gt;0,Z3119&gt;0),AA3119,1E+300)</f>
        <v/>
      </c>
    </row>
    <row r="3120">
      <c r="A3120">
        <f>$B$3+$B$5*50</f>
        <v/>
      </c>
      <c r="B3120">
        <f>$B$3+$B$5*58</f>
        <v/>
      </c>
      <c r="C3120">
        <f>SUMPRODUCT(Calc!$K$3:$K$22*(Calc!$G$3:$G$22&lt;=A3120))</f>
        <v/>
      </c>
      <c r="D3120">
        <f>SUMPRODUCT(Calc!$K$3:$K$22*(Calc!$G$3:$G$22&gt;A3120)*(Calc!$G$3:$G$22&lt;B3120))</f>
        <v/>
      </c>
      <c r="E3120">
        <f>SUMPRODUCT(Calc!$K$3:$K$22*(Calc!$G$3:$G$22&gt;=B3120))</f>
        <v/>
      </c>
      <c r="F3120">
        <f>AND(k_n&gt;=5,B3120&gt;A3120+1E-9,C3120&gt;=2,D3120&gt;=1,E3120&gt;=2)</f>
        <v/>
      </c>
      <c r="G3120">
        <f>SUMPRODUCT(Calc!$K$3:$K$22*(Calc!$G$3:$G$22&gt;A3120)*(Calc!$G$3:$G$22-A3120))</f>
        <v/>
      </c>
      <c r="H3120">
        <f>SUMPRODUCT(Calc!$K$3:$K$22*(Calc!$G$3:$G$22&gt;B3120)*(Calc!$G$3:$G$22-B3120))</f>
        <v/>
      </c>
      <c r="I3120">
        <f>SUMPRODUCT(Calc!$K$3:$K$22*(Calc!$G$3:$G$22&gt;A3120)*(Calc!$G$3:$G$22-A3120)^2)</f>
        <v/>
      </c>
      <c r="J3120">
        <f>SUMPRODUCT(Calc!$K$3:$K$22*(Calc!$G$3:$G$22&gt;B3120)*(Calc!$G$3:$G$22-B3120)^2)</f>
        <v/>
      </c>
      <c r="K3120">
        <f>SUMPRODUCT(Calc!$K$3:$K$22*(Calc!$G$3:$G$22&gt;A3120)*(Calc!$G$3:$G$22-A3120)*(Calc!$G$3:$G$22&gt;B3120)*(Calc!$G$3:$G$22-B3120))</f>
        <v/>
      </c>
      <c r="L3120">
        <f>SUMPRODUCT(Calc!$K$3:$K$22*(Calc!$G$3:$G$22&gt;A3120)*(Calc!$G$3:$G$22-A3120)*Calc!$G$3:$G$22)</f>
        <v/>
      </c>
      <c r="M3120">
        <f>SUMPRODUCT(Calc!$K$3:$K$22*(Calc!$G$3:$G$22&gt;B3120)*(Calc!$G$3:$G$22-B3120)*Calc!$G$3:$G$22)</f>
        <v/>
      </c>
      <c r="N3120">
        <f>SUMPRODUCT(Calc!$K$3:$K$22*(Calc!$G$3:$G$22&gt;A3120)*(Calc!$G$3:$G$22-A3120)*Calc!$I$3:$I$22)</f>
        <v/>
      </c>
      <c r="O3120">
        <f>SUMPRODUCT(Calc!$K$3:$K$22*(Calc!$G$3:$G$22&gt;B3120)*(Calc!$G$3:$G$22-B3120)*Calc!$I$3:$I$22)</f>
        <v/>
      </c>
      <c r="P3120">
        <f>I3120-G3120^2/k_n</f>
        <v/>
      </c>
      <c r="Q3120">
        <f>J3120-H3120^2/k_n</f>
        <v/>
      </c>
      <c r="R3120">
        <f>K3120-G3120*H3120/k_n</f>
        <v/>
      </c>
      <c r="S3120">
        <f>L3120-LTP3!$D$3*G3120/k_n</f>
        <v/>
      </c>
      <c r="T3120">
        <f>M3120-LTP3!$D$3*H3120/k_n</f>
        <v/>
      </c>
      <c r="U3120">
        <f>N3120-G3120*LTP3!$D$4/k_n</f>
        <v/>
      </c>
      <c r="V3120">
        <f>O3120-H3120*LTP3!$D$4/k_n</f>
        <v/>
      </c>
      <c r="W3120">
        <f>((LTP3!$D$5)*((P3120)*(Q3120)-(R3120)*(R3120))-(S3120)*((S3120)*(Q3120)-(R3120)*(T3120))+(T3120)*((S3120)*(R3120)-(P3120)*(T3120)))</f>
        <v/>
      </c>
      <c r="X3120">
        <f>IF(ABS(W3120)&gt;1E-12,((LTP3!$D$6)*((P3120)*(Q3120)-(R3120)*(R3120))-(S3120)*((U3120)*(Q3120)-(R3120)*(V3120))+(T3120)*((U3120)*(R3120)-(P3120)*(V3120)))/W3120,0)</f>
        <v/>
      </c>
      <c r="Y3120">
        <f>IF(ABS(W3120)&gt;1E-12,((LTP3!$D$5)*((U3120)*(Q3120)-(R3120)*(V3120))-(LTP3!$D$6)*((S3120)*(Q3120)-(R3120)*(T3120))+(T3120)*((S3120)*(V3120)-(U3120)*(T3120)))/W3120,0)</f>
        <v/>
      </c>
      <c r="Z3120">
        <f>IF(ABS(W3120)&gt;1E-12,((LTP3!$D$5)*((P3120)*(V3120)-(U3120)*(R3120))-(S3120)*((S3120)*(V3120)-(U3120)*(T3120))+(LTP3!$D$6)*((S3120)*(R3120)-(P3120)*(T3120)))/W3120,0)</f>
        <v/>
      </c>
      <c r="AA3120">
        <f>LTP3!$D$7-X3120*LTP3!$D$6-Y3120*U3120-Z3120*V3120</f>
        <v/>
      </c>
      <c r="AB3120">
        <f>IF(AND(F3120,ABS(W3120)&gt;1E-12,Y3120&gt;0,Z3120&gt;0),AA3120,1E+300)</f>
        <v/>
      </c>
    </row>
    <row r="3121">
      <c r="A3121">
        <f>$B$3+$B$5*50</f>
        <v/>
      </c>
      <c r="B3121">
        <f>$B$3+$B$5*59</f>
        <v/>
      </c>
      <c r="C3121">
        <f>SUMPRODUCT(Calc!$K$3:$K$22*(Calc!$G$3:$G$22&lt;=A3121))</f>
        <v/>
      </c>
      <c r="D3121">
        <f>SUMPRODUCT(Calc!$K$3:$K$22*(Calc!$G$3:$G$22&gt;A3121)*(Calc!$G$3:$G$22&lt;B3121))</f>
        <v/>
      </c>
      <c r="E3121">
        <f>SUMPRODUCT(Calc!$K$3:$K$22*(Calc!$G$3:$G$22&gt;=B3121))</f>
        <v/>
      </c>
      <c r="F3121">
        <f>AND(k_n&gt;=5,B3121&gt;A3121+1E-9,C3121&gt;=2,D3121&gt;=1,E3121&gt;=2)</f>
        <v/>
      </c>
      <c r="G3121">
        <f>SUMPRODUCT(Calc!$K$3:$K$22*(Calc!$G$3:$G$22&gt;A3121)*(Calc!$G$3:$G$22-A3121))</f>
        <v/>
      </c>
      <c r="H3121">
        <f>SUMPRODUCT(Calc!$K$3:$K$22*(Calc!$G$3:$G$22&gt;B3121)*(Calc!$G$3:$G$22-B3121))</f>
        <v/>
      </c>
      <c r="I3121">
        <f>SUMPRODUCT(Calc!$K$3:$K$22*(Calc!$G$3:$G$22&gt;A3121)*(Calc!$G$3:$G$22-A3121)^2)</f>
        <v/>
      </c>
      <c r="J3121">
        <f>SUMPRODUCT(Calc!$K$3:$K$22*(Calc!$G$3:$G$22&gt;B3121)*(Calc!$G$3:$G$22-B3121)^2)</f>
        <v/>
      </c>
      <c r="K3121">
        <f>SUMPRODUCT(Calc!$K$3:$K$22*(Calc!$G$3:$G$22&gt;A3121)*(Calc!$G$3:$G$22-A3121)*(Calc!$G$3:$G$22&gt;B3121)*(Calc!$G$3:$G$22-B3121))</f>
        <v/>
      </c>
      <c r="L3121">
        <f>SUMPRODUCT(Calc!$K$3:$K$22*(Calc!$G$3:$G$22&gt;A3121)*(Calc!$G$3:$G$22-A3121)*Calc!$G$3:$G$22)</f>
        <v/>
      </c>
      <c r="M3121">
        <f>SUMPRODUCT(Calc!$K$3:$K$22*(Calc!$G$3:$G$22&gt;B3121)*(Calc!$G$3:$G$22-B3121)*Calc!$G$3:$G$22)</f>
        <v/>
      </c>
      <c r="N3121">
        <f>SUMPRODUCT(Calc!$K$3:$K$22*(Calc!$G$3:$G$22&gt;A3121)*(Calc!$G$3:$G$22-A3121)*Calc!$I$3:$I$22)</f>
        <v/>
      </c>
      <c r="O3121">
        <f>SUMPRODUCT(Calc!$K$3:$K$22*(Calc!$G$3:$G$22&gt;B3121)*(Calc!$G$3:$G$22-B3121)*Calc!$I$3:$I$22)</f>
        <v/>
      </c>
      <c r="P3121">
        <f>I3121-G3121^2/k_n</f>
        <v/>
      </c>
      <c r="Q3121">
        <f>J3121-H3121^2/k_n</f>
        <v/>
      </c>
      <c r="R3121">
        <f>K3121-G3121*H3121/k_n</f>
        <v/>
      </c>
      <c r="S3121">
        <f>L3121-LTP3!$D$3*G3121/k_n</f>
        <v/>
      </c>
      <c r="T3121">
        <f>M3121-LTP3!$D$3*H3121/k_n</f>
        <v/>
      </c>
      <c r="U3121">
        <f>N3121-G3121*LTP3!$D$4/k_n</f>
        <v/>
      </c>
      <c r="V3121">
        <f>O3121-H3121*LTP3!$D$4/k_n</f>
        <v/>
      </c>
      <c r="W3121">
        <f>((LTP3!$D$5)*((P3121)*(Q3121)-(R3121)*(R3121))-(S3121)*((S3121)*(Q3121)-(R3121)*(T3121))+(T3121)*((S3121)*(R3121)-(P3121)*(T3121)))</f>
        <v/>
      </c>
      <c r="X3121">
        <f>IF(ABS(W3121)&gt;1E-12,((LTP3!$D$6)*((P3121)*(Q3121)-(R3121)*(R3121))-(S3121)*((U3121)*(Q3121)-(R3121)*(V3121))+(T3121)*((U3121)*(R3121)-(P3121)*(V3121)))/W3121,0)</f>
        <v/>
      </c>
      <c r="Y3121">
        <f>IF(ABS(W3121)&gt;1E-12,((LTP3!$D$5)*((U3121)*(Q3121)-(R3121)*(V3121))-(LTP3!$D$6)*((S3121)*(Q3121)-(R3121)*(T3121))+(T3121)*((S3121)*(V3121)-(U3121)*(T3121)))/W3121,0)</f>
        <v/>
      </c>
      <c r="Z3121">
        <f>IF(ABS(W3121)&gt;1E-12,((LTP3!$D$5)*((P3121)*(V3121)-(U3121)*(R3121))-(S3121)*((S3121)*(V3121)-(U3121)*(T3121))+(LTP3!$D$6)*((S3121)*(R3121)-(P3121)*(T3121)))/W3121,0)</f>
        <v/>
      </c>
      <c r="AA3121">
        <f>LTP3!$D$7-X3121*LTP3!$D$6-Y3121*U3121-Z3121*V3121</f>
        <v/>
      </c>
      <c r="AB3121">
        <f>IF(AND(F3121,ABS(W3121)&gt;1E-12,Y3121&gt;0,Z3121&gt;0),AA3121,1E+300)</f>
        <v/>
      </c>
    </row>
    <row r="3122">
      <c r="A3122">
        <f>$B$3+$B$5*50</f>
        <v/>
      </c>
      <c r="B3122">
        <f>$B$3+$B$5*60</f>
        <v/>
      </c>
      <c r="C3122">
        <f>SUMPRODUCT(Calc!$K$3:$K$22*(Calc!$G$3:$G$22&lt;=A3122))</f>
        <v/>
      </c>
      <c r="D3122">
        <f>SUMPRODUCT(Calc!$K$3:$K$22*(Calc!$G$3:$G$22&gt;A3122)*(Calc!$G$3:$G$22&lt;B3122))</f>
        <v/>
      </c>
      <c r="E3122">
        <f>SUMPRODUCT(Calc!$K$3:$K$22*(Calc!$G$3:$G$22&gt;=B3122))</f>
        <v/>
      </c>
      <c r="F3122">
        <f>AND(k_n&gt;=5,B3122&gt;A3122+1E-9,C3122&gt;=2,D3122&gt;=1,E3122&gt;=2)</f>
        <v/>
      </c>
      <c r="G3122">
        <f>SUMPRODUCT(Calc!$K$3:$K$22*(Calc!$G$3:$G$22&gt;A3122)*(Calc!$G$3:$G$22-A3122))</f>
        <v/>
      </c>
      <c r="H3122">
        <f>SUMPRODUCT(Calc!$K$3:$K$22*(Calc!$G$3:$G$22&gt;B3122)*(Calc!$G$3:$G$22-B3122))</f>
        <v/>
      </c>
      <c r="I3122">
        <f>SUMPRODUCT(Calc!$K$3:$K$22*(Calc!$G$3:$G$22&gt;A3122)*(Calc!$G$3:$G$22-A3122)^2)</f>
        <v/>
      </c>
      <c r="J3122">
        <f>SUMPRODUCT(Calc!$K$3:$K$22*(Calc!$G$3:$G$22&gt;B3122)*(Calc!$G$3:$G$22-B3122)^2)</f>
        <v/>
      </c>
      <c r="K3122">
        <f>SUMPRODUCT(Calc!$K$3:$K$22*(Calc!$G$3:$G$22&gt;A3122)*(Calc!$G$3:$G$22-A3122)*(Calc!$G$3:$G$22&gt;B3122)*(Calc!$G$3:$G$22-B3122))</f>
        <v/>
      </c>
      <c r="L3122">
        <f>SUMPRODUCT(Calc!$K$3:$K$22*(Calc!$G$3:$G$22&gt;A3122)*(Calc!$G$3:$G$22-A3122)*Calc!$G$3:$G$22)</f>
        <v/>
      </c>
      <c r="M3122">
        <f>SUMPRODUCT(Calc!$K$3:$K$22*(Calc!$G$3:$G$22&gt;B3122)*(Calc!$G$3:$G$22-B3122)*Calc!$G$3:$G$22)</f>
        <v/>
      </c>
      <c r="N3122">
        <f>SUMPRODUCT(Calc!$K$3:$K$22*(Calc!$G$3:$G$22&gt;A3122)*(Calc!$G$3:$G$22-A3122)*Calc!$I$3:$I$22)</f>
        <v/>
      </c>
      <c r="O3122">
        <f>SUMPRODUCT(Calc!$K$3:$K$22*(Calc!$G$3:$G$22&gt;B3122)*(Calc!$G$3:$G$22-B3122)*Calc!$I$3:$I$22)</f>
        <v/>
      </c>
      <c r="P3122">
        <f>I3122-G3122^2/k_n</f>
        <v/>
      </c>
      <c r="Q3122">
        <f>J3122-H3122^2/k_n</f>
        <v/>
      </c>
      <c r="R3122">
        <f>K3122-G3122*H3122/k_n</f>
        <v/>
      </c>
      <c r="S3122">
        <f>L3122-LTP3!$D$3*G3122/k_n</f>
        <v/>
      </c>
      <c r="T3122">
        <f>M3122-LTP3!$D$3*H3122/k_n</f>
        <v/>
      </c>
      <c r="U3122">
        <f>N3122-G3122*LTP3!$D$4/k_n</f>
        <v/>
      </c>
      <c r="V3122">
        <f>O3122-H3122*LTP3!$D$4/k_n</f>
        <v/>
      </c>
      <c r="W3122">
        <f>((LTP3!$D$5)*((P3122)*(Q3122)-(R3122)*(R3122))-(S3122)*((S3122)*(Q3122)-(R3122)*(T3122))+(T3122)*((S3122)*(R3122)-(P3122)*(T3122)))</f>
        <v/>
      </c>
      <c r="X3122">
        <f>IF(ABS(W3122)&gt;1E-12,((LTP3!$D$6)*((P3122)*(Q3122)-(R3122)*(R3122))-(S3122)*((U3122)*(Q3122)-(R3122)*(V3122))+(T3122)*((U3122)*(R3122)-(P3122)*(V3122)))/W3122,0)</f>
        <v/>
      </c>
      <c r="Y3122">
        <f>IF(ABS(W3122)&gt;1E-12,((LTP3!$D$5)*((U3122)*(Q3122)-(R3122)*(V3122))-(LTP3!$D$6)*((S3122)*(Q3122)-(R3122)*(T3122))+(T3122)*((S3122)*(V3122)-(U3122)*(T3122)))/W3122,0)</f>
        <v/>
      </c>
      <c r="Z3122">
        <f>IF(ABS(W3122)&gt;1E-12,((LTP3!$D$5)*((P3122)*(V3122)-(U3122)*(R3122))-(S3122)*((S3122)*(V3122)-(U3122)*(T3122))+(LTP3!$D$6)*((S3122)*(R3122)-(P3122)*(T3122)))/W3122,0)</f>
        <v/>
      </c>
      <c r="AA3122">
        <f>LTP3!$D$7-X3122*LTP3!$D$6-Y3122*U3122-Z3122*V3122</f>
        <v/>
      </c>
      <c r="AB3122">
        <f>IF(AND(F3122,ABS(W3122)&gt;1E-12,Y3122&gt;0,Z3122&gt;0),AA3122,1E+300)</f>
        <v/>
      </c>
    </row>
    <row r="3123">
      <c r="A3123">
        <f>$B$3+$B$5*51</f>
        <v/>
      </c>
      <c r="B3123">
        <f>$B$3+$B$5*0</f>
        <v/>
      </c>
      <c r="C3123">
        <f>SUMPRODUCT(Calc!$K$3:$K$22*(Calc!$G$3:$G$22&lt;=A3123))</f>
        <v/>
      </c>
      <c r="D3123">
        <f>SUMPRODUCT(Calc!$K$3:$K$22*(Calc!$G$3:$G$22&gt;A3123)*(Calc!$G$3:$G$22&lt;B3123))</f>
        <v/>
      </c>
      <c r="E3123">
        <f>SUMPRODUCT(Calc!$K$3:$K$22*(Calc!$G$3:$G$22&gt;=B3123))</f>
        <v/>
      </c>
      <c r="F3123">
        <f>AND(k_n&gt;=5,B3123&gt;A3123+1E-9,C3123&gt;=2,D3123&gt;=1,E3123&gt;=2)</f>
        <v/>
      </c>
      <c r="G3123">
        <f>SUMPRODUCT(Calc!$K$3:$K$22*(Calc!$G$3:$G$22&gt;A3123)*(Calc!$G$3:$G$22-A3123))</f>
        <v/>
      </c>
      <c r="H3123">
        <f>SUMPRODUCT(Calc!$K$3:$K$22*(Calc!$G$3:$G$22&gt;B3123)*(Calc!$G$3:$G$22-B3123))</f>
        <v/>
      </c>
      <c r="I3123">
        <f>SUMPRODUCT(Calc!$K$3:$K$22*(Calc!$G$3:$G$22&gt;A3123)*(Calc!$G$3:$G$22-A3123)^2)</f>
        <v/>
      </c>
      <c r="J3123">
        <f>SUMPRODUCT(Calc!$K$3:$K$22*(Calc!$G$3:$G$22&gt;B3123)*(Calc!$G$3:$G$22-B3123)^2)</f>
        <v/>
      </c>
      <c r="K3123">
        <f>SUMPRODUCT(Calc!$K$3:$K$22*(Calc!$G$3:$G$22&gt;A3123)*(Calc!$G$3:$G$22-A3123)*(Calc!$G$3:$G$22&gt;B3123)*(Calc!$G$3:$G$22-B3123))</f>
        <v/>
      </c>
      <c r="L3123">
        <f>SUMPRODUCT(Calc!$K$3:$K$22*(Calc!$G$3:$G$22&gt;A3123)*(Calc!$G$3:$G$22-A3123)*Calc!$G$3:$G$22)</f>
        <v/>
      </c>
      <c r="M3123">
        <f>SUMPRODUCT(Calc!$K$3:$K$22*(Calc!$G$3:$G$22&gt;B3123)*(Calc!$G$3:$G$22-B3123)*Calc!$G$3:$G$22)</f>
        <v/>
      </c>
      <c r="N3123">
        <f>SUMPRODUCT(Calc!$K$3:$K$22*(Calc!$G$3:$G$22&gt;A3123)*(Calc!$G$3:$G$22-A3123)*Calc!$I$3:$I$22)</f>
        <v/>
      </c>
      <c r="O3123">
        <f>SUMPRODUCT(Calc!$K$3:$K$22*(Calc!$G$3:$G$22&gt;B3123)*(Calc!$G$3:$G$22-B3123)*Calc!$I$3:$I$22)</f>
        <v/>
      </c>
      <c r="P3123">
        <f>I3123-G3123^2/k_n</f>
        <v/>
      </c>
      <c r="Q3123">
        <f>J3123-H3123^2/k_n</f>
        <v/>
      </c>
      <c r="R3123">
        <f>K3123-G3123*H3123/k_n</f>
        <v/>
      </c>
      <c r="S3123">
        <f>L3123-LTP3!$D$3*G3123/k_n</f>
        <v/>
      </c>
      <c r="T3123">
        <f>M3123-LTP3!$D$3*H3123/k_n</f>
        <v/>
      </c>
      <c r="U3123">
        <f>N3123-G3123*LTP3!$D$4/k_n</f>
        <v/>
      </c>
      <c r="V3123">
        <f>O3123-H3123*LTP3!$D$4/k_n</f>
        <v/>
      </c>
      <c r="W3123">
        <f>((LTP3!$D$5)*((P3123)*(Q3123)-(R3123)*(R3123))-(S3123)*((S3123)*(Q3123)-(R3123)*(T3123))+(T3123)*((S3123)*(R3123)-(P3123)*(T3123)))</f>
        <v/>
      </c>
      <c r="X3123">
        <f>IF(ABS(W3123)&gt;1E-12,((LTP3!$D$6)*((P3123)*(Q3123)-(R3123)*(R3123))-(S3123)*((U3123)*(Q3123)-(R3123)*(V3123))+(T3123)*((U3123)*(R3123)-(P3123)*(V3123)))/W3123,0)</f>
        <v/>
      </c>
      <c r="Y3123">
        <f>IF(ABS(W3123)&gt;1E-12,((LTP3!$D$5)*((U3123)*(Q3123)-(R3123)*(V3123))-(LTP3!$D$6)*((S3123)*(Q3123)-(R3123)*(T3123))+(T3123)*((S3123)*(V3123)-(U3123)*(T3123)))/W3123,0)</f>
        <v/>
      </c>
      <c r="Z3123">
        <f>IF(ABS(W3123)&gt;1E-12,((LTP3!$D$5)*((P3123)*(V3123)-(U3123)*(R3123))-(S3123)*((S3123)*(V3123)-(U3123)*(T3123))+(LTP3!$D$6)*((S3123)*(R3123)-(P3123)*(T3123)))/W3123,0)</f>
        <v/>
      </c>
      <c r="AA3123">
        <f>LTP3!$D$7-X3123*LTP3!$D$6-Y3123*U3123-Z3123*V3123</f>
        <v/>
      </c>
      <c r="AB3123">
        <f>IF(AND(F3123,ABS(W3123)&gt;1E-12,Y3123&gt;0,Z3123&gt;0),AA3123,1E+300)</f>
        <v/>
      </c>
    </row>
    <row r="3124">
      <c r="A3124">
        <f>$B$3+$B$5*51</f>
        <v/>
      </c>
      <c r="B3124">
        <f>$B$3+$B$5*1</f>
        <v/>
      </c>
      <c r="C3124">
        <f>SUMPRODUCT(Calc!$K$3:$K$22*(Calc!$G$3:$G$22&lt;=A3124))</f>
        <v/>
      </c>
      <c r="D3124">
        <f>SUMPRODUCT(Calc!$K$3:$K$22*(Calc!$G$3:$G$22&gt;A3124)*(Calc!$G$3:$G$22&lt;B3124))</f>
        <v/>
      </c>
      <c r="E3124">
        <f>SUMPRODUCT(Calc!$K$3:$K$22*(Calc!$G$3:$G$22&gt;=B3124))</f>
        <v/>
      </c>
      <c r="F3124">
        <f>AND(k_n&gt;=5,B3124&gt;A3124+1E-9,C3124&gt;=2,D3124&gt;=1,E3124&gt;=2)</f>
        <v/>
      </c>
      <c r="G3124">
        <f>SUMPRODUCT(Calc!$K$3:$K$22*(Calc!$G$3:$G$22&gt;A3124)*(Calc!$G$3:$G$22-A3124))</f>
        <v/>
      </c>
      <c r="H3124">
        <f>SUMPRODUCT(Calc!$K$3:$K$22*(Calc!$G$3:$G$22&gt;B3124)*(Calc!$G$3:$G$22-B3124))</f>
        <v/>
      </c>
      <c r="I3124">
        <f>SUMPRODUCT(Calc!$K$3:$K$22*(Calc!$G$3:$G$22&gt;A3124)*(Calc!$G$3:$G$22-A3124)^2)</f>
        <v/>
      </c>
      <c r="J3124">
        <f>SUMPRODUCT(Calc!$K$3:$K$22*(Calc!$G$3:$G$22&gt;B3124)*(Calc!$G$3:$G$22-B3124)^2)</f>
        <v/>
      </c>
      <c r="K3124">
        <f>SUMPRODUCT(Calc!$K$3:$K$22*(Calc!$G$3:$G$22&gt;A3124)*(Calc!$G$3:$G$22-A3124)*(Calc!$G$3:$G$22&gt;B3124)*(Calc!$G$3:$G$22-B3124))</f>
        <v/>
      </c>
      <c r="L3124">
        <f>SUMPRODUCT(Calc!$K$3:$K$22*(Calc!$G$3:$G$22&gt;A3124)*(Calc!$G$3:$G$22-A3124)*Calc!$G$3:$G$22)</f>
        <v/>
      </c>
      <c r="M3124">
        <f>SUMPRODUCT(Calc!$K$3:$K$22*(Calc!$G$3:$G$22&gt;B3124)*(Calc!$G$3:$G$22-B3124)*Calc!$G$3:$G$22)</f>
        <v/>
      </c>
      <c r="N3124">
        <f>SUMPRODUCT(Calc!$K$3:$K$22*(Calc!$G$3:$G$22&gt;A3124)*(Calc!$G$3:$G$22-A3124)*Calc!$I$3:$I$22)</f>
        <v/>
      </c>
      <c r="O3124">
        <f>SUMPRODUCT(Calc!$K$3:$K$22*(Calc!$G$3:$G$22&gt;B3124)*(Calc!$G$3:$G$22-B3124)*Calc!$I$3:$I$22)</f>
        <v/>
      </c>
      <c r="P3124">
        <f>I3124-G3124^2/k_n</f>
        <v/>
      </c>
      <c r="Q3124">
        <f>J3124-H3124^2/k_n</f>
        <v/>
      </c>
      <c r="R3124">
        <f>K3124-G3124*H3124/k_n</f>
        <v/>
      </c>
      <c r="S3124">
        <f>L3124-LTP3!$D$3*G3124/k_n</f>
        <v/>
      </c>
      <c r="T3124">
        <f>M3124-LTP3!$D$3*H3124/k_n</f>
        <v/>
      </c>
      <c r="U3124">
        <f>N3124-G3124*LTP3!$D$4/k_n</f>
        <v/>
      </c>
      <c r="V3124">
        <f>O3124-H3124*LTP3!$D$4/k_n</f>
        <v/>
      </c>
      <c r="W3124">
        <f>((LTP3!$D$5)*((P3124)*(Q3124)-(R3124)*(R3124))-(S3124)*((S3124)*(Q3124)-(R3124)*(T3124))+(T3124)*((S3124)*(R3124)-(P3124)*(T3124)))</f>
        <v/>
      </c>
      <c r="X3124">
        <f>IF(ABS(W3124)&gt;1E-12,((LTP3!$D$6)*((P3124)*(Q3124)-(R3124)*(R3124))-(S3124)*((U3124)*(Q3124)-(R3124)*(V3124))+(T3124)*((U3124)*(R3124)-(P3124)*(V3124)))/W3124,0)</f>
        <v/>
      </c>
      <c r="Y3124">
        <f>IF(ABS(W3124)&gt;1E-12,((LTP3!$D$5)*((U3124)*(Q3124)-(R3124)*(V3124))-(LTP3!$D$6)*((S3124)*(Q3124)-(R3124)*(T3124))+(T3124)*((S3124)*(V3124)-(U3124)*(T3124)))/W3124,0)</f>
        <v/>
      </c>
      <c r="Z3124">
        <f>IF(ABS(W3124)&gt;1E-12,((LTP3!$D$5)*((P3124)*(V3124)-(U3124)*(R3124))-(S3124)*((S3124)*(V3124)-(U3124)*(T3124))+(LTP3!$D$6)*((S3124)*(R3124)-(P3124)*(T3124)))/W3124,0)</f>
        <v/>
      </c>
      <c r="AA3124">
        <f>LTP3!$D$7-X3124*LTP3!$D$6-Y3124*U3124-Z3124*V3124</f>
        <v/>
      </c>
      <c r="AB3124">
        <f>IF(AND(F3124,ABS(W3124)&gt;1E-12,Y3124&gt;0,Z3124&gt;0),AA3124,1E+300)</f>
        <v/>
      </c>
    </row>
    <row r="3125">
      <c r="A3125">
        <f>$B$3+$B$5*51</f>
        <v/>
      </c>
      <c r="B3125">
        <f>$B$3+$B$5*2</f>
        <v/>
      </c>
      <c r="C3125">
        <f>SUMPRODUCT(Calc!$K$3:$K$22*(Calc!$G$3:$G$22&lt;=A3125))</f>
        <v/>
      </c>
      <c r="D3125">
        <f>SUMPRODUCT(Calc!$K$3:$K$22*(Calc!$G$3:$G$22&gt;A3125)*(Calc!$G$3:$G$22&lt;B3125))</f>
        <v/>
      </c>
      <c r="E3125">
        <f>SUMPRODUCT(Calc!$K$3:$K$22*(Calc!$G$3:$G$22&gt;=B3125))</f>
        <v/>
      </c>
      <c r="F3125">
        <f>AND(k_n&gt;=5,B3125&gt;A3125+1E-9,C3125&gt;=2,D3125&gt;=1,E3125&gt;=2)</f>
        <v/>
      </c>
      <c r="G3125">
        <f>SUMPRODUCT(Calc!$K$3:$K$22*(Calc!$G$3:$G$22&gt;A3125)*(Calc!$G$3:$G$22-A3125))</f>
        <v/>
      </c>
      <c r="H3125">
        <f>SUMPRODUCT(Calc!$K$3:$K$22*(Calc!$G$3:$G$22&gt;B3125)*(Calc!$G$3:$G$22-B3125))</f>
        <v/>
      </c>
      <c r="I3125">
        <f>SUMPRODUCT(Calc!$K$3:$K$22*(Calc!$G$3:$G$22&gt;A3125)*(Calc!$G$3:$G$22-A3125)^2)</f>
        <v/>
      </c>
      <c r="J3125">
        <f>SUMPRODUCT(Calc!$K$3:$K$22*(Calc!$G$3:$G$22&gt;B3125)*(Calc!$G$3:$G$22-B3125)^2)</f>
        <v/>
      </c>
      <c r="K3125">
        <f>SUMPRODUCT(Calc!$K$3:$K$22*(Calc!$G$3:$G$22&gt;A3125)*(Calc!$G$3:$G$22-A3125)*(Calc!$G$3:$G$22&gt;B3125)*(Calc!$G$3:$G$22-B3125))</f>
        <v/>
      </c>
      <c r="L3125">
        <f>SUMPRODUCT(Calc!$K$3:$K$22*(Calc!$G$3:$G$22&gt;A3125)*(Calc!$G$3:$G$22-A3125)*Calc!$G$3:$G$22)</f>
        <v/>
      </c>
      <c r="M3125">
        <f>SUMPRODUCT(Calc!$K$3:$K$22*(Calc!$G$3:$G$22&gt;B3125)*(Calc!$G$3:$G$22-B3125)*Calc!$G$3:$G$22)</f>
        <v/>
      </c>
      <c r="N3125">
        <f>SUMPRODUCT(Calc!$K$3:$K$22*(Calc!$G$3:$G$22&gt;A3125)*(Calc!$G$3:$G$22-A3125)*Calc!$I$3:$I$22)</f>
        <v/>
      </c>
      <c r="O3125">
        <f>SUMPRODUCT(Calc!$K$3:$K$22*(Calc!$G$3:$G$22&gt;B3125)*(Calc!$G$3:$G$22-B3125)*Calc!$I$3:$I$22)</f>
        <v/>
      </c>
      <c r="P3125">
        <f>I3125-G3125^2/k_n</f>
        <v/>
      </c>
      <c r="Q3125">
        <f>J3125-H3125^2/k_n</f>
        <v/>
      </c>
      <c r="R3125">
        <f>K3125-G3125*H3125/k_n</f>
        <v/>
      </c>
      <c r="S3125">
        <f>L3125-LTP3!$D$3*G3125/k_n</f>
        <v/>
      </c>
      <c r="T3125">
        <f>M3125-LTP3!$D$3*H3125/k_n</f>
        <v/>
      </c>
      <c r="U3125">
        <f>N3125-G3125*LTP3!$D$4/k_n</f>
        <v/>
      </c>
      <c r="V3125">
        <f>O3125-H3125*LTP3!$D$4/k_n</f>
        <v/>
      </c>
      <c r="W3125">
        <f>((LTP3!$D$5)*((P3125)*(Q3125)-(R3125)*(R3125))-(S3125)*((S3125)*(Q3125)-(R3125)*(T3125))+(T3125)*((S3125)*(R3125)-(P3125)*(T3125)))</f>
        <v/>
      </c>
      <c r="X3125">
        <f>IF(ABS(W3125)&gt;1E-12,((LTP3!$D$6)*((P3125)*(Q3125)-(R3125)*(R3125))-(S3125)*((U3125)*(Q3125)-(R3125)*(V3125))+(T3125)*((U3125)*(R3125)-(P3125)*(V3125)))/W3125,0)</f>
        <v/>
      </c>
      <c r="Y3125">
        <f>IF(ABS(W3125)&gt;1E-12,((LTP3!$D$5)*((U3125)*(Q3125)-(R3125)*(V3125))-(LTP3!$D$6)*((S3125)*(Q3125)-(R3125)*(T3125))+(T3125)*((S3125)*(V3125)-(U3125)*(T3125)))/W3125,0)</f>
        <v/>
      </c>
      <c r="Z3125">
        <f>IF(ABS(W3125)&gt;1E-12,((LTP3!$D$5)*((P3125)*(V3125)-(U3125)*(R3125))-(S3125)*((S3125)*(V3125)-(U3125)*(T3125))+(LTP3!$D$6)*((S3125)*(R3125)-(P3125)*(T3125)))/W3125,0)</f>
        <v/>
      </c>
      <c r="AA3125">
        <f>LTP3!$D$7-X3125*LTP3!$D$6-Y3125*U3125-Z3125*V3125</f>
        <v/>
      </c>
      <c r="AB3125">
        <f>IF(AND(F3125,ABS(W3125)&gt;1E-12,Y3125&gt;0,Z3125&gt;0),AA3125,1E+300)</f>
        <v/>
      </c>
    </row>
    <row r="3126">
      <c r="A3126">
        <f>$B$3+$B$5*51</f>
        <v/>
      </c>
      <c r="B3126">
        <f>$B$3+$B$5*3</f>
        <v/>
      </c>
      <c r="C3126">
        <f>SUMPRODUCT(Calc!$K$3:$K$22*(Calc!$G$3:$G$22&lt;=A3126))</f>
        <v/>
      </c>
      <c r="D3126">
        <f>SUMPRODUCT(Calc!$K$3:$K$22*(Calc!$G$3:$G$22&gt;A3126)*(Calc!$G$3:$G$22&lt;B3126))</f>
        <v/>
      </c>
      <c r="E3126">
        <f>SUMPRODUCT(Calc!$K$3:$K$22*(Calc!$G$3:$G$22&gt;=B3126))</f>
        <v/>
      </c>
      <c r="F3126">
        <f>AND(k_n&gt;=5,B3126&gt;A3126+1E-9,C3126&gt;=2,D3126&gt;=1,E3126&gt;=2)</f>
        <v/>
      </c>
      <c r="G3126">
        <f>SUMPRODUCT(Calc!$K$3:$K$22*(Calc!$G$3:$G$22&gt;A3126)*(Calc!$G$3:$G$22-A3126))</f>
        <v/>
      </c>
      <c r="H3126">
        <f>SUMPRODUCT(Calc!$K$3:$K$22*(Calc!$G$3:$G$22&gt;B3126)*(Calc!$G$3:$G$22-B3126))</f>
        <v/>
      </c>
      <c r="I3126">
        <f>SUMPRODUCT(Calc!$K$3:$K$22*(Calc!$G$3:$G$22&gt;A3126)*(Calc!$G$3:$G$22-A3126)^2)</f>
        <v/>
      </c>
      <c r="J3126">
        <f>SUMPRODUCT(Calc!$K$3:$K$22*(Calc!$G$3:$G$22&gt;B3126)*(Calc!$G$3:$G$22-B3126)^2)</f>
        <v/>
      </c>
      <c r="K3126">
        <f>SUMPRODUCT(Calc!$K$3:$K$22*(Calc!$G$3:$G$22&gt;A3126)*(Calc!$G$3:$G$22-A3126)*(Calc!$G$3:$G$22&gt;B3126)*(Calc!$G$3:$G$22-B3126))</f>
        <v/>
      </c>
      <c r="L3126">
        <f>SUMPRODUCT(Calc!$K$3:$K$22*(Calc!$G$3:$G$22&gt;A3126)*(Calc!$G$3:$G$22-A3126)*Calc!$G$3:$G$22)</f>
        <v/>
      </c>
      <c r="M3126">
        <f>SUMPRODUCT(Calc!$K$3:$K$22*(Calc!$G$3:$G$22&gt;B3126)*(Calc!$G$3:$G$22-B3126)*Calc!$G$3:$G$22)</f>
        <v/>
      </c>
      <c r="N3126">
        <f>SUMPRODUCT(Calc!$K$3:$K$22*(Calc!$G$3:$G$22&gt;A3126)*(Calc!$G$3:$G$22-A3126)*Calc!$I$3:$I$22)</f>
        <v/>
      </c>
      <c r="O3126">
        <f>SUMPRODUCT(Calc!$K$3:$K$22*(Calc!$G$3:$G$22&gt;B3126)*(Calc!$G$3:$G$22-B3126)*Calc!$I$3:$I$22)</f>
        <v/>
      </c>
      <c r="P3126">
        <f>I3126-G3126^2/k_n</f>
        <v/>
      </c>
      <c r="Q3126">
        <f>J3126-H3126^2/k_n</f>
        <v/>
      </c>
      <c r="R3126">
        <f>K3126-G3126*H3126/k_n</f>
        <v/>
      </c>
      <c r="S3126">
        <f>L3126-LTP3!$D$3*G3126/k_n</f>
        <v/>
      </c>
      <c r="T3126">
        <f>M3126-LTP3!$D$3*H3126/k_n</f>
        <v/>
      </c>
      <c r="U3126">
        <f>N3126-G3126*LTP3!$D$4/k_n</f>
        <v/>
      </c>
      <c r="V3126">
        <f>O3126-H3126*LTP3!$D$4/k_n</f>
        <v/>
      </c>
      <c r="W3126">
        <f>((LTP3!$D$5)*((P3126)*(Q3126)-(R3126)*(R3126))-(S3126)*((S3126)*(Q3126)-(R3126)*(T3126))+(T3126)*((S3126)*(R3126)-(P3126)*(T3126)))</f>
        <v/>
      </c>
      <c r="X3126">
        <f>IF(ABS(W3126)&gt;1E-12,((LTP3!$D$6)*((P3126)*(Q3126)-(R3126)*(R3126))-(S3126)*((U3126)*(Q3126)-(R3126)*(V3126))+(T3126)*((U3126)*(R3126)-(P3126)*(V3126)))/W3126,0)</f>
        <v/>
      </c>
      <c r="Y3126">
        <f>IF(ABS(W3126)&gt;1E-12,((LTP3!$D$5)*((U3126)*(Q3126)-(R3126)*(V3126))-(LTP3!$D$6)*((S3126)*(Q3126)-(R3126)*(T3126))+(T3126)*((S3126)*(V3126)-(U3126)*(T3126)))/W3126,0)</f>
        <v/>
      </c>
      <c r="Z3126">
        <f>IF(ABS(W3126)&gt;1E-12,((LTP3!$D$5)*((P3126)*(V3126)-(U3126)*(R3126))-(S3126)*((S3126)*(V3126)-(U3126)*(T3126))+(LTP3!$D$6)*((S3126)*(R3126)-(P3126)*(T3126)))/W3126,0)</f>
        <v/>
      </c>
      <c r="AA3126">
        <f>LTP3!$D$7-X3126*LTP3!$D$6-Y3126*U3126-Z3126*V3126</f>
        <v/>
      </c>
      <c r="AB3126">
        <f>IF(AND(F3126,ABS(W3126)&gt;1E-12,Y3126&gt;0,Z3126&gt;0),AA3126,1E+300)</f>
        <v/>
      </c>
    </row>
    <row r="3127">
      <c r="A3127">
        <f>$B$3+$B$5*51</f>
        <v/>
      </c>
      <c r="B3127">
        <f>$B$3+$B$5*4</f>
        <v/>
      </c>
      <c r="C3127">
        <f>SUMPRODUCT(Calc!$K$3:$K$22*(Calc!$G$3:$G$22&lt;=A3127))</f>
        <v/>
      </c>
      <c r="D3127">
        <f>SUMPRODUCT(Calc!$K$3:$K$22*(Calc!$G$3:$G$22&gt;A3127)*(Calc!$G$3:$G$22&lt;B3127))</f>
        <v/>
      </c>
      <c r="E3127">
        <f>SUMPRODUCT(Calc!$K$3:$K$22*(Calc!$G$3:$G$22&gt;=B3127))</f>
        <v/>
      </c>
      <c r="F3127">
        <f>AND(k_n&gt;=5,B3127&gt;A3127+1E-9,C3127&gt;=2,D3127&gt;=1,E3127&gt;=2)</f>
        <v/>
      </c>
      <c r="G3127">
        <f>SUMPRODUCT(Calc!$K$3:$K$22*(Calc!$G$3:$G$22&gt;A3127)*(Calc!$G$3:$G$22-A3127))</f>
        <v/>
      </c>
      <c r="H3127">
        <f>SUMPRODUCT(Calc!$K$3:$K$22*(Calc!$G$3:$G$22&gt;B3127)*(Calc!$G$3:$G$22-B3127))</f>
        <v/>
      </c>
      <c r="I3127">
        <f>SUMPRODUCT(Calc!$K$3:$K$22*(Calc!$G$3:$G$22&gt;A3127)*(Calc!$G$3:$G$22-A3127)^2)</f>
        <v/>
      </c>
      <c r="J3127">
        <f>SUMPRODUCT(Calc!$K$3:$K$22*(Calc!$G$3:$G$22&gt;B3127)*(Calc!$G$3:$G$22-B3127)^2)</f>
        <v/>
      </c>
      <c r="K3127">
        <f>SUMPRODUCT(Calc!$K$3:$K$22*(Calc!$G$3:$G$22&gt;A3127)*(Calc!$G$3:$G$22-A3127)*(Calc!$G$3:$G$22&gt;B3127)*(Calc!$G$3:$G$22-B3127))</f>
        <v/>
      </c>
      <c r="L3127">
        <f>SUMPRODUCT(Calc!$K$3:$K$22*(Calc!$G$3:$G$22&gt;A3127)*(Calc!$G$3:$G$22-A3127)*Calc!$G$3:$G$22)</f>
        <v/>
      </c>
      <c r="M3127">
        <f>SUMPRODUCT(Calc!$K$3:$K$22*(Calc!$G$3:$G$22&gt;B3127)*(Calc!$G$3:$G$22-B3127)*Calc!$G$3:$G$22)</f>
        <v/>
      </c>
      <c r="N3127">
        <f>SUMPRODUCT(Calc!$K$3:$K$22*(Calc!$G$3:$G$22&gt;A3127)*(Calc!$G$3:$G$22-A3127)*Calc!$I$3:$I$22)</f>
        <v/>
      </c>
      <c r="O3127">
        <f>SUMPRODUCT(Calc!$K$3:$K$22*(Calc!$G$3:$G$22&gt;B3127)*(Calc!$G$3:$G$22-B3127)*Calc!$I$3:$I$22)</f>
        <v/>
      </c>
      <c r="P3127">
        <f>I3127-G3127^2/k_n</f>
        <v/>
      </c>
      <c r="Q3127">
        <f>J3127-H3127^2/k_n</f>
        <v/>
      </c>
      <c r="R3127">
        <f>K3127-G3127*H3127/k_n</f>
        <v/>
      </c>
      <c r="S3127">
        <f>L3127-LTP3!$D$3*G3127/k_n</f>
        <v/>
      </c>
      <c r="T3127">
        <f>M3127-LTP3!$D$3*H3127/k_n</f>
        <v/>
      </c>
      <c r="U3127">
        <f>N3127-G3127*LTP3!$D$4/k_n</f>
        <v/>
      </c>
      <c r="V3127">
        <f>O3127-H3127*LTP3!$D$4/k_n</f>
        <v/>
      </c>
      <c r="W3127">
        <f>((LTP3!$D$5)*((P3127)*(Q3127)-(R3127)*(R3127))-(S3127)*((S3127)*(Q3127)-(R3127)*(T3127))+(T3127)*((S3127)*(R3127)-(P3127)*(T3127)))</f>
        <v/>
      </c>
      <c r="X3127">
        <f>IF(ABS(W3127)&gt;1E-12,((LTP3!$D$6)*((P3127)*(Q3127)-(R3127)*(R3127))-(S3127)*((U3127)*(Q3127)-(R3127)*(V3127))+(T3127)*((U3127)*(R3127)-(P3127)*(V3127)))/W3127,0)</f>
        <v/>
      </c>
      <c r="Y3127">
        <f>IF(ABS(W3127)&gt;1E-12,((LTP3!$D$5)*((U3127)*(Q3127)-(R3127)*(V3127))-(LTP3!$D$6)*((S3127)*(Q3127)-(R3127)*(T3127))+(T3127)*((S3127)*(V3127)-(U3127)*(T3127)))/W3127,0)</f>
        <v/>
      </c>
      <c r="Z3127">
        <f>IF(ABS(W3127)&gt;1E-12,((LTP3!$D$5)*((P3127)*(V3127)-(U3127)*(R3127))-(S3127)*((S3127)*(V3127)-(U3127)*(T3127))+(LTP3!$D$6)*((S3127)*(R3127)-(P3127)*(T3127)))/W3127,0)</f>
        <v/>
      </c>
      <c r="AA3127">
        <f>LTP3!$D$7-X3127*LTP3!$D$6-Y3127*U3127-Z3127*V3127</f>
        <v/>
      </c>
      <c r="AB3127">
        <f>IF(AND(F3127,ABS(W3127)&gt;1E-12,Y3127&gt;0,Z3127&gt;0),AA3127,1E+300)</f>
        <v/>
      </c>
    </row>
    <row r="3128">
      <c r="A3128">
        <f>$B$3+$B$5*51</f>
        <v/>
      </c>
      <c r="B3128">
        <f>$B$3+$B$5*5</f>
        <v/>
      </c>
      <c r="C3128">
        <f>SUMPRODUCT(Calc!$K$3:$K$22*(Calc!$G$3:$G$22&lt;=A3128))</f>
        <v/>
      </c>
      <c r="D3128">
        <f>SUMPRODUCT(Calc!$K$3:$K$22*(Calc!$G$3:$G$22&gt;A3128)*(Calc!$G$3:$G$22&lt;B3128))</f>
        <v/>
      </c>
      <c r="E3128">
        <f>SUMPRODUCT(Calc!$K$3:$K$22*(Calc!$G$3:$G$22&gt;=B3128))</f>
        <v/>
      </c>
      <c r="F3128">
        <f>AND(k_n&gt;=5,B3128&gt;A3128+1E-9,C3128&gt;=2,D3128&gt;=1,E3128&gt;=2)</f>
        <v/>
      </c>
      <c r="G3128">
        <f>SUMPRODUCT(Calc!$K$3:$K$22*(Calc!$G$3:$G$22&gt;A3128)*(Calc!$G$3:$G$22-A3128))</f>
        <v/>
      </c>
      <c r="H3128">
        <f>SUMPRODUCT(Calc!$K$3:$K$22*(Calc!$G$3:$G$22&gt;B3128)*(Calc!$G$3:$G$22-B3128))</f>
        <v/>
      </c>
      <c r="I3128">
        <f>SUMPRODUCT(Calc!$K$3:$K$22*(Calc!$G$3:$G$22&gt;A3128)*(Calc!$G$3:$G$22-A3128)^2)</f>
        <v/>
      </c>
      <c r="J3128">
        <f>SUMPRODUCT(Calc!$K$3:$K$22*(Calc!$G$3:$G$22&gt;B3128)*(Calc!$G$3:$G$22-B3128)^2)</f>
        <v/>
      </c>
      <c r="K3128">
        <f>SUMPRODUCT(Calc!$K$3:$K$22*(Calc!$G$3:$G$22&gt;A3128)*(Calc!$G$3:$G$22-A3128)*(Calc!$G$3:$G$22&gt;B3128)*(Calc!$G$3:$G$22-B3128))</f>
        <v/>
      </c>
      <c r="L3128">
        <f>SUMPRODUCT(Calc!$K$3:$K$22*(Calc!$G$3:$G$22&gt;A3128)*(Calc!$G$3:$G$22-A3128)*Calc!$G$3:$G$22)</f>
        <v/>
      </c>
      <c r="M3128">
        <f>SUMPRODUCT(Calc!$K$3:$K$22*(Calc!$G$3:$G$22&gt;B3128)*(Calc!$G$3:$G$22-B3128)*Calc!$G$3:$G$22)</f>
        <v/>
      </c>
      <c r="N3128">
        <f>SUMPRODUCT(Calc!$K$3:$K$22*(Calc!$G$3:$G$22&gt;A3128)*(Calc!$G$3:$G$22-A3128)*Calc!$I$3:$I$22)</f>
        <v/>
      </c>
      <c r="O3128">
        <f>SUMPRODUCT(Calc!$K$3:$K$22*(Calc!$G$3:$G$22&gt;B3128)*(Calc!$G$3:$G$22-B3128)*Calc!$I$3:$I$22)</f>
        <v/>
      </c>
      <c r="P3128">
        <f>I3128-G3128^2/k_n</f>
        <v/>
      </c>
      <c r="Q3128">
        <f>J3128-H3128^2/k_n</f>
        <v/>
      </c>
      <c r="R3128">
        <f>K3128-G3128*H3128/k_n</f>
        <v/>
      </c>
      <c r="S3128">
        <f>L3128-LTP3!$D$3*G3128/k_n</f>
        <v/>
      </c>
      <c r="T3128">
        <f>M3128-LTP3!$D$3*H3128/k_n</f>
        <v/>
      </c>
      <c r="U3128">
        <f>N3128-G3128*LTP3!$D$4/k_n</f>
        <v/>
      </c>
      <c r="V3128">
        <f>O3128-H3128*LTP3!$D$4/k_n</f>
        <v/>
      </c>
      <c r="W3128">
        <f>((LTP3!$D$5)*((P3128)*(Q3128)-(R3128)*(R3128))-(S3128)*((S3128)*(Q3128)-(R3128)*(T3128))+(T3128)*((S3128)*(R3128)-(P3128)*(T3128)))</f>
        <v/>
      </c>
      <c r="X3128">
        <f>IF(ABS(W3128)&gt;1E-12,((LTP3!$D$6)*((P3128)*(Q3128)-(R3128)*(R3128))-(S3128)*((U3128)*(Q3128)-(R3128)*(V3128))+(T3128)*((U3128)*(R3128)-(P3128)*(V3128)))/W3128,0)</f>
        <v/>
      </c>
      <c r="Y3128">
        <f>IF(ABS(W3128)&gt;1E-12,((LTP3!$D$5)*((U3128)*(Q3128)-(R3128)*(V3128))-(LTP3!$D$6)*((S3128)*(Q3128)-(R3128)*(T3128))+(T3128)*((S3128)*(V3128)-(U3128)*(T3128)))/W3128,0)</f>
        <v/>
      </c>
      <c r="Z3128">
        <f>IF(ABS(W3128)&gt;1E-12,((LTP3!$D$5)*((P3128)*(V3128)-(U3128)*(R3128))-(S3128)*((S3128)*(V3128)-(U3128)*(T3128))+(LTP3!$D$6)*((S3128)*(R3128)-(P3128)*(T3128)))/W3128,0)</f>
        <v/>
      </c>
      <c r="AA3128">
        <f>LTP3!$D$7-X3128*LTP3!$D$6-Y3128*U3128-Z3128*V3128</f>
        <v/>
      </c>
      <c r="AB3128">
        <f>IF(AND(F3128,ABS(W3128)&gt;1E-12,Y3128&gt;0,Z3128&gt;0),AA3128,1E+300)</f>
        <v/>
      </c>
    </row>
    <row r="3129">
      <c r="A3129">
        <f>$B$3+$B$5*51</f>
        <v/>
      </c>
      <c r="B3129">
        <f>$B$3+$B$5*6</f>
        <v/>
      </c>
      <c r="C3129">
        <f>SUMPRODUCT(Calc!$K$3:$K$22*(Calc!$G$3:$G$22&lt;=A3129))</f>
        <v/>
      </c>
      <c r="D3129">
        <f>SUMPRODUCT(Calc!$K$3:$K$22*(Calc!$G$3:$G$22&gt;A3129)*(Calc!$G$3:$G$22&lt;B3129))</f>
        <v/>
      </c>
      <c r="E3129">
        <f>SUMPRODUCT(Calc!$K$3:$K$22*(Calc!$G$3:$G$22&gt;=B3129))</f>
        <v/>
      </c>
      <c r="F3129">
        <f>AND(k_n&gt;=5,B3129&gt;A3129+1E-9,C3129&gt;=2,D3129&gt;=1,E3129&gt;=2)</f>
        <v/>
      </c>
      <c r="G3129">
        <f>SUMPRODUCT(Calc!$K$3:$K$22*(Calc!$G$3:$G$22&gt;A3129)*(Calc!$G$3:$G$22-A3129))</f>
        <v/>
      </c>
      <c r="H3129">
        <f>SUMPRODUCT(Calc!$K$3:$K$22*(Calc!$G$3:$G$22&gt;B3129)*(Calc!$G$3:$G$22-B3129))</f>
        <v/>
      </c>
      <c r="I3129">
        <f>SUMPRODUCT(Calc!$K$3:$K$22*(Calc!$G$3:$G$22&gt;A3129)*(Calc!$G$3:$G$22-A3129)^2)</f>
        <v/>
      </c>
      <c r="J3129">
        <f>SUMPRODUCT(Calc!$K$3:$K$22*(Calc!$G$3:$G$22&gt;B3129)*(Calc!$G$3:$G$22-B3129)^2)</f>
        <v/>
      </c>
      <c r="K3129">
        <f>SUMPRODUCT(Calc!$K$3:$K$22*(Calc!$G$3:$G$22&gt;A3129)*(Calc!$G$3:$G$22-A3129)*(Calc!$G$3:$G$22&gt;B3129)*(Calc!$G$3:$G$22-B3129))</f>
        <v/>
      </c>
      <c r="L3129">
        <f>SUMPRODUCT(Calc!$K$3:$K$22*(Calc!$G$3:$G$22&gt;A3129)*(Calc!$G$3:$G$22-A3129)*Calc!$G$3:$G$22)</f>
        <v/>
      </c>
      <c r="M3129">
        <f>SUMPRODUCT(Calc!$K$3:$K$22*(Calc!$G$3:$G$22&gt;B3129)*(Calc!$G$3:$G$22-B3129)*Calc!$G$3:$G$22)</f>
        <v/>
      </c>
      <c r="N3129">
        <f>SUMPRODUCT(Calc!$K$3:$K$22*(Calc!$G$3:$G$22&gt;A3129)*(Calc!$G$3:$G$22-A3129)*Calc!$I$3:$I$22)</f>
        <v/>
      </c>
      <c r="O3129">
        <f>SUMPRODUCT(Calc!$K$3:$K$22*(Calc!$G$3:$G$22&gt;B3129)*(Calc!$G$3:$G$22-B3129)*Calc!$I$3:$I$22)</f>
        <v/>
      </c>
      <c r="P3129">
        <f>I3129-G3129^2/k_n</f>
        <v/>
      </c>
      <c r="Q3129">
        <f>J3129-H3129^2/k_n</f>
        <v/>
      </c>
      <c r="R3129">
        <f>K3129-G3129*H3129/k_n</f>
        <v/>
      </c>
      <c r="S3129">
        <f>L3129-LTP3!$D$3*G3129/k_n</f>
        <v/>
      </c>
      <c r="T3129">
        <f>M3129-LTP3!$D$3*H3129/k_n</f>
        <v/>
      </c>
      <c r="U3129">
        <f>N3129-G3129*LTP3!$D$4/k_n</f>
        <v/>
      </c>
      <c r="V3129">
        <f>O3129-H3129*LTP3!$D$4/k_n</f>
        <v/>
      </c>
      <c r="W3129">
        <f>((LTP3!$D$5)*((P3129)*(Q3129)-(R3129)*(R3129))-(S3129)*((S3129)*(Q3129)-(R3129)*(T3129))+(T3129)*((S3129)*(R3129)-(P3129)*(T3129)))</f>
        <v/>
      </c>
      <c r="X3129">
        <f>IF(ABS(W3129)&gt;1E-12,((LTP3!$D$6)*((P3129)*(Q3129)-(R3129)*(R3129))-(S3129)*((U3129)*(Q3129)-(R3129)*(V3129))+(T3129)*((U3129)*(R3129)-(P3129)*(V3129)))/W3129,0)</f>
        <v/>
      </c>
      <c r="Y3129">
        <f>IF(ABS(W3129)&gt;1E-12,((LTP3!$D$5)*((U3129)*(Q3129)-(R3129)*(V3129))-(LTP3!$D$6)*((S3129)*(Q3129)-(R3129)*(T3129))+(T3129)*((S3129)*(V3129)-(U3129)*(T3129)))/W3129,0)</f>
        <v/>
      </c>
      <c r="Z3129">
        <f>IF(ABS(W3129)&gt;1E-12,((LTP3!$D$5)*((P3129)*(V3129)-(U3129)*(R3129))-(S3129)*((S3129)*(V3129)-(U3129)*(T3129))+(LTP3!$D$6)*((S3129)*(R3129)-(P3129)*(T3129)))/W3129,0)</f>
        <v/>
      </c>
      <c r="AA3129">
        <f>LTP3!$D$7-X3129*LTP3!$D$6-Y3129*U3129-Z3129*V3129</f>
        <v/>
      </c>
      <c r="AB3129">
        <f>IF(AND(F3129,ABS(W3129)&gt;1E-12,Y3129&gt;0,Z3129&gt;0),AA3129,1E+300)</f>
        <v/>
      </c>
    </row>
    <row r="3130">
      <c r="A3130">
        <f>$B$3+$B$5*51</f>
        <v/>
      </c>
      <c r="B3130">
        <f>$B$3+$B$5*7</f>
        <v/>
      </c>
      <c r="C3130">
        <f>SUMPRODUCT(Calc!$K$3:$K$22*(Calc!$G$3:$G$22&lt;=A3130))</f>
        <v/>
      </c>
      <c r="D3130">
        <f>SUMPRODUCT(Calc!$K$3:$K$22*(Calc!$G$3:$G$22&gt;A3130)*(Calc!$G$3:$G$22&lt;B3130))</f>
        <v/>
      </c>
      <c r="E3130">
        <f>SUMPRODUCT(Calc!$K$3:$K$22*(Calc!$G$3:$G$22&gt;=B3130))</f>
        <v/>
      </c>
      <c r="F3130">
        <f>AND(k_n&gt;=5,B3130&gt;A3130+1E-9,C3130&gt;=2,D3130&gt;=1,E3130&gt;=2)</f>
        <v/>
      </c>
      <c r="G3130">
        <f>SUMPRODUCT(Calc!$K$3:$K$22*(Calc!$G$3:$G$22&gt;A3130)*(Calc!$G$3:$G$22-A3130))</f>
        <v/>
      </c>
      <c r="H3130">
        <f>SUMPRODUCT(Calc!$K$3:$K$22*(Calc!$G$3:$G$22&gt;B3130)*(Calc!$G$3:$G$22-B3130))</f>
        <v/>
      </c>
      <c r="I3130">
        <f>SUMPRODUCT(Calc!$K$3:$K$22*(Calc!$G$3:$G$22&gt;A3130)*(Calc!$G$3:$G$22-A3130)^2)</f>
        <v/>
      </c>
      <c r="J3130">
        <f>SUMPRODUCT(Calc!$K$3:$K$22*(Calc!$G$3:$G$22&gt;B3130)*(Calc!$G$3:$G$22-B3130)^2)</f>
        <v/>
      </c>
      <c r="K3130">
        <f>SUMPRODUCT(Calc!$K$3:$K$22*(Calc!$G$3:$G$22&gt;A3130)*(Calc!$G$3:$G$22-A3130)*(Calc!$G$3:$G$22&gt;B3130)*(Calc!$G$3:$G$22-B3130))</f>
        <v/>
      </c>
      <c r="L3130">
        <f>SUMPRODUCT(Calc!$K$3:$K$22*(Calc!$G$3:$G$22&gt;A3130)*(Calc!$G$3:$G$22-A3130)*Calc!$G$3:$G$22)</f>
        <v/>
      </c>
      <c r="M3130">
        <f>SUMPRODUCT(Calc!$K$3:$K$22*(Calc!$G$3:$G$22&gt;B3130)*(Calc!$G$3:$G$22-B3130)*Calc!$G$3:$G$22)</f>
        <v/>
      </c>
      <c r="N3130">
        <f>SUMPRODUCT(Calc!$K$3:$K$22*(Calc!$G$3:$G$22&gt;A3130)*(Calc!$G$3:$G$22-A3130)*Calc!$I$3:$I$22)</f>
        <v/>
      </c>
      <c r="O3130">
        <f>SUMPRODUCT(Calc!$K$3:$K$22*(Calc!$G$3:$G$22&gt;B3130)*(Calc!$G$3:$G$22-B3130)*Calc!$I$3:$I$22)</f>
        <v/>
      </c>
      <c r="P3130">
        <f>I3130-G3130^2/k_n</f>
        <v/>
      </c>
      <c r="Q3130">
        <f>J3130-H3130^2/k_n</f>
        <v/>
      </c>
      <c r="R3130">
        <f>K3130-G3130*H3130/k_n</f>
        <v/>
      </c>
      <c r="S3130">
        <f>L3130-LTP3!$D$3*G3130/k_n</f>
        <v/>
      </c>
      <c r="T3130">
        <f>M3130-LTP3!$D$3*H3130/k_n</f>
        <v/>
      </c>
      <c r="U3130">
        <f>N3130-G3130*LTP3!$D$4/k_n</f>
        <v/>
      </c>
      <c r="V3130">
        <f>O3130-H3130*LTP3!$D$4/k_n</f>
        <v/>
      </c>
      <c r="W3130">
        <f>((LTP3!$D$5)*((P3130)*(Q3130)-(R3130)*(R3130))-(S3130)*((S3130)*(Q3130)-(R3130)*(T3130))+(T3130)*((S3130)*(R3130)-(P3130)*(T3130)))</f>
        <v/>
      </c>
      <c r="X3130">
        <f>IF(ABS(W3130)&gt;1E-12,((LTP3!$D$6)*((P3130)*(Q3130)-(R3130)*(R3130))-(S3130)*((U3130)*(Q3130)-(R3130)*(V3130))+(T3130)*((U3130)*(R3130)-(P3130)*(V3130)))/W3130,0)</f>
        <v/>
      </c>
      <c r="Y3130">
        <f>IF(ABS(W3130)&gt;1E-12,((LTP3!$D$5)*((U3130)*(Q3130)-(R3130)*(V3130))-(LTP3!$D$6)*((S3130)*(Q3130)-(R3130)*(T3130))+(T3130)*((S3130)*(V3130)-(U3130)*(T3130)))/W3130,0)</f>
        <v/>
      </c>
      <c r="Z3130">
        <f>IF(ABS(W3130)&gt;1E-12,((LTP3!$D$5)*((P3130)*(V3130)-(U3130)*(R3130))-(S3130)*((S3130)*(V3130)-(U3130)*(T3130))+(LTP3!$D$6)*((S3130)*(R3130)-(P3130)*(T3130)))/W3130,0)</f>
        <v/>
      </c>
      <c r="AA3130">
        <f>LTP3!$D$7-X3130*LTP3!$D$6-Y3130*U3130-Z3130*V3130</f>
        <v/>
      </c>
      <c r="AB3130">
        <f>IF(AND(F3130,ABS(W3130)&gt;1E-12,Y3130&gt;0,Z3130&gt;0),AA3130,1E+300)</f>
        <v/>
      </c>
    </row>
    <row r="3131">
      <c r="A3131">
        <f>$B$3+$B$5*51</f>
        <v/>
      </c>
      <c r="B3131">
        <f>$B$3+$B$5*8</f>
        <v/>
      </c>
      <c r="C3131">
        <f>SUMPRODUCT(Calc!$K$3:$K$22*(Calc!$G$3:$G$22&lt;=A3131))</f>
        <v/>
      </c>
      <c r="D3131">
        <f>SUMPRODUCT(Calc!$K$3:$K$22*(Calc!$G$3:$G$22&gt;A3131)*(Calc!$G$3:$G$22&lt;B3131))</f>
        <v/>
      </c>
      <c r="E3131">
        <f>SUMPRODUCT(Calc!$K$3:$K$22*(Calc!$G$3:$G$22&gt;=B3131))</f>
        <v/>
      </c>
      <c r="F3131">
        <f>AND(k_n&gt;=5,B3131&gt;A3131+1E-9,C3131&gt;=2,D3131&gt;=1,E3131&gt;=2)</f>
        <v/>
      </c>
      <c r="G3131">
        <f>SUMPRODUCT(Calc!$K$3:$K$22*(Calc!$G$3:$G$22&gt;A3131)*(Calc!$G$3:$G$22-A3131))</f>
        <v/>
      </c>
      <c r="H3131">
        <f>SUMPRODUCT(Calc!$K$3:$K$22*(Calc!$G$3:$G$22&gt;B3131)*(Calc!$G$3:$G$22-B3131))</f>
        <v/>
      </c>
      <c r="I3131">
        <f>SUMPRODUCT(Calc!$K$3:$K$22*(Calc!$G$3:$G$22&gt;A3131)*(Calc!$G$3:$G$22-A3131)^2)</f>
        <v/>
      </c>
      <c r="J3131">
        <f>SUMPRODUCT(Calc!$K$3:$K$22*(Calc!$G$3:$G$22&gt;B3131)*(Calc!$G$3:$G$22-B3131)^2)</f>
        <v/>
      </c>
      <c r="K3131">
        <f>SUMPRODUCT(Calc!$K$3:$K$22*(Calc!$G$3:$G$22&gt;A3131)*(Calc!$G$3:$G$22-A3131)*(Calc!$G$3:$G$22&gt;B3131)*(Calc!$G$3:$G$22-B3131))</f>
        <v/>
      </c>
      <c r="L3131">
        <f>SUMPRODUCT(Calc!$K$3:$K$22*(Calc!$G$3:$G$22&gt;A3131)*(Calc!$G$3:$G$22-A3131)*Calc!$G$3:$G$22)</f>
        <v/>
      </c>
      <c r="M3131">
        <f>SUMPRODUCT(Calc!$K$3:$K$22*(Calc!$G$3:$G$22&gt;B3131)*(Calc!$G$3:$G$22-B3131)*Calc!$G$3:$G$22)</f>
        <v/>
      </c>
      <c r="N3131">
        <f>SUMPRODUCT(Calc!$K$3:$K$22*(Calc!$G$3:$G$22&gt;A3131)*(Calc!$G$3:$G$22-A3131)*Calc!$I$3:$I$22)</f>
        <v/>
      </c>
      <c r="O3131">
        <f>SUMPRODUCT(Calc!$K$3:$K$22*(Calc!$G$3:$G$22&gt;B3131)*(Calc!$G$3:$G$22-B3131)*Calc!$I$3:$I$22)</f>
        <v/>
      </c>
      <c r="P3131">
        <f>I3131-G3131^2/k_n</f>
        <v/>
      </c>
      <c r="Q3131">
        <f>J3131-H3131^2/k_n</f>
        <v/>
      </c>
      <c r="R3131">
        <f>K3131-G3131*H3131/k_n</f>
        <v/>
      </c>
      <c r="S3131">
        <f>L3131-LTP3!$D$3*G3131/k_n</f>
        <v/>
      </c>
      <c r="T3131">
        <f>M3131-LTP3!$D$3*H3131/k_n</f>
        <v/>
      </c>
      <c r="U3131">
        <f>N3131-G3131*LTP3!$D$4/k_n</f>
        <v/>
      </c>
      <c r="V3131">
        <f>O3131-H3131*LTP3!$D$4/k_n</f>
        <v/>
      </c>
      <c r="W3131">
        <f>((LTP3!$D$5)*((P3131)*(Q3131)-(R3131)*(R3131))-(S3131)*((S3131)*(Q3131)-(R3131)*(T3131))+(T3131)*((S3131)*(R3131)-(P3131)*(T3131)))</f>
        <v/>
      </c>
      <c r="X3131">
        <f>IF(ABS(W3131)&gt;1E-12,((LTP3!$D$6)*((P3131)*(Q3131)-(R3131)*(R3131))-(S3131)*((U3131)*(Q3131)-(R3131)*(V3131))+(T3131)*((U3131)*(R3131)-(P3131)*(V3131)))/W3131,0)</f>
        <v/>
      </c>
      <c r="Y3131">
        <f>IF(ABS(W3131)&gt;1E-12,((LTP3!$D$5)*((U3131)*(Q3131)-(R3131)*(V3131))-(LTP3!$D$6)*((S3131)*(Q3131)-(R3131)*(T3131))+(T3131)*((S3131)*(V3131)-(U3131)*(T3131)))/W3131,0)</f>
        <v/>
      </c>
      <c r="Z3131">
        <f>IF(ABS(W3131)&gt;1E-12,((LTP3!$D$5)*((P3131)*(V3131)-(U3131)*(R3131))-(S3131)*((S3131)*(V3131)-(U3131)*(T3131))+(LTP3!$D$6)*((S3131)*(R3131)-(P3131)*(T3131)))/W3131,0)</f>
        <v/>
      </c>
      <c r="AA3131">
        <f>LTP3!$D$7-X3131*LTP3!$D$6-Y3131*U3131-Z3131*V3131</f>
        <v/>
      </c>
      <c r="AB3131">
        <f>IF(AND(F3131,ABS(W3131)&gt;1E-12,Y3131&gt;0,Z3131&gt;0),AA3131,1E+300)</f>
        <v/>
      </c>
    </row>
    <row r="3132">
      <c r="A3132">
        <f>$B$3+$B$5*51</f>
        <v/>
      </c>
      <c r="B3132">
        <f>$B$3+$B$5*9</f>
        <v/>
      </c>
      <c r="C3132">
        <f>SUMPRODUCT(Calc!$K$3:$K$22*(Calc!$G$3:$G$22&lt;=A3132))</f>
        <v/>
      </c>
      <c r="D3132">
        <f>SUMPRODUCT(Calc!$K$3:$K$22*(Calc!$G$3:$G$22&gt;A3132)*(Calc!$G$3:$G$22&lt;B3132))</f>
        <v/>
      </c>
      <c r="E3132">
        <f>SUMPRODUCT(Calc!$K$3:$K$22*(Calc!$G$3:$G$22&gt;=B3132))</f>
        <v/>
      </c>
      <c r="F3132">
        <f>AND(k_n&gt;=5,B3132&gt;A3132+1E-9,C3132&gt;=2,D3132&gt;=1,E3132&gt;=2)</f>
        <v/>
      </c>
      <c r="G3132">
        <f>SUMPRODUCT(Calc!$K$3:$K$22*(Calc!$G$3:$G$22&gt;A3132)*(Calc!$G$3:$G$22-A3132))</f>
        <v/>
      </c>
      <c r="H3132">
        <f>SUMPRODUCT(Calc!$K$3:$K$22*(Calc!$G$3:$G$22&gt;B3132)*(Calc!$G$3:$G$22-B3132))</f>
        <v/>
      </c>
      <c r="I3132">
        <f>SUMPRODUCT(Calc!$K$3:$K$22*(Calc!$G$3:$G$22&gt;A3132)*(Calc!$G$3:$G$22-A3132)^2)</f>
        <v/>
      </c>
      <c r="J3132">
        <f>SUMPRODUCT(Calc!$K$3:$K$22*(Calc!$G$3:$G$22&gt;B3132)*(Calc!$G$3:$G$22-B3132)^2)</f>
        <v/>
      </c>
      <c r="K3132">
        <f>SUMPRODUCT(Calc!$K$3:$K$22*(Calc!$G$3:$G$22&gt;A3132)*(Calc!$G$3:$G$22-A3132)*(Calc!$G$3:$G$22&gt;B3132)*(Calc!$G$3:$G$22-B3132))</f>
        <v/>
      </c>
      <c r="L3132">
        <f>SUMPRODUCT(Calc!$K$3:$K$22*(Calc!$G$3:$G$22&gt;A3132)*(Calc!$G$3:$G$22-A3132)*Calc!$G$3:$G$22)</f>
        <v/>
      </c>
      <c r="M3132">
        <f>SUMPRODUCT(Calc!$K$3:$K$22*(Calc!$G$3:$G$22&gt;B3132)*(Calc!$G$3:$G$22-B3132)*Calc!$G$3:$G$22)</f>
        <v/>
      </c>
      <c r="N3132">
        <f>SUMPRODUCT(Calc!$K$3:$K$22*(Calc!$G$3:$G$22&gt;A3132)*(Calc!$G$3:$G$22-A3132)*Calc!$I$3:$I$22)</f>
        <v/>
      </c>
      <c r="O3132">
        <f>SUMPRODUCT(Calc!$K$3:$K$22*(Calc!$G$3:$G$22&gt;B3132)*(Calc!$G$3:$G$22-B3132)*Calc!$I$3:$I$22)</f>
        <v/>
      </c>
      <c r="P3132">
        <f>I3132-G3132^2/k_n</f>
        <v/>
      </c>
      <c r="Q3132">
        <f>J3132-H3132^2/k_n</f>
        <v/>
      </c>
      <c r="R3132">
        <f>K3132-G3132*H3132/k_n</f>
        <v/>
      </c>
      <c r="S3132">
        <f>L3132-LTP3!$D$3*G3132/k_n</f>
        <v/>
      </c>
      <c r="T3132">
        <f>M3132-LTP3!$D$3*H3132/k_n</f>
        <v/>
      </c>
      <c r="U3132">
        <f>N3132-G3132*LTP3!$D$4/k_n</f>
        <v/>
      </c>
      <c r="V3132">
        <f>O3132-H3132*LTP3!$D$4/k_n</f>
        <v/>
      </c>
      <c r="W3132">
        <f>((LTP3!$D$5)*((P3132)*(Q3132)-(R3132)*(R3132))-(S3132)*((S3132)*(Q3132)-(R3132)*(T3132))+(T3132)*((S3132)*(R3132)-(P3132)*(T3132)))</f>
        <v/>
      </c>
      <c r="X3132">
        <f>IF(ABS(W3132)&gt;1E-12,((LTP3!$D$6)*((P3132)*(Q3132)-(R3132)*(R3132))-(S3132)*((U3132)*(Q3132)-(R3132)*(V3132))+(T3132)*((U3132)*(R3132)-(P3132)*(V3132)))/W3132,0)</f>
        <v/>
      </c>
      <c r="Y3132">
        <f>IF(ABS(W3132)&gt;1E-12,((LTP3!$D$5)*((U3132)*(Q3132)-(R3132)*(V3132))-(LTP3!$D$6)*((S3132)*(Q3132)-(R3132)*(T3132))+(T3132)*((S3132)*(V3132)-(U3132)*(T3132)))/W3132,0)</f>
        <v/>
      </c>
      <c r="Z3132">
        <f>IF(ABS(W3132)&gt;1E-12,((LTP3!$D$5)*((P3132)*(V3132)-(U3132)*(R3132))-(S3132)*((S3132)*(V3132)-(U3132)*(T3132))+(LTP3!$D$6)*((S3132)*(R3132)-(P3132)*(T3132)))/W3132,0)</f>
        <v/>
      </c>
      <c r="AA3132">
        <f>LTP3!$D$7-X3132*LTP3!$D$6-Y3132*U3132-Z3132*V3132</f>
        <v/>
      </c>
      <c r="AB3132">
        <f>IF(AND(F3132,ABS(W3132)&gt;1E-12,Y3132&gt;0,Z3132&gt;0),AA3132,1E+300)</f>
        <v/>
      </c>
    </row>
    <row r="3133">
      <c r="A3133">
        <f>$B$3+$B$5*51</f>
        <v/>
      </c>
      <c r="B3133">
        <f>$B$3+$B$5*10</f>
        <v/>
      </c>
      <c r="C3133">
        <f>SUMPRODUCT(Calc!$K$3:$K$22*(Calc!$G$3:$G$22&lt;=A3133))</f>
        <v/>
      </c>
      <c r="D3133">
        <f>SUMPRODUCT(Calc!$K$3:$K$22*(Calc!$G$3:$G$22&gt;A3133)*(Calc!$G$3:$G$22&lt;B3133))</f>
        <v/>
      </c>
      <c r="E3133">
        <f>SUMPRODUCT(Calc!$K$3:$K$22*(Calc!$G$3:$G$22&gt;=B3133))</f>
        <v/>
      </c>
      <c r="F3133">
        <f>AND(k_n&gt;=5,B3133&gt;A3133+1E-9,C3133&gt;=2,D3133&gt;=1,E3133&gt;=2)</f>
        <v/>
      </c>
      <c r="G3133">
        <f>SUMPRODUCT(Calc!$K$3:$K$22*(Calc!$G$3:$G$22&gt;A3133)*(Calc!$G$3:$G$22-A3133))</f>
        <v/>
      </c>
      <c r="H3133">
        <f>SUMPRODUCT(Calc!$K$3:$K$22*(Calc!$G$3:$G$22&gt;B3133)*(Calc!$G$3:$G$22-B3133))</f>
        <v/>
      </c>
      <c r="I3133">
        <f>SUMPRODUCT(Calc!$K$3:$K$22*(Calc!$G$3:$G$22&gt;A3133)*(Calc!$G$3:$G$22-A3133)^2)</f>
        <v/>
      </c>
      <c r="J3133">
        <f>SUMPRODUCT(Calc!$K$3:$K$22*(Calc!$G$3:$G$22&gt;B3133)*(Calc!$G$3:$G$22-B3133)^2)</f>
        <v/>
      </c>
      <c r="K3133">
        <f>SUMPRODUCT(Calc!$K$3:$K$22*(Calc!$G$3:$G$22&gt;A3133)*(Calc!$G$3:$G$22-A3133)*(Calc!$G$3:$G$22&gt;B3133)*(Calc!$G$3:$G$22-B3133))</f>
        <v/>
      </c>
      <c r="L3133">
        <f>SUMPRODUCT(Calc!$K$3:$K$22*(Calc!$G$3:$G$22&gt;A3133)*(Calc!$G$3:$G$22-A3133)*Calc!$G$3:$G$22)</f>
        <v/>
      </c>
      <c r="M3133">
        <f>SUMPRODUCT(Calc!$K$3:$K$22*(Calc!$G$3:$G$22&gt;B3133)*(Calc!$G$3:$G$22-B3133)*Calc!$G$3:$G$22)</f>
        <v/>
      </c>
      <c r="N3133">
        <f>SUMPRODUCT(Calc!$K$3:$K$22*(Calc!$G$3:$G$22&gt;A3133)*(Calc!$G$3:$G$22-A3133)*Calc!$I$3:$I$22)</f>
        <v/>
      </c>
      <c r="O3133">
        <f>SUMPRODUCT(Calc!$K$3:$K$22*(Calc!$G$3:$G$22&gt;B3133)*(Calc!$G$3:$G$22-B3133)*Calc!$I$3:$I$22)</f>
        <v/>
      </c>
      <c r="P3133">
        <f>I3133-G3133^2/k_n</f>
        <v/>
      </c>
      <c r="Q3133">
        <f>J3133-H3133^2/k_n</f>
        <v/>
      </c>
      <c r="R3133">
        <f>K3133-G3133*H3133/k_n</f>
        <v/>
      </c>
      <c r="S3133">
        <f>L3133-LTP3!$D$3*G3133/k_n</f>
        <v/>
      </c>
      <c r="T3133">
        <f>M3133-LTP3!$D$3*H3133/k_n</f>
        <v/>
      </c>
      <c r="U3133">
        <f>N3133-G3133*LTP3!$D$4/k_n</f>
        <v/>
      </c>
      <c r="V3133">
        <f>O3133-H3133*LTP3!$D$4/k_n</f>
        <v/>
      </c>
      <c r="W3133">
        <f>((LTP3!$D$5)*((P3133)*(Q3133)-(R3133)*(R3133))-(S3133)*((S3133)*(Q3133)-(R3133)*(T3133))+(T3133)*((S3133)*(R3133)-(P3133)*(T3133)))</f>
        <v/>
      </c>
      <c r="X3133">
        <f>IF(ABS(W3133)&gt;1E-12,((LTP3!$D$6)*((P3133)*(Q3133)-(R3133)*(R3133))-(S3133)*((U3133)*(Q3133)-(R3133)*(V3133))+(T3133)*((U3133)*(R3133)-(P3133)*(V3133)))/W3133,0)</f>
        <v/>
      </c>
      <c r="Y3133">
        <f>IF(ABS(W3133)&gt;1E-12,((LTP3!$D$5)*((U3133)*(Q3133)-(R3133)*(V3133))-(LTP3!$D$6)*((S3133)*(Q3133)-(R3133)*(T3133))+(T3133)*((S3133)*(V3133)-(U3133)*(T3133)))/W3133,0)</f>
        <v/>
      </c>
      <c r="Z3133">
        <f>IF(ABS(W3133)&gt;1E-12,((LTP3!$D$5)*((P3133)*(V3133)-(U3133)*(R3133))-(S3133)*((S3133)*(V3133)-(U3133)*(T3133))+(LTP3!$D$6)*((S3133)*(R3133)-(P3133)*(T3133)))/W3133,0)</f>
        <v/>
      </c>
      <c r="AA3133">
        <f>LTP3!$D$7-X3133*LTP3!$D$6-Y3133*U3133-Z3133*V3133</f>
        <v/>
      </c>
      <c r="AB3133">
        <f>IF(AND(F3133,ABS(W3133)&gt;1E-12,Y3133&gt;0,Z3133&gt;0),AA3133,1E+300)</f>
        <v/>
      </c>
    </row>
    <row r="3134">
      <c r="A3134">
        <f>$B$3+$B$5*51</f>
        <v/>
      </c>
      <c r="B3134">
        <f>$B$3+$B$5*11</f>
        <v/>
      </c>
      <c r="C3134">
        <f>SUMPRODUCT(Calc!$K$3:$K$22*(Calc!$G$3:$G$22&lt;=A3134))</f>
        <v/>
      </c>
      <c r="D3134">
        <f>SUMPRODUCT(Calc!$K$3:$K$22*(Calc!$G$3:$G$22&gt;A3134)*(Calc!$G$3:$G$22&lt;B3134))</f>
        <v/>
      </c>
      <c r="E3134">
        <f>SUMPRODUCT(Calc!$K$3:$K$22*(Calc!$G$3:$G$22&gt;=B3134))</f>
        <v/>
      </c>
      <c r="F3134">
        <f>AND(k_n&gt;=5,B3134&gt;A3134+1E-9,C3134&gt;=2,D3134&gt;=1,E3134&gt;=2)</f>
        <v/>
      </c>
      <c r="G3134">
        <f>SUMPRODUCT(Calc!$K$3:$K$22*(Calc!$G$3:$G$22&gt;A3134)*(Calc!$G$3:$G$22-A3134))</f>
        <v/>
      </c>
      <c r="H3134">
        <f>SUMPRODUCT(Calc!$K$3:$K$22*(Calc!$G$3:$G$22&gt;B3134)*(Calc!$G$3:$G$22-B3134))</f>
        <v/>
      </c>
      <c r="I3134">
        <f>SUMPRODUCT(Calc!$K$3:$K$22*(Calc!$G$3:$G$22&gt;A3134)*(Calc!$G$3:$G$22-A3134)^2)</f>
        <v/>
      </c>
      <c r="J3134">
        <f>SUMPRODUCT(Calc!$K$3:$K$22*(Calc!$G$3:$G$22&gt;B3134)*(Calc!$G$3:$G$22-B3134)^2)</f>
        <v/>
      </c>
      <c r="K3134">
        <f>SUMPRODUCT(Calc!$K$3:$K$22*(Calc!$G$3:$G$22&gt;A3134)*(Calc!$G$3:$G$22-A3134)*(Calc!$G$3:$G$22&gt;B3134)*(Calc!$G$3:$G$22-B3134))</f>
        <v/>
      </c>
      <c r="L3134">
        <f>SUMPRODUCT(Calc!$K$3:$K$22*(Calc!$G$3:$G$22&gt;A3134)*(Calc!$G$3:$G$22-A3134)*Calc!$G$3:$G$22)</f>
        <v/>
      </c>
      <c r="M3134">
        <f>SUMPRODUCT(Calc!$K$3:$K$22*(Calc!$G$3:$G$22&gt;B3134)*(Calc!$G$3:$G$22-B3134)*Calc!$G$3:$G$22)</f>
        <v/>
      </c>
      <c r="N3134">
        <f>SUMPRODUCT(Calc!$K$3:$K$22*(Calc!$G$3:$G$22&gt;A3134)*(Calc!$G$3:$G$22-A3134)*Calc!$I$3:$I$22)</f>
        <v/>
      </c>
      <c r="O3134">
        <f>SUMPRODUCT(Calc!$K$3:$K$22*(Calc!$G$3:$G$22&gt;B3134)*(Calc!$G$3:$G$22-B3134)*Calc!$I$3:$I$22)</f>
        <v/>
      </c>
      <c r="P3134">
        <f>I3134-G3134^2/k_n</f>
        <v/>
      </c>
      <c r="Q3134">
        <f>J3134-H3134^2/k_n</f>
        <v/>
      </c>
      <c r="R3134">
        <f>K3134-G3134*H3134/k_n</f>
        <v/>
      </c>
      <c r="S3134">
        <f>L3134-LTP3!$D$3*G3134/k_n</f>
        <v/>
      </c>
      <c r="T3134">
        <f>M3134-LTP3!$D$3*H3134/k_n</f>
        <v/>
      </c>
      <c r="U3134">
        <f>N3134-G3134*LTP3!$D$4/k_n</f>
        <v/>
      </c>
      <c r="V3134">
        <f>O3134-H3134*LTP3!$D$4/k_n</f>
        <v/>
      </c>
      <c r="W3134">
        <f>((LTP3!$D$5)*((P3134)*(Q3134)-(R3134)*(R3134))-(S3134)*((S3134)*(Q3134)-(R3134)*(T3134))+(T3134)*((S3134)*(R3134)-(P3134)*(T3134)))</f>
        <v/>
      </c>
      <c r="X3134">
        <f>IF(ABS(W3134)&gt;1E-12,((LTP3!$D$6)*((P3134)*(Q3134)-(R3134)*(R3134))-(S3134)*((U3134)*(Q3134)-(R3134)*(V3134))+(T3134)*((U3134)*(R3134)-(P3134)*(V3134)))/W3134,0)</f>
        <v/>
      </c>
      <c r="Y3134">
        <f>IF(ABS(W3134)&gt;1E-12,((LTP3!$D$5)*((U3134)*(Q3134)-(R3134)*(V3134))-(LTP3!$D$6)*((S3134)*(Q3134)-(R3134)*(T3134))+(T3134)*((S3134)*(V3134)-(U3134)*(T3134)))/W3134,0)</f>
        <v/>
      </c>
      <c r="Z3134">
        <f>IF(ABS(W3134)&gt;1E-12,((LTP3!$D$5)*((P3134)*(V3134)-(U3134)*(R3134))-(S3134)*((S3134)*(V3134)-(U3134)*(T3134))+(LTP3!$D$6)*((S3134)*(R3134)-(P3134)*(T3134)))/W3134,0)</f>
        <v/>
      </c>
      <c r="AA3134">
        <f>LTP3!$D$7-X3134*LTP3!$D$6-Y3134*U3134-Z3134*V3134</f>
        <v/>
      </c>
      <c r="AB3134">
        <f>IF(AND(F3134,ABS(W3134)&gt;1E-12,Y3134&gt;0,Z3134&gt;0),AA3134,1E+300)</f>
        <v/>
      </c>
    </row>
    <row r="3135">
      <c r="A3135">
        <f>$B$3+$B$5*51</f>
        <v/>
      </c>
      <c r="B3135">
        <f>$B$3+$B$5*12</f>
        <v/>
      </c>
      <c r="C3135">
        <f>SUMPRODUCT(Calc!$K$3:$K$22*(Calc!$G$3:$G$22&lt;=A3135))</f>
        <v/>
      </c>
      <c r="D3135">
        <f>SUMPRODUCT(Calc!$K$3:$K$22*(Calc!$G$3:$G$22&gt;A3135)*(Calc!$G$3:$G$22&lt;B3135))</f>
        <v/>
      </c>
      <c r="E3135">
        <f>SUMPRODUCT(Calc!$K$3:$K$22*(Calc!$G$3:$G$22&gt;=B3135))</f>
        <v/>
      </c>
      <c r="F3135">
        <f>AND(k_n&gt;=5,B3135&gt;A3135+1E-9,C3135&gt;=2,D3135&gt;=1,E3135&gt;=2)</f>
        <v/>
      </c>
      <c r="G3135">
        <f>SUMPRODUCT(Calc!$K$3:$K$22*(Calc!$G$3:$G$22&gt;A3135)*(Calc!$G$3:$G$22-A3135))</f>
        <v/>
      </c>
      <c r="H3135">
        <f>SUMPRODUCT(Calc!$K$3:$K$22*(Calc!$G$3:$G$22&gt;B3135)*(Calc!$G$3:$G$22-B3135))</f>
        <v/>
      </c>
      <c r="I3135">
        <f>SUMPRODUCT(Calc!$K$3:$K$22*(Calc!$G$3:$G$22&gt;A3135)*(Calc!$G$3:$G$22-A3135)^2)</f>
        <v/>
      </c>
      <c r="J3135">
        <f>SUMPRODUCT(Calc!$K$3:$K$22*(Calc!$G$3:$G$22&gt;B3135)*(Calc!$G$3:$G$22-B3135)^2)</f>
        <v/>
      </c>
      <c r="K3135">
        <f>SUMPRODUCT(Calc!$K$3:$K$22*(Calc!$G$3:$G$22&gt;A3135)*(Calc!$G$3:$G$22-A3135)*(Calc!$G$3:$G$22&gt;B3135)*(Calc!$G$3:$G$22-B3135))</f>
        <v/>
      </c>
      <c r="L3135">
        <f>SUMPRODUCT(Calc!$K$3:$K$22*(Calc!$G$3:$G$22&gt;A3135)*(Calc!$G$3:$G$22-A3135)*Calc!$G$3:$G$22)</f>
        <v/>
      </c>
      <c r="M3135">
        <f>SUMPRODUCT(Calc!$K$3:$K$22*(Calc!$G$3:$G$22&gt;B3135)*(Calc!$G$3:$G$22-B3135)*Calc!$G$3:$G$22)</f>
        <v/>
      </c>
      <c r="N3135">
        <f>SUMPRODUCT(Calc!$K$3:$K$22*(Calc!$G$3:$G$22&gt;A3135)*(Calc!$G$3:$G$22-A3135)*Calc!$I$3:$I$22)</f>
        <v/>
      </c>
      <c r="O3135">
        <f>SUMPRODUCT(Calc!$K$3:$K$22*(Calc!$G$3:$G$22&gt;B3135)*(Calc!$G$3:$G$22-B3135)*Calc!$I$3:$I$22)</f>
        <v/>
      </c>
      <c r="P3135">
        <f>I3135-G3135^2/k_n</f>
        <v/>
      </c>
      <c r="Q3135">
        <f>J3135-H3135^2/k_n</f>
        <v/>
      </c>
      <c r="R3135">
        <f>K3135-G3135*H3135/k_n</f>
        <v/>
      </c>
      <c r="S3135">
        <f>L3135-LTP3!$D$3*G3135/k_n</f>
        <v/>
      </c>
      <c r="T3135">
        <f>M3135-LTP3!$D$3*H3135/k_n</f>
        <v/>
      </c>
      <c r="U3135">
        <f>N3135-G3135*LTP3!$D$4/k_n</f>
        <v/>
      </c>
      <c r="V3135">
        <f>O3135-H3135*LTP3!$D$4/k_n</f>
        <v/>
      </c>
      <c r="W3135">
        <f>((LTP3!$D$5)*((P3135)*(Q3135)-(R3135)*(R3135))-(S3135)*((S3135)*(Q3135)-(R3135)*(T3135))+(T3135)*((S3135)*(R3135)-(P3135)*(T3135)))</f>
        <v/>
      </c>
      <c r="X3135">
        <f>IF(ABS(W3135)&gt;1E-12,((LTP3!$D$6)*((P3135)*(Q3135)-(R3135)*(R3135))-(S3135)*((U3135)*(Q3135)-(R3135)*(V3135))+(T3135)*((U3135)*(R3135)-(P3135)*(V3135)))/W3135,0)</f>
        <v/>
      </c>
      <c r="Y3135">
        <f>IF(ABS(W3135)&gt;1E-12,((LTP3!$D$5)*((U3135)*(Q3135)-(R3135)*(V3135))-(LTP3!$D$6)*((S3135)*(Q3135)-(R3135)*(T3135))+(T3135)*((S3135)*(V3135)-(U3135)*(T3135)))/W3135,0)</f>
        <v/>
      </c>
      <c r="Z3135">
        <f>IF(ABS(W3135)&gt;1E-12,((LTP3!$D$5)*((P3135)*(V3135)-(U3135)*(R3135))-(S3135)*((S3135)*(V3135)-(U3135)*(T3135))+(LTP3!$D$6)*((S3135)*(R3135)-(P3135)*(T3135)))/W3135,0)</f>
        <v/>
      </c>
      <c r="AA3135">
        <f>LTP3!$D$7-X3135*LTP3!$D$6-Y3135*U3135-Z3135*V3135</f>
        <v/>
      </c>
      <c r="AB3135">
        <f>IF(AND(F3135,ABS(W3135)&gt;1E-12,Y3135&gt;0,Z3135&gt;0),AA3135,1E+300)</f>
        <v/>
      </c>
    </row>
    <row r="3136">
      <c r="A3136">
        <f>$B$3+$B$5*51</f>
        <v/>
      </c>
      <c r="B3136">
        <f>$B$3+$B$5*13</f>
        <v/>
      </c>
      <c r="C3136">
        <f>SUMPRODUCT(Calc!$K$3:$K$22*(Calc!$G$3:$G$22&lt;=A3136))</f>
        <v/>
      </c>
      <c r="D3136">
        <f>SUMPRODUCT(Calc!$K$3:$K$22*(Calc!$G$3:$G$22&gt;A3136)*(Calc!$G$3:$G$22&lt;B3136))</f>
        <v/>
      </c>
      <c r="E3136">
        <f>SUMPRODUCT(Calc!$K$3:$K$22*(Calc!$G$3:$G$22&gt;=B3136))</f>
        <v/>
      </c>
      <c r="F3136">
        <f>AND(k_n&gt;=5,B3136&gt;A3136+1E-9,C3136&gt;=2,D3136&gt;=1,E3136&gt;=2)</f>
        <v/>
      </c>
      <c r="G3136">
        <f>SUMPRODUCT(Calc!$K$3:$K$22*(Calc!$G$3:$G$22&gt;A3136)*(Calc!$G$3:$G$22-A3136))</f>
        <v/>
      </c>
      <c r="H3136">
        <f>SUMPRODUCT(Calc!$K$3:$K$22*(Calc!$G$3:$G$22&gt;B3136)*(Calc!$G$3:$G$22-B3136))</f>
        <v/>
      </c>
      <c r="I3136">
        <f>SUMPRODUCT(Calc!$K$3:$K$22*(Calc!$G$3:$G$22&gt;A3136)*(Calc!$G$3:$G$22-A3136)^2)</f>
        <v/>
      </c>
      <c r="J3136">
        <f>SUMPRODUCT(Calc!$K$3:$K$22*(Calc!$G$3:$G$22&gt;B3136)*(Calc!$G$3:$G$22-B3136)^2)</f>
        <v/>
      </c>
      <c r="K3136">
        <f>SUMPRODUCT(Calc!$K$3:$K$22*(Calc!$G$3:$G$22&gt;A3136)*(Calc!$G$3:$G$22-A3136)*(Calc!$G$3:$G$22&gt;B3136)*(Calc!$G$3:$G$22-B3136))</f>
        <v/>
      </c>
      <c r="L3136">
        <f>SUMPRODUCT(Calc!$K$3:$K$22*(Calc!$G$3:$G$22&gt;A3136)*(Calc!$G$3:$G$22-A3136)*Calc!$G$3:$G$22)</f>
        <v/>
      </c>
      <c r="M3136">
        <f>SUMPRODUCT(Calc!$K$3:$K$22*(Calc!$G$3:$G$22&gt;B3136)*(Calc!$G$3:$G$22-B3136)*Calc!$G$3:$G$22)</f>
        <v/>
      </c>
      <c r="N3136">
        <f>SUMPRODUCT(Calc!$K$3:$K$22*(Calc!$G$3:$G$22&gt;A3136)*(Calc!$G$3:$G$22-A3136)*Calc!$I$3:$I$22)</f>
        <v/>
      </c>
      <c r="O3136">
        <f>SUMPRODUCT(Calc!$K$3:$K$22*(Calc!$G$3:$G$22&gt;B3136)*(Calc!$G$3:$G$22-B3136)*Calc!$I$3:$I$22)</f>
        <v/>
      </c>
      <c r="P3136">
        <f>I3136-G3136^2/k_n</f>
        <v/>
      </c>
      <c r="Q3136">
        <f>J3136-H3136^2/k_n</f>
        <v/>
      </c>
      <c r="R3136">
        <f>K3136-G3136*H3136/k_n</f>
        <v/>
      </c>
      <c r="S3136">
        <f>L3136-LTP3!$D$3*G3136/k_n</f>
        <v/>
      </c>
      <c r="T3136">
        <f>M3136-LTP3!$D$3*H3136/k_n</f>
        <v/>
      </c>
      <c r="U3136">
        <f>N3136-G3136*LTP3!$D$4/k_n</f>
        <v/>
      </c>
      <c r="V3136">
        <f>O3136-H3136*LTP3!$D$4/k_n</f>
        <v/>
      </c>
      <c r="W3136">
        <f>((LTP3!$D$5)*((P3136)*(Q3136)-(R3136)*(R3136))-(S3136)*((S3136)*(Q3136)-(R3136)*(T3136))+(T3136)*((S3136)*(R3136)-(P3136)*(T3136)))</f>
        <v/>
      </c>
      <c r="X3136">
        <f>IF(ABS(W3136)&gt;1E-12,((LTP3!$D$6)*((P3136)*(Q3136)-(R3136)*(R3136))-(S3136)*((U3136)*(Q3136)-(R3136)*(V3136))+(T3136)*((U3136)*(R3136)-(P3136)*(V3136)))/W3136,0)</f>
        <v/>
      </c>
      <c r="Y3136">
        <f>IF(ABS(W3136)&gt;1E-12,((LTP3!$D$5)*((U3136)*(Q3136)-(R3136)*(V3136))-(LTP3!$D$6)*((S3136)*(Q3136)-(R3136)*(T3136))+(T3136)*((S3136)*(V3136)-(U3136)*(T3136)))/W3136,0)</f>
        <v/>
      </c>
      <c r="Z3136">
        <f>IF(ABS(W3136)&gt;1E-12,((LTP3!$D$5)*((P3136)*(V3136)-(U3136)*(R3136))-(S3136)*((S3136)*(V3136)-(U3136)*(T3136))+(LTP3!$D$6)*((S3136)*(R3136)-(P3136)*(T3136)))/W3136,0)</f>
        <v/>
      </c>
      <c r="AA3136">
        <f>LTP3!$D$7-X3136*LTP3!$D$6-Y3136*U3136-Z3136*V3136</f>
        <v/>
      </c>
      <c r="AB3136">
        <f>IF(AND(F3136,ABS(W3136)&gt;1E-12,Y3136&gt;0,Z3136&gt;0),AA3136,1E+300)</f>
        <v/>
      </c>
    </row>
    <row r="3137">
      <c r="A3137">
        <f>$B$3+$B$5*51</f>
        <v/>
      </c>
      <c r="B3137">
        <f>$B$3+$B$5*14</f>
        <v/>
      </c>
      <c r="C3137">
        <f>SUMPRODUCT(Calc!$K$3:$K$22*(Calc!$G$3:$G$22&lt;=A3137))</f>
        <v/>
      </c>
      <c r="D3137">
        <f>SUMPRODUCT(Calc!$K$3:$K$22*(Calc!$G$3:$G$22&gt;A3137)*(Calc!$G$3:$G$22&lt;B3137))</f>
        <v/>
      </c>
      <c r="E3137">
        <f>SUMPRODUCT(Calc!$K$3:$K$22*(Calc!$G$3:$G$22&gt;=B3137))</f>
        <v/>
      </c>
      <c r="F3137">
        <f>AND(k_n&gt;=5,B3137&gt;A3137+1E-9,C3137&gt;=2,D3137&gt;=1,E3137&gt;=2)</f>
        <v/>
      </c>
      <c r="G3137">
        <f>SUMPRODUCT(Calc!$K$3:$K$22*(Calc!$G$3:$G$22&gt;A3137)*(Calc!$G$3:$G$22-A3137))</f>
        <v/>
      </c>
      <c r="H3137">
        <f>SUMPRODUCT(Calc!$K$3:$K$22*(Calc!$G$3:$G$22&gt;B3137)*(Calc!$G$3:$G$22-B3137))</f>
        <v/>
      </c>
      <c r="I3137">
        <f>SUMPRODUCT(Calc!$K$3:$K$22*(Calc!$G$3:$G$22&gt;A3137)*(Calc!$G$3:$G$22-A3137)^2)</f>
        <v/>
      </c>
      <c r="J3137">
        <f>SUMPRODUCT(Calc!$K$3:$K$22*(Calc!$G$3:$G$22&gt;B3137)*(Calc!$G$3:$G$22-B3137)^2)</f>
        <v/>
      </c>
      <c r="K3137">
        <f>SUMPRODUCT(Calc!$K$3:$K$22*(Calc!$G$3:$G$22&gt;A3137)*(Calc!$G$3:$G$22-A3137)*(Calc!$G$3:$G$22&gt;B3137)*(Calc!$G$3:$G$22-B3137))</f>
        <v/>
      </c>
      <c r="L3137">
        <f>SUMPRODUCT(Calc!$K$3:$K$22*(Calc!$G$3:$G$22&gt;A3137)*(Calc!$G$3:$G$22-A3137)*Calc!$G$3:$G$22)</f>
        <v/>
      </c>
      <c r="M3137">
        <f>SUMPRODUCT(Calc!$K$3:$K$22*(Calc!$G$3:$G$22&gt;B3137)*(Calc!$G$3:$G$22-B3137)*Calc!$G$3:$G$22)</f>
        <v/>
      </c>
      <c r="N3137">
        <f>SUMPRODUCT(Calc!$K$3:$K$22*(Calc!$G$3:$G$22&gt;A3137)*(Calc!$G$3:$G$22-A3137)*Calc!$I$3:$I$22)</f>
        <v/>
      </c>
      <c r="O3137">
        <f>SUMPRODUCT(Calc!$K$3:$K$22*(Calc!$G$3:$G$22&gt;B3137)*(Calc!$G$3:$G$22-B3137)*Calc!$I$3:$I$22)</f>
        <v/>
      </c>
      <c r="P3137">
        <f>I3137-G3137^2/k_n</f>
        <v/>
      </c>
      <c r="Q3137">
        <f>J3137-H3137^2/k_n</f>
        <v/>
      </c>
      <c r="R3137">
        <f>K3137-G3137*H3137/k_n</f>
        <v/>
      </c>
      <c r="S3137">
        <f>L3137-LTP3!$D$3*G3137/k_n</f>
        <v/>
      </c>
      <c r="T3137">
        <f>M3137-LTP3!$D$3*H3137/k_n</f>
        <v/>
      </c>
      <c r="U3137">
        <f>N3137-G3137*LTP3!$D$4/k_n</f>
        <v/>
      </c>
      <c r="V3137">
        <f>O3137-H3137*LTP3!$D$4/k_n</f>
        <v/>
      </c>
      <c r="W3137">
        <f>((LTP3!$D$5)*((P3137)*(Q3137)-(R3137)*(R3137))-(S3137)*((S3137)*(Q3137)-(R3137)*(T3137))+(T3137)*((S3137)*(R3137)-(P3137)*(T3137)))</f>
        <v/>
      </c>
      <c r="X3137">
        <f>IF(ABS(W3137)&gt;1E-12,((LTP3!$D$6)*((P3137)*(Q3137)-(R3137)*(R3137))-(S3137)*((U3137)*(Q3137)-(R3137)*(V3137))+(T3137)*((U3137)*(R3137)-(P3137)*(V3137)))/W3137,0)</f>
        <v/>
      </c>
      <c r="Y3137">
        <f>IF(ABS(W3137)&gt;1E-12,((LTP3!$D$5)*((U3137)*(Q3137)-(R3137)*(V3137))-(LTP3!$D$6)*((S3137)*(Q3137)-(R3137)*(T3137))+(T3137)*((S3137)*(V3137)-(U3137)*(T3137)))/W3137,0)</f>
        <v/>
      </c>
      <c r="Z3137">
        <f>IF(ABS(W3137)&gt;1E-12,((LTP3!$D$5)*((P3137)*(V3137)-(U3137)*(R3137))-(S3137)*((S3137)*(V3137)-(U3137)*(T3137))+(LTP3!$D$6)*((S3137)*(R3137)-(P3137)*(T3137)))/W3137,0)</f>
        <v/>
      </c>
      <c r="AA3137">
        <f>LTP3!$D$7-X3137*LTP3!$D$6-Y3137*U3137-Z3137*V3137</f>
        <v/>
      </c>
      <c r="AB3137">
        <f>IF(AND(F3137,ABS(W3137)&gt;1E-12,Y3137&gt;0,Z3137&gt;0),AA3137,1E+300)</f>
        <v/>
      </c>
    </row>
    <row r="3138">
      <c r="A3138">
        <f>$B$3+$B$5*51</f>
        <v/>
      </c>
      <c r="B3138">
        <f>$B$3+$B$5*15</f>
        <v/>
      </c>
      <c r="C3138">
        <f>SUMPRODUCT(Calc!$K$3:$K$22*(Calc!$G$3:$G$22&lt;=A3138))</f>
        <v/>
      </c>
      <c r="D3138">
        <f>SUMPRODUCT(Calc!$K$3:$K$22*(Calc!$G$3:$G$22&gt;A3138)*(Calc!$G$3:$G$22&lt;B3138))</f>
        <v/>
      </c>
      <c r="E3138">
        <f>SUMPRODUCT(Calc!$K$3:$K$22*(Calc!$G$3:$G$22&gt;=B3138))</f>
        <v/>
      </c>
      <c r="F3138">
        <f>AND(k_n&gt;=5,B3138&gt;A3138+1E-9,C3138&gt;=2,D3138&gt;=1,E3138&gt;=2)</f>
        <v/>
      </c>
      <c r="G3138">
        <f>SUMPRODUCT(Calc!$K$3:$K$22*(Calc!$G$3:$G$22&gt;A3138)*(Calc!$G$3:$G$22-A3138))</f>
        <v/>
      </c>
      <c r="H3138">
        <f>SUMPRODUCT(Calc!$K$3:$K$22*(Calc!$G$3:$G$22&gt;B3138)*(Calc!$G$3:$G$22-B3138))</f>
        <v/>
      </c>
      <c r="I3138">
        <f>SUMPRODUCT(Calc!$K$3:$K$22*(Calc!$G$3:$G$22&gt;A3138)*(Calc!$G$3:$G$22-A3138)^2)</f>
        <v/>
      </c>
      <c r="J3138">
        <f>SUMPRODUCT(Calc!$K$3:$K$22*(Calc!$G$3:$G$22&gt;B3138)*(Calc!$G$3:$G$22-B3138)^2)</f>
        <v/>
      </c>
      <c r="K3138">
        <f>SUMPRODUCT(Calc!$K$3:$K$22*(Calc!$G$3:$G$22&gt;A3138)*(Calc!$G$3:$G$22-A3138)*(Calc!$G$3:$G$22&gt;B3138)*(Calc!$G$3:$G$22-B3138))</f>
        <v/>
      </c>
      <c r="L3138">
        <f>SUMPRODUCT(Calc!$K$3:$K$22*(Calc!$G$3:$G$22&gt;A3138)*(Calc!$G$3:$G$22-A3138)*Calc!$G$3:$G$22)</f>
        <v/>
      </c>
      <c r="M3138">
        <f>SUMPRODUCT(Calc!$K$3:$K$22*(Calc!$G$3:$G$22&gt;B3138)*(Calc!$G$3:$G$22-B3138)*Calc!$G$3:$G$22)</f>
        <v/>
      </c>
      <c r="N3138">
        <f>SUMPRODUCT(Calc!$K$3:$K$22*(Calc!$G$3:$G$22&gt;A3138)*(Calc!$G$3:$G$22-A3138)*Calc!$I$3:$I$22)</f>
        <v/>
      </c>
      <c r="O3138">
        <f>SUMPRODUCT(Calc!$K$3:$K$22*(Calc!$G$3:$G$22&gt;B3138)*(Calc!$G$3:$G$22-B3138)*Calc!$I$3:$I$22)</f>
        <v/>
      </c>
      <c r="P3138">
        <f>I3138-G3138^2/k_n</f>
        <v/>
      </c>
      <c r="Q3138">
        <f>J3138-H3138^2/k_n</f>
        <v/>
      </c>
      <c r="R3138">
        <f>K3138-G3138*H3138/k_n</f>
        <v/>
      </c>
      <c r="S3138">
        <f>L3138-LTP3!$D$3*G3138/k_n</f>
        <v/>
      </c>
      <c r="T3138">
        <f>M3138-LTP3!$D$3*H3138/k_n</f>
        <v/>
      </c>
      <c r="U3138">
        <f>N3138-G3138*LTP3!$D$4/k_n</f>
        <v/>
      </c>
      <c r="V3138">
        <f>O3138-H3138*LTP3!$D$4/k_n</f>
        <v/>
      </c>
      <c r="W3138">
        <f>((LTP3!$D$5)*((P3138)*(Q3138)-(R3138)*(R3138))-(S3138)*((S3138)*(Q3138)-(R3138)*(T3138))+(T3138)*((S3138)*(R3138)-(P3138)*(T3138)))</f>
        <v/>
      </c>
      <c r="X3138">
        <f>IF(ABS(W3138)&gt;1E-12,((LTP3!$D$6)*((P3138)*(Q3138)-(R3138)*(R3138))-(S3138)*((U3138)*(Q3138)-(R3138)*(V3138))+(T3138)*((U3138)*(R3138)-(P3138)*(V3138)))/W3138,0)</f>
        <v/>
      </c>
      <c r="Y3138">
        <f>IF(ABS(W3138)&gt;1E-12,((LTP3!$D$5)*((U3138)*(Q3138)-(R3138)*(V3138))-(LTP3!$D$6)*((S3138)*(Q3138)-(R3138)*(T3138))+(T3138)*((S3138)*(V3138)-(U3138)*(T3138)))/W3138,0)</f>
        <v/>
      </c>
      <c r="Z3138">
        <f>IF(ABS(W3138)&gt;1E-12,((LTP3!$D$5)*((P3138)*(V3138)-(U3138)*(R3138))-(S3138)*((S3138)*(V3138)-(U3138)*(T3138))+(LTP3!$D$6)*((S3138)*(R3138)-(P3138)*(T3138)))/W3138,0)</f>
        <v/>
      </c>
      <c r="AA3138">
        <f>LTP3!$D$7-X3138*LTP3!$D$6-Y3138*U3138-Z3138*V3138</f>
        <v/>
      </c>
      <c r="AB3138">
        <f>IF(AND(F3138,ABS(W3138)&gt;1E-12,Y3138&gt;0,Z3138&gt;0),AA3138,1E+300)</f>
        <v/>
      </c>
    </row>
    <row r="3139">
      <c r="A3139">
        <f>$B$3+$B$5*51</f>
        <v/>
      </c>
      <c r="B3139">
        <f>$B$3+$B$5*16</f>
        <v/>
      </c>
      <c r="C3139">
        <f>SUMPRODUCT(Calc!$K$3:$K$22*(Calc!$G$3:$G$22&lt;=A3139))</f>
        <v/>
      </c>
      <c r="D3139">
        <f>SUMPRODUCT(Calc!$K$3:$K$22*(Calc!$G$3:$G$22&gt;A3139)*(Calc!$G$3:$G$22&lt;B3139))</f>
        <v/>
      </c>
      <c r="E3139">
        <f>SUMPRODUCT(Calc!$K$3:$K$22*(Calc!$G$3:$G$22&gt;=B3139))</f>
        <v/>
      </c>
      <c r="F3139">
        <f>AND(k_n&gt;=5,B3139&gt;A3139+1E-9,C3139&gt;=2,D3139&gt;=1,E3139&gt;=2)</f>
        <v/>
      </c>
      <c r="G3139">
        <f>SUMPRODUCT(Calc!$K$3:$K$22*(Calc!$G$3:$G$22&gt;A3139)*(Calc!$G$3:$G$22-A3139))</f>
        <v/>
      </c>
      <c r="H3139">
        <f>SUMPRODUCT(Calc!$K$3:$K$22*(Calc!$G$3:$G$22&gt;B3139)*(Calc!$G$3:$G$22-B3139))</f>
        <v/>
      </c>
      <c r="I3139">
        <f>SUMPRODUCT(Calc!$K$3:$K$22*(Calc!$G$3:$G$22&gt;A3139)*(Calc!$G$3:$G$22-A3139)^2)</f>
        <v/>
      </c>
      <c r="J3139">
        <f>SUMPRODUCT(Calc!$K$3:$K$22*(Calc!$G$3:$G$22&gt;B3139)*(Calc!$G$3:$G$22-B3139)^2)</f>
        <v/>
      </c>
      <c r="K3139">
        <f>SUMPRODUCT(Calc!$K$3:$K$22*(Calc!$G$3:$G$22&gt;A3139)*(Calc!$G$3:$G$22-A3139)*(Calc!$G$3:$G$22&gt;B3139)*(Calc!$G$3:$G$22-B3139))</f>
        <v/>
      </c>
      <c r="L3139">
        <f>SUMPRODUCT(Calc!$K$3:$K$22*(Calc!$G$3:$G$22&gt;A3139)*(Calc!$G$3:$G$22-A3139)*Calc!$G$3:$G$22)</f>
        <v/>
      </c>
      <c r="M3139">
        <f>SUMPRODUCT(Calc!$K$3:$K$22*(Calc!$G$3:$G$22&gt;B3139)*(Calc!$G$3:$G$22-B3139)*Calc!$G$3:$G$22)</f>
        <v/>
      </c>
      <c r="N3139">
        <f>SUMPRODUCT(Calc!$K$3:$K$22*(Calc!$G$3:$G$22&gt;A3139)*(Calc!$G$3:$G$22-A3139)*Calc!$I$3:$I$22)</f>
        <v/>
      </c>
      <c r="O3139">
        <f>SUMPRODUCT(Calc!$K$3:$K$22*(Calc!$G$3:$G$22&gt;B3139)*(Calc!$G$3:$G$22-B3139)*Calc!$I$3:$I$22)</f>
        <v/>
      </c>
      <c r="P3139">
        <f>I3139-G3139^2/k_n</f>
        <v/>
      </c>
      <c r="Q3139">
        <f>J3139-H3139^2/k_n</f>
        <v/>
      </c>
      <c r="R3139">
        <f>K3139-G3139*H3139/k_n</f>
        <v/>
      </c>
      <c r="S3139">
        <f>L3139-LTP3!$D$3*G3139/k_n</f>
        <v/>
      </c>
      <c r="T3139">
        <f>M3139-LTP3!$D$3*H3139/k_n</f>
        <v/>
      </c>
      <c r="U3139">
        <f>N3139-G3139*LTP3!$D$4/k_n</f>
        <v/>
      </c>
      <c r="V3139">
        <f>O3139-H3139*LTP3!$D$4/k_n</f>
        <v/>
      </c>
      <c r="W3139">
        <f>((LTP3!$D$5)*((P3139)*(Q3139)-(R3139)*(R3139))-(S3139)*((S3139)*(Q3139)-(R3139)*(T3139))+(T3139)*((S3139)*(R3139)-(P3139)*(T3139)))</f>
        <v/>
      </c>
      <c r="X3139">
        <f>IF(ABS(W3139)&gt;1E-12,((LTP3!$D$6)*((P3139)*(Q3139)-(R3139)*(R3139))-(S3139)*((U3139)*(Q3139)-(R3139)*(V3139))+(T3139)*((U3139)*(R3139)-(P3139)*(V3139)))/W3139,0)</f>
        <v/>
      </c>
      <c r="Y3139">
        <f>IF(ABS(W3139)&gt;1E-12,((LTP3!$D$5)*((U3139)*(Q3139)-(R3139)*(V3139))-(LTP3!$D$6)*((S3139)*(Q3139)-(R3139)*(T3139))+(T3139)*((S3139)*(V3139)-(U3139)*(T3139)))/W3139,0)</f>
        <v/>
      </c>
      <c r="Z3139">
        <f>IF(ABS(W3139)&gt;1E-12,((LTP3!$D$5)*((P3139)*(V3139)-(U3139)*(R3139))-(S3139)*((S3139)*(V3139)-(U3139)*(T3139))+(LTP3!$D$6)*((S3139)*(R3139)-(P3139)*(T3139)))/W3139,0)</f>
        <v/>
      </c>
      <c r="AA3139">
        <f>LTP3!$D$7-X3139*LTP3!$D$6-Y3139*U3139-Z3139*V3139</f>
        <v/>
      </c>
      <c r="AB3139">
        <f>IF(AND(F3139,ABS(W3139)&gt;1E-12,Y3139&gt;0,Z3139&gt;0),AA3139,1E+300)</f>
        <v/>
      </c>
    </row>
    <row r="3140">
      <c r="A3140">
        <f>$B$3+$B$5*51</f>
        <v/>
      </c>
      <c r="B3140">
        <f>$B$3+$B$5*17</f>
        <v/>
      </c>
      <c r="C3140">
        <f>SUMPRODUCT(Calc!$K$3:$K$22*(Calc!$G$3:$G$22&lt;=A3140))</f>
        <v/>
      </c>
      <c r="D3140">
        <f>SUMPRODUCT(Calc!$K$3:$K$22*(Calc!$G$3:$G$22&gt;A3140)*(Calc!$G$3:$G$22&lt;B3140))</f>
        <v/>
      </c>
      <c r="E3140">
        <f>SUMPRODUCT(Calc!$K$3:$K$22*(Calc!$G$3:$G$22&gt;=B3140))</f>
        <v/>
      </c>
      <c r="F3140">
        <f>AND(k_n&gt;=5,B3140&gt;A3140+1E-9,C3140&gt;=2,D3140&gt;=1,E3140&gt;=2)</f>
        <v/>
      </c>
      <c r="G3140">
        <f>SUMPRODUCT(Calc!$K$3:$K$22*(Calc!$G$3:$G$22&gt;A3140)*(Calc!$G$3:$G$22-A3140))</f>
        <v/>
      </c>
      <c r="H3140">
        <f>SUMPRODUCT(Calc!$K$3:$K$22*(Calc!$G$3:$G$22&gt;B3140)*(Calc!$G$3:$G$22-B3140))</f>
        <v/>
      </c>
      <c r="I3140">
        <f>SUMPRODUCT(Calc!$K$3:$K$22*(Calc!$G$3:$G$22&gt;A3140)*(Calc!$G$3:$G$22-A3140)^2)</f>
        <v/>
      </c>
      <c r="J3140">
        <f>SUMPRODUCT(Calc!$K$3:$K$22*(Calc!$G$3:$G$22&gt;B3140)*(Calc!$G$3:$G$22-B3140)^2)</f>
        <v/>
      </c>
      <c r="K3140">
        <f>SUMPRODUCT(Calc!$K$3:$K$22*(Calc!$G$3:$G$22&gt;A3140)*(Calc!$G$3:$G$22-A3140)*(Calc!$G$3:$G$22&gt;B3140)*(Calc!$G$3:$G$22-B3140))</f>
        <v/>
      </c>
      <c r="L3140">
        <f>SUMPRODUCT(Calc!$K$3:$K$22*(Calc!$G$3:$G$22&gt;A3140)*(Calc!$G$3:$G$22-A3140)*Calc!$G$3:$G$22)</f>
        <v/>
      </c>
      <c r="M3140">
        <f>SUMPRODUCT(Calc!$K$3:$K$22*(Calc!$G$3:$G$22&gt;B3140)*(Calc!$G$3:$G$22-B3140)*Calc!$G$3:$G$22)</f>
        <v/>
      </c>
      <c r="N3140">
        <f>SUMPRODUCT(Calc!$K$3:$K$22*(Calc!$G$3:$G$22&gt;A3140)*(Calc!$G$3:$G$22-A3140)*Calc!$I$3:$I$22)</f>
        <v/>
      </c>
      <c r="O3140">
        <f>SUMPRODUCT(Calc!$K$3:$K$22*(Calc!$G$3:$G$22&gt;B3140)*(Calc!$G$3:$G$22-B3140)*Calc!$I$3:$I$22)</f>
        <v/>
      </c>
      <c r="P3140">
        <f>I3140-G3140^2/k_n</f>
        <v/>
      </c>
      <c r="Q3140">
        <f>J3140-H3140^2/k_n</f>
        <v/>
      </c>
      <c r="R3140">
        <f>K3140-G3140*H3140/k_n</f>
        <v/>
      </c>
      <c r="S3140">
        <f>L3140-LTP3!$D$3*G3140/k_n</f>
        <v/>
      </c>
      <c r="T3140">
        <f>M3140-LTP3!$D$3*H3140/k_n</f>
        <v/>
      </c>
      <c r="U3140">
        <f>N3140-G3140*LTP3!$D$4/k_n</f>
        <v/>
      </c>
      <c r="V3140">
        <f>O3140-H3140*LTP3!$D$4/k_n</f>
        <v/>
      </c>
      <c r="W3140">
        <f>((LTP3!$D$5)*((P3140)*(Q3140)-(R3140)*(R3140))-(S3140)*((S3140)*(Q3140)-(R3140)*(T3140))+(T3140)*((S3140)*(R3140)-(P3140)*(T3140)))</f>
        <v/>
      </c>
      <c r="X3140">
        <f>IF(ABS(W3140)&gt;1E-12,((LTP3!$D$6)*((P3140)*(Q3140)-(R3140)*(R3140))-(S3140)*((U3140)*(Q3140)-(R3140)*(V3140))+(T3140)*((U3140)*(R3140)-(P3140)*(V3140)))/W3140,0)</f>
        <v/>
      </c>
      <c r="Y3140">
        <f>IF(ABS(W3140)&gt;1E-12,((LTP3!$D$5)*((U3140)*(Q3140)-(R3140)*(V3140))-(LTP3!$D$6)*((S3140)*(Q3140)-(R3140)*(T3140))+(T3140)*((S3140)*(V3140)-(U3140)*(T3140)))/W3140,0)</f>
        <v/>
      </c>
      <c r="Z3140">
        <f>IF(ABS(W3140)&gt;1E-12,((LTP3!$D$5)*((P3140)*(V3140)-(U3140)*(R3140))-(S3140)*((S3140)*(V3140)-(U3140)*(T3140))+(LTP3!$D$6)*((S3140)*(R3140)-(P3140)*(T3140)))/W3140,0)</f>
        <v/>
      </c>
      <c r="AA3140">
        <f>LTP3!$D$7-X3140*LTP3!$D$6-Y3140*U3140-Z3140*V3140</f>
        <v/>
      </c>
      <c r="AB3140">
        <f>IF(AND(F3140,ABS(W3140)&gt;1E-12,Y3140&gt;0,Z3140&gt;0),AA3140,1E+300)</f>
        <v/>
      </c>
    </row>
    <row r="3141">
      <c r="A3141">
        <f>$B$3+$B$5*51</f>
        <v/>
      </c>
      <c r="B3141">
        <f>$B$3+$B$5*18</f>
        <v/>
      </c>
      <c r="C3141">
        <f>SUMPRODUCT(Calc!$K$3:$K$22*(Calc!$G$3:$G$22&lt;=A3141))</f>
        <v/>
      </c>
      <c r="D3141">
        <f>SUMPRODUCT(Calc!$K$3:$K$22*(Calc!$G$3:$G$22&gt;A3141)*(Calc!$G$3:$G$22&lt;B3141))</f>
        <v/>
      </c>
      <c r="E3141">
        <f>SUMPRODUCT(Calc!$K$3:$K$22*(Calc!$G$3:$G$22&gt;=B3141))</f>
        <v/>
      </c>
      <c r="F3141">
        <f>AND(k_n&gt;=5,B3141&gt;A3141+1E-9,C3141&gt;=2,D3141&gt;=1,E3141&gt;=2)</f>
        <v/>
      </c>
      <c r="G3141">
        <f>SUMPRODUCT(Calc!$K$3:$K$22*(Calc!$G$3:$G$22&gt;A3141)*(Calc!$G$3:$G$22-A3141))</f>
        <v/>
      </c>
      <c r="H3141">
        <f>SUMPRODUCT(Calc!$K$3:$K$22*(Calc!$G$3:$G$22&gt;B3141)*(Calc!$G$3:$G$22-B3141))</f>
        <v/>
      </c>
      <c r="I3141">
        <f>SUMPRODUCT(Calc!$K$3:$K$22*(Calc!$G$3:$G$22&gt;A3141)*(Calc!$G$3:$G$22-A3141)^2)</f>
        <v/>
      </c>
      <c r="J3141">
        <f>SUMPRODUCT(Calc!$K$3:$K$22*(Calc!$G$3:$G$22&gt;B3141)*(Calc!$G$3:$G$22-B3141)^2)</f>
        <v/>
      </c>
      <c r="K3141">
        <f>SUMPRODUCT(Calc!$K$3:$K$22*(Calc!$G$3:$G$22&gt;A3141)*(Calc!$G$3:$G$22-A3141)*(Calc!$G$3:$G$22&gt;B3141)*(Calc!$G$3:$G$22-B3141))</f>
        <v/>
      </c>
      <c r="L3141">
        <f>SUMPRODUCT(Calc!$K$3:$K$22*(Calc!$G$3:$G$22&gt;A3141)*(Calc!$G$3:$G$22-A3141)*Calc!$G$3:$G$22)</f>
        <v/>
      </c>
      <c r="M3141">
        <f>SUMPRODUCT(Calc!$K$3:$K$22*(Calc!$G$3:$G$22&gt;B3141)*(Calc!$G$3:$G$22-B3141)*Calc!$G$3:$G$22)</f>
        <v/>
      </c>
      <c r="N3141">
        <f>SUMPRODUCT(Calc!$K$3:$K$22*(Calc!$G$3:$G$22&gt;A3141)*(Calc!$G$3:$G$22-A3141)*Calc!$I$3:$I$22)</f>
        <v/>
      </c>
      <c r="O3141">
        <f>SUMPRODUCT(Calc!$K$3:$K$22*(Calc!$G$3:$G$22&gt;B3141)*(Calc!$G$3:$G$22-B3141)*Calc!$I$3:$I$22)</f>
        <v/>
      </c>
      <c r="P3141">
        <f>I3141-G3141^2/k_n</f>
        <v/>
      </c>
      <c r="Q3141">
        <f>J3141-H3141^2/k_n</f>
        <v/>
      </c>
      <c r="R3141">
        <f>K3141-G3141*H3141/k_n</f>
        <v/>
      </c>
      <c r="S3141">
        <f>L3141-LTP3!$D$3*G3141/k_n</f>
        <v/>
      </c>
      <c r="T3141">
        <f>M3141-LTP3!$D$3*H3141/k_n</f>
        <v/>
      </c>
      <c r="U3141">
        <f>N3141-G3141*LTP3!$D$4/k_n</f>
        <v/>
      </c>
      <c r="V3141">
        <f>O3141-H3141*LTP3!$D$4/k_n</f>
        <v/>
      </c>
      <c r="W3141">
        <f>((LTP3!$D$5)*((P3141)*(Q3141)-(R3141)*(R3141))-(S3141)*((S3141)*(Q3141)-(R3141)*(T3141))+(T3141)*((S3141)*(R3141)-(P3141)*(T3141)))</f>
        <v/>
      </c>
      <c r="X3141">
        <f>IF(ABS(W3141)&gt;1E-12,((LTP3!$D$6)*((P3141)*(Q3141)-(R3141)*(R3141))-(S3141)*((U3141)*(Q3141)-(R3141)*(V3141))+(T3141)*((U3141)*(R3141)-(P3141)*(V3141)))/W3141,0)</f>
        <v/>
      </c>
      <c r="Y3141">
        <f>IF(ABS(W3141)&gt;1E-12,((LTP3!$D$5)*((U3141)*(Q3141)-(R3141)*(V3141))-(LTP3!$D$6)*((S3141)*(Q3141)-(R3141)*(T3141))+(T3141)*((S3141)*(V3141)-(U3141)*(T3141)))/W3141,0)</f>
        <v/>
      </c>
      <c r="Z3141">
        <f>IF(ABS(W3141)&gt;1E-12,((LTP3!$D$5)*((P3141)*(V3141)-(U3141)*(R3141))-(S3141)*((S3141)*(V3141)-(U3141)*(T3141))+(LTP3!$D$6)*((S3141)*(R3141)-(P3141)*(T3141)))/W3141,0)</f>
        <v/>
      </c>
      <c r="AA3141">
        <f>LTP3!$D$7-X3141*LTP3!$D$6-Y3141*U3141-Z3141*V3141</f>
        <v/>
      </c>
      <c r="AB3141">
        <f>IF(AND(F3141,ABS(W3141)&gt;1E-12,Y3141&gt;0,Z3141&gt;0),AA3141,1E+300)</f>
        <v/>
      </c>
    </row>
    <row r="3142">
      <c r="A3142">
        <f>$B$3+$B$5*51</f>
        <v/>
      </c>
      <c r="B3142">
        <f>$B$3+$B$5*19</f>
        <v/>
      </c>
      <c r="C3142">
        <f>SUMPRODUCT(Calc!$K$3:$K$22*(Calc!$G$3:$G$22&lt;=A3142))</f>
        <v/>
      </c>
      <c r="D3142">
        <f>SUMPRODUCT(Calc!$K$3:$K$22*(Calc!$G$3:$G$22&gt;A3142)*(Calc!$G$3:$G$22&lt;B3142))</f>
        <v/>
      </c>
      <c r="E3142">
        <f>SUMPRODUCT(Calc!$K$3:$K$22*(Calc!$G$3:$G$22&gt;=B3142))</f>
        <v/>
      </c>
      <c r="F3142">
        <f>AND(k_n&gt;=5,B3142&gt;A3142+1E-9,C3142&gt;=2,D3142&gt;=1,E3142&gt;=2)</f>
        <v/>
      </c>
      <c r="G3142">
        <f>SUMPRODUCT(Calc!$K$3:$K$22*(Calc!$G$3:$G$22&gt;A3142)*(Calc!$G$3:$G$22-A3142))</f>
        <v/>
      </c>
      <c r="H3142">
        <f>SUMPRODUCT(Calc!$K$3:$K$22*(Calc!$G$3:$G$22&gt;B3142)*(Calc!$G$3:$G$22-B3142))</f>
        <v/>
      </c>
      <c r="I3142">
        <f>SUMPRODUCT(Calc!$K$3:$K$22*(Calc!$G$3:$G$22&gt;A3142)*(Calc!$G$3:$G$22-A3142)^2)</f>
        <v/>
      </c>
      <c r="J3142">
        <f>SUMPRODUCT(Calc!$K$3:$K$22*(Calc!$G$3:$G$22&gt;B3142)*(Calc!$G$3:$G$22-B3142)^2)</f>
        <v/>
      </c>
      <c r="K3142">
        <f>SUMPRODUCT(Calc!$K$3:$K$22*(Calc!$G$3:$G$22&gt;A3142)*(Calc!$G$3:$G$22-A3142)*(Calc!$G$3:$G$22&gt;B3142)*(Calc!$G$3:$G$22-B3142))</f>
        <v/>
      </c>
      <c r="L3142">
        <f>SUMPRODUCT(Calc!$K$3:$K$22*(Calc!$G$3:$G$22&gt;A3142)*(Calc!$G$3:$G$22-A3142)*Calc!$G$3:$G$22)</f>
        <v/>
      </c>
      <c r="M3142">
        <f>SUMPRODUCT(Calc!$K$3:$K$22*(Calc!$G$3:$G$22&gt;B3142)*(Calc!$G$3:$G$22-B3142)*Calc!$G$3:$G$22)</f>
        <v/>
      </c>
      <c r="N3142">
        <f>SUMPRODUCT(Calc!$K$3:$K$22*(Calc!$G$3:$G$22&gt;A3142)*(Calc!$G$3:$G$22-A3142)*Calc!$I$3:$I$22)</f>
        <v/>
      </c>
      <c r="O3142">
        <f>SUMPRODUCT(Calc!$K$3:$K$22*(Calc!$G$3:$G$22&gt;B3142)*(Calc!$G$3:$G$22-B3142)*Calc!$I$3:$I$22)</f>
        <v/>
      </c>
      <c r="P3142">
        <f>I3142-G3142^2/k_n</f>
        <v/>
      </c>
      <c r="Q3142">
        <f>J3142-H3142^2/k_n</f>
        <v/>
      </c>
      <c r="R3142">
        <f>K3142-G3142*H3142/k_n</f>
        <v/>
      </c>
      <c r="S3142">
        <f>L3142-LTP3!$D$3*G3142/k_n</f>
        <v/>
      </c>
      <c r="T3142">
        <f>M3142-LTP3!$D$3*H3142/k_n</f>
        <v/>
      </c>
      <c r="U3142">
        <f>N3142-G3142*LTP3!$D$4/k_n</f>
        <v/>
      </c>
      <c r="V3142">
        <f>O3142-H3142*LTP3!$D$4/k_n</f>
        <v/>
      </c>
      <c r="W3142">
        <f>((LTP3!$D$5)*((P3142)*(Q3142)-(R3142)*(R3142))-(S3142)*((S3142)*(Q3142)-(R3142)*(T3142))+(T3142)*((S3142)*(R3142)-(P3142)*(T3142)))</f>
        <v/>
      </c>
      <c r="X3142">
        <f>IF(ABS(W3142)&gt;1E-12,((LTP3!$D$6)*((P3142)*(Q3142)-(R3142)*(R3142))-(S3142)*((U3142)*(Q3142)-(R3142)*(V3142))+(T3142)*((U3142)*(R3142)-(P3142)*(V3142)))/W3142,0)</f>
        <v/>
      </c>
      <c r="Y3142">
        <f>IF(ABS(W3142)&gt;1E-12,((LTP3!$D$5)*((U3142)*(Q3142)-(R3142)*(V3142))-(LTP3!$D$6)*((S3142)*(Q3142)-(R3142)*(T3142))+(T3142)*((S3142)*(V3142)-(U3142)*(T3142)))/W3142,0)</f>
        <v/>
      </c>
      <c r="Z3142">
        <f>IF(ABS(W3142)&gt;1E-12,((LTP3!$D$5)*((P3142)*(V3142)-(U3142)*(R3142))-(S3142)*((S3142)*(V3142)-(U3142)*(T3142))+(LTP3!$D$6)*((S3142)*(R3142)-(P3142)*(T3142)))/W3142,0)</f>
        <v/>
      </c>
      <c r="AA3142">
        <f>LTP3!$D$7-X3142*LTP3!$D$6-Y3142*U3142-Z3142*V3142</f>
        <v/>
      </c>
      <c r="AB3142">
        <f>IF(AND(F3142,ABS(W3142)&gt;1E-12,Y3142&gt;0,Z3142&gt;0),AA3142,1E+300)</f>
        <v/>
      </c>
    </row>
    <row r="3143">
      <c r="A3143">
        <f>$B$3+$B$5*51</f>
        <v/>
      </c>
      <c r="B3143">
        <f>$B$3+$B$5*20</f>
        <v/>
      </c>
      <c r="C3143">
        <f>SUMPRODUCT(Calc!$K$3:$K$22*(Calc!$G$3:$G$22&lt;=A3143))</f>
        <v/>
      </c>
      <c r="D3143">
        <f>SUMPRODUCT(Calc!$K$3:$K$22*(Calc!$G$3:$G$22&gt;A3143)*(Calc!$G$3:$G$22&lt;B3143))</f>
        <v/>
      </c>
      <c r="E3143">
        <f>SUMPRODUCT(Calc!$K$3:$K$22*(Calc!$G$3:$G$22&gt;=B3143))</f>
        <v/>
      </c>
      <c r="F3143">
        <f>AND(k_n&gt;=5,B3143&gt;A3143+1E-9,C3143&gt;=2,D3143&gt;=1,E3143&gt;=2)</f>
        <v/>
      </c>
      <c r="G3143">
        <f>SUMPRODUCT(Calc!$K$3:$K$22*(Calc!$G$3:$G$22&gt;A3143)*(Calc!$G$3:$G$22-A3143))</f>
        <v/>
      </c>
      <c r="H3143">
        <f>SUMPRODUCT(Calc!$K$3:$K$22*(Calc!$G$3:$G$22&gt;B3143)*(Calc!$G$3:$G$22-B3143))</f>
        <v/>
      </c>
      <c r="I3143">
        <f>SUMPRODUCT(Calc!$K$3:$K$22*(Calc!$G$3:$G$22&gt;A3143)*(Calc!$G$3:$G$22-A3143)^2)</f>
        <v/>
      </c>
      <c r="J3143">
        <f>SUMPRODUCT(Calc!$K$3:$K$22*(Calc!$G$3:$G$22&gt;B3143)*(Calc!$G$3:$G$22-B3143)^2)</f>
        <v/>
      </c>
      <c r="K3143">
        <f>SUMPRODUCT(Calc!$K$3:$K$22*(Calc!$G$3:$G$22&gt;A3143)*(Calc!$G$3:$G$22-A3143)*(Calc!$G$3:$G$22&gt;B3143)*(Calc!$G$3:$G$22-B3143))</f>
        <v/>
      </c>
      <c r="L3143">
        <f>SUMPRODUCT(Calc!$K$3:$K$22*(Calc!$G$3:$G$22&gt;A3143)*(Calc!$G$3:$G$22-A3143)*Calc!$G$3:$G$22)</f>
        <v/>
      </c>
      <c r="M3143">
        <f>SUMPRODUCT(Calc!$K$3:$K$22*(Calc!$G$3:$G$22&gt;B3143)*(Calc!$G$3:$G$22-B3143)*Calc!$G$3:$G$22)</f>
        <v/>
      </c>
      <c r="N3143">
        <f>SUMPRODUCT(Calc!$K$3:$K$22*(Calc!$G$3:$G$22&gt;A3143)*(Calc!$G$3:$G$22-A3143)*Calc!$I$3:$I$22)</f>
        <v/>
      </c>
      <c r="O3143">
        <f>SUMPRODUCT(Calc!$K$3:$K$22*(Calc!$G$3:$G$22&gt;B3143)*(Calc!$G$3:$G$22-B3143)*Calc!$I$3:$I$22)</f>
        <v/>
      </c>
      <c r="P3143">
        <f>I3143-G3143^2/k_n</f>
        <v/>
      </c>
      <c r="Q3143">
        <f>J3143-H3143^2/k_n</f>
        <v/>
      </c>
      <c r="R3143">
        <f>K3143-G3143*H3143/k_n</f>
        <v/>
      </c>
      <c r="S3143">
        <f>L3143-LTP3!$D$3*G3143/k_n</f>
        <v/>
      </c>
      <c r="T3143">
        <f>M3143-LTP3!$D$3*H3143/k_n</f>
        <v/>
      </c>
      <c r="U3143">
        <f>N3143-G3143*LTP3!$D$4/k_n</f>
        <v/>
      </c>
      <c r="V3143">
        <f>O3143-H3143*LTP3!$D$4/k_n</f>
        <v/>
      </c>
      <c r="W3143">
        <f>((LTP3!$D$5)*((P3143)*(Q3143)-(R3143)*(R3143))-(S3143)*((S3143)*(Q3143)-(R3143)*(T3143))+(T3143)*((S3143)*(R3143)-(P3143)*(T3143)))</f>
        <v/>
      </c>
      <c r="X3143">
        <f>IF(ABS(W3143)&gt;1E-12,((LTP3!$D$6)*((P3143)*(Q3143)-(R3143)*(R3143))-(S3143)*((U3143)*(Q3143)-(R3143)*(V3143))+(T3143)*((U3143)*(R3143)-(P3143)*(V3143)))/W3143,0)</f>
        <v/>
      </c>
      <c r="Y3143">
        <f>IF(ABS(W3143)&gt;1E-12,((LTP3!$D$5)*((U3143)*(Q3143)-(R3143)*(V3143))-(LTP3!$D$6)*((S3143)*(Q3143)-(R3143)*(T3143))+(T3143)*((S3143)*(V3143)-(U3143)*(T3143)))/W3143,0)</f>
        <v/>
      </c>
      <c r="Z3143">
        <f>IF(ABS(W3143)&gt;1E-12,((LTP3!$D$5)*((P3143)*(V3143)-(U3143)*(R3143))-(S3143)*((S3143)*(V3143)-(U3143)*(T3143))+(LTP3!$D$6)*((S3143)*(R3143)-(P3143)*(T3143)))/W3143,0)</f>
        <v/>
      </c>
      <c r="AA3143">
        <f>LTP3!$D$7-X3143*LTP3!$D$6-Y3143*U3143-Z3143*V3143</f>
        <v/>
      </c>
      <c r="AB3143">
        <f>IF(AND(F3143,ABS(W3143)&gt;1E-12,Y3143&gt;0,Z3143&gt;0),AA3143,1E+300)</f>
        <v/>
      </c>
    </row>
    <row r="3144">
      <c r="A3144">
        <f>$B$3+$B$5*51</f>
        <v/>
      </c>
      <c r="B3144">
        <f>$B$3+$B$5*21</f>
        <v/>
      </c>
      <c r="C3144">
        <f>SUMPRODUCT(Calc!$K$3:$K$22*(Calc!$G$3:$G$22&lt;=A3144))</f>
        <v/>
      </c>
      <c r="D3144">
        <f>SUMPRODUCT(Calc!$K$3:$K$22*(Calc!$G$3:$G$22&gt;A3144)*(Calc!$G$3:$G$22&lt;B3144))</f>
        <v/>
      </c>
      <c r="E3144">
        <f>SUMPRODUCT(Calc!$K$3:$K$22*(Calc!$G$3:$G$22&gt;=B3144))</f>
        <v/>
      </c>
      <c r="F3144">
        <f>AND(k_n&gt;=5,B3144&gt;A3144+1E-9,C3144&gt;=2,D3144&gt;=1,E3144&gt;=2)</f>
        <v/>
      </c>
      <c r="G3144">
        <f>SUMPRODUCT(Calc!$K$3:$K$22*(Calc!$G$3:$G$22&gt;A3144)*(Calc!$G$3:$G$22-A3144))</f>
        <v/>
      </c>
      <c r="H3144">
        <f>SUMPRODUCT(Calc!$K$3:$K$22*(Calc!$G$3:$G$22&gt;B3144)*(Calc!$G$3:$G$22-B3144))</f>
        <v/>
      </c>
      <c r="I3144">
        <f>SUMPRODUCT(Calc!$K$3:$K$22*(Calc!$G$3:$G$22&gt;A3144)*(Calc!$G$3:$G$22-A3144)^2)</f>
        <v/>
      </c>
      <c r="J3144">
        <f>SUMPRODUCT(Calc!$K$3:$K$22*(Calc!$G$3:$G$22&gt;B3144)*(Calc!$G$3:$G$22-B3144)^2)</f>
        <v/>
      </c>
      <c r="K3144">
        <f>SUMPRODUCT(Calc!$K$3:$K$22*(Calc!$G$3:$G$22&gt;A3144)*(Calc!$G$3:$G$22-A3144)*(Calc!$G$3:$G$22&gt;B3144)*(Calc!$G$3:$G$22-B3144))</f>
        <v/>
      </c>
      <c r="L3144">
        <f>SUMPRODUCT(Calc!$K$3:$K$22*(Calc!$G$3:$G$22&gt;A3144)*(Calc!$G$3:$G$22-A3144)*Calc!$G$3:$G$22)</f>
        <v/>
      </c>
      <c r="M3144">
        <f>SUMPRODUCT(Calc!$K$3:$K$22*(Calc!$G$3:$G$22&gt;B3144)*(Calc!$G$3:$G$22-B3144)*Calc!$G$3:$G$22)</f>
        <v/>
      </c>
      <c r="N3144">
        <f>SUMPRODUCT(Calc!$K$3:$K$22*(Calc!$G$3:$G$22&gt;A3144)*(Calc!$G$3:$G$22-A3144)*Calc!$I$3:$I$22)</f>
        <v/>
      </c>
      <c r="O3144">
        <f>SUMPRODUCT(Calc!$K$3:$K$22*(Calc!$G$3:$G$22&gt;B3144)*(Calc!$G$3:$G$22-B3144)*Calc!$I$3:$I$22)</f>
        <v/>
      </c>
      <c r="P3144">
        <f>I3144-G3144^2/k_n</f>
        <v/>
      </c>
      <c r="Q3144">
        <f>J3144-H3144^2/k_n</f>
        <v/>
      </c>
      <c r="R3144">
        <f>K3144-G3144*H3144/k_n</f>
        <v/>
      </c>
      <c r="S3144">
        <f>L3144-LTP3!$D$3*G3144/k_n</f>
        <v/>
      </c>
      <c r="T3144">
        <f>M3144-LTP3!$D$3*H3144/k_n</f>
        <v/>
      </c>
      <c r="U3144">
        <f>N3144-G3144*LTP3!$D$4/k_n</f>
        <v/>
      </c>
      <c r="V3144">
        <f>O3144-H3144*LTP3!$D$4/k_n</f>
        <v/>
      </c>
      <c r="W3144">
        <f>((LTP3!$D$5)*((P3144)*(Q3144)-(R3144)*(R3144))-(S3144)*((S3144)*(Q3144)-(R3144)*(T3144))+(T3144)*((S3144)*(R3144)-(P3144)*(T3144)))</f>
        <v/>
      </c>
      <c r="X3144">
        <f>IF(ABS(W3144)&gt;1E-12,((LTP3!$D$6)*((P3144)*(Q3144)-(R3144)*(R3144))-(S3144)*((U3144)*(Q3144)-(R3144)*(V3144))+(T3144)*((U3144)*(R3144)-(P3144)*(V3144)))/W3144,0)</f>
        <v/>
      </c>
      <c r="Y3144">
        <f>IF(ABS(W3144)&gt;1E-12,((LTP3!$D$5)*((U3144)*(Q3144)-(R3144)*(V3144))-(LTP3!$D$6)*((S3144)*(Q3144)-(R3144)*(T3144))+(T3144)*((S3144)*(V3144)-(U3144)*(T3144)))/W3144,0)</f>
        <v/>
      </c>
      <c r="Z3144">
        <f>IF(ABS(W3144)&gt;1E-12,((LTP3!$D$5)*((P3144)*(V3144)-(U3144)*(R3144))-(S3144)*((S3144)*(V3144)-(U3144)*(T3144))+(LTP3!$D$6)*((S3144)*(R3144)-(P3144)*(T3144)))/W3144,0)</f>
        <v/>
      </c>
      <c r="AA3144">
        <f>LTP3!$D$7-X3144*LTP3!$D$6-Y3144*U3144-Z3144*V3144</f>
        <v/>
      </c>
      <c r="AB3144">
        <f>IF(AND(F3144,ABS(W3144)&gt;1E-12,Y3144&gt;0,Z3144&gt;0),AA3144,1E+300)</f>
        <v/>
      </c>
    </row>
    <row r="3145">
      <c r="A3145">
        <f>$B$3+$B$5*51</f>
        <v/>
      </c>
      <c r="B3145">
        <f>$B$3+$B$5*22</f>
        <v/>
      </c>
      <c r="C3145">
        <f>SUMPRODUCT(Calc!$K$3:$K$22*(Calc!$G$3:$G$22&lt;=A3145))</f>
        <v/>
      </c>
      <c r="D3145">
        <f>SUMPRODUCT(Calc!$K$3:$K$22*(Calc!$G$3:$G$22&gt;A3145)*(Calc!$G$3:$G$22&lt;B3145))</f>
        <v/>
      </c>
      <c r="E3145">
        <f>SUMPRODUCT(Calc!$K$3:$K$22*(Calc!$G$3:$G$22&gt;=B3145))</f>
        <v/>
      </c>
      <c r="F3145">
        <f>AND(k_n&gt;=5,B3145&gt;A3145+1E-9,C3145&gt;=2,D3145&gt;=1,E3145&gt;=2)</f>
        <v/>
      </c>
      <c r="G3145">
        <f>SUMPRODUCT(Calc!$K$3:$K$22*(Calc!$G$3:$G$22&gt;A3145)*(Calc!$G$3:$G$22-A3145))</f>
        <v/>
      </c>
      <c r="H3145">
        <f>SUMPRODUCT(Calc!$K$3:$K$22*(Calc!$G$3:$G$22&gt;B3145)*(Calc!$G$3:$G$22-B3145))</f>
        <v/>
      </c>
      <c r="I3145">
        <f>SUMPRODUCT(Calc!$K$3:$K$22*(Calc!$G$3:$G$22&gt;A3145)*(Calc!$G$3:$G$22-A3145)^2)</f>
        <v/>
      </c>
      <c r="J3145">
        <f>SUMPRODUCT(Calc!$K$3:$K$22*(Calc!$G$3:$G$22&gt;B3145)*(Calc!$G$3:$G$22-B3145)^2)</f>
        <v/>
      </c>
      <c r="K3145">
        <f>SUMPRODUCT(Calc!$K$3:$K$22*(Calc!$G$3:$G$22&gt;A3145)*(Calc!$G$3:$G$22-A3145)*(Calc!$G$3:$G$22&gt;B3145)*(Calc!$G$3:$G$22-B3145))</f>
        <v/>
      </c>
      <c r="L3145">
        <f>SUMPRODUCT(Calc!$K$3:$K$22*(Calc!$G$3:$G$22&gt;A3145)*(Calc!$G$3:$G$22-A3145)*Calc!$G$3:$G$22)</f>
        <v/>
      </c>
      <c r="M3145">
        <f>SUMPRODUCT(Calc!$K$3:$K$22*(Calc!$G$3:$G$22&gt;B3145)*(Calc!$G$3:$G$22-B3145)*Calc!$G$3:$G$22)</f>
        <v/>
      </c>
      <c r="N3145">
        <f>SUMPRODUCT(Calc!$K$3:$K$22*(Calc!$G$3:$G$22&gt;A3145)*(Calc!$G$3:$G$22-A3145)*Calc!$I$3:$I$22)</f>
        <v/>
      </c>
      <c r="O3145">
        <f>SUMPRODUCT(Calc!$K$3:$K$22*(Calc!$G$3:$G$22&gt;B3145)*(Calc!$G$3:$G$22-B3145)*Calc!$I$3:$I$22)</f>
        <v/>
      </c>
      <c r="P3145">
        <f>I3145-G3145^2/k_n</f>
        <v/>
      </c>
      <c r="Q3145">
        <f>J3145-H3145^2/k_n</f>
        <v/>
      </c>
      <c r="R3145">
        <f>K3145-G3145*H3145/k_n</f>
        <v/>
      </c>
      <c r="S3145">
        <f>L3145-LTP3!$D$3*G3145/k_n</f>
        <v/>
      </c>
      <c r="T3145">
        <f>M3145-LTP3!$D$3*H3145/k_n</f>
        <v/>
      </c>
      <c r="U3145">
        <f>N3145-G3145*LTP3!$D$4/k_n</f>
        <v/>
      </c>
      <c r="V3145">
        <f>O3145-H3145*LTP3!$D$4/k_n</f>
        <v/>
      </c>
      <c r="W3145">
        <f>((LTP3!$D$5)*((P3145)*(Q3145)-(R3145)*(R3145))-(S3145)*((S3145)*(Q3145)-(R3145)*(T3145))+(T3145)*((S3145)*(R3145)-(P3145)*(T3145)))</f>
        <v/>
      </c>
      <c r="X3145">
        <f>IF(ABS(W3145)&gt;1E-12,((LTP3!$D$6)*((P3145)*(Q3145)-(R3145)*(R3145))-(S3145)*((U3145)*(Q3145)-(R3145)*(V3145))+(T3145)*((U3145)*(R3145)-(P3145)*(V3145)))/W3145,0)</f>
        <v/>
      </c>
      <c r="Y3145">
        <f>IF(ABS(W3145)&gt;1E-12,((LTP3!$D$5)*((U3145)*(Q3145)-(R3145)*(V3145))-(LTP3!$D$6)*((S3145)*(Q3145)-(R3145)*(T3145))+(T3145)*((S3145)*(V3145)-(U3145)*(T3145)))/W3145,0)</f>
        <v/>
      </c>
      <c r="Z3145">
        <f>IF(ABS(W3145)&gt;1E-12,((LTP3!$D$5)*((P3145)*(V3145)-(U3145)*(R3145))-(S3145)*((S3145)*(V3145)-(U3145)*(T3145))+(LTP3!$D$6)*((S3145)*(R3145)-(P3145)*(T3145)))/W3145,0)</f>
        <v/>
      </c>
      <c r="AA3145">
        <f>LTP3!$D$7-X3145*LTP3!$D$6-Y3145*U3145-Z3145*V3145</f>
        <v/>
      </c>
      <c r="AB3145">
        <f>IF(AND(F3145,ABS(W3145)&gt;1E-12,Y3145&gt;0,Z3145&gt;0),AA3145,1E+300)</f>
        <v/>
      </c>
    </row>
    <row r="3146">
      <c r="A3146">
        <f>$B$3+$B$5*51</f>
        <v/>
      </c>
      <c r="B3146">
        <f>$B$3+$B$5*23</f>
        <v/>
      </c>
      <c r="C3146">
        <f>SUMPRODUCT(Calc!$K$3:$K$22*(Calc!$G$3:$G$22&lt;=A3146))</f>
        <v/>
      </c>
      <c r="D3146">
        <f>SUMPRODUCT(Calc!$K$3:$K$22*(Calc!$G$3:$G$22&gt;A3146)*(Calc!$G$3:$G$22&lt;B3146))</f>
        <v/>
      </c>
      <c r="E3146">
        <f>SUMPRODUCT(Calc!$K$3:$K$22*(Calc!$G$3:$G$22&gt;=B3146))</f>
        <v/>
      </c>
      <c r="F3146">
        <f>AND(k_n&gt;=5,B3146&gt;A3146+1E-9,C3146&gt;=2,D3146&gt;=1,E3146&gt;=2)</f>
        <v/>
      </c>
      <c r="G3146">
        <f>SUMPRODUCT(Calc!$K$3:$K$22*(Calc!$G$3:$G$22&gt;A3146)*(Calc!$G$3:$G$22-A3146))</f>
        <v/>
      </c>
      <c r="H3146">
        <f>SUMPRODUCT(Calc!$K$3:$K$22*(Calc!$G$3:$G$22&gt;B3146)*(Calc!$G$3:$G$22-B3146))</f>
        <v/>
      </c>
      <c r="I3146">
        <f>SUMPRODUCT(Calc!$K$3:$K$22*(Calc!$G$3:$G$22&gt;A3146)*(Calc!$G$3:$G$22-A3146)^2)</f>
        <v/>
      </c>
      <c r="J3146">
        <f>SUMPRODUCT(Calc!$K$3:$K$22*(Calc!$G$3:$G$22&gt;B3146)*(Calc!$G$3:$G$22-B3146)^2)</f>
        <v/>
      </c>
      <c r="K3146">
        <f>SUMPRODUCT(Calc!$K$3:$K$22*(Calc!$G$3:$G$22&gt;A3146)*(Calc!$G$3:$G$22-A3146)*(Calc!$G$3:$G$22&gt;B3146)*(Calc!$G$3:$G$22-B3146))</f>
        <v/>
      </c>
      <c r="L3146">
        <f>SUMPRODUCT(Calc!$K$3:$K$22*(Calc!$G$3:$G$22&gt;A3146)*(Calc!$G$3:$G$22-A3146)*Calc!$G$3:$G$22)</f>
        <v/>
      </c>
      <c r="M3146">
        <f>SUMPRODUCT(Calc!$K$3:$K$22*(Calc!$G$3:$G$22&gt;B3146)*(Calc!$G$3:$G$22-B3146)*Calc!$G$3:$G$22)</f>
        <v/>
      </c>
      <c r="N3146">
        <f>SUMPRODUCT(Calc!$K$3:$K$22*(Calc!$G$3:$G$22&gt;A3146)*(Calc!$G$3:$G$22-A3146)*Calc!$I$3:$I$22)</f>
        <v/>
      </c>
      <c r="O3146">
        <f>SUMPRODUCT(Calc!$K$3:$K$22*(Calc!$G$3:$G$22&gt;B3146)*(Calc!$G$3:$G$22-B3146)*Calc!$I$3:$I$22)</f>
        <v/>
      </c>
      <c r="P3146">
        <f>I3146-G3146^2/k_n</f>
        <v/>
      </c>
      <c r="Q3146">
        <f>J3146-H3146^2/k_n</f>
        <v/>
      </c>
      <c r="R3146">
        <f>K3146-G3146*H3146/k_n</f>
        <v/>
      </c>
      <c r="S3146">
        <f>L3146-LTP3!$D$3*G3146/k_n</f>
        <v/>
      </c>
      <c r="T3146">
        <f>M3146-LTP3!$D$3*H3146/k_n</f>
        <v/>
      </c>
      <c r="U3146">
        <f>N3146-G3146*LTP3!$D$4/k_n</f>
        <v/>
      </c>
      <c r="V3146">
        <f>O3146-H3146*LTP3!$D$4/k_n</f>
        <v/>
      </c>
      <c r="W3146">
        <f>((LTP3!$D$5)*((P3146)*(Q3146)-(R3146)*(R3146))-(S3146)*((S3146)*(Q3146)-(R3146)*(T3146))+(T3146)*((S3146)*(R3146)-(P3146)*(T3146)))</f>
        <v/>
      </c>
      <c r="X3146">
        <f>IF(ABS(W3146)&gt;1E-12,((LTP3!$D$6)*((P3146)*(Q3146)-(R3146)*(R3146))-(S3146)*((U3146)*(Q3146)-(R3146)*(V3146))+(T3146)*((U3146)*(R3146)-(P3146)*(V3146)))/W3146,0)</f>
        <v/>
      </c>
      <c r="Y3146">
        <f>IF(ABS(W3146)&gt;1E-12,((LTP3!$D$5)*((U3146)*(Q3146)-(R3146)*(V3146))-(LTP3!$D$6)*((S3146)*(Q3146)-(R3146)*(T3146))+(T3146)*((S3146)*(V3146)-(U3146)*(T3146)))/W3146,0)</f>
        <v/>
      </c>
      <c r="Z3146">
        <f>IF(ABS(W3146)&gt;1E-12,((LTP3!$D$5)*((P3146)*(V3146)-(U3146)*(R3146))-(S3146)*((S3146)*(V3146)-(U3146)*(T3146))+(LTP3!$D$6)*((S3146)*(R3146)-(P3146)*(T3146)))/W3146,0)</f>
        <v/>
      </c>
      <c r="AA3146">
        <f>LTP3!$D$7-X3146*LTP3!$D$6-Y3146*U3146-Z3146*V3146</f>
        <v/>
      </c>
      <c r="AB3146">
        <f>IF(AND(F3146,ABS(W3146)&gt;1E-12,Y3146&gt;0,Z3146&gt;0),AA3146,1E+300)</f>
        <v/>
      </c>
    </row>
    <row r="3147">
      <c r="A3147">
        <f>$B$3+$B$5*51</f>
        <v/>
      </c>
      <c r="B3147">
        <f>$B$3+$B$5*24</f>
        <v/>
      </c>
      <c r="C3147">
        <f>SUMPRODUCT(Calc!$K$3:$K$22*(Calc!$G$3:$G$22&lt;=A3147))</f>
        <v/>
      </c>
      <c r="D3147">
        <f>SUMPRODUCT(Calc!$K$3:$K$22*(Calc!$G$3:$G$22&gt;A3147)*(Calc!$G$3:$G$22&lt;B3147))</f>
        <v/>
      </c>
      <c r="E3147">
        <f>SUMPRODUCT(Calc!$K$3:$K$22*(Calc!$G$3:$G$22&gt;=B3147))</f>
        <v/>
      </c>
      <c r="F3147">
        <f>AND(k_n&gt;=5,B3147&gt;A3147+1E-9,C3147&gt;=2,D3147&gt;=1,E3147&gt;=2)</f>
        <v/>
      </c>
      <c r="G3147">
        <f>SUMPRODUCT(Calc!$K$3:$K$22*(Calc!$G$3:$G$22&gt;A3147)*(Calc!$G$3:$G$22-A3147))</f>
        <v/>
      </c>
      <c r="H3147">
        <f>SUMPRODUCT(Calc!$K$3:$K$22*(Calc!$G$3:$G$22&gt;B3147)*(Calc!$G$3:$G$22-B3147))</f>
        <v/>
      </c>
      <c r="I3147">
        <f>SUMPRODUCT(Calc!$K$3:$K$22*(Calc!$G$3:$G$22&gt;A3147)*(Calc!$G$3:$G$22-A3147)^2)</f>
        <v/>
      </c>
      <c r="J3147">
        <f>SUMPRODUCT(Calc!$K$3:$K$22*(Calc!$G$3:$G$22&gt;B3147)*(Calc!$G$3:$G$22-B3147)^2)</f>
        <v/>
      </c>
      <c r="K3147">
        <f>SUMPRODUCT(Calc!$K$3:$K$22*(Calc!$G$3:$G$22&gt;A3147)*(Calc!$G$3:$G$22-A3147)*(Calc!$G$3:$G$22&gt;B3147)*(Calc!$G$3:$G$22-B3147))</f>
        <v/>
      </c>
      <c r="L3147">
        <f>SUMPRODUCT(Calc!$K$3:$K$22*(Calc!$G$3:$G$22&gt;A3147)*(Calc!$G$3:$G$22-A3147)*Calc!$G$3:$G$22)</f>
        <v/>
      </c>
      <c r="M3147">
        <f>SUMPRODUCT(Calc!$K$3:$K$22*(Calc!$G$3:$G$22&gt;B3147)*(Calc!$G$3:$G$22-B3147)*Calc!$G$3:$G$22)</f>
        <v/>
      </c>
      <c r="N3147">
        <f>SUMPRODUCT(Calc!$K$3:$K$22*(Calc!$G$3:$G$22&gt;A3147)*(Calc!$G$3:$G$22-A3147)*Calc!$I$3:$I$22)</f>
        <v/>
      </c>
      <c r="O3147">
        <f>SUMPRODUCT(Calc!$K$3:$K$22*(Calc!$G$3:$G$22&gt;B3147)*(Calc!$G$3:$G$22-B3147)*Calc!$I$3:$I$22)</f>
        <v/>
      </c>
      <c r="P3147">
        <f>I3147-G3147^2/k_n</f>
        <v/>
      </c>
      <c r="Q3147">
        <f>J3147-H3147^2/k_n</f>
        <v/>
      </c>
      <c r="R3147">
        <f>K3147-G3147*H3147/k_n</f>
        <v/>
      </c>
      <c r="S3147">
        <f>L3147-LTP3!$D$3*G3147/k_n</f>
        <v/>
      </c>
      <c r="T3147">
        <f>M3147-LTP3!$D$3*H3147/k_n</f>
        <v/>
      </c>
      <c r="U3147">
        <f>N3147-G3147*LTP3!$D$4/k_n</f>
        <v/>
      </c>
      <c r="V3147">
        <f>O3147-H3147*LTP3!$D$4/k_n</f>
        <v/>
      </c>
      <c r="W3147">
        <f>((LTP3!$D$5)*((P3147)*(Q3147)-(R3147)*(R3147))-(S3147)*((S3147)*(Q3147)-(R3147)*(T3147))+(T3147)*((S3147)*(R3147)-(P3147)*(T3147)))</f>
        <v/>
      </c>
      <c r="X3147">
        <f>IF(ABS(W3147)&gt;1E-12,((LTP3!$D$6)*((P3147)*(Q3147)-(R3147)*(R3147))-(S3147)*((U3147)*(Q3147)-(R3147)*(V3147))+(T3147)*((U3147)*(R3147)-(P3147)*(V3147)))/W3147,0)</f>
        <v/>
      </c>
      <c r="Y3147">
        <f>IF(ABS(W3147)&gt;1E-12,((LTP3!$D$5)*((U3147)*(Q3147)-(R3147)*(V3147))-(LTP3!$D$6)*((S3147)*(Q3147)-(R3147)*(T3147))+(T3147)*((S3147)*(V3147)-(U3147)*(T3147)))/W3147,0)</f>
        <v/>
      </c>
      <c r="Z3147">
        <f>IF(ABS(W3147)&gt;1E-12,((LTP3!$D$5)*((P3147)*(V3147)-(U3147)*(R3147))-(S3147)*((S3147)*(V3147)-(U3147)*(T3147))+(LTP3!$D$6)*((S3147)*(R3147)-(P3147)*(T3147)))/W3147,0)</f>
        <v/>
      </c>
      <c r="AA3147">
        <f>LTP3!$D$7-X3147*LTP3!$D$6-Y3147*U3147-Z3147*V3147</f>
        <v/>
      </c>
      <c r="AB3147">
        <f>IF(AND(F3147,ABS(W3147)&gt;1E-12,Y3147&gt;0,Z3147&gt;0),AA3147,1E+300)</f>
        <v/>
      </c>
    </row>
    <row r="3148">
      <c r="A3148">
        <f>$B$3+$B$5*51</f>
        <v/>
      </c>
      <c r="B3148">
        <f>$B$3+$B$5*25</f>
        <v/>
      </c>
      <c r="C3148">
        <f>SUMPRODUCT(Calc!$K$3:$K$22*(Calc!$G$3:$G$22&lt;=A3148))</f>
        <v/>
      </c>
      <c r="D3148">
        <f>SUMPRODUCT(Calc!$K$3:$K$22*(Calc!$G$3:$G$22&gt;A3148)*(Calc!$G$3:$G$22&lt;B3148))</f>
        <v/>
      </c>
      <c r="E3148">
        <f>SUMPRODUCT(Calc!$K$3:$K$22*(Calc!$G$3:$G$22&gt;=B3148))</f>
        <v/>
      </c>
      <c r="F3148">
        <f>AND(k_n&gt;=5,B3148&gt;A3148+1E-9,C3148&gt;=2,D3148&gt;=1,E3148&gt;=2)</f>
        <v/>
      </c>
      <c r="G3148">
        <f>SUMPRODUCT(Calc!$K$3:$K$22*(Calc!$G$3:$G$22&gt;A3148)*(Calc!$G$3:$G$22-A3148))</f>
        <v/>
      </c>
      <c r="H3148">
        <f>SUMPRODUCT(Calc!$K$3:$K$22*(Calc!$G$3:$G$22&gt;B3148)*(Calc!$G$3:$G$22-B3148))</f>
        <v/>
      </c>
      <c r="I3148">
        <f>SUMPRODUCT(Calc!$K$3:$K$22*(Calc!$G$3:$G$22&gt;A3148)*(Calc!$G$3:$G$22-A3148)^2)</f>
        <v/>
      </c>
      <c r="J3148">
        <f>SUMPRODUCT(Calc!$K$3:$K$22*(Calc!$G$3:$G$22&gt;B3148)*(Calc!$G$3:$G$22-B3148)^2)</f>
        <v/>
      </c>
      <c r="K3148">
        <f>SUMPRODUCT(Calc!$K$3:$K$22*(Calc!$G$3:$G$22&gt;A3148)*(Calc!$G$3:$G$22-A3148)*(Calc!$G$3:$G$22&gt;B3148)*(Calc!$G$3:$G$22-B3148))</f>
        <v/>
      </c>
      <c r="L3148">
        <f>SUMPRODUCT(Calc!$K$3:$K$22*(Calc!$G$3:$G$22&gt;A3148)*(Calc!$G$3:$G$22-A3148)*Calc!$G$3:$G$22)</f>
        <v/>
      </c>
      <c r="M3148">
        <f>SUMPRODUCT(Calc!$K$3:$K$22*(Calc!$G$3:$G$22&gt;B3148)*(Calc!$G$3:$G$22-B3148)*Calc!$G$3:$G$22)</f>
        <v/>
      </c>
      <c r="N3148">
        <f>SUMPRODUCT(Calc!$K$3:$K$22*(Calc!$G$3:$G$22&gt;A3148)*(Calc!$G$3:$G$22-A3148)*Calc!$I$3:$I$22)</f>
        <v/>
      </c>
      <c r="O3148">
        <f>SUMPRODUCT(Calc!$K$3:$K$22*(Calc!$G$3:$G$22&gt;B3148)*(Calc!$G$3:$G$22-B3148)*Calc!$I$3:$I$22)</f>
        <v/>
      </c>
      <c r="P3148">
        <f>I3148-G3148^2/k_n</f>
        <v/>
      </c>
      <c r="Q3148">
        <f>J3148-H3148^2/k_n</f>
        <v/>
      </c>
      <c r="R3148">
        <f>K3148-G3148*H3148/k_n</f>
        <v/>
      </c>
      <c r="S3148">
        <f>L3148-LTP3!$D$3*G3148/k_n</f>
        <v/>
      </c>
      <c r="T3148">
        <f>M3148-LTP3!$D$3*H3148/k_n</f>
        <v/>
      </c>
      <c r="U3148">
        <f>N3148-G3148*LTP3!$D$4/k_n</f>
        <v/>
      </c>
      <c r="V3148">
        <f>O3148-H3148*LTP3!$D$4/k_n</f>
        <v/>
      </c>
      <c r="W3148">
        <f>((LTP3!$D$5)*((P3148)*(Q3148)-(R3148)*(R3148))-(S3148)*((S3148)*(Q3148)-(R3148)*(T3148))+(T3148)*((S3148)*(R3148)-(P3148)*(T3148)))</f>
        <v/>
      </c>
      <c r="X3148">
        <f>IF(ABS(W3148)&gt;1E-12,((LTP3!$D$6)*((P3148)*(Q3148)-(R3148)*(R3148))-(S3148)*((U3148)*(Q3148)-(R3148)*(V3148))+(T3148)*((U3148)*(R3148)-(P3148)*(V3148)))/W3148,0)</f>
        <v/>
      </c>
      <c r="Y3148">
        <f>IF(ABS(W3148)&gt;1E-12,((LTP3!$D$5)*((U3148)*(Q3148)-(R3148)*(V3148))-(LTP3!$D$6)*((S3148)*(Q3148)-(R3148)*(T3148))+(T3148)*((S3148)*(V3148)-(U3148)*(T3148)))/W3148,0)</f>
        <v/>
      </c>
      <c r="Z3148">
        <f>IF(ABS(W3148)&gt;1E-12,((LTP3!$D$5)*((P3148)*(V3148)-(U3148)*(R3148))-(S3148)*((S3148)*(V3148)-(U3148)*(T3148))+(LTP3!$D$6)*((S3148)*(R3148)-(P3148)*(T3148)))/W3148,0)</f>
        <v/>
      </c>
      <c r="AA3148">
        <f>LTP3!$D$7-X3148*LTP3!$D$6-Y3148*U3148-Z3148*V3148</f>
        <v/>
      </c>
      <c r="AB3148">
        <f>IF(AND(F3148,ABS(W3148)&gt;1E-12,Y3148&gt;0,Z3148&gt;0),AA3148,1E+300)</f>
        <v/>
      </c>
    </row>
    <row r="3149">
      <c r="A3149">
        <f>$B$3+$B$5*51</f>
        <v/>
      </c>
      <c r="B3149">
        <f>$B$3+$B$5*26</f>
        <v/>
      </c>
      <c r="C3149">
        <f>SUMPRODUCT(Calc!$K$3:$K$22*(Calc!$G$3:$G$22&lt;=A3149))</f>
        <v/>
      </c>
      <c r="D3149">
        <f>SUMPRODUCT(Calc!$K$3:$K$22*(Calc!$G$3:$G$22&gt;A3149)*(Calc!$G$3:$G$22&lt;B3149))</f>
        <v/>
      </c>
      <c r="E3149">
        <f>SUMPRODUCT(Calc!$K$3:$K$22*(Calc!$G$3:$G$22&gt;=B3149))</f>
        <v/>
      </c>
      <c r="F3149">
        <f>AND(k_n&gt;=5,B3149&gt;A3149+1E-9,C3149&gt;=2,D3149&gt;=1,E3149&gt;=2)</f>
        <v/>
      </c>
      <c r="G3149">
        <f>SUMPRODUCT(Calc!$K$3:$K$22*(Calc!$G$3:$G$22&gt;A3149)*(Calc!$G$3:$G$22-A3149))</f>
        <v/>
      </c>
      <c r="H3149">
        <f>SUMPRODUCT(Calc!$K$3:$K$22*(Calc!$G$3:$G$22&gt;B3149)*(Calc!$G$3:$G$22-B3149))</f>
        <v/>
      </c>
      <c r="I3149">
        <f>SUMPRODUCT(Calc!$K$3:$K$22*(Calc!$G$3:$G$22&gt;A3149)*(Calc!$G$3:$G$22-A3149)^2)</f>
        <v/>
      </c>
      <c r="J3149">
        <f>SUMPRODUCT(Calc!$K$3:$K$22*(Calc!$G$3:$G$22&gt;B3149)*(Calc!$G$3:$G$22-B3149)^2)</f>
        <v/>
      </c>
      <c r="K3149">
        <f>SUMPRODUCT(Calc!$K$3:$K$22*(Calc!$G$3:$G$22&gt;A3149)*(Calc!$G$3:$G$22-A3149)*(Calc!$G$3:$G$22&gt;B3149)*(Calc!$G$3:$G$22-B3149))</f>
        <v/>
      </c>
      <c r="L3149">
        <f>SUMPRODUCT(Calc!$K$3:$K$22*(Calc!$G$3:$G$22&gt;A3149)*(Calc!$G$3:$G$22-A3149)*Calc!$G$3:$G$22)</f>
        <v/>
      </c>
      <c r="M3149">
        <f>SUMPRODUCT(Calc!$K$3:$K$22*(Calc!$G$3:$G$22&gt;B3149)*(Calc!$G$3:$G$22-B3149)*Calc!$G$3:$G$22)</f>
        <v/>
      </c>
      <c r="N3149">
        <f>SUMPRODUCT(Calc!$K$3:$K$22*(Calc!$G$3:$G$22&gt;A3149)*(Calc!$G$3:$G$22-A3149)*Calc!$I$3:$I$22)</f>
        <v/>
      </c>
      <c r="O3149">
        <f>SUMPRODUCT(Calc!$K$3:$K$22*(Calc!$G$3:$G$22&gt;B3149)*(Calc!$G$3:$G$22-B3149)*Calc!$I$3:$I$22)</f>
        <v/>
      </c>
      <c r="P3149">
        <f>I3149-G3149^2/k_n</f>
        <v/>
      </c>
      <c r="Q3149">
        <f>J3149-H3149^2/k_n</f>
        <v/>
      </c>
      <c r="R3149">
        <f>K3149-G3149*H3149/k_n</f>
        <v/>
      </c>
      <c r="S3149">
        <f>L3149-LTP3!$D$3*G3149/k_n</f>
        <v/>
      </c>
      <c r="T3149">
        <f>M3149-LTP3!$D$3*H3149/k_n</f>
        <v/>
      </c>
      <c r="U3149">
        <f>N3149-G3149*LTP3!$D$4/k_n</f>
        <v/>
      </c>
      <c r="V3149">
        <f>O3149-H3149*LTP3!$D$4/k_n</f>
        <v/>
      </c>
      <c r="W3149">
        <f>((LTP3!$D$5)*((P3149)*(Q3149)-(R3149)*(R3149))-(S3149)*((S3149)*(Q3149)-(R3149)*(T3149))+(T3149)*((S3149)*(R3149)-(P3149)*(T3149)))</f>
        <v/>
      </c>
      <c r="X3149">
        <f>IF(ABS(W3149)&gt;1E-12,((LTP3!$D$6)*((P3149)*(Q3149)-(R3149)*(R3149))-(S3149)*((U3149)*(Q3149)-(R3149)*(V3149))+(T3149)*((U3149)*(R3149)-(P3149)*(V3149)))/W3149,0)</f>
        <v/>
      </c>
      <c r="Y3149">
        <f>IF(ABS(W3149)&gt;1E-12,((LTP3!$D$5)*((U3149)*(Q3149)-(R3149)*(V3149))-(LTP3!$D$6)*((S3149)*(Q3149)-(R3149)*(T3149))+(T3149)*((S3149)*(V3149)-(U3149)*(T3149)))/W3149,0)</f>
        <v/>
      </c>
      <c r="Z3149">
        <f>IF(ABS(W3149)&gt;1E-12,((LTP3!$D$5)*((P3149)*(V3149)-(U3149)*(R3149))-(S3149)*((S3149)*(V3149)-(U3149)*(T3149))+(LTP3!$D$6)*((S3149)*(R3149)-(P3149)*(T3149)))/W3149,0)</f>
        <v/>
      </c>
      <c r="AA3149">
        <f>LTP3!$D$7-X3149*LTP3!$D$6-Y3149*U3149-Z3149*V3149</f>
        <v/>
      </c>
      <c r="AB3149">
        <f>IF(AND(F3149,ABS(W3149)&gt;1E-12,Y3149&gt;0,Z3149&gt;0),AA3149,1E+300)</f>
        <v/>
      </c>
    </row>
    <row r="3150">
      <c r="A3150">
        <f>$B$3+$B$5*51</f>
        <v/>
      </c>
      <c r="B3150">
        <f>$B$3+$B$5*27</f>
        <v/>
      </c>
      <c r="C3150">
        <f>SUMPRODUCT(Calc!$K$3:$K$22*(Calc!$G$3:$G$22&lt;=A3150))</f>
        <v/>
      </c>
      <c r="D3150">
        <f>SUMPRODUCT(Calc!$K$3:$K$22*(Calc!$G$3:$G$22&gt;A3150)*(Calc!$G$3:$G$22&lt;B3150))</f>
        <v/>
      </c>
      <c r="E3150">
        <f>SUMPRODUCT(Calc!$K$3:$K$22*(Calc!$G$3:$G$22&gt;=B3150))</f>
        <v/>
      </c>
      <c r="F3150">
        <f>AND(k_n&gt;=5,B3150&gt;A3150+1E-9,C3150&gt;=2,D3150&gt;=1,E3150&gt;=2)</f>
        <v/>
      </c>
      <c r="G3150">
        <f>SUMPRODUCT(Calc!$K$3:$K$22*(Calc!$G$3:$G$22&gt;A3150)*(Calc!$G$3:$G$22-A3150))</f>
        <v/>
      </c>
      <c r="H3150">
        <f>SUMPRODUCT(Calc!$K$3:$K$22*(Calc!$G$3:$G$22&gt;B3150)*(Calc!$G$3:$G$22-B3150))</f>
        <v/>
      </c>
      <c r="I3150">
        <f>SUMPRODUCT(Calc!$K$3:$K$22*(Calc!$G$3:$G$22&gt;A3150)*(Calc!$G$3:$G$22-A3150)^2)</f>
        <v/>
      </c>
      <c r="J3150">
        <f>SUMPRODUCT(Calc!$K$3:$K$22*(Calc!$G$3:$G$22&gt;B3150)*(Calc!$G$3:$G$22-B3150)^2)</f>
        <v/>
      </c>
      <c r="K3150">
        <f>SUMPRODUCT(Calc!$K$3:$K$22*(Calc!$G$3:$G$22&gt;A3150)*(Calc!$G$3:$G$22-A3150)*(Calc!$G$3:$G$22&gt;B3150)*(Calc!$G$3:$G$22-B3150))</f>
        <v/>
      </c>
      <c r="L3150">
        <f>SUMPRODUCT(Calc!$K$3:$K$22*(Calc!$G$3:$G$22&gt;A3150)*(Calc!$G$3:$G$22-A3150)*Calc!$G$3:$G$22)</f>
        <v/>
      </c>
      <c r="M3150">
        <f>SUMPRODUCT(Calc!$K$3:$K$22*(Calc!$G$3:$G$22&gt;B3150)*(Calc!$G$3:$G$22-B3150)*Calc!$G$3:$G$22)</f>
        <v/>
      </c>
      <c r="N3150">
        <f>SUMPRODUCT(Calc!$K$3:$K$22*(Calc!$G$3:$G$22&gt;A3150)*(Calc!$G$3:$G$22-A3150)*Calc!$I$3:$I$22)</f>
        <v/>
      </c>
      <c r="O3150">
        <f>SUMPRODUCT(Calc!$K$3:$K$22*(Calc!$G$3:$G$22&gt;B3150)*(Calc!$G$3:$G$22-B3150)*Calc!$I$3:$I$22)</f>
        <v/>
      </c>
      <c r="P3150">
        <f>I3150-G3150^2/k_n</f>
        <v/>
      </c>
      <c r="Q3150">
        <f>J3150-H3150^2/k_n</f>
        <v/>
      </c>
      <c r="R3150">
        <f>K3150-G3150*H3150/k_n</f>
        <v/>
      </c>
      <c r="S3150">
        <f>L3150-LTP3!$D$3*G3150/k_n</f>
        <v/>
      </c>
      <c r="T3150">
        <f>M3150-LTP3!$D$3*H3150/k_n</f>
        <v/>
      </c>
      <c r="U3150">
        <f>N3150-G3150*LTP3!$D$4/k_n</f>
        <v/>
      </c>
      <c r="V3150">
        <f>O3150-H3150*LTP3!$D$4/k_n</f>
        <v/>
      </c>
      <c r="W3150">
        <f>((LTP3!$D$5)*((P3150)*(Q3150)-(R3150)*(R3150))-(S3150)*((S3150)*(Q3150)-(R3150)*(T3150))+(T3150)*((S3150)*(R3150)-(P3150)*(T3150)))</f>
        <v/>
      </c>
      <c r="X3150">
        <f>IF(ABS(W3150)&gt;1E-12,((LTP3!$D$6)*((P3150)*(Q3150)-(R3150)*(R3150))-(S3150)*((U3150)*(Q3150)-(R3150)*(V3150))+(T3150)*((U3150)*(R3150)-(P3150)*(V3150)))/W3150,0)</f>
        <v/>
      </c>
      <c r="Y3150">
        <f>IF(ABS(W3150)&gt;1E-12,((LTP3!$D$5)*((U3150)*(Q3150)-(R3150)*(V3150))-(LTP3!$D$6)*((S3150)*(Q3150)-(R3150)*(T3150))+(T3150)*((S3150)*(V3150)-(U3150)*(T3150)))/W3150,0)</f>
        <v/>
      </c>
      <c r="Z3150">
        <f>IF(ABS(W3150)&gt;1E-12,((LTP3!$D$5)*((P3150)*(V3150)-(U3150)*(R3150))-(S3150)*((S3150)*(V3150)-(U3150)*(T3150))+(LTP3!$D$6)*((S3150)*(R3150)-(P3150)*(T3150)))/W3150,0)</f>
        <v/>
      </c>
      <c r="AA3150">
        <f>LTP3!$D$7-X3150*LTP3!$D$6-Y3150*U3150-Z3150*V3150</f>
        <v/>
      </c>
      <c r="AB3150">
        <f>IF(AND(F3150,ABS(W3150)&gt;1E-12,Y3150&gt;0,Z3150&gt;0),AA3150,1E+300)</f>
        <v/>
      </c>
    </row>
    <row r="3151">
      <c r="A3151">
        <f>$B$3+$B$5*51</f>
        <v/>
      </c>
      <c r="B3151">
        <f>$B$3+$B$5*28</f>
        <v/>
      </c>
      <c r="C3151">
        <f>SUMPRODUCT(Calc!$K$3:$K$22*(Calc!$G$3:$G$22&lt;=A3151))</f>
        <v/>
      </c>
      <c r="D3151">
        <f>SUMPRODUCT(Calc!$K$3:$K$22*(Calc!$G$3:$G$22&gt;A3151)*(Calc!$G$3:$G$22&lt;B3151))</f>
        <v/>
      </c>
      <c r="E3151">
        <f>SUMPRODUCT(Calc!$K$3:$K$22*(Calc!$G$3:$G$22&gt;=B3151))</f>
        <v/>
      </c>
      <c r="F3151">
        <f>AND(k_n&gt;=5,B3151&gt;A3151+1E-9,C3151&gt;=2,D3151&gt;=1,E3151&gt;=2)</f>
        <v/>
      </c>
      <c r="G3151">
        <f>SUMPRODUCT(Calc!$K$3:$K$22*(Calc!$G$3:$G$22&gt;A3151)*(Calc!$G$3:$G$22-A3151))</f>
        <v/>
      </c>
      <c r="H3151">
        <f>SUMPRODUCT(Calc!$K$3:$K$22*(Calc!$G$3:$G$22&gt;B3151)*(Calc!$G$3:$G$22-B3151))</f>
        <v/>
      </c>
      <c r="I3151">
        <f>SUMPRODUCT(Calc!$K$3:$K$22*(Calc!$G$3:$G$22&gt;A3151)*(Calc!$G$3:$G$22-A3151)^2)</f>
        <v/>
      </c>
      <c r="J3151">
        <f>SUMPRODUCT(Calc!$K$3:$K$22*(Calc!$G$3:$G$22&gt;B3151)*(Calc!$G$3:$G$22-B3151)^2)</f>
        <v/>
      </c>
      <c r="K3151">
        <f>SUMPRODUCT(Calc!$K$3:$K$22*(Calc!$G$3:$G$22&gt;A3151)*(Calc!$G$3:$G$22-A3151)*(Calc!$G$3:$G$22&gt;B3151)*(Calc!$G$3:$G$22-B3151))</f>
        <v/>
      </c>
      <c r="L3151">
        <f>SUMPRODUCT(Calc!$K$3:$K$22*(Calc!$G$3:$G$22&gt;A3151)*(Calc!$G$3:$G$22-A3151)*Calc!$G$3:$G$22)</f>
        <v/>
      </c>
      <c r="M3151">
        <f>SUMPRODUCT(Calc!$K$3:$K$22*(Calc!$G$3:$G$22&gt;B3151)*(Calc!$G$3:$G$22-B3151)*Calc!$G$3:$G$22)</f>
        <v/>
      </c>
      <c r="N3151">
        <f>SUMPRODUCT(Calc!$K$3:$K$22*(Calc!$G$3:$G$22&gt;A3151)*(Calc!$G$3:$G$22-A3151)*Calc!$I$3:$I$22)</f>
        <v/>
      </c>
      <c r="O3151">
        <f>SUMPRODUCT(Calc!$K$3:$K$22*(Calc!$G$3:$G$22&gt;B3151)*(Calc!$G$3:$G$22-B3151)*Calc!$I$3:$I$22)</f>
        <v/>
      </c>
      <c r="P3151">
        <f>I3151-G3151^2/k_n</f>
        <v/>
      </c>
      <c r="Q3151">
        <f>J3151-H3151^2/k_n</f>
        <v/>
      </c>
      <c r="R3151">
        <f>K3151-G3151*H3151/k_n</f>
        <v/>
      </c>
      <c r="S3151">
        <f>L3151-LTP3!$D$3*G3151/k_n</f>
        <v/>
      </c>
      <c r="T3151">
        <f>M3151-LTP3!$D$3*H3151/k_n</f>
        <v/>
      </c>
      <c r="U3151">
        <f>N3151-G3151*LTP3!$D$4/k_n</f>
        <v/>
      </c>
      <c r="V3151">
        <f>O3151-H3151*LTP3!$D$4/k_n</f>
        <v/>
      </c>
      <c r="W3151">
        <f>((LTP3!$D$5)*((P3151)*(Q3151)-(R3151)*(R3151))-(S3151)*((S3151)*(Q3151)-(R3151)*(T3151))+(T3151)*((S3151)*(R3151)-(P3151)*(T3151)))</f>
        <v/>
      </c>
      <c r="X3151">
        <f>IF(ABS(W3151)&gt;1E-12,((LTP3!$D$6)*((P3151)*(Q3151)-(R3151)*(R3151))-(S3151)*((U3151)*(Q3151)-(R3151)*(V3151))+(T3151)*((U3151)*(R3151)-(P3151)*(V3151)))/W3151,0)</f>
        <v/>
      </c>
      <c r="Y3151">
        <f>IF(ABS(W3151)&gt;1E-12,((LTP3!$D$5)*((U3151)*(Q3151)-(R3151)*(V3151))-(LTP3!$D$6)*((S3151)*(Q3151)-(R3151)*(T3151))+(T3151)*((S3151)*(V3151)-(U3151)*(T3151)))/W3151,0)</f>
        <v/>
      </c>
      <c r="Z3151">
        <f>IF(ABS(W3151)&gt;1E-12,((LTP3!$D$5)*((P3151)*(V3151)-(U3151)*(R3151))-(S3151)*((S3151)*(V3151)-(U3151)*(T3151))+(LTP3!$D$6)*((S3151)*(R3151)-(P3151)*(T3151)))/W3151,0)</f>
        <v/>
      </c>
      <c r="AA3151">
        <f>LTP3!$D$7-X3151*LTP3!$D$6-Y3151*U3151-Z3151*V3151</f>
        <v/>
      </c>
      <c r="AB3151">
        <f>IF(AND(F3151,ABS(W3151)&gt;1E-12,Y3151&gt;0,Z3151&gt;0),AA3151,1E+300)</f>
        <v/>
      </c>
    </row>
    <row r="3152">
      <c r="A3152">
        <f>$B$3+$B$5*51</f>
        <v/>
      </c>
      <c r="B3152">
        <f>$B$3+$B$5*29</f>
        <v/>
      </c>
      <c r="C3152">
        <f>SUMPRODUCT(Calc!$K$3:$K$22*(Calc!$G$3:$G$22&lt;=A3152))</f>
        <v/>
      </c>
      <c r="D3152">
        <f>SUMPRODUCT(Calc!$K$3:$K$22*(Calc!$G$3:$G$22&gt;A3152)*(Calc!$G$3:$G$22&lt;B3152))</f>
        <v/>
      </c>
      <c r="E3152">
        <f>SUMPRODUCT(Calc!$K$3:$K$22*(Calc!$G$3:$G$22&gt;=B3152))</f>
        <v/>
      </c>
      <c r="F3152">
        <f>AND(k_n&gt;=5,B3152&gt;A3152+1E-9,C3152&gt;=2,D3152&gt;=1,E3152&gt;=2)</f>
        <v/>
      </c>
      <c r="G3152">
        <f>SUMPRODUCT(Calc!$K$3:$K$22*(Calc!$G$3:$G$22&gt;A3152)*(Calc!$G$3:$G$22-A3152))</f>
        <v/>
      </c>
      <c r="H3152">
        <f>SUMPRODUCT(Calc!$K$3:$K$22*(Calc!$G$3:$G$22&gt;B3152)*(Calc!$G$3:$G$22-B3152))</f>
        <v/>
      </c>
      <c r="I3152">
        <f>SUMPRODUCT(Calc!$K$3:$K$22*(Calc!$G$3:$G$22&gt;A3152)*(Calc!$G$3:$G$22-A3152)^2)</f>
        <v/>
      </c>
      <c r="J3152">
        <f>SUMPRODUCT(Calc!$K$3:$K$22*(Calc!$G$3:$G$22&gt;B3152)*(Calc!$G$3:$G$22-B3152)^2)</f>
        <v/>
      </c>
      <c r="K3152">
        <f>SUMPRODUCT(Calc!$K$3:$K$22*(Calc!$G$3:$G$22&gt;A3152)*(Calc!$G$3:$G$22-A3152)*(Calc!$G$3:$G$22&gt;B3152)*(Calc!$G$3:$G$22-B3152))</f>
        <v/>
      </c>
      <c r="L3152">
        <f>SUMPRODUCT(Calc!$K$3:$K$22*(Calc!$G$3:$G$22&gt;A3152)*(Calc!$G$3:$G$22-A3152)*Calc!$G$3:$G$22)</f>
        <v/>
      </c>
      <c r="M3152">
        <f>SUMPRODUCT(Calc!$K$3:$K$22*(Calc!$G$3:$G$22&gt;B3152)*(Calc!$G$3:$G$22-B3152)*Calc!$G$3:$G$22)</f>
        <v/>
      </c>
      <c r="N3152">
        <f>SUMPRODUCT(Calc!$K$3:$K$22*(Calc!$G$3:$G$22&gt;A3152)*(Calc!$G$3:$G$22-A3152)*Calc!$I$3:$I$22)</f>
        <v/>
      </c>
      <c r="O3152">
        <f>SUMPRODUCT(Calc!$K$3:$K$22*(Calc!$G$3:$G$22&gt;B3152)*(Calc!$G$3:$G$22-B3152)*Calc!$I$3:$I$22)</f>
        <v/>
      </c>
      <c r="P3152">
        <f>I3152-G3152^2/k_n</f>
        <v/>
      </c>
      <c r="Q3152">
        <f>J3152-H3152^2/k_n</f>
        <v/>
      </c>
      <c r="R3152">
        <f>K3152-G3152*H3152/k_n</f>
        <v/>
      </c>
      <c r="S3152">
        <f>L3152-LTP3!$D$3*G3152/k_n</f>
        <v/>
      </c>
      <c r="T3152">
        <f>M3152-LTP3!$D$3*H3152/k_n</f>
        <v/>
      </c>
      <c r="U3152">
        <f>N3152-G3152*LTP3!$D$4/k_n</f>
        <v/>
      </c>
      <c r="V3152">
        <f>O3152-H3152*LTP3!$D$4/k_n</f>
        <v/>
      </c>
      <c r="W3152">
        <f>((LTP3!$D$5)*((P3152)*(Q3152)-(R3152)*(R3152))-(S3152)*((S3152)*(Q3152)-(R3152)*(T3152))+(T3152)*((S3152)*(R3152)-(P3152)*(T3152)))</f>
        <v/>
      </c>
      <c r="X3152">
        <f>IF(ABS(W3152)&gt;1E-12,((LTP3!$D$6)*((P3152)*(Q3152)-(R3152)*(R3152))-(S3152)*((U3152)*(Q3152)-(R3152)*(V3152))+(T3152)*((U3152)*(R3152)-(P3152)*(V3152)))/W3152,0)</f>
        <v/>
      </c>
      <c r="Y3152">
        <f>IF(ABS(W3152)&gt;1E-12,((LTP3!$D$5)*((U3152)*(Q3152)-(R3152)*(V3152))-(LTP3!$D$6)*((S3152)*(Q3152)-(R3152)*(T3152))+(T3152)*((S3152)*(V3152)-(U3152)*(T3152)))/W3152,0)</f>
        <v/>
      </c>
      <c r="Z3152">
        <f>IF(ABS(W3152)&gt;1E-12,((LTP3!$D$5)*((P3152)*(V3152)-(U3152)*(R3152))-(S3152)*((S3152)*(V3152)-(U3152)*(T3152))+(LTP3!$D$6)*((S3152)*(R3152)-(P3152)*(T3152)))/W3152,0)</f>
        <v/>
      </c>
      <c r="AA3152">
        <f>LTP3!$D$7-X3152*LTP3!$D$6-Y3152*U3152-Z3152*V3152</f>
        <v/>
      </c>
      <c r="AB3152">
        <f>IF(AND(F3152,ABS(W3152)&gt;1E-12,Y3152&gt;0,Z3152&gt;0),AA3152,1E+300)</f>
        <v/>
      </c>
    </row>
    <row r="3153">
      <c r="A3153">
        <f>$B$3+$B$5*51</f>
        <v/>
      </c>
      <c r="B3153">
        <f>$B$3+$B$5*30</f>
        <v/>
      </c>
      <c r="C3153">
        <f>SUMPRODUCT(Calc!$K$3:$K$22*(Calc!$G$3:$G$22&lt;=A3153))</f>
        <v/>
      </c>
      <c r="D3153">
        <f>SUMPRODUCT(Calc!$K$3:$K$22*(Calc!$G$3:$G$22&gt;A3153)*(Calc!$G$3:$G$22&lt;B3153))</f>
        <v/>
      </c>
      <c r="E3153">
        <f>SUMPRODUCT(Calc!$K$3:$K$22*(Calc!$G$3:$G$22&gt;=B3153))</f>
        <v/>
      </c>
      <c r="F3153">
        <f>AND(k_n&gt;=5,B3153&gt;A3153+1E-9,C3153&gt;=2,D3153&gt;=1,E3153&gt;=2)</f>
        <v/>
      </c>
      <c r="G3153">
        <f>SUMPRODUCT(Calc!$K$3:$K$22*(Calc!$G$3:$G$22&gt;A3153)*(Calc!$G$3:$G$22-A3153))</f>
        <v/>
      </c>
      <c r="H3153">
        <f>SUMPRODUCT(Calc!$K$3:$K$22*(Calc!$G$3:$G$22&gt;B3153)*(Calc!$G$3:$G$22-B3153))</f>
        <v/>
      </c>
      <c r="I3153">
        <f>SUMPRODUCT(Calc!$K$3:$K$22*(Calc!$G$3:$G$22&gt;A3153)*(Calc!$G$3:$G$22-A3153)^2)</f>
        <v/>
      </c>
      <c r="J3153">
        <f>SUMPRODUCT(Calc!$K$3:$K$22*(Calc!$G$3:$G$22&gt;B3153)*(Calc!$G$3:$G$22-B3153)^2)</f>
        <v/>
      </c>
      <c r="K3153">
        <f>SUMPRODUCT(Calc!$K$3:$K$22*(Calc!$G$3:$G$22&gt;A3153)*(Calc!$G$3:$G$22-A3153)*(Calc!$G$3:$G$22&gt;B3153)*(Calc!$G$3:$G$22-B3153))</f>
        <v/>
      </c>
      <c r="L3153">
        <f>SUMPRODUCT(Calc!$K$3:$K$22*(Calc!$G$3:$G$22&gt;A3153)*(Calc!$G$3:$G$22-A3153)*Calc!$G$3:$G$22)</f>
        <v/>
      </c>
      <c r="M3153">
        <f>SUMPRODUCT(Calc!$K$3:$K$22*(Calc!$G$3:$G$22&gt;B3153)*(Calc!$G$3:$G$22-B3153)*Calc!$G$3:$G$22)</f>
        <v/>
      </c>
      <c r="N3153">
        <f>SUMPRODUCT(Calc!$K$3:$K$22*(Calc!$G$3:$G$22&gt;A3153)*(Calc!$G$3:$G$22-A3153)*Calc!$I$3:$I$22)</f>
        <v/>
      </c>
      <c r="O3153">
        <f>SUMPRODUCT(Calc!$K$3:$K$22*(Calc!$G$3:$G$22&gt;B3153)*(Calc!$G$3:$G$22-B3153)*Calc!$I$3:$I$22)</f>
        <v/>
      </c>
      <c r="P3153">
        <f>I3153-G3153^2/k_n</f>
        <v/>
      </c>
      <c r="Q3153">
        <f>J3153-H3153^2/k_n</f>
        <v/>
      </c>
      <c r="R3153">
        <f>K3153-G3153*H3153/k_n</f>
        <v/>
      </c>
      <c r="S3153">
        <f>L3153-LTP3!$D$3*G3153/k_n</f>
        <v/>
      </c>
      <c r="T3153">
        <f>M3153-LTP3!$D$3*H3153/k_n</f>
        <v/>
      </c>
      <c r="U3153">
        <f>N3153-G3153*LTP3!$D$4/k_n</f>
        <v/>
      </c>
      <c r="V3153">
        <f>O3153-H3153*LTP3!$D$4/k_n</f>
        <v/>
      </c>
      <c r="W3153">
        <f>((LTP3!$D$5)*((P3153)*(Q3153)-(R3153)*(R3153))-(S3153)*((S3153)*(Q3153)-(R3153)*(T3153))+(T3153)*((S3153)*(R3153)-(P3153)*(T3153)))</f>
        <v/>
      </c>
      <c r="X3153">
        <f>IF(ABS(W3153)&gt;1E-12,((LTP3!$D$6)*((P3153)*(Q3153)-(R3153)*(R3153))-(S3153)*((U3153)*(Q3153)-(R3153)*(V3153))+(T3153)*((U3153)*(R3153)-(P3153)*(V3153)))/W3153,0)</f>
        <v/>
      </c>
      <c r="Y3153">
        <f>IF(ABS(W3153)&gt;1E-12,((LTP3!$D$5)*((U3153)*(Q3153)-(R3153)*(V3153))-(LTP3!$D$6)*((S3153)*(Q3153)-(R3153)*(T3153))+(T3153)*((S3153)*(V3153)-(U3153)*(T3153)))/W3153,0)</f>
        <v/>
      </c>
      <c r="Z3153">
        <f>IF(ABS(W3153)&gt;1E-12,((LTP3!$D$5)*((P3153)*(V3153)-(U3153)*(R3153))-(S3153)*((S3153)*(V3153)-(U3153)*(T3153))+(LTP3!$D$6)*((S3153)*(R3153)-(P3153)*(T3153)))/W3153,0)</f>
        <v/>
      </c>
      <c r="AA3153">
        <f>LTP3!$D$7-X3153*LTP3!$D$6-Y3153*U3153-Z3153*V3153</f>
        <v/>
      </c>
      <c r="AB3153">
        <f>IF(AND(F3153,ABS(W3153)&gt;1E-12,Y3153&gt;0,Z3153&gt;0),AA3153,1E+300)</f>
        <v/>
      </c>
    </row>
    <row r="3154">
      <c r="A3154">
        <f>$B$3+$B$5*51</f>
        <v/>
      </c>
      <c r="B3154">
        <f>$B$3+$B$5*31</f>
        <v/>
      </c>
      <c r="C3154">
        <f>SUMPRODUCT(Calc!$K$3:$K$22*(Calc!$G$3:$G$22&lt;=A3154))</f>
        <v/>
      </c>
      <c r="D3154">
        <f>SUMPRODUCT(Calc!$K$3:$K$22*(Calc!$G$3:$G$22&gt;A3154)*(Calc!$G$3:$G$22&lt;B3154))</f>
        <v/>
      </c>
      <c r="E3154">
        <f>SUMPRODUCT(Calc!$K$3:$K$22*(Calc!$G$3:$G$22&gt;=B3154))</f>
        <v/>
      </c>
      <c r="F3154">
        <f>AND(k_n&gt;=5,B3154&gt;A3154+1E-9,C3154&gt;=2,D3154&gt;=1,E3154&gt;=2)</f>
        <v/>
      </c>
      <c r="G3154">
        <f>SUMPRODUCT(Calc!$K$3:$K$22*(Calc!$G$3:$G$22&gt;A3154)*(Calc!$G$3:$G$22-A3154))</f>
        <v/>
      </c>
      <c r="H3154">
        <f>SUMPRODUCT(Calc!$K$3:$K$22*(Calc!$G$3:$G$22&gt;B3154)*(Calc!$G$3:$G$22-B3154))</f>
        <v/>
      </c>
      <c r="I3154">
        <f>SUMPRODUCT(Calc!$K$3:$K$22*(Calc!$G$3:$G$22&gt;A3154)*(Calc!$G$3:$G$22-A3154)^2)</f>
        <v/>
      </c>
      <c r="J3154">
        <f>SUMPRODUCT(Calc!$K$3:$K$22*(Calc!$G$3:$G$22&gt;B3154)*(Calc!$G$3:$G$22-B3154)^2)</f>
        <v/>
      </c>
      <c r="K3154">
        <f>SUMPRODUCT(Calc!$K$3:$K$22*(Calc!$G$3:$G$22&gt;A3154)*(Calc!$G$3:$G$22-A3154)*(Calc!$G$3:$G$22&gt;B3154)*(Calc!$G$3:$G$22-B3154))</f>
        <v/>
      </c>
      <c r="L3154">
        <f>SUMPRODUCT(Calc!$K$3:$K$22*(Calc!$G$3:$G$22&gt;A3154)*(Calc!$G$3:$G$22-A3154)*Calc!$G$3:$G$22)</f>
        <v/>
      </c>
      <c r="M3154">
        <f>SUMPRODUCT(Calc!$K$3:$K$22*(Calc!$G$3:$G$22&gt;B3154)*(Calc!$G$3:$G$22-B3154)*Calc!$G$3:$G$22)</f>
        <v/>
      </c>
      <c r="N3154">
        <f>SUMPRODUCT(Calc!$K$3:$K$22*(Calc!$G$3:$G$22&gt;A3154)*(Calc!$G$3:$G$22-A3154)*Calc!$I$3:$I$22)</f>
        <v/>
      </c>
      <c r="O3154">
        <f>SUMPRODUCT(Calc!$K$3:$K$22*(Calc!$G$3:$G$22&gt;B3154)*(Calc!$G$3:$G$22-B3154)*Calc!$I$3:$I$22)</f>
        <v/>
      </c>
      <c r="P3154">
        <f>I3154-G3154^2/k_n</f>
        <v/>
      </c>
      <c r="Q3154">
        <f>J3154-H3154^2/k_n</f>
        <v/>
      </c>
      <c r="R3154">
        <f>K3154-G3154*H3154/k_n</f>
        <v/>
      </c>
      <c r="S3154">
        <f>L3154-LTP3!$D$3*G3154/k_n</f>
        <v/>
      </c>
      <c r="T3154">
        <f>M3154-LTP3!$D$3*H3154/k_n</f>
        <v/>
      </c>
      <c r="U3154">
        <f>N3154-G3154*LTP3!$D$4/k_n</f>
        <v/>
      </c>
      <c r="V3154">
        <f>O3154-H3154*LTP3!$D$4/k_n</f>
        <v/>
      </c>
      <c r="W3154">
        <f>((LTP3!$D$5)*((P3154)*(Q3154)-(R3154)*(R3154))-(S3154)*((S3154)*(Q3154)-(R3154)*(T3154))+(T3154)*((S3154)*(R3154)-(P3154)*(T3154)))</f>
        <v/>
      </c>
      <c r="X3154">
        <f>IF(ABS(W3154)&gt;1E-12,((LTP3!$D$6)*((P3154)*(Q3154)-(R3154)*(R3154))-(S3154)*((U3154)*(Q3154)-(R3154)*(V3154))+(T3154)*((U3154)*(R3154)-(P3154)*(V3154)))/W3154,0)</f>
        <v/>
      </c>
      <c r="Y3154">
        <f>IF(ABS(W3154)&gt;1E-12,((LTP3!$D$5)*((U3154)*(Q3154)-(R3154)*(V3154))-(LTP3!$D$6)*((S3154)*(Q3154)-(R3154)*(T3154))+(T3154)*((S3154)*(V3154)-(U3154)*(T3154)))/W3154,0)</f>
        <v/>
      </c>
      <c r="Z3154">
        <f>IF(ABS(W3154)&gt;1E-12,((LTP3!$D$5)*((P3154)*(V3154)-(U3154)*(R3154))-(S3154)*((S3154)*(V3154)-(U3154)*(T3154))+(LTP3!$D$6)*((S3154)*(R3154)-(P3154)*(T3154)))/W3154,0)</f>
        <v/>
      </c>
      <c r="AA3154">
        <f>LTP3!$D$7-X3154*LTP3!$D$6-Y3154*U3154-Z3154*V3154</f>
        <v/>
      </c>
      <c r="AB3154">
        <f>IF(AND(F3154,ABS(W3154)&gt;1E-12,Y3154&gt;0,Z3154&gt;0),AA3154,1E+300)</f>
        <v/>
      </c>
    </row>
    <row r="3155">
      <c r="A3155">
        <f>$B$3+$B$5*51</f>
        <v/>
      </c>
      <c r="B3155">
        <f>$B$3+$B$5*32</f>
        <v/>
      </c>
      <c r="C3155">
        <f>SUMPRODUCT(Calc!$K$3:$K$22*(Calc!$G$3:$G$22&lt;=A3155))</f>
        <v/>
      </c>
      <c r="D3155">
        <f>SUMPRODUCT(Calc!$K$3:$K$22*(Calc!$G$3:$G$22&gt;A3155)*(Calc!$G$3:$G$22&lt;B3155))</f>
        <v/>
      </c>
      <c r="E3155">
        <f>SUMPRODUCT(Calc!$K$3:$K$22*(Calc!$G$3:$G$22&gt;=B3155))</f>
        <v/>
      </c>
      <c r="F3155">
        <f>AND(k_n&gt;=5,B3155&gt;A3155+1E-9,C3155&gt;=2,D3155&gt;=1,E3155&gt;=2)</f>
        <v/>
      </c>
      <c r="G3155">
        <f>SUMPRODUCT(Calc!$K$3:$K$22*(Calc!$G$3:$G$22&gt;A3155)*(Calc!$G$3:$G$22-A3155))</f>
        <v/>
      </c>
      <c r="H3155">
        <f>SUMPRODUCT(Calc!$K$3:$K$22*(Calc!$G$3:$G$22&gt;B3155)*(Calc!$G$3:$G$22-B3155))</f>
        <v/>
      </c>
      <c r="I3155">
        <f>SUMPRODUCT(Calc!$K$3:$K$22*(Calc!$G$3:$G$22&gt;A3155)*(Calc!$G$3:$G$22-A3155)^2)</f>
        <v/>
      </c>
      <c r="J3155">
        <f>SUMPRODUCT(Calc!$K$3:$K$22*(Calc!$G$3:$G$22&gt;B3155)*(Calc!$G$3:$G$22-B3155)^2)</f>
        <v/>
      </c>
      <c r="K3155">
        <f>SUMPRODUCT(Calc!$K$3:$K$22*(Calc!$G$3:$G$22&gt;A3155)*(Calc!$G$3:$G$22-A3155)*(Calc!$G$3:$G$22&gt;B3155)*(Calc!$G$3:$G$22-B3155))</f>
        <v/>
      </c>
      <c r="L3155">
        <f>SUMPRODUCT(Calc!$K$3:$K$22*(Calc!$G$3:$G$22&gt;A3155)*(Calc!$G$3:$G$22-A3155)*Calc!$G$3:$G$22)</f>
        <v/>
      </c>
      <c r="M3155">
        <f>SUMPRODUCT(Calc!$K$3:$K$22*(Calc!$G$3:$G$22&gt;B3155)*(Calc!$G$3:$G$22-B3155)*Calc!$G$3:$G$22)</f>
        <v/>
      </c>
      <c r="N3155">
        <f>SUMPRODUCT(Calc!$K$3:$K$22*(Calc!$G$3:$G$22&gt;A3155)*(Calc!$G$3:$G$22-A3155)*Calc!$I$3:$I$22)</f>
        <v/>
      </c>
      <c r="O3155">
        <f>SUMPRODUCT(Calc!$K$3:$K$22*(Calc!$G$3:$G$22&gt;B3155)*(Calc!$G$3:$G$22-B3155)*Calc!$I$3:$I$22)</f>
        <v/>
      </c>
      <c r="P3155">
        <f>I3155-G3155^2/k_n</f>
        <v/>
      </c>
      <c r="Q3155">
        <f>J3155-H3155^2/k_n</f>
        <v/>
      </c>
      <c r="R3155">
        <f>K3155-G3155*H3155/k_n</f>
        <v/>
      </c>
      <c r="S3155">
        <f>L3155-LTP3!$D$3*G3155/k_n</f>
        <v/>
      </c>
      <c r="T3155">
        <f>M3155-LTP3!$D$3*H3155/k_n</f>
        <v/>
      </c>
      <c r="U3155">
        <f>N3155-G3155*LTP3!$D$4/k_n</f>
        <v/>
      </c>
      <c r="V3155">
        <f>O3155-H3155*LTP3!$D$4/k_n</f>
        <v/>
      </c>
      <c r="W3155">
        <f>((LTP3!$D$5)*((P3155)*(Q3155)-(R3155)*(R3155))-(S3155)*((S3155)*(Q3155)-(R3155)*(T3155))+(T3155)*((S3155)*(R3155)-(P3155)*(T3155)))</f>
        <v/>
      </c>
      <c r="X3155">
        <f>IF(ABS(W3155)&gt;1E-12,((LTP3!$D$6)*((P3155)*(Q3155)-(R3155)*(R3155))-(S3155)*((U3155)*(Q3155)-(R3155)*(V3155))+(T3155)*((U3155)*(R3155)-(P3155)*(V3155)))/W3155,0)</f>
        <v/>
      </c>
      <c r="Y3155">
        <f>IF(ABS(W3155)&gt;1E-12,((LTP3!$D$5)*((U3155)*(Q3155)-(R3155)*(V3155))-(LTP3!$D$6)*((S3155)*(Q3155)-(R3155)*(T3155))+(T3155)*((S3155)*(V3155)-(U3155)*(T3155)))/W3155,0)</f>
        <v/>
      </c>
      <c r="Z3155">
        <f>IF(ABS(W3155)&gt;1E-12,((LTP3!$D$5)*((P3155)*(V3155)-(U3155)*(R3155))-(S3155)*((S3155)*(V3155)-(U3155)*(T3155))+(LTP3!$D$6)*((S3155)*(R3155)-(P3155)*(T3155)))/W3155,0)</f>
        <v/>
      </c>
      <c r="AA3155">
        <f>LTP3!$D$7-X3155*LTP3!$D$6-Y3155*U3155-Z3155*V3155</f>
        <v/>
      </c>
      <c r="AB3155">
        <f>IF(AND(F3155,ABS(W3155)&gt;1E-12,Y3155&gt;0,Z3155&gt;0),AA3155,1E+300)</f>
        <v/>
      </c>
    </row>
    <row r="3156">
      <c r="A3156">
        <f>$B$3+$B$5*51</f>
        <v/>
      </c>
      <c r="B3156">
        <f>$B$3+$B$5*33</f>
        <v/>
      </c>
      <c r="C3156">
        <f>SUMPRODUCT(Calc!$K$3:$K$22*(Calc!$G$3:$G$22&lt;=A3156))</f>
        <v/>
      </c>
      <c r="D3156">
        <f>SUMPRODUCT(Calc!$K$3:$K$22*(Calc!$G$3:$G$22&gt;A3156)*(Calc!$G$3:$G$22&lt;B3156))</f>
        <v/>
      </c>
      <c r="E3156">
        <f>SUMPRODUCT(Calc!$K$3:$K$22*(Calc!$G$3:$G$22&gt;=B3156))</f>
        <v/>
      </c>
      <c r="F3156">
        <f>AND(k_n&gt;=5,B3156&gt;A3156+1E-9,C3156&gt;=2,D3156&gt;=1,E3156&gt;=2)</f>
        <v/>
      </c>
      <c r="G3156">
        <f>SUMPRODUCT(Calc!$K$3:$K$22*(Calc!$G$3:$G$22&gt;A3156)*(Calc!$G$3:$G$22-A3156))</f>
        <v/>
      </c>
      <c r="H3156">
        <f>SUMPRODUCT(Calc!$K$3:$K$22*(Calc!$G$3:$G$22&gt;B3156)*(Calc!$G$3:$G$22-B3156))</f>
        <v/>
      </c>
      <c r="I3156">
        <f>SUMPRODUCT(Calc!$K$3:$K$22*(Calc!$G$3:$G$22&gt;A3156)*(Calc!$G$3:$G$22-A3156)^2)</f>
        <v/>
      </c>
      <c r="J3156">
        <f>SUMPRODUCT(Calc!$K$3:$K$22*(Calc!$G$3:$G$22&gt;B3156)*(Calc!$G$3:$G$22-B3156)^2)</f>
        <v/>
      </c>
      <c r="K3156">
        <f>SUMPRODUCT(Calc!$K$3:$K$22*(Calc!$G$3:$G$22&gt;A3156)*(Calc!$G$3:$G$22-A3156)*(Calc!$G$3:$G$22&gt;B3156)*(Calc!$G$3:$G$22-B3156))</f>
        <v/>
      </c>
      <c r="L3156">
        <f>SUMPRODUCT(Calc!$K$3:$K$22*(Calc!$G$3:$G$22&gt;A3156)*(Calc!$G$3:$G$22-A3156)*Calc!$G$3:$G$22)</f>
        <v/>
      </c>
      <c r="M3156">
        <f>SUMPRODUCT(Calc!$K$3:$K$22*(Calc!$G$3:$G$22&gt;B3156)*(Calc!$G$3:$G$22-B3156)*Calc!$G$3:$G$22)</f>
        <v/>
      </c>
      <c r="N3156">
        <f>SUMPRODUCT(Calc!$K$3:$K$22*(Calc!$G$3:$G$22&gt;A3156)*(Calc!$G$3:$G$22-A3156)*Calc!$I$3:$I$22)</f>
        <v/>
      </c>
      <c r="O3156">
        <f>SUMPRODUCT(Calc!$K$3:$K$22*(Calc!$G$3:$G$22&gt;B3156)*(Calc!$G$3:$G$22-B3156)*Calc!$I$3:$I$22)</f>
        <v/>
      </c>
      <c r="P3156">
        <f>I3156-G3156^2/k_n</f>
        <v/>
      </c>
      <c r="Q3156">
        <f>J3156-H3156^2/k_n</f>
        <v/>
      </c>
      <c r="R3156">
        <f>K3156-G3156*H3156/k_n</f>
        <v/>
      </c>
      <c r="S3156">
        <f>L3156-LTP3!$D$3*G3156/k_n</f>
        <v/>
      </c>
      <c r="T3156">
        <f>M3156-LTP3!$D$3*H3156/k_n</f>
        <v/>
      </c>
      <c r="U3156">
        <f>N3156-G3156*LTP3!$D$4/k_n</f>
        <v/>
      </c>
      <c r="V3156">
        <f>O3156-H3156*LTP3!$D$4/k_n</f>
        <v/>
      </c>
      <c r="W3156">
        <f>((LTP3!$D$5)*((P3156)*(Q3156)-(R3156)*(R3156))-(S3156)*((S3156)*(Q3156)-(R3156)*(T3156))+(T3156)*((S3156)*(R3156)-(P3156)*(T3156)))</f>
        <v/>
      </c>
      <c r="X3156">
        <f>IF(ABS(W3156)&gt;1E-12,((LTP3!$D$6)*((P3156)*(Q3156)-(R3156)*(R3156))-(S3156)*((U3156)*(Q3156)-(R3156)*(V3156))+(T3156)*((U3156)*(R3156)-(P3156)*(V3156)))/W3156,0)</f>
        <v/>
      </c>
      <c r="Y3156">
        <f>IF(ABS(W3156)&gt;1E-12,((LTP3!$D$5)*((U3156)*(Q3156)-(R3156)*(V3156))-(LTP3!$D$6)*((S3156)*(Q3156)-(R3156)*(T3156))+(T3156)*((S3156)*(V3156)-(U3156)*(T3156)))/W3156,0)</f>
        <v/>
      </c>
      <c r="Z3156">
        <f>IF(ABS(W3156)&gt;1E-12,((LTP3!$D$5)*((P3156)*(V3156)-(U3156)*(R3156))-(S3156)*((S3156)*(V3156)-(U3156)*(T3156))+(LTP3!$D$6)*((S3156)*(R3156)-(P3156)*(T3156)))/W3156,0)</f>
        <v/>
      </c>
      <c r="AA3156">
        <f>LTP3!$D$7-X3156*LTP3!$D$6-Y3156*U3156-Z3156*V3156</f>
        <v/>
      </c>
      <c r="AB3156">
        <f>IF(AND(F3156,ABS(W3156)&gt;1E-12,Y3156&gt;0,Z3156&gt;0),AA3156,1E+300)</f>
        <v/>
      </c>
    </row>
    <row r="3157">
      <c r="A3157">
        <f>$B$3+$B$5*51</f>
        <v/>
      </c>
      <c r="B3157">
        <f>$B$3+$B$5*34</f>
        <v/>
      </c>
      <c r="C3157">
        <f>SUMPRODUCT(Calc!$K$3:$K$22*(Calc!$G$3:$G$22&lt;=A3157))</f>
        <v/>
      </c>
      <c r="D3157">
        <f>SUMPRODUCT(Calc!$K$3:$K$22*(Calc!$G$3:$G$22&gt;A3157)*(Calc!$G$3:$G$22&lt;B3157))</f>
        <v/>
      </c>
      <c r="E3157">
        <f>SUMPRODUCT(Calc!$K$3:$K$22*(Calc!$G$3:$G$22&gt;=B3157))</f>
        <v/>
      </c>
      <c r="F3157">
        <f>AND(k_n&gt;=5,B3157&gt;A3157+1E-9,C3157&gt;=2,D3157&gt;=1,E3157&gt;=2)</f>
        <v/>
      </c>
      <c r="G3157">
        <f>SUMPRODUCT(Calc!$K$3:$K$22*(Calc!$G$3:$G$22&gt;A3157)*(Calc!$G$3:$G$22-A3157))</f>
        <v/>
      </c>
      <c r="H3157">
        <f>SUMPRODUCT(Calc!$K$3:$K$22*(Calc!$G$3:$G$22&gt;B3157)*(Calc!$G$3:$G$22-B3157))</f>
        <v/>
      </c>
      <c r="I3157">
        <f>SUMPRODUCT(Calc!$K$3:$K$22*(Calc!$G$3:$G$22&gt;A3157)*(Calc!$G$3:$G$22-A3157)^2)</f>
        <v/>
      </c>
      <c r="J3157">
        <f>SUMPRODUCT(Calc!$K$3:$K$22*(Calc!$G$3:$G$22&gt;B3157)*(Calc!$G$3:$G$22-B3157)^2)</f>
        <v/>
      </c>
      <c r="K3157">
        <f>SUMPRODUCT(Calc!$K$3:$K$22*(Calc!$G$3:$G$22&gt;A3157)*(Calc!$G$3:$G$22-A3157)*(Calc!$G$3:$G$22&gt;B3157)*(Calc!$G$3:$G$22-B3157))</f>
        <v/>
      </c>
      <c r="L3157">
        <f>SUMPRODUCT(Calc!$K$3:$K$22*(Calc!$G$3:$G$22&gt;A3157)*(Calc!$G$3:$G$22-A3157)*Calc!$G$3:$G$22)</f>
        <v/>
      </c>
      <c r="M3157">
        <f>SUMPRODUCT(Calc!$K$3:$K$22*(Calc!$G$3:$G$22&gt;B3157)*(Calc!$G$3:$G$22-B3157)*Calc!$G$3:$G$22)</f>
        <v/>
      </c>
      <c r="N3157">
        <f>SUMPRODUCT(Calc!$K$3:$K$22*(Calc!$G$3:$G$22&gt;A3157)*(Calc!$G$3:$G$22-A3157)*Calc!$I$3:$I$22)</f>
        <v/>
      </c>
      <c r="O3157">
        <f>SUMPRODUCT(Calc!$K$3:$K$22*(Calc!$G$3:$G$22&gt;B3157)*(Calc!$G$3:$G$22-B3157)*Calc!$I$3:$I$22)</f>
        <v/>
      </c>
      <c r="P3157">
        <f>I3157-G3157^2/k_n</f>
        <v/>
      </c>
      <c r="Q3157">
        <f>J3157-H3157^2/k_n</f>
        <v/>
      </c>
      <c r="R3157">
        <f>K3157-G3157*H3157/k_n</f>
        <v/>
      </c>
      <c r="S3157">
        <f>L3157-LTP3!$D$3*G3157/k_n</f>
        <v/>
      </c>
      <c r="T3157">
        <f>M3157-LTP3!$D$3*H3157/k_n</f>
        <v/>
      </c>
      <c r="U3157">
        <f>N3157-G3157*LTP3!$D$4/k_n</f>
        <v/>
      </c>
      <c r="V3157">
        <f>O3157-H3157*LTP3!$D$4/k_n</f>
        <v/>
      </c>
      <c r="W3157">
        <f>((LTP3!$D$5)*((P3157)*(Q3157)-(R3157)*(R3157))-(S3157)*((S3157)*(Q3157)-(R3157)*(T3157))+(T3157)*((S3157)*(R3157)-(P3157)*(T3157)))</f>
        <v/>
      </c>
      <c r="X3157">
        <f>IF(ABS(W3157)&gt;1E-12,((LTP3!$D$6)*((P3157)*(Q3157)-(R3157)*(R3157))-(S3157)*((U3157)*(Q3157)-(R3157)*(V3157))+(T3157)*((U3157)*(R3157)-(P3157)*(V3157)))/W3157,0)</f>
        <v/>
      </c>
      <c r="Y3157">
        <f>IF(ABS(W3157)&gt;1E-12,((LTP3!$D$5)*((U3157)*(Q3157)-(R3157)*(V3157))-(LTP3!$D$6)*((S3157)*(Q3157)-(R3157)*(T3157))+(T3157)*((S3157)*(V3157)-(U3157)*(T3157)))/W3157,0)</f>
        <v/>
      </c>
      <c r="Z3157">
        <f>IF(ABS(W3157)&gt;1E-12,((LTP3!$D$5)*((P3157)*(V3157)-(U3157)*(R3157))-(S3157)*((S3157)*(V3157)-(U3157)*(T3157))+(LTP3!$D$6)*((S3157)*(R3157)-(P3157)*(T3157)))/W3157,0)</f>
        <v/>
      </c>
      <c r="AA3157">
        <f>LTP3!$D$7-X3157*LTP3!$D$6-Y3157*U3157-Z3157*V3157</f>
        <v/>
      </c>
      <c r="AB3157">
        <f>IF(AND(F3157,ABS(W3157)&gt;1E-12,Y3157&gt;0,Z3157&gt;0),AA3157,1E+300)</f>
        <v/>
      </c>
    </row>
    <row r="3158">
      <c r="A3158">
        <f>$B$3+$B$5*51</f>
        <v/>
      </c>
      <c r="B3158">
        <f>$B$3+$B$5*35</f>
        <v/>
      </c>
      <c r="C3158">
        <f>SUMPRODUCT(Calc!$K$3:$K$22*(Calc!$G$3:$G$22&lt;=A3158))</f>
        <v/>
      </c>
      <c r="D3158">
        <f>SUMPRODUCT(Calc!$K$3:$K$22*(Calc!$G$3:$G$22&gt;A3158)*(Calc!$G$3:$G$22&lt;B3158))</f>
        <v/>
      </c>
      <c r="E3158">
        <f>SUMPRODUCT(Calc!$K$3:$K$22*(Calc!$G$3:$G$22&gt;=B3158))</f>
        <v/>
      </c>
      <c r="F3158">
        <f>AND(k_n&gt;=5,B3158&gt;A3158+1E-9,C3158&gt;=2,D3158&gt;=1,E3158&gt;=2)</f>
        <v/>
      </c>
      <c r="G3158">
        <f>SUMPRODUCT(Calc!$K$3:$K$22*(Calc!$G$3:$G$22&gt;A3158)*(Calc!$G$3:$G$22-A3158))</f>
        <v/>
      </c>
      <c r="H3158">
        <f>SUMPRODUCT(Calc!$K$3:$K$22*(Calc!$G$3:$G$22&gt;B3158)*(Calc!$G$3:$G$22-B3158))</f>
        <v/>
      </c>
      <c r="I3158">
        <f>SUMPRODUCT(Calc!$K$3:$K$22*(Calc!$G$3:$G$22&gt;A3158)*(Calc!$G$3:$G$22-A3158)^2)</f>
        <v/>
      </c>
      <c r="J3158">
        <f>SUMPRODUCT(Calc!$K$3:$K$22*(Calc!$G$3:$G$22&gt;B3158)*(Calc!$G$3:$G$22-B3158)^2)</f>
        <v/>
      </c>
      <c r="K3158">
        <f>SUMPRODUCT(Calc!$K$3:$K$22*(Calc!$G$3:$G$22&gt;A3158)*(Calc!$G$3:$G$22-A3158)*(Calc!$G$3:$G$22&gt;B3158)*(Calc!$G$3:$G$22-B3158))</f>
        <v/>
      </c>
      <c r="L3158">
        <f>SUMPRODUCT(Calc!$K$3:$K$22*(Calc!$G$3:$G$22&gt;A3158)*(Calc!$G$3:$G$22-A3158)*Calc!$G$3:$G$22)</f>
        <v/>
      </c>
      <c r="M3158">
        <f>SUMPRODUCT(Calc!$K$3:$K$22*(Calc!$G$3:$G$22&gt;B3158)*(Calc!$G$3:$G$22-B3158)*Calc!$G$3:$G$22)</f>
        <v/>
      </c>
      <c r="N3158">
        <f>SUMPRODUCT(Calc!$K$3:$K$22*(Calc!$G$3:$G$22&gt;A3158)*(Calc!$G$3:$G$22-A3158)*Calc!$I$3:$I$22)</f>
        <v/>
      </c>
      <c r="O3158">
        <f>SUMPRODUCT(Calc!$K$3:$K$22*(Calc!$G$3:$G$22&gt;B3158)*(Calc!$G$3:$G$22-B3158)*Calc!$I$3:$I$22)</f>
        <v/>
      </c>
      <c r="P3158">
        <f>I3158-G3158^2/k_n</f>
        <v/>
      </c>
      <c r="Q3158">
        <f>J3158-H3158^2/k_n</f>
        <v/>
      </c>
      <c r="R3158">
        <f>K3158-G3158*H3158/k_n</f>
        <v/>
      </c>
      <c r="S3158">
        <f>L3158-LTP3!$D$3*G3158/k_n</f>
        <v/>
      </c>
      <c r="T3158">
        <f>M3158-LTP3!$D$3*H3158/k_n</f>
        <v/>
      </c>
      <c r="U3158">
        <f>N3158-G3158*LTP3!$D$4/k_n</f>
        <v/>
      </c>
      <c r="V3158">
        <f>O3158-H3158*LTP3!$D$4/k_n</f>
        <v/>
      </c>
      <c r="W3158">
        <f>((LTP3!$D$5)*((P3158)*(Q3158)-(R3158)*(R3158))-(S3158)*((S3158)*(Q3158)-(R3158)*(T3158))+(T3158)*((S3158)*(R3158)-(P3158)*(T3158)))</f>
        <v/>
      </c>
      <c r="X3158">
        <f>IF(ABS(W3158)&gt;1E-12,((LTP3!$D$6)*((P3158)*(Q3158)-(R3158)*(R3158))-(S3158)*((U3158)*(Q3158)-(R3158)*(V3158))+(T3158)*((U3158)*(R3158)-(P3158)*(V3158)))/W3158,0)</f>
        <v/>
      </c>
      <c r="Y3158">
        <f>IF(ABS(W3158)&gt;1E-12,((LTP3!$D$5)*((U3158)*(Q3158)-(R3158)*(V3158))-(LTP3!$D$6)*((S3158)*(Q3158)-(R3158)*(T3158))+(T3158)*((S3158)*(V3158)-(U3158)*(T3158)))/W3158,0)</f>
        <v/>
      </c>
      <c r="Z3158">
        <f>IF(ABS(W3158)&gt;1E-12,((LTP3!$D$5)*((P3158)*(V3158)-(U3158)*(R3158))-(S3158)*((S3158)*(V3158)-(U3158)*(T3158))+(LTP3!$D$6)*((S3158)*(R3158)-(P3158)*(T3158)))/W3158,0)</f>
        <v/>
      </c>
      <c r="AA3158">
        <f>LTP3!$D$7-X3158*LTP3!$D$6-Y3158*U3158-Z3158*V3158</f>
        <v/>
      </c>
      <c r="AB3158">
        <f>IF(AND(F3158,ABS(W3158)&gt;1E-12,Y3158&gt;0,Z3158&gt;0),AA3158,1E+300)</f>
        <v/>
      </c>
    </row>
    <row r="3159">
      <c r="A3159">
        <f>$B$3+$B$5*51</f>
        <v/>
      </c>
      <c r="B3159">
        <f>$B$3+$B$5*36</f>
        <v/>
      </c>
      <c r="C3159">
        <f>SUMPRODUCT(Calc!$K$3:$K$22*(Calc!$G$3:$G$22&lt;=A3159))</f>
        <v/>
      </c>
      <c r="D3159">
        <f>SUMPRODUCT(Calc!$K$3:$K$22*(Calc!$G$3:$G$22&gt;A3159)*(Calc!$G$3:$G$22&lt;B3159))</f>
        <v/>
      </c>
      <c r="E3159">
        <f>SUMPRODUCT(Calc!$K$3:$K$22*(Calc!$G$3:$G$22&gt;=B3159))</f>
        <v/>
      </c>
      <c r="F3159">
        <f>AND(k_n&gt;=5,B3159&gt;A3159+1E-9,C3159&gt;=2,D3159&gt;=1,E3159&gt;=2)</f>
        <v/>
      </c>
      <c r="G3159">
        <f>SUMPRODUCT(Calc!$K$3:$K$22*(Calc!$G$3:$G$22&gt;A3159)*(Calc!$G$3:$G$22-A3159))</f>
        <v/>
      </c>
      <c r="H3159">
        <f>SUMPRODUCT(Calc!$K$3:$K$22*(Calc!$G$3:$G$22&gt;B3159)*(Calc!$G$3:$G$22-B3159))</f>
        <v/>
      </c>
      <c r="I3159">
        <f>SUMPRODUCT(Calc!$K$3:$K$22*(Calc!$G$3:$G$22&gt;A3159)*(Calc!$G$3:$G$22-A3159)^2)</f>
        <v/>
      </c>
      <c r="J3159">
        <f>SUMPRODUCT(Calc!$K$3:$K$22*(Calc!$G$3:$G$22&gt;B3159)*(Calc!$G$3:$G$22-B3159)^2)</f>
        <v/>
      </c>
      <c r="K3159">
        <f>SUMPRODUCT(Calc!$K$3:$K$22*(Calc!$G$3:$G$22&gt;A3159)*(Calc!$G$3:$G$22-A3159)*(Calc!$G$3:$G$22&gt;B3159)*(Calc!$G$3:$G$22-B3159))</f>
        <v/>
      </c>
      <c r="L3159">
        <f>SUMPRODUCT(Calc!$K$3:$K$22*(Calc!$G$3:$G$22&gt;A3159)*(Calc!$G$3:$G$22-A3159)*Calc!$G$3:$G$22)</f>
        <v/>
      </c>
      <c r="M3159">
        <f>SUMPRODUCT(Calc!$K$3:$K$22*(Calc!$G$3:$G$22&gt;B3159)*(Calc!$G$3:$G$22-B3159)*Calc!$G$3:$G$22)</f>
        <v/>
      </c>
      <c r="N3159">
        <f>SUMPRODUCT(Calc!$K$3:$K$22*(Calc!$G$3:$G$22&gt;A3159)*(Calc!$G$3:$G$22-A3159)*Calc!$I$3:$I$22)</f>
        <v/>
      </c>
      <c r="O3159">
        <f>SUMPRODUCT(Calc!$K$3:$K$22*(Calc!$G$3:$G$22&gt;B3159)*(Calc!$G$3:$G$22-B3159)*Calc!$I$3:$I$22)</f>
        <v/>
      </c>
      <c r="P3159">
        <f>I3159-G3159^2/k_n</f>
        <v/>
      </c>
      <c r="Q3159">
        <f>J3159-H3159^2/k_n</f>
        <v/>
      </c>
      <c r="R3159">
        <f>K3159-G3159*H3159/k_n</f>
        <v/>
      </c>
      <c r="S3159">
        <f>L3159-LTP3!$D$3*G3159/k_n</f>
        <v/>
      </c>
      <c r="T3159">
        <f>M3159-LTP3!$D$3*H3159/k_n</f>
        <v/>
      </c>
      <c r="U3159">
        <f>N3159-G3159*LTP3!$D$4/k_n</f>
        <v/>
      </c>
      <c r="V3159">
        <f>O3159-H3159*LTP3!$D$4/k_n</f>
        <v/>
      </c>
      <c r="W3159">
        <f>((LTP3!$D$5)*((P3159)*(Q3159)-(R3159)*(R3159))-(S3159)*((S3159)*(Q3159)-(R3159)*(T3159))+(T3159)*((S3159)*(R3159)-(P3159)*(T3159)))</f>
        <v/>
      </c>
      <c r="X3159">
        <f>IF(ABS(W3159)&gt;1E-12,((LTP3!$D$6)*((P3159)*(Q3159)-(R3159)*(R3159))-(S3159)*((U3159)*(Q3159)-(R3159)*(V3159))+(T3159)*((U3159)*(R3159)-(P3159)*(V3159)))/W3159,0)</f>
        <v/>
      </c>
      <c r="Y3159">
        <f>IF(ABS(W3159)&gt;1E-12,((LTP3!$D$5)*((U3159)*(Q3159)-(R3159)*(V3159))-(LTP3!$D$6)*((S3159)*(Q3159)-(R3159)*(T3159))+(T3159)*((S3159)*(V3159)-(U3159)*(T3159)))/W3159,0)</f>
        <v/>
      </c>
      <c r="Z3159">
        <f>IF(ABS(W3159)&gt;1E-12,((LTP3!$D$5)*((P3159)*(V3159)-(U3159)*(R3159))-(S3159)*((S3159)*(V3159)-(U3159)*(T3159))+(LTP3!$D$6)*((S3159)*(R3159)-(P3159)*(T3159)))/W3159,0)</f>
        <v/>
      </c>
      <c r="AA3159">
        <f>LTP3!$D$7-X3159*LTP3!$D$6-Y3159*U3159-Z3159*V3159</f>
        <v/>
      </c>
      <c r="AB3159">
        <f>IF(AND(F3159,ABS(W3159)&gt;1E-12,Y3159&gt;0,Z3159&gt;0),AA3159,1E+300)</f>
        <v/>
      </c>
    </row>
    <row r="3160">
      <c r="A3160">
        <f>$B$3+$B$5*51</f>
        <v/>
      </c>
      <c r="B3160">
        <f>$B$3+$B$5*37</f>
        <v/>
      </c>
      <c r="C3160">
        <f>SUMPRODUCT(Calc!$K$3:$K$22*(Calc!$G$3:$G$22&lt;=A3160))</f>
        <v/>
      </c>
      <c r="D3160">
        <f>SUMPRODUCT(Calc!$K$3:$K$22*(Calc!$G$3:$G$22&gt;A3160)*(Calc!$G$3:$G$22&lt;B3160))</f>
        <v/>
      </c>
      <c r="E3160">
        <f>SUMPRODUCT(Calc!$K$3:$K$22*(Calc!$G$3:$G$22&gt;=B3160))</f>
        <v/>
      </c>
      <c r="F3160">
        <f>AND(k_n&gt;=5,B3160&gt;A3160+1E-9,C3160&gt;=2,D3160&gt;=1,E3160&gt;=2)</f>
        <v/>
      </c>
      <c r="G3160">
        <f>SUMPRODUCT(Calc!$K$3:$K$22*(Calc!$G$3:$G$22&gt;A3160)*(Calc!$G$3:$G$22-A3160))</f>
        <v/>
      </c>
      <c r="H3160">
        <f>SUMPRODUCT(Calc!$K$3:$K$22*(Calc!$G$3:$G$22&gt;B3160)*(Calc!$G$3:$G$22-B3160))</f>
        <v/>
      </c>
      <c r="I3160">
        <f>SUMPRODUCT(Calc!$K$3:$K$22*(Calc!$G$3:$G$22&gt;A3160)*(Calc!$G$3:$G$22-A3160)^2)</f>
        <v/>
      </c>
      <c r="J3160">
        <f>SUMPRODUCT(Calc!$K$3:$K$22*(Calc!$G$3:$G$22&gt;B3160)*(Calc!$G$3:$G$22-B3160)^2)</f>
        <v/>
      </c>
      <c r="K3160">
        <f>SUMPRODUCT(Calc!$K$3:$K$22*(Calc!$G$3:$G$22&gt;A3160)*(Calc!$G$3:$G$22-A3160)*(Calc!$G$3:$G$22&gt;B3160)*(Calc!$G$3:$G$22-B3160))</f>
        <v/>
      </c>
      <c r="L3160">
        <f>SUMPRODUCT(Calc!$K$3:$K$22*(Calc!$G$3:$G$22&gt;A3160)*(Calc!$G$3:$G$22-A3160)*Calc!$G$3:$G$22)</f>
        <v/>
      </c>
      <c r="M3160">
        <f>SUMPRODUCT(Calc!$K$3:$K$22*(Calc!$G$3:$G$22&gt;B3160)*(Calc!$G$3:$G$22-B3160)*Calc!$G$3:$G$22)</f>
        <v/>
      </c>
      <c r="N3160">
        <f>SUMPRODUCT(Calc!$K$3:$K$22*(Calc!$G$3:$G$22&gt;A3160)*(Calc!$G$3:$G$22-A3160)*Calc!$I$3:$I$22)</f>
        <v/>
      </c>
      <c r="O3160">
        <f>SUMPRODUCT(Calc!$K$3:$K$22*(Calc!$G$3:$G$22&gt;B3160)*(Calc!$G$3:$G$22-B3160)*Calc!$I$3:$I$22)</f>
        <v/>
      </c>
      <c r="P3160">
        <f>I3160-G3160^2/k_n</f>
        <v/>
      </c>
      <c r="Q3160">
        <f>J3160-H3160^2/k_n</f>
        <v/>
      </c>
      <c r="R3160">
        <f>K3160-G3160*H3160/k_n</f>
        <v/>
      </c>
      <c r="S3160">
        <f>L3160-LTP3!$D$3*G3160/k_n</f>
        <v/>
      </c>
      <c r="T3160">
        <f>M3160-LTP3!$D$3*H3160/k_n</f>
        <v/>
      </c>
      <c r="U3160">
        <f>N3160-G3160*LTP3!$D$4/k_n</f>
        <v/>
      </c>
      <c r="V3160">
        <f>O3160-H3160*LTP3!$D$4/k_n</f>
        <v/>
      </c>
      <c r="W3160">
        <f>((LTP3!$D$5)*((P3160)*(Q3160)-(R3160)*(R3160))-(S3160)*((S3160)*(Q3160)-(R3160)*(T3160))+(T3160)*((S3160)*(R3160)-(P3160)*(T3160)))</f>
        <v/>
      </c>
      <c r="X3160">
        <f>IF(ABS(W3160)&gt;1E-12,((LTP3!$D$6)*((P3160)*(Q3160)-(R3160)*(R3160))-(S3160)*((U3160)*(Q3160)-(R3160)*(V3160))+(T3160)*((U3160)*(R3160)-(P3160)*(V3160)))/W3160,0)</f>
        <v/>
      </c>
      <c r="Y3160">
        <f>IF(ABS(W3160)&gt;1E-12,((LTP3!$D$5)*((U3160)*(Q3160)-(R3160)*(V3160))-(LTP3!$D$6)*((S3160)*(Q3160)-(R3160)*(T3160))+(T3160)*((S3160)*(V3160)-(U3160)*(T3160)))/W3160,0)</f>
        <v/>
      </c>
      <c r="Z3160">
        <f>IF(ABS(W3160)&gt;1E-12,((LTP3!$D$5)*((P3160)*(V3160)-(U3160)*(R3160))-(S3160)*((S3160)*(V3160)-(U3160)*(T3160))+(LTP3!$D$6)*((S3160)*(R3160)-(P3160)*(T3160)))/W3160,0)</f>
        <v/>
      </c>
      <c r="AA3160">
        <f>LTP3!$D$7-X3160*LTP3!$D$6-Y3160*U3160-Z3160*V3160</f>
        <v/>
      </c>
      <c r="AB3160">
        <f>IF(AND(F3160,ABS(W3160)&gt;1E-12,Y3160&gt;0,Z3160&gt;0),AA3160,1E+300)</f>
        <v/>
      </c>
    </row>
    <row r="3161">
      <c r="A3161">
        <f>$B$3+$B$5*51</f>
        <v/>
      </c>
      <c r="B3161">
        <f>$B$3+$B$5*38</f>
        <v/>
      </c>
      <c r="C3161">
        <f>SUMPRODUCT(Calc!$K$3:$K$22*(Calc!$G$3:$G$22&lt;=A3161))</f>
        <v/>
      </c>
      <c r="D3161">
        <f>SUMPRODUCT(Calc!$K$3:$K$22*(Calc!$G$3:$G$22&gt;A3161)*(Calc!$G$3:$G$22&lt;B3161))</f>
        <v/>
      </c>
      <c r="E3161">
        <f>SUMPRODUCT(Calc!$K$3:$K$22*(Calc!$G$3:$G$22&gt;=B3161))</f>
        <v/>
      </c>
      <c r="F3161">
        <f>AND(k_n&gt;=5,B3161&gt;A3161+1E-9,C3161&gt;=2,D3161&gt;=1,E3161&gt;=2)</f>
        <v/>
      </c>
      <c r="G3161">
        <f>SUMPRODUCT(Calc!$K$3:$K$22*(Calc!$G$3:$G$22&gt;A3161)*(Calc!$G$3:$G$22-A3161))</f>
        <v/>
      </c>
      <c r="H3161">
        <f>SUMPRODUCT(Calc!$K$3:$K$22*(Calc!$G$3:$G$22&gt;B3161)*(Calc!$G$3:$G$22-B3161))</f>
        <v/>
      </c>
      <c r="I3161">
        <f>SUMPRODUCT(Calc!$K$3:$K$22*(Calc!$G$3:$G$22&gt;A3161)*(Calc!$G$3:$G$22-A3161)^2)</f>
        <v/>
      </c>
      <c r="J3161">
        <f>SUMPRODUCT(Calc!$K$3:$K$22*(Calc!$G$3:$G$22&gt;B3161)*(Calc!$G$3:$G$22-B3161)^2)</f>
        <v/>
      </c>
      <c r="K3161">
        <f>SUMPRODUCT(Calc!$K$3:$K$22*(Calc!$G$3:$G$22&gt;A3161)*(Calc!$G$3:$G$22-A3161)*(Calc!$G$3:$G$22&gt;B3161)*(Calc!$G$3:$G$22-B3161))</f>
        <v/>
      </c>
      <c r="L3161">
        <f>SUMPRODUCT(Calc!$K$3:$K$22*(Calc!$G$3:$G$22&gt;A3161)*(Calc!$G$3:$G$22-A3161)*Calc!$G$3:$G$22)</f>
        <v/>
      </c>
      <c r="M3161">
        <f>SUMPRODUCT(Calc!$K$3:$K$22*(Calc!$G$3:$G$22&gt;B3161)*(Calc!$G$3:$G$22-B3161)*Calc!$G$3:$G$22)</f>
        <v/>
      </c>
      <c r="N3161">
        <f>SUMPRODUCT(Calc!$K$3:$K$22*(Calc!$G$3:$G$22&gt;A3161)*(Calc!$G$3:$G$22-A3161)*Calc!$I$3:$I$22)</f>
        <v/>
      </c>
      <c r="O3161">
        <f>SUMPRODUCT(Calc!$K$3:$K$22*(Calc!$G$3:$G$22&gt;B3161)*(Calc!$G$3:$G$22-B3161)*Calc!$I$3:$I$22)</f>
        <v/>
      </c>
      <c r="P3161">
        <f>I3161-G3161^2/k_n</f>
        <v/>
      </c>
      <c r="Q3161">
        <f>J3161-H3161^2/k_n</f>
        <v/>
      </c>
      <c r="R3161">
        <f>K3161-G3161*H3161/k_n</f>
        <v/>
      </c>
      <c r="S3161">
        <f>L3161-LTP3!$D$3*G3161/k_n</f>
        <v/>
      </c>
      <c r="T3161">
        <f>M3161-LTP3!$D$3*H3161/k_n</f>
        <v/>
      </c>
      <c r="U3161">
        <f>N3161-G3161*LTP3!$D$4/k_n</f>
        <v/>
      </c>
      <c r="V3161">
        <f>O3161-H3161*LTP3!$D$4/k_n</f>
        <v/>
      </c>
      <c r="W3161">
        <f>((LTP3!$D$5)*((P3161)*(Q3161)-(R3161)*(R3161))-(S3161)*((S3161)*(Q3161)-(R3161)*(T3161))+(T3161)*((S3161)*(R3161)-(P3161)*(T3161)))</f>
        <v/>
      </c>
      <c r="X3161">
        <f>IF(ABS(W3161)&gt;1E-12,((LTP3!$D$6)*((P3161)*(Q3161)-(R3161)*(R3161))-(S3161)*((U3161)*(Q3161)-(R3161)*(V3161))+(T3161)*((U3161)*(R3161)-(P3161)*(V3161)))/W3161,0)</f>
        <v/>
      </c>
      <c r="Y3161">
        <f>IF(ABS(W3161)&gt;1E-12,((LTP3!$D$5)*((U3161)*(Q3161)-(R3161)*(V3161))-(LTP3!$D$6)*((S3161)*(Q3161)-(R3161)*(T3161))+(T3161)*((S3161)*(V3161)-(U3161)*(T3161)))/W3161,0)</f>
        <v/>
      </c>
      <c r="Z3161">
        <f>IF(ABS(W3161)&gt;1E-12,((LTP3!$D$5)*((P3161)*(V3161)-(U3161)*(R3161))-(S3161)*((S3161)*(V3161)-(U3161)*(T3161))+(LTP3!$D$6)*((S3161)*(R3161)-(P3161)*(T3161)))/W3161,0)</f>
        <v/>
      </c>
      <c r="AA3161">
        <f>LTP3!$D$7-X3161*LTP3!$D$6-Y3161*U3161-Z3161*V3161</f>
        <v/>
      </c>
      <c r="AB3161">
        <f>IF(AND(F3161,ABS(W3161)&gt;1E-12,Y3161&gt;0,Z3161&gt;0),AA3161,1E+300)</f>
        <v/>
      </c>
    </row>
    <row r="3162">
      <c r="A3162">
        <f>$B$3+$B$5*51</f>
        <v/>
      </c>
      <c r="B3162">
        <f>$B$3+$B$5*39</f>
        <v/>
      </c>
      <c r="C3162">
        <f>SUMPRODUCT(Calc!$K$3:$K$22*(Calc!$G$3:$G$22&lt;=A3162))</f>
        <v/>
      </c>
      <c r="D3162">
        <f>SUMPRODUCT(Calc!$K$3:$K$22*(Calc!$G$3:$G$22&gt;A3162)*(Calc!$G$3:$G$22&lt;B3162))</f>
        <v/>
      </c>
      <c r="E3162">
        <f>SUMPRODUCT(Calc!$K$3:$K$22*(Calc!$G$3:$G$22&gt;=B3162))</f>
        <v/>
      </c>
      <c r="F3162">
        <f>AND(k_n&gt;=5,B3162&gt;A3162+1E-9,C3162&gt;=2,D3162&gt;=1,E3162&gt;=2)</f>
        <v/>
      </c>
      <c r="G3162">
        <f>SUMPRODUCT(Calc!$K$3:$K$22*(Calc!$G$3:$G$22&gt;A3162)*(Calc!$G$3:$G$22-A3162))</f>
        <v/>
      </c>
      <c r="H3162">
        <f>SUMPRODUCT(Calc!$K$3:$K$22*(Calc!$G$3:$G$22&gt;B3162)*(Calc!$G$3:$G$22-B3162))</f>
        <v/>
      </c>
      <c r="I3162">
        <f>SUMPRODUCT(Calc!$K$3:$K$22*(Calc!$G$3:$G$22&gt;A3162)*(Calc!$G$3:$G$22-A3162)^2)</f>
        <v/>
      </c>
      <c r="J3162">
        <f>SUMPRODUCT(Calc!$K$3:$K$22*(Calc!$G$3:$G$22&gt;B3162)*(Calc!$G$3:$G$22-B3162)^2)</f>
        <v/>
      </c>
      <c r="K3162">
        <f>SUMPRODUCT(Calc!$K$3:$K$22*(Calc!$G$3:$G$22&gt;A3162)*(Calc!$G$3:$G$22-A3162)*(Calc!$G$3:$G$22&gt;B3162)*(Calc!$G$3:$G$22-B3162))</f>
        <v/>
      </c>
      <c r="L3162">
        <f>SUMPRODUCT(Calc!$K$3:$K$22*(Calc!$G$3:$G$22&gt;A3162)*(Calc!$G$3:$G$22-A3162)*Calc!$G$3:$G$22)</f>
        <v/>
      </c>
      <c r="M3162">
        <f>SUMPRODUCT(Calc!$K$3:$K$22*(Calc!$G$3:$G$22&gt;B3162)*(Calc!$G$3:$G$22-B3162)*Calc!$G$3:$G$22)</f>
        <v/>
      </c>
      <c r="N3162">
        <f>SUMPRODUCT(Calc!$K$3:$K$22*(Calc!$G$3:$G$22&gt;A3162)*(Calc!$G$3:$G$22-A3162)*Calc!$I$3:$I$22)</f>
        <v/>
      </c>
      <c r="O3162">
        <f>SUMPRODUCT(Calc!$K$3:$K$22*(Calc!$G$3:$G$22&gt;B3162)*(Calc!$G$3:$G$22-B3162)*Calc!$I$3:$I$22)</f>
        <v/>
      </c>
      <c r="P3162">
        <f>I3162-G3162^2/k_n</f>
        <v/>
      </c>
      <c r="Q3162">
        <f>J3162-H3162^2/k_n</f>
        <v/>
      </c>
      <c r="R3162">
        <f>K3162-G3162*H3162/k_n</f>
        <v/>
      </c>
      <c r="S3162">
        <f>L3162-LTP3!$D$3*G3162/k_n</f>
        <v/>
      </c>
      <c r="T3162">
        <f>M3162-LTP3!$D$3*H3162/k_n</f>
        <v/>
      </c>
      <c r="U3162">
        <f>N3162-G3162*LTP3!$D$4/k_n</f>
        <v/>
      </c>
      <c r="V3162">
        <f>O3162-H3162*LTP3!$D$4/k_n</f>
        <v/>
      </c>
      <c r="W3162">
        <f>((LTP3!$D$5)*((P3162)*(Q3162)-(R3162)*(R3162))-(S3162)*((S3162)*(Q3162)-(R3162)*(T3162))+(T3162)*((S3162)*(R3162)-(P3162)*(T3162)))</f>
        <v/>
      </c>
      <c r="X3162">
        <f>IF(ABS(W3162)&gt;1E-12,((LTP3!$D$6)*((P3162)*(Q3162)-(R3162)*(R3162))-(S3162)*((U3162)*(Q3162)-(R3162)*(V3162))+(T3162)*((U3162)*(R3162)-(P3162)*(V3162)))/W3162,0)</f>
        <v/>
      </c>
      <c r="Y3162">
        <f>IF(ABS(W3162)&gt;1E-12,((LTP3!$D$5)*((U3162)*(Q3162)-(R3162)*(V3162))-(LTP3!$D$6)*((S3162)*(Q3162)-(R3162)*(T3162))+(T3162)*((S3162)*(V3162)-(U3162)*(T3162)))/W3162,0)</f>
        <v/>
      </c>
      <c r="Z3162">
        <f>IF(ABS(W3162)&gt;1E-12,((LTP3!$D$5)*((P3162)*(V3162)-(U3162)*(R3162))-(S3162)*((S3162)*(V3162)-(U3162)*(T3162))+(LTP3!$D$6)*((S3162)*(R3162)-(P3162)*(T3162)))/W3162,0)</f>
        <v/>
      </c>
      <c r="AA3162">
        <f>LTP3!$D$7-X3162*LTP3!$D$6-Y3162*U3162-Z3162*V3162</f>
        <v/>
      </c>
      <c r="AB3162">
        <f>IF(AND(F3162,ABS(W3162)&gt;1E-12,Y3162&gt;0,Z3162&gt;0),AA3162,1E+300)</f>
        <v/>
      </c>
    </row>
    <row r="3163">
      <c r="A3163">
        <f>$B$3+$B$5*51</f>
        <v/>
      </c>
      <c r="B3163">
        <f>$B$3+$B$5*40</f>
        <v/>
      </c>
      <c r="C3163">
        <f>SUMPRODUCT(Calc!$K$3:$K$22*(Calc!$G$3:$G$22&lt;=A3163))</f>
        <v/>
      </c>
      <c r="D3163">
        <f>SUMPRODUCT(Calc!$K$3:$K$22*(Calc!$G$3:$G$22&gt;A3163)*(Calc!$G$3:$G$22&lt;B3163))</f>
        <v/>
      </c>
      <c r="E3163">
        <f>SUMPRODUCT(Calc!$K$3:$K$22*(Calc!$G$3:$G$22&gt;=B3163))</f>
        <v/>
      </c>
      <c r="F3163">
        <f>AND(k_n&gt;=5,B3163&gt;A3163+1E-9,C3163&gt;=2,D3163&gt;=1,E3163&gt;=2)</f>
        <v/>
      </c>
      <c r="G3163">
        <f>SUMPRODUCT(Calc!$K$3:$K$22*(Calc!$G$3:$G$22&gt;A3163)*(Calc!$G$3:$G$22-A3163))</f>
        <v/>
      </c>
      <c r="H3163">
        <f>SUMPRODUCT(Calc!$K$3:$K$22*(Calc!$G$3:$G$22&gt;B3163)*(Calc!$G$3:$G$22-B3163))</f>
        <v/>
      </c>
      <c r="I3163">
        <f>SUMPRODUCT(Calc!$K$3:$K$22*(Calc!$G$3:$G$22&gt;A3163)*(Calc!$G$3:$G$22-A3163)^2)</f>
        <v/>
      </c>
      <c r="J3163">
        <f>SUMPRODUCT(Calc!$K$3:$K$22*(Calc!$G$3:$G$22&gt;B3163)*(Calc!$G$3:$G$22-B3163)^2)</f>
        <v/>
      </c>
      <c r="K3163">
        <f>SUMPRODUCT(Calc!$K$3:$K$22*(Calc!$G$3:$G$22&gt;A3163)*(Calc!$G$3:$G$22-A3163)*(Calc!$G$3:$G$22&gt;B3163)*(Calc!$G$3:$G$22-B3163))</f>
        <v/>
      </c>
      <c r="L3163">
        <f>SUMPRODUCT(Calc!$K$3:$K$22*(Calc!$G$3:$G$22&gt;A3163)*(Calc!$G$3:$G$22-A3163)*Calc!$G$3:$G$22)</f>
        <v/>
      </c>
      <c r="M3163">
        <f>SUMPRODUCT(Calc!$K$3:$K$22*(Calc!$G$3:$G$22&gt;B3163)*(Calc!$G$3:$G$22-B3163)*Calc!$G$3:$G$22)</f>
        <v/>
      </c>
      <c r="N3163">
        <f>SUMPRODUCT(Calc!$K$3:$K$22*(Calc!$G$3:$G$22&gt;A3163)*(Calc!$G$3:$G$22-A3163)*Calc!$I$3:$I$22)</f>
        <v/>
      </c>
      <c r="O3163">
        <f>SUMPRODUCT(Calc!$K$3:$K$22*(Calc!$G$3:$G$22&gt;B3163)*(Calc!$G$3:$G$22-B3163)*Calc!$I$3:$I$22)</f>
        <v/>
      </c>
      <c r="P3163">
        <f>I3163-G3163^2/k_n</f>
        <v/>
      </c>
      <c r="Q3163">
        <f>J3163-H3163^2/k_n</f>
        <v/>
      </c>
      <c r="R3163">
        <f>K3163-G3163*H3163/k_n</f>
        <v/>
      </c>
      <c r="S3163">
        <f>L3163-LTP3!$D$3*G3163/k_n</f>
        <v/>
      </c>
      <c r="T3163">
        <f>M3163-LTP3!$D$3*H3163/k_n</f>
        <v/>
      </c>
      <c r="U3163">
        <f>N3163-G3163*LTP3!$D$4/k_n</f>
        <v/>
      </c>
      <c r="V3163">
        <f>O3163-H3163*LTP3!$D$4/k_n</f>
        <v/>
      </c>
      <c r="W3163">
        <f>((LTP3!$D$5)*((P3163)*(Q3163)-(R3163)*(R3163))-(S3163)*((S3163)*(Q3163)-(R3163)*(T3163))+(T3163)*((S3163)*(R3163)-(P3163)*(T3163)))</f>
        <v/>
      </c>
      <c r="X3163">
        <f>IF(ABS(W3163)&gt;1E-12,((LTP3!$D$6)*((P3163)*(Q3163)-(R3163)*(R3163))-(S3163)*((U3163)*(Q3163)-(R3163)*(V3163))+(T3163)*((U3163)*(R3163)-(P3163)*(V3163)))/W3163,0)</f>
        <v/>
      </c>
      <c r="Y3163">
        <f>IF(ABS(W3163)&gt;1E-12,((LTP3!$D$5)*((U3163)*(Q3163)-(R3163)*(V3163))-(LTP3!$D$6)*((S3163)*(Q3163)-(R3163)*(T3163))+(T3163)*((S3163)*(V3163)-(U3163)*(T3163)))/W3163,0)</f>
        <v/>
      </c>
      <c r="Z3163">
        <f>IF(ABS(W3163)&gt;1E-12,((LTP3!$D$5)*((P3163)*(V3163)-(U3163)*(R3163))-(S3163)*((S3163)*(V3163)-(U3163)*(T3163))+(LTP3!$D$6)*((S3163)*(R3163)-(P3163)*(T3163)))/W3163,0)</f>
        <v/>
      </c>
      <c r="AA3163">
        <f>LTP3!$D$7-X3163*LTP3!$D$6-Y3163*U3163-Z3163*V3163</f>
        <v/>
      </c>
      <c r="AB3163">
        <f>IF(AND(F3163,ABS(W3163)&gt;1E-12,Y3163&gt;0,Z3163&gt;0),AA3163,1E+300)</f>
        <v/>
      </c>
    </row>
    <row r="3164">
      <c r="A3164">
        <f>$B$3+$B$5*51</f>
        <v/>
      </c>
      <c r="B3164">
        <f>$B$3+$B$5*41</f>
        <v/>
      </c>
      <c r="C3164">
        <f>SUMPRODUCT(Calc!$K$3:$K$22*(Calc!$G$3:$G$22&lt;=A3164))</f>
        <v/>
      </c>
      <c r="D3164">
        <f>SUMPRODUCT(Calc!$K$3:$K$22*(Calc!$G$3:$G$22&gt;A3164)*(Calc!$G$3:$G$22&lt;B3164))</f>
        <v/>
      </c>
      <c r="E3164">
        <f>SUMPRODUCT(Calc!$K$3:$K$22*(Calc!$G$3:$G$22&gt;=B3164))</f>
        <v/>
      </c>
      <c r="F3164">
        <f>AND(k_n&gt;=5,B3164&gt;A3164+1E-9,C3164&gt;=2,D3164&gt;=1,E3164&gt;=2)</f>
        <v/>
      </c>
      <c r="G3164">
        <f>SUMPRODUCT(Calc!$K$3:$K$22*(Calc!$G$3:$G$22&gt;A3164)*(Calc!$G$3:$G$22-A3164))</f>
        <v/>
      </c>
      <c r="H3164">
        <f>SUMPRODUCT(Calc!$K$3:$K$22*(Calc!$G$3:$G$22&gt;B3164)*(Calc!$G$3:$G$22-B3164))</f>
        <v/>
      </c>
      <c r="I3164">
        <f>SUMPRODUCT(Calc!$K$3:$K$22*(Calc!$G$3:$G$22&gt;A3164)*(Calc!$G$3:$G$22-A3164)^2)</f>
        <v/>
      </c>
      <c r="J3164">
        <f>SUMPRODUCT(Calc!$K$3:$K$22*(Calc!$G$3:$G$22&gt;B3164)*(Calc!$G$3:$G$22-B3164)^2)</f>
        <v/>
      </c>
      <c r="K3164">
        <f>SUMPRODUCT(Calc!$K$3:$K$22*(Calc!$G$3:$G$22&gt;A3164)*(Calc!$G$3:$G$22-A3164)*(Calc!$G$3:$G$22&gt;B3164)*(Calc!$G$3:$G$22-B3164))</f>
        <v/>
      </c>
      <c r="L3164">
        <f>SUMPRODUCT(Calc!$K$3:$K$22*(Calc!$G$3:$G$22&gt;A3164)*(Calc!$G$3:$G$22-A3164)*Calc!$G$3:$G$22)</f>
        <v/>
      </c>
      <c r="M3164">
        <f>SUMPRODUCT(Calc!$K$3:$K$22*(Calc!$G$3:$G$22&gt;B3164)*(Calc!$G$3:$G$22-B3164)*Calc!$G$3:$G$22)</f>
        <v/>
      </c>
      <c r="N3164">
        <f>SUMPRODUCT(Calc!$K$3:$K$22*(Calc!$G$3:$G$22&gt;A3164)*(Calc!$G$3:$G$22-A3164)*Calc!$I$3:$I$22)</f>
        <v/>
      </c>
      <c r="O3164">
        <f>SUMPRODUCT(Calc!$K$3:$K$22*(Calc!$G$3:$G$22&gt;B3164)*(Calc!$G$3:$G$22-B3164)*Calc!$I$3:$I$22)</f>
        <v/>
      </c>
      <c r="P3164">
        <f>I3164-G3164^2/k_n</f>
        <v/>
      </c>
      <c r="Q3164">
        <f>J3164-H3164^2/k_n</f>
        <v/>
      </c>
      <c r="R3164">
        <f>K3164-G3164*H3164/k_n</f>
        <v/>
      </c>
      <c r="S3164">
        <f>L3164-LTP3!$D$3*G3164/k_n</f>
        <v/>
      </c>
      <c r="T3164">
        <f>M3164-LTP3!$D$3*H3164/k_n</f>
        <v/>
      </c>
      <c r="U3164">
        <f>N3164-G3164*LTP3!$D$4/k_n</f>
        <v/>
      </c>
      <c r="V3164">
        <f>O3164-H3164*LTP3!$D$4/k_n</f>
        <v/>
      </c>
      <c r="W3164">
        <f>((LTP3!$D$5)*((P3164)*(Q3164)-(R3164)*(R3164))-(S3164)*((S3164)*(Q3164)-(R3164)*(T3164))+(T3164)*((S3164)*(R3164)-(P3164)*(T3164)))</f>
        <v/>
      </c>
      <c r="X3164">
        <f>IF(ABS(W3164)&gt;1E-12,((LTP3!$D$6)*((P3164)*(Q3164)-(R3164)*(R3164))-(S3164)*((U3164)*(Q3164)-(R3164)*(V3164))+(T3164)*((U3164)*(R3164)-(P3164)*(V3164)))/W3164,0)</f>
        <v/>
      </c>
      <c r="Y3164">
        <f>IF(ABS(W3164)&gt;1E-12,((LTP3!$D$5)*((U3164)*(Q3164)-(R3164)*(V3164))-(LTP3!$D$6)*((S3164)*(Q3164)-(R3164)*(T3164))+(T3164)*((S3164)*(V3164)-(U3164)*(T3164)))/W3164,0)</f>
        <v/>
      </c>
      <c r="Z3164">
        <f>IF(ABS(W3164)&gt;1E-12,((LTP3!$D$5)*((P3164)*(V3164)-(U3164)*(R3164))-(S3164)*((S3164)*(V3164)-(U3164)*(T3164))+(LTP3!$D$6)*((S3164)*(R3164)-(P3164)*(T3164)))/W3164,0)</f>
        <v/>
      </c>
      <c r="AA3164">
        <f>LTP3!$D$7-X3164*LTP3!$D$6-Y3164*U3164-Z3164*V3164</f>
        <v/>
      </c>
      <c r="AB3164">
        <f>IF(AND(F3164,ABS(W3164)&gt;1E-12,Y3164&gt;0,Z3164&gt;0),AA3164,1E+300)</f>
        <v/>
      </c>
    </row>
    <row r="3165">
      <c r="A3165">
        <f>$B$3+$B$5*51</f>
        <v/>
      </c>
      <c r="B3165">
        <f>$B$3+$B$5*42</f>
        <v/>
      </c>
      <c r="C3165">
        <f>SUMPRODUCT(Calc!$K$3:$K$22*(Calc!$G$3:$G$22&lt;=A3165))</f>
        <v/>
      </c>
      <c r="D3165">
        <f>SUMPRODUCT(Calc!$K$3:$K$22*(Calc!$G$3:$G$22&gt;A3165)*(Calc!$G$3:$G$22&lt;B3165))</f>
        <v/>
      </c>
      <c r="E3165">
        <f>SUMPRODUCT(Calc!$K$3:$K$22*(Calc!$G$3:$G$22&gt;=B3165))</f>
        <v/>
      </c>
      <c r="F3165">
        <f>AND(k_n&gt;=5,B3165&gt;A3165+1E-9,C3165&gt;=2,D3165&gt;=1,E3165&gt;=2)</f>
        <v/>
      </c>
      <c r="G3165">
        <f>SUMPRODUCT(Calc!$K$3:$K$22*(Calc!$G$3:$G$22&gt;A3165)*(Calc!$G$3:$G$22-A3165))</f>
        <v/>
      </c>
      <c r="H3165">
        <f>SUMPRODUCT(Calc!$K$3:$K$22*(Calc!$G$3:$G$22&gt;B3165)*(Calc!$G$3:$G$22-B3165))</f>
        <v/>
      </c>
      <c r="I3165">
        <f>SUMPRODUCT(Calc!$K$3:$K$22*(Calc!$G$3:$G$22&gt;A3165)*(Calc!$G$3:$G$22-A3165)^2)</f>
        <v/>
      </c>
      <c r="J3165">
        <f>SUMPRODUCT(Calc!$K$3:$K$22*(Calc!$G$3:$G$22&gt;B3165)*(Calc!$G$3:$G$22-B3165)^2)</f>
        <v/>
      </c>
      <c r="K3165">
        <f>SUMPRODUCT(Calc!$K$3:$K$22*(Calc!$G$3:$G$22&gt;A3165)*(Calc!$G$3:$G$22-A3165)*(Calc!$G$3:$G$22&gt;B3165)*(Calc!$G$3:$G$22-B3165))</f>
        <v/>
      </c>
      <c r="L3165">
        <f>SUMPRODUCT(Calc!$K$3:$K$22*(Calc!$G$3:$G$22&gt;A3165)*(Calc!$G$3:$G$22-A3165)*Calc!$G$3:$G$22)</f>
        <v/>
      </c>
      <c r="M3165">
        <f>SUMPRODUCT(Calc!$K$3:$K$22*(Calc!$G$3:$G$22&gt;B3165)*(Calc!$G$3:$G$22-B3165)*Calc!$G$3:$G$22)</f>
        <v/>
      </c>
      <c r="N3165">
        <f>SUMPRODUCT(Calc!$K$3:$K$22*(Calc!$G$3:$G$22&gt;A3165)*(Calc!$G$3:$G$22-A3165)*Calc!$I$3:$I$22)</f>
        <v/>
      </c>
      <c r="O3165">
        <f>SUMPRODUCT(Calc!$K$3:$K$22*(Calc!$G$3:$G$22&gt;B3165)*(Calc!$G$3:$G$22-B3165)*Calc!$I$3:$I$22)</f>
        <v/>
      </c>
      <c r="P3165">
        <f>I3165-G3165^2/k_n</f>
        <v/>
      </c>
      <c r="Q3165">
        <f>J3165-H3165^2/k_n</f>
        <v/>
      </c>
      <c r="R3165">
        <f>K3165-G3165*H3165/k_n</f>
        <v/>
      </c>
      <c r="S3165">
        <f>L3165-LTP3!$D$3*G3165/k_n</f>
        <v/>
      </c>
      <c r="T3165">
        <f>M3165-LTP3!$D$3*H3165/k_n</f>
        <v/>
      </c>
      <c r="U3165">
        <f>N3165-G3165*LTP3!$D$4/k_n</f>
        <v/>
      </c>
      <c r="V3165">
        <f>O3165-H3165*LTP3!$D$4/k_n</f>
        <v/>
      </c>
      <c r="W3165">
        <f>((LTP3!$D$5)*((P3165)*(Q3165)-(R3165)*(R3165))-(S3165)*((S3165)*(Q3165)-(R3165)*(T3165))+(T3165)*((S3165)*(R3165)-(P3165)*(T3165)))</f>
        <v/>
      </c>
      <c r="X3165">
        <f>IF(ABS(W3165)&gt;1E-12,((LTP3!$D$6)*((P3165)*(Q3165)-(R3165)*(R3165))-(S3165)*((U3165)*(Q3165)-(R3165)*(V3165))+(T3165)*((U3165)*(R3165)-(P3165)*(V3165)))/W3165,0)</f>
        <v/>
      </c>
      <c r="Y3165">
        <f>IF(ABS(W3165)&gt;1E-12,((LTP3!$D$5)*((U3165)*(Q3165)-(R3165)*(V3165))-(LTP3!$D$6)*((S3165)*(Q3165)-(R3165)*(T3165))+(T3165)*((S3165)*(V3165)-(U3165)*(T3165)))/W3165,0)</f>
        <v/>
      </c>
      <c r="Z3165">
        <f>IF(ABS(W3165)&gt;1E-12,((LTP3!$D$5)*((P3165)*(V3165)-(U3165)*(R3165))-(S3165)*((S3165)*(V3165)-(U3165)*(T3165))+(LTP3!$D$6)*((S3165)*(R3165)-(P3165)*(T3165)))/W3165,0)</f>
        <v/>
      </c>
      <c r="AA3165">
        <f>LTP3!$D$7-X3165*LTP3!$D$6-Y3165*U3165-Z3165*V3165</f>
        <v/>
      </c>
      <c r="AB3165">
        <f>IF(AND(F3165,ABS(W3165)&gt;1E-12,Y3165&gt;0,Z3165&gt;0),AA3165,1E+300)</f>
        <v/>
      </c>
    </row>
    <row r="3166">
      <c r="A3166">
        <f>$B$3+$B$5*51</f>
        <v/>
      </c>
      <c r="B3166">
        <f>$B$3+$B$5*43</f>
        <v/>
      </c>
      <c r="C3166">
        <f>SUMPRODUCT(Calc!$K$3:$K$22*(Calc!$G$3:$G$22&lt;=A3166))</f>
        <v/>
      </c>
      <c r="D3166">
        <f>SUMPRODUCT(Calc!$K$3:$K$22*(Calc!$G$3:$G$22&gt;A3166)*(Calc!$G$3:$G$22&lt;B3166))</f>
        <v/>
      </c>
      <c r="E3166">
        <f>SUMPRODUCT(Calc!$K$3:$K$22*(Calc!$G$3:$G$22&gt;=B3166))</f>
        <v/>
      </c>
      <c r="F3166">
        <f>AND(k_n&gt;=5,B3166&gt;A3166+1E-9,C3166&gt;=2,D3166&gt;=1,E3166&gt;=2)</f>
        <v/>
      </c>
      <c r="G3166">
        <f>SUMPRODUCT(Calc!$K$3:$K$22*(Calc!$G$3:$G$22&gt;A3166)*(Calc!$G$3:$G$22-A3166))</f>
        <v/>
      </c>
      <c r="H3166">
        <f>SUMPRODUCT(Calc!$K$3:$K$22*(Calc!$G$3:$G$22&gt;B3166)*(Calc!$G$3:$G$22-B3166))</f>
        <v/>
      </c>
      <c r="I3166">
        <f>SUMPRODUCT(Calc!$K$3:$K$22*(Calc!$G$3:$G$22&gt;A3166)*(Calc!$G$3:$G$22-A3166)^2)</f>
        <v/>
      </c>
      <c r="J3166">
        <f>SUMPRODUCT(Calc!$K$3:$K$22*(Calc!$G$3:$G$22&gt;B3166)*(Calc!$G$3:$G$22-B3166)^2)</f>
        <v/>
      </c>
      <c r="K3166">
        <f>SUMPRODUCT(Calc!$K$3:$K$22*(Calc!$G$3:$G$22&gt;A3166)*(Calc!$G$3:$G$22-A3166)*(Calc!$G$3:$G$22&gt;B3166)*(Calc!$G$3:$G$22-B3166))</f>
        <v/>
      </c>
      <c r="L3166">
        <f>SUMPRODUCT(Calc!$K$3:$K$22*(Calc!$G$3:$G$22&gt;A3166)*(Calc!$G$3:$G$22-A3166)*Calc!$G$3:$G$22)</f>
        <v/>
      </c>
      <c r="M3166">
        <f>SUMPRODUCT(Calc!$K$3:$K$22*(Calc!$G$3:$G$22&gt;B3166)*(Calc!$G$3:$G$22-B3166)*Calc!$G$3:$G$22)</f>
        <v/>
      </c>
      <c r="N3166">
        <f>SUMPRODUCT(Calc!$K$3:$K$22*(Calc!$G$3:$G$22&gt;A3166)*(Calc!$G$3:$G$22-A3166)*Calc!$I$3:$I$22)</f>
        <v/>
      </c>
      <c r="O3166">
        <f>SUMPRODUCT(Calc!$K$3:$K$22*(Calc!$G$3:$G$22&gt;B3166)*(Calc!$G$3:$G$22-B3166)*Calc!$I$3:$I$22)</f>
        <v/>
      </c>
      <c r="P3166">
        <f>I3166-G3166^2/k_n</f>
        <v/>
      </c>
      <c r="Q3166">
        <f>J3166-H3166^2/k_n</f>
        <v/>
      </c>
      <c r="R3166">
        <f>K3166-G3166*H3166/k_n</f>
        <v/>
      </c>
      <c r="S3166">
        <f>L3166-LTP3!$D$3*G3166/k_n</f>
        <v/>
      </c>
      <c r="T3166">
        <f>M3166-LTP3!$D$3*H3166/k_n</f>
        <v/>
      </c>
      <c r="U3166">
        <f>N3166-G3166*LTP3!$D$4/k_n</f>
        <v/>
      </c>
      <c r="V3166">
        <f>O3166-H3166*LTP3!$D$4/k_n</f>
        <v/>
      </c>
      <c r="W3166">
        <f>((LTP3!$D$5)*((P3166)*(Q3166)-(R3166)*(R3166))-(S3166)*((S3166)*(Q3166)-(R3166)*(T3166))+(T3166)*((S3166)*(R3166)-(P3166)*(T3166)))</f>
        <v/>
      </c>
      <c r="X3166">
        <f>IF(ABS(W3166)&gt;1E-12,((LTP3!$D$6)*((P3166)*(Q3166)-(R3166)*(R3166))-(S3166)*((U3166)*(Q3166)-(R3166)*(V3166))+(T3166)*((U3166)*(R3166)-(P3166)*(V3166)))/W3166,0)</f>
        <v/>
      </c>
      <c r="Y3166">
        <f>IF(ABS(W3166)&gt;1E-12,((LTP3!$D$5)*((U3166)*(Q3166)-(R3166)*(V3166))-(LTP3!$D$6)*((S3166)*(Q3166)-(R3166)*(T3166))+(T3166)*((S3166)*(V3166)-(U3166)*(T3166)))/W3166,0)</f>
        <v/>
      </c>
      <c r="Z3166">
        <f>IF(ABS(W3166)&gt;1E-12,((LTP3!$D$5)*((P3166)*(V3166)-(U3166)*(R3166))-(S3166)*((S3166)*(V3166)-(U3166)*(T3166))+(LTP3!$D$6)*((S3166)*(R3166)-(P3166)*(T3166)))/W3166,0)</f>
        <v/>
      </c>
      <c r="AA3166">
        <f>LTP3!$D$7-X3166*LTP3!$D$6-Y3166*U3166-Z3166*V3166</f>
        <v/>
      </c>
      <c r="AB3166">
        <f>IF(AND(F3166,ABS(W3166)&gt;1E-12,Y3166&gt;0,Z3166&gt;0),AA3166,1E+300)</f>
        <v/>
      </c>
    </row>
    <row r="3167">
      <c r="A3167">
        <f>$B$3+$B$5*51</f>
        <v/>
      </c>
      <c r="B3167">
        <f>$B$3+$B$5*44</f>
        <v/>
      </c>
      <c r="C3167">
        <f>SUMPRODUCT(Calc!$K$3:$K$22*(Calc!$G$3:$G$22&lt;=A3167))</f>
        <v/>
      </c>
      <c r="D3167">
        <f>SUMPRODUCT(Calc!$K$3:$K$22*(Calc!$G$3:$G$22&gt;A3167)*(Calc!$G$3:$G$22&lt;B3167))</f>
        <v/>
      </c>
      <c r="E3167">
        <f>SUMPRODUCT(Calc!$K$3:$K$22*(Calc!$G$3:$G$22&gt;=B3167))</f>
        <v/>
      </c>
      <c r="F3167">
        <f>AND(k_n&gt;=5,B3167&gt;A3167+1E-9,C3167&gt;=2,D3167&gt;=1,E3167&gt;=2)</f>
        <v/>
      </c>
      <c r="G3167">
        <f>SUMPRODUCT(Calc!$K$3:$K$22*(Calc!$G$3:$G$22&gt;A3167)*(Calc!$G$3:$G$22-A3167))</f>
        <v/>
      </c>
      <c r="H3167">
        <f>SUMPRODUCT(Calc!$K$3:$K$22*(Calc!$G$3:$G$22&gt;B3167)*(Calc!$G$3:$G$22-B3167))</f>
        <v/>
      </c>
      <c r="I3167">
        <f>SUMPRODUCT(Calc!$K$3:$K$22*(Calc!$G$3:$G$22&gt;A3167)*(Calc!$G$3:$G$22-A3167)^2)</f>
        <v/>
      </c>
      <c r="J3167">
        <f>SUMPRODUCT(Calc!$K$3:$K$22*(Calc!$G$3:$G$22&gt;B3167)*(Calc!$G$3:$G$22-B3167)^2)</f>
        <v/>
      </c>
      <c r="K3167">
        <f>SUMPRODUCT(Calc!$K$3:$K$22*(Calc!$G$3:$G$22&gt;A3167)*(Calc!$G$3:$G$22-A3167)*(Calc!$G$3:$G$22&gt;B3167)*(Calc!$G$3:$G$22-B3167))</f>
        <v/>
      </c>
      <c r="L3167">
        <f>SUMPRODUCT(Calc!$K$3:$K$22*(Calc!$G$3:$G$22&gt;A3167)*(Calc!$G$3:$G$22-A3167)*Calc!$G$3:$G$22)</f>
        <v/>
      </c>
      <c r="M3167">
        <f>SUMPRODUCT(Calc!$K$3:$K$22*(Calc!$G$3:$G$22&gt;B3167)*(Calc!$G$3:$G$22-B3167)*Calc!$G$3:$G$22)</f>
        <v/>
      </c>
      <c r="N3167">
        <f>SUMPRODUCT(Calc!$K$3:$K$22*(Calc!$G$3:$G$22&gt;A3167)*(Calc!$G$3:$G$22-A3167)*Calc!$I$3:$I$22)</f>
        <v/>
      </c>
      <c r="O3167">
        <f>SUMPRODUCT(Calc!$K$3:$K$22*(Calc!$G$3:$G$22&gt;B3167)*(Calc!$G$3:$G$22-B3167)*Calc!$I$3:$I$22)</f>
        <v/>
      </c>
      <c r="P3167">
        <f>I3167-G3167^2/k_n</f>
        <v/>
      </c>
      <c r="Q3167">
        <f>J3167-H3167^2/k_n</f>
        <v/>
      </c>
      <c r="R3167">
        <f>K3167-G3167*H3167/k_n</f>
        <v/>
      </c>
      <c r="S3167">
        <f>L3167-LTP3!$D$3*G3167/k_n</f>
        <v/>
      </c>
      <c r="T3167">
        <f>M3167-LTP3!$D$3*H3167/k_n</f>
        <v/>
      </c>
      <c r="U3167">
        <f>N3167-G3167*LTP3!$D$4/k_n</f>
        <v/>
      </c>
      <c r="V3167">
        <f>O3167-H3167*LTP3!$D$4/k_n</f>
        <v/>
      </c>
      <c r="W3167">
        <f>((LTP3!$D$5)*((P3167)*(Q3167)-(R3167)*(R3167))-(S3167)*((S3167)*(Q3167)-(R3167)*(T3167))+(T3167)*((S3167)*(R3167)-(P3167)*(T3167)))</f>
        <v/>
      </c>
      <c r="X3167">
        <f>IF(ABS(W3167)&gt;1E-12,((LTP3!$D$6)*((P3167)*(Q3167)-(R3167)*(R3167))-(S3167)*((U3167)*(Q3167)-(R3167)*(V3167))+(T3167)*((U3167)*(R3167)-(P3167)*(V3167)))/W3167,0)</f>
        <v/>
      </c>
      <c r="Y3167">
        <f>IF(ABS(W3167)&gt;1E-12,((LTP3!$D$5)*((U3167)*(Q3167)-(R3167)*(V3167))-(LTP3!$D$6)*((S3167)*(Q3167)-(R3167)*(T3167))+(T3167)*((S3167)*(V3167)-(U3167)*(T3167)))/W3167,0)</f>
        <v/>
      </c>
      <c r="Z3167">
        <f>IF(ABS(W3167)&gt;1E-12,((LTP3!$D$5)*((P3167)*(V3167)-(U3167)*(R3167))-(S3167)*((S3167)*(V3167)-(U3167)*(T3167))+(LTP3!$D$6)*((S3167)*(R3167)-(P3167)*(T3167)))/W3167,0)</f>
        <v/>
      </c>
      <c r="AA3167">
        <f>LTP3!$D$7-X3167*LTP3!$D$6-Y3167*U3167-Z3167*V3167</f>
        <v/>
      </c>
      <c r="AB3167">
        <f>IF(AND(F3167,ABS(W3167)&gt;1E-12,Y3167&gt;0,Z3167&gt;0),AA3167,1E+300)</f>
        <v/>
      </c>
    </row>
    <row r="3168">
      <c r="A3168">
        <f>$B$3+$B$5*51</f>
        <v/>
      </c>
      <c r="B3168">
        <f>$B$3+$B$5*45</f>
        <v/>
      </c>
      <c r="C3168">
        <f>SUMPRODUCT(Calc!$K$3:$K$22*(Calc!$G$3:$G$22&lt;=A3168))</f>
        <v/>
      </c>
      <c r="D3168">
        <f>SUMPRODUCT(Calc!$K$3:$K$22*(Calc!$G$3:$G$22&gt;A3168)*(Calc!$G$3:$G$22&lt;B3168))</f>
        <v/>
      </c>
      <c r="E3168">
        <f>SUMPRODUCT(Calc!$K$3:$K$22*(Calc!$G$3:$G$22&gt;=B3168))</f>
        <v/>
      </c>
      <c r="F3168">
        <f>AND(k_n&gt;=5,B3168&gt;A3168+1E-9,C3168&gt;=2,D3168&gt;=1,E3168&gt;=2)</f>
        <v/>
      </c>
      <c r="G3168">
        <f>SUMPRODUCT(Calc!$K$3:$K$22*(Calc!$G$3:$G$22&gt;A3168)*(Calc!$G$3:$G$22-A3168))</f>
        <v/>
      </c>
      <c r="H3168">
        <f>SUMPRODUCT(Calc!$K$3:$K$22*(Calc!$G$3:$G$22&gt;B3168)*(Calc!$G$3:$G$22-B3168))</f>
        <v/>
      </c>
      <c r="I3168">
        <f>SUMPRODUCT(Calc!$K$3:$K$22*(Calc!$G$3:$G$22&gt;A3168)*(Calc!$G$3:$G$22-A3168)^2)</f>
        <v/>
      </c>
      <c r="J3168">
        <f>SUMPRODUCT(Calc!$K$3:$K$22*(Calc!$G$3:$G$22&gt;B3168)*(Calc!$G$3:$G$22-B3168)^2)</f>
        <v/>
      </c>
      <c r="K3168">
        <f>SUMPRODUCT(Calc!$K$3:$K$22*(Calc!$G$3:$G$22&gt;A3168)*(Calc!$G$3:$G$22-A3168)*(Calc!$G$3:$G$22&gt;B3168)*(Calc!$G$3:$G$22-B3168))</f>
        <v/>
      </c>
      <c r="L3168">
        <f>SUMPRODUCT(Calc!$K$3:$K$22*(Calc!$G$3:$G$22&gt;A3168)*(Calc!$G$3:$G$22-A3168)*Calc!$G$3:$G$22)</f>
        <v/>
      </c>
      <c r="M3168">
        <f>SUMPRODUCT(Calc!$K$3:$K$22*(Calc!$G$3:$G$22&gt;B3168)*(Calc!$G$3:$G$22-B3168)*Calc!$G$3:$G$22)</f>
        <v/>
      </c>
      <c r="N3168">
        <f>SUMPRODUCT(Calc!$K$3:$K$22*(Calc!$G$3:$G$22&gt;A3168)*(Calc!$G$3:$G$22-A3168)*Calc!$I$3:$I$22)</f>
        <v/>
      </c>
      <c r="O3168">
        <f>SUMPRODUCT(Calc!$K$3:$K$22*(Calc!$G$3:$G$22&gt;B3168)*(Calc!$G$3:$G$22-B3168)*Calc!$I$3:$I$22)</f>
        <v/>
      </c>
      <c r="P3168">
        <f>I3168-G3168^2/k_n</f>
        <v/>
      </c>
      <c r="Q3168">
        <f>J3168-H3168^2/k_n</f>
        <v/>
      </c>
      <c r="R3168">
        <f>K3168-G3168*H3168/k_n</f>
        <v/>
      </c>
      <c r="S3168">
        <f>L3168-LTP3!$D$3*G3168/k_n</f>
        <v/>
      </c>
      <c r="T3168">
        <f>M3168-LTP3!$D$3*H3168/k_n</f>
        <v/>
      </c>
      <c r="U3168">
        <f>N3168-G3168*LTP3!$D$4/k_n</f>
        <v/>
      </c>
      <c r="V3168">
        <f>O3168-H3168*LTP3!$D$4/k_n</f>
        <v/>
      </c>
      <c r="W3168">
        <f>((LTP3!$D$5)*((P3168)*(Q3168)-(R3168)*(R3168))-(S3168)*((S3168)*(Q3168)-(R3168)*(T3168))+(T3168)*((S3168)*(R3168)-(P3168)*(T3168)))</f>
        <v/>
      </c>
      <c r="X3168">
        <f>IF(ABS(W3168)&gt;1E-12,((LTP3!$D$6)*((P3168)*(Q3168)-(R3168)*(R3168))-(S3168)*((U3168)*(Q3168)-(R3168)*(V3168))+(T3168)*((U3168)*(R3168)-(P3168)*(V3168)))/W3168,0)</f>
        <v/>
      </c>
      <c r="Y3168">
        <f>IF(ABS(W3168)&gt;1E-12,((LTP3!$D$5)*((U3168)*(Q3168)-(R3168)*(V3168))-(LTP3!$D$6)*((S3168)*(Q3168)-(R3168)*(T3168))+(T3168)*((S3168)*(V3168)-(U3168)*(T3168)))/W3168,0)</f>
        <v/>
      </c>
      <c r="Z3168">
        <f>IF(ABS(W3168)&gt;1E-12,((LTP3!$D$5)*((P3168)*(V3168)-(U3168)*(R3168))-(S3168)*((S3168)*(V3168)-(U3168)*(T3168))+(LTP3!$D$6)*((S3168)*(R3168)-(P3168)*(T3168)))/W3168,0)</f>
        <v/>
      </c>
      <c r="AA3168">
        <f>LTP3!$D$7-X3168*LTP3!$D$6-Y3168*U3168-Z3168*V3168</f>
        <v/>
      </c>
      <c r="AB3168">
        <f>IF(AND(F3168,ABS(W3168)&gt;1E-12,Y3168&gt;0,Z3168&gt;0),AA3168,1E+300)</f>
        <v/>
      </c>
    </row>
    <row r="3169">
      <c r="A3169">
        <f>$B$3+$B$5*51</f>
        <v/>
      </c>
      <c r="B3169">
        <f>$B$3+$B$5*46</f>
        <v/>
      </c>
      <c r="C3169">
        <f>SUMPRODUCT(Calc!$K$3:$K$22*(Calc!$G$3:$G$22&lt;=A3169))</f>
        <v/>
      </c>
      <c r="D3169">
        <f>SUMPRODUCT(Calc!$K$3:$K$22*(Calc!$G$3:$G$22&gt;A3169)*(Calc!$G$3:$G$22&lt;B3169))</f>
        <v/>
      </c>
      <c r="E3169">
        <f>SUMPRODUCT(Calc!$K$3:$K$22*(Calc!$G$3:$G$22&gt;=B3169))</f>
        <v/>
      </c>
      <c r="F3169">
        <f>AND(k_n&gt;=5,B3169&gt;A3169+1E-9,C3169&gt;=2,D3169&gt;=1,E3169&gt;=2)</f>
        <v/>
      </c>
      <c r="G3169">
        <f>SUMPRODUCT(Calc!$K$3:$K$22*(Calc!$G$3:$G$22&gt;A3169)*(Calc!$G$3:$G$22-A3169))</f>
        <v/>
      </c>
      <c r="H3169">
        <f>SUMPRODUCT(Calc!$K$3:$K$22*(Calc!$G$3:$G$22&gt;B3169)*(Calc!$G$3:$G$22-B3169))</f>
        <v/>
      </c>
      <c r="I3169">
        <f>SUMPRODUCT(Calc!$K$3:$K$22*(Calc!$G$3:$G$22&gt;A3169)*(Calc!$G$3:$G$22-A3169)^2)</f>
        <v/>
      </c>
      <c r="J3169">
        <f>SUMPRODUCT(Calc!$K$3:$K$22*(Calc!$G$3:$G$22&gt;B3169)*(Calc!$G$3:$G$22-B3169)^2)</f>
        <v/>
      </c>
      <c r="K3169">
        <f>SUMPRODUCT(Calc!$K$3:$K$22*(Calc!$G$3:$G$22&gt;A3169)*(Calc!$G$3:$G$22-A3169)*(Calc!$G$3:$G$22&gt;B3169)*(Calc!$G$3:$G$22-B3169))</f>
        <v/>
      </c>
      <c r="L3169">
        <f>SUMPRODUCT(Calc!$K$3:$K$22*(Calc!$G$3:$G$22&gt;A3169)*(Calc!$G$3:$G$22-A3169)*Calc!$G$3:$G$22)</f>
        <v/>
      </c>
      <c r="M3169">
        <f>SUMPRODUCT(Calc!$K$3:$K$22*(Calc!$G$3:$G$22&gt;B3169)*(Calc!$G$3:$G$22-B3169)*Calc!$G$3:$G$22)</f>
        <v/>
      </c>
      <c r="N3169">
        <f>SUMPRODUCT(Calc!$K$3:$K$22*(Calc!$G$3:$G$22&gt;A3169)*(Calc!$G$3:$G$22-A3169)*Calc!$I$3:$I$22)</f>
        <v/>
      </c>
      <c r="O3169">
        <f>SUMPRODUCT(Calc!$K$3:$K$22*(Calc!$G$3:$G$22&gt;B3169)*(Calc!$G$3:$G$22-B3169)*Calc!$I$3:$I$22)</f>
        <v/>
      </c>
      <c r="P3169">
        <f>I3169-G3169^2/k_n</f>
        <v/>
      </c>
      <c r="Q3169">
        <f>J3169-H3169^2/k_n</f>
        <v/>
      </c>
      <c r="R3169">
        <f>K3169-G3169*H3169/k_n</f>
        <v/>
      </c>
      <c r="S3169">
        <f>L3169-LTP3!$D$3*G3169/k_n</f>
        <v/>
      </c>
      <c r="T3169">
        <f>M3169-LTP3!$D$3*H3169/k_n</f>
        <v/>
      </c>
      <c r="U3169">
        <f>N3169-G3169*LTP3!$D$4/k_n</f>
        <v/>
      </c>
      <c r="V3169">
        <f>O3169-H3169*LTP3!$D$4/k_n</f>
        <v/>
      </c>
      <c r="W3169">
        <f>((LTP3!$D$5)*((P3169)*(Q3169)-(R3169)*(R3169))-(S3169)*((S3169)*(Q3169)-(R3169)*(T3169))+(T3169)*((S3169)*(R3169)-(P3169)*(T3169)))</f>
        <v/>
      </c>
      <c r="X3169">
        <f>IF(ABS(W3169)&gt;1E-12,((LTP3!$D$6)*((P3169)*(Q3169)-(R3169)*(R3169))-(S3169)*((U3169)*(Q3169)-(R3169)*(V3169))+(T3169)*((U3169)*(R3169)-(P3169)*(V3169)))/W3169,0)</f>
        <v/>
      </c>
      <c r="Y3169">
        <f>IF(ABS(W3169)&gt;1E-12,((LTP3!$D$5)*((U3169)*(Q3169)-(R3169)*(V3169))-(LTP3!$D$6)*((S3169)*(Q3169)-(R3169)*(T3169))+(T3169)*((S3169)*(V3169)-(U3169)*(T3169)))/W3169,0)</f>
        <v/>
      </c>
      <c r="Z3169">
        <f>IF(ABS(W3169)&gt;1E-12,((LTP3!$D$5)*((P3169)*(V3169)-(U3169)*(R3169))-(S3169)*((S3169)*(V3169)-(U3169)*(T3169))+(LTP3!$D$6)*((S3169)*(R3169)-(P3169)*(T3169)))/W3169,0)</f>
        <v/>
      </c>
      <c r="AA3169">
        <f>LTP3!$D$7-X3169*LTP3!$D$6-Y3169*U3169-Z3169*V3169</f>
        <v/>
      </c>
      <c r="AB3169">
        <f>IF(AND(F3169,ABS(W3169)&gt;1E-12,Y3169&gt;0,Z3169&gt;0),AA3169,1E+300)</f>
        <v/>
      </c>
    </row>
    <row r="3170">
      <c r="A3170">
        <f>$B$3+$B$5*51</f>
        <v/>
      </c>
      <c r="B3170">
        <f>$B$3+$B$5*47</f>
        <v/>
      </c>
      <c r="C3170">
        <f>SUMPRODUCT(Calc!$K$3:$K$22*(Calc!$G$3:$G$22&lt;=A3170))</f>
        <v/>
      </c>
      <c r="D3170">
        <f>SUMPRODUCT(Calc!$K$3:$K$22*(Calc!$G$3:$G$22&gt;A3170)*(Calc!$G$3:$G$22&lt;B3170))</f>
        <v/>
      </c>
      <c r="E3170">
        <f>SUMPRODUCT(Calc!$K$3:$K$22*(Calc!$G$3:$G$22&gt;=B3170))</f>
        <v/>
      </c>
      <c r="F3170">
        <f>AND(k_n&gt;=5,B3170&gt;A3170+1E-9,C3170&gt;=2,D3170&gt;=1,E3170&gt;=2)</f>
        <v/>
      </c>
      <c r="G3170">
        <f>SUMPRODUCT(Calc!$K$3:$K$22*(Calc!$G$3:$G$22&gt;A3170)*(Calc!$G$3:$G$22-A3170))</f>
        <v/>
      </c>
      <c r="H3170">
        <f>SUMPRODUCT(Calc!$K$3:$K$22*(Calc!$G$3:$G$22&gt;B3170)*(Calc!$G$3:$G$22-B3170))</f>
        <v/>
      </c>
      <c r="I3170">
        <f>SUMPRODUCT(Calc!$K$3:$K$22*(Calc!$G$3:$G$22&gt;A3170)*(Calc!$G$3:$G$22-A3170)^2)</f>
        <v/>
      </c>
      <c r="J3170">
        <f>SUMPRODUCT(Calc!$K$3:$K$22*(Calc!$G$3:$G$22&gt;B3170)*(Calc!$G$3:$G$22-B3170)^2)</f>
        <v/>
      </c>
      <c r="K3170">
        <f>SUMPRODUCT(Calc!$K$3:$K$22*(Calc!$G$3:$G$22&gt;A3170)*(Calc!$G$3:$G$22-A3170)*(Calc!$G$3:$G$22&gt;B3170)*(Calc!$G$3:$G$22-B3170))</f>
        <v/>
      </c>
      <c r="L3170">
        <f>SUMPRODUCT(Calc!$K$3:$K$22*(Calc!$G$3:$G$22&gt;A3170)*(Calc!$G$3:$G$22-A3170)*Calc!$G$3:$G$22)</f>
        <v/>
      </c>
      <c r="M3170">
        <f>SUMPRODUCT(Calc!$K$3:$K$22*(Calc!$G$3:$G$22&gt;B3170)*(Calc!$G$3:$G$22-B3170)*Calc!$G$3:$G$22)</f>
        <v/>
      </c>
      <c r="N3170">
        <f>SUMPRODUCT(Calc!$K$3:$K$22*(Calc!$G$3:$G$22&gt;A3170)*(Calc!$G$3:$G$22-A3170)*Calc!$I$3:$I$22)</f>
        <v/>
      </c>
      <c r="O3170">
        <f>SUMPRODUCT(Calc!$K$3:$K$22*(Calc!$G$3:$G$22&gt;B3170)*(Calc!$G$3:$G$22-B3170)*Calc!$I$3:$I$22)</f>
        <v/>
      </c>
      <c r="P3170">
        <f>I3170-G3170^2/k_n</f>
        <v/>
      </c>
      <c r="Q3170">
        <f>J3170-H3170^2/k_n</f>
        <v/>
      </c>
      <c r="R3170">
        <f>K3170-G3170*H3170/k_n</f>
        <v/>
      </c>
      <c r="S3170">
        <f>L3170-LTP3!$D$3*G3170/k_n</f>
        <v/>
      </c>
      <c r="T3170">
        <f>M3170-LTP3!$D$3*H3170/k_n</f>
        <v/>
      </c>
      <c r="U3170">
        <f>N3170-G3170*LTP3!$D$4/k_n</f>
        <v/>
      </c>
      <c r="V3170">
        <f>O3170-H3170*LTP3!$D$4/k_n</f>
        <v/>
      </c>
      <c r="W3170">
        <f>((LTP3!$D$5)*((P3170)*(Q3170)-(R3170)*(R3170))-(S3170)*((S3170)*(Q3170)-(R3170)*(T3170))+(T3170)*((S3170)*(R3170)-(P3170)*(T3170)))</f>
        <v/>
      </c>
      <c r="X3170">
        <f>IF(ABS(W3170)&gt;1E-12,((LTP3!$D$6)*((P3170)*(Q3170)-(R3170)*(R3170))-(S3170)*((U3170)*(Q3170)-(R3170)*(V3170))+(T3170)*((U3170)*(R3170)-(P3170)*(V3170)))/W3170,0)</f>
        <v/>
      </c>
      <c r="Y3170">
        <f>IF(ABS(W3170)&gt;1E-12,((LTP3!$D$5)*((U3170)*(Q3170)-(R3170)*(V3170))-(LTP3!$D$6)*((S3170)*(Q3170)-(R3170)*(T3170))+(T3170)*((S3170)*(V3170)-(U3170)*(T3170)))/W3170,0)</f>
        <v/>
      </c>
      <c r="Z3170">
        <f>IF(ABS(W3170)&gt;1E-12,((LTP3!$D$5)*((P3170)*(V3170)-(U3170)*(R3170))-(S3170)*((S3170)*(V3170)-(U3170)*(T3170))+(LTP3!$D$6)*((S3170)*(R3170)-(P3170)*(T3170)))/W3170,0)</f>
        <v/>
      </c>
      <c r="AA3170">
        <f>LTP3!$D$7-X3170*LTP3!$D$6-Y3170*U3170-Z3170*V3170</f>
        <v/>
      </c>
      <c r="AB3170">
        <f>IF(AND(F3170,ABS(W3170)&gt;1E-12,Y3170&gt;0,Z3170&gt;0),AA3170,1E+300)</f>
        <v/>
      </c>
    </row>
    <row r="3171">
      <c r="A3171">
        <f>$B$3+$B$5*51</f>
        <v/>
      </c>
      <c r="B3171">
        <f>$B$3+$B$5*48</f>
        <v/>
      </c>
      <c r="C3171">
        <f>SUMPRODUCT(Calc!$K$3:$K$22*(Calc!$G$3:$G$22&lt;=A3171))</f>
        <v/>
      </c>
      <c r="D3171">
        <f>SUMPRODUCT(Calc!$K$3:$K$22*(Calc!$G$3:$G$22&gt;A3171)*(Calc!$G$3:$G$22&lt;B3171))</f>
        <v/>
      </c>
      <c r="E3171">
        <f>SUMPRODUCT(Calc!$K$3:$K$22*(Calc!$G$3:$G$22&gt;=B3171))</f>
        <v/>
      </c>
      <c r="F3171">
        <f>AND(k_n&gt;=5,B3171&gt;A3171+1E-9,C3171&gt;=2,D3171&gt;=1,E3171&gt;=2)</f>
        <v/>
      </c>
      <c r="G3171">
        <f>SUMPRODUCT(Calc!$K$3:$K$22*(Calc!$G$3:$G$22&gt;A3171)*(Calc!$G$3:$G$22-A3171))</f>
        <v/>
      </c>
      <c r="H3171">
        <f>SUMPRODUCT(Calc!$K$3:$K$22*(Calc!$G$3:$G$22&gt;B3171)*(Calc!$G$3:$G$22-B3171))</f>
        <v/>
      </c>
      <c r="I3171">
        <f>SUMPRODUCT(Calc!$K$3:$K$22*(Calc!$G$3:$G$22&gt;A3171)*(Calc!$G$3:$G$22-A3171)^2)</f>
        <v/>
      </c>
      <c r="J3171">
        <f>SUMPRODUCT(Calc!$K$3:$K$22*(Calc!$G$3:$G$22&gt;B3171)*(Calc!$G$3:$G$22-B3171)^2)</f>
        <v/>
      </c>
      <c r="K3171">
        <f>SUMPRODUCT(Calc!$K$3:$K$22*(Calc!$G$3:$G$22&gt;A3171)*(Calc!$G$3:$G$22-A3171)*(Calc!$G$3:$G$22&gt;B3171)*(Calc!$G$3:$G$22-B3171))</f>
        <v/>
      </c>
      <c r="L3171">
        <f>SUMPRODUCT(Calc!$K$3:$K$22*(Calc!$G$3:$G$22&gt;A3171)*(Calc!$G$3:$G$22-A3171)*Calc!$G$3:$G$22)</f>
        <v/>
      </c>
      <c r="M3171">
        <f>SUMPRODUCT(Calc!$K$3:$K$22*(Calc!$G$3:$G$22&gt;B3171)*(Calc!$G$3:$G$22-B3171)*Calc!$G$3:$G$22)</f>
        <v/>
      </c>
      <c r="N3171">
        <f>SUMPRODUCT(Calc!$K$3:$K$22*(Calc!$G$3:$G$22&gt;A3171)*(Calc!$G$3:$G$22-A3171)*Calc!$I$3:$I$22)</f>
        <v/>
      </c>
      <c r="O3171">
        <f>SUMPRODUCT(Calc!$K$3:$K$22*(Calc!$G$3:$G$22&gt;B3171)*(Calc!$G$3:$G$22-B3171)*Calc!$I$3:$I$22)</f>
        <v/>
      </c>
      <c r="P3171">
        <f>I3171-G3171^2/k_n</f>
        <v/>
      </c>
      <c r="Q3171">
        <f>J3171-H3171^2/k_n</f>
        <v/>
      </c>
      <c r="R3171">
        <f>K3171-G3171*H3171/k_n</f>
        <v/>
      </c>
      <c r="S3171">
        <f>L3171-LTP3!$D$3*G3171/k_n</f>
        <v/>
      </c>
      <c r="T3171">
        <f>M3171-LTP3!$D$3*H3171/k_n</f>
        <v/>
      </c>
      <c r="U3171">
        <f>N3171-G3171*LTP3!$D$4/k_n</f>
        <v/>
      </c>
      <c r="V3171">
        <f>O3171-H3171*LTP3!$D$4/k_n</f>
        <v/>
      </c>
      <c r="W3171">
        <f>((LTP3!$D$5)*((P3171)*(Q3171)-(R3171)*(R3171))-(S3171)*((S3171)*(Q3171)-(R3171)*(T3171))+(T3171)*((S3171)*(R3171)-(P3171)*(T3171)))</f>
        <v/>
      </c>
      <c r="X3171">
        <f>IF(ABS(W3171)&gt;1E-12,((LTP3!$D$6)*((P3171)*(Q3171)-(R3171)*(R3171))-(S3171)*((U3171)*(Q3171)-(R3171)*(V3171))+(T3171)*((U3171)*(R3171)-(P3171)*(V3171)))/W3171,0)</f>
        <v/>
      </c>
      <c r="Y3171">
        <f>IF(ABS(W3171)&gt;1E-12,((LTP3!$D$5)*((U3171)*(Q3171)-(R3171)*(V3171))-(LTP3!$D$6)*((S3171)*(Q3171)-(R3171)*(T3171))+(T3171)*((S3171)*(V3171)-(U3171)*(T3171)))/W3171,0)</f>
        <v/>
      </c>
      <c r="Z3171">
        <f>IF(ABS(W3171)&gt;1E-12,((LTP3!$D$5)*((P3171)*(V3171)-(U3171)*(R3171))-(S3171)*((S3171)*(V3171)-(U3171)*(T3171))+(LTP3!$D$6)*((S3171)*(R3171)-(P3171)*(T3171)))/W3171,0)</f>
        <v/>
      </c>
      <c r="AA3171">
        <f>LTP3!$D$7-X3171*LTP3!$D$6-Y3171*U3171-Z3171*V3171</f>
        <v/>
      </c>
      <c r="AB3171">
        <f>IF(AND(F3171,ABS(W3171)&gt;1E-12,Y3171&gt;0,Z3171&gt;0),AA3171,1E+300)</f>
        <v/>
      </c>
    </row>
    <row r="3172">
      <c r="A3172">
        <f>$B$3+$B$5*51</f>
        <v/>
      </c>
      <c r="B3172">
        <f>$B$3+$B$5*49</f>
        <v/>
      </c>
      <c r="C3172">
        <f>SUMPRODUCT(Calc!$K$3:$K$22*(Calc!$G$3:$G$22&lt;=A3172))</f>
        <v/>
      </c>
      <c r="D3172">
        <f>SUMPRODUCT(Calc!$K$3:$K$22*(Calc!$G$3:$G$22&gt;A3172)*(Calc!$G$3:$G$22&lt;B3172))</f>
        <v/>
      </c>
      <c r="E3172">
        <f>SUMPRODUCT(Calc!$K$3:$K$22*(Calc!$G$3:$G$22&gt;=B3172))</f>
        <v/>
      </c>
      <c r="F3172">
        <f>AND(k_n&gt;=5,B3172&gt;A3172+1E-9,C3172&gt;=2,D3172&gt;=1,E3172&gt;=2)</f>
        <v/>
      </c>
      <c r="G3172">
        <f>SUMPRODUCT(Calc!$K$3:$K$22*(Calc!$G$3:$G$22&gt;A3172)*(Calc!$G$3:$G$22-A3172))</f>
        <v/>
      </c>
      <c r="H3172">
        <f>SUMPRODUCT(Calc!$K$3:$K$22*(Calc!$G$3:$G$22&gt;B3172)*(Calc!$G$3:$G$22-B3172))</f>
        <v/>
      </c>
      <c r="I3172">
        <f>SUMPRODUCT(Calc!$K$3:$K$22*(Calc!$G$3:$G$22&gt;A3172)*(Calc!$G$3:$G$22-A3172)^2)</f>
        <v/>
      </c>
      <c r="J3172">
        <f>SUMPRODUCT(Calc!$K$3:$K$22*(Calc!$G$3:$G$22&gt;B3172)*(Calc!$G$3:$G$22-B3172)^2)</f>
        <v/>
      </c>
      <c r="K3172">
        <f>SUMPRODUCT(Calc!$K$3:$K$22*(Calc!$G$3:$G$22&gt;A3172)*(Calc!$G$3:$G$22-A3172)*(Calc!$G$3:$G$22&gt;B3172)*(Calc!$G$3:$G$22-B3172))</f>
        <v/>
      </c>
      <c r="L3172">
        <f>SUMPRODUCT(Calc!$K$3:$K$22*(Calc!$G$3:$G$22&gt;A3172)*(Calc!$G$3:$G$22-A3172)*Calc!$G$3:$G$22)</f>
        <v/>
      </c>
      <c r="M3172">
        <f>SUMPRODUCT(Calc!$K$3:$K$22*(Calc!$G$3:$G$22&gt;B3172)*(Calc!$G$3:$G$22-B3172)*Calc!$G$3:$G$22)</f>
        <v/>
      </c>
      <c r="N3172">
        <f>SUMPRODUCT(Calc!$K$3:$K$22*(Calc!$G$3:$G$22&gt;A3172)*(Calc!$G$3:$G$22-A3172)*Calc!$I$3:$I$22)</f>
        <v/>
      </c>
      <c r="O3172">
        <f>SUMPRODUCT(Calc!$K$3:$K$22*(Calc!$G$3:$G$22&gt;B3172)*(Calc!$G$3:$G$22-B3172)*Calc!$I$3:$I$22)</f>
        <v/>
      </c>
      <c r="P3172">
        <f>I3172-G3172^2/k_n</f>
        <v/>
      </c>
      <c r="Q3172">
        <f>J3172-H3172^2/k_n</f>
        <v/>
      </c>
      <c r="R3172">
        <f>K3172-G3172*H3172/k_n</f>
        <v/>
      </c>
      <c r="S3172">
        <f>L3172-LTP3!$D$3*G3172/k_n</f>
        <v/>
      </c>
      <c r="T3172">
        <f>M3172-LTP3!$D$3*H3172/k_n</f>
        <v/>
      </c>
      <c r="U3172">
        <f>N3172-G3172*LTP3!$D$4/k_n</f>
        <v/>
      </c>
      <c r="V3172">
        <f>O3172-H3172*LTP3!$D$4/k_n</f>
        <v/>
      </c>
      <c r="W3172">
        <f>((LTP3!$D$5)*((P3172)*(Q3172)-(R3172)*(R3172))-(S3172)*((S3172)*(Q3172)-(R3172)*(T3172))+(T3172)*((S3172)*(R3172)-(P3172)*(T3172)))</f>
        <v/>
      </c>
      <c r="X3172">
        <f>IF(ABS(W3172)&gt;1E-12,((LTP3!$D$6)*((P3172)*(Q3172)-(R3172)*(R3172))-(S3172)*((U3172)*(Q3172)-(R3172)*(V3172))+(T3172)*((U3172)*(R3172)-(P3172)*(V3172)))/W3172,0)</f>
        <v/>
      </c>
      <c r="Y3172">
        <f>IF(ABS(W3172)&gt;1E-12,((LTP3!$D$5)*((U3172)*(Q3172)-(R3172)*(V3172))-(LTP3!$D$6)*((S3172)*(Q3172)-(R3172)*(T3172))+(T3172)*((S3172)*(V3172)-(U3172)*(T3172)))/W3172,0)</f>
        <v/>
      </c>
      <c r="Z3172">
        <f>IF(ABS(W3172)&gt;1E-12,((LTP3!$D$5)*((P3172)*(V3172)-(U3172)*(R3172))-(S3172)*((S3172)*(V3172)-(U3172)*(T3172))+(LTP3!$D$6)*((S3172)*(R3172)-(P3172)*(T3172)))/W3172,0)</f>
        <v/>
      </c>
      <c r="AA3172">
        <f>LTP3!$D$7-X3172*LTP3!$D$6-Y3172*U3172-Z3172*V3172</f>
        <v/>
      </c>
      <c r="AB3172">
        <f>IF(AND(F3172,ABS(W3172)&gt;1E-12,Y3172&gt;0,Z3172&gt;0),AA3172,1E+300)</f>
        <v/>
      </c>
    </row>
    <row r="3173">
      <c r="A3173">
        <f>$B$3+$B$5*51</f>
        <v/>
      </c>
      <c r="B3173">
        <f>$B$3+$B$5*50</f>
        <v/>
      </c>
      <c r="C3173">
        <f>SUMPRODUCT(Calc!$K$3:$K$22*(Calc!$G$3:$G$22&lt;=A3173))</f>
        <v/>
      </c>
      <c r="D3173">
        <f>SUMPRODUCT(Calc!$K$3:$K$22*(Calc!$G$3:$G$22&gt;A3173)*(Calc!$G$3:$G$22&lt;B3173))</f>
        <v/>
      </c>
      <c r="E3173">
        <f>SUMPRODUCT(Calc!$K$3:$K$22*(Calc!$G$3:$G$22&gt;=B3173))</f>
        <v/>
      </c>
      <c r="F3173">
        <f>AND(k_n&gt;=5,B3173&gt;A3173+1E-9,C3173&gt;=2,D3173&gt;=1,E3173&gt;=2)</f>
        <v/>
      </c>
      <c r="G3173">
        <f>SUMPRODUCT(Calc!$K$3:$K$22*(Calc!$G$3:$G$22&gt;A3173)*(Calc!$G$3:$G$22-A3173))</f>
        <v/>
      </c>
      <c r="H3173">
        <f>SUMPRODUCT(Calc!$K$3:$K$22*(Calc!$G$3:$G$22&gt;B3173)*(Calc!$G$3:$G$22-B3173))</f>
        <v/>
      </c>
      <c r="I3173">
        <f>SUMPRODUCT(Calc!$K$3:$K$22*(Calc!$G$3:$G$22&gt;A3173)*(Calc!$G$3:$G$22-A3173)^2)</f>
        <v/>
      </c>
      <c r="J3173">
        <f>SUMPRODUCT(Calc!$K$3:$K$22*(Calc!$G$3:$G$22&gt;B3173)*(Calc!$G$3:$G$22-B3173)^2)</f>
        <v/>
      </c>
      <c r="K3173">
        <f>SUMPRODUCT(Calc!$K$3:$K$22*(Calc!$G$3:$G$22&gt;A3173)*(Calc!$G$3:$G$22-A3173)*(Calc!$G$3:$G$22&gt;B3173)*(Calc!$G$3:$G$22-B3173))</f>
        <v/>
      </c>
      <c r="L3173">
        <f>SUMPRODUCT(Calc!$K$3:$K$22*(Calc!$G$3:$G$22&gt;A3173)*(Calc!$G$3:$G$22-A3173)*Calc!$G$3:$G$22)</f>
        <v/>
      </c>
      <c r="M3173">
        <f>SUMPRODUCT(Calc!$K$3:$K$22*(Calc!$G$3:$G$22&gt;B3173)*(Calc!$G$3:$G$22-B3173)*Calc!$G$3:$G$22)</f>
        <v/>
      </c>
      <c r="N3173">
        <f>SUMPRODUCT(Calc!$K$3:$K$22*(Calc!$G$3:$G$22&gt;A3173)*(Calc!$G$3:$G$22-A3173)*Calc!$I$3:$I$22)</f>
        <v/>
      </c>
      <c r="O3173">
        <f>SUMPRODUCT(Calc!$K$3:$K$22*(Calc!$G$3:$G$22&gt;B3173)*(Calc!$G$3:$G$22-B3173)*Calc!$I$3:$I$22)</f>
        <v/>
      </c>
      <c r="P3173">
        <f>I3173-G3173^2/k_n</f>
        <v/>
      </c>
      <c r="Q3173">
        <f>J3173-H3173^2/k_n</f>
        <v/>
      </c>
      <c r="R3173">
        <f>K3173-G3173*H3173/k_n</f>
        <v/>
      </c>
      <c r="S3173">
        <f>L3173-LTP3!$D$3*G3173/k_n</f>
        <v/>
      </c>
      <c r="T3173">
        <f>M3173-LTP3!$D$3*H3173/k_n</f>
        <v/>
      </c>
      <c r="U3173">
        <f>N3173-G3173*LTP3!$D$4/k_n</f>
        <v/>
      </c>
      <c r="V3173">
        <f>O3173-H3173*LTP3!$D$4/k_n</f>
        <v/>
      </c>
      <c r="W3173">
        <f>((LTP3!$D$5)*((P3173)*(Q3173)-(R3173)*(R3173))-(S3173)*((S3173)*(Q3173)-(R3173)*(T3173))+(T3173)*((S3173)*(R3173)-(P3173)*(T3173)))</f>
        <v/>
      </c>
      <c r="X3173">
        <f>IF(ABS(W3173)&gt;1E-12,((LTP3!$D$6)*((P3173)*(Q3173)-(R3173)*(R3173))-(S3173)*((U3173)*(Q3173)-(R3173)*(V3173))+(T3173)*((U3173)*(R3173)-(P3173)*(V3173)))/W3173,0)</f>
        <v/>
      </c>
      <c r="Y3173">
        <f>IF(ABS(W3173)&gt;1E-12,((LTP3!$D$5)*((U3173)*(Q3173)-(R3173)*(V3173))-(LTP3!$D$6)*((S3173)*(Q3173)-(R3173)*(T3173))+(T3173)*((S3173)*(V3173)-(U3173)*(T3173)))/W3173,0)</f>
        <v/>
      </c>
      <c r="Z3173">
        <f>IF(ABS(W3173)&gt;1E-12,((LTP3!$D$5)*((P3173)*(V3173)-(U3173)*(R3173))-(S3173)*((S3173)*(V3173)-(U3173)*(T3173))+(LTP3!$D$6)*((S3173)*(R3173)-(P3173)*(T3173)))/W3173,0)</f>
        <v/>
      </c>
      <c r="AA3173">
        <f>LTP3!$D$7-X3173*LTP3!$D$6-Y3173*U3173-Z3173*V3173</f>
        <v/>
      </c>
      <c r="AB3173">
        <f>IF(AND(F3173,ABS(W3173)&gt;1E-12,Y3173&gt;0,Z3173&gt;0),AA3173,1E+300)</f>
        <v/>
      </c>
    </row>
    <row r="3174">
      <c r="A3174">
        <f>$B$3+$B$5*51</f>
        <v/>
      </c>
      <c r="B3174">
        <f>$B$3+$B$5*51</f>
        <v/>
      </c>
      <c r="C3174">
        <f>SUMPRODUCT(Calc!$K$3:$K$22*(Calc!$G$3:$G$22&lt;=A3174))</f>
        <v/>
      </c>
      <c r="D3174">
        <f>SUMPRODUCT(Calc!$K$3:$K$22*(Calc!$G$3:$G$22&gt;A3174)*(Calc!$G$3:$G$22&lt;B3174))</f>
        <v/>
      </c>
      <c r="E3174">
        <f>SUMPRODUCT(Calc!$K$3:$K$22*(Calc!$G$3:$G$22&gt;=B3174))</f>
        <v/>
      </c>
      <c r="F3174">
        <f>AND(k_n&gt;=5,B3174&gt;A3174+1E-9,C3174&gt;=2,D3174&gt;=1,E3174&gt;=2)</f>
        <v/>
      </c>
      <c r="G3174">
        <f>SUMPRODUCT(Calc!$K$3:$K$22*(Calc!$G$3:$G$22&gt;A3174)*(Calc!$G$3:$G$22-A3174))</f>
        <v/>
      </c>
      <c r="H3174">
        <f>SUMPRODUCT(Calc!$K$3:$K$22*(Calc!$G$3:$G$22&gt;B3174)*(Calc!$G$3:$G$22-B3174))</f>
        <v/>
      </c>
      <c r="I3174">
        <f>SUMPRODUCT(Calc!$K$3:$K$22*(Calc!$G$3:$G$22&gt;A3174)*(Calc!$G$3:$G$22-A3174)^2)</f>
        <v/>
      </c>
      <c r="J3174">
        <f>SUMPRODUCT(Calc!$K$3:$K$22*(Calc!$G$3:$G$22&gt;B3174)*(Calc!$G$3:$G$22-B3174)^2)</f>
        <v/>
      </c>
      <c r="K3174">
        <f>SUMPRODUCT(Calc!$K$3:$K$22*(Calc!$G$3:$G$22&gt;A3174)*(Calc!$G$3:$G$22-A3174)*(Calc!$G$3:$G$22&gt;B3174)*(Calc!$G$3:$G$22-B3174))</f>
        <v/>
      </c>
      <c r="L3174">
        <f>SUMPRODUCT(Calc!$K$3:$K$22*(Calc!$G$3:$G$22&gt;A3174)*(Calc!$G$3:$G$22-A3174)*Calc!$G$3:$G$22)</f>
        <v/>
      </c>
      <c r="M3174">
        <f>SUMPRODUCT(Calc!$K$3:$K$22*(Calc!$G$3:$G$22&gt;B3174)*(Calc!$G$3:$G$22-B3174)*Calc!$G$3:$G$22)</f>
        <v/>
      </c>
      <c r="N3174">
        <f>SUMPRODUCT(Calc!$K$3:$K$22*(Calc!$G$3:$G$22&gt;A3174)*(Calc!$G$3:$G$22-A3174)*Calc!$I$3:$I$22)</f>
        <v/>
      </c>
      <c r="O3174">
        <f>SUMPRODUCT(Calc!$K$3:$K$22*(Calc!$G$3:$G$22&gt;B3174)*(Calc!$G$3:$G$22-B3174)*Calc!$I$3:$I$22)</f>
        <v/>
      </c>
      <c r="P3174">
        <f>I3174-G3174^2/k_n</f>
        <v/>
      </c>
      <c r="Q3174">
        <f>J3174-H3174^2/k_n</f>
        <v/>
      </c>
      <c r="R3174">
        <f>K3174-G3174*H3174/k_n</f>
        <v/>
      </c>
      <c r="S3174">
        <f>L3174-LTP3!$D$3*G3174/k_n</f>
        <v/>
      </c>
      <c r="T3174">
        <f>M3174-LTP3!$D$3*H3174/k_n</f>
        <v/>
      </c>
      <c r="U3174">
        <f>N3174-G3174*LTP3!$D$4/k_n</f>
        <v/>
      </c>
      <c r="V3174">
        <f>O3174-H3174*LTP3!$D$4/k_n</f>
        <v/>
      </c>
      <c r="W3174">
        <f>((LTP3!$D$5)*((P3174)*(Q3174)-(R3174)*(R3174))-(S3174)*((S3174)*(Q3174)-(R3174)*(T3174))+(T3174)*((S3174)*(R3174)-(P3174)*(T3174)))</f>
        <v/>
      </c>
      <c r="X3174">
        <f>IF(ABS(W3174)&gt;1E-12,((LTP3!$D$6)*((P3174)*(Q3174)-(R3174)*(R3174))-(S3174)*((U3174)*(Q3174)-(R3174)*(V3174))+(T3174)*((U3174)*(R3174)-(P3174)*(V3174)))/W3174,0)</f>
        <v/>
      </c>
      <c r="Y3174">
        <f>IF(ABS(W3174)&gt;1E-12,((LTP3!$D$5)*((U3174)*(Q3174)-(R3174)*(V3174))-(LTP3!$D$6)*((S3174)*(Q3174)-(R3174)*(T3174))+(T3174)*((S3174)*(V3174)-(U3174)*(T3174)))/W3174,0)</f>
        <v/>
      </c>
      <c r="Z3174">
        <f>IF(ABS(W3174)&gt;1E-12,((LTP3!$D$5)*((P3174)*(V3174)-(U3174)*(R3174))-(S3174)*((S3174)*(V3174)-(U3174)*(T3174))+(LTP3!$D$6)*((S3174)*(R3174)-(P3174)*(T3174)))/W3174,0)</f>
        <v/>
      </c>
      <c r="AA3174">
        <f>LTP3!$D$7-X3174*LTP3!$D$6-Y3174*U3174-Z3174*V3174</f>
        <v/>
      </c>
      <c r="AB3174">
        <f>IF(AND(F3174,ABS(W3174)&gt;1E-12,Y3174&gt;0,Z3174&gt;0),AA3174,1E+300)</f>
        <v/>
      </c>
    </row>
    <row r="3175">
      <c r="A3175">
        <f>$B$3+$B$5*51</f>
        <v/>
      </c>
      <c r="B3175">
        <f>$B$3+$B$5*52</f>
        <v/>
      </c>
      <c r="C3175">
        <f>SUMPRODUCT(Calc!$K$3:$K$22*(Calc!$G$3:$G$22&lt;=A3175))</f>
        <v/>
      </c>
      <c r="D3175">
        <f>SUMPRODUCT(Calc!$K$3:$K$22*(Calc!$G$3:$G$22&gt;A3175)*(Calc!$G$3:$G$22&lt;B3175))</f>
        <v/>
      </c>
      <c r="E3175">
        <f>SUMPRODUCT(Calc!$K$3:$K$22*(Calc!$G$3:$G$22&gt;=B3175))</f>
        <v/>
      </c>
      <c r="F3175">
        <f>AND(k_n&gt;=5,B3175&gt;A3175+1E-9,C3175&gt;=2,D3175&gt;=1,E3175&gt;=2)</f>
        <v/>
      </c>
      <c r="G3175">
        <f>SUMPRODUCT(Calc!$K$3:$K$22*(Calc!$G$3:$G$22&gt;A3175)*(Calc!$G$3:$G$22-A3175))</f>
        <v/>
      </c>
      <c r="H3175">
        <f>SUMPRODUCT(Calc!$K$3:$K$22*(Calc!$G$3:$G$22&gt;B3175)*(Calc!$G$3:$G$22-B3175))</f>
        <v/>
      </c>
      <c r="I3175">
        <f>SUMPRODUCT(Calc!$K$3:$K$22*(Calc!$G$3:$G$22&gt;A3175)*(Calc!$G$3:$G$22-A3175)^2)</f>
        <v/>
      </c>
      <c r="J3175">
        <f>SUMPRODUCT(Calc!$K$3:$K$22*(Calc!$G$3:$G$22&gt;B3175)*(Calc!$G$3:$G$22-B3175)^2)</f>
        <v/>
      </c>
      <c r="K3175">
        <f>SUMPRODUCT(Calc!$K$3:$K$22*(Calc!$G$3:$G$22&gt;A3175)*(Calc!$G$3:$G$22-A3175)*(Calc!$G$3:$G$22&gt;B3175)*(Calc!$G$3:$G$22-B3175))</f>
        <v/>
      </c>
      <c r="L3175">
        <f>SUMPRODUCT(Calc!$K$3:$K$22*(Calc!$G$3:$G$22&gt;A3175)*(Calc!$G$3:$G$22-A3175)*Calc!$G$3:$G$22)</f>
        <v/>
      </c>
      <c r="M3175">
        <f>SUMPRODUCT(Calc!$K$3:$K$22*(Calc!$G$3:$G$22&gt;B3175)*(Calc!$G$3:$G$22-B3175)*Calc!$G$3:$G$22)</f>
        <v/>
      </c>
      <c r="N3175">
        <f>SUMPRODUCT(Calc!$K$3:$K$22*(Calc!$G$3:$G$22&gt;A3175)*(Calc!$G$3:$G$22-A3175)*Calc!$I$3:$I$22)</f>
        <v/>
      </c>
      <c r="O3175">
        <f>SUMPRODUCT(Calc!$K$3:$K$22*(Calc!$G$3:$G$22&gt;B3175)*(Calc!$G$3:$G$22-B3175)*Calc!$I$3:$I$22)</f>
        <v/>
      </c>
      <c r="P3175">
        <f>I3175-G3175^2/k_n</f>
        <v/>
      </c>
      <c r="Q3175">
        <f>J3175-H3175^2/k_n</f>
        <v/>
      </c>
      <c r="R3175">
        <f>K3175-G3175*H3175/k_n</f>
        <v/>
      </c>
      <c r="S3175">
        <f>L3175-LTP3!$D$3*G3175/k_n</f>
        <v/>
      </c>
      <c r="T3175">
        <f>M3175-LTP3!$D$3*H3175/k_n</f>
        <v/>
      </c>
      <c r="U3175">
        <f>N3175-G3175*LTP3!$D$4/k_n</f>
        <v/>
      </c>
      <c r="V3175">
        <f>O3175-H3175*LTP3!$D$4/k_n</f>
        <v/>
      </c>
      <c r="W3175">
        <f>((LTP3!$D$5)*((P3175)*(Q3175)-(R3175)*(R3175))-(S3175)*((S3175)*(Q3175)-(R3175)*(T3175))+(T3175)*((S3175)*(R3175)-(P3175)*(T3175)))</f>
        <v/>
      </c>
      <c r="X3175">
        <f>IF(ABS(W3175)&gt;1E-12,((LTP3!$D$6)*((P3175)*(Q3175)-(R3175)*(R3175))-(S3175)*((U3175)*(Q3175)-(R3175)*(V3175))+(T3175)*((U3175)*(R3175)-(P3175)*(V3175)))/W3175,0)</f>
        <v/>
      </c>
      <c r="Y3175">
        <f>IF(ABS(W3175)&gt;1E-12,((LTP3!$D$5)*((U3175)*(Q3175)-(R3175)*(V3175))-(LTP3!$D$6)*((S3175)*(Q3175)-(R3175)*(T3175))+(T3175)*((S3175)*(V3175)-(U3175)*(T3175)))/W3175,0)</f>
        <v/>
      </c>
      <c r="Z3175">
        <f>IF(ABS(W3175)&gt;1E-12,((LTP3!$D$5)*((P3175)*(V3175)-(U3175)*(R3175))-(S3175)*((S3175)*(V3175)-(U3175)*(T3175))+(LTP3!$D$6)*((S3175)*(R3175)-(P3175)*(T3175)))/W3175,0)</f>
        <v/>
      </c>
      <c r="AA3175">
        <f>LTP3!$D$7-X3175*LTP3!$D$6-Y3175*U3175-Z3175*V3175</f>
        <v/>
      </c>
      <c r="AB3175">
        <f>IF(AND(F3175,ABS(W3175)&gt;1E-12,Y3175&gt;0,Z3175&gt;0),AA3175,1E+300)</f>
        <v/>
      </c>
    </row>
    <row r="3176">
      <c r="A3176">
        <f>$B$3+$B$5*51</f>
        <v/>
      </c>
      <c r="B3176">
        <f>$B$3+$B$5*53</f>
        <v/>
      </c>
      <c r="C3176">
        <f>SUMPRODUCT(Calc!$K$3:$K$22*(Calc!$G$3:$G$22&lt;=A3176))</f>
        <v/>
      </c>
      <c r="D3176">
        <f>SUMPRODUCT(Calc!$K$3:$K$22*(Calc!$G$3:$G$22&gt;A3176)*(Calc!$G$3:$G$22&lt;B3176))</f>
        <v/>
      </c>
      <c r="E3176">
        <f>SUMPRODUCT(Calc!$K$3:$K$22*(Calc!$G$3:$G$22&gt;=B3176))</f>
        <v/>
      </c>
      <c r="F3176">
        <f>AND(k_n&gt;=5,B3176&gt;A3176+1E-9,C3176&gt;=2,D3176&gt;=1,E3176&gt;=2)</f>
        <v/>
      </c>
      <c r="G3176">
        <f>SUMPRODUCT(Calc!$K$3:$K$22*(Calc!$G$3:$G$22&gt;A3176)*(Calc!$G$3:$G$22-A3176))</f>
        <v/>
      </c>
      <c r="H3176">
        <f>SUMPRODUCT(Calc!$K$3:$K$22*(Calc!$G$3:$G$22&gt;B3176)*(Calc!$G$3:$G$22-B3176))</f>
        <v/>
      </c>
      <c r="I3176">
        <f>SUMPRODUCT(Calc!$K$3:$K$22*(Calc!$G$3:$G$22&gt;A3176)*(Calc!$G$3:$G$22-A3176)^2)</f>
        <v/>
      </c>
      <c r="J3176">
        <f>SUMPRODUCT(Calc!$K$3:$K$22*(Calc!$G$3:$G$22&gt;B3176)*(Calc!$G$3:$G$22-B3176)^2)</f>
        <v/>
      </c>
      <c r="K3176">
        <f>SUMPRODUCT(Calc!$K$3:$K$22*(Calc!$G$3:$G$22&gt;A3176)*(Calc!$G$3:$G$22-A3176)*(Calc!$G$3:$G$22&gt;B3176)*(Calc!$G$3:$G$22-B3176))</f>
        <v/>
      </c>
      <c r="L3176">
        <f>SUMPRODUCT(Calc!$K$3:$K$22*(Calc!$G$3:$G$22&gt;A3176)*(Calc!$G$3:$G$22-A3176)*Calc!$G$3:$G$22)</f>
        <v/>
      </c>
      <c r="M3176">
        <f>SUMPRODUCT(Calc!$K$3:$K$22*(Calc!$G$3:$G$22&gt;B3176)*(Calc!$G$3:$G$22-B3176)*Calc!$G$3:$G$22)</f>
        <v/>
      </c>
      <c r="N3176">
        <f>SUMPRODUCT(Calc!$K$3:$K$22*(Calc!$G$3:$G$22&gt;A3176)*(Calc!$G$3:$G$22-A3176)*Calc!$I$3:$I$22)</f>
        <v/>
      </c>
      <c r="O3176">
        <f>SUMPRODUCT(Calc!$K$3:$K$22*(Calc!$G$3:$G$22&gt;B3176)*(Calc!$G$3:$G$22-B3176)*Calc!$I$3:$I$22)</f>
        <v/>
      </c>
      <c r="P3176">
        <f>I3176-G3176^2/k_n</f>
        <v/>
      </c>
      <c r="Q3176">
        <f>J3176-H3176^2/k_n</f>
        <v/>
      </c>
      <c r="R3176">
        <f>K3176-G3176*H3176/k_n</f>
        <v/>
      </c>
      <c r="S3176">
        <f>L3176-LTP3!$D$3*G3176/k_n</f>
        <v/>
      </c>
      <c r="T3176">
        <f>M3176-LTP3!$D$3*H3176/k_n</f>
        <v/>
      </c>
      <c r="U3176">
        <f>N3176-G3176*LTP3!$D$4/k_n</f>
        <v/>
      </c>
      <c r="V3176">
        <f>O3176-H3176*LTP3!$D$4/k_n</f>
        <v/>
      </c>
      <c r="W3176">
        <f>((LTP3!$D$5)*((P3176)*(Q3176)-(R3176)*(R3176))-(S3176)*((S3176)*(Q3176)-(R3176)*(T3176))+(T3176)*((S3176)*(R3176)-(P3176)*(T3176)))</f>
        <v/>
      </c>
      <c r="X3176">
        <f>IF(ABS(W3176)&gt;1E-12,((LTP3!$D$6)*((P3176)*(Q3176)-(R3176)*(R3176))-(S3176)*((U3176)*(Q3176)-(R3176)*(V3176))+(T3176)*((U3176)*(R3176)-(P3176)*(V3176)))/W3176,0)</f>
        <v/>
      </c>
      <c r="Y3176">
        <f>IF(ABS(W3176)&gt;1E-12,((LTP3!$D$5)*((U3176)*(Q3176)-(R3176)*(V3176))-(LTP3!$D$6)*((S3176)*(Q3176)-(R3176)*(T3176))+(T3176)*((S3176)*(V3176)-(U3176)*(T3176)))/W3176,0)</f>
        <v/>
      </c>
      <c r="Z3176">
        <f>IF(ABS(W3176)&gt;1E-12,((LTP3!$D$5)*((P3176)*(V3176)-(U3176)*(R3176))-(S3176)*((S3176)*(V3176)-(U3176)*(T3176))+(LTP3!$D$6)*((S3176)*(R3176)-(P3176)*(T3176)))/W3176,0)</f>
        <v/>
      </c>
      <c r="AA3176">
        <f>LTP3!$D$7-X3176*LTP3!$D$6-Y3176*U3176-Z3176*V3176</f>
        <v/>
      </c>
      <c r="AB3176">
        <f>IF(AND(F3176,ABS(W3176)&gt;1E-12,Y3176&gt;0,Z3176&gt;0),AA3176,1E+300)</f>
        <v/>
      </c>
    </row>
    <row r="3177">
      <c r="A3177">
        <f>$B$3+$B$5*51</f>
        <v/>
      </c>
      <c r="B3177">
        <f>$B$3+$B$5*54</f>
        <v/>
      </c>
      <c r="C3177">
        <f>SUMPRODUCT(Calc!$K$3:$K$22*(Calc!$G$3:$G$22&lt;=A3177))</f>
        <v/>
      </c>
      <c r="D3177">
        <f>SUMPRODUCT(Calc!$K$3:$K$22*(Calc!$G$3:$G$22&gt;A3177)*(Calc!$G$3:$G$22&lt;B3177))</f>
        <v/>
      </c>
      <c r="E3177">
        <f>SUMPRODUCT(Calc!$K$3:$K$22*(Calc!$G$3:$G$22&gt;=B3177))</f>
        <v/>
      </c>
      <c r="F3177">
        <f>AND(k_n&gt;=5,B3177&gt;A3177+1E-9,C3177&gt;=2,D3177&gt;=1,E3177&gt;=2)</f>
        <v/>
      </c>
      <c r="G3177">
        <f>SUMPRODUCT(Calc!$K$3:$K$22*(Calc!$G$3:$G$22&gt;A3177)*(Calc!$G$3:$G$22-A3177))</f>
        <v/>
      </c>
      <c r="H3177">
        <f>SUMPRODUCT(Calc!$K$3:$K$22*(Calc!$G$3:$G$22&gt;B3177)*(Calc!$G$3:$G$22-B3177))</f>
        <v/>
      </c>
      <c r="I3177">
        <f>SUMPRODUCT(Calc!$K$3:$K$22*(Calc!$G$3:$G$22&gt;A3177)*(Calc!$G$3:$G$22-A3177)^2)</f>
        <v/>
      </c>
      <c r="J3177">
        <f>SUMPRODUCT(Calc!$K$3:$K$22*(Calc!$G$3:$G$22&gt;B3177)*(Calc!$G$3:$G$22-B3177)^2)</f>
        <v/>
      </c>
      <c r="K3177">
        <f>SUMPRODUCT(Calc!$K$3:$K$22*(Calc!$G$3:$G$22&gt;A3177)*(Calc!$G$3:$G$22-A3177)*(Calc!$G$3:$G$22&gt;B3177)*(Calc!$G$3:$G$22-B3177))</f>
        <v/>
      </c>
      <c r="L3177">
        <f>SUMPRODUCT(Calc!$K$3:$K$22*(Calc!$G$3:$G$22&gt;A3177)*(Calc!$G$3:$G$22-A3177)*Calc!$G$3:$G$22)</f>
        <v/>
      </c>
      <c r="M3177">
        <f>SUMPRODUCT(Calc!$K$3:$K$22*(Calc!$G$3:$G$22&gt;B3177)*(Calc!$G$3:$G$22-B3177)*Calc!$G$3:$G$22)</f>
        <v/>
      </c>
      <c r="N3177">
        <f>SUMPRODUCT(Calc!$K$3:$K$22*(Calc!$G$3:$G$22&gt;A3177)*(Calc!$G$3:$G$22-A3177)*Calc!$I$3:$I$22)</f>
        <v/>
      </c>
      <c r="O3177">
        <f>SUMPRODUCT(Calc!$K$3:$K$22*(Calc!$G$3:$G$22&gt;B3177)*(Calc!$G$3:$G$22-B3177)*Calc!$I$3:$I$22)</f>
        <v/>
      </c>
      <c r="P3177">
        <f>I3177-G3177^2/k_n</f>
        <v/>
      </c>
      <c r="Q3177">
        <f>J3177-H3177^2/k_n</f>
        <v/>
      </c>
      <c r="R3177">
        <f>K3177-G3177*H3177/k_n</f>
        <v/>
      </c>
      <c r="S3177">
        <f>L3177-LTP3!$D$3*G3177/k_n</f>
        <v/>
      </c>
      <c r="T3177">
        <f>M3177-LTP3!$D$3*H3177/k_n</f>
        <v/>
      </c>
      <c r="U3177">
        <f>N3177-G3177*LTP3!$D$4/k_n</f>
        <v/>
      </c>
      <c r="V3177">
        <f>O3177-H3177*LTP3!$D$4/k_n</f>
        <v/>
      </c>
      <c r="W3177">
        <f>((LTP3!$D$5)*((P3177)*(Q3177)-(R3177)*(R3177))-(S3177)*((S3177)*(Q3177)-(R3177)*(T3177))+(T3177)*((S3177)*(R3177)-(P3177)*(T3177)))</f>
        <v/>
      </c>
      <c r="X3177">
        <f>IF(ABS(W3177)&gt;1E-12,((LTP3!$D$6)*((P3177)*(Q3177)-(R3177)*(R3177))-(S3177)*((U3177)*(Q3177)-(R3177)*(V3177))+(T3177)*((U3177)*(R3177)-(P3177)*(V3177)))/W3177,0)</f>
        <v/>
      </c>
      <c r="Y3177">
        <f>IF(ABS(W3177)&gt;1E-12,((LTP3!$D$5)*((U3177)*(Q3177)-(R3177)*(V3177))-(LTP3!$D$6)*((S3177)*(Q3177)-(R3177)*(T3177))+(T3177)*((S3177)*(V3177)-(U3177)*(T3177)))/W3177,0)</f>
        <v/>
      </c>
      <c r="Z3177">
        <f>IF(ABS(W3177)&gt;1E-12,((LTP3!$D$5)*((P3177)*(V3177)-(U3177)*(R3177))-(S3177)*((S3177)*(V3177)-(U3177)*(T3177))+(LTP3!$D$6)*((S3177)*(R3177)-(P3177)*(T3177)))/W3177,0)</f>
        <v/>
      </c>
      <c r="AA3177">
        <f>LTP3!$D$7-X3177*LTP3!$D$6-Y3177*U3177-Z3177*V3177</f>
        <v/>
      </c>
      <c r="AB3177">
        <f>IF(AND(F3177,ABS(W3177)&gt;1E-12,Y3177&gt;0,Z3177&gt;0),AA3177,1E+300)</f>
        <v/>
      </c>
    </row>
    <row r="3178">
      <c r="A3178">
        <f>$B$3+$B$5*51</f>
        <v/>
      </c>
      <c r="B3178">
        <f>$B$3+$B$5*55</f>
        <v/>
      </c>
      <c r="C3178">
        <f>SUMPRODUCT(Calc!$K$3:$K$22*(Calc!$G$3:$G$22&lt;=A3178))</f>
        <v/>
      </c>
      <c r="D3178">
        <f>SUMPRODUCT(Calc!$K$3:$K$22*(Calc!$G$3:$G$22&gt;A3178)*(Calc!$G$3:$G$22&lt;B3178))</f>
        <v/>
      </c>
      <c r="E3178">
        <f>SUMPRODUCT(Calc!$K$3:$K$22*(Calc!$G$3:$G$22&gt;=B3178))</f>
        <v/>
      </c>
      <c r="F3178">
        <f>AND(k_n&gt;=5,B3178&gt;A3178+1E-9,C3178&gt;=2,D3178&gt;=1,E3178&gt;=2)</f>
        <v/>
      </c>
      <c r="G3178">
        <f>SUMPRODUCT(Calc!$K$3:$K$22*(Calc!$G$3:$G$22&gt;A3178)*(Calc!$G$3:$G$22-A3178))</f>
        <v/>
      </c>
      <c r="H3178">
        <f>SUMPRODUCT(Calc!$K$3:$K$22*(Calc!$G$3:$G$22&gt;B3178)*(Calc!$G$3:$G$22-B3178))</f>
        <v/>
      </c>
      <c r="I3178">
        <f>SUMPRODUCT(Calc!$K$3:$K$22*(Calc!$G$3:$G$22&gt;A3178)*(Calc!$G$3:$G$22-A3178)^2)</f>
        <v/>
      </c>
      <c r="J3178">
        <f>SUMPRODUCT(Calc!$K$3:$K$22*(Calc!$G$3:$G$22&gt;B3178)*(Calc!$G$3:$G$22-B3178)^2)</f>
        <v/>
      </c>
      <c r="K3178">
        <f>SUMPRODUCT(Calc!$K$3:$K$22*(Calc!$G$3:$G$22&gt;A3178)*(Calc!$G$3:$G$22-A3178)*(Calc!$G$3:$G$22&gt;B3178)*(Calc!$G$3:$G$22-B3178))</f>
        <v/>
      </c>
      <c r="L3178">
        <f>SUMPRODUCT(Calc!$K$3:$K$22*(Calc!$G$3:$G$22&gt;A3178)*(Calc!$G$3:$G$22-A3178)*Calc!$G$3:$G$22)</f>
        <v/>
      </c>
      <c r="M3178">
        <f>SUMPRODUCT(Calc!$K$3:$K$22*(Calc!$G$3:$G$22&gt;B3178)*(Calc!$G$3:$G$22-B3178)*Calc!$G$3:$G$22)</f>
        <v/>
      </c>
      <c r="N3178">
        <f>SUMPRODUCT(Calc!$K$3:$K$22*(Calc!$G$3:$G$22&gt;A3178)*(Calc!$G$3:$G$22-A3178)*Calc!$I$3:$I$22)</f>
        <v/>
      </c>
      <c r="O3178">
        <f>SUMPRODUCT(Calc!$K$3:$K$22*(Calc!$G$3:$G$22&gt;B3178)*(Calc!$G$3:$G$22-B3178)*Calc!$I$3:$I$22)</f>
        <v/>
      </c>
      <c r="P3178">
        <f>I3178-G3178^2/k_n</f>
        <v/>
      </c>
      <c r="Q3178">
        <f>J3178-H3178^2/k_n</f>
        <v/>
      </c>
      <c r="R3178">
        <f>K3178-G3178*H3178/k_n</f>
        <v/>
      </c>
      <c r="S3178">
        <f>L3178-LTP3!$D$3*G3178/k_n</f>
        <v/>
      </c>
      <c r="T3178">
        <f>M3178-LTP3!$D$3*H3178/k_n</f>
        <v/>
      </c>
      <c r="U3178">
        <f>N3178-G3178*LTP3!$D$4/k_n</f>
        <v/>
      </c>
      <c r="V3178">
        <f>O3178-H3178*LTP3!$D$4/k_n</f>
        <v/>
      </c>
      <c r="W3178">
        <f>((LTP3!$D$5)*((P3178)*(Q3178)-(R3178)*(R3178))-(S3178)*((S3178)*(Q3178)-(R3178)*(T3178))+(T3178)*((S3178)*(R3178)-(P3178)*(T3178)))</f>
        <v/>
      </c>
      <c r="X3178">
        <f>IF(ABS(W3178)&gt;1E-12,((LTP3!$D$6)*((P3178)*(Q3178)-(R3178)*(R3178))-(S3178)*((U3178)*(Q3178)-(R3178)*(V3178))+(T3178)*((U3178)*(R3178)-(P3178)*(V3178)))/W3178,0)</f>
        <v/>
      </c>
      <c r="Y3178">
        <f>IF(ABS(W3178)&gt;1E-12,((LTP3!$D$5)*((U3178)*(Q3178)-(R3178)*(V3178))-(LTP3!$D$6)*((S3178)*(Q3178)-(R3178)*(T3178))+(T3178)*((S3178)*(V3178)-(U3178)*(T3178)))/W3178,0)</f>
        <v/>
      </c>
      <c r="Z3178">
        <f>IF(ABS(W3178)&gt;1E-12,((LTP3!$D$5)*((P3178)*(V3178)-(U3178)*(R3178))-(S3178)*((S3178)*(V3178)-(U3178)*(T3178))+(LTP3!$D$6)*((S3178)*(R3178)-(P3178)*(T3178)))/W3178,0)</f>
        <v/>
      </c>
      <c r="AA3178">
        <f>LTP3!$D$7-X3178*LTP3!$D$6-Y3178*U3178-Z3178*V3178</f>
        <v/>
      </c>
      <c r="AB3178">
        <f>IF(AND(F3178,ABS(W3178)&gt;1E-12,Y3178&gt;0,Z3178&gt;0),AA3178,1E+300)</f>
        <v/>
      </c>
    </row>
    <row r="3179">
      <c r="A3179">
        <f>$B$3+$B$5*51</f>
        <v/>
      </c>
      <c r="B3179">
        <f>$B$3+$B$5*56</f>
        <v/>
      </c>
      <c r="C3179">
        <f>SUMPRODUCT(Calc!$K$3:$K$22*(Calc!$G$3:$G$22&lt;=A3179))</f>
        <v/>
      </c>
      <c r="D3179">
        <f>SUMPRODUCT(Calc!$K$3:$K$22*(Calc!$G$3:$G$22&gt;A3179)*(Calc!$G$3:$G$22&lt;B3179))</f>
        <v/>
      </c>
      <c r="E3179">
        <f>SUMPRODUCT(Calc!$K$3:$K$22*(Calc!$G$3:$G$22&gt;=B3179))</f>
        <v/>
      </c>
      <c r="F3179">
        <f>AND(k_n&gt;=5,B3179&gt;A3179+1E-9,C3179&gt;=2,D3179&gt;=1,E3179&gt;=2)</f>
        <v/>
      </c>
      <c r="G3179">
        <f>SUMPRODUCT(Calc!$K$3:$K$22*(Calc!$G$3:$G$22&gt;A3179)*(Calc!$G$3:$G$22-A3179))</f>
        <v/>
      </c>
      <c r="H3179">
        <f>SUMPRODUCT(Calc!$K$3:$K$22*(Calc!$G$3:$G$22&gt;B3179)*(Calc!$G$3:$G$22-B3179))</f>
        <v/>
      </c>
      <c r="I3179">
        <f>SUMPRODUCT(Calc!$K$3:$K$22*(Calc!$G$3:$G$22&gt;A3179)*(Calc!$G$3:$G$22-A3179)^2)</f>
        <v/>
      </c>
      <c r="J3179">
        <f>SUMPRODUCT(Calc!$K$3:$K$22*(Calc!$G$3:$G$22&gt;B3179)*(Calc!$G$3:$G$22-B3179)^2)</f>
        <v/>
      </c>
      <c r="K3179">
        <f>SUMPRODUCT(Calc!$K$3:$K$22*(Calc!$G$3:$G$22&gt;A3179)*(Calc!$G$3:$G$22-A3179)*(Calc!$G$3:$G$22&gt;B3179)*(Calc!$G$3:$G$22-B3179))</f>
        <v/>
      </c>
      <c r="L3179">
        <f>SUMPRODUCT(Calc!$K$3:$K$22*(Calc!$G$3:$G$22&gt;A3179)*(Calc!$G$3:$G$22-A3179)*Calc!$G$3:$G$22)</f>
        <v/>
      </c>
      <c r="M3179">
        <f>SUMPRODUCT(Calc!$K$3:$K$22*(Calc!$G$3:$G$22&gt;B3179)*(Calc!$G$3:$G$22-B3179)*Calc!$G$3:$G$22)</f>
        <v/>
      </c>
      <c r="N3179">
        <f>SUMPRODUCT(Calc!$K$3:$K$22*(Calc!$G$3:$G$22&gt;A3179)*(Calc!$G$3:$G$22-A3179)*Calc!$I$3:$I$22)</f>
        <v/>
      </c>
      <c r="O3179">
        <f>SUMPRODUCT(Calc!$K$3:$K$22*(Calc!$G$3:$G$22&gt;B3179)*(Calc!$G$3:$G$22-B3179)*Calc!$I$3:$I$22)</f>
        <v/>
      </c>
      <c r="P3179">
        <f>I3179-G3179^2/k_n</f>
        <v/>
      </c>
      <c r="Q3179">
        <f>J3179-H3179^2/k_n</f>
        <v/>
      </c>
      <c r="R3179">
        <f>K3179-G3179*H3179/k_n</f>
        <v/>
      </c>
      <c r="S3179">
        <f>L3179-LTP3!$D$3*G3179/k_n</f>
        <v/>
      </c>
      <c r="T3179">
        <f>M3179-LTP3!$D$3*H3179/k_n</f>
        <v/>
      </c>
      <c r="U3179">
        <f>N3179-G3179*LTP3!$D$4/k_n</f>
        <v/>
      </c>
      <c r="V3179">
        <f>O3179-H3179*LTP3!$D$4/k_n</f>
        <v/>
      </c>
      <c r="W3179">
        <f>((LTP3!$D$5)*((P3179)*(Q3179)-(R3179)*(R3179))-(S3179)*((S3179)*(Q3179)-(R3179)*(T3179))+(T3179)*((S3179)*(R3179)-(P3179)*(T3179)))</f>
        <v/>
      </c>
      <c r="X3179">
        <f>IF(ABS(W3179)&gt;1E-12,((LTP3!$D$6)*((P3179)*(Q3179)-(R3179)*(R3179))-(S3179)*((U3179)*(Q3179)-(R3179)*(V3179))+(T3179)*((U3179)*(R3179)-(P3179)*(V3179)))/W3179,0)</f>
        <v/>
      </c>
      <c r="Y3179">
        <f>IF(ABS(W3179)&gt;1E-12,((LTP3!$D$5)*((U3179)*(Q3179)-(R3179)*(V3179))-(LTP3!$D$6)*((S3179)*(Q3179)-(R3179)*(T3179))+(T3179)*((S3179)*(V3179)-(U3179)*(T3179)))/W3179,0)</f>
        <v/>
      </c>
      <c r="Z3179">
        <f>IF(ABS(W3179)&gt;1E-12,((LTP3!$D$5)*((P3179)*(V3179)-(U3179)*(R3179))-(S3179)*((S3179)*(V3179)-(U3179)*(T3179))+(LTP3!$D$6)*((S3179)*(R3179)-(P3179)*(T3179)))/W3179,0)</f>
        <v/>
      </c>
      <c r="AA3179">
        <f>LTP3!$D$7-X3179*LTP3!$D$6-Y3179*U3179-Z3179*V3179</f>
        <v/>
      </c>
      <c r="AB3179">
        <f>IF(AND(F3179,ABS(W3179)&gt;1E-12,Y3179&gt;0,Z3179&gt;0),AA3179,1E+300)</f>
        <v/>
      </c>
    </row>
    <row r="3180">
      <c r="A3180">
        <f>$B$3+$B$5*51</f>
        <v/>
      </c>
      <c r="B3180">
        <f>$B$3+$B$5*57</f>
        <v/>
      </c>
      <c r="C3180">
        <f>SUMPRODUCT(Calc!$K$3:$K$22*(Calc!$G$3:$G$22&lt;=A3180))</f>
        <v/>
      </c>
      <c r="D3180">
        <f>SUMPRODUCT(Calc!$K$3:$K$22*(Calc!$G$3:$G$22&gt;A3180)*(Calc!$G$3:$G$22&lt;B3180))</f>
        <v/>
      </c>
      <c r="E3180">
        <f>SUMPRODUCT(Calc!$K$3:$K$22*(Calc!$G$3:$G$22&gt;=B3180))</f>
        <v/>
      </c>
      <c r="F3180">
        <f>AND(k_n&gt;=5,B3180&gt;A3180+1E-9,C3180&gt;=2,D3180&gt;=1,E3180&gt;=2)</f>
        <v/>
      </c>
      <c r="G3180">
        <f>SUMPRODUCT(Calc!$K$3:$K$22*(Calc!$G$3:$G$22&gt;A3180)*(Calc!$G$3:$G$22-A3180))</f>
        <v/>
      </c>
      <c r="H3180">
        <f>SUMPRODUCT(Calc!$K$3:$K$22*(Calc!$G$3:$G$22&gt;B3180)*(Calc!$G$3:$G$22-B3180))</f>
        <v/>
      </c>
      <c r="I3180">
        <f>SUMPRODUCT(Calc!$K$3:$K$22*(Calc!$G$3:$G$22&gt;A3180)*(Calc!$G$3:$G$22-A3180)^2)</f>
        <v/>
      </c>
      <c r="J3180">
        <f>SUMPRODUCT(Calc!$K$3:$K$22*(Calc!$G$3:$G$22&gt;B3180)*(Calc!$G$3:$G$22-B3180)^2)</f>
        <v/>
      </c>
      <c r="K3180">
        <f>SUMPRODUCT(Calc!$K$3:$K$22*(Calc!$G$3:$G$22&gt;A3180)*(Calc!$G$3:$G$22-A3180)*(Calc!$G$3:$G$22&gt;B3180)*(Calc!$G$3:$G$22-B3180))</f>
        <v/>
      </c>
      <c r="L3180">
        <f>SUMPRODUCT(Calc!$K$3:$K$22*(Calc!$G$3:$G$22&gt;A3180)*(Calc!$G$3:$G$22-A3180)*Calc!$G$3:$G$22)</f>
        <v/>
      </c>
      <c r="M3180">
        <f>SUMPRODUCT(Calc!$K$3:$K$22*(Calc!$G$3:$G$22&gt;B3180)*(Calc!$G$3:$G$22-B3180)*Calc!$G$3:$G$22)</f>
        <v/>
      </c>
      <c r="N3180">
        <f>SUMPRODUCT(Calc!$K$3:$K$22*(Calc!$G$3:$G$22&gt;A3180)*(Calc!$G$3:$G$22-A3180)*Calc!$I$3:$I$22)</f>
        <v/>
      </c>
      <c r="O3180">
        <f>SUMPRODUCT(Calc!$K$3:$K$22*(Calc!$G$3:$G$22&gt;B3180)*(Calc!$G$3:$G$22-B3180)*Calc!$I$3:$I$22)</f>
        <v/>
      </c>
      <c r="P3180">
        <f>I3180-G3180^2/k_n</f>
        <v/>
      </c>
      <c r="Q3180">
        <f>J3180-H3180^2/k_n</f>
        <v/>
      </c>
      <c r="R3180">
        <f>K3180-G3180*H3180/k_n</f>
        <v/>
      </c>
      <c r="S3180">
        <f>L3180-LTP3!$D$3*G3180/k_n</f>
        <v/>
      </c>
      <c r="T3180">
        <f>M3180-LTP3!$D$3*H3180/k_n</f>
        <v/>
      </c>
      <c r="U3180">
        <f>N3180-G3180*LTP3!$D$4/k_n</f>
        <v/>
      </c>
      <c r="V3180">
        <f>O3180-H3180*LTP3!$D$4/k_n</f>
        <v/>
      </c>
      <c r="W3180">
        <f>((LTP3!$D$5)*((P3180)*(Q3180)-(R3180)*(R3180))-(S3180)*((S3180)*(Q3180)-(R3180)*(T3180))+(T3180)*((S3180)*(R3180)-(P3180)*(T3180)))</f>
        <v/>
      </c>
      <c r="X3180">
        <f>IF(ABS(W3180)&gt;1E-12,((LTP3!$D$6)*((P3180)*(Q3180)-(R3180)*(R3180))-(S3180)*((U3180)*(Q3180)-(R3180)*(V3180))+(T3180)*((U3180)*(R3180)-(P3180)*(V3180)))/W3180,0)</f>
        <v/>
      </c>
      <c r="Y3180">
        <f>IF(ABS(W3180)&gt;1E-12,((LTP3!$D$5)*((U3180)*(Q3180)-(R3180)*(V3180))-(LTP3!$D$6)*((S3180)*(Q3180)-(R3180)*(T3180))+(T3180)*((S3180)*(V3180)-(U3180)*(T3180)))/W3180,0)</f>
        <v/>
      </c>
      <c r="Z3180">
        <f>IF(ABS(W3180)&gt;1E-12,((LTP3!$D$5)*((P3180)*(V3180)-(U3180)*(R3180))-(S3180)*((S3180)*(V3180)-(U3180)*(T3180))+(LTP3!$D$6)*((S3180)*(R3180)-(P3180)*(T3180)))/W3180,0)</f>
        <v/>
      </c>
      <c r="AA3180">
        <f>LTP3!$D$7-X3180*LTP3!$D$6-Y3180*U3180-Z3180*V3180</f>
        <v/>
      </c>
      <c r="AB3180">
        <f>IF(AND(F3180,ABS(W3180)&gt;1E-12,Y3180&gt;0,Z3180&gt;0),AA3180,1E+300)</f>
        <v/>
      </c>
    </row>
    <row r="3181">
      <c r="A3181">
        <f>$B$3+$B$5*51</f>
        <v/>
      </c>
      <c r="B3181">
        <f>$B$3+$B$5*58</f>
        <v/>
      </c>
      <c r="C3181">
        <f>SUMPRODUCT(Calc!$K$3:$K$22*(Calc!$G$3:$G$22&lt;=A3181))</f>
        <v/>
      </c>
      <c r="D3181">
        <f>SUMPRODUCT(Calc!$K$3:$K$22*(Calc!$G$3:$G$22&gt;A3181)*(Calc!$G$3:$G$22&lt;B3181))</f>
        <v/>
      </c>
      <c r="E3181">
        <f>SUMPRODUCT(Calc!$K$3:$K$22*(Calc!$G$3:$G$22&gt;=B3181))</f>
        <v/>
      </c>
      <c r="F3181">
        <f>AND(k_n&gt;=5,B3181&gt;A3181+1E-9,C3181&gt;=2,D3181&gt;=1,E3181&gt;=2)</f>
        <v/>
      </c>
      <c r="G3181">
        <f>SUMPRODUCT(Calc!$K$3:$K$22*(Calc!$G$3:$G$22&gt;A3181)*(Calc!$G$3:$G$22-A3181))</f>
        <v/>
      </c>
      <c r="H3181">
        <f>SUMPRODUCT(Calc!$K$3:$K$22*(Calc!$G$3:$G$22&gt;B3181)*(Calc!$G$3:$G$22-B3181))</f>
        <v/>
      </c>
      <c r="I3181">
        <f>SUMPRODUCT(Calc!$K$3:$K$22*(Calc!$G$3:$G$22&gt;A3181)*(Calc!$G$3:$G$22-A3181)^2)</f>
        <v/>
      </c>
      <c r="J3181">
        <f>SUMPRODUCT(Calc!$K$3:$K$22*(Calc!$G$3:$G$22&gt;B3181)*(Calc!$G$3:$G$22-B3181)^2)</f>
        <v/>
      </c>
      <c r="K3181">
        <f>SUMPRODUCT(Calc!$K$3:$K$22*(Calc!$G$3:$G$22&gt;A3181)*(Calc!$G$3:$G$22-A3181)*(Calc!$G$3:$G$22&gt;B3181)*(Calc!$G$3:$G$22-B3181))</f>
        <v/>
      </c>
      <c r="L3181">
        <f>SUMPRODUCT(Calc!$K$3:$K$22*(Calc!$G$3:$G$22&gt;A3181)*(Calc!$G$3:$G$22-A3181)*Calc!$G$3:$G$22)</f>
        <v/>
      </c>
      <c r="M3181">
        <f>SUMPRODUCT(Calc!$K$3:$K$22*(Calc!$G$3:$G$22&gt;B3181)*(Calc!$G$3:$G$22-B3181)*Calc!$G$3:$G$22)</f>
        <v/>
      </c>
      <c r="N3181">
        <f>SUMPRODUCT(Calc!$K$3:$K$22*(Calc!$G$3:$G$22&gt;A3181)*(Calc!$G$3:$G$22-A3181)*Calc!$I$3:$I$22)</f>
        <v/>
      </c>
      <c r="O3181">
        <f>SUMPRODUCT(Calc!$K$3:$K$22*(Calc!$G$3:$G$22&gt;B3181)*(Calc!$G$3:$G$22-B3181)*Calc!$I$3:$I$22)</f>
        <v/>
      </c>
      <c r="P3181">
        <f>I3181-G3181^2/k_n</f>
        <v/>
      </c>
      <c r="Q3181">
        <f>J3181-H3181^2/k_n</f>
        <v/>
      </c>
      <c r="R3181">
        <f>K3181-G3181*H3181/k_n</f>
        <v/>
      </c>
      <c r="S3181">
        <f>L3181-LTP3!$D$3*G3181/k_n</f>
        <v/>
      </c>
      <c r="T3181">
        <f>M3181-LTP3!$D$3*H3181/k_n</f>
        <v/>
      </c>
      <c r="U3181">
        <f>N3181-G3181*LTP3!$D$4/k_n</f>
        <v/>
      </c>
      <c r="V3181">
        <f>O3181-H3181*LTP3!$D$4/k_n</f>
        <v/>
      </c>
      <c r="W3181">
        <f>((LTP3!$D$5)*((P3181)*(Q3181)-(R3181)*(R3181))-(S3181)*((S3181)*(Q3181)-(R3181)*(T3181))+(T3181)*((S3181)*(R3181)-(P3181)*(T3181)))</f>
        <v/>
      </c>
      <c r="X3181">
        <f>IF(ABS(W3181)&gt;1E-12,((LTP3!$D$6)*((P3181)*(Q3181)-(R3181)*(R3181))-(S3181)*((U3181)*(Q3181)-(R3181)*(V3181))+(T3181)*((U3181)*(R3181)-(P3181)*(V3181)))/W3181,0)</f>
        <v/>
      </c>
      <c r="Y3181">
        <f>IF(ABS(W3181)&gt;1E-12,((LTP3!$D$5)*((U3181)*(Q3181)-(R3181)*(V3181))-(LTP3!$D$6)*((S3181)*(Q3181)-(R3181)*(T3181))+(T3181)*((S3181)*(V3181)-(U3181)*(T3181)))/W3181,0)</f>
        <v/>
      </c>
      <c r="Z3181">
        <f>IF(ABS(W3181)&gt;1E-12,((LTP3!$D$5)*((P3181)*(V3181)-(U3181)*(R3181))-(S3181)*((S3181)*(V3181)-(U3181)*(T3181))+(LTP3!$D$6)*((S3181)*(R3181)-(P3181)*(T3181)))/W3181,0)</f>
        <v/>
      </c>
      <c r="AA3181">
        <f>LTP3!$D$7-X3181*LTP3!$D$6-Y3181*U3181-Z3181*V3181</f>
        <v/>
      </c>
      <c r="AB3181">
        <f>IF(AND(F3181,ABS(W3181)&gt;1E-12,Y3181&gt;0,Z3181&gt;0),AA3181,1E+300)</f>
        <v/>
      </c>
    </row>
    <row r="3182">
      <c r="A3182">
        <f>$B$3+$B$5*51</f>
        <v/>
      </c>
      <c r="B3182">
        <f>$B$3+$B$5*59</f>
        <v/>
      </c>
      <c r="C3182">
        <f>SUMPRODUCT(Calc!$K$3:$K$22*(Calc!$G$3:$G$22&lt;=A3182))</f>
        <v/>
      </c>
      <c r="D3182">
        <f>SUMPRODUCT(Calc!$K$3:$K$22*(Calc!$G$3:$G$22&gt;A3182)*(Calc!$G$3:$G$22&lt;B3182))</f>
        <v/>
      </c>
      <c r="E3182">
        <f>SUMPRODUCT(Calc!$K$3:$K$22*(Calc!$G$3:$G$22&gt;=B3182))</f>
        <v/>
      </c>
      <c r="F3182">
        <f>AND(k_n&gt;=5,B3182&gt;A3182+1E-9,C3182&gt;=2,D3182&gt;=1,E3182&gt;=2)</f>
        <v/>
      </c>
      <c r="G3182">
        <f>SUMPRODUCT(Calc!$K$3:$K$22*(Calc!$G$3:$G$22&gt;A3182)*(Calc!$G$3:$G$22-A3182))</f>
        <v/>
      </c>
      <c r="H3182">
        <f>SUMPRODUCT(Calc!$K$3:$K$22*(Calc!$G$3:$G$22&gt;B3182)*(Calc!$G$3:$G$22-B3182))</f>
        <v/>
      </c>
      <c r="I3182">
        <f>SUMPRODUCT(Calc!$K$3:$K$22*(Calc!$G$3:$G$22&gt;A3182)*(Calc!$G$3:$G$22-A3182)^2)</f>
        <v/>
      </c>
      <c r="J3182">
        <f>SUMPRODUCT(Calc!$K$3:$K$22*(Calc!$G$3:$G$22&gt;B3182)*(Calc!$G$3:$G$22-B3182)^2)</f>
        <v/>
      </c>
      <c r="K3182">
        <f>SUMPRODUCT(Calc!$K$3:$K$22*(Calc!$G$3:$G$22&gt;A3182)*(Calc!$G$3:$G$22-A3182)*(Calc!$G$3:$G$22&gt;B3182)*(Calc!$G$3:$G$22-B3182))</f>
        <v/>
      </c>
      <c r="L3182">
        <f>SUMPRODUCT(Calc!$K$3:$K$22*(Calc!$G$3:$G$22&gt;A3182)*(Calc!$G$3:$G$22-A3182)*Calc!$G$3:$G$22)</f>
        <v/>
      </c>
      <c r="M3182">
        <f>SUMPRODUCT(Calc!$K$3:$K$22*(Calc!$G$3:$G$22&gt;B3182)*(Calc!$G$3:$G$22-B3182)*Calc!$G$3:$G$22)</f>
        <v/>
      </c>
      <c r="N3182">
        <f>SUMPRODUCT(Calc!$K$3:$K$22*(Calc!$G$3:$G$22&gt;A3182)*(Calc!$G$3:$G$22-A3182)*Calc!$I$3:$I$22)</f>
        <v/>
      </c>
      <c r="O3182">
        <f>SUMPRODUCT(Calc!$K$3:$K$22*(Calc!$G$3:$G$22&gt;B3182)*(Calc!$G$3:$G$22-B3182)*Calc!$I$3:$I$22)</f>
        <v/>
      </c>
      <c r="P3182">
        <f>I3182-G3182^2/k_n</f>
        <v/>
      </c>
      <c r="Q3182">
        <f>J3182-H3182^2/k_n</f>
        <v/>
      </c>
      <c r="R3182">
        <f>K3182-G3182*H3182/k_n</f>
        <v/>
      </c>
      <c r="S3182">
        <f>L3182-LTP3!$D$3*G3182/k_n</f>
        <v/>
      </c>
      <c r="T3182">
        <f>M3182-LTP3!$D$3*H3182/k_n</f>
        <v/>
      </c>
      <c r="U3182">
        <f>N3182-G3182*LTP3!$D$4/k_n</f>
        <v/>
      </c>
      <c r="V3182">
        <f>O3182-H3182*LTP3!$D$4/k_n</f>
        <v/>
      </c>
      <c r="W3182">
        <f>((LTP3!$D$5)*((P3182)*(Q3182)-(R3182)*(R3182))-(S3182)*((S3182)*(Q3182)-(R3182)*(T3182))+(T3182)*((S3182)*(R3182)-(P3182)*(T3182)))</f>
        <v/>
      </c>
      <c r="X3182">
        <f>IF(ABS(W3182)&gt;1E-12,((LTP3!$D$6)*((P3182)*(Q3182)-(R3182)*(R3182))-(S3182)*((U3182)*(Q3182)-(R3182)*(V3182))+(T3182)*((U3182)*(R3182)-(P3182)*(V3182)))/W3182,0)</f>
        <v/>
      </c>
      <c r="Y3182">
        <f>IF(ABS(W3182)&gt;1E-12,((LTP3!$D$5)*((U3182)*(Q3182)-(R3182)*(V3182))-(LTP3!$D$6)*((S3182)*(Q3182)-(R3182)*(T3182))+(T3182)*((S3182)*(V3182)-(U3182)*(T3182)))/W3182,0)</f>
        <v/>
      </c>
      <c r="Z3182">
        <f>IF(ABS(W3182)&gt;1E-12,((LTP3!$D$5)*((P3182)*(V3182)-(U3182)*(R3182))-(S3182)*((S3182)*(V3182)-(U3182)*(T3182))+(LTP3!$D$6)*((S3182)*(R3182)-(P3182)*(T3182)))/W3182,0)</f>
        <v/>
      </c>
      <c r="AA3182">
        <f>LTP3!$D$7-X3182*LTP3!$D$6-Y3182*U3182-Z3182*V3182</f>
        <v/>
      </c>
      <c r="AB3182">
        <f>IF(AND(F3182,ABS(W3182)&gt;1E-12,Y3182&gt;0,Z3182&gt;0),AA3182,1E+300)</f>
        <v/>
      </c>
    </row>
    <row r="3183">
      <c r="A3183">
        <f>$B$3+$B$5*51</f>
        <v/>
      </c>
      <c r="B3183">
        <f>$B$3+$B$5*60</f>
        <v/>
      </c>
      <c r="C3183">
        <f>SUMPRODUCT(Calc!$K$3:$K$22*(Calc!$G$3:$G$22&lt;=A3183))</f>
        <v/>
      </c>
      <c r="D3183">
        <f>SUMPRODUCT(Calc!$K$3:$K$22*(Calc!$G$3:$G$22&gt;A3183)*(Calc!$G$3:$G$22&lt;B3183))</f>
        <v/>
      </c>
      <c r="E3183">
        <f>SUMPRODUCT(Calc!$K$3:$K$22*(Calc!$G$3:$G$22&gt;=B3183))</f>
        <v/>
      </c>
      <c r="F3183">
        <f>AND(k_n&gt;=5,B3183&gt;A3183+1E-9,C3183&gt;=2,D3183&gt;=1,E3183&gt;=2)</f>
        <v/>
      </c>
      <c r="G3183">
        <f>SUMPRODUCT(Calc!$K$3:$K$22*(Calc!$G$3:$G$22&gt;A3183)*(Calc!$G$3:$G$22-A3183))</f>
        <v/>
      </c>
      <c r="H3183">
        <f>SUMPRODUCT(Calc!$K$3:$K$22*(Calc!$G$3:$G$22&gt;B3183)*(Calc!$G$3:$G$22-B3183))</f>
        <v/>
      </c>
      <c r="I3183">
        <f>SUMPRODUCT(Calc!$K$3:$K$22*(Calc!$G$3:$G$22&gt;A3183)*(Calc!$G$3:$G$22-A3183)^2)</f>
        <v/>
      </c>
      <c r="J3183">
        <f>SUMPRODUCT(Calc!$K$3:$K$22*(Calc!$G$3:$G$22&gt;B3183)*(Calc!$G$3:$G$22-B3183)^2)</f>
        <v/>
      </c>
      <c r="K3183">
        <f>SUMPRODUCT(Calc!$K$3:$K$22*(Calc!$G$3:$G$22&gt;A3183)*(Calc!$G$3:$G$22-A3183)*(Calc!$G$3:$G$22&gt;B3183)*(Calc!$G$3:$G$22-B3183))</f>
        <v/>
      </c>
      <c r="L3183">
        <f>SUMPRODUCT(Calc!$K$3:$K$22*(Calc!$G$3:$G$22&gt;A3183)*(Calc!$G$3:$G$22-A3183)*Calc!$G$3:$G$22)</f>
        <v/>
      </c>
      <c r="M3183">
        <f>SUMPRODUCT(Calc!$K$3:$K$22*(Calc!$G$3:$G$22&gt;B3183)*(Calc!$G$3:$G$22-B3183)*Calc!$G$3:$G$22)</f>
        <v/>
      </c>
      <c r="N3183">
        <f>SUMPRODUCT(Calc!$K$3:$K$22*(Calc!$G$3:$G$22&gt;A3183)*(Calc!$G$3:$G$22-A3183)*Calc!$I$3:$I$22)</f>
        <v/>
      </c>
      <c r="O3183">
        <f>SUMPRODUCT(Calc!$K$3:$K$22*(Calc!$G$3:$G$22&gt;B3183)*(Calc!$G$3:$G$22-B3183)*Calc!$I$3:$I$22)</f>
        <v/>
      </c>
      <c r="P3183">
        <f>I3183-G3183^2/k_n</f>
        <v/>
      </c>
      <c r="Q3183">
        <f>J3183-H3183^2/k_n</f>
        <v/>
      </c>
      <c r="R3183">
        <f>K3183-G3183*H3183/k_n</f>
        <v/>
      </c>
      <c r="S3183">
        <f>L3183-LTP3!$D$3*G3183/k_n</f>
        <v/>
      </c>
      <c r="T3183">
        <f>M3183-LTP3!$D$3*H3183/k_n</f>
        <v/>
      </c>
      <c r="U3183">
        <f>N3183-G3183*LTP3!$D$4/k_n</f>
        <v/>
      </c>
      <c r="V3183">
        <f>O3183-H3183*LTP3!$D$4/k_n</f>
        <v/>
      </c>
      <c r="W3183">
        <f>((LTP3!$D$5)*((P3183)*(Q3183)-(R3183)*(R3183))-(S3183)*((S3183)*(Q3183)-(R3183)*(T3183))+(T3183)*((S3183)*(R3183)-(P3183)*(T3183)))</f>
        <v/>
      </c>
      <c r="X3183">
        <f>IF(ABS(W3183)&gt;1E-12,((LTP3!$D$6)*((P3183)*(Q3183)-(R3183)*(R3183))-(S3183)*((U3183)*(Q3183)-(R3183)*(V3183))+(T3183)*((U3183)*(R3183)-(P3183)*(V3183)))/W3183,0)</f>
        <v/>
      </c>
      <c r="Y3183">
        <f>IF(ABS(W3183)&gt;1E-12,((LTP3!$D$5)*((U3183)*(Q3183)-(R3183)*(V3183))-(LTP3!$D$6)*((S3183)*(Q3183)-(R3183)*(T3183))+(T3183)*((S3183)*(V3183)-(U3183)*(T3183)))/W3183,0)</f>
        <v/>
      </c>
      <c r="Z3183">
        <f>IF(ABS(W3183)&gt;1E-12,((LTP3!$D$5)*((P3183)*(V3183)-(U3183)*(R3183))-(S3183)*((S3183)*(V3183)-(U3183)*(T3183))+(LTP3!$D$6)*((S3183)*(R3183)-(P3183)*(T3183)))/W3183,0)</f>
        <v/>
      </c>
      <c r="AA3183">
        <f>LTP3!$D$7-X3183*LTP3!$D$6-Y3183*U3183-Z3183*V3183</f>
        <v/>
      </c>
      <c r="AB3183">
        <f>IF(AND(F3183,ABS(W3183)&gt;1E-12,Y3183&gt;0,Z3183&gt;0),AA3183,1E+300)</f>
        <v/>
      </c>
    </row>
    <row r="3184">
      <c r="A3184">
        <f>$B$3+$B$5*52</f>
        <v/>
      </c>
      <c r="B3184">
        <f>$B$3+$B$5*0</f>
        <v/>
      </c>
      <c r="C3184">
        <f>SUMPRODUCT(Calc!$K$3:$K$22*(Calc!$G$3:$G$22&lt;=A3184))</f>
        <v/>
      </c>
      <c r="D3184">
        <f>SUMPRODUCT(Calc!$K$3:$K$22*(Calc!$G$3:$G$22&gt;A3184)*(Calc!$G$3:$G$22&lt;B3184))</f>
        <v/>
      </c>
      <c r="E3184">
        <f>SUMPRODUCT(Calc!$K$3:$K$22*(Calc!$G$3:$G$22&gt;=B3184))</f>
        <v/>
      </c>
      <c r="F3184">
        <f>AND(k_n&gt;=5,B3184&gt;A3184+1E-9,C3184&gt;=2,D3184&gt;=1,E3184&gt;=2)</f>
        <v/>
      </c>
      <c r="G3184">
        <f>SUMPRODUCT(Calc!$K$3:$K$22*(Calc!$G$3:$G$22&gt;A3184)*(Calc!$G$3:$G$22-A3184))</f>
        <v/>
      </c>
      <c r="H3184">
        <f>SUMPRODUCT(Calc!$K$3:$K$22*(Calc!$G$3:$G$22&gt;B3184)*(Calc!$G$3:$G$22-B3184))</f>
        <v/>
      </c>
      <c r="I3184">
        <f>SUMPRODUCT(Calc!$K$3:$K$22*(Calc!$G$3:$G$22&gt;A3184)*(Calc!$G$3:$G$22-A3184)^2)</f>
        <v/>
      </c>
      <c r="J3184">
        <f>SUMPRODUCT(Calc!$K$3:$K$22*(Calc!$G$3:$G$22&gt;B3184)*(Calc!$G$3:$G$22-B3184)^2)</f>
        <v/>
      </c>
      <c r="K3184">
        <f>SUMPRODUCT(Calc!$K$3:$K$22*(Calc!$G$3:$G$22&gt;A3184)*(Calc!$G$3:$G$22-A3184)*(Calc!$G$3:$G$22&gt;B3184)*(Calc!$G$3:$G$22-B3184))</f>
        <v/>
      </c>
      <c r="L3184">
        <f>SUMPRODUCT(Calc!$K$3:$K$22*(Calc!$G$3:$G$22&gt;A3184)*(Calc!$G$3:$G$22-A3184)*Calc!$G$3:$G$22)</f>
        <v/>
      </c>
      <c r="M3184">
        <f>SUMPRODUCT(Calc!$K$3:$K$22*(Calc!$G$3:$G$22&gt;B3184)*(Calc!$G$3:$G$22-B3184)*Calc!$G$3:$G$22)</f>
        <v/>
      </c>
      <c r="N3184">
        <f>SUMPRODUCT(Calc!$K$3:$K$22*(Calc!$G$3:$G$22&gt;A3184)*(Calc!$G$3:$G$22-A3184)*Calc!$I$3:$I$22)</f>
        <v/>
      </c>
      <c r="O3184">
        <f>SUMPRODUCT(Calc!$K$3:$K$22*(Calc!$G$3:$G$22&gt;B3184)*(Calc!$G$3:$G$22-B3184)*Calc!$I$3:$I$22)</f>
        <v/>
      </c>
      <c r="P3184">
        <f>I3184-G3184^2/k_n</f>
        <v/>
      </c>
      <c r="Q3184">
        <f>J3184-H3184^2/k_n</f>
        <v/>
      </c>
      <c r="R3184">
        <f>K3184-G3184*H3184/k_n</f>
        <v/>
      </c>
      <c r="S3184">
        <f>L3184-LTP3!$D$3*G3184/k_n</f>
        <v/>
      </c>
      <c r="T3184">
        <f>M3184-LTP3!$D$3*H3184/k_n</f>
        <v/>
      </c>
      <c r="U3184">
        <f>N3184-G3184*LTP3!$D$4/k_n</f>
        <v/>
      </c>
      <c r="V3184">
        <f>O3184-H3184*LTP3!$D$4/k_n</f>
        <v/>
      </c>
      <c r="W3184">
        <f>((LTP3!$D$5)*((P3184)*(Q3184)-(R3184)*(R3184))-(S3184)*((S3184)*(Q3184)-(R3184)*(T3184))+(T3184)*((S3184)*(R3184)-(P3184)*(T3184)))</f>
        <v/>
      </c>
      <c r="X3184">
        <f>IF(ABS(W3184)&gt;1E-12,((LTP3!$D$6)*((P3184)*(Q3184)-(R3184)*(R3184))-(S3184)*((U3184)*(Q3184)-(R3184)*(V3184))+(T3184)*((U3184)*(R3184)-(P3184)*(V3184)))/W3184,0)</f>
        <v/>
      </c>
      <c r="Y3184">
        <f>IF(ABS(W3184)&gt;1E-12,((LTP3!$D$5)*((U3184)*(Q3184)-(R3184)*(V3184))-(LTP3!$D$6)*((S3184)*(Q3184)-(R3184)*(T3184))+(T3184)*((S3184)*(V3184)-(U3184)*(T3184)))/W3184,0)</f>
        <v/>
      </c>
      <c r="Z3184">
        <f>IF(ABS(W3184)&gt;1E-12,((LTP3!$D$5)*((P3184)*(V3184)-(U3184)*(R3184))-(S3184)*((S3184)*(V3184)-(U3184)*(T3184))+(LTP3!$D$6)*((S3184)*(R3184)-(P3184)*(T3184)))/W3184,0)</f>
        <v/>
      </c>
      <c r="AA3184">
        <f>LTP3!$D$7-X3184*LTP3!$D$6-Y3184*U3184-Z3184*V3184</f>
        <v/>
      </c>
      <c r="AB3184">
        <f>IF(AND(F3184,ABS(W3184)&gt;1E-12,Y3184&gt;0,Z3184&gt;0),AA3184,1E+300)</f>
        <v/>
      </c>
    </row>
    <row r="3185">
      <c r="A3185">
        <f>$B$3+$B$5*52</f>
        <v/>
      </c>
      <c r="B3185">
        <f>$B$3+$B$5*1</f>
        <v/>
      </c>
      <c r="C3185">
        <f>SUMPRODUCT(Calc!$K$3:$K$22*(Calc!$G$3:$G$22&lt;=A3185))</f>
        <v/>
      </c>
      <c r="D3185">
        <f>SUMPRODUCT(Calc!$K$3:$K$22*(Calc!$G$3:$G$22&gt;A3185)*(Calc!$G$3:$G$22&lt;B3185))</f>
        <v/>
      </c>
      <c r="E3185">
        <f>SUMPRODUCT(Calc!$K$3:$K$22*(Calc!$G$3:$G$22&gt;=B3185))</f>
        <v/>
      </c>
      <c r="F3185">
        <f>AND(k_n&gt;=5,B3185&gt;A3185+1E-9,C3185&gt;=2,D3185&gt;=1,E3185&gt;=2)</f>
        <v/>
      </c>
      <c r="G3185">
        <f>SUMPRODUCT(Calc!$K$3:$K$22*(Calc!$G$3:$G$22&gt;A3185)*(Calc!$G$3:$G$22-A3185))</f>
        <v/>
      </c>
      <c r="H3185">
        <f>SUMPRODUCT(Calc!$K$3:$K$22*(Calc!$G$3:$G$22&gt;B3185)*(Calc!$G$3:$G$22-B3185))</f>
        <v/>
      </c>
      <c r="I3185">
        <f>SUMPRODUCT(Calc!$K$3:$K$22*(Calc!$G$3:$G$22&gt;A3185)*(Calc!$G$3:$G$22-A3185)^2)</f>
        <v/>
      </c>
      <c r="J3185">
        <f>SUMPRODUCT(Calc!$K$3:$K$22*(Calc!$G$3:$G$22&gt;B3185)*(Calc!$G$3:$G$22-B3185)^2)</f>
        <v/>
      </c>
      <c r="K3185">
        <f>SUMPRODUCT(Calc!$K$3:$K$22*(Calc!$G$3:$G$22&gt;A3185)*(Calc!$G$3:$G$22-A3185)*(Calc!$G$3:$G$22&gt;B3185)*(Calc!$G$3:$G$22-B3185))</f>
        <v/>
      </c>
      <c r="L3185">
        <f>SUMPRODUCT(Calc!$K$3:$K$22*(Calc!$G$3:$G$22&gt;A3185)*(Calc!$G$3:$G$22-A3185)*Calc!$G$3:$G$22)</f>
        <v/>
      </c>
      <c r="M3185">
        <f>SUMPRODUCT(Calc!$K$3:$K$22*(Calc!$G$3:$G$22&gt;B3185)*(Calc!$G$3:$G$22-B3185)*Calc!$G$3:$G$22)</f>
        <v/>
      </c>
      <c r="N3185">
        <f>SUMPRODUCT(Calc!$K$3:$K$22*(Calc!$G$3:$G$22&gt;A3185)*(Calc!$G$3:$G$22-A3185)*Calc!$I$3:$I$22)</f>
        <v/>
      </c>
      <c r="O3185">
        <f>SUMPRODUCT(Calc!$K$3:$K$22*(Calc!$G$3:$G$22&gt;B3185)*(Calc!$G$3:$G$22-B3185)*Calc!$I$3:$I$22)</f>
        <v/>
      </c>
      <c r="P3185">
        <f>I3185-G3185^2/k_n</f>
        <v/>
      </c>
      <c r="Q3185">
        <f>J3185-H3185^2/k_n</f>
        <v/>
      </c>
      <c r="R3185">
        <f>K3185-G3185*H3185/k_n</f>
        <v/>
      </c>
      <c r="S3185">
        <f>L3185-LTP3!$D$3*G3185/k_n</f>
        <v/>
      </c>
      <c r="T3185">
        <f>M3185-LTP3!$D$3*H3185/k_n</f>
        <v/>
      </c>
      <c r="U3185">
        <f>N3185-G3185*LTP3!$D$4/k_n</f>
        <v/>
      </c>
      <c r="V3185">
        <f>O3185-H3185*LTP3!$D$4/k_n</f>
        <v/>
      </c>
      <c r="W3185">
        <f>((LTP3!$D$5)*((P3185)*(Q3185)-(R3185)*(R3185))-(S3185)*((S3185)*(Q3185)-(R3185)*(T3185))+(T3185)*((S3185)*(R3185)-(P3185)*(T3185)))</f>
        <v/>
      </c>
      <c r="X3185">
        <f>IF(ABS(W3185)&gt;1E-12,((LTP3!$D$6)*((P3185)*(Q3185)-(R3185)*(R3185))-(S3185)*((U3185)*(Q3185)-(R3185)*(V3185))+(T3185)*((U3185)*(R3185)-(P3185)*(V3185)))/W3185,0)</f>
        <v/>
      </c>
      <c r="Y3185">
        <f>IF(ABS(W3185)&gt;1E-12,((LTP3!$D$5)*((U3185)*(Q3185)-(R3185)*(V3185))-(LTP3!$D$6)*((S3185)*(Q3185)-(R3185)*(T3185))+(T3185)*((S3185)*(V3185)-(U3185)*(T3185)))/W3185,0)</f>
        <v/>
      </c>
      <c r="Z3185">
        <f>IF(ABS(W3185)&gt;1E-12,((LTP3!$D$5)*((P3185)*(V3185)-(U3185)*(R3185))-(S3185)*((S3185)*(V3185)-(U3185)*(T3185))+(LTP3!$D$6)*((S3185)*(R3185)-(P3185)*(T3185)))/W3185,0)</f>
        <v/>
      </c>
      <c r="AA3185">
        <f>LTP3!$D$7-X3185*LTP3!$D$6-Y3185*U3185-Z3185*V3185</f>
        <v/>
      </c>
      <c r="AB3185">
        <f>IF(AND(F3185,ABS(W3185)&gt;1E-12,Y3185&gt;0,Z3185&gt;0),AA3185,1E+300)</f>
        <v/>
      </c>
    </row>
    <row r="3186">
      <c r="A3186">
        <f>$B$3+$B$5*52</f>
        <v/>
      </c>
      <c r="B3186">
        <f>$B$3+$B$5*2</f>
        <v/>
      </c>
      <c r="C3186">
        <f>SUMPRODUCT(Calc!$K$3:$K$22*(Calc!$G$3:$G$22&lt;=A3186))</f>
        <v/>
      </c>
      <c r="D3186">
        <f>SUMPRODUCT(Calc!$K$3:$K$22*(Calc!$G$3:$G$22&gt;A3186)*(Calc!$G$3:$G$22&lt;B3186))</f>
        <v/>
      </c>
      <c r="E3186">
        <f>SUMPRODUCT(Calc!$K$3:$K$22*(Calc!$G$3:$G$22&gt;=B3186))</f>
        <v/>
      </c>
      <c r="F3186">
        <f>AND(k_n&gt;=5,B3186&gt;A3186+1E-9,C3186&gt;=2,D3186&gt;=1,E3186&gt;=2)</f>
        <v/>
      </c>
      <c r="G3186">
        <f>SUMPRODUCT(Calc!$K$3:$K$22*(Calc!$G$3:$G$22&gt;A3186)*(Calc!$G$3:$G$22-A3186))</f>
        <v/>
      </c>
      <c r="H3186">
        <f>SUMPRODUCT(Calc!$K$3:$K$22*(Calc!$G$3:$G$22&gt;B3186)*(Calc!$G$3:$G$22-B3186))</f>
        <v/>
      </c>
      <c r="I3186">
        <f>SUMPRODUCT(Calc!$K$3:$K$22*(Calc!$G$3:$G$22&gt;A3186)*(Calc!$G$3:$G$22-A3186)^2)</f>
        <v/>
      </c>
      <c r="J3186">
        <f>SUMPRODUCT(Calc!$K$3:$K$22*(Calc!$G$3:$G$22&gt;B3186)*(Calc!$G$3:$G$22-B3186)^2)</f>
        <v/>
      </c>
      <c r="K3186">
        <f>SUMPRODUCT(Calc!$K$3:$K$22*(Calc!$G$3:$G$22&gt;A3186)*(Calc!$G$3:$G$22-A3186)*(Calc!$G$3:$G$22&gt;B3186)*(Calc!$G$3:$G$22-B3186))</f>
        <v/>
      </c>
      <c r="L3186">
        <f>SUMPRODUCT(Calc!$K$3:$K$22*(Calc!$G$3:$G$22&gt;A3186)*(Calc!$G$3:$G$22-A3186)*Calc!$G$3:$G$22)</f>
        <v/>
      </c>
      <c r="M3186">
        <f>SUMPRODUCT(Calc!$K$3:$K$22*(Calc!$G$3:$G$22&gt;B3186)*(Calc!$G$3:$G$22-B3186)*Calc!$G$3:$G$22)</f>
        <v/>
      </c>
      <c r="N3186">
        <f>SUMPRODUCT(Calc!$K$3:$K$22*(Calc!$G$3:$G$22&gt;A3186)*(Calc!$G$3:$G$22-A3186)*Calc!$I$3:$I$22)</f>
        <v/>
      </c>
      <c r="O3186">
        <f>SUMPRODUCT(Calc!$K$3:$K$22*(Calc!$G$3:$G$22&gt;B3186)*(Calc!$G$3:$G$22-B3186)*Calc!$I$3:$I$22)</f>
        <v/>
      </c>
      <c r="P3186">
        <f>I3186-G3186^2/k_n</f>
        <v/>
      </c>
      <c r="Q3186">
        <f>J3186-H3186^2/k_n</f>
        <v/>
      </c>
      <c r="R3186">
        <f>K3186-G3186*H3186/k_n</f>
        <v/>
      </c>
      <c r="S3186">
        <f>L3186-LTP3!$D$3*G3186/k_n</f>
        <v/>
      </c>
      <c r="T3186">
        <f>M3186-LTP3!$D$3*H3186/k_n</f>
        <v/>
      </c>
      <c r="U3186">
        <f>N3186-G3186*LTP3!$D$4/k_n</f>
        <v/>
      </c>
      <c r="V3186">
        <f>O3186-H3186*LTP3!$D$4/k_n</f>
        <v/>
      </c>
      <c r="W3186">
        <f>((LTP3!$D$5)*((P3186)*(Q3186)-(R3186)*(R3186))-(S3186)*((S3186)*(Q3186)-(R3186)*(T3186))+(T3186)*((S3186)*(R3186)-(P3186)*(T3186)))</f>
        <v/>
      </c>
      <c r="X3186">
        <f>IF(ABS(W3186)&gt;1E-12,((LTP3!$D$6)*((P3186)*(Q3186)-(R3186)*(R3186))-(S3186)*((U3186)*(Q3186)-(R3186)*(V3186))+(T3186)*((U3186)*(R3186)-(P3186)*(V3186)))/W3186,0)</f>
        <v/>
      </c>
      <c r="Y3186">
        <f>IF(ABS(W3186)&gt;1E-12,((LTP3!$D$5)*((U3186)*(Q3186)-(R3186)*(V3186))-(LTP3!$D$6)*((S3186)*(Q3186)-(R3186)*(T3186))+(T3186)*((S3186)*(V3186)-(U3186)*(T3186)))/W3186,0)</f>
        <v/>
      </c>
      <c r="Z3186">
        <f>IF(ABS(W3186)&gt;1E-12,((LTP3!$D$5)*((P3186)*(V3186)-(U3186)*(R3186))-(S3186)*((S3186)*(V3186)-(U3186)*(T3186))+(LTP3!$D$6)*((S3186)*(R3186)-(P3186)*(T3186)))/W3186,0)</f>
        <v/>
      </c>
      <c r="AA3186">
        <f>LTP3!$D$7-X3186*LTP3!$D$6-Y3186*U3186-Z3186*V3186</f>
        <v/>
      </c>
      <c r="AB3186">
        <f>IF(AND(F3186,ABS(W3186)&gt;1E-12,Y3186&gt;0,Z3186&gt;0),AA3186,1E+300)</f>
        <v/>
      </c>
    </row>
    <row r="3187">
      <c r="A3187">
        <f>$B$3+$B$5*52</f>
        <v/>
      </c>
      <c r="B3187">
        <f>$B$3+$B$5*3</f>
        <v/>
      </c>
      <c r="C3187">
        <f>SUMPRODUCT(Calc!$K$3:$K$22*(Calc!$G$3:$G$22&lt;=A3187))</f>
        <v/>
      </c>
      <c r="D3187">
        <f>SUMPRODUCT(Calc!$K$3:$K$22*(Calc!$G$3:$G$22&gt;A3187)*(Calc!$G$3:$G$22&lt;B3187))</f>
        <v/>
      </c>
      <c r="E3187">
        <f>SUMPRODUCT(Calc!$K$3:$K$22*(Calc!$G$3:$G$22&gt;=B3187))</f>
        <v/>
      </c>
      <c r="F3187">
        <f>AND(k_n&gt;=5,B3187&gt;A3187+1E-9,C3187&gt;=2,D3187&gt;=1,E3187&gt;=2)</f>
        <v/>
      </c>
      <c r="G3187">
        <f>SUMPRODUCT(Calc!$K$3:$K$22*(Calc!$G$3:$G$22&gt;A3187)*(Calc!$G$3:$G$22-A3187))</f>
        <v/>
      </c>
      <c r="H3187">
        <f>SUMPRODUCT(Calc!$K$3:$K$22*(Calc!$G$3:$G$22&gt;B3187)*(Calc!$G$3:$G$22-B3187))</f>
        <v/>
      </c>
      <c r="I3187">
        <f>SUMPRODUCT(Calc!$K$3:$K$22*(Calc!$G$3:$G$22&gt;A3187)*(Calc!$G$3:$G$22-A3187)^2)</f>
        <v/>
      </c>
      <c r="J3187">
        <f>SUMPRODUCT(Calc!$K$3:$K$22*(Calc!$G$3:$G$22&gt;B3187)*(Calc!$G$3:$G$22-B3187)^2)</f>
        <v/>
      </c>
      <c r="K3187">
        <f>SUMPRODUCT(Calc!$K$3:$K$22*(Calc!$G$3:$G$22&gt;A3187)*(Calc!$G$3:$G$22-A3187)*(Calc!$G$3:$G$22&gt;B3187)*(Calc!$G$3:$G$22-B3187))</f>
        <v/>
      </c>
      <c r="L3187">
        <f>SUMPRODUCT(Calc!$K$3:$K$22*(Calc!$G$3:$G$22&gt;A3187)*(Calc!$G$3:$G$22-A3187)*Calc!$G$3:$G$22)</f>
        <v/>
      </c>
      <c r="M3187">
        <f>SUMPRODUCT(Calc!$K$3:$K$22*(Calc!$G$3:$G$22&gt;B3187)*(Calc!$G$3:$G$22-B3187)*Calc!$G$3:$G$22)</f>
        <v/>
      </c>
      <c r="N3187">
        <f>SUMPRODUCT(Calc!$K$3:$K$22*(Calc!$G$3:$G$22&gt;A3187)*(Calc!$G$3:$G$22-A3187)*Calc!$I$3:$I$22)</f>
        <v/>
      </c>
      <c r="O3187">
        <f>SUMPRODUCT(Calc!$K$3:$K$22*(Calc!$G$3:$G$22&gt;B3187)*(Calc!$G$3:$G$22-B3187)*Calc!$I$3:$I$22)</f>
        <v/>
      </c>
      <c r="P3187">
        <f>I3187-G3187^2/k_n</f>
        <v/>
      </c>
      <c r="Q3187">
        <f>J3187-H3187^2/k_n</f>
        <v/>
      </c>
      <c r="R3187">
        <f>K3187-G3187*H3187/k_n</f>
        <v/>
      </c>
      <c r="S3187">
        <f>L3187-LTP3!$D$3*G3187/k_n</f>
        <v/>
      </c>
      <c r="T3187">
        <f>M3187-LTP3!$D$3*H3187/k_n</f>
        <v/>
      </c>
      <c r="U3187">
        <f>N3187-G3187*LTP3!$D$4/k_n</f>
        <v/>
      </c>
      <c r="V3187">
        <f>O3187-H3187*LTP3!$D$4/k_n</f>
        <v/>
      </c>
      <c r="W3187">
        <f>((LTP3!$D$5)*((P3187)*(Q3187)-(R3187)*(R3187))-(S3187)*((S3187)*(Q3187)-(R3187)*(T3187))+(T3187)*((S3187)*(R3187)-(P3187)*(T3187)))</f>
        <v/>
      </c>
      <c r="X3187">
        <f>IF(ABS(W3187)&gt;1E-12,((LTP3!$D$6)*((P3187)*(Q3187)-(R3187)*(R3187))-(S3187)*((U3187)*(Q3187)-(R3187)*(V3187))+(T3187)*((U3187)*(R3187)-(P3187)*(V3187)))/W3187,0)</f>
        <v/>
      </c>
      <c r="Y3187">
        <f>IF(ABS(W3187)&gt;1E-12,((LTP3!$D$5)*((U3187)*(Q3187)-(R3187)*(V3187))-(LTP3!$D$6)*((S3187)*(Q3187)-(R3187)*(T3187))+(T3187)*((S3187)*(V3187)-(U3187)*(T3187)))/W3187,0)</f>
        <v/>
      </c>
      <c r="Z3187">
        <f>IF(ABS(W3187)&gt;1E-12,((LTP3!$D$5)*((P3187)*(V3187)-(U3187)*(R3187))-(S3187)*((S3187)*(V3187)-(U3187)*(T3187))+(LTP3!$D$6)*((S3187)*(R3187)-(P3187)*(T3187)))/W3187,0)</f>
        <v/>
      </c>
      <c r="AA3187">
        <f>LTP3!$D$7-X3187*LTP3!$D$6-Y3187*U3187-Z3187*V3187</f>
        <v/>
      </c>
      <c r="AB3187">
        <f>IF(AND(F3187,ABS(W3187)&gt;1E-12,Y3187&gt;0,Z3187&gt;0),AA3187,1E+300)</f>
        <v/>
      </c>
    </row>
    <row r="3188">
      <c r="A3188">
        <f>$B$3+$B$5*52</f>
        <v/>
      </c>
      <c r="B3188">
        <f>$B$3+$B$5*4</f>
        <v/>
      </c>
      <c r="C3188">
        <f>SUMPRODUCT(Calc!$K$3:$K$22*(Calc!$G$3:$G$22&lt;=A3188))</f>
        <v/>
      </c>
      <c r="D3188">
        <f>SUMPRODUCT(Calc!$K$3:$K$22*(Calc!$G$3:$G$22&gt;A3188)*(Calc!$G$3:$G$22&lt;B3188))</f>
        <v/>
      </c>
      <c r="E3188">
        <f>SUMPRODUCT(Calc!$K$3:$K$22*(Calc!$G$3:$G$22&gt;=B3188))</f>
        <v/>
      </c>
      <c r="F3188">
        <f>AND(k_n&gt;=5,B3188&gt;A3188+1E-9,C3188&gt;=2,D3188&gt;=1,E3188&gt;=2)</f>
        <v/>
      </c>
      <c r="G3188">
        <f>SUMPRODUCT(Calc!$K$3:$K$22*(Calc!$G$3:$G$22&gt;A3188)*(Calc!$G$3:$G$22-A3188))</f>
        <v/>
      </c>
      <c r="H3188">
        <f>SUMPRODUCT(Calc!$K$3:$K$22*(Calc!$G$3:$G$22&gt;B3188)*(Calc!$G$3:$G$22-B3188))</f>
        <v/>
      </c>
      <c r="I3188">
        <f>SUMPRODUCT(Calc!$K$3:$K$22*(Calc!$G$3:$G$22&gt;A3188)*(Calc!$G$3:$G$22-A3188)^2)</f>
        <v/>
      </c>
      <c r="J3188">
        <f>SUMPRODUCT(Calc!$K$3:$K$22*(Calc!$G$3:$G$22&gt;B3188)*(Calc!$G$3:$G$22-B3188)^2)</f>
        <v/>
      </c>
      <c r="K3188">
        <f>SUMPRODUCT(Calc!$K$3:$K$22*(Calc!$G$3:$G$22&gt;A3188)*(Calc!$G$3:$G$22-A3188)*(Calc!$G$3:$G$22&gt;B3188)*(Calc!$G$3:$G$22-B3188))</f>
        <v/>
      </c>
      <c r="L3188">
        <f>SUMPRODUCT(Calc!$K$3:$K$22*(Calc!$G$3:$G$22&gt;A3188)*(Calc!$G$3:$G$22-A3188)*Calc!$G$3:$G$22)</f>
        <v/>
      </c>
      <c r="M3188">
        <f>SUMPRODUCT(Calc!$K$3:$K$22*(Calc!$G$3:$G$22&gt;B3188)*(Calc!$G$3:$G$22-B3188)*Calc!$G$3:$G$22)</f>
        <v/>
      </c>
      <c r="N3188">
        <f>SUMPRODUCT(Calc!$K$3:$K$22*(Calc!$G$3:$G$22&gt;A3188)*(Calc!$G$3:$G$22-A3188)*Calc!$I$3:$I$22)</f>
        <v/>
      </c>
      <c r="O3188">
        <f>SUMPRODUCT(Calc!$K$3:$K$22*(Calc!$G$3:$G$22&gt;B3188)*(Calc!$G$3:$G$22-B3188)*Calc!$I$3:$I$22)</f>
        <v/>
      </c>
      <c r="P3188">
        <f>I3188-G3188^2/k_n</f>
        <v/>
      </c>
      <c r="Q3188">
        <f>J3188-H3188^2/k_n</f>
        <v/>
      </c>
      <c r="R3188">
        <f>K3188-G3188*H3188/k_n</f>
        <v/>
      </c>
      <c r="S3188">
        <f>L3188-LTP3!$D$3*G3188/k_n</f>
        <v/>
      </c>
      <c r="T3188">
        <f>M3188-LTP3!$D$3*H3188/k_n</f>
        <v/>
      </c>
      <c r="U3188">
        <f>N3188-G3188*LTP3!$D$4/k_n</f>
        <v/>
      </c>
      <c r="V3188">
        <f>O3188-H3188*LTP3!$D$4/k_n</f>
        <v/>
      </c>
      <c r="W3188">
        <f>((LTP3!$D$5)*((P3188)*(Q3188)-(R3188)*(R3188))-(S3188)*((S3188)*(Q3188)-(R3188)*(T3188))+(T3188)*((S3188)*(R3188)-(P3188)*(T3188)))</f>
        <v/>
      </c>
      <c r="X3188">
        <f>IF(ABS(W3188)&gt;1E-12,((LTP3!$D$6)*((P3188)*(Q3188)-(R3188)*(R3188))-(S3188)*((U3188)*(Q3188)-(R3188)*(V3188))+(T3188)*((U3188)*(R3188)-(P3188)*(V3188)))/W3188,0)</f>
        <v/>
      </c>
      <c r="Y3188">
        <f>IF(ABS(W3188)&gt;1E-12,((LTP3!$D$5)*((U3188)*(Q3188)-(R3188)*(V3188))-(LTP3!$D$6)*((S3188)*(Q3188)-(R3188)*(T3188))+(T3188)*((S3188)*(V3188)-(U3188)*(T3188)))/W3188,0)</f>
        <v/>
      </c>
      <c r="Z3188">
        <f>IF(ABS(W3188)&gt;1E-12,((LTP3!$D$5)*((P3188)*(V3188)-(U3188)*(R3188))-(S3188)*((S3188)*(V3188)-(U3188)*(T3188))+(LTP3!$D$6)*((S3188)*(R3188)-(P3188)*(T3188)))/W3188,0)</f>
        <v/>
      </c>
      <c r="AA3188">
        <f>LTP3!$D$7-X3188*LTP3!$D$6-Y3188*U3188-Z3188*V3188</f>
        <v/>
      </c>
      <c r="AB3188">
        <f>IF(AND(F3188,ABS(W3188)&gt;1E-12,Y3188&gt;0,Z3188&gt;0),AA3188,1E+300)</f>
        <v/>
      </c>
    </row>
    <row r="3189">
      <c r="A3189">
        <f>$B$3+$B$5*52</f>
        <v/>
      </c>
      <c r="B3189">
        <f>$B$3+$B$5*5</f>
        <v/>
      </c>
      <c r="C3189">
        <f>SUMPRODUCT(Calc!$K$3:$K$22*(Calc!$G$3:$G$22&lt;=A3189))</f>
        <v/>
      </c>
      <c r="D3189">
        <f>SUMPRODUCT(Calc!$K$3:$K$22*(Calc!$G$3:$G$22&gt;A3189)*(Calc!$G$3:$G$22&lt;B3189))</f>
        <v/>
      </c>
      <c r="E3189">
        <f>SUMPRODUCT(Calc!$K$3:$K$22*(Calc!$G$3:$G$22&gt;=B3189))</f>
        <v/>
      </c>
      <c r="F3189">
        <f>AND(k_n&gt;=5,B3189&gt;A3189+1E-9,C3189&gt;=2,D3189&gt;=1,E3189&gt;=2)</f>
        <v/>
      </c>
      <c r="G3189">
        <f>SUMPRODUCT(Calc!$K$3:$K$22*(Calc!$G$3:$G$22&gt;A3189)*(Calc!$G$3:$G$22-A3189))</f>
        <v/>
      </c>
      <c r="H3189">
        <f>SUMPRODUCT(Calc!$K$3:$K$22*(Calc!$G$3:$G$22&gt;B3189)*(Calc!$G$3:$G$22-B3189))</f>
        <v/>
      </c>
      <c r="I3189">
        <f>SUMPRODUCT(Calc!$K$3:$K$22*(Calc!$G$3:$G$22&gt;A3189)*(Calc!$G$3:$G$22-A3189)^2)</f>
        <v/>
      </c>
      <c r="J3189">
        <f>SUMPRODUCT(Calc!$K$3:$K$22*(Calc!$G$3:$G$22&gt;B3189)*(Calc!$G$3:$G$22-B3189)^2)</f>
        <v/>
      </c>
      <c r="K3189">
        <f>SUMPRODUCT(Calc!$K$3:$K$22*(Calc!$G$3:$G$22&gt;A3189)*(Calc!$G$3:$G$22-A3189)*(Calc!$G$3:$G$22&gt;B3189)*(Calc!$G$3:$G$22-B3189))</f>
        <v/>
      </c>
      <c r="L3189">
        <f>SUMPRODUCT(Calc!$K$3:$K$22*(Calc!$G$3:$G$22&gt;A3189)*(Calc!$G$3:$G$22-A3189)*Calc!$G$3:$G$22)</f>
        <v/>
      </c>
      <c r="M3189">
        <f>SUMPRODUCT(Calc!$K$3:$K$22*(Calc!$G$3:$G$22&gt;B3189)*(Calc!$G$3:$G$22-B3189)*Calc!$G$3:$G$22)</f>
        <v/>
      </c>
      <c r="N3189">
        <f>SUMPRODUCT(Calc!$K$3:$K$22*(Calc!$G$3:$G$22&gt;A3189)*(Calc!$G$3:$G$22-A3189)*Calc!$I$3:$I$22)</f>
        <v/>
      </c>
      <c r="O3189">
        <f>SUMPRODUCT(Calc!$K$3:$K$22*(Calc!$G$3:$G$22&gt;B3189)*(Calc!$G$3:$G$22-B3189)*Calc!$I$3:$I$22)</f>
        <v/>
      </c>
      <c r="P3189">
        <f>I3189-G3189^2/k_n</f>
        <v/>
      </c>
      <c r="Q3189">
        <f>J3189-H3189^2/k_n</f>
        <v/>
      </c>
      <c r="R3189">
        <f>K3189-G3189*H3189/k_n</f>
        <v/>
      </c>
      <c r="S3189">
        <f>L3189-LTP3!$D$3*G3189/k_n</f>
        <v/>
      </c>
      <c r="T3189">
        <f>M3189-LTP3!$D$3*H3189/k_n</f>
        <v/>
      </c>
      <c r="U3189">
        <f>N3189-G3189*LTP3!$D$4/k_n</f>
        <v/>
      </c>
      <c r="V3189">
        <f>O3189-H3189*LTP3!$D$4/k_n</f>
        <v/>
      </c>
      <c r="W3189">
        <f>((LTP3!$D$5)*((P3189)*(Q3189)-(R3189)*(R3189))-(S3189)*((S3189)*(Q3189)-(R3189)*(T3189))+(T3189)*((S3189)*(R3189)-(P3189)*(T3189)))</f>
        <v/>
      </c>
      <c r="X3189">
        <f>IF(ABS(W3189)&gt;1E-12,((LTP3!$D$6)*((P3189)*(Q3189)-(R3189)*(R3189))-(S3189)*((U3189)*(Q3189)-(R3189)*(V3189))+(T3189)*((U3189)*(R3189)-(P3189)*(V3189)))/W3189,0)</f>
        <v/>
      </c>
      <c r="Y3189">
        <f>IF(ABS(W3189)&gt;1E-12,((LTP3!$D$5)*((U3189)*(Q3189)-(R3189)*(V3189))-(LTP3!$D$6)*((S3189)*(Q3189)-(R3189)*(T3189))+(T3189)*((S3189)*(V3189)-(U3189)*(T3189)))/W3189,0)</f>
        <v/>
      </c>
      <c r="Z3189">
        <f>IF(ABS(W3189)&gt;1E-12,((LTP3!$D$5)*((P3189)*(V3189)-(U3189)*(R3189))-(S3189)*((S3189)*(V3189)-(U3189)*(T3189))+(LTP3!$D$6)*((S3189)*(R3189)-(P3189)*(T3189)))/W3189,0)</f>
        <v/>
      </c>
      <c r="AA3189">
        <f>LTP3!$D$7-X3189*LTP3!$D$6-Y3189*U3189-Z3189*V3189</f>
        <v/>
      </c>
      <c r="AB3189">
        <f>IF(AND(F3189,ABS(W3189)&gt;1E-12,Y3189&gt;0,Z3189&gt;0),AA3189,1E+300)</f>
        <v/>
      </c>
    </row>
    <row r="3190">
      <c r="A3190">
        <f>$B$3+$B$5*52</f>
        <v/>
      </c>
      <c r="B3190">
        <f>$B$3+$B$5*6</f>
        <v/>
      </c>
      <c r="C3190">
        <f>SUMPRODUCT(Calc!$K$3:$K$22*(Calc!$G$3:$G$22&lt;=A3190))</f>
        <v/>
      </c>
      <c r="D3190">
        <f>SUMPRODUCT(Calc!$K$3:$K$22*(Calc!$G$3:$G$22&gt;A3190)*(Calc!$G$3:$G$22&lt;B3190))</f>
        <v/>
      </c>
      <c r="E3190">
        <f>SUMPRODUCT(Calc!$K$3:$K$22*(Calc!$G$3:$G$22&gt;=B3190))</f>
        <v/>
      </c>
      <c r="F3190">
        <f>AND(k_n&gt;=5,B3190&gt;A3190+1E-9,C3190&gt;=2,D3190&gt;=1,E3190&gt;=2)</f>
        <v/>
      </c>
      <c r="G3190">
        <f>SUMPRODUCT(Calc!$K$3:$K$22*(Calc!$G$3:$G$22&gt;A3190)*(Calc!$G$3:$G$22-A3190))</f>
        <v/>
      </c>
      <c r="H3190">
        <f>SUMPRODUCT(Calc!$K$3:$K$22*(Calc!$G$3:$G$22&gt;B3190)*(Calc!$G$3:$G$22-B3190))</f>
        <v/>
      </c>
      <c r="I3190">
        <f>SUMPRODUCT(Calc!$K$3:$K$22*(Calc!$G$3:$G$22&gt;A3190)*(Calc!$G$3:$G$22-A3190)^2)</f>
        <v/>
      </c>
      <c r="J3190">
        <f>SUMPRODUCT(Calc!$K$3:$K$22*(Calc!$G$3:$G$22&gt;B3190)*(Calc!$G$3:$G$22-B3190)^2)</f>
        <v/>
      </c>
      <c r="K3190">
        <f>SUMPRODUCT(Calc!$K$3:$K$22*(Calc!$G$3:$G$22&gt;A3190)*(Calc!$G$3:$G$22-A3190)*(Calc!$G$3:$G$22&gt;B3190)*(Calc!$G$3:$G$22-B3190))</f>
        <v/>
      </c>
      <c r="L3190">
        <f>SUMPRODUCT(Calc!$K$3:$K$22*(Calc!$G$3:$G$22&gt;A3190)*(Calc!$G$3:$G$22-A3190)*Calc!$G$3:$G$22)</f>
        <v/>
      </c>
      <c r="M3190">
        <f>SUMPRODUCT(Calc!$K$3:$K$22*(Calc!$G$3:$G$22&gt;B3190)*(Calc!$G$3:$G$22-B3190)*Calc!$G$3:$G$22)</f>
        <v/>
      </c>
      <c r="N3190">
        <f>SUMPRODUCT(Calc!$K$3:$K$22*(Calc!$G$3:$G$22&gt;A3190)*(Calc!$G$3:$G$22-A3190)*Calc!$I$3:$I$22)</f>
        <v/>
      </c>
      <c r="O3190">
        <f>SUMPRODUCT(Calc!$K$3:$K$22*(Calc!$G$3:$G$22&gt;B3190)*(Calc!$G$3:$G$22-B3190)*Calc!$I$3:$I$22)</f>
        <v/>
      </c>
      <c r="P3190">
        <f>I3190-G3190^2/k_n</f>
        <v/>
      </c>
      <c r="Q3190">
        <f>J3190-H3190^2/k_n</f>
        <v/>
      </c>
      <c r="R3190">
        <f>K3190-G3190*H3190/k_n</f>
        <v/>
      </c>
      <c r="S3190">
        <f>L3190-LTP3!$D$3*G3190/k_n</f>
        <v/>
      </c>
      <c r="T3190">
        <f>M3190-LTP3!$D$3*H3190/k_n</f>
        <v/>
      </c>
      <c r="U3190">
        <f>N3190-G3190*LTP3!$D$4/k_n</f>
        <v/>
      </c>
      <c r="V3190">
        <f>O3190-H3190*LTP3!$D$4/k_n</f>
        <v/>
      </c>
      <c r="W3190">
        <f>((LTP3!$D$5)*((P3190)*(Q3190)-(R3190)*(R3190))-(S3190)*((S3190)*(Q3190)-(R3190)*(T3190))+(T3190)*((S3190)*(R3190)-(P3190)*(T3190)))</f>
        <v/>
      </c>
      <c r="X3190">
        <f>IF(ABS(W3190)&gt;1E-12,((LTP3!$D$6)*((P3190)*(Q3190)-(R3190)*(R3190))-(S3190)*((U3190)*(Q3190)-(R3190)*(V3190))+(T3190)*((U3190)*(R3190)-(P3190)*(V3190)))/W3190,0)</f>
        <v/>
      </c>
      <c r="Y3190">
        <f>IF(ABS(W3190)&gt;1E-12,((LTP3!$D$5)*((U3190)*(Q3190)-(R3190)*(V3190))-(LTP3!$D$6)*((S3190)*(Q3190)-(R3190)*(T3190))+(T3190)*((S3190)*(V3190)-(U3190)*(T3190)))/W3190,0)</f>
        <v/>
      </c>
      <c r="Z3190">
        <f>IF(ABS(W3190)&gt;1E-12,((LTP3!$D$5)*((P3190)*(V3190)-(U3190)*(R3190))-(S3190)*((S3190)*(V3190)-(U3190)*(T3190))+(LTP3!$D$6)*((S3190)*(R3190)-(P3190)*(T3190)))/W3190,0)</f>
        <v/>
      </c>
      <c r="AA3190">
        <f>LTP3!$D$7-X3190*LTP3!$D$6-Y3190*U3190-Z3190*V3190</f>
        <v/>
      </c>
      <c r="AB3190">
        <f>IF(AND(F3190,ABS(W3190)&gt;1E-12,Y3190&gt;0,Z3190&gt;0),AA3190,1E+300)</f>
        <v/>
      </c>
    </row>
    <row r="3191">
      <c r="A3191">
        <f>$B$3+$B$5*52</f>
        <v/>
      </c>
      <c r="B3191">
        <f>$B$3+$B$5*7</f>
        <v/>
      </c>
      <c r="C3191">
        <f>SUMPRODUCT(Calc!$K$3:$K$22*(Calc!$G$3:$G$22&lt;=A3191))</f>
        <v/>
      </c>
      <c r="D3191">
        <f>SUMPRODUCT(Calc!$K$3:$K$22*(Calc!$G$3:$G$22&gt;A3191)*(Calc!$G$3:$G$22&lt;B3191))</f>
        <v/>
      </c>
      <c r="E3191">
        <f>SUMPRODUCT(Calc!$K$3:$K$22*(Calc!$G$3:$G$22&gt;=B3191))</f>
        <v/>
      </c>
      <c r="F3191">
        <f>AND(k_n&gt;=5,B3191&gt;A3191+1E-9,C3191&gt;=2,D3191&gt;=1,E3191&gt;=2)</f>
        <v/>
      </c>
      <c r="G3191">
        <f>SUMPRODUCT(Calc!$K$3:$K$22*(Calc!$G$3:$G$22&gt;A3191)*(Calc!$G$3:$G$22-A3191))</f>
        <v/>
      </c>
      <c r="H3191">
        <f>SUMPRODUCT(Calc!$K$3:$K$22*(Calc!$G$3:$G$22&gt;B3191)*(Calc!$G$3:$G$22-B3191))</f>
        <v/>
      </c>
      <c r="I3191">
        <f>SUMPRODUCT(Calc!$K$3:$K$22*(Calc!$G$3:$G$22&gt;A3191)*(Calc!$G$3:$G$22-A3191)^2)</f>
        <v/>
      </c>
      <c r="J3191">
        <f>SUMPRODUCT(Calc!$K$3:$K$22*(Calc!$G$3:$G$22&gt;B3191)*(Calc!$G$3:$G$22-B3191)^2)</f>
        <v/>
      </c>
      <c r="K3191">
        <f>SUMPRODUCT(Calc!$K$3:$K$22*(Calc!$G$3:$G$22&gt;A3191)*(Calc!$G$3:$G$22-A3191)*(Calc!$G$3:$G$22&gt;B3191)*(Calc!$G$3:$G$22-B3191))</f>
        <v/>
      </c>
      <c r="L3191">
        <f>SUMPRODUCT(Calc!$K$3:$K$22*(Calc!$G$3:$G$22&gt;A3191)*(Calc!$G$3:$G$22-A3191)*Calc!$G$3:$G$22)</f>
        <v/>
      </c>
      <c r="M3191">
        <f>SUMPRODUCT(Calc!$K$3:$K$22*(Calc!$G$3:$G$22&gt;B3191)*(Calc!$G$3:$G$22-B3191)*Calc!$G$3:$G$22)</f>
        <v/>
      </c>
      <c r="N3191">
        <f>SUMPRODUCT(Calc!$K$3:$K$22*(Calc!$G$3:$G$22&gt;A3191)*(Calc!$G$3:$G$22-A3191)*Calc!$I$3:$I$22)</f>
        <v/>
      </c>
      <c r="O3191">
        <f>SUMPRODUCT(Calc!$K$3:$K$22*(Calc!$G$3:$G$22&gt;B3191)*(Calc!$G$3:$G$22-B3191)*Calc!$I$3:$I$22)</f>
        <v/>
      </c>
      <c r="P3191">
        <f>I3191-G3191^2/k_n</f>
        <v/>
      </c>
      <c r="Q3191">
        <f>J3191-H3191^2/k_n</f>
        <v/>
      </c>
      <c r="R3191">
        <f>K3191-G3191*H3191/k_n</f>
        <v/>
      </c>
      <c r="S3191">
        <f>L3191-LTP3!$D$3*G3191/k_n</f>
        <v/>
      </c>
      <c r="T3191">
        <f>M3191-LTP3!$D$3*H3191/k_n</f>
        <v/>
      </c>
      <c r="U3191">
        <f>N3191-G3191*LTP3!$D$4/k_n</f>
        <v/>
      </c>
      <c r="V3191">
        <f>O3191-H3191*LTP3!$D$4/k_n</f>
        <v/>
      </c>
      <c r="W3191">
        <f>((LTP3!$D$5)*((P3191)*(Q3191)-(R3191)*(R3191))-(S3191)*((S3191)*(Q3191)-(R3191)*(T3191))+(T3191)*((S3191)*(R3191)-(P3191)*(T3191)))</f>
        <v/>
      </c>
      <c r="X3191">
        <f>IF(ABS(W3191)&gt;1E-12,((LTP3!$D$6)*((P3191)*(Q3191)-(R3191)*(R3191))-(S3191)*((U3191)*(Q3191)-(R3191)*(V3191))+(T3191)*((U3191)*(R3191)-(P3191)*(V3191)))/W3191,0)</f>
        <v/>
      </c>
      <c r="Y3191">
        <f>IF(ABS(W3191)&gt;1E-12,((LTP3!$D$5)*((U3191)*(Q3191)-(R3191)*(V3191))-(LTP3!$D$6)*((S3191)*(Q3191)-(R3191)*(T3191))+(T3191)*((S3191)*(V3191)-(U3191)*(T3191)))/W3191,0)</f>
        <v/>
      </c>
      <c r="Z3191">
        <f>IF(ABS(W3191)&gt;1E-12,((LTP3!$D$5)*((P3191)*(V3191)-(U3191)*(R3191))-(S3191)*((S3191)*(V3191)-(U3191)*(T3191))+(LTP3!$D$6)*((S3191)*(R3191)-(P3191)*(T3191)))/W3191,0)</f>
        <v/>
      </c>
      <c r="AA3191">
        <f>LTP3!$D$7-X3191*LTP3!$D$6-Y3191*U3191-Z3191*V3191</f>
        <v/>
      </c>
      <c r="AB3191">
        <f>IF(AND(F3191,ABS(W3191)&gt;1E-12,Y3191&gt;0,Z3191&gt;0),AA3191,1E+300)</f>
        <v/>
      </c>
    </row>
    <row r="3192">
      <c r="A3192">
        <f>$B$3+$B$5*52</f>
        <v/>
      </c>
      <c r="B3192">
        <f>$B$3+$B$5*8</f>
        <v/>
      </c>
      <c r="C3192">
        <f>SUMPRODUCT(Calc!$K$3:$K$22*(Calc!$G$3:$G$22&lt;=A3192))</f>
        <v/>
      </c>
      <c r="D3192">
        <f>SUMPRODUCT(Calc!$K$3:$K$22*(Calc!$G$3:$G$22&gt;A3192)*(Calc!$G$3:$G$22&lt;B3192))</f>
        <v/>
      </c>
      <c r="E3192">
        <f>SUMPRODUCT(Calc!$K$3:$K$22*(Calc!$G$3:$G$22&gt;=B3192))</f>
        <v/>
      </c>
      <c r="F3192">
        <f>AND(k_n&gt;=5,B3192&gt;A3192+1E-9,C3192&gt;=2,D3192&gt;=1,E3192&gt;=2)</f>
        <v/>
      </c>
      <c r="G3192">
        <f>SUMPRODUCT(Calc!$K$3:$K$22*(Calc!$G$3:$G$22&gt;A3192)*(Calc!$G$3:$G$22-A3192))</f>
        <v/>
      </c>
      <c r="H3192">
        <f>SUMPRODUCT(Calc!$K$3:$K$22*(Calc!$G$3:$G$22&gt;B3192)*(Calc!$G$3:$G$22-B3192))</f>
        <v/>
      </c>
      <c r="I3192">
        <f>SUMPRODUCT(Calc!$K$3:$K$22*(Calc!$G$3:$G$22&gt;A3192)*(Calc!$G$3:$G$22-A3192)^2)</f>
        <v/>
      </c>
      <c r="J3192">
        <f>SUMPRODUCT(Calc!$K$3:$K$22*(Calc!$G$3:$G$22&gt;B3192)*(Calc!$G$3:$G$22-B3192)^2)</f>
        <v/>
      </c>
      <c r="K3192">
        <f>SUMPRODUCT(Calc!$K$3:$K$22*(Calc!$G$3:$G$22&gt;A3192)*(Calc!$G$3:$G$22-A3192)*(Calc!$G$3:$G$22&gt;B3192)*(Calc!$G$3:$G$22-B3192))</f>
        <v/>
      </c>
      <c r="L3192">
        <f>SUMPRODUCT(Calc!$K$3:$K$22*(Calc!$G$3:$G$22&gt;A3192)*(Calc!$G$3:$G$22-A3192)*Calc!$G$3:$G$22)</f>
        <v/>
      </c>
      <c r="M3192">
        <f>SUMPRODUCT(Calc!$K$3:$K$22*(Calc!$G$3:$G$22&gt;B3192)*(Calc!$G$3:$G$22-B3192)*Calc!$G$3:$G$22)</f>
        <v/>
      </c>
      <c r="N3192">
        <f>SUMPRODUCT(Calc!$K$3:$K$22*(Calc!$G$3:$G$22&gt;A3192)*(Calc!$G$3:$G$22-A3192)*Calc!$I$3:$I$22)</f>
        <v/>
      </c>
      <c r="O3192">
        <f>SUMPRODUCT(Calc!$K$3:$K$22*(Calc!$G$3:$G$22&gt;B3192)*(Calc!$G$3:$G$22-B3192)*Calc!$I$3:$I$22)</f>
        <v/>
      </c>
      <c r="P3192">
        <f>I3192-G3192^2/k_n</f>
        <v/>
      </c>
      <c r="Q3192">
        <f>J3192-H3192^2/k_n</f>
        <v/>
      </c>
      <c r="R3192">
        <f>K3192-G3192*H3192/k_n</f>
        <v/>
      </c>
      <c r="S3192">
        <f>L3192-LTP3!$D$3*G3192/k_n</f>
        <v/>
      </c>
      <c r="T3192">
        <f>M3192-LTP3!$D$3*H3192/k_n</f>
        <v/>
      </c>
      <c r="U3192">
        <f>N3192-G3192*LTP3!$D$4/k_n</f>
        <v/>
      </c>
      <c r="V3192">
        <f>O3192-H3192*LTP3!$D$4/k_n</f>
        <v/>
      </c>
      <c r="W3192">
        <f>((LTP3!$D$5)*((P3192)*(Q3192)-(R3192)*(R3192))-(S3192)*((S3192)*(Q3192)-(R3192)*(T3192))+(T3192)*((S3192)*(R3192)-(P3192)*(T3192)))</f>
        <v/>
      </c>
      <c r="X3192">
        <f>IF(ABS(W3192)&gt;1E-12,((LTP3!$D$6)*((P3192)*(Q3192)-(R3192)*(R3192))-(S3192)*((U3192)*(Q3192)-(R3192)*(V3192))+(T3192)*((U3192)*(R3192)-(P3192)*(V3192)))/W3192,0)</f>
        <v/>
      </c>
      <c r="Y3192">
        <f>IF(ABS(W3192)&gt;1E-12,((LTP3!$D$5)*((U3192)*(Q3192)-(R3192)*(V3192))-(LTP3!$D$6)*((S3192)*(Q3192)-(R3192)*(T3192))+(T3192)*((S3192)*(V3192)-(U3192)*(T3192)))/W3192,0)</f>
        <v/>
      </c>
      <c r="Z3192">
        <f>IF(ABS(W3192)&gt;1E-12,((LTP3!$D$5)*((P3192)*(V3192)-(U3192)*(R3192))-(S3192)*((S3192)*(V3192)-(U3192)*(T3192))+(LTP3!$D$6)*((S3192)*(R3192)-(P3192)*(T3192)))/W3192,0)</f>
        <v/>
      </c>
      <c r="AA3192">
        <f>LTP3!$D$7-X3192*LTP3!$D$6-Y3192*U3192-Z3192*V3192</f>
        <v/>
      </c>
      <c r="AB3192">
        <f>IF(AND(F3192,ABS(W3192)&gt;1E-12,Y3192&gt;0,Z3192&gt;0),AA3192,1E+300)</f>
        <v/>
      </c>
    </row>
    <row r="3193">
      <c r="A3193">
        <f>$B$3+$B$5*52</f>
        <v/>
      </c>
      <c r="B3193">
        <f>$B$3+$B$5*9</f>
        <v/>
      </c>
      <c r="C3193">
        <f>SUMPRODUCT(Calc!$K$3:$K$22*(Calc!$G$3:$G$22&lt;=A3193))</f>
        <v/>
      </c>
      <c r="D3193">
        <f>SUMPRODUCT(Calc!$K$3:$K$22*(Calc!$G$3:$G$22&gt;A3193)*(Calc!$G$3:$G$22&lt;B3193))</f>
        <v/>
      </c>
      <c r="E3193">
        <f>SUMPRODUCT(Calc!$K$3:$K$22*(Calc!$G$3:$G$22&gt;=B3193))</f>
        <v/>
      </c>
      <c r="F3193">
        <f>AND(k_n&gt;=5,B3193&gt;A3193+1E-9,C3193&gt;=2,D3193&gt;=1,E3193&gt;=2)</f>
        <v/>
      </c>
      <c r="G3193">
        <f>SUMPRODUCT(Calc!$K$3:$K$22*(Calc!$G$3:$G$22&gt;A3193)*(Calc!$G$3:$G$22-A3193))</f>
        <v/>
      </c>
      <c r="H3193">
        <f>SUMPRODUCT(Calc!$K$3:$K$22*(Calc!$G$3:$G$22&gt;B3193)*(Calc!$G$3:$G$22-B3193))</f>
        <v/>
      </c>
      <c r="I3193">
        <f>SUMPRODUCT(Calc!$K$3:$K$22*(Calc!$G$3:$G$22&gt;A3193)*(Calc!$G$3:$G$22-A3193)^2)</f>
        <v/>
      </c>
      <c r="J3193">
        <f>SUMPRODUCT(Calc!$K$3:$K$22*(Calc!$G$3:$G$22&gt;B3193)*(Calc!$G$3:$G$22-B3193)^2)</f>
        <v/>
      </c>
      <c r="K3193">
        <f>SUMPRODUCT(Calc!$K$3:$K$22*(Calc!$G$3:$G$22&gt;A3193)*(Calc!$G$3:$G$22-A3193)*(Calc!$G$3:$G$22&gt;B3193)*(Calc!$G$3:$G$22-B3193))</f>
        <v/>
      </c>
      <c r="L3193">
        <f>SUMPRODUCT(Calc!$K$3:$K$22*(Calc!$G$3:$G$22&gt;A3193)*(Calc!$G$3:$G$22-A3193)*Calc!$G$3:$G$22)</f>
        <v/>
      </c>
      <c r="M3193">
        <f>SUMPRODUCT(Calc!$K$3:$K$22*(Calc!$G$3:$G$22&gt;B3193)*(Calc!$G$3:$G$22-B3193)*Calc!$G$3:$G$22)</f>
        <v/>
      </c>
      <c r="N3193">
        <f>SUMPRODUCT(Calc!$K$3:$K$22*(Calc!$G$3:$G$22&gt;A3193)*(Calc!$G$3:$G$22-A3193)*Calc!$I$3:$I$22)</f>
        <v/>
      </c>
      <c r="O3193">
        <f>SUMPRODUCT(Calc!$K$3:$K$22*(Calc!$G$3:$G$22&gt;B3193)*(Calc!$G$3:$G$22-B3193)*Calc!$I$3:$I$22)</f>
        <v/>
      </c>
      <c r="P3193">
        <f>I3193-G3193^2/k_n</f>
        <v/>
      </c>
      <c r="Q3193">
        <f>J3193-H3193^2/k_n</f>
        <v/>
      </c>
      <c r="R3193">
        <f>K3193-G3193*H3193/k_n</f>
        <v/>
      </c>
      <c r="S3193">
        <f>L3193-LTP3!$D$3*G3193/k_n</f>
        <v/>
      </c>
      <c r="T3193">
        <f>M3193-LTP3!$D$3*H3193/k_n</f>
        <v/>
      </c>
      <c r="U3193">
        <f>N3193-G3193*LTP3!$D$4/k_n</f>
        <v/>
      </c>
      <c r="V3193">
        <f>O3193-H3193*LTP3!$D$4/k_n</f>
        <v/>
      </c>
      <c r="W3193">
        <f>((LTP3!$D$5)*((P3193)*(Q3193)-(R3193)*(R3193))-(S3193)*((S3193)*(Q3193)-(R3193)*(T3193))+(T3193)*((S3193)*(R3193)-(P3193)*(T3193)))</f>
        <v/>
      </c>
      <c r="X3193">
        <f>IF(ABS(W3193)&gt;1E-12,((LTP3!$D$6)*((P3193)*(Q3193)-(R3193)*(R3193))-(S3193)*((U3193)*(Q3193)-(R3193)*(V3193))+(T3193)*((U3193)*(R3193)-(P3193)*(V3193)))/W3193,0)</f>
        <v/>
      </c>
      <c r="Y3193">
        <f>IF(ABS(W3193)&gt;1E-12,((LTP3!$D$5)*((U3193)*(Q3193)-(R3193)*(V3193))-(LTP3!$D$6)*((S3193)*(Q3193)-(R3193)*(T3193))+(T3193)*((S3193)*(V3193)-(U3193)*(T3193)))/W3193,0)</f>
        <v/>
      </c>
      <c r="Z3193">
        <f>IF(ABS(W3193)&gt;1E-12,((LTP3!$D$5)*((P3193)*(V3193)-(U3193)*(R3193))-(S3193)*((S3193)*(V3193)-(U3193)*(T3193))+(LTP3!$D$6)*((S3193)*(R3193)-(P3193)*(T3193)))/W3193,0)</f>
        <v/>
      </c>
      <c r="AA3193">
        <f>LTP3!$D$7-X3193*LTP3!$D$6-Y3193*U3193-Z3193*V3193</f>
        <v/>
      </c>
      <c r="AB3193">
        <f>IF(AND(F3193,ABS(W3193)&gt;1E-12,Y3193&gt;0,Z3193&gt;0),AA3193,1E+300)</f>
        <v/>
      </c>
    </row>
    <row r="3194">
      <c r="A3194">
        <f>$B$3+$B$5*52</f>
        <v/>
      </c>
      <c r="B3194">
        <f>$B$3+$B$5*10</f>
        <v/>
      </c>
      <c r="C3194">
        <f>SUMPRODUCT(Calc!$K$3:$K$22*(Calc!$G$3:$G$22&lt;=A3194))</f>
        <v/>
      </c>
      <c r="D3194">
        <f>SUMPRODUCT(Calc!$K$3:$K$22*(Calc!$G$3:$G$22&gt;A3194)*(Calc!$G$3:$G$22&lt;B3194))</f>
        <v/>
      </c>
      <c r="E3194">
        <f>SUMPRODUCT(Calc!$K$3:$K$22*(Calc!$G$3:$G$22&gt;=B3194))</f>
        <v/>
      </c>
      <c r="F3194">
        <f>AND(k_n&gt;=5,B3194&gt;A3194+1E-9,C3194&gt;=2,D3194&gt;=1,E3194&gt;=2)</f>
        <v/>
      </c>
      <c r="G3194">
        <f>SUMPRODUCT(Calc!$K$3:$K$22*(Calc!$G$3:$G$22&gt;A3194)*(Calc!$G$3:$G$22-A3194))</f>
        <v/>
      </c>
      <c r="H3194">
        <f>SUMPRODUCT(Calc!$K$3:$K$22*(Calc!$G$3:$G$22&gt;B3194)*(Calc!$G$3:$G$22-B3194))</f>
        <v/>
      </c>
      <c r="I3194">
        <f>SUMPRODUCT(Calc!$K$3:$K$22*(Calc!$G$3:$G$22&gt;A3194)*(Calc!$G$3:$G$22-A3194)^2)</f>
        <v/>
      </c>
      <c r="J3194">
        <f>SUMPRODUCT(Calc!$K$3:$K$22*(Calc!$G$3:$G$22&gt;B3194)*(Calc!$G$3:$G$22-B3194)^2)</f>
        <v/>
      </c>
      <c r="K3194">
        <f>SUMPRODUCT(Calc!$K$3:$K$22*(Calc!$G$3:$G$22&gt;A3194)*(Calc!$G$3:$G$22-A3194)*(Calc!$G$3:$G$22&gt;B3194)*(Calc!$G$3:$G$22-B3194))</f>
        <v/>
      </c>
      <c r="L3194">
        <f>SUMPRODUCT(Calc!$K$3:$K$22*(Calc!$G$3:$G$22&gt;A3194)*(Calc!$G$3:$G$22-A3194)*Calc!$G$3:$G$22)</f>
        <v/>
      </c>
      <c r="M3194">
        <f>SUMPRODUCT(Calc!$K$3:$K$22*(Calc!$G$3:$G$22&gt;B3194)*(Calc!$G$3:$G$22-B3194)*Calc!$G$3:$G$22)</f>
        <v/>
      </c>
      <c r="N3194">
        <f>SUMPRODUCT(Calc!$K$3:$K$22*(Calc!$G$3:$G$22&gt;A3194)*(Calc!$G$3:$G$22-A3194)*Calc!$I$3:$I$22)</f>
        <v/>
      </c>
      <c r="O3194">
        <f>SUMPRODUCT(Calc!$K$3:$K$22*(Calc!$G$3:$G$22&gt;B3194)*(Calc!$G$3:$G$22-B3194)*Calc!$I$3:$I$22)</f>
        <v/>
      </c>
      <c r="P3194">
        <f>I3194-G3194^2/k_n</f>
        <v/>
      </c>
      <c r="Q3194">
        <f>J3194-H3194^2/k_n</f>
        <v/>
      </c>
      <c r="R3194">
        <f>K3194-G3194*H3194/k_n</f>
        <v/>
      </c>
      <c r="S3194">
        <f>L3194-LTP3!$D$3*G3194/k_n</f>
        <v/>
      </c>
      <c r="T3194">
        <f>M3194-LTP3!$D$3*H3194/k_n</f>
        <v/>
      </c>
      <c r="U3194">
        <f>N3194-G3194*LTP3!$D$4/k_n</f>
        <v/>
      </c>
      <c r="V3194">
        <f>O3194-H3194*LTP3!$D$4/k_n</f>
        <v/>
      </c>
      <c r="W3194">
        <f>((LTP3!$D$5)*((P3194)*(Q3194)-(R3194)*(R3194))-(S3194)*((S3194)*(Q3194)-(R3194)*(T3194))+(T3194)*((S3194)*(R3194)-(P3194)*(T3194)))</f>
        <v/>
      </c>
      <c r="X3194">
        <f>IF(ABS(W3194)&gt;1E-12,((LTP3!$D$6)*((P3194)*(Q3194)-(R3194)*(R3194))-(S3194)*((U3194)*(Q3194)-(R3194)*(V3194))+(T3194)*((U3194)*(R3194)-(P3194)*(V3194)))/W3194,0)</f>
        <v/>
      </c>
      <c r="Y3194">
        <f>IF(ABS(W3194)&gt;1E-12,((LTP3!$D$5)*((U3194)*(Q3194)-(R3194)*(V3194))-(LTP3!$D$6)*((S3194)*(Q3194)-(R3194)*(T3194))+(T3194)*((S3194)*(V3194)-(U3194)*(T3194)))/W3194,0)</f>
        <v/>
      </c>
      <c r="Z3194">
        <f>IF(ABS(W3194)&gt;1E-12,((LTP3!$D$5)*((P3194)*(V3194)-(U3194)*(R3194))-(S3194)*((S3194)*(V3194)-(U3194)*(T3194))+(LTP3!$D$6)*((S3194)*(R3194)-(P3194)*(T3194)))/W3194,0)</f>
        <v/>
      </c>
      <c r="AA3194">
        <f>LTP3!$D$7-X3194*LTP3!$D$6-Y3194*U3194-Z3194*V3194</f>
        <v/>
      </c>
      <c r="AB3194">
        <f>IF(AND(F3194,ABS(W3194)&gt;1E-12,Y3194&gt;0,Z3194&gt;0),AA3194,1E+300)</f>
        <v/>
      </c>
    </row>
    <row r="3195">
      <c r="A3195">
        <f>$B$3+$B$5*52</f>
        <v/>
      </c>
      <c r="B3195">
        <f>$B$3+$B$5*11</f>
        <v/>
      </c>
      <c r="C3195">
        <f>SUMPRODUCT(Calc!$K$3:$K$22*(Calc!$G$3:$G$22&lt;=A3195))</f>
        <v/>
      </c>
      <c r="D3195">
        <f>SUMPRODUCT(Calc!$K$3:$K$22*(Calc!$G$3:$G$22&gt;A3195)*(Calc!$G$3:$G$22&lt;B3195))</f>
        <v/>
      </c>
      <c r="E3195">
        <f>SUMPRODUCT(Calc!$K$3:$K$22*(Calc!$G$3:$G$22&gt;=B3195))</f>
        <v/>
      </c>
      <c r="F3195">
        <f>AND(k_n&gt;=5,B3195&gt;A3195+1E-9,C3195&gt;=2,D3195&gt;=1,E3195&gt;=2)</f>
        <v/>
      </c>
      <c r="G3195">
        <f>SUMPRODUCT(Calc!$K$3:$K$22*(Calc!$G$3:$G$22&gt;A3195)*(Calc!$G$3:$G$22-A3195))</f>
        <v/>
      </c>
      <c r="H3195">
        <f>SUMPRODUCT(Calc!$K$3:$K$22*(Calc!$G$3:$G$22&gt;B3195)*(Calc!$G$3:$G$22-B3195))</f>
        <v/>
      </c>
      <c r="I3195">
        <f>SUMPRODUCT(Calc!$K$3:$K$22*(Calc!$G$3:$G$22&gt;A3195)*(Calc!$G$3:$G$22-A3195)^2)</f>
        <v/>
      </c>
      <c r="J3195">
        <f>SUMPRODUCT(Calc!$K$3:$K$22*(Calc!$G$3:$G$22&gt;B3195)*(Calc!$G$3:$G$22-B3195)^2)</f>
        <v/>
      </c>
      <c r="K3195">
        <f>SUMPRODUCT(Calc!$K$3:$K$22*(Calc!$G$3:$G$22&gt;A3195)*(Calc!$G$3:$G$22-A3195)*(Calc!$G$3:$G$22&gt;B3195)*(Calc!$G$3:$G$22-B3195))</f>
        <v/>
      </c>
      <c r="L3195">
        <f>SUMPRODUCT(Calc!$K$3:$K$22*(Calc!$G$3:$G$22&gt;A3195)*(Calc!$G$3:$G$22-A3195)*Calc!$G$3:$G$22)</f>
        <v/>
      </c>
      <c r="M3195">
        <f>SUMPRODUCT(Calc!$K$3:$K$22*(Calc!$G$3:$G$22&gt;B3195)*(Calc!$G$3:$G$22-B3195)*Calc!$G$3:$G$22)</f>
        <v/>
      </c>
      <c r="N3195">
        <f>SUMPRODUCT(Calc!$K$3:$K$22*(Calc!$G$3:$G$22&gt;A3195)*(Calc!$G$3:$G$22-A3195)*Calc!$I$3:$I$22)</f>
        <v/>
      </c>
      <c r="O3195">
        <f>SUMPRODUCT(Calc!$K$3:$K$22*(Calc!$G$3:$G$22&gt;B3195)*(Calc!$G$3:$G$22-B3195)*Calc!$I$3:$I$22)</f>
        <v/>
      </c>
      <c r="P3195">
        <f>I3195-G3195^2/k_n</f>
        <v/>
      </c>
      <c r="Q3195">
        <f>J3195-H3195^2/k_n</f>
        <v/>
      </c>
      <c r="R3195">
        <f>K3195-G3195*H3195/k_n</f>
        <v/>
      </c>
      <c r="S3195">
        <f>L3195-LTP3!$D$3*G3195/k_n</f>
        <v/>
      </c>
      <c r="T3195">
        <f>M3195-LTP3!$D$3*H3195/k_n</f>
        <v/>
      </c>
      <c r="U3195">
        <f>N3195-G3195*LTP3!$D$4/k_n</f>
        <v/>
      </c>
      <c r="V3195">
        <f>O3195-H3195*LTP3!$D$4/k_n</f>
        <v/>
      </c>
      <c r="W3195">
        <f>((LTP3!$D$5)*((P3195)*(Q3195)-(R3195)*(R3195))-(S3195)*((S3195)*(Q3195)-(R3195)*(T3195))+(T3195)*((S3195)*(R3195)-(P3195)*(T3195)))</f>
        <v/>
      </c>
      <c r="X3195">
        <f>IF(ABS(W3195)&gt;1E-12,((LTP3!$D$6)*((P3195)*(Q3195)-(R3195)*(R3195))-(S3195)*((U3195)*(Q3195)-(R3195)*(V3195))+(T3195)*((U3195)*(R3195)-(P3195)*(V3195)))/W3195,0)</f>
        <v/>
      </c>
      <c r="Y3195">
        <f>IF(ABS(W3195)&gt;1E-12,((LTP3!$D$5)*((U3195)*(Q3195)-(R3195)*(V3195))-(LTP3!$D$6)*((S3195)*(Q3195)-(R3195)*(T3195))+(T3195)*((S3195)*(V3195)-(U3195)*(T3195)))/W3195,0)</f>
        <v/>
      </c>
      <c r="Z3195">
        <f>IF(ABS(W3195)&gt;1E-12,((LTP3!$D$5)*((P3195)*(V3195)-(U3195)*(R3195))-(S3195)*((S3195)*(V3195)-(U3195)*(T3195))+(LTP3!$D$6)*((S3195)*(R3195)-(P3195)*(T3195)))/W3195,0)</f>
        <v/>
      </c>
      <c r="AA3195">
        <f>LTP3!$D$7-X3195*LTP3!$D$6-Y3195*U3195-Z3195*V3195</f>
        <v/>
      </c>
      <c r="AB3195">
        <f>IF(AND(F3195,ABS(W3195)&gt;1E-12,Y3195&gt;0,Z3195&gt;0),AA3195,1E+300)</f>
        <v/>
      </c>
    </row>
    <row r="3196">
      <c r="A3196">
        <f>$B$3+$B$5*52</f>
        <v/>
      </c>
      <c r="B3196">
        <f>$B$3+$B$5*12</f>
        <v/>
      </c>
      <c r="C3196">
        <f>SUMPRODUCT(Calc!$K$3:$K$22*(Calc!$G$3:$G$22&lt;=A3196))</f>
        <v/>
      </c>
      <c r="D3196">
        <f>SUMPRODUCT(Calc!$K$3:$K$22*(Calc!$G$3:$G$22&gt;A3196)*(Calc!$G$3:$G$22&lt;B3196))</f>
        <v/>
      </c>
      <c r="E3196">
        <f>SUMPRODUCT(Calc!$K$3:$K$22*(Calc!$G$3:$G$22&gt;=B3196))</f>
        <v/>
      </c>
      <c r="F3196">
        <f>AND(k_n&gt;=5,B3196&gt;A3196+1E-9,C3196&gt;=2,D3196&gt;=1,E3196&gt;=2)</f>
        <v/>
      </c>
      <c r="G3196">
        <f>SUMPRODUCT(Calc!$K$3:$K$22*(Calc!$G$3:$G$22&gt;A3196)*(Calc!$G$3:$G$22-A3196))</f>
        <v/>
      </c>
      <c r="H3196">
        <f>SUMPRODUCT(Calc!$K$3:$K$22*(Calc!$G$3:$G$22&gt;B3196)*(Calc!$G$3:$G$22-B3196))</f>
        <v/>
      </c>
      <c r="I3196">
        <f>SUMPRODUCT(Calc!$K$3:$K$22*(Calc!$G$3:$G$22&gt;A3196)*(Calc!$G$3:$G$22-A3196)^2)</f>
        <v/>
      </c>
      <c r="J3196">
        <f>SUMPRODUCT(Calc!$K$3:$K$22*(Calc!$G$3:$G$22&gt;B3196)*(Calc!$G$3:$G$22-B3196)^2)</f>
        <v/>
      </c>
      <c r="K3196">
        <f>SUMPRODUCT(Calc!$K$3:$K$22*(Calc!$G$3:$G$22&gt;A3196)*(Calc!$G$3:$G$22-A3196)*(Calc!$G$3:$G$22&gt;B3196)*(Calc!$G$3:$G$22-B3196))</f>
        <v/>
      </c>
      <c r="L3196">
        <f>SUMPRODUCT(Calc!$K$3:$K$22*(Calc!$G$3:$G$22&gt;A3196)*(Calc!$G$3:$G$22-A3196)*Calc!$G$3:$G$22)</f>
        <v/>
      </c>
      <c r="M3196">
        <f>SUMPRODUCT(Calc!$K$3:$K$22*(Calc!$G$3:$G$22&gt;B3196)*(Calc!$G$3:$G$22-B3196)*Calc!$G$3:$G$22)</f>
        <v/>
      </c>
      <c r="N3196">
        <f>SUMPRODUCT(Calc!$K$3:$K$22*(Calc!$G$3:$G$22&gt;A3196)*(Calc!$G$3:$G$22-A3196)*Calc!$I$3:$I$22)</f>
        <v/>
      </c>
      <c r="O3196">
        <f>SUMPRODUCT(Calc!$K$3:$K$22*(Calc!$G$3:$G$22&gt;B3196)*(Calc!$G$3:$G$22-B3196)*Calc!$I$3:$I$22)</f>
        <v/>
      </c>
      <c r="P3196">
        <f>I3196-G3196^2/k_n</f>
        <v/>
      </c>
      <c r="Q3196">
        <f>J3196-H3196^2/k_n</f>
        <v/>
      </c>
      <c r="R3196">
        <f>K3196-G3196*H3196/k_n</f>
        <v/>
      </c>
      <c r="S3196">
        <f>L3196-LTP3!$D$3*G3196/k_n</f>
        <v/>
      </c>
      <c r="T3196">
        <f>M3196-LTP3!$D$3*H3196/k_n</f>
        <v/>
      </c>
      <c r="U3196">
        <f>N3196-G3196*LTP3!$D$4/k_n</f>
        <v/>
      </c>
      <c r="V3196">
        <f>O3196-H3196*LTP3!$D$4/k_n</f>
        <v/>
      </c>
      <c r="W3196">
        <f>((LTP3!$D$5)*((P3196)*(Q3196)-(R3196)*(R3196))-(S3196)*((S3196)*(Q3196)-(R3196)*(T3196))+(T3196)*((S3196)*(R3196)-(P3196)*(T3196)))</f>
        <v/>
      </c>
      <c r="X3196">
        <f>IF(ABS(W3196)&gt;1E-12,((LTP3!$D$6)*((P3196)*(Q3196)-(R3196)*(R3196))-(S3196)*((U3196)*(Q3196)-(R3196)*(V3196))+(T3196)*((U3196)*(R3196)-(P3196)*(V3196)))/W3196,0)</f>
        <v/>
      </c>
      <c r="Y3196">
        <f>IF(ABS(W3196)&gt;1E-12,((LTP3!$D$5)*((U3196)*(Q3196)-(R3196)*(V3196))-(LTP3!$D$6)*((S3196)*(Q3196)-(R3196)*(T3196))+(T3196)*((S3196)*(V3196)-(U3196)*(T3196)))/W3196,0)</f>
        <v/>
      </c>
      <c r="Z3196">
        <f>IF(ABS(W3196)&gt;1E-12,((LTP3!$D$5)*((P3196)*(V3196)-(U3196)*(R3196))-(S3196)*((S3196)*(V3196)-(U3196)*(T3196))+(LTP3!$D$6)*((S3196)*(R3196)-(P3196)*(T3196)))/W3196,0)</f>
        <v/>
      </c>
      <c r="AA3196">
        <f>LTP3!$D$7-X3196*LTP3!$D$6-Y3196*U3196-Z3196*V3196</f>
        <v/>
      </c>
      <c r="AB3196">
        <f>IF(AND(F3196,ABS(W3196)&gt;1E-12,Y3196&gt;0,Z3196&gt;0),AA3196,1E+300)</f>
        <v/>
      </c>
    </row>
    <row r="3197">
      <c r="A3197">
        <f>$B$3+$B$5*52</f>
        <v/>
      </c>
      <c r="B3197">
        <f>$B$3+$B$5*13</f>
        <v/>
      </c>
      <c r="C3197">
        <f>SUMPRODUCT(Calc!$K$3:$K$22*(Calc!$G$3:$G$22&lt;=A3197))</f>
        <v/>
      </c>
      <c r="D3197">
        <f>SUMPRODUCT(Calc!$K$3:$K$22*(Calc!$G$3:$G$22&gt;A3197)*(Calc!$G$3:$G$22&lt;B3197))</f>
        <v/>
      </c>
      <c r="E3197">
        <f>SUMPRODUCT(Calc!$K$3:$K$22*(Calc!$G$3:$G$22&gt;=B3197))</f>
        <v/>
      </c>
      <c r="F3197">
        <f>AND(k_n&gt;=5,B3197&gt;A3197+1E-9,C3197&gt;=2,D3197&gt;=1,E3197&gt;=2)</f>
        <v/>
      </c>
      <c r="G3197">
        <f>SUMPRODUCT(Calc!$K$3:$K$22*(Calc!$G$3:$G$22&gt;A3197)*(Calc!$G$3:$G$22-A3197))</f>
        <v/>
      </c>
      <c r="H3197">
        <f>SUMPRODUCT(Calc!$K$3:$K$22*(Calc!$G$3:$G$22&gt;B3197)*(Calc!$G$3:$G$22-B3197))</f>
        <v/>
      </c>
      <c r="I3197">
        <f>SUMPRODUCT(Calc!$K$3:$K$22*(Calc!$G$3:$G$22&gt;A3197)*(Calc!$G$3:$G$22-A3197)^2)</f>
        <v/>
      </c>
      <c r="J3197">
        <f>SUMPRODUCT(Calc!$K$3:$K$22*(Calc!$G$3:$G$22&gt;B3197)*(Calc!$G$3:$G$22-B3197)^2)</f>
        <v/>
      </c>
      <c r="K3197">
        <f>SUMPRODUCT(Calc!$K$3:$K$22*(Calc!$G$3:$G$22&gt;A3197)*(Calc!$G$3:$G$22-A3197)*(Calc!$G$3:$G$22&gt;B3197)*(Calc!$G$3:$G$22-B3197))</f>
        <v/>
      </c>
      <c r="L3197">
        <f>SUMPRODUCT(Calc!$K$3:$K$22*(Calc!$G$3:$G$22&gt;A3197)*(Calc!$G$3:$G$22-A3197)*Calc!$G$3:$G$22)</f>
        <v/>
      </c>
      <c r="M3197">
        <f>SUMPRODUCT(Calc!$K$3:$K$22*(Calc!$G$3:$G$22&gt;B3197)*(Calc!$G$3:$G$22-B3197)*Calc!$G$3:$G$22)</f>
        <v/>
      </c>
      <c r="N3197">
        <f>SUMPRODUCT(Calc!$K$3:$K$22*(Calc!$G$3:$G$22&gt;A3197)*(Calc!$G$3:$G$22-A3197)*Calc!$I$3:$I$22)</f>
        <v/>
      </c>
      <c r="O3197">
        <f>SUMPRODUCT(Calc!$K$3:$K$22*(Calc!$G$3:$G$22&gt;B3197)*(Calc!$G$3:$G$22-B3197)*Calc!$I$3:$I$22)</f>
        <v/>
      </c>
      <c r="P3197">
        <f>I3197-G3197^2/k_n</f>
        <v/>
      </c>
      <c r="Q3197">
        <f>J3197-H3197^2/k_n</f>
        <v/>
      </c>
      <c r="R3197">
        <f>K3197-G3197*H3197/k_n</f>
        <v/>
      </c>
      <c r="S3197">
        <f>L3197-LTP3!$D$3*G3197/k_n</f>
        <v/>
      </c>
      <c r="T3197">
        <f>M3197-LTP3!$D$3*H3197/k_n</f>
        <v/>
      </c>
      <c r="U3197">
        <f>N3197-G3197*LTP3!$D$4/k_n</f>
        <v/>
      </c>
      <c r="V3197">
        <f>O3197-H3197*LTP3!$D$4/k_n</f>
        <v/>
      </c>
      <c r="W3197">
        <f>((LTP3!$D$5)*((P3197)*(Q3197)-(R3197)*(R3197))-(S3197)*((S3197)*(Q3197)-(R3197)*(T3197))+(T3197)*((S3197)*(R3197)-(P3197)*(T3197)))</f>
        <v/>
      </c>
      <c r="X3197">
        <f>IF(ABS(W3197)&gt;1E-12,((LTP3!$D$6)*((P3197)*(Q3197)-(R3197)*(R3197))-(S3197)*((U3197)*(Q3197)-(R3197)*(V3197))+(T3197)*((U3197)*(R3197)-(P3197)*(V3197)))/W3197,0)</f>
        <v/>
      </c>
      <c r="Y3197">
        <f>IF(ABS(W3197)&gt;1E-12,((LTP3!$D$5)*((U3197)*(Q3197)-(R3197)*(V3197))-(LTP3!$D$6)*((S3197)*(Q3197)-(R3197)*(T3197))+(T3197)*((S3197)*(V3197)-(U3197)*(T3197)))/W3197,0)</f>
        <v/>
      </c>
      <c r="Z3197">
        <f>IF(ABS(W3197)&gt;1E-12,((LTP3!$D$5)*((P3197)*(V3197)-(U3197)*(R3197))-(S3197)*((S3197)*(V3197)-(U3197)*(T3197))+(LTP3!$D$6)*((S3197)*(R3197)-(P3197)*(T3197)))/W3197,0)</f>
        <v/>
      </c>
      <c r="AA3197">
        <f>LTP3!$D$7-X3197*LTP3!$D$6-Y3197*U3197-Z3197*V3197</f>
        <v/>
      </c>
      <c r="AB3197">
        <f>IF(AND(F3197,ABS(W3197)&gt;1E-12,Y3197&gt;0,Z3197&gt;0),AA3197,1E+300)</f>
        <v/>
      </c>
    </row>
    <row r="3198">
      <c r="A3198">
        <f>$B$3+$B$5*52</f>
        <v/>
      </c>
      <c r="B3198">
        <f>$B$3+$B$5*14</f>
        <v/>
      </c>
      <c r="C3198">
        <f>SUMPRODUCT(Calc!$K$3:$K$22*(Calc!$G$3:$G$22&lt;=A3198))</f>
        <v/>
      </c>
      <c r="D3198">
        <f>SUMPRODUCT(Calc!$K$3:$K$22*(Calc!$G$3:$G$22&gt;A3198)*(Calc!$G$3:$G$22&lt;B3198))</f>
        <v/>
      </c>
      <c r="E3198">
        <f>SUMPRODUCT(Calc!$K$3:$K$22*(Calc!$G$3:$G$22&gt;=B3198))</f>
        <v/>
      </c>
      <c r="F3198">
        <f>AND(k_n&gt;=5,B3198&gt;A3198+1E-9,C3198&gt;=2,D3198&gt;=1,E3198&gt;=2)</f>
        <v/>
      </c>
      <c r="G3198">
        <f>SUMPRODUCT(Calc!$K$3:$K$22*(Calc!$G$3:$G$22&gt;A3198)*(Calc!$G$3:$G$22-A3198))</f>
        <v/>
      </c>
      <c r="H3198">
        <f>SUMPRODUCT(Calc!$K$3:$K$22*(Calc!$G$3:$G$22&gt;B3198)*(Calc!$G$3:$G$22-B3198))</f>
        <v/>
      </c>
      <c r="I3198">
        <f>SUMPRODUCT(Calc!$K$3:$K$22*(Calc!$G$3:$G$22&gt;A3198)*(Calc!$G$3:$G$22-A3198)^2)</f>
        <v/>
      </c>
      <c r="J3198">
        <f>SUMPRODUCT(Calc!$K$3:$K$22*(Calc!$G$3:$G$22&gt;B3198)*(Calc!$G$3:$G$22-B3198)^2)</f>
        <v/>
      </c>
      <c r="K3198">
        <f>SUMPRODUCT(Calc!$K$3:$K$22*(Calc!$G$3:$G$22&gt;A3198)*(Calc!$G$3:$G$22-A3198)*(Calc!$G$3:$G$22&gt;B3198)*(Calc!$G$3:$G$22-B3198))</f>
        <v/>
      </c>
      <c r="L3198">
        <f>SUMPRODUCT(Calc!$K$3:$K$22*(Calc!$G$3:$G$22&gt;A3198)*(Calc!$G$3:$G$22-A3198)*Calc!$G$3:$G$22)</f>
        <v/>
      </c>
      <c r="M3198">
        <f>SUMPRODUCT(Calc!$K$3:$K$22*(Calc!$G$3:$G$22&gt;B3198)*(Calc!$G$3:$G$22-B3198)*Calc!$G$3:$G$22)</f>
        <v/>
      </c>
      <c r="N3198">
        <f>SUMPRODUCT(Calc!$K$3:$K$22*(Calc!$G$3:$G$22&gt;A3198)*(Calc!$G$3:$G$22-A3198)*Calc!$I$3:$I$22)</f>
        <v/>
      </c>
      <c r="O3198">
        <f>SUMPRODUCT(Calc!$K$3:$K$22*(Calc!$G$3:$G$22&gt;B3198)*(Calc!$G$3:$G$22-B3198)*Calc!$I$3:$I$22)</f>
        <v/>
      </c>
      <c r="P3198">
        <f>I3198-G3198^2/k_n</f>
        <v/>
      </c>
      <c r="Q3198">
        <f>J3198-H3198^2/k_n</f>
        <v/>
      </c>
      <c r="R3198">
        <f>K3198-G3198*H3198/k_n</f>
        <v/>
      </c>
      <c r="S3198">
        <f>L3198-LTP3!$D$3*G3198/k_n</f>
        <v/>
      </c>
      <c r="T3198">
        <f>M3198-LTP3!$D$3*H3198/k_n</f>
        <v/>
      </c>
      <c r="U3198">
        <f>N3198-G3198*LTP3!$D$4/k_n</f>
        <v/>
      </c>
      <c r="V3198">
        <f>O3198-H3198*LTP3!$D$4/k_n</f>
        <v/>
      </c>
      <c r="W3198">
        <f>((LTP3!$D$5)*((P3198)*(Q3198)-(R3198)*(R3198))-(S3198)*((S3198)*(Q3198)-(R3198)*(T3198))+(T3198)*((S3198)*(R3198)-(P3198)*(T3198)))</f>
        <v/>
      </c>
      <c r="X3198">
        <f>IF(ABS(W3198)&gt;1E-12,((LTP3!$D$6)*((P3198)*(Q3198)-(R3198)*(R3198))-(S3198)*((U3198)*(Q3198)-(R3198)*(V3198))+(T3198)*((U3198)*(R3198)-(P3198)*(V3198)))/W3198,0)</f>
        <v/>
      </c>
      <c r="Y3198">
        <f>IF(ABS(W3198)&gt;1E-12,((LTP3!$D$5)*((U3198)*(Q3198)-(R3198)*(V3198))-(LTP3!$D$6)*((S3198)*(Q3198)-(R3198)*(T3198))+(T3198)*((S3198)*(V3198)-(U3198)*(T3198)))/W3198,0)</f>
        <v/>
      </c>
      <c r="Z3198">
        <f>IF(ABS(W3198)&gt;1E-12,((LTP3!$D$5)*((P3198)*(V3198)-(U3198)*(R3198))-(S3198)*((S3198)*(V3198)-(U3198)*(T3198))+(LTP3!$D$6)*((S3198)*(R3198)-(P3198)*(T3198)))/W3198,0)</f>
        <v/>
      </c>
      <c r="AA3198">
        <f>LTP3!$D$7-X3198*LTP3!$D$6-Y3198*U3198-Z3198*V3198</f>
        <v/>
      </c>
      <c r="AB3198">
        <f>IF(AND(F3198,ABS(W3198)&gt;1E-12,Y3198&gt;0,Z3198&gt;0),AA3198,1E+300)</f>
        <v/>
      </c>
    </row>
    <row r="3199">
      <c r="A3199">
        <f>$B$3+$B$5*52</f>
        <v/>
      </c>
      <c r="B3199">
        <f>$B$3+$B$5*15</f>
        <v/>
      </c>
      <c r="C3199">
        <f>SUMPRODUCT(Calc!$K$3:$K$22*(Calc!$G$3:$G$22&lt;=A3199))</f>
        <v/>
      </c>
      <c r="D3199">
        <f>SUMPRODUCT(Calc!$K$3:$K$22*(Calc!$G$3:$G$22&gt;A3199)*(Calc!$G$3:$G$22&lt;B3199))</f>
        <v/>
      </c>
      <c r="E3199">
        <f>SUMPRODUCT(Calc!$K$3:$K$22*(Calc!$G$3:$G$22&gt;=B3199))</f>
        <v/>
      </c>
      <c r="F3199">
        <f>AND(k_n&gt;=5,B3199&gt;A3199+1E-9,C3199&gt;=2,D3199&gt;=1,E3199&gt;=2)</f>
        <v/>
      </c>
      <c r="G3199">
        <f>SUMPRODUCT(Calc!$K$3:$K$22*(Calc!$G$3:$G$22&gt;A3199)*(Calc!$G$3:$G$22-A3199))</f>
        <v/>
      </c>
      <c r="H3199">
        <f>SUMPRODUCT(Calc!$K$3:$K$22*(Calc!$G$3:$G$22&gt;B3199)*(Calc!$G$3:$G$22-B3199))</f>
        <v/>
      </c>
      <c r="I3199">
        <f>SUMPRODUCT(Calc!$K$3:$K$22*(Calc!$G$3:$G$22&gt;A3199)*(Calc!$G$3:$G$22-A3199)^2)</f>
        <v/>
      </c>
      <c r="J3199">
        <f>SUMPRODUCT(Calc!$K$3:$K$22*(Calc!$G$3:$G$22&gt;B3199)*(Calc!$G$3:$G$22-B3199)^2)</f>
        <v/>
      </c>
      <c r="K3199">
        <f>SUMPRODUCT(Calc!$K$3:$K$22*(Calc!$G$3:$G$22&gt;A3199)*(Calc!$G$3:$G$22-A3199)*(Calc!$G$3:$G$22&gt;B3199)*(Calc!$G$3:$G$22-B3199))</f>
        <v/>
      </c>
      <c r="L3199">
        <f>SUMPRODUCT(Calc!$K$3:$K$22*(Calc!$G$3:$G$22&gt;A3199)*(Calc!$G$3:$G$22-A3199)*Calc!$G$3:$G$22)</f>
        <v/>
      </c>
      <c r="M3199">
        <f>SUMPRODUCT(Calc!$K$3:$K$22*(Calc!$G$3:$G$22&gt;B3199)*(Calc!$G$3:$G$22-B3199)*Calc!$G$3:$G$22)</f>
        <v/>
      </c>
      <c r="N3199">
        <f>SUMPRODUCT(Calc!$K$3:$K$22*(Calc!$G$3:$G$22&gt;A3199)*(Calc!$G$3:$G$22-A3199)*Calc!$I$3:$I$22)</f>
        <v/>
      </c>
      <c r="O3199">
        <f>SUMPRODUCT(Calc!$K$3:$K$22*(Calc!$G$3:$G$22&gt;B3199)*(Calc!$G$3:$G$22-B3199)*Calc!$I$3:$I$22)</f>
        <v/>
      </c>
      <c r="P3199">
        <f>I3199-G3199^2/k_n</f>
        <v/>
      </c>
      <c r="Q3199">
        <f>J3199-H3199^2/k_n</f>
        <v/>
      </c>
      <c r="R3199">
        <f>K3199-G3199*H3199/k_n</f>
        <v/>
      </c>
      <c r="S3199">
        <f>L3199-LTP3!$D$3*G3199/k_n</f>
        <v/>
      </c>
      <c r="T3199">
        <f>M3199-LTP3!$D$3*H3199/k_n</f>
        <v/>
      </c>
      <c r="U3199">
        <f>N3199-G3199*LTP3!$D$4/k_n</f>
        <v/>
      </c>
      <c r="V3199">
        <f>O3199-H3199*LTP3!$D$4/k_n</f>
        <v/>
      </c>
      <c r="W3199">
        <f>((LTP3!$D$5)*((P3199)*(Q3199)-(R3199)*(R3199))-(S3199)*((S3199)*(Q3199)-(R3199)*(T3199))+(T3199)*((S3199)*(R3199)-(P3199)*(T3199)))</f>
        <v/>
      </c>
      <c r="X3199">
        <f>IF(ABS(W3199)&gt;1E-12,((LTP3!$D$6)*((P3199)*(Q3199)-(R3199)*(R3199))-(S3199)*((U3199)*(Q3199)-(R3199)*(V3199))+(T3199)*((U3199)*(R3199)-(P3199)*(V3199)))/W3199,0)</f>
        <v/>
      </c>
      <c r="Y3199">
        <f>IF(ABS(W3199)&gt;1E-12,((LTP3!$D$5)*((U3199)*(Q3199)-(R3199)*(V3199))-(LTP3!$D$6)*((S3199)*(Q3199)-(R3199)*(T3199))+(T3199)*((S3199)*(V3199)-(U3199)*(T3199)))/W3199,0)</f>
        <v/>
      </c>
      <c r="Z3199">
        <f>IF(ABS(W3199)&gt;1E-12,((LTP3!$D$5)*((P3199)*(V3199)-(U3199)*(R3199))-(S3199)*((S3199)*(V3199)-(U3199)*(T3199))+(LTP3!$D$6)*((S3199)*(R3199)-(P3199)*(T3199)))/W3199,0)</f>
        <v/>
      </c>
      <c r="AA3199">
        <f>LTP3!$D$7-X3199*LTP3!$D$6-Y3199*U3199-Z3199*V3199</f>
        <v/>
      </c>
      <c r="AB3199">
        <f>IF(AND(F3199,ABS(W3199)&gt;1E-12,Y3199&gt;0,Z3199&gt;0),AA3199,1E+300)</f>
        <v/>
      </c>
    </row>
    <row r="3200">
      <c r="A3200">
        <f>$B$3+$B$5*52</f>
        <v/>
      </c>
      <c r="B3200">
        <f>$B$3+$B$5*16</f>
        <v/>
      </c>
      <c r="C3200">
        <f>SUMPRODUCT(Calc!$K$3:$K$22*(Calc!$G$3:$G$22&lt;=A3200))</f>
        <v/>
      </c>
      <c r="D3200">
        <f>SUMPRODUCT(Calc!$K$3:$K$22*(Calc!$G$3:$G$22&gt;A3200)*(Calc!$G$3:$G$22&lt;B3200))</f>
        <v/>
      </c>
      <c r="E3200">
        <f>SUMPRODUCT(Calc!$K$3:$K$22*(Calc!$G$3:$G$22&gt;=B3200))</f>
        <v/>
      </c>
      <c r="F3200">
        <f>AND(k_n&gt;=5,B3200&gt;A3200+1E-9,C3200&gt;=2,D3200&gt;=1,E3200&gt;=2)</f>
        <v/>
      </c>
      <c r="G3200">
        <f>SUMPRODUCT(Calc!$K$3:$K$22*(Calc!$G$3:$G$22&gt;A3200)*(Calc!$G$3:$G$22-A3200))</f>
        <v/>
      </c>
      <c r="H3200">
        <f>SUMPRODUCT(Calc!$K$3:$K$22*(Calc!$G$3:$G$22&gt;B3200)*(Calc!$G$3:$G$22-B3200))</f>
        <v/>
      </c>
      <c r="I3200">
        <f>SUMPRODUCT(Calc!$K$3:$K$22*(Calc!$G$3:$G$22&gt;A3200)*(Calc!$G$3:$G$22-A3200)^2)</f>
        <v/>
      </c>
      <c r="J3200">
        <f>SUMPRODUCT(Calc!$K$3:$K$22*(Calc!$G$3:$G$22&gt;B3200)*(Calc!$G$3:$G$22-B3200)^2)</f>
        <v/>
      </c>
      <c r="K3200">
        <f>SUMPRODUCT(Calc!$K$3:$K$22*(Calc!$G$3:$G$22&gt;A3200)*(Calc!$G$3:$G$22-A3200)*(Calc!$G$3:$G$22&gt;B3200)*(Calc!$G$3:$G$22-B3200))</f>
        <v/>
      </c>
      <c r="L3200">
        <f>SUMPRODUCT(Calc!$K$3:$K$22*(Calc!$G$3:$G$22&gt;A3200)*(Calc!$G$3:$G$22-A3200)*Calc!$G$3:$G$22)</f>
        <v/>
      </c>
      <c r="M3200">
        <f>SUMPRODUCT(Calc!$K$3:$K$22*(Calc!$G$3:$G$22&gt;B3200)*(Calc!$G$3:$G$22-B3200)*Calc!$G$3:$G$22)</f>
        <v/>
      </c>
      <c r="N3200">
        <f>SUMPRODUCT(Calc!$K$3:$K$22*(Calc!$G$3:$G$22&gt;A3200)*(Calc!$G$3:$G$22-A3200)*Calc!$I$3:$I$22)</f>
        <v/>
      </c>
      <c r="O3200">
        <f>SUMPRODUCT(Calc!$K$3:$K$22*(Calc!$G$3:$G$22&gt;B3200)*(Calc!$G$3:$G$22-B3200)*Calc!$I$3:$I$22)</f>
        <v/>
      </c>
      <c r="P3200">
        <f>I3200-G3200^2/k_n</f>
        <v/>
      </c>
      <c r="Q3200">
        <f>J3200-H3200^2/k_n</f>
        <v/>
      </c>
      <c r="R3200">
        <f>K3200-G3200*H3200/k_n</f>
        <v/>
      </c>
      <c r="S3200">
        <f>L3200-LTP3!$D$3*G3200/k_n</f>
        <v/>
      </c>
      <c r="T3200">
        <f>M3200-LTP3!$D$3*H3200/k_n</f>
        <v/>
      </c>
      <c r="U3200">
        <f>N3200-G3200*LTP3!$D$4/k_n</f>
        <v/>
      </c>
      <c r="V3200">
        <f>O3200-H3200*LTP3!$D$4/k_n</f>
        <v/>
      </c>
      <c r="W3200">
        <f>((LTP3!$D$5)*((P3200)*(Q3200)-(R3200)*(R3200))-(S3200)*((S3200)*(Q3200)-(R3200)*(T3200))+(T3200)*((S3200)*(R3200)-(P3200)*(T3200)))</f>
        <v/>
      </c>
      <c r="X3200">
        <f>IF(ABS(W3200)&gt;1E-12,((LTP3!$D$6)*((P3200)*(Q3200)-(R3200)*(R3200))-(S3200)*((U3200)*(Q3200)-(R3200)*(V3200))+(T3200)*((U3200)*(R3200)-(P3200)*(V3200)))/W3200,0)</f>
        <v/>
      </c>
      <c r="Y3200">
        <f>IF(ABS(W3200)&gt;1E-12,((LTP3!$D$5)*((U3200)*(Q3200)-(R3200)*(V3200))-(LTP3!$D$6)*((S3200)*(Q3200)-(R3200)*(T3200))+(T3200)*((S3200)*(V3200)-(U3200)*(T3200)))/W3200,0)</f>
        <v/>
      </c>
      <c r="Z3200">
        <f>IF(ABS(W3200)&gt;1E-12,((LTP3!$D$5)*((P3200)*(V3200)-(U3200)*(R3200))-(S3200)*((S3200)*(V3200)-(U3200)*(T3200))+(LTP3!$D$6)*((S3200)*(R3200)-(P3200)*(T3200)))/W3200,0)</f>
        <v/>
      </c>
      <c r="AA3200">
        <f>LTP3!$D$7-X3200*LTP3!$D$6-Y3200*U3200-Z3200*V3200</f>
        <v/>
      </c>
      <c r="AB3200">
        <f>IF(AND(F3200,ABS(W3200)&gt;1E-12,Y3200&gt;0,Z3200&gt;0),AA3200,1E+300)</f>
        <v/>
      </c>
    </row>
    <row r="3201">
      <c r="A3201">
        <f>$B$3+$B$5*52</f>
        <v/>
      </c>
      <c r="B3201">
        <f>$B$3+$B$5*17</f>
        <v/>
      </c>
      <c r="C3201">
        <f>SUMPRODUCT(Calc!$K$3:$K$22*(Calc!$G$3:$G$22&lt;=A3201))</f>
        <v/>
      </c>
      <c r="D3201">
        <f>SUMPRODUCT(Calc!$K$3:$K$22*(Calc!$G$3:$G$22&gt;A3201)*(Calc!$G$3:$G$22&lt;B3201))</f>
        <v/>
      </c>
      <c r="E3201">
        <f>SUMPRODUCT(Calc!$K$3:$K$22*(Calc!$G$3:$G$22&gt;=B3201))</f>
        <v/>
      </c>
      <c r="F3201">
        <f>AND(k_n&gt;=5,B3201&gt;A3201+1E-9,C3201&gt;=2,D3201&gt;=1,E3201&gt;=2)</f>
        <v/>
      </c>
      <c r="G3201">
        <f>SUMPRODUCT(Calc!$K$3:$K$22*(Calc!$G$3:$G$22&gt;A3201)*(Calc!$G$3:$G$22-A3201))</f>
        <v/>
      </c>
      <c r="H3201">
        <f>SUMPRODUCT(Calc!$K$3:$K$22*(Calc!$G$3:$G$22&gt;B3201)*(Calc!$G$3:$G$22-B3201))</f>
        <v/>
      </c>
      <c r="I3201">
        <f>SUMPRODUCT(Calc!$K$3:$K$22*(Calc!$G$3:$G$22&gt;A3201)*(Calc!$G$3:$G$22-A3201)^2)</f>
        <v/>
      </c>
      <c r="J3201">
        <f>SUMPRODUCT(Calc!$K$3:$K$22*(Calc!$G$3:$G$22&gt;B3201)*(Calc!$G$3:$G$22-B3201)^2)</f>
        <v/>
      </c>
      <c r="K3201">
        <f>SUMPRODUCT(Calc!$K$3:$K$22*(Calc!$G$3:$G$22&gt;A3201)*(Calc!$G$3:$G$22-A3201)*(Calc!$G$3:$G$22&gt;B3201)*(Calc!$G$3:$G$22-B3201))</f>
        <v/>
      </c>
      <c r="L3201">
        <f>SUMPRODUCT(Calc!$K$3:$K$22*(Calc!$G$3:$G$22&gt;A3201)*(Calc!$G$3:$G$22-A3201)*Calc!$G$3:$G$22)</f>
        <v/>
      </c>
      <c r="M3201">
        <f>SUMPRODUCT(Calc!$K$3:$K$22*(Calc!$G$3:$G$22&gt;B3201)*(Calc!$G$3:$G$22-B3201)*Calc!$G$3:$G$22)</f>
        <v/>
      </c>
      <c r="N3201">
        <f>SUMPRODUCT(Calc!$K$3:$K$22*(Calc!$G$3:$G$22&gt;A3201)*(Calc!$G$3:$G$22-A3201)*Calc!$I$3:$I$22)</f>
        <v/>
      </c>
      <c r="O3201">
        <f>SUMPRODUCT(Calc!$K$3:$K$22*(Calc!$G$3:$G$22&gt;B3201)*(Calc!$G$3:$G$22-B3201)*Calc!$I$3:$I$22)</f>
        <v/>
      </c>
      <c r="P3201">
        <f>I3201-G3201^2/k_n</f>
        <v/>
      </c>
      <c r="Q3201">
        <f>J3201-H3201^2/k_n</f>
        <v/>
      </c>
      <c r="R3201">
        <f>K3201-G3201*H3201/k_n</f>
        <v/>
      </c>
      <c r="S3201">
        <f>L3201-LTP3!$D$3*G3201/k_n</f>
        <v/>
      </c>
      <c r="T3201">
        <f>M3201-LTP3!$D$3*H3201/k_n</f>
        <v/>
      </c>
      <c r="U3201">
        <f>N3201-G3201*LTP3!$D$4/k_n</f>
        <v/>
      </c>
      <c r="V3201">
        <f>O3201-H3201*LTP3!$D$4/k_n</f>
        <v/>
      </c>
      <c r="W3201">
        <f>((LTP3!$D$5)*((P3201)*(Q3201)-(R3201)*(R3201))-(S3201)*((S3201)*(Q3201)-(R3201)*(T3201))+(T3201)*((S3201)*(R3201)-(P3201)*(T3201)))</f>
        <v/>
      </c>
      <c r="X3201">
        <f>IF(ABS(W3201)&gt;1E-12,((LTP3!$D$6)*((P3201)*(Q3201)-(R3201)*(R3201))-(S3201)*((U3201)*(Q3201)-(R3201)*(V3201))+(T3201)*((U3201)*(R3201)-(P3201)*(V3201)))/W3201,0)</f>
        <v/>
      </c>
      <c r="Y3201">
        <f>IF(ABS(W3201)&gt;1E-12,((LTP3!$D$5)*((U3201)*(Q3201)-(R3201)*(V3201))-(LTP3!$D$6)*((S3201)*(Q3201)-(R3201)*(T3201))+(T3201)*((S3201)*(V3201)-(U3201)*(T3201)))/W3201,0)</f>
        <v/>
      </c>
      <c r="Z3201">
        <f>IF(ABS(W3201)&gt;1E-12,((LTP3!$D$5)*((P3201)*(V3201)-(U3201)*(R3201))-(S3201)*((S3201)*(V3201)-(U3201)*(T3201))+(LTP3!$D$6)*((S3201)*(R3201)-(P3201)*(T3201)))/W3201,0)</f>
        <v/>
      </c>
      <c r="AA3201">
        <f>LTP3!$D$7-X3201*LTP3!$D$6-Y3201*U3201-Z3201*V3201</f>
        <v/>
      </c>
      <c r="AB3201">
        <f>IF(AND(F3201,ABS(W3201)&gt;1E-12,Y3201&gt;0,Z3201&gt;0),AA3201,1E+300)</f>
        <v/>
      </c>
    </row>
    <row r="3202">
      <c r="A3202">
        <f>$B$3+$B$5*52</f>
        <v/>
      </c>
      <c r="B3202">
        <f>$B$3+$B$5*18</f>
        <v/>
      </c>
      <c r="C3202">
        <f>SUMPRODUCT(Calc!$K$3:$K$22*(Calc!$G$3:$G$22&lt;=A3202))</f>
        <v/>
      </c>
      <c r="D3202">
        <f>SUMPRODUCT(Calc!$K$3:$K$22*(Calc!$G$3:$G$22&gt;A3202)*(Calc!$G$3:$G$22&lt;B3202))</f>
        <v/>
      </c>
      <c r="E3202">
        <f>SUMPRODUCT(Calc!$K$3:$K$22*(Calc!$G$3:$G$22&gt;=B3202))</f>
        <v/>
      </c>
      <c r="F3202">
        <f>AND(k_n&gt;=5,B3202&gt;A3202+1E-9,C3202&gt;=2,D3202&gt;=1,E3202&gt;=2)</f>
        <v/>
      </c>
      <c r="G3202">
        <f>SUMPRODUCT(Calc!$K$3:$K$22*(Calc!$G$3:$G$22&gt;A3202)*(Calc!$G$3:$G$22-A3202))</f>
        <v/>
      </c>
      <c r="H3202">
        <f>SUMPRODUCT(Calc!$K$3:$K$22*(Calc!$G$3:$G$22&gt;B3202)*(Calc!$G$3:$G$22-B3202))</f>
        <v/>
      </c>
      <c r="I3202">
        <f>SUMPRODUCT(Calc!$K$3:$K$22*(Calc!$G$3:$G$22&gt;A3202)*(Calc!$G$3:$G$22-A3202)^2)</f>
        <v/>
      </c>
      <c r="J3202">
        <f>SUMPRODUCT(Calc!$K$3:$K$22*(Calc!$G$3:$G$22&gt;B3202)*(Calc!$G$3:$G$22-B3202)^2)</f>
        <v/>
      </c>
      <c r="K3202">
        <f>SUMPRODUCT(Calc!$K$3:$K$22*(Calc!$G$3:$G$22&gt;A3202)*(Calc!$G$3:$G$22-A3202)*(Calc!$G$3:$G$22&gt;B3202)*(Calc!$G$3:$G$22-B3202))</f>
        <v/>
      </c>
      <c r="L3202">
        <f>SUMPRODUCT(Calc!$K$3:$K$22*(Calc!$G$3:$G$22&gt;A3202)*(Calc!$G$3:$G$22-A3202)*Calc!$G$3:$G$22)</f>
        <v/>
      </c>
      <c r="M3202">
        <f>SUMPRODUCT(Calc!$K$3:$K$22*(Calc!$G$3:$G$22&gt;B3202)*(Calc!$G$3:$G$22-B3202)*Calc!$G$3:$G$22)</f>
        <v/>
      </c>
      <c r="N3202">
        <f>SUMPRODUCT(Calc!$K$3:$K$22*(Calc!$G$3:$G$22&gt;A3202)*(Calc!$G$3:$G$22-A3202)*Calc!$I$3:$I$22)</f>
        <v/>
      </c>
      <c r="O3202">
        <f>SUMPRODUCT(Calc!$K$3:$K$22*(Calc!$G$3:$G$22&gt;B3202)*(Calc!$G$3:$G$22-B3202)*Calc!$I$3:$I$22)</f>
        <v/>
      </c>
      <c r="P3202">
        <f>I3202-G3202^2/k_n</f>
        <v/>
      </c>
      <c r="Q3202">
        <f>J3202-H3202^2/k_n</f>
        <v/>
      </c>
      <c r="R3202">
        <f>K3202-G3202*H3202/k_n</f>
        <v/>
      </c>
      <c r="S3202">
        <f>L3202-LTP3!$D$3*G3202/k_n</f>
        <v/>
      </c>
      <c r="T3202">
        <f>M3202-LTP3!$D$3*H3202/k_n</f>
        <v/>
      </c>
      <c r="U3202">
        <f>N3202-G3202*LTP3!$D$4/k_n</f>
        <v/>
      </c>
      <c r="V3202">
        <f>O3202-H3202*LTP3!$D$4/k_n</f>
        <v/>
      </c>
      <c r="W3202">
        <f>((LTP3!$D$5)*((P3202)*(Q3202)-(R3202)*(R3202))-(S3202)*((S3202)*(Q3202)-(R3202)*(T3202))+(T3202)*((S3202)*(R3202)-(P3202)*(T3202)))</f>
        <v/>
      </c>
      <c r="X3202">
        <f>IF(ABS(W3202)&gt;1E-12,((LTP3!$D$6)*((P3202)*(Q3202)-(R3202)*(R3202))-(S3202)*((U3202)*(Q3202)-(R3202)*(V3202))+(T3202)*((U3202)*(R3202)-(P3202)*(V3202)))/W3202,0)</f>
        <v/>
      </c>
      <c r="Y3202">
        <f>IF(ABS(W3202)&gt;1E-12,((LTP3!$D$5)*((U3202)*(Q3202)-(R3202)*(V3202))-(LTP3!$D$6)*((S3202)*(Q3202)-(R3202)*(T3202))+(T3202)*((S3202)*(V3202)-(U3202)*(T3202)))/W3202,0)</f>
        <v/>
      </c>
      <c r="Z3202">
        <f>IF(ABS(W3202)&gt;1E-12,((LTP3!$D$5)*((P3202)*(V3202)-(U3202)*(R3202))-(S3202)*((S3202)*(V3202)-(U3202)*(T3202))+(LTP3!$D$6)*((S3202)*(R3202)-(P3202)*(T3202)))/W3202,0)</f>
        <v/>
      </c>
      <c r="AA3202">
        <f>LTP3!$D$7-X3202*LTP3!$D$6-Y3202*U3202-Z3202*V3202</f>
        <v/>
      </c>
      <c r="AB3202">
        <f>IF(AND(F3202,ABS(W3202)&gt;1E-12,Y3202&gt;0,Z3202&gt;0),AA3202,1E+300)</f>
        <v/>
      </c>
    </row>
    <row r="3203">
      <c r="A3203">
        <f>$B$3+$B$5*52</f>
        <v/>
      </c>
      <c r="B3203">
        <f>$B$3+$B$5*19</f>
        <v/>
      </c>
      <c r="C3203">
        <f>SUMPRODUCT(Calc!$K$3:$K$22*(Calc!$G$3:$G$22&lt;=A3203))</f>
        <v/>
      </c>
      <c r="D3203">
        <f>SUMPRODUCT(Calc!$K$3:$K$22*(Calc!$G$3:$G$22&gt;A3203)*(Calc!$G$3:$G$22&lt;B3203))</f>
        <v/>
      </c>
      <c r="E3203">
        <f>SUMPRODUCT(Calc!$K$3:$K$22*(Calc!$G$3:$G$22&gt;=B3203))</f>
        <v/>
      </c>
      <c r="F3203">
        <f>AND(k_n&gt;=5,B3203&gt;A3203+1E-9,C3203&gt;=2,D3203&gt;=1,E3203&gt;=2)</f>
        <v/>
      </c>
      <c r="G3203">
        <f>SUMPRODUCT(Calc!$K$3:$K$22*(Calc!$G$3:$G$22&gt;A3203)*(Calc!$G$3:$G$22-A3203))</f>
        <v/>
      </c>
      <c r="H3203">
        <f>SUMPRODUCT(Calc!$K$3:$K$22*(Calc!$G$3:$G$22&gt;B3203)*(Calc!$G$3:$G$22-B3203))</f>
        <v/>
      </c>
      <c r="I3203">
        <f>SUMPRODUCT(Calc!$K$3:$K$22*(Calc!$G$3:$G$22&gt;A3203)*(Calc!$G$3:$G$22-A3203)^2)</f>
        <v/>
      </c>
      <c r="J3203">
        <f>SUMPRODUCT(Calc!$K$3:$K$22*(Calc!$G$3:$G$22&gt;B3203)*(Calc!$G$3:$G$22-B3203)^2)</f>
        <v/>
      </c>
      <c r="K3203">
        <f>SUMPRODUCT(Calc!$K$3:$K$22*(Calc!$G$3:$G$22&gt;A3203)*(Calc!$G$3:$G$22-A3203)*(Calc!$G$3:$G$22&gt;B3203)*(Calc!$G$3:$G$22-B3203))</f>
        <v/>
      </c>
      <c r="L3203">
        <f>SUMPRODUCT(Calc!$K$3:$K$22*(Calc!$G$3:$G$22&gt;A3203)*(Calc!$G$3:$G$22-A3203)*Calc!$G$3:$G$22)</f>
        <v/>
      </c>
      <c r="M3203">
        <f>SUMPRODUCT(Calc!$K$3:$K$22*(Calc!$G$3:$G$22&gt;B3203)*(Calc!$G$3:$G$22-B3203)*Calc!$G$3:$G$22)</f>
        <v/>
      </c>
      <c r="N3203">
        <f>SUMPRODUCT(Calc!$K$3:$K$22*(Calc!$G$3:$G$22&gt;A3203)*(Calc!$G$3:$G$22-A3203)*Calc!$I$3:$I$22)</f>
        <v/>
      </c>
      <c r="O3203">
        <f>SUMPRODUCT(Calc!$K$3:$K$22*(Calc!$G$3:$G$22&gt;B3203)*(Calc!$G$3:$G$22-B3203)*Calc!$I$3:$I$22)</f>
        <v/>
      </c>
      <c r="P3203">
        <f>I3203-G3203^2/k_n</f>
        <v/>
      </c>
      <c r="Q3203">
        <f>J3203-H3203^2/k_n</f>
        <v/>
      </c>
      <c r="R3203">
        <f>K3203-G3203*H3203/k_n</f>
        <v/>
      </c>
      <c r="S3203">
        <f>L3203-LTP3!$D$3*G3203/k_n</f>
        <v/>
      </c>
      <c r="T3203">
        <f>M3203-LTP3!$D$3*H3203/k_n</f>
        <v/>
      </c>
      <c r="U3203">
        <f>N3203-G3203*LTP3!$D$4/k_n</f>
        <v/>
      </c>
      <c r="V3203">
        <f>O3203-H3203*LTP3!$D$4/k_n</f>
        <v/>
      </c>
      <c r="W3203">
        <f>((LTP3!$D$5)*((P3203)*(Q3203)-(R3203)*(R3203))-(S3203)*((S3203)*(Q3203)-(R3203)*(T3203))+(T3203)*((S3203)*(R3203)-(P3203)*(T3203)))</f>
        <v/>
      </c>
      <c r="X3203">
        <f>IF(ABS(W3203)&gt;1E-12,((LTP3!$D$6)*((P3203)*(Q3203)-(R3203)*(R3203))-(S3203)*((U3203)*(Q3203)-(R3203)*(V3203))+(T3203)*((U3203)*(R3203)-(P3203)*(V3203)))/W3203,0)</f>
        <v/>
      </c>
      <c r="Y3203">
        <f>IF(ABS(W3203)&gt;1E-12,((LTP3!$D$5)*((U3203)*(Q3203)-(R3203)*(V3203))-(LTP3!$D$6)*((S3203)*(Q3203)-(R3203)*(T3203))+(T3203)*((S3203)*(V3203)-(U3203)*(T3203)))/W3203,0)</f>
        <v/>
      </c>
      <c r="Z3203">
        <f>IF(ABS(W3203)&gt;1E-12,((LTP3!$D$5)*((P3203)*(V3203)-(U3203)*(R3203))-(S3203)*((S3203)*(V3203)-(U3203)*(T3203))+(LTP3!$D$6)*((S3203)*(R3203)-(P3203)*(T3203)))/W3203,0)</f>
        <v/>
      </c>
      <c r="AA3203">
        <f>LTP3!$D$7-X3203*LTP3!$D$6-Y3203*U3203-Z3203*V3203</f>
        <v/>
      </c>
      <c r="AB3203">
        <f>IF(AND(F3203,ABS(W3203)&gt;1E-12,Y3203&gt;0,Z3203&gt;0),AA3203,1E+300)</f>
        <v/>
      </c>
    </row>
    <row r="3204">
      <c r="A3204">
        <f>$B$3+$B$5*52</f>
        <v/>
      </c>
      <c r="B3204">
        <f>$B$3+$B$5*20</f>
        <v/>
      </c>
      <c r="C3204">
        <f>SUMPRODUCT(Calc!$K$3:$K$22*(Calc!$G$3:$G$22&lt;=A3204))</f>
        <v/>
      </c>
      <c r="D3204">
        <f>SUMPRODUCT(Calc!$K$3:$K$22*(Calc!$G$3:$G$22&gt;A3204)*(Calc!$G$3:$G$22&lt;B3204))</f>
        <v/>
      </c>
      <c r="E3204">
        <f>SUMPRODUCT(Calc!$K$3:$K$22*(Calc!$G$3:$G$22&gt;=B3204))</f>
        <v/>
      </c>
      <c r="F3204">
        <f>AND(k_n&gt;=5,B3204&gt;A3204+1E-9,C3204&gt;=2,D3204&gt;=1,E3204&gt;=2)</f>
        <v/>
      </c>
      <c r="G3204">
        <f>SUMPRODUCT(Calc!$K$3:$K$22*(Calc!$G$3:$G$22&gt;A3204)*(Calc!$G$3:$G$22-A3204))</f>
        <v/>
      </c>
      <c r="H3204">
        <f>SUMPRODUCT(Calc!$K$3:$K$22*(Calc!$G$3:$G$22&gt;B3204)*(Calc!$G$3:$G$22-B3204))</f>
        <v/>
      </c>
      <c r="I3204">
        <f>SUMPRODUCT(Calc!$K$3:$K$22*(Calc!$G$3:$G$22&gt;A3204)*(Calc!$G$3:$G$22-A3204)^2)</f>
        <v/>
      </c>
      <c r="J3204">
        <f>SUMPRODUCT(Calc!$K$3:$K$22*(Calc!$G$3:$G$22&gt;B3204)*(Calc!$G$3:$G$22-B3204)^2)</f>
        <v/>
      </c>
      <c r="K3204">
        <f>SUMPRODUCT(Calc!$K$3:$K$22*(Calc!$G$3:$G$22&gt;A3204)*(Calc!$G$3:$G$22-A3204)*(Calc!$G$3:$G$22&gt;B3204)*(Calc!$G$3:$G$22-B3204))</f>
        <v/>
      </c>
      <c r="L3204">
        <f>SUMPRODUCT(Calc!$K$3:$K$22*(Calc!$G$3:$G$22&gt;A3204)*(Calc!$G$3:$G$22-A3204)*Calc!$G$3:$G$22)</f>
        <v/>
      </c>
      <c r="M3204">
        <f>SUMPRODUCT(Calc!$K$3:$K$22*(Calc!$G$3:$G$22&gt;B3204)*(Calc!$G$3:$G$22-B3204)*Calc!$G$3:$G$22)</f>
        <v/>
      </c>
      <c r="N3204">
        <f>SUMPRODUCT(Calc!$K$3:$K$22*(Calc!$G$3:$G$22&gt;A3204)*(Calc!$G$3:$G$22-A3204)*Calc!$I$3:$I$22)</f>
        <v/>
      </c>
      <c r="O3204">
        <f>SUMPRODUCT(Calc!$K$3:$K$22*(Calc!$G$3:$G$22&gt;B3204)*(Calc!$G$3:$G$22-B3204)*Calc!$I$3:$I$22)</f>
        <v/>
      </c>
      <c r="P3204">
        <f>I3204-G3204^2/k_n</f>
        <v/>
      </c>
      <c r="Q3204">
        <f>J3204-H3204^2/k_n</f>
        <v/>
      </c>
      <c r="R3204">
        <f>K3204-G3204*H3204/k_n</f>
        <v/>
      </c>
      <c r="S3204">
        <f>L3204-LTP3!$D$3*G3204/k_n</f>
        <v/>
      </c>
      <c r="T3204">
        <f>M3204-LTP3!$D$3*H3204/k_n</f>
        <v/>
      </c>
      <c r="U3204">
        <f>N3204-G3204*LTP3!$D$4/k_n</f>
        <v/>
      </c>
      <c r="V3204">
        <f>O3204-H3204*LTP3!$D$4/k_n</f>
        <v/>
      </c>
      <c r="W3204">
        <f>((LTP3!$D$5)*((P3204)*(Q3204)-(R3204)*(R3204))-(S3204)*((S3204)*(Q3204)-(R3204)*(T3204))+(T3204)*((S3204)*(R3204)-(P3204)*(T3204)))</f>
        <v/>
      </c>
      <c r="X3204">
        <f>IF(ABS(W3204)&gt;1E-12,((LTP3!$D$6)*((P3204)*(Q3204)-(R3204)*(R3204))-(S3204)*((U3204)*(Q3204)-(R3204)*(V3204))+(T3204)*((U3204)*(R3204)-(P3204)*(V3204)))/W3204,0)</f>
        <v/>
      </c>
      <c r="Y3204">
        <f>IF(ABS(W3204)&gt;1E-12,((LTP3!$D$5)*((U3204)*(Q3204)-(R3204)*(V3204))-(LTP3!$D$6)*((S3204)*(Q3204)-(R3204)*(T3204))+(T3204)*((S3204)*(V3204)-(U3204)*(T3204)))/W3204,0)</f>
        <v/>
      </c>
      <c r="Z3204">
        <f>IF(ABS(W3204)&gt;1E-12,((LTP3!$D$5)*((P3204)*(V3204)-(U3204)*(R3204))-(S3204)*((S3204)*(V3204)-(U3204)*(T3204))+(LTP3!$D$6)*((S3204)*(R3204)-(P3204)*(T3204)))/W3204,0)</f>
        <v/>
      </c>
      <c r="AA3204">
        <f>LTP3!$D$7-X3204*LTP3!$D$6-Y3204*U3204-Z3204*V3204</f>
        <v/>
      </c>
      <c r="AB3204">
        <f>IF(AND(F3204,ABS(W3204)&gt;1E-12,Y3204&gt;0,Z3204&gt;0),AA3204,1E+300)</f>
        <v/>
      </c>
    </row>
    <row r="3205">
      <c r="A3205">
        <f>$B$3+$B$5*52</f>
        <v/>
      </c>
      <c r="B3205">
        <f>$B$3+$B$5*21</f>
        <v/>
      </c>
      <c r="C3205">
        <f>SUMPRODUCT(Calc!$K$3:$K$22*(Calc!$G$3:$G$22&lt;=A3205))</f>
        <v/>
      </c>
      <c r="D3205">
        <f>SUMPRODUCT(Calc!$K$3:$K$22*(Calc!$G$3:$G$22&gt;A3205)*(Calc!$G$3:$G$22&lt;B3205))</f>
        <v/>
      </c>
      <c r="E3205">
        <f>SUMPRODUCT(Calc!$K$3:$K$22*(Calc!$G$3:$G$22&gt;=B3205))</f>
        <v/>
      </c>
      <c r="F3205">
        <f>AND(k_n&gt;=5,B3205&gt;A3205+1E-9,C3205&gt;=2,D3205&gt;=1,E3205&gt;=2)</f>
        <v/>
      </c>
      <c r="G3205">
        <f>SUMPRODUCT(Calc!$K$3:$K$22*(Calc!$G$3:$G$22&gt;A3205)*(Calc!$G$3:$G$22-A3205))</f>
        <v/>
      </c>
      <c r="H3205">
        <f>SUMPRODUCT(Calc!$K$3:$K$22*(Calc!$G$3:$G$22&gt;B3205)*(Calc!$G$3:$G$22-B3205))</f>
        <v/>
      </c>
      <c r="I3205">
        <f>SUMPRODUCT(Calc!$K$3:$K$22*(Calc!$G$3:$G$22&gt;A3205)*(Calc!$G$3:$G$22-A3205)^2)</f>
        <v/>
      </c>
      <c r="J3205">
        <f>SUMPRODUCT(Calc!$K$3:$K$22*(Calc!$G$3:$G$22&gt;B3205)*(Calc!$G$3:$G$22-B3205)^2)</f>
        <v/>
      </c>
      <c r="K3205">
        <f>SUMPRODUCT(Calc!$K$3:$K$22*(Calc!$G$3:$G$22&gt;A3205)*(Calc!$G$3:$G$22-A3205)*(Calc!$G$3:$G$22&gt;B3205)*(Calc!$G$3:$G$22-B3205))</f>
        <v/>
      </c>
      <c r="L3205">
        <f>SUMPRODUCT(Calc!$K$3:$K$22*(Calc!$G$3:$G$22&gt;A3205)*(Calc!$G$3:$G$22-A3205)*Calc!$G$3:$G$22)</f>
        <v/>
      </c>
      <c r="M3205">
        <f>SUMPRODUCT(Calc!$K$3:$K$22*(Calc!$G$3:$G$22&gt;B3205)*(Calc!$G$3:$G$22-B3205)*Calc!$G$3:$G$22)</f>
        <v/>
      </c>
      <c r="N3205">
        <f>SUMPRODUCT(Calc!$K$3:$K$22*(Calc!$G$3:$G$22&gt;A3205)*(Calc!$G$3:$G$22-A3205)*Calc!$I$3:$I$22)</f>
        <v/>
      </c>
      <c r="O3205">
        <f>SUMPRODUCT(Calc!$K$3:$K$22*(Calc!$G$3:$G$22&gt;B3205)*(Calc!$G$3:$G$22-B3205)*Calc!$I$3:$I$22)</f>
        <v/>
      </c>
      <c r="P3205">
        <f>I3205-G3205^2/k_n</f>
        <v/>
      </c>
      <c r="Q3205">
        <f>J3205-H3205^2/k_n</f>
        <v/>
      </c>
      <c r="R3205">
        <f>K3205-G3205*H3205/k_n</f>
        <v/>
      </c>
      <c r="S3205">
        <f>L3205-LTP3!$D$3*G3205/k_n</f>
        <v/>
      </c>
      <c r="T3205">
        <f>M3205-LTP3!$D$3*H3205/k_n</f>
        <v/>
      </c>
      <c r="U3205">
        <f>N3205-G3205*LTP3!$D$4/k_n</f>
        <v/>
      </c>
      <c r="V3205">
        <f>O3205-H3205*LTP3!$D$4/k_n</f>
        <v/>
      </c>
      <c r="W3205">
        <f>((LTP3!$D$5)*((P3205)*(Q3205)-(R3205)*(R3205))-(S3205)*((S3205)*(Q3205)-(R3205)*(T3205))+(T3205)*((S3205)*(R3205)-(P3205)*(T3205)))</f>
        <v/>
      </c>
      <c r="X3205">
        <f>IF(ABS(W3205)&gt;1E-12,((LTP3!$D$6)*((P3205)*(Q3205)-(R3205)*(R3205))-(S3205)*((U3205)*(Q3205)-(R3205)*(V3205))+(T3205)*((U3205)*(R3205)-(P3205)*(V3205)))/W3205,0)</f>
        <v/>
      </c>
      <c r="Y3205">
        <f>IF(ABS(W3205)&gt;1E-12,((LTP3!$D$5)*((U3205)*(Q3205)-(R3205)*(V3205))-(LTP3!$D$6)*((S3205)*(Q3205)-(R3205)*(T3205))+(T3205)*((S3205)*(V3205)-(U3205)*(T3205)))/W3205,0)</f>
        <v/>
      </c>
      <c r="Z3205">
        <f>IF(ABS(W3205)&gt;1E-12,((LTP3!$D$5)*((P3205)*(V3205)-(U3205)*(R3205))-(S3205)*((S3205)*(V3205)-(U3205)*(T3205))+(LTP3!$D$6)*((S3205)*(R3205)-(P3205)*(T3205)))/W3205,0)</f>
        <v/>
      </c>
      <c r="AA3205">
        <f>LTP3!$D$7-X3205*LTP3!$D$6-Y3205*U3205-Z3205*V3205</f>
        <v/>
      </c>
      <c r="AB3205">
        <f>IF(AND(F3205,ABS(W3205)&gt;1E-12,Y3205&gt;0,Z3205&gt;0),AA3205,1E+300)</f>
        <v/>
      </c>
    </row>
    <row r="3206">
      <c r="A3206">
        <f>$B$3+$B$5*52</f>
        <v/>
      </c>
      <c r="B3206">
        <f>$B$3+$B$5*22</f>
        <v/>
      </c>
      <c r="C3206">
        <f>SUMPRODUCT(Calc!$K$3:$K$22*(Calc!$G$3:$G$22&lt;=A3206))</f>
        <v/>
      </c>
      <c r="D3206">
        <f>SUMPRODUCT(Calc!$K$3:$K$22*(Calc!$G$3:$G$22&gt;A3206)*(Calc!$G$3:$G$22&lt;B3206))</f>
        <v/>
      </c>
      <c r="E3206">
        <f>SUMPRODUCT(Calc!$K$3:$K$22*(Calc!$G$3:$G$22&gt;=B3206))</f>
        <v/>
      </c>
      <c r="F3206">
        <f>AND(k_n&gt;=5,B3206&gt;A3206+1E-9,C3206&gt;=2,D3206&gt;=1,E3206&gt;=2)</f>
        <v/>
      </c>
      <c r="G3206">
        <f>SUMPRODUCT(Calc!$K$3:$K$22*(Calc!$G$3:$G$22&gt;A3206)*(Calc!$G$3:$G$22-A3206))</f>
        <v/>
      </c>
      <c r="H3206">
        <f>SUMPRODUCT(Calc!$K$3:$K$22*(Calc!$G$3:$G$22&gt;B3206)*(Calc!$G$3:$G$22-B3206))</f>
        <v/>
      </c>
      <c r="I3206">
        <f>SUMPRODUCT(Calc!$K$3:$K$22*(Calc!$G$3:$G$22&gt;A3206)*(Calc!$G$3:$G$22-A3206)^2)</f>
        <v/>
      </c>
      <c r="J3206">
        <f>SUMPRODUCT(Calc!$K$3:$K$22*(Calc!$G$3:$G$22&gt;B3206)*(Calc!$G$3:$G$22-B3206)^2)</f>
        <v/>
      </c>
      <c r="K3206">
        <f>SUMPRODUCT(Calc!$K$3:$K$22*(Calc!$G$3:$G$22&gt;A3206)*(Calc!$G$3:$G$22-A3206)*(Calc!$G$3:$G$22&gt;B3206)*(Calc!$G$3:$G$22-B3206))</f>
        <v/>
      </c>
      <c r="L3206">
        <f>SUMPRODUCT(Calc!$K$3:$K$22*(Calc!$G$3:$G$22&gt;A3206)*(Calc!$G$3:$G$22-A3206)*Calc!$G$3:$G$22)</f>
        <v/>
      </c>
      <c r="M3206">
        <f>SUMPRODUCT(Calc!$K$3:$K$22*(Calc!$G$3:$G$22&gt;B3206)*(Calc!$G$3:$G$22-B3206)*Calc!$G$3:$G$22)</f>
        <v/>
      </c>
      <c r="N3206">
        <f>SUMPRODUCT(Calc!$K$3:$K$22*(Calc!$G$3:$G$22&gt;A3206)*(Calc!$G$3:$G$22-A3206)*Calc!$I$3:$I$22)</f>
        <v/>
      </c>
      <c r="O3206">
        <f>SUMPRODUCT(Calc!$K$3:$K$22*(Calc!$G$3:$G$22&gt;B3206)*(Calc!$G$3:$G$22-B3206)*Calc!$I$3:$I$22)</f>
        <v/>
      </c>
      <c r="P3206">
        <f>I3206-G3206^2/k_n</f>
        <v/>
      </c>
      <c r="Q3206">
        <f>J3206-H3206^2/k_n</f>
        <v/>
      </c>
      <c r="R3206">
        <f>K3206-G3206*H3206/k_n</f>
        <v/>
      </c>
      <c r="S3206">
        <f>L3206-LTP3!$D$3*G3206/k_n</f>
        <v/>
      </c>
      <c r="T3206">
        <f>M3206-LTP3!$D$3*H3206/k_n</f>
        <v/>
      </c>
      <c r="U3206">
        <f>N3206-G3206*LTP3!$D$4/k_n</f>
        <v/>
      </c>
      <c r="V3206">
        <f>O3206-H3206*LTP3!$D$4/k_n</f>
        <v/>
      </c>
      <c r="W3206">
        <f>((LTP3!$D$5)*((P3206)*(Q3206)-(R3206)*(R3206))-(S3206)*((S3206)*(Q3206)-(R3206)*(T3206))+(T3206)*((S3206)*(R3206)-(P3206)*(T3206)))</f>
        <v/>
      </c>
      <c r="X3206">
        <f>IF(ABS(W3206)&gt;1E-12,((LTP3!$D$6)*((P3206)*(Q3206)-(R3206)*(R3206))-(S3206)*((U3206)*(Q3206)-(R3206)*(V3206))+(T3206)*((U3206)*(R3206)-(P3206)*(V3206)))/W3206,0)</f>
        <v/>
      </c>
      <c r="Y3206">
        <f>IF(ABS(W3206)&gt;1E-12,((LTP3!$D$5)*((U3206)*(Q3206)-(R3206)*(V3206))-(LTP3!$D$6)*((S3206)*(Q3206)-(R3206)*(T3206))+(T3206)*((S3206)*(V3206)-(U3206)*(T3206)))/W3206,0)</f>
        <v/>
      </c>
      <c r="Z3206">
        <f>IF(ABS(W3206)&gt;1E-12,((LTP3!$D$5)*((P3206)*(V3206)-(U3206)*(R3206))-(S3206)*((S3206)*(V3206)-(U3206)*(T3206))+(LTP3!$D$6)*((S3206)*(R3206)-(P3206)*(T3206)))/W3206,0)</f>
        <v/>
      </c>
      <c r="AA3206">
        <f>LTP3!$D$7-X3206*LTP3!$D$6-Y3206*U3206-Z3206*V3206</f>
        <v/>
      </c>
      <c r="AB3206">
        <f>IF(AND(F3206,ABS(W3206)&gt;1E-12,Y3206&gt;0,Z3206&gt;0),AA3206,1E+300)</f>
        <v/>
      </c>
    </row>
    <row r="3207">
      <c r="A3207">
        <f>$B$3+$B$5*52</f>
        <v/>
      </c>
      <c r="B3207">
        <f>$B$3+$B$5*23</f>
        <v/>
      </c>
      <c r="C3207">
        <f>SUMPRODUCT(Calc!$K$3:$K$22*(Calc!$G$3:$G$22&lt;=A3207))</f>
        <v/>
      </c>
      <c r="D3207">
        <f>SUMPRODUCT(Calc!$K$3:$K$22*(Calc!$G$3:$G$22&gt;A3207)*(Calc!$G$3:$G$22&lt;B3207))</f>
        <v/>
      </c>
      <c r="E3207">
        <f>SUMPRODUCT(Calc!$K$3:$K$22*(Calc!$G$3:$G$22&gt;=B3207))</f>
        <v/>
      </c>
      <c r="F3207">
        <f>AND(k_n&gt;=5,B3207&gt;A3207+1E-9,C3207&gt;=2,D3207&gt;=1,E3207&gt;=2)</f>
        <v/>
      </c>
      <c r="G3207">
        <f>SUMPRODUCT(Calc!$K$3:$K$22*(Calc!$G$3:$G$22&gt;A3207)*(Calc!$G$3:$G$22-A3207))</f>
        <v/>
      </c>
      <c r="H3207">
        <f>SUMPRODUCT(Calc!$K$3:$K$22*(Calc!$G$3:$G$22&gt;B3207)*(Calc!$G$3:$G$22-B3207))</f>
        <v/>
      </c>
      <c r="I3207">
        <f>SUMPRODUCT(Calc!$K$3:$K$22*(Calc!$G$3:$G$22&gt;A3207)*(Calc!$G$3:$G$22-A3207)^2)</f>
        <v/>
      </c>
      <c r="J3207">
        <f>SUMPRODUCT(Calc!$K$3:$K$22*(Calc!$G$3:$G$22&gt;B3207)*(Calc!$G$3:$G$22-B3207)^2)</f>
        <v/>
      </c>
      <c r="K3207">
        <f>SUMPRODUCT(Calc!$K$3:$K$22*(Calc!$G$3:$G$22&gt;A3207)*(Calc!$G$3:$G$22-A3207)*(Calc!$G$3:$G$22&gt;B3207)*(Calc!$G$3:$G$22-B3207))</f>
        <v/>
      </c>
      <c r="L3207">
        <f>SUMPRODUCT(Calc!$K$3:$K$22*(Calc!$G$3:$G$22&gt;A3207)*(Calc!$G$3:$G$22-A3207)*Calc!$G$3:$G$22)</f>
        <v/>
      </c>
      <c r="M3207">
        <f>SUMPRODUCT(Calc!$K$3:$K$22*(Calc!$G$3:$G$22&gt;B3207)*(Calc!$G$3:$G$22-B3207)*Calc!$G$3:$G$22)</f>
        <v/>
      </c>
      <c r="N3207">
        <f>SUMPRODUCT(Calc!$K$3:$K$22*(Calc!$G$3:$G$22&gt;A3207)*(Calc!$G$3:$G$22-A3207)*Calc!$I$3:$I$22)</f>
        <v/>
      </c>
      <c r="O3207">
        <f>SUMPRODUCT(Calc!$K$3:$K$22*(Calc!$G$3:$G$22&gt;B3207)*(Calc!$G$3:$G$22-B3207)*Calc!$I$3:$I$22)</f>
        <v/>
      </c>
      <c r="P3207">
        <f>I3207-G3207^2/k_n</f>
        <v/>
      </c>
      <c r="Q3207">
        <f>J3207-H3207^2/k_n</f>
        <v/>
      </c>
      <c r="R3207">
        <f>K3207-G3207*H3207/k_n</f>
        <v/>
      </c>
      <c r="S3207">
        <f>L3207-LTP3!$D$3*G3207/k_n</f>
        <v/>
      </c>
      <c r="T3207">
        <f>M3207-LTP3!$D$3*H3207/k_n</f>
        <v/>
      </c>
      <c r="U3207">
        <f>N3207-G3207*LTP3!$D$4/k_n</f>
        <v/>
      </c>
      <c r="V3207">
        <f>O3207-H3207*LTP3!$D$4/k_n</f>
        <v/>
      </c>
      <c r="W3207">
        <f>((LTP3!$D$5)*((P3207)*(Q3207)-(R3207)*(R3207))-(S3207)*((S3207)*(Q3207)-(R3207)*(T3207))+(T3207)*((S3207)*(R3207)-(P3207)*(T3207)))</f>
        <v/>
      </c>
      <c r="X3207">
        <f>IF(ABS(W3207)&gt;1E-12,((LTP3!$D$6)*((P3207)*(Q3207)-(R3207)*(R3207))-(S3207)*((U3207)*(Q3207)-(R3207)*(V3207))+(T3207)*((U3207)*(R3207)-(P3207)*(V3207)))/W3207,0)</f>
        <v/>
      </c>
      <c r="Y3207">
        <f>IF(ABS(W3207)&gt;1E-12,((LTP3!$D$5)*((U3207)*(Q3207)-(R3207)*(V3207))-(LTP3!$D$6)*((S3207)*(Q3207)-(R3207)*(T3207))+(T3207)*((S3207)*(V3207)-(U3207)*(T3207)))/W3207,0)</f>
        <v/>
      </c>
      <c r="Z3207">
        <f>IF(ABS(W3207)&gt;1E-12,((LTP3!$D$5)*((P3207)*(V3207)-(U3207)*(R3207))-(S3207)*((S3207)*(V3207)-(U3207)*(T3207))+(LTP3!$D$6)*((S3207)*(R3207)-(P3207)*(T3207)))/W3207,0)</f>
        <v/>
      </c>
      <c r="AA3207">
        <f>LTP3!$D$7-X3207*LTP3!$D$6-Y3207*U3207-Z3207*V3207</f>
        <v/>
      </c>
      <c r="AB3207">
        <f>IF(AND(F3207,ABS(W3207)&gt;1E-12,Y3207&gt;0,Z3207&gt;0),AA3207,1E+300)</f>
        <v/>
      </c>
    </row>
    <row r="3208">
      <c r="A3208">
        <f>$B$3+$B$5*52</f>
        <v/>
      </c>
      <c r="B3208">
        <f>$B$3+$B$5*24</f>
        <v/>
      </c>
      <c r="C3208">
        <f>SUMPRODUCT(Calc!$K$3:$K$22*(Calc!$G$3:$G$22&lt;=A3208))</f>
        <v/>
      </c>
      <c r="D3208">
        <f>SUMPRODUCT(Calc!$K$3:$K$22*(Calc!$G$3:$G$22&gt;A3208)*(Calc!$G$3:$G$22&lt;B3208))</f>
        <v/>
      </c>
      <c r="E3208">
        <f>SUMPRODUCT(Calc!$K$3:$K$22*(Calc!$G$3:$G$22&gt;=B3208))</f>
        <v/>
      </c>
      <c r="F3208">
        <f>AND(k_n&gt;=5,B3208&gt;A3208+1E-9,C3208&gt;=2,D3208&gt;=1,E3208&gt;=2)</f>
        <v/>
      </c>
      <c r="G3208">
        <f>SUMPRODUCT(Calc!$K$3:$K$22*(Calc!$G$3:$G$22&gt;A3208)*(Calc!$G$3:$G$22-A3208))</f>
        <v/>
      </c>
      <c r="H3208">
        <f>SUMPRODUCT(Calc!$K$3:$K$22*(Calc!$G$3:$G$22&gt;B3208)*(Calc!$G$3:$G$22-B3208))</f>
        <v/>
      </c>
      <c r="I3208">
        <f>SUMPRODUCT(Calc!$K$3:$K$22*(Calc!$G$3:$G$22&gt;A3208)*(Calc!$G$3:$G$22-A3208)^2)</f>
        <v/>
      </c>
      <c r="J3208">
        <f>SUMPRODUCT(Calc!$K$3:$K$22*(Calc!$G$3:$G$22&gt;B3208)*(Calc!$G$3:$G$22-B3208)^2)</f>
        <v/>
      </c>
      <c r="K3208">
        <f>SUMPRODUCT(Calc!$K$3:$K$22*(Calc!$G$3:$G$22&gt;A3208)*(Calc!$G$3:$G$22-A3208)*(Calc!$G$3:$G$22&gt;B3208)*(Calc!$G$3:$G$22-B3208))</f>
        <v/>
      </c>
      <c r="L3208">
        <f>SUMPRODUCT(Calc!$K$3:$K$22*(Calc!$G$3:$G$22&gt;A3208)*(Calc!$G$3:$G$22-A3208)*Calc!$G$3:$G$22)</f>
        <v/>
      </c>
      <c r="M3208">
        <f>SUMPRODUCT(Calc!$K$3:$K$22*(Calc!$G$3:$G$22&gt;B3208)*(Calc!$G$3:$G$22-B3208)*Calc!$G$3:$G$22)</f>
        <v/>
      </c>
      <c r="N3208">
        <f>SUMPRODUCT(Calc!$K$3:$K$22*(Calc!$G$3:$G$22&gt;A3208)*(Calc!$G$3:$G$22-A3208)*Calc!$I$3:$I$22)</f>
        <v/>
      </c>
      <c r="O3208">
        <f>SUMPRODUCT(Calc!$K$3:$K$22*(Calc!$G$3:$G$22&gt;B3208)*(Calc!$G$3:$G$22-B3208)*Calc!$I$3:$I$22)</f>
        <v/>
      </c>
      <c r="P3208">
        <f>I3208-G3208^2/k_n</f>
        <v/>
      </c>
      <c r="Q3208">
        <f>J3208-H3208^2/k_n</f>
        <v/>
      </c>
      <c r="R3208">
        <f>K3208-G3208*H3208/k_n</f>
        <v/>
      </c>
      <c r="S3208">
        <f>L3208-LTP3!$D$3*G3208/k_n</f>
        <v/>
      </c>
      <c r="T3208">
        <f>M3208-LTP3!$D$3*H3208/k_n</f>
        <v/>
      </c>
      <c r="U3208">
        <f>N3208-G3208*LTP3!$D$4/k_n</f>
        <v/>
      </c>
      <c r="V3208">
        <f>O3208-H3208*LTP3!$D$4/k_n</f>
        <v/>
      </c>
      <c r="W3208">
        <f>((LTP3!$D$5)*((P3208)*(Q3208)-(R3208)*(R3208))-(S3208)*((S3208)*(Q3208)-(R3208)*(T3208))+(T3208)*((S3208)*(R3208)-(P3208)*(T3208)))</f>
        <v/>
      </c>
      <c r="X3208">
        <f>IF(ABS(W3208)&gt;1E-12,((LTP3!$D$6)*((P3208)*(Q3208)-(R3208)*(R3208))-(S3208)*((U3208)*(Q3208)-(R3208)*(V3208))+(T3208)*((U3208)*(R3208)-(P3208)*(V3208)))/W3208,0)</f>
        <v/>
      </c>
      <c r="Y3208">
        <f>IF(ABS(W3208)&gt;1E-12,((LTP3!$D$5)*((U3208)*(Q3208)-(R3208)*(V3208))-(LTP3!$D$6)*((S3208)*(Q3208)-(R3208)*(T3208))+(T3208)*((S3208)*(V3208)-(U3208)*(T3208)))/W3208,0)</f>
        <v/>
      </c>
      <c r="Z3208">
        <f>IF(ABS(W3208)&gt;1E-12,((LTP3!$D$5)*((P3208)*(V3208)-(U3208)*(R3208))-(S3208)*((S3208)*(V3208)-(U3208)*(T3208))+(LTP3!$D$6)*((S3208)*(R3208)-(P3208)*(T3208)))/W3208,0)</f>
        <v/>
      </c>
      <c r="AA3208">
        <f>LTP3!$D$7-X3208*LTP3!$D$6-Y3208*U3208-Z3208*V3208</f>
        <v/>
      </c>
      <c r="AB3208">
        <f>IF(AND(F3208,ABS(W3208)&gt;1E-12,Y3208&gt;0,Z3208&gt;0),AA3208,1E+300)</f>
        <v/>
      </c>
    </row>
    <row r="3209">
      <c r="A3209">
        <f>$B$3+$B$5*52</f>
        <v/>
      </c>
      <c r="B3209">
        <f>$B$3+$B$5*25</f>
        <v/>
      </c>
      <c r="C3209">
        <f>SUMPRODUCT(Calc!$K$3:$K$22*(Calc!$G$3:$G$22&lt;=A3209))</f>
        <v/>
      </c>
      <c r="D3209">
        <f>SUMPRODUCT(Calc!$K$3:$K$22*(Calc!$G$3:$G$22&gt;A3209)*(Calc!$G$3:$G$22&lt;B3209))</f>
        <v/>
      </c>
      <c r="E3209">
        <f>SUMPRODUCT(Calc!$K$3:$K$22*(Calc!$G$3:$G$22&gt;=B3209))</f>
        <v/>
      </c>
      <c r="F3209">
        <f>AND(k_n&gt;=5,B3209&gt;A3209+1E-9,C3209&gt;=2,D3209&gt;=1,E3209&gt;=2)</f>
        <v/>
      </c>
      <c r="G3209">
        <f>SUMPRODUCT(Calc!$K$3:$K$22*(Calc!$G$3:$G$22&gt;A3209)*(Calc!$G$3:$G$22-A3209))</f>
        <v/>
      </c>
      <c r="H3209">
        <f>SUMPRODUCT(Calc!$K$3:$K$22*(Calc!$G$3:$G$22&gt;B3209)*(Calc!$G$3:$G$22-B3209))</f>
        <v/>
      </c>
      <c r="I3209">
        <f>SUMPRODUCT(Calc!$K$3:$K$22*(Calc!$G$3:$G$22&gt;A3209)*(Calc!$G$3:$G$22-A3209)^2)</f>
        <v/>
      </c>
      <c r="J3209">
        <f>SUMPRODUCT(Calc!$K$3:$K$22*(Calc!$G$3:$G$22&gt;B3209)*(Calc!$G$3:$G$22-B3209)^2)</f>
        <v/>
      </c>
      <c r="K3209">
        <f>SUMPRODUCT(Calc!$K$3:$K$22*(Calc!$G$3:$G$22&gt;A3209)*(Calc!$G$3:$G$22-A3209)*(Calc!$G$3:$G$22&gt;B3209)*(Calc!$G$3:$G$22-B3209))</f>
        <v/>
      </c>
      <c r="L3209">
        <f>SUMPRODUCT(Calc!$K$3:$K$22*(Calc!$G$3:$G$22&gt;A3209)*(Calc!$G$3:$G$22-A3209)*Calc!$G$3:$G$22)</f>
        <v/>
      </c>
      <c r="M3209">
        <f>SUMPRODUCT(Calc!$K$3:$K$22*(Calc!$G$3:$G$22&gt;B3209)*(Calc!$G$3:$G$22-B3209)*Calc!$G$3:$G$22)</f>
        <v/>
      </c>
      <c r="N3209">
        <f>SUMPRODUCT(Calc!$K$3:$K$22*(Calc!$G$3:$G$22&gt;A3209)*(Calc!$G$3:$G$22-A3209)*Calc!$I$3:$I$22)</f>
        <v/>
      </c>
      <c r="O3209">
        <f>SUMPRODUCT(Calc!$K$3:$K$22*(Calc!$G$3:$G$22&gt;B3209)*(Calc!$G$3:$G$22-B3209)*Calc!$I$3:$I$22)</f>
        <v/>
      </c>
      <c r="P3209">
        <f>I3209-G3209^2/k_n</f>
        <v/>
      </c>
      <c r="Q3209">
        <f>J3209-H3209^2/k_n</f>
        <v/>
      </c>
      <c r="R3209">
        <f>K3209-G3209*H3209/k_n</f>
        <v/>
      </c>
      <c r="S3209">
        <f>L3209-LTP3!$D$3*G3209/k_n</f>
        <v/>
      </c>
      <c r="T3209">
        <f>M3209-LTP3!$D$3*H3209/k_n</f>
        <v/>
      </c>
      <c r="U3209">
        <f>N3209-G3209*LTP3!$D$4/k_n</f>
        <v/>
      </c>
      <c r="V3209">
        <f>O3209-H3209*LTP3!$D$4/k_n</f>
        <v/>
      </c>
      <c r="W3209">
        <f>((LTP3!$D$5)*((P3209)*(Q3209)-(R3209)*(R3209))-(S3209)*((S3209)*(Q3209)-(R3209)*(T3209))+(T3209)*((S3209)*(R3209)-(P3209)*(T3209)))</f>
        <v/>
      </c>
      <c r="X3209">
        <f>IF(ABS(W3209)&gt;1E-12,((LTP3!$D$6)*((P3209)*(Q3209)-(R3209)*(R3209))-(S3209)*((U3209)*(Q3209)-(R3209)*(V3209))+(T3209)*((U3209)*(R3209)-(P3209)*(V3209)))/W3209,0)</f>
        <v/>
      </c>
      <c r="Y3209">
        <f>IF(ABS(W3209)&gt;1E-12,((LTP3!$D$5)*((U3209)*(Q3209)-(R3209)*(V3209))-(LTP3!$D$6)*((S3209)*(Q3209)-(R3209)*(T3209))+(T3209)*((S3209)*(V3209)-(U3209)*(T3209)))/W3209,0)</f>
        <v/>
      </c>
      <c r="Z3209">
        <f>IF(ABS(W3209)&gt;1E-12,((LTP3!$D$5)*((P3209)*(V3209)-(U3209)*(R3209))-(S3209)*((S3209)*(V3209)-(U3209)*(T3209))+(LTP3!$D$6)*((S3209)*(R3209)-(P3209)*(T3209)))/W3209,0)</f>
        <v/>
      </c>
      <c r="AA3209">
        <f>LTP3!$D$7-X3209*LTP3!$D$6-Y3209*U3209-Z3209*V3209</f>
        <v/>
      </c>
      <c r="AB3209">
        <f>IF(AND(F3209,ABS(W3209)&gt;1E-12,Y3209&gt;0,Z3209&gt;0),AA3209,1E+300)</f>
        <v/>
      </c>
    </row>
    <row r="3210">
      <c r="A3210">
        <f>$B$3+$B$5*52</f>
        <v/>
      </c>
      <c r="B3210">
        <f>$B$3+$B$5*26</f>
        <v/>
      </c>
      <c r="C3210">
        <f>SUMPRODUCT(Calc!$K$3:$K$22*(Calc!$G$3:$G$22&lt;=A3210))</f>
        <v/>
      </c>
      <c r="D3210">
        <f>SUMPRODUCT(Calc!$K$3:$K$22*(Calc!$G$3:$G$22&gt;A3210)*(Calc!$G$3:$G$22&lt;B3210))</f>
        <v/>
      </c>
      <c r="E3210">
        <f>SUMPRODUCT(Calc!$K$3:$K$22*(Calc!$G$3:$G$22&gt;=B3210))</f>
        <v/>
      </c>
      <c r="F3210">
        <f>AND(k_n&gt;=5,B3210&gt;A3210+1E-9,C3210&gt;=2,D3210&gt;=1,E3210&gt;=2)</f>
        <v/>
      </c>
      <c r="G3210">
        <f>SUMPRODUCT(Calc!$K$3:$K$22*(Calc!$G$3:$G$22&gt;A3210)*(Calc!$G$3:$G$22-A3210))</f>
        <v/>
      </c>
      <c r="H3210">
        <f>SUMPRODUCT(Calc!$K$3:$K$22*(Calc!$G$3:$G$22&gt;B3210)*(Calc!$G$3:$G$22-B3210))</f>
        <v/>
      </c>
      <c r="I3210">
        <f>SUMPRODUCT(Calc!$K$3:$K$22*(Calc!$G$3:$G$22&gt;A3210)*(Calc!$G$3:$G$22-A3210)^2)</f>
        <v/>
      </c>
      <c r="J3210">
        <f>SUMPRODUCT(Calc!$K$3:$K$22*(Calc!$G$3:$G$22&gt;B3210)*(Calc!$G$3:$G$22-B3210)^2)</f>
        <v/>
      </c>
      <c r="K3210">
        <f>SUMPRODUCT(Calc!$K$3:$K$22*(Calc!$G$3:$G$22&gt;A3210)*(Calc!$G$3:$G$22-A3210)*(Calc!$G$3:$G$22&gt;B3210)*(Calc!$G$3:$G$22-B3210))</f>
        <v/>
      </c>
      <c r="L3210">
        <f>SUMPRODUCT(Calc!$K$3:$K$22*(Calc!$G$3:$G$22&gt;A3210)*(Calc!$G$3:$G$22-A3210)*Calc!$G$3:$G$22)</f>
        <v/>
      </c>
      <c r="M3210">
        <f>SUMPRODUCT(Calc!$K$3:$K$22*(Calc!$G$3:$G$22&gt;B3210)*(Calc!$G$3:$G$22-B3210)*Calc!$G$3:$G$22)</f>
        <v/>
      </c>
      <c r="N3210">
        <f>SUMPRODUCT(Calc!$K$3:$K$22*(Calc!$G$3:$G$22&gt;A3210)*(Calc!$G$3:$G$22-A3210)*Calc!$I$3:$I$22)</f>
        <v/>
      </c>
      <c r="O3210">
        <f>SUMPRODUCT(Calc!$K$3:$K$22*(Calc!$G$3:$G$22&gt;B3210)*(Calc!$G$3:$G$22-B3210)*Calc!$I$3:$I$22)</f>
        <v/>
      </c>
      <c r="P3210">
        <f>I3210-G3210^2/k_n</f>
        <v/>
      </c>
      <c r="Q3210">
        <f>J3210-H3210^2/k_n</f>
        <v/>
      </c>
      <c r="R3210">
        <f>K3210-G3210*H3210/k_n</f>
        <v/>
      </c>
      <c r="S3210">
        <f>L3210-LTP3!$D$3*G3210/k_n</f>
        <v/>
      </c>
      <c r="T3210">
        <f>M3210-LTP3!$D$3*H3210/k_n</f>
        <v/>
      </c>
      <c r="U3210">
        <f>N3210-G3210*LTP3!$D$4/k_n</f>
        <v/>
      </c>
      <c r="V3210">
        <f>O3210-H3210*LTP3!$D$4/k_n</f>
        <v/>
      </c>
      <c r="W3210">
        <f>((LTP3!$D$5)*((P3210)*(Q3210)-(R3210)*(R3210))-(S3210)*((S3210)*(Q3210)-(R3210)*(T3210))+(T3210)*((S3210)*(R3210)-(P3210)*(T3210)))</f>
        <v/>
      </c>
      <c r="X3210">
        <f>IF(ABS(W3210)&gt;1E-12,((LTP3!$D$6)*((P3210)*(Q3210)-(R3210)*(R3210))-(S3210)*((U3210)*(Q3210)-(R3210)*(V3210))+(T3210)*((U3210)*(R3210)-(P3210)*(V3210)))/W3210,0)</f>
        <v/>
      </c>
      <c r="Y3210">
        <f>IF(ABS(W3210)&gt;1E-12,((LTP3!$D$5)*((U3210)*(Q3210)-(R3210)*(V3210))-(LTP3!$D$6)*((S3210)*(Q3210)-(R3210)*(T3210))+(T3210)*((S3210)*(V3210)-(U3210)*(T3210)))/W3210,0)</f>
        <v/>
      </c>
      <c r="Z3210">
        <f>IF(ABS(W3210)&gt;1E-12,((LTP3!$D$5)*((P3210)*(V3210)-(U3210)*(R3210))-(S3210)*((S3210)*(V3210)-(U3210)*(T3210))+(LTP3!$D$6)*((S3210)*(R3210)-(P3210)*(T3210)))/W3210,0)</f>
        <v/>
      </c>
      <c r="AA3210">
        <f>LTP3!$D$7-X3210*LTP3!$D$6-Y3210*U3210-Z3210*V3210</f>
        <v/>
      </c>
      <c r="AB3210">
        <f>IF(AND(F3210,ABS(W3210)&gt;1E-12,Y3210&gt;0,Z3210&gt;0),AA3210,1E+300)</f>
        <v/>
      </c>
    </row>
    <row r="3211">
      <c r="A3211">
        <f>$B$3+$B$5*52</f>
        <v/>
      </c>
      <c r="B3211">
        <f>$B$3+$B$5*27</f>
        <v/>
      </c>
      <c r="C3211">
        <f>SUMPRODUCT(Calc!$K$3:$K$22*(Calc!$G$3:$G$22&lt;=A3211))</f>
        <v/>
      </c>
      <c r="D3211">
        <f>SUMPRODUCT(Calc!$K$3:$K$22*(Calc!$G$3:$G$22&gt;A3211)*(Calc!$G$3:$G$22&lt;B3211))</f>
        <v/>
      </c>
      <c r="E3211">
        <f>SUMPRODUCT(Calc!$K$3:$K$22*(Calc!$G$3:$G$22&gt;=B3211))</f>
        <v/>
      </c>
      <c r="F3211">
        <f>AND(k_n&gt;=5,B3211&gt;A3211+1E-9,C3211&gt;=2,D3211&gt;=1,E3211&gt;=2)</f>
        <v/>
      </c>
      <c r="G3211">
        <f>SUMPRODUCT(Calc!$K$3:$K$22*(Calc!$G$3:$G$22&gt;A3211)*(Calc!$G$3:$G$22-A3211))</f>
        <v/>
      </c>
      <c r="H3211">
        <f>SUMPRODUCT(Calc!$K$3:$K$22*(Calc!$G$3:$G$22&gt;B3211)*(Calc!$G$3:$G$22-B3211))</f>
        <v/>
      </c>
      <c r="I3211">
        <f>SUMPRODUCT(Calc!$K$3:$K$22*(Calc!$G$3:$G$22&gt;A3211)*(Calc!$G$3:$G$22-A3211)^2)</f>
        <v/>
      </c>
      <c r="J3211">
        <f>SUMPRODUCT(Calc!$K$3:$K$22*(Calc!$G$3:$G$22&gt;B3211)*(Calc!$G$3:$G$22-B3211)^2)</f>
        <v/>
      </c>
      <c r="K3211">
        <f>SUMPRODUCT(Calc!$K$3:$K$22*(Calc!$G$3:$G$22&gt;A3211)*(Calc!$G$3:$G$22-A3211)*(Calc!$G$3:$G$22&gt;B3211)*(Calc!$G$3:$G$22-B3211))</f>
        <v/>
      </c>
      <c r="L3211">
        <f>SUMPRODUCT(Calc!$K$3:$K$22*(Calc!$G$3:$G$22&gt;A3211)*(Calc!$G$3:$G$22-A3211)*Calc!$G$3:$G$22)</f>
        <v/>
      </c>
      <c r="M3211">
        <f>SUMPRODUCT(Calc!$K$3:$K$22*(Calc!$G$3:$G$22&gt;B3211)*(Calc!$G$3:$G$22-B3211)*Calc!$G$3:$G$22)</f>
        <v/>
      </c>
      <c r="N3211">
        <f>SUMPRODUCT(Calc!$K$3:$K$22*(Calc!$G$3:$G$22&gt;A3211)*(Calc!$G$3:$G$22-A3211)*Calc!$I$3:$I$22)</f>
        <v/>
      </c>
      <c r="O3211">
        <f>SUMPRODUCT(Calc!$K$3:$K$22*(Calc!$G$3:$G$22&gt;B3211)*(Calc!$G$3:$G$22-B3211)*Calc!$I$3:$I$22)</f>
        <v/>
      </c>
      <c r="P3211">
        <f>I3211-G3211^2/k_n</f>
        <v/>
      </c>
      <c r="Q3211">
        <f>J3211-H3211^2/k_n</f>
        <v/>
      </c>
      <c r="R3211">
        <f>K3211-G3211*H3211/k_n</f>
        <v/>
      </c>
      <c r="S3211">
        <f>L3211-LTP3!$D$3*G3211/k_n</f>
        <v/>
      </c>
      <c r="T3211">
        <f>M3211-LTP3!$D$3*H3211/k_n</f>
        <v/>
      </c>
      <c r="U3211">
        <f>N3211-G3211*LTP3!$D$4/k_n</f>
        <v/>
      </c>
      <c r="V3211">
        <f>O3211-H3211*LTP3!$D$4/k_n</f>
        <v/>
      </c>
      <c r="W3211">
        <f>((LTP3!$D$5)*((P3211)*(Q3211)-(R3211)*(R3211))-(S3211)*((S3211)*(Q3211)-(R3211)*(T3211))+(T3211)*((S3211)*(R3211)-(P3211)*(T3211)))</f>
        <v/>
      </c>
      <c r="X3211">
        <f>IF(ABS(W3211)&gt;1E-12,((LTP3!$D$6)*((P3211)*(Q3211)-(R3211)*(R3211))-(S3211)*((U3211)*(Q3211)-(R3211)*(V3211))+(T3211)*((U3211)*(R3211)-(P3211)*(V3211)))/W3211,0)</f>
        <v/>
      </c>
      <c r="Y3211">
        <f>IF(ABS(W3211)&gt;1E-12,((LTP3!$D$5)*((U3211)*(Q3211)-(R3211)*(V3211))-(LTP3!$D$6)*((S3211)*(Q3211)-(R3211)*(T3211))+(T3211)*((S3211)*(V3211)-(U3211)*(T3211)))/W3211,0)</f>
        <v/>
      </c>
      <c r="Z3211">
        <f>IF(ABS(W3211)&gt;1E-12,((LTP3!$D$5)*((P3211)*(V3211)-(U3211)*(R3211))-(S3211)*((S3211)*(V3211)-(U3211)*(T3211))+(LTP3!$D$6)*((S3211)*(R3211)-(P3211)*(T3211)))/W3211,0)</f>
        <v/>
      </c>
      <c r="AA3211">
        <f>LTP3!$D$7-X3211*LTP3!$D$6-Y3211*U3211-Z3211*V3211</f>
        <v/>
      </c>
      <c r="AB3211">
        <f>IF(AND(F3211,ABS(W3211)&gt;1E-12,Y3211&gt;0,Z3211&gt;0),AA3211,1E+300)</f>
        <v/>
      </c>
    </row>
    <row r="3212">
      <c r="A3212">
        <f>$B$3+$B$5*52</f>
        <v/>
      </c>
      <c r="B3212">
        <f>$B$3+$B$5*28</f>
        <v/>
      </c>
      <c r="C3212">
        <f>SUMPRODUCT(Calc!$K$3:$K$22*(Calc!$G$3:$G$22&lt;=A3212))</f>
        <v/>
      </c>
      <c r="D3212">
        <f>SUMPRODUCT(Calc!$K$3:$K$22*(Calc!$G$3:$G$22&gt;A3212)*(Calc!$G$3:$G$22&lt;B3212))</f>
        <v/>
      </c>
      <c r="E3212">
        <f>SUMPRODUCT(Calc!$K$3:$K$22*(Calc!$G$3:$G$22&gt;=B3212))</f>
        <v/>
      </c>
      <c r="F3212">
        <f>AND(k_n&gt;=5,B3212&gt;A3212+1E-9,C3212&gt;=2,D3212&gt;=1,E3212&gt;=2)</f>
        <v/>
      </c>
      <c r="G3212">
        <f>SUMPRODUCT(Calc!$K$3:$K$22*(Calc!$G$3:$G$22&gt;A3212)*(Calc!$G$3:$G$22-A3212))</f>
        <v/>
      </c>
      <c r="H3212">
        <f>SUMPRODUCT(Calc!$K$3:$K$22*(Calc!$G$3:$G$22&gt;B3212)*(Calc!$G$3:$G$22-B3212))</f>
        <v/>
      </c>
      <c r="I3212">
        <f>SUMPRODUCT(Calc!$K$3:$K$22*(Calc!$G$3:$G$22&gt;A3212)*(Calc!$G$3:$G$22-A3212)^2)</f>
        <v/>
      </c>
      <c r="J3212">
        <f>SUMPRODUCT(Calc!$K$3:$K$22*(Calc!$G$3:$G$22&gt;B3212)*(Calc!$G$3:$G$22-B3212)^2)</f>
        <v/>
      </c>
      <c r="K3212">
        <f>SUMPRODUCT(Calc!$K$3:$K$22*(Calc!$G$3:$G$22&gt;A3212)*(Calc!$G$3:$G$22-A3212)*(Calc!$G$3:$G$22&gt;B3212)*(Calc!$G$3:$G$22-B3212))</f>
        <v/>
      </c>
      <c r="L3212">
        <f>SUMPRODUCT(Calc!$K$3:$K$22*(Calc!$G$3:$G$22&gt;A3212)*(Calc!$G$3:$G$22-A3212)*Calc!$G$3:$G$22)</f>
        <v/>
      </c>
      <c r="M3212">
        <f>SUMPRODUCT(Calc!$K$3:$K$22*(Calc!$G$3:$G$22&gt;B3212)*(Calc!$G$3:$G$22-B3212)*Calc!$G$3:$G$22)</f>
        <v/>
      </c>
      <c r="N3212">
        <f>SUMPRODUCT(Calc!$K$3:$K$22*(Calc!$G$3:$G$22&gt;A3212)*(Calc!$G$3:$G$22-A3212)*Calc!$I$3:$I$22)</f>
        <v/>
      </c>
      <c r="O3212">
        <f>SUMPRODUCT(Calc!$K$3:$K$22*(Calc!$G$3:$G$22&gt;B3212)*(Calc!$G$3:$G$22-B3212)*Calc!$I$3:$I$22)</f>
        <v/>
      </c>
      <c r="P3212">
        <f>I3212-G3212^2/k_n</f>
        <v/>
      </c>
      <c r="Q3212">
        <f>J3212-H3212^2/k_n</f>
        <v/>
      </c>
      <c r="R3212">
        <f>K3212-G3212*H3212/k_n</f>
        <v/>
      </c>
      <c r="S3212">
        <f>L3212-LTP3!$D$3*G3212/k_n</f>
        <v/>
      </c>
      <c r="T3212">
        <f>M3212-LTP3!$D$3*H3212/k_n</f>
        <v/>
      </c>
      <c r="U3212">
        <f>N3212-G3212*LTP3!$D$4/k_n</f>
        <v/>
      </c>
      <c r="V3212">
        <f>O3212-H3212*LTP3!$D$4/k_n</f>
        <v/>
      </c>
      <c r="W3212">
        <f>((LTP3!$D$5)*((P3212)*(Q3212)-(R3212)*(R3212))-(S3212)*((S3212)*(Q3212)-(R3212)*(T3212))+(T3212)*((S3212)*(R3212)-(P3212)*(T3212)))</f>
        <v/>
      </c>
      <c r="X3212">
        <f>IF(ABS(W3212)&gt;1E-12,((LTP3!$D$6)*((P3212)*(Q3212)-(R3212)*(R3212))-(S3212)*((U3212)*(Q3212)-(R3212)*(V3212))+(T3212)*((U3212)*(R3212)-(P3212)*(V3212)))/W3212,0)</f>
        <v/>
      </c>
      <c r="Y3212">
        <f>IF(ABS(W3212)&gt;1E-12,((LTP3!$D$5)*((U3212)*(Q3212)-(R3212)*(V3212))-(LTP3!$D$6)*((S3212)*(Q3212)-(R3212)*(T3212))+(T3212)*((S3212)*(V3212)-(U3212)*(T3212)))/W3212,0)</f>
        <v/>
      </c>
      <c r="Z3212">
        <f>IF(ABS(W3212)&gt;1E-12,((LTP3!$D$5)*((P3212)*(V3212)-(U3212)*(R3212))-(S3212)*((S3212)*(V3212)-(U3212)*(T3212))+(LTP3!$D$6)*((S3212)*(R3212)-(P3212)*(T3212)))/W3212,0)</f>
        <v/>
      </c>
      <c r="AA3212">
        <f>LTP3!$D$7-X3212*LTP3!$D$6-Y3212*U3212-Z3212*V3212</f>
        <v/>
      </c>
      <c r="AB3212">
        <f>IF(AND(F3212,ABS(W3212)&gt;1E-12,Y3212&gt;0,Z3212&gt;0),AA3212,1E+300)</f>
        <v/>
      </c>
    </row>
    <row r="3213">
      <c r="A3213">
        <f>$B$3+$B$5*52</f>
        <v/>
      </c>
      <c r="B3213">
        <f>$B$3+$B$5*29</f>
        <v/>
      </c>
      <c r="C3213">
        <f>SUMPRODUCT(Calc!$K$3:$K$22*(Calc!$G$3:$G$22&lt;=A3213))</f>
        <v/>
      </c>
      <c r="D3213">
        <f>SUMPRODUCT(Calc!$K$3:$K$22*(Calc!$G$3:$G$22&gt;A3213)*(Calc!$G$3:$G$22&lt;B3213))</f>
        <v/>
      </c>
      <c r="E3213">
        <f>SUMPRODUCT(Calc!$K$3:$K$22*(Calc!$G$3:$G$22&gt;=B3213))</f>
        <v/>
      </c>
      <c r="F3213">
        <f>AND(k_n&gt;=5,B3213&gt;A3213+1E-9,C3213&gt;=2,D3213&gt;=1,E3213&gt;=2)</f>
        <v/>
      </c>
      <c r="G3213">
        <f>SUMPRODUCT(Calc!$K$3:$K$22*(Calc!$G$3:$G$22&gt;A3213)*(Calc!$G$3:$G$22-A3213))</f>
        <v/>
      </c>
      <c r="H3213">
        <f>SUMPRODUCT(Calc!$K$3:$K$22*(Calc!$G$3:$G$22&gt;B3213)*(Calc!$G$3:$G$22-B3213))</f>
        <v/>
      </c>
      <c r="I3213">
        <f>SUMPRODUCT(Calc!$K$3:$K$22*(Calc!$G$3:$G$22&gt;A3213)*(Calc!$G$3:$G$22-A3213)^2)</f>
        <v/>
      </c>
      <c r="J3213">
        <f>SUMPRODUCT(Calc!$K$3:$K$22*(Calc!$G$3:$G$22&gt;B3213)*(Calc!$G$3:$G$22-B3213)^2)</f>
        <v/>
      </c>
      <c r="K3213">
        <f>SUMPRODUCT(Calc!$K$3:$K$22*(Calc!$G$3:$G$22&gt;A3213)*(Calc!$G$3:$G$22-A3213)*(Calc!$G$3:$G$22&gt;B3213)*(Calc!$G$3:$G$22-B3213))</f>
        <v/>
      </c>
      <c r="L3213">
        <f>SUMPRODUCT(Calc!$K$3:$K$22*(Calc!$G$3:$G$22&gt;A3213)*(Calc!$G$3:$G$22-A3213)*Calc!$G$3:$G$22)</f>
        <v/>
      </c>
      <c r="M3213">
        <f>SUMPRODUCT(Calc!$K$3:$K$22*(Calc!$G$3:$G$22&gt;B3213)*(Calc!$G$3:$G$22-B3213)*Calc!$G$3:$G$22)</f>
        <v/>
      </c>
      <c r="N3213">
        <f>SUMPRODUCT(Calc!$K$3:$K$22*(Calc!$G$3:$G$22&gt;A3213)*(Calc!$G$3:$G$22-A3213)*Calc!$I$3:$I$22)</f>
        <v/>
      </c>
      <c r="O3213">
        <f>SUMPRODUCT(Calc!$K$3:$K$22*(Calc!$G$3:$G$22&gt;B3213)*(Calc!$G$3:$G$22-B3213)*Calc!$I$3:$I$22)</f>
        <v/>
      </c>
      <c r="P3213">
        <f>I3213-G3213^2/k_n</f>
        <v/>
      </c>
      <c r="Q3213">
        <f>J3213-H3213^2/k_n</f>
        <v/>
      </c>
      <c r="R3213">
        <f>K3213-G3213*H3213/k_n</f>
        <v/>
      </c>
      <c r="S3213">
        <f>L3213-LTP3!$D$3*G3213/k_n</f>
        <v/>
      </c>
      <c r="T3213">
        <f>M3213-LTP3!$D$3*H3213/k_n</f>
        <v/>
      </c>
      <c r="U3213">
        <f>N3213-G3213*LTP3!$D$4/k_n</f>
        <v/>
      </c>
      <c r="V3213">
        <f>O3213-H3213*LTP3!$D$4/k_n</f>
        <v/>
      </c>
      <c r="W3213">
        <f>((LTP3!$D$5)*((P3213)*(Q3213)-(R3213)*(R3213))-(S3213)*((S3213)*(Q3213)-(R3213)*(T3213))+(T3213)*((S3213)*(R3213)-(P3213)*(T3213)))</f>
        <v/>
      </c>
      <c r="X3213">
        <f>IF(ABS(W3213)&gt;1E-12,((LTP3!$D$6)*((P3213)*(Q3213)-(R3213)*(R3213))-(S3213)*((U3213)*(Q3213)-(R3213)*(V3213))+(T3213)*((U3213)*(R3213)-(P3213)*(V3213)))/W3213,0)</f>
        <v/>
      </c>
      <c r="Y3213">
        <f>IF(ABS(W3213)&gt;1E-12,((LTP3!$D$5)*((U3213)*(Q3213)-(R3213)*(V3213))-(LTP3!$D$6)*((S3213)*(Q3213)-(R3213)*(T3213))+(T3213)*((S3213)*(V3213)-(U3213)*(T3213)))/W3213,0)</f>
        <v/>
      </c>
      <c r="Z3213">
        <f>IF(ABS(W3213)&gt;1E-12,((LTP3!$D$5)*((P3213)*(V3213)-(U3213)*(R3213))-(S3213)*((S3213)*(V3213)-(U3213)*(T3213))+(LTP3!$D$6)*((S3213)*(R3213)-(P3213)*(T3213)))/W3213,0)</f>
        <v/>
      </c>
      <c r="AA3213">
        <f>LTP3!$D$7-X3213*LTP3!$D$6-Y3213*U3213-Z3213*V3213</f>
        <v/>
      </c>
      <c r="AB3213">
        <f>IF(AND(F3213,ABS(W3213)&gt;1E-12,Y3213&gt;0,Z3213&gt;0),AA3213,1E+300)</f>
        <v/>
      </c>
    </row>
    <row r="3214">
      <c r="A3214">
        <f>$B$3+$B$5*52</f>
        <v/>
      </c>
      <c r="B3214">
        <f>$B$3+$B$5*30</f>
        <v/>
      </c>
      <c r="C3214">
        <f>SUMPRODUCT(Calc!$K$3:$K$22*(Calc!$G$3:$G$22&lt;=A3214))</f>
        <v/>
      </c>
      <c r="D3214">
        <f>SUMPRODUCT(Calc!$K$3:$K$22*(Calc!$G$3:$G$22&gt;A3214)*(Calc!$G$3:$G$22&lt;B3214))</f>
        <v/>
      </c>
      <c r="E3214">
        <f>SUMPRODUCT(Calc!$K$3:$K$22*(Calc!$G$3:$G$22&gt;=B3214))</f>
        <v/>
      </c>
      <c r="F3214">
        <f>AND(k_n&gt;=5,B3214&gt;A3214+1E-9,C3214&gt;=2,D3214&gt;=1,E3214&gt;=2)</f>
        <v/>
      </c>
      <c r="G3214">
        <f>SUMPRODUCT(Calc!$K$3:$K$22*(Calc!$G$3:$G$22&gt;A3214)*(Calc!$G$3:$G$22-A3214))</f>
        <v/>
      </c>
      <c r="H3214">
        <f>SUMPRODUCT(Calc!$K$3:$K$22*(Calc!$G$3:$G$22&gt;B3214)*(Calc!$G$3:$G$22-B3214))</f>
        <v/>
      </c>
      <c r="I3214">
        <f>SUMPRODUCT(Calc!$K$3:$K$22*(Calc!$G$3:$G$22&gt;A3214)*(Calc!$G$3:$G$22-A3214)^2)</f>
        <v/>
      </c>
      <c r="J3214">
        <f>SUMPRODUCT(Calc!$K$3:$K$22*(Calc!$G$3:$G$22&gt;B3214)*(Calc!$G$3:$G$22-B3214)^2)</f>
        <v/>
      </c>
      <c r="K3214">
        <f>SUMPRODUCT(Calc!$K$3:$K$22*(Calc!$G$3:$G$22&gt;A3214)*(Calc!$G$3:$G$22-A3214)*(Calc!$G$3:$G$22&gt;B3214)*(Calc!$G$3:$G$22-B3214))</f>
        <v/>
      </c>
      <c r="L3214">
        <f>SUMPRODUCT(Calc!$K$3:$K$22*(Calc!$G$3:$G$22&gt;A3214)*(Calc!$G$3:$G$22-A3214)*Calc!$G$3:$G$22)</f>
        <v/>
      </c>
      <c r="M3214">
        <f>SUMPRODUCT(Calc!$K$3:$K$22*(Calc!$G$3:$G$22&gt;B3214)*(Calc!$G$3:$G$22-B3214)*Calc!$G$3:$G$22)</f>
        <v/>
      </c>
      <c r="N3214">
        <f>SUMPRODUCT(Calc!$K$3:$K$22*(Calc!$G$3:$G$22&gt;A3214)*(Calc!$G$3:$G$22-A3214)*Calc!$I$3:$I$22)</f>
        <v/>
      </c>
      <c r="O3214">
        <f>SUMPRODUCT(Calc!$K$3:$K$22*(Calc!$G$3:$G$22&gt;B3214)*(Calc!$G$3:$G$22-B3214)*Calc!$I$3:$I$22)</f>
        <v/>
      </c>
      <c r="P3214">
        <f>I3214-G3214^2/k_n</f>
        <v/>
      </c>
      <c r="Q3214">
        <f>J3214-H3214^2/k_n</f>
        <v/>
      </c>
      <c r="R3214">
        <f>K3214-G3214*H3214/k_n</f>
        <v/>
      </c>
      <c r="S3214">
        <f>L3214-LTP3!$D$3*G3214/k_n</f>
        <v/>
      </c>
      <c r="T3214">
        <f>M3214-LTP3!$D$3*H3214/k_n</f>
        <v/>
      </c>
      <c r="U3214">
        <f>N3214-G3214*LTP3!$D$4/k_n</f>
        <v/>
      </c>
      <c r="V3214">
        <f>O3214-H3214*LTP3!$D$4/k_n</f>
        <v/>
      </c>
      <c r="W3214">
        <f>((LTP3!$D$5)*((P3214)*(Q3214)-(R3214)*(R3214))-(S3214)*((S3214)*(Q3214)-(R3214)*(T3214))+(T3214)*((S3214)*(R3214)-(P3214)*(T3214)))</f>
        <v/>
      </c>
      <c r="X3214">
        <f>IF(ABS(W3214)&gt;1E-12,((LTP3!$D$6)*((P3214)*(Q3214)-(R3214)*(R3214))-(S3214)*((U3214)*(Q3214)-(R3214)*(V3214))+(T3214)*((U3214)*(R3214)-(P3214)*(V3214)))/W3214,0)</f>
        <v/>
      </c>
      <c r="Y3214">
        <f>IF(ABS(W3214)&gt;1E-12,((LTP3!$D$5)*((U3214)*(Q3214)-(R3214)*(V3214))-(LTP3!$D$6)*((S3214)*(Q3214)-(R3214)*(T3214))+(T3214)*((S3214)*(V3214)-(U3214)*(T3214)))/W3214,0)</f>
        <v/>
      </c>
      <c r="Z3214">
        <f>IF(ABS(W3214)&gt;1E-12,((LTP3!$D$5)*((P3214)*(V3214)-(U3214)*(R3214))-(S3214)*((S3214)*(V3214)-(U3214)*(T3214))+(LTP3!$D$6)*((S3214)*(R3214)-(P3214)*(T3214)))/W3214,0)</f>
        <v/>
      </c>
      <c r="AA3214">
        <f>LTP3!$D$7-X3214*LTP3!$D$6-Y3214*U3214-Z3214*V3214</f>
        <v/>
      </c>
      <c r="AB3214">
        <f>IF(AND(F3214,ABS(W3214)&gt;1E-12,Y3214&gt;0,Z3214&gt;0),AA3214,1E+300)</f>
        <v/>
      </c>
    </row>
    <row r="3215">
      <c r="A3215">
        <f>$B$3+$B$5*52</f>
        <v/>
      </c>
      <c r="B3215">
        <f>$B$3+$B$5*31</f>
        <v/>
      </c>
      <c r="C3215">
        <f>SUMPRODUCT(Calc!$K$3:$K$22*(Calc!$G$3:$G$22&lt;=A3215))</f>
        <v/>
      </c>
      <c r="D3215">
        <f>SUMPRODUCT(Calc!$K$3:$K$22*(Calc!$G$3:$G$22&gt;A3215)*(Calc!$G$3:$G$22&lt;B3215))</f>
        <v/>
      </c>
      <c r="E3215">
        <f>SUMPRODUCT(Calc!$K$3:$K$22*(Calc!$G$3:$G$22&gt;=B3215))</f>
        <v/>
      </c>
      <c r="F3215">
        <f>AND(k_n&gt;=5,B3215&gt;A3215+1E-9,C3215&gt;=2,D3215&gt;=1,E3215&gt;=2)</f>
        <v/>
      </c>
      <c r="G3215">
        <f>SUMPRODUCT(Calc!$K$3:$K$22*(Calc!$G$3:$G$22&gt;A3215)*(Calc!$G$3:$G$22-A3215))</f>
        <v/>
      </c>
      <c r="H3215">
        <f>SUMPRODUCT(Calc!$K$3:$K$22*(Calc!$G$3:$G$22&gt;B3215)*(Calc!$G$3:$G$22-B3215))</f>
        <v/>
      </c>
      <c r="I3215">
        <f>SUMPRODUCT(Calc!$K$3:$K$22*(Calc!$G$3:$G$22&gt;A3215)*(Calc!$G$3:$G$22-A3215)^2)</f>
        <v/>
      </c>
      <c r="J3215">
        <f>SUMPRODUCT(Calc!$K$3:$K$22*(Calc!$G$3:$G$22&gt;B3215)*(Calc!$G$3:$G$22-B3215)^2)</f>
        <v/>
      </c>
      <c r="K3215">
        <f>SUMPRODUCT(Calc!$K$3:$K$22*(Calc!$G$3:$G$22&gt;A3215)*(Calc!$G$3:$G$22-A3215)*(Calc!$G$3:$G$22&gt;B3215)*(Calc!$G$3:$G$22-B3215))</f>
        <v/>
      </c>
      <c r="L3215">
        <f>SUMPRODUCT(Calc!$K$3:$K$22*(Calc!$G$3:$G$22&gt;A3215)*(Calc!$G$3:$G$22-A3215)*Calc!$G$3:$G$22)</f>
        <v/>
      </c>
      <c r="M3215">
        <f>SUMPRODUCT(Calc!$K$3:$K$22*(Calc!$G$3:$G$22&gt;B3215)*(Calc!$G$3:$G$22-B3215)*Calc!$G$3:$G$22)</f>
        <v/>
      </c>
      <c r="N3215">
        <f>SUMPRODUCT(Calc!$K$3:$K$22*(Calc!$G$3:$G$22&gt;A3215)*(Calc!$G$3:$G$22-A3215)*Calc!$I$3:$I$22)</f>
        <v/>
      </c>
      <c r="O3215">
        <f>SUMPRODUCT(Calc!$K$3:$K$22*(Calc!$G$3:$G$22&gt;B3215)*(Calc!$G$3:$G$22-B3215)*Calc!$I$3:$I$22)</f>
        <v/>
      </c>
      <c r="P3215">
        <f>I3215-G3215^2/k_n</f>
        <v/>
      </c>
      <c r="Q3215">
        <f>J3215-H3215^2/k_n</f>
        <v/>
      </c>
      <c r="R3215">
        <f>K3215-G3215*H3215/k_n</f>
        <v/>
      </c>
      <c r="S3215">
        <f>L3215-LTP3!$D$3*G3215/k_n</f>
        <v/>
      </c>
      <c r="T3215">
        <f>M3215-LTP3!$D$3*H3215/k_n</f>
        <v/>
      </c>
      <c r="U3215">
        <f>N3215-G3215*LTP3!$D$4/k_n</f>
        <v/>
      </c>
      <c r="V3215">
        <f>O3215-H3215*LTP3!$D$4/k_n</f>
        <v/>
      </c>
      <c r="W3215">
        <f>((LTP3!$D$5)*((P3215)*(Q3215)-(R3215)*(R3215))-(S3215)*((S3215)*(Q3215)-(R3215)*(T3215))+(T3215)*((S3215)*(R3215)-(P3215)*(T3215)))</f>
        <v/>
      </c>
      <c r="X3215">
        <f>IF(ABS(W3215)&gt;1E-12,((LTP3!$D$6)*((P3215)*(Q3215)-(R3215)*(R3215))-(S3215)*((U3215)*(Q3215)-(R3215)*(V3215))+(T3215)*((U3215)*(R3215)-(P3215)*(V3215)))/W3215,0)</f>
        <v/>
      </c>
      <c r="Y3215">
        <f>IF(ABS(W3215)&gt;1E-12,((LTP3!$D$5)*((U3215)*(Q3215)-(R3215)*(V3215))-(LTP3!$D$6)*((S3215)*(Q3215)-(R3215)*(T3215))+(T3215)*((S3215)*(V3215)-(U3215)*(T3215)))/W3215,0)</f>
        <v/>
      </c>
      <c r="Z3215">
        <f>IF(ABS(W3215)&gt;1E-12,((LTP3!$D$5)*((P3215)*(V3215)-(U3215)*(R3215))-(S3215)*((S3215)*(V3215)-(U3215)*(T3215))+(LTP3!$D$6)*((S3215)*(R3215)-(P3215)*(T3215)))/W3215,0)</f>
        <v/>
      </c>
      <c r="AA3215">
        <f>LTP3!$D$7-X3215*LTP3!$D$6-Y3215*U3215-Z3215*V3215</f>
        <v/>
      </c>
      <c r="AB3215">
        <f>IF(AND(F3215,ABS(W3215)&gt;1E-12,Y3215&gt;0,Z3215&gt;0),AA3215,1E+300)</f>
        <v/>
      </c>
    </row>
    <row r="3216">
      <c r="A3216">
        <f>$B$3+$B$5*52</f>
        <v/>
      </c>
      <c r="B3216">
        <f>$B$3+$B$5*32</f>
        <v/>
      </c>
      <c r="C3216">
        <f>SUMPRODUCT(Calc!$K$3:$K$22*(Calc!$G$3:$G$22&lt;=A3216))</f>
        <v/>
      </c>
      <c r="D3216">
        <f>SUMPRODUCT(Calc!$K$3:$K$22*(Calc!$G$3:$G$22&gt;A3216)*(Calc!$G$3:$G$22&lt;B3216))</f>
        <v/>
      </c>
      <c r="E3216">
        <f>SUMPRODUCT(Calc!$K$3:$K$22*(Calc!$G$3:$G$22&gt;=B3216))</f>
        <v/>
      </c>
      <c r="F3216">
        <f>AND(k_n&gt;=5,B3216&gt;A3216+1E-9,C3216&gt;=2,D3216&gt;=1,E3216&gt;=2)</f>
        <v/>
      </c>
      <c r="G3216">
        <f>SUMPRODUCT(Calc!$K$3:$K$22*(Calc!$G$3:$G$22&gt;A3216)*(Calc!$G$3:$G$22-A3216))</f>
        <v/>
      </c>
      <c r="H3216">
        <f>SUMPRODUCT(Calc!$K$3:$K$22*(Calc!$G$3:$G$22&gt;B3216)*(Calc!$G$3:$G$22-B3216))</f>
        <v/>
      </c>
      <c r="I3216">
        <f>SUMPRODUCT(Calc!$K$3:$K$22*(Calc!$G$3:$G$22&gt;A3216)*(Calc!$G$3:$G$22-A3216)^2)</f>
        <v/>
      </c>
      <c r="J3216">
        <f>SUMPRODUCT(Calc!$K$3:$K$22*(Calc!$G$3:$G$22&gt;B3216)*(Calc!$G$3:$G$22-B3216)^2)</f>
        <v/>
      </c>
      <c r="K3216">
        <f>SUMPRODUCT(Calc!$K$3:$K$22*(Calc!$G$3:$G$22&gt;A3216)*(Calc!$G$3:$G$22-A3216)*(Calc!$G$3:$G$22&gt;B3216)*(Calc!$G$3:$G$22-B3216))</f>
        <v/>
      </c>
      <c r="L3216">
        <f>SUMPRODUCT(Calc!$K$3:$K$22*(Calc!$G$3:$G$22&gt;A3216)*(Calc!$G$3:$G$22-A3216)*Calc!$G$3:$G$22)</f>
        <v/>
      </c>
      <c r="M3216">
        <f>SUMPRODUCT(Calc!$K$3:$K$22*(Calc!$G$3:$G$22&gt;B3216)*(Calc!$G$3:$G$22-B3216)*Calc!$G$3:$G$22)</f>
        <v/>
      </c>
      <c r="N3216">
        <f>SUMPRODUCT(Calc!$K$3:$K$22*(Calc!$G$3:$G$22&gt;A3216)*(Calc!$G$3:$G$22-A3216)*Calc!$I$3:$I$22)</f>
        <v/>
      </c>
      <c r="O3216">
        <f>SUMPRODUCT(Calc!$K$3:$K$22*(Calc!$G$3:$G$22&gt;B3216)*(Calc!$G$3:$G$22-B3216)*Calc!$I$3:$I$22)</f>
        <v/>
      </c>
      <c r="P3216">
        <f>I3216-G3216^2/k_n</f>
        <v/>
      </c>
      <c r="Q3216">
        <f>J3216-H3216^2/k_n</f>
        <v/>
      </c>
      <c r="R3216">
        <f>K3216-G3216*H3216/k_n</f>
        <v/>
      </c>
      <c r="S3216">
        <f>L3216-LTP3!$D$3*G3216/k_n</f>
        <v/>
      </c>
      <c r="T3216">
        <f>M3216-LTP3!$D$3*H3216/k_n</f>
        <v/>
      </c>
      <c r="U3216">
        <f>N3216-G3216*LTP3!$D$4/k_n</f>
        <v/>
      </c>
      <c r="V3216">
        <f>O3216-H3216*LTP3!$D$4/k_n</f>
        <v/>
      </c>
      <c r="W3216">
        <f>((LTP3!$D$5)*((P3216)*(Q3216)-(R3216)*(R3216))-(S3216)*((S3216)*(Q3216)-(R3216)*(T3216))+(T3216)*((S3216)*(R3216)-(P3216)*(T3216)))</f>
        <v/>
      </c>
      <c r="X3216">
        <f>IF(ABS(W3216)&gt;1E-12,((LTP3!$D$6)*((P3216)*(Q3216)-(R3216)*(R3216))-(S3216)*((U3216)*(Q3216)-(R3216)*(V3216))+(T3216)*((U3216)*(R3216)-(P3216)*(V3216)))/W3216,0)</f>
        <v/>
      </c>
      <c r="Y3216">
        <f>IF(ABS(W3216)&gt;1E-12,((LTP3!$D$5)*((U3216)*(Q3216)-(R3216)*(V3216))-(LTP3!$D$6)*((S3216)*(Q3216)-(R3216)*(T3216))+(T3216)*((S3216)*(V3216)-(U3216)*(T3216)))/W3216,0)</f>
        <v/>
      </c>
      <c r="Z3216">
        <f>IF(ABS(W3216)&gt;1E-12,((LTP3!$D$5)*((P3216)*(V3216)-(U3216)*(R3216))-(S3216)*((S3216)*(V3216)-(U3216)*(T3216))+(LTP3!$D$6)*((S3216)*(R3216)-(P3216)*(T3216)))/W3216,0)</f>
        <v/>
      </c>
      <c r="AA3216">
        <f>LTP3!$D$7-X3216*LTP3!$D$6-Y3216*U3216-Z3216*V3216</f>
        <v/>
      </c>
      <c r="AB3216">
        <f>IF(AND(F3216,ABS(W3216)&gt;1E-12,Y3216&gt;0,Z3216&gt;0),AA3216,1E+300)</f>
        <v/>
      </c>
    </row>
    <row r="3217">
      <c r="A3217">
        <f>$B$3+$B$5*52</f>
        <v/>
      </c>
      <c r="B3217">
        <f>$B$3+$B$5*33</f>
        <v/>
      </c>
      <c r="C3217">
        <f>SUMPRODUCT(Calc!$K$3:$K$22*(Calc!$G$3:$G$22&lt;=A3217))</f>
        <v/>
      </c>
      <c r="D3217">
        <f>SUMPRODUCT(Calc!$K$3:$K$22*(Calc!$G$3:$G$22&gt;A3217)*(Calc!$G$3:$G$22&lt;B3217))</f>
        <v/>
      </c>
      <c r="E3217">
        <f>SUMPRODUCT(Calc!$K$3:$K$22*(Calc!$G$3:$G$22&gt;=B3217))</f>
        <v/>
      </c>
      <c r="F3217">
        <f>AND(k_n&gt;=5,B3217&gt;A3217+1E-9,C3217&gt;=2,D3217&gt;=1,E3217&gt;=2)</f>
        <v/>
      </c>
      <c r="G3217">
        <f>SUMPRODUCT(Calc!$K$3:$K$22*(Calc!$G$3:$G$22&gt;A3217)*(Calc!$G$3:$G$22-A3217))</f>
        <v/>
      </c>
      <c r="H3217">
        <f>SUMPRODUCT(Calc!$K$3:$K$22*(Calc!$G$3:$G$22&gt;B3217)*(Calc!$G$3:$G$22-B3217))</f>
        <v/>
      </c>
      <c r="I3217">
        <f>SUMPRODUCT(Calc!$K$3:$K$22*(Calc!$G$3:$G$22&gt;A3217)*(Calc!$G$3:$G$22-A3217)^2)</f>
        <v/>
      </c>
      <c r="J3217">
        <f>SUMPRODUCT(Calc!$K$3:$K$22*(Calc!$G$3:$G$22&gt;B3217)*(Calc!$G$3:$G$22-B3217)^2)</f>
        <v/>
      </c>
      <c r="K3217">
        <f>SUMPRODUCT(Calc!$K$3:$K$22*(Calc!$G$3:$G$22&gt;A3217)*(Calc!$G$3:$G$22-A3217)*(Calc!$G$3:$G$22&gt;B3217)*(Calc!$G$3:$G$22-B3217))</f>
        <v/>
      </c>
      <c r="L3217">
        <f>SUMPRODUCT(Calc!$K$3:$K$22*(Calc!$G$3:$G$22&gt;A3217)*(Calc!$G$3:$G$22-A3217)*Calc!$G$3:$G$22)</f>
        <v/>
      </c>
      <c r="M3217">
        <f>SUMPRODUCT(Calc!$K$3:$K$22*(Calc!$G$3:$G$22&gt;B3217)*(Calc!$G$3:$G$22-B3217)*Calc!$G$3:$G$22)</f>
        <v/>
      </c>
      <c r="N3217">
        <f>SUMPRODUCT(Calc!$K$3:$K$22*(Calc!$G$3:$G$22&gt;A3217)*(Calc!$G$3:$G$22-A3217)*Calc!$I$3:$I$22)</f>
        <v/>
      </c>
      <c r="O3217">
        <f>SUMPRODUCT(Calc!$K$3:$K$22*(Calc!$G$3:$G$22&gt;B3217)*(Calc!$G$3:$G$22-B3217)*Calc!$I$3:$I$22)</f>
        <v/>
      </c>
      <c r="P3217">
        <f>I3217-G3217^2/k_n</f>
        <v/>
      </c>
      <c r="Q3217">
        <f>J3217-H3217^2/k_n</f>
        <v/>
      </c>
      <c r="R3217">
        <f>K3217-G3217*H3217/k_n</f>
        <v/>
      </c>
      <c r="S3217">
        <f>L3217-LTP3!$D$3*G3217/k_n</f>
        <v/>
      </c>
      <c r="T3217">
        <f>M3217-LTP3!$D$3*H3217/k_n</f>
        <v/>
      </c>
      <c r="U3217">
        <f>N3217-G3217*LTP3!$D$4/k_n</f>
        <v/>
      </c>
      <c r="V3217">
        <f>O3217-H3217*LTP3!$D$4/k_n</f>
        <v/>
      </c>
      <c r="W3217">
        <f>((LTP3!$D$5)*((P3217)*(Q3217)-(R3217)*(R3217))-(S3217)*((S3217)*(Q3217)-(R3217)*(T3217))+(T3217)*((S3217)*(R3217)-(P3217)*(T3217)))</f>
        <v/>
      </c>
      <c r="X3217">
        <f>IF(ABS(W3217)&gt;1E-12,((LTP3!$D$6)*((P3217)*(Q3217)-(R3217)*(R3217))-(S3217)*((U3217)*(Q3217)-(R3217)*(V3217))+(T3217)*((U3217)*(R3217)-(P3217)*(V3217)))/W3217,0)</f>
        <v/>
      </c>
      <c r="Y3217">
        <f>IF(ABS(W3217)&gt;1E-12,((LTP3!$D$5)*((U3217)*(Q3217)-(R3217)*(V3217))-(LTP3!$D$6)*((S3217)*(Q3217)-(R3217)*(T3217))+(T3217)*((S3217)*(V3217)-(U3217)*(T3217)))/W3217,0)</f>
        <v/>
      </c>
      <c r="Z3217">
        <f>IF(ABS(W3217)&gt;1E-12,((LTP3!$D$5)*((P3217)*(V3217)-(U3217)*(R3217))-(S3217)*((S3217)*(V3217)-(U3217)*(T3217))+(LTP3!$D$6)*((S3217)*(R3217)-(P3217)*(T3217)))/W3217,0)</f>
        <v/>
      </c>
      <c r="AA3217">
        <f>LTP3!$D$7-X3217*LTP3!$D$6-Y3217*U3217-Z3217*V3217</f>
        <v/>
      </c>
      <c r="AB3217">
        <f>IF(AND(F3217,ABS(W3217)&gt;1E-12,Y3217&gt;0,Z3217&gt;0),AA3217,1E+300)</f>
        <v/>
      </c>
    </row>
    <row r="3218">
      <c r="A3218">
        <f>$B$3+$B$5*52</f>
        <v/>
      </c>
      <c r="B3218">
        <f>$B$3+$B$5*34</f>
        <v/>
      </c>
      <c r="C3218">
        <f>SUMPRODUCT(Calc!$K$3:$K$22*(Calc!$G$3:$G$22&lt;=A3218))</f>
        <v/>
      </c>
      <c r="D3218">
        <f>SUMPRODUCT(Calc!$K$3:$K$22*(Calc!$G$3:$G$22&gt;A3218)*(Calc!$G$3:$G$22&lt;B3218))</f>
        <v/>
      </c>
      <c r="E3218">
        <f>SUMPRODUCT(Calc!$K$3:$K$22*(Calc!$G$3:$G$22&gt;=B3218))</f>
        <v/>
      </c>
      <c r="F3218">
        <f>AND(k_n&gt;=5,B3218&gt;A3218+1E-9,C3218&gt;=2,D3218&gt;=1,E3218&gt;=2)</f>
        <v/>
      </c>
      <c r="G3218">
        <f>SUMPRODUCT(Calc!$K$3:$K$22*(Calc!$G$3:$G$22&gt;A3218)*(Calc!$G$3:$G$22-A3218))</f>
        <v/>
      </c>
      <c r="H3218">
        <f>SUMPRODUCT(Calc!$K$3:$K$22*(Calc!$G$3:$G$22&gt;B3218)*(Calc!$G$3:$G$22-B3218))</f>
        <v/>
      </c>
      <c r="I3218">
        <f>SUMPRODUCT(Calc!$K$3:$K$22*(Calc!$G$3:$G$22&gt;A3218)*(Calc!$G$3:$G$22-A3218)^2)</f>
        <v/>
      </c>
      <c r="J3218">
        <f>SUMPRODUCT(Calc!$K$3:$K$22*(Calc!$G$3:$G$22&gt;B3218)*(Calc!$G$3:$G$22-B3218)^2)</f>
        <v/>
      </c>
      <c r="K3218">
        <f>SUMPRODUCT(Calc!$K$3:$K$22*(Calc!$G$3:$G$22&gt;A3218)*(Calc!$G$3:$G$22-A3218)*(Calc!$G$3:$G$22&gt;B3218)*(Calc!$G$3:$G$22-B3218))</f>
        <v/>
      </c>
      <c r="L3218">
        <f>SUMPRODUCT(Calc!$K$3:$K$22*(Calc!$G$3:$G$22&gt;A3218)*(Calc!$G$3:$G$22-A3218)*Calc!$G$3:$G$22)</f>
        <v/>
      </c>
      <c r="M3218">
        <f>SUMPRODUCT(Calc!$K$3:$K$22*(Calc!$G$3:$G$22&gt;B3218)*(Calc!$G$3:$G$22-B3218)*Calc!$G$3:$G$22)</f>
        <v/>
      </c>
      <c r="N3218">
        <f>SUMPRODUCT(Calc!$K$3:$K$22*(Calc!$G$3:$G$22&gt;A3218)*(Calc!$G$3:$G$22-A3218)*Calc!$I$3:$I$22)</f>
        <v/>
      </c>
      <c r="O3218">
        <f>SUMPRODUCT(Calc!$K$3:$K$22*(Calc!$G$3:$G$22&gt;B3218)*(Calc!$G$3:$G$22-B3218)*Calc!$I$3:$I$22)</f>
        <v/>
      </c>
      <c r="P3218">
        <f>I3218-G3218^2/k_n</f>
        <v/>
      </c>
      <c r="Q3218">
        <f>J3218-H3218^2/k_n</f>
        <v/>
      </c>
      <c r="R3218">
        <f>K3218-G3218*H3218/k_n</f>
        <v/>
      </c>
      <c r="S3218">
        <f>L3218-LTP3!$D$3*G3218/k_n</f>
        <v/>
      </c>
      <c r="T3218">
        <f>M3218-LTP3!$D$3*H3218/k_n</f>
        <v/>
      </c>
      <c r="U3218">
        <f>N3218-G3218*LTP3!$D$4/k_n</f>
        <v/>
      </c>
      <c r="V3218">
        <f>O3218-H3218*LTP3!$D$4/k_n</f>
        <v/>
      </c>
      <c r="W3218">
        <f>((LTP3!$D$5)*((P3218)*(Q3218)-(R3218)*(R3218))-(S3218)*((S3218)*(Q3218)-(R3218)*(T3218))+(T3218)*((S3218)*(R3218)-(P3218)*(T3218)))</f>
        <v/>
      </c>
      <c r="X3218">
        <f>IF(ABS(W3218)&gt;1E-12,((LTP3!$D$6)*((P3218)*(Q3218)-(R3218)*(R3218))-(S3218)*((U3218)*(Q3218)-(R3218)*(V3218))+(T3218)*((U3218)*(R3218)-(P3218)*(V3218)))/W3218,0)</f>
        <v/>
      </c>
      <c r="Y3218">
        <f>IF(ABS(W3218)&gt;1E-12,((LTP3!$D$5)*((U3218)*(Q3218)-(R3218)*(V3218))-(LTP3!$D$6)*((S3218)*(Q3218)-(R3218)*(T3218))+(T3218)*((S3218)*(V3218)-(U3218)*(T3218)))/W3218,0)</f>
        <v/>
      </c>
      <c r="Z3218">
        <f>IF(ABS(W3218)&gt;1E-12,((LTP3!$D$5)*((P3218)*(V3218)-(U3218)*(R3218))-(S3218)*((S3218)*(V3218)-(U3218)*(T3218))+(LTP3!$D$6)*((S3218)*(R3218)-(P3218)*(T3218)))/W3218,0)</f>
        <v/>
      </c>
      <c r="AA3218">
        <f>LTP3!$D$7-X3218*LTP3!$D$6-Y3218*U3218-Z3218*V3218</f>
        <v/>
      </c>
      <c r="AB3218">
        <f>IF(AND(F3218,ABS(W3218)&gt;1E-12,Y3218&gt;0,Z3218&gt;0),AA3218,1E+300)</f>
        <v/>
      </c>
    </row>
    <row r="3219">
      <c r="A3219">
        <f>$B$3+$B$5*52</f>
        <v/>
      </c>
      <c r="B3219">
        <f>$B$3+$B$5*35</f>
        <v/>
      </c>
      <c r="C3219">
        <f>SUMPRODUCT(Calc!$K$3:$K$22*(Calc!$G$3:$G$22&lt;=A3219))</f>
        <v/>
      </c>
      <c r="D3219">
        <f>SUMPRODUCT(Calc!$K$3:$K$22*(Calc!$G$3:$G$22&gt;A3219)*(Calc!$G$3:$G$22&lt;B3219))</f>
        <v/>
      </c>
      <c r="E3219">
        <f>SUMPRODUCT(Calc!$K$3:$K$22*(Calc!$G$3:$G$22&gt;=B3219))</f>
        <v/>
      </c>
      <c r="F3219">
        <f>AND(k_n&gt;=5,B3219&gt;A3219+1E-9,C3219&gt;=2,D3219&gt;=1,E3219&gt;=2)</f>
        <v/>
      </c>
      <c r="G3219">
        <f>SUMPRODUCT(Calc!$K$3:$K$22*(Calc!$G$3:$G$22&gt;A3219)*(Calc!$G$3:$G$22-A3219))</f>
        <v/>
      </c>
      <c r="H3219">
        <f>SUMPRODUCT(Calc!$K$3:$K$22*(Calc!$G$3:$G$22&gt;B3219)*(Calc!$G$3:$G$22-B3219))</f>
        <v/>
      </c>
      <c r="I3219">
        <f>SUMPRODUCT(Calc!$K$3:$K$22*(Calc!$G$3:$G$22&gt;A3219)*(Calc!$G$3:$G$22-A3219)^2)</f>
        <v/>
      </c>
      <c r="J3219">
        <f>SUMPRODUCT(Calc!$K$3:$K$22*(Calc!$G$3:$G$22&gt;B3219)*(Calc!$G$3:$G$22-B3219)^2)</f>
        <v/>
      </c>
      <c r="K3219">
        <f>SUMPRODUCT(Calc!$K$3:$K$22*(Calc!$G$3:$G$22&gt;A3219)*(Calc!$G$3:$G$22-A3219)*(Calc!$G$3:$G$22&gt;B3219)*(Calc!$G$3:$G$22-B3219))</f>
        <v/>
      </c>
      <c r="L3219">
        <f>SUMPRODUCT(Calc!$K$3:$K$22*(Calc!$G$3:$G$22&gt;A3219)*(Calc!$G$3:$G$22-A3219)*Calc!$G$3:$G$22)</f>
        <v/>
      </c>
      <c r="M3219">
        <f>SUMPRODUCT(Calc!$K$3:$K$22*(Calc!$G$3:$G$22&gt;B3219)*(Calc!$G$3:$G$22-B3219)*Calc!$G$3:$G$22)</f>
        <v/>
      </c>
      <c r="N3219">
        <f>SUMPRODUCT(Calc!$K$3:$K$22*(Calc!$G$3:$G$22&gt;A3219)*(Calc!$G$3:$G$22-A3219)*Calc!$I$3:$I$22)</f>
        <v/>
      </c>
      <c r="O3219">
        <f>SUMPRODUCT(Calc!$K$3:$K$22*(Calc!$G$3:$G$22&gt;B3219)*(Calc!$G$3:$G$22-B3219)*Calc!$I$3:$I$22)</f>
        <v/>
      </c>
      <c r="P3219">
        <f>I3219-G3219^2/k_n</f>
        <v/>
      </c>
      <c r="Q3219">
        <f>J3219-H3219^2/k_n</f>
        <v/>
      </c>
      <c r="R3219">
        <f>K3219-G3219*H3219/k_n</f>
        <v/>
      </c>
      <c r="S3219">
        <f>L3219-LTP3!$D$3*G3219/k_n</f>
        <v/>
      </c>
      <c r="T3219">
        <f>M3219-LTP3!$D$3*H3219/k_n</f>
        <v/>
      </c>
      <c r="U3219">
        <f>N3219-G3219*LTP3!$D$4/k_n</f>
        <v/>
      </c>
      <c r="V3219">
        <f>O3219-H3219*LTP3!$D$4/k_n</f>
        <v/>
      </c>
      <c r="W3219">
        <f>((LTP3!$D$5)*((P3219)*(Q3219)-(R3219)*(R3219))-(S3219)*((S3219)*(Q3219)-(R3219)*(T3219))+(T3219)*((S3219)*(R3219)-(P3219)*(T3219)))</f>
        <v/>
      </c>
      <c r="X3219">
        <f>IF(ABS(W3219)&gt;1E-12,((LTP3!$D$6)*((P3219)*(Q3219)-(R3219)*(R3219))-(S3219)*((U3219)*(Q3219)-(R3219)*(V3219))+(T3219)*((U3219)*(R3219)-(P3219)*(V3219)))/W3219,0)</f>
        <v/>
      </c>
      <c r="Y3219">
        <f>IF(ABS(W3219)&gt;1E-12,((LTP3!$D$5)*((U3219)*(Q3219)-(R3219)*(V3219))-(LTP3!$D$6)*((S3219)*(Q3219)-(R3219)*(T3219))+(T3219)*((S3219)*(V3219)-(U3219)*(T3219)))/W3219,0)</f>
        <v/>
      </c>
      <c r="Z3219">
        <f>IF(ABS(W3219)&gt;1E-12,((LTP3!$D$5)*((P3219)*(V3219)-(U3219)*(R3219))-(S3219)*((S3219)*(V3219)-(U3219)*(T3219))+(LTP3!$D$6)*((S3219)*(R3219)-(P3219)*(T3219)))/W3219,0)</f>
        <v/>
      </c>
      <c r="AA3219">
        <f>LTP3!$D$7-X3219*LTP3!$D$6-Y3219*U3219-Z3219*V3219</f>
        <v/>
      </c>
      <c r="AB3219">
        <f>IF(AND(F3219,ABS(W3219)&gt;1E-12,Y3219&gt;0,Z3219&gt;0),AA3219,1E+300)</f>
        <v/>
      </c>
    </row>
    <row r="3220">
      <c r="A3220">
        <f>$B$3+$B$5*52</f>
        <v/>
      </c>
      <c r="B3220">
        <f>$B$3+$B$5*36</f>
        <v/>
      </c>
      <c r="C3220">
        <f>SUMPRODUCT(Calc!$K$3:$K$22*(Calc!$G$3:$G$22&lt;=A3220))</f>
        <v/>
      </c>
      <c r="D3220">
        <f>SUMPRODUCT(Calc!$K$3:$K$22*(Calc!$G$3:$G$22&gt;A3220)*(Calc!$G$3:$G$22&lt;B3220))</f>
        <v/>
      </c>
      <c r="E3220">
        <f>SUMPRODUCT(Calc!$K$3:$K$22*(Calc!$G$3:$G$22&gt;=B3220))</f>
        <v/>
      </c>
      <c r="F3220">
        <f>AND(k_n&gt;=5,B3220&gt;A3220+1E-9,C3220&gt;=2,D3220&gt;=1,E3220&gt;=2)</f>
        <v/>
      </c>
      <c r="G3220">
        <f>SUMPRODUCT(Calc!$K$3:$K$22*(Calc!$G$3:$G$22&gt;A3220)*(Calc!$G$3:$G$22-A3220))</f>
        <v/>
      </c>
      <c r="H3220">
        <f>SUMPRODUCT(Calc!$K$3:$K$22*(Calc!$G$3:$G$22&gt;B3220)*(Calc!$G$3:$G$22-B3220))</f>
        <v/>
      </c>
      <c r="I3220">
        <f>SUMPRODUCT(Calc!$K$3:$K$22*(Calc!$G$3:$G$22&gt;A3220)*(Calc!$G$3:$G$22-A3220)^2)</f>
        <v/>
      </c>
      <c r="J3220">
        <f>SUMPRODUCT(Calc!$K$3:$K$22*(Calc!$G$3:$G$22&gt;B3220)*(Calc!$G$3:$G$22-B3220)^2)</f>
        <v/>
      </c>
      <c r="K3220">
        <f>SUMPRODUCT(Calc!$K$3:$K$22*(Calc!$G$3:$G$22&gt;A3220)*(Calc!$G$3:$G$22-A3220)*(Calc!$G$3:$G$22&gt;B3220)*(Calc!$G$3:$G$22-B3220))</f>
        <v/>
      </c>
      <c r="L3220">
        <f>SUMPRODUCT(Calc!$K$3:$K$22*(Calc!$G$3:$G$22&gt;A3220)*(Calc!$G$3:$G$22-A3220)*Calc!$G$3:$G$22)</f>
        <v/>
      </c>
      <c r="M3220">
        <f>SUMPRODUCT(Calc!$K$3:$K$22*(Calc!$G$3:$G$22&gt;B3220)*(Calc!$G$3:$G$22-B3220)*Calc!$G$3:$G$22)</f>
        <v/>
      </c>
      <c r="N3220">
        <f>SUMPRODUCT(Calc!$K$3:$K$22*(Calc!$G$3:$G$22&gt;A3220)*(Calc!$G$3:$G$22-A3220)*Calc!$I$3:$I$22)</f>
        <v/>
      </c>
      <c r="O3220">
        <f>SUMPRODUCT(Calc!$K$3:$K$22*(Calc!$G$3:$G$22&gt;B3220)*(Calc!$G$3:$G$22-B3220)*Calc!$I$3:$I$22)</f>
        <v/>
      </c>
      <c r="P3220">
        <f>I3220-G3220^2/k_n</f>
        <v/>
      </c>
      <c r="Q3220">
        <f>J3220-H3220^2/k_n</f>
        <v/>
      </c>
      <c r="R3220">
        <f>K3220-G3220*H3220/k_n</f>
        <v/>
      </c>
      <c r="S3220">
        <f>L3220-LTP3!$D$3*G3220/k_n</f>
        <v/>
      </c>
      <c r="T3220">
        <f>M3220-LTP3!$D$3*H3220/k_n</f>
        <v/>
      </c>
      <c r="U3220">
        <f>N3220-G3220*LTP3!$D$4/k_n</f>
        <v/>
      </c>
      <c r="V3220">
        <f>O3220-H3220*LTP3!$D$4/k_n</f>
        <v/>
      </c>
      <c r="W3220">
        <f>((LTP3!$D$5)*((P3220)*(Q3220)-(R3220)*(R3220))-(S3220)*((S3220)*(Q3220)-(R3220)*(T3220))+(T3220)*((S3220)*(R3220)-(P3220)*(T3220)))</f>
        <v/>
      </c>
      <c r="X3220">
        <f>IF(ABS(W3220)&gt;1E-12,((LTP3!$D$6)*((P3220)*(Q3220)-(R3220)*(R3220))-(S3220)*((U3220)*(Q3220)-(R3220)*(V3220))+(T3220)*((U3220)*(R3220)-(P3220)*(V3220)))/W3220,0)</f>
        <v/>
      </c>
      <c r="Y3220">
        <f>IF(ABS(W3220)&gt;1E-12,((LTP3!$D$5)*((U3220)*(Q3220)-(R3220)*(V3220))-(LTP3!$D$6)*((S3220)*(Q3220)-(R3220)*(T3220))+(T3220)*((S3220)*(V3220)-(U3220)*(T3220)))/W3220,0)</f>
        <v/>
      </c>
      <c r="Z3220">
        <f>IF(ABS(W3220)&gt;1E-12,((LTP3!$D$5)*((P3220)*(V3220)-(U3220)*(R3220))-(S3220)*((S3220)*(V3220)-(U3220)*(T3220))+(LTP3!$D$6)*((S3220)*(R3220)-(P3220)*(T3220)))/W3220,0)</f>
        <v/>
      </c>
      <c r="AA3220">
        <f>LTP3!$D$7-X3220*LTP3!$D$6-Y3220*U3220-Z3220*V3220</f>
        <v/>
      </c>
      <c r="AB3220">
        <f>IF(AND(F3220,ABS(W3220)&gt;1E-12,Y3220&gt;0,Z3220&gt;0),AA3220,1E+300)</f>
        <v/>
      </c>
    </row>
    <row r="3221">
      <c r="A3221">
        <f>$B$3+$B$5*52</f>
        <v/>
      </c>
      <c r="B3221">
        <f>$B$3+$B$5*37</f>
        <v/>
      </c>
      <c r="C3221">
        <f>SUMPRODUCT(Calc!$K$3:$K$22*(Calc!$G$3:$G$22&lt;=A3221))</f>
        <v/>
      </c>
      <c r="D3221">
        <f>SUMPRODUCT(Calc!$K$3:$K$22*(Calc!$G$3:$G$22&gt;A3221)*(Calc!$G$3:$G$22&lt;B3221))</f>
        <v/>
      </c>
      <c r="E3221">
        <f>SUMPRODUCT(Calc!$K$3:$K$22*(Calc!$G$3:$G$22&gt;=B3221))</f>
        <v/>
      </c>
      <c r="F3221">
        <f>AND(k_n&gt;=5,B3221&gt;A3221+1E-9,C3221&gt;=2,D3221&gt;=1,E3221&gt;=2)</f>
        <v/>
      </c>
      <c r="G3221">
        <f>SUMPRODUCT(Calc!$K$3:$K$22*(Calc!$G$3:$G$22&gt;A3221)*(Calc!$G$3:$G$22-A3221))</f>
        <v/>
      </c>
      <c r="H3221">
        <f>SUMPRODUCT(Calc!$K$3:$K$22*(Calc!$G$3:$G$22&gt;B3221)*(Calc!$G$3:$G$22-B3221))</f>
        <v/>
      </c>
      <c r="I3221">
        <f>SUMPRODUCT(Calc!$K$3:$K$22*(Calc!$G$3:$G$22&gt;A3221)*(Calc!$G$3:$G$22-A3221)^2)</f>
        <v/>
      </c>
      <c r="J3221">
        <f>SUMPRODUCT(Calc!$K$3:$K$22*(Calc!$G$3:$G$22&gt;B3221)*(Calc!$G$3:$G$22-B3221)^2)</f>
        <v/>
      </c>
      <c r="K3221">
        <f>SUMPRODUCT(Calc!$K$3:$K$22*(Calc!$G$3:$G$22&gt;A3221)*(Calc!$G$3:$G$22-A3221)*(Calc!$G$3:$G$22&gt;B3221)*(Calc!$G$3:$G$22-B3221))</f>
        <v/>
      </c>
      <c r="L3221">
        <f>SUMPRODUCT(Calc!$K$3:$K$22*(Calc!$G$3:$G$22&gt;A3221)*(Calc!$G$3:$G$22-A3221)*Calc!$G$3:$G$22)</f>
        <v/>
      </c>
      <c r="M3221">
        <f>SUMPRODUCT(Calc!$K$3:$K$22*(Calc!$G$3:$G$22&gt;B3221)*(Calc!$G$3:$G$22-B3221)*Calc!$G$3:$G$22)</f>
        <v/>
      </c>
      <c r="N3221">
        <f>SUMPRODUCT(Calc!$K$3:$K$22*(Calc!$G$3:$G$22&gt;A3221)*(Calc!$G$3:$G$22-A3221)*Calc!$I$3:$I$22)</f>
        <v/>
      </c>
      <c r="O3221">
        <f>SUMPRODUCT(Calc!$K$3:$K$22*(Calc!$G$3:$G$22&gt;B3221)*(Calc!$G$3:$G$22-B3221)*Calc!$I$3:$I$22)</f>
        <v/>
      </c>
      <c r="P3221">
        <f>I3221-G3221^2/k_n</f>
        <v/>
      </c>
      <c r="Q3221">
        <f>J3221-H3221^2/k_n</f>
        <v/>
      </c>
      <c r="R3221">
        <f>K3221-G3221*H3221/k_n</f>
        <v/>
      </c>
      <c r="S3221">
        <f>L3221-LTP3!$D$3*G3221/k_n</f>
        <v/>
      </c>
      <c r="T3221">
        <f>M3221-LTP3!$D$3*H3221/k_n</f>
        <v/>
      </c>
      <c r="U3221">
        <f>N3221-G3221*LTP3!$D$4/k_n</f>
        <v/>
      </c>
      <c r="V3221">
        <f>O3221-H3221*LTP3!$D$4/k_n</f>
        <v/>
      </c>
      <c r="W3221">
        <f>((LTP3!$D$5)*((P3221)*(Q3221)-(R3221)*(R3221))-(S3221)*((S3221)*(Q3221)-(R3221)*(T3221))+(T3221)*((S3221)*(R3221)-(P3221)*(T3221)))</f>
        <v/>
      </c>
      <c r="X3221">
        <f>IF(ABS(W3221)&gt;1E-12,((LTP3!$D$6)*((P3221)*(Q3221)-(R3221)*(R3221))-(S3221)*((U3221)*(Q3221)-(R3221)*(V3221))+(T3221)*((U3221)*(R3221)-(P3221)*(V3221)))/W3221,0)</f>
        <v/>
      </c>
      <c r="Y3221">
        <f>IF(ABS(W3221)&gt;1E-12,((LTP3!$D$5)*((U3221)*(Q3221)-(R3221)*(V3221))-(LTP3!$D$6)*((S3221)*(Q3221)-(R3221)*(T3221))+(T3221)*((S3221)*(V3221)-(U3221)*(T3221)))/W3221,0)</f>
        <v/>
      </c>
      <c r="Z3221">
        <f>IF(ABS(W3221)&gt;1E-12,((LTP3!$D$5)*((P3221)*(V3221)-(U3221)*(R3221))-(S3221)*((S3221)*(V3221)-(U3221)*(T3221))+(LTP3!$D$6)*((S3221)*(R3221)-(P3221)*(T3221)))/W3221,0)</f>
        <v/>
      </c>
      <c r="AA3221">
        <f>LTP3!$D$7-X3221*LTP3!$D$6-Y3221*U3221-Z3221*V3221</f>
        <v/>
      </c>
      <c r="AB3221">
        <f>IF(AND(F3221,ABS(W3221)&gt;1E-12,Y3221&gt;0,Z3221&gt;0),AA3221,1E+300)</f>
        <v/>
      </c>
    </row>
    <row r="3222">
      <c r="A3222">
        <f>$B$3+$B$5*52</f>
        <v/>
      </c>
      <c r="B3222">
        <f>$B$3+$B$5*38</f>
        <v/>
      </c>
      <c r="C3222">
        <f>SUMPRODUCT(Calc!$K$3:$K$22*(Calc!$G$3:$G$22&lt;=A3222))</f>
        <v/>
      </c>
      <c r="D3222">
        <f>SUMPRODUCT(Calc!$K$3:$K$22*(Calc!$G$3:$G$22&gt;A3222)*(Calc!$G$3:$G$22&lt;B3222))</f>
        <v/>
      </c>
      <c r="E3222">
        <f>SUMPRODUCT(Calc!$K$3:$K$22*(Calc!$G$3:$G$22&gt;=B3222))</f>
        <v/>
      </c>
      <c r="F3222">
        <f>AND(k_n&gt;=5,B3222&gt;A3222+1E-9,C3222&gt;=2,D3222&gt;=1,E3222&gt;=2)</f>
        <v/>
      </c>
      <c r="G3222">
        <f>SUMPRODUCT(Calc!$K$3:$K$22*(Calc!$G$3:$G$22&gt;A3222)*(Calc!$G$3:$G$22-A3222))</f>
        <v/>
      </c>
      <c r="H3222">
        <f>SUMPRODUCT(Calc!$K$3:$K$22*(Calc!$G$3:$G$22&gt;B3222)*(Calc!$G$3:$G$22-B3222))</f>
        <v/>
      </c>
      <c r="I3222">
        <f>SUMPRODUCT(Calc!$K$3:$K$22*(Calc!$G$3:$G$22&gt;A3222)*(Calc!$G$3:$G$22-A3222)^2)</f>
        <v/>
      </c>
      <c r="J3222">
        <f>SUMPRODUCT(Calc!$K$3:$K$22*(Calc!$G$3:$G$22&gt;B3222)*(Calc!$G$3:$G$22-B3222)^2)</f>
        <v/>
      </c>
      <c r="K3222">
        <f>SUMPRODUCT(Calc!$K$3:$K$22*(Calc!$G$3:$G$22&gt;A3222)*(Calc!$G$3:$G$22-A3222)*(Calc!$G$3:$G$22&gt;B3222)*(Calc!$G$3:$G$22-B3222))</f>
        <v/>
      </c>
      <c r="L3222">
        <f>SUMPRODUCT(Calc!$K$3:$K$22*(Calc!$G$3:$G$22&gt;A3222)*(Calc!$G$3:$G$22-A3222)*Calc!$G$3:$G$22)</f>
        <v/>
      </c>
      <c r="M3222">
        <f>SUMPRODUCT(Calc!$K$3:$K$22*(Calc!$G$3:$G$22&gt;B3222)*(Calc!$G$3:$G$22-B3222)*Calc!$G$3:$G$22)</f>
        <v/>
      </c>
      <c r="N3222">
        <f>SUMPRODUCT(Calc!$K$3:$K$22*(Calc!$G$3:$G$22&gt;A3222)*(Calc!$G$3:$G$22-A3222)*Calc!$I$3:$I$22)</f>
        <v/>
      </c>
      <c r="O3222">
        <f>SUMPRODUCT(Calc!$K$3:$K$22*(Calc!$G$3:$G$22&gt;B3222)*(Calc!$G$3:$G$22-B3222)*Calc!$I$3:$I$22)</f>
        <v/>
      </c>
      <c r="P3222">
        <f>I3222-G3222^2/k_n</f>
        <v/>
      </c>
      <c r="Q3222">
        <f>J3222-H3222^2/k_n</f>
        <v/>
      </c>
      <c r="R3222">
        <f>K3222-G3222*H3222/k_n</f>
        <v/>
      </c>
      <c r="S3222">
        <f>L3222-LTP3!$D$3*G3222/k_n</f>
        <v/>
      </c>
      <c r="T3222">
        <f>M3222-LTP3!$D$3*H3222/k_n</f>
        <v/>
      </c>
      <c r="U3222">
        <f>N3222-G3222*LTP3!$D$4/k_n</f>
        <v/>
      </c>
      <c r="V3222">
        <f>O3222-H3222*LTP3!$D$4/k_n</f>
        <v/>
      </c>
      <c r="W3222">
        <f>((LTP3!$D$5)*((P3222)*(Q3222)-(R3222)*(R3222))-(S3222)*((S3222)*(Q3222)-(R3222)*(T3222))+(T3222)*((S3222)*(R3222)-(P3222)*(T3222)))</f>
        <v/>
      </c>
      <c r="X3222">
        <f>IF(ABS(W3222)&gt;1E-12,((LTP3!$D$6)*((P3222)*(Q3222)-(R3222)*(R3222))-(S3222)*((U3222)*(Q3222)-(R3222)*(V3222))+(T3222)*((U3222)*(R3222)-(P3222)*(V3222)))/W3222,0)</f>
        <v/>
      </c>
      <c r="Y3222">
        <f>IF(ABS(W3222)&gt;1E-12,((LTP3!$D$5)*((U3222)*(Q3222)-(R3222)*(V3222))-(LTP3!$D$6)*((S3222)*(Q3222)-(R3222)*(T3222))+(T3222)*((S3222)*(V3222)-(U3222)*(T3222)))/W3222,0)</f>
        <v/>
      </c>
      <c r="Z3222">
        <f>IF(ABS(W3222)&gt;1E-12,((LTP3!$D$5)*((P3222)*(V3222)-(U3222)*(R3222))-(S3222)*((S3222)*(V3222)-(U3222)*(T3222))+(LTP3!$D$6)*((S3222)*(R3222)-(P3222)*(T3222)))/W3222,0)</f>
        <v/>
      </c>
      <c r="AA3222">
        <f>LTP3!$D$7-X3222*LTP3!$D$6-Y3222*U3222-Z3222*V3222</f>
        <v/>
      </c>
      <c r="AB3222">
        <f>IF(AND(F3222,ABS(W3222)&gt;1E-12,Y3222&gt;0,Z3222&gt;0),AA3222,1E+300)</f>
        <v/>
      </c>
    </row>
    <row r="3223">
      <c r="A3223">
        <f>$B$3+$B$5*52</f>
        <v/>
      </c>
      <c r="B3223">
        <f>$B$3+$B$5*39</f>
        <v/>
      </c>
      <c r="C3223">
        <f>SUMPRODUCT(Calc!$K$3:$K$22*(Calc!$G$3:$G$22&lt;=A3223))</f>
        <v/>
      </c>
      <c r="D3223">
        <f>SUMPRODUCT(Calc!$K$3:$K$22*(Calc!$G$3:$G$22&gt;A3223)*(Calc!$G$3:$G$22&lt;B3223))</f>
        <v/>
      </c>
      <c r="E3223">
        <f>SUMPRODUCT(Calc!$K$3:$K$22*(Calc!$G$3:$G$22&gt;=B3223))</f>
        <v/>
      </c>
      <c r="F3223">
        <f>AND(k_n&gt;=5,B3223&gt;A3223+1E-9,C3223&gt;=2,D3223&gt;=1,E3223&gt;=2)</f>
        <v/>
      </c>
      <c r="G3223">
        <f>SUMPRODUCT(Calc!$K$3:$K$22*(Calc!$G$3:$G$22&gt;A3223)*(Calc!$G$3:$G$22-A3223))</f>
        <v/>
      </c>
      <c r="H3223">
        <f>SUMPRODUCT(Calc!$K$3:$K$22*(Calc!$G$3:$G$22&gt;B3223)*(Calc!$G$3:$G$22-B3223))</f>
        <v/>
      </c>
      <c r="I3223">
        <f>SUMPRODUCT(Calc!$K$3:$K$22*(Calc!$G$3:$G$22&gt;A3223)*(Calc!$G$3:$G$22-A3223)^2)</f>
        <v/>
      </c>
      <c r="J3223">
        <f>SUMPRODUCT(Calc!$K$3:$K$22*(Calc!$G$3:$G$22&gt;B3223)*(Calc!$G$3:$G$22-B3223)^2)</f>
        <v/>
      </c>
      <c r="K3223">
        <f>SUMPRODUCT(Calc!$K$3:$K$22*(Calc!$G$3:$G$22&gt;A3223)*(Calc!$G$3:$G$22-A3223)*(Calc!$G$3:$G$22&gt;B3223)*(Calc!$G$3:$G$22-B3223))</f>
        <v/>
      </c>
      <c r="L3223">
        <f>SUMPRODUCT(Calc!$K$3:$K$22*(Calc!$G$3:$G$22&gt;A3223)*(Calc!$G$3:$G$22-A3223)*Calc!$G$3:$G$22)</f>
        <v/>
      </c>
      <c r="M3223">
        <f>SUMPRODUCT(Calc!$K$3:$K$22*(Calc!$G$3:$G$22&gt;B3223)*(Calc!$G$3:$G$22-B3223)*Calc!$G$3:$G$22)</f>
        <v/>
      </c>
      <c r="N3223">
        <f>SUMPRODUCT(Calc!$K$3:$K$22*(Calc!$G$3:$G$22&gt;A3223)*(Calc!$G$3:$G$22-A3223)*Calc!$I$3:$I$22)</f>
        <v/>
      </c>
      <c r="O3223">
        <f>SUMPRODUCT(Calc!$K$3:$K$22*(Calc!$G$3:$G$22&gt;B3223)*(Calc!$G$3:$G$22-B3223)*Calc!$I$3:$I$22)</f>
        <v/>
      </c>
      <c r="P3223">
        <f>I3223-G3223^2/k_n</f>
        <v/>
      </c>
      <c r="Q3223">
        <f>J3223-H3223^2/k_n</f>
        <v/>
      </c>
      <c r="R3223">
        <f>K3223-G3223*H3223/k_n</f>
        <v/>
      </c>
      <c r="S3223">
        <f>L3223-LTP3!$D$3*G3223/k_n</f>
        <v/>
      </c>
      <c r="T3223">
        <f>M3223-LTP3!$D$3*H3223/k_n</f>
        <v/>
      </c>
      <c r="U3223">
        <f>N3223-G3223*LTP3!$D$4/k_n</f>
        <v/>
      </c>
      <c r="V3223">
        <f>O3223-H3223*LTP3!$D$4/k_n</f>
        <v/>
      </c>
      <c r="W3223">
        <f>((LTP3!$D$5)*((P3223)*(Q3223)-(R3223)*(R3223))-(S3223)*((S3223)*(Q3223)-(R3223)*(T3223))+(T3223)*((S3223)*(R3223)-(P3223)*(T3223)))</f>
        <v/>
      </c>
      <c r="X3223">
        <f>IF(ABS(W3223)&gt;1E-12,((LTP3!$D$6)*((P3223)*(Q3223)-(R3223)*(R3223))-(S3223)*((U3223)*(Q3223)-(R3223)*(V3223))+(T3223)*((U3223)*(R3223)-(P3223)*(V3223)))/W3223,0)</f>
        <v/>
      </c>
      <c r="Y3223">
        <f>IF(ABS(W3223)&gt;1E-12,((LTP3!$D$5)*((U3223)*(Q3223)-(R3223)*(V3223))-(LTP3!$D$6)*((S3223)*(Q3223)-(R3223)*(T3223))+(T3223)*((S3223)*(V3223)-(U3223)*(T3223)))/W3223,0)</f>
        <v/>
      </c>
      <c r="Z3223">
        <f>IF(ABS(W3223)&gt;1E-12,((LTP3!$D$5)*((P3223)*(V3223)-(U3223)*(R3223))-(S3223)*((S3223)*(V3223)-(U3223)*(T3223))+(LTP3!$D$6)*((S3223)*(R3223)-(P3223)*(T3223)))/W3223,0)</f>
        <v/>
      </c>
      <c r="AA3223">
        <f>LTP3!$D$7-X3223*LTP3!$D$6-Y3223*U3223-Z3223*V3223</f>
        <v/>
      </c>
      <c r="AB3223">
        <f>IF(AND(F3223,ABS(W3223)&gt;1E-12,Y3223&gt;0,Z3223&gt;0),AA3223,1E+300)</f>
        <v/>
      </c>
    </row>
    <row r="3224">
      <c r="A3224">
        <f>$B$3+$B$5*52</f>
        <v/>
      </c>
      <c r="B3224">
        <f>$B$3+$B$5*40</f>
        <v/>
      </c>
      <c r="C3224">
        <f>SUMPRODUCT(Calc!$K$3:$K$22*(Calc!$G$3:$G$22&lt;=A3224))</f>
        <v/>
      </c>
      <c r="D3224">
        <f>SUMPRODUCT(Calc!$K$3:$K$22*(Calc!$G$3:$G$22&gt;A3224)*(Calc!$G$3:$G$22&lt;B3224))</f>
        <v/>
      </c>
      <c r="E3224">
        <f>SUMPRODUCT(Calc!$K$3:$K$22*(Calc!$G$3:$G$22&gt;=B3224))</f>
        <v/>
      </c>
      <c r="F3224">
        <f>AND(k_n&gt;=5,B3224&gt;A3224+1E-9,C3224&gt;=2,D3224&gt;=1,E3224&gt;=2)</f>
        <v/>
      </c>
      <c r="G3224">
        <f>SUMPRODUCT(Calc!$K$3:$K$22*(Calc!$G$3:$G$22&gt;A3224)*(Calc!$G$3:$G$22-A3224))</f>
        <v/>
      </c>
      <c r="H3224">
        <f>SUMPRODUCT(Calc!$K$3:$K$22*(Calc!$G$3:$G$22&gt;B3224)*(Calc!$G$3:$G$22-B3224))</f>
        <v/>
      </c>
      <c r="I3224">
        <f>SUMPRODUCT(Calc!$K$3:$K$22*(Calc!$G$3:$G$22&gt;A3224)*(Calc!$G$3:$G$22-A3224)^2)</f>
        <v/>
      </c>
      <c r="J3224">
        <f>SUMPRODUCT(Calc!$K$3:$K$22*(Calc!$G$3:$G$22&gt;B3224)*(Calc!$G$3:$G$22-B3224)^2)</f>
        <v/>
      </c>
      <c r="K3224">
        <f>SUMPRODUCT(Calc!$K$3:$K$22*(Calc!$G$3:$G$22&gt;A3224)*(Calc!$G$3:$G$22-A3224)*(Calc!$G$3:$G$22&gt;B3224)*(Calc!$G$3:$G$22-B3224))</f>
        <v/>
      </c>
      <c r="L3224">
        <f>SUMPRODUCT(Calc!$K$3:$K$22*(Calc!$G$3:$G$22&gt;A3224)*(Calc!$G$3:$G$22-A3224)*Calc!$G$3:$G$22)</f>
        <v/>
      </c>
      <c r="M3224">
        <f>SUMPRODUCT(Calc!$K$3:$K$22*(Calc!$G$3:$G$22&gt;B3224)*(Calc!$G$3:$G$22-B3224)*Calc!$G$3:$G$22)</f>
        <v/>
      </c>
      <c r="N3224">
        <f>SUMPRODUCT(Calc!$K$3:$K$22*(Calc!$G$3:$G$22&gt;A3224)*(Calc!$G$3:$G$22-A3224)*Calc!$I$3:$I$22)</f>
        <v/>
      </c>
      <c r="O3224">
        <f>SUMPRODUCT(Calc!$K$3:$K$22*(Calc!$G$3:$G$22&gt;B3224)*(Calc!$G$3:$G$22-B3224)*Calc!$I$3:$I$22)</f>
        <v/>
      </c>
      <c r="P3224">
        <f>I3224-G3224^2/k_n</f>
        <v/>
      </c>
      <c r="Q3224">
        <f>J3224-H3224^2/k_n</f>
        <v/>
      </c>
      <c r="R3224">
        <f>K3224-G3224*H3224/k_n</f>
        <v/>
      </c>
      <c r="S3224">
        <f>L3224-LTP3!$D$3*G3224/k_n</f>
        <v/>
      </c>
      <c r="T3224">
        <f>M3224-LTP3!$D$3*H3224/k_n</f>
        <v/>
      </c>
      <c r="U3224">
        <f>N3224-G3224*LTP3!$D$4/k_n</f>
        <v/>
      </c>
      <c r="V3224">
        <f>O3224-H3224*LTP3!$D$4/k_n</f>
        <v/>
      </c>
      <c r="W3224">
        <f>((LTP3!$D$5)*((P3224)*(Q3224)-(R3224)*(R3224))-(S3224)*((S3224)*(Q3224)-(R3224)*(T3224))+(T3224)*((S3224)*(R3224)-(P3224)*(T3224)))</f>
        <v/>
      </c>
      <c r="X3224">
        <f>IF(ABS(W3224)&gt;1E-12,((LTP3!$D$6)*((P3224)*(Q3224)-(R3224)*(R3224))-(S3224)*((U3224)*(Q3224)-(R3224)*(V3224))+(T3224)*((U3224)*(R3224)-(P3224)*(V3224)))/W3224,0)</f>
        <v/>
      </c>
      <c r="Y3224">
        <f>IF(ABS(W3224)&gt;1E-12,((LTP3!$D$5)*((U3224)*(Q3224)-(R3224)*(V3224))-(LTP3!$D$6)*((S3224)*(Q3224)-(R3224)*(T3224))+(T3224)*((S3224)*(V3224)-(U3224)*(T3224)))/W3224,0)</f>
        <v/>
      </c>
      <c r="Z3224">
        <f>IF(ABS(W3224)&gt;1E-12,((LTP3!$D$5)*((P3224)*(V3224)-(U3224)*(R3224))-(S3224)*((S3224)*(V3224)-(U3224)*(T3224))+(LTP3!$D$6)*((S3224)*(R3224)-(P3224)*(T3224)))/W3224,0)</f>
        <v/>
      </c>
      <c r="AA3224">
        <f>LTP3!$D$7-X3224*LTP3!$D$6-Y3224*U3224-Z3224*V3224</f>
        <v/>
      </c>
      <c r="AB3224">
        <f>IF(AND(F3224,ABS(W3224)&gt;1E-12,Y3224&gt;0,Z3224&gt;0),AA3224,1E+300)</f>
        <v/>
      </c>
    </row>
    <row r="3225">
      <c r="A3225">
        <f>$B$3+$B$5*52</f>
        <v/>
      </c>
      <c r="B3225">
        <f>$B$3+$B$5*41</f>
        <v/>
      </c>
      <c r="C3225">
        <f>SUMPRODUCT(Calc!$K$3:$K$22*(Calc!$G$3:$G$22&lt;=A3225))</f>
        <v/>
      </c>
      <c r="D3225">
        <f>SUMPRODUCT(Calc!$K$3:$K$22*(Calc!$G$3:$G$22&gt;A3225)*(Calc!$G$3:$G$22&lt;B3225))</f>
        <v/>
      </c>
      <c r="E3225">
        <f>SUMPRODUCT(Calc!$K$3:$K$22*(Calc!$G$3:$G$22&gt;=B3225))</f>
        <v/>
      </c>
      <c r="F3225">
        <f>AND(k_n&gt;=5,B3225&gt;A3225+1E-9,C3225&gt;=2,D3225&gt;=1,E3225&gt;=2)</f>
        <v/>
      </c>
      <c r="G3225">
        <f>SUMPRODUCT(Calc!$K$3:$K$22*(Calc!$G$3:$G$22&gt;A3225)*(Calc!$G$3:$G$22-A3225))</f>
        <v/>
      </c>
      <c r="H3225">
        <f>SUMPRODUCT(Calc!$K$3:$K$22*(Calc!$G$3:$G$22&gt;B3225)*(Calc!$G$3:$G$22-B3225))</f>
        <v/>
      </c>
      <c r="I3225">
        <f>SUMPRODUCT(Calc!$K$3:$K$22*(Calc!$G$3:$G$22&gt;A3225)*(Calc!$G$3:$G$22-A3225)^2)</f>
        <v/>
      </c>
      <c r="J3225">
        <f>SUMPRODUCT(Calc!$K$3:$K$22*(Calc!$G$3:$G$22&gt;B3225)*(Calc!$G$3:$G$22-B3225)^2)</f>
        <v/>
      </c>
      <c r="K3225">
        <f>SUMPRODUCT(Calc!$K$3:$K$22*(Calc!$G$3:$G$22&gt;A3225)*(Calc!$G$3:$G$22-A3225)*(Calc!$G$3:$G$22&gt;B3225)*(Calc!$G$3:$G$22-B3225))</f>
        <v/>
      </c>
      <c r="L3225">
        <f>SUMPRODUCT(Calc!$K$3:$K$22*(Calc!$G$3:$G$22&gt;A3225)*(Calc!$G$3:$G$22-A3225)*Calc!$G$3:$G$22)</f>
        <v/>
      </c>
      <c r="M3225">
        <f>SUMPRODUCT(Calc!$K$3:$K$22*(Calc!$G$3:$G$22&gt;B3225)*(Calc!$G$3:$G$22-B3225)*Calc!$G$3:$G$22)</f>
        <v/>
      </c>
      <c r="N3225">
        <f>SUMPRODUCT(Calc!$K$3:$K$22*(Calc!$G$3:$G$22&gt;A3225)*(Calc!$G$3:$G$22-A3225)*Calc!$I$3:$I$22)</f>
        <v/>
      </c>
      <c r="O3225">
        <f>SUMPRODUCT(Calc!$K$3:$K$22*(Calc!$G$3:$G$22&gt;B3225)*(Calc!$G$3:$G$22-B3225)*Calc!$I$3:$I$22)</f>
        <v/>
      </c>
      <c r="P3225">
        <f>I3225-G3225^2/k_n</f>
        <v/>
      </c>
      <c r="Q3225">
        <f>J3225-H3225^2/k_n</f>
        <v/>
      </c>
      <c r="R3225">
        <f>K3225-G3225*H3225/k_n</f>
        <v/>
      </c>
      <c r="S3225">
        <f>L3225-LTP3!$D$3*G3225/k_n</f>
        <v/>
      </c>
      <c r="T3225">
        <f>M3225-LTP3!$D$3*H3225/k_n</f>
        <v/>
      </c>
      <c r="U3225">
        <f>N3225-G3225*LTP3!$D$4/k_n</f>
        <v/>
      </c>
      <c r="V3225">
        <f>O3225-H3225*LTP3!$D$4/k_n</f>
        <v/>
      </c>
      <c r="W3225">
        <f>((LTP3!$D$5)*((P3225)*(Q3225)-(R3225)*(R3225))-(S3225)*((S3225)*(Q3225)-(R3225)*(T3225))+(T3225)*((S3225)*(R3225)-(P3225)*(T3225)))</f>
        <v/>
      </c>
      <c r="X3225">
        <f>IF(ABS(W3225)&gt;1E-12,((LTP3!$D$6)*((P3225)*(Q3225)-(R3225)*(R3225))-(S3225)*((U3225)*(Q3225)-(R3225)*(V3225))+(T3225)*((U3225)*(R3225)-(P3225)*(V3225)))/W3225,0)</f>
        <v/>
      </c>
      <c r="Y3225">
        <f>IF(ABS(W3225)&gt;1E-12,((LTP3!$D$5)*((U3225)*(Q3225)-(R3225)*(V3225))-(LTP3!$D$6)*((S3225)*(Q3225)-(R3225)*(T3225))+(T3225)*((S3225)*(V3225)-(U3225)*(T3225)))/W3225,0)</f>
        <v/>
      </c>
      <c r="Z3225">
        <f>IF(ABS(W3225)&gt;1E-12,((LTP3!$D$5)*((P3225)*(V3225)-(U3225)*(R3225))-(S3225)*((S3225)*(V3225)-(U3225)*(T3225))+(LTP3!$D$6)*((S3225)*(R3225)-(P3225)*(T3225)))/W3225,0)</f>
        <v/>
      </c>
      <c r="AA3225">
        <f>LTP3!$D$7-X3225*LTP3!$D$6-Y3225*U3225-Z3225*V3225</f>
        <v/>
      </c>
      <c r="AB3225">
        <f>IF(AND(F3225,ABS(W3225)&gt;1E-12,Y3225&gt;0,Z3225&gt;0),AA3225,1E+300)</f>
        <v/>
      </c>
    </row>
    <row r="3226">
      <c r="A3226">
        <f>$B$3+$B$5*52</f>
        <v/>
      </c>
      <c r="B3226">
        <f>$B$3+$B$5*42</f>
        <v/>
      </c>
      <c r="C3226">
        <f>SUMPRODUCT(Calc!$K$3:$K$22*(Calc!$G$3:$G$22&lt;=A3226))</f>
        <v/>
      </c>
      <c r="D3226">
        <f>SUMPRODUCT(Calc!$K$3:$K$22*(Calc!$G$3:$G$22&gt;A3226)*(Calc!$G$3:$G$22&lt;B3226))</f>
        <v/>
      </c>
      <c r="E3226">
        <f>SUMPRODUCT(Calc!$K$3:$K$22*(Calc!$G$3:$G$22&gt;=B3226))</f>
        <v/>
      </c>
      <c r="F3226">
        <f>AND(k_n&gt;=5,B3226&gt;A3226+1E-9,C3226&gt;=2,D3226&gt;=1,E3226&gt;=2)</f>
        <v/>
      </c>
      <c r="G3226">
        <f>SUMPRODUCT(Calc!$K$3:$K$22*(Calc!$G$3:$G$22&gt;A3226)*(Calc!$G$3:$G$22-A3226))</f>
        <v/>
      </c>
      <c r="H3226">
        <f>SUMPRODUCT(Calc!$K$3:$K$22*(Calc!$G$3:$G$22&gt;B3226)*(Calc!$G$3:$G$22-B3226))</f>
        <v/>
      </c>
      <c r="I3226">
        <f>SUMPRODUCT(Calc!$K$3:$K$22*(Calc!$G$3:$G$22&gt;A3226)*(Calc!$G$3:$G$22-A3226)^2)</f>
        <v/>
      </c>
      <c r="J3226">
        <f>SUMPRODUCT(Calc!$K$3:$K$22*(Calc!$G$3:$G$22&gt;B3226)*(Calc!$G$3:$G$22-B3226)^2)</f>
        <v/>
      </c>
      <c r="K3226">
        <f>SUMPRODUCT(Calc!$K$3:$K$22*(Calc!$G$3:$G$22&gt;A3226)*(Calc!$G$3:$G$22-A3226)*(Calc!$G$3:$G$22&gt;B3226)*(Calc!$G$3:$G$22-B3226))</f>
        <v/>
      </c>
      <c r="L3226">
        <f>SUMPRODUCT(Calc!$K$3:$K$22*(Calc!$G$3:$G$22&gt;A3226)*(Calc!$G$3:$G$22-A3226)*Calc!$G$3:$G$22)</f>
        <v/>
      </c>
      <c r="M3226">
        <f>SUMPRODUCT(Calc!$K$3:$K$22*(Calc!$G$3:$G$22&gt;B3226)*(Calc!$G$3:$G$22-B3226)*Calc!$G$3:$G$22)</f>
        <v/>
      </c>
      <c r="N3226">
        <f>SUMPRODUCT(Calc!$K$3:$K$22*(Calc!$G$3:$G$22&gt;A3226)*(Calc!$G$3:$G$22-A3226)*Calc!$I$3:$I$22)</f>
        <v/>
      </c>
      <c r="O3226">
        <f>SUMPRODUCT(Calc!$K$3:$K$22*(Calc!$G$3:$G$22&gt;B3226)*(Calc!$G$3:$G$22-B3226)*Calc!$I$3:$I$22)</f>
        <v/>
      </c>
      <c r="P3226">
        <f>I3226-G3226^2/k_n</f>
        <v/>
      </c>
      <c r="Q3226">
        <f>J3226-H3226^2/k_n</f>
        <v/>
      </c>
      <c r="R3226">
        <f>K3226-G3226*H3226/k_n</f>
        <v/>
      </c>
      <c r="S3226">
        <f>L3226-LTP3!$D$3*G3226/k_n</f>
        <v/>
      </c>
      <c r="T3226">
        <f>M3226-LTP3!$D$3*H3226/k_n</f>
        <v/>
      </c>
      <c r="U3226">
        <f>N3226-G3226*LTP3!$D$4/k_n</f>
        <v/>
      </c>
      <c r="V3226">
        <f>O3226-H3226*LTP3!$D$4/k_n</f>
        <v/>
      </c>
      <c r="W3226">
        <f>((LTP3!$D$5)*((P3226)*(Q3226)-(R3226)*(R3226))-(S3226)*((S3226)*(Q3226)-(R3226)*(T3226))+(T3226)*((S3226)*(R3226)-(P3226)*(T3226)))</f>
        <v/>
      </c>
      <c r="X3226">
        <f>IF(ABS(W3226)&gt;1E-12,((LTP3!$D$6)*((P3226)*(Q3226)-(R3226)*(R3226))-(S3226)*((U3226)*(Q3226)-(R3226)*(V3226))+(T3226)*((U3226)*(R3226)-(P3226)*(V3226)))/W3226,0)</f>
        <v/>
      </c>
      <c r="Y3226">
        <f>IF(ABS(W3226)&gt;1E-12,((LTP3!$D$5)*((U3226)*(Q3226)-(R3226)*(V3226))-(LTP3!$D$6)*((S3226)*(Q3226)-(R3226)*(T3226))+(T3226)*((S3226)*(V3226)-(U3226)*(T3226)))/W3226,0)</f>
        <v/>
      </c>
      <c r="Z3226">
        <f>IF(ABS(W3226)&gt;1E-12,((LTP3!$D$5)*((P3226)*(V3226)-(U3226)*(R3226))-(S3226)*((S3226)*(V3226)-(U3226)*(T3226))+(LTP3!$D$6)*((S3226)*(R3226)-(P3226)*(T3226)))/W3226,0)</f>
        <v/>
      </c>
      <c r="AA3226">
        <f>LTP3!$D$7-X3226*LTP3!$D$6-Y3226*U3226-Z3226*V3226</f>
        <v/>
      </c>
      <c r="AB3226">
        <f>IF(AND(F3226,ABS(W3226)&gt;1E-12,Y3226&gt;0,Z3226&gt;0),AA3226,1E+300)</f>
        <v/>
      </c>
    </row>
    <row r="3227">
      <c r="A3227">
        <f>$B$3+$B$5*52</f>
        <v/>
      </c>
      <c r="B3227">
        <f>$B$3+$B$5*43</f>
        <v/>
      </c>
      <c r="C3227">
        <f>SUMPRODUCT(Calc!$K$3:$K$22*(Calc!$G$3:$G$22&lt;=A3227))</f>
        <v/>
      </c>
      <c r="D3227">
        <f>SUMPRODUCT(Calc!$K$3:$K$22*(Calc!$G$3:$G$22&gt;A3227)*(Calc!$G$3:$G$22&lt;B3227))</f>
        <v/>
      </c>
      <c r="E3227">
        <f>SUMPRODUCT(Calc!$K$3:$K$22*(Calc!$G$3:$G$22&gt;=B3227))</f>
        <v/>
      </c>
      <c r="F3227">
        <f>AND(k_n&gt;=5,B3227&gt;A3227+1E-9,C3227&gt;=2,D3227&gt;=1,E3227&gt;=2)</f>
        <v/>
      </c>
      <c r="G3227">
        <f>SUMPRODUCT(Calc!$K$3:$K$22*(Calc!$G$3:$G$22&gt;A3227)*(Calc!$G$3:$G$22-A3227))</f>
        <v/>
      </c>
      <c r="H3227">
        <f>SUMPRODUCT(Calc!$K$3:$K$22*(Calc!$G$3:$G$22&gt;B3227)*(Calc!$G$3:$G$22-B3227))</f>
        <v/>
      </c>
      <c r="I3227">
        <f>SUMPRODUCT(Calc!$K$3:$K$22*(Calc!$G$3:$G$22&gt;A3227)*(Calc!$G$3:$G$22-A3227)^2)</f>
        <v/>
      </c>
      <c r="J3227">
        <f>SUMPRODUCT(Calc!$K$3:$K$22*(Calc!$G$3:$G$22&gt;B3227)*(Calc!$G$3:$G$22-B3227)^2)</f>
        <v/>
      </c>
      <c r="K3227">
        <f>SUMPRODUCT(Calc!$K$3:$K$22*(Calc!$G$3:$G$22&gt;A3227)*(Calc!$G$3:$G$22-A3227)*(Calc!$G$3:$G$22&gt;B3227)*(Calc!$G$3:$G$22-B3227))</f>
        <v/>
      </c>
      <c r="L3227">
        <f>SUMPRODUCT(Calc!$K$3:$K$22*(Calc!$G$3:$G$22&gt;A3227)*(Calc!$G$3:$G$22-A3227)*Calc!$G$3:$G$22)</f>
        <v/>
      </c>
      <c r="M3227">
        <f>SUMPRODUCT(Calc!$K$3:$K$22*(Calc!$G$3:$G$22&gt;B3227)*(Calc!$G$3:$G$22-B3227)*Calc!$G$3:$G$22)</f>
        <v/>
      </c>
      <c r="N3227">
        <f>SUMPRODUCT(Calc!$K$3:$K$22*(Calc!$G$3:$G$22&gt;A3227)*(Calc!$G$3:$G$22-A3227)*Calc!$I$3:$I$22)</f>
        <v/>
      </c>
      <c r="O3227">
        <f>SUMPRODUCT(Calc!$K$3:$K$22*(Calc!$G$3:$G$22&gt;B3227)*(Calc!$G$3:$G$22-B3227)*Calc!$I$3:$I$22)</f>
        <v/>
      </c>
      <c r="P3227">
        <f>I3227-G3227^2/k_n</f>
        <v/>
      </c>
      <c r="Q3227">
        <f>J3227-H3227^2/k_n</f>
        <v/>
      </c>
      <c r="R3227">
        <f>K3227-G3227*H3227/k_n</f>
        <v/>
      </c>
      <c r="S3227">
        <f>L3227-LTP3!$D$3*G3227/k_n</f>
        <v/>
      </c>
      <c r="T3227">
        <f>M3227-LTP3!$D$3*H3227/k_n</f>
        <v/>
      </c>
      <c r="U3227">
        <f>N3227-G3227*LTP3!$D$4/k_n</f>
        <v/>
      </c>
      <c r="V3227">
        <f>O3227-H3227*LTP3!$D$4/k_n</f>
        <v/>
      </c>
      <c r="W3227">
        <f>((LTP3!$D$5)*((P3227)*(Q3227)-(R3227)*(R3227))-(S3227)*((S3227)*(Q3227)-(R3227)*(T3227))+(T3227)*((S3227)*(R3227)-(P3227)*(T3227)))</f>
        <v/>
      </c>
      <c r="X3227">
        <f>IF(ABS(W3227)&gt;1E-12,((LTP3!$D$6)*((P3227)*(Q3227)-(R3227)*(R3227))-(S3227)*((U3227)*(Q3227)-(R3227)*(V3227))+(T3227)*((U3227)*(R3227)-(P3227)*(V3227)))/W3227,0)</f>
        <v/>
      </c>
      <c r="Y3227">
        <f>IF(ABS(W3227)&gt;1E-12,((LTP3!$D$5)*((U3227)*(Q3227)-(R3227)*(V3227))-(LTP3!$D$6)*((S3227)*(Q3227)-(R3227)*(T3227))+(T3227)*((S3227)*(V3227)-(U3227)*(T3227)))/W3227,0)</f>
        <v/>
      </c>
      <c r="Z3227">
        <f>IF(ABS(W3227)&gt;1E-12,((LTP3!$D$5)*((P3227)*(V3227)-(U3227)*(R3227))-(S3227)*((S3227)*(V3227)-(U3227)*(T3227))+(LTP3!$D$6)*((S3227)*(R3227)-(P3227)*(T3227)))/W3227,0)</f>
        <v/>
      </c>
      <c r="AA3227">
        <f>LTP3!$D$7-X3227*LTP3!$D$6-Y3227*U3227-Z3227*V3227</f>
        <v/>
      </c>
      <c r="AB3227">
        <f>IF(AND(F3227,ABS(W3227)&gt;1E-12,Y3227&gt;0,Z3227&gt;0),AA3227,1E+300)</f>
        <v/>
      </c>
    </row>
    <row r="3228">
      <c r="A3228">
        <f>$B$3+$B$5*52</f>
        <v/>
      </c>
      <c r="B3228">
        <f>$B$3+$B$5*44</f>
        <v/>
      </c>
      <c r="C3228">
        <f>SUMPRODUCT(Calc!$K$3:$K$22*(Calc!$G$3:$G$22&lt;=A3228))</f>
        <v/>
      </c>
      <c r="D3228">
        <f>SUMPRODUCT(Calc!$K$3:$K$22*(Calc!$G$3:$G$22&gt;A3228)*(Calc!$G$3:$G$22&lt;B3228))</f>
        <v/>
      </c>
      <c r="E3228">
        <f>SUMPRODUCT(Calc!$K$3:$K$22*(Calc!$G$3:$G$22&gt;=B3228))</f>
        <v/>
      </c>
      <c r="F3228">
        <f>AND(k_n&gt;=5,B3228&gt;A3228+1E-9,C3228&gt;=2,D3228&gt;=1,E3228&gt;=2)</f>
        <v/>
      </c>
      <c r="G3228">
        <f>SUMPRODUCT(Calc!$K$3:$K$22*(Calc!$G$3:$G$22&gt;A3228)*(Calc!$G$3:$G$22-A3228))</f>
        <v/>
      </c>
      <c r="H3228">
        <f>SUMPRODUCT(Calc!$K$3:$K$22*(Calc!$G$3:$G$22&gt;B3228)*(Calc!$G$3:$G$22-B3228))</f>
        <v/>
      </c>
      <c r="I3228">
        <f>SUMPRODUCT(Calc!$K$3:$K$22*(Calc!$G$3:$G$22&gt;A3228)*(Calc!$G$3:$G$22-A3228)^2)</f>
        <v/>
      </c>
      <c r="J3228">
        <f>SUMPRODUCT(Calc!$K$3:$K$22*(Calc!$G$3:$G$22&gt;B3228)*(Calc!$G$3:$G$22-B3228)^2)</f>
        <v/>
      </c>
      <c r="K3228">
        <f>SUMPRODUCT(Calc!$K$3:$K$22*(Calc!$G$3:$G$22&gt;A3228)*(Calc!$G$3:$G$22-A3228)*(Calc!$G$3:$G$22&gt;B3228)*(Calc!$G$3:$G$22-B3228))</f>
        <v/>
      </c>
      <c r="L3228">
        <f>SUMPRODUCT(Calc!$K$3:$K$22*(Calc!$G$3:$G$22&gt;A3228)*(Calc!$G$3:$G$22-A3228)*Calc!$G$3:$G$22)</f>
        <v/>
      </c>
      <c r="M3228">
        <f>SUMPRODUCT(Calc!$K$3:$K$22*(Calc!$G$3:$G$22&gt;B3228)*(Calc!$G$3:$G$22-B3228)*Calc!$G$3:$G$22)</f>
        <v/>
      </c>
      <c r="N3228">
        <f>SUMPRODUCT(Calc!$K$3:$K$22*(Calc!$G$3:$G$22&gt;A3228)*(Calc!$G$3:$G$22-A3228)*Calc!$I$3:$I$22)</f>
        <v/>
      </c>
      <c r="O3228">
        <f>SUMPRODUCT(Calc!$K$3:$K$22*(Calc!$G$3:$G$22&gt;B3228)*(Calc!$G$3:$G$22-B3228)*Calc!$I$3:$I$22)</f>
        <v/>
      </c>
      <c r="P3228">
        <f>I3228-G3228^2/k_n</f>
        <v/>
      </c>
      <c r="Q3228">
        <f>J3228-H3228^2/k_n</f>
        <v/>
      </c>
      <c r="R3228">
        <f>K3228-G3228*H3228/k_n</f>
        <v/>
      </c>
      <c r="S3228">
        <f>L3228-LTP3!$D$3*G3228/k_n</f>
        <v/>
      </c>
      <c r="T3228">
        <f>M3228-LTP3!$D$3*H3228/k_n</f>
        <v/>
      </c>
      <c r="U3228">
        <f>N3228-G3228*LTP3!$D$4/k_n</f>
        <v/>
      </c>
      <c r="V3228">
        <f>O3228-H3228*LTP3!$D$4/k_n</f>
        <v/>
      </c>
      <c r="W3228">
        <f>((LTP3!$D$5)*((P3228)*(Q3228)-(R3228)*(R3228))-(S3228)*((S3228)*(Q3228)-(R3228)*(T3228))+(T3228)*((S3228)*(R3228)-(P3228)*(T3228)))</f>
        <v/>
      </c>
      <c r="X3228">
        <f>IF(ABS(W3228)&gt;1E-12,((LTP3!$D$6)*((P3228)*(Q3228)-(R3228)*(R3228))-(S3228)*((U3228)*(Q3228)-(R3228)*(V3228))+(T3228)*((U3228)*(R3228)-(P3228)*(V3228)))/W3228,0)</f>
        <v/>
      </c>
      <c r="Y3228">
        <f>IF(ABS(W3228)&gt;1E-12,((LTP3!$D$5)*((U3228)*(Q3228)-(R3228)*(V3228))-(LTP3!$D$6)*((S3228)*(Q3228)-(R3228)*(T3228))+(T3228)*((S3228)*(V3228)-(U3228)*(T3228)))/W3228,0)</f>
        <v/>
      </c>
      <c r="Z3228">
        <f>IF(ABS(W3228)&gt;1E-12,((LTP3!$D$5)*((P3228)*(V3228)-(U3228)*(R3228))-(S3228)*((S3228)*(V3228)-(U3228)*(T3228))+(LTP3!$D$6)*((S3228)*(R3228)-(P3228)*(T3228)))/W3228,0)</f>
        <v/>
      </c>
      <c r="AA3228">
        <f>LTP3!$D$7-X3228*LTP3!$D$6-Y3228*U3228-Z3228*V3228</f>
        <v/>
      </c>
      <c r="AB3228">
        <f>IF(AND(F3228,ABS(W3228)&gt;1E-12,Y3228&gt;0,Z3228&gt;0),AA3228,1E+300)</f>
        <v/>
      </c>
    </row>
    <row r="3229">
      <c r="A3229">
        <f>$B$3+$B$5*52</f>
        <v/>
      </c>
      <c r="B3229">
        <f>$B$3+$B$5*45</f>
        <v/>
      </c>
      <c r="C3229">
        <f>SUMPRODUCT(Calc!$K$3:$K$22*(Calc!$G$3:$G$22&lt;=A3229))</f>
        <v/>
      </c>
      <c r="D3229">
        <f>SUMPRODUCT(Calc!$K$3:$K$22*(Calc!$G$3:$G$22&gt;A3229)*(Calc!$G$3:$G$22&lt;B3229))</f>
        <v/>
      </c>
      <c r="E3229">
        <f>SUMPRODUCT(Calc!$K$3:$K$22*(Calc!$G$3:$G$22&gt;=B3229))</f>
        <v/>
      </c>
      <c r="F3229">
        <f>AND(k_n&gt;=5,B3229&gt;A3229+1E-9,C3229&gt;=2,D3229&gt;=1,E3229&gt;=2)</f>
        <v/>
      </c>
      <c r="G3229">
        <f>SUMPRODUCT(Calc!$K$3:$K$22*(Calc!$G$3:$G$22&gt;A3229)*(Calc!$G$3:$G$22-A3229))</f>
        <v/>
      </c>
      <c r="H3229">
        <f>SUMPRODUCT(Calc!$K$3:$K$22*(Calc!$G$3:$G$22&gt;B3229)*(Calc!$G$3:$G$22-B3229))</f>
        <v/>
      </c>
      <c r="I3229">
        <f>SUMPRODUCT(Calc!$K$3:$K$22*(Calc!$G$3:$G$22&gt;A3229)*(Calc!$G$3:$G$22-A3229)^2)</f>
        <v/>
      </c>
      <c r="J3229">
        <f>SUMPRODUCT(Calc!$K$3:$K$22*(Calc!$G$3:$G$22&gt;B3229)*(Calc!$G$3:$G$22-B3229)^2)</f>
        <v/>
      </c>
      <c r="K3229">
        <f>SUMPRODUCT(Calc!$K$3:$K$22*(Calc!$G$3:$G$22&gt;A3229)*(Calc!$G$3:$G$22-A3229)*(Calc!$G$3:$G$22&gt;B3229)*(Calc!$G$3:$G$22-B3229))</f>
        <v/>
      </c>
      <c r="L3229">
        <f>SUMPRODUCT(Calc!$K$3:$K$22*(Calc!$G$3:$G$22&gt;A3229)*(Calc!$G$3:$G$22-A3229)*Calc!$G$3:$G$22)</f>
        <v/>
      </c>
      <c r="M3229">
        <f>SUMPRODUCT(Calc!$K$3:$K$22*(Calc!$G$3:$G$22&gt;B3229)*(Calc!$G$3:$G$22-B3229)*Calc!$G$3:$G$22)</f>
        <v/>
      </c>
      <c r="N3229">
        <f>SUMPRODUCT(Calc!$K$3:$K$22*(Calc!$G$3:$G$22&gt;A3229)*(Calc!$G$3:$G$22-A3229)*Calc!$I$3:$I$22)</f>
        <v/>
      </c>
      <c r="O3229">
        <f>SUMPRODUCT(Calc!$K$3:$K$22*(Calc!$G$3:$G$22&gt;B3229)*(Calc!$G$3:$G$22-B3229)*Calc!$I$3:$I$22)</f>
        <v/>
      </c>
      <c r="P3229">
        <f>I3229-G3229^2/k_n</f>
        <v/>
      </c>
      <c r="Q3229">
        <f>J3229-H3229^2/k_n</f>
        <v/>
      </c>
      <c r="R3229">
        <f>K3229-G3229*H3229/k_n</f>
        <v/>
      </c>
      <c r="S3229">
        <f>L3229-LTP3!$D$3*G3229/k_n</f>
        <v/>
      </c>
      <c r="T3229">
        <f>M3229-LTP3!$D$3*H3229/k_n</f>
        <v/>
      </c>
      <c r="U3229">
        <f>N3229-G3229*LTP3!$D$4/k_n</f>
        <v/>
      </c>
      <c r="V3229">
        <f>O3229-H3229*LTP3!$D$4/k_n</f>
        <v/>
      </c>
      <c r="W3229">
        <f>((LTP3!$D$5)*((P3229)*(Q3229)-(R3229)*(R3229))-(S3229)*((S3229)*(Q3229)-(R3229)*(T3229))+(T3229)*((S3229)*(R3229)-(P3229)*(T3229)))</f>
        <v/>
      </c>
      <c r="X3229">
        <f>IF(ABS(W3229)&gt;1E-12,((LTP3!$D$6)*((P3229)*(Q3229)-(R3229)*(R3229))-(S3229)*((U3229)*(Q3229)-(R3229)*(V3229))+(T3229)*((U3229)*(R3229)-(P3229)*(V3229)))/W3229,0)</f>
        <v/>
      </c>
      <c r="Y3229">
        <f>IF(ABS(W3229)&gt;1E-12,((LTP3!$D$5)*((U3229)*(Q3229)-(R3229)*(V3229))-(LTP3!$D$6)*((S3229)*(Q3229)-(R3229)*(T3229))+(T3229)*((S3229)*(V3229)-(U3229)*(T3229)))/W3229,0)</f>
        <v/>
      </c>
      <c r="Z3229">
        <f>IF(ABS(W3229)&gt;1E-12,((LTP3!$D$5)*((P3229)*(V3229)-(U3229)*(R3229))-(S3229)*((S3229)*(V3229)-(U3229)*(T3229))+(LTP3!$D$6)*((S3229)*(R3229)-(P3229)*(T3229)))/W3229,0)</f>
        <v/>
      </c>
      <c r="AA3229">
        <f>LTP3!$D$7-X3229*LTP3!$D$6-Y3229*U3229-Z3229*V3229</f>
        <v/>
      </c>
      <c r="AB3229">
        <f>IF(AND(F3229,ABS(W3229)&gt;1E-12,Y3229&gt;0,Z3229&gt;0),AA3229,1E+300)</f>
        <v/>
      </c>
    </row>
    <row r="3230">
      <c r="A3230">
        <f>$B$3+$B$5*52</f>
        <v/>
      </c>
      <c r="B3230">
        <f>$B$3+$B$5*46</f>
        <v/>
      </c>
      <c r="C3230">
        <f>SUMPRODUCT(Calc!$K$3:$K$22*(Calc!$G$3:$G$22&lt;=A3230))</f>
        <v/>
      </c>
      <c r="D3230">
        <f>SUMPRODUCT(Calc!$K$3:$K$22*(Calc!$G$3:$G$22&gt;A3230)*(Calc!$G$3:$G$22&lt;B3230))</f>
        <v/>
      </c>
      <c r="E3230">
        <f>SUMPRODUCT(Calc!$K$3:$K$22*(Calc!$G$3:$G$22&gt;=B3230))</f>
        <v/>
      </c>
      <c r="F3230">
        <f>AND(k_n&gt;=5,B3230&gt;A3230+1E-9,C3230&gt;=2,D3230&gt;=1,E3230&gt;=2)</f>
        <v/>
      </c>
      <c r="G3230">
        <f>SUMPRODUCT(Calc!$K$3:$K$22*(Calc!$G$3:$G$22&gt;A3230)*(Calc!$G$3:$G$22-A3230))</f>
        <v/>
      </c>
      <c r="H3230">
        <f>SUMPRODUCT(Calc!$K$3:$K$22*(Calc!$G$3:$G$22&gt;B3230)*(Calc!$G$3:$G$22-B3230))</f>
        <v/>
      </c>
      <c r="I3230">
        <f>SUMPRODUCT(Calc!$K$3:$K$22*(Calc!$G$3:$G$22&gt;A3230)*(Calc!$G$3:$G$22-A3230)^2)</f>
        <v/>
      </c>
      <c r="J3230">
        <f>SUMPRODUCT(Calc!$K$3:$K$22*(Calc!$G$3:$G$22&gt;B3230)*(Calc!$G$3:$G$22-B3230)^2)</f>
        <v/>
      </c>
      <c r="K3230">
        <f>SUMPRODUCT(Calc!$K$3:$K$22*(Calc!$G$3:$G$22&gt;A3230)*(Calc!$G$3:$G$22-A3230)*(Calc!$G$3:$G$22&gt;B3230)*(Calc!$G$3:$G$22-B3230))</f>
        <v/>
      </c>
      <c r="L3230">
        <f>SUMPRODUCT(Calc!$K$3:$K$22*(Calc!$G$3:$G$22&gt;A3230)*(Calc!$G$3:$G$22-A3230)*Calc!$G$3:$G$22)</f>
        <v/>
      </c>
      <c r="M3230">
        <f>SUMPRODUCT(Calc!$K$3:$K$22*(Calc!$G$3:$G$22&gt;B3230)*(Calc!$G$3:$G$22-B3230)*Calc!$G$3:$G$22)</f>
        <v/>
      </c>
      <c r="N3230">
        <f>SUMPRODUCT(Calc!$K$3:$K$22*(Calc!$G$3:$G$22&gt;A3230)*(Calc!$G$3:$G$22-A3230)*Calc!$I$3:$I$22)</f>
        <v/>
      </c>
      <c r="O3230">
        <f>SUMPRODUCT(Calc!$K$3:$K$22*(Calc!$G$3:$G$22&gt;B3230)*(Calc!$G$3:$G$22-B3230)*Calc!$I$3:$I$22)</f>
        <v/>
      </c>
      <c r="P3230">
        <f>I3230-G3230^2/k_n</f>
        <v/>
      </c>
      <c r="Q3230">
        <f>J3230-H3230^2/k_n</f>
        <v/>
      </c>
      <c r="R3230">
        <f>K3230-G3230*H3230/k_n</f>
        <v/>
      </c>
      <c r="S3230">
        <f>L3230-LTP3!$D$3*G3230/k_n</f>
        <v/>
      </c>
      <c r="T3230">
        <f>M3230-LTP3!$D$3*H3230/k_n</f>
        <v/>
      </c>
      <c r="U3230">
        <f>N3230-G3230*LTP3!$D$4/k_n</f>
        <v/>
      </c>
      <c r="V3230">
        <f>O3230-H3230*LTP3!$D$4/k_n</f>
        <v/>
      </c>
      <c r="W3230">
        <f>((LTP3!$D$5)*((P3230)*(Q3230)-(R3230)*(R3230))-(S3230)*((S3230)*(Q3230)-(R3230)*(T3230))+(T3230)*((S3230)*(R3230)-(P3230)*(T3230)))</f>
        <v/>
      </c>
      <c r="X3230">
        <f>IF(ABS(W3230)&gt;1E-12,((LTP3!$D$6)*((P3230)*(Q3230)-(R3230)*(R3230))-(S3230)*((U3230)*(Q3230)-(R3230)*(V3230))+(T3230)*((U3230)*(R3230)-(P3230)*(V3230)))/W3230,0)</f>
        <v/>
      </c>
      <c r="Y3230">
        <f>IF(ABS(W3230)&gt;1E-12,((LTP3!$D$5)*((U3230)*(Q3230)-(R3230)*(V3230))-(LTP3!$D$6)*((S3230)*(Q3230)-(R3230)*(T3230))+(T3230)*((S3230)*(V3230)-(U3230)*(T3230)))/W3230,0)</f>
        <v/>
      </c>
      <c r="Z3230">
        <f>IF(ABS(W3230)&gt;1E-12,((LTP3!$D$5)*((P3230)*(V3230)-(U3230)*(R3230))-(S3230)*((S3230)*(V3230)-(U3230)*(T3230))+(LTP3!$D$6)*((S3230)*(R3230)-(P3230)*(T3230)))/W3230,0)</f>
        <v/>
      </c>
      <c r="AA3230">
        <f>LTP3!$D$7-X3230*LTP3!$D$6-Y3230*U3230-Z3230*V3230</f>
        <v/>
      </c>
      <c r="AB3230">
        <f>IF(AND(F3230,ABS(W3230)&gt;1E-12,Y3230&gt;0,Z3230&gt;0),AA3230,1E+300)</f>
        <v/>
      </c>
    </row>
    <row r="3231">
      <c r="A3231">
        <f>$B$3+$B$5*52</f>
        <v/>
      </c>
      <c r="B3231">
        <f>$B$3+$B$5*47</f>
        <v/>
      </c>
      <c r="C3231">
        <f>SUMPRODUCT(Calc!$K$3:$K$22*(Calc!$G$3:$G$22&lt;=A3231))</f>
        <v/>
      </c>
      <c r="D3231">
        <f>SUMPRODUCT(Calc!$K$3:$K$22*(Calc!$G$3:$G$22&gt;A3231)*(Calc!$G$3:$G$22&lt;B3231))</f>
        <v/>
      </c>
      <c r="E3231">
        <f>SUMPRODUCT(Calc!$K$3:$K$22*(Calc!$G$3:$G$22&gt;=B3231))</f>
        <v/>
      </c>
      <c r="F3231">
        <f>AND(k_n&gt;=5,B3231&gt;A3231+1E-9,C3231&gt;=2,D3231&gt;=1,E3231&gt;=2)</f>
        <v/>
      </c>
      <c r="G3231">
        <f>SUMPRODUCT(Calc!$K$3:$K$22*(Calc!$G$3:$G$22&gt;A3231)*(Calc!$G$3:$G$22-A3231))</f>
        <v/>
      </c>
      <c r="H3231">
        <f>SUMPRODUCT(Calc!$K$3:$K$22*(Calc!$G$3:$G$22&gt;B3231)*(Calc!$G$3:$G$22-B3231))</f>
        <v/>
      </c>
      <c r="I3231">
        <f>SUMPRODUCT(Calc!$K$3:$K$22*(Calc!$G$3:$G$22&gt;A3231)*(Calc!$G$3:$G$22-A3231)^2)</f>
        <v/>
      </c>
      <c r="J3231">
        <f>SUMPRODUCT(Calc!$K$3:$K$22*(Calc!$G$3:$G$22&gt;B3231)*(Calc!$G$3:$G$22-B3231)^2)</f>
        <v/>
      </c>
      <c r="K3231">
        <f>SUMPRODUCT(Calc!$K$3:$K$22*(Calc!$G$3:$G$22&gt;A3231)*(Calc!$G$3:$G$22-A3231)*(Calc!$G$3:$G$22&gt;B3231)*(Calc!$G$3:$G$22-B3231))</f>
        <v/>
      </c>
      <c r="L3231">
        <f>SUMPRODUCT(Calc!$K$3:$K$22*(Calc!$G$3:$G$22&gt;A3231)*(Calc!$G$3:$G$22-A3231)*Calc!$G$3:$G$22)</f>
        <v/>
      </c>
      <c r="M3231">
        <f>SUMPRODUCT(Calc!$K$3:$K$22*(Calc!$G$3:$G$22&gt;B3231)*(Calc!$G$3:$G$22-B3231)*Calc!$G$3:$G$22)</f>
        <v/>
      </c>
      <c r="N3231">
        <f>SUMPRODUCT(Calc!$K$3:$K$22*(Calc!$G$3:$G$22&gt;A3231)*(Calc!$G$3:$G$22-A3231)*Calc!$I$3:$I$22)</f>
        <v/>
      </c>
      <c r="O3231">
        <f>SUMPRODUCT(Calc!$K$3:$K$22*(Calc!$G$3:$G$22&gt;B3231)*(Calc!$G$3:$G$22-B3231)*Calc!$I$3:$I$22)</f>
        <v/>
      </c>
      <c r="P3231">
        <f>I3231-G3231^2/k_n</f>
        <v/>
      </c>
      <c r="Q3231">
        <f>J3231-H3231^2/k_n</f>
        <v/>
      </c>
      <c r="R3231">
        <f>K3231-G3231*H3231/k_n</f>
        <v/>
      </c>
      <c r="S3231">
        <f>L3231-LTP3!$D$3*G3231/k_n</f>
        <v/>
      </c>
      <c r="T3231">
        <f>M3231-LTP3!$D$3*H3231/k_n</f>
        <v/>
      </c>
      <c r="U3231">
        <f>N3231-G3231*LTP3!$D$4/k_n</f>
        <v/>
      </c>
      <c r="V3231">
        <f>O3231-H3231*LTP3!$D$4/k_n</f>
        <v/>
      </c>
      <c r="W3231">
        <f>((LTP3!$D$5)*((P3231)*(Q3231)-(R3231)*(R3231))-(S3231)*((S3231)*(Q3231)-(R3231)*(T3231))+(T3231)*((S3231)*(R3231)-(P3231)*(T3231)))</f>
        <v/>
      </c>
      <c r="X3231">
        <f>IF(ABS(W3231)&gt;1E-12,((LTP3!$D$6)*((P3231)*(Q3231)-(R3231)*(R3231))-(S3231)*((U3231)*(Q3231)-(R3231)*(V3231))+(T3231)*((U3231)*(R3231)-(P3231)*(V3231)))/W3231,0)</f>
        <v/>
      </c>
      <c r="Y3231">
        <f>IF(ABS(W3231)&gt;1E-12,((LTP3!$D$5)*((U3231)*(Q3231)-(R3231)*(V3231))-(LTP3!$D$6)*((S3231)*(Q3231)-(R3231)*(T3231))+(T3231)*((S3231)*(V3231)-(U3231)*(T3231)))/W3231,0)</f>
        <v/>
      </c>
      <c r="Z3231">
        <f>IF(ABS(W3231)&gt;1E-12,((LTP3!$D$5)*((P3231)*(V3231)-(U3231)*(R3231))-(S3231)*((S3231)*(V3231)-(U3231)*(T3231))+(LTP3!$D$6)*((S3231)*(R3231)-(P3231)*(T3231)))/W3231,0)</f>
        <v/>
      </c>
      <c r="AA3231">
        <f>LTP3!$D$7-X3231*LTP3!$D$6-Y3231*U3231-Z3231*V3231</f>
        <v/>
      </c>
      <c r="AB3231">
        <f>IF(AND(F3231,ABS(W3231)&gt;1E-12,Y3231&gt;0,Z3231&gt;0),AA3231,1E+300)</f>
        <v/>
      </c>
    </row>
    <row r="3232">
      <c r="A3232">
        <f>$B$3+$B$5*52</f>
        <v/>
      </c>
      <c r="B3232">
        <f>$B$3+$B$5*48</f>
        <v/>
      </c>
      <c r="C3232">
        <f>SUMPRODUCT(Calc!$K$3:$K$22*(Calc!$G$3:$G$22&lt;=A3232))</f>
        <v/>
      </c>
      <c r="D3232">
        <f>SUMPRODUCT(Calc!$K$3:$K$22*(Calc!$G$3:$G$22&gt;A3232)*(Calc!$G$3:$G$22&lt;B3232))</f>
        <v/>
      </c>
      <c r="E3232">
        <f>SUMPRODUCT(Calc!$K$3:$K$22*(Calc!$G$3:$G$22&gt;=B3232))</f>
        <v/>
      </c>
      <c r="F3232">
        <f>AND(k_n&gt;=5,B3232&gt;A3232+1E-9,C3232&gt;=2,D3232&gt;=1,E3232&gt;=2)</f>
        <v/>
      </c>
      <c r="G3232">
        <f>SUMPRODUCT(Calc!$K$3:$K$22*(Calc!$G$3:$G$22&gt;A3232)*(Calc!$G$3:$G$22-A3232))</f>
        <v/>
      </c>
      <c r="H3232">
        <f>SUMPRODUCT(Calc!$K$3:$K$22*(Calc!$G$3:$G$22&gt;B3232)*(Calc!$G$3:$G$22-B3232))</f>
        <v/>
      </c>
      <c r="I3232">
        <f>SUMPRODUCT(Calc!$K$3:$K$22*(Calc!$G$3:$G$22&gt;A3232)*(Calc!$G$3:$G$22-A3232)^2)</f>
        <v/>
      </c>
      <c r="J3232">
        <f>SUMPRODUCT(Calc!$K$3:$K$22*(Calc!$G$3:$G$22&gt;B3232)*(Calc!$G$3:$G$22-B3232)^2)</f>
        <v/>
      </c>
      <c r="K3232">
        <f>SUMPRODUCT(Calc!$K$3:$K$22*(Calc!$G$3:$G$22&gt;A3232)*(Calc!$G$3:$G$22-A3232)*(Calc!$G$3:$G$22&gt;B3232)*(Calc!$G$3:$G$22-B3232))</f>
        <v/>
      </c>
      <c r="L3232">
        <f>SUMPRODUCT(Calc!$K$3:$K$22*(Calc!$G$3:$G$22&gt;A3232)*(Calc!$G$3:$G$22-A3232)*Calc!$G$3:$G$22)</f>
        <v/>
      </c>
      <c r="M3232">
        <f>SUMPRODUCT(Calc!$K$3:$K$22*(Calc!$G$3:$G$22&gt;B3232)*(Calc!$G$3:$G$22-B3232)*Calc!$G$3:$G$22)</f>
        <v/>
      </c>
      <c r="N3232">
        <f>SUMPRODUCT(Calc!$K$3:$K$22*(Calc!$G$3:$G$22&gt;A3232)*(Calc!$G$3:$G$22-A3232)*Calc!$I$3:$I$22)</f>
        <v/>
      </c>
      <c r="O3232">
        <f>SUMPRODUCT(Calc!$K$3:$K$22*(Calc!$G$3:$G$22&gt;B3232)*(Calc!$G$3:$G$22-B3232)*Calc!$I$3:$I$22)</f>
        <v/>
      </c>
      <c r="P3232">
        <f>I3232-G3232^2/k_n</f>
        <v/>
      </c>
      <c r="Q3232">
        <f>J3232-H3232^2/k_n</f>
        <v/>
      </c>
      <c r="R3232">
        <f>K3232-G3232*H3232/k_n</f>
        <v/>
      </c>
      <c r="S3232">
        <f>L3232-LTP3!$D$3*G3232/k_n</f>
        <v/>
      </c>
      <c r="T3232">
        <f>M3232-LTP3!$D$3*H3232/k_n</f>
        <v/>
      </c>
      <c r="U3232">
        <f>N3232-G3232*LTP3!$D$4/k_n</f>
        <v/>
      </c>
      <c r="V3232">
        <f>O3232-H3232*LTP3!$D$4/k_n</f>
        <v/>
      </c>
      <c r="W3232">
        <f>((LTP3!$D$5)*((P3232)*(Q3232)-(R3232)*(R3232))-(S3232)*((S3232)*(Q3232)-(R3232)*(T3232))+(T3232)*((S3232)*(R3232)-(P3232)*(T3232)))</f>
        <v/>
      </c>
      <c r="X3232">
        <f>IF(ABS(W3232)&gt;1E-12,((LTP3!$D$6)*((P3232)*(Q3232)-(R3232)*(R3232))-(S3232)*((U3232)*(Q3232)-(R3232)*(V3232))+(T3232)*((U3232)*(R3232)-(P3232)*(V3232)))/W3232,0)</f>
        <v/>
      </c>
      <c r="Y3232">
        <f>IF(ABS(W3232)&gt;1E-12,((LTP3!$D$5)*((U3232)*(Q3232)-(R3232)*(V3232))-(LTP3!$D$6)*((S3232)*(Q3232)-(R3232)*(T3232))+(T3232)*((S3232)*(V3232)-(U3232)*(T3232)))/W3232,0)</f>
        <v/>
      </c>
      <c r="Z3232">
        <f>IF(ABS(W3232)&gt;1E-12,((LTP3!$D$5)*((P3232)*(V3232)-(U3232)*(R3232))-(S3232)*((S3232)*(V3232)-(U3232)*(T3232))+(LTP3!$D$6)*((S3232)*(R3232)-(P3232)*(T3232)))/W3232,0)</f>
        <v/>
      </c>
      <c r="AA3232">
        <f>LTP3!$D$7-X3232*LTP3!$D$6-Y3232*U3232-Z3232*V3232</f>
        <v/>
      </c>
      <c r="AB3232">
        <f>IF(AND(F3232,ABS(W3232)&gt;1E-12,Y3232&gt;0,Z3232&gt;0),AA3232,1E+300)</f>
        <v/>
      </c>
    </row>
    <row r="3233">
      <c r="A3233">
        <f>$B$3+$B$5*52</f>
        <v/>
      </c>
      <c r="B3233">
        <f>$B$3+$B$5*49</f>
        <v/>
      </c>
      <c r="C3233">
        <f>SUMPRODUCT(Calc!$K$3:$K$22*(Calc!$G$3:$G$22&lt;=A3233))</f>
        <v/>
      </c>
      <c r="D3233">
        <f>SUMPRODUCT(Calc!$K$3:$K$22*(Calc!$G$3:$G$22&gt;A3233)*(Calc!$G$3:$G$22&lt;B3233))</f>
        <v/>
      </c>
      <c r="E3233">
        <f>SUMPRODUCT(Calc!$K$3:$K$22*(Calc!$G$3:$G$22&gt;=B3233))</f>
        <v/>
      </c>
      <c r="F3233">
        <f>AND(k_n&gt;=5,B3233&gt;A3233+1E-9,C3233&gt;=2,D3233&gt;=1,E3233&gt;=2)</f>
        <v/>
      </c>
      <c r="G3233">
        <f>SUMPRODUCT(Calc!$K$3:$K$22*(Calc!$G$3:$G$22&gt;A3233)*(Calc!$G$3:$G$22-A3233))</f>
        <v/>
      </c>
      <c r="H3233">
        <f>SUMPRODUCT(Calc!$K$3:$K$22*(Calc!$G$3:$G$22&gt;B3233)*(Calc!$G$3:$G$22-B3233))</f>
        <v/>
      </c>
      <c r="I3233">
        <f>SUMPRODUCT(Calc!$K$3:$K$22*(Calc!$G$3:$G$22&gt;A3233)*(Calc!$G$3:$G$22-A3233)^2)</f>
        <v/>
      </c>
      <c r="J3233">
        <f>SUMPRODUCT(Calc!$K$3:$K$22*(Calc!$G$3:$G$22&gt;B3233)*(Calc!$G$3:$G$22-B3233)^2)</f>
        <v/>
      </c>
      <c r="K3233">
        <f>SUMPRODUCT(Calc!$K$3:$K$22*(Calc!$G$3:$G$22&gt;A3233)*(Calc!$G$3:$G$22-A3233)*(Calc!$G$3:$G$22&gt;B3233)*(Calc!$G$3:$G$22-B3233))</f>
        <v/>
      </c>
      <c r="L3233">
        <f>SUMPRODUCT(Calc!$K$3:$K$22*(Calc!$G$3:$G$22&gt;A3233)*(Calc!$G$3:$G$22-A3233)*Calc!$G$3:$G$22)</f>
        <v/>
      </c>
      <c r="M3233">
        <f>SUMPRODUCT(Calc!$K$3:$K$22*(Calc!$G$3:$G$22&gt;B3233)*(Calc!$G$3:$G$22-B3233)*Calc!$G$3:$G$22)</f>
        <v/>
      </c>
      <c r="N3233">
        <f>SUMPRODUCT(Calc!$K$3:$K$22*(Calc!$G$3:$G$22&gt;A3233)*(Calc!$G$3:$G$22-A3233)*Calc!$I$3:$I$22)</f>
        <v/>
      </c>
      <c r="O3233">
        <f>SUMPRODUCT(Calc!$K$3:$K$22*(Calc!$G$3:$G$22&gt;B3233)*(Calc!$G$3:$G$22-B3233)*Calc!$I$3:$I$22)</f>
        <v/>
      </c>
      <c r="P3233">
        <f>I3233-G3233^2/k_n</f>
        <v/>
      </c>
      <c r="Q3233">
        <f>J3233-H3233^2/k_n</f>
        <v/>
      </c>
      <c r="R3233">
        <f>K3233-G3233*H3233/k_n</f>
        <v/>
      </c>
      <c r="S3233">
        <f>L3233-LTP3!$D$3*G3233/k_n</f>
        <v/>
      </c>
      <c r="T3233">
        <f>M3233-LTP3!$D$3*H3233/k_n</f>
        <v/>
      </c>
      <c r="U3233">
        <f>N3233-G3233*LTP3!$D$4/k_n</f>
        <v/>
      </c>
      <c r="V3233">
        <f>O3233-H3233*LTP3!$D$4/k_n</f>
        <v/>
      </c>
      <c r="W3233">
        <f>((LTP3!$D$5)*((P3233)*(Q3233)-(R3233)*(R3233))-(S3233)*((S3233)*(Q3233)-(R3233)*(T3233))+(T3233)*((S3233)*(R3233)-(P3233)*(T3233)))</f>
        <v/>
      </c>
      <c r="X3233">
        <f>IF(ABS(W3233)&gt;1E-12,((LTP3!$D$6)*((P3233)*(Q3233)-(R3233)*(R3233))-(S3233)*((U3233)*(Q3233)-(R3233)*(V3233))+(T3233)*((U3233)*(R3233)-(P3233)*(V3233)))/W3233,0)</f>
        <v/>
      </c>
      <c r="Y3233">
        <f>IF(ABS(W3233)&gt;1E-12,((LTP3!$D$5)*((U3233)*(Q3233)-(R3233)*(V3233))-(LTP3!$D$6)*((S3233)*(Q3233)-(R3233)*(T3233))+(T3233)*((S3233)*(V3233)-(U3233)*(T3233)))/W3233,0)</f>
        <v/>
      </c>
      <c r="Z3233">
        <f>IF(ABS(W3233)&gt;1E-12,((LTP3!$D$5)*((P3233)*(V3233)-(U3233)*(R3233))-(S3233)*((S3233)*(V3233)-(U3233)*(T3233))+(LTP3!$D$6)*((S3233)*(R3233)-(P3233)*(T3233)))/W3233,0)</f>
        <v/>
      </c>
      <c r="AA3233">
        <f>LTP3!$D$7-X3233*LTP3!$D$6-Y3233*U3233-Z3233*V3233</f>
        <v/>
      </c>
      <c r="AB3233">
        <f>IF(AND(F3233,ABS(W3233)&gt;1E-12,Y3233&gt;0,Z3233&gt;0),AA3233,1E+300)</f>
        <v/>
      </c>
    </row>
    <row r="3234">
      <c r="A3234">
        <f>$B$3+$B$5*52</f>
        <v/>
      </c>
      <c r="B3234">
        <f>$B$3+$B$5*50</f>
        <v/>
      </c>
      <c r="C3234">
        <f>SUMPRODUCT(Calc!$K$3:$K$22*(Calc!$G$3:$G$22&lt;=A3234))</f>
        <v/>
      </c>
      <c r="D3234">
        <f>SUMPRODUCT(Calc!$K$3:$K$22*(Calc!$G$3:$G$22&gt;A3234)*(Calc!$G$3:$G$22&lt;B3234))</f>
        <v/>
      </c>
      <c r="E3234">
        <f>SUMPRODUCT(Calc!$K$3:$K$22*(Calc!$G$3:$G$22&gt;=B3234))</f>
        <v/>
      </c>
      <c r="F3234">
        <f>AND(k_n&gt;=5,B3234&gt;A3234+1E-9,C3234&gt;=2,D3234&gt;=1,E3234&gt;=2)</f>
        <v/>
      </c>
      <c r="G3234">
        <f>SUMPRODUCT(Calc!$K$3:$K$22*(Calc!$G$3:$G$22&gt;A3234)*(Calc!$G$3:$G$22-A3234))</f>
        <v/>
      </c>
      <c r="H3234">
        <f>SUMPRODUCT(Calc!$K$3:$K$22*(Calc!$G$3:$G$22&gt;B3234)*(Calc!$G$3:$G$22-B3234))</f>
        <v/>
      </c>
      <c r="I3234">
        <f>SUMPRODUCT(Calc!$K$3:$K$22*(Calc!$G$3:$G$22&gt;A3234)*(Calc!$G$3:$G$22-A3234)^2)</f>
        <v/>
      </c>
      <c r="J3234">
        <f>SUMPRODUCT(Calc!$K$3:$K$22*(Calc!$G$3:$G$22&gt;B3234)*(Calc!$G$3:$G$22-B3234)^2)</f>
        <v/>
      </c>
      <c r="K3234">
        <f>SUMPRODUCT(Calc!$K$3:$K$22*(Calc!$G$3:$G$22&gt;A3234)*(Calc!$G$3:$G$22-A3234)*(Calc!$G$3:$G$22&gt;B3234)*(Calc!$G$3:$G$22-B3234))</f>
        <v/>
      </c>
      <c r="L3234">
        <f>SUMPRODUCT(Calc!$K$3:$K$22*(Calc!$G$3:$G$22&gt;A3234)*(Calc!$G$3:$G$22-A3234)*Calc!$G$3:$G$22)</f>
        <v/>
      </c>
      <c r="M3234">
        <f>SUMPRODUCT(Calc!$K$3:$K$22*(Calc!$G$3:$G$22&gt;B3234)*(Calc!$G$3:$G$22-B3234)*Calc!$G$3:$G$22)</f>
        <v/>
      </c>
      <c r="N3234">
        <f>SUMPRODUCT(Calc!$K$3:$K$22*(Calc!$G$3:$G$22&gt;A3234)*(Calc!$G$3:$G$22-A3234)*Calc!$I$3:$I$22)</f>
        <v/>
      </c>
      <c r="O3234">
        <f>SUMPRODUCT(Calc!$K$3:$K$22*(Calc!$G$3:$G$22&gt;B3234)*(Calc!$G$3:$G$22-B3234)*Calc!$I$3:$I$22)</f>
        <v/>
      </c>
      <c r="P3234">
        <f>I3234-G3234^2/k_n</f>
        <v/>
      </c>
      <c r="Q3234">
        <f>J3234-H3234^2/k_n</f>
        <v/>
      </c>
      <c r="R3234">
        <f>K3234-G3234*H3234/k_n</f>
        <v/>
      </c>
      <c r="S3234">
        <f>L3234-LTP3!$D$3*G3234/k_n</f>
        <v/>
      </c>
      <c r="T3234">
        <f>M3234-LTP3!$D$3*H3234/k_n</f>
        <v/>
      </c>
      <c r="U3234">
        <f>N3234-G3234*LTP3!$D$4/k_n</f>
        <v/>
      </c>
      <c r="V3234">
        <f>O3234-H3234*LTP3!$D$4/k_n</f>
        <v/>
      </c>
      <c r="W3234">
        <f>((LTP3!$D$5)*((P3234)*(Q3234)-(R3234)*(R3234))-(S3234)*((S3234)*(Q3234)-(R3234)*(T3234))+(T3234)*((S3234)*(R3234)-(P3234)*(T3234)))</f>
        <v/>
      </c>
      <c r="X3234">
        <f>IF(ABS(W3234)&gt;1E-12,((LTP3!$D$6)*((P3234)*(Q3234)-(R3234)*(R3234))-(S3234)*((U3234)*(Q3234)-(R3234)*(V3234))+(T3234)*((U3234)*(R3234)-(P3234)*(V3234)))/W3234,0)</f>
        <v/>
      </c>
      <c r="Y3234">
        <f>IF(ABS(W3234)&gt;1E-12,((LTP3!$D$5)*((U3234)*(Q3234)-(R3234)*(V3234))-(LTP3!$D$6)*((S3234)*(Q3234)-(R3234)*(T3234))+(T3234)*((S3234)*(V3234)-(U3234)*(T3234)))/W3234,0)</f>
        <v/>
      </c>
      <c r="Z3234">
        <f>IF(ABS(W3234)&gt;1E-12,((LTP3!$D$5)*((P3234)*(V3234)-(U3234)*(R3234))-(S3234)*((S3234)*(V3234)-(U3234)*(T3234))+(LTP3!$D$6)*((S3234)*(R3234)-(P3234)*(T3234)))/W3234,0)</f>
        <v/>
      </c>
      <c r="AA3234">
        <f>LTP3!$D$7-X3234*LTP3!$D$6-Y3234*U3234-Z3234*V3234</f>
        <v/>
      </c>
      <c r="AB3234">
        <f>IF(AND(F3234,ABS(W3234)&gt;1E-12,Y3234&gt;0,Z3234&gt;0),AA3234,1E+300)</f>
        <v/>
      </c>
    </row>
    <row r="3235">
      <c r="A3235">
        <f>$B$3+$B$5*52</f>
        <v/>
      </c>
      <c r="B3235">
        <f>$B$3+$B$5*51</f>
        <v/>
      </c>
      <c r="C3235">
        <f>SUMPRODUCT(Calc!$K$3:$K$22*(Calc!$G$3:$G$22&lt;=A3235))</f>
        <v/>
      </c>
      <c r="D3235">
        <f>SUMPRODUCT(Calc!$K$3:$K$22*(Calc!$G$3:$G$22&gt;A3235)*(Calc!$G$3:$G$22&lt;B3235))</f>
        <v/>
      </c>
      <c r="E3235">
        <f>SUMPRODUCT(Calc!$K$3:$K$22*(Calc!$G$3:$G$22&gt;=B3235))</f>
        <v/>
      </c>
      <c r="F3235">
        <f>AND(k_n&gt;=5,B3235&gt;A3235+1E-9,C3235&gt;=2,D3235&gt;=1,E3235&gt;=2)</f>
        <v/>
      </c>
      <c r="G3235">
        <f>SUMPRODUCT(Calc!$K$3:$K$22*(Calc!$G$3:$G$22&gt;A3235)*(Calc!$G$3:$G$22-A3235))</f>
        <v/>
      </c>
      <c r="H3235">
        <f>SUMPRODUCT(Calc!$K$3:$K$22*(Calc!$G$3:$G$22&gt;B3235)*(Calc!$G$3:$G$22-B3235))</f>
        <v/>
      </c>
      <c r="I3235">
        <f>SUMPRODUCT(Calc!$K$3:$K$22*(Calc!$G$3:$G$22&gt;A3235)*(Calc!$G$3:$G$22-A3235)^2)</f>
        <v/>
      </c>
      <c r="J3235">
        <f>SUMPRODUCT(Calc!$K$3:$K$22*(Calc!$G$3:$G$22&gt;B3235)*(Calc!$G$3:$G$22-B3235)^2)</f>
        <v/>
      </c>
      <c r="K3235">
        <f>SUMPRODUCT(Calc!$K$3:$K$22*(Calc!$G$3:$G$22&gt;A3235)*(Calc!$G$3:$G$22-A3235)*(Calc!$G$3:$G$22&gt;B3235)*(Calc!$G$3:$G$22-B3235))</f>
        <v/>
      </c>
      <c r="L3235">
        <f>SUMPRODUCT(Calc!$K$3:$K$22*(Calc!$G$3:$G$22&gt;A3235)*(Calc!$G$3:$G$22-A3235)*Calc!$G$3:$G$22)</f>
        <v/>
      </c>
      <c r="M3235">
        <f>SUMPRODUCT(Calc!$K$3:$K$22*(Calc!$G$3:$G$22&gt;B3235)*(Calc!$G$3:$G$22-B3235)*Calc!$G$3:$G$22)</f>
        <v/>
      </c>
      <c r="N3235">
        <f>SUMPRODUCT(Calc!$K$3:$K$22*(Calc!$G$3:$G$22&gt;A3235)*(Calc!$G$3:$G$22-A3235)*Calc!$I$3:$I$22)</f>
        <v/>
      </c>
      <c r="O3235">
        <f>SUMPRODUCT(Calc!$K$3:$K$22*(Calc!$G$3:$G$22&gt;B3235)*(Calc!$G$3:$G$22-B3235)*Calc!$I$3:$I$22)</f>
        <v/>
      </c>
      <c r="P3235">
        <f>I3235-G3235^2/k_n</f>
        <v/>
      </c>
      <c r="Q3235">
        <f>J3235-H3235^2/k_n</f>
        <v/>
      </c>
      <c r="R3235">
        <f>K3235-G3235*H3235/k_n</f>
        <v/>
      </c>
      <c r="S3235">
        <f>L3235-LTP3!$D$3*G3235/k_n</f>
        <v/>
      </c>
      <c r="T3235">
        <f>M3235-LTP3!$D$3*H3235/k_n</f>
        <v/>
      </c>
      <c r="U3235">
        <f>N3235-G3235*LTP3!$D$4/k_n</f>
        <v/>
      </c>
      <c r="V3235">
        <f>O3235-H3235*LTP3!$D$4/k_n</f>
        <v/>
      </c>
      <c r="W3235">
        <f>((LTP3!$D$5)*((P3235)*(Q3235)-(R3235)*(R3235))-(S3235)*((S3235)*(Q3235)-(R3235)*(T3235))+(T3235)*((S3235)*(R3235)-(P3235)*(T3235)))</f>
        <v/>
      </c>
      <c r="X3235">
        <f>IF(ABS(W3235)&gt;1E-12,((LTP3!$D$6)*((P3235)*(Q3235)-(R3235)*(R3235))-(S3235)*((U3235)*(Q3235)-(R3235)*(V3235))+(T3235)*((U3235)*(R3235)-(P3235)*(V3235)))/W3235,0)</f>
        <v/>
      </c>
      <c r="Y3235">
        <f>IF(ABS(W3235)&gt;1E-12,((LTP3!$D$5)*((U3235)*(Q3235)-(R3235)*(V3235))-(LTP3!$D$6)*((S3235)*(Q3235)-(R3235)*(T3235))+(T3235)*((S3235)*(V3235)-(U3235)*(T3235)))/W3235,0)</f>
        <v/>
      </c>
      <c r="Z3235">
        <f>IF(ABS(W3235)&gt;1E-12,((LTP3!$D$5)*((P3235)*(V3235)-(U3235)*(R3235))-(S3235)*((S3235)*(V3235)-(U3235)*(T3235))+(LTP3!$D$6)*((S3235)*(R3235)-(P3235)*(T3235)))/W3235,0)</f>
        <v/>
      </c>
      <c r="AA3235">
        <f>LTP3!$D$7-X3235*LTP3!$D$6-Y3235*U3235-Z3235*V3235</f>
        <v/>
      </c>
      <c r="AB3235">
        <f>IF(AND(F3235,ABS(W3235)&gt;1E-12,Y3235&gt;0,Z3235&gt;0),AA3235,1E+300)</f>
        <v/>
      </c>
    </row>
    <row r="3236">
      <c r="A3236">
        <f>$B$3+$B$5*52</f>
        <v/>
      </c>
      <c r="B3236">
        <f>$B$3+$B$5*52</f>
        <v/>
      </c>
      <c r="C3236">
        <f>SUMPRODUCT(Calc!$K$3:$K$22*(Calc!$G$3:$G$22&lt;=A3236))</f>
        <v/>
      </c>
      <c r="D3236">
        <f>SUMPRODUCT(Calc!$K$3:$K$22*(Calc!$G$3:$G$22&gt;A3236)*(Calc!$G$3:$G$22&lt;B3236))</f>
        <v/>
      </c>
      <c r="E3236">
        <f>SUMPRODUCT(Calc!$K$3:$K$22*(Calc!$G$3:$G$22&gt;=B3236))</f>
        <v/>
      </c>
      <c r="F3236">
        <f>AND(k_n&gt;=5,B3236&gt;A3236+1E-9,C3236&gt;=2,D3236&gt;=1,E3236&gt;=2)</f>
        <v/>
      </c>
      <c r="G3236">
        <f>SUMPRODUCT(Calc!$K$3:$K$22*(Calc!$G$3:$G$22&gt;A3236)*(Calc!$G$3:$G$22-A3236))</f>
        <v/>
      </c>
      <c r="H3236">
        <f>SUMPRODUCT(Calc!$K$3:$K$22*(Calc!$G$3:$G$22&gt;B3236)*(Calc!$G$3:$G$22-B3236))</f>
        <v/>
      </c>
      <c r="I3236">
        <f>SUMPRODUCT(Calc!$K$3:$K$22*(Calc!$G$3:$G$22&gt;A3236)*(Calc!$G$3:$G$22-A3236)^2)</f>
        <v/>
      </c>
      <c r="J3236">
        <f>SUMPRODUCT(Calc!$K$3:$K$22*(Calc!$G$3:$G$22&gt;B3236)*(Calc!$G$3:$G$22-B3236)^2)</f>
        <v/>
      </c>
      <c r="K3236">
        <f>SUMPRODUCT(Calc!$K$3:$K$22*(Calc!$G$3:$G$22&gt;A3236)*(Calc!$G$3:$G$22-A3236)*(Calc!$G$3:$G$22&gt;B3236)*(Calc!$G$3:$G$22-B3236))</f>
        <v/>
      </c>
      <c r="L3236">
        <f>SUMPRODUCT(Calc!$K$3:$K$22*(Calc!$G$3:$G$22&gt;A3236)*(Calc!$G$3:$G$22-A3236)*Calc!$G$3:$G$22)</f>
        <v/>
      </c>
      <c r="M3236">
        <f>SUMPRODUCT(Calc!$K$3:$K$22*(Calc!$G$3:$G$22&gt;B3236)*(Calc!$G$3:$G$22-B3236)*Calc!$G$3:$G$22)</f>
        <v/>
      </c>
      <c r="N3236">
        <f>SUMPRODUCT(Calc!$K$3:$K$22*(Calc!$G$3:$G$22&gt;A3236)*(Calc!$G$3:$G$22-A3236)*Calc!$I$3:$I$22)</f>
        <v/>
      </c>
      <c r="O3236">
        <f>SUMPRODUCT(Calc!$K$3:$K$22*(Calc!$G$3:$G$22&gt;B3236)*(Calc!$G$3:$G$22-B3236)*Calc!$I$3:$I$22)</f>
        <v/>
      </c>
      <c r="P3236">
        <f>I3236-G3236^2/k_n</f>
        <v/>
      </c>
      <c r="Q3236">
        <f>J3236-H3236^2/k_n</f>
        <v/>
      </c>
      <c r="R3236">
        <f>K3236-G3236*H3236/k_n</f>
        <v/>
      </c>
      <c r="S3236">
        <f>L3236-LTP3!$D$3*G3236/k_n</f>
        <v/>
      </c>
      <c r="T3236">
        <f>M3236-LTP3!$D$3*H3236/k_n</f>
        <v/>
      </c>
      <c r="U3236">
        <f>N3236-G3236*LTP3!$D$4/k_n</f>
        <v/>
      </c>
      <c r="V3236">
        <f>O3236-H3236*LTP3!$D$4/k_n</f>
        <v/>
      </c>
      <c r="W3236">
        <f>((LTP3!$D$5)*((P3236)*(Q3236)-(R3236)*(R3236))-(S3236)*((S3236)*(Q3236)-(R3236)*(T3236))+(T3236)*((S3236)*(R3236)-(P3236)*(T3236)))</f>
        <v/>
      </c>
      <c r="X3236">
        <f>IF(ABS(W3236)&gt;1E-12,((LTP3!$D$6)*((P3236)*(Q3236)-(R3236)*(R3236))-(S3236)*((U3236)*(Q3236)-(R3236)*(V3236))+(T3236)*((U3236)*(R3236)-(P3236)*(V3236)))/W3236,0)</f>
        <v/>
      </c>
      <c r="Y3236">
        <f>IF(ABS(W3236)&gt;1E-12,((LTP3!$D$5)*((U3236)*(Q3236)-(R3236)*(V3236))-(LTP3!$D$6)*((S3236)*(Q3236)-(R3236)*(T3236))+(T3236)*((S3236)*(V3236)-(U3236)*(T3236)))/W3236,0)</f>
        <v/>
      </c>
      <c r="Z3236">
        <f>IF(ABS(W3236)&gt;1E-12,((LTP3!$D$5)*((P3236)*(V3236)-(U3236)*(R3236))-(S3236)*((S3236)*(V3236)-(U3236)*(T3236))+(LTP3!$D$6)*((S3236)*(R3236)-(P3236)*(T3236)))/W3236,0)</f>
        <v/>
      </c>
      <c r="AA3236">
        <f>LTP3!$D$7-X3236*LTP3!$D$6-Y3236*U3236-Z3236*V3236</f>
        <v/>
      </c>
      <c r="AB3236">
        <f>IF(AND(F3236,ABS(W3236)&gt;1E-12,Y3236&gt;0,Z3236&gt;0),AA3236,1E+300)</f>
        <v/>
      </c>
    </row>
    <row r="3237">
      <c r="A3237">
        <f>$B$3+$B$5*52</f>
        <v/>
      </c>
      <c r="B3237">
        <f>$B$3+$B$5*53</f>
        <v/>
      </c>
      <c r="C3237">
        <f>SUMPRODUCT(Calc!$K$3:$K$22*(Calc!$G$3:$G$22&lt;=A3237))</f>
        <v/>
      </c>
      <c r="D3237">
        <f>SUMPRODUCT(Calc!$K$3:$K$22*(Calc!$G$3:$G$22&gt;A3237)*(Calc!$G$3:$G$22&lt;B3237))</f>
        <v/>
      </c>
      <c r="E3237">
        <f>SUMPRODUCT(Calc!$K$3:$K$22*(Calc!$G$3:$G$22&gt;=B3237))</f>
        <v/>
      </c>
      <c r="F3237">
        <f>AND(k_n&gt;=5,B3237&gt;A3237+1E-9,C3237&gt;=2,D3237&gt;=1,E3237&gt;=2)</f>
        <v/>
      </c>
      <c r="G3237">
        <f>SUMPRODUCT(Calc!$K$3:$K$22*(Calc!$G$3:$G$22&gt;A3237)*(Calc!$G$3:$G$22-A3237))</f>
        <v/>
      </c>
      <c r="H3237">
        <f>SUMPRODUCT(Calc!$K$3:$K$22*(Calc!$G$3:$G$22&gt;B3237)*(Calc!$G$3:$G$22-B3237))</f>
        <v/>
      </c>
      <c r="I3237">
        <f>SUMPRODUCT(Calc!$K$3:$K$22*(Calc!$G$3:$G$22&gt;A3237)*(Calc!$G$3:$G$22-A3237)^2)</f>
        <v/>
      </c>
      <c r="J3237">
        <f>SUMPRODUCT(Calc!$K$3:$K$22*(Calc!$G$3:$G$22&gt;B3237)*(Calc!$G$3:$G$22-B3237)^2)</f>
        <v/>
      </c>
      <c r="K3237">
        <f>SUMPRODUCT(Calc!$K$3:$K$22*(Calc!$G$3:$G$22&gt;A3237)*(Calc!$G$3:$G$22-A3237)*(Calc!$G$3:$G$22&gt;B3237)*(Calc!$G$3:$G$22-B3237))</f>
        <v/>
      </c>
      <c r="L3237">
        <f>SUMPRODUCT(Calc!$K$3:$K$22*(Calc!$G$3:$G$22&gt;A3237)*(Calc!$G$3:$G$22-A3237)*Calc!$G$3:$G$22)</f>
        <v/>
      </c>
      <c r="M3237">
        <f>SUMPRODUCT(Calc!$K$3:$K$22*(Calc!$G$3:$G$22&gt;B3237)*(Calc!$G$3:$G$22-B3237)*Calc!$G$3:$G$22)</f>
        <v/>
      </c>
      <c r="N3237">
        <f>SUMPRODUCT(Calc!$K$3:$K$22*(Calc!$G$3:$G$22&gt;A3237)*(Calc!$G$3:$G$22-A3237)*Calc!$I$3:$I$22)</f>
        <v/>
      </c>
      <c r="O3237">
        <f>SUMPRODUCT(Calc!$K$3:$K$22*(Calc!$G$3:$G$22&gt;B3237)*(Calc!$G$3:$G$22-B3237)*Calc!$I$3:$I$22)</f>
        <v/>
      </c>
      <c r="P3237">
        <f>I3237-G3237^2/k_n</f>
        <v/>
      </c>
      <c r="Q3237">
        <f>J3237-H3237^2/k_n</f>
        <v/>
      </c>
      <c r="R3237">
        <f>K3237-G3237*H3237/k_n</f>
        <v/>
      </c>
      <c r="S3237">
        <f>L3237-LTP3!$D$3*G3237/k_n</f>
        <v/>
      </c>
      <c r="T3237">
        <f>M3237-LTP3!$D$3*H3237/k_n</f>
        <v/>
      </c>
      <c r="U3237">
        <f>N3237-G3237*LTP3!$D$4/k_n</f>
        <v/>
      </c>
      <c r="V3237">
        <f>O3237-H3237*LTP3!$D$4/k_n</f>
        <v/>
      </c>
      <c r="W3237">
        <f>((LTP3!$D$5)*((P3237)*(Q3237)-(R3237)*(R3237))-(S3237)*((S3237)*(Q3237)-(R3237)*(T3237))+(T3237)*((S3237)*(R3237)-(P3237)*(T3237)))</f>
        <v/>
      </c>
      <c r="X3237">
        <f>IF(ABS(W3237)&gt;1E-12,((LTP3!$D$6)*((P3237)*(Q3237)-(R3237)*(R3237))-(S3237)*((U3237)*(Q3237)-(R3237)*(V3237))+(T3237)*((U3237)*(R3237)-(P3237)*(V3237)))/W3237,0)</f>
        <v/>
      </c>
      <c r="Y3237">
        <f>IF(ABS(W3237)&gt;1E-12,((LTP3!$D$5)*((U3237)*(Q3237)-(R3237)*(V3237))-(LTP3!$D$6)*((S3237)*(Q3237)-(R3237)*(T3237))+(T3237)*((S3237)*(V3237)-(U3237)*(T3237)))/W3237,0)</f>
        <v/>
      </c>
      <c r="Z3237">
        <f>IF(ABS(W3237)&gt;1E-12,((LTP3!$D$5)*((P3237)*(V3237)-(U3237)*(R3237))-(S3237)*((S3237)*(V3237)-(U3237)*(T3237))+(LTP3!$D$6)*((S3237)*(R3237)-(P3237)*(T3237)))/W3237,0)</f>
        <v/>
      </c>
      <c r="AA3237">
        <f>LTP3!$D$7-X3237*LTP3!$D$6-Y3237*U3237-Z3237*V3237</f>
        <v/>
      </c>
      <c r="AB3237">
        <f>IF(AND(F3237,ABS(W3237)&gt;1E-12,Y3237&gt;0,Z3237&gt;0),AA3237,1E+300)</f>
        <v/>
      </c>
    </row>
    <row r="3238">
      <c r="A3238">
        <f>$B$3+$B$5*52</f>
        <v/>
      </c>
      <c r="B3238">
        <f>$B$3+$B$5*54</f>
        <v/>
      </c>
      <c r="C3238">
        <f>SUMPRODUCT(Calc!$K$3:$K$22*(Calc!$G$3:$G$22&lt;=A3238))</f>
        <v/>
      </c>
      <c r="D3238">
        <f>SUMPRODUCT(Calc!$K$3:$K$22*(Calc!$G$3:$G$22&gt;A3238)*(Calc!$G$3:$G$22&lt;B3238))</f>
        <v/>
      </c>
      <c r="E3238">
        <f>SUMPRODUCT(Calc!$K$3:$K$22*(Calc!$G$3:$G$22&gt;=B3238))</f>
        <v/>
      </c>
      <c r="F3238">
        <f>AND(k_n&gt;=5,B3238&gt;A3238+1E-9,C3238&gt;=2,D3238&gt;=1,E3238&gt;=2)</f>
        <v/>
      </c>
      <c r="G3238">
        <f>SUMPRODUCT(Calc!$K$3:$K$22*(Calc!$G$3:$G$22&gt;A3238)*(Calc!$G$3:$G$22-A3238))</f>
        <v/>
      </c>
      <c r="H3238">
        <f>SUMPRODUCT(Calc!$K$3:$K$22*(Calc!$G$3:$G$22&gt;B3238)*(Calc!$G$3:$G$22-B3238))</f>
        <v/>
      </c>
      <c r="I3238">
        <f>SUMPRODUCT(Calc!$K$3:$K$22*(Calc!$G$3:$G$22&gt;A3238)*(Calc!$G$3:$G$22-A3238)^2)</f>
        <v/>
      </c>
      <c r="J3238">
        <f>SUMPRODUCT(Calc!$K$3:$K$22*(Calc!$G$3:$G$22&gt;B3238)*(Calc!$G$3:$G$22-B3238)^2)</f>
        <v/>
      </c>
      <c r="K3238">
        <f>SUMPRODUCT(Calc!$K$3:$K$22*(Calc!$G$3:$G$22&gt;A3238)*(Calc!$G$3:$G$22-A3238)*(Calc!$G$3:$G$22&gt;B3238)*(Calc!$G$3:$G$22-B3238))</f>
        <v/>
      </c>
      <c r="L3238">
        <f>SUMPRODUCT(Calc!$K$3:$K$22*(Calc!$G$3:$G$22&gt;A3238)*(Calc!$G$3:$G$22-A3238)*Calc!$G$3:$G$22)</f>
        <v/>
      </c>
      <c r="M3238">
        <f>SUMPRODUCT(Calc!$K$3:$K$22*(Calc!$G$3:$G$22&gt;B3238)*(Calc!$G$3:$G$22-B3238)*Calc!$G$3:$G$22)</f>
        <v/>
      </c>
      <c r="N3238">
        <f>SUMPRODUCT(Calc!$K$3:$K$22*(Calc!$G$3:$G$22&gt;A3238)*(Calc!$G$3:$G$22-A3238)*Calc!$I$3:$I$22)</f>
        <v/>
      </c>
      <c r="O3238">
        <f>SUMPRODUCT(Calc!$K$3:$K$22*(Calc!$G$3:$G$22&gt;B3238)*(Calc!$G$3:$G$22-B3238)*Calc!$I$3:$I$22)</f>
        <v/>
      </c>
      <c r="P3238">
        <f>I3238-G3238^2/k_n</f>
        <v/>
      </c>
      <c r="Q3238">
        <f>J3238-H3238^2/k_n</f>
        <v/>
      </c>
      <c r="R3238">
        <f>K3238-G3238*H3238/k_n</f>
        <v/>
      </c>
      <c r="S3238">
        <f>L3238-LTP3!$D$3*G3238/k_n</f>
        <v/>
      </c>
      <c r="T3238">
        <f>M3238-LTP3!$D$3*H3238/k_n</f>
        <v/>
      </c>
      <c r="U3238">
        <f>N3238-G3238*LTP3!$D$4/k_n</f>
        <v/>
      </c>
      <c r="V3238">
        <f>O3238-H3238*LTP3!$D$4/k_n</f>
        <v/>
      </c>
      <c r="W3238">
        <f>((LTP3!$D$5)*((P3238)*(Q3238)-(R3238)*(R3238))-(S3238)*((S3238)*(Q3238)-(R3238)*(T3238))+(T3238)*((S3238)*(R3238)-(P3238)*(T3238)))</f>
        <v/>
      </c>
      <c r="X3238">
        <f>IF(ABS(W3238)&gt;1E-12,((LTP3!$D$6)*((P3238)*(Q3238)-(R3238)*(R3238))-(S3238)*((U3238)*(Q3238)-(R3238)*(V3238))+(T3238)*((U3238)*(R3238)-(P3238)*(V3238)))/W3238,0)</f>
        <v/>
      </c>
      <c r="Y3238">
        <f>IF(ABS(W3238)&gt;1E-12,((LTP3!$D$5)*((U3238)*(Q3238)-(R3238)*(V3238))-(LTP3!$D$6)*((S3238)*(Q3238)-(R3238)*(T3238))+(T3238)*((S3238)*(V3238)-(U3238)*(T3238)))/W3238,0)</f>
        <v/>
      </c>
      <c r="Z3238">
        <f>IF(ABS(W3238)&gt;1E-12,((LTP3!$D$5)*((P3238)*(V3238)-(U3238)*(R3238))-(S3238)*((S3238)*(V3238)-(U3238)*(T3238))+(LTP3!$D$6)*((S3238)*(R3238)-(P3238)*(T3238)))/W3238,0)</f>
        <v/>
      </c>
      <c r="AA3238">
        <f>LTP3!$D$7-X3238*LTP3!$D$6-Y3238*U3238-Z3238*V3238</f>
        <v/>
      </c>
      <c r="AB3238">
        <f>IF(AND(F3238,ABS(W3238)&gt;1E-12,Y3238&gt;0,Z3238&gt;0),AA3238,1E+300)</f>
        <v/>
      </c>
    </row>
    <row r="3239">
      <c r="A3239">
        <f>$B$3+$B$5*52</f>
        <v/>
      </c>
      <c r="B3239">
        <f>$B$3+$B$5*55</f>
        <v/>
      </c>
      <c r="C3239">
        <f>SUMPRODUCT(Calc!$K$3:$K$22*(Calc!$G$3:$G$22&lt;=A3239))</f>
        <v/>
      </c>
      <c r="D3239">
        <f>SUMPRODUCT(Calc!$K$3:$K$22*(Calc!$G$3:$G$22&gt;A3239)*(Calc!$G$3:$G$22&lt;B3239))</f>
        <v/>
      </c>
      <c r="E3239">
        <f>SUMPRODUCT(Calc!$K$3:$K$22*(Calc!$G$3:$G$22&gt;=B3239))</f>
        <v/>
      </c>
      <c r="F3239">
        <f>AND(k_n&gt;=5,B3239&gt;A3239+1E-9,C3239&gt;=2,D3239&gt;=1,E3239&gt;=2)</f>
        <v/>
      </c>
      <c r="G3239">
        <f>SUMPRODUCT(Calc!$K$3:$K$22*(Calc!$G$3:$G$22&gt;A3239)*(Calc!$G$3:$G$22-A3239))</f>
        <v/>
      </c>
      <c r="H3239">
        <f>SUMPRODUCT(Calc!$K$3:$K$22*(Calc!$G$3:$G$22&gt;B3239)*(Calc!$G$3:$G$22-B3239))</f>
        <v/>
      </c>
      <c r="I3239">
        <f>SUMPRODUCT(Calc!$K$3:$K$22*(Calc!$G$3:$G$22&gt;A3239)*(Calc!$G$3:$G$22-A3239)^2)</f>
        <v/>
      </c>
      <c r="J3239">
        <f>SUMPRODUCT(Calc!$K$3:$K$22*(Calc!$G$3:$G$22&gt;B3239)*(Calc!$G$3:$G$22-B3239)^2)</f>
        <v/>
      </c>
      <c r="K3239">
        <f>SUMPRODUCT(Calc!$K$3:$K$22*(Calc!$G$3:$G$22&gt;A3239)*(Calc!$G$3:$G$22-A3239)*(Calc!$G$3:$G$22&gt;B3239)*(Calc!$G$3:$G$22-B3239))</f>
        <v/>
      </c>
      <c r="L3239">
        <f>SUMPRODUCT(Calc!$K$3:$K$22*(Calc!$G$3:$G$22&gt;A3239)*(Calc!$G$3:$G$22-A3239)*Calc!$G$3:$G$22)</f>
        <v/>
      </c>
      <c r="M3239">
        <f>SUMPRODUCT(Calc!$K$3:$K$22*(Calc!$G$3:$G$22&gt;B3239)*(Calc!$G$3:$G$22-B3239)*Calc!$G$3:$G$22)</f>
        <v/>
      </c>
      <c r="N3239">
        <f>SUMPRODUCT(Calc!$K$3:$K$22*(Calc!$G$3:$G$22&gt;A3239)*(Calc!$G$3:$G$22-A3239)*Calc!$I$3:$I$22)</f>
        <v/>
      </c>
      <c r="O3239">
        <f>SUMPRODUCT(Calc!$K$3:$K$22*(Calc!$G$3:$G$22&gt;B3239)*(Calc!$G$3:$G$22-B3239)*Calc!$I$3:$I$22)</f>
        <v/>
      </c>
      <c r="P3239">
        <f>I3239-G3239^2/k_n</f>
        <v/>
      </c>
      <c r="Q3239">
        <f>J3239-H3239^2/k_n</f>
        <v/>
      </c>
      <c r="R3239">
        <f>K3239-G3239*H3239/k_n</f>
        <v/>
      </c>
      <c r="S3239">
        <f>L3239-LTP3!$D$3*G3239/k_n</f>
        <v/>
      </c>
      <c r="T3239">
        <f>M3239-LTP3!$D$3*H3239/k_n</f>
        <v/>
      </c>
      <c r="U3239">
        <f>N3239-G3239*LTP3!$D$4/k_n</f>
        <v/>
      </c>
      <c r="V3239">
        <f>O3239-H3239*LTP3!$D$4/k_n</f>
        <v/>
      </c>
      <c r="W3239">
        <f>((LTP3!$D$5)*((P3239)*(Q3239)-(R3239)*(R3239))-(S3239)*((S3239)*(Q3239)-(R3239)*(T3239))+(T3239)*((S3239)*(R3239)-(P3239)*(T3239)))</f>
        <v/>
      </c>
      <c r="X3239">
        <f>IF(ABS(W3239)&gt;1E-12,((LTP3!$D$6)*((P3239)*(Q3239)-(R3239)*(R3239))-(S3239)*((U3239)*(Q3239)-(R3239)*(V3239))+(T3239)*((U3239)*(R3239)-(P3239)*(V3239)))/W3239,0)</f>
        <v/>
      </c>
      <c r="Y3239">
        <f>IF(ABS(W3239)&gt;1E-12,((LTP3!$D$5)*((U3239)*(Q3239)-(R3239)*(V3239))-(LTP3!$D$6)*((S3239)*(Q3239)-(R3239)*(T3239))+(T3239)*((S3239)*(V3239)-(U3239)*(T3239)))/W3239,0)</f>
        <v/>
      </c>
      <c r="Z3239">
        <f>IF(ABS(W3239)&gt;1E-12,((LTP3!$D$5)*((P3239)*(V3239)-(U3239)*(R3239))-(S3239)*((S3239)*(V3239)-(U3239)*(T3239))+(LTP3!$D$6)*((S3239)*(R3239)-(P3239)*(T3239)))/W3239,0)</f>
        <v/>
      </c>
      <c r="AA3239">
        <f>LTP3!$D$7-X3239*LTP3!$D$6-Y3239*U3239-Z3239*V3239</f>
        <v/>
      </c>
      <c r="AB3239">
        <f>IF(AND(F3239,ABS(W3239)&gt;1E-12,Y3239&gt;0,Z3239&gt;0),AA3239,1E+300)</f>
        <v/>
      </c>
    </row>
    <row r="3240">
      <c r="A3240">
        <f>$B$3+$B$5*52</f>
        <v/>
      </c>
      <c r="B3240">
        <f>$B$3+$B$5*56</f>
        <v/>
      </c>
      <c r="C3240">
        <f>SUMPRODUCT(Calc!$K$3:$K$22*(Calc!$G$3:$G$22&lt;=A3240))</f>
        <v/>
      </c>
      <c r="D3240">
        <f>SUMPRODUCT(Calc!$K$3:$K$22*(Calc!$G$3:$G$22&gt;A3240)*(Calc!$G$3:$G$22&lt;B3240))</f>
        <v/>
      </c>
      <c r="E3240">
        <f>SUMPRODUCT(Calc!$K$3:$K$22*(Calc!$G$3:$G$22&gt;=B3240))</f>
        <v/>
      </c>
      <c r="F3240">
        <f>AND(k_n&gt;=5,B3240&gt;A3240+1E-9,C3240&gt;=2,D3240&gt;=1,E3240&gt;=2)</f>
        <v/>
      </c>
      <c r="G3240">
        <f>SUMPRODUCT(Calc!$K$3:$K$22*(Calc!$G$3:$G$22&gt;A3240)*(Calc!$G$3:$G$22-A3240))</f>
        <v/>
      </c>
      <c r="H3240">
        <f>SUMPRODUCT(Calc!$K$3:$K$22*(Calc!$G$3:$G$22&gt;B3240)*(Calc!$G$3:$G$22-B3240))</f>
        <v/>
      </c>
      <c r="I3240">
        <f>SUMPRODUCT(Calc!$K$3:$K$22*(Calc!$G$3:$G$22&gt;A3240)*(Calc!$G$3:$G$22-A3240)^2)</f>
        <v/>
      </c>
      <c r="J3240">
        <f>SUMPRODUCT(Calc!$K$3:$K$22*(Calc!$G$3:$G$22&gt;B3240)*(Calc!$G$3:$G$22-B3240)^2)</f>
        <v/>
      </c>
      <c r="K3240">
        <f>SUMPRODUCT(Calc!$K$3:$K$22*(Calc!$G$3:$G$22&gt;A3240)*(Calc!$G$3:$G$22-A3240)*(Calc!$G$3:$G$22&gt;B3240)*(Calc!$G$3:$G$22-B3240))</f>
        <v/>
      </c>
      <c r="L3240">
        <f>SUMPRODUCT(Calc!$K$3:$K$22*(Calc!$G$3:$G$22&gt;A3240)*(Calc!$G$3:$G$22-A3240)*Calc!$G$3:$G$22)</f>
        <v/>
      </c>
      <c r="M3240">
        <f>SUMPRODUCT(Calc!$K$3:$K$22*(Calc!$G$3:$G$22&gt;B3240)*(Calc!$G$3:$G$22-B3240)*Calc!$G$3:$G$22)</f>
        <v/>
      </c>
      <c r="N3240">
        <f>SUMPRODUCT(Calc!$K$3:$K$22*(Calc!$G$3:$G$22&gt;A3240)*(Calc!$G$3:$G$22-A3240)*Calc!$I$3:$I$22)</f>
        <v/>
      </c>
      <c r="O3240">
        <f>SUMPRODUCT(Calc!$K$3:$K$22*(Calc!$G$3:$G$22&gt;B3240)*(Calc!$G$3:$G$22-B3240)*Calc!$I$3:$I$22)</f>
        <v/>
      </c>
      <c r="P3240">
        <f>I3240-G3240^2/k_n</f>
        <v/>
      </c>
      <c r="Q3240">
        <f>J3240-H3240^2/k_n</f>
        <v/>
      </c>
      <c r="R3240">
        <f>K3240-G3240*H3240/k_n</f>
        <v/>
      </c>
      <c r="S3240">
        <f>L3240-LTP3!$D$3*G3240/k_n</f>
        <v/>
      </c>
      <c r="T3240">
        <f>M3240-LTP3!$D$3*H3240/k_n</f>
        <v/>
      </c>
      <c r="U3240">
        <f>N3240-G3240*LTP3!$D$4/k_n</f>
        <v/>
      </c>
      <c r="V3240">
        <f>O3240-H3240*LTP3!$D$4/k_n</f>
        <v/>
      </c>
      <c r="W3240">
        <f>((LTP3!$D$5)*((P3240)*(Q3240)-(R3240)*(R3240))-(S3240)*((S3240)*(Q3240)-(R3240)*(T3240))+(T3240)*((S3240)*(R3240)-(P3240)*(T3240)))</f>
        <v/>
      </c>
      <c r="X3240">
        <f>IF(ABS(W3240)&gt;1E-12,((LTP3!$D$6)*((P3240)*(Q3240)-(R3240)*(R3240))-(S3240)*((U3240)*(Q3240)-(R3240)*(V3240))+(T3240)*((U3240)*(R3240)-(P3240)*(V3240)))/W3240,0)</f>
        <v/>
      </c>
      <c r="Y3240">
        <f>IF(ABS(W3240)&gt;1E-12,((LTP3!$D$5)*((U3240)*(Q3240)-(R3240)*(V3240))-(LTP3!$D$6)*((S3240)*(Q3240)-(R3240)*(T3240))+(T3240)*((S3240)*(V3240)-(U3240)*(T3240)))/W3240,0)</f>
        <v/>
      </c>
      <c r="Z3240">
        <f>IF(ABS(W3240)&gt;1E-12,((LTP3!$D$5)*((P3240)*(V3240)-(U3240)*(R3240))-(S3240)*((S3240)*(V3240)-(U3240)*(T3240))+(LTP3!$D$6)*((S3240)*(R3240)-(P3240)*(T3240)))/W3240,0)</f>
        <v/>
      </c>
      <c r="AA3240">
        <f>LTP3!$D$7-X3240*LTP3!$D$6-Y3240*U3240-Z3240*V3240</f>
        <v/>
      </c>
      <c r="AB3240">
        <f>IF(AND(F3240,ABS(W3240)&gt;1E-12,Y3240&gt;0,Z3240&gt;0),AA3240,1E+300)</f>
        <v/>
      </c>
    </row>
    <row r="3241">
      <c r="A3241">
        <f>$B$3+$B$5*52</f>
        <v/>
      </c>
      <c r="B3241">
        <f>$B$3+$B$5*57</f>
        <v/>
      </c>
      <c r="C3241">
        <f>SUMPRODUCT(Calc!$K$3:$K$22*(Calc!$G$3:$G$22&lt;=A3241))</f>
        <v/>
      </c>
      <c r="D3241">
        <f>SUMPRODUCT(Calc!$K$3:$K$22*(Calc!$G$3:$G$22&gt;A3241)*(Calc!$G$3:$G$22&lt;B3241))</f>
        <v/>
      </c>
      <c r="E3241">
        <f>SUMPRODUCT(Calc!$K$3:$K$22*(Calc!$G$3:$G$22&gt;=B3241))</f>
        <v/>
      </c>
      <c r="F3241">
        <f>AND(k_n&gt;=5,B3241&gt;A3241+1E-9,C3241&gt;=2,D3241&gt;=1,E3241&gt;=2)</f>
        <v/>
      </c>
      <c r="G3241">
        <f>SUMPRODUCT(Calc!$K$3:$K$22*(Calc!$G$3:$G$22&gt;A3241)*(Calc!$G$3:$G$22-A3241))</f>
        <v/>
      </c>
      <c r="H3241">
        <f>SUMPRODUCT(Calc!$K$3:$K$22*(Calc!$G$3:$G$22&gt;B3241)*(Calc!$G$3:$G$22-B3241))</f>
        <v/>
      </c>
      <c r="I3241">
        <f>SUMPRODUCT(Calc!$K$3:$K$22*(Calc!$G$3:$G$22&gt;A3241)*(Calc!$G$3:$G$22-A3241)^2)</f>
        <v/>
      </c>
      <c r="J3241">
        <f>SUMPRODUCT(Calc!$K$3:$K$22*(Calc!$G$3:$G$22&gt;B3241)*(Calc!$G$3:$G$22-B3241)^2)</f>
        <v/>
      </c>
      <c r="K3241">
        <f>SUMPRODUCT(Calc!$K$3:$K$22*(Calc!$G$3:$G$22&gt;A3241)*(Calc!$G$3:$G$22-A3241)*(Calc!$G$3:$G$22&gt;B3241)*(Calc!$G$3:$G$22-B3241))</f>
        <v/>
      </c>
      <c r="L3241">
        <f>SUMPRODUCT(Calc!$K$3:$K$22*(Calc!$G$3:$G$22&gt;A3241)*(Calc!$G$3:$G$22-A3241)*Calc!$G$3:$G$22)</f>
        <v/>
      </c>
      <c r="M3241">
        <f>SUMPRODUCT(Calc!$K$3:$K$22*(Calc!$G$3:$G$22&gt;B3241)*(Calc!$G$3:$G$22-B3241)*Calc!$G$3:$G$22)</f>
        <v/>
      </c>
      <c r="N3241">
        <f>SUMPRODUCT(Calc!$K$3:$K$22*(Calc!$G$3:$G$22&gt;A3241)*(Calc!$G$3:$G$22-A3241)*Calc!$I$3:$I$22)</f>
        <v/>
      </c>
      <c r="O3241">
        <f>SUMPRODUCT(Calc!$K$3:$K$22*(Calc!$G$3:$G$22&gt;B3241)*(Calc!$G$3:$G$22-B3241)*Calc!$I$3:$I$22)</f>
        <v/>
      </c>
      <c r="P3241">
        <f>I3241-G3241^2/k_n</f>
        <v/>
      </c>
      <c r="Q3241">
        <f>J3241-H3241^2/k_n</f>
        <v/>
      </c>
      <c r="R3241">
        <f>K3241-G3241*H3241/k_n</f>
        <v/>
      </c>
      <c r="S3241">
        <f>L3241-LTP3!$D$3*G3241/k_n</f>
        <v/>
      </c>
      <c r="T3241">
        <f>M3241-LTP3!$D$3*H3241/k_n</f>
        <v/>
      </c>
      <c r="U3241">
        <f>N3241-G3241*LTP3!$D$4/k_n</f>
        <v/>
      </c>
      <c r="V3241">
        <f>O3241-H3241*LTP3!$D$4/k_n</f>
        <v/>
      </c>
      <c r="W3241">
        <f>((LTP3!$D$5)*((P3241)*(Q3241)-(R3241)*(R3241))-(S3241)*((S3241)*(Q3241)-(R3241)*(T3241))+(T3241)*((S3241)*(R3241)-(P3241)*(T3241)))</f>
        <v/>
      </c>
      <c r="X3241">
        <f>IF(ABS(W3241)&gt;1E-12,((LTP3!$D$6)*((P3241)*(Q3241)-(R3241)*(R3241))-(S3241)*((U3241)*(Q3241)-(R3241)*(V3241))+(T3241)*((U3241)*(R3241)-(P3241)*(V3241)))/W3241,0)</f>
        <v/>
      </c>
      <c r="Y3241">
        <f>IF(ABS(W3241)&gt;1E-12,((LTP3!$D$5)*((U3241)*(Q3241)-(R3241)*(V3241))-(LTP3!$D$6)*((S3241)*(Q3241)-(R3241)*(T3241))+(T3241)*((S3241)*(V3241)-(U3241)*(T3241)))/W3241,0)</f>
        <v/>
      </c>
      <c r="Z3241">
        <f>IF(ABS(W3241)&gt;1E-12,((LTP3!$D$5)*((P3241)*(V3241)-(U3241)*(R3241))-(S3241)*((S3241)*(V3241)-(U3241)*(T3241))+(LTP3!$D$6)*((S3241)*(R3241)-(P3241)*(T3241)))/W3241,0)</f>
        <v/>
      </c>
      <c r="AA3241">
        <f>LTP3!$D$7-X3241*LTP3!$D$6-Y3241*U3241-Z3241*V3241</f>
        <v/>
      </c>
      <c r="AB3241">
        <f>IF(AND(F3241,ABS(W3241)&gt;1E-12,Y3241&gt;0,Z3241&gt;0),AA3241,1E+300)</f>
        <v/>
      </c>
    </row>
    <row r="3242">
      <c r="A3242">
        <f>$B$3+$B$5*52</f>
        <v/>
      </c>
      <c r="B3242">
        <f>$B$3+$B$5*58</f>
        <v/>
      </c>
      <c r="C3242">
        <f>SUMPRODUCT(Calc!$K$3:$K$22*(Calc!$G$3:$G$22&lt;=A3242))</f>
        <v/>
      </c>
      <c r="D3242">
        <f>SUMPRODUCT(Calc!$K$3:$K$22*(Calc!$G$3:$G$22&gt;A3242)*(Calc!$G$3:$G$22&lt;B3242))</f>
        <v/>
      </c>
      <c r="E3242">
        <f>SUMPRODUCT(Calc!$K$3:$K$22*(Calc!$G$3:$G$22&gt;=B3242))</f>
        <v/>
      </c>
      <c r="F3242">
        <f>AND(k_n&gt;=5,B3242&gt;A3242+1E-9,C3242&gt;=2,D3242&gt;=1,E3242&gt;=2)</f>
        <v/>
      </c>
      <c r="G3242">
        <f>SUMPRODUCT(Calc!$K$3:$K$22*(Calc!$G$3:$G$22&gt;A3242)*(Calc!$G$3:$G$22-A3242))</f>
        <v/>
      </c>
      <c r="H3242">
        <f>SUMPRODUCT(Calc!$K$3:$K$22*(Calc!$G$3:$G$22&gt;B3242)*(Calc!$G$3:$G$22-B3242))</f>
        <v/>
      </c>
      <c r="I3242">
        <f>SUMPRODUCT(Calc!$K$3:$K$22*(Calc!$G$3:$G$22&gt;A3242)*(Calc!$G$3:$G$22-A3242)^2)</f>
        <v/>
      </c>
      <c r="J3242">
        <f>SUMPRODUCT(Calc!$K$3:$K$22*(Calc!$G$3:$G$22&gt;B3242)*(Calc!$G$3:$G$22-B3242)^2)</f>
        <v/>
      </c>
      <c r="K3242">
        <f>SUMPRODUCT(Calc!$K$3:$K$22*(Calc!$G$3:$G$22&gt;A3242)*(Calc!$G$3:$G$22-A3242)*(Calc!$G$3:$G$22&gt;B3242)*(Calc!$G$3:$G$22-B3242))</f>
        <v/>
      </c>
      <c r="L3242">
        <f>SUMPRODUCT(Calc!$K$3:$K$22*(Calc!$G$3:$G$22&gt;A3242)*(Calc!$G$3:$G$22-A3242)*Calc!$G$3:$G$22)</f>
        <v/>
      </c>
      <c r="M3242">
        <f>SUMPRODUCT(Calc!$K$3:$K$22*(Calc!$G$3:$G$22&gt;B3242)*(Calc!$G$3:$G$22-B3242)*Calc!$G$3:$G$22)</f>
        <v/>
      </c>
      <c r="N3242">
        <f>SUMPRODUCT(Calc!$K$3:$K$22*(Calc!$G$3:$G$22&gt;A3242)*(Calc!$G$3:$G$22-A3242)*Calc!$I$3:$I$22)</f>
        <v/>
      </c>
      <c r="O3242">
        <f>SUMPRODUCT(Calc!$K$3:$K$22*(Calc!$G$3:$G$22&gt;B3242)*(Calc!$G$3:$G$22-B3242)*Calc!$I$3:$I$22)</f>
        <v/>
      </c>
      <c r="P3242">
        <f>I3242-G3242^2/k_n</f>
        <v/>
      </c>
      <c r="Q3242">
        <f>J3242-H3242^2/k_n</f>
        <v/>
      </c>
      <c r="R3242">
        <f>K3242-G3242*H3242/k_n</f>
        <v/>
      </c>
      <c r="S3242">
        <f>L3242-LTP3!$D$3*G3242/k_n</f>
        <v/>
      </c>
      <c r="T3242">
        <f>M3242-LTP3!$D$3*H3242/k_n</f>
        <v/>
      </c>
      <c r="U3242">
        <f>N3242-G3242*LTP3!$D$4/k_n</f>
        <v/>
      </c>
      <c r="V3242">
        <f>O3242-H3242*LTP3!$D$4/k_n</f>
        <v/>
      </c>
      <c r="W3242">
        <f>((LTP3!$D$5)*((P3242)*(Q3242)-(R3242)*(R3242))-(S3242)*((S3242)*(Q3242)-(R3242)*(T3242))+(T3242)*((S3242)*(R3242)-(P3242)*(T3242)))</f>
        <v/>
      </c>
      <c r="X3242">
        <f>IF(ABS(W3242)&gt;1E-12,((LTP3!$D$6)*((P3242)*(Q3242)-(R3242)*(R3242))-(S3242)*((U3242)*(Q3242)-(R3242)*(V3242))+(T3242)*((U3242)*(R3242)-(P3242)*(V3242)))/W3242,0)</f>
        <v/>
      </c>
      <c r="Y3242">
        <f>IF(ABS(W3242)&gt;1E-12,((LTP3!$D$5)*((U3242)*(Q3242)-(R3242)*(V3242))-(LTP3!$D$6)*((S3242)*(Q3242)-(R3242)*(T3242))+(T3242)*((S3242)*(V3242)-(U3242)*(T3242)))/W3242,0)</f>
        <v/>
      </c>
      <c r="Z3242">
        <f>IF(ABS(W3242)&gt;1E-12,((LTP3!$D$5)*((P3242)*(V3242)-(U3242)*(R3242))-(S3242)*((S3242)*(V3242)-(U3242)*(T3242))+(LTP3!$D$6)*((S3242)*(R3242)-(P3242)*(T3242)))/W3242,0)</f>
        <v/>
      </c>
      <c r="AA3242">
        <f>LTP3!$D$7-X3242*LTP3!$D$6-Y3242*U3242-Z3242*V3242</f>
        <v/>
      </c>
      <c r="AB3242">
        <f>IF(AND(F3242,ABS(W3242)&gt;1E-12,Y3242&gt;0,Z3242&gt;0),AA3242,1E+300)</f>
        <v/>
      </c>
    </row>
    <row r="3243">
      <c r="A3243">
        <f>$B$3+$B$5*52</f>
        <v/>
      </c>
      <c r="B3243">
        <f>$B$3+$B$5*59</f>
        <v/>
      </c>
      <c r="C3243">
        <f>SUMPRODUCT(Calc!$K$3:$K$22*(Calc!$G$3:$G$22&lt;=A3243))</f>
        <v/>
      </c>
      <c r="D3243">
        <f>SUMPRODUCT(Calc!$K$3:$K$22*(Calc!$G$3:$G$22&gt;A3243)*(Calc!$G$3:$G$22&lt;B3243))</f>
        <v/>
      </c>
      <c r="E3243">
        <f>SUMPRODUCT(Calc!$K$3:$K$22*(Calc!$G$3:$G$22&gt;=B3243))</f>
        <v/>
      </c>
      <c r="F3243">
        <f>AND(k_n&gt;=5,B3243&gt;A3243+1E-9,C3243&gt;=2,D3243&gt;=1,E3243&gt;=2)</f>
        <v/>
      </c>
      <c r="G3243">
        <f>SUMPRODUCT(Calc!$K$3:$K$22*(Calc!$G$3:$G$22&gt;A3243)*(Calc!$G$3:$G$22-A3243))</f>
        <v/>
      </c>
      <c r="H3243">
        <f>SUMPRODUCT(Calc!$K$3:$K$22*(Calc!$G$3:$G$22&gt;B3243)*(Calc!$G$3:$G$22-B3243))</f>
        <v/>
      </c>
      <c r="I3243">
        <f>SUMPRODUCT(Calc!$K$3:$K$22*(Calc!$G$3:$G$22&gt;A3243)*(Calc!$G$3:$G$22-A3243)^2)</f>
        <v/>
      </c>
      <c r="J3243">
        <f>SUMPRODUCT(Calc!$K$3:$K$22*(Calc!$G$3:$G$22&gt;B3243)*(Calc!$G$3:$G$22-B3243)^2)</f>
        <v/>
      </c>
      <c r="K3243">
        <f>SUMPRODUCT(Calc!$K$3:$K$22*(Calc!$G$3:$G$22&gt;A3243)*(Calc!$G$3:$G$22-A3243)*(Calc!$G$3:$G$22&gt;B3243)*(Calc!$G$3:$G$22-B3243))</f>
        <v/>
      </c>
      <c r="L3243">
        <f>SUMPRODUCT(Calc!$K$3:$K$22*(Calc!$G$3:$G$22&gt;A3243)*(Calc!$G$3:$G$22-A3243)*Calc!$G$3:$G$22)</f>
        <v/>
      </c>
      <c r="M3243">
        <f>SUMPRODUCT(Calc!$K$3:$K$22*(Calc!$G$3:$G$22&gt;B3243)*(Calc!$G$3:$G$22-B3243)*Calc!$G$3:$G$22)</f>
        <v/>
      </c>
      <c r="N3243">
        <f>SUMPRODUCT(Calc!$K$3:$K$22*(Calc!$G$3:$G$22&gt;A3243)*(Calc!$G$3:$G$22-A3243)*Calc!$I$3:$I$22)</f>
        <v/>
      </c>
      <c r="O3243">
        <f>SUMPRODUCT(Calc!$K$3:$K$22*(Calc!$G$3:$G$22&gt;B3243)*(Calc!$G$3:$G$22-B3243)*Calc!$I$3:$I$22)</f>
        <v/>
      </c>
      <c r="P3243">
        <f>I3243-G3243^2/k_n</f>
        <v/>
      </c>
      <c r="Q3243">
        <f>J3243-H3243^2/k_n</f>
        <v/>
      </c>
      <c r="R3243">
        <f>K3243-G3243*H3243/k_n</f>
        <v/>
      </c>
      <c r="S3243">
        <f>L3243-LTP3!$D$3*G3243/k_n</f>
        <v/>
      </c>
      <c r="T3243">
        <f>M3243-LTP3!$D$3*H3243/k_n</f>
        <v/>
      </c>
      <c r="U3243">
        <f>N3243-G3243*LTP3!$D$4/k_n</f>
        <v/>
      </c>
      <c r="V3243">
        <f>O3243-H3243*LTP3!$D$4/k_n</f>
        <v/>
      </c>
      <c r="W3243">
        <f>((LTP3!$D$5)*((P3243)*(Q3243)-(R3243)*(R3243))-(S3243)*((S3243)*(Q3243)-(R3243)*(T3243))+(T3243)*((S3243)*(R3243)-(P3243)*(T3243)))</f>
        <v/>
      </c>
      <c r="X3243">
        <f>IF(ABS(W3243)&gt;1E-12,((LTP3!$D$6)*((P3243)*(Q3243)-(R3243)*(R3243))-(S3243)*((U3243)*(Q3243)-(R3243)*(V3243))+(T3243)*((U3243)*(R3243)-(P3243)*(V3243)))/W3243,0)</f>
        <v/>
      </c>
      <c r="Y3243">
        <f>IF(ABS(W3243)&gt;1E-12,((LTP3!$D$5)*((U3243)*(Q3243)-(R3243)*(V3243))-(LTP3!$D$6)*((S3243)*(Q3243)-(R3243)*(T3243))+(T3243)*((S3243)*(V3243)-(U3243)*(T3243)))/W3243,0)</f>
        <v/>
      </c>
      <c r="Z3243">
        <f>IF(ABS(W3243)&gt;1E-12,((LTP3!$D$5)*((P3243)*(V3243)-(U3243)*(R3243))-(S3243)*((S3243)*(V3243)-(U3243)*(T3243))+(LTP3!$D$6)*((S3243)*(R3243)-(P3243)*(T3243)))/W3243,0)</f>
        <v/>
      </c>
      <c r="AA3243">
        <f>LTP3!$D$7-X3243*LTP3!$D$6-Y3243*U3243-Z3243*V3243</f>
        <v/>
      </c>
      <c r="AB3243">
        <f>IF(AND(F3243,ABS(W3243)&gt;1E-12,Y3243&gt;0,Z3243&gt;0),AA3243,1E+300)</f>
        <v/>
      </c>
    </row>
    <row r="3244">
      <c r="A3244">
        <f>$B$3+$B$5*52</f>
        <v/>
      </c>
      <c r="B3244">
        <f>$B$3+$B$5*60</f>
        <v/>
      </c>
      <c r="C3244">
        <f>SUMPRODUCT(Calc!$K$3:$K$22*(Calc!$G$3:$G$22&lt;=A3244))</f>
        <v/>
      </c>
      <c r="D3244">
        <f>SUMPRODUCT(Calc!$K$3:$K$22*(Calc!$G$3:$G$22&gt;A3244)*(Calc!$G$3:$G$22&lt;B3244))</f>
        <v/>
      </c>
      <c r="E3244">
        <f>SUMPRODUCT(Calc!$K$3:$K$22*(Calc!$G$3:$G$22&gt;=B3244))</f>
        <v/>
      </c>
      <c r="F3244">
        <f>AND(k_n&gt;=5,B3244&gt;A3244+1E-9,C3244&gt;=2,D3244&gt;=1,E3244&gt;=2)</f>
        <v/>
      </c>
      <c r="G3244">
        <f>SUMPRODUCT(Calc!$K$3:$K$22*(Calc!$G$3:$G$22&gt;A3244)*(Calc!$G$3:$G$22-A3244))</f>
        <v/>
      </c>
      <c r="H3244">
        <f>SUMPRODUCT(Calc!$K$3:$K$22*(Calc!$G$3:$G$22&gt;B3244)*(Calc!$G$3:$G$22-B3244))</f>
        <v/>
      </c>
      <c r="I3244">
        <f>SUMPRODUCT(Calc!$K$3:$K$22*(Calc!$G$3:$G$22&gt;A3244)*(Calc!$G$3:$G$22-A3244)^2)</f>
        <v/>
      </c>
      <c r="J3244">
        <f>SUMPRODUCT(Calc!$K$3:$K$22*(Calc!$G$3:$G$22&gt;B3244)*(Calc!$G$3:$G$22-B3244)^2)</f>
        <v/>
      </c>
      <c r="K3244">
        <f>SUMPRODUCT(Calc!$K$3:$K$22*(Calc!$G$3:$G$22&gt;A3244)*(Calc!$G$3:$G$22-A3244)*(Calc!$G$3:$G$22&gt;B3244)*(Calc!$G$3:$G$22-B3244))</f>
        <v/>
      </c>
      <c r="L3244">
        <f>SUMPRODUCT(Calc!$K$3:$K$22*(Calc!$G$3:$G$22&gt;A3244)*(Calc!$G$3:$G$22-A3244)*Calc!$G$3:$G$22)</f>
        <v/>
      </c>
      <c r="M3244">
        <f>SUMPRODUCT(Calc!$K$3:$K$22*(Calc!$G$3:$G$22&gt;B3244)*(Calc!$G$3:$G$22-B3244)*Calc!$G$3:$G$22)</f>
        <v/>
      </c>
      <c r="N3244">
        <f>SUMPRODUCT(Calc!$K$3:$K$22*(Calc!$G$3:$G$22&gt;A3244)*(Calc!$G$3:$G$22-A3244)*Calc!$I$3:$I$22)</f>
        <v/>
      </c>
      <c r="O3244">
        <f>SUMPRODUCT(Calc!$K$3:$K$22*(Calc!$G$3:$G$22&gt;B3244)*(Calc!$G$3:$G$22-B3244)*Calc!$I$3:$I$22)</f>
        <v/>
      </c>
      <c r="P3244">
        <f>I3244-G3244^2/k_n</f>
        <v/>
      </c>
      <c r="Q3244">
        <f>J3244-H3244^2/k_n</f>
        <v/>
      </c>
      <c r="R3244">
        <f>K3244-G3244*H3244/k_n</f>
        <v/>
      </c>
      <c r="S3244">
        <f>L3244-LTP3!$D$3*G3244/k_n</f>
        <v/>
      </c>
      <c r="T3244">
        <f>M3244-LTP3!$D$3*H3244/k_n</f>
        <v/>
      </c>
      <c r="U3244">
        <f>N3244-G3244*LTP3!$D$4/k_n</f>
        <v/>
      </c>
      <c r="V3244">
        <f>O3244-H3244*LTP3!$D$4/k_n</f>
        <v/>
      </c>
      <c r="W3244">
        <f>((LTP3!$D$5)*((P3244)*(Q3244)-(R3244)*(R3244))-(S3244)*((S3244)*(Q3244)-(R3244)*(T3244))+(T3244)*((S3244)*(R3244)-(P3244)*(T3244)))</f>
        <v/>
      </c>
      <c r="X3244">
        <f>IF(ABS(W3244)&gt;1E-12,((LTP3!$D$6)*((P3244)*(Q3244)-(R3244)*(R3244))-(S3244)*((U3244)*(Q3244)-(R3244)*(V3244))+(T3244)*((U3244)*(R3244)-(P3244)*(V3244)))/W3244,0)</f>
        <v/>
      </c>
      <c r="Y3244">
        <f>IF(ABS(W3244)&gt;1E-12,((LTP3!$D$5)*((U3244)*(Q3244)-(R3244)*(V3244))-(LTP3!$D$6)*((S3244)*(Q3244)-(R3244)*(T3244))+(T3244)*((S3244)*(V3244)-(U3244)*(T3244)))/W3244,0)</f>
        <v/>
      </c>
      <c r="Z3244">
        <f>IF(ABS(W3244)&gt;1E-12,((LTP3!$D$5)*((P3244)*(V3244)-(U3244)*(R3244))-(S3244)*((S3244)*(V3244)-(U3244)*(T3244))+(LTP3!$D$6)*((S3244)*(R3244)-(P3244)*(T3244)))/W3244,0)</f>
        <v/>
      </c>
      <c r="AA3244">
        <f>LTP3!$D$7-X3244*LTP3!$D$6-Y3244*U3244-Z3244*V3244</f>
        <v/>
      </c>
      <c r="AB3244">
        <f>IF(AND(F3244,ABS(W3244)&gt;1E-12,Y3244&gt;0,Z3244&gt;0),AA3244,1E+300)</f>
        <v/>
      </c>
    </row>
    <row r="3245">
      <c r="A3245">
        <f>$B$3+$B$5*53</f>
        <v/>
      </c>
      <c r="B3245">
        <f>$B$3+$B$5*0</f>
        <v/>
      </c>
      <c r="C3245">
        <f>SUMPRODUCT(Calc!$K$3:$K$22*(Calc!$G$3:$G$22&lt;=A3245))</f>
        <v/>
      </c>
      <c r="D3245">
        <f>SUMPRODUCT(Calc!$K$3:$K$22*(Calc!$G$3:$G$22&gt;A3245)*(Calc!$G$3:$G$22&lt;B3245))</f>
        <v/>
      </c>
      <c r="E3245">
        <f>SUMPRODUCT(Calc!$K$3:$K$22*(Calc!$G$3:$G$22&gt;=B3245))</f>
        <v/>
      </c>
      <c r="F3245">
        <f>AND(k_n&gt;=5,B3245&gt;A3245+1E-9,C3245&gt;=2,D3245&gt;=1,E3245&gt;=2)</f>
        <v/>
      </c>
      <c r="G3245">
        <f>SUMPRODUCT(Calc!$K$3:$K$22*(Calc!$G$3:$G$22&gt;A3245)*(Calc!$G$3:$G$22-A3245))</f>
        <v/>
      </c>
      <c r="H3245">
        <f>SUMPRODUCT(Calc!$K$3:$K$22*(Calc!$G$3:$G$22&gt;B3245)*(Calc!$G$3:$G$22-B3245))</f>
        <v/>
      </c>
      <c r="I3245">
        <f>SUMPRODUCT(Calc!$K$3:$K$22*(Calc!$G$3:$G$22&gt;A3245)*(Calc!$G$3:$G$22-A3245)^2)</f>
        <v/>
      </c>
      <c r="J3245">
        <f>SUMPRODUCT(Calc!$K$3:$K$22*(Calc!$G$3:$G$22&gt;B3245)*(Calc!$G$3:$G$22-B3245)^2)</f>
        <v/>
      </c>
      <c r="K3245">
        <f>SUMPRODUCT(Calc!$K$3:$K$22*(Calc!$G$3:$G$22&gt;A3245)*(Calc!$G$3:$G$22-A3245)*(Calc!$G$3:$G$22&gt;B3245)*(Calc!$G$3:$G$22-B3245))</f>
        <v/>
      </c>
      <c r="L3245">
        <f>SUMPRODUCT(Calc!$K$3:$K$22*(Calc!$G$3:$G$22&gt;A3245)*(Calc!$G$3:$G$22-A3245)*Calc!$G$3:$G$22)</f>
        <v/>
      </c>
      <c r="M3245">
        <f>SUMPRODUCT(Calc!$K$3:$K$22*(Calc!$G$3:$G$22&gt;B3245)*(Calc!$G$3:$G$22-B3245)*Calc!$G$3:$G$22)</f>
        <v/>
      </c>
      <c r="N3245">
        <f>SUMPRODUCT(Calc!$K$3:$K$22*(Calc!$G$3:$G$22&gt;A3245)*(Calc!$G$3:$G$22-A3245)*Calc!$I$3:$I$22)</f>
        <v/>
      </c>
      <c r="O3245">
        <f>SUMPRODUCT(Calc!$K$3:$K$22*(Calc!$G$3:$G$22&gt;B3245)*(Calc!$G$3:$G$22-B3245)*Calc!$I$3:$I$22)</f>
        <v/>
      </c>
      <c r="P3245">
        <f>I3245-G3245^2/k_n</f>
        <v/>
      </c>
      <c r="Q3245">
        <f>J3245-H3245^2/k_n</f>
        <v/>
      </c>
      <c r="R3245">
        <f>K3245-G3245*H3245/k_n</f>
        <v/>
      </c>
      <c r="S3245">
        <f>L3245-LTP3!$D$3*G3245/k_n</f>
        <v/>
      </c>
      <c r="T3245">
        <f>M3245-LTP3!$D$3*H3245/k_n</f>
        <v/>
      </c>
      <c r="U3245">
        <f>N3245-G3245*LTP3!$D$4/k_n</f>
        <v/>
      </c>
      <c r="V3245">
        <f>O3245-H3245*LTP3!$D$4/k_n</f>
        <v/>
      </c>
      <c r="W3245">
        <f>((LTP3!$D$5)*((P3245)*(Q3245)-(R3245)*(R3245))-(S3245)*((S3245)*(Q3245)-(R3245)*(T3245))+(T3245)*((S3245)*(R3245)-(P3245)*(T3245)))</f>
        <v/>
      </c>
      <c r="X3245">
        <f>IF(ABS(W3245)&gt;1E-12,((LTP3!$D$6)*((P3245)*(Q3245)-(R3245)*(R3245))-(S3245)*((U3245)*(Q3245)-(R3245)*(V3245))+(T3245)*((U3245)*(R3245)-(P3245)*(V3245)))/W3245,0)</f>
        <v/>
      </c>
      <c r="Y3245">
        <f>IF(ABS(W3245)&gt;1E-12,((LTP3!$D$5)*((U3245)*(Q3245)-(R3245)*(V3245))-(LTP3!$D$6)*((S3245)*(Q3245)-(R3245)*(T3245))+(T3245)*((S3245)*(V3245)-(U3245)*(T3245)))/W3245,0)</f>
        <v/>
      </c>
      <c r="Z3245">
        <f>IF(ABS(W3245)&gt;1E-12,((LTP3!$D$5)*((P3245)*(V3245)-(U3245)*(R3245))-(S3245)*((S3245)*(V3245)-(U3245)*(T3245))+(LTP3!$D$6)*((S3245)*(R3245)-(P3245)*(T3245)))/W3245,0)</f>
        <v/>
      </c>
      <c r="AA3245">
        <f>LTP3!$D$7-X3245*LTP3!$D$6-Y3245*U3245-Z3245*V3245</f>
        <v/>
      </c>
      <c r="AB3245">
        <f>IF(AND(F3245,ABS(W3245)&gt;1E-12,Y3245&gt;0,Z3245&gt;0),AA3245,1E+300)</f>
        <v/>
      </c>
    </row>
    <row r="3246">
      <c r="A3246">
        <f>$B$3+$B$5*53</f>
        <v/>
      </c>
      <c r="B3246">
        <f>$B$3+$B$5*1</f>
        <v/>
      </c>
      <c r="C3246">
        <f>SUMPRODUCT(Calc!$K$3:$K$22*(Calc!$G$3:$G$22&lt;=A3246))</f>
        <v/>
      </c>
      <c r="D3246">
        <f>SUMPRODUCT(Calc!$K$3:$K$22*(Calc!$G$3:$G$22&gt;A3246)*(Calc!$G$3:$G$22&lt;B3246))</f>
        <v/>
      </c>
      <c r="E3246">
        <f>SUMPRODUCT(Calc!$K$3:$K$22*(Calc!$G$3:$G$22&gt;=B3246))</f>
        <v/>
      </c>
      <c r="F3246">
        <f>AND(k_n&gt;=5,B3246&gt;A3246+1E-9,C3246&gt;=2,D3246&gt;=1,E3246&gt;=2)</f>
        <v/>
      </c>
      <c r="G3246">
        <f>SUMPRODUCT(Calc!$K$3:$K$22*(Calc!$G$3:$G$22&gt;A3246)*(Calc!$G$3:$G$22-A3246))</f>
        <v/>
      </c>
      <c r="H3246">
        <f>SUMPRODUCT(Calc!$K$3:$K$22*(Calc!$G$3:$G$22&gt;B3246)*(Calc!$G$3:$G$22-B3246))</f>
        <v/>
      </c>
      <c r="I3246">
        <f>SUMPRODUCT(Calc!$K$3:$K$22*(Calc!$G$3:$G$22&gt;A3246)*(Calc!$G$3:$G$22-A3246)^2)</f>
        <v/>
      </c>
      <c r="J3246">
        <f>SUMPRODUCT(Calc!$K$3:$K$22*(Calc!$G$3:$G$22&gt;B3246)*(Calc!$G$3:$G$22-B3246)^2)</f>
        <v/>
      </c>
      <c r="K3246">
        <f>SUMPRODUCT(Calc!$K$3:$K$22*(Calc!$G$3:$G$22&gt;A3246)*(Calc!$G$3:$G$22-A3246)*(Calc!$G$3:$G$22&gt;B3246)*(Calc!$G$3:$G$22-B3246))</f>
        <v/>
      </c>
      <c r="L3246">
        <f>SUMPRODUCT(Calc!$K$3:$K$22*(Calc!$G$3:$G$22&gt;A3246)*(Calc!$G$3:$G$22-A3246)*Calc!$G$3:$G$22)</f>
        <v/>
      </c>
      <c r="M3246">
        <f>SUMPRODUCT(Calc!$K$3:$K$22*(Calc!$G$3:$G$22&gt;B3246)*(Calc!$G$3:$G$22-B3246)*Calc!$G$3:$G$22)</f>
        <v/>
      </c>
      <c r="N3246">
        <f>SUMPRODUCT(Calc!$K$3:$K$22*(Calc!$G$3:$G$22&gt;A3246)*(Calc!$G$3:$G$22-A3246)*Calc!$I$3:$I$22)</f>
        <v/>
      </c>
      <c r="O3246">
        <f>SUMPRODUCT(Calc!$K$3:$K$22*(Calc!$G$3:$G$22&gt;B3246)*(Calc!$G$3:$G$22-B3246)*Calc!$I$3:$I$22)</f>
        <v/>
      </c>
      <c r="P3246">
        <f>I3246-G3246^2/k_n</f>
        <v/>
      </c>
      <c r="Q3246">
        <f>J3246-H3246^2/k_n</f>
        <v/>
      </c>
      <c r="R3246">
        <f>K3246-G3246*H3246/k_n</f>
        <v/>
      </c>
      <c r="S3246">
        <f>L3246-LTP3!$D$3*G3246/k_n</f>
        <v/>
      </c>
      <c r="T3246">
        <f>M3246-LTP3!$D$3*H3246/k_n</f>
        <v/>
      </c>
      <c r="U3246">
        <f>N3246-G3246*LTP3!$D$4/k_n</f>
        <v/>
      </c>
      <c r="V3246">
        <f>O3246-H3246*LTP3!$D$4/k_n</f>
        <v/>
      </c>
      <c r="W3246">
        <f>((LTP3!$D$5)*((P3246)*(Q3246)-(R3246)*(R3246))-(S3246)*((S3246)*(Q3246)-(R3246)*(T3246))+(T3246)*((S3246)*(R3246)-(P3246)*(T3246)))</f>
        <v/>
      </c>
      <c r="X3246">
        <f>IF(ABS(W3246)&gt;1E-12,((LTP3!$D$6)*((P3246)*(Q3246)-(R3246)*(R3246))-(S3246)*((U3246)*(Q3246)-(R3246)*(V3246))+(T3246)*((U3246)*(R3246)-(P3246)*(V3246)))/W3246,0)</f>
        <v/>
      </c>
      <c r="Y3246">
        <f>IF(ABS(W3246)&gt;1E-12,((LTP3!$D$5)*((U3246)*(Q3246)-(R3246)*(V3246))-(LTP3!$D$6)*((S3246)*(Q3246)-(R3246)*(T3246))+(T3246)*((S3246)*(V3246)-(U3246)*(T3246)))/W3246,0)</f>
        <v/>
      </c>
      <c r="Z3246">
        <f>IF(ABS(W3246)&gt;1E-12,((LTP3!$D$5)*((P3246)*(V3246)-(U3246)*(R3246))-(S3246)*((S3246)*(V3246)-(U3246)*(T3246))+(LTP3!$D$6)*((S3246)*(R3246)-(P3246)*(T3246)))/W3246,0)</f>
        <v/>
      </c>
      <c r="AA3246">
        <f>LTP3!$D$7-X3246*LTP3!$D$6-Y3246*U3246-Z3246*V3246</f>
        <v/>
      </c>
      <c r="AB3246">
        <f>IF(AND(F3246,ABS(W3246)&gt;1E-12,Y3246&gt;0,Z3246&gt;0),AA3246,1E+300)</f>
        <v/>
      </c>
    </row>
    <row r="3247">
      <c r="A3247">
        <f>$B$3+$B$5*53</f>
        <v/>
      </c>
      <c r="B3247">
        <f>$B$3+$B$5*2</f>
        <v/>
      </c>
      <c r="C3247">
        <f>SUMPRODUCT(Calc!$K$3:$K$22*(Calc!$G$3:$G$22&lt;=A3247))</f>
        <v/>
      </c>
      <c r="D3247">
        <f>SUMPRODUCT(Calc!$K$3:$K$22*(Calc!$G$3:$G$22&gt;A3247)*(Calc!$G$3:$G$22&lt;B3247))</f>
        <v/>
      </c>
      <c r="E3247">
        <f>SUMPRODUCT(Calc!$K$3:$K$22*(Calc!$G$3:$G$22&gt;=B3247))</f>
        <v/>
      </c>
      <c r="F3247">
        <f>AND(k_n&gt;=5,B3247&gt;A3247+1E-9,C3247&gt;=2,D3247&gt;=1,E3247&gt;=2)</f>
        <v/>
      </c>
      <c r="G3247">
        <f>SUMPRODUCT(Calc!$K$3:$K$22*(Calc!$G$3:$G$22&gt;A3247)*(Calc!$G$3:$G$22-A3247))</f>
        <v/>
      </c>
      <c r="H3247">
        <f>SUMPRODUCT(Calc!$K$3:$K$22*(Calc!$G$3:$G$22&gt;B3247)*(Calc!$G$3:$G$22-B3247))</f>
        <v/>
      </c>
      <c r="I3247">
        <f>SUMPRODUCT(Calc!$K$3:$K$22*(Calc!$G$3:$G$22&gt;A3247)*(Calc!$G$3:$G$22-A3247)^2)</f>
        <v/>
      </c>
      <c r="J3247">
        <f>SUMPRODUCT(Calc!$K$3:$K$22*(Calc!$G$3:$G$22&gt;B3247)*(Calc!$G$3:$G$22-B3247)^2)</f>
        <v/>
      </c>
      <c r="K3247">
        <f>SUMPRODUCT(Calc!$K$3:$K$22*(Calc!$G$3:$G$22&gt;A3247)*(Calc!$G$3:$G$22-A3247)*(Calc!$G$3:$G$22&gt;B3247)*(Calc!$G$3:$G$22-B3247))</f>
        <v/>
      </c>
      <c r="L3247">
        <f>SUMPRODUCT(Calc!$K$3:$K$22*(Calc!$G$3:$G$22&gt;A3247)*(Calc!$G$3:$G$22-A3247)*Calc!$G$3:$G$22)</f>
        <v/>
      </c>
      <c r="M3247">
        <f>SUMPRODUCT(Calc!$K$3:$K$22*(Calc!$G$3:$G$22&gt;B3247)*(Calc!$G$3:$G$22-B3247)*Calc!$G$3:$G$22)</f>
        <v/>
      </c>
      <c r="N3247">
        <f>SUMPRODUCT(Calc!$K$3:$K$22*(Calc!$G$3:$G$22&gt;A3247)*(Calc!$G$3:$G$22-A3247)*Calc!$I$3:$I$22)</f>
        <v/>
      </c>
      <c r="O3247">
        <f>SUMPRODUCT(Calc!$K$3:$K$22*(Calc!$G$3:$G$22&gt;B3247)*(Calc!$G$3:$G$22-B3247)*Calc!$I$3:$I$22)</f>
        <v/>
      </c>
      <c r="P3247">
        <f>I3247-G3247^2/k_n</f>
        <v/>
      </c>
      <c r="Q3247">
        <f>J3247-H3247^2/k_n</f>
        <v/>
      </c>
      <c r="R3247">
        <f>K3247-G3247*H3247/k_n</f>
        <v/>
      </c>
      <c r="S3247">
        <f>L3247-LTP3!$D$3*G3247/k_n</f>
        <v/>
      </c>
      <c r="T3247">
        <f>M3247-LTP3!$D$3*H3247/k_n</f>
        <v/>
      </c>
      <c r="U3247">
        <f>N3247-G3247*LTP3!$D$4/k_n</f>
        <v/>
      </c>
      <c r="V3247">
        <f>O3247-H3247*LTP3!$D$4/k_n</f>
        <v/>
      </c>
      <c r="W3247">
        <f>((LTP3!$D$5)*((P3247)*(Q3247)-(R3247)*(R3247))-(S3247)*((S3247)*(Q3247)-(R3247)*(T3247))+(T3247)*((S3247)*(R3247)-(P3247)*(T3247)))</f>
        <v/>
      </c>
      <c r="X3247">
        <f>IF(ABS(W3247)&gt;1E-12,((LTP3!$D$6)*((P3247)*(Q3247)-(R3247)*(R3247))-(S3247)*((U3247)*(Q3247)-(R3247)*(V3247))+(T3247)*((U3247)*(R3247)-(P3247)*(V3247)))/W3247,0)</f>
        <v/>
      </c>
      <c r="Y3247">
        <f>IF(ABS(W3247)&gt;1E-12,((LTP3!$D$5)*((U3247)*(Q3247)-(R3247)*(V3247))-(LTP3!$D$6)*((S3247)*(Q3247)-(R3247)*(T3247))+(T3247)*((S3247)*(V3247)-(U3247)*(T3247)))/W3247,0)</f>
        <v/>
      </c>
      <c r="Z3247">
        <f>IF(ABS(W3247)&gt;1E-12,((LTP3!$D$5)*((P3247)*(V3247)-(U3247)*(R3247))-(S3247)*((S3247)*(V3247)-(U3247)*(T3247))+(LTP3!$D$6)*((S3247)*(R3247)-(P3247)*(T3247)))/W3247,0)</f>
        <v/>
      </c>
      <c r="AA3247">
        <f>LTP3!$D$7-X3247*LTP3!$D$6-Y3247*U3247-Z3247*V3247</f>
        <v/>
      </c>
      <c r="AB3247">
        <f>IF(AND(F3247,ABS(W3247)&gt;1E-12,Y3247&gt;0,Z3247&gt;0),AA3247,1E+300)</f>
        <v/>
      </c>
    </row>
    <row r="3248">
      <c r="A3248">
        <f>$B$3+$B$5*53</f>
        <v/>
      </c>
      <c r="B3248">
        <f>$B$3+$B$5*3</f>
        <v/>
      </c>
      <c r="C3248">
        <f>SUMPRODUCT(Calc!$K$3:$K$22*(Calc!$G$3:$G$22&lt;=A3248))</f>
        <v/>
      </c>
      <c r="D3248">
        <f>SUMPRODUCT(Calc!$K$3:$K$22*(Calc!$G$3:$G$22&gt;A3248)*(Calc!$G$3:$G$22&lt;B3248))</f>
        <v/>
      </c>
      <c r="E3248">
        <f>SUMPRODUCT(Calc!$K$3:$K$22*(Calc!$G$3:$G$22&gt;=B3248))</f>
        <v/>
      </c>
      <c r="F3248">
        <f>AND(k_n&gt;=5,B3248&gt;A3248+1E-9,C3248&gt;=2,D3248&gt;=1,E3248&gt;=2)</f>
        <v/>
      </c>
      <c r="G3248">
        <f>SUMPRODUCT(Calc!$K$3:$K$22*(Calc!$G$3:$G$22&gt;A3248)*(Calc!$G$3:$G$22-A3248))</f>
        <v/>
      </c>
      <c r="H3248">
        <f>SUMPRODUCT(Calc!$K$3:$K$22*(Calc!$G$3:$G$22&gt;B3248)*(Calc!$G$3:$G$22-B3248))</f>
        <v/>
      </c>
      <c r="I3248">
        <f>SUMPRODUCT(Calc!$K$3:$K$22*(Calc!$G$3:$G$22&gt;A3248)*(Calc!$G$3:$G$22-A3248)^2)</f>
        <v/>
      </c>
      <c r="J3248">
        <f>SUMPRODUCT(Calc!$K$3:$K$22*(Calc!$G$3:$G$22&gt;B3248)*(Calc!$G$3:$G$22-B3248)^2)</f>
        <v/>
      </c>
      <c r="K3248">
        <f>SUMPRODUCT(Calc!$K$3:$K$22*(Calc!$G$3:$G$22&gt;A3248)*(Calc!$G$3:$G$22-A3248)*(Calc!$G$3:$G$22&gt;B3248)*(Calc!$G$3:$G$22-B3248))</f>
        <v/>
      </c>
      <c r="L3248">
        <f>SUMPRODUCT(Calc!$K$3:$K$22*(Calc!$G$3:$G$22&gt;A3248)*(Calc!$G$3:$G$22-A3248)*Calc!$G$3:$G$22)</f>
        <v/>
      </c>
      <c r="M3248">
        <f>SUMPRODUCT(Calc!$K$3:$K$22*(Calc!$G$3:$G$22&gt;B3248)*(Calc!$G$3:$G$22-B3248)*Calc!$G$3:$G$22)</f>
        <v/>
      </c>
      <c r="N3248">
        <f>SUMPRODUCT(Calc!$K$3:$K$22*(Calc!$G$3:$G$22&gt;A3248)*(Calc!$G$3:$G$22-A3248)*Calc!$I$3:$I$22)</f>
        <v/>
      </c>
      <c r="O3248">
        <f>SUMPRODUCT(Calc!$K$3:$K$22*(Calc!$G$3:$G$22&gt;B3248)*(Calc!$G$3:$G$22-B3248)*Calc!$I$3:$I$22)</f>
        <v/>
      </c>
      <c r="P3248">
        <f>I3248-G3248^2/k_n</f>
        <v/>
      </c>
      <c r="Q3248">
        <f>J3248-H3248^2/k_n</f>
        <v/>
      </c>
      <c r="R3248">
        <f>K3248-G3248*H3248/k_n</f>
        <v/>
      </c>
      <c r="S3248">
        <f>L3248-LTP3!$D$3*G3248/k_n</f>
        <v/>
      </c>
      <c r="T3248">
        <f>M3248-LTP3!$D$3*H3248/k_n</f>
        <v/>
      </c>
      <c r="U3248">
        <f>N3248-G3248*LTP3!$D$4/k_n</f>
        <v/>
      </c>
      <c r="V3248">
        <f>O3248-H3248*LTP3!$D$4/k_n</f>
        <v/>
      </c>
      <c r="W3248">
        <f>((LTP3!$D$5)*((P3248)*(Q3248)-(R3248)*(R3248))-(S3248)*((S3248)*(Q3248)-(R3248)*(T3248))+(T3248)*((S3248)*(R3248)-(P3248)*(T3248)))</f>
        <v/>
      </c>
      <c r="X3248">
        <f>IF(ABS(W3248)&gt;1E-12,((LTP3!$D$6)*((P3248)*(Q3248)-(R3248)*(R3248))-(S3248)*((U3248)*(Q3248)-(R3248)*(V3248))+(T3248)*((U3248)*(R3248)-(P3248)*(V3248)))/W3248,0)</f>
        <v/>
      </c>
      <c r="Y3248">
        <f>IF(ABS(W3248)&gt;1E-12,((LTP3!$D$5)*((U3248)*(Q3248)-(R3248)*(V3248))-(LTP3!$D$6)*((S3248)*(Q3248)-(R3248)*(T3248))+(T3248)*((S3248)*(V3248)-(U3248)*(T3248)))/W3248,0)</f>
        <v/>
      </c>
      <c r="Z3248">
        <f>IF(ABS(W3248)&gt;1E-12,((LTP3!$D$5)*((P3248)*(V3248)-(U3248)*(R3248))-(S3248)*((S3248)*(V3248)-(U3248)*(T3248))+(LTP3!$D$6)*((S3248)*(R3248)-(P3248)*(T3248)))/W3248,0)</f>
        <v/>
      </c>
      <c r="AA3248">
        <f>LTP3!$D$7-X3248*LTP3!$D$6-Y3248*U3248-Z3248*V3248</f>
        <v/>
      </c>
      <c r="AB3248">
        <f>IF(AND(F3248,ABS(W3248)&gt;1E-12,Y3248&gt;0,Z3248&gt;0),AA3248,1E+300)</f>
        <v/>
      </c>
    </row>
    <row r="3249">
      <c r="A3249">
        <f>$B$3+$B$5*53</f>
        <v/>
      </c>
      <c r="B3249">
        <f>$B$3+$B$5*4</f>
        <v/>
      </c>
      <c r="C3249">
        <f>SUMPRODUCT(Calc!$K$3:$K$22*(Calc!$G$3:$G$22&lt;=A3249))</f>
        <v/>
      </c>
      <c r="D3249">
        <f>SUMPRODUCT(Calc!$K$3:$K$22*(Calc!$G$3:$G$22&gt;A3249)*(Calc!$G$3:$G$22&lt;B3249))</f>
        <v/>
      </c>
      <c r="E3249">
        <f>SUMPRODUCT(Calc!$K$3:$K$22*(Calc!$G$3:$G$22&gt;=B3249))</f>
        <v/>
      </c>
      <c r="F3249">
        <f>AND(k_n&gt;=5,B3249&gt;A3249+1E-9,C3249&gt;=2,D3249&gt;=1,E3249&gt;=2)</f>
        <v/>
      </c>
      <c r="G3249">
        <f>SUMPRODUCT(Calc!$K$3:$K$22*(Calc!$G$3:$G$22&gt;A3249)*(Calc!$G$3:$G$22-A3249))</f>
        <v/>
      </c>
      <c r="H3249">
        <f>SUMPRODUCT(Calc!$K$3:$K$22*(Calc!$G$3:$G$22&gt;B3249)*(Calc!$G$3:$G$22-B3249))</f>
        <v/>
      </c>
      <c r="I3249">
        <f>SUMPRODUCT(Calc!$K$3:$K$22*(Calc!$G$3:$G$22&gt;A3249)*(Calc!$G$3:$G$22-A3249)^2)</f>
        <v/>
      </c>
      <c r="J3249">
        <f>SUMPRODUCT(Calc!$K$3:$K$22*(Calc!$G$3:$G$22&gt;B3249)*(Calc!$G$3:$G$22-B3249)^2)</f>
        <v/>
      </c>
      <c r="K3249">
        <f>SUMPRODUCT(Calc!$K$3:$K$22*(Calc!$G$3:$G$22&gt;A3249)*(Calc!$G$3:$G$22-A3249)*(Calc!$G$3:$G$22&gt;B3249)*(Calc!$G$3:$G$22-B3249))</f>
        <v/>
      </c>
      <c r="L3249">
        <f>SUMPRODUCT(Calc!$K$3:$K$22*(Calc!$G$3:$G$22&gt;A3249)*(Calc!$G$3:$G$22-A3249)*Calc!$G$3:$G$22)</f>
        <v/>
      </c>
      <c r="M3249">
        <f>SUMPRODUCT(Calc!$K$3:$K$22*(Calc!$G$3:$G$22&gt;B3249)*(Calc!$G$3:$G$22-B3249)*Calc!$G$3:$G$22)</f>
        <v/>
      </c>
      <c r="N3249">
        <f>SUMPRODUCT(Calc!$K$3:$K$22*(Calc!$G$3:$G$22&gt;A3249)*(Calc!$G$3:$G$22-A3249)*Calc!$I$3:$I$22)</f>
        <v/>
      </c>
      <c r="O3249">
        <f>SUMPRODUCT(Calc!$K$3:$K$22*(Calc!$G$3:$G$22&gt;B3249)*(Calc!$G$3:$G$22-B3249)*Calc!$I$3:$I$22)</f>
        <v/>
      </c>
      <c r="P3249">
        <f>I3249-G3249^2/k_n</f>
        <v/>
      </c>
      <c r="Q3249">
        <f>J3249-H3249^2/k_n</f>
        <v/>
      </c>
      <c r="R3249">
        <f>K3249-G3249*H3249/k_n</f>
        <v/>
      </c>
      <c r="S3249">
        <f>L3249-LTP3!$D$3*G3249/k_n</f>
        <v/>
      </c>
      <c r="T3249">
        <f>M3249-LTP3!$D$3*H3249/k_n</f>
        <v/>
      </c>
      <c r="U3249">
        <f>N3249-G3249*LTP3!$D$4/k_n</f>
        <v/>
      </c>
      <c r="V3249">
        <f>O3249-H3249*LTP3!$D$4/k_n</f>
        <v/>
      </c>
      <c r="W3249">
        <f>((LTP3!$D$5)*((P3249)*(Q3249)-(R3249)*(R3249))-(S3249)*((S3249)*(Q3249)-(R3249)*(T3249))+(T3249)*((S3249)*(R3249)-(P3249)*(T3249)))</f>
        <v/>
      </c>
      <c r="X3249">
        <f>IF(ABS(W3249)&gt;1E-12,((LTP3!$D$6)*((P3249)*(Q3249)-(R3249)*(R3249))-(S3249)*((U3249)*(Q3249)-(R3249)*(V3249))+(T3249)*((U3249)*(R3249)-(P3249)*(V3249)))/W3249,0)</f>
        <v/>
      </c>
      <c r="Y3249">
        <f>IF(ABS(W3249)&gt;1E-12,((LTP3!$D$5)*((U3249)*(Q3249)-(R3249)*(V3249))-(LTP3!$D$6)*((S3249)*(Q3249)-(R3249)*(T3249))+(T3249)*((S3249)*(V3249)-(U3249)*(T3249)))/W3249,0)</f>
        <v/>
      </c>
      <c r="Z3249">
        <f>IF(ABS(W3249)&gt;1E-12,((LTP3!$D$5)*((P3249)*(V3249)-(U3249)*(R3249))-(S3249)*((S3249)*(V3249)-(U3249)*(T3249))+(LTP3!$D$6)*((S3249)*(R3249)-(P3249)*(T3249)))/W3249,0)</f>
        <v/>
      </c>
      <c r="AA3249">
        <f>LTP3!$D$7-X3249*LTP3!$D$6-Y3249*U3249-Z3249*V3249</f>
        <v/>
      </c>
      <c r="AB3249">
        <f>IF(AND(F3249,ABS(W3249)&gt;1E-12,Y3249&gt;0,Z3249&gt;0),AA3249,1E+300)</f>
        <v/>
      </c>
    </row>
    <row r="3250">
      <c r="A3250">
        <f>$B$3+$B$5*53</f>
        <v/>
      </c>
      <c r="B3250">
        <f>$B$3+$B$5*5</f>
        <v/>
      </c>
      <c r="C3250">
        <f>SUMPRODUCT(Calc!$K$3:$K$22*(Calc!$G$3:$G$22&lt;=A3250))</f>
        <v/>
      </c>
      <c r="D3250">
        <f>SUMPRODUCT(Calc!$K$3:$K$22*(Calc!$G$3:$G$22&gt;A3250)*(Calc!$G$3:$G$22&lt;B3250))</f>
        <v/>
      </c>
      <c r="E3250">
        <f>SUMPRODUCT(Calc!$K$3:$K$22*(Calc!$G$3:$G$22&gt;=B3250))</f>
        <v/>
      </c>
      <c r="F3250">
        <f>AND(k_n&gt;=5,B3250&gt;A3250+1E-9,C3250&gt;=2,D3250&gt;=1,E3250&gt;=2)</f>
        <v/>
      </c>
      <c r="G3250">
        <f>SUMPRODUCT(Calc!$K$3:$K$22*(Calc!$G$3:$G$22&gt;A3250)*(Calc!$G$3:$G$22-A3250))</f>
        <v/>
      </c>
      <c r="H3250">
        <f>SUMPRODUCT(Calc!$K$3:$K$22*(Calc!$G$3:$G$22&gt;B3250)*(Calc!$G$3:$G$22-B3250))</f>
        <v/>
      </c>
      <c r="I3250">
        <f>SUMPRODUCT(Calc!$K$3:$K$22*(Calc!$G$3:$G$22&gt;A3250)*(Calc!$G$3:$G$22-A3250)^2)</f>
        <v/>
      </c>
      <c r="J3250">
        <f>SUMPRODUCT(Calc!$K$3:$K$22*(Calc!$G$3:$G$22&gt;B3250)*(Calc!$G$3:$G$22-B3250)^2)</f>
        <v/>
      </c>
      <c r="K3250">
        <f>SUMPRODUCT(Calc!$K$3:$K$22*(Calc!$G$3:$G$22&gt;A3250)*(Calc!$G$3:$G$22-A3250)*(Calc!$G$3:$G$22&gt;B3250)*(Calc!$G$3:$G$22-B3250))</f>
        <v/>
      </c>
      <c r="L3250">
        <f>SUMPRODUCT(Calc!$K$3:$K$22*(Calc!$G$3:$G$22&gt;A3250)*(Calc!$G$3:$G$22-A3250)*Calc!$G$3:$G$22)</f>
        <v/>
      </c>
      <c r="M3250">
        <f>SUMPRODUCT(Calc!$K$3:$K$22*(Calc!$G$3:$G$22&gt;B3250)*(Calc!$G$3:$G$22-B3250)*Calc!$G$3:$G$22)</f>
        <v/>
      </c>
      <c r="N3250">
        <f>SUMPRODUCT(Calc!$K$3:$K$22*(Calc!$G$3:$G$22&gt;A3250)*(Calc!$G$3:$G$22-A3250)*Calc!$I$3:$I$22)</f>
        <v/>
      </c>
      <c r="O3250">
        <f>SUMPRODUCT(Calc!$K$3:$K$22*(Calc!$G$3:$G$22&gt;B3250)*(Calc!$G$3:$G$22-B3250)*Calc!$I$3:$I$22)</f>
        <v/>
      </c>
      <c r="P3250">
        <f>I3250-G3250^2/k_n</f>
        <v/>
      </c>
      <c r="Q3250">
        <f>J3250-H3250^2/k_n</f>
        <v/>
      </c>
      <c r="R3250">
        <f>K3250-G3250*H3250/k_n</f>
        <v/>
      </c>
      <c r="S3250">
        <f>L3250-LTP3!$D$3*G3250/k_n</f>
        <v/>
      </c>
      <c r="T3250">
        <f>M3250-LTP3!$D$3*H3250/k_n</f>
        <v/>
      </c>
      <c r="U3250">
        <f>N3250-G3250*LTP3!$D$4/k_n</f>
        <v/>
      </c>
      <c r="V3250">
        <f>O3250-H3250*LTP3!$D$4/k_n</f>
        <v/>
      </c>
      <c r="W3250">
        <f>((LTP3!$D$5)*((P3250)*(Q3250)-(R3250)*(R3250))-(S3250)*((S3250)*(Q3250)-(R3250)*(T3250))+(T3250)*((S3250)*(R3250)-(P3250)*(T3250)))</f>
        <v/>
      </c>
      <c r="X3250">
        <f>IF(ABS(W3250)&gt;1E-12,((LTP3!$D$6)*((P3250)*(Q3250)-(R3250)*(R3250))-(S3250)*((U3250)*(Q3250)-(R3250)*(V3250))+(T3250)*((U3250)*(R3250)-(P3250)*(V3250)))/W3250,0)</f>
        <v/>
      </c>
      <c r="Y3250">
        <f>IF(ABS(W3250)&gt;1E-12,((LTP3!$D$5)*((U3250)*(Q3250)-(R3250)*(V3250))-(LTP3!$D$6)*((S3250)*(Q3250)-(R3250)*(T3250))+(T3250)*((S3250)*(V3250)-(U3250)*(T3250)))/W3250,0)</f>
        <v/>
      </c>
      <c r="Z3250">
        <f>IF(ABS(W3250)&gt;1E-12,((LTP3!$D$5)*((P3250)*(V3250)-(U3250)*(R3250))-(S3250)*((S3250)*(V3250)-(U3250)*(T3250))+(LTP3!$D$6)*((S3250)*(R3250)-(P3250)*(T3250)))/W3250,0)</f>
        <v/>
      </c>
      <c r="AA3250">
        <f>LTP3!$D$7-X3250*LTP3!$D$6-Y3250*U3250-Z3250*V3250</f>
        <v/>
      </c>
      <c r="AB3250">
        <f>IF(AND(F3250,ABS(W3250)&gt;1E-12,Y3250&gt;0,Z3250&gt;0),AA3250,1E+300)</f>
        <v/>
      </c>
    </row>
    <row r="3251">
      <c r="A3251">
        <f>$B$3+$B$5*53</f>
        <v/>
      </c>
      <c r="B3251">
        <f>$B$3+$B$5*6</f>
        <v/>
      </c>
      <c r="C3251">
        <f>SUMPRODUCT(Calc!$K$3:$K$22*(Calc!$G$3:$G$22&lt;=A3251))</f>
        <v/>
      </c>
      <c r="D3251">
        <f>SUMPRODUCT(Calc!$K$3:$K$22*(Calc!$G$3:$G$22&gt;A3251)*(Calc!$G$3:$G$22&lt;B3251))</f>
        <v/>
      </c>
      <c r="E3251">
        <f>SUMPRODUCT(Calc!$K$3:$K$22*(Calc!$G$3:$G$22&gt;=B3251))</f>
        <v/>
      </c>
      <c r="F3251">
        <f>AND(k_n&gt;=5,B3251&gt;A3251+1E-9,C3251&gt;=2,D3251&gt;=1,E3251&gt;=2)</f>
        <v/>
      </c>
      <c r="G3251">
        <f>SUMPRODUCT(Calc!$K$3:$K$22*(Calc!$G$3:$G$22&gt;A3251)*(Calc!$G$3:$G$22-A3251))</f>
        <v/>
      </c>
      <c r="H3251">
        <f>SUMPRODUCT(Calc!$K$3:$K$22*(Calc!$G$3:$G$22&gt;B3251)*(Calc!$G$3:$G$22-B3251))</f>
        <v/>
      </c>
      <c r="I3251">
        <f>SUMPRODUCT(Calc!$K$3:$K$22*(Calc!$G$3:$G$22&gt;A3251)*(Calc!$G$3:$G$22-A3251)^2)</f>
        <v/>
      </c>
      <c r="J3251">
        <f>SUMPRODUCT(Calc!$K$3:$K$22*(Calc!$G$3:$G$22&gt;B3251)*(Calc!$G$3:$G$22-B3251)^2)</f>
        <v/>
      </c>
      <c r="K3251">
        <f>SUMPRODUCT(Calc!$K$3:$K$22*(Calc!$G$3:$G$22&gt;A3251)*(Calc!$G$3:$G$22-A3251)*(Calc!$G$3:$G$22&gt;B3251)*(Calc!$G$3:$G$22-B3251))</f>
        <v/>
      </c>
      <c r="L3251">
        <f>SUMPRODUCT(Calc!$K$3:$K$22*(Calc!$G$3:$G$22&gt;A3251)*(Calc!$G$3:$G$22-A3251)*Calc!$G$3:$G$22)</f>
        <v/>
      </c>
      <c r="M3251">
        <f>SUMPRODUCT(Calc!$K$3:$K$22*(Calc!$G$3:$G$22&gt;B3251)*(Calc!$G$3:$G$22-B3251)*Calc!$G$3:$G$22)</f>
        <v/>
      </c>
      <c r="N3251">
        <f>SUMPRODUCT(Calc!$K$3:$K$22*(Calc!$G$3:$G$22&gt;A3251)*(Calc!$G$3:$G$22-A3251)*Calc!$I$3:$I$22)</f>
        <v/>
      </c>
      <c r="O3251">
        <f>SUMPRODUCT(Calc!$K$3:$K$22*(Calc!$G$3:$G$22&gt;B3251)*(Calc!$G$3:$G$22-B3251)*Calc!$I$3:$I$22)</f>
        <v/>
      </c>
      <c r="P3251">
        <f>I3251-G3251^2/k_n</f>
        <v/>
      </c>
      <c r="Q3251">
        <f>J3251-H3251^2/k_n</f>
        <v/>
      </c>
      <c r="R3251">
        <f>K3251-G3251*H3251/k_n</f>
        <v/>
      </c>
      <c r="S3251">
        <f>L3251-LTP3!$D$3*G3251/k_n</f>
        <v/>
      </c>
      <c r="T3251">
        <f>M3251-LTP3!$D$3*H3251/k_n</f>
        <v/>
      </c>
      <c r="U3251">
        <f>N3251-G3251*LTP3!$D$4/k_n</f>
        <v/>
      </c>
      <c r="V3251">
        <f>O3251-H3251*LTP3!$D$4/k_n</f>
        <v/>
      </c>
      <c r="W3251">
        <f>((LTP3!$D$5)*((P3251)*(Q3251)-(R3251)*(R3251))-(S3251)*((S3251)*(Q3251)-(R3251)*(T3251))+(T3251)*((S3251)*(R3251)-(P3251)*(T3251)))</f>
        <v/>
      </c>
      <c r="X3251">
        <f>IF(ABS(W3251)&gt;1E-12,((LTP3!$D$6)*((P3251)*(Q3251)-(R3251)*(R3251))-(S3251)*((U3251)*(Q3251)-(R3251)*(V3251))+(T3251)*((U3251)*(R3251)-(P3251)*(V3251)))/W3251,0)</f>
        <v/>
      </c>
      <c r="Y3251">
        <f>IF(ABS(W3251)&gt;1E-12,((LTP3!$D$5)*((U3251)*(Q3251)-(R3251)*(V3251))-(LTP3!$D$6)*((S3251)*(Q3251)-(R3251)*(T3251))+(T3251)*((S3251)*(V3251)-(U3251)*(T3251)))/W3251,0)</f>
        <v/>
      </c>
      <c r="Z3251">
        <f>IF(ABS(W3251)&gt;1E-12,((LTP3!$D$5)*((P3251)*(V3251)-(U3251)*(R3251))-(S3251)*((S3251)*(V3251)-(U3251)*(T3251))+(LTP3!$D$6)*((S3251)*(R3251)-(P3251)*(T3251)))/W3251,0)</f>
        <v/>
      </c>
      <c r="AA3251">
        <f>LTP3!$D$7-X3251*LTP3!$D$6-Y3251*U3251-Z3251*V3251</f>
        <v/>
      </c>
      <c r="AB3251">
        <f>IF(AND(F3251,ABS(W3251)&gt;1E-12,Y3251&gt;0,Z3251&gt;0),AA3251,1E+300)</f>
        <v/>
      </c>
    </row>
    <row r="3252">
      <c r="A3252">
        <f>$B$3+$B$5*53</f>
        <v/>
      </c>
      <c r="B3252">
        <f>$B$3+$B$5*7</f>
        <v/>
      </c>
      <c r="C3252">
        <f>SUMPRODUCT(Calc!$K$3:$K$22*(Calc!$G$3:$G$22&lt;=A3252))</f>
        <v/>
      </c>
      <c r="D3252">
        <f>SUMPRODUCT(Calc!$K$3:$K$22*(Calc!$G$3:$G$22&gt;A3252)*(Calc!$G$3:$G$22&lt;B3252))</f>
        <v/>
      </c>
      <c r="E3252">
        <f>SUMPRODUCT(Calc!$K$3:$K$22*(Calc!$G$3:$G$22&gt;=B3252))</f>
        <v/>
      </c>
      <c r="F3252">
        <f>AND(k_n&gt;=5,B3252&gt;A3252+1E-9,C3252&gt;=2,D3252&gt;=1,E3252&gt;=2)</f>
        <v/>
      </c>
      <c r="G3252">
        <f>SUMPRODUCT(Calc!$K$3:$K$22*(Calc!$G$3:$G$22&gt;A3252)*(Calc!$G$3:$G$22-A3252))</f>
        <v/>
      </c>
      <c r="H3252">
        <f>SUMPRODUCT(Calc!$K$3:$K$22*(Calc!$G$3:$G$22&gt;B3252)*(Calc!$G$3:$G$22-B3252))</f>
        <v/>
      </c>
      <c r="I3252">
        <f>SUMPRODUCT(Calc!$K$3:$K$22*(Calc!$G$3:$G$22&gt;A3252)*(Calc!$G$3:$G$22-A3252)^2)</f>
        <v/>
      </c>
      <c r="J3252">
        <f>SUMPRODUCT(Calc!$K$3:$K$22*(Calc!$G$3:$G$22&gt;B3252)*(Calc!$G$3:$G$22-B3252)^2)</f>
        <v/>
      </c>
      <c r="K3252">
        <f>SUMPRODUCT(Calc!$K$3:$K$22*(Calc!$G$3:$G$22&gt;A3252)*(Calc!$G$3:$G$22-A3252)*(Calc!$G$3:$G$22&gt;B3252)*(Calc!$G$3:$G$22-B3252))</f>
        <v/>
      </c>
      <c r="L3252">
        <f>SUMPRODUCT(Calc!$K$3:$K$22*(Calc!$G$3:$G$22&gt;A3252)*(Calc!$G$3:$G$22-A3252)*Calc!$G$3:$G$22)</f>
        <v/>
      </c>
      <c r="M3252">
        <f>SUMPRODUCT(Calc!$K$3:$K$22*(Calc!$G$3:$G$22&gt;B3252)*(Calc!$G$3:$G$22-B3252)*Calc!$G$3:$G$22)</f>
        <v/>
      </c>
      <c r="N3252">
        <f>SUMPRODUCT(Calc!$K$3:$K$22*(Calc!$G$3:$G$22&gt;A3252)*(Calc!$G$3:$G$22-A3252)*Calc!$I$3:$I$22)</f>
        <v/>
      </c>
      <c r="O3252">
        <f>SUMPRODUCT(Calc!$K$3:$K$22*(Calc!$G$3:$G$22&gt;B3252)*(Calc!$G$3:$G$22-B3252)*Calc!$I$3:$I$22)</f>
        <v/>
      </c>
      <c r="P3252">
        <f>I3252-G3252^2/k_n</f>
        <v/>
      </c>
      <c r="Q3252">
        <f>J3252-H3252^2/k_n</f>
        <v/>
      </c>
      <c r="R3252">
        <f>K3252-G3252*H3252/k_n</f>
        <v/>
      </c>
      <c r="S3252">
        <f>L3252-LTP3!$D$3*G3252/k_n</f>
        <v/>
      </c>
      <c r="T3252">
        <f>M3252-LTP3!$D$3*H3252/k_n</f>
        <v/>
      </c>
      <c r="U3252">
        <f>N3252-G3252*LTP3!$D$4/k_n</f>
        <v/>
      </c>
      <c r="V3252">
        <f>O3252-H3252*LTP3!$D$4/k_n</f>
        <v/>
      </c>
      <c r="W3252">
        <f>((LTP3!$D$5)*((P3252)*(Q3252)-(R3252)*(R3252))-(S3252)*((S3252)*(Q3252)-(R3252)*(T3252))+(T3252)*((S3252)*(R3252)-(P3252)*(T3252)))</f>
        <v/>
      </c>
      <c r="X3252">
        <f>IF(ABS(W3252)&gt;1E-12,((LTP3!$D$6)*((P3252)*(Q3252)-(R3252)*(R3252))-(S3252)*((U3252)*(Q3252)-(R3252)*(V3252))+(T3252)*((U3252)*(R3252)-(P3252)*(V3252)))/W3252,0)</f>
        <v/>
      </c>
      <c r="Y3252">
        <f>IF(ABS(W3252)&gt;1E-12,((LTP3!$D$5)*((U3252)*(Q3252)-(R3252)*(V3252))-(LTP3!$D$6)*((S3252)*(Q3252)-(R3252)*(T3252))+(T3252)*((S3252)*(V3252)-(U3252)*(T3252)))/W3252,0)</f>
        <v/>
      </c>
      <c r="Z3252">
        <f>IF(ABS(W3252)&gt;1E-12,((LTP3!$D$5)*((P3252)*(V3252)-(U3252)*(R3252))-(S3252)*((S3252)*(V3252)-(U3252)*(T3252))+(LTP3!$D$6)*((S3252)*(R3252)-(P3252)*(T3252)))/W3252,0)</f>
        <v/>
      </c>
      <c r="AA3252">
        <f>LTP3!$D$7-X3252*LTP3!$D$6-Y3252*U3252-Z3252*V3252</f>
        <v/>
      </c>
      <c r="AB3252">
        <f>IF(AND(F3252,ABS(W3252)&gt;1E-12,Y3252&gt;0,Z3252&gt;0),AA3252,1E+300)</f>
        <v/>
      </c>
    </row>
    <row r="3253">
      <c r="A3253">
        <f>$B$3+$B$5*53</f>
        <v/>
      </c>
      <c r="B3253">
        <f>$B$3+$B$5*8</f>
        <v/>
      </c>
      <c r="C3253">
        <f>SUMPRODUCT(Calc!$K$3:$K$22*(Calc!$G$3:$G$22&lt;=A3253))</f>
        <v/>
      </c>
      <c r="D3253">
        <f>SUMPRODUCT(Calc!$K$3:$K$22*(Calc!$G$3:$G$22&gt;A3253)*(Calc!$G$3:$G$22&lt;B3253))</f>
        <v/>
      </c>
      <c r="E3253">
        <f>SUMPRODUCT(Calc!$K$3:$K$22*(Calc!$G$3:$G$22&gt;=B3253))</f>
        <v/>
      </c>
      <c r="F3253">
        <f>AND(k_n&gt;=5,B3253&gt;A3253+1E-9,C3253&gt;=2,D3253&gt;=1,E3253&gt;=2)</f>
        <v/>
      </c>
      <c r="G3253">
        <f>SUMPRODUCT(Calc!$K$3:$K$22*(Calc!$G$3:$G$22&gt;A3253)*(Calc!$G$3:$G$22-A3253))</f>
        <v/>
      </c>
      <c r="H3253">
        <f>SUMPRODUCT(Calc!$K$3:$K$22*(Calc!$G$3:$G$22&gt;B3253)*(Calc!$G$3:$G$22-B3253))</f>
        <v/>
      </c>
      <c r="I3253">
        <f>SUMPRODUCT(Calc!$K$3:$K$22*(Calc!$G$3:$G$22&gt;A3253)*(Calc!$G$3:$G$22-A3253)^2)</f>
        <v/>
      </c>
      <c r="J3253">
        <f>SUMPRODUCT(Calc!$K$3:$K$22*(Calc!$G$3:$G$22&gt;B3253)*(Calc!$G$3:$G$22-B3253)^2)</f>
        <v/>
      </c>
      <c r="K3253">
        <f>SUMPRODUCT(Calc!$K$3:$K$22*(Calc!$G$3:$G$22&gt;A3253)*(Calc!$G$3:$G$22-A3253)*(Calc!$G$3:$G$22&gt;B3253)*(Calc!$G$3:$G$22-B3253))</f>
        <v/>
      </c>
      <c r="L3253">
        <f>SUMPRODUCT(Calc!$K$3:$K$22*(Calc!$G$3:$G$22&gt;A3253)*(Calc!$G$3:$G$22-A3253)*Calc!$G$3:$G$22)</f>
        <v/>
      </c>
      <c r="M3253">
        <f>SUMPRODUCT(Calc!$K$3:$K$22*(Calc!$G$3:$G$22&gt;B3253)*(Calc!$G$3:$G$22-B3253)*Calc!$G$3:$G$22)</f>
        <v/>
      </c>
      <c r="N3253">
        <f>SUMPRODUCT(Calc!$K$3:$K$22*(Calc!$G$3:$G$22&gt;A3253)*(Calc!$G$3:$G$22-A3253)*Calc!$I$3:$I$22)</f>
        <v/>
      </c>
      <c r="O3253">
        <f>SUMPRODUCT(Calc!$K$3:$K$22*(Calc!$G$3:$G$22&gt;B3253)*(Calc!$G$3:$G$22-B3253)*Calc!$I$3:$I$22)</f>
        <v/>
      </c>
      <c r="P3253">
        <f>I3253-G3253^2/k_n</f>
        <v/>
      </c>
      <c r="Q3253">
        <f>J3253-H3253^2/k_n</f>
        <v/>
      </c>
      <c r="R3253">
        <f>K3253-G3253*H3253/k_n</f>
        <v/>
      </c>
      <c r="S3253">
        <f>L3253-LTP3!$D$3*G3253/k_n</f>
        <v/>
      </c>
      <c r="T3253">
        <f>M3253-LTP3!$D$3*H3253/k_n</f>
        <v/>
      </c>
      <c r="U3253">
        <f>N3253-G3253*LTP3!$D$4/k_n</f>
        <v/>
      </c>
      <c r="V3253">
        <f>O3253-H3253*LTP3!$D$4/k_n</f>
        <v/>
      </c>
      <c r="W3253">
        <f>((LTP3!$D$5)*((P3253)*(Q3253)-(R3253)*(R3253))-(S3253)*((S3253)*(Q3253)-(R3253)*(T3253))+(T3253)*((S3253)*(R3253)-(P3253)*(T3253)))</f>
        <v/>
      </c>
      <c r="X3253">
        <f>IF(ABS(W3253)&gt;1E-12,((LTP3!$D$6)*((P3253)*(Q3253)-(R3253)*(R3253))-(S3253)*((U3253)*(Q3253)-(R3253)*(V3253))+(T3253)*((U3253)*(R3253)-(P3253)*(V3253)))/W3253,0)</f>
        <v/>
      </c>
      <c r="Y3253">
        <f>IF(ABS(W3253)&gt;1E-12,((LTP3!$D$5)*((U3253)*(Q3253)-(R3253)*(V3253))-(LTP3!$D$6)*((S3253)*(Q3253)-(R3253)*(T3253))+(T3253)*((S3253)*(V3253)-(U3253)*(T3253)))/W3253,0)</f>
        <v/>
      </c>
      <c r="Z3253">
        <f>IF(ABS(W3253)&gt;1E-12,((LTP3!$D$5)*((P3253)*(V3253)-(U3253)*(R3253))-(S3253)*((S3253)*(V3253)-(U3253)*(T3253))+(LTP3!$D$6)*((S3253)*(R3253)-(P3253)*(T3253)))/W3253,0)</f>
        <v/>
      </c>
      <c r="AA3253">
        <f>LTP3!$D$7-X3253*LTP3!$D$6-Y3253*U3253-Z3253*V3253</f>
        <v/>
      </c>
      <c r="AB3253">
        <f>IF(AND(F3253,ABS(W3253)&gt;1E-12,Y3253&gt;0,Z3253&gt;0),AA3253,1E+300)</f>
        <v/>
      </c>
    </row>
    <row r="3254">
      <c r="A3254">
        <f>$B$3+$B$5*53</f>
        <v/>
      </c>
      <c r="B3254">
        <f>$B$3+$B$5*9</f>
        <v/>
      </c>
      <c r="C3254">
        <f>SUMPRODUCT(Calc!$K$3:$K$22*(Calc!$G$3:$G$22&lt;=A3254))</f>
        <v/>
      </c>
      <c r="D3254">
        <f>SUMPRODUCT(Calc!$K$3:$K$22*(Calc!$G$3:$G$22&gt;A3254)*(Calc!$G$3:$G$22&lt;B3254))</f>
        <v/>
      </c>
      <c r="E3254">
        <f>SUMPRODUCT(Calc!$K$3:$K$22*(Calc!$G$3:$G$22&gt;=B3254))</f>
        <v/>
      </c>
      <c r="F3254">
        <f>AND(k_n&gt;=5,B3254&gt;A3254+1E-9,C3254&gt;=2,D3254&gt;=1,E3254&gt;=2)</f>
        <v/>
      </c>
      <c r="G3254">
        <f>SUMPRODUCT(Calc!$K$3:$K$22*(Calc!$G$3:$G$22&gt;A3254)*(Calc!$G$3:$G$22-A3254))</f>
        <v/>
      </c>
      <c r="H3254">
        <f>SUMPRODUCT(Calc!$K$3:$K$22*(Calc!$G$3:$G$22&gt;B3254)*(Calc!$G$3:$G$22-B3254))</f>
        <v/>
      </c>
      <c r="I3254">
        <f>SUMPRODUCT(Calc!$K$3:$K$22*(Calc!$G$3:$G$22&gt;A3254)*(Calc!$G$3:$G$22-A3254)^2)</f>
        <v/>
      </c>
      <c r="J3254">
        <f>SUMPRODUCT(Calc!$K$3:$K$22*(Calc!$G$3:$G$22&gt;B3254)*(Calc!$G$3:$G$22-B3254)^2)</f>
        <v/>
      </c>
      <c r="K3254">
        <f>SUMPRODUCT(Calc!$K$3:$K$22*(Calc!$G$3:$G$22&gt;A3254)*(Calc!$G$3:$G$22-A3254)*(Calc!$G$3:$G$22&gt;B3254)*(Calc!$G$3:$G$22-B3254))</f>
        <v/>
      </c>
      <c r="L3254">
        <f>SUMPRODUCT(Calc!$K$3:$K$22*(Calc!$G$3:$G$22&gt;A3254)*(Calc!$G$3:$G$22-A3254)*Calc!$G$3:$G$22)</f>
        <v/>
      </c>
      <c r="M3254">
        <f>SUMPRODUCT(Calc!$K$3:$K$22*(Calc!$G$3:$G$22&gt;B3254)*(Calc!$G$3:$G$22-B3254)*Calc!$G$3:$G$22)</f>
        <v/>
      </c>
      <c r="N3254">
        <f>SUMPRODUCT(Calc!$K$3:$K$22*(Calc!$G$3:$G$22&gt;A3254)*(Calc!$G$3:$G$22-A3254)*Calc!$I$3:$I$22)</f>
        <v/>
      </c>
      <c r="O3254">
        <f>SUMPRODUCT(Calc!$K$3:$K$22*(Calc!$G$3:$G$22&gt;B3254)*(Calc!$G$3:$G$22-B3254)*Calc!$I$3:$I$22)</f>
        <v/>
      </c>
      <c r="P3254">
        <f>I3254-G3254^2/k_n</f>
        <v/>
      </c>
      <c r="Q3254">
        <f>J3254-H3254^2/k_n</f>
        <v/>
      </c>
      <c r="R3254">
        <f>K3254-G3254*H3254/k_n</f>
        <v/>
      </c>
      <c r="S3254">
        <f>L3254-LTP3!$D$3*G3254/k_n</f>
        <v/>
      </c>
      <c r="T3254">
        <f>M3254-LTP3!$D$3*H3254/k_n</f>
        <v/>
      </c>
      <c r="U3254">
        <f>N3254-G3254*LTP3!$D$4/k_n</f>
        <v/>
      </c>
      <c r="V3254">
        <f>O3254-H3254*LTP3!$D$4/k_n</f>
        <v/>
      </c>
      <c r="W3254">
        <f>((LTP3!$D$5)*((P3254)*(Q3254)-(R3254)*(R3254))-(S3254)*((S3254)*(Q3254)-(R3254)*(T3254))+(T3254)*((S3254)*(R3254)-(P3254)*(T3254)))</f>
        <v/>
      </c>
      <c r="X3254">
        <f>IF(ABS(W3254)&gt;1E-12,((LTP3!$D$6)*((P3254)*(Q3254)-(R3254)*(R3254))-(S3254)*((U3254)*(Q3254)-(R3254)*(V3254))+(T3254)*((U3254)*(R3254)-(P3254)*(V3254)))/W3254,0)</f>
        <v/>
      </c>
      <c r="Y3254">
        <f>IF(ABS(W3254)&gt;1E-12,((LTP3!$D$5)*((U3254)*(Q3254)-(R3254)*(V3254))-(LTP3!$D$6)*((S3254)*(Q3254)-(R3254)*(T3254))+(T3254)*((S3254)*(V3254)-(U3254)*(T3254)))/W3254,0)</f>
        <v/>
      </c>
      <c r="Z3254">
        <f>IF(ABS(W3254)&gt;1E-12,((LTP3!$D$5)*((P3254)*(V3254)-(U3254)*(R3254))-(S3254)*((S3254)*(V3254)-(U3254)*(T3254))+(LTP3!$D$6)*((S3254)*(R3254)-(P3254)*(T3254)))/W3254,0)</f>
        <v/>
      </c>
      <c r="AA3254">
        <f>LTP3!$D$7-X3254*LTP3!$D$6-Y3254*U3254-Z3254*V3254</f>
        <v/>
      </c>
      <c r="AB3254">
        <f>IF(AND(F3254,ABS(W3254)&gt;1E-12,Y3254&gt;0,Z3254&gt;0),AA3254,1E+300)</f>
        <v/>
      </c>
    </row>
    <row r="3255">
      <c r="A3255">
        <f>$B$3+$B$5*53</f>
        <v/>
      </c>
      <c r="B3255">
        <f>$B$3+$B$5*10</f>
        <v/>
      </c>
      <c r="C3255">
        <f>SUMPRODUCT(Calc!$K$3:$K$22*(Calc!$G$3:$G$22&lt;=A3255))</f>
        <v/>
      </c>
      <c r="D3255">
        <f>SUMPRODUCT(Calc!$K$3:$K$22*(Calc!$G$3:$G$22&gt;A3255)*(Calc!$G$3:$G$22&lt;B3255))</f>
        <v/>
      </c>
      <c r="E3255">
        <f>SUMPRODUCT(Calc!$K$3:$K$22*(Calc!$G$3:$G$22&gt;=B3255))</f>
        <v/>
      </c>
      <c r="F3255">
        <f>AND(k_n&gt;=5,B3255&gt;A3255+1E-9,C3255&gt;=2,D3255&gt;=1,E3255&gt;=2)</f>
        <v/>
      </c>
      <c r="G3255">
        <f>SUMPRODUCT(Calc!$K$3:$K$22*(Calc!$G$3:$G$22&gt;A3255)*(Calc!$G$3:$G$22-A3255))</f>
        <v/>
      </c>
      <c r="H3255">
        <f>SUMPRODUCT(Calc!$K$3:$K$22*(Calc!$G$3:$G$22&gt;B3255)*(Calc!$G$3:$G$22-B3255))</f>
        <v/>
      </c>
      <c r="I3255">
        <f>SUMPRODUCT(Calc!$K$3:$K$22*(Calc!$G$3:$G$22&gt;A3255)*(Calc!$G$3:$G$22-A3255)^2)</f>
        <v/>
      </c>
      <c r="J3255">
        <f>SUMPRODUCT(Calc!$K$3:$K$22*(Calc!$G$3:$G$22&gt;B3255)*(Calc!$G$3:$G$22-B3255)^2)</f>
        <v/>
      </c>
      <c r="K3255">
        <f>SUMPRODUCT(Calc!$K$3:$K$22*(Calc!$G$3:$G$22&gt;A3255)*(Calc!$G$3:$G$22-A3255)*(Calc!$G$3:$G$22&gt;B3255)*(Calc!$G$3:$G$22-B3255))</f>
        <v/>
      </c>
      <c r="L3255">
        <f>SUMPRODUCT(Calc!$K$3:$K$22*(Calc!$G$3:$G$22&gt;A3255)*(Calc!$G$3:$G$22-A3255)*Calc!$G$3:$G$22)</f>
        <v/>
      </c>
      <c r="M3255">
        <f>SUMPRODUCT(Calc!$K$3:$K$22*(Calc!$G$3:$G$22&gt;B3255)*(Calc!$G$3:$G$22-B3255)*Calc!$G$3:$G$22)</f>
        <v/>
      </c>
      <c r="N3255">
        <f>SUMPRODUCT(Calc!$K$3:$K$22*(Calc!$G$3:$G$22&gt;A3255)*(Calc!$G$3:$G$22-A3255)*Calc!$I$3:$I$22)</f>
        <v/>
      </c>
      <c r="O3255">
        <f>SUMPRODUCT(Calc!$K$3:$K$22*(Calc!$G$3:$G$22&gt;B3255)*(Calc!$G$3:$G$22-B3255)*Calc!$I$3:$I$22)</f>
        <v/>
      </c>
      <c r="P3255">
        <f>I3255-G3255^2/k_n</f>
        <v/>
      </c>
      <c r="Q3255">
        <f>J3255-H3255^2/k_n</f>
        <v/>
      </c>
      <c r="R3255">
        <f>K3255-G3255*H3255/k_n</f>
        <v/>
      </c>
      <c r="S3255">
        <f>L3255-LTP3!$D$3*G3255/k_n</f>
        <v/>
      </c>
      <c r="T3255">
        <f>M3255-LTP3!$D$3*H3255/k_n</f>
        <v/>
      </c>
      <c r="U3255">
        <f>N3255-G3255*LTP3!$D$4/k_n</f>
        <v/>
      </c>
      <c r="V3255">
        <f>O3255-H3255*LTP3!$D$4/k_n</f>
        <v/>
      </c>
      <c r="W3255">
        <f>((LTP3!$D$5)*((P3255)*(Q3255)-(R3255)*(R3255))-(S3255)*((S3255)*(Q3255)-(R3255)*(T3255))+(T3255)*((S3255)*(R3255)-(P3255)*(T3255)))</f>
        <v/>
      </c>
      <c r="X3255">
        <f>IF(ABS(W3255)&gt;1E-12,((LTP3!$D$6)*((P3255)*(Q3255)-(R3255)*(R3255))-(S3255)*((U3255)*(Q3255)-(R3255)*(V3255))+(T3255)*((U3255)*(R3255)-(P3255)*(V3255)))/W3255,0)</f>
        <v/>
      </c>
      <c r="Y3255">
        <f>IF(ABS(W3255)&gt;1E-12,((LTP3!$D$5)*((U3255)*(Q3255)-(R3255)*(V3255))-(LTP3!$D$6)*((S3255)*(Q3255)-(R3255)*(T3255))+(T3255)*((S3255)*(V3255)-(U3255)*(T3255)))/W3255,0)</f>
        <v/>
      </c>
      <c r="Z3255">
        <f>IF(ABS(W3255)&gt;1E-12,((LTP3!$D$5)*((P3255)*(V3255)-(U3255)*(R3255))-(S3255)*((S3255)*(V3255)-(U3255)*(T3255))+(LTP3!$D$6)*((S3255)*(R3255)-(P3255)*(T3255)))/W3255,0)</f>
        <v/>
      </c>
      <c r="AA3255">
        <f>LTP3!$D$7-X3255*LTP3!$D$6-Y3255*U3255-Z3255*V3255</f>
        <v/>
      </c>
      <c r="AB3255">
        <f>IF(AND(F3255,ABS(W3255)&gt;1E-12,Y3255&gt;0,Z3255&gt;0),AA3255,1E+300)</f>
        <v/>
      </c>
    </row>
    <row r="3256">
      <c r="A3256">
        <f>$B$3+$B$5*53</f>
        <v/>
      </c>
      <c r="B3256">
        <f>$B$3+$B$5*11</f>
        <v/>
      </c>
      <c r="C3256">
        <f>SUMPRODUCT(Calc!$K$3:$K$22*(Calc!$G$3:$G$22&lt;=A3256))</f>
        <v/>
      </c>
      <c r="D3256">
        <f>SUMPRODUCT(Calc!$K$3:$K$22*(Calc!$G$3:$G$22&gt;A3256)*(Calc!$G$3:$G$22&lt;B3256))</f>
        <v/>
      </c>
      <c r="E3256">
        <f>SUMPRODUCT(Calc!$K$3:$K$22*(Calc!$G$3:$G$22&gt;=B3256))</f>
        <v/>
      </c>
      <c r="F3256">
        <f>AND(k_n&gt;=5,B3256&gt;A3256+1E-9,C3256&gt;=2,D3256&gt;=1,E3256&gt;=2)</f>
        <v/>
      </c>
      <c r="G3256">
        <f>SUMPRODUCT(Calc!$K$3:$K$22*(Calc!$G$3:$G$22&gt;A3256)*(Calc!$G$3:$G$22-A3256))</f>
        <v/>
      </c>
      <c r="H3256">
        <f>SUMPRODUCT(Calc!$K$3:$K$22*(Calc!$G$3:$G$22&gt;B3256)*(Calc!$G$3:$G$22-B3256))</f>
        <v/>
      </c>
      <c r="I3256">
        <f>SUMPRODUCT(Calc!$K$3:$K$22*(Calc!$G$3:$G$22&gt;A3256)*(Calc!$G$3:$G$22-A3256)^2)</f>
        <v/>
      </c>
      <c r="J3256">
        <f>SUMPRODUCT(Calc!$K$3:$K$22*(Calc!$G$3:$G$22&gt;B3256)*(Calc!$G$3:$G$22-B3256)^2)</f>
        <v/>
      </c>
      <c r="K3256">
        <f>SUMPRODUCT(Calc!$K$3:$K$22*(Calc!$G$3:$G$22&gt;A3256)*(Calc!$G$3:$G$22-A3256)*(Calc!$G$3:$G$22&gt;B3256)*(Calc!$G$3:$G$22-B3256))</f>
        <v/>
      </c>
      <c r="L3256">
        <f>SUMPRODUCT(Calc!$K$3:$K$22*(Calc!$G$3:$G$22&gt;A3256)*(Calc!$G$3:$G$22-A3256)*Calc!$G$3:$G$22)</f>
        <v/>
      </c>
      <c r="M3256">
        <f>SUMPRODUCT(Calc!$K$3:$K$22*(Calc!$G$3:$G$22&gt;B3256)*(Calc!$G$3:$G$22-B3256)*Calc!$G$3:$G$22)</f>
        <v/>
      </c>
      <c r="N3256">
        <f>SUMPRODUCT(Calc!$K$3:$K$22*(Calc!$G$3:$G$22&gt;A3256)*(Calc!$G$3:$G$22-A3256)*Calc!$I$3:$I$22)</f>
        <v/>
      </c>
      <c r="O3256">
        <f>SUMPRODUCT(Calc!$K$3:$K$22*(Calc!$G$3:$G$22&gt;B3256)*(Calc!$G$3:$G$22-B3256)*Calc!$I$3:$I$22)</f>
        <v/>
      </c>
      <c r="P3256">
        <f>I3256-G3256^2/k_n</f>
        <v/>
      </c>
      <c r="Q3256">
        <f>J3256-H3256^2/k_n</f>
        <v/>
      </c>
      <c r="R3256">
        <f>K3256-G3256*H3256/k_n</f>
        <v/>
      </c>
      <c r="S3256">
        <f>L3256-LTP3!$D$3*G3256/k_n</f>
        <v/>
      </c>
      <c r="T3256">
        <f>M3256-LTP3!$D$3*H3256/k_n</f>
        <v/>
      </c>
      <c r="U3256">
        <f>N3256-G3256*LTP3!$D$4/k_n</f>
        <v/>
      </c>
      <c r="V3256">
        <f>O3256-H3256*LTP3!$D$4/k_n</f>
        <v/>
      </c>
      <c r="W3256">
        <f>((LTP3!$D$5)*((P3256)*(Q3256)-(R3256)*(R3256))-(S3256)*((S3256)*(Q3256)-(R3256)*(T3256))+(T3256)*((S3256)*(R3256)-(P3256)*(T3256)))</f>
        <v/>
      </c>
      <c r="X3256">
        <f>IF(ABS(W3256)&gt;1E-12,((LTP3!$D$6)*((P3256)*(Q3256)-(R3256)*(R3256))-(S3256)*((U3256)*(Q3256)-(R3256)*(V3256))+(T3256)*((U3256)*(R3256)-(P3256)*(V3256)))/W3256,0)</f>
        <v/>
      </c>
      <c r="Y3256">
        <f>IF(ABS(W3256)&gt;1E-12,((LTP3!$D$5)*((U3256)*(Q3256)-(R3256)*(V3256))-(LTP3!$D$6)*((S3256)*(Q3256)-(R3256)*(T3256))+(T3256)*((S3256)*(V3256)-(U3256)*(T3256)))/W3256,0)</f>
        <v/>
      </c>
      <c r="Z3256">
        <f>IF(ABS(W3256)&gt;1E-12,((LTP3!$D$5)*((P3256)*(V3256)-(U3256)*(R3256))-(S3256)*((S3256)*(V3256)-(U3256)*(T3256))+(LTP3!$D$6)*((S3256)*(R3256)-(P3256)*(T3256)))/W3256,0)</f>
        <v/>
      </c>
      <c r="AA3256">
        <f>LTP3!$D$7-X3256*LTP3!$D$6-Y3256*U3256-Z3256*V3256</f>
        <v/>
      </c>
      <c r="AB3256">
        <f>IF(AND(F3256,ABS(W3256)&gt;1E-12,Y3256&gt;0,Z3256&gt;0),AA3256,1E+300)</f>
        <v/>
      </c>
    </row>
    <row r="3257">
      <c r="A3257">
        <f>$B$3+$B$5*53</f>
        <v/>
      </c>
      <c r="B3257">
        <f>$B$3+$B$5*12</f>
        <v/>
      </c>
      <c r="C3257">
        <f>SUMPRODUCT(Calc!$K$3:$K$22*(Calc!$G$3:$G$22&lt;=A3257))</f>
        <v/>
      </c>
      <c r="D3257">
        <f>SUMPRODUCT(Calc!$K$3:$K$22*(Calc!$G$3:$G$22&gt;A3257)*(Calc!$G$3:$G$22&lt;B3257))</f>
        <v/>
      </c>
      <c r="E3257">
        <f>SUMPRODUCT(Calc!$K$3:$K$22*(Calc!$G$3:$G$22&gt;=B3257))</f>
        <v/>
      </c>
      <c r="F3257">
        <f>AND(k_n&gt;=5,B3257&gt;A3257+1E-9,C3257&gt;=2,D3257&gt;=1,E3257&gt;=2)</f>
        <v/>
      </c>
      <c r="G3257">
        <f>SUMPRODUCT(Calc!$K$3:$K$22*(Calc!$G$3:$G$22&gt;A3257)*(Calc!$G$3:$G$22-A3257))</f>
        <v/>
      </c>
      <c r="H3257">
        <f>SUMPRODUCT(Calc!$K$3:$K$22*(Calc!$G$3:$G$22&gt;B3257)*(Calc!$G$3:$G$22-B3257))</f>
        <v/>
      </c>
      <c r="I3257">
        <f>SUMPRODUCT(Calc!$K$3:$K$22*(Calc!$G$3:$G$22&gt;A3257)*(Calc!$G$3:$G$22-A3257)^2)</f>
        <v/>
      </c>
      <c r="J3257">
        <f>SUMPRODUCT(Calc!$K$3:$K$22*(Calc!$G$3:$G$22&gt;B3257)*(Calc!$G$3:$G$22-B3257)^2)</f>
        <v/>
      </c>
      <c r="K3257">
        <f>SUMPRODUCT(Calc!$K$3:$K$22*(Calc!$G$3:$G$22&gt;A3257)*(Calc!$G$3:$G$22-A3257)*(Calc!$G$3:$G$22&gt;B3257)*(Calc!$G$3:$G$22-B3257))</f>
        <v/>
      </c>
      <c r="L3257">
        <f>SUMPRODUCT(Calc!$K$3:$K$22*(Calc!$G$3:$G$22&gt;A3257)*(Calc!$G$3:$G$22-A3257)*Calc!$G$3:$G$22)</f>
        <v/>
      </c>
      <c r="M3257">
        <f>SUMPRODUCT(Calc!$K$3:$K$22*(Calc!$G$3:$G$22&gt;B3257)*(Calc!$G$3:$G$22-B3257)*Calc!$G$3:$G$22)</f>
        <v/>
      </c>
      <c r="N3257">
        <f>SUMPRODUCT(Calc!$K$3:$K$22*(Calc!$G$3:$G$22&gt;A3257)*(Calc!$G$3:$G$22-A3257)*Calc!$I$3:$I$22)</f>
        <v/>
      </c>
      <c r="O3257">
        <f>SUMPRODUCT(Calc!$K$3:$K$22*(Calc!$G$3:$G$22&gt;B3257)*(Calc!$G$3:$G$22-B3257)*Calc!$I$3:$I$22)</f>
        <v/>
      </c>
      <c r="P3257">
        <f>I3257-G3257^2/k_n</f>
        <v/>
      </c>
      <c r="Q3257">
        <f>J3257-H3257^2/k_n</f>
        <v/>
      </c>
      <c r="R3257">
        <f>K3257-G3257*H3257/k_n</f>
        <v/>
      </c>
      <c r="S3257">
        <f>L3257-LTP3!$D$3*G3257/k_n</f>
        <v/>
      </c>
      <c r="T3257">
        <f>M3257-LTP3!$D$3*H3257/k_n</f>
        <v/>
      </c>
      <c r="U3257">
        <f>N3257-G3257*LTP3!$D$4/k_n</f>
        <v/>
      </c>
      <c r="V3257">
        <f>O3257-H3257*LTP3!$D$4/k_n</f>
        <v/>
      </c>
      <c r="W3257">
        <f>((LTP3!$D$5)*((P3257)*(Q3257)-(R3257)*(R3257))-(S3257)*((S3257)*(Q3257)-(R3257)*(T3257))+(T3257)*((S3257)*(R3257)-(P3257)*(T3257)))</f>
        <v/>
      </c>
      <c r="X3257">
        <f>IF(ABS(W3257)&gt;1E-12,((LTP3!$D$6)*((P3257)*(Q3257)-(R3257)*(R3257))-(S3257)*((U3257)*(Q3257)-(R3257)*(V3257))+(T3257)*((U3257)*(R3257)-(P3257)*(V3257)))/W3257,0)</f>
        <v/>
      </c>
      <c r="Y3257">
        <f>IF(ABS(W3257)&gt;1E-12,((LTP3!$D$5)*((U3257)*(Q3257)-(R3257)*(V3257))-(LTP3!$D$6)*((S3257)*(Q3257)-(R3257)*(T3257))+(T3257)*((S3257)*(V3257)-(U3257)*(T3257)))/W3257,0)</f>
        <v/>
      </c>
      <c r="Z3257">
        <f>IF(ABS(W3257)&gt;1E-12,((LTP3!$D$5)*((P3257)*(V3257)-(U3257)*(R3257))-(S3257)*((S3257)*(V3257)-(U3257)*(T3257))+(LTP3!$D$6)*((S3257)*(R3257)-(P3257)*(T3257)))/W3257,0)</f>
        <v/>
      </c>
      <c r="AA3257">
        <f>LTP3!$D$7-X3257*LTP3!$D$6-Y3257*U3257-Z3257*V3257</f>
        <v/>
      </c>
      <c r="AB3257">
        <f>IF(AND(F3257,ABS(W3257)&gt;1E-12,Y3257&gt;0,Z3257&gt;0),AA3257,1E+300)</f>
        <v/>
      </c>
    </row>
    <row r="3258">
      <c r="A3258">
        <f>$B$3+$B$5*53</f>
        <v/>
      </c>
      <c r="B3258">
        <f>$B$3+$B$5*13</f>
        <v/>
      </c>
      <c r="C3258">
        <f>SUMPRODUCT(Calc!$K$3:$K$22*(Calc!$G$3:$G$22&lt;=A3258))</f>
        <v/>
      </c>
      <c r="D3258">
        <f>SUMPRODUCT(Calc!$K$3:$K$22*(Calc!$G$3:$G$22&gt;A3258)*(Calc!$G$3:$G$22&lt;B3258))</f>
        <v/>
      </c>
      <c r="E3258">
        <f>SUMPRODUCT(Calc!$K$3:$K$22*(Calc!$G$3:$G$22&gt;=B3258))</f>
        <v/>
      </c>
      <c r="F3258">
        <f>AND(k_n&gt;=5,B3258&gt;A3258+1E-9,C3258&gt;=2,D3258&gt;=1,E3258&gt;=2)</f>
        <v/>
      </c>
      <c r="G3258">
        <f>SUMPRODUCT(Calc!$K$3:$K$22*(Calc!$G$3:$G$22&gt;A3258)*(Calc!$G$3:$G$22-A3258))</f>
        <v/>
      </c>
      <c r="H3258">
        <f>SUMPRODUCT(Calc!$K$3:$K$22*(Calc!$G$3:$G$22&gt;B3258)*(Calc!$G$3:$G$22-B3258))</f>
        <v/>
      </c>
      <c r="I3258">
        <f>SUMPRODUCT(Calc!$K$3:$K$22*(Calc!$G$3:$G$22&gt;A3258)*(Calc!$G$3:$G$22-A3258)^2)</f>
        <v/>
      </c>
      <c r="J3258">
        <f>SUMPRODUCT(Calc!$K$3:$K$22*(Calc!$G$3:$G$22&gt;B3258)*(Calc!$G$3:$G$22-B3258)^2)</f>
        <v/>
      </c>
      <c r="K3258">
        <f>SUMPRODUCT(Calc!$K$3:$K$22*(Calc!$G$3:$G$22&gt;A3258)*(Calc!$G$3:$G$22-A3258)*(Calc!$G$3:$G$22&gt;B3258)*(Calc!$G$3:$G$22-B3258))</f>
        <v/>
      </c>
      <c r="L3258">
        <f>SUMPRODUCT(Calc!$K$3:$K$22*(Calc!$G$3:$G$22&gt;A3258)*(Calc!$G$3:$G$22-A3258)*Calc!$G$3:$G$22)</f>
        <v/>
      </c>
      <c r="M3258">
        <f>SUMPRODUCT(Calc!$K$3:$K$22*(Calc!$G$3:$G$22&gt;B3258)*(Calc!$G$3:$G$22-B3258)*Calc!$G$3:$G$22)</f>
        <v/>
      </c>
      <c r="N3258">
        <f>SUMPRODUCT(Calc!$K$3:$K$22*(Calc!$G$3:$G$22&gt;A3258)*(Calc!$G$3:$G$22-A3258)*Calc!$I$3:$I$22)</f>
        <v/>
      </c>
      <c r="O3258">
        <f>SUMPRODUCT(Calc!$K$3:$K$22*(Calc!$G$3:$G$22&gt;B3258)*(Calc!$G$3:$G$22-B3258)*Calc!$I$3:$I$22)</f>
        <v/>
      </c>
      <c r="P3258">
        <f>I3258-G3258^2/k_n</f>
        <v/>
      </c>
      <c r="Q3258">
        <f>J3258-H3258^2/k_n</f>
        <v/>
      </c>
      <c r="R3258">
        <f>K3258-G3258*H3258/k_n</f>
        <v/>
      </c>
      <c r="S3258">
        <f>L3258-LTP3!$D$3*G3258/k_n</f>
        <v/>
      </c>
      <c r="T3258">
        <f>M3258-LTP3!$D$3*H3258/k_n</f>
        <v/>
      </c>
      <c r="U3258">
        <f>N3258-G3258*LTP3!$D$4/k_n</f>
        <v/>
      </c>
      <c r="V3258">
        <f>O3258-H3258*LTP3!$D$4/k_n</f>
        <v/>
      </c>
      <c r="W3258">
        <f>((LTP3!$D$5)*((P3258)*(Q3258)-(R3258)*(R3258))-(S3258)*((S3258)*(Q3258)-(R3258)*(T3258))+(T3258)*((S3258)*(R3258)-(P3258)*(T3258)))</f>
        <v/>
      </c>
      <c r="X3258">
        <f>IF(ABS(W3258)&gt;1E-12,((LTP3!$D$6)*((P3258)*(Q3258)-(R3258)*(R3258))-(S3258)*((U3258)*(Q3258)-(R3258)*(V3258))+(T3258)*((U3258)*(R3258)-(P3258)*(V3258)))/W3258,0)</f>
        <v/>
      </c>
      <c r="Y3258">
        <f>IF(ABS(W3258)&gt;1E-12,((LTP3!$D$5)*((U3258)*(Q3258)-(R3258)*(V3258))-(LTP3!$D$6)*((S3258)*(Q3258)-(R3258)*(T3258))+(T3258)*((S3258)*(V3258)-(U3258)*(T3258)))/W3258,0)</f>
        <v/>
      </c>
      <c r="Z3258">
        <f>IF(ABS(W3258)&gt;1E-12,((LTP3!$D$5)*((P3258)*(V3258)-(U3258)*(R3258))-(S3258)*((S3258)*(V3258)-(U3258)*(T3258))+(LTP3!$D$6)*((S3258)*(R3258)-(P3258)*(T3258)))/W3258,0)</f>
        <v/>
      </c>
      <c r="AA3258">
        <f>LTP3!$D$7-X3258*LTP3!$D$6-Y3258*U3258-Z3258*V3258</f>
        <v/>
      </c>
      <c r="AB3258">
        <f>IF(AND(F3258,ABS(W3258)&gt;1E-12,Y3258&gt;0,Z3258&gt;0),AA3258,1E+300)</f>
        <v/>
      </c>
    </row>
    <row r="3259">
      <c r="A3259">
        <f>$B$3+$B$5*53</f>
        <v/>
      </c>
      <c r="B3259">
        <f>$B$3+$B$5*14</f>
        <v/>
      </c>
      <c r="C3259">
        <f>SUMPRODUCT(Calc!$K$3:$K$22*(Calc!$G$3:$G$22&lt;=A3259))</f>
        <v/>
      </c>
      <c r="D3259">
        <f>SUMPRODUCT(Calc!$K$3:$K$22*(Calc!$G$3:$G$22&gt;A3259)*(Calc!$G$3:$G$22&lt;B3259))</f>
        <v/>
      </c>
      <c r="E3259">
        <f>SUMPRODUCT(Calc!$K$3:$K$22*(Calc!$G$3:$G$22&gt;=B3259))</f>
        <v/>
      </c>
      <c r="F3259">
        <f>AND(k_n&gt;=5,B3259&gt;A3259+1E-9,C3259&gt;=2,D3259&gt;=1,E3259&gt;=2)</f>
        <v/>
      </c>
      <c r="G3259">
        <f>SUMPRODUCT(Calc!$K$3:$K$22*(Calc!$G$3:$G$22&gt;A3259)*(Calc!$G$3:$G$22-A3259))</f>
        <v/>
      </c>
      <c r="H3259">
        <f>SUMPRODUCT(Calc!$K$3:$K$22*(Calc!$G$3:$G$22&gt;B3259)*(Calc!$G$3:$G$22-B3259))</f>
        <v/>
      </c>
      <c r="I3259">
        <f>SUMPRODUCT(Calc!$K$3:$K$22*(Calc!$G$3:$G$22&gt;A3259)*(Calc!$G$3:$G$22-A3259)^2)</f>
        <v/>
      </c>
      <c r="J3259">
        <f>SUMPRODUCT(Calc!$K$3:$K$22*(Calc!$G$3:$G$22&gt;B3259)*(Calc!$G$3:$G$22-B3259)^2)</f>
        <v/>
      </c>
      <c r="K3259">
        <f>SUMPRODUCT(Calc!$K$3:$K$22*(Calc!$G$3:$G$22&gt;A3259)*(Calc!$G$3:$G$22-A3259)*(Calc!$G$3:$G$22&gt;B3259)*(Calc!$G$3:$G$22-B3259))</f>
        <v/>
      </c>
      <c r="L3259">
        <f>SUMPRODUCT(Calc!$K$3:$K$22*(Calc!$G$3:$G$22&gt;A3259)*(Calc!$G$3:$G$22-A3259)*Calc!$G$3:$G$22)</f>
        <v/>
      </c>
      <c r="M3259">
        <f>SUMPRODUCT(Calc!$K$3:$K$22*(Calc!$G$3:$G$22&gt;B3259)*(Calc!$G$3:$G$22-B3259)*Calc!$G$3:$G$22)</f>
        <v/>
      </c>
      <c r="N3259">
        <f>SUMPRODUCT(Calc!$K$3:$K$22*(Calc!$G$3:$G$22&gt;A3259)*(Calc!$G$3:$G$22-A3259)*Calc!$I$3:$I$22)</f>
        <v/>
      </c>
      <c r="O3259">
        <f>SUMPRODUCT(Calc!$K$3:$K$22*(Calc!$G$3:$G$22&gt;B3259)*(Calc!$G$3:$G$22-B3259)*Calc!$I$3:$I$22)</f>
        <v/>
      </c>
      <c r="P3259">
        <f>I3259-G3259^2/k_n</f>
        <v/>
      </c>
      <c r="Q3259">
        <f>J3259-H3259^2/k_n</f>
        <v/>
      </c>
      <c r="R3259">
        <f>K3259-G3259*H3259/k_n</f>
        <v/>
      </c>
      <c r="S3259">
        <f>L3259-LTP3!$D$3*G3259/k_n</f>
        <v/>
      </c>
      <c r="T3259">
        <f>M3259-LTP3!$D$3*H3259/k_n</f>
        <v/>
      </c>
      <c r="U3259">
        <f>N3259-G3259*LTP3!$D$4/k_n</f>
        <v/>
      </c>
      <c r="V3259">
        <f>O3259-H3259*LTP3!$D$4/k_n</f>
        <v/>
      </c>
      <c r="W3259">
        <f>((LTP3!$D$5)*((P3259)*(Q3259)-(R3259)*(R3259))-(S3259)*((S3259)*(Q3259)-(R3259)*(T3259))+(T3259)*((S3259)*(R3259)-(P3259)*(T3259)))</f>
        <v/>
      </c>
      <c r="X3259">
        <f>IF(ABS(W3259)&gt;1E-12,((LTP3!$D$6)*((P3259)*(Q3259)-(R3259)*(R3259))-(S3259)*((U3259)*(Q3259)-(R3259)*(V3259))+(T3259)*((U3259)*(R3259)-(P3259)*(V3259)))/W3259,0)</f>
        <v/>
      </c>
      <c r="Y3259">
        <f>IF(ABS(W3259)&gt;1E-12,((LTP3!$D$5)*((U3259)*(Q3259)-(R3259)*(V3259))-(LTP3!$D$6)*((S3259)*(Q3259)-(R3259)*(T3259))+(T3259)*((S3259)*(V3259)-(U3259)*(T3259)))/W3259,0)</f>
        <v/>
      </c>
      <c r="Z3259">
        <f>IF(ABS(W3259)&gt;1E-12,((LTP3!$D$5)*((P3259)*(V3259)-(U3259)*(R3259))-(S3259)*((S3259)*(V3259)-(U3259)*(T3259))+(LTP3!$D$6)*((S3259)*(R3259)-(P3259)*(T3259)))/W3259,0)</f>
        <v/>
      </c>
      <c r="AA3259">
        <f>LTP3!$D$7-X3259*LTP3!$D$6-Y3259*U3259-Z3259*V3259</f>
        <v/>
      </c>
      <c r="AB3259">
        <f>IF(AND(F3259,ABS(W3259)&gt;1E-12,Y3259&gt;0,Z3259&gt;0),AA3259,1E+300)</f>
        <v/>
      </c>
    </row>
    <row r="3260">
      <c r="A3260">
        <f>$B$3+$B$5*53</f>
        <v/>
      </c>
      <c r="B3260">
        <f>$B$3+$B$5*15</f>
        <v/>
      </c>
      <c r="C3260">
        <f>SUMPRODUCT(Calc!$K$3:$K$22*(Calc!$G$3:$G$22&lt;=A3260))</f>
        <v/>
      </c>
      <c r="D3260">
        <f>SUMPRODUCT(Calc!$K$3:$K$22*(Calc!$G$3:$G$22&gt;A3260)*(Calc!$G$3:$G$22&lt;B3260))</f>
        <v/>
      </c>
      <c r="E3260">
        <f>SUMPRODUCT(Calc!$K$3:$K$22*(Calc!$G$3:$G$22&gt;=B3260))</f>
        <v/>
      </c>
      <c r="F3260">
        <f>AND(k_n&gt;=5,B3260&gt;A3260+1E-9,C3260&gt;=2,D3260&gt;=1,E3260&gt;=2)</f>
        <v/>
      </c>
      <c r="G3260">
        <f>SUMPRODUCT(Calc!$K$3:$K$22*(Calc!$G$3:$G$22&gt;A3260)*(Calc!$G$3:$G$22-A3260))</f>
        <v/>
      </c>
      <c r="H3260">
        <f>SUMPRODUCT(Calc!$K$3:$K$22*(Calc!$G$3:$G$22&gt;B3260)*(Calc!$G$3:$G$22-B3260))</f>
        <v/>
      </c>
      <c r="I3260">
        <f>SUMPRODUCT(Calc!$K$3:$K$22*(Calc!$G$3:$G$22&gt;A3260)*(Calc!$G$3:$G$22-A3260)^2)</f>
        <v/>
      </c>
      <c r="J3260">
        <f>SUMPRODUCT(Calc!$K$3:$K$22*(Calc!$G$3:$G$22&gt;B3260)*(Calc!$G$3:$G$22-B3260)^2)</f>
        <v/>
      </c>
      <c r="K3260">
        <f>SUMPRODUCT(Calc!$K$3:$K$22*(Calc!$G$3:$G$22&gt;A3260)*(Calc!$G$3:$G$22-A3260)*(Calc!$G$3:$G$22&gt;B3260)*(Calc!$G$3:$G$22-B3260))</f>
        <v/>
      </c>
      <c r="L3260">
        <f>SUMPRODUCT(Calc!$K$3:$K$22*(Calc!$G$3:$G$22&gt;A3260)*(Calc!$G$3:$G$22-A3260)*Calc!$G$3:$G$22)</f>
        <v/>
      </c>
      <c r="M3260">
        <f>SUMPRODUCT(Calc!$K$3:$K$22*(Calc!$G$3:$G$22&gt;B3260)*(Calc!$G$3:$G$22-B3260)*Calc!$G$3:$G$22)</f>
        <v/>
      </c>
      <c r="N3260">
        <f>SUMPRODUCT(Calc!$K$3:$K$22*(Calc!$G$3:$G$22&gt;A3260)*(Calc!$G$3:$G$22-A3260)*Calc!$I$3:$I$22)</f>
        <v/>
      </c>
      <c r="O3260">
        <f>SUMPRODUCT(Calc!$K$3:$K$22*(Calc!$G$3:$G$22&gt;B3260)*(Calc!$G$3:$G$22-B3260)*Calc!$I$3:$I$22)</f>
        <v/>
      </c>
      <c r="P3260">
        <f>I3260-G3260^2/k_n</f>
        <v/>
      </c>
      <c r="Q3260">
        <f>J3260-H3260^2/k_n</f>
        <v/>
      </c>
      <c r="R3260">
        <f>K3260-G3260*H3260/k_n</f>
        <v/>
      </c>
      <c r="S3260">
        <f>L3260-LTP3!$D$3*G3260/k_n</f>
        <v/>
      </c>
      <c r="T3260">
        <f>M3260-LTP3!$D$3*H3260/k_n</f>
        <v/>
      </c>
      <c r="U3260">
        <f>N3260-G3260*LTP3!$D$4/k_n</f>
        <v/>
      </c>
      <c r="V3260">
        <f>O3260-H3260*LTP3!$D$4/k_n</f>
        <v/>
      </c>
      <c r="W3260">
        <f>((LTP3!$D$5)*((P3260)*(Q3260)-(R3260)*(R3260))-(S3260)*((S3260)*(Q3260)-(R3260)*(T3260))+(T3260)*((S3260)*(R3260)-(P3260)*(T3260)))</f>
        <v/>
      </c>
      <c r="X3260">
        <f>IF(ABS(W3260)&gt;1E-12,((LTP3!$D$6)*((P3260)*(Q3260)-(R3260)*(R3260))-(S3260)*((U3260)*(Q3260)-(R3260)*(V3260))+(T3260)*((U3260)*(R3260)-(P3260)*(V3260)))/W3260,0)</f>
        <v/>
      </c>
      <c r="Y3260">
        <f>IF(ABS(W3260)&gt;1E-12,((LTP3!$D$5)*((U3260)*(Q3260)-(R3260)*(V3260))-(LTP3!$D$6)*((S3260)*(Q3260)-(R3260)*(T3260))+(T3260)*((S3260)*(V3260)-(U3260)*(T3260)))/W3260,0)</f>
        <v/>
      </c>
      <c r="Z3260">
        <f>IF(ABS(W3260)&gt;1E-12,((LTP3!$D$5)*((P3260)*(V3260)-(U3260)*(R3260))-(S3260)*((S3260)*(V3260)-(U3260)*(T3260))+(LTP3!$D$6)*((S3260)*(R3260)-(P3260)*(T3260)))/W3260,0)</f>
        <v/>
      </c>
      <c r="AA3260">
        <f>LTP3!$D$7-X3260*LTP3!$D$6-Y3260*U3260-Z3260*V3260</f>
        <v/>
      </c>
      <c r="AB3260">
        <f>IF(AND(F3260,ABS(W3260)&gt;1E-12,Y3260&gt;0,Z3260&gt;0),AA3260,1E+300)</f>
        <v/>
      </c>
    </row>
    <row r="3261">
      <c r="A3261">
        <f>$B$3+$B$5*53</f>
        <v/>
      </c>
      <c r="B3261">
        <f>$B$3+$B$5*16</f>
        <v/>
      </c>
      <c r="C3261">
        <f>SUMPRODUCT(Calc!$K$3:$K$22*(Calc!$G$3:$G$22&lt;=A3261))</f>
        <v/>
      </c>
      <c r="D3261">
        <f>SUMPRODUCT(Calc!$K$3:$K$22*(Calc!$G$3:$G$22&gt;A3261)*(Calc!$G$3:$G$22&lt;B3261))</f>
        <v/>
      </c>
      <c r="E3261">
        <f>SUMPRODUCT(Calc!$K$3:$K$22*(Calc!$G$3:$G$22&gt;=B3261))</f>
        <v/>
      </c>
      <c r="F3261">
        <f>AND(k_n&gt;=5,B3261&gt;A3261+1E-9,C3261&gt;=2,D3261&gt;=1,E3261&gt;=2)</f>
        <v/>
      </c>
      <c r="G3261">
        <f>SUMPRODUCT(Calc!$K$3:$K$22*(Calc!$G$3:$G$22&gt;A3261)*(Calc!$G$3:$G$22-A3261))</f>
        <v/>
      </c>
      <c r="H3261">
        <f>SUMPRODUCT(Calc!$K$3:$K$22*(Calc!$G$3:$G$22&gt;B3261)*(Calc!$G$3:$G$22-B3261))</f>
        <v/>
      </c>
      <c r="I3261">
        <f>SUMPRODUCT(Calc!$K$3:$K$22*(Calc!$G$3:$G$22&gt;A3261)*(Calc!$G$3:$G$22-A3261)^2)</f>
        <v/>
      </c>
      <c r="J3261">
        <f>SUMPRODUCT(Calc!$K$3:$K$22*(Calc!$G$3:$G$22&gt;B3261)*(Calc!$G$3:$G$22-B3261)^2)</f>
        <v/>
      </c>
      <c r="K3261">
        <f>SUMPRODUCT(Calc!$K$3:$K$22*(Calc!$G$3:$G$22&gt;A3261)*(Calc!$G$3:$G$22-A3261)*(Calc!$G$3:$G$22&gt;B3261)*(Calc!$G$3:$G$22-B3261))</f>
        <v/>
      </c>
      <c r="L3261">
        <f>SUMPRODUCT(Calc!$K$3:$K$22*(Calc!$G$3:$G$22&gt;A3261)*(Calc!$G$3:$G$22-A3261)*Calc!$G$3:$G$22)</f>
        <v/>
      </c>
      <c r="M3261">
        <f>SUMPRODUCT(Calc!$K$3:$K$22*(Calc!$G$3:$G$22&gt;B3261)*(Calc!$G$3:$G$22-B3261)*Calc!$G$3:$G$22)</f>
        <v/>
      </c>
      <c r="N3261">
        <f>SUMPRODUCT(Calc!$K$3:$K$22*(Calc!$G$3:$G$22&gt;A3261)*(Calc!$G$3:$G$22-A3261)*Calc!$I$3:$I$22)</f>
        <v/>
      </c>
      <c r="O3261">
        <f>SUMPRODUCT(Calc!$K$3:$K$22*(Calc!$G$3:$G$22&gt;B3261)*(Calc!$G$3:$G$22-B3261)*Calc!$I$3:$I$22)</f>
        <v/>
      </c>
      <c r="P3261">
        <f>I3261-G3261^2/k_n</f>
        <v/>
      </c>
      <c r="Q3261">
        <f>J3261-H3261^2/k_n</f>
        <v/>
      </c>
      <c r="R3261">
        <f>K3261-G3261*H3261/k_n</f>
        <v/>
      </c>
      <c r="S3261">
        <f>L3261-LTP3!$D$3*G3261/k_n</f>
        <v/>
      </c>
      <c r="T3261">
        <f>M3261-LTP3!$D$3*H3261/k_n</f>
        <v/>
      </c>
      <c r="U3261">
        <f>N3261-G3261*LTP3!$D$4/k_n</f>
        <v/>
      </c>
      <c r="V3261">
        <f>O3261-H3261*LTP3!$D$4/k_n</f>
        <v/>
      </c>
      <c r="W3261">
        <f>((LTP3!$D$5)*((P3261)*(Q3261)-(R3261)*(R3261))-(S3261)*((S3261)*(Q3261)-(R3261)*(T3261))+(T3261)*((S3261)*(R3261)-(P3261)*(T3261)))</f>
        <v/>
      </c>
      <c r="X3261">
        <f>IF(ABS(W3261)&gt;1E-12,((LTP3!$D$6)*((P3261)*(Q3261)-(R3261)*(R3261))-(S3261)*((U3261)*(Q3261)-(R3261)*(V3261))+(T3261)*((U3261)*(R3261)-(P3261)*(V3261)))/W3261,0)</f>
        <v/>
      </c>
      <c r="Y3261">
        <f>IF(ABS(W3261)&gt;1E-12,((LTP3!$D$5)*((U3261)*(Q3261)-(R3261)*(V3261))-(LTP3!$D$6)*((S3261)*(Q3261)-(R3261)*(T3261))+(T3261)*((S3261)*(V3261)-(U3261)*(T3261)))/W3261,0)</f>
        <v/>
      </c>
      <c r="Z3261">
        <f>IF(ABS(W3261)&gt;1E-12,((LTP3!$D$5)*((P3261)*(V3261)-(U3261)*(R3261))-(S3261)*((S3261)*(V3261)-(U3261)*(T3261))+(LTP3!$D$6)*((S3261)*(R3261)-(P3261)*(T3261)))/W3261,0)</f>
        <v/>
      </c>
      <c r="AA3261">
        <f>LTP3!$D$7-X3261*LTP3!$D$6-Y3261*U3261-Z3261*V3261</f>
        <v/>
      </c>
      <c r="AB3261">
        <f>IF(AND(F3261,ABS(W3261)&gt;1E-12,Y3261&gt;0,Z3261&gt;0),AA3261,1E+300)</f>
        <v/>
      </c>
    </row>
    <row r="3262">
      <c r="A3262">
        <f>$B$3+$B$5*53</f>
        <v/>
      </c>
      <c r="B3262">
        <f>$B$3+$B$5*17</f>
        <v/>
      </c>
      <c r="C3262">
        <f>SUMPRODUCT(Calc!$K$3:$K$22*(Calc!$G$3:$G$22&lt;=A3262))</f>
        <v/>
      </c>
      <c r="D3262">
        <f>SUMPRODUCT(Calc!$K$3:$K$22*(Calc!$G$3:$G$22&gt;A3262)*(Calc!$G$3:$G$22&lt;B3262))</f>
        <v/>
      </c>
      <c r="E3262">
        <f>SUMPRODUCT(Calc!$K$3:$K$22*(Calc!$G$3:$G$22&gt;=B3262))</f>
        <v/>
      </c>
      <c r="F3262">
        <f>AND(k_n&gt;=5,B3262&gt;A3262+1E-9,C3262&gt;=2,D3262&gt;=1,E3262&gt;=2)</f>
        <v/>
      </c>
      <c r="G3262">
        <f>SUMPRODUCT(Calc!$K$3:$K$22*(Calc!$G$3:$G$22&gt;A3262)*(Calc!$G$3:$G$22-A3262))</f>
        <v/>
      </c>
      <c r="H3262">
        <f>SUMPRODUCT(Calc!$K$3:$K$22*(Calc!$G$3:$G$22&gt;B3262)*(Calc!$G$3:$G$22-B3262))</f>
        <v/>
      </c>
      <c r="I3262">
        <f>SUMPRODUCT(Calc!$K$3:$K$22*(Calc!$G$3:$G$22&gt;A3262)*(Calc!$G$3:$G$22-A3262)^2)</f>
        <v/>
      </c>
      <c r="J3262">
        <f>SUMPRODUCT(Calc!$K$3:$K$22*(Calc!$G$3:$G$22&gt;B3262)*(Calc!$G$3:$G$22-B3262)^2)</f>
        <v/>
      </c>
      <c r="K3262">
        <f>SUMPRODUCT(Calc!$K$3:$K$22*(Calc!$G$3:$G$22&gt;A3262)*(Calc!$G$3:$G$22-A3262)*(Calc!$G$3:$G$22&gt;B3262)*(Calc!$G$3:$G$22-B3262))</f>
        <v/>
      </c>
      <c r="L3262">
        <f>SUMPRODUCT(Calc!$K$3:$K$22*(Calc!$G$3:$G$22&gt;A3262)*(Calc!$G$3:$G$22-A3262)*Calc!$G$3:$G$22)</f>
        <v/>
      </c>
      <c r="M3262">
        <f>SUMPRODUCT(Calc!$K$3:$K$22*(Calc!$G$3:$G$22&gt;B3262)*(Calc!$G$3:$G$22-B3262)*Calc!$G$3:$G$22)</f>
        <v/>
      </c>
      <c r="N3262">
        <f>SUMPRODUCT(Calc!$K$3:$K$22*(Calc!$G$3:$G$22&gt;A3262)*(Calc!$G$3:$G$22-A3262)*Calc!$I$3:$I$22)</f>
        <v/>
      </c>
      <c r="O3262">
        <f>SUMPRODUCT(Calc!$K$3:$K$22*(Calc!$G$3:$G$22&gt;B3262)*(Calc!$G$3:$G$22-B3262)*Calc!$I$3:$I$22)</f>
        <v/>
      </c>
      <c r="P3262">
        <f>I3262-G3262^2/k_n</f>
        <v/>
      </c>
      <c r="Q3262">
        <f>J3262-H3262^2/k_n</f>
        <v/>
      </c>
      <c r="R3262">
        <f>K3262-G3262*H3262/k_n</f>
        <v/>
      </c>
      <c r="S3262">
        <f>L3262-LTP3!$D$3*G3262/k_n</f>
        <v/>
      </c>
      <c r="T3262">
        <f>M3262-LTP3!$D$3*H3262/k_n</f>
        <v/>
      </c>
      <c r="U3262">
        <f>N3262-G3262*LTP3!$D$4/k_n</f>
        <v/>
      </c>
      <c r="V3262">
        <f>O3262-H3262*LTP3!$D$4/k_n</f>
        <v/>
      </c>
      <c r="W3262">
        <f>((LTP3!$D$5)*((P3262)*(Q3262)-(R3262)*(R3262))-(S3262)*((S3262)*(Q3262)-(R3262)*(T3262))+(T3262)*((S3262)*(R3262)-(P3262)*(T3262)))</f>
        <v/>
      </c>
      <c r="X3262">
        <f>IF(ABS(W3262)&gt;1E-12,((LTP3!$D$6)*((P3262)*(Q3262)-(R3262)*(R3262))-(S3262)*((U3262)*(Q3262)-(R3262)*(V3262))+(T3262)*((U3262)*(R3262)-(P3262)*(V3262)))/W3262,0)</f>
        <v/>
      </c>
      <c r="Y3262">
        <f>IF(ABS(W3262)&gt;1E-12,((LTP3!$D$5)*((U3262)*(Q3262)-(R3262)*(V3262))-(LTP3!$D$6)*((S3262)*(Q3262)-(R3262)*(T3262))+(T3262)*((S3262)*(V3262)-(U3262)*(T3262)))/W3262,0)</f>
        <v/>
      </c>
      <c r="Z3262">
        <f>IF(ABS(W3262)&gt;1E-12,((LTP3!$D$5)*((P3262)*(V3262)-(U3262)*(R3262))-(S3262)*((S3262)*(V3262)-(U3262)*(T3262))+(LTP3!$D$6)*((S3262)*(R3262)-(P3262)*(T3262)))/W3262,0)</f>
        <v/>
      </c>
      <c r="AA3262">
        <f>LTP3!$D$7-X3262*LTP3!$D$6-Y3262*U3262-Z3262*V3262</f>
        <v/>
      </c>
      <c r="AB3262">
        <f>IF(AND(F3262,ABS(W3262)&gt;1E-12,Y3262&gt;0,Z3262&gt;0),AA3262,1E+300)</f>
        <v/>
      </c>
    </row>
    <row r="3263">
      <c r="A3263">
        <f>$B$3+$B$5*53</f>
        <v/>
      </c>
      <c r="B3263">
        <f>$B$3+$B$5*18</f>
        <v/>
      </c>
      <c r="C3263">
        <f>SUMPRODUCT(Calc!$K$3:$K$22*(Calc!$G$3:$G$22&lt;=A3263))</f>
        <v/>
      </c>
      <c r="D3263">
        <f>SUMPRODUCT(Calc!$K$3:$K$22*(Calc!$G$3:$G$22&gt;A3263)*(Calc!$G$3:$G$22&lt;B3263))</f>
        <v/>
      </c>
      <c r="E3263">
        <f>SUMPRODUCT(Calc!$K$3:$K$22*(Calc!$G$3:$G$22&gt;=B3263))</f>
        <v/>
      </c>
      <c r="F3263">
        <f>AND(k_n&gt;=5,B3263&gt;A3263+1E-9,C3263&gt;=2,D3263&gt;=1,E3263&gt;=2)</f>
        <v/>
      </c>
      <c r="G3263">
        <f>SUMPRODUCT(Calc!$K$3:$K$22*(Calc!$G$3:$G$22&gt;A3263)*(Calc!$G$3:$G$22-A3263))</f>
        <v/>
      </c>
      <c r="H3263">
        <f>SUMPRODUCT(Calc!$K$3:$K$22*(Calc!$G$3:$G$22&gt;B3263)*(Calc!$G$3:$G$22-B3263))</f>
        <v/>
      </c>
      <c r="I3263">
        <f>SUMPRODUCT(Calc!$K$3:$K$22*(Calc!$G$3:$G$22&gt;A3263)*(Calc!$G$3:$G$22-A3263)^2)</f>
        <v/>
      </c>
      <c r="J3263">
        <f>SUMPRODUCT(Calc!$K$3:$K$22*(Calc!$G$3:$G$22&gt;B3263)*(Calc!$G$3:$G$22-B3263)^2)</f>
        <v/>
      </c>
      <c r="K3263">
        <f>SUMPRODUCT(Calc!$K$3:$K$22*(Calc!$G$3:$G$22&gt;A3263)*(Calc!$G$3:$G$22-A3263)*(Calc!$G$3:$G$22&gt;B3263)*(Calc!$G$3:$G$22-B3263))</f>
        <v/>
      </c>
      <c r="L3263">
        <f>SUMPRODUCT(Calc!$K$3:$K$22*(Calc!$G$3:$G$22&gt;A3263)*(Calc!$G$3:$G$22-A3263)*Calc!$G$3:$G$22)</f>
        <v/>
      </c>
      <c r="M3263">
        <f>SUMPRODUCT(Calc!$K$3:$K$22*(Calc!$G$3:$G$22&gt;B3263)*(Calc!$G$3:$G$22-B3263)*Calc!$G$3:$G$22)</f>
        <v/>
      </c>
      <c r="N3263">
        <f>SUMPRODUCT(Calc!$K$3:$K$22*(Calc!$G$3:$G$22&gt;A3263)*(Calc!$G$3:$G$22-A3263)*Calc!$I$3:$I$22)</f>
        <v/>
      </c>
      <c r="O3263">
        <f>SUMPRODUCT(Calc!$K$3:$K$22*(Calc!$G$3:$G$22&gt;B3263)*(Calc!$G$3:$G$22-B3263)*Calc!$I$3:$I$22)</f>
        <v/>
      </c>
      <c r="P3263">
        <f>I3263-G3263^2/k_n</f>
        <v/>
      </c>
      <c r="Q3263">
        <f>J3263-H3263^2/k_n</f>
        <v/>
      </c>
      <c r="R3263">
        <f>K3263-G3263*H3263/k_n</f>
        <v/>
      </c>
      <c r="S3263">
        <f>L3263-LTP3!$D$3*G3263/k_n</f>
        <v/>
      </c>
      <c r="T3263">
        <f>M3263-LTP3!$D$3*H3263/k_n</f>
        <v/>
      </c>
      <c r="U3263">
        <f>N3263-G3263*LTP3!$D$4/k_n</f>
        <v/>
      </c>
      <c r="V3263">
        <f>O3263-H3263*LTP3!$D$4/k_n</f>
        <v/>
      </c>
      <c r="W3263">
        <f>((LTP3!$D$5)*((P3263)*(Q3263)-(R3263)*(R3263))-(S3263)*((S3263)*(Q3263)-(R3263)*(T3263))+(T3263)*((S3263)*(R3263)-(P3263)*(T3263)))</f>
        <v/>
      </c>
      <c r="X3263">
        <f>IF(ABS(W3263)&gt;1E-12,((LTP3!$D$6)*((P3263)*(Q3263)-(R3263)*(R3263))-(S3263)*((U3263)*(Q3263)-(R3263)*(V3263))+(T3263)*((U3263)*(R3263)-(P3263)*(V3263)))/W3263,0)</f>
        <v/>
      </c>
      <c r="Y3263">
        <f>IF(ABS(W3263)&gt;1E-12,((LTP3!$D$5)*((U3263)*(Q3263)-(R3263)*(V3263))-(LTP3!$D$6)*((S3263)*(Q3263)-(R3263)*(T3263))+(T3263)*((S3263)*(V3263)-(U3263)*(T3263)))/W3263,0)</f>
        <v/>
      </c>
      <c r="Z3263">
        <f>IF(ABS(W3263)&gt;1E-12,((LTP3!$D$5)*((P3263)*(V3263)-(U3263)*(R3263))-(S3263)*((S3263)*(V3263)-(U3263)*(T3263))+(LTP3!$D$6)*((S3263)*(R3263)-(P3263)*(T3263)))/W3263,0)</f>
        <v/>
      </c>
      <c r="AA3263">
        <f>LTP3!$D$7-X3263*LTP3!$D$6-Y3263*U3263-Z3263*V3263</f>
        <v/>
      </c>
      <c r="AB3263">
        <f>IF(AND(F3263,ABS(W3263)&gt;1E-12,Y3263&gt;0,Z3263&gt;0),AA3263,1E+300)</f>
        <v/>
      </c>
    </row>
    <row r="3264">
      <c r="A3264">
        <f>$B$3+$B$5*53</f>
        <v/>
      </c>
      <c r="B3264">
        <f>$B$3+$B$5*19</f>
        <v/>
      </c>
      <c r="C3264">
        <f>SUMPRODUCT(Calc!$K$3:$K$22*(Calc!$G$3:$G$22&lt;=A3264))</f>
        <v/>
      </c>
      <c r="D3264">
        <f>SUMPRODUCT(Calc!$K$3:$K$22*(Calc!$G$3:$G$22&gt;A3264)*(Calc!$G$3:$G$22&lt;B3264))</f>
        <v/>
      </c>
      <c r="E3264">
        <f>SUMPRODUCT(Calc!$K$3:$K$22*(Calc!$G$3:$G$22&gt;=B3264))</f>
        <v/>
      </c>
      <c r="F3264">
        <f>AND(k_n&gt;=5,B3264&gt;A3264+1E-9,C3264&gt;=2,D3264&gt;=1,E3264&gt;=2)</f>
        <v/>
      </c>
      <c r="G3264">
        <f>SUMPRODUCT(Calc!$K$3:$K$22*(Calc!$G$3:$G$22&gt;A3264)*(Calc!$G$3:$G$22-A3264))</f>
        <v/>
      </c>
      <c r="H3264">
        <f>SUMPRODUCT(Calc!$K$3:$K$22*(Calc!$G$3:$G$22&gt;B3264)*(Calc!$G$3:$G$22-B3264))</f>
        <v/>
      </c>
      <c r="I3264">
        <f>SUMPRODUCT(Calc!$K$3:$K$22*(Calc!$G$3:$G$22&gt;A3264)*(Calc!$G$3:$G$22-A3264)^2)</f>
        <v/>
      </c>
      <c r="J3264">
        <f>SUMPRODUCT(Calc!$K$3:$K$22*(Calc!$G$3:$G$22&gt;B3264)*(Calc!$G$3:$G$22-B3264)^2)</f>
        <v/>
      </c>
      <c r="K3264">
        <f>SUMPRODUCT(Calc!$K$3:$K$22*(Calc!$G$3:$G$22&gt;A3264)*(Calc!$G$3:$G$22-A3264)*(Calc!$G$3:$G$22&gt;B3264)*(Calc!$G$3:$G$22-B3264))</f>
        <v/>
      </c>
      <c r="L3264">
        <f>SUMPRODUCT(Calc!$K$3:$K$22*(Calc!$G$3:$G$22&gt;A3264)*(Calc!$G$3:$G$22-A3264)*Calc!$G$3:$G$22)</f>
        <v/>
      </c>
      <c r="M3264">
        <f>SUMPRODUCT(Calc!$K$3:$K$22*(Calc!$G$3:$G$22&gt;B3264)*(Calc!$G$3:$G$22-B3264)*Calc!$G$3:$G$22)</f>
        <v/>
      </c>
      <c r="N3264">
        <f>SUMPRODUCT(Calc!$K$3:$K$22*(Calc!$G$3:$G$22&gt;A3264)*(Calc!$G$3:$G$22-A3264)*Calc!$I$3:$I$22)</f>
        <v/>
      </c>
      <c r="O3264">
        <f>SUMPRODUCT(Calc!$K$3:$K$22*(Calc!$G$3:$G$22&gt;B3264)*(Calc!$G$3:$G$22-B3264)*Calc!$I$3:$I$22)</f>
        <v/>
      </c>
      <c r="P3264">
        <f>I3264-G3264^2/k_n</f>
        <v/>
      </c>
      <c r="Q3264">
        <f>J3264-H3264^2/k_n</f>
        <v/>
      </c>
      <c r="R3264">
        <f>K3264-G3264*H3264/k_n</f>
        <v/>
      </c>
      <c r="S3264">
        <f>L3264-LTP3!$D$3*G3264/k_n</f>
        <v/>
      </c>
      <c r="T3264">
        <f>M3264-LTP3!$D$3*H3264/k_n</f>
        <v/>
      </c>
      <c r="U3264">
        <f>N3264-G3264*LTP3!$D$4/k_n</f>
        <v/>
      </c>
      <c r="V3264">
        <f>O3264-H3264*LTP3!$D$4/k_n</f>
        <v/>
      </c>
      <c r="W3264">
        <f>((LTP3!$D$5)*((P3264)*(Q3264)-(R3264)*(R3264))-(S3264)*((S3264)*(Q3264)-(R3264)*(T3264))+(T3264)*((S3264)*(R3264)-(P3264)*(T3264)))</f>
        <v/>
      </c>
      <c r="X3264">
        <f>IF(ABS(W3264)&gt;1E-12,((LTP3!$D$6)*((P3264)*(Q3264)-(R3264)*(R3264))-(S3264)*((U3264)*(Q3264)-(R3264)*(V3264))+(T3264)*((U3264)*(R3264)-(P3264)*(V3264)))/W3264,0)</f>
        <v/>
      </c>
      <c r="Y3264">
        <f>IF(ABS(W3264)&gt;1E-12,((LTP3!$D$5)*((U3264)*(Q3264)-(R3264)*(V3264))-(LTP3!$D$6)*((S3264)*(Q3264)-(R3264)*(T3264))+(T3264)*((S3264)*(V3264)-(U3264)*(T3264)))/W3264,0)</f>
        <v/>
      </c>
      <c r="Z3264">
        <f>IF(ABS(W3264)&gt;1E-12,((LTP3!$D$5)*((P3264)*(V3264)-(U3264)*(R3264))-(S3264)*((S3264)*(V3264)-(U3264)*(T3264))+(LTP3!$D$6)*((S3264)*(R3264)-(P3264)*(T3264)))/W3264,0)</f>
        <v/>
      </c>
      <c r="AA3264">
        <f>LTP3!$D$7-X3264*LTP3!$D$6-Y3264*U3264-Z3264*V3264</f>
        <v/>
      </c>
      <c r="AB3264">
        <f>IF(AND(F3264,ABS(W3264)&gt;1E-12,Y3264&gt;0,Z3264&gt;0),AA3264,1E+300)</f>
        <v/>
      </c>
    </row>
    <row r="3265">
      <c r="A3265">
        <f>$B$3+$B$5*53</f>
        <v/>
      </c>
      <c r="B3265">
        <f>$B$3+$B$5*20</f>
        <v/>
      </c>
      <c r="C3265">
        <f>SUMPRODUCT(Calc!$K$3:$K$22*(Calc!$G$3:$G$22&lt;=A3265))</f>
        <v/>
      </c>
      <c r="D3265">
        <f>SUMPRODUCT(Calc!$K$3:$K$22*(Calc!$G$3:$G$22&gt;A3265)*(Calc!$G$3:$G$22&lt;B3265))</f>
        <v/>
      </c>
      <c r="E3265">
        <f>SUMPRODUCT(Calc!$K$3:$K$22*(Calc!$G$3:$G$22&gt;=B3265))</f>
        <v/>
      </c>
      <c r="F3265">
        <f>AND(k_n&gt;=5,B3265&gt;A3265+1E-9,C3265&gt;=2,D3265&gt;=1,E3265&gt;=2)</f>
        <v/>
      </c>
      <c r="G3265">
        <f>SUMPRODUCT(Calc!$K$3:$K$22*(Calc!$G$3:$G$22&gt;A3265)*(Calc!$G$3:$G$22-A3265))</f>
        <v/>
      </c>
      <c r="H3265">
        <f>SUMPRODUCT(Calc!$K$3:$K$22*(Calc!$G$3:$G$22&gt;B3265)*(Calc!$G$3:$G$22-B3265))</f>
        <v/>
      </c>
      <c r="I3265">
        <f>SUMPRODUCT(Calc!$K$3:$K$22*(Calc!$G$3:$G$22&gt;A3265)*(Calc!$G$3:$G$22-A3265)^2)</f>
        <v/>
      </c>
      <c r="J3265">
        <f>SUMPRODUCT(Calc!$K$3:$K$22*(Calc!$G$3:$G$22&gt;B3265)*(Calc!$G$3:$G$22-B3265)^2)</f>
        <v/>
      </c>
      <c r="K3265">
        <f>SUMPRODUCT(Calc!$K$3:$K$22*(Calc!$G$3:$G$22&gt;A3265)*(Calc!$G$3:$G$22-A3265)*(Calc!$G$3:$G$22&gt;B3265)*(Calc!$G$3:$G$22-B3265))</f>
        <v/>
      </c>
      <c r="L3265">
        <f>SUMPRODUCT(Calc!$K$3:$K$22*(Calc!$G$3:$G$22&gt;A3265)*(Calc!$G$3:$G$22-A3265)*Calc!$G$3:$G$22)</f>
        <v/>
      </c>
      <c r="M3265">
        <f>SUMPRODUCT(Calc!$K$3:$K$22*(Calc!$G$3:$G$22&gt;B3265)*(Calc!$G$3:$G$22-B3265)*Calc!$G$3:$G$22)</f>
        <v/>
      </c>
      <c r="N3265">
        <f>SUMPRODUCT(Calc!$K$3:$K$22*(Calc!$G$3:$G$22&gt;A3265)*(Calc!$G$3:$G$22-A3265)*Calc!$I$3:$I$22)</f>
        <v/>
      </c>
      <c r="O3265">
        <f>SUMPRODUCT(Calc!$K$3:$K$22*(Calc!$G$3:$G$22&gt;B3265)*(Calc!$G$3:$G$22-B3265)*Calc!$I$3:$I$22)</f>
        <v/>
      </c>
      <c r="P3265">
        <f>I3265-G3265^2/k_n</f>
        <v/>
      </c>
      <c r="Q3265">
        <f>J3265-H3265^2/k_n</f>
        <v/>
      </c>
      <c r="R3265">
        <f>K3265-G3265*H3265/k_n</f>
        <v/>
      </c>
      <c r="S3265">
        <f>L3265-LTP3!$D$3*G3265/k_n</f>
        <v/>
      </c>
      <c r="T3265">
        <f>M3265-LTP3!$D$3*H3265/k_n</f>
        <v/>
      </c>
      <c r="U3265">
        <f>N3265-G3265*LTP3!$D$4/k_n</f>
        <v/>
      </c>
      <c r="V3265">
        <f>O3265-H3265*LTP3!$D$4/k_n</f>
        <v/>
      </c>
      <c r="W3265">
        <f>((LTP3!$D$5)*((P3265)*(Q3265)-(R3265)*(R3265))-(S3265)*((S3265)*(Q3265)-(R3265)*(T3265))+(T3265)*((S3265)*(R3265)-(P3265)*(T3265)))</f>
        <v/>
      </c>
      <c r="X3265">
        <f>IF(ABS(W3265)&gt;1E-12,((LTP3!$D$6)*((P3265)*(Q3265)-(R3265)*(R3265))-(S3265)*((U3265)*(Q3265)-(R3265)*(V3265))+(T3265)*((U3265)*(R3265)-(P3265)*(V3265)))/W3265,0)</f>
        <v/>
      </c>
      <c r="Y3265">
        <f>IF(ABS(W3265)&gt;1E-12,((LTP3!$D$5)*((U3265)*(Q3265)-(R3265)*(V3265))-(LTP3!$D$6)*((S3265)*(Q3265)-(R3265)*(T3265))+(T3265)*((S3265)*(V3265)-(U3265)*(T3265)))/W3265,0)</f>
        <v/>
      </c>
      <c r="Z3265">
        <f>IF(ABS(W3265)&gt;1E-12,((LTP3!$D$5)*((P3265)*(V3265)-(U3265)*(R3265))-(S3265)*((S3265)*(V3265)-(U3265)*(T3265))+(LTP3!$D$6)*((S3265)*(R3265)-(P3265)*(T3265)))/W3265,0)</f>
        <v/>
      </c>
      <c r="AA3265">
        <f>LTP3!$D$7-X3265*LTP3!$D$6-Y3265*U3265-Z3265*V3265</f>
        <v/>
      </c>
      <c r="AB3265">
        <f>IF(AND(F3265,ABS(W3265)&gt;1E-12,Y3265&gt;0,Z3265&gt;0),AA3265,1E+300)</f>
        <v/>
      </c>
    </row>
    <row r="3266">
      <c r="A3266">
        <f>$B$3+$B$5*53</f>
        <v/>
      </c>
      <c r="B3266">
        <f>$B$3+$B$5*21</f>
        <v/>
      </c>
      <c r="C3266">
        <f>SUMPRODUCT(Calc!$K$3:$K$22*(Calc!$G$3:$G$22&lt;=A3266))</f>
        <v/>
      </c>
      <c r="D3266">
        <f>SUMPRODUCT(Calc!$K$3:$K$22*(Calc!$G$3:$G$22&gt;A3266)*(Calc!$G$3:$G$22&lt;B3266))</f>
        <v/>
      </c>
      <c r="E3266">
        <f>SUMPRODUCT(Calc!$K$3:$K$22*(Calc!$G$3:$G$22&gt;=B3266))</f>
        <v/>
      </c>
      <c r="F3266">
        <f>AND(k_n&gt;=5,B3266&gt;A3266+1E-9,C3266&gt;=2,D3266&gt;=1,E3266&gt;=2)</f>
        <v/>
      </c>
      <c r="G3266">
        <f>SUMPRODUCT(Calc!$K$3:$K$22*(Calc!$G$3:$G$22&gt;A3266)*(Calc!$G$3:$G$22-A3266))</f>
        <v/>
      </c>
      <c r="H3266">
        <f>SUMPRODUCT(Calc!$K$3:$K$22*(Calc!$G$3:$G$22&gt;B3266)*(Calc!$G$3:$G$22-B3266))</f>
        <v/>
      </c>
      <c r="I3266">
        <f>SUMPRODUCT(Calc!$K$3:$K$22*(Calc!$G$3:$G$22&gt;A3266)*(Calc!$G$3:$G$22-A3266)^2)</f>
        <v/>
      </c>
      <c r="J3266">
        <f>SUMPRODUCT(Calc!$K$3:$K$22*(Calc!$G$3:$G$22&gt;B3266)*(Calc!$G$3:$G$22-B3266)^2)</f>
        <v/>
      </c>
      <c r="K3266">
        <f>SUMPRODUCT(Calc!$K$3:$K$22*(Calc!$G$3:$G$22&gt;A3266)*(Calc!$G$3:$G$22-A3266)*(Calc!$G$3:$G$22&gt;B3266)*(Calc!$G$3:$G$22-B3266))</f>
        <v/>
      </c>
      <c r="L3266">
        <f>SUMPRODUCT(Calc!$K$3:$K$22*(Calc!$G$3:$G$22&gt;A3266)*(Calc!$G$3:$G$22-A3266)*Calc!$G$3:$G$22)</f>
        <v/>
      </c>
      <c r="M3266">
        <f>SUMPRODUCT(Calc!$K$3:$K$22*(Calc!$G$3:$G$22&gt;B3266)*(Calc!$G$3:$G$22-B3266)*Calc!$G$3:$G$22)</f>
        <v/>
      </c>
      <c r="N3266">
        <f>SUMPRODUCT(Calc!$K$3:$K$22*(Calc!$G$3:$G$22&gt;A3266)*(Calc!$G$3:$G$22-A3266)*Calc!$I$3:$I$22)</f>
        <v/>
      </c>
      <c r="O3266">
        <f>SUMPRODUCT(Calc!$K$3:$K$22*(Calc!$G$3:$G$22&gt;B3266)*(Calc!$G$3:$G$22-B3266)*Calc!$I$3:$I$22)</f>
        <v/>
      </c>
      <c r="P3266">
        <f>I3266-G3266^2/k_n</f>
        <v/>
      </c>
      <c r="Q3266">
        <f>J3266-H3266^2/k_n</f>
        <v/>
      </c>
      <c r="R3266">
        <f>K3266-G3266*H3266/k_n</f>
        <v/>
      </c>
      <c r="S3266">
        <f>L3266-LTP3!$D$3*G3266/k_n</f>
        <v/>
      </c>
      <c r="T3266">
        <f>M3266-LTP3!$D$3*H3266/k_n</f>
        <v/>
      </c>
      <c r="U3266">
        <f>N3266-G3266*LTP3!$D$4/k_n</f>
        <v/>
      </c>
      <c r="V3266">
        <f>O3266-H3266*LTP3!$D$4/k_n</f>
        <v/>
      </c>
      <c r="W3266">
        <f>((LTP3!$D$5)*((P3266)*(Q3266)-(R3266)*(R3266))-(S3266)*((S3266)*(Q3266)-(R3266)*(T3266))+(T3266)*((S3266)*(R3266)-(P3266)*(T3266)))</f>
        <v/>
      </c>
      <c r="X3266">
        <f>IF(ABS(W3266)&gt;1E-12,((LTP3!$D$6)*((P3266)*(Q3266)-(R3266)*(R3266))-(S3266)*((U3266)*(Q3266)-(R3266)*(V3266))+(T3266)*((U3266)*(R3266)-(P3266)*(V3266)))/W3266,0)</f>
        <v/>
      </c>
      <c r="Y3266">
        <f>IF(ABS(W3266)&gt;1E-12,((LTP3!$D$5)*((U3266)*(Q3266)-(R3266)*(V3266))-(LTP3!$D$6)*((S3266)*(Q3266)-(R3266)*(T3266))+(T3266)*((S3266)*(V3266)-(U3266)*(T3266)))/W3266,0)</f>
        <v/>
      </c>
      <c r="Z3266">
        <f>IF(ABS(W3266)&gt;1E-12,((LTP3!$D$5)*((P3266)*(V3266)-(U3266)*(R3266))-(S3266)*((S3266)*(V3266)-(U3266)*(T3266))+(LTP3!$D$6)*((S3266)*(R3266)-(P3266)*(T3266)))/W3266,0)</f>
        <v/>
      </c>
      <c r="AA3266">
        <f>LTP3!$D$7-X3266*LTP3!$D$6-Y3266*U3266-Z3266*V3266</f>
        <v/>
      </c>
      <c r="AB3266">
        <f>IF(AND(F3266,ABS(W3266)&gt;1E-12,Y3266&gt;0,Z3266&gt;0),AA3266,1E+300)</f>
        <v/>
      </c>
    </row>
    <row r="3267">
      <c r="A3267">
        <f>$B$3+$B$5*53</f>
        <v/>
      </c>
      <c r="B3267">
        <f>$B$3+$B$5*22</f>
        <v/>
      </c>
      <c r="C3267">
        <f>SUMPRODUCT(Calc!$K$3:$K$22*(Calc!$G$3:$G$22&lt;=A3267))</f>
        <v/>
      </c>
      <c r="D3267">
        <f>SUMPRODUCT(Calc!$K$3:$K$22*(Calc!$G$3:$G$22&gt;A3267)*(Calc!$G$3:$G$22&lt;B3267))</f>
        <v/>
      </c>
      <c r="E3267">
        <f>SUMPRODUCT(Calc!$K$3:$K$22*(Calc!$G$3:$G$22&gt;=B3267))</f>
        <v/>
      </c>
      <c r="F3267">
        <f>AND(k_n&gt;=5,B3267&gt;A3267+1E-9,C3267&gt;=2,D3267&gt;=1,E3267&gt;=2)</f>
        <v/>
      </c>
      <c r="G3267">
        <f>SUMPRODUCT(Calc!$K$3:$K$22*(Calc!$G$3:$G$22&gt;A3267)*(Calc!$G$3:$G$22-A3267))</f>
        <v/>
      </c>
      <c r="H3267">
        <f>SUMPRODUCT(Calc!$K$3:$K$22*(Calc!$G$3:$G$22&gt;B3267)*(Calc!$G$3:$G$22-B3267))</f>
        <v/>
      </c>
      <c r="I3267">
        <f>SUMPRODUCT(Calc!$K$3:$K$22*(Calc!$G$3:$G$22&gt;A3267)*(Calc!$G$3:$G$22-A3267)^2)</f>
        <v/>
      </c>
      <c r="J3267">
        <f>SUMPRODUCT(Calc!$K$3:$K$22*(Calc!$G$3:$G$22&gt;B3267)*(Calc!$G$3:$G$22-B3267)^2)</f>
        <v/>
      </c>
      <c r="K3267">
        <f>SUMPRODUCT(Calc!$K$3:$K$22*(Calc!$G$3:$G$22&gt;A3267)*(Calc!$G$3:$G$22-A3267)*(Calc!$G$3:$G$22&gt;B3267)*(Calc!$G$3:$G$22-B3267))</f>
        <v/>
      </c>
      <c r="L3267">
        <f>SUMPRODUCT(Calc!$K$3:$K$22*(Calc!$G$3:$G$22&gt;A3267)*(Calc!$G$3:$G$22-A3267)*Calc!$G$3:$G$22)</f>
        <v/>
      </c>
      <c r="M3267">
        <f>SUMPRODUCT(Calc!$K$3:$K$22*(Calc!$G$3:$G$22&gt;B3267)*(Calc!$G$3:$G$22-B3267)*Calc!$G$3:$G$22)</f>
        <v/>
      </c>
      <c r="N3267">
        <f>SUMPRODUCT(Calc!$K$3:$K$22*(Calc!$G$3:$G$22&gt;A3267)*(Calc!$G$3:$G$22-A3267)*Calc!$I$3:$I$22)</f>
        <v/>
      </c>
      <c r="O3267">
        <f>SUMPRODUCT(Calc!$K$3:$K$22*(Calc!$G$3:$G$22&gt;B3267)*(Calc!$G$3:$G$22-B3267)*Calc!$I$3:$I$22)</f>
        <v/>
      </c>
      <c r="P3267">
        <f>I3267-G3267^2/k_n</f>
        <v/>
      </c>
      <c r="Q3267">
        <f>J3267-H3267^2/k_n</f>
        <v/>
      </c>
      <c r="R3267">
        <f>K3267-G3267*H3267/k_n</f>
        <v/>
      </c>
      <c r="S3267">
        <f>L3267-LTP3!$D$3*G3267/k_n</f>
        <v/>
      </c>
      <c r="T3267">
        <f>M3267-LTP3!$D$3*H3267/k_n</f>
        <v/>
      </c>
      <c r="U3267">
        <f>N3267-G3267*LTP3!$D$4/k_n</f>
        <v/>
      </c>
      <c r="V3267">
        <f>O3267-H3267*LTP3!$D$4/k_n</f>
        <v/>
      </c>
      <c r="W3267">
        <f>((LTP3!$D$5)*((P3267)*(Q3267)-(R3267)*(R3267))-(S3267)*((S3267)*(Q3267)-(R3267)*(T3267))+(T3267)*((S3267)*(R3267)-(P3267)*(T3267)))</f>
        <v/>
      </c>
      <c r="X3267">
        <f>IF(ABS(W3267)&gt;1E-12,((LTP3!$D$6)*((P3267)*(Q3267)-(R3267)*(R3267))-(S3267)*((U3267)*(Q3267)-(R3267)*(V3267))+(T3267)*((U3267)*(R3267)-(P3267)*(V3267)))/W3267,0)</f>
        <v/>
      </c>
      <c r="Y3267">
        <f>IF(ABS(W3267)&gt;1E-12,((LTP3!$D$5)*((U3267)*(Q3267)-(R3267)*(V3267))-(LTP3!$D$6)*((S3267)*(Q3267)-(R3267)*(T3267))+(T3267)*((S3267)*(V3267)-(U3267)*(T3267)))/W3267,0)</f>
        <v/>
      </c>
      <c r="Z3267">
        <f>IF(ABS(W3267)&gt;1E-12,((LTP3!$D$5)*((P3267)*(V3267)-(U3267)*(R3267))-(S3267)*((S3267)*(V3267)-(U3267)*(T3267))+(LTP3!$D$6)*((S3267)*(R3267)-(P3267)*(T3267)))/W3267,0)</f>
        <v/>
      </c>
      <c r="AA3267">
        <f>LTP3!$D$7-X3267*LTP3!$D$6-Y3267*U3267-Z3267*V3267</f>
        <v/>
      </c>
      <c r="AB3267">
        <f>IF(AND(F3267,ABS(W3267)&gt;1E-12,Y3267&gt;0,Z3267&gt;0),AA3267,1E+300)</f>
        <v/>
      </c>
    </row>
    <row r="3268">
      <c r="A3268">
        <f>$B$3+$B$5*53</f>
        <v/>
      </c>
      <c r="B3268">
        <f>$B$3+$B$5*23</f>
        <v/>
      </c>
      <c r="C3268">
        <f>SUMPRODUCT(Calc!$K$3:$K$22*(Calc!$G$3:$G$22&lt;=A3268))</f>
        <v/>
      </c>
      <c r="D3268">
        <f>SUMPRODUCT(Calc!$K$3:$K$22*(Calc!$G$3:$G$22&gt;A3268)*(Calc!$G$3:$G$22&lt;B3268))</f>
        <v/>
      </c>
      <c r="E3268">
        <f>SUMPRODUCT(Calc!$K$3:$K$22*(Calc!$G$3:$G$22&gt;=B3268))</f>
        <v/>
      </c>
      <c r="F3268">
        <f>AND(k_n&gt;=5,B3268&gt;A3268+1E-9,C3268&gt;=2,D3268&gt;=1,E3268&gt;=2)</f>
        <v/>
      </c>
      <c r="G3268">
        <f>SUMPRODUCT(Calc!$K$3:$K$22*(Calc!$G$3:$G$22&gt;A3268)*(Calc!$G$3:$G$22-A3268))</f>
        <v/>
      </c>
      <c r="H3268">
        <f>SUMPRODUCT(Calc!$K$3:$K$22*(Calc!$G$3:$G$22&gt;B3268)*(Calc!$G$3:$G$22-B3268))</f>
        <v/>
      </c>
      <c r="I3268">
        <f>SUMPRODUCT(Calc!$K$3:$K$22*(Calc!$G$3:$G$22&gt;A3268)*(Calc!$G$3:$G$22-A3268)^2)</f>
        <v/>
      </c>
      <c r="J3268">
        <f>SUMPRODUCT(Calc!$K$3:$K$22*(Calc!$G$3:$G$22&gt;B3268)*(Calc!$G$3:$G$22-B3268)^2)</f>
        <v/>
      </c>
      <c r="K3268">
        <f>SUMPRODUCT(Calc!$K$3:$K$22*(Calc!$G$3:$G$22&gt;A3268)*(Calc!$G$3:$G$22-A3268)*(Calc!$G$3:$G$22&gt;B3268)*(Calc!$G$3:$G$22-B3268))</f>
        <v/>
      </c>
      <c r="L3268">
        <f>SUMPRODUCT(Calc!$K$3:$K$22*(Calc!$G$3:$G$22&gt;A3268)*(Calc!$G$3:$G$22-A3268)*Calc!$G$3:$G$22)</f>
        <v/>
      </c>
      <c r="M3268">
        <f>SUMPRODUCT(Calc!$K$3:$K$22*(Calc!$G$3:$G$22&gt;B3268)*(Calc!$G$3:$G$22-B3268)*Calc!$G$3:$G$22)</f>
        <v/>
      </c>
      <c r="N3268">
        <f>SUMPRODUCT(Calc!$K$3:$K$22*(Calc!$G$3:$G$22&gt;A3268)*(Calc!$G$3:$G$22-A3268)*Calc!$I$3:$I$22)</f>
        <v/>
      </c>
      <c r="O3268">
        <f>SUMPRODUCT(Calc!$K$3:$K$22*(Calc!$G$3:$G$22&gt;B3268)*(Calc!$G$3:$G$22-B3268)*Calc!$I$3:$I$22)</f>
        <v/>
      </c>
      <c r="P3268">
        <f>I3268-G3268^2/k_n</f>
        <v/>
      </c>
      <c r="Q3268">
        <f>J3268-H3268^2/k_n</f>
        <v/>
      </c>
      <c r="R3268">
        <f>K3268-G3268*H3268/k_n</f>
        <v/>
      </c>
      <c r="S3268">
        <f>L3268-LTP3!$D$3*G3268/k_n</f>
        <v/>
      </c>
      <c r="T3268">
        <f>M3268-LTP3!$D$3*H3268/k_n</f>
        <v/>
      </c>
      <c r="U3268">
        <f>N3268-G3268*LTP3!$D$4/k_n</f>
        <v/>
      </c>
      <c r="V3268">
        <f>O3268-H3268*LTP3!$D$4/k_n</f>
        <v/>
      </c>
      <c r="W3268">
        <f>((LTP3!$D$5)*((P3268)*(Q3268)-(R3268)*(R3268))-(S3268)*((S3268)*(Q3268)-(R3268)*(T3268))+(T3268)*((S3268)*(R3268)-(P3268)*(T3268)))</f>
        <v/>
      </c>
      <c r="X3268">
        <f>IF(ABS(W3268)&gt;1E-12,((LTP3!$D$6)*((P3268)*(Q3268)-(R3268)*(R3268))-(S3268)*((U3268)*(Q3268)-(R3268)*(V3268))+(T3268)*((U3268)*(R3268)-(P3268)*(V3268)))/W3268,0)</f>
        <v/>
      </c>
      <c r="Y3268">
        <f>IF(ABS(W3268)&gt;1E-12,((LTP3!$D$5)*((U3268)*(Q3268)-(R3268)*(V3268))-(LTP3!$D$6)*((S3268)*(Q3268)-(R3268)*(T3268))+(T3268)*((S3268)*(V3268)-(U3268)*(T3268)))/W3268,0)</f>
        <v/>
      </c>
      <c r="Z3268">
        <f>IF(ABS(W3268)&gt;1E-12,((LTP3!$D$5)*((P3268)*(V3268)-(U3268)*(R3268))-(S3268)*((S3268)*(V3268)-(U3268)*(T3268))+(LTP3!$D$6)*((S3268)*(R3268)-(P3268)*(T3268)))/W3268,0)</f>
        <v/>
      </c>
      <c r="AA3268">
        <f>LTP3!$D$7-X3268*LTP3!$D$6-Y3268*U3268-Z3268*V3268</f>
        <v/>
      </c>
      <c r="AB3268">
        <f>IF(AND(F3268,ABS(W3268)&gt;1E-12,Y3268&gt;0,Z3268&gt;0),AA3268,1E+300)</f>
        <v/>
      </c>
    </row>
    <row r="3269">
      <c r="A3269">
        <f>$B$3+$B$5*53</f>
        <v/>
      </c>
      <c r="B3269">
        <f>$B$3+$B$5*24</f>
        <v/>
      </c>
      <c r="C3269">
        <f>SUMPRODUCT(Calc!$K$3:$K$22*(Calc!$G$3:$G$22&lt;=A3269))</f>
        <v/>
      </c>
      <c r="D3269">
        <f>SUMPRODUCT(Calc!$K$3:$K$22*(Calc!$G$3:$G$22&gt;A3269)*(Calc!$G$3:$G$22&lt;B3269))</f>
        <v/>
      </c>
      <c r="E3269">
        <f>SUMPRODUCT(Calc!$K$3:$K$22*(Calc!$G$3:$G$22&gt;=B3269))</f>
        <v/>
      </c>
      <c r="F3269">
        <f>AND(k_n&gt;=5,B3269&gt;A3269+1E-9,C3269&gt;=2,D3269&gt;=1,E3269&gt;=2)</f>
        <v/>
      </c>
      <c r="G3269">
        <f>SUMPRODUCT(Calc!$K$3:$K$22*(Calc!$G$3:$G$22&gt;A3269)*(Calc!$G$3:$G$22-A3269))</f>
        <v/>
      </c>
      <c r="H3269">
        <f>SUMPRODUCT(Calc!$K$3:$K$22*(Calc!$G$3:$G$22&gt;B3269)*(Calc!$G$3:$G$22-B3269))</f>
        <v/>
      </c>
      <c r="I3269">
        <f>SUMPRODUCT(Calc!$K$3:$K$22*(Calc!$G$3:$G$22&gt;A3269)*(Calc!$G$3:$G$22-A3269)^2)</f>
        <v/>
      </c>
      <c r="J3269">
        <f>SUMPRODUCT(Calc!$K$3:$K$22*(Calc!$G$3:$G$22&gt;B3269)*(Calc!$G$3:$G$22-B3269)^2)</f>
        <v/>
      </c>
      <c r="K3269">
        <f>SUMPRODUCT(Calc!$K$3:$K$22*(Calc!$G$3:$G$22&gt;A3269)*(Calc!$G$3:$G$22-A3269)*(Calc!$G$3:$G$22&gt;B3269)*(Calc!$G$3:$G$22-B3269))</f>
        <v/>
      </c>
      <c r="L3269">
        <f>SUMPRODUCT(Calc!$K$3:$K$22*(Calc!$G$3:$G$22&gt;A3269)*(Calc!$G$3:$G$22-A3269)*Calc!$G$3:$G$22)</f>
        <v/>
      </c>
      <c r="M3269">
        <f>SUMPRODUCT(Calc!$K$3:$K$22*(Calc!$G$3:$G$22&gt;B3269)*(Calc!$G$3:$G$22-B3269)*Calc!$G$3:$G$22)</f>
        <v/>
      </c>
      <c r="N3269">
        <f>SUMPRODUCT(Calc!$K$3:$K$22*(Calc!$G$3:$G$22&gt;A3269)*(Calc!$G$3:$G$22-A3269)*Calc!$I$3:$I$22)</f>
        <v/>
      </c>
      <c r="O3269">
        <f>SUMPRODUCT(Calc!$K$3:$K$22*(Calc!$G$3:$G$22&gt;B3269)*(Calc!$G$3:$G$22-B3269)*Calc!$I$3:$I$22)</f>
        <v/>
      </c>
      <c r="P3269">
        <f>I3269-G3269^2/k_n</f>
        <v/>
      </c>
      <c r="Q3269">
        <f>J3269-H3269^2/k_n</f>
        <v/>
      </c>
      <c r="R3269">
        <f>K3269-G3269*H3269/k_n</f>
        <v/>
      </c>
      <c r="S3269">
        <f>L3269-LTP3!$D$3*G3269/k_n</f>
        <v/>
      </c>
      <c r="T3269">
        <f>M3269-LTP3!$D$3*H3269/k_n</f>
        <v/>
      </c>
      <c r="U3269">
        <f>N3269-G3269*LTP3!$D$4/k_n</f>
        <v/>
      </c>
      <c r="V3269">
        <f>O3269-H3269*LTP3!$D$4/k_n</f>
        <v/>
      </c>
      <c r="W3269">
        <f>((LTP3!$D$5)*((P3269)*(Q3269)-(R3269)*(R3269))-(S3269)*((S3269)*(Q3269)-(R3269)*(T3269))+(T3269)*((S3269)*(R3269)-(P3269)*(T3269)))</f>
        <v/>
      </c>
      <c r="X3269">
        <f>IF(ABS(W3269)&gt;1E-12,((LTP3!$D$6)*((P3269)*(Q3269)-(R3269)*(R3269))-(S3269)*((U3269)*(Q3269)-(R3269)*(V3269))+(T3269)*((U3269)*(R3269)-(P3269)*(V3269)))/W3269,0)</f>
        <v/>
      </c>
      <c r="Y3269">
        <f>IF(ABS(W3269)&gt;1E-12,((LTP3!$D$5)*((U3269)*(Q3269)-(R3269)*(V3269))-(LTP3!$D$6)*((S3269)*(Q3269)-(R3269)*(T3269))+(T3269)*((S3269)*(V3269)-(U3269)*(T3269)))/W3269,0)</f>
        <v/>
      </c>
      <c r="Z3269">
        <f>IF(ABS(W3269)&gt;1E-12,((LTP3!$D$5)*((P3269)*(V3269)-(U3269)*(R3269))-(S3269)*((S3269)*(V3269)-(U3269)*(T3269))+(LTP3!$D$6)*((S3269)*(R3269)-(P3269)*(T3269)))/W3269,0)</f>
        <v/>
      </c>
      <c r="AA3269">
        <f>LTP3!$D$7-X3269*LTP3!$D$6-Y3269*U3269-Z3269*V3269</f>
        <v/>
      </c>
      <c r="AB3269">
        <f>IF(AND(F3269,ABS(W3269)&gt;1E-12,Y3269&gt;0,Z3269&gt;0),AA3269,1E+300)</f>
        <v/>
      </c>
    </row>
    <row r="3270">
      <c r="A3270">
        <f>$B$3+$B$5*53</f>
        <v/>
      </c>
      <c r="B3270">
        <f>$B$3+$B$5*25</f>
        <v/>
      </c>
      <c r="C3270">
        <f>SUMPRODUCT(Calc!$K$3:$K$22*(Calc!$G$3:$G$22&lt;=A3270))</f>
        <v/>
      </c>
      <c r="D3270">
        <f>SUMPRODUCT(Calc!$K$3:$K$22*(Calc!$G$3:$G$22&gt;A3270)*(Calc!$G$3:$G$22&lt;B3270))</f>
        <v/>
      </c>
      <c r="E3270">
        <f>SUMPRODUCT(Calc!$K$3:$K$22*(Calc!$G$3:$G$22&gt;=B3270))</f>
        <v/>
      </c>
      <c r="F3270">
        <f>AND(k_n&gt;=5,B3270&gt;A3270+1E-9,C3270&gt;=2,D3270&gt;=1,E3270&gt;=2)</f>
        <v/>
      </c>
      <c r="G3270">
        <f>SUMPRODUCT(Calc!$K$3:$K$22*(Calc!$G$3:$G$22&gt;A3270)*(Calc!$G$3:$G$22-A3270))</f>
        <v/>
      </c>
      <c r="H3270">
        <f>SUMPRODUCT(Calc!$K$3:$K$22*(Calc!$G$3:$G$22&gt;B3270)*(Calc!$G$3:$G$22-B3270))</f>
        <v/>
      </c>
      <c r="I3270">
        <f>SUMPRODUCT(Calc!$K$3:$K$22*(Calc!$G$3:$G$22&gt;A3270)*(Calc!$G$3:$G$22-A3270)^2)</f>
        <v/>
      </c>
      <c r="J3270">
        <f>SUMPRODUCT(Calc!$K$3:$K$22*(Calc!$G$3:$G$22&gt;B3270)*(Calc!$G$3:$G$22-B3270)^2)</f>
        <v/>
      </c>
      <c r="K3270">
        <f>SUMPRODUCT(Calc!$K$3:$K$22*(Calc!$G$3:$G$22&gt;A3270)*(Calc!$G$3:$G$22-A3270)*(Calc!$G$3:$G$22&gt;B3270)*(Calc!$G$3:$G$22-B3270))</f>
        <v/>
      </c>
      <c r="L3270">
        <f>SUMPRODUCT(Calc!$K$3:$K$22*(Calc!$G$3:$G$22&gt;A3270)*(Calc!$G$3:$G$22-A3270)*Calc!$G$3:$G$22)</f>
        <v/>
      </c>
      <c r="M3270">
        <f>SUMPRODUCT(Calc!$K$3:$K$22*(Calc!$G$3:$G$22&gt;B3270)*(Calc!$G$3:$G$22-B3270)*Calc!$G$3:$G$22)</f>
        <v/>
      </c>
      <c r="N3270">
        <f>SUMPRODUCT(Calc!$K$3:$K$22*(Calc!$G$3:$G$22&gt;A3270)*(Calc!$G$3:$G$22-A3270)*Calc!$I$3:$I$22)</f>
        <v/>
      </c>
      <c r="O3270">
        <f>SUMPRODUCT(Calc!$K$3:$K$22*(Calc!$G$3:$G$22&gt;B3270)*(Calc!$G$3:$G$22-B3270)*Calc!$I$3:$I$22)</f>
        <v/>
      </c>
      <c r="P3270">
        <f>I3270-G3270^2/k_n</f>
        <v/>
      </c>
      <c r="Q3270">
        <f>J3270-H3270^2/k_n</f>
        <v/>
      </c>
      <c r="R3270">
        <f>K3270-G3270*H3270/k_n</f>
        <v/>
      </c>
      <c r="S3270">
        <f>L3270-LTP3!$D$3*G3270/k_n</f>
        <v/>
      </c>
      <c r="T3270">
        <f>M3270-LTP3!$D$3*H3270/k_n</f>
        <v/>
      </c>
      <c r="U3270">
        <f>N3270-G3270*LTP3!$D$4/k_n</f>
        <v/>
      </c>
      <c r="V3270">
        <f>O3270-H3270*LTP3!$D$4/k_n</f>
        <v/>
      </c>
      <c r="W3270">
        <f>((LTP3!$D$5)*((P3270)*(Q3270)-(R3270)*(R3270))-(S3270)*((S3270)*(Q3270)-(R3270)*(T3270))+(T3270)*((S3270)*(R3270)-(P3270)*(T3270)))</f>
        <v/>
      </c>
      <c r="X3270">
        <f>IF(ABS(W3270)&gt;1E-12,((LTP3!$D$6)*((P3270)*(Q3270)-(R3270)*(R3270))-(S3270)*((U3270)*(Q3270)-(R3270)*(V3270))+(T3270)*((U3270)*(R3270)-(P3270)*(V3270)))/W3270,0)</f>
        <v/>
      </c>
      <c r="Y3270">
        <f>IF(ABS(W3270)&gt;1E-12,((LTP3!$D$5)*((U3270)*(Q3270)-(R3270)*(V3270))-(LTP3!$D$6)*((S3270)*(Q3270)-(R3270)*(T3270))+(T3270)*((S3270)*(V3270)-(U3270)*(T3270)))/W3270,0)</f>
        <v/>
      </c>
      <c r="Z3270">
        <f>IF(ABS(W3270)&gt;1E-12,((LTP3!$D$5)*((P3270)*(V3270)-(U3270)*(R3270))-(S3270)*((S3270)*(V3270)-(U3270)*(T3270))+(LTP3!$D$6)*((S3270)*(R3270)-(P3270)*(T3270)))/W3270,0)</f>
        <v/>
      </c>
      <c r="AA3270">
        <f>LTP3!$D$7-X3270*LTP3!$D$6-Y3270*U3270-Z3270*V3270</f>
        <v/>
      </c>
      <c r="AB3270">
        <f>IF(AND(F3270,ABS(W3270)&gt;1E-12,Y3270&gt;0,Z3270&gt;0),AA3270,1E+300)</f>
        <v/>
      </c>
    </row>
    <row r="3271">
      <c r="A3271">
        <f>$B$3+$B$5*53</f>
        <v/>
      </c>
      <c r="B3271">
        <f>$B$3+$B$5*26</f>
        <v/>
      </c>
      <c r="C3271">
        <f>SUMPRODUCT(Calc!$K$3:$K$22*(Calc!$G$3:$G$22&lt;=A3271))</f>
        <v/>
      </c>
      <c r="D3271">
        <f>SUMPRODUCT(Calc!$K$3:$K$22*(Calc!$G$3:$G$22&gt;A3271)*(Calc!$G$3:$G$22&lt;B3271))</f>
        <v/>
      </c>
      <c r="E3271">
        <f>SUMPRODUCT(Calc!$K$3:$K$22*(Calc!$G$3:$G$22&gt;=B3271))</f>
        <v/>
      </c>
      <c r="F3271">
        <f>AND(k_n&gt;=5,B3271&gt;A3271+1E-9,C3271&gt;=2,D3271&gt;=1,E3271&gt;=2)</f>
        <v/>
      </c>
      <c r="G3271">
        <f>SUMPRODUCT(Calc!$K$3:$K$22*(Calc!$G$3:$G$22&gt;A3271)*(Calc!$G$3:$G$22-A3271))</f>
        <v/>
      </c>
      <c r="H3271">
        <f>SUMPRODUCT(Calc!$K$3:$K$22*(Calc!$G$3:$G$22&gt;B3271)*(Calc!$G$3:$G$22-B3271))</f>
        <v/>
      </c>
      <c r="I3271">
        <f>SUMPRODUCT(Calc!$K$3:$K$22*(Calc!$G$3:$G$22&gt;A3271)*(Calc!$G$3:$G$22-A3271)^2)</f>
        <v/>
      </c>
      <c r="J3271">
        <f>SUMPRODUCT(Calc!$K$3:$K$22*(Calc!$G$3:$G$22&gt;B3271)*(Calc!$G$3:$G$22-B3271)^2)</f>
        <v/>
      </c>
      <c r="K3271">
        <f>SUMPRODUCT(Calc!$K$3:$K$22*(Calc!$G$3:$G$22&gt;A3271)*(Calc!$G$3:$G$22-A3271)*(Calc!$G$3:$G$22&gt;B3271)*(Calc!$G$3:$G$22-B3271))</f>
        <v/>
      </c>
      <c r="L3271">
        <f>SUMPRODUCT(Calc!$K$3:$K$22*(Calc!$G$3:$G$22&gt;A3271)*(Calc!$G$3:$G$22-A3271)*Calc!$G$3:$G$22)</f>
        <v/>
      </c>
      <c r="M3271">
        <f>SUMPRODUCT(Calc!$K$3:$K$22*(Calc!$G$3:$G$22&gt;B3271)*(Calc!$G$3:$G$22-B3271)*Calc!$G$3:$G$22)</f>
        <v/>
      </c>
      <c r="N3271">
        <f>SUMPRODUCT(Calc!$K$3:$K$22*(Calc!$G$3:$G$22&gt;A3271)*(Calc!$G$3:$G$22-A3271)*Calc!$I$3:$I$22)</f>
        <v/>
      </c>
      <c r="O3271">
        <f>SUMPRODUCT(Calc!$K$3:$K$22*(Calc!$G$3:$G$22&gt;B3271)*(Calc!$G$3:$G$22-B3271)*Calc!$I$3:$I$22)</f>
        <v/>
      </c>
      <c r="P3271">
        <f>I3271-G3271^2/k_n</f>
        <v/>
      </c>
      <c r="Q3271">
        <f>J3271-H3271^2/k_n</f>
        <v/>
      </c>
      <c r="R3271">
        <f>K3271-G3271*H3271/k_n</f>
        <v/>
      </c>
      <c r="S3271">
        <f>L3271-LTP3!$D$3*G3271/k_n</f>
        <v/>
      </c>
      <c r="T3271">
        <f>M3271-LTP3!$D$3*H3271/k_n</f>
        <v/>
      </c>
      <c r="U3271">
        <f>N3271-G3271*LTP3!$D$4/k_n</f>
        <v/>
      </c>
      <c r="V3271">
        <f>O3271-H3271*LTP3!$D$4/k_n</f>
        <v/>
      </c>
      <c r="W3271">
        <f>((LTP3!$D$5)*((P3271)*(Q3271)-(R3271)*(R3271))-(S3271)*((S3271)*(Q3271)-(R3271)*(T3271))+(T3271)*((S3271)*(R3271)-(P3271)*(T3271)))</f>
        <v/>
      </c>
      <c r="X3271">
        <f>IF(ABS(W3271)&gt;1E-12,((LTP3!$D$6)*((P3271)*(Q3271)-(R3271)*(R3271))-(S3271)*((U3271)*(Q3271)-(R3271)*(V3271))+(T3271)*((U3271)*(R3271)-(P3271)*(V3271)))/W3271,0)</f>
        <v/>
      </c>
      <c r="Y3271">
        <f>IF(ABS(W3271)&gt;1E-12,((LTP3!$D$5)*((U3271)*(Q3271)-(R3271)*(V3271))-(LTP3!$D$6)*((S3271)*(Q3271)-(R3271)*(T3271))+(T3271)*((S3271)*(V3271)-(U3271)*(T3271)))/W3271,0)</f>
        <v/>
      </c>
      <c r="Z3271">
        <f>IF(ABS(W3271)&gt;1E-12,((LTP3!$D$5)*((P3271)*(V3271)-(U3271)*(R3271))-(S3271)*((S3271)*(V3271)-(U3271)*(T3271))+(LTP3!$D$6)*((S3271)*(R3271)-(P3271)*(T3271)))/W3271,0)</f>
        <v/>
      </c>
      <c r="AA3271">
        <f>LTP3!$D$7-X3271*LTP3!$D$6-Y3271*U3271-Z3271*V3271</f>
        <v/>
      </c>
      <c r="AB3271">
        <f>IF(AND(F3271,ABS(W3271)&gt;1E-12,Y3271&gt;0,Z3271&gt;0),AA3271,1E+300)</f>
        <v/>
      </c>
    </row>
    <row r="3272">
      <c r="A3272">
        <f>$B$3+$B$5*53</f>
        <v/>
      </c>
      <c r="B3272">
        <f>$B$3+$B$5*27</f>
        <v/>
      </c>
      <c r="C3272">
        <f>SUMPRODUCT(Calc!$K$3:$K$22*(Calc!$G$3:$G$22&lt;=A3272))</f>
        <v/>
      </c>
      <c r="D3272">
        <f>SUMPRODUCT(Calc!$K$3:$K$22*(Calc!$G$3:$G$22&gt;A3272)*(Calc!$G$3:$G$22&lt;B3272))</f>
        <v/>
      </c>
      <c r="E3272">
        <f>SUMPRODUCT(Calc!$K$3:$K$22*(Calc!$G$3:$G$22&gt;=B3272))</f>
        <v/>
      </c>
      <c r="F3272">
        <f>AND(k_n&gt;=5,B3272&gt;A3272+1E-9,C3272&gt;=2,D3272&gt;=1,E3272&gt;=2)</f>
        <v/>
      </c>
      <c r="G3272">
        <f>SUMPRODUCT(Calc!$K$3:$K$22*(Calc!$G$3:$G$22&gt;A3272)*(Calc!$G$3:$G$22-A3272))</f>
        <v/>
      </c>
      <c r="H3272">
        <f>SUMPRODUCT(Calc!$K$3:$K$22*(Calc!$G$3:$G$22&gt;B3272)*(Calc!$G$3:$G$22-B3272))</f>
        <v/>
      </c>
      <c r="I3272">
        <f>SUMPRODUCT(Calc!$K$3:$K$22*(Calc!$G$3:$G$22&gt;A3272)*(Calc!$G$3:$G$22-A3272)^2)</f>
        <v/>
      </c>
      <c r="J3272">
        <f>SUMPRODUCT(Calc!$K$3:$K$22*(Calc!$G$3:$G$22&gt;B3272)*(Calc!$G$3:$G$22-B3272)^2)</f>
        <v/>
      </c>
      <c r="K3272">
        <f>SUMPRODUCT(Calc!$K$3:$K$22*(Calc!$G$3:$G$22&gt;A3272)*(Calc!$G$3:$G$22-A3272)*(Calc!$G$3:$G$22&gt;B3272)*(Calc!$G$3:$G$22-B3272))</f>
        <v/>
      </c>
      <c r="L3272">
        <f>SUMPRODUCT(Calc!$K$3:$K$22*(Calc!$G$3:$G$22&gt;A3272)*(Calc!$G$3:$G$22-A3272)*Calc!$G$3:$G$22)</f>
        <v/>
      </c>
      <c r="M3272">
        <f>SUMPRODUCT(Calc!$K$3:$K$22*(Calc!$G$3:$G$22&gt;B3272)*(Calc!$G$3:$G$22-B3272)*Calc!$G$3:$G$22)</f>
        <v/>
      </c>
      <c r="N3272">
        <f>SUMPRODUCT(Calc!$K$3:$K$22*(Calc!$G$3:$G$22&gt;A3272)*(Calc!$G$3:$G$22-A3272)*Calc!$I$3:$I$22)</f>
        <v/>
      </c>
      <c r="O3272">
        <f>SUMPRODUCT(Calc!$K$3:$K$22*(Calc!$G$3:$G$22&gt;B3272)*(Calc!$G$3:$G$22-B3272)*Calc!$I$3:$I$22)</f>
        <v/>
      </c>
      <c r="P3272">
        <f>I3272-G3272^2/k_n</f>
        <v/>
      </c>
      <c r="Q3272">
        <f>J3272-H3272^2/k_n</f>
        <v/>
      </c>
      <c r="R3272">
        <f>K3272-G3272*H3272/k_n</f>
        <v/>
      </c>
      <c r="S3272">
        <f>L3272-LTP3!$D$3*G3272/k_n</f>
        <v/>
      </c>
      <c r="T3272">
        <f>M3272-LTP3!$D$3*H3272/k_n</f>
        <v/>
      </c>
      <c r="U3272">
        <f>N3272-G3272*LTP3!$D$4/k_n</f>
        <v/>
      </c>
      <c r="V3272">
        <f>O3272-H3272*LTP3!$D$4/k_n</f>
        <v/>
      </c>
      <c r="W3272">
        <f>((LTP3!$D$5)*((P3272)*(Q3272)-(R3272)*(R3272))-(S3272)*((S3272)*(Q3272)-(R3272)*(T3272))+(T3272)*((S3272)*(R3272)-(P3272)*(T3272)))</f>
        <v/>
      </c>
      <c r="X3272">
        <f>IF(ABS(W3272)&gt;1E-12,((LTP3!$D$6)*((P3272)*(Q3272)-(R3272)*(R3272))-(S3272)*((U3272)*(Q3272)-(R3272)*(V3272))+(T3272)*((U3272)*(R3272)-(P3272)*(V3272)))/W3272,0)</f>
        <v/>
      </c>
      <c r="Y3272">
        <f>IF(ABS(W3272)&gt;1E-12,((LTP3!$D$5)*((U3272)*(Q3272)-(R3272)*(V3272))-(LTP3!$D$6)*((S3272)*(Q3272)-(R3272)*(T3272))+(T3272)*((S3272)*(V3272)-(U3272)*(T3272)))/W3272,0)</f>
        <v/>
      </c>
      <c r="Z3272">
        <f>IF(ABS(W3272)&gt;1E-12,((LTP3!$D$5)*((P3272)*(V3272)-(U3272)*(R3272))-(S3272)*((S3272)*(V3272)-(U3272)*(T3272))+(LTP3!$D$6)*((S3272)*(R3272)-(P3272)*(T3272)))/W3272,0)</f>
        <v/>
      </c>
      <c r="AA3272">
        <f>LTP3!$D$7-X3272*LTP3!$D$6-Y3272*U3272-Z3272*V3272</f>
        <v/>
      </c>
      <c r="AB3272">
        <f>IF(AND(F3272,ABS(W3272)&gt;1E-12,Y3272&gt;0,Z3272&gt;0),AA3272,1E+300)</f>
        <v/>
      </c>
    </row>
    <row r="3273">
      <c r="A3273">
        <f>$B$3+$B$5*53</f>
        <v/>
      </c>
      <c r="B3273">
        <f>$B$3+$B$5*28</f>
        <v/>
      </c>
      <c r="C3273">
        <f>SUMPRODUCT(Calc!$K$3:$K$22*(Calc!$G$3:$G$22&lt;=A3273))</f>
        <v/>
      </c>
      <c r="D3273">
        <f>SUMPRODUCT(Calc!$K$3:$K$22*(Calc!$G$3:$G$22&gt;A3273)*(Calc!$G$3:$G$22&lt;B3273))</f>
        <v/>
      </c>
      <c r="E3273">
        <f>SUMPRODUCT(Calc!$K$3:$K$22*(Calc!$G$3:$G$22&gt;=B3273))</f>
        <v/>
      </c>
      <c r="F3273">
        <f>AND(k_n&gt;=5,B3273&gt;A3273+1E-9,C3273&gt;=2,D3273&gt;=1,E3273&gt;=2)</f>
        <v/>
      </c>
      <c r="G3273">
        <f>SUMPRODUCT(Calc!$K$3:$K$22*(Calc!$G$3:$G$22&gt;A3273)*(Calc!$G$3:$G$22-A3273))</f>
        <v/>
      </c>
      <c r="H3273">
        <f>SUMPRODUCT(Calc!$K$3:$K$22*(Calc!$G$3:$G$22&gt;B3273)*(Calc!$G$3:$G$22-B3273))</f>
        <v/>
      </c>
      <c r="I3273">
        <f>SUMPRODUCT(Calc!$K$3:$K$22*(Calc!$G$3:$G$22&gt;A3273)*(Calc!$G$3:$G$22-A3273)^2)</f>
        <v/>
      </c>
      <c r="J3273">
        <f>SUMPRODUCT(Calc!$K$3:$K$22*(Calc!$G$3:$G$22&gt;B3273)*(Calc!$G$3:$G$22-B3273)^2)</f>
        <v/>
      </c>
      <c r="K3273">
        <f>SUMPRODUCT(Calc!$K$3:$K$22*(Calc!$G$3:$G$22&gt;A3273)*(Calc!$G$3:$G$22-A3273)*(Calc!$G$3:$G$22&gt;B3273)*(Calc!$G$3:$G$22-B3273))</f>
        <v/>
      </c>
      <c r="L3273">
        <f>SUMPRODUCT(Calc!$K$3:$K$22*(Calc!$G$3:$G$22&gt;A3273)*(Calc!$G$3:$G$22-A3273)*Calc!$G$3:$G$22)</f>
        <v/>
      </c>
      <c r="M3273">
        <f>SUMPRODUCT(Calc!$K$3:$K$22*(Calc!$G$3:$G$22&gt;B3273)*(Calc!$G$3:$G$22-B3273)*Calc!$G$3:$G$22)</f>
        <v/>
      </c>
      <c r="N3273">
        <f>SUMPRODUCT(Calc!$K$3:$K$22*(Calc!$G$3:$G$22&gt;A3273)*(Calc!$G$3:$G$22-A3273)*Calc!$I$3:$I$22)</f>
        <v/>
      </c>
      <c r="O3273">
        <f>SUMPRODUCT(Calc!$K$3:$K$22*(Calc!$G$3:$G$22&gt;B3273)*(Calc!$G$3:$G$22-B3273)*Calc!$I$3:$I$22)</f>
        <v/>
      </c>
      <c r="P3273">
        <f>I3273-G3273^2/k_n</f>
        <v/>
      </c>
      <c r="Q3273">
        <f>J3273-H3273^2/k_n</f>
        <v/>
      </c>
      <c r="R3273">
        <f>K3273-G3273*H3273/k_n</f>
        <v/>
      </c>
      <c r="S3273">
        <f>L3273-LTP3!$D$3*G3273/k_n</f>
        <v/>
      </c>
      <c r="T3273">
        <f>M3273-LTP3!$D$3*H3273/k_n</f>
        <v/>
      </c>
      <c r="U3273">
        <f>N3273-G3273*LTP3!$D$4/k_n</f>
        <v/>
      </c>
      <c r="V3273">
        <f>O3273-H3273*LTP3!$D$4/k_n</f>
        <v/>
      </c>
      <c r="W3273">
        <f>((LTP3!$D$5)*((P3273)*(Q3273)-(R3273)*(R3273))-(S3273)*((S3273)*(Q3273)-(R3273)*(T3273))+(T3273)*((S3273)*(R3273)-(P3273)*(T3273)))</f>
        <v/>
      </c>
      <c r="X3273">
        <f>IF(ABS(W3273)&gt;1E-12,((LTP3!$D$6)*((P3273)*(Q3273)-(R3273)*(R3273))-(S3273)*((U3273)*(Q3273)-(R3273)*(V3273))+(T3273)*((U3273)*(R3273)-(P3273)*(V3273)))/W3273,0)</f>
        <v/>
      </c>
      <c r="Y3273">
        <f>IF(ABS(W3273)&gt;1E-12,((LTP3!$D$5)*((U3273)*(Q3273)-(R3273)*(V3273))-(LTP3!$D$6)*((S3273)*(Q3273)-(R3273)*(T3273))+(T3273)*((S3273)*(V3273)-(U3273)*(T3273)))/W3273,0)</f>
        <v/>
      </c>
      <c r="Z3273">
        <f>IF(ABS(W3273)&gt;1E-12,((LTP3!$D$5)*((P3273)*(V3273)-(U3273)*(R3273))-(S3273)*((S3273)*(V3273)-(U3273)*(T3273))+(LTP3!$D$6)*((S3273)*(R3273)-(P3273)*(T3273)))/W3273,0)</f>
        <v/>
      </c>
      <c r="AA3273">
        <f>LTP3!$D$7-X3273*LTP3!$D$6-Y3273*U3273-Z3273*V3273</f>
        <v/>
      </c>
      <c r="AB3273">
        <f>IF(AND(F3273,ABS(W3273)&gt;1E-12,Y3273&gt;0,Z3273&gt;0),AA3273,1E+300)</f>
        <v/>
      </c>
    </row>
    <row r="3274">
      <c r="A3274">
        <f>$B$3+$B$5*53</f>
        <v/>
      </c>
      <c r="B3274">
        <f>$B$3+$B$5*29</f>
        <v/>
      </c>
      <c r="C3274">
        <f>SUMPRODUCT(Calc!$K$3:$K$22*(Calc!$G$3:$G$22&lt;=A3274))</f>
        <v/>
      </c>
      <c r="D3274">
        <f>SUMPRODUCT(Calc!$K$3:$K$22*(Calc!$G$3:$G$22&gt;A3274)*(Calc!$G$3:$G$22&lt;B3274))</f>
        <v/>
      </c>
      <c r="E3274">
        <f>SUMPRODUCT(Calc!$K$3:$K$22*(Calc!$G$3:$G$22&gt;=B3274))</f>
        <v/>
      </c>
      <c r="F3274">
        <f>AND(k_n&gt;=5,B3274&gt;A3274+1E-9,C3274&gt;=2,D3274&gt;=1,E3274&gt;=2)</f>
        <v/>
      </c>
      <c r="G3274">
        <f>SUMPRODUCT(Calc!$K$3:$K$22*(Calc!$G$3:$G$22&gt;A3274)*(Calc!$G$3:$G$22-A3274))</f>
        <v/>
      </c>
      <c r="H3274">
        <f>SUMPRODUCT(Calc!$K$3:$K$22*(Calc!$G$3:$G$22&gt;B3274)*(Calc!$G$3:$G$22-B3274))</f>
        <v/>
      </c>
      <c r="I3274">
        <f>SUMPRODUCT(Calc!$K$3:$K$22*(Calc!$G$3:$G$22&gt;A3274)*(Calc!$G$3:$G$22-A3274)^2)</f>
        <v/>
      </c>
      <c r="J3274">
        <f>SUMPRODUCT(Calc!$K$3:$K$22*(Calc!$G$3:$G$22&gt;B3274)*(Calc!$G$3:$G$22-B3274)^2)</f>
        <v/>
      </c>
      <c r="K3274">
        <f>SUMPRODUCT(Calc!$K$3:$K$22*(Calc!$G$3:$G$22&gt;A3274)*(Calc!$G$3:$G$22-A3274)*(Calc!$G$3:$G$22&gt;B3274)*(Calc!$G$3:$G$22-B3274))</f>
        <v/>
      </c>
      <c r="L3274">
        <f>SUMPRODUCT(Calc!$K$3:$K$22*(Calc!$G$3:$G$22&gt;A3274)*(Calc!$G$3:$G$22-A3274)*Calc!$G$3:$G$22)</f>
        <v/>
      </c>
      <c r="M3274">
        <f>SUMPRODUCT(Calc!$K$3:$K$22*(Calc!$G$3:$G$22&gt;B3274)*(Calc!$G$3:$G$22-B3274)*Calc!$G$3:$G$22)</f>
        <v/>
      </c>
      <c r="N3274">
        <f>SUMPRODUCT(Calc!$K$3:$K$22*(Calc!$G$3:$G$22&gt;A3274)*(Calc!$G$3:$G$22-A3274)*Calc!$I$3:$I$22)</f>
        <v/>
      </c>
      <c r="O3274">
        <f>SUMPRODUCT(Calc!$K$3:$K$22*(Calc!$G$3:$G$22&gt;B3274)*(Calc!$G$3:$G$22-B3274)*Calc!$I$3:$I$22)</f>
        <v/>
      </c>
      <c r="P3274">
        <f>I3274-G3274^2/k_n</f>
        <v/>
      </c>
      <c r="Q3274">
        <f>J3274-H3274^2/k_n</f>
        <v/>
      </c>
      <c r="R3274">
        <f>K3274-G3274*H3274/k_n</f>
        <v/>
      </c>
      <c r="S3274">
        <f>L3274-LTP3!$D$3*G3274/k_n</f>
        <v/>
      </c>
      <c r="T3274">
        <f>M3274-LTP3!$D$3*H3274/k_n</f>
        <v/>
      </c>
      <c r="U3274">
        <f>N3274-G3274*LTP3!$D$4/k_n</f>
        <v/>
      </c>
      <c r="V3274">
        <f>O3274-H3274*LTP3!$D$4/k_n</f>
        <v/>
      </c>
      <c r="W3274">
        <f>((LTP3!$D$5)*((P3274)*(Q3274)-(R3274)*(R3274))-(S3274)*((S3274)*(Q3274)-(R3274)*(T3274))+(T3274)*((S3274)*(R3274)-(P3274)*(T3274)))</f>
        <v/>
      </c>
      <c r="X3274">
        <f>IF(ABS(W3274)&gt;1E-12,((LTP3!$D$6)*((P3274)*(Q3274)-(R3274)*(R3274))-(S3274)*((U3274)*(Q3274)-(R3274)*(V3274))+(T3274)*((U3274)*(R3274)-(P3274)*(V3274)))/W3274,0)</f>
        <v/>
      </c>
      <c r="Y3274">
        <f>IF(ABS(W3274)&gt;1E-12,((LTP3!$D$5)*((U3274)*(Q3274)-(R3274)*(V3274))-(LTP3!$D$6)*((S3274)*(Q3274)-(R3274)*(T3274))+(T3274)*((S3274)*(V3274)-(U3274)*(T3274)))/W3274,0)</f>
        <v/>
      </c>
      <c r="Z3274">
        <f>IF(ABS(W3274)&gt;1E-12,((LTP3!$D$5)*((P3274)*(V3274)-(U3274)*(R3274))-(S3274)*((S3274)*(V3274)-(U3274)*(T3274))+(LTP3!$D$6)*((S3274)*(R3274)-(P3274)*(T3274)))/W3274,0)</f>
        <v/>
      </c>
      <c r="AA3274">
        <f>LTP3!$D$7-X3274*LTP3!$D$6-Y3274*U3274-Z3274*V3274</f>
        <v/>
      </c>
      <c r="AB3274">
        <f>IF(AND(F3274,ABS(W3274)&gt;1E-12,Y3274&gt;0,Z3274&gt;0),AA3274,1E+300)</f>
        <v/>
      </c>
    </row>
    <row r="3275">
      <c r="A3275">
        <f>$B$3+$B$5*53</f>
        <v/>
      </c>
      <c r="B3275">
        <f>$B$3+$B$5*30</f>
        <v/>
      </c>
      <c r="C3275">
        <f>SUMPRODUCT(Calc!$K$3:$K$22*(Calc!$G$3:$G$22&lt;=A3275))</f>
        <v/>
      </c>
      <c r="D3275">
        <f>SUMPRODUCT(Calc!$K$3:$K$22*(Calc!$G$3:$G$22&gt;A3275)*(Calc!$G$3:$G$22&lt;B3275))</f>
        <v/>
      </c>
      <c r="E3275">
        <f>SUMPRODUCT(Calc!$K$3:$K$22*(Calc!$G$3:$G$22&gt;=B3275))</f>
        <v/>
      </c>
      <c r="F3275">
        <f>AND(k_n&gt;=5,B3275&gt;A3275+1E-9,C3275&gt;=2,D3275&gt;=1,E3275&gt;=2)</f>
        <v/>
      </c>
      <c r="G3275">
        <f>SUMPRODUCT(Calc!$K$3:$K$22*(Calc!$G$3:$G$22&gt;A3275)*(Calc!$G$3:$G$22-A3275))</f>
        <v/>
      </c>
      <c r="H3275">
        <f>SUMPRODUCT(Calc!$K$3:$K$22*(Calc!$G$3:$G$22&gt;B3275)*(Calc!$G$3:$G$22-B3275))</f>
        <v/>
      </c>
      <c r="I3275">
        <f>SUMPRODUCT(Calc!$K$3:$K$22*(Calc!$G$3:$G$22&gt;A3275)*(Calc!$G$3:$G$22-A3275)^2)</f>
        <v/>
      </c>
      <c r="J3275">
        <f>SUMPRODUCT(Calc!$K$3:$K$22*(Calc!$G$3:$G$22&gt;B3275)*(Calc!$G$3:$G$22-B3275)^2)</f>
        <v/>
      </c>
      <c r="K3275">
        <f>SUMPRODUCT(Calc!$K$3:$K$22*(Calc!$G$3:$G$22&gt;A3275)*(Calc!$G$3:$G$22-A3275)*(Calc!$G$3:$G$22&gt;B3275)*(Calc!$G$3:$G$22-B3275))</f>
        <v/>
      </c>
      <c r="L3275">
        <f>SUMPRODUCT(Calc!$K$3:$K$22*(Calc!$G$3:$G$22&gt;A3275)*(Calc!$G$3:$G$22-A3275)*Calc!$G$3:$G$22)</f>
        <v/>
      </c>
      <c r="M3275">
        <f>SUMPRODUCT(Calc!$K$3:$K$22*(Calc!$G$3:$G$22&gt;B3275)*(Calc!$G$3:$G$22-B3275)*Calc!$G$3:$G$22)</f>
        <v/>
      </c>
      <c r="N3275">
        <f>SUMPRODUCT(Calc!$K$3:$K$22*(Calc!$G$3:$G$22&gt;A3275)*(Calc!$G$3:$G$22-A3275)*Calc!$I$3:$I$22)</f>
        <v/>
      </c>
      <c r="O3275">
        <f>SUMPRODUCT(Calc!$K$3:$K$22*(Calc!$G$3:$G$22&gt;B3275)*(Calc!$G$3:$G$22-B3275)*Calc!$I$3:$I$22)</f>
        <v/>
      </c>
      <c r="P3275">
        <f>I3275-G3275^2/k_n</f>
        <v/>
      </c>
      <c r="Q3275">
        <f>J3275-H3275^2/k_n</f>
        <v/>
      </c>
      <c r="R3275">
        <f>K3275-G3275*H3275/k_n</f>
        <v/>
      </c>
      <c r="S3275">
        <f>L3275-LTP3!$D$3*G3275/k_n</f>
        <v/>
      </c>
      <c r="T3275">
        <f>M3275-LTP3!$D$3*H3275/k_n</f>
        <v/>
      </c>
      <c r="U3275">
        <f>N3275-G3275*LTP3!$D$4/k_n</f>
        <v/>
      </c>
      <c r="V3275">
        <f>O3275-H3275*LTP3!$D$4/k_n</f>
        <v/>
      </c>
      <c r="W3275">
        <f>((LTP3!$D$5)*((P3275)*(Q3275)-(R3275)*(R3275))-(S3275)*((S3275)*(Q3275)-(R3275)*(T3275))+(T3275)*((S3275)*(R3275)-(P3275)*(T3275)))</f>
        <v/>
      </c>
      <c r="X3275">
        <f>IF(ABS(W3275)&gt;1E-12,((LTP3!$D$6)*((P3275)*(Q3275)-(R3275)*(R3275))-(S3275)*((U3275)*(Q3275)-(R3275)*(V3275))+(T3275)*((U3275)*(R3275)-(P3275)*(V3275)))/W3275,0)</f>
        <v/>
      </c>
      <c r="Y3275">
        <f>IF(ABS(W3275)&gt;1E-12,((LTP3!$D$5)*((U3275)*(Q3275)-(R3275)*(V3275))-(LTP3!$D$6)*((S3275)*(Q3275)-(R3275)*(T3275))+(T3275)*((S3275)*(V3275)-(U3275)*(T3275)))/W3275,0)</f>
        <v/>
      </c>
      <c r="Z3275">
        <f>IF(ABS(W3275)&gt;1E-12,((LTP3!$D$5)*((P3275)*(V3275)-(U3275)*(R3275))-(S3275)*((S3275)*(V3275)-(U3275)*(T3275))+(LTP3!$D$6)*((S3275)*(R3275)-(P3275)*(T3275)))/W3275,0)</f>
        <v/>
      </c>
      <c r="AA3275">
        <f>LTP3!$D$7-X3275*LTP3!$D$6-Y3275*U3275-Z3275*V3275</f>
        <v/>
      </c>
      <c r="AB3275">
        <f>IF(AND(F3275,ABS(W3275)&gt;1E-12,Y3275&gt;0,Z3275&gt;0),AA3275,1E+300)</f>
        <v/>
      </c>
    </row>
    <row r="3276">
      <c r="A3276">
        <f>$B$3+$B$5*53</f>
        <v/>
      </c>
      <c r="B3276">
        <f>$B$3+$B$5*31</f>
        <v/>
      </c>
      <c r="C3276">
        <f>SUMPRODUCT(Calc!$K$3:$K$22*(Calc!$G$3:$G$22&lt;=A3276))</f>
        <v/>
      </c>
      <c r="D3276">
        <f>SUMPRODUCT(Calc!$K$3:$K$22*(Calc!$G$3:$G$22&gt;A3276)*(Calc!$G$3:$G$22&lt;B3276))</f>
        <v/>
      </c>
      <c r="E3276">
        <f>SUMPRODUCT(Calc!$K$3:$K$22*(Calc!$G$3:$G$22&gt;=B3276))</f>
        <v/>
      </c>
      <c r="F3276">
        <f>AND(k_n&gt;=5,B3276&gt;A3276+1E-9,C3276&gt;=2,D3276&gt;=1,E3276&gt;=2)</f>
        <v/>
      </c>
      <c r="G3276">
        <f>SUMPRODUCT(Calc!$K$3:$K$22*(Calc!$G$3:$G$22&gt;A3276)*(Calc!$G$3:$G$22-A3276))</f>
        <v/>
      </c>
      <c r="H3276">
        <f>SUMPRODUCT(Calc!$K$3:$K$22*(Calc!$G$3:$G$22&gt;B3276)*(Calc!$G$3:$G$22-B3276))</f>
        <v/>
      </c>
      <c r="I3276">
        <f>SUMPRODUCT(Calc!$K$3:$K$22*(Calc!$G$3:$G$22&gt;A3276)*(Calc!$G$3:$G$22-A3276)^2)</f>
        <v/>
      </c>
      <c r="J3276">
        <f>SUMPRODUCT(Calc!$K$3:$K$22*(Calc!$G$3:$G$22&gt;B3276)*(Calc!$G$3:$G$22-B3276)^2)</f>
        <v/>
      </c>
      <c r="K3276">
        <f>SUMPRODUCT(Calc!$K$3:$K$22*(Calc!$G$3:$G$22&gt;A3276)*(Calc!$G$3:$G$22-A3276)*(Calc!$G$3:$G$22&gt;B3276)*(Calc!$G$3:$G$22-B3276))</f>
        <v/>
      </c>
      <c r="L3276">
        <f>SUMPRODUCT(Calc!$K$3:$K$22*(Calc!$G$3:$G$22&gt;A3276)*(Calc!$G$3:$G$22-A3276)*Calc!$G$3:$G$22)</f>
        <v/>
      </c>
      <c r="M3276">
        <f>SUMPRODUCT(Calc!$K$3:$K$22*(Calc!$G$3:$G$22&gt;B3276)*(Calc!$G$3:$G$22-B3276)*Calc!$G$3:$G$22)</f>
        <v/>
      </c>
      <c r="N3276">
        <f>SUMPRODUCT(Calc!$K$3:$K$22*(Calc!$G$3:$G$22&gt;A3276)*(Calc!$G$3:$G$22-A3276)*Calc!$I$3:$I$22)</f>
        <v/>
      </c>
      <c r="O3276">
        <f>SUMPRODUCT(Calc!$K$3:$K$22*(Calc!$G$3:$G$22&gt;B3276)*(Calc!$G$3:$G$22-B3276)*Calc!$I$3:$I$22)</f>
        <v/>
      </c>
      <c r="P3276">
        <f>I3276-G3276^2/k_n</f>
        <v/>
      </c>
      <c r="Q3276">
        <f>J3276-H3276^2/k_n</f>
        <v/>
      </c>
      <c r="R3276">
        <f>K3276-G3276*H3276/k_n</f>
        <v/>
      </c>
      <c r="S3276">
        <f>L3276-LTP3!$D$3*G3276/k_n</f>
        <v/>
      </c>
      <c r="T3276">
        <f>M3276-LTP3!$D$3*H3276/k_n</f>
        <v/>
      </c>
      <c r="U3276">
        <f>N3276-G3276*LTP3!$D$4/k_n</f>
        <v/>
      </c>
      <c r="V3276">
        <f>O3276-H3276*LTP3!$D$4/k_n</f>
        <v/>
      </c>
      <c r="W3276">
        <f>((LTP3!$D$5)*((P3276)*(Q3276)-(R3276)*(R3276))-(S3276)*((S3276)*(Q3276)-(R3276)*(T3276))+(T3276)*((S3276)*(R3276)-(P3276)*(T3276)))</f>
        <v/>
      </c>
      <c r="X3276">
        <f>IF(ABS(W3276)&gt;1E-12,((LTP3!$D$6)*((P3276)*(Q3276)-(R3276)*(R3276))-(S3276)*((U3276)*(Q3276)-(R3276)*(V3276))+(T3276)*((U3276)*(R3276)-(P3276)*(V3276)))/W3276,0)</f>
        <v/>
      </c>
      <c r="Y3276">
        <f>IF(ABS(W3276)&gt;1E-12,((LTP3!$D$5)*((U3276)*(Q3276)-(R3276)*(V3276))-(LTP3!$D$6)*((S3276)*(Q3276)-(R3276)*(T3276))+(T3276)*((S3276)*(V3276)-(U3276)*(T3276)))/W3276,0)</f>
        <v/>
      </c>
      <c r="Z3276">
        <f>IF(ABS(W3276)&gt;1E-12,((LTP3!$D$5)*((P3276)*(V3276)-(U3276)*(R3276))-(S3276)*((S3276)*(V3276)-(U3276)*(T3276))+(LTP3!$D$6)*((S3276)*(R3276)-(P3276)*(T3276)))/W3276,0)</f>
        <v/>
      </c>
      <c r="AA3276">
        <f>LTP3!$D$7-X3276*LTP3!$D$6-Y3276*U3276-Z3276*V3276</f>
        <v/>
      </c>
      <c r="AB3276">
        <f>IF(AND(F3276,ABS(W3276)&gt;1E-12,Y3276&gt;0,Z3276&gt;0),AA3276,1E+300)</f>
        <v/>
      </c>
    </row>
    <row r="3277">
      <c r="A3277">
        <f>$B$3+$B$5*53</f>
        <v/>
      </c>
      <c r="B3277">
        <f>$B$3+$B$5*32</f>
        <v/>
      </c>
      <c r="C3277">
        <f>SUMPRODUCT(Calc!$K$3:$K$22*(Calc!$G$3:$G$22&lt;=A3277))</f>
        <v/>
      </c>
      <c r="D3277">
        <f>SUMPRODUCT(Calc!$K$3:$K$22*(Calc!$G$3:$G$22&gt;A3277)*(Calc!$G$3:$G$22&lt;B3277))</f>
        <v/>
      </c>
      <c r="E3277">
        <f>SUMPRODUCT(Calc!$K$3:$K$22*(Calc!$G$3:$G$22&gt;=B3277))</f>
        <v/>
      </c>
      <c r="F3277">
        <f>AND(k_n&gt;=5,B3277&gt;A3277+1E-9,C3277&gt;=2,D3277&gt;=1,E3277&gt;=2)</f>
        <v/>
      </c>
      <c r="G3277">
        <f>SUMPRODUCT(Calc!$K$3:$K$22*(Calc!$G$3:$G$22&gt;A3277)*(Calc!$G$3:$G$22-A3277))</f>
        <v/>
      </c>
      <c r="H3277">
        <f>SUMPRODUCT(Calc!$K$3:$K$22*(Calc!$G$3:$G$22&gt;B3277)*(Calc!$G$3:$G$22-B3277))</f>
        <v/>
      </c>
      <c r="I3277">
        <f>SUMPRODUCT(Calc!$K$3:$K$22*(Calc!$G$3:$G$22&gt;A3277)*(Calc!$G$3:$G$22-A3277)^2)</f>
        <v/>
      </c>
      <c r="J3277">
        <f>SUMPRODUCT(Calc!$K$3:$K$22*(Calc!$G$3:$G$22&gt;B3277)*(Calc!$G$3:$G$22-B3277)^2)</f>
        <v/>
      </c>
      <c r="K3277">
        <f>SUMPRODUCT(Calc!$K$3:$K$22*(Calc!$G$3:$G$22&gt;A3277)*(Calc!$G$3:$G$22-A3277)*(Calc!$G$3:$G$22&gt;B3277)*(Calc!$G$3:$G$22-B3277))</f>
        <v/>
      </c>
      <c r="L3277">
        <f>SUMPRODUCT(Calc!$K$3:$K$22*(Calc!$G$3:$G$22&gt;A3277)*(Calc!$G$3:$G$22-A3277)*Calc!$G$3:$G$22)</f>
        <v/>
      </c>
      <c r="M3277">
        <f>SUMPRODUCT(Calc!$K$3:$K$22*(Calc!$G$3:$G$22&gt;B3277)*(Calc!$G$3:$G$22-B3277)*Calc!$G$3:$G$22)</f>
        <v/>
      </c>
      <c r="N3277">
        <f>SUMPRODUCT(Calc!$K$3:$K$22*(Calc!$G$3:$G$22&gt;A3277)*(Calc!$G$3:$G$22-A3277)*Calc!$I$3:$I$22)</f>
        <v/>
      </c>
      <c r="O3277">
        <f>SUMPRODUCT(Calc!$K$3:$K$22*(Calc!$G$3:$G$22&gt;B3277)*(Calc!$G$3:$G$22-B3277)*Calc!$I$3:$I$22)</f>
        <v/>
      </c>
      <c r="P3277">
        <f>I3277-G3277^2/k_n</f>
        <v/>
      </c>
      <c r="Q3277">
        <f>J3277-H3277^2/k_n</f>
        <v/>
      </c>
      <c r="R3277">
        <f>K3277-G3277*H3277/k_n</f>
        <v/>
      </c>
      <c r="S3277">
        <f>L3277-LTP3!$D$3*G3277/k_n</f>
        <v/>
      </c>
      <c r="T3277">
        <f>M3277-LTP3!$D$3*H3277/k_n</f>
        <v/>
      </c>
      <c r="U3277">
        <f>N3277-G3277*LTP3!$D$4/k_n</f>
        <v/>
      </c>
      <c r="V3277">
        <f>O3277-H3277*LTP3!$D$4/k_n</f>
        <v/>
      </c>
      <c r="W3277">
        <f>((LTP3!$D$5)*((P3277)*(Q3277)-(R3277)*(R3277))-(S3277)*((S3277)*(Q3277)-(R3277)*(T3277))+(T3277)*((S3277)*(R3277)-(P3277)*(T3277)))</f>
        <v/>
      </c>
      <c r="X3277">
        <f>IF(ABS(W3277)&gt;1E-12,((LTP3!$D$6)*((P3277)*(Q3277)-(R3277)*(R3277))-(S3277)*((U3277)*(Q3277)-(R3277)*(V3277))+(T3277)*((U3277)*(R3277)-(P3277)*(V3277)))/W3277,0)</f>
        <v/>
      </c>
      <c r="Y3277">
        <f>IF(ABS(W3277)&gt;1E-12,((LTP3!$D$5)*((U3277)*(Q3277)-(R3277)*(V3277))-(LTP3!$D$6)*((S3277)*(Q3277)-(R3277)*(T3277))+(T3277)*((S3277)*(V3277)-(U3277)*(T3277)))/W3277,0)</f>
        <v/>
      </c>
      <c r="Z3277">
        <f>IF(ABS(W3277)&gt;1E-12,((LTP3!$D$5)*((P3277)*(V3277)-(U3277)*(R3277))-(S3277)*((S3277)*(V3277)-(U3277)*(T3277))+(LTP3!$D$6)*((S3277)*(R3277)-(P3277)*(T3277)))/W3277,0)</f>
        <v/>
      </c>
      <c r="AA3277">
        <f>LTP3!$D$7-X3277*LTP3!$D$6-Y3277*U3277-Z3277*V3277</f>
        <v/>
      </c>
      <c r="AB3277">
        <f>IF(AND(F3277,ABS(W3277)&gt;1E-12,Y3277&gt;0,Z3277&gt;0),AA3277,1E+300)</f>
        <v/>
      </c>
    </row>
    <row r="3278">
      <c r="A3278">
        <f>$B$3+$B$5*53</f>
        <v/>
      </c>
      <c r="B3278">
        <f>$B$3+$B$5*33</f>
        <v/>
      </c>
      <c r="C3278">
        <f>SUMPRODUCT(Calc!$K$3:$K$22*(Calc!$G$3:$G$22&lt;=A3278))</f>
        <v/>
      </c>
      <c r="D3278">
        <f>SUMPRODUCT(Calc!$K$3:$K$22*(Calc!$G$3:$G$22&gt;A3278)*(Calc!$G$3:$G$22&lt;B3278))</f>
        <v/>
      </c>
      <c r="E3278">
        <f>SUMPRODUCT(Calc!$K$3:$K$22*(Calc!$G$3:$G$22&gt;=B3278))</f>
        <v/>
      </c>
      <c r="F3278">
        <f>AND(k_n&gt;=5,B3278&gt;A3278+1E-9,C3278&gt;=2,D3278&gt;=1,E3278&gt;=2)</f>
        <v/>
      </c>
      <c r="G3278">
        <f>SUMPRODUCT(Calc!$K$3:$K$22*(Calc!$G$3:$G$22&gt;A3278)*(Calc!$G$3:$G$22-A3278))</f>
        <v/>
      </c>
      <c r="H3278">
        <f>SUMPRODUCT(Calc!$K$3:$K$22*(Calc!$G$3:$G$22&gt;B3278)*(Calc!$G$3:$G$22-B3278))</f>
        <v/>
      </c>
      <c r="I3278">
        <f>SUMPRODUCT(Calc!$K$3:$K$22*(Calc!$G$3:$G$22&gt;A3278)*(Calc!$G$3:$G$22-A3278)^2)</f>
        <v/>
      </c>
      <c r="J3278">
        <f>SUMPRODUCT(Calc!$K$3:$K$22*(Calc!$G$3:$G$22&gt;B3278)*(Calc!$G$3:$G$22-B3278)^2)</f>
        <v/>
      </c>
      <c r="K3278">
        <f>SUMPRODUCT(Calc!$K$3:$K$22*(Calc!$G$3:$G$22&gt;A3278)*(Calc!$G$3:$G$22-A3278)*(Calc!$G$3:$G$22&gt;B3278)*(Calc!$G$3:$G$22-B3278))</f>
        <v/>
      </c>
      <c r="L3278">
        <f>SUMPRODUCT(Calc!$K$3:$K$22*(Calc!$G$3:$G$22&gt;A3278)*(Calc!$G$3:$G$22-A3278)*Calc!$G$3:$G$22)</f>
        <v/>
      </c>
      <c r="M3278">
        <f>SUMPRODUCT(Calc!$K$3:$K$22*(Calc!$G$3:$G$22&gt;B3278)*(Calc!$G$3:$G$22-B3278)*Calc!$G$3:$G$22)</f>
        <v/>
      </c>
      <c r="N3278">
        <f>SUMPRODUCT(Calc!$K$3:$K$22*(Calc!$G$3:$G$22&gt;A3278)*(Calc!$G$3:$G$22-A3278)*Calc!$I$3:$I$22)</f>
        <v/>
      </c>
      <c r="O3278">
        <f>SUMPRODUCT(Calc!$K$3:$K$22*(Calc!$G$3:$G$22&gt;B3278)*(Calc!$G$3:$G$22-B3278)*Calc!$I$3:$I$22)</f>
        <v/>
      </c>
      <c r="P3278">
        <f>I3278-G3278^2/k_n</f>
        <v/>
      </c>
      <c r="Q3278">
        <f>J3278-H3278^2/k_n</f>
        <v/>
      </c>
      <c r="R3278">
        <f>K3278-G3278*H3278/k_n</f>
        <v/>
      </c>
      <c r="S3278">
        <f>L3278-LTP3!$D$3*G3278/k_n</f>
        <v/>
      </c>
      <c r="T3278">
        <f>M3278-LTP3!$D$3*H3278/k_n</f>
        <v/>
      </c>
      <c r="U3278">
        <f>N3278-G3278*LTP3!$D$4/k_n</f>
        <v/>
      </c>
      <c r="V3278">
        <f>O3278-H3278*LTP3!$D$4/k_n</f>
        <v/>
      </c>
      <c r="W3278">
        <f>((LTP3!$D$5)*((P3278)*(Q3278)-(R3278)*(R3278))-(S3278)*((S3278)*(Q3278)-(R3278)*(T3278))+(T3278)*((S3278)*(R3278)-(P3278)*(T3278)))</f>
        <v/>
      </c>
      <c r="X3278">
        <f>IF(ABS(W3278)&gt;1E-12,((LTP3!$D$6)*((P3278)*(Q3278)-(R3278)*(R3278))-(S3278)*((U3278)*(Q3278)-(R3278)*(V3278))+(T3278)*((U3278)*(R3278)-(P3278)*(V3278)))/W3278,0)</f>
        <v/>
      </c>
      <c r="Y3278">
        <f>IF(ABS(W3278)&gt;1E-12,((LTP3!$D$5)*((U3278)*(Q3278)-(R3278)*(V3278))-(LTP3!$D$6)*((S3278)*(Q3278)-(R3278)*(T3278))+(T3278)*((S3278)*(V3278)-(U3278)*(T3278)))/W3278,0)</f>
        <v/>
      </c>
      <c r="Z3278">
        <f>IF(ABS(W3278)&gt;1E-12,((LTP3!$D$5)*((P3278)*(V3278)-(U3278)*(R3278))-(S3278)*((S3278)*(V3278)-(U3278)*(T3278))+(LTP3!$D$6)*((S3278)*(R3278)-(P3278)*(T3278)))/W3278,0)</f>
        <v/>
      </c>
      <c r="AA3278">
        <f>LTP3!$D$7-X3278*LTP3!$D$6-Y3278*U3278-Z3278*V3278</f>
        <v/>
      </c>
      <c r="AB3278">
        <f>IF(AND(F3278,ABS(W3278)&gt;1E-12,Y3278&gt;0,Z3278&gt;0),AA3278,1E+300)</f>
        <v/>
      </c>
    </row>
    <row r="3279">
      <c r="A3279">
        <f>$B$3+$B$5*53</f>
        <v/>
      </c>
      <c r="B3279">
        <f>$B$3+$B$5*34</f>
        <v/>
      </c>
      <c r="C3279">
        <f>SUMPRODUCT(Calc!$K$3:$K$22*(Calc!$G$3:$G$22&lt;=A3279))</f>
        <v/>
      </c>
      <c r="D3279">
        <f>SUMPRODUCT(Calc!$K$3:$K$22*(Calc!$G$3:$G$22&gt;A3279)*(Calc!$G$3:$G$22&lt;B3279))</f>
        <v/>
      </c>
      <c r="E3279">
        <f>SUMPRODUCT(Calc!$K$3:$K$22*(Calc!$G$3:$G$22&gt;=B3279))</f>
        <v/>
      </c>
      <c r="F3279">
        <f>AND(k_n&gt;=5,B3279&gt;A3279+1E-9,C3279&gt;=2,D3279&gt;=1,E3279&gt;=2)</f>
        <v/>
      </c>
      <c r="G3279">
        <f>SUMPRODUCT(Calc!$K$3:$K$22*(Calc!$G$3:$G$22&gt;A3279)*(Calc!$G$3:$G$22-A3279))</f>
        <v/>
      </c>
      <c r="H3279">
        <f>SUMPRODUCT(Calc!$K$3:$K$22*(Calc!$G$3:$G$22&gt;B3279)*(Calc!$G$3:$G$22-B3279))</f>
        <v/>
      </c>
      <c r="I3279">
        <f>SUMPRODUCT(Calc!$K$3:$K$22*(Calc!$G$3:$G$22&gt;A3279)*(Calc!$G$3:$G$22-A3279)^2)</f>
        <v/>
      </c>
      <c r="J3279">
        <f>SUMPRODUCT(Calc!$K$3:$K$22*(Calc!$G$3:$G$22&gt;B3279)*(Calc!$G$3:$G$22-B3279)^2)</f>
        <v/>
      </c>
      <c r="K3279">
        <f>SUMPRODUCT(Calc!$K$3:$K$22*(Calc!$G$3:$G$22&gt;A3279)*(Calc!$G$3:$G$22-A3279)*(Calc!$G$3:$G$22&gt;B3279)*(Calc!$G$3:$G$22-B3279))</f>
        <v/>
      </c>
      <c r="L3279">
        <f>SUMPRODUCT(Calc!$K$3:$K$22*(Calc!$G$3:$G$22&gt;A3279)*(Calc!$G$3:$G$22-A3279)*Calc!$G$3:$G$22)</f>
        <v/>
      </c>
      <c r="M3279">
        <f>SUMPRODUCT(Calc!$K$3:$K$22*(Calc!$G$3:$G$22&gt;B3279)*(Calc!$G$3:$G$22-B3279)*Calc!$G$3:$G$22)</f>
        <v/>
      </c>
      <c r="N3279">
        <f>SUMPRODUCT(Calc!$K$3:$K$22*(Calc!$G$3:$G$22&gt;A3279)*(Calc!$G$3:$G$22-A3279)*Calc!$I$3:$I$22)</f>
        <v/>
      </c>
      <c r="O3279">
        <f>SUMPRODUCT(Calc!$K$3:$K$22*(Calc!$G$3:$G$22&gt;B3279)*(Calc!$G$3:$G$22-B3279)*Calc!$I$3:$I$22)</f>
        <v/>
      </c>
      <c r="P3279">
        <f>I3279-G3279^2/k_n</f>
        <v/>
      </c>
      <c r="Q3279">
        <f>J3279-H3279^2/k_n</f>
        <v/>
      </c>
      <c r="R3279">
        <f>K3279-G3279*H3279/k_n</f>
        <v/>
      </c>
      <c r="S3279">
        <f>L3279-LTP3!$D$3*G3279/k_n</f>
        <v/>
      </c>
      <c r="T3279">
        <f>M3279-LTP3!$D$3*H3279/k_n</f>
        <v/>
      </c>
      <c r="U3279">
        <f>N3279-G3279*LTP3!$D$4/k_n</f>
        <v/>
      </c>
      <c r="V3279">
        <f>O3279-H3279*LTP3!$D$4/k_n</f>
        <v/>
      </c>
      <c r="W3279">
        <f>((LTP3!$D$5)*((P3279)*(Q3279)-(R3279)*(R3279))-(S3279)*((S3279)*(Q3279)-(R3279)*(T3279))+(T3279)*((S3279)*(R3279)-(P3279)*(T3279)))</f>
        <v/>
      </c>
      <c r="X3279">
        <f>IF(ABS(W3279)&gt;1E-12,((LTP3!$D$6)*((P3279)*(Q3279)-(R3279)*(R3279))-(S3279)*((U3279)*(Q3279)-(R3279)*(V3279))+(T3279)*((U3279)*(R3279)-(P3279)*(V3279)))/W3279,0)</f>
        <v/>
      </c>
      <c r="Y3279">
        <f>IF(ABS(W3279)&gt;1E-12,((LTP3!$D$5)*((U3279)*(Q3279)-(R3279)*(V3279))-(LTP3!$D$6)*((S3279)*(Q3279)-(R3279)*(T3279))+(T3279)*((S3279)*(V3279)-(U3279)*(T3279)))/W3279,0)</f>
        <v/>
      </c>
      <c r="Z3279">
        <f>IF(ABS(W3279)&gt;1E-12,((LTP3!$D$5)*((P3279)*(V3279)-(U3279)*(R3279))-(S3279)*((S3279)*(V3279)-(U3279)*(T3279))+(LTP3!$D$6)*((S3279)*(R3279)-(P3279)*(T3279)))/W3279,0)</f>
        <v/>
      </c>
      <c r="AA3279">
        <f>LTP3!$D$7-X3279*LTP3!$D$6-Y3279*U3279-Z3279*V3279</f>
        <v/>
      </c>
      <c r="AB3279">
        <f>IF(AND(F3279,ABS(W3279)&gt;1E-12,Y3279&gt;0,Z3279&gt;0),AA3279,1E+300)</f>
        <v/>
      </c>
    </row>
    <row r="3280">
      <c r="A3280">
        <f>$B$3+$B$5*53</f>
        <v/>
      </c>
      <c r="B3280">
        <f>$B$3+$B$5*35</f>
        <v/>
      </c>
      <c r="C3280">
        <f>SUMPRODUCT(Calc!$K$3:$K$22*(Calc!$G$3:$G$22&lt;=A3280))</f>
        <v/>
      </c>
      <c r="D3280">
        <f>SUMPRODUCT(Calc!$K$3:$K$22*(Calc!$G$3:$G$22&gt;A3280)*(Calc!$G$3:$G$22&lt;B3280))</f>
        <v/>
      </c>
      <c r="E3280">
        <f>SUMPRODUCT(Calc!$K$3:$K$22*(Calc!$G$3:$G$22&gt;=B3280))</f>
        <v/>
      </c>
      <c r="F3280">
        <f>AND(k_n&gt;=5,B3280&gt;A3280+1E-9,C3280&gt;=2,D3280&gt;=1,E3280&gt;=2)</f>
        <v/>
      </c>
      <c r="G3280">
        <f>SUMPRODUCT(Calc!$K$3:$K$22*(Calc!$G$3:$G$22&gt;A3280)*(Calc!$G$3:$G$22-A3280))</f>
        <v/>
      </c>
      <c r="H3280">
        <f>SUMPRODUCT(Calc!$K$3:$K$22*(Calc!$G$3:$G$22&gt;B3280)*(Calc!$G$3:$G$22-B3280))</f>
        <v/>
      </c>
      <c r="I3280">
        <f>SUMPRODUCT(Calc!$K$3:$K$22*(Calc!$G$3:$G$22&gt;A3280)*(Calc!$G$3:$G$22-A3280)^2)</f>
        <v/>
      </c>
      <c r="J3280">
        <f>SUMPRODUCT(Calc!$K$3:$K$22*(Calc!$G$3:$G$22&gt;B3280)*(Calc!$G$3:$G$22-B3280)^2)</f>
        <v/>
      </c>
      <c r="K3280">
        <f>SUMPRODUCT(Calc!$K$3:$K$22*(Calc!$G$3:$G$22&gt;A3280)*(Calc!$G$3:$G$22-A3280)*(Calc!$G$3:$G$22&gt;B3280)*(Calc!$G$3:$G$22-B3280))</f>
        <v/>
      </c>
      <c r="L3280">
        <f>SUMPRODUCT(Calc!$K$3:$K$22*(Calc!$G$3:$G$22&gt;A3280)*(Calc!$G$3:$G$22-A3280)*Calc!$G$3:$G$22)</f>
        <v/>
      </c>
      <c r="M3280">
        <f>SUMPRODUCT(Calc!$K$3:$K$22*(Calc!$G$3:$G$22&gt;B3280)*(Calc!$G$3:$G$22-B3280)*Calc!$G$3:$G$22)</f>
        <v/>
      </c>
      <c r="N3280">
        <f>SUMPRODUCT(Calc!$K$3:$K$22*(Calc!$G$3:$G$22&gt;A3280)*(Calc!$G$3:$G$22-A3280)*Calc!$I$3:$I$22)</f>
        <v/>
      </c>
      <c r="O3280">
        <f>SUMPRODUCT(Calc!$K$3:$K$22*(Calc!$G$3:$G$22&gt;B3280)*(Calc!$G$3:$G$22-B3280)*Calc!$I$3:$I$22)</f>
        <v/>
      </c>
      <c r="P3280">
        <f>I3280-G3280^2/k_n</f>
        <v/>
      </c>
      <c r="Q3280">
        <f>J3280-H3280^2/k_n</f>
        <v/>
      </c>
      <c r="R3280">
        <f>K3280-G3280*H3280/k_n</f>
        <v/>
      </c>
      <c r="S3280">
        <f>L3280-LTP3!$D$3*G3280/k_n</f>
        <v/>
      </c>
      <c r="T3280">
        <f>M3280-LTP3!$D$3*H3280/k_n</f>
        <v/>
      </c>
      <c r="U3280">
        <f>N3280-G3280*LTP3!$D$4/k_n</f>
        <v/>
      </c>
      <c r="V3280">
        <f>O3280-H3280*LTP3!$D$4/k_n</f>
        <v/>
      </c>
      <c r="W3280">
        <f>((LTP3!$D$5)*((P3280)*(Q3280)-(R3280)*(R3280))-(S3280)*((S3280)*(Q3280)-(R3280)*(T3280))+(T3280)*((S3280)*(R3280)-(P3280)*(T3280)))</f>
        <v/>
      </c>
      <c r="X3280">
        <f>IF(ABS(W3280)&gt;1E-12,((LTP3!$D$6)*((P3280)*(Q3280)-(R3280)*(R3280))-(S3280)*((U3280)*(Q3280)-(R3280)*(V3280))+(T3280)*((U3280)*(R3280)-(P3280)*(V3280)))/W3280,0)</f>
        <v/>
      </c>
      <c r="Y3280">
        <f>IF(ABS(W3280)&gt;1E-12,((LTP3!$D$5)*((U3280)*(Q3280)-(R3280)*(V3280))-(LTP3!$D$6)*((S3280)*(Q3280)-(R3280)*(T3280))+(T3280)*((S3280)*(V3280)-(U3280)*(T3280)))/W3280,0)</f>
        <v/>
      </c>
      <c r="Z3280">
        <f>IF(ABS(W3280)&gt;1E-12,((LTP3!$D$5)*((P3280)*(V3280)-(U3280)*(R3280))-(S3280)*((S3280)*(V3280)-(U3280)*(T3280))+(LTP3!$D$6)*((S3280)*(R3280)-(P3280)*(T3280)))/W3280,0)</f>
        <v/>
      </c>
      <c r="AA3280">
        <f>LTP3!$D$7-X3280*LTP3!$D$6-Y3280*U3280-Z3280*V3280</f>
        <v/>
      </c>
      <c r="AB3280">
        <f>IF(AND(F3280,ABS(W3280)&gt;1E-12,Y3280&gt;0,Z3280&gt;0),AA3280,1E+300)</f>
        <v/>
      </c>
    </row>
    <row r="3281">
      <c r="A3281">
        <f>$B$3+$B$5*53</f>
        <v/>
      </c>
      <c r="B3281">
        <f>$B$3+$B$5*36</f>
        <v/>
      </c>
      <c r="C3281">
        <f>SUMPRODUCT(Calc!$K$3:$K$22*(Calc!$G$3:$G$22&lt;=A3281))</f>
        <v/>
      </c>
      <c r="D3281">
        <f>SUMPRODUCT(Calc!$K$3:$K$22*(Calc!$G$3:$G$22&gt;A3281)*(Calc!$G$3:$G$22&lt;B3281))</f>
        <v/>
      </c>
      <c r="E3281">
        <f>SUMPRODUCT(Calc!$K$3:$K$22*(Calc!$G$3:$G$22&gt;=B3281))</f>
        <v/>
      </c>
      <c r="F3281">
        <f>AND(k_n&gt;=5,B3281&gt;A3281+1E-9,C3281&gt;=2,D3281&gt;=1,E3281&gt;=2)</f>
        <v/>
      </c>
      <c r="G3281">
        <f>SUMPRODUCT(Calc!$K$3:$K$22*(Calc!$G$3:$G$22&gt;A3281)*(Calc!$G$3:$G$22-A3281))</f>
        <v/>
      </c>
      <c r="H3281">
        <f>SUMPRODUCT(Calc!$K$3:$K$22*(Calc!$G$3:$G$22&gt;B3281)*(Calc!$G$3:$G$22-B3281))</f>
        <v/>
      </c>
      <c r="I3281">
        <f>SUMPRODUCT(Calc!$K$3:$K$22*(Calc!$G$3:$G$22&gt;A3281)*(Calc!$G$3:$G$22-A3281)^2)</f>
        <v/>
      </c>
      <c r="J3281">
        <f>SUMPRODUCT(Calc!$K$3:$K$22*(Calc!$G$3:$G$22&gt;B3281)*(Calc!$G$3:$G$22-B3281)^2)</f>
        <v/>
      </c>
      <c r="K3281">
        <f>SUMPRODUCT(Calc!$K$3:$K$22*(Calc!$G$3:$G$22&gt;A3281)*(Calc!$G$3:$G$22-A3281)*(Calc!$G$3:$G$22&gt;B3281)*(Calc!$G$3:$G$22-B3281))</f>
        <v/>
      </c>
      <c r="L3281">
        <f>SUMPRODUCT(Calc!$K$3:$K$22*(Calc!$G$3:$G$22&gt;A3281)*(Calc!$G$3:$G$22-A3281)*Calc!$G$3:$G$22)</f>
        <v/>
      </c>
      <c r="M3281">
        <f>SUMPRODUCT(Calc!$K$3:$K$22*(Calc!$G$3:$G$22&gt;B3281)*(Calc!$G$3:$G$22-B3281)*Calc!$G$3:$G$22)</f>
        <v/>
      </c>
      <c r="N3281">
        <f>SUMPRODUCT(Calc!$K$3:$K$22*(Calc!$G$3:$G$22&gt;A3281)*(Calc!$G$3:$G$22-A3281)*Calc!$I$3:$I$22)</f>
        <v/>
      </c>
      <c r="O3281">
        <f>SUMPRODUCT(Calc!$K$3:$K$22*(Calc!$G$3:$G$22&gt;B3281)*(Calc!$G$3:$G$22-B3281)*Calc!$I$3:$I$22)</f>
        <v/>
      </c>
      <c r="P3281">
        <f>I3281-G3281^2/k_n</f>
        <v/>
      </c>
      <c r="Q3281">
        <f>J3281-H3281^2/k_n</f>
        <v/>
      </c>
      <c r="R3281">
        <f>K3281-G3281*H3281/k_n</f>
        <v/>
      </c>
      <c r="S3281">
        <f>L3281-LTP3!$D$3*G3281/k_n</f>
        <v/>
      </c>
      <c r="T3281">
        <f>M3281-LTP3!$D$3*H3281/k_n</f>
        <v/>
      </c>
      <c r="U3281">
        <f>N3281-G3281*LTP3!$D$4/k_n</f>
        <v/>
      </c>
      <c r="V3281">
        <f>O3281-H3281*LTP3!$D$4/k_n</f>
        <v/>
      </c>
      <c r="W3281">
        <f>((LTP3!$D$5)*((P3281)*(Q3281)-(R3281)*(R3281))-(S3281)*((S3281)*(Q3281)-(R3281)*(T3281))+(T3281)*((S3281)*(R3281)-(P3281)*(T3281)))</f>
        <v/>
      </c>
      <c r="X3281">
        <f>IF(ABS(W3281)&gt;1E-12,((LTP3!$D$6)*((P3281)*(Q3281)-(R3281)*(R3281))-(S3281)*((U3281)*(Q3281)-(R3281)*(V3281))+(T3281)*((U3281)*(R3281)-(P3281)*(V3281)))/W3281,0)</f>
        <v/>
      </c>
      <c r="Y3281">
        <f>IF(ABS(W3281)&gt;1E-12,((LTP3!$D$5)*((U3281)*(Q3281)-(R3281)*(V3281))-(LTP3!$D$6)*((S3281)*(Q3281)-(R3281)*(T3281))+(T3281)*((S3281)*(V3281)-(U3281)*(T3281)))/W3281,0)</f>
        <v/>
      </c>
      <c r="Z3281">
        <f>IF(ABS(W3281)&gt;1E-12,((LTP3!$D$5)*((P3281)*(V3281)-(U3281)*(R3281))-(S3281)*((S3281)*(V3281)-(U3281)*(T3281))+(LTP3!$D$6)*((S3281)*(R3281)-(P3281)*(T3281)))/W3281,0)</f>
        <v/>
      </c>
      <c r="AA3281">
        <f>LTP3!$D$7-X3281*LTP3!$D$6-Y3281*U3281-Z3281*V3281</f>
        <v/>
      </c>
      <c r="AB3281">
        <f>IF(AND(F3281,ABS(W3281)&gt;1E-12,Y3281&gt;0,Z3281&gt;0),AA3281,1E+300)</f>
        <v/>
      </c>
    </row>
    <row r="3282">
      <c r="A3282">
        <f>$B$3+$B$5*53</f>
        <v/>
      </c>
      <c r="B3282">
        <f>$B$3+$B$5*37</f>
        <v/>
      </c>
      <c r="C3282">
        <f>SUMPRODUCT(Calc!$K$3:$K$22*(Calc!$G$3:$G$22&lt;=A3282))</f>
        <v/>
      </c>
      <c r="D3282">
        <f>SUMPRODUCT(Calc!$K$3:$K$22*(Calc!$G$3:$G$22&gt;A3282)*(Calc!$G$3:$G$22&lt;B3282))</f>
        <v/>
      </c>
      <c r="E3282">
        <f>SUMPRODUCT(Calc!$K$3:$K$22*(Calc!$G$3:$G$22&gt;=B3282))</f>
        <v/>
      </c>
      <c r="F3282">
        <f>AND(k_n&gt;=5,B3282&gt;A3282+1E-9,C3282&gt;=2,D3282&gt;=1,E3282&gt;=2)</f>
        <v/>
      </c>
      <c r="G3282">
        <f>SUMPRODUCT(Calc!$K$3:$K$22*(Calc!$G$3:$G$22&gt;A3282)*(Calc!$G$3:$G$22-A3282))</f>
        <v/>
      </c>
      <c r="H3282">
        <f>SUMPRODUCT(Calc!$K$3:$K$22*(Calc!$G$3:$G$22&gt;B3282)*(Calc!$G$3:$G$22-B3282))</f>
        <v/>
      </c>
      <c r="I3282">
        <f>SUMPRODUCT(Calc!$K$3:$K$22*(Calc!$G$3:$G$22&gt;A3282)*(Calc!$G$3:$G$22-A3282)^2)</f>
        <v/>
      </c>
      <c r="J3282">
        <f>SUMPRODUCT(Calc!$K$3:$K$22*(Calc!$G$3:$G$22&gt;B3282)*(Calc!$G$3:$G$22-B3282)^2)</f>
        <v/>
      </c>
      <c r="K3282">
        <f>SUMPRODUCT(Calc!$K$3:$K$22*(Calc!$G$3:$G$22&gt;A3282)*(Calc!$G$3:$G$22-A3282)*(Calc!$G$3:$G$22&gt;B3282)*(Calc!$G$3:$G$22-B3282))</f>
        <v/>
      </c>
      <c r="L3282">
        <f>SUMPRODUCT(Calc!$K$3:$K$22*(Calc!$G$3:$G$22&gt;A3282)*(Calc!$G$3:$G$22-A3282)*Calc!$G$3:$G$22)</f>
        <v/>
      </c>
      <c r="M3282">
        <f>SUMPRODUCT(Calc!$K$3:$K$22*(Calc!$G$3:$G$22&gt;B3282)*(Calc!$G$3:$G$22-B3282)*Calc!$G$3:$G$22)</f>
        <v/>
      </c>
      <c r="N3282">
        <f>SUMPRODUCT(Calc!$K$3:$K$22*(Calc!$G$3:$G$22&gt;A3282)*(Calc!$G$3:$G$22-A3282)*Calc!$I$3:$I$22)</f>
        <v/>
      </c>
      <c r="O3282">
        <f>SUMPRODUCT(Calc!$K$3:$K$22*(Calc!$G$3:$G$22&gt;B3282)*(Calc!$G$3:$G$22-B3282)*Calc!$I$3:$I$22)</f>
        <v/>
      </c>
      <c r="P3282">
        <f>I3282-G3282^2/k_n</f>
        <v/>
      </c>
      <c r="Q3282">
        <f>J3282-H3282^2/k_n</f>
        <v/>
      </c>
      <c r="R3282">
        <f>K3282-G3282*H3282/k_n</f>
        <v/>
      </c>
      <c r="S3282">
        <f>L3282-LTP3!$D$3*G3282/k_n</f>
        <v/>
      </c>
      <c r="T3282">
        <f>M3282-LTP3!$D$3*H3282/k_n</f>
        <v/>
      </c>
      <c r="U3282">
        <f>N3282-G3282*LTP3!$D$4/k_n</f>
        <v/>
      </c>
      <c r="V3282">
        <f>O3282-H3282*LTP3!$D$4/k_n</f>
        <v/>
      </c>
      <c r="W3282">
        <f>((LTP3!$D$5)*((P3282)*(Q3282)-(R3282)*(R3282))-(S3282)*((S3282)*(Q3282)-(R3282)*(T3282))+(T3282)*((S3282)*(R3282)-(P3282)*(T3282)))</f>
        <v/>
      </c>
      <c r="X3282">
        <f>IF(ABS(W3282)&gt;1E-12,((LTP3!$D$6)*((P3282)*(Q3282)-(R3282)*(R3282))-(S3282)*((U3282)*(Q3282)-(R3282)*(V3282))+(T3282)*((U3282)*(R3282)-(P3282)*(V3282)))/W3282,0)</f>
        <v/>
      </c>
      <c r="Y3282">
        <f>IF(ABS(W3282)&gt;1E-12,((LTP3!$D$5)*((U3282)*(Q3282)-(R3282)*(V3282))-(LTP3!$D$6)*((S3282)*(Q3282)-(R3282)*(T3282))+(T3282)*((S3282)*(V3282)-(U3282)*(T3282)))/W3282,0)</f>
        <v/>
      </c>
      <c r="Z3282">
        <f>IF(ABS(W3282)&gt;1E-12,((LTP3!$D$5)*((P3282)*(V3282)-(U3282)*(R3282))-(S3282)*((S3282)*(V3282)-(U3282)*(T3282))+(LTP3!$D$6)*((S3282)*(R3282)-(P3282)*(T3282)))/W3282,0)</f>
        <v/>
      </c>
      <c r="AA3282">
        <f>LTP3!$D$7-X3282*LTP3!$D$6-Y3282*U3282-Z3282*V3282</f>
        <v/>
      </c>
      <c r="AB3282">
        <f>IF(AND(F3282,ABS(W3282)&gt;1E-12,Y3282&gt;0,Z3282&gt;0),AA3282,1E+300)</f>
        <v/>
      </c>
    </row>
    <row r="3283">
      <c r="A3283">
        <f>$B$3+$B$5*53</f>
        <v/>
      </c>
      <c r="B3283">
        <f>$B$3+$B$5*38</f>
        <v/>
      </c>
      <c r="C3283">
        <f>SUMPRODUCT(Calc!$K$3:$K$22*(Calc!$G$3:$G$22&lt;=A3283))</f>
        <v/>
      </c>
      <c r="D3283">
        <f>SUMPRODUCT(Calc!$K$3:$K$22*(Calc!$G$3:$G$22&gt;A3283)*(Calc!$G$3:$G$22&lt;B3283))</f>
        <v/>
      </c>
      <c r="E3283">
        <f>SUMPRODUCT(Calc!$K$3:$K$22*(Calc!$G$3:$G$22&gt;=B3283))</f>
        <v/>
      </c>
      <c r="F3283">
        <f>AND(k_n&gt;=5,B3283&gt;A3283+1E-9,C3283&gt;=2,D3283&gt;=1,E3283&gt;=2)</f>
        <v/>
      </c>
      <c r="G3283">
        <f>SUMPRODUCT(Calc!$K$3:$K$22*(Calc!$G$3:$G$22&gt;A3283)*(Calc!$G$3:$G$22-A3283))</f>
        <v/>
      </c>
      <c r="H3283">
        <f>SUMPRODUCT(Calc!$K$3:$K$22*(Calc!$G$3:$G$22&gt;B3283)*(Calc!$G$3:$G$22-B3283))</f>
        <v/>
      </c>
      <c r="I3283">
        <f>SUMPRODUCT(Calc!$K$3:$K$22*(Calc!$G$3:$G$22&gt;A3283)*(Calc!$G$3:$G$22-A3283)^2)</f>
        <v/>
      </c>
      <c r="J3283">
        <f>SUMPRODUCT(Calc!$K$3:$K$22*(Calc!$G$3:$G$22&gt;B3283)*(Calc!$G$3:$G$22-B3283)^2)</f>
        <v/>
      </c>
      <c r="K3283">
        <f>SUMPRODUCT(Calc!$K$3:$K$22*(Calc!$G$3:$G$22&gt;A3283)*(Calc!$G$3:$G$22-A3283)*(Calc!$G$3:$G$22&gt;B3283)*(Calc!$G$3:$G$22-B3283))</f>
        <v/>
      </c>
      <c r="L3283">
        <f>SUMPRODUCT(Calc!$K$3:$K$22*(Calc!$G$3:$G$22&gt;A3283)*(Calc!$G$3:$G$22-A3283)*Calc!$G$3:$G$22)</f>
        <v/>
      </c>
      <c r="M3283">
        <f>SUMPRODUCT(Calc!$K$3:$K$22*(Calc!$G$3:$G$22&gt;B3283)*(Calc!$G$3:$G$22-B3283)*Calc!$G$3:$G$22)</f>
        <v/>
      </c>
      <c r="N3283">
        <f>SUMPRODUCT(Calc!$K$3:$K$22*(Calc!$G$3:$G$22&gt;A3283)*(Calc!$G$3:$G$22-A3283)*Calc!$I$3:$I$22)</f>
        <v/>
      </c>
      <c r="O3283">
        <f>SUMPRODUCT(Calc!$K$3:$K$22*(Calc!$G$3:$G$22&gt;B3283)*(Calc!$G$3:$G$22-B3283)*Calc!$I$3:$I$22)</f>
        <v/>
      </c>
      <c r="P3283">
        <f>I3283-G3283^2/k_n</f>
        <v/>
      </c>
      <c r="Q3283">
        <f>J3283-H3283^2/k_n</f>
        <v/>
      </c>
      <c r="R3283">
        <f>K3283-G3283*H3283/k_n</f>
        <v/>
      </c>
      <c r="S3283">
        <f>L3283-LTP3!$D$3*G3283/k_n</f>
        <v/>
      </c>
      <c r="T3283">
        <f>M3283-LTP3!$D$3*H3283/k_n</f>
        <v/>
      </c>
      <c r="U3283">
        <f>N3283-G3283*LTP3!$D$4/k_n</f>
        <v/>
      </c>
      <c r="V3283">
        <f>O3283-H3283*LTP3!$D$4/k_n</f>
        <v/>
      </c>
      <c r="W3283">
        <f>((LTP3!$D$5)*((P3283)*(Q3283)-(R3283)*(R3283))-(S3283)*((S3283)*(Q3283)-(R3283)*(T3283))+(T3283)*((S3283)*(R3283)-(P3283)*(T3283)))</f>
        <v/>
      </c>
      <c r="X3283">
        <f>IF(ABS(W3283)&gt;1E-12,((LTP3!$D$6)*((P3283)*(Q3283)-(R3283)*(R3283))-(S3283)*((U3283)*(Q3283)-(R3283)*(V3283))+(T3283)*((U3283)*(R3283)-(P3283)*(V3283)))/W3283,0)</f>
        <v/>
      </c>
      <c r="Y3283">
        <f>IF(ABS(W3283)&gt;1E-12,((LTP3!$D$5)*((U3283)*(Q3283)-(R3283)*(V3283))-(LTP3!$D$6)*((S3283)*(Q3283)-(R3283)*(T3283))+(T3283)*((S3283)*(V3283)-(U3283)*(T3283)))/W3283,0)</f>
        <v/>
      </c>
      <c r="Z3283">
        <f>IF(ABS(W3283)&gt;1E-12,((LTP3!$D$5)*((P3283)*(V3283)-(U3283)*(R3283))-(S3283)*((S3283)*(V3283)-(U3283)*(T3283))+(LTP3!$D$6)*((S3283)*(R3283)-(P3283)*(T3283)))/W3283,0)</f>
        <v/>
      </c>
      <c r="AA3283">
        <f>LTP3!$D$7-X3283*LTP3!$D$6-Y3283*U3283-Z3283*V3283</f>
        <v/>
      </c>
      <c r="AB3283">
        <f>IF(AND(F3283,ABS(W3283)&gt;1E-12,Y3283&gt;0,Z3283&gt;0),AA3283,1E+300)</f>
        <v/>
      </c>
    </row>
    <row r="3284">
      <c r="A3284">
        <f>$B$3+$B$5*53</f>
        <v/>
      </c>
      <c r="B3284">
        <f>$B$3+$B$5*39</f>
        <v/>
      </c>
      <c r="C3284">
        <f>SUMPRODUCT(Calc!$K$3:$K$22*(Calc!$G$3:$G$22&lt;=A3284))</f>
        <v/>
      </c>
      <c r="D3284">
        <f>SUMPRODUCT(Calc!$K$3:$K$22*(Calc!$G$3:$G$22&gt;A3284)*(Calc!$G$3:$G$22&lt;B3284))</f>
        <v/>
      </c>
      <c r="E3284">
        <f>SUMPRODUCT(Calc!$K$3:$K$22*(Calc!$G$3:$G$22&gt;=B3284))</f>
        <v/>
      </c>
      <c r="F3284">
        <f>AND(k_n&gt;=5,B3284&gt;A3284+1E-9,C3284&gt;=2,D3284&gt;=1,E3284&gt;=2)</f>
        <v/>
      </c>
      <c r="G3284">
        <f>SUMPRODUCT(Calc!$K$3:$K$22*(Calc!$G$3:$G$22&gt;A3284)*(Calc!$G$3:$G$22-A3284))</f>
        <v/>
      </c>
      <c r="H3284">
        <f>SUMPRODUCT(Calc!$K$3:$K$22*(Calc!$G$3:$G$22&gt;B3284)*(Calc!$G$3:$G$22-B3284))</f>
        <v/>
      </c>
      <c r="I3284">
        <f>SUMPRODUCT(Calc!$K$3:$K$22*(Calc!$G$3:$G$22&gt;A3284)*(Calc!$G$3:$G$22-A3284)^2)</f>
        <v/>
      </c>
      <c r="J3284">
        <f>SUMPRODUCT(Calc!$K$3:$K$22*(Calc!$G$3:$G$22&gt;B3284)*(Calc!$G$3:$G$22-B3284)^2)</f>
        <v/>
      </c>
      <c r="K3284">
        <f>SUMPRODUCT(Calc!$K$3:$K$22*(Calc!$G$3:$G$22&gt;A3284)*(Calc!$G$3:$G$22-A3284)*(Calc!$G$3:$G$22&gt;B3284)*(Calc!$G$3:$G$22-B3284))</f>
        <v/>
      </c>
      <c r="L3284">
        <f>SUMPRODUCT(Calc!$K$3:$K$22*(Calc!$G$3:$G$22&gt;A3284)*(Calc!$G$3:$G$22-A3284)*Calc!$G$3:$G$22)</f>
        <v/>
      </c>
      <c r="M3284">
        <f>SUMPRODUCT(Calc!$K$3:$K$22*(Calc!$G$3:$G$22&gt;B3284)*(Calc!$G$3:$G$22-B3284)*Calc!$G$3:$G$22)</f>
        <v/>
      </c>
      <c r="N3284">
        <f>SUMPRODUCT(Calc!$K$3:$K$22*(Calc!$G$3:$G$22&gt;A3284)*(Calc!$G$3:$G$22-A3284)*Calc!$I$3:$I$22)</f>
        <v/>
      </c>
      <c r="O3284">
        <f>SUMPRODUCT(Calc!$K$3:$K$22*(Calc!$G$3:$G$22&gt;B3284)*(Calc!$G$3:$G$22-B3284)*Calc!$I$3:$I$22)</f>
        <v/>
      </c>
      <c r="P3284">
        <f>I3284-G3284^2/k_n</f>
        <v/>
      </c>
      <c r="Q3284">
        <f>J3284-H3284^2/k_n</f>
        <v/>
      </c>
      <c r="R3284">
        <f>K3284-G3284*H3284/k_n</f>
        <v/>
      </c>
      <c r="S3284">
        <f>L3284-LTP3!$D$3*G3284/k_n</f>
        <v/>
      </c>
      <c r="T3284">
        <f>M3284-LTP3!$D$3*H3284/k_n</f>
        <v/>
      </c>
      <c r="U3284">
        <f>N3284-G3284*LTP3!$D$4/k_n</f>
        <v/>
      </c>
      <c r="V3284">
        <f>O3284-H3284*LTP3!$D$4/k_n</f>
        <v/>
      </c>
      <c r="W3284">
        <f>((LTP3!$D$5)*((P3284)*(Q3284)-(R3284)*(R3284))-(S3284)*((S3284)*(Q3284)-(R3284)*(T3284))+(T3284)*((S3284)*(R3284)-(P3284)*(T3284)))</f>
        <v/>
      </c>
      <c r="X3284">
        <f>IF(ABS(W3284)&gt;1E-12,((LTP3!$D$6)*((P3284)*(Q3284)-(R3284)*(R3284))-(S3284)*((U3284)*(Q3284)-(R3284)*(V3284))+(T3284)*((U3284)*(R3284)-(P3284)*(V3284)))/W3284,0)</f>
        <v/>
      </c>
      <c r="Y3284">
        <f>IF(ABS(W3284)&gt;1E-12,((LTP3!$D$5)*((U3284)*(Q3284)-(R3284)*(V3284))-(LTP3!$D$6)*((S3284)*(Q3284)-(R3284)*(T3284))+(T3284)*((S3284)*(V3284)-(U3284)*(T3284)))/W3284,0)</f>
        <v/>
      </c>
      <c r="Z3284">
        <f>IF(ABS(W3284)&gt;1E-12,((LTP3!$D$5)*((P3284)*(V3284)-(U3284)*(R3284))-(S3284)*((S3284)*(V3284)-(U3284)*(T3284))+(LTP3!$D$6)*((S3284)*(R3284)-(P3284)*(T3284)))/W3284,0)</f>
        <v/>
      </c>
      <c r="AA3284">
        <f>LTP3!$D$7-X3284*LTP3!$D$6-Y3284*U3284-Z3284*V3284</f>
        <v/>
      </c>
      <c r="AB3284">
        <f>IF(AND(F3284,ABS(W3284)&gt;1E-12,Y3284&gt;0,Z3284&gt;0),AA3284,1E+300)</f>
        <v/>
      </c>
    </row>
    <row r="3285">
      <c r="A3285">
        <f>$B$3+$B$5*53</f>
        <v/>
      </c>
      <c r="B3285">
        <f>$B$3+$B$5*40</f>
        <v/>
      </c>
      <c r="C3285">
        <f>SUMPRODUCT(Calc!$K$3:$K$22*(Calc!$G$3:$G$22&lt;=A3285))</f>
        <v/>
      </c>
      <c r="D3285">
        <f>SUMPRODUCT(Calc!$K$3:$K$22*(Calc!$G$3:$G$22&gt;A3285)*(Calc!$G$3:$G$22&lt;B3285))</f>
        <v/>
      </c>
      <c r="E3285">
        <f>SUMPRODUCT(Calc!$K$3:$K$22*(Calc!$G$3:$G$22&gt;=B3285))</f>
        <v/>
      </c>
      <c r="F3285">
        <f>AND(k_n&gt;=5,B3285&gt;A3285+1E-9,C3285&gt;=2,D3285&gt;=1,E3285&gt;=2)</f>
        <v/>
      </c>
      <c r="G3285">
        <f>SUMPRODUCT(Calc!$K$3:$K$22*(Calc!$G$3:$G$22&gt;A3285)*(Calc!$G$3:$G$22-A3285))</f>
        <v/>
      </c>
      <c r="H3285">
        <f>SUMPRODUCT(Calc!$K$3:$K$22*(Calc!$G$3:$G$22&gt;B3285)*(Calc!$G$3:$G$22-B3285))</f>
        <v/>
      </c>
      <c r="I3285">
        <f>SUMPRODUCT(Calc!$K$3:$K$22*(Calc!$G$3:$G$22&gt;A3285)*(Calc!$G$3:$G$22-A3285)^2)</f>
        <v/>
      </c>
      <c r="J3285">
        <f>SUMPRODUCT(Calc!$K$3:$K$22*(Calc!$G$3:$G$22&gt;B3285)*(Calc!$G$3:$G$22-B3285)^2)</f>
        <v/>
      </c>
      <c r="K3285">
        <f>SUMPRODUCT(Calc!$K$3:$K$22*(Calc!$G$3:$G$22&gt;A3285)*(Calc!$G$3:$G$22-A3285)*(Calc!$G$3:$G$22&gt;B3285)*(Calc!$G$3:$G$22-B3285))</f>
        <v/>
      </c>
      <c r="L3285">
        <f>SUMPRODUCT(Calc!$K$3:$K$22*(Calc!$G$3:$G$22&gt;A3285)*(Calc!$G$3:$G$22-A3285)*Calc!$G$3:$G$22)</f>
        <v/>
      </c>
      <c r="M3285">
        <f>SUMPRODUCT(Calc!$K$3:$K$22*(Calc!$G$3:$G$22&gt;B3285)*(Calc!$G$3:$G$22-B3285)*Calc!$G$3:$G$22)</f>
        <v/>
      </c>
      <c r="N3285">
        <f>SUMPRODUCT(Calc!$K$3:$K$22*(Calc!$G$3:$G$22&gt;A3285)*(Calc!$G$3:$G$22-A3285)*Calc!$I$3:$I$22)</f>
        <v/>
      </c>
      <c r="O3285">
        <f>SUMPRODUCT(Calc!$K$3:$K$22*(Calc!$G$3:$G$22&gt;B3285)*(Calc!$G$3:$G$22-B3285)*Calc!$I$3:$I$22)</f>
        <v/>
      </c>
      <c r="P3285">
        <f>I3285-G3285^2/k_n</f>
        <v/>
      </c>
      <c r="Q3285">
        <f>J3285-H3285^2/k_n</f>
        <v/>
      </c>
      <c r="R3285">
        <f>K3285-G3285*H3285/k_n</f>
        <v/>
      </c>
      <c r="S3285">
        <f>L3285-LTP3!$D$3*G3285/k_n</f>
        <v/>
      </c>
      <c r="T3285">
        <f>M3285-LTP3!$D$3*H3285/k_n</f>
        <v/>
      </c>
      <c r="U3285">
        <f>N3285-G3285*LTP3!$D$4/k_n</f>
        <v/>
      </c>
      <c r="V3285">
        <f>O3285-H3285*LTP3!$D$4/k_n</f>
        <v/>
      </c>
      <c r="W3285">
        <f>((LTP3!$D$5)*((P3285)*(Q3285)-(R3285)*(R3285))-(S3285)*((S3285)*(Q3285)-(R3285)*(T3285))+(T3285)*((S3285)*(R3285)-(P3285)*(T3285)))</f>
        <v/>
      </c>
      <c r="X3285">
        <f>IF(ABS(W3285)&gt;1E-12,((LTP3!$D$6)*((P3285)*(Q3285)-(R3285)*(R3285))-(S3285)*((U3285)*(Q3285)-(R3285)*(V3285))+(T3285)*((U3285)*(R3285)-(P3285)*(V3285)))/W3285,0)</f>
        <v/>
      </c>
      <c r="Y3285">
        <f>IF(ABS(W3285)&gt;1E-12,((LTP3!$D$5)*((U3285)*(Q3285)-(R3285)*(V3285))-(LTP3!$D$6)*((S3285)*(Q3285)-(R3285)*(T3285))+(T3285)*((S3285)*(V3285)-(U3285)*(T3285)))/W3285,0)</f>
        <v/>
      </c>
      <c r="Z3285">
        <f>IF(ABS(W3285)&gt;1E-12,((LTP3!$D$5)*((P3285)*(V3285)-(U3285)*(R3285))-(S3285)*((S3285)*(V3285)-(U3285)*(T3285))+(LTP3!$D$6)*((S3285)*(R3285)-(P3285)*(T3285)))/W3285,0)</f>
        <v/>
      </c>
      <c r="AA3285">
        <f>LTP3!$D$7-X3285*LTP3!$D$6-Y3285*U3285-Z3285*V3285</f>
        <v/>
      </c>
      <c r="AB3285">
        <f>IF(AND(F3285,ABS(W3285)&gt;1E-12,Y3285&gt;0,Z3285&gt;0),AA3285,1E+300)</f>
        <v/>
      </c>
    </row>
    <row r="3286">
      <c r="A3286">
        <f>$B$3+$B$5*53</f>
        <v/>
      </c>
      <c r="B3286">
        <f>$B$3+$B$5*41</f>
        <v/>
      </c>
      <c r="C3286">
        <f>SUMPRODUCT(Calc!$K$3:$K$22*(Calc!$G$3:$G$22&lt;=A3286))</f>
        <v/>
      </c>
      <c r="D3286">
        <f>SUMPRODUCT(Calc!$K$3:$K$22*(Calc!$G$3:$G$22&gt;A3286)*(Calc!$G$3:$G$22&lt;B3286))</f>
        <v/>
      </c>
      <c r="E3286">
        <f>SUMPRODUCT(Calc!$K$3:$K$22*(Calc!$G$3:$G$22&gt;=B3286))</f>
        <v/>
      </c>
      <c r="F3286">
        <f>AND(k_n&gt;=5,B3286&gt;A3286+1E-9,C3286&gt;=2,D3286&gt;=1,E3286&gt;=2)</f>
        <v/>
      </c>
      <c r="G3286">
        <f>SUMPRODUCT(Calc!$K$3:$K$22*(Calc!$G$3:$G$22&gt;A3286)*(Calc!$G$3:$G$22-A3286))</f>
        <v/>
      </c>
      <c r="H3286">
        <f>SUMPRODUCT(Calc!$K$3:$K$22*(Calc!$G$3:$G$22&gt;B3286)*(Calc!$G$3:$G$22-B3286))</f>
        <v/>
      </c>
      <c r="I3286">
        <f>SUMPRODUCT(Calc!$K$3:$K$22*(Calc!$G$3:$G$22&gt;A3286)*(Calc!$G$3:$G$22-A3286)^2)</f>
        <v/>
      </c>
      <c r="J3286">
        <f>SUMPRODUCT(Calc!$K$3:$K$22*(Calc!$G$3:$G$22&gt;B3286)*(Calc!$G$3:$G$22-B3286)^2)</f>
        <v/>
      </c>
      <c r="K3286">
        <f>SUMPRODUCT(Calc!$K$3:$K$22*(Calc!$G$3:$G$22&gt;A3286)*(Calc!$G$3:$G$22-A3286)*(Calc!$G$3:$G$22&gt;B3286)*(Calc!$G$3:$G$22-B3286))</f>
        <v/>
      </c>
      <c r="L3286">
        <f>SUMPRODUCT(Calc!$K$3:$K$22*(Calc!$G$3:$G$22&gt;A3286)*(Calc!$G$3:$G$22-A3286)*Calc!$G$3:$G$22)</f>
        <v/>
      </c>
      <c r="M3286">
        <f>SUMPRODUCT(Calc!$K$3:$K$22*(Calc!$G$3:$G$22&gt;B3286)*(Calc!$G$3:$G$22-B3286)*Calc!$G$3:$G$22)</f>
        <v/>
      </c>
      <c r="N3286">
        <f>SUMPRODUCT(Calc!$K$3:$K$22*(Calc!$G$3:$G$22&gt;A3286)*(Calc!$G$3:$G$22-A3286)*Calc!$I$3:$I$22)</f>
        <v/>
      </c>
      <c r="O3286">
        <f>SUMPRODUCT(Calc!$K$3:$K$22*(Calc!$G$3:$G$22&gt;B3286)*(Calc!$G$3:$G$22-B3286)*Calc!$I$3:$I$22)</f>
        <v/>
      </c>
      <c r="P3286">
        <f>I3286-G3286^2/k_n</f>
        <v/>
      </c>
      <c r="Q3286">
        <f>J3286-H3286^2/k_n</f>
        <v/>
      </c>
      <c r="R3286">
        <f>K3286-G3286*H3286/k_n</f>
        <v/>
      </c>
      <c r="S3286">
        <f>L3286-LTP3!$D$3*G3286/k_n</f>
        <v/>
      </c>
      <c r="T3286">
        <f>M3286-LTP3!$D$3*H3286/k_n</f>
        <v/>
      </c>
      <c r="U3286">
        <f>N3286-G3286*LTP3!$D$4/k_n</f>
        <v/>
      </c>
      <c r="V3286">
        <f>O3286-H3286*LTP3!$D$4/k_n</f>
        <v/>
      </c>
      <c r="W3286">
        <f>((LTP3!$D$5)*((P3286)*(Q3286)-(R3286)*(R3286))-(S3286)*((S3286)*(Q3286)-(R3286)*(T3286))+(T3286)*((S3286)*(R3286)-(P3286)*(T3286)))</f>
        <v/>
      </c>
      <c r="X3286">
        <f>IF(ABS(W3286)&gt;1E-12,((LTP3!$D$6)*((P3286)*(Q3286)-(R3286)*(R3286))-(S3286)*((U3286)*(Q3286)-(R3286)*(V3286))+(T3286)*((U3286)*(R3286)-(P3286)*(V3286)))/W3286,0)</f>
        <v/>
      </c>
      <c r="Y3286">
        <f>IF(ABS(W3286)&gt;1E-12,((LTP3!$D$5)*((U3286)*(Q3286)-(R3286)*(V3286))-(LTP3!$D$6)*((S3286)*(Q3286)-(R3286)*(T3286))+(T3286)*((S3286)*(V3286)-(U3286)*(T3286)))/W3286,0)</f>
        <v/>
      </c>
      <c r="Z3286">
        <f>IF(ABS(W3286)&gt;1E-12,((LTP3!$D$5)*((P3286)*(V3286)-(U3286)*(R3286))-(S3286)*((S3286)*(V3286)-(U3286)*(T3286))+(LTP3!$D$6)*((S3286)*(R3286)-(P3286)*(T3286)))/W3286,0)</f>
        <v/>
      </c>
      <c r="AA3286">
        <f>LTP3!$D$7-X3286*LTP3!$D$6-Y3286*U3286-Z3286*V3286</f>
        <v/>
      </c>
      <c r="AB3286">
        <f>IF(AND(F3286,ABS(W3286)&gt;1E-12,Y3286&gt;0,Z3286&gt;0),AA3286,1E+300)</f>
        <v/>
      </c>
    </row>
    <row r="3287">
      <c r="A3287">
        <f>$B$3+$B$5*53</f>
        <v/>
      </c>
      <c r="B3287">
        <f>$B$3+$B$5*42</f>
        <v/>
      </c>
      <c r="C3287">
        <f>SUMPRODUCT(Calc!$K$3:$K$22*(Calc!$G$3:$G$22&lt;=A3287))</f>
        <v/>
      </c>
      <c r="D3287">
        <f>SUMPRODUCT(Calc!$K$3:$K$22*(Calc!$G$3:$G$22&gt;A3287)*(Calc!$G$3:$G$22&lt;B3287))</f>
        <v/>
      </c>
      <c r="E3287">
        <f>SUMPRODUCT(Calc!$K$3:$K$22*(Calc!$G$3:$G$22&gt;=B3287))</f>
        <v/>
      </c>
      <c r="F3287">
        <f>AND(k_n&gt;=5,B3287&gt;A3287+1E-9,C3287&gt;=2,D3287&gt;=1,E3287&gt;=2)</f>
        <v/>
      </c>
      <c r="G3287">
        <f>SUMPRODUCT(Calc!$K$3:$K$22*(Calc!$G$3:$G$22&gt;A3287)*(Calc!$G$3:$G$22-A3287))</f>
        <v/>
      </c>
      <c r="H3287">
        <f>SUMPRODUCT(Calc!$K$3:$K$22*(Calc!$G$3:$G$22&gt;B3287)*(Calc!$G$3:$G$22-B3287))</f>
        <v/>
      </c>
      <c r="I3287">
        <f>SUMPRODUCT(Calc!$K$3:$K$22*(Calc!$G$3:$G$22&gt;A3287)*(Calc!$G$3:$G$22-A3287)^2)</f>
        <v/>
      </c>
      <c r="J3287">
        <f>SUMPRODUCT(Calc!$K$3:$K$22*(Calc!$G$3:$G$22&gt;B3287)*(Calc!$G$3:$G$22-B3287)^2)</f>
        <v/>
      </c>
      <c r="K3287">
        <f>SUMPRODUCT(Calc!$K$3:$K$22*(Calc!$G$3:$G$22&gt;A3287)*(Calc!$G$3:$G$22-A3287)*(Calc!$G$3:$G$22&gt;B3287)*(Calc!$G$3:$G$22-B3287))</f>
        <v/>
      </c>
      <c r="L3287">
        <f>SUMPRODUCT(Calc!$K$3:$K$22*(Calc!$G$3:$G$22&gt;A3287)*(Calc!$G$3:$G$22-A3287)*Calc!$G$3:$G$22)</f>
        <v/>
      </c>
      <c r="M3287">
        <f>SUMPRODUCT(Calc!$K$3:$K$22*(Calc!$G$3:$G$22&gt;B3287)*(Calc!$G$3:$G$22-B3287)*Calc!$G$3:$G$22)</f>
        <v/>
      </c>
      <c r="N3287">
        <f>SUMPRODUCT(Calc!$K$3:$K$22*(Calc!$G$3:$G$22&gt;A3287)*(Calc!$G$3:$G$22-A3287)*Calc!$I$3:$I$22)</f>
        <v/>
      </c>
      <c r="O3287">
        <f>SUMPRODUCT(Calc!$K$3:$K$22*(Calc!$G$3:$G$22&gt;B3287)*(Calc!$G$3:$G$22-B3287)*Calc!$I$3:$I$22)</f>
        <v/>
      </c>
      <c r="P3287">
        <f>I3287-G3287^2/k_n</f>
        <v/>
      </c>
      <c r="Q3287">
        <f>J3287-H3287^2/k_n</f>
        <v/>
      </c>
      <c r="R3287">
        <f>K3287-G3287*H3287/k_n</f>
        <v/>
      </c>
      <c r="S3287">
        <f>L3287-LTP3!$D$3*G3287/k_n</f>
        <v/>
      </c>
      <c r="T3287">
        <f>M3287-LTP3!$D$3*H3287/k_n</f>
        <v/>
      </c>
      <c r="U3287">
        <f>N3287-G3287*LTP3!$D$4/k_n</f>
        <v/>
      </c>
      <c r="V3287">
        <f>O3287-H3287*LTP3!$D$4/k_n</f>
        <v/>
      </c>
      <c r="W3287">
        <f>((LTP3!$D$5)*((P3287)*(Q3287)-(R3287)*(R3287))-(S3287)*((S3287)*(Q3287)-(R3287)*(T3287))+(T3287)*((S3287)*(R3287)-(P3287)*(T3287)))</f>
        <v/>
      </c>
      <c r="X3287">
        <f>IF(ABS(W3287)&gt;1E-12,((LTP3!$D$6)*((P3287)*(Q3287)-(R3287)*(R3287))-(S3287)*((U3287)*(Q3287)-(R3287)*(V3287))+(T3287)*((U3287)*(R3287)-(P3287)*(V3287)))/W3287,0)</f>
        <v/>
      </c>
      <c r="Y3287">
        <f>IF(ABS(W3287)&gt;1E-12,((LTP3!$D$5)*((U3287)*(Q3287)-(R3287)*(V3287))-(LTP3!$D$6)*((S3287)*(Q3287)-(R3287)*(T3287))+(T3287)*((S3287)*(V3287)-(U3287)*(T3287)))/W3287,0)</f>
        <v/>
      </c>
      <c r="Z3287">
        <f>IF(ABS(W3287)&gt;1E-12,((LTP3!$D$5)*((P3287)*(V3287)-(U3287)*(R3287))-(S3287)*((S3287)*(V3287)-(U3287)*(T3287))+(LTP3!$D$6)*((S3287)*(R3287)-(P3287)*(T3287)))/W3287,0)</f>
        <v/>
      </c>
      <c r="AA3287">
        <f>LTP3!$D$7-X3287*LTP3!$D$6-Y3287*U3287-Z3287*V3287</f>
        <v/>
      </c>
      <c r="AB3287">
        <f>IF(AND(F3287,ABS(W3287)&gt;1E-12,Y3287&gt;0,Z3287&gt;0),AA3287,1E+300)</f>
        <v/>
      </c>
    </row>
    <row r="3288">
      <c r="A3288">
        <f>$B$3+$B$5*53</f>
        <v/>
      </c>
      <c r="B3288">
        <f>$B$3+$B$5*43</f>
        <v/>
      </c>
      <c r="C3288">
        <f>SUMPRODUCT(Calc!$K$3:$K$22*(Calc!$G$3:$G$22&lt;=A3288))</f>
        <v/>
      </c>
      <c r="D3288">
        <f>SUMPRODUCT(Calc!$K$3:$K$22*(Calc!$G$3:$G$22&gt;A3288)*(Calc!$G$3:$G$22&lt;B3288))</f>
        <v/>
      </c>
      <c r="E3288">
        <f>SUMPRODUCT(Calc!$K$3:$K$22*(Calc!$G$3:$G$22&gt;=B3288))</f>
        <v/>
      </c>
      <c r="F3288">
        <f>AND(k_n&gt;=5,B3288&gt;A3288+1E-9,C3288&gt;=2,D3288&gt;=1,E3288&gt;=2)</f>
        <v/>
      </c>
      <c r="G3288">
        <f>SUMPRODUCT(Calc!$K$3:$K$22*(Calc!$G$3:$G$22&gt;A3288)*(Calc!$G$3:$G$22-A3288))</f>
        <v/>
      </c>
      <c r="H3288">
        <f>SUMPRODUCT(Calc!$K$3:$K$22*(Calc!$G$3:$G$22&gt;B3288)*(Calc!$G$3:$G$22-B3288))</f>
        <v/>
      </c>
      <c r="I3288">
        <f>SUMPRODUCT(Calc!$K$3:$K$22*(Calc!$G$3:$G$22&gt;A3288)*(Calc!$G$3:$G$22-A3288)^2)</f>
        <v/>
      </c>
      <c r="J3288">
        <f>SUMPRODUCT(Calc!$K$3:$K$22*(Calc!$G$3:$G$22&gt;B3288)*(Calc!$G$3:$G$22-B3288)^2)</f>
        <v/>
      </c>
      <c r="K3288">
        <f>SUMPRODUCT(Calc!$K$3:$K$22*(Calc!$G$3:$G$22&gt;A3288)*(Calc!$G$3:$G$22-A3288)*(Calc!$G$3:$G$22&gt;B3288)*(Calc!$G$3:$G$22-B3288))</f>
        <v/>
      </c>
      <c r="L3288">
        <f>SUMPRODUCT(Calc!$K$3:$K$22*(Calc!$G$3:$G$22&gt;A3288)*(Calc!$G$3:$G$22-A3288)*Calc!$G$3:$G$22)</f>
        <v/>
      </c>
      <c r="M3288">
        <f>SUMPRODUCT(Calc!$K$3:$K$22*(Calc!$G$3:$G$22&gt;B3288)*(Calc!$G$3:$G$22-B3288)*Calc!$G$3:$G$22)</f>
        <v/>
      </c>
      <c r="N3288">
        <f>SUMPRODUCT(Calc!$K$3:$K$22*(Calc!$G$3:$G$22&gt;A3288)*(Calc!$G$3:$G$22-A3288)*Calc!$I$3:$I$22)</f>
        <v/>
      </c>
      <c r="O3288">
        <f>SUMPRODUCT(Calc!$K$3:$K$22*(Calc!$G$3:$G$22&gt;B3288)*(Calc!$G$3:$G$22-B3288)*Calc!$I$3:$I$22)</f>
        <v/>
      </c>
      <c r="P3288">
        <f>I3288-G3288^2/k_n</f>
        <v/>
      </c>
      <c r="Q3288">
        <f>J3288-H3288^2/k_n</f>
        <v/>
      </c>
      <c r="R3288">
        <f>K3288-G3288*H3288/k_n</f>
        <v/>
      </c>
      <c r="S3288">
        <f>L3288-LTP3!$D$3*G3288/k_n</f>
        <v/>
      </c>
      <c r="T3288">
        <f>M3288-LTP3!$D$3*H3288/k_n</f>
        <v/>
      </c>
      <c r="U3288">
        <f>N3288-G3288*LTP3!$D$4/k_n</f>
        <v/>
      </c>
      <c r="V3288">
        <f>O3288-H3288*LTP3!$D$4/k_n</f>
        <v/>
      </c>
      <c r="W3288">
        <f>((LTP3!$D$5)*((P3288)*(Q3288)-(R3288)*(R3288))-(S3288)*((S3288)*(Q3288)-(R3288)*(T3288))+(T3288)*((S3288)*(R3288)-(P3288)*(T3288)))</f>
        <v/>
      </c>
      <c r="X3288">
        <f>IF(ABS(W3288)&gt;1E-12,((LTP3!$D$6)*((P3288)*(Q3288)-(R3288)*(R3288))-(S3288)*((U3288)*(Q3288)-(R3288)*(V3288))+(T3288)*((U3288)*(R3288)-(P3288)*(V3288)))/W3288,0)</f>
        <v/>
      </c>
      <c r="Y3288">
        <f>IF(ABS(W3288)&gt;1E-12,((LTP3!$D$5)*((U3288)*(Q3288)-(R3288)*(V3288))-(LTP3!$D$6)*((S3288)*(Q3288)-(R3288)*(T3288))+(T3288)*((S3288)*(V3288)-(U3288)*(T3288)))/W3288,0)</f>
        <v/>
      </c>
      <c r="Z3288">
        <f>IF(ABS(W3288)&gt;1E-12,((LTP3!$D$5)*((P3288)*(V3288)-(U3288)*(R3288))-(S3288)*((S3288)*(V3288)-(U3288)*(T3288))+(LTP3!$D$6)*((S3288)*(R3288)-(P3288)*(T3288)))/W3288,0)</f>
        <v/>
      </c>
      <c r="AA3288">
        <f>LTP3!$D$7-X3288*LTP3!$D$6-Y3288*U3288-Z3288*V3288</f>
        <v/>
      </c>
      <c r="AB3288">
        <f>IF(AND(F3288,ABS(W3288)&gt;1E-12,Y3288&gt;0,Z3288&gt;0),AA3288,1E+300)</f>
        <v/>
      </c>
    </row>
    <row r="3289">
      <c r="A3289">
        <f>$B$3+$B$5*53</f>
        <v/>
      </c>
      <c r="B3289">
        <f>$B$3+$B$5*44</f>
        <v/>
      </c>
      <c r="C3289">
        <f>SUMPRODUCT(Calc!$K$3:$K$22*(Calc!$G$3:$G$22&lt;=A3289))</f>
        <v/>
      </c>
      <c r="D3289">
        <f>SUMPRODUCT(Calc!$K$3:$K$22*(Calc!$G$3:$G$22&gt;A3289)*(Calc!$G$3:$G$22&lt;B3289))</f>
        <v/>
      </c>
      <c r="E3289">
        <f>SUMPRODUCT(Calc!$K$3:$K$22*(Calc!$G$3:$G$22&gt;=B3289))</f>
        <v/>
      </c>
      <c r="F3289">
        <f>AND(k_n&gt;=5,B3289&gt;A3289+1E-9,C3289&gt;=2,D3289&gt;=1,E3289&gt;=2)</f>
        <v/>
      </c>
      <c r="G3289">
        <f>SUMPRODUCT(Calc!$K$3:$K$22*(Calc!$G$3:$G$22&gt;A3289)*(Calc!$G$3:$G$22-A3289))</f>
        <v/>
      </c>
      <c r="H3289">
        <f>SUMPRODUCT(Calc!$K$3:$K$22*(Calc!$G$3:$G$22&gt;B3289)*(Calc!$G$3:$G$22-B3289))</f>
        <v/>
      </c>
      <c r="I3289">
        <f>SUMPRODUCT(Calc!$K$3:$K$22*(Calc!$G$3:$G$22&gt;A3289)*(Calc!$G$3:$G$22-A3289)^2)</f>
        <v/>
      </c>
      <c r="J3289">
        <f>SUMPRODUCT(Calc!$K$3:$K$22*(Calc!$G$3:$G$22&gt;B3289)*(Calc!$G$3:$G$22-B3289)^2)</f>
        <v/>
      </c>
      <c r="K3289">
        <f>SUMPRODUCT(Calc!$K$3:$K$22*(Calc!$G$3:$G$22&gt;A3289)*(Calc!$G$3:$G$22-A3289)*(Calc!$G$3:$G$22&gt;B3289)*(Calc!$G$3:$G$22-B3289))</f>
        <v/>
      </c>
      <c r="L3289">
        <f>SUMPRODUCT(Calc!$K$3:$K$22*(Calc!$G$3:$G$22&gt;A3289)*(Calc!$G$3:$G$22-A3289)*Calc!$G$3:$G$22)</f>
        <v/>
      </c>
      <c r="M3289">
        <f>SUMPRODUCT(Calc!$K$3:$K$22*(Calc!$G$3:$G$22&gt;B3289)*(Calc!$G$3:$G$22-B3289)*Calc!$G$3:$G$22)</f>
        <v/>
      </c>
      <c r="N3289">
        <f>SUMPRODUCT(Calc!$K$3:$K$22*(Calc!$G$3:$G$22&gt;A3289)*(Calc!$G$3:$G$22-A3289)*Calc!$I$3:$I$22)</f>
        <v/>
      </c>
      <c r="O3289">
        <f>SUMPRODUCT(Calc!$K$3:$K$22*(Calc!$G$3:$G$22&gt;B3289)*(Calc!$G$3:$G$22-B3289)*Calc!$I$3:$I$22)</f>
        <v/>
      </c>
      <c r="P3289">
        <f>I3289-G3289^2/k_n</f>
        <v/>
      </c>
      <c r="Q3289">
        <f>J3289-H3289^2/k_n</f>
        <v/>
      </c>
      <c r="R3289">
        <f>K3289-G3289*H3289/k_n</f>
        <v/>
      </c>
      <c r="S3289">
        <f>L3289-LTP3!$D$3*G3289/k_n</f>
        <v/>
      </c>
      <c r="T3289">
        <f>M3289-LTP3!$D$3*H3289/k_n</f>
        <v/>
      </c>
      <c r="U3289">
        <f>N3289-G3289*LTP3!$D$4/k_n</f>
        <v/>
      </c>
      <c r="V3289">
        <f>O3289-H3289*LTP3!$D$4/k_n</f>
        <v/>
      </c>
      <c r="W3289">
        <f>((LTP3!$D$5)*((P3289)*(Q3289)-(R3289)*(R3289))-(S3289)*((S3289)*(Q3289)-(R3289)*(T3289))+(T3289)*((S3289)*(R3289)-(P3289)*(T3289)))</f>
        <v/>
      </c>
      <c r="X3289">
        <f>IF(ABS(W3289)&gt;1E-12,((LTP3!$D$6)*((P3289)*(Q3289)-(R3289)*(R3289))-(S3289)*((U3289)*(Q3289)-(R3289)*(V3289))+(T3289)*((U3289)*(R3289)-(P3289)*(V3289)))/W3289,0)</f>
        <v/>
      </c>
      <c r="Y3289">
        <f>IF(ABS(W3289)&gt;1E-12,((LTP3!$D$5)*((U3289)*(Q3289)-(R3289)*(V3289))-(LTP3!$D$6)*((S3289)*(Q3289)-(R3289)*(T3289))+(T3289)*((S3289)*(V3289)-(U3289)*(T3289)))/W3289,0)</f>
        <v/>
      </c>
      <c r="Z3289">
        <f>IF(ABS(W3289)&gt;1E-12,((LTP3!$D$5)*((P3289)*(V3289)-(U3289)*(R3289))-(S3289)*((S3289)*(V3289)-(U3289)*(T3289))+(LTP3!$D$6)*((S3289)*(R3289)-(P3289)*(T3289)))/W3289,0)</f>
        <v/>
      </c>
      <c r="AA3289">
        <f>LTP3!$D$7-X3289*LTP3!$D$6-Y3289*U3289-Z3289*V3289</f>
        <v/>
      </c>
      <c r="AB3289">
        <f>IF(AND(F3289,ABS(W3289)&gt;1E-12,Y3289&gt;0,Z3289&gt;0),AA3289,1E+300)</f>
        <v/>
      </c>
    </row>
    <row r="3290">
      <c r="A3290">
        <f>$B$3+$B$5*53</f>
        <v/>
      </c>
      <c r="B3290">
        <f>$B$3+$B$5*45</f>
        <v/>
      </c>
      <c r="C3290">
        <f>SUMPRODUCT(Calc!$K$3:$K$22*(Calc!$G$3:$G$22&lt;=A3290))</f>
        <v/>
      </c>
      <c r="D3290">
        <f>SUMPRODUCT(Calc!$K$3:$K$22*(Calc!$G$3:$G$22&gt;A3290)*(Calc!$G$3:$G$22&lt;B3290))</f>
        <v/>
      </c>
      <c r="E3290">
        <f>SUMPRODUCT(Calc!$K$3:$K$22*(Calc!$G$3:$G$22&gt;=B3290))</f>
        <v/>
      </c>
      <c r="F3290">
        <f>AND(k_n&gt;=5,B3290&gt;A3290+1E-9,C3290&gt;=2,D3290&gt;=1,E3290&gt;=2)</f>
        <v/>
      </c>
      <c r="G3290">
        <f>SUMPRODUCT(Calc!$K$3:$K$22*(Calc!$G$3:$G$22&gt;A3290)*(Calc!$G$3:$G$22-A3290))</f>
        <v/>
      </c>
      <c r="H3290">
        <f>SUMPRODUCT(Calc!$K$3:$K$22*(Calc!$G$3:$G$22&gt;B3290)*(Calc!$G$3:$G$22-B3290))</f>
        <v/>
      </c>
      <c r="I3290">
        <f>SUMPRODUCT(Calc!$K$3:$K$22*(Calc!$G$3:$G$22&gt;A3290)*(Calc!$G$3:$G$22-A3290)^2)</f>
        <v/>
      </c>
      <c r="J3290">
        <f>SUMPRODUCT(Calc!$K$3:$K$22*(Calc!$G$3:$G$22&gt;B3290)*(Calc!$G$3:$G$22-B3290)^2)</f>
        <v/>
      </c>
      <c r="K3290">
        <f>SUMPRODUCT(Calc!$K$3:$K$22*(Calc!$G$3:$G$22&gt;A3290)*(Calc!$G$3:$G$22-A3290)*(Calc!$G$3:$G$22&gt;B3290)*(Calc!$G$3:$G$22-B3290))</f>
        <v/>
      </c>
      <c r="L3290">
        <f>SUMPRODUCT(Calc!$K$3:$K$22*(Calc!$G$3:$G$22&gt;A3290)*(Calc!$G$3:$G$22-A3290)*Calc!$G$3:$G$22)</f>
        <v/>
      </c>
      <c r="M3290">
        <f>SUMPRODUCT(Calc!$K$3:$K$22*(Calc!$G$3:$G$22&gt;B3290)*(Calc!$G$3:$G$22-B3290)*Calc!$G$3:$G$22)</f>
        <v/>
      </c>
      <c r="N3290">
        <f>SUMPRODUCT(Calc!$K$3:$K$22*(Calc!$G$3:$G$22&gt;A3290)*(Calc!$G$3:$G$22-A3290)*Calc!$I$3:$I$22)</f>
        <v/>
      </c>
      <c r="O3290">
        <f>SUMPRODUCT(Calc!$K$3:$K$22*(Calc!$G$3:$G$22&gt;B3290)*(Calc!$G$3:$G$22-B3290)*Calc!$I$3:$I$22)</f>
        <v/>
      </c>
      <c r="P3290">
        <f>I3290-G3290^2/k_n</f>
        <v/>
      </c>
      <c r="Q3290">
        <f>J3290-H3290^2/k_n</f>
        <v/>
      </c>
      <c r="R3290">
        <f>K3290-G3290*H3290/k_n</f>
        <v/>
      </c>
      <c r="S3290">
        <f>L3290-LTP3!$D$3*G3290/k_n</f>
        <v/>
      </c>
      <c r="T3290">
        <f>M3290-LTP3!$D$3*H3290/k_n</f>
        <v/>
      </c>
      <c r="U3290">
        <f>N3290-G3290*LTP3!$D$4/k_n</f>
        <v/>
      </c>
      <c r="V3290">
        <f>O3290-H3290*LTP3!$D$4/k_n</f>
        <v/>
      </c>
      <c r="W3290">
        <f>((LTP3!$D$5)*((P3290)*(Q3290)-(R3290)*(R3290))-(S3290)*((S3290)*(Q3290)-(R3290)*(T3290))+(T3290)*((S3290)*(R3290)-(P3290)*(T3290)))</f>
        <v/>
      </c>
      <c r="X3290">
        <f>IF(ABS(W3290)&gt;1E-12,((LTP3!$D$6)*((P3290)*(Q3290)-(R3290)*(R3290))-(S3290)*((U3290)*(Q3290)-(R3290)*(V3290))+(T3290)*((U3290)*(R3290)-(P3290)*(V3290)))/W3290,0)</f>
        <v/>
      </c>
      <c r="Y3290">
        <f>IF(ABS(W3290)&gt;1E-12,((LTP3!$D$5)*((U3290)*(Q3290)-(R3290)*(V3290))-(LTP3!$D$6)*((S3290)*(Q3290)-(R3290)*(T3290))+(T3290)*((S3290)*(V3290)-(U3290)*(T3290)))/W3290,0)</f>
        <v/>
      </c>
      <c r="Z3290">
        <f>IF(ABS(W3290)&gt;1E-12,((LTP3!$D$5)*((P3290)*(V3290)-(U3290)*(R3290))-(S3290)*((S3290)*(V3290)-(U3290)*(T3290))+(LTP3!$D$6)*((S3290)*(R3290)-(P3290)*(T3290)))/W3290,0)</f>
        <v/>
      </c>
      <c r="AA3290">
        <f>LTP3!$D$7-X3290*LTP3!$D$6-Y3290*U3290-Z3290*V3290</f>
        <v/>
      </c>
      <c r="AB3290">
        <f>IF(AND(F3290,ABS(W3290)&gt;1E-12,Y3290&gt;0,Z3290&gt;0),AA3290,1E+300)</f>
        <v/>
      </c>
    </row>
    <row r="3291">
      <c r="A3291">
        <f>$B$3+$B$5*53</f>
        <v/>
      </c>
      <c r="B3291">
        <f>$B$3+$B$5*46</f>
        <v/>
      </c>
      <c r="C3291">
        <f>SUMPRODUCT(Calc!$K$3:$K$22*(Calc!$G$3:$G$22&lt;=A3291))</f>
        <v/>
      </c>
      <c r="D3291">
        <f>SUMPRODUCT(Calc!$K$3:$K$22*(Calc!$G$3:$G$22&gt;A3291)*(Calc!$G$3:$G$22&lt;B3291))</f>
        <v/>
      </c>
      <c r="E3291">
        <f>SUMPRODUCT(Calc!$K$3:$K$22*(Calc!$G$3:$G$22&gt;=B3291))</f>
        <v/>
      </c>
      <c r="F3291">
        <f>AND(k_n&gt;=5,B3291&gt;A3291+1E-9,C3291&gt;=2,D3291&gt;=1,E3291&gt;=2)</f>
        <v/>
      </c>
      <c r="G3291">
        <f>SUMPRODUCT(Calc!$K$3:$K$22*(Calc!$G$3:$G$22&gt;A3291)*(Calc!$G$3:$G$22-A3291))</f>
        <v/>
      </c>
      <c r="H3291">
        <f>SUMPRODUCT(Calc!$K$3:$K$22*(Calc!$G$3:$G$22&gt;B3291)*(Calc!$G$3:$G$22-B3291))</f>
        <v/>
      </c>
      <c r="I3291">
        <f>SUMPRODUCT(Calc!$K$3:$K$22*(Calc!$G$3:$G$22&gt;A3291)*(Calc!$G$3:$G$22-A3291)^2)</f>
        <v/>
      </c>
      <c r="J3291">
        <f>SUMPRODUCT(Calc!$K$3:$K$22*(Calc!$G$3:$G$22&gt;B3291)*(Calc!$G$3:$G$22-B3291)^2)</f>
        <v/>
      </c>
      <c r="K3291">
        <f>SUMPRODUCT(Calc!$K$3:$K$22*(Calc!$G$3:$G$22&gt;A3291)*(Calc!$G$3:$G$22-A3291)*(Calc!$G$3:$G$22&gt;B3291)*(Calc!$G$3:$G$22-B3291))</f>
        <v/>
      </c>
      <c r="L3291">
        <f>SUMPRODUCT(Calc!$K$3:$K$22*(Calc!$G$3:$G$22&gt;A3291)*(Calc!$G$3:$G$22-A3291)*Calc!$G$3:$G$22)</f>
        <v/>
      </c>
      <c r="M3291">
        <f>SUMPRODUCT(Calc!$K$3:$K$22*(Calc!$G$3:$G$22&gt;B3291)*(Calc!$G$3:$G$22-B3291)*Calc!$G$3:$G$22)</f>
        <v/>
      </c>
      <c r="N3291">
        <f>SUMPRODUCT(Calc!$K$3:$K$22*(Calc!$G$3:$G$22&gt;A3291)*(Calc!$G$3:$G$22-A3291)*Calc!$I$3:$I$22)</f>
        <v/>
      </c>
      <c r="O3291">
        <f>SUMPRODUCT(Calc!$K$3:$K$22*(Calc!$G$3:$G$22&gt;B3291)*(Calc!$G$3:$G$22-B3291)*Calc!$I$3:$I$22)</f>
        <v/>
      </c>
      <c r="P3291">
        <f>I3291-G3291^2/k_n</f>
        <v/>
      </c>
      <c r="Q3291">
        <f>J3291-H3291^2/k_n</f>
        <v/>
      </c>
      <c r="R3291">
        <f>K3291-G3291*H3291/k_n</f>
        <v/>
      </c>
      <c r="S3291">
        <f>L3291-LTP3!$D$3*G3291/k_n</f>
        <v/>
      </c>
      <c r="T3291">
        <f>M3291-LTP3!$D$3*H3291/k_n</f>
        <v/>
      </c>
      <c r="U3291">
        <f>N3291-G3291*LTP3!$D$4/k_n</f>
        <v/>
      </c>
      <c r="V3291">
        <f>O3291-H3291*LTP3!$D$4/k_n</f>
        <v/>
      </c>
      <c r="W3291">
        <f>((LTP3!$D$5)*((P3291)*(Q3291)-(R3291)*(R3291))-(S3291)*((S3291)*(Q3291)-(R3291)*(T3291))+(T3291)*((S3291)*(R3291)-(P3291)*(T3291)))</f>
        <v/>
      </c>
      <c r="X3291">
        <f>IF(ABS(W3291)&gt;1E-12,((LTP3!$D$6)*((P3291)*(Q3291)-(R3291)*(R3291))-(S3291)*((U3291)*(Q3291)-(R3291)*(V3291))+(T3291)*((U3291)*(R3291)-(P3291)*(V3291)))/W3291,0)</f>
        <v/>
      </c>
      <c r="Y3291">
        <f>IF(ABS(W3291)&gt;1E-12,((LTP3!$D$5)*((U3291)*(Q3291)-(R3291)*(V3291))-(LTP3!$D$6)*((S3291)*(Q3291)-(R3291)*(T3291))+(T3291)*((S3291)*(V3291)-(U3291)*(T3291)))/W3291,0)</f>
        <v/>
      </c>
      <c r="Z3291">
        <f>IF(ABS(W3291)&gt;1E-12,((LTP3!$D$5)*((P3291)*(V3291)-(U3291)*(R3291))-(S3291)*((S3291)*(V3291)-(U3291)*(T3291))+(LTP3!$D$6)*((S3291)*(R3291)-(P3291)*(T3291)))/W3291,0)</f>
        <v/>
      </c>
      <c r="AA3291">
        <f>LTP3!$D$7-X3291*LTP3!$D$6-Y3291*U3291-Z3291*V3291</f>
        <v/>
      </c>
      <c r="AB3291">
        <f>IF(AND(F3291,ABS(W3291)&gt;1E-12,Y3291&gt;0,Z3291&gt;0),AA3291,1E+300)</f>
        <v/>
      </c>
    </row>
    <row r="3292">
      <c r="A3292">
        <f>$B$3+$B$5*53</f>
        <v/>
      </c>
      <c r="B3292">
        <f>$B$3+$B$5*47</f>
        <v/>
      </c>
      <c r="C3292">
        <f>SUMPRODUCT(Calc!$K$3:$K$22*(Calc!$G$3:$G$22&lt;=A3292))</f>
        <v/>
      </c>
      <c r="D3292">
        <f>SUMPRODUCT(Calc!$K$3:$K$22*(Calc!$G$3:$G$22&gt;A3292)*(Calc!$G$3:$G$22&lt;B3292))</f>
        <v/>
      </c>
      <c r="E3292">
        <f>SUMPRODUCT(Calc!$K$3:$K$22*(Calc!$G$3:$G$22&gt;=B3292))</f>
        <v/>
      </c>
      <c r="F3292">
        <f>AND(k_n&gt;=5,B3292&gt;A3292+1E-9,C3292&gt;=2,D3292&gt;=1,E3292&gt;=2)</f>
        <v/>
      </c>
      <c r="G3292">
        <f>SUMPRODUCT(Calc!$K$3:$K$22*(Calc!$G$3:$G$22&gt;A3292)*(Calc!$G$3:$G$22-A3292))</f>
        <v/>
      </c>
      <c r="H3292">
        <f>SUMPRODUCT(Calc!$K$3:$K$22*(Calc!$G$3:$G$22&gt;B3292)*(Calc!$G$3:$G$22-B3292))</f>
        <v/>
      </c>
      <c r="I3292">
        <f>SUMPRODUCT(Calc!$K$3:$K$22*(Calc!$G$3:$G$22&gt;A3292)*(Calc!$G$3:$G$22-A3292)^2)</f>
        <v/>
      </c>
      <c r="J3292">
        <f>SUMPRODUCT(Calc!$K$3:$K$22*(Calc!$G$3:$G$22&gt;B3292)*(Calc!$G$3:$G$22-B3292)^2)</f>
        <v/>
      </c>
      <c r="K3292">
        <f>SUMPRODUCT(Calc!$K$3:$K$22*(Calc!$G$3:$G$22&gt;A3292)*(Calc!$G$3:$G$22-A3292)*(Calc!$G$3:$G$22&gt;B3292)*(Calc!$G$3:$G$22-B3292))</f>
        <v/>
      </c>
      <c r="L3292">
        <f>SUMPRODUCT(Calc!$K$3:$K$22*(Calc!$G$3:$G$22&gt;A3292)*(Calc!$G$3:$G$22-A3292)*Calc!$G$3:$G$22)</f>
        <v/>
      </c>
      <c r="M3292">
        <f>SUMPRODUCT(Calc!$K$3:$K$22*(Calc!$G$3:$G$22&gt;B3292)*(Calc!$G$3:$G$22-B3292)*Calc!$G$3:$G$22)</f>
        <v/>
      </c>
      <c r="N3292">
        <f>SUMPRODUCT(Calc!$K$3:$K$22*(Calc!$G$3:$G$22&gt;A3292)*(Calc!$G$3:$G$22-A3292)*Calc!$I$3:$I$22)</f>
        <v/>
      </c>
      <c r="O3292">
        <f>SUMPRODUCT(Calc!$K$3:$K$22*(Calc!$G$3:$G$22&gt;B3292)*(Calc!$G$3:$G$22-B3292)*Calc!$I$3:$I$22)</f>
        <v/>
      </c>
      <c r="P3292">
        <f>I3292-G3292^2/k_n</f>
        <v/>
      </c>
      <c r="Q3292">
        <f>J3292-H3292^2/k_n</f>
        <v/>
      </c>
      <c r="R3292">
        <f>K3292-G3292*H3292/k_n</f>
        <v/>
      </c>
      <c r="S3292">
        <f>L3292-LTP3!$D$3*G3292/k_n</f>
        <v/>
      </c>
      <c r="T3292">
        <f>M3292-LTP3!$D$3*H3292/k_n</f>
        <v/>
      </c>
      <c r="U3292">
        <f>N3292-G3292*LTP3!$D$4/k_n</f>
        <v/>
      </c>
      <c r="V3292">
        <f>O3292-H3292*LTP3!$D$4/k_n</f>
        <v/>
      </c>
      <c r="W3292">
        <f>((LTP3!$D$5)*((P3292)*(Q3292)-(R3292)*(R3292))-(S3292)*((S3292)*(Q3292)-(R3292)*(T3292))+(T3292)*((S3292)*(R3292)-(P3292)*(T3292)))</f>
        <v/>
      </c>
      <c r="X3292">
        <f>IF(ABS(W3292)&gt;1E-12,((LTP3!$D$6)*((P3292)*(Q3292)-(R3292)*(R3292))-(S3292)*((U3292)*(Q3292)-(R3292)*(V3292))+(T3292)*((U3292)*(R3292)-(P3292)*(V3292)))/W3292,0)</f>
        <v/>
      </c>
      <c r="Y3292">
        <f>IF(ABS(W3292)&gt;1E-12,((LTP3!$D$5)*((U3292)*(Q3292)-(R3292)*(V3292))-(LTP3!$D$6)*((S3292)*(Q3292)-(R3292)*(T3292))+(T3292)*((S3292)*(V3292)-(U3292)*(T3292)))/W3292,0)</f>
        <v/>
      </c>
      <c r="Z3292">
        <f>IF(ABS(W3292)&gt;1E-12,((LTP3!$D$5)*((P3292)*(V3292)-(U3292)*(R3292))-(S3292)*((S3292)*(V3292)-(U3292)*(T3292))+(LTP3!$D$6)*((S3292)*(R3292)-(P3292)*(T3292)))/W3292,0)</f>
        <v/>
      </c>
      <c r="AA3292">
        <f>LTP3!$D$7-X3292*LTP3!$D$6-Y3292*U3292-Z3292*V3292</f>
        <v/>
      </c>
      <c r="AB3292">
        <f>IF(AND(F3292,ABS(W3292)&gt;1E-12,Y3292&gt;0,Z3292&gt;0),AA3292,1E+300)</f>
        <v/>
      </c>
    </row>
    <row r="3293">
      <c r="A3293">
        <f>$B$3+$B$5*53</f>
        <v/>
      </c>
      <c r="B3293">
        <f>$B$3+$B$5*48</f>
        <v/>
      </c>
      <c r="C3293">
        <f>SUMPRODUCT(Calc!$K$3:$K$22*(Calc!$G$3:$G$22&lt;=A3293))</f>
        <v/>
      </c>
      <c r="D3293">
        <f>SUMPRODUCT(Calc!$K$3:$K$22*(Calc!$G$3:$G$22&gt;A3293)*(Calc!$G$3:$G$22&lt;B3293))</f>
        <v/>
      </c>
      <c r="E3293">
        <f>SUMPRODUCT(Calc!$K$3:$K$22*(Calc!$G$3:$G$22&gt;=B3293))</f>
        <v/>
      </c>
      <c r="F3293">
        <f>AND(k_n&gt;=5,B3293&gt;A3293+1E-9,C3293&gt;=2,D3293&gt;=1,E3293&gt;=2)</f>
        <v/>
      </c>
      <c r="G3293">
        <f>SUMPRODUCT(Calc!$K$3:$K$22*(Calc!$G$3:$G$22&gt;A3293)*(Calc!$G$3:$G$22-A3293))</f>
        <v/>
      </c>
      <c r="H3293">
        <f>SUMPRODUCT(Calc!$K$3:$K$22*(Calc!$G$3:$G$22&gt;B3293)*(Calc!$G$3:$G$22-B3293))</f>
        <v/>
      </c>
      <c r="I3293">
        <f>SUMPRODUCT(Calc!$K$3:$K$22*(Calc!$G$3:$G$22&gt;A3293)*(Calc!$G$3:$G$22-A3293)^2)</f>
        <v/>
      </c>
      <c r="J3293">
        <f>SUMPRODUCT(Calc!$K$3:$K$22*(Calc!$G$3:$G$22&gt;B3293)*(Calc!$G$3:$G$22-B3293)^2)</f>
        <v/>
      </c>
      <c r="K3293">
        <f>SUMPRODUCT(Calc!$K$3:$K$22*(Calc!$G$3:$G$22&gt;A3293)*(Calc!$G$3:$G$22-A3293)*(Calc!$G$3:$G$22&gt;B3293)*(Calc!$G$3:$G$22-B3293))</f>
        <v/>
      </c>
      <c r="L3293">
        <f>SUMPRODUCT(Calc!$K$3:$K$22*(Calc!$G$3:$G$22&gt;A3293)*(Calc!$G$3:$G$22-A3293)*Calc!$G$3:$G$22)</f>
        <v/>
      </c>
      <c r="M3293">
        <f>SUMPRODUCT(Calc!$K$3:$K$22*(Calc!$G$3:$G$22&gt;B3293)*(Calc!$G$3:$G$22-B3293)*Calc!$G$3:$G$22)</f>
        <v/>
      </c>
      <c r="N3293">
        <f>SUMPRODUCT(Calc!$K$3:$K$22*(Calc!$G$3:$G$22&gt;A3293)*(Calc!$G$3:$G$22-A3293)*Calc!$I$3:$I$22)</f>
        <v/>
      </c>
      <c r="O3293">
        <f>SUMPRODUCT(Calc!$K$3:$K$22*(Calc!$G$3:$G$22&gt;B3293)*(Calc!$G$3:$G$22-B3293)*Calc!$I$3:$I$22)</f>
        <v/>
      </c>
      <c r="P3293">
        <f>I3293-G3293^2/k_n</f>
        <v/>
      </c>
      <c r="Q3293">
        <f>J3293-H3293^2/k_n</f>
        <v/>
      </c>
      <c r="R3293">
        <f>K3293-G3293*H3293/k_n</f>
        <v/>
      </c>
      <c r="S3293">
        <f>L3293-LTP3!$D$3*G3293/k_n</f>
        <v/>
      </c>
      <c r="T3293">
        <f>M3293-LTP3!$D$3*H3293/k_n</f>
        <v/>
      </c>
      <c r="U3293">
        <f>N3293-G3293*LTP3!$D$4/k_n</f>
        <v/>
      </c>
      <c r="V3293">
        <f>O3293-H3293*LTP3!$D$4/k_n</f>
        <v/>
      </c>
      <c r="W3293">
        <f>((LTP3!$D$5)*((P3293)*(Q3293)-(R3293)*(R3293))-(S3293)*((S3293)*(Q3293)-(R3293)*(T3293))+(T3293)*((S3293)*(R3293)-(P3293)*(T3293)))</f>
        <v/>
      </c>
      <c r="X3293">
        <f>IF(ABS(W3293)&gt;1E-12,((LTP3!$D$6)*((P3293)*(Q3293)-(R3293)*(R3293))-(S3293)*((U3293)*(Q3293)-(R3293)*(V3293))+(T3293)*((U3293)*(R3293)-(P3293)*(V3293)))/W3293,0)</f>
        <v/>
      </c>
      <c r="Y3293">
        <f>IF(ABS(W3293)&gt;1E-12,((LTP3!$D$5)*((U3293)*(Q3293)-(R3293)*(V3293))-(LTP3!$D$6)*((S3293)*(Q3293)-(R3293)*(T3293))+(T3293)*((S3293)*(V3293)-(U3293)*(T3293)))/W3293,0)</f>
        <v/>
      </c>
      <c r="Z3293">
        <f>IF(ABS(W3293)&gt;1E-12,((LTP3!$D$5)*((P3293)*(V3293)-(U3293)*(R3293))-(S3293)*((S3293)*(V3293)-(U3293)*(T3293))+(LTP3!$D$6)*((S3293)*(R3293)-(P3293)*(T3293)))/W3293,0)</f>
        <v/>
      </c>
      <c r="AA3293">
        <f>LTP3!$D$7-X3293*LTP3!$D$6-Y3293*U3293-Z3293*V3293</f>
        <v/>
      </c>
      <c r="AB3293">
        <f>IF(AND(F3293,ABS(W3293)&gt;1E-12,Y3293&gt;0,Z3293&gt;0),AA3293,1E+300)</f>
        <v/>
      </c>
    </row>
    <row r="3294">
      <c r="A3294">
        <f>$B$3+$B$5*53</f>
        <v/>
      </c>
      <c r="B3294">
        <f>$B$3+$B$5*49</f>
        <v/>
      </c>
      <c r="C3294">
        <f>SUMPRODUCT(Calc!$K$3:$K$22*(Calc!$G$3:$G$22&lt;=A3294))</f>
        <v/>
      </c>
      <c r="D3294">
        <f>SUMPRODUCT(Calc!$K$3:$K$22*(Calc!$G$3:$G$22&gt;A3294)*(Calc!$G$3:$G$22&lt;B3294))</f>
        <v/>
      </c>
      <c r="E3294">
        <f>SUMPRODUCT(Calc!$K$3:$K$22*(Calc!$G$3:$G$22&gt;=B3294))</f>
        <v/>
      </c>
      <c r="F3294">
        <f>AND(k_n&gt;=5,B3294&gt;A3294+1E-9,C3294&gt;=2,D3294&gt;=1,E3294&gt;=2)</f>
        <v/>
      </c>
      <c r="G3294">
        <f>SUMPRODUCT(Calc!$K$3:$K$22*(Calc!$G$3:$G$22&gt;A3294)*(Calc!$G$3:$G$22-A3294))</f>
        <v/>
      </c>
      <c r="H3294">
        <f>SUMPRODUCT(Calc!$K$3:$K$22*(Calc!$G$3:$G$22&gt;B3294)*(Calc!$G$3:$G$22-B3294))</f>
        <v/>
      </c>
      <c r="I3294">
        <f>SUMPRODUCT(Calc!$K$3:$K$22*(Calc!$G$3:$G$22&gt;A3294)*(Calc!$G$3:$G$22-A3294)^2)</f>
        <v/>
      </c>
      <c r="J3294">
        <f>SUMPRODUCT(Calc!$K$3:$K$22*(Calc!$G$3:$G$22&gt;B3294)*(Calc!$G$3:$G$22-B3294)^2)</f>
        <v/>
      </c>
      <c r="K3294">
        <f>SUMPRODUCT(Calc!$K$3:$K$22*(Calc!$G$3:$G$22&gt;A3294)*(Calc!$G$3:$G$22-A3294)*(Calc!$G$3:$G$22&gt;B3294)*(Calc!$G$3:$G$22-B3294))</f>
        <v/>
      </c>
      <c r="L3294">
        <f>SUMPRODUCT(Calc!$K$3:$K$22*(Calc!$G$3:$G$22&gt;A3294)*(Calc!$G$3:$G$22-A3294)*Calc!$G$3:$G$22)</f>
        <v/>
      </c>
      <c r="M3294">
        <f>SUMPRODUCT(Calc!$K$3:$K$22*(Calc!$G$3:$G$22&gt;B3294)*(Calc!$G$3:$G$22-B3294)*Calc!$G$3:$G$22)</f>
        <v/>
      </c>
      <c r="N3294">
        <f>SUMPRODUCT(Calc!$K$3:$K$22*(Calc!$G$3:$G$22&gt;A3294)*(Calc!$G$3:$G$22-A3294)*Calc!$I$3:$I$22)</f>
        <v/>
      </c>
      <c r="O3294">
        <f>SUMPRODUCT(Calc!$K$3:$K$22*(Calc!$G$3:$G$22&gt;B3294)*(Calc!$G$3:$G$22-B3294)*Calc!$I$3:$I$22)</f>
        <v/>
      </c>
      <c r="P3294">
        <f>I3294-G3294^2/k_n</f>
        <v/>
      </c>
      <c r="Q3294">
        <f>J3294-H3294^2/k_n</f>
        <v/>
      </c>
      <c r="R3294">
        <f>K3294-G3294*H3294/k_n</f>
        <v/>
      </c>
      <c r="S3294">
        <f>L3294-LTP3!$D$3*G3294/k_n</f>
        <v/>
      </c>
      <c r="T3294">
        <f>M3294-LTP3!$D$3*H3294/k_n</f>
        <v/>
      </c>
      <c r="U3294">
        <f>N3294-G3294*LTP3!$D$4/k_n</f>
        <v/>
      </c>
      <c r="V3294">
        <f>O3294-H3294*LTP3!$D$4/k_n</f>
        <v/>
      </c>
      <c r="W3294">
        <f>((LTP3!$D$5)*((P3294)*(Q3294)-(R3294)*(R3294))-(S3294)*((S3294)*(Q3294)-(R3294)*(T3294))+(T3294)*((S3294)*(R3294)-(P3294)*(T3294)))</f>
        <v/>
      </c>
      <c r="X3294">
        <f>IF(ABS(W3294)&gt;1E-12,((LTP3!$D$6)*((P3294)*(Q3294)-(R3294)*(R3294))-(S3294)*((U3294)*(Q3294)-(R3294)*(V3294))+(T3294)*((U3294)*(R3294)-(P3294)*(V3294)))/W3294,0)</f>
        <v/>
      </c>
      <c r="Y3294">
        <f>IF(ABS(W3294)&gt;1E-12,((LTP3!$D$5)*((U3294)*(Q3294)-(R3294)*(V3294))-(LTP3!$D$6)*((S3294)*(Q3294)-(R3294)*(T3294))+(T3294)*((S3294)*(V3294)-(U3294)*(T3294)))/W3294,0)</f>
        <v/>
      </c>
      <c r="Z3294">
        <f>IF(ABS(W3294)&gt;1E-12,((LTP3!$D$5)*((P3294)*(V3294)-(U3294)*(R3294))-(S3294)*((S3294)*(V3294)-(U3294)*(T3294))+(LTP3!$D$6)*((S3294)*(R3294)-(P3294)*(T3294)))/W3294,0)</f>
        <v/>
      </c>
      <c r="AA3294">
        <f>LTP3!$D$7-X3294*LTP3!$D$6-Y3294*U3294-Z3294*V3294</f>
        <v/>
      </c>
      <c r="AB3294">
        <f>IF(AND(F3294,ABS(W3294)&gt;1E-12,Y3294&gt;0,Z3294&gt;0),AA3294,1E+300)</f>
        <v/>
      </c>
    </row>
    <row r="3295">
      <c r="A3295">
        <f>$B$3+$B$5*53</f>
        <v/>
      </c>
      <c r="B3295">
        <f>$B$3+$B$5*50</f>
        <v/>
      </c>
      <c r="C3295">
        <f>SUMPRODUCT(Calc!$K$3:$K$22*(Calc!$G$3:$G$22&lt;=A3295))</f>
        <v/>
      </c>
      <c r="D3295">
        <f>SUMPRODUCT(Calc!$K$3:$K$22*(Calc!$G$3:$G$22&gt;A3295)*(Calc!$G$3:$G$22&lt;B3295))</f>
        <v/>
      </c>
      <c r="E3295">
        <f>SUMPRODUCT(Calc!$K$3:$K$22*(Calc!$G$3:$G$22&gt;=B3295))</f>
        <v/>
      </c>
      <c r="F3295">
        <f>AND(k_n&gt;=5,B3295&gt;A3295+1E-9,C3295&gt;=2,D3295&gt;=1,E3295&gt;=2)</f>
        <v/>
      </c>
      <c r="G3295">
        <f>SUMPRODUCT(Calc!$K$3:$K$22*(Calc!$G$3:$G$22&gt;A3295)*(Calc!$G$3:$G$22-A3295))</f>
        <v/>
      </c>
      <c r="H3295">
        <f>SUMPRODUCT(Calc!$K$3:$K$22*(Calc!$G$3:$G$22&gt;B3295)*(Calc!$G$3:$G$22-B3295))</f>
        <v/>
      </c>
      <c r="I3295">
        <f>SUMPRODUCT(Calc!$K$3:$K$22*(Calc!$G$3:$G$22&gt;A3295)*(Calc!$G$3:$G$22-A3295)^2)</f>
        <v/>
      </c>
      <c r="J3295">
        <f>SUMPRODUCT(Calc!$K$3:$K$22*(Calc!$G$3:$G$22&gt;B3295)*(Calc!$G$3:$G$22-B3295)^2)</f>
        <v/>
      </c>
      <c r="K3295">
        <f>SUMPRODUCT(Calc!$K$3:$K$22*(Calc!$G$3:$G$22&gt;A3295)*(Calc!$G$3:$G$22-A3295)*(Calc!$G$3:$G$22&gt;B3295)*(Calc!$G$3:$G$22-B3295))</f>
        <v/>
      </c>
      <c r="L3295">
        <f>SUMPRODUCT(Calc!$K$3:$K$22*(Calc!$G$3:$G$22&gt;A3295)*(Calc!$G$3:$G$22-A3295)*Calc!$G$3:$G$22)</f>
        <v/>
      </c>
      <c r="M3295">
        <f>SUMPRODUCT(Calc!$K$3:$K$22*(Calc!$G$3:$G$22&gt;B3295)*(Calc!$G$3:$G$22-B3295)*Calc!$G$3:$G$22)</f>
        <v/>
      </c>
      <c r="N3295">
        <f>SUMPRODUCT(Calc!$K$3:$K$22*(Calc!$G$3:$G$22&gt;A3295)*(Calc!$G$3:$G$22-A3295)*Calc!$I$3:$I$22)</f>
        <v/>
      </c>
      <c r="O3295">
        <f>SUMPRODUCT(Calc!$K$3:$K$22*(Calc!$G$3:$G$22&gt;B3295)*(Calc!$G$3:$G$22-B3295)*Calc!$I$3:$I$22)</f>
        <v/>
      </c>
      <c r="P3295">
        <f>I3295-G3295^2/k_n</f>
        <v/>
      </c>
      <c r="Q3295">
        <f>J3295-H3295^2/k_n</f>
        <v/>
      </c>
      <c r="R3295">
        <f>K3295-G3295*H3295/k_n</f>
        <v/>
      </c>
      <c r="S3295">
        <f>L3295-LTP3!$D$3*G3295/k_n</f>
        <v/>
      </c>
      <c r="T3295">
        <f>M3295-LTP3!$D$3*H3295/k_n</f>
        <v/>
      </c>
      <c r="U3295">
        <f>N3295-G3295*LTP3!$D$4/k_n</f>
        <v/>
      </c>
      <c r="V3295">
        <f>O3295-H3295*LTP3!$D$4/k_n</f>
        <v/>
      </c>
      <c r="W3295">
        <f>((LTP3!$D$5)*((P3295)*(Q3295)-(R3295)*(R3295))-(S3295)*((S3295)*(Q3295)-(R3295)*(T3295))+(T3295)*((S3295)*(R3295)-(P3295)*(T3295)))</f>
        <v/>
      </c>
      <c r="X3295">
        <f>IF(ABS(W3295)&gt;1E-12,((LTP3!$D$6)*((P3295)*(Q3295)-(R3295)*(R3295))-(S3295)*((U3295)*(Q3295)-(R3295)*(V3295))+(T3295)*((U3295)*(R3295)-(P3295)*(V3295)))/W3295,0)</f>
        <v/>
      </c>
      <c r="Y3295">
        <f>IF(ABS(W3295)&gt;1E-12,((LTP3!$D$5)*((U3295)*(Q3295)-(R3295)*(V3295))-(LTP3!$D$6)*((S3295)*(Q3295)-(R3295)*(T3295))+(T3295)*((S3295)*(V3295)-(U3295)*(T3295)))/W3295,0)</f>
        <v/>
      </c>
      <c r="Z3295">
        <f>IF(ABS(W3295)&gt;1E-12,((LTP3!$D$5)*((P3295)*(V3295)-(U3295)*(R3295))-(S3295)*((S3295)*(V3295)-(U3295)*(T3295))+(LTP3!$D$6)*((S3295)*(R3295)-(P3295)*(T3295)))/W3295,0)</f>
        <v/>
      </c>
      <c r="AA3295">
        <f>LTP3!$D$7-X3295*LTP3!$D$6-Y3295*U3295-Z3295*V3295</f>
        <v/>
      </c>
      <c r="AB3295">
        <f>IF(AND(F3295,ABS(W3295)&gt;1E-12,Y3295&gt;0,Z3295&gt;0),AA3295,1E+300)</f>
        <v/>
      </c>
    </row>
    <row r="3296">
      <c r="A3296">
        <f>$B$3+$B$5*53</f>
        <v/>
      </c>
      <c r="B3296">
        <f>$B$3+$B$5*51</f>
        <v/>
      </c>
      <c r="C3296">
        <f>SUMPRODUCT(Calc!$K$3:$K$22*(Calc!$G$3:$G$22&lt;=A3296))</f>
        <v/>
      </c>
      <c r="D3296">
        <f>SUMPRODUCT(Calc!$K$3:$K$22*(Calc!$G$3:$G$22&gt;A3296)*(Calc!$G$3:$G$22&lt;B3296))</f>
        <v/>
      </c>
      <c r="E3296">
        <f>SUMPRODUCT(Calc!$K$3:$K$22*(Calc!$G$3:$G$22&gt;=B3296))</f>
        <v/>
      </c>
      <c r="F3296">
        <f>AND(k_n&gt;=5,B3296&gt;A3296+1E-9,C3296&gt;=2,D3296&gt;=1,E3296&gt;=2)</f>
        <v/>
      </c>
      <c r="G3296">
        <f>SUMPRODUCT(Calc!$K$3:$K$22*(Calc!$G$3:$G$22&gt;A3296)*(Calc!$G$3:$G$22-A3296))</f>
        <v/>
      </c>
      <c r="H3296">
        <f>SUMPRODUCT(Calc!$K$3:$K$22*(Calc!$G$3:$G$22&gt;B3296)*(Calc!$G$3:$G$22-B3296))</f>
        <v/>
      </c>
      <c r="I3296">
        <f>SUMPRODUCT(Calc!$K$3:$K$22*(Calc!$G$3:$G$22&gt;A3296)*(Calc!$G$3:$G$22-A3296)^2)</f>
        <v/>
      </c>
      <c r="J3296">
        <f>SUMPRODUCT(Calc!$K$3:$K$22*(Calc!$G$3:$G$22&gt;B3296)*(Calc!$G$3:$G$22-B3296)^2)</f>
        <v/>
      </c>
      <c r="K3296">
        <f>SUMPRODUCT(Calc!$K$3:$K$22*(Calc!$G$3:$G$22&gt;A3296)*(Calc!$G$3:$G$22-A3296)*(Calc!$G$3:$G$22&gt;B3296)*(Calc!$G$3:$G$22-B3296))</f>
        <v/>
      </c>
      <c r="L3296">
        <f>SUMPRODUCT(Calc!$K$3:$K$22*(Calc!$G$3:$G$22&gt;A3296)*(Calc!$G$3:$G$22-A3296)*Calc!$G$3:$G$22)</f>
        <v/>
      </c>
      <c r="M3296">
        <f>SUMPRODUCT(Calc!$K$3:$K$22*(Calc!$G$3:$G$22&gt;B3296)*(Calc!$G$3:$G$22-B3296)*Calc!$G$3:$G$22)</f>
        <v/>
      </c>
      <c r="N3296">
        <f>SUMPRODUCT(Calc!$K$3:$K$22*(Calc!$G$3:$G$22&gt;A3296)*(Calc!$G$3:$G$22-A3296)*Calc!$I$3:$I$22)</f>
        <v/>
      </c>
      <c r="O3296">
        <f>SUMPRODUCT(Calc!$K$3:$K$22*(Calc!$G$3:$G$22&gt;B3296)*(Calc!$G$3:$G$22-B3296)*Calc!$I$3:$I$22)</f>
        <v/>
      </c>
      <c r="P3296">
        <f>I3296-G3296^2/k_n</f>
        <v/>
      </c>
      <c r="Q3296">
        <f>J3296-H3296^2/k_n</f>
        <v/>
      </c>
      <c r="R3296">
        <f>K3296-G3296*H3296/k_n</f>
        <v/>
      </c>
      <c r="S3296">
        <f>L3296-LTP3!$D$3*G3296/k_n</f>
        <v/>
      </c>
      <c r="T3296">
        <f>M3296-LTP3!$D$3*H3296/k_n</f>
        <v/>
      </c>
      <c r="U3296">
        <f>N3296-G3296*LTP3!$D$4/k_n</f>
        <v/>
      </c>
      <c r="V3296">
        <f>O3296-H3296*LTP3!$D$4/k_n</f>
        <v/>
      </c>
      <c r="W3296">
        <f>((LTP3!$D$5)*((P3296)*(Q3296)-(R3296)*(R3296))-(S3296)*((S3296)*(Q3296)-(R3296)*(T3296))+(T3296)*((S3296)*(R3296)-(P3296)*(T3296)))</f>
        <v/>
      </c>
      <c r="X3296">
        <f>IF(ABS(W3296)&gt;1E-12,((LTP3!$D$6)*((P3296)*(Q3296)-(R3296)*(R3296))-(S3296)*((U3296)*(Q3296)-(R3296)*(V3296))+(T3296)*((U3296)*(R3296)-(P3296)*(V3296)))/W3296,0)</f>
        <v/>
      </c>
      <c r="Y3296">
        <f>IF(ABS(W3296)&gt;1E-12,((LTP3!$D$5)*((U3296)*(Q3296)-(R3296)*(V3296))-(LTP3!$D$6)*((S3296)*(Q3296)-(R3296)*(T3296))+(T3296)*((S3296)*(V3296)-(U3296)*(T3296)))/W3296,0)</f>
        <v/>
      </c>
      <c r="Z3296">
        <f>IF(ABS(W3296)&gt;1E-12,((LTP3!$D$5)*((P3296)*(V3296)-(U3296)*(R3296))-(S3296)*((S3296)*(V3296)-(U3296)*(T3296))+(LTP3!$D$6)*((S3296)*(R3296)-(P3296)*(T3296)))/W3296,0)</f>
        <v/>
      </c>
      <c r="AA3296">
        <f>LTP3!$D$7-X3296*LTP3!$D$6-Y3296*U3296-Z3296*V3296</f>
        <v/>
      </c>
      <c r="AB3296">
        <f>IF(AND(F3296,ABS(W3296)&gt;1E-12,Y3296&gt;0,Z3296&gt;0),AA3296,1E+300)</f>
        <v/>
      </c>
    </row>
    <row r="3297">
      <c r="A3297">
        <f>$B$3+$B$5*53</f>
        <v/>
      </c>
      <c r="B3297">
        <f>$B$3+$B$5*52</f>
        <v/>
      </c>
      <c r="C3297">
        <f>SUMPRODUCT(Calc!$K$3:$K$22*(Calc!$G$3:$G$22&lt;=A3297))</f>
        <v/>
      </c>
      <c r="D3297">
        <f>SUMPRODUCT(Calc!$K$3:$K$22*(Calc!$G$3:$G$22&gt;A3297)*(Calc!$G$3:$G$22&lt;B3297))</f>
        <v/>
      </c>
      <c r="E3297">
        <f>SUMPRODUCT(Calc!$K$3:$K$22*(Calc!$G$3:$G$22&gt;=B3297))</f>
        <v/>
      </c>
      <c r="F3297">
        <f>AND(k_n&gt;=5,B3297&gt;A3297+1E-9,C3297&gt;=2,D3297&gt;=1,E3297&gt;=2)</f>
        <v/>
      </c>
      <c r="G3297">
        <f>SUMPRODUCT(Calc!$K$3:$K$22*(Calc!$G$3:$G$22&gt;A3297)*(Calc!$G$3:$G$22-A3297))</f>
        <v/>
      </c>
      <c r="H3297">
        <f>SUMPRODUCT(Calc!$K$3:$K$22*(Calc!$G$3:$G$22&gt;B3297)*(Calc!$G$3:$G$22-B3297))</f>
        <v/>
      </c>
      <c r="I3297">
        <f>SUMPRODUCT(Calc!$K$3:$K$22*(Calc!$G$3:$G$22&gt;A3297)*(Calc!$G$3:$G$22-A3297)^2)</f>
        <v/>
      </c>
      <c r="J3297">
        <f>SUMPRODUCT(Calc!$K$3:$K$22*(Calc!$G$3:$G$22&gt;B3297)*(Calc!$G$3:$G$22-B3297)^2)</f>
        <v/>
      </c>
      <c r="K3297">
        <f>SUMPRODUCT(Calc!$K$3:$K$22*(Calc!$G$3:$G$22&gt;A3297)*(Calc!$G$3:$G$22-A3297)*(Calc!$G$3:$G$22&gt;B3297)*(Calc!$G$3:$G$22-B3297))</f>
        <v/>
      </c>
      <c r="L3297">
        <f>SUMPRODUCT(Calc!$K$3:$K$22*(Calc!$G$3:$G$22&gt;A3297)*(Calc!$G$3:$G$22-A3297)*Calc!$G$3:$G$22)</f>
        <v/>
      </c>
      <c r="M3297">
        <f>SUMPRODUCT(Calc!$K$3:$K$22*(Calc!$G$3:$G$22&gt;B3297)*(Calc!$G$3:$G$22-B3297)*Calc!$G$3:$G$22)</f>
        <v/>
      </c>
      <c r="N3297">
        <f>SUMPRODUCT(Calc!$K$3:$K$22*(Calc!$G$3:$G$22&gt;A3297)*(Calc!$G$3:$G$22-A3297)*Calc!$I$3:$I$22)</f>
        <v/>
      </c>
      <c r="O3297">
        <f>SUMPRODUCT(Calc!$K$3:$K$22*(Calc!$G$3:$G$22&gt;B3297)*(Calc!$G$3:$G$22-B3297)*Calc!$I$3:$I$22)</f>
        <v/>
      </c>
      <c r="P3297">
        <f>I3297-G3297^2/k_n</f>
        <v/>
      </c>
      <c r="Q3297">
        <f>J3297-H3297^2/k_n</f>
        <v/>
      </c>
      <c r="R3297">
        <f>K3297-G3297*H3297/k_n</f>
        <v/>
      </c>
      <c r="S3297">
        <f>L3297-LTP3!$D$3*G3297/k_n</f>
        <v/>
      </c>
      <c r="T3297">
        <f>M3297-LTP3!$D$3*H3297/k_n</f>
        <v/>
      </c>
      <c r="U3297">
        <f>N3297-G3297*LTP3!$D$4/k_n</f>
        <v/>
      </c>
      <c r="V3297">
        <f>O3297-H3297*LTP3!$D$4/k_n</f>
        <v/>
      </c>
      <c r="W3297">
        <f>((LTP3!$D$5)*((P3297)*(Q3297)-(R3297)*(R3297))-(S3297)*((S3297)*(Q3297)-(R3297)*(T3297))+(T3297)*((S3297)*(R3297)-(P3297)*(T3297)))</f>
        <v/>
      </c>
      <c r="X3297">
        <f>IF(ABS(W3297)&gt;1E-12,((LTP3!$D$6)*((P3297)*(Q3297)-(R3297)*(R3297))-(S3297)*((U3297)*(Q3297)-(R3297)*(V3297))+(T3297)*((U3297)*(R3297)-(P3297)*(V3297)))/W3297,0)</f>
        <v/>
      </c>
      <c r="Y3297">
        <f>IF(ABS(W3297)&gt;1E-12,((LTP3!$D$5)*((U3297)*(Q3297)-(R3297)*(V3297))-(LTP3!$D$6)*((S3297)*(Q3297)-(R3297)*(T3297))+(T3297)*((S3297)*(V3297)-(U3297)*(T3297)))/W3297,0)</f>
        <v/>
      </c>
      <c r="Z3297">
        <f>IF(ABS(W3297)&gt;1E-12,((LTP3!$D$5)*((P3297)*(V3297)-(U3297)*(R3297))-(S3297)*((S3297)*(V3297)-(U3297)*(T3297))+(LTP3!$D$6)*((S3297)*(R3297)-(P3297)*(T3297)))/W3297,0)</f>
        <v/>
      </c>
      <c r="AA3297">
        <f>LTP3!$D$7-X3297*LTP3!$D$6-Y3297*U3297-Z3297*V3297</f>
        <v/>
      </c>
      <c r="AB3297">
        <f>IF(AND(F3297,ABS(W3297)&gt;1E-12,Y3297&gt;0,Z3297&gt;0),AA3297,1E+300)</f>
        <v/>
      </c>
    </row>
    <row r="3298">
      <c r="A3298">
        <f>$B$3+$B$5*53</f>
        <v/>
      </c>
      <c r="B3298">
        <f>$B$3+$B$5*53</f>
        <v/>
      </c>
      <c r="C3298">
        <f>SUMPRODUCT(Calc!$K$3:$K$22*(Calc!$G$3:$G$22&lt;=A3298))</f>
        <v/>
      </c>
      <c r="D3298">
        <f>SUMPRODUCT(Calc!$K$3:$K$22*(Calc!$G$3:$G$22&gt;A3298)*(Calc!$G$3:$G$22&lt;B3298))</f>
        <v/>
      </c>
      <c r="E3298">
        <f>SUMPRODUCT(Calc!$K$3:$K$22*(Calc!$G$3:$G$22&gt;=B3298))</f>
        <v/>
      </c>
      <c r="F3298">
        <f>AND(k_n&gt;=5,B3298&gt;A3298+1E-9,C3298&gt;=2,D3298&gt;=1,E3298&gt;=2)</f>
        <v/>
      </c>
      <c r="G3298">
        <f>SUMPRODUCT(Calc!$K$3:$K$22*(Calc!$G$3:$G$22&gt;A3298)*(Calc!$G$3:$G$22-A3298))</f>
        <v/>
      </c>
      <c r="H3298">
        <f>SUMPRODUCT(Calc!$K$3:$K$22*(Calc!$G$3:$G$22&gt;B3298)*(Calc!$G$3:$G$22-B3298))</f>
        <v/>
      </c>
      <c r="I3298">
        <f>SUMPRODUCT(Calc!$K$3:$K$22*(Calc!$G$3:$G$22&gt;A3298)*(Calc!$G$3:$G$22-A3298)^2)</f>
        <v/>
      </c>
      <c r="J3298">
        <f>SUMPRODUCT(Calc!$K$3:$K$22*(Calc!$G$3:$G$22&gt;B3298)*(Calc!$G$3:$G$22-B3298)^2)</f>
        <v/>
      </c>
      <c r="K3298">
        <f>SUMPRODUCT(Calc!$K$3:$K$22*(Calc!$G$3:$G$22&gt;A3298)*(Calc!$G$3:$G$22-A3298)*(Calc!$G$3:$G$22&gt;B3298)*(Calc!$G$3:$G$22-B3298))</f>
        <v/>
      </c>
      <c r="L3298">
        <f>SUMPRODUCT(Calc!$K$3:$K$22*(Calc!$G$3:$G$22&gt;A3298)*(Calc!$G$3:$G$22-A3298)*Calc!$G$3:$G$22)</f>
        <v/>
      </c>
      <c r="M3298">
        <f>SUMPRODUCT(Calc!$K$3:$K$22*(Calc!$G$3:$G$22&gt;B3298)*(Calc!$G$3:$G$22-B3298)*Calc!$G$3:$G$22)</f>
        <v/>
      </c>
      <c r="N3298">
        <f>SUMPRODUCT(Calc!$K$3:$K$22*(Calc!$G$3:$G$22&gt;A3298)*(Calc!$G$3:$G$22-A3298)*Calc!$I$3:$I$22)</f>
        <v/>
      </c>
      <c r="O3298">
        <f>SUMPRODUCT(Calc!$K$3:$K$22*(Calc!$G$3:$G$22&gt;B3298)*(Calc!$G$3:$G$22-B3298)*Calc!$I$3:$I$22)</f>
        <v/>
      </c>
      <c r="P3298">
        <f>I3298-G3298^2/k_n</f>
        <v/>
      </c>
      <c r="Q3298">
        <f>J3298-H3298^2/k_n</f>
        <v/>
      </c>
      <c r="R3298">
        <f>K3298-G3298*H3298/k_n</f>
        <v/>
      </c>
      <c r="S3298">
        <f>L3298-LTP3!$D$3*G3298/k_n</f>
        <v/>
      </c>
      <c r="T3298">
        <f>M3298-LTP3!$D$3*H3298/k_n</f>
        <v/>
      </c>
      <c r="U3298">
        <f>N3298-G3298*LTP3!$D$4/k_n</f>
        <v/>
      </c>
      <c r="V3298">
        <f>O3298-H3298*LTP3!$D$4/k_n</f>
        <v/>
      </c>
      <c r="W3298">
        <f>((LTP3!$D$5)*((P3298)*(Q3298)-(R3298)*(R3298))-(S3298)*((S3298)*(Q3298)-(R3298)*(T3298))+(T3298)*((S3298)*(R3298)-(P3298)*(T3298)))</f>
        <v/>
      </c>
      <c r="X3298">
        <f>IF(ABS(W3298)&gt;1E-12,((LTP3!$D$6)*((P3298)*(Q3298)-(R3298)*(R3298))-(S3298)*((U3298)*(Q3298)-(R3298)*(V3298))+(T3298)*((U3298)*(R3298)-(P3298)*(V3298)))/W3298,0)</f>
        <v/>
      </c>
      <c r="Y3298">
        <f>IF(ABS(W3298)&gt;1E-12,((LTP3!$D$5)*((U3298)*(Q3298)-(R3298)*(V3298))-(LTP3!$D$6)*((S3298)*(Q3298)-(R3298)*(T3298))+(T3298)*((S3298)*(V3298)-(U3298)*(T3298)))/W3298,0)</f>
        <v/>
      </c>
      <c r="Z3298">
        <f>IF(ABS(W3298)&gt;1E-12,((LTP3!$D$5)*((P3298)*(V3298)-(U3298)*(R3298))-(S3298)*((S3298)*(V3298)-(U3298)*(T3298))+(LTP3!$D$6)*((S3298)*(R3298)-(P3298)*(T3298)))/W3298,0)</f>
        <v/>
      </c>
      <c r="AA3298">
        <f>LTP3!$D$7-X3298*LTP3!$D$6-Y3298*U3298-Z3298*V3298</f>
        <v/>
      </c>
      <c r="AB3298">
        <f>IF(AND(F3298,ABS(W3298)&gt;1E-12,Y3298&gt;0,Z3298&gt;0),AA3298,1E+300)</f>
        <v/>
      </c>
    </row>
    <row r="3299">
      <c r="A3299">
        <f>$B$3+$B$5*53</f>
        <v/>
      </c>
      <c r="B3299">
        <f>$B$3+$B$5*54</f>
        <v/>
      </c>
      <c r="C3299">
        <f>SUMPRODUCT(Calc!$K$3:$K$22*(Calc!$G$3:$G$22&lt;=A3299))</f>
        <v/>
      </c>
      <c r="D3299">
        <f>SUMPRODUCT(Calc!$K$3:$K$22*(Calc!$G$3:$G$22&gt;A3299)*(Calc!$G$3:$G$22&lt;B3299))</f>
        <v/>
      </c>
      <c r="E3299">
        <f>SUMPRODUCT(Calc!$K$3:$K$22*(Calc!$G$3:$G$22&gt;=B3299))</f>
        <v/>
      </c>
      <c r="F3299">
        <f>AND(k_n&gt;=5,B3299&gt;A3299+1E-9,C3299&gt;=2,D3299&gt;=1,E3299&gt;=2)</f>
        <v/>
      </c>
      <c r="G3299">
        <f>SUMPRODUCT(Calc!$K$3:$K$22*(Calc!$G$3:$G$22&gt;A3299)*(Calc!$G$3:$G$22-A3299))</f>
        <v/>
      </c>
      <c r="H3299">
        <f>SUMPRODUCT(Calc!$K$3:$K$22*(Calc!$G$3:$G$22&gt;B3299)*(Calc!$G$3:$G$22-B3299))</f>
        <v/>
      </c>
      <c r="I3299">
        <f>SUMPRODUCT(Calc!$K$3:$K$22*(Calc!$G$3:$G$22&gt;A3299)*(Calc!$G$3:$G$22-A3299)^2)</f>
        <v/>
      </c>
      <c r="J3299">
        <f>SUMPRODUCT(Calc!$K$3:$K$22*(Calc!$G$3:$G$22&gt;B3299)*(Calc!$G$3:$G$22-B3299)^2)</f>
        <v/>
      </c>
      <c r="K3299">
        <f>SUMPRODUCT(Calc!$K$3:$K$22*(Calc!$G$3:$G$22&gt;A3299)*(Calc!$G$3:$G$22-A3299)*(Calc!$G$3:$G$22&gt;B3299)*(Calc!$G$3:$G$22-B3299))</f>
        <v/>
      </c>
      <c r="L3299">
        <f>SUMPRODUCT(Calc!$K$3:$K$22*(Calc!$G$3:$G$22&gt;A3299)*(Calc!$G$3:$G$22-A3299)*Calc!$G$3:$G$22)</f>
        <v/>
      </c>
      <c r="M3299">
        <f>SUMPRODUCT(Calc!$K$3:$K$22*(Calc!$G$3:$G$22&gt;B3299)*(Calc!$G$3:$G$22-B3299)*Calc!$G$3:$G$22)</f>
        <v/>
      </c>
      <c r="N3299">
        <f>SUMPRODUCT(Calc!$K$3:$K$22*(Calc!$G$3:$G$22&gt;A3299)*(Calc!$G$3:$G$22-A3299)*Calc!$I$3:$I$22)</f>
        <v/>
      </c>
      <c r="O3299">
        <f>SUMPRODUCT(Calc!$K$3:$K$22*(Calc!$G$3:$G$22&gt;B3299)*(Calc!$G$3:$G$22-B3299)*Calc!$I$3:$I$22)</f>
        <v/>
      </c>
      <c r="P3299">
        <f>I3299-G3299^2/k_n</f>
        <v/>
      </c>
      <c r="Q3299">
        <f>J3299-H3299^2/k_n</f>
        <v/>
      </c>
      <c r="R3299">
        <f>K3299-G3299*H3299/k_n</f>
        <v/>
      </c>
      <c r="S3299">
        <f>L3299-LTP3!$D$3*G3299/k_n</f>
        <v/>
      </c>
      <c r="T3299">
        <f>M3299-LTP3!$D$3*H3299/k_n</f>
        <v/>
      </c>
      <c r="U3299">
        <f>N3299-G3299*LTP3!$D$4/k_n</f>
        <v/>
      </c>
      <c r="V3299">
        <f>O3299-H3299*LTP3!$D$4/k_n</f>
        <v/>
      </c>
      <c r="W3299">
        <f>((LTP3!$D$5)*((P3299)*(Q3299)-(R3299)*(R3299))-(S3299)*((S3299)*(Q3299)-(R3299)*(T3299))+(T3299)*((S3299)*(R3299)-(P3299)*(T3299)))</f>
        <v/>
      </c>
      <c r="X3299">
        <f>IF(ABS(W3299)&gt;1E-12,((LTP3!$D$6)*((P3299)*(Q3299)-(R3299)*(R3299))-(S3299)*((U3299)*(Q3299)-(R3299)*(V3299))+(T3299)*((U3299)*(R3299)-(P3299)*(V3299)))/W3299,0)</f>
        <v/>
      </c>
      <c r="Y3299">
        <f>IF(ABS(W3299)&gt;1E-12,((LTP3!$D$5)*((U3299)*(Q3299)-(R3299)*(V3299))-(LTP3!$D$6)*((S3299)*(Q3299)-(R3299)*(T3299))+(T3299)*((S3299)*(V3299)-(U3299)*(T3299)))/W3299,0)</f>
        <v/>
      </c>
      <c r="Z3299">
        <f>IF(ABS(W3299)&gt;1E-12,((LTP3!$D$5)*((P3299)*(V3299)-(U3299)*(R3299))-(S3299)*((S3299)*(V3299)-(U3299)*(T3299))+(LTP3!$D$6)*((S3299)*(R3299)-(P3299)*(T3299)))/W3299,0)</f>
        <v/>
      </c>
      <c r="AA3299">
        <f>LTP3!$D$7-X3299*LTP3!$D$6-Y3299*U3299-Z3299*V3299</f>
        <v/>
      </c>
      <c r="AB3299">
        <f>IF(AND(F3299,ABS(W3299)&gt;1E-12,Y3299&gt;0,Z3299&gt;0),AA3299,1E+300)</f>
        <v/>
      </c>
    </row>
    <row r="3300">
      <c r="A3300">
        <f>$B$3+$B$5*53</f>
        <v/>
      </c>
      <c r="B3300">
        <f>$B$3+$B$5*55</f>
        <v/>
      </c>
      <c r="C3300">
        <f>SUMPRODUCT(Calc!$K$3:$K$22*(Calc!$G$3:$G$22&lt;=A3300))</f>
        <v/>
      </c>
      <c r="D3300">
        <f>SUMPRODUCT(Calc!$K$3:$K$22*(Calc!$G$3:$G$22&gt;A3300)*(Calc!$G$3:$G$22&lt;B3300))</f>
        <v/>
      </c>
      <c r="E3300">
        <f>SUMPRODUCT(Calc!$K$3:$K$22*(Calc!$G$3:$G$22&gt;=B3300))</f>
        <v/>
      </c>
      <c r="F3300">
        <f>AND(k_n&gt;=5,B3300&gt;A3300+1E-9,C3300&gt;=2,D3300&gt;=1,E3300&gt;=2)</f>
        <v/>
      </c>
      <c r="G3300">
        <f>SUMPRODUCT(Calc!$K$3:$K$22*(Calc!$G$3:$G$22&gt;A3300)*(Calc!$G$3:$G$22-A3300))</f>
        <v/>
      </c>
      <c r="H3300">
        <f>SUMPRODUCT(Calc!$K$3:$K$22*(Calc!$G$3:$G$22&gt;B3300)*(Calc!$G$3:$G$22-B3300))</f>
        <v/>
      </c>
      <c r="I3300">
        <f>SUMPRODUCT(Calc!$K$3:$K$22*(Calc!$G$3:$G$22&gt;A3300)*(Calc!$G$3:$G$22-A3300)^2)</f>
        <v/>
      </c>
      <c r="J3300">
        <f>SUMPRODUCT(Calc!$K$3:$K$22*(Calc!$G$3:$G$22&gt;B3300)*(Calc!$G$3:$G$22-B3300)^2)</f>
        <v/>
      </c>
      <c r="K3300">
        <f>SUMPRODUCT(Calc!$K$3:$K$22*(Calc!$G$3:$G$22&gt;A3300)*(Calc!$G$3:$G$22-A3300)*(Calc!$G$3:$G$22&gt;B3300)*(Calc!$G$3:$G$22-B3300))</f>
        <v/>
      </c>
      <c r="L3300">
        <f>SUMPRODUCT(Calc!$K$3:$K$22*(Calc!$G$3:$G$22&gt;A3300)*(Calc!$G$3:$G$22-A3300)*Calc!$G$3:$G$22)</f>
        <v/>
      </c>
      <c r="M3300">
        <f>SUMPRODUCT(Calc!$K$3:$K$22*(Calc!$G$3:$G$22&gt;B3300)*(Calc!$G$3:$G$22-B3300)*Calc!$G$3:$G$22)</f>
        <v/>
      </c>
      <c r="N3300">
        <f>SUMPRODUCT(Calc!$K$3:$K$22*(Calc!$G$3:$G$22&gt;A3300)*(Calc!$G$3:$G$22-A3300)*Calc!$I$3:$I$22)</f>
        <v/>
      </c>
      <c r="O3300">
        <f>SUMPRODUCT(Calc!$K$3:$K$22*(Calc!$G$3:$G$22&gt;B3300)*(Calc!$G$3:$G$22-B3300)*Calc!$I$3:$I$22)</f>
        <v/>
      </c>
      <c r="P3300">
        <f>I3300-G3300^2/k_n</f>
        <v/>
      </c>
      <c r="Q3300">
        <f>J3300-H3300^2/k_n</f>
        <v/>
      </c>
      <c r="R3300">
        <f>K3300-G3300*H3300/k_n</f>
        <v/>
      </c>
      <c r="S3300">
        <f>L3300-LTP3!$D$3*G3300/k_n</f>
        <v/>
      </c>
      <c r="T3300">
        <f>M3300-LTP3!$D$3*H3300/k_n</f>
        <v/>
      </c>
      <c r="U3300">
        <f>N3300-G3300*LTP3!$D$4/k_n</f>
        <v/>
      </c>
      <c r="V3300">
        <f>O3300-H3300*LTP3!$D$4/k_n</f>
        <v/>
      </c>
      <c r="W3300">
        <f>((LTP3!$D$5)*((P3300)*(Q3300)-(R3300)*(R3300))-(S3300)*((S3300)*(Q3300)-(R3300)*(T3300))+(T3300)*((S3300)*(R3300)-(P3300)*(T3300)))</f>
        <v/>
      </c>
      <c r="X3300">
        <f>IF(ABS(W3300)&gt;1E-12,((LTP3!$D$6)*((P3300)*(Q3300)-(R3300)*(R3300))-(S3300)*((U3300)*(Q3300)-(R3300)*(V3300))+(T3300)*((U3300)*(R3300)-(P3300)*(V3300)))/W3300,0)</f>
        <v/>
      </c>
      <c r="Y3300">
        <f>IF(ABS(W3300)&gt;1E-12,((LTP3!$D$5)*((U3300)*(Q3300)-(R3300)*(V3300))-(LTP3!$D$6)*((S3300)*(Q3300)-(R3300)*(T3300))+(T3300)*((S3300)*(V3300)-(U3300)*(T3300)))/W3300,0)</f>
        <v/>
      </c>
      <c r="Z3300">
        <f>IF(ABS(W3300)&gt;1E-12,((LTP3!$D$5)*((P3300)*(V3300)-(U3300)*(R3300))-(S3300)*((S3300)*(V3300)-(U3300)*(T3300))+(LTP3!$D$6)*((S3300)*(R3300)-(P3300)*(T3300)))/W3300,0)</f>
        <v/>
      </c>
      <c r="AA3300">
        <f>LTP3!$D$7-X3300*LTP3!$D$6-Y3300*U3300-Z3300*V3300</f>
        <v/>
      </c>
      <c r="AB3300">
        <f>IF(AND(F3300,ABS(W3300)&gt;1E-12,Y3300&gt;0,Z3300&gt;0),AA3300,1E+300)</f>
        <v/>
      </c>
    </row>
    <row r="3301">
      <c r="A3301">
        <f>$B$3+$B$5*53</f>
        <v/>
      </c>
      <c r="B3301">
        <f>$B$3+$B$5*56</f>
        <v/>
      </c>
      <c r="C3301">
        <f>SUMPRODUCT(Calc!$K$3:$K$22*(Calc!$G$3:$G$22&lt;=A3301))</f>
        <v/>
      </c>
      <c r="D3301">
        <f>SUMPRODUCT(Calc!$K$3:$K$22*(Calc!$G$3:$G$22&gt;A3301)*(Calc!$G$3:$G$22&lt;B3301))</f>
        <v/>
      </c>
      <c r="E3301">
        <f>SUMPRODUCT(Calc!$K$3:$K$22*(Calc!$G$3:$G$22&gt;=B3301))</f>
        <v/>
      </c>
      <c r="F3301">
        <f>AND(k_n&gt;=5,B3301&gt;A3301+1E-9,C3301&gt;=2,D3301&gt;=1,E3301&gt;=2)</f>
        <v/>
      </c>
      <c r="G3301">
        <f>SUMPRODUCT(Calc!$K$3:$K$22*(Calc!$G$3:$G$22&gt;A3301)*(Calc!$G$3:$G$22-A3301))</f>
        <v/>
      </c>
      <c r="H3301">
        <f>SUMPRODUCT(Calc!$K$3:$K$22*(Calc!$G$3:$G$22&gt;B3301)*(Calc!$G$3:$G$22-B3301))</f>
        <v/>
      </c>
      <c r="I3301">
        <f>SUMPRODUCT(Calc!$K$3:$K$22*(Calc!$G$3:$G$22&gt;A3301)*(Calc!$G$3:$G$22-A3301)^2)</f>
        <v/>
      </c>
      <c r="J3301">
        <f>SUMPRODUCT(Calc!$K$3:$K$22*(Calc!$G$3:$G$22&gt;B3301)*(Calc!$G$3:$G$22-B3301)^2)</f>
        <v/>
      </c>
      <c r="K3301">
        <f>SUMPRODUCT(Calc!$K$3:$K$22*(Calc!$G$3:$G$22&gt;A3301)*(Calc!$G$3:$G$22-A3301)*(Calc!$G$3:$G$22&gt;B3301)*(Calc!$G$3:$G$22-B3301))</f>
        <v/>
      </c>
      <c r="L3301">
        <f>SUMPRODUCT(Calc!$K$3:$K$22*(Calc!$G$3:$G$22&gt;A3301)*(Calc!$G$3:$G$22-A3301)*Calc!$G$3:$G$22)</f>
        <v/>
      </c>
      <c r="M3301">
        <f>SUMPRODUCT(Calc!$K$3:$K$22*(Calc!$G$3:$G$22&gt;B3301)*(Calc!$G$3:$G$22-B3301)*Calc!$G$3:$G$22)</f>
        <v/>
      </c>
      <c r="N3301">
        <f>SUMPRODUCT(Calc!$K$3:$K$22*(Calc!$G$3:$G$22&gt;A3301)*(Calc!$G$3:$G$22-A3301)*Calc!$I$3:$I$22)</f>
        <v/>
      </c>
      <c r="O3301">
        <f>SUMPRODUCT(Calc!$K$3:$K$22*(Calc!$G$3:$G$22&gt;B3301)*(Calc!$G$3:$G$22-B3301)*Calc!$I$3:$I$22)</f>
        <v/>
      </c>
      <c r="P3301">
        <f>I3301-G3301^2/k_n</f>
        <v/>
      </c>
      <c r="Q3301">
        <f>J3301-H3301^2/k_n</f>
        <v/>
      </c>
      <c r="R3301">
        <f>K3301-G3301*H3301/k_n</f>
        <v/>
      </c>
      <c r="S3301">
        <f>L3301-LTP3!$D$3*G3301/k_n</f>
        <v/>
      </c>
      <c r="T3301">
        <f>M3301-LTP3!$D$3*H3301/k_n</f>
        <v/>
      </c>
      <c r="U3301">
        <f>N3301-G3301*LTP3!$D$4/k_n</f>
        <v/>
      </c>
      <c r="V3301">
        <f>O3301-H3301*LTP3!$D$4/k_n</f>
        <v/>
      </c>
      <c r="W3301">
        <f>((LTP3!$D$5)*((P3301)*(Q3301)-(R3301)*(R3301))-(S3301)*((S3301)*(Q3301)-(R3301)*(T3301))+(T3301)*((S3301)*(R3301)-(P3301)*(T3301)))</f>
        <v/>
      </c>
      <c r="X3301">
        <f>IF(ABS(W3301)&gt;1E-12,((LTP3!$D$6)*((P3301)*(Q3301)-(R3301)*(R3301))-(S3301)*((U3301)*(Q3301)-(R3301)*(V3301))+(T3301)*((U3301)*(R3301)-(P3301)*(V3301)))/W3301,0)</f>
        <v/>
      </c>
      <c r="Y3301">
        <f>IF(ABS(W3301)&gt;1E-12,((LTP3!$D$5)*((U3301)*(Q3301)-(R3301)*(V3301))-(LTP3!$D$6)*((S3301)*(Q3301)-(R3301)*(T3301))+(T3301)*((S3301)*(V3301)-(U3301)*(T3301)))/W3301,0)</f>
        <v/>
      </c>
      <c r="Z3301">
        <f>IF(ABS(W3301)&gt;1E-12,((LTP3!$D$5)*((P3301)*(V3301)-(U3301)*(R3301))-(S3301)*((S3301)*(V3301)-(U3301)*(T3301))+(LTP3!$D$6)*((S3301)*(R3301)-(P3301)*(T3301)))/W3301,0)</f>
        <v/>
      </c>
      <c r="AA3301">
        <f>LTP3!$D$7-X3301*LTP3!$D$6-Y3301*U3301-Z3301*V3301</f>
        <v/>
      </c>
      <c r="AB3301">
        <f>IF(AND(F3301,ABS(W3301)&gt;1E-12,Y3301&gt;0,Z3301&gt;0),AA3301,1E+300)</f>
        <v/>
      </c>
    </row>
    <row r="3302">
      <c r="A3302">
        <f>$B$3+$B$5*53</f>
        <v/>
      </c>
      <c r="B3302">
        <f>$B$3+$B$5*57</f>
        <v/>
      </c>
      <c r="C3302">
        <f>SUMPRODUCT(Calc!$K$3:$K$22*(Calc!$G$3:$G$22&lt;=A3302))</f>
        <v/>
      </c>
      <c r="D3302">
        <f>SUMPRODUCT(Calc!$K$3:$K$22*(Calc!$G$3:$G$22&gt;A3302)*(Calc!$G$3:$G$22&lt;B3302))</f>
        <v/>
      </c>
      <c r="E3302">
        <f>SUMPRODUCT(Calc!$K$3:$K$22*(Calc!$G$3:$G$22&gt;=B3302))</f>
        <v/>
      </c>
      <c r="F3302">
        <f>AND(k_n&gt;=5,B3302&gt;A3302+1E-9,C3302&gt;=2,D3302&gt;=1,E3302&gt;=2)</f>
        <v/>
      </c>
      <c r="G3302">
        <f>SUMPRODUCT(Calc!$K$3:$K$22*(Calc!$G$3:$G$22&gt;A3302)*(Calc!$G$3:$G$22-A3302))</f>
        <v/>
      </c>
      <c r="H3302">
        <f>SUMPRODUCT(Calc!$K$3:$K$22*(Calc!$G$3:$G$22&gt;B3302)*(Calc!$G$3:$G$22-B3302))</f>
        <v/>
      </c>
      <c r="I3302">
        <f>SUMPRODUCT(Calc!$K$3:$K$22*(Calc!$G$3:$G$22&gt;A3302)*(Calc!$G$3:$G$22-A3302)^2)</f>
        <v/>
      </c>
      <c r="J3302">
        <f>SUMPRODUCT(Calc!$K$3:$K$22*(Calc!$G$3:$G$22&gt;B3302)*(Calc!$G$3:$G$22-B3302)^2)</f>
        <v/>
      </c>
      <c r="K3302">
        <f>SUMPRODUCT(Calc!$K$3:$K$22*(Calc!$G$3:$G$22&gt;A3302)*(Calc!$G$3:$G$22-A3302)*(Calc!$G$3:$G$22&gt;B3302)*(Calc!$G$3:$G$22-B3302))</f>
        <v/>
      </c>
      <c r="L3302">
        <f>SUMPRODUCT(Calc!$K$3:$K$22*(Calc!$G$3:$G$22&gt;A3302)*(Calc!$G$3:$G$22-A3302)*Calc!$G$3:$G$22)</f>
        <v/>
      </c>
      <c r="M3302">
        <f>SUMPRODUCT(Calc!$K$3:$K$22*(Calc!$G$3:$G$22&gt;B3302)*(Calc!$G$3:$G$22-B3302)*Calc!$G$3:$G$22)</f>
        <v/>
      </c>
      <c r="N3302">
        <f>SUMPRODUCT(Calc!$K$3:$K$22*(Calc!$G$3:$G$22&gt;A3302)*(Calc!$G$3:$G$22-A3302)*Calc!$I$3:$I$22)</f>
        <v/>
      </c>
      <c r="O3302">
        <f>SUMPRODUCT(Calc!$K$3:$K$22*(Calc!$G$3:$G$22&gt;B3302)*(Calc!$G$3:$G$22-B3302)*Calc!$I$3:$I$22)</f>
        <v/>
      </c>
      <c r="P3302">
        <f>I3302-G3302^2/k_n</f>
        <v/>
      </c>
      <c r="Q3302">
        <f>J3302-H3302^2/k_n</f>
        <v/>
      </c>
      <c r="R3302">
        <f>K3302-G3302*H3302/k_n</f>
        <v/>
      </c>
      <c r="S3302">
        <f>L3302-LTP3!$D$3*G3302/k_n</f>
        <v/>
      </c>
      <c r="T3302">
        <f>M3302-LTP3!$D$3*H3302/k_n</f>
        <v/>
      </c>
      <c r="U3302">
        <f>N3302-G3302*LTP3!$D$4/k_n</f>
        <v/>
      </c>
      <c r="V3302">
        <f>O3302-H3302*LTP3!$D$4/k_n</f>
        <v/>
      </c>
      <c r="W3302">
        <f>((LTP3!$D$5)*((P3302)*(Q3302)-(R3302)*(R3302))-(S3302)*((S3302)*(Q3302)-(R3302)*(T3302))+(T3302)*((S3302)*(R3302)-(P3302)*(T3302)))</f>
        <v/>
      </c>
      <c r="X3302">
        <f>IF(ABS(W3302)&gt;1E-12,((LTP3!$D$6)*((P3302)*(Q3302)-(R3302)*(R3302))-(S3302)*((U3302)*(Q3302)-(R3302)*(V3302))+(T3302)*((U3302)*(R3302)-(P3302)*(V3302)))/W3302,0)</f>
        <v/>
      </c>
      <c r="Y3302">
        <f>IF(ABS(W3302)&gt;1E-12,((LTP3!$D$5)*((U3302)*(Q3302)-(R3302)*(V3302))-(LTP3!$D$6)*((S3302)*(Q3302)-(R3302)*(T3302))+(T3302)*((S3302)*(V3302)-(U3302)*(T3302)))/W3302,0)</f>
        <v/>
      </c>
      <c r="Z3302">
        <f>IF(ABS(W3302)&gt;1E-12,((LTP3!$D$5)*((P3302)*(V3302)-(U3302)*(R3302))-(S3302)*((S3302)*(V3302)-(U3302)*(T3302))+(LTP3!$D$6)*((S3302)*(R3302)-(P3302)*(T3302)))/W3302,0)</f>
        <v/>
      </c>
      <c r="AA3302">
        <f>LTP3!$D$7-X3302*LTP3!$D$6-Y3302*U3302-Z3302*V3302</f>
        <v/>
      </c>
      <c r="AB3302">
        <f>IF(AND(F3302,ABS(W3302)&gt;1E-12,Y3302&gt;0,Z3302&gt;0),AA3302,1E+300)</f>
        <v/>
      </c>
    </row>
    <row r="3303">
      <c r="A3303">
        <f>$B$3+$B$5*53</f>
        <v/>
      </c>
      <c r="B3303">
        <f>$B$3+$B$5*58</f>
        <v/>
      </c>
      <c r="C3303">
        <f>SUMPRODUCT(Calc!$K$3:$K$22*(Calc!$G$3:$G$22&lt;=A3303))</f>
        <v/>
      </c>
      <c r="D3303">
        <f>SUMPRODUCT(Calc!$K$3:$K$22*(Calc!$G$3:$G$22&gt;A3303)*(Calc!$G$3:$G$22&lt;B3303))</f>
        <v/>
      </c>
      <c r="E3303">
        <f>SUMPRODUCT(Calc!$K$3:$K$22*(Calc!$G$3:$G$22&gt;=B3303))</f>
        <v/>
      </c>
      <c r="F3303">
        <f>AND(k_n&gt;=5,B3303&gt;A3303+1E-9,C3303&gt;=2,D3303&gt;=1,E3303&gt;=2)</f>
        <v/>
      </c>
      <c r="G3303">
        <f>SUMPRODUCT(Calc!$K$3:$K$22*(Calc!$G$3:$G$22&gt;A3303)*(Calc!$G$3:$G$22-A3303))</f>
        <v/>
      </c>
      <c r="H3303">
        <f>SUMPRODUCT(Calc!$K$3:$K$22*(Calc!$G$3:$G$22&gt;B3303)*(Calc!$G$3:$G$22-B3303))</f>
        <v/>
      </c>
      <c r="I3303">
        <f>SUMPRODUCT(Calc!$K$3:$K$22*(Calc!$G$3:$G$22&gt;A3303)*(Calc!$G$3:$G$22-A3303)^2)</f>
        <v/>
      </c>
      <c r="J3303">
        <f>SUMPRODUCT(Calc!$K$3:$K$22*(Calc!$G$3:$G$22&gt;B3303)*(Calc!$G$3:$G$22-B3303)^2)</f>
        <v/>
      </c>
      <c r="K3303">
        <f>SUMPRODUCT(Calc!$K$3:$K$22*(Calc!$G$3:$G$22&gt;A3303)*(Calc!$G$3:$G$22-A3303)*(Calc!$G$3:$G$22&gt;B3303)*(Calc!$G$3:$G$22-B3303))</f>
        <v/>
      </c>
      <c r="L3303">
        <f>SUMPRODUCT(Calc!$K$3:$K$22*(Calc!$G$3:$G$22&gt;A3303)*(Calc!$G$3:$G$22-A3303)*Calc!$G$3:$G$22)</f>
        <v/>
      </c>
      <c r="M3303">
        <f>SUMPRODUCT(Calc!$K$3:$K$22*(Calc!$G$3:$G$22&gt;B3303)*(Calc!$G$3:$G$22-B3303)*Calc!$G$3:$G$22)</f>
        <v/>
      </c>
      <c r="N3303">
        <f>SUMPRODUCT(Calc!$K$3:$K$22*(Calc!$G$3:$G$22&gt;A3303)*(Calc!$G$3:$G$22-A3303)*Calc!$I$3:$I$22)</f>
        <v/>
      </c>
      <c r="O3303">
        <f>SUMPRODUCT(Calc!$K$3:$K$22*(Calc!$G$3:$G$22&gt;B3303)*(Calc!$G$3:$G$22-B3303)*Calc!$I$3:$I$22)</f>
        <v/>
      </c>
      <c r="P3303">
        <f>I3303-G3303^2/k_n</f>
        <v/>
      </c>
      <c r="Q3303">
        <f>J3303-H3303^2/k_n</f>
        <v/>
      </c>
      <c r="R3303">
        <f>K3303-G3303*H3303/k_n</f>
        <v/>
      </c>
      <c r="S3303">
        <f>L3303-LTP3!$D$3*G3303/k_n</f>
        <v/>
      </c>
      <c r="T3303">
        <f>M3303-LTP3!$D$3*H3303/k_n</f>
        <v/>
      </c>
      <c r="U3303">
        <f>N3303-G3303*LTP3!$D$4/k_n</f>
        <v/>
      </c>
      <c r="V3303">
        <f>O3303-H3303*LTP3!$D$4/k_n</f>
        <v/>
      </c>
      <c r="W3303">
        <f>((LTP3!$D$5)*((P3303)*(Q3303)-(R3303)*(R3303))-(S3303)*((S3303)*(Q3303)-(R3303)*(T3303))+(T3303)*((S3303)*(R3303)-(P3303)*(T3303)))</f>
        <v/>
      </c>
      <c r="X3303">
        <f>IF(ABS(W3303)&gt;1E-12,((LTP3!$D$6)*((P3303)*(Q3303)-(R3303)*(R3303))-(S3303)*((U3303)*(Q3303)-(R3303)*(V3303))+(T3303)*((U3303)*(R3303)-(P3303)*(V3303)))/W3303,0)</f>
        <v/>
      </c>
      <c r="Y3303">
        <f>IF(ABS(W3303)&gt;1E-12,((LTP3!$D$5)*((U3303)*(Q3303)-(R3303)*(V3303))-(LTP3!$D$6)*((S3303)*(Q3303)-(R3303)*(T3303))+(T3303)*((S3303)*(V3303)-(U3303)*(T3303)))/W3303,0)</f>
        <v/>
      </c>
      <c r="Z3303">
        <f>IF(ABS(W3303)&gt;1E-12,((LTP3!$D$5)*((P3303)*(V3303)-(U3303)*(R3303))-(S3303)*((S3303)*(V3303)-(U3303)*(T3303))+(LTP3!$D$6)*((S3303)*(R3303)-(P3303)*(T3303)))/W3303,0)</f>
        <v/>
      </c>
      <c r="AA3303">
        <f>LTP3!$D$7-X3303*LTP3!$D$6-Y3303*U3303-Z3303*V3303</f>
        <v/>
      </c>
      <c r="AB3303">
        <f>IF(AND(F3303,ABS(W3303)&gt;1E-12,Y3303&gt;0,Z3303&gt;0),AA3303,1E+300)</f>
        <v/>
      </c>
    </row>
    <row r="3304">
      <c r="A3304">
        <f>$B$3+$B$5*53</f>
        <v/>
      </c>
      <c r="B3304">
        <f>$B$3+$B$5*59</f>
        <v/>
      </c>
      <c r="C3304">
        <f>SUMPRODUCT(Calc!$K$3:$K$22*(Calc!$G$3:$G$22&lt;=A3304))</f>
        <v/>
      </c>
      <c r="D3304">
        <f>SUMPRODUCT(Calc!$K$3:$K$22*(Calc!$G$3:$G$22&gt;A3304)*(Calc!$G$3:$G$22&lt;B3304))</f>
        <v/>
      </c>
      <c r="E3304">
        <f>SUMPRODUCT(Calc!$K$3:$K$22*(Calc!$G$3:$G$22&gt;=B3304))</f>
        <v/>
      </c>
      <c r="F3304">
        <f>AND(k_n&gt;=5,B3304&gt;A3304+1E-9,C3304&gt;=2,D3304&gt;=1,E3304&gt;=2)</f>
        <v/>
      </c>
      <c r="G3304">
        <f>SUMPRODUCT(Calc!$K$3:$K$22*(Calc!$G$3:$G$22&gt;A3304)*(Calc!$G$3:$G$22-A3304))</f>
        <v/>
      </c>
      <c r="H3304">
        <f>SUMPRODUCT(Calc!$K$3:$K$22*(Calc!$G$3:$G$22&gt;B3304)*(Calc!$G$3:$G$22-B3304))</f>
        <v/>
      </c>
      <c r="I3304">
        <f>SUMPRODUCT(Calc!$K$3:$K$22*(Calc!$G$3:$G$22&gt;A3304)*(Calc!$G$3:$G$22-A3304)^2)</f>
        <v/>
      </c>
      <c r="J3304">
        <f>SUMPRODUCT(Calc!$K$3:$K$22*(Calc!$G$3:$G$22&gt;B3304)*(Calc!$G$3:$G$22-B3304)^2)</f>
        <v/>
      </c>
      <c r="K3304">
        <f>SUMPRODUCT(Calc!$K$3:$K$22*(Calc!$G$3:$G$22&gt;A3304)*(Calc!$G$3:$G$22-A3304)*(Calc!$G$3:$G$22&gt;B3304)*(Calc!$G$3:$G$22-B3304))</f>
        <v/>
      </c>
      <c r="L3304">
        <f>SUMPRODUCT(Calc!$K$3:$K$22*(Calc!$G$3:$G$22&gt;A3304)*(Calc!$G$3:$G$22-A3304)*Calc!$G$3:$G$22)</f>
        <v/>
      </c>
      <c r="M3304">
        <f>SUMPRODUCT(Calc!$K$3:$K$22*(Calc!$G$3:$G$22&gt;B3304)*(Calc!$G$3:$G$22-B3304)*Calc!$G$3:$G$22)</f>
        <v/>
      </c>
      <c r="N3304">
        <f>SUMPRODUCT(Calc!$K$3:$K$22*(Calc!$G$3:$G$22&gt;A3304)*(Calc!$G$3:$G$22-A3304)*Calc!$I$3:$I$22)</f>
        <v/>
      </c>
      <c r="O3304">
        <f>SUMPRODUCT(Calc!$K$3:$K$22*(Calc!$G$3:$G$22&gt;B3304)*(Calc!$G$3:$G$22-B3304)*Calc!$I$3:$I$22)</f>
        <v/>
      </c>
      <c r="P3304">
        <f>I3304-G3304^2/k_n</f>
        <v/>
      </c>
      <c r="Q3304">
        <f>J3304-H3304^2/k_n</f>
        <v/>
      </c>
      <c r="R3304">
        <f>K3304-G3304*H3304/k_n</f>
        <v/>
      </c>
      <c r="S3304">
        <f>L3304-LTP3!$D$3*G3304/k_n</f>
        <v/>
      </c>
      <c r="T3304">
        <f>M3304-LTP3!$D$3*H3304/k_n</f>
        <v/>
      </c>
      <c r="U3304">
        <f>N3304-G3304*LTP3!$D$4/k_n</f>
        <v/>
      </c>
      <c r="V3304">
        <f>O3304-H3304*LTP3!$D$4/k_n</f>
        <v/>
      </c>
      <c r="W3304">
        <f>((LTP3!$D$5)*((P3304)*(Q3304)-(R3304)*(R3304))-(S3304)*((S3304)*(Q3304)-(R3304)*(T3304))+(T3304)*((S3304)*(R3304)-(P3304)*(T3304)))</f>
        <v/>
      </c>
      <c r="X3304">
        <f>IF(ABS(W3304)&gt;1E-12,((LTP3!$D$6)*((P3304)*(Q3304)-(R3304)*(R3304))-(S3304)*((U3304)*(Q3304)-(R3304)*(V3304))+(T3304)*((U3304)*(R3304)-(P3304)*(V3304)))/W3304,0)</f>
        <v/>
      </c>
      <c r="Y3304">
        <f>IF(ABS(W3304)&gt;1E-12,((LTP3!$D$5)*((U3304)*(Q3304)-(R3304)*(V3304))-(LTP3!$D$6)*((S3304)*(Q3304)-(R3304)*(T3304))+(T3304)*((S3304)*(V3304)-(U3304)*(T3304)))/W3304,0)</f>
        <v/>
      </c>
      <c r="Z3304">
        <f>IF(ABS(W3304)&gt;1E-12,((LTP3!$D$5)*((P3304)*(V3304)-(U3304)*(R3304))-(S3304)*((S3304)*(V3304)-(U3304)*(T3304))+(LTP3!$D$6)*((S3304)*(R3304)-(P3304)*(T3304)))/W3304,0)</f>
        <v/>
      </c>
      <c r="AA3304">
        <f>LTP3!$D$7-X3304*LTP3!$D$6-Y3304*U3304-Z3304*V3304</f>
        <v/>
      </c>
      <c r="AB3304">
        <f>IF(AND(F3304,ABS(W3304)&gt;1E-12,Y3304&gt;0,Z3304&gt;0),AA3304,1E+300)</f>
        <v/>
      </c>
    </row>
    <row r="3305">
      <c r="A3305">
        <f>$B$3+$B$5*53</f>
        <v/>
      </c>
      <c r="B3305">
        <f>$B$3+$B$5*60</f>
        <v/>
      </c>
      <c r="C3305">
        <f>SUMPRODUCT(Calc!$K$3:$K$22*(Calc!$G$3:$G$22&lt;=A3305))</f>
        <v/>
      </c>
      <c r="D3305">
        <f>SUMPRODUCT(Calc!$K$3:$K$22*(Calc!$G$3:$G$22&gt;A3305)*(Calc!$G$3:$G$22&lt;B3305))</f>
        <v/>
      </c>
      <c r="E3305">
        <f>SUMPRODUCT(Calc!$K$3:$K$22*(Calc!$G$3:$G$22&gt;=B3305))</f>
        <v/>
      </c>
      <c r="F3305">
        <f>AND(k_n&gt;=5,B3305&gt;A3305+1E-9,C3305&gt;=2,D3305&gt;=1,E3305&gt;=2)</f>
        <v/>
      </c>
      <c r="G3305">
        <f>SUMPRODUCT(Calc!$K$3:$K$22*(Calc!$G$3:$G$22&gt;A3305)*(Calc!$G$3:$G$22-A3305))</f>
        <v/>
      </c>
      <c r="H3305">
        <f>SUMPRODUCT(Calc!$K$3:$K$22*(Calc!$G$3:$G$22&gt;B3305)*(Calc!$G$3:$G$22-B3305))</f>
        <v/>
      </c>
      <c r="I3305">
        <f>SUMPRODUCT(Calc!$K$3:$K$22*(Calc!$G$3:$G$22&gt;A3305)*(Calc!$G$3:$G$22-A3305)^2)</f>
        <v/>
      </c>
      <c r="J3305">
        <f>SUMPRODUCT(Calc!$K$3:$K$22*(Calc!$G$3:$G$22&gt;B3305)*(Calc!$G$3:$G$22-B3305)^2)</f>
        <v/>
      </c>
      <c r="K3305">
        <f>SUMPRODUCT(Calc!$K$3:$K$22*(Calc!$G$3:$G$22&gt;A3305)*(Calc!$G$3:$G$22-A3305)*(Calc!$G$3:$G$22&gt;B3305)*(Calc!$G$3:$G$22-B3305))</f>
        <v/>
      </c>
      <c r="L3305">
        <f>SUMPRODUCT(Calc!$K$3:$K$22*(Calc!$G$3:$G$22&gt;A3305)*(Calc!$G$3:$G$22-A3305)*Calc!$G$3:$G$22)</f>
        <v/>
      </c>
      <c r="M3305">
        <f>SUMPRODUCT(Calc!$K$3:$K$22*(Calc!$G$3:$G$22&gt;B3305)*(Calc!$G$3:$G$22-B3305)*Calc!$G$3:$G$22)</f>
        <v/>
      </c>
      <c r="N3305">
        <f>SUMPRODUCT(Calc!$K$3:$K$22*(Calc!$G$3:$G$22&gt;A3305)*(Calc!$G$3:$G$22-A3305)*Calc!$I$3:$I$22)</f>
        <v/>
      </c>
      <c r="O3305">
        <f>SUMPRODUCT(Calc!$K$3:$K$22*(Calc!$G$3:$G$22&gt;B3305)*(Calc!$G$3:$G$22-B3305)*Calc!$I$3:$I$22)</f>
        <v/>
      </c>
      <c r="P3305">
        <f>I3305-G3305^2/k_n</f>
        <v/>
      </c>
      <c r="Q3305">
        <f>J3305-H3305^2/k_n</f>
        <v/>
      </c>
      <c r="R3305">
        <f>K3305-G3305*H3305/k_n</f>
        <v/>
      </c>
      <c r="S3305">
        <f>L3305-LTP3!$D$3*G3305/k_n</f>
        <v/>
      </c>
      <c r="T3305">
        <f>M3305-LTP3!$D$3*H3305/k_n</f>
        <v/>
      </c>
      <c r="U3305">
        <f>N3305-G3305*LTP3!$D$4/k_n</f>
        <v/>
      </c>
      <c r="V3305">
        <f>O3305-H3305*LTP3!$D$4/k_n</f>
        <v/>
      </c>
      <c r="W3305">
        <f>((LTP3!$D$5)*((P3305)*(Q3305)-(R3305)*(R3305))-(S3305)*((S3305)*(Q3305)-(R3305)*(T3305))+(T3305)*((S3305)*(R3305)-(P3305)*(T3305)))</f>
        <v/>
      </c>
      <c r="X3305">
        <f>IF(ABS(W3305)&gt;1E-12,((LTP3!$D$6)*((P3305)*(Q3305)-(R3305)*(R3305))-(S3305)*((U3305)*(Q3305)-(R3305)*(V3305))+(T3305)*((U3305)*(R3305)-(P3305)*(V3305)))/W3305,0)</f>
        <v/>
      </c>
      <c r="Y3305">
        <f>IF(ABS(W3305)&gt;1E-12,((LTP3!$D$5)*((U3305)*(Q3305)-(R3305)*(V3305))-(LTP3!$D$6)*((S3305)*(Q3305)-(R3305)*(T3305))+(T3305)*((S3305)*(V3305)-(U3305)*(T3305)))/W3305,0)</f>
        <v/>
      </c>
      <c r="Z3305">
        <f>IF(ABS(W3305)&gt;1E-12,((LTP3!$D$5)*((P3305)*(V3305)-(U3305)*(R3305))-(S3305)*((S3305)*(V3305)-(U3305)*(T3305))+(LTP3!$D$6)*((S3305)*(R3305)-(P3305)*(T3305)))/W3305,0)</f>
        <v/>
      </c>
      <c r="AA3305">
        <f>LTP3!$D$7-X3305*LTP3!$D$6-Y3305*U3305-Z3305*V3305</f>
        <v/>
      </c>
      <c r="AB3305">
        <f>IF(AND(F3305,ABS(W3305)&gt;1E-12,Y3305&gt;0,Z3305&gt;0),AA3305,1E+300)</f>
        <v/>
      </c>
    </row>
    <row r="3306">
      <c r="A3306">
        <f>$B$3+$B$5*54</f>
        <v/>
      </c>
      <c r="B3306">
        <f>$B$3+$B$5*0</f>
        <v/>
      </c>
      <c r="C3306">
        <f>SUMPRODUCT(Calc!$K$3:$K$22*(Calc!$G$3:$G$22&lt;=A3306))</f>
        <v/>
      </c>
      <c r="D3306">
        <f>SUMPRODUCT(Calc!$K$3:$K$22*(Calc!$G$3:$G$22&gt;A3306)*(Calc!$G$3:$G$22&lt;B3306))</f>
        <v/>
      </c>
      <c r="E3306">
        <f>SUMPRODUCT(Calc!$K$3:$K$22*(Calc!$G$3:$G$22&gt;=B3306))</f>
        <v/>
      </c>
      <c r="F3306">
        <f>AND(k_n&gt;=5,B3306&gt;A3306+1E-9,C3306&gt;=2,D3306&gt;=1,E3306&gt;=2)</f>
        <v/>
      </c>
      <c r="G3306">
        <f>SUMPRODUCT(Calc!$K$3:$K$22*(Calc!$G$3:$G$22&gt;A3306)*(Calc!$G$3:$G$22-A3306))</f>
        <v/>
      </c>
      <c r="H3306">
        <f>SUMPRODUCT(Calc!$K$3:$K$22*(Calc!$G$3:$G$22&gt;B3306)*(Calc!$G$3:$G$22-B3306))</f>
        <v/>
      </c>
      <c r="I3306">
        <f>SUMPRODUCT(Calc!$K$3:$K$22*(Calc!$G$3:$G$22&gt;A3306)*(Calc!$G$3:$G$22-A3306)^2)</f>
        <v/>
      </c>
      <c r="J3306">
        <f>SUMPRODUCT(Calc!$K$3:$K$22*(Calc!$G$3:$G$22&gt;B3306)*(Calc!$G$3:$G$22-B3306)^2)</f>
        <v/>
      </c>
      <c r="K3306">
        <f>SUMPRODUCT(Calc!$K$3:$K$22*(Calc!$G$3:$G$22&gt;A3306)*(Calc!$G$3:$G$22-A3306)*(Calc!$G$3:$G$22&gt;B3306)*(Calc!$G$3:$G$22-B3306))</f>
        <v/>
      </c>
      <c r="L3306">
        <f>SUMPRODUCT(Calc!$K$3:$K$22*(Calc!$G$3:$G$22&gt;A3306)*(Calc!$G$3:$G$22-A3306)*Calc!$G$3:$G$22)</f>
        <v/>
      </c>
      <c r="M3306">
        <f>SUMPRODUCT(Calc!$K$3:$K$22*(Calc!$G$3:$G$22&gt;B3306)*(Calc!$G$3:$G$22-B3306)*Calc!$G$3:$G$22)</f>
        <v/>
      </c>
      <c r="N3306">
        <f>SUMPRODUCT(Calc!$K$3:$K$22*(Calc!$G$3:$G$22&gt;A3306)*(Calc!$G$3:$G$22-A3306)*Calc!$I$3:$I$22)</f>
        <v/>
      </c>
      <c r="O3306">
        <f>SUMPRODUCT(Calc!$K$3:$K$22*(Calc!$G$3:$G$22&gt;B3306)*(Calc!$G$3:$G$22-B3306)*Calc!$I$3:$I$22)</f>
        <v/>
      </c>
      <c r="P3306">
        <f>I3306-G3306^2/k_n</f>
        <v/>
      </c>
      <c r="Q3306">
        <f>J3306-H3306^2/k_n</f>
        <v/>
      </c>
      <c r="R3306">
        <f>K3306-G3306*H3306/k_n</f>
        <v/>
      </c>
      <c r="S3306">
        <f>L3306-LTP3!$D$3*G3306/k_n</f>
        <v/>
      </c>
      <c r="T3306">
        <f>M3306-LTP3!$D$3*H3306/k_n</f>
        <v/>
      </c>
      <c r="U3306">
        <f>N3306-G3306*LTP3!$D$4/k_n</f>
        <v/>
      </c>
      <c r="V3306">
        <f>O3306-H3306*LTP3!$D$4/k_n</f>
        <v/>
      </c>
      <c r="W3306">
        <f>((LTP3!$D$5)*((P3306)*(Q3306)-(R3306)*(R3306))-(S3306)*((S3306)*(Q3306)-(R3306)*(T3306))+(T3306)*((S3306)*(R3306)-(P3306)*(T3306)))</f>
        <v/>
      </c>
      <c r="X3306">
        <f>IF(ABS(W3306)&gt;1E-12,((LTP3!$D$6)*((P3306)*(Q3306)-(R3306)*(R3306))-(S3306)*((U3306)*(Q3306)-(R3306)*(V3306))+(T3306)*((U3306)*(R3306)-(P3306)*(V3306)))/W3306,0)</f>
        <v/>
      </c>
      <c r="Y3306">
        <f>IF(ABS(W3306)&gt;1E-12,((LTP3!$D$5)*((U3306)*(Q3306)-(R3306)*(V3306))-(LTP3!$D$6)*((S3306)*(Q3306)-(R3306)*(T3306))+(T3306)*((S3306)*(V3306)-(U3306)*(T3306)))/W3306,0)</f>
        <v/>
      </c>
      <c r="Z3306">
        <f>IF(ABS(W3306)&gt;1E-12,((LTP3!$D$5)*((P3306)*(V3306)-(U3306)*(R3306))-(S3306)*((S3306)*(V3306)-(U3306)*(T3306))+(LTP3!$D$6)*((S3306)*(R3306)-(P3306)*(T3306)))/W3306,0)</f>
        <v/>
      </c>
      <c r="AA3306">
        <f>LTP3!$D$7-X3306*LTP3!$D$6-Y3306*U3306-Z3306*V3306</f>
        <v/>
      </c>
      <c r="AB3306">
        <f>IF(AND(F3306,ABS(W3306)&gt;1E-12,Y3306&gt;0,Z3306&gt;0),AA3306,1E+300)</f>
        <v/>
      </c>
    </row>
    <row r="3307">
      <c r="A3307">
        <f>$B$3+$B$5*54</f>
        <v/>
      </c>
      <c r="B3307">
        <f>$B$3+$B$5*1</f>
        <v/>
      </c>
      <c r="C3307">
        <f>SUMPRODUCT(Calc!$K$3:$K$22*(Calc!$G$3:$G$22&lt;=A3307))</f>
        <v/>
      </c>
      <c r="D3307">
        <f>SUMPRODUCT(Calc!$K$3:$K$22*(Calc!$G$3:$G$22&gt;A3307)*(Calc!$G$3:$G$22&lt;B3307))</f>
        <v/>
      </c>
      <c r="E3307">
        <f>SUMPRODUCT(Calc!$K$3:$K$22*(Calc!$G$3:$G$22&gt;=B3307))</f>
        <v/>
      </c>
      <c r="F3307">
        <f>AND(k_n&gt;=5,B3307&gt;A3307+1E-9,C3307&gt;=2,D3307&gt;=1,E3307&gt;=2)</f>
        <v/>
      </c>
      <c r="G3307">
        <f>SUMPRODUCT(Calc!$K$3:$K$22*(Calc!$G$3:$G$22&gt;A3307)*(Calc!$G$3:$G$22-A3307))</f>
        <v/>
      </c>
      <c r="H3307">
        <f>SUMPRODUCT(Calc!$K$3:$K$22*(Calc!$G$3:$G$22&gt;B3307)*(Calc!$G$3:$G$22-B3307))</f>
        <v/>
      </c>
      <c r="I3307">
        <f>SUMPRODUCT(Calc!$K$3:$K$22*(Calc!$G$3:$G$22&gt;A3307)*(Calc!$G$3:$G$22-A3307)^2)</f>
        <v/>
      </c>
      <c r="J3307">
        <f>SUMPRODUCT(Calc!$K$3:$K$22*(Calc!$G$3:$G$22&gt;B3307)*(Calc!$G$3:$G$22-B3307)^2)</f>
        <v/>
      </c>
      <c r="K3307">
        <f>SUMPRODUCT(Calc!$K$3:$K$22*(Calc!$G$3:$G$22&gt;A3307)*(Calc!$G$3:$G$22-A3307)*(Calc!$G$3:$G$22&gt;B3307)*(Calc!$G$3:$G$22-B3307))</f>
        <v/>
      </c>
      <c r="L3307">
        <f>SUMPRODUCT(Calc!$K$3:$K$22*(Calc!$G$3:$G$22&gt;A3307)*(Calc!$G$3:$G$22-A3307)*Calc!$G$3:$G$22)</f>
        <v/>
      </c>
      <c r="M3307">
        <f>SUMPRODUCT(Calc!$K$3:$K$22*(Calc!$G$3:$G$22&gt;B3307)*(Calc!$G$3:$G$22-B3307)*Calc!$G$3:$G$22)</f>
        <v/>
      </c>
      <c r="N3307">
        <f>SUMPRODUCT(Calc!$K$3:$K$22*(Calc!$G$3:$G$22&gt;A3307)*(Calc!$G$3:$G$22-A3307)*Calc!$I$3:$I$22)</f>
        <v/>
      </c>
      <c r="O3307">
        <f>SUMPRODUCT(Calc!$K$3:$K$22*(Calc!$G$3:$G$22&gt;B3307)*(Calc!$G$3:$G$22-B3307)*Calc!$I$3:$I$22)</f>
        <v/>
      </c>
      <c r="P3307">
        <f>I3307-G3307^2/k_n</f>
        <v/>
      </c>
      <c r="Q3307">
        <f>J3307-H3307^2/k_n</f>
        <v/>
      </c>
      <c r="R3307">
        <f>K3307-G3307*H3307/k_n</f>
        <v/>
      </c>
      <c r="S3307">
        <f>L3307-LTP3!$D$3*G3307/k_n</f>
        <v/>
      </c>
      <c r="T3307">
        <f>M3307-LTP3!$D$3*H3307/k_n</f>
        <v/>
      </c>
      <c r="U3307">
        <f>N3307-G3307*LTP3!$D$4/k_n</f>
        <v/>
      </c>
      <c r="V3307">
        <f>O3307-H3307*LTP3!$D$4/k_n</f>
        <v/>
      </c>
      <c r="W3307">
        <f>((LTP3!$D$5)*((P3307)*(Q3307)-(R3307)*(R3307))-(S3307)*((S3307)*(Q3307)-(R3307)*(T3307))+(T3307)*((S3307)*(R3307)-(P3307)*(T3307)))</f>
        <v/>
      </c>
      <c r="X3307">
        <f>IF(ABS(W3307)&gt;1E-12,((LTP3!$D$6)*((P3307)*(Q3307)-(R3307)*(R3307))-(S3307)*((U3307)*(Q3307)-(R3307)*(V3307))+(T3307)*((U3307)*(R3307)-(P3307)*(V3307)))/W3307,0)</f>
        <v/>
      </c>
      <c r="Y3307">
        <f>IF(ABS(W3307)&gt;1E-12,((LTP3!$D$5)*((U3307)*(Q3307)-(R3307)*(V3307))-(LTP3!$D$6)*((S3307)*(Q3307)-(R3307)*(T3307))+(T3307)*((S3307)*(V3307)-(U3307)*(T3307)))/W3307,0)</f>
        <v/>
      </c>
      <c r="Z3307">
        <f>IF(ABS(W3307)&gt;1E-12,((LTP3!$D$5)*((P3307)*(V3307)-(U3307)*(R3307))-(S3307)*((S3307)*(V3307)-(U3307)*(T3307))+(LTP3!$D$6)*((S3307)*(R3307)-(P3307)*(T3307)))/W3307,0)</f>
        <v/>
      </c>
      <c r="AA3307">
        <f>LTP3!$D$7-X3307*LTP3!$D$6-Y3307*U3307-Z3307*V3307</f>
        <v/>
      </c>
      <c r="AB3307">
        <f>IF(AND(F3307,ABS(W3307)&gt;1E-12,Y3307&gt;0,Z3307&gt;0),AA3307,1E+300)</f>
        <v/>
      </c>
    </row>
    <row r="3308">
      <c r="A3308">
        <f>$B$3+$B$5*54</f>
        <v/>
      </c>
      <c r="B3308">
        <f>$B$3+$B$5*2</f>
        <v/>
      </c>
      <c r="C3308">
        <f>SUMPRODUCT(Calc!$K$3:$K$22*(Calc!$G$3:$G$22&lt;=A3308))</f>
        <v/>
      </c>
      <c r="D3308">
        <f>SUMPRODUCT(Calc!$K$3:$K$22*(Calc!$G$3:$G$22&gt;A3308)*(Calc!$G$3:$G$22&lt;B3308))</f>
        <v/>
      </c>
      <c r="E3308">
        <f>SUMPRODUCT(Calc!$K$3:$K$22*(Calc!$G$3:$G$22&gt;=B3308))</f>
        <v/>
      </c>
      <c r="F3308">
        <f>AND(k_n&gt;=5,B3308&gt;A3308+1E-9,C3308&gt;=2,D3308&gt;=1,E3308&gt;=2)</f>
        <v/>
      </c>
      <c r="G3308">
        <f>SUMPRODUCT(Calc!$K$3:$K$22*(Calc!$G$3:$G$22&gt;A3308)*(Calc!$G$3:$G$22-A3308))</f>
        <v/>
      </c>
      <c r="H3308">
        <f>SUMPRODUCT(Calc!$K$3:$K$22*(Calc!$G$3:$G$22&gt;B3308)*(Calc!$G$3:$G$22-B3308))</f>
        <v/>
      </c>
      <c r="I3308">
        <f>SUMPRODUCT(Calc!$K$3:$K$22*(Calc!$G$3:$G$22&gt;A3308)*(Calc!$G$3:$G$22-A3308)^2)</f>
        <v/>
      </c>
      <c r="J3308">
        <f>SUMPRODUCT(Calc!$K$3:$K$22*(Calc!$G$3:$G$22&gt;B3308)*(Calc!$G$3:$G$22-B3308)^2)</f>
        <v/>
      </c>
      <c r="K3308">
        <f>SUMPRODUCT(Calc!$K$3:$K$22*(Calc!$G$3:$G$22&gt;A3308)*(Calc!$G$3:$G$22-A3308)*(Calc!$G$3:$G$22&gt;B3308)*(Calc!$G$3:$G$22-B3308))</f>
        <v/>
      </c>
      <c r="L3308">
        <f>SUMPRODUCT(Calc!$K$3:$K$22*(Calc!$G$3:$G$22&gt;A3308)*(Calc!$G$3:$G$22-A3308)*Calc!$G$3:$G$22)</f>
        <v/>
      </c>
      <c r="M3308">
        <f>SUMPRODUCT(Calc!$K$3:$K$22*(Calc!$G$3:$G$22&gt;B3308)*(Calc!$G$3:$G$22-B3308)*Calc!$G$3:$G$22)</f>
        <v/>
      </c>
      <c r="N3308">
        <f>SUMPRODUCT(Calc!$K$3:$K$22*(Calc!$G$3:$G$22&gt;A3308)*(Calc!$G$3:$G$22-A3308)*Calc!$I$3:$I$22)</f>
        <v/>
      </c>
      <c r="O3308">
        <f>SUMPRODUCT(Calc!$K$3:$K$22*(Calc!$G$3:$G$22&gt;B3308)*(Calc!$G$3:$G$22-B3308)*Calc!$I$3:$I$22)</f>
        <v/>
      </c>
      <c r="P3308">
        <f>I3308-G3308^2/k_n</f>
        <v/>
      </c>
      <c r="Q3308">
        <f>J3308-H3308^2/k_n</f>
        <v/>
      </c>
      <c r="R3308">
        <f>K3308-G3308*H3308/k_n</f>
        <v/>
      </c>
      <c r="S3308">
        <f>L3308-LTP3!$D$3*G3308/k_n</f>
        <v/>
      </c>
      <c r="T3308">
        <f>M3308-LTP3!$D$3*H3308/k_n</f>
        <v/>
      </c>
      <c r="U3308">
        <f>N3308-G3308*LTP3!$D$4/k_n</f>
        <v/>
      </c>
      <c r="V3308">
        <f>O3308-H3308*LTP3!$D$4/k_n</f>
        <v/>
      </c>
      <c r="W3308">
        <f>((LTP3!$D$5)*((P3308)*(Q3308)-(R3308)*(R3308))-(S3308)*((S3308)*(Q3308)-(R3308)*(T3308))+(T3308)*((S3308)*(R3308)-(P3308)*(T3308)))</f>
        <v/>
      </c>
      <c r="X3308">
        <f>IF(ABS(W3308)&gt;1E-12,((LTP3!$D$6)*((P3308)*(Q3308)-(R3308)*(R3308))-(S3308)*((U3308)*(Q3308)-(R3308)*(V3308))+(T3308)*((U3308)*(R3308)-(P3308)*(V3308)))/W3308,0)</f>
        <v/>
      </c>
      <c r="Y3308">
        <f>IF(ABS(W3308)&gt;1E-12,((LTP3!$D$5)*((U3308)*(Q3308)-(R3308)*(V3308))-(LTP3!$D$6)*((S3308)*(Q3308)-(R3308)*(T3308))+(T3308)*((S3308)*(V3308)-(U3308)*(T3308)))/W3308,0)</f>
        <v/>
      </c>
      <c r="Z3308">
        <f>IF(ABS(W3308)&gt;1E-12,((LTP3!$D$5)*((P3308)*(V3308)-(U3308)*(R3308))-(S3308)*((S3308)*(V3308)-(U3308)*(T3308))+(LTP3!$D$6)*((S3308)*(R3308)-(P3308)*(T3308)))/W3308,0)</f>
        <v/>
      </c>
      <c r="AA3308">
        <f>LTP3!$D$7-X3308*LTP3!$D$6-Y3308*U3308-Z3308*V3308</f>
        <v/>
      </c>
      <c r="AB3308">
        <f>IF(AND(F3308,ABS(W3308)&gt;1E-12,Y3308&gt;0,Z3308&gt;0),AA3308,1E+300)</f>
        <v/>
      </c>
    </row>
    <row r="3309">
      <c r="A3309">
        <f>$B$3+$B$5*54</f>
        <v/>
      </c>
      <c r="B3309">
        <f>$B$3+$B$5*3</f>
        <v/>
      </c>
      <c r="C3309">
        <f>SUMPRODUCT(Calc!$K$3:$K$22*(Calc!$G$3:$G$22&lt;=A3309))</f>
        <v/>
      </c>
      <c r="D3309">
        <f>SUMPRODUCT(Calc!$K$3:$K$22*(Calc!$G$3:$G$22&gt;A3309)*(Calc!$G$3:$G$22&lt;B3309))</f>
        <v/>
      </c>
      <c r="E3309">
        <f>SUMPRODUCT(Calc!$K$3:$K$22*(Calc!$G$3:$G$22&gt;=B3309))</f>
        <v/>
      </c>
      <c r="F3309">
        <f>AND(k_n&gt;=5,B3309&gt;A3309+1E-9,C3309&gt;=2,D3309&gt;=1,E3309&gt;=2)</f>
        <v/>
      </c>
      <c r="G3309">
        <f>SUMPRODUCT(Calc!$K$3:$K$22*(Calc!$G$3:$G$22&gt;A3309)*(Calc!$G$3:$G$22-A3309))</f>
        <v/>
      </c>
      <c r="H3309">
        <f>SUMPRODUCT(Calc!$K$3:$K$22*(Calc!$G$3:$G$22&gt;B3309)*(Calc!$G$3:$G$22-B3309))</f>
        <v/>
      </c>
      <c r="I3309">
        <f>SUMPRODUCT(Calc!$K$3:$K$22*(Calc!$G$3:$G$22&gt;A3309)*(Calc!$G$3:$G$22-A3309)^2)</f>
        <v/>
      </c>
      <c r="J3309">
        <f>SUMPRODUCT(Calc!$K$3:$K$22*(Calc!$G$3:$G$22&gt;B3309)*(Calc!$G$3:$G$22-B3309)^2)</f>
        <v/>
      </c>
      <c r="K3309">
        <f>SUMPRODUCT(Calc!$K$3:$K$22*(Calc!$G$3:$G$22&gt;A3309)*(Calc!$G$3:$G$22-A3309)*(Calc!$G$3:$G$22&gt;B3309)*(Calc!$G$3:$G$22-B3309))</f>
        <v/>
      </c>
      <c r="L3309">
        <f>SUMPRODUCT(Calc!$K$3:$K$22*(Calc!$G$3:$G$22&gt;A3309)*(Calc!$G$3:$G$22-A3309)*Calc!$G$3:$G$22)</f>
        <v/>
      </c>
      <c r="M3309">
        <f>SUMPRODUCT(Calc!$K$3:$K$22*(Calc!$G$3:$G$22&gt;B3309)*(Calc!$G$3:$G$22-B3309)*Calc!$G$3:$G$22)</f>
        <v/>
      </c>
      <c r="N3309">
        <f>SUMPRODUCT(Calc!$K$3:$K$22*(Calc!$G$3:$G$22&gt;A3309)*(Calc!$G$3:$G$22-A3309)*Calc!$I$3:$I$22)</f>
        <v/>
      </c>
      <c r="O3309">
        <f>SUMPRODUCT(Calc!$K$3:$K$22*(Calc!$G$3:$G$22&gt;B3309)*(Calc!$G$3:$G$22-B3309)*Calc!$I$3:$I$22)</f>
        <v/>
      </c>
      <c r="P3309">
        <f>I3309-G3309^2/k_n</f>
        <v/>
      </c>
      <c r="Q3309">
        <f>J3309-H3309^2/k_n</f>
        <v/>
      </c>
      <c r="R3309">
        <f>K3309-G3309*H3309/k_n</f>
        <v/>
      </c>
      <c r="S3309">
        <f>L3309-LTP3!$D$3*G3309/k_n</f>
        <v/>
      </c>
      <c r="T3309">
        <f>M3309-LTP3!$D$3*H3309/k_n</f>
        <v/>
      </c>
      <c r="U3309">
        <f>N3309-G3309*LTP3!$D$4/k_n</f>
        <v/>
      </c>
      <c r="V3309">
        <f>O3309-H3309*LTP3!$D$4/k_n</f>
        <v/>
      </c>
      <c r="W3309">
        <f>((LTP3!$D$5)*((P3309)*(Q3309)-(R3309)*(R3309))-(S3309)*((S3309)*(Q3309)-(R3309)*(T3309))+(T3309)*((S3309)*(R3309)-(P3309)*(T3309)))</f>
        <v/>
      </c>
      <c r="X3309">
        <f>IF(ABS(W3309)&gt;1E-12,((LTP3!$D$6)*((P3309)*(Q3309)-(R3309)*(R3309))-(S3309)*((U3309)*(Q3309)-(R3309)*(V3309))+(T3309)*((U3309)*(R3309)-(P3309)*(V3309)))/W3309,0)</f>
        <v/>
      </c>
      <c r="Y3309">
        <f>IF(ABS(W3309)&gt;1E-12,((LTP3!$D$5)*((U3309)*(Q3309)-(R3309)*(V3309))-(LTP3!$D$6)*((S3309)*(Q3309)-(R3309)*(T3309))+(T3309)*((S3309)*(V3309)-(U3309)*(T3309)))/W3309,0)</f>
        <v/>
      </c>
      <c r="Z3309">
        <f>IF(ABS(W3309)&gt;1E-12,((LTP3!$D$5)*((P3309)*(V3309)-(U3309)*(R3309))-(S3309)*((S3309)*(V3309)-(U3309)*(T3309))+(LTP3!$D$6)*((S3309)*(R3309)-(P3309)*(T3309)))/W3309,0)</f>
        <v/>
      </c>
      <c r="AA3309">
        <f>LTP3!$D$7-X3309*LTP3!$D$6-Y3309*U3309-Z3309*V3309</f>
        <v/>
      </c>
      <c r="AB3309">
        <f>IF(AND(F3309,ABS(W3309)&gt;1E-12,Y3309&gt;0,Z3309&gt;0),AA3309,1E+300)</f>
        <v/>
      </c>
    </row>
    <row r="3310">
      <c r="A3310">
        <f>$B$3+$B$5*54</f>
        <v/>
      </c>
      <c r="B3310">
        <f>$B$3+$B$5*4</f>
        <v/>
      </c>
      <c r="C3310">
        <f>SUMPRODUCT(Calc!$K$3:$K$22*(Calc!$G$3:$G$22&lt;=A3310))</f>
        <v/>
      </c>
      <c r="D3310">
        <f>SUMPRODUCT(Calc!$K$3:$K$22*(Calc!$G$3:$G$22&gt;A3310)*(Calc!$G$3:$G$22&lt;B3310))</f>
        <v/>
      </c>
      <c r="E3310">
        <f>SUMPRODUCT(Calc!$K$3:$K$22*(Calc!$G$3:$G$22&gt;=B3310))</f>
        <v/>
      </c>
      <c r="F3310">
        <f>AND(k_n&gt;=5,B3310&gt;A3310+1E-9,C3310&gt;=2,D3310&gt;=1,E3310&gt;=2)</f>
        <v/>
      </c>
      <c r="G3310">
        <f>SUMPRODUCT(Calc!$K$3:$K$22*(Calc!$G$3:$G$22&gt;A3310)*(Calc!$G$3:$G$22-A3310))</f>
        <v/>
      </c>
      <c r="H3310">
        <f>SUMPRODUCT(Calc!$K$3:$K$22*(Calc!$G$3:$G$22&gt;B3310)*(Calc!$G$3:$G$22-B3310))</f>
        <v/>
      </c>
      <c r="I3310">
        <f>SUMPRODUCT(Calc!$K$3:$K$22*(Calc!$G$3:$G$22&gt;A3310)*(Calc!$G$3:$G$22-A3310)^2)</f>
        <v/>
      </c>
      <c r="J3310">
        <f>SUMPRODUCT(Calc!$K$3:$K$22*(Calc!$G$3:$G$22&gt;B3310)*(Calc!$G$3:$G$22-B3310)^2)</f>
        <v/>
      </c>
      <c r="K3310">
        <f>SUMPRODUCT(Calc!$K$3:$K$22*(Calc!$G$3:$G$22&gt;A3310)*(Calc!$G$3:$G$22-A3310)*(Calc!$G$3:$G$22&gt;B3310)*(Calc!$G$3:$G$22-B3310))</f>
        <v/>
      </c>
      <c r="L3310">
        <f>SUMPRODUCT(Calc!$K$3:$K$22*(Calc!$G$3:$G$22&gt;A3310)*(Calc!$G$3:$G$22-A3310)*Calc!$G$3:$G$22)</f>
        <v/>
      </c>
      <c r="M3310">
        <f>SUMPRODUCT(Calc!$K$3:$K$22*(Calc!$G$3:$G$22&gt;B3310)*(Calc!$G$3:$G$22-B3310)*Calc!$G$3:$G$22)</f>
        <v/>
      </c>
      <c r="N3310">
        <f>SUMPRODUCT(Calc!$K$3:$K$22*(Calc!$G$3:$G$22&gt;A3310)*(Calc!$G$3:$G$22-A3310)*Calc!$I$3:$I$22)</f>
        <v/>
      </c>
      <c r="O3310">
        <f>SUMPRODUCT(Calc!$K$3:$K$22*(Calc!$G$3:$G$22&gt;B3310)*(Calc!$G$3:$G$22-B3310)*Calc!$I$3:$I$22)</f>
        <v/>
      </c>
      <c r="P3310">
        <f>I3310-G3310^2/k_n</f>
        <v/>
      </c>
      <c r="Q3310">
        <f>J3310-H3310^2/k_n</f>
        <v/>
      </c>
      <c r="R3310">
        <f>K3310-G3310*H3310/k_n</f>
        <v/>
      </c>
      <c r="S3310">
        <f>L3310-LTP3!$D$3*G3310/k_n</f>
        <v/>
      </c>
      <c r="T3310">
        <f>M3310-LTP3!$D$3*H3310/k_n</f>
        <v/>
      </c>
      <c r="U3310">
        <f>N3310-G3310*LTP3!$D$4/k_n</f>
        <v/>
      </c>
      <c r="V3310">
        <f>O3310-H3310*LTP3!$D$4/k_n</f>
        <v/>
      </c>
      <c r="W3310">
        <f>((LTP3!$D$5)*((P3310)*(Q3310)-(R3310)*(R3310))-(S3310)*((S3310)*(Q3310)-(R3310)*(T3310))+(T3310)*((S3310)*(R3310)-(P3310)*(T3310)))</f>
        <v/>
      </c>
      <c r="X3310">
        <f>IF(ABS(W3310)&gt;1E-12,((LTP3!$D$6)*((P3310)*(Q3310)-(R3310)*(R3310))-(S3310)*((U3310)*(Q3310)-(R3310)*(V3310))+(T3310)*((U3310)*(R3310)-(P3310)*(V3310)))/W3310,0)</f>
        <v/>
      </c>
      <c r="Y3310">
        <f>IF(ABS(W3310)&gt;1E-12,((LTP3!$D$5)*((U3310)*(Q3310)-(R3310)*(V3310))-(LTP3!$D$6)*((S3310)*(Q3310)-(R3310)*(T3310))+(T3310)*((S3310)*(V3310)-(U3310)*(T3310)))/W3310,0)</f>
        <v/>
      </c>
      <c r="Z3310">
        <f>IF(ABS(W3310)&gt;1E-12,((LTP3!$D$5)*((P3310)*(V3310)-(U3310)*(R3310))-(S3310)*((S3310)*(V3310)-(U3310)*(T3310))+(LTP3!$D$6)*((S3310)*(R3310)-(P3310)*(T3310)))/W3310,0)</f>
        <v/>
      </c>
      <c r="AA3310">
        <f>LTP3!$D$7-X3310*LTP3!$D$6-Y3310*U3310-Z3310*V3310</f>
        <v/>
      </c>
      <c r="AB3310">
        <f>IF(AND(F3310,ABS(W3310)&gt;1E-12,Y3310&gt;0,Z3310&gt;0),AA3310,1E+300)</f>
        <v/>
      </c>
    </row>
    <row r="3311">
      <c r="A3311">
        <f>$B$3+$B$5*54</f>
        <v/>
      </c>
      <c r="B3311">
        <f>$B$3+$B$5*5</f>
        <v/>
      </c>
      <c r="C3311">
        <f>SUMPRODUCT(Calc!$K$3:$K$22*(Calc!$G$3:$G$22&lt;=A3311))</f>
        <v/>
      </c>
      <c r="D3311">
        <f>SUMPRODUCT(Calc!$K$3:$K$22*(Calc!$G$3:$G$22&gt;A3311)*(Calc!$G$3:$G$22&lt;B3311))</f>
        <v/>
      </c>
      <c r="E3311">
        <f>SUMPRODUCT(Calc!$K$3:$K$22*(Calc!$G$3:$G$22&gt;=B3311))</f>
        <v/>
      </c>
      <c r="F3311">
        <f>AND(k_n&gt;=5,B3311&gt;A3311+1E-9,C3311&gt;=2,D3311&gt;=1,E3311&gt;=2)</f>
        <v/>
      </c>
      <c r="G3311">
        <f>SUMPRODUCT(Calc!$K$3:$K$22*(Calc!$G$3:$G$22&gt;A3311)*(Calc!$G$3:$G$22-A3311))</f>
        <v/>
      </c>
      <c r="H3311">
        <f>SUMPRODUCT(Calc!$K$3:$K$22*(Calc!$G$3:$G$22&gt;B3311)*(Calc!$G$3:$G$22-B3311))</f>
        <v/>
      </c>
      <c r="I3311">
        <f>SUMPRODUCT(Calc!$K$3:$K$22*(Calc!$G$3:$G$22&gt;A3311)*(Calc!$G$3:$G$22-A3311)^2)</f>
        <v/>
      </c>
      <c r="J3311">
        <f>SUMPRODUCT(Calc!$K$3:$K$22*(Calc!$G$3:$G$22&gt;B3311)*(Calc!$G$3:$G$22-B3311)^2)</f>
        <v/>
      </c>
      <c r="K3311">
        <f>SUMPRODUCT(Calc!$K$3:$K$22*(Calc!$G$3:$G$22&gt;A3311)*(Calc!$G$3:$G$22-A3311)*(Calc!$G$3:$G$22&gt;B3311)*(Calc!$G$3:$G$22-B3311))</f>
        <v/>
      </c>
      <c r="L3311">
        <f>SUMPRODUCT(Calc!$K$3:$K$22*(Calc!$G$3:$G$22&gt;A3311)*(Calc!$G$3:$G$22-A3311)*Calc!$G$3:$G$22)</f>
        <v/>
      </c>
      <c r="M3311">
        <f>SUMPRODUCT(Calc!$K$3:$K$22*(Calc!$G$3:$G$22&gt;B3311)*(Calc!$G$3:$G$22-B3311)*Calc!$G$3:$G$22)</f>
        <v/>
      </c>
      <c r="N3311">
        <f>SUMPRODUCT(Calc!$K$3:$K$22*(Calc!$G$3:$G$22&gt;A3311)*(Calc!$G$3:$G$22-A3311)*Calc!$I$3:$I$22)</f>
        <v/>
      </c>
      <c r="O3311">
        <f>SUMPRODUCT(Calc!$K$3:$K$22*(Calc!$G$3:$G$22&gt;B3311)*(Calc!$G$3:$G$22-B3311)*Calc!$I$3:$I$22)</f>
        <v/>
      </c>
      <c r="P3311">
        <f>I3311-G3311^2/k_n</f>
        <v/>
      </c>
      <c r="Q3311">
        <f>J3311-H3311^2/k_n</f>
        <v/>
      </c>
      <c r="R3311">
        <f>K3311-G3311*H3311/k_n</f>
        <v/>
      </c>
      <c r="S3311">
        <f>L3311-LTP3!$D$3*G3311/k_n</f>
        <v/>
      </c>
      <c r="T3311">
        <f>M3311-LTP3!$D$3*H3311/k_n</f>
        <v/>
      </c>
      <c r="U3311">
        <f>N3311-G3311*LTP3!$D$4/k_n</f>
        <v/>
      </c>
      <c r="V3311">
        <f>O3311-H3311*LTP3!$D$4/k_n</f>
        <v/>
      </c>
      <c r="W3311">
        <f>((LTP3!$D$5)*((P3311)*(Q3311)-(R3311)*(R3311))-(S3311)*((S3311)*(Q3311)-(R3311)*(T3311))+(T3311)*((S3311)*(R3311)-(P3311)*(T3311)))</f>
        <v/>
      </c>
      <c r="X3311">
        <f>IF(ABS(W3311)&gt;1E-12,((LTP3!$D$6)*((P3311)*(Q3311)-(R3311)*(R3311))-(S3311)*((U3311)*(Q3311)-(R3311)*(V3311))+(T3311)*((U3311)*(R3311)-(P3311)*(V3311)))/W3311,0)</f>
        <v/>
      </c>
      <c r="Y3311">
        <f>IF(ABS(W3311)&gt;1E-12,((LTP3!$D$5)*((U3311)*(Q3311)-(R3311)*(V3311))-(LTP3!$D$6)*((S3311)*(Q3311)-(R3311)*(T3311))+(T3311)*((S3311)*(V3311)-(U3311)*(T3311)))/W3311,0)</f>
        <v/>
      </c>
      <c r="Z3311">
        <f>IF(ABS(W3311)&gt;1E-12,((LTP3!$D$5)*((P3311)*(V3311)-(U3311)*(R3311))-(S3311)*((S3311)*(V3311)-(U3311)*(T3311))+(LTP3!$D$6)*((S3311)*(R3311)-(P3311)*(T3311)))/W3311,0)</f>
        <v/>
      </c>
      <c r="AA3311">
        <f>LTP3!$D$7-X3311*LTP3!$D$6-Y3311*U3311-Z3311*V3311</f>
        <v/>
      </c>
      <c r="AB3311">
        <f>IF(AND(F3311,ABS(W3311)&gt;1E-12,Y3311&gt;0,Z3311&gt;0),AA3311,1E+300)</f>
        <v/>
      </c>
    </row>
    <row r="3312">
      <c r="A3312">
        <f>$B$3+$B$5*54</f>
        <v/>
      </c>
      <c r="B3312">
        <f>$B$3+$B$5*6</f>
        <v/>
      </c>
      <c r="C3312">
        <f>SUMPRODUCT(Calc!$K$3:$K$22*(Calc!$G$3:$G$22&lt;=A3312))</f>
        <v/>
      </c>
      <c r="D3312">
        <f>SUMPRODUCT(Calc!$K$3:$K$22*(Calc!$G$3:$G$22&gt;A3312)*(Calc!$G$3:$G$22&lt;B3312))</f>
        <v/>
      </c>
      <c r="E3312">
        <f>SUMPRODUCT(Calc!$K$3:$K$22*(Calc!$G$3:$G$22&gt;=B3312))</f>
        <v/>
      </c>
      <c r="F3312">
        <f>AND(k_n&gt;=5,B3312&gt;A3312+1E-9,C3312&gt;=2,D3312&gt;=1,E3312&gt;=2)</f>
        <v/>
      </c>
      <c r="G3312">
        <f>SUMPRODUCT(Calc!$K$3:$K$22*(Calc!$G$3:$G$22&gt;A3312)*(Calc!$G$3:$G$22-A3312))</f>
        <v/>
      </c>
      <c r="H3312">
        <f>SUMPRODUCT(Calc!$K$3:$K$22*(Calc!$G$3:$G$22&gt;B3312)*(Calc!$G$3:$G$22-B3312))</f>
        <v/>
      </c>
      <c r="I3312">
        <f>SUMPRODUCT(Calc!$K$3:$K$22*(Calc!$G$3:$G$22&gt;A3312)*(Calc!$G$3:$G$22-A3312)^2)</f>
        <v/>
      </c>
      <c r="J3312">
        <f>SUMPRODUCT(Calc!$K$3:$K$22*(Calc!$G$3:$G$22&gt;B3312)*(Calc!$G$3:$G$22-B3312)^2)</f>
        <v/>
      </c>
      <c r="K3312">
        <f>SUMPRODUCT(Calc!$K$3:$K$22*(Calc!$G$3:$G$22&gt;A3312)*(Calc!$G$3:$G$22-A3312)*(Calc!$G$3:$G$22&gt;B3312)*(Calc!$G$3:$G$22-B3312))</f>
        <v/>
      </c>
      <c r="L3312">
        <f>SUMPRODUCT(Calc!$K$3:$K$22*(Calc!$G$3:$G$22&gt;A3312)*(Calc!$G$3:$G$22-A3312)*Calc!$G$3:$G$22)</f>
        <v/>
      </c>
      <c r="M3312">
        <f>SUMPRODUCT(Calc!$K$3:$K$22*(Calc!$G$3:$G$22&gt;B3312)*(Calc!$G$3:$G$22-B3312)*Calc!$G$3:$G$22)</f>
        <v/>
      </c>
      <c r="N3312">
        <f>SUMPRODUCT(Calc!$K$3:$K$22*(Calc!$G$3:$G$22&gt;A3312)*(Calc!$G$3:$G$22-A3312)*Calc!$I$3:$I$22)</f>
        <v/>
      </c>
      <c r="O3312">
        <f>SUMPRODUCT(Calc!$K$3:$K$22*(Calc!$G$3:$G$22&gt;B3312)*(Calc!$G$3:$G$22-B3312)*Calc!$I$3:$I$22)</f>
        <v/>
      </c>
      <c r="P3312">
        <f>I3312-G3312^2/k_n</f>
        <v/>
      </c>
      <c r="Q3312">
        <f>J3312-H3312^2/k_n</f>
        <v/>
      </c>
      <c r="R3312">
        <f>K3312-G3312*H3312/k_n</f>
        <v/>
      </c>
      <c r="S3312">
        <f>L3312-LTP3!$D$3*G3312/k_n</f>
        <v/>
      </c>
      <c r="T3312">
        <f>M3312-LTP3!$D$3*H3312/k_n</f>
        <v/>
      </c>
      <c r="U3312">
        <f>N3312-G3312*LTP3!$D$4/k_n</f>
        <v/>
      </c>
      <c r="V3312">
        <f>O3312-H3312*LTP3!$D$4/k_n</f>
        <v/>
      </c>
      <c r="W3312">
        <f>((LTP3!$D$5)*((P3312)*(Q3312)-(R3312)*(R3312))-(S3312)*((S3312)*(Q3312)-(R3312)*(T3312))+(T3312)*((S3312)*(R3312)-(P3312)*(T3312)))</f>
        <v/>
      </c>
      <c r="X3312">
        <f>IF(ABS(W3312)&gt;1E-12,((LTP3!$D$6)*((P3312)*(Q3312)-(R3312)*(R3312))-(S3312)*((U3312)*(Q3312)-(R3312)*(V3312))+(T3312)*((U3312)*(R3312)-(P3312)*(V3312)))/W3312,0)</f>
        <v/>
      </c>
      <c r="Y3312">
        <f>IF(ABS(W3312)&gt;1E-12,((LTP3!$D$5)*((U3312)*(Q3312)-(R3312)*(V3312))-(LTP3!$D$6)*((S3312)*(Q3312)-(R3312)*(T3312))+(T3312)*((S3312)*(V3312)-(U3312)*(T3312)))/W3312,0)</f>
        <v/>
      </c>
      <c r="Z3312">
        <f>IF(ABS(W3312)&gt;1E-12,((LTP3!$D$5)*((P3312)*(V3312)-(U3312)*(R3312))-(S3312)*((S3312)*(V3312)-(U3312)*(T3312))+(LTP3!$D$6)*((S3312)*(R3312)-(P3312)*(T3312)))/W3312,0)</f>
        <v/>
      </c>
      <c r="AA3312">
        <f>LTP3!$D$7-X3312*LTP3!$D$6-Y3312*U3312-Z3312*V3312</f>
        <v/>
      </c>
      <c r="AB3312">
        <f>IF(AND(F3312,ABS(W3312)&gt;1E-12,Y3312&gt;0,Z3312&gt;0),AA3312,1E+300)</f>
        <v/>
      </c>
    </row>
    <row r="3313">
      <c r="A3313">
        <f>$B$3+$B$5*54</f>
        <v/>
      </c>
      <c r="B3313">
        <f>$B$3+$B$5*7</f>
        <v/>
      </c>
      <c r="C3313">
        <f>SUMPRODUCT(Calc!$K$3:$K$22*(Calc!$G$3:$G$22&lt;=A3313))</f>
        <v/>
      </c>
      <c r="D3313">
        <f>SUMPRODUCT(Calc!$K$3:$K$22*(Calc!$G$3:$G$22&gt;A3313)*(Calc!$G$3:$G$22&lt;B3313))</f>
        <v/>
      </c>
      <c r="E3313">
        <f>SUMPRODUCT(Calc!$K$3:$K$22*(Calc!$G$3:$G$22&gt;=B3313))</f>
        <v/>
      </c>
      <c r="F3313">
        <f>AND(k_n&gt;=5,B3313&gt;A3313+1E-9,C3313&gt;=2,D3313&gt;=1,E3313&gt;=2)</f>
        <v/>
      </c>
      <c r="G3313">
        <f>SUMPRODUCT(Calc!$K$3:$K$22*(Calc!$G$3:$G$22&gt;A3313)*(Calc!$G$3:$G$22-A3313))</f>
        <v/>
      </c>
      <c r="H3313">
        <f>SUMPRODUCT(Calc!$K$3:$K$22*(Calc!$G$3:$G$22&gt;B3313)*(Calc!$G$3:$G$22-B3313))</f>
        <v/>
      </c>
      <c r="I3313">
        <f>SUMPRODUCT(Calc!$K$3:$K$22*(Calc!$G$3:$G$22&gt;A3313)*(Calc!$G$3:$G$22-A3313)^2)</f>
        <v/>
      </c>
      <c r="J3313">
        <f>SUMPRODUCT(Calc!$K$3:$K$22*(Calc!$G$3:$G$22&gt;B3313)*(Calc!$G$3:$G$22-B3313)^2)</f>
        <v/>
      </c>
      <c r="K3313">
        <f>SUMPRODUCT(Calc!$K$3:$K$22*(Calc!$G$3:$G$22&gt;A3313)*(Calc!$G$3:$G$22-A3313)*(Calc!$G$3:$G$22&gt;B3313)*(Calc!$G$3:$G$22-B3313))</f>
        <v/>
      </c>
      <c r="L3313">
        <f>SUMPRODUCT(Calc!$K$3:$K$22*(Calc!$G$3:$G$22&gt;A3313)*(Calc!$G$3:$G$22-A3313)*Calc!$G$3:$G$22)</f>
        <v/>
      </c>
      <c r="M3313">
        <f>SUMPRODUCT(Calc!$K$3:$K$22*(Calc!$G$3:$G$22&gt;B3313)*(Calc!$G$3:$G$22-B3313)*Calc!$G$3:$G$22)</f>
        <v/>
      </c>
      <c r="N3313">
        <f>SUMPRODUCT(Calc!$K$3:$K$22*(Calc!$G$3:$G$22&gt;A3313)*(Calc!$G$3:$G$22-A3313)*Calc!$I$3:$I$22)</f>
        <v/>
      </c>
      <c r="O3313">
        <f>SUMPRODUCT(Calc!$K$3:$K$22*(Calc!$G$3:$G$22&gt;B3313)*(Calc!$G$3:$G$22-B3313)*Calc!$I$3:$I$22)</f>
        <v/>
      </c>
      <c r="P3313">
        <f>I3313-G3313^2/k_n</f>
        <v/>
      </c>
      <c r="Q3313">
        <f>J3313-H3313^2/k_n</f>
        <v/>
      </c>
      <c r="R3313">
        <f>K3313-G3313*H3313/k_n</f>
        <v/>
      </c>
      <c r="S3313">
        <f>L3313-LTP3!$D$3*G3313/k_n</f>
        <v/>
      </c>
      <c r="T3313">
        <f>M3313-LTP3!$D$3*H3313/k_n</f>
        <v/>
      </c>
      <c r="U3313">
        <f>N3313-G3313*LTP3!$D$4/k_n</f>
        <v/>
      </c>
      <c r="V3313">
        <f>O3313-H3313*LTP3!$D$4/k_n</f>
        <v/>
      </c>
      <c r="W3313">
        <f>((LTP3!$D$5)*((P3313)*(Q3313)-(R3313)*(R3313))-(S3313)*((S3313)*(Q3313)-(R3313)*(T3313))+(T3313)*((S3313)*(R3313)-(P3313)*(T3313)))</f>
        <v/>
      </c>
      <c r="X3313">
        <f>IF(ABS(W3313)&gt;1E-12,((LTP3!$D$6)*((P3313)*(Q3313)-(R3313)*(R3313))-(S3313)*((U3313)*(Q3313)-(R3313)*(V3313))+(T3313)*((U3313)*(R3313)-(P3313)*(V3313)))/W3313,0)</f>
        <v/>
      </c>
      <c r="Y3313">
        <f>IF(ABS(W3313)&gt;1E-12,((LTP3!$D$5)*((U3313)*(Q3313)-(R3313)*(V3313))-(LTP3!$D$6)*((S3313)*(Q3313)-(R3313)*(T3313))+(T3313)*((S3313)*(V3313)-(U3313)*(T3313)))/W3313,0)</f>
        <v/>
      </c>
      <c r="Z3313">
        <f>IF(ABS(W3313)&gt;1E-12,((LTP3!$D$5)*((P3313)*(V3313)-(U3313)*(R3313))-(S3313)*((S3313)*(V3313)-(U3313)*(T3313))+(LTP3!$D$6)*((S3313)*(R3313)-(P3313)*(T3313)))/W3313,0)</f>
        <v/>
      </c>
      <c r="AA3313">
        <f>LTP3!$D$7-X3313*LTP3!$D$6-Y3313*U3313-Z3313*V3313</f>
        <v/>
      </c>
      <c r="AB3313">
        <f>IF(AND(F3313,ABS(W3313)&gt;1E-12,Y3313&gt;0,Z3313&gt;0),AA3313,1E+300)</f>
        <v/>
      </c>
    </row>
    <row r="3314">
      <c r="A3314">
        <f>$B$3+$B$5*54</f>
        <v/>
      </c>
      <c r="B3314">
        <f>$B$3+$B$5*8</f>
        <v/>
      </c>
      <c r="C3314">
        <f>SUMPRODUCT(Calc!$K$3:$K$22*(Calc!$G$3:$G$22&lt;=A3314))</f>
        <v/>
      </c>
      <c r="D3314">
        <f>SUMPRODUCT(Calc!$K$3:$K$22*(Calc!$G$3:$G$22&gt;A3314)*(Calc!$G$3:$G$22&lt;B3314))</f>
        <v/>
      </c>
      <c r="E3314">
        <f>SUMPRODUCT(Calc!$K$3:$K$22*(Calc!$G$3:$G$22&gt;=B3314))</f>
        <v/>
      </c>
      <c r="F3314">
        <f>AND(k_n&gt;=5,B3314&gt;A3314+1E-9,C3314&gt;=2,D3314&gt;=1,E3314&gt;=2)</f>
        <v/>
      </c>
      <c r="G3314">
        <f>SUMPRODUCT(Calc!$K$3:$K$22*(Calc!$G$3:$G$22&gt;A3314)*(Calc!$G$3:$G$22-A3314))</f>
        <v/>
      </c>
      <c r="H3314">
        <f>SUMPRODUCT(Calc!$K$3:$K$22*(Calc!$G$3:$G$22&gt;B3314)*(Calc!$G$3:$G$22-B3314))</f>
        <v/>
      </c>
      <c r="I3314">
        <f>SUMPRODUCT(Calc!$K$3:$K$22*(Calc!$G$3:$G$22&gt;A3314)*(Calc!$G$3:$G$22-A3314)^2)</f>
        <v/>
      </c>
      <c r="J3314">
        <f>SUMPRODUCT(Calc!$K$3:$K$22*(Calc!$G$3:$G$22&gt;B3314)*(Calc!$G$3:$G$22-B3314)^2)</f>
        <v/>
      </c>
      <c r="K3314">
        <f>SUMPRODUCT(Calc!$K$3:$K$22*(Calc!$G$3:$G$22&gt;A3314)*(Calc!$G$3:$G$22-A3314)*(Calc!$G$3:$G$22&gt;B3314)*(Calc!$G$3:$G$22-B3314))</f>
        <v/>
      </c>
      <c r="L3314">
        <f>SUMPRODUCT(Calc!$K$3:$K$22*(Calc!$G$3:$G$22&gt;A3314)*(Calc!$G$3:$G$22-A3314)*Calc!$G$3:$G$22)</f>
        <v/>
      </c>
      <c r="M3314">
        <f>SUMPRODUCT(Calc!$K$3:$K$22*(Calc!$G$3:$G$22&gt;B3314)*(Calc!$G$3:$G$22-B3314)*Calc!$G$3:$G$22)</f>
        <v/>
      </c>
      <c r="N3314">
        <f>SUMPRODUCT(Calc!$K$3:$K$22*(Calc!$G$3:$G$22&gt;A3314)*(Calc!$G$3:$G$22-A3314)*Calc!$I$3:$I$22)</f>
        <v/>
      </c>
      <c r="O3314">
        <f>SUMPRODUCT(Calc!$K$3:$K$22*(Calc!$G$3:$G$22&gt;B3314)*(Calc!$G$3:$G$22-B3314)*Calc!$I$3:$I$22)</f>
        <v/>
      </c>
      <c r="P3314">
        <f>I3314-G3314^2/k_n</f>
        <v/>
      </c>
      <c r="Q3314">
        <f>J3314-H3314^2/k_n</f>
        <v/>
      </c>
      <c r="R3314">
        <f>K3314-G3314*H3314/k_n</f>
        <v/>
      </c>
      <c r="S3314">
        <f>L3314-LTP3!$D$3*G3314/k_n</f>
        <v/>
      </c>
      <c r="T3314">
        <f>M3314-LTP3!$D$3*H3314/k_n</f>
        <v/>
      </c>
      <c r="U3314">
        <f>N3314-G3314*LTP3!$D$4/k_n</f>
        <v/>
      </c>
      <c r="V3314">
        <f>O3314-H3314*LTP3!$D$4/k_n</f>
        <v/>
      </c>
      <c r="W3314">
        <f>((LTP3!$D$5)*((P3314)*(Q3314)-(R3314)*(R3314))-(S3314)*((S3314)*(Q3314)-(R3314)*(T3314))+(T3314)*((S3314)*(R3314)-(P3314)*(T3314)))</f>
        <v/>
      </c>
      <c r="X3314">
        <f>IF(ABS(W3314)&gt;1E-12,((LTP3!$D$6)*((P3314)*(Q3314)-(R3314)*(R3314))-(S3314)*((U3314)*(Q3314)-(R3314)*(V3314))+(T3314)*((U3314)*(R3314)-(P3314)*(V3314)))/W3314,0)</f>
        <v/>
      </c>
      <c r="Y3314">
        <f>IF(ABS(W3314)&gt;1E-12,((LTP3!$D$5)*((U3314)*(Q3314)-(R3314)*(V3314))-(LTP3!$D$6)*((S3314)*(Q3314)-(R3314)*(T3314))+(T3314)*((S3314)*(V3314)-(U3314)*(T3314)))/W3314,0)</f>
        <v/>
      </c>
      <c r="Z3314">
        <f>IF(ABS(W3314)&gt;1E-12,((LTP3!$D$5)*((P3314)*(V3314)-(U3314)*(R3314))-(S3314)*((S3314)*(V3314)-(U3314)*(T3314))+(LTP3!$D$6)*((S3314)*(R3314)-(P3314)*(T3314)))/W3314,0)</f>
        <v/>
      </c>
      <c r="AA3314">
        <f>LTP3!$D$7-X3314*LTP3!$D$6-Y3314*U3314-Z3314*V3314</f>
        <v/>
      </c>
      <c r="AB3314">
        <f>IF(AND(F3314,ABS(W3314)&gt;1E-12,Y3314&gt;0,Z3314&gt;0),AA3314,1E+300)</f>
        <v/>
      </c>
    </row>
    <row r="3315">
      <c r="A3315">
        <f>$B$3+$B$5*54</f>
        <v/>
      </c>
      <c r="B3315">
        <f>$B$3+$B$5*9</f>
        <v/>
      </c>
      <c r="C3315">
        <f>SUMPRODUCT(Calc!$K$3:$K$22*(Calc!$G$3:$G$22&lt;=A3315))</f>
        <v/>
      </c>
      <c r="D3315">
        <f>SUMPRODUCT(Calc!$K$3:$K$22*(Calc!$G$3:$G$22&gt;A3315)*(Calc!$G$3:$G$22&lt;B3315))</f>
        <v/>
      </c>
      <c r="E3315">
        <f>SUMPRODUCT(Calc!$K$3:$K$22*(Calc!$G$3:$G$22&gt;=B3315))</f>
        <v/>
      </c>
      <c r="F3315">
        <f>AND(k_n&gt;=5,B3315&gt;A3315+1E-9,C3315&gt;=2,D3315&gt;=1,E3315&gt;=2)</f>
        <v/>
      </c>
      <c r="G3315">
        <f>SUMPRODUCT(Calc!$K$3:$K$22*(Calc!$G$3:$G$22&gt;A3315)*(Calc!$G$3:$G$22-A3315))</f>
        <v/>
      </c>
      <c r="H3315">
        <f>SUMPRODUCT(Calc!$K$3:$K$22*(Calc!$G$3:$G$22&gt;B3315)*(Calc!$G$3:$G$22-B3315))</f>
        <v/>
      </c>
      <c r="I3315">
        <f>SUMPRODUCT(Calc!$K$3:$K$22*(Calc!$G$3:$G$22&gt;A3315)*(Calc!$G$3:$G$22-A3315)^2)</f>
        <v/>
      </c>
      <c r="J3315">
        <f>SUMPRODUCT(Calc!$K$3:$K$22*(Calc!$G$3:$G$22&gt;B3315)*(Calc!$G$3:$G$22-B3315)^2)</f>
        <v/>
      </c>
      <c r="K3315">
        <f>SUMPRODUCT(Calc!$K$3:$K$22*(Calc!$G$3:$G$22&gt;A3315)*(Calc!$G$3:$G$22-A3315)*(Calc!$G$3:$G$22&gt;B3315)*(Calc!$G$3:$G$22-B3315))</f>
        <v/>
      </c>
      <c r="L3315">
        <f>SUMPRODUCT(Calc!$K$3:$K$22*(Calc!$G$3:$G$22&gt;A3315)*(Calc!$G$3:$G$22-A3315)*Calc!$G$3:$G$22)</f>
        <v/>
      </c>
      <c r="M3315">
        <f>SUMPRODUCT(Calc!$K$3:$K$22*(Calc!$G$3:$G$22&gt;B3315)*(Calc!$G$3:$G$22-B3315)*Calc!$G$3:$G$22)</f>
        <v/>
      </c>
      <c r="N3315">
        <f>SUMPRODUCT(Calc!$K$3:$K$22*(Calc!$G$3:$G$22&gt;A3315)*(Calc!$G$3:$G$22-A3315)*Calc!$I$3:$I$22)</f>
        <v/>
      </c>
      <c r="O3315">
        <f>SUMPRODUCT(Calc!$K$3:$K$22*(Calc!$G$3:$G$22&gt;B3315)*(Calc!$G$3:$G$22-B3315)*Calc!$I$3:$I$22)</f>
        <v/>
      </c>
      <c r="P3315">
        <f>I3315-G3315^2/k_n</f>
        <v/>
      </c>
      <c r="Q3315">
        <f>J3315-H3315^2/k_n</f>
        <v/>
      </c>
      <c r="R3315">
        <f>K3315-G3315*H3315/k_n</f>
        <v/>
      </c>
      <c r="S3315">
        <f>L3315-LTP3!$D$3*G3315/k_n</f>
        <v/>
      </c>
      <c r="T3315">
        <f>M3315-LTP3!$D$3*H3315/k_n</f>
        <v/>
      </c>
      <c r="U3315">
        <f>N3315-G3315*LTP3!$D$4/k_n</f>
        <v/>
      </c>
      <c r="V3315">
        <f>O3315-H3315*LTP3!$D$4/k_n</f>
        <v/>
      </c>
      <c r="W3315">
        <f>((LTP3!$D$5)*((P3315)*(Q3315)-(R3315)*(R3315))-(S3315)*((S3315)*(Q3315)-(R3315)*(T3315))+(T3315)*((S3315)*(R3315)-(P3315)*(T3315)))</f>
        <v/>
      </c>
      <c r="X3315">
        <f>IF(ABS(W3315)&gt;1E-12,((LTP3!$D$6)*((P3315)*(Q3315)-(R3315)*(R3315))-(S3315)*((U3315)*(Q3315)-(R3315)*(V3315))+(T3315)*((U3315)*(R3315)-(P3315)*(V3315)))/W3315,0)</f>
        <v/>
      </c>
      <c r="Y3315">
        <f>IF(ABS(W3315)&gt;1E-12,((LTP3!$D$5)*((U3315)*(Q3315)-(R3315)*(V3315))-(LTP3!$D$6)*((S3315)*(Q3315)-(R3315)*(T3315))+(T3315)*((S3315)*(V3315)-(U3315)*(T3315)))/W3315,0)</f>
        <v/>
      </c>
      <c r="Z3315">
        <f>IF(ABS(W3315)&gt;1E-12,((LTP3!$D$5)*((P3315)*(V3315)-(U3315)*(R3315))-(S3315)*((S3315)*(V3315)-(U3315)*(T3315))+(LTP3!$D$6)*((S3315)*(R3315)-(P3315)*(T3315)))/W3315,0)</f>
        <v/>
      </c>
      <c r="AA3315">
        <f>LTP3!$D$7-X3315*LTP3!$D$6-Y3315*U3315-Z3315*V3315</f>
        <v/>
      </c>
      <c r="AB3315">
        <f>IF(AND(F3315,ABS(W3315)&gt;1E-12,Y3315&gt;0,Z3315&gt;0),AA3315,1E+300)</f>
        <v/>
      </c>
    </row>
    <row r="3316">
      <c r="A3316">
        <f>$B$3+$B$5*54</f>
        <v/>
      </c>
      <c r="B3316">
        <f>$B$3+$B$5*10</f>
        <v/>
      </c>
      <c r="C3316">
        <f>SUMPRODUCT(Calc!$K$3:$K$22*(Calc!$G$3:$G$22&lt;=A3316))</f>
        <v/>
      </c>
      <c r="D3316">
        <f>SUMPRODUCT(Calc!$K$3:$K$22*(Calc!$G$3:$G$22&gt;A3316)*(Calc!$G$3:$G$22&lt;B3316))</f>
        <v/>
      </c>
      <c r="E3316">
        <f>SUMPRODUCT(Calc!$K$3:$K$22*(Calc!$G$3:$G$22&gt;=B3316))</f>
        <v/>
      </c>
      <c r="F3316">
        <f>AND(k_n&gt;=5,B3316&gt;A3316+1E-9,C3316&gt;=2,D3316&gt;=1,E3316&gt;=2)</f>
        <v/>
      </c>
      <c r="G3316">
        <f>SUMPRODUCT(Calc!$K$3:$K$22*(Calc!$G$3:$G$22&gt;A3316)*(Calc!$G$3:$G$22-A3316))</f>
        <v/>
      </c>
      <c r="H3316">
        <f>SUMPRODUCT(Calc!$K$3:$K$22*(Calc!$G$3:$G$22&gt;B3316)*(Calc!$G$3:$G$22-B3316))</f>
        <v/>
      </c>
      <c r="I3316">
        <f>SUMPRODUCT(Calc!$K$3:$K$22*(Calc!$G$3:$G$22&gt;A3316)*(Calc!$G$3:$G$22-A3316)^2)</f>
        <v/>
      </c>
      <c r="J3316">
        <f>SUMPRODUCT(Calc!$K$3:$K$22*(Calc!$G$3:$G$22&gt;B3316)*(Calc!$G$3:$G$22-B3316)^2)</f>
        <v/>
      </c>
      <c r="K3316">
        <f>SUMPRODUCT(Calc!$K$3:$K$22*(Calc!$G$3:$G$22&gt;A3316)*(Calc!$G$3:$G$22-A3316)*(Calc!$G$3:$G$22&gt;B3316)*(Calc!$G$3:$G$22-B3316))</f>
        <v/>
      </c>
      <c r="L3316">
        <f>SUMPRODUCT(Calc!$K$3:$K$22*(Calc!$G$3:$G$22&gt;A3316)*(Calc!$G$3:$G$22-A3316)*Calc!$G$3:$G$22)</f>
        <v/>
      </c>
      <c r="M3316">
        <f>SUMPRODUCT(Calc!$K$3:$K$22*(Calc!$G$3:$G$22&gt;B3316)*(Calc!$G$3:$G$22-B3316)*Calc!$G$3:$G$22)</f>
        <v/>
      </c>
      <c r="N3316">
        <f>SUMPRODUCT(Calc!$K$3:$K$22*(Calc!$G$3:$G$22&gt;A3316)*(Calc!$G$3:$G$22-A3316)*Calc!$I$3:$I$22)</f>
        <v/>
      </c>
      <c r="O3316">
        <f>SUMPRODUCT(Calc!$K$3:$K$22*(Calc!$G$3:$G$22&gt;B3316)*(Calc!$G$3:$G$22-B3316)*Calc!$I$3:$I$22)</f>
        <v/>
      </c>
      <c r="P3316">
        <f>I3316-G3316^2/k_n</f>
        <v/>
      </c>
      <c r="Q3316">
        <f>J3316-H3316^2/k_n</f>
        <v/>
      </c>
      <c r="R3316">
        <f>K3316-G3316*H3316/k_n</f>
        <v/>
      </c>
      <c r="S3316">
        <f>L3316-LTP3!$D$3*G3316/k_n</f>
        <v/>
      </c>
      <c r="T3316">
        <f>M3316-LTP3!$D$3*H3316/k_n</f>
        <v/>
      </c>
      <c r="U3316">
        <f>N3316-G3316*LTP3!$D$4/k_n</f>
        <v/>
      </c>
      <c r="V3316">
        <f>O3316-H3316*LTP3!$D$4/k_n</f>
        <v/>
      </c>
      <c r="W3316">
        <f>((LTP3!$D$5)*((P3316)*(Q3316)-(R3316)*(R3316))-(S3316)*((S3316)*(Q3316)-(R3316)*(T3316))+(T3316)*((S3316)*(R3316)-(P3316)*(T3316)))</f>
        <v/>
      </c>
      <c r="X3316">
        <f>IF(ABS(W3316)&gt;1E-12,((LTP3!$D$6)*((P3316)*(Q3316)-(R3316)*(R3316))-(S3316)*((U3316)*(Q3316)-(R3316)*(V3316))+(T3316)*((U3316)*(R3316)-(P3316)*(V3316)))/W3316,0)</f>
        <v/>
      </c>
      <c r="Y3316">
        <f>IF(ABS(W3316)&gt;1E-12,((LTP3!$D$5)*((U3316)*(Q3316)-(R3316)*(V3316))-(LTP3!$D$6)*((S3316)*(Q3316)-(R3316)*(T3316))+(T3316)*((S3316)*(V3316)-(U3316)*(T3316)))/W3316,0)</f>
        <v/>
      </c>
      <c r="Z3316">
        <f>IF(ABS(W3316)&gt;1E-12,((LTP3!$D$5)*((P3316)*(V3316)-(U3316)*(R3316))-(S3316)*((S3316)*(V3316)-(U3316)*(T3316))+(LTP3!$D$6)*((S3316)*(R3316)-(P3316)*(T3316)))/W3316,0)</f>
        <v/>
      </c>
      <c r="AA3316">
        <f>LTP3!$D$7-X3316*LTP3!$D$6-Y3316*U3316-Z3316*V3316</f>
        <v/>
      </c>
      <c r="AB3316">
        <f>IF(AND(F3316,ABS(W3316)&gt;1E-12,Y3316&gt;0,Z3316&gt;0),AA3316,1E+300)</f>
        <v/>
      </c>
    </row>
    <row r="3317">
      <c r="A3317">
        <f>$B$3+$B$5*54</f>
        <v/>
      </c>
      <c r="B3317">
        <f>$B$3+$B$5*11</f>
        <v/>
      </c>
      <c r="C3317">
        <f>SUMPRODUCT(Calc!$K$3:$K$22*(Calc!$G$3:$G$22&lt;=A3317))</f>
        <v/>
      </c>
      <c r="D3317">
        <f>SUMPRODUCT(Calc!$K$3:$K$22*(Calc!$G$3:$G$22&gt;A3317)*(Calc!$G$3:$G$22&lt;B3317))</f>
        <v/>
      </c>
      <c r="E3317">
        <f>SUMPRODUCT(Calc!$K$3:$K$22*(Calc!$G$3:$G$22&gt;=B3317))</f>
        <v/>
      </c>
      <c r="F3317">
        <f>AND(k_n&gt;=5,B3317&gt;A3317+1E-9,C3317&gt;=2,D3317&gt;=1,E3317&gt;=2)</f>
        <v/>
      </c>
      <c r="G3317">
        <f>SUMPRODUCT(Calc!$K$3:$K$22*(Calc!$G$3:$G$22&gt;A3317)*(Calc!$G$3:$G$22-A3317))</f>
        <v/>
      </c>
      <c r="H3317">
        <f>SUMPRODUCT(Calc!$K$3:$K$22*(Calc!$G$3:$G$22&gt;B3317)*(Calc!$G$3:$G$22-B3317))</f>
        <v/>
      </c>
      <c r="I3317">
        <f>SUMPRODUCT(Calc!$K$3:$K$22*(Calc!$G$3:$G$22&gt;A3317)*(Calc!$G$3:$G$22-A3317)^2)</f>
        <v/>
      </c>
      <c r="J3317">
        <f>SUMPRODUCT(Calc!$K$3:$K$22*(Calc!$G$3:$G$22&gt;B3317)*(Calc!$G$3:$G$22-B3317)^2)</f>
        <v/>
      </c>
      <c r="K3317">
        <f>SUMPRODUCT(Calc!$K$3:$K$22*(Calc!$G$3:$G$22&gt;A3317)*(Calc!$G$3:$G$22-A3317)*(Calc!$G$3:$G$22&gt;B3317)*(Calc!$G$3:$G$22-B3317))</f>
        <v/>
      </c>
      <c r="L3317">
        <f>SUMPRODUCT(Calc!$K$3:$K$22*(Calc!$G$3:$G$22&gt;A3317)*(Calc!$G$3:$G$22-A3317)*Calc!$G$3:$G$22)</f>
        <v/>
      </c>
      <c r="M3317">
        <f>SUMPRODUCT(Calc!$K$3:$K$22*(Calc!$G$3:$G$22&gt;B3317)*(Calc!$G$3:$G$22-B3317)*Calc!$G$3:$G$22)</f>
        <v/>
      </c>
      <c r="N3317">
        <f>SUMPRODUCT(Calc!$K$3:$K$22*(Calc!$G$3:$G$22&gt;A3317)*(Calc!$G$3:$G$22-A3317)*Calc!$I$3:$I$22)</f>
        <v/>
      </c>
      <c r="O3317">
        <f>SUMPRODUCT(Calc!$K$3:$K$22*(Calc!$G$3:$G$22&gt;B3317)*(Calc!$G$3:$G$22-B3317)*Calc!$I$3:$I$22)</f>
        <v/>
      </c>
      <c r="P3317">
        <f>I3317-G3317^2/k_n</f>
        <v/>
      </c>
      <c r="Q3317">
        <f>J3317-H3317^2/k_n</f>
        <v/>
      </c>
      <c r="R3317">
        <f>K3317-G3317*H3317/k_n</f>
        <v/>
      </c>
      <c r="S3317">
        <f>L3317-LTP3!$D$3*G3317/k_n</f>
        <v/>
      </c>
      <c r="T3317">
        <f>M3317-LTP3!$D$3*H3317/k_n</f>
        <v/>
      </c>
      <c r="U3317">
        <f>N3317-G3317*LTP3!$D$4/k_n</f>
        <v/>
      </c>
      <c r="V3317">
        <f>O3317-H3317*LTP3!$D$4/k_n</f>
        <v/>
      </c>
      <c r="W3317">
        <f>((LTP3!$D$5)*((P3317)*(Q3317)-(R3317)*(R3317))-(S3317)*((S3317)*(Q3317)-(R3317)*(T3317))+(T3317)*((S3317)*(R3317)-(P3317)*(T3317)))</f>
        <v/>
      </c>
      <c r="X3317">
        <f>IF(ABS(W3317)&gt;1E-12,((LTP3!$D$6)*((P3317)*(Q3317)-(R3317)*(R3317))-(S3317)*((U3317)*(Q3317)-(R3317)*(V3317))+(T3317)*((U3317)*(R3317)-(P3317)*(V3317)))/W3317,0)</f>
        <v/>
      </c>
      <c r="Y3317">
        <f>IF(ABS(W3317)&gt;1E-12,((LTP3!$D$5)*((U3317)*(Q3317)-(R3317)*(V3317))-(LTP3!$D$6)*((S3317)*(Q3317)-(R3317)*(T3317))+(T3317)*((S3317)*(V3317)-(U3317)*(T3317)))/W3317,0)</f>
        <v/>
      </c>
      <c r="Z3317">
        <f>IF(ABS(W3317)&gt;1E-12,((LTP3!$D$5)*((P3317)*(V3317)-(U3317)*(R3317))-(S3317)*((S3317)*(V3317)-(U3317)*(T3317))+(LTP3!$D$6)*((S3317)*(R3317)-(P3317)*(T3317)))/W3317,0)</f>
        <v/>
      </c>
      <c r="AA3317">
        <f>LTP3!$D$7-X3317*LTP3!$D$6-Y3317*U3317-Z3317*V3317</f>
        <v/>
      </c>
      <c r="AB3317">
        <f>IF(AND(F3317,ABS(W3317)&gt;1E-12,Y3317&gt;0,Z3317&gt;0),AA3317,1E+300)</f>
        <v/>
      </c>
    </row>
    <row r="3318">
      <c r="A3318">
        <f>$B$3+$B$5*54</f>
        <v/>
      </c>
      <c r="B3318">
        <f>$B$3+$B$5*12</f>
        <v/>
      </c>
      <c r="C3318">
        <f>SUMPRODUCT(Calc!$K$3:$K$22*(Calc!$G$3:$G$22&lt;=A3318))</f>
        <v/>
      </c>
      <c r="D3318">
        <f>SUMPRODUCT(Calc!$K$3:$K$22*(Calc!$G$3:$G$22&gt;A3318)*(Calc!$G$3:$G$22&lt;B3318))</f>
        <v/>
      </c>
      <c r="E3318">
        <f>SUMPRODUCT(Calc!$K$3:$K$22*(Calc!$G$3:$G$22&gt;=B3318))</f>
        <v/>
      </c>
      <c r="F3318">
        <f>AND(k_n&gt;=5,B3318&gt;A3318+1E-9,C3318&gt;=2,D3318&gt;=1,E3318&gt;=2)</f>
        <v/>
      </c>
      <c r="G3318">
        <f>SUMPRODUCT(Calc!$K$3:$K$22*(Calc!$G$3:$G$22&gt;A3318)*(Calc!$G$3:$G$22-A3318))</f>
        <v/>
      </c>
      <c r="H3318">
        <f>SUMPRODUCT(Calc!$K$3:$K$22*(Calc!$G$3:$G$22&gt;B3318)*(Calc!$G$3:$G$22-B3318))</f>
        <v/>
      </c>
      <c r="I3318">
        <f>SUMPRODUCT(Calc!$K$3:$K$22*(Calc!$G$3:$G$22&gt;A3318)*(Calc!$G$3:$G$22-A3318)^2)</f>
        <v/>
      </c>
      <c r="J3318">
        <f>SUMPRODUCT(Calc!$K$3:$K$22*(Calc!$G$3:$G$22&gt;B3318)*(Calc!$G$3:$G$22-B3318)^2)</f>
        <v/>
      </c>
      <c r="K3318">
        <f>SUMPRODUCT(Calc!$K$3:$K$22*(Calc!$G$3:$G$22&gt;A3318)*(Calc!$G$3:$G$22-A3318)*(Calc!$G$3:$G$22&gt;B3318)*(Calc!$G$3:$G$22-B3318))</f>
        <v/>
      </c>
      <c r="L3318">
        <f>SUMPRODUCT(Calc!$K$3:$K$22*(Calc!$G$3:$G$22&gt;A3318)*(Calc!$G$3:$G$22-A3318)*Calc!$G$3:$G$22)</f>
        <v/>
      </c>
      <c r="M3318">
        <f>SUMPRODUCT(Calc!$K$3:$K$22*(Calc!$G$3:$G$22&gt;B3318)*(Calc!$G$3:$G$22-B3318)*Calc!$G$3:$G$22)</f>
        <v/>
      </c>
      <c r="N3318">
        <f>SUMPRODUCT(Calc!$K$3:$K$22*(Calc!$G$3:$G$22&gt;A3318)*(Calc!$G$3:$G$22-A3318)*Calc!$I$3:$I$22)</f>
        <v/>
      </c>
      <c r="O3318">
        <f>SUMPRODUCT(Calc!$K$3:$K$22*(Calc!$G$3:$G$22&gt;B3318)*(Calc!$G$3:$G$22-B3318)*Calc!$I$3:$I$22)</f>
        <v/>
      </c>
      <c r="P3318">
        <f>I3318-G3318^2/k_n</f>
        <v/>
      </c>
      <c r="Q3318">
        <f>J3318-H3318^2/k_n</f>
        <v/>
      </c>
      <c r="R3318">
        <f>K3318-G3318*H3318/k_n</f>
        <v/>
      </c>
      <c r="S3318">
        <f>L3318-LTP3!$D$3*G3318/k_n</f>
        <v/>
      </c>
      <c r="T3318">
        <f>M3318-LTP3!$D$3*H3318/k_n</f>
        <v/>
      </c>
      <c r="U3318">
        <f>N3318-G3318*LTP3!$D$4/k_n</f>
        <v/>
      </c>
      <c r="V3318">
        <f>O3318-H3318*LTP3!$D$4/k_n</f>
        <v/>
      </c>
      <c r="W3318">
        <f>((LTP3!$D$5)*((P3318)*(Q3318)-(R3318)*(R3318))-(S3318)*((S3318)*(Q3318)-(R3318)*(T3318))+(T3318)*((S3318)*(R3318)-(P3318)*(T3318)))</f>
        <v/>
      </c>
      <c r="X3318">
        <f>IF(ABS(W3318)&gt;1E-12,((LTP3!$D$6)*((P3318)*(Q3318)-(R3318)*(R3318))-(S3318)*((U3318)*(Q3318)-(R3318)*(V3318))+(T3318)*((U3318)*(R3318)-(P3318)*(V3318)))/W3318,0)</f>
        <v/>
      </c>
      <c r="Y3318">
        <f>IF(ABS(W3318)&gt;1E-12,((LTP3!$D$5)*((U3318)*(Q3318)-(R3318)*(V3318))-(LTP3!$D$6)*((S3318)*(Q3318)-(R3318)*(T3318))+(T3318)*((S3318)*(V3318)-(U3318)*(T3318)))/W3318,0)</f>
        <v/>
      </c>
      <c r="Z3318">
        <f>IF(ABS(W3318)&gt;1E-12,((LTP3!$D$5)*((P3318)*(V3318)-(U3318)*(R3318))-(S3318)*((S3318)*(V3318)-(U3318)*(T3318))+(LTP3!$D$6)*((S3318)*(R3318)-(P3318)*(T3318)))/W3318,0)</f>
        <v/>
      </c>
      <c r="AA3318">
        <f>LTP3!$D$7-X3318*LTP3!$D$6-Y3318*U3318-Z3318*V3318</f>
        <v/>
      </c>
      <c r="AB3318">
        <f>IF(AND(F3318,ABS(W3318)&gt;1E-12,Y3318&gt;0,Z3318&gt;0),AA3318,1E+300)</f>
        <v/>
      </c>
    </row>
    <row r="3319">
      <c r="A3319">
        <f>$B$3+$B$5*54</f>
        <v/>
      </c>
      <c r="B3319">
        <f>$B$3+$B$5*13</f>
        <v/>
      </c>
      <c r="C3319">
        <f>SUMPRODUCT(Calc!$K$3:$K$22*(Calc!$G$3:$G$22&lt;=A3319))</f>
        <v/>
      </c>
      <c r="D3319">
        <f>SUMPRODUCT(Calc!$K$3:$K$22*(Calc!$G$3:$G$22&gt;A3319)*(Calc!$G$3:$G$22&lt;B3319))</f>
        <v/>
      </c>
      <c r="E3319">
        <f>SUMPRODUCT(Calc!$K$3:$K$22*(Calc!$G$3:$G$22&gt;=B3319))</f>
        <v/>
      </c>
      <c r="F3319">
        <f>AND(k_n&gt;=5,B3319&gt;A3319+1E-9,C3319&gt;=2,D3319&gt;=1,E3319&gt;=2)</f>
        <v/>
      </c>
      <c r="G3319">
        <f>SUMPRODUCT(Calc!$K$3:$K$22*(Calc!$G$3:$G$22&gt;A3319)*(Calc!$G$3:$G$22-A3319))</f>
        <v/>
      </c>
      <c r="H3319">
        <f>SUMPRODUCT(Calc!$K$3:$K$22*(Calc!$G$3:$G$22&gt;B3319)*(Calc!$G$3:$G$22-B3319))</f>
        <v/>
      </c>
      <c r="I3319">
        <f>SUMPRODUCT(Calc!$K$3:$K$22*(Calc!$G$3:$G$22&gt;A3319)*(Calc!$G$3:$G$22-A3319)^2)</f>
        <v/>
      </c>
      <c r="J3319">
        <f>SUMPRODUCT(Calc!$K$3:$K$22*(Calc!$G$3:$G$22&gt;B3319)*(Calc!$G$3:$G$22-B3319)^2)</f>
        <v/>
      </c>
      <c r="K3319">
        <f>SUMPRODUCT(Calc!$K$3:$K$22*(Calc!$G$3:$G$22&gt;A3319)*(Calc!$G$3:$G$22-A3319)*(Calc!$G$3:$G$22&gt;B3319)*(Calc!$G$3:$G$22-B3319))</f>
        <v/>
      </c>
      <c r="L3319">
        <f>SUMPRODUCT(Calc!$K$3:$K$22*(Calc!$G$3:$G$22&gt;A3319)*(Calc!$G$3:$G$22-A3319)*Calc!$G$3:$G$22)</f>
        <v/>
      </c>
      <c r="M3319">
        <f>SUMPRODUCT(Calc!$K$3:$K$22*(Calc!$G$3:$G$22&gt;B3319)*(Calc!$G$3:$G$22-B3319)*Calc!$G$3:$G$22)</f>
        <v/>
      </c>
      <c r="N3319">
        <f>SUMPRODUCT(Calc!$K$3:$K$22*(Calc!$G$3:$G$22&gt;A3319)*(Calc!$G$3:$G$22-A3319)*Calc!$I$3:$I$22)</f>
        <v/>
      </c>
      <c r="O3319">
        <f>SUMPRODUCT(Calc!$K$3:$K$22*(Calc!$G$3:$G$22&gt;B3319)*(Calc!$G$3:$G$22-B3319)*Calc!$I$3:$I$22)</f>
        <v/>
      </c>
      <c r="P3319">
        <f>I3319-G3319^2/k_n</f>
        <v/>
      </c>
      <c r="Q3319">
        <f>J3319-H3319^2/k_n</f>
        <v/>
      </c>
      <c r="R3319">
        <f>K3319-G3319*H3319/k_n</f>
        <v/>
      </c>
      <c r="S3319">
        <f>L3319-LTP3!$D$3*G3319/k_n</f>
        <v/>
      </c>
      <c r="T3319">
        <f>M3319-LTP3!$D$3*H3319/k_n</f>
        <v/>
      </c>
      <c r="U3319">
        <f>N3319-G3319*LTP3!$D$4/k_n</f>
        <v/>
      </c>
      <c r="V3319">
        <f>O3319-H3319*LTP3!$D$4/k_n</f>
        <v/>
      </c>
      <c r="W3319">
        <f>((LTP3!$D$5)*((P3319)*(Q3319)-(R3319)*(R3319))-(S3319)*((S3319)*(Q3319)-(R3319)*(T3319))+(T3319)*((S3319)*(R3319)-(P3319)*(T3319)))</f>
        <v/>
      </c>
      <c r="X3319">
        <f>IF(ABS(W3319)&gt;1E-12,((LTP3!$D$6)*((P3319)*(Q3319)-(R3319)*(R3319))-(S3319)*((U3319)*(Q3319)-(R3319)*(V3319))+(T3319)*((U3319)*(R3319)-(P3319)*(V3319)))/W3319,0)</f>
        <v/>
      </c>
      <c r="Y3319">
        <f>IF(ABS(W3319)&gt;1E-12,((LTP3!$D$5)*((U3319)*(Q3319)-(R3319)*(V3319))-(LTP3!$D$6)*((S3319)*(Q3319)-(R3319)*(T3319))+(T3319)*((S3319)*(V3319)-(U3319)*(T3319)))/W3319,0)</f>
        <v/>
      </c>
      <c r="Z3319">
        <f>IF(ABS(W3319)&gt;1E-12,((LTP3!$D$5)*((P3319)*(V3319)-(U3319)*(R3319))-(S3319)*((S3319)*(V3319)-(U3319)*(T3319))+(LTP3!$D$6)*((S3319)*(R3319)-(P3319)*(T3319)))/W3319,0)</f>
        <v/>
      </c>
      <c r="AA3319">
        <f>LTP3!$D$7-X3319*LTP3!$D$6-Y3319*U3319-Z3319*V3319</f>
        <v/>
      </c>
      <c r="AB3319">
        <f>IF(AND(F3319,ABS(W3319)&gt;1E-12,Y3319&gt;0,Z3319&gt;0),AA3319,1E+300)</f>
        <v/>
      </c>
    </row>
    <row r="3320">
      <c r="A3320">
        <f>$B$3+$B$5*54</f>
        <v/>
      </c>
      <c r="B3320">
        <f>$B$3+$B$5*14</f>
        <v/>
      </c>
      <c r="C3320">
        <f>SUMPRODUCT(Calc!$K$3:$K$22*(Calc!$G$3:$G$22&lt;=A3320))</f>
        <v/>
      </c>
      <c r="D3320">
        <f>SUMPRODUCT(Calc!$K$3:$K$22*(Calc!$G$3:$G$22&gt;A3320)*(Calc!$G$3:$G$22&lt;B3320))</f>
        <v/>
      </c>
      <c r="E3320">
        <f>SUMPRODUCT(Calc!$K$3:$K$22*(Calc!$G$3:$G$22&gt;=B3320))</f>
        <v/>
      </c>
      <c r="F3320">
        <f>AND(k_n&gt;=5,B3320&gt;A3320+1E-9,C3320&gt;=2,D3320&gt;=1,E3320&gt;=2)</f>
        <v/>
      </c>
      <c r="G3320">
        <f>SUMPRODUCT(Calc!$K$3:$K$22*(Calc!$G$3:$G$22&gt;A3320)*(Calc!$G$3:$G$22-A3320))</f>
        <v/>
      </c>
      <c r="H3320">
        <f>SUMPRODUCT(Calc!$K$3:$K$22*(Calc!$G$3:$G$22&gt;B3320)*(Calc!$G$3:$G$22-B3320))</f>
        <v/>
      </c>
      <c r="I3320">
        <f>SUMPRODUCT(Calc!$K$3:$K$22*(Calc!$G$3:$G$22&gt;A3320)*(Calc!$G$3:$G$22-A3320)^2)</f>
        <v/>
      </c>
      <c r="J3320">
        <f>SUMPRODUCT(Calc!$K$3:$K$22*(Calc!$G$3:$G$22&gt;B3320)*(Calc!$G$3:$G$22-B3320)^2)</f>
        <v/>
      </c>
      <c r="K3320">
        <f>SUMPRODUCT(Calc!$K$3:$K$22*(Calc!$G$3:$G$22&gt;A3320)*(Calc!$G$3:$G$22-A3320)*(Calc!$G$3:$G$22&gt;B3320)*(Calc!$G$3:$G$22-B3320))</f>
        <v/>
      </c>
      <c r="L3320">
        <f>SUMPRODUCT(Calc!$K$3:$K$22*(Calc!$G$3:$G$22&gt;A3320)*(Calc!$G$3:$G$22-A3320)*Calc!$G$3:$G$22)</f>
        <v/>
      </c>
      <c r="M3320">
        <f>SUMPRODUCT(Calc!$K$3:$K$22*(Calc!$G$3:$G$22&gt;B3320)*(Calc!$G$3:$G$22-B3320)*Calc!$G$3:$G$22)</f>
        <v/>
      </c>
      <c r="N3320">
        <f>SUMPRODUCT(Calc!$K$3:$K$22*(Calc!$G$3:$G$22&gt;A3320)*(Calc!$G$3:$G$22-A3320)*Calc!$I$3:$I$22)</f>
        <v/>
      </c>
      <c r="O3320">
        <f>SUMPRODUCT(Calc!$K$3:$K$22*(Calc!$G$3:$G$22&gt;B3320)*(Calc!$G$3:$G$22-B3320)*Calc!$I$3:$I$22)</f>
        <v/>
      </c>
      <c r="P3320">
        <f>I3320-G3320^2/k_n</f>
        <v/>
      </c>
      <c r="Q3320">
        <f>J3320-H3320^2/k_n</f>
        <v/>
      </c>
      <c r="R3320">
        <f>K3320-G3320*H3320/k_n</f>
        <v/>
      </c>
      <c r="S3320">
        <f>L3320-LTP3!$D$3*G3320/k_n</f>
        <v/>
      </c>
      <c r="T3320">
        <f>M3320-LTP3!$D$3*H3320/k_n</f>
        <v/>
      </c>
      <c r="U3320">
        <f>N3320-G3320*LTP3!$D$4/k_n</f>
        <v/>
      </c>
      <c r="V3320">
        <f>O3320-H3320*LTP3!$D$4/k_n</f>
        <v/>
      </c>
      <c r="W3320">
        <f>((LTP3!$D$5)*((P3320)*(Q3320)-(R3320)*(R3320))-(S3320)*((S3320)*(Q3320)-(R3320)*(T3320))+(T3320)*((S3320)*(R3320)-(P3320)*(T3320)))</f>
        <v/>
      </c>
      <c r="X3320">
        <f>IF(ABS(W3320)&gt;1E-12,((LTP3!$D$6)*((P3320)*(Q3320)-(R3320)*(R3320))-(S3320)*((U3320)*(Q3320)-(R3320)*(V3320))+(T3320)*((U3320)*(R3320)-(P3320)*(V3320)))/W3320,0)</f>
        <v/>
      </c>
      <c r="Y3320">
        <f>IF(ABS(W3320)&gt;1E-12,((LTP3!$D$5)*((U3320)*(Q3320)-(R3320)*(V3320))-(LTP3!$D$6)*((S3320)*(Q3320)-(R3320)*(T3320))+(T3320)*((S3320)*(V3320)-(U3320)*(T3320)))/W3320,0)</f>
        <v/>
      </c>
      <c r="Z3320">
        <f>IF(ABS(W3320)&gt;1E-12,((LTP3!$D$5)*((P3320)*(V3320)-(U3320)*(R3320))-(S3320)*((S3320)*(V3320)-(U3320)*(T3320))+(LTP3!$D$6)*((S3320)*(R3320)-(P3320)*(T3320)))/W3320,0)</f>
        <v/>
      </c>
      <c r="AA3320">
        <f>LTP3!$D$7-X3320*LTP3!$D$6-Y3320*U3320-Z3320*V3320</f>
        <v/>
      </c>
      <c r="AB3320">
        <f>IF(AND(F3320,ABS(W3320)&gt;1E-12,Y3320&gt;0,Z3320&gt;0),AA3320,1E+300)</f>
        <v/>
      </c>
    </row>
    <row r="3321">
      <c r="A3321">
        <f>$B$3+$B$5*54</f>
        <v/>
      </c>
      <c r="B3321">
        <f>$B$3+$B$5*15</f>
        <v/>
      </c>
      <c r="C3321">
        <f>SUMPRODUCT(Calc!$K$3:$K$22*(Calc!$G$3:$G$22&lt;=A3321))</f>
        <v/>
      </c>
      <c r="D3321">
        <f>SUMPRODUCT(Calc!$K$3:$K$22*(Calc!$G$3:$G$22&gt;A3321)*(Calc!$G$3:$G$22&lt;B3321))</f>
        <v/>
      </c>
      <c r="E3321">
        <f>SUMPRODUCT(Calc!$K$3:$K$22*(Calc!$G$3:$G$22&gt;=B3321))</f>
        <v/>
      </c>
      <c r="F3321">
        <f>AND(k_n&gt;=5,B3321&gt;A3321+1E-9,C3321&gt;=2,D3321&gt;=1,E3321&gt;=2)</f>
        <v/>
      </c>
      <c r="G3321">
        <f>SUMPRODUCT(Calc!$K$3:$K$22*(Calc!$G$3:$G$22&gt;A3321)*(Calc!$G$3:$G$22-A3321))</f>
        <v/>
      </c>
      <c r="H3321">
        <f>SUMPRODUCT(Calc!$K$3:$K$22*(Calc!$G$3:$G$22&gt;B3321)*(Calc!$G$3:$G$22-B3321))</f>
        <v/>
      </c>
      <c r="I3321">
        <f>SUMPRODUCT(Calc!$K$3:$K$22*(Calc!$G$3:$G$22&gt;A3321)*(Calc!$G$3:$G$22-A3321)^2)</f>
        <v/>
      </c>
      <c r="J3321">
        <f>SUMPRODUCT(Calc!$K$3:$K$22*(Calc!$G$3:$G$22&gt;B3321)*(Calc!$G$3:$G$22-B3321)^2)</f>
        <v/>
      </c>
      <c r="K3321">
        <f>SUMPRODUCT(Calc!$K$3:$K$22*(Calc!$G$3:$G$22&gt;A3321)*(Calc!$G$3:$G$22-A3321)*(Calc!$G$3:$G$22&gt;B3321)*(Calc!$G$3:$G$22-B3321))</f>
        <v/>
      </c>
      <c r="L3321">
        <f>SUMPRODUCT(Calc!$K$3:$K$22*(Calc!$G$3:$G$22&gt;A3321)*(Calc!$G$3:$G$22-A3321)*Calc!$G$3:$G$22)</f>
        <v/>
      </c>
      <c r="M3321">
        <f>SUMPRODUCT(Calc!$K$3:$K$22*(Calc!$G$3:$G$22&gt;B3321)*(Calc!$G$3:$G$22-B3321)*Calc!$G$3:$G$22)</f>
        <v/>
      </c>
      <c r="N3321">
        <f>SUMPRODUCT(Calc!$K$3:$K$22*(Calc!$G$3:$G$22&gt;A3321)*(Calc!$G$3:$G$22-A3321)*Calc!$I$3:$I$22)</f>
        <v/>
      </c>
      <c r="O3321">
        <f>SUMPRODUCT(Calc!$K$3:$K$22*(Calc!$G$3:$G$22&gt;B3321)*(Calc!$G$3:$G$22-B3321)*Calc!$I$3:$I$22)</f>
        <v/>
      </c>
      <c r="P3321">
        <f>I3321-G3321^2/k_n</f>
        <v/>
      </c>
      <c r="Q3321">
        <f>J3321-H3321^2/k_n</f>
        <v/>
      </c>
      <c r="R3321">
        <f>K3321-G3321*H3321/k_n</f>
        <v/>
      </c>
      <c r="S3321">
        <f>L3321-LTP3!$D$3*G3321/k_n</f>
        <v/>
      </c>
      <c r="T3321">
        <f>M3321-LTP3!$D$3*H3321/k_n</f>
        <v/>
      </c>
      <c r="U3321">
        <f>N3321-G3321*LTP3!$D$4/k_n</f>
        <v/>
      </c>
      <c r="V3321">
        <f>O3321-H3321*LTP3!$D$4/k_n</f>
        <v/>
      </c>
      <c r="W3321">
        <f>((LTP3!$D$5)*((P3321)*(Q3321)-(R3321)*(R3321))-(S3321)*((S3321)*(Q3321)-(R3321)*(T3321))+(T3321)*((S3321)*(R3321)-(P3321)*(T3321)))</f>
        <v/>
      </c>
      <c r="X3321">
        <f>IF(ABS(W3321)&gt;1E-12,((LTP3!$D$6)*((P3321)*(Q3321)-(R3321)*(R3321))-(S3321)*((U3321)*(Q3321)-(R3321)*(V3321))+(T3321)*((U3321)*(R3321)-(P3321)*(V3321)))/W3321,0)</f>
        <v/>
      </c>
      <c r="Y3321">
        <f>IF(ABS(W3321)&gt;1E-12,((LTP3!$D$5)*((U3321)*(Q3321)-(R3321)*(V3321))-(LTP3!$D$6)*((S3321)*(Q3321)-(R3321)*(T3321))+(T3321)*((S3321)*(V3321)-(U3321)*(T3321)))/W3321,0)</f>
        <v/>
      </c>
      <c r="Z3321">
        <f>IF(ABS(W3321)&gt;1E-12,((LTP3!$D$5)*((P3321)*(V3321)-(U3321)*(R3321))-(S3321)*((S3321)*(V3321)-(U3321)*(T3321))+(LTP3!$D$6)*((S3321)*(R3321)-(P3321)*(T3321)))/W3321,0)</f>
        <v/>
      </c>
      <c r="AA3321">
        <f>LTP3!$D$7-X3321*LTP3!$D$6-Y3321*U3321-Z3321*V3321</f>
        <v/>
      </c>
      <c r="AB3321">
        <f>IF(AND(F3321,ABS(W3321)&gt;1E-12,Y3321&gt;0,Z3321&gt;0),AA3321,1E+300)</f>
        <v/>
      </c>
    </row>
    <row r="3322">
      <c r="A3322">
        <f>$B$3+$B$5*54</f>
        <v/>
      </c>
      <c r="B3322">
        <f>$B$3+$B$5*16</f>
        <v/>
      </c>
      <c r="C3322">
        <f>SUMPRODUCT(Calc!$K$3:$K$22*(Calc!$G$3:$G$22&lt;=A3322))</f>
        <v/>
      </c>
      <c r="D3322">
        <f>SUMPRODUCT(Calc!$K$3:$K$22*(Calc!$G$3:$G$22&gt;A3322)*(Calc!$G$3:$G$22&lt;B3322))</f>
        <v/>
      </c>
      <c r="E3322">
        <f>SUMPRODUCT(Calc!$K$3:$K$22*(Calc!$G$3:$G$22&gt;=B3322))</f>
        <v/>
      </c>
      <c r="F3322">
        <f>AND(k_n&gt;=5,B3322&gt;A3322+1E-9,C3322&gt;=2,D3322&gt;=1,E3322&gt;=2)</f>
        <v/>
      </c>
      <c r="G3322">
        <f>SUMPRODUCT(Calc!$K$3:$K$22*(Calc!$G$3:$G$22&gt;A3322)*(Calc!$G$3:$G$22-A3322))</f>
        <v/>
      </c>
      <c r="H3322">
        <f>SUMPRODUCT(Calc!$K$3:$K$22*(Calc!$G$3:$G$22&gt;B3322)*(Calc!$G$3:$G$22-B3322))</f>
        <v/>
      </c>
      <c r="I3322">
        <f>SUMPRODUCT(Calc!$K$3:$K$22*(Calc!$G$3:$G$22&gt;A3322)*(Calc!$G$3:$G$22-A3322)^2)</f>
        <v/>
      </c>
      <c r="J3322">
        <f>SUMPRODUCT(Calc!$K$3:$K$22*(Calc!$G$3:$G$22&gt;B3322)*(Calc!$G$3:$G$22-B3322)^2)</f>
        <v/>
      </c>
      <c r="K3322">
        <f>SUMPRODUCT(Calc!$K$3:$K$22*(Calc!$G$3:$G$22&gt;A3322)*(Calc!$G$3:$G$22-A3322)*(Calc!$G$3:$G$22&gt;B3322)*(Calc!$G$3:$G$22-B3322))</f>
        <v/>
      </c>
      <c r="L3322">
        <f>SUMPRODUCT(Calc!$K$3:$K$22*(Calc!$G$3:$G$22&gt;A3322)*(Calc!$G$3:$G$22-A3322)*Calc!$G$3:$G$22)</f>
        <v/>
      </c>
      <c r="M3322">
        <f>SUMPRODUCT(Calc!$K$3:$K$22*(Calc!$G$3:$G$22&gt;B3322)*(Calc!$G$3:$G$22-B3322)*Calc!$G$3:$G$22)</f>
        <v/>
      </c>
      <c r="N3322">
        <f>SUMPRODUCT(Calc!$K$3:$K$22*(Calc!$G$3:$G$22&gt;A3322)*(Calc!$G$3:$G$22-A3322)*Calc!$I$3:$I$22)</f>
        <v/>
      </c>
      <c r="O3322">
        <f>SUMPRODUCT(Calc!$K$3:$K$22*(Calc!$G$3:$G$22&gt;B3322)*(Calc!$G$3:$G$22-B3322)*Calc!$I$3:$I$22)</f>
        <v/>
      </c>
      <c r="P3322">
        <f>I3322-G3322^2/k_n</f>
        <v/>
      </c>
      <c r="Q3322">
        <f>J3322-H3322^2/k_n</f>
        <v/>
      </c>
      <c r="R3322">
        <f>K3322-G3322*H3322/k_n</f>
        <v/>
      </c>
      <c r="S3322">
        <f>L3322-LTP3!$D$3*G3322/k_n</f>
        <v/>
      </c>
      <c r="T3322">
        <f>M3322-LTP3!$D$3*H3322/k_n</f>
        <v/>
      </c>
      <c r="U3322">
        <f>N3322-G3322*LTP3!$D$4/k_n</f>
        <v/>
      </c>
      <c r="V3322">
        <f>O3322-H3322*LTP3!$D$4/k_n</f>
        <v/>
      </c>
      <c r="W3322">
        <f>((LTP3!$D$5)*((P3322)*(Q3322)-(R3322)*(R3322))-(S3322)*((S3322)*(Q3322)-(R3322)*(T3322))+(T3322)*((S3322)*(R3322)-(P3322)*(T3322)))</f>
        <v/>
      </c>
      <c r="X3322">
        <f>IF(ABS(W3322)&gt;1E-12,((LTP3!$D$6)*((P3322)*(Q3322)-(R3322)*(R3322))-(S3322)*((U3322)*(Q3322)-(R3322)*(V3322))+(T3322)*((U3322)*(R3322)-(P3322)*(V3322)))/W3322,0)</f>
        <v/>
      </c>
      <c r="Y3322">
        <f>IF(ABS(W3322)&gt;1E-12,((LTP3!$D$5)*((U3322)*(Q3322)-(R3322)*(V3322))-(LTP3!$D$6)*((S3322)*(Q3322)-(R3322)*(T3322))+(T3322)*((S3322)*(V3322)-(U3322)*(T3322)))/W3322,0)</f>
        <v/>
      </c>
      <c r="Z3322">
        <f>IF(ABS(W3322)&gt;1E-12,((LTP3!$D$5)*((P3322)*(V3322)-(U3322)*(R3322))-(S3322)*((S3322)*(V3322)-(U3322)*(T3322))+(LTP3!$D$6)*((S3322)*(R3322)-(P3322)*(T3322)))/W3322,0)</f>
        <v/>
      </c>
      <c r="AA3322">
        <f>LTP3!$D$7-X3322*LTP3!$D$6-Y3322*U3322-Z3322*V3322</f>
        <v/>
      </c>
      <c r="AB3322">
        <f>IF(AND(F3322,ABS(W3322)&gt;1E-12,Y3322&gt;0,Z3322&gt;0),AA3322,1E+300)</f>
        <v/>
      </c>
    </row>
    <row r="3323">
      <c r="A3323">
        <f>$B$3+$B$5*54</f>
        <v/>
      </c>
      <c r="B3323">
        <f>$B$3+$B$5*17</f>
        <v/>
      </c>
      <c r="C3323">
        <f>SUMPRODUCT(Calc!$K$3:$K$22*(Calc!$G$3:$G$22&lt;=A3323))</f>
        <v/>
      </c>
      <c r="D3323">
        <f>SUMPRODUCT(Calc!$K$3:$K$22*(Calc!$G$3:$G$22&gt;A3323)*(Calc!$G$3:$G$22&lt;B3323))</f>
        <v/>
      </c>
      <c r="E3323">
        <f>SUMPRODUCT(Calc!$K$3:$K$22*(Calc!$G$3:$G$22&gt;=B3323))</f>
        <v/>
      </c>
      <c r="F3323">
        <f>AND(k_n&gt;=5,B3323&gt;A3323+1E-9,C3323&gt;=2,D3323&gt;=1,E3323&gt;=2)</f>
        <v/>
      </c>
      <c r="G3323">
        <f>SUMPRODUCT(Calc!$K$3:$K$22*(Calc!$G$3:$G$22&gt;A3323)*(Calc!$G$3:$G$22-A3323))</f>
        <v/>
      </c>
      <c r="H3323">
        <f>SUMPRODUCT(Calc!$K$3:$K$22*(Calc!$G$3:$G$22&gt;B3323)*(Calc!$G$3:$G$22-B3323))</f>
        <v/>
      </c>
      <c r="I3323">
        <f>SUMPRODUCT(Calc!$K$3:$K$22*(Calc!$G$3:$G$22&gt;A3323)*(Calc!$G$3:$G$22-A3323)^2)</f>
        <v/>
      </c>
      <c r="J3323">
        <f>SUMPRODUCT(Calc!$K$3:$K$22*(Calc!$G$3:$G$22&gt;B3323)*(Calc!$G$3:$G$22-B3323)^2)</f>
        <v/>
      </c>
      <c r="K3323">
        <f>SUMPRODUCT(Calc!$K$3:$K$22*(Calc!$G$3:$G$22&gt;A3323)*(Calc!$G$3:$G$22-A3323)*(Calc!$G$3:$G$22&gt;B3323)*(Calc!$G$3:$G$22-B3323))</f>
        <v/>
      </c>
      <c r="L3323">
        <f>SUMPRODUCT(Calc!$K$3:$K$22*(Calc!$G$3:$G$22&gt;A3323)*(Calc!$G$3:$G$22-A3323)*Calc!$G$3:$G$22)</f>
        <v/>
      </c>
      <c r="M3323">
        <f>SUMPRODUCT(Calc!$K$3:$K$22*(Calc!$G$3:$G$22&gt;B3323)*(Calc!$G$3:$G$22-B3323)*Calc!$G$3:$G$22)</f>
        <v/>
      </c>
      <c r="N3323">
        <f>SUMPRODUCT(Calc!$K$3:$K$22*(Calc!$G$3:$G$22&gt;A3323)*(Calc!$G$3:$G$22-A3323)*Calc!$I$3:$I$22)</f>
        <v/>
      </c>
      <c r="O3323">
        <f>SUMPRODUCT(Calc!$K$3:$K$22*(Calc!$G$3:$G$22&gt;B3323)*(Calc!$G$3:$G$22-B3323)*Calc!$I$3:$I$22)</f>
        <v/>
      </c>
      <c r="P3323">
        <f>I3323-G3323^2/k_n</f>
        <v/>
      </c>
      <c r="Q3323">
        <f>J3323-H3323^2/k_n</f>
        <v/>
      </c>
      <c r="R3323">
        <f>K3323-G3323*H3323/k_n</f>
        <v/>
      </c>
      <c r="S3323">
        <f>L3323-LTP3!$D$3*G3323/k_n</f>
        <v/>
      </c>
      <c r="T3323">
        <f>M3323-LTP3!$D$3*H3323/k_n</f>
        <v/>
      </c>
      <c r="U3323">
        <f>N3323-G3323*LTP3!$D$4/k_n</f>
        <v/>
      </c>
      <c r="V3323">
        <f>O3323-H3323*LTP3!$D$4/k_n</f>
        <v/>
      </c>
      <c r="W3323">
        <f>((LTP3!$D$5)*((P3323)*(Q3323)-(R3323)*(R3323))-(S3323)*((S3323)*(Q3323)-(R3323)*(T3323))+(T3323)*((S3323)*(R3323)-(P3323)*(T3323)))</f>
        <v/>
      </c>
      <c r="X3323">
        <f>IF(ABS(W3323)&gt;1E-12,((LTP3!$D$6)*((P3323)*(Q3323)-(R3323)*(R3323))-(S3323)*((U3323)*(Q3323)-(R3323)*(V3323))+(T3323)*((U3323)*(R3323)-(P3323)*(V3323)))/W3323,0)</f>
        <v/>
      </c>
      <c r="Y3323">
        <f>IF(ABS(W3323)&gt;1E-12,((LTP3!$D$5)*((U3323)*(Q3323)-(R3323)*(V3323))-(LTP3!$D$6)*((S3323)*(Q3323)-(R3323)*(T3323))+(T3323)*((S3323)*(V3323)-(U3323)*(T3323)))/W3323,0)</f>
        <v/>
      </c>
      <c r="Z3323">
        <f>IF(ABS(W3323)&gt;1E-12,((LTP3!$D$5)*((P3323)*(V3323)-(U3323)*(R3323))-(S3323)*((S3323)*(V3323)-(U3323)*(T3323))+(LTP3!$D$6)*((S3323)*(R3323)-(P3323)*(T3323)))/W3323,0)</f>
        <v/>
      </c>
      <c r="AA3323">
        <f>LTP3!$D$7-X3323*LTP3!$D$6-Y3323*U3323-Z3323*V3323</f>
        <v/>
      </c>
      <c r="AB3323">
        <f>IF(AND(F3323,ABS(W3323)&gt;1E-12,Y3323&gt;0,Z3323&gt;0),AA3323,1E+300)</f>
        <v/>
      </c>
    </row>
    <row r="3324">
      <c r="A3324">
        <f>$B$3+$B$5*54</f>
        <v/>
      </c>
      <c r="B3324">
        <f>$B$3+$B$5*18</f>
        <v/>
      </c>
      <c r="C3324">
        <f>SUMPRODUCT(Calc!$K$3:$K$22*(Calc!$G$3:$G$22&lt;=A3324))</f>
        <v/>
      </c>
      <c r="D3324">
        <f>SUMPRODUCT(Calc!$K$3:$K$22*(Calc!$G$3:$G$22&gt;A3324)*(Calc!$G$3:$G$22&lt;B3324))</f>
        <v/>
      </c>
      <c r="E3324">
        <f>SUMPRODUCT(Calc!$K$3:$K$22*(Calc!$G$3:$G$22&gt;=B3324))</f>
        <v/>
      </c>
      <c r="F3324">
        <f>AND(k_n&gt;=5,B3324&gt;A3324+1E-9,C3324&gt;=2,D3324&gt;=1,E3324&gt;=2)</f>
        <v/>
      </c>
      <c r="G3324">
        <f>SUMPRODUCT(Calc!$K$3:$K$22*(Calc!$G$3:$G$22&gt;A3324)*(Calc!$G$3:$G$22-A3324))</f>
        <v/>
      </c>
      <c r="H3324">
        <f>SUMPRODUCT(Calc!$K$3:$K$22*(Calc!$G$3:$G$22&gt;B3324)*(Calc!$G$3:$G$22-B3324))</f>
        <v/>
      </c>
      <c r="I3324">
        <f>SUMPRODUCT(Calc!$K$3:$K$22*(Calc!$G$3:$G$22&gt;A3324)*(Calc!$G$3:$G$22-A3324)^2)</f>
        <v/>
      </c>
      <c r="J3324">
        <f>SUMPRODUCT(Calc!$K$3:$K$22*(Calc!$G$3:$G$22&gt;B3324)*(Calc!$G$3:$G$22-B3324)^2)</f>
        <v/>
      </c>
      <c r="K3324">
        <f>SUMPRODUCT(Calc!$K$3:$K$22*(Calc!$G$3:$G$22&gt;A3324)*(Calc!$G$3:$G$22-A3324)*(Calc!$G$3:$G$22&gt;B3324)*(Calc!$G$3:$G$22-B3324))</f>
        <v/>
      </c>
      <c r="L3324">
        <f>SUMPRODUCT(Calc!$K$3:$K$22*(Calc!$G$3:$G$22&gt;A3324)*(Calc!$G$3:$G$22-A3324)*Calc!$G$3:$G$22)</f>
        <v/>
      </c>
      <c r="M3324">
        <f>SUMPRODUCT(Calc!$K$3:$K$22*(Calc!$G$3:$G$22&gt;B3324)*(Calc!$G$3:$G$22-B3324)*Calc!$G$3:$G$22)</f>
        <v/>
      </c>
      <c r="N3324">
        <f>SUMPRODUCT(Calc!$K$3:$K$22*(Calc!$G$3:$G$22&gt;A3324)*(Calc!$G$3:$G$22-A3324)*Calc!$I$3:$I$22)</f>
        <v/>
      </c>
      <c r="O3324">
        <f>SUMPRODUCT(Calc!$K$3:$K$22*(Calc!$G$3:$G$22&gt;B3324)*(Calc!$G$3:$G$22-B3324)*Calc!$I$3:$I$22)</f>
        <v/>
      </c>
      <c r="P3324">
        <f>I3324-G3324^2/k_n</f>
        <v/>
      </c>
      <c r="Q3324">
        <f>J3324-H3324^2/k_n</f>
        <v/>
      </c>
      <c r="R3324">
        <f>K3324-G3324*H3324/k_n</f>
        <v/>
      </c>
      <c r="S3324">
        <f>L3324-LTP3!$D$3*G3324/k_n</f>
        <v/>
      </c>
      <c r="T3324">
        <f>M3324-LTP3!$D$3*H3324/k_n</f>
        <v/>
      </c>
      <c r="U3324">
        <f>N3324-G3324*LTP3!$D$4/k_n</f>
        <v/>
      </c>
      <c r="V3324">
        <f>O3324-H3324*LTP3!$D$4/k_n</f>
        <v/>
      </c>
      <c r="W3324">
        <f>((LTP3!$D$5)*((P3324)*(Q3324)-(R3324)*(R3324))-(S3324)*((S3324)*(Q3324)-(R3324)*(T3324))+(T3324)*((S3324)*(R3324)-(P3324)*(T3324)))</f>
        <v/>
      </c>
      <c r="X3324">
        <f>IF(ABS(W3324)&gt;1E-12,((LTP3!$D$6)*((P3324)*(Q3324)-(R3324)*(R3324))-(S3324)*((U3324)*(Q3324)-(R3324)*(V3324))+(T3324)*((U3324)*(R3324)-(P3324)*(V3324)))/W3324,0)</f>
        <v/>
      </c>
      <c r="Y3324">
        <f>IF(ABS(W3324)&gt;1E-12,((LTP3!$D$5)*((U3324)*(Q3324)-(R3324)*(V3324))-(LTP3!$D$6)*((S3324)*(Q3324)-(R3324)*(T3324))+(T3324)*((S3324)*(V3324)-(U3324)*(T3324)))/W3324,0)</f>
        <v/>
      </c>
      <c r="Z3324">
        <f>IF(ABS(W3324)&gt;1E-12,((LTP3!$D$5)*((P3324)*(V3324)-(U3324)*(R3324))-(S3324)*((S3324)*(V3324)-(U3324)*(T3324))+(LTP3!$D$6)*((S3324)*(R3324)-(P3324)*(T3324)))/W3324,0)</f>
        <v/>
      </c>
      <c r="AA3324">
        <f>LTP3!$D$7-X3324*LTP3!$D$6-Y3324*U3324-Z3324*V3324</f>
        <v/>
      </c>
      <c r="AB3324">
        <f>IF(AND(F3324,ABS(W3324)&gt;1E-12,Y3324&gt;0,Z3324&gt;0),AA3324,1E+300)</f>
        <v/>
      </c>
    </row>
    <row r="3325">
      <c r="A3325">
        <f>$B$3+$B$5*54</f>
        <v/>
      </c>
      <c r="B3325">
        <f>$B$3+$B$5*19</f>
        <v/>
      </c>
      <c r="C3325">
        <f>SUMPRODUCT(Calc!$K$3:$K$22*(Calc!$G$3:$G$22&lt;=A3325))</f>
        <v/>
      </c>
      <c r="D3325">
        <f>SUMPRODUCT(Calc!$K$3:$K$22*(Calc!$G$3:$G$22&gt;A3325)*(Calc!$G$3:$G$22&lt;B3325))</f>
        <v/>
      </c>
      <c r="E3325">
        <f>SUMPRODUCT(Calc!$K$3:$K$22*(Calc!$G$3:$G$22&gt;=B3325))</f>
        <v/>
      </c>
      <c r="F3325">
        <f>AND(k_n&gt;=5,B3325&gt;A3325+1E-9,C3325&gt;=2,D3325&gt;=1,E3325&gt;=2)</f>
        <v/>
      </c>
      <c r="G3325">
        <f>SUMPRODUCT(Calc!$K$3:$K$22*(Calc!$G$3:$G$22&gt;A3325)*(Calc!$G$3:$G$22-A3325))</f>
        <v/>
      </c>
      <c r="H3325">
        <f>SUMPRODUCT(Calc!$K$3:$K$22*(Calc!$G$3:$G$22&gt;B3325)*(Calc!$G$3:$G$22-B3325))</f>
        <v/>
      </c>
      <c r="I3325">
        <f>SUMPRODUCT(Calc!$K$3:$K$22*(Calc!$G$3:$G$22&gt;A3325)*(Calc!$G$3:$G$22-A3325)^2)</f>
        <v/>
      </c>
      <c r="J3325">
        <f>SUMPRODUCT(Calc!$K$3:$K$22*(Calc!$G$3:$G$22&gt;B3325)*(Calc!$G$3:$G$22-B3325)^2)</f>
        <v/>
      </c>
      <c r="K3325">
        <f>SUMPRODUCT(Calc!$K$3:$K$22*(Calc!$G$3:$G$22&gt;A3325)*(Calc!$G$3:$G$22-A3325)*(Calc!$G$3:$G$22&gt;B3325)*(Calc!$G$3:$G$22-B3325))</f>
        <v/>
      </c>
      <c r="L3325">
        <f>SUMPRODUCT(Calc!$K$3:$K$22*(Calc!$G$3:$G$22&gt;A3325)*(Calc!$G$3:$G$22-A3325)*Calc!$G$3:$G$22)</f>
        <v/>
      </c>
      <c r="M3325">
        <f>SUMPRODUCT(Calc!$K$3:$K$22*(Calc!$G$3:$G$22&gt;B3325)*(Calc!$G$3:$G$22-B3325)*Calc!$G$3:$G$22)</f>
        <v/>
      </c>
      <c r="N3325">
        <f>SUMPRODUCT(Calc!$K$3:$K$22*(Calc!$G$3:$G$22&gt;A3325)*(Calc!$G$3:$G$22-A3325)*Calc!$I$3:$I$22)</f>
        <v/>
      </c>
      <c r="O3325">
        <f>SUMPRODUCT(Calc!$K$3:$K$22*(Calc!$G$3:$G$22&gt;B3325)*(Calc!$G$3:$G$22-B3325)*Calc!$I$3:$I$22)</f>
        <v/>
      </c>
      <c r="P3325">
        <f>I3325-G3325^2/k_n</f>
        <v/>
      </c>
      <c r="Q3325">
        <f>J3325-H3325^2/k_n</f>
        <v/>
      </c>
      <c r="R3325">
        <f>K3325-G3325*H3325/k_n</f>
        <v/>
      </c>
      <c r="S3325">
        <f>L3325-LTP3!$D$3*G3325/k_n</f>
        <v/>
      </c>
      <c r="T3325">
        <f>M3325-LTP3!$D$3*H3325/k_n</f>
        <v/>
      </c>
      <c r="U3325">
        <f>N3325-G3325*LTP3!$D$4/k_n</f>
        <v/>
      </c>
      <c r="V3325">
        <f>O3325-H3325*LTP3!$D$4/k_n</f>
        <v/>
      </c>
      <c r="W3325">
        <f>((LTP3!$D$5)*((P3325)*(Q3325)-(R3325)*(R3325))-(S3325)*((S3325)*(Q3325)-(R3325)*(T3325))+(T3325)*((S3325)*(R3325)-(P3325)*(T3325)))</f>
        <v/>
      </c>
      <c r="X3325">
        <f>IF(ABS(W3325)&gt;1E-12,((LTP3!$D$6)*((P3325)*(Q3325)-(R3325)*(R3325))-(S3325)*((U3325)*(Q3325)-(R3325)*(V3325))+(T3325)*((U3325)*(R3325)-(P3325)*(V3325)))/W3325,0)</f>
        <v/>
      </c>
      <c r="Y3325">
        <f>IF(ABS(W3325)&gt;1E-12,((LTP3!$D$5)*((U3325)*(Q3325)-(R3325)*(V3325))-(LTP3!$D$6)*((S3325)*(Q3325)-(R3325)*(T3325))+(T3325)*((S3325)*(V3325)-(U3325)*(T3325)))/W3325,0)</f>
        <v/>
      </c>
      <c r="Z3325">
        <f>IF(ABS(W3325)&gt;1E-12,((LTP3!$D$5)*((P3325)*(V3325)-(U3325)*(R3325))-(S3325)*((S3325)*(V3325)-(U3325)*(T3325))+(LTP3!$D$6)*((S3325)*(R3325)-(P3325)*(T3325)))/W3325,0)</f>
        <v/>
      </c>
      <c r="AA3325">
        <f>LTP3!$D$7-X3325*LTP3!$D$6-Y3325*U3325-Z3325*V3325</f>
        <v/>
      </c>
      <c r="AB3325">
        <f>IF(AND(F3325,ABS(W3325)&gt;1E-12,Y3325&gt;0,Z3325&gt;0),AA3325,1E+300)</f>
        <v/>
      </c>
    </row>
    <row r="3326">
      <c r="A3326">
        <f>$B$3+$B$5*54</f>
        <v/>
      </c>
      <c r="B3326">
        <f>$B$3+$B$5*20</f>
        <v/>
      </c>
      <c r="C3326">
        <f>SUMPRODUCT(Calc!$K$3:$K$22*(Calc!$G$3:$G$22&lt;=A3326))</f>
        <v/>
      </c>
      <c r="D3326">
        <f>SUMPRODUCT(Calc!$K$3:$K$22*(Calc!$G$3:$G$22&gt;A3326)*(Calc!$G$3:$G$22&lt;B3326))</f>
        <v/>
      </c>
      <c r="E3326">
        <f>SUMPRODUCT(Calc!$K$3:$K$22*(Calc!$G$3:$G$22&gt;=B3326))</f>
        <v/>
      </c>
      <c r="F3326">
        <f>AND(k_n&gt;=5,B3326&gt;A3326+1E-9,C3326&gt;=2,D3326&gt;=1,E3326&gt;=2)</f>
        <v/>
      </c>
      <c r="G3326">
        <f>SUMPRODUCT(Calc!$K$3:$K$22*(Calc!$G$3:$G$22&gt;A3326)*(Calc!$G$3:$G$22-A3326))</f>
        <v/>
      </c>
      <c r="H3326">
        <f>SUMPRODUCT(Calc!$K$3:$K$22*(Calc!$G$3:$G$22&gt;B3326)*(Calc!$G$3:$G$22-B3326))</f>
        <v/>
      </c>
      <c r="I3326">
        <f>SUMPRODUCT(Calc!$K$3:$K$22*(Calc!$G$3:$G$22&gt;A3326)*(Calc!$G$3:$G$22-A3326)^2)</f>
        <v/>
      </c>
      <c r="J3326">
        <f>SUMPRODUCT(Calc!$K$3:$K$22*(Calc!$G$3:$G$22&gt;B3326)*(Calc!$G$3:$G$22-B3326)^2)</f>
        <v/>
      </c>
      <c r="K3326">
        <f>SUMPRODUCT(Calc!$K$3:$K$22*(Calc!$G$3:$G$22&gt;A3326)*(Calc!$G$3:$G$22-A3326)*(Calc!$G$3:$G$22&gt;B3326)*(Calc!$G$3:$G$22-B3326))</f>
        <v/>
      </c>
      <c r="L3326">
        <f>SUMPRODUCT(Calc!$K$3:$K$22*(Calc!$G$3:$G$22&gt;A3326)*(Calc!$G$3:$G$22-A3326)*Calc!$G$3:$G$22)</f>
        <v/>
      </c>
      <c r="M3326">
        <f>SUMPRODUCT(Calc!$K$3:$K$22*(Calc!$G$3:$G$22&gt;B3326)*(Calc!$G$3:$G$22-B3326)*Calc!$G$3:$G$22)</f>
        <v/>
      </c>
      <c r="N3326">
        <f>SUMPRODUCT(Calc!$K$3:$K$22*(Calc!$G$3:$G$22&gt;A3326)*(Calc!$G$3:$G$22-A3326)*Calc!$I$3:$I$22)</f>
        <v/>
      </c>
      <c r="O3326">
        <f>SUMPRODUCT(Calc!$K$3:$K$22*(Calc!$G$3:$G$22&gt;B3326)*(Calc!$G$3:$G$22-B3326)*Calc!$I$3:$I$22)</f>
        <v/>
      </c>
      <c r="P3326">
        <f>I3326-G3326^2/k_n</f>
        <v/>
      </c>
      <c r="Q3326">
        <f>J3326-H3326^2/k_n</f>
        <v/>
      </c>
      <c r="R3326">
        <f>K3326-G3326*H3326/k_n</f>
        <v/>
      </c>
      <c r="S3326">
        <f>L3326-LTP3!$D$3*G3326/k_n</f>
        <v/>
      </c>
      <c r="T3326">
        <f>M3326-LTP3!$D$3*H3326/k_n</f>
        <v/>
      </c>
      <c r="U3326">
        <f>N3326-G3326*LTP3!$D$4/k_n</f>
        <v/>
      </c>
      <c r="V3326">
        <f>O3326-H3326*LTP3!$D$4/k_n</f>
        <v/>
      </c>
      <c r="W3326">
        <f>((LTP3!$D$5)*((P3326)*(Q3326)-(R3326)*(R3326))-(S3326)*((S3326)*(Q3326)-(R3326)*(T3326))+(T3326)*((S3326)*(R3326)-(P3326)*(T3326)))</f>
        <v/>
      </c>
      <c r="X3326">
        <f>IF(ABS(W3326)&gt;1E-12,((LTP3!$D$6)*((P3326)*(Q3326)-(R3326)*(R3326))-(S3326)*((U3326)*(Q3326)-(R3326)*(V3326))+(T3326)*((U3326)*(R3326)-(P3326)*(V3326)))/W3326,0)</f>
        <v/>
      </c>
      <c r="Y3326">
        <f>IF(ABS(W3326)&gt;1E-12,((LTP3!$D$5)*((U3326)*(Q3326)-(R3326)*(V3326))-(LTP3!$D$6)*((S3326)*(Q3326)-(R3326)*(T3326))+(T3326)*((S3326)*(V3326)-(U3326)*(T3326)))/W3326,0)</f>
        <v/>
      </c>
      <c r="Z3326">
        <f>IF(ABS(W3326)&gt;1E-12,((LTP3!$D$5)*((P3326)*(V3326)-(U3326)*(R3326))-(S3326)*((S3326)*(V3326)-(U3326)*(T3326))+(LTP3!$D$6)*((S3326)*(R3326)-(P3326)*(T3326)))/W3326,0)</f>
        <v/>
      </c>
      <c r="AA3326">
        <f>LTP3!$D$7-X3326*LTP3!$D$6-Y3326*U3326-Z3326*V3326</f>
        <v/>
      </c>
      <c r="AB3326">
        <f>IF(AND(F3326,ABS(W3326)&gt;1E-12,Y3326&gt;0,Z3326&gt;0),AA3326,1E+300)</f>
        <v/>
      </c>
    </row>
    <row r="3327">
      <c r="A3327">
        <f>$B$3+$B$5*54</f>
        <v/>
      </c>
      <c r="B3327">
        <f>$B$3+$B$5*21</f>
        <v/>
      </c>
      <c r="C3327">
        <f>SUMPRODUCT(Calc!$K$3:$K$22*(Calc!$G$3:$G$22&lt;=A3327))</f>
        <v/>
      </c>
      <c r="D3327">
        <f>SUMPRODUCT(Calc!$K$3:$K$22*(Calc!$G$3:$G$22&gt;A3327)*(Calc!$G$3:$G$22&lt;B3327))</f>
        <v/>
      </c>
      <c r="E3327">
        <f>SUMPRODUCT(Calc!$K$3:$K$22*(Calc!$G$3:$G$22&gt;=B3327))</f>
        <v/>
      </c>
      <c r="F3327">
        <f>AND(k_n&gt;=5,B3327&gt;A3327+1E-9,C3327&gt;=2,D3327&gt;=1,E3327&gt;=2)</f>
        <v/>
      </c>
      <c r="G3327">
        <f>SUMPRODUCT(Calc!$K$3:$K$22*(Calc!$G$3:$G$22&gt;A3327)*(Calc!$G$3:$G$22-A3327))</f>
        <v/>
      </c>
      <c r="H3327">
        <f>SUMPRODUCT(Calc!$K$3:$K$22*(Calc!$G$3:$G$22&gt;B3327)*(Calc!$G$3:$G$22-B3327))</f>
        <v/>
      </c>
      <c r="I3327">
        <f>SUMPRODUCT(Calc!$K$3:$K$22*(Calc!$G$3:$G$22&gt;A3327)*(Calc!$G$3:$G$22-A3327)^2)</f>
        <v/>
      </c>
      <c r="J3327">
        <f>SUMPRODUCT(Calc!$K$3:$K$22*(Calc!$G$3:$G$22&gt;B3327)*(Calc!$G$3:$G$22-B3327)^2)</f>
        <v/>
      </c>
      <c r="K3327">
        <f>SUMPRODUCT(Calc!$K$3:$K$22*(Calc!$G$3:$G$22&gt;A3327)*(Calc!$G$3:$G$22-A3327)*(Calc!$G$3:$G$22&gt;B3327)*(Calc!$G$3:$G$22-B3327))</f>
        <v/>
      </c>
      <c r="L3327">
        <f>SUMPRODUCT(Calc!$K$3:$K$22*(Calc!$G$3:$G$22&gt;A3327)*(Calc!$G$3:$G$22-A3327)*Calc!$G$3:$G$22)</f>
        <v/>
      </c>
      <c r="M3327">
        <f>SUMPRODUCT(Calc!$K$3:$K$22*(Calc!$G$3:$G$22&gt;B3327)*(Calc!$G$3:$G$22-B3327)*Calc!$G$3:$G$22)</f>
        <v/>
      </c>
      <c r="N3327">
        <f>SUMPRODUCT(Calc!$K$3:$K$22*(Calc!$G$3:$G$22&gt;A3327)*(Calc!$G$3:$G$22-A3327)*Calc!$I$3:$I$22)</f>
        <v/>
      </c>
      <c r="O3327">
        <f>SUMPRODUCT(Calc!$K$3:$K$22*(Calc!$G$3:$G$22&gt;B3327)*(Calc!$G$3:$G$22-B3327)*Calc!$I$3:$I$22)</f>
        <v/>
      </c>
      <c r="P3327">
        <f>I3327-G3327^2/k_n</f>
        <v/>
      </c>
      <c r="Q3327">
        <f>J3327-H3327^2/k_n</f>
        <v/>
      </c>
      <c r="R3327">
        <f>K3327-G3327*H3327/k_n</f>
        <v/>
      </c>
      <c r="S3327">
        <f>L3327-LTP3!$D$3*G3327/k_n</f>
        <v/>
      </c>
      <c r="T3327">
        <f>M3327-LTP3!$D$3*H3327/k_n</f>
        <v/>
      </c>
      <c r="U3327">
        <f>N3327-G3327*LTP3!$D$4/k_n</f>
        <v/>
      </c>
      <c r="V3327">
        <f>O3327-H3327*LTP3!$D$4/k_n</f>
        <v/>
      </c>
      <c r="W3327">
        <f>((LTP3!$D$5)*((P3327)*(Q3327)-(R3327)*(R3327))-(S3327)*((S3327)*(Q3327)-(R3327)*(T3327))+(T3327)*((S3327)*(R3327)-(P3327)*(T3327)))</f>
        <v/>
      </c>
      <c r="X3327">
        <f>IF(ABS(W3327)&gt;1E-12,((LTP3!$D$6)*((P3327)*(Q3327)-(R3327)*(R3327))-(S3327)*((U3327)*(Q3327)-(R3327)*(V3327))+(T3327)*((U3327)*(R3327)-(P3327)*(V3327)))/W3327,0)</f>
        <v/>
      </c>
      <c r="Y3327">
        <f>IF(ABS(W3327)&gt;1E-12,((LTP3!$D$5)*((U3327)*(Q3327)-(R3327)*(V3327))-(LTP3!$D$6)*((S3327)*(Q3327)-(R3327)*(T3327))+(T3327)*((S3327)*(V3327)-(U3327)*(T3327)))/W3327,0)</f>
        <v/>
      </c>
      <c r="Z3327">
        <f>IF(ABS(W3327)&gt;1E-12,((LTP3!$D$5)*((P3327)*(V3327)-(U3327)*(R3327))-(S3327)*((S3327)*(V3327)-(U3327)*(T3327))+(LTP3!$D$6)*((S3327)*(R3327)-(P3327)*(T3327)))/W3327,0)</f>
        <v/>
      </c>
      <c r="AA3327">
        <f>LTP3!$D$7-X3327*LTP3!$D$6-Y3327*U3327-Z3327*V3327</f>
        <v/>
      </c>
      <c r="AB3327">
        <f>IF(AND(F3327,ABS(W3327)&gt;1E-12,Y3327&gt;0,Z3327&gt;0),AA3327,1E+300)</f>
        <v/>
      </c>
    </row>
    <row r="3328">
      <c r="A3328">
        <f>$B$3+$B$5*54</f>
        <v/>
      </c>
      <c r="B3328">
        <f>$B$3+$B$5*22</f>
        <v/>
      </c>
      <c r="C3328">
        <f>SUMPRODUCT(Calc!$K$3:$K$22*(Calc!$G$3:$G$22&lt;=A3328))</f>
        <v/>
      </c>
      <c r="D3328">
        <f>SUMPRODUCT(Calc!$K$3:$K$22*(Calc!$G$3:$G$22&gt;A3328)*(Calc!$G$3:$G$22&lt;B3328))</f>
        <v/>
      </c>
      <c r="E3328">
        <f>SUMPRODUCT(Calc!$K$3:$K$22*(Calc!$G$3:$G$22&gt;=B3328))</f>
        <v/>
      </c>
      <c r="F3328">
        <f>AND(k_n&gt;=5,B3328&gt;A3328+1E-9,C3328&gt;=2,D3328&gt;=1,E3328&gt;=2)</f>
        <v/>
      </c>
      <c r="G3328">
        <f>SUMPRODUCT(Calc!$K$3:$K$22*(Calc!$G$3:$G$22&gt;A3328)*(Calc!$G$3:$G$22-A3328))</f>
        <v/>
      </c>
      <c r="H3328">
        <f>SUMPRODUCT(Calc!$K$3:$K$22*(Calc!$G$3:$G$22&gt;B3328)*(Calc!$G$3:$G$22-B3328))</f>
        <v/>
      </c>
      <c r="I3328">
        <f>SUMPRODUCT(Calc!$K$3:$K$22*(Calc!$G$3:$G$22&gt;A3328)*(Calc!$G$3:$G$22-A3328)^2)</f>
        <v/>
      </c>
      <c r="J3328">
        <f>SUMPRODUCT(Calc!$K$3:$K$22*(Calc!$G$3:$G$22&gt;B3328)*(Calc!$G$3:$G$22-B3328)^2)</f>
        <v/>
      </c>
      <c r="K3328">
        <f>SUMPRODUCT(Calc!$K$3:$K$22*(Calc!$G$3:$G$22&gt;A3328)*(Calc!$G$3:$G$22-A3328)*(Calc!$G$3:$G$22&gt;B3328)*(Calc!$G$3:$G$22-B3328))</f>
        <v/>
      </c>
      <c r="L3328">
        <f>SUMPRODUCT(Calc!$K$3:$K$22*(Calc!$G$3:$G$22&gt;A3328)*(Calc!$G$3:$G$22-A3328)*Calc!$G$3:$G$22)</f>
        <v/>
      </c>
      <c r="M3328">
        <f>SUMPRODUCT(Calc!$K$3:$K$22*(Calc!$G$3:$G$22&gt;B3328)*(Calc!$G$3:$G$22-B3328)*Calc!$G$3:$G$22)</f>
        <v/>
      </c>
      <c r="N3328">
        <f>SUMPRODUCT(Calc!$K$3:$K$22*(Calc!$G$3:$G$22&gt;A3328)*(Calc!$G$3:$G$22-A3328)*Calc!$I$3:$I$22)</f>
        <v/>
      </c>
      <c r="O3328">
        <f>SUMPRODUCT(Calc!$K$3:$K$22*(Calc!$G$3:$G$22&gt;B3328)*(Calc!$G$3:$G$22-B3328)*Calc!$I$3:$I$22)</f>
        <v/>
      </c>
      <c r="P3328">
        <f>I3328-G3328^2/k_n</f>
        <v/>
      </c>
      <c r="Q3328">
        <f>J3328-H3328^2/k_n</f>
        <v/>
      </c>
      <c r="R3328">
        <f>K3328-G3328*H3328/k_n</f>
        <v/>
      </c>
      <c r="S3328">
        <f>L3328-LTP3!$D$3*G3328/k_n</f>
        <v/>
      </c>
      <c r="T3328">
        <f>M3328-LTP3!$D$3*H3328/k_n</f>
        <v/>
      </c>
      <c r="U3328">
        <f>N3328-G3328*LTP3!$D$4/k_n</f>
        <v/>
      </c>
      <c r="V3328">
        <f>O3328-H3328*LTP3!$D$4/k_n</f>
        <v/>
      </c>
      <c r="W3328">
        <f>((LTP3!$D$5)*((P3328)*(Q3328)-(R3328)*(R3328))-(S3328)*((S3328)*(Q3328)-(R3328)*(T3328))+(T3328)*((S3328)*(R3328)-(P3328)*(T3328)))</f>
        <v/>
      </c>
      <c r="X3328">
        <f>IF(ABS(W3328)&gt;1E-12,((LTP3!$D$6)*((P3328)*(Q3328)-(R3328)*(R3328))-(S3328)*((U3328)*(Q3328)-(R3328)*(V3328))+(T3328)*((U3328)*(R3328)-(P3328)*(V3328)))/W3328,0)</f>
        <v/>
      </c>
      <c r="Y3328">
        <f>IF(ABS(W3328)&gt;1E-12,((LTP3!$D$5)*((U3328)*(Q3328)-(R3328)*(V3328))-(LTP3!$D$6)*((S3328)*(Q3328)-(R3328)*(T3328))+(T3328)*((S3328)*(V3328)-(U3328)*(T3328)))/W3328,0)</f>
        <v/>
      </c>
      <c r="Z3328">
        <f>IF(ABS(W3328)&gt;1E-12,((LTP3!$D$5)*((P3328)*(V3328)-(U3328)*(R3328))-(S3328)*((S3328)*(V3328)-(U3328)*(T3328))+(LTP3!$D$6)*((S3328)*(R3328)-(P3328)*(T3328)))/W3328,0)</f>
        <v/>
      </c>
      <c r="AA3328">
        <f>LTP3!$D$7-X3328*LTP3!$D$6-Y3328*U3328-Z3328*V3328</f>
        <v/>
      </c>
      <c r="AB3328">
        <f>IF(AND(F3328,ABS(W3328)&gt;1E-12,Y3328&gt;0,Z3328&gt;0),AA3328,1E+300)</f>
        <v/>
      </c>
    </row>
    <row r="3329">
      <c r="A3329">
        <f>$B$3+$B$5*54</f>
        <v/>
      </c>
      <c r="B3329">
        <f>$B$3+$B$5*23</f>
        <v/>
      </c>
      <c r="C3329">
        <f>SUMPRODUCT(Calc!$K$3:$K$22*(Calc!$G$3:$G$22&lt;=A3329))</f>
        <v/>
      </c>
      <c r="D3329">
        <f>SUMPRODUCT(Calc!$K$3:$K$22*(Calc!$G$3:$G$22&gt;A3329)*(Calc!$G$3:$G$22&lt;B3329))</f>
        <v/>
      </c>
      <c r="E3329">
        <f>SUMPRODUCT(Calc!$K$3:$K$22*(Calc!$G$3:$G$22&gt;=B3329))</f>
        <v/>
      </c>
      <c r="F3329">
        <f>AND(k_n&gt;=5,B3329&gt;A3329+1E-9,C3329&gt;=2,D3329&gt;=1,E3329&gt;=2)</f>
        <v/>
      </c>
      <c r="G3329">
        <f>SUMPRODUCT(Calc!$K$3:$K$22*(Calc!$G$3:$G$22&gt;A3329)*(Calc!$G$3:$G$22-A3329))</f>
        <v/>
      </c>
      <c r="H3329">
        <f>SUMPRODUCT(Calc!$K$3:$K$22*(Calc!$G$3:$G$22&gt;B3329)*(Calc!$G$3:$G$22-B3329))</f>
        <v/>
      </c>
      <c r="I3329">
        <f>SUMPRODUCT(Calc!$K$3:$K$22*(Calc!$G$3:$G$22&gt;A3329)*(Calc!$G$3:$G$22-A3329)^2)</f>
        <v/>
      </c>
      <c r="J3329">
        <f>SUMPRODUCT(Calc!$K$3:$K$22*(Calc!$G$3:$G$22&gt;B3329)*(Calc!$G$3:$G$22-B3329)^2)</f>
        <v/>
      </c>
      <c r="K3329">
        <f>SUMPRODUCT(Calc!$K$3:$K$22*(Calc!$G$3:$G$22&gt;A3329)*(Calc!$G$3:$G$22-A3329)*(Calc!$G$3:$G$22&gt;B3329)*(Calc!$G$3:$G$22-B3329))</f>
        <v/>
      </c>
      <c r="L3329">
        <f>SUMPRODUCT(Calc!$K$3:$K$22*(Calc!$G$3:$G$22&gt;A3329)*(Calc!$G$3:$G$22-A3329)*Calc!$G$3:$G$22)</f>
        <v/>
      </c>
      <c r="M3329">
        <f>SUMPRODUCT(Calc!$K$3:$K$22*(Calc!$G$3:$G$22&gt;B3329)*(Calc!$G$3:$G$22-B3329)*Calc!$G$3:$G$22)</f>
        <v/>
      </c>
      <c r="N3329">
        <f>SUMPRODUCT(Calc!$K$3:$K$22*(Calc!$G$3:$G$22&gt;A3329)*(Calc!$G$3:$G$22-A3329)*Calc!$I$3:$I$22)</f>
        <v/>
      </c>
      <c r="O3329">
        <f>SUMPRODUCT(Calc!$K$3:$K$22*(Calc!$G$3:$G$22&gt;B3329)*(Calc!$G$3:$G$22-B3329)*Calc!$I$3:$I$22)</f>
        <v/>
      </c>
      <c r="P3329">
        <f>I3329-G3329^2/k_n</f>
        <v/>
      </c>
      <c r="Q3329">
        <f>J3329-H3329^2/k_n</f>
        <v/>
      </c>
      <c r="R3329">
        <f>K3329-G3329*H3329/k_n</f>
        <v/>
      </c>
      <c r="S3329">
        <f>L3329-LTP3!$D$3*G3329/k_n</f>
        <v/>
      </c>
      <c r="T3329">
        <f>M3329-LTP3!$D$3*H3329/k_n</f>
        <v/>
      </c>
      <c r="U3329">
        <f>N3329-G3329*LTP3!$D$4/k_n</f>
        <v/>
      </c>
      <c r="V3329">
        <f>O3329-H3329*LTP3!$D$4/k_n</f>
        <v/>
      </c>
      <c r="W3329">
        <f>((LTP3!$D$5)*((P3329)*(Q3329)-(R3329)*(R3329))-(S3329)*((S3329)*(Q3329)-(R3329)*(T3329))+(T3329)*((S3329)*(R3329)-(P3329)*(T3329)))</f>
        <v/>
      </c>
      <c r="X3329">
        <f>IF(ABS(W3329)&gt;1E-12,((LTP3!$D$6)*((P3329)*(Q3329)-(R3329)*(R3329))-(S3329)*((U3329)*(Q3329)-(R3329)*(V3329))+(T3329)*((U3329)*(R3329)-(P3329)*(V3329)))/W3329,0)</f>
        <v/>
      </c>
      <c r="Y3329">
        <f>IF(ABS(W3329)&gt;1E-12,((LTP3!$D$5)*((U3329)*(Q3329)-(R3329)*(V3329))-(LTP3!$D$6)*((S3329)*(Q3329)-(R3329)*(T3329))+(T3329)*((S3329)*(V3329)-(U3329)*(T3329)))/W3329,0)</f>
        <v/>
      </c>
      <c r="Z3329">
        <f>IF(ABS(W3329)&gt;1E-12,((LTP3!$D$5)*((P3329)*(V3329)-(U3329)*(R3329))-(S3329)*((S3329)*(V3329)-(U3329)*(T3329))+(LTP3!$D$6)*((S3329)*(R3329)-(P3329)*(T3329)))/W3329,0)</f>
        <v/>
      </c>
      <c r="AA3329">
        <f>LTP3!$D$7-X3329*LTP3!$D$6-Y3329*U3329-Z3329*V3329</f>
        <v/>
      </c>
      <c r="AB3329">
        <f>IF(AND(F3329,ABS(W3329)&gt;1E-12,Y3329&gt;0,Z3329&gt;0),AA3329,1E+300)</f>
        <v/>
      </c>
    </row>
    <row r="3330">
      <c r="A3330">
        <f>$B$3+$B$5*54</f>
        <v/>
      </c>
      <c r="B3330">
        <f>$B$3+$B$5*24</f>
        <v/>
      </c>
      <c r="C3330">
        <f>SUMPRODUCT(Calc!$K$3:$K$22*(Calc!$G$3:$G$22&lt;=A3330))</f>
        <v/>
      </c>
      <c r="D3330">
        <f>SUMPRODUCT(Calc!$K$3:$K$22*(Calc!$G$3:$G$22&gt;A3330)*(Calc!$G$3:$G$22&lt;B3330))</f>
        <v/>
      </c>
      <c r="E3330">
        <f>SUMPRODUCT(Calc!$K$3:$K$22*(Calc!$G$3:$G$22&gt;=B3330))</f>
        <v/>
      </c>
      <c r="F3330">
        <f>AND(k_n&gt;=5,B3330&gt;A3330+1E-9,C3330&gt;=2,D3330&gt;=1,E3330&gt;=2)</f>
        <v/>
      </c>
      <c r="G3330">
        <f>SUMPRODUCT(Calc!$K$3:$K$22*(Calc!$G$3:$G$22&gt;A3330)*(Calc!$G$3:$G$22-A3330))</f>
        <v/>
      </c>
      <c r="H3330">
        <f>SUMPRODUCT(Calc!$K$3:$K$22*(Calc!$G$3:$G$22&gt;B3330)*(Calc!$G$3:$G$22-B3330))</f>
        <v/>
      </c>
      <c r="I3330">
        <f>SUMPRODUCT(Calc!$K$3:$K$22*(Calc!$G$3:$G$22&gt;A3330)*(Calc!$G$3:$G$22-A3330)^2)</f>
        <v/>
      </c>
      <c r="J3330">
        <f>SUMPRODUCT(Calc!$K$3:$K$22*(Calc!$G$3:$G$22&gt;B3330)*(Calc!$G$3:$G$22-B3330)^2)</f>
        <v/>
      </c>
      <c r="K3330">
        <f>SUMPRODUCT(Calc!$K$3:$K$22*(Calc!$G$3:$G$22&gt;A3330)*(Calc!$G$3:$G$22-A3330)*(Calc!$G$3:$G$22&gt;B3330)*(Calc!$G$3:$G$22-B3330))</f>
        <v/>
      </c>
      <c r="L3330">
        <f>SUMPRODUCT(Calc!$K$3:$K$22*(Calc!$G$3:$G$22&gt;A3330)*(Calc!$G$3:$G$22-A3330)*Calc!$G$3:$G$22)</f>
        <v/>
      </c>
      <c r="M3330">
        <f>SUMPRODUCT(Calc!$K$3:$K$22*(Calc!$G$3:$G$22&gt;B3330)*(Calc!$G$3:$G$22-B3330)*Calc!$G$3:$G$22)</f>
        <v/>
      </c>
      <c r="N3330">
        <f>SUMPRODUCT(Calc!$K$3:$K$22*(Calc!$G$3:$G$22&gt;A3330)*(Calc!$G$3:$G$22-A3330)*Calc!$I$3:$I$22)</f>
        <v/>
      </c>
      <c r="O3330">
        <f>SUMPRODUCT(Calc!$K$3:$K$22*(Calc!$G$3:$G$22&gt;B3330)*(Calc!$G$3:$G$22-B3330)*Calc!$I$3:$I$22)</f>
        <v/>
      </c>
      <c r="P3330">
        <f>I3330-G3330^2/k_n</f>
        <v/>
      </c>
      <c r="Q3330">
        <f>J3330-H3330^2/k_n</f>
        <v/>
      </c>
      <c r="R3330">
        <f>K3330-G3330*H3330/k_n</f>
        <v/>
      </c>
      <c r="S3330">
        <f>L3330-LTP3!$D$3*G3330/k_n</f>
        <v/>
      </c>
      <c r="T3330">
        <f>M3330-LTP3!$D$3*H3330/k_n</f>
        <v/>
      </c>
      <c r="U3330">
        <f>N3330-G3330*LTP3!$D$4/k_n</f>
        <v/>
      </c>
      <c r="V3330">
        <f>O3330-H3330*LTP3!$D$4/k_n</f>
        <v/>
      </c>
      <c r="W3330">
        <f>((LTP3!$D$5)*((P3330)*(Q3330)-(R3330)*(R3330))-(S3330)*((S3330)*(Q3330)-(R3330)*(T3330))+(T3330)*((S3330)*(R3330)-(P3330)*(T3330)))</f>
        <v/>
      </c>
      <c r="X3330">
        <f>IF(ABS(W3330)&gt;1E-12,((LTP3!$D$6)*((P3330)*(Q3330)-(R3330)*(R3330))-(S3330)*((U3330)*(Q3330)-(R3330)*(V3330))+(T3330)*((U3330)*(R3330)-(P3330)*(V3330)))/W3330,0)</f>
        <v/>
      </c>
      <c r="Y3330">
        <f>IF(ABS(W3330)&gt;1E-12,((LTP3!$D$5)*((U3330)*(Q3330)-(R3330)*(V3330))-(LTP3!$D$6)*((S3330)*(Q3330)-(R3330)*(T3330))+(T3330)*((S3330)*(V3330)-(U3330)*(T3330)))/W3330,0)</f>
        <v/>
      </c>
      <c r="Z3330">
        <f>IF(ABS(W3330)&gt;1E-12,((LTP3!$D$5)*((P3330)*(V3330)-(U3330)*(R3330))-(S3330)*((S3330)*(V3330)-(U3330)*(T3330))+(LTP3!$D$6)*((S3330)*(R3330)-(P3330)*(T3330)))/W3330,0)</f>
        <v/>
      </c>
      <c r="AA3330">
        <f>LTP3!$D$7-X3330*LTP3!$D$6-Y3330*U3330-Z3330*V3330</f>
        <v/>
      </c>
      <c r="AB3330">
        <f>IF(AND(F3330,ABS(W3330)&gt;1E-12,Y3330&gt;0,Z3330&gt;0),AA3330,1E+300)</f>
        <v/>
      </c>
    </row>
    <row r="3331">
      <c r="A3331">
        <f>$B$3+$B$5*54</f>
        <v/>
      </c>
      <c r="B3331">
        <f>$B$3+$B$5*25</f>
        <v/>
      </c>
      <c r="C3331">
        <f>SUMPRODUCT(Calc!$K$3:$K$22*(Calc!$G$3:$G$22&lt;=A3331))</f>
        <v/>
      </c>
      <c r="D3331">
        <f>SUMPRODUCT(Calc!$K$3:$K$22*(Calc!$G$3:$G$22&gt;A3331)*(Calc!$G$3:$G$22&lt;B3331))</f>
        <v/>
      </c>
      <c r="E3331">
        <f>SUMPRODUCT(Calc!$K$3:$K$22*(Calc!$G$3:$G$22&gt;=B3331))</f>
        <v/>
      </c>
      <c r="F3331">
        <f>AND(k_n&gt;=5,B3331&gt;A3331+1E-9,C3331&gt;=2,D3331&gt;=1,E3331&gt;=2)</f>
        <v/>
      </c>
      <c r="G3331">
        <f>SUMPRODUCT(Calc!$K$3:$K$22*(Calc!$G$3:$G$22&gt;A3331)*(Calc!$G$3:$G$22-A3331))</f>
        <v/>
      </c>
      <c r="H3331">
        <f>SUMPRODUCT(Calc!$K$3:$K$22*(Calc!$G$3:$G$22&gt;B3331)*(Calc!$G$3:$G$22-B3331))</f>
        <v/>
      </c>
      <c r="I3331">
        <f>SUMPRODUCT(Calc!$K$3:$K$22*(Calc!$G$3:$G$22&gt;A3331)*(Calc!$G$3:$G$22-A3331)^2)</f>
        <v/>
      </c>
      <c r="J3331">
        <f>SUMPRODUCT(Calc!$K$3:$K$22*(Calc!$G$3:$G$22&gt;B3331)*(Calc!$G$3:$G$22-B3331)^2)</f>
        <v/>
      </c>
      <c r="K3331">
        <f>SUMPRODUCT(Calc!$K$3:$K$22*(Calc!$G$3:$G$22&gt;A3331)*(Calc!$G$3:$G$22-A3331)*(Calc!$G$3:$G$22&gt;B3331)*(Calc!$G$3:$G$22-B3331))</f>
        <v/>
      </c>
      <c r="L3331">
        <f>SUMPRODUCT(Calc!$K$3:$K$22*(Calc!$G$3:$G$22&gt;A3331)*(Calc!$G$3:$G$22-A3331)*Calc!$G$3:$G$22)</f>
        <v/>
      </c>
      <c r="M3331">
        <f>SUMPRODUCT(Calc!$K$3:$K$22*(Calc!$G$3:$G$22&gt;B3331)*(Calc!$G$3:$G$22-B3331)*Calc!$G$3:$G$22)</f>
        <v/>
      </c>
      <c r="N3331">
        <f>SUMPRODUCT(Calc!$K$3:$K$22*(Calc!$G$3:$G$22&gt;A3331)*(Calc!$G$3:$G$22-A3331)*Calc!$I$3:$I$22)</f>
        <v/>
      </c>
      <c r="O3331">
        <f>SUMPRODUCT(Calc!$K$3:$K$22*(Calc!$G$3:$G$22&gt;B3331)*(Calc!$G$3:$G$22-B3331)*Calc!$I$3:$I$22)</f>
        <v/>
      </c>
      <c r="P3331">
        <f>I3331-G3331^2/k_n</f>
        <v/>
      </c>
      <c r="Q3331">
        <f>J3331-H3331^2/k_n</f>
        <v/>
      </c>
      <c r="R3331">
        <f>K3331-G3331*H3331/k_n</f>
        <v/>
      </c>
      <c r="S3331">
        <f>L3331-LTP3!$D$3*G3331/k_n</f>
        <v/>
      </c>
      <c r="T3331">
        <f>M3331-LTP3!$D$3*H3331/k_n</f>
        <v/>
      </c>
      <c r="U3331">
        <f>N3331-G3331*LTP3!$D$4/k_n</f>
        <v/>
      </c>
      <c r="V3331">
        <f>O3331-H3331*LTP3!$D$4/k_n</f>
        <v/>
      </c>
      <c r="W3331">
        <f>((LTP3!$D$5)*((P3331)*(Q3331)-(R3331)*(R3331))-(S3331)*((S3331)*(Q3331)-(R3331)*(T3331))+(T3331)*((S3331)*(R3331)-(P3331)*(T3331)))</f>
        <v/>
      </c>
      <c r="X3331">
        <f>IF(ABS(W3331)&gt;1E-12,((LTP3!$D$6)*((P3331)*(Q3331)-(R3331)*(R3331))-(S3331)*((U3331)*(Q3331)-(R3331)*(V3331))+(T3331)*((U3331)*(R3331)-(P3331)*(V3331)))/W3331,0)</f>
        <v/>
      </c>
      <c r="Y3331">
        <f>IF(ABS(W3331)&gt;1E-12,((LTP3!$D$5)*((U3331)*(Q3331)-(R3331)*(V3331))-(LTP3!$D$6)*((S3331)*(Q3331)-(R3331)*(T3331))+(T3331)*((S3331)*(V3331)-(U3331)*(T3331)))/W3331,0)</f>
        <v/>
      </c>
      <c r="Z3331">
        <f>IF(ABS(W3331)&gt;1E-12,((LTP3!$D$5)*((P3331)*(V3331)-(U3331)*(R3331))-(S3331)*((S3331)*(V3331)-(U3331)*(T3331))+(LTP3!$D$6)*((S3331)*(R3331)-(P3331)*(T3331)))/W3331,0)</f>
        <v/>
      </c>
      <c r="AA3331">
        <f>LTP3!$D$7-X3331*LTP3!$D$6-Y3331*U3331-Z3331*V3331</f>
        <v/>
      </c>
      <c r="AB3331">
        <f>IF(AND(F3331,ABS(W3331)&gt;1E-12,Y3331&gt;0,Z3331&gt;0),AA3331,1E+300)</f>
        <v/>
      </c>
    </row>
    <row r="3332">
      <c r="A3332">
        <f>$B$3+$B$5*54</f>
        <v/>
      </c>
      <c r="B3332">
        <f>$B$3+$B$5*26</f>
        <v/>
      </c>
      <c r="C3332">
        <f>SUMPRODUCT(Calc!$K$3:$K$22*(Calc!$G$3:$G$22&lt;=A3332))</f>
        <v/>
      </c>
      <c r="D3332">
        <f>SUMPRODUCT(Calc!$K$3:$K$22*(Calc!$G$3:$G$22&gt;A3332)*(Calc!$G$3:$G$22&lt;B3332))</f>
        <v/>
      </c>
      <c r="E3332">
        <f>SUMPRODUCT(Calc!$K$3:$K$22*(Calc!$G$3:$G$22&gt;=B3332))</f>
        <v/>
      </c>
      <c r="F3332">
        <f>AND(k_n&gt;=5,B3332&gt;A3332+1E-9,C3332&gt;=2,D3332&gt;=1,E3332&gt;=2)</f>
        <v/>
      </c>
      <c r="G3332">
        <f>SUMPRODUCT(Calc!$K$3:$K$22*(Calc!$G$3:$G$22&gt;A3332)*(Calc!$G$3:$G$22-A3332))</f>
        <v/>
      </c>
      <c r="H3332">
        <f>SUMPRODUCT(Calc!$K$3:$K$22*(Calc!$G$3:$G$22&gt;B3332)*(Calc!$G$3:$G$22-B3332))</f>
        <v/>
      </c>
      <c r="I3332">
        <f>SUMPRODUCT(Calc!$K$3:$K$22*(Calc!$G$3:$G$22&gt;A3332)*(Calc!$G$3:$G$22-A3332)^2)</f>
        <v/>
      </c>
      <c r="J3332">
        <f>SUMPRODUCT(Calc!$K$3:$K$22*(Calc!$G$3:$G$22&gt;B3332)*(Calc!$G$3:$G$22-B3332)^2)</f>
        <v/>
      </c>
      <c r="K3332">
        <f>SUMPRODUCT(Calc!$K$3:$K$22*(Calc!$G$3:$G$22&gt;A3332)*(Calc!$G$3:$G$22-A3332)*(Calc!$G$3:$G$22&gt;B3332)*(Calc!$G$3:$G$22-B3332))</f>
        <v/>
      </c>
      <c r="L3332">
        <f>SUMPRODUCT(Calc!$K$3:$K$22*(Calc!$G$3:$G$22&gt;A3332)*(Calc!$G$3:$G$22-A3332)*Calc!$G$3:$G$22)</f>
        <v/>
      </c>
      <c r="M3332">
        <f>SUMPRODUCT(Calc!$K$3:$K$22*(Calc!$G$3:$G$22&gt;B3332)*(Calc!$G$3:$G$22-B3332)*Calc!$G$3:$G$22)</f>
        <v/>
      </c>
      <c r="N3332">
        <f>SUMPRODUCT(Calc!$K$3:$K$22*(Calc!$G$3:$G$22&gt;A3332)*(Calc!$G$3:$G$22-A3332)*Calc!$I$3:$I$22)</f>
        <v/>
      </c>
      <c r="O3332">
        <f>SUMPRODUCT(Calc!$K$3:$K$22*(Calc!$G$3:$G$22&gt;B3332)*(Calc!$G$3:$G$22-B3332)*Calc!$I$3:$I$22)</f>
        <v/>
      </c>
      <c r="P3332">
        <f>I3332-G3332^2/k_n</f>
        <v/>
      </c>
      <c r="Q3332">
        <f>J3332-H3332^2/k_n</f>
        <v/>
      </c>
      <c r="R3332">
        <f>K3332-G3332*H3332/k_n</f>
        <v/>
      </c>
      <c r="S3332">
        <f>L3332-LTP3!$D$3*G3332/k_n</f>
        <v/>
      </c>
      <c r="T3332">
        <f>M3332-LTP3!$D$3*H3332/k_n</f>
        <v/>
      </c>
      <c r="U3332">
        <f>N3332-G3332*LTP3!$D$4/k_n</f>
        <v/>
      </c>
      <c r="V3332">
        <f>O3332-H3332*LTP3!$D$4/k_n</f>
        <v/>
      </c>
      <c r="W3332">
        <f>((LTP3!$D$5)*((P3332)*(Q3332)-(R3332)*(R3332))-(S3332)*((S3332)*(Q3332)-(R3332)*(T3332))+(T3332)*((S3332)*(R3332)-(P3332)*(T3332)))</f>
        <v/>
      </c>
      <c r="X3332">
        <f>IF(ABS(W3332)&gt;1E-12,((LTP3!$D$6)*((P3332)*(Q3332)-(R3332)*(R3332))-(S3332)*((U3332)*(Q3332)-(R3332)*(V3332))+(T3332)*((U3332)*(R3332)-(P3332)*(V3332)))/W3332,0)</f>
        <v/>
      </c>
      <c r="Y3332">
        <f>IF(ABS(W3332)&gt;1E-12,((LTP3!$D$5)*((U3332)*(Q3332)-(R3332)*(V3332))-(LTP3!$D$6)*((S3332)*(Q3332)-(R3332)*(T3332))+(T3332)*((S3332)*(V3332)-(U3332)*(T3332)))/W3332,0)</f>
        <v/>
      </c>
      <c r="Z3332">
        <f>IF(ABS(W3332)&gt;1E-12,((LTP3!$D$5)*((P3332)*(V3332)-(U3332)*(R3332))-(S3332)*((S3332)*(V3332)-(U3332)*(T3332))+(LTP3!$D$6)*((S3332)*(R3332)-(P3332)*(T3332)))/W3332,0)</f>
        <v/>
      </c>
      <c r="AA3332">
        <f>LTP3!$D$7-X3332*LTP3!$D$6-Y3332*U3332-Z3332*V3332</f>
        <v/>
      </c>
      <c r="AB3332">
        <f>IF(AND(F3332,ABS(W3332)&gt;1E-12,Y3332&gt;0,Z3332&gt;0),AA3332,1E+300)</f>
        <v/>
      </c>
    </row>
    <row r="3333">
      <c r="A3333">
        <f>$B$3+$B$5*54</f>
        <v/>
      </c>
      <c r="B3333">
        <f>$B$3+$B$5*27</f>
        <v/>
      </c>
      <c r="C3333">
        <f>SUMPRODUCT(Calc!$K$3:$K$22*(Calc!$G$3:$G$22&lt;=A3333))</f>
        <v/>
      </c>
      <c r="D3333">
        <f>SUMPRODUCT(Calc!$K$3:$K$22*(Calc!$G$3:$G$22&gt;A3333)*(Calc!$G$3:$G$22&lt;B3333))</f>
        <v/>
      </c>
      <c r="E3333">
        <f>SUMPRODUCT(Calc!$K$3:$K$22*(Calc!$G$3:$G$22&gt;=B3333))</f>
        <v/>
      </c>
      <c r="F3333">
        <f>AND(k_n&gt;=5,B3333&gt;A3333+1E-9,C3333&gt;=2,D3333&gt;=1,E3333&gt;=2)</f>
        <v/>
      </c>
      <c r="G3333">
        <f>SUMPRODUCT(Calc!$K$3:$K$22*(Calc!$G$3:$G$22&gt;A3333)*(Calc!$G$3:$G$22-A3333))</f>
        <v/>
      </c>
      <c r="H3333">
        <f>SUMPRODUCT(Calc!$K$3:$K$22*(Calc!$G$3:$G$22&gt;B3333)*(Calc!$G$3:$G$22-B3333))</f>
        <v/>
      </c>
      <c r="I3333">
        <f>SUMPRODUCT(Calc!$K$3:$K$22*(Calc!$G$3:$G$22&gt;A3333)*(Calc!$G$3:$G$22-A3333)^2)</f>
        <v/>
      </c>
      <c r="J3333">
        <f>SUMPRODUCT(Calc!$K$3:$K$22*(Calc!$G$3:$G$22&gt;B3333)*(Calc!$G$3:$G$22-B3333)^2)</f>
        <v/>
      </c>
      <c r="K3333">
        <f>SUMPRODUCT(Calc!$K$3:$K$22*(Calc!$G$3:$G$22&gt;A3333)*(Calc!$G$3:$G$22-A3333)*(Calc!$G$3:$G$22&gt;B3333)*(Calc!$G$3:$G$22-B3333))</f>
        <v/>
      </c>
      <c r="L3333">
        <f>SUMPRODUCT(Calc!$K$3:$K$22*(Calc!$G$3:$G$22&gt;A3333)*(Calc!$G$3:$G$22-A3333)*Calc!$G$3:$G$22)</f>
        <v/>
      </c>
      <c r="M3333">
        <f>SUMPRODUCT(Calc!$K$3:$K$22*(Calc!$G$3:$G$22&gt;B3333)*(Calc!$G$3:$G$22-B3333)*Calc!$G$3:$G$22)</f>
        <v/>
      </c>
      <c r="N3333">
        <f>SUMPRODUCT(Calc!$K$3:$K$22*(Calc!$G$3:$G$22&gt;A3333)*(Calc!$G$3:$G$22-A3333)*Calc!$I$3:$I$22)</f>
        <v/>
      </c>
      <c r="O3333">
        <f>SUMPRODUCT(Calc!$K$3:$K$22*(Calc!$G$3:$G$22&gt;B3333)*(Calc!$G$3:$G$22-B3333)*Calc!$I$3:$I$22)</f>
        <v/>
      </c>
      <c r="P3333">
        <f>I3333-G3333^2/k_n</f>
        <v/>
      </c>
      <c r="Q3333">
        <f>J3333-H3333^2/k_n</f>
        <v/>
      </c>
      <c r="R3333">
        <f>K3333-G3333*H3333/k_n</f>
        <v/>
      </c>
      <c r="S3333">
        <f>L3333-LTP3!$D$3*G3333/k_n</f>
        <v/>
      </c>
      <c r="T3333">
        <f>M3333-LTP3!$D$3*H3333/k_n</f>
        <v/>
      </c>
      <c r="U3333">
        <f>N3333-G3333*LTP3!$D$4/k_n</f>
        <v/>
      </c>
      <c r="V3333">
        <f>O3333-H3333*LTP3!$D$4/k_n</f>
        <v/>
      </c>
      <c r="W3333">
        <f>((LTP3!$D$5)*((P3333)*(Q3333)-(R3333)*(R3333))-(S3333)*((S3333)*(Q3333)-(R3333)*(T3333))+(T3333)*((S3333)*(R3333)-(P3333)*(T3333)))</f>
        <v/>
      </c>
      <c r="X3333">
        <f>IF(ABS(W3333)&gt;1E-12,((LTP3!$D$6)*((P3333)*(Q3333)-(R3333)*(R3333))-(S3333)*((U3333)*(Q3333)-(R3333)*(V3333))+(T3333)*((U3333)*(R3333)-(P3333)*(V3333)))/W3333,0)</f>
        <v/>
      </c>
      <c r="Y3333">
        <f>IF(ABS(W3333)&gt;1E-12,((LTP3!$D$5)*((U3333)*(Q3333)-(R3333)*(V3333))-(LTP3!$D$6)*((S3333)*(Q3333)-(R3333)*(T3333))+(T3333)*((S3333)*(V3333)-(U3333)*(T3333)))/W3333,0)</f>
        <v/>
      </c>
      <c r="Z3333">
        <f>IF(ABS(W3333)&gt;1E-12,((LTP3!$D$5)*((P3333)*(V3333)-(U3333)*(R3333))-(S3333)*((S3333)*(V3333)-(U3333)*(T3333))+(LTP3!$D$6)*((S3333)*(R3333)-(P3333)*(T3333)))/W3333,0)</f>
        <v/>
      </c>
      <c r="AA3333">
        <f>LTP3!$D$7-X3333*LTP3!$D$6-Y3333*U3333-Z3333*V3333</f>
        <v/>
      </c>
      <c r="AB3333">
        <f>IF(AND(F3333,ABS(W3333)&gt;1E-12,Y3333&gt;0,Z3333&gt;0),AA3333,1E+300)</f>
        <v/>
      </c>
    </row>
    <row r="3334">
      <c r="A3334">
        <f>$B$3+$B$5*54</f>
        <v/>
      </c>
      <c r="B3334">
        <f>$B$3+$B$5*28</f>
        <v/>
      </c>
      <c r="C3334">
        <f>SUMPRODUCT(Calc!$K$3:$K$22*(Calc!$G$3:$G$22&lt;=A3334))</f>
        <v/>
      </c>
      <c r="D3334">
        <f>SUMPRODUCT(Calc!$K$3:$K$22*(Calc!$G$3:$G$22&gt;A3334)*(Calc!$G$3:$G$22&lt;B3334))</f>
        <v/>
      </c>
      <c r="E3334">
        <f>SUMPRODUCT(Calc!$K$3:$K$22*(Calc!$G$3:$G$22&gt;=B3334))</f>
        <v/>
      </c>
      <c r="F3334">
        <f>AND(k_n&gt;=5,B3334&gt;A3334+1E-9,C3334&gt;=2,D3334&gt;=1,E3334&gt;=2)</f>
        <v/>
      </c>
      <c r="G3334">
        <f>SUMPRODUCT(Calc!$K$3:$K$22*(Calc!$G$3:$G$22&gt;A3334)*(Calc!$G$3:$G$22-A3334))</f>
        <v/>
      </c>
      <c r="H3334">
        <f>SUMPRODUCT(Calc!$K$3:$K$22*(Calc!$G$3:$G$22&gt;B3334)*(Calc!$G$3:$G$22-B3334))</f>
        <v/>
      </c>
      <c r="I3334">
        <f>SUMPRODUCT(Calc!$K$3:$K$22*(Calc!$G$3:$G$22&gt;A3334)*(Calc!$G$3:$G$22-A3334)^2)</f>
        <v/>
      </c>
      <c r="J3334">
        <f>SUMPRODUCT(Calc!$K$3:$K$22*(Calc!$G$3:$G$22&gt;B3334)*(Calc!$G$3:$G$22-B3334)^2)</f>
        <v/>
      </c>
      <c r="K3334">
        <f>SUMPRODUCT(Calc!$K$3:$K$22*(Calc!$G$3:$G$22&gt;A3334)*(Calc!$G$3:$G$22-A3334)*(Calc!$G$3:$G$22&gt;B3334)*(Calc!$G$3:$G$22-B3334))</f>
        <v/>
      </c>
      <c r="L3334">
        <f>SUMPRODUCT(Calc!$K$3:$K$22*(Calc!$G$3:$G$22&gt;A3334)*(Calc!$G$3:$G$22-A3334)*Calc!$G$3:$G$22)</f>
        <v/>
      </c>
      <c r="M3334">
        <f>SUMPRODUCT(Calc!$K$3:$K$22*(Calc!$G$3:$G$22&gt;B3334)*(Calc!$G$3:$G$22-B3334)*Calc!$G$3:$G$22)</f>
        <v/>
      </c>
      <c r="N3334">
        <f>SUMPRODUCT(Calc!$K$3:$K$22*(Calc!$G$3:$G$22&gt;A3334)*(Calc!$G$3:$G$22-A3334)*Calc!$I$3:$I$22)</f>
        <v/>
      </c>
      <c r="O3334">
        <f>SUMPRODUCT(Calc!$K$3:$K$22*(Calc!$G$3:$G$22&gt;B3334)*(Calc!$G$3:$G$22-B3334)*Calc!$I$3:$I$22)</f>
        <v/>
      </c>
      <c r="P3334">
        <f>I3334-G3334^2/k_n</f>
        <v/>
      </c>
      <c r="Q3334">
        <f>J3334-H3334^2/k_n</f>
        <v/>
      </c>
      <c r="R3334">
        <f>K3334-G3334*H3334/k_n</f>
        <v/>
      </c>
      <c r="S3334">
        <f>L3334-LTP3!$D$3*G3334/k_n</f>
        <v/>
      </c>
      <c r="T3334">
        <f>M3334-LTP3!$D$3*H3334/k_n</f>
        <v/>
      </c>
      <c r="U3334">
        <f>N3334-G3334*LTP3!$D$4/k_n</f>
        <v/>
      </c>
      <c r="V3334">
        <f>O3334-H3334*LTP3!$D$4/k_n</f>
        <v/>
      </c>
      <c r="W3334">
        <f>((LTP3!$D$5)*((P3334)*(Q3334)-(R3334)*(R3334))-(S3334)*((S3334)*(Q3334)-(R3334)*(T3334))+(T3334)*((S3334)*(R3334)-(P3334)*(T3334)))</f>
        <v/>
      </c>
      <c r="X3334">
        <f>IF(ABS(W3334)&gt;1E-12,((LTP3!$D$6)*((P3334)*(Q3334)-(R3334)*(R3334))-(S3334)*((U3334)*(Q3334)-(R3334)*(V3334))+(T3334)*((U3334)*(R3334)-(P3334)*(V3334)))/W3334,0)</f>
        <v/>
      </c>
      <c r="Y3334">
        <f>IF(ABS(W3334)&gt;1E-12,((LTP3!$D$5)*((U3334)*(Q3334)-(R3334)*(V3334))-(LTP3!$D$6)*((S3334)*(Q3334)-(R3334)*(T3334))+(T3334)*((S3334)*(V3334)-(U3334)*(T3334)))/W3334,0)</f>
        <v/>
      </c>
      <c r="Z3334">
        <f>IF(ABS(W3334)&gt;1E-12,((LTP3!$D$5)*((P3334)*(V3334)-(U3334)*(R3334))-(S3334)*((S3334)*(V3334)-(U3334)*(T3334))+(LTP3!$D$6)*((S3334)*(R3334)-(P3334)*(T3334)))/W3334,0)</f>
        <v/>
      </c>
      <c r="AA3334">
        <f>LTP3!$D$7-X3334*LTP3!$D$6-Y3334*U3334-Z3334*V3334</f>
        <v/>
      </c>
      <c r="AB3334">
        <f>IF(AND(F3334,ABS(W3334)&gt;1E-12,Y3334&gt;0,Z3334&gt;0),AA3334,1E+300)</f>
        <v/>
      </c>
    </row>
    <row r="3335">
      <c r="A3335">
        <f>$B$3+$B$5*54</f>
        <v/>
      </c>
      <c r="B3335">
        <f>$B$3+$B$5*29</f>
        <v/>
      </c>
      <c r="C3335">
        <f>SUMPRODUCT(Calc!$K$3:$K$22*(Calc!$G$3:$G$22&lt;=A3335))</f>
        <v/>
      </c>
      <c r="D3335">
        <f>SUMPRODUCT(Calc!$K$3:$K$22*(Calc!$G$3:$G$22&gt;A3335)*(Calc!$G$3:$G$22&lt;B3335))</f>
        <v/>
      </c>
      <c r="E3335">
        <f>SUMPRODUCT(Calc!$K$3:$K$22*(Calc!$G$3:$G$22&gt;=B3335))</f>
        <v/>
      </c>
      <c r="F3335">
        <f>AND(k_n&gt;=5,B3335&gt;A3335+1E-9,C3335&gt;=2,D3335&gt;=1,E3335&gt;=2)</f>
        <v/>
      </c>
      <c r="G3335">
        <f>SUMPRODUCT(Calc!$K$3:$K$22*(Calc!$G$3:$G$22&gt;A3335)*(Calc!$G$3:$G$22-A3335))</f>
        <v/>
      </c>
      <c r="H3335">
        <f>SUMPRODUCT(Calc!$K$3:$K$22*(Calc!$G$3:$G$22&gt;B3335)*(Calc!$G$3:$G$22-B3335))</f>
        <v/>
      </c>
      <c r="I3335">
        <f>SUMPRODUCT(Calc!$K$3:$K$22*(Calc!$G$3:$G$22&gt;A3335)*(Calc!$G$3:$G$22-A3335)^2)</f>
        <v/>
      </c>
      <c r="J3335">
        <f>SUMPRODUCT(Calc!$K$3:$K$22*(Calc!$G$3:$G$22&gt;B3335)*(Calc!$G$3:$G$22-B3335)^2)</f>
        <v/>
      </c>
      <c r="K3335">
        <f>SUMPRODUCT(Calc!$K$3:$K$22*(Calc!$G$3:$G$22&gt;A3335)*(Calc!$G$3:$G$22-A3335)*(Calc!$G$3:$G$22&gt;B3335)*(Calc!$G$3:$G$22-B3335))</f>
        <v/>
      </c>
      <c r="L3335">
        <f>SUMPRODUCT(Calc!$K$3:$K$22*(Calc!$G$3:$G$22&gt;A3335)*(Calc!$G$3:$G$22-A3335)*Calc!$G$3:$G$22)</f>
        <v/>
      </c>
      <c r="M3335">
        <f>SUMPRODUCT(Calc!$K$3:$K$22*(Calc!$G$3:$G$22&gt;B3335)*(Calc!$G$3:$G$22-B3335)*Calc!$G$3:$G$22)</f>
        <v/>
      </c>
      <c r="N3335">
        <f>SUMPRODUCT(Calc!$K$3:$K$22*(Calc!$G$3:$G$22&gt;A3335)*(Calc!$G$3:$G$22-A3335)*Calc!$I$3:$I$22)</f>
        <v/>
      </c>
      <c r="O3335">
        <f>SUMPRODUCT(Calc!$K$3:$K$22*(Calc!$G$3:$G$22&gt;B3335)*(Calc!$G$3:$G$22-B3335)*Calc!$I$3:$I$22)</f>
        <v/>
      </c>
      <c r="P3335">
        <f>I3335-G3335^2/k_n</f>
        <v/>
      </c>
      <c r="Q3335">
        <f>J3335-H3335^2/k_n</f>
        <v/>
      </c>
      <c r="R3335">
        <f>K3335-G3335*H3335/k_n</f>
        <v/>
      </c>
      <c r="S3335">
        <f>L3335-LTP3!$D$3*G3335/k_n</f>
        <v/>
      </c>
      <c r="T3335">
        <f>M3335-LTP3!$D$3*H3335/k_n</f>
        <v/>
      </c>
      <c r="U3335">
        <f>N3335-G3335*LTP3!$D$4/k_n</f>
        <v/>
      </c>
      <c r="V3335">
        <f>O3335-H3335*LTP3!$D$4/k_n</f>
        <v/>
      </c>
      <c r="W3335">
        <f>((LTP3!$D$5)*((P3335)*(Q3335)-(R3335)*(R3335))-(S3335)*((S3335)*(Q3335)-(R3335)*(T3335))+(T3335)*((S3335)*(R3335)-(P3335)*(T3335)))</f>
        <v/>
      </c>
      <c r="X3335">
        <f>IF(ABS(W3335)&gt;1E-12,((LTP3!$D$6)*((P3335)*(Q3335)-(R3335)*(R3335))-(S3335)*((U3335)*(Q3335)-(R3335)*(V3335))+(T3335)*((U3335)*(R3335)-(P3335)*(V3335)))/W3335,0)</f>
        <v/>
      </c>
      <c r="Y3335">
        <f>IF(ABS(W3335)&gt;1E-12,((LTP3!$D$5)*((U3335)*(Q3335)-(R3335)*(V3335))-(LTP3!$D$6)*((S3335)*(Q3335)-(R3335)*(T3335))+(T3335)*((S3335)*(V3335)-(U3335)*(T3335)))/W3335,0)</f>
        <v/>
      </c>
      <c r="Z3335">
        <f>IF(ABS(W3335)&gt;1E-12,((LTP3!$D$5)*((P3335)*(V3335)-(U3335)*(R3335))-(S3335)*((S3335)*(V3335)-(U3335)*(T3335))+(LTP3!$D$6)*((S3335)*(R3335)-(P3335)*(T3335)))/W3335,0)</f>
        <v/>
      </c>
      <c r="AA3335">
        <f>LTP3!$D$7-X3335*LTP3!$D$6-Y3335*U3335-Z3335*V3335</f>
        <v/>
      </c>
      <c r="AB3335">
        <f>IF(AND(F3335,ABS(W3335)&gt;1E-12,Y3335&gt;0,Z3335&gt;0),AA3335,1E+300)</f>
        <v/>
      </c>
    </row>
    <row r="3336">
      <c r="A3336">
        <f>$B$3+$B$5*54</f>
        <v/>
      </c>
      <c r="B3336">
        <f>$B$3+$B$5*30</f>
        <v/>
      </c>
      <c r="C3336">
        <f>SUMPRODUCT(Calc!$K$3:$K$22*(Calc!$G$3:$G$22&lt;=A3336))</f>
        <v/>
      </c>
      <c r="D3336">
        <f>SUMPRODUCT(Calc!$K$3:$K$22*(Calc!$G$3:$G$22&gt;A3336)*(Calc!$G$3:$G$22&lt;B3336))</f>
        <v/>
      </c>
      <c r="E3336">
        <f>SUMPRODUCT(Calc!$K$3:$K$22*(Calc!$G$3:$G$22&gt;=B3336))</f>
        <v/>
      </c>
      <c r="F3336">
        <f>AND(k_n&gt;=5,B3336&gt;A3336+1E-9,C3336&gt;=2,D3336&gt;=1,E3336&gt;=2)</f>
        <v/>
      </c>
      <c r="G3336">
        <f>SUMPRODUCT(Calc!$K$3:$K$22*(Calc!$G$3:$G$22&gt;A3336)*(Calc!$G$3:$G$22-A3336))</f>
        <v/>
      </c>
      <c r="H3336">
        <f>SUMPRODUCT(Calc!$K$3:$K$22*(Calc!$G$3:$G$22&gt;B3336)*(Calc!$G$3:$G$22-B3336))</f>
        <v/>
      </c>
      <c r="I3336">
        <f>SUMPRODUCT(Calc!$K$3:$K$22*(Calc!$G$3:$G$22&gt;A3336)*(Calc!$G$3:$G$22-A3336)^2)</f>
        <v/>
      </c>
      <c r="J3336">
        <f>SUMPRODUCT(Calc!$K$3:$K$22*(Calc!$G$3:$G$22&gt;B3336)*(Calc!$G$3:$G$22-B3336)^2)</f>
        <v/>
      </c>
      <c r="K3336">
        <f>SUMPRODUCT(Calc!$K$3:$K$22*(Calc!$G$3:$G$22&gt;A3336)*(Calc!$G$3:$G$22-A3336)*(Calc!$G$3:$G$22&gt;B3336)*(Calc!$G$3:$G$22-B3336))</f>
        <v/>
      </c>
      <c r="L3336">
        <f>SUMPRODUCT(Calc!$K$3:$K$22*(Calc!$G$3:$G$22&gt;A3336)*(Calc!$G$3:$G$22-A3336)*Calc!$G$3:$G$22)</f>
        <v/>
      </c>
      <c r="M3336">
        <f>SUMPRODUCT(Calc!$K$3:$K$22*(Calc!$G$3:$G$22&gt;B3336)*(Calc!$G$3:$G$22-B3336)*Calc!$G$3:$G$22)</f>
        <v/>
      </c>
      <c r="N3336">
        <f>SUMPRODUCT(Calc!$K$3:$K$22*(Calc!$G$3:$G$22&gt;A3336)*(Calc!$G$3:$G$22-A3336)*Calc!$I$3:$I$22)</f>
        <v/>
      </c>
      <c r="O3336">
        <f>SUMPRODUCT(Calc!$K$3:$K$22*(Calc!$G$3:$G$22&gt;B3336)*(Calc!$G$3:$G$22-B3336)*Calc!$I$3:$I$22)</f>
        <v/>
      </c>
      <c r="P3336">
        <f>I3336-G3336^2/k_n</f>
        <v/>
      </c>
      <c r="Q3336">
        <f>J3336-H3336^2/k_n</f>
        <v/>
      </c>
      <c r="R3336">
        <f>K3336-G3336*H3336/k_n</f>
        <v/>
      </c>
      <c r="S3336">
        <f>L3336-LTP3!$D$3*G3336/k_n</f>
        <v/>
      </c>
      <c r="T3336">
        <f>M3336-LTP3!$D$3*H3336/k_n</f>
        <v/>
      </c>
      <c r="U3336">
        <f>N3336-G3336*LTP3!$D$4/k_n</f>
        <v/>
      </c>
      <c r="V3336">
        <f>O3336-H3336*LTP3!$D$4/k_n</f>
        <v/>
      </c>
      <c r="W3336">
        <f>((LTP3!$D$5)*((P3336)*(Q3336)-(R3336)*(R3336))-(S3336)*((S3336)*(Q3336)-(R3336)*(T3336))+(T3336)*((S3336)*(R3336)-(P3336)*(T3336)))</f>
        <v/>
      </c>
      <c r="X3336">
        <f>IF(ABS(W3336)&gt;1E-12,((LTP3!$D$6)*((P3336)*(Q3336)-(R3336)*(R3336))-(S3336)*((U3336)*(Q3336)-(R3336)*(V3336))+(T3336)*((U3336)*(R3336)-(P3336)*(V3336)))/W3336,0)</f>
        <v/>
      </c>
      <c r="Y3336">
        <f>IF(ABS(W3336)&gt;1E-12,((LTP3!$D$5)*((U3336)*(Q3336)-(R3336)*(V3336))-(LTP3!$D$6)*((S3336)*(Q3336)-(R3336)*(T3336))+(T3336)*((S3336)*(V3336)-(U3336)*(T3336)))/W3336,0)</f>
        <v/>
      </c>
      <c r="Z3336">
        <f>IF(ABS(W3336)&gt;1E-12,((LTP3!$D$5)*((P3336)*(V3336)-(U3336)*(R3336))-(S3336)*((S3336)*(V3336)-(U3336)*(T3336))+(LTP3!$D$6)*((S3336)*(R3336)-(P3336)*(T3336)))/W3336,0)</f>
        <v/>
      </c>
      <c r="AA3336">
        <f>LTP3!$D$7-X3336*LTP3!$D$6-Y3336*U3336-Z3336*V3336</f>
        <v/>
      </c>
      <c r="AB3336">
        <f>IF(AND(F3336,ABS(W3336)&gt;1E-12,Y3336&gt;0,Z3336&gt;0),AA3336,1E+300)</f>
        <v/>
      </c>
    </row>
    <row r="3337">
      <c r="A3337">
        <f>$B$3+$B$5*54</f>
        <v/>
      </c>
      <c r="B3337">
        <f>$B$3+$B$5*31</f>
        <v/>
      </c>
      <c r="C3337">
        <f>SUMPRODUCT(Calc!$K$3:$K$22*(Calc!$G$3:$G$22&lt;=A3337))</f>
        <v/>
      </c>
      <c r="D3337">
        <f>SUMPRODUCT(Calc!$K$3:$K$22*(Calc!$G$3:$G$22&gt;A3337)*(Calc!$G$3:$G$22&lt;B3337))</f>
        <v/>
      </c>
      <c r="E3337">
        <f>SUMPRODUCT(Calc!$K$3:$K$22*(Calc!$G$3:$G$22&gt;=B3337))</f>
        <v/>
      </c>
      <c r="F3337">
        <f>AND(k_n&gt;=5,B3337&gt;A3337+1E-9,C3337&gt;=2,D3337&gt;=1,E3337&gt;=2)</f>
        <v/>
      </c>
      <c r="G3337">
        <f>SUMPRODUCT(Calc!$K$3:$K$22*(Calc!$G$3:$G$22&gt;A3337)*(Calc!$G$3:$G$22-A3337))</f>
        <v/>
      </c>
      <c r="H3337">
        <f>SUMPRODUCT(Calc!$K$3:$K$22*(Calc!$G$3:$G$22&gt;B3337)*(Calc!$G$3:$G$22-B3337))</f>
        <v/>
      </c>
      <c r="I3337">
        <f>SUMPRODUCT(Calc!$K$3:$K$22*(Calc!$G$3:$G$22&gt;A3337)*(Calc!$G$3:$G$22-A3337)^2)</f>
        <v/>
      </c>
      <c r="J3337">
        <f>SUMPRODUCT(Calc!$K$3:$K$22*(Calc!$G$3:$G$22&gt;B3337)*(Calc!$G$3:$G$22-B3337)^2)</f>
        <v/>
      </c>
      <c r="K3337">
        <f>SUMPRODUCT(Calc!$K$3:$K$22*(Calc!$G$3:$G$22&gt;A3337)*(Calc!$G$3:$G$22-A3337)*(Calc!$G$3:$G$22&gt;B3337)*(Calc!$G$3:$G$22-B3337))</f>
        <v/>
      </c>
      <c r="L3337">
        <f>SUMPRODUCT(Calc!$K$3:$K$22*(Calc!$G$3:$G$22&gt;A3337)*(Calc!$G$3:$G$22-A3337)*Calc!$G$3:$G$22)</f>
        <v/>
      </c>
      <c r="M3337">
        <f>SUMPRODUCT(Calc!$K$3:$K$22*(Calc!$G$3:$G$22&gt;B3337)*(Calc!$G$3:$G$22-B3337)*Calc!$G$3:$G$22)</f>
        <v/>
      </c>
      <c r="N3337">
        <f>SUMPRODUCT(Calc!$K$3:$K$22*(Calc!$G$3:$G$22&gt;A3337)*(Calc!$G$3:$G$22-A3337)*Calc!$I$3:$I$22)</f>
        <v/>
      </c>
      <c r="O3337">
        <f>SUMPRODUCT(Calc!$K$3:$K$22*(Calc!$G$3:$G$22&gt;B3337)*(Calc!$G$3:$G$22-B3337)*Calc!$I$3:$I$22)</f>
        <v/>
      </c>
      <c r="P3337">
        <f>I3337-G3337^2/k_n</f>
        <v/>
      </c>
      <c r="Q3337">
        <f>J3337-H3337^2/k_n</f>
        <v/>
      </c>
      <c r="R3337">
        <f>K3337-G3337*H3337/k_n</f>
        <v/>
      </c>
      <c r="S3337">
        <f>L3337-LTP3!$D$3*G3337/k_n</f>
        <v/>
      </c>
      <c r="T3337">
        <f>M3337-LTP3!$D$3*H3337/k_n</f>
        <v/>
      </c>
      <c r="U3337">
        <f>N3337-G3337*LTP3!$D$4/k_n</f>
        <v/>
      </c>
      <c r="V3337">
        <f>O3337-H3337*LTP3!$D$4/k_n</f>
        <v/>
      </c>
      <c r="W3337">
        <f>((LTP3!$D$5)*((P3337)*(Q3337)-(R3337)*(R3337))-(S3337)*((S3337)*(Q3337)-(R3337)*(T3337))+(T3337)*((S3337)*(R3337)-(P3337)*(T3337)))</f>
        <v/>
      </c>
      <c r="X3337">
        <f>IF(ABS(W3337)&gt;1E-12,((LTP3!$D$6)*((P3337)*(Q3337)-(R3337)*(R3337))-(S3337)*((U3337)*(Q3337)-(R3337)*(V3337))+(T3337)*((U3337)*(R3337)-(P3337)*(V3337)))/W3337,0)</f>
        <v/>
      </c>
      <c r="Y3337">
        <f>IF(ABS(W3337)&gt;1E-12,((LTP3!$D$5)*((U3337)*(Q3337)-(R3337)*(V3337))-(LTP3!$D$6)*((S3337)*(Q3337)-(R3337)*(T3337))+(T3337)*((S3337)*(V3337)-(U3337)*(T3337)))/W3337,0)</f>
        <v/>
      </c>
      <c r="Z3337">
        <f>IF(ABS(W3337)&gt;1E-12,((LTP3!$D$5)*((P3337)*(V3337)-(U3337)*(R3337))-(S3337)*((S3337)*(V3337)-(U3337)*(T3337))+(LTP3!$D$6)*((S3337)*(R3337)-(P3337)*(T3337)))/W3337,0)</f>
        <v/>
      </c>
      <c r="AA3337">
        <f>LTP3!$D$7-X3337*LTP3!$D$6-Y3337*U3337-Z3337*V3337</f>
        <v/>
      </c>
      <c r="AB3337">
        <f>IF(AND(F3337,ABS(W3337)&gt;1E-12,Y3337&gt;0,Z3337&gt;0),AA3337,1E+300)</f>
        <v/>
      </c>
    </row>
    <row r="3338">
      <c r="A3338">
        <f>$B$3+$B$5*54</f>
        <v/>
      </c>
      <c r="B3338">
        <f>$B$3+$B$5*32</f>
        <v/>
      </c>
      <c r="C3338">
        <f>SUMPRODUCT(Calc!$K$3:$K$22*(Calc!$G$3:$G$22&lt;=A3338))</f>
        <v/>
      </c>
      <c r="D3338">
        <f>SUMPRODUCT(Calc!$K$3:$K$22*(Calc!$G$3:$G$22&gt;A3338)*(Calc!$G$3:$G$22&lt;B3338))</f>
        <v/>
      </c>
      <c r="E3338">
        <f>SUMPRODUCT(Calc!$K$3:$K$22*(Calc!$G$3:$G$22&gt;=B3338))</f>
        <v/>
      </c>
      <c r="F3338">
        <f>AND(k_n&gt;=5,B3338&gt;A3338+1E-9,C3338&gt;=2,D3338&gt;=1,E3338&gt;=2)</f>
        <v/>
      </c>
      <c r="G3338">
        <f>SUMPRODUCT(Calc!$K$3:$K$22*(Calc!$G$3:$G$22&gt;A3338)*(Calc!$G$3:$G$22-A3338))</f>
        <v/>
      </c>
      <c r="H3338">
        <f>SUMPRODUCT(Calc!$K$3:$K$22*(Calc!$G$3:$G$22&gt;B3338)*(Calc!$G$3:$G$22-B3338))</f>
        <v/>
      </c>
      <c r="I3338">
        <f>SUMPRODUCT(Calc!$K$3:$K$22*(Calc!$G$3:$G$22&gt;A3338)*(Calc!$G$3:$G$22-A3338)^2)</f>
        <v/>
      </c>
      <c r="J3338">
        <f>SUMPRODUCT(Calc!$K$3:$K$22*(Calc!$G$3:$G$22&gt;B3338)*(Calc!$G$3:$G$22-B3338)^2)</f>
        <v/>
      </c>
      <c r="K3338">
        <f>SUMPRODUCT(Calc!$K$3:$K$22*(Calc!$G$3:$G$22&gt;A3338)*(Calc!$G$3:$G$22-A3338)*(Calc!$G$3:$G$22&gt;B3338)*(Calc!$G$3:$G$22-B3338))</f>
        <v/>
      </c>
      <c r="L3338">
        <f>SUMPRODUCT(Calc!$K$3:$K$22*(Calc!$G$3:$G$22&gt;A3338)*(Calc!$G$3:$G$22-A3338)*Calc!$G$3:$G$22)</f>
        <v/>
      </c>
      <c r="M3338">
        <f>SUMPRODUCT(Calc!$K$3:$K$22*(Calc!$G$3:$G$22&gt;B3338)*(Calc!$G$3:$G$22-B3338)*Calc!$G$3:$G$22)</f>
        <v/>
      </c>
      <c r="N3338">
        <f>SUMPRODUCT(Calc!$K$3:$K$22*(Calc!$G$3:$G$22&gt;A3338)*(Calc!$G$3:$G$22-A3338)*Calc!$I$3:$I$22)</f>
        <v/>
      </c>
      <c r="O3338">
        <f>SUMPRODUCT(Calc!$K$3:$K$22*(Calc!$G$3:$G$22&gt;B3338)*(Calc!$G$3:$G$22-B3338)*Calc!$I$3:$I$22)</f>
        <v/>
      </c>
      <c r="P3338">
        <f>I3338-G3338^2/k_n</f>
        <v/>
      </c>
      <c r="Q3338">
        <f>J3338-H3338^2/k_n</f>
        <v/>
      </c>
      <c r="R3338">
        <f>K3338-G3338*H3338/k_n</f>
        <v/>
      </c>
      <c r="S3338">
        <f>L3338-LTP3!$D$3*G3338/k_n</f>
        <v/>
      </c>
      <c r="T3338">
        <f>M3338-LTP3!$D$3*H3338/k_n</f>
        <v/>
      </c>
      <c r="U3338">
        <f>N3338-G3338*LTP3!$D$4/k_n</f>
        <v/>
      </c>
      <c r="V3338">
        <f>O3338-H3338*LTP3!$D$4/k_n</f>
        <v/>
      </c>
      <c r="W3338">
        <f>((LTP3!$D$5)*((P3338)*(Q3338)-(R3338)*(R3338))-(S3338)*((S3338)*(Q3338)-(R3338)*(T3338))+(T3338)*((S3338)*(R3338)-(P3338)*(T3338)))</f>
        <v/>
      </c>
      <c r="X3338">
        <f>IF(ABS(W3338)&gt;1E-12,((LTP3!$D$6)*((P3338)*(Q3338)-(R3338)*(R3338))-(S3338)*((U3338)*(Q3338)-(R3338)*(V3338))+(T3338)*((U3338)*(R3338)-(P3338)*(V3338)))/W3338,0)</f>
        <v/>
      </c>
      <c r="Y3338">
        <f>IF(ABS(W3338)&gt;1E-12,((LTP3!$D$5)*((U3338)*(Q3338)-(R3338)*(V3338))-(LTP3!$D$6)*((S3338)*(Q3338)-(R3338)*(T3338))+(T3338)*((S3338)*(V3338)-(U3338)*(T3338)))/W3338,0)</f>
        <v/>
      </c>
      <c r="Z3338">
        <f>IF(ABS(W3338)&gt;1E-12,((LTP3!$D$5)*((P3338)*(V3338)-(U3338)*(R3338))-(S3338)*((S3338)*(V3338)-(U3338)*(T3338))+(LTP3!$D$6)*((S3338)*(R3338)-(P3338)*(T3338)))/W3338,0)</f>
        <v/>
      </c>
      <c r="AA3338">
        <f>LTP3!$D$7-X3338*LTP3!$D$6-Y3338*U3338-Z3338*V3338</f>
        <v/>
      </c>
      <c r="AB3338">
        <f>IF(AND(F3338,ABS(W3338)&gt;1E-12,Y3338&gt;0,Z3338&gt;0),AA3338,1E+300)</f>
        <v/>
      </c>
    </row>
    <row r="3339">
      <c r="A3339">
        <f>$B$3+$B$5*54</f>
        <v/>
      </c>
      <c r="B3339">
        <f>$B$3+$B$5*33</f>
        <v/>
      </c>
      <c r="C3339">
        <f>SUMPRODUCT(Calc!$K$3:$K$22*(Calc!$G$3:$G$22&lt;=A3339))</f>
        <v/>
      </c>
      <c r="D3339">
        <f>SUMPRODUCT(Calc!$K$3:$K$22*(Calc!$G$3:$G$22&gt;A3339)*(Calc!$G$3:$G$22&lt;B3339))</f>
        <v/>
      </c>
      <c r="E3339">
        <f>SUMPRODUCT(Calc!$K$3:$K$22*(Calc!$G$3:$G$22&gt;=B3339))</f>
        <v/>
      </c>
      <c r="F3339">
        <f>AND(k_n&gt;=5,B3339&gt;A3339+1E-9,C3339&gt;=2,D3339&gt;=1,E3339&gt;=2)</f>
        <v/>
      </c>
      <c r="G3339">
        <f>SUMPRODUCT(Calc!$K$3:$K$22*(Calc!$G$3:$G$22&gt;A3339)*(Calc!$G$3:$G$22-A3339))</f>
        <v/>
      </c>
      <c r="H3339">
        <f>SUMPRODUCT(Calc!$K$3:$K$22*(Calc!$G$3:$G$22&gt;B3339)*(Calc!$G$3:$G$22-B3339))</f>
        <v/>
      </c>
      <c r="I3339">
        <f>SUMPRODUCT(Calc!$K$3:$K$22*(Calc!$G$3:$G$22&gt;A3339)*(Calc!$G$3:$G$22-A3339)^2)</f>
        <v/>
      </c>
      <c r="J3339">
        <f>SUMPRODUCT(Calc!$K$3:$K$22*(Calc!$G$3:$G$22&gt;B3339)*(Calc!$G$3:$G$22-B3339)^2)</f>
        <v/>
      </c>
      <c r="K3339">
        <f>SUMPRODUCT(Calc!$K$3:$K$22*(Calc!$G$3:$G$22&gt;A3339)*(Calc!$G$3:$G$22-A3339)*(Calc!$G$3:$G$22&gt;B3339)*(Calc!$G$3:$G$22-B3339))</f>
        <v/>
      </c>
      <c r="L3339">
        <f>SUMPRODUCT(Calc!$K$3:$K$22*(Calc!$G$3:$G$22&gt;A3339)*(Calc!$G$3:$G$22-A3339)*Calc!$G$3:$G$22)</f>
        <v/>
      </c>
      <c r="M3339">
        <f>SUMPRODUCT(Calc!$K$3:$K$22*(Calc!$G$3:$G$22&gt;B3339)*(Calc!$G$3:$G$22-B3339)*Calc!$G$3:$G$22)</f>
        <v/>
      </c>
      <c r="N3339">
        <f>SUMPRODUCT(Calc!$K$3:$K$22*(Calc!$G$3:$G$22&gt;A3339)*(Calc!$G$3:$G$22-A3339)*Calc!$I$3:$I$22)</f>
        <v/>
      </c>
      <c r="O3339">
        <f>SUMPRODUCT(Calc!$K$3:$K$22*(Calc!$G$3:$G$22&gt;B3339)*(Calc!$G$3:$G$22-B3339)*Calc!$I$3:$I$22)</f>
        <v/>
      </c>
      <c r="P3339">
        <f>I3339-G3339^2/k_n</f>
        <v/>
      </c>
      <c r="Q3339">
        <f>J3339-H3339^2/k_n</f>
        <v/>
      </c>
      <c r="R3339">
        <f>K3339-G3339*H3339/k_n</f>
        <v/>
      </c>
      <c r="S3339">
        <f>L3339-LTP3!$D$3*G3339/k_n</f>
        <v/>
      </c>
      <c r="T3339">
        <f>M3339-LTP3!$D$3*H3339/k_n</f>
        <v/>
      </c>
      <c r="U3339">
        <f>N3339-G3339*LTP3!$D$4/k_n</f>
        <v/>
      </c>
      <c r="V3339">
        <f>O3339-H3339*LTP3!$D$4/k_n</f>
        <v/>
      </c>
      <c r="W3339">
        <f>((LTP3!$D$5)*((P3339)*(Q3339)-(R3339)*(R3339))-(S3339)*((S3339)*(Q3339)-(R3339)*(T3339))+(T3339)*((S3339)*(R3339)-(P3339)*(T3339)))</f>
        <v/>
      </c>
      <c r="X3339">
        <f>IF(ABS(W3339)&gt;1E-12,((LTP3!$D$6)*((P3339)*(Q3339)-(R3339)*(R3339))-(S3339)*((U3339)*(Q3339)-(R3339)*(V3339))+(T3339)*((U3339)*(R3339)-(P3339)*(V3339)))/W3339,0)</f>
        <v/>
      </c>
      <c r="Y3339">
        <f>IF(ABS(W3339)&gt;1E-12,((LTP3!$D$5)*((U3339)*(Q3339)-(R3339)*(V3339))-(LTP3!$D$6)*((S3339)*(Q3339)-(R3339)*(T3339))+(T3339)*((S3339)*(V3339)-(U3339)*(T3339)))/W3339,0)</f>
        <v/>
      </c>
      <c r="Z3339">
        <f>IF(ABS(W3339)&gt;1E-12,((LTP3!$D$5)*((P3339)*(V3339)-(U3339)*(R3339))-(S3339)*((S3339)*(V3339)-(U3339)*(T3339))+(LTP3!$D$6)*((S3339)*(R3339)-(P3339)*(T3339)))/W3339,0)</f>
        <v/>
      </c>
      <c r="AA3339">
        <f>LTP3!$D$7-X3339*LTP3!$D$6-Y3339*U3339-Z3339*V3339</f>
        <v/>
      </c>
      <c r="AB3339">
        <f>IF(AND(F3339,ABS(W3339)&gt;1E-12,Y3339&gt;0,Z3339&gt;0),AA3339,1E+300)</f>
        <v/>
      </c>
    </row>
    <row r="3340">
      <c r="A3340">
        <f>$B$3+$B$5*54</f>
        <v/>
      </c>
      <c r="B3340">
        <f>$B$3+$B$5*34</f>
        <v/>
      </c>
      <c r="C3340">
        <f>SUMPRODUCT(Calc!$K$3:$K$22*(Calc!$G$3:$G$22&lt;=A3340))</f>
        <v/>
      </c>
      <c r="D3340">
        <f>SUMPRODUCT(Calc!$K$3:$K$22*(Calc!$G$3:$G$22&gt;A3340)*(Calc!$G$3:$G$22&lt;B3340))</f>
        <v/>
      </c>
      <c r="E3340">
        <f>SUMPRODUCT(Calc!$K$3:$K$22*(Calc!$G$3:$G$22&gt;=B3340))</f>
        <v/>
      </c>
      <c r="F3340">
        <f>AND(k_n&gt;=5,B3340&gt;A3340+1E-9,C3340&gt;=2,D3340&gt;=1,E3340&gt;=2)</f>
        <v/>
      </c>
      <c r="G3340">
        <f>SUMPRODUCT(Calc!$K$3:$K$22*(Calc!$G$3:$G$22&gt;A3340)*(Calc!$G$3:$G$22-A3340))</f>
        <v/>
      </c>
      <c r="H3340">
        <f>SUMPRODUCT(Calc!$K$3:$K$22*(Calc!$G$3:$G$22&gt;B3340)*(Calc!$G$3:$G$22-B3340))</f>
        <v/>
      </c>
      <c r="I3340">
        <f>SUMPRODUCT(Calc!$K$3:$K$22*(Calc!$G$3:$G$22&gt;A3340)*(Calc!$G$3:$G$22-A3340)^2)</f>
        <v/>
      </c>
      <c r="J3340">
        <f>SUMPRODUCT(Calc!$K$3:$K$22*(Calc!$G$3:$G$22&gt;B3340)*(Calc!$G$3:$G$22-B3340)^2)</f>
        <v/>
      </c>
      <c r="K3340">
        <f>SUMPRODUCT(Calc!$K$3:$K$22*(Calc!$G$3:$G$22&gt;A3340)*(Calc!$G$3:$G$22-A3340)*(Calc!$G$3:$G$22&gt;B3340)*(Calc!$G$3:$G$22-B3340))</f>
        <v/>
      </c>
      <c r="L3340">
        <f>SUMPRODUCT(Calc!$K$3:$K$22*(Calc!$G$3:$G$22&gt;A3340)*(Calc!$G$3:$G$22-A3340)*Calc!$G$3:$G$22)</f>
        <v/>
      </c>
      <c r="M3340">
        <f>SUMPRODUCT(Calc!$K$3:$K$22*(Calc!$G$3:$G$22&gt;B3340)*(Calc!$G$3:$G$22-B3340)*Calc!$G$3:$G$22)</f>
        <v/>
      </c>
      <c r="N3340">
        <f>SUMPRODUCT(Calc!$K$3:$K$22*(Calc!$G$3:$G$22&gt;A3340)*(Calc!$G$3:$G$22-A3340)*Calc!$I$3:$I$22)</f>
        <v/>
      </c>
      <c r="O3340">
        <f>SUMPRODUCT(Calc!$K$3:$K$22*(Calc!$G$3:$G$22&gt;B3340)*(Calc!$G$3:$G$22-B3340)*Calc!$I$3:$I$22)</f>
        <v/>
      </c>
      <c r="P3340">
        <f>I3340-G3340^2/k_n</f>
        <v/>
      </c>
      <c r="Q3340">
        <f>J3340-H3340^2/k_n</f>
        <v/>
      </c>
      <c r="R3340">
        <f>K3340-G3340*H3340/k_n</f>
        <v/>
      </c>
      <c r="S3340">
        <f>L3340-LTP3!$D$3*G3340/k_n</f>
        <v/>
      </c>
      <c r="T3340">
        <f>M3340-LTP3!$D$3*H3340/k_n</f>
        <v/>
      </c>
      <c r="U3340">
        <f>N3340-G3340*LTP3!$D$4/k_n</f>
        <v/>
      </c>
      <c r="V3340">
        <f>O3340-H3340*LTP3!$D$4/k_n</f>
        <v/>
      </c>
      <c r="W3340">
        <f>((LTP3!$D$5)*((P3340)*(Q3340)-(R3340)*(R3340))-(S3340)*((S3340)*(Q3340)-(R3340)*(T3340))+(T3340)*((S3340)*(R3340)-(P3340)*(T3340)))</f>
        <v/>
      </c>
      <c r="X3340">
        <f>IF(ABS(W3340)&gt;1E-12,((LTP3!$D$6)*((P3340)*(Q3340)-(R3340)*(R3340))-(S3340)*((U3340)*(Q3340)-(R3340)*(V3340))+(T3340)*((U3340)*(R3340)-(P3340)*(V3340)))/W3340,0)</f>
        <v/>
      </c>
      <c r="Y3340">
        <f>IF(ABS(W3340)&gt;1E-12,((LTP3!$D$5)*((U3340)*(Q3340)-(R3340)*(V3340))-(LTP3!$D$6)*((S3340)*(Q3340)-(R3340)*(T3340))+(T3340)*((S3340)*(V3340)-(U3340)*(T3340)))/W3340,0)</f>
        <v/>
      </c>
      <c r="Z3340">
        <f>IF(ABS(W3340)&gt;1E-12,((LTP3!$D$5)*((P3340)*(V3340)-(U3340)*(R3340))-(S3340)*((S3340)*(V3340)-(U3340)*(T3340))+(LTP3!$D$6)*((S3340)*(R3340)-(P3340)*(T3340)))/W3340,0)</f>
        <v/>
      </c>
      <c r="AA3340">
        <f>LTP3!$D$7-X3340*LTP3!$D$6-Y3340*U3340-Z3340*V3340</f>
        <v/>
      </c>
      <c r="AB3340">
        <f>IF(AND(F3340,ABS(W3340)&gt;1E-12,Y3340&gt;0,Z3340&gt;0),AA3340,1E+300)</f>
        <v/>
      </c>
    </row>
    <row r="3341">
      <c r="A3341">
        <f>$B$3+$B$5*54</f>
        <v/>
      </c>
      <c r="B3341">
        <f>$B$3+$B$5*35</f>
        <v/>
      </c>
      <c r="C3341">
        <f>SUMPRODUCT(Calc!$K$3:$K$22*(Calc!$G$3:$G$22&lt;=A3341))</f>
        <v/>
      </c>
      <c r="D3341">
        <f>SUMPRODUCT(Calc!$K$3:$K$22*(Calc!$G$3:$G$22&gt;A3341)*(Calc!$G$3:$G$22&lt;B3341))</f>
        <v/>
      </c>
      <c r="E3341">
        <f>SUMPRODUCT(Calc!$K$3:$K$22*(Calc!$G$3:$G$22&gt;=B3341))</f>
        <v/>
      </c>
      <c r="F3341">
        <f>AND(k_n&gt;=5,B3341&gt;A3341+1E-9,C3341&gt;=2,D3341&gt;=1,E3341&gt;=2)</f>
        <v/>
      </c>
      <c r="G3341">
        <f>SUMPRODUCT(Calc!$K$3:$K$22*(Calc!$G$3:$G$22&gt;A3341)*(Calc!$G$3:$G$22-A3341))</f>
        <v/>
      </c>
      <c r="H3341">
        <f>SUMPRODUCT(Calc!$K$3:$K$22*(Calc!$G$3:$G$22&gt;B3341)*(Calc!$G$3:$G$22-B3341))</f>
        <v/>
      </c>
      <c r="I3341">
        <f>SUMPRODUCT(Calc!$K$3:$K$22*(Calc!$G$3:$G$22&gt;A3341)*(Calc!$G$3:$G$22-A3341)^2)</f>
        <v/>
      </c>
      <c r="J3341">
        <f>SUMPRODUCT(Calc!$K$3:$K$22*(Calc!$G$3:$G$22&gt;B3341)*(Calc!$G$3:$G$22-B3341)^2)</f>
        <v/>
      </c>
      <c r="K3341">
        <f>SUMPRODUCT(Calc!$K$3:$K$22*(Calc!$G$3:$G$22&gt;A3341)*(Calc!$G$3:$G$22-A3341)*(Calc!$G$3:$G$22&gt;B3341)*(Calc!$G$3:$G$22-B3341))</f>
        <v/>
      </c>
      <c r="L3341">
        <f>SUMPRODUCT(Calc!$K$3:$K$22*(Calc!$G$3:$G$22&gt;A3341)*(Calc!$G$3:$G$22-A3341)*Calc!$G$3:$G$22)</f>
        <v/>
      </c>
      <c r="M3341">
        <f>SUMPRODUCT(Calc!$K$3:$K$22*(Calc!$G$3:$G$22&gt;B3341)*(Calc!$G$3:$G$22-B3341)*Calc!$G$3:$G$22)</f>
        <v/>
      </c>
      <c r="N3341">
        <f>SUMPRODUCT(Calc!$K$3:$K$22*(Calc!$G$3:$G$22&gt;A3341)*(Calc!$G$3:$G$22-A3341)*Calc!$I$3:$I$22)</f>
        <v/>
      </c>
      <c r="O3341">
        <f>SUMPRODUCT(Calc!$K$3:$K$22*(Calc!$G$3:$G$22&gt;B3341)*(Calc!$G$3:$G$22-B3341)*Calc!$I$3:$I$22)</f>
        <v/>
      </c>
      <c r="P3341">
        <f>I3341-G3341^2/k_n</f>
        <v/>
      </c>
      <c r="Q3341">
        <f>J3341-H3341^2/k_n</f>
        <v/>
      </c>
      <c r="R3341">
        <f>K3341-G3341*H3341/k_n</f>
        <v/>
      </c>
      <c r="S3341">
        <f>L3341-LTP3!$D$3*G3341/k_n</f>
        <v/>
      </c>
      <c r="T3341">
        <f>M3341-LTP3!$D$3*H3341/k_n</f>
        <v/>
      </c>
      <c r="U3341">
        <f>N3341-G3341*LTP3!$D$4/k_n</f>
        <v/>
      </c>
      <c r="V3341">
        <f>O3341-H3341*LTP3!$D$4/k_n</f>
        <v/>
      </c>
      <c r="W3341">
        <f>((LTP3!$D$5)*((P3341)*(Q3341)-(R3341)*(R3341))-(S3341)*((S3341)*(Q3341)-(R3341)*(T3341))+(T3341)*((S3341)*(R3341)-(P3341)*(T3341)))</f>
        <v/>
      </c>
      <c r="X3341">
        <f>IF(ABS(W3341)&gt;1E-12,((LTP3!$D$6)*((P3341)*(Q3341)-(R3341)*(R3341))-(S3341)*((U3341)*(Q3341)-(R3341)*(V3341))+(T3341)*((U3341)*(R3341)-(P3341)*(V3341)))/W3341,0)</f>
        <v/>
      </c>
      <c r="Y3341">
        <f>IF(ABS(W3341)&gt;1E-12,((LTP3!$D$5)*((U3341)*(Q3341)-(R3341)*(V3341))-(LTP3!$D$6)*((S3341)*(Q3341)-(R3341)*(T3341))+(T3341)*((S3341)*(V3341)-(U3341)*(T3341)))/W3341,0)</f>
        <v/>
      </c>
      <c r="Z3341">
        <f>IF(ABS(W3341)&gt;1E-12,((LTP3!$D$5)*((P3341)*(V3341)-(U3341)*(R3341))-(S3341)*((S3341)*(V3341)-(U3341)*(T3341))+(LTP3!$D$6)*((S3341)*(R3341)-(P3341)*(T3341)))/W3341,0)</f>
        <v/>
      </c>
      <c r="AA3341">
        <f>LTP3!$D$7-X3341*LTP3!$D$6-Y3341*U3341-Z3341*V3341</f>
        <v/>
      </c>
      <c r="AB3341">
        <f>IF(AND(F3341,ABS(W3341)&gt;1E-12,Y3341&gt;0,Z3341&gt;0),AA3341,1E+300)</f>
        <v/>
      </c>
    </row>
    <row r="3342">
      <c r="A3342">
        <f>$B$3+$B$5*54</f>
        <v/>
      </c>
      <c r="B3342">
        <f>$B$3+$B$5*36</f>
        <v/>
      </c>
      <c r="C3342">
        <f>SUMPRODUCT(Calc!$K$3:$K$22*(Calc!$G$3:$G$22&lt;=A3342))</f>
        <v/>
      </c>
      <c r="D3342">
        <f>SUMPRODUCT(Calc!$K$3:$K$22*(Calc!$G$3:$G$22&gt;A3342)*(Calc!$G$3:$G$22&lt;B3342))</f>
        <v/>
      </c>
      <c r="E3342">
        <f>SUMPRODUCT(Calc!$K$3:$K$22*(Calc!$G$3:$G$22&gt;=B3342))</f>
        <v/>
      </c>
      <c r="F3342">
        <f>AND(k_n&gt;=5,B3342&gt;A3342+1E-9,C3342&gt;=2,D3342&gt;=1,E3342&gt;=2)</f>
        <v/>
      </c>
      <c r="G3342">
        <f>SUMPRODUCT(Calc!$K$3:$K$22*(Calc!$G$3:$G$22&gt;A3342)*(Calc!$G$3:$G$22-A3342))</f>
        <v/>
      </c>
      <c r="H3342">
        <f>SUMPRODUCT(Calc!$K$3:$K$22*(Calc!$G$3:$G$22&gt;B3342)*(Calc!$G$3:$G$22-B3342))</f>
        <v/>
      </c>
      <c r="I3342">
        <f>SUMPRODUCT(Calc!$K$3:$K$22*(Calc!$G$3:$G$22&gt;A3342)*(Calc!$G$3:$G$22-A3342)^2)</f>
        <v/>
      </c>
      <c r="J3342">
        <f>SUMPRODUCT(Calc!$K$3:$K$22*(Calc!$G$3:$G$22&gt;B3342)*(Calc!$G$3:$G$22-B3342)^2)</f>
        <v/>
      </c>
      <c r="K3342">
        <f>SUMPRODUCT(Calc!$K$3:$K$22*(Calc!$G$3:$G$22&gt;A3342)*(Calc!$G$3:$G$22-A3342)*(Calc!$G$3:$G$22&gt;B3342)*(Calc!$G$3:$G$22-B3342))</f>
        <v/>
      </c>
      <c r="L3342">
        <f>SUMPRODUCT(Calc!$K$3:$K$22*(Calc!$G$3:$G$22&gt;A3342)*(Calc!$G$3:$G$22-A3342)*Calc!$G$3:$G$22)</f>
        <v/>
      </c>
      <c r="M3342">
        <f>SUMPRODUCT(Calc!$K$3:$K$22*(Calc!$G$3:$G$22&gt;B3342)*(Calc!$G$3:$G$22-B3342)*Calc!$G$3:$G$22)</f>
        <v/>
      </c>
      <c r="N3342">
        <f>SUMPRODUCT(Calc!$K$3:$K$22*(Calc!$G$3:$G$22&gt;A3342)*(Calc!$G$3:$G$22-A3342)*Calc!$I$3:$I$22)</f>
        <v/>
      </c>
      <c r="O3342">
        <f>SUMPRODUCT(Calc!$K$3:$K$22*(Calc!$G$3:$G$22&gt;B3342)*(Calc!$G$3:$G$22-B3342)*Calc!$I$3:$I$22)</f>
        <v/>
      </c>
      <c r="P3342">
        <f>I3342-G3342^2/k_n</f>
        <v/>
      </c>
      <c r="Q3342">
        <f>J3342-H3342^2/k_n</f>
        <v/>
      </c>
      <c r="R3342">
        <f>K3342-G3342*H3342/k_n</f>
        <v/>
      </c>
      <c r="S3342">
        <f>L3342-LTP3!$D$3*G3342/k_n</f>
        <v/>
      </c>
      <c r="T3342">
        <f>M3342-LTP3!$D$3*H3342/k_n</f>
        <v/>
      </c>
      <c r="U3342">
        <f>N3342-G3342*LTP3!$D$4/k_n</f>
        <v/>
      </c>
      <c r="V3342">
        <f>O3342-H3342*LTP3!$D$4/k_n</f>
        <v/>
      </c>
      <c r="W3342">
        <f>((LTP3!$D$5)*((P3342)*(Q3342)-(R3342)*(R3342))-(S3342)*((S3342)*(Q3342)-(R3342)*(T3342))+(T3342)*((S3342)*(R3342)-(P3342)*(T3342)))</f>
        <v/>
      </c>
      <c r="X3342">
        <f>IF(ABS(W3342)&gt;1E-12,((LTP3!$D$6)*((P3342)*(Q3342)-(R3342)*(R3342))-(S3342)*((U3342)*(Q3342)-(R3342)*(V3342))+(T3342)*((U3342)*(R3342)-(P3342)*(V3342)))/W3342,0)</f>
        <v/>
      </c>
      <c r="Y3342">
        <f>IF(ABS(W3342)&gt;1E-12,((LTP3!$D$5)*((U3342)*(Q3342)-(R3342)*(V3342))-(LTP3!$D$6)*((S3342)*(Q3342)-(R3342)*(T3342))+(T3342)*((S3342)*(V3342)-(U3342)*(T3342)))/W3342,0)</f>
        <v/>
      </c>
      <c r="Z3342">
        <f>IF(ABS(W3342)&gt;1E-12,((LTP3!$D$5)*((P3342)*(V3342)-(U3342)*(R3342))-(S3342)*((S3342)*(V3342)-(U3342)*(T3342))+(LTP3!$D$6)*((S3342)*(R3342)-(P3342)*(T3342)))/W3342,0)</f>
        <v/>
      </c>
      <c r="AA3342">
        <f>LTP3!$D$7-X3342*LTP3!$D$6-Y3342*U3342-Z3342*V3342</f>
        <v/>
      </c>
      <c r="AB3342">
        <f>IF(AND(F3342,ABS(W3342)&gt;1E-12,Y3342&gt;0,Z3342&gt;0),AA3342,1E+300)</f>
        <v/>
      </c>
    </row>
    <row r="3343">
      <c r="A3343">
        <f>$B$3+$B$5*54</f>
        <v/>
      </c>
      <c r="B3343">
        <f>$B$3+$B$5*37</f>
        <v/>
      </c>
      <c r="C3343">
        <f>SUMPRODUCT(Calc!$K$3:$K$22*(Calc!$G$3:$G$22&lt;=A3343))</f>
        <v/>
      </c>
      <c r="D3343">
        <f>SUMPRODUCT(Calc!$K$3:$K$22*(Calc!$G$3:$G$22&gt;A3343)*(Calc!$G$3:$G$22&lt;B3343))</f>
        <v/>
      </c>
      <c r="E3343">
        <f>SUMPRODUCT(Calc!$K$3:$K$22*(Calc!$G$3:$G$22&gt;=B3343))</f>
        <v/>
      </c>
      <c r="F3343">
        <f>AND(k_n&gt;=5,B3343&gt;A3343+1E-9,C3343&gt;=2,D3343&gt;=1,E3343&gt;=2)</f>
        <v/>
      </c>
      <c r="G3343">
        <f>SUMPRODUCT(Calc!$K$3:$K$22*(Calc!$G$3:$G$22&gt;A3343)*(Calc!$G$3:$G$22-A3343))</f>
        <v/>
      </c>
      <c r="H3343">
        <f>SUMPRODUCT(Calc!$K$3:$K$22*(Calc!$G$3:$G$22&gt;B3343)*(Calc!$G$3:$G$22-B3343))</f>
        <v/>
      </c>
      <c r="I3343">
        <f>SUMPRODUCT(Calc!$K$3:$K$22*(Calc!$G$3:$G$22&gt;A3343)*(Calc!$G$3:$G$22-A3343)^2)</f>
        <v/>
      </c>
      <c r="J3343">
        <f>SUMPRODUCT(Calc!$K$3:$K$22*(Calc!$G$3:$G$22&gt;B3343)*(Calc!$G$3:$G$22-B3343)^2)</f>
        <v/>
      </c>
      <c r="K3343">
        <f>SUMPRODUCT(Calc!$K$3:$K$22*(Calc!$G$3:$G$22&gt;A3343)*(Calc!$G$3:$G$22-A3343)*(Calc!$G$3:$G$22&gt;B3343)*(Calc!$G$3:$G$22-B3343))</f>
        <v/>
      </c>
      <c r="L3343">
        <f>SUMPRODUCT(Calc!$K$3:$K$22*(Calc!$G$3:$G$22&gt;A3343)*(Calc!$G$3:$G$22-A3343)*Calc!$G$3:$G$22)</f>
        <v/>
      </c>
      <c r="M3343">
        <f>SUMPRODUCT(Calc!$K$3:$K$22*(Calc!$G$3:$G$22&gt;B3343)*(Calc!$G$3:$G$22-B3343)*Calc!$G$3:$G$22)</f>
        <v/>
      </c>
      <c r="N3343">
        <f>SUMPRODUCT(Calc!$K$3:$K$22*(Calc!$G$3:$G$22&gt;A3343)*(Calc!$G$3:$G$22-A3343)*Calc!$I$3:$I$22)</f>
        <v/>
      </c>
      <c r="O3343">
        <f>SUMPRODUCT(Calc!$K$3:$K$22*(Calc!$G$3:$G$22&gt;B3343)*(Calc!$G$3:$G$22-B3343)*Calc!$I$3:$I$22)</f>
        <v/>
      </c>
      <c r="P3343">
        <f>I3343-G3343^2/k_n</f>
        <v/>
      </c>
      <c r="Q3343">
        <f>J3343-H3343^2/k_n</f>
        <v/>
      </c>
      <c r="R3343">
        <f>K3343-G3343*H3343/k_n</f>
        <v/>
      </c>
      <c r="S3343">
        <f>L3343-LTP3!$D$3*G3343/k_n</f>
        <v/>
      </c>
      <c r="T3343">
        <f>M3343-LTP3!$D$3*H3343/k_n</f>
        <v/>
      </c>
      <c r="U3343">
        <f>N3343-G3343*LTP3!$D$4/k_n</f>
        <v/>
      </c>
      <c r="V3343">
        <f>O3343-H3343*LTP3!$D$4/k_n</f>
        <v/>
      </c>
      <c r="W3343">
        <f>((LTP3!$D$5)*((P3343)*(Q3343)-(R3343)*(R3343))-(S3343)*((S3343)*(Q3343)-(R3343)*(T3343))+(T3343)*((S3343)*(R3343)-(P3343)*(T3343)))</f>
        <v/>
      </c>
      <c r="X3343">
        <f>IF(ABS(W3343)&gt;1E-12,((LTP3!$D$6)*((P3343)*(Q3343)-(R3343)*(R3343))-(S3343)*((U3343)*(Q3343)-(R3343)*(V3343))+(T3343)*((U3343)*(R3343)-(P3343)*(V3343)))/W3343,0)</f>
        <v/>
      </c>
      <c r="Y3343">
        <f>IF(ABS(W3343)&gt;1E-12,((LTP3!$D$5)*((U3343)*(Q3343)-(R3343)*(V3343))-(LTP3!$D$6)*((S3343)*(Q3343)-(R3343)*(T3343))+(T3343)*((S3343)*(V3343)-(U3343)*(T3343)))/W3343,0)</f>
        <v/>
      </c>
      <c r="Z3343">
        <f>IF(ABS(W3343)&gt;1E-12,((LTP3!$D$5)*((P3343)*(V3343)-(U3343)*(R3343))-(S3343)*((S3343)*(V3343)-(U3343)*(T3343))+(LTP3!$D$6)*((S3343)*(R3343)-(P3343)*(T3343)))/W3343,0)</f>
        <v/>
      </c>
      <c r="AA3343">
        <f>LTP3!$D$7-X3343*LTP3!$D$6-Y3343*U3343-Z3343*V3343</f>
        <v/>
      </c>
      <c r="AB3343">
        <f>IF(AND(F3343,ABS(W3343)&gt;1E-12,Y3343&gt;0,Z3343&gt;0),AA3343,1E+300)</f>
        <v/>
      </c>
    </row>
    <row r="3344">
      <c r="A3344">
        <f>$B$3+$B$5*54</f>
        <v/>
      </c>
      <c r="B3344">
        <f>$B$3+$B$5*38</f>
        <v/>
      </c>
      <c r="C3344">
        <f>SUMPRODUCT(Calc!$K$3:$K$22*(Calc!$G$3:$G$22&lt;=A3344))</f>
        <v/>
      </c>
      <c r="D3344">
        <f>SUMPRODUCT(Calc!$K$3:$K$22*(Calc!$G$3:$G$22&gt;A3344)*(Calc!$G$3:$G$22&lt;B3344))</f>
        <v/>
      </c>
      <c r="E3344">
        <f>SUMPRODUCT(Calc!$K$3:$K$22*(Calc!$G$3:$G$22&gt;=B3344))</f>
        <v/>
      </c>
      <c r="F3344">
        <f>AND(k_n&gt;=5,B3344&gt;A3344+1E-9,C3344&gt;=2,D3344&gt;=1,E3344&gt;=2)</f>
        <v/>
      </c>
      <c r="G3344">
        <f>SUMPRODUCT(Calc!$K$3:$K$22*(Calc!$G$3:$G$22&gt;A3344)*(Calc!$G$3:$G$22-A3344))</f>
        <v/>
      </c>
      <c r="H3344">
        <f>SUMPRODUCT(Calc!$K$3:$K$22*(Calc!$G$3:$G$22&gt;B3344)*(Calc!$G$3:$G$22-B3344))</f>
        <v/>
      </c>
      <c r="I3344">
        <f>SUMPRODUCT(Calc!$K$3:$K$22*(Calc!$G$3:$G$22&gt;A3344)*(Calc!$G$3:$G$22-A3344)^2)</f>
        <v/>
      </c>
      <c r="J3344">
        <f>SUMPRODUCT(Calc!$K$3:$K$22*(Calc!$G$3:$G$22&gt;B3344)*(Calc!$G$3:$G$22-B3344)^2)</f>
        <v/>
      </c>
      <c r="K3344">
        <f>SUMPRODUCT(Calc!$K$3:$K$22*(Calc!$G$3:$G$22&gt;A3344)*(Calc!$G$3:$G$22-A3344)*(Calc!$G$3:$G$22&gt;B3344)*(Calc!$G$3:$G$22-B3344))</f>
        <v/>
      </c>
      <c r="L3344">
        <f>SUMPRODUCT(Calc!$K$3:$K$22*(Calc!$G$3:$G$22&gt;A3344)*(Calc!$G$3:$G$22-A3344)*Calc!$G$3:$G$22)</f>
        <v/>
      </c>
      <c r="M3344">
        <f>SUMPRODUCT(Calc!$K$3:$K$22*(Calc!$G$3:$G$22&gt;B3344)*(Calc!$G$3:$G$22-B3344)*Calc!$G$3:$G$22)</f>
        <v/>
      </c>
      <c r="N3344">
        <f>SUMPRODUCT(Calc!$K$3:$K$22*(Calc!$G$3:$G$22&gt;A3344)*(Calc!$G$3:$G$22-A3344)*Calc!$I$3:$I$22)</f>
        <v/>
      </c>
      <c r="O3344">
        <f>SUMPRODUCT(Calc!$K$3:$K$22*(Calc!$G$3:$G$22&gt;B3344)*(Calc!$G$3:$G$22-B3344)*Calc!$I$3:$I$22)</f>
        <v/>
      </c>
      <c r="P3344">
        <f>I3344-G3344^2/k_n</f>
        <v/>
      </c>
      <c r="Q3344">
        <f>J3344-H3344^2/k_n</f>
        <v/>
      </c>
      <c r="R3344">
        <f>K3344-G3344*H3344/k_n</f>
        <v/>
      </c>
      <c r="S3344">
        <f>L3344-LTP3!$D$3*G3344/k_n</f>
        <v/>
      </c>
      <c r="T3344">
        <f>M3344-LTP3!$D$3*H3344/k_n</f>
        <v/>
      </c>
      <c r="U3344">
        <f>N3344-G3344*LTP3!$D$4/k_n</f>
        <v/>
      </c>
      <c r="V3344">
        <f>O3344-H3344*LTP3!$D$4/k_n</f>
        <v/>
      </c>
      <c r="W3344">
        <f>((LTP3!$D$5)*((P3344)*(Q3344)-(R3344)*(R3344))-(S3344)*((S3344)*(Q3344)-(R3344)*(T3344))+(T3344)*((S3344)*(R3344)-(P3344)*(T3344)))</f>
        <v/>
      </c>
      <c r="X3344">
        <f>IF(ABS(W3344)&gt;1E-12,((LTP3!$D$6)*((P3344)*(Q3344)-(R3344)*(R3344))-(S3344)*((U3344)*(Q3344)-(R3344)*(V3344))+(T3344)*((U3344)*(R3344)-(P3344)*(V3344)))/W3344,0)</f>
        <v/>
      </c>
      <c r="Y3344">
        <f>IF(ABS(W3344)&gt;1E-12,((LTP3!$D$5)*((U3344)*(Q3344)-(R3344)*(V3344))-(LTP3!$D$6)*((S3344)*(Q3344)-(R3344)*(T3344))+(T3344)*((S3344)*(V3344)-(U3344)*(T3344)))/W3344,0)</f>
        <v/>
      </c>
      <c r="Z3344">
        <f>IF(ABS(W3344)&gt;1E-12,((LTP3!$D$5)*((P3344)*(V3344)-(U3344)*(R3344))-(S3344)*((S3344)*(V3344)-(U3344)*(T3344))+(LTP3!$D$6)*((S3344)*(R3344)-(P3344)*(T3344)))/W3344,0)</f>
        <v/>
      </c>
      <c r="AA3344">
        <f>LTP3!$D$7-X3344*LTP3!$D$6-Y3344*U3344-Z3344*V3344</f>
        <v/>
      </c>
      <c r="AB3344">
        <f>IF(AND(F3344,ABS(W3344)&gt;1E-12,Y3344&gt;0,Z3344&gt;0),AA3344,1E+300)</f>
        <v/>
      </c>
    </row>
    <row r="3345">
      <c r="A3345">
        <f>$B$3+$B$5*54</f>
        <v/>
      </c>
      <c r="B3345">
        <f>$B$3+$B$5*39</f>
        <v/>
      </c>
      <c r="C3345">
        <f>SUMPRODUCT(Calc!$K$3:$K$22*(Calc!$G$3:$G$22&lt;=A3345))</f>
        <v/>
      </c>
      <c r="D3345">
        <f>SUMPRODUCT(Calc!$K$3:$K$22*(Calc!$G$3:$G$22&gt;A3345)*(Calc!$G$3:$G$22&lt;B3345))</f>
        <v/>
      </c>
      <c r="E3345">
        <f>SUMPRODUCT(Calc!$K$3:$K$22*(Calc!$G$3:$G$22&gt;=B3345))</f>
        <v/>
      </c>
      <c r="F3345">
        <f>AND(k_n&gt;=5,B3345&gt;A3345+1E-9,C3345&gt;=2,D3345&gt;=1,E3345&gt;=2)</f>
        <v/>
      </c>
      <c r="G3345">
        <f>SUMPRODUCT(Calc!$K$3:$K$22*(Calc!$G$3:$G$22&gt;A3345)*(Calc!$G$3:$G$22-A3345))</f>
        <v/>
      </c>
      <c r="H3345">
        <f>SUMPRODUCT(Calc!$K$3:$K$22*(Calc!$G$3:$G$22&gt;B3345)*(Calc!$G$3:$G$22-B3345))</f>
        <v/>
      </c>
      <c r="I3345">
        <f>SUMPRODUCT(Calc!$K$3:$K$22*(Calc!$G$3:$G$22&gt;A3345)*(Calc!$G$3:$G$22-A3345)^2)</f>
        <v/>
      </c>
      <c r="J3345">
        <f>SUMPRODUCT(Calc!$K$3:$K$22*(Calc!$G$3:$G$22&gt;B3345)*(Calc!$G$3:$G$22-B3345)^2)</f>
        <v/>
      </c>
      <c r="K3345">
        <f>SUMPRODUCT(Calc!$K$3:$K$22*(Calc!$G$3:$G$22&gt;A3345)*(Calc!$G$3:$G$22-A3345)*(Calc!$G$3:$G$22&gt;B3345)*(Calc!$G$3:$G$22-B3345))</f>
        <v/>
      </c>
      <c r="L3345">
        <f>SUMPRODUCT(Calc!$K$3:$K$22*(Calc!$G$3:$G$22&gt;A3345)*(Calc!$G$3:$G$22-A3345)*Calc!$G$3:$G$22)</f>
        <v/>
      </c>
      <c r="M3345">
        <f>SUMPRODUCT(Calc!$K$3:$K$22*(Calc!$G$3:$G$22&gt;B3345)*(Calc!$G$3:$G$22-B3345)*Calc!$G$3:$G$22)</f>
        <v/>
      </c>
      <c r="N3345">
        <f>SUMPRODUCT(Calc!$K$3:$K$22*(Calc!$G$3:$G$22&gt;A3345)*(Calc!$G$3:$G$22-A3345)*Calc!$I$3:$I$22)</f>
        <v/>
      </c>
      <c r="O3345">
        <f>SUMPRODUCT(Calc!$K$3:$K$22*(Calc!$G$3:$G$22&gt;B3345)*(Calc!$G$3:$G$22-B3345)*Calc!$I$3:$I$22)</f>
        <v/>
      </c>
      <c r="P3345">
        <f>I3345-G3345^2/k_n</f>
        <v/>
      </c>
      <c r="Q3345">
        <f>J3345-H3345^2/k_n</f>
        <v/>
      </c>
      <c r="R3345">
        <f>K3345-G3345*H3345/k_n</f>
        <v/>
      </c>
      <c r="S3345">
        <f>L3345-LTP3!$D$3*G3345/k_n</f>
        <v/>
      </c>
      <c r="T3345">
        <f>M3345-LTP3!$D$3*H3345/k_n</f>
        <v/>
      </c>
      <c r="U3345">
        <f>N3345-G3345*LTP3!$D$4/k_n</f>
        <v/>
      </c>
      <c r="V3345">
        <f>O3345-H3345*LTP3!$D$4/k_n</f>
        <v/>
      </c>
      <c r="W3345">
        <f>((LTP3!$D$5)*((P3345)*(Q3345)-(R3345)*(R3345))-(S3345)*((S3345)*(Q3345)-(R3345)*(T3345))+(T3345)*((S3345)*(R3345)-(P3345)*(T3345)))</f>
        <v/>
      </c>
      <c r="X3345">
        <f>IF(ABS(W3345)&gt;1E-12,((LTP3!$D$6)*((P3345)*(Q3345)-(R3345)*(R3345))-(S3345)*((U3345)*(Q3345)-(R3345)*(V3345))+(T3345)*((U3345)*(R3345)-(P3345)*(V3345)))/W3345,0)</f>
        <v/>
      </c>
      <c r="Y3345">
        <f>IF(ABS(W3345)&gt;1E-12,((LTP3!$D$5)*((U3345)*(Q3345)-(R3345)*(V3345))-(LTP3!$D$6)*((S3345)*(Q3345)-(R3345)*(T3345))+(T3345)*((S3345)*(V3345)-(U3345)*(T3345)))/W3345,0)</f>
        <v/>
      </c>
      <c r="Z3345">
        <f>IF(ABS(W3345)&gt;1E-12,((LTP3!$D$5)*((P3345)*(V3345)-(U3345)*(R3345))-(S3345)*((S3345)*(V3345)-(U3345)*(T3345))+(LTP3!$D$6)*((S3345)*(R3345)-(P3345)*(T3345)))/W3345,0)</f>
        <v/>
      </c>
      <c r="AA3345">
        <f>LTP3!$D$7-X3345*LTP3!$D$6-Y3345*U3345-Z3345*V3345</f>
        <v/>
      </c>
      <c r="AB3345">
        <f>IF(AND(F3345,ABS(W3345)&gt;1E-12,Y3345&gt;0,Z3345&gt;0),AA3345,1E+300)</f>
        <v/>
      </c>
    </row>
    <row r="3346">
      <c r="A3346">
        <f>$B$3+$B$5*54</f>
        <v/>
      </c>
      <c r="B3346">
        <f>$B$3+$B$5*40</f>
        <v/>
      </c>
      <c r="C3346">
        <f>SUMPRODUCT(Calc!$K$3:$K$22*(Calc!$G$3:$G$22&lt;=A3346))</f>
        <v/>
      </c>
      <c r="D3346">
        <f>SUMPRODUCT(Calc!$K$3:$K$22*(Calc!$G$3:$G$22&gt;A3346)*(Calc!$G$3:$G$22&lt;B3346))</f>
        <v/>
      </c>
      <c r="E3346">
        <f>SUMPRODUCT(Calc!$K$3:$K$22*(Calc!$G$3:$G$22&gt;=B3346))</f>
        <v/>
      </c>
      <c r="F3346">
        <f>AND(k_n&gt;=5,B3346&gt;A3346+1E-9,C3346&gt;=2,D3346&gt;=1,E3346&gt;=2)</f>
        <v/>
      </c>
      <c r="G3346">
        <f>SUMPRODUCT(Calc!$K$3:$K$22*(Calc!$G$3:$G$22&gt;A3346)*(Calc!$G$3:$G$22-A3346))</f>
        <v/>
      </c>
      <c r="H3346">
        <f>SUMPRODUCT(Calc!$K$3:$K$22*(Calc!$G$3:$G$22&gt;B3346)*(Calc!$G$3:$G$22-B3346))</f>
        <v/>
      </c>
      <c r="I3346">
        <f>SUMPRODUCT(Calc!$K$3:$K$22*(Calc!$G$3:$G$22&gt;A3346)*(Calc!$G$3:$G$22-A3346)^2)</f>
        <v/>
      </c>
      <c r="J3346">
        <f>SUMPRODUCT(Calc!$K$3:$K$22*(Calc!$G$3:$G$22&gt;B3346)*(Calc!$G$3:$G$22-B3346)^2)</f>
        <v/>
      </c>
      <c r="K3346">
        <f>SUMPRODUCT(Calc!$K$3:$K$22*(Calc!$G$3:$G$22&gt;A3346)*(Calc!$G$3:$G$22-A3346)*(Calc!$G$3:$G$22&gt;B3346)*(Calc!$G$3:$G$22-B3346))</f>
        <v/>
      </c>
      <c r="L3346">
        <f>SUMPRODUCT(Calc!$K$3:$K$22*(Calc!$G$3:$G$22&gt;A3346)*(Calc!$G$3:$G$22-A3346)*Calc!$G$3:$G$22)</f>
        <v/>
      </c>
      <c r="M3346">
        <f>SUMPRODUCT(Calc!$K$3:$K$22*(Calc!$G$3:$G$22&gt;B3346)*(Calc!$G$3:$G$22-B3346)*Calc!$G$3:$G$22)</f>
        <v/>
      </c>
      <c r="N3346">
        <f>SUMPRODUCT(Calc!$K$3:$K$22*(Calc!$G$3:$G$22&gt;A3346)*(Calc!$G$3:$G$22-A3346)*Calc!$I$3:$I$22)</f>
        <v/>
      </c>
      <c r="O3346">
        <f>SUMPRODUCT(Calc!$K$3:$K$22*(Calc!$G$3:$G$22&gt;B3346)*(Calc!$G$3:$G$22-B3346)*Calc!$I$3:$I$22)</f>
        <v/>
      </c>
      <c r="P3346">
        <f>I3346-G3346^2/k_n</f>
        <v/>
      </c>
      <c r="Q3346">
        <f>J3346-H3346^2/k_n</f>
        <v/>
      </c>
      <c r="R3346">
        <f>K3346-G3346*H3346/k_n</f>
        <v/>
      </c>
      <c r="S3346">
        <f>L3346-LTP3!$D$3*G3346/k_n</f>
        <v/>
      </c>
      <c r="T3346">
        <f>M3346-LTP3!$D$3*H3346/k_n</f>
        <v/>
      </c>
      <c r="U3346">
        <f>N3346-G3346*LTP3!$D$4/k_n</f>
        <v/>
      </c>
      <c r="V3346">
        <f>O3346-H3346*LTP3!$D$4/k_n</f>
        <v/>
      </c>
      <c r="W3346">
        <f>((LTP3!$D$5)*((P3346)*(Q3346)-(R3346)*(R3346))-(S3346)*((S3346)*(Q3346)-(R3346)*(T3346))+(T3346)*((S3346)*(R3346)-(P3346)*(T3346)))</f>
        <v/>
      </c>
      <c r="X3346">
        <f>IF(ABS(W3346)&gt;1E-12,((LTP3!$D$6)*((P3346)*(Q3346)-(R3346)*(R3346))-(S3346)*((U3346)*(Q3346)-(R3346)*(V3346))+(T3346)*((U3346)*(R3346)-(P3346)*(V3346)))/W3346,0)</f>
        <v/>
      </c>
      <c r="Y3346">
        <f>IF(ABS(W3346)&gt;1E-12,((LTP3!$D$5)*((U3346)*(Q3346)-(R3346)*(V3346))-(LTP3!$D$6)*((S3346)*(Q3346)-(R3346)*(T3346))+(T3346)*((S3346)*(V3346)-(U3346)*(T3346)))/W3346,0)</f>
        <v/>
      </c>
      <c r="Z3346">
        <f>IF(ABS(W3346)&gt;1E-12,((LTP3!$D$5)*((P3346)*(V3346)-(U3346)*(R3346))-(S3346)*((S3346)*(V3346)-(U3346)*(T3346))+(LTP3!$D$6)*((S3346)*(R3346)-(P3346)*(T3346)))/W3346,0)</f>
        <v/>
      </c>
      <c r="AA3346">
        <f>LTP3!$D$7-X3346*LTP3!$D$6-Y3346*U3346-Z3346*V3346</f>
        <v/>
      </c>
      <c r="AB3346">
        <f>IF(AND(F3346,ABS(W3346)&gt;1E-12,Y3346&gt;0,Z3346&gt;0),AA3346,1E+300)</f>
        <v/>
      </c>
    </row>
    <row r="3347">
      <c r="A3347">
        <f>$B$3+$B$5*54</f>
        <v/>
      </c>
      <c r="B3347">
        <f>$B$3+$B$5*41</f>
        <v/>
      </c>
      <c r="C3347">
        <f>SUMPRODUCT(Calc!$K$3:$K$22*(Calc!$G$3:$G$22&lt;=A3347))</f>
        <v/>
      </c>
      <c r="D3347">
        <f>SUMPRODUCT(Calc!$K$3:$K$22*(Calc!$G$3:$G$22&gt;A3347)*(Calc!$G$3:$G$22&lt;B3347))</f>
        <v/>
      </c>
      <c r="E3347">
        <f>SUMPRODUCT(Calc!$K$3:$K$22*(Calc!$G$3:$G$22&gt;=B3347))</f>
        <v/>
      </c>
      <c r="F3347">
        <f>AND(k_n&gt;=5,B3347&gt;A3347+1E-9,C3347&gt;=2,D3347&gt;=1,E3347&gt;=2)</f>
        <v/>
      </c>
      <c r="G3347">
        <f>SUMPRODUCT(Calc!$K$3:$K$22*(Calc!$G$3:$G$22&gt;A3347)*(Calc!$G$3:$G$22-A3347))</f>
        <v/>
      </c>
      <c r="H3347">
        <f>SUMPRODUCT(Calc!$K$3:$K$22*(Calc!$G$3:$G$22&gt;B3347)*(Calc!$G$3:$G$22-B3347))</f>
        <v/>
      </c>
      <c r="I3347">
        <f>SUMPRODUCT(Calc!$K$3:$K$22*(Calc!$G$3:$G$22&gt;A3347)*(Calc!$G$3:$G$22-A3347)^2)</f>
        <v/>
      </c>
      <c r="J3347">
        <f>SUMPRODUCT(Calc!$K$3:$K$22*(Calc!$G$3:$G$22&gt;B3347)*(Calc!$G$3:$G$22-B3347)^2)</f>
        <v/>
      </c>
      <c r="K3347">
        <f>SUMPRODUCT(Calc!$K$3:$K$22*(Calc!$G$3:$G$22&gt;A3347)*(Calc!$G$3:$G$22-A3347)*(Calc!$G$3:$G$22&gt;B3347)*(Calc!$G$3:$G$22-B3347))</f>
        <v/>
      </c>
      <c r="L3347">
        <f>SUMPRODUCT(Calc!$K$3:$K$22*(Calc!$G$3:$G$22&gt;A3347)*(Calc!$G$3:$G$22-A3347)*Calc!$G$3:$G$22)</f>
        <v/>
      </c>
      <c r="M3347">
        <f>SUMPRODUCT(Calc!$K$3:$K$22*(Calc!$G$3:$G$22&gt;B3347)*(Calc!$G$3:$G$22-B3347)*Calc!$G$3:$G$22)</f>
        <v/>
      </c>
      <c r="N3347">
        <f>SUMPRODUCT(Calc!$K$3:$K$22*(Calc!$G$3:$G$22&gt;A3347)*(Calc!$G$3:$G$22-A3347)*Calc!$I$3:$I$22)</f>
        <v/>
      </c>
      <c r="O3347">
        <f>SUMPRODUCT(Calc!$K$3:$K$22*(Calc!$G$3:$G$22&gt;B3347)*(Calc!$G$3:$G$22-B3347)*Calc!$I$3:$I$22)</f>
        <v/>
      </c>
      <c r="P3347">
        <f>I3347-G3347^2/k_n</f>
        <v/>
      </c>
      <c r="Q3347">
        <f>J3347-H3347^2/k_n</f>
        <v/>
      </c>
      <c r="R3347">
        <f>K3347-G3347*H3347/k_n</f>
        <v/>
      </c>
      <c r="S3347">
        <f>L3347-LTP3!$D$3*G3347/k_n</f>
        <v/>
      </c>
      <c r="T3347">
        <f>M3347-LTP3!$D$3*H3347/k_n</f>
        <v/>
      </c>
      <c r="U3347">
        <f>N3347-G3347*LTP3!$D$4/k_n</f>
        <v/>
      </c>
      <c r="V3347">
        <f>O3347-H3347*LTP3!$D$4/k_n</f>
        <v/>
      </c>
      <c r="W3347">
        <f>((LTP3!$D$5)*((P3347)*(Q3347)-(R3347)*(R3347))-(S3347)*((S3347)*(Q3347)-(R3347)*(T3347))+(T3347)*((S3347)*(R3347)-(P3347)*(T3347)))</f>
        <v/>
      </c>
      <c r="X3347">
        <f>IF(ABS(W3347)&gt;1E-12,((LTP3!$D$6)*((P3347)*(Q3347)-(R3347)*(R3347))-(S3347)*((U3347)*(Q3347)-(R3347)*(V3347))+(T3347)*((U3347)*(R3347)-(P3347)*(V3347)))/W3347,0)</f>
        <v/>
      </c>
      <c r="Y3347">
        <f>IF(ABS(W3347)&gt;1E-12,((LTP3!$D$5)*((U3347)*(Q3347)-(R3347)*(V3347))-(LTP3!$D$6)*((S3347)*(Q3347)-(R3347)*(T3347))+(T3347)*((S3347)*(V3347)-(U3347)*(T3347)))/W3347,0)</f>
        <v/>
      </c>
      <c r="Z3347">
        <f>IF(ABS(W3347)&gt;1E-12,((LTP3!$D$5)*((P3347)*(V3347)-(U3347)*(R3347))-(S3347)*((S3347)*(V3347)-(U3347)*(T3347))+(LTP3!$D$6)*((S3347)*(R3347)-(P3347)*(T3347)))/W3347,0)</f>
        <v/>
      </c>
      <c r="AA3347">
        <f>LTP3!$D$7-X3347*LTP3!$D$6-Y3347*U3347-Z3347*V3347</f>
        <v/>
      </c>
      <c r="AB3347">
        <f>IF(AND(F3347,ABS(W3347)&gt;1E-12,Y3347&gt;0,Z3347&gt;0),AA3347,1E+300)</f>
        <v/>
      </c>
    </row>
    <row r="3348">
      <c r="A3348">
        <f>$B$3+$B$5*54</f>
        <v/>
      </c>
      <c r="B3348">
        <f>$B$3+$B$5*42</f>
        <v/>
      </c>
      <c r="C3348">
        <f>SUMPRODUCT(Calc!$K$3:$K$22*(Calc!$G$3:$G$22&lt;=A3348))</f>
        <v/>
      </c>
      <c r="D3348">
        <f>SUMPRODUCT(Calc!$K$3:$K$22*(Calc!$G$3:$G$22&gt;A3348)*(Calc!$G$3:$G$22&lt;B3348))</f>
        <v/>
      </c>
      <c r="E3348">
        <f>SUMPRODUCT(Calc!$K$3:$K$22*(Calc!$G$3:$G$22&gt;=B3348))</f>
        <v/>
      </c>
      <c r="F3348">
        <f>AND(k_n&gt;=5,B3348&gt;A3348+1E-9,C3348&gt;=2,D3348&gt;=1,E3348&gt;=2)</f>
        <v/>
      </c>
      <c r="G3348">
        <f>SUMPRODUCT(Calc!$K$3:$K$22*(Calc!$G$3:$G$22&gt;A3348)*(Calc!$G$3:$G$22-A3348))</f>
        <v/>
      </c>
      <c r="H3348">
        <f>SUMPRODUCT(Calc!$K$3:$K$22*(Calc!$G$3:$G$22&gt;B3348)*(Calc!$G$3:$G$22-B3348))</f>
        <v/>
      </c>
      <c r="I3348">
        <f>SUMPRODUCT(Calc!$K$3:$K$22*(Calc!$G$3:$G$22&gt;A3348)*(Calc!$G$3:$G$22-A3348)^2)</f>
        <v/>
      </c>
      <c r="J3348">
        <f>SUMPRODUCT(Calc!$K$3:$K$22*(Calc!$G$3:$G$22&gt;B3348)*(Calc!$G$3:$G$22-B3348)^2)</f>
        <v/>
      </c>
      <c r="K3348">
        <f>SUMPRODUCT(Calc!$K$3:$K$22*(Calc!$G$3:$G$22&gt;A3348)*(Calc!$G$3:$G$22-A3348)*(Calc!$G$3:$G$22&gt;B3348)*(Calc!$G$3:$G$22-B3348))</f>
        <v/>
      </c>
      <c r="L3348">
        <f>SUMPRODUCT(Calc!$K$3:$K$22*(Calc!$G$3:$G$22&gt;A3348)*(Calc!$G$3:$G$22-A3348)*Calc!$G$3:$G$22)</f>
        <v/>
      </c>
      <c r="M3348">
        <f>SUMPRODUCT(Calc!$K$3:$K$22*(Calc!$G$3:$G$22&gt;B3348)*(Calc!$G$3:$G$22-B3348)*Calc!$G$3:$G$22)</f>
        <v/>
      </c>
      <c r="N3348">
        <f>SUMPRODUCT(Calc!$K$3:$K$22*(Calc!$G$3:$G$22&gt;A3348)*(Calc!$G$3:$G$22-A3348)*Calc!$I$3:$I$22)</f>
        <v/>
      </c>
      <c r="O3348">
        <f>SUMPRODUCT(Calc!$K$3:$K$22*(Calc!$G$3:$G$22&gt;B3348)*(Calc!$G$3:$G$22-B3348)*Calc!$I$3:$I$22)</f>
        <v/>
      </c>
      <c r="P3348">
        <f>I3348-G3348^2/k_n</f>
        <v/>
      </c>
      <c r="Q3348">
        <f>J3348-H3348^2/k_n</f>
        <v/>
      </c>
      <c r="R3348">
        <f>K3348-G3348*H3348/k_n</f>
        <v/>
      </c>
      <c r="S3348">
        <f>L3348-LTP3!$D$3*G3348/k_n</f>
        <v/>
      </c>
      <c r="T3348">
        <f>M3348-LTP3!$D$3*H3348/k_n</f>
        <v/>
      </c>
      <c r="U3348">
        <f>N3348-G3348*LTP3!$D$4/k_n</f>
        <v/>
      </c>
      <c r="V3348">
        <f>O3348-H3348*LTP3!$D$4/k_n</f>
        <v/>
      </c>
      <c r="W3348">
        <f>((LTP3!$D$5)*((P3348)*(Q3348)-(R3348)*(R3348))-(S3348)*((S3348)*(Q3348)-(R3348)*(T3348))+(T3348)*((S3348)*(R3348)-(P3348)*(T3348)))</f>
        <v/>
      </c>
      <c r="X3348">
        <f>IF(ABS(W3348)&gt;1E-12,((LTP3!$D$6)*((P3348)*(Q3348)-(R3348)*(R3348))-(S3348)*((U3348)*(Q3348)-(R3348)*(V3348))+(T3348)*((U3348)*(R3348)-(P3348)*(V3348)))/W3348,0)</f>
        <v/>
      </c>
      <c r="Y3348">
        <f>IF(ABS(W3348)&gt;1E-12,((LTP3!$D$5)*((U3348)*(Q3348)-(R3348)*(V3348))-(LTP3!$D$6)*((S3348)*(Q3348)-(R3348)*(T3348))+(T3348)*((S3348)*(V3348)-(U3348)*(T3348)))/W3348,0)</f>
        <v/>
      </c>
      <c r="Z3348">
        <f>IF(ABS(W3348)&gt;1E-12,((LTP3!$D$5)*((P3348)*(V3348)-(U3348)*(R3348))-(S3348)*((S3348)*(V3348)-(U3348)*(T3348))+(LTP3!$D$6)*((S3348)*(R3348)-(P3348)*(T3348)))/W3348,0)</f>
        <v/>
      </c>
      <c r="AA3348">
        <f>LTP3!$D$7-X3348*LTP3!$D$6-Y3348*U3348-Z3348*V3348</f>
        <v/>
      </c>
      <c r="AB3348">
        <f>IF(AND(F3348,ABS(W3348)&gt;1E-12,Y3348&gt;0,Z3348&gt;0),AA3348,1E+300)</f>
        <v/>
      </c>
    </row>
    <row r="3349">
      <c r="A3349">
        <f>$B$3+$B$5*54</f>
        <v/>
      </c>
      <c r="B3349">
        <f>$B$3+$B$5*43</f>
        <v/>
      </c>
      <c r="C3349">
        <f>SUMPRODUCT(Calc!$K$3:$K$22*(Calc!$G$3:$G$22&lt;=A3349))</f>
        <v/>
      </c>
      <c r="D3349">
        <f>SUMPRODUCT(Calc!$K$3:$K$22*(Calc!$G$3:$G$22&gt;A3349)*(Calc!$G$3:$G$22&lt;B3349))</f>
        <v/>
      </c>
      <c r="E3349">
        <f>SUMPRODUCT(Calc!$K$3:$K$22*(Calc!$G$3:$G$22&gt;=B3349))</f>
        <v/>
      </c>
      <c r="F3349">
        <f>AND(k_n&gt;=5,B3349&gt;A3349+1E-9,C3349&gt;=2,D3349&gt;=1,E3349&gt;=2)</f>
        <v/>
      </c>
      <c r="G3349">
        <f>SUMPRODUCT(Calc!$K$3:$K$22*(Calc!$G$3:$G$22&gt;A3349)*(Calc!$G$3:$G$22-A3349))</f>
        <v/>
      </c>
      <c r="H3349">
        <f>SUMPRODUCT(Calc!$K$3:$K$22*(Calc!$G$3:$G$22&gt;B3349)*(Calc!$G$3:$G$22-B3349))</f>
        <v/>
      </c>
      <c r="I3349">
        <f>SUMPRODUCT(Calc!$K$3:$K$22*(Calc!$G$3:$G$22&gt;A3349)*(Calc!$G$3:$G$22-A3349)^2)</f>
        <v/>
      </c>
      <c r="J3349">
        <f>SUMPRODUCT(Calc!$K$3:$K$22*(Calc!$G$3:$G$22&gt;B3349)*(Calc!$G$3:$G$22-B3349)^2)</f>
        <v/>
      </c>
      <c r="K3349">
        <f>SUMPRODUCT(Calc!$K$3:$K$22*(Calc!$G$3:$G$22&gt;A3349)*(Calc!$G$3:$G$22-A3349)*(Calc!$G$3:$G$22&gt;B3349)*(Calc!$G$3:$G$22-B3349))</f>
        <v/>
      </c>
      <c r="L3349">
        <f>SUMPRODUCT(Calc!$K$3:$K$22*(Calc!$G$3:$G$22&gt;A3349)*(Calc!$G$3:$G$22-A3349)*Calc!$G$3:$G$22)</f>
        <v/>
      </c>
      <c r="M3349">
        <f>SUMPRODUCT(Calc!$K$3:$K$22*(Calc!$G$3:$G$22&gt;B3349)*(Calc!$G$3:$G$22-B3349)*Calc!$G$3:$G$22)</f>
        <v/>
      </c>
      <c r="N3349">
        <f>SUMPRODUCT(Calc!$K$3:$K$22*(Calc!$G$3:$G$22&gt;A3349)*(Calc!$G$3:$G$22-A3349)*Calc!$I$3:$I$22)</f>
        <v/>
      </c>
      <c r="O3349">
        <f>SUMPRODUCT(Calc!$K$3:$K$22*(Calc!$G$3:$G$22&gt;B3349)*(Calc!$G$3:$G$22-B3349)*Calc!$I$3:$I$22)</f>
        <v/>
      </c>
      <c r="P3349">
        <f>I3349-G3349^2/k_n</f>
        <v/>
      </c>
      <c r="Q3349">
        <f>J3349-H3349^2/k_n</f>
        <v/>
      </c>
      <c r="R3349">
        <f>K3349-G3349*H3349/k_n</f>
        <v/>
      </c>
      <c r="S3349">
        <f>L3349-LTP3!$D$3*G3349/k_n</f>
        <v/>
      </c>
      <c r="T3349">
        <f>M3349-LTP3!$D$3*H3349/k_n</f>
        <v/>
      </c>
      <c r="U3349">
        <f>N3349-G3349*LTP3!$D$4/k_n</f>
        <v/>
      </c>
      <c r="V3349">
        <f>O3349-H3349*LTP3!$D$4/k_n</f>
        <v/>
      </c>
      <c r="W3349">
        <f>((LTP3!$D$5)*((P3349)*(Q3349)-(R3349)*(R3349))-(S3349)*((S3349)*(Q3349)-(R3349)*(T3349))+(T3349)*((S3349)*(R3349)-(P3349)*(T3349)))</f>
        <v/>
      </c>
      <c r="X3349">
        <f>IF(ABS(W3349)&gt;1E-12,((LTP3!$D$6)*((P3349)*(Q3349)-(R3349)*(R3349))-(S3349)*((U3349)*(Q3349)-(R3349)*(V3349))+(T3349)*((U3349)*(R3349)-(P3349)*(V3349)))/W3349,0)</f>
        <v/>
      </c>
      <c r="Y3349">
        <f>IF(ABS(W3349)&gt;1E-12,((LTP3!$D$5)*((U3349)*(Q3349)-(R3349)*(V3349))-(LTP3!$D$6)*((S3349)*(Q3349)-(R3349)*(T3349))+(T3349)*((S3349)*(V3349)-(U3349)*(T3349)))/W3349,0)</f>
        <v/>
      </c>
      <c r="Z3349">
        <f>IF(ABS(W3349)&gt;1E-12,((LTP3!$D$5)*((P3349)*(V3349)-(U3349)*(R3349))-(S3349)*((S3349)*(V3349)-(U3349)*(T3349))+(LTP3!$D$6)*((S3349)*(R3349)-(P3349)*(T3349)))/W3349,0)</f>
        <v/>
      </c>
      <c r="AA3349">
        <f>LTP3!$D$7-X3349*LTP3!$D$6-Y3349*U3349-Z3349*V3349</f>
        <v/>
      </c>
      <c r="AB3349">
        <f>IF(AND(F3349,ABS(W3349)&gt;1E-12,Y3349&gt;0,Z3349&gt;0),AA3349,1E+300)</f>
        <v/>
      </c>
    </row>
    <row r="3350">
      <c r="A3350">
        <f>$B$3+$B$5*54</f>
        <v/>
      </c>
      <c r="B3350">
        <f>$B$3+$B$5*44</f>
        <v/>
      </c>
      <c r="C3350">
        <f>SUMPRODUCT(Calc!$K$3:$K$22*(Calc!$G$3:$G$22&lt;=A3350))</f>
        <v/>
      </c>
      <c r="D3350">
        <f>SUMPRODUCT(Calc!$K$3:$K$22*(Calc!$G$3:$G$22&gt;A3350)*(Calc!$G$3:$G$22&lt;B3350))</f>
        <v/>
      </c>
      <c r="E3350">
        <f>SUMPRODUCT(Calc!$K$3:$K$22*(Calc!$G$3:$G$22&gt;=B3350))</f>
        <v/>
      </c>
      <c r="F3350">
        <f>AND(k_n&gt;=5,B3350&gt;A3350+1E-9,C3350&gt;=2,D3350&gt;=1,E3350&gt;=2)</f>
        <v/>
      </c>
      <c r="G3350">
        <f>SUMPRODUCT(Calc!$K$3:$K$22*(Calc!$G$3:$G$22&gt;A3350)*(Calc!$G$3:$G$22-A3350))</f>
        <v/>
      </c>
      <c r="H3350">
        <f>SUMPRODUCT(Calc!$K$3:$K$22*(Calc!$G$3:$G$22&gt;B3350)*(Calc!$G$3:$G$22-B3350))</f>
        <v/>
      </c>
      <c r="I3350">
        <f>SUMPRODUCT(Calc!$K$3:$K$22*(Calc!$G$3:$G$22&gt;A3350)*(Calc!$G$3:$G$22-A3350)^2)</f>
        <v/>
      </c>
      <c r="J3350">
        <f>SUMPRODUCT(Calc!$K$3:$K$22*(Calc!$G$3:$G$22&gt;B3350)*(Calc!$G$3:$G$22-B3350)^2)</f>
        <v/>
      </c>
      <c r="K3350">
        <f>SUMPRODUCT(Calc!$K$3:$K$22*(Calc!$G$3:$G$22&gt;A3350)*(Calc!$G$3:$G$22-A3350)*(Calc!$G$3:$G$22&gt;B3350)*(Calc!$G$3:$G$22-B3350))</f>
        <v/>
      </c>
      <c r="L3350">
        <f>SUMPRODUCT(Calc!$K$3:$K$22*(Calc!$G$3:$G$22&gt;A3350)*(Calc!$G$3:$G$22-A3350)*Calc!$G$3:$G$22)</f>
        <v/>
      </c>
      <c r="M3350">
        <f>SUMPRODUCT(Calc!$K$3:$K$22*(Calc!$G$3:$G$22&gt;B3350)*(Calc!$G$3:$G$22-B3350)*Calc!$G$3:$G$22)</f>
        <v/>
      </c>
      <c r="N3350">
        <f>SUMPRODUCT(Calc!$K$3:$K$22*(Calc!$G$3:$G$22&gt;A3350)*(Calc!$G$3:$G$22-A3350)*Calc!$I$3:$I$22)</f>
        <v/>
      </c>
      <c r="O3350">
        <f>SUMPRODUCT(Calc!$K$3:$K$22*(Calc!$G$3:$G$22&gt;B3350)*(Calc!$G$3:$G$22-B3350)*Calc!$I$3:$I$22)</f>
        <v/>
      </c>
      <c r="P3350">
        <f>I3350-G3350^2/k_n</f>
        <v/>
      </c>
      <c r="Q3350">
        <f>J3350-H3350^2/k_n</f>
        <v/>
      </c>
      <c r="R3350">
        <f>K3350-G3350*H3350/k_n</f>
        <v/>
      </c>
      <c r="S3350">
        <f>L3350-LTP3!$D$3*G3350/k_n</f>
        <v/>
      </c>
      <c r="T3350">
        <f>M3350-LTP3!$D$3*H3350/k_n</f>
        <v/>
      </c>
      <c r="U3350">
        <f>N3350-G3350*LTP3!$D$4/k_n</f>
        <v/>
      </c>
      <c r="V3350">
        <f>O3350-H3350*LTP3!$D$4/k_n</f>
        <v/>
      </c>
      <c r="W3350">
        <f>((LTP3!$D$5)*((P3350)*(Q3350)-(R3350)*(R3350))-(S3350)*((S3350)*(Q3350)-(R3350)*(T3350))+(T3350)*((S3350)*(R3350)-(P3350)*(T3350)))</f>
        <v/>
      </c>
      <c r="X3350">
        <f>IF(ABS(W3350)&gt;1E-12,((LTP3!$D$6)*((P3350)*(Q3350)-(R3350)*(R3350))-(S3350)*((U3350)*(Q3350)-(R3350)*(V3350))+(T3350)*((U3350)*(R3350)-(P3350)*(V3350)))/W3350,0)</f>
        <v/>
      </c>
      <c r="Y3350">
        <f>IF(ABS(W3350)&gt;1E-12,((LTP3!$D$5)*((U3350)*(Q3350)-(R3350)*(V3350))-(LTP3!$D$6)*((S3350)*(Q3350)-(R3350)*(T3350))+(T3350)*((S3350)*(V3350)-(U3350)*(T3350)))/W3350,0)</f>
        <v/>
      </c>
      <c r="Z3350">
        <f>IF(ABS(W3350)&gt;1E-12,((LTP3!$D$5)*((P3350)*(V3350)-(U3350)*(R3350))-(S3350)*((S3350)*(V3350)-(U3350)*(T3350))+(LTP3!$D$6)*((S3350)*(R3350)-(P3350)*(T3350)))/W3350,0)</f>
        <v/>
      </c>
      <c r="AA3350">
        <f>LTP3!$D$7-X3350*LTP3!$D$6-Y3350*U3350-Z3350*V3350</f>
        <v/>
      </c>
      <c r="AB3350">
        <f>IF(AND(F3350,ABS(W3350)&gt;1E-12,Y3350&gt;0,Z3350&gt;0),AA3350,1E+300)</f>
        <v/>
      </c>
    </row>
    <row r="3351">
      <c r="A3351">
        <f>$B$3+$B$5*54</f>
        <v/>
      </c>
      <c r="B3351">
        <f>$B$3+$B$5*45</f>
        <v/>
      </c>
      <c r="C3351">
        <f>SUMPRODUCT(Calc!$K$3:$K$22*(Calc!$G$3:$G$22&lt;=A3351))</f>
        <v/>
      </c>
      <c r="D3351">
        <f>SUMPRODUCT(Calc!$K$3:$K$22*(Calc!$G$3:$G$22&gt;A3351)*(Calc!$G$3:$G$22&lt;B3351))</f>
        <v/>
      </c>
      <c r="E3351">
        <f>SUMPRODUCT(Calc!$K$3:$K$22*(Calc!$G$3:$G$22&gt;=B3351))</f>
        <v/>
      </c>
      <c r="F3351">
        <f>AND(k_n&gt;=5,B3351&gt;A3351+1E-9,C3351&gt;=2,D3351&gt;=1,E3351&gt;=2)</f>
        <v/>
      </c>
      <c r="G3351">
        <f>SUMPRODUCT(Calc!$K$3:$K$22*(Calc!$G$3:$G$22&gt;A3351)*(Calc!$G$3:$G$22-A3351))</f>
        <v/>
      </c>
      <c r="H3351">
        <f>SUMPRODUCT(Calc!$K$3:$K$22*(Calc!$G$3:$G$22&gt;B3351)*(Calc!$G$3:$G$22-B3351))</f>
        <v/>
      </c>
      <c r="I3351">
        <f>SUMPRODUCT(Calc!$K$3:$K$22*(Calc!$G$3:$G$22&gt;A3351)*(Calc!$G$3:$G$22-A3351)^2)</f>
        <v/>
      </c>
      <c r="J3351">
        <f>SUMPRODUCT(Calc!$K$3:$K$22*(Calc!$G$3:$G$22&gt;B3351)*(Calc!$G$3:$G$22-B3351)^2)</f>
        <v/>
      </c>
      <c r="K3351">
        <f>SUMPRODUCT(Calc!$K$3:$K$22*(Calc!$G$3:$G$22&gt;A3351)*(Calc!$G$3:$G$22-A3351)*(Calc!$G$3:$G$22&gt;B3351)*(Calc!$G$3:$G$22-B3351))</f>
        <v/>
      </c>
      <c r="L3351">
        <f>SUMPRODUCT(Calc!$K$3:$K$22*(Calc!$G$3:$G$22&gt;A3351)*(Calc!$G$3:$G$22-A3351)*Calc!$G$3:$G$22)</f>
        <v/>
      </c>
      <c r="M3351">
        <f>SUMPRODUCT(Calc!$K$3:$K$22*(Calc!$G$3:$G$22&gt;B3351)*(Calc!$G$3:$G$22-B3351)*Calc!$G$3:$G$22)</f>
        <v/>
      </c>
      <c r="N3351">
        <f>SUMPRODUCT(Calc!$K$3:$K$22*(Calc!$G$3:$G$22&gt;A3351)*(Calc!$G$3:$G$22-A3351)*Calc!$I$3:$I$22)</f>
        <v/>
      </c>
      <c r="O3351">
        <f>SUMPRODUCT(Calc!$K$3:$K$22*(Calc!$G$3:$G$22&gt;B3351)*(Calc!$G$3:$G$22-B3351)*Calc!$I$3:$I$22)</f>
        <v/>
      </c>
      <c r="P3351">
        <f>I3351-G3351^2/k_n</f>
        <v/>
      </c>
      <c r="Q3351">
        <f>J3351-H3351^2/k_n</f>
        <v/>
      </c>
      <c r="R3351">
        <f>K3351-G3351*H3351/k_n</f>
        <v/>
      </c>
      <c r="S3351">
        <f>L3351-LTP3!$D$3*G3351/k_n</f>
        <v/>
      </c>
      <c r="T3351">
        <f>M3351-LTP3!$D$3*H3351/k_n</f>
        <v/>
      </c>
      <c r="U3351">
        <f>N3351-G3351*LTP3!$D$4/k_n</f>
        <v/>
      </c>
      <c r="V3351">
        <f>O3351-H3351*LTP3!$D$4/k_n</f>
        <v/>
      </c>
      <c r="W3351">
        <f>((LTP3!$D$5)*((P3351)*(Q3351)-(R3351)*(R3351))-(S3351)*((S3351)*(Q3351)-(R3351)*(T3351))+(T3351)*((S3351)*(R3351)-(P3351)*(T3351)))</f>
        <v/>
      </c>
      <c r="X3351">
        <f>IF(ABS(W3351)&gt;1E-12,((LTP3!$D$6)*((P3351)*(Q3351)-(R3351)*(R3351))-(S3351)*((U3351)*(Q3351)-(R3351)*(V3351))+(T3351)*((U3351)*(R3351)-(P3351)*(V3351)))/W3351,0)</f>
        <v/>
      </c>
      <c r="Y3351">
        <f>IF(ABS(W3351)&gt;1E-12,((LTP3!$D$5)*((U3351)*(Q3351)-(R3351)*(V3351))-(LTP3!$D$6)*((S3351)*(Q3351)-(R3351)*(T3351))+(T3351)*((S3351)*(V3351)-(U3351)*(T3351)))/W3351,0)</f>
        <v/>
      </c>
      <c r="Z3351">
        <f>IF(ABS(W3351)&gt;1E-12,((LTP3!$D$5)*((P3351)*(V3351)-(U3351)*(R3351))-(S3351)*((S3351)*(V3351)-(U3351)*(T3351))+(LTP3!$D$6)*((S3351)*(R3351)-(P3351)*(T3351)))/W3351,0)</f>
        <v/>
      </c>
      <c r="AA3351">
        <f>LTP3!$D$7-X3351*LTP3!$D$6-Y3351*U3351-Z3351*V3351</f>
        <v/>
      </c>
      <c r="AB3351">
        <f>IF(AND(F3351,ABS(W3351)&gt;1E-12,Y3351&gt;0,Z3351&gt;0),AA3351,1E+300)</f>
        <v/>
      </c>
    </row>
    <row r="3352">
      <c r="A3352">
        <f>$B$3+$B$5*54</f>
        <v/>
      </c>
      <c r="B3352">
        <f>$B$3+$B$5*46</f>
        <v/>
      </c>
      <c r="C3352">
        <f>SUMPRODUCT(Calc!$K$3:$K$22*(Calc!$G$3:$G$22&lt;=A3352))</f>
        <v/>
      </c>
      <c r="D3352">
        <f>SUMPRODUCT(Calc!$K$3:$K$22*(Calc!$G$3:$G$22&gt;A3352)*(Calc!$G$3:$G$22&lt;B3352))</f>
        <v/>
      </c>
      <c r="E3352">
        <f>SUMPRODUCT(Calc!$K$3:$K$22*(Calc!$G$3:$G$22&gt;=B3352))</f>
        <v/>
      </c>
      <c r="F3352">
        <f>AND(k_n&gt;=5,B3352&gt;A3352+1E-9,C3352&gt;=2,D3352&gt;=1,E3352&gt;=2)</f>
        <v/>
      </c>
      <c r="G3352">
        <f>SUMPRODUCT(Calc!$K$3:$K$22*(Calc!$G$3:$G$22&gt;A3352)*(Calc!$G$3:$G$22-A3352))</f>
        <v/>
      </c>
      <c r="H3352">
        <f>SUMPRODUCT(Calc!$K$3:$K$22*(Calc!$G$3:$G$22&gt;B3352)*(Calc!$G$3:$G$22-B3352))</f>
        <v/>
      </c>
      <c r="I3352">
        <f>SUMPRODUCT(Calc!$K$3:$K$22*(Calc!$G$3:$G$22&gt;A3352)*(Calc!$G$3:$G$22-A3352)^2)</f>
        <v/>
      </c>
      <c r="J3352">
        <f>SUMPRODUCT(Calc!$K$3:$K$22*(Calc!$G$3:$G$22&gt;B3352)*(Calc!$G$3:$G$22-B3352)^2)</f>
        <v/>
      </c>
      <c r="K3352">
        <f>SUMPRODUCT(Calc!$K$3:$K$22*(Calc!$G$3:$G$22&gt;A3352)*(Calc!$G$3:$G$22-A3352)*(Calc!$G$3:$G$22&gt;B3352)*(Calc!$G$3:$G$22-B3352))</f>
        <v/>
      </c>
      <c r="L3352">
        <f>SUMPRODUCT(Calc!$K$3:$K$22*(Calc!$G$3:$G$22&gt;A3352)*(Calc!$G$3:$G$22-A3352)*Calc!$G$3:$G$22)</f>
        <v/>
      </c>
      <c r="M3352">
        <f>SUMPRODUCT(Calc!$K$3:$K$22*(Calc!$G$3:$G$22&gt;B3352)*(Calc!$G$3:$G$22-B3352)*Calc!$G$3:$G$22)</f>
        <v/>
      </c>
      <c r="N3352">
        <f>SUMPRODUCT(Calc!$K$3:$K$22*(Calc!$G$3:$G$22&gt;A3352)*(Calc!$G$3:$G$22-A3352)*Calc!$I$3:$I$22)</f>
        <v/>
      </c>
      <c r="O3352">
        <f>SUMPRODUCT(Calc!$K$3:$K$22*(Calc!$G$3:$G$22&gt;B3352)*(Calc!$G$3:$G$22-B3352)*Calc!$I$3:$I$22)</f>
        <v/>
      </c>
      <c r="P3352">
        <f>I3352-G3352^2/k_n</f>
        <v/>
      </c>
      <c r="Q3352">
        <f>J3352-H3352^2/k_n</f>
        <v/>
      </c>
      <c r="R3352">
        <f>K3352-G3352*H3352/k_n</f>
        <v/>
      </c>
      <c r="S3352">
        <f>L3352-LTP3!$D$3*G3352/k_n</f>
        <v/>
      </c>
      <c r="T3352">
        <f>M3352-LTP3!$D$3*H3352/k_n</f>
        <v/>
      </c>
      <c r="U3352">
        <f>N3352-G3352*LTP3!$D$4/k_n</f>
        <v/>
      </c>
      <c r="V3352">
        <f>O3352-H3352*LTP3!$D$4/k_n</f>
        <v/>
      </c>
      <c r="W3352">
        <f>((LTP3!$D$5)*((P3352)*(Q3352)-(R3352)*(R3352))-(S3352)*((S3352)*(Q3352)-(R3352)*(T3352))+(T3352)*((S3352)*(R3352)-(P3352)*(T3352)))</f>
        <v/>
      </c>
      <c r="X3352">
        <f>IF(ABS(W3352)&gt;1E-12,((LTP3!$D$6)*((P3352)*(Q3352)-(R3352)*(R3352))-(S3352)*((U3352)*(Q3352)-(R3352)*(V3352))+(T3352)*((U3352)*(R3352)-(P3352)*(V3352)))/W3352,0)</f>
        <v/>
      </c>
      <c r="Y3352">
        <f>IF(ABS(W3352)&gt;1E-12,((LTP3!$D$5)*((U3352)*(Q3352)-(R3352)*(V3352))-(LTP3!$D$6)*((S3352)*(Q3352)-(R3352)*(T3352))+(T3352)*((S3352)*(V3352)-(U3352)*(T3352)))/W3352,0)</f>
        <v/>
      </c>
      <c r="Z3352">
        <f>IF(ABS(W3352)&gt;1E-12,((LTP3!$D$5)*((P3352)*(V3352)-(U3352)*(R3352))-(S3352)*((S3352)*(V3352)-(U3352)*(T3352))+(LTP3!$D$6)*((S3352)*(R3352)-(P3352)*(T3352)))/W3352,0)</f>
        <v/>
      </c>
      <c r="AA3352">
        <f>LTP3!$D$7-X3352*LTP3!$D$6-Y3352*U3352-Z3352*V3352</f>
        <v/>
      </c>
      <c r="AB3352">
        <f>IF(AND(F3352,ABS(W3352)&gt;1E-12,Y3352&gt;0,Z3352&gt;0),AA3352,1E+300)</f>
        <v/>
      </c>
    </row>
    <row r="3353">
      <c r="A3353">
        <f>$B$3+$B$5*54</f>
        <v/>
      </c>
      <c r="B3353">
        <f>$B$3+$B$5*47</f>
        <v/>
      </c>
      <c r="C3353">
        <f>SUMPRODUCT(Calc!$K$3:$K$22*(Calc!$G$3:$G$22&lt;=A3353))</f>
        <v/>
      </c>
      <c r="D3353">
        <f>SUMPRODUCT(Calc!$K$3:$K$22*(Calc!$G$3:$G$22&gt;A3353)*(Calc!$G$3:$G$22&lt;B3353))</f>
        <v/>
      </c>
      <c r="E3353">
        <f>SUMPRODUCT(Calc!$K$3:$K$22*(Calc!$G$3:$G$22&gt;=B3353))</f>
        <v/>
      </c>
      <c r="F3353">
        <f>AND(k_n&gt;=5,B3353&gt;A3353+1E-9,C3353&gt;=2,D3353&gt;=1,E3353&gt;=2)</f>
        <v/>
      </c>
      <c r="G3353">
        <f>SUMPRODUCT(Calc!$K$3:$K$22*(Calc!$G$3:$G$22&gt;A3353)*(Calc!$G$3:$G$22-A3353))</f>
        <v/>
      </c>
      <c r="H3353">
        <f>SUMPRODUCT(Calc!$K$3:$K$22*(Calc!$G$3:$G$22&gt;B3353)*(Calc!$G$3:$G$22-B3353))</f>
        <v/>
      </c>
      <c r="I3353">
        <f>SUMPRODUCT(Calc!$K$3:$K$22*(Calc!$G$3:$G$22&gt;A3353)*(Calc!$G$3:$G$22-A3353)^2)</f>
        <v/>
      </c>
      <c r="J3353">
        <f>SUMPRODUCT(Calc!$K$3:$K$22*(Calc!$G$3:$G$22&gt;B3353)*(Calc!$G$3:$G$22-B3353)^2)</f>
        <v/>
      </c>
      <c r="K3353">
        <f>SUMPRODUCT(Calc!$K$3:$K$22*(Calc!$G$3:$G$22&gt;A3353)*(Calc!$G$3:$G$22-A3353)*(Calc!$G$3:$G$22&gt;B3353)*(Calc!$G$3:$G$22-B3353))</f>
        <v/>
      </c>
      <c r="L3353">
        <f>SUMPRODUCT(Calc!$K$3:$K$22*(Calc!$G$3:$G$22&gt;A3353)*(Calc!$G$3:$G$22-A3353)*Calc!$G$3:$G$22)</f>
        <v/>
      </c>
      <c r="M3353">
        <f>SUMPRODUCT(Calc!$K$3:$K$22*(Calc!$G$3:$G$22&gt;B3353)*(Calc!$G$3:$G$22-B3353)*Calc!$G$3:$G$22)</f>
        <v/>
      </c>
      <c r="N3353">
        <f>SUMPRODUCT(Calc!$K$3:$K$22*(Calc!$G$3:$G$22&gt;A3353)*(Calc!$G$3:$G$22-A3353)*Calc!$I$3:$I$22)</f>
        <v/>
      </c>
      <c r="O3353">
        <f>SUMPRODUCT(Calc!$K$3:$K$22*(Calc!$G$3:$G$22&gt;B3353)*(Calc!$G$3:$G$22-B3353)*Calc!$I$3:$I$22)</f>
        <v/>
      </c>
      <c r="P3353">
        <f>I3353-G3353^2/k_n</f>
        <v/>
      </c>
      <c r="Q3353">
        <f>J3353-H3353^2/k_n</f>
        <v/>
      </c>
      <c r="R3353">
        <f>K3353-G3353*H3353/k_n</f>
        <v/>
      </c>
      <c r="S3353">
        <f>L3353-LTP3!$D$3*G3353/k_n</f>
        <v/>
      </c>
      <c r="T3353">
        <f>M3353-LTP3!$D$3*H3353/k_n</f>
        <v/>
      </c>
      <c r="U3353">
        <f>N3353-G3353*LTP3!$D$4/k_n</f>
        <v/>
      </c>
      <c r="V3353">
        <f>O3353-H3353*LTP3!$D$4/k_n</f>
        <v/>
      </c>
      <c r="W3353">
        <f>((LTP3!$D$5)*((P3353)*(Q3353)-(R3353)*(R3353))-(S3353)*((S3353)*(Q3353)-(R3353)*(T3353))+(T3353)*((S3353)*(R3353)-(P3353)*(T3353)))</f>
        <v/>
      </c>
      <c r="X3353">
        <f>IF(ABS(W3353)&gt;1E-12,((LTP3!$D$6)*((P3353)*(Q3353)-(R3353)*(R3353))-(S3353)*((U3353)*(Q3353)-(R3353)*(V3353))+(T3353)*((U3353)*(R3353)-(P3353)*(V3353)))/W3353,0)</f>
        <v/>
      </c>
      <c r="Y3353">
        <f>IF(ABS(W3353)&gt;1E-12,((LTP3!$D$5)*((U3353)*(Q3353)-(R3353)*(V3353))-(LTP3!$D$6)*((S3353)*(Q3353)-(R3353)*(T3353))+(T3353)*((S3353)*(V3353)-(U3353)*(T3353)))/W3353,0)</f>
        <v/>
      </c>
      <c r="Z3353">
        <f>IF(ABS(W3353)&gt;1E-12,((LTP3!$D$5)*((P3353)*(V3353)-(U3353)*(R3353))-(S3353)*((S3353)*(V3353)-(U3353)*(T3353))+(LTP3!$D$6)*((S3353)*(R3353)-(P3353)*(T3353)))/W3353,0)</f>
        <v/>
      </c>
      <c r="AA3353">
        <f>LTP3!$D$7-X3353*LTP3!$D$6-Y3353*U3353-Z3353*V3353</f>
        <v/>
      </c>
      <c r="AB3353">
        <f>IF(AND(F3353,ABS(W3353)&gt;1E-12,Y3353&gt;0,Z3353&gt;0),AA3353,1E+300)</f>
        <v/>
      </c>
    </row>
    <row r="3354">
      <c r="A3354">
        <f>$B$3+$B$5*54</f>
        <v/>
      </c>
      <c r="B3354">
        <f>$B$3+$B$5*48</f>
        <v/>
      </c>
      <c r="C3354">
        <f>SUMPRODUCT(Calc!$K$3:$K$22*(Calc!$G$3:$G$22&lt;=A3354))</f>
        <v/>
      </c>
      <c r="D3354">
        <f>SUMPRODUCT(Calc!$K$3:$K$22*(Calc!$G$3:$G$22&gt;A3354)*(Calc!$G$3:$G$22&lt;B3354))</f>
        <v/>
      </c>
      <c r="E3354">
        <f>SUMPRODUCT(Calc!$K$3:$K$22*(Calc!$G$3:$G$22&gt;=B3354))</f>
        <v/>
      </c>
      <c r="F3354">
        <f>AND(k_n&gt;=5,B3354&gt;A3354+1E-9,C3354&gt;=2,D3354&gt;=1,E3354&gt;=2)</f>
        <v/>
      </c>
      <c r="G3354">
        <f>SUMPRODUCT(Calc!$K$3:$K$22*(Calc!$G$3:$G$22&gt;A3354)*(Calc!$G$3:$G$22-A3354))</f>
        <v/>
      </c>
      <c r="H3354">
        <f>SUMPRODUCT(Calc!$K$3:$K$22*(Calc!$G$3:$G$22&gt;B3354)*(Calc!$G$3:$G$22-B3354))</f>
        <v/>
      </c>
      <c r="I3354">
        <f>SUMPRODUCT(Calc!$K$3:$K$22*(Calc!$G$3:$G$22&gt;A3354)*(Calc!$G$3:$G$22-A3354)^2)</f>
        <v/>
      </c>
      <c r="J3354">
        <f>SUMPRODUCT(Calc!$K$3:$K$22*(Calc!$G$3:$G$22&gt;B3354)*(Calc!$G$3:$G$22-B3354)^2)</f>
        <v/>
      </c>
      <c r="K3354">
        <f>SUMPRODUCT(Calc!$K$3:$K$22*(Calc!$G$3:$G$22&gt;A3354)*(Calc!$G$3:$G$22-A3354)*(Calc!$G$3:$G$22&gt;B3354)*(Calc!$G$3:$G$22-B3354))</f>
        <v/>
      </c>
      <c r="L3354">
        <f>SUMPRODUCT(Calc!$K$3:$K$22*(Calc!$G$3:$G$22&gt;A3354)*(Calc!$G$3:$G$22-A3354)*Calc!$G$3:$G$22)</f>
        <v/>
      </c>
      <c r="M3354">
        <f>SUMPRODUCT(Calc!$K$3:$K$22*(Calc!$G$3:$G$22&gt;B3354)*(Calc!$G$3:$G$22-B3354)*Calc!$G$3:$G$22)</f>
        <v/>
      </c>
      <c r="N3354">
        <f>SUMPRODUCT(Calc!$K$3:$K$22*(Calc!$G$3:$G$22&gt;A3354)*(Calc!$G$3:$G$22-A3354)*Calc!$I$3:$I$22)</f>
        <v/>
      </c>
      <c r="O3354">
        <f>SUMPRODUCT(Calc!$K$3:$K$22*(Calc!$G$3:$G$22&gt;B3354)*(Calc!$G$3:$G$22-B3354)*Calc!$I$3:$I$22)</f>
        <v/>
      </c>
      <c r="P3354">
        <f>I3354-G3354^2/k_n</f>
        <v/>
      </c>
      <c r="Q3354">
        <f>J3354-H3354^2/k_n</f>
        <v/>
      </c>
      <c r="R3354">
        <f>K3354-G3354*H3354/k_n</f>
        <v/>
      </c>
      <c r="S3354">
        <f>L3354-LTP3!$D$3*G3354/k_n</f>
        <v/>
      </c>
      <c r="T3354">
        <f>M3354-LTP3!$D$3*H3354/k_n</f>
        <v/>
      </c>
      <c r="U3354">
        <f>N3354-G3354*LTP3!$D$4/k_n</f>
        <v/>
      </c>
      <c r="V3354">
        <f>O3354-H3354*LTP3!$D$4/k_n</f>
        <v/>
      </c>
      <c r="W3354">
        <f>((LTP3!$D$5)*((P3354)*(Q3354)-(R3354)*(R3354))-(S3354)*((S3354)*(Q3354)-(R3354)*(T3354))+(T3354)*((S3354)*(R3354)-(P3354)*(T3354)))</f>
        <v/>
      </c>
      <c r="X3354">
        <f>IF(ABS(W3354)&gt;1E-12,((LTP3!$D$6)*((P3354)*(Q3354)-(R3354)*(R3354))-(S3354)*((U3354)*(Q3354)-(R3354)*(V3354))+(T3354)*((U3354)*(R3354)-(P3354)*(V3354)))/W3354,0)</f>
        <v/>
      </c>
      <c r="Y3354">
        <f>IF(ABS(W3354)&gt;1E-12,((LTP3!$D$5)*((U3354)*(Q3354)-(R3354)*(V3354))-(LTP3!$D$6)*((S3354)*(Q3354)-(R3354)*(T3354))+(T3354)*((S3354)*(V3354)-(U3354)*(T3354)))/W3354,0)</f>
        <v/>
      </c>
      <c r="Z3354">
        <f>IF(ABS(W3354)&gt;1E-12,((LTP3!$D$5)*((P3354)*(V3354)-(U3354)*(R3354))-(S3354)*((S3354)*(V3354)-(U3354)*(T3354))+(LTP3!$D$6)*((S3354)*(R3354)-(P3354)*(T3354)))/W3354,0)</f>
        <v/>
      </c>
      <c r="AA3354">
        <f>LTP3!$D$7-X3354*LTP3!$D$6-Y3354*U3354-Z3354*V3354</f>
        <v/>
      </c>
      <c r="AB3354">
        <f>IF(AND(F3354,ABS(W3354)&gt;1E-12,Y3354&gt;0,Z3354&gt;0),AA3354,1E+300)</f>
        <v/>
      </c>
    </row>
    <row r="3355">
      <c r="A3355">
        <f>$B$3+$B$5*54</f>
        <v/>
      </c>
      <c r="B3355">
        <f>$B$3+$B$5*49</f>
        <v/>
      </c>
      <c r="C3355">
        <f>SUMPRODUCT(Calc!$K$3:$K$22*(Calc!$G$3:$G$22&lt;=A3355))</f>
        <v/>
      </c>
      <c r="D3355">
        <f>SUMPRODUCT(Calc!$K$3:$K$22*(Calc!$G$3:$G$22&gt;A3355)*(Calc!$G$3:$G$22&lt;B3355))</f>
        <v/>
      </c>
      <c r="E3355">
        <f>SUMPRODUCT(Calc!$K$3:$K$22*(Calc!$G$3:$G$22&gt;=B3355))</f>
        <v/>
      </c>
      <c r="F3355">
        <f>AND(k_n&gt;=5,B3355&gt;A3355+1E-9,C3355&gt;=2,D3355&gt;=1,E3355&gt;=2)</f>
        <v/>
      </c>
      <c r="G3355">
        <f>SUMPRODUCT(Calc!$K$3:$K$22*(Calc!$G$3:$G$22&gt;A3355)*(Calc!$G$3:$G$22-A3355))</f>
        <v/>
      </c>
      <c r="H3355">
        <f>SUMPRODUCT(Calc!$K$3:$K$22*(Calc!$G$3:$G$22&gt;B3355)*(Calc!$G$3:$G$22-B3355))</f>
        <v/>
      </c>
      <c r="I3355">
        <f>SUMPRODUCT(Calc!$K$3:$K$22*(Calc!$G$3:$G$22&gt;A3355)*(Calc!$G$3:$G$22-A3355)^2)</f>
        <v/>
      </c>
      <c r="J3355">
        <f>SUMPRODUCT(Calc!$K$3:$K$22*(Calc!$G$3:$G$22&gt;B3355)*(Calc!$G$3:$G$22-B3355)^2)</f>
        <v/>
      </c>
      <c r="K3355">
        <f>SUMPRODUCT(Calc!$K$3:$K$22*(Calc!$G$3:$G$22&gt;A3355)*(Calc!$G$3:$G$22-A3355)*(Calc!$G$3:$G$22&gt;B3355)*(Calc!$G$3:$G$22-B3355))</f>
        <v/>
      </c>
      <c r="L3355">
        <f>SUMPRODUCT(Calc!$K$3:$K$22*(Calc!$G$3:$G$22&gt;A3355)*(Calc!$G$3:$G$22-A3355)*Calc!$G$3:$G$22)</f>
        <v/>
      </c>
      <c r="M3355">
        <f>SUMPRODUCT(Calc!$K$3:$K$22*(Calc!$G$3:$G$22&gt;B3355)*(Calc!$G$3:$G$22-B3355)*Calc!$G$3:$G$22)</f>
        <v/>
      </c>
      <c r="N3355">
        <f>SUMPRODUCT(Calc!$K$3:$K$22*(Calc!$G$3:$G$22&gt;A3355)*(Calc!$G$3:$G$22-A3355)*Calc!$I$3:$I$22)</f>
        <v/>
      </c>
      <c r="O3355">
        <f>SUMPRODUCT(Calc!$K$3:$K$22*(Calc!$G$3:$G$22&gt;B3355)*(Calc!$G$3:$G$22-B3355)*Calc!$I$3:$I$22)</f>
        <v/>
      </c>
      <c r="P3355">
        <f>I3355-G3355^2/k_n</f>
        <v/>
      </c>
      <c r="Q3355">
        <f>J3355-H3355^2/k_n</f>
        <v/>
      </c>
      <c r="R3355">
        <f>K3355-G3355*H3355/k_n</f>
        <v/>
      </c>
      <c r="S3355">
        <f>L3355-LTP3!$D$3*G3355/k_n</f>
        <v/>
      </c>
      <c r="T3355">
        <f>M3355-LTP3!$D$3*H3355/k_n</f>
        <v/>
      </c>
      <c r="U3355">
        <f>N3355-G3355*LTP3!$D$4/k_n</f>
        <v/>
      </c>
      <c r="V3355">
        <f>O3355-H3355*LTP3!$D$4/k_n</f>
        <v/>
      </c>
      <c r="W3355">
        <f>((LTP3!$D$5)*((P3355)*(Q3355)-(R3355)*(R3355))-(S3355)*((S3355)*(Q3355)-(R3355)*(T3355))+(T3355)*((S3355)*(R3355)-(P3355)*(T3355)))</f>
        <v/>
      </c>
      <c r="X3355">
        <f>IF(ABS(W3355)&gt;1E-12,((LTP3!$D$6)*((P3355)*(Q3355)-(R3355)*(R3355))-(S3355)*((U3355)*(Q3355)-(R3355)*(V3355))+(T3355)*((U3355)*(R3355)-(P3355)*(V3355)))/W3355,0)</f>
        <v/>
      </c>
      <c r="Y3355">
        <f>IF(ABS(W3355)&gt;1E-12,((LTP3!$D$5)*((U3355)*(Q3355)-(R3355)*(V3355))-(LTP3!$D$6)*((S3355)*(Q3355)-(R3355)*(T3355))+(T3355)*((S3355)*(V3355)-(U3355)*(T3355)))/W3355,0)</f>
        <v/>
      </c>
      <c r="Z3355">
        <f>IF(ABS(W3355)&gt;1E-12,((LTP3!$D$5)*((P3355)*(V3355)-(U3355)*(R3355))-(S3355)*((S3355)*(V3355)-(U3355)*(T3355))+(LTP3!$D$6)*((S3355)*(R3355)-(P3355)*(T3355)))/W3355,0)</f>
        <v/>
      </c>
      <c r="AA3355">
        <f>LTP3!$D$7-X3355*LTP3!$D$6-Y3355*U3355-Z3355*V3355</f>
        <v/>
      </c>
      <c r="AB3355">
        <f>IF(AND(F3355,ABS(W3355)&gt;1E-12,Y3355&gt;0,Z3355&gt;0),AA3355,1E+300)</f>
        <v/>
      </c>
    </row>
    <row r="3356">
      <c r="A3356">
        <f>$B$3+$B$5*54</f>
        <v/>
      </c>
      <c r="B3356">
        <f>$B$3+$B$5*50</f>
        <v/>
      </c>
      <c r="C3356">
        <f>SUMPRODUCT(Calc!$K$3:$K$22*(Calc!$G$3:$G$22&lt;=A3356))</f>
        <v/>
      </c>
      <c r="D3356">
        <f>SUMPRODUCT(Calc!$K$3:$K$22*(Calc!$G$3:$G$22&gt;A3356)*(Calc!$G$3:$G$22&lt;B3356))</f>
        <v/>
      </c>
      <c r="E3356">
        <f>SUMPRODUCT(Calc!$K$3:$K$22*(Calc!$G$3:$G$22&gt;=B3356))</f>
        <v/>
      </c>
      <c r="F3356">
        <f>AND(k_n&gt;=5,B3356&gt;A3356+1E-9,C3356&gt;=2,D3356&gt;=1,E3356&gt;=2)</f>
        <v/>
      </c>
      <c r="G3356">
        <f>SUMPRODUCT(Calc!$K$3:$K$22*(Calc!$G$3:$G$22&gt;A3356)*(Calc!$G$3:$G$22-A3356))</f>
        <v/>
      </c>
      <c r="H3356">
        <f>SUMPRODUCT(Calc!$K$3:$K$22*(Calc!$G$3:$G$22&gt;B3356)*(Calc!$G$3:$G$22-B3356))</f>
        <v/>
      </c>
      <c r="I3356">
        <f>SUMPRODUCT(Calc!$K$3:$K$22*(Calc!$G$3:$G$22&gt;A3356)*(Calc!$G$3:$G$22-A3356)^2)</f>
        <v/>
      </c>
      <c r="J3356">
        <f>SUMPRODUCT(Calc!$K$3:$K$22*(Calc!$G$3:$G$22&gt;B3356)*(Calc!$G$3:$G$22-B3356)^2)</f>
        <v/>
      </c>
      <c r="K3356">
        <f>SUMPRODUCT(Calc!$K$3:$K$22*(Calc!$G$3:$G$22&gt;A3356)*(Calc!$G$3:$G$22-A3356)*(Calc!$G$3:$G$22&gt;B3356)*(Calc!$G$3:$G$22-B3356))</f>
        <v/>
      </c>
      <c r="L3356">
        <f>SUMPRODUCT(Calc!$K$3:$K$22*(Calc!$G$3:$G$22&gt;A3356)*(Calc!$G$3:$G$22-A3356)*Calc!$G$3:$G$22)</f>
        <v/>
      </c>
      <c r="M3356">
        <f>SUMPRODUCT(Calc!$K$3:$K$22*(Calc!$G$3:$G$22&gt;B3356)*(Calc!$G$3:$G$22-B3356)*Calc!$G$3:$G$22)</f>
        <v/>
      </c>
      <c r="N3356">
        <f>SUMPRODUCT(Calc!$K$3:$K$22*(Calc!$G$3:$G$22&gt;A3356)*(Calc!$G$3:$G$22-A3356)*Calc!$I$3:$I$22)</f>
        <v/>
      </c>
      <c r="O3356">
        <f>SUMPRODUCT(Calc!$K$3:$K$22*(Calc!$G$3:$G$22&gt;B3356)*(Calc!$G$3:$G$22-B3356)*Calc!$I$3:$I$22)</f>
        <v/>
      </c>
      <c r="P3356">
        <f>I3356-G3356^2/k_n</f>
        <v/>
      </c>
      <c r="Q3356">
        <f>J3356-H3356^2/k_n</f>
        <v/>
      </c>
      <c r="R3356">
        <f>K3356-G3356*H3356/k_n</f>
        <v/>
      </c>
      <c r="S3356">
        <f>L3356-LTP3!$D$3*G3356/k_n</f>
        <v/>
      </c>
      <c r="T3356">
        <f>M3356-LTP3!$D$3*H3356/k_n</f>
        <v/>
      </c>
      <c r="U3356">
        <f>N3356-G3356*LTP3!$D$4/k_n</f>
        <v/>
      </c>
      <c r="V3356">
        <f>O3356-H3356*LTP3!$D$4/k_n</f>
        <v/>
      </c>
      <c r="W3356">
        <f>((LTP3!$D$5)*((P3356)*(Q3356)-(R3356)*(R3356))-(S3356)*((S3356)*(Q3356)-(R3356)*(T3356))+(T3356)*((S3356)*(R3356)-(P3356)*(T3356)))</f>
        <v/>
      </c>
      <c r="X3356">
        <f>IF(ABS(W3356)&gt;1E-12,((LTP3!$D$6)*((P3356)*(Q3356)-(R3356)*(R3356))-(S3356)*((U3356)*(Q3356)-(R3356)*(V3356))+(T3356)*((U3356)*(R3356)-(P3356)*(V3356)))/W3356,0)</f>
        <v/>
      </c>
      <c r="Y3356">
        <f>IF(ABS(W3356)&gt;1E-12,((LTP3!$D$5)*((U3356)*(Q3356)-(R3356)*(V3356))-(LTP3!$D$6)*((S3356)*(Q3356)-(R3356)*(T3356))+(T3356)*((S3356)*(V3356)-(U3356)*(T3356)))/W3356,0)</f>
        <v/>
      </c>
      <c r="Z3356">
        <f>IF(ABS(W3356)&gt;1E-12,((LTP3!$D$5)*((P3356)*(V3356)-(U3356)*(R3356))-(S3356)*((S3356)*(V3356)-(U3356)*(T3356))+(LTP3!$D$6)*((S3356)*(R3356)-(P3356)*(T3356)))/W3356,0)</f>
        <v/>
      </c>
      <c r="AA3356">
        <f>LTP3!$D$7-X3356*LTP3!$D$6-Y3356*U3356-Z3356*V3356</f>
        <v/>
      </c>
      <c r="AB3356">
        <f>IF(AND(F3356,ABS(W3356)&gt;1E-12,Y3356&gt;0,Z3356&gt;0),AA3356,1E+300)</f>
        <v/>
      </c>
    </row>
    <row r="3357">
      <c r="A3357">
        <f>$B$3+$B$5*54</f>
        <v/>
      </c>
      <c r="B3357">
        <f>$B$3+$B$5*51</f>
        <v/>
      </c>
      <c r="C3357">
        <f>SUMPRODUCT(Calc!$K$3:$K$22*(Calc!$G$3:$G$22&lt;=A3357))</f>
        <v/>
      </c>
      <c r="D3357">
        <f>SUMPRODUCT(Calc!$K$3:$K$22*(Calc!$G$3:$G$22&gt;A3357)*(Calc!$G$3:$G$22&lt;B3357))</f>
        <v/>
      </c>
      <c r="E3357">
        <f>SUMPRODUCT(Calc!$K$3:$K$22*(Calc!$G$3:$G$22&gt;=B3357))</f>
        <v/>
      </c>
      <c r="F3357">
        <f>AND(k_n&gt;=5,B3357&gt;A3357+1E-9,C3357&gt;=2,D3357&gt;=1,E3357&gt;=2)</f>
        <v/>
      </c>
      <c r="G3357">
        <f>SUMPRODUCT(Calc!$K$3:$K$22*(Calc!$G$3:$G$22&gt;A3357)*(Calc!$G$3:$G$22-A3357))</f>
        <v/>
      </c>
      <c r="H3357">
        <f>SUMPRODUCT(Calc!$K$3:$K$22*(Calc!$G$3:$G$22&gt;B3357)*(Calc!$G$3:$G$22-B3357))</f>
        <v/>
      </c>
      <c r="I3357">
        <f>SUMPRODUCT(Calc!$K$3:$K$22*(Calc!$G$3:$G$22&gt;A3357)*(Calc!$G$3:$G$22-A3357)^2)</f>
        <v/>
      </c>
      <c r="J3357">
        <f>SUMPRODUCT(Calc!$K$3:$K$22*(Calc!$G$3:$G$22&gt;B3357)*(Calc!$G$3:$G$22-B3357)^2)</f>
        <v/>
      </c>
      <c r="K3357">
        <f>SUMPRODUCT(Calc!$K$3:$K$22*(Calc!$G$3:$G$22&gt;A3357)*(Calc!$G$3:$G$22-A3357)*(Calc!$G$3:$G$22&gt;B3357)*(Calc!$G$3:$G$22-B3357))</f>
        <v/>
      </c>
      <c r="L3357">
        <f>SUMPRODUCT(Calc!$K$3:$K$22*(Calc!$G$3:$G$22&gt;A3357)*(Calc!$G$3:$G$22-A3357)*Calc!$G$3:$G$22)</f>
        <v/>
      </c>
      <c r="M3357">
        <f>SUMPRODUCT(Calc!$K$3:$K$22*(Calc!$G$3:$G$22&gt;B3357)*(Calc!$G$3:$G$22-B3357)*Calc!$G$3:$G$22)</f>
        <v/>
      </c>
      <c r="N3357">
        <f>SUMPRODUCT(Calc!$K$3:$K$22*(Calc!$G$3:$G$22&gt;A3357)*(Calc!$G$3:$G$22-A3357)*Calc!$I$3:$I$22)</f>
        <v/>
      </c>
      <c r="O3357">
        <f>SUMPRODUCT(Calc!$K$3:$K$22*(Calc!$G$3:$G$22&gt;B3357)*(Calc!$G$3:$G$22-B3357)*Calc!$I$3:$I$22)</f>
        <v/>
      </c>
      <c r="P3357">
        <f>I3357-G3357^2/k_n</f>
        <v/>
      </c>
      <c r="Q3357">
        <f>J3357-H3357^2/k_n</f>
        <v/>
      </c>
      <c r="R3357">
        <f>K3357-G3357*H3357/k_n</f>
        <v/>
      </c>
      <c r="S3357">
        <f>L3357-LTP3!$D$3*G3357/k_n</f>
        <v/>
      </c>
      <c r="T3357">
        <f>M3357-LTP3!$D$3*H3357/k_n</f>
        <v/>
      </c>
      <c r="U3357">
        <f>N3357-G3357*LTP3!$D$4/k_n</f>
        <v/>
      </c>
      <c r="V3357">
        <f>O3357-H3357*LTP3!$D$4/k_n</f>
        <v/>
      </c>
      <c r="W3357">
        <f>((LTP3!$D$5)*((P3357)*(Q3357)-(R3357)*(R3357))-(S3357)*((S3357)*(Q3357)-(R3357)*(T3357))+(T3357)*((S3357)*(R3357)-(P3357)*(T3357)))</f>
        <v/>
      </c>
      <c r="X3357">
        <f>IF(ABS(W3357)&gt;1E-12,((LTP3!$D$6)*((P3357)*(Q3357)-(R3357)*(R3357))-(S3357)*((U3357)*(Q3357)-(R3357)*(V3357))+(T3357)*((U3357)*(R3357)-(P3357)*(V3357)))/W3357,0)</f>
        <v/>
      </c>
      <c r="Y3357">
        <f>IF(ABS(W3357)&gt;1E-12,((LTP3!$D$5)*((U3357)*(Q3357)-(R3357)*(V3357))-(LTP3!$D$6)*((S3357)*(Q3357)-(R3357)*(T3357))+(T3357)*((S3357)*(V3357)-(U3357)*(T3357)))/W3357,0)</f>
        <v/>
      </c>
      <c r="Z3357">
        <f>IF(ABS(W3357)&gt;1E-12,((LTP3!$D$5)*((P3357)*(V3357)-(U3357)*(R3357))-(S3357)*((S3357)*(V3357)-(U3357)*(T3357))+(LTP3!$D$6)*((S3357)*(R3357)-(P3357)*(T3357)))/W3357,0)</f>
        <v/>
      </c>
      <c r="AA3357">
        <f>LTP3!$D$7-X3357*LTP3!$D$6-Y3357*U3357-Z3357*V3357</f>
        <v/>
      </c>
      <c r="AB3357">
        <f>IF(AND(F3357,ABS(W3357)&gt;1E-12,Y3357&gt;0,Z3357&gt;0),AA3357,1E+300)</f>
        <v/>
      </c>
    </row>
    <row r="3358">
      <c r="A3358">
        <f>$B$3+$B$5*54</f>
        <v/>
      </c>
      <c r="B3358">
        <f>$B$3+$B$5*52</f>
        <v/>
      </c>
      <c r="C3358">
        <f>SUMPRODUCT(Calc!$K$3:$K$22*(Calc!$G$3:$G$22&lt;=A3358))</f>
        <v/>
      </c>
      <c r="D3358">
        <f>SUMPRODUCT(Calc!$K$3:$K$22*(Calc!$G$3:$G$22&gt;A3358)*(Calc!$G$3:$G$22&lt;B3358))</f>
        <v/>
      </c>
      <c r="E3358">
        <f>SUMPRODUCT(Calc!$K$3:$K$22*(Calc!$G$3:$G$22&gt;=B3358))</f>
        <v/>
      </c>
      <c r="F3358">
        <f>AND(k_n&gt;=5,B3358&gt;A3358+1E-9,C3358&gt;=2,D3358&gt;=1,E3358&gt;=2)</f>
        <v/>
      </c>
      <c r="G3358">
        <f>SUMPRODUCT(Calc!$K$3:$K$22*(Calc!$G$3:$G$22&gt;A3358)*(Calc!$G$3:$G$22-A3358))</f>
        <v/>
      </c>
      <c r="H3358">
        <f>SUMPRODUCT(Calc!$K$3:$K$22*(Calc!$G$3:$G$22&gt;B3358)*(Calc!$G$3:$G$22-B3358))</f>
        <v/>
      </c>
      <c r="I3358">
        <f>SUMPRODUCT(Calc!$K$3:$K$22*(Calc!$G$3:$G$22&gt;A3358)*(Calc!$G$3:$G$22-A3358)^2)</f>
        <v/>
      </c>
      <c r="J3358">
        <f>SUMPRODUCT(Calc!$K$3:$K$22*(Calc!$G$3:$G$22&gt;B3358)*(Calc!$G$3:$G$22-B3358)^2)</f>
        <v/>
      </c>
      <c r="K3358">
        <f>SUMPRODUCT(Calc!$K$3:$K$22*(Calc!$G$3:$G$22&gt;A3358)*(Calc!$G$3:$G$22-A3358)*(Calc!$G$3:$G$22&gt;B3358)*(Calc!$G$3:$G$22-B3358))</f>
        <v/>
      </c>
      <c r="L3358">
        <f>SUMPRODUCT(Calc!$K$3:$K$22*(Calc!$G$3:$G$22&gt;A3358)*(Calc!$G$3:$G$22-A3358)*Calc!$G$3:$G$22)</f>
        <v/>
      </c>
      <c r="M3358">
        <f>SUMPRODUCT(Calc!$K$3:$K$22*(Calc!$G$3:$G$22&gt;B3358)*(Calc!$G$3:$G$22-B3358)*Calc!$G$3:$G$22)</f>
        <v/>
      </c>
      <c r="N3358">
        <f>SUMPRODUCT(Calc!$K$3:$K$22*(Calc!$G$3:$G$22&gt;A3358)*(Calc!$G$3:$G$22-A3358)*Calc!$I$3:$I$22)</f>
        <v/>
      </c>
      <c r="O3358">
        <f>SUMPRODUCT(Calc!$K$3:$K$22*(Calc!$G$3:$G$22&gt;B3358)*(Calc!$G$3:$G$22-B3358)*Calc!$I$3:$I$22)</f>
        <v/>
      </c>
      <c r="P3358">
        <f>I3358-G3358^2/k_n</f>
        <v/>
      </c>
      <c r="Q3358">
        <f>J3358-H3358^2/k_n</f>
        <v/>
      </c>
      <c r="R3358">
        <f>K3358-G3358*H3358/k_n</f>
        <v/>
      </c>
      <c r="S3358">
        <f>L3358-LTP3!$D$3*G3358/k_n</f>
        <v/>
      </c>
      <c r="T3358">
        <f>M3358-LTP3!$D$3*H3358/k_n</f>
        <v/>
      </c>
      <c r="U3358">
        <f>N3358-G3358*LTP3!$D$4/k_n</f>
        <v/>
      </c>
      <c r="V3358">
        <f>O3358-H3358*LTP3!$D$4/k_n</f>
        <v/>
      </c>
      <c r="W3358">
        <f>((LTP3!$D$5)*((P3358)*(Q3358)-(R3358)*(R3358))-(S3358)*((S3358)*(Q3358)-(R3358)*(T3358))+(T3358)*((S3358)*(R3358)-(P3358)*(T3358)))</f>
        <v/>
      </c>
      <c r="X3358">
        <f>IF(ABS(W3358)&gt;1E-12,((LTP3!$D$6)*((P3358)*(Q3358)-(R3358)*(R3358))-(S3358)*((U3358)*(Q3358)-(R3358)*(V3358))+(T3358)*((U3358)*(R3358)-(P3358)*(V3358)))/W3358,0)</f>
        <v/>
      </c>
      <c r="Y3358">
        <f>IF(ABS(W3358)&gt;1E-12,((LTP3!$D$5)*((U3358)*(Q3358)-(R3358)*(V3358))-(LTP3!$D$6)*((S3358)*(Q3358)-(R3358)*(T3358))+(T3358)*((S3358)*(V3358)-(U3358)*(T3358)))/W3358,0)</f>
        <v/>
      </c>
      <c r="Z3358">
        <f>IF(ABS(W3358)&gt;1E-12,((LTP3!$D$5)*((P3358)*(V3358)-(U3358)*(R3358))-(S3358)*((S3358)*(V3358)-(U3358)*(T3358))+(LTP3!$D$6)*((S3358)*(R3358)-(P3358)*(T3358)))/W3358,0)</f>
        <v/>
      </c>
      <c r="AA3358">
        <f>LTP3!$D$7-X3358*LTP3!$D$6-Y3358*U3358-Z3358*V3358</f>
        <v/>
      </c>
      <c r="AB3358">
        <f>IF(AND(F3358,ABS(W3358)&gt;1E-12,Y3358&gt;0,Z3358&gt;0),AA3358,1E+300)</f>
        <v/>
      </c>
    </row>
    <row r="3359">
      <c r="A3359">
        <f>$B$3+$B$5*54</f>
        <v/>
      </c>
      <c r="B3359">
        <f>$B$3+$B$5*53</f>
        <v/>
      </c>
      <c r="C3359">
        <f>SUMPRODUCT(Calc!$K$3:$K$22*(Calc!$G$3:$G$22&lt;=A3359))</f>
        <v/>
      </c>
      <c r="D3359">
        <f>SUMPRODUCT(Calc!$K$3:$K$22*(Calc!$G$3:$G$22&gt;A3359)*(Calc!$G$3:$G$22&lt;B3359))</f>
        <v/>
      </c>
      <c r="E3359">
        <f>SUMPRODUCT(Calc!$K$3:$K$22*(Calc!$G$3:$G$22&gt;=B3359))</f>
        <v/>
      </c>
      <c r="F3359">
        <f>AND(k_n&gt;=5,B3359&gt;A3359+1E-9,C3359&gt;=2,D3359&gt;=1,E3359&gt;=2)</f>
        <v/>
      </c>
      <c r="G3359">
        <f>SUMPRODUCT(Calc!$K$3:$K$22*(Calc!$G$3:$G$22&gt;A3359)*(Calc!$G$3:$G$22-A3359))</f>
        <v/>
      </c>
      <c r="H3359">
        <f>SUMPRODUCT(Calc!$K$3:$K$22*(Calc!$G$3:$G$22&gt;B3359)*(Calc!$G$3:$G$22-B3359))</f>
        <v/>
      </c>
      <c r="I3359">
        <f>SUMPRODUCT(Calc!$K$3:$K$22*(Calc!$G$3:$G$22&gt;A3359)*(Calc!$G$3:$G$22-A3359)^2)</f>
        <v/>
      </c>
      <c r="J3359">
        <f>SUMPRODUCT(Calc!$K$3:$K$22*(Calc!$G$3:$G$22&gt;B3359)*(Calc!$G$3:$G$22-B3359)^2)</f>
        <v/>
      </c>
      <c r="K3359">
        <f>SUMPRODUCT(Calc!$K$3:$K$22*(Calc!$G$3:$G$22&gt;A3359)*(Calc!$G$3:$G$22-A3359)*(Calc!$G$3:$G$22&gt;B3359)*(Calc!$G$3:$G$22-B3359))</f>
        <v/>
      </c>
      <c r="L3359">
        <f>SUMPRODUCT(Calc!$K$3:$K$22*(Calc!$G$3:$G$22&gt;A3359)*(Calc!$G$3:$G$22-A3359)*Calc!$G$3:$G$22)</f>
        <v/>
      </c>
      <c r="M3359">
        <f>SUMPRODUCT(Calc!$K$3:$K$22*(Calc!$G$3:$G$22&gt;B3359)*(Calc!$G$3:$G$22-B3359)*Calc!$G$3:$G$22)</f>
        <v/>
      </c>
      <c r="N3359">
        <f>SUMPRODUCT(Calc!$K$3:$K$22*(Calc!$G$3:$G$22&gt;A3359)*(Calc!$G$3:$G$22-A3359)*Calc!$I$3:$I$22)</f>
        <v/>
      </c>
      <c r="O3359">
        <f>SUMPRODUCT(Calc!$K$3:$K$22*(Calc!$G$3:$G$22&gt;B3359)*(Calc!$G$3:$G$22-B3359)*Calc!$I$3:$I$22)</f>
        <v/>
      </c>
      <c r="P3359">
        <f>I3359-G3359^2/k_n</f>
        <v/>
      </c>
      <c r="Q3359">
        <f>J3359-H3359^2/k_n</f>
        <v/>
      </c>
      <c r="R3359">
        <f>K3359-G3359*H3359/k_n</f>
        <v/>
      </c>
      <c r="S3359">
        <f>L3359-LTP3!$D$3*G3359/k_n</f>
        <v/>
      </c>
      <c r="T3359">
        <f>M3359-LTP3!$D$3*H3359/k_n</f>
        <v/>
      </c>
      <c r="U3359">
        <f>N3359-G3359*LTP3!$D$4/k_n</f>
        <v/>
      </c>
      <c r="V3359">
        <f>O3359-H3359*LTP3!$D$4/k_n</f>
        <v/>
      </c>
      <c r="W3359">
        <f>((LTP3!$D$5)*((P3359)*(Q3359)-(R3359)*(R3359))-(S3359)*((S3359)*(Q3359)-(R3359)*(T3359))+(T3359)*((S3359)*(R3359)-(P3359)*(T3359)))</f>
        <v/>
      </c>
      <c r="X3359">
        <f>IF(ABS(W3359)&gt;1E-12,((LTP3!$D$6)*((P3359)*(Q3359)-(R3359)*(R3359))-(S3359)*((U3359)*(Q3359)-(R3359)*(V3359))+(T3359)*((U3359)*(R3359)-(P3359)*(V3359)))/W3359,0)</f>
        <v/>
      </c>
      <c r="Y3359">
        <f>IF(ABS(W3359)&gt;1E-12,((LTP3!$D$5)*((U3359)*(Q3359)-(R3359)*(V3359))-(LTP3!$D$6)*((S3359)*(Q3359)-(R3359)*(T3359))+(T3359)*((S3359)*(V3359)-(U3359)*(T3359)))/W3359,0)</f>
        <v/>
      </c>
      <c r="Z3359">
        <f>IF(ABS(W3359)&gt;1E-12,((LTP3!$D$5)*((P3359)*(V3359)-(U3359)*(R3359))-(S3359)*((S3359)*(V3359)-(U3359)*(T3359))+(LTP3!$D$6)*((S3359)*(R3359)-(P3359)*(T3359)))/W3359,0)</f>
        <v/>
      </c>
      <c r="AA3359">
        <f>LTP3!$D$7-X3359*LTP3!$D$6-Y3359*U3359-Z3359*V3359</f>
        <v/>
      </c>
      <c r="AB3359">
        <f>IF(AND(F3359,ABS(W3359)&gt;1E-12,Y3359&gt;0,Z3359&gt;0),AA3359,1E+300)</f>
        <v/>
      </c>
    </row>
    <row r="3360">
      <c r="A3360">
        <f>$B$3+$B$5*54</f>
        <v/>
      </c>
      <c r="B3360">
        <f>$B$3+$B$5*54</f>
        <v/>
      </c>
      <c r="C3360">
        <f>SUMPRODUCT(Calc!$K$3:$K$22*(Calc!$G$3:$G$22&lt;=A3360))</f>
        <v/>
      </c>
      <c r="D3360">
        <f>SUMPRODUCT(Calc!$K$3:$K$22*(Calc!$G$3:$G$22&gt;A3360)*(Calc!$G$3:$G$22&lt;B3360))</f>
        <v/>
      </c>
      <c r="E3360">
        <f>SUMPRODUCT(Calc!$K$3:$K$22*(Calc!$G$3:$G$22&gt;=B3360))</f>
        <v/>
      </c>
      <c r="F3360">
        <f>AND(k_n&gt;=5,B3360&gt;A3360+1E-9,C3360&gt;=2,D3360&gt;=1,E3360&gt;=2)</f>
        <v/>
      </c>
      <c r="G3360">
        <f>SUMPRODUCT(Calc!$K$3:$K$22*(Calc!$G$3:$G$22&gt;A3360)*(Calc!$G$3:$G$22-A3360))</f>
        <v/>
      </c>
      <c r="H3360">
        <f>SUMPRODUCT(Calc!$K$3:$K$22*(Calc!$G$3:$G$22&gt;B3360)*(Calc!$G$3:$G$22-B3360))</f>
        <v/>
      </c>
      <c r="I3360">
        <f>SUMPRODUCT(Calc!$K$3:$K$22*(Calc!$G$3:$G$22&gt;A3360)*(Calc!$G$3:$G$22-A3360)^2)</f>
        <v/>
      </c>
      <c r="J3360">
        <f>SUMPRODUCT(Calc!$K$3:$K$22*(Calc!$G$3:$G$22&gt;B3360)*(Calc!$G$3:$G$22-B3360)^2)</f>
        <v/>
      </c>
      <c r="K3360">
        <f>SUMPRODUCT(Calc!$K$3:$K$22*(Calc!$G$3:$G$22&gt;A3360)*(Calc!$G$3:$G$22-A3360)*(Calc!$G$3:$G$22&gt;B3360)*(Calc!$G$3:$G$22-B3360))</f>
        <v/>
      </c>
      <c r="L3360">
        <f>SUMPRODUCT(Calc!$K$3:$K$22*(Calc!$G$3:$G$22&gt;A3360)*(Calc!$G$3:$G$22-A3360)*Calc!$G$3:$G$22)</f>
        <v/>
      </c>
      <c r="M3360">
        <f>SUMPRODUCT(Calc!$K$3:$K$22*(Calc!$G$3:$G$22&gt;B3360)*(Calc!$G$3:$G$22-B3360)*Calc!$G$3:$G$22)</f>
        <v/>
      </c>
      <c r="N3360">
        <f>SUMPRODUCT(Calc!$K$3:$K$22*(Calc!$G$3:$G$22&gt;A3360)*(Calc!$G$3:$G$22-A3360)*Calc!$I$3:$I$22)</f>
        <v/>
      </c>
      <c r="O3360">
        <f>SUMPRODUCT(Calc!$K$3:$K$22*(Calc!$G$3:$G$22&gt;B3360)*(Calc!$G$3:$G$22-B3360)*Calc!$I$3:$I$22)</f>
        <v/>
      </c>
      <c r="P3360">
        <f>I3360-G3360^2/k_n</f>
        <v/>
      </c>
      <c r="Q3360">
        <f>J3360-H3360^2/k_n</f>
        <v/>
      </c>
      <c r="R3360">
        <f>K3360-G3360*H3360/k_n</f>
        <v/>
      </c>
      <c r="S3360">
        <f>L3360-LTP3!$D$3*G3360/k_n</f>
        <v/>
      </c>
      <c r="T3360">
        <f>M3360-LTP3!$D$3*H3360/k_n</f>
        <v/>
      </c>
      <c r="U3360">
        <f>N3360-G3360*LTP3!$D$4/k_n</f>
        <v/>
      </c>
      <c r="V3360">
        <f>O3360-H3360*LTP3!$D$4/k_n</f>
        <v/>
      </c>
      <c r="W3360">
        <f>((LTP3!$D$5)*((P3360)*(Q3360)-(R3360)*(R3360))-(S3360)*((S3360)*(Q3360)-(R3360)*(T3360))+(T3360)*((S3360)*(R3360)-(P3360)*(T3360)))</f>
        <v/>
      </c>
      <c r="X3360">
        <f>IF(ABS(W3360)&gt;1E-12,((LTP3!$D$6)*((P3360)*(Q3360)-(R3360)*(R3360))-(S3360)*((U3360)*(Q3360)-(R3360)*(V3360))+(T3360)*((U3360)*(R3360)-(P3360)*(V3360)))/W3360,0)</f>
        <v/>
      </c>
      <c r="Y3360">
        <f>IF(ABS(W3360)&gt;1E-12,((LTP3!$D$5)*((U3360)*(Q3360)-(R3360)*(V3360))-(LTP3!$D$6)*((S3360)*(Q3360)-(R3360)*(T3360))+(T3360)*((S3360)*(V3360)-(U3360)*(T3360)))/W3360,0)</f>
        <v/>
      </c>
      <c r="Z3360">
        <f>IF(ABS(W3360)&gt;1E-12,((LTP3!$D$5)*((P3360)*(V3360)-(U3360)*(R3360))-(S3360)*((S3360)*(V3360)-(U3360)*(T3360))+(LTP3!$D$6)*((S3360)*(R3360)-(P3360)*(T3360)))/W3360,0)</f>
        <v/>
      </c>
      <c r="AA3360">
        <f>LTP3!$D$7-X3360*LTP3!$D$6-Y3360*U3360-Z3360*V3360</f>
        <v/>
      </c>
      <c r="AB3360">
        <f>IF(AND(F3360,ABS(W3360)&gt;1E-12,Y3360&gt;0,Z3360&gt;0),AA3360,1E+300)</f>
        <v/>
      </c>
    </row>
    <row r="3361">
      <c r="A3361">
        <f>$B$3+$B$5*54</f>
        <v/>
      </c>
      <c r="B3361">
        <f>$B$3+$B$5*55</f>
        <v/>
      </c>
      <c r="C3361">
        <f>SUMPRODUCT(Calc!$K$3:$K$22*(Calc!$G$3:$G$22&lt;=A3361))</f>
        <v/>
      </c>
      <c r="D3361">
        <f>SUMPRODUCT(Calc!$K$3:$K$22*(Calc!$G$3:$G$22&gt;A3361)*(Calc!$G$3:$G$22&lt;B3361))</f>
        <v/>
      </c>
      <c r="E3361">
        <f>SUMPRODUCT(Calc!$K$3:$K$22*(Calc!$G$3:$G$22&gt;=B3361))</f>
        <v/>
      </c>
      <c r="F3361">
        <f>AND(k_n&gt;=5,B3361&gt;A3361+1E-9,C3361&gt;=2,D3361&gt;=1,E3361&gt;=2)</f>
        <v/>
      </c>
      <c r="G3361">
        <f>SUMPRODUCT(Calc!$K$3:$K$22*(Calc!$G$3:$G$22&gt;A3361)*(Calc!$G$3:$G$22-A3361))</f>
        <v/>
      </c>
      <c r="H3361">
        <f>SUMPRODUCT(Calc!$K$3:$K$22*(Calc!$G$3:$G$22&gt;B3361)*(Calc!$G$3:$G$22-B3361))</f>
        <v/>
      </c>
      <c r="I3361">
        <f>SUMPRODUCT(Calc!$K$3:$K$22*(Calc!$G$3:$G$22&gt;A3361)*(Calc!$G$3:$G$22-A3361)^2)</f>
        <v/>
      </c>
      <c r="J3361">
        <f>SUMPRODUCT(Calc!$K$3:$K$22*(Calc!$G$3:$G$22&gt;B3361)*(Calc!$G$3:$G$22-B3361)^2)</f>
        <v/>
      </c>
      <c r="K3361">
        <f>SUMPRODUCT(Calc!$K$3:$K$22*(Calc!$G$3:$G$22&gt;A3361)*(Calc!$G$3:$G$22-A3361)*(Calc!$G$3:$G$22&gt;B3361)*(Calc!$G$3:$G$22-B3361))</f>
        <v/>
      </c>
      <c r="L3361">
        <f>SUMPRODUCT(Calc!$K$3:$K$22*(Calc!$G$3:$G$22&gt;A3361)*(Calc!$G$3:$G$22-A3361)*Calc!$G$3:$G$22)</f>
        <v/>
      </c>
      <c r="M3361">
        <f>SUMPRODUCT(Calc!$K$3:$K$22*(Calc!$G$3:$G$22&gt;B3361)*(Calc!$G$3:$G$22-B3361)*Calc!$G$3:$G$22)</f>
        <v/>
      </c>
      <c r="N3361">
        <f>SUMPRODUCT(Calc!$K$3:$K$22*(Calc!$G$3:$G$22&gt;A3361)*(Calc!$G$3:$G$22-A3361)*Calc!$I$3:$I$22)</f>
        <v/>
      </c>
      <c r="O3361">
        <f>SUMPRODUCT(Calc!$K$3:$K$22*(Calc!$G$3:$G$22&gt;B3361)*(Calc!$G$3:$G$22-B3361)*Calc!$I$3:$I$22)</f>
        <v/>
      </c>
      <c r="P3361">
        <f>I3361-G3361^2/k_n</f>
        <v/>
      </c>
      <c r="Q3361">
        <f>J3361-H3361^2/k_n</f>
        <v/>
      </c>
      <c r="R3361">
        <f>K3361-G3361*H3361/k_n</f>
        <v/>
      </c>
      <c r="S3361">
        <f>L3361-LTP3!$D$3*G3361/k_n</f>
        <v/>
      </c>
      <c r="T3361">
        <f>M3361-LTP3!$D$3*H3361/k_n</f>
        <v/>
      </c>
      <c r="U3361">
        <f>N3361-G3361*LTP3!$D$4/k_n</f>
        <v/>
      </c>
      <c r="V3361">
        <f>O3361-H3361*LTP3!$D$4/k_n</f>
        <v/>
      </c>
      <c r="W3361">
        <f>((LTP3!$D$5)*((P3361)*(Q3361)-(R3361)*(R3361))-(S3361)*((S3361)*(Q3361)-(R3361)*(T3361))+(T3361)*((S3361)*(R3361)-(P3361)*(T3361)))</f>
        <v/>
      </c>
      <c r="X3361">
        <f>IF(ABS(W3361)&gt;1E-12,((LTP3!$D$6)*((P3361)*(Q3361)-(R3361)*(R3361))-(S3361)*((U3361)*(Q3361)-(R3361)*(V3361))+(T3361)*((U3361)*(R3361)-(P3361)*(V3361)))/W3361,0)</f>
        <v/>
      </c>
      <c r="Y3361">
        <f>IF(ABS(W3361)&gt;1E-12,((LTP3!$D$5)*((U3361)*(Q3361)-(R3361)*(V3361))-(LTP3!$D$6)*((S3361)*(Q3361)-(R3361)*(T3361))+(T3361)*((S3361)*(V3361)-(U3361)*(T3361)))/W3361,0)</f>
        <v/>
      </c>
      <c r="Z3361">
        <f>IF(ABS(W3361)&gt;1E-12,((LTP3!$D$5)*((P3361)*(V3361)-(U3361)*(R3361))-(S3361)*((S3361)*(V3361)-(U3361)*(T3361))+(LTP3!$D$6)*((S3361)*(R3361)-(P3361)*(T3361)))/W3361,0)</f>
        <v/>
      </c>
      <c r="AA3361">
        <f>LTP3!$D$7-X3361*LTP3!$D$6-Y3361*U3361-Z3361*V3361</f>
        <v/>
      </c>
      <c r="AB3361">
        <f>IF(AND(F3361,ABS(W3361)&gt;1E-12,Y3361&gt;0,Z3361&gt;0),AA3361,1E+300)</f>
        <v/>
      </c>
    </row>
    <row r="3362">
      <c r="A3362">
        <f>$B$3+$B$5*54</f>
        <v/>
      </c>
      <c r="B3362">
        <f>$B$3+$B$5*56</f>
        <v/>
      </c>
      <c r="C3362">
        <f>SUMPRODUCT(Calc!$K$3:$K$22*(Calc!$G$3:$G$22&lt;=A3362))</f>
        <v/>
      </c>
      <c r="D3362">
        <f>SUMPRODUCT(Calc!$K$3:$K$22*(Calc!$G$3:$G$22&gt;A3362)*(Calc!$G$3:$G$22&lt;B3362))</f>
        <v/>
      </c>
      <c r="E3362">
        <f>SUMPRODUCT(Calc!$K$3:$K$22*(Calc!$G$3:$G$22&gt;=B3362))</f>
        <v/>
      </c>
      <c r="F3362">
        <f>AND(k_n&gt;=5,B3362&gt;A3362+1E-9,C3362&gt;=2,D3362&gt;=1,E3362&gt;=2)</f>
        <v/>
      </c>
      <c r="G3362">
        <f>SUMPRODUCT(Calc!$K$3:$K$22*(Calc!$G$3:$G$22&gt;A3362)*(Calc!$G$3:$G$22-A3362))</f>
        <v/>
      </c>
      <c r="H3362">
        <f>SUMPRODUCT(Calc!$K$3:$K$22*(Calc!$G$3:$G$22&gt;B3362)*(Calc!$G$3:$G$22-B3362))</f>
        <v/>
      </c>
      <c r="I3362">
        <f>SUMPRODUCT(Calc!$K$3:$K$22*(Calc!$G$3:$G$22&gt;A3362)*(Calc!$G$3:$G$22-A3362)^2)</f>
        <v/>
      </c>
      <c r="J3362">
        <f>SUMPRODUCT(Calc!$K$3:$K$22*(Calc!$G$3:$G$22&gt;B3362)*(Calc!$G$3:$G$22-B3362)^2)</f>
        <v/>
      </c>
      <c r="K3362">
        <f>SUMPRODUCT(Calc!$K$3:$K$22*(Calc!$G$3:$G$22&gt;A3362)*(Calc!$G$3:$G$22-A3362)*(Calc!$G$3:$G$22&gt;B3362)*(Calc!$G$3:$G$22-B3362))</f>
        <v/>
      </c>
      <c r="L3362">
        <f>SUMPRODUCT(Calc!$K$3:$K$22*(Calc!$G$3:$G$22&gt;A3362)*(Calc!$G$3:$G$22-A3362)*Calc!$G$3:$G$22)</f>
        <v/>
      </c>
      <c r="M3362">
        <f>SUMPRODUCT(Calc!$K$3:$K$22*(Calc!$G$3:$G$22&gt;B3362)*(Calc!$G$3:$G$22-B3362)*Calc!$G$3:$G$22)</f>
        <v/>
      </c>
      <c r="N3362">
        <f>SUMPRODUCT(Calc!$K$3:$K$22*(Calc!$G$3:$G$22&gt;A3362)*(Calc!$G$3:$G$22-A3362)*Calc!$I$3:$I$22)</f>
        <v/>
      </c>
      <c r="O3362">
        <f>SUMPRODUCT(Calc!$K$3:$K$22*(Calc!$G$3:$G$22&gt;B3362)*(Calc!$G$3:$G$22-B3362)*Calc!$I$3:$I$22)</f>
        <v/>
      </c>
      <c r="P3362">
        <f>I3362-G3362^2/k_n</f>
        <v/>
      </c>
      <c r="Q3362">
        <f>J3362-H3362^2/k_n</f>
        <v/>
      </c>
      <c r="R3362">
        <f>K3362-G3362*H3362/k_n</f>
        <v/>
      </c>
      <c r="S3362">
        <f>L3362-LTP3!$D$3*G3362/k_n</f>
        <v/>
      </c>
      <c r="T3362">
        <f>M3362-LTP3!$D$3*H3362/k_n</f>
        <v/>
      </c>
      <c r="U3362">
        <f>N3362-G3362*LTP3!$D$4/k_n</f>
        <v/>
      </c>
      <c r="V3362">
        <f>O3362-H3362*LTP3!$D$4/k_n</f>
        <v/>
      </c>
      <c r="W3362">
        <f>((LTP3!$D$5)*((P3362)*(Q3362)-(R3362)*(R3362))-(S3362)*((S3362)*(Q3362)-(R3362)*(T3362))+(T3362)*((S3362)*(R3362)-(P3362)*(T3362)))</f>
        <v/>
      </c>
      <c r="X3362">
        <f>IF(ABS(W3362)&gt;1E-12,((LTP3!$D$6)*((P3362)*(Q3362)-(R3362)*(R3362))-(S3362)*((U3362)*(Q3362)-(R3362)*(V3362))+(T3362)*((U3362)*(R3362)-(P3362)*(V3362)))/W3362,0)</f>
        <v/>
      </c>
      <c r="Y3362">
        <f>IF(ABS(W3362)&gt;1E-12,((LTP3!$D$5)*((U3362)*(Q3362)-(R3362)*(V3362))-(LTP3!$D$6)*((S3362)*(Q3362)-(R3362)*(T3362))+(T3362)*((S3362)*(V3362)-(U3362)*(T3362)))/W3362,0)</f>
        <v/>
      </c>
      <c r="Z3362">
        <f>IF(ABS(W3362)&gt;1E-12,((LTP3!$D$5)*((P3362)*(V3362)-(U3362)*(R3362))-(S3362)*((S3362)*(V3362)-(U3362)*(T3362))+(LTP3!$D$6)*((S3362)*(R3362)-(P3362)*(T3362)))/W3362,0)</f>
        <v/>
      </c>
      <c r="AA3362">
        <f>LTP3!$D$7-X3362*LTP3!$D$6-Y3362*U3362-Z3362*V3362</f>
        <v/>
      </c>
      <c r="AB3362">
        <f>IF(AND(F3362,ABS(W3362)&gt;1E-12,Y3362&gt;0,Z3362&gt;0),AA3362,1E+300)</f>
        <v/>
      </c>
    </row>
    <row r="3363">
      <c r="A3363">
        <f>$B$3+$B$5*54</f>
        <v/>
      </c>
      <c r="B3363">
        <f>$B$3+$B$5*57</f>
        <v/>
      </c>
      <c r="C3363">
        <f>SUMPRODUCT(Calc!$K$3:$K$22*(Calc!$G$3:$G$22&lt;=A3363))</f>
        <v/>
      </c>
      <c r="D3363">
        <f>SUMPRODUCT(Calc!$K$3:$K$22*(Calc!$G$3:$G$22&gt;A3363)*(Calc!$G$3:$G$22&lt;B3363))</f>
        <v/>
      </c>
      <c r="E3363">
        <f>SUMPRODUCT(Calc!$K$3:$K$22*(Calc!$G$3:$G$22&gt;=B3363))</f>
        <v/>
      </c>
      <c r="F3363">
        <f>AND(k_n&gt;=5,B3363&gt;A3363+1E-9,C3363&gt;=2,D3363&gt;=1,E3363&gt;=2)</f>
        <v/>
      </c>
      <c r="G3363">
        <f>SUMPRODUCT(Calc!$K$3:$K$22*(Calc!$G$3:$G$22&gt;A3363)*(Calc!$G$3:$G$22-A3363))</f>
        <v/>
      </c>
      <c r="H3363">
        <f>SUMPRODUCT(Calc!$K$3:$K$22*(Calc!$G$3:$G$22&gt;B3363)*(Calc!$G$3:$G$22-B3363))</f>
        <v/>
      </c>
      <c r="I3363">
        <f>SUMPRODUCT(Calc!$K$3:$K$22*(Calc!$G$3:$G$22&gt;A3363)*(Calc!$G$3:$G$22-A3363)^2)</f>
        <v/>
      </c>
      <c r="J3363">
        <f>SUMPRODUCT(Calc!$K$3:$K$22*(Calc!$G$3:$G$22&gt;B3363)*(Calc!$G$3:$G$22-B3363)^2)</f>
        <v/>
      </c>
      <c r="K3363">
        <f>SUMPRODUCT(Calc!$K$3:$K$22*(Calc!$G$3:$G$22&gt;A3363)*(Calc!$G$3:$G$22-A3363)*(Calc!$G$3:$G$22&gt;B3363)*(Calc!$G$3:$G$22-B3363))</f>
        <v/>
      </c>
      <c r="L3363">
        <f>SUMPRODUCT(Calc!$K$3:$K$22*(Calc!$G$3:$G$22&gt;A3363)*(Calc!$G$3:$G$22-A3363)*Calc!$G$3:$G$22)</f>
        <v/>
      </c>
      <c r="M3363">
        <f>SUMPRODUCT(Calc!$K$3:$K$22*(Calc!$G$3:$G$22&gt;B3363)*(Calc!$G$3:$G$22-B3363)*Calc!$G$3:$G$22)</f>
        <v/>
      </c>
      <c r="N3363">
        <f>SUMPRODUCT(Calc!$K$3:$K$22*(Calc!$G$3:$G$22&gt;A3363)*(Calc!$G$3:$G$22-A3363)*Calc!$I$3:$I$22)</f>
        <v/>
      </c>
      <c r="O3363">
        <f>SUMPRODUCT(Calc!$K$3:$K$22*(Calc!$G$3:$G$22&gt;B3363)*(Calc!$G$3:$G$22-B3363)*Calc!$I$3:$I$22)</f>
        <v/>
      </c>
      <c r="P3363">
        <f>I3363-G3363^2/k_n</f>
        <v/>
      </c>
      <c r="Q3363">
        <f>J3363-H3363^2/k_n</f>
        <v/>
      </c>
      <c r="R3363">
        <f>K3363-G3363*H3363/k_n</f>
        <v/>
      </c>
      <c r="S3363">
        <f>L3363-LTP3!$D$3*G3363/k_n</f>
        <v/>
      </c>
      <c r="T3363">
        <f>M3363-LTP3!$D$3*H3363/k_n</f>
        <v/>
      </c>
      <c r="U3363">
        <f>N3363-G3363*LTP3!$D$4/k_n</f>
        <v/>
      </c>
      <c r="V3363">
        <f>O3363-H3363*LTP3!$D$4/k_n</f>
        <v/>
      </c>
      <c r="W3363">
        <f>((LTP3!$D$5)*((P3363)*(Q3363)-(R3363)*(R3363))-(S3363)*((S3363)*(Q3363)-(R3363)*(T3363))+(T3363)*((S3363)*(R3363)-(P3363)*(T3363)))</f>
        <v/>
      </c>
      <c r="X3363">
        <f>IF(ABS(W3363)&gt;1E-12,((LTP3!$D$6)*((P3363)*(Q3363)-(R3363)*(R3363))-(S3363)*((U3363)*(Q3363)-(R3363)*(V3363))+(T3363)*((U3363)*(R3363)-(P3363)*(V3363)))/W3363,0)</f>
        <v/>
      </c>
      <c r="Y3363">
        <f>IF(ABS(W3363)&gt;1E-12,((LTP3!$D$5)*((U3363)*(Q3363)-(R3363)*(V3363))-(LTP3!$D$6)*((S3363)*(Q3363)-(R3363)*(T3363))+(T3363)*((S3363)*(V3363)-(U3363)*(T3363)))/W3363,0)</f>
        <v/>
      </c>
      <c r="Z3363">
        <f>IF(ABS(W3363)&gt;1E-12,((LTP3!$D$5)*((P3363)*(V3363)-(U3363)*(R3363))-(S3363)*((S3363)*(V3363)-(U3363)*(T3363))+(LTP3!$D$6)*((S3363)*(R3363)-(P3363)*(T3363)))/W3363,0)</f>
        <v/>
      </c>
      <c r="AA3363">
        <f>LTP3!$D$7-X3363*LTP3!$D$6-Y3363*U3363-Z3363*V3363</f>
        <v/>
      </c>
      <c r="AB3363">
        <f>IF(AND(F3363,ABS(W3363)&gt;1E-12,Y3363&gt;0,Z3363&gt;0),AA3363,1E+300)</f>
        <v/>
      </c>
    </row>
    <row r="3364">
      <c r="A3364">
        <f>$B$3+$B$5*54</f>
        <v/>
      </c>
      <c r="B3364">
        <f>$B$3+$B$5*58</f>
        <v/>
      </c>
      <c r="C3364">
        <f>SUMPRODUCT(Calc!$K$3:$K$22*(Calc!$G$3:$G$22&lt;=A3364))</f>
        <v/>
      </c>
      <c r="D3364">
        <f>SUMPRODUCT(Calc!$K$3:$K$22*(Calc!$G$3:$G$22&gt;A3364)*(Calc!$G$3:$G$22&lt;B3364))</f>
        <v/>
      </c>
      <c r="E3364">
        <f>SUMPRODUCT(Calc!$K$3:$K$22*(Calc!$G$3:$G$22&gt;=B3364))</f>
        <v/>
      </c>
      <c r="F3364">
        <f>AND(k_n&gt;=5,B3364&gt;A3364+1E-9,C3364&gt;=2,D3364&gt;=1,E3364&gt;=2)</f>
        <v/>
      </c>
      <c r="G3364">
        <f>SUMPRODUCT(Calc!$K$3:$K$22*(Calc!$G$3:$G$22&gt;A3364)*(Calc!$G$3:$G$22-A3364))</f>
        <v/>
      </c>
      <c r="H3364">
        <f>SUMPRODUCT(Calc!$K$3:$K$22*(Calc!$G$3:$G$22&gt;B3364)*(Calc!$G$3:$G$22-B3364))</f>
        <v/>
      </c>
      <c r="I3364">
        <f>SUMPRODUCT(Calc!$K$3:$K$22*(Calc!$G$3:$G$22&gt;A3364)*(Calc!$G$3:$G$22-A3364)^2)</f>
        <v/>
      </c>
      <c r="J3364">
        <f>SUMPRODUCT(Calc!$K$3:$K$22*(Calc!$G$3:$G$22&gt;B3364)*(Calc!$G$3:$G$22-B3364)^2)</f>
        <v/>
      </c>
      <c r="K3364">
        <f>SUMPRODUCT(Calc!$K$3:$K$22*(Calc!$G$3:$G$22&gt;A3364)*(Calc!$G$3:$G$22-A3364)*(Calc!$G$3:$G$22&gt;B3364)*(Calc!$G$3:$G$22-B3364))</f>
        <v/>
      </c>
      <c r="L3364">
        <f>SUMPRODUCT(Calc!$K$3:$K$22*(Calc!$G$3:$G$22&gt;A3364)*(Calc!$G$3:$G$22-A3364)*Calc!$G$3:$G$22)</f>
        <v/>
      </c>
      <c r="M3364">
        <f>SUMPRODUCT(Calc!$K$3:$K$22*(Calc!$G$3:$G$22&gt;B3364)*(Calc!$G$3:$G$22-B3364)*Calc!$G$3:$G$22)</f>
        <v/>
      </c>
      <c r="N3364">
        <f>SUMPRODUCT(Calc!$K$3:$K$22*(Calc!$G$3:$G$22&gt;A3364)*(Calc!$G$3:$G$22-A3364)*Calc!$I$3:$I$22)</f>
        <v/>
      </c>
      <c r="O3364">
        <f>SUMPRODUCT(Calc!$K$3:$K$22*(Calc!$G$3:$G$22&gt;B3364)*(Calc!$G$3:$G$22-B3364)*Calc!$I$3:$I$22)</f>
        <v/>
      </c>
      <c r="P3364">
        <f>I3364-G3364^2/k_n</f>
        <v/>
      </c>
      <c r="Q3364">
        <f>J3364-H3364^2/k_n</f>
        <v/>
      </c>
      <c r="R3364">
        <f>K3364-G3364*H3364/k_n</f>
        <v/>
      </c>
      <c r="S3364">
        <f>L3364-LTP3!$D$3*G3364/k_n</f>
        <v/>
      </c>
      <c r="T3364">
        <f>M3364-LTP3!$D$3*H3364/k_n</f>
        <v/>
      </c>
      <c r="U3364">
        <f>N3364-G3364*LTP3!$D$4/k_n</f>
        <v/>
      </c>
      <c r="V3364">
        <f>O3364-H3364*LTP3!$D$4/k_n</f>
        <v/>
      </c>
      <c r="W3364">
        <f>((LTP3!$D$5)*((P3364)*(Q3364)-(R3364)*(R3364))-(S3364)*((S3364)*(Q3364)-(R3364)*(T3364))+(T3364)*((S3364)*(R3364)-(P3364)*(T3364)))</f>
        <v/>
      </c>
      <c r="X3364">
        <f>IF(ABS(W3364)&gt;1E-12,((LTP3!$D$6)*((P3364)*(Q3364)-(R3364)*(R3364))-(S3364)*((U3364)*(Q3364)-(R3364)*(V3364))+(T3364)*((U3364)*(R3364)-(P3364)*(V3364)))/W3364,0)</f>
        <v/>
      </c>
      <c r="Y3364">
        <f>IF(ABS(W3364)&gt;1E-12,((LTP3!$D$5)*((U3364)*(Q3364)-(R3364)*(V3364))-(LTP3!$D$6)*((S3364)*(Q3364)-(R3364)*(T3364))+(T3364)*((S3364)*(V3364)-(U3364)*(T3364)))/W3364,0)</f>
        <v/>
      </c>
      <c r="Z3364">
        <f>IF(ABS(W3364)&gt;1E-12,((LTP3!$D$5)*((P3364)*(V3364)-(U3364)*(R3364))-(S3364)*((S3364)*(V3364)-(U3364)*(T3364))+(LTP3!$D$6)*((S3364)*(R3364)-(P3364)*(T3364)))/W3364,0)</f>
        <v/>
      </c>
      <c r="AA3364">
        <f>LTP3!$D$7-X3364*LTP3!$D$6-Y3364*U3364-Z3364*V3364</f>
        <v/>
      </c>
      <c r="AB3364">
        <f>IF(AND(F3364,ABS(W3364)&gt;1E-12,Y3364&gt;0,Z3364&gt;0),AA3364,1E+300)</f>
        <v/>
      </c>
    </row>
    <row r="3365">
      <c r="A3365">
        <f>$B$3+$B$5*54</f>
        <v/>
      </c>
      <c r="B3365">
        <f>$B$3+$B$5*59</f>
        <v/>
      </c>
      <c r="C3365">
        <f>SUMPRODUCT(Calc!$K$3:$K$22*(Calc!$G$3:$G$22&lt;=A3365))</f>
        <v/>
      </c>
      <c r="D3365">
        <f>SUMPRODUCT(Calc!$K$3:$K$22*(Calc!$G$3:$G$22&gt;A3365)*(Calc!$G$3:$G$22&lt;B3365))</f>
        <v/>
      </c>
      <c r="E3365">
        <f>SUMPRODUCT(Calc!$K$3:$K$22*(Calc!$G$3:$G$22&gt;=B3365))</f>
        <v/>
      </c>
      <c r="F3365">
        <f>AND(k_n&gt;=5,B3365&gt;A3365+1E-9,C3365&gt;=2,D3365&gt;=1,E3365&gt;=2)</f>
        <v/>
      </c>
      <c r="G3365">
        <f>SUMPRODUCT(Calc!$K$3:$K$22*(Calc!$G$3:$G$22&gt;A3365)*(Calc!$G$3:$G$22-A3365))</f>
        <v/>
      </c>
      <c r="H3365">
        <f>SUMPRODUCT(Calc!$K$3:$K$22*(Calc!$G$3:$G$22&gt;B3365)*(Calc!$G$3:$G$22-B3365))</f>
        <v/>
      </c>
      <c r="I3365">
        <f>SUMPRODUCT(Calc!$K$3:$K$22*(Calc!$G$3:$G$22&gt;A3365)*(Calc!$G$3:$G$22-A3365)^2)</f>
        <v/>
      </c>
      <c r="J3365">
        <f>SUMPRODUCT(Calc!$K$3:$K$22*(Calc!$G$3:$G$22&gt;B3365)*(Calc!$G$3:$G$22-B3365)^2)</f>
        <v/>
      </c>
      <c r="K3365">
        <f>SUMPRODUCT(Calc!$K$3:$K$22*(Calc!$G$3:$G$22&gt;A3365)*(Calc!$G$3:$G$22-A3365)*(Calc!$G$3:$G$22&gt;B3365)*(Calc!$G$3:$G$22-B3365))</f>
        <v/>
      </c>
      <c r="L3365">
        <f>SUMPRODUCT(Calc!$K$3:$K$22*(Calc!$G$3:$G$22&gt;A3365)*(Calc!$G$3:$G$22-A3365)*Calc!$G$3:$G$22)</f>
        <v/>
      </c>
      <c r="M3365">
        <f>SUMPRODUCT(Calc!$K$3:$K$22*(Calc!$G$3:$G$22&gt;B3365)*(Calc!$G$3:$G$22-B3365)*Calc!$G$3:$G$22)</f>
        <v/>
      </c>
      <c r="N3365">
        <f>SUMPRODUCT(Calc!$K$3:$K$22*(Calc!$G$3:$G$22&gt;A3365)*(Calc!$G$3:$G$22-A3365)*Calc!$I$3:$I$22)</f>
        <v/>
      </c>
      <c r="O3365">
        <f>SUMPRODUCT(Calc!$K$3:$K$22*(Calc!$G$3:$G$22&gt;B3365)*(Calc!$G$3:$G$22-B3365)*Calc!$I$3:$I$22)</f>
        <v/>
      </c>
      <c r="P3365">
        <f>I3365-G3365^2/k_n</f>
        <v/>
      </c>
      <c r="Q3365">
        <f>J3365-H3365^2/k_n</f>
        <v/>
      </c>
      <c r="R3365">
        <f>K3365-G3365*H3365/k_n</f>
        <v/>
      </c>
      <c r="S3365">
        <f>L3365-LTP3!$D$3*G3365/k_n</f>
        <v/>
      </c>
      <c r="T3365">
        <f>M3365-LTP3!$D$3*H3365/k_n</f>
        <v/>
      </c>
      <c r="U3365">
        <f>N3365-G3365*LTP3!$D$4/k_n</f>
        <v/>
      </c>
      <c r="V3365">
        <f>O3365-H3365*LTP3!$D$4/k_n</f>
        <v/>
      </c>
      <c r="W3365">
        <f>((LTP3!$D$5)*((P3365)*(Q3365)-(R3365)*(R3365))-(S3365)*((S3365)*(Q3365)-(R3365)*(T3365))+(T3365)*((S3365)*(R3365)-(P3365)*(T3365)))</f>
        <v/>
      </c>
      <c r="X3365">
        <f>IF(ABS(W3365)&gt;1E-12,((LTP3!$D$6)*((P3365)*(Q3365)-(R3365)*(R3365))-(S3365)*((U3365)*(Q3365)-(R3365)*(V3365))+(T3365)*((U3365)*(R3365)-(P3365)*(V3365)))/W3365,0)</f>
        <v/>
      </c>
      <c r="Y3365">
        <f>IF(ABS(W3365)&gt;1E-12,((LTP3!$D$5)*((U3365)*(Q3365)-(R3365)*(V3365))-(LTP3!$D$6)*((S3365)*(Q3365)-(R3365)*(T3365))+(T3365)*((S3365)*(V3365)-(U3365)*(T3365)))/W3365,0)</f>
        <v/>
      </c>
      <c r="Z3365">
        <f>IF(ABS(W3365)&gt;1E-12,((LTP3!$D$5)*((P3365)*(V3365)-(U3365)*(R3365))-(S3365)*((S3365)*(V3365)-(U3365)*(T3365))+(LTP3!$D$6)*((S3365)*(R3365)-(P3365)*(T3365)))/W3365,0)</f>
        <v/>
      </c>
      <c r="AA3365">
        <f>LTP3!$D$7-X3365*LTP3!$D$6-Y3365*U3365-Z3365*V3365</f>
        <v/>
      </c>
      <c r="AB3365">
        <f>IF(AND(F3365,ABS(W3365)&gt;1E-12,Y3365&gt;0,Z3365&gt;0),AA3365,1E+300)</f>
        <v/>
      </c>
    </row>
    <row r="3366">
      <c r="A3366">
        <f>$B$3+$B$5*54</f>
        <v/>
      </c>
      <c r="B3366">
        <f>$B$3+$B$5*60</f>
        <v/>
      </c>
      <c r="C3366">
        <f>SUMPRODUCT(Calc!$K$3:$K$22*(Calc!$G$3:$G$22&lt;=A3366))</f>
        <v/>
      </c>
      <c r="D3366">
        <f>SUMPRODUCT(Calc!$K$3:$K$22*(Calc!$G$3:$G$22&gt;A3366)*(Calc!$G$3:$G$22&lt;B3366))</f>
        <v/>
      </c>
      <c r="E3366">
        <f>SUMPRODUCT(Calc!$K$3:$K$22*(Calc!$G$3:$G$22&gt;=B3366))</f>
        <v/>
      </c>
      <c r="F3366">
        <f>AND(k_n&gt;=5,B3366&gt;A3366+1E-9,C3366&gt;=2,D3366&gt;=1,E3366&gt;=2)</f>
        <v/>
      </c>
      <c r="G3366">
        <f>SUMPRODUCT(Calc!$K$3:$K$22*(Calc!$G$3:$G$22&gt;A3366)*(Calc!$G$3:$G$22-A3366))</f>
        <v/>
      </c>
      <c r="H3366">
        <f>SUMPRODUCT(Calc!$K$3:$K$22*(Calc!$G$3:$G$22&gt;B3366)*(Calc!$G$3:$G$22-B3366))</f>
        <v/>
      </c>
      <c r="I3366">
        <f>SUMPRODUCT(Calc!$K$3:$K$22*(Calc!$G$3:$G$22&gt;A3366)*(Calc!$G$3:$G$22-A3366)^2)</f>
        <v/>
      </c>
      <c r="J3366">
        <f>SUMPRODUCT(Calc!$K$3:$K$22*(Calc!$G$3:$G$22&gt;B3366)*(Calc!$G$3:$G$22-B3366)^2)</f>
        <v/>
      </c>
      <c r="K3366">
        <f>SUMPRODUCT(Calc!$K$3:$K$22*(Calc!$G$3:$G$22&gt;A3366)*(Calc!$G$3:$G$22-A3366)*(Calc!$G$3:$G$22&gt;B3366)*(Calc!$G$3:$G$22-B3366))</f>
        <v/>
      </c>
      <c r="L3366">
        <f>SUMPRODUCT(Calc!$K$3:$K$22*(Calc!$G$3:$G$22&gt;A3366)*(Calc!$G$3:$G$22-A3366)*Calc!$G$3:$G$22)</f>
        <v/>
      </c>
      <c r="M3366">
        <f>SUMPRODUCT(Calc!$K$3:$K$22*(Calc!$G$3:$G$22&gt;B3366)*(Calc!$G$3:$G$22-B3366)*Calc!$G$3:$G$22)</f>
        <v/>
      </c>
      <c r="N3366">
        <f>SUMPRODUCT(Calc!$K$3:$K$22*(Calc!$G$3:$G$22&gt;A3366)*(Calc!$G$3:$G$22-A3366)*Calc!$I$3:$I$22)</f>
        <v/>
      </c>
      <c r="O3366">
        <f>SUMPRODUCT(Calc!$K$3:$K$22*(Calc!$G$3:$G$22&gt;B3366)*(Calc!$G$3:$G$22-B3366)*Calc!$I$3:$I$22)</f>
        <v/>
      </c>
      <c r="P3366">
        <f>I3366-G3366^2/k_n</f>
        <v/>
      </c>
      <c r="Q3366">
        <f>J3366-H3366^2/k_n</f>
        <v/>
      </c>
      <c r="R3366">
        <f>K3366-G3366*H3366/k_n</f>
        <v/>
      </c>
      <c r="S3366">
        <f>L3366-LTP3!$D$3*G3366/k_n</f>
        <v/>
      </c>
      <c r="T3366">
        <f>M3366-LTP3!$D$3*H3366/k_n</f>
        <v/>
      </c>
      <c r="U3366">
        <f>N3366-G3366*LTP3!$D$4/k_n</f>
        <v/>
      </c>
      <c r="V3366">
        <f>O3366-H3366*LTP3!$D$4/k_n</f>
        <v/>
      </c>
      <c r="W3366">
        <f>((LTP3!$D$5)*((P3366)*(Q3366)-(R3366)*(R3366))-(S3366)*((S3366)*(Q3366)-(R3366)*(T3366))+(T3366)*((S3366)*(R3366)-(P3366)*(T3366)))</f>
        <v/>
      </c>
      <c r="X3366">
        <f>IF(ABS(W3366)&gt;1E-12,((LTP3!$D$6)*((P3366)*(Q3366)-(R3366)*(R3366))-(S3366)*((U3366)*(Q3366)-(R3366)*(V3366))+(T3366)*((U3366)*(R3366)-(P3366)*(V3366)))/W3366,0)</f>
        <v/>
      </c>
      <c r="Y3366">
        <f>IF(ABS(W3366)&gt;1E-12,((LTP3!$D$5)*((U3366)*(Q3366)-(R3366)*(V3366))-(LTP3!$D$6)*((S3366)*(Q3366)-(R3366)*(T3366))+(T3366)*((S3366)*(V3366)-(U3366)*(T3366)))/W3366,0)</f>
        <v/>
      </c>
      <c r="Z3366">
        <f>IF(ABS(W3366)&gt;1E-12,((LTP3!$D$5)*((P3366)*(V3366)-(U3366)*(R3366))-(S3366)*((S3366)*(V3366)-(U3366)*(T3366))+(LTP3!$D$6)*((S3366)*(R3366)-(P3366)*(T3366)))/W3366,0)</f>
        <v/>
      </c>
      <c r="AA3366">
        <f>LTP3!$D$7-X3366*LTP3!$D$6-Y3366*U3366-Z3366*V3366</f>
        <v/>
      </c>
      <c r="AB3366">
        <f>IF(AND(F3366,ABS(W3366)&gt;1E-12,Y3366&gt;0,Z3366&gt;0),AA3366,1E+300)</f>
        <v/>
      </c>
    </row>
    <row r="3367">
      <c r="A3367">
        <f>$B$3+$B$5*55</f>
        <v/>
      </c>
      <c r="B3367">
        <f>$B$3+$B$5*0</f>
        <v/>
      </c>
      <c r="C3367">
        <f>SUMPRODUCT(Calc!$K$3:$K$22*(Calc!$G$3:$G$22&lt;=A3367))</f>
        <v/>
      </c>
      <c r="D3367">
        <f>SUMPRODUCT(Calc!$K$3:$K$22*(Calc!$G$3:$G$22&gt;A3367)*(Calc!$G$3:$G$22&lt;B3367))</f>
        <v/>
      </c>
      <c r="E3367">
        <f>SUMPRODUCT(Calc!$K$3:$K$22*(Calc!$G$3:$G$22&gt;=B3367))</f>
        <v/>
      </c>
      <c r="F3367">
        <f>AND(k_n&gt;=5,B3367&gt;A3367+1E-9,C3367&gt;=2,D3367&gt;=1,E3367&gt;=2)</f>
        <v/>
      </c>
      <c r="G3367">
        <f>SUMPRODUCT(Calc!$K$3:$K$22*(Calc!$G$3:$G$22&gt;A3367)*(Calc!$G$3:$G$22-A3367))</f>
        <v/>
      </c>
      <c r="H3367">
        <f>SUMPRODUCT(Calc!$K$3:$K$22*(Calc!$G$3:$G$22&gt;B3367)*(Calc!$G$3:$G$22-B3367))</f>
        <v/>
      </c>
      <c r="I3367">
        <f>SUMPRODUCT(Calc!$K$3:$K$22*(Calc!$G$3:$G$22&gt;A3367)*(Calc!$G$3:$G$22-A3367)^2)</f>
        <v/>
      </c>
      <c r="J3367">
        <f>SUMPRODUCT(Calc!$K$3:$K$22*(Calc!$G$3:$G$22&gt;B3367)*(Calc!$G$3:$G$22-B3367)^2)</f>
        <v/>
      </c>
      <c r="K3367">
        <f>SUMPRODUCT(Calc!$K$3:$K$22*(Calc!$G$3:$G$22&gt;A3367)*(Calc!$G$3:$G$22-A3367)*(Calc!$G$3:$G$22&gt;B3367)*(Calc!$G$3:$G$22-B3367))</f>
        <v/>
      </c>
      <c r="L3367">
        <f>SUMPRODUCT(Calc!$K$3:$K$22*(Calc!$G$3:$G$22&gt;A3367)*(Calc!$G$3:$G$22-A3367)*Calc!$G$3:$G$22)</f>
        <v/>
      </c>
      <c r="M3367">
        <f>SUMPRODUCT(Calc!$K$3:$K$22*(Calc!$G$3:$G$22&gt;B3367)*(Calc!$G$3:$G$22-B3367)*Calc!$G$3:$G$22)</f>
        <v/>
      </c>
      <c r="N3367">
        <f>SUMPRODUCT(Calc!$K$3:$K$22*(Calc!$G$3:$G$22&gt;A3367)*(Calc!$G$3:$G$22-A3367)*Calc!$I$3:$I$22)</f>
        <v/>
      </c>
      <c r="O3367">
        <f>SUMPRODUCT(Calc!$K$3:$K$22*(Calc!$G$3:$G$22&gt;B3367)*(Calc!$G$3:$G$22-B3367)*Calc!$I$3:$I$22)</f>
        <v/>
      </c>
      <c r="P3367">
        <f>I3367-G3367^2/k_n</f>
        <v/>
      </c>
      <c r="Q3367">
        <f>J3367-H3367^2/k_n</f>
        <v/>
      </c>
      <c r="R3367">
        <f>K3367-G3367*H3367/k_n</f>
        <v/>
      </c>
      <c r="S3367">
        <f>L3367-LTP3!$D$3*G3367/k_n</f>
        <v/>
      </c>
      <c r="T3367">
        <f>M3367-LTP3!$D$3*H3367/k_n</f>
        <v/>
      </c>
      <c r="U3367">
        <f>N3367-G3367*LTP3!$D$4/k_n</f>
        <v/>
      </c>
      <c r="V3367">
        <f>O3367-H3367*LTP3!$D$4/k_n</f>
        <v/>
      </c>
      <c r="W3367">
        <f>((LTP3!$D$5)*((P3367)*(Q3367)-(R3367)*(R3367))-(S3367)*((S3367)*(Q3367)-(R3367)*(T3367))+(T3367)*((S3367)*(R3367)-(P3367)*(T3367)))</f>
        <v/>
      </c>
      <c r="X3367">
        <f>IF(ABS(W3367)&gt;1E-12,((LTP3!$D$6)*((P3367)*(Q3367)-(R3367)*(R3367))-(S3367)*((U3367)*(Q3367)-(R3367)*(V3367))+(T3367)*((U3367)*(R3367)-(P3367)*(V3367)))/W3367,0)</f>
        <v/>
      </c>
      <c r="Y3367">
        <f>IF(ABS(W3367)&gt;1E-12,((LTP3!$D$5)*((U3367)*(Q3367)-(R3367)*(V3367))-(LTP3!$D$6)*((S3367)*(Q3367)-(R3367)*(T3367))+(T3367)*((S3367)*(V3367)-(U3367)*(T3367)))/W3367,0)</f>
        <v/>
      </c>
      <c r="Z3367">
        <f>IF(ABS(W3367)&gt;1E-12,((LTP3!$D$5)*((P3367)*(V3367)-(U3367)*(R3367))-(S3367)*((S3367)*(V3367)-(U3367)*(T3367))+(LTP3!$D$6)*((S3367)*(R3367)-(P3367)*(T3367)))/W3367,0)</f>
        <v/>
      </c>
      <c r="AA3367">
        <f>LTP3!$D$7-X3367*LTP3!$D$6-Y3367*U3367-Z3367*V3367</f>
        <v/>
      </c>
      <c r="AB3367">
        <f>IF(AND(F3367,ABS(W3367)&gt;1E-12,Y3367&gt;0,Z3367&gt;0),AA3367,1E+300)</f>
        <v/>
      </c>
    </row>
    <row r="3368">
      <c r="A3368">
        <f>$B$3+$B$5*55</f>
        <v/>
      </c>
      <c r="B3368">
        <f>$B$3+$B$5*1</f>
        <v/>
      </c>
      <c r="C3368">
        <f>SUMPRODUCT(Calc!$K$3:$K$22*(Calc!$G$3:$G$22&lt;=A3368))</f>
        <v/>
      </c>
      <c r="D3368">
        <f>SUMPRODUCT(Calc!$K$3:$K$22*(Calc!$G$3:$G$22&gt;A3368)*(Calc!$G$3:$G$22&lt;B3368))</f>
        <v/>
      </c>
      <c r="E3368">
        <f>SUMPRODUCT(Calc!$K$3:$K$22*(Calc!$G$3:$G$22&gt;=B3368))</f>
        <v/>
      </c>
      <c r="F3368">
        <f>AND(k_n&gt;=5,B3368&gt;A3368+1E-9,C3368&gt;=2,D3368&gt;=1,E3368&gt;=2)</f>
        <v/>
      </c>
      <c r="G3368">
        <f>SUMPRODUCT(Calc!$K$3:$K$22*(Calc!$G$3:$G$22&gt;A3368)*(Calc!$G$3:$G$22-A3368))</f>
        <v/>
      </c>
      <c r="H3368">
        <f>SUMPRODUCT(Calc!$K$3:$K$22*(Calc!$G$3:$G$22&gt;B3368)*(Calc!$G$3:$G$22-B3368))</f>
        <v/>
      </c>
      <c r="I3368">
        <f>SUMPRODUCT(Calc!$K$3:$K$22*(Calc!$G$3:$G$22&gt;A3368)*(Calc!$G$3:$G$22-A3368)^2)</f>
        <v/>
      </c>
      <c r="J3368">
        <f>SUMPRODUCT(Calc!$K$3:$K$22*(Calc!$G$3:$G$22&gt;B3368)*(Calc!$G$3:$G$22-B3368)^2)</f>
        <v/>
      </c>
      <c r="K3368">
        <f>SUMPRODUCT(Calc!$K$3:$K$22*(Calc!$G$3:$G$22&gt;A3368)*(Calc!$G$3:$G$22-A3368)*(Calc!$G$3:$G$22&gt;B3368)*(Calc!$G$3:$G$22-B3368))</f>
        <v/>
      </c>
      <c r="L3368">
        <f>SUMPRODUCT(Calc!$K$3:$K$22*(Calc!$G$3:$G$22&gt;A3368)*(Calc!$G$3:$G$22-A3368)*Calc!$G$3:$G$22)</f>
        <v/>
      </c>
      <c r="M3368">
        <f>SUMPRODUCT(Calc!$K$3:$K$22*(Calc!$G$3:$G$22&gt;B3368)*(Calc!$G$3:$G$22-B3368)*Calc!$G$3:$G$22)</f>
        <v/>
      </c>
      <c r="N3368">
        <f>SUMPRODUCT(Calc!$K$3:$K$22*(Calc!$G$3:$G$22&gt;A3368)*(Calc!$G$3:$G$22-A3368)*Calc!$I$3:$I$22)</f>
        <v/>
      </c>
      <c r="O3368">
        <f>SUMPRODUCT(Calc!$K$3:$K$22*(Calc!$G$3:$G$22&gt;B3368)*(Calc!$G$3:$G$22-B3368)*Calc!$I$3:$I$22)</f>
        <v/>
      </c>
      <c r="P3368">
        <f>I3368-G3368^2/k_n</f>
        <v/>
      </c>
      <c r="Q3368">
        <f>J3368-H3368^2/k_n</f>
        <v/>
      </c>
      <c r="R3368">
        <f>K3368-G3368*H3368/k_n</f>
        <v/>
      </c>
      <c r="S3368">
        <f>L3368-LTP3!$D$3*G3368/k_n</f>
        <v/>
      </c>
      <c r="T3368">
        <f>M3368-LTP3!$D$3*H3368/k_n</f>
        <v/>
      </c>
      <c r="U3368">
        <f>N3368-G3368*LTP3!$D$4/k_n</f>
        <v/>
      </c>
      <c r="V3368">
        <f>O3368-H3368*LTP3!$D$4/k_n</f>
        <v/>
      </c>
      <c r="W3368">
        <f>((LTP3!$D$5)*((P3368)*(Q3368)-(R3368)*(R3368))-(S3368)*((S3368)*(Q3368)-(R3368)*(T3368))+(T3368)*((S3368)*(R3368)-(P3368)*(T3368)))</f>
        <v/>
      </c>
      <c r="X3368">
        <f>IF(ABS(W3368)&gt;1E-12,((LTP3!$D$6)*((P3368)*(Q3368)-(R3368)*(R3368))-(S3368)*((U3368)*(Q3368)-(R3368)*(V3368))+(T3368)*((U3368)*(R3368)-(P3368)*(V3368)))/W3368,0)</f>
        <v/>
      </c>
      <c r="Y3368">
        <f>IF(ABS(W3368)&gt;1E-12,((LTP3!$D$5)*((U3368)*(Q3368)-(R3368)*(V3368))-(LTP3!$D$6)*((S3368)*(Q3368)-(R3368)*(T3368))+(T3368)*((S3368)*(V3368)-(U3368)*(T3368)))/W3368,0)</f>
        <v/>
      </c>
      <c r="Z3368">
        <f>IF(ABS(W3368)&gt;1E-12,((LTP3!$D$5)*((P3368)*(V3368)-(U3368)*(R3368))-(S3368)*((S3368)*(V3368)-(U3368)*(T3368))+(LTP3!$D$6)*((S3368)*(R3368)-(P3368)*(T3368)))/W3368,0)</f>
        <v/>
      </c>
      <c r="AA3368">
        <f>LTP3!$D$7-X3368*LTP3!$D$6-Y3368*U3368-Z3368*V3368</f>
        <v/>
      </c>
      <c r="AB3368">
        <f>IF(AND(F3368,ABS(W3368)&gt;1E-12,Y3368&gt;0,Z3368&gt;0),AA3368,1E+300)</f>
        <v/>
      </c>
    </row>
    <row r="3369">
      <c r="A3369">
        <f>$B$3+$B$5*55</f>
        <v/>
      </c>
      <c r="B3369">
        <f>$B$3+$B$5*2</f>
        <v/>
      </c>
      <c r="C3369">
        <f>SUMPRODUCT(Calc!$K$3:$K$22*(Calc!$G$3:$G$22&lt;=A3369))</f>
        <v/>
      </c>
      <c r="D3369">
        <f>SUMPRODUCT(Calc!$K$3:$K$22*(Calc!$G$3:$G$22&gt;A3369)*(Calc!$G$3:$G$22&lt;B3369))</f>
        <v/>
      </c>
      <c r="E3369">
        <f>SUMPRODUCT(Calc!$K$3:$K$22*(Calc!$G$3:$G$22&gt;=B3369))</f>
        <v/>
      </c>
      <c r="F3369">
        <f>AND(k_n&gt;=5,B3369&gt;A3369+1E-9,C3369&gt;=2,D3369&gt;=1,E3369&gt;=2)</f>
        <v/>
      </c>
      <c r="G3369">
        <f>SUMPRODUCT(Calc!$K$3:$K$22*(Calc!$G$3:$G$22&gt;A3369)*(Calc!$G$3:$G$22-A3369))</f>
        <v/>
      </c>
      <c r="H3369">
        <f>SUMPRODUCT(Calc!$K$3:$K$22*(Calc!$G$3:$G$22&gt;B3369)*(Calc!$G$3:$G$22-B3369))</f>
        <v/>
      </c>
      <c r="I3369">
        <f>SUMPRODUCT(Calc!$K$3:$K$22*(Calc!$G$3:$G$22&gt;A3369)*(Calc!$G$3:$G$22-A3369)^2)</f>
        <v/>
      </c>
      <c r="J3369">
        <f>SUMPRODUCT(Calc!$K$3:$K$22*(Calc!$G$3:$G$22&gt;B3369)*(Calc!$G$3:$G$22-B3369)^2)</f>
        <v/>
      </c>
      <c r="K3369">
        <f>SUMPRODUCT(Calc!$K$3:$K$22*(Calc!$G$3:$G$22&gt;A3369)*(Calc!$G$3:$G$22-A3369)*(Calc!$G$3:$G$22&gt;B3369)*(Calc!$G$3:$G$22-B3369))</f>
        <v/>
      </c>
      <c r="L3369">
        <f>SUMPRODUCT(Calc!$K$3:$K$22*(Calc!$G$3:$G$22&gt;A3369)*(Calc!$G$3:$G$22-A3369)*Calc!$G$3:$G$22)</f>
        <v/>
      </c>
      <c r="M3369">
        <f>SUMPRODUCT(Calc!$K$3:$K$22*(Calc!$G$3:$G$22&gt;B3369)*(Calc!$G$3:$G$22-B3369)*Calc!$G$3:$G$22)</f>
        <v/>
      </c>
      <c r="N3369">
        <f>SUMPRODUCT(Calc!$K$3:$K$22*(Calc!$G$3:$G$22&gt;A3369)*(Calc!$G$3:$G$22-A3369)*Calc!$I$3:$I$22)</f>
        <v/>
      </c>
      <c r="O3369">
        <f>SUMPRODUCT(Calc!$K$3:$K$22*(Calc!$G$3:$G$22&gt;B3369)*(Calc!$G$3:$G$22-B3369)*Calc!$I$3:$I$22)</f>
        <v/>
      </c>
      <c r="P3369">
        <f>I3369-G3369^2/k_n</f>
        <v/>
      </c>
      <c r="Q3369">
        <f>J3369-H3369^2/k_n</f>
        <v/>
      </c>
      <c r="R3369">
        <f>K3369-G3369*H3369/k_n</f>
        <v/>
      </c>
      <c r="S3369">
        <f>L3369-LTP3!$D$3*G3369/k_n</f>
        <v/>
      </c>
      <c r="T3369">
        <f>M3369-LTP3!$D$3*H3369/k_n</f>
        <v/>
      </c>
      <c r="U3369">
        <f>N3369-G3369*LTP3!$D$4/k_n</f>
        <v/>
      </c>
      <c r="V3369">
        <f>O3369-H3369*LTP3!$D$4/k_n</f>
        <v/>
      </c>
      <c r="W3369">
        <f>((LTP3!$D$5)*((P3369)*(Q3369)-(R3369)*(R3369))-(S3369)*((S3369)*(Q3369)-(R3369)*(T3369))+(T3369)*((S3369)*(R3369)-(P3369)*(T3369)))</f>
        <v/>
      </c>
      <c r="X3369">
        <f>IF(ABS(W3369)&gt;1E-12,((LTP3!$D$6)*((P3369)*(Q3369)-(R3369)*(R3369))-(S3369)*((U3369)*(Q3369)-(R3369)*(V3369))+(T3369)*((U3369)*(R3369)-(P3369)*(V3369)))/W3369,0)</f>
        <v/>
      </c>
      <c r="Y3369">
        <f>IF(ABS(W3369)&gt;1E-12,((LTP3!$D$5)*((U3369)*(Q3369)-(R3369)*(V3369))-(LTP3!$D$6)*((S3369)*(Q3369)-(R3369)*(T3369))+(T3369)*((S3369)*(V3369)-(U3369)*(T3369)))/W3369,0)</f>
        <v/>
      </c>
      <c r="Z3369">
        <f>IF(ABS(W3369)&gt;1E-12,((LTP3!$D$5)*((P3369)*(V3369)-(U3369)*(R3369))-(S3369)*((S3369)*(V3369)-(U3369)*(T3369))+(LTP3!$D$6)*((S3369)*(R3369)-(P3369)*(T3369)))/W3369,0)</f>
        <v/>
      </c>
      <c r="AA3369">
        <f>LTP3!$D$7-X3369*LTP3!$D$6-Y3369*U3369-Z3369*V3369</f>
        <v/>
      </c>
      <c r="AB3369">
        <f>IF(AND(F3369,ABS(W3369)&gt;1E-12,Y3369&gt;0,Z3369&gt;0),AA3369,1E+300)</f>
        <v/>
      </c>
    </row>
    <row r="3370">
      <c r="A3370">
        <f>$B$3+$B$5*55</f>
        <v/>
      </c>
      <c r="B3370">
        <f>$B$3+$B$5*3</f>
        <v/>
      </c>
      <c r="C3370">
        <f>SUMPRODUCT(Calc!$K$3:$K$22*(Calc!$G$3:$G$22&lt;=A3370))</f>
        <v/>
      </c>
      <c r="D3370">
        <f>SUMPRODUCT(Calc!$K$3:$K$22*(Calc!$G$3:$G$22&gt;A3370)*(Calc!$G$3:$G$22&lt;B3370))</f>
        <v/>
      </c>
      <c r="E3370">
        <f>SUMPRODUCT(Calc!$K$3:$K$22*(Calc!$G$3:$G$22&gt;=B3370))</f>
        <v/>
      </c>
      <c r="F3370">
        <f>AND(k_n&gt;=5,B3370&gt;A3370+1E-9,C3370&gt;=2,D3370&gt;=1,E3370&gt;=2)</f>
        <v/>
      </c>
      <c r="G3370">
        <f>SUMPRODUCT(Calc!$K$3:$K$22*(Calc!$G$3:$G$22&gt;A3370)*(Calc!$G$3:$G$22-A3370))</f>
        <v/>
      </c>
      <c r="H3370">
        <f>SUMPRODUCT(Calc!$K$3:$K$22*(Calc!$G$3:$G$22&gt;B3370)*(Calc!$G$3:$G$22-B3370))</f>
        <v/>
      </c>
      <c r="I3370">
        <f>SUMPRODUCT(Calc!$K$3:$K$22*(Calc!$G$3:$G$22&gt;A3370)*(Calc!$G$3:$G$22-A3370)^2)</f>
        <v/>
      </c>
      <c r="J3370">
        <f>SUMPRODUCT(Calc!$K$3:$K$22*(Calc!$G$3:$G$22&gt;B3370)*(Calc!$G$3:$G$22-B3370)^2)</f>
        <v/>
      </c>
      <c r="K3370">
        <f>SUMPRODUCT(Calc!$K$3:$K$22*(Calc!$G$3:$G$22&gt;A3370)*(Calc!$G$3:$G$22-A3370)*(Calc!$G$3:$G$22&gt;B3370)*(Calc!$G$3:$G$22-B3370))</f>
        <v/>
      </c>
      <c r="L3370">
        <f>SUMPRODUCT(Calc!$K$3:$K$22*(Calc!$G$3:$G$22&gt;A3370)*(Calc!$G$3:$G$22-A3370)*Calc!$G$3:$G$22)</f>
        <v/>
      </c>
      <c r="M3370">
        <f>SUMPRODUCT(Calc!$K$3:$K$22*(Calc!$G$3:$G$22&gt;B3370)*(Calc!$G$3:$G$22-B3370)*Calc!$G$3:$G$22)</f>
        <v/>
      </c>
      <c r="N3370">
        <f>SUMPRODUCT(Calc!$K$3:$K$22*(Calc!$G$3:$G$22&gt;A3370)*(Calc!$G$3:$G$22-A3370)*Calc!$I$3:$I$22)</f>
        <v/>
      </c>
      <c r="O3370">
        <f>SUMPRODUCT(Calc!$K$3:$K$22*(Calc!$G$3:$G$22&gt;B3370)*(Calc!$G$3:$G$22-B3370)*Calc!$I$3:$I$22)</f>
        <v/>
      </c>
      <c r="P3370">
        <f>I3370-G3370^2/k_n</f>
        <v/>
      </c>
      <c r="Q3370">
        <f>J3370-H3370^2/k_n</f>
        <v/>
      </c>
      <c r="R3370">
        <f>K3370-G3370*H3370/k_n</f>
        <v/>
      </c>
      <c r="S3370">
        <f>L3370-LTP3!$D$3*G3370/k_n</f>
        <v/>
      </c>
      <c r="T3370">
        <f>M3370-LTP3!$D$3*H3370/k_n</f>
        <v/>
      </c>
      <c r="U3370">
        <f>N3370-G3370*LTP3!$D$4/k_n</f>
        <v/>
      </c>
      <c r="V3370">
        <f>O3370-H3370*LTP3!$D$4/k_n</f>
        <v/>
      </c>
      <c r="W3370">
        <f>((LTP3!$D$5)*((P3370)*(Q3370)-(R3370)*(R3370))-(S3370)*((S3370)*(Q3370)-(R3370)*(T3370))+(T3370)*((S3370)*(R3370)-(P3370)*(T3370)))</f>
        <v/>
      </c>
      <c r="X3370">
        <f>IF(ABS(W3370)&gt;1E-12,((LTP3!$D$6)*((P3370)*(Q3370)-(R3370)*(R3370))-(S3370)*((U3370)*(Q3370)-(R3370)*(V3370))+(T3370)*((U3370)*(R3370)-(P3370)*(V3370)))/W3370,0)</f>
        <v/>
      </c>
      <c r="Y3370">
        <f>IF(ABS(W3370)&gt;1E-12,((LTP3!$D$5)*((U3370)*(Q3370)-(R3370)*(V3370))-(LTP3!$D$6)*((S3370)*(Q3370)-(R3370)*(T3370))+(T3370)*((S3370)*(V3370)-(U3370)*(T3370)))/W3370,0)</f>
        <v/>
      </c>
      <c r="Z3370">
        <f>IF(ABS(W3370)&gt;1E-12,((LTP3!$D$5)*((P3370)*(V3370)-(U3370)*(R3370))-(S3370)*((S3370)*(V3370)-(U3370)*(T3370))+(LTP3!$D$6)*((S3370)*(R3370)-(P3370)*(T3370)))/W3370,0)</f>
        <v/>
      </c>
      <c r="AA3370">
        <f>LTP3!$D$7-X3370*LTP3!$D$6-Y3370*U3370-Z3370*V3370</f>
        <v/>
      </c>
      <c r="AB3370">
        <f>IF(AND(F3370,ABS(W3370)&gt;1E-12,Y3370&gt;0,Z3370&gt;0),AA3370,1E+300)</f>
        <v/>
      </c>
    </row>
    <row r="3371">
      <c r="A3371">
        <f>$B$3+$B$5*55</f>
        <v/>
      </c>
      <c r="B3371">
        <f>$B$3+$B$5*4</f>
        <v/>
      </c>
      <c r="C3371">
        <f>SUMPRODUCT(Calc!$K$3:$K$22*(Calc!$G$3:$G$22&lt;=A3371))</f>
        <v/>
      </c>
      <c r="D3371">
        <f>SUMPRODUCT(Calc!$K$3:$K$22*(Calc!$G$3:$G$22&gt;A3371)*(Calc!$G$3:$G$22&lt;B3371))</f>
        <v/>
      </c>
      <c r="E3371">
        <f>SUMPRODUCT(Calc!$K$3:$K$22*(Calc!$G$3:$G$22&gt;=B3371))</f>
        <v/>
      </c>
      <c r="F3371">
        <f>AND(k_n&gt;=5,B3371&gt;A3371+1E-9,C3371&gt;=2,D3371&gt;=1,E3371&gt;=2)</f>
        <v/>
      </c>
      <c r="G3371">
        <f>SUMPRODUCT(Calc!$K$3:$K$22*(Calc!$G$3:$G$22&gt;A3371)*(Calc!$G$3:$G$22-A3371))</f>
        <v/>
      </c>
      <c r="H3371">
        <f>SUMPRODUCT(Calc!$K$3:$K$22*(Calc!$G$3:$G$22&gt;B3371)*(Calc!$G$3:$G$22-B3371))</f>
        <v/>
      </c>
      <c r="I3371">
        <f>SUMPRODUCT(Calc!$K$3:$K$22*(Calc!$G$3:$G$22&gt;A3371)*(Calc!$G$3:$G$22-A3371)^2)</f>
        <v/>
      </c>
      <c r="J3371">
        <f>SUMPRODUCT(Calc!$K$3:$K$22*(Calc!$G$3:$G$22&gt;B3371)*(Calc!$G$3:$G$22-B3371)^2)</f>
        <v/>
      </c>
      <c r="K3371">
        <f>SUMPRODUCT(Calc!$K$3:$K$22*(Calc!$G$3:$G$22&gt;A3371)*(Calc!$G$3:$G$22-A3371)*(Calc!$G$3:$G$22&gt;B3371)*(Calc!$G$3:$G$22-B3371))</f>
        <v/>
      </c>
      <c r="L3371">
        <f>SUMPRODUCT(Calc!$K$3:$K$22*(Calc!$G$3:$G$22&gt;A3371)*(Calc!$G$3:$G$22-A3371)*Calc!$G$3:$G$22)</f>
        <v/>
      </c>
      <c r="M3371">
        <f>SUMPRODUCT(Calc!$K$3:$K$22*(Calc!$G$3:$G$22&gt;B3371)*(Calc!$G$3:$G$22-B3371)*Calc!$G$3:$G$22)</f>
        <v/>
      </c>
      <c r="N3371">
        <f>SUMPRODUCT(Calc!$K$3:$K$22*(Calc!$G$3:$G$22&gt;A3371)*(Calc!$G$3:$G$22-A3371)*Calc!$I$3:$I$22)</f>
        <v/>
      </c>
      <c r="O3371">
        <f>SUMPRODUCT(Calc!$K$3:$K$22*(Calc!$G$3:$G$22&gt;B3371)*(Calc!$G$3:$G$22-B3371)*Calc!$I$3:$I$22)</f>
        <v/>
      </c>
      <c r="P3371">
        <f>I3371-G3371^2/k_n</f>
        <v/>
      </c>
      <c r="Q3371">
        <f>J3371-H3371^2/k_n</f>
        <v/>
      </c>
      <c r="R3371">
        <f>K3371-G3371*H3371/k_n</f>
        <v/>
      </c>
      <c r="S3371">
        <f>L3371-LTP3!$D$3*G3371/k_n</f>
        <v/>
      </c>
      <c r="T3371">
        <f>M3371-LTP3!$D$3*H3371/k_n</f>
        <v/>
      </c>
      <c r="U3371">
        <f>N3371-G3371*LTP3!$D$4/k_n</f>
        <v/>
      </c>
      <c r="V3371">
        <f>O3371-H3371*LTP3!$D$4/k_n</f>
        <v/>
      </c>
      <c r="W3371">
        <f>((LTP3!$D$5)*((P3371)*(Q3371)-(R3371)*(R3371))-(S3371)*((S3371)*(Q3371)-(R3371)*(T3371))+(T3371)*((S3371)*(R3371)-(P3371)*(T3371)))</f>
        <v/>
      </c>
      <c r="X3371">
        <f>IF(ABS(W3371)&gt;1E-12,((LTP3!$D$6)*((P3371)*(Q3371)-(R3371)*(R3371))-(S3371)*((U3371)*(Q3371)-(R3371)*(V3371))+(T3371)*((U3371)*(R3371)-(P3371)*(V3371)))/W3371,0)</f>
        <v/>
      </c>
      <c r="Y3371">
        <f>IF(ABS(W3371)&gt;1E-12,((LTP3!$D$5)*((U3371)*(Q3371)-(R3371)*(V3371))-(LTP3!$D$6)*((S3371)*(Q3371)-(R3371)*(T3371))+(T3371)*((S3371)*(V3371)-(U3371)*(T3371)))/W3371,0)</f>
        <v/>
      </c>
      <c r="Z3371">
        <f>IF(ABS(W3371)&gt;1E-12,((LTP3!$D$5)*((P3371)*(V3371)-(U3371)*(R3371))-(S3371)*((S3371)*(V3371)-(U3371)*(T3371))+(LTP3!$D$6)*((S3371)*(R3371)-(P3371)*(T3371)))/W3371,0)</f>
        <v/>
      </c>
      <c r="AA3371">
        <f>LTP3!$D$7-X3371*LTP3!$D$6-Y3371*U3371-Z3371*V3371</f>
        <v/>
      </c>
      <c r="AB3371">
        <f>IF(AND(F3371,ABS(W3371)&gt;1E-12,Y3371&gt;0,Z3371&gt;0),AA3371,1E+300)</f>
        <v/>
      </c>
    </row>
    <row r="3372">
      <c r="A3372">
        <f>$B$3+$B$5*55</f>
        <v/>
      </c>
      <c r="B3372">
        <f>$B$3+$B$5*5</f>
        <v/>
      </c>
      <c r="C3372">
        <f>SUMPRODUCT(Calc!$K$3:$K$22*(Calc!$G$3:$G$22&lt;=A3372))</f>
        <v/>
      </c>
      <c r="D3372">
        <f>SUMPRODUCT(Calc!$K$3:$K$22*(Calc!$G$3:$G$22&gt;A3372)*(Calc!$G$3:$G$22&lt;B3372))</f>
        <v/>
      </c>
      <c r="E3372">
        <f>SUMPRODUCT(Calc!$K$3:$K$22*(Calc!$G$3:$G$22&gt;=B3372))</f>
        <v/>
      </c>
      <c r="F3372">
        <f>AND(k_n&gt;=5,B3372&gt;A3372+1E-9,C3372&gt;=2,D3372&gt;=1,E3372&gt;=2)</f>
        <v/>
      </c>
      <c r="G3372">
        <f>SUMPRODUCT(Calc!$K$3:$K$22*(Calc!$G$3:$G$22&gt;A3372)*(Calc!$G$3:$G$22-A3372))</f>
        <v/>
      </c>
      <c r="H3372">
        <f>SUMPRODUCT(Calc!$K$3:$K$22*(Calc!$G$3:$G$22&gt;B3372)*(Calc!$G$3:$G$22-B3372))</f>
        <v/>
      </c>
      <c r="I3372">
        <f>SUMPRODUCT(Calc!$K$3:$K$22*(Calc!$G$3:$G$22&gt;A3372)*(Calc!$G$3:$G$22-A3372)^2)</f>
        <v/>
      </c>
      <c r="J3372">
        <f>SUMPRODUCT(Calc!$K$3:$K$22*(Calc!$G$3:$G$22&gt;B3372)*(Calc!$G$3:$G$22-B3372)^2)</f>
        <v/>
      </c>
      <c r="K3372">
        <f>SUMPRODUCT(Calc!$K$3:$K$22*(Calc!$G$3:$G$22&gt;A3372)*(Calc!$G$3:$G$22-A3372)*(Calc!$G$3:$G$22&gt;B3372)*(Calc!$G$3:$G$22-B3372))</f>
        <v/>
      </c>
      <c r="L3372">
        <f>SUMPRODUCT(Calc!$K$3:$K$22*(Calc!$G$3:$G$22&gt;A3372)*(Calc!$G$3:$G$22-A3372)*Calc!$G$3:$G$22)</f>
        <v/>
      </c>
      <c r="M3372">
        <f>SUMPRODUCT(Calc!$K$3:$K$22*(Calc!$G$3:$G$22&gt;B3372)*(Calc!$G$3:$G$22-B3372)*Calc!$G$3:$G$22)</f>
        <v/>
      </c>
      <c r="N3372">
        <f>SUMPRODUCT(Calc!$K$3:$K$22*(Calc!$G$3:$G$22&gt;A3372)*(Calc!$G$3:$G$22-A3372)*Calc!$I$3:$I$22)</f>
        <v/>
      </c>
      <c r="O3372">
        <f>SUMPRODUCT(Calc!$K$3:$K$22*(Calc!$G$3:$G$22&gt;B3372)*(Calc!$G$3:$G$22-B3372)*Calc!$I$3:$I$22)</f>
        <v/>
      </c>
      <c r="P3372">
        <f>I3372-G3372^2/k_n</f>
        <v/>
      </c>
      <c r="Q3372">
        <f>J3372-H3372^2/k_n</f>
        <v/>
      </c>
      <c r="R3372">
        <f>K3372-G3372*H3372/k_n</f>
        <v/>
      </c>
      <c r="S3372">
        <f>L3372-LTP3!$D$3*G3372/k_n</f>
        <v/>
      </c>
      <c r="T3372">
        <f>M3372-LTP3!$D$3*H3372/k_n</f>
        <v/>
      </c>
      <c r="U3372">
        <f>N3372-G3372*LTP3!$D$4/k_n</f>
        <v/>
      </c>
      <c r="V3372">
        <f>O3372-H3372*LTP3!$D$4/k_n</f>
        <v/>
      </c>
      <c r="W3372">
        <f>((LTP3!$D$5)*((P3372)*(Q3372)-(R3372)*(R3372))-(S3372)*((S3372)*(Q3372)-(R3372)*(T3372))+(T3372)*((S3372)*(R3372)-(P3372)*(T3372)))</f>
        <v/>
      </c>
      <c r="X3372">
        <f>IF(ABS(W3372)&gt;1E-12,((LTP3!$D$6)*((P3372)*(Q3372)-(R3372)*(R3372))-(S3372)*((U3372)*(Q3372)-(R3372)*(V3372))+(T3372)*((U3372)*(R3372)-(P3372)*(V3372)))/W3372,0)</f>
        <v/>
      </c>
      <c r="Y3372">
        <f>IF(ABS(W3372)&gt;1E-12,((LTP3!$D$5)*((U3372)*(Q3372)-(R3372)*(V3372))-(LTP3!$D$6)*((S3372)*(Q3372)-(R3372)*(T3372))+(T3372)*((S3372)*(V3372)-(U3372)*(T3372)))/W3372,0)</f>
        <v/>
      </c>
      <c r="Z3372">
        <f>IF(ABS(W3372)&gt;1E-12,((LTP3!$D$5)*((P3372)*(V3372)-(U3372)*(R3372))-(S3372)*((S3372)*(V3372)-(U3372)*(T3372))+(LTP3!$D$6)*((S3372)*(R3372)-(P3372)*(T3372)))/W3372,0)</f>
        <v/>
      </c>
      <c r="AA3372">
        <f>LTP3!$D$7-X3372*LTP3!$D$6-Y3372*U3372-Z3372*V3372</f>
        <v/>
      </c>
      <c r="AB3372">
        <f>IF(AND(F3372,ABS(W3372)&gt;1E-12,Y3372&gt;0,Z3372&gt;0),AA3372,1E+300)</f>
        <v/>
      </c>
    </row>
    <row r="3373">
      <c r="A3373">
        <f>$B$3+$B$5*55</f>
        <v/>
      </c>
      <c r="B3373">
        <f>$B$3+$B$5*6</f>
        <v/>
      </c>
      <c r="C3373">
        <f>SUMPRODUCT(Calc!$K$3:$K$22*(Calc!$G$3:$G$22&lt;=A3373))</f>
        <v/>
      </c>
      <c r="D3373">
        <f>SUMPRODUCT(Calc!$K$3:$K$22*(Calc!$G$3:$G$22&gt;A3373)*(Calc!$G$3:$G$22&lt;B3373))</f>
        <v/>
      </c>
      <c r="E3373">
        <f>SUMPRODUCT(Calc!$K$3:$K$22*(Calc!$G$3:$G$22&gt;=B3373))</f>
        <v/>
      </c>
      <c r="F3373">
        <f>AND(k_n&gt;=5,B3373&gt;A3373+1E-9,C3373&gt;=2,D3373&gt;=1,E3373&gt;=2)</f>
        <v/>
      </c>
      <c r="G3373">
        <f>SUMPRODUCT(Calc!$K$3:$K$22*(Calc!$G$3:$G$22&gt;A3373)*(Calc!$G$3:$G$22-A3373))</f>
        <v/>
      </c>
      <c r="H3373">
        <f>SUMPRODUCT(Calc!$K$3:$K$22*(Calc!$G$3:$G$22&gt;B3373)*(Calc!$G$3:$G$22-B3373))</f>
        <v/>
      </c>
      <c r="I3373">
        <f>SUMPRODUCT(Calc!$K$3:$K$22*(Calc!$G$3:$G$22&gt;A3373)*(Calc!$G$3:$G$22-A3373)^2)</f>
        <v/>
      </c>
      <c r="J3373">
        <f>SUMPRODUCT(Calc!$K$3:$K$22*(Calc!$G$3:$G$22&gt;B3373)*(Calc!$G$3:$G$22-B3373)^2)</f>
        <v/>
      </c>
      <c r="K3373">
        <f>SUMPRODUCT(Calc!$K$3:$K$22*(Calc!$G$3:$G$22&gt;A3373)*(Calc!$G$3:$G$22-A3373)*(Calc!$G$3:$G$22&gt;B3373)*(Calc!$G$3:$G$22-B3373))</f>
        <v/>
      </c>
      <c r="L3373">
        <f>SUMPRODUCT(Calc!$K$3:$K$22*(Calc!$G$3:$G$22&gt;A3373)*(Calc!$G$3:$G$22-A3373)*Calc!$G$3:$G$22)</f>
        <v/>
      </c>
      <c r="M3373">
        <f>SUMPRODUCT(Calc!$K$3:$K$22*(Calc!$G$3:$G$22&gt;B3373)*(Calc!$G$3:$G$22-B3373)*Calc!$G$3:$G$22)</f>
        <v/>
      </c>
      <c r="N3373">
        <f>SUMPRODUCT(Calc!$K$3:$K$22*(Calc!$G$3:$G$22&gt;A3373)*(Calc!$G$3:$G$22-A3373)*Calc!$I$3:$I$22)</f>
        <v/>
      </c>
      <c r="O3373">
        <f>SUMPRODUCT(Calc!$K$3:$K$22*(Calc!$G$3:$G$22&gt;B3373)*(Calc!$G$3:$G$22-B3373)*Calc!$I$3:$I$22)</f>
        <v/>
      </c>
      <c r="P3373">
        <f>I3373-G3373^2/k_n</f>
        <v/>
      </c>
      <c r="Q3373">
        <f>J3373-H3373^2/k_n</f>
        <v/>
      </c>
      <c r="R3373">
        <f>K3373-G3373*H3373/k_n</f>
        <v/>
      </c>
      <c r="S3373">
        <f>L3373-LTP3!$D$3*G3373/k_n</f>
        <v/>
      </c>
      <c r="T3373">
        <f>M3373-LTP3!$D$3*H3373/k_n</f>
        <v/>
      </c>
      <c r="U3373">
        <f>N3373-G3373*LTP3!$D$4/k_n</f>
        <v/>
      </c>
      <c r="V3373">
        <f>O3373-H3373*LTP3!$D$4/k_n</f>
        <v/>
      </c>
      <c r="W3373">
        <f>((LTP3!$D$5)*((P3373)*(Q3373)-(R3373)*(R3373))-(S3373)*((S3373)*(Q3373)-(R3373)*(T3373))+(T3373)*((S3373)*(R3373)-(P3373)*(T3373)))</f>
        <v/>
      </c>
      <c r="X3373">
        <f>IF(ABS(W3373)&gt;1E-12,((LTP3!$D$6)*((P3373)*(Q3373)-(R3373)*(R3373))-(S3373)*((U3373)*(Q3373)-(R3373)*(V3373))+(T3373)*((U3373)*(R3373)-(P3373)*(V3373)))/W3373,0)</f>
        <v/>
      </c>
      <c r="Y3373">
        <f>IF(ABS(W3373)&gt;1E-12,((LTP3!$D$5)*((U3373)*(Q3373)-(R3373)*(V3373))-(LTP3!$D$6)*((S3373)*(Q3373)-(R3373)*(T3373))+(T3373)*((S3373)*(V3373)-(U3373)*(T3373)))/W3373,0)</f>
        <v/>
      </c>
      <c r="Z3373">
        <f>IF(ABS(W3373)&gt;1E-12,((LTP3!$D$5)*((P3373)*(V3373)-(U3373)*(R3373))-(S3373)*((S3373)*(V3373)-(U3373)*(T3373))+(LTP3!$D$6)*((S3373)*(R3373)-(P3373)*(T3373)))/W3373,0)</f>
        <v/>
      </c>
      <c r="AA3373">
        <f>LTP3!$D$7-X3373*LTP3!$D$6-Y3373*U3373-Z3373*V3373</f>
        <v/>
      </c>
      <c r="AB3373">
        <f>IF(AND(F3373,ABS(W3373)&gt;1E-12,Y3373&gt;0,Z3373&gt;0),AA3373,1E+300)</f>
        <v/>
      </c>
    </row>
    <row r="3374">
      <c r="A3374">
        <f>$B$3+$B$5*55</f>
        <v/>
      </c>
      <c r="B3374">
        <f>$B$3+$B$5*7</f>
        <v/>
      </c>
      <c r="C3374">
        <f>SUMPRODUCT(Calc!$K$3:$K$22*(Calc!$G$3:$G$22&lt;=A3374))</f>
        <v/>
      </c>
      <c r="D3374">
        <f>SUMPRODUCT(Calc!$K$3:$K$22*(Calc!$G$3:$G$22&gt;A3374)*(Calc!$G$3:$G$22&lt;B3374))</f>
        <v/>
      </c>
      <c r="E3374">
        <f>SUMPRODUCT(Calc!$K$3:$K$22*(Calc!$G$3:$G$22&gt;=B3374))</f>
        <v/>
      </c>
      <c r="F3374">
        <f>AND(k_n&gt;=5,B3374&gt;A3374+1E-9,C3374&gt;=2,D3374&gt;=1,E3374&gt;=2)</f>
        <v/>
      </c>
      <c r="G3374">
        <f>SUMPRODUCT(Calc!$K$3:$K$22*(Calc!$G$3:$G$22&gt;A3374)*(Calc!$G$3:$G$22-A3374))</f>
        <v/>
      </c>
      <c r="H3374">
        <f>SUMPRODUCT(Calc!$K$3:$K$22*(Calc!$G$3:$G$22&gt;B3374)*(Calc!$G$3:$G$22-B3374))</f>
        <v/>
      </c>
      <c r="I3374">
        <f>SUMPRODUCT(Calc!$K$3:$K$22*(Calc!$G$3:$G$22&gt;A3374)*(Calc!$G$3:$G$22-A3374)^2)</f>
        <v/>
      </c>
      <c r="J3374">
        <f>SUMPRODUCT(Calc!$K$3:$K$22*(Calc!$G$3:$G$22&gt;B3374)*(Calc!$G$3:$G$22-B3374)^2)</f>
        <v/>
      </c>
      <c r="K3374">
        <f>SUMPRODUCT(Calc!$K$3:$K$22*(Calc!$G$3:$G$22&gt;A3374)*(Calc!$G$3:$G$22-A3374)*(Calc!$G$3:$G$22&gt;B3374)*(Calc!$G$3:$G$22-B3374))</f>
        <v/>
      </c>
      <c r="L3374">
        <f>SUMPRODUCT(Calc!$K$3:$K$22*(Calc!$G$3:$G$22&gt;A3374)*(Calc!$G$3:$G$22-A3374)*Calc!$G$3:$G$22)</f>
        <v/>
      </c>
      <c r="M3374">
        <f>SUMPRODUCT(Calc!$K$3:$K$22*(Calc!$G$3:$G$22&gt;B3374)*(Calc!$G$3:$G$22-B3374)*Calc!$G$3:$G$22)</f>
        <v/>
      </c>
      <c r="N3374">
        <f>SUMPRODUCT(Calc!$K$3:$K$22*(Calc!$G$3:$G$22&gt;A3374)*(Calc!$G$3:$G$22-A3374)*Calc!$I$3:$I$22)</f>
        <v/>
      </c>
      <c r="O3374">
        <f>SUMPRODUCT(Calc!$K$3:$K$22*(Calc!$G$3:$G$22&gt;B3374)*(Calc!$G$3:$G$22-B3374)*Calc!$I$3:$I$22)</f>
        <v/>
      </c>
      <c r="P3374">
        <f>I3374-G3374^2/k_n</f>
        <v/>
      </c>
      <c r="Q3374">
        <f>J3374-H3374^2/k_n</f>
        <v/>
      </c>
      <c r="R3374">
        <f>K3374-G3374*H3374/k_n</f>
        <v/>
      </c>
      <c r="S3374">
        <f>L3374-LTP3!$D$3*G3374/k_n</f>
        <v/>
      </c>
      <c r="T3374">
        <f>M3374-LTP3!$D$3*H3374/k_n</f>
        <v/>
      </c>
      <c r="U3374">
        <f>N3374-G3374*LTP3!$D$4/k_n</f>
        <v/>
      </c>
      <c r="V3374">
        <f>O3374-H3374*LTP3!$D$4/k_n</f>
        <v/>
      </c>
      <c r="W3374">
        <f>((LTP3!$D$5)*((P3374)*(Q3374)-(R3374)*(R3374))-(S3374)*((S3374)*(Q3374)-(R3374)*(T3374))+(T3374)*((S3374)*(R3374)-(P3374)*(T3374)))</f>
        <v/>
      </c>
      <c r="X3374">
        <f>IF(ABS(W3374)&gt;1E-12,((LTP3!$D$6)*((P3374)*(Q3374)-(R3374)*(R3374))-(S3374)*((U3374)*(Q3374)-(R3374)*(V3374))+(T3374)*((U3374)*(R3374)-(P3374)*(V3374)))/W3374,0)</f>
        <v/>
      </c>
      <c r="Y3374">
        <f>IF(ABS(W3374)&gt;1E-12,((LTP3!$D$5)*((U3374)*(Q3374)-(R3374)*(V3374))-(LTP3!$D$6)*((S3374)*(Q3374)-(R3374)*(T3374))+(T3374)*((S3374)*(V3374)-(U3374)*(T3374)))/W3374,0)</f>
        <v/>
      </c>
      <c r="Z3374">
        <f>IF(ABS(W3374)&gt;1E-12,((LTP3!$D$5)*((P3374)*(V3374)-(U3374)*(R3374))-(S3374)*((S3374)*(V3374)-(U3374)*(T3374))+(LTP3!$D$6)*((S3374)*(R3374)-(P3374)*(T3374)))/W3374,0)</f>
        <v/>
      </c>
      <c r="AA3374">
        <f>LTP3!$D$7-X3374*LTP3!$D$6-Y3374*U3374-Z3374*V3374</f>
        <v/>
      </c>
      <c r="AB3374">
        <f>IF(AND(F3374,ABS(W3374)&gt;1E-12,Y3374&gt;0,Z3374&gt;0),AA3374,1E+300)</f>
        <v/>
      </c>
    </row>
    <row r="3375">
      <c r="A3375">
        <f>$B$3+$B$5*55</f>
        <v/>
      </c>
      <c r="B3375">
        <f>$B$3+$B$5*8</f>
        <v/>
      </c>
      <c r="C3375">
        <f>SUMPRODUCT(Calc!$K$3:$K$22*(Calc!$G$3:$G$22&lt;=A3375))</f>
        <v/>
      </c>
      <c r="D3375">
        <f>SUMPRODUCT(Calc!$K$3:$K$22*(Calc!$G$3:$G$22&gt;A3375)*(Calc!$G$3:$G$22&lt;B3375))</f>
        <v/>
      </c>
      <c r="E3375">
        <f>SUMPRODUCT(Calc!$K$3:$K$22*(Calc!$G$3:$G$22&gt;=B3375))</f>
        <v/>
      </c>
      <c r="F3375">
        <f>AND(k_n&gt;=5,B3375&gt;A3375+1E-9,C3375&gt;=2,D3375&gt;=1,E3375&gt;=2)</f>
        <v/>
      </c>
      <c r="G3375">
        <f>SUMPRODUCT(Calc!$K$3:$K$22*(Calc!$G$3:$G$22&gt;A3375)*(Calc!$G$3:$G$22-A3375))</f>
        <v/>
      </c>
      <c r="H3375">
        <f>SUMPRODUCT(Calc!$K$3:$K$22*(Calc!$G$3:$G$22&gt;B3375)*(Calc!$G$3:$G$22-B3375))</f>
        <v/>
      </c>
      <c r="I3375">
        <f>SUMPRODUCT(Calc!$K$3:$K$22*(Calc!$G$3:$G$22&gt;A3375)*(Calc!$G$3:$G$22-A3375)^2)</f>
        <v/>
      </c>
      <c r="J3375">
        <f>SUMPRODUCT(Calc!$K$3:$K$22*(Calc!$G$3:$G$22&gt;B3375)*(Calc!$G$3:$G$22-B3375)^2)</f>
        <v/>
      </c>
      <c r="K3375">
        <f>SUMPRODUCT(Calc!$K$3:$K$22*(Calc!$G$3:$G$22&gt;A3375)*(Calc!$G$3:$G$22-A3375)*(Calc!$G$3:$G$22&gt;B3375)*(Calc!$G$3:$G$22-B3375))</f>
        <v/>
      </c>
      <c r="L3375">
        <f>SUMPRODUCT(Calc!$K$3:$K$22*(Calc!$G$3:$G$22&gt;A3375)*(Calc!$G$3:$G$22-A3375)*Calc!$G$3:$G$22)</f>
        <v/>
      </c>
      <c r="M3375">
        <f>SUMPRODUCT(Calc!$K$3:$K$22*(Calc!$G$3:$G$22&gt;B3375)*(Calc!$G$3:$G$22-B3375)*Calc!$G$3:$G$22)</f>
        <v/>
      </c>
      <c r="N3375">
        <f>SUMPRODUCT(Calc!$K$3:$K$22*(Calc!$G$3:$G$22&gt;A3375)*(Calc!$G$3:$G$22-A3375)*Calc!$I$3:$I$22)</f>
        <v/>
      </c>
      <c r="O3375">
        <f>SUMPRODUCT(Calc!$K$3:$K$22*(Calc!$G$3:$G$22&gt;B3375)*(Calc!$G$3:$G$22-B3375)*Calc!$I$3:$I$22)</f>
        <v/>
      </c>
      <c r="P3375">
        <f>I3375-G3375^2/k_n</f>
        <v/>
      </c>
      <c r="Q3375">
        <f>J3375-H3375^2/k_n</f>
        <v/>
      </c>
      <c r="R3375">
        <f>K3375-G3375*H3375/k_n</f>
        <v/>
      </c>
      <c r="S3375">
        <f>L3375-LTP3!$D$3*G3375/k_n</f>
        <v/>
      </c>
      <c r="T3375">
        <f>M3375-LTP3!$D$3*H3375/k_n</f>
        <v/>
      </c>
      <c r="U3375">
        <f>N3375-G3375*LTP3!$D$4/k_n</f>
        <v/>
      </c>
      <c r="V3375">
        <f>O3375-H3375*LTP3!$D$4/k_n</f>
        <v/>
      </c>
      <c r="W3375">
        <f>((LTP3!$D$5)*((P3375)*(Q3375)-(R3375)*(R3375))-(S3375)*((S3375)*(Q3375)-(R3375)*(T3375))+(T3375)*((S3375)*(R3375)-(P3375)*(T3375)))</f>
        <v/>
      </c>
      <c r="X3375">
        <f>IF(ABS(W3375)&gt;1E-12,((LTP3!$D$6)*((P3375)*(Q3375)-(R3375)*(R3375))-(S3375)*((U3375)*(Q3375)-(R3375)*(V3375))+(T3375)*((U3375)*(R3375)-(P3375)*(V3375)))/W3375,0)</f>
        <v/>
      </c>
      <c r="Y3375">
        <f>IF(ABS(W3375)&gt;1E-12,((LTP3!$D$5)*((U3375)*(Q3375)-(R3375)*(V3375))-(LTP3!$D$6)*((S3375)*(Q3375)-(R3375)*(T3375))+(T3375)*((S3375)*(V3375)-(U3375)*(T3375)))/W3375,0)</f>
        <v/>
      </c>
      <c r="Z3375">
        <f>IF(ABS(W3375)&gt;1E-12,((LTP3!$D$5)*((P3375)*(V3375)-(U3375)*(R3375))-(S3375)*((S3375)*(V3375)-(U3375)*(T3375))+(LTP3!$D$6)*((S3375)*(R3375)-(P3375)*(T3375)))/W3375,0)</f>
        <v/>
      </c>
      <c r="AA3375">
        <f>LTP3!$D$7-X3375*LTP3!$D$6-Y3375*U3375-Z3375*V3375</f>
        <v/>
      </c>
      <c r="AB3375">
        <f>IF(AND(F3375,ABS(W3375)&gt;1E-12,Y3375&gt;0,Z3375&gt;0),AA3375,1E+300)</f>
        <v/>
      </c>
    </row>
    <row r="3376">
      <c r="A3376">
        <f>$B$3+$B$5*55</f>
        <v/>
      </c>
      <c r="B3376">
        <f>$B$3+$B$5*9</f>
        <v/>
      </c>
      <c r="C3376">
        <f>SUMPRODUCT(Calc!$K$3:$K$22*(Calc!$G$3:$G$22&lt;=A3376))</f>
        <v/>
      </c>
      <c r="D3376">
        <f>SUMPRODUCT(Calc!$K$3:$K$22*(Calc!$G$3:$G$22&gt;A3376)*(Calc!$G$3:$G$22&lt;B3376))</f>
        <v/>
      </c>
      <c r="E3376">
        <f>SUMPRODUCT(Calc!$K$3:$K$22*(Calc!$G$3:$G$22&gt;=B3376))</f>
        <v/>
      </c>
      <c r="F3376">
        <f>AND(k_n&gt;=5,B3376&gt;A3376+1E-9,C3376&gt;=2,D3376&gt;=1,E3376&gt;=2)</f>
        <v/>
      </c>
      <c r="G3376">
        <f>SUMPRODUCT(Calc!$K$3:$K$22*(Calc!$G$3:$G$22&gt;A3376)*(Calc!$G$3:$G$22-A3376))</f>
        <v/>
      </c>
      <c r="H3376">
        <f>SUMPRODUCT(Calc!$K$3:$K$22*(Calc!$G$3:$G$22&gt;B3376)*(Calc!$G$3:$G$22-B3376))</f>
        <v/>
      </c>
      <c r="I3376">
        <f>SUMPRODUCT(Calc!$K$3:$K$22*(Calc!$G$3:$G$22&gt;A3376)*(Calc!$G$3:$G$22-A3376)^2)</f>
        <v/>
      </c>
      <c r="J3376">
        <f>SUMPRODUCT(Calc!$K$3:$K$22*(Calc!$G$3:$G$22&gt;B3376)*(Calc!$G$3:$G$22-B3376)^2)</f>
        <v/>
      </c>
      <c r="K3376">
        <f>SUMPRODUCT(Calc!$K$3:$K$22*(Calc!$G$3:$G$22&gt;A3376)*(Calc!$G$3:$G$22-A3376)*(Calc!$G$3:$G$22&gt;B3376)*(Calc!$G$3:$G$22-B3376))</f>
        <v/>
      </c>
      <c r="L3376">
        <f>SUMPRODUCT(Calc!$K$3:$K$22*(Calc!$G$3:$G$22&gt;A3376)*(Calc!$G$3:$G$22-A3376)*Calc!$G$3:$G$22)</f>
        <v/>
      </c>
      <c r="M3376">
        <f>SUMPRODUCT(Calc!$K$3:$K$22*(Calc!$G$3:$G$22&gt;B3376)*(Calc!$G$3:$G$22-B3376)*Calc!$G$3:$G$22)</f>
        <v/>
      </c>
      <c r="N3376">
        <f>SUMPRODUCT(Calc!$K$3:$K$22*(Calc!$G$3:$G$22&gt;A3376)*(Calc!$G$3:$G$22-A3376)*Calc!$I$3:$I$22)</f>
        <v/>
      </c>
      <c r="O3376">
        <f>SUMPRODUCT(Calc!$K$3:$K$22*(Calc!$G$3:$G$22&gt;B3376)*(Calc!$G$3:$G$22-B3376)*Calc!$I$3:$I$22)</f>
        <v/>
      </c>
      <c r="P3376">
        <f>I3376-G3376^2/k_n</f>
        <v/>
      </c>
      <c r="Q3376">
        <f>J3376-H3376^2/k_n</f>
        <v/>
      </c>
      <c r="R3376">
        <f>K3376-G3376*H3376/k_n</f>
        <v/>
      </c>
      <c r="S3376">
        <f>L3376-LTP3!$D$3*G3376/k_n</f>
        <v/>
      </c>
      <c r="T3376">
        <f>M3376-LTP3!$D$3*H3376/k_n</f>
        <v/>
      </c>
      <c r="U3376">
        <f>N3376-G3376*LTP3!$D$4/k_n</f>
        <v/>
      </c>
      <c r="V3376">
        <f>O3376-H3376*LTP3!$D$4/k_n</f>
        <v/>
      </c>
      <c r="W3376">
        <f>((LTP3!$D$5)*((P3376)*(Q3376)-(R3376)*(R3376))-(S3376)*((S3376)*(Q3376)-(R3376)*(T3376))+(T3376)*((S3376)*(R3376)-(P3376)*(T3376)))</f>
        <v/>
      </c>
      <c r="X3376">
        <f>IF(ABS(W3376)&gt;1E-12,((LTP3!$D$6)*((P3376)*(Q3376)-(R3376)*(R3376))-(S3376)*((U3376)*(Q3376)-(R3376)*(V3376))+(T3376)*((U3376)*(R3376)-(P3376)*(V3376)))/W3376,0)</f>
        <v/>
      </c>
      <c r="Y3376">
        <f>IF(ABS(W3376)&gt;1E-12,((LTP3!$D$5)*((U3376)*(Q3376)-(R3376)*(V3376))-(LTP3!$D$6)*((S3376)*(Q3376)-(R3376)*(T3376))+(T3376)*((S3376)*(V3376)-(U3376)*(T3376)))/W3376,0)</f>
        <v/>
      </c>
      <c r="Z3376">
        <f>IF(ABS(W3376)&gt;1E-12,((LTP3!$D$5)*((P3376)*(V3376)-(U3376)*(R3376))-(S3376)*((S3376)*(V3376)-(U3376)*(T3376))+(LTP3!$D$6)*((S3376)*(R3376)-(P3376)*(T3376)))/W3376,0)</f>
        <v/>
      </c>
      <c r="AA3376">
        <f>LTP3!$D$7-X3376*LTP3!$D$6-Y3376*U3376-Z3376*V3376</f>
        <v/>
      </c>
      <c r="AB3376">
        <f>IF(AND(F3376,ABS(W3376)&gt;1E-12,Y3376&gt;0,Z3376&gt;0),AA3376,1E+300)</f>
        <v/>
      </c>
    </row>
    <row r="3377">
      <c r="A3377">
        <f>$B$3+$B$5*55</f>
        <v/>
      </c>
      <c r="B3377">
        <f>$B$3+$B$5*10</f>
        <v/>
      </c>
      <c r="C3377">
        <f>SUMPRODUCT(Calc!$K$3:$K$22*(Calc!$G$3:$G$22&lt;=A3377))</f>
        <v/>
      </c>
      <c r="D3377">
        <f>SUMPRODUCT(Calc!$K$3:$K$22*(Calc!$G$3:$G$22&gt;A3377)*(Calc!$G$3:$G$22&lt;B3377))</f>
        <v/>
      </c>
      <c r="E3377">
        <f>SUMPRODUCT(Calc!$K$3:$K$22*(Calc!$G$3:$G$22&gt;=B3377))</f>
        <v/>
      </c>
      <c r="F3377">
        <f>AND(k_n&gt;=5,B3377&gt;A3377+1E-9,C3377&gt;=2,D3377&gt;=1,E3377&gt;=2)</f>
        <v/>
      </c>
      <c r="G3377">
        <f>SUMPRODUCT(Calc!$K$3:$K$22*(Calc!$G$3:$G$22&gt;A3377)*(Calc!$G$3:$G$22-A3377))</f>
        <v/>
      </c>
      <c r="H3377">
        <f>SUMPRODUCT(Calc!$K$3:$K$22*(Calc!$G$3:$G$22&gt;B3377)*(Calc!$G$3:$G$22-B3377))</f>
        <v/>
      </c>
      <c r="I3377">
        <f>SUMPRODUCT(Calc!$K$3:$K$22*(Calc!$G$3:$G$22&gt;A3377)*(Calc!$G$3:$G$22-A3377)^2)</f>
        <v/>
      </c>
      <c r="J3377">
        <f>SUMPRODUCT(Calc!$K$3:$K$22*(Calc!$G$3:$G$22&gt;B3377)*(Calc!$G$3:$G$22-B3377)^2)</f>
        <v/>
      </c>
      <c r="K3377">
        <f>SUMPRODUCT(Calc!$K$3:$K$22*(Calc!$G$3:$G$22&gt;A3377)*(Calc!$G$3:$G$22-A3377)*(Calc!$G$3:$G$22&gt;B3377)*(Calc!$G$3:$G$22-B3377))</f>
        <v/>
      </c>
      <c r="L3377">
        <f>SUMPRODUCT(Calc!$K$3:$K$22*(Calc!$G$3:$G$22&gt;A3377)*(Calc!$G$3:$G$22-A3377)*Calc!$G$3:$G$22)</f>
        <v/>
      </c>
      <c r="M3377">
        <f>SUMPRODUCT(Calc!$K$3:$K$22*(Calc!$G$3:$G$22&gt;B3377)*(Calc!$G$3:$G$22-B3377)*Calc!$G$3:$G$22)</f>
        <v/>
      </c>
      <c r="N3377">
        <f>SUMPRODUCT(Calc!$K$3:$K$22*(Calc!$G$3:$G$22&gt;A3377)*(Calc!$G$3:$G$22-A3377)*Calc!$I$3:$I$22)</f>
        <v/>
      </c>
      <c r="O3377">
        <f>SUMPRODUCT(Calc!$K$3:$K$22*(Calc!$G$3:$G$22&gt;B3377)*(Calc!$G$3:$G$22-B3377)*Calc!$I$3:$I$22)</f>
        <v/>
      </c>
      <c r="P3377">
        <f>I3377-G3377^2/k_n</f>
        <v/>
      </c>
      <c r="Q3377">
        <f>J3377-H3377^2/k_n</f>
        <v/>
      </c>
      <c r="R3377">
        <f>K3377-G3377*H3377/k_n</f>
        <v/>
      </c>
      <c r="S3377">
        <f>L3377-LTP3!$D$3*G3377/k_n</f>
        <v/>
      </c>
      <c r="T3377">
        <f>M3377-LTP3!$D$3*H3377/k_n</f>
        <v/>
      </c>
      <c r="U3377">
        <f>N3377-G3377*LTP3!$D$4/k_n</f>
        <v/>
      </c>
      <c r="V3377">
        <f>O3377-H3377*LTP3!$D$4/k_n</f>
        <v/>
      </c>
      <c r="W3377">
        <f>((LTP3!$D$5)*((P3377)*(Q3377)-(R3377)*(R3377))-(S3377)*((S3377)*(Q3377)-(R3377)*(T3377))+(T3377)*((S3377)*(R3377)-(P3377)*(T3377)))</f>
        <v/>
      </c>
      <c r="X3377">
        <f>IF(ABS(W3377)&gt;1E-12,((LTP3!$D$6)*((P3377)*(Q3377)-(R3377)*(R3377))-(S3377)*((U3377)*(Q3377)-(R3377)*(V3377))+(T3377)*((U3377)*(R3377)-(P3377)*(V3377)))/W3377,0)</f>
        <v/>
      </c>
      <c r="Y3377">
        <f>IF(ABS(W3377)&gt;1E-12,((LTP3!$D$5)*((U3377)*(Q3377)-(R3377)*(V3377))-(LTP3!$D$6)*((S3377)*(Q3377)-(R3377)*(T3377))+(T3377)*((S3377)*(V3377)-(U3377)*(T3377)))/W3377,0)</f>
        <v/>
      </c>
      <c r="Z3377">
        <f>IF(ABS(W3377)&gt;1E-12,((LTP3!$D$5)*((P3377)*(V3377)-(U3377)*(R3377))-(S3377)*((S3377)*(V3377)-(U3377)*(T3377))+(LTP3!$D$6)*((S3377)*(R3377)-(P3377)*(T3377)))/W3377,0)</f>
        <v/>
      </c>
      <c r="AA3377">
        <f>LTP3!$D$7-X3377*LTP3!$D$6-Y3377*U3377-Z3377*V3377</f>
        <v/>
      </c>
      <c r="AB3377">
        <f>IF(AND(F3377,ABS(W3377)&gt;1E-12,Y3377&gt;0,Z3377&gt;0),AA3377,1E+300)</f>
        <v/>
      </c>
    </row>
    <row r="3378">
      <c r="A3378">
        <f>$B$3+$B$5*55</f>
        <v/>
      </c>
      <c r="B3378">
        <f>$B$3+$B$5*11</f>
        <v/>
      </c>
      <c r="C3378">
        <f>SUMPRODUCT(Calc!$K$3:$K$22*(Calc!$G$3:$G$22&lt;=A3378))</f>
        <v/>
      </c>
      <c r="D3378">
        <f>SUMPRODUCT(Calc!$K$3:$K$22*(Calc!$G$3:$G$22&gt;A3378)*(Calc!$G$3:$G$22&lt;B3378))</f>
        <v/>
      </c>
      <c r="E3378">
        <f>SUMPRODUCT(Calc!$K$3:$K$22*(Calc!$G$3:$G$22&gt;=B3378))</f>
        <v/>
      </c>
      <c r="F3378">
        <f>AND(k_n&gt;=5,B3378&gt;A3378+1E-9,C3378&gt;=2,D3378&gt;=1,E3378&gt;=2)</f>
        <v/>
      </c>
      <c r="G3378">
        <f>SUMPRODUCT(Calc!$K$3:$K$22*(Calc!$G$3:$G$22&gt;A3378)*(Calc!$G$3:$G$22-A3378))</f>
        <v/>
      </c>
      <c r="H3378">
        <f>SUMPRODUCT(Calc!$K$3:$K$22*(Calc!$G$3:$G$22&gt;B3378)*(Calc!$G$3:$G$22-B3378))</f>
        <v/>
      </c>
      <c r="I3378">
        <f>SUMPRODUCT(Calc!$K$3:$K$22*(Calc!$G$3:$G$22&gt;A3378)*(Calc!$G$3:$G$22-A3378)^2)</f>
        <v/>
      </c>
      <c r="J3378">
        <f>SUMPRODUCT(Calc!$K$3:$K$22*(Calc!$G$3:$G$22&gt;B3378)*(Calc!$G$3:$G$22-B3378)^2)</f>
        <v/>
      </c>
      <c r="K3378">
        <f>SUMPRODUCT(Calc!$K$3:$K$22*(Calc!$G$3:$G$22&gt;A3378)*(Calc!$G$3:$G$22-A3378)*(Calc!$G$3:$G$22&gt;B3378)*(Calc!$G$3:$G$22-B3378))</f>
        <v/>
      </c>
      <c r="L3378">
        <f>SUMPRODUCT(Calc!$K$3:$K$22*(Calc!$G$3:$G$22&gt;A3378)*(Calc!$G$3:$G$22-A3378)*Calc!$G$3:$G$22)</f>
        <v/>
      </c>
      <c r="M3378">
        <f>SUMPRODUCT(Calc!$K$3:$K$22*(Calc!$G$3:$G$22&gt;B3378)*(Calc!$G$3:$G$22-B3378)*Calc!$G$3:$G$22)</f>
        <v/>
      </c>
      <c r="N3378">
        <f>SUMPRODUCT(Calc!$K$3:$K$22*(Calc!$G$3:$G$22&gt;A3378)*(Calc!$G$3:$G$22-A3378)*Calc!$I$3:$I$22)</f>
        <v/>
      </c>
      <c r="O3378">
        <f>SUMPRODUCT(Calc!$K$3:$K$22*(Calc!$G$3:$G$22&gt;B3378)*(Calc!$G$3:$G$22-B3378)*Calc!$I$3:$I$22)</f>
        <v/>
      </c>
      <c r="P3378">
        <f>I3378-G3378^2/k_n</f>
        <v/>
      </c>
      <c r="Q3378">
        <f>J3378-H3378^2/k_n</f>
        <v/>
      </c>
      <c r="R3378">
        <f>K3378-G3378*H3378/k_n</f>
        <v/>
      </c>
      <c r="S3378">
        <f>L3378-LTP3!$D$3*G3378/k_n</f>
        <v/>
      </c>
      <c r="T3378">
        <f>M3378-LTP3!$D$3*H3378/k_n</f>
        <v/>
      </c>
      <c r="U3378">
        <f>N3378-G3378*LTP3!$D$4/k_n</f>
        <v/>
      </c>
      <c r="V3378">
        <f>O3378-H3378*LTP3!$D$4/k_n</f>
        <v/>
      </c>
      <c r="W3378">
        <f>((LTP3!$D$5)*((P3378)*(Q3378)-(R3378)*(R3378))-(S3378)*((S3378)*(Q3378)-(R3378)*(T3378))+(T3378)*((S3378)*(R3378)-(P3378)*(T3378)))</f>
        <v/>
      </c>
      <c r="X3378">
        <f>IF(ABS(W3378)&gt;1E-12,((LTP3!$D$6)*((P3378)*(Q3378)-(R3378)*(R3378))-(S3378)*((U3378)*(Q3378)-(R3378)*(V3378))+(T3378)*((U3378)*(R3378)-(P3378)*(V3378)))/W3378,0)</f>
        <v/>
      </c>
      <c r="Y3378">
        <f>IF(ABS(W3378)&gt;1E-12,((LTP3!$D$5)*((U3378)*(Q3378)-(R3378)*(V3378))-(LTP3!$D$6)*((S3378)*(Q3378)-(R3378)*(T3378))+(T3378)*((S3378)*(V3378)-(U3378)*(T3378)))/W3378,0)</f>
        <v/>
      </c>
      <c r="Z3378">
        <f>IF(ABS(W3378)&gt;1E-12,((LTP3!$D$5)*((P3378)*(V3378)-(U3378)*(R3378))-(S3378)*((S3378)*(V3378)-(U3378)*(T3378))+(LTP3!$D$6)*((S3378)*(R3378)-(P3378)*(T3378)))/W3378,0)</f>
        <v/>
      </c>
      <c r="AA3378">
        <f>LTP3!$D$7-X3378*LTP3!$D$6-Y3378*U3378-Z3378*V3378</f>
        <v/>
      </c>
      <c r="AB3378">
        <f>IF(AND(F3378,ABS(W3378)&gt;1E-12,Y3378&gt;0,Z3378&gt;0),AA3378,1E+300)</f>
        <v/>
      </c>
    </row>
    <row r="3379">
      <c r="A3379">
        <f>$B$3+$B$5*55</f>
        <v/>
      </c>
      <c r="B3379">
        <f>$B$3+$B$5*12</f>
        <v/>
      </c>
      <c r="C3379">
        <f>SUMPRODUCT(Calc!$K$3:$K$22*(Calc!$G$3:$G$22&lt;=A3379))</f>
        <v/>
      </c>
      <c r="D3379">
        <f>SUMPRODUCT(Calc!$K$3:$K$22*(Calc!$G$3:$G$22&gt;A3379)*(Calc!$G$3:$G$22&lt;B3379))</f>
        <v/>
      </c>
      <c r="E3379">
        <f>SUMPRODUCT(Calc!$K$3:$K$22*(Calc!$G$3:$G$22&gt;=B3379))</f>
        <v/>
      </c>
      <c r="F3379">
        <f>AND(k_n&gt;=5,B3379&gt;A3379+1E-9,C3379&gt;=2,D3379&gt;=1,E3379&gt;=2)</f>
        <v/>
      </c>
      <c r="G3379">
        <f>SUMPRODUCT(Calc!$K$3:$K$22*(Calc!$G$3:$G$22&gt;A3379)*(Calc!$G$3:$G$22-A3379))</f>
        <v/>
      </c>
      <c r="H3379">
        <f>SUMPRODUCT(Calc!$K$3:$K$22*(Calc!$G$3:$G$22&gt;B3379)*(Calc!$G$3:$G$22-B3379))</f>
        <v/>
      </c>
      <c r="I3379">
        <f>SUMPRODUCT(Calc!$K$3:$K$22*(Calc!$G$3:$G$22&gt;A3379)*(Calc!$G$3:$G$22-A3379)^2)</f>
        <v/>
      </c>
      <c r="J3379">
        <f>SUMPRODUCT(Calc!$K$3:$K$22*(Calc!$G$3:$G$22&gt;B3379)*(Calc!$G$3:$G$22-B3379)^2)</f>
        <v/>
      </c>
      <c r="K3379">
        <f>SUMPRODUCT(Calc!$K$3:$K$22*(Calc!$G$3:$G$22&gt;A3379)*(Calc!$G$3:$G$22-A3379)*(Calc!$G$3:$G$22&gt;B3379)*(Calc!$G$3:$G$22-B3379))</f>
        <v/>
      </c>
      <c r="L3379">
        <f>SUMPRODUCT(Calc!$K$3:$K$22*(Calc!$G$3:$G$22&gt;A3379)*(Calc!$G$3:$G$22-A3379)*Calc!$G$3:$G$22)</f>
        <v/>
      </c>
      <c r="M3379">
        <f>SUMPRODUCT(Calc!$K$3:$K$22*(Calc!$G$3:$G$22&gt;B3379)*(Calc!$G$3:$G$22-B3379)*Calc!$G$3:$G$22)</f>
        <v/>
      </c>
      <c r="N3379">
        <f>SUMPRODUCT(Calc!$K$3:$K$22*(Calc!$G$3:$G$22&gt;A3379)*(Calc!$G$3:$G$22-A3379)*Calc!$I$3:$I$22)</f>
        <v/>
      </c>
      <c r="O3379">
        <f>SUMPRODUCT(Calc!$K$3:$K$22*(Calc!$G$3:$G$22&gt;B3379)*(Calc!$G$3:$G$22-B3379)*Calc!$I$3:$I$22)</f>
        <v/>
      </c>
      <c r="P3379">
        <f>I3379-G3379^2/k_n</f>
        <v/>
      </c>
      <c r="Q3379">
        <f>J3379-H3379^2/k_n</f>
        <v/>
      </c>
      <c r="R3379">
        <f>K3379-G3379*H3379/k_n</f>
        <v/>
      </c>
      <c r="S3379">
        <f>L3379-LTP3!$D$3*G3379/k_n</f>
        <v/>
      </c>
      <c r="T3379">
        <f>M3379-LTP3!$D$3*H3379/k_n</f>
        <v/>
      </c>
      <c r="U3379">
        <f>N3379-G3379*LTP3!$D$4/k_n</f>
        <v/>
      </c>
      <c r="V3379">
        <f>O3379-H3379*LTP3!$D$4/k_n</f>
        <v/>
      </c>
      <c r="W3379">
        <f>((LTP3!$D$5)*((P3379)*(Q3379)-(R3379)*(R3379))-(S3379)*((S3379)*(Q3379)-(R3379)*(T3379))+(T3379)*((S3379)*(R3379)-(P3379)*(T3379)))</f>
        <v/>
      </c>
      <c r="X3379">
        <f>IF(ABS(W3379)&gt;1E-12,((LTP3!$D$6)*((P3379)*(Q3379)-(R3379)*(R3379))-(S3379)*((U3379)*(Q3379)-(R3379)*(V3379))+(T3379)*((U3379)*(R3379)-(P3379)*(V3379)))/W3379,0)</f>
        <v/>
      </c>
      <c r="Y3379">
        <f>IF(ABS(W3379)&gt;1E-12,((LTP3!$D$5)*((U3379)*(Q3379)-(R3379)*(V3379))-(LTP3!$D$6)*((S3379)*(Q3379)-(R3379)*(T3379))+(T3379)*((S3379)*(V3379)-(U3379)*(T3379)))/W3379,0)</f>
        <v/>
      </c>
      <c r="Z3379">
        <f>IF(ABS(W3379)&gt;1E-12,((LTP3!$D$5)*((P3379)*(V3379)-(U3379)*(R3379))-(S3379)*((S3379)*(V3379)-(U3379)*(T3379))+(LTP3!$D$6)*((S3379)*(R3379)-(P3379)*(T3379)))/W3379,0)</f>
        <v/>
      </c>
      <c r="AA3379">
        <f>LTP3!$D$7-X3379*LTP3!$D$6-Y3379*U3379-Z3379*V3379</f>
        <v/>
      </c>
      <c r="AB3379">
        <f>IF(AND(F3379,ABS(W3379)&gt;1E-12,Y3379&gt;0,Z3379&gt;0),AA3379,1E+300)</f>
        <v/>
      </c>
    </row>
    <row r="3380">
      <c r="A3380">
        <f>$B$3+$B$5*55</f>
        <v/>
      </c>
      <c r="B3380">
        <f>$B$3+$B$5*13</f>
        <v/>
      </c>
      <c r="C3380">
        <f>SUMPRODUCT(Calc!$K$3:$K$22*(Calc!$G$3:$G$22&lt;=A3380))</f>
        <v/>
      </c>
      <c r="D3380">
        <f>SUMPRODUCT(Calc!$K$3:$K$22*(Calc!$G$3:$G$22&gt;A3380)*(Calc!$G$3:$G$22&lt;B3380))</f>
        <v/>
      </c>
      <c r="E3380">
        <f>SUMPRODUCT(Calc!$K$3:$K$22*(Calc!$G$3:$G$22&gt;=B3380))</f>
        <v/>
      </c>
      <c r="F3380">
        <f>AND(k_n&gt;=5,B3380&gt;A3380+1E-9,C3380&gt;=2,D3380&gt;=1,E3380&gt;=2)</f>
        <v/>
      </c>
      <c r="G3380">
        <f>SUMPRODUCT(Calc!$K$3:$K$22*(Calc!$G$3:$G$22&gt;A3380)*(Calc!$G$3:$G$22-A3380))</f>
        <v/>
      </c>
      <c r="H3380">
        <f>SUMPRODUCT(Calc!$K$3:$K$22*(Calc!$G$3:$G$22&gt;B3380)*(Calc!$G$3:$G$22-B3380))</f>
        <v/>
      </c>
      <c r="I3380">
        <f>SUMPRODUCT(Calc!$K$3:$K$22*(Calc!$G$3:$G$22&gt;A3380)*(Calc!$G$3:$G$22-A3380)^2)</f>
        <v/>
      </c>
      <c r="J3380">
        <f>SUMPRODUCT(Calc!$K$3:$K$22*(Calc!$G$3:$G$22&gt;B3380)*(Calc!$G$3:$G$22-B3380)^2)</f>
        <v/>
      </c>
      <c r="K3380">
        <f>SUMPRODUCT(Calc!$K$3:$K$22*(Calc!$G$3:$G$22&gt;A3380)*(Calc!$G$3:$G$22-A3380)*(Calc!$G$3:$G$22&gt;B3380)*(Calc!$G$3:$G$22-B3380))</f>
        <v/>
      </c>
      <c r="L3380">
        <f>SUMPRODUCT(Calc!$K$3:$K$22*(Calc!$G$3:$G$22&gt;A3380)*(Calc!$G$3:$G$22-A3380)*Calc!$G$3:$G$22)</f>
        <v/>
      </c>
      <c r="M3380">
        <f>SUMPRODUCT(Calc!$K$3:$K$22*(Calc!$G$3:$G$22&gt;B3380)*(Calc!$G$3:$G$22-B3380)*Calc!$G$3:$G$22)</f>
        <v/>
      </c>
      <c r="N3380">
        <f>SUMPRODUCT(Calc!$K$3:$K$22*(Calc!$G$3:$G$22&gt;A3380)*(Calc!$G$3:$G$22-A3380)*Calc!$I$3:$I$22)</f>
        <v/>
      </c>
      <c r="O3380">
        <f>SUMPRODUCT(Calc!$K$3:$K$22*(Calc!$G$3:$G$22&gt;B3380)*(Calc!$G$3:$G$22-B3380)*Calc!$I$3:$I$22)</f>
        <v/>
      </c>
      <c r="P3380">
        <f>I3380-G3380^2/k_n</f>
        <v/>
      </c>
      <c r="Q3380">
        <f>J3380-H3380^2/k_n</f>
        <v/>
      </c>
      <c r="R3380">
        <f>K3380-G3380*H3380/k_n</f>
        <v/>
      </c>
      <c r="S3380">
        <f>L3380-LTP3!$D$3*G3380/k_n</f>
        <v/>
      </c>
      <c r="T3380">
        <f>M3380-LTP3!$D$3*H3380/k_n</f>
        <v/>
      </c>
      <c r="U3380">
        <f>N3380-G3380*LTP3!$D$4/k_n</f>
        <v/>
      </c>
      <c r="V3380">
        <f>O3380-H3380*LTP3!$D$4/k_n</f>
        <v/>
      </c>
      <c r="W3380">
        <f>((LTP3!$D$5)*((P3380)*(Q3380)-(R3380)*(R3380))-(S3380)*((S3380)*(Q3380)-(R3380)*(T3380))+(T3380)*((S3380)*(R3380)-(P3380)*(T3380)))</f>
        <v/>
      </c>
      <c r="X3380">
        <f>IF(ABS(W3380)&gt;1E-12,((LTP3!$D$6)*((P3380)*(Q3380)-(R3380)*(R3380))-(S3380)*((U3380)*(Q3380)-(R3380)*(V3380))+(T3380)*((U3380)*(R3380)-(P3380)*(V3380)))/W3380,0)</f>
        <v/>
      </c>
      <c r="Y3380">
        <f>IF(ABS(W3380)&gt;1E-12,((LTP3!$D$5)*((U3380)*(Q3380)-(R3380)*(V3380))-(LTP3!$D$6)*((S3380)*(Q3380)-(R3380)*(T3380))+(T3380)*((S3380)*(V3380)-(U3380)*(T3380)))/W3380,0)</f>
        <v/>
      </c>
      <c r="Z3380">
        <f>IF(ABS(W3380)&gt;1E-12,((LTP3!$D$5)*((P3380)*(V3380)-(U3380)*(R3380))-(S3380)*((S3380)*(V3380)-(U3380)*(T3380))+(LTP3!$D$6)*((S3380)*(R3380)-(P3380)*(T3380)))/W3380,0)</f>
        <v/>
      </c>
      <c r="AA3380">
        <f>LTP3!$D$7-X3380*LTP3!$D$6-Y3380*U3380-Z3380*V3380</f>
        <v/>
      </c>
      <c r="AB3380">
        <f>IF(AND(F3380,ABS(W3380)&gt;1E-12,Y3380&gt;0,Z3380&gt;0),AA3380,1E+300)</f>
        <v/>
      </c>
    </row>
    <row r="3381">
      <c r="A3381">
        <f>$B$3+$B$5*55</f>
        <v/>
      </c>
      <c r="B3381">
        <f>$B$3+$B$5*14</f>
        <v/>
      </c>
      <c r="C3381">
        <f>SUMPRODUCT(Calc!$K$3:$K$22*(Calc!$G$3:$G$22&lt;=A3381))</f>
        <v/>
      </c>
      <c r="D3381">
        <f>SUMPRODUCT(Calc!$K$3:$K$22*(Calc!$G$3:$G$22&gt;A3381)*(Calc!$G$3:$G$22&lt;B3381))</f>
        <v/>
      </c>
      <c r="E3381">
        <f>SUMPRODUCT(Calc!$K$3:$K$22*(Calc!$G$3:$G$22&gt;=B3381))</f>
        <v/>
      </c>
      <c r="F3381">
        <f>AND(k_n&gt;=5,B3381&gt;A3381+1E-9,C3381&gt;=2,D3381&gt;=1,E3381&gt;=2)</f>
        <v/>
      </c>
      <c r="G3381">
        <f>SUMPRODUCT(Calc!$K$3:$K$22*(Calc!$G$3:$G$22&gt;A3381)*(Calc!$G$3:$G$22-A3381))</f>
        <v/>
      </c>
      <c r="H3381">
        <f>SUMPRODUCT(Calc!$K$3:$K$22*(Calc!$G$3:$G$22&gt;B3381)*(Calc!$G$3:$G$22-B3381))</f>
        <v/>
      </c>
      <c r="I3381">
        <f>SUMPRODUCT(Calc!$K$3:$K$22*(Calc!$G$3:$G$22&gt;A3381)*(Calc!$G$3:$G$22-A3381)^2)</f>
        <v/>
      </c>
      <c r="J3381">
        <f>SUMPRODUCT(Calc!$K$3:$K$22*(Calc!$G$3:$G$22&gt;B3381)*(Calc!$G$3:$G$22-B3381)^2)</f>
        <v/>
      </c>
      <c r="K3381">
        <f>SUMPRODUCT(Calc!$K$3:$K$22*(Calc!$G$3:$G$22&gt;A3381)*(Calc!$G$3:$G$22-A3381)*(Calc!$G$3:$G$22&gt;B3381)*(Calc!$G$3:$G$22-B3381))</f>
        <v/>
      </c>
      <c r="L3381">
        <f>SUMPRODUCT(Calc!$K$3:$K$22*(Calc!$G$3:$G$22&gt;A3381)*(Calc!$G$3:$G$22-A3381)*Calc!$G$3:$G$22)</f>
        <v/>
      </c>
      <c r="M3381">
        <f>SUMPRODUCT(Calc!$K$3:$K$22*(Calc!$G$3:$G$22&gt;B3381)*(Calc!$G$3:$G$22-B3381)*Calc!$G$3:$G$22)</f>
        <v/>
      </c>
      <c r="N3381">
        <f>SUMPRODUCT(Calc!$K$3:$K$22*(Calc!$G$3:$G$22&gt;A3381)*(Calc!$G$3:$G$22-A3381)*Calc!$I$3:$I$22)</f>
        <v/>
      </c>
      <c r="O3381">
        <f>SUMPRODUCT(Calc!$K$3:$K$22*(Calc!$G$3:$G$22&gt;B3381)*(Calc!$G$3:$G$22-B3381)*Calc!$I$3:$I$22)</f>
        <v/>
      </c>
      <c r="P3381">
        <f>I3381-G3381^2/k_n</f>
        <v/>
      </c>
      <c r="Q3381">
        <f>J3381-H3381^2/k_n</f>
        <v/>
      </c>
      <c r="R3381">
        <f>K3381-G3381*H3381/k_n</f>
        <v/>
      </c>
      <c r="S3381">
        <f>L3381-LTP3!$D$3*G3381/k_n</f>
        <v/>
      </c>
      <c r="T3381">
        <f>M3381-LTP3!$D$3*H3381/k_n</f>
        <v/>
      </c>
      <c r="U3381">
        <f>N3381-G3381*LTP3!$D$4/k_n</f>
        <v/>
      </c>
      <c r="V3381">
        <f>O3381-H3381*LTP3!$D$4/k_n</f>
        <v/>
      </c>
      <c r="W3381">
        <f>((LTP3!$D$5)*((P3381)*(Q3381)-(R3381)*(R3381))-(S3381)*((S3381)*(Q3381)-(R3381)*(T3381))+(T3381)*((S3381)*(R3381)-(P3381)*(T3381)))</f>
        <v/>
      </c>
      <c r="X3381">
        <f>IF(ABS(W3381)&gt;1E-12,((LTP3!$D$6)*((P3381)*(Q3381)-(R3381)*(R3381))-(S3381)*((U3381)*(Q3381)-(R3381)*(V3381))+(T3381)*((U3381)*(R3381)-(P3381)*(V3381)))/W3381,0)</f>
        <v/>
      </c>
      <c r="Y3381">
        <f>IF(ABS(W3381)&gt;1E-12,((LTP3!$D$5)*((U3381)*(Q3381)-(R3381)*(V3381))-(LTP3!$D$6)*((S3381)*(Q3381)-(R3381)*(T3381))+(T3381)*((S3381)*(V3381)-(U3381)*(T3381)))/W3381,0)</f>
        <v/>
      </c>
      <c r="Z3381">
        <f>IF(ABS(W3381)&gt;1E-12,((LTP3!$D$5)*((P3381)*(V3381)-(U3381)*(R3381))-(S3381)*((S3381)*(V3381)-(U3381)*(T3381))+(LTP3!$D$6)*((S3381)*(R3381)-(P3381)*(T3381)))/W3381,0)</f>
        <v/>
      </c>
      <c r="AA3381">
        <f>LTP3!$D$7-X3381*LTP3!$D$6-Y3381*U3381-Z3381*V3381</f>
        <v/>
      </c>
      <c r="AB3381">
        <f>IF(AND(F3381,ABS(W3381)&gt;1E-12,Y3381&gt;0,Z3381&gt;0),AA3381,1E+300)</f>
        <v/>
      </c>
    </row>
    <row r="3382">
      <c r="A3382">
        <f>$B$3+$B$5*55</f>
        <v/>
      </c>
      <c r="B3382">
        <f>$B$3+$B$5*15</f>
        <v/>
      </c>
      <c r="C3382">
        <f>SUMPRODUCT(Calc!$K$3:$K$22*(Calc!$G$3:$G$22&lt;=A3382))</f>
        <v/>
      </c>
      <c r="D3382">
        <f>SUMPRODUCT(Calc!$K$3:$K$22*(Calc!$G$3:$G$22&gt;A3382)*(Calc!$G$3:$G$22&lt;B3382))</f>
        <v/>
      </c>
      <c r="E3382">
        <f>SUMPRODUCT(Calc!$K$3:$K$22*(Calc!$G$3:$G$22&gt;=B3382))</f>
        <v/>
      </c>
      <c r="F3382">
        <f>AND(k_n&gt;=5,B3382&gt;A3382+1E-9,C3382&gt;=2,D3382&gt;=1,E3382&gt;=2)</f>
        <v/>
      </c>
      <c r="G3382">
        <f>SUMPRODUCT(Calc!$K$3:$K$22*(Calc!$G$3:$G$22&gt;A3382)*(Calc!$G$3:$G$22-A3382))</f>
        <v/>
      </c>
      <c r="H3382">
        <f>SUMPRODUCT(Calc!$K$3:$K$22*(Calc!$G$3:$G$22&gt;B3382)*(Calc!$G$3:$G$22-B3382))</f>
        <v/>
      </c>
      <c r="I3382">
        <f>SUMPRODUCT(Calc!$K$3:$K$22*(Calc!$G$3:$G$22&gt;A3382)*(Calc!$G$3:$G$22-A3382)^2)</f>
        <v/>
      </c>
      <c r="J3382">
        <f>SUMPRODUCT(Calc!$K$3:$K$22*(Calc!$G$3:$G$22&gt;B3382)*(Calc!$G$3:$G$22-B3382)^2)</f>
        <v/>
      </c>
      <c r="K3382">
        <f>SUMPRODUCT(Calc!$K$3:$K$22*(Calc!$G$3:$G$22&gt;A3382)*(Calc!$G$3:$G$22-A3382)*(Calc!$G$3:$G$22&gt;B3382)*(Calc!$G$3:$G$22-B3382))</f>
        <v/>
      </c>
      <c r="L3382">
        <f>SUMPRODUCT(Calc!$K$3:$K$22*(Calc!$G$3:$G$22&gt;A3382)*(Calc!$G$3:$G$22-A3382)*Calc!$G$3:$G$22)</f>
        <v/>
      </c>
      <c r="M3382">
        <f>SUMPRODUCT(Calc!$K$3:$K$22*(Calc!$G$3:$G$22&gt;B3382)*(Calc!$G$3:$G$22-B3382)*Calc!$G$3:$G$22)</f>
        <v/>
      </c>
      <c r="N3382">
        <f>SUMPRODUCT(Calc!$K$3:$K$22*(Calc!$G$3:$G$22&gt;A3382)*(Calc!$G$3:$G$22-A3382)*Calc!$I$3:$I$22)</f>
        <v/>
      </c>
      <c r="O3382">
        <f>SUMPRODUCT(Calc!$K$3:$K$22*(Calc!$G$3:$G$22&gt;B3382)*(Calc!$G$3:$G$22-B3382)*Calc!$I$3:$I$22)</f>
        <v/>
      </c>
      <c r="P3382">
        <f>I3382-G3382^2/k_n</f>
        <v/>
      </c>
      <c r="Q3382">
        <f>J3382-H3382^2/k_n</f>
        <v/>
      </c>
      <c r="R3382">
        <f>K3382-G3382*H3382/k_n</f>
        <v/>
      </c>
      <c r="S3382">
        <f>L3382-LTP3!$D$3*G3382/k_n</f>
        <v/>
      </c>
      <c r="T3382">
        <f>M3382-LTP3!$D$3*H3382/k_n</f>
        <v/>
      </c>
      <c r="U3382">
        <f>N3382-G3382*LTP3!$D$4/k_n</f>
        <v/>
      </c>
      <c r="V3382">
        <f>O3382-H3382*LTP3!$D$4/k_n</f>
        <v/>
      </c>
      <c r="W3382">
        <f>((LTP3!$D$5)*((P3382)*(Q3382)-(R3382)*(R3382))-(S3382)*((S3382)*(Q3382)-(R3382)*(T3382))+(T3382)*((S3382)*(R3382)-(P3382)*(T3382)))</f>
        <v/>
      </c>
      <c r="X3382">
        <f>IF(ABS(W3382)&gt;1E-12,((LTP3!$D$6)*((P3382)*(Q3382)-(R3382)*(R3382))-(S3382)*((U3382)*(Q3382)-(R3382)*(V3382))+(T3382)*((U3382)*(R3382)-(P3382)*(V3382)))/W3382,0)</f>
        <v/>
      </c>
      <c r="Y3382">
        <f>IF(ABS(W3382)&gt;1E-12,((LTP3!$D$5)*((U3382)*(Q3382)-(R3382)*(V3382))-(LTP3!$D$6)*((S3382)*(Q3382)-(R3382)*(T3382))+(T3382)*((S3382)*(V3382)-(U3382)*(T3382)))/W3382,0)</f>
        <v/>
      </c>
      <c r="Z3382">
        <f>IF(ABS(W3382)&gt;1E-12,((LTP3!$D$5)*((P3382)*(V3382)-(U3382)*(R3382))-(S3382)*((S3382)*(V3382)-(U3382)*(T3382))+(LTP3!$D$6)*((S3382)*(R3382)-(P3382)*(T3382)))/W3382,0)</f>
        <v/>
      </c>
      <c r="AA3382">
        <f>LTP3!$D$7-X3382*LTP3!$D$6-Y3382*U3382-Z3382*V3382</f>
        <v/>
      </c>
      <c r="AB3382">
        <f>IF(AND(F3382,ABS(W3382)&gt;1E-12,Y3382&gt;0,Z3382&gt;0),AA3382,1E+300)</f>
        <v/>
      </c>
    </row>
    <row r="3383">
      <c r="A3383">
        <f>$B$3+$B$5*55</f>
        <v/>
      </c>
      <c r="B3383">
        <f>$B$3+$B$5*16</f>
        <v/>
      </c>
      <c r="C3383">
        <f>SUMPRODUCT(Calc!$K$3:$K$22*(Calc!$G$3:$G$22&lt;=A3383))</f>
        <v/>
      </c>
      <c r="D3383">
        <f>SUMPRODUCT(Calc!$K$3:$K$22*(Calc!$G$3:$G$22&gt;A3383)*(Calc!$G$3:$G$22&lt;B3383))</f>
        <v/>
      </c>
      <c r="E3383">
        <f>SUMPRODUCT(Calc!$K$3:$K$22*(Calc!$G$3:$G$22&gt;=B3383))</f>
        <v/>
      </c>
      <c r="F3383">
        <f>AND(k_n&gt;=5,B3383&gt;A3383+1E-9,C3383&gt;=2,D3383&gt;=1,E3383&gt;=2)</f>
        <v/>
      </c>
      <c r="G3383">
        <f>SUMPRODUCT(Calc!$K$3:$K$22*(Calc!$G$3:$G$22&gt;A3383)*(Calc!$G$3:$G$22-A3383))</f>
        <v/>
      </c>
      <c r="H3383">
        <f>SUMPRODUCT(Calc!$K$3:$K$22*(Calc!$G$3:$G$22&gt;B3383)*(Calc!$G$3:$G$22-B3383))</f>
        <v/>
      </c>
      <c r="I3383">
        <f>SUMPRODUCT(Calc!$K$3:$K$22*(Calc!$G$3:$G$22&gt;A3383)*(Calc!$G$3:$G$22-A3383)^2)</f>
        <v/>
      </c>
      <c r="J3383">
        <f>SUMPRODUCT(Calc!$K$3:$K$22*(Calc!$G$3:$G$22&gt;B3383)*(Calc!$G$3:$G$22-B3383)^2)</f>
        <v/>
      </c>
      <c r="K3383">
        <f>SUMPRODUCT(Calc!$K$3:$K$22*(Calc!$G$3:$G$22&gt;A3383)*(Calc!$G$3:$G$22-A3383)*(Calc!$G$3:$G$22&gt;B3383)*(Calc!$G$3:$G$22-B3383))</f>
        <v/>
      </c>
      <c r="L3383">
        <f>SUMPRODUCT(Calc!$K$3:$K$22*(Calc!$G$3:$G$22&gt;A3383)*(Calc!$G$3:$G$22-A3383)*Calc!$G$3:$G$22)</f>
        <v/>
      </c>
      <c r="M3383">
        <f>SUMPRODUCT(Calc!$K$3:$K$22*(Calc!$G$3:$G$22&gt;B3383)*(Calc!$G$3:$G$22-B3383)*Calc!$G$3:$G$22)</f>
        <v/>
      </c>
      <c r="N3383">
        <f>SUMPRODUCT(Calc!$K$3:$K$22*(Calc!$G$3:$G$22&gt;A3383)*(Calc!$G$3:$G$22-A3383)*Calc!$I$3:$I$22)</f>
        <v/>
      </c>
      <c r="O3383">
        <f>SUMPRODUCT(Calc!$K$3:$K$22*(Calc!$G$3:$G$22&gt;B3383)*(Calc!$G$3:$G$22-B3383)*Calc!$I$3:$I$22)</f>
        <v/>
      </c>
      <c r="P3383">
        <f>I3383-G3383^2/k_n</f>
        <v/>
      </c>
      <c r="Q3383">
        <f>J3383-H3383^2/k_n</f>
        <v/>
      </c>
      <c r="R3383">
        <f>K3383-G3383*H3383/k_n</f>
        <v/>
      </c>
      <c r="S3383">
        <f>L3383-LTP3!$D$3*G3383/k_n</f>
        <v/>
      </c>
      <c r="T3383">
        <f>M3383-LTP3!$D$3*H3383/k_n</f>
        <v/>
      </c>
      <c r="U3383">
        <f>N3383-G3383*LTP3!$D$4/k_n</f>
        <v/>
      </c>
      <c r="V3383">
        <f>O3383-H3383*LTP3!$D$4/k_n</f>
        <v/>
      </c>
      <c r="W3383">
        <f>((LTP3!$D$5)*((P3383)*(Q3383)-(R3383)*(R3383))-(S3383)*((S3383)*(Q3383)-(R3383)*(T3383))+(T3383)*((S3383)*(R3383)-(P3383)*(T3383)))</f>
        <v/>
      </c>
      <c r="X3383">
        <f>IF(ABS(W3383)&gt;1E-12,((LTP3!$D$6)*((P3383)*(Q3383)-(R3383)*(R3383))-(S3383)*((U3383)*(Q3383)-(R3383)*(V3383))+(T3383)*((U3383)*(R3383)-(P3383)*(V3383)))/W3383,0)</f>
        <v/>
      </c>
      <c r="Y3383">
        <f>IF(ABS(W3383)&gt;1E-12,((LTP3!$D$5)*((U3383)*(Q3383)-(R3383)*(V3383))-(LTP3!$D$6)*((S3383)*(Q3383)-(R3383)*(T3383))+(T3383)*((S3383)*(V3383)-(U3383)*(T3383)))/W3383,0)</f>
        <v/>
      </c>
      <c r="Z3383">
        <f>IF(ABS(W3383)&gt;1E-12,((LTP3!$D$5)*((P3383)*(V3383)-(U3383)*(R3383))-(S3383)*((S3383)*(V3383)-(U3383)*(T3383))+(LTP3!$D$6)*((S3383)*(R3383)-(P3383)*(T3383)))/W3383,0)</f>
        <v/>
      </c>
      <c r="AA3383">
        <f>LTP3!$D$7-X3383*LTP3!$D$6-Y3383*U3383-Z3383*V3383</f>
        <v/>
      </c>
      <c r="AB3383">
        <f>IF(AND(F3383,ABS(W3383)&gt;1E-12,Y3383&gt;0,Z3383&gt;0),AA3383,1E+300)</f>
        <v/>
      </c>
    </row>
    <row r="3384">
      <c r="A3384">
        <f>$B$3+$B$5*55</f>
        <v/>
      </c>
      <c r="B3384">
        <f>$B$3+$B$5*17</f>
        <v/>
      </c>
      <c r="C3384">
        <f>SUMPRODUCT(Calc!$K$3:$K$22*(Calc!$G$3:$G$22&lt;=A3384))</f>
        <v/>
      </c>
      <c r="D3384">
        <f>SUMPRODUCT(Calc!$K$3:$K$22*(Calc!$G$3:$G$22&gt;A3384)*(Calc!$G$3:$G$22&lt;B3384))</f>
        <v/>
      </c>
      <c r="E3384">
        <f>SUMPRODUCT(Calc!$K$3:$K$22*(Calc!$G$3:$G$22&gt;=B3384))</f>
        <v/>
      </c>
      <c r="F3384">
        <f>AND(k_n&gt;=5,B3384&gt;A3384+1E-9,C3384&gt;=2,D3384&gt;=1,E3384&gt;=2)</f>
        <v/>
      </c>
      <c r="G3384">
        <f>SUMPRODUCT(Calc!$K$3:$K$22*(Calc!$G$3:$G$22&gt;A3384)*(Calc!$G$3:$G$22-A3384))</f>
        <v/>
      </c>
      <c r="H3384">
        <f>SUMPRODUCT(Calc!$K$3:$K$22*(Calc!$G$3:$G$22&gt;B3384)*(Calc!$G$3:$G$22-B3384))</f>
        <v/>
      </c>
      <c r="I3384">
        <f>SUMPRODUCT(Calc!$K$3:$K$22*(Calc!$G$3:$G$22&gt;A3384)*(Calc!$G$3:$G$22-A3384)^2)</f>
        <v/>
      </c>
      <c r="J3384">
        <f>SUMPRODUCT(Calc!$K$3:$K$22*(Calc!$G$3:$G$22&gt;B3384)*(Calc!$G$3:$G$22-B3384)^2)</f>
        <v/>
      </c>
      <c r="K3384">
        <f>SUMPRODUCT(Calc!$K$3:$K$22*(Calc!$G$3:$G$22&gt;A3384)*(Calc!$G$3:$G$22-A3384)*(Calc!$G$3:$G$22&gt;B3384)*(Calc!$G$3:$G$22-B3384))</f>
        <v/>
      </c>
      <c r="L3384">
        <f>SUMPRODUCT(Calc!$K$3:$K$22*(Calc!$G$3:$G$22&gt;A3384)*(Calc!$G$3:$G$22-A3384)*Calc!$G$3:$G$22)</f>
        <v/>
      </c>
      <c r="M3384">
        <f>SUMPRODUCT(Calc!$K$3:$K$22*(Calc!$G$3:$G$22&gt;B3384)*(Calc!$G$3:$G$22-B3384)*Calc!$G$3:$G$22)</f>
        <v/>
      </c>
      <c r="N3384">
        <f>SUMPRODUCT(Calc!$K$3:$K$22*(Calc!$G$3:$G$22&gt;A3384)*(Calc!$G$3:$G$22-A3384)*Calc!$I$3:$I$22)</f>
        <v/>
      </c>
      <c r="O3384">
        <f>SUMPRODUCT(Calc!$K$3:$K$22*(Calc!$G$3:$G$22&gt;B3384)*(Calc!$G$3:$G$22-B3384)*Calc!$I$3:$I$22)</f>
        <v/>
      </c>
      <c r="P3384">
        <f>I3384-G3384^2/k_n</f>
        <v/>
      </c>
      <c r="Q3384">
        <f>J3384-H3384^2/k_n</f>
        <v/>
      </c>
      <c r="R3384">
        <f>K3384-G3384*H3384/k_n</f>
        <v/>
      </c>
      <c r="S3384">
        <f>L3384-LTP3!$D$3*G3384/k_n</f>
        <v/>
      </c>
      <c r="T3384">
        <f>M3384-LTP3!$D$3*H3384/k_n</f>
        <v/>
      </c>
      <c r="U3384">
        <f>N3384-G3384*LTP3!$D$4/k_n</f>
        <v/>
      </c>
      <c r="V3384">
        <f>O3384-H3384*LTP3!$D$4/k_n</f>
        <v/>
      </c>
      <c r="W3384">
        <f>((LTP3!$D$5)*((P3384)*(Q3384)-(R3384)*(R3384))-(S3384)*((S3384)*(Q3384)-(R3384)*(T3384))+(T3384)*((S3384)*(R3384)-(P3384)*(T3384)))</f>
        <v/>
      </c>
      <c r="X3384">
        <f>IF(ABS(W3384)&gt;1E-12,((LTP3!$D$6)*((P3384)*(Q3384)-(R3384)*(R3384))-(S3384)*((U3384)*(Q3384)-(R3384)*(V3384))+(T3384)*((U3384)*(R3384)-(P3384)*(V3384)))/W3384,0)</f>
        <v/>
      </c>
      <c r="Y3384">
        <f>IF(ABS(W3384)&gt;1E-12,((LTP3!$D$5)*((U3384)*(Q3384)-(R3384)*(V3384))-(LTP3!$D$6)*((S3384)*(Q3384)-(R3384)*(T3384))+(T3384)*((S3384)*(V3384)-(U3384)*(T3384)))/W3384,0)</f>
        <v/>
      </c>
      <c r="Z3384">
        <f>IF(ABS(W3384)&gt;1E-12,((LTP3!$D$5)*((P3384)*(V3384)-(U3384)*(R3384))-(S3384)*((S3384)*(V3384)-(U3384)*(T3384))+(LTP3!$D$6)*((S3384)*(R3384)-(P3384)*(T3384)))/W3384,0)</f>
        <v/>
      </c>
      <c r="AA3384">
        <f>LTP3!$D$7-X3384*LTP3!$D$6-Y3384*U3384-Z3384*V3384</f>
        <v/>
      </c>
      <c r="AB3384">
        <f>IF(AND(F3384,ABS(W3384)&gt;1E-12,Y3384&gt;0,Z3384&gt;0),AA3384,1E+300)</f>
        <v/>
      </c>
    </row>
    <row r="3385">
      <c r="A3385">
        <f>$B$3+$B$5*55</f>
        <v/>
      </c>
      <c r="B3385">
        <f>$B$3+$B$5*18</f>
        <v/>
      </c>
      <c r="C3385">
        <f>SUMPRODUCT(Calc!$K$3:$K$22*(Calc!$G$3:$G$22&lt;=A3385))</f>
        <v/>
      </c>
      <c r="D3385">
        <f>SUMPRODUCT(Calc!$K$3:$K$22*(Calc!$G$3:$G$22&gt;A3385)*(Calc!$G$3:$G$22&lt;B3385))</f>
        <v/>
      </c>
      <c r="E3385">
        <f>SUMPRODUCT(Calc!$K$3:$K$22*(Calc!$G$3:$G$22&gt;=B3385))</f>
        <v/>
      </c>
      <c r="F3385">
        <f>AND(k_n&gt;=5,B3385&gt;A3385+1E-9,C3385&gt;=2,D3385&gt;=1,E3385&gt;=2)</f>
        <v/>
      </c>
      <c r="G3385">
        <f>SUMPRODUCT(Calc!$K$3:$K$22*(Calc!$G$3:$G$22&gt;A3385)*(Calc!$G$3:$G$22-A3385))</f>
        <v/>
      </c>
      <c r="H3385">
        <f>SUMPRODUCT(Calc!$K$3:$K$22*(Calc!$G$3:$G$22&gt;B3385)*(Calc!$G$3:$G$22-B3385))</f>
        <v/>
      </c>
      <c r="I3385">
        <f>SUMPRODUCT(Calc!$K$3:$K$22*(Calc!$G$3:$G$22&gt;A3385)*(Calc!$G$3:$G$22-A3385)^2)</f>
        <v/>
      </c>
      <c r="J3385">
        <f>SUMPRODUCT(Calc!$K$3:$K$22*(Calc!$G$3:$G$22&gt;B3385)*(Calc!$G$3:$G$22-B3385)^2)</f>
        <v/>
      </c>
      <c r="K3385">
        <f>SUMPRODUCT(Calc!$K$3:$K$22*(Calc!$G$3:$G$22&gt;A3385)*(Calc!$G$3:$G$22-A3385)*(Calc!$G$3:$G$22&gt;B3385)*(Calc!$G$3:$G$22-B3385))</f>
        <v/>
      </c>
      <c r="L3385">
        <f>SUMPRODUCT(Calc!$K$3:$K$22*(Calc!$G$3:$G$22&gt;A3385)*(Calc!$G$3:$G$22-A3385)*Calc!$G$3:$G$22)</f>
        <v/>
      </c>
      <c r="M3385">
        <f>SUMPRODUCT(Calc!$K$3:$K$22*(Calc!$G$3:$G$22&gt;B3385)*(Calc!$G$3:$G$22-B3385)*Calc!$G$3:$G$22)</f>
        <v/>
      </c>
      <c r="N3385">
        <f>SUMPRODUCT(Calc!$K$3:$K$22*(Calc!$G$3:$G$22&gt;A3385)*(Calc!$G$3:$G$22-A3385)*Calc!$I$3:$I$22)</f>
        <v/>
      </c>
      <c r="O3385">
        <f>SUMPRODUCT(Calc!$K$3:$K$22*(Calc!$G$3:$G$22&gt;B3385)*(Calc!$G$3:$G$22-B3385)*Calc!$I$3:$I$22)</f>
        <v/>
      </c>
      <c r="P3385">
        <f>I3385-G3385^2/k_n</f>
        <v/>
      </c>
      <c r="Q3385">
        <f>J3385-H3385^2/k_n</f>
        <v/>
      </c>
      <c r="R3385">
        <f>K3385-G3385*H3385/k_n</f>
        <v/>
      </c>
      <c r="S3385">
        <f>L3385-LTP3!$D$3*G3385/k_n</f>
        <v/>
      </c>
      <c r="T3385">
        <f>M3385-LTP3!$D$3*H3385/k_n</f>
        <v/>
      </c>
      <c r="U3385">
        <f>N3385-G3385*LTP3!$D$4/k_n</f>
        <v/>
      </c>
      <c r="V3385">
        <f>O3385-H3385*LTP3!$D$4/k_n</f>
        <v/>
      </c>
      <c r="W3385">
        <f>((LTP3!$D$5)*((P3385)*(Q3385)-(R3385)*(R3385))-(S3385)*((S3385)*(Q3385)-(R3385)*(T3385))+(T3385)*((S3385)*(R3385)-(P3385)*(T3385)))</f>
        <v/>
      </c>
      <c r="X3385">
        <f>IF(ABS(W3385)&gt;1E-12,((LTP3!$D$6)*((P3385)*(Q3385)-(R3385)*(R3385))-(S3385)*((U3385)*(Q3385)-(R3385)*(V3385))+(T3385)*((U3385)*(R3385)-(P3385)*(V3385)))/W3385,0)</f>
        <v/>
      </c>
      <c r="Y3385">
        <f>IF(ABS(W3385)&gt;1E-12,((LTP3!$D$5)*((U3385)*(Q3385)-(R3385)*(V3385))-(LTP3!$D$6)*((S3385)*(Q3385)-(R3385)*(T3385))+(T3385)*((S3385)*(V3385)-(U3385)*(T3385)))/W3385,0)</f>
        <v/>
      </c>
      <c r="Z3385">
        <f>IF(ABS(W3385)&gt;1E-12,((LTP3!$D$5)*((P3385)*(V3385)-(U3385)*(R3385))-(S3385)*((S3385)*(V3385)-(U3385)*(T3385))+(LTP3!$D$6)*((S3385)*(R3385)-(P3385)*(T3385)))/W3385,0)</f>
        <v/>
      </c>
      <c r="AA3385">
        <f>LTP3!$D$7-X3385*LTP3!$D$6-Y3385*U3385-Z3385*V3385</f>
        <v/>
      </c>
      <c r="AB3385">
        <f>IF(AND(F3385,ABS(W3385)&gt;1E-12,Y3385&gt;0,Z3385&gt;0),AA3385,1E+300)</f>
        <v/>
      </c>
    </row>
    <row r="3386">
      <c r="A3386">
        <f>$B$3+$B$5*55</f>
        <v/>
      </c>
      <c r="B3386">
        <f>$B$3+$B$5*19</f>
        <v/>
      </c>
      <c r="C3386">
        <f>SUMPRODUCT(Calc!$K$3:$K$22*(Calc!$G$3:$G$22&lt;=A3386))</f>
        <v/>
      </c>
      <c r="D3386">
        <f>SUMPRODUCT(Calc!$K$3:$K$22*(Calc!$G$3:$G$22&gt;A3386)*(Calc!$G$3:$G$22&lt;B3386))</f>
        <v/>
      </c>
      <c r="E3386">
        <f>SUMPRODUCT(Calc!$K$3:$K$22*(Calc!$G$3:$G$22&gt;=B3386))</f>
        <v/>
      </c>
      <c r="F3386">
        <f>AND(k_n&gt;=5,B3386&gt;A3386+1E-9,C3386&gt;=2,D3386&gt;=1,E3386&gt;=2)</f>
        <v/>
      </c>
      <c r="G3386">
        <f>SUMPRODUCT(Calc!$K$3:$K$22*(Calc!$G$3:$G$22&gt;A3386)*(Calc!$G$3:$G$22-A3386))</f>
        <v/>
      </c>
      <c r="H3386">
        <f>SUMPRODUCT(Calc!$K$3:$K$22*(Calc!$G$3:$G$22&gt;B3386)*(Calc!$G$3:$G$22-B3386))</f>
        <v/>
      </c>
      <c r="I3386">
        <f>SUMPRODUCT(Calc!$K$3:$K$22*(Calc!$G$3:$G$22&gt;A3386)*(Calc!$G$3:$G$22-A3386)^2)</f>
        <v/>
      </c>
      <c r="J3386">
        <f>SUMPRODUCT(Calc!$K$3:$K$22*(Calc!$G$3:$G$22&gt;B3386)*(Calc!$G$3:$G$22-B3386)^2)</f>
        <v/>
      </c>
      <c r="K3386">
        <f>SUMPRODUCT(Calc!$K$3:$K$22*(Calc!$G$3:$G$22&gt;A3386)*(Calc!$G$3:$G$22-A3386)*(Calc!$G$3:$G$22&gt;B3386)*(Calc!$G$3:$G$22-B3386))</f>
        <v/>
      </c>
      <c r="L3386">
        <f>SUMPRODUCT(Calc!$K$3:$K$22*(Calc!$G$3:$G$22&gt;A3386)*(Calc!$G$3:$G$22-A3386)*Calc!$G$3:$G$22)</f>
        <v/>
      </c>
      <c r="M3386">
        <f>SUMPRODUCT(Calc!$K$3:$K$22*(Calc!$G$3:$G$22&gt;B3386)*(Calc!$G$3:$G$22-B3386)*Calc!$G$3:$G$22)</f>
        <v/>
      </c>
      <c r="N3386">
        <f>SUMPRODUCT(Calc!$K$3:$K$22*(Calc!$G$3:$G$22&gt;A3386)*(Calc!$G$3:$G$22-A3386)*Calc!$I$3:$I$22)</f>
        <v/>
      </c>
      <c r="O3386">
        <f>SUMPRODUCT(Calc!$K$3:$K$22*(Calc!$G$3:$G$22&gt;B3386)*(Calc!$G$3:$G$22-B3386)*Calc!$I$3:$I$22)</f>
        <v/>
      </c>
      <c r="P3386">
        <f>I3386-G3386^2/k_n</f>
        <v/>
      </c>
      <c r="Q3386">
        <f>J3386-H3386^2/k_n</f>
        <v/>
      </c>
      <c r="R3386">
        <f>K3386-G3386*H3386/k_n</f>
        <v/>
      </c>
      <c r="S3386">
        <f>L3386-LTP3!$D$3*G3386/k_n</f>
        <v/>
      </c>
      <c r="T3386">
        <f>M3386-LTP3!$D$3*H3386/k_n</f>
        <v/>
      </c>
      <c r="U3386">
        <f>N3386-G3386*LTP3!$D$4/k_n</f>
        <v/>
      </c>
      <c r="V3386">
        <f>O3386-H3386*LTP3!$D$4/k_n</f>
        <v/>
      </c>
      <c r="W3386">
        <f>((LTP3!$D$5)*((P3386)*(Q3386)-(R3386)*(R3386))-(S3386)*((S3386)*(Q3386)-(R3386)*(T3386))+(T3386)*((S3386)*(R3386)-(P3386)*(T3386)))</f>
        <v/>
      </c>
      <c r="X3386">
        <f>IF(ABS(W3386)&gt;1E-12,((LTP3!$D$6)*((P3386)*(Q3386)-(R3386)*(R3386))-(S3386)*((U3386)*(Q3386)-(R3386)*(V3386))+(T3386)*((U3386)*(R3386)-(P3386)*(V3386)))/W3386,0)</f>
        <v/>
      </c>
      <c r="Y3386">
        <f>IF(ABS(W3386)&gt;1E-12,((LTP3!$D$5)*((U3386)*(Q3386)-(R3386)*(V3386))-(LTP3!$D$6)*((S3386)*(Q3386)-(R3386)*(T3386))+(T3386)*((S3386)*(V3386)-(U3386)*(T3386)))/W3386,0)</f>
        <v/>
      </c>
      <c r="Z3386">
        <f>IF(ABS(W3386)&gt;1E-12,((LTP3!$D$5)*((P3386)*(V3386)-(U3386)*(R3386))-(S3386)*((S3386)*(V3386)-(U3386)*(T3386))+(LTP3!$D$6)*((S3386)*(R3386)-(P3386)*(T3386)))/W3386,0)</f>
        <v/>
      </c>
      <c r="AA3386">
        <f>LTP3!$D$7-X3386*LTP3!$D$6-Y3386*U3386-Z3386*V3386</f>
        <v/>
      </c>
      <c r="AB3386">
        <f>IF(AND(F3386,ABS(W3386)&gt;1E-12,Y3386&gt;0,Z3386&gt;0),AA3386,1E+300)</f>
        <v/>
      </c>
    </row>
    <row r="3387">
      <c r="A3387">
        <f>$B$3+$B$5*55</f>
        <v/>
      </c>
      <c r="B3387">
        <f>$B$3+$B$5*20</f>
        <v/>
      </c>
      <c r="C3387">
        <f>SUMPRODUCT(Calc!$K$3:$K$22*(Calc!$G$3:$G$22&lt;=A3387))</f>
        <v/>
      </c>
      <c r="D3387">
        <f>SUMPRODUCT(Calc!$K$3:$K$22*(Calc!$G$3:$G$22&gt;A3387)*(Calc!$G$3:$G$22&lt;B3387))</f>
        <v/>
      </c>
      <c r="E3387">
        <f>SUMPRODUCT(Calc!$K$3:$K$22*(Calc!$G$3:$G$22&gt;=B3387))</f>
        <v/>
      </c>
      <c r="F3387">
        <f>AND(k_n&gt;=5,B3387&gt;A3387+1E-9,C3387&gt;=2,D3387&gt;=1,E3387&gt;=2)</f>
        <v/>
      </c>
      <c r="G3387">
        <f>SUMPRODUCT(Calc!$K$3:$K$22*(Calc!$G$3:$G$22&gt;A3387)*(Calc!$G$3:$G$22-A3387))</f>
        <v/>
      </c>
      <c r="H3387">
        <f>SUMPRODUCT(Calc!$K$3:$K$22*(Calc!$G$3:$G$22&gt;B3387)*(Calc!$G$3:$G$22-B3387))</f>
        <v/>
      </c>
      <c r="I3387">
        <f>SUMPRODUCT(Calc!$K$3:$K$22*(Calc!$G$3:$G$22&gt;A3387)*(Calc!$G$3:$G$22-A3387)^2)</f>
        <v/>
      </c>
      <c r="J3387">
        <f>SUMPRODUCT(Calc!$K$3:$K$22*(Calc!$G$3:$G$22&gt;B3387)*(Calc!$G$3:$G$22-B3387)^2)</f>
        <v/>
      </c>
      <c r="K3387">
        <f>SUMPRODUCT(Calc!$K$3:$K$22*(Calc!$G$3:$G$22&gt;A3387)*(Calc!$G$3:$G$22-A3387)*(Calc!$G$3:$G$22&gt;B3387)*(Calc!$G$3:$G$22-B3387))</f>
        <v/>
      </c>
      <c r="L3387">
        <f>SUMPRODUCT(Calc!$K$3:$K$22*(Calc!$G$3:$G$22&gt;A3387)*(Calc!$G$3:$G$22-A3387)*Calc!$G$3:$G$22)</f>
        <v/>
      </c>
      <c r="M3387">
        <f>SUMPRODUCT(Calc!$K$3:$K$22*(Calc!$G$3:$G$22&gt;B3387)*(Calc!$G$3:$G$22-B3387)*Calc!$G$3:$G$22)</f>
        <v/>
      </c>
      <c r="N3387">
        <f>SUMPRODUCT(Calc!$K$3:$K$22*(Calc!$G$3:$G$22&gt;A3387)*(Calc!$G$3:$G$22-A3387)*Calc!$I$3:$I$22)</f>
        <v/>
      </c>
      <c r="O3387">
        <f>SUMPRODUCT(Calc!$K$3:$K$22*(Calc!$G$3:$G$22&gt;B3387)*(Calc!$G$3:$G$22-B3387)*Calc!$I$3:$I$22)</f>
        <v/>
      </c>
      <c r="P3387">
        <f>I3387-G3387^2/k_n</f>
        <v/>
      </c>
      <c r="Q3387">
        <f>J3387-H3387^2/k_n</f>
        <v/>
      </c>
      <c r="R3387">
        <f>K3387-G3387*H3387/k_n</f>
        <v/>
      </c>
      <c r="S3387">
        <f>L3387-LTP3!$D$3*G3387/k_n</f>
        <v/>
      </c>
      <c r="T3387">
        <f>M3387-LTP3!$D$3*H3387/k_n</f>
        <v/>
      </c>
      <c r="U3387">
        <f>N3387-G3387*LTP3!$D$4/k_n</f>
        <v/>
      </c>
      <c r="V3387">
        <f>O3387-H3387*LTP3!$D$4/k_n</f>
        <v/>
      </c>
      <c r="W3387">
        <f>((LTP3!$D$5)*((P3387)*(Q3387)-(R3387)*(R3387))-(S3387)*((S3387)*(Q3387)-(R3387)*(T3387))+(T3387)*((S3387)*(R3387)-(P3387)*(T3387)))</f>
        <v/>
      </c>
      <c r="X3387">
        <f>IF(ABS(W3387)&gt;1E-12,((LTP3!$D$6)*((P3387)*(Q3387)-(R3387)*(R3387))-(S3387)*((U3387)*(Q3387)-(R3387)*(V3387))+(T3387)*((U3387)*(R3387)-(P3387)*(V3387)))/W3387,0)</f>
        <v/>
      </c>
      <c r="Y3387">
        <f>IF(ABS(W3387)&gt;1E-12,((LTP3!$D$5)*((U3387)*(Q3387)-(R3387)*(V3387))-(LTP3!$D$6)*((S3387)*(Q3387)-(R3387)*(T3387))+(T3387)*((S3387)*(V3387)-(U3387)*(T3387)))/W3387,0)</f>
        <v/>
      </c>
      <c r="Z3387">
        <f>IF(ABS(W3387)&gt;1E-12,((LTP3!$D$5)*((P3387)*(V3387)-(U3387)*(R3387))-(S3387)*((S3387)*(V3387)-(U3387)*(T3387))+(LTP3!$D$6)*((S3387)*(R3387)-(P3387)*(T3387)))/W3387,0)</f>
        <v/>
      </c>
      <c r="AA3387">
        <f>LTP3!$D$7-X3387*LTP3!$D$6-Y3387*U3387-Z3387*V3387</f>
        <v/>
      </c>
      <c r="AB3387">
        <f>IF(AND(F3387,ABS(W3387)&gt;1E-12,Y3387&gt;0,Z3387&gt;0),AA3387,1E+300)</f>
        <v/>
      </c>
    </row>
    <row r="3388">
      <c r="A3388">
        <f>$B$3+$B$5*55</f>
        <v/>
      </c>
      <c r="B3388">
        <f>$B$3+$B$5*21</f>
        <v/>
      </c>
      <c r="C3388">
        <f>SUMPRODUCT(Calc!$K$3:$K$22*(Calc!$G$3:$G$22&lt;=A3388))</f>
        <v/>
      </c>
      <c r="D3388">
        <f>SUMPRODUCT(Calc!$K$3:$K$22*(Calc!$G$3:$G$22&gt;A3388)*(Calc!$G$3:$G$22&lt;B3388))</f>
        <v/>
      </c>
      <c r="E3388">
        <f>SUMPRODUCT(Calc!$K$3:$K$22*(Calc!$G$3:$G$22&gt;=B3388))</f>
        <v/>
      </c>
      <c r="F3388">
        <f>AND(k_n&gt;=5,B3388&gt;A3388+1E-9,C3388&gt;=2,D3388&gt;=1,E3388&gt;=2)</f>
        <v/>
      </c>
      <c r="G3388">
        <f>SUMPRODUCT(Calc!$K$3:$K$22*(Calc!$G$3:$G$22&gt;A3388)*(Calc!$G$3:$G$22-A3388))</f>
        <v/>
      </c>
      <c r="H3388">
        <f>SUMPRODUCT(Calc!$K$3:$K$22*(Calc!$G$3:$G$22&gt;B3388)*(Calc!$G$3:$G$22-B3388))</f>
        <v/>
      </c>
      <c r="I3388">
        <f>SUMPRODUCT(Calc!$K$3:$K$22*(Calc!$G$3:$G$22&gt;A3388)*(Calc!$G$3:$G$22-A3388)^2)</f>
        <v/>
      </c>
      <c r="J3388">
        <f>SUMPRODUCT(Calc!$K$3:$K$22*(Calc!$G$3:$G$22&gt;B3388)*(Calc!$G$3:$G$22-B3388)^2)</f>
        <v/>
      </c>
      <c r="K3388">
        <f>SUMPRODUCT(Calc!$K$3:$K$22*(Calc!$G$3:$G$22&gt;A3388)*(Calc!$G$3:$G$22-A3388)*(Calc!$G$3:$G$22&gt;B3388)*(Calc!$G$3:$G$22-B3388))</f>
        <v/>
      </c>
      <c r="L3388">
        <f>SUMPRODUCT(Calc!$K$3:$K$22*(Calc!$G$3:$G$22&gt;A3388)*(Calc!$G$3:$G$22-A3388)*Calc!$G$3:$G$22)</f>
        <v/>
      </c>
      <c r="M3388">
        <f>SUMPRODUCT(Calc!$K$3:$K$22*(Calc!$G$3:$G$22&gt;B3388)*(Calc!$G$3:$G$22-B3388)*Calc!$G$3:$G$22)</f>
        <v/>
      </c>
      <c r="N3388">
        <f>SUMPRODUCT(Calc!$K$3:$K$22*(Calc!$G$3:$G$22&gt;A3388)*(Calc!$G$3:$G$22-A3388)*Calc!$I$3:$I$22)</f>
        <v/>
      </c>
      <c r="O3388">
        <f>SUMPRODUCT(Calc!$K$3:$K$22*(Calc!$G$3:$G$22&gt;B3388)*(Calc!$G$3:$G$22-B3388)*Calc!$I$3:$I$22)</f>
        <v/>
      </c>
      <c r="P3388">
        <f>I3388-G3388^2/k_n</f>
        <v/>
      </c>
      <c r="Q3388">
        <f>J3388-H3388^2/k_n</f>
        <v/>
      </c>
      <c r="R3388">
        <f>K3388-G3388*H3388/k_n</f>
        <v/>
      </c>
      <c r="S3388">
        <f>L3388-LTP3!$D$3*G3388/k_n</f>
        <v/>
      </c>
      <c r="T3388">
        <f>M3388-LTP3!$D$3*H3388/k_n</f>
        <v/>
      </c>
      <c r="U3388">
        <f>N3388-G3388*LTP3!$D$4/k_n</f>
        <v/>
      </c>
      <c r="V3388">
        <f>O3388-H3388*LTP3!$D$4/k_n</f>
        <v/>
      </c>
      <c r="W3388">
        <f>((LTP3!$D$5)*((P3388)*(Q3388)-(R3388)*(R3388))-(S3388)*((S3388)*(Q3388)-(R3388)*(T3388))+(T3388)*((S3388)*(R3388)-(P3388)*(T3388)))</f>
        <v/>
      </c>
      <c r="X3388">
        <f>IF(ABS(W3388)&gt;1E-12,((LTP3!$D$6)*((P3388)*(Q3388)-(R3388)*(R3388))-(S3388)*((U3388)*(Q3388)-(R3388)*(V3388))+(T3388)*((U3388)*(R3388)-(P3388)*(V3388)))/W3388,0)</f>
        <v/>
      </c>
      <c r="Y3388">
        <f>IF(ABS(W3388)&gt;1E-12,((LTP3!$D$5)*((U3388)*(Q3388)-(R3388)*(V3388))-(LTP3!$D$6)*((S3388)*(Q3388)-(R3388)*(T3388))+(T3388)*((S3388)*(V3388)-(U3388)*(T3388)))/W3388,0)</f>
        <v/>
      </c>
      <c r="Z3388">
        <f>IF(ABS(W3388)&gt;1E-12,((LTP3!$D$5)*((P3388)*(V3388)-(U3388)*(R3388))-(S3388)*((S3388)*(V3388)-(U3388)*(T3388))+(LTP3!$D$6)*((S3388)*(R3388)-(P3388)*(T3388)))/W3388,0)</f>
        <v/>
      </c>
      <c r="AA3388">
        <f>LTP3!$D$7-X3388*LTP3!$D$6-Y3388*U3388-Z3388*V3388</f>
        <v/>
      </c>
      <c r="AB3388">
        <f>IF(AND(F3388,ABS(W3388)&gt;1E-12,Y3388&gt;0,Z3388&gt;0),AA3388,1E+300)</f>
        <v/>
      </c>
    </row>
    <row r="3389">
      <c r="A3389">
        <f>$B$3+$B$5*55</f>
        <v/>
      </c>
      <c r="B3389">
        <f>$B$3+$B$5*22</f>
        <v/>
      </c>
      <c r="C3389">
        <f>SUMPRODUCT(Calc!$K$3:$K$22*(Calc!$G$3:$G$22&lt;=A3389))</f>
        <v/>
      </c>
      <c r="D3389">
        <f>SUMPRODUCT(Calc!$K$3:$K$22*(Calc!$G$3:$G$22&gt;A3389)*(Calc!$G$3:$G$22&lt;B3389))</f>
        <v/>
      </c>
      <c r="E3389">
        <f>SUMPRODUCT(Calc!$K$3:$K$22*(Calc!$G$3:$G$22&gt;=B3389))</f>
        <v/>
      </c>
      <c r="F3389">
        <f>AND(k_n&gt;=5,B3389&gt;A3389+1E-9,C3389&gt;=2,D3389&gt;=1,E3389&gt;=2)</f>
        <v/>
      </c>
      <c r="G3389">
        <f>SUMPRODUCT(Calc!$K$3:$K$22*(Calc!$G$3:$G$22&gt;A3389)*(Calc!$G$3:$G$22-A3389))</f>
        <v/>
      </c>
      <c r="H3389">
        <f>SUMPRODUCT(Calc!$K$3:$K$22*(Calc!$G$3:$G$22&gt;B3389)*(Calc!$G$3:$G$22-B3389))</f>
        <v/>
      </c>
      <c r="I3389">
        <f>SUMPRODUCT(Calc!$K$3:$K$22*(Calc!$G$3:$G$22&gt;A3389)*(Calc!$G$3:$G$22-A3389)^2)</f>
        <v/>
      </c>
      <c r="J3389">
        <f>SUMPRODUCT(Calc!$K$3:$K$22*(Calc!$G$3:$G$22&gt;B3389)*(Calc!$G$3:$G$22-B3389)^2)</f>
        <v/>
      </c>
      <c r="K3389">
        <f>SUMPRODUCT(Calc!$K$3:$K$22*(Calc!$G$3:$G$22&gt;A3389)*(Calc!$G$3:$G$22-A3389)*(Calc!$G$3:$G$22&gt;B3389)*(Calc!$G$3:$G$22-B3389))</f>
        <v/>
      </c>
      <c r="L3389">
        <f>SUMPRODUCT(Calc!$K$3:$K$22*(Calc!$G$3:$G$22&gt;A3389)*(Calc!$G$3:$G$22-A3389)*Calc!$G$3:$G$22)</f>
        <v/>
      </c>
      <c r="M3389">
        <f>SUMPRODUCT(Calc!$K$3:$K$22*(Calc!$G$3:$G$22&gt;B3389)*(Calc!$G$3:$G$22-B3389)*Calc!$G$3:$G$22)</f>
        <v/>
      </c>
      <c r="N3389">
        <f>SUMPRODUCT(Calc!$K$3:$K$22*(Calc!$G$3:$G$22&gt;A3389)*(Calc!$G$3:$G$22-A3389)*Calc!$I$3:$I$22)</f>
        <v/>
      </c>
      <c r="O3389">
        <f>SUMPRODUCT(Calc!$K$3:$K$22*(Calc!$G$3:$G$22&gt;B3389)*(Calc!$G$3:$G$22-B3389)*Calc!$I$3:$I$22)</f>
        <v/>
      </c>
      <c r="P3389">
        <f>I3389-G3389^2/k_n</f>
        <v/>
      </c>
      <c r="Q3389">
        <f>J3389-H3389^2/k_n</f>
        <v/>
      </c>
      <c r="R3389">
        <f>K3389-G3389*H3389/k_n</f>
        <v/>
      </c>
      <c r="S3389">
        <f>L3389-LTP3!$D$3*G3389/k_n</f>
        <v/>
      </c>
      <c r="T3389">
        <f>M3389-LTP3!$D$3*H3389/k_n</f>
        <v/>
      </c>
      <c r="U3389">
        <f>N3389-G3389*LTP3!$D$4/k_n</f>
        <v/>
      </c>
      <c r="V3389">
        <f>O3389-H3389*LTP3!$D$4/k_n</f>
        <v/>
      </c>
      <c r="W3389">
        <f>((LTP3!$D$5)*((P3389)*(Q3389)-(R3389)*(R3389))-(S3389)*((S3389)*(Q3389)-(R3389)*(T3389))+(T3389)*((S3389)*(R3389)-(P3389)*(T3389)))</f>
        <v/>
      </c>
      <c r="X3389">
        <f>IF(ABS(W3389)&gt;1E-12,((LTP3!$D$6)*((P3389)*(Q3389)-(R3389)*(R3389))-(S3389)*((U3389)*(Q3389)-(R3389)*(V3389))+(T3389)*((U3389)*(R3389)-(P3389)*(V3389)))/W3389,0)</f>
        <v/>
      </c>
      <c r="Y3389">
        <f>IF(ABS(W3389)&gt;1E-12,((LTP3!$D$5)*((U3389)*(Q3389)-(R3389)*(V3389))-(LTP3!$D$6)*((S3389)*(Q3389)-(R3389)*(T3389))+(T3389)*((S3389)*(V3389)-(U3389)*(T3389)))/W3389,0)</f>
        <v/>
      </c>
      <c r="Z3389">
        <f>IF(ABS(W3389)&gt;1E-12,((LTP3!$D$5)*((P3389)*(V3389)-(U3389)*(R3389))-(S3389)*((S3389)*(V3389)-(U3389)*(T3389))+(LTP3!$D$6)*((S3389)*(R3389)-(P3389)*(T3389)))/W3389,0)</f>
        <v/>
      </c>
      <c r="AA3389">
        <f>LTP3!$D$7-X3389*LTP3!$D$6-Y3389*U3389-Z3389*V3389</f>
        <v/>
      </c>
      <c r="AB3389">
        <f>IF(AND(F3389,ABS(W3389)&gt;1E-12,Y3389&gt;0,Z3389&gt;0),AA3389,1E+300)</f>
        <v/>
      </c>
    </row>
    <row r="3390">
      <c r="A3390">
        <f>$B$3+$B$5*55</f>
        <v/>
      </c>
      <c r="B3390">
        <f>$B$3+$B$5*23</f>
        <v/>
      </c>
      <c r="C3390">
        <f>SUMPRODUCT(Calc!$K$3:$K$22*(Calc!$G$3:$G$22&lt;=A3390))</f>
        <v/>
      </c>
      <c r="D3390">
        <f>SUMPRODUCT(Calc!$K$3:$K$22*(Calc!$G$3:$G$22&gt;A3390)*(Calc!$G$3:$G$22&lt;B3390))</f>
        <v/>
      </c>
      <c r="E3390">
        <f>SUMPRODUCT(Calc!$K$3:$K$22*(Calc!$G$3:$G$22&gt;=B3390))</f>
        <v/>
      </c>
      <c r="F3390">
        <f>AND(k_n&gt;=5,B3390&gt;A3390+1E-9,C3390&gt;=2,D3390&gt;=1,E3390&gt;=2)</f>
        <v/>
      </c>
      <c r="G3390">
        <f>SUMPRODUCT(Calc!$K$3:$K$22*(Calc!$G$3:$G$22&gt;A3390)*(Calc!$G$3:$G$22-A3390))</f>
        <v/>
      </c>
      <c r="H3390">
        <f>SUMPRODUCT(Calc!$K$3:$K$22*(Calc!$G$3:$G$22&gt;B3390)*(Calc!$G$3:$G$22-B3390))</f>
        <v/>
      </c>
      <c r="I3390">
        <f>SUMPRODUCT(Calc!$K$3:$K$22*(Calc!$G$3:$G$22&gt;A3390)*(Calc!$G$3:$G$22-A3390)^2)</f>
        <v/>
      </c>
      <c r="J3390">
        <f>SUMPRODUCT(Calc!$K$3:$K$22*(Calc!$G$3:$G$22&gt;B3390)*(Calc!$G$3:$G$22-B3390)^2)</f>
        <v/>
      </c>
      <c r="K3390">
        <f>SUMPRODUCT(Calc!$K$3:$K$22*(Calc!$G$3:$G$22&gt;A3390)*(Calc!$G$3:$G$22-A3390)*(Calc!$G$3:$G$22&gt;B3390)*(Calc!$G$3:$G$22-B3390))</f>
        <v/>
      </c>
      <c r="L3390">
        <f>SUMPRODUCT(Calc!$K$3:$K$22*(Calc!$G$3:$G$22&gt;A3390)*(Calc!$G$3:$G$22-A3390)*Calc!$G$3:$G$22)</f>
        <v/>
      </c>
      <c r="M3390">
        <f>SUMPRODUCT(Calc!$K$3:$K$22*(Calc!$G$3:$G$22&gt;B3390)*(Calc!$G$3:$G$22-B3390)*Calc!$G$3:$G$22)</f>
        <v/>
      </c>
      <c r="N3390">
        <f>SUMPRODUCT(Calc!$K$3:$K$22*(Calc!$G$3:$G$22&gt;A3390)*(Calc!$G$3:$G$22-A3390)*Calc!$I$3:$I$22)</f>
        <v/>
      </c>
      <c r="O3390">
        <f>SUMPRODUCT(Calc!$K$3:$K$22*(Calc!$G$3:$G$22&gt;B3390)*(Calc!$G$3:$G$22-B3390)*Calc!$I$3:$I$22)</f>
        <v/>
      </c>
      <c r="P3390">
        <f>I3390-G3390^2/k_n</f>
        <v/>
      </c>
      <c r="Q3390">
        <f>J3390-H3390^2/k_n</f>
        <v/>
      </c>
      <c r="R3390">
        <f>K3390-G3390*H3390/k_n</f>
        <v/>
      </c>
      <c r="S3390">
        <f>L3390-LTP3!$D$3*G3390/k_n</f>
        <v/>
      </c>
      <c r="T3390">
        <f>M3390-LTP3!$D$3*H3390/k_n</f>
        <v/>
      </c>
      <c r="U3390">
        <f>N3390-G3390*LTP3!$D$4/k_n</f>
        <v/>
      </c>
      <c r="V3390">
        <f>O3390-H3390*LTP3!$D$4/k_n</f>
        <v/>
      </c>
      <c r="W3390">
        <f>((LTP3!$D$5)*((P3390)*(Q3390)-(R3390)*(R3390))-(S3390)*((S3390)*(Q3390)-(R3390)*(T3390))+(T3390)*((S3390)*(R3390)-(P3390)*(T3390)))</f>
        <v/>
      </c>
      <c r="X3390">
        <f>IF(ABS(W3390)&gt;1E-12,((LTP3!$D$6)*((P3390)*(Q3390)-(R3390)*(R3390))-(S3390)*((U3390)*(Q3390)-(R3390)*(V3390))+(T3390)*((U3390)*(R3390)-(P3390)*(V3390)))/W3390,0)</f>
        <v/>
      </c>
      <c r="Y3390">
        <f>IF(ABS(W3390)&gt;1E-12,((LTP3!$D$5)*((U3390)*(Q3390)-(R3390)*(V3390))-(LTP3!$D$6)*((S3390)*(Q3390)-(R3390)*(T3390))+(T3390)*((S3390)*(V3390)-(U3390)*(T3390)))/W3390,0)</f>
        <v/>
      </c>
      <c r="Z3390">
        <f>IF(ABS(W3390)&gt;1E-12,((LTP3!$D$5)*((P3390)*(V3390)-(U3390)*(R3390))-(S3390)*((S3390)*(V3390)-(U3390)*(T3390))+(LTP3!$D$6)*((S3390)*(R3390)-(P3390)*(T3390)))/W3390,0)</f>
        <v/>
      </c>
      <c r="AA3390">
        <f>LTP3!$D$7-X3390*LTP3!$D$6-Y3390*U3390-Z3390*V3390</f>
        <v/>
      </c>
      <c r="AB3390">
        <f>IF(AND(F3390,ABS(W3390)&gt;1E-12,Y3390&gt;0,Z3390&gt;0),AA3390,1E+300)</f>
        <v/>
      </c>
    </row>
    <row r="3391">
      <c r="A3391">
        <f>$B$3+$B$5*55</f>
        <v/>
      </c>
      <c r="B3391">
        <f>$B$3+$B$5*24</f>
        <v/>
      </c>
      <c r="C3391">
        <f>SUMPRODUCT(Calc!$K$3:$K$22*(Calc!$G$3:$G$22&lt;=A3391))</f>
        <v/>
      </c>
      <c r="D3391">
        <f>SUMPRODUCT(Calc!$K$3:$K$22*(Calc!$G$3:$G$22&gt;A3391)*(Calc!$G$3:$G$22&lt;B3391))</f>
        <v/>
      </c>
      <c r="E3391">
        <f>SUMPRODUCT(Calc!$K$3:$K$22*(Calc!$G$3:$G$22&gt;=B3391))</f>
        <v/>
      </c>
      <c r="F3391">
        <f>AND(k_n&gt;=5,B3391&gt;A3391+1E-9,C3391&gt;=2,D3391&gt;=1,E3391&gt;=2)</f>
        <v/>
      </c>
      <c r="G3391">
        <f>SUMPRODUCT(Calc!$K$3:$K$22*(Calc!$G$3:$G$22&gt;A3391)*(Calc!$G$3:$G$22-A3391))</f>
        <v/>
      </c>
      <c r="H3391">
        <f>SUMPRODUCT(Calc!$K$3:$K$22*(Calc!$G$3:$G$22&gt;B3391)*(Calc!$G$3:$G$22-B3391))</f>
        <v/>
      </c>
      <c r="I3391">
        <f>SUMPRODUCT(Calc!$K$3:$K$22*(Calc!$G$3:$G$22&gt;A3391)*(Calc!$G$3:$G$22-A3391)^2)</f>
        <v/>
      </c>
      <c r="J3391">
        <f>SUMPRODUCT(Calc!$K$3:$K$22*(Calc!$G$3:$G$22&gt;B3391)*(Calc!$G$3:$G$22-B3391)^2)</f>
        <v/>
      </c>
      <c r="K3391">
        <f>SUMPRODUCT(Calc!$K$3:$K$22*(Calc!$G$3:$G$22&gt;A3391)*(Calc!$G$3:$G$22-A3391)*(Calc!$G$3:$G$22&gt;B3391)*(Calc!$G$3:$G$22-B3391))</f>
        <v/>
      </c>
      <c r="L3391">
        <f>SUMPRODUCT(Calc!$K$3:$K$22*(Calc!$G$3:$G$22&gt;A3391)*(Calc!$G$3:$G$22-A3391)*Calc!$G$3:$G$22)</f>
        <v/>
      </c>
      <c r="M3391">
        <f>SUMPRODUCT(Calc!$K$3:$K$22*(Calc!$G$3:$G$22&gt;B3391)*(Calc!$G$3:$G$22-B3391)*Calc!$G$3:$G$22)</f>
        <v/>
      </c>
      <c r="N3391">
        <f>SUMPRODUCT(Calc!$K$3:$K$22*(Calc!$G$3:$G$22&gt;A3391)*(Calc!$G$3:$G$22-A3391)*Calc!$I$3:$I$22)</f>
        <v/>
      </c>
      <c r="O3391">
        <f>SUMPRODUCT(Calc!$K$3:$K$22*(Calc!$G$3:$G$22&gt;B3391)*(Calc!$G$3:$G$22-B3391)*Calc!$I$3:$I$22)</f>
        <v/>
      </c>
      <c r="P3391">
        <f>I3391-G3391^2/k_n</f>
        <v/>
      </c>
      <c r="Q3391">
        <f>J3391-H3391^2/k_n</f>
        <v/>
      </c>
      <c r="R3391">
        <f>K3391-G3391*H3391/k_n</f>
        <v/>
      </c>
      <c r="S3391">
        <f>L3391-LTP3!$D$3*G3391/k_n</f>
        <v/>
      </c>
      <c r="T3391">
        <f>M3391-LTP3!$D$3*H3391/k_n</f>
        <v/>
      </c>
      <c r="U3391">
        <f>N3391-G3391*LTP3!$D$4/k_n</f>
        <v/>
      </c>
      <c r="V3391">
        <f>O3391-H3391*LTP3!$D$4/k_n</f>
        <v/>
      </c>
      <c r="W3391">
        <f>((LTP3!$D$5)*((P3391)*(Q3391)-(R3391)*(R3391))-(S3391)*((S3391)*(Q3391)-(R3391)*(T3391))+(T3391)*((S3391)*(R3391)-(P3391)*(T3391)))</f>
        <v/>
      </c>
      <c r="X3391">
        <f>IF(ABS(W3391)&gt;1E-12,((LTP3!$D$6)*((P3391)*(Q3391)-(R3391)*(R3391))-(S3391)*((U3391)*(Q3391)-(R3391)*(V3391))+(T3391)*((U3391)*(R3391)-(P3391)*(V3391)))/W3391,0)</f>
        <v/>
      </c>
      <c r="Y3391">
        <f>IF(ABS(W3391)&gt;1E-12,((LTP3!$D$5)*((U3391)*(Q3391)-(R3391)*(V3391))-(LTP3!$D$6)*((S3391)*(Q3391)-(R3391)*(T3391))+(T3391)*((S3391)*(V3391)-(U3391)*(T3391)))/W3391,0)</f>
        <v/>
      </c>
      <c r="Z3391">
        <f>IF(ABS(W3391)&gt;1E-12,((LTP3!$D$5)*((P3391)*(V3391)-(U3391)*(R3391))-(S3391)*((S3391)*(V3391)-(U3391)*(T3391))+(LTP3!$D$6)*((S3391)*(R3391)-(P3391)*(T3391)))/W3391,0)</f>
        <v/>
      </c>
      <c r="AA3391">
        <f>LTP3!$D$7-X3391*LTP3!$D$6-Y3391*U3391-Z3391*V3391</f>
        <v/>
      </c>
      <c r="AB3391">
        <f>IF(AND(F3391,ABS(W3391)&gt;1E-12,Y3391&gt;0,Z3391&gt;0),AA3391,1E+300)</f>
        <v/>
      </c>
    </row>
    <row r="3392">
      <c r="A3392">
        <f>$B$3+$B$5*55</f>
        <v/>
      </c>
      <c r="B3392">
        <f>$B$3+$B$5*25</f>
        <v/>
      </c>
      <c r="C3392">
        <f>SUMPRODUCT(Calc!$K$3:$K$22*(Calc!$G$3:$G$22&lt;=A3392))</f>
        <v/>
      </c>
      <c r="D3392">
        <f>SUMPRODUCT(Calc!$K$3:$K$22*(Calc!$G$3:$G$22&gt;A3392)*(Calc!$G$3:$G$22&lt;B3392))</f>
        <v/>
      </c>
      <c r="E3392">
        <f>SUMPRODUCT(Calc!$K$3:$K$22*(Calc!$G$3:$G$22&gt;=B3392))</f>
        <v/>
      </c>
      <c r="F3392">
        <f>AND(k_n&gt;=5,B3392&gt;A3392+1E-9,C3392&gt;=2,D3392&gt;=1,E3392&gt;=2)</f>
        <v/>
      </c>
      <c r="G3392">
        <f>SUMPRODUCT(Calc!$K$3:$K$22*(Calc!$G$3:$G$22&gt;A3392)*(Calc!$G$3:$G$22-A3392))</f>
        <v/>
      </c>
      <c r="H3392">
        <f>SUMPRODUCT(Calc!$K$3:$K$22*(Calc!$G$3:$G$22&gt;B3392)*(Calc!$G$3:$G$22-B3392))</f>
        <v/>
      </c>
      <c r="I3392">
        <f>SUMPRODUCT(Calc!$K$3:$K$22*(Calc!$G$3:$G$22&gt;A3392)*(Calc!$G$3:$G$22-A3392)^2)</f>
        <v/>
      </c>
      <c r="J3392">
        <f>SUMPRODUCT(Calc!$K$3:$K$22*(Calc!$G$3:$G$22&gt;B3392)*(Calc!$G$3:$G$22-B3392)^2)</f>
        <v/>
      </c>
      <c r="K3392">
        <f>SUMPRODUCT(Calc!$K$3:$K$22*(Calc!$G$3:$G$22&gt;A3392)*(Calc!$G$3:$G$22-A3392)*(Calc!$G$3:$G$22&gt;B3392)*(Calc!$G$3:$G$22-B3392))</f>
        <v/>
      </c>
      <c r="L3392">
        <f>SUMPRODUCT(Calc!$K$3:$K$22*(Calc!$G$3:$G$22&gt;A3392)*(Calc!$G$3:$G$22-A3392)*Calc!$G$3:$G$22)</f>
        <v/>
      </c>
      <c r="M3392">
        <f>SUMPRODUCT(Calc!$K$3:$K$22*(Calc!$G$3:$G$22&gt;B3392)*(Calc!$G$3:$G$22-B3392)*Calc!$G$3:$G$22)</f>
        <v/>
      </c>
      <c r="N3392">
        <f>SUMPRODUCT(Calc!$K$3:$K$22*(Calc!$G$3:$G$22&gt;A3392)*(Calc!$G$3:$G$22-A3392)*Calc!$I$3:$I$22)</f>
        <v/>
      </c>
      <c r="O3392">
        <f>SUMPRODUCT(Calc!$K$3:$K$22*(Calc!$G$3:$G$22&gt;B3392)*(Calc!$G$3:$G$22-B3392)*Calc!$I$3:$I$22)</f>
        <v/>
      </c>
      <c r="P3392">
        <f>I3392-G3392^2/k_n</f>
        <v/>
      </c>
      <c r="Q3392">
        <f>J3392-H3392^2/k_n</f>
        <v/>
      </c>
      <c r="R3392">
        <f>K3392-G3392*H3392/k_n</f>
        <v/>
      </c>
      <c r="S3392">
        <f>L3392-LTP3!$D$3*G3392/k_n</f>
        <v/>
      </c>
      <c r="T3392">
        <f>M3392-LTP3!$D$3*H3392/k_n</f>
        <v/>
      </c>
      <c r="U3392">
        <f>N3392-G3392*LTP3!$D$4/k_n</f>
        <v/>
      </c>
      <c r="V3392">
        <f>O3392-H3392*LTP3!$D$4/k_n</f>
        <v/>
      </c>
      <c r="W3392">
        <f>((LTP3!$D$5)*((P3392)*(Q3392)-(R3392)*(R3392))-(S3392)*((S3392)*(Q3392)-(R3392)*(T3392))+(T3392)*((S3392)*(R3392)-(P3392)*(T3392)))</f>
        <v/>
      </c>
      <c r="X3392">
        <f>IF(ABS(W3392)&gt;1E-12,((LTP3!$D$6)*((P3392)*(Q3392)-(R3392)*(R3392))-(S3392)*((U3392)*(Q3392)-(R3392)*(V3392))+(T3392)*((U3392)*(R3392)-(P3392)*(V3392)))/W3392,0)</f>
        <v/>
      </c>
      <c r="Y3392">
        <f>IF(ABS(W3392)&gt;1E-12,((LTP3!$D$5)*((U3392)*(Q3392)-(R3392)*(V3392))-(LTP3!$D$6)*((S3392)*(Q3392)-(R3392)*(T3392))+(T3392)*((S3392)*(V3392)-(U3392)*(T3392)))/W3392,0)</f>
        <v/>
      </c>
      <c r="Z3392">
        <f>IF(ABS(W3392)&gt;1E-12,((LTP3!$D$5)*((P3392)*(V3392)-(U3392)*(R3392))-(S3392)*((S3392)*(V3392)-(U3392)*(T3392))+(LTP3!$D$6)*((S3392)*(R3392)-(P3392)*(T3392)))/W3392,0)</f>
        <v/>
      </c>
      <c r="AA3392">
        <f>LTP3!$D$7-X3392*LTP3!$D$6-Y3392*U3392-Z3392*V3392</f>
        <v/>
      </c>
      <c r="AB3392">
        <f>IF(AND(F3392,ABS(W3392)&gt;1E-12,Y3392&gt;0,Z3392&gt;0),AA3392,1E+300)</f>
        <v/>
      </c>
    </row>
    <row r="3393">
      <c r="A3393">
        <f>$B$3+$B$5*55</f>
        <v/>
      </c>
      <c r="B3393">
        <f>$B$3+$B$5*26</f>
        <v/>
      </c>
      <c r="C3393">
        <f>SUMPRODUCT(Calc!$K$3:$K$22*(Calc!$G$3:$G$22&lt;=A3393))</f>
        <v/>
      </c>
      <c r="D3393">
        <f>SUMPRODUCT(Calc!$K$3:$K$22*(Calc!$G$3:$G$22&gt;A3393)*(Calc!$G$3:$G$22&lt;B3393))</f>
        <v/>
      </c>
      <c r="E3393">
        <f>SUMPRODUCT(Calc!$K$3:$K$22*(Calc!$G$3:$G$22&gt;=B3393))</f>
        <v/>
      </c>
      <c r="F3393">
        <f>AND(k_n&gt;=5,B3393&gt;A3393+1E-9,C3393&gt;=2,D3393&gt;=1,E3393&gt;=2)</f>
        <v/>
      </c>
      <c r="G3393">
        <f>SUMPRODUCT(Calc!$K$3:$K$22*(Calc!$G$3:$G$22&gt;A3393)*(Calc!$G$3:$G$22-A3393))</f>
        <v/>
      </c>
      <c r="H3393">
        <f>SUMPRODUCT(Calc!$K$3:$K$22*(Calc!$G$3:$G$22&gt;B3393)*(Calc!$G$3:$G$22-B3393))</f>
        <v/>
      </c>
      <c r="I3393">
        <f>SUMPRODUCT(Calc!$K$3:$K$22*(Calc!$G$3:$G$22&gt;A3393)*(Calc!$G$3:$G$22-A3393)^2)</f>
        <v/>
      </c>
      <c r="J3393">
        <f>SUMPRODUCT(Calc!$K$3:$K$22*(Calc!$G$3:$G$22&gt;B3393)*(Calc!$G$3:$G$22-B3393)^2)</f>
        <v/>
      </c>
      <c r="K3393">
        <f>SUMPRODUCT(Calc!$K$3:$K$22*(Calc!$G$3:$G$22&gt;A3393)*(Calc!$G$3:$G$22-A3393)*(Calc!$G$3:$G$22&gt;B3393)*(Calc!$G$3:$G$22-B3393))</f>
        <v/>
      </c>
      <c r="L3393">
        <f>SUMPRODUCT(Calc!$K$3:$K$22*(Calc!$G$3:$G$22&gt;A3393)*(Calc!$G$3:$G$22-A3393)*Calc!$G$3:$G$22)</f>
        <v/>
      </c>
      <c r="M3393">
        <f>SUMPRODUCT(Calc!$K$3:$K$22*(Calc!$G$3:$G$22&gt;B3393)*(Calc!$G$3:$G$22-B3393)*Calc!$G$3:$G$22)</f>
        <v/>
      </c>
      <c r="N3393">
        <f>SUMPRODUCT(Calc!$K$3:$K$22*(Calc!$G$3:$G$22&gt;A3393)*(Calc!$G$3:$G$22-A3393)*Calc!$I$3:$I$22)</f>
        <v/>
      </c>
      <c r="O3393">
        <f>SUMPRODUCT(Calc!$K$3:$K$22*(Calc!$G$3:$G$22&gt;B3393)*(Calc!$G$3:$G$22-B3393)*Calc!$I$3:$I$22)</f>
        <v/>
      </c>
      <c r="P3393">
        <f>I3393-G3393^2/k_n</f>
        <v/>
      </c>
      <c r="Q3393">
        <f>J3393-H3393^2/k_n</f>
        <v/>
      </c>
      <c r="R3393">
        <f>K3393-G3393*H3393/k_n</f>
        <v/>
      </c>
      <c r="S3393">
        <f>L3393-LTP3!$D$3*G3393/k_n</f>
        <v/>
      </c>
      <c r="T3393">
        <f>M3393-LTP3!$D$3*H3393/k_n</f>
        <v/>
      </c>
      <c r="U3393">
        <f>N3393-G3393*LTP3!$D$4/k_n</f>
        <v/>
      </c>
      <c r="V3393">
        <f>O3393-H3393*LTP3!$D$4/k_n</f>
        <v/>
      </c>
      <c r="W3393">
        <f>((LTP3!$D$5)*((P3393)*(Q3393)-(R3393)*(R3393))-(S3393)*((S3393)*(Q3393)-(R3393)*(T3393))+(T3393)*((S3393)*(R3393)-(P3393)*(T3393)))</f>
        <v/>
      </c>
      <c r="X3393">
        <f>IF(ABS(W3393)&gt;1E-12,((LTP3!$D$6)*((P3393)*(Q3393)-(R3393)*(R3393))-(S3393)*((U3393)*(Q3393)-(R3393)*(V3393))+(T3393)*((U3393)*(R3393)-(P3393)*(V3393)))/W3393,0)</f>
        <v/>
      </c>
      <c r="Y3393">
        <f>IF(ABS(W3393)&gt;1E-12,((LTP3!$D$5)*((U3393)*(Q3393)-(R3393)*(V3393))-(LTP3!$D$6)*((S3393)*(Q3393)-(R3393)*(T3393))+(T3393)*((S3393)*(V3393)-(U3393)*(T3393)))/W3393,0)</f>
        <v/>
      </c>
      <c r="Z3393">
        <f>IF(ABS(W3393)&gt;1E-12,((LTP3!$D$5)*((P3393)*(V3393)-(U3393)*(R3393))-(S3393)*((S3393)*(V3393)-(U3393)*(T3393))+(LTP3!$D$6)*((S3393)*(R3393)-(P3393)*(T3393)))/W3393,0)</f>
        <v/>
      </c>
      <c r="AA3393">
        <f>LTP3!$D$7-X3393*LTP3!$D$6-Y3393*U3393-Z3393*V3393</f>
        <v/>
      </c>
      <c r="AB3393">
        <f>IF(AND(F3393,ABS(W3393)&gt;1E-12,Y3393&gt;0,Z3393&gt;0),AA3393,1E+300)</f>
        <v/>
      </c>
    </row>
    <row r="3394">
      <c r="A3394">
        <f>$B$3+$B$5*55</f>
        <v/>
      </c>
      <c r="B3394">
        <f>$B$3+$B$5*27</f>
        <v/>
      </c>
      <c r="C3394">
        <f>SUMPRODUCT(Calc!$K$3:$K$22*(Calc!$G$3:$G$22&lt;=A3394))</f>
        <v/>
      </c>
      <c r="D3394">
        <f>SUMPRODUCT(Calc!$K$3:$K$22*(Calc!$G$3:$G$22&gt;A3394)*(Calc!$G$3:$G$22&lt;B3394))</f>
        <v/>
      </c>
      <c r="E3394">
        <f>SUMPRODUCT(Calc!$K$3:$K$22*(Calc!$G$3:$G$22&gt;=B3394))</f>
        <v/>
      </c>
      <c r="F3394">
        <f>AND(k_n&gt;=5,B3394&gt;A3394+1E-9,C3394&gt;=2,D3394&gt;=1,E3394&gt;=2)</f>
        <v/>
      </c>
      <c r="G3394">
        <f>SUMPRODUCT(Calc!$K$3:$K$22*(Calc!$G$3:$G$22&gt;A3394)*(Calc!$G$3:$G$22-A3394))</f>
        <v/>
      </c>
      <c r="H3394">
        <f>SUMPRODUCT(Calc!$K$3:$K$22*(Calc!$G$3:$G$22&gt;B3394)*(Calc!$G$3:$G$22-B3394))</f>
        <v/>
      </c>
      <c r="I3394">
        <f>SUMPRODUCT(Calc!$K$3:$K$22*(Calc!$G$3:$G$22&gt;A3394)*(Calc!$G$3:$G$22-A3394)^2)</f>
        <v/>
      </c>
      <c r="J3394">
        <f>SUMPRODUCT(Calc!$K$3:$K$22*(Calc!$G$3:$G$22&gt;B3394)*(Calc!$G$3:$G$22-B3394)^2)</f>
        <v/>
      </c>
      <c r="K3394">
        <f>SUMPRODUCT(Calc!$K$3:$K$22*(Calc!$G$3:$G$22&gt;A3394)*(Calc!$G$3:$G$22-A3394)*(Calc!$G$3:$G$22&gt;B3394)*(Calc!$G$3:$G$22-B3394))</f>
        <v/>
      </c>
      <c r="L3394">
        <f>SUMPRODUCT(Calc!$K$3:$K$22*(Calc!$G$3:$G$22&gt;A3394)*(Calc!$G$3:$G$22-A3394)*Calc!$G$3:$G$22)</f>
        <v/>
      </c>
      <c r="M3394">
        <f>SUMPRODUCT(Calc!$K$3:$K$22*(Calc!$G$3:$G$22&gt;B3394)*(Calc!$G$3:$G$22-B3394)*Calc!$G$3:$G$22)</f>
        <v/>
      </c>
      <c r="N3394">
        <f>SUMPRODUCT(Calc!$K$3:$K$22*(Calc!$G$3:$G$22&gt;A3394)*(Calc!$G$3:$G$22-A3394)*Calc!$I$3:$I$22)</f>
        <v/>
      </c>
      <c r="O3394">
        <f>SUMPRODUCT(Calc!$K$3:$K$22*(Calc!$G$3:$G$22&gt;B3394)*(Calc!$G$3:$G$22-B3394)*Calc!$I$3:$I$22)</f>
        <v/>
      </c>
      <c r="P3394">
        <f>I3394-G3394^2/k_n</f>
        <v/>
      </c>
      <c r="Q3394">
        <f>J3394-H3394^2/k_n</f>
        <v/>
      </c>
      <c r="R3394">
        <f>K3394-G3394*H3394/k_n</f>
        <v/>
      </c>
      <c r="S3394">
        <f>L3394-LTP3!$D$3*G3394/k_n</f>
        <v/>
      </c>
      <c r="T3394">
        <f>M3394-LTP3!$D$3*H3394/k_n</f>
        <v/>
      </c>
      <c r="U3394">
        <f>N3394-G3394*LTP3!$D$4/k_n</f>
        <v/>
      </c>
      <c r="V3394">
        <f>O3394-H3394*LTP3!$D$4/k_n</f>
        <v/>
      </c>
      <c r="W3394">
        <f>((LTP3!$D$5)*((P3394)*(Q3394)-(R3394)*(R3394))-(S3394)*((S3394)*(Q3394)-(R3394)*(T3394))+(T3394)*((S3394)*(R3394)-(P3394)*(T3394)))</f>
        <v/>
      </c>
      <c r="X3394">
        <f>IF(ABS(W3394)&gt;1E-12,((LTP3!$D$6)*((P3394)*(Q3394)-(R3394)*(R3394))-(S3394)*((U3394)*(Q3394)-(R3394)*(V3394))+(T3394)*((U3394)*(R3394)-(P3394)*(V3394)))/W3394,0)</f>
        <v/>
      </c>
      <c r="Y3394">
        <f>IF(ABS(W3394)&gt;1E-12,((LTP3!$D$5)*((U3394)*(Q3394)-(R3394)*(V3394))-(LTP3!$D$6)*((S3394)*(Q3394)-(R3394)*(T3394))+(T3394)*((S3394)*(V3394)-(U3394)*(T3394)))/W3394,0)</f>
        <v/>
      </c>
      <c r="Z3394">
        <f>IF(ABS(W3394)&gt;1E-12,((LTP3!$D$5)*((P3394)*(V3394)-(U3394)*(R3394))-(S3394)*((S3394)*(V3394)-(U3394)*(T3394))+(LTP3!$D$6)*((S3394)*(R3394)-(P3394)*(T3394)))/W3394,0)</f>
        <v/>
      </c>
      <c r="AA3394">
        <f>LTP3!$D$7-X3394*LTP3!$D$6-Y3394*U3394-Z3394*V3394</f>
        <v/>
      </c>
      <c r="AB3394">
        <f>IF(AND(F3394,ABS(W3394)&gt;1E-12,Y3394&gt;0,Z3394&gt;0),AA3394,1E+300)</f>
        <v/>
      </c>
    </row>
    <row r="3395">
      <c r="A3395">
        <f>$B$3+$B$5*55</f>
        <v/>
      </c>
      <c r="B3395">
        <f>$B$3+$B$5*28</f>
        <v/>
      </c>
      <c r="C3395">
        <f>SUMPRODUCT(Calc!$K$3:$K$22*(Calc!$G$3:$G$22&lt;=A3395))</f>
        <v/>
      </c>
      <c r="D3395">
        <f>SUMPRODUCT(Calc!$K$3:$K$22*(Calc!$G$3:$G$22&gt;A3395)*(Calc!$G$3:$G$22&lt;B3395))</f>
        <v/>
      </c>
      <c r="E3395">
        <f>SUMPRODUCT(Calc!$K$3:$K$22*(Calc!$G$3:$G$22&gt;=B3395))</f>
        <v/>
      </c>
      <c r="F3395">
        <f>AND(k_n&gt;=5,B3395&gt;A3395+1E-9,C3395&gt;=2,D3395&gt;=1,E3395&gt;=2)</f>
        <v/>
      </c>
      <c r="G3395">
        <f>SUMPRODUCT(Calc!$K$3:$K$22*(Calc!$G$3:$G$22&gt;A3395)*(Calc!$G$3:$G$22-A3395))</f>
        <v/>
      </c>
      <c r="H3395">
        <f>SUMPRODUCT(Calc!$K$3:$K$22*(Calc!$G$3:$G$22&gt;B3395)*(Calc!$G$3:$G$22-B3395))</f>
        <v/>
      </c>
      <c r="I3395">
        <f>SUMPRODUCT(Calc!$K$3:$K$22*(Calc!$G$3:$G$22&gt;A3395)*(Calc!$G$3:$G$22-A3395)^2)</f>
        <v/>
      </c>
      <c r="J3395">
        <f>SUMPRODUCT(Calc!$K$3:$K$22*(Calc!$G$3:$G$22&gt;B3395)*(Calc!$G$3:$G$22-B3395)^2)</f>
        <v/>
      </c>
      <c r="K3395">
        <f>SUMPRODUCT(Calc!$K$3:$K$22*(Calc!$G$3:$G$22&gt;A3395)*(Calc!$G$3:$G$22-A3395)*(Calc!$G$3:$G$22&gt;B3395)*(Calc!$G$3:$G$22-B3395))</f>
        <v/>
      </c>
      <c r="L3395">
        <f>SUMPRODUCT(Calc!$K$3:$K$22*(Calc!$G$3:$G$22&gt;A3395)*(Calc!$G$3:$G$22-A3395)*Calc!$G$3:$G$22)</f>
        <v/>
      </c>
      <c r="M3395">
        <f>SUMPRODUCT(Calc!$K$3:$K$22*(Calc!$G$3:$G$22&gt;B3395)*(Calc!$G$3:$G$22-B3395)*Calc!$G$3:$G$22)</f>
        <v/>
      </c>
      <c r="N3395">
        <f>SUMPRODUCT(Calc!$K$3:$K$22*(Calc!$G$3:$G$22&gt;A3395)*(Calc!$G$3:$G$22-A3395)*Calc!$I$3:$I$22)</f>
        <v/>
      </c>
      <c r="O3395">
        <f>SUMPRODUCT(Calc!$K$3:$K$22*(Calc!$G$3:$G$22&gt;B3395)*(Calc!$G$3:$G$22-B3395)*Calc!$I$3:$I$22)</f>
        <v/>
      </c>
      <c r="P3395">
        <f>I3395-G3395^2/k_n</f>
        <v/>
      </c>
      <c r="Q3395">
        <f>J3395-H3395^2/k_n</f>
        <v/>
      </c>
      <c r="R3395">
        <f>K3395-G3395*H3395/k_n</f>
        <v/>
      </c>
      <c r="S3395">
        <f>L3395-LTP3!$D$3*G3395/k_n</f>
        <v/>
      </c>
      <c r="T3395">
        <f>M3395-LTP3!$D$3*H3395/k_n</f>
        <v/>
      </c>
      <c r="U3395">
        <f>N3395-G3395*LTP3!$D$4/k_n</f>
        <v/>
      </c>
      <c r="V3395">
        <f>O3395-H3395*LTP3!$D$4/k_n</f>
        <v/>
      </c>
      <c r="W3395">
        <f>((LTP3!$D$5)*((P3395)*(Q3395)-(R3395)*(R3395))-(S3395)*((S3395)*(Q3395)-(R3395)*(T3395))+(T3395)*((S3395)*(R3395)-(P3395)*(T3395)))</f>
        <v/>
      </c>
      <c r="X3395">
        <f>IF(ABS(W3395)&gt;1E-12,((LTP3!$D$6)*((P3395)*(Q3395)-(R3395)*(R3395))-(S3395)*((U3395)*(Q3395)-(R3395)*(V3395))+(T3395)*((U3395)*(R3395)-(P3395)*(V3395)))/W3395,0)</f>
        <v/>
      </c>
      <c r="Y3395">
        <f>IF(ABS(W3395)&gt;1E-12,((LTP3!$D$5)*((U3395)*(Q3395)-(R3395)*(V3395))-(LTP3!$D$6)*((S3395)*(Q3395)-(R3395)*(T3395))+(T3395)*((S3395)*(V3395)-(U3395)*(T3395)))/W3395,0)</f>
        <v/>
      </c>
      <c r="Z3395">
        <f>IF(ABS(W3395)&gt;1E-12,((LTP3!$D$5)*((P3395)*(V3395)-(U3395)*(R3395))-(S3395)*((S3395)*(V3395)-(U3395)*(T3395))+(LTP3!$D$6)*((S3395)*(R3395)-(P3395)*(T3395)))/W3395,0)</f>
        <v/>
      </c>
      <c r="AA3395">
        <f>LTP3!$D$7-X3395*LTP3!$D$6-Y3395*U3395-Z3395*V3395</f>
        <v/>
      </c>
      <c r="AB3395">
        <f>IF(AND(F3395,ABS(W3395)&gt;1E-12,Y3395&gt;0,Z3395&gt;0),AA3395,1E+300)</f>
        <v/>
      </c>
    </row>
    <row r="3396">
      <c r="A3396">
        <f>$B$3+$B$5*55</f>
        <v/>
      </c>
      <c r="B3396">
        <f>$B$3+$B$5*29</f>
        <v/>
      </c>
      <c r="C3396">
        <f>SUMPRODUCT(Calc!$K$3:$K$22*(Calc!$G$3:$G$22&lt;=A3396))</f>
        <v/>
      </c>
      <c r="D3396">
        <f>SUMPRODUCT(Calc!$K$3:$K$22*(Calc!$G$3:$G$22&gt;A3396)*(Calc!$G$3:$G$22&lt;B3396))</f>
        <v/>
      </c>
      <c r="E3396">
        <f>SUMPRODUCT(Calc!$K$3:$K$22*(Calc!$G$3:$G$22&gt;=B3396))</f>
        <v/>
      </c>
      <c r="F3396">
        <f>AND(k_n&gt;=5,B3396&gt;A3396+1E-9,C3396&gt;=2,D3396&gt;=1,E3396&gt;=2)</f>
        <v/>
      </c>
      <c r="G3396">
        <f>SUMPRODUCT(Calc!$K$3:$K$22*(Calc!$G$3:$G$22&gt;A3396)*(Calc!$G$3:$G$22-A3396))</f>
        <v/>
      </c>
      <c r="H3396">
        <f>SUMPRODUCT(Calc!$K$3:$K$22*(Calc!$G$3:$G$22&gt;B3396)*(Calc!$G$3:$G$22-B3396))</f>
        <v/>
      </c>
      <c r="I3396">
        <f>SUMPRODUCT(Calc!$K$3:$K$22*(Calc!$G$3:$G$22&gt;A3396)*(Calc!$G$3:$G$22-A3396)^2)</f>
        <v/>
      </c>
      <c r="J3396">
        <f>SUMPRODUCT(Calc!$K$3:$K$22*(Calc!$G$3:$G$22&gt;B3396)*(Calc!$G$3:$G$22-B3396)^2)</f>
        <v/>
      </c>
      <c r="K3396">
        <f>SUMPRODUCT(Calc!$K$3:$K$22*(Calc!$G$3:$G$22&gt;A3396)*(Calc!$G$3:$G$22-A3396)*(Calc!$G$3:$G$22&gt;B3396)*(Calc!$G$3:$G$22-B3396))</f>
        <v/>
      </c>
      <c r="L3396">
        <f>SUMPRODUCT(Calc!$K$3:$K$22*(Calc!$G$3:$G$22&gt;A3396)*(Calc!$G$3:$G$22-A3396)*Calc!$G$3:$G$22)</f>
        <v/>
      </c>
      <c r="M3396">
        <f>SUMPRODUCT(Calc!$K$3:$K$22*(Calc!$G$3:$G$22&gt;B3396)*(Calc!$G$3:$G$22-B3396)*Calc!$G$3:$G$22)</f>
        <v/>
      </c>
      <c r="N3396">
        <f>SUMPRODUCT(Calc!$K$3:$K$22*(Calc!$G$3:$G$22&gt;A3396)*(Calc!$G$3:$G$22-A3396)*Calc!$I$3:$I$22)</f>
        <v/>
      </c>
      <c r="O3396">
        <f>SUMPRODUCT(Calc!$K$3:$K$22*(Calc!$G$3:$G$22&gt;B3396)*(Calc!$G$3:$G$22-B3396)*Calc!$I$3:$I$22)</f>
        <v/>
      </c>
      <c r="P3396">
        <f>I3396-G3396^2/k_n</f>
        <v/>
      </c>
      <c r="Q3396">
        <f>J3396-H3396^2/k_n</f>
        <v/>
      </c>
      <c r="R3396">
        <f>K3396-G3396*H3396/k_n</f>
        <v/>
      </c>
      <c r="S3396">
        <f>L3396-LTP3!$D$3*G3396/k_n</f>
        <v/>
      </c>
      <c r="T3396">
        <f>M3396-LTP3!$D$3*H3396/k_n</f>
        <v/>
      </c>
      <c r="U3396">
        <f>N3396-G3396*LTP3!$D$4/k_n</f>
        <v/>
      </c>
      <c r="V3396">
        <f>O3396-H3396*LTP3!$D$4/k_n</f>
        <v/>
      </c>
      <c r="W3396">
        <f>((LTP3!$D$5)*((P3396)*(Q3396)-(R3396)*(R3396))-(S3396)*((S3396)*(Q3396)-(R3396)*(T3396))+(T3396)*((S3396)*(R3396)-(P3396)*(T3396)))</f>
        <v/>
      </c>
      <c r="X3396">
        <f>IF(ABS(W3396)&gt;1E-12,((LTP3!$D$6)*((P3396)*(Q3396)-(R3396)*(R3396))-(S3396)*((U3396)*(Q3396)-(R3396)*(V3396))+(T3396)*((U3396)*(R3396)-(P3396)*(V3396)))/W3396,0)</f>
        <v/>
      </c>
      <c r="Y3396">
        <f>IF(ABS(W3396)&gt;1E-12,((LTP3!$D$5)*((U3396)*(Q3396)-(R3396)*(V3396))-(LTP3!$D$6)*((S3396)*(Q3396)-(R3396)*(T3396))+(T3396)*((S3396)*(V3396)-(U3396)*(T3396)))/W3396,0)</f>
        <v/>
      </c>
      <c r="Z3396">
        <f>IF(ABS(W3396)&gt;1E-12,((LTP3!$D$5)*((P3396)*(V3396)-(U3396)*(R3396))-(S3396)*((S3396)*(V3396)-(U3396)*(T3396))+(LTP3!$D$6)*((S3396)*(R3396)-(P3396)*(T3396)))/W3396,0)</f>
        <v/>
      </c>
      <c r="AA3396">
        <f>LTP3!$D$7-X3396*LTP3!$D$6-Y3396*U3396-Z3396*V3396</f>
        <v/>
      </c>
      <c r="AB3396">
        <f>IF(AND(F3396,ABS(W3396)&gt;1E-12,Y3396&gt;0,Z3396&gt;0),AA3396,1E+300)</f>
        <v/>
      </c>
    </row>
    <row r="3397">
      <c r="A3397">
        <f>$B$3+$B$5*55</f>
        <v/>
      </c>
      <c r="B3397">
        <f>$B$3+$B$5*30</f>
        <v/>
      </c>
      <c r="C3397">
        <f>SUMPRODUCT(Calc!$K$3:$K$22*(Calc!$G$3:$G$22&lt;=A3397))</f>
        <v/>
      </c>
      <c r="D3397">
        <f>SUMPRODUCT(Calc!$K$3:$K$22*(Calc!$G$3:$G$22&gt;A3397)*(Calc!$G$3:$G$22&lt;B3397))</f>
        <v/>
      </c>
      <c r="E3397">
        <f>SUMPRODUCT(Calc!$K$3:$K$22*(Calc!$G$3:$G$22&gt;=B3397))</f>
        <v/>
      </c>
      <c r="F3397">
        <f>AND(k_n&gt;=5,B3397&gt;A3397+1E-9,C3397&gt;=2,D3397&gt;=1,E3397&gt;=2)</f>
        <v/>
      </c>
      <c r="G3397">
        <f>SUMPRODUCT(Calc!$K$3:$K$22*(Calc!$G$3:$G$22&gt;A3397)*(Calc!$G$3:$G$22-A3397))</f>
        <v/>
      </c>
      <c r="H3397">
        <f>SUMPRODUCT(Calc!$K$3:$K$22*(Calc!$G$3:$G$22&gt;B3397)*(Calc!$G$3:$G$22-B3397))</f>
        <v/>
      </c>
      <c r="I3397">
        <f>SUMPRODUCT(Calc!$K$3:$K$22*(Calc!$G$3:$G$22&gt;A3397)*(Calc!$G$3:$G$22-A3397)^2)</f>
        <v/>
      </c>
      <c r="J3397">
        <f>SUMPRODUCT(Calc!$K$3:$K$22*(Calc!$G$3:$G$22&gt;B3397)*(Calc!$G$3:$G$22-B3397)^2)</f>
        <v/>
      </c>
      <c r="K3397">
        <f>SUMPRODUCT(Calc!$K$3:$K$22*(Calc!$G$3:$G$22&gt;A3397)*(Calc!$G$3:$G$22-A3397)*(Calc!$G$3:$G$22&gt;B3397)*(Calc!$G$3:$G$22-B3397))</f>
        <v/>
      </c>
      <c r="L3397">
        <f>SUMPRODUCT(Calc!$K$3:$K$22*(Calc!$G$3:$G$22&gt;A3397)*(Calc!$G$3:$G$22-A3397)*Calc!$G$3:$G$22)</f>
        <v/>
      </c>
      <c r="M3397">
        <f>SUMPRODUCT(Calc!$K$3:$K$22*(Calc!$G$3:$G$22&gt;B3397)*(Calc!$G$3:$G$22-B3397)*Calc!$G$3:$G$22)</f>
        <v/>
      </c>
      <c r="N3397">
        <f>SUMPRODUCT(Calc!$K$3:$K$22*(Calc!$G$3:$G$22&gt;A3397)*(Calc!$G$3:$G$22-A3397)*Calc!$I$3:$I$22)</f>
        <v/>
      </c>
      <c r="O3397">
        <f>SUMPRODUCT(Calc!$K$3:$K$22*(Calc!$G$3:$G$22&gt;B3397)*(Calc!$G$3:$G$22-B3397)*Calc!$I$3:$I$22)</f>
        <v/>
      </c>
      <c r="P3397">
        <f>I3397-G3397^2/k_n</f>
        <v/>
      </c>
      <c r="Q3397">
        <f>J3397-H3397^2/k_n</f>
        <v/>
      </c>
      <c r="R3397">
        <f>K3397-G3397*H3397/k_n</f>
        <v/>
      </c>
      <c r="S3397">
        <f>L3397-LTP3!$D$3*G3397/k_n</f>
        <v/>
      </c>
      <c r="T3397">
        <f>M3397-LTP3!$D$3*H3397/k_n</f>
        <v/>
      </c>
      <c r="U3397">
        <f>N3397-G3397*LTP3!$D$4/k_n</f>
        <v/>
      </c>
      <c r="V3397">
        <f>O3397-H3397*LTP3!$D$4/k_n</f>
        <v/>
      </c>
      <c r="W3397">
        <f>((LTP3!$D$5)*((P3397)*(Q3397)-(R3397)*(R3397))-(S3397)*((S3397)*(Q3397)-(R3397)*(T3397))+(T3397)*((S3397)*(R3397)-(P3397)*(T3397)))</f>
        <v/>
      </c>
      <c r="X3397">
        <f>IF(ABS(W3397)&gt;1E-12,((LTP3!$D$6)*((P3397)*(Q3397)-(R3397)*(R3397))-(S3397)*((U3397)*(Q3397)-(R3397)*(V3397))+(T3397)*((U3397)*(R3397)-(P3397)*(V3397)))/W3397,0)</f>
        <v/>
      </c>
      <c r="Y3397">
        <f>IF(ABS(W3397)&gt;1E-12,((LTP3!$D$5)*((U3397)*(Q3397)-(R3397)*(V3397))-(LTP3!$D$6)*((S3397)*(Q3397)-(R3397)*(T3397))+(T3397)*((S3397)*(V3397)-(U3397)*(T3397)))/W3397,0)</f>
        <v/>
      </c>
      <c r="Z3397">
        <f>IF(ABS(W3397)&gt;1E-12,((LTP3!$D$5)*((P3397)*(V3397)-(U3397)*(R3397))-(S3397)*((S3397)*(V3397)-(U3397)*(T3397))+(LTP3!$D$6)*((S3397)*(R3397)-(P3397)*(T3397)))/W3397,0)</f>
        <v/>
      </c>
      <c r="AA3397">
        <f>LTP3!$D$7-X3397*LTP3!$D$6-Y3397*U3397-Z3397*V3397</f>
        <v/>
      </c>
      <c r="AB3397">
        <f>IF(AND(F3397,ABS(W3397)&gt;1E-12,Y3397&gt;0,Z3397&gt;0),AA3397,1E+300)</f>
        <v/>
      </c>
    </row>
    <row r="3398">
      <c r="A3398">
        <f>$B$3+$B$5*55</f>
        <v/>
      </c>
      <c r="B3398">
        <f>$B$3+$B$5*31</f>
        <v/>
      </c>
      <c r="C3398">
        <f>SUMPRODUCT(Calc!$K$3:$K$22*(Calc!$G$3:$G$22&lt;=A3398))</f>
        <v/>
      </c>
      <c r="D3398">
        <f>SUMPRODUCT(Calc!$K$3:$K$22*(Calc!$G$3:$G$22&gt;A3398)*(Calc!$G$3:$G$22&lt;B3398))</f>
        <v/>
      </c>
      <c r="E3398">
        <f>SUMPRODUCT(Calc!$K$3:$K$22*(Calc!$G$3:$G$22&gt;=B3398))</f>
        <v/>
      </c>
      <c r="F3398">
        <f>AND(k_n&gt;=5,B3398&gt;A3398+1E-9,C3398&gt;=2,D3398&gt;=1,E3398&gt;=2)</f>
        <v/>
      </c>
      <c r="G3398">
        <f>SUMPRODUCT(Calc!$K$3:$K$22*(Calc!$G$3:$G$22&gt;A3398)*(Calc!$G$3:$G$22-A3398))</f>
        <v/>
      </c>
      <c r="H3398">
        <f>SUMPRODUCT(Calc!$K$3:$K$22*(Calc!$G$3:$G$22&gt;B3398)*(Calc!$G$3:$G$22-B3398))</f>
        <v/>
      </c>
      <c r="I3398">
        <f>SUMPRODUCT(Calc!$K$3:$K$22*(Calc!$G$3:$G$22&gt;A3398)*(Calc!$G$3:$G$22-A3398)^2)</f>
        <v/>
      </c>
      <c r="J3398">
        <f>SUMPRODUCT(Calc!$K$3:$K$22*(Calc!$G$3:$G$22&gt;B3398)*(Calc!$G$3:$G$22-B3398)^2)</f>
        <v/>
      </c>
      <c r="K3398">
        <f>SUMPRODUCT(Calc!$K$3:$K$22*(Calc!$G$3:$G$22&gt;A3398)*(Calc!$G$3:$G$22-A3398)*(Calc!$G$3:$G$22&gt;B3398)*(Calc!$G$3:$G$22-B3398))</f>
        <v/>
      </c>
      <c r="L3398">
        <f>SUMPRODUCT(Calc!$K$3:$K$22*(Calc!$G$3:$G$22&gt;A3398)*(Calc!$G$3:$G$22-A3398)*Calc!$G$3:$G$22)</f>
        <v/>
      </c>
      <c r="M3398">
        <f>SUMPRODUCT(Calc!$K$3:$K$22*(Calc!$G$3:$G$22&gt;B3398)*(Calc!$G$3:$G$22-B3398)*Calc!$G$3:$G$22)</f>
        <v/>
      </c>
      <c r="N3398">
        <f>SUMPRODUCT(Calc!$K$3:$K$22*(Calc!$G$3:$G$22&gt;A3398)*(Calc!$G$3:$G$22-A3398)*Calc!$I$3:$I$22)</f>
        <v/>
      </c>
      <c r="O3398">
        <f>SUMPRODUCT(Calc!$K$3:$K$22*(Calc!$G$3:$G$22&gt;B3398)*(Calc!$G$3:$G$22-B3398)*Calc!$I$3:$I$22)</f>
        <v/>
      </c>
      <c r="P3398">
        <f>I3398-G3398^2/k_n</f>
        <v/>
      </c>
      <c r="Q3398">
        <f>J3398-H3398^2/k_n</f>
        <v/>
      </c>
      <c r="R3398">
        <f>K3398-G3398*H3398/k_n</f>
        <v/>
      </c>
      <c r="S3398">
        <f>L3398-LTP3!$D$3*G3398/k_n</f>
        <v/>
      </c>
      <c r="T3398">
        <f>M3398-LTP3!$D$3*H3398/k_n</f>
        <v/>
      </c>
      <c r="U3398">
        <f>N3398-G3398*LTP3!$D$4/k_n</f>
        <v/>
      </c>
      <c r="V3398">
        <f>O3398-H3398*LTP3!$D$4/k_n</f>
        <v/>
      </c>
      <c r="W3398">
        <f>((LTP3!$D$5)*((P3398)*(Q3398)-(R3398)*(R3398))-(S3398)*((S3398)*(Q3398)-(R3398)*(T3398))+(T3398)*((S3398)*(R3398)-(P3398)*(T3398)))</f>
        <v/>
      </c>
      <c r="X3398">
        <f>IF(ABS(W3398)&gt;1E-12,((LTP3!$D$6)*((P3398)*(Q3398)-(R3398)*(R3398))-(S3398)*((U3398)*(Q3398)-(R3398)*(V3398))+(T3398)*((U3398)*(R3398)-(P3398)*(V3398)))/W3398,0)</f>
        <v/>
      </c>
      <c r="Y3398">
        <f>IF(ABS(W3398)&gt;1E-12,((LTP3!$D$5)*((U3398)*(Q3398)-(R3398)*(V3398))-(LTP3!$D$6)*((S3398)*(Q3398)-(R3398)*(T3398))+(T3398)*((S3398)*(V3398)-(U3398)*(T3398)))/W3398,0)</f>
        <v/>
      </c>
      <c r="Z3398">
        <f>IF(ABS(W3398)&gt;1E-12,((LTP3!$D$5)*((P3398)*(V3398)-(U3398)*(R3398))-(S3398)*((S3398)*(V3398)-(U3398)*(T3398))+(LTP3!$D$6)*((S3398)*(R3398)-(P3398)*(T3398)))/W3398,0)</f>
        <v/>
      </c>
      <c r="AA3398">
        <f>LTP3!$D$7-X3398*LTP3!$D$6-Y3398*U3398-Z3398*V3398</f>
        <v/>
      </c>
      <c r="AB3398">
        <f>IF(AND(F3398,ABS(W3398)&gt;1E-12,Y3398&gt;0,Z3398&gt;0),AA3398,1E+300)</f>
        <v/>
      </c>
    </row>
    <row r="3399">
      <c r="A3399">
        <f>$B$3+$B$5*55</f>
        <v/>
      </c>
      <c r="B3399">
        <f>$B$3+$B$5*32</f>
        <v/>
      </c>
      <c r="C3399">
        <f>SUMPRODUCT(Calc!$K$3:$K$22*(Calc!$G$3:$G$22&lt;=A3399))</f>
        <v/>
      </c>
      <c r="D3399">
        <f>SUMPRODUCT(Calc!$K$3:$K$22*(Calc!$G$3:$G$22&gt;A3399)*(Calc!$G$3:$G$22&lt;B3399))</f>
        <v/>
      </c>
      <c r="E3399">
        <f>SUMPRODUCT(Calc!$K$3:$K$22*(Calc!$G$3:$G$22&gt;=B3399))</f>
        <v/>
      </c>
      <c r="F3399">
        <f>AND(k_n&gt;=5,B3399&gt;A3399+1E-9,C3399&gt;=2,D3399&gt;=1,E3399&gt;=2)</f>
        <v/>
      </c>
      <c r="G3399">
        <f>SUMPRODUCT(Calc!$K$3:$K$22*(Calc!$G$3:$G$22&gt;A3399)*(Calc!$G$3:$G$22-A3399))</f>
        <v/>
      </c>
      <c r="H3399">
        <f>SUMPRODUCT(Calc!$K$3:$K$22*(Calc!$G$3:$G$22&gt;B3399)*(Calc!$G$3:$G$22-B3399))</f>
        <v/>
      </c>
      <c r="I3399">
        <f>SUMPRODUCT(Calc!$K$3:$K$22*(Calc!$G$3:$G$22&gt;A3399)*(Calc!$G$3:$G$22-A3399)^2)</f>
        <v/>
      </c>
      <c r="J3399">
        <f>SUMPRODUCT(Calc!$K$3:$K$22*(Calc!$G$3:$G$22&gt;B3399)*(Calc!$G$3:$G$22-B3399)^2)</f>
        <v/>
      </c>
      <c r="K3399">
        <f>SUMPRODUCT(Calc!$K$3:$K$22*(Calc!$G$3:$G$22&gt;A3399)*(Calc!$G$3:$G$22-A3399)*(Calc!$G$3:$G$22&gt;B3399)*(Calc!$G$3:$G$22-B3399))</f>
        <v/>
      </c>
      <c r="L3399">
        <f>SUMPRODUCT(Calc!$K$3:$K$22*(Calc!$G$3:$G$22&gt;A3399)*(Calc!$G$3:$G$22-A3399)*Calc!$G$3:$G$22)</f>
        <v/>
      </c>
      <c r="M3399">
        <f>SUMPRODUCT(Calc!$K$3:$K$22*(Calc!$G$3:$G$22&gt;B3399)*(Calc!$G$3:$G$22-B3399)*Calc!$G$3:$G$22)</f>
        <v/>
      </c>
      <c r="N3399">
        <f>SUMPRODUCT(Calc!$K$3:$K$22*(Calc!$G$3:$G$22&gt;A3399)*(Calc!$G$3:$G$22-A3399)*Calc!$I$3:$I$22)</f>
        <v/>
      </c>
      <c r="O3399">
        <f>SUMPRODUCT(Calc!$K$3:$K$22*(Calc!$G$3:$G$22&gt;B3399)*(Calc!$G$3:$G$22-B3399)*Calc!$I$3:$I$22)</f>
        <v/>
      </c>
      <c r="P3399">
        <f>I3399-G3399^2/k_n</f>
        <v/>
      </c>
      <c r="Q3399">
        <f>J3399-H3399^2/k_n</f>
        <v/>
      </c>
      <c r="R3399">
        <f>K3399-G3399*H3399/k_n</f>
        <v/>
      </c>
      <c r="S3399">
        <f>L3399-LTP3!$D$3*G3399/k_n</f>
        <v/>
      </c>
      <c r="T3399">
        <f>M3399-LTP3!$D$3*H3399/k_n</f>
        <v/>
      </c>
      <c r="U3399">
        <f>N3399-G3399*LTP3!$D$4/k_n</f>
        <v/>
      </c>
      <c r="V3399">
        <f>O3399-H3399*LTP3!$D$4/k_n</f>
        <v/>
      </c>
      <c r="W3399">
        <f>((LTP3!$D$5)*((P3399)*(Q3399)-(R3399)*(R3399))-(S3399)*((S3399)*(Q3399)-(R3399)*(T3399))+(T3399)*((S3399)*(R3399)-(P3399)*(T3399)))</f>
        <v/>
      </c>
      <c r="X3399">
        <f>IF(ABS(W3399)&gt;1E-12,((LTP3!$D$6)*((P3399)*(Q3399)-(R3399)*(R3399))-(S3399)*((U3399)*(Q3399)-(R3399)*(V3399))+(T3399)*((U3399)*(R3399)-(P3399)*(V3399)))/W3399,0)</f>
        <v/>
      </c>
      <c r="Y3399">
        <f>IF(ABS(W3399)&gt;1E-12,((LTP3!$D$5)*((U3399)*(Q3399)-(R3399)*(V3399))-(LTP3!$D$6)*((S3399)*(Q3399)-(R3399)*(T3399))+(T3399)*((S3399)*(V3399)-(U3399)*(T3399)))/W3399,0)</f>
        <v/>
      </c>
      <c r="Z3399">
        <f>IF(ABS(W3399)&gt;1E-12,((LTP3!$D$5)*((P3399)*(V3399)-(U3399)*(R3399))-(S3399)*((S3399)*(V3399)-(U3399)*(T3399))+(LTP3!$D$6)*((S3399)*(R3399)-(P3399)*(T3399)))/W3399,0)</f>
        <v/>
      </c>
      <c r="AA3399">
        <f>LTP3!$D$7-X3399*LTP3!$D$6-Y3399*U3399-Z3399*V3399</f>
        <v/>
      </c>
      <c r="AB3399">
        <f>IF(AND(F3399,ABS(W3399)&gt;1E-12,Y3399&gt;0,Z3399&gt;0),AA3399,1E+300)</f>
        <v/>
      </c>
    </row>
    <row r="3400">
      <c r="A3400">
        <f>$B$3+$B$5*55</f>
        <v/>
      </c>
      <c r="B3400">
        <f>$B$3+$B$5*33</f>
        <v/>
      </c>
      <c r="C3400">
        <f>SUMPRODUCT(Calc!$K$3:$K$22*(Calc!$G$3:$G$22&lt;=A3400))</f>
        <v/>
      </c>
      <c r="D3400">
        <f>SUMPRODUCT(Calc!$K$3:$K$22*(Calc!$G$3:$G$22&gt;A3400)*(Calc!$G$3:$G$22&lt;B3400))</f>
        <v/>
      </c>
      <c r="E3400">
        <f>SUMPRODUCT(Calc!$K$3:$K$22*(Calc!$G$3:$G$22&gt;=B3400))</f>
        <v/>
      </c>
      <c r="F3400">
        <f>AND(k_n&gt;=5,B3400&gt;A3400+1E-9,C3400&gt;=2,D3400&gt;=1,E3400&gt;=2)</f>
        <v/>
      </c>
      <c r="G3400">
        <f>SUMPRODUCT(Calc!$K$3:$K$22*(Calc!$G$3:$G$22&gt;A3400)*(Calc!$G$3:$G$22-A3400))</f>
        <v/>
      </c>
      <c r="H3400">
        <f>SUMPRODUCT(Calc!$K$3:$K$22*(Calc!$G$3:$G$22&gt;B3400)*(Calc!$G$3:$G$22-B3400))</f>
        <v/>
      </c>
      <c r="I3400">
        <f>SUMPRODUCT(Calc!$K$3:$K$22*(Calc!$G$3:$G$22&gt;A3400)*(Calc!$G$3:$G$22-A3400)^2)</f>
        <v/>
      </c>
      <c r="J3400">
        <f>SUMPRODUCT(Calc!$K$3:$K$22*(Calc!$G$3:$G$22&gt;B3400)*(Calc!$G$3:$G$22-B3400)^2)</f>
        <v/>
      </c>
      <c r="K3400">
        <f>SUMPRODUCT(Calc!$K$3:$K$22*(Calc!$G$3:$G$22&gt;A3400)*(Calc!$G$3:$G$22-A3400)*(Calc!$G$3:$G$22&gt;B3400)*(Calc!$G$3:$G$22-B3400))</f>
        <v/>
      </c>
      <c r="L3400">
        <f>SUMPRODUCT(Calc!$K$3:$K$22*(Calc!$G$3:$G$22&gt;A3400)*(Calc!$G$3:$G$22-A3400)*Calc!$G$3:$G$22)</f>
        <v/>
      </c>
      <c r="M3400">
        <f>SUMPRODUCT(Calc!$K$3:$K$22*(Calc!$G$3:$G$22&gt;B3400)*(Calc!$G$3:$G$22-B3400)*Calc!$G$3:$G$22)</f>
        <v/>
      </c>
      <c r="N3400">
        <f>SUMPRODUCT(Calc!$K$3:$K$22*(Calc!$G$3:$G$22&gt;A3400)*(Calc!$G$3:$G$22-A3400)*Calc!$I$3:$I$22)</f>
        <v/>
      </c>
      <c r="O3400">
        <f>SUMPRODUCT(Calc!$K$3:$K$22*(Calc!$G$3:$G$22&gt;B3400)*(Calc!$G$3:$G$22-B3400)*Calc!$I$3:$I$22)</f>
        <v/>
      </c>
      <c r="P3400">
        <f>I3400-G3400^2/k_n</f>
        <v/>
      </c>
      <c r="Q3400">
        <f>J3400-H3400^2/k_n</f>
        <v/>
      </c>
      <c r="R3400">
        <f>K3400-G3400*H3400/k_n</f>
        <v/>
      </c>
      <c r="S3400">
        <f>L3400-LTP3!$D$3*G3400/k_n</f>
        <v/>
      </c>
      <c r="T3400">
        <f>M3400-LTP3!$D$3*H3400/k_n</f>
        <v/>
      </c>
      <c r="U3400">
        <f>N3400-G3400*LTP3!$D$4/k_n</f>
        <v/>
      </c>
      <c r="V3400">
        <f>O3400-H3400*LTP3!$D$4/k_n</f>
        <v/>
      </c>
      <c r="W3400">
        <f>((LTP3!$D$5)*((P3400)*(Q3400)-(R3400)*(R3400))-(S3400)*((S3400)*(Q3400)-(R3400)*(T3400))+(T3400)*((S3400)*(R3400)-(P3400)*(T3400)))</f>
        <v/>
      </c>
      <c r="X3400">
        <f>IF(ABS(W3400)&gt;1E-12,((LTP3!$D$6)*((P3400)*(Q3400)-(R3400)*(R3400))-(S3400)*((U3400)*(Q3400)-(R3400)*(V3400))+(T3400)*((U3400)*(R3400)-(P3400)*(V3400)))/W3400,0)</f>
        <v/>
      </c>
      <c r="Y3400">
        <f>IF(ABS(W3400)&gt;1E-12,((LTP3!$D$5)*((U3400)*(Q3400)-(R3400)*(V3400))-(LTP3!$D$6)*((S3400)*(Q3400)-(R3400)*(T3400))+(T3400)*((S3400)*(V3400)-(U3400)*(T3400)))/W3400,0)</f>
        <v/>
      </c>
      <c r="Z3400">
        <f>IF(ABS(W3400)&gt;1E-12,((LTP3!$D$5)*((P3400)*(V3400)-(U3400)*(R3400))-(S3400)*((S3400)*(V3400)-(U3400)*(T3400))+(LTP3!$D$6)*((S3400)*(R3400)-(P3400)*(T3400)))/W3400,0)</f>
        <v/>
      </c>
      <c r="AA3400">
        <f>LTP3!$D$7-X3400*LTP3!$D$6-Y3400*U3400-Z3400*V3400</f>
        <v/>
      </c>
      <c r="AB3400">
        <f>IF(AND(F3400,ABS(W3400)&gt;1E-12,Y3400&gt;0,Z3400&gt;0),AA3400,1E+300)</f>
        <v/>
      </c>
    </row>
    <row r="3401">
      <c r="A3401">
        <f>$B$3+$B$5*55</f>
        <v/>
      </c>
      <c r="B3401">
        <f>$B$3+$B$5*34</f>
        <v/>
      </c>
      <c r="C3401">
        <f>SUMPRODUCT(Calc!$K$3:$K$22*(Calc!$G$3:$G$22&lt;=A3401))</f>
        <v/>
      </c>
      <c r="D3401">
        <f>SUMPRODUCT(Calc!$K$3:$K$22*(Calc!$G$3:$G$22&gt;A3401)*(Calc!$G$3:$G$22&lt;B3401))</f>
        <v/>
      </c>
      <c r="E3401">
        <f>SUMPRODUCT(Calc!$K$3:$K$22*(Calc!$G$3:$G$22&gt;=B3401))</f>
        <v/>
      </c>
      <c r="F3401">
        <f>AND(k_n&gt;=5,B3401&gt;A3401+1E-9,C3401&gt;=2,D3401&gt;=1,E3401&gt;=2)</f>
        <v/>
      </c>
      <c r="G3401">
        <f>SUMPRODUCT(Calc!$K$3:$K$22*(Calc!$G$3:$G$22&gt;A3401)*(Calc!$G$3:$G$22-A3401))</f>
        <v/>
      </c>
      <c r="H3401">
        <f>SUMPRODUCT(Calc!$K$3:$K$22*(Calc!$G$3:$G$22&gt;B3401)*(Calc!$G$3:$G$22-B3401))</f>
        <v/>
      </c>
      <c r="I3401">
        <f>SUMPRODUCT(Calc!$K$3:$K$22*(Calc!$G$3:$G$22&gt;A3401)*(Calc!$G$3:$G$22-A3401)^2)</f>
        <v/>
      </c>
      <c r="J3401">
        <f>SUMPRODUCT(Calc!$K$3:$K$22*(Calc!$G$3:$G$22&gt;B3401)*(Calc!$G$3:$G$22-B3401)^2)</f>
        <v/>
      </c>
      <c r="K3401">
        <f>SUMPRODUCT(Calc!$K$3:$K$22*(Calc!$G$3:$G$22&gt;A3401)*(Calc!$G$3:$G$22-A3401)*(Calc!$G$3:$G$22&gt;B3401)*(Calc!$G$3:$G$22-B3401))</f>
        <v/>
      </c>
      <c r="L3401">
        <f>SUMPRODUCT(Calc!$K$3:$K$22*(Calc!$G$3:$G$22&gt;A3401)*(Calc!$G$3:$G$22-A3401)*Calc!$G$3:$G$22)</f>
        <v/>
      </c>
      <c r="M3401">
        <f>SUMPRODUCT(Calc!$K$3:$K$22*(Calc!$G$3:$G$22&gt;B3401)*(Calc!$G$3:$G$22-B3401)*Calc!$G$3:$G$22)</f>
        <v/>
      </c>
      <c r="N3401">
        <f>SUMPRODUCT(Calc!$K$3:$K$22*(Calc!$G$3:$G$22&gt;A3401)*(Calc!$G$3:$G$22-A3401)*Calc!$I$3:$I$22)</f>
        <v/>
      </c>
      <c r="O3401">
        <f>SUMPRODUCT(Calc!$K$3:$K$22*(Calc!$G$3:$G$22&gt;B3401)*(Calc!$G$3:$G$22-B3401)*Calc!$I$3:$I$22)</f>
        <v/>
      </c>
      <c r="P3401">
        <f>I3401-G3401^2/k_n</f>
        <v/>
      </c>
      <c r="Q3401">
        <f>J3401-H3401^2/k_n</f>
        <v/>
      </c>
      <c r="R3401">
        <f>K3401-G3401*H3401/k_n</f>
        <v/>
      </c>
      <c r="S3401">
        <f>L3401-LTP3!$D$3*G3401/k_n</f>
        <v/>
      </c>
      <c r="T3401">
        <f>M3401-LTP3!$D$3*H3401/k_n</f>
        <v/>
      </c>
      <c r="U3401">
        <f>N3401-G3401*LTP3!$D$4/k_n</f>
        <v/>
      </c>
      <c r="V3401">
        <f>O3401-H3401*LTP3!$D$4/k_n</f>
        <v/>
      </c>
      <c r="W3401">
        <f>((LTP3!$D$5)*((P3401)*(Q3401)-(R3401)*(R3401))-(S3401)*((S3401)*(Q3401)-(R3401)*(T3401))+(T3401)*((S3401)*(R3401)-(P3401)*(T3401)))</f>
        <v/>
      </c>
      <c r="X3401">
        <f>IF(ABS(W3401)&gt;1E-12,((LTP3!$D$6)*((P3401)*(Q3401)-(R3401)*(R3401))-(S3401)*((U3401)*(Q3401)-(R3401)*(V3401))+(T3401)*((U3401)*(R3401)-(P3401)*(V3401)))/W3401,0)</f>
        <v/>
      </c>
      <c r="Y3401">
        <f>IF(ABS(W3401)&gt;1E-12,((LTP3!$D$5)*((U3401)*(Q3401)-(R3401)*(V3401))-(LTP3!$D$6)*((S3401)*(Q3401)-(R3401)*(T3401))+(T3401)*((S3401)*(V3401)-(U3401)*(T3401)))/W3401,0)</f>
        <v/>
      </c>
      <c r="Z3401">
        <f>IF(ABS(W3401)&gt;1E-12,((LTP3!$D$5)*((P3401)*(V3401)-(U3401)*(R3401))-(S3401)*((S3401)*(V3401)-(U3401)*(T3401))+(LTP3!$D$6)*((S3401)*(R3401)-(P3401)*(T3401)))/W3401,0)</f>
        <v/>
      </c>
      <c r="AA3401">
        <f>LTP3!$D$7-X3401*LTP3!$D$6-Y3401*U3401-Z3401*V3401</f>
        <v/>
      </c>
      <c r="AB3401">
        <f>IF(AND(F3401,ABS(W3401)&gt;1E-12,Y3401&gt;0,Z3401&gt;0),AA3401,1E+300)</f>
        <v/>
      </c>
    </row>
    <row r="3402">
      <c r="A3402">
        <f>$B$3+$B$5*55</f>
        <v/>
      </c>
      <c r="B3402">
        <f>$B$3+$B$5*35</f>
        <v/>
      </c>
      <c r="C3402">
        <f>SUMPRODUCT(Calc!$K$3:$K$22*(Calc!$G$3:$G$22&lt;=A3402))</f>
        <v/>
      </c>
      <c r="D3402">
        <f>SUMPRODUCT(Calc!$K$3:$K$22*(Calc!$G$3:$G$22&gt;A3402)*(Calc!$G$3:$G$22&lt;B3402))</f>
        <v/>
      </c>
      <c r="E3402">
        <f>SUMPRODUCT(Calc!$K$3:$K$22*(Calc!$G$3:$G$22&gt;=B3402))</f>
        <v/>
      </c>
      <c r="F3402">
        <f>AND(k_n&gt;=5,B3402&gt;A3402+1E-9,C3402&gt;=2,D3402&gt;=1,E3402&gt;=2)</f>
        <v/>
      </c>
      <c r="G3402">
        <f>SUMPRODUCT(Calc!$K$3:$K$22*(Calc!$G$3:$G$22&gt;A3402)*(Calc!$G$3:$G$22-A3402))</f>
        <v/>
      </c>
      <c r="H3402">
        <f>SUMPRODUCT(Calc!$K$3:$K$22*(Calc!$G$3:$G$22&gt;B3402)*(Calc!$G$3:$G$22-B3402))</f>
        <v/>
      </c>
      <c r="I3402">
        <f>SUMPRODUCT(Calc!$K$3:$K$22*(Calc!$G$3:$G$22&gt;A3402)*(Calc!$G$3:$G$22-A3402)^2)</f>
        <v/>
      </c>
      <c r="J3402">
        <f>SUMPRODUCT(Calc!$K$3:$K$22*(Calc!$G$3:$G$22&gt;B3402)*(Calc!$G$3:$G$22-B3402)^2)</f>
        <v/>
      </c>
      <c r="K3402">
        <f>SUMPRODUCT(Calc!$K$3:$K$22*(Calc!$G$3:$G$22&gt;A3402)*(Calc!$G$3:$G$22-A3402)*(Calc!$G$3:$G$22&gt;B3402)*(Calc!$G$3:$G$22-B3402))</f>
        <v/>
      </c>
      <c r="L3402">
        <f>SUMPRODUCT(Calc!$K$3:$K$22*(Calc!$G$3:$G$22&gt;A3402)*(Calc!$G$3:$G$22-A3402)*Calc!$G$3:$G$22)</f>
        <v/>
      </c>
      <c r="M3402">
        <f>SUMPRODUCT(Calc!$K$3:$K$22*(Calc!$G$3:$G$22&gt;B3402)*(Calc!$G$3:$G$22-B3402)*Calc!$G$3:$G$22)</f>
        <v/>
      </c>
      <c r="N3402">
        <f>SUMPRODUCT(Calc!$K$3:$K$22*(Calc!$G$3:$G$22&gt;A3402)*(Calc!$G$3:$G$22-A3402)*Calc!$I$3:$I$22)</f>
        <v/>
      </c>
      <c r="O3402">
        <f>SUMPRODUCT(Calc!$K$3:$K$22*(Calc!$G$3:$G$22&gt;B3402)*(Calc!$G$3:$G$22-B3402)*Calc!$I$3:$I$22)</f>
        <v/>
      </c>
      <c r="P3402">
        <f>I3402-G3402^2/k_n</f>
        <v/>
      </c>
      <c r="Q3402">
        <f>J3402-H3402^2/k_n</f>
        <v/>
      </c>
      <c r="R3402">
        <f>K3402-G3402*H3402/k_n</f>
        <v/>
      </c>
      <c r="S3402">
        <f>L3402-LTP3!$D$3*G3402/k_n</f>
        <v/>
      </c>
      <c r="T3402">
        <f>M3402-LTP3!$D$3*H3402/k_n</f>
        <v/>
      </c>
      <c r="U3402">
        <f>N3402-G3402*LTP3!$D$4/k_n</f>
        <v/>
      </c>
      <c r="V3402">
        <f>O3402-H3402*LTP3!$D$4/k_n</f>
        <v/>
      </c>
      <c r="W3402">
        <f>((LTP3!$D$5)*((P3402)*(Q3402)-(R3402)*(R3402))-(S3402)*((S3402)*(Q3402)-(R3402)*(T3402))+(T3402)*((S3402)*(R3402)-(P3402)*(T3402)))</f>
        <v/>
      </c>
      <c r="X3402">
        <f>IF(ABS(W3402)&gt;1E-12,((LTP3!$D$6)*((P3402)*(Q3402)-(R3402)*(R3402))-(S3402)*((U3402)*(Q3402)-(R3402)*(V3402))+(T3402)*((U3402)*(R3402)-(P3402)*(V3402)))/W3402,0)</f>
        <v/>
      </c>
      <c r="Y3402">
        <f>IF(ABS(W3402)&gt;1E-12,((LTP3!$D$5)*((U3402)*(Q3402)-(R3402)*(V3402))-(LTP3!$D$6)*((S3402)*(Q3402)-(R3402)*(T3402))+(T3402)*((S3402)*(V3402)-(U3402)*(T3402)))/W3402,0)</f>
        <v/>
      </c>
      <c r="Z3402">
        <f>IF(ABS(W3402)&gt;1E-12,((LTP3!$D$5)*((P3402)*(V3402)-(U3402)*(R3402))-(S3402)*((S3402)*(V3402)-(U3402)*(T3402))+(LTP3!$D$6)*((S3402)*(R3402)-(P3402)*(T3402)))/W3402,0)</f>
        <v/>
      </c>
      <c r="AA3402">
        <f>LTP3!$D$7-X3402*LTP3!$D$6-Y3402*U3402-Z3402*V3402</f>
        <v/>
      </c>
      <c r="AB3402">
        <f>IF(AND(F3402,ABS(W3402)&gt;1E-12,Y3402&gt;0,Z3402&gt;0),AA3402,1E+300)</f>
        <v/>
      </c>
    </row>
    <row r="3403">
      <c r="A3403">
        <f>$B$3+$B$5*55</f>
        <v/>
      </c>
      <c r="B3403">
        <f>$B$3+$B$5*36</f>
        <v/>
      </c>
      <c r="C3403">
        <f>SUMPRODUCT(Calc!$K$3:$K$22*(Calc!$G$3:$G$22&lt;=A3403))</f>
        <v/>
      </c>
      <c r="D3403">
        <f>SUMPRODUCT(Calc!$K$3:$K$22*(Calc!$G$3:$G$22&gt;A3403)*(Calc!$G$3:$G$22&lt;B3403))</f>
        <v/>
      </c>
      <c r="E3403">
        <f>SUMPRODUCT(Calc!$K$3:$K$22*(Calc!$G$3:$G$22&gt;=B3403))</f>
        <v/>
      </c>
      <c r="F3403">
        <f>AND(k_n&gt;=5,B3403&gt;A3403+1E-9,C3403&gt;=2,D3403&gt;=1,E3403&gt;=2)</f>
        <v/>
      </c>
      <c r="G3403">
        <f>SUMPRODUCT(Calc!$K$3:$K$22*(Calc!$G$3:$G$22&gt;A3403)*(Calc!$G$3:$G$22-A3403))</f>
        <v/>
      </c>
      <c r="H3403">
        <f>SUMPRODUCT(Calc!$K$3:$K$22*(Calc!$G$3:$G$22&gt;B3403)*(Calc!$G$3:$G$22-B3403))</f>
        <v/>
      </c>
      <c r="I3403">
        <f>SUMPRODUCT(Calc!$K$3:$K$22*(Calc!$G$3:$G$22&gt;A3403)*(Calc!$G$3:$G$22-A3403)^2)</f>
        <v/>
      </c>
      <c r="J3403">
        <f>SUMPRODUCT(Calc!$K$3:$K$22*(Calc!$G$3:$G$22&gt;B3403)*(Calc!$G$3:$G$22-B3403)^2)</f>
        <v/>
      </c>
      <c r="K3403">
        <f>SUMPRODUCT(Calc!$K$3:$K$22*(Calc!$G$3:$G$22&gt;A3403)*(Calc!$G$3:$G$22-A3403)*(Calc!$G$3:$G$22&gt;B3403)*(Calc!$G$3:$G$22-B3403))</f>
        <v/>
      </c>
      <c r="L3403">
        <f>SUMPRODUCT(Calc!$K$3:$K$22*(Calc!$G$3:$G$22&gt;A3403)*(Calc!$G$3:$G$22-A3403)*Calc!$G$3:$G$22)</f>
        <v/>
      </c>
      <c r="M3403">
        <f>SUMPRODUCT(Calc!$K$3:$K$22*(Calc!$G$3:$G$22&gt;B3403)*(Calc!$G$3:$G$22-B3403)*Calc!$G$3:$G$22)</f>
        <v/>
      </c>
      <c r="N3403">
        <f>SUMPRODUCT(Calc!$K$3:$K$22*(Calc!$G$3:$G$22&gt;A3403)*(Calc!$G$3:$G$22-A3403)*Calc!$I$3:$I$22)</f>
        <v/>
      </c>
      <c r="O3403">
        <f>SUMPRODUCT(Calc!$K$3:$K$22*(Calc!$G$3:$G$22&gt;B3403)*(Calc!$G$3:$G$22-B3403)*Calc!$I$3:$I$22)</f>
        <v/>
      </c>
      <c r="P3403">
        <f>I3403-G3403^2/k_n</f>
        <v/>
      </c>
      <c r="Q3403">
        <f>J3403-H3403^2/k_n</f>
        <v/>
      </c>
      <c r="R3403">
        <f>K3403-G3403*H3403/k_n</f>
        <v/>
      </c>
      <c r="S3403">
        <f>L3403-LTP3!$D$3*G3403/k_n</f>
        <v/>
      </c>
      <c r="T3403">
        <f>M3403-LTP3!$D$3*H3403/k_n</f>
        <v/>
      </c>
      <c r="U3403">
        <f>N3403-G3403*LTP3!$D$4/k_n</f>
        <v/>
      </c>
      <c r="V3403">
        <f>O3403-H3403*LTP3!$D$4/k_n</f>
        <v/>
      </c>
      <c r="W3403">
        <f>((LTP3!$D$5)*((P3403)*(Q3403)-(R3403)*(R3403))-(S3403)*((S3403)*(Q3403)-(R3403)*(T3403))+(T3403)*((S3403)*(R3403)-(P3403)*(T3403)))</f>
        <v/>
      </c>
      <c r="X3403">
        <f>IF(ABS(W3403)&gt;1E-12,((LTP3!$D$6)*((P3403)*(Q3403)-(R3403)*(R3403))-(S3403)*((U3403)*(Q3403)-(R3403)*(V3403))+(T3403)*((U3403)*(R3403)-(P3403)*(V3403)))/W3403,0)</f>
        <v/>
      </c>
      <c r="Y3403">
        <f>IF(ABS(W3403)&gt;1E-12,((LTP3!$D$5)*((U3403)*(Q3403)-(R3403)*(V3403))-(LTP3!$D$6)*((S3403)*(Q3403)-(R3403)*(T3403))+(T3403)*((S3403)*(V3403)-(U3403)*(T3403)))/W3403,0)</f>
        <v/>
      </c>
      <c r="Z3403">
        <f>IF(ABS(W3403)&gt;1E-12,((LTP3!$D$5)*((P3403)*(V3403)-(U3403)*(R3403))-(S3403)*((S3403)*(V3403)-(U3403)*(T3403))+(LTP3!$D$6)*((S3403)*(R3403)-(P3403)*(T3403)))/W3403,0)</f>
        <v/>
      </c>
      <c r="AA3403">
        <f>LTP3!$D$7-X3403*LTP3!$D$6-Y3403*U3403-Z3403*V3403</f>
        <v/>
      </c>
      <c r="AB3403">
        <f>IF(AND(F3403,ABS(W3403)&gt;1E-12,Y3403&gt;0,Z3403&gt;0),AA3403,1E+300)</f>
        <v/>
      </c>
    </row>
    <row r="3404">
      <c r="A3404">
        <f>$B$3+$B$5*55</f>
        <v/>
      </c>
      <c r="B3404">
        <f>$B$3+$B$5*37</f>
        <v/>
      </c>
      <c r="C3404">
        <f>SUMPRODUCT(Calc!$K$3:$K$22*(Calc!$G$3:$G$22&lt;=A3404))</f>
        <v/>
      </c>
      <c r="D3404">
        <f>SUMPRODUCT(Calc!$K$3:$K$22*(Calc!$G$3:$G$22&gt;A3404)*(Calc!$G$3:$G$22&lt;B3404))</f>
        <v/>
      </c>
      <c r="E3404">
        <f>SUMPRODUCT(Calc!$K$3:$K$22*(Calc!$G$3:$G$22&gt;=B3404))</f>
        <v/>
      </c>
      <c r="F3404">
        <f>AND(k_n&gt;=5,B3404&gt;A3404+1E-9,C3404&gt;=2,D3404&gt;=1,E3404&gt;=2)</f>
        <v/>
      </c>
      <c r="G3404">
        <f>SUMPRODUCT(Calc!$K$3:$K$22*(Calc!$G$3:$G$22&gt;A3404)*(Calc!$G$3:$G$22-A3404))</f>
        <v/>
      </c>
      <c r="H3404">
        <f>SUMPRODUCT(Calc!$K$3:$K$22*(Calc!$G$3:$G$22&gt;B3404)*(Calc!$G$3:$G$22-B3404))</f>
        <v/>
      </c>
      <c r="I3404">
        <f>SUMPRODUCT(Calc!$K$3:$K$22*(Calc!$G$3:$G$22&gt;A3404)*(Calc!$G$3:$G$22-A3404)^2)</f>
        <v/>
      </c>
      <c r="J3404">
        <f>SUMPRODUCT(Calc!$K$3:$K$22*(Calc!$G$3:$G$22&gt;B3404)*(Calc!$G$3:$G$22-B3404)^2)</f>
        <v/>
      </c>
      <c r="K3404">
        <f>SUMPRODUCT(Calc!$K$3:$K$22*(Calc!$G$3:$G$22&gt;A3404)*(Calc!$G$3:$G$22-A3404)*(Calc!$G$3:$G$22&gt;B3404)*(Calc!$G$3:$G$22-B3404))</f>
        <v/>
      </c>
      <c r="L3404">
        <f>SUMPRODUCT(Calc!$K$3:$K$22*(Calc!$G$3:$G$22&gt;A3404)*(Calc!$G$3:$G$22-A3404)*Calc!$G$3:$G$22)</f>
        <v/>
      </c>
      <c r="M3404">
        <f>SUMPRODUCT(Calc!$K$3:$K$22*(Calc!$G$3:$G$22&gt;B3404)*(Calc!$G$3:$G$22-B3404)*Calc!$G$3:$G$22)</f>
        <v/>
      </c>
      <c r="N3404">
        <f>SUMPRODUCT(Calc!$K$3:$K$22*(Calc!$G$3:$G$22&gt;A3404)*(Calc!$G$3:$G$22-A3404)*Calc!$I$3:$I$22)</f>
        <v/>
      </c>
      <c r="O3404">
        <f>SUMPRODUCT(Calc!$K$3:$K$22*(Calc!$G$3:$G$22&gt;B3404)*(Calc!$G$3:$G$22-B3404)*Calc!$I$3:$I$22)</f>
        <v/>
      </c>
      <c r="P3404">
        <f>I3404-G3404^2/k_n</f>
        <v/>
      </c>
      <c r="Q3404">
        <f>J3404-H3404^2/k_n</f>
        <v/>
      </c>
      <c r="R3404">
        <f>K3404-G3404*H3404/k_n</f>
        <v/>
      </c>
      <c r="S3404">
        <f>L3404-LTP3!$D$3*G3404/k_n</f>
        <v/>
      </c>
      <c r="T3404">
        <f>M3404-LTP3!$D$3*H3404/k_n</f>
        <v/>
      </c>
      <c r="U3404">
        <f>N3404-G3404*LTP3!$D$4/k_n</f>
        <v/>
      </c>
      <c r="V3404">
        <f>O3404-H3404*LTP3!$D$4/k_n</f>
        <v/>
      </c>
      <c r="W3404">
        <f>((LTP3!$D$5)*((P3404)*(Q3404)-(R3404)*(R3404))-(S3404)*((S3404)*(Q3404)-(R3404)*(T3404))+(T3404)*((S3404)*(R3404)-(P3404)*(T3404)))</f>
        <v/>
      </c>
      <c r="X3404">
        <f>IF(ABS(W3404)&gt;1E-12,((LTP3!$D$6)*((P3404)*(Q3404)-(R3404)*(R3404))-(S3404)*((U3404)*(Q3404)-(R3404)*(V3404))+(T3404)*((U3404)*(R3404)-(P3404)*(V3404)))/W3404,0)</f>
        <v/>
      </c>
      <c r="Y3404">
        <f>IF(ABS(W3404)&gt;1E-12,((LTP3!$D$5)*((U3404)*(Q3404)-(R3404)*(V3404))-(LTP3!$D$6)*((S3404)*(Q3404)-(R3404)*(T3404))+(T3404)*((S3404)*(V3404)-(U3404)*(T3404)))/W3404,0)</f>
        <v/>
      </c>
      <c r="Z3404">
        <f>IF(ABS(W3404)&gt;1E-12,((LTP3!$D$5)*((P3404)*(V3404)-(U3404)*(R3404))-(S3404)*((S3404)*(V3404)-(U3404)*(T3404))+(LTP3!$D$6)*((S3404)*(R3404)-(P3404)*(T3404)))/W3404,0)</f>
        <v/>
      </c>
      <c r="AA3404">
        <f>LTP3!$D$7-X3404*LTP3!$D$6-Y3404*U3404-Z3404*V3404</f>
        <v/>
      </c>
      <c r="AB3404">
        <f>IF(AND(F3404,ABS(W3404)&gt;1E-12,Y3404&gt;0,Z3404&gt;0),AA3404,1E+300)</f>
        <v/>
      </c>
    </row>
    <row r="3405">
      <c r="A3405">
        <f>$B$3+$B$5*55</f>
        <v/>
      </c>
      <c r="B3405">
        <f>$B$3+$B$5*38</f>
        <v/>
      </c>
      <c r="C3405">
        <f>SUMPRODUCT(Calc!$K$3:$K$22*(Calc!$G$3:$G$22&lt;=A3405))</f>
        <v/>
      </c>
      <c r="D3405">
        <f>SUMPRODUCT(Calc!$K$3:$K$22*(Calc!$G$3:$G$22&gt;A3405)*(Calc!$G$3:$G$22&lt;B3405))</f>
        <v/>
      </c>
      <c r="E3405">
        <f>SUMPRODUCT(Calc!$K$3:$K$22*(Calc!$G$3:$G$22&gt;=B3405))</f>
        <v/>
      </c>
      <c r="F3405">
        <f>AND(k_n&gt;=5,B3405&gt;A3405+1E-9,C3405&gt;=2,D3405&gt;=1,E3405&gt;=2)</f>
        <v/>
      </c>
      <c r="G3405">
        <f>SUMPRODUCT(Calc!$K$3:$K$22*(Calc!$G$3:$G$22&gt;A3405)*(Calc!$G$3:$G$22-A3405))</f>
        <v/>
      </c>
      <c r="H3405">
        <f>SUMPRODUCT(Calc!$K$3:$K$22*(Calc!$G$3:$G$22&gt;B3405)*(Calc!$G$3:$G$22-B3405))</f>
        <v/>
      </c>
      <c r="I3405">
        <f>SUMPRODUCT(Calc!$K$3:$K$22*(Calc!$G$3:$G$22&gt;A3405)*(Calc!$G$3:$G$22-A3405)^2)</f>
        <v/>
      </c>
      <c r="J3405">
        <f>SUMPRODUCT(Calc!$K$3:$K$22*(Calc!$G$3:$G$22&gt;B3405)*(Calc!$G$3:$G$22-B3405)^2)</f>
        <v/>
      </c>
      <c r="K3405">
        <f>SUMPRODUCT(Calc!$K$3:$K$22*(Calc!$G$3:$G$22&gt;A3405)*(Calc!$G$3:$G$22-A3405)*(Calc!$G$3:$G$22&gt;B3405)*(Calc!$G$3:$G$22-B3405))</f>
        <v/>
      </c>
      <c r="L3405">
        <f>SUMPRODUCT(Calc!$K$3:$K$22*(Calc!$G$3:$G$22&gt;A3405)*(Calc!$G$3:$G$22-A3405)*Calc!$G$3:$G$22)</f>
        <v/>
      </c>
      <c r="M3405">
        <f>SUMPRODUCT(Calc!$K$3:$K$22*(Calc!$G$3:$G$22&gt;B3405)*(Calc!$G$3:$G$22-B3405)*Calc!$G$3:$G$22)</f>
        <v/>
      </c>
      <c r="N3405">
        <f>SUMPRODUCT(Calc!$K$3:$K$22*(Calc!$G$3:$G$22&gt;A3405)*(Calc!$G$3:$G$22-A3405)*Calc!$I$3:$I$22)</f>
        <v/>
      </c>
      <c r="O3405">
        <f>SUMPRODUCT(Calc!$K$3:$K$22*(Calc!$G$3:$G$22&gt;B3405)*(Calc!$G$3:$G$22-B3405)*Calc!$I$3:$I$22)</f>
        <v/>
      </c>
      <c r="P3405">
        <f>I3405-G3405^2/k_n</f>
        <v/>
      </c>
      <c r="Q3405">
        <f>J3405-H3405^2/k_n</f>
        <v/>
      </c>
      <c r="R3405">
        <f>K3405-G3405*H3405/k_n</f>
        <v/>
      </c>
      <c r="S3405">
        <f>L3405-LTP3!$D$3*G3405/k_n</f>
        <v/>
      </c>
      <c r="T3405">
        <f>M3405-LTP3!$D$3*H3405/k_n</f>
        <v/>
      </c>
      <c r="U3405">
        <f>N3405-G3405*LTP3!$D$4/k_n</f>
        <v/>
      </c>
      <c r="V3405">
        <f>O3405-H3405*LTP3!$D$4/k_n</f>
        <v/>
      </c>
      <c r="W3405">
        <f>((LTP3!$D$5)*((P3405)*(Q3405)-(R3405)*(R3405))-(S3405)*((S3405)*(Q3405)-(R3405)*(T3405))+(T3405)*((S3405)*(R3405)-(P3405)*(T3405)))</f>
        <v/>
      </c>
      <c r="X3405">
        <f>IF(ABS(W3405)&gt;1E-12,((LTP3!$D$6)*((P3405)*(Q3405)-(R3405)*(R3405))-(S3405)*((U3405)*(Q3405)-(R3405)*(V3405))+(T3405)*((U3405)*(R3405)-(P3405)*(V3405)))/W3405,0)</f>
        <v/>
      </c>
      <c r="Y3405">
        <f>IF(ABS(W3405)&gt;1E-12,((LTP3!$D$5)*((U3405)*(Q3405)-(R3405)*(V3405))-(LTP3!$D$6)*((S3405)*(Q3405)-(R3405)*(T3405))+(T3405)*((S3405)*(V3405)-(U3405)*(T3405)))/W3405,0)</f>
        <v/>
      </c>
      <c r="Z3405">
        <f>IF(ABS(W3405)&gt;1E-12,((LTP3!$D$5)*((P3405)*(V3405)-(U3405)*(R3405))-(S3405)*((S3405)*(V3405)-(U3405)*(T3405))+(LTP3!$D$6)*((S3405)*(R3405)-(P3405)*(T3405)))/W3405,0)</f>
        <v/>
      </c>
      <c r="AA3405">
        <f>LTP3!$D$7-X3405*LTP3!$D$6-Y3405*U3405-Z3405*V3405</f>
        <v/>
      </c>
      <c r="AB3405">
        <f>IF(AND(F3405,ABS(W3405)&gt;1E-12,Y3405&gt;0,Z3405&gt;0),AA3405,1E+300)</f>
        <v/>
      </c>
    </row>
    <row r="3406">
      <c r="A3406">
        <f>$B$3+$B$5*55</f>
        <v/>
      </c>
      <c r="B3406">
        <f>$B$3+$B$5*39</f>
        <v/>
      </c>
      <c r="C3406">
        <f>SUMPRODUCT(Calc!$K$3:$K$22*(Calc!$G$3:$G$22&lt;=A3406))</f>
        <v/>
      </c>
      <c r="D3406">
        <f>SUMPRODUCT(Calc!$K$3:$K$22*(Calc!$G$3:$G$22&gt;A3406)*(Calc!$G$3:$G$22&lt;B3406))</f>
        <v/>
      </c>
      <c r="E3406">
        <f>SUMPRODUCT(Calc!$K$3:$K$22*(Calc!$G$3:$G$22&gt;=B3406))</f>
        <v/>
      </c>
      <c r="F3406">
        <f>AND(k_n&gt;=5,B3406&gt;A3406+1E-9,C3406&gt;=2,D3406&gt;=1,E3406&gt;=2)</f>
        <v/>
      </c>
      <c r="G3406">
        <f>SUMPRODUCT(Calc!$K$3:$K$22*(Calc!$G$3:$G$22&gt;A3406)*(Calc!$G$3:$G$22-A3406))</f>
        <v/>
      </c>
      <c r="H3406">
        <f>SUMPRODUCT(Calc!$K$3:$K$22*(Calc!$G$3:$G$22&gt;B3406)*(Calc!$G$3:$G$22-B3406))</f>
        <v/>
      </c>
      <c r="I3406">
        <f>SUMPRODUCT(Calc!$K$3:$K$22*(Calc!$G$3:$G$22&gt;A3406)*(Calc!$G$3:$G$22-A3406)^2)</f>
        <v/>
      </c>
      <c r="J3406">
        <f>SUMPRODUCT(Calc!$K$3:$K$22*(Calc!$G$3:$G$22&gt;B3406)*(Calc!$G$3:$G$22-B3406)^2)</f>
        <v/>
      </c>
      <c r="K3406">
        <f>SUMPRODUCT(Calc!$K$3:$K$22*(Calc!$G$3:$G$22&gt;A3406)*(Calc!$G$3:$G$22-A3406)*(Calc!$G$3:$G$22&gt;B3406)*(Calc!$G$3:$G$22-B3406))</f>
        <v/>
      </c>
      <c r="L3406">
        <f>SUMPRODUCT(Calc!$K$3:$K$22*(Calc!$G$3:$G$22&gt;A3406)*(Calc!$G$3:$G$22-A3406)*Calc!$G$3:$G$22)</f>
        <v/>
      </c>
      <c r="M3406">
        <f>SUMPRODUCT(Calc!$K$3:$K$22*(Calc!$G$3:$G$22&gt;B3406)*(Calc!$G$3:$G$22-B3406)*Calc!$G$3:$G$22)</f>
        <v/>
      </c>
      <c r="N3406">
        <f>SUMPRODUCT(Calc!$K$3:$K$22*(Calc!$G$3:$G$22&gt;A3406)*(Calc!$G$3:$G$22-A3406)*Calc!$I$3:$I$22)</f>
        <v/>
      </c>
      <c r="O3406">
        <f>SUMPRODUCT(Calc!$K$3:$K$22*(Calc!$G$3:$G$22&gt;B3406)*(Calc!$G$3:$G$22-B3406)*Calc!$I$3:$I$22)</f>
        <v/>
      </c>
      <c r="P3406">
        <f>I3406-G3406^2/k_n</f>
        <v/>
      </c>
      <c r="Q3406">
        <f>J3406-H3406^2/k_n</f>
        <v/>
      </c>
      <c r="R3406">
        <f>K3406-G3406*H3406/k_n</f>
        <v/>
      </c>
      <c r="S3406">
        <f>L3406-LTP3!$D$3*G3406/k_n</f>
        <v/>
      </c>
      <c r="T3406">
        <f>M3406-LTP3!$D$3*H3406/k_n</f>
        <v/>
      </c>
      <c r="U3406">
        <f>N3406-G3406*LTP3!$D$4/k_n</f>
        <v/>
      </c>
      <c r="V3406">
        <f>O3406-H3406*LTP3!$D$4/k_n</f>
        <v/>
      </c>
      <c r="W3406">
        <f>((LTP3!$D$5)*((P3406)*(Q3406)-(R3406)*(R3406))-(S3406)*((S3406)*(Q3406)-(R3406)*(T3406))+(T3406)*((S3406)*(R3406)-(P3406)*(T3406)))</f>
        <v/>
      </c>
      <c r="X3406">
        <f>IF(ABS(W3406)&gt;1E-12,((LTP3!$D$6)*((P3406)*(Q3406)-(R3406)*(R3406))-(S3406)*((U3406)*(Q3406)-(R3406)*(V3406))+(T3406)*((U3406)*(R3406)-(P3406)*(V3406)))/W3406,0)</f>
        <v/>
      </c>
      <c r="Y3406">
        <f>IF(ABS(W3406)&gt;1E-12,((LTP3!$D$5)*((U3406)*(Q3406)-(R3406)*(V3406))-(LTP3!$D$6)*((S3406)*(Q3406)-(R3406)*(T3406))+(T3406)*((S3406)*(V3406)-(U3406)*(T3406)))/W3406,0)</f>
        <v/>
      </c>
      <c r="Z3406">
        <f>IF(ABS(W3406)&gt;1E-12,((LTP3!$D$5)*((P3406)*(V3406)-(U3406)*(R3406))-(S3406)*((S3406)*(V3406)-(U3406)*(T3406))+(LTP3!$D$6)*((S3406)*(R3406)-(P3406)*(T3406)))/W3406,0)</f>
        <v/>
      </c>
      <c r="AA3406">
        <f>LTP3!$D$7-X3406*LTP3!$D$6-Y3406*U3406-Z3406*V3406</f>
        <v/>
      </c>
      <c r="AB3406">
        <f>IF(AND(F3406,ABS(W3406)&gt;1E-12,Y3406&gt;0,Z3406&gt;0),AA3406,1E+300)</f>
        <v/>
      </c>
    </row>
    <row r="3407">
      <c r="A3407">
        <f>$B$3+$B$5*55</f>
        <v/>
      </c>
      <c r="B3407">
        <f>$B$3+$B$5*40</f>
        <v/>
      </c>
      <c r="C3407">
        <f>SUMPRODUCT(Calc!$K$3:$K$22*(Calc!$G$3:$G$22&lt;=A3407))</f>
        <v/>
      </c>
      <c r="D3407">
        <f>SUMPRODUCT(Calc!$K$3:$K$22*(Calc!$G$3:$G$22&gt;A3407)*(Calc!$G$3:$G$22&lt;B3407))</f>
        <v/>
      </c>
      <c r="E3407">
        <f>SUMPRODUCT(Calc!$K$3:$K$22*(Calc!$G$3:$G$22&gt;=B3407))</f>
        <v/>
      </c>
      <c r="F3407">
        <f>AND(k_n&gt;=5,B3407&gt;A3407+1E-9,C3407&gt;=2,D3407&gt;=1,E3407&gt;=2)</f>
        <v/>
      </c>
      <c r="G3407">
        <f>SUMPRODUCT(Calc!$K$3:$K$22*(Calc!$G$3:$G$22&gt;A3407)*(Calc!$G$3:$G$22-A3407))</f>
        <v/>
      </c>
      <c r="H3407">
        <f>SUMPRODUCT(Calc!$K$3:$K$22*(Calc!$G$3:$G$22&gt;B3407)*(Calc!$G$3:$G$22-B3407))</f>
        <v/>
      </c>
      <c r="I3407">
        <f>SUMPRODUCT(Calc!$K$3:$K$22*(Calc!$G$3:$G$22&gt;A3407)*(Calc!$G$3:$G$22-A3407)^2)</f>
        <v/>
      </c>
      <c r="J3407">
        <f>SUMPRODUCT(Calc!$K$3:$K$22*(Calc!$G$3:$G$22&gt;B3407)*(Calc!$G$3:$G$22-B3407)^2)</f>
        <v/>
      </c>
      <c r="K3407">
        <f>SUMPRODUCT(Calc!$K$3:$K$22*(Calc!$G$3:$G$22&gt;A3407)*(Calc!$G$3:$G$22-A3407)*(Calc!$G$3:$G$22&gt;B3407)*(Calc!$G$3:$G$22-B3407))</f>
        <v/>
      </c>
      <c r="L3407">
        <f>SUMPRODUCT(Calc!$K$3:$K$22*(Calc!$G$3:$G$22&gt;A3407)*(Calc!$G$3:$G$22-A3407)*Calc!$G$3:$G$22)</f>
        <v/>
      </c>
      <c r="M3407">
        <f>SUMPRODUCT(Calc!$K$3:$K$22*(Calc!$G$3:$G$22&gt;B3407)*(Calc!$G$3:$G$22-B3407)*Calc!$G$3:$G$22)</f>
        <v/>
      </c>
      <c r="N3407">
        <f>SUMPRODUCT(Calc!$K$3:$K$22*(Calc!$G$3:$G$22&gt;A3407)*(Calc!$G$3:$G$22-A3407)*Calc!$I$3:$I$22)</f>
        <v/>
      </c>
      <c r="O3407">
        <f>SUMPRODUCT(Calc!$K$3:$K$22*(Calc!$G$3:$G$22&gt;B3407)*(Calc!$G$3:$G$22-B3407)*Calc!$I$3:$I$22)</f>
        <v/>
      </c>
      <c r="P3407">
        <f>I3407-G3407^2/k_n</f>
        <v/>
      </c>
      <c r="Q3407">
        <f>J3407-H3407^2/k_n</f>
        <v/>
      </c>
      <c r="R3407">
        <f>K3407-G3407*H3407/k_n</f>
        <v/>
      </c>
      <c r="S3407">
        <f>L3407-LTP3!$D$3*G3407/k_n</f>
        <v/>
      </c>
      <c r="T3407">
        <f>M3407-LTP3!$D$3*H3407/k_n</f>
        <v/>
      </c>
      <c r="U3407">
        <f>N3407-G3407*LTP3!$D$4/k_n</f>
        <v/>
      </c>
      <c r="V3407">
        <f>O3407-H3407*LTP3!$D$4/k_n</f>
        <v/>
      </c>
      <c r="W3407">
        <f>((LTP3!$D$5)*((P3407)*(Q3407)-(R3407)*(R3407))-(S3407)*((S3407)*(Q3407)-(R3407)*(T3407))+(T3407)*((S3407)*(R3407)-(P3407)*(T3407)))</f>
        <v/>
      </c>
      <c r="X3407">
        <f>IF(ABS(W3407)&gt;1E-12,((LTP3!$D$6)*((P3407)*(Q3407)-(R3407)*(R3407))-(S3407)*((U3407)*(Q3407)-(R3407)*(V3407))+(T3407)*((U3407)*(R3407)-(P3407)*(V3407)))/W3407,0)</f>
        <v/>
      </c>
      <c r="Y3407">
        <f>IF(ABS(W3407)&gt;1E-12,((LTP3!$D$5)*((U3407)*(Q3407)-(R3407)*(V3407))-(LTP3!$D$6)*((S3407)*(Q3407)-(R3407)*(T3407))+(T3407)*((S3407)*(V3407)-(U3407)*(T3407)))/W3407,0)</f>
        <v/>
      </c>
      <c r="Z3407">
        <f>IF(ABS(W3407)&gt;1E-12,((LTP3!$D$5)*((P3407)*(V3407)-(U3407)*(R3407))-(S3407)*((S3407)*(V3407)-(U3407)*(T3407))+(LTP3!$D$6)*((S3407)*(R3407)-(P3407)*(T3407)))/W3407,0)</f>
        <v/>
      </c>
      <c r="AA3407">
        <f>LTP3!$D$7-X3407*LTP3!$D$6-Y3407*U3407-Z3407*V3407</f>
        <v/>
      </c>
      <c r="AB3407">
        <f>IF(AND(F3407,ABS(W3407)&gt;1E-12,Y3407&gt;0,Z3407&gt;0),AA3407,1E+300)</f>
        <v/>
      </c>
    </row>
    <row r="3408">
      <c r="A3408">
        <f>$B$3+$B$5*55</f>
        <v/>
      </c>
      <c r="B3408">
        <f>$B$3+$B$5*41</f>
        <v/>
      </c>
      <c r="C3408">
        <f>SUMPRODUCT(Calc!$K$3:$K$22*(Calc!$G$3:$G$22&lt;=A3408))</f>
        <v/>
      </c>
      <c r="D3408">
        <f>SUMPRODUCT(Calc!$K$3:$K$22*(Calc!$G$3:$G$22&gt;A3408)*(Calc!$G$3:$G$22&lt;B3408))</f>
        <v/>
      </c>
      <c r="E3408">
        <f>SUMPRODUCT(Calc!$K$3:$K$22*(Calc!$G$3:$G$22&gt;=B3408))</f>
        <v/>
      </c>
      <c r="F3408">
        <f>AND(k_n&gt;=5,B3408&gt;A3408+1E-9,C3408&gt;=2,D3408&gt;=1,E3408&gt;=2)</f>
        <v/>
      </c>
      <c r="G3408">
        <f>SUMPRODUCT(Calc!$K$3:$K$22*(Calc!$G$3:$G$22&gt;A3408)*(Calc!$G$3:$G$22-A3408))</f>
        <v/>
      </c>
      <c r="H3408">
        <f>SUMPRODUCT(Calc!$K$3:$K$22*(Calc!$G$3:$G$22&gt;B3408)*(Calc!$G$3:$G$22-B3408))</f>
        <v/>
      </c>
      <c r="I3408">
        <f>SUMPRODUCT(Calc!$K$3:$K$22*(Calc!$G$3:$G$22&gt;A3408)*(Calc!$G$3:$G$22-A3408)^2)</f>
        <v/>
      </c>
      <c r="J3408">
        <f>SUMPRODUCT(Calc!$K$3:$K$22*(Calc!$G$3:$G$22&gt;B3408)*(Calc!$G$3:$G$22-B3408)^2)</f>
        <v/>
      </c>
      <c r="K3408">
        <f>SUMPRODUCT(Calc!$K$3:$K$22*(Calc!$G$3:$G$22&gt;A3408)*(Calc!$G$3:$G$22-A3408)*(Calc!$G$3:$G$22&gt;B3408)*(Calc!$G$3:$G$22-B3408))</f>
        <v/>
      </c>
      <c r="L3408">
        <f>SUMPRODUCT(Calc!$K$3:$K$22*(Calc!$G$3:$G$22&gt;A3408)*(Calc!$G$3:$G$22-A3408)*Calc!$G$3:$G$22)</f>
        <v/>
      </c>
      <c r="M3408">
        <f>SUMPRODUCT(Calc!$K$3:$K$22*(Calc!$G$3:$G$22&gt;B3408)*(Calc!$G$3:$G$22-B3408)*Calc!$G$3:$G$22)</f>
        <v/>
      </c>
      <c r="N3408">
        <f>SUMPRODUCT(Calc!$K$3:$K$22*(Calc!$G$3:$G$22&gt;A3408)*(Calc!$G$3:$G$22-A3408)*Calc!$I$3:$I$22)</f>
        <v/>
      </c>
      <c r="O3408">
        <f>SUMPRODUCT(Calc!$K$3:$K$22*(Calc!$G$3:$G$22&gt;B3408)*(Calc!$G$3:$G$22-B3408)*Calc!$I$3:$I$22)</f>
        <v/>
      </c>
      <c r="P3408">
        <f>I3408-G3408^2/k_n</f>
        <v/>
      </c>
      <c r="Q3408">
        <f>J3408-H3408^2/k_n</f>
        <v/>
      </c>
      <c r="R3408">
        <f>K3408-G3408*H3408/k_n</f>
        <v/>
      </c>
      <c r="S3408">
        <f>L3408-LTP3!$D$3*G3408/k_n</f>
        <v/>
      </c>
      <c r="T3408">
        <f>M3408-LTP3!$D$3*H3408/k_n</f>
        <v/>
      </c>
      <c r="U3408">
        <f>N3408-G3408*LTP3!$D$4/k_n</f>
        <v/>
      </c>
      <c r="V3408">
        <f>O3408-H3408*LTP3!$D$4/k_n</f>
        <v/>
      </c>
      <c r="W3408">
        <f>((LTP3!$D$5)*((P3408)*(Q3408)-(R3408)*(R3408))-(S3408)*((S3408)*(Q3408)-(R3408)*(T3408))+(T3408)*((S3408)*(R3408)-(P3408)*(T3408)))</f>
        <v/>
      </c>
      <c r="X3408">
        <f>IF(ABS(W3408)&gt;1E-12,((LTP3!$D$6)*((P3408)*(Q3408)-(R3408)*(R3408))-(S3408)*((U3408)*(Q3408)-(R3408)*(V3408))+(T3408)*((U3408)*(R3408)-(P3408)*(V3408)))/W3408,0)</f>
        <v/>
      </c>
      <c r="Y3408">
        <f>IF(ABS(W3408)&gt;1E-12,((LTP3!$D$5)*((U3408)*(Q3408)-(R3408)*(V3408))-(LTP3!$D$6)*((S3408)*(Q3408)-(R3408)*(T3408))+(T3408)*((S3408)*(V3408)-(U3408)*(T3408)))/W3408,0)</f>
        <v/>
      </c>
      <c r="Z3408">
        <f>IF(ABS(W3408)&gt;1E-12,((LTP3!$D$5)*((P3408)*(V3408)-(U3408)*(R3408))-(S3408)*((S3408)*(V3408)-(U3408)*(T3408))+(LTP3!$D$6)*((S3408)*(R3408)-(P3408)*(T3408)))/W3408,0)</f>
        <v/>
      </c>
      <c r="AA3408">
        <f>LTP3!$D$7-X3408*LTP3!$D$6-Y3408*U3408-Z3408*V3408</f>
        <v/>
      </c>
      <c r="AB3408">
        <f>IF(AND(F3408,ABS(W3408)&gt;1E-12,Y3408&gt;0,Z3408&gt;0),AA3408,1E+300)</f>
        <v/>
      </c>
    </row>
    <row r="3409">
      <c r="A3409">
        <f>$B$3+$B$5*55</f>
        <v/>
      </c>
      <c r="B3409">
        <f>$B$3+$B$5*42</f>
        <v/>
      </c>
      <c r="C3409">
        <f>SUMPRODUCT(Calc!$K$3:$K$22*(Calc!$G$3:$G$22&lt;=A3409))</f>
        <v/>
      </c>
      <c r="D3409">
        <f>SUMPRODUCT(Calc!$K$3:$K$22*(Calc!$G$3:$G$22&gt;A3409)*(Calc!$G$3:$G$22&lt;B3409))</f>
        <v/>
      </c>
      <c r="E3409">
        <f>SUMPRODUCT(Calc!$K$3:$K$22*(Calc!$G$3:$G$22&gt;=B3409))</f>
        <v/>
      </c>
      <c r="F3409">
        <f>AND(k_n&gt;=5,B3409&gt;A3409+1E-9,C3409&gt;=2,D3409&gt;=1,E3409&gt;=2)</f>
        <v/>
      </c>
      <c r="G3409">
        <f>SUMPRODUCT(Calc!$K$3:$K$22*(Calc!$G$3:$G$22&gt;A3409)*(Calc!$G$3:$G$22-A3409))</f>
        <v/>
      </c>
      <c r="H3409">
        <f>SUMPRODUCT(Calc!$K$3:$K$22*(Calc!$G$3:$G$22&gt;B3409)*(Calc!$G$3:$G$22-B3409))</f>
        <v/>
      </c>
      <c r="I3409">
        <f>SUMPRODUCT(Calc!$K$3:$K$22*(Calc!$G$3:$G$22&gt;A3409)*(Calc!$G$3:$G$22-A3409)^2)</f>
        <v/>
      </c>
      <c r="J3409">
        <f>SUMPRODUCT(Calc!$K$3:$K$22*(Calc!$G$3:$G$22&gt;B3409)*(Calc!$G$3:$G$22-B3409)^2)</f>
        <v/>
      </c>
      <c r="K3409">
        <f>SUMPRODUCT(Calc!$K$3:$K$22*(Calc!$G$3:$G$22&gt;A3409)*(Calc!$G$3:$G$22-A3409)*(Calc!$G$3:$G$22&gt;B3409)*(Calc!$G$3:$G$22-B3409))</f>
        <v/>
      </c>
      <c r="L3409">
        <f>SUMPRODUCT(Calc!$K$3:$K$22*(Calc!$G$3:$G$22&gt;A3409)*(Calc!$G$3:$G$22-A3409)*Calc!$G$3:$G$22)</f>
        <v/>
      </c>
      <c r="M3409">
        <f>SUMPRODUCT(Calc!$K$3:$K$22*(Calc!$G$3:$G$22&gt;B3409)*(Calc!$G$3:$G$22-B3409)*Calc!$G$3:$G$22)</f>
        <v/>
      </c>
      <c r="N3409">
        <f>SUMPRODUCT(Calc!$K$3:$K$22*(Calc!$G$3:$G$22&gt;A3409)*(Calc!$G$3:$G$22-A3409)*Calc!$I$3:$I$22)</f>
        <v/>
      </c>
      <c r="O3409">
        <f>SUMPRODUCT(Calc!$K$3:$K$22*(Calc!$G$3:$G$22&gt;B3409)*(Calc!$G$3:$G$22-B3409)*Calc!$I$3:$I$22)</f>
        <v/>
      </c>
      <c r="P3409">
        <f>I3409-G3409^2/k_n</f>
        <v/>
      </c>
      <c r="Q3409">
        <f>J3409-H3409^2/k_n</f>
        <v/>
      </c>
      <c r="R3409">
        <f>K3409-G3409*H3409/k_n</f>
        <v/>
      </c>
      <c r="S3409">
        <f>L3409-LTP3!$D$3*G3409/k_n</f>
        <v/>
      </c>
      <c r="T3409">
        <f>M3409-LTP3!$D$3*H3409/k_n</f>
        <v/>
      </c>
      <c r="U3409">
        <f>N3409-G3409*LTP3!$D$4/k_n</f>
        <v/>
      </c>
      <c r="V3409">
        <f>O3409-H3409*LTP3!$D$4/k_n</f>
        <v/>
      </c>
      <c r="W3409">
        <f>((LTP3!$D$5)*((P3409)*(Q3409)-(R3409)*(R3409))-(S3409)*((S3409)*(Q3409)-(R3409)*(T3409))+(T3409)*((S3409)*(R3409)-(P3409)*(T3409)))</f>
        <v/>
      </c>
      <c r="X3409">
        <f>IF(ABS(W3409)&gt;1E-12,((LTP3!$D$6)*((P3409)*(Q3409)-(R3409)*(R3409))-(S3409)*((U3409)*(Q3409)-(R3409)*(V3409))+(T3409)*((U3409)*(R3409)-(P3409)*(V3409)))/W3409,0)</f>
        <v/>
      </c>
      <c r="Y3409">
        <f>IF(ABS(W3409)&gt;1E-12,((LTP3!$D$5)*((U3409)*(Q3409)-(R3409)*(V3409))-(LTP3!$D$6)*((S3409)*(Q3409)-(R3409)*(T3409))+(T3409)*((S3409)*(V3409)-(U3409)*(T3409)))/W3409,0)</f>
        <v/>
      </c>
      <c r="Z3409">
        <f>IF(ABS(W3409)&gt;1E-12,((LTP3!$D$5)*((P3409)*(V3409)-(U3409)*(R3409))-(S3409)*((S3409)*(V3409)-(U3409)*(T3409))+(LTP3!$D$6)*((S3409)*(R3409)-(P3409)*(T3409)))/W3409,0)</f>
        <v/>
      </c>
      <c r="AA3409">
        <f>LTP3!$D$7-X3409*LTP3!$D$6-Y3409*U3409-Z3409*V3409</f>
        <v/>
      </c>
      <c r="AB3409">
        <f>IF(AND(F3409,ABS(W3409)&gt;1E-12,Y3409&gt;0,Z3409&gt;0),AA3409,1E+300)</f>
        <v/>
      </c>
    </row>
    <row r="3410">
      <c r="A3410">
        <f>$B$3+$B$5*55</f>
        <v/>
      </c>
      <c r="B3410">
        <f>$B$3+$B$5*43</f>
        <v/>
      </c>
      <c r="C3410">
        <f>SUMPRODUCT(Calc!$K$3:$K$22*(Calc!$G$3:$G$22&lt;=A3410))</f>
        <v/>
      </c>
      <c r="D3410">
        <f>SUMPRODUCT(Calc!$K$3:$K$22*(Calc!$G$3:$G$22&gt;A3410)*(Calc!$G$3:$G$22&lt;B3410))</f>
        <v/>
      </c>
      <c r="E3410">
        <f>SUMPRODUCT(Calc!$K$3:$K$22*(Calc!$G$3:$G$22&gt;=B3410))</f>
        <v/>
      </c>
      <c r="F3410">
        <f>AND(k_n&gt;=5,B3410&gt;A3410+1E-9,C3410&gt;=2,D3410&gt;=1,E3410&gt;=2)</f>
        <v/>
      </c>
      <c r="G3410">
        <f>SUMPRODUCT(Calc!$K$3:$K$22*(Calc!$G$3:$G$22&gt;A3410)*(Calc!$G$3:$G$22-A3410))</f>
        <v/>
      </c>
      <c r="H3410">
        <f>SUMPRODUCT(Calc!$K$3:$K$22*(Calc!$G$3:$G$22&gt;B3410)*(Calc!$G$3:$G$22-B3410))</f>
        <v/>
      </c>
      <c r="I3410">
        <f>SUMPRODUCT(Calc!$K$3:$K$22*(Calc!$G$3:$G$22&gt;A3410)*(Calc!$G$3:$G$22-A3410)^2)</f>
        <v/>
      </c>
      <c r="J3410">
        <f>SUMPRODUCT(Calc!$K$3:$K$22*(Calc!$G$3:$G$22&gt;B3410)*(Calc!$G$3:$G$22-B3410)^2)</f>
        <v/>
      </c>
      <c r="K3410">
        <f>SUMPRODUCT(Calc!$K$3:$K$22*(Calc!$G$3:$G$22&gt;A3410)*(Calc!$G$3:$G$22-A3410)*(Calc!$G$3:$G$22&gt;B3410)*(Calc!$G$3:$G$22-B3410))</f>
        <v/>
      </c>
      <c r="L3410">
        <f>SUMPRODUCT(Calc!$K$3:$K$22*(Calc!$G$3:$G$22&gt;A3410)*(Calc!$G$3:$G$22-A3410)*Calc!$G$3:$G$22)</f>
        <v/>
      </c>
      <c r="M3410">
        <f>SUMPRODUCT(Calc!$K$3:$K$22*(Calc!$G$3:$G$22&gt;B3410)*(Calc!$G$3:$G$22-B3410)*Calc!$G$3:$G$22)</f>
        <v/>
      </c>
      <c r="N3410">
        <f>SUMPRODUCT(Calc!$K$3:$K$22*(Calc!$G$3:$G$22&gt;A3410)*(Calc!$G$3:$G$22-A3410)*Calc!$I$3:$I$22)</f>
        <v/>
      </c>
      <c r="O3410">
        <f>SUMPRODUCT(Calc!$K$3:$K$22*(Calc!$G$3:$G$22&gt;B3410)*(Calc!$G$3:$G$22-B3410)*Calc!$I$3:$I$22)</f>
        <v/>
      </c>
      <c r="P3410">
        <f>I3410-G3410^2/k_n</f>
        <v/>
      </c>
      <c r="Q3410">
        <f>J3410-H3410^2/k_n</f>
        <v/>
      </c>
      <c r="R3410">
        <f>K3410-G3410*H3410/k_n</f>
        <v/>
      </c>
      <c r="S3410">
        <f>L3410-LTP3!$D$3*G3410/k_n</f>
        <v/>
      </c>
      <c r="T3410">
        <f>M3410-LTP3!$D$3*H3410/k_n</f>
        <v/>
      </c>
      <c r="U3410">
        <f>N3410-G3410*LTP3!$D$4/k_n</f>
        <v/>
      </c>
      <c r="V3410">
        <f>O3410-H3410*LTP3!$D$4/k_n</f>
        <v/>
      </c>
      <c r="W3410">
        <f>((LTP3!$D$5)*((P3410)*(Q3410)-(R3410)*(R3410))-(S3410)*((S3410)*(Q3410)-(R3410)*(T3410))+(T3410)*((S3410)*(R3410)-(P3410)*(T3410)))</f>
        <v/>
      </c>
      <c r="X3410">
        <f>IF(ABS(W3410)&gt;1E-12,((LTP3!$D$6)*((P3410)*(Q3410)-(R3410)*(R3410))-(S3410)*((U3410)*(Q3410)-(R3410)*(V3410))+(T3410)*((U3410)*(R3410)-(P3410)*(V3410)))/W3410,0)</f>
        <v/>
      </c>
      <c r="Y3410">
        <f>IF(ABS(W3410)&gt;1E-12,((LTP3!$D$5)*((U3410)*(Q3410)-(R3410)*(V3410))-(LTP3!$D$6)*((S3410)*(Q3410)-(R3410)*(T3410))+(T3410)*((S3410)*(V3410)-(U3410)*(T3410)))/W3410,0)</f>
        <v/>
      </c>
      <c r="Z3410">
        <f>IF(ABS(W3410)&gt;1E-12,((LTP3!$D$5)*((P3410)*(V3410)-(U3410)*(R3410))-(S3410)*((S3410)*(V3410)-(U3410)*(T3410))+(LTP3!$D$6)*((S3410)*(R3410)-(P3410)*(T3410)))/W3410,0)</f>
        <v/>
      </c>
      <c r="AA3410">
        <f>LTP3!$D$7-X3410*LTP3!$D$6-Y3410*U3410-Z3410*V3410</f>
        <v/>
      </c>
      <c r="AB3410">
        <f>IF(AND(F3410,ABS(W3410)&gt;1E-12,Y3410&gt;0,Z3410&gt;0),AA3410,1E+300)</f>
        <v/>
      </c>
    </row>
    <row r="3411">
      <c r="A3411">
        <f>$B$3+$B$5*55</f>
        <v/>
      </c>
      <c r="B3411">
        <f>$B$3+$B$5*44</f>
        <v/>
      </c>
      <c r="C3411">
        <f>SUMPRODUCT(Calc!$K$3:$K$22*(Calc!$G$3:$G$22&lt;=A3411))</f>
        <v/>
      </c>
      <c r="D3411">
        <f>SUMPRODUCT(Calc!$K$3:$K$22*(Calc!$G$3:$G$22&gt;A3411)*(Calc!$G$3:$G$22&lt;B3411))</f>
        <v/>
      </c>
      <c r="E3411">
        <f>SUMPRODUCT(Calc!$K$3:$K$22*(Calc!$G$3:$G$22&gt;=B3411))</f>
        <v/>
      </c>
      <c r="F3411">
        <f>AND(k_n&gt;=5,B3411&gt;A3411+1E-9,C3411&gt;=2,D3411&gt;=1,E3411&gt;=2)</f>
        <v/>
      </c>
      <c r="G3411">
        <f>SUMPRODUCT(Calc!$K$3:$K$22*(Calc!$G$3:$G$22&gt;A3411)*(Calc!$G$3:$G$22-A3411))</f>
        <v/>
      </c>
      <c r="H3411">
        <f>SUMPRODUCT(Calc!$K$3:$K$22*(Calc!$G$3:$G$22&gt;B3411)*(Calc!$G$3:$G$22-B3411))</f>
        <v/>
      </c>
      <c r="I3411">
        <f>SUMPRODUCT(Calc!$K$3:$K$22*(Calc!$G$3:$G$22&gt;A3411)*(Calc!$G$3:$G$22-A3411)^2)</f>
        <v/>
      </c>
      <c r="J3411">
        <f>SUMPRODUCT(Calc!$K$3:$K$22*(Calc!$G$3:$G$22&gt;B3411)*(Calc!$G$3:$G$22-B3411)^2)</f>
        <v/>
      </c>
      <c r="K3411">
        <f>SUMPRODUCT(Calc!$K$3:$K$22*(Calc!$G$3:$G$22&gt;A3411)*(Calc!$G$3:$G$22-A3411)*(Calc!$G$3:$G$22&gt;B3411)*(Calc!$G$3:$G$22-B3411))</f>
        <v/>
      </c>
      <c r="L3411">
        <f>SUMPRODUCT(Calc!$K$3:$K$22*(Calc!$G$3:$G$22&gt;A3411)*(Calc!$G$3:$G$22-A3411)*Calc!$G$3:$G$22)</f>
        <v/>
      </c>
      <c r="M3411">
        <f>SUMPRODUCT(Calc!$K$3:$K$22*(Calc!$G$3:$G$22&gt;B3411)*(Calc!$G$3:$G$22-B3411)*Calc!$G$3:$G$22)</f>
        <v/>
      </c>
      <c r="N3411">
        <f>SUMPRODUCT(Calc!$K$3:$K$22*(Calc!$G$3:$G$22&gt;A3411)*(Calc!$G$3:$G$22-A3411)*Calc!$I$3:$I$22)</f>
        <v/>
      </c>
      <c r="O3411">
        <f>SUMPRODUCT(Calc!$K$3:$K$22*(Calc!$G$3:$G$22&gt;B3411)*(Calc!$G$3:$G$22-B3411)*Calc!$I$3:$I$22)</f>
        <v/>
      </c>
      <c r="P3411">
        <f>I3411-G3411^2/k_n</f>
        <v/>
      </c>
      <c r="Q3411">
        <f>J3411-H3411^2/k_n</f>
        <v/>
      </c>
      <c r="R3411">
        <f>K3411-G3411*H3411/k_n</f>
        <v/>
      </c>
      <c r="S3411">
        <f>L3411-LTP3!$D$3*G3411/k_n</f>
        <v/>
      </c>
      <c r="T3411">
        <f>M3411-LTP3!$D$3*H3411/k_n</f>
        <v/>
      </c>
      <c r="U3411">
        <f>N3411-G3411*LTP3!$D$4/k_n</f>
        <v/>
      </c>
      <c r="V3411">
        <f>O3411-H3411*LTP3!$D$4/k_n</f>
        <v/>
      </c>
      <c r="W3411">
        <f>((LTP3!$D$5)*((P3411)*(Q3411)-(R3411)*(R3411))-(S3411)*((S3411)*(Q3411)-(R3411)*(T3411))+(T3411)*((S3411)*(R3411)-(P3411)*(T3411)))</f>
        <v/>
      </c>
      <c r="X3411">
        <f>IF(ABS(W3411)&gt;1E-12,((LTP3!$D$6)*((P3411)*(Q3411)-(R3411)*(R3411))-(S3411)*((U3411)*(Q3411)-(R3411)*(V3411))+(T3411)*((U3411)*(R3411)-(P3411)*(V3411)))/W3411,0)</f>
        <v/>
      </c>
      <c r="Y3411">
        <f>IF(ABS(W3411)&gt;1E-12,((LTP3!$D$5)*((U3411)*(Q3411)-(R3411)*(V3411))-(LTP3!$D$6)*((S3411)*(Q3411)-(R3411)*(T3411))+(T3411)*((S3411)*(V3411)-(U3411)*(T3411)))/W3411,0)</f>
        <v/>
      </c>
      <c r="Z3411">
        <f>IF(ABS(W3411)&gt;1E-12,((LTP3!$D$5)*((P3411)*(V3411)-(U3411)*(R3411))-(S3411)*((S3411)*(V3411)-(U3411)*(T3411))+(LTP3!$D$6)*((S3411)*(R3411)-(P3411)*(T3411)))/W3411,0)</f>
        <v/>
      </c>
      <c r="AA3411">
        <f>LTP3!$D$7-X3411*LTP3!$D$6-Y3411*U3411-Z3411*V3411</f>
        <v/>
      </c>
      <c r="AB3411">
        <f>IF(AND(F3411,ABS(W3411)&gt;1E-12,Y3411&gt;0,Z3411&gt;0),AA3411,1E+300)</f>
        <v/>
      </c>
    </row>
    <row r="3412">
      <c r="A3412">
        <f>$B$3+$B$5*55</f>
        <v/>
      </c>
      <c r="B3412">
        <f>$B$3+$B$5*45</f>
        <v/>
      </c>
      <c r="C3412">
        <f>SUMPRODUCT(Calc!$K$3:$K$22*(Calc!$G$3:$G$22&lt;=A3412))</f>
        <v/>
      </c>
      <c r="D3412">
        <f>SUMPRODUCT(Calc!$K$3:$K$22*(Calc!$G$3:$G$22&gt;A3412)*(Calc!$G$3:$G$22&lt;B3412))</f>
        <v/>
      </c>
      <c r="E3412">
        <f>SUMPRODUCT(Calc!$K$3:$K$22*(Calc!$G$3:$G$22&gt;=B3412))</f>
        <v/>
      </c>
      <c r="F3412">
        <f>AND(k_n&gt;=5,B3412&gt;A3412+1E-9,C3412&gt;=2,D3412&gt;=1,E3412&gt;=2)</f>
        <v/>
      </c>
      <c r="G3412">
        <f>SUMPRODUCT(Calc!$K$3:$K$22*(Calc!$G$3:$G$22&gt;A3412)*(Calc!$G$3:$G$22-A3412))</f>
        <v/>
      </c>
      <c r="H3412">
        <f>SUMPRODUCT(Calc!$K$3:$K$22*(Calc!$G$3:$G$22&gt;B3412)*(Calc!$G$3:$G$22-B3412))</f>
        <v/>
      </c>
      <c r="I3412">
        <f>SUMPRODUCT(Calc!$K$3:$K$22*(Calc!$G$3:$G$22&gt;A3412)*(Calc!$G$3:$G$22-A3412)^2)</f>
        <v/>
      </c>
      <c r="J3412">
        <f>SUMPRODUCT(Calc!$K$3:$K$22*(Calc!$G$3:$G$22&gt;B3412)*(Calc!$G$3:$G$22-B3412)^2)</f>
        <v/>
      </c>
      <c r="K3412">
        <f>SUMPRODUCT(Calc!$K$3:$K$22*(Calc!$G$3:$G$22&gt;A3412)*(Calc!$G$3:$G$22-A3412)*(Calc!$G$3:$G$22&gt;B3412)*(Calc!$G$3:$G$22-B3412))</f>
        <v/>
      </c>
      <c r="L3412">
        <f>SUMPRODUCT(Calc!$K$3:$K$22*(Calc!$G$3:$G$22&gt;A3412)*(Calc!$G$3:$G$22-A3412)*Calc!$G$3:$G$22)</f>
        <v/>
      </c>
      <c r="M3412">
        <f>SUMPRODUCT(Calc!$K$3:$K$22*(Calc!$G$3:$G$22&gt;B3412)*(Calc!$G$3:$G$22-B3412)*Calc!$G$3:$G$22)</f>
        <v/>
      </c>
      <c r="N3412">
        <f>SUMPRODUCT(Calc!$K$3:$K$22*(Calc!$G$3:$G$22&gt;A3412)*(Calc!$G$3:$G$22-A3412)*Calc!$I$3:$I$22)</f>
        <v/>
      </c>
      <c r="O3412">
        <f>SUMPRODUCT(Calc!$K$3:$K$22*(Calc!$G$3:$G$22&gt;B3412)*(Calc!$G$3:$G$22-B3412)*Calc!$I$3:$I$22)</f>
        <v/>
      </c>
      <c r="P3412">
        <f>I3412-G3412^2/k_n</f>
        <v/>
      </c>
      <c r="Q3412">
        <f>J3412-H3412^2/k_n</f>
        <v/>
      </c>
      <c r="R3412">
        <f>K3412-G3412*H3412/k_n</f>
        <v/>
      </c>
      <c r="S3412">
        <f>L3412-LTP3!$D$3*G3412/k_n</f>
        <v/>
      </c>
      <c r="T3412">
        <f>M3412-LTP3!$D$3*H3412/k_n</f>
        <v/>
      </c>
      <c r="U3412">
        <f>N3412-G3412*LTP3!$D$4/k_n</f>
        <v/>
      </c>
      <c r="V3412">
        <f>O3412-H3412*LTP3!$D$4/k_n</f>
        <v/>
      </c>
      <c r="W3412">
        <f>((LTP3!$D$5)*((P3412)*(Q3412)-(R3412)*(R3412))-(S3412)*((S3412)*(Q3412)-(R3412)*(T3412))+(T3412)*((S3412)*(R3412)-(P3412)*(T3412)))</f>
        <v/>
      </c>
      <c r="X3412">
        <f>IF(ABS(W3412)&gt;1E-12,((LTP3!$D$6)*((P3412)*(Q3412)-(R3412)*(R3412))-(S3412)*((U3412)*(Q3412)-(R3412)*(V3412))+(T3412)*((U3412)*(R3412)-(P3412)*(V3412)))/W3412,0)</f>
        <v/>
      </c>
      <c r="Y3412">
        <f>IF(ABS(W3412)&gt;1E-12,((LTP3!$D$5)*((U3412)*(Q3412)-(R3412)*(V3412))-(LTP3!$D$6)*((S3412)*(Q3412)-(R3412)*(T3412))+(T3412)*((S3412)*(V3412)-(U3412)*(T3412)))/W3412,0)</f>
        <v/>
      </c>
      <c r="Z3412">
        <f>IF(ABS(W3412)&gt;1E-12,((LTP3!$D$5)*((P3412)*(V3412)-(U3412)*(R3412))-(S3412)*((S3412)*(V3412)-(U3412)*(T3412))+(LTP3!$D$6)*((S3412)*(R3412)-(P3412)*(T3412)))/W3412,0)</f>
        <v/>
      </c>
      <c r="AA3412">
        <f>LTP3!$D$7-X3412*LTP3!$D$6-Y3412*U3412-Z3412*V3412</f>
        <v/>
      </c>
      <c r="AB3412">
        <f>IF(AND(F3412,ABS(W3412)&gt;1E-12,Y3412&gt;0,Z3412&gt;0),AA3412,1E+300)</f>
        <v/>
      </c>
    </row>
    <row r="3413">
      <c r="A3413">
        <f>$B$3+$B$5*55</f>
        <v/>
      </c>
      <c r="B3413">
        <f>$B$3+$B$5*46</f>
        <v/>
      </c>
      <c r="C3413">
        <f>SUMPRODUCT(Calc!$K$3:$K$22*(Calc!$G$3:$G$22&lt;=A3413))</f>
        <v/>
      </c>
      <c r="D3413">
        <f>SUMPRODUCT(Calc!$K$3:$K$22*(Calc!$G$3:$G$22&gt;A3413)*(Calc!$G$3:$G$22&lt;B3413))</f>
        <v/>
      </c>
      <c r="E3413">
        <f>SUMPRODUCT(Calc!$K$3:$K$22*(Calc!$G$3:$G$22&gt;=B3413))</f>
        <v/>
      </c>
      <c r="F3413">
        <f>AND(k_n&gt;=5,B3413&gt;A3413+1E-9,C3413&gt;=2,D3413&gt;=1,E3413&gt;=2)</f>
        <v/>
      </c>
      <c r="G3413">
        <f>SUMPRODUCT(Calc!$K$3:$K$22*(Calc!$G$3:$G$22&gt;A3413)*(Calc!$G$3:$G$22-A3413))</f>
        <v/>
      </c>
      <c r="H3413">
        <f>SUMPRODUCT(Calc!$K$3:$K$22*(Calc!$G$3:$G$22&gt;B3413)*(Calc!$G$3:$G$22-B3413))</f>
        <v/>
      </c>
      <c r="I3413">
        <f>SUMPRODUCT(Calc!$K$3:$K$22*(Calc!$G$3:$G$22&gt;A3413)*(Calc!$G$3:$G$22-A3413)^2)</f>
        <v/>
      </c>
      <c r="J3413">
        <f>SUMPRODUCT(Calc!$K$3:$K$22*(Calc!$G$3:$G$22&gt;B3413)*(Calc!$G$3:$G$22-B3413)^2)</f>
        <v/>
      </c>
      <c r="K3413">
        <f>SUMPRODUCT(Calc!$K$3:$K$22*(Calc!$G$3:$G$22&gt;A3413)*(Calc!$G$3:$G$22-A3413)*(Calc!$G$3:$G$22&gt;B3413)*(Calc!$G$3:$G$22-B3413))</f>
        <v/>
      </c>
      <c r="L3413">
        <f>SUMPRODUCT(Calc!$K$3:$K$22*(Calc!$G$3:$G$22&gt;A3413)*(Calc!$G$3:$G$22-A3413)*Calc!$G$3:$G$22)</f>
        <v/>
      </c>
      <c r="M3413">
        <f>SUMPRODUCT(Calc!$K$3:$K$22*(Calc!$G$3:$G$22&gt;B3413)*(Calc!$G$3:$G$22-B3413)*Calc!$G$3:$G$22)</f>
        <v/>
      </c>
      <c r="N3413">
        <f>SUMPRODUCT(Calc!$K$3:$K$22*(Calc!$G$3:$G$22&gt;A3413)*(Calc!$G$3:$G$22-A3413)*Calc!$I$3:$I$22)</f>
        <v/>
      </c>
      <c r="O3413">
        <f>SUMPRODUCT(Calc!$K$3:$K$22*(Calc!$G$3:$G$22&gt;B3413)*(Calc!$G$3:$G$22-B3413)*Calc!$I$3:$I$22)</f>
        <v/>
      </c>
      <c r="P3413">
        <f>I3413-G3413^2/k_n</f>
        <v/>
      </c>
      <c r="Q3413">
        <f>J3413-H3413^2/k_n</f>
        <v/>
      </c>
      <c r="R3413">
        <f>K3413-G3413*H3413/k_n</f>
        <v/>
      </c>
      <c r="S3413">
        <f>L3413-LTP3!$D$3*G3413/k_n</f>
        <v/>
      </c>
      <c r="T3413">
        <f>M3413-LTP3!$D$3*H3413/k_n</f>
        <v/>
      </c>
      <c r="U3413">
        <f>N3413-G3413*LTP3!$D$4/k_n</f>
        <v/>
      </c>
      <c r="V3413">
        <f>O3413-H3413*LTP3!$D$4/k_n</f>
        <v/>
      </c>
      <c r="W3413">
        <f>((LTP3!$D$5)*((P3413)*(Q3413)-(R3413)*(R3413))-(S3413)*((S3413)*(Q3413)-(R3413)*(T3413))+(T3413)*((S3413)*(R3413)-(P3413)*(T3413)))</f>
        <v/>
      </c>
      <c r="X3413">
        <f>IF(ABS(W3413)&gt;1E-12,((LTP3!$D$6)*((P3413)*(Q3413)-(R3413)*(R3413))-(S3413)*((U3413)*(Q3413)-(R3413)*(V3413))+(T3413)*((U3413)*(R3413)-(P3413)*(V3413)))/W3413,0)</f>
        <v/>
      </c>
      <c r="Y3413">
        <f>IF(ABS(W3413)&gt;1E-12,((LTP3!$D$5)*((U3413)*(Q3413)-(R3413)*(V3413))-(LTP3!$D$6)*((S3413)*(Q3413)-(R3413)*(T3413))+(T3413)*((S3413)*(V3413)-(U3413)*(T3413)))/W3413,0)</f>
        <v/>
      </c>
      <c r="Z3413">
        <f>IF(ABS(W3413)&gt;1E-12,((LTP3!$D$5)*((P3413)*(V3413)-(U3413)*(R3413))-(S3413)*((S3413)*(V3413)-(U3413)*(T3413))+(LTP3!$D$6)*((S3413)*(R3413)-(P3413)*(T3413)))/W3413,0)</f>
        <v/>
      </c>
      <c r="AA3413">
        <f>LTP3!$D$7-X3413*LTP3!$D$6-Y3413*U3413-Z3413*V3413</f>
        <v/>
      </c>
      <c r="AB3413">
        <f>IF(AND(F3413,ABS(W3413)&gt;1E-12,Y3413&gt;0,Z3413&gt;0),AA3413,1E+300)</f>
        <v/>
      </c>
    </row>
    <row r="3414">
      <c r="A3414">
        <f>$B$3+$B$5*55</f>
        <v/>
      </c>
      <c r="B3414">
        <f>$B$3+$B$5*47</f>
        <v/>
      </c>
      <c r="C3414">
        <f>SUMPRODUCT(Calc!$K$3:$K$22*(Calc!$G$3:$G$22&lt;=A3414))</f>
        <v/>
      </c>
      <c r="D3414">
        <f>SUMPRODUCT(Calc!$K$3:$K$22*(Calc!$G$3:$G$22&gt;A3414)*(Calc!$G$3:$G$22&lt;B3414))</f>
        <v/>
      </c>
      <c r="E3414">
        <f>SUMPRODUCT(Calc!$K$3:$K$22*(Calc!$G$3:$G$22&gt;=B3414))</f>
        <v/>
      </c>
      <c r="F3414">
        <f>AND(k_n&gt;=5,B3414&gt;A3414+1E-9,C3414&gt;=2,D3414&gt;=1,E3414&gt;=2)</f>
        <v/>
      </c>
      <c r="G3414">
        <f>SUMPRODUCT(Calc!$K$3:$K$22*(Calc!$G$3:$G$22&gt;A3414)*(Calc!$G$3:$G$22-A3414))</f>
        <v/>
      </c>
      <c r="H3414">
        <f>SUMPRODUCT(Calc!$K$3:$K$22*(Calc!$G$3:$G$22&gt;B3414)*(Calc!$G$3:$G$22-B3414))</f>
        <v/>
      </c>
      <c r="I3414">
        <f>SUMPRODUCT(Calc!$K$3:$K$22*(Calc!$G$3:$G$22&gt;A3414)*(Calc!$G$3:$G$22-A3414)^2)</f>
        <v/>
      </c>
      <c r="J3414">
        <f>SUMPRODUCT(Calc!$K$3:$K$22*(Calc!$G$3:$G$22&gt;B3414)*(Calc!$G$3:$G$22-B3414)^2)</f>
        <v/>
      </c>
      <c r="K3414">
        <f>SUMPRODUCT(Calc!$K$3:$K$22*(Calc!$G$3:$G$22&gt;A3414)*(Calc!$G$3:$G$22-A3414)*(Calc!$G$3:$G$22&gt;B3414)*(Calc!$G$3:$G$22-B3414))</f>
        <v/>
      </c>
      <c r="L3414">
        <f>SUMPRODUCT(Calc!$K$3:$K$22*(Calc!$G$3:$G$22&gt;A3414)*(Calc!$G$3:$G$22-A3414)*Calc!$G$3:$G$22)</f>
        <v/>
      </c>
      <c r="M3414">
        <f>SUMPRODUCT(Calc!$K$3:$K$22*(Calc!$G$3:$G$22&gt;B3414)*(Calc!$G$3:$G$22-B3414)*Calc!$G$3:$G$22)</f>
        <v/>
      </c>
      <c r="N3414">
        <f>SUMPRODUCT(Calc!$K$3:$K$22*(Calc!$G$3:$G$22&gt;A3414)*(Calc!$G$3:$G$22-A3414)*Calc!$I$3:$I$22)</f>
        <v/>
      </c>
      <c r="O3414">
        <f>SUMPRODUCT(Calc!$K$3:$K$22*(Calc!$G$3:$G$22&gt;B3414)*(Calc!$G$3:$G$22-B3414)*Calc!$I$3:$I$22)</f>
        <v/>
      </c>
      <c r="P3414">
        <f>I3414-G3414^2/k_n</f>
        <v/>
      </c>
      <c r="Q3414">
        <f>J3414-H3414^2/k_n</f>
        <v/>
      </c>
      <c r="R3414">
        <f>K3414-G3414*H3414/k_n</f>
        <v/>
      </c>
      <c r="S3414">
        <f>L3414-LTP3!$D$3*G3414/k_n</f>
        <v/>
      </c>
      <c r="T3414">
        <f>M3414-LTP3!$D$3*H3414/k_n</f>
        <v/>
      </c>
      <c r="U3414">
        <f>N3414-G3414*LTP3!$D$4/k_n</f>
        <v/>
      </c>
      <c r="V3414">
        <f>O3414-H3414*LTP3!$D$4/k_n</f>
        <v/>
      </c>
      <c r="W3414">
        <f>((LTP3!$D$5)*((P3414)*(Q3414)-(R3414)*(R3414))-(S3414)*((S3414)*(Q3414)-(R3414)*(T3414))+(T3414)*((S3414)*(R3414)-(P3414)*(T3414)))</f>
        <v/>
      </c>
      <c r="X3414">
        <f>IF(ABS(W3414)&gt;1E-12,((LTP3!$D$6)*((P3414)*(Q3414)-(R3414)*(R3414))-(S3414)*((U3414)*(Q3414)-(R3414)*(V3414))+(T3414)*((U3414)*(R3414)-(P3414)*(V3414)))/W3414,0)</f>
        <v/>
      </c>
      <c r="Y3414">
        <f>IF(ABS(W3414)&gt;1E-12,((LTP3!$D$5)*((U3414)*(Q3414)-(R3414)*(V3414))-(LTP3!$D$6)*((S3414)*(Q3414)-(R3414)*(T3414))+(T3414)*((S3414)*(V3414)-(U3414)*(T3414)))/W3414,0)</f>
        <v/>
      </c>
      <c r="Z3414">
        <f>IF(ABS(W3414)&gt;1E-12,((LTP3!$D$5)*((P3414)*(V3414)-(U3414)*(R3414))-(S3414)*((S3414)*(V3414)-(U3414)*(T3414))+(LTP3!$D$6)*((S3414)*(R3414)-(P3414)*(T3414)))/W3414,0)</f>
        <v/>
      </c>
      <c r="AA3414">
        <f>LTP3!$D$7-X3414*LTP3!$D$6-Y3414*U3414-Z3414*V3414</f>
        <v/>
      </c>
      <c r="AB3414">
        <f>IF(AND(F3414,ABS(W3414)&gt;1E-12,Y3414&gt;0,Z3414&gt;0),AA3414,1E+300)</f>
        <v/>
      </c>
    </row>
    <row r="3415">
      <c r="A3415">
        <f>$B$3+$B$5*55</f>
        <v/>
      </c>
      <c r="B3415">
        <f>$B$3+$B$5*48</f>
        <v/>
      </c>
      <c r="C3415">
        <f>SUMPRODUCT(Calc!$K$3:$K$22*(Calc!$G$3:$G$22&lt;=A3415))</f>
        <v/>
      </c>
      <c r="D3415">
        <f>SUMPRODUCT(Calc!$K$3:$K$22*(Calc!$G$3:$G$22&gt;A3415)*(Calc!$G$3:$G$22&lt;B3415))</f>
        <v/>
      </c>
      <c r="E3415">
        <f>SUMPRODUCT(Calc!$K$3:$K$22*(Calc!$G$3:$G$22&gt;=B3415))</f>
        <v/>
      </c>
      <c r="F3415">
        <f>AND(k_n&gt;=5,B3415&gt;A3415+1E-9,C3415&gt;=2,D3415&gt;=1,E3415&gt;=2)</f>
        <v/>
      </c>
      <c r="G3415">
        <f>SUMPRODUCT(Calc!$K$3:$K$22*(Calc!$G$3:$G$22&gt;A3415)*(Calc!$G$3:$G$22-A3415))</f>
        <v/>
      </c>
      <c r="H3415">
        <f>SUMPRODUCT(Calc!$K$3:$K$22*(Calc!$G$3:$G$22&gt;B3415)*(Calc!$G$3:$G$22-B3415))</f>
        <v/>
      </c>
      <c r="I3415">
        <f>SUMPRODUCT(Calc!$K$3:$K$22*(Calc!$G$3:$G$22&gt;A3415)*(Calc!$G$3:$G$22-A3415)^2)</f>
        <v/>
      </c>
      <c r="J3415">
        <f>SUMPRODUCT(Calc!$K$3:$K$22*(Calc!$G$3:$G$22&gt;B3415)*(Calc!$G$3:$G$22-B3415)^2)</f>
        <v/>
      </c>
      <c r="K3415">
        <f>SUMPRODUCT(Calc!$K$3:$K$22*(Calc!$G$3:$G$22&gt;A3415)*(Calc!$G$3:$G$22-A3415)*(Calc!$G$3:$G$22&gt;B3415)*(Calc!$G$3:$G$22-B3415))</f>
        <v/>
      </c>
      <c r="L3415">
        <f>SUMPRODUCT(Calc!$K$3:$K$22*(Calc!$G$3:$G$22&gt;A3415)*(Calc!$G$3:$G$22-A3415)*Calc!$G$3:$G$22)</f>
        <v/>
      </c>
      <c r="M3415">
        <f>SUMPRODUCT(Calc!$K$3:$K$22*(Calc!$G$3:$G$22&gt;B3415)*(Calc!$G$3:$G$22-B3415)*Calc!$G$3:$G$22)</f>
        <v/>
      </c>
      <c r="N3415">
        <f>SUMPRODUCT(Calc!$K$3:$K$22*(Calc!$G$3:$G$22&gt;A3415)*(Calc!$G$3:$G$22-A3415)*Calc!$I$3:$I$22)</f>
        <v/>
      </c>
      <c r="O3415">
        <f>SUMPRODUCT(Calc!$K$3:$K$22*(Calc!$G$3:$G$22&gt;B3415)*(Calc!$G$3:$G$22-B3415)*Calc!$I$3:$I$22)</f>
        <v/>
      </c>
      <c r="P3415">
        <f>I3415-G3415^2/k_n</f>
        <v/>
      </c>
      <c r="Q3415">
        <f>J3415-H3415^2/k_n</f>
        <v/>
      </c>
      <c r="R3415">
        <f>K3415-G3415*H3415/k_n</f>
        <v/>
      </c>
      <c r="S3415">
        <f>L3415-LTP3!$D$3*G3415/k_n</f>
        <v/>
      </c>
      <c r="T3415">
        <f>M3415-LTP3!$D$3*H3415/k_n</f>
        <v/>
      </c>
      <c r="U3415">
        <f>N3415-G3415*LTP3!$D$4/k_n</f>
        <v/>
      </c>
      <c r="V3415">
        <f>O3415-H3415*LTP3!$D$4/k_n</f>
        <v/>
      </c>
      <c r="W3415">
        <f>((LTP3!$D$5)*((P3415)*(Q3415)-(R3415)*(R3415))-(S3415)*((S3415)*(Q3415)-(R3415)*(T3415))+(T3415)*((S3415)*(R3415)-(P3415)*(T3415)))</f>
        <v/>
      </c>
      <c r="X3415">
        <f>IF(ABS(W3415)&gt;1E-12,((LTP3!$D$6)*((P3415)*(Q3415)-(R3415)*(R3415))-(S3415)*((U3415)*(Q3415)-(R3415)*(V3415))+(T3415)*((U3415)*(R3415)-(P3415)*(V3415)))/W3415,0)</f>
        <v/>
      </c>
      <c r="Y3415">
        <f>IF(ABS(W3415)&gt;1E-12,((LTP3!$D$5)*((U3415)*(Q3415)-(R3415)*(V3415))-(LTP3!$D$6)*((S3415)*(Q3415)-(R3415)*(T3415))+(T3415)*((S3415)*(V3415)-(U3415)*(T3415)))/W3415,0)</f>
        <v/>
      </c>
      <c r="Z3415">
        <f>IF(ABS(W3415)&gt;1E-12,((LTP3!$D$5)*((P3415)*(V3415)-(U3415)*(R3415))-(S3415)*((S3415)*(V3415)-(U3415)*(T3415))+(LTP3!$D$6)*((S3415)*(R3415)-(P3415)*(T3415)))/W3415,0)</f>
        <v/>
      </c>
      <c r="AA3415">
        <f>LTP3!$D$7-X3415*LTP3!$D$6-Y3415*U3415-Z3415*V3415</f>
        <v/>
      </c>
      <c r="AB3415">
        <f>IF(AND(F3415,ABS(W3415)&gt;1E-12,Y3415&gt;0,Z3415&gt;0),AA3415,1E+300)</f>
        <v/>
      </c>
    </row>
    <row r="3416">
      <c r="A3416">
        <f>$B$3+$B$5*55</f>
        <v/>
      </c>
      <c r="B3416">
        <f>$B$3+$B$5*49</f>
        <v/>
      </c>
      <c r="C3416">
        <f>SUMPRODUCT(Calc!$K$3:$K$22*(Calc!$G$3:$G$22&lt;=A3416))</f>
        <v/>
      </c>
      <c r="D3416">
        <f>SUMPRODUCT(Calc!$K$3:$K$22*(Calc!$G$3:$G$22&gt;A3416)*(Calc!$G$3:$G$22&lt;B3416))</f>
        <v/>
      </c>
      <c r="E3416">
        <f>SUMPRODUCT(Calc!$K$3:$K$22*(Calc!$G$3:$G$22&gt;=B3416))</f>
        <v/>
      </c>
      <c r="F3416">
        <f>AND(k_n&gt;=5,B3416&gt;A3416+1E-9,C3416&gt;=2,D3416&gt;=1,E3416&gt;=2)</f>
        <v/>
      </c>
      <c r="G3416">
        <f>SUMPRODUCT(Calc!$K$3:$K$22*(Calc!$G$3:$G$22&gt;A3416)*(Calc!$G$3:$G$22-A3416))</f>
        <v/>
      </c>
      <c r="H3416">
        <f>SUMPRODUCT(Calc!$K$3:$K$22*(Calc!$G$3:$G$22&gt;B3416)*(Calc!$G$3:$G$22-B3416))</f>
        <v/>
      </c>
      <c r="I3416">
        <f>SUMPRODUCT(Calc!$K$3:$K$22*(Calc!$G$3:$G$22&gt;A3416)*(Calc!$G$3:$G$22-A3416)^2)</f>
        <v/>
      </c>
      <c r="J3416">
        <f>SUMPRODUCT(Calc!$K$3:$K$22*(Calc!$G$3:$G$22&gt;B3416)*(Calc!$G$3:$G$22-B3416)^2)</f>
        <v/>
      </c>
      <c r="K3416">
        <f>SUMPRODUCT(Calc!$K$3:$K$22*(Calc!$G$3:$G$22&gt;A3416)*(Calc!$G$3:$G$22-A3416)*(Calc!$G$3:$G$22&gt;B3416)*(Calc!$G$3:$G$22-B3416))</f>
        <v/>
      </c>
      <c r="L3416">
        <f>SUMPRODUCT(Calc!$K$3:$K$22*(Calc!$G$3:$G$22&gt;A3416)*(Calc!$G$3:$G$22-A3416)*Calc!$G$3:$G$22)</f>
        <v/>
      </c>
      <c r="M3416">
        <f>SUMPRODUCT(Calc!$K$3:$K$22*(Calc!$G$3:$G$22&gt;B3416)*(Calc!$G$3:$G$22-B3416)*Calc!$G$3:$G$22)</f>
        <v/>
      </c>
      <c r="N3416">
        <f>SUMPRODUCT(Calc!$K$3:$K$22*(Calc!$G$3:$G$22&gt;A3416)*(Calc!$G$3:$G$22-A3416)*Calc!$I$3:$I$22)</f>
        <v/>
      </c>
      <c r="O3416">
        <f>SUMPRODUCT(Calc!$K$3:$K$22*(Calc!$G$3:$G$22&gt;B3416)*(Calc!$G$3:$G$22-B3416)*Calc!$I$3:$I$22)</f>
        <v/>
      </c>
      <c r="P3416">
        <f>I3416-G3416^2/k_n</f>
        <v/>
      </c>
      <c r="Q3416">
        <f>J3416-H3416^2/k_n</f>
        <v/>
      </c>
      <c r="R3416">
        <f>K3416-G3416*H3416/k_n</f>
        <v/>
      </c>
      <c r="S3416">
        <f>L3416-LTP3!$D$3*G3416/k_n</f>
        <v/>
      </c>
      <c r="T3416">
        <f>M3416-LTP3!$D$3*H3416/k_n</f>
        <v/>
      </c>
      <c r="U3416">
        <f>N3416-G3416*LTP3!$D$4/k_n</f>
        <v/>
      </c>
      <c r="V3416">
        <f>O3416-H3416*LTP3!$D$4/k_n</f>
        <v/>
      </c>
      <c r="W3416">
        <f>((LTP3!$D$5)*((P3416)*(Q3416)-(R3416)*(R3416))-(S3416)*((S3416)*(Q3416)-(R3416)*(T3416))+(T3416)*((S3416)*(R3416)-(P3416)*(T3416)))</f>
        <v/>
      </c>
      <c r="X3416">
        <f>IF(ABS(W3416)&gt;1E-12,((LTP3!$D$6)*((P3416)*(Q3416)-(R3416)*(R3416))-(S3416)*((U3416)*(Q3416)-(R3416)*(V3416))+(T3416)*((U3416)*(R3416)-(P3416)*(V3416)))/W3416,0)</f>
        <v/>
      </c>
      <c r="Y3416">
        <f>IF(ABS(W3416)&gt;1E-12,((LTP3!$D$5)*((U3416)*(Q3416)-(R3416)*(V3416))-(LTP3!$D$6)*((S3416)*(Q3416)-(R3416)*(T3416))+(T3416)*((S3416)*(V3416)-(U3416)*(T3416)))/W3416,0)</f>
        <v/>
      </c>
      <c r="Z3416">
        <f>IF(ABS(W3416)&gt;1E-12,((LTP3!$D$5)*((P3416)*(V3416)-(U3416)*(R3416))-(S3416)*((S3416)*(V3416)-(U3416)*(T3416))+(LTP3!$D$6)*((S3416)*(R3416)-(P3416)*(T3416)))/W3416,0)</f>
        <v/>
      </c>
      <c r="AA3416">
        <f>LTP3!$D$7-X3416*LTP3!$D$6-Y3416*U3416-Z3416*V3416</f>
        <v/>
      </c>
      <c r="AB3416">
        <f>IF(AND(F3416,ABS(W3416)&gt;1E-12,Y3416&gt;0,Z3416&gt;0),AA3416,1E+300)</f>
        <v/>
      </c>
    </row>
    <row r="3417">
      <c r="A3417">
        <f>$B$3+$B$5*55</f>
        <v/>
      </c>
      <c r="B3417">
        <f>$B$3+$B$5*50</f>
        <v/>
      </c>
      <c r="C3417">
        <f>SUMPRODUCT(Calc!$K$3:$K$22*(Calc!$G$3:$G$22&lt;=A3417))</f>
        <v/>
      </c>
      <c r="D3417">
        <f>SUMPRODUCT(Calc!$K$3:$K$22*(Calc!$G$3:$G$22&gt;A3417)*(Calc!$G$3:$G$22&lt;B3417))</f>
        <v/>
      </c>
      <c r="E3417">
        <f>SUMPRODUCT(Calc!$K$3:$K$22*(Calc!$G$3:$G$22&gt;=B3417))</f>
        <v/>
      </c>
      <c r="F3417">
        <f>AND(k_n&gt;=5,B3417&gt;A3417+1E-9,C3417&gt;=2,D3417&gt;=1,E3417&gt;=2)</f>
        <v/>
      </c>
      <c r="G3417">
        <f>SUMPRODUCT(Calc!$K$3:$K$22*(Calc!$G$3:$G$22&gt;A3417)*(Calc!$G$3:$G$22-A3417))</f>
        <v/>
      </c>
      <c r="H3417">
        <f>SUMPRODUCT(Calc!$K$3:$K$22*(Calc!$G$3:$G$22&gt;B3417)*(Calc!$G$3:$G$22-B3417))</f>
        <v/>
      </c>
      <c r="I3417">
        <f>SUMPRODUCT(Calc!$K$3:$K$22*(Calc!$G$3:$G$22&gt;A3417)*(Calc!$G$3:$G$22-A3417)^2)</f>
        <v/>
      </c>
      <c r="J3417">
        <f>SUMPRODUCT(Calc!$K$3:$K$22*(Calc!$G$3:$G$22&gt;B3417)*(Calc!$G$3:$G$22-B3417)^2)</f>
        <v/>
      </c>
      <c r="K3417">
        <f>SUMPRODUCT(Calc!$K$3:$K$22*(Calc!$G$3:$G$22&gt;A3417)*(Calc!$G$3:$G$22-A3417)*(Calc!$G$3:$G$22&gt;B3417)*(Calc!$G$3:$G$22-B3417))</f>
        <v/>
      </c>
      <c r="L3417">
        <f>SUMPRODUCT(Calc!$K$3:$K$22*(Calc!$G$3:$G$22&gt;A3417)*(Calc!$G$3:$G$22-A3417)*Calc!$G$3:$G$22)</f>
        <v/>
      </c>
      <c r="M3417">
        <f>SUMPRODUCT(Calc!$K$3:$K$22*(Calc!$G$3:$G$22&gt;B3417)*(Calc!$G$3:$G$22-B3417)*Calc!$G$3:$G$22)</f>
        <v/>
      </c>
      <c r="N3417">
        <f>SUMPRODUCT(Calc!$K$3:$K$22*(Calc!$G$3:$G$22&gt;A3417)*(Calc!$G$3:$G$22-A3417)*Calc!$I$3:$I$22)</f>
        <v/>
      </c>
      <c r="O3417">
        <f>SUMPRODUCT(Calc!$K$3:$K$22*(Calc!$G$3:$G$22&gt;B3417)*(Calc!$G$3:$G$22-B3417)*Calc!$I$3:$I$22)</f>
        <v/>
      </c>
      <c r="P3417">
        <f>I3417-G3417^2/k_n</f>
        <v/>
      </c>
      <c r="Q3417">
        <f>J3417-H3417^2/k_n</f>
        <v/>
      </c>
      <c r="R3417">
        <f>K3417-G3417*H3417/k_n</f>
        <v/>
      </c>
      <c r="S3417">
        <f>L3417-LTP3!$D$3*G3417/k_n</f>
        <v/>
      </c>
      <c r="T3417">
        <f>M3417-LTP3!$D$3*H3417/k_n</f>
        <v/>
      </c>
      <c r="U3417">
        <f>N3417-G3417*LTP3!$D$4/k_n</f>
        <v/>
      </c>
      <c r="V3417">
        <f>O3417-H3417*LTP3!$D$4/k_n</f>
        <v/>
      </c>
      <c r="W3417">
        <f>((LTP3!$D$5)*((P3417)*(Q3417)-(R3417)*(R3417))-(S3417)*((S3417)*(Q3417)-(R3417)*(T3417))+(T3417)*((S3417)*(R3417)-(P3417)*(T3417)))</f>
        <v/>
      </c>
      <c r="X3417">
        <f>IF(ABS(W3417)&gt;1E-12,((LTP3!$D$6)*((P3417)*(Q3417)-(R3417)*(R3417))-(S3417)*((U3417)*(Q3417)-(R3417)*(V3417))+(T3417)*((U3417)*(R3417)-(P3417)*(V3417)))/W3417,0)</f>
        <v/>
      </c>
      <c r="Y3417">
        <f>IF(ABS(W3417)&gt;1E-12,((LTP3!$D$5)*((U3417)*(Q3417)-(R3417)*(V3417))-(LTP3!$D$6)*((S3417)*(Q3417)-(R3417)*(T3417))+(T3417)*((S3417)*(V3417)-(U3417)*(T3417)))/W3417,0)</f>
        <v/>
      </c>
      <c r="Z3417">
        <f>IF(ABS(W3417)&gt;1E-12,((LTP3!$D$5)*((P3417)*(V3417)-(U3417)*(R3417))-(S3417)*((S3417)*(V3417)-(U3417)*(T3417))+(LTP3!$D$6)*((S3417)*(R3417)-(P3417)*(T3417)))/W3417,0)</f>
        <v/>
      </c>
      <c r="AA3417">
        <f>LTP3!$D$7-X3417*LTP3!$D$6-Y3417*U3417-Z3417*V3417</f>
        <v/>
      </c>
      <c r="AB3417">
        <f>IF(AND(F3417,ABS(W3417)&gt;1E-12,Y3417&gt;0,Z3417&gt;0),AA3417,1E+300)</f>
        <v/>
      </c>
    </row>
    <row r="3418">
      <c r="A3418">
        <f>$B$3+$B$5*55</f>
        <v/>
      </c>
      <c r="B3418">
        <f>$B$3+$B$5*51</f>
        <v/>
      </c>
      <c r="C3418">
        <f>SUMPRODUCT(Calc!$K$3:$K$22*(Calc!$G$3:$G$22&lt;=A3418))</f>
        <v/>
      </c>
      <c r="D3418">
        <f>SUMPRODUCT(Calc!$K$3:$K$22*(Calc!$G$3:$G$22&gt;A3418)*(Calc!$G$3:$G$22&lt;B3418))</f>
        <v/>
      </c>
      <c r="E3418">
        <f>SUMPRODUCT(Calc!$K$3:$K$22*(Calc!$G$3:$G$22&gt;=B3418))</f>
        <v/>
      </c>
      <c r="F3418">
        <f>AND(k_n&gt;=5,B3418&gt;A3418+1E-9,C3418&gt;=2,D3418&gt;=1,E3418&gt;=2)</f>
        <v/>
      </c>
      <c r="G3418">
        <f>SUMPRODUCT(Calc!$K$3:$K$22*(Calc!$G$3:$G$22&gt;A3418)*(Calc!$G$3:$G$22-A3418))</f>
        <v/>
      </c>
      <c r="H3418">
        <f>SUMPRODUCT(Calc!$K$3:$K$22*(Calc!$G$3:$G$22&gt;B3418)*(Calc!$G$3:$G$22-B3418))</f>
        <v/>
      </c>
      <c r="I3418">
        <f>SUMPRODUCT(Calc!$K$3:$K$22*(Calc!$G$3:$G$22&gt;A3418)*(Calc!$G$3:$G$22-A3418)^2)</f>
        <v/>
      </c>
      <c r="J3418">
        <f>SUMPRODUCT(Calc!$K$3:$K$22*(Calc!$G$3:$G$22&gt;B3418)*(Calc!$G$3:$G$22-B3418)^2)</f>
        <v/>
      </c>
      <c r="K3418">
        <f>SUMPRODUCT(Calc!$K$3:$K$22*(Calc!$G$3:$G$22&gt;A3418)*(Calc!$G$3:$G$22-A3418)*(Calc!$G$3:$G$22&gt;B3418)*(Calc!$G$3:$G$22-B3418))</f>
        <v/>
      </c>
      <c r="L3418">
        <f>SUMPRODUCT(Calc!$K$3:$K$22*(Calc!$G$3:$G$22&gt;A3418)*(Calc!$G$3:$G$22-A3418)*Calc!$G$3:$G$22)</f>
        <v/>
      </c>
      <c r="M3418">
        <f>SUMPRODUCT(Calc!$K$3:$K$22*(Calc!$G$3:$G$22&gt;B3418)*(Calc!$G$3:$G$22-B3418)*Calc!$G$3:$G$22)</f>
        <v/>
      </c>
      <c r="N3418">
        <f>SUMPRODUCT(Calc!$K$3:$K$22*(Calc!$G$3:$G$22&gt;A3418)*(Calc!$G$3:$G$22-A3418)*Calc!$I$3:$I$22)</f>
        <v/>
      </c>
      <c r="O3418">
        <f>SUMPRODUCT(Calc!$K$3:$K$22*(Calc!$G$3:$G$22&gt;B3418)*(Calc!$G$3:$G$22-B3418)*Calc!$I$3:$I$22)</f>
        <v/>
      </c>
      <c r="P3418">
        <f>I3418-G3418^2/k_n</f>
        <v/>
      </c>
      <c r="Q3418">
        <f>J3418-H3418^2/k_n</f>
        <v/>
      </c>
      <c r="R3418">
        <f>K3418-G3418*H3418/k_n</f>
        <v/>
      </c>
      <c r="S3418">
        <f>L3418-LTP3!$D$3*G3418/k_n</f>
        <v/>
      </c>
      <c r="T3418">
        <f>M3418-LTP3!$D$3*H3418/k_n</f>
        <v/>
      </c>
      <c r="U3418">
        <f>N3418-G3418*LTP3!$D$4/k_n</f>
        <v/>
      </c>
      <c r="V3418">
        <f>O3418-H3418*LTP3!$D$4/k_n</f>
        <v/>
      </c>
      <c r="W3418">
        <f>((LTP3!$D$5)*((P3418)*(Q3418)-(R3418)*(R3418))-(S3418)*((S3418)*(Q3418)-(R3418)*(T3418))+(T3418)*((S3418)*(R3418)-(P3418)*(T3418)))</f>
        <v/>
      </c>
      <c r="X3418">
        <f>IF(ABS(W3418)&gt;1E-12,((LTP3!$D$6)*((P3418)*(Q3418)-(R3418)*(R3418))-(S3418)*((U3418)*(Q3418)-(R3418)*(V3418))+(T3418)*((U3418)*(R3418)-(P3418)*(V3418)))/W3418,0)</f>
        <v/>
      </c>
      <c r="Y3418">
        <f>IF(ABS(W3418)&gt;1E-12,((LTP3!$D$5)*((U3418)*(Q3418)-(R3418)*(V3418))-(LTP3!$D$6)*((S3418)*(Q3418)-(R3418)*(T3418))+(T3418)*((S3418)*(V3418)-(U3418)*(T3418)))/W3418,0)</f>
        <v/>
      </c>
      <c r="Z3418">
        <f>IF(ABS(W3418)&gt;1E-12,((LTP3!$D$5)*((P3418)*(V3418)-(U3418)*(R3418))-(S3418)*((S3418)*(V3418)-(U3418)*(T3418))+(LTP3!$D$6)*((S3418)*(R3418)-(P3418)*(T3418)))/W3418,0)</f>
        <v/>
      </c>
      <c r="AA3418">
        <f>LTP3!$D$7-X3418*LTP3!$D$6-Y3418*U3418-Z3418*V3418</f>
        <v/>
      </c>
      <c r="AB3418">
        <f>IF(AND(F3418,ABS(W3418)&gt;1E-12,Y3418&gt;0,Z3418&gt;0),AA3418,1E+300)</f>
        <v/>
      </c>
    </row>
    <row r="3419">
      <c r="A3419">
        <f>$B$3+$B$5*55</f>
        <v/>
      </c>
      <c r="B3419">
        <f>$B$3+$B$5*52</f>
        <v/>
      </c>
      <c r="C3419">
        <f>SUMPRODUCT(Calc!$K$3:$K$22*(Calc!$G$3:$G$22&lt;=A3419))</f>
        <v/>
      </c>
      <c r="D3419">
        <f>SUMPRODUCT(Calc!$K$3:$K$22*(Calc!$G$3:$G$22&gt;A3419)*(Calc!$G$3:$G$22&lt;B3419))</f>
        <v/>
      </c>
      <c r="E3419">
        <f>SUMPRODUCT(Calc!$K$3:$K$22*(Calc!$G$3:$G$22&gt;=B3419))</f>
        <v/>
      </c>
      <c r="F3419">
        <f>AND(k_n&gt;=5,B3419&gt;A3419+1E-9,C3419&gt;=2,D3419&gt;=1,E3419&gt;=2)</f>
        <v/>
      </c>
      <c r="G3419">
        <f>SUMPRODUCT(Calc!$K$3:$K$22*(Calc!$G$3:$G$22&gt;A3419)*(Calc!$G$3:$G$22-A3419))</f>
        <v/>
      </c>
      <c r="H3419">
        <f>SUMPRODUCT(Calc!$K$3:$K$22*(Calc!$G$3:$G$22&gt;B3419)*(Calc!$G$3:$G$22-B3419))</f>
        <v/>
      </c>
      <c r="I3419">
        <f>SUMPRODUCT(Calc!$K$3:$K$22*(Calc!$G$3:$G$22&gt;A3419)*(Calc!$G$3:$G$22-A3419)^2)</f>
        <v/>
      </c>
      <c r="J3419">
        <f>SUMPRODUCT(Calc!$K$3:$K$22*(Calc!$G$3:$G$22&gt;B3419)*(Calc!$G$3:$G$22-B3419)^2)</f>
        <v/>
      </c>
      <c r="K3419">
        <f>SUMPRODUCT(Calc!$K$3:$K$22*(Calc!$G$3:$G$22&gt;A3419)*(Calc!$G$3:$G$22-A3419)*(Calc!$G$3:$G$22&gt;B3419)*(Calc!$G$3:$G$22-B3419))</f>
        <v/>
      </c>
      <c r="L3419">
        <f>SUMPRODUCT(Calc!$K$3:$K$22*(Calc!$G$3:$G$22&gt;A3419)*(Calc!$G$3:$G$22-A3419)*Calc!$G$3:$G$22)</f>
        <v/>
      </c>
      <c r="M3419">
        <f>SUMPRODUCT(Calc!$K$3:$K$22*(Calc!$G$3:$G$22&gt;B3419)*(Calc!$G$3:$G$22-B3419)*Calc!$G$3:$G$22)</f>
        <v/>
      </c>
      <c r="N3419">
        <f>SUMPRODUCT(Calc!$K$3:$K$22*(Calc!$G$3:$G$22&gt;A3419)*(Calc!$G$3:$G$22-A3419)*Calc!$I$3:$I$22)</f>
        <v/>
      </c>
      <c r="O3419">
        <f>SUMPRODUCT(Calc!$K$3:$K$22*(Calc!$G$3:$G$22&gt;B3419)*(Calc!$G$3:$G$22-B3419)*Calc!$I$3:$I$22)</f>
        <v/>
      </c>
      <c r="P3419">
        <f>I3419-G3419^2/k_n</f>
        <v/>
      </c>
      <c r="Q3419">
        <f>J3419-H3419^2/k_n</f>
        <v/>
      </c>
      <c r="R3419">
        <f>K3419-G3419*H3419/k_n</f>
        <v/>
      </c>
      <c r="S3419">
        <f>L3419-LTP3!$D$3*G3419/k_n</f>
        <v/>
      </c>
      <c r="T3419">
        <f>M3419-LTP3!$D$3*H3419/k_n</f>
        <v/>
      </c>
      <c r="U3419">
        <f>N3419-G3419*LTP3!$D$4/k_n</f>
        <v/>
      </c>
      <c r="V3419">
        <f>O3419-H3419*LTP3!$D$4/k_n</f>
        <v/>
      </c>
      <c r="W3419">
        <f>((LTP3!$D$5)*((P3419)*(Q3419)-(R3419)*(R3419))-(S3419)*((S3419)*(Q3419)-(R3419)*(T3419))+(T3419)*((S3419)*(R3419)-(P3419)*(T3419)))</f>
        <v/>
      </c>
      <c r="X3419">
        <f>IF(ABS(W3419)&gt;1E-12,((LTP3!$D$6)*((P3419)*(Q3419)-(R3419)*(R3419))-(S3419)*((U3419)*(Q3419)-(R3419)*(V3419))+(T3419)*((U3419)*(R3419)-(P3419)*(V3419)))/W3419,0)</f>
        <v/>
      </c>
      <c r="Y3419">
        <f>IF(ABS(W3419)&gt;1E-12,((LTP3!$D$5)*((U3419)*(Q3419)-(R3419)*(V3419))-(LTP3!$D$6)*((S3419)*(Q3419)-(R3419)*(T3419))+(T3419)*((S3419)*(V3419)-(U3419)*(T3419)))/W3419,0)</f>
        <v/>
      </c>
      <c r="Z3419">
        <f>IF(ABS(W3419)&gt;1E-12,((LTP3!$D$5)*((P3419)*(V3419)-(U3419)*(R3419))-(S3419)*((S3419)*(V3419)-(U3419)*(T3419))+(LTP3!$D$6)*((S3419)*(R3419)-(P3419)*(T3419)))/W3419,0)</f>
        <v/>
      </c>
      <c r="AA3419">
        <f>LTP3!$D$7-X3419*LTP3!$D$6-Y3419*U3419-Z3419*V3419</f>
        <v/>
      </c>
      <c r="AB3419">
        <f>IF(AND(F3419,ABS(W3419)&gt;1E-12,Y3419&gt;0,Z3419&gt;0),AA3419,1E+300)</f>
        <v/>
      </c>
    </row>
    <row r="3420">
      <c r="A3420">
        <f>$B$3+$B$5*55</f>
        <v/>
      </c>
      <c r="B3420">
        <f>$B$3+$B$5*53</f>
        <v/>
      </c>
      <c r="C3420">
        <f>SUMPRODUCT(Calc!$K$3:$K$22*(Calc!$G$3:$G$22&lt;=A3420))</f>
        <v/>
      </c>
      <c r="D3420">
        <f>SUMPRODUCT(Calc!$K$3:$K$22*(Calc!$G$3:$G$22&gt;A3420)*(Calc!$G$3:$G$22&lt;B3420))</f>
        <v/>
      </c>
      <c r="E3420">
        <f>SUMPRODUCT(Calc!$K$3:$K$22*(Calc!$G$3:$G$22&gt;=B3420))</f>
        <v/>
      </c>
      <c r="F3420">
        <f>AND(k_n&gt;=5,B3420&gt;A3420+1E-9,C3420&gt;=2,D3420&gt;=1,E3420&gt;=2)</f>
        <v/>
      </c>
      <c r="G3420">
        <f>SUMPRODUCT(Calc!$K$3:$K$22*(Calc!$G$3:$G$22&gt;A3420)*(Calc!$G$3:$G$22-A3420))</f>
        <v/>
      </c>
      <c r="H3420">
        <f>SUMPRODUCT(Calc!$K$3:$K$22*(Calc!$G$3:$G$22&gt;B3420)*(Calc!$G$3:$G$22-B3420))</f>
        <v/>
      </c>
      <c r="I3420">
        <f>SUMPRODUCT(Calc!$K$3:$K$22*(Calc!$G$3:$G$22&gt;A3420)*(Calc!$G$3:$G$22-A3420)^2)</f>
        <v/>
      </c>
      <c r="J3420">
        <f>SUMPRODUCT(Calc!$K$3:$K$22*(Calc!$G$3:$G$22&gt;B3420)*(Calc!$G$3:$G$22-B3420)^2)</f>
        <v/>
      </c>
      <c r="K3420">
        <f>SUMPRODUCT(Calc!$K$3:$K$22*(Calc!$G$3:$G$22&gt;A3420)*(Calc!$G$3:$G$22-A3420)*(Calc!$G$3:$G$22&gt;B3420)*(Calc!$G$3:$G$22-B3420))</f>
        <v/>
      </c>
      <c r="L3420">
        <f>SUMPRODUCT(Calc!$K$3:$K$22*(Calc!$G$3:$G$22&gt;A3420)*(Calc!$G$3:$G$22-A3420)*Calc!$G$3:$G$22)</f>
        <v/>
      </c>
      <c r="M3420">
        <f>SUMPRODUCT(Calc!$K$3:$K$22*(Calc!$G$3:$G$22&gt;B3420)*(Calc!$G$3:$G$22-B3420)*Calc!$G$3:$G$22)</f>
        <v/>
      </c>
      <c r="N3420">
        <f>SUMPRODUCT(Calc!$K$3:$K$22*(Calc!$G$3:$G$22&gt;A3420)*(Calc!$G$3:$G$22-A3420)*Calc!$I$3:$I$22)</f>
        <v/>
      </c>
      <c r="O3420">
        <f>SUMPRODUCT(Calc!$K$3:$K$22*(Calc!$G$3:$G$22&gt;B3420)*(Calc!$G$3:$G$22-B3420)*Calc!$I$3:$I$22)</f>
        <v/>
      </c>
      <c r="P3420">
        <f>I3420-G3420^2/k_n</f>
        <v/>
      </c>
      <c r="Q3420">
        <f>J3420-H3420^2/k_n</f>
        <v/>
      </c>
      <c r="R3420">
        <f>K3420-G3420*H3420/k_n</f>
        <v/>
      </c>
      <c r="S3420">
        <f>L3420-LTP3!$D$3*G3420/k_n</f>
        <v/>
      </c>
      <c r="T3420">
        <f>M3420-LTP3!$D$3*H3420/k_n</f>
        <v/>
      </c>
      <c r="U3420">
        <f>N3420-G3420*LTP3!$D$4/k_n</f>
        <v/>
      </c>
      <c r="V3420">
        <f>O3420-H3420*LTP3!$D$4/k_n</f>
        <v/>
      </c>
      <c r="W3420">
        <f>((LTP3!$D$5)*((P3420)*(Q3420)-(R3420)*(R3420))-(S3420)*((S3420)*(Q3420)-(R3420)*(T3420))+(T3420)*((S3420)*(R3420)-(P3420)*(T3420)))</f>
        <v/>
      </c>
      <c r="X3420">
        <f>IF(ABS(W3420)&gt;1E-12,((LTP3!$D$6)*((P3420)*(Q3420)-(R3420)*(R3420))-(S3420)*((U3420)*(Q3420)-(R3420)*(V3420))+(T3420)*((U3420)*(R3420)-(P3420)*(V3420)))/W3420,0)</f>
        <v/>
      </c>
      <c r="Y3420">
        <f>IF(ABS(W3420)&gt;1E-12,((LTP3!$D$5)*((U3420)*(Q3420)-(R3420)*(V3420))-(LTP3!$D$6)*((S3420)*(Q3420)-(R3420)*(T3420))+(T3420)*((S3420)*(V3420)-(U3420)*(T3420)))/W3420,0)</f>
        <v/>
      </c>
      <c r="Z3420">
        <f>IF(ABS(W3420)&gt;1E-12,((LTP3!$D$5)*((P3420)*(V3420)-(U3420)*(R3420))-(S3420)*((S3420)*(V3420)-(U3420)*(T3420))+(LTP3!$D$6)*((S3420)*(R3420)-(P3420)*(T3420)))/W3420,0)</f>
        <v/>
      </c>
      <c r="AA3420">
        <f>LTP3!$D$7-X3420*LTP3!$D$6-Y3420*U3420-Z3420*V3420</f>
        <v/>
      </c>
      <c r="AB3420">
        <f>IF(AND(F3420,ABS(W3420)&gt;1E-12,Y3420&gt;0,Z3420&gt;0),AA3420,1E+300)</f>
        <v/>
      </c>
    </row>
    <row r="3421">
      <c r="A3421">
        <f>$B$3+$B$5*55</f>
        <v/>
      </c>
      <c r="B3421">
        <f>$B$3+$B$5*54</f>
        <v/>
      </c>
      <c r="C3421">
        <f>SUMPRODUCT(Calc!$K$3:$K$22*(Calc!$G$3:$G$22&lt;=A3421))</f>
        <v/>
      </c>
      <c r="D3421">
        <f>SUMPRODUCT(Calc!$K$3:$K$22*(Calc!$G$3:$G$22&gt;A3421)*(Calc!$G$3:$G$22&lt;B3421))</f>
        <v/>
      </c>
      <c r="E3421">
        <f>SUMPRODUCT(Calc!$K$3:$K$22*(Calc!$G$3:$G$22&gt;=B3421))</f>
        <v/>
      </c>
      <c r="F3421">
        <f>AND(k_n&gt;=5,B3421&gt;A3421+1E-9,C3421&gt;=2,D3421&gt;=1,E3421&gt;=2)</f>
        <v/>
      </c>
      <c r="G3421">
        <f>SUMPRODUCT(Calc!$K$3:$K$22*(Calc!$G$3:$G$22&gt;A3421)*(Calc!$G$3:$G$22-A3421))</f>
        <v/>
      </c>
      <c r="H3421">
        <f>SUMPRODUCT(Calc!$K$3:$K$22*(Calc!$G$3:$G$22&gt;B3421)*(Calc!$G$3:$G$22-B3421))</f>
        <v/>
      </c>
      <c r="I3421">
        <f>SUMPRODUCT(Calc!$K$3:$K$22*(Calc!$G$3:$G$22&gt;A3421)*(Calc!$G$3:$G$22-A3421)^2)</f>
        <v/>
      </c>
      <c r="J3421">
        <f>SUMPRODUCT(Calc!$K$3:$K$22*(Calc!$G$3:$G$22&gt;B3421)*(Calc!$G$3:$G$22-B3421)^2)</f>
        <v/>
      </c>
      <c r="K3421">
        <f>SUMPRODUCT(Calc!$K$3:$K$22*(Calc!$G$3:$G$22&gt;A3421)*(Calc!$G$3:$G$22-A3421)*(Calc!$G$3:$G$22&gt;B3421)*(Calc!$G$3:$G$22-B3421))</f>
        <v/>
      </c>
      <c r="L3421">
        <f>SUMPRODUCT(Calc!$K$3:$K$22*(Calc!$G$3:$G$22&gt;A3421)*(Calc!$G$3:$G$22-A3421)*Calc!$G$3:$G$22)</f>
        <v/>
      </c>
      <c r="M3421">
        <f>SUMPRODUCT(Calc!$K$3:$K$22*(Calc!$G$3:$G$22&gt;B3421)*(Calc!$G$3:$G$22-B3421)*Calc!$G$3:$G$22)</f>
        <v/>
      </c>
      <c r="N3421">
        <f>SUMPRODUCT(Calc!$K$3:$K$22*(Calc!$G$3:$G$22&gt;A3421)*(Calc!$G$3:$G$22-A3421)*Calc!$I$3:$I$22)</f>
        <v/>
      </c>
      <c r="O3421">
        <f>SUMPRODUCT(Calc!$K$3:$K$22*(Calc!$G$3:$G$22&gt;B3421)*(Calc!$G$3:$G$22-B3421)*Calc!$I$3:$I$22)</f>
        <v/>
      </c>
      <c r="P3421">
        <f>I3421-G3421^2/k_n</f>
        <v/>
      </c>
      <c r="Q3421">
        <f>J3421-H3421^2/k_n</f>
        <v/>
      </c>
      <c r="R3421">
        <f>K3421-G3421*H3421/k_n</f>
        <v/>
      </c>
      <c r="S3421">
        <f>L3421-LTP3!$D$3*G3421/k_n</f>
        <v/>
      </c>
      <c r="T3421">
        <f>M3421-LTP3!$D$3*H3421/k_n</f>
        <v/>
      </c>
      <c r="U3421">
        <f>N3421-G3421*LTP3!$D$4/k_n</f>
        <v/>
      </c>
      <c r="V3421">
        <f>O3421-H3421*LTP3!$D$4/k_n</f>
        <v/>
      </c>
      <c r="W3421">
        <f>((LTP3!$D$5)*((P3421)*(Q3421)-(R3421)*(R3421))-(S3421)*((S3421)*(Q3421)-(R3421)*(T3421))+(T3421)*((S3421)*(R3421)-(P3421)*(T3421)))</f>
        <v/>
      </c>
      <c r="X3421">
        <f>IF(ABS(W3421)&gt;1E-12,((LTP3!$D$6)*((P3421)*(Q3421)-(R3421)*(R3421))-(S3421)*((U3421)*(Q3421)-(R3421)*(V3421))+(T3421)*((U3421)*(R3421)-(P3421)*(V3421)))/W3421,0)</f>
        <v/>
      </c>
      <c r="Y3421">
        <f>IF(ABS(W3421)&gt;1E-12,((LTP3!$D$5)*((U3421)*(Q3421)-(R3421)*(V3421))-(LTP3!$D$6)*((S3421)*(Q3421)-(R3421)*(T3421))+(T3421)*((S3421)*(V3421)-(U3421)*(T3421)))/W3421,0)</f>
        <v/>
      </c>
      <c r="Z3421">
        <f>IF(ABS(W3421)&gt;1E-12,((LTP3!$D$5)*((P3421)*(V3421)-(U3421)*(R3421))-(S3421)*((S3421)*(V3421)-(U3421)*(T3421))+(LTP3!$D$6)*((S3421)*(R3421)-(P3421)*(T3421)))/W3421,0)</f>
        <v/>
      </c>
      <c r="AA3421">
        <f>LTP3!$D$7-X3421*LTP3!$D$6-Y3421*U3421-Z3421*V3421</f>
        <v/>
      </c>
      <c r="AB3421">
        <f>IF(AND(F3421,ABS(W3421)&gt;1E-12,Y3421&gt;0,Z3421&gt;0),AA3421,1E+300)</f>
        <v/>
      </c>
    </row>
    <row r="3422">
      <c r="A3422">
        <f>$B$3+$B$5*55</f>
        <v/>
      </c>
      <c r="B3422">
        <f>$B$3+$B$5*55</f>
        <v/>
      </c>
      <c r="C3422">
        <f>SUMPRODUCT(Calc!$K$3:$K$22*(Calc!$G$3:$G$22&lt;=A3422))</f>
        <v/>
      </c>
      <c r="D3422">
        <f>SUMPRODUCT(Calc!$K$3:$K$22*(Calc!$G$3:$G$22&gt;A3422)*(Calc!$G$3:$G$22&lt;B3422))</f>
        <v/>
      </c>
      <c r="E3422">
        <f>SUMPRODUCT(Calc!$K$3:$K$22*(Calc!$G$3:$G$22&gt;=B3422))</f>
        <v/>
      </c>
      <c r="F3422">
        <f>AND(k_n&gt;=5,B3422&gt;A3422+1E-9,C3422&gt;=2,D3422&gt;=1,E3422&gt;=2)</f>
        <v/>
      </c>
      <c r="G3422">
        <f>SUMPRODUCT(Calc!$K$3:$K$22*(Calc!$G$3:$G$22&gt;A3422)*(Calc!$G$3:$G$22-A3422))</f>
        <v/>
      </c>
      <c r="H3422">
        <f>SUMPRODUCT(Calc!$K$3:$K$22*(Calc!$G$3:$G$22&gt;B3422)*(Calc!$G$3:$G$22-B3422))</f>
        <v/>
      </c>
      <c r="I3422">
        <f>SUMPRODUCT(Calc!$K$3:$K$22*(Calc!$G$3:$G$22&gt;A3422)*(Calc!$G$3:$G$22-A3422)^2)</f>
        <v/>
      </c>
      <c r="J3422">
        <f>SUMPRODUCT(Calc!$K$3:$K$22*(Calc!$G$3:$G$22&gt;B3422)*(Calc!$G$3:$G$22-B3422)^2)</f>
        <v/>
      </c>
      <c r="K3422">
        <f>SUMPRODUCT(Calc!$K$3:$K$22*(Calc!$G$3:$G$22&gt;A3422)*(Calc!$G$3:$G$22-A3422)*(Calc!$G$3:$G$22&gt;B3422)*(Calc!$G$3:$G$22-B3422))</f>
        <v/>
      </c>
      <c r="L3422">
        <f>SUMPRODUCT(Calc!$K$3:$K$22*(Calc!$G$3:$G$22&gt;A3422)*(Calc!$G$3:$G$22-A3422)*Calc!$G$3:$G$22)</f>
        <v/>
      </c>
      <c r="M3422">
        <f>SUMPRODUCT(Calc!$K$3:$K$22*(Calc!$G$3:$G$22&gt;B3422)*(Calc!$G$3:$G$22-B3422)*Calc!$G$3:$G$22)</f>
        <v/>
      </c>
      <c r="N3422">
        <f>SUMPRODUCT(Calc!$K$3:$K$22*(Calc!$G$3:$G$22&gt;A3422)*(Calc!$G$3:$G$22-A3422)*Calc!$I$3:$I$22)</f>
        <v/>
      </c>
      <c r="O3422">
        <f>SUMPRODUCT(Calc!$K$3:$K$22*(Calc!$G$3:$G$22&gt;B3422)*(Calc!$G$3:$G$22-B3422)*Calc!$I$3:$I$22)</f>
        <v/>
      </c>
      <c r="P3422">
        <f>I3422-G3422^2/k_n</f>
        <v/>
      </c>
      <c r="Q3422">
        <f>J3422-H3422^2/k_n</f>
        <v/>
      </c>
      <c r="R3422">
        <f>K3422-G3422*H3422/k_n</f>
        <v/>
      </c>
      <c r="S3422">
        <f>L3422-LTP3!$D$3*G3422/k_n</f>
        <v/>
      </c>
      <c r="T3422">
        <f>M3422-LTP3!$D$3*H3422/k_n</f>
        <v/>
      </c>
      <c r="U3422">
        <f>N3422-G3422*LTP3!$D$4/k_n</f>
        <v/>
      </c>
      <c r="V3422">
        <f>O3422-H3422*LTP3!$D$4/k_n</f>
        <v/>
      </c>
      <c r="W3422">
        <f>((LTP3!$D$5)*((P3422)*(Q3422)-(R3422)*(R3422))-(S3422)*((S3422)*(Q3422)-(R3422)*(T3422))+(T3422)*((S3422)*(R3422)-(P3422)*(T3422)))</f>
        <v/>
      </c>
      <c r="X3422">
        <f>IF(ABS(W3422)&gt;1E-12,((LTP3!$D$6)*((P3422)*(Q3422)-(R3422)*(R3422))-(S3422)*((U3422)*(Q3422)-(R3422)*(V3422))+(T3422)*((U3422)*(R3422)-(P3422)*(V3422)))/W3422,0)</f>
        <v/>
      </c>
      <c r="Y3422">
        <f>IF(ABS(W3422)&gt;1E-12,((LTP3!$D$5)*((U3422)*(Q3422)-(R3422)*(V3422))-(LTP3!$D$6)*((S3422)*(Q3422)-(R3422)*(T3422))+(T3422)*((S3422)*(V3422)-(U3422)*(T3422)))/W3422,0)</f>
        <v/>
      </c>
      <c r="Z3422">
        <f>IF(ABS(W3422)&gt;1E-12,((LTP3!$D$5)*((P3422)*(V3422)-(U3422)*(R3422))-(S3422)*((S3422)*(V3422)-(U3422)*(T3422))+(LTP3!$D$6)*((S3422)*(R3422)-(P3422)*(T3422)))/W3422,0)</f>
        <v/>
      </c>
      <c r="AA3422">
        <f>LTP3!$D$7-X3422*LTP3!$D$6-Y3422*U3422-Z3422*V3422</f>
        <v/>
      </c>
      <c r="AB3422">
        <f>IF(AND(F3422,ABS(W3422)&gt;1E-12,Y3422&gt;0,Z3422&gt;0),AA3422,1E+300)</f>
        <v/>
      </c>
    </row>
    <row r="3423">
      <c r="A3423">
        <f>$B$3+$B$5*55</f>
        <v/>
      </c>
      <c r="B3423">
        <f>$B$3+$B$5*56</f>
        <v/>
      </c>
      <c r="C3423">
        <f>SUMPRODUCT(Calc!$K$3:$K$22*(Calc!$G$3:$G$22&lt;=A3423))</f>
        <v/>
      </c>
      <c r="D3423">
        <f>SUMPRODUCT(Calc!$K$3:$K$22*(Calc!$G$3:$G$22&gt;A3423)*(Calc!$G$3:$G$22&lt;B3423))</f>
        <v/>
      </c>
      <c r="E3423">
        <f>SUMPRODUCT(Calc!$K$3:$K$22*(Calc!$G$3:$G$22&gt;=B3423))</f>
        <v/>
      </c>
      <c r="F3423">
        <f>AND(k_n&gt;=5,B3423&gt;A3423+1E-9,C3423&gt;=2,D3423&gt;=1,E3423&gt;=2)</f>
        <v/>
      </c>
      <c r="G3423">
        <f>SUMPRODUCT(Calc!$K$3:$K$22*(Calc!$G$3:$G$22&gt;A3423)*(Calc!$G$3:$G$22-A3423))</f>
        <v/>
      </c>
      <c r="H3423">
        <f>SUMPRODUCT(Calc!$K$3:$K$22*(Calc!$G$3:$G$22&gt;B3423)*(Calc!$G$3:$G$22-B3423))</f>
        <v/>
      </c>
      <c r="I3423">
        <f>SUMPRODUCT(Calc!$K$3:$K$22*(Calc!$G$3:$G$22&gt;A3423)*(Calc!$G$3:$G$22-A3423)^2)</f>
        <v/>
      </c>
      <c r="J3423">
        <f>SUMPRODUCT(Calc!$K$3:$K$22*(Calc!$G$3:$G$22&gt;B3423)*(Calc!$G$3:$G$22-B3423)^2)</f>
        <v/>
      </c>
      <c r="K3423">
        <f>SUMPRODUCT(Calc!$K$3:$K$22*(Calc!$G$3:$G$22&gt;A3423)*(Calc!$G$3:$G$22-A3423)*(Calc!$G$3:$G$22&gt;B3423)*(Calc!$G$3:$G$22-B3423))</f>
        <v/>
      </c>
      <c r="L3423">
        <f>SUMPRODUCT(Calc!$K$3:$K$22*(Calc!$G$3:$G$22&gt;A3423)*(Calc!$G$3:$G$22-A3423)*Calc!$G$3:$G$22)</f>
        <v/>
      </c>
      <c r="M3423">
        <f>SUMPRODUCT(Calc!$K$3:$K$22*(Calc!$G$3:$G$22&gt;B3423)*(Calc!$G$3:$G$22-B3423)*Calc!$G$3:$G$22)</f>
        <v/>
      </c>
      <c r="N3423">
        <f>SUMPRODUCT(Calc!$K$3:$K$22*(Calc!$G$3:$G$22&gt;A3423)*(Calc!$G$3:$G$22-A3423)*Calc!$I$3:$I$22)</f>
        <v/>
      </c>
      <c r="O3423">
        <f>SUMPRODUCT(Calc!$K$3:$K$22*(Calc!$G$3:$G$22&gt;B3423)*(Calc!$G$3:$G$22-B3423)*Calc!$I$3:$I$22)</f>
        <v/>
      </c>
      <c r="P3423">
        <f>I3423-G3423^2/k_n</f>
        <v/>
      </c>
      <c r="Q3423">
        <f>J3423-H3423^2/k_n</f>
        <v/>
      </c>
      <c r="R3423">
        <f>K3423-G3423*H3423/k_n</f>
        <v/>
      </c>
      <c r="S3423">
        <f>L3423-LTP3!$D$3*G3423/k_n</f>
        <v/>
      </c>
      <c r="T3423">
        <f>M3423-LTP3!$D$3*H3423/k_n</f>
        <v/>
      </c>
      <c r="U3423">
        <f>N3423-G3423*LTP3!$D$4/k_n</f>
        <v/>
      </c>
      <c r="V3423">
        <f>O3423-H3423*LTP3!$D$4/k_n</f>
        <v/>
      </c>
      <c r="W3423">
        <f>((LTP3!$D$5)*((P3423)*(Q3423)-(R3423)*(R3423))-(S3423)*((S3423)*(Q3423)-(R3423)*(T3423))+(T3423)*((S3423)*(R3423)-(P3423)*(T3423)))</f>
        <v/>
      </c>
      <c r="X3423">
        <f>IF(ABS(W3423)&gt;1E-12,((LTP3!$D$6)*((P3423)*(Q3423)-(R3423)*(R3423))-(S3423)*((U3423)*(Q3423)-(R3423)*(V3423))+(T3423)*((U3423)*(R3423)-(P3423)*(V3423)))/W3423,0)</f>
        <v/>
      </c>
      <c r="Y3423">
        <f>IF(ABS(W3423)&gt;1E-12,((LTP3!$D$5)*((U3423)*(Q3423)-(R3423)*(V3423))-(LTP3!$D$6)*((S3423)*(Q3423)-(R3423)*(T3423))+(T3423)*((S3423)*(V3423)-(U3423)*(T3423)))/W3423,0)</f>
        <v/>
      </c>
      <c r="Z3423">
        <f>IF(ABS(W3423)&gt;1E-12,((LTP3!$D$5)*((P3423)*(V3423)-(U3423)*(R3423))-(S3423)*((S3423)*(V3423)-(U3423)*(T3423))+(LTP3!$D$6)*((S3423)*(R3423)-(P3423)*(T3423)))/W3423,0)</f>
        <v/>
      </c>
      <c r="AA3423">
        <f>LTP3!$D$7-X3423*LTP3!$D$6-Y3423*U3423-Z3423*V3423</f>
        <v/>
      </c>
      <c r="AB3423">
        <f>IF(AND(F3423,ABS(W3423)&gt;1E-12,Y3423&gt;0,Z3423&gt;0),AA3423,1E+300)</f>
        <v/>
      </c>
    </row>
    <row r="3424">
      <c r="A3424">
        <f>$B$3+$B$5*55</f>
        <v/>
      </c>
      <c r="B3424">
        <f>$B$3+$B$5*57</f>
        <v/>
      </c>
      <c r="C3424">
        <f>SUMPRODUCT(Calc!$K$3:$K$22*(Calc!$G$3:$G$22&lt;=A3424))</f>
        <v/>
      </c>
      <c r="D3424">
        <f>SUMPRODUCT(Calc!$K$3:$K$22*(Calc!$G$3:$G$22&gt;A3424)*(Calc!$G$3:$G$22&lt;B3424))</f>
        <v/>
      </c>
      <c r="E3424">
        <f>SUMPRODUCT(Calc!$K$3:$K$22*(Calc!$G$3:$G$22&gt;=B3424))</f>
        <v/>
      </c>
      <c r="F3424">
        <f>AND(k_n&gt;=5,B3424&gt;A3424+1E-9,C3424&gt;=2,D3424&gt;=1,E3424&gt;=2)</f>
        <v/>
      </c>
      <c r="G3424">
        <f>SUMPRODUCT(Calc!$K$3:$K$22*(Calc!$G$3:$G$22&gt;A3424)*(Calc!$G$3:$G$22-A3424))</f>
        <v/>
      </c>
      <c r="H3424">
        <f>SUMPRODUCT(Calc!$K$3:$K$22*(Calc!$G$3:$G$22&gt;B3424)*(Calc!$G$3:$G$22-B3424))</f>
        <v/>
      </c>
      <c r="I3424">
        <f>SUMPRODUCT(Calc!$K$3:$K$22*(Calc!$G$3:$G$22&gt;A3424)*(Calc!$G$3:$G$22-A3424)^2)</f>
        <v/>
      </c>
      <c r="J3424">
        <f>SUMPRODUCT(Calc!$K$3:$K$22*(Calc!$G$3:$G$22&gt;B3424)*(Calc!$G$3:$G$22-B3424)^2)</f>
        <v/>
      </c>
      <c r="K3424">
        <f>SUMPRODUCT(Calc!$K$3:$K$22*(Calc!$G$3:$G$22&gt;A3424)*(Calc!$G$3:$G$22-A3424)*(Calc!$G$3:$G$22&gt;B3424)*(Calc!$G$3:$G$22-B3424))</f>
        <v/>
      </c>
      <c r="L3424">
        <f>SUMPRODUCT(Calc!$K$3:$K$22*(Calc!$G$3:$G$22&gt;A3424)*(Calc!$G$3:$G$22-A3424)*Calc!$G$3:$G$22)</f>
        <v/>
      </c>
      <c r="M3424">
        <f>SUMPRODUCT(Calc!$K$3:$K$22*(Calc!$G$3:$G$22&gt;B3424)*(Calc!$G$3:$G$22-B3424)*Calc!$G$3:$G$22)</f>
        <v/>
      </c>
      <c r="N3424">
        <f>SUMPRODUCT(Calc!$K$3:$K$22*(Calc!$G$3:$G$22&gt;A3424)*(Calc!$G$3:$G$22-A3424)*Calc!$I$3:$I$22)</f>
        <v/>
      </c>
      <c r="O3424">
        <f>SUMPRODUCT(Calc!$K$3:$K$22*(Calc!$G$3:$G$22&gt;B3424)*(Calc!$G$3:$G$22-B3424)*Calc!$I$3:$I$22)</f>
        <v/>
      </c>
      <c r="P3424">
        <f>I3424-G3424^2/k_n</f>
        <v/>
      </c>
      <c r="Q3424">
        <f>J3424-H3424^2/k_n</f>
        <v/>
      </c>
      <c r="R3424">
        <f>K3424-G3424*H3424/k_n</f>
        <v/>
      </c>
      <c r="S3424">
        <f>L3424-LTP3!$D$3*G3424/k_n</f>
        <v/>
      </c>
      <c r="T3424">
        <f>M3424-LTP3!$D$3*H3424/k_n</f>
        <v/>
      </c>
      <c r="U3424">
        <f>N3424-G3424*LTP3!$D$4/k_n</f>
        <v/>
      </c>
      <c r="V3424">
        <f>O3424-H3424*LTP3!$D$4/k_n</f>
        <v/>
      </c>
      <c r="W3424">
        <f>((LTP3!$D$5)*((P3424)*(Q3424)-(R3424)*(R3424))-(S3424)*((S3424)*(Q3424)-(R3424)*(T3424))+(T3424)*((S3424)*(R3424)-(P3424)*(T3424)))</f>
        <v/>
      </c>
      <c r="X3424">
        <f>IF(ABS(W3424)&gt;1E-12,((LTP3!$D$6)*((P3424)*(Q3424)-(R3424)*(R3424))-(S3424)*((U3424)*(Q3424)-(R3424)*(V3424))+(T3424)*((U3424)*(R3424)-(P3424)*(V3424)))/W3424,0)</f>
        <v/>
      </c>
      <c r="Y3424">
        <f>IF(ABS(W3424)&gt;1E-12,((LTP3!$D$5)*((U3424)*(Q3424)-(R3424)*(V3424))-(LTP3!$D$6)*((S3424)*(Q3424)-(R3424)*(T3424))+(T3424)*((S3424)*(V3424)-(U3424)*(T3424)))/W3424,0)</f>
        <v/>
      </c>
      <c r="Z3424">
        <f>IF(ABS(W3424)&gt;1E-12,((LTP3!$D$5)*((P3424)*(V3424)-(U3424)*(R3424))-(S3424)*((S3424)*(V3424)-(U3424)*(T3424))+(LTP3!$D$6)*((S3424)*(R3424)-(P3424)*(T3424)))/W3424,0)</f>
        <v/>
      </c>
      <c r="AA3424">
        <f>LTP3!$D$7-X3424*LTP3!$D$6-Y3424*U3424-Z3424*V3424</f>
        <v/>
      </c>
      <c r="AB3424">
        <f>IF(AND(F3424,ABS(W3424)&gt;1E-12,Y3424&gt;0,Z3424&gt;0),AA3424,1E+300)</f>
        <v/>
      </c>
    </row>
    <row r="3425">
      <c r="A3425">
        <f>$B$3+$B$5*55</f>
        <v/>
      </c>
      <c r="B3425">
        <f>$B$3+$B$5*58</f>
        <v/>
      </c>
      <c r="C3425">
        <f>SUMPRODUCT(Calc!$K$3:$K$22*(Calc!$G$3:$G$22&lt;=A3425))</f>
        <v/>
      </c>
      <c r="D3425">
        <f>SUMPRODUCT(Calc!$K$3:$K$22*(Calc!$G$3:$G$22&gt;A3425)*(Calc!$G$3:$G$22&lt;B3425))</f>
        <v/>
      </c>
      <c r="E3425">
        <f>SUMPRODUCT(Calc!$K$3:$K$22*(Calc!$G$3:$G$22&gt;=B3425))</f>
        <v/>
      </c>
      <c r="F3425">
        <f>AND(k_n&gt;=5,B3425&gt;A3425+1E-9,C3425&gt;=2,D3425&gt;=1,E3425&gt;=2)</f>
        <v/>
      </c>
      <c r="G3425">
        <f>SUMPRODUCT(Calc!$K$3:$K$22*(Calc!$G$3:$G$22&gt;A3425)*(Calc!$G$3:$G$22-A3425))</f>
        <v/>
      </c>
      <c r="H3425">
        <f>SUMPRODUCT(Calc!$K$3:$K$22*(Calc!$G$3:$G$22&gt;B3425)*(Calc!$G$3:$G$22-B3425))</f>
        <v/>
      </c>
      <c r="I3425">
        <f>SUMPRODUCT(Calc!$K$3:$K$22*(Calc!$G$3:$G$22&gt;A3425)*(Calc!$G$3:$G$22-A3425)^2)</f>
        <v/>
      </c>
      <c r="J3425">
        <f>SUMPRODUCT(Calc!$K$3:$K$22*(Calc!$G$3:$G$22&gt;B3425)*(Calc!$G$3:$G$22-B3425)^2)</f>
        <v/>
      </c>
      <c r="K3425">
        <f>SUMPRODUCT(Calc!$K$3:$K$22*(Calc!$G$3:$G$22&gt;A3425)*(Calc!$G$3:$G$22-A3425)*(Calc!$G$3:$G$22&gt;B3425)*(Calc!$G$3:$G$22-B3425))</f>
        <v/>
      </c>
      <c r="L3425">
        <f>SUMPRODUCT(Calc!$K$3:$K$22*(Calc!$G$3:$G$22&gt;A3425)*(Calc!$G$3:$G$22-A3425)*Calc!$G$3:$G$22)</f>
        <v/>
      </c>
      <c r="M3425">
        <f>SUMPRODUCT(Calc!$K$3:$K$22*(Calc!$G$3:$G$22&gt;B3425)*(Calc!$G$3:$G$22-B3425)*Calc!$G$3:$G$22)</f>
        <v/>
      </c>
      <c r="N3425">
        <f>SUMPRODUCT(Calc!$K$3:$K$22*(Calc!$G$3:$G$22&gt;A3425)*(Calc!$G$3:$G$22-A3425)*Calc!$I$3:$I$22)</f>
        <v/>
      </c>
      <c r="O3425">
        <f>SUMPRODUCT(Calc!$K$3:$K$22*(Calc!$G$3:$G$22&gt;B3425)*(Calc!$G$3:$G$22-B3425)*Calc!$I$3:$I$22)</f>
        <v/>
      </c>
      <c r="P3425">
        <f>I3425-G3425^2/k_n</f>
        <v/>
      </c>
      <c r="Q3425">
        <f>J3425-H3425^2/k_n</f>
        <v/>
      </c>
      <c r="R3425">
        <f>K3425-G3425*H3425/k_n</f>
        <v/>
      </c>
      <c r="S3425">
        <f>L3425-LTP3!$D$3*G3425/k_n</f>
        <v/>
      </c>
      <c r="T3425">
        <f>M3425-LTP3!$D$3*H3425/k_n</f>
        <v/>
      </c>
      <c r="U3425">
        <f>N3425-G3425*LTP3!$D$4/k_n</f>
        <v/>
      </c>
      <c r="V3425">
        <f>O3425-H3425*LTP3!$D$4/k_n</f>
        <v/>
      </c>
      <c r="W3425">
        <f>((LTP3!$D$5)*((P3425)*(Q3425)-(R3425)*(R3425))-(S3425)*((S3425)*(Q3425)-(R3425)*(T3425))+(T3425)*((S3425)*(R3425)-(P3425)*(T3425)))</f>
        <v/>
      </c>
      <c r="X3425">
        <f>IF(ABS(W3425)&gt;1E-12,((LTP3!$D$6)*((P3425)*(Q3425)-(R3425)*(R3425))-(S3425)*((U3425)*(Q3425)-(R3425)*(V3425))+(T3425)*((U3425)*(R3425)-(P3425)*(V3425)))/W3425,0)</f>
        <v/>
      </c>
      <c r="Y3425">
        <f>IF(ABS(W3425)&gt;1E-12,((LTP3!$D$5)*((U3425)*(Q3425)-(R3425)*(V3425))-(LTP3!$D$6)*((S3425)*(Q3425)-(R3425)*(T3425))+(T3425)*((S3425)*(V3425)-(U3425)*(T3425)))/W3425,0)</f>
        <v/>
      </c>
      <c r="Z3425">
        <f>IF(ABS(W3425)&gt;1E-12,((LTP3!$D$5)*((P3425)*(V3425)-(U3425)*(R3425))-(S3425)*((S3425)*(V3425)-(U3425)*(T3425))+(LTP3!$D$6)*((S3425)*(R3425)-(P3425)*(T3425)))/W3425,0)</f>
        <v/>
      </c>
      <c r="AA3425">
        <f>LTP3!$D$7-X3425*LTP3!$D$6-Y3425*U3425-Z3425*V3425</f>
        <v/>
      </c>
      <c r="AB3425">
        <f>IF(AND(F3425,ABS(W3425)&gt;1E-12,Y3425&gt;0,Z3425&gt;0),AA3425,1E+300)</f>
        <v/>
      </c>
    </row>
    <row r="3426">
      <c r="A3426">
        <f>$B$3+$B$5*55</f>
        <v/>
      </c>
      <c r="B3426">
        <f>$B$3+$B$5*59</f>
        <v/>
      </c>
      <c r="C3426">
        <f>SUMPRODUCT(Calc!$K$3:$K$22*(Calc!$G$3:$G$22&lt;=A3426))</f>
        <v/>
      </c>
      <c r="D3426">
        <f>SUMPRODUCT(Calc!$K$3:$K$22*(Calc!$G$3:$G$22&gt;A3426)*(Calc!$G$3:$G$22&lt;B3426))</f>
        <v/>
      </c>
      <c r="E3426">
        <f>SUMPRODUCT(Calc!$K$3:$K$22*(Calc!$G$3:$G$22&gt;=B3426))</f>
        <v/>
      </c>
      <c r="F3426">
        <f>AND(k_n&gt;=5,B3426&gt;A3426+1E-9,C3426&gt;=2,D3426&gt;=1,E3426&gt;=2)</f>
        <v/>
      </c>
      <c r="G3426">
        <f>SUMPRODUCT(Calc!$K$3:$K$22*(Calc!$G$3:$G$22&gt;A3426)*(Calc!$G$3:$G$22-A3426))</f>
        <v/>
      </c>
      <c r="H3426">
        <f>SUMPRODUCT(Calc!$K$3:$K$22*(Calc!$G$3:$G$22&gt;B3426)*(Calc!$G$3:$G$22-B3426))</f>
        <v/>
      </c>
      <c r="I3426">
        <f>SUMPRODUCT(Calc!$K$3:$K$22*(Calc!$G$3:$G$22&gt;A3426)*(Calc!$G$3:$G$22-A3426)^2)</f>
        <v/>
      </c>
      <c r="J3426">
        <f>SUMPRODUCT(Calc!$K$3:$K$22*(Calc!$G$3:$G$22&gt;B3426)*(Calc!$G$3:$G$22-B3426)^2)</f>
        <v/>
      </c>
      <c r="K3426">
        <f>SUMPRODUCT(Calc!$K$3:$K$22*(Calc!$G$3:$G$22&gt;A3426)*(Calc!$G$3:$G$22-A3426)*(Calc!$G$3:$G$22&gt;B3426)*(Calc!$G$3:$G$22-B3426))</f>
        <v/>
      </c>
      <c r="L3426">
        <f>SUMPRODUCT(Calc!$K$3:$K$22*(Calc!$G$3:$G$22&gt;A3426)*(Calc!$G$3:$G$22-A3426)*Calc!$G$3:$G$22)</f>
        <v/>
      </c>
      <c r="M3426">
        <f>SUMPRODUCT(Calc!$K$3:$K$22*(Calc!$G$3:$G$22&gt;B3426)*(Calc!$G$3:$G$22-B3426)*Calc!$G$3:$G$22)</f>
        <v/>
      </c>
      <c r="N3426">
        <f>SUMPRODUCT(Calc!$K$3:$K$22*(Calc!$G$3:$G$22&gt;A3426)*(Calc!$G$3:$G$22-A3426)*Calc!$I$3:$I$22)</f>
        <v/>
      </c>
      <c r="O3426">
        <f>SUMPRODUCT(Calc!$K$3:$K$22*(Calc!$G$3:$G$22&gt;B3426)*(Calc!$G$3:$G$22-B3426)*Calc!$I$3:$I$22)</f>
        <v/>
      </c>
      <c r="P3426">
        <f>I3426-G3426^2/k_n</f>
        <v/>
      </c>
      <c r="Q3426">
        <f>J3426-H3426^2/k_n</f>
        <v/>
      </c>
      <c r="R3426">
        <f>K3426-G3426*H3426/k_n</f>
        <v/>
      </c>
      <c r="S3426">
        <f>L3426-LTP3!$D$3*G3426/k_n</f>
        <v/>
      </c>
      <c r="T3426">
        <f>M3426-LTP3!$D$3*H3426/k_n</f>
        <v/>
      </c>
      <c r="U3426">
        <f>N3426-G3426*LTP3!$D$4/k_n</f>
        <v/>
      </c>
      <c r="V3426">
        <f>O3426-H3426*LTP3!$D$4/k_n</f>
        <v/>
      </c>
      <c r="W3426">
        <f>((LTP3!$D$5)*((P3426)*(Q3426)-(R3426)*(R3426))-(S3426)*((S3426)*(Q3426)-(R3426)*(T3426))+(T3426)*((S3426)*(R3426)-(P3426)*(T3426)))</f>
        <v/>
      </c>
      <c r="X3426">
        <f>IF(ABS(W3426)&gt;1E-12,((LTP3!$D$6)*((P3426)*(Q3426)-(R3426)*(R3426))-(S3426)*((U3426)*(Q3426)-(R3426)*(V3426))+(T3426)*((U3426)*(R3426)-(P3426)*(V3426)))/W3426,0)</f>
        <v/>
      </c>
      <c r="Y3426">
        <f>IF(ABS(W3426)&gt;1E-12,((LTP3!$D$5)*((U3426)*(Q3426)-(R3426)*(V3426))-(LTP3!$D$6)*((S3426)*(Q3426)-(R3426)*(T3426))+(T3426)*((S3426)*(V3426)-(U3426)*(T3426)))/W3426,0)</f>
        <v/>
      </c>
      <c r="Z3426">
        <f>IF(ABS(W3426)&gt;1E-12,((LTP3!$D$5)*((P3426)*(V3426)-(U3426)*(R3426))-(S3426)*((S3426)*(V3426)-(U3426)*(T3426))+(LTP3!$D$6)*((S3426)*(R3426)-(P3426)*(T3426)))/W3426,0)</f>
        <v/>
      </c>
      <c r="AA3426">
        <f>LTP3!$D$7-X3426*LTP3!$D$6-Y3426*U3426-Z3426*V3426</f>
        <v/>
      </c>
      <c r="AB3426">
        <f>IF(AND(F3426,ABS(W3426)&gt;1E-12,Y3426&gt;0,Z3426&gt;0),AA3426,1E+300)</f>
        <v/>
      </c>
    </row>
    <row r="3427">
      <c r="A3427">
        <f>$B$3+$B$5*55</f>
        <v/>
      </c>
      <c r="B3427">
        <f>$B$3+$B$5*60</f>
        <v/>
      </c>
      <c r="C3427">
        <f>SUMPRODUCT(Calc!$K$3:$K$22*(Calc!$G$3:$G$22&lt;=A3427))</f>
        <v/>
      </c>
      <c r="D3427">
        <f>SUMPRODUCT(Calc!$K$3:$K$22*(Calc!$G$3:$G$22&gt;A3427)*(Calc!$G$3:$G$22&lt;B3427))</f>
        <v/>
      </c>
      <c r="E3427">
        <f>SUMPRODUCT(Calc!$K$3:$K$22*(Calc!$G$3:$G$22&gt;=B3427))</f>
        <v/>
      </c>
      <c r="F3427">
        <f>AND(k_n&gt;=5,B3427&gt;A3427+1E-9,C3427&gt;=2,D3427&gt;=1,E3427&gt;=2)</f>
        <v/>
      </c>
      <c r="G3427">
        <f>SUMPRODUCT(Calc!$K$3:$K$22*(Calc!$G$3:$G$22&gt;A3427)*(Calc!$G$3:$G$22-A3427))</f>
        <v/>
      </c>
      <c r="H3427">
        <f>SUMPRODUCT(Calc!$K$3:$K$22*(Calc!$G$3:$G$22&gt;B3427)*(Calc!$G$3:$G$22-B3427))</f>
        <v/>
      </c>
      <c r="I3427">
        <f>SUMPRODUCT(Calc!$K$3:$K$22*(Calc!$G$3:$G$22&gt;A3427)*(Calc!$G$3:$G$22-A3427)^2)</f>
        <v/>
      </c>
      <c r="J3427">
        <f>SUMPRODUCT(Calc!$K$3:$K$22*(Calc!$G$3:$G$22&gt;B3427)*(Calc!$G$3:$G$22-B3427)^2)</f>
        <v/>
      </c>
      <c r="K3427">
        <f>SUMPRODUCT(Calc!$K$3:$K$22*(Calc!$G$3:$G$22&gt;A3427)*(Calc!$G$3:$G$22-A3427)*(Calc!$G$3:$G$22&gt;B3427)*(Calc!$G$3:$G$22-B3427))</f>
        <v/>
      </c>
      <c r="L3427">
        <f>SUMPRODUCT(Calc!$K$3:$K$22*(Calc!$G$3:$G$22&gt;A3427)*(Calc!$G$3:$G$22-A3427)*Calc!$G$3:$G$22)</f>
        <v/>
      </c>
      <c r="M3427">
        <f>SUMPRODUCT(Calc!$K$3:$K$22*(Calc!$G$3:$G$22&gt;B3427)*(Calc!$G$3:$G$22-B3427)*Calc!$G$3:$G$22)</f>
        <v/>
      </c>
      <c r="N3427">
        <f>SUMPRODUCT(Calc!$K$3:$K$22*(Calc!$G$3:$G$22&gt;A3427)*(Calc!$G$3:$G$22-A3427)*Calc!$I$3:$I$22)</f>
        <v/>
      </c>
      <c r="O3427">
        <f>SUMPRODUCT(Calc!$K$3:$K$22*(Calc!$G$3:$G$22&gt;B3427)*(Calc!$G$3:$G$22-B3427)*Calc!$I$3:$I$22)</f>
        <v/>
      </c>
      <c r="P3427">
        <f>I3427-G3427^2/k_n</f>
        <v/>
      </c>
      <c r="Q3427">
        <f>J3427-H3427^2/k_n</f>
        <v/>
      </c>
      <c r="R3427">
        <f>K3427-G3427*H3427/k_n</f>
        <v/>
      </c>
      <c r="S3427">
        <f>L3427-LTP3!$D$3*G3427/k_n</f>
        <v/>
      </c>
      <c r="T3427">
        <f>M3427-LTP3!$D$3*H3427/k_n</f>
        <v/>
      </c>
      <c r="U3427">
        <f>N3427-G3427*LTP3!$D$4/k_n</f>
        <v/>
      </c>
      <c r="V3427">
        <f>O3427-H3427*LTP3!$D$4/k_n</f>
        <v/>
      </c>
      <c r="W3427">
        <f>((LTP3!$D$5)*((P3427)*(Q3427)-(R3427)*(R3427))-(S3427)*((S3427)*(Q3427)-(R3427)*(T3427))+(T3427)*((S3427)*(R3427)-(P3427)*(T3427)))</f>
        <v/>
      </c>
      <c r="X3427">
        <f>IF(ABS(W3427)&gt;1E-12,((LTP3!$D$6)*((P3427)*(Q3427)-(R3427)*(R3427))-(S3427)*((U3427)*(Q3427)-(R3427)*(V3427))+(T3427)*((U3427)*(R3427)-(P3427)*(V3427)))/W3427,0)</f>
        <v/>
      </c>
      <c r="Y3427">
        <f>IF(ABS(W3427)&gt;1E-12,((LTP3!$D$5)*((U3427)*(Q3427)-(R3427)*(V3427))-(LTP3!$D$6)*((S3427)*(Q3427)-(R3427)*(T3427))+(T3427)*((S3427)*(V3427)-(U3427)*(T3427)))/W3427,0)</f>
        <v/>
      </c>
      <c r="Z3427">
        <f>IF(ABS(W3427)&gt;1E-12,((LTP3!$D$5)*((P3427)*(V3427)-(U3427)*(R3427))-(S3427)*((S3427)*(V3427)-(U3427)*(T3427))+(LTP3!$D$6)*((S3427)*(R3427)-(P3427)*(T3427)))/W3427,0)</f>
        <v/>
      </c>
      <c r="AA3427">
        <f>LTP3!$D$7-X3427*LTP3!$D$6-Y3427*U3427-Z3427*V3427</f>
        <v/>
      </c>
      <c r="AB3427">
        <f>IF(AND(F3427,ABS(W3427)&gt;1E-12,Y3427&gt;0,Z3427&gt;0),AA3427,1E+300)</f>
        <v/>
      </c>
    </row>
    <row r="3428">
      <c r="A3428">
        <f>$B$3+$B$5*56</f>
        <v/>
      </c>
      <c r="B3428">
        <f>$B$3+$B$5*0</f>
        <v/>
      </c>
      <c r="C3428">
        <f>SUMPRODUCT(Calc!$K$3:$K$22*(Calc!$G$3:$G$22&lt;=A3428))</f>
        <v/>
      </c>
      <c r="D3428">
        <f>SUMPRODUCT(Calc!$K$3:$K$22*(Calc!$G$3:$G$22&gt;A3428)*(Calc!$G$3:$G$22&lt;B3428))</f>
        <v/>
      </c>
      <c r="E3428">
        <f>SUMPRODUCT(Calc!$K$3:$K$22*(Calc!$G$3:$G$22&gt;=B3428))</f>
        <v/>
      </c>
      <c r="F3428">
        <f>AND(k_n&gt;=5,B3428&gt;A3428+1E-9,C3428&gt;=2,D3428&gt;=1,E3428&gt;=2)</f>
        <v/>
      </c>
      <c r="G3428">
        <f>SUMPRODUCT(Calc!$K$3:$K$22*(Calc!$G$3:$G$22&gt;A3428)*(Calc!$G$3:$G$22-A3428))</f>
        <v/>
      </c>
      <c r="H3428">
        <f>SUMPRODUCT(Calc!$K$3:$K$22*(Calc!$G$3:$G$22&gt;B3428)*(Calc!$G$3:$G$22-B3428))</f>
        <v/>
      </c>
      <c r="I3428">
        <f>SUMPRODUCT(Calc!$K$3:$K$22*(Calc!$G$3:$G$22&gt;A3428)*(Calc!$G$3:$G$22-A3428)^2)</f>
        <v/>
      </c>
      <c r="J3428">
        <f>SUMPRODUCT(Calc!$K$3:$K$22*(Calc!$G$3:$G$22&gt;B3428)*(Calc!$G$3:$G$22-B3428)^2)</f>
        <v/>
      </c>
      <c r="K3428">
        <f>SUMPRODUCT(Calc!$K$3:$K$22*(Calc!$G$3:$G$22&gt;A3428)*(Calc!$G$3:$G$22-A3428)*(Calc!$G$3:$G$22&gt;B3428)*(Calc!$G$3:$G$22-B3428))</f>
        <v/>
      </c>
      <c r="L3428">
        <f>SUMPRODUCT(Calc!$K$3:$K$22*(Calc!$G$3:$G$22&gt;A3428)*(Calc!$G$3:$G$22-A3428)*Calc!$G$3:$G$22)</f>
        <v/>
      </c>
      <c r="M3428">
        <f>SUMPRODUCT(Calc!$K$3:$K$22*(Calc!$G$3:$G$22&gt;B3428)*(Calc!$G$3:$G$22-B3428)*Calc!$G$3:$G$22)</f>
        <v/>
      </c>
      <c r="N3428">
        <f>SUMPRODUCT(Calc!$K$3:$K$22*(Calc!$G$3:$G$22&gt;A3428)*(Calc!$G$3:$G$22-A3428)*Calc!$I$3:$I$22)</f>
        <v/>
      </c>
      <c r="O3428">
        <f>SUMPRODUCT(Calc!$K$3:$K$22*(Calc!$G$3:$G$22&gt;B3428)*(Calc!$G$3:$G$22-B3428)*Calc!$I$3:$I$22)</f>
        <v/>
      </c>
      <c r="P3428">
        <f>I3428-G3428^2/k_n</f>
        <v/>
      </c>
      <c r="Q3428">
        <f>J3428-H3428^2/k_n</f>
        <v/>
      </c>
      <c r="R3428">
        <f>K3428-G3428*H3428/k_n</f>
        <v/>
      </c>
      <c r="S3428">
        <f>L3428-LTP3!$D$3*G3428/k_n</f>
        <v/>
      </c>
      <c r="T3428">
        <f>M3428-LTP3!$D$3*H3428/k_n</f>
        <v/>
      </c>
      <c r="U3428">
        <f>N3428-G3428*LTP3!$D$4/k_n</f>
        <v/>
      </c>
      <c r="V3428">
        <f>O3428-H3428*LTP3!$D$4/k_n</f>
        <v/>
      </c>
      <c r="W3428">
        <f>((LTP3!$D$5)*((P3428)*(Q3428)-(R3428)*(R3428))-(S3428)*((S3428)*(Q3428)-(R3428)*(T3428))+(T3428)*((S3428)*(R3428)-(P3428)*(T3428)))</f>
        <v/>
      </c>
      <c r="X3428">
        <f>IF(ABS(W3428)&gt;1E-12,((LTP3!$D$6)*((P3428)*(Q3428)-(R3428)*(R3428))-(S3428)*((U3428)*(Q3428)-(R3428)*(V3428))+(T3428)*((U3428)*(R3428)-(P3428)*(V3428)))/W3428,0)</f>
        <v/>
      </c>
      <c r="Y3428">
        <f>IF(ABS(W3428)&gt;1E-12,((LTP3!$D$5)*((U3428)*(Q3428)-(R3428)*(V3428))-(LTP3!$D$6)*((S3428)*(Q3428)-(R3428)*(T3428))+(T3428)*((S3428)*(V3428)-(U3428)*(T3428)))/W3428,0)</f>
        <v/>
      </c>
      <c r="Z3428">
        <f>IF(ABS(W3428)&gt;1E-12,((LTP3!$D$5)*((P3428)*(V3428)-(U3428)*(R3428))-(S3428)*((S3428)*(V3428)-(U3428)*(T3428))+(LTP3!$D$6)*((S3428)*(R3428)-(P3428)*(T3428)))/W3428,0)</f>
        <v/>
      </c>
      <c r="AA3428">
        <f>LTP3!$D$7-X3428*LTP3!$D$6-Y3428*U3428-Z3428*V3428</f>
        <v/>
      </c>
      <c r="AB3428">
        <f>IF(AND(F3428,ABS(W3428)&gt;1E-12,Y3428&gt;0,Z3428&gt;0),AA3428,1E+300)</f>
        <v/>
      </c>
    </row>
    <row r="3429">
      <c r="A3429">
        <f>$B$3+$B$5*56</f>
        <v/>
      </c>
      <c r="B3429">
        <f>$B$3+$B$5*1</f>
        <v/>
      </c>
      <c r="C3429">
        <f>SUMPRODUCT(Calc!$K$3:$K$22*(Calc!$G$3:$G$22&lt;=A3429))</f>
        <v/>
      </c>
      <c r="D3429">
        <f>SUMPRODUCT(Calc!$K$3:$K$22*(Calc!$G$3:$G$22&gt;A3429)*(Calc!$G$3:$G$22&lt;B3429))</f>
        <v/>
      </c>
      <c r="E3429">
        <f>SUMPRODUCT(Calc!$K$3:$K$22*(Calc!$G$3:$G$22&gt;=B3429))</f>
        <v/>
      </c>
      <c r="F3429">
        <f>AND(k_n&gt;=5,B3429&gt;A3429+1E-9,C3429&gt;=2,D3429&gt;=1,E3429&gt;=2)</f>
        <v/>
      </c>
      <c r="G3429">
        <f>SUMPRODUCT(Calc!$K$3:$K$22*(Calc!$G$3:$G$22&gt;A3429)*(Calc!$G$3:$G$22-A3429))</f>
        <v/>
      </c>
      <c r="H3429">
        <f>SUMPRODUCT(Calc!$K$3:$K$22*(Calc!$G$3:$G$22&gt;B3429)*(Calc!$G$3:$G$22-B3429))</f>
        <v/>
      </c>
      <c r="I3429">
        <f>SUMPRODUCT(Calc!$K$3:$K$22*(Calc!$G$3:$G$22&gt;A3429)*(Calc!$G$3:$G$22-A3429)^2)</f>
        <v/>
      </c>
      <c r="J3429">
        <f>SUMPRODUCT(Calc!$K$3:$K$22*(Calc!$G$3:$G$22&gt;B3429)*(Calc!$G$3:$G$22-B3429)^2)</f>
        <v/>
      </c>
      <c r="K3429">
        <f>SUMPRODUCT(Calc!$K$3:$K$22*(Calc!$G$3:$G$22&gt;A3429)*(Calc!$G$3:$G$22-A3429)*(Calc!$G$3:$G$22&gt;B3429)*(Calc!$G$3:$G$22-B3429))</f>
        <v/>
      </c>
      <c r="L3429">
        <f>SUMPRODUCT(Calc!$K$3:$K$22*(Calc!$G$3:$G$22&gt;A3429)*(Calc!$G$3:$G$22-A3429)*Calc!$G$3:$G$22)</f>
        <v/>
      </c>
      <c r="M3429">
        <f>SUMPRODUCT(Calc!$K$3:$K$22*(Calc!$G$3:$G$22&gt;B3429)*(Calc!$G$3:$G$22-B3429)*Calc!$G$3:$G$22)</f>
        <v/>
      </c>
      <c r="N3429">
        <f>SUMPRODUCT(Calc!$K$3:$K$22*(Calc!$G$3:$G$22&gt;A3429)*(Calc!$G$3:$G$22-A3429)*Calc!$I$3:$I$22)</f>
        <v/>
      </c>
      <c r="O3429">
        <f>SUMPRODUCT(Calc!$K$3:$K$22*(Calc!$G$3:$G$22&gt;B3429)*(Calc!$G$3:$G$22-B3429)*Calc!$I$3:$I$22)</f>
        <v/>
      </c>
      <c r="P3429">
        <f>I3429-G3429^2/k_n</f>
        <v/>
      </c>
      <c r="Q3429">
        <f>J3429-H3429^2/k_n</f>
        <v/>
      </c>
      <c r="R3429">
        <f>K3429-G3429*H3429/k_n</f>
        <v/>
      </c>
      <c r="S3429">
        <f>L3429-LTP3!$D$3*G3429/k_n</f>
        <v/>
      </c>
      <c r="T3429">
        <f>M3429-LTP3!$D$3*H3429/k_n</f>
        <v/>
      </c>
      <c r="U3429">
        <f>N3429-G3429*LTP3!$D$4/k_n</f>
        <v/>
      </c>
      <c r="V3429">
        <f>O3429-H3429*LTP3!$D$4/k_n</f>
        <v/>
      </c>
      <c r="W3429">
        <f>((LTP3!$D$5)*((P3429)*(Q3429)-(R3429)*(R3429))-(S3429)*((S3429)*(Q3429)-(R3429)*(T3429))+(T3429)*((S3429)*(R3429)-(P3429)*(T3429)))</f>
        <v/>
      </c>
      <c r="X3429">
        <f>IF(ABS(W3429)&gt;1E-12,((LTP3!$D$6)*((P3429)*(Q3429)-(R3429)*(R3429))-(S3429)*((U3429)*(Q3429)-(R3429)*(V3429))+(T3429)*((U3429)*(R3429)-(P3429)*(V3429)))/W3429,0)</f>
        <v/>
      </c>
      <c r="Y3429">
        <f>IF(ABS(W3429)&gt;1E-12,((LTP3!$D$5)*((U3429)*(Q3429)-(R3429)*(V3429))-(LTP3!$D$6)*((S3429)*(Q3429)-(R3429)*(T3429))+(T3429)*((S3429)*(V3429)-(U3429)*(T3429)))/W3429,0)</f>
        <v/>
      </c>
      <c r="Z3429">
        <f>IF(ABS(W3429)&gt;1E-12,((LTP3!$D$5)*((P3429)*(V3429)-(U3429)*(R3429))-(S3429)*((S3429)*(V3429)-(U3429)*(T3429))+(LTP3!$D$6)*((S3429)*(R3429)-(P3429)*(T3429)))/W3429,0)</f>
        <v/>
      </c>
      <c r="AA3429">
        <f>LTP3!$D$7-X3429*LTP3!$D$6-Y3429*U3429-Z3429*V3429</f>
        <v/>
      </c>
      <c r="AB3429">
        <f>IF(AND(F3429,ABS(W3429)&gt;1E-12,Y3429&gt;0,Z3429&gt;0),AA3429,1E+300)</f>
        <v/>
      </c>
    </row>
    <row r="3430">
      <c r="A3430">
        <f>$B$3+$B$5*56</f>
        <v/>
      </c>
      <c r="B3430">
        <f>$B$3+$B$5*2</f>
        <v/>
      </c>
      <c r="C3430">
        <f>SUMPRODUCT(Calc!$K$3:$K$22*(Calc!$G$3:$G$22&lt;=A3430))</f>
        <v/>
      </c>
      <c r="D3430">
        <f>SUMPRODUCT(Calc!$K$3:$K$22*(Calc!$G$3:$G$22&gt;A3430)*(Calc!$G$3:$G$22&lt;B3430))</f>
        <v/>
      </c>
      <c r="E3430">
        <f>SUMPRODUCT(Calc!$K$3:$K$22*(Calc!$G$3:$G$22&gt;=B3430))</f>
        <v/>
      </c>
      <c r="F3430">
        <f>AND(k_n&gt;=5,B3430&gt;A3430+1E-9,C3430&gt;=2,D3430&gt;=1,E3430&gt;=2)</f>
        <v/>
      </c>
      <c r="G3430">
        <f>SUMPRODUCT(Calc!$K$3:$K$22*(Calc!$G$3:$G$22&gt;A3430)*(Calc!$G$3:$G$22-A3430))</f>
        <v/>
      </c>
      <c r="H3430">
        <f>SUMPRODUCT(Calc!$K$3:$K$22*(Calc!$G$3:$G$22&gt;B3430)*(Calc!$G$3:$G$22-B3430))</f>
        <v/>
      </c>
      <c r="I3430">
        <f>SUMPRODUCT(Calc!$K$3:$K$22*(Calc!$G$3:$G$22&gt;A3430)*(Calc!$G$3:$G$22-A3430)^2)</f>
        <v/>
      </c>
      <c r="J3430">
        <f>SUMPRODUCT(Calc!$K$3:$K$22*(Calc!$G$3:$G$22&gt;B3430)*(Calc!$G$3:$G$22-B3430)^2)</f>
        <v/>
      </c>
      <c r="K3430">
        <f>SUMPRODUCT(Calc!$K$3:$K$22*(Calc!$G$3:$G$22&gt;A3430)*(Calc!$G$3:$G$22-A3430)*(Calc!$G$3:$G$22&gt;B3430)*(Calc!$G$3:$G$22-B3430))</f>
        <v/>
      </c>
      <c r="L3430">
        <f>SUMPRODUCT(Calc!$K$3:$K$22*(Calc!$G$3:$G$22&gt;A3430)*(Calc!$G$3:$G$22-A3430)*Calc!$G$3:$G$22)</f>
        <v/>
      </c>
      <c r="M3430">
        <f>SUMPRODUCT(Calc!$K$3:$K$22*(Calc!$G$3:$G$22&gt;B3430)*(Calc!$G$3:$G$22-B3430)*Calc!$G$3:$G$22)</f>
        <v/>
      </c>
      <c r="N3430">
        <f>SUMPRODUCT(Calc!$K$3:$K$22*(Calc!$G$3:$G$22&gt;A3430)*(Calc!$G$3:$G$22-A3430)*Calc!$I$3:$I$22)</f>
        <v/>
      </c>
      <c r="O3430">
        <f>SUMPRODUCT(Calc!$K$3:$K$22*(Calc!$G$3:$G$22&gt;B3430)*(Calc!$G$3:$G$22-B3430)*Calc!$I$3:$I$22)</f>
        <v/>
      </c>
      <c r="P3430">
        <f>I3430-G3430^2/k_n</f>
        <v/>
      </c>
      <c r="Q3430">
        <f>J3430-H3430^2/k_n</f>
        <v/>
      </c>
      <c r="R3430">
        <f>K3430-G3430*H3430/k_n</f>
        <v/>
      </c>
      <c r="S3430">
        <f>L3430-LTP3!$D$3*G3430/k_n</f>
        <v/>
      </c>
      <c r="T3430">
        <f>M3430-LTP3!$D$3*H3430/k_n</f>
        <v/>
      </c>
      <c r="U3430">
        <f>N3430-G3430*LTP3!$D$4/k_n</f>
        <v/>
      </c>
      <c r="V3430">
        <f>O3430-H3430*LTP3!$D$4/k_n</f>
        <v/>
      </c>
      <c r="W3430">
        <f>((LTP3!$D$5)*((P3430)*(Q3430)-(R3430)*(R3430))-(S3430)*((S3430)*(Q3430)-(R3430)*(T3430))+(T3430)*((S3430)*(R3430)-(P3430)*(T3430)))</f>
        <v/>
      </c>
      <c r="X3430">
        <f>IF(ABS(W3430)&gt;1E-12,((LTP3!$D$6)*((P3430)*(Q3430)-(R3430)*(R3430))-(S3430)*((U3430)*(Q3430)-(R3430)*(V3430))+(T3430)*((U3430)*(R3430)-(P3430)*(V3430)))/W3430,0)</f>
        <v/>
      </c>
      <c r="Y3430">
        <f>IF(ABS(W3430)&gt;1E-12,((LTP3!$D$5)*((U3430)*(Q3430)-(R3430)*(V3430))-(LTP3!$D$6)*((S3430)*(Q3430)-(R3430)*(T3430))+(T3430)*((S3430)*(V3430)-(U3430)*(T3430)))/W3430,0)</f>
        <v/>
      </c>
      <c r="Z3430">
        <f>IF(ABS(W3430)&gt;1E-12,((LTP3!$D$5)*((P3430)*(V3430)-(U3430)*(R3430))-(S3430)*((S3430)*(V3430)-(U3430)*(T3430))+(LTP3!$D$6)*((S3430)*(R3430)-(P3430)*(T3430)))/W3430,0)</f>
        <v/>
      </c>
      <c r="AA3430">
        <f>LTP3!$D$7-X3430*LTP3!$D$6-Y3430*U3430-Z3430*V3430</f>
        <v/>
      </c>
      <c r="AB3430">
        <f>IF(AND(F3430,ABS(W3430)&gt;1E-12,Y3430&gt;0,Z3430&gt;0),AA3430,1E+300)</f>
        <v/>
      </c>
    </row>
    <row r="3431">
      <c r="A3431">
        <f>$B$3+$B$5*56</f>
        <v/>
      </c>
      <c r="B3431">
        <f>$B$3+$B$5*3</f>
        <v/>
      </c>
      <c r="C3431">
        <f>SUMPRODUCT(Calc!$K$3:$K$22*(Calc!$G$3:$G$22&lt;=A3431))</f>
        <v/>
      </c>
      <c r="D3431">
        <f>SUMPRODUCT(Calc!$K$3:$K$22*(Calc!$G$3:$G$22&gt;A3431)*(Calc!$G$3:$G$22&lt;B3431))</f>
        <v/>
      </c>
      <c r="E3431">
        <f>SUMPRODUCT(Calc!$K$3:$K$22*(Calc!$G$3:$G$22&gt;=B3431))</f>
        <v/>
      </c>
      <c r="F3431">
        <f>AND(k_n&gt;=5,B3431&gt;A3431+1E-9,C3431&gt;=2,D3431&gt;=1,E3431&gt;=2)</f>
        <v/>
      </c>
      <c r="G3431">
        <f>SUMPRODUCT(Calc!$K$3:$K$22*(Calc!$G$3:$G$22&gt;A3431)*(Calc!$G$3:$G$22-A3431))</f>
        <v/>
      </c>
      <c r="H3431">
        <f>SUMPRODUCT(Calc!$K$3:$K$22*(Calc!$G$3:$G$22&gt;B3431)*(Calc!$G$3:$G$22-B3431))</f>
        <v/>
      </c>
      <c r="I3431">
        <f>SUMPRODUCT(Calc!$K$3:$K$22*(Calc!$G$3:$G$22&gt;A3431)*(Calc!$G$3:$G$22-A3431)^2)</f>
        <v/>
      </c>
      <c r="J3431">
        <f>SUMPRODUCT(Calc!$K$3:$K$22*(Calc!$G$3:$G$22&gt;B3431)*(Calc!$G$3:$G$22-B3431)^2)</f>
        <v/>
      </c>
      <c r="K3431">
        <f>SUMPRODUCT(Calc!$K$3:$K$22*(Calc!$G$3:$G$22&gt;A3431)*(Calc!$G$3:$G$22-A3431)*(Calc!$G$3:$G$22&gt;B3431)*(Calc!$G$3:$G$22-B3431))</f>
        <v/>
      </c>
      <c r="L3431">
        <f>SUMPRODUCT(Calc!$K$3:$K$22*(Calc!$G$3:$G$22&gt;A3431)*(Calc!$G$3:$G$22-A3431)*Calc!$G$3:$G$22)</f>
        <v/>
      </c>
      <c r="M3431">
        <f>SUMPRODUCT(Calc!$K$3:$K$22*(Calc!$G$3:$G$22&gt;B3431)*(Calc!$G$3:$G$22-B3431)*Calc!$G$3:$G$22)</f>
        <v/>
      </c>
      <c r="N3431">
        <f>SUMPRODUCT(Calc!$K$3:$K$22*(Calc!$G$3:$G$22&gt;A3431)*(Calc!$G$3:$G$22-A3431)*Calc!$I$3:$I$22)</f>
        <v/>
      </c>
      <c r="O3431">
        <f>SUMPRODUCT(Calc!$K$3:$K$22*(Calc!$G$3:$G$22&gt;B3431)*(Calc!$G$3:$G$22-B3431)*Calc!$I$3:$I$22)</f>
        <v/>
      </c>
      <c r="P3431">
        <f>I3431-G3431^2/k_n</f>
        <v/>
      </c>
      <c r="Q3431">
        <f>J3431-H3431^2/k_n</f>
        <v/>
      </c>
      <c r="R3431">
        <f>K3431-G3431*H3431/k_n</f>
        <v/>
      </c>
      <c r="S3431">
        <f>L3431-LTP3!$D$3*G3431/k_n</f>
        <v/>
      </c>
      <c r="T3431">
        <f>M3431-LTP3!$D$3*H3431/k_n</f>
        <v/>
      </c>
      <c r="U3431">
        <f>N3431-G3431*LTP3!$D$4/k_n</f>
        <v/>
      </c>
      <c r="V3431">
        <f>O3431-H3431*LTP3!$D$4/k_n</f>
        <v/>
      </c>
      <c r="W3431">
        <f>((LTP3!$D$5)*((P3431)*(Q3431)-(R3431)*(R3431))-(S3431)*((S3431)*(Q3431)-(R3431)*(T3431))+(T3431)*((S3431)*(R3431)-(P3431)*(T3431)))</f>
        <v/>
      </c>
      <c r="X3431">
        <f>IF(ABS(W3431)&gt;1E-12,((LTP3!$D$6)*((P3431)*(Q3431)-(R3431)*(R3431))-(S3431)*((U3431)*(Q3431)-(R3431)*(V3431))+(T3431)*((U3431)*(R3431)-(P3431)*(V3431)))/W3431,0)</f>
        <v/>
      </c>
      <c r="Y3431">
        <f>IF(ABS(W3431)&gt;1E-12,((LTP3!$D$5)*((U3431)*(Q3431)-(R3431)*(V3431))-(LTP3!$D$6)*((S3431)*(Q3431)-(R3431)*(T3431))+(T3431)*((S3431)*(V3431)-(U3431)*(T3431)))/W3431,0)</f>
        <v/>
      </c>
      <c r="Z3431">
        <f>IF(ABS(W3431)&gt;1E-12,((LTP3!$D$5)*((P3431)*(V3431)-(U3431)*(R3431))-(S3431)*((S3431)*(V3431)-(U3431)*(T3431))+(LTP3!$D$6)*((S3431)*(R3431)-(P3431)*(T3431)))/W3431,0)</f>
        <v/>
      </c>
      <c r="AA3431">
        <f>LTP3!$D$7-X3431*LTP3!$D$6-Y3431*U3431-Z3431*V3431</f>
        <v/>
      </c>
      <c r="AB3431">
        <f>IF(AND(F3431,ABS(W3431)&gt;1E-12,Y3431&gt;0,Z3431&gt;0),AA3431,1E+300)</f>
        <v/>
      </c>
    </row>
    <row r="3432">
      <c r="A3432">
        <f>$B$3+$B$5*56</f>
        <v/>
      </c>
      <c r="B3432">
        <f>$B$3+$B$5*4</f>
        <v/>
      </c>
      <c r="C3432">
        <f>SUMPRODUCT(Calc!$K$3:$K$22*(Calc!$G$3:$G$22&lt;=A3432))</f>
        <v/>
      </c>
      <c r="D3432">
        <f>SUMPRODUCT(Calc!$K$3:$K$22*(Calc!$G$3:$G$22&gt;A3432)*(Calc!$G$3:$G$22&lt;B3432))</f>
        <v/>
      </c>
      <c r="E3432">
        <f>SUMPRODUCT(Calc!$K$3:$K$22*(Calc!$G$3:$G$22&gt;=B3432))</f>
        <v/>
      </c>
      <c r="F3432">
        <f>AND(k_n&gt;=5,B3432&gt;A3432+1E-9,C3432&gt;=2,D3432&gt;=1,E3432&gt;=2)</f>
        <v/>
      </c>
      <c r="G3432">
        <f>SUMPRODUCT(Calc!$K$3:$K$22*(Calc!$G$3:$G$22&gt;A3432)*(Calc!$G$3:$G$22-A3432))</f>
        <v/>
      </c>
      <c r="H3432">
        <f>SUMPRODUCT(Calc!$K$3:$K$22*(Calc!$G$3:$G$22&gt;B3432)*(Calc!$G$3:$G$22-B3432))</f>
        <v/>
      </c>
      <c r="I3432">
        <f>SUMPRODUCT(Calc!$K$3:$K$22*(Calc!$G$3:$G$22&gt;A3432)*(Calc!$G$3:$G$22-A3432)^2)</f>
        <v/>
      </c>
      <c r="J3432">
        <f>SUMPRODUCT(Calc!$K$3:$K$22*(Calc!$G$3:$G$22&gt;B3432)*(Calc!$G$3:$G$22-B3432)^2)</f>
        <v/>
      </c>
      <c r="K3432">
        <f>SUMPRODUCT(Calc!$K$3:$K$22*(Calc!$G$3:$G$22&gt;A3432)*(Calc!$G$3:$G$22-A3432)*(Calc!$G$3:$G$22&gt;B3432)*(Calc!$G$3:$G$22-B3432))</f>
        <v/>
      </c>
      <c r="L3432">
        <f>SUMPRODUCT(Calc!$K$3:$K$22*(Calc!$G$3:$G$22&gt;A3432)*(Calc!$G$3:$G$22-A3432)*Calc!$G$3:$G$22)</f>
        <v/>
      </c>
      <c r="M3432">
        <f>SUMPRODUCT(Calc!$K$3:$K$22*(Calc!$G$3:$G$22&gt;B3432)*(Calc!$G$3:$G$22-B3432)*Calc!$G$3:$G$22)</f>
        <v/>
      </c>
      <c r="N3432">
        <f>SUMPRODUCT(Calc!$K$3:$K$22*(Calc!$G$3:$G$22&gt;A3432)*(Calc!$G$3:$G$22-A3432)*Calc!$I$3:$I$22)</f>
        <v/>
      </c>
      <c r="O3432">
        <f>SUMPRODUCT(Calc!$K$3:$K$22*(Calc!$G$3:$G$22&gt;B3432)*(Calc!$G$3:$G$22-B3432)*Calc!$I$3:$I$22)</f>
        <v/>
      </c>
      <c r="P3432">
        <f>I3432-G3432^2/k_n</f>
        <v/>
      </c>
      <c r="Q3432">
        <f>J3432-H3432^2/k_n</f>
        <v/>
      </c>
      <c r="R3432">
        <f>K3432-G3432*H3432/k_n</f>
        <v/>
      </c>
      <c r="S3432">
        <f>L3432-LTP3!$D$3*G3432/k_n</f>
        <v/>
      </c>
      <c r="T3432">
        <f>M3432-LTP3!$D$3*H3432/k_n</f>
        <v/>
      </c>
      <c r="U3432">
        <f>N3432-G3432*LTP3!$D$4/k_n</f>
        <v/>
      </c>
      <c r="V3432">
        <f>O3432-H3432*LTP3!$D$4/k_n</f>
        <v/>
      </c>
      <c r="W3432">
        <f>((LTP3!$D$5)*((P3432)*(Q3432)-(R3432)*(R3432))-(S3432)*((S3432)*(Q3432)-(R3432)*(T3432))+(T3432)*((S3432)*(R3432)-(P3432)*(T3432)))</f>
        <v/>
      </c>
      <c r="X3432">
        <f>IF(ABS(W3432)&gt;1E-12,((LTP3!$D$6)*((P3432)*(Q3432)-(R3432)*(R3432))-(S3432)*((U3432)*(Q3432)-(R3432)*(V3432))+(T3432)*((U3432)*(R3432)-(P3432)*(V3432)))/W3432,0)</f>
        <v/>
      </c>
      <c r="Y3432">
        <f>IF(ABS(W3432)&gt;1E-12,((LTP3!$D$5)*((U3432)*(Q3432)-(R3432)*(V3432))-(LTP3!$D$6)*((S3432)*(Q3432)-(R3432)*(T3432))+(T3432)*((S3432)*(V3432)-(U3432)*(T3432)))/W3432,0)</f>
        <v/>
      </c>
      <c r="Z3432">
        <f>IF(ABS(W3432)&gt;1E-12,((LTP3!$D$5)*((P3432)*(V3432)-(U3432)*(R3432))-(S3432)*((S3432)*(V3432)-(U3432)*(T3432))+(LTP3!$D$6)*((S3432)*(R3432)-(P3432)*(T3432)))/W3432,0)</f>
        <v/>
      </c>
      <c r="AA3432">
        <f>LTP3!$D$7-X3432*LTP3!$D$6-Y3432*U3432-Z3432*V3432</f>
        <v/>
      </c>
      <c r="AB3432">
        <f>IF(AND(F3432,ABS(W3432)&gt;1E-12,Y3432&gt;0,Z3432&gt;0),AA3432,1E+300)</f>
        <v/>
      </c>
    </row>
    <row r="3433">
      <c r="A3433">
        <f>$B$3+$B$5*56</f>
        <v/>
      </c>
      <c r="B3433">
        <f>$B$3+$B$5*5</f>
        <v/>
      </c>
      <c r="C3433">
        <f>SUMPRODUCT(Calc!$K$3:$K$22*(Calc!$G$3:$G$22&lt;=A3433))</f>
        <v/>
      </c>
      <c r="D3433">
        <f>SUMPRODUCT(Calc!$K$3:$K$22*(Calc!$G$3:$G$22&gt;A3433)*(Calc!$G$3:$G$22&lt;B3433))</f>
        <v/>
      </c>
      <c r="E3433">
        <f>SUMPRODUCT(Calc!$K$3:$K$22*(Calc!$G$3:$G$22&gt;=B3433))</f>
        <v/>
      </c>
      <c r="F3433">
        <f>AND(k_n&gt;=5,B3433&gt;A3433+1E-9,C3433&gt;=2,D3433&gt;=1,E3433&gt;=2)</f>
        <v/>
      </c>
      <c r="G3433">
        <f>SUMPRODUCT(Calc!$K$3:$K$22*(Calc!$G$3:$G$22&gt;A3433)*(Calc!$G$3:$G$22-A3433))</f>
        <v/>
      </c>
      <c r="H3433">
        <f>SUMPRODUCT(Calc!$K$3:$K$22*(Calc!$G$3:$G$22&gt;B3433)*(Calc!$G$3:$G$22-B3433))</f>
        <v/>
      </c>
      <c r="I3433">
        <f>SUMPRODUCT(Calc!$K$3:$K$22*(Calc!$G$3:$G$22&gt;A3433)*(Calc!$G$3:$G$22-A3433)^2)</f>
        <v/>
      </c>
      <c r="J3433">
        <f>SUMPRODUCT(Calc!$K$3:$K$22*(Calc!$G$3:$G$22&gt;B3433)*(Calc!$G$3:$G$22-B3433)^2)</f>
        <v/>
      </c>
      <c r="K3433">
        <f>SUMPRODUCT(Calc!$K$3:$K$22*(Calc!$G$3:$G$22&gt;A3433)*(Calc!$G$3:$G$22-A3433)*(Calc!$G$3:$G$22&gt;B3433)*(Calc!$G$3:$G$22-B3433))</f>
        <v/>
      </c>
      <c r="L3433">
        <f>SUMPRODUCT(Calc!$K$3:$K$22*(Calc!$G$3:$G$22&gt;A3433)*(Calc!$G$3:$G$22-A3433)*Calc!$G$3:$G$22)</f>
        <v/>
      </c>
      <c r="M3433">
        <f>SUMPRODUCT(Calc!$K$3:$K$22*(Calc!$G$3:$G$22&gt;B3433)*(Calc!$G$3:$G$22-B3433)*Calc!$G$3:$G$22)</f>
        <v/>
      </c>
      <c r="N3433">
        <f>SUMPRODUCT(Calc!$K$3:$K$22*(Calc!$G$3:$G$22&gt;A3433)*(Calc!$G$3:$G$22-A3433)*Calc!$I$3:$I$22)</f>
        <v/>
      </c>
      <c r="O3433">
        <f>SUMPRODUCT(Calc!$K$3:$K$22*(Calc!$G$3:$G$22&gt;B3433)*(Calc!$G$3:$G$22-B3433)*Calc!$I$3:$I$22)</f>
        <v/>
      </c>
      <c r="P3433">
        <f>I3433-G3433^2/k_n</f>
        <v/>
      </c>
      <c r="Q3433">
        <f>J3433-H3433^2/k_n</f>
        <v/>
      </c>
      <c r="R3433">
        <f>K3433-G3433*H3433/k_n</f>
        <v/>
      </c>
      <c r="S3433">
        <f>L3433-LTP3!$D$3*G3433/k_n</f>
        <v/>
      </c>
      <c r="T3433">
        <f>M3433-LTP3!$D$3*H3433/k_n</f>
        <v/>
      </c>
      <c r="U3433">
        <f>N3433-G3433*LTP3!$D$4/k_n</f>
        <v/>
      </c>
      <c r="V3433">
        <f>O3433-H3433*LTP3!$D$4/k_n</f>
        <v/>
      </c>
      <c r="W3433">
        <f>((LTP3!$D$5)*((P3433)*(Q3433)-(R3433)*(R3433))-(S3433)*((S3433)*(Q3433)-(R3433)*(T3433))+(T3433)*((S3433)*(R3433)-(P3433)*(T3433)))</f>
        <v/>
      </c>
      <c r="X3433">
        <f>IF(ABS(W3433)&gt;1E-12,((LTP3!$D$6)*((P3433)*(Q3433)-(R3433)*(R3433))-(S3433)*((U3433)*(Q3433)-(R3433)*(V3433))+(T3433)*((U3433)*(R3433)-(P3433)*(V3433)))/W3433,0)</f>
        <v/>
      </c>
      <c r="Y3433">
        <f>IF(ABS(W3433)&gt;1E-12,((LTP3!$D$5)*((U3433)*(Q3433)-(R3433)*(V3433))-(LTP3!$D$6)*((S3433)*(Q3433)-(R3433)*(T3433))+(T3433)*((S3433)*(V3433)-(U3433)*(T3433)))/W3433,0)</f>
        <v/>
      </c>
      <c r="Z3433">
        <f>IF(ABS(W3433)&gt;1E-12,((LTP3!$D$5)*((P3433)*(V3433)-(U3433)*(R3433))-(S3433)*((S3433)*(V3433)-(U3433)*(T3433))+(LTP3!$D$6)*((S3433)*(R3433)-(P3433)*(T3433)))/W3433,0)</f>
        <v/>
      </c>
      <c r="AA3433">
        <f>LTP3!$D$7-X3433*LTP3!$D$6-Y3433*U3433-Z3433*V3433</f>
        <v/>
      </c>
      <c r="AB3433">
        <f>IF(AND(F3433,ABS(W3433)&gt;1E-12,Y3433&gt;0,Z3433&gt;0),AA3433,1E+300)</f>
        <v/>
      </c>
    </row>
    <row r="3434">
      <c r="A3434">
        <f>$B$3+$B$5*56</f>
        <v/>
      </c>
      <c r="B3434">
        <f>$B$3+$B$5*6</f>
        <v/>
      </c>
      <c r="C3434">
        <f>SUMPRODUCT(Calc!$K$3:$K$22*(Calc!$G$3:$G$22&lt;=A3434))</f>
        <v/>
      </c>
      <c r="D3434">
        <f>SUMPRODUCT(Calc!$K$3:$K$22*(Calc!$G$3:$G$22&gt;A3434)*(Calc!$G$3:$G$22&lt;B3434))</f>
        <v/>
      </c>
      <c r="E3434">
        <f>SUMPRODUCT(Calc!$K$3:$K$22*(Calc!$G$3:$G$22&gt;=B3434))</f>
        <v/>
      </c>
      <c r="F3434">
        <f>AND(k_n&gt;=5,B3434&gt;A3434+1E-9,C3434&gt;=2,D3434&gt;=1,E3434&gt;=2)</f>
        <v/>
      </c>
      <c r="G3434">
        <f>SUMPRODUCT(Calc!$K$3:$K$22*(Calc!$G$3:$G$22&gt;A3434)*(Calc!$G$3:$G$22-A3434))</f>
        <v/>
      </c>
      <c r="H3434">
        <f>SUMPRODUCT(Calc!$K$3:$K$22*(Calc!$G$3:$G$22&gt;B3434)*(Calc!$G$3:$G$22-B3434))</f>
        <v/>
      </c>
      <c r="I3434">
        <f>SUMPRODUCT(Calc!$K$3:$K$22*(Calc!$G$3:$G$22&gt;A3434)*(Calc!$G$3:$G$22-A3434)^2)</f>
        <v/>
      </c>
      <c r="J3434">
        <f>SUMPRODUCT(Calc!$K$3:$K$22*(Calc!$G$3:$G$22&gt;B3434)*(Calc!$G$3:$G$22-B3434)^2)</f>
        <v/>
      </c>
      <c r="K3434">
        <f>SUMPRODUCT(Calc!$K$3:$K$22*(Calc!$G$3:$G$22&gt;A3434)*(Calc!$G$3:$G$22-A3434)*(Calc!$G$3:$G$22&gt;B3434)*(Calc!$G$3:$G$22-B3434))</f>
        <v/>
      </c>
      <c r="L3434">
        <f>SUMPRODUCT(Calc!$K$3:$K$22*(Calc!$G$3:$G$22&gt;A3434)*(Calc!$G$3:$G$22-A3434)*Calc!$G$3:$G$22)</f>
        <v/>
      </c>
      <c r="M3434">
        <f>SUMPRODUCT(Calc!$K$3:$K$22*(Calc!$G$3:$G$22&gt;B3434)*(Calc!$G$3:$G$22-B3434)*Calc!$G$3:$G$22)</f>
        <v/>
      </c>
      <c r="N3434">
        <f>SUMPRODUCT(Calc!$K$3:$K$22*(Calc!$G$3:$G$22&gt;A3434)*(Calc!$G$3:$G$22-A3434)*Calc!$I$3:$I$22)</f>
        <v/>
      </c>
      <c r="O3434">
        <f>SUMPRODUCT(Calc!$K$3:$K$22*(Calc!$G$3:$G$22&gt;B3434)*(Calc!$G$3:$G$22-B3434)*Calc!$I$3:$I$22)</f>
        <v/>
      </c>
      <c r="P3434">
        <f>I3434-G3434^2/k_n</f>
        <v/>
      </c>
      <c r="Q3434">
        <f>J3434-H3434^2/k_n</f>
        <v/>
      </c>
      <c r="R3434">
        <f>K3434-G3434*H3434/k_n</f>
        <v/>
      </c>
      <c r="S3434">
        <f>L3434-LTP3!$D$3*G3434/k_n</f>
        <v/>
      </c>
      <c r="T3434">
        <f>M3434-LTP3!$D$3*H3434/k_n</f>
        <v/>
      </c>
      <c r="U3434">
        <f>N3434-G3434*LTP3!$D$4/k_n</f>
        <v/>
      </c>
      <c r="V3434">
        <f>O3434-H3434*LTP3!$D$4/k_n</f>
        <v/>
      </c>
      <c r="W3434">
        <f>((LTP3!$D$5)*((P3434)*(Q3434)-(R3434)*(R3434))-(S3434)*((S3434)*(Q3434)-(R3434)*(T3434))+(T3434)*((S3434)*(R3434)-(P3434)*(T3434)))</f>
        <v/>
      </c>
      <c r="X3434">
        <f>IF(ABS(W3434)&gt;1E-12,((LTP3!$D$6)*((P3434)*(Q3434)-(R3434)*(R3434))-(S3434)*((U3434)*(Q3434)-(R3434)*(V3434))+(T3434)*((U3434)*(R3434)-(P3434)*(V3434)))/W3434,0)</f>
        <v/>
      </c>
      <c r="Y3434">
        <f>IF(ABS(W3434)&gt;1E-12,((LTP3!$D$5)*((U3434)*(Q3434)-(R3434)*(V3434))-(LTP3!$D$6)*((S3434)*(Q3434)-(R3434)*(T3434))+(T3434)*((S3434)*(V3434)-(U3434)*(T3434)))/W3434,0)</f>
        <v/>
      </c>
      <c r="Z3434">
        <f>IF(ABS(W3434)&gt;1E-12,((LTP3!$D$5)*((P3434)*(V3434)-(U3434)*(R3434))-(S3434)*((S3434)*(V3434)-(U3434)*(T3434))+(LTP3!$D$6)*((S3434)*(R3434)-(P3434)*(T3434)))/W3434,0)</f>
        <v/>
      </c>
      <c r="AA3434">
        <f>LTP3!$D$7-X3434*LTP3!$D$6-Y3434*U3434-Z3434*V3434</f>
        <v/>
      </c>
      <c r="AB3434">
        <f>IF(AND(F3434,ABS(W3434)&gt;1E-12,Y3434&gt;0,Z3434&gt;0),AA3434,1E+300)</f>
        <v/>
      </c>
    </row>
    <row r="3435">
      <c r="A3435">
        <f>$B$3+$B$5*56</f>
        <v/>
      </c>
      <c r="B3435">
        <f>$B$3+$B$5*7</f>
        <v/>
      </c>
      <c r="C3435">
        <f>SUMPRODUCT(Calc!$K$3:$K$22*(Calc!$G$3:$G$22&lt;=A3435))</f>
        <v/>
      </c>
      <c r="D3435">
        <f>SUMPRODUCT(Calc!$K$3:$K$22*(Calc!$G$3:$G$22&gt;A3435)*(Calc!$G$3:$G$22&lt;B3435))</f>
        <v/>
      </c>
      <c r="E3435">
        <f>SUMPRODUCT(Calc!$K$3:$K$22*(Calc!$G$3:$G$22&gt;=B3435))</f>
        <v/>
      </c>
      <c r="F3435">
        <f>AND(k_n&gt;=5,B3435&gt;A3435+1E-9,C3435&gt;=2,D3435&gt;=1,E3435&gt;=2)</f>
        <v/>
      </c>
      <c r="G3435">
        <f>SUMPRODUCT(Calc!$K$3:$K$22*(Calc!$G$3:$G$22&gt;A3435)*(Calc!$G$3:$G$22-A3435))</f>
        <v/>
      </c>
      <c r="H3435">
        <f>SUMPRODUCT(Calc!$K$3:$K$22*(Calc!$G$3:$G$22&gt;B3435)*(Calc!$G$3:$G$22-B3435))</f>
        <v/>
      </c>
      <c r="I3435">
        <f>SUMPRODUCT(Calc!$K$3:$K$22*(Calc!$G$3:$G$22&gt;A3435)*(Calc!$G$3:$G$22-A3435)^2)</f>
        <v/>
      </c>
      <c r="J3435">
        <f>SUMPRODUCT(Calc!$K$3:$K$22*(Calc!$G$3:$G$22&gt;B3435)*(Calc!$G$3:$G$22-B3435)^2)</f>
        <v/>
      </c>
      <c r="K3435">
        <f>SUMPRODUCT(Calc!$K$3:$K$22*(Calc!$G$3:$G$22&gt;A3435)*(Calc!$G$3:$G$22-A3435)*(Calc!$G$3:$G$22&gt;B3435)*(Calc!$G$3:$G$22-B3435))</f>
        <v/>
      </c>
      <c r="L3435">
        <f>SUMPRODUCT(Calc!$K$3:$K$22*(Calc!$G$3:$G$22&gt;A3435)*(Calc!$G$3:$G$22-A3435)*Calc!$G$3:$G$22)</f>
        <v/>
      </c>
      <c r="M3435">
        <f>SUMPRODUCT(Calc!$K$3:$K$22*(Calc!$G$3:$G$22&gt;B3435)*(Calc!$G$3:$G$22-B3435)*Calc!$G$3:$G$22)</f>
        <v/>
      </c>
      <c r="N3435">
        <f>SUMPRODUCT(Calc!$K$3:$K$22*(Calc!$G$3:$G$22&gt;A3435)*(Calc!$G$3:$G$22-A3435)*Calc!$I$3:$I$22)</f>
        <v/>
      </c>
      <c r="O3435">
        <f>SUMPRODUCT(Calc!$K$3:$K$22*(Calc!$G$3:$G$22&gt;B3435)*(Calc!$G$3:$G$22-B3435)*Calc!$I$3:$I$22)</f>
        <v/>
      </c>
      <c r="P3435">
        <f>I3435-G3435^2/k_n</f>
        <v/>
      </c>
      <c r="Q3435">
        <f>J3435-H3435^2/k_n</f>
        <v/>
      </c>
      <c r="R3435">
        <f>K3435-G3435*H3435/k_n</f>
        <v/>
      </c>
      <c r="S3435">
        <f>L3435-LTP3!$D$3*G3435/k_n</f>
        <v/>
      </c>
      <c r="T3435">
        <f>M3435-LTP3!$D$3*H3435/k_n</f>
        <v/>
      </c>
      <c r="U3435">
        <f>N3435-G3435*LTP3!$D$4/k_n</f>
        <v/>
      </c>
      <c r="V3435">
        <f>O3435-H3435*LTP3!$D$4/k_n</f>
        <v/>
      </c>
      <c r="W3435">
        <f>((LTP3!$D$5)*((P3435)*(Q3435)-(R3435)*(R3435))-(S3435)*((S3435)*(Q3435)-(R3435)*(T3435))+(T3435)*((S3435)*(R3435)-(P3435)*(T3435)))</f>
        <v/>
      </c>
      <c r="X3435">
        <f>IF(ABS(W3435)&gt;1E-12,((LTP3!$D$6)*((P3435)*(Q3435)-(R3435)*(R3435))-(S3435)*((U3435)*(Q3435)-(R3435)*(V3435))+(T3435)*((U3435)*(R3435)-(P3435)*(V3435)))/W3435,0)</f>
        <v/>
      </c>
      <c r="Y3435">
        <f>IF(ABS(W3435)&gt;1E-12,((LTP3!$D$5)*((U3435)*(Q3435)-(R3435)*(V3435))-(LTP3!$D$6)*((S3435)*(Q3435)-(R3435)*(T3435))+(T3435)*((S3435)*(V3435)-(U3435)*(T3435)))/W3435,0)</f>
        <v/>
      </c>
      <c r="Z3435">
        <f>IF(ABS(W3435)&gt;1E-12,((LTP3!$D$5)*((P3435)*(V3435)-(U3435)*(R3435))-(S3435)*((S3435)*(V3435)-(U3435)*(T3435))+(LTP3!$D$6)*((S3435)*(R3435)-(P3435)*(T3435)))/W3435,0)</f>
        <v/>
      </c>
      <c r="AA3435">
        <f>LTP3!$D$7-X3435*LTP3!$D$6-Y3435*U3435-Z3435*V3435</f>
        <v/>
      </c>
      <c r="AB3435">
        <f>IF(AND(F3435,ABS(W3435)&gt;1E-12,Y3435&gt;0,Z3435&gt;0),AA3435,1E+300)</f>
        <v/>
      </c>
    </row>
    <row r="3436">
      <c r="A3436">
        <f>$B$3+$B$5*56</f>
        <v/>
      </c>
      <c r="B3436">
        <f>$B$3+$B$5*8</f>
        <v/>
      </c>
      <c r="C3436">
        <f>SUMPRODUCT(Calc!$K$3:$K$22*(Calc!$G$3:$G$22&lt;=A3436))</f>
        <v/>
      </c>
      <c r="D3436">
        <f>SUMPRODUCT(Calc!$K$3:$K$22*(Calc!$G$3:$G$22&gt;A3436)*(Calc!$G$3:$G$22&lt;B3436))</f>
        <v/>
      </c>
      <c r="E3436">
        <f>SUMPRODUCT(Calc!$K$3:$K$22*(Calc!$G$3:$G$22&gt;=B3436))</f>
        <v/>
      </c>
      <c r="F3436">
        <f>AND(k_n&gt;=5,B3436&gt;A3436+1E-9,C3436&gt;=2,D3436&gt;=1,E3436&gt;=2)</f>
        <v/>
      </c>
      <c r="G3436">
        <f>SUMPRODUCT(Calc!$K$3:$K$22*(Calc!$G$3:$G$22&gt;A3436)*(Calc!$G$3:$G$22-A3436))</f>
        <v/>
      </c>
      <c r="H3436">
        <f>SUMPRODUCT(Calc!$K$3:$K$22*(Calc!$G$3:$G$22&gt;B3436)*(Calc!$G$3:$G$22-B3436))</f>
        <v/>
      </c>
      <c r="I3436">
        <f>SUMPRODUCT(Calc!$K$3:$K$22*(Calc!$G$3:$G$22&gt;A3436)*(Calc!$G$3:$G$22-A3436)^2)</f>
        <v/>
      </c>
      <c r="J3436">
        <f>SUMPRODUCT(Calc!$K$3:$K$22*(Calc!$G$3:$G$22&gt;B3436)*(Calc!$G$3:$G$22-B3436)^2)</f>
        <v/>
      </c>
      <c r="K3436">
        <f>SUMPRODUCT(Calc!$K$3:$K$22*(Calc!$G$3:$G$22&gt;A3436)*(Calc!$G$3:$G$22-A3436)*(Calc!$G$3:$G$22&gt;B3436)*(Calc!$G$3:$G$22-B3436))</f>
        <v/>
      </c>
      <c r="L3436">
        <f>SUMPRODUCT(Calc!$K$3:$K$22*(Calc!$G$3:$G$22&gt;A3436)*(Calc!$G$3:$G$22-A3436)*Calc!$G$3:$G$22)</f>
        <v/>
      </c>
      <c r="M3436">
        <f>SUMPRODUCT(Calc!$K$3:$K$22*(Calc!$G$3:$G$22&gt;B3436)*(Calc!$G$3:$G$22-B3436)*Calc!$G$3:$G$22)</f>
        <v/>
      </c>
      <c r="N3436">
        <f>SUMPRODUCT(Calc!$K$3:$K$22*(Calc!$G$3:$G$22&gt;A3436)*(Calc!$G$3:$G$22-A3436)*Calc!$I$3:$I$22)</f>
        <v/>
      </c>
      <c r="O3436">
        <f>SUMPRODUCT(Calc!$K$3:$K$22*(Calc!$G$3:$G$22&gt;B3436)*(Calc!$G$3:$G$22-B3436)*Calc!$I$3:$I$22)</f>
        <v/>
      </c>
      <c r="P3436">
        <f>I3436-G3436^2/k_n</f>
        <v/>
      </c>
      <c r="Q3436">
        <f>J3436-H3436^2/k_n</f>
        <v/>
      </c>
      <c r="R3436">
        <f>K3436-G3436*H3436/k_n</f>
        <v/>
      </c>
      <c r="S3436">
        <f>L3436-LTP3!$D$3*G3436/k_n</f>
        <v/>
      </c>
      <c r="T3436">
        <f>M3436-LTP3!$D$3*H3436/k_n</f>
        <v/>
      </c>
      <c r="U3436">
        <f>N3436-G3436*LTP3!$D$4/k_n</f>
        <v/>
      </c>
      <c r="V3436">
        <f>O3436-H3436*LTP3!$D$4/k_n</f>
        <v/>
      </c>
      <c r="W3436">
        <f>((LTP3!$D$5)*((P3436)*(Q3436)-(R3436)*(R3436))-(S3436)*((S3436)*(Q3436)-(R3436)*(T3436))+(T3436)*((S3436)*(R3436)-(P3436)*(T3436)))</f>
        <v/>
      </c>
      <c r="X3436">
        <f>IF(ABS(W3436)&gt;1E-12,((LTP3!$D$6)*((P3436)*(Q3436)-(R3436)*(R3436))-(S3436)*((U3436)*(Q3436)-(R3436)*(V3436))+(T3436)*((U3436)*(R3436)-(P3436)*(V3436)))/W3436,0)</f>
        <v/>
      </c>
      <c r="Y3436">
        <f>IF(ABS(W3436)&gt;1E-12,((LTP3!$D$5)*((U3436)*(Q3436)-(R3436)*(V3436))-(LTP3!$D$6)*((S3436)*(Q3436)-(R3436)*(T3436))+(T3436)*((S3436)*(V3436)-(U3436)*(T3436)))/W3436,0)</f>
        <v/>
      </c>
      <c r="Z3436">
        <f>IF(ABS(W3436)&gt;1E-12,((LTP3!$D$5)*((P3436)*(V3436)-(U3436)*(R3436))-(S3436)*((S3436)*(V3436)-(U3436)*(T3436))+(LTP3!$D$6)*((S3436)*(R3436)-(P3436)*(T3436)))/W3436,0)</f>
        <v/>
      </c>
      <c r="AA3436">
        <f>LTP3!$D$7-X3436*LTP3!$D$6-Y3436*U3436-Z3436*V3436</f>
        <v/>
      </c>
      <c r="AB3436">
        <f>IF(AND(F3436,ABS(W3436)&gt;1E-12,Y3436&gt;0,Z3436&gt;0),AA3436,1E+300)</f>
        <v/>
      </c>
    </row>
    <row r="3437">
      <c r="A3437">
        <f>$B$3+$B$5*56</f>
        <v/>
      </c>
      <c r="B3437">
        <f>$B$3+$B$5*9</f>
        <v/>
      </c>
      <c r="C3437">
        <f>SUMPRODUCT(Calc!$K$3:$K$22*(Calc!$G$3:$G$22&lt;=A3437))</f>
        <v/>
      </c>
      <c r="D3437">
        <f>SUMPRODUCT(Calc!$K$3:$K$22*(Calc!$G$3:$G$22&gt;A3437)*(Calc!$G$3:$G$22&lt;B3437))</f>
        <v/>
      </c>
      <c r="E3437">
        <f>SUMPRODUCT(Calc!$K$3:$K$22*(Calc!$G$3:$G$22&gt;=B3437))</f>
        <v/>
      </c>
      <c r="F3437">
        <f>AND(k_n&gt;=5,B3437&gt;A3437+1E-9,C3437&gt;=2,D3437&gt;=1,E3437&gt;=2)</f>
        <v/>
      </c>
      <c r="G3437">
        <f>SUMPRODUCT(Calc!$K$3:$K$22*(Calc!$G$3:$G$22&gt;A3437)*(Calc!$G$3:$G$22-A3437))</f>
        <v/>
      </c>
      <c r="H3437">
        <f>SUMPRODUCT(Calc!$K$3:$K$22*(Calc!$G$3:$G$22&gt;B3437)*(Calc!$G$3:$G$22-B3437))</f>
        <v/>
      </c>
      <c r="I3437">
        <f>SUMPRODUCT(Calc!$K$3:$K$22*(Calc!$G$3:$G$22&gt;A3437)*(Calc!$G$3:$G$22-A3437)^2)</f>
        <v/>
      </c>
      <c r="J3437">
        <f>SUMPRODUCT(Calc!$K$3:$K$22*(Calc!$G$3:$G$22&gt;B3437)*(Calc!$G$3:$G$22-B3437)^2)</f>
        <v/>
      </c>
      <c r="K3437">
        <f>SUMPRODUCT(Calc!$K$3:$K$22*(Calc!$G$3:$G$22&gt;A3437)*(Calc!$G$3:$G$22-A3437)*(Calc!$G$3:$G$22&gt;B3437)*(Calc!$G$3:$G$22-B3437))</f>
        <v/>
      </c>
      <c r="L3437">
        <f>SUMPRODUCT(Calc!$K$3:$K$22*(Calc!$G$3:$G$22&gt;A3437)*(Calc!$G$3:$G$22-A3437)*Calc!$G$3:$G$22)</f>
        <v/>
      </c>
      <c r="M3437">
        <f>SUMPRODUCT(Calc!$K$3:$K$22*(Calc!$G$3:$G$22&gt;B3437)*(Calc!$G$3:$G$22-B3437)*Calc!$G$3:$G$22)</f>
        <v/>
      </c>
      <c r="N3437">
        <f>SUMPRODUCT(Calc!$K$3:$K$22*(Calc!$G$3:$G$22&gt;A3437)*(Calc!$G$3:$G$22-A3437)*Calc!$I$3:$I$22)</f>
        <v/>
      </c>
      <c r="O3437">
        <f>SUMPRODUCT(Calc!$K$3:$K$22*(Calc!$G$3:$G$22&gt;B3437)*(Calc!$G$3:$G$22-B3437)*Calc!$I$3:$I$22)</f>
        <v/>
      </c>
      <c r="P3437">
        <f>I3437-G3437^2/k_n</f>
        <v/>
      </c>
      <c r="Q3437">
        <f>J3437-H3437^2/k_n</f>
        <v/>
      </c>
      <c r="R3437">
        <f>K3437-G3437*H3437/k_n</f>
        <v/>
      </c>
      <c r="S3437">
        <f>L3437-LTP3!$D$3*G3437/k_n</f>
        <v/>
      </c>
      <c r="T3437">
        <f>M3437-LTP3!$D$3*H3437/k_n</f>
        <v/>
      </c>
      <c r="U3437">
        <f>N3437-G3437*LTP3!$D$4/k_n</f>
        <v/>
      </c>
      <c r="V3437">
        <f>O3437-H3437*LTP3!$D$4/k_n</f>
        <v/>
      </c>
      <c r="W3437">
        <f>((LTP3!$D$5)*((P3437)*(Q3437)-(R3437)*(R3437))-(S3437)*((S3437)*(Q3437)-(R3437)*(T3437))+(T3437)*((S3437)*(R3437)-(P3437)*(T3437)))</f>
        <v/>
      </c>
      <c r="X3437">
        <f>IF(ABS(W3437)&gt;1E-12,((LTP3!$D$6)*((P3437)*(Q3437)-(R3437)*(R3437))-(S3437)*((U3437)*(Q3437)-(R3437)*(V3437))+(T3437)*((U3437)*(R3437)-(P3437)*(V3437)))/W3437,0)</f>
        <v/>
      </c>
      <c r="Y3437">
        <f>IF(ABS(W3437)&gt;1E-12,((LTP3!$D$5)*((U3437)*(Q3437)-(R3437)*(V3437))-(LTP3!$D$6)*((S3437)*(Q3437)-(R3437)*(T3437))+(T3437)*((S3437)*(V3437)-(U3437)*(T3437)))/W3437,0)</f>
        <v/>
      </c>
      <c r="Z3437">
        <f>IF(ABS(W3437)&gt;1E-12,((LTP3!$D$5)*((P3437)*(V3437)-(U3437)*(R3437))-(S3437)*((S3437)*(V3437)-(U3437)*(T3437))+(LTP3!$D$6)*((S3437)*(R3437)-(P3437)*(T3437)))/W3437,0)</f>
        <v/>
      </c>
      <c r="AA3437">
        <f>LTP3!$D$7-X3437*LTP3!$D$6-Y3437*U3437-Z3437*V3437</f>
        <v/>
      </c>
      <c r="AB3437">
        <f>IF(AND(F3437,ABS(W3437)&gt;1E-12,Y3437&gt;0,Z3437&gt;0),AA3437,1E+300)</f>
        <v/>
      </c>
    </row>
    <row r="3438">
      <c r="A3438">
        <f>$B$3+$B$5*56</f>
        <v/>
      </c>
      <c r="B3438">
        <f>$B$3+$B$5*10</f>
        <v/>
      </c>
      <c r="C3438">
        <f>SUMPRODUCT(Calc!$K$3:$K$22*(Calc!$G$3:$G$22&lt;=A3438))</f>
        <v/>
      </c>
      <c r="D3438">
        <f>SUMPRODUCT(Calc!$K$3:$K$22*(Calc!$G$3:$G$22&gt;A3438)*(Calc!$G$3:$G$22&lt;B3438))</f>
        <v/>
      </c>
      <c r="E3438">
        <f>SUMPRODUCT(Calc!$K$3:$K$22*(Calc!$G$3:$G$22&gt;=B3438))</f>
        <v/>
      </c>
      <c r="F3438">
        <f>AND(k_n&gt;=5,B3438&gt;A3438+1E-9,C3438&gt;=2,D3438&gt;=1,E3438&gt;=2)</f>
        <v/>
      </c>
      <c r="G3438">
        <f>SUMPRODUCT(Calc!$K$3:$K$22*(Calc!$G$3:$G$22&gt;A3438)*(Calc!$G$3:$G$22-A3438))</f>
        <v/>
      </c>
      <c r="H3438">
        <f>SUMPRODUCT(Calc!$K$3:$K$22*(Calc!$G$3:$G$22&gt;B3438)*(Calc!$G$3:$G$22-B3438))</f>
        <v/>
      </c>
      <c r="I3438">
        <f>SUMPRODUCT(Calc!$K$3:$K$22*(Calc!$G$3:$G$22&gt;A3438)*(Calc!$G$3:$G$22-A3438)^2)</f>
        <v/>
      </c>
      <c r="J3438">
        <f>SUMPRODUCT(Calc!$K$3:$K$22*(Calc!$G$3:$G$22&gt;B3438)*(Calc!$G$3:$G$22-B3438)^2)</f>
        <v/>
      </c>
      <c r="K3438">
        <f>SUMPRODUCT(Calc!$K$3:$K$22*(Calc!$G$3:$G$22&gt;A3438)*(Calc!$G$3:$G$22-A3438)*(Calc!$G$3:$G$22&gt;B3438)*(Calc!$G$3:$G$22-B3438))</f>
        <v/>
      </c>
      <c r="L3438">
        <f>SUMPRODUCT(Calc!$K$3:$K$22*(Calc!$G$3:$G$22&gt;A3438)*(Calc!$G$3:$G$22-A3438)*Calc!$G$3:$G$22)</f>
        <v/>
      </c>
      <c r="M3438">
        <f>SUMPRODUCT(Calc!$K$3:$K$22*(Calc!$G$3:$G$22&gt;B3438)*(Calc!$G$3:$G$22-B3438)*Calc!$G$3:$G$22)</f>
        <v/>
      </c>
      <c r="N3438">
        <f>SUMPRODUCT(Calc!$K$3:$K$22*(Calc!$G$3:$G$22&gt;A3438)*(Calc!$G$3:$G$22-A3438)*Calc!$I$3:$I$22)</f>
        <v/>
      </c>
      <c r="O3438">
        <f>SUMPRODUCT(Calc!$K$3:$K$22*(Calc!$G$3:$G$22&gt;B3438)*(Calc!$G$3:$G$22-B3438)*Calc!$I$3:$I$22)</f>
        <v/>
      </c>
      <c r="P3438">
        <f>I3438-G3438^2/k_n</f>
        <v/>
      </c>
      <c r="Q3438">
        <f>J3438-H3438^2/k_n</f>
        <v/>
      </c>
      <c r="R3438">
        <f>K3438-G3438*H3438/k_n</f>
        <v/>
      </c>
      <c r="S3438">
        <f>L3438-LTP3!$D$3*G3438/k_n</f>
        <v/>
      </c>
      <c r="T3438">
        <f>M3438-LTP3!$D$3*H3438/k_n</f>
        <v/>
      </c>
      <c r="U3438">
        <f>N3438-G3438*LTP3!$D$4/k_n</f>
        <v/>
      </c>
      <c r="V3438">
        <f>O3438-H3438*LTP3!$D$4/k_n</f>
        <v/>
      </c>
      <c r="W3438">
        <f>((LTP3!$D$5)*((P3438)*(Q3438)-(R3438)*(R3438))-(S3438)*((S3438)*(Q3438)-(R3438)*(T3438))+(T3438)*((S3438)*(R3438)-(P3438)*(T3438)))</f>
        <v/>
      </c>
      <c r="X3438">
        <f>IF(ABS(W3438)&gt;1E-12,((LTP3!$D$6)*((P3438)*(Q3438)-(R3438)*(R3438))-(S3438)*((U3438)*(Q3438)-(R3438)*(V3438))+(T3438)*((U3438)*(R3438)-(P3438)*(V3438)))/W3438,0)</f>
        <v/>
      </c>
      <c r="Y3438">
        <f>IF(ABS(W3438)&gt;1E-12,((LTP3!$D$5)*((U3438)*(Q3438)-(R3438)*(V3438))-(LTP3!$D$6)*((S3438)*(Q3438)-(R3438)*(T3438))+(T3438)*((S3438)*(V3438)-(U3438)*(T3438)))/W3438,0)</f>
        <v/>
      </c>
      <c r="Z3438">
        <f>IF(ABS(W3438)&gt;1E-12,((LTP3!$D$5)*((P3438)*(V3438)-(U3438)*(R3438))-(S3438)*((S3438)*(V3438)-(U3438)*(T3438))+(LTP3!$D$6)*((S3438)*(R3438)-(P3438)*(T3438)))/W3438,0)</f>
        <v/>
      </c>
      <c r="AA3438">
        <f>LTP3!$D$7-X3438*LTP3!$D$6-Y3438*U3438-Z3438*V3438</f>
        <v/>
      </c>
      <c r="AB3438">
        <f>IF(AND(F3438,ABS(W3438)&gt;1E-12,Y3438&gt;0,Z3438&gt;0),AA3438,1E+300)</f>
        <v/>
      </c>
    </row>
    <row r="3439">
      <c r="A3439">
        <f>$B$3+$B$5*56</f>
        <v/>
      </c>
      <c r="B3439">
        <f>$B$3+$B$5*11</f>
        <v/>
      </c>
      <c r="C3439">
        <f>SUMPRODUCT(Calc!$K$3:$K$22*(Calc!$G$3:$G$22&lt;=A3439))</f>
        <v/>
      </c>
      <c r="D3439">
        <f>SUMPRODUCT(Calc!$K$3:$K$22*(Calc!$G$3:$G$22&gt;A3439)*(Calc!$G$3:$G$22&lt;B3439))</f>
        <v/>
      </c>
      <c r="E3439">
        <f>SUMPRODUCT(Calc!$K$3:$K$22*(Calc!$G$3:$G$22&gt;=B3439))</f>
        <v/>
      </c>
      <c r="F3439">
        <f>AND(k_n&gt;=5,B3439&gt;A3439+1E-9,C3439&gt;=2,D3439&gt;=1,E3439&gt;=2)</f>
        <v/>
      </c>
      <c r="G3439">
        <f>SUMPRODUCT(Calc!$K$3:$K$22*(Calc!$G$3:$G$22&gt;A3439)*(Calc!$G$3:$G$22-A3439))</f>
        <v/>
      </c>
      <c r="H3439">
        <f>SUMPRODUCT(Calc!$K$3:$K$22*(Calc!$G$3:$G$22&gt;B3439)*(Calc!$G$3:$G$22-B3439))</f>
        <v/>
      </c>
      <c r="I3439">
        <f>SUMPRODUCT(Calc!$K$3:$K$22*(Calc!$G$3:$G$22&gt;A3439)*(Calc!$G$3:$G$22-A3439)^2)</f>
        <v/>
      </c>
      <c r="J3439">
        <f>SUMPRODUCT(Calc!$K$3:$K$22*(Calc!$G$3:$G$22&gt;B3439)*(Calc!$G$3:$G$22-B3439)^2)</f>
        <v/>
      </c>
      <c r="K3439">
        <f>SUMPRODUCT(Calc!$K$3:$K$22*(Calc!$G$3:$G$22&gt;A3439)*(Calc!$G$3:$G$22-A3439)*(Calc!$G$3:$G$22&gt;B3439)*(Calc!$G$3:$G$22-B3439))</f>
        <v/>
      </c>
      <c r="L3439">
        <f>SUMPRODUCT(Calc!$K$3:$K$22*(Calc!$G$3:$G$22&gt;A3439)*(Calc!$G$3:$G$22-A3439)*Calc!$G$3:$G$22)</f>
        <v/>
      </c>
      <c r="M3439">
        <f>SUMPRODUCT(Calc!$K$3:$K$22*(Calc!$G$3:$G$22&gt;B3439)*(Calc!$G$3:$G$22-B3439)*Calc!$G$3:$G$22)</f>
        <v/>
      </c>
      <c r="N3439">
        <f>SUMPRODUCT(Calc!$K$3:$K$22*(Calc!$G$3:$G$22&gt;A3439)*(Calc!$G$3:$G$22-A3439)*Calc!$I$3:$I$22)</f>
        <v/>
      </c>
      <c r="O3439">
        <f>SUMPRODUCT(Calc!$K$3:$K$22*(Calc!$G$3:$G$22&gt;B3439)*(Calc!$G$3:$G$22-B3439)*Calc!$I$3:$I$22)</f>
        <v/>
      </c>
      <c r="P3439">
        <f>I3439-G3439^2/k_n</f>
        <v/>
      </c>
      <c r="Q3439">
        <f>J3439-H3439^2/k_n</f>
        <v/>
      </c>
      <c r="R3439">
        <f>K3439-G3439*H3439/k_n</f>
        <v/>
      </c>
      <c r="S3439">
        <f>L3439-LTP3!$D$3*G3439/k_n</f>
        <v/>
      </c>
      <c r="T3439">
        <f>M3439-LTP3!$D$3*H3439/k_n</f>
        <v/>
      </c>
      <c r="U3439">
        <f>N3439-G3439*LTP3!$D$4/k_n</f>
        <v/>
      </c>
      <c r="V3439">
        <f>O3439-H3439*LTP3!$D$4/k_n</f>
        <v/>
      </c>
      <c r="W3439">
        <f>((LTP3!$D$5)*((P3439)*(Q3439)-(R3439)*(R3439))-(S3439)*((S3439)*(Q3439)-(R3439)*(T3439))+(T3439)*((S3439)*(R3439)-(P3439)*(T3439)))</f>
        <v/>
      </c>
      <c r="X3439">
        <f>IF(ABS(W3439)&gt;1E-12,((LTP3!$D$6)*((P3439)*(Q3439)-(R3439)*(R3439))-(S3439)*((U3439)*(Q3439)-(R3439)*(V3439))+(T3439)*((U3439)*(R3439)-(P3439)*(V3439)))/W3439,0)</f>
        <v/>
      </c>
      <c r="Y3439">
        <f>IF(ABS(W3439)&gt;1E-12,((LTP3!$D$5)*((U3439)*(Q3439)-(R3439)*(V3439))-(LTP3!$D$6)*((S3439)*(Q3439)-(R3439)*(T3439))+(T3439)*((S3439)*(V3439)-(U3439)*(T3439)))/W3439,0)</f>
        <v/>
      </c>
      <c r="Z3439">
        <f>IF(ABS(W3439)&gt;1E-12,((LTP3!$D$5)*((P3439)*(V3439)-(U3439)*(R3439))-(S3439)*((S3439)*(V3439)-(U3439)*(T3439))+(LTP3!$D$6)*((S3439)*(R3439)-(P3439)*(T3439)))/W3439,0)</f>
        <v/>
      </c>
      <c r="AA3439">
        <f>LTP3!$D$7-X3439*LTP3!$D$6-Y3439*U3439-Z3439*V3439</f>
        <v/>
      </c>
      <c r="AB3439">
        <f>IF(AND(F3439,ABS(W3439)&gt;1E-12,Y3439&gt;0,Z3439&gt;0),AA3439,1E+300)</f>
        <v/>
      </c>
    </row>
    <row r="3440">
      <c r="A3440">
        <f>$B$3+$B$5*56</f>
        <v/>
      </c>
      <c r="B3440">
        <f>$B$3+$B$5*12</f>
        <v/>
      </c>
      <c r="C3440">
        <f>SUMPRODUCT(Calc!$K$3:$K$22*(Calc!$G$3:$G$22&lt;=A3440))</f>
        <v/>
      </c>
      <c r="D3440">
        <f>SUMPRODUCT(Calc!$K$3:$K$22*(Calc!$G$3:$G$22&gt;A3440)*(Calc!$G$3:$G$22&lt;B3440))</f>
        <v/>
      </c>
      <c r="E3440">
        <f>SUMPRODUCT(Calc!$K$3:$K$22*(Calc!$G$3:$G$22&gt;=B3440))</f>
        <v/>
      </c>
      <c r="F3440">
        <f>AND(k_n&gt;=5,B3440&gt;A3440+1E-9,C3440&gt;=2,D3440&gt;=1,E3440&gt;=2)</f>
        <v/>
      </c>
      <c r="G3440">
        <f>SUMPRODUCT(Calc!$K$3:$K$22*(Calc!$G$3:$G$22&gt;A3440)*(Calc!$G$3:$G$22-A3440))</f>
        <v/>
      </c>
      <c r="H3440">
        <f>SUMPRODUCT(Calc!$K$3:$K$22*(Calc!$G$3:$G$22&gt;B3440)*(Calc!$G$3:$G$22-B3440))</f>
        <v/>
      </c>
      <c r="I3440">
        <f>SUMPRODUCT(Calc!$K$3:$K$22*(Calc!$G$3:$G$22&gt;A3440)*(Calc!$G$3:$G$22-A3440)^2)</f>
        <v/>
      </c>
      <c r="J3440">
        <f>SUMPRODUCT(Calc!$K$3:$K$22*(Calc!$G$3:$G$22&gt;B3440)*(Calc!$G$3:$G$22-B3440)^2)</f>
        <v/>
      </c>
      <c r="K3440">
        <f>SUMPRODUCT(Calc!$K$3:$K$22*(Calc!$G$3:$G$22&gt;A3440)*(Calc!$G$3:$G$22-A3440)*(Calc!$G$3:$G$22&gt;B3440)*(Calc!$G$3:$G$22-B3440))</f>
        <v/>
      </c>
      <c r="L3440">
        <f>SUMPRODUCT(Calc!$K$3:$K$22*(Calc!$G$3:$G$22&gt;A3440)*(Calc!$G$3:$G$22-A3440)*Calc!$G$3:$G$22)</f>
        <v/>
      </c>
      <c r="M3440">
        <f>SUMPRODUCT(Calc!$K$3:$K$22*(Calc!$G$3:$G$22&gt;B3440)*(Calc!$G$3:$G$22-B3440)*Calc!$G$3:$G$22)</f>
        <v/>
      </c>
      <c r="N3440">
        <f>SUMPRODUCT(Calc!$K$3:$K$22*(Calc!$G$3:$G$22&gt;A3440)*(Calc!$G$3:$G$22-A3440)*Calc!$I$3:$I$22)</f>
        <v/>
      </c>
      <c r="O3440">
        <f>SUMPRODUCT(Calc!$K$3:$K$22*(Calc!$G$3:$G$22&gt;B3440)*(Calc!$G$3:$G$22-B3440)*Calc!$I$3:$I$22)</f>
        <v/>
      </c>
      <c r="P3440">
        <f>I3440-G3440^2/k_n</f>
        <v/>
      </c>
      <c r="Q3440">
        <f>J3440-H3440^2/k_n</f>
        <v/>
      </c>
      <c r="R3440">
        <f>K3440-G3440*H3440/k_n</f>
        <v/>
      </c>
      <c r="S3440">
        <f>L3440-LTP3!$D$3*G3440/k_n</f>
        <v/>
      </c>
      <c r="T3440">
        <f>M3440-LTP3!$D$3*H3440/k_n</f>
        <v/>
      </c>
      <c r="U3440">
        <f>N3440-G3440*LTP3!$D$4/k_n</f>
        <v/>
      </c>
      <c r="V3440">
        <f>O3440-H3440*LTP3!$D$4/k_n</f>
        <v/>
      </c>
      <c r="W3440">
        <f>((LTP3!$D$5)*((P3440)*(Q3440)-(R3440)*(R3440))-(S3440)*((S3440)*(Q3440)-(R3440)*(T3440))+(T3440)*((S3440)*(R3440)-(P3440)*(T3440)))</f>
        <v/>
      </c>
      <c r="X3440">
        <f>IF(ABS(W3440)&gt;1E-12,((LTP3!$D$6)*((P3440)*(Q3440)-(R3440)*(R3440))-(S3440)*((U3440)*(Q3440)-(R3440)*(V3440))+(T3440)*((U3440)*(R3440)-(P3440)*(V3440)))/W3440,0)</f>
        <v/>
      </c>
      <c r="Y3440">
        <f>IF(ABS(W3440)&gt;1E-12,((LTP3!$D$5)*((U3440)*(Q3440)-(R3440)*(V3440))-(LTP3!$D$6)*((S3440)*(Q3440)-(R3440)*(T3440))+(T3440)*((S3440)*(V3440)-(U3440)*(T3440)))/W3440,0)</f>
        <v/>
      </c>
      <c r="Z3440">
        <f>IF(ABS(W3440)&gt;1E-12,((LTP3!$D$5)*((P3440)*(V3440)-(U3440)*(R3440))-(S3440)*((S3440)*(V3440)-(U3440)*(T3440))+(LTP3!$D$6)*((S3440)*(R3440)-(P3440)*(T3440)))/W3440,0)</f>
        <v/>
      </c>
      <c r="AA3440">
        <f>LTP3!$D$7-X3440*LTP3!$D$6-Y3440*U3440-Z3440*V3440</f>
        <v/>
      </c>
      <c r="AB3440">
        <f>IF(AND(F3440,ABS(W3440)&gt;1E-12,Y3440&gt;0,Z3440&gt;0),AA3440,1E+300)</f>
        <v/>
      </c>
    </row>
    <row r="3441">
      <c r="A3441">
        <f>$B$3+$B$5*56</f>
        <v/>
      </c>
      <c r="B3441">
        <f>$B$3+$B$5*13</f>
        <v/>
      </c>
      <c r="C3441">
        <f>SUMPRODUCT(Calc!$K$3:$K$22*(Calc!$G$3:$G$22&lt;=A3441))</f>
        <v/>
      </c>
      <c r="D3441">
        <f>SUMPRODUCT(Calc!$K$3:$K$22*(Calc!$G$3:$G$22&gt;A3441)*(Calc!$G$3:$G$22&lt;B3441))</f>
        <v/>
      </c>
      <c r="E3441">
        <f>SUMPRODUCT(Calc!$K$3:$K$22*(Calc!$G$3:$G$22&gt;=B3441))</f>
        <v/>
      </c>
      <c r="F3441">
        <f>AND(k_n&gt;=5,B3441&gt;A3441+1E-9,C3441&gt;=2,D3441&gt;=1,E3441&gt;=2)</f>
        <v/>
      </c>
      <c r="G3441">
        <f>SUMPRODUCT(Calc!$K$3:$K$22*(Calc!$G$3:$G$22&gt;A3441)*(Calc!$G$3:$G$22-A3441))</f>
        <v/>
      </c>
      <c r="H3441">
        <f>SUMPRODUCT(Calc!$K$3:$K$22*(Calc!$G$3:$G$22&gt;B3441)*(Calc!$G$3:$G$22-B3441))</f>
        <v/>
      </c>
      <c r="I3441">
        <f>SUMPRODUCT(Calc!$K$3:$K$22*(Calc!$G$3:$G$22&gt;A3441)*(Calc!$G$3:$G$22-A3441)^2)</f>
        <v/>
      </c>
      <c r="J3441">
        <f>SUMPRODUCT(Calc!$K$3:$K$22*(Calc!$G$3:$G$22&gt;B3441)*(Calc!$G$3:$G$22-B3441)^2)</f>
        <v/>
      </c>
      <c r="K3441">
        <f>SUMPRODUCT(Calc!$K$3:$K$22*(Calc!$G$3:$G$22&gt;A3441)*(Calc!$G$3:$G$22-A3441)*(Calc!$G$3:$G$22&gt;B3441)*(Calc!$G$3:$G$22-B3441))</f>
        <v/>
      </c>
      <c r="L3441">
        <f>SUMPRODUCT(Calc!$K$3:$K$22*(Calc!$G$3:$G$22&gt;A3441)*(Calc!$G$3:$G$22-A3441)*Calc!$G$3:$G$22)</f>
        <v/>
      </c>
      <c r="M3441">
        <f>SUMPRODUCT(Calc!$K$3:$K$22*(Calc!$G$3:$G$22&gt;B3441)*(Calc!$G$3:$G$22-B3441)*Calc!$G$3:$G$22)</f>
        <v/>
      </c>
      <c r="N3441">
        <f>SUMPRODUCT(Calc!$K$3:$K$22*(Calc!$G$3:$G$22&gt;A3441)*(Calc!$G$3:$G$22-A3441)*Calc!$I$3:$I$22)</f>
        <v/>
      </c>
      <c r="O3441">
        <f>SUMPRODUCT(Calc!$K$3:$K$22*(Calc!$G$3:$G$22&gt;B3441)*(Calc!$G$3:$G$22-B3441)*Calc!$I$3:$I$22)</f>
        <v/>
      </c>
      <c r="P3441">
        <f>I3441-G3441^2/k_n</f>
        <v/>
      </c>
      <c r="Q3441">
        <f>J3441-H3441^2/k_n</f>
        <v/>
      </c>
      <c r="R3441">
        <f>K3441-G3441*H3441/k_n</f>
        <v/>
      </c>
      <c r="S3441">
        <f>L3441-LTP3!$D$3*G3441/k_n</f>
        <v/>
      </c>
      <c r="T3441">
        <f>M3441-LTP3!$D$3*H3441/k_n</f>
        <v/>
      </c>
      <c r="U3441">
        <f>N3441-G3441*LTP3!$D$4/k_n</f>
        <v/>
      </c>
      <c r="V3441">
        <f>O3441-H3441*LTP3!$D$4/k_n</f>
        <v/>
      </c>
      <c r="W3441">
        <f>((LTP3!$D$5)*((P3441)*(Q3441)-(R3441)*(R3441))-(S3441)*((S3441)*(Q3441)-(R3441)*(T3441))+(T3441)*((S3441)*(R3441)-(P3441)*(T3441)))</f>
        <v/>
      </c>
      <c r="X3441">
        <f>IF(ABS(W3441)&gt;1E-12,((LTP3!$D$6)*((P3441)*(Q3441)-(R3441)*(R3441))-(S3441)*((U3441)*(Q3441)-(R3441)*(V3441))+(T3441)*((U3441)*(R3441)-(P3441)*(V3441)))/W3441,0)</f>
        <v/>
      </c>
      <c r="Y3441">
        <f>IF(ABS(W3441)&gt;1E-12,((LTP3!$D$5)*((U3441)*(Q3441)-(R3441)*(V3441))-(LTP3!$D$6)*((S3441)*(Q3441)-(R3441)*(T3441))+(T3441)*((S3441)*(V3441)-(U3441)*(T3441)))/W3441,0)</f>
        <v/>
      </c>
      <c r="Z3441">
        <f>IF(ABS(W3441)&gt;1E-12,((LTP3!$D$5)*((P3441)*(V3441)-(U3441)*(R3441))-(S3441)*((S3441)*(V3441)-(U3441)*(T3441))+(LTP3!$D$6)*((S3441)*(R3441)-(P3441)*(T3441)))/W3441,0)</f>
        <v/>
      </c>
      <c r="AA3441">
        <f>LTP3!$D$7-X3441*LTP3!$D$6-Y3441*U3441-Z3441*V3441</f>
        <v/>
      </c>
      <c r="AB3441">
        <f>IF(AND(F3441,ABS(W3441)&gt;1E-12,Y3441&gt;0,Z3441&gt;0),AA3441,1E+300)</f>
        <v/>
      </c>
    </row>
    <row r="3442">
      <c r="A3442">
        <f>$B$3+$B$5*56</f>
        <v/>
      </c>
      <c r="B3442">
        <f>$B$3+$B$5*14</f>
        <v/>
      </c>
      <c r="C3442">
        <f>SUMPRODUCT(Calc!$K$3:$K$22*(Calc!$G$3:$G$22&lt;=A3442))</f>
        <v/>
      </c>
      <c r="D3442">
        <f>SUMPRODUCT(Calc!$K$3:$K$22*(Calc!$G$3:$G$22&gt;A3442)*(Calc!$G$3:$G$22&lt;B3442))</f>
        <v/>
      </c>
      <c r="E3442">
        <f>SUMPRODUCT(Calc!$K$3:$K$22*(Calc!$G$3:$G$22&gt;=B3442))</f>
        <v/>
      </c>
      <c r="F3442">
        <f>AND(k_n&gt;=5,B3442&gt;A3442+1E-9,C3442&gt;=2,D3442&gt;=1,E3442&gt;=2)</f>
        <v/>
      </c>
      <c r="G3442">
        <f>SUMPRODUCT(Calc!$K$3:$K$22*(Calc!$G$3:$G$22&gt;A3442)*(Calc!$G$3:$G$22-A3442))</f>
        <v/>
      </c>
      <c r="H3442">
        <f>SUMPRODUCT(Calc!$K$3:$K$22*(Calc!$G$3:$G$22&gt;B3442)*(Calc!$G$3:$G$22-B3442))</f>
        <v/>
      </c>
      <c r="I3442">
        <f>SUMPRODUCT(Calc!$K$3:$K$22*(Calc!$G$3:$G$22&gt;A3442)*(Calc!$G$3:$G$22-A3442)^2)</f>
        <v/>
      </c>
      <c r="J3442">
        <f>SUMPRODUCT(Calc!$K$3:$K$22*(Calc!$G$3:$G$22&gt;B3442)*(Calc!$G$3:$G$22-B3442)^2)</f>
        <v/>
      </c>
      <c r="K3442">
        <f>SUMPRODUCT(Calc!$K$3:$K$22*(Calc!$G$3:$G$22&gt;A3442)*(Calc!$G$3:$G$22-A3442)*(Calc!$G$3:$G$22&gt;B3442)*(Calc!$G$3:$G$22-B3442))</f>
        <v/>
      </c>
      <c r="L3442">
        <f>SUMPRODUCT(Calc!$K$3:$K$22*(Calc!$G$3:$G$22&gt;A3442)*(Calc!$G$3:$G$22-A3442)*Calc!$G$3:$G$22)</f>
        <v/>
      </c>
      <c r="M3442">
        <f>SUMPRODUCT(Calc!$K$3:$K$22*(Calc!$G$3:$G$22&gt;B3442)*(Calc!$G$3:$G$22-B3442)*Calc!$G$3:$G$22)</f>
        <v/>
      </c>
      <c r="N3442">
        <f>SUMPRODUCT(Calc!$K$3:$K$22*(Calc!$G$3:$G$22&gt;A3442)*(Calc!$G$3:$G$22-A3442)*Calc!$I$3:$I$22)</f>
        <v/>
      </c>
      <c r="O3442">
        <f>SUMPRODUCT(Calc!$K$3:$K$22*(Calc!$G$3:$G$22&gt;B3442)*(Calc!$G$3:$G$22-B3442)*Calc!$I$3:$I$22)</f>
        <v/>
      </c>
      <c r="P3442">
        <f>I3442-G3442^2/k_n</f>
        <v/>
      </c>
      <c r="Q3442">
        <f>J3442-H3442^2/k_n</f>
        <v/>
      </c>
      <c r="R3442">
        <f>K3442-G3442*H3442/k_n</f>
        <v/>
      </c>
      <c r="S3442">
        <f>L3442-LTP3!$D$3*G3442/k_n</f>
        <v/>
      </c>
      <c r="T3442">
        <f>M3442-LTP3!$D$3*H3442/k_n</f>
        <v/>
      </c>
      <c r="U3442">
        <f>N3442-G3442*LTP3!$D$4/k_n</f>
        <v/>
      </c>
      <c r="V3442">
        <f>O3442-H3442*LTP3!$D$4/k_n</f>
        <v/>
      </c>
      <c r="W3442">
        <f>((LTP3!$D$5)*((P3442)*(Q3442)-(R3442)*(R3442))-(S3442)*((S3442)*(Q3442)-(R3442)*(T3442))+(T3442)*((S3442)*(R3442)-(P3442)*(T3442)))</f>
        <v/>
      </c>
      <c r="X3442">
        <f>IF(ABS(W3442)&gt;1E-12,((LTP3!$D$6)*((P3442)*(Q3442)-(R3442)*(R3442))-(S3442)*((U3442)*(Q3442)-(R3442)*(V3442))+(T3442)*((U3442)*(R3442)-(P3442)*(V3442)))/W3442,0)</f>
        <v/>
      </c>
      <c r="Y3442">
        <f>IF(ABS(W3442)&gt;1E-12,((LTP3!$D$5)*((U3442)*(Q3442)-(R3442)*(V3442))-(LTP3!$D$6)*((S3442)*(Q3442)-(R3442)*(T3442))+(T3442)*((S3442)*(V3442)-(U3442)*(T3442)))/W3442,0)</f>
        <v/>
      </c>
      <c r="Z3442">
        <f>IF(ABS(W3442)&gt;1E-12,((LTP3!$D$5)*((P3442)*(V3442)-(U3442)*(R3442))-(S3442)*((S3442)*(V3442)-(U3442)*(T3442))+(LTP3!$D$6)*((S3442)*(R3442)-(P3442)*(T3442)))/W3442,0)</f>
        <v/>
      </c>
      <c r="AA3442">
        <f>LTP3!$D$7-X3442*LTP3!$D$6-Y3442*U3442-Z3442*V3442</f>
        <v/>
      </c>
      <c r="AB3442">
        <f>IF(AND(F3442,ABS(W3442)&gt;1E-12,Y3442&gt;0,Z3442&gt;0),AA3442,1E+300)</f>
        <v/>
      </c>
    </row>
    <row r="3443">
      <c r="A3443">
        <f>$B$3+$B$5*56</f>
        <v/>
      </c>
      <c r="B3443">
        <f>$B$3+$B$5*15</f>
        <v/>
      </c>
      <c r="C3443">
        <f>SUMPRODUCT(Calc!$K$3:$K$22*(Calc!$G$3:$G$22&lt;=A3443))</f>
        <v/>
      </c>
      <c r="D3443">
        <f>SUMPRODUCT(Calc!$K$3:$K$22*(Calc!$G$3:$G$22&gt;A3443)*(Calc!$G$3:$G$22&lt;B3443))</f>
        <v/>
      </c>
      <c r="E3443">
        <f>SUMPRODUCT(Calc!$K$3:$K$22*(Calc!$G$3:$G$22&gt;=B3443))</f>
        <v/>
      </c>
      <c r="F3443">
        <f>AND(k_n&gt;=5,B3443&gt;A3443+1E-9,C3443&gt;=2,D3443&gt;=1,E3443&gt;=2)</f>
        <v/>
      </c>
      <c r="G3443">
        <f>SUMPRODUCT(Calc!$K$3:$K$22*(Calc!$G$3:$G$22&gt;A3443)*(Calc!$G$3:$G$22-A3443))</f>
        <v/>
      </c>
      <c r="H3443">
        <f>SUMPRODUCT(Calc!$K$3:$K$22*(Calc!$G$3:$G$22&gt;B3443)*(Calc!$G$3:$G$22-B3443))</f>
        <v/>
      </c>
      <c r="I3443">
        <f>SUMPRODUCT(Calc!$K$3:$K$22*(Calc!$G$3:$G$22&gt;A3443)*(Calc!$G$3:$G$22-A3443)^2)</f>
        <v/>
      </c>
      <c r="J3443">
        <f>SUMPRODUCT(Calc!$K$3:$K$22*(Calc!$G$3:$G$22&gt;B3443)*(Calc!$G$3:$G$22-B3443)^2)</f>
        <v/>
      </c>
      <c r="K3443">
        <f>SUMPRODUCT(Calc!$K$3:$K$22*(Calc!$G$3:$G$22&gt;A3443)*(Calc!$G$3:$G$22-A3443)*(Calc!$G$3:$G$22&gt;B3443)*(Calc!$G$3:$G$22-B3443))</f>
        <v/>
      </c>
      <c r="L3443">
        <f>SUMPRODUCT(Calc!$K$3:$K$22*(Calc!$G$3:$G$22&gt;A3443)*(Calc!$G$3:$G$22-A3443)*Calc!$G$3:$G$22)</f>
        <v/>
      </c>
      <c r="M3443">
        <f>SUMPRODUCT(Calc!$K$3:$K$22*(Calc!$G$3:$G$22&gt;B3443)*(Calc!$G$3:$G$22-B3443)*Calc!$G$3:$G$22)</f>
        <v/>
      </c>
      <c r="N3443">
        <f>SUMPRODUCT(Calc!$K$3:$K$22*(Calc!$G$3:$G$22&gt;A3443)*(Calc!$G$3:$G$22-A3443)*Calc!$I$3:$I$22)</f>
        <v/>
      </c>
      <c r="O3443">
        <f>SUMPRODUCT(Calc!$K$3:$K$22*(Calc!$G$3:$G$22&gt;B3443)*(Calc!$G$3:$G$22-B3443)*Calc!$I$3:$I$22)</f>
        <v/>
      </c>
      <c r="P3443">
        <f>I3443-G3443^2/k_n</f>
        <v/>
      </c>
      <c r="Q3443">
        <f>J3443-H3443^2/k_n</f>
        <v/>
      </c>
      <c r="R3443">
        <f>K3443-G3443*H3443/k_n</f>
        <v/>
      </c>
      <c r="S3443">
        <f>L3443-LTP3!$D$3*G3443/k_n</f>
        <v/>
      </c>
      <c r="T3443">
        <f>M3443-LTP3!$D$3*H3443/k_n</f>
        <v/>
      </c>
      <c r="U3443">
        <f>N3443-G3443*LTP3!$D$4/k_n</f>
        <v/>
      </c>
      <c r="V3443">
        <f>O3443-H3443*LTP3!$D$4/k_n</f>
        <v/>
      </c>
      <c r="W3443">
        <f>((LTP3!$D$5)*((P3443)*(Q3443)-(R3443)*(R3443))-(S3443)*((S3443)*(Q3443)-(R3443)*(T3443))+(T3443)*((S3443)*(R3443)-(P3443)*(T3443)))</f>
        <v/>
      </c>
      <c r="X3443">
        <f>IF(ABS(W3443)&gt;1E-12,((LTP3!$D$6)*((P3443)*(Q3443)-(R3443)*(R3443))-(S3443)*((U3443)*(Q3443)-(R3443)*(V3443))+(T3443)*((U3443)*(R3443)-(P3443)*(V3443)))/W3443,0)</f>
        <v/>
      </c>
      <c r="Y3443">
        <f>IF(ABS(W3443)&gt;1E-12,((LTP3!$D$5)*((U3443)*(Q3443)-(R3443)*(V3443))-(LTP3!$D$6)*((S3443)*(Q3443)-(R3443)*(T3443))+(T3443)*((S3443)*(V3443)-(U3443)*(T3443)))/W3443,0)</f>
        <v/>
      </c>
      <c r="Z3443">
        <f>IF(ABS(W3443)&gt;1E-12,((LTP3!$D$5)*((P3443)*(V3443)-(U3443)*(R3443))-(S3443)*((S3443)*(V3443)-(U3443)*(T3443))+(LTP3!$D$6)*((S3443)*(R3443)-(P3443)*(T3443)))/W3443,0)</f>
        <v/>
      </c>
      <c r="AA3443">
        <f>LTP3!$D$7-X3443*LTP3!$D$6-Y3443*U3443-Z3443*V3443</f>
        <v/>
      </c>
      <c r="AB3443">
        <f>IF(AND(F3443,ABS(W3443)&gt;1E-12,Y3443&gt;0,Z3443&gt;0),AA3443,1E+300)</f>
        <v/>
      </c>
    </row>
    <row r="3444">
      <c r="A3444">
        <f>$B$3+$B$5*56</f>
        <v/>
      </c>
      <c r="B3444">
        <f>$B$3+$B$5*16</f>
        <v/>
      </c>
      <c r="C3444">
        <f>SUMPRODUCT(Calc!$K$3:$K$22*(Calc!$G$3:$G$22&lt;=A3444))</f>
        <v/>
      </c>
      <c r="D3444">
        <f>SUMPRODUCT(Calc!$K$3:$K$22*(Calc!$G$3:$G$22&gt;A3444)*(Calc!$G$3:$G$22&lt;B3444))</f>
        <v/>
      </c>
      <c r="E3444">
        <f>SUMPRODUCT(Calc!$K$3:$K$22*(Calc!$G$3:$G$22&gt;=B3444))</f>
        <v/>
      </c>
      <c r="F3444">
        <f>AND(k_n&gt;=5,B3444&gt;A3444+1E-9,C3444&gt;=2,D3444&gt;=1,E3444&gt;=2)</f>
        <v/>
      </c>
      <c r="G3444">
        <f>SUMPRODUCT(Calc!$K$3:$K$22*(Calc!$G$3:$G$22&gt;A3444)*(Calc!$G$3:$G$22-A3444))</f>
        <v/>
      </c>
      <c r="H3444">
        <f>SUMPRODUCT(Calc!$K$3:$K$22*(Calc!$G$3:$G$22&gt;B3444)*(Calc!$G$3:$G$22-B3444))</f>
        <v/>
      </c>
      <c r="I3444">
        <f>SUMPRODUCT(Calc!$K$3:$K$22*(Calc!$G$3:$G$22&gt;A3444)*(Calc!$G$3:$G$22-A3444)^2)</f>
        <v/>
      </c>
      <c r="J3444">
        <f>SUMPRODUCT(Calc!$K$3:$K$22*(Calc!$G$3:$G$22&gt;B3444)*(Calc!$G$3:$G$22-B3444)^2)</f>
        <v/>
      </c>
      <c r="K3444">
        <f>SUMPRODUCT(Calc!$K$3:$K$22*(Calc!$G$3:$G$22&gt;A3444)*(Calc!$G$3:$G$22-A3444)*(Calc!$G$3:$G$22&gt;B3444)*(Calc!$G$3:$G$22-B3444))</f>
        <v/>
      </c>
      <c r="L3444">
        <f>SUMPRODUCT(Calc!$K$3:$K$22*(Calc!$G$3:$G$22&gt;A3444)*(Calc!$G$3:$G$22-A3444)*Calc!$G$3:$G$22)</f>
        <v/>
      </c>
      <c r="M3444">
        <f>SUMPRODUCT(Calc!$K$3:$K$22*(Calc!$G$3:$G$22&gt;B3444)*(Calc!$G$3:$G$22-B3444)*Calc!$G$3:$G$22)</f>
        <v/>
      </c>
      <c r="N3444">
        <f>SUMPRODUCT(Calc!$K$3:$K$22*(Calc!$G$3:$G$22&gt;A3444)*(Calc!$G$3:$G$22-A3444)*Calc!$I$3:$I$22)</f>
        <v/>
      </c>
      <c r="O3444">
        <f>SUMPRODUCT(Calc!$K$3:$K$22*(Calc!$G$3:$G$22&gt;B3444)*(Calc!$G$3:$G$22-B3444)*Calc!$I$3:$I$22)</f>
        <v/>
      </c>
      <c r="P3444">
        <f>I3444-G3444^2/k_n</f>
        <v/>
      </c>
      <c r="Q3444">
        <f>J3444-H3444^2/k_n</f>
        <v/>
      </c>
      <c r="R3444">
        <f>K3444-G3444*H3444/k_n</f>
        <v/>
      </c>
      <c r="S3444">
        <f>L3444-LTP3!$D$3*G3444/k_n</f>
        <v/>
      </c>
      <c r="T3444">
        <f>M3444-LTP3!$D$3*H3444/k_n</f>
        <v/>
      </c>
      <c r="U3444">
        <f>N3444-G3444*LTP3!$D$4/k_n</f>
        <v/>
      </c>
      <c r="V3444">
        <f>O3444-H3444*LTP3!$D$4/k_n</f>
        <v/>
      </c>
      <c r="W3444">
        <f>((LTP3!$D$5)*((P3444)*(Q3444)-(R3444)*(R3444))-(S3444)*((S3444)*(Q3444)-(R3444)*(T3444))+(T3444)*((S3444)*(R3444)-(P3444)*(T3444)))</f>
        <v/>
      </c>
      <c r="X3444">
        <f>IF(ABS(W3444)&gt;1E-12,((LTP3!$D$6)*((P3444)*(Q3444)-(R3444)*(R3444))-(S3444)*((U3444)*(Q3444)-(R3444)*(V3444))+(T3444)*((U3444)*(R3444)-(P3444)*(V3444)))/W3444,0)</f>
        <v/>
      </c>
      <c r="Y3444">
        <f>IF(ABS(W3444)&gt;1E-12,((LTP3!$D$5)*((U3444)*(Q3444)-(R3444)*(V3444))-(LTP3!$D$6)*((S3444)*(Q3444)-(R3444)*(T3444))+(T3444)*((S3444)*(V3444)-(U3444)*(T3444)))/W3444,0)</f>
        <v/>
      </c>
      <c r="Z3444">
        <f>IF(ABS(W3444)&gt;1E-12,((LTP3!$D$5)*((P3444)*(V3444)-(U3444)*(R3444))-(S3444)*((S3444)*(V3444)-(U3444)*(T3444))+(LTP3!$D$6)*((S3444)*(R3444)-(P3444)*(T3444)))/W3444,0)</f>
        <v/>
      </c>
      <c r="AA3444">
        <f>LTP3!$D$7-X3444*LTP3!$D$6-Y3444*U3444-Z3444*V3444</f>
        <v/>
      </c>
      <c r="AB3444">
        <f>IF(AND(F3444,ABS(W3444)&gt;1E-12,Y3444&gt;0,Z3444&gt;0),AA3444,1E+300)</f>
        <v/>
      </c>
    </row>
    <row r="3445">
      <c r="A3445">
        <f>$B$3+$B$5*56</f>
        <v/>
      </c>
      <c r="B3445">
        <f>$B$3+$B$5*17</f>
        <v/>
      </c>
      <c r="C3445">
        <f>SUMPRODUCT(Calc!$K$3:$K$22*(Calc!$G$3:$G$22&lt;=A3445))</f>
        <v/>
      </c>
      <c r="D3445">
        <f>SUMPRODUCT(Calc!$K$3:$K$22*(Calc!$G$3:$G$22&gt;A3445)*(Calc!$G$3:$G$22&lt;B3445))</f>
        <v/>
      </c>
      <c r="E3445">
        <f>SUMPRODUCT(Calc!$K$3:$K$22*(Calc!$G$3:$G$22&gt;=B3445))</f>
        <v/>
      </c>
      <c r="F3445">
        <f>AND(k_n&gt;=5,B3445&gt;A3445+1E-9,C3445&gt;=2,D3445&gt;=1,E3445&gt;=2)</f>
        <v/>
      </c>
      <c r="G3445">
        <f>SUMPRODUCT(Calc!$K$3:$K$22*(Calc!$G$3:$G$22&gt;A3445)*(Calc!$G$3:$G$22-A3445))</f>
        <v/>
      </c>
      <c r="H3445">
        <f>SUMPRODUCT(Calc!$K$3:$K$22*(Calc!$G$3:$G$22&gt;B3445)*(Calc!$G$3:$G$22-B3445))</f>
        <v/>
      </c>
      <c r="I3445">
        <f>SUMPRODUCT(Calc!$K$3:$K$22*(Calc!$G$3:$G$22&gt;A3445)*(Calc!$G$3:$G$22-A3445)^2)</f>
        <v/>
      </c>
      <c r="J3445">
        <f>SUMPRODUCT(Calc!$K$3:$K$22*(Calc!$G$3:$G$22&gt;B3445)*(Calc!$G$3:$G$22-B3445)^2)</f>
        <v/>
      </c>
      <c r="K3445">
        <f>SUMPRODUCT(Calc!$K$3:$K$22*(Calc!$G$3:$G$22&gt;A3445)*(Calc!$G$3:$G$22-A3445)*(Calc!$G$3:$G$22&gt;B3445)*(Calc!$G$3:$G$22-B3445))</f>
        <v/>
      </c>
      <c r="L3445">
        <f>SUMPRODUCT(Calc!$K$3:$K$22*(Calc!$G$3:$G$22&gt;A3445)*(Calc!$G$3:$G$22-A3445)*Calc!$G$3:$G$22)</f>
        <v/>
      </c>
      <c r="M3445">
        <f>SUMPRODUCT(Calc!$K$3:$K$22*(Calc!$G$3:$G$22&gt;B3445)*(Calc!$G$3:$G$22-B3445)*Calc!$G$3:$G$22)</f>
        <v/>
      </c>
      <c r="N3445">
        <f>SUMPRODUCT(Calc!$K$3:$K$22*(Calc!$G$3:$G$22&gt;A3445)*(Calc!$G$3:$G$22-A3445)*Calc!$I$3:$I$22)</f>
        <v/>
      </c>
      <c r="O3445">
        <f>SUMPRODUCT(Calc!$K$3:$K$22*(Calc!$G$3:$G$22&gt;B3445)*(Calc!$G$3:$G$22-B3445)*Calc!$I$3:$I$22)</f>
        <v/>
      </c>
      <c r="P3445">
        <f>I3445-G3445^2/k_n</f>
        <v/>
      </c>
      <c r="Q3445">
        <f>J3445-H3445^2/k_n</f>
        <v/>
      </c>
      <c r="R3445">
        <f>K3445-G3445*H3445/k_n</f>
        <v/>
      </c>
      <c r="S3445">
        <f>L3445-LTP3!$D$3*G3445/k_n</f>
        <v/>
      </c>
      <c r="T3445">
        <f>M3445-LTP3!$D$3*H3445/k_n</f>
        <v/>
      </c>
      <c r="U3445">
        <f>N3445-G3445*LTP3!$D$4/k_n</f>
        <v/>
      </c>
      <c r="V3445">
        <f>O3445-H3445*LTP3!$D$4/k_n</f>
        <v/>
      </c>
      <c r="W3445">
        <f>((LTP3!$D$5)*((P3445)*(Q3445)-(R3445)*(R3445))-(S3445)*((S3445)*(Q3445)-(R3445)*(T3445))+(T3445)*((S3445)*(R3445)-(P3445)*(T3445)))</f>
        <v/>
      </c>
      <c r="X3445">
        <f>IF(ABS(W3445)&gt;1E-12,((LTP3!$D$6)*((P3445)*(Q3445)-(R3445)*(R3445))-(S3445)*((U3445)*(Q3445)-(R3445)*(V3445))+(T3445)*((U3445)*(R3445)-(P3445)*(V3445)))/W3445,0)</f>
        <v/>
      </c>
      <c r="Y3445">
        <f>IF(ABS(W3445)&gt;1E-12,((LTP3!$D$5)*((U3445)*(Q3445)-(R3445)*(V3445))-(LTP3!$D$6)*((S3445)*(Q3445)-(R3445)*(T3445))+(T3445)*((S3445)*(V3445)-(U3445)*(T3445)))/W3445,0)</f>
        <v/>
      </c>
      <c r="Z3445">
        <f>IF(ABS(W3445)&gt;1E-12,((LTP3!$D$5)*((P3445)*(V3445)-(U3445)*(R3445))-(S3445)*((S3445)*(V3445)-(U3445)*(T3445))+(LTP3!$D$6)*((S3445)*(R3445)-(P3445)*(T3445)))/W3445,0)</f>
        <v/>
      </c>
      <c r="AA3445">
        <f>LTP3!$D$7-X3445*LTP3!$D$6-Y3445*U3445-Z3445*V3445</f>
        <v/>
      </c>
      <c r="AB3445">
        <f>IF(AND(F3445,ABS(W3445)&gt;1E-12,Y3445&gt;0,Z3445&gt;0),AA3445,1E+300)</f>
        <v/>
      </c>
    </row>
    <row r="3446">
      <c r="A3446">
        <f>$B$3+$B$5*56</f>
        <v/>
      </c>
      <c r="B3446">
        <f>$B$3+$B$5*18</f>
        <v/>
      </c>
      <c r="C3446">
        <f>SUMPRODUCT(Calc!$K$3:$K$22*(Calc!$G$3:$G$22&lt;=A3446))</f>
        <v/>
      </c>
      <c r="D3446">
        <f>SUMPRODUCT(Calc!$K$3:$K$22*(Calc!$G$3:$G$22&gt;A3446)*(Calc!$G$3:$G$22&lt;B3446))</f>
        <v/>
      </c>
      <c r="E3446">
        <f>SUMPRODUCT(Calc!$K$3:$K$22*(Calc!$G$3:$G$22&gt;=B3446))</f>
        <v/>
      </c>
      <c r="F3446">
        <f>AND(k_n&gt;=5,B3446&gt;A3446+1E-9,C3446&gt;=2,D3446&gt;=1,E3446&gt;=2)</f>
        <v/>
      </c>
      <c r="G3446">
        <f>SUMPRODUCT(Calc!$K$3:$K$22*(Calc!$G$3:$G$22&gt;A3446)*(Calc!$G$3:$G$22-A3446))</f>
        <v/>
      </c>
      <c r="H3446">
        <f>SUMPRODUCT(Calc!$K$3:$K$22*(Calc!$G$3:$G$22&gt;B3446)*(Calc!$G$3:$G$22-B3446))</f>
        <v/>
      </c>
      <c r="I3446">
        <f>SUMPRODUCT(Calc!$K$3:$K$22*(Calc!$G$3:$G$22&gt;A3446)*(Calc!$G$3:$G$22-A3446)^2)</f>
        <v/>
      </c>
      <c r="J3446">
        <f>SUMPRODUCT(Calc!$K$3:$K$22*(Calc!$G$3:$G$22&gt;B3446)*(Calc!$G$3:$G$22-B3446)^2)</f>
        <v/>
      </c>
      <c r="K3446">
        <f>SUMPRODUCT(Calc!$K$3:$K$22*(Calc!$G$3:$G$22&gt;A3446)*(Calc!$G$3:$G$22-A3446)*(Calc!$G$3:$G$22&gt;B3446)*(Calc!$G$3:$G$22-B3446))</f>
        <v/>
      </c>
      <c r="L3446">
        <f>SUMPRODUCT(Calc!$K$3:$K$22*(Calc!$G$3:$G$22&gt;A3446)*(Calc!$G$3:$G$22-A3446)*Calc!$G$3:$G$22)</f>
        <v/>
      </c>
      <c r="M3446">
        <f>SUMPRODUCT(Calc!$K$3:$K$22*(Calc!$G$3:$G$22&gt;B3446)*(Calc!$G$3:$G$22-B3446)*Calc!$G$3:$G$22)</f>
        <v/>
      </c>
      <c r="N3446">
        <f>SUMPRODUCT(Calc!$K$3:$K$22*(Calc!$G$3:$G$22&gt;A3446)*(Calc!$G$3:$G$22-A3446)*Calc!$I$3:$I$22)</f>
        <v/>
      </c>
      <c r="O3446">
        <f>SUMPRODUCT(Calc!$K$3:$K$22*(Calc!$G$3:$G$22&gt;B3446)*(Calc!$G$3:$G$22-B3446)*Calc!$I$3:$I$22)</f>
        <v/>
      </c>
      <c r="P3446">
        <f>I3446-G3446^2/k_n</f>
        <v/>
      </c>
      <c r="Q3446">
        <f>J3446-H3446^2/k_n</f>
        <v/>
      </c>
      <c r="R3446">
        <f>K3446-G3446*H3446/k_n</f>
        <v/>
      </c>
      <c r="S3446">
        <f>L3446-LTP3!$D$3*G3446/k_n</f>
        <v/>
      </c>
      <c r="T3446">
        <f>M3446-LTP3!$D$3*H3446/k_n</f>
        <v/>
      </c>
      <c r="U3446">
        <f>N3446-G3446*LTP3!$D$4/k_n</f>
        <v/>
      </c>
      <c r="V3446">
        <f>O3446-H3446*LTP3!$D$4/k_n</f>
        <v/>
      </c>
      <c r="W3446">
        <f>((LTP3!$D$5)*((P3446)*(Q3446)-(R3446)*(R3446))-(S3446)*((S3446)*(Q3446)-(R3446)*(T3446))+(T3446)*((S3446)*(R3446)-(P3446)*(T3446)))</f>
        <v/>
      </c>
      <c r="X3446">
        <f>IF(ABS(W3446)&gt;1E-12,((LTP3!$D$6)*((P3446)*(Q3446)-(R3446)*(R3446))-(S3446)*((U3446)*(Q3446)-(R3446)*(V3446))+(T3446)*((U3446)*(R3446)-(P3446)*(V3446)))/W3446,0)</f>
        <v/>
      </c>
      <c r="Y3446">
        <f>IF(ABS(W3446)&gt;1E-12,((LTP3!$D$5)*((U3446)*(Q3446)-(R3446)*(V3446))-(LTP3!$D$6)*((S3446)*(Q3446)-(R3446)*(T3446))+(T3446)*((S3446)*(V3446)-(U3446)*(T3446)))/W3446,0)</f>
        <v/>
      </c>
      <c r="Z3446">
        <f>IF(ABS(W3446)&gt;1E-12,((LTP3!$D$5)*((P3446)*(V3446)-(U3446)*(R3446))-(S3446)*((S3446)*(V3446)-(U3446)*(T3446))+(LTP3!$D$6)*((S3446)*(R3446)-(P3446)*(T3446)))/W3446,0)</f>
        <v/>
      </c>
      <c r="AA3446">
        <f>LTP3!$D$7-X3446*LTP3!$D$6-Y3446*U3446-Z3446*V3446</f>
        <v/>
      </c>
      <c r="AB3446">
        <f>IF(AND(F3446,ABS(W3446)&gt;1E-12,Y3446&gt;0,Z3446&gt;0),AA3446,1E+300)</f>
        <v/>
      </c>
    </row>
    <row r="3447">
      <c r="A3447">
        <f>$B$3+$B$5*56</f>
        <v/>
      </c>
      <c r="B3447">
        <f>$B$3+$B$5*19</f>
        <v/>
      </c>
      <c r="C3447">
        <f>SUMPRODUCT(Calc!$K$3:$K$22*(Calc!$G$3:$G$22&lt;=A3447))</f>
        <v/>
      </c>
      <c r="D3447">
        <f>SUMPRODUCT(Calc!$K$3:$K$22*(Calc!$G$3:$G$22&gt;A3447)*(Calc!$G$3:$G$22&lt;B3447))</f>
        <v/>
      </c>
      <c r="E3447">
        <f>SUMPRODUCT(Calc!$K$3:$K$22*(Calc!$G$3:$G$22&gt;=B3447))</f>
        <v/>
      </c>
      <c r="F3447">
        <f>AND(k_n&gt;=5,B3447&gt;A3447+1E-9,C3447&gt;=2,D3447&gt;=1,E3447&gt;=2)</f>
        <v/>
      </c>
      <c r="G3447">
        <f>SUMPRODUCT(Calc!$K$3:$K$22*(Calc!$G$3:$G$22&gt;A3447)*(Calc!$G$3:$G$22-A3447))</f>
        <v/>
      </c>
      <c r="H3447">
        <f>SUMPRODUCT(Calc!$K$3:$K$22*(Calc!$G$3:$G$22&gt;B3447)*(Calc!$G$3:$G$22-B3447))</f>
        <v/>
      </c>
      <c r="I3447">
        <f>SUMPRODUCT(Calc!$K$3:$K$22*(Calc!$G$3:$G$22&gt;A3447)*(Calc!$G$3:$G$22-A3447)^2)</f>
        <v/>
      </c>
      <c r="J3447">
        <f>SUMPRODUCT(Calc!$K$3:$K$22*(Calc!$G$3:$G$22&gt;B3447)*(Calc!$G$3:$G$22-B3447)^2)</f>
        <v/>
      </c>
      <c r="K3447">
        <f>SUMPRODUCT(Calc!$K$3:$K$22*(Calc!$G$3:$G$22&gt;A3447)*(Calc!$G$3:$G$22-A3447)*(Calc!$G$3:$G$22&gt;B3447)*(Calc!$G$3:$G$22-B3447))</f>
        <v/>
      </c>
      <c r="L3447">
        <f>SUMPRODUCT(Calc!$K$3:$K$22*(Calc!$G$3:$G$22&gt;A3447)*(Calc!$G$3:$G$22-A3447)*Calc!$G$3:$G$22)</f>
        <v/>
      </c>
      <c r="M3447">
        <f>SUMPRODUCT(Calc!$K$3:$K$22*(Calc!$G$3:$G$22&gt;B3447)*(Calc!$G$3:$G$22-B3447)*Calc!$G$3:$G$22)</f>
        <v/>
      </c>
      <c r="N3447">
        <f>SUMPRODUCT(Calc!$K$3:$K$22*(Calc!$G$3:$G$22&gt;A3447)*(Calc!$G$3:$G$22-A3447)*Calc!$I$3:$I$22)</f>
        <v/>
      </c>
      <c r="O3447">
        <f>SUMPRODUCT(Calc!$K$3:$K$22*(Calc!$G$3:$G$22&gt;B3447)*(Calc!$G$3:$G$22-B3447)*Calc!$I$3:$I$22)</f>
        <v/>
      </c>
      <c r="P3447">
        <f>I3447-G3447^2/k_n</f>
        <v/>
      </c>
      <c r="Q3447">
        <f>J3447-H3447^2/k_n</f>
        <v/>
      </c>
      <c r="R3447">
        <f>K3447-G3447*H3447/k_n</f>
        <v/>
      </c>
      <c r="S3447">
        <f>L3447-LTP3!$D$3*G3447/k_n</f>
        <v/>
      </c>
      <c r="T3447">
        <f>M3447-LTP3!$D$3*H3447/k_n</f>
        <v/>
      </c>
      <c r="U3447">
        <f>N3447-G3447*LTP3!$D$4/k_n</f>
        <v/>
      </c>
      <c r="V3447">
        <f>O3447-H3447*LTP3!$D$4/k_n</f>
        <v/>
      </c>
      <c r="W3447">
        <f>((LTP3!$D$5)*((P3447)*(Q3447)-(R3447)*(R3447))-(S3447)*((S3447)*(Q3447)-(R3447)*(T3447))+(T3447)*((S3447)*(R3447)-(P3447)*(T3447)))</f>
        <v/>
      </c>
      <c r="X3447">
        <f>IF(ABS(W3447)&gt;1E-12,((LTP3!$D$6)*((P3447)*(Q3447)-(R3447)*(R3447))-(S3447)*((U3447)*(Q3447)-(R3447)*(V3447))+(T3447)*((U3447)*(R3447)-(P3447)*(V3447)))/W3447,0)</f>
        <v/>
      </c>
      <c r="Y3447">
        <f>IF(ABS(W3447)&gt;1E-12,((LTP3!$D$5)*((U3447)*(Q3447)-(R3447)*(V3447))-(LTP3!$D$6)*((S3447)*(Q3447)-(R3447)*(T3447))+(T3447)*((S3447)*(V3447)-(U3447)*(T3447)))/W3447,0)</f>
        <v/>
      </c>
      <c r="Z3447">
        <f>IF(ABS(W3447)&gt;1E-12,((LTP3!$D$5)*((P3447)*(V3447)-(U3447)*(R3447))-(S3447)*((S3447)*(V3447)-(U3447)*(T3447))+(LTP3!$D$6)*((S3447)*(R3447)-(P3447)*(T3447)))/W3447,0)</f>
        <v/>
      </c>
      <c r="AA3447">
        <f>LTP3!$D$7-X3447*LTP3!$D$6-Y3447*U3447-Z3447*V3447</f>
        <v/>
      </c>
      <c r="AB3447">
        <f>IF(AND(F3447,ABS(W3447)&gt;1E-12,Y3447&gt;0,Z3447&gt;0),AA3447,1E+300)</f>
        <v/>
      </c>
    </row>
    <row r="3448">
      <c r="A3448">
        <f>$B$3+$B$5*56</f>
        <v/>
      </c>
      <c r="B3448">
        <f>$B$3+$B$5*20</f>
        <v/>
      </c>
      <c r="C3448">
        <f>SUMPRODUCT(Calc!$K$3:$K$22*(Calc!$G$3:$G$22&lt;=A3448))</f>
        <v/>
      </c>
      <c r="D3448">
        <f>SUMPRODUCT(Calc!$K$3:$K$22*(Calc!$G$3:$G$22&gt;A3448)*(Calc!$G$3:$G$22&lt;B3448))</f>
        <v/>
      </c>
      <c r="E3448">
        <f>SUMPRODUCT(Calc!$K$3:$K$22*(Calc!$G$3:$G$22&gt;=B3448))</f>
        <v/>
      </c>
      <c r="F3448">
        <f>AND(k_n&gt;=5,B3448&gt;A3448+1E-9,C3448&gt;=2,D3448&gt;=1,E3448&gt;=2)</f>
        <v/>
      </c>
      <c r="G3448">
        <f>SUMPRODUCT(Calc!$K$3:$K$22*(Calc!$G$3:$G$22&gt;A3448)*(Calc!$G$3:$G$22-A3448))</f>
        <v/>
      </c>
      <c r="H3448">
        <f>SUMPRODUCT(Calc!$K$3:$K$22*(Calc!$G$3:$G$22&gt;B3448)*(Calc!$G$3:$G$22-B3448))</f>
        <v/>
      </c>
      <c r="I3448">
        <f>SUMPRODUCT(Calc!$K$3:$K$22*(Calc!$G$3:$G$22&gt;A3448)*(Calc!$G$3:$G$22-A3448)^2)</f>
        <v/>
      </c>
      <c r="J3448">
        <f>SUMPRODUCT(Calc!$K$3:$K$22*(Calc!$G$3:$G$22&gt;B3448)*(Calc!$G$3:$G$22-B3448)^2)</f>
        <v/>
      </c>
      <c r="K3448">
        <f>SUMPRODUCT(Calc!$K$3:$K$22*(Calc!$G$3:$G$22&gt;A3448)*(Calc!$G$3:$G$22-A3448)*(Calc!$G$3:$G$22&gt;B3448)*(Calc!$G$3:$G$22-B3448))</f>
        <v/>
      </c>
      <c r="L3448">
        <f>SUMPRODUCT(Calc!$K$3:$K$22*(Calc!$G$3:$G$22&gt;A3448)*(Calc!$G$3:$G$22-A3448)*Calc!$G$3:$G$22)</f>
        <v/>
      </c>
      <c r="M3448">
        <f>SUMPRODUCT(Calc!$K$3:$K$22*(Calc!$G$3:$G$22&gt;B3448)*(Calc!$G$3:$G$22-B3448)*Calc!$G$3:$G$22)</f>
        <v/>
      </c>
      <c r="N3448">
        <f>SUMPRODUCT(Calc!$K$3:$K$22*(Calc!$G$3:$G$22&gt;A3448)*(Calc!$G$3:$G$22-A3448)*Calc!$I$3:$I$22)</f>
        <v/>
      </c>
      <c r="O3448">
        <f>SUMPRODUCT(Calc!$K$3:$K$22*(Calc!$G$3:$G$22&gt;B3448)*(Calc!$G$3:$G$22-B3448)*Calc!$I$3:$I$22)</f>
        <v/>
      </c>
      <c r="P3448">
        <f>I3448-G3448^2/k_n</f>
        <v/>
      </c>
      <c r="Q3448">
        <f>J3448-H3448^2/k_n</f>
        <v/>
      </c>
      <c r="R3448">
        <f>K3448-G3448*H3448/k_n</f>
        <v/>
      </c>
      <c r="S3448">
        <f>L3448-LTP3!$D$3*G3448/k_n</f>
        <v/>
      </c>
      <c r="T3448">
        <f>M3448-LTP3!$D$3*H3448/k_n</f>
        <v/>
      </c>
      <c r="U3448">
        <f>N3448-G3448*LTP3!$D$4/k_n</f>
        <v/>
      </c>
      <c r="V3448">
        <f>O3448-H3448*LTP3!$D$4/k_n</f>
        <v/>
      </c>
      <c r="W3448">
        <f>((LTP3!$D$5)*((P3448)*(Q3448)-(R3448)*(R3448))-(S3448)*((S3448)*(Q3448)-(R3448)*(T3448))+(T3448)*((S3448)*(R3448)-(P3448)*(T3448)))</f>
        <v/>
      </c>
      <c r="X3448">
        <f>IF(ABS(W3448)&gt;1E-12,((LTP3!$D$6)*((P3448)*(Q3448)-(R3448)*(R3448))-(S3448)*((U3448)*(Q3448)-(R3448)*(V3448))+(T3448)*((U3448)*(R3448)-(P3448)*(V3448)))/W3448,0)</f>
        <v/>
      </c>
      <c r="Y3448">
        <f>IF(ABS(W3448)&gt;1E-12,((LTP3!$D$5)*((U3448)*(Q3448)-(R3448)*(V3448))-(LTP3!$D$6)*((S3448)*(Q3448)-(R3448)*(T3448))+(T3448)*((S3448)*(V3448)-(U3448)*(T3448)))/W3448,0)</f>
        <v/>
      </c>
      <c r="Z3448">
        <f>IF(ABS(W3448)&gt;1E-12,((LTP3!$D$5)*((P3448)*(V3448)-(U3448)*(R3448))-(S3448)*((S3448)*(V3448)-(U3448)*(T3448))+(LTP3!$D$6)*((S3448)*(R3448)-(P3448)*(T3448)))/W3448,0)</f>
        <v/>
      </c>
      <c r="AA3448">
        <f>LTP3!$D$7-X3448*LTP3!$D$6-Y3448*U3448-Z3448*V3448</f>
        <v/>
      </c>
      <c r="AB3448">
        <f>IF(AND(F3448,ABS(W3448)&gt;1E-12,Y3448&gt;0,Z3448&gt;0),AA3448,1E+300)</f>
        <v/>
      </c>
    </row>
    <row r="3449">
      <c r="A3449">
        <f>$B$3+$B$5*56</f>
        <v/>
      </c>
      <c r="B3449">
        <f>$B$3+$B$5*21</f>
        <v/>
      </c>
      <c r="C3449">
        <f>SUMPRODUCT(Calc!$K$3:$K$22*(Calc!$G$3:$G$22&lt;=A3449))</f>
        <v/>
      </c>
      <c r="D3449">
        <f>SUMPRODUCT(Calc!$K$3:$K$22*(Calc!$G$3:$G$22&gt;A3449)*(Calc!$G$3:$G$22&lt;B3449))</f>
        <v/>
      </c>
      <c r="E3449">
        <f>SUMPRODUCT(Calc!$K$3:$K$22*(Calc!$G$3:$G$22&gt;=B3449))</f>
        <v/>
      </c>
      <c r="F3449">
        <f>AND(k_n&gt;=5,B3449&gt;A3449+1E-9,C3449&gt;=2,D3449&gt;=1,E3449&gt;=2)</f>
        <v/>
      </c>
      <c r="G3449">
        <f>SUMPRODUCT(Calc!$K$3:$K$22*(Calc!$G$3:$G$22&gt;A3449)*(Calc!$G$3:$G$22-A3449))</f>
        <v/>
      </c>
      <c r="H3449">
        <f>SUMPRODUCT(Calc!$K$3:$K$22*(Calc!$G$3:$G$22&gt;B3449)*(Calc!$G$3:$G$22-B3449))</f>
        <v/>
      </c>
      <c r="I3449">
        <f>SUMPRODUCT(Calc!$K$3:$K$22*(Calc!$G$3:$G$22&gt;A3449)*(Calc!$G$3:$G$22-A3449)^2)</f>
        <v/>
      </c>
      <c r="J3449">
        <f>SUMPRODUCT(Calc!$K$3:$K$22*(Calc!$G$3:$G$22&gt;B3449)*(Calc!$G$3:$G$22-B3449)^2)</f>
        <v/>
      </c>
      <c r="K3449">
        <f>SUMPRODUCT(Calc!$K$3:$K$22*(Calc!$G$3:$G$22&gt;A3449)*(Calc!$G$3:$G$22-A3449)*(Calc!$G$3:$G$22&gt;B3449)*(Calc!$G$3:$G$22-B3449))</f>
        <v/>
      </c>
      <c r="L3449">
        <f>SUMPRODUCT(Calc!$K$3:$K$22*(Calc!$G$3:$G$22&gt;A3449)*(Calc!$G$3:$G$22-A3449)*Calc!$G$3:$G$22)</f>
        <v/>
      </c>
      <c r="M3449">
        <f>SUMPRODUCT(Calc!$K$3:$K$22*(Calc!$G$3:$G$22&gt;B3449)*(Calc!$G$3:$G$22-B3449)*Calc!$G$3:$G$22)</f>
        <v/>
      </c>
      <c r="N3449">
        <f>SUMPRODUCT(Calc!$K$3:$K$22*(Calc!$G$3:$G$22&gt;A3449)*(Calc!$G$3:$G$22-A3449)*Calc!$I$3:$I$22)</f>
        <v/>
      </c>
      <c r="O3449">
        <f>SUMPRODUCT(Calc!$K$3:$K$22*(Calc!$G$3:$G$22&gt;B3449)*(Calc!$G$3:$G$22-B3449)*Calc!$I$3:$I$22)</f>
        <v/>
      </c>
      <c r="P3449">
        <f>I3449-G3449^2/k_n</f>
        <v/>
      </c>
      <c r="Q3449">
        <f>J3449-H3449^2/k_n</f>
        <v/>
      </c>
      <c r="R3449">
        <f>K3449-G3449*H3449/k_n</f>
        <v/>
      </c>
      <c r="S3449">
        <f>L3449-LTP3!$D$3*G3449/k_n</f>
        <v/>
      </c>
      <c r="T3449">
        <f>M3449-LTP3!$D$3*H3449/k_n</f>
        <v/>
      </c>
      <c r="U3449">
        <f>N3449-G3449*LTP3!$D$4/k_n</f>
        <v/>
      </c>
      <c r="V3449">
        <f>O3449-H3449*LTP3!$D$4/k_n</f>
        <v/>
      </c>
      <c r="W3449">
        <f>((LTP3!$D$5)*((P3449)*(Q3449)-(R3449)*(R3449))-(S3449)*((S3449)*(Q3449)-(R3449)*(T3449))+(T3449)*((S3449)*(R3449)-(P3449)*(T3449)))</f>
        <v/>
      </c>
      <c r="X3449">
        <f>IF(ABS(W3449)&gt;1E-12,((LTP3!$D$6)*((P3449)*(Q3449)-(R3449)*(R3449))-(S3449)*((U3449)*(Q3449)-(R3449)*(V3449))+(T3449)*((U3449)*(R3449)-(P3449)*(V3449)))/W3449,0)</f>
        <v/>
      </c>
      <c r="Y3449">
        <f>IF(ABS(W3449)&gt;1E-12,((LTP3!$D$5)*((U3449)*(Q3449)-(R3449)*(V3449))-(LTP3!$D$6)*((S3449)*(Q3449)-(R3449)*(T3449))+(T3449)*((S3449)*(V3449)-(U3449)*(T3449)))/W3449,0)</f>
        <v/>
      </c>
      <c r="Z3449">
        <f>IF(ABS(W3449)&gt;1E-12,((LTP3!$D$5)*((P3449)*(V3449)-(U3449)*(R3449))-(S3449)*((S3449)*(V3449)-(U3449)*(T3449))+(LTP3!$D$6)*((S3449)*(R3449)-(P3449)*(T3449)))/W3449,0)</f>
        <v/>
      </c>
      <c r="AA3449">
        <f>LTP3!$D$7-X3449*LTP3!$D$6-Y3449*U3449-Z3449*V3449</f>
        <v/>
      </c>
      <c r="AB3449">
        <f>IF(AND(F3449,ABS(W3449)&gt;1E-12,Y3449&gt;0,Z3449&gt;0),AA3449,1E+300)</f>
        <v/>
      </c>
    </row>
    <row r="3450">
      <c r="A3450">
        <f>$B$3+$B$5*56</f>
        <v/>
      </c>
      <c r="B3450">
        <f>$B$3+$B$5*22</f>
        <v/>
      </c>
      <c r="C3450">
        <f>SUMPRODUCT(Calc!$K$3:$K$22*(Calc!$G$3:$G$22&lt;=A3450))</f>
        <v/>
      </c>
      <c r="D3450">
        <f>SUMPRODUCT(Calc!$K$3:$K$22*(Calc!$G$3:$G$22&gt;A3450)*(Calc!$G$3:$G$22&lt;B3450))</f>
        <v/>
      </c>
      <c r="E3450">
        <f>SUMPRODUCT(Calc!$K$3:$K$22*(Calc!$G$3:$G$22&gt;=B3450))</f>
        <v/>
      </c>
      <c r="F3450">
        <f>AND(k_n&gt;=5,B3450&gt;A3450+1E-9,C3450&gt;=2,D3450&gt;=1,E3450&gt;=2)</f>
        <v/>
      </c>
      <c r="G3450">
        <f>SUMPRODUCT(Calc!$K$3:$K$22*(Calc!$G$3:$G$22&gt;A3450)*(Calc!$G$3:$G$22-A3450))</f>
        <v/>
      </c>
      <c r="H3450">
        <f>SUMPRODUCT(Calc!$K$3:$K$22*(Calc!$G$3:$G$22&gt;B3450)*(Calc!$G$3:$G$22-B3450))</f>
        <v/>
      </c>
      <c r="I3450">
        <f>SUMPRODUCT(Calc!$K$3:$K$22*(Calc!$G$3:$G$22&gt;A3450)*(Calc!$G$3:$G$22-A3450)^2)</f>
        <v/>
      </c>
      <c r="J3450">
        <f>SUMPRODUCT(Calc!$K$3:$K$22*(Calc!$G$3:$G$22&gt;B3450)*(Calc!$G$3:$G$22-B3450)^2)</f>
        <v/>
      </c>
      <c r="K3450">
        <f>SUMPRODUCT(Calc!$K$3:$K$22*(Calc!$G$3:$G$22&gt;A3450)*(Calc!$G$3:$G$22-A3450)*(Calc!$G$3:$G$22&gt;B3450)*(Calc!$G$3:$G$22-B3450))</f>
        <v/>
      </c>
      <c r="L3450">
        <f>SUMPRODUCT(Calc!$K$3:$K$22*(Calc!$G$3:$G$22&gt;A3450)*(Calc!$G$3:$G$22-A3450)*Calc!$G$3:$G$22)</f>
        <v/>
      </c>
      <c r="M3450">
        <f>SUMPRODUCT(Calc!$K$3:$K$22*(Calc!$G$3:$G$22&gt;B3450)*(Calc!$G$3:$G$22-B3450)*Calc!$G$3:$G$22)</f>
        <v/>
      </c>
      <c r="N3450">
        <f>SUMPRODUCT(Calc!$K$3:$K$22*(Calc!$G$3:$G$22&gt;A3450)*(Calc!$G$3:$G$22-A3450)*Calc!$I$3:$I$22)</f>
        <v/>
      </c>
      <c r="O3450">
        <f>SUMPRODUCT(Calc!$K$3:$K$22*(Calc!$G$3:$G$22&gt;B3450)*(Calc!$G$3:$G$22-B3450)*Calc!$I$3:$I$22)</f>
        <v/>
      </c>
      <c r="P3450">
        <f>I3450-G3450^2/k_n</f>
        <v/>
      </c>
      <c r="Q3450">
        <f>J3450-H3450^2/k_n</f>
        <v/>
      </c>
      <c r="R3450">
        <f>K3450-G3450*H3450/k_n</f>
        <v/>
      </c>
      <c r="S3450">
        <f>L3450-LTP3!$D$3*G3450/k_n</f>
        <v/>
      </c>
      <c r="T3450">
        <f>M3450-LTP3!$D$3*H3450/k_n</f>
        <v/>
      </c>
      <c r="U3450">
        <f>N3450-G3450*LTP3!$D$4/k_n</f>
        <v/>
      </c>
      <c r="V3450">
        <f>O3450-H3450*LTP3!$D$4/k_n</f>
        <v/>
      </c>
      <c r="W3450">
        <f>((LTP3!$D$5)*((P3450)*(Q3450)-(R3450)*(R3450))-(S3450)*((S3450)*(Q3450)-(R3450)*(T3450))+(T3450)*((S3450)*(R3450)-(P3450)*(T3450)))</f>
        <v/>
      </c>
      <c r="X3450">
        <f>IF(ABS(W3450)&gt;1E-12,((LTP3!$D$6)*((P3450)*(Q3450)-(R3450)*(R3450))-(S3450)*((U3450)*(Q3450)-(R3450)*(V3450))+(T3450)*((U3450)*(R3450)-(P3450)*(V3450)))/W3450,0)</f>
        <v/>
      </c>
      <c r="Y3450">
        <f>IF(ABS(W3450)&gt;1E-12,((LTP3!$D$5)*((U3450)*(Q3450)-(R3450)*(V3450))-(LTP3!$D$6)*((S3450)*(Q3450)-(R3450)*(T3450))+(T3450)*((S3450)*(V3450)-(U3450)*(T3450)))/W3450,0)</f>
        <v/>
      </c>
      <c r="Z3450">
        <f>IF(ABS(W3450)&gt;1E-12,((LTP3!$D$5)*((P3450)*(V3450)-(U3450)*(R3450))-(S3450)*((S3450)*(V3450)-(U3450)*(T3450))+(LTP3!$D$6)*((S3450)*(R3450)-(P3450)*(T3450)))/W3450,0)</f>
        <v/>
      </c>
      <c r="AA3450">
        <f>LTP3!$D$7-X3450*LTP3!$D$6-Y3450*U3450-Z3450*V3450</f>
        <v/>
      </c>
      <c r="AB3450">
        <f>IF(AND(F3450,ABS(W3450)&gt;1E-12,Y3450&gt;0,Z3450&gt;0),AA3450,1E+300)</f>
        <v/>
      </c>
    </row>
    <row r="3451">
      <c r="A3451">
        <f>$B$3+$B$5*56</f>
        <v/>
      </c>
      <c r="B3451">
        <f>$B$3+$B$5*23</f>
        <v/>
      </c>
      <c r="C3451">
        <f>SUMPRODUCT(Calc!$K$3:$K$22*(Calc!$G$3:$G$22&lt;=A3451))</f>
        <v/>
      </c>
      <c r="D3451">
        <f>SUMPRODUCT(Calc!$K$3:$K$22*(Calc!$G$3:$G$22&gt;A3451)*(Calc!$G$3:$G$22&lt;B3451))</f>
        <v/>
      </c>
      <c r="E3451">
        <f>SUMPRODUCT(Calc!$K$3:$K$22*(Calc!$G$3:$G$22&gt;=B3451))</f>
        <v/>
      </c>
      <c r="F3451">
        <f>AND(k_n&gt;=5,B3451&gt;A3451+1E-9,C3451&gt;=2,D3451&gt;=1,E3451&gt;=2)</f>
        <v/>
      </c>
      <c r="G3451">
        <f>SUMPRODUCT(Calc!$K$3:$K$22*(Calc!$G$3:$G$22&gt;A3451)*(Calc!$G$3:$G$22-A3451))</f>
        <v/>
      </c>
      <c r="H3451">
        <f>SUMPRODUCT(Calc!$K$3:$K$22*(Calc!$G$3:$G$22&gt;B3451)*(Calc!$G$3:$G$22-B3451))</f>
        <v/>
      </c>
      <c r="I3451">
        <f>SUMPRODUCT(Calc!$K$3:$K$22*(Calc!$G$3:$G$22&gt;A3451)*(Calc!$G$3:$G$22-A3451)^2)</f>
        <v/>
      </c>
      <c r="J3451">
        <f>SUMPRODUCT(Calc!$K$3:$K$22*(Calc!$G$3:$G$22&gt;B3451)*(Calc!$G$3:$G$22-B3451)^2)</f>
        <v/>
      </c>
      <c r="K3451">
        <f>SUMPRODUCT(Calc!$K$3:$K$22*(Calc!$G$3:$G$22&gt;A3451)*(Calc!$G$3:$G$22-A3451)*(Calc!$G$3:$G$22&gt;B3451)*(Calc!$G$3:$G$22-B3451))</f>
        <v/>
      </c>
      <c r="L3451">
        <f>SUMPRODUCT(Calc!$K$3:$K$22*(Calc!$G$3:$G$22&gt;A3451)*(Calc!$G$3:$G$22-A3451)*Calc!$G$3:$G$22)</f>
        <v/>
      </c>
      <c r="M3451">
        <f>SUMPRODUCT(Calc!$K$3:$K$22*(Calc!$G$3:$G$22&gt;B3451)*(Calc!$G$3:$G$22-B3451)*Calc!$G$3:$G$22)</f>
        <v/>
      </c>
      <c r="N3451">
        <f>SUMPRODUCT(Calc!$K$3:$K$22*(Calc!$G$3:$G$22&gt;A3451)*(Calc!$G$3:$G$22-A3451)*Calc!$I$3:$I$22)</f>
        <v/>
      </c>
      <c r="O3451">
        <f>SUMPRODUCT(Calc!$K$3:$K$22*(Calc!$G$3:$G$22&gt;B3451)*(Calc!$G$3:$G$22-B3451)*Calc!$I$3:$I$22)</f>
        <v/>
      </c>
      <c r="P3451">
        <f>I3451-G3451^2/k_n</f>
        <v/>
      </c>
      <c r="Q3451">
        <f>J3451-H3451^2/k_n</f>
        <v/>
      </c>
      <c r="R3451">
        <f>K3451-G3451*H3451/k_n</f>
        <v/>
      </c>
      <c r="S3451">
        <f>L3451-LTP3!$D$3*G3451/k_n</f>
        <v/>
      </c>
      <c r="T3451">
        <f>M3451-LTP3!$D$3*H3451/k_n</f>
        <v/>
      </c>
      <c r="U3451">
        <f>N3451-G3451*LTP3!$D$4/k_n</f>
        <v/>
      </c>
      <c r="V3451">
        <f>O3451-H3451*LTP3!$D$4/k_n</f>
        <v/>
      </c>
      <c r="W3451">
        <f>((LTP3!$D$5)*((P3451)*(Q3451)-(R3451)*(R3451))-(S3451)*((S3451)*(Q3451)-(R3451)*(T3451))+(T3451)*((S3451)*(R3451)-(P3451)*(T3451)))</f>
        <v/>
      </c>
      <c r="X3451">
        <f>IF(ABS(W3451)&gt;1E-12,((LTP3!$D$6)*((P3451)*(Q3451)-(R3451)*(R3451))-(S3451)*((U3451)*(Q3451)-(R3451)*(V3451))+(T3451)*((U3451)*(R3451)-(P3451)*(V3451)))/W3451,0)</f>
        <v/>
      </c>
      <c r="Y3451">
        <f>IF(ABS(W3451)&gt;1E-12,((LTP3!$D$5)*((U3451)*(Q3451)-(R3451)*(V3451))-(LTP3!$D$6)*((S3451)*(Q3451)-(R3451)*(T3451))+(T3451)*((S3451)*(V3451)-(U3451)*(T3451)))/W3451,0)</f>
        <v/>
      </c>
      <c r="Z3451">
        <f>IF(ABS(W3451)&gt;1E-12,((LTP3!$D$5)*((P3451)*(V3451)-(U3451)*(R3451))-(S3451)*((S3451)*(V3451)-(U3451)*(T3451))+(LTP3!$D$6)*((S3451)*(R3451)-(P3451)*(T3451)))/W3451,0)</f>
        <v/>
      </c>
      <c r="AA3451">
        <f>LTP3!$D$7-X3451*LTP3!$D$6-Y3451*U3451-Z3451*V3451</f>
        <v/>
      </c>
      <c r="AB3451">
        <f>IF(AND(F3451,ABS(W3451)&gt;1E-12,Y3451&gt;0,Z3451&gt;0),AA3451,1E+300)</f>
        <v/>
      </c>
    </row>
    <row r="3452">
      <c r="A3452">
        <f>$B$3+$B$5*56</f>
        <v/>
      </c>
      <c r="B3452">
        <f>$B$3+$B$5*24</f>
        <v/>
      </c>
      <c r="C3452">
        <f>SUMPRODUCT(Calc!$K$3:$K$22*(Calc!$G$3:$G$22&lt;=A3452))</f>
        <v/>
      </c>
      <c r="D3452">
        <f>SUMPRODUCT(Calc!$K$3:$K$22*(Calc!$G$3:$G$22&gt;A3452)*(Calc!$G$3:$G$22&lt;B3452))</f>
        <v/>
      </c>
      <c r="E3452">
        <f>SUMPRODUCT(Calc!$K$3:$K$22*(Calc!$G$3:$G$22&gt;=B3452))</f>
        <v/>
      </c>
      <c r="F3452">
        <f>AND(k_n&gt;=5,B3452&gt;A3452+1E-9,C3452&gt;=2,D3452&gt;=1,E3452&gt;=2)</f>
        <v/>
      </c>
      <c r="G3452">
        <f>SUMPRODUCT(Calc!$K$3:$K$22*(Calc!$G$3:$G$22&gt;A3452)*(Calc!$G$3:$G$22-A3452))</f>
        <v/>
      </c>
      <c r="H3452">
        <f>SUMPRODUCT(Calc!$K$3:$K$22*(Calc!$G$3:$G$22&gt;B3452)*(Calc!$G$3:$G$22-B3452))</f>
        <v/>
      </c>
      <c r="I3452">
        <f>SUMPRODUCT(Calc!$K$3:$K$22*(Calc!$G$3:$G$22&gt;A3452)*(Calc!$G$3:$G$22-A3452)^2)</f>
        <v/>
      </c>
      <c r="J3452">
        <f>SUMPRODUCT(Calc!$K$3:$K$22*(Calc!$G$3:$G$22&gt;B3452)*(Calc!$G$3:$G$22-B3452)^2)</f>
        <v/>
      </c>
      <c r="K3452">
        <f>SUMPRODUCT(Calc!$K$3:$K$22*(Calc!$G$3:$G$22&gt;A3452)*(Calc!$G$3:$G$22-A3452)*(Calc!$G$3:$G$22&gt;B3452)*(Calc!$G$3:$G$22-B3452))</f>
        <v/>
      </c>
      <c r="L3452">
        <f>SUMPRODUCT(Calc!$K$3:$K$22*(Calc!$G$3:$G$22&gt;A3452)*(Calc!$G$3:$G$22-A3452)*Calc!$G$3:$G$22)</f>
        <v/>
      </c>
      <c r="M3452">
        <f>SUMPRODUCT(Calc!$K$3:$K$22*(Calc!$G$3:$G$22&gt;B3452)*(Calc!$G$3:$G$22-B3452)*Calc!$G$3:$G$22)</f>
        <v/>
      </c>
      <c r="N3452">
        <f>SUMPRODUCT(Calc!$K$3:$K$22*(Calc!$G$3:$G$22&gt;A3452)*(Calc!$G$3:$G$22-A3452)*Calc!$I$3:$I$22)</f>
        <v/>
      </c>
      <c r="O3452">
        <f>SUMPRODUCT(Calc!$K$3:$K$22*(Calc!$G$3:$G$22&gt;B3452)*(Calc!$G$3:$G$22-B3452)*Calc!$I$3:$I$22)</f>
        <v/>
      </c>
      <c r="P3452">
        <f>I3452-G3452^2/k_n</f>
        <v/>
      </c>
      <c r="Q3452">
        <f>J3452-H3452^2/k_n</f>
        <v/>
      </c>
      <c r="R3452">
        <f>K3452-G3452*H3452/k_n</f>
        <v/>
      </c>
      <c r="S3452">
        <f>L3452-LTP3!$D$3*G3452/k_n</f>
        <v/>
      </c>
      <c r="T3452">
        <f>M3452-LTP3!$D$3*H3452/k_n</f>
        <v/>
      </c>
      <c r="U3452">
        <f>N3452-G3452*LTP3!$D$4/k_n</f>
        <v/>
      </c>
      <c r="V3452">
        <f>O3452-H3452*LTP3!$D$4/k_n</f>
        <v/>
      </c>
      <c r="W3452">
        <f>((LTP3!$D$5)*((P3452)*(Q3452)-(R3452)*(R3452))-(S3452)*((S3452)*(Q3452)-(R3452)*(T3452))+(T3452)*((S3452)*(R3452)-(P3452)*(T3452)))</f>
        <v/>
      </c>
      <c r="X3452">
        <f>IF(ABS(W3452)&gt;1E-12,((LTP3!$D$6)*((P3452)*(Q3452)-(R3452)*(R3452))-(S3452)*((U3452)*(Q3452)-(R3452)*(V3452))+(T3452)*((U3452)*(R3452)-(P3452)*(V3452)))/W3452,0)</f>
        <v/>
      </c>
      <c r="Y3452">
        <f>IF(ABS(W3452)&gt;1E-12,((LTP3!$D$5)*((U3452)*(Q3452)-(R3452)*(V3452))-(LTP3!$D$6)*((S3452)*(Q3452)-(R3452)*(T3452))+(T3452)*((S3452)*(V3452)-(U3452)*(T3452)))/W3452,0)</f>
        <v/>
      </c>
      <c r="Z3452">
        <f>IF(ABS(W3452)&gt;1E-12,((LTP3!$D$5)*((P3452)*(V3452)-(U3452)*(R3452))-(S3452)*((S3452)*(V3452)-(U3452)*(T3452))+(LTP3!$D$6)*((S3452)*(R3452)-(P3452)*(T3452)))/W3452,0)</f>
        <v/>
      </c>
      <c r="AA3452">
        <f>LTP3!$D$7-X3452*LTP3!$D$6-Y3452*U3452-Z3452*V3452</f>
        <v/>
      </c>
      <c r="AB3452">
        <f>IF(AND(F3452,ABS(W3452)&gt;1E-12,Y3452&gt;0,Z3452&gt;0),AA3452,1E+300)</f>
        <v/>
      </c>
    </row>
    <row r="3453">
      <c r="A3453">
        <f>$B$3+$B$5*56</f>
        <v/>
      </c>
      <c r="B3453">
        <f>$B$3+$B$5*25</f>
        <v/>
      </c>
      <c r="C3453">
        <f>SUMPRODUCT(Calc!$K$3:$K$22*(Calc!$G$3:$G$22&lt;=A3453))</f>
        <v/>
      </c>
      <c r="D3453">
        <f>SUMPRODUCT(Calc!$K$3:$K$22*(Calc!$G$3:$G$22&gt;A3453)*(Calc!$G$3:$G$22&lt;B3453))</f>
        <v/>
      </c>
      <c r="E3453">
        <f>SUMPRODUCT(Calc!$K$3:$K$22*(Calc!$G$3:$G$22&gt;=B3453))</f>
        <v/>
      </c>
      <c r="F3453">
        <f>AND(k_n&gt;=5,B3453&gt;A3453+1E-9,C3453&gt;=2,D3453&gt;=1,E3453&gt;=2)</f>
        <v/>
      </c>
      <c r="G3453">
        <f>SUMPRODUCT(Calc!$K$3:$K$22*(Calc!$G$3:$G$22&gt;A3453)*(Calc!$G$3:$G$22-A3453))</f>
        <v/>
      </c>
      <c r="H3453">
        <f>SUMPRODUCT(Calc!$K$3:$K$22*(Calc!$G$3:$G$22&gt;B3453)*(Calc!$G$3:$G$22-B3453))</f>
        <v/>
      </c>
      <c r="I3453">
        <f>SUMPRODUCT(Calc!$K$3:$K$22*(Calc!$G$3:$G$22&gt;A3453)*(Calc!$G$3:$G$22-A3453)^2)</f>
        <v/>
      </c>
      <c r="J3453">
        <f>SUMPRODUCT(Calc!$K$3:$K$22*(Calc!$G$3:$G$22&gt;B3453)*(Calc!$G$3:$G$22-B3453)^2)</f>
        <v/>
      </c>
      <c r="K3453">
        <f>SUMPRODUCT(Calc!$K$3:$K$22*(Calc!$G$3:$G$22&gt;A3453)*(Calc!$G$3:$G$22-A3453)*(Calc!$G$3:$G$22&gt;B3453)*(Calc!$G$3:$G$22-B3453))</f>
        <v/>
      </c>
      <c r="L3453">
        <f>SUMPRODUCT(Calc!$K$3:$K$22*(Calc!$G$3:$G$22&gt;A3453)*(Calc!$G$3:$G$22-A3453)*Calc!$G$3:$G$22)</f>
        <v/>
      </c>
      <c r="M3453">
        <f>SUMPRODUCT(Calc!$K$3:$K$22*(Calc!$G$3:$G$22&gt;B3453)*(Calc!$G$3:$G$22-B3453)*Calc!$G$3:$G$22)</f>
        <v/>
      </c>
      <c r="N3453">
        <f>SUMPRODUCT(Calc!$K$3:$K$22*(Calc!$G$3:$G$22&gt;A3453)*(Calc!$G$3:$G$22-A3453)*Calc!$I$3:$I$22)</f>
        <v/>
      </c>
      <c r="O3453">
        <f>SUMPRODUCT(Calc!$K$3:$K$22*(Calc!$G$3:$G$22&gt;B3453)*(Calc!$G$3:$G$22-B3453)*Calc!$I$3:$I$22)</f>
        <v/>
      </c>
      <c r="P3453">
        <f>I3453-G3453^2/k_n</f>
        <v/>
      </c>
      <c r="Q3453">
        <f>J3453-H3453^2/k_n</f>
        <v/>
      </c>
      <c r="R3453">
        <f>K3453-G3453*H3453/k_n</f>
        <v/>
      </c>
      <c r="S3453">
        <f>L3453-LTP3!$D$3*G3453/k_n</f>
        <v/>
      </c>
      <c r="T3453">
        <f>M3453-LTP3!$D$3*H3453/k_n</f>
        <v/>
      </c>
      <c r="U3453">
        <f>N3453-G3453*LTP3!$D$4/k_n</f>
        <v/>
      </c>
      <c r="V3453">
        <f>O3453-H3453*LTP3!$D$4/k_n</f>
        <v/>
      </c>
      <c r="W3453">
        <f>((LTP3!$D$5)*((P3453)*(Q3453)-(R3453)*(R3453))-(S3453)*((S3453)*(Q3453)-(R3453)*(T3453))+(T3453)*((S3453)*(R3453)-(P3453)*(T3453)))</f>
        <v/>
      </c>
      <c r="X3453">
        <f>IF(ABS(W3453)&gt;1E-12,((LTP3!$D$6)*((P3453)*(Q3453)-(R3453)*(R3453))-(S3453)*((U3453)*(Q3453)-(R3453)*(V3453))+(T3453)*((U3453)*(R3453)-(P3453)*(V3453)))/W3453,0)</f>
        <v/>
      </c>
      <c r="Y3453">
        <f>IF(ABS(W3453)&gt;1E-12,((LTP3!$D$5)*((U3453)*(Q3453)-(R3453)*(V3453))-(LTP3!$D$6)*((S3453)*(Q3453)-(R3453)*(T3453))+(T3453)*((S3453)*(V3453)-(U3453)*(T3453)))/W3453,0)</f>
        <v/>
      </c>
      <c r="Z3453">
        <f>IF(ABS(W3453)&gt;1E-12,((LTP3!$D$5)*((P3453)*(V3453)-(U3453)*(R3453))-(S3453)*((S3453)*(V3453)-(U3453)*(T3453))+(LTP3!$D$6)*((S3453)*(R3453)-(P3453)*(T3453)))/W3453,0)</f>
        <v/>
      </c>
      <c r="AA3453">
        <f>LTP3!$D$7-X3453*LTP3!$D$6-Y3453*U3453-Z3453*V3453</f>
        <v/>
      </c>
      <c r="AB3453">
        <f>IF(AND(F3453,ABS(W3453)&gt;1E-12,Y3453&gt;0,Z3453&gt;0),AA3453,1E+300)</f>
        <v/>
      </c>
    </row>
    <row r="3454">
      <c r="A3454">
        <f>$B$3+$B$5*56</f>
        <v/>
      </c>
      <c r="B3454">
        <f>$B$3+$B$5*26</f>
        <v/>
      </c>
      <c r="C3454">
        <f>SUMPRODUCT(Calc!$K$3:$K$22*(Calc!$G$3:$G$22&lt;=A3454))</f>
        <v/>
      </c>
      <c r="D3454">
        <f>SUMPRODUCT(Calc!$K$3:$K$22*(Calc!$G$3:$G$22&gt;A3454)*(Calc!$G$3:$G$22&lt;B3454))</f>
        <v/>
      </c>
      <c r="E3454">
        <f>SUMPRODUCT(Calc!$K$3:$K$22*(Calc!$G$3:$G$22&gt;=B3454))</f>
        <v/>
      </c>
      <c r="F3454">
        <f>AND(k_n&gt;=5,B3454&gt;A3454+1E-9,C3454&gt;=2,D3454&gt;=1,E3454&gt;=2)</f>
        <v/>
      </c>
      <c r="G3454">
        <f>SUMPRODUCT(Calc!$K$3:$K$22*(Calc!$G$3:$G$22&gt;A3454)*(Calc!$G$3:$G$22-A3454))</f>
        <v/>
      </c>
      <c r="H3454">
        <f>SUMPRODUCT(Calc!$K$3:$K$22*(Calc!$G$3:$G$22&gt;B3454)*(Calc!$G$3:$G$22-B3454))</f>
        <v/>
      </c>
      <c r="I3454">
        <f>SUMPRODUCT(Calc!$K$3:$K$22*(Calc!$G$3:$G$22&gt;A3454)*(Calc!$G$3:$G$22-A3454)^2)</f>
        <v/>
      </c>
      <c r="J3454">
        <f>SUMPRODUCT(Calc!$K$3:$K$22*(Calc!$G$3:$G$22&gt;B3454)*(Calc!$G$3:$G$22-B3454)^2)</f>
        <v/>
      </c>
      <c r="K3454">
        <f>SUMPRODUCT(Calc!$K$3:$K$22*(Calc!$G$3:$G$22&gt;A3454)*(Calc!$G$3:$G$22-A3454)*(Calc!$G$3:$G$22&gt;B3454)*(Calc!$G$3:$G$22-B3454))</f>
        <v/>
      </c>
      <c r="L3454">
        <f>SUMPRODUCT(Calc!$K$3:$K$22*(Calc!$G$3:$G$22&gt;A3454)*(Calc!$G$3:$G$22-A3454)*Calc!$G$3:$G$22)</f>
        <v/>
      </c>
      <c r="M3454">
        <f>SUMPRODUCT(Calc!$K$3:$K$22*(Calc!$G$3:$G$22&gt;B3454)*(Calc!$G$3:$G$22-B3454)*Calc!$G$3:$G$22)</f>
        <v/>
      </c>
      <c r="N3454">
        <f>SUMPRODUCT(Calc!$K$3:$K$22*(Calc!$G$3:$G$22&gt;A3454)*(Calc!$G$3:$G$22-A3454)*Calc!$I$3:$I$22)</f>
        <v/>
      </c>
      <c r="O3454">
        <f>SUMPRODUCT(Calc!$K$3:$K$22*(Calc!$G$3:$G$22&gt;B3454)*(Calc!$G$3:$G$22-B3454)*Calc!$I$3:$I$22)</f>
        <v/>
      </c>
      <c r="P3454">
        <f>I3454-G3454^2/k_n</f>
        <v/>
      </c>
      <c r="Q3454">
        <f>J3454-H3454^2/k_n</f>
        <v/>
      </c>
      <c r="R3454">
        <f>K3454-G3454*H3454/k_n</f>
        <v/>
      </c>
      <c r="S3454">
        <f>L3454-LTP3!$D$3*G3454/k_n</f>
        <v/>
      </c>
      <c r="T3454">
        <f>M3454-LTP3!$D$3*H3454/k_n</f>
        <v/>
      </c>
      <c r="U3454">
        <f>N3454-G3454*LTP3!$D$4/k_n</f>
        <v/>
      </c>
      <c r="V3454">
        <f>O3454-H3454*LTP3!$D$4/k_n</f>
        <v/>
      </c>
      <c r="W3454">
        <f>((LTP3!$D$5)*((P3454)*(Q3454)-(R3454)*(R3454))-(S3454)*((S3454)*(Q3454)-(R3454)*(T3454))+(T3454)*((S3454)*(R3454)-(P3454)*(T3454)))</f>
        <v/>
      </c>
      <c r="X3454">
        <f>IF(ABS(W3454)&gt;1E-12,((LTP3!$D$6)*((P3454)*(Q3454)-(R3454)*(R3454))-(S3454)*((U3454)*(Q3454)-(R3454)*(V3454))+(T3454)*((U3454)*(R3454)-(P3454)*(V3454)))/W3454,0)</f>
        <v/>
      </c>
      <c r="Y3454">
        <f>IF(ABS(W3454)&gt;1E-12,((LTP3!$D$5)*((U3454)*(Q3454)-(R3454)*(V3454))-(LTP3!$D$6)*((S3454)*(Q3454)-(R3454)*(T3454))+(T3454)*((S3454)*(V3454)-(U3454)*(T3454)))/W3454,0)</f>
        <v/>
      </c>
      <c r="Z3454">
        <f>IF(ABS(W3454)&gt;1E-12,((LTP3!$D$5)*((P3454)*(V3454)-(U3454)*(R3454))-(S3454)*((S3454)*(V3454)-(U3454)*(T3454))+(LTP3!$D$6)*((S3454)*(R3454)-(P3454)*(T3454)))/W3454,0)</f>
        <v/>
      </c>
      <c r="AA3454">
        <f>LTP3!$D$7-X3454*LTP3!$D$6-Y3454*U3454-Z3454*V3454</f>
        <v/>
      </c>
      <c r="AB3454">
        <f>IF(AND(F3454,ABS(W3454)&gt;1E-12,Y3454&gt;0,Z3454&gt;0),AA3454,1E+300)</f>
        <v/>
      </c>
    </row>
    <row r="3455">
      <c r="A3455">
        <f>$B$3+$B$5*56</f>
        <v/>
      </c>
      <c r="B3455">
        <f>$B$3+$B$5*27</f>
        <v/>
      </c>
      <c r="C3455">
        <f>SUMPRODUCT(Calc!$K$3:$K$22*(Calc!$G$3:$G$22&lt;=A3455))</f>
        <v/>
      </c>
      <c r="D3455">
        <f>SUMPRODUCT(Calc!$K$3:$K$22*(Calc!$G$3:$G$22&gt;A3455)*(Calc!$G$3:$G$22&lt;B3455))</f>
        <v/>
      </c>
      <c r="E3455">
        <f>SUMPRODUCT(Calc!$K$3:$K$22*(Calc!$G$3:$G$22&gt;=B3455))</f>
        <v/>
      </c>
      <c r="F3455">
        <f>AND(k_n&gt;=5,B3455&gt;A3455+1E-9,C3455&gt;=2,D3455&gt;=1,E3455&gt;=2)</f>
        <v/>
      </c>
      <c r="G3455">
        <f>SUMPRODUCT(Calc!$K$3:$K$22*(Calc!$G$3:$G$22&gt;A3455)*(Calc!$G$3:$G$22-A3455))</f>
        <v/>
      </c>
      <c r="H3455">
        <f>SUMPRODUCT(Calc!$K$3:$K$22*(Calc!$G$3:$G$22&gt;B3455)*(Calc!$G$3:$G$22-B3455))</f>
        <v/>
      </c>
      <c r="I3455">
        <f>SUMPRODUCT(Calc!$K$3:$K$22*(Calc!$G$3:$G$22&gt;A3455)*(Calc!$G$3:$G$22-A3455)^2)</f>
        <v/>
      </c>
      <c r="J3455">
        <f>SUMPRODUCT(Calc!$K$3:$K$22*(Calc!$G$3:$G$22&gt;B3455)*(Calc!$G$3:$G$22-B3455)^2)</f>
        <v/>
      </c>
      <c r="K3455">
        <f>SUMPRODUCT(Calc!$K$3:$K$22*(Calc!$G$3:$G$22&gt;A3455)*(Calc!$G$3:$G$22-A3455)*(Calc!$G$3:$G$22&gt;B3455)*(Calc!$G$3:$G$22-B3455))</f>
        <v/>
      </c>
      <c r="L3455">
        <f>SUMPRODUCT(Calc!$K$3:$K$22*(Calc!$G$3:$G$22&gt;A3455)*(Calc!$G$3:$G$22-A3455)*Calc!$G$3:$G$22)</f>
        <v/>
      </c>
      <c r="M3455">
        <f>SUMPRODUCT(Calc!$K$3:$K$22*(Calc!$G$3:$G$22&gt;B3455)*(Calc!$G$3:$G$22-B3455)*Calc!$G$3:$G$22)</f>
        <v/>
      </c>
      <c r="N3455">
        <f>SUMPRODUCT(Calc!$K$3:$K$22*(Calc!$G$3:$G$22&gt;A3455)*(Calc!$G$3:$G$22-A3455)*Calc!$I$3:$I$22)</f>
        <v/>
      </c>
      <c r="O3455">
        <f>SUMPRODUCT(Calc!$K$3:$K$22*(Calc!$G$3:$G$22&gt;B3455)*(Calc!$G$3:$G$22-B3455)*Calc!$I$3:$I$22)</f>
        <v/>
      </c>
      <c r="P3455">
        <f>I3455-G3455^2/k_n</f>
        <v/>
      </c>
      <c r="Q3455">
        <f>J3455-H3455^2/k_n</f>
        <v/>
      </c>
      <c r="R3455">
        <f>K3455-G3455*H3455/k_n</f>
        <v/>
      </c>
      <c r="S3455">
        <f>L3455-LTP3!$D$3*G3455/k_n</f>
        <v/>
      </c>
      <c r="T3455">
        <f>M3455-LTP3!$D$3*H3455/k_n</f>
        <v/>
      </c>
      <c r="U3455">
        <f>N3455-G3455*LTP3!$D$4/k_n</f>
        <v/>
      </c>
      <c r="V3455">
        <f>O3455-H3455*LTP3!$D$4/k_n</f>
        <v/>
      </c>
      <c r="W3455">
        <f>((LTP3!$D$5)*((P3455)*(Q3455)-(R3455)*(R3455))-(S3455)*((S3455)*(Q3455)-(R3455)*(T3455))+(T3455)*((S3455)*(R3455)-(P3455)*(T3455)))</f>
        <v/>
      </c>
      <c r="X3455">
        <f>IF(ABS(W3455)&gt;1E-12,((LTP3!$D$6)*((P3455)*(Q3455)-(R3455)*(R3455))-(S3455)*((U3455)*(Q3455)-(R3455)*(V3455))+(T3455)*((U3455)*(R3455)-(P3455)*(V3455)))/W3455,0)</f>
        <v/>
      </c>
      <c r="Y3455">
        <f>IF(ABS(W3455)&gt;1E-12,((LTP3!$D$5)*((U3455)*(Q3455)-(R3455)*(V3455))-(LTP3!$D$6)*((S3455)*(Q3455)-(R3455)*(T3455))+(T3455)*((S3455)*(V3455)-(U3455)*(T3455)))/W3455,0)</f>
        <v/>
      </c>
      <c r="Z3455">
        <f>IF(ABS(W3455)&gt;1E-12,((LTP3!$D$5)*((P3455)*(V3455)-(U3455)*(R3455))-(S3455)*((S3455)*(V3455)-(U3455)*(T3455))+(LTP3!$D$6)*((S3455)*(R3455)-(P3455)*(T3455)))/W3455,0)</f>
        <v/>
      </c>
      <c r="AA3455">
        <f>LTP3!$D$7-X3455*LTP3!$D$6-Y3455*U3455-Z3455*V3455</f>
        <v/>
      </c>
      <c r="AB3455">
        <f>IF(AND(F3455,ABS(W3455)&gt;1E-12,Y3455&gt;0,Z3455&gt;0),AA3455,1E+300)</f>
        <v/>
      </c>
    </row>
    <row r="3456">
      <c r="A3456">
        <f>$B$3+$B$5*56</f>
        <v/>
      </c>
      <c r="B3456">
        <f>$B$3+$B$5*28</f>
        <v/>
      </c>
      <c r="C3456">
        <f>SUMPRODUCT(Calc!$K$3:$K$22*(Calc!$G$3:$G$22&lt;=A3456))</f>
        <v/>
      </c>
      <c r="D3456">
        <f>SUMPRODUCT(Calc!$K$3:$K$22*(Calc!$G$3:$G$22&gt;A3456)*(Calc!$G$3:$G$22&lt;B3456))</f>
        <v/>
      </c>
      <c r="E3456">
        <f>SUMPRODUCT(Calc!$K$3:$K$22*(Calc!$G$3:$G$22&gt;=B3456))</f>
        <v/>
      </c>
      <c r="F3456">
        <f>AND(k_n&gt;=5,B3456&gt;A3456+1E-9,C3456&gt;=2,D3456&gt;=1,E3456&gt;=2)</f>
        <v/>
      </c>
      <c r="G3456">
        <f>SUMPRODUCT(Calc!$K$3:$K$22*(Calc!$G$3:$G$22&gt;A3456)*(Calc!$G$3:$G$22-A3456))</f>
        <v/>
      </c>
      <c r="H3456">
        <f>SUMPRODUCT(Calc!$K$3:$K$22*(Calc!$G$3:$G$22&gt;B3456)*(Calc!$G$3:$G$22-B3456))</f>
        <v/>
      </c>
      <c r="I3456">
        <f>SUMPRODUCT(Calc!$K$3:$K$22*(Calc!$G$3:$G$22&gt;A3456)*(Calc!$G$3:$G$22-A3456)^2)</f>
        <v/>
      </c>
      <c r="J3456">
        <f>SUMPRODUCT(Calc!$K$3:$K$22*(Calc!$G$3:$G$22&gt;B3456)*(Calc!$G$3:$G$22-B3456)^2)</f>
        <v/>
      </c>
      <c r="K3456">
        <f>SUMPRODUCT(Calc!$K$3:$K$22*(Calc!$G$3:$G$22&gt;A3456)*(Calc!$G$3:$G$22-A3456)*(Calc!$G$3:$G$22&gt;B3456)*(Calc!$G$3:$G$22-B3456))</f>
        <v/>
      </c>
      <c r="L3456">
        <f>SUMPRODUCT(Calc!$K$3:$K$22*(Calc!$G$3:$G$22&gt;A3456)*(Calc!$G$3:$G$22-A3456)*Calc!$G$3:$G$22)</f>
        <v/>
      </c>
      <c r="M3456">
        <f>SUMPRODUCT(Calc!$K$3:$K$22*(Calc!$G$3:$G$22&gt;B3456)*(Calc!$G$3:$G$22-B3456)*Calc!$G$3:$G$22)</f>
        <v/>
      </c>
      <c r="N3456">
        <f>SUMPRODUCT(Calc!$K$3:$K$22*(Calc!$G$3:$G$22&gt;A3456)*(Calc!$G$3:$G$22-A3456)*Calc!$I$3:$I$22)</f>
        <v/>
      </c>
      <c r="O3456">
        <f>SUMPRODUCT(Calc!$K$3:$K$22*(Calc!$G$3:$G$22&gt;B3456)*(Calc!$G$3:$G$22-B3456)*Calc!$I$3:$I$22)</f>
        <v/>
      </c>
      <c r="P3456">
        <f>I3456-G3456^2/k_n</f>
        <v/>
      </c>
      <c r="Q3456">
        <f>J3456-H3456^2/k_n</f>
        <v/>
      </c>
      <c r="R3456">
        <f>K3456-G3456*H3456/k_n</f>
        <v/>
      </c>
      <c r="S3456">
        <f>L3456-LTP3!$D$3*G3456/k_n</f>
        <v/>
      </c>
      <c r="T3456">
        <f>M3456-LTP3!$D$3*H3456/k_n</f>
        <v/>
      </c>
      <c r="U3456">
        <f>N3456-G3456*LTP3!$D$4/k_n</f>
        <v/>
      </c>
      <c r="V3456">
        <f>O3456-H3456*LTP3!$D$4/k_n</f>
        <v/>
      </c>
      <c r="W3456">
        <f>((LTP3!$D$5)*((P3456)*(Q3456)-(R3456)*(R3456))-(S3456)*((S3456)*(Q3456)-(R3456)*(T3456))+(T3456)*((S3456)*(R3456)-(P3456)*(T3456)))</f>
        <v/>
      </c>
      <c r="X3456">
        <f>IF(ABS(W3456)&gt;1E-12,((LTP3!$D$6)*((P3456)*(Q3456)-(R3456)*(R3456))-(S3456)*((U3456)*(Q3456)-(R3456)*(V3456))+(T3456)*((U3456)*(R3456)-(P3456)*(V3456)))/W3456,0)</f>
        <v/>
      </c>
      <c r="Y3456">
        <f>IF(ABS(W3456)&gt;1E-12,((LTP3!$D$5)*((U3456)*(Q3456)-(R3456)*(V3456))-(LTP3!$D$6)*((S3456)*(Q3456)-(R3456)*(T3456))+(T3456)*((S3456)*(V3456)-(U3456)*(T3456)))/W3456,0)</f>
        <v/>
      </c>
      <c r="Z3456">
        <f>IF(ABS(W3456)&gt;1E-12,((LTP3!$D$5)*((P3456)*(V3456)-(U3456)*(R3456))-(S3456)*((S3456)*(V3456)-(U3456)*(T3456))+(LTP3!$D$6)*((S3456)*(R3456)-(P3456)*(T3456)))/W3456,0)</f>
        <v/>
      </c>
      <c r="AA3456">
        <f>LTP3!$D$7-X3456*LTP3!$D$6-Y3456*U3456-Z3456*V3456</f>
        <v/>
      </c>
      <c r="AB3456">
        <f>IF(AND(F3456,ABS(W3456)&gt;1E-12,Y3456&gt;0,Z3456&gt;0),AA3456,1E+300)</f>
        <v/>
      </c>
    </row>
    <row r="3457">
      <c r="A3457">
        <f>$B$3+$B$5*56</f>
        <v/>
      </c>
      <c r="B3457">
        <f>$B$3+$B$5*29</f>
        <v/>
      </c>
      <c r="C3457">
        <f>SUMPRODUCT(Calc!$K$3:$K$22*(Calc!$G$3:$G$22&lt;=A3457))</f>
        <v/>
      </c>
      <c r="D3457">
        <f>SUMPRODUCT(Calc!$K$3:$K$22*(Calc!$G$3:$G$22&gt;A3457)*(Calc!$G$3:$G$22&lt;B3457))</f>
        <v/>
      </c>
      <c r="E3457">
        <f>SUMPRODUCT(Calc!$K$3:$K$22*(Calc!$G$3:$G$22&gt;=B3457))</f>
        <v/>
      </c>
      <c r="F3457">
        <f>AND(k_n&gt;=5,B3457&gt;A3457+1E-9,C3457&gt;=2,D3457&gt;=1,E3457&gt;=2)</f>
        <v/>
      </c>
      <c r="G3457">
        <f>SUMPRODUCT(Calc!$K$3:$K$22*(Calc!$G$3:$G$22&gt;A3457)*(Calc!$G$3:$G$22-A3457))</f>
        <v/>
      </c>
      <c r="H3457">
        <f>SUMPRODUCT(Calc!$K$3:$K$22*(Calc!$G$3:$G$22&gt;B3457)*(Calc!$G$3:$G$22-B3457))</f>
        <v/>
      </c>
      <c r="I3457">
        <f>SUMPRODUCT(Calc!$K$3:$K$22*(Calc!$G$3:$G$22&gt;A3457)*(Calc!$G$3:$G$22-A3457)^2)</f>
        <v/>
      </c>
      <c r="J3457">
        <f>SUMPRODUCT(Calc!$K$3:$K$22*(Calc!$G$3:$G$22&gt;B3457)*(Calc!$G$3:$G$22-B3457)^2)</f>
        <v/>
      </c>
      <c r="K3457">
        <f>SUMPRODUCT(Calc!$K$3:$K$22*(Calc!$G$3:$G$22&gt;A3457)*(Calc!$G$3:$G$22-A3457)*(Calc!$G$3:$G$22&gt;B3457)*(Calc!$G$3:$G$22-B3457))</f>
        <v/>
      </c>
      <c r="L3457">
        <f>SUMPRODUCT(Calc!$K$3:$K$22*(Calc!$G$3:$G$22&gt;A3457)*(Calc!$G$3:$G$22-A3457)*Calc!$G$3:$G$22)</f>
        <v/>
      </c>
      <c r="M3457">
        <f>SUMPRODUCT(Calc!$K$3:$K$22*(Calc!$G$3:$G$22&gt;B3457)*(Calc!$G$3:$G$22-B3457)*Calc!$G$3:$G$22)</f>
        <v/>
      </c>
      <c r="N3457">
        <f>SUMPRODUCT(Calc!$K$3:$K$22*(Calc!$G$3:$G$22&gt;A3457)*(Calc!$G$3:$G$22-A3457)*Calc!$I$3:$I$22)</f>
        <v/>
      </c>
      <c r="O3457">
        <f>SUMPRODUCT(Calc!$K$3:$K$22*(Calc!$G$3:$G$22&gt;B3457)*(Calc!$G$3:$G$22-B3457)*Calc!$I$3:$I$22)</f>
        <v/>
      </c>
      <c r="P3457">
        <f>I3457-G3457^2/k_n</f>
        <v/>
      </c>
      <c r="Q3457">
        <f>J3457-H3457^2/k_n</f>
        <v/>
      </c>
      <c r="R3457">
        <f>K3457-G3457*H3457/k_n</f>
        <v/>
      </c>
      <c r="S3457">
        <f>L3457-LTP3!$D$3*G3457/k_n</f>
        <v/>
      </c>
      <c r="T3457">
        <f>M3457-LTP3!$D$3*H3457/k_n</f>
        <v/>
      </c>
      <c r="U3457">
        <f>N3457-G3457*LTP3!$D$4/k_n</f>
        <v/>
      </c>
      <c r="V3457">
        <f>O3457-H3457*LTP3!$D$4/k_n</f>
        <v/>
      </c>
      <c r="W3457">
        <f>((LTP3!$D$5)*((P3457)*(Q3457)-(R3457)*(R3457))-(S3457)*((S3457)*(Q3457)-(R3457)*(T3457))+(T3457)*((S3457)*(R3457)-(P3457)*(T3457)))</f>
        <v/>
      </c>
      <c r="X3457">
        <f>IF(ABS(W3457)&gt;1E-12,((LTP3!$D$6)*((P3457)*(Q3457)-(R3457)*(R3457))-(S3457)*((U3457)*(Q3457)-(R3457)*(V3457))+(T3457)*((U3457)*(R3457)-(P3457)*(V3457)))/W3457,0)</f>
        <v/>
      </c>
      <c r="Y3457">
        <f>IF(ABS(W3457)&gt;1E-12,((LTP3!$D$5)*((U3457)*(Q3457)-(R3457)*(V3457))-(LTP3!$D$6)*((S3457)*(Q3457)-(R3457)*(T3457))+(T3457)*((S3457)*(V3457)-(U3457)*(T3457)))/W3457,0)</f>
        <v/>
      </c>
      <c r="Z3457">
        <f>IF(ABS(W3457)&gt;1E-12,((LTP3!$D$5)*((P3457)*(V3457)-(U3457)*(R3457))-(S3457)*((S3457)*(V3457)-(U3457)*(T3457))+(LTP3!$D$6)*((S3457)*(R3457)-(P3457)*(T3457)))/W3457,0)</f>
        <v/>
      </c>
      <c r="AA3457">
        <f>LTP3!$D$7-X3457*LTP3!$D$6-Y3457*U3457-Z3457*V3457</f>
        <v/>
      </c>
      <c r="AB3457">
        <f>IF(AND(F3457,ABS(W3457)&gt;1E-12,Y3457&gt;0,Z3457&gt;0),AA3457,1E+300)</f>
        <v/>
      </c>
    </row>
    <row r="3458">
      <c r="A3458">
        <f>$B$3+$B$5*56</f>
        <v/>
      </c>
      <c r="B3458">
        <f>$B$3+$B$5*30</f>
        <v/>
      </c>
      <c r="C3458">
        <f>SUMPRODUCT(Calc!$K$3:$K$22*(Calc!$G$3:$G$22&lt;=A3458))</f>
        <v/>
      </c>
      <c r="D3458">
        <f>SUMPRODUCT(Calc!$K$3:$K$22*(Calc!$G$3:$G$22&gt;A3458)*(Calc!$G$3:$G$22&lt;B3458))</f>
        <v/>
      </c>
      <c r="E3458">
        <f>SUMPRODUCT(Calc!$K$3:$K$22*(Calc!$G$3:$G$22&gt;=B3458))</f>
        <v/>
      </c>
      <c r="F3458">
        <f>AND(k_n&gt;=5,B3458&gt;A3458+1E-9,C3458&gt;=2,D3458&gt;=1,E3458&gt;=2)</f>
        <v/>
      </c>
      <c r="G3458">
        <f>SUMPRODUCT(Calc!$K$3:$K$22*(Calc!$G$3:$G$22&gt;A3458)*(Calc!$G$3:$G$22-A3458))</f>
        <v/>
      </c>
      <c r="H3458">
        <f>SUMPRODUCT(Calc!$K$3:$K$22*(Calc!$G$3:$G$22&gt;B3458)*(Calc!$G$3:$G$22-B3458))</f>
        <v/>
      </c>
      <c r="I3458">
        <f>SUMPRODUCT(Calc!$K$3:$K$22*(Calc!$G$3:$G$22&gt;A3458)*(Calc!$G$3:$G$22-A3458)^2)</f>
        <v/>
      </c>
      <c r="J3458">
        <f>SUMPRODUCT(Calc!$K$3:$K$22*(Calc!$G$3:$G$22&gt;B3458)*(Calc!$G$3:$G$22-B3458)^2)</f>
        <v/>
      </c>
      <c r="K3458">
        <f>SUMPRODUCT(Calc!$K$3:$K$22*(Calc!$G$3:$G$22&gt;A3458)*(Calc!$G$3:$G$22-A3458)*(Calc!$G$3:$G$22&gt;B3458)*(Calc!$G$3:$G$22-B3458))</f>
        <v/>
      </c>
      <c r="L3458">
        <f>SUMPRODUCT(Calc!$K$3:$K$22*(Calc!$G$3:$G$22&gt;A3458)*(Calc!$G$3:$G$22-A3458)*Calc!$G$3:$G$22)</f>
        <v/>
      </c>
      <c r="M3458">
        <f>SUMPRODUCT(Calc!$K$3:$K$22*(Calc!$G$3:$G$22&gt;B3458)*(Calc!$G$3:$G$22-B3458)*Calc!$G$3:$G$22)</f>
        <v/>
      </c>
      <c r="N3458">
        <f>SUMPRODUCT(Calc!$K$3:$K$22*(Calc!$G$3:$G$22&gt;A3458)*(Calc!$G$3:$G$22-A3458)*Calc!$I$3:$I$22)</f>
        <v/>
      </c>
      <c r="O3458">
        <f>SUMPRODUCT(Calc!$K$3:$K$22*(Calc!$G$3:$G$22&gt;B3458)*(Calc!$G$3:$G$22-B3458)*Calc!$I$3:$I$22)</f>
        <v/>
      </c>
      <c r="P3458">
        <f>I3458-G3458^2/k_n</f>
        <v/>
      </c>
      <c r="Q3458">
        <f>J3458-H3458^2/k_n</f>
        <v/>
      </c>
      <c r="R3458">
        <f>K3458-G3458*H3458/k_n</f>
        <v/>
      </c>
      <c r="S3458">
        <f>L3458-LTP3!$D$3*G3458/k_n</f>
        <v/>
      </c>
      <c r="T3458">
        <f>M3458-LTP3!$D$3*H3458/k_n</f>
        <v/>
      </c>
      <c r="U3458">
        <f>N3458-G3458*LTP3!$D$4/k_n</f>
        <v/>
      </c>
      <c r="V3458">
        <f>O3458-H3458*LTP3!$D$4/k_n</f>
        <v/>
      </c>
      <c r="W3458">
        <f>((LTP3!$D$5)*((P3458)*(Q3458)-(R3458)*(R3458))-(S3458)*((S3458)*(Q3458)-(R3458)*(T3458))+(T3458)*((S3458)*(R3458)-(P3458)*(T3458)))</f>
        <v/>
      </c>
      <c r="X3458">
        <f>IF(ABS(W3458)&gt;1E-12,((LTP3!$D$6)*((P3458)*(Q3458)-(R3458)*(R3458))-(S3458)*((U3458)*(Q3458)-(R3458)*(V3458))+(T3458)*((U3458)*(R3458)-(P3458)*(V3458)))/W3458,0)</f>
        <v/>
      </c>
      <c r="Y3458">
        <f>IF(ABS(W3458)&gt;1E-12,((LTP3!$D$5)*((U3458)*(Q3458)-(R3458)*(V3458))-(LTP3!$D$6)*((S3458)*(Q3458)-(R3458)*(T3458))+(T3458)*((S3458)*(V3458)-(U3458)*(T3458)))/W3458,0)</f>
        <v/>
      </c>
      <c r="Z3458">
        <f>IF(ABS(W3458)&gt;1E-12,((LTP3!$D$5)*((P3458)*(V3458)-(U3458)*(R3458))-(S3458)*((S3458)*(V3458)-(U3458)*(T3458))+(LTP3!$D$6)*((S3458)*(R3458)-(P3458)*(T3458)))/W3458,0)</f>
        <v/>
      </c>
      <c r="AA3458">
        <f>LTP3!$D$7-X3458*LTP3!$D$6-Y3458*U3458-Z3458*V3458</f>
        <v/>
      </c>
      <c r="AB3458">
        <f>IF(AND(F3458,ABS(W3458)&gt;1E-12,Y3458&gt;0,Z3458&gt;0),AA3458,1E+300)</f>
        <v/>
      </c>
    </row>
    <row r="3459">
      <c r="A3459">
        <f>$B$3+$B$5*56</f>
        <v/>
      </c>
      <c r="B3459">
        <f>$B$3+$B$5*31</f>
        <v/>
      </c>
      <c r="C3459">
        <f>SUMPRODUCT(Calc!$K$3:$K$22*(Calc!$G$3:$G$22&lt;=A3459))</f>
        <v/>
      </c>
      <c r="D3459">
        <f>SUMPRODUCT(Calc!$K$3:$K$22*(Calc!$G$3:$G$22&gt;A3459)*(Calc!$G$3:$G$22&lt;B3459))</f>
        <v/>
      </c>
      <c r="E3459">
        <f>SUMPRODUCT(Calc!$K$3:$K$22*(Calc!$G$3:$G$22&gt;=B3459))</f>
        <v/>
      </c>
      <c r="F3459">
        <f>AND(k_n&gt;=5,B3459&gt;A3459+1E-9,C3459&gt;=2,D3459&gt;=1,E3459&gt;=2)</f>
        <v/>
      </c>
      <c r="G3459">
        <f>SUMPRODUCT(Calc!$K$3:$K$22*(Calc!$G$3:$G$22&gt;A3459)*(Calc!$G$3:$G$22-A3459))</f>
        <v/>
      </c>
      <c r="H3459">
        <f>SUMPRODUCT(Calc!$K$3:$K$22*(Calc!$G$3:$G$22&gt;B3459)*(Calc!$G$3:$G$22-B3459))</f>
        <v/>
      </c>
      <c r="I3459">
        <f>SUMPRODUCT(Calc!$K$3:$K$22*(Calc!$G$3:$G$22&gt;A3459)*(Calc!$G$3:$G$22-A3459)^2)</f>
        <v/>
      </c>
      <c r="J3459">
        <f>SUMPRODUCT(Calc!$K$3:$K$22*(Calc!$G$3:$G$22&gt;B3459)*(Calc!$G$3:$G$22-B3459)^2)</f>
        <v/>
      </c>
      <c r="K3459">
        <f>SUMPRODUCT(Calc!$K$3:$K$22*(Calc!$G$3:$G$22&gt;A3459)*(Calc!$G$3:$G$22-A3459)*(Calc!$G$3:$G$22&gt;B3459)*(Calc!$G$3:$G$22-B3459))</f>
        <v/>
      </c>
      <c r="L3459">
        <f>SUMPRODUCT(Calc!$K$3:$K$22*(Calc!$G$3:$G$22&gt;A3459)*(Calc!$G$3:$G$22-A3459)*Calc!$G$3:$G$22)</f>
        <v/>
      </c>
      <c r="M3459">
        <f>SUMPRODUCT(Calc!$K$3:$K$22*(Calc!$G$3:$G$22&gt;B3459)*(Calc!$G$3:$G$22-B3459)*Calc!$G$3:$G$22)</f>
        <v/>
      </c>
      <c r="N3459">
        <f>SUMPRODUCT(Calc!$K$3:$K$22*(Calc!$G$3:$G$22&gt;A3459)*(Calc!$G$3:$G$22-A3459)*Calc!$I$3:$I$22)</f>
        <v/>
      </c>
      <c r="O3459">
        <f>SUMPRODUCT(Calc!$K$3:$K$22*(Calc!$G$3:$G$22&gt;B3459)*(Calc!$G$3:$G$22-B3459)*Calc!$I$3:$I$22)</f>
        <v/>
      </c>
      <c r="P3459">
        <f>I3459-G3459^2/k_n</f>
        <v/>
      </c>
      <c r="Q3459">
        <f>J3459-H3459^2/k_n</f>
        <v/>
      </c>
      <c r="R3459">
        <f>K3459-G3459*H3459/k_n</f>
        <v/>
      </c>
      <c r="S3459">
        <f>L3459-LTP3!$D$3*G3459/k_n</f>
        <v/>
      </c>
      <c r="T3459">
        <f>M3459-LTP3!$D$3*H3459/k_n</f>
        <v/>
      </c>
      <c r="U3459">
        <f>N3459-G3459*LTP3!$D$4/k_n</f>
        <v/>
      </c>
      <c r="V3459">
        <f>O3459-H3459*LTP3!$D$4/k_n</f>
        <v/>
      </c>
      <c r="W3459">
        <f>((LTP3!$D$5)*((P3459)*(Q3459)-(R3459)*(R3459))-(S3459)*((S3459)*(Q3459)-(R3459)*(T3459))+(T3459)*((S3459)*(R3459)-(P3459)*(T3459)))</f>
        <v/>
      </c>
      <c r="X3459">
        <f>IF(ABS(W3459)&gt;1E-12,((LTP3!$D$6)*((P3459)*(Q3459)-(R3459)*(R3459))-(S3459)*((U3459)*(Q3459)-(R3459)*(V3459))+(T3459)*((U3459)*(R3459)-(P3459)*(V3459)))/W3459,0)</f>
        <v/>
      </c>
      <c r="Y3459">
        <f>IF(ABS(W3459)&gt;1E-12,((LTP3!$D$5)*((U3459)*(Q3459)-(R3459)*(V3459))-(LTP3!$D$6)*((S3459)*(Q3459)-(R3459)*(T3459))+(T3459)*((S3459)*(V3459)-(U3459)*(T3459)))/W3459,0)</f>
        <v/>
      </c>
      <c r="Z3459">
        <f>IF(ABS(W3459)&gt;1E-12,((LTP3!$D$5)*((P3459)*(V3459)-(U3459)*(R3459))-(S3459)*((S3459)*(V3459)-(U3459)*(T3459))+(LTP3!$D$6)*((S3459)*(R3459)-(P3459)*(T3459)))/W3459,0)</f>
        <v/>
      </c>
      <c r="AA3459">
        <f>LTP3!$D$7-X3459*LTP3!$D$6-Y3459*U3459-Z3459*V3459</f>
        <v/>
      </c>
      <c r="AB3459">
        <f>IF(AND(F3459,ABS(W3459)&gt;1E-12,Y3459&gt;0,Z3459&gt;0),AA3459,1E+300)</f>
        <v/>
      </c>
    </row>
    <row r="3460">
      <c r="A3460">
        <f>$B$3+$B$5*56</f>
        <v/>
      </c>
      <c r="B3460">
        <f>$B$3+$B$5*32</f>
        <v/>
      </c>
      <c r="C3460">
        <f>SUMPRODUCT(Calc!$K$3:$K$22*(Calc!$G$3:$G$22&lt;=A3460))</f>
        <v/>
      </c>
      <c r="D3460">
        <f>SUMPRODUCT(Calc!$K$3:$K$22*(Calc!$G$3:$G$22&gt;A3460)*(Calc!$G$3:$G$22&lt;B3460))</f>
        <v/>
      </c>
      <c r="E3460">
        <f>SUMPRODUCT(Calc!$K$3:$K$22*(Calc!$G$3:$G$22&gt;=B3460))</f>
        <v/>
      </c>
      <c r="F3460">
        <f>AND(k_n&gt;=5,B3460&gt;A3460+1E-9,C3460&gt;=2,D3460&gt;=1,E3460&gt;=2)</f>
        <v/>
      </c>
      <c r="G3460">
        <f>SUMPRODUCT(Calc!$K$3:$K$22*(Calc!$G$3:$G$22&gt;A3460)*(Calc!$G$3:$G$22-A3460))</f>
        <v/>
      </c>
      <c r="H3460">
        <f>SUMPRODUCT(Calc!$K$3:$K$22*(Calc!$G$3:$G$22&gt;B3460)*(Calc!$G$3:$G$22-B3460))</f>
        <v/>
      </c>
      <c r="I3460">
        <f>SUMPRODUCT(Calc!$K$3:$K$22*(Calc!$G$3:$G$22&gt;A3460)*(Calc!$G$3:$G$22-A3460)^2)</f>
        <v/>
      </c>
      <c r="J3460">
        <f>SUMPRODUCT(Calc!$K$3:$K$22*(Calc!$G$3:$G$22&gt;B3460)*(Calc!$G$3:$G$22-B3460)^2)</f>
        <v/>
      </c>
      <c r="K3460">
        <f>SUMPRODUCT(Calc!$K$3:$K$22*(Calc!$G$3:$G$22&gt;A3460)*(Calc!$G$3:$G$22-A3460)*(Calc!$G$3:$G$22&gt;B3460)*(Calc!$G$3:$G$22-B3460))</f>
        <v/>
      </c>
      <c r="L3460">
        <f>SUMPRODUCT(Calc!$K$3:$K$22*(Calc!$G$3:$G$22&gt;A3460)*(Calc!$G$3:$G$22-A3460)*Calc!$G$3:$G$22)</f>
        <v/>
      </c>
      <c r="M3460">
        <f>SUMPRODUCT(Calc!$K$3:$K$22*(Calc!$G$3:$G$22&gt;B3460)*(Calc!$G$3:$G$22-B3460)*Calc!$G$3:$G$22)</f>
        <v/>
      </c>
      <c r="N3460">
        <f>SUMPRODUCT(Calc!$K$3:$K$22*(Calc!$G$3:$G$22&gt;A3460)*(Calc!$G$3:$G$22-A3460)*Calc!$I$3:$I$22)</f>
        <v/>
      </c>
      <c r="O3460">
        <f>SUMPRODUCT(Calc!$K$3:$K$22*(Calc!$G$3:$G$22&gt;B3460)*(Calc!$G$3:$G$22-B3460)*Calc!$I$3:$I$22)</f>
        <v/>
      </c>
      <c r="P3460">
        <f>I3460-G3460^2/k_n</f>
        <v/>
      </c>
      <c r="Q3460">
        <f>J3460-H3460^2/k_n</f>
        <v/>
      </c>
      <c r="R3460">
        <f>K3460-G3460*H3460/k_n</f>
        <v/>
      </c>
      <c r="S3460">
        <f>L3460-LTP3!$D$3*G3460/k_n</f>
        <v/>
      </c>
      <c r="T3460">
        <f>M3460-LTP3!$D$3*H3460/k_n</f>
        <v/>
      </c>
      <c r="U3460">
        <f>N3460-G3460*LTP3!$D$4/k_n</f>
        <v/>
      </c>
      <c r="V3460">
        <f>O3460-H3460*LTP3!$D$4/k_n</f>
        <v/>
      </c>
      <c r="W3460">
        <f>((LTP3!$D$5)*((P3460)*(Q3460)-(R3460)*(R3460))-(S3460)*((S3460)*(Q3460)-(R3460)*(T3460))+(T3460)*((S3460)*(R3460)-(P3460)*(T3460)))</f>
        <v/>
      </c>
      <c r="X3460">
        <f>IF(ABS(W3460)&gt;1E-12,((LTP3!$D$6)*((P3460)*(Q3460)-(R3460)*(R3460))-(S3460)*((U3460)*(Q3460)-(R3460)*(V3460))+(T3460)*((U3460)*(R3460)-(P3460)*(V3460)))/W3460,0)</f>
        <v/>
      </c>
      <c r="Y3460">
        <f>IF(ABS(W3460)&gt;1E-12,((LTP3!$D$5)*((U3460)*(Q3460)-(R3460)*(V3460))-(LTP3!$D$6)*((S3460)*(Q3460)-(R3460)*(T3460))+(T3460)*((S3460)*(V3460)-(U3460)*(T3460)))/W3460,0)</f>
        <v/>
      </c>
      <c r="Z3460">
        <f>IF(ABS(W3460)&gt;1E-12,((LTP3!$D$5)*((P3460)*(V3460)-(U3460)*(R3460))-(S3460)*((S3460)*(V3460)-(U3460)*(T3460))+(LTP3!$D$6)*((S3460)*(R3460)-(P3460)*(T3460)))/W3460,0)</f>
        <v/>
      </c>
      <c r="AA3460">
        <f>LTP3!$D$7-X3460*LTP3!$D$6-Y3460*U3460-Z3460*V3460</f>
        <v/>
      </c>
      <c r="AB3460">
        <f>IF(AND(F3460,ABS(W3460)&gt;1E-12,Y3460&gt;0,Z3460&gt;0),AA3460,1E+300)</f>
        <v/>
      </c>
    </row>
    <row r="3461">
      <c r="A3461">
        <f>$B$3+$B$5*56</f>
        <v/>
      </c>
      <c r="B3461">
        <f>$B$3+$B$5*33</f>
        <v/>
      </c>
      <c r="C3461">
        <f>SUMPRODUCT(Calc!$K$3:$K$22*(Calc!$G$3:$G$22&lt;=A3461))</f>
        <v/>
      </c>
      <c r="D3461">
        <f>SUMPRODUCT(Calc!$K$3:$K$22*(Calc!$G$3:$G$22&gt;A3461)*(Calc!$G$3:$G$22&lt;B3461))</f>
        <v/>
      </c>
      <c r="E3461">
        <f>SUMPRODUCT(Calc!$K$3:$K$22*(Calc!$G$3:$G$22&gt;=B3461))</f>
        <v/>
      </c>
      <c r="F3461">
        <f>AND(k_n&gt;=5,B3461&gt;A3461+1E-9,C3461&gt;=2,D3461&gt;=1,E3461&gt;=2)</f>
        <v/>
      </c>
      <c r="G3461">
        <f>SUMPRODUCT(Calc!$K$3:$K$22*(Calc!$G$3:$G$22&gt;A3461)*(Calc!$G$3:$G$22-A3461))</f>
        <v/>
      </c>
      <c r="H3461">
        <f>SUMPRODUCT(Calc!$K$3:$K$22*(Calc!$G$3:$G$22&gt;B3461)*(Calc!$G$3:$G$22-B3461))</f>
        <v/>
      </c>
      <c r="I3461">
        <f>SUMPRODUCT(Calc!$K$3:$K$22*(Calc!$G$3:$G$22&gt;A3461)*(Calc!$G$3:$G$22-A3461)^2)</f>
        <v/>
      </c>
      <c r="J3461">
        <f>SUMPRODUCT(Calc!$K$3:$K$22*(Calc!$G$3:$G$22&gt;B3461)*(Calc!$G$3:$G$22-B3461)^2)</f>
        <v/>
      </c>
      <c r="K3461">
        <f>SUMPRODUCT(Calc!$K$3:$K$22*(Calc!$G$3:$G$22&gt;A3461)*(Calc!$G$3:$G$22-A3461)*(Calc!$G$3:$G$22&gt;B3461)*(Calc!$G$3:$G$22-B3461))</f>
        <v/>
      </c>
      <c r="L3461">
        <f>SUMPRODUCT(Calc!$K$3:$K$22*(Calc!$G$3:$G$22&gt;A3461)*(Calc!$G$3:$G$22-A3461)*Calc!$G$3:$G$22)</f>
        <v/>
      </c>
      <c r="M3461">
        <f>SUMPRODUCT(Calc!$K$3:$K$22*(Calc!$G$3:$G$22&gt;B3461)*(Calc!$G$3:$G$22-B3461)*Calc!$G$3:$G$22)</f>
        <v/>
      </c>
      <c r="N3461">
        <f>SUMPRODUCT(Calc!$K$3:$K$22*(Calc!$G$3:$G$22&gt;A3461)*(Calc!$G$3:$G$22-A3461)*Calc!$I$3:$I$22)</f>
        <v/>
      </c>
      <c r="O3461">
        <f>SUMPRODUCT(Calc!$K$3:$K$22*(Calc!$G$3:$G$22&gt;B3461)*(Calc!$G$3:$G$22-B3461)*Calc!$I$3:$I$22)</f>
        <v/>
      </c>
      <c r="P3461">
        <f>I3461-G3461^2/k_n</f>
        <v/>
      </c>
      <c r="Q3461">
        <f>J3461-H3461^2/k_n</f>
        <v/>
      </c>
      <c r="R3461">
        <f>K3461-G3461*H3461/k_n</f>
        <v/>
      </c>
      <c r="S3461">
        <f>L3461-LTP3!$D$3*G3461/k_n</f>
        <v/>
      </c>
      <c r="T3461">
        <f>M3461-LTP3!$D$3*H3461/k_n</f>
        <v/>
      </c>
      <c r="U3461">
        <f>N3461-G3461*LTP3!$D$4/k_n</f>
        <v/>
      </c>
      <c r="V3461">
        <f>O3461-H3461*LTP3!$D$4/k_n</f>
        <v/>
      </c>
      <c r="W3461">
        <f>((LTP3!$D$5)*((P3461)*(Q3461)-(R3461)*(R3461))-(S3461)*((S3461)*(Q3461)-(R3461)*(T3461))+(T3461)*((S3461)*(R3461)-(P3461)*(T3461)))</f>
        <v/>
      </c>
      <c r="X3461">
        <f>IF(ABS(W3461)&gt;1E-12,((LTP3!$D$6)*((P3461)*(Q3461)-(R3461)*(R3461))-(S3461)*((U3461)*(Q3461)-(R3461)*(V3461))+(T3461)*((U3461)*(R3461)-(P3461)*(V3461)))/W3461,0)</f>
        <v/>
      </c>
      <c r="Y3461">
        <f>IF(ABS(W3461)&gt;1E-12,((LTP3!$D$5)*((U3461)*(Q3461)-(R3461)*(V3461))-(LTP3!$D$6)*((S3461)*(Q3461)-(R3461)*(T3461))+(T3461)*((S3461)*(V3461)-(U3461)*(T3461)))/W3461,0)</f>
        <v/>
      </c>
      <c r="Z3461">
        <f>IF(ABS(W3461)&gt;1E-12,((LTP3!$D$5)*((P3461)*(V3461)-(U3461)*(R3461))-(S3461)*((S3461)*(V3461)-(U3461)*(T3461))+(LTP3!$D$6)*((S3461)*(R3461)-(P3461)*(T3461)))/W3461,0)</f>
        <v/>
      </c>
      <c r="AA3461">
        <f>LTP3!$D$7-X3461*LTP3!$D$6-Y3461*U3461-Z3461*V3461</f>
        <v/>
      </c>
      <c r="AB3461">
        <f>IF(AND(F3461,ABS(W3461)&gt;1E-12,Y3461&gt;0,Z3461&gt;0),AA3461,1E+300)</f>
        <v/>
      </c>
    </row>
    <row r="3462">
      <c r="A3462">
        <f>$B$3+$B$5*56</f>
        <v/>
      </c>
      <c r="B3462">
        <f>$B$3+$B$5*34</f>
        <v/>
      </c>
      <c r="C3462">
        <f>SUMPRODUCT(Calc!$K$3:$K$22*(Calc!$G$3:$G$22&lt;=A3462))</f>
        <v/>
      </c>
      <c r="D3462">
        <f>SUMPRODUCT(Calc!$K$3:$K$22*(Calc!$G$3:$G$22&gt;A3462)*(Calc!$G$3:$G$22&lt;B3462))</f>
        <v/>
      </c>
      <c r="E3462">
        <f>SUMPRODUCT(Calc!$K$3:$K$22*(Calc!$G$3:$G$22&gt;=B3462))</f>
        <v/>
      </c>
      <c r="F3462">
        <f>AND(k_n&gt;=5,B3462&gt;A3462+1E-9,C3462&gt;=2,D3462&gt;=1,E3462&gt;=2)</f>
        <v/>
      </c>
      <c r="G3462">
        <f>SUMPRODUCT(Calc!$K$3:$K$22*(Calc!$G$3:$G$22&gt;A3462)*(Calc!$G$3:$G$22-A3462))</f>
        <v/>
      </c>
      <c r="H3462">
        <f>SUMPRODUCT(Calc!$K$3:$K$22*(Calc!$G$3:$G$22&gt;B3462)*(Calc!$G$3:$G$22-B3462))</f>
        <v/>
      </c>
      <c r="I3462">
        <f>SUMPRODUCT(Calc!$K$3:$K$22*(Calc!$G$3:$G$22&gt;A3462)*(Calc!$G$3:$G$22-A3462)^2)</f>
        <v/>
      </c>
      <c r="J3462">
        <f>SUMPRODUCT(Calc!$K$3:$K$22*(Calc!$G$3:$G$22&gt;B3462)*(Calc!$G$3:$G$22-B3462)^2)</f>
        <v/>
      </c>
      <c r="K3462">
        <f>SUMPRODUCT(Calc!$K$3:$K$22*(Calc!$G$3:$G$22&gt;A3462)*(Calc!$G$3:$G$22-A3462)*(Calc!$G$3:$G$22&gt;B3462)*(Calc!$G$3:$G$22-B3462))</f>
        <v/>
      </c>
      <c r="L3462">
        <f>SUMPRODUCT(Calc!$K$3:$K$22*(Calc!$G$3:$G$22&gt;A3462)*(Calc!$G$3:$G$22-A3462)*Calc!$G$3:$G$22)</f>
        <v/>
      </c>
      <c r="M3462">
        <f>SUMPRODUCT(Calc!$K$3:$K$22*(Calc!$G$3:$G$22&gt;B3462)*(Calc!$G$3:$G$22-B3462)*Calc!$G$3:$G$22)</f>
        <v/>
      </c>
      <c r="N3462">
        <f>SUMPRODUCT(Calc!$K$3:$K$22*(Calc!$G$3:$G$22&gt;A3462)*(Calc!$G$3:$G$22-A3462)*Calc!$I$3:$I$22)</f>
        <v/>
      </c>
      <c r="O3462">
        <f>SUMPRODUCT(Calc!$K$3:$K$22*(Calc!$G$3:$G$22&gt;B3462)*(Calc!$G$3:$G$22-B3462)*Calc!$I$3:$I$22)</f>
        <v/>
      </c>
      <c r="P3462">
        <f>I3462-G3462^2/k_n</f>
        <v/>
      </c>
      <c r="Q3462">
        <f>J3462-H3462^2/k_n</f>
        <v/>
      </c>
      <c r="R3462">
        <f>K3462-G3462*H3462/k_n</f>
        <v/>
      </c>
      <c r="S3462">
        <f>L3462-LTP3!$D$3*G3462/k_n</f>
        <v/>
      </c>
      <c r="T3462">
        <f>M3462-LTP3!$D$3*H3462/k_n</f>
        <v/>
      </c>
      <c r="U3462">
        <f>N3462-G3462*LTP3!$D$4/k_n</f>
        <v/>
      </c>
      <c r="V3462">
        <f>O3462-H3462*LTP3!$D$4/k_n</f>
        <v/>
      </c>
      <c r="W3462">
        <f>((LTP3!$D$5)*((P3462)*(Q3462)-(R3462)*(R3462))-(S3462)*((S3462)*(Q3462)-(R3462)*(T3462))+(T3462)*((S3462)*(R3462)-(P3462)*(T3462)))</f>
        <v/>
      </c>
      <c r="X3462">
        <f>IF(ABS(W3462)&gt;1E-12,((LTP3!$D$6)*((P3462)*(Q3462)-(R3462)*(R3462))-(S3462)*((U3462)*(Q3462)-(R3462)*(V3462))+(T3462)*((U3462)*(R3462)-(P3462)*(V3462)))/W3462,0)</f>
        <v/>
      </c>
      <c r="Y3462">
        <f>IF(ABS(W3462)&gt;1E-12,((LTP3!$D$5)*((U3462)*(Q3462)-(R3462)*(V3462))-(LTP3!$D$6)*((S3462)*(Q3462)-(R3462)*(T3462))+(T3462)*((S3462)*(V3462)-(U3462)*(T3462)))/W3462,0)</f>
        <v/>
      </c>
      <c r="Z3462">
        <f>IF(ABS(W3462)&gt;1E-12,((LTP3!$D$5)*((P3462)*(V3462)-(U3462)*(R3462))-(S3462)*((S3462)*(V3462)-(U3462)*(T3462))+(LTP3!$D$6)*((S3462)*(R3462)-(P3462)*(T3462)))/W3462,0)</f>
        <v/>
      </c>
      <c r="AA3462">
        <f>LTP3!$D$7-X3462*LTP3!$D$6-Y3462*U3462-Z3462*V3462</f>
        <v/>
      </c>
      <c r="AB3462">
        <f>IF(AND(F3462,ABS(W3462)&gt;1E-12,Y3462&gt;0,Z3462&gt;0),AA3462,1E+300)</f>
        <v/>
      </c>
    </row>
    <row r="3463">
      <c r="A3463">
        <f>$B$3+$B$5*56</f>
        <v/>
      </c>
      <c r="B3463">
        <f>$B$3+$B$5*35</f>
        <v/>
      </c>
      <c r="C3463">
        <f>SUMPRODUCT(Calc!$K$3:$K$22*(Calc!$G$3:$G$22&lt;=A3463))</f>
        <v/>
      </c>
      <c r="D3463">
        <f>SUMPRODUCT(Calc!$K$3:$K$22*(Calc!$G$3:$G$22&gt;A3463)*(Calc!$G$3:$G$22&lt;B3463))</f>
        <v/>
      </c>
      <c r="E3463">
        <f>SUMPRODUCT(Calc!$K$3:$K$22*(Calc!$G$3:$G$22&gt;=B3463))</f>
        <v/>
      </c>
      <c r="F3463">
        <f>AND(k_n&gt;=5,B3463&gt;A3463+1E-9,C3463&gt;=2,D3463&gt;=1,E3463&gt;=2)</f>
        <v/>
      </c>
      <c r="G3463">
        <f>SUMPRODUCT(Calc!$K$3:$K$22*(Calc!$G$3:$G$22&gt;A3463)*(Calc!$G$3:$G$22-A3463))</f>
        <v/>
      </c>
      <c r="H3463">
        <f>SUMPRODUCT(Calc!$K$3:$K$22*(Calc!$G$3:$G$22&gt;B3463)*(Calc!$G$3:$G$22-B3463))</f>
        <v/>
      </c>
      <c r="I3463">
        <f>SUMPRODUCT(Calc!$K$3:$K$22*(Calc!$G$3:$G$22&gt;A3463)*(Calc!$G$3:$G$22-A3463)^2)</f>
        <v/>
      </c>
      <c r="J3463">
        <f>SUMPRODUCT(Calc!$K$3:$K$22*(Calc!$G$3:$G$22&gt;B3463)*(Calc!$G$3:$G$22-B3463)^2)</f>
        <v/>
      </c>
      <c r="K3463">
        <f>SUMPRODUCT(Calc!$K$3:$K$22*(Calc!$G$3:$G$22&gt;A3463)*(Calc!$G$3:$G$22-A3463)*(Calc!$G$3:$G$22&gt;B3463)*(Calc!$G$3:$G$22-B3463))</f>
        <v/>
      </c>
      <c r="L3463">
        <f>SUMPRODUCT(Calc!$K$3:$K$22*(Calc!$G$3:$G$22&gt;A3463)*(Calc!$G$3:$G$22-A3463)*Calc!$G$3:$G$22)</f>
        <v/>
      </c>
      <c r="M3463">
        <f>SUMPRODUCT(Calc!$K$3:$K$22*(Calc!$G$3:$G$22&gt;B3463)*(Calc!$G$3:$G$22-B3463)*Calc!$G$3:$G$22)</f>
        <v/>
      </c>
      <c r="N3463">
        <f>SUMPRODUCT(Calc!$K$3:$K$22*(Calc!$G$3:$G$22&gt;A3463)*(Calc!$G$3:$G$22-A3463)*Calc!$I$3:$I$22)</f>
        <v/>
      </c>
      <c r="O3463">
        <f>SUMPRODUCT(Calc!$K$3:$K$22*(Calc!$G$3:$G$22&gt;B3463)*(Calc!$G$3:$G$22-B3463)*Calc!$I$3:$I$22)</f>
        <v/>
      </c>
      <c r="P3463">
        <f>I3463-G3463^2/k_n</f>
        <v/>
      </c>
      <c r="Q3463">
        <f>J3463-H3463^2/k_n</f>
        <v/>
      </c>
      <c r="R3463">
        <f>K3463-G3463*H3463/k_n</f>
        <v/>
      </c>
      <c r="S3463">
        <f>L3463-LTP3!$D$3*G3463/k_n</f>
        <v/>
      </c>
      <c r="T3463">
        <f>M3463-LTP3!$D$3*H3463/k_n</f>
        <v/>
      </c>
      <c r="U3463">
        <f>N3463-G3463*LTP3!$D$4/k_n</f>
        <v/>
      </c>
      <c r="V3463">
        <f>O3463-H3463*LTP3!$D$4/k_n</f>
        <v/>
      </c>
      <c r="W3463">
        <f>((LTP3!$D$5)*((P3463)*(Q3463)-(R3463)*(R3463))-(S3463)*((S3463)*(Q3463)-(R3463)*(T3463))+(T3463)*((S3463)*(R3463)-(P3463)*(T3463)))</f>
        <v/>
      </c>
      <c r="X3463">
        <f>IF(ABS(W3463)&gt;1E-12,((LTP3!$D$6)*((P3463)*(Q3463)-(R3463)*(R3463))-(S3463)*((U3463)*(Q3463)-(R3463)*(V3463))+(T3463)*((U3463)*(R3463)-(P3463)*(V3463)))/W3463,0)</f>
        <v/>
      </c>
      <c r="Y3463">
        <f>IF(ABS(W3463)&gt;1E-12,((LTP3!$D$5)*((U3463)*(Q3463)-(R3463)*(V3463))-(LTP3!$D$6)*((S3463)*(Q3463)-(R3463)*(T3463))+(T3463)*((S3463)*(V3463)-(U3463)*(T3463)))/W3463,0)</f>
        <v/>
      </c>
      <c r="Z3463">
        <f>IF(ABS(W3463)&gt;1E-12,((LTP3!$D$5)*((P3463)*(V3463)-(U3463)*(R3463))-(S3463)*((S3463)*(V3463)-(U3463)*(T3463))+(LTP3!$D$6)*((S3463)*(R3463)-(P3463)*(T3463)))/W3463,0)</f>
        <v/>
      </c>
      <c r="AA3463">
        <f>LTP3!$D$7-X3463*LTP3!$D$6-Y3463*U3463-Z3463*V3463</f>
        <v/>
      </c>
      <c r="AB3463">
        <f>IF(AND(F3463,ABS(W3463)&gt;1E-12,Y3463&gt;0,Z3463&gt;0),AA3463,1E+300)</f>
        <v/>
      </c>
    </row>
    <row r="3464">
      <c r="A3464">
        <f>$B$3+$B$5*56</f>
        <v/>
      </c>
      <c r="B3464">
        <f>$B$3+$B$5*36</f>
        <v/>
      </c>
      <c r="C3464">
        <f>SUMPRODUCT(Calc!$K$3:$K$22*(Calc!$G$3:$G$22&lt;=A3464))</f>
        <v/>
      </c>
      <c r="D3464">
        <f>SUMPRODUCT(Calc!$K$3:$K$22*(Calc!$G$3:$G$22&gt;A3464)*(Calc!$G$3:$G$22&lt;B3464))</f>
        <v/>
      </c>
      <c r="E3464">
        <f>SUMPRODUCT(Calc!$K$3:$K$22*(Calc!$G$3:$G$22&gt;=B3464))</f>
        <v/>
      </c>
      <c r="F3464">
        <f>AND(k_n&gt;=5,B3464&gt;A3464+1E-9,C3464&gt;=2,D3464&gt;=1,E3464&gt;=2)</f>
        <v/>
      </c>
      <c r="G3464">
        <f>SUMPRODUCT(Calc!$K$3:$K$22*(Calc!$G$3:$G$22&gt;A3464)*(Calc!$G$3:$G$22-A3464))</f>
        <v/>
      </c>
      <c r="H3464">
        <f>SUMPRODUCT(Calc!$K$3:$K$22*(Calc!$G$3:$G$22&gt;B3464)*(Calc!$G$3:$G$22-B3464))</f>
        <v/>
      </c>
      <c r="I3464">
        <f>SUMPRODUCT(Calc!$K$3:$K$22*(Calc!$G$3:$G$22&gt;A3464)*(Calc!$G$3:$G$22-A3464)^2)</f>
        <v/>
      </c>
      <c r="J3464">
        <f>SUMPRODUCT(Calc!$K$3:$K$22*(Calc!$G$3:$G$22&gt;B3464)*(Calc!$G$3:$G$22-B3464)^2)</f>
        <v/>
      </c>
      <c r="K3464">
        <f>SUMPRODUCT(Calc!$K$3:$K$22*(Calc!$G$3:$G$22&gt;A3464)*(Calc!$G$3:$G$22-A3464)*(Calc!$G$3:$G$22&gt;B3464)*(Calc!$G$3:$G$22-B3464))</f>
        <v/>
      </c>
      <c r="L3464">
        <f>SUMPRODUCT(Calc!$K$3:$K$22*(Calc!$G$3:$G$22&gt;A3464)*(Calc!$G$3:$G$22-A3464)*Calc!$G$3:$G$22)</f>
        <v/>
      </c>
      <c r="M3464">
        <f>SUMPRODUCT(Calc!$K$3:$K$22*(Calc!$G$3:$G$22&gt;B3464)*(Calc!$G$3:$G$22-B3464)*Calc!$G$3:$G$22)</f>
        <v/>
      </c>
      <c r="N3464">
        <f>SUMPRODUCT(Calc!$K$3:$K$22*(Calc!$G$3:$G$22&gt;A3464)*(Calc!$G$3:$G$22-A3464)*Calc!$I$3:$I$22)</f>
        <v/>
      </c>
      <c r="O3464">
        <f>SUMPRODUCT(Calc!$K$3:$K$22*(Calc!$G$3:$G$22&gt;B3464)*(Calc!$G$3:$G$22-B3464)*Calc!$I$3:$I$22)</f>
        <v/>
      </c>
      <c r="P3464">
        <f>I3464-G3464^2/k_n</f>
        <v/>
      </c>
      <c r="Q3464">
        <f>J3464-H3464^2/k_n</f>
        <v/>
      </c>
      <c r="R3464">
        <f>K3464-G3464*H3464/k_n</f>
        <v/>
      </c>
      <c r="S3464">
        <f>L3464-LTP3!$D$3*G3464/k_n</f>
        <v/>
      </c>
      <c r="T3464">
        <f>M3464-LTP3!$D$3*H3464/k_n</f>
        <v/>
      </c>
      <c r="U3464">
        <f>N3464-G3464*LTP3!$D$4/k_n</f>
        <v/>
      </c>
      <c r="V3464">
        <f>O3464-H3464*LTP3!$D$4/k_n</f>
        <v/>
      </c>
      <c r="W3464">
        <f>((LTP3!$D$5)*((P3464)*(Q3464)-(R3464)*(R3464))-(S3464)*((S3464)*(Q3464)-(R3464)*(T3464))+(T3464)*((S3464)*(R3464)-(P3464)*(T3464)))</f>
        <v/>
      </c>
      <c r="X3464">
        <f>IF(ABS(W3464)&gt;1E-12,((LTP3!$D$6)*((P3464)*(Q3464)-(R3464)*(R3464))-(S3464)*((U3464)*(Q3464)-(R3464)*(V3464))+(T3464)*((U3464)*(R3464)-(P3464)*(V3464)))/W3464,0)</f>
        <v/>
      </c>
      <c r="Y3464">
        <f>IF(ABS(W3464)&gt;1E-12,((LTP3!$D$5)*((U3464)*(Q3464)-(R3464)*(V3464))-(LTP3!$D$6)*((S3464)*(Q3464)-(R3464)*(T3464))+(T3464)*((S3464)*(V3464)-(U3464)*(T3464)))/W3464,0)</f>
        <v/>
      </c>
      <c r="Z3464">
        <f>IF(ABS(W3464)&gt;1E-12,((LTP3!$D$5)*((P3464)*(V3464)-(U3464)*(R3464))-(S3464)*((S3464)*(V3464)-(U3464)*(T3464))+(LTP3!$D$6)*((S3464)*(R3464)-(P3464)*(T3464)))/W3464,0)</f>
        <v/>
      </c>
      <c r="AA3464">
        <f>LTP3!$D$7-X3464*LTP3!$D$6-Y3464*U3464-Z3464*V3464</f>
        <v/>
      </c>
      <c r="AB3464">
        <f>IF(AND(F3464,ABS(W3464)&gt;1E-12,Y3464&gt;0,Z3464&gt;0),AA3464,1E+300)</f>
        <v/>
      </c>
    </row>
    <row r="3465">
      <c r="A3465">
        <f>$B$3+$B$5*56</f>
        <v/>
      </c>
      <c r="B3465">
        <f>$B$3+$B$5*37</f>
        <v/>
      </c>
      <c r="C3465">
        <f>SUMPRODUCT(Calc!$K$3:$K$22*(Calc!$G$3:$G$22&lt;=A3465))</f>
        <v/>
      </c>
      <c r="D3465">
        <f>SUMPRODUCT(Calc!$K$3:$K$22*(Calc!$G$3:$G$22&gt;A3465)*(Calc!$G$3:$G$22&lt;B3465))</f>
        <v/>
      </c>
      <c r="E3465">
        <f>SUMPRODUCT(Calc!$K$3:$K$22*(Calc!$G$3:$G$22&gt;=B3465))</f>
        <v/>
      </c>
      <c r="F3465">
        <f>AND(k_n&gt;=5,B3465&gt;A3465+1E-9,C3465&gt;=2,D3465&gt;=1,E3465&gt;=2)</f>
        <v/>
      </c>
      <c r="G3465">
        <f>SUMPRODUCT(Calc!$K$3:$K$22*(Calc!$G$3:$G$22&gt;A3465)*(Calc!$G$3:$G$22-A3465))</f>
        <v/>
      </c>
      <c r="H3465">
        <f>SUMPRODUCT(Calc!$K$3:$K$22*(Calc!$G$3:$G$22&gt;B3465)*(Calc!$G$3:$G$22-B3465))</f>
        <v/>
      </c>
      <c r="I3465">
        <f>SUMPRODUCT(Calc!$K$3:$K$22*(Calc!$G$3:$G$22&gt;A3465)*(Calc!$G$3:$G$22-A3465)^2)</f>
        <v/>
      </c>
      <c r="J3465">
        <f>SUMPRODUCT(Calc!$K$3:$K$22*(Calc!$G$3:$G$22&gt;B3465)*(Calc!$G$3:$G$22-B3465)^2)</f>
        <v/>
      </c>
      <c r="K3465">
        <f>SUMPRODUCT(Calc!$K$3:$K$22*(Calc!$G$3:$G$22&gt;A3465)*(Calc!$G$3:$G$22-A3465)*(Calc!$G$3:$G$22&gt;B3465)*(Calc!$G$3:$G$22-B3465))</f>
        <v/>
      </c>
      <c r="L3465">
        <f>SUMPRODUCT(Calc!$K$3:$K$22*(Calc!$G$3:$G$22&gt;A3465)*(Calc!$G$3:$G$22-A3465)*Calc!$G$3:$G$22)</f>
        <v/>
      </c>
      <c r="M3465">
        <f>SUMPRODUCT(Calc!$K$3:$K$22*(Calc!$G$3:$G$22&gt;B3465)*(Calc!$G$3:$G$22-B3465)*Calc!$G$3:$G$22)</f>
        <v/>
      </c>
      <c r="N3465">
        <f>SUMPRODUCT(Calc!$K$3:$K$22*(Calc!$G$3:$G$22&gt;A3465)*(Calc!$G$3:$G$22-A3465)*Calc!$I$3:$I$22)</f>
        <v/>
      </c>
      <c r="O3465">
        <f>SUMPRODUCT(Calc!$K$3:$K$22*(Calc!$G$3:$G$22&gt;B3465)*(Calc!$G$3:$G$22-B3465)*Calc!$I$3:$I$22)</f>
        <v/>
      </c>
      <c r="P3465">
        <f>I3465-G3465^2/k_n</f>
        <v/>
      </c>
      <c r="Q3465">
        <f>J3465-H3465^2/k_n</f>
        <v/>
      </c>
      <c r="R3465">
        <f>K3465-G3465*H3465/k_n</f>
        <v/>
      </c>
      <c r="S3465">
        <f>L3465-LTP3!$D$3*G3465/k_n</f>
        <v/>
      </c>
      <c r="T3465">
        <f>M3465-LTP3!$D$3*H3465/k_n</f>
        <v/>
      </c>
      <c r="U3465">
        <f>N3465-G3465*LTP3!$D$4/k_n</f>
        <v/>
      </c>
      <c r="V3465">
        <f>O3465-H3465*LTP3!$D$4/k_n</f>
        <v/>
      </c>
      <c r="W3465">
        <f>((LTP3!$D$5)*((P3465)*(Q3465)-(R3465)*(R3465))-(S3465)*((S3465)*(Q3465)-(R3465)*(T3465))+(T3465)*((S3465)*(R3465)-(P3465)*(T3465)))</f>
        <v/>
      </c>
      <c r="X3465">
        <f>IF(ABS(W3465)&gt;1E-12,((LTP3!$D$6)*((P3465)*(Q3465)-(R3465)*(R3465))-(S3465)*((U3465)*(Q3465)-(R3465)*(V3465))+(T3465)*((U3465)*(R3465)-(P3465)*(V3465)))/W3465,0)</f>
        <v/>
      </c>
      <c r="Y3465">
        <f>IF(ABS(W3465)&gt;1E-12,((LTP3!$D$5)*((U3465)*(Q3465)-(R3465)*(V3465))-(LTP3!$D$6)*((S3465)*(Q3465)-(R3465)*(T3465))+(T3465)*((S3465)*(V3465)-(U3465)*(T3465)))/W3465,0)</f>
        <v/>
      </c>
      <c r="Z3465">
        <f>IF(ABS(W3465)&gt;1E-12,((LTP3!$D$5)*((P3465)*(V3465)-(U3465)*(R3465))-(S3465)*((S3465)*(V3465)-(U3465)*(T3465))+(LTP3!$D$6)*((S3465)*(R3465)-(P3465)*(T3465)))/W3465,0)</f>
        <v/>
      </c>
      <c r="AA3465">
        <f>LTP3!$D$7-X3465*LTP3!$D$6-Y3465*U3465-Z3465*V3465</f>
        <v/>
      </c>
      <c r="AB3465">
        <f>IF(AND(F3465,ABS(W3465)&gt;1E-12,Y3465&gt;0,Z3465&gt;0),AA3465,1E+300)</f>
        <v/>
      </c>
    </row>
    <row r="3466">
      <c r="A3466">
        <f>$B$3+$B$5*56</f>
        <v/>
      </c>
      <c r="B3466">
        <f>$B$3+$B$5*38</f>
        <v/>
      </c>
      <c r="C3466">
        <f>SUMPRODUCT(Calc!$K$3:$K$22*(Calc!$G$3:$G$22&lt;=A3466))</f>
        <v/>
      </c>
      <c r="D3466">
        <f>SUMPRODUCT(Calc!$K$3:$K$22*(Calc!$G$3:$G$22&gt;A3466)*(Calc!$G$3:$G$22&lt;B3466))</f>
        <v/>
      </c>
      <c r="E3466">
        <f>SUMPRODUCT(Calc!$K$3:$K$22*(Calc!$G$3:$G$22&gt;=B3466))</f>
        <v/>
      </c>
      <c r="F3466">
        <f>AND(k_n&gt;=5,B3466&gt;A3466+1E-9,C3466&gt;=2,D3466&gt;=1,E3466&gt;=2)</f>
        <v/>
      </c>
      <c r="G3466">
        <f>SUMPRODUCT(Calc!$K$3:$K$22*(Calc!$G$3:$G$22&gt;A3466)*(Calc!$G$3:$G$22-A3466))</f>
        <v/>
      </c>
      <c r="H3466">
        <f>SUMPRODUCT(Calc!$K$3:$K$22*(Calc!$G$3:$G$22&gt;B3466)*(Calc!$G$3:$G$22-B3466))</f>
        <v/>
      </c>
      <c r="I3466">
        <f>SUMPRODUCT(Calc!$K$3:$K$22*(Calc!$G$3:$G$22&gt;A3466)*(Calc!$G$3:$G$22-A3466)^2)</f>
        <v/>
      </c>
      <c r="J3466">
        <f>SUMPRODUCT(Calc!$K$3:$K$22*(Calc!$G$3:$G$22&gt;B3466)*(Calc!$G$3:$G$22-B3466)^2)</f>
        <v/>
      </c>
      <c r="K3466">
        <f>SUMPRODUCT(Calc!$K$3:$K$22*(Calc!$G$3:$G$22&gt;A3466)*(Calc!$G$3:$G$22-A3466)*(Calc!$G$3:$G$22&gt;B3466)*(Calc!$G$3:$G$22-B3466))</f>
        <v/>
      </c>
      <c r="L3466">
        <f>SUMPRODUCT(Calc!$K$3:$K$22*(Calc!$G$3:$G$22&gt;A3466)*(Calc!$G$3:$G$22-A3466)*Calc!$G$3:$G$22)</f>
        <v/>
      </c>
      <c r="M3466">
        <f>SUMPRODUCT(Calc!$K$3:$K$22*(Calc!$G$3:$G$22&gt;B3466)*(Calc!$G$3:$G$22-B3466)*Calc!$G$3:$G$22)</f>
        <v/>
      </c>
      <c r="N3466">
        <f>SUMPRODUCT(Calc!$K$3:$K$22*(Calc!$G$3:$G$22&gt;A3466)*(Calc!$G$3:$G$22-A3466)*Calc!$I$3:$I$22)</f>
        <v/>
      </c>
      <c r="O3466">
        <f>SUMPRODUCT(Calc!$K$3:$K$22*(Calc!$G$3:$G$22&gt;B3466)*(Calc!$G$3:$G$22-B3466)*Calc!$I$3:$I$22)</f>
        <v/>
      </c>
      <c r="P3466">
        <f>I3466-G3466^2/k_n</f>
        <v/>
      </c>
      <c r="Q3466">
        <f>J3466-H3466^2/k_n</f>
        <v/>
      </c>
      <c r="R3466">
        <f>K3466-G3466*H3466/k_n</f>
        <v/>
      </c>
      <c r="S3466">
        <f>L3466-LTP3!$D$3*G3466/k_n</f>
        <v/>
      </c>
      <c r="T3466">
        <f>M3466-LTP3!$D$3*H3466/k_n</f>
        <v/>
      </c>
      <c r="U3466">
        <f>N3466-G3466*LTP3!$D$4/k_n</f>
        <v/>
      </c>
      <c r="V3466">
        <f>O3466-H3466*LTP3!$D$4/k_n</f>
        <v/>
      </c>
      <c r="W3466">
        <f>((LTP3!$D$5)*((P3466)*(Q3466)-(R3466)*(R3466))-(S3466)*((S3466)*(Q3466)-(R3466)*(T3466))+(T3466)*((S3466)*(R3466)-(P3466)*(T3466)))</f>
        <v/>
      </c>
      <c r="X3466">
        <f>IF(ABS(W3466)&gt;1E-12,((LTP3!$D$6)*((P3466)*(Q3466)-(R3466)*(R3466))-(S3466)*((U3466)*(Q3466)-(R3466)*(V3466))+(T3466)*((U3466)*(R3466)-(P3466)*(V3466)))/W3466,0)</f>
        <v/>
      </c>
      <c r="Y3466">
        <f>IF(ABS(W3466)&gt;1E-12,((LTP3!$D$5)*((U3466)*(Q3466)-(R3466)*(V3466))-(LTP3!$D$6)*((S3466)*(Q3466)-(R3466)*(T3466))+(T3466)*((S3466)*(V3466)-(U3466)*(T3466)))/W3466,0)</f>
        <v/>
      </c>
      <c r="Z3466">
        <f>IF(ABS(W3466)&gt;1E-12,((LTP3!$D$5)*((P3466)*(V3466)-(U3466)*(R3466))-(S3466)*((S3466)*(V3466)-(U3466)*(T3466))+(LTP3!$D$6)*((S3466)*(R3466)-(P3466)*(T3466)))/W3466,0)</f>
        <v/>
      </c>
      <c r="AA3466">
        <f>LTP3!$D$7-X3466*LTP3!$D$6-Y3466*U3466-Z3466*V3466</f>
        <v/>
      </c>
      <c r="AB3466">
        <f>IF(AND(F3466,ABS(W3466)&gt;1E-12,Y3466&gt;0,Z3466&gt;0),AA3466,1E+300)</f>
        <v/>
      </c>
    </row>
    <row r="3467">
      <c r="A3467">
        <f>$B$3+$B$5*56</f>
        <v/>
      </c>
      <c r="B3467">
        <f>$B$3+$B$5*39</f>
        <v/>
      </c>
      <c r="C3467">
        <f>SUMPRODUCT(Calc!$K$3:$K$22*(Calc!$G$3:$G$22&lt;=A3467))</f>
        <v/>
      </c>
      <c r="D3467">
        <f>SUMPRODUCT(Calc!$K$3:$K$22*(Calc!$G$3:$G$22&gt;A3467)*(Calc!$G$3:$G$22&lt;B3467))</f>
        <v/>
      </c>
      <c r="E3467">
        <f>SUMPRODUCT(Calc!$K$3:$K$22*(Calc!$G$3:$G$22&gt;=B3467))</f>
        <v/>
      </c>
      <c r="F3467">
        <f>AND(k_n&gt;=5,B3467&gt;A3467+1E-9,C3467&gt;=2,D3467&gt;=1,E3467&gt;=2)</f>
        <v/>
      </c>
      <c r="G3467">
        <f>SUMPRODUCT(Calc!$K$3:$K$22*(Calc!$G$3:$G$22&gt;A3467)*(Calc!$G$3:$G$22-A3467))</f>
        <v/>
      </c>
      <c r="H3467">
        <f>SUMPRODUCT(Calc!$K$3:$K$22*(Calc!$G$3:$G$22&gt;B3467)*(Calc!$G$3:$G$22-B3467))</f>
        <v/>
      </c>
      <c r="I3467">
        <f>SUMPRODUCT(Calc!$K$3:$K$22*(Calc!$G$3:$G$22&gt;A3467)*(Calc!$G$3:$G$22-A3467)^2)</f>
        <v/>
      </c>
      <c r="J3467">
        <f>SUMPRODUCT(Calc!$K$3:$K$22*(Calc!$G$3:$G$22&gt;B3467)*(Calc!$G$3:$G$22-B3467)^2)</f>
        <v/>
      </c>
      <c r="K3467">
        <f>SUMPRODUCT(Calc!$K$3:$K$22*(Calc!$G$3:$G$22&gt;A3467)*(Calc!$G$3:$G$22-A3467)*(Calc!$G$3:$G$22&gt;B3467)*(Calc!$G$3:$G$22-B3467))</f>
        <v/>
      </c>
      <c r="L3467">
        <f>SUMPRODUCT(Calc!$K$3:$K$22*(Calc!$G$3:$G$22&gt;A3467)*(Calc!$G$3:$G$22-A3467)*Calc!$G$3:$G$22)</f>
        <v/>
      </c>
      <c r="M3467">
        <f>SUMPRODUCT(Calc!$K$3:$K$22*(Calc!$G$3:$G$22&gt;B3467)*(Calc!$G$3:$G$22-B3467)*Calc!$G$3:$G$22)</f>
        <v/>
      </c>
      <c r="N3467">
        <f>SUMPRODUCT(Calc!$K$3:$K$22*(Calc!$G$3:$G$22&gt;A3467)*(Calc!$G$3:$G$22-A3467)*Calc!$I$3:$I$22)</f>
        <v/>
      </c>
      <c r="O3467">
        <f>SUMPRODUCT(Calc!$K$3:$K$22*(Calc!$G$3:$G$22&gt;B3467)*(Calc!$G$3:$G$22-B3467)*Calc!$I$3:$I$22)</f>
        <v/>
      </c>
      <c r="P3467">
        <f>I3467-G3467^2/k_n</f>
        <v/>
      </c>
      <c r="Q3467">
        <f>J3467-H3467^2/k_n</f>
        <v/>
      </c>
      <c r="R3467">
        <f>K3467-G3467*H3467/k_n</f>
        <v/>
      </c>
      <c r="S3467">
        <f>L3467-LTP3!$D$3*G3467/k_n</f>
        <v/>
      </c>
      <c r="T3467">
        <f>M3467-LTP3!$D$3*H3467/k_n</f>
        <v/>
      </c>
      <c r="U3467">
        <f>N3467-G3467*LTP3!$D$4/k_n</f>
        <v/>
      </c>
      <c r="V3467">
        <f>O3467-H3467*LTP3!$D$4/k_n</f>
        <v/>
      </c>
      <c r="W3467">
        <f>((LTP3!$D$5)*((P3467)*(Q3467)-(R3467)*(R3467))-(S3467)*((S3467)*(Q3467)-(R3467)*(T3467))+(T3467)*((S3467)*(R3467)-(P3467)*(T3467)))</f>
        <v/>
      </c>
      <c r="X3467">
        <f>IF(ABS(W3467)&gt;1E-12,((LTP3!$D$6)*((P3467)*(Q3467)-(R3467)*(R3467))-(S3467)*((U3467)*(Q3467)-(R3467)*(V3467))+(T3467)*((U3467)*(R3467)-(P3467)*(V3467)))/W3467,0)</f>
        <v/>
      </c>
      <c r="Y3467">
        <f>IF(ABS(W3467)&gt;1E-12,((LTP3!$D$5)*((U3467)*(Q3467)-(R3467)*(V3467))-(LTP3!$D$6)*((S3467)*(Q3467)-(R3467)*(T3467))+(T3467)*((S3467)*(V3467)-(U3467)*(T3467)))/W3467,0)</f>
        <v/>
      </c>
      <c r="Z3467">
        <f>IF(ABS(W3467)&gt;1E-12,((LTP3!$D$5)*((P3467)*(V3467)-(U3467)*(R3467))-(S3467)*((S3467)*(V3467)-(U3467)*(T3467))+(LTP3!$D$6)*((S3467)*(R3467)-(P3467)*(T3467)))/W3467,0)</f>
        <v/>
      </c>
      <c r="AA3467">
        <f>LTP3!$D$7-X3467*LTP3!$D$6-Y3467*U3467-Z3467*V3467</f>
        <v/>
      </c>
      <c r="AB3467">
        <f>IF(AND(F3467,ABS(W3467)&gt;1E-12,Y3467&gt;0,Z3467&gt;0),AA3467,1E+300)</f>
        <v/>
      </c>
    </row>
    <row r="3468">
      <c r="A3468">
        <f>$B$3+$B$5*56</f>
        <v/>
      </c>
      <c r="B3468">
        <f>$B$3+$B$5*40</f>
        <v/>
      </c>
      <c r="C3468">
        <f>SUMPRODUCT(Calc!$K$3:$K$22*(Calc!$G$3:$G$22&lt;=A3468))</f>
        <v/>
      </c>
      <c r="D3468">
        <f>SUMPRODUCT(Calc!$K$3:$K$22*(Calc!$G$3:$G$22&gt;A3468)*(Calc!$G$3:$G$22&lt;B3468))</f>
        <v/>
      </c>
      <c r="E3468">
        <f>SUMPRODUCT(Calc!$K$3:$K$22*(Calc!$G$3:$G$22&gt;=B3468))</f>
        <v/>
      </c>
      <c r="F3468">
        <f>AND(k_n&gt;=5,B3468&gt;A3468+1E-9,C3468&gt;=2,D3468&gt;=1,E3468&gt;=2)</f>
        <v/>
      </c>
      <c r="G3468">
        <f>SUMPRODUCT(Calc!$K$3:$K$22*(Calc!$G$3:$G$22&gt;A3468)*(Calc!$G$3:$G$22-A3468))</f>
        <v/>
      </c>
      <c r="H3468">
        <f>SUMPRODUCT(Calc!$K$3:$K$22*(Calc!$G$3:$G$22&gt;B3468)*(Calc!$G$3:$G$22-B3468))</f>
        <v/>
      </c>
      <c r="I3468">
        <f>SUMPRODUCT(Calc!$K$3:$K$22*(Calc!$G$3:$G$22&gt;A3468)*(Calc!$G$3:$G$22-A3468)^2)</f>
        <v/>
      </c>
      <c r="J3468">
        <f>SUMPRODUCT(Calc!$K$3:$K$22*(Calc!$G$3:$G$22&gt;B3468)*(Calc!$G$3:$G$22-B3468)^2)</f>
        <v/>
      </c>
      <c r="K3468">
        <f>SUMPRODUCT(Calc!$K$3:$K$22*(Calc!$G$3:$G$22&gt;A3468)*(Calc!$G$3:$G$22-A3468)*(Calc!$G$3:$G$22&gt;B3468)*(Calc!$G$3:$G$22-B3468))</f>
        <v/>
      </c>
      <c r="L3468">
        <f>SUMPRODUCT(Calc!$K$3:$K$22*(Calc!$G$3:$G$22&gt;A3468)*(Calc!$G$3:$G$22-A3468)*Calc!$G$3:$G$22)</f>
        <v/>
      </c>
      <c r="M3468">
        <f>SUMPRODUCT(Calc!$K$3:$K$22*(Calc!$G$3:$G$22&gt;B3468)*(Calc!$G$3:$G$22-B3468)*Calc!$G$3:$G$22)</f>
        <v/>
      </c>
      <c r="N3468">
        <f>SUMPRODUCT(Calc!$K$3:$K$22*(Calc!$G$3:$G$22&gt;A3468)*(Calc!$G$3:$G$22-A3468)*Calc!$I$3:$I$22)</f>
        <v/>
      </c>
      <c r="O3468">
        <f>SUMPRODUCT(Calc!$K$3:$K$22*(Calc!$G$3:$G$22&gt;B3468)*(Calc!$G$3:$G$22-B3468)*Calc!$I$3:$I$22)</f>
        <v/>
      </c>
      <c r="P3468">
        <f>I3468-G3468^2/k_n</f>
        <v/>
      </c>
      <c r="Q3468">
        <f>J3468-H3468^2/k_n</f>
        <v/>
      </c>
      <c r="R3468">
        <f>K3468-G3468*H3468/k_n</f>
        <v/>
      </c>
      <c r="S3468">
        <f>L3468-LTP3!$D$3*G3468/k_n</f>
        <v/>
      </c>
      <c r="T3468">
        <f>M3468-LTP3!$D$3*H3468/k_n</f>
        <v/>
      </c>
      <c r="U3468">
        <f>N3468-G3468*LTP3!$D$4/k_n</f>
        <v/>
      </c>
      <c r="V3468">
        <f>O3468-H3468*LTP3!$D$4/k_n</f>
        <v/>
      </c>
      <c r="W3468">
        <f>((LTP3!$D$5)*((P3468)*(Q3468)-(R3468)*(R3468))-(S3468)*((S3468)*(Q3468)-(R3468)*(T3468))+(T3468)*((S3468)*(R3468)-(P3468)*(T3468)))</f>
        <v/>
      </c>
      <c r="X3468">
        <f>IF(ABS(W3468)&gt;1E-12,((LTP3!$D$6)*((P3468)*(Q3468)-(R3468)*(R3468))-(S3468)*((U3468)*(Q3468)-(R3468)*(V3468))+(T3468)*((U3468)*(R3468)-(P3468)*(V3468)))/W3468,0)</f>
        <v/>
      </c>
      <c r="Y3468">
        <f>IF(ABS(W3468)&gt;1E-12,((LTP3!$D$5)*((U3468)*(Q3468)-(R3468)*(V3468))-(LTP3!$D$6)*((S3468)*(Q3468)-(R3468)*(T3468))+(T3468)*((S3468)*(V3468)-(U3468)*(T3468)))/W3468,0)</f>
        <v/>
      </c>
      <c r="Z3468">
        <f>IF(ABS(W3468)&gt;1E-12,((LTP3!$D$5)*((P3468)*(V3468)-(U3468)*(R3468))-(S3468)*((S3468)*(V3468)-(U3468)*(T3468))+(LTP3!$D$6)*((S3468)*(R3468)-(P3468)*(T3468)))/W3468,0)</f>
        <v/>
      </c>
      <c r="AA3468">
        <f>LTP3!$D$7-X3468*LTP3!$D$6-Y3468*U3468-Z3468*V3468</f>
        <v/>
      </c>
      <c r="AB3468">
        <f>IF(AND(F3468,ABS(W3468)&gt;1E-12,Y3468&gt;0,Z3468&gt;0),AA3468,1E+300)</f>
        <v/>
      </c>
    </row>
    <row r="3469">
      <c r="A3469">
        <f>$B$3+$B$5*56</f>
        <v/>
      </c>
      <c r="B3469">
        <f>$B$3+$B$5*41</f>
        <v/>
      </c>
      <c r="C3469">
        <f>SUMPRODUCT(Calc!$K$3:$K$22*(Calc!$G$3:$G$22&lt;=A3469))</f>
        <v/>
      </c>
      <c r="D3469">
        <f>SUMPRODUCT(Calc!$K$3:$K$22*(Calc!$G$3:$G$22&gt;A3469)*(Calc!$G$3:$G$22&lt;B3469))</f>
        <v/>
      </c>
      <c r="E3469">
        <f>SUMPRODUCT(Calc!$K$3:$K$22*(Calc!$G$3:$G$22&gt;=B3469))</f>
        <v/>
      </c>
      <c r="F3469">
        <f>AND(k_n&gt;=5,B3469&gt;A3469+1E-9,C3469&gt;=2,D3469&gt;=1,E3469&gt;=2)</f>
        <v/>
      </c>
      <c r="G3469">
        <f>SUMPRODUCT(Calc!$K$3:$K$22*(Calc!$G$3:$G$22&gt;A3469)*(Calc!$G$3:$G$22-A3469))</f>
        <v/>
      </c>
      <c r="H3469">
        <f>SUMPRODUCT(Calc!$K$3:$K$22*(Calc!$G$3:$G$22&gt;B3469)*(Calc!$G$3:$G$22-B3469))</f>
        <v/>
      </c>
      <c r="I3469">
        <f>SUMPRODUCT(Calc!$K$3:$K$22*(Calc!$G$3:$G$22&gt;A3469)*(Calc!$G$3:$G$22-A3469)^2)</f>
        <v/>
      </c>
      <c r="J3469">
        <f>SUMPRODUCT(Calc!$K$3:$K$22*(Calc!$G$3:$G$22&gt;B3469)*(Calc!$G$3:$G$22-B3469)^2)</f>
        <v/>
      </c>
      <c r="K3469">
        <f>SUMPRODUCT(Calc!$K$3:$K$22*(Calc!$G$3:$G$22&gt;A3469)*(Calc!$G$3:$G$22-A3469)*(Calc!$G$3:$G$22&gt;B3469)*(Calc!$G$3:$G$22-B3469))</f>
        <v/>
      </c>
      <c r="L3469">
        <f>SUMPRODUCT(Calc!$K$3:$K$22*(Calc!$G$3:$G$22&gt;A3469)*(Calc!$G$3:$G$22-A3469)*Calc!$G$3:$G$22)</f>
        <v/>
      </c>
      <c r="M3469">
        <f>SUMPRODUCT(Calc!$K$3:$K$22*(Calc!$G$3:$G$22&gt;B3469)*(Calc!$G$3:$G$22-B3469)*Calc!$G$3:$G$22)</f>
        <v/>
      </c>
      <c r="N3469">
        <f>SUMPRODUCT(Calc!$K$3:$K$22*(Calc!$G$3:$G$22&gt;A3469)*(Calc!$G$3:$G$22-A3469)*Calc!$I$3:$I$22)</f>
        <v/>
      </c>
      <c r="O3469">
        <f>SUMPRODUCT(Calc!$K$3:$K$22*(Calc!$G$3:$G$22&gt;B3469)*(Calc!$G$3:$G$22-B3469)*Calc!$I$3:$I$22)</f>
        <v/>
      </c>
      <c r="P3469">
        <f>I3469-G3469^2/k_n</f>
        <v/>
      </c>
      <c r="Q3469">
        <f>J3469-H3469^2/k_n</f>
        <v/>
      </c>
      <c r="R3469">
        <f>K3469-G3469*H3469/k_n</f>
        <v/>
      </c>
      <c r="S3469">
        <f>L3469-LTP3!$D$3*G3469/k_n</f>
        <v/>
      </c>
      <c r="T3469">
        <f>M3469-LTP3!$D$3*H3469/k_n</f>
        <v/>
      </c>
      <c r="U3469">
        <f>N3469-G3469*LTP3!$D$4/k_n</f>
        <v/>
      </c>
      <c r="V3469">
        <f>O3469-H3469*LTP3!$D$4/k_n</f>
        <v/>
      </c>
      <c r="W3469">
        <f>((LTP3!$D$5)*((P3469)*(Q3469)-(R3469)*(R3469))-(S3469)*((S3469)*(Q3469)-(R3469)*(T3469))+(T3469)*((S3469)*(R3469)-(P3469)*(T3469)))</f>
        <v/>
      </c>
      <c r="X3469">
        <f>IF(ABS(W3469)&gt;1E-12,((LTP3!$D$6)*((P3469)*(Q3469)-(R3469)*(R3469))-(S3469)*((U3469)*(Q3469)-(R3469)*(V3469))+(T3469)*((U3469)*(R3469)-(P3469)*(V3469)))/W3469,0)</f>
        <v/>
      </c>
      <c r="Y3469">
        <f>IF(ABS(W3469)&gt;1E-12,((LTP3!$D$5)*((U3469)*(Q3469)-(R3469)*(V3469))-(LTP3!$D$6)*((S3469)*(Q3469)-(R3469)*(T3469))+(T3469)*((S3469)*(V3469)-(U3469)*(T3469)))/W3469,0)</f>
        <v/>
      </c>
      <c r="Z3469">
        <f>IF(ABS(W3469)&gt;1E-12,((LTP3!$D$5)*((P3469)*(V3469)-(U3469)*(R3469))-(S3469)*((S3469)*(V3469)-(U3469)*(T3469))+(LTP3!$D$6)*((S3469)*(R3469)-(P3469)*(T3469)))/W3469,0)</f>
        <v/>
      </c>
      <c r="AA3469">
        <f>LTP3!$D$7-X3469*LTP3!$D$6-Y3469*U3469-Z3469*V3469</f>
        <v/>
      </c>
      <c r="AB3469">
        <f>IF(AND(F3469,ABS(W3469)&gt;1E-12,Y3469&gt;0,Z3469&gt;0),AA3469,1E+300)</f>
        <v/>
      </c>
    </row>
    <row r="3470">
      <c r="A3470">
        <f>$B$3+$B$5*56</f>
        <v/>
      </c>
      <c r="B3470">
        <f>$B$3+$B$5*42</f>
        <v/>
      </c>
      <c r="C3470">
        <f>SUMPRODUCT(Calc!$K$3:$K$22*(Calc!$G$3:$G$22&lt;=A3470))</f>
        <v/>
      </c>
      <c r="D3470">
        <f>SUMPRODUCT(Calc!$K$3:$K$22*(Calc!$G$3:$G$22&gt;A3470)*(Calc!$G$3:$G$22&lt;B3470))</f>
        <v/>
      </c>
      <c r="E3470">
        <f>SUMPRODUCT(Calc!$K$3:$K$22*(Calc!$G$3:$G$22&gt;=B3470))</f>
        <v/>
      </c>
      <c r="F3470">
        <f>AND(k_n&gt;=5,B3470&gt;A3470+1E-9,C3470&gt;=2,D3470&gt;=1,E3470&gt;=2)</f>
        <v/>
      </c>
      <c r="G3470">
        <f>SUMPRODUCT(Calc!$K$3:$K$22*(Calc!$G$3:$G$22&gt;A3470)*(Calc!$G$3:$G$22-A3470))</f>
        <v/>
      </c>
      <c r="H3470">
        <f>SUMPRODUCT(Calc!$K$3:$K$22*(Calc!$G$3:$G$22&gt;B3470)*(Calc!$G$3:$G$22-B3470))</f>
        <v/>
      </c>
      <c r="I3470">
        <f>SUMPRODUCT(Calc!$K$3:$K$22*(Calc!$G$3:$G$22&gt;A3470)*(Calc!$G$3:$G$22-A3470)^2)</f>
        <v/>
      </c>
      <c r="J3470">
        <f>SUMPRODUCT(Calc!$K$3:$K$22*(Calc!$G$3:$G$22&gt;B3470)*(Calc!$G$3:$G$22-B3470)^2)</f>
        <v/>
      </c>
      <c r="K3470">
        <f>SUMPRODUCT(Calc!$K$3:$K$22*(Calc!$G$3:$G$22&gt;A3470)*(Calc!$G$3:$G$22-A3470)*(Calc!$G$3:$G$22&gt;B3470)*(Calc!$G$3:$G$22-B3470))</f>
        <v/>
      </c>
      <c r="L3470">
        <f>SUMPRODUCT(Calc!$K$3:$K$22*(Calc!$G$3:$G$22&gt;A3470)*(Calc!$G$3:$G$22-A3470)*Calc!$G$3:$G$22)</f>
        <v/>
      </c>
      <c r="M3470">
        <f>SUMPRODUCT(Calc!$K$3:$K$22*(Calc!$G$3:$G$22&gt;B3470)*(Calc!$G$3:$G$22-B3470)*Calc!$G$3:$G$22)</f>
        <v/>
      </c>
      <c r="N3470">
        <f>SUMPRODUCT(Calc!$K$3:$K$22*(Calc!$G$3:$G$22&gt;A3470)*(Calc!$G$3:$G$22-A3470)*Calc!$I$3:$I$22)</f>
        <v/>
      </c>
      <c r="O3470">
        <f>SUMPRODUCT(Calc!$K$3:$K$22*(Calc!$G$3:$G$22&gt;B3470)*(Calc!$G$3:$G$22-B3470)*Calc!$I$3:$I$22)</f>
        <v/>
      </c>
      <c r="P3470">
        <f>I3470-G3470^2/k_n</f>
        <v/>
      </c>
      <c r="Q3470">
        <f>J3470-H3470^2/k_n</f>
        <v/>
      </c>
      <c r="R3470">
        <f>K3470-G3470*H3470/k_n</f>
        <v/>
      </c>
      <c r="S3470">
        <f>L3470-LTP3!$D$3*G3470/k_n</f>
        <v/>
      </c>
      <c r="T3470">
        <f>M3470-LTP3!$D$3*H3470/k_n</f>
        <v/>
      </c>
      <c r="U3470">
        <f>N3470-G3470*LTP3!$D$4/k_n</f>
        <v/>
      </c>
      <c r="V3470">
        <f>O3470-H3470*LTP3!$D$4/k_n</f>
        <v/>
      </c>
      <c r="W3470">
        <f>((LTP3!$D$5)*((P3470)*(Q3470)-(R3470)*(R3470))-(S3470)*((S3470)*(Q3470)-(R3470)*(T3470))+(T3470)*((S3470)*(R3470)-(P3470)*(T3470)))</f>
        <v/>
      </c>
      <c r="X3470">
        <f>IF(ABS(W3470)&gt;1E-12,((LTP3!$D$6)*((P3470)*(Q3470)-(R3470)*(R3470))-(S3470)*((U3470)*(Q3470)-(R3470)*(V3470))+(T3470)*((U3470)*(R3470)-(P3470)*(V3470)))/W3470,0)</f>
        <v/>
      </c>
      <c r="Y3470">
        <f>IF(ABS(W3470)&gt;1E-12,((LTP3!$D$5)*((U3470)*(Q3470)-(R3470)*(V3470))-(LTP3!$D$6)*((S3470)*(Q3470)-(R3470)*(T3470))+(T3470)*((S3470)*(V3470)-(U3470)*(T3470)))/W3470,0)</f>
        <v/>
      </c>
      <c r="Z3470">
        <f>IF(ABS(W3470)&gt;1E-12,((LTP3!$D$5)*((P3470)*(V3470)-(U3470)*(R3470))-(S3470)*((S3470)*(V3470)-(U3470)*(T3470))+(LTP3!$D$6)*((S3470)*(R3470)-(P3470)*(T3470)))/W3470,0)</f>
        <v/>
      </c>
      <c r="AA3470">
        <f>LTP3!$D$7-X3470*LTP3!$D$6-Y3470*U3470-Z3470*V3470</f>
        <v/>
      </c>
      <c r="AB3470">
        <f>IF(AND(F3470,ABS(W3470)&gt;1E-12,Y3470&gt;0,Z3470&gt;0),AA3470,1E+300)</f>
        <v/>
      </c>
    </row>
    <row r="3471">
      <c r="A3471">
        <f>$B$3+$B$5*56</f>
        <v/>
      </c>
      <c r="B3471">
        <f>$B$3+$B$5*43</f>
        <v/>
      </c>
      <c r="C3471">
        <f>SUMPRODUCT(Calc!$K$3:$K$22*(Calc!$G$3:$G$22&lt;=A3471))</f>
        <v/>
      </c>
      <c r="D3471">
        <f>SUMPRODUCT(Calc!$K$3:$K$22*(Calc!$G$3:$G$22&gt;A3471)*(Calc!$G$3:$G$22&lt;B3471))</f>
        <v/>
      </c>
      <c r="E3471">
        <f>SUMPRODUCT(Calc!$K$3:$K$22*(Calc!$G$3:$G$22&gt;=B3471))</f>
        <v/>
      </c>
      <c r="F3471">
        <f>AND(k_n&gt;=5,B3471&gt;A3471+1E-9,C3471&gt;=2,D3471&gt;=1,E3471&gt;=2)</f>
        <v/>
      </c>
      <c r="G3471">
        <f>SUMPRODUCT(Calc!$K$3:$K$22*(Calc!$G$3:$G$22&gt;A3471)*(Calc!$G$3:$G$22-A3471))</f>
        <v/>
      </c>
      <c r="H3471">
        <f>SUMPRODUCT(Calc!$K$3:$K$22*(Calc!$G$3:$G$22&gt;B3471)*(Calc!$G$3:$G$22-B3471))</f>
        <v/>
      </c>
      <c r="I3471">
        <f>SUMPRODUCT(Calc!$K$3:$K$22*(Calc!$G$3:$G$22&gt;A3471)*(Calc!$G$3:$G$22-A3471)^2)</f>
        <v/>
      </c>
      <c r="J3471">
        <f>SUMPRODUCT(Calc!$K$3:$K$22*(Calc!$G$3:$G$22&gt;B3471)*(Calc!$G$3:$G$22-B3471)^2)</f>
        <v/>
      </c>
      <c r="K3471">
        <f>SUMPRODUCT(Calc!$K$3:$K$22*(Calc!$G$3:$G$22&gt;A3471)*(Calc!$G$3:$G$22-A3471)*(Calc!$G$3:$G$22&gt;B3471)*(Calc!$G$3:$G$22-B3471))</f>
        <v/>
      </c>
      <c r="L3471">
        <f>SUMPRODUCT(Calc!$K$3:$K$22*(Calc!$G$3:$G$22&gt;A3471)*(Calc!$G$3:$G$22-A3471)*Calc!$G$3:$G$22)</f>
        <v/>
      </c>
      <c r="M3471">
        <f>SUMPRODUCT(Calc!$K$3:$K$22*(Calc!$G$3:$G$22&gt;B3471)*(Calc!$G$3:$G$22-B3471)*Calc!$G$3:$G$22)</f>
        <v/>
      </c>
      <c r="N3471">
        <f>SUMPRODUCT(Calc!$K$3:$K$22*(Calc!$G$3:$G$22&gt;A3471)*(Calc!$G$3:$G$22-A3471)*Calc!$I$3:$I$22)</f>
        <v/>
      </c>
      <c r="O3471">
        <f>SUMPRODUCT(Calc!$K$3:$K$22*(Calc!$G$3:$G$22&gt;B3471)*(Calc!$G$3:$G$22-B3471)*Calc!$I$3:$I$22)</f>
        <v/>
      </c>
      <c r="P3471">
        <f>I3471-G3471^2/k_n</f>
        <v/>
      </c>
      <c r="Q3471">
        <f>J3471-H3471^2/k_n</f>
        <v/>
      </c>
      <c r="R3471">
        <f>K3471-G3471*H3471/k_n</f>
        <v/>
      </c>
      <c r="S3471">
        <f>L3471-LTP3!$D$3*G3471/k_n</f>
        <v/>
      </c>
      <c r="T3471">
        <f>M3471-LTP3!$D$3*H3471/k_n</f>
        <v/>
      </c>
      <c r="U3471">
        <f>N3471-G3471*LTP3!$D$4/k_n</f>
        <v/>
      </c>
      <c r="V3471">
        <f>O3471-H3471*LTP3!$D$4/k_n</f>
        <v/>
      </c>
      <c r="W3471">
        <f>((LTP3!$D$5)*((P3471)*(Q3471)-(R3471)*(R3471))-(S3471)*((S3471)*(Q3471)-(R3471)*(T3471))+(T3471)*((S3471)*(R3471)-(P3471)*(T3471)))</f>
        <v/>
      </c>
      <c r="X3471">
        <f>IF(ABS(W3471)&gt;1E-12,((LTP3!$D$6)*((P3471)*(Q3471)-(R3471)*(R3471))-(S3471)*((U3471)*(Q3471)-(R3471)*(V3471))+(T3471)*((U3471)*(R3471)-(P3471)*(V3471)))/W3471,0)</f>
        <v/>
      </c>
      <c r="Y3471">
        <f>IF(ABS(W3471)&gt;1E-12,((LTP3!$D$5)*((U3471)*(Q3471)-(R3471)*(V3471))-(LTP3!$D$6)*((S3471)*(Q3471)-(R3471)*(T3471))+(T3471)*((S3471)*(V3471)-(U3471)*(T3471)))/W3471,0)</f>
        <v/>
      </c>
      <c r="Z3471">
        <f>IF(ABS(W3471)&gt;1E-12,((LTP3!$D$5)*((P3471)*(V3471)-(U3471)*(R3471))-(S3471)*((S3471)*(V3471)-(U3471)*(T3471))+(LTP3!$D$6)*((S3471)*(R3471)-(P3471)*(T3471)))/W3471,0)</f>
        <v/>
      </c>
      <c r="AA3471">
        <f>LTP3!$D$7-X3471*LTP3!$D$6-Y3471*U3471-Z3471*V3471</f>
        <v/>
      </c>
      <c r="AB3471">
        <f>IF(AND(F3471,ABS(W3471)&gt;1E-12,Y3471&gt;0,Z3471&gt;0),AA3471,1E+300)</f>
        <v/>
      </c>
    </row>
    <row r="3472">
      <c r="A3472">
        <f>$B$3+$B$5*56</f>
        <v/>
      </c>
      <c r="B3472">
        <f>$B$3+$B$5*44</f>
        <v/>
      </c>
      <c r="C3472">
        <f>SUMPRODUCT(Calc!$K$3:$K$22*(Calc!$G$3:$G$22&lt;=A3472))</f>
        <v/>
      </c>
      <c r="D3472">
        <f>SUMPRODUCT(Calc!$K$3:$K$22*(Calc!$G$3:$G$22&gt;A3472)*(Calc!$G$3:$G$22&lt;B3472))</f>
        <v/>
      </c>
      <c r="E3472">
        <f>SUMPRODUCT(Calc!$K$3:$K$22*(Calc!$G$3:$G$22&gt;=B3472))</f>
        <v/>
      </c>
      <c r="F3472">
        <f>AND(k_n&gt;=5,B3472&gt;A3472+1E-9,C3472&gt;=2,D3472&gt;=1,E3472&gt;=2)</f>
        <v/>
      </c>
      <c r="G3472">
        <f>SUMPRODUCT(Calc!$K$3:$K$22*(Calc!$G$3:$G$22&gt;A3472)*(Calc!$G$3:$G$22-A3472))</f>
        <v/>
      </c>
      <c r="H3472">
        <f>SUMPRODUCT(Calc!$K$3:$K$22*(Calc!$G$3:$G$22&gt;B3472)*(Calc!$G$3:$G$22-B3472))</f>
        <v/>
      </c>
      <c r="I3472">
        <f>SUMPRODUCT(Calc!$K$3:$K$22*(Calc!$G$3:$G$22&gt;A3472)*(Calc!$G$3:$G$22-A3472)^2)</f>
        <v/>
      </c>
      <c r="J3472">
        <f>SUMPRODUCT(Calc!$K$3:$K$22*(Calc!$G$3:$G$22&gt;B3472)*(Calc!$G$3:$G$22-B3472)^2)</f>
        <v/>
      </c>
      <c r="K3472">
        <f>SUMPRODUCT(Calc!$K$3:$K$22*(Calc!$G$3:$G$22&gt;A3472)*(Calc!$G$3:$G$22-A3472)*(Calc!$G$3:$G$22&gt;B3472)*(Calc!$G$3:$G$22-B3472))</f>
        <v/>
      </c>
      <c r="L3472">
        <f>SUMPRODUCT(Calc!$K$3:$K$22*(Calc!$G$3:$G$22&gt;A3472)*(Calc!$G$3:$G$22-A3472)*Calc!$G$3:$G$22)</f>
        <v/>
      </c>
      <c r="M3472">
        <f>SUMPRODUCT(Calc!$K$3:$K$22*(Calc!$G$3:$G$22&gt;B3472)*(Calc!$G$3:$G$22-B3472)*Calc!$G$3:$G$22)</f>
        <v/>
      </c>
      <c r="N3472">
        <f>SUMPRODUCT(Calc!$K$3:$K$22*(Calc!$G$3:$G$22&gt;A3472)*(Calc!$G$3:$G$22-A3472)*Calc!$I$3:$I$22)</f>
        <v/>
      </c>
      <c r="O3472">
        <f>SUMPRODUCT(Calc!$K$3:$K$22*(Calc!$G$3:$G$22&gt;B3472)*(Calc!$G$3:$G$22-B3472)*Calc!$I$3:$I$22)</f>
        <v/>
      </c>
      <c r="P3472">
        <f>I3472-G3472^2/k_n</f>
        <v/>
      </c>
      <c r="Q3472">
        <f>J3472-H3472^2/k_n</f>
        <v/>
      </c>
      <c r="R3472">
        <f>K3472-G3472*H3472/k_n</f>
        <v/>
      </c>
      <c r="S3472">
        <f>L3472-LTP3!$D$3*G3472/k_n</f>
        <v/>
      </c>
      <c r="T3472">
        <f>M3472-LTP3!$D$3*H3472/k_n</f>
        <v/>
      </c>
      <c r="U3472">
        <f>N3472-G3472*LTP3!$D$4/k_n</f>
        <v/>
      </c>
      <c r="V3472">
        <f>O3472-H3472*LTP3!$D$4/k_n</f>
        <v/>
      </c>
      <c r="W3472">
        <f>((LTP3!$D$5)*((P3472)*(Q3472)-(R3472)*(R3472))-(S3472)*((S3472)*(Q3472)-(R3472)*(T3472))+(T3472)*((S3472)*(R3472)-(P3472)*(T3472)))</f>
        <v/>
      </c>
      <c r="X3472">
        <f>IF(ABS(W3472)&gt;1E-12,((LTP3!$D$6)*((P3472)*(Q3472)-(R3472)*(R3472))-(S3472)*((U3472)*(Q3472)-(R3472)*(V3472))+(T3472)*((U3472)*(R3472)-(P3472)*(V3472)))/W3472,0)</f>
        <v/>
      </c>
      <c r="Y3472">
        <f>IF(ABS(W3472)&gt;1E-12,((LTP3!$D$5)*((U3472)*(Q3472)-(R3472)*(V3472))-(LTP3!$D$6)*((S3472)*(Q3472)-(R3472)*(T3472))+(T3472)*((S3472)*(V3472)-(U3472)*(T3472)))/W3472,0)</f>
        <v/>
      </c>
      <c r="Z3472">
        <f>IF(ABS(W3472)&gt;1E-12,((LTP3!$D$5)*((P3472)*(V3472)-(U3472)*(R3472))-(S3472)*((S3472)*(V3472)-(U3472)*(T3472))+(LTP3!$D$6)*((S3472)*(R3472)-(P3472)*(T3472)))/W3472,0)</f>
        <v/>
      </c>
      <c r="AA3472">
        <f>LTP3!$D$7-X3472*LTP3!$D$6-Y3472*U3472-Z3472*V3472</f>
        <v/>
      </c>
      <c r="AB3472">
        <f>IF(AND(F3472,ABS(W3472)&gt;1E-12,Y3472&gt;0,Z3472&gt;0),AA3472,1E+300)</f>
        <v/>
      </c>
    </row>
    <row r="3473">
      <c r="A3473">
        <f>$B$3+$B$5*56</f>
        <v/>
      </c>
      <c r="B3473">
        <f>$B$3+$B$5*45</f>
        <v/>
      </c>
      <c r="C3473">
        <f>SUMPRODUCT(Calc!$K$3:$K$22*(Calc!$G$3:$G$22&lt;=A3473))</f>
        <v/>
      </c>
      <c r="D3473">
        <f>SUMPRODUCT(Calc!$K$3:$K$22*(Calc!$G$3:$G$22&gt;A3473)*(Calc!$G$3:$G$22&lt;B3473))</f>
        <v/>
      </c>
      <c r="E3473">
        <f>SUMPRODUCT(Calc!$K$3:$K$22*(Calc!$G$3:$G$22&gt;=B3473))</f>
        <v/>
      </c>
      <c r="F3473">
        <f>AND(k_n&gt;=5,B3473&gt;A3473+1E-9,C3473&gt;=2,D3473&gt;=1,E3473&gt;=2)</f>
        <v/>
      </c>
      <c r="G3473">
        <f>SUMPRODUCT(Calc!$K$3:$K$22*(Calc!$G$3:$G$22&gt;A3473)*(Calc!$G$3:$G$22-A3473))</f>
        <v/>
      </c>
      <c r="H3473">
        <f>SUMPRODUCT(Calc!$K$3:$K$22*(Calc!$G$3:$G$22&gt;B3473)*(Calc!$G$3:$G$22-B3473))</f>
        <v/>
      </c>
      <c r="I3473">
        <f>SUMPRODUCT(Calc!$K$3:$K$22*(Calc!$G$3:$G$22&gt;A3473)*(Calc!$G$3:$G$22-A3473)^2)</f>
        <v/>
      </c>
      <c r="J3473">
        <f>SUMPRODUCT(Calc!$K$3:$K$22*(Calc!$G$3:$G$22&gt;B3473)*(Calc!$G$3:$G$22-B3473)^2)</f>
        <v/>
      </c>
      <c r="K3473">
        <f>SUMPRODUCT(Calc!$K$3:$K$22*(Calc!$G$3:$G$22&gt;A3473)*(Calc!$G$3:$G$22-A3473)*(Calc!$G$3:$G$22&gt;B3473)*(Calc!$G$3:$G$22-B3473))</f>
        <v/>
      </c>
      <c r="L3473">
        <f>SUMPRODUCT(Calc!$K$3:$K$22*(Calc!$G$3:$G$22&gt;A3473)*(Calc!$G$3:$G$22-A3473)*Calc!$G$3:$G$22)</f>
        <v/>
      </c>
      <c r="M3473">
        <f>SUMPRODUCT(Calc!$K$3:$K$22*(Calc!$G$3:$G$22&gt;B3473)*(Calc!$G$3:$G$22-B3473)*Calc!$G$3:$G$22)</f>
        <v/>
      </c>
      <c r="N3473">
        <f>SUMPRODUCT(Calc!$K$3:$K$22*(Calc!$G$3:$G$22&gt;A3473)*(Calc!$G$3:$G$22-A3473)*Calc!$I$3:$I$22)</f>
        <v/>
      </c>
      <c r="O3473">
        <f>SUMPRODUCT(Calc!$K$3:$K$22*(Calc!$G$3:$G$22&gt;B3473)*(Calc!$G$3:$G$22-B3473)*Calc!$I$3:$I$22)</f>
        <v/>
      </c>
      <c r="P3473">
        <f>I3473-G3473^2/k_n</f>
        <v/>
      </c>
      <c r="Q3473">
        <f>J3473-H3473^2/k_n</f>
        <v/>
      </c>
      <c r="R3473">
        <f>K3473-G3473*H3473/k_n</f>
        <v/>
      </c>
      <c r="S3473">
        <f>L3473-LTP3!$D$3*G3473/k_n</f>
        <v/>
      </c>
      <c r="T3473">
        <f>M3473-LTP3!$D$3*H3473/k_n</f>
        <v/>
      </c>
      <c r="U3473">
        <f>N3473-G3473*LTP3!$D$4/k_n</f>
        <v/>
      </c>
      <c r="V3473">
        <f>O3473-H3473*LTP3!$D$4/k_n</f>
        <v/>
      </c>
      <c r="W3473">
        <f>((LTP3!$D$5)*((P3473)*(Q3473)-(R3473)*(R3473))-(S3473)*((S3473)*(Q3473)-(R3473)*(T3473))+(T3473)*((S3473)*(R3473)-(P3473)*(T3473)))</f>
        <v/>
      </c>
      <c r="X3473">
        <f>IF(ABS(W3473)&gt;1E-12,((LTP3!$D$6)*((P3473)*(Q3473)-(R3473)*(R3473))-(S3473)*((U3473)*(Q3473)-(R3473)*(V3473))+(T3473)*((U3473)*(R3473)-(P3473)*(V3473)))/W3473,0)</f>
        <v/>
      </c>
      <c r="Y3473">
        <f>IF(ABS(W3473)&gt;1E-12,((LTP3!$D$5)*((U3473)*(Q3473)-(R3473)*(V3473))-(LTP3!$D$6)*((S3473)*(Q3473)-(R3473)*(T3473))+(T3473)*((S3473)*(V3473)-(U3473)*(T3473)))/W3473,0)</f>
        <v/>
      </c>
      <c r="Z3473">
        <f>IF(ABS(W3473)&gt;1E-12,((LTP3!$D$5)*((P3473)*(V3473)-(U3473)*(R3473))-(S3473)*((S3473)*(V3473)-(U3473)*(T3473))+(LTP3!$D$6)*((S3473)*(R3473)-(P3473)*(T3473)))/W3473,0)</f>
        <v/>
      </c>
      <c r="AA3473">
        <f>LTP3!$D$7-X3473*LTP3!$D$6-Y3473*U3473-Z3473*V3473</f>
        <v/>
      </c>
      <c r="AB3473">
        <f>IF(AND(F3473,ABS(W3473)&gt;1E-12,Y3473&gt;0,Z3473&gt;0),AA3473,1E+300)</f>
        <v/>
      </c>
    </row>
    <row r="3474">
      <c r="A3474">
        <f>$B$3+$B$5*56</f>
        <v/>
      </c>
      <c r="B3474">
        <f>$B$3+$B$5*46</f>
        <v/>
      </c>
      <c r="C3474">
        <f>SUMPRODUCT(Calc!$K$3:$K$22*(Calc!$G$3:$G$22&lt;=A3474))</f>
        <v/>
      </c>
      <c r="D3474">
        <f>SUMPRODUCT(Calc!$K$3:$K$22*(Calc!$G$3:$G$22&gt;A3474)*(Calc!$G$3:$G$22&lt;B3474))</f>
        <v/>
      </c>
      <c r="E3474">
        <f>SUMPRODUCT(Calc!$K$3:$K$22*(Calc!$G$3:$G$22&gt;=B3474))</f>
        <v/>
      </c>
      <c r="F3474">
        <f>AND(k_n&gt;=5,B3474&gt;A3474+1E-9,C3474&gt;=2,D3474&gt;=1,E3474&gt;=2)</f>
        <v/>
      </c>
      <c r="G3474">
        <f>SUMPRODUCT(Calc!$K$3:$K$22*(Calc!$G$3:$G$22&gt;A3474)*(Calc!$G$3:$G$22-A3474))</f>
        <v/>
      </c>
      <c r="H3474">
        <f>SUMPRODUCT(Calc!$K$3:$K$22*(Calc!$G$3:$G$22&gt;B3474)*(Calc!$G$3:$G$22-B3474))</f>
        <v/>
      </c>
      <c r="I3474">
        <f>SUMPRODUCT(Calc!$K$3:$K$22*(Calc!$G$3:$G$22&gt;A3474)*(Calc!$G$3:$G$22-A3474)^2)</f>
        <v/>
      </c>
      <c r="J3474">
        <f>SUMPRODUCT(Calc!$K$3:$K$22*(Calc!$G$3:$G$22&gt;B3474)*(Calc!$G$3:$G$22-B3474)^2)</f>
        <v/>
      </c>
      <c r="K3474">
        <f>SUMPRODUCT(Calc!$K$3:$K$22*(Calc!$G$3:$G$22&gt;A3474)*(Calc!$G$3:$G$22-A3474)*(Calc!$G$3:$G$22&gt;B3474)*(Calc!$G$3:$G$22-B3474))</f>
        <v/>
      </c>
      <c r="L3474">
        <f>SUMPRODUCT(Calc!$K$3:$K$22*(Calc!$G$3:$G$22&gt;A3474)*(Calc!$G$3:$G$22-A3474)*Calc!$G$3:$G$22)</f>
        <v/>
      </c>
      <c r="M3474">
        <f>SUMPRODUCT(Calc!$K$3:$K$22*(Calc!$G$3:$G$22&gt;B3474)*(Calc!$G$3:$G$22-B3474)*Calc!$G$3:$G$22)</f>
        <v/>
      </c>
      <c r="N3474">
        <f>SUMPRODUCT(Calc!$K$3:$K$22*(Calc!$G$3:$G$22&gt;A3474)*(Calc!$G$3:$G$22-A3474)*Calc!$I$3:$I$22)</f>
        <v/>
      </c>
      <c r="O3474">
        <f>SUMPRODUCT(Calc!$K$3:$K$22*(Calc!$G$3:$G$22&gt;B3474)*(Calc!$G$3:$G$22-B3474)*Calc!$I$3:$I$22)</f>
        <v/>
      </c>
      <c r="P3474">
        <f>I3474-G3474^2/k_n</f>
        <v/>
      </c>
      <c r="Q3474">
        <f>J3474-H3474^2/k_n</f>
        <v/>
      </c>
      <c r="R3474">
        <f>K3474-G3474*H3474/k_n</f>
        <v/>
      </c>
      <c r="S3474">
        <f>L3474-LTP3!$D$3*G3474/k_n</f>
        <v/>
      </c>
      <c r="T3474">
        <f>M3474-LTP3!$D$3*H3474/k_n</f>
        <v/>
      </c>
      <c r="U3474">
        <f>N3474-G3474*LTP3!$D$4/k_n</f>
        <v/>
      </c>
      <c r="V3474">
        <f>O3474-H3474*LTP3!$D$4/k_n</f>
        <v/>
      </c>
      <c r="W3474">
        <f>((LTP3!$D$5)*((P3474)*(Q3474)-(R3474)*(R3474))-(S3474)*((S3474)*(Q3474)-(R3474)*(T3474))+(T3474)*((S3474)*(R3474)-(P3474)*(T3474)))</f>
        <v/>
      </c>
      <c r="X3474">
        <f>IF(ABS(W3474)&gt;1E-12,((LTP3!$D$6)*((P3474)*(Q3474)-(R3474)*(R3474))-(S3474)*((U3474)*(Q3474)-(R3474)*(V3474))+(T3474)*((U3474)*(R3474)-(P3474)*(V3474)))/W3474,0)</f>
        <v/>
      </c>
      <c r="Y3474">
        <f>IF(ABS(W3474)&gt;1E-12,((LTP3!$D$5)*((U3474)*(Q3474)-(R3474)*(V3474))-(LTP3!$D$6)*((S3474)*(Q3474)-(R3474)*(T3474))+(T3474)*((S3474)*(V3474)-(U3474)*(T3474)))/W3474,0)</f>
        <v/>
      </c>
      <c r="Z3474">
        <f>IF(ABS(W3474)&gt;1E-12,((LTP3!$D$5)*((P3474)*(V3474)-(U3474)*(R3474))-(S3474)*((S3474)*(V3474)-(U3474)*(T3474))+(LTP3!$D$6)*((S3474)*(R3474)-(P3474)*(T3474)))/W3474,0)</f>
        <v/>
      </c>
      <c r="AA3474">
        <f>LTP3!$D$7-X3474*LTP3!$D$6-Y3474*U3474-Z3474*V3474</f>
        <v/>
      </c>
      <c r="AB3474">
        <f>IF(AND(F3474,ABS(W3474)&gt;1E-12,Y3474&gt;0,Z3474&gt;0),AA3474,1E+300)</f>
        <v/>
      </c>
    </row>
    <row r="3475">
      <c r="A3475">
        <f>$B$3+$B$5*56</f>
        <v/>
      </c>
      <c r="B3475">
        <f>$B$3+$B$5*47</f>
        <v/>
      </c>
      <c r="C3475">
        <f>SUMPRODUCT(Calc!$K$3:$K$22*(Calc!$G$3:$G$22&lt;=A3475))</f>
        <v/>
      </c>
      <c r="D3475">
        <f>SUMPRODUCT(Calc!$K$3:$K$22*(Calc!$G$3:$G$22&gt;A3475)*(Calc!$G$3:$G$22&lt;B3475))</f>
        <v/>
      </c>
      <c r="E3475">
        <f>SUMPRODUCT(Calc!$K$3:$K$22*(Calc!$G$3:$G$22&gt;=B3475))</f>
        <v/>
      </c>
      <c r="F3475">
        <f>AND(k_n&gt;=5,B3475&gt;A3475+1E-9,C3475&gt;=2,D3475&gt;=1,E3475&gt;=2)</f>
        <v/>
      </c>
      <c r="G3475">
        <f>SUMPRODUCT(Calc!$K$3:$K$22*(Calc!$G$3:$G$22&gt;A3475)*(Calc!$G$3:$G$22-A3475))</f>
        <v/>
      </c>
      <c r="H3475">
        <f>SUMPRODUCT(Calc!$K$3:$K$22*(Calc!$G$3:$G$22&gt;B3475)*(Calc!$G$3:$G$22-B3475))</f>
        <v/>
      </c>
      <c r="I3475">
        <f>SUMPRODUCT(Calc!$K$3:$K$22*(Calc!$G$3:$G$22&gt;A3475)*(Calc!$G$3:$G$22-A3475)^2)</f>
        <v/>
      </c>
      <c r="J3475">
        <f>SUMPRODUCT(Calc!$K$3:$K$22*(Calc!$G$3:$G$22&gt;B3475)*(Calc!$G$3:$G$22-B3475)^2)</f>
        <v/>
      </c>
      <c r="K3475">
        <f>SUMPRODUCT(Calc!$K$3:$K$22*(Calc!$G$3:$G$22&gt;A3475)*(Calc!$G$3:$G$22-A3475)*(Calc!$G$3:$G$22&gt;B3475)*(Calc!$G$3:$G$22-B3475))</f>
        <v/>
      </c>
      <c r="L3475">
        <f>SUMPRODUCT(Calc!$K$3:$K$22*(Calc!$G$3:$G$22&gt;A3475)*(Calc!$G$3:$G$22-A3475)*Calc!$G$3:$G$22)</f>
        <v/>
      </c>
      <c r="M3475">
        <f>SUMPRODUCT(Calc!$K$3:$K$22*(Calc!$G$3:$G$22&gt;B3475)*(Calc!$G$3:$G$22-B3475)*Calc!$G$3:$G$22)</f>
        <v/>
      </c>
      <c r="N3475">
        <f>SUMPRODUCT(Calc!$K$3:$K$22*(Calc!$G$3:$G$22&gt;A3475)*(Calc!$G$3:$G$22-A3475)*Calc!$I$3:$I$22)</f>
        <v/>
      </c>
      <c r="O3475">
        <f>SUMPRODUCT(Calc!$K$3:$K$22*(Calc!$G$3:$G$22&gt;B3475)*(Calc!$G$3:$G$22-B3475)*Calc!$I$3:$I$22)</f>
        <v/>
      </c>
      <c r="P3475">
        <f>I3475-G3475^2/k_n</f>
        <v/>
      </c>
      <c r="Q3475">
        <f>J3475-H3475^2/k_n</f>
        <v/>
      </c>
      <c r="R3475">
        <f>K3475-G3475*H3475/k_n</f>
        <v/>
      </c>
      <c r="S3475">
        <f>L3475-LTP3!$D$3*G3475/k_n</f>
        <v/>
      </c>
      <c r="T3475">
        <f>M3475-LTP3!$D$3*H3475/k_n</f>
        <v/>
      </c>
      <c r="U3475">
        <f>N3475-G3475*LTP3!$D$4/k_n</f>
        <v/>
      </c>
      <c r="V3475">
        <f>O3475-H3475*LTP3!$D$4/k_n</f>
        <v/>
      </c>
      <c r="W3475">
        <f>((LTP3!$D$5)*((P3475)*(Q3475)-(R3475)*(R3475))-(S3475)*((S3475)*(Q3475)-(R3475)*(T3475))+(T3475)*((S3475)*(R3475)-(P3475)*(T3475)))</f>
        <v/>
      </c>
      <c r="X3475">
        <f>IF(ABS(W3475)&gt;1E-12,((LTP3!$D$6)*((P3475)*(Q3475)-(R3475)*(R3475))-(S3475)*((U3475)*(Q3475)-(R3475)*(V3475))+(T3475)*((U3475)*(R3475)-(P3475)*(V3475)))/W3475,0)</f>
        <v/>
      </c>
      <c r="Y3475">
        <f>IF(ABS(W3475)&gt;1E-12,((LTP3!$D$5)*((U3475)*(Q3475)-(R3475)*(V3475))-(LTP3!$D$6)*((S3475)*(Q3475)-(R3475)*(T3475))+(T3475)*((S3475)*(V3475)-(U3475)*(T3475)))/W3475,0)</f>
        <v/>
      </c>
      <c r="Z3475">
        <f>IF(ABS(W3475)&gt;1E-12,((LTP3!$D$5)*((P3475)*(V3475)-(U3475)*(R3475))-(S3475)*((S3475)*(V3475)-(U3475)*(T3475))+(LTP3!$D$6)*((S3475)*(R3475)-(P3475)*(T3475)))/W3475,0)</f>
        <v/>
      </c>
      <c r="AA3475">
        <f>LTP3!$D$7-X3475*LTP3!$D$6-Y3475*U3475-Z3475*V3475</f>
        <v/>
      </c>
      <c r="AB3475">
        <f>IF(AND(F3475,ABS(W3475)&gt;1E-12,Y3475&gt;0,Z3475&gt;0),AA3475,1E+300)</f>
        <v/>
      </c>
    </row>
    <row r="3476">
      <c r="A3476">
        <f>$B$3+$B$5*56</f>
        <v/>
      </c>
      <c r="B3476">
        <f>$B$3+$B$5*48</f>
        <v/>
      </c>
      <c r="C3476">
        <f>SUMPRODUCT(Calc!$K$3:$K$22*(Calc!$G$3:$G$22&lt;=A3476))</f>
        <v/>
      </c>
      <c r="D3476">
        <f>SUMPRODUCT(Calc!$K$3:$K$22*(Calc!$G$3:$G$22&gt;A3476)*(Calc!$G$3:$G$22&lt;B3476))</f>
        <v/>
      </c>
      <c r="E3476">
        <f>SUMPRODUCT(Calc!$K$3:$K$22*(Calc!$G$3:$G$22&gt;=B3476))</f>
        <v/>
      </c>
      <c r="F3476">
        <f>AND(k_n&gt;=5,B3476&gt;A3476+1E-9,C3476&gt;=2,D3476&gt;=1,E3476&gt;=2)</f>
        <v/>
      </c>
      <c r="G3476">
        <f>SUMPRODUCT(Calc!$K$3:$K$22*(Calc!$G$3:$G$22&gt;A3476)*(Calc!$G$3:$G$22-A3476))</f>
        <v/>
      </c>
      <c r="H3476">
        <f>SUMPRODUCT(Calc!$K$3:$K$22*(Calc!$G$3:$G$22&gt;B3476)*(Calc!$G$3:$G$22-B3476))</f>
        <v/>
      </c>
      <c r="I3476">
        <f>SUMPRODUCT(Calc!$K$3:$K$22*(Calc!$G$3:$G$22&gt;A3476)*(Calc!$G$3:$G$22-A3476)^2)</f>
        <v/>
      </c>
      <c r="J3476">
        <f>SUMPRODUCT(Calc!$K$3:$K$22*(Calc!$G$3:$G$22&gt;B3476)*(Calc!$G$3:$G$22-B3476)^2)</f>
        <v/>
      </c>
      <c r="K3476">
        <f>SUMPRODUCT(Calc!$K$3:$K$22*(Calc!$G$3:$G$22&gt;A3476)*(Calc!$G$3:$G$22-A3476)*(Calc!$G$3:$G$22&gt;B3476)*(Calc!$G$3:$G$22-B3476))</f>
        <v/>
      </c>
      <c r="L3476">
        <f>SUMPRODUCT(Calc!$K$3:$K$22*(Calc!$G$3:$G$22&gt;A3476)*(Calc!$G$3:$G$22-A3476)*Calc!$G$3:$G$22)</f>
        <v/>
      </c>
      <c r="M3476">
        <f>SUMPRODUCT(Calc!$K$3:$K$22*(Calc!$G$3:$G$22&gt;B3476)*(Calc!$G$3:$G$22-B3476)*Calc!$G$3:$G$22)</f>
        <v/>
      </c>
      <c r="N3476">
        <f>SUMPRODUCT(Calc!$K$3:$K$22*(Calc!$G$3:$G$22&gt;A3476)*(Calc!$G$3:$G$22-A3476)*Calc!$I$3:$I$22)</f>
        <v/>
      </c>
      <c r="O3476">
        <f>SUMPRODUCT(Calc!$K$3:$K$22*(Calc!$G$3:$G$22&gt;B3476)*(Calc!$G$3:$G$22-B3476)*Calc!$I$3:$I$22)</f>
        <v/>
      </c>
      <c r="P3476">
        <f>I3476-G3476^2/k_n</f>
        <v/>
      </c>
      <c r="Q3476">
        <f>J3476-H3476^2/k_n</f>
        <v/>
      </c>
      <c r="R3476">
        <f>K3476-G3476*H3476/k_n</f>
        <v/>
      </c>
      <c r="S3476">
        <f>L3476-LTP3!$D$3*G3476/k_n</f>
        <v/>
      </c>
      <c r="T3476">
        <f>M3476-LTP3!$D$3*H3476/k_n</f>
        <v/>
      </c>
      <c r="U3476">
        <f>N3476-G3476*LTP3!$D$4/k_n</f>
        <v/>
      </c>
      <c r="V3476">
        <f>O3476-H3476*LTP3!$D$4/k_n</f>
        <v/>
      </c>
      <c r="W3476">
        <f>((LTP3!$D$5)*((P3476)*(Q3476)-(R3476)*(R3476))-(S3476)*((S3476)*(Q3476)-(R3476)*(T3476))+(T3476)*((S3476)*(R3476)-(P3476)*(T3476)))</f>
        <v/>
      </c>
      <c r="X3476">
        <f>IF(ABS(W3476)&gt;1E-12,((LTP3!$D$6)*((P3476)*(Q3476)-(R3476)*(R3476))-(S3476)*((U3476)*(Q3476)-(R3476)*(V3476))+(T3476)*((U3476)*(R3476)-(P3476)*(V3476)))/W3476,0)</f>
        <v/>
      </c>
      <c r="Y3476">
        <f>IF(ABS(W3476)&gt;1E-12,((LTP3!$D$5)*((U3476)*(Q3476)-(R3476)*(V3476))-(LTP3!$D$6)*((S3476)*(Q3476)-(R3476)*(T3476))+(T3476)*((S3476)*(V3476)-(U3476)*(T3476)))/W3476,0)</f>
        <v/>
      </c>
      <c r="Z3476">
        <f>IF(ABS(W3476)&gt;1E-12,((LTP3!$D$5)*((P3476)*(V3476)-(U3476)*(R3476))-(S3476)*((S3476)*(V3476)-(U3476)*(T3476))+(LTP3!$D$6)*((S3476)*(R3476)-(P3476)*(T3476)))/W3476,0)</f>
        <v/>
      </c>
      <c r="AA3476">
        <f>LTP3!$D$7-X3476*LTP3!$D$6-Y3476*U3476-Z3476*V3476</f>
        <v/>
      </c>
      <c r="AB3476">
        <f>IF(AND(F3476,ABS(W3476)&gt;1E-12,Y3476&gt;0,Z3476&gt;0),AA3476,1E+300)</f>
        <v/>
      </c>
    </row>
    <row r="3477">
      <c r="A3477">
        <f>$B$3+$B$5*56</f>
        <v/>
      </c>
      <c r="B3477">
        <f>$B$3+$B$5*49</f>
        <v/>
      </c>
      <c r="C3477">
        <f>SUMPRODUCT(Calc!$K$3:$K$22*(Calc!$G$3:$G$22&lt;=A3477))</f>
        <v/>
      </c>
      <c r="D3477">
        <f>SUMPRODUCT(Calc!$K$3:$K$22*(Calc!$G$3:$G$22&gt;A3477)*(Calc!$G$3:$G$22&lt;B3477))</f>
        <v/>
      </c>
      <c r="E3477">
        <f>SUMPRODUCT(Calc!$K$3:$K$22*(Calc!$G$3:$G$22&gt;=B3477))</f>
        <v/>
      </c>
      <c r="F3477">
        <f>AND(k_n&gt;=5,B3477&gt;A3477+1E-9,C3477&gt;=2,D3477&gt;=1,E3477&gt;=2)</f>
        <v/>
      </c>
      <c r="G3477">
        <f>SUMPRODUCT(Calc!$K$3:$K$22*(Calc!$G$3:$G$22&gt;A3477)*(Calc!$G$3:$G$22-A3477))</f>
        <v/>
      </c>
      <c r="H3477">
        <f>SUMPRODUCT(Calc!$K$3:$K$22*(Calc!$G$3:$G$22&gt;B3477)*(Calc!$G$3:$G$22-B3477))</f>
        <v/>
      </c>
      <c r="I3477">
        <f>SUMPRODUCT(Calc!$K$3:$K$22*(Calc!$G$3:$G$22&gt;A3477)*(Calc!$G$3:$G$22-A3477)^2)</f>
        <v/>
      </c>
      <c r="J3477">
        <f>SUMPRODUCT(Calc!$K$3:$K$22*(Calc!$G$3:$G$22&gt;B3477)*(Calc!$G$3:$G$22-B3477)^2)</f>
        <v/>
      </c>
      <c r="K3477">
        <f>SUMPRODUCT(Calc!$K$3:$K$22*(Calc!$G$3:$G$22&gt;A3477)*(Calc!$G$3:$G$22-A3477)*(Calc!$G$3:$G$22&gt;B3477)*(Calc!$G$3:$G$22-B3477))</f>
        <v/>
      </c>
      <c r="L3477">
        <f>SUMPRODUCT(Calc!$K$3:$K$22*(Calc!$G$3:$G$22&gt;A3477)*(Calc!$G$3:$G$22-A3477)*Calc!$G$3:$G$22)</f>
        <v/>
      </c>
      <c r="M3477">
        <f>SUMPRODUCT(Calc!$K$3:$K$22*(Calc!$G$3:$G$22&gt;B3477)*(Calc!$G$3:$G$22-B3477)*Calc!$G$3:$G$22)</f>
        <v/>
      </c>
      <c r="N3477">
        <f>SUMPRODUCT(Calc!$K$3:$K$22*(Calc!$G$3:$G$22&gt;A3477)*(Calc!$G$3:$G$22-A3477)*Calc!$I$3:$I$22)</f>
        <v/>
      </c>
      <c r="O3477">
        <f>SUMPRODUCT(Calc!$K$3:$K$22*(Calc!$G$3:$G$22&gt;B3477)*(Calc!$G$3:$G$22-B3477)*Calc!$I$3:$I$22)</f>
        <v/>
      </c>
      <c r="P3477">
        <f>I3477-G3477^2/k_n</f>
        <v/>
      </c>
      <c r="Q3477">
        <f>J3477-H3477^2/k_n</f>
        <v/>
      </c>
      <c r="R3477">
        <f>K3477-G3477*H3477/k_n</f>
        <v/>
      </c>
      <c r="S3477">
        <f>L3477-LTP3!$D$3*G3477/k_n</f>
        <v/>
      </c>
      <c r="T3477">
        <f>M3477-LTP3!$D$3*H3477/k_n</f>
        <v/>
      </c>
      <c r="U3477">
        <f>N3477-G3477*LTP3!$D$4/k_n</f>
        <v/>
      </c>
      <c r="V3477">
        <f>O3477-H3477*LTP3!$D$4/k_n</f>
        <v/>
      </c>
      <c r="W3477">
        <f>((LTP3!$D$5)*((P3477)*(Q3477)-(R3477)*(R3477))-(S3477)*((S3477)*(Q3477)-(R3477)*(T3477))+(T3477)*((S3477)*(R3477)-(P3477)*(T3477)))</f>
        <v/>
      </c>
      <c r="X3477">
        <f>IF(ABS(W3477)&gt;1E-12,((LTP3!$D$6)*((P3477)*(Q3477)-(R3477)*(R3477))-(S3477)*((U3477)*(Q3477)-(R3477)*(V3477))+(T3477)*((U3477)*(R3477)-(P3477)*(V3477)))/W3477,0)</f>
        <v/>
      </c>
      <c r="Y3477">
        <f>IF(ABS(W3477)&gt;1E-12,((LTP3!$D$5)*((U3477)*(Q3477)-(R3477)*(V3477))-(LTP3!$D$6)*((S3477)*(Q3477)-(R3477)*(T3477))+(T3477)*((S3477)*(V3477)-(U3477)*(T3477)))/W3477,0)</f>
        <v/>
      </c>
      <c r="Z3477">
        <f>IF(ABS(W3477)&gt;1E-12,((LTP3!$D$5)*((P3477)*(V3477)-(U3477)*(R3477))-(S3477)*((S3477)*(V3477)-(U3477)*(T3477))+(LTP3!$D$6)*((S3477)*(R3477)-(P3477)*(T3477)))/W3477,0)</f>
        <v/>
      </c>
      <c r="AA3477">
        <f>LTP3!$D$7-X3477*LTP3!$D$6-Y3477*U3477-Z3477*V3477</f>
        <v/>
      </c>
      <c r="AB3477">
        <f>IF(AND(F3477,ABS(W3477)&gt;1E-12,Y3477&gt;0,Z3477&gt;0),AA3477,1E+300)</f>
        <v/>
      </c>
    </row>
    <row r="3478">
      <c r="A3478">
        <f>$B$3+$B$5*56</f>
        <v/>
      </c>
      <c r="B3478">
        <f>$B$3+$B$5*50</f>
        <v/>
      </c>
      <c r="C3478">
        <f>SUMPRODUCT(Calc!$K$3:$K$22*(Calc!$G$3:$G$22&lt;=A3478))</f>
        <v/>
      </c>
      <c r="D3478">
        <f>SUMPRODUCT(Calc!$K$3:$K$22*(Calc!$G$3:$G$22&gt;A3478)*(Calc!$G$3:$G$22&lt;B3478))</f>
        <v/>
      </c>
      <c r="E3478">
        <f>SUMPRODUCT(Calc!$K$3:$K$22*(Calc!$G$3:$G$22&gt;=B3478))</f>
        <v/>
      </c>
      <c r="F3478">
        <f>AND(k_n&gt;=5,B3478&gt;A3478+1E-9,C3478&gt;=2,D3478&gt;=1,E3478&gt;=2)</f>
        <v/>
      </c>
      <c r="G3478">
        <f>SUMPRODUCT(Calc!$K$3:$K$22*(Calc!$G$3:$G$22&gt;A3478)*(Calc!$G$3:$G$22-A3478))</f>
        <v/>
      </c>
      <c r="H3478">
        <f>SUMPRODUCT(Calc!$K$3:$K$22*(Calc!$G$3:$G$22&gt;B3478)*(Calc!$G$3:$G$22-B3478))</f>
        <v/>
      </c>
      <c r="I3478">
        <f>SUMPRODUCT(Calc!$K$3:$K$22*(Calc!$G$3:$G$22&gt;A3478)*(Calc!$G$3:$G$22-A3478)^2)</f>
        <v/>
      </c>
      <c r="J3478">
        <f>SUMPRODUCT(Calc!$K$3:$K$22*(Calc!$G$3:$G$22&gt;B3478)*(Calc!$G$3:$G$22-B3478)^2)</f>
        <v/>
      </c>
      <c r="K3478">
        <f>SUMPRODUCT(Calc!$K$3:$K$22*(Calc!$G$3:$G$22&gt;A3478)*(Calc!$G$3:$G$22-A3478)*(Calc!$G$3:$G$22&gt;B3478)*(Calc!$G$3:$G$22-B3478))</f>
        <v/>
      </c>
      <c r="L3478">
        <f>SUMPRODUCT(Calc!$K$3:$K$22*(Calc!$G$3:$G$22&gt;A3478)*(Calc!$G$3:$G$22-A3478)*Calc!$G$3:$G$22)</f>
        <v/>
      </c>
      <c r="M3478">
        <f>SUMPRODUCT(Calc!$K$3:$K$22*(Calc!$G$3:$G$22&gt;B3478)*(Calc!$G$3:$G$22-B3478)*Calc!$G$3:$G$22)</f>
        <v/>
      </c>
      <c r="N3478">
        <f>SUMPRODUCT(Calc!$K$3:$K$22*(Calc!$G$3:$G$22&gt;A3478)*(Calc!$G$3:$G$22-A3478)*Calc!$I$3:$I$22)</f>
        <v/>
      </c>
      <c r="O3478">
        <f>SUMPRODUCT(Calc!$K$3:$K$22*(Calc!$G$3:$G$22&gt;B3478)*(Calc!$G$3:$G$22-B3478)*Calc!$I$3:$I$22)</f>
        <v/>
      </c>
      <c r="P3478">
        <f>I3478-G3478^2/k_n</f>
        <v/>
      </c>
      <c r="Q3478">
        <f>J3478-H3478^2/k_n</f>
        <v/>
      </c>
      <c r="R3478">
        <f>K3478-G3478*H3478/k_n</f>
        <v/>
      </c>
      <c r="S3478">
        <f>L3478-LTP3!$D$3*G3478/k_n</f>
        <v/>
      </c>
      <c r="T3478">
        <f>M3478-LTP3!$D$3*H3478/k_n</f>
        <v/>
      </c>
      <c r="U3478">
        <f>N3478-G3478*LTP3!$D$4/k_n</f>
        <v/>
      </c>
      <c r="V3478">
        <f>O3478-H3478*LTP3!$D$4/k_n</f>
        <v/>
      </c>
      <c r="W3478">
        <f>((LTP3!$D$5)*((P3478)*(Q3478)-(R3478)*(R3478))-(S3478)*((S3478)*(Q3478)-(R3478)*(T3478))+(T3478)*((S3478)*(R3478)-(P3478)*(T3478)))</f>
        <v/>
      </c>
      <c r="X3478">
        <f>IF(ABS(W3478)&gt;1E-12,((LTP3!$D$6)*((P3478)*(Q3478)-(R3478)*(R3478))-(S3478)*((U3478)*(Q3478)-(R3478)*(V3478))+(T3478)*((U3478)*(R3478)-(P3478)*(V3478)))/W3478,0)</f>
        <v/>
      </c>
      <c r="Y3478">
        <f>IF(ABS(W3478)&gt;1E-12,((LTP3!$D$5)*((U3478)*(Q3478)-(R3478)*(V3478))-(LTP3!$D$6)*((S3478)*(Q3478)-(R3478)*(T3478))+(T3478)*((S3478)*(V3478)-(U3478)*(T3478)))/W3478,0)</f>
        <v/>
      </c>
      <c r="Z3478">
        <f>IF(ABS(W3478)&gt;1E-12,((LTP3!$D$5)*((P3478)*(V3478)-(U3478)*(R3478))-(S3478)*((S3478)*(V3478)-(U3478)*(T3478))+(LTP3!$D$6)*((S3478)*(R3478)-(P3478)*(T3478)))/W3478,0)</f>
        <v/>
      </c>
      <c r="AA3478">
        <f>LTP3!$D$7-X3478*LTP3!$D$6-Y3478*U3478-Z3478*V3478</f>
        <v/>
      </c>
      <c r="AB3478">
        <f>IF(AND(F3478,ABS(W3478)&gt;1E-12,Y3478&gt;0,Z3478&gt;0),AA3478,1E+300)</f>
        <v/>
      </c>
    </row>
    <row r="3479">
      <c r="A3479">
        <f>$B$3+$B$5*56</f>
        <v/>
      </c>
      <c r="B3479">
        <f>$B$3+$B$5*51</f>
        <v/>
      </c>
      <c r="C3479">
        <f>SUMPRODUCT(Calc!$K$3:$K$22*(Calc!$G$3:$G$22&lt;=A3479))</f>
        <v/>
      </c>
      <c r="D3479">
        <f>SUMPRODUCT(Calc!$K$3:$K$22*(Calc!$G$3:$G$22&gt;A3479)*(Calc!$G$3:$G$22&lt;B3479))</f>
        <v/>
      </c>
      <c r="E3479">
        <f>SUMPRODUCT(Calc!$K$3:$K$22*(Calc!$G$3:$G$22&gt;=B3479))</f>
        <v/>
      </c>
      <c r="F3479">
        <f>AND(k_n&gt;=5,B3479&gt;A3479+1E-9,C3479&gt;=2,D3479&gt;=1,E3479&gt;=2)</f>
        <v/>
      </c>
      <c r="G3479">
        <f>SUMPRODUCT(Calc!$K$3:$K$22*(Calc!$G$3:$G$22&gt;A3479)*(Calc!$G$3:$G$22-A3479))</f>
        <v/>
      </c>
      <c r="H3479">
        <f>SUMPRODUCT(Calc!$K$3:$K$22*(Calc!$G$3:$G$22&gt;B3479)*(Calc!$G$3:$G$22-B3479))</f>
        <v/>
      </c>
      <c r="I3479">
        <f>SUMPRODUCT(Calc!$K$3:$K$22*(Calc!$G$3:$G$22&gt;A3479)*(Calc!$G$3:$G$22-A3479)^2)</f>
        <v/>
      </c>
      <c r="J3479">
        <f>SUMPRODUCT(Calc!$K$3:$K$22*(Calc!$G$3:$G$22&gt;B3479)*(Calc!$G$3:$G$22-B3479)^2)</f>
        <v/>
      </c>
      <c r="K3479">
        <f>SUMPRODUCT(Calc!$K$3:$K$22*(Calc!$G$3:$G$22&gt;A3479)*(Calc!$G$3:$G$22-A3479)*(Calc!$G$3:$G$22&gt;B3479)*(Calc!$G$3:$G$22-B3479))</f>
        <v/>
      </c>
      <c r="L3479">
        <f>SUMPRODUCT(Calc!$K$3:$K$22*(Calc!$G$3:$G$22&gt;A3479)*(Calc!$G$3:$G$22-A3479)*Calc!$G$3:$G$22)</f>
        <v/>
      </c>
      <c r="M3479">
        <f>SUMPRODUCT(Calc!$K$3:$K$22*(Calc!$G$3:$G$22&gt;B3479)*(Calc!$G$3:$G$22-B3479)*Calc!$G$3:$G$22)</f>
        <v/>
      </c>
      <c r="N3479">
        <f>SUMPRODUCT(Calc!$K$3:$K$22*(Calc!$G$3:$G$22&gt;A3479)*(Calc!$G$3:$G$22-A3479)*Calc!$I$3:$I$22)</f>
        <v/>
      </c>
      <c r="O3479">
        <f>SUMPRODUCT(Calc!$K$3:$K$22*(Calc!$G$3:$G$22&gt;B3479)*(Calc!$G$3:$G$22-B3479)*Calc!$I$3:$I$22)</f>
        <v/>
      </c>
      <c r="P3479">
        <f>I3479-G3479^2/k_n</f>
        <v/>
      </c>
      <c r="Q3479">
        <f>J3479-H3479^2/k_n</f>
        <v/>
      </c>
      <c r="R3479">
        <f>K3479-G3479*H3479/k_n</f>
        <v/>
      </c>
      <c r="S3479">
        <f>L3479-LTP3!$D$3*G3479/k_n</f>
        <v/>
      </c>
      <c r="T3479">
        <f>M3479-LTP3!$D$3*H3479/k_n</f>
        <v/>
      </c>
      <c r="U3479">
        <f>N3479-G3479*LTP3!$D$4/k_n</f>
        <v/>
      </c>
      <c r="V3479">
        <f>O3479-H3479*LTP3!$D$4/k_n</f>
        <v/>
      </c>
      <c r="W3479">
        <f>((LTP3!$D$5)*((P3479)*(Q3479)-(R3479)*(R3479))-(S3479)*((S3479)*(Q3479)-(R3479)*(T3479))+(T3479)*((S3479)*(R3479)-(P3479)*(T3479)))</f>
        <v/>
      </c>
      <c r="X3479">
        <f>IF(ABS(W3479)&gt;1E-12,((LTP3!$D$6)*((P3479)*(Q3479)-(R3479)*(R3479))-(S3479)*((U3479)*(Q3479)-(R3479)*(V3479))+(T3479)*((U3479)*(R3479)-(P3479)*(V3479)))/W3479,0)</f>
        <v/>
      </c>
      <c r="Y3479">
        <f>IF(ABS(W3479)&gt;1E-12,((LTP3!$D$5)*((U3479)*(Q3479)-(R3479)*(V3479))-(LTP3!$D$6)*((S3479)*(Q3479)-(R3479)*(T3479))+(T3479)*((S3479)*(V3479)-(U3479)*(T3479)))/W3479,0)</f>
        <v/>
      </c>
      <c r="Z3479">
        <f>IF(ABS(W3479)&gt;1E-12,((LTP3!$D$5)*((P3479)*(V3479)-(U3479)*(R3479))-(S3479)*((S3479)*(V3479)-(U3479)*(T3479))+(LTP3!$D$6)*((S3479)*(R3479)-(P3479)*(T3479)))/W3479,0)</f>
        <v/>
      </c>
      <c r="AA3479">
        <f>LTP3!$D$7-X3479*LTP3!$D$6-Y3479*U3479-Z3479*V3479</f>
        <v/>
      </c>
      <c r="AB3479">
        <f>IF(AND(F3479,ABS(W3479)&gt;1E-12,Y3479&gt;0,Z3479&gt;0),AA3479,1E+300)</f>
        <v/>
      </c>
    </row>
    <row r="3480">
      <c r="A3480">
        <f>$B$3+$B$5*56</f>
        <v/>
      </c>
      <c r="B3480">
        <f>$B$3+$B$5*52</f>
        <v/>
      </c>
      <c r="C3480">
        <f>SUMPRODUCT(Calc!$K$3:$K$22*(Calc!$G$3:$G$22&lt;=A3480))</f>
        <v/>
      </c>
      <c r="D3480">
        <f>SUMPRODUCT(Calc!$K$3:$K$22*(Calc!$G$3:$G$22&gt;A3480)*(Calc!$G$3:$G$22&lt;B3480))</f>
        <v/>
      </c>
      <c r="E3480">
        <f>SUMPRODUCT(Calc!$K$3:$K$22*(Calc!$G$3:$G$22&gt;=B3480))</f>
        <v/>
      </c>
      <c r="F3480">
        <f>AND(k_n&gt;=5,B3480&gt;A3480+1E-9,C3480&gt;=2,D3480&gt;=1,E3480&gt;=2)</f>
        <v/>
      </c>
      <c r="G3480">
        <f>SUMPRODUCT(Calc!$K$3:$K$22*(Calc!$G$3:$G$22&gt;A3480)*(Calc!$G$3:$G$22-A3480))</f>
        <v/>
      </c>
      <c r="H3480">
        <f>SUMPRODUCT(Calc!$K$3:$K$22*(Calc!$G$3:$G$22&gt;B3480)*(Calc!$G$3:$G$22-B3480))</f>
        <v/>
      </c>
      <c r="I3480">
        <f>SUMPRODUCT(Calc!$K$3:$K$22*(Calc!$G$3:$G$22&gt;A3480)*(Calc!$G$3:$G$22-A3480)^2)</f>
        <v/>
      </c>
      <c r="J3480">
        <f>SUMPRODUCT(Calc!$K$3:$K$22*(Calc!$G$3:$G$22&gt;B3480)*(Calc!$G$3:$G$22-B3480)^2)</f>
        <v/>
      </c>
      <c r="K3480">
        <f>SUMPRODUCT(Calc!$K$3:$K$22*(Calc!$G$3:$G$22&gt;A3480)*(Calc!$G$3:$G$22-A3480)*(Calc!$G$3:$G$22&gt;B3480)*(Calc!$G$3:$G$22-B3480))</f>
        <v/>
      </c>
      <c r="L3480">
        <f>SUMPRODUCT(Calc!$K$3:$K$22*(Calc!$G$3:$G$22&gt;A3480)*(Calc!$G$3:$G$22-A3480)*Calc!$G$3:$G$22)</f>
        <v/>
      </c>
      <c r="M3480">
        <f>SUMPRODUCT(Calc!$K$3:$K$22*(Calc!$G$3:$G$22&gt;B3480)*(Calc!$G$3:$G$22-B3480)*Calc!$G$3:$G$22)</f>
        <v/>
      </c>
      <c r="N3480">
        <f>SUMPRODUCT(Calc!$K$3:$K$22*(Calc!$G$3:$G$22&gt;A3480)*(Calc!$G$3:$G$22-A3480)*Calc!$I$3:$I$22)</f>
        <v/>
      </c>
      <c r="O3480">
        <f>SUMPRODUCT(Calc!$K$3:$K$22*(Calc!$G$3:$G$22&gt;B3480)*(Calc!$G$3:$G$22-B3480)*Calc!$I$3:$I$22)</f>
        <v/>
      </c>
      <c r="P3480">
        <f>I3480-G3480^2/k_n</f>
        <v/>
      </c>
      <c r="Q3480">
        <f>J3480-H3480^2/k_n</f>
        <v/>
      </c>
      <c r="R3480">
        <f>K3480-G3480*H3480/k_n</f>
        <v/>
      </c>
      <c r="S3480">
        <f>L3480-LTP3!$D$3*G3480/k_n</f>
        <v/>
      </c>
      <c r="T3480">
        <f>M3480-LTP3!$D$3*H3480/k_n</f>
        <v/>
      </c>
      <c r="U3480">
        <f>N3480-G3480*LTP3!$D$4/k_n</f>
        <v/>
      </c>
      <c r="V3480">
        <f>O3480-H3480*LTP3!$D$4/k_n</f>
        <v/>
      </c>
      <c r="W3480">
        <f>((LTP3!$D$5)*((P3480)*(Q3480)-(R3480)*(R3480))-(S3480)*((S3480)*(Q3480)-(R3480)*(T3480))+(T3480)*((S3480)*(R3480)-(P3480)*(T3480)))</f>
        <v/>
      </c>
      <c r="X3480">
        <f>IF(ABS(W3480)&gt;1E-12,((LTP3!$D$6)*((P3480)*(Q3480)-(R3480)*(R3480))-(S3480)*((U3480)*(Q3480)-(R3480)*(V3480))+(T3480)*((U3480)*(R3480)-(P3480)*(V3480)))/W3480,0)</f>
        <v/>
      </c>
      <c r="Y3480">
        <f>IF(ABS(W3480)&gt;1E-12,((LTP3!$D$5)*((U3480)*(Q3480)-(R3480)*(V3480))-(LTP3!$D$6)*((S3480)*(Q3480)-(R3480)*(T3480))+(T3480)*((S3480)*(V3480)-(U3480)*(T3480)))/W3480,0)</f>
        <v/>
      </c>
      <c r="Z3480">
        <f>IF(ABS(W3480)&gt;1E-12,((LTP3!$D$5)*((P3480)*(V3480)-(U3480)*(R3480))-(S3480)*((S3480)*(V3480)-(U3480)*(T3480))+(LTP3!$D$6)*((S3480)*(R3480)-(P3480)*(T3480)))/W3480,0)</f>
        <v/>
      </c>
      <c r="AA3480">
        <f>LTP3!$D$7-X3480*LTP3!$D$6-Y3480*U3480-Z3480*V3480</f>
        <v/>
      </c>
      <c r="AB3480">
        <f>IF(AND(F3480,ABS(W3480)&gt;1E-12,Y3480&gt;0,Z3480&gt;0),AA3480,1E+300)</f>
        <v/>
      </c>
    </row>
    <row r="3481">
      <c r="A3481">
        <f>$B$3+$B$5*56</f>
        <v/>
      </c>
      <c r="B3481">
        <f>$B$3+$B$5*53</f>
        <v/>
      </c>
      <c r="C3481">
        <f>SUMPRODUCT(Calc!$K$3:$K$22*(Calc!$G$3:$G$22&lt;=A3481))</f>
        <v/>
      </c>
      <c r="D3481">
        <f>SUMPRODUCT(Calc!$K$3:$K$22*(Calc!$G$3:$G$22&gt;A3481)*(Calc!$G$3:$G$22&lt;B3481))</f>
        <v/>
      </c>
      <c r="E3481">
        <f>SUMPRODUCT(Calc!$K$3:$K$22*(Calc!$G$3:$G$22&gt;=B3481))</f>
        <v/>
      </c>
      <c r="F3481">
        <f>AND(k_n&gt;=5,B3481&gt;A3481+1E-9,C3481&gt;=2,D3481&gt;=1,E3481&gt;=2)</f>
        <v/>
      </c>
      <c r="G3481">
        <f>SUMPRODUCT(Calc!$K$3:$K$22*(Calc!$G$3:$G$22&gt;A3481)*(Calc!$G$3:$G$22-A3481))</f>
        <v/>
      </c>
      <c r="H3481">
        <f>SUMPRODUCT(Calc!$K$3:$K$22*(Calc!$G$3:$G$22&gt;B3481)*(Calc!$G$3:$G$22-B3481))</f>
        <v/>
      </c>
      <c r="I3481">
        <f>SUMPRODUCT(Calc!$K$3:$K$22*(Calc!$G$3:$G$22&gt;A3481)*(Calc!$G$3:$G$22-A3481)^2)</f>
        <v/>
      </c>
      <c r="J3481">
        <f>SUMPRODUCT(Calc!$K$3:$K$22*(Calc!$G$3:$G$22&gt;B3481)*(Calc!$G$3:$G$22-B3481)^2)</f>
        <v/>
      </c>
      <c r="K3481">
        <f>SUMPRODUCT(Calc!$K$3:$K$22*(Calc!$G$3:$G$22&gt;A3481)*(Calc!$G$3:$G$22-A3481)*(Calc!$G$3:$G$22&gt;B3481)*(Calc!$G$3:$G$22-B3481))</f>
        <v/>
      </c>
      <c r="L3481">
        <f>SUMPRODUCT(Calc!$K$3:$K$22*(Calc!$G$3:$G$22&gt;A3481)*(Calc!$G$3:$G$22-A3481)*Calc!$G$3:$G$22)</f>
        <v/>
      </c>
      <c r="M3481">
        <f>SUMPRODUCT(Calc!$K$3:$K$22*(Calc!$G$3:$G$22&gt;B3481)*(Calc!$G$3:$G$22-B3481)*Calc!$G$3:$G$22)</f>
        <v/>
      </c>
      <c r="N3481">
        <f>SUMPRODUCT(Calc!$K$3:$K$22*(Calc!$G$3:$G$22&gt;A3481)*(Calc!$G$3:$G$22-A3481)*Calc!$I$3:$I$22)</f>
        <v/>
      </c>
      <c r="O3481">
        <f>SUMPRODUCT(Calc!$K$3:$K$22*(Calc!$G$3:$G$22&gt;B3481)*(Calc!$G$3:$G$22-B3481)*Calc!$I$3:$I$22)</f>
        <v/>
      </c>
      <c r="P3481">
        <f>I3481-G3481^2/k_n</f>
        <v/>
      </c>
      <c r="Q3481">
        <f>J3481-H3481^2/k_n</f>
        <v/>
      </c>
      <c r="R3481">
        <f>K3481-G3481*H3481/k_n</f>
        <v/>
      </c>
      <c r="S3481">
        <f>L3481-LTP3!$D$3*G3481/k_n</f>
        <v/>
      </c>
      <c r="T3481">
        <f>M3481-LTP3!$D$3*H3481/k_n</f>
        <v/>
      </c>
      <c r="U3481">
        <f>N3481-G3481*LTP3!$D$4/k_n</f>
        <v/>
      </c>
      <c r="V3481">
        <f>O3481-H3481*LTP3!$D$4/k_n</f>
        <v/>
      </c>
      <c r="W3481">
        <f>((LTP3!$D$5)*((P3481)*(Q3481)-(R3481)*(R3481))-(S3481)*((S3481)*(Q3481)-(R3481)*(T3481))+(T3481)*((S3481)*(R3481)-(P3481)*(T3481)))</f>
        <v/>
      </c>
      <c r="X3481">
        <f>IF(ABS(W3481)&gt;1E-12,((LTP3!$D$6)*((P3481)*(Q3481)-(R3481)*(R3481))-(S3481)*((U3481)*(Q3481)-(R3481)*(V3481))+(T3481)*((U3481)*(R3481)-(P3481)*(V3481)))/W3481,0)</f>
        <v/>
      </c>
      <c r="Y3481">
        <f>IF(ABS(W3481)&gt;1E-12,((LTP3!$D$5)*((U3481)*(Q3481)-(R3481)*(V3481))-(LTP3!$D$6)*((S3481)*(Q3481)-(R3481)*(T3481))+(T3481)*((S3481)*(V3481)-(U3481)*(T3481)))/W3481,0)</f>
        <v/>
      </c>
      <c r="Z3481">
        <f>IF(ABS(W3481)&gt;1E-12,((LTP3!$D$5)*((P3481)*(V3481)-(U3481)*(R3481))-(S3481)*((S3481)*(V3481)-(U3481)*(T3481))+(LTP3!$D$6)*((S3481)*(R3481)-(P3481)*(T3481)))/W3481,0)</f>
        <v/>
      </c>
      <c r="AA3481">
        <f>LTP3!$D$7-X3481*LTP3!$D$6-Y3481*U3481-Z3481*V3481</f>
        <v/>
      </c>
      <c r="AB3481">
        <f>IF(AND(F3481,ABS(W3481)&gt;1E-12,Y3481&gt;0,Z3481&gt;0),AA3481,1E+300)</f>
        <v/>
      </c>
    </row>
    <row r="3482">
      <c r="A3482">
        <f>$B$3+$B$5*56</f>
        <v/>
      </c>
      <c r="B3482">
        <f>$B$3+$B$5*54</f>
        <v/>
      </c>
      <c r="C3482">
        <f>SUMPRODUCT(Calc!$K$3:$K$22*(Calc!$G$3:$G$22&lt;=A3482))</f>
        <v/>
      </c>
      <c r="D3482">
        <f>SUMPRODUCT(Calc!$K$3:$K$22*(Calc!$G$3:$G$22&gt;A3482)*(Calc!$G$3:$G$22&lt;B3482))</f>
        <v/>
      </c>
      <c r="E3482">
        <f>SUMPRODUCT(Calc!$K$3:$K$22*(Calc!$G$3:$G$22&gt;=B3482))</f>
        <v/>
      </c>
      <c r="F3482">
        <f>AND(k_n&gt;=5,B3482&gt;A3482+1E-9,C3482&gt;=2,D3482&gt;=1,E3482&gt;=2)</f>
        <v/>
      </c>
      <c r="G3482">
        <f>SUMPRODUCT(Calc!$K$3:$K$22*(Calc!$G$3:$G$22&gt;A3482)*(Calc!$G$3:$G$22-A3482))</f>
        <v/>
      </c>
      <c r="H3482">
        <f>SUMPRODUCT(Calc!$K$3:$K$22*(Calc!$G$3:$G$22&gt;B3482)*(Calc!$G$3:$G$22-B3482))</f>
        <v/>
      </c>
      <c r="I3482">
        <f>SUMPRODUCT(Calc!$K$3:$K$22*(Calc!$G$3:$G$22&gt;A3482)*(Calc!$G$3:$G$22-A3482)^2)</f>
        <v/>
      </c>
      <c r="J3482">
        <f>SUMPRODUCT(Calc!$K$3:$K$22*(Calc!$G$3:$G$22&gt;B3482)*(Calc!$G$3:$G$22-B3482)^2)</f>
        <v/>
      </c>
      <c r="K3482">
        <f>SUMPRODUCT(Calc!$K$3:$K$22*(Calc!$G$3:$G$22&gt;A3482)*(Calc!$G$3:$G$22-A3482)*(Calc!$G$3:$G$22&gt;B3482)*(Calc!$G$3:$G$22-B3482))</f>
        <v/>
      </c>
      <c r="L3482">
        <f>SUMPRODUCT(Calc!$K$3:$K$22*(Calc!$G$3:$G$22&gt;A3482)*(Calc!$G$3:$G$22-A3482)*Calc!$G$3:$G$22)</f>
        <v/>
      </c>
      <c r="M3482">
        <f>SUMPRODUCT(Calc!$K$3:$K$22*(Calc!$G$3:$G$22&gt;B3482)*(Calc!$G$3:$G$22-B3482)*Calc!$G$3:$G$22)</f>
        <v/>
      </c>
      <c r="N3482">
        <f>SUMPRODUCT(Calc!$K$3:$K$22*(Calc!$G$3:$G$22&gt;A3482)*(Calc!$G$3:$G$22-A3482)*Calc!$I$3:$I$22)</f>
        <v/>
      </c>
      <c r="O3482">
        <f>SUMPRODUCT(Calc!$K$3:$K$22*(Calc!$G$3:$G$22&gt;B3482)*(Calc!$G$3:$G$22-B3482)*Calc!$I$3:$I$22)</f>
        <v/>
      </c>
      <c r="P3482">
        <f>I3482-G3482^2/k_n</f>
        <v/>
      </c>
      <c r="Q3482">
        <f>J3482-H3482^2/k_n</f>
        <v/>
      </c>
      <c r="R3482">
        <f>K3482-G3482*H3482/k_n</f>
        <v/>
      </c>
      <c r="S3482">
        <f>L3482-LTP3!$D$3*G3482/k_n</f>
        <v/>
      </c>
      <c r="T3482">
        <f>M3482-LTP3!$D$3*H3482/k_n</f>
        <v/>
      </c>
      <c r="U3482">
        <f>N3482-G3482*LTP3!$D$4/k_n</f>
        <v/>
      </c>
      <c r="V3482">
        <f>O3482-H3482*LTP3!$D$4/k_n</f>
        <v/>
      </c>
      <c r="W3482">
        <f>((LTP3!$D$5)*((P3482)*(Q3482)-(R3482)*(R3482))-(S3482)*((S3482)*(Q3482)-(R3482)*(T3482))+(T3482)*((S3482)*(R3482)-(P3482)*(T3482)))</f>
        <v/>
      </c>
      <c r="X3482">
        <f>IF(ABS(W3482)&gt;1E-12,((LTP3!$D$6)*((P3482)*(Q3482)-(R3482)*(R3482))-(S3482)*((U3482)*(Q3482)-(R3482)*(V3482))+(T3482)*((U3482)*(R3482)-(P3482)*(V3482)))/W3482,0)</f>
        <v/>
      </c>
      <c r="Y3482">
        <f>IF(ABS(W3482)&gt;1E-12,((LTP3!$D$5)*((U3482)*(Q3482)-(R3482)*(V3482))-(LTP3!$D$6)*((S3482)*(Q3482)-(R3482)*(T3482))+(T3482)*((S3482)*(V3482)-(U3482)*(T3482)))/W3482,0)</f>
        <v/>
      </c>
      <c r="Z3482">
        <f>IF(ABS(W3482)&gt;1E-12,((LTP3!$D$5)*((P3482)*(V3482)-(U3482)*(R3482))-(S3482)*((S3482)*(V3482)-(U3482)*(T3482))+(LTP3!$D$6)*((S3482)*(R3482)-(P3482)*(T3482)))/W3482,0)</f>
        <v/>
      </c>
      <c r="AA3482">
        <f>LTP3!$D$7-X3482*LTP3!$D$6-Y3482*U3482-Z3482*V3482</f>
        <v/>
      </c>
      <c r="AB3482">
        <f>IF(AND(F3482,ABS(W3482)&gt;1E-12,Y3482&gt;0,Z3482&gt;0),AA3482,1E+300)</f>
        <v/>
      </c>
    </row>
    <row r="3483">
      <c r="A3483">
        <f>$B$3+$B$5*56</f>
        <v/>
      </c>
      <c r="B3483">
        <f>$B$3+$B$5*55</f>
        <v/>
      </c>
      <c r="C3483">
        <f>SUMPRODUCT(Calc!$K$3:$K$22*(Calc!$G$3:$G$22&lt;=A3483))</f>
        <v/>
      </c>
      <c r="D3483">
        <f>SUMPRODUCT(Calc!$K$3:$K$22*(Calc!$G$3:$G$22&gt;A3483)*(Calc!$G$3:$G$22&lt;B3483))</f>
        <v/>
      </c>
      <c r="E3483">
        <f>SUMPRODUCT(Calc!$K$3:$K$22*(Calc!$G$3:$G$22&gt;=B3483))</f>
        <v/>
      </c>
      <c r="F3483">
        <f>AND(k_n&gt;=5,B3483&gt;A3483+1E-9,C3483&gt;=2,D3483&gt;=1,E3483&gt;=2)</f>
        <v/>
      </c>
      <c r="G3483">
        <f>SUMPRODUCT(Calc!$K$3:$K$22*(Calc!$G$3:$G$22&gt;A3483)*(Calc!$G$3:$G$22-A3483))</f>
        <v/>
      </c>
      <c r="H3483">
        <f>SUMPRODUCT(Calc!$K$3:$K$22*(Calc!$G$3:$G$22&gt;B3483)*(Calc!$G$3:$G$22-B3483))</f>
        <v/>
      </c>
      <c r="I3483">
        <f>SUMPRODUCT(Calc!$K$3:$K$22*(Calc!$G$3:$G$22&gt;A3483)*(Calc!$G$3:$G$22-A3483)^2)</f>
        <v/>
      </c>
      <c r="J3483">
        <f>SUMPRODUCT(Calc!$K$3:$K$22*(Calc!$G$3:$G$22&gt;B3483)*(Calc!$G$3:$G$22-B3483)^2)</f>
        <v/>
      </c>
      <c r="K3483">
        <f>SUMPRODUCT(Calc!$K$3:$K$22*(Calc!$G$3:$G$22&gt;A3483)*(Calc!$G$3:$G$22-A3483)*(Calc!$G$3:$G$22&gt;B3483)*(Calc!$G$3:$G$22-B3483))</f>
        <v/>
      </c>
      <c r="L3483">
        <f>SUMPRODUCT(Calc!$K$3:$K$22*(Calc!$G$3:$G$22&gt;A3483)*(Calc!$G$3:$G$22-A3483)*Calc!$G$3:$G$22)</f>
        <v/>
      </c>
      <c r="M3483">
        <f>SUMPRODUCT(Calc!$K$3:$K$22*(Calc!$G$3:$G$22&gt;B3483)*(Calc!$G$3:$G$22-B3483)*Calc!$G$3:$G$22)</f>
        <v/>
      </c>
      <c r="N3483">
        <f>SUMPRODUCT(Calc!$K$3:$K$22*(Calc!$G$3:$G$22&gt;A3483)*(Calc!$G$3:$G$22-A3483)*Calc!$I$3:$I$22)</f>
        <v/>
      </c>
      <c r="O3483">
        <f>SUMPRODUCT(Calc!$K$3:$K$22*(Calc!$G$3:$G$22&gt;B3483)*(Calc!$G$3:$G$22-B3483)*Calc!$I$3:$I$22)</f>
        <v/>
      </c>
      <c r="P3483">
        <f>I3483-G3483^2/k_n</f>
        <v/>
      </c>
      <c r="Q3483">
        <f>J3483-H3483^2/k_n</f>
        <v/>
      </c>
      <c r="R3483">
        <f>K3483-G3483*H3483/k_n</f>
        <v/>
      </c>
      <c r="S3483">
        <f>L3483-LTP3!$D$3*G3483/k_n</f>
        <v/>
      </c>
      <c r="T3483">
        <f>M3483-LTP3!$D$3*H3483/k_n</f>
        <v/>
      </c>
      <c r="U3483">
        <f>N3483-G3483*LTP3!$D$4/k_n</f>
        <v/>
      </c>
      <c r="V3483">
        <f>O3483-H3483*LTP3!$D$4/k_n</f>
        <v/>
      </c>
      <c r="W3483">
        <f>((LTP3!$D$5)*((P3483)*(Q3483)-(R3483)*(R3483))-(S3483)*((S3483)*(Q3483)-(R3483)*(T3483))+(T3483)*((S3483)*(R3483)-(P3483)*(T3483)))</f>
        <v/>
      </c>
      <c r="X3483">
        <f>IF(ABS(W3483)&gt;1E-12,((LTP3!$D$6)*((P3483)*(Q3483)-(R3483)*(R3483))-(S3483)*((U3483)*(Q3483)-(R3483)*(V3483))+(T3483)*((U3483)*(R3483)-(P3483)*(V3483)))/W3483,0)</f>
        <v/>
      </c>
      <c r="Y3483">
        <f>IF(ABS(W3483)&gt;1E-12,((LTP3!$D$5)*((U3483)*(Q3483)-(R3483)*(V3483))-(LTP3!$D$6)*((S3483)*(Q3483)-(R3483)*(T3483))+(T3483)*((S3483)*(V3483)-(U3483)*(T3483)))/W3483,0)</f>
        <v/>
      </c>
      <c r="Z3483">
        <f>IF(ABS(W3483)&gt;1E-12,((LTP3!$D$5)*((P3483)*(V3483)-(U3483)*(R3483))-(S3483)*((S3483)*(V3483)-(U3483)*(T3483))+(LTP3!$D$6)*((S3483)*(R3483)-(P3483)*(T3483)))/W3483,0)</f>
        <v/>
      </c>
      <c r="AA3483">
        <f>LTP3!$D$7-X3483*LTP3!$D$6-Y3483*U3483-Z3483*V3483</f>
        <v/>
      </c>
      <c r="AB3483">
        <f>IF(AND(F3483,ABS(W3483)&gt;1E-12,Y3483&gt;0,Z3483&gt;0),AA3483,1E+300)</f>
        <v/>
      </c>
    </row>
    <row r="3484">
      <c r="A3484">
        <f>$B$3+$B$5*56</f>
        <v/>
      </c>
      <c r="B3484">
        <f>$B$3+$B$5*56</f>
        <v/>
      </c>
      <c r="C3484">
        <f>SUMPRODUCT(Calc!$K$3:$K$22*(Calc!$G$3:$G$22&lt;=A3484))</f>
        <v/>
      </c>
      <c r="D3484">
        <f>SUMPRODUCT(Calc!$K$3:$K$22*(Calc!$G$3:$G$22&gt;A3484)*(Calc!$G$3:$G$22&lt;B3484))</f>
        <v/>
      </c>
      <c r="E3484">
        <f>SUMPRODUCT(Calc!$K$3:$K$22*(Calc!$G$3:$G$22&gt;=B3484))</f>
        <v/>
      </c>
      <c r="F3484">
        <f>AND(k_n&gt;=5,B3484&gt;A3484+1E-9,C3484&gt;=2,D3484&gt;=1,E3484&gt;=2)</f>
        <v/>
      </c>
      <c r="G3484">
        <f>SUMPRODUCT(Calc!$K$3:$K$22*(Calc!$G$3:$G$22&gt;A3484)*(Calc!$G$3:$G$22-A3484))</f>
        <v/>
      </c>
      <c r="H3484">
        <f>SUMPRODUCT(Calc!$K$3:$K$22*(Calc!$G$3:$G$22&gt;B3484)*(Calc!$G$3:$G$22-B3484))</f>
        <v/>
      </c>
      <c r="I3484">
        <f>SUMPRODUCT(Calc!$K$3:$K$22*(Calc!$G$3:$G$22&gt;A3484)*(Calc!$G$3:$G$22-A3484)^2)</f>
        <v/>
      </c>
      <c r="J3484">
        <f>SUMPRODUCT(Calc!$K$3:$K$22*(Calc!$G$3:$G$22&gt;B3484)*(Calc!$G$3:$G$22-B3484)^2)</f>
        <v/>
      </c>
      <c r="K3484">
        <f>SUMPRODUCT(Calc!$K$3:$K$22*(Calc!$G$3:$G$22&gt;A3484)*(Calc!$G$3:$G$22-A3484)*(Calc!$G$3:$G$22&gt;B3484)*(Calc!$G$3:$G$22-B3484))</f>
        <v/>
      </c>
      <c r="L3484">
        <f>SUMPRODUCT(Calc!$K$3:$K$22*(Calc!$G$3:$G$22&gt;A3484)*(Calc!$G$3:$G$22-A3484)*Calc!$G$3:$G$22)</f>
        <v/>
      </c>
      <c r="M3484">
        <f>SUMPRODUCT(Calc!$K$3:$K$22*(Calc!$G$3:$G$22&gt;B3484)*(Calc!$G$3:$G$22-B3484)*Calc!$G$3:$G$22)</f>
        <v/>
      </c>
      <c r="N3484">
        <f>SUMPRODUCT(Calc!$K$3:$K$22*(Calc!$G$3:$G$22&gt;A3484)*(Calc!$G$3:$G$22-A3484)*Calc!$I$3:$I$22)</f>
        <v/>
      </c>
      <c r="O3484">
        <f>SUMPRODUCT(Calc!$K$3:$K$22*(Calc!$G$3:$G$22&gt;B3484)*(Calc!$G$3:$G$22-B3484)*Calc!$I$3:$I$22)</f>
        <v/>
      </c>
      <c r="P3484">
        <f>I3484-G3484^2/k_n</f>
        <v/>
      </c>
      <c r="Q3484">
        <f>J3484-H3484^2/k_n</f>
        <v/>
      </c>
      <c r="R3484">
        <f>K3484-G3484*H3484/k_n</f>
        <v/>
      </c>
      <c r="S3484">
        <f>L3484-LTP3!$D$3*G3484/k_n</f>
        <v/>
      </c>
      <c r="T3484">
        <f>M3484-LTP3!$D$3*H3484/k_n</f>
        <v/>
      </c>
      <c r="U3484">
        <f>N3484-G3484*LTP3!$D$4/k_n</f>
        <v/>
      </c>
      <c r="V3484">
        <f>O3484-H3484*LTP3!$D$4/k_n</f>
        <v/>
      </c>
      <c r="W3484">
        <f>((LTP3!$D$5)*((P3484)*(Q3484)-(R3484)*(R3484))-(S3484)*((S3484)*(Q3484)-(R3484)*(T3484))+(T3484)*((S3484)*(R3484)-(P3484)*(T3484)))</f>
        <v/>
      </c>
      <c r="X3484">
        <f>IF(ABS(W3484)&gt;1E-12,((LTP3!$D$6)*((P3484)*(Q3484)-(R3484)*(R3484))-(S3484)*((U3484)*(Q3484)-(R3484)*(V3484))+(T3484)*((U3484)*(R3484)-(P3484)*(V3484)))/W3484,0)</f>
        <v/>
      </c>
      <c r="Y3484">
        <f>IF(ABS(W3484)&gt;1E-12,((LTP3!$D$5)*((U3484)*(Q3484)-(R3484)*(V3484))-(LTP3!$D$6)*((S3484)*(Q3484)-(R3484)*(T3484))+(T3484)*((S3484)*(V3484)-(U3484)*(T3484)))/W3484,0)</f>
        <v/>
      </c>
      <c r="Z3484">
        <f>IF(ABS(W3484)&gt;1E-12,((LTP3!$D$5)*((P3484)*(V3484)-(U3484)*(R3484))-(S3484)*((S3484)*(V3484)-(U3484)*(T3484))+(LTP3!$D$6)*((S3484)*(R3484)-(P3484)*(T3484)))/W3484,0)</f>
        <v/>
      </c>
      <c r="AA3484">
        <f>LTP3!$D$7-X3484*LTP3!$D$6-Y3484*U3484-Z3484*V3484</f>
        <v/>
      </c>
      <c r="AB3484">
        <f>IF(AND(F3484,ABS(W3484)&gt;1E-12,Y3484&gt;0,Z3484&gt;0),AA3484,1E+300)</f>
        <v/>
      </c>
    </row>
    <row r="3485">
      <c r="A3485">
        <f>$B$3+$B$5*56</f>
        <v/>
      </c>
      <c r="B3485">
        <f>$B$3+$B$5*57</f>
        <v/>
      </c>
      <c r="C3485">
        <f>SUMPRODUCT(Calc!$K$3:$K$22*(Calc!$G$3:$G$22&lt;=A3485))</f>
        <v/>
      </c>
      <c r="D3485">
        <f>SUMPRODUCT(Calc!$K$3:$K$22*(Calc!$G$3:$G$22&gt;A3485)*(Calc!$G$3:$G$22&lt;B3485))</f>
        <v/>
      </c>
      <c r="E3485">
        <f>SUMPRODUCT(Calc!$K$3:$K$22*(Calc!$G$3:$G$22&gt;=B3485))</f>
        <v/>
      </c>
      <c r="F3485">
        <f>AND(k_n&gt;=5,B3485&gt;A3485+1E-9,C3485&gt;=2,D3485&gt;=1,E3485&gt;=2)</f>
        <v/>
      </c>
      <c r="G3485">
        <f>SUMPRODUCT(Calc!$K$3:$K$22*(Calc!$G$3:$G$22&gt;A3485)*(Calc!$G$3:$G$22-A3485))</f>
        <v/>
      </c>
      <c r="H3485">
        <f>SUMPRODUCT(Calc!$K$3:$K$22*(Calc!$G$3:$G$22&gt;B3485)*(Calc!$G$3:$G$22-B3485))</f>
        <v/>
      </c>
      <c r="I3485">
        <f>SUMPRODUCT(Calc!$K$3:$K$22*(Calc!$G$3:$G$22&gt;A3485)*(Calc!$G$3:$G$22-A3485)^2)</f>
        <v/>
      </c>
      <c r="J3485">
        <f>SUMPRODUCT(Calc!$K$3:$K$22*(Calc!$G$3:$G$22&gt;B3485)*(Calc!$G$3:$G$22-B3485)^2)</f>
        <v/>
      </c>
      <c r="K3485">
        <f>SUMPRODUCT(Calc!$K$3:$K$22*(Calc!$G$3:$G$22&gt;A3485)*(Calc!$G$3:$G$22-A3485)*(Calc!$G$3:$G$22&gt;B3485)*(Calc!$G$3:$G$22-B3485))</f>
        <v/>
      </c>
      <c r="L3485">
        <f>SUMPRODUCT(Calc!$K$3:$K$22*(Calc!$G$3:$G$22&gt;A3485)*(Calc!$G$3:$G$22-A3485)*Calc!$G$3:$G$22)</f>
        <v/>
      </c>
      <c r="M3485">
        <f>SUMPRODUCT(Calc!$K$3:$K$22*(Calc!$G$3:$G$22&gt;B3485)*(Calc!$G$3:$G$22-B3485)*Calc!$G$3:$G$22)</f>
        <v/>
      </c>
      <c r="N3485">
        <f>SUMPRODUCT(Calc!$K$3:$K$22*(Calc!$G$3:$G$22&gt;A3485)*(Calc!$G$3:$G$22-A3485)*Calc!$I$3:$I$22)</f>
        <v/>
      </c>
      <c r="O3485">
        <f>SUMPRODUCT(Calc!$K$3:$K$22*(Calc!$G$3:$G$22&gt;B3485)*(Calc!$G$3:$G$22-B3485)*Calc!$I$3:$I$22)</f>
        <v/>
      </c>
      <c r="P3485">
        <f>I3485-G3485^2/k_n</f>
        <v/>
      </c>
      <c r="Q3485">
        <f>J3485-H3485^2/k_n</f>
        <v/>
      </c>
      <c r="R3485">
        <f>K3485-G3485*H3485/k_n</f>
        <v/>
      </c>
      <c r="S3485">
        <f>L3485-LTP3!$D$3*G3485/k_n</f>
        <v/>
      </c>
      <c r="T3485">
        <f>M3485-LTP3!$D$3*H3485/k_n</f>
        <v/>
      </c>
      <c r="U3485">
        <f>N3485-G3485*LTP3!$D$4/k_n</f>
        <v/>
      </c>
      <c r="V3485">
        <f>O3485-H3485*LTP3!$D$4/k_n</f>
        <v/>
      </c>
      <c r="W3485">
        <f>((LTP3!$D$5)*((P3485)*(Q3485)-(R3485)*(R3485))-(S3485)*((S3485)*(Q3485)-(R3485)*(T3485))+(T3485)*((S3485)*(R3485)-(P3485)*(T3485)))</f>
        <v/>
      </c>
      <c r="X3485">
        <f>IF(ABS(W3485)&gt;1E-12,((LTP3!$D$6)*((P3485)*(Q3485)-(R3485)*(R3485))-(S3485)*((U3485)*(Q3485)-(R3485)*(V3485))+(T3485)*((U3485)*(R3485)-(P3485)*(V3485)))/W3485,0)</f>
        <v/>
      </c>
      <c r="Y3485">
        <f>IF(ABS(W3485)&gt;1E-12,((LTP3!$D$5)*((U3485)*(Q3485)-(R3485)*(V3485))-(LTP3!$D$6)*((S3485)*(Q3485)-(R3485)*(T3485))+(T3485)*((S3485)*(V3485)-(U3485)*(T3485)))/W3485,0)</f>
        <v/>
      </c>
      <c r="Z3485">
        <f>IF(ABS(W3485)&gt;1E-12,((LTP3!$D$5)*((P3485)*(V3485)-(U3485)*(R3485))-(S3485)*((S3485)*(V3485)-(U3485)*(T3485))+(LTP3!$D$6)*((S3485)*(R3485)-(P3485)*(T3485)))/W3485,0)</f>
        <v/>
      </c>
      <c r="AA3485">
        <f>LTP3!$D$7-X3485*LTP3!$D$6-Y3485*U3485-Z3485*V3485</f>
        <v/>
      </c>
      <c r="AB3485">
        <f>IF(AND(F3485,ABS(W3485)&gt;1E-12,Y3485&gt;0,Z3485&gt;0),AA3485,1E+300)</f>
        <v/>
      </c>
    </row>
    <row r="3486">
      <c r="A3486">
        <f>$B$3+$B$5*56</f>
        <v/>
      </c>
      <c r="B3486">
        <f>$B$3+$B$5*58</f>
        <v/>
      </c>
      <c r="C3486">
        <f>SUMPRODUCT(Calc!$K$3:$K$22*(Calc!$G$3:$G$22&lt;=A3486))</f>
        <v/>
      </c>
      <c r="D3486">
        <f>SUMPRODUCT(Calc!$K$3:$K$22*(Calc!$G$3:$G$22&gt;A3486)*(Calc!$G$3:$G$22&lt;B3486))</f>
        <v/>
      </c>
      <c r="E3486">
        <f>SUMPRODUCT(Calc!$K$3:$K$22*(Calc!$G$3:$G$22&gt;=B3486))</f>
        <v/>
      </c>
      <c r="F3486">
        <f>AND(k_n&gt;=5,B3486&gt;A3486+1E-9,C3486&gt;=2,D3486&gt;=1,E3486&gt;=2)</f>
        <v/>
      </c>
      <c r="G3486">
        <f>SUMPRODUCT(Calc!$K$3:$K$22*(Calc!$G$3:$G$22&gt;A3486)*(Calc!$G$3:$G$22-A3486))</f>
        <v/>
      </c>
      <c r="H3486">
        <f>SUMPRODUCT(Calc!$K$3:$K$22*(Calc!$G$3:$G$22&gt;B3486)*(Calc!$G$3:$G$22-B3486))</f>
        <v/>
      </c>
      <c r="I3486">
        <f>SUMPRODUCT(Calc!$K$3:$K$22*(Calc!$G$3:$G$22&gt;A3486)*(Calc!$G$3:$G$22-A3486)^2)</f>
        <v/>
      </c>
      <c r="J3486">
        <f>SUMPRODUCT(Calc!$K$3:$K$22*(Calc!$G$3:$G$22&gt;B3486)*(Calc!$G$3:$G$22-B3486)^2)</f>
        <v/>
      </c>
      <c r="K3486">
        <f>SUMPRODUCT(Calc!$K$3:$K$22*(Calc!$G$3:$G$22&gt;A3486)*(Calc!$G$3:$G$22-A3486)*(Calc!$G$3:$G$22&gt;B3486)*(Calc!$G$3:$G$22-B3486))</f>
        <v/>
      </c>
      <c r="L3486">
        <f>SUMPRODUCT(Calc!$K$3:$K$22*(Calc!$G$3:$G$22&gt;A3486)*(Calc!$G$3:$G$22-A3486)*Calc!$G$3:$G$22)</f>
        <v/>
      </c>
      <c r="M3486">
        <f>SUMPRODUCT(Calc!$K$3:$K$22*(Calc!$G$3:$G$22&gt;B3486)*(Calc!$G$3:$G$22-B3486)*Calc!$G$3:$G$22)</f>
        <v/>
      </c>
      <c r="N3486">
        <f>SUMPRODUCT(Calc!$K$3:$K$22*(Calc!$G$3:$G$22&gt;A3486)*(Calc!$G$3:$G$22-A3486)*Calc!$I$3:$I$22)</f>
        <v/>
      </c>
      <c r="O3486">
        <f>SUMPRODUCT(Calc!$K$3:$K$22*(Calc!$G$3:$G$22&gt;B3486)*(Calc!$G$3:$G$22-B3486)*Calc!$I$3:$I$22)</f>
        <v/>
      </c>
      <c r="P3486">
        <f>I3486-G3486^2/k_n</f>
        <v/>
      </c>
      <c r="Q3486">
        <f>J3486-H3486^2/k_n</f>
        <v/>
      </c>
      <c r="R3486">
        <f>K3486-G3486*H3486/k_n</f>
        <v/>
      </c>
      <c r="S3486">
        <f>L3486-LTP3!$D$3*G3486/k_n</f>
        <v/>
      </c>
      <c r="T3486">
        <f>M3486-LTP3!$D$3*H3486/k_n</f>
        <v/>
      </c>
      <c r="U3486">
        <f>N3486-G3486*LTP3!$D$4/k_n</f>
        <v/>
      </c>
      <c r="V3486">
        <f>O3486-H3486*LTP3!$D$4/k_n</f>
        <v/>
      </c>
      <c r="W3486">
        <f>((LTP3!$D$5)*((P3486)*(Q3486)-(R3486)*(R3486))-(S3486)*((S3486)*(Q3486)-(R3486)*(T3486))+(T3486)*((S3486)*(R3486)-(P3486)*(T3486)))</f>
        <v/>
      </c>
      <c r="X3486">
        <f>IF(ABS(W3486)&gt;1E-12,((LTP3!$D$6)*((P3486)*(Q3486)-(R3486)*(R3486))-(S3486)*((U3486)*(Q3486)-(R3486)*(V3486))+(T3486)*((U3486)*(R3486)-(P3486)*(V3486)))/W3486,0)</f>
        <v/>
      </c>
      <c r="Y3486">
        <f>IF(ABS(W3486)&gt;1E-12,((LTP3!$D$5)*((U3486)*(Q3486)-(R3486)*(V3486))-(LTP3!$D$6)*((S3486)*(Q3486)-(R3486)*(T3486))+(T3486)*((S3486)*(V3486)-(U3486)*(T3486)))/W3486,0)</f>
        <v/>
      </c>
      <c r="Z3486">
        <f>IF(ABS(W3486)&gt;1E-12,((LTP3!$D$5)*((P3486)*(V3486)-(U3486)*(R3486))-(S3486)*((S3486)*(V3486)-(U3486)*(T3486))+(LTP3!$D$6)*((S3486)*(R3486)-(P3486)*(T3486)))/W3486,0)</f>
        <v/>
      </c>
      <c r="AA3486">
        <f>LTP3!$D$7-X3486*LTP3!$D$6-Y3486*U3486-Z3486*V3486</f>
        <v/>
      </c>
      <c r="AB3486">
        <f>IF(AND(F3486,ABS(W3486)&gt;1E-12,Y3486&gt;0,Z3486&gt;0),AA3486,1E+300)</f>
        <v/>
      </c>
    </row>
    <row r="3487">
      <c r="A3487">
        <f>$B$3+$B$5*56</f>
        <v/>
      </c>
      <c r="B3487">
        <f>$B$3+$B$5*59</f>
        <v/>
      </c>
      <c r="C3487">
        <f>SUMPRODUCT(Calc!$K$3:$K$22*(Calc!$G$3:$G$22&lt;=A3487))</f>
        <v/>
      </c>
      <c r="D3487">
        <f>SUMPRODUCT(Calc!$K$3:$K$22*(Calc!$G$3:$G$22&gt;A3487)*(Calc!$G$3:$G$22&lt;B3487))</f>
        <v/>
      </c>
      <c r="E3487">
        <f>SUMPRODUCT(Calc!$K$3:$K$22*(Calc!$G$3:$G$22&gt;=B3487))</f>
        <v/>
      </c>
      <c r="F3487">
        <f>AND(k_n&gt;=5,B3487&gt;A3487+1E-9,C3487&gt;=2,D3487&gt;=1,E3487&gt;=2)</f>
        <v/>
      </c>
      <c r="G3487">
        <f>SUMPRODUCT(Calc!$K$3:$K$22*(Calc!$G$3:$G$22&gt;A3487)*(Calc!$G$3:$G$22-A3487))</f>
        <v/>
      </c>
      <c r="H3487">
        <f>SUMPRODUCT(Calc!$K$3:$K$22*(Calc!$G$3:$G$22&gt;B3487)*(Calc!$G$3:$G$22-B3487))</f>
        <v/>
      </c>
      <c r="I3487">
        <f>SUMPRODUCT(Calc!$K$3:$K$22*(Calc!$G$3:$G$22&gt;A3487)*(Calc!$G$3:$G$22-A3487)^2)</f>
        <v/>
      </c>
      <c r="J3487">
        <f>SUMPRODUCT(Calc!$K$3:$K$22*(Calc!$G$3:$G$22&gt;B3487)*(Calc!$G$3:$G$22-B3487)^2)</f>
        <v/>
      </c>
      <c r="K3487">
        <f>SUMPRODUCT(Calc!$K$3:$K$22*(Calc!$G$3:$G$22&gt;A3487)*(Calc!$G$3:$G$22-A3487)*(Calc!$G$3:$G$22&gt;B3487)*(Calc!$G$3:$G$22-B3487))</f>
        <v/>
      </c>
      <c r="L3487">
        <f>SUMPRODUCT(Calc!$K$3:$K$22*(Calc!$G$3:$G$22&gt;A3487)*(Calc!$G$3:$G$22-A3487)*Calc!$G$3:$G$22)</f>
        <v/>
      </c>
      <c r="M3487">
        <f>SUMPRODUCT(Calc!$K$3:$K$22*(Calc!$G$3:$G$22&gt;B3487)*(Calc!$G$3:$G$22-B3487)*Calc!$G$3:$G$22)</f>
        <v/>
      </c>
      <c r="N3487">
        <f>SUMPRODUCT(Calc!$K$3:$K$22*(Calc!$G$3:$G$22&gt;A3487)*(Calc!$G$3:$G$22-A3487)*Calc!$I$3:$I$22)</f>
        <v/>
      </c>
      <c r="O3487">
        <f>SUMPRODUCT(Calc!$K$3:$K$22*(Calc!$G$3:$G$22&gt;B3487)*(Calc!$G$3:$G$22-B3487)*Calc!$I$3:$I$22)</f>
        <v/>
      </c>
      <c r="P3487">
        <f>I3487-G3487^2/k_n</f>
        <v/>
      </c>
      <c r="Q3487">
        <f>J3487-H3487^2/k_n</f>
        <v/>
      </c>
      <c r="R3487">
        <f>K3487-G3487*H3487/k_n</f>
        <v/>
      </c>
      <c r="S3487">
        <f>L3487-LTP3!$D$3*G3487/k_n</f>
        <v/>
      </c>
      <c r="T3487">
        <f>M3487-LTP3!$D$3*H3487/k_n</f>
        <v/>
      </c>
      <c r="U3487">
        <f>N3487-G3487*LTP3!$D$4/k_n</f>
        <v/>
      </c>
      <c r="V3487">
        <f>O3487-H3487*LTP3!$D$4/k_n</f>
        <v/>
      </c>
      <c r="W3487">
        <f>((LTP3!$D$5)*((P3487)*(Q3487)-(R3487)*(R3487))-(S3487)*((S3487)*(Q3487)-(R3487)*(T3487))+(T3487)*((S3487)*(R3487)-(P3487)*(T3487)))</f>
        <v/>
      </c>
      <c r="X3487">
        <f>IF(ABS(W3487)&gt;1E-12,((LTP3!$D$6)*((P3487)*(Q3487)-(R3487)*(R3487))-(S3487)*((U3487)*(Q3487)-(R3487)*(V3487))+(T3487)*((U3487)*(R3487)-(P3487)*(V3487)))/W3487,0)</f>
        <v/>
      </c>
      <c r="Y3487">
        <f>IF(ABS(W3487)&gt;1E-12,((LTP3!$D$5)*((U3487)*(Q3487)-(R3487)*(V3487))-(LTP3!$D$6)*((S3487)*(Q3487)-(R3487)*(T3487))+(T3487)*((S3487)*(V3487)-(U3487)*(T3487)))/W3487,0)</f>
        <v/>
      </c>
      <c r="Z3487">
        <f>IF(ABS(W3487)&gt;1E-12,((LTP3!$D$5)*((P3487)*(V3487)-(U3487)*(R3487))-(S3487)*((S3487)*(V3487)-(U3487)*(T3487))+(LTP3!$D$6)*((S3487)*(R3487)-(P3487)*(T3487)))/W3487,0)</f>
        <v/>
      </c>
      <c r="AA3487">
        <f>LTP3!$D$7-X3487*LTP3!$D$6-Y3487*U3487-Z3487*V3487</f>
        <v/>
      </c>
      <c r="AB3487">
        <f>IF(AND(F3487,ABS(W3487)&gt;1E-12,Y3487&gt;0,Z3487&gt;0),AA3487,1E+300)</f>
        <v/>
      </c>
    </row>
    <row r="3488">
      <c r="A3488">
        <f>$B$3+$B$5*56</f>
        <v/>
      </c>
      <c r="B3488">
        <f>$B$3+$B$5*60</f>
        <v/>
      </c>
      <c r="C3488">
        <f>SUMPRODUCT(Calc!$K$3:$K$22*(Calc!$G$3:$G$22&lt;=A3488))</f>
        <v/>
      </c>
      <c r="D3488">
        <f>SUMPRODUCT(Calc!$K$3:$K$22*(Calc!$G$3:$G$22&gt;A3488)*(Calc!$G$3:$G$22&lt;B3488))</f>
        <v/>
      </c>
      <c r="E3488">
        <f>SUMPRODUCT(Calc!$K$3:$K$22*(Calc!$G$3:$G$22&gt;=B3488))</f>
        <v/>
      </c>
      <c r="F3488">
        <f>AND(k_n&gt;=5,B3488&gt;A3488+1E-9,C3488&gt;=2,D3488&gt;=1,E3488&gt;=2)</f>
        <v/>
      </c>
      <c r="G3488">
        <f>SUMPRODUCT(Calc!$K$3:$K$22*(Calc!$G$3:$G$22&gt;A3488)*(Calc!$G$3:$G$22-A3488))</f>
        <v/>
      </c>
      <c r="H3488">
        <f>SUMPRODUCT(Calc!$K$3:$K$22*(Calc!$G$3:$G$22&gt;B3488)*(Calc!$G$3:$G$22-B3488))</f>
        <v/>
      </c>
      <c r="I3488">
        <f>SUMPRODUCT(Calc!$K$3:$K$22*(Calc!$G$3:$G$22&gt;A3488)*(Calc!$G$3:$G$22-A3488)^2)</f>
        <v/>
      </c>
      <c r="J3488">
        <f>SUMPRODUCT(Calc!$K$3:$K$22*(Calc!$G$3:$G$22&gt;B3488)*(Calc!$G$3:$G$22-B3488)^2)</f>
        <v/>
      </c>
      <c r="K3488">
        <f>SUMPRODUCT(Calc!$K$3:$K$22*(Calc!$G$3:$G$22&gt;A3488)*(Calc!$G$3:$G$22-A3488)*(Calc!$G$3:$G$22&gt;B3488)*(Calc!$G$3:$G$22-B3488))</f>
        <v/>
      </c>
      <c r="L3488">
        <f>SUMPRODUCT(Calc!$K$3:$K$22*(Calc!$G$3:$G$22&gt;A3488)*(Calc!$G$3:$G$22-A3488)*Calc!$G$3:$G$22)</f>
        <v/>
      </c>
      <c r="M3488">
        <f>SUMPRODUCT(Calc!$K$3:$K$22*(Calc!$G$3:$G$22&gt;B3488)*(Calc!$G$3:$G$22-B3488)*Calc!$G$3:$G$22)</f>
        <v/>
      </c>
      <c r="N3488">
        <f>SUMPRODUCT(Calc!$K$3:$K$22*(Calc!$G$3:$G$22&gt;A3488)*(Calc!$G$3:$G$22-A3488)*Calc!$I$3:$I$22)</f>
        <v/>
      </c>
      <c r="O3488">
        <f>SUMPRODUCT(Calc!$K$3:$K$22*(Calc!$G$3:$G$22&gt;B3488)*(Calc!$G$3:$G$22-B3488)*Calc!$I$3:$I$22)</f>
        <v/>
      </c>
      <c r="P3488">
        <f>I3488-G3488^2/k_n</f>
        <v/>
      </c>
      <c r="Q3488">
        <f>J3488-H3488^2/k_n</f>
        <v/>
      </c>
      <c r="R3488">
        <f>K3488-G3488*H3488/k_n</f>
        <v/>
      </c>
      <c r="S3488">
        <f>L3488-LTP3!$D$3*G3488/k_n</f>
        <v/>
      </c>
      <c r="T3488">
        <f>M3488-LTP3!$D$3*H3488/k_n</f>
        <v/>
      </c>
      <c r="U3488">
        <f>N3488-G3488*LTP3!$D$4/k_n</f>
        <v/>
      </c>
      <c r="V3488">
        <f>O3488-H3488*LTP3!$D$4/k_n</f>
        <v/>
      </c>
      <c r="W3488">
        <f>((LTP3!$D$5)*((P3488)*(Q3488)-(R3488)*(R3488))-(S3488)*((S3488)*(Q3488)-(R3488)*(T3488))+(T3488)*((S3488)*(R3488)-(P3488)*(T3488)))</f>
        <v/>
      </c>
      <c r="X3488">
        <f>IF(ABS(W3488)&gt;1E-12,((LTP3!$D$6)*((P3488)*(Q3488)-(R3488)*(R3488))-(S3488)*((U3488)*(Q3488)-(R3488)*(V3488))+(T3488)*((U3488)*(R3488)-(P3488)*(V3488)))/W3488,0)</f>
        <v/>
      </c>
      <c r="Y3488">
        <f>IF(ABS(W3488)&gt;1E-12,((LTP3!$D$5)*((U3488)*(Q3488)-(R3488)*(V3488))-(LTP3!$D$6)*((S3488)*(Q3488)-(R3488)*(T3488))+(T3488)*((S3488)*(V3488)-(U3488)*(T3488)))/W3488,0)</f>
        <v/>
      </c>
      <c r="Z3488">
        <f>IF(ABS(W3488)&gt;1E-12,((LTP3!$D$5)*((P3488)*(V3488)-(U3488)*(R3488))-(S3488)*((S3488)*(V3488)-(U3488)*(T3488))+(LTP3!$D$6)*((S3488)*(R3488)-(P3488)*(T3488)))/W3488,0)</f>
        <v/>
      </c>
      <c r="AA3488">
        <f>LTP3!$D$7-X3488*LTP3!$D$6-Y3488*U3488-Z3488*V3488</f>
        <v/>
      </c>
      <c r="AB3488">
        <f>IF(AND(F3488,ABS(W3488)&gt;1E-12,Y3488&gt;0,Z3488&gt;0),AA3488,1E+300)</f>
        <v/>
      </c>
    </row>
    <row r="3489">
      <c r="A3489">
        <f>$B$3+$B$5*57</f>
        <v/>
      </c>
      <c r="B3489">
        <f>$B$3+$B$5*0</f>
        <v/>
      </c>
      <c r="C3489">
        <f>SUMPRODUCT(Calc!$K$3:$K$22*(Calc!$G$3:$G$22&lt;=A3489))</f>
        <v/>
      </c>
      <c r="D3489">
        <f>SUMPRODUCT(Calc!$K$3:$K$22*(Calc!$G$3:$G$22&gt;A3489)*(Calc!$G$3:$G$22&lt;B3489))</f>
        <v/>
      </c>
      <c r="E3489">
        <f>SUMPRODUCT(Calc!$K$3:$K$22*(Calc!$G$3:$G$22&gt;=B3489))</f>
        <v/>
      </c>
      <c r="F3489">
        <f>AND(k_n&gt;=5,B3489&gt;A3489+1E-9,C3489&gt;=2,D3489&gt;=1,E3489&gt;=2)</f>
        <v/>
      </c>
      <c r="G3489">
        <f>SUMPRODUCT(Calc!$K$3:$K$22*(Calc!$G$3:$G$22&gt;A3489)*(Calc!$G$3:$G$22-A3489))</f>
        <v/>
      </c>
      <c r="H3489">
        <f>SUMPRODUCT(Calc!$K$3:$K$22*(Calc!$G$3:$G$22&gt;B3489)*(Calc!$G$3:$G$22-B3489))</f>
        <v/>
      </c>
      <c r="I3489">
        <f>SUMPRODUCT(Calc!$K$3:$K$22*(Calc!$G$3:$G$22&gt;A3489)*(Calc!$G$3:$G$22-A3489)^2)</f>
        <v/>
      </c>
      <c r="J3489">
        <f>SUMPRODUCT(Calc!$K$3:$K$22*(Calc!$G$3:$G$22&gt;B3489)*(Calc!$G$3:$G$22-B3489)^2)</f>
        <v/>
      </c>
      <c r="K3489">
        <f>SUMPRODUCT(Calc!$K$3:$K$22*(Calc!$G$3:$G$22&gt;A3489)*(Calc!$G$3:$G$22-A3489)*(Calc!$G$3:$G$22&gt;B3489)*(Calc!$G$3:$G$22-B3489))</f>
        <v/>
      </c>
      <c r="L3489">
        <f>SUMPRODUCT(Calc!$K$3:$K$22*(Calc!$G$3:$G$22&gt;A3489)*(Calc!$G$3:$G$22-A3489)*Calc!$G$3:$G$22)</f>
        <v/>
      </c>
      <c r="M3489">
        <f>SUMPRODUCT(Calc!$K$3:$K$22*(Calc!$G$3:$G$22&gt;B3489)*(Calc!$G$3:$G$22-B3489)*Calc!$G$3:$G$22)</f>
        <v/>
      </c>
      <c r="N3489">
        <f>SUMPRODUCT(Calc!$K$3:$K$22*(Calc!$G$3:$G$22&gt;A3489)*(Calc!$G$3:$G$22-A3489)*Calc!$I$3:$I$22)</f>
        <v/>
      </c>
      <c r="O3489">
        <f>SUMPRODUCT(Calc!$K$3:$K$22*(Calc!$G$3:$G$22&gt;B3489)*(Calc!$G$3:$G$22-B3489)*Calc!$I$3:$I$22)</f>
        <v/>
      </c>
      <c r="P3489">
        <f>I3489-G3489^2/k_n</f>
        <v/>
      </c>
      <c r="Q3489">
        <f>J3489-H3489^2/k_n</f>
        <v/>
      </c>
      <c r="R3489">
        <f>K3489-G3489*H3489/k_n</f>
        <v/>
      </c>
      <c r="S3489">
        <f>L3489-LTP3!$D$3*G3489/k_n</f>
        <v/>
      </c>
      <c r="T3489">
        <f>M3489-LTP3!$D$3*H3489/k_n</f>
        <v/>
      </c>
      <c r="U3489">
        <f>N3489-G3489*LTP3!$D$4/k_n</f>
        <v/>
      </c>
      <c r="V3489">
        <f>O3489-H3489*LTP3!$D$4/k_n</f>
        <v/>
      </c>
      <c r="W3489">
        <f>((LTP3!$D$5)*((P3489)*(Q3489)-(R3489)*(R3489))-(S3489)*((S3489)*(Q3489)-(R3489)*(T3489))+(T3489)*((S3489)*(R3489)-(P3489)*(T3489)))</f>
        <v/>
      </c>
      <c r="X3489">
        <f>IF(ABS(W3489)&gt;1E-12,((LTP3!$D$6)*((P3489)*(Q3489)-(R3489)*(R3489))-(S3489)*((U3489)*(Q3489)-(R3489)*(V3489))+(T3489)*((U3489)*(R3489)-(P3489)*(V3489)))/W3489,0)</f>
        <v/>
      </c>
      <c r="Y3489">
        <f>IF(ABS(W3489)&gt;1E-12,((LTP3!$D$5)*((U3489)*(Q3489)-(R3489)*(V3489))-(LTP3!$D$6)*((S3489)*(Q3489)-(R3489)*(T3489))+(T3489)*((S3489)*(V3489)-(U3489)*(T3489)))/W3489,0)</f>
        <v/>
      </c>
      <c r="Z3489">
        <f>IF(ABS(W3489)&gt;1E-12,((LTP3!$D$5)*((P3489)*(V3489)-(U3489)*(R3489))-(S3489)*((S3489)*(V3489)-(U3489)*(T3489))+(LTP3!$D$6)*((S3489)*(R3489)-(P3489)*(T3489)))/W3489,0)</f>
        <v/>
      </c>
      <c r="AA3489">
        <f>LTP3!$D$7-X3489*LTP3!$D$6-Y3489*U3489-Z3489*V3489</f>
        <v/>
      </c>
      <c r="AB3489">
        <f>IF(AND(F3489,ABS(W3489)&gt;1E-12,Y3489&gt;0,Z3489&gt;0),AA3489,1E+300)</f>
        <v/>
      </c>
    </row>
    <row r="3490">
      <c r="A3490">
        <f>$B$3+$B$5*57</f>
        <v/>
      </c>
      <c r="B3490">
        <f>$B$3+$B$5*1</f>
        <v/>
      </c>
      <c r="C3490">
        <f>SUMPRODUCT(Calc!$K$3:$K$22*(Calc!$G$3:$G$22&lt;=A3490))</f>
        <v/>
      </c>
      <c r="D3490">
        <f>SUMPRODUCT(Calc!$K$3:$K$22*(Calc!$G$3:$G$22&gt;A3490)*(Calc!$G$3:$G$22&lt;B3490))</f>
        <v/>
      </c>
      <c r="E3490">
        <f>SUMPRODUCT(Calc!$K$3:$K$22*(Calc!$G$3:$G$22&gt;=B3490))</f>
        <v/>
      </c>
      <c r="F3490">
        <f>AND(k_n&gt;=5,B3490&gt;A3490+1E-9,C3490&gt;=2,D3490&gt;=1,E3490&gt;=2)</f>
        <v/>
      </c>
      <c r="G3490">
        <f>SUMPRODUCT(Calc!$K$3:$K$22*(Calc!$G$3:$G$22&gt;A3490)*(Calc!$G$3:$G$22-A3490))</f>
        <v/>
      </c>
      <c r="H3490">
        <f>SUMPRODUCT(Calc!$K$3:$K$22*(Calc!$G$3:$G$22&gt;B3490)*(Calc!$G$3:$G$22-B3490))</f>
        <v/>
      </c>
      <c r="I3490">
        <f>SUMPRODUCT(Calc!$K$3:$K$22*(Calc!$G$3:$G$22&gt;A3490)*(Calc!$G$3:$G$22-A3490)^2)</f>
        <v/>
      </c>
      <c r="J3490">
        <f>SUMPRODUCT(Calc!$K$3:$K$22*(Calc!$G$3:$G$22&gt;B3490)*(Calc!$G$3:$G$22-B3490)^2)</f>
        <v/>
      </c>
      <c r="K3490">
        <f>SUMPRODUCT(Calc!$K$3:$K$22*(Calc!$G$3:$G$22&gt;A3490)*(Calc!$G$3:$G$22-A3490)*(Calc!$G$3:$G$22&gt;B3490)*(Calc!$G$3:$G$22-B3490))</f>
        <v/>
      </c>
      <c r="L3490">
        <f>SUMPRODUCT(Calc!$K$3:$K$22*(Calc!$G$3:$G$22&gt;A3490)*(Calc!$G$3:$G$22-A3490)*Calc!$G$3:$G$22)</f>
        <v/>
      </c>
      <c r="M3490">
        <f>SUMPRODUCT(Calc!$K$3:$K$22*(Calc!$G$3:$G$22&gt;B3490)*(Calc!$G$3:$G$22-B3490)*Calc!$G$3:$G$22)</f>
        <v/>
      </c>
      <c r="N3490">
        <f>SUMPRODUCT(Calc!$K$3:$K$22*(Calc!$G$3:$G$22&gt;A3490)*(Calc!$G$3:$G$22-A3490)*Calc!$I$3:$I$22)</f>
        <v/>
      </c>
      <c r="O3490">
        <f>SUMPRODUCT(Calc!$K$3:$K$22*(Calc!$G$3:$G$22&gt;B3490)*(Calc!$G$3:$G$22-B3490)*Calc!$I$3:$I$22)</f>
        <v/>
      </c>
      <c r="P3490">
        <f>I3490-G3490^2/k_n</f>
        <v/>
      </c>
      <c r="Q3490">
        <f>J3490-H3490^2/k_n</f>
        <v/>
      </c>
      <c r="R3490">
        <f>K3490-G3490*H3490/k_n</f>
        <v/>
      </c>
      <c r="S3490">
        <f>L3490-LTP3!$D$3*G3490/k_n</f>
        <v/>
      </c>
      <c r="T3490">
        <f>M3490-LTP3!$D$3*H3490/k_n</f>
        <v/>
      </c>
      <c r="U3490">
        <f>N3490-G3490*LTP3!$D$4/k_n</f>
        <v/>
      </c>
      <c r="V3490">
        <f>O3490-H3490*LTP3!$D$4/k_n</f>
        <v/>
      </c>
      <c r="W3490">
        <f>((LTP3!$D$5)*((P3490)*(Q3490)-(R3490)*(R3490))-(S3490)*((S3490)*(Q3490)-(R3490)*(T3490))+(T3490)*((S3490)*(R3490)-(P3490)*(T3490)))</f>
        <v/>
      </c>
      <c r="X3490">
        <f>IF(ABS(W3490)&gt;1E-12,((LTP3!$D$6)*((P3490)*(Q3490)-(R3490)*(R3490))-(S3490)*((U3490)*(Q3490)-(R3490)*(V3490))+(T3490)*((U3490)*(R3490)-(P3490)*(V3490)))/W3490,0)</f>
        <v/>
      </c>
      <c r="Y3490">
        <f>IF(ABS(W3490)&gt;1E-12,((LTP3!$D$5)*((U3490)*(Q3490)-(R3490)*(V3490))-(LTP3!$D$6)*((S3490)*(Q3490)-(R3490)*(T3490))+(T3490)*((S3490)*(V3490)-(U3490)*(T3490)))/W3490,0)</f>
        <v/>
      </c>
      <c r="Z3490">
        <f>IF(ABS(W3490)&gt;1E-12,((LTP3!$D$5)*((P3490)*(V3490)-(U3490)*(R3490))-(S3490)*((S3490)*(V3490)-(U3490)*(T3490))+(LTP3!$D$6)*((S3490)*(R3490)-(P3490)*(T3490)))/W3490,0)</f>
        <v/>
      </c>
      <c r="AA3490">
        <f>LTP3!$D$7-X3490*LTP3!$D$6-Y3490*U3490-Z3490*V3490</f>
        <v/>
      </c>
      <c r="AB3490">
        <f>IF(AND(F3490,ABS(W3490)&gt;1E-12,Y3490&gt;0,Z3490&gt;0),AA3490,1E+300)</f>
        <v/>
      </c>
    </row>
    <row r="3491">
      <c r="A3491">
        <f>$B$3+$B$5*57</f>
        <v/>
      </c>
      <c r="B3491">
        <f>$B$3+$B$5*2</f>
        <v/>
      </c>
      <c r="C3491">
        <f>SUMPRODUCT(Calc!$K$3:$K$22*(Calc!$G$3:$G$22&lt;=A3491))</f>
        <v/>
      </c>
      <c r="D3491">
        <f>SUMPRODUCT(Calc!$K$3:$K$22*(Calc!$G$3:$G$22&gt;A3491)*(Calc!$G$3:$G$22&lt;B3491))</f>
        <v/>
      </c>
      <c r="E3491">
        <f>SUMPRODUCT(Calc!$K$3:$K$22*(Calc!$G$3:$G$22&gt;=B3491))</f>
        <v/>
      </c>
      <c r="F3491">
        <f>AND(k_n&gt;=5,B3491&gt;A3491+1E-9,C3491&gt;=2,D3491&gt;=1,E3491&gt;=2)</f>
        <v/>
      </c>
      <c r="G3491">
        <f>SUMPRODUCT(Calc!$K$3:$K$22*(Calc!$G$3:$G$22&gt;A3491)*(Calc!$G$3:$G$22-A3491))</f>
        <v/>
      </c>
      <c r="H3491">
        <f>SUMPRODUCT(Calc!$K$3:$K$22*(Calc!$G$3:$G$22&gt;B3491)*(Calc!$G$3:$G$22-B3491))</f>
        <v/>
      </c>
      <c r="I3491">
        <f>SUMPRODUCT(Calc!$K$3:$K$22*(Calc!$G$3:$G$22&gt;A3491)*(Calc!$G$3:$G$22-A3491)^2)</f>
        <v/>
      </c>
      <c r="J3491">
        <f>SUMPRODUCT(Calc!$K$3:$K$22*(Calc!$G$3:$G$22&gt;B3491)*(Calc!$G$3:$G$22-B3491)^2)</f>
        <v/>
      </c>
      <c r="K3491">
        <f>SUMPRODUCT(Calc!$K$3:$K$22*(Calc!$G$3:$G$22&gt;A3491)*(Calc!$G$3:$G$22-A3491)*(Calc!$G$3:$G$22&gt;B3491)*(Calc!$G$3:$G$22-B3491))</f>
        <v/>
      </c>
      <c r="L3491">
        <f>SUMPRODUCT(Calc!$K$3:$K$22*(Calc!$G$3:$G$22&gt;A3491)*(Calc!$G$3:$G$22-A3491)*Calc!$G$3:$G$22)</f>
        <v/>
      </c>
      <c r="M3491">
        <f>SUMPRODUCT(Calc!$K$3:$K$22*(Calc!$G$3:$G$22&gt;B3491)*(Calc!$G$3:$G$22-B3491)*Calc!$G$3:$G$22)</f>
        <v/>
      </c>
      <c r="N3491">
        <f>SUMPRODUCT(Calc!$K$3:$K$22*(Calc!$G$3:$G$22&gt;A3491)*(Calc!$G$3:$G$22-A3491)*Calc!$I$3:$I$22)</f>
        <v/>
      </c>
      <c r="O3491">
        <f>SUMPRODUCT(Calc!$K$3:$K$22*(Calc!$G$3:$G$22&gt;B3491)*(Calc!$G$3:$G$22-B3491)*Calc!$I$3:$I$22)</f>
        <v/>
      </c>
      <c r="P3491">
        <f>I3491-G3491^2/k_n</f>
        <v/>
      </c>
      <c r="Q3491">
        <f>J3491-H3491^2/k_n</f>
        <v/>
      </c>
      <c r="R3491">
        <f>K3491-G3491*H3491/k_n</f>
        <v/>
      </c>
      <c r="S3491">
        <f>L3491-LTP3!$D$3*G3491/k_n</f>
        <v/>
      </c>
      <c r="T3491">
        <f>M3491-LTP3!$D$3*H3491/k_n</f>
        <v/>
      </c>
      <c r="U3491">
        <f>N3491-G3491*LTP3!$D$4/k_n</f>
        <v/>
      </c>
      <c r="V3491">
        <f>O3491-H3491*LTP3!$D$4/k_n</f>
        <v/>
      </c>
      <c r="W3491">
        <f>((LTP3!$D$5)*((P3491)*(Q3491)-(R3491)*(R3491))-(S3491)*((S3491)*(Q3491)-(R3491)*(T3491))+(T3491)*((S3491)*(R3491)-(P3491)*(T3491)))</f>
        <v/>
      </c>
      <c r="X3491">
        <f>IF(ABS(W3491)&gt;1E-12,((LTP3!$D$6)*((P3491)*(Q3491)-(R3491)*(R3491))-(S3491)*((U3491)*(Q3491)-(R3491)*(V3491))+(T3491)*((U3491)*(R3491)-(P3491)*(V3491)))/W3491,0)</f>
        <v/>
      </c>
      <c r="Y3491">
        <f>IF(ABS(W3491)&gt;1E-12,((LTP3!$D$5)*((U3491)*(Q3491)-(R3491)*(V3491))-(LTP3!$D$6)*((S3491)*(Q3491)-(R3491)*(T3491))+(T3491)*((S3491)*(V3491)-(U3491)*(T3491)))/W3491,0)</f>
        <v/>
      </c>
      <c r="Z3491">
        <f>IF(ABS(W3491)&gt;1E-12,((LTP3!$D$5)*((P3491)*(V3491)-(U3491)*(R3491))-(S3491)*((S3491)*(V3491)-(U3491)*(T3491))+(LTP3!$D$6)*((S3491)*(R3491)-(P3491)*(T3491)))/W3491,0)</f>
        <v/>
      </c>
      <c r="AA3491">
        <f>LTP3!$D$7-X3491*LTP3!$D$6-Y3491*U3491-Z3491*V3491</f>
        <v/>
      </c>
      <c r="AB3491">
        <f>IF(AND(F3491,ABS(W3491)&gt;1E-12,Y3491&gt;0,Z3491&gt;0),AA3491,1E+300)</f>
        <v/>
      </c>
    </row>
    <row r="3492">
      <c r="A3492">
        <f>$B$3+$B$5*57</f>
        <v/>
      </c>
      <c r="B3492">
        <f>$B$3+$B$5*3</f>
        <v/>
      </c>
      <c r="C3492">
        <f>SUMPRODUCT(Calc!$K$3:$K$22*(Calc!$G$3:$G$22&lt;=A3492))</f>
        <v/>
      </c>
      <c r="D3492">
        <f>SUMPRODUCT(Calc!$K$3:$K$22*(Calc!$G$3:$G$22&gt;A3492)*(Calc!$G$3:$G$22&lt;B3492))</f>
        <v/>
      </c>
      <c r="E3492">
        <f>SUMPRODUCT(Calc!$K$3:$K$22*(Calc!$G$3:$G$22&gt;=B3492))</f>
        <v/>
      </c>
      <c r="F3492">
        <f>AND(k_n&gt;=5,B3492&gt;A3492+1E-9,C3492&gt;=2,D3492&gt;=1,E3492&gt;=2)</f>
        <v/>
      </c>
      <c r="G3492">
        <f>SUMPRODUCT(Calc!$K$3:$K$22*(Calc!$G$3:$G$22&gt;A3492)*(Calc!$G$3:$G$22-A3492))</f>
        <v/>
      </c>
      <c r="H3492">
        <f>SUMPRODUCT(Calc!$K$3:$K$22*(Calc!$G$3:$G$22&gt;B3492)*(Calc!$G$3:$G$22-B3492))</f>
        <v/>
      </c>
      <c r="I3492">
        <f>SUMPRODUCT(Calc!$K$3:$K$22*(Calc!$G$3:$G$22&gt;A3492)*(Calc!$G$3:$G$22-A3492)^2)</f>
        <v/>
      </c>
      <c r="J3492">
        <f>SUMPRODUCT(Calc!$K$3:$K$22*(Calc!$G$3:$G$22&gt;B3492)*(Calc!$G$3:$G$22-B3492)^2)</f>
        <v/>
      </c>
      <c r="K3492">
        <f>SUMPRODUCT(Calc!$K$3:$K$22*(Calc!$G$3:$G$22&gt;A3492)*(Calc!$G$3:$G$22-A3492)*(Calc!$G$3:$G$22&gt;B3492)*(Calc!$G$3:$G$22-B3492))</f>
        <v/>
      </c>
      <c r="L3492">
        <f>SUMPRODUCT(Calc!$K$3:$K$22*(Calc!$G$3:$G$22&gt;A3492)*(Calc!$G$3:$G$22-A3492)*Calc!$G$3:$G$22)</f>
        <v/>
      </c>
      <c r="M3492">
        <f>SUMPRODUCT(Calc!$K$3:$K$22*(Calc!$G$3:$G$22&gt;B3492)*(Calc!$G$3:$G$22-B3492)*Calc!$G$3:$G$22)</f>
        <v/>
      </c>
      <c r="N3492">
        <f>SUMPRODUCT(Calc!$K$3:$K$22*(Calc!$G$3:$G$22&gt;A3492)*(Calc!$G$3:$G$22-A3492)*Calc!$I$3:$I$22)</f>
        <v/>
      </c>
      <c r="O3492">
        <f>SUMPRODUCT(Calc!$K$3:$K$22*(Calc!$G$3:$G$22&gt;B3492)*(Calc!$G$3:$G$22-B3492)*Calc!$I$3:$I$22)</f>
        <v/>
      </c>
      <c r="P3492">
        <f>I3492-G3492^2/k_n</f>
        <v/>
      </c>
      <c r="Q3492">
        <f>J3492-H3492^2/k_n</f>
        <v/>
      </c>
      <c r="R3492">
        <f>K3492-G3492*H3492/k_n</f>
        <v/>
      </c>
      <c r="S3492">
        <f>L3492-LTP3!$D$3*G3492/k_n</f>
        <v/>
      </c>
      <c r="T3492">
        <f>M3492-LTP3!$D$3*H3492/k_n</f>
        <v/>
      </c>
      <c r="U3492">
        <f>N3492-G3492*LTP3!$D$4/k_n</f>
        <v/>
      </c>
      <c r="V3492">
        <f>O3492-H3492*LTP3!$D$4/k_n</f>
        <v/>
      </c>
      <c r="W3492">
        <f>((LTP3!$D$5)*((P3492)*(Q3492)-(R3492)*(R3492))-(S3492)*((S3492)*(Q3492)-(R3492)*(T3492))+(T3492)*((S3492)*(R3492)-(P3492)*(T3492)))</f>
        <v/>
      </c>
      <c r="X3492">
        <f>IF(ABS(W3492)&gt;1E-12,((LTP3!$D$6)*((P3492)*(Q3492)-(R3492)*(R3492))-(S3492)*((U3492)*(Q3492)-(R3492)*(V3492))+(T3492)*((U3492)*(R3492)-(P3492)*(V3492)))/W3492,0)</f>
        <v/>
      </c>
      <c r="Y3492">
        <f>IF(ABS(W3492)&gt;1E-12,((LTP3!$D$5)*((U3492)*(Q3492)-(R3492)*(V3492))-(LTP3!$D$6)*((S3492)*(Q3492)-(R3492)*(T3492))+(T3492)*((S3492)*(V3492)-(U3492)*(T3492)))/W3492,0)</f>
        <v/>
      </c>
      <c r="Z3492">
        <f>IF(ABS(W3492)&gt;1E-12,((LTP3!$D$5)*((P3492)*(V3492)-(U3492)*(R3492))-(S3492)*((S3492)*(V3492)-(U3492)*(T3492))+(LTP3!$D$6)*((S3492)*(R3492)-(P3492)*(T3492)))/W3492,0)</f>
        <v/>
      </c>
      <c r="AA3492">
        <f>LTP3!$D$7-X3492*LTP3!$D$6-Y3492*U3492-Z3492*V3492</f>
        <v/>
      </c>
      <c r="AB3492">
        <f>IF(AND(F3492,ABS(W3492)&gt;1E-12,Y3492&gt;0,Z3492&gt;0),AA3492,1E+300)</f>
        <v/>
      </c>
    </row>
    <row r="3493">
      <c r="A3493">
        <f>$B$3+$B$5*57</f>
        <v/>
      </c>
      <c r="B3493">
        <f>$B$3+$B$5*4</f>
        <v/>
      </c>
      <c r="C3493">
        <f>SUMPRODUCT(Calc!$K$3:$K$22*(Calc!$G$3:$G$22&lt;=A3493))</f>
        <v/>
      </c>
      <c r="D3493">
        <f>SUMPRODUCT(Calc!$K$3:$K$22*(Calc!$G$3:$G$22&gt;A3493)*(Calc!$G$3:$G$22&lt;B3493))</f>
        <v/>
      </c>
      <c r="E3493">
        <f>SUMPRODUCT(Calc!$K$3:$K$22*(Calc!$G$3:$G$22&gt;=B3493))</f>
        <v/>
      </c>
      <c r="F3493">
        <f>AND(k_n&gt;=5,B3493&gt;A3493+1E-9,C3493&gt;=2,D3493&gt;=1,E3493&gt;=2)</f>
        <v/>
      </c>
      <c r="G3493">
        <f>SUMPRODUCT(Calc!$K$3:$K$22*(Calc!$G$3:$G$22&gt;A3493)*(Calc!$G$3:$G$22-A3493))</f>
        <v/>
      </c>
      <c r="H3493">
        <f>SUMPRODUCT(Calc!$K$3:$K$22*(Calc!$G$3:$G$22&gt;B3493)*(Calc!$G$3:$G$22-B3493))</f>
        <v/>
      </c>
      <c r="I3493">
        <f>SUMPRODUCT(Calc!$K$3:$K$22*(Calc!$G$3:$G$22&gt;A3493)*(Calc!$G$3:$G$22-A3493)^2)</f>
        <v/>
      </c>
      <c r="J3493">
        <f>SUMPRODUCT(Calc!$K$3:$K$22*(Calc!$G$3:$G$22&gt;B3493)*(Calc!$G$3:$G$22-B3493)^2)</f>
        <v/>
      </c>
      <c r="K3493">
        <f>SUMPRODUCT(Calc!$K$3:$K$22*(Calc!$G$3:$G$22&gt;A3493)*(Calc!$G$3:$G$22-A3493)*(Calc!$G$3:$G$22&gt;B3493)*(Calc!$G$3:$G$22-B3493))</f>
        <v/>
      </c>
      <c r="L3493">
        <f>SUMPRODUCT(Calc!$K$3:$K$22*(Calc!$G$3:$G$22&gt;A3493)*(Calc!$G$3:$G$22-A3493)*Calc!$G$3:$G$22)</f>
        <v/>
      </c>
      <c r="M3493">
        <f>SUMPRODUCT(Calc!$K$3:$K$22*(Calc!$G$3:$G$22&gt;B3493)*(Calc!$G$3:$G$22-B3493)*Calc!$G$3:$G$22)</f>
        <v/>
      </c>
      <c r="N3493">
        <f>SUMPRODUCT(Calc!$K$3:$K$22*(Calc!$G$3:$G$22&gt;A3493)*(Calc!$G$3:$G$22-A3493)*Calc!$I$3:$I$22)</f>
        <v/>
      </c>
      <c r="O3493">
        <f>SUMPRODUCT(Calc!$K$3:$K$22*(Calc!$G$3:$G$22&gt;B3493)*(Calc!$G$3:$G$22-B3493)*Calc!$I$3:$I$22)</f>
        <v/>
      </c>
      <c r="P3493">
        <f>I3493-G3493^2/k_n</f>
        <v/>
      </c>
      <c r="Q3493">
        <f>J3493-H3493^2/k_n</f>
        <v/>
      </c>
      <c r="R3493">
        <f>K3493-G3493*H3493/k_n</f>
        <v/>
      </c>
      <c r="S3493">
        <f>L3493-LTP3!$D$3*G3493/k_n</f>
        <v/>
      </c>
      <c r="T3493">
        <f>M3493-LTP3!$D$3*H3493/k_n</f>
        <v/>
      </c>
      <c r="U3493">
        <f>N3493-G3493*LTP3!$D$4/k_n</f>
        <v/>
      </c>
      <c r="V3493">
        <f>O3493-H3493*LTP3!$D$4/k_n</f>
        <v/>
      </c>
      <c r="W3493">
        <f>((LTP3!$D$5)*((P3493)*(Q3493)-(R3493)*(R3493))-(S3493)*((S3493)*(Q3493)-(R3493)*(T3493))+(T3493)*((S3493)*(R3493)-(P3493)*(T3493)))</f>
        <v/>
      </c>
      <c r="X3493">
        <f>IF(ABS(W3493)&gt;1E-12,((LTP3!$D$6)*((P3493)*(Q3493)-(R3493)*(R3493))-(S3493)*((U3493)*(Q3493)-(R3493)*(V3493))+(T3493)*((U3493)*(R3493)-(P3493)*(V3493)))/W3493,0)</f>
        <v/>
      </c>
      <c r="Y3493">
        <f>IF(ABS(W3493)&gt;1E-12,((LTP3!$D$5)*((U3493)*(Q3493)-(R3493)*(V3493))-(LTP3!$D$6)*((S3493)*(Q3493)-(R3493)*(T3493))+(T3493)*((S3493)*(V3493)-(U3493)*(T3493)))/W3493,0)</f>
        <v/>
      </c>
      <c r="Z3493">
        <f>IF(ABS(W3493)&gt;1E-12,((LTP3!$D$5)*((P3493)*(V3493)-(U3493)*(R3493))-(S3493)*((S3493)*(V3493)-(U3493)*(T3493))+(LTP3!$D$6)*((S3493)*(R3493)-(P3493)*(T3493)))/W3493,0)</f>
        <v/>
      </c>
      <c r="AA3493">
        <f>LTP3!$D$7-X3493*LTP3!$D$6-Y3493*U3493-Z3493*V3493</f>
        <v/>
      </c>
      <c r="AB3493">
        <f>IF(AND(F3493,ABS(W3493)&gt;1E-12,Y3493&gt;0,Z3493&gt;0),AA3493,1E+300)</f>
        <v/>
      </c>
    </row>
    <row r="3494">
      <c r="A3494">
        <f>$B$3+$B$5*57</f>
        <v/>
      </c>
      <c r="B3494">
        <f>$B$3+$B$5*5</f>
        <v/>
      </c>
      <c r="C3494">
        <f>SUMPRODUCT(Calc!$K$3:$K$22*(Calc!$G$3:$G$22&lt;=A3494))</f>
        <v/>
      </c>
      <c r="D3494">
        <f>SUMPRODUCT(Calc!$K$3:$K$22*(Calc!$G$3:$G$22&gt;A3494)*(Calc!$G$3:$G$22&lt;B3494))</f>
        <v/>
      </c>
      <c r="E3494">
        <f>SUMPRODUCT(Calc!$K$3:$K$22*(Calc!$G$3:$G$22&gt;=B3494))</f>
        <v/>
      </c>
      <c r="F3494">
        <f>AND(k_n&gt;=5,B3494&gt;A3494+1E-9,C3494&gt;=2,D3494&gt;=1,E3494&gt;=2)</f>
        <v/>
      </c>
      <c r="G3494">
        <f>SUMPRODUCT(Calc!$K$3:$K$22*(Calc!$G$3:$G$22&gt;A3494)*(Calc!$G$3:$G$22-A3494))</f>
        <v/>
      </c>
      <c r="H3494">
        <f>SUMPRODUCT(Calc!$K$3:$K$22*(Calc!$G$3:$G$22&gt;B3494)*(Calc!$G$3:$G$22-B3494))</f>
        <v/>
      </c>
      <c r="I3494">
        <f>SUMPRODUCT(Calc!$K$3:$K$22*(Calc!$G$3:$G$22&gt;A3494)*(Calc!$G$3:$G$22-A3494)^2)</f>
        <v/>
      </c>
      <c r="J3494">
        <f>SUMPRODUCT(Calc!$K$3:$K$22*(Calc!$G$3:$G$22&gt;B3494)*(Calc!$G$3:$G$22-B3494)^2)</f>
        <v/>
      </c>
      <c r="K3494">
        <f>SUMPRODUCT(Calc!$K$3:$K$22*(Calc!$G$3:$G$22&gt;A3494)*(Calc!$G$3:$G$22-A3494)*(Calc!$G$3:$G$22&gt;B3494)*(Calc!$G$3:$G$22-B3494))</f>
        <v/>
      </c>
      <c r="L3494">
        <f>SUMPRODUCT(Calc!$K$3:$K$22*(Calc!$G$3:$G$22&gt;A3494)*(Calc!$G$3:$G$22-A3494)*Calc!$G$3:$G$22)</f>
        <v/>
      </c>
      <c r="M3494">
        <f>SUMPRODUCT(Calc!$K$3:$K$22*(Calc!$G$3:$G$22&gt;B3494)*(Calc!$G$3:$G$22-B3494)*Calc!$G$3:$G$22)</f>
        <v/>
      </c>
      <c r="N3494">
        <f>SUMPRODUCT(Calc!$K$3:$K$22*(Calc!$G$3:$G$22&gt;A3494)*(Calc!$G$3:$G$22-A3494)*Calc!$I$3:$I$22)</f>
        <v/>
      </c>
      <c r="O3494">
        <f>SUMPRODUCT(Calc!$K$3:$K$22*(Calc!$G$3:$G$22&gt;B3494)*(Calc!$G$3:$G$22-B3494)*Calc!$I$3:$I$22)</f>
        <v/>
      </c>
      <c r="P3494">
        <f>I3494-G3494^2/k_n</f>
        <v/>
      </c>
      <c r="Q3494">
        <f>J3494-H3494^2/k_n</f>
        <v/>
      </c>
      <c r="R3494">
        <f>K3494-G3494*H3494/k_n</f>
        <v/>
      </c>
      <c r="S3494">
        <f>L3494-LTP3!$D$3*G3494/k_n</f>
        <v/>
      </c>
      <c r="T3494">
        <f>M3494-LTP3!$D$3*H3494/k_n</f>
        <v/>
      </c>
      <c r="U3494">
        <f>N3494-G3494*LTP3!$D$4/k_n</f>
        <v/>
      </c>
      <c r="V3494">
        <f>O3494-H3494*LTP3!$D$4/k_n</f>
        <v/>
      </c>
      <c r="W3494">
        <f>((LTP3!$D$5)*((P3494)*(Q3494)-(R3494)*(R3494))-(S3494)*((S3494)*(Q3494)-(R3494)*(T3494))+(T3494)*((S3494)*(R3494)-(P3494)*(T3494)))</f>
        <v/>
      </c>
      <c r="X3494">
        <f>IF(ABS(W3494)&gt;1E-12,((LTP3!$D$6)*((P3494)*(Q3494)-(R3494)*(R3494))-(S3494)*((U3494)*(Q3494)-(R3494)*(V3494))+(T3494)*((U3494)*(R3494)-(P3494)*(V3494)))/W3494,0)</f>
        <v/>
      </c>
      <c r="Y3494">
        <f>IF(ABS(W3494)&gt;1E-12,((LTP3!$D$5)*((U3494)*(Q3494)-(R3494)*(V3494))-(LTP3!$D$6)*((S3494)*(Q3494)-(R3494)*(T3494))+(T3494)*((S3494)*(V3494)-(U3494)*(T3494)))/W3494,0)</f>
        <v/>
      </c>
      <c r="Z3494">
        <f>IF(ABS(W3494)&gt;1E-12,((LTP3!$D$5)*((P3494)*(V3494)-(U3494)*(R3494))-(S3494)*((S3494)*(V3494)-(U3494)*(T3494))+(LTP3!$D$6)*((S3494)*(R3494)-(P3494)*(T3494)))/W3494,0)</f>
        <v/>
      </c>
      <c r="AA3494">
        <f>LTP3!$D$7-X3494*LTP3!$D$6-Y3494*U3494-Z3494*V3494</f>
        <v/>
      </c>
      <c r="AB3494">
        <f>IF(AND(F3494,ABS(W3494)&gt;1E-12,Y3494&gt;0,Z3494&gt;0),AA3494,1E+300)</f>
        <v/>
      </c>
    </row>
    <row r="3495">
      <c r="A3495">
        <f>$B$3+$B$5*57</f>
        <v/>
      </c>
      <c r="B3495">
        <f>$B$3+$B$5*6</f>
        <v/>
      </c>
      <c r="C3495">
        <f>SUMPRODUCT(Calc!$K$3:$K$22*(Calc!$G$3:$G$22&lt;=A3495))</f>
        <v/>
      </c>
      <c r="D3495">
        <f>SUMPRODUCT(Calc!$K$3:$K$22*(Calc!$G$3:$G$22&gt;A3495)*(Calc!$G$3:$G$22&lt;B3495))</f>
        <v/>
      </c>
      <c r="E3495">
        <f>SUMPRODUCT(Calc!$K$3:$K$22*(Calc!$G$3:$G$22&gt;=B3495))</f>
        <v/>
      </c>
      <c r="F3495">
        <f>AND(k_n&gt;=5,B3495&gt;A3495+1E-9,C3495&gt;=2,D3495&gt;=1,E3495&gt;=2)</f>
        <v/>
      </c>
      <c r="G3495">
        <f>SUMPRODUCT(Calc!$K$3:$K$22*(Calc!$G$3:$G$22&gt;A3495)*(Calc!$G$3:$G$22-A3495))</f>
        <v/>
      </c>
      <c r="H3495">
        <f>SUMPRODUCT(Calc!$K$3:$K$22*(Calc!$G$3:$G$22&gt;B3495)*(Calc!$G$3:$G$22-B3495))</f>
        <v/>
      </c>
      <c r="I3495">
        <f>SUMPRODUCT(Calc!$K$3:$K$22*(Calc!$G$3:$G$22&gt;A3495)*(Calc!$G$3:$G$22-A3495)^2)</f>
        <v/>
      </c>
      <c r="J3495">
        <f>SUMPRODUCT(Calc!$K$3:$K$22*(Calc!$G$3:$G$22&gt;B3495)*(Calc!$G$3:$G$22-B3495)^2)</f>
        <v/>
      </c>
      <c r="K3495">
        <f>SUMPRODUCT(Calc!$K$3:$K$22*(Calc!$G$3:$G$22&gt;A3495)*(Calc!$G$3:$G$22-A3495)*(Calc!$G$3:$G$22&gt;B3495)*(Calc!$G$3:$G$22-B3495))</f>
        <v/>
      </c>
      <c r="L3495">
        <f>SUMPRODUCT(Calc!$K$3:$K$22*(Calc!$G$3:$G$22&gt;A3495)*(Calc!$G$3:$G$22-A3495)*Calc!$G$3:$G$22)</f>
        <v/>
      </c>
      <c r="M3495">
        <f>SUMPRODUCT(Calc!$K$3:$K$22*(Calc!$G$3:$G$22&gt;B3495)*(Calc!$G$3:$G$22-B3495)*Calc!$G$3:$G$22)</f>
        <v/>
      </c>
      <c r="N3495">
        <f>SUMPRODUCT(Calc!$K$3:$K$22*(Calc!$G$3:$G$22&gt;A3495)*(Calc!$G$3:$G$22-A3495)*Calc!$I$3:$I$22)</f>
        <v/>
      </c>
      <c r="O3495">
        <f>SUMPRODUCT(Calc!$K$3:$K$22*(Calc!$G$3:$G$22&gt;B3495)*(Calc!$G$3:$G$22-B3495)*Calc!$I$3:$I$22)</f>
        <v/>
      </c>
      <c r="P3495">
        <f>I3495-G3495^2/k_n</f>
        <v/>
      </c>
      <c r="Q3495">
        <f>J3495-H3495^2/k_n</f>
        <v/>
      </c>
      <c r="R3495">
        <f>K3495-G3495*H3495/k_n</f>
        <v/>
      </c>
      <c r="S3495">
        <f>L3495-LTP3!$D$3*G3495/k_n</f>
        <v/>
      </c>
      <c r="T3495">
        <f>M3495-LTP3!$D$3*H3495/k_n</f>
        <v/>
      </c>
      <c r="U3495">
        <f>N3495-G3495*LTP3!$D$4/k_n</f>
        <v/>
      </c>
      <c r="V3495">
        <f>O3495-H3495*LTP3!$D$4/k_n</f>
        <v/>
      </c>
      <c r="W3495">
        <f>((LTP3!$D$5)*((P3495)*(Q3495)-(R3495)*(R3495))-(S3495)*((S3495)*(Q3495)-(R3495)*(T3495))+(T3495)*((S3495)*(R3495)-(P3495)*(T3495)))</f>
        <v/>
      </c>
      <c r="X3495">
        <f>IF(ABS(W3495)&gt;1E-12,((LTP3!$D$6)*((P3495)*(Q3495)-(R3495)*(R3495))-(S3495)*((U3495)*(Q3495)-(R3495)*(V3495))+(T3495)*((U3495)*(R3495)-(P3495)*(V3495)))/W3495,0)</f>
        <v/>
      </c>
      <c r="Y3495">
        <f>IF(ABS(W3495)&gt;1E-12,((LTP3!$D$5)*((U3495)*(Q3495)-(R3495)*(V3495))-(LTP3!$D$6)*((S3495)*(Q3495)-(R3495)*(T3495))+(T3495)*((S3495)*(V3495)-(U3495)*(T3495)))/W3495,0)</f>
        <v/>
      </c>
      <c r="Z3495">
        <f>IF(ABS(W3495)&gt;1E-12,((LTP3!$D$5)*((P3495)*(V3495)-(U3495)*(R3495))-(S3495)*((S3495)*(V3495)-(U3495)*(T3495))+(LTP3!$D$6)*((S3495)*(R3495)-(P3495)*(T3495)))/W3495,0)</f>
        <v/>
      </c>
      <c r="AA3495">
        <f>LTP3!$D$7-X3495*LTP3!$D$6-Y3495*U3495-Z3495*V3495</f>
        <v/>
      </c>
      <c r="AB3495">
        <f>IF(AND(F3495,ABS(W3495)&gt;1E-12,Y3495&gt;0,Z3495&gt;0),AA3495,1E+300)</f>
        <v/>
      </c>
    </row>
    <row r="3496">
      <c r="A3496">
        <f>$B$3+$B$5*57</f>
        <v/>
      </c>
      <c r="B3496">
        <f>$B$3+$B$5*7</f>
        <v/>
      </c>
      <c r="C3496">
        <f>SUMPRODUCT(Calc!$K$3:$K$22*(Calc!$G$3:$G$22&lt;=A3496))</f>
        <v/>
      </c>
      <c r="D3496">
        <f>SUMPRODUCT(Calc!$K$3:$K$22*(Calc!$G$3:$G$22&gt;A3496)*(Calc!$G$3:$G$22&lt;B3496))</f>
        <v/>
      </c>
      <c r="E3496">
        <f>SUMPRODUCT(Calc!$K$3:$K$22*(Calc!$G$3:$G$22&gt;=B3496))</f>
        <v/>
      </c>
      <c r="F3496">
        <f>AND(k_n&gt;=5,B3496&gt;A3496+1E-9,C3496&gt;=2,D3496&gt;=1,E3496&gt;=2)</f>
        <v/>
      </c>
      <c r="G3496">
        <f>SUMPRODUCT(Calc!$K$3:$K$22*(Calc!$G$3:$G$22&gt;A3496)*(Calc!$G$3:$G$22-A3496))</f>
        <v/>
      </c>
      <c r="H3496">
        <f>SUMPRODUCT(Calc!$K$3:$K$22*(Calc!$G$3:$G$22&gt;B3496)*(Calc!$G$3:$G$22-B3496))</f>
        <v/>
      </c>
      <c r="I3496">
        <f>SUMPRODUCT(Calc!$K$3:$K$22*(Calc!$G$3:$G$22&gt;A3496)*(Calc!$G$3:$G$22-A3496)^2)</f>
        <v/>
      </c>
      <c r="J3496">
        <f>SUMPRODUCT(Calc!$K$3:$K$22*(Calc!$G$3:$G$22&gt;B3496)*(Calc!$G$3:$G$22-B3496)^2)</f>
        <v/>
      </c>
      <c r="K3496">
        <f>SUMPRODUCT(Calc!$K$3:$K$22*(Calc!$G$3:$G$22&gt;A3496)*(Calc!$G$3:$G$22-A3496)*(Calc!$G$3:$G$22&gt;B3496)*(Calc!$G$3:$G$22-B3496))</f>
        <v/>
      </c>
      <c r="L3496">
        <f>SUMPRODUCT(Calc!$K$3:$K$22*(Calc!$G$3:$G$22&gt;A3496)*(Calc!$G$3:$G$22-A3496)*Calc!$G$3:$G$22)</f>
        <v/>
      </c>
      <c r="M3496">
        <f>SUMPRODUCT(Calc!$K$3:$K$22*(Calc!$G$3:$G$22&gt;B3496)*(Calc!$G$3:$G$22-B3496)*Calc!$G$3:$G$22)</f>
        <v/>
      </c>
      <c r="N3496">
        <f>SUMPRODUCT(Calc!$K$3:$K$22*(Calc!$G$3:$G$22&gt;A3496)*(Calc!$G$3:$G$22-A3496)*Calc!$I$3:$I$22)</f>
        <v/>
      </c>
      <c r="O3496">
        <f>SUMPRODUCT(Calc!$K$3:$K$22*(Calc!$G$3:$G$22&gt;B3496)*(Calc!$G$3:$G$22-B3496)*Calc!$I$3:$I$22)</f>
        <v/>
      </c>
      <c r="P3496">
        <f>I3496-G3496^2/k_n</f>
        <v/>
      </c>
      <c r="Q3496">
        <f>J3496-H3496^2/k_n</f>
        <v/>
      </c>
      <c r="R3496">
        <f>K3496-G3496*H3496/k_n</f>
        <v/>
      </c>
      <c r="S3496">
        <f>L3496-LTP3!$D$3*G3496/k_n</f>
        <v/>
      </c>
      <c r="T3496">
        <f>M3496-LTP3!$D$3*H3496/k_n</f>
        <v/>
      </c>
      <c r="U3496">
        <f>N3496-G3496*LTP3!$D$4/k_n</f>
        <v/>
      </c>
      <c r="V3496">
        <f>O3496-H3496*LTP3!$D$4/k_n</f>
        <v/>
      </c>
      <c r="W3496">
        <f>((LTP3!$D$5)*((P3496)*(Q3496)-(R3496)*(R3496))-(S3496)*((S3496)*(Q3496)-(R3496)*(T3496))+(T3496)*((S3496)*(R3496)-(P3496)*(T3496)))</f>
        <v/>
      </c>
      <c r="X3496">
        <f>IF(ABS(W3496)&gt;1E-12,((LTP3!$D$6)*((P3496)*(Q3496)-(R3496)*(R3496))-(S3496)*((U3496)*(Q3496)-(R3496)*(V3496))+(T3496)*((U3496)*(R3496)-(P3496)*(V3496)))/W3496,0)</f>
        <v/>
      </c>
      <c r="Y3496">
        <f>IF(ABS(W3496)&gt;1E-12,((LTP3!$D$5)*((U3496)*(Q3496)-(R3496)*(V3496))-(LTP3!$D$6)*((S3496)*(Q3496)-(R3496)*(T3496))+(T3496)*((S3496)*(V3496)-(U3496)*(T3496)))/W3496,0)</f>
        <v/>
      </c>
      <c r="Z3496">
        <f>IF(ABS(W3496)&gt;1E-12,((LTP3!$D$5)*((P3496)*(V3496)-(U3496)*(R3496))-(S3496)*((S3496)*(V3496)-(U3496)*(T3496))+(LTP3!$D$6)*((S3496)*(R3496)-(P3496)*(T3496)))/W3496,0)</f>
        <v/>
      </c>
      <c r="AA3496">
        <f>LTP3!$D$7-X3496*LTP3!$D$6-Y3496*U3496-Z3496*V3496</f>
        <v/>
      </c>
      <c r="AB3496">
        <f>IF(AND(F3496,ABS(W3496)&gt;1E-12,Y3496&gt;0,Z3496&gt;0),AA3496,1E+300)</f>
        <v/>
      </c>
    </row>
    <row r="3497">
      <c r="A3497">
        <f>$B$3+$B$5*57</f>
        <v/>
      </c>
      <c r="B3497">
        <f>$B$3+$B$5*8</f>
        <v/>
      </c>
      <c r="C3497">
        <f>SUMPRODUCT(Calc!$K$3:$K$22*(Calc!$G$3:$G$22&lt;=A3497))</f>
        <v/>
      </c>
      <c r="D3497">
        <f>SUMPRODUCT(Calc!$K$3:$K$22*(Calc!$G$3:$G$22&gt;A3497)*(Calc!$G$3:$G$22&lt;B3497))</f>
        <v/>
      </c>
      <c r="E3497">
        <f>SUMPRODUCT(Calc!$K$3:$K$22*(Calc!$G$3:$G$22&gt;=B3497))</f>
        <v/>
      </c>
      <c r="F3497">
        <f>AND(k_n&gt;=5,B3497&gt;A3497+1E-9,C3497&gt;=2,D3497&gt;=1,E3497&gt;=2)</f>
        <v/>
      </c>
      <c r="G3497">
        <f>SUMPRODUCT(Calc!$K$3:$K$22*(Calc!$G$3:$G$22&gt;A3497)*(Calc!$G$3:$G$22-A3497))</f>
        <v/>
      </c>
      <c r="H3497">
        <f>SUMPRODUCT(Calc!$K$3:$K$22*(Calc!$G$3:$G$22&gt;B3497)*(Calc!$G$3:$G$22-B3497))</f>
        <v/>
      </c>
      <c r="I3497">
        <f>SUMPRODUCT(Calc!$K$3:$K$22*(Calc!$G$3:$G$22&gt;A3497)*(Calc!$G$3:$G$22-A3497)^2)</f>
        <v/>
      </c>
      <c r="J3497">
        <f>SUMPRODUCT(Calc!$K$3:$K$22*(Calc!$G$3:$G$22&gt;B3497)*(Calc!$G$3:$G$22-B3497)^2)</f>
        <v/>
      </c>
      <c r="K3497">
        <f>SUMPRODUCT(Calc!$K$3:$K$22*(Calc!$G$3:$G$22&gt;A3497)*(Calc!$G$3:$G$22-A3497)*(Calc!$G$3:$G$22&gt;B3497)*(Calc!$G$3:$G$22-B3497))</f>
        <v/>
      </c>
      <c r="L3497">
        <f>SUMPRODUCT(Calc!$K$3:$K$22*(Calc!$G$3:$G$22&gt;A3497)*(Calc!$G$3:$G$22-A3497)*Calc!$G$3:$G$22)</f>
        <v/>
      </c>
      <c r="M3497">
        <f>SUMPRODUCT(Calc!$K$3:$K$22*(Calc!$G$3:$G$22&gt;B3497)*(Calc!$G$3:$G$22-B3497)*Calc!$G$3:$G$22)</f>
        <v/>
      </c>
      <c r="N3497">
        <f>SUMPRODUCT(Calc!$K$3:$K$22*(Calc!$G$3:$G$22&gt;A3497)*(Calc!$G$3:$G$22-A3497)*Calc!$I$3:$I$22)</f>
        <v/>
      </c>
      <c r="O3497">
        <f>SUMPRODUCT(Calc!$K$3:$K$22*(Calc!$G$3:$G$22&gt;B3497)*(Calc!$G$3:$G$22-B3497)*Calc!$I$3:$I$22)</f>
        <v/>
      </c>
      <c r="P3497">
        <f>I3497-G3497^2/k_n</f>
        <v/>
      </c>
      <c r="Q3497">
        <f>J3497-H3497^2/k_n</f>
        <v/>
      </c>
      <c r="R3497">
        <f>K3497-G3497*H3497/k_n</f>
        <v/>
      </c>
      <c r="S3497">
        <f>L3497-LTP3!$D$3*G3497/k_n</f>
        <v/>
      </c>
      <c r="T3497">
        <f>M3497-LTP3!$D$3*H3497/k_n</f>
        <v/>
      </c>
      <c r="U3497">
        <f>N3497-G3497*LTP3!$D$4/k_n</f>
        <v/>
      </c>
      <c r="V3497">
        <f>O3497-H3497*LTP3!$D$4/k_n</f>
        <v/>
      </c>
      <c r="W3497">
        <f>((LTP3!$D$5)*((P3497)*(Q3497)-(R3497)*(R3497))-(S3497)*((S3497)*(Q3497)-(R3497)*(T3497))+(T3497)*((S3497)*(R3497)-(P3497)*(T3497)))</f>
        <v/>
      </c>
      <c r="X3497">
        <f>IF(ABS(W3497)&gt;1E-12,((LTP3!$D$6)*((P3497)*(Q3497)-(R3497)*(R3497))-(S3497)*((U3497)*(Q3497)-(R3497)*(V3497))+(T3497)*((U3497)*(R3497)-(P3497)*(V3497)))/W3497,0)</f>
        <v/>
      </c>
      <c r="Y3497">
        <f>IF(ABS(W3497)&gt;1E-12,((LTP3!$D$5)*((U3497)*(Q3497)-(R3497)*(V3497))-(LTP3!$D$6)*((S3497)*(Q3497)-(R3497)*(T3497))+(T3497)*((S3497)*(V3497)-(U3497)*(T3497)))/W3497,0)</f>
        <v/>
      </c>
      <c r="Z3497">
        <f>IF(ABS(W3497)&gt;1E-12,((LTP3!$D$5)*((P3497)*(V3497)-(U3497)*(R3497))-(S3497)*((S3497)*(V3497)-(U3497)*(T3497))+(LTP3!$D$6)*((S3497)*(R3497)-(P3497)*(T3497)))/W3497,0)</f>
        <v/>
      </c>
      <c r="AA3497">
        <f>LTP3!$D$7-X3497*LTP3!$D$6-Y3497*U3497-Z3497*V3497</f>
        <v/>
      </c>
      <c r="AB3497">
        <f>IF(AND(F3497,ABS(W3497)&gt;1E-12,Y3497&gt;0,Z3497&gt;0),AA3497,1E+300)</f>
        <v/>
      </c>
    </row>
    <row r="3498">
      <c r="A3498">
        <f>$B$3+$B$5*57</f>
        <v/>
      </c>
      <c r="B3498">
        <f>$B$3+$B$5*9</f>
        <v/>
      </c>
      <c r="C3498">
        <f>SUMPRODUCT(Calc!$K$3:$K$22*(Calc!$G$3:$G$22&lt;=A3498))</f>
        <v/>
      </c>
      <c r="D3498">
        <f>SUMPRODUCT(Calc!$K$3:$K$22*(Calc!$G$3:$G$22&gt;A3498)*(Calc!$G$3:$G$22&lt;B3498))</f>
        <v/>
      </c>
      <c r="E3498">
        <f>SUMPRODUCT(Calc!$K$3:$K$22*(Calc!$G$3:$G$22&gt;=B3498))</f>
        <v/>
      </c>
      <c r="F3498">
        <f>AND(k_n&gt;=5,B3498&gt;A3498+1E-9,C3498&gt;=2,D3498&gt;=1,E3498&gt;=2)</f>
        <v/>
      </c>
      <c r="G3498">
        <f>SUMPRODUCT(Calc!$K$3:$K$22*(Calc!$G$3:$G$22&gt;A3498)*(Calc!$G$3:$G$22-A3498))</f>
        <v/>
      </c>
      <c r="H3498">
        <f>SUMPRODUCT(Calc!$K$3:$K$22*(Calc!$G$3:$G$22&gt;B3498)*(Calc!$G$3:$G$22-B3498))</f>
        <v/>
      </c>
      <c r="I3498">
        <f>SUMPRODUCT(Calc!$K$3:$K$22*(Calc!$G$3:$G$22&gt;A3498)*(Calc!$G$3:$G$22-A3498)^2)</f>
        <v/>
      </c>
      <c r="J3498">
        <f>SUMPRODUCT(Calc!$K$3:$K$22*(Calc!$G$3:$G$22&gt;B3498)*(Calc!$G$3:$G$22-B3498)^2)</f>
        <v/>
      </c>
      <c r="K3498">
        <f>SUMPRODUCT(Calc!$K$3:$K$22*(Calc!$G$3:$G$22&gt;A3498)*(Calc!$G$3:$G$22-A3498)*(Calc!$G$3:$G$22&gt;B3498)*(Calc!$G$3:$G$22-B3498))</f>
        <v/>
      </c>
      <c r="L3498">
        <f>SUMPRODUCT(Calc!$K$3:$K$22*(Calc!$G$3:$G$22&gt;A3498)*(Calc!$G$3:$G$22-A3498)*Calc!$G$3:$G$22)</f>
        <v/>
      </c>
      <c r="M3498">
        <f>SUMPRODUCT(Calc!$K$3:$K$22*(Calc!$G$3:$G$22&gt;B3498)*(Calc!$G$3:$G$22-B3498)*Calc!$G$3:$G$22)</f>
        <v/>
      </c>
      <c r="N3498">
        <f>SUMPRODUCT(Calc!$K$3:$K$22*(Calc!$G$3:$G$22&gt;A3498)*(Calc!$G$3:$G$22-A3498)*Calc!$I$3:$I$22)</f>
        <v/>
      </c>
      <c r="O3498">
        <f>SUMPRODUCT(Calc!$K$3:$K$22*(Calc!$G$3:$G$22&gt;B3498)*(Calc!$G$3:$G$22-B3498)*Calc!$I$3:$I$22)</f>
        <v/>
      </c>
      <c r="P3498">
        <f>I3498-G3498^2/k_n</f>
        <v/>
      </c>
      <c r="Q3498">
        <f>J3498-H3498^2/k_n</f>
        <v/>
      </c>
      <c r="R3498">
        <f>K3498-G3498*H3498/k_n</f>
        <v/>
      </c>
      <c r="S3498">
        <f>L3498-LTP3!$D$3*G3498/k_n</f>
        <v/>
      </c>
      <c r="T3498">
        <f>M3498-LTP3!$D$3*H3498/k_n</f>
        <v/>
      </c>
      <c r="U3498">
        <f>N3498-G3498*LTP3!$D$4/k_n</f>
        <v/>
      </c>
      <c r="V3498">
        <f>O3498-H3498*LTP3!$D$4/k_n</f>
        <v/>
      </c>
      <c r="W3498">
        <f>((LTP3!$D$5)*((P3498)*(Q3498)-(R3498)*(R3498))-(S3498)*((S3498)*(Q3498)-(R3498)*(T3498))+(T3498)*((S3498)*(R3498)-(P3498)*(T3498)))</f>
        <v/>
      </c>
      <c r="X3498">
        <f>IF(ABS(W3498)&gt;1E-12,((LTP3!$D$6)*((P3498)*(Q3498)-(R3498)*(R3498))-(S3498)*((U3498)*(Q3498)-(R3498)*(V3498))+(T3498)*((U3498)*(R3498)-(P3498)*(V3498)))/W3498,0)</f>
        <v/>
      </c>
      <c r="Y3498">
        <f>IF(ABS(W3498)&gt;1E-12,((LTP3!$D$5)*((U3498)*(Q3498)-(R3498)*(V3498))-(LTP3!$D$6)*((S3498)*(Q3498)-(R3498)*(T3498))+(T3498)*((S3498)*(V3498)-(U3498)*(T3498)))/W3498,0)</f>
        <v/>
      </c>
      <c r="Z3498">
        <f>IF(ABS(W3498)&gt;1E-12,((LTP3!$D$5)*((P3498)*(V3498)-(U3498)*(R3498))-(S3498)*((S3498)*(V3498)-(U3498)*(T3498))+(LTP3!$D$6)*((S3498)*(R3498)-(P3498)*(T3498)))/W3498,0)</f>
        <v/>
      </c>
      <c r="AA3498">
        <f>LTP3!$D$7-X3498*LTP3!$D$6-Y3498*U3498-Z3498*V3498</f>
        <v/>
      </c>
      <c r="AB3498">
        <f>IF(AND(F3498,ABS(W3498)&gt;1E-12,Y3498&gt;0,Z3498&gt;0),AA3498,1E+300)</f>
        <v/>
      </c>
    </row>
    <row r="3499">
      <c r="A3499">
        <f>$B$3+$B$5*57</f>
        <v/>
      </c>
      <c r="B3499">
        <f>$B$3+$B$5*10</f>
        <v/>
      </c>
      <c r="C3499">
        <f>SUMPRODUCT(Calc!$K$3:$K$22*(Calc!$G$3:$G$22&lt;=A3499))</f>
        <v/>
      </c>
      <c r="D3499">
        <f>SUMPRODUCT(Calc!$K$3:$K$22*(Calc!$G$3:$G$22&gt;A3499)*(Calc!$G$3:$G$22&lt;B3499))</f>
        <v/>
      </c>
      <c r="E3499">
        <f>SUMPRODUCT(Calc!$K$3:$K$22*(Calc!$G$3:$G$22&gt;=B3499))</f>
        <v/>
      </c>
      <c r="F3499">
        <f>AND(k_n&gt;=5,B3499&gt;A3499+1E-9,C3499&gt;=2,D3499&gt;=1,E3499&gt;=2)</f>
        <v/>
      </c>
      <c r="G3499">
        <f>SUMPRODUCT(Calc!$K$3:$K$22*(Calc!$G$3:$G$22&gt;A3499)*(Calc!$G$3:$G$22-A3499))</f>
        <v/>
      </c>
      <c r="H3499">
        <f>SUMPRODUCT(Calc!$K$3:$K$22*(Calc!$G$3:$G$22&gt;B3499)*(Calc!$G$3:$G$22-B3499))</f>
        <v/>
      </c>
      <c r="I3499">
        <f>SUMPRODUCT(Calc!$K$3:$K$22*(Calc!$G$3:$G$22&gt;A3499)*(Calc!$G$3:$G$22-A3499)^2)</f>
        <v/>
      </c>
      <c r="J3499">
        <f>SUMPRODUCT(Calc!$K$3:$K$22*(Calc!$G$3:$G$22&gt;B3499)*(Calc!$G$3:$G$22-B3499)^2)</f>
        <v/>
      </c>
      <c r="K3499">
        <f>SUMPRODUCT(Calc!$K$3:$K$22*(Calc!$G$3:$G$22&gt;A3499)*(Calc!$G$3:$G$22-A3499)*(Calc!$G$3:$G$22&gt;B3499)*(Calc!$G$3:$G$22-B3499))</f>
        <v/>
      </c>
      <c r="L3499">
        <f>SUMPRODUCT(Calc!$K$3:$K$22*(Calc!$G$3:$G$22&gt;A3499)*(Calc!$G$3:$G$22-A3499)*Calc!$G$3:$G$22)</f>
        <v/>
      </c>
      <c r="M3499">
        <f>SUMPRODUCT(Calc!$K$3:$K$22*(Calc!$G$3:$G$22&gt;B3499)*(Calc!$G$3:$G$22-B3499)*Calc!$G$3:$G$22)</f>
        <v/>
      </c>
      <c r="N3499">
        <f>SUMPRODUCT(Calc!$K$3:$K$22*(Calc!$G$3:$G$22&gt;A3499)*(Calc!$G$3:$G$22-A3499)*Calc!$I$3:$I$22)</f>
        <v/>
      </c>
      <c r="O3499">
        <f>SUMPRODUCT(Calc!$K$3:$K$22*(Calc!$G$3:$G$22&gt;B3499)*(Calc!$G$3:$G$22-B3499)*Calc!$I$3:$I$22)</f>
        <v/>
      </c>
      <c r="P3499">
        <f>I3499-G3499^2/k_n</f>
        <v/>
      </c>
      <c r="Q3499">
        <f>J3499-H3499^2/k_n</f>
        <v/>
      </c>
      <c r="R3499">
        <f>K3499-G3499*H3499/k_n</f>
        <v/>
      </c>
      <c r="S3499">
        <f>L3499-LTP3!$D$3*G3499/k_n</f>
        <v/>
      </c>
      <c r="T3499">
        <f>M3499-LTP3!$D$3*H3499/k_n</f>
        <v/>
      </c>
      <c r="U3499">
        <f>N3499-G3499*LTP3!$D$4/k_n</f>
        <v/>
      </c>
      <c r="V3499">
        <f>O3499-H3499*LTP3!$D$4/k_n</f>
        <v/>
      </c>
      <c r="W3499">
        <f>((LTP3!$D$5)*((P3499)*(Q3499)-(R3499)*(R3499))-(S3499)*((S3499)*(Q3499)-(R3499)*(T3499))+(T3499)*((S3499)*(R3499)-(P3499)*(T3499)))</f>
        <v/>
      </c>
      <c r="X3499">
        <f>IF(ABS(W3499)&gt;1E-12,((LTP3!$D$6)*((P3499)*(Q3499)-(R3499)*(R3499))-(S3499)*((U3499)*(Q3499)-(R3499)*(V3499))+(T3499)*((U3499)*(R3499)-(P3499)*(V3499)))/W3499,0)</f>
        <v/>
      </c>
      <c r="Y3499">
        <f>IF(ABS(W3499)&gt;1E-12,((LTP3!$D$5)*((U3499)*(Q3499)-(R3499)*(V3499))-(LTP3!$D$6)*((S3499)*(Q3499)-(R3499)*(T3499))+(T3499)*((S3499)*(V3499)-(U3499)*(T3499)))/W3499,0)</f>
        <v/>
      </c>
      <c r="Z3499">
        <f>IF(ABS(W3499)&gt;1E-12,((LTP3!$D$5)*((P3499)*(V3499)-(U3499)*(R3499))-(S3499)*((S3499)*(V3499)-(U3499)*(T3499))+(LTP3!$D$6)*((S3499)*(R3499)-(P3499)*(T3499)))/W3499,0)</f>
        <v/>
      </c>
      <c r="AA3499">
        <f>LTP3!$D$7-X3499*LTP3!$D$6-Y3499*U3499-Z3499*V3499</f>
        <v/>
      </c>
      <c r="AB3499">
        <f>IF(AND(F3499,ABS(W3499)&gt;1E-12,Y3499&gt;0,Z3499&gt;0),AA3499,1E+300)</f>
        <v/>
      </c>
    </row>
    <row r="3500">
      <c r="A3500">
        <f>$B$3+$B$5*57</f>
        <v/>
      </c>
      <c r="B3500">
        <f>$B$3+$B$5*11</f>
        <v/>
      </c>
      <c r="C3500">
        <f>SUMPRODUCT(Calc!$K$3:$K$22*(Calc!$G$3:$G$22&lt;=A3500))</f>
        <v/>
      </c>
      <c r="D3500">
        <f>SUMPRODUCT(Calc!$K$3:$K$22*(Calc!$G$3:$G$22&gt;A3500)*(Calc!$G$3:$G$22&lt;B3500))</f>
        <v/>
      </c>
      <c r="E3500">
        <f>SUMPRODUCT(Calc!$K$3:$K$22*(Calc!$G$3:$G$22&gt;=B3500))</f>
        <v/>
      </c>
      <c r="F3500">
        <f>AND(k_n&gt;=5,B3500&gt;A3500+1E-9,C3500&gt;=2,D3500&gt;=1,E3500&gt;=2)</f>
        <v/>
      </c>
      <c r="G3500">
        <f>SUMPRODUCT(Calc!$K$3:$K$22*(Calc!$G$3:$G$22&gt;A3500)*(Calc!$G$3:$G$22-A3500))</f>
        <v/>
      </c>
      <c r="H3500">
        <f>SUMPRODUCT(Calc!$K$3:$K$22*(Calc!$G$3:$G$22&gt;B3500)*(Calc!$G$3:$G$22-B3500))</f>
        <v/>
      </c>
      <c r="I3500">
        <f>SUMPRODUCT(Calc!$K$3:$K$22*(Calc!$G$3:$G$22&gt;A3500)*(Calc!$G$3:$G$22-A3500)^2)</f>
        <v/>
      </c>
      <c r="J3500">
        <f>SUMPRODUCT(Calc!$K$3:$K$22*(Calc!$G$3:$G$22&gt;B3500)*(Calc!$G$3:$G$22-B3500)^2)</f>
        <v/>
      </c>
      <c r="K3500">
        <f>SUMPRODUCT(Calc!$K$3:$K$22*(Calc!$G$3:$G$22&gt;A3500)*(Calc!$G$3:$G$22-A3500)*(Calc!$G$3:$G$22&gt;B3500)*(Calc!$G$3:$G$22-B3500))</f>
        <v/>
      </c>
      <c r="L3500">
        <f>SUMPRODUCT(Calc!$K$3:$K$22*(Calc!$G$3:$G$22&gt;A3500)*(Calc!$G$3:$G$22-A3500)*Calc!$G$3:$G$22)</f>
        <v/>
      </c>
      <c r="M3500">
        <f>SUMPRODUCT(Calc!$K$3:$K$22*(Calc!$G$3:$G$22&gt;B3500)*(Calc!$G$3:$G$22-B3500)*Calc!$G$3:$G$22)</f>
        <v/>
      </c>
      <c r="N3500">
        <f>SUMPRODUCT(Calc!$K$3:$K$22*(Calc!$G$3:$G$22&gt;A3500)*(Calc!$G$3:$G$22-A3500)*Calc!$I$3:$I$22)</f>
        <v/>
      </c>
      <c r="O3500">
        <f>SUMPRODUCT(Calc!$K$3:$K$22*(Calc!$G$3:$G$22&gt;B3500)*(Calc!$G$3:$G$22-B3500)*Calc!$I$3:$I$22)</f>
        <v/>
      </c>
      <c r="P3500">
        <f>I3500-G3500^2/k_n</f>
        <v/>
      </c>
      <c r="Q3500">
        <f>J3500-H3500^2/k_n</f>
        <v/>
      </c>
      <c r="R3500">
        <f>K3500-G3500*H3500/k_n</f>
        <v/>
      </c>
      <c r="S3500">
        <f>L3500-LTP3!$D$3*G3500/k_n</f>
        <v/>
      </c>
      <c r="T3500">
        <f>M3500-LTP3!$D$3*H3500/k_n</f>
        <v/>
      </c>
      <c r="U3500">
        <f>N3500-G3500*LTP3!$D$4/k_n</f>
        <v/>
      </c>
      <c r="V3500">
        <f>O3500-H3500*LTP3!$D$4/k_n</f>
        <v/>
      </c>
      <c r="W3500">
        <f>((LTP3!$D$5)*((P3500)*(Q3500)-(R3500)*(R3500))-(S3500)*((S3500)*(Q3500)-(R3500)*(T3500))+(T3500)*((S3500)*(R3500)-(P3500)*(T3500)))</f>
        <v/>
      </c>
      <c r="X3500">
        <f>IF(ABS(W3500)&gt;1E-12,((LTP3!$D$6)*((P3500)*(Q3500)-(R3500)*(R3500))-(S3500)*((U3500)*(Q3500)-(R3500)*(V3500))+(T3500)*((U3500)*(R3500)-(P3500)*(V3500)))/W3500,0)</f>
        <v/>
      </c>
      <c r="Y3500">
        <f>IF(ABS(W3500)&gt;1E-12,((LTP3!$D$5)*((U3500)*(Q3500)-(R3500)*(V3500))-(LTP3!$D$6)*((S3500)*(Q3500)-(R3500)*(T3500))+(T3500)*((S3500)*(V3500)-(U3500)*(T3500)))/W3500,0)</f>
        <v/>
      </c>
      <c r="Z3500">
        <f>IF(ABS(W3500)&gt;1E-12,((LTP3!$D$5)*((P3500)*(V3500)-(U3500)*(R3500))-(S3500)*((S3500)*(V3500)-(U3500)*(T3500))+(LTP3!$D$6)*((S3500)*(R3500)-(P3500)*(T3500)))/W3500,0)</f>
        <v/>
      </c>
      <c r="AA3500">
        <f>LTP3!$D$7-X3500*LTP3!$D$6-Y3500*U3500-Z3500*V3500</f>
        <v/>
      </c>
      <c r="AB3500">
        <f>IF(AND(F3500,ABS(W3500)&gt;1E-12,Y3500&gt;0,Z3500&gt;0),AA3500,1E+300)</f>
        <v/>
      </c>
    </row>
    <row r="3501">
      <c r="A3501">
        <f>$B$3+$B$5*57</f>
        <v/>
      </c>
      <c r="B3501">
        <f>$B$3+$B$5*12</f>
        <v/>
      </c>
      <c r="C3501">
        <f>SUMPRODUCT(Calc!$K$3:$K$22*(Calc!$G$3:$G$22&lt;=A3501))</f>
        <v/>
      </c>
      <c r="D3501">
        <f>SUMPRODUCT(Calc!$K$3:$K$22*(Calc!$G$3:$G$22&gt;A3501)*(Calc!$G$3:$G$22&lt;B3501))</f>
        <v/>
      </c>
      <c r="E3501">
        <f>SUMPRODUCT(Calc!$K$3:$K$22*(Calc!$G$3:$G$22&gt;=B3501))</f>
        <v/>
      </c>
      <c r="F3501">
        <f>AND(k_n&gt;=5,B3501&gt;A3501+1E-9,C3501&gt;=2,D3501&gt;=1,E3501&gt;=2)</f>
        <v/>
      </c>
      <c r="G3501">
        <f>SUMPRODUCT(Calc!$K$3:$K$22*(Calc!$G$3:$G$22&gt;A3501)*(Calc!$G$3:$G$22-A3501))</f>
        <v/>
      </c>
      <c r="H3501">
        <f>SUMPRODUCT(Calc!$K$3:$K$22*(Calc!$G$3:$G$22&gt;B3501)*(Calc!$G$3:$G$22-B3501))</f>
        <v/>
      </c>
      <c r="I3501">
        <f>SUMPRODUCT(Calc!$K$3:$K$22*(Calc!$G$3:$G$22&gt;A3501)*(Calc!$G$3:$G$22-A3501)^2)</f>
        <v/>
      </c>
      <c r="J3501">
        <f>SUMPRODUCT(Calc!$K$3:$K$22*(Calc!$G$3:$G$22&gt;B3501)*(Calc!$G$3:$G$22-B3501)^2)</f>
        <v/>
      </c>
      <c r="K3501">
        <f>SUMPRODUCT(Calc!$K$3:$K$22*(Calc!$G$3:$G$22&gt;A3501)*(Calc!$G$3:$G$22-A3501)*(Calc!$G$3:$G$22&gt;B3501)*(Calc!$G$3:$G$22-B3501))</f>
        <v/>
      </c>
      <c r="L3501">
        <f>SUMPRODUCT(Calc!$K$3:$K$22*(Calc!$G$3:$G$22&gt;A3501)*(Calc!$G$3:$G$22-A3501)*Calc!$G$3:$G$22)</f>
        <v/>
      </c>
      <c r="M3501">
        <f>SUMPRODUCT(Calc!$K$3:$K$22*(Calc!$G$3:$G$22&gt;B3501)*(Calc!$G$3:$G$22-B3501)*Calc!$G$3:$G$22)</f>
        <v/>
      </c>
      <c r="N3501">
        <f>SUMPRODUCT(Calc!$K$3:$K$22*(Calc!$G$3:$G$22&gt;A3501)*(Calc!$G$3:$G$22-A3501)*Calc!$I$3:$I$22)</f>
        <v/>
      </c>
      <c r="O3501">
        <f>SUMPRODUCT(Calc!$K$3:$K$22*(Calc!$G$3:$G$22&gt;B3501)*(Calc!$G$3:$G$22-B3501)*Calc!$I$3:$I$22)</f>
        <v/>
      </c>
      <c r="P3501">
        <f>I3501-G3501^2/k_n</f>
        <v/>
      </c>
      <c r="Q3501">
        <f>J3501-H3501^2/k_n</f>
        <v/>
      </c>
      <c r="R3501">
        <f>K3501-G3501*H3501/k_n</f>
        <v/>
      </c>
      <c r="S3501">
        <f>L3501-LTP3!$D$3*G3501/k_n</f>
        <v/>
      </c>
      <c r="T3501">
        <f>M3501-LTP3!$D$3*H3501/k_n</f>
        <v/>
      </c>
      <c r="U3501">
        <f>N3501-G3501*LTP3!$D$4/k_n</f>
        <v/>
      </c>
      <c r="V3501">
        <f>O3501-H3501*LTP3!$D$4/k_n</f>
        <v/>
      </c>
      <c r="W3501">
        <f>((LTP3!$D$5)*((P3501)*(Q3501)-(R3501)*(R3501))-(S3501)*((S3501)*(Q3501)-(R3501)*(T3501))+(T3501)*((S3501)*(R3501)-(P3501)*(T3501)))</f>
        <v/>
      </c>
      <c r="X3501">
        <f>IF(ABS(W3501)&gt;1E-12,((LTP3!$D$6)*((P3501)*(Q3501)-(R3501)*(R3501))-(S3501)*((U3501)*(Q3501)-(R3501)*(V3501))+(T3501)*((U3501)*(R3501)-(P3501)*(V3501)))/W3501,0)</f>
        <v/>
      </c>
      <c r="Y3501">
        <f>IF(ABS(W3501)&gt;1E-12,((LTP3!$D$5)*((U3501)*(Q3501)-(R3501)*(V3501))-(LTP3!$D$6)*((S3501)*(Q3501)-(R3501)*(T3501))+(T3501)*((S3501)*(V3501)-(U3501)*(T3501)))/W3501,0)</f>
        <v/>
      </c>
      <c r="Z3501">
        <f>IF(ABS(W3501)&gt;1E-12,((LTP3!$D$5)*((P3501)*(V3501)-(U3501)*(R3501))-(S3501)*((S3501)*(V3501)-(U3501)*(T3501))+(LTP3!$D$6)*((S3501)*(R3501)-(P3501)*(T3501)))/W3501,0)</f>
        <v/>
      </c>
      <c r="AA3501">
        <f>LTP3!$D$7-X3501*LTP3!$D$6-Y3501*U3501-Z3501*V3501</f>
        <v/>
      </c>
      <c r="AB3501">
        <f>IF(AND(F3501,ABS(W3501)&gt;1E-12,Y3501&gt;0,Z3501&gt;0),AA3501,1E+300)</f>
        <v/>
      </c>
    </row>
    <row r="3502">
      <c r="A3502">
        <f>$B$3+$B$5*57</f>
        <v/>
      </c>
      <c r="B3502">
        <f>$B$3+$B$5*13</f>
        <v/>
      </c>
      <c r="C3502">
        <f>SUMPRODUCT(Calc!$K$3:$K$22*(Calc!$G$3:$G$22&lt;=A3502))</f>
        <v/>
      </c>
      <c r="D3502">
        <f>SUMPRODUCT(Calc!$K$3:$K$22*(Calc!$G$3:$G$22&gt;A3502)*(Calc!$G$3:$G$22&lt;B3502))</f>
        <v/>
      </c>
      <c r="E3502">
        <f>SUMPRODUCT(Calc!$K$3:$K$22*(Calc!$G$3:$G$22&gt;=B3502))</f>
        <v/>
      </c>
      <c r="F3502">
        <f>AND(k_n&gt;=5,B3502&gt;A3502+1E-9,C3502&gt;=2,D3502&gt;=1,E3502&gt;=2)</f>
        <v/>
      </c>
      <c r="G3502">
        <f>SUMPRODUCT(Calc!$K$3:$K$22*(Calc!$G$3:$G$22&gt;A3502)*(Calc!$G$3:$G$22-A3502))</f>
        <v/>
      </c>
      <c r="H3502">
        <f>SUMPRODUCT(Calc!$K$3:$K$22*(Calc!$G$3:$G$22&gt;B3502)*(Calc!$G$3:$G$22-B3502))</f>
        <v/>
      </c>
      <c r="I3502">
        <f>SUMPRODUCT(Calc!$K$3:$K$22*(Calc!$G$3:$G$22&gt;A3502)*(Calc!$G$3:$G$22-A3502)^2)</f>
        <v/>
      </c>
      <c r="J3502">
        <f>SUMPRODUCT(Calc!$K$3:$K$22*(Calc!$G$3:$G$22&gt;B3502)*(Calc!$G$3:$G$22-B3502)^2)</f>
        <v/>
      </c>
      <c r="K3502">
        <f>SUMPRODUCT(Calc!$K$3:$K$22*(Calc!$G$3:$G$22&gt;A3502)*(Calc!$G$3:$G$22-A3502)*(Calc!$G$3:$G$22&gt;B3502)*(Calc!$G$3:$G$22-B3502))</f>
        <v/>
      </c>
      <c r="L3502">
        <f>SUMPRODUCT(Calc!$K$3:$K$22*(Calc!$G$3:$G$22&gt;A3502)*(Calc!$G$3:$G$22-A3502)*Calc!$G$3:$G$22)</f>
        <v/>
      </c>
      <c r="M3502">
        <f>SUMPRODUCT(Calc!$K$3:$K$22*(Calc!$G$3:$G$22&gt;B3502)*(Calc!$G$3:$G$22-B3502)*Calc!$G$3:$G$22)</f>
        <v/>
      </c>
      <c r="N3502">
        <f>SUMPRODUCT(Calc!$K$3:$K$22*(Calc!$G$3:$G$22&gt;A3502)*(Calc!$G$3:$G$22-A3502)*Calc!$I$3:$I$22)</f>
        <v/>
      </c>
      <c r="O3502">
        <f>SUMPRODUCT(Calc!$K$3:$K$22*(Calc!$G$3:$G$22&gt;B3502)*(Calc!$G$3:$G$22-B3502)*Calc!$I$3:$I$22)</f>
        <v/>
      </c>
      <c r="P3502">
        <f>I3502-G3502^2/k_n</f>
        <v/>
      </c>
      <c r="Q3502">
        <f>J3502-H3502^2/k_n</f>
        <v/>
      </c>
      <c r="R3502">
        <f>K3502-G3502*H3502/k_n</f>
        <v/>
      </c>
      <c r="S3502">
        <f>L3502-LTP3!$D$3*G3502/k_n</f>
        <v/>
      </c>
      <c r="T3502">
        <f>M3502-LTP3!$D$3*H3502/k_n</f>
        <v/>
      </c>
      <c r="U3502">
        <f>N3502-G3502*LTP3!$D$4/k_n</f>
        <v/>
      </c>
      <c r="V3502">
        <f>O3502-H3502*LTP3!$D$4/k_n</f>
        <v/>
      </c>
      <c r="W3502">
        <f>((LTP3!$D$5)*((P3502)*(Q3502)-(R3502)*(R3502))-(S3502)*((S3502)*(Q3502)-(R3502)*(T3502))+(T3502)*((S3502)*(R3502)-(P3502)*(T3502)))</f>
        <v/>
      </c>
      <c r="X3502">
        <f>IF(ABS(W3502)&gt;1E-12,((LTP3!$D$6)*((P3502)*(Q3502)-(R3502)*(R3502))-(S3502)*((U3502)*(Q3502)-(R3502)*(V3502))+(T3502)*((U3502)*(R3502)-(P3502)*(V3502)))/W3502,0)</f>
        <v/>
      </c>
      <c r="Y3502">
        <f>IF(ABS(W3502)&gt;1E-12,((LTP3!$D$5)*((U3502)*(Q3502)-(R3502)*(V3502))-(LTP3!$D$6)*((S3502)*(Q3502)-(R3502)*(T3502))+(T3502)*((S3502)*(V3502)-(U3502)*(T3502)))/W3502,0)</f>
        <v/>
      </c>
      <c r="Z3502">
        <f>IF(ABS(W3502)&gt;1E-12,((LTP3!$D$5)*((P3502)*(V3502)-(U3502)*(R3502))-(S3502)*((S3502)*(V3502)-(U3502)*(T3502))+(LTP3!$D$6)*((S3502)*(R3502)-(P3502)*(T3502)))/W3502,0)</f>
        <v/>
      </c>
      <c r="AA3502">
        <f>LTP3!$D$7-X3502*LTP3!$D$6-Y3502*U3502-Z3502*V3502</f>
        <v/>
      </c>
      <c r="AB3502">
        <f>IF(AND(F3502,ABS(W3502)&gt;1E-12,Y3502&gt;0,Z3502&gt;0),AA3502,1E+300)</f>
        <v/>
      </c>
    </row>
    <row r="3503">
      <c r="A3503">
        <f>$B$3+$B$5*57</f>
        <v/>
      </c>
      <c r="B3503">
        <f>$B$3+$B$5*14</f>
        <v/>
      </c>
      <c r="C3503">
        <f>SUMPRODUCT(Calc!$K$3:$K$22*(Calc!$G$3:$G$22&lt;=A3503))</f>
        <v/>
      </c>
      <c r="D3503">
        <f>SUMPRODUCT(Calc!$K$3:$K$22*(Calc!$G$3:$G$22&gt;A3503)*(Calc!$G$3:$G$22&lt;B3503))</f>
        <v/>
      </c>
      <c r="E3503">
        <f>SUMPRODUCT(Calc!$K$3:$K$22*(Calc!$G$3:$G$22&gt;=B3503))</f>
        <v/>
      </c>
      <c r="F3503">
        <f>AND(k_n&gt;=5,B3503&gt;A3503+1E-9,C3503&gt;=2,D3503&gt;=1,E3503&gt;=2)</f>
        <v/>
      </c>
      <c r="G3503">
        <f>SUMPRODUCT(Calc!$K$3:$K$22*(Calc!$G$3:$G$22&gt;A3503)*(Calc!$G$3:$G$22-A3503))</f>
        <v/>
      </c>
      <c r="H3503">
        <f>SUMPRODUCT(Calc!$K$3:$K$22*(Calc!$G$3:$G$22&gt;B3503)*(Calc!$G$3:$G$22-B3503))</f>
        <v/>
      </c>
      <c r="I3503">
        <f>SUMPRODUCT(Calc!$K$3:$K$22*(Calc!$G$3:$G$22&gt;A3503)*(Calc!$G$3:$G$22-A3503)^2)</f>
        <v/>
      </c>
      <c r="J3503">
        <f>SUMPRODUCT(Calc!$K$3:$K$22*(Calc!$G$3:$G$22&gt;B3503)*(Calc!$G$3:$G$22-B3503)^2)</f>
        <v/>
      </c>
      <c r="K3503">
        <f>SUMPRODUCT(Calc!$K$3:$K$22*(Calc!$G$3:$G$22&gt;A3503)*(Calc!$G$3:$G$22-A3503)*(Calc!$G$3:$G$22&gt;B3503)*(Calc!$G$3:$G$22-B3503))</f>
        <v/>
      </c>
      <c r="L3503">
        <f>SUMPRODUCT(Calc!$K$3:$K$22*(Calc!$G$3:$G$22&gt;A3503)*(Calc!$G$3:$G$22-A3503)*Calc!$G$3:$G$22)</f>
        <v/>
      </c>
      <c r="M3503">
        <f>SUMPRODUCT(Calc!$K$3:$K$22*(Calc!$G$3:$G$22&gt;B3503)*(Calc!$G$3:$G$22-B3503)*Calc!$G$3:$G$22)</f>
        <v/>
      </c>
      <c r="N3503">
        <f>SUMPRODUCT(Calc!$K$3:$K$22*(Calc!$G$3:$G$22&gt;A3503)*(Calc!$G$3:$G$22-A3503)*Calc!$I$3:$I$22)</f>
        <v/>
      </c>
      <c r="O3503">
        <f>SUMPRODUCT(Calc!$K$3:$K$22*(Calc!$G$3:$G$22&gt;B3503)*(Calc!$G$3:$G$22-B3503)*Calc!$I$3:$I$22)</f>
        <v/>
      </c>
      <c r="P3503">
        <f>I3503-G3503^2/k_n</f>
        <v/>
      </c>
      <c r="Q3503">
        <f>J3503-H3503^2/k_n</f>
        <v/>
      </c>
      <c r="R3503">
        <f>K3503-G3503*H3503/k_n</f>
        <v/>
      </c>
      <c r="S3503">
        <f>L3503-LTP3!$D$3*G3503/k_n</f>
        <v/>
      </c>
      <c r="T3503">
        <f>M3503-LTP3!$D$3*H3503/k_n</f>
        <v/>
      </c>
      <c r="U3503">
        <f>N3503-G3503*LTP3!$D$4/k_n</f>
        <v/>
      </c>
      <c r="V3503">
        <f>O3503-H3503*LTP3!$D$4/k_n</f>
        <v/>
      </c>
      <c r="W3503">
        <f>((LTP3!$D$5)*((P3503)*(Q3503)-(R3503)*(R3503))-(S3503)*((S3503)*(Q3503)-(R3503)*(T3503))+(T3503)*((S3503)*(R3503)-(P3503)*(T3503)))</f>
        <v/>
      </c>
      <c r="X3503">
        <f>IF(ABS(W3503)&gt;1E-12,((LTP3!$D$6)*((P3503)*(Q3503)-(R3503)*(R3503))-(S3503)*((U3503)*(Q3503)-(R3503)*(V3503))+(T3503)*((U3503)*(R3503)-(P3503)*(V3503)))/W3503,0)</f>
        <v/>
      </c>
      <c r="Y3503">
        <f>IF(ABS(W3503)&gt;1E-12,((LTP3!$D$5)*((U3503)*(Q3503)-(R3503)*(V3503))-(LTP3!$D$6)*((S3503)*(Q3503)-(R3503)*(T3503))+(T3503)*((S3503)*(V3503)-(U3503)*(T3503)))/W3503,0)</f>
        <v/>
      </c>
      <c r="Z3503">
        <f>IF(ABS(W3503)&gt;1E-12,((LTP3!$D$5)*((P3503)*(V3503)-(U3503)*(R3503))-(S3503)*((S3503)*(V3503)-(U3503)*(T3503))+(LTP3!$D$6)*((S3503)*(R3503)-(P3503)*(T3503)))/W3503,0)</f>
        <v/>
      </c>
      <c r="AA3503">
        <f>LTP3!$D$7-X3503*LTP3!$D$6-Y3503*U3503-Z3503*V3503</f>
        <v/>
      </c>
      <c r="AB3503">
        <f>IF(AND(F3503,ABS(W3503)&gt;1E-12,Y3503&gt;0,Z3503&gt;0),AA3503,1E+300)</f>
        <v/>
      </c>
    </row>
    <row r="3504">
      <c r="A3504">
        <f>$B$3+$B$5*57</f>
        <v/>
      </c>
      <c r="B3504">
        <f>$B$3+$B$5*15</f>
        <v/>
      </c>
      <c r="C3504">
        <f>SUMPRODUCT(Calc!$K$3:$K$22*(Calc!$G$3:$G$22&lt;=A3504))</f>
        <v/>
      </c>
      <c r="D3504">
        <f>SUMPRODUCT(Calc!$K$3:$K$22*(Calc!$G$3:$G$22&gt;A3504)*(Calc!$G$3:$G$22&lt;B3504))</f>
        <v/>
      </c>
      <c r="E3504">
        <f>SUMPRODUCT(Calc!$K$3:$K$22*(Calc!$G$3:$G$22&gt;=B3504))</f>
        <v/>
      </c>
      <c r="F3504">
        <f>AND(k_n&gt;=5,B3504&gt;A3504+1E-9,C3504&gt;=2,D3504&gt;=1,E3504&gt;=2)</f>
        <v/>
      </c>
      <c r="G3504">
        <f>SUMPRODUCT(Calc!$K$3:$K$22*(Calc!$G$3:$G$22&gt;A3504)*(Calc!$G$3:$G$22-A3504))</f>
        <v/>
      </c>
      <c r="H3504">
        <f>SUMPRODUCT(Calc!$K$3:$K$22*(Calc!$G$3:$G$22&gt;B3504)*(Calc!$G$3:$G$22-B3504))</f>
        <v/>
      </c>
      <c r="I3504">
        <f>SUMPRODUCT(Calc!$K$3:$K$22*(Calc!$G$3:$G$22&gt;A3504)*(Calc!$G$3:$G$22-A3504)^2)</f>
        <v/>
      </c>
      <c r="J3504">
        <f>SUMPRODUCT(Calc!$K$3:$K$22*(Calc!$G$3:$G$22&gt;B3504)*(Calc!$G$3:$G$22-B3504)^2)</f>
        <v/>
      </c>
      <c r="K3504">
        <f>SUMPRODUCT(Calc!$K$3:$K$22*(Calc!$G$3:$G$22&gt;A3504)*(Calc!$G$3:$G$22-A3504)*(Calc!$G$3:$G$22&gt;B3504)*(Calc!$G$3:$G$22-B3504))</f>
        <v/>
      </c>
      <c r="L3504">
        <f>SUMPRODUCT(Calc!$K$3:$K$22*(Calc!$G$3:$G$22&gt;A3504)*(Calc!$G$3:$G$22-A3504)*Calc!$G$3:$G$22)</f>
        <v/>
      </c>
      <c r="M3504">
        <f>SUMPRODUCT(Calc!$K$3:$K$22*(Calc!$G$3:$G$22&gt;B3504)*(Calc!$G$3:$G$22-B3504)*Calc!$G$3:$G$22)</f>
        <v/>
      </c>
      <c r="N3504">
        <f>SUMPRODUCT(Calc!$K$3:$K$22*(Calc!$G$3:$G$22&gt;A3504)*(Calc!$G$3:$G$22-A3504)*Calc!$I$3:$I$22)</f>
        <v/>
      </c>
      <c r="O3504">
        <f>SUMPRODUCT(Calc!$K$3:$K$22*(Calc!$G$3:$G$22&gt;B3504)*(Calc!$G$3:$G$22-B3504)*Calc!$I$3:$I$22)</f>
        <v/>
      </c>
      <c r="P3504">
        <f>I3504-G3504^2/k_n</f>
        <v/>
      </c>
      <c r="Q3504">
        <f>J3504-H3504^2/k_n</f>
        <v/>
      </c>
      <c r="R3504">
        <f>K3504-G3504*H3504/k_n</f>
        <v/>
      </c>
      <c r="S3504">
        <f>L3504-LTP3!$D$3*G3504/k_n</f>
        <v/>
      </c>
      <c r="T3504">
        <f>M3504-LTP3!$D$3*H3504/k_n</f>
        <v/>
      </c>
      <c r="U3504">
        <f>N3504-G3504*LTP3!$D$4/k_n</f>
        <v/>
      </c>
      <c r="V3504">
        <f>O3504-H3504*LTP3!$D$4/k_n</f>
        <v/>
      </c>
      <c r="W3504">
        <f>((LTP3!$D$5)*((P3504)*(Q3504)-(R3504)*(R3504))-(S3504)*((S3504)*(Q3504)-(R3504)*(T3504))+(T3504)*((S3504)*(R3504)-(P3504)*(T3504)))</f>
        <v/>
      </c>
      <c r="X3504">
        <f>IF(ABS(W3504)&gt;1E-12,((LTP3!$D$6)*((P3504)*(Q3504)-(R3504)*(R3504))-(S3504)*((U3504)*(Q3504)-(R3504)*(V3504))+(T3504)*((U3504)*(R3504)-(P3504)*(V3504)))/W3504,0)</f>
        <v/>
      </c>
      <c r="Y3504">
        <f>IF(ABS(W3504)&gt;1E-12,((LTP3!$D$5)*((U3504)*(Q3504)-(R3504)*(V3504))-(LTP3!$D$6)*((S3504)*(Q3504)-(R3504)*(T3504))+(T3504)*((S3504)*(V3504)-(U3504)*(T3504)))/W3504,0)</f>
        <v/>
      </c>
      <c r="Z3504">
        <f>IF(ABS(W3504)&gt;1E-12,((LTP3!$D$5)*((P3504)*(V3504)-(U3504)*(R3504))-(S3504)*((S3504)*(V3504)-(U3504)*(T3504))+(LTP3!$D$6)*((S3504)*(R3504)-(P3504)*(T3504)))/W3504,0)</f>
        <v/>
      </c>
      <c r="AA3504">
        <f>LTP3!$D$7-X3504*LTP3!$D$6-Y3504*U3504-Z3504*V3504</f>
        <v/>
      </c>
      <c r="AB3504">
        <f>IF(AND(F3504,ABS(W3504)&gt;1E-12,Y3504&gt;0,Z3504&gt;0),AA3504,1E+300)</f>
        <v/>
      </c>
    </row>
    <row r="3505">
      <c r="A3505">
        <f>$B$3+$B$5*57</f>
        <v/>
      </c>
      <c r="B3505">
        <f>$B$3+$B$5*16</f>
        <v/>
      </c>
      <c r="C3505">
        <f>SUMPRODUCT(Calc!$K$3:$K$22*(Calc!$G$3:$G$22&lt;=A3505))</f>
        <v/>
      </c>
      <c r="D3505">
        <f>SUMPRODUCT(Calc!$K$3:$K$22*(Calc!$G$3:$G$22&gt;A3505)*(Calc!$G$3:$G$22&lt;B3505))</f>
        <v/>
      </c>
      <c r="E3505">
        <f>SUMPRODUCT(Calc!$K$3:$K$22*(Calc!$G$3:$G$22&gt;=B3505))</f>
        <v/>
      </c>
      <c r="F3505">
        <f>AND(k_n&gt;=5,B3505&gt;A3505+1E-9,C3505&gt;=2,D3505&gt;=1,E3505&gt;=2)</f>
        <v/>
      </c>
      <c r="G3505">
        <f>SUMPRODUCT(Calc!$K$3:$K$22*(Calc!$G$3:$G$22&gt;A3505)*(Calc!$G$3:$G$22-A3505))</f>
        <v/>
      </c>
      <c r="H3505">
        <f>SUMPRODUCT(Calc!$K$3:$K$22*(Calc!$G$3:$G$22&gt;B3505)*(Calc!$G$3:$G$22-B3505))</f>
        <v/>
      </c>
      <c r="I3505">
        <f>SUMPRODUCT(Calc!$K$3:$K$22*(Calc!$G$3:$G$22&gt;A3505)*(Calc!$G$3:$G$22-A3505)^2)</f>
        <v/>
      </c>
      <c r="J3505">
        <f>SUMPRODUCT(Calc!$K$3:$K$22*(Calc!$G$3:$G$22&gt;B3505)*(Calc!$G$3:$G$22-B3505)^2)</f>
        <v/>
      </c>
      <c r="K3505">
        <f>SUMPRODUCT(Calc!$K$3:$K$22*(Calc!$G$3:$G$22&gt;A3505)*(Calc!$G$3:$G$22-A3505)*(Calc!$G$3:$G$22&gt;B3505)*(Calc!$G$3:$G$22-B3505))</f>
        <v/>
      </c>
      <c r="L3505">
        <f>SUMPRODUCT(Calc!$K$3:$K$22*(Calc!$G$3:$G$22&gt;A3505)*(Calc!$G$3:$G$22-A3505)*Calc!$G$3:$G$22)</f>
        <v/>
      </c>
      <c r="M3505">
        <f>SUMPRODUCT(Calc!$K$3:$K$22*(Calc!$G$3:$G$22&gt;B3505)*(Calc!$G$3:$G$22-B3505)*Calc!$G$3:$G$22)</f>
        <v/>
      </c>
      <c r="N3505">
        <f>SUMPRODUCT(Calc!$K$3:$K$22*(Calc!$G$3:$G$22&gt;A3505)*(Calc!$G$3:$G$22-A3505)*Calc!$I$3:$I$22)</f>
        <v/>
      </c>
      <c r="O3505">
        <f>SUMPRODUCT(Calc!$K$3:$K$22*(Calc!$G$3:$G$22&gt;B3505)*(Calc!$G$3:$G$22-B3505)*Calc!$I$3:$I$22)</f>
        <v/>
      </c>
      <c r="P3505">
        <f>I3505-G3505^2/k_n</f>
        <v/>
      </c>
      <c r="Q3505">
        <f>J3505-H3505^2/k_n</f>
        <v/>
      </c>
      <c r="R3505">
        <f>K3505-G3505*H3505/k_n</f>
        <v/>
      </c>
      <c r="S3505">
        <f>L3505-LTP3!$D$3*G3505/k_n</f>
        <v/>
      </c>
      <c r="T3505">
        <f>M3505-LTP3!$D$3*H3505/k_n</f>
        <v/>
      </c>
      <c r="U3505">
        <f>N3505-G3505*LTP3!$D$4/k_n</f>
        <v/>
      </c>
      <c r="V3505">
        <f>O3505-H3505*LTP3!$D$4/k_n</f>
        <v/>
      </c>
      <c r="W3505">
        <f>((LTP3!$D$5)*((P3505)*(Q3505)-(R3505)*(R3505))-(S3505)*((S3505)*(Q3505)-(R3505)*(T3505))+(T3505)*((S3505)*(R3505)-(P3505)*(T3505)))</f>
        <v/>
      </c>
      <c r="X3505">
        <f>IF(ABS(W3505)&gt;1E-12,((LTP3!$D$6)*((P3505)*(Q3505)-(R3505)*(R3505))-(S3505)*((U3505)*(Q3505)-(R3505)*(V3505))+(T3505)*((U3505)*(R3505)-(P3505)*(V3505)))/W3505,0)</f>
        <v/>
      </c>
      <c r="Y3505">
        <f>IF(ABS(W3505)&gt;1E-12,((LTP3!$D$5)*((U3505)*(Q3505)-(R3505)*(V3505))-(LTP3!$D$6)*((S3505)*(Q3505)-(R3505)*(T3505))+(T3505)*((S3505)*(V3505)-(U3505)*(T3505)))/W3505,0)</f>
        <v/>
      </c>
      <c r="Z3505">
        <f>IF(ABS(W3505)&gt;1E-12,((LTP3!$D$5)*((P3505)*(V3505)-(U3505)*(R3505))-(S3505)*((S3505)*(V3505)-(U3505)*(T3505))+(LTP3!$D$6)*((S3505)*(R3505)-(P3505)*(T3505)))/W3505,0)</f>
        <v/>
      </c>
      <c r="AA3505">
        <f>LTP3!$D$7-X3505*LTP3!$D$6-Y3505*U3505-Z3505*V3505</f>
        <v/>
      </c>
      <c r="AB3505">
        <f>IF(AND(F3505,ABS(W3505)&gt;1E-12,Y3505&gt;0,Z3505&gt;0),AA3505,1E+300)</f>
        <v/>
      </c>
    </row>
    <row r="3506">
      <c r="A3506">
        <f>$B$3+$B$5*57</f>
        <v/>
      </c>
      <c r="B3506">
        <f>$B$3+$B$5*17</f>
        <v/>
      </c>
      <c r="C3506">
        <f>SUMPRODUCT(Calc!$K$3:$K$22*(Calc!$G$3:$G$22&lt;=A3506))</f>
        <v/>
      </c>
      <c r="D3506">
        <f>SUMPRODUCT(Calc!$K$3:$K$22*(Calc!$G$3:$G$22&gt;A3506)*(Calc!$G$3:$G$22&lt;B3506))</f>
        <v/>
      </c>
      <c r="E3506">
        <f>SUMPRODUCT(Calc!$K$3:$K$22*(Calc!$G$3:$G$22&gt;=B3506))</f>
        <v/>
      </c>
      <c r="F3506">
        <f>AND(k_n&gt;=5,B3506&gt;A3506+1E-9,C3506&gt;=2,D3506&gt;=1,E3506&gt;=2)</f>
        <v/>
      </c>
      <c r="G3506">
        <f>SUMPRODUCT(Calc!$K$3:$K$22*(Calc!$G$3:$G$22&gt;A3506)*(Calc!$G$3:$G$22-A3506))</f>
        <v/>
      </c>
      <c r="H3506">
        <f>SUMPRODUCT(Calc!$K$3:$K$22*(Calc!$G$3:$G$22&gt;B3506)*(Calc!$G$3:$G$22-B3506))</f>
        <v/>
      </c>
      <c r="I3506">
        <f>SUMPRODUCT(Calc!$K$3:$K$22*(Calc!$G$3:$G$22&gt;A3506)*(Calc!$G$3:$G$22-A3506)^2)</f>
        <v/>
      </c>
      <c r="J3506">
        <f>SUMPRODUCT(Calc!$K$3:$K$22*(Calc!$G$3:$G$22&gt;B3506)*(Calc!$G$3:$G$22-B3506)^2)</f>
        <v/>
      </c>
      <c r="K3506">
        <f>SUMPRODUCT(Calc!$K$3:$K$22*(Calc!$G$3:$G$22&gt;A3506)*(Calc!$G$3:$G$22-A3506)*(Calc!$G$3:$G$22&gt;B3506)*(Calc!$G$3:$G$22-B3506))</f>
        <v/>
      </c>
      <c r="L3506">
        <f>SUMPRODUCT(Calc!$K$3:$K$22*(Calc!$G$3:$G$22&gt;A3506)*(Calc!$G$3:$G$22-A3506)*Calc!$G$3:$G$22)</f>
        <v/>
      </c>
      <c r="M3506">
        <f>SUMPRODUCT(Calc!$K$3:$K$22*(Calc!$G$3:$G$22&gt;B3506)*(Calc!$G$3:$G$22-B3506)*Calc!$G$3:$G$22)</f>
        <v/>
      </c>
      <c r="N3506">
        <f>SUMPRODUCT(Calc!$K$3:$K$22*(Calc!$G$3:$G$22&gt;A3506)*(Calc!$G$3:$G$22-A3506)*Calc!$I$3:$I$22)</f>
        <v/>
      </c>
      <c r="O3506">
        <f>SUMPRODUCT(Calc!$K$3:$K$22*(Calc!$G$3:$G$22&gt;B3506)*(Calc!$G$3:$G$22-B3506)*Calc!$I$3:$I$22)</f>
        <v/>
      </c>
      <c r="P3506">
        <f>I3506-G3506^2/k_n</f>
        <v/>
      </c>
      <c r="Q3506">
        <f>J3506-H3506^2/k_n</f>
        <v/>
      </c>
      <c r="R3506">
        <f>K3506-G3506*H3506/k_n</f>
        <v/>
      </c>
      <c r="S3506">
        <f>L3506-LTP3!$D$3*G3506/k_n</f>
        <v/>
      </c>
      <c r="T3506">
        <f>M3506-LTP3!$D$3*H3506/k_n</f>
        <v/>
      </c>
      <c r="U3506">
        <f>N3506-G3506*LTP3!$D$4/k_n</f>
        <v/>
      </c>
      <c r="V3506">
        <f>O3506-H3506*LTP3!$D$4/k_n</f>
        <v/>
      </c>
      <c r="W3506">
        <f>((LTP3!$D$5)*((P3506)*(Q3506)-(R3506)*(R3506))-(S3506)*((S3506)*(Q3506)-(R3506)*(T3506))+(T3506)*((S3506)*(R3506)-(P3506)*(T3506)))</f>
        <v/>
      </c>
      <c r="X3506">
        <f>IF(ABS(W3506)&gt;1E-12,((LTP3!$D$6)*((P3506)*(Q3506)-(R3506)*(R3506))-(S3506)*((U3506)*(Q3506)-(R3506)*(V3506))+(T3506)*((U3506)*(R3506)-(P3506)*(V3506)))/W3506,0)</f>
        <v/>
      </c>
      <c r="Y3506">
        <f>IF(ABS(W3506)&gt;1E-12,((LTP3!$D$5)*((U3506)*(Q3506)-(R3506)*(V3506))-(LTP3!$D$6)*((S3506)*(Q3506)-(R3506)*(T3506))+(T3506)*((S3506)*(V3506)-(U3506)*(T3506)))/W3506,0)</f>
        <v/>
      </c>
      <c r="Z3506">
        <f>IF(ABS(W3506)&gt;1E-12,((LTP3!$D$5)*((P3506)*(V3506)-(U3506)*(R3506))-(S3506)*((S3506)*(V3506)-(U3506)*(T3506))+(LTP3!$D$6)*((S3506)*(R3506)-(P3506)*(T3506)))/W3506,0)</f>
        <v/>
      </c>
      <c r="AA3506">
        <f>LTP3!$D$7-X3506*LTP3!$D$6-Y3506*U3506-Z3506*V3506</f>
        <v/>
      </c>
      <c r="AB3506">
        <f>IF(AND(F3506,ABS(W3506)&gt;1E-12,Y3506&gt;0,Z3506&gt;0),AA3506,1E+300)</f>
        <v/>
      </c>
    </row>
    <row r="3507">
      <c r="A3507">
        <f>$B$3+$B$5*57</f>
        <v/>
      </c>
      <c r="B3507">
        <f>$B$3+$B$5*18</f>
        <v/>
      </c>
      <c r="C3507">
        <f>SUMPRODUCT(Calc!$K$3:$K$22*(Calc!$G$3:$G$22&lt;=A3507))</f>
        <v/>
      </c>
      <c r="D3507">
        <f>SUMPRODUCT(Calc!$K$3:$K$22*(Calc!$G$3:$G$22&gt;A3507)*(Calc!$G$3:$G$22&lt;B3507))</f>
        <v/>
      </c>
      <c r="E3507">
        <f>SUMPRODUCT(Calc!$K$3:$K$22*(Calc!$G$3:$G$22&gt;=B3507))</f>
        <v/>
      </c>
      <c r="F3507">
        <f>AND(k_n&gt;=5,B3507&gt;A3507+1E-9,C3507&gt;=2,D3507&gt;=1,E3507&gt;=2)</f>
        <v/>
      </c>
      <c r="G3507">
        <f>SUMPRODUCT(Calc!$K$3:$K$22*(Calc!$G$3:$G$22&gt;A3507)*(Calc!$G$3:$G$22-A3507))</f>
        <v/>
      </c>
      <c r="H3507">
        <f>SUMPRODUCT(Calc!$K$3:$K$22*(Calc!$G$3:$G$22&gt;B3507)*(Calc!$G$3:$G$22-B3507))</f>
        <v/>
      </c>
      <c r="I3507">
        <f>SUMPRODUCT(Calc!$K$3:$K$22*(Calc!$G$3:$G$22&gt;A3507)*(Calc!$G$3:$G$22-A3507)^2)</f>
        <v/>
      </c>
      <c r="J3507">
        <f>SUMPRODUCT(Calc!$K$3:$K$22*(Calc!$G$3:$G$22&gt;B3507)*(Calc!$G$3:$G$22-B3507)^2)</f>
        <v/>
      </c>
      <c r="K3507">
        <f>SUMPRODUCT(Calc!$K$3:$K$22*(Calc!$G$3:$G$22&gt;A3507)*(Calc!$G$3:$G$22-A3507)*(Calc!$G$3:$G$22&gt;B3507)*(Calc!$G$3:$G$22-B3507))</f>
        <v/>
      </c>
      <c r="L3507">
        <f>SUMPRODUCT(Calc!$K$3:$K$22*(Calc!$G$3:$G$22&gt;A3507)*(Calc!$G$3:$G$22-A3507)*Calc!$G$3:$G$22)</f>
        <v/>
      </c>
      <c r="M3507">
        <f>SUMPRODUCT(Calc!$K$3:$K$22*(Calc!$G$3:$G$22&gt;B3507)*(Calc!$G$3:$G$22-B3507)*Calc!$G$3:$G$22)</f>
        <v/>
      </c>
      <c r="N3507">
        <f>SUMPRODUCT(Calc!$K$3:$K$22*(Calc!$G$3:$G$22&gt;A3507)*(Calc!$G$3:$G$22-A3507)*Calc!$I$3:$I$22)</f>
        <v/>
      </c>
      <c r="O3507">
        <f>SUMPRODUCT(Calc!$K$3:$K$22*(Calc!$G$3:$G$22&gt;B3507)*(Calc!$G$3:$G$22-B3507)*Calc!$I$3:$I$22)</f>
        <v/>
      </c>
      <c r="P3507">
        <f>I3507-G3507^2/k_n</f>
        <v/>
      </c>
      <c r="Q3507">
        <f>J3507-H3507^2/k_n</f>
        <v/>
      </c>
      <c r="R3507">
        <f>K3507-G3507*H3507/k_n</f>
        <v/>
      </c>
      <c r="S3507">
        <f>L3507-LTP3!$D$3*G3507/k_n</f>
        <v/>
      </c>
      <c r="T3507">
        <f>M3507-LTP3!$D$3*H3507/k_n</f>
        <v/>
      </c>
      <c r="U3507">
        <f>N3507-G3507*LTP3!$D$4/k_n</f>
        <v/>
      </c>
      <c r="V3507">
        <f>O3507-H3507*LTP3!$D$4/k_n</f>
        <v/>
      </c>
      <c r="W3507">
        <f>((LTP3!$D$5)*((P3507)*(Q3507)-(R3507)*(R3507))-(S3507)*((S3507)*(Q3507)-(R3507)*(T3507))+(T3507)*((S3507)*(R3507)-(P3507)*(T3507)))</f>
        <v/>
      </c>
      <c r="X3507">
        <f>IF(ABS(W3507)&gt;1E-12,((LTP3!$D$6)*((P3507)*(Q3507)-(R3507)*(R3507))-(S3507)*((U3507)*(Q3507)-(R3507)*(V3507))+(T3507)*((U3507)*(R3507)-(P3507)*(V3507)))/W3507,0)</f>
        <v/>
      </c>
      <c r="Y3507">
        <f>IF(ABS(W3507)&gt;1E-12,((LTP3!$D$5)*((U3507)*(Q3507)-(R3507)*(V3507))-(LTP3!$D$6)*((S3507)*(Q3507)-(R3507)*(T3507))+(T3507)*((S3507)*(V3507)-(U3507)*(T3507)))/W3507,0)</f>
        <v/>
      </c>
      <c r="Z3507">
        <f>IF(ABS(W3507)&gt;1E-12,((LTP3!$D$5)*((P3507)*(V3507)-(U3507)*(R3507))-(S3507)*((S3507)*(V3507)-(U3507)*(T3507))+(LTP3!$D$6)*((S3507)*(R3507)-(P3507)*(T3507)))/W3507,0)</f>
        <v/>
      </c>
      <c r="AA3507">
        <f>LTP3!$D$7-X3507*LTP3!$D$6-Y3507*U3507-Z3507*V3507</f>
        <v/>
      </c>
      <c r="AB3507">
        <f>IF(AND(F3507,ABS(W3507)&gt;1E-12,Y3507&gt;0,Z3507&gt;0),AA3507,1E+300)</f>
        <v/>
      </c>
    </row>
    <row r="3508">
      <c r="A3508">
        <f>$B$3+$B$5*57</f>
        <v/>
      </c>
      <c r="B3508">
        <f>$B$3+$B$5*19</f>
        <v/>
      </c>
      <c r="C3508">
        <f>SUMPRODUCT(Calc!$K$3:$K$22*(Calc!$G$3:$G$22&lt;=A3508))</f>
        <v/>
      </c>
      <c r="D3508">
        <f>SUMPRODUCT(Calc!$K$3:$K$22*(Calc!$G$3:$G$22&gt;A3508)*(Calc!$G$3:$G$22&lt;B3508))</f>
        <v/>
      </c>
      <c r="E3508">
        <f>SUMPRODUCT(Calc!$K$3:$K$22*(Calc!$G$3:$G$22&gt;=B3508))</f>
        <v/>
      </c>
      <c r="F3508">
        <f>AND(k_n&gt;=5,B3508&gt;A3508+1E-9,C3508&gt;=2,D3508&gt;=1,E3508&gt;=2)</f>
        <v/>
      </c>
      <c r="G3508">
        <f>SUMPRODUCT(Calc!$K$3:$K$22*(Calc!$G$3:$G$22&gt;A3508)*(Calc!$G$3:$G$22-A3508))</f>
        <v/>
      </c>
      <c r="H3508">
        <f>SUMPRODUCT(Calc!$K$3:$K$22*(Calc!$G$3:$G$22&gt;B3508)*(Calc!$G$3:$G$22-B3508))</f>
        <v/>
      </c>
      <c r="I3508">
        <f>SUMPRODUCT(Calc!$K$3:$K$22*(Calc!$G$3:$G$22&gt;A3508)*(Calc!$G$3:$G$22-A3508)^2)</f>
        <v/>
      </c>
      <c r="J3508">
        <f>SUMPRODUCT(Calc!$K$3:$K$22*(Calc!$G$3:$G$22&gt;B3508)*(Calc!$G$3:$G$22-B3508)^2)</f>
        <v/>
      </c>
      <c r="K3508">
        <f>SUMPRODUCT(Calc!$K$3:$K$22*(Calc!$G$3:$G$22&gt;A3508)*(Calc!$G$3:$G$22-A3508)*(Calc!$G$3:$G$22&gt;B3508)*(Calc!$G$3:$G$22-B3508))</f>
        <v/>
      </c>
      <c r="L3508">
        <f>SUMPRODUCT(Calc!$K$3:$K$22*(Calc!$G$3:$G$22&gt;A3508)*(Calc!$G$3:$G$22-A3508)*Calc!$G$3:$G$22)</f>
        <v/>
      </c>
      <c r="M3508">
        <f>SUMPRODUCT(Calc!$K$3:$K$22*(Calc!$G$3:$G$22&gt;B3508)*(Calc!$G$3:$G$22-B3508)*Calc!$G$3:$G$22)</f>
        <v/>
      </c>
      <c r="N3508">
        <f>SUMPRODUCT(Calc!$K$3:$K$22*(Calc!$G$3:$G$22&gt;A3508)*(Calc!$G$3:$G$22-A3508)*Calc!$I$3:$I$22)</f>
        <v/>
      </c>
      <c r="O3508">
        <f>SUMPRODUCT(Calc!$K$3:$K$22*(Calc!$G$3:$G$22&gt;B3508)*(Calc!$G$3:$G$22-B3508)*Calc!$I$3:$I$22)</f>
        <v/>
      </c>
      <c r="P3508">
        <f>I3508-G3508^2/k_n</f>
        <v/>
      </c>
      <c r="Q3508">
        <f>J3508-H3508^2/k_n</f>
        <v/>
      </c>
      <c r="R3508">
        <f>K3508-G3508*H3508/k_n</f>
        <v/>
      </c>
      <c r="S3508">
        <f>L3508-LTP3!$D$3*G3508/k_n</f>
        <v/>
      </c>
      <c r="T3508">
        <f>M3508-LTP3!$D$3*H3508/k_n</f>
        <v/>
      </c>
      <c r="U3508">
        <f>N3508-G3508*LTP3!$D$4/k_n</f>
        <v/>
      </c>
      <c r="V3508">
        <f>O3508-H3508*LTP3!$D$4/k_n</f>
        <v/>
      </c>
      <c r="W3508">
        <f>((LTP3!$D$5)*((P3508)*(Q3508)-(R3508)*(R3508))-(S3508)*((S3508)*(Q3508)-(R3508)*(T3508))+(T3508)*((S3508)*(R3508)-(P3508)*(T3508)))</f>
        <v/>
      </c>
      <c r="X3508">
        <f>IF(ABS(W3508)&gt;1E-12,((LTP3!$D$6)*((P3508)*(Q3508)-(R3508)*(R3508))-(S3508)*((U3508)*(Q3508)-(R3508)*(V3508))+(T3508)*((U3508)*(R3508)-(P3508)*(V3508)))/W3508,0)</f>
        <v/>
      </c>
      <c r="Y3508">
        <f>IF(ABS(W3508)&gt;1E-12,((LTP3!$D$5)*((U3508)*(Q3508)-(R3508)*(V3508))-(LTP3!$D$6)*((S3508)*(Q3508)-(R3508)*(T3508))+(T3508)*((S3508)*(V3508)-(U3508)*(T3508)))/W3508,0)</f>
        <v/>
      </c>
      <c r="Z3508">
        <f>IF(ABS(W3508)&gt;1E-12,((LTP3!$D$5)*((P3508)*(V3508)-(U3508)*(R3508))-(S3508)*((S3508)*(V3508)-(U3508)*(T3508))+(LTP3!$D$6)*((S3508)*(R3508)-(P3508)*(T3508)))/W3508,0)</f>
        <v/>
      </c>
      <c r="AA3508">
        <f>LTP3!$D$7-X3508*LTP3!$D$6-Y3508*U3508-Z3508*V3508</f>
        <v/>
      </c>
      <c r="AB3508">
        <f>IF(AND(F3508,ABS(W3508)&gt;1E-12,Y3508&gt;0,Z3508&gt;0),AA3508,1E+300)</f>
        <v/>
      </c>
    </row>
    <row r="3509">
      <c r="A3509">
        <f>$B$3+$B$5*57</f>
        <v/>
      </c>
      <c r="B3509">
        <f>$B$3+$B$5*20</f>
        <v/>
      </c>
      <c r="C3509">
        <f>SUMPRODUCT(Calc!$K$3:$K$22*(Calc!$G$3:$G$22&lt;=A3509))</f>
        <v/>
      </c>
      <c r="D3509">
        <f>SUMPRODUCT(Calc!$K$3:$K$22*(Calc!$G$3:$G$22&gt;A3509)*(Calc!$G$3:$G$22&lt;B3509))</f>
        <v/>
      </c>
      <c r="E3509">
        <f>SUMPRODUCT(Calc!$K$3:$K$22*(Calc!$G$3:$G$22&gt;=B3509))</f>
        <v/>
      </c>
      <c r="F3509">
        <f>AND(k_n&gt;=5,B3509&gt;A3509+1E-9,C3509&gt;=2,D3509&gt;=1,E3509&gt;=2)</f>
        <v/>
      </c>
      <c r="G3509">
        <f>SUMPRODUCT(Calc!$K$3:$K$22*(Calc!$G$3:$G$22&gt;A3509)*(Calc!$G$3:$G$22-A3509))</f>
        <v/>
      </c>
      <c r="H3509">
        <f>SUMPRODUCT(Calc!$K$3:$K$22*(Calc!$G$3:$G$22&gt;B3509)*(Calc!$G$3:$G$22-B3509))</f>
        <v/>
      </c>
      <c r="I3509">
        <f>SUMPRODUCT(Calc!$K$3:$K$22*(Calc!$G$3:$G$22&gt;A3509)*(Calc!$G$3:$G$22-A3509)^2)</f>
        <v/>
      </c>
      <c r="J3509">
        <f>SUMPRODUCT(Calc!$K$3:$K$22*(Calc!$G$3:$G$22&gt;B3509)*(Calc!$G$3:$G$22-B3509)^2)</f>
        <v/>
      </c>
      <c r="K3509">
        <f>SUMPRODUCT(Calc!$K$3:$K$22*(Calc!$G$3:$G$22&gt;A3509)*(Calc!$G$3:$G$22-A3509)*(Calc!$G$3:$G$22&gt;B3509)*(Calc!$G$3:$G$22-B3509))</f>
        <v/>
      </c>
      <c r="L3509">
        <f>SUMPRODUCT(Calc!$K$3:$K$22*(Calc!$G$3:$G$22&gt;A3509)*(Calc!$G$3:$G$22-A3509)*Calc!$G$3:$G$22)</f>
        <v/>
      </c>
      <c r="M3509">
        <f>SUMPRODUCT(Calc!$K$3:$K$22*(Calc!$G$3:$G$22&gt;B3509)*(Calc!$G$3:$G$22-B3509)*Calc!$G$3:$G$22)</f>
        <v/>
      </c>
      <c r="N3509">
        <f>SUMPRODUCT(Calc!$K$3:$K$22*(Calc!$G$3:$G$22&gt;A3509)*(Calc!$G$3:$G$22-A3509)*Calc!$I$3:$I$22)</f>
        <v/>
      </c>
      <c r="O3509">
        <f>SUMPRODUCT(Calc!$K$3:$K$22*(Calc!$G$3:$G$22&gt;B3509)*(Calc!$G$3:$G$22-B3509)*Calc!$I$3:$I$22)</f>
        <v/>
      </c>
      <c r="P3509">
        <f>I3509-G3509^2/k_n</f>
        <v/>
      </c>
      <c r="Q3509">
        <f>J3509-H3509^2/k_n</f>
        <v/>
      </c>
      <c r="R3509">
        <f>K3509-G3509*H3509/k_n</f>
        <v/>
      </c>
      <c r="S3509">
        <f>L3509-LTP3!$D$3*G3509/k_n</f>
        <v/>
      </c>
      <c r="T3509">
        <f>M3509-LTP3!$D$3*H3509/k_n</f>
        <v/>
      </c>
      <c r="U3509">
        <f>N3509-G3509*LTP3!$D$4/k_n</f>
        <v/>
      </c>
      <c r="V3509">
        <f>O3509-H3509*LTP3!$D$4/k_n</f>
        <v/>
      </c>
      <c r="W3509">
        <f>((LTP3!$D$5)*((P3509)*(Q3509)-(R3509)*(R3509))-(S3509)*((S3509)*(Q3509)-(R3509)*(T3509))+(T3509)*((S3509)*(R3509)-(P3509)*(T3509)))</f>
        <v/>
      </c>
      <c r="X3509">
        <f>IF(ABS(W3509)&gt;1E-12,((LTP3!$D$6)*((P3509)*(Q3509)-(R3509)*(R3509))-(S3509)*((U3509)*(Q3509)-(R3509)*(V3509))+(T3509)*((U3509)*(R3509)-(P3509)*(V3509)))/W3509,0)</f>
        <v/>
      </c>
      <c r="Y3509">
        <f>IF(ABS(W3509)&gt;1E-12,((LTP3!$D$5)*((U3509)*(Q3509)-(R3509)*(V3509))-(LTP3!$D$6)*((S3509)*(Q3509)-(R3509)*(T3509))+(T3509)*((S3509)*(V3509)-(U3509)*(T3509)))/W3509,0)</f>
        <v/>
      </c>
      <c r="Z3509">
        <f>IF(ABS(W3509)&gt;1E-12,((LTP3!$D$5)*((P3509)*(V3509)-(U3509)*(R3509))-(S3509)*((S3509)*(V3509)-(U3509)*(T3509))+(LTP3!$D$6)*((S3509)*(R3509)-(P3509)*(T3509)))/W3509,0)</f>
        <v/>
      </c>
      <c r="AA3509">
        <f>LTP3!$D$7-X3509*LTP3!$D$6-Y3509*U3509-Z3509*V3509</f>
        <v/>
      </c>
      <c r="AB3509">
        <f>IF(AND(F3509,ABS(W3509)&gt;1E-12,Y3509&gt;0,Z3509&gt;0),AA3509,1E+300)</f>
        <v/>
      </c>
    </row>
    <row r="3510">
      <c r="A3510">
        <f>$B$3+$B$5*57</f>
        <v/>
      </c>
      <c r="B3510">
        <f>$B$3+$B$5*21</f>
        <v/>
      </c>
      <c r="C3510">
        <f>SUMPRODUCT(Calc!$K$3:$K$22*(Calc!$G$3:$G$22&lt;=A3510))</f>
        <v/>
      </c>
      <c r="D3510">
        <f>SUMPRODUCT(Calc!$K$3:$K$22*(Calc!$G$3:$G$22&gt;A3510)*(Calc!$G$3:$G$22&lt;B3510))</f>
        <v/>
      </c>
      <c r="E3510">
        <f>SUMPRODUCT(Calc!$K$3:$K$22*(Calc!$G$3:$G$22&gt;=B3510))</f>
        <v/>
      </c>
      <c r="F3510">
        <f>AND(k_n&gt;=5,B3510&gt;A3510+1E-9,C3510&gt;=2,D3510&gt;=1,E3510&gt;=2)</f>
        <v/>
      </c>
      <c r="G3510">
        <f>SUMPRODUCT(Calc!$K$3:$K$22*(Calc!$G$3:$G$22&gt;A3510)*(Calc!$G$3:$G$22-A3510))</f>
        <v/>
      </c>
      <c r="H3510">
        <f>SUMPRODUCT(Calc!$K$3:$K$22*(Calc!$G$3:$G$22&gt;B3510)*(Calc!$G$3:$G$22-B3510))</f>
        <v/>
      </c>
      <c r="I3510">
        <f>SUMPRODUCT(Calc!$K$3:$K$22*(Calc!$G$3:$G$22&gt;A3510)*(Calc!$G$3:$G$22-A3510)^2)</f>
        <v/>
      </c>
      <c r="J3510">
        <f>SUMPRODUCT(Calc!$K$3:$K$22*(Calc!$G$3:$G$22&gt;B3510)*(Calc!$G$3:$G$22-B3510)^2)</f>
        <v/>
      </c>
      <c r="K3510">
        <f>SUMPRODUCT(Calc!$K$3:$K$22*(Calc!$G$3:$G$22&gt;A3510)*(Calc!$G$3:$G$22-A3510)*(Calc!$G$3:$G$22&gt;B3510)*(Calc!$G$3:$G$22-B3510))</f>
        <v/>
      </c>
      <c r="L3510">
        <f>SUMPRODUCT(Calc!$K$3:$K$22*(Calc!$G$3:$G$22&gt;A3510)*(Calc!$G$3:$G$22-A3510)*Calc!$G$3:$G$22)</f>
        <v/>
      </c>
      <c r="M3510">
        <f>SUMPRODUCT(Calc!$K$3:$K$22*(Calc!$G$3:$G$22&gt;B3510)*(Calc!$G$3:$G$22-B3510)*Calc!$G$3:$G$22)</f>
        <v/>
      </c>
      <c r="N3510">
        <f>SUMPRODUCT(Calc!$K$3:$K$22*(Calc!$G$3:$G$22&gt;A3510)*(Calc!$G$3:$G$22-A3510)*Calc!$I$3:$I$22)</f>
        <v/>
      </c>
      <c r="O3510">
        <f>SUMPRODUCT(Calc!$K$3:$K$22*(Calc!$G$3:$G$22&gt;B3510)*(Calc!$G$3:$G$22-B3510)*Calc!$I$3:$I$22)</f>
        <v/>
      </c>
      <c r="P3510">
        <f>I3510-G3510^2/k_n</f>
        <v/>
      </c>
      <c r="Q3510">
        <f>J3510-H3510^2/k_n</f>
        <v/>
      </c>
      <c r="R3510">
        <f>K3510-G3510*H3510/k_n</f>
        <v/>
      </c>
      <c r="S3510">
        <f>L3510-LTP3!$D$3*G3510/k_n</f>
        <v/>
      </c>
      <c r="T3510">
        <f>M3510-LTP3!$D$3*H3510/k_n</f>
        <v/>
      </c>
      <c r="U3510">
        <f>N3510-G3510*LTP3!$D$4/k_n</f>
        <v/>
      </c>
      <c r="V3510">
        <f>O3510-H3510*LTP3!$D$4/k_n</f>
        <v/>
      </c>
      <c r="W3510">
        <f>((LTP3!$D$5)*((P3510)*(Q3510)-(R3510)*(R3510))-(S3510)*((S3510)*(Q3510)-(R3510)*(T3510))+(T3510)*((S3510)*(R3510)-(P3510)*(T3510)))</f>
        <v/>
      </c>
      <c r="X3510">
        <f>IF(ABS(W3510)&gt;1E-12,((LTP3!$D$6)*((P3510)*(Q3510)-(R3510)*(R3510))-(S3510)*((U3510)*(Q3510)-(R3510)*(V3510))+(T3510)*((U3510)*(R3510)-(P3510)*(V3510)))/W3510,0)</f>
        <v/>
      </c>
      <c r="Y3510">
        <f>IF(ABS(W3510)&gt;1E-12,((LTP3!$D$5)*((U3510)*(Q3510)-(R3510)*(V3510))-(LTP3!$D$6)*((S3510)*(Q3510)-(R3510)*(T3510))+(T3510)*((S3510)*(V3510)-(U3510)*(T3510)))/W3510,0)</f>
        <v/>
      </c>
      <c r="Z3510">
        <f>IF(ABS(W3510)&gt;1E-12,((LTP3!$D$5)*((P3510)*(V3510)-(U3510)*(R3510))-(S3510)*((S3510)*(V3510)-(U3510)*(T3510))+(LTP3!$D$6)*((S3510)*(R3510)-(P3510)*(T3510)))/W3510,0)</f>
        <v/>
      </c>
      <c r="AA3510">
        <f>LTP3!$D$7-X3510*LTP3!$D$6-Y3510*U3510-Z3510*V3510</f>
        <v/>
      </c>
      <c r="AB3510">
        <f>IF(AND(F3510,ABS(W3510)&gt;1E-12,Y3510&gt;0,Z3510&gt;0),AA3510,1E+300)</f>
        <v/>
      </c>
    </row>
    <row r="3511">
      <c r="A3511">
        <f>$B$3+$B$5*57</f>
        <v/>
      </c>
      <c r="B3511">
        <f>$B$3+$B$5*22</f>
        <v/>
      </c>
      <c r="C3511">
        <f>SUMPRODUCT(Calc!$K$3:$K$22*(Calc!$G$3:$G$22&lt;=A3511))</f>
        <v/>
      </c>
      <c r="D3511">
        <f>SUMPRODUCT(Calc!$K$3:$K$22*(Calc!$G$3:$G$22&gt;A3511)*(Calc!$G$3:$G$22&lt;B3511))</f>
        <v/>
      </c>
      <c r="E3511">
        <f>SUMPRODUCT(Calc!$K$3:$K$22*(Calc!$G$3:$G$22&gt;=B3511))</f>
        <v/>
      </c>
      <c r="F3511">
        <f>AND(k_n&gt;=5,B3511&gt;A3511+1E-9,C3511&gt;=2,D3511&gt;=1,E3511&gt;=2)</f>
        <v/>
      </c>
      <c r="G3511">
        <f>SUMPRODUCT(Calc!$K$3:$K$22*(Calc!$G$3:$G$22&gt;A3511)*(Calc!$G$3:$G$22-A3511))</f>
        <v/>
      </c>
      <c r="H3511">
        <f>SUMPRODUCT(Calc!$K$3:$K$22*(Calc!$G$3:$G$22&gt;B3511)*(Calc!$G$3:$G$22-B3511))</f>
        <v/>
      </c>
      <c r="I3511">
        <f>SUMPRODUCT(Calc!$K$3:$K$22*(Calc!$G$3:$G$22&gt;A3511)*(Calc!$G$3:$G$22-A3511)^2)</f>
        <v/>
      </c>
      <c r="J3511">
        <f>SUMPRODUCT(Calc!$K$3:$K$22*(Calc!$G$3:$G$22&gt;B3511)*(Calc!$G$3:$G$22-B3511)^2)</f>
        <v/>
      </c>
      <c r="K3511">
        <f>SUMPRODUCT(Calc!$K$3:$K$22*(Calc!$G$3:$G$22&gt;A3511)*(Calc!$G$3:$G$22-A3511)*(Calc!$G$3:$G$22&gt;B3511)*(Calc!$G$3:$G$22-B3511))</f>
        <v/>
      </c>
      <c r="L3511">
        <f>SUMPRODUCT(Calc!$K$3:$K$22*(Calc!$G$3:$G$22&gt;A3511)*(Calc!$G$3:$G$22-A3511)*Calc!$G$3:$G$22)</f>
        <v/>
      </c>
      <c r="M3511">
        <f>SUMPRODUCT(Calc!$K$3:$K$22*(Calc!$G$3:$G$22&gt;B3511)*(Calc!$G$3:$G$22-B3511)*Calc!$G$3:$G$22)</f>
        <v/>
      </c>
      <c r="N3511">
        <f>SUMPRODUCT(Calc!$K$3:$K$22*(Calc!$G$3:$G$22&gt;A3511)*(Calc!$G$3:$G$22-A3511)*Calc!$I$3:$I$22)</f>
        <v/>
      </c>
      <c r="O3511">
        <f>SUMPRODUCT(Calc!$K$3:$K$22*(Calc!$G$3:$G$22&gt;B3511)*(Calc!$G$3:$G$22-B3511)*Calc!$I$3:$I$22)</f>
        <v/>
      </c>
      <c r="P3511">
        <f>I3511-G3511^2/k_n</f>
        <v/>
      </c>
      <c r="Q3511">
        <f>J3511-H3511^2/k_n</f>
        <v/>
      </c>
      <c r="R3511">
        <f>K3511-G3511*H3511/k_n</f>
        <v/>
      </c>
      <c r="S3511">
        <f>L3511-LTP3!$D$3*G3511/k_n</f>
        <v/>
      </c>
      <c r="T3511">
        <f>M3511-LTP3!$D$3*H3511/k_n</f>
        <v/>
      </c>
      <c r="U3511">
        <f>N3511-G3511*LTP3!$D$4/k_n</f>
        <v/>
      </c>
      <c r="V3511">
        <f>O3511-H3511*LTP3!$D$4/k_n</f>
        <v/>
      </c>
      <c r="W3511">
        <f>((LTP3!$D$5)*((P3511)*(Q3511)-(R3511)*(R3511))-(S3511)*((S3511)*(Q3511)-(R3511)*(T3511))+(T3511)*((S3511)*(R3511)-(P3511)*(T3511)))</f>
        <v/>
      </c>
      <c r="X3511">
        <f>IF(ABS(W3511)&gt;1E-12,((LTP3!$D$6)*((P3511)*(Q3511)-(R3511)*(R3511))-(S3511)*((U3511)*(Q3511)-(R3511)*(V3511))+(T3511)*((U3511)*(R3511)-(P3511)*(V3511)))/W3511,0)</f>
        <v/>
      </c>
      <c r="Y3511">
        <f>IF(ABS(W3511)&gt;1E-12,((LTP3!$D$5)*((U3511)*(Q3511)-(R3511)*(V3511))-(LTP3!$D$6)*((S3511)*(Q3511)-(R3511)*(T3511))+(T3511)*((S3511)*(V3511)-(U3511)*(T3511)))/W3511,0)</f>
        <v/>
      </c>
      <c r="Z3511">
        <f>IF(ABS(W3511)&gt;1E-12,((LTP3!$D$5)*((P3511)*(V3511)-(U3511)*(R3511))-(S3511)*((S3511)*(V3511)-(U3511)*(T3511))+(LTP3!$D$6)*((S3511)*(R3511)-(P3511)*(T3511)))/W3511,0)</f>
        <v/>
      </c>
      <c r="AA3511">
        <f>LTP3!$D$7-X3511*LTP3!$D$6-Y3511*U3511-Z3511*V3511</f>
        <v/>
      </c>
      <c r="AB3511">
        <f>IF(AND(F3511,ABS(W3511)&gt;1E-12,Y3511&gt;0,Z3511&gt;0),AA3511,1E+300)</f>
        <v/>
      </c>
    </row>
    <row r="3512">
      <c r="A3512">
        <f>$B$3+$B$5*57</f>
        <v/>
      </c>
      <c r="B3512">
        <f>$B$3+$B$5*23</f>
        <v/>
      </c>
      <c r="C3512">
        <f>SUMPRODUCT(Calc!$K$3:$K$22*(Calc!$G$3:$G$22&lt;=A3512))</f>
        <v/>
      </c>
      <c r="D3512">
        <f>SUMPRODUCT(Calc!$K$3:$K$22*(Calc!$G$3:$G$22&gt;A3512)*(Calc!$G$3:$G$22&lt;B3512))</f>
        <v/>
      </c>
      <c r="E3512">
        <f>SUMPRODUCT(Calc!$K$3:$K$22*(Calc!$G$3:$G$22&gt;=B3512))</f>
        <v/>
      </c>
      <c r="F3512">
        <f>AND(k_n&gt;=5,B3512&gt;A3512+1E-9,C3512&gt;=2,D3512&gt;=1,E3512&gt;=2)</f>
        <v/>
      </c>
      <c r="G3512">
        <f>SUMPRODUCT(Calc!$K$3:$K$22*(Calc!$G$3:$G$22&gt;A3512)*(Calc!$G$3:$G$22-A3512))</f>
        <v/>
      </c>
      <c r="H3512">
        <f>SUMPRODUCT(Calc!$K$3:$K$22*(Calc!$G$3:$G$22&gt;B3512)*(Calc!$G$3:$G$22-B3512))</f>
        <v/>
      </c>
      <c r="I3512">
        <f>SUMPRODUCT(Calc!$K$3:$K$22*(Calc!$G$3:$G$22&gt;A3512)*(Calc!$G$3:$G$22-A3512)^2)</f>
        <v/>
      </c>
      <c r="J3512">
        <f>SUMPRODUCT(Calc!$K$3:$K$22*(Calc!$G$3:$G$22&gt;B3512)*(Calc!$G$3:$G$22-B3512)^2)</f>
        <v/>
      </c>
      <c r="K3512">
        <f>SUMPRODUCT(Calc!$K$3:$K$22*(Calc!$G$3:$G$22&gt;A3512)*(Calc!$G$3:$G$22-A3512)*(Calc!$G$3:$G$22&gt;B3512)*(Calc!$G$3:$G$22-B3512))</f>
        <v/>
      </c>
      <c r="L3512">
        <f>SUMPRODUCT(Calc!$K$3:$K$22*(Calc!$G$3:$G$22&gt;A3512)*(Calc!$G$3:$G$22-A3512)*Calc!$G$3:$G$22)</f>
        <v/>
      </c>
      <c r="M3512">
        <f>SUMPRODUCT(Calc!$K$3:$K$22*(Calc!$G$3:$G$22&gt;B3512)*(Calc!$G$3:$G$22-B3512)*Calc!$G$3:$G$22)</f>
        <v/>
      </c>
      <c r="N3512">
        <f>SUMPRODUCT(Calc!$K$3:$K$22*(Calc!$G$3:$G$22&gt;A3512)*(Calc!$G$3:$G$22-A3512)*Calc!$I$3:$I$22)</f>
        <v/>
      </c>
      <c r="O3512">
        <f>SUMPRODUCT(Calc!$K$3:$K$22*(Calc!$G$3:$G$22&gt;B3512)*(Calc!$G$3:$G$22-B3512)*Calc!$I$3:$I$22)</f>
        <v/>
      </c>
      <c r="P3512">
        <f>I3512-G3512^2/k_n</f>
        <v/>
      </c>
      <c r="Q3512">
        <f>J3512-H3512^2/k_n</f>
        <v/>
      </c>
      <c r="R3512">
        <f>K3512-G3512*H3512/k_n</f>
        <v/>
      </c>
      <c r="S3512">
        <f>L3512-LTP3!$D$3*G3512/k_n</f>
        <v/>
      </c>
      <c r="T3512">
        <f>M3512-LTP3!$D$3*H3512/k_n</f>
        <v/>
      </c>
      <c r="U3512">
        <f>N3512-G3512*LTP3!$D$4/k_n</f>
        <v/>
      </c>
      <c r="V3512">
        <f>O3512-H3512*LTP3!$D$4/k_n</f>
        <v/>
      </c>
      <c r="W3512">
        <f>((LTP3!$D$5)*((P3512)*(Q3512)-(R3512)*(R3512))-(S3512)*((S3512)*(Q3512)-(R3512)*(T3512))+(T3512)*((S3512)*(R3512)-(P3512)*(T3512)))</f>
        <v/>
      </c>
      <c r="X3512">
        <f>IF(ABS(W3512)&gt;1E-12,((LTP3!$D$6)*((P3512)*(Q3512)-(R3512)*(R3512))-(S3512)*((U3512)*(Q3512)-(R3512)*(V3512))+(T3512)*((U3512)*(R3512)-(P3512)*(V3512)))/W3512,0)</f>
        <v/>
      </c>
      <c r="Y3512">
        <f>IF(ABS(W3512)&gt;1E-12,((LTP3!$D$5)*((U3512)*(Q3512)-(R3512)*(V3512))-(LTP3!$D$6)*((S3512)*(Q3512)-(R3512)*(T3512))+(T3512)*((S3512)*(V3512)-(U3512)*(T3512)))/W3512,0)</f>
        <v/>
      </c>
      <c r="Z3512">
        <f>IF(ABS(W3512)&gt;1E-12,((LTP3!$D$5)*((P3512)*(V3512)-(U3512)*(R3512))-(S3512)*((S3512)*(V3512)-(U3512)*(T3512))+(LTP3!$D$6)*((S3512)*(R3512)-(P3512)*(T3512)))/W3512,0)</f>
        <v/>
      </c>
      <c r="AA3512">
        <f>LTP3!$D$7-X3512*LTP3!$D$6-Y3512*U3512-Z3512*V3512</f>
        <v/>
      </c>
      <c r="AB3512">
        <f>IF(AND(F3512,ABS(W3512)&gt;1E-12,Y3512&gt;0,Z3512&gt;0),AA3512,1E+300)</f>
        <v/>
      </c>
    </row>
    <row r="3513">
      <c r="A3513">
        <f>$B$3+$B$5*57</f>
        <v/>
      </c>
      <c r="B3513">
        <f>$B$3+$B$5*24</f>
        <v/>
      </c>
      <c r="C3513">
        <f>SUMPRODUCT(Calc!$K$3:$K$22*(Calc!$G$3:$G$22&lt;=A3513))</f>
        <v/>
      </c>
      <c r="D3513">
        <f>SUMPRODUCT(Calc!$K$3:$K$22*(Calc!$G$3:$G$22&gt;A3513)*(Calc!$G$3:$G$22&lt;B3513))</f>
        <v/>
      </c>
      <c r="E3513">
        <f>SUMPRODUCT(Calc!$K$3:$K$22*(Calc!$G$3:$G$22&gt;=B3513))</f>
        <v/>
      </c>
      <c r="F3513">
        <f>AND(k_n&gt;=5,B3513&gt;A3513+1E-9,C3513&gt;=2,D3513&gt;=1,E3513&gt;=2)</f>
        <v/>
      </c>
      <c r="G3513">
        <f>SUMPRODUCT(Calc!$K$3:$K$22*(Calc!$G$3:$G$22&gt;A3513)*(Calc!$G$3:$G$22-A3513))</f>
        <v/>
      </c>
      <c r="H3513">
        <f>SUMPRODUCT(Calc!$K$3:$K$22*(Calc!$G$3:$G$22&gt;B3513)*(Calc!$G$3:$G$22-B3513))</f>
        <v/>
      </c>
      <c r="I3513">
        <f>SUMPRODUCT(Calc!$K$3:$K$22*(Calc!$G$3:$G$22&gt;A3513)*(Calc!$G$3:$G$22-A3513)^2)</f>
        <v/>
      </c>
      <c r="J3513">
        <f>SUMPRODUCT(Calc!$K$3:$K$22*(Calc!$G$3:$G$22&gt;B3513)*(Calc!$G$3:$G$22-B3513)^2)</f>
        <v/>
      </c>
      <c r="K3513">
        <f>SUMPRODUCT(Calc!$K$3:$K$22*(Calc!$G$3:$G$22&gt;A3513)*(Calc!$G$3:$G$22-A3513)*(Calc!$G$3:$G$22&gt;B3513)*(Calc!$G$3:$G$22-B3513))</f>
        <v/>
      </c>
      <c r="L3513">
        <f>SUMPRODUCT(Calc!$K$3:$K$22*(Calc!$G$3:$G$22&gt;A3513)*(Calc!$G$3:$G$22-A3513)*Calc!$G$3:$G$22)</f>
        <v/>
      </c>
      <c r="M3513">
        <f>SUMPRODUCT(Calc!$K$3:$K$22*(Calc!$G$3:$G$22&gt;B3513)*(Calc!$G$3:$G$22-B3513)*Calc!$G$3:$G$22)</f>
        <v/>
      </c>
      <c r="N3513">
        <f>SUMPRODUCT(Calc!$K$3:$K$22*(Calc!$G$3:$G$22&gt;A3513)*(Calc!$G$3:$G$22-A3513)*Calc!$I$3:$I$22)</f>
        <v/>
      </c>
      <c r="O3513">
        <f>SUMPRODUCT(Calc!$K$3:$K$22*(Calc!$G$3:$G$22&gt;B3513)*(Calc!$G$3:$G$22-B3513)*Calc!$I$3:$I$22)</f>
        <v/>
      </c>
      <c r="P3513">
        <f>I3513-G3513^2/k_n</f>
        <v/>
      </c>
      <c r="Q3513">
        <f>J3513-H3513^2/k_n</f>
        <v/>
      </c>
      <c r="R3513">
        <f>K3513-G3513*H3513/k_n</f>
        <v/>
      </c>
      <c r="S3513">
        <f>L3513-LTP3!$D$3*G3513/k_n</f>
        <v/>
      </c>
      <c r="T3513">
        <f>M3513-LTP3!$D$3*H3513/k_n</f>
        <v/>
      </c>
      <c r="U3513">
        <f>N3513-G3513*LTP3!$D$4/k_n</f>
        <v/>
      </c>
      <c r="V3513">
        <f>O3513-H3513*LTP3!$D$4/k_n</f>
        <v/>
      </c>
      <c r="W3513">
        <f>((LTP3!$D$5)*((P3513)*(Q3513)-(R3513)*(R3513))-(S3513)*((S3513)*(Q3513)-(R3513)*(T3513))+(T3513)*((S3513)*(R3513)-(P3513)*(T3513)))</f>
        <v/>
      </c>
      <c r="X3513">
        <f>IF(ABS(W3513)&gt;1E-12,((LTP3!$D$6)*((P3513)*(Q3513)-(R3513)*(R3513))-(S3513)*((U3513)*(Q3513)-(R3513)*(V3513))+(T3513)*((U3513)*(R3513)-(P3513)*(V3513)))/W3513,0)</f>
        <v/>
      </c>
      <c r="Y3513">
        <f>IF(ABS(W3513)&gt;1E-12,((LTP3!$D$5)*((U3513)*(Q3513)-(R3513)*(V3513))-(LTP3!$D$6)*((S3513)*(Q3513)-(R3513)*(T3513))+(T3513)*((S3513)*(V3513)-(U3513)*(T3513)))/W3513,0)</f>
        <v/>
      </c>
      <c r="Z3513">
        <f>IF(ABS(W3513)&gt;1E-12,((LTP3!$D$5)*((P3513)*(V3513)-(U3513)*(R3513))-(S3513)*((S3513)*(V3513)-(U3513)*(T3513))+(LTP3!$D$6)*((S3513)*(R3513)-(P3513)*(T3513)))/W3513,0)</f>
        <v/>
      </c>
      <c r="AA3513">
        <f>LTP3!$D$7-X3513*LTP3!$D$6-Y3513*U3513-Z3513*V3513</f>
        <v/>
      </c>
      <c r="AB3513">
        <f>IF(AND(F3513,ABS(W3513)&gt;1E-12,Y3513&gt;0,Z3513&gt;0),AA3513,1E+300)</f>
        <v/>
      </c>
    </row>
    <row r="3514">
      <c r="A3514">
        <f>$B$3+$B$5*57</f>
        <v/>
      </c>
      <c r="B3514">
        <f>$B$3+$B$5*25</f>
        <v/>
      </c>
      <c r="C3514">
        <f>SUMPRODUCT(Calc!$K$3:$K$22*(Calc!$G$3:$G$22&lt;=A3514))</f>
        <v/>
      </c>
      <c r="D3514">
        <f>SUMPRODUCT(Calc!$K$3:$K$22*(Calc!$G$3:$G$22&gt;A3514)*(Calc!$G$3:$G$22&lt;B3514))</f>
        <v/>
      </c>
      <c r="E3514">
        <f>SUMPRODUCT(Calc!$K$3:$K$22*(Calc!$G$3:$G$22&gt;=B3514))</f>
        <v/>
      </c>
      <c r="F3514">
        <f>AND(k_n&gt;=5,B3514&gt;A3514+1E-9,C3514&gt;=2,D3514&gt;=1,E3514&gt;=2)</f>
        <v/>
      </c>
      <c r="G3514">
        <f>SUMPRODUCT(Calc!$K$3:$K$22*(Calc!$G$3:$G$22&gt;A3514)*(Calc!$G$3:$G$22-A3514))</f>
        <v/>
      </c>
      <c r="H3514">
        <f>SUMPRODUCT(Calc!$K$3:$K$22*(Calc!$G$3:$G$22&gt;B3514)*(Calc!$G$3:$G$22-B3514))</f>
        <v/>
      </c>
      <c r="I3514">
        <f>SUMPRODUCT(Calc!$K$3:$K$22*(Calc!$G$3:$G$22&gt;A3514)*(Calc!$G$3:$G$22-A3514)^2)</f>
        <v/>
      </c>
      <c r="J3514">
        <f>SUMPRODUCT(Calc!$K$3:$K$22*(Calc!$G$3:$G$22&gt;B3514)*(Calc!$G$3:$G$22-B3514)^2)</f>
        <v/>
      </c>
      <c r="K3514">
        <f>SUMPRODUCT(Calc!$K$3:$K$22*(Calc!$G$3:$G$22&gt;A3514)*(Calc!$G$3:$G$22-A3514)*(Calc!$G$3:$G$22&gt;B3514)*(Calc!$G$3:$G$22-B3514))</f>
        <v/>
      </c>
      <c r="L3514">
        <f>SUMPRODUCT(Calc!$K$3:$K$22*(Calc!$G$3:$G$22&gt;A3514)*(Calc!$G$3:$G$22-A3514)*Calc!$G$3:$G$22)</f>
        <v/>
      </c>
      <c r="M3514">
        <f>SUMPRODUCT(Calc!$K$3:$K$22*(Calc!$G$3:$G$22&gt;B3514)*(Calc!$G$3:$G$22-B3514)*Calc!$G$3:$G$22)</f>
        <v/>
      </c>
      <c r="N3514">
        <f>SUMPRODUCT(Calc!$K$3:$K$22*(Calc!$G$3:$G$22&gt;A3514)*(Calc!$G$3:$G$22-A3514)*Calc!$I$3:$I$22)</f>
        <v/>
      </c>
      <c r="O3514">
        <f>SUMPRODUCT(Calc!$K$3:$K$22*(Calc!$G$3:$G$22&gt;B3514)*(Calc!$G$3:$G$22-B3514)*Calc!$I$3:$I$22)</f>
        <v/>
      </c>
      <c r="P3514">
        <f>I3514-G3514^2/k_n</f>
        <v/>
      </c>
      <c r="Q3514">
        <f>J3514-H3514^2/k_n</f>
        <v/>
      </c>
      <c r="R3514">
        <f>K3514-G3514*H3514/k_n</f>
        <v/>
      </c>
      <c r="S3514">
        <f>L3514-LTP3!$D$3*G3514/k_n</f>
        <v/>
      </c>
      <c r="T3514">
        <f>M3514-LTP3!$D$3*H3514/k_n</f>
        <v/>
      </c>
      <c r="U3514">
        <f>N3514-G3514*LTP3!$D$4/k_n</f>
        <v/>
      </c>
      <c r="V3514">
        <f>O3514-H3514*LTP3!$D$4/k_n</f>
        <v/>
      </c>
      <c r="W3514">
        <f>((LTP3!$D$5)*((P3514)*(Q3514)-(R3514)*(R3514))-(S3514)*((S3514)*(Q3514)-(R3514)*(T3514))+(T3514)*((S3514)*(R3514)-(P3514)*(T3514)))</f>
        <v/>
      </c>
      <c r="X3514">
        <f>IF(ABS(W3514)&gt;1E-12,((LTP3!$D$6)*((P3514)*(Q3514)-(R3514)*(R3514))-(S3514)*((U3514)*(Q3514)-(R3514)*(V3514))+(T3514)*((U3514)*(R3514)-(P3514)*(V3514)))/W3514,0)</f>
        <v/>
      </c>
      <c r="Y3514">
        <f>IF(ABS(W3514)&gt;1E-12,((LTP3!$D$5)*((U3514)*(Q3514)-(R3514)*(V3514))-(LTP3!$D$6)*((S3514)*(Q3514)-(R3514)*(T3514))+(T3514)*((S3514)*(V3514)-(U3514)*(T3514)))/W3514,0)</f>
        <v/>
      </c>
      <c r="Z3514">
        <f>IF(ABS(W3514)&gt;1E-12,((LTP3!$D$5)*((P3514)*(V3514)-(U3514)*(R3514))-(S3514)*((S3514)*(V3514)-(U3514)*(T3514))+(LTP3!$D$6)*((S3514)*(R3514)-(P3514)*(T3514)))/W3514,0)</f>
        <v/>
      </c>
      <c r="AA3514">
        <f>LTP3!$D$7-X3514*LTP3!$D$6-Y3514*U3514-Z3514*V3514</f>
        <v/>
      </c>
      <c r="AB3514">
        <f>IF(AND(F3514,ABS(W3514)&gt;1E-12,Y3514&gt;0,Z3514&gt;0),AA3514,1E+300)</f>
        <v/>
      </c>
    </row>
    <row r="3515">
      <c r="A3515">
        <f>$B$3+$B$5*57</f>
        <v/>
      </c>
      <c r="B3515">
        <f>$B$3+$B$5*26</f>
        <v/>
      </c>
      <c r="C3515">
        <f>SUMPRODUCT(Calc!$K$3:$K$22*(Calc!$G$3:$G$22&lt;=A3515))</f>
        <v/>
      </c>
      <c r="D3515">
        <f>SUMPRODUCT(Calc!$K$3:$K$22*(Calc!$G$3:$G$22&gt;A3515)*(Calc!$G$3:$G$22&lt;B3515))</f>
        <v/>
      </c>
      <c r="E3515">
        <f>SUMPRODUCT(Calc!$K$3:$K$22*(Calc!$G$3:$G$22&gt;=B3515))</f>
        <v/>
      </c>
      <c r="F3515">
        <f>AND(k_n&gt;=5,B3515&gt;A3515+1E-9,C3515&gt;=2,D3515&gt;=1,E3515&gt;=2)</f>
        <v/>
      </c>
      <c r="G3515">
        <f>SUMPRODUCT(Calc!$K$3:$K$22*(Calc!$G$3:$G$22&gt;A3515)*(Calc!$G$3:$G$22-A3515))</f>
        <v/>
      </c>
      <c r="H3515">
        <f>SUMPRODUCT(Calc!$K$3:$K$22*(Calc!$G$3:$G$22&gt;B3515)*(Calc!$G$3:$G$22-B3515))</f>
        <v/>
      </c>
      <c r="I3515">
        <f>SUMPRODUCT(Calc!$K$3:$K$22*(Calc!$G$3:$G$22&gt;A3515)*(Calc!$G$3:$G$22-A3515)^2)</f>
        <v/>
      </c>
      <c r="J3515">
        <f>SUMPRODUCT(Calc!$K$3:$K$22*(Calc!$G$3:$G$22&gt;B3515)*(Calc!$G$3:$G$22-B3515)^2)</f>
        <v/>
      </c>
      <c r="K3515">
        <f>SUMPRODUCT(Calc!$K$3:$K$22*(Calc!$G$3:$G$22&gt;A3515)*(Calc!$G$3:$G$22-A3515)*(Calc!$G$3:$G$22&gt;B3515)*(Calc!$G$3:$G$22-B3515))</f>
        <v/>
      </c>
      <c r="L3515">
        <f>SUMPRODUCT(Calc!$K$3:$K$22*(Calc!$G$3:$G$22&gt;A3515)*(Calc!$G$3:$G$22-A3515)*Calc!$G$3:$G$22)</f>
        <v/>
      </c>
      <c r="M3515">
        <f>SUMPRODUCT(Calc!$K$3:$K$22*(Calc!$G$3:$G$22&gt;B3515)*(Calc!$G$3:$G$22-B3515)*Calc!$G$3:$G$22)</f>
        <v/>
      </c>
      <c r="N3515">
        <f>SUMPRODUCT(Calc!$K$3:$K$22*(Calc!$G$3:$G$22&gt;A3515)*(Calc!$G$3:$G$22-A3515)*Calc!$I$3:$I$22)</f>
        <v/>
      </c>
      <c r="O3515">
        <f>SUMPRODUCT(Calc!$K$3:$K$22*(Calc!$G$3:$G$22&gt;B3515)*(Calc!$G$3:$G$22-B3515)*Calc!$I$3:$I$22)</f>
        <v/>
      </c>
      <c r="P3515">
        <f>I3515-G3515^2/k_n</f>
        <v/>
      </c>
      <c r="Q3515">
        <f>J3515-H3515^2/k_n</f>
        <v/>
      </c>
      <c r="R3515">
        <f>K3515-G3515*H3515/k_n</f>
        <v/>
      </c>
      <c r="S3515">
        <f>L3515-LTP3!$D$3*G3515/k_n</f>
        <v/>
      </c>
      <c r="T3515">
        <f>M3515-LTP3!$D$3*H3515/k_n</f>
        <v/>
      </c>
      <c r="U3515">
        <f>N3515-G3515*LTP3!$D$4/k_n</f>
        <v/>
      </c>
      <c r="V3515">
        <f>O3515-H3515*LTP3!$D$4/k_n</f>
        <v/>
      </c>
      <c r="W3515">
        <f>((LTP3!$D$5)*((P3515)*(Q3515)-(R3515)*(R3515))-(S3515)*((S3515)*(Q3515)-(R3515)*(T3515))+(T3515)*((S3515)*(R3515)-(P3515)*(T3515)))</f>
        <v/>
      </c>
      <c r="X3515">
        <f>IF(ABS(W3515)&gt;1E-12,((LTP3!$D$6)*((P3515)*(Q3515)-(R3515)*(R3515))-(S3515)*((U3515)*(Q3515)-(R3515)*(V3515))+(T3515)*((U3515)*(R3515)-(P3515)*(V3515)))/W3515,0)</f>
        <v/>
      </c>
      <c r="Y3515">
        <f>IF(ABS(W3515)&gt;1E-12,((LTP3!$D$5)*((U3515)*(Q3515)-(R3515)*(V3515))-(LTP3!$D$6)*((S3515)*(Q3515)-(R3515)*(T3515))+(T3515)*((S3515)*(V3515)-(U3515)*(T3515)))/W3515,0)</f>
        <v/>
      </c>
      <c r="Z3515">
        <f>IF(ABS(W3515)&gt;1E-12,((LTP3!$D$5)*((P3515)*(V3515)-(U3515)*(R3515))-(S3515)*((S3515)*(V3515)-(U3515)*(T3515))+(LTP3!$D$6)*((S3515)*(R3515)-(P3515)*(T3515)))/W3515,0)</f>
        <v/>
      </c>
      <c r="AA3515">
        <f>LTP3!$D$7-X3515*LTP3!$D$6-Y3515*U3515-Z3515*V3515</f>
        <v/>
      </c>
      <c r="AB3515">
        <f>IF(AND(F3515,ABS(W3515)&gt;1E-12,Y3515&gt;0,Z3515&gt;0),AA3515,1E+300)</f>
        <v/>
      </c>
    </row>
    <row r="3516">
      <c r="A3516">
        <f>$B$3+$B$5*57</f>
        <v/>
      </c>
      <c r="B3516">
        <f>$B$3+$B$5*27</f>
        <v/>
      </c>
      <c r="C3516">
        <f>SUMPRODUCT(Calc!$K$3:$K$22*(Calc!$G$3:$G$22&lt;=A3516))</f>
        <v/>
      </c>
      <c r="D3516">
        <f>SUMPRODUCT(Calc!$K$3:$K$22*(Calc!$G$3:$G$22&gt;A3516)*(Calc!$G$3:$G$22&lt;B3516))</f>
        <v/>
      </c>
      <c r="E3516">
        <f>SUMPRODUCT(Calc!$K$3:$K$22*(Calc!$G$3:$G$22&gt;=B3516))</f>
        <v/>
      </c>
      <c r="F3516">
        <f>AND(k_n&gt;=5,B3516&gt;A3516+1E-9,C3516&gt;=2,D3516&gt;=1,E3516&gt;=2)</f>
        <v/>
      </c>
      <c r="G3516">
        <f>SUMPRODUCT(Calc!$K$3:$K$22*(Calc!$G$3:$G$22&gt;A3516)*(Calc!$G$3:$G$22-A3516))</f>
        <v/>
      </c>
      <c r="H3516">
        <f>SUMPRODUCT(Calc!$K$3:$K$22*(Calc!$G$3:$G$22&gt;B3516)*(Calc!$G$3:$G$22-B3516))</f>
        <v/>
      </c>
      <c r="I3516">
        <f>SUMPRODUCT(Calc!$K$3:$K$22*(Calc!$G$3:$G$22&gt;A3516)*(Calc!$G$3:$G$22-A3516)^2)</f>
        <v/>
      </c>
      <c r="J3516">
        <f>SUMPRODUCT(Calc!$K$3:$K$22*(Calc!$G$3:$G$22&gt;B3516)*(Calc!$G$3:$G$22-B3516)^2)</f>
        <v/>
      </c>
      <c r="K3516">
        <f>SUMPRODUCT(Calc!$K$3:$K$22*(Calc!$G$3:$G$22&gt;A3516)*(Calc!$G$3:$G$22-A3516)*(Calc!$G$3:$G$22&gt;B3516)*(Calc!$G$3:$G$22-B3516))</f>
        <v/>
      </c>
      <c r="L3516">
        <f>SUMPRODUCT(Calc!$K$3:$K$22*(Calc!$G$3:$G$22&gt;A3516)*(Calc!$G$3:$G$22-A3516)*Calc!$G$3:$G$22)</f>
        <v/>
      </c>
      <c r="M3516">
        <f>SUMPRODUCT(Calc!$K$3:$K$22*(Calc!$G$3:$G$22&gt;B3516)*(Calc!$G$3:$G$22-B3516)*Calc!$G$3:$G$22)</f>
        <v/>
      </c>
      <c r="N3516">
        <f>SUMPRODUCT(Calc!$K$3:$K$22*(Calc!$G$3:$G$22&gt;A3516)*(Calc!$G$3:$G$22-A3516)*Calc!$I$3:$I$22)</f>
        <v/>
      </c>
      <c r="O3516">
        <f>SUMPRODUCT(Calc!$K$3:$K$22*(Calc!$G$3:$G$22&gt;B3516)*(Calc!$G$3:$G$22-B3516)*Calc!$I$3:$I$22)</f>
        <v/>
      </c>
      <c r="P3516">
        <f>I3516-G3516^2/k_n</f>
        <v/>
      </c>
      <c r="Q3516">
        <f>J3516-H3516^2/k_n</f>
        <v/>
      </c>
      <c r="R3516">
        <f>K3516-G3516*H3516/k_n</f>
        <v/>
      </c>
      <c r="S3516">
        <f>L3516-LTP3!$D$3*G3516/k_n</f>
        <v/>
      </c>
      <c r="T3516">
        <f>M3516-LTP3!$D$3*H3516/k_n</f>
        <v/>
      </c>
      <c r="U3516">
        <f>N3516-G3516*LTP3!$D$4/k_n</f>
        <v/>
      </c>
      <c r="V3516">
        <f>O3516-H3516*LTP3!$D$4/k_n</f>
        <v/>
      </c>
      <c r="W3516">
        <f>((LTP3!$D$5)*((P3516)*(Q3516)-(R3516)*(R3516))-(S3516)*((S3516)*(Q3516)-(R3516)*(T3516))+(T3516)*((S3516)*(R3516)-(P3516)*(T3516)))</f>
        <v/>
      </c>
      <c r="X3516">
        <f>IF(ABS(W3516)&gt;1E-12,((LTP3!$D$6)*((P3516)*(Q3516)-(R3516)*(R3516))-(S3516)*((U3516)*(Q3516)-(R3516)*(V3516))+(T3516)*((U3516)*(R3516)-(P3516)*(V3516)))/W3516,0)</f>
        <v/>
      </c>
      <c r="Y3516">
        <f>IF(ABS(W3516)&gt;1E-12,((LTP3!$D$5)*((U3516)*(Q3516)-(R3516)*(V3516))-(LTP3!$D$6)*((S3516)*(Q3516)-(R3516)*(T3516))+(T3516)*((S3516)*(V3516)-(U3516)*(T3516)))/W3516,0)</f>
        <v/>
      </c>
      <c r="Z3516">
        <f>IF(ABS(W3516)&gt;1E-12,((LTP3!$D$5)*((P3516)*(V3516)-(U3516)*(R3516))-(S3516)*((S3516)*(V3516)-(U3516)*(T3516))+(LTP3!$D$6)*((S3516)*(R3516)-(P3516)*(T3516)))/W3516,0)</f>
        <v/>
      </c>
      <c r="AA3516">
        <f>LTP3!$D$7-X3516*LTP3!$D$6-Y3516*U3516-Z3516*V3516</f>
        <v/>
      </c>
      <c r="AB3516">
        <f>IF(AND(F3516,ABS(W3516)&gt;1E-12,Y3516&gt;0,Z3516&gt;0),AA3516,1E+300)</f>
        <v/>
      </c>
    </row>
    <row r="3517">
      <c r="A3517">
        <f>$B$3+$B$5*57</f>
        <v/>
      </c>
      <c r="B3517">
        <f>$B$3+$B$5*28</f>
        <v/>
      </c>
      <c r="C3517">
        <f>SUMPRODUCT(Calc!$K$3:$K$22*(Calc!$G$3:$G$22&lt;=A3517))</f>
        <v/>
      </c>
      <c r="D3517">
        <f>SUMPRODUCT(Calc!$K$3:$K$22*(Calc!$G$3:$G$22&gt;A3517)*(Calc!$G$3:$G$22&lt;B3517))</f>
        <v/>
      </c>
      <c r="E3517">
        <f>SUMPRODUCT(Calc!$K$3:$K$22*(Calc!$G$3:$G$22&gt;=B3517))</f>
        <v/>
      </c>
      <c r="F3517">
        <f>AND(k_n&gt;=5,B3517&gt;A3517+1E-9,C3517&gt;=2,D3517&gt;=1,E3517&gt;=2)</f>
        <v/>
      </c>
      <c r="G3517">
        <f>SUMPRODUCT(Calc!$K$3:$K$22*(Calc!$G$3:$G$22&gt;A3517)*(Calc!$G$3:$G$22-A3517))</f>
        <v/>
      </c>
      <c r="H3517">
        <f>SUMPRODUCT(Calc!$K$3:$K$22*(Calc!$G$3:$G$22&gt;B3517)*(Calc!$G$3:$G$22-B3517))</f>
        <v/>
      </c>
      <c r="I3517">
        <f>SUMPRODUCT(Calc!$K$3:$K$22*(Calc!$G$3:$G$22&gt;A3517)*(Calc!$G$3:$G$22-A3517)^2)</f>
        <v/>
      </c>
      <c r="J3517">
        <f>SUMPRODUCT(Calc!$K$3:$K$22*(Calc!$G$3:$G$22&gt;B3517)*(Calc!$G$3:$G$22-B3517)^2)</f>
        <v/>
      </c>
      <c r="K3517">
        <f>SUMPRODUCT(Calc!$K$3:$K$22*(Calc!$G$3:$G$22&gt;A3517)*(Calc!$G$3:$G$22-A3517)*(Calc!$G$3:$G$22&gt;B3517)*(Calc!$G$3:$G$22-B3517))</f>
        <v/>
      </c>
      <c r="L3517">
        <f>SUMPRODUCT(Calc!$K$3:$K$22*(Calc!$G$3:$G$22&gt;A3517)*(Calc!$G$3:$G$22-A3517)*Calc!$G$3:$G$22)</f>
        <v/>
      </c>
      <c r="M3517">
        <f>SUMPRODUCT(Calc!$K$3:$K$22*(Calc!$G$3:$G$22&gt;B3517)*(Calc!$G$3:$G$22-B3517)*Calc!$G$3:$G$22)</f>
        <v/>
      </c>
      <c r="N3517">
        <f>SUMPRODUCT(Calc!$K$3:$K$22*(Calc!$G$3:$G$22&gt;A3517)*(Calc!$G$3:$G$22-A3517)*Calc!$I$3:$I$22)</f>
        <v/>
      </c>
      <c r="O3517">
        <f>SUMPRODUCT(Calc!$K$3:$K$22*(Calc!$G$3:$G$22&gt;B3517)*(Calc!$G$3:$G$22-B3517)*Calc!$I$3:$I$22)</f>
        <v/>
      </c>
      <c r="P3517">
        <f>I3517-G3517^2/k_n</f>
        <v/>
      </c>
      <c r="Q3517">
        <f>J3517-H3517^2/k_n</f>
        <v/>
      </c>
      <c r="R3517">
        <f>K3517-G3517*H3517/k_n</f>
        <v/>
      </c>
      <c r="S3517">
        <f>L3517-LTP3!$D$3*G3517/k_n</f>
        <v/>
      </c>
      <c r="T3517">
        <f>M3517-LTP3!$D$3*H3517/k_n</f>
        <v/>
      </c>
      <c r="U3517">
        <f>N3517-G3517*LTP3!$D$4/k_n</f>
        <v/>
      </c>
      <c r="V3517">
        <f>O3517-H3517*LTP3!$D$4/k_n</f>
        <v/>
      </c>
      <c r="W3517">
        <f>((LTP3!$D$5)*((P3517)*(Q3517)-(R3517)*(R3517))-(S3517)*((S3517)*(Q3517)-(R3517)*(T3517))+(T3517)*((S3517)*(R3517)-(P3517)*(T3517)))</f>
        <v/>
      </c>
      <c r="X3517">
        <f>IF(ABS(W3517)&gt;1E-12,((LTP3!$D$6)*((P3517)*(Q3517)-(R3517)*(R3517))-(S3517)*((U3517)*(Q3517)-(R3517)*(V3517))+(T3517)*((U3517)*(R3517)-(P3517)*(V3517)))/W3517,0)</f>
        <v/>
      </c>
      <c r="Y3517">
        <f>IF(ABS(W3517)&gt;1E-12,((LTP3!$D$5)*((U3517)*(Q3517)-(R3517)*(V3517))-(LTP3!$D$6)*((S3517)*(Q3517)-(R3517)*(T3517))+(T3517)*((S3517)*(V3517)-(U3517)*(T3517)))/W3517,0)</f>
        <v/>
      </c>
      <c r="Z3517">
        <f>IF(ABS(W3517)&gt;1E-12,((LTP3!$D$5)*((P3517)*(V3517)-(U3517)*(R3517))-(S3517)*((S3517)*(V3517)-(U3517)*(T3517))+(LTP3!$D$6)*((S3517)*(R3517)-(P3517)*(T3517)))/W3517,0)</f>
        <v/>
      </c>
      <c r="AA3517">
        <f>LTP3!$D$7-X3517*LTP3!$D$6-Y3517*U3517-Z3517*V3517</f>
        <v/>
      </c>
      <c r="AB3517">
        <f>IF(AND(F3517,ABS(W3517)&gt;1E-12,Y3517&gt;0,Z3517&gt;0),AA3517,1E+300)</f>
        <v/>
      </c>
    </row>
    <row r="3518">
      <c r="A3518">
        <f>$B$3+$B$5*57</f>
        <v/>
      </c>
      <c r="B3518">
        <f>$B$3+$B$5*29</f>
        <v/>
      </c>
      <c r="C3518">
        <f>SUMPRODUCT(Calc!$K$3:$K$22*(Calc!$G$3:$G$22&lt;=A3518))</f>
        <v/>
      </c>
      <c r="D3518">
        <f>SUMPRODUCT(Calc!$K$3:$K$22*(Calc!$G$3:$G$22&gt;A3518)*(Calc!$G$3:$G$22&lt;B3518))</f>
        <v/>
      </c>
      <c r="E3518">
        <f>SUMPRODUCT(Calc!$K$3:$K$22*(Calc!$G$3:$G$22&gt;=B3518))</f>
        <v/>
      </c>
      <c r="F3518">
        <f>AND(k_n&gt;=5,B3518&gt;A3518+1E-9,C3518&gt;=2,D3518&gt;=1,E3518&gt;=2)</f>
        <v/>
      </c>
      <c r="G3518">
        <f>SUMPRODUCT(Calc!$K$3:$K$22*(Calc!$G$3:$G$22&gt;A3518)*(Calc!$G$3:$G$22-A3518))</f>
        <v/>
      </c>
      <c r="H3518">
        <f>SUMPRODUCT(Calc!$K$3:$K$22*(Calc!$G$3:$G$22&gt;B3518)*(Calc!$G$3:$G$22-B3518))</f>
        <v/>
      </c>
      <c r="I3518">
        <f>SUMPRODUCT(Calc!$K$3:$K$22*(Calc!$G$3:$G$22&gt;A3518)*(Calc!$G$3:$G$22-A3518)^2)</f>
        <v/>
      </c>
      <c r="J3518">
        <f>SUMPRODUCT(Calc!$K$3:$K$22*(Calc!$G$3:$G$22&gt;B3518)*(Calc!$G$3:$G$22-B3518)^2)</f>
        <v/>
      </c>
      <c r="K3518">
        <f>SUMPRODUCT(Calc!$K$3:$K$22*(Calc!$G$3:$G$22&gt;A3518)*(Calc!$G$3:$G$22-A3518)*(Calc!$G$3:$G$22&gt;B3518)*(Calc!$G$3:$G$22-B3518))</f>
        <v/>
      </c>
      <c r="L3518">
        <f>SUMPRODUCT(Calc!$K$3:$K$22*(Calc!$G$3:$G$22&gt;A3518)*(Calc!$G$3:$G$22-A3518)*Calc!$G$3:$G$22)</f>
        <v/>
      </c>
      <c r="M3518">
        <f>SUMPRODUCT(Calc!$K$3:$K$22*(Calc!$G$3:$G$22&gt;B3518)*(Calc!$G$3:$G$22-B3518)*Calc!$G$3:$G$22)</f>
        <v/>
      </c>
      <c r="N3518">
        <f>SUMPRODUCT(Calc!$K$3:$K$22*(Calc!$G$3:$G$22&gt;A3518)*(Calc!$G$3:$G$22-A3518)*Calc!$I$3:$I$22)</f>
        <v/>
      </c>
      <c r="O3518">
        <f>SUMPRODUCT(Calc!$K$3:$K$22*(Calc!$G$3:$G$22&gt;B3518)*(Calc!$G$3:$G$22-B3518)*Calc!$I$3:$I$22)</f>
        <v/>
      </c>
      <c r="P3518">
        <f>I3518-G3518^2/k_n</f>
        <v/>
      </c>
      <c r="Q3518">
        <f>J3518-H3518^2/k_n</f>
        <v/>
      </c>
      <c r="R3518">
        <f>K3518-G3518*H3518/k_n</f>
        <v/>
      </c>
      <c r="S3518">
        <f>L3518-LTP3!$D$3*G3518/k_n</f>
        <v/>
      </c>
      <c r="T3518">
        <f>M3518-LTP3!$D$3*H3518/k_n</f>
        <v/>
      </c>
      <c r="U3518">
        <f>N3518-G3518*LTP3!$D$4/k_n</f>
        <v/>
      </c>
      <c r="V3518">
        <f>O3518-H3518*LTP3!$D$4/k_n</f>
        <v/>
      </c>
      <c r="W3518">
        <f>((LTP3!$D$5)*((P3518)*(Q3518)-(R3518)*(R3518))-(S3518)*((S3518)*(Q3518)-(R3518)*(T3518))+(T3518)*((S3518)*(R3518)-(P3518)*(T3518)))</f>
        <v/>
      </c>
      <c r="X3518">
        <f>IF(ABS(W3518)&gt;1E-12,((LTP3!$D$6)*((P3518)*(Q3518)-(R3518)*(R3518))-(S3518)*((U3518)*(Q3518)-(R3518)*(V3518))+(T3518)*((U3518)*(R3518)-(P3518)*(V3518)))/W3518,0)</f>
        <v/>
      </c>
      <c r="Y3518">
        <f>IF(ABS(W3518)&gt;1E-12,((LTP3!$D$5)*((U3518)*(Q3518)-(R3518)*(V3518))-(LTP3!$D$6)*((S3518)*(Q3518)-(R3518)*(T3518))+(T3518)*((S3518)*(V3518)-(U3518)*(T3518)))/W3518,0)</f>
        <v/>
      </c>
      <c r="Z3518">
        <f>IF(ABS(W3518)&gt;1E-12,((LTP3!$D$5)*((P3518)*(V3518)-(U3518)*(R3518))-(S3518)*((S3518)*(V3518)-(U3518)*(T3518))+(LTP3!$D$6)*((S3518)*(R3518)-(P3518)*(T3518)))/W3518,0)</f>
        <v/>
      </c>
      <c r="AA3518">
        <f>LTP3!$D$7-X3518*LTP3!$D$6-Y3518*U3518-Z3518*V3518</f>
        <v/>
      </c>
      <c r="AB3518">
        <f>IF(AND(F3518,ABS(W3518)&gt;1E-12,Y3518&gt;0,Z3518&gt;0),AA3518,1E+300)</f>
        <v/>
      </c>
    </row>
    <row r="3519">
      <c r="A3519">
        <f>$B$3+$B$5*57</f>
        <v/>
      </c>
      <c r="B3519">
        <f>$B$3+$B$5*30</f>
        <v/>
      </c>
      <c r="C3519">
        <f>SUMPRODUCT(Calc!$K$3:$K$22*(Calc!$G$3:$G$22&lt;=A3519))</f>
        <v/>
      </c>
      <c r="D3519">
        <f>SUMPRODUCT(Calc!$K$3:$K$22*(Calc!$G$3:$G$22&gt;A3519)*(Calc!$G$3:$G$22&lt;B3519))</f>
        <v/>
      </c>
      <c r="E3519">
        <f>SUMPRODUCT(Calc!$K$3:$K$22*(Calc!$G$3:$G$22&gt;=B3519))</f>
        <v/>
      </c>
      <c r="F3519">
        <f>AND(k_n&gt;=5,B3519&gt;A3519+1E-9,C3519&gt;=2,D3519&gt;=1,E3519&gt;=2)</f>
        <v/>
      </c>
      <c r="G3519">
        <f>SUMPRODUCT(Calc!$K$3:$K$22*(Calc!$G$3:$G$22&gt;A3519)*(Calc!$G$3:$G$22-A3519))</f>
        <v/>
      </c>
      <c r="H3519">
        <f>SUMPRODUCT(Calc!$K$3:$K$22*(Calc!$G$3:$G$22&gt;B3519)*(Calc!$G$3:$G$22-B3519))</f>
        <v/>
      </c>
      <c r="I3519">
        <f>SUMPRODUCT(Calc!$K$3:$K$22*(Calc!$G$3:$G$22&gt;A3519)*(Calc!$G$3:$G$22-A3519)^2)</f>
        <v/>
      </c>
      <c r="J3519">
        <f>SUMPRODUCT(Calc!$K$3:$K$22*(Calc!$G$3:$G$22&gt;B3519)*(Calc!$G$3:$G$22-B3519)^2)</f>
        <v/>
      </c>
      <c r="K3519">
        <f>SUMPRODUCT(Calc!$K$3:$K$22*(Calc!$G$3:$G$22&gt;A3519)*(Calc!$G$3:$G$22-A3519)*(Calc!$G$3:$G$22&gt;B3519)*(Calc!$G$3:$G$22-B3519))</f>
        <v/>
      </c>
      <c r="L3519">
        <f>SUMPRODUCT(Calc!$K$3:$K$22*(Calc!$G$3:$G$22&gt;A3519)*(Calc!$G$3:$G$22-A3519)*Calc!$G$3:$G$22)</f>
        <v/>
      </c>
      <c r="M3519">
        <f>SUMPRODUCT(Calc!$K$3:$K$22*(Calc!$G$3:$G$22&gt;B3519)*(Calc!$G$3:$G$22-B3519)*Calc!$G$3:$G$22)</f>
        <v/>
      </c>
      <c r="N3519">
        <f>SUMPRODUCT(Calc!$K$3:$K$22*(Calc!$G$3:$G$22&gt;A3519)*(Calc!$G$3:$G$22-A3519)*Calc!$I$3:$I$22)</f>
        <v/>
      </c>
      <c r="O3519">
        <f>SUMPRODUCT(Calc!$K$3:$K$22*(Calc!$G$3:$G$22&gt;B3519)*(Calc!$G$3:$G$22-B3519)*Calc!$I$3:$I$22)</f>
        <v/>
      </c>
      <c r="P3519">
        <f>I3519-G3519^2/k_n</f>
        <v/>
      </c>
      <c r="Q3519">
        <f>J3519-H3519^2/k_n</f>
        <v/>
      </c>
      <c r="R3519">
        <f>K3519-G3519*H3519/k_n</f>
        <v/>
      </c>
      <c r="S3519">
        <f>L3519-LTP3!$D$3*G3519/k_n</f>
        <v/>
      </c>
      <c r="T3519">
        <f>M3519-LTP3!$D$3*H3519/k_n</f>
        <v/>
      </c>
      <c r="U3519">
        <f>N3519-G3519*LTP3!$D$4/k_n</f>
        <v/>
      </c>
      <c r="V3519">
        <f>O3519-H3519*LTP3!$D$4/k_n</f>
        <v/>
      </c>
      <c r="W3519">
        <f>((LTP3!$D$5)*((P3519)*(Q3519)-(R3519)*(R3519))-(S3519)*((S3519)*(Q3519)-(R3519)*(T3519))+(T3519)*((S3519)*(R3519)-(P3519)*(T3519)))</f>
        <v/>
      </c>
      <c r="X3519">
        <f>IF(ABS(W3519)&gt;1E-12,((LTP3!$D$6)*((P3519)*(Q3519)-(R3519)*(R3519))-(S3519)*((U3519)*(Q3519)-(R3519)*(V3519))+(T3519)*((U3519)*(R3519)-(P3519)*(V3519)))/W3519,0)</f>
        <v/>
      </c>
      <c r="Y3519">
        <f>IF(ABS(W3519)&gt;1E-12,((LTP3!$D$5)*((U3519)*(Q3519)-(R3519)*(V3519))-(LTP3!$D$6)*((S3519)*(Q3519)-(R3519)*(T3519))+(T3519)*((S3519)*(V3519)-(U3519)*(T3519)))/W3519,0)</f>
        <v/>
      </c>
      <c r="Z3519">
        <f>IF(ABS(W3519)&gt;1E-12,((LTP3!$D$5)*((P3519)*(V3519)-(U3519)*(R3519))-(S3519)*((S3519)*(V3519)-(U3519)*(T3519))+(LTP3!$D$6)*((S3519)*(R3519)-(P3519)*(T3519)))/W3519,0)</f>
        <v/>
      </c>
      <c r="AA3519">
        <f>LTP3!$D$7-X3519*LTP3!$D$6-Y3519*U3519-Z3519*V3519</f>
        <v/>
      </c>
      <c r="AB3519">
        <f>IF(AND(F3519,ABS(W3519)&gt;1E-12,Y3519&gt;0,Z3519&gt;0),AA3519,1E+300)</f>
        <v/>
      </c>
    </row>
    <row r="3520">
      <c r="A3520">
        <f>$B$3+$B$5*57</f>
        <v/>
      </c>
      <c r="B3520">
        <f>$B$3+$B$5*31</f>
        <v/>
      </c>
      <c r="C3520">
        <f>SUMPRODUCT(Calc!$K$3:$K$22*(Calc!$G$3:$G$22&lt;=A3520))</f>
        <v/>
      </c>
      <c r="D3520">
        <f>SUMPRODUCT(Calc!$K$3:$K$22*(Calc!$G$3:$G$22&gt;A3520)*(Calc!$G$3:$G$22&lt;B3520))</f>
        <v/>
      </c>
      <c r="E3520">
        <f>SUMPRODUCT(Calc!$K$3:$K$22*(Calc!$G$3:$G$22&gt;=B3520))</f>
        <v/>
      </c>
      <c r="F3520">
        <f>AND(k_n&gt;=5,B3520&gt;A3520+1E-9,C3520&gt;=2,D3520&gt;=1,E3520&gt;=2)</f>
        <v/>
      </c>
      <c r="G3520">
        <f>SUMPRODUCT(Calc!$K$3:$K$22*(Calc!$G$3:$G$22&gt;A3520)*(Calc!$G$3:$G$22-A3520))</f>
        <v/>
      </c>
      <c r="H3520">
        <f>SUMPRODUCT(Calc!$K$3:$K$22*(Calc!$G$3:$G$22&gt;B3520)*(Calc!$G$3:$G$22-B3520))</f>
        <v/>
      </c>
      <c r="I3520">
        <f>SUMPRODUCT(Calc!$K$3:$K$22*(Calc!$G$3:$G$22&gt;A3520)*(Calc!$G$3:$G$22-A3520)^2)</f>
        <v/>
      </c>
      <c r="J3520">
        <f>SUMPRODUCT(Calc!$K$3:$K$22*(Calc!$G$3:$G$22&gt;B3520)*(Calc!$G$3:$G$22-B3520)^2)</f>
        <v/>
      </c>
      <c r="K3520">
        <f>SUMPRODUCT(Calc!$K$3:$K$22*(Calc!$G$3:$G$22&gt;A3520)*(Calc!$G$3:$G$22-A3520)*(Calc!$G$3:$G$22&gt;B3520)*(Calc!$G$3:$G$22-B3520))</f>
        <v/>
      </c>
      <c r="L3520">
        <f>SUMPRODUCT(Calc!$K$3:$K$22*(Calc!$G$3:$G$22&gt;A3520)*(Calc!$G$3:$G$22-A3520)*Calc!$G$3:$G$22)</f>
        <v/>
      </c>
      <c r="M3520">
        <f>SUMPRODUCT(Calc!$K$3:$K$22*(Calc!$G$3:$G$22&gt;B3520)*(Calc!$G$3:$G$22-B3520)*Calc!$G$3:$G$22)</f>
        <v/>
      </c>
      <c r="N3520">
        <f>SUMPRODUCT(Calc!$K$3:$K$22*(Calc!$G$3:$G$22&gt;A3520)*(Calc!$G$3:$G$22-A3520)*Calc!$I$3:$I$22)</f>
        <v/>
      </c>
      <c r="O3520">
        <f>SUMPRODUCT(Calc!$K$3:$K$22*(Calc!$G$3:$G$22&gt;B3520)*(Calc!$G$3:$G$22-B3520)*Calc!$I$3:$I$22)</f>
        <v/>
      </c>
      <c r="P3520">
        <f>I3520-G3520^2/k_n</f>
        <v/>
      </c>
      <c r="Q3520">
        <f>J3520-H3520^2/k_n</f>
        <v/>
      </c>
      <c r="R3520">
        <f>K3520-G3520*H3520/k_n</f>
        <v/>
      </c>
      <c r="S3520">
        <f>L3520-LTP3!$D$3*G3520/k_n</f>
        <v/>
      </c>
      <c r="T3520">
        <f>M3520-LTP3!$D$3*H3520/k_n</f>
        <v/>
      </c>
      <c r="U3520">
        <f>N3520-G3520*LTP3!$D$4/k_n</f>
        <v/>
      </c>
      <c r="V3520">
        <f>O3520-H3520*LTP3!$D$4/k_n</f>
        <v/>
      </c>
      <c r="W3520">
        <f>((LTP3!$D$5)*((P3520)*(Q3520)-(R3520)*(R3520))-(S3520)*((S3520)*(Q3520)-(R3520)*(T3520))+(T3520)*((S3520)*(R3520)-(P3520)*(T3520)))</f>
        <v/>
      </c>
      <c r="X3520">
        <f>IF(ABS(W3520)&gt;1E-12,((LTP3!$D$6)*((P3520)*(Q3520)-(R3520)*(R3520))-(S3520)*((U3520)*(Q3520)-(R3520)*(V3520))+(T3520)*((U3520)*(R3520)-(P3520)*(V3520)))/W3520,0)</f>
        <v/>
      </c>
      <c r="Y3520">
        <f>IF(ABS(W3520)&gt;1E-12,((LTP3!$D$5)*((U3520)*(Q3520)-(R3520)*(V3520))-(LTP3!$D$6)*((S3520)*(Q3520)-(R3520)*(T3520))+(T3520)*((S3520)*(V3520)-(U3520)*(T3520)))/W3520,0)</f>
        <v/>
      </c>
      <c r="Z3520">
        <f>IF(ABS(W3520)&gt;1E-12,((LTP3!$D$5)*((P3520)*(V3520)-(U3520)*(R3520))-(S3520)*((S3520)*(V3520)-(U3520)*(T3520))+(LTP3!$D$6)*((S3520)*(R3520)-(P3520)*(T3520)))/W3520,0)</f>
        <v/>
      </c>
      <c r="AA3520">
        <f>LTP3!$D$7-X3520*LTP3!$D$6-Y3520*U3520-Z3520*V3520</f>
        <v/>
      </c>
      <c r="AB3520">
        <f>IF(AND(F3520,ABS(W3520)&gt;1E-12,Y3520&gt;0,Z3520&gt;0),AA3520,1E+300)</f>
        <v/>
      </c>
    </row>
    <row r="3521">
      <c r="A3521">
        <f>$B$3+$B$5*57</f>
        <v/>
      </c>
      <c r="B3521">
        <f>$B$3+$B$5*32</f>
        <v/>
      </c>
      <c r="C3521">
        <f>SUMPRODUCT(Calc!$K$3:$K$22*(Calc!$G$3:$G$22&lt;=A3521))</f>
        <v/>
      </c>
      <c r="D3521">
        <f>SUMPRODUCT(Calc!$K$3:$K$22*(Calc!$G$3:$G$22&gt;A3521)*(Calc!$G$3:$G$22&lt;B3521))</f>
        <v/>
      </c>
      <c r="E3521">
        <f>SUMPRODUCT(Calc!$K$3:$K$22*(Calc!$G$3:$G$22&gt;=B3521))</f>
        <v/>
      </c>
      <c r="F3521">
        <f>AND(k_n&gt;=5,B3521&gt;A3521+1E-9,C3521&gt;=2,D3521&gt;=1,E3521&gt;=2)</f>
        <v/>
      </c>
      <c r="G3521">
        <f>SUMPRODUCT(Calc!$K$3:$K$22*(Calc!$G$3:$G$22&gt;A3521)*(Calc!$G$3:$G$22-A3521))</f>
        <v/>
      </c>
      <c r="H3521">
        <f>SUMPRODUCT(Calc!$K$3:$K$22*(Calc!$G$3:$G$22&gt;B3521)*(Calc!$G$3:$G$22-B3521))</f>
        <v/>
      </c>
      <c r="I3521">
        <f>SUMPRODUCT(Calc!$K$3:$K$22*(Calc!$G$3:$G$22&gt;A3521)*(Calc!$G$3:$G$22-A3521)^2)</f>
        <v/>
      </c>
      <c r="J3521">
        <f>SUMPRODUCT(Calc!$K$3:$K$22*(Calc!$G$3:$G$22&gt;B3521)*(Calc!$G$3:$G$22-B3521)^2)</f>
        <v/>
      </c>
      <c r="K3521">
        <f>SUMPRODUCT(Calc!$K$3:$K$22*(Calc!$G$3:$G$22&gt;A3521)*(Calc!$G$3:$G$22-A3521)*(Calc!$G$3:$G$22&gt;B3521)*(Calc!$G$3:$G$22-B3521))</f>
        <v/>
      </c>
      <c r="L3521">
        <f>SUMPRODUCT(Calc!$K$3:$K$22*(Calc!$G$3:$G$22&gt;A3521)*(Calc!$G$3:$G$22-A3521)*Calc!$G$3:$G$22)</f>
        <v/>
      </c>
      <c r="M3521">
        <f>SUMPRODUCT(Calc!$K$3:$K$22*(Calc!$G$3:$G$22&gt;B3521)*(Calc!$G$3:$G$22-B3521)*Calc!$G$3:$G$22)</f>
        <v/>
      </c>
      <c r="N3521">
        <f>SUMPRODUCT(Calc!$K$3:$K$22*(Calc!$G$3:$G$22&gt;A3521)*(Calc!$G$3:$G$22-A3521)*Calc!$I$3:$I$22)</f>
        <v/>
      </c>
      <c r="O3521">
        <f>SUMPRODUCT(Calc!$K$3:$K$22*(Calc!$G$3:$G$22&gt;B3521)*(Calc!$G$3:$G$22-B3521)*Calc!$I$3:$I$22)</f>
        <v/>
      </c>
      <c r="P3521">
        <f>I3521-G3521^2/k_n</f>
        <v/>
      </c>
      <c r="Q3521">
        <f>J3521-H3521^2/k_n</f>
        <v/>
      </c>
      <c r="R3521">
        <f>K3521-G3521*H3521/k_n</f>
        <v/>
      </c>
      <c r="S3521">
        <f>L3521-LTP3!$D$3*G3521/k_n</f>
        <v/>
      </c>
      <c r="T3521">
        <f>M3521-LTP3!$D$3*H3521/k_n</f>
        <v/>
      </c>
      <c r="U3521">
        <f>N3521-G3521*LTP3!$D$4/k_n</f>
        <v/>
      </c>
      <c r="V3521">
        <f>O3521-H3521*LTP3!$D$4/k_n</f>
        <v/>
      </c>
      <c r="W3521">
        <f>((LTP3!$D$5)*((P3521)*(Q3521)-(R3521)*(R3521))-(S3521)*((S3521)*(Q3521)-(R3521)*(T3521))+(T3521)*((S3521)*(R3521)-(P3521)*(T3521)))</f>
        <v/>
      </c>
      <c r="X3521">
        <f>IF(ABS(W3521)&gt;1E-12,((LTP3!$D$6)*((P3521)*(Q3521)-(R3521)*(R3521))-(S3521)*((U3521)*(Q3521)-(R3521)*(V3521))+(T3521)*((U3521)*(R3521)-(P3521)*(V3521)))/W3521,0)</f>
        <v/>
      </c>
      <c r="Y3521">
        <f>IF(ABS(W3521)&gt;1E-12,((LTP3!$D$5)*((U3521)*(Q3521)-(R3521)*(V3521))-(LTP3!$D$6)*((S3521)*(Q3521)-(R3521)*(T3521))+(T3521)*((S3521)*(V3521)-(U3521)*(T3521)))/W3521,0)</f>
        <v/>
      </c>
      <c r="Z3521">
        <f>IF(ABS(W3521)&gt;1E-12,((LTP3!$D$5)*((P3521)*(V3521)-(U3521)*(R3521))-(S3521)*((S3521)*(V3521)-(U3521)*(T3521))+(LTP3!$D$6)*((S3521)*(R3521)-(P3521)*(T3521)))/W3521,0)</f>
        <v/>
      </c>
      <c r="AA3521">
        <f>LTP3!$D$7-X3521*LTP3!$D$6-Y3521*U3521-Z3521*V3521</f>
        <v/>
      </c>
      <c r="AB3521">
        <f>IF(AND(F3521,ABS(W3521)&gt;1E-12,Y3521&gt;0,Z3521&gt;0),AA3521,1E+300)</f>
        <v/>
      </c>
    </row>
    <row r="3522">
      <c r="A3522">
        <f>$B$3+$B$5*57</f>
        <v/>
      </c>
      <c r="B3522">
        <f>$B$3+$B$5*33</f>
        <v/>
      </c>
      <c r="C3522">
        <f>SUMPRODUCT(Calc!$K$3:$K$22*(Calc!$G$3:$G$22&lt;=A3522))</f>
        <v/>
      </c>
      <c r="D3522">
        <f>SUMPRODUCT(Calc!$K$3:$K$22*(Calc!$G$3:$G$22&gt;A3522)*(Calc!$G$3:$G$22&lt;B3522))</f>
        <v/>
      </c>
      <c r="E3522">
        <f>SUMPRODUCT(Calc!$K$3:$K$22*(Calc!$G$3:$G$22&gt;=B3522))</f>
        <v/>
      </c>
      <c r="F3522">
        <f>AND(k_n&gt;=5,B3522&gt;A3522+1E-9,C3522&gt;=2,D3522&gt;=1,E3522&gt;=2)</f>
        <v/>
      </c>
      <c r="G3522">
        <f>SUMPRODUCT(Calc!$K$3:$K$22*(Calc!$G$3:$G$22&gt;A3522)*(Calc!$G$3:$G$22-A3522))</f>
        <v/>
      </c>
      <c r="H3522">
        <f>SUMPRODUCT(Calc!$K$3:$K$22*(Calc!$G$3:$G$22&gt;B3522)*(Calc!$G$3:$G$22-B3522))</f>
        <v/>
      </c>
      <c r="I3522">
        <f>SUMPRODUCT(Calc!$K$3:$K$22*(Calc!$G$3:$G$22&gt;A3522)*(Calc!$G$3:$G$22-A3522)^2)</f>
        <v/>
      </c>
      <c r="J3522">
        <f>SUMPRODUCT(Calc!$K$3:$K$22*(Calc!$G$3:$G$22&gt;B3522)*(Calc!$G$3:$G$22-B3522)^2)</f>
        <v/>
      </c>
      <c r="K3522">
        <f>SUMPRODUCT(Calc!$K$3:$K$22*(Calc!$G$3:$G$22&gt;A3522)*(Calc!$G$3:$G$22-A3522)*(Calc!$G$3:$G$22&gt;B3522)*(Calc!$G$3:$G$22-B3522))</f>
        <v/>
      </c>
      <c r="L3522">
        <f>SUMPRODUCT(Calc!$K$3:$K$22*(Calc!$G$3:$G$22&gt;A3522)*(Calc!$G$3:$G$22-A3522)*Calc!$G$3:$G$22)</f>
        <v/>
      </c>
      <c r="M3522">
        <f>SUMPRODUCT(Calc!$K$3:$K$22*(Calc!$G$3:$G$22&gt;B3522)*(Calc!$G$3:$G$22-B3522)*Calc!$G$3:$G$22)</f>
        <v/>
      </c>
      <c r="N3522">
        <f>SUMPRODUCT(Calc!$K$3:$K$22*(Calc!$G$3:$G$22&gt;A3522)*(Calc!$G$3:$G$22-A3522)*Calc!$I$3:$I$22)</f>
        <v/>
      </c>
      <c r="O3522">
        <f>SUMPRODUCT(Calc!$K$3:$K$22*(Calc!$G$3:$G$22&gt;B3522)*(Calc!$G$3:$G$22-B3522)*Calc!$I$3:$I$22)</f>
        <v/>
      </c>
      <c r="P3522">
        <f>I3522-G3522^2/k_n</f>
        <v/>
      </c>
      <c r="Q3522">
        <f>J3522-H3522^2/k_n</f>
        <v/>
      </c>
      <c r="R3522">
        <f>K3522-G3522*H3522/k_n</f>
        <v/>
      </c>
      <c r="S3522">
        <f>L3522-LTP3!$D$3*G3522/k_n</f>
        <v/>
      </c>
      <c r="T3522">
        <f>M3522-LTP3!$D$3*H3522/k_n</f>
        <v/>
      </c>
      <c r="U3522">
        <f>N3522-G3522*LTP3!$D$4/k_n</f>
        <v/>
      </c>
      <c r="V3522">
        <f>O3522-H3522*LTP3!$D$4/k_n</f>
        <v/>
      </c>
      <c r="W3522">
        <f>((LTP3!$D$5)*((P3522)*(Q3522)-(R3522)*(R3522))-(S3522)*((S3522)*(Q3522)-(R3522)*(T3522))+(T3522)*((S3522)*(R3522)-(P3522)*(T3522)))</f>
        <v/>
      </c>
      <c r="X3522">
        <f>IF(ABS(W3522)&gt;1E-12,((LTP3!$D$6)*((P3522)*(Q3522)-(R3522)*(R3522))-(S3522)*((U3522)*(Q3522)-(R3522)*(V3522))+(T3522)*((U3522)*(R3522)-(P3522)*(V3522)))/W3522,0)</f>
        <v/>
      </c>
      <c r="Y3522">
        <f>IF(ABS(W3522)&gt;1E-12,((LTP3!$D$5)*((U3522)*(Q3522)-(R3522)*(V3522))-(LTP3!$D$6)*((S3522)*(Q3522)-(R3522)*(T3522))+(T3522)*((S3522)*(V3522)-(U3522)*(T3522)))/W3522,0)</f>
        <v/>
      </c>
      <c r="Z3522">
        <f>IF(ABS(W3522)&gt;1E-12,((LTP3!$D$5)*((P3522)*(V3522)-(U3522)*(R3522))-(S3522)*((S3522)*(V3522)-(U3522)*(T3522))+(LTP3!$D$6)*((S3522)*(R3522)-(P3522)*(T3522)))/W3522,0)</f>
        <v/>
      </c>
      <c r="AA3522">
        <f>LTP3!$D$7-X3522*LTP3!$D$6-Y3522*U3522-Z3522*V3522</f>
        <v/>
      </c>
      <c r="AB3522">
        <f>IF(AND(F3522,ABS(W3522)&gt;1E-12,Y3522&gt;0,Z3522&gt;0),AA3522,1E+300)</f>
        <v/>
      </c>
    </row>
    <row r="3523">
      <c r="A3523">
        <f>$B$3+$B$5*57</f>
        <v/>
      </c>
      <c r="B3523">
        <f>$B$3+$B$5*34</f>
        <v/>
      </c>
      <c r="C3523">
        <f>SUMPRODUCT(Calc!$K$3:$K$22*(Calc!$G$3:$G$22&lt;=A3523))</f>
        <v/>
      </c>
      <c r="D3523">
        <f>SUMPRODUCT(Calc!$K$3:$K$22*(Calc!$G$3:$G$22&gt;A3523)*(Calc!$G$3:$G$22&lt;B3523))</f>
        <v/>
      </c>
      <c r="E3523">
        <f>SUMPRODUCT(Calc!$K$3:$K$22*(Calc!$G$3:$G$22&gt;=B3523))</f>
        <v/>
      </c>
      <c r="F3523">
        <f>AND(k_n&gt;=5,B3523&gt;A3523+1E-9,C3523&gt;=2,D3523&gt;=1,E3523&gt;=2)</f>
        <v/>
      </c>
      <c r="G3523">
        <f>SUMPRODUCT(Calc!$K$3:$K$22*(Calc!$G$3:$G$22&gt;A3523)*(Calc!$G$3:$G$22-A3523))</f>
        <v/>
      </c>
      <c r="H3523">
        <f>SUMPRODUCT(Calc!$K$3:$K$22*(Calc!$G$3:$G$22&gt;B3523)*(Calc!$G$3:$G$22-B3523))</f>
        <v/>
      </c>
      <c r="I3523">
        <f>SUMPRODUCT(Calc!$K$3:$K$22*(Calc!$G$3:$G$22&gt;A3523)*(Calc!$G$3:$G$22-A3523)^2)</f>
        <v/>
      </c>
      <c r="J3523">
        <f>SUMPRODUCT(Calc!$K$3:$K$22*(Calc!$G$3:$G$22&gt;B3523)*(Calc!$G$3:$G$22-B3523)^2)</f>
        <v/>
      </c>
      <c r="K3523">
        <f>SUMPRODUCT(Calc!$K$3:$K$22*(Calc!$G$3:$G$22&gt;A3523)*(Calc!$G$3:$G$22-A3523)*(Calc!$G$3:$G$22&gt;B3523)*(Calc!$G$3:$G$22-B3523))</f>
        <v/>
      </c>
      <c r="L3523">
        <f>SUMPRODUCT(Calc!$K$3:$K$22*(Calc!$G$3:$G$22&gt;A3523)*(Calc!$G$3:$G$22-A3523)*Calc!$G$3:$G$22)</f>
        <v/>
      </c>
      <c r="M3523">
        <f>SUMPRODUCT(Calc!$K$3:$K$22*(Calc!$G$3:$G$22&gt;B3523)*(Calc!$G$3:$G$22-B3523)*Calc!$G$3:$G$22)</f>
        <v/>
      </c>
      <c r="N3523">
        <f>SUMPRODUCT(Calc!$K$3:$K$22*(Calc!$G$3:$G$22&gt;A3523)*(Calc!$G$3:$G$22-A3523)*Calc!$I$3:$I$22)</f>
        <v/>
      </c>
      <c r="O3523">
        <f>SUMPRODUCT(Calc!$K$3:$K$22*(Calc!$G$3:$G$22&gt;B3523)*(Calc!$G$3:$G$22-B3523)*Calc!$I$3:$I$22)</f>
        <v/>
      </c>
      <c r="P3523">
        <f>I3523-G3523^2/k_n</f>
        <v/>
      </c>
      <c r="Q3523">
        <f>J3523-H3523^2/k_n</f>
        <v/>
      </c>
      <c r="R3523">
        <f>K3523-G3523*H3523/k_n</f>
        <v/>
      </c>
      <c r="S3523">
        <f>L3523-LTP3!$D$3*G3523/k_n</f>
        <v/>
      </c>
      <c r="T3523">
        <f>M3523-LTP3!$D$3*H3523/k_n</f>
        <v/>
      </c>
      <c r="U3523">
        <f>N3523-G3523*LTP3!$D$4/k_n</f>
        <v/>
      </c>
      <c r="V3523">
        <f>O3523-H3523*LTP3!$D$4/k_n</f>
        <v/>
      </c>
      <c r="W3523">
        <f>((LTP3!$D$5)*((P3523)*(Q3523)-(R3523)*(R3523))-(S3523)*((S3523)*(Q3523)-(R3523)*(T3523))+(T3523)*((S3523)*(R3523)-(P3523)*(T3523)))</f>
        <v/>
      </c>
      <c r="X3523">
        <f>IF(ABS(W3523)&gt;1E-12,((LTP3!$D$6)*((P3523)*(Q3523)-(R3523)*(R3523))-(S3523)*((U3523)*(Q3523)-(R3523)*(V3523))+(T3523)*((U3523)*(R3523)-(P3523)*(V3523)))/W3523,0)</f>
        <v/>
      </c>
      <c r="Y3523">
        <f>IF(ABS(W3523)&gt;1E-12,((LTP3!$D$5)*((U3523)*(Q3523)-(R3523)*(V3523))-(LTP3!$D$6)*((S3523)*(Q3523)-(R3523)*(T3523))+(T3523)*((S3523)*(V3523)-(U3523)*(T3523)))/W3523,0)</f>
        <v/>
      </c>
      <c r="Z3523">
        <f>IF(ABS(W3523)&gt;1E-12,((LTP3!$D$5)*((P3523)*(V3523)-(U3523)*(R3523))-(S3523)*((S3523)*(V3523)-(U3523)*(T3523))+(LTP3!$D$6)*((S3523)*(R3523)-(P3523)*(T3523)))/W3523,0)</f>
        <v/>
      </c>
      <c r="AA3523">
        <f>LTP3!$D$7-X3523*LTP3!$D$6-Y3523*U3523-Z3523*V3523</f>
        <v/>
      </c>
      <c r="AB3523">
        <f>IF(AND(F3523,ABS(W3523)&gt;1E-12,Y3523&gt;0,Z3523&gt;0),AA3523,1E+300)</f>
        <v/>
      </c>
    </row>
    <row r="3524">
      <c r="A3524">
        <f>$B$3+$B$5*57</f>
        <v/>
      </c>
      <c r="B3524">
        <f>$B$3+$B$5*35</f>
        <v/>
      </c>
      <c r="C3524">
        <f>SUMPRODUCT(Calc!$K$3:$K$22*(Calc!$G$3:$G$22&lt;=A3524))</f>
        <v/>
      </c>
      <c r="D3524">
        <f>SUMPRODUCT(Calc!$K$3:$K$22*(Calc!$G$3:$G$22&gt;A3524)*(Calc!$G$3:$G$22&lt;B3524))</f>
        <v/>
      </c>
      <c r="E3524">
        <f>SUMPRODUCT(Calc!$K$3:$K$22*(Calc!$G$3:$G$22&gt;=B3524))</f>
        <v/>
      </c>
      <c r="F3524">
        <f>AND(k_n&gt;=5,B3524&gt;A3524+1E-9,C3524&gt;=2,D3524&gt;=1,E3524&gt;=2)</f>
        <v/>
      </c>
      <c r="G3524">
        <f>SUMPRODUCT(Calc!$K$3:$K$22*(Calc!$G$3:$G$22&gt;A3524)*(Calc!$G$3:$G$22-A3524))</f>
        <v/>
      </c>
      <c r="H3524">
        <f>SUMPRODUCT(Calc!$K$3:$K$22*(Calc!$G$3:$G$22&gt;B3524)*(Calc!$G$3:$G$22-B3524))</f>
        <v/>
      </c>
      <c r="I3524">
        <f>SUMPRODUCT(Calc!$K$3:$K$22*(Calc!$G$3:$G$22&gt;A3524)*(Calc!$G$3:$G$22-A3524)^2)</f>
        <v/>
      </c>
      <c r="J3524">
        <f>SUMPRODUCT(Calc!$K$3:$K$22*(Calc!$G$3:$G$22&gt;B3524)*(Calc!$G$3:$G$22-B3524)^2)</f>
        <v/>
      </c>
      <c r="K3524">
        <f>SUMPRODUCT(Calc!$K$3:$K$22*(Calc!$G$3:$G$22&gt;A3524)*(Calc!$G$3:$G$22-A3524)*(Calc!$G$3:$G$22&gt;B3524)*(Calc!$G$3:$G$22-B3524))</f>
        <v/>
      </c>
      <c r="L3524">
        <f>SUMPRODUCT(Calc!$K$3:$K$22*(Calc!$G$3:$G$22&gt;A3524)*(Calc!$G$3:$G$22-A3524)*Calc!$G$3:$G$22)</f>
        <v/>
      </c>
      <c r="M3524">
        <f>SUMPRODUCT(Calc!$K$3:$K$22*(Calc!$G$3:$G$22&gt;B3524)*(Calc!$G$3:$G$22-B3524)*Calc!$G$3:$G$22)</f>
        <v/>
      </c>
      <c r="N3524">
        <f>SUMPRODUCT(Calc!$K$3:$K$22*(Calc!$G$3:$G$22&gt;A3524)*(Calc!$G$3:$G$22-A3524)*Calc!$I$3:$I$22)</f>
        <v/>
      </c>
      <c r="O3524">
        <f>SUMPRODUCT(Calc!$K$3:$K$22*(Calc!$G$3:$G$22&gt;B3524)*(Calc!$G$3:$G$22-B3524)*Calc!$I$3:$I$22)</f>
        <v/>
      </c>
      <c r="P3524">
        <f>I3524-G3524^2/k_n</f>
        <v/>
      </c>
      <c r="Q3524">
        <f>J3524-H3524^2/k_n</f>
        <v/>
      </c>
      <c r="R3524">
        <f>K3524-G3524*H3524/k_n</f>
        <v/>
      </c>
      <c r="S3524">
        <f>L3524-LTP3!$D$3*G3524/k_n</f>
        <v/>
      </c>
      <c r="T3524">
        <f>M3524-LTP3!$D$3*H3524/k_n</f>
        <v/>
      </c>
      <c r="U3524">
        <f>N3524-G3524*LTP3!$D$4/k_n</f>
        <v/>
      </c>
      <c r="V3524">
        <f>O3524-H3524*LTP3!$D$4/k_n</f>
        <v/>
      </c>
      <c r="W3524">
        <f>((LTP3!$D$5)*((P3524)*(Q3524)-(R3524)*(R3524))-(S3524)*((S3524)*(Q3524)-(R3524)*(T3524))+(T3524)*((S3524)*(R3524)-(P3524)*(T3524)))</f>
        <v/>
      </c>
      <c r="X3524">
        <f>IF(ABS(W3524)&gt;1E-12,((LTP3!$D$6)*((P3524)*(Q3524)-(R3524)*(R3524))-(S3524)*((U3524)*(Q3524)-(R3524)*(V3524))+(T3524)*((U3524)*(R3524)-(P3524)*(V3524)))/W3524,0)</f>
        <v/>
      </c>
      <c r="Y3524">
        <f>IF(ABS(W3524)&gt;1E-12,((LTP3!$D$5)*((U3524)*(Q3524)-(R3524)*(V3524))-(LTP3!$D$6)*((S3524)*(Q3524)-(R3524)*(T3524))+(T3524)*((S3524)*(V3524)-(U3524)*(T3524)))/W3524,0)</f>
        <v/>
      </c>
      <c r="Z3524">
        <f>IF(ABS(W3524)&gt;1E-12,((LTP3!$D$5)*((P3524)*(V3524)-(U3524)*(R3524))-(S3524)*((S3524)*(V3524)-(U3524)*(T3524))+(LTP3!$D$6)*((S3524)*(R3524)-(P3524)*(T3524)))/W3524,0)</f>
        <v/>
      </c>
      <c r="AA3524">
        <f>LTP3!$D$7-X3524*LTP3!$D$6-Y3524*U3524-Z3524*V3524</f>
        <v/>
      </c>
      <c r="AB3524">
        <f>IF(AND(F3524,ABS(W3524)&gt;1E-12,Y3524&gt;0,Z3524&gt;0),AA3524,1E+300)</f>
        <v/>
      </c>
    </row>
    <row r="3525">
      <c r="A3525">
        <f>$B$3+$B$5*57</f>
        <v/>
      </c>
      <c r="B3525">
        <f>$B$3+$B$5*36</f>
        <v/>
      </c>
      <c r="C3525">
        <f>SUMPRODUCT(Calc!$K$3:$K$22*(Calc!$G$3:$G$22&lt;=A3525))</f>
        <v/>
      </c>
      <c r="D3525">
        <f>SUMPRODUCT(Calc!$K$3:$K$22*(Calc!$G$3:$G$22&gt;A3525)*(Calc!$G$3:$G$22&lt;B3525))</f>
        <v/>
      </c>
      <c r="E3525">
        <f>SUMPRODUCT(Calc!$K$3:$K$22*(Calc!$G$3:$G$22&gt;=B3525))</f>
        <v/>
      </c>
      <c r="F3525">
        <f>AND(k_n&gt;=5,B3525&gt;A3525+1E-9,C3525&gt;=2,D3525&gt;=1,E3525&gt;=2)</f>
        <v/>
      </c>
      <c r="G3525">
        <f>SUMPRODUCT(Calc!$K$3:$K$22*(Calc!$G$3:$G$22&gt;A3525)*(Calc!$G$3:$G$22-A3525))</f>
        <v/>
      </c>
      <c r="H3525">
        <f>SUMPRODUCT(Calc!$K$3:$K$22*(Calc!$G$3:$G$22&gt;B3525)*(Calc!$G$3:$G$22-B3525))</f>
        <v/>
      </c>
      <c r="I3525">
        <f>SUMPRODUCT(Calc!$K$3:$K$22*(Calc!$G$3:$G$22&gt;A3525)*(Calc!$G$3:$G$22-A3525)^2)</f>
        <v/>
      </c>
      <c r="J3525">
        <f>SUMPRODUCT(Calc!$K$3:$K$22*(Calc!$G$3:$G$22&gt;B3525)*(Calc!$G$3:$G$22-B3525)^2)</f>
        <v/>
      </c>
      <c r="K3525">
        <f>SUMPRODUCT(Calc!$K$3:$K$22*(Calc!$G$3:$G$22&gt;A3525)*(Calc!$G$3:$G$22-A3525)*(Calc!$G$3:$G$22&gt;B3525)*(Calc!$G$3:$G$22-B3525))</f>
        <v/>
      </c>
      <c r="L3525">
        <f>SUMPRODUCT(Calc!$K$3:$K$22*(Calc!$G$3:$G$22&gt;A3525)*(Calc!$G$3:$G$22-A3525)*Calc!$G$3:$G$22)</f>
        <v/>
      </c>
      <c r="M3525">
        <f>SUMPRODUCT(Calc!$K$3:$K$22*(Calc!$G$3:$G$22&gt;B3525)*(Calc!$G$3:$G$22-B3525)*Calc!$G$3:$G$22)</f>
        <v/>
      </c>
      <c r="N3525">
        <f>SUMPRODUCT(Calc!$K$3:$K$22*(Calc!$G$3:$G$22&gt;A3525)*(Calc!$G$3:$G$22-A3525)*Calc!$I$3:$I$22)</f>
        <v/>
      </c>
      <c r="O3525">
        <f>SUMPRODUCT(Calc!$K$3:$K$22*(Calc!$G$3:$G$22&gt;B3525)*(Calc!$G$3:$G$22-B3525)*Calc!$I$3:$I$22)</f>
        <v/>
      </c>
      <c r="P3525">
        <f>I3525-G3525^2/k_n</f>
        <v/>
      </c>
      <c r="Q3525">
        <f>J3525-H3525^2/k_n</f>
        <v/>
      </c>
      <c r="R3525">
        <f>K3525-G3525*H3525/k_n</f>
        <v/>
      </c>
      <c r="S3525">
        <f>L3525-LTP3!$D$3*G3525/k_n</f>
        <v/>
      </c>
      <c r="T3525">
        <f>M3525-LTP3!$D$3*H3525/k_n</f>
        <v/>
      </c>
      <c r="U3525">
        <f>N3525-G3525*LTP3!$D$4/k_n</f>
        <v/>
      </c>
      <c r="V3525">
        <f>O3525-H3525*LTP3!$D$4/k_n</f>
        <v/>
      </c>
      <c r="W3525">
        <f>((LTP3!$D$5)*((P3525)*(Q3525)-(R3525)*(R3525))-(S3525)*((S3525)*(Q3525)-(R3525)*(T3525))+(T3525)*((S3525)*(R3525)-(P3525)*(T3525)))</f>
        <v/>
      </c>
      <c r="X3525">
        <f>IF(ABS(W3525)&gt;1E-12,((LTP3!$D$6)*((P3525)*(Q3525)-(R3525)*(R3525))-(S3525)*((U3525)*(Q3525)-(R3525)*(V3525))+(T3525)*((U3525)*(R3525)-(P3525)*(V3525)))/W3525,0)</f>
        <v/>
      </c>
      <c r="Y3525">
        <f>IF(ABS(W3525)&gt;1E-12,((LTP3!$D$5)*((U3525)*(Q3525)-(R3525)*(V3525))-(LTP3!$D$6)*((S3525)*(Q3525)-(R3525)*(T3525))+(T3525)*((S3525)*(V3525)-(U3525)*(T3525)))/W3525,0)</f>
        <v/>
      </c>
      <c r="Z3525">
        <f>IF(ABS(W3525)&gt;1E-12,((LTP3!$D$5)*((P3525)*(V3525)-(U3525)*(R3525))-(S3525)*((S3525)*(V3525)-(U3525)*(T3525))+(LTP3!$D$6)*((S3525)*(R3525)-(P3525)*(T3525)))/W3525,0)</f>
        <v/>
      </c>
      <c r="AA3525">
        <f>LTP3!$D$7-X3525*LTP3!$D$6-Y3525*U3525-Z3525*V3525</f>
        <v/>
      </c>
      <c r="AB3525">
        <f>IF(AND(F3525,ABS(W3525)&gt;1E-12,Y3525&gt;0,Z3525&gt;0),AA3525,1E+300)</f>
        <v/>
      </c>
    </row>
    <row r="3526">
      <c r="A3526">
        <f>$B$3+$B$5*57</f>
        <v/>
      </c>
      <c r="B3526">
        <f>$B$3+$B$5*37</f>
        <v/>
      </c>
      <c r="C3526">
        <f>SUMPRODUCT(Calc!$K$3:$K$22*(Calc!$G$3:$G$22&lt;=A3526))</f>
        <v/>
      </c>
      <c r="D3526">
        <f>SUMPRODUCT(Calc!$K$3:$K$22*(Calc!$G$3:$G$22&gt;A3526)*(Calc!$G$3:$G$22&lt;B3526))</f>
        <v/>
      </c>
      <c r="E3526">
        <f>SUMPRODUCT(Calc!$K$3:$K$22*(Calc!$G$3:$G$22&gt;=B3526))</f>
        <v/>
      </c>
      <c r="F3526">
        <f>AND(k_n&gt;=5,B3526&gt;A3526+1E-9,C3526&gt;=2,D3526&gt;=1,E3526&gt;=2)</f>
        <v/>
      </c>
      <c r="G3526">
        <f>SUMPRODUCT(Calc!$K$3:$K$22*(Calc!$G$3:$G$22&gt;A3526)*(Calc!$G$3:$G$22-A3526))</f>
        <v/>
      </c>
      <c r="H3526">
        <f>SUMPRODUCT(Calc!$K$3:$K$22*(Calc!$G$3:$G$22&gt;B3526)*(Calc!$G$3:$G$22-B3526))</f>
        <v/>
      </c>
      <c r="I3526">
        <f>SUMPRODUCT(Calc!$K$3:$K$22*(Calc!$G$3:$G$22&gt;A3526)*(Calc!$G$3:$G$22-A3526)^2)</f>
        <v/>
      </c>
      <c r="J3526">
        <f>SUMPRODUCT(Calc!$K$3:$K$22*(Calc!$G$3:$G$22&gt;B3526)*(Calc!$G$3:$G$22-B3526)^2)</f>
        <v/>
      </c>
      <c r="K3526">
        <f>SUMPRODUCT(Calc!$K$3:$K$22*(Calc!$G$3:$G$22&gt;A3526)*(Calc!$G$3:$G$22-A3526)*(Calc!$G$3:$G$22&gt;B3526)*(Calc!$G$3:$G$22-B3526))</f>
        <v/>
      </c>
      <c r="L3526">
        <f>SUMPRODUCT(Calc!$K$3:$K$22*(Calc!$G$3:$G$22&gt;A3526)*(Calc!$G$3:$G$22-A3526)*Calc!$G$3:$G$22)</f>
        <v/>
      </c>
      <c r="M3526">
        <f>SUMPRODUCT(Calc!$K$3:$K$22*(Calc!$G$3:$G$22&gt;B3526)*(Calc!$G$3:$G$22-B3526)*Calc!$G$3:$G$22)</f>
        <v/>
      </c>
      <c r="N3526">
        <f>SUMPRODUCT(Calc!$K$3:$K$22*(Calc!$G$3:$G$22&gt;A3526)*(Calc!$G$3:$G$22-A3526)*Calc!$I$3:$I$22)</f>
        <v/>
      </c>
      <c r="O3526">
        <f>SUMPRODUCT(Calc!$K$3:$K$22*(Calc!$G$3:$G$22&gt;B3526)*(Calc!$G$3:$G$22-B3526)*Calc!$I$3:$I$22)</f>
        <v/>
      </c>
      <c r="P3526">
        <f>I3526-G3526^2/k_n</f>
        <v/>
      </c>
      <c r="Q3526">
        <f>J3526-H3526^2/k_n</f>
        <v/>
      </c>
      <c r="R3526">
        <f>K3526-G3526*H3526/k_n</f>
        <v/>
      </c>
      <c r="S3526">
        <f>L3526-LTP3!$D$3*G3526/k_n</f>
        <v/>
      </c>
      <c r="T3526">
        <f>M3526-LTP3!$D$3*H3526/k_n</f>
        <v/>
      </c>
      <c r="U3526">
        <f>N3526-G3526*LTP3!$D$4/k_n</f>
        <v/>
      </c>
      <c r="V3526">
        <f>O3526-H3526*LTP3!$D$4/k_n</f>
        <v/>
      </c>
      <c r="W3526">
        <f>((LTP3!$D$5)*((P3526)*(Q3526)-(R3526)*(R3526))-(S3526)*((S3526)*(Q3526)-(R3526)*(T3526))+(T3526)*((S3526)*(R3526)-(P3526)*(T3526)))</f>
        <v/>
      </c>
      <c r="X3526">
        <f>IF(ABS(W3526)&gt;1E-12,((LTP3!$D$6)*((P3526)*(Q3526)-(R3526)*(R3526))-(S3526)*((U3526)*(Q3526)-(R3526)*(V3526))+(T3526)*((U3526)*(R3526)-(P3526)*(V3526)))/W3526,0)</f>
        <v/>
      </c>
      <c r="Y3526">
        <f>IF(ABS(W3526)&gt;1E-12,((LTP3!$D$5)*((U3526)*(Q3526)-(R3526)*(V3526))-(LTP3!$D$6)*((S3526)*(Q3526)-(R3526)*(T3526))+(T3526)*((S3526)*(V3526)-(U3526)*(T3526)))/W3526,0)</f>
        <v/>
      </c>
      <c r="Z3526">
        <f>IF(ABS(W3526)&gt;1E-12,((LTP3!$D$5)*((P3526)*(V3526)-(U3526)*(R3526))-(S3526)*((S3526)*(V3526)-(U3526)*(T3526))+(LTP3!$D$6)*((S3526)*(R3526)-(P3526)*(T3526)))/W3526,0)</f>
        <v/>
      </c>
      <c r="AA3526">
        <f>LTP3!$D$7-X3526*LTP3!$D$6-Y3526*U3526-Z3526*V3526</f>
        <v/>
      </c>
      <c r="AB3526">
        <f>IF(AND(F3526,ABS(W3526)&gt;1E-12,Y3526&gt;0,Z3526&gt;0),AA3526,1E+300)</f>
        <v/>
      </c>
    </row>
    <row r="3527">
      <c r="A3527">
        <f>$B$3+$B$5*57</f>
        <v/>
      </c>
      <c r="B3527">
        <f>$B$3+$B$5*38</f>
        <v/>
      </c>
      <c r="C3527">
        <f>SUMPRODUCT(Calc!$K$3:$K$22*(Calc!$G$3:$G$22&lt;=A3527))</f>
        <v/>
      </c>
      <c r="D3527">
        <f>SUMPRODUCT(Calc!$K$3:$K$22*(Calc!$G$3:$G$22&gt;A3527)*(Calc!$G$3:$G$22&lt;B3527))</f>
        <v/>
      </c>
      <c r="E3527">
        <f>SUMPRODUCT(Calc!$K$3:$K$22*(Calc!$G$3:$G$22&gt;=B3527))</f>
        <v/>
      </c>
      <c r="F3527">
        <f>AND(k_n&gt;=5,B3527&gt;A3527+1E-9,C3527&gt;=2,D3527&gt;=1,E3527&gt;=2)</f>
        <v/>
      </c>
      <c r="G3527">
        <f>SUMPRODUCT(Calc!$K$3:$K$22*(Calc!$G$3:$G$22&gt;A3527)*(Calc!$G$3:$G$22-A3527))</f>
        <v/>
      </c>
      <c r="H3527">
        <f>SUMPRODUCT(Calc!$K$3:$K$22*(Calc!$G$3:$G$22&gt;B3527)*(Calc!$G$3:$G$22-B3527))</f>
        <v/>
      </c>
      <c r="I3527">
        <f>SUMPRODUCT(Calc!$K$3:$K$22*(Calc!$G$3:$G$22&gt;A3527)*(Calc!$G$3:$G$22-A3527)^2)</f>
        <v/>
      </c>
      <c r="J3527">
        <f>SUMPRODUCT(Calc!$K$3:$K$22*(Calc!$G$3:$G$22&gt;B3527)*(Calc!$G$3:$G$22-B3527)^2)</f>
        <v/>
      </c>
      <c r="K3527">
        <f>SUMPRODUCT(Calc!$K$3:$K$22*(Calc!$G$3:$G$22&gt;A3527)*(Calc!$G$3:$G$22-A3527)*(Calc!$G$3:$G$22&gt;B3527)*(Calc!$G$3:$G$22-B3527))</f>
        <v/>
      </c>
      <c r="L3527">
        <f>SUMPRODUCT(Calc!$K$3:$K$22*(Calc!$G$3:$G$22&gt;A3527)*(Calc!$G$3:$G$22-A3527)*Calc!$G$3:$G$22)</f>
        <v/>
      </c>
      <c r="M3527">
        <f>SUMPRODUCT(Calc!$K$3:$K$22*(Calc!$G$3:$G$22&gt;B3527)*(Calc!$G$3:$G$22-B3527)*Calc!$G$3:$G$22)</f>
        <v/>
      </c>
      <c r="N3527">
        <f>SUMPRODUCT(Calc!$K$3:$K$22*(Calc!$G$3:$G$22&gt;A3527)*(Calc!$G$3:$G$22-A3527)*Calc!$I$3:$I$22)</f>
        <v/>
      </c>
      <c r="O3527">
        <f>SUMPRODUCT(Calc!$K$3:$K$22*(Calc!$G$3:$G$22&gt;B3527)*(Calc!$G$3:$G$22-B3527)*Calc!$I$3:$I$22)</f>
        <v/>
      </c>
      <c r="P3527">
        <f>I3527-G3527^2/k_n</f>
        <v/>
      </c>
      <c r="Q3527">
        <f>J3527-H3527^2/k_n</f>
        <v/>
      </c>
      <c r="R3527">
        <f>K3527-G3527*H3527/k_n</f>
        <v/>
      </c>
      <c r="S3527">
        <f>L3527-LTP3!$D$3*G3527/k_n</f>
        <v/>
      </c>
      <c r="T3527">
        <f>M3527-LTP3!$D$3*H3527/k_n</f>
        <v/>
      </c>
      <c r="U3527">
        <f>N3527-G3527*LTP3!$D$4/k_n</f>
        <v/>
      </c>
      <c r="V3527">
        <f>O3527-H3527*LTP3!$D$4/k_n</f>
        <v/>
      </c>
      <c r="W3527">
        <f>((LTP3!$D$5)*((P3527)*(Q3527)-(R3527)*(R3527))-(S3527)*((S3527)*(Q3527)-(R3527)*(T3527))+(T3527)*((S3527)*(R3527)-(P3527)*(T3527)))</f>
        <v/>
      </c>
      <c r="X3527">
        <f>IF(ABS(W3527)&gt;1E-12,((LTP3!$D$6)*((P3527)*(Q3527)-(R3527)*(R3527))-(S3527)*((U3527)*(Q3527)-(R3527)*(V3527))+(T3527)*((U3527)*(R3527)-(P3527)*(V3527)))/W3527,0)</f>
        <v/>
      </c>
      <c r="Y3527">
        <f>IF(ABS(W3527)&gt;1E-12,((LTP3!$D$5)*((U3527)*(Q3527)-(R3527)*(V3527))-(LTP3!$D$6)*((S3527)*(Q3527)-(R3527)*(T3527))+(T3527)*((S3527)*(V3527)-(U3527)*(T3527)))/W3527,0)</f>
        <v/>
      </c>
      <c r="Z3527">
        <f>IF(ABS(W3527)&gt;1E-12,((LTP3!$D$5)*((P3527)*(V3527)-(U3527)*(R3527))-(S3527)*((S3527)*(V3527)-(U3527)*(T3527))+(LTP3!$D$6)*((S3527)*(R3527)-(P3527)*(T3527)))/W3527,0)</f>
        <v/>
      </c>
      <c r="AA3527">
        <f>LTP3!$D$7-X3527*LTP3!$D$6-Y3527*U3527-Z3527*V3527</f>
        <v/>
      </c>
      <c r="AB3527">
        <f>IF(AND(F3527,ABS(W3527)&gt;1E-12,Y3527&gt;0,Z3527&gt;0),AA3527,1E+300)</f>
        <v/>
      </c>
    </row>
    <row r="3528">
      <c r="A3528">
        <f>$B$3+$B$5*57</f>
        <v/>
      </c>
      <c r="B3528">
        <f>$B$3+$B$5*39</f>
        <v/>
      </c>
      <c r="C3528">
        <f>SUMPRODUCT(Calc!$K$3:$K$22*(Calc!$G$3:$G$22&lt;=A3528))</f>
        <v/>
      </c>
      <c r="D3528">
        <f>SUMPRODUCT(Calc!$K$3:$K$22*(Calc!$G$3:$G$22&gt;A3528)*(Calc!$G$3:$G$22&lt;B3528))</f>
        <v/>
      </c>
      <c r="E3528">
        <f>SUMPRODUCT(Calc!$K$3:$K$22*(Calc!$G$3:$G$22&gt;=B3528))</f>
        <v/>
      </c>
      <c r="F3528">
        <f>AND(k_n&gt;=5,B3528&gt;A3528+1E-9,C3528&gt;=2,D3528&gt;=1,E3528&gt;=2)</f>
        <v/>
      </c>
      <c r="G3528">
        <f>SUMPRODUCT(Calc!$K$3:$K$22*(Calc!$G$3:$G$22&gt;A3528)*(Calc!$G$3:$G$22-A3528))</f>
        <v/>
      </c>
      <c r="H3528">
        <f>SUMPRODUCT(Calc!$K$3:$K$22*(Calc!$G$3:$G$22&gt;B3528)*(Calc!$G$3:$G$22-B3528))</f>
        <v/>
      </c>
      <c r="I3528">
        <f>SUMPRODUCT(Calc!$K$3:$K$22*(Calc!$G$3:$G$22&gt;A3528)*(Calc!$G$3:$G$22-A3528)^2)</f>
        <v/>
      </c>
      <c r="J3528">
        <f>SUMPRODUCT(Calc!$K$3:$K$22*(Calc!$G$3:$G$22&gt;B3528)*(Calc!$G$3:$G$22-B3528)^2)</f>
        <v/>
      </c>
      <c r="K3528">
        <f>SUMPRODUCT(Calc!$K$3:$K$22*(Calc!$G$3:$G$22&gt;A3528)*(Calc!$G$3:$G$22-A3528)*(Calc!$G$3:$G$22&gt;B3528)*(Calc!$G$3:$G$22-B3528))</f>
        <v/>
      </c>
      <c r="L3528">
        <f>SUMPRODUCT(Calc!$K$3:$K$22*(Calc!$G$3:$G$22&gt;A3528)*(Calc!$G$3:$G$22-A3528)*Calc!$G$3:$G$22)</f>
        <v/>
      </c>
      <c r="M3528">
        <f>SUMPRODUCT(Calc!$K$3:$K$22*(Calc!$G$3:$G$22&gt;B3528)*(Calc!$G$3:$G$22-B3528)*Calc!$G$3:$G$22)</f>
        <v/>
      </c>
      <c r="N3528">
        <f>SUMPRODUCT(Calc!$K$3:$K$22*(Calc!$G$3:$G$22&gt;A3528)*(Calc!$G$3:$G$22-A3528)*Calc!$I$3:$I$22)</f>
        <v/>
      </c>
      <c r="O3528">
        <f>SUMPRODUCT(Calc!$K$3:$K$22*(Calc!$G$3:$G$22&gt;B3528)*(Calc!$G$3:$G$22-B3528)*Calc!$I$3:$I$22)</f>
        <v/>
      </c>
      <c r="P3528">
        <f>I3528-G3528^2/k_n</f>
        <v/>
      </c>
      <c r="Q3528">
        <f>J3528-H3528^2/k_n</f>
        <v/>
      </c>
      <c r="R3528">
        <f>K3528-G3528*H3528/k_n</f>
        <v/>
      </c>
      <c r="S3528">
        <f>L3528-LTP3!$D$3*G3528/k_n</f>
        <v/>
      </c>
      <c r="T3528">
        <f>M3528-LTP3!$D$3*H3528/k_n</f>
        <v/>
      </c>
      <c r="U3528">
        <f>N3528-G3528*LTP3!$D$4/k_n</f>
        <v/>
      </c>
      <c r="V3528">
        <f>O3528-H3528*LTP3!$D$4/k_n</f>
        <v/>
      </c>
      <c r="W3528">
        <f>((LTP3!$D$5)*((P3528)*(Q3528)-(R3528)*(R3528))-(S3528)*((S3528)*(Q3528)-(R3528)*(T3528))+(T3528)*((S3528)*(R3528)-(P3528)*(T3528)))</f>
        <v/>
      </c>
      <c r="X3528">
        <f>IF(ABS(W3528)&gt;1E-12,((LTP3!$D$6)*((P3528)*(Q3528)-(R3528)*(R3528))-(S3528)*((U3528)*(Q3528)-(R3528)*(V3528))+(T3528)*((U3528)*(R3528)-(P3528)*(V3528)))/W3528,0)</f>
        <v/>
      </c>
      <c r="Y3528">
        <f>IF(ABS(W3528)&gt;1E-12,((LTP3!$D$5)*((U3528)*(Q3528)-(R3528)*(V3528))-(LTP3!$D$6)*((S3528)*(Q3528)-(R3528)*(T3528))+(T3528)*((S3528)*(V3528)-(U3528)*(T3528)))/W3528,0)</f>
        <v/>
      </c>
      <c r="Z3528">
        <f>IF(ABS(W3528)&gt;1E-12,((LTP3!$D$5)*((P3528)*(V3528)-(U3528)*(R3528))-(S3528)*((S3528)*(V3528)-(U3528)*(T3528))+(LTP3!$D$6)*((S3528)*(R3528)-(P3528)*(T3528)))/W3528,0)</f>
        <v/>
      </c>
      <c r="AA3528">
        <f>LTP3!$D$7-X3528*LTP3!$D$6-Y3528*U3528-Z3528*V3528</f>
        <v/>
      </c>
      <c r="AB3528">
        <f>IF(AND(F3528,ABS(W3528)&gt;1E-12,Y3528&gt;0,Z3528&gt;0),AA3528,1E+300)</f>
        <v/>
      </c>
    </row>
    <row r="3529">
      <c r="A3529">
        <f>$B$3+$B$5*57</f>
        <v/>
      </c>
      <c r="B3529">
        <f>$B$3+$B$5*40</f>
        <v/>
      </c>
      <c r="C3529">
        <f>SUMPRODUCT(Calc!$K$3:$K$22*(Calc!$G$3:$G$22&lt;=A3529))</f>
        <v/>
      </c>
      <c r="D3529">
        <f>SUMPRODUCT(Calc!$K$3:$K$22*(Calc!$G$3:$G$22&gt;A3529)*(Calc!$G$3:$G$22&lt;B3529))</f>
        <v/>
      </c>
      <c r="E3529">
        <f>SUMPRODUCT(Calc!$K$3:$K$22*(Calc!$G$3:$G$22&gt;=B3529))</f>
        <v/>
      </c>
      <c r="F3529">
        <f>AND(k_n&gt;=5,B3529&gt;A3529+1E-9,C3529&gt;=2,D3529&gt;=1,E3529&gt;=2)</f>
        <v/>
      </c>
      <c r="G3529">
        <f>SUMPRODUCT(Calc!$K$3:$K$22*(Calc!$G$3:$G$22&gt;A3529)*(Calc!$G$3:$G$22-A3529))</f>
        <v/>
      </c>
      <c r="H3529">
        <f>SUMPRODUCT(Calc!$K$3:$K$22*(Calc!$G$3:$G$22&gt;B3529)*(Calc!$G$3:$G$22-B3529))</f>
        <v/>
      </c>
      <c r="I3529">
        <f>SUMPRODUCT(Calc!$K$3:$K$22*(Calc!$G$3:$G$22&gt;A3529)*(Calc!$G$3:$G$22-A3529)^2)</f>
        <v/>
      </c>
      <c r="J3529">
        <f>SUMPRODUCT(Calc!$K$3:$K$22*(Calc!$G$3:$G$22&gt;B3529)*(Calc!$G$3:$G$22-B3529)^2)</f>
        <v/>
      </c>
      <c r="K3529">
        <f>SUMPRODUCT(Calc!$K$3:$K$22*(Calc!$G$3:$G$22&gt;A3529)*(Calc!$G$3:$G$22-A3529)*(Calc!$G$3:$G$22&gt;B3529)*(Calc!$G$3:$G$22-B3529))</f>
        <v/>
      </c>
      <c r="L3529">
        <f>SUMPRODUCT(Calc!$K$3:$K$22*(Calc!$G$3:$G$22&gt;A3529)*(Calc!$G$3:$G$22-A3529)*Calc!$G$3:$G$22)</f>
        <v/>
      </c>
      <c r="M3529">
        <f>SUMPRODUCT(Calc!$K$3:$K$22*(Calc!$G$3:$G$22&gt;B3529)*(Calc!$G$3:$G$22-B3529)*Calc!$G$3:$G$22)</f>
        <v/>
      </c>
      <c r="N3529">
        <f>SUMPRODUCT(Calc!$K$3:$K$22*(Calc!$G$3:$G$22&gt;A3529)*(Calc!$G$3:$G$22-A3529)*Calc!$I$3:$I$22)</f>
        <v/>
      </c>
      <c r="O3529">
        <f>SUMPRODUCT(Calc!$K$3:$K$22*(Calc!$G$3:$G$22&gt;B3529)*(Calc!$G$3:$G$22-B3529)*Calc!$I$3:$I$22)</f>
        <v/>
      </c>
      <c r="P3529">
        <f>I3529-G3529^2/k_n</f>
        <v/>
      </c>
      <c r="Q3529">
        <f>J3529-H3529^2/k_n</f>
        <v/>
      </c>
      <c r="R3529">
        <f>K3529-G3529*H3529/k_n</f>
        <v/>
      </c>
      <c r="S3529">
        <f>L3529-LTP3!$D$3*G3529/k_n</f>
        <v/>
      </c>
      <c r="T3529">
        <f>M3529-LTP3!$D$3*H3529/k_n</f>
        <v/>
      </c>
      <c r="U3529">
        <f>N3529-G3529*LTP3!$D$4/k_n</f>
        <v/>
      </c>
      <c r="V3529">
        <f>O3529-H3529*LTP3!$D$4/k_n</f>
        <v/>
      </c>
      <c r="W3529">
        <f>((LTP3!$D$5)*((P3529)*(Q3529)-(R3529)*(R3529))-(S3529)*((S3529)*(Q3529)-(R3529)*(T3529))+(T3529)*((S3529)*(R3529)-(P3529)*(T3529)))</f>
        <v/>
      </c>
      <c r="X3529">
        <f>IF(ABS(W3529)&gt;1E-12,((LTP3!$D$6)*((P3529)*(Q3529)-(R3529)*(R3529))-(S3529)*((U3529)*(Q3529)-(R3529)*(V3529))+(T3529)*((U3529)*(R3529)-(P3529)*(V3529)))/W3529,0)</f>
        <v/>
      </c>
      <c r="Y3529">
        <f>IF(ABS(W3529)&gt;1E-12,((LTP3!$D$5)*((U3529)*(Q3529)-(R3529)*(V3529))-(LTP3!$D$6)*((S3529)*(Q3529)-(R3529)*(T3529))+(T3529)*((S3529)*(V3529)-(U3529)*(T3529)))/W3529,0)</f>
        <v/>
      </c>
      <c r="Z3529">
        <f>IF(ABS(W3529)&gt;1E-12,((LTP3!$D$5)*((P3529)*(V3529)-(U3529)*(R3529))-(S3529)*((S3529)*(V3529)-(U3529)*(T3529))+(LTP3!$D$6)*((S3529)*(R3529)-(P3529)*(T3529)))/W3529,0)</f>
        <v/>
      </c>
      <c r="AA3529">
        <f>LTP3!$D$7-X3529*LTP3!$D$6-Y3529*U3529-Z3529*V3529</f>
        <v/>
      </c>
      <c r="AB3529">
        <f>IF(AND(F3529,ABS(W3529)&gt;1E-12,Y3529&gt;0,Z3529&gt;0),AA3529,1E+300)</f>
        <v/>
      </c>
    </row>
    <row r="3530">
      <c r="A3530">
        <f>$B$3+$B$5*57</f>
        <v/>
      </c>
      <c r="B3530">
        <f>$B$3+$B$5*41</f>
        <v/>
      </c>
      <c r="C3530">
        <f>SUMPRODUCT(Calc!$K$3:$K$22*(Calc!$G$3:$G$22&lt;=A3530))</f>
        <v/>
      </c>
      <c r="D3530">
        <f>SUMPRODUCT(Calc!$K$3:$K$22*(Calc!$G$3:$G$22&gt;A3530)*(Calc!$G$3:$G$22&lt;B3530))</f>
        <v/>
      </c>
      <c r="E3530">
        <f>SUMPRODUCT(Calc!$K$3:$K$22*(Calc!$G$3:$G$22&gt;=B3530))</f>
        <v/>
      </c>
      <c r="F3530">
        <f>AND(k_n&gt;=5,B3530&gt;A3530+1E-9,C3530&gt;=2,D3530&gt;=1,E3530&gt;=2)</f>
        <v/>
      </c>
      <c r="G3530">
        <f>SUMPRODUCT(Calc!$K$3:$K$22*(Calc!$G$3:$G$22&gt;A3530)*(Calc!$G$3:$G$22-A3530))</f>
        <v/>
      </c>
      <c r="H3530">
        <f>SUMPRODUCT(Calc!$K$3:$K$22*(Calc!$G$3:$G$22&gt;B3530)*(Calc!$G$3:$G$22-B3530))</f>
        <v/>
      </c>
      <c r="I3530">
        <f>SUMPRODUCT(Calc!$K$3:$K$22*(Calc!$G$3:$G$22&gt;A3530)*(Calc!$G$3:$G$22-A3530)^2)</f>
        <v/>
      </c>
      <c r="J3530">
        <f>SUMPRODUCT(Calc!$K$3:$K$22*(Calc!$G$3:$G$22&gt;B3530)*(Calc!$G$3:$G$22-B3530)^2)</f>
        <v/>
      </c>
      <c r="K3530">
        <f>SUMPRODUCT(Calc!$K$3:$K$22*(Calc!$G$3:$G$22&gt;A3530)*(Calc!$G$3:$G$22-A3530)*(Calc!$G$3:$G$22&gt;B3530)*(Calc!$G$3:$G$22-B3530))</f>
        <v/>
      </c>
      <c r="L3530">
        <f>SUMPRODUCT(Calc!$K$3:$K$22*(Calc!$G$3:$G$22&gt;A3530)*(Calc!$G$3:$G$22-A3530)*Calc!$G$3:$G$22)</f>
        <v/>
      </c>
      <c r="M3530">
        <f>SUMPRODUCT(Calc!$K$3:$K$22*(Calc!$G$3:$G$22&gt;B3530)*(Calc!$G$3:$G$22-B3530)*Calc!$G$3:$G$22)</f>
        <v/>
      </c>
      <c r="N3530">
        <f>SUMPRODUCT(Calc!$K$3:$K$22*(Calc!$G$3:$G$22&gt;A3530)*(Calc!$G$3:$G$22-A3530)*Calc!$I$3:$I$22)</f>
        <v/>
      </c>
      <c r="O3530">
        <f>SUMPRODUCT(Calc!$K$3:$K$22*(Calc!$G$3:$G$22&gt;B3530)*(Calc!$G$3:$G$22-B3530)*Calc!$I$3:$I$22)</f>
        <v/>
      </c>
      <c r="P3530">
        <f>I3530-G3530^2/k_n</f>
        <v/>
      </c>
      <c r="Q3530">
        <f>J3530-H3530^2/k_n</f>
        <v/>
      </c>
      <c r="R3530">
        <f>K3530-G3530*H3530/k_n</f>
        <v/>
      </c>
      <c r="S3530">
        <f>L3530-LTP3!$D$3*G3530/k_n</f>
        <v/>
      </c>
      <c r="T3530">
        <f>M3530-LTP3!$D$3*H3530/k_n</f>
        <v/>
      </c>
      <c r="U3530">
        <f>N3530-G3530*LTP3!$D$4/k_n</f>
        <v/>
      </c>
      <c r="V3530">
        <f>O3530-H3530*LTP3!$D$4/k_n</f>
        <v/>
      </c>
      <c r="W3530">
        <f>((LTP3!$D$5)*((P3530)*(Q3530)-(R3530)*(R3530))-(S3530)*((S3530)*(Q3530)-(R3530)*(T3530))+(T3530)*((S3530)*(R3530)-(P3530)*(T3530)))</f>
        <v/>
      </c>
      <c r="X3530">
        <f>IF(ABS(W3530)&gt;1E-12,((LTP3!$D$6)*((P3530)*(Q3530)-(R3530)*(R3530))-(S3530)*((U3530)*(Q3530)-(R3530)*(V3530))+(T3530)*((U3530)*(R3530)-(P3530)*(V3530)))/W3530,0)</f>
        <v/>
      </c>
      <c r="Y3530">
        <f>IF(ABS(W3530)&gt;1E-12,((LTP3!$D$5)*((U3530)*(Q3530)-(R3530)*(V3530))-(LTP3!$D$6)*((S3530)*(Q3530)-(R3530)*(T3530))+(T3530)*((S3530)*(V3530)-(U3530)*(T3530)))/W3530,0)</f>
        <v/>
      </c>
      <c r="Z3530">
        <f>IF(ABS(W3530)&gt;1E-12,((LTP3!$D$5)*((P3530)*(V3530)-(U3530)*(R3530))-(S3530)*((S3530)*(V3530)-(U3530)*(T3530))+(LTP3!$D$6)*((S3530)*(R3530)-(P3530)*(T3530)))/W3530,0)</f>
        <v/>
      </c>
      <c r="AA3530">
        <f>LTP3!$D$7-X3530*LTP3!$D$6-Y3530*U3530-Z3530*V3530</f>
        <v/>
      </c>
      <c r="AB3530">
        <f>IF(AND(F3530,ABS(W3530)&gt;1E-12,Y3530&gt;0,Z3530&gt;0),AA3530,1E+300)</f>
        <v/>
      </c>
    </row>
    <row r="3531">
      <c r="A3531">
        <f>$B$3+$B$5*57</f>
        <v/>
      </c>
      <c r="B3531">
        <f>$B$3+$B$5*42</f>
        <v/>
      </c>
      <c r="C3531">
        <f>SUMPRODUCT(Calc!$K$3:$K$22*(Calc!$G$3:$G$22&lt;=A3531))</f>
        <v/>
      </c>
      <c r="D3531">
        <f>SUMPRODUCT(Calc!$K$3:$K$22*(Calc!$G$3:$G$22&gt;A3531)*(Calc!$G$3:$G$22&lt;B3531))</f>
        <v/>
      </c>
      <c r="E3531">
        <f>SUMPRODUCT(Calc!$K$3:$K$22*(Calc!$G$3:$G$22&gt;=B3531))</f>
        <v/>
      </c>
      <c r="F3531">
        <f>AND(k_n&gt;=5,B3531&gt;A3531+1E-9,C3531&gt;=2,D3531&gt;=1,E3531&gt;=2)</f>
        <v/>
      </c>
      <c r="G3531">
        <f>SUMPRODUCT(Calc!$K$3:$K$22*(Calc!$G$3:$G$22&gt;A3531)*(Calc!$G$3:$G$22-A3531))</f>
        <v/>
      </c>
      <c r="H3531">
        <f>SUMPRODUCT(Calc!$K$3:$K$22*(Calc!$G$3:$G$22&gt;B3531)*(Calc!$G$3:$G$22-B3531))</f>
        <v/>
      </c>
      <c r="I3531">
        <f>SUMPRODUCT(Calc!$K$3:$K$22*(Calc!$G$3:$G$22&gt;A3531)*(Calc!$G$3:$G$22-A3531)^2)</f>
        <v/>
      </c>
      <c r="J3531">
        <f>SUMPRODUCT(Calc!$K$3:$K$22*(Calc!$G$3:$G$22&gt;B3531)*(Calc!$G$3:$G$22-B3531)^2)</f>
        <v/>
      </c>
      <c r="K3531">
        <f>SUMPRODUCT(Calc!$K$3:$K$22*(Calc!$G$3:$G$22&gt;A3531)*(Calc!$G$3:$G$22-A3531)*(Calc!$G$3:$G$22&gt;B3531)*(Calc!$G$3:$G$22-B3531))</f>
        <v/>
      </c>
      <c r="L3531">
        <f>SUMPRODUCT(Calc!$K$3:$K$22*(Calc!$G$3:$G$22&gt;A3531)*(Calc!$G$3:$G$22-A3531)*Calc!$G$3:$G$22)</f>
        <v/>
      </c>
      <c r="M3531">
        <f>SUMPRODUCT(Calc!$K$3:$K$22*(Calc!$G$3:$G$22&gt;B3531)*(Calc!$G$3:$G$22-B3531)*Calc!$G$3:$G$22)</f>
        <v/>
      </c>
      <c r="N3531">
        <f>SUMPRODUCT(Calc!$K$3:$K$22*(Calc!$G$3:$G$22&gt;A3531)*(Calc!$G$3:$G$22-A3531)*Calc!$I$3:$I$22)</f>
        <v/>
      </c>
      <c r="O3531">
        <f>SUMPRODUCT(Calc!$K$3:$K$22*(Calc!$G$3:$G$22&gt;B3531)*(Calc!$G$3:$G$22-B3531)*Calc!$I$3:$I$22)</f>
        <v/>
      </c>
      <c r="P3531">
        <f>I3531-G3531^2/k_n</f>
        <v/>
      </c>
      <c r="Q3531">
        <f>J3531-H3531^2/k_n</f>
        <v/>
      </c>
      <c r="R3531">
        <f>K3531-G3531*H3531/k_n</f>
        <v/>
      </c>
      <c r="S3531">
        <f>L3531-LTP3!$D$3*G3531/k_n</f>
        <v/>
      </c>
      <c r="T3531">
        <f>M3531-LTP3!$D$3*H3531/k_n</f>
        <v/>
      </c>
      <c r="U3531">
        <f>N3531-G3531*LTP3!$D$4/k_n</f>
        <v/>
      </c>
      <c r="V3531">
        <f>O3531-H3531*LTP3!$D$4/k_n</f>
        <v/>
      </c>
      <c r="W3531">
        <f>((LTP3!$D$5)*((P3531)*(Q3531)-(R3531)*(R3531))-(S3531)*((S3531)*(Q3531)-(R3531)*(T3531))+(T3531)*((S3531)*(R3531)-(P3531)*(T3531)))</f>
        <v/>
      </c>
      <c r="X3531">
        <f>IF(ABS(W3531)&gt;1E-12,((LTP3!$D$6)*((P3531)*(Q3531)-(R3531)*(R3531))-(S3531)*((U3531)*(Q3531)-(R3531)*(V3531))+(T3531)*((U3531)*(R3531)-(P3531)*(V3531)))/W3531,0)</f>
        <v/>
      </c>
      <c r="Y3531">
        <f>IF(ABS(W3531)&gt;1E-12,((LTP3!$D$5)*((U3531)*(Q3531)-(R3531)*(V3531))-(LTP3!$D$6)*((S3531)*(Q3531)-(R3531)*(T3531))+(T3531)*((S3531)*(V3531)-(U3531)*(T3531)))/W3531,0)</f>
        <v/>
      </c>
      <c r="Z3531">
        <f>IF(ABS(W3531)&gt;1E-12,((LTP3!$D$5)*((P3531)*(V3531)-(U3531)*(R3531))-(S3531)*((S3531)*(V3531)-(U3531)*(T3531))+(LTP3!$D$6)*((S3531)*(R3531)-(P3531)*(T3531)))/W3531,0)</f>
        <v/>
      </c>
      <c r="AA3531">
        <f>LTP3!$D$7-X3531*LTP3!$D$6-Y3531*U3531-Z3531*V3531</f>
        <v/>
      </c>
      <c r="AB3531">
        <f>IF(AND(F3531,ABS(W3531)&gt;1E-12,Y3531&gt;0,Z3531&gt;0),AA3531,1E+300)</f>
        <v/>
      </c>
    </row>
    <row r="3532">
      <c r="A3532">
        <f>$B$3+$B$5*57</f>
        <v/>
      </c>
      <c r="B3532">
        <f>$B$3+$B$5*43</f>
        <v/>
      </c>
      <c r="C3532">
        <f>SUMPRODUCT(Calc!$K$3:$K$22*(Calc!$G$3:$G$22&lt;=A3532))</f>
        <v/>
      </c>
      <c r="D3532">
        <f>SUMPRODUCT(Calc!$K$3:$K$22*(Calc!$G$3:$G$22&gt;A3532)*(Calc!$G$3:$G$22&lt;B3532))</f>
        <v/>
      </c>
      <c r="E3532">
        <f>SUMPRODUCT(Calc!$K$3:$K$22*(Calc!$G$3:$G$22&gt;=B3532))</f>
        <v/>
      </c>
      <c r="F3532">
        <f>AND(k_n&gt;=5,B3532&gt;A3532+1E-9,C3532&gt;=2,D3532&gt;=1,E3532&gt;=2)</f>
        <v/>
      </c>
      <c r="G3532">
        <f>SUMPRODUCT(Calc!$K$3:$K$22*(Calc!$G$3:$G$22&gt;A3532)*(Calc!$G$3:$G$22-A3532))</f>
        <v/>
      </c>
      <c r="H3532">
        <f>SUMPRODUCT(Calc!$K$3:$K$22*(Calc!$G$3:$G$22&gt;B3532)*(Calc!$G$3:$G$22-B3532))</f>
        <v/>
      </c>
      <c r="I3532">
        <f>SUMPRODUCT(Calc!$K$3:$K$22*(Calc!$G$3:$G$22&gt;A3532)*(Calc!$G$3:$G$22-A3532)^2)</f>
        <v/>
      </c>
      <c r="J3532">
        <f>SUMPRODUCT(Calc!$K$3:$K$22*(Calc!$G$3:$G$22&gt;B3532)*(Calc!$G$3:$G$22-B3532)^2)</f>
        <v/>
      </c>
      <c r="K3532">
        <f>SUMPRODUCT(Calc!$K$3:$K$22*(Calc!$G$3:$G$22&gt;A3532)*(Calc!$G$3:$G$22-A3532)*(Calc!$G$3:$G$22&gt;B3532)*(Calc!$G$3:$G$22-B3532))</f>
        <v/>
      </c>
      <c r="L3532">
        <f>SUMPRODUCT(Calc!$K$3:$K$22*(Calc!$G$3:$G$22&gt;A3532)*(Calc!$G$3:$G$22-A3532)*Calc!$G$3:$G$22)</f>
        <v/>
      </c>
      <c r="M3532">
        <f>SUMPRODUCT(Calc!$K$3:$K$22*(Calc!$G$3:$G$22&gt;B3532)*(Calc!$G$3:$G$22-B3532)*Calc!$G$3:$G$22)</f>
        <v/>
      </c>
      <c r="N3532">
        <f>SUMPRODUCT(Calc!$K$3:$K$22*(Calc!$G$3:$G$22&gt;A3532)*(Calc!$G$3:$G$22-A3532)*Calc!$I$3:$I$22)</f>
        <v/>
      </c>
      <c r="O3532">
        <f>SUMPRODUCT(Calc!$K$3:$K$22*(Calc!$G$3:$G$22&gt;B3532)*(Calc!$G$3:$G$22-B3532)*Calc!$I$3:$I$22)</f>
        <v/>
      </c>
      <c r="P3532">
        <f>I3532-G3532^2/k_n</f>
        <v/>
      </c>
      <c r="Q3532">
        <f>J3532-H3532^2/k_n</f>
        <v/>
      </c>
      <c r="R3532">
        <f>K3532-G3532*H3532/k_n</f>
        <v/>
      </c>
      <c r="S3532">
        <f>L3532-LTP3!$D$3*G3532/k_n</f>
        <v/>
      </c>
      <c r="T3532">
        <f>M3532-LTP3!$D$3*H3532/k_n</f>
        <v/>
      </c>
      <c r="U3532">
        <f>N3532-G3532*LTP3!$D$4/k_n</f>
        <v/>
      </c>
      <c r="V3532">
        <f>O3532-H3532*LTP3!$D$4/k_n</f>
        <v/>
      </c>
      <c r="W3532">
        <f>((LTP3!$D$5)*((P3532)*(Q3532)-(R3532)*(R3532))-(S3532)*((S3532)*(Q3532)-(R3532)*(T3532))+(T3532)*((S3532)*(R3532)-(P3532)*(T3532)))</f>
        <v/>
      </c>
      <c r="X3532">
        <f>IF(ABS(W3532)&gt;1E-12,((LTP3!$D$6)*((P3532)*(Q3532)-(R3532)*(R3532))-(S3532)*((U3532)*(Q3532)-(R3532)*(V3532))+(T3532)*((U3532)*(R3532)-(P3532)*(V3532)))/W3532,0)</f>
        <v/>
      </c>
      <c r="Y3532">
        <f>IF(ABS(W3532)&gt;1E-12,((LTP3!$D$5)*((U3532)*(Q3532)-(R3532)*(V3532))-(LTP3!$D$6)*((S3532)*(Q3532)-(R3532)*(T3532))+(T3532)*((S3532)*(V3532)-(U3532)*(T3532)))/W3532,0)</f>
        <v/>
      </c>
      <c r="Z3532">
        <f>IF(ABS(W3532)&gt;1E-12,((LTP3!$D$5)*((P3532)*(V3532)-(U3532)*(R3532))-(S3532)*((S3532)*(V3532)-(U3532)*(T3532))+(LTP3!$D$6)*((S3532)*(R3532)-(P3532)*(T3532)))/W3532,0)</f>
        <v/>
      </c>
      <c r="AA3532">
        <f>LTP3!$D$7-X3532*LTP3!$D$6-Y3532*U3532-Z3532*V3532</f>
        <v/>
      </c>
      <c r="AB3532">
        <f>IF(AND(F3532,ABS(W3532)&gt;1E-12,Y3532&gt;0,Z3532&gt;0),AA3532,1E+300)</f>
        <v/>
      </c>
    </row>
    <row r="3533">
      <c r="A3533">
        <f>$B$3+$B$5*57</f>
        <v/>
      </c>
      <c r="B3533">
        <f>$B$3+$B$5*44</f>
        <v/>
      </c>
      <c r="C3533">
        <f>SUMPRODUCT(Calc!$K$3:$K$22*(Calc!$G$3:$G$22&lt;=A3533))</f>
        <v/>
      </c>
      <c r="D3533">
        <f>SUMPRODUCT(Calc!$K$3:$K$22*(Calc!$G$3:$G$22&gt;A3533)*(Calc!$G$3:$G$22&lt;B3533))</f>
        <v/>
      </c>
      <c r="E3533">
        <f>SUMPRODUCT(Calc!$K$3:$K$22*(Calc!$G$3:$G$22&gt;=B3533))</f>
        <v/>
      </c>
      <c r="F3533">
        <f>AND(k_n&gt;=5,B3533&gt;A3533+1E-9,C3533&gt;=2,D3533&gt;=1,E3533&gt;=2)</f>
        <v/>
      </c>
      <c r="G3533">
        <f>SUMPRODUCT(Calc!$K$3:$K$22*(Calc!$G$3:$G$22&gt;A3533)*(Calc!$G$3:$G$22-A3533))</f>
        <v/>
      </c>
      <c r="H3533">
        <f>SUMPRODUCT(Calc!$K$3:$K$22*(Calc!$G$3:$G$22&gt;B3533)*(Calc!$G$3:$G$22-B3533))</f>
        <v/>
      </c>
      <c r="I3533">
        <f>SUMPRODUCT(Calc!$K$3:$K$22*(Calc!$G$3:$G$22&gt;A3533)*(Calc!$G$3:$G$22-A3533)^2)</f>
        <v/>
      </c>
      <c r="J3533">
        <f>SUMPRODUCT(Calc!$K$3:$K$22*(Calc!$G$3:$G$22&gt;B3533)*(Calc!$G$3:$G$22-B3533)^2)</f>
        <v/>
      </c>
      <c r="K3533">
        <f>SUMPRODUCT(Calc!$K$3:$K$22*(Calc!$G$3:$G$22&gt;A3533)*(Calc!$G$3:$G$22-A3533)*(Calc!$G$3:$G$22&gt;B3533)*(Calc!$G$3:$G$22-B3533))</f>
        <v/>
      </c>
      <c r="L3533">
        <f>SUMPRODUCT(Calc!$K$3:$K$22*(Calc!$G$3:$G$22&gt;A3533)*(Calc!$G$3:$G$22-A3533)*Calc!$G$3:$G$22)</f>
        <v/>
      </c>
      <c r="M3533">
        <f>SUMPRODUCT(Calc!$K$3:$K$22*(Calc!$G$3:$G$22&gt;B3533)*(Calc!$G$3:$G$22-B3533)*Calc!$G$3:$G$22)</f>
        <v/>
      </c>
      <c r="N3533">
        <f>SUMPRODUCT(Calc!$K$3:$K$22*(Calc!$G$3:$G$22&gt;A3533)*(Calc!$G$3:$G$22-A3533)*Calc!$I$3:$I$22)</f>
        <v/>
      </c>
      <c r="O3533">
        <f>SUMPRODUCT(Calc!$K$3:$K$22*(Calc!$G$3:$G$22&gt;B3533)*(Calc!$G$3:$G$22-B3533)*Calc!$I$3:$I$22)</f>
        <v/>
      </c>
      <c r="P3533">
        <f>I3533-G3533^2/k_n</f>
        <v/>
      </c>
      <c r="Q3533">
        <f>J3533-H3533^2/k_n</f>
        <v/>
      </c>
      <c r="R3533">
        <f>K3533-G3533*H3533/k_n</f>
        <v/>
      </c>
      <c r="S3533">
        <f>L3533-LTP3!$D$3*G3533/k_n</f>
        <v/>
      </c>
      <c r="T3533">
        <f>M3533-LTP3!$D$3*H3533/k_n</f>
        <v/>
      </c>
      <c r="U3533">
        <f>N3533-G3533*LTP3!$D$4/k_n</f>
        <v/>
      </c>
      <c r="V3533">
        <f>O3533-H3533*LTP3!$D$4/k_n</f>
        <v/>
      </c>
      <c r="W3533">
        <f>((LTP3!$D$5)*((P3533)*(Q3533)-(R3533)*(R3533))-(S3533)*((S3533)*(Q3533)-(R3533)*(T3533))+(T3533)*((S3533)*(R3533)-(P3533)*(T3533)))</f>
        <v/>
      </c>
      <c r="X3533">
        <f>IF(ABS(W3533)&gt;1E-12,((LTP3!$D$6)*((P3533)*(Q3533)-(R3533)*(R3533))-(S3533)*((U3533)*(Q3533)-(R3533)*(V3533))+(T3533)*((U3533)*(R3533)-(P3533)*(V3533)))/W3533,0)</f>
        <v/>
      </c>
      <c r="Y3533">
        <f>IF(ABS(W3533)&gt;1E-12,((LTP3!$D$5)*((U3533)*(Q3533)-(R3533)*(V3533))-(LTP3!$D$6)*((S3533)*(Q3533)-(R3533)*(T3533))+(T3533)*((S3533)*(V3533)-(U3533)*(T3533)))/W3533,0)</f>
        <v/>
      </c>
      <c r="Z3533">
        <f>IF(ABS(W3533)&gt;1E-12,((LTP3!$D$5)*((P3533)*(V3533)-(U3533)*(R3533))-(S3533)*((S3533)*(V3533)-(U3533)*(T3533))+(LTP3!$D$6)*((S3533)*(R3533)-(P3533)*(T3533)))/W3533,0)</f>
        <v/>
      </c>
      <c r="AA3533">
        <f>LTP3!$D$7-X3533*LTP3!$D$6-Y3533*U3533-Z3533*V3533</f>
        <v/>
      </c>
      <c r="AB3533">
        <f>IF(AND(F3533,ABS(W3533)&gt;1E-12,Y3533&gt;0,Z3533&gt;0),AA3533,1E+300)</f>
        <v/>
      </c>
    </row>
    <row r="3534">
      <c r="A3534">
        <f>$B$3+$B$5*57</f>
        <v/>
      </c>
      <c r="B3534">
        <f>$B$3+$B$5*45</f>
        <v/>
      </c>
      <c r="C3534">
        <f>SUMPRODUCT(Calc!$K$3:$K$22*(Calc!$G$3:$G$22&lt;=A3534))</f>
        <v/>
      </c>
      <c r="D3534">
        <f>SUMPRODUCT(Calc!$K$3:$K$22*(Calc!$G$3:$G$22&gt;A3534)*(Calc!$G$3:$G$22&lt;B3534))</f>
        <v/>
      </c>
      <c r="E3534">
        <f>SUMPRODUCT(Calc!$K$3:$K$22*(Calc!$G$3:$G$22&gt;=B3534))</f>
        <v/>
      </c>
      <c r="F3534">
        <f>AND(k_n&gt;=5,B3534&gt;A3534+1E-9,C3534&gt;=2,D3534&gt;=1,E3534&gt;=2)</f>
        <v/>
      </c>
      <c r="G3534">
        <f>SUMPRODUCT(Calc!$K$3:$K$22*(Calc!$G$3:$G$22&gt;A3534)*(Calc!$G$3:$G$22-A3534))</f>
        <v/>
      </c>
      <c r="H3534">
        <f>SUMPRODUCT(Calc!$K$3:$K$22*(Calc!$G$3:$G$22&gt;B3534)*(Calc!$G$3:$G$22-B3534))</f>
        <v/>
      </c>
      <c r="I3534">
        <f>SUMPRODUCT(Calc!$K$3:$K$22*(Calc!$G$3:$G$22&gt;A3534)*(Calc!$G$3:$G$22-A3534)^2)</f>
        <v/>
      </c>
      <c r="J3534">
        <f>SUMPRODUCT(Calc!$K$3:$K$22*(Calc!$G$3:$G$22&gt;B3534)*(Calc!$G$3:$G$22-B3534)^2)</f>
        <v/>
      </c>
      <c r="K3534">
        <f>SUMPRODUCT(Calc!$K$3:$K$22*(Calc!$G$3:$G$22&gt;A3534)*(Calc!$G$3:$G$22-A3534)*(Calc!$G$3:$G$22&gt;B3534)*(Calc!$G$3:$G$22-B3534))</f>
        <v/>
      </c>
      <c r="L3534">
        <f>SUMPRODUCT(Calc!$K$3:$K$22*(Calc!$G$3:$G$22&gt;A3534)*(Calc!$G$3:$G$22-A3534)*Calc!$G$3:$G$22)</f>
        <v/>
      </c>
      <c r="M3534">
        <f>SUMPRODUCT(Calc!$K$3:$K$22*(Calc!$G$3:$G$22&gt;B3534)*(Calc!$G$3:$G$22-B3534)*Calc!$G$3:$G$22)</f>
        <v/>
      </c>
      <c r="N3534">
        <f>SUMPRODUCT(Calc!$K$3:$K$22*(Calc!$G$3:$G$22&gt;A3534)*(Calc!$G$3:$G$22-A3534)*Calc!$I$3:$I$22)</f>
        <v/>
      </c>
      <c r="O3534">
        <f>SUMPRODUCT(Calc!$K$3:$K$22*(Calc!$G$3:$G$22&gt;B3534)*(Calc!$G$3:$G$22-B3534)*Calc!$I$3:$I$22)</f>
        <v/>
      </c>
      <c r="P3534">
        <f>I3534-G3534^2/k_n</f>
        <v/>
      </c>
      <c r="Q3534">
        <f>J3534-H3534^2/k_n</f>
        <v/>
      </c>
      <c r="R3534">
        <f>K3534-G3534*H3534/k_n</f>
        <v/>
      </c>
      <c r="S3534">
        <f>L3534-LTP3!$D$3*G3534/k_n</f>
        <v/>
      </c>
      <c r="T3534">
        <f>M3534-LTP3!$D$3*H3534/k_n</f>
        <v/>
      </c>
      <c r="U3534">
        <f>N3534-G3534*LTP3!$D$4/k_n</f>
        <v/>
      </c>
      <c r="V3534">
        <f>O3534-H3534*LTP3!$D$4/k_n</f>
        <v/>
      </c>
      <c r="W3534">
        <f>((LTP3!$D$5)*((P3534)*(Q3534)-(R3534)*(R3534))-(S3534)*((S3534)*(Q3534)-(R3534)*(T3534))+(T3534)*((S3534)*(R3534)-(P3534)*(T3534)))</f>
        <v/>
      </c>
      <c r="X3534">
        <f>IF(ABS(W3534)&gt;1E-12,((LTP3!$D$6)*((P3534)*(Q3534)-(R3534)*(R3534))-(S3534)*((U3534)*(Q3534)-(R3534)*(V3534))+(T3534)*((U3534)*(R3534)-(P3534)*(V3534)))/W3534,0)</f>
        <v/>
      </c>
      <c r="Y3534">
        <f>IF(ABS(W3534)&gt;1E-12,((LTP3!$D$5)*((U3534)*(Q3534)-(R3534)*(V3534))-(LTP3!$D$6)*((S3534)*(Q3534)-(R3534)*(T3534))+(T3534)*((S3534)*(V3534)-(U3534)*(T3534)))/W3534,0)</f>
        <v/>
      </c>
      <c r="Z3534">
        <f>IF(ABS(W3534)&gt;1E-12,((LTP3!$D$5)*((P3534)*(V3534)-(U3534)*(R3534))-(S3534)*((S3534)*(V3534)-(U3534)*(T3534))+(LTP3!$D$6)*((S3534)*(R3534)-(P3534)*(T3534)))/W3534,0)</f>
        <v/>
      </c>
      <c r="AA3534">
        <f>LTP3!$D$7-X3534*LTP3!$D$6-Y3534*U3534-Z3534*V3534</f>
        <v/>
      </c>
      <c r="AB3534">
        <f>IF(AND(F3534,ABS(W3534)&gt;1E-12,Y3534&gt;0,Z3534&gt;0),AA3534,1E+300)</f>
        <v/>
      </c>
    </row>
    <row r="3535">
      <c r="A3535">
        <f>$B$3+$B$5*57</f>
        <v/>
      </c>
      <c r="B3535">
        <f>$B$3+$B$5*46</f>
        <v/>
      </c>
      <c r="C3535">
        <f>SUMPRODUCT(Calc!$K$3:$K$22*(Calc!$G$3:$G$22&lt;=A3535))</f>
        <v/>
      </c>
      <c r="D3535">
        <f>SUMPRODUCT(Calc!$K$3:$K$22*(Calc!$G$3:$G$22&gt;A3535)*(Calc!$G$3:$G$22&lt;B3535))</f>
        <v/>
      </c>
      <c r="E3535">
        <f>SUMPRODUCT(Calc!$K$3:$K$22*(Calc!$G$3:$G$22&gt;=B3535))</f>
        <v/>
      </c>
      <c r="F3535">
        <f>AND(k_n&gt;=5,B3535&gt;A3535+1E-9,C3535&gt;=2,D3535&gt;=1,E3535&gt;=2)</f>
        <v/>
      </c>
      <c r="G3535">
        <f>SUMPRODUCT(Calc!$K$3:$K$22*(Calc!$G$3:$G$22&gt;A3535)*(Calc!$G$3:$G$22-A3535))</f>
        <v/>
      </c>
      <c r="H3535">
        <f>SUMPRODUCT(Calc!$K$3:$K$22*(Calc!$G$3:$G$22&gt;B3535)*(Calc!$G$3:$G$22-B3535))</f>
        <v/>
      </c>
      <c r="I3535">
        <f>SUMPRODUCT(Calc!$K$3:$K$22*(Calc!$G$3:$G$22&gt;A3535)*(Calc!$G$3:$G$22-A3535)^2)</f>
        <v/>
      </c>
      <c r="J3535">
        <f>SUMPRODUCT(Calc!$K$3:$K$22*(Calc!$G$3:$G$22&gt;B3535)*(Calc!$G$3:$G$22-B3535)^2)</f>
        <v/>
      </c>
      <c r="K3535">
        <f>SUMPRODUCT(Calc!$K$3:$K$22*(Calc!$G$3:$G$22&gt;A3535)*(Calc!$G$3:$G$22-A3535)*(Calc!$G$3:$G$22&gt;B3535)*(Calc!$G$3:$G$22-B3535))</f>
        <v/>
      </c>
      <c r="L3535">
        <f>SUMPRODUCT(Calc!$K$3:$K$22*(Calc!$G$3:$G$22&gt;A3535)*(Calc!$G$3:$G$22-A3535)*Calc!$G$3:$G$22)</f>
        <v/>
      </c>
      <c r="M3535">
        <f>SUMPRODUCT(Calc!$K$3:$K$22*(Calc!$G$3:$G$22&gt;B3535)*(Calc!$G$3:$G$22-B3535)*Calc!$G$3:$G$22)</f>
        <v/>
      </c>
      <c r="N3535">
        <f>SUMPRODUCT(Calc!$K$3:$K$22*(Calc!$G$3:$G$22&gt;A3535)*(Calc!$G$3:$G$22-A3535)*Calc!$I$3:$I$22)</f>
        <v/>
      </c>
      <c r="O3535">
        <f>SUMPRODUCT(Calc!$K$3:$K$22*(Calc!$G$3:$G$22&gt;B3535)*(Calc!$G$3:$G$22-B3535)*Calc!$I$3:$I$22)</f>
        <v/>
      </c>
      <c r="P3535">
        <f>I3535-G3535^2/k_n</f>
        <v/>
      </c>
      <c r="Q3535">
        <f>J3535-H3535^2/k_n</f>
        <v/>
      </c>
      <c r="R3535">
        <f>K3535-G3535*H3535/k_n</f>
        <v/>
      </c>
      <c r="S3535">
        <f>L3535-LTP3!$D$3*G3535/k_n</f>
        <v/>
      </c>
      <c r="T3535">
        <f>M3535-LTP3!$D$3*H3535/k_n</f>
        <v/>
      </c>
      <c r="U3535">
        <f>N3535-G3535*LTP3!$D$4/k_n</f>
        <v/>
      </c>
      <c r="V3535">
        <f>O3535-H3535*LTP3!$D$4/k_n</f>
        <v/>
      </c>
      <c r="W3535">
        <f>((LTP3!$D$5)*((P3535)*(Q3535)-(R3535)*(R3535))-(S3535)*((S3535)*(Q3535)-(R3535)*(T3535))+(T3535)*((S3535)*(R3535)-(P3535)*(T3535)))</f>
        <v/>
      </c>
      <c r="X3535">
        <f>IF(ABS(W3535)&gt;1E-12,((LTP3!$D$6)*((P3535)*(Q3535)-(R3535)*(R3535))-(S3535)*((U3535)*(Q3535)-(R3535)*(V3535))+(T3535)*((U3535)*(R3535)-(P3535)*(V3535)))/W3535,0)</f>
        <v/>
      </c>
      <c r="Y3535">
        <f>IF(ABS(W3535)&gt;1E-12,((LTP3!$D$5)*((U3535)*(Q3535)-(R3535)*(V3535))-(LTP3!$D$6)*((S3535)*(Q3535)-(R3535)*(T3535))+(T3535)*((S3535)*(V3535)-(U3535)*(T3535)))/W3535,0)</f>
        <v/>
      </c>
      <c r="Z3535">
        <f>IF(ABS(W3535)&gt;1E-12,((LTP3!$D$5)*((P3535)*(V3535)-(U3535)*(R3535))-(S3535)*((S3535)*(V3535)-(U3535)*(T3535))+(LTP3!$D$6)*((S3535)*(R3535)-(P3535)*(T3535)))/W3535,0)</f>
        <v/>
      </c>
      <c r="AA3535">
        <f>LTP3!$D$7-X3535*LTP3!$D$6-Y3535*U3535-Z3535*V3535</f>
        <v/>
      </c>
      <c r="AB3535">
        <f>IF(AND(F3535,ABS(W3535)&gt;1E-12,Y3535&gt;0,Z3535&gt;0),AA3535,1E+300)</f>
        <v/>
      </c>
    </row>
    <row r="3536">
      <c r="A3536">
        <f>$B$3+$B$5*57</f>
        <v/>
      </c>
      <c r="B3536">
        <f>$B$3+$B$5*47</f>
        <v/>
      </c>
      <c r="C3536">
        <f>SUMPRODUCT(Calc!$K$3:$K$22*(Calc!$G$3:$G$22&lt;=A3536))</f>
        <v/>
      </c>
      <c r="D3536">
        <f>SUMPRODUCT(Calc!$K$3:$K$22*(Calc!$G$3:$G$22&gt;A3536)*(Calc!$G$3:$G$22&lt;B3536))</f>
        <v/>
      </c>
      <c r="E3536">
        <f>SUMPRODUCT(Calc!$K$3:$K$22*(Calc!$G$3:$G$22&gt;=B3536))</f>
        <v/>
      </c>
      <c r="F3536">
        <f>AND(k_n&gt;=5,B3536&gt;A3536+1E-9,C3536&gt;=2,D3536&gt;=1,E3536&gt;=2)</f>
        <v/>
      </c>
      <c r="G3536">
        <f>SUMPRODUCT(Calc!$K$3:$K$22*(Calc!$G$3:$G$22&gt;A3536)*(Calc!$G$3:$G$22-A3536))</f>
        <v/>
      </c>
      <c r="H3536">
        <f>SUMPRODUCT(Calc!$K$3:$K$22*(Calc!$G$3:$G$22&gt;B3536)*(Calc!$G$3:$G$22-B3536))</f>
        <v/>
      </c>
      <c r="I3536">
        <f>SUMPRODUCT(Calc!$K$3:$K$22*(Calc!$G$3:$G$22&gt;A3536)*(Calc!$G$3:$G$22-A3536)^2)</f>
        <v/>
      </c>
      <c r="J3536">
        <f>SUMPRODUCT(Calc!$K$3:$K$22*(Calc!$G$3:$G$22&gt;B3536)*(Calc!$G$3:$G$22-B3536)^2)</f>
        <v/>
      </c>
      <c r="K3536">
        <f>SUMPRODUCT(Calc!$K$3:$K$22*(Calc!$G$3:$G$22&gt;A3536)*(Calc!$G$3:$G$22-A3536)*(Calc!$G$3:$G$22&gt;B3536)*(Calc!$G$3:$G$22-B3536))</f>
        <v/>
      </c>
      <c r="L3536">
        <f>SUMPRODUCT(Calc!$K$3:$K$22*(Calc!$G$3:$G$22&gt;A3536)*(Calc!$G$3:$G$22-A3536)*Calc!$G$3:$G$22)</f>
        <v/>
      </c>
      <c r="M3536">
        <f>SUMPRODUCT(Calc!$K$3:$K$22*(Calc!$G$3:$G$22&gt;B3536)*(Calc!$G$3:$G$22-B3536)*Calc!$G$3:$G$22)</f>
        <v/>
      </c>
      <c r="N3536">
        <f>SUMPRODUCT(Calc!$K$3:$K$22*(Calc!$G$3:$G$22&gt;A3536)*(Calc!$G$3:$G$22-A3536)*Calc!$I$3:$I$22)</f>
        <v/>
      </c>
      <c r="O3536">
        <f>SUMPRODUCT(Calc!$K$3:$K$22*(Calc!$G$3:$G$22&gt;B3536)*(Calc!$G$3:$G$22-B3536)*Calc!$I$3:$I$22)</f>
        <v/>
      </c>
      <c r="P3536">
        <f>I3536-G3536^2/k_n</f>
        <v/>
      </c>
      <c r="Q3536">
        <f>J3536-H3536^2/k_n</f>
        <v/>
      </c>
      <c r="R3536">
        <f>K3536-G3536*H3536/k_n</f>
        <v/>
      </c>
      <c r="S3536">
        <f>L3536-LTP3!$D$3*G3536/k_n</f>
        <v/>
      </c>
      <c r="T3536">
        <f>M3536-LTP3!$D$3*H3536/k_n</f>
        <v/>
      </c>
      <c r="U3536">
        <f>N3536-G3536*LTP3!$D$4/k_n</f>
        <v/>
      </c>
      <c r="V3536">
        <f>O3536-H3536*LTP3!$D$4/k_n</f>
        <v/>
      </c>
      <c r="W3536">
        <f>((LTP3!$D$5)*((P3536)*(Q3536)-(R3536)*(R3536))-(S3536)*((S3536)*(Q3536)-(R3536)*(T3536))+(T3536)*((S3536)*(R3536)-(P3536)*(T3536)))</f>
        <v/>
      </c>
      <c r="X3536">
        <f>IF(ABS(W3536)&gt;1E-12,((LTP3!$D$6)*((P3536)*(Q3536)-(R3536)*(R3536))-(S3536)*((U3536)*(Q3536)-(R3536)*(V3536))+(T3536)*((U3536)*(R3536)-(P3536)*(V3536)))/W3536,0)</f>
        <v/>
      </c>
      <c r="Y3536">
        <f>IF(ABS(W3536)&gt;1E-12,((LTP3!$D$5)*((U3536)*(Q3536)-(R3536)*(V3536))-(LTP3!$D$6)*((S3536)*(Q3536)-(R3536)*(T3536))+(T3536)*((S3536)*(V3536)-(U3536)*(T3536)))/W3536,0)</f>
        <v/>
      </c>
      <c r="Z3536">
        <f>IF(ABS(W3536)&gt;1E-12,((LTP3!$D$5)*((P3536)*(V3536)-(U3536)*(R3536))-(S3536)*((S3536)*(V3536)-(U3536)*(T3536))+(LTP3!$D$6)*((S3536)*(R3536)-(P3536)*(T3536)))/W3536,0)</f>
        <v/>
      </c>
      <c r="AA3536">
        <f>LTP3!$D$7-X3536*LTP3!$D$6-Y3536*U3536-Z3536*V3536</f>
        <v/>
      </c>
      <c r="AB3536">
        <f>IF(AND(F3536,ABS(W3536)&gt;1E-12,Y3536&gt;0,Z3536&gt;0),AA3536,1E+300)</f>
        <v/>
      </c>
    </row>
    <row r="3537">
      <c r="A3537">
        <f>$B$3+$B$5*57</f>
        <v/>
      </c>
      <c r="B3537">
        <f>$B$3+$B$5*48</f>
        <v/>
      </c>
      <c r="C3537">
        <f>SUMPRODUCT(Calc!$K$3:$K$22*(Calc!$G$3:$G$22&lt;=A3537))</f>
        <v/>
      </c>
      <c r="D3537">
        <f>SUMPRODUCT(Calc!$K$3:$K$22*(Calc!$G$3:$G$22&gt;A3537)*(Calc!$G$3:$G$22&lt;B3537))</f>
        <v/>
      </c>
      <c r="E3537">
        <f>SUMPRODUCT(Calc!$K$3:$K$22*(Calc!$G$3:$G$22&gt;=B3537))</f>
        <v/>
      </c>
      <c r="F3537">
        <f>AND(k_n&gt;=5,B3537&gt;A3537+1E-9,C3537&gt;=2,D3537&gt;=1,E3537&gt;=2)</f>
        <v/>
      </c>
      <c r="G3537">
        <f>SUMPRODUCT(Calc!$K$3:$K$22*(Calc!$G$3:$G$22&gt;A3537)*(Calc!$G$3:$G$22-A3537))</f>
        <v/>
      </c>
      <c r="H3537">
        <f>SUMPRODUCT(Calc!$K$3:$K$22*(Calc!$G$3:$G$22&gt;B3537)*(Calc!$G$3:$G$22-B3537))</f>
        <v/>
      </c>
      <c r="I3537">
        <f>SUMPRODUCT(Calc!$K$3:$K$22*(Calc!$G$3:$G$22&gt;A3537)*(Calc!$G$3:$G$22-A3537)^2)</f>
        <v/>
      </c>
      <c r="J3537">
        <f>SUMPRODUCT(Calc!$K$3:$K$22*(Calc!$G$3:$G$22&gt;B3537)*(Calc!$G$3:$G$22-B3537)^2)</f>
        <v/>
      </c>
      <c r="K3537">
        <f>SUMPRODUCT(Calc!$K$3:$K$22*(Calc!$G$3:$G$22&gt;A3537)*(Calc!$G$3:$G$22-A3537)*(Calc!$G$3:$G$22&gt;B3537)*(Calc!$G$3:$G$22-B3537))</f>
        <v/>
      </c>
      <c r="L3537">
        <f>SUMPRODUCT(Calc!$K$3:$K$22*(Calc!$G$3:$G$22&gt;A3537)*(Calc!$G$3:$G$22-A3537)*Calc!$G$3:$G$22)</f>
        <v/>
      </c>
      <c r="M3537">
        <f>SUMPRODUCT(Calc!$K$3:$K$22*(Calc!$G$3:$G$22&gt;B3537)*(Calc!$G$3:$G$22-B3537)*Calc!$G$3:$G$22)</f>
        <v/>
      </c>
      <c r="N3537">
        <f>SUMPRODUCT(Calc!$K$3:$K$22*(Calc!$G$3:$G$22&gt;A3537)*(Calc!$G$3:$G$22-A3537)*Calc!$I$3:$I$22)</f>
        <v/>
      </c>
      <c r="O3537">
        <f>SUMPRODUCT(Calc!$K$3:$K$22*(Calc!$G$3:$G$22&gt;B3537)*(Calc!$G$3:$G$22-B3537)*Calc!$I$3:$I$22)</f>
        <v/>
      </c>
      <c r="P3537">
        <f>I3537-G3537^2/k_n</f>
        <v/>
      </c>
      <c r="Q3537">
        <f>J3537-H3537^2/k_n</f>
        <v/>
      </c>
      <c r="R3537">
        <f>K3537-G3537*H3537/k_n</f>
        <v/>
      </c>
      <c r="S3537">
        <f>L3537-LTP3!$D$3*G3537/k_n</f>
        <v/>
      </c>
      <c r="T3537">
        <f>M3537-LTP3!$D$3*H3537/k_n</f>
        <v/>
      </c>
      <c r="U3537">
        <f>N3537-G3537*LTP3!$D$4/k_n</f>
        <v/>
      </c>
      <c r="V3537">
        <f>O3537-H3537*LTP3!$D$4/k_n</f>
        <v/>
      </c>
      <c r="W3537">
        <f>((LTP3!$D$5)*((P3537)*(Q3537)-(R3537)*(R3537))-(S3537)*((S3537)*(Q3537)-(R3537)*(T3537))+(T3537)*((S3537)*(R3537)-(P3537)*(T3537)))</f>
        <v/>
      </c>
      <c r="X3537">
        <f>IF(ABS(W3537)&gt;1E-12,((LTP3!$D$6)*((P3537)*(Q3537)-(R3537)*(R3537))-(S3537)*((U3537)*(Q3537)-(R3537)*(V3537))+(T3537)*((U3537)*(R3537)-(P3537)*(V3537)))/W3537,0)</f>
        <v/>
      </c>
      <c r="Y3537">
        <f>IF(ABS(W3537)&gt;1E-12,((LTP3!$D$5)*((U3537)*(Q3537)-(R3537)*(V3537))-(LTP3!$D$6)*((S3537)*(Q3537)-(R3537)*(T3537))+(T3537)*((S3537)*(V3537)-(U3537)*(T3537)))/W3537,0)</f>
        <v/>
      </c>
      <c r="Z3537">
        <f>IF(ABS(W3537)&gt;1E-12,((LTP3!$D$5)*((P3537)*(V3537)-(U3537)*(R3537))-(S3537)*((S3537)*(V3537)-(U3537)*(T3537))+(LTP3!$D$6)*((S3537)*(R3537)-(P3537)*(T3537)))/W3537,0)</f>
        <v/>
      </c>
      <c r="AA3537">
        <f>LTP3!$D$7-X3537*LTP3!$D$6-Y3537*U3537-Z3537*V3537</f>
        <v/>
      </c>
      <c r="AB3537">
        <f>IF(AND(F3537,ABS(W3537)&gt;1E-12,Y3537&gt;0,Z3537&gt;0),AA3537,1E+300)</f>
        <v/>
      </c>
    </row>
    <row r="3538">
      <c r="A3538">
        <f>$B$3+$B$5*57</f>
        <v/>
      </c>
      <c r="B3538">
        <f>$B$3+$B$5*49</f>
        <v/>
      </c>
      <c r="C3538">
        <f>SUMPRODUCT(Calc!$K$3:$K$22*(Calc!$G$3:$G$22&lt;=A3538))</f>
        <v/>
      </c>
      <c r="D3538">
        <f>SUMPRODUCT(Calc!$K$3:$K$22*(Calc!$G$3:$G$22&gt;A3538)*(Calc!$G$3:$G$22&lt;B3538))</f>
        <v/>
      </c>
      <c r="E3538">
        <f>SUMPRODUCT(Calc!$K$3:$K$22*(Calc!$G$3:$G$22&gt;=B3538))</f>
        <v/>
      </c>
      <c r="F3538">
        <f>AND(k_n&gt;=5,B3538&gt;A3538+1E-9,C3538&gt;=2,D3538&gt;=1,E3538&gt;=2)</f>
        <v/>
      </c>
      <c r="G3538">
        <f>SUMPRODUCT(Calc!$K$3:$K$22*(Calc!$G$3:$G$22&gt;A3538)*(Calc!$G$3:$G$22-A3538))</f>
        <v/>
      </c>
      <c r="H3538">
        <f>SUMPRODUCT(Calc!$K$3:$K$22*(Calc!$G$3:$G$22&gt;B3538)*(Calc!$G$3:$G$22-B3538))</f>
        <v/>
      </c>
      <c r="I3538">
        <f>SUMPRODUCT(Calc!$K$3:$K$22*(Calc!$G$3:$G$22&gt;A3538)*(Calc!$G$3:$G$22-A3538)^2)</f>
        <v/>
      </c>
      <c r="J3538">
        <f>SUMPRODUCT(Calc!$K$3:$K$22*(Calc!$G$3:$G$22&gt;B3538)*(Calc!$G$3:$G$22-B3538)^2)</f>
        <v/>
      </c>
      <c r="K3538">
        <f>SUMPRODUCT(Calc!$K$3:$K$22*(Calc!$G$3:$G$22&gt;A3538)*(Calc!$G$3:$G$22-A3538)*(Calc!$G$3:$G$22&gt;B3538)*(Calc!$G$3:$G$22-B3538))</f>
        <v/>
      </c>
      <c r="L3538">
        <f>SUMPRODUCT(Calc!$K$3:$K$22*(Calc!$G$3:$G$22&gt;A3538)*(Calc!$G$3:$G$22-A3538)*Calc!$G$3:$G$22)</f>
        <v/>
      </c>
      <c r="M3538">
        <f>SUMPRODUCT(Calc!$K$3:$K$22*(Calc!$G$3:$G$22&gt;B3538)*(Calc!$G$3:$G$22-B3538)*Calc!$G$3:$G$22)</f>
        <v/>
      </c>
      <c r="N3538">
        <f>SUMPRODUCT(Calc!$K$3:$K$22*(Calc!$G$3:$G$22&gt;A3538)*(Calc!$G$3:$G$22-A3538)*Calc!$I$3:$I$22)</f>
        <v/>
      </c>
      <c r="O3538">
        <f>SUMPRODUCT(Calc!$K$3:$K$22*(Calc!$G$3:$G$22&gt;B3538)*(Calc!$G$3:$G$22-B3538)*Calc!$I$3:$I$22)</f>
        <v/>
      </c>
      <c r="P3538">
        <f>I3538-G3538^2/k_n</f>
        <v/>
      </c>
      <c r="Q3538">
        <f>J3538-H3538^2/k_n</f>
        <v/>
      </c>
      <c r="R3538">
        <f>K3538-G3538*H3538/k_n</f>
        <v/>
      </c>
      <c r="S3538">
        <f>L3538-LTP3!$D$3*G3538/k_n</f>
        <v/>
      </c>
      <c r="T3538">
        <f>M3538-LTP3!$D$3*H3538/k_n</f>
        <v/>
      </c>
      <c r="U3538">
        <f>N3538-G3538*LTP3!$D$4/k_n</f>
        <v/>
      </c>
      <c r="V3538">
        <f>O3538-H3538*LTP3!$D$4/k_n</f>
        <v/>
      </c>
      <c r="W3538">
        <f>((LTP3!$D$5)*((P3538)*(Q3538)-(R3538)*(R3538))-(S3538)*((S3538)*(Q3538)-(R3538)*(T3538))+(T3538)*((S3538)*(R3538)-(P3538)*(T3538)))</f>
        <v/>
      </c>
      <c r="X3538">
        <f>IF(ABS(W3538)&gt;1E-12,((LTP3!$D$6)*((P3538)*(Q3538)-(R3538)*(R3538))-(S3538)*((U3538)*(Q3538)-(R3538)*(V3538))+(T3538)*((U3538)*(R3538)-(P3538)*(V3538)))/W3538,0)</f>
        <v/>
      </c>
      <c r="Y3538">
        <f>IF(ABS(W3538)&gt;1E-12,((LTP3!$D$5)*((U3538)*(Q3538)-(R3538)*(V3538))-(LTP3!$D$6)*((S3538)*(Q3538)-(R3538)*(T3538))+(T3538)*((S3538)*(V3538)-(U3538)*(T3538)))/W3538,0)</f>
        <v/>
      </c>
      <c r="Z3538">
        <f>IF(ABS(W3538)&gt;1E-12,((LTP3!$D$5)*((P3538)*(V3538)-(U3538)*(R3538))-(S3538)*((S3538)*(V3538)-(U3538)*(T3538))+(LTP3!$D$6)*((S3538)*(R3538)-(P3538)*(T3538)))/W3538,0)</f>
        <v/>
      </c>
      <c r="AA3538">
        <f>LTP3!$D$7-X3538*LTP3!$D$6-Y3538*U3538-Z3538*V3538</f>
        <v/>
      </c>
      <c r="AB3538">
        <f>IF(AND(F3538,ABS(W3538)&gt;1E-12,Y3538&gt;0,Z3538&gt;0),AA3538,1E+300)</f>
        <v/>
      </c>
    </row>
    <row r="3539">
      <c r="A3539">
        <f>$B$3+$B$5*57</f>
        <v/>
      </c>
      <c r="B3539">
        <f>$B$3+$B$5*50</f>
        <v/>
      </c>
      <c r="C3539">
        <f>SUMPRODUCT(Calc!$K$3:$K$22*(Calc!$G$3:$G$22&lt;=A3539))</f>
        <v/>
      </c>
      <c r="D3539">
        <f>SUMPRODUCT(Calc!$K$3:$K$22*(Calc!$G$3:$G$22&gt;A3539)*(Calc!$G$3:$G$22&lt;B3539))</f>
        <v/>
      </c>
      <c r="E3539">
        <f>SUMPRODUCT(Calc!$K$3:$K$22*(Calc!$G$3:$G$22&gt;=B3539))</f>
        <v/>
      </c>
      <c r="F3539">
        <f>AND(k_n&gt;=5,B3539&gt;A3539+1E-9,C3539&gt;=2,D3539&gt;=1,E3539&gt;=2)</f>
        <v/>
      </c>
      <c r="G3539">
        <f>SUMPRODUCT(Calc!$K$3:$K$22*(Calc!$G$3:$G$22&gt;A3539)*(Calc!$G$3:$G$22-A3539))</f>
        <v/>
      </c>
      <c r="H3539">
        <f>SUMPRODUCT(Calc!$K$3:$K$22*(Calc!$G$3:$G$22&gt;B3539)*(Calc!$G$3:$G$22-B3539))</f>
        <v/>
      </c>
      <c r="I3539">
        <f>SUMPRODUCT(Calc!$K$3:$K$22*(Calc!$G$3:$G$22&gt;A3539)*(Calc!$G$3:$G$22-A3539)^2)</f>
        <v/>
      </c>
      <c r="J3539">
        <f>SUMPRODUCT(Calc!$K$3:$K$22*(Calc!$G$3:$G$22&gt;B3539)*(Calc!$G$3:$G$22-B3539)^2)</f>
        <v/>
      </c>
      <c r="K3539">
        <f>SUMPRODUCT(Calc!$K$3:$K$22*(Calc!$G$3:$G$22&gt;A3539)*(Calc!$G$3:$G$22-A3539)*(Calc!$G$3:$G$22&gt;B3539)*(Calc!$G$3:$G$22-B3539))</f>
        <v/>
      </c>
      <c r="L3539">
        <f>SUMPRODUCT(Calc!$K$3:$K$22*(Calc!$G$3:$G$22&gt;A3539)*(Calc!$G$3:$G$22-A3539)*Calc!$G$3:$G$22)</f>
        <v/>
      </c>
      <c r="M3539">
        <f>SUMPRODUCT(Calc!$K$3:$K$22*(Calc!$G$3:$G$22&gt;B3539)*(Calc!$G$3:$G$22-B3539)*Calc!$G$3:$G$22)</f>
        <v/>
      </c>
      <c r="N3539">
        <f>SUMPRODUCT(Calc!$K$3:$K$22*(Calc!$G$3:$G$22&gt;A3539)*(Calc!$G$3:$G$22-A3539)*Calc!$I$3:$I$22)</f>
        <v/>
      </c>
      <c r="O3539">
        <f>SUMPRODUCT(Calc!$K$3:$K$22*(Calc!$G$3:$G$22&gt;B3539)*(Calc!$G$3:$G$22-B3539)*Calc!$I$3:$I$22)</f>
        <v/>
      </c>
      <c r="P3539">
        <f>I3539-G3539^2/k_n</f>
        <v/>
      </c>
      <c r="Q3539">
        <f>J3539-H3539^2/k_n</f>
        <v/>
      </c>
      <c r="R3539">
        <f>K3539-G3539*H3539/k_n</f>
        <v/>
      </c>
      <c r="S3539">
        <f>L3539-LTP3!$D$3*G3539/k_n</f>
        <v/>
      </c>
      <c r="T3539">
        <f>M3539-LTP3!$D$3*H3539/k_n</f>
        <v/>
      </c>
      <c r="U3539">
        <f>N3539-G3539*LTP3!$D$4/k_n</f>
        <v/>
      </c>
      <c r="V3539">
        <f>O3539-H3539*LTP3!$D$4/k_n</f>
        <v/>
      </c>
      <c r="W3539">
        <f>((LTP3!$D$5)*((P3539)*(Q3539)-(R3539)*(R3539))-(S3539)*((S3539)*(Q3539)-(R3539)*(T3539))+(T3539)*((S3539)*(R3539)-(P3539)*(T3539)))</f>
        <v/>
      </c>
      <c r="X3539">
        <f>IF(ABS(W3539)&gt;1E-12,((LTP3!$D$6)*((P3539)*(Q3539)-(R3539)*(R3539))-(S3539)*((U3539)*(Q3539)-(R3539)*(V3539))+(T3539)*((U3539)*(R3539)-(P3539)*(V3539)))/W3539,0)</f>
        <v/>
      </c>
      <c r="Y3539">
        <f>IF(ABS(W3539)&gt;1E-12,((LTP3!$D$5)*((U3539)*(Q3539)-(R3539)*(V3539))-(LTP3!$D$6)*((S3539)*(Q3539)-(R3539)*(T3539))+(T3539)*((S3539)*(V3539)-(U3539)*(T3539)))/W3539,0)</f>
        <v/>
      </c>
      <c r="Z3539">
        <f>IF(ABS(W3539)&gt;1E-12,((LTP3!$D$5)*((P3539)*(V3539)-(U3539)*(R3539))-(S3539)*((S3539)*(V3539)-(U3539)*(T3539))+(LTP3!$D$6)*((S3539)*(R3539)-(P3539)*(T3539)))/W3539,0)</f>
        <v/>
      </c>
      <c r="AA3539">
        <f>LTP3!$D$7-X3539*LTP3!$D$6-Y3539*U3539-Z3539*V3539</f>
        <v/>
      </c>
      <c r="AB3539">
        <f>IF(AND(F3539,ABS(W3539)&gt;1E-12,Y3539&gt;0,Z3539&gt;0),AA3539,1E+300)</f>
        <v/>
      </c>
    </row>
    <row r="3540">
      <c r="A3540">
        <f>$B$3+$B$5*57</f>
        <v/>
      </c>
      <c r="B3540">
        <f>$B$3+$B$5*51</f>
        <v/>
      </c>
      <c r="C3540">
        <f>SUMPRODUCT(Calc!$K$3:$K$22*(Calc!$G$3:$G$22&lt;=A3540))</f>
        <v/>
      </c>
      <c r="D3540">
        <f>SUMPRODUCT(Calc!$K$3:$K$22*(Calc!$G$3:$G$22&gt;A3540)*(Calc!$G$3:$G$22&lt;B3540))</f>
        <v/>
      </c>
      <c r="E3540">
        <f>SUMPRODUCT(Calc!$K$3:$K$22*(Calc!$G$3:$G$22&gt;=B3540))</f>
        <v/>
      </c>
      <c r="F3540">
        <f>AND(k_n&gt;=5,B3540&gt;A3540+1E-9,C3540&gt;=2,D3540&gt;=1,E3540&gt;=2)</f>
        <v/>
      </c>
      <c r="G3540">
        <f>SUMPRODUCT(Calc!$K$3:$K$22*(Calc!$G$3:$G$22&gt;A3540)*(Calc!$G$3:$G$22-A3540))</f>
        <v/>
      </c>
      <c r="H3540">
        <f>SUMPRODUCT(Calc!$K$3:$K$22*(Calc!$G$3:$G$22&gt;B3540)*(Calc!$G$3:$G$22-B3540))</f>
        <v/>
      </c>
      <c r="I3540">
        <f>SUMPRODUCT(Calc!$K$3:$K$22*(Calc!$G$3:$G$22&gt;A3540)*(Calc!$G$3:$G$22-A3540)^2)</f>
        <v/>
      </c>
      <c r="J3540">
        <f>SUMPRODUCT(Calc!$K$3:$K$22*(Calc!$G$3:$G$22&gt;B3540)*(Calc!$G$3:$G$22-B3540)^2)</f>
        <v/>
      </c>
      <c r="K3540">
        <f>SUMPRODUCT(Calc!$K$3:$K$22*(Calc!$G$3:$G$22&gt;A3540)*(Calc!$G$3:$G$22-A3540)*(Calc!$G$3:$G$22&gt;B3540)*(Calc!$G$3:$G$22-B3540))</f>
        <v/>
      </c>
      <c r="L3540">
        <f>SUMPRODUCT(Calc!$K$3:$K$22*(Calc!$G$3:$G$22&gt;A3540)*(Calc!$G$3:$G$22-A3540)*Calc!$G$3:$G$22)</f>
        <v/>
      </c>
      <c r="M3540">
        <f>SUMPRODUCT(Calc!$K$3:$K$22*(Calc!$G$3:$G$22&gt;B3540)*(Calc!$G$3:$G$22-B3540)*Calc!$G$3:$G$22)</f>
        <v/>
      </c>
      <c r="N3540">
        <f>SUMPRODUCT(Calc!$K$3:$K$22*(Calc!$G$3:$G$22&gt;A3540)*(Calc!$G$3:$G$22-A3540)*Calc!$I$3:$I$22)</f>
        <v/>
      </c>
      <c r="O3540">
        <f>SUMPRODUCT(Calc!$K$3:$K$22*(Calc!$G$3:$G$22&gt;B3540)*(Calc!$G$3:$G$22-B3540)*Calc!$I$3:$I$22)</f>
        <v/>
      </c>
      <c r="P3540">
        <f>I3540-G3540^2/k_n</f>
        <v/>
      </c>
      <c r="Q3540">
        <f>J3540-H3540^2/k_n</f>
        <v/>
      </c>
      <c r="R3540">
        <f>K3540-G3540*H3540/k_n</f>
        <v/>
      </c>
      <c r="S3540">
        <f>L3540-LTP3!$D$3*G3540/k_n</f>
        <v/>
      </c>
      <c r="T3540">
        <f>M3540-LTP3!$D$3*H3540/k_n</f>
        <v/>
      </c>
      <c r="U3540">
        <f>N3540-G3540*LTP3!$D$4/k_n</f>
        <v/>
      </c>
      <c r="V3540">
        <f>O3540-H3540*LTP3!$D$4/k_n</f>
        <v/>
      </c>
      <c r="W3540">
        <f>((LTP3!$D$5)*((P3540)*(Q3540)-(R3540)*(R3540))-(S3540)*((S3540)*(Q3540)-(R3540)*(T3540))+(T3540)*((S3540)*(R3540)-(P3540)*(T3540)))</f>
        <v/>
      </c>
      <c r="X3540">
        <f>IF(ABS(W3540)&gt;1E-12,((LTP3!$D$6)*((P3540)*(Q3540)-(R3540)*(R3540))-(S3540)*((U3540)*(Q3540)-(R3540)*(V3540))+(T3540)*((U3540)*(R3540)-(P3540)*(V3540)))/W3540,0)</f>
        <v/>
      </c>
      <c r="Y3540">
        <f>IF(ABS(W3540)&gt;1E-12,((LTP3!$D$5)*((U3540)*(Q3540)-(R3540)*(V3540))-(LTP3!$D$6)*((S3540)*(Q3540)-(R3540)*(T3540))+(T3540)*((S3540)*(V3540)-(U3540)*(T3540)))/W3540,0)</f>
        <v/>
      </c>
      <c r="Z3540">
        <f>IF(ABS(W3540)&gt;1E-12,((LTP3!$D$5)*((P3540)*(V3540)-(U3540)*(R3540))-(S3540)*((S3540)*(V3540)-(U3540)*(T3540))+(LTP3!$D$6)*((S3540)*(R3540)-(P3540)*(T3540)))/W3540,0)</f>
        <v/>
      </c>
      <c r="AA3540">
        <f>LTP3!$D$7-X3540*LTP3!$D$6-Y3540*U3540-Z3540*V3540</f>
        <v/>
      </c>
      <c r="AB3540">
        <f>IF(AND(F3540,ABS(W3540)&gt;1E-12,Y3540&gt;0,Z3540&gt;0),AA3540,1E+300)</f>
        <v/>
      </c>
    </row>
    <row r="3541">
      <c r="A3541">
        <f>$B$3+$B$5*57</f>
        <v/>
      </c>
      <c r="B3541">
        <f>$B$3+$B$5*52</f>
        <v/>
      </c>
      <c r="C3541">
        <f>SUMPRODUCT(Calc!$K$3:$K$22*(Calc!$G$3:$G$22&lt;=A3541))</f>
        <v/>
      </c>
      <c r="D3541">
        <f>SUMPRODUCT(Calc!$K$3:$K$22*(Calc!$G$3:$G$22&gt;A3541)*(Calc!$G$3:$G$22&lt;B3541))</f>
        <v/>
      </c>
      <c r="E3541">
        <f>SUMPRODUCT(Calc!$K$3:$K$22*(Calc!$G$3:$G$22&gt;=B3541))</f>
        <v/>
      </c>
      <c r="F3541">
        <f>AND(k_n&gt;=5,B3541&gt;A3541+1E-9,C3541&gt;=2,D3541&gt;=1,E3541&gt;=2)</f>
        <v/>
      </c>
      <c r="G3541">
        <f>SUMPRODUCT(Calc!$K$3:$K$22*(Calc!$G$3:$G$22&gt;A3541)*(Calc!$G$3:$G$22-A3541))</f>
        <v/>
      </c>
      <c r="H3541">
        <f>SUMPRODUCT(Calc!$K$3:$K$22*(Calc!$G$3:$G$22&gt;B3541)*(Calc!$G$3:$G$22-B3541))</f>
        <v/>
      </c>
      <c r="I3541">
        <f>SUMPRODUCT(Calc!$K$3:$K$22*(Calc!$G$3:$G$22&gt;A3541)*(Calc!$G$3:$G$22-A3541)^2)</f>
        <v/>
      </c>
      <c r="J3541">
        <f>SUMPRODUCT(Calc!$K$3:$K$22*(Calc!$G$3:$G$22&gt;B3541)*(Calc!$G$3:$G$22-B3541)^2)</f>
        <v/>
      </c>
      <c r="K3541">
        <f>SUMPRODUCT(Calc!$K$3:$K$22*(Calc!$G$3:$G$22&gt;A3541)*(Calc!$G$3:$G$22-A3541)*(Calc!$G$3:$G$22&gt;B3541)*(Calc!$G$3:$G$22-B3541))</f>
        <v/>
      </c>
      <c r="L3541">
        <f>SUMPRODUCT(Calc!$K$3:$K$22*(Calc!$G$3:$G$22&gt;A3541)*(Calc!$G$3:$G$22-A3541)*Calc!$G$3:$G$22)</f>
        <v/>
      </c>
      <c r="M3541">
        <f>SUMPRODUCT(Calc!$K$3:$K$22*(Calc!$G$3:$G$22&gt;B3541)*(Calc!$G$3:$G$22-B3541)*Calc!$G$3:$G$22)</f>
        <v/>
      </c>
      <c r="N3541">
        <f>SUMPRODUCT(Calc!$K$3:$K$22*(Calc!$G$3:$G$22&gt;A3541)*(Calc!$G$3:$G$22-A3541)*Calc!$I$3:$I$22)</f>
        <v/>
      </c>
      <c r="O3541">
        <f>SUMPRODUCT(Calc!$K$3:$K$22*(Calc!$G$3:$G$22&gt;B3541)*(Calc!$G$3:$G$22-B3541)*Calc!$I$3:$I$22)</f>
        <v/>
      </c>
      <c r="P3541">
        <f>I3541-G3541^2/k_n</f>
        <v/>
      </c>
      <c r="Q3541">
        <f>J3541-H3541^2/k_n</f>
        <v/>
      </c>
      <c r="R3541">
        <f>K3541-G3541*H3541/k_n</f>
        <v/>
      </c>
      <c r="S3541">
        <f>L3541-LTP3!$D$3*G3541/k_n</f>
        <v/>
      </c>
      <c r="T3541">
        <f>M3541-LTP3!$D$3*H3541/k_n</f>
        <v/>
      </c>
      <c r="U3541">
        <f>N3541-G3541*LTP3!$D$4/k_n</f>
        <v/>
      </c>
      <c r="V3541">
        <f>O3541-H3541*LTP3!$D$4/k_n</f>
        <v/>
      </c>
      <c r="W3541">
        <f>((LTP3!$D$5)*((P3541)*(Q3541)-(R3541)*(R3541))-(S3541)*((S3541)*(Q3541)-(R3541)*(T3541))+(T3541)*((S3541)*(R3541)-(P3541)*(T3541)))</f>
        <v/>
      </c>
      <c r="X3541">
        <f>IF(ABS(W3541)&gt;1E-12,((LTP3!$D$6)*((P3541)*(Q3541)-(R3541)*(R3541))-(S3541)*((U3541)*(Q3541)-(R3541)*(V3541))+(T3541)*((U3541)*(R3541)-(P3541)*(V3541)))/W3541,0)</f>
        <v/>
      </c>
      <c r="Y3541">
        <f>IF(ABS(W3541)&gt;1E-12,((LTP3!$D$5)*((U3541)*(Q3541)-(R3541)*(V3541))-(LTP3!$D$6)*((S3541)*(Q3541)-(R3541)*(T3541))+(T3541)*((S3541)*(V3541)-(U3541)*(T3541)))/W3541,0)</f>
        <v/>
      </c>
      <c r="Z3541">
        <f>IF(ABS(W3541)&gt;1E-12,((LTP3!$D$5)*((P3541)*(V3541)-(U3541)*(R3541))-(S3541)*((S3541)*(V3541)-(U3541)*(T3541))+(LTP3!$D$6)*((S3541)*(R3541)-(P3541)*(T3541)))/W3541,0)</f>
        <v/>
      </c>
      <c r="AA3541">
        <f>LTP3!$D$7-X3541*LTP3!$D$6-Y3541*U3541-Z3541*V3541</f>
        <v/>
      </c>
      <c r="AB3541">
        <f>IF(AND(F3541,ABS(W3541)&gt;1E-12,Y3541&gt;0,Z3541&gt;0),AA3541,1E+300)</f>
        <v/>
      </c>
    </row>
    <row r="3542">
      <c r="A3542">
        <f>$B$3+$B$5*57</f>
        <v/>
      </c>
      <c r="B3542">
        <f>$B$3+$B$5*53</f>
        <v/>
      </c>
      <c r="C3542">
        <f>SUMPRODUCT(Calc!$K$3:$K$22*(Calc!$G$3:$G$22&lt;=A3542))</f>
        <v/>
      </c>
      <c r="D3542">
        <f>SUMPRODUCT(Calc!$K$3:$K$22*(Calc!$G$3:$G$22&gt;A3542)*(Calc!$G$3:$G$22&lt;B3542))</f>
        <v/>
      </c>
      <c r="E3542">
        <f>SUMPRODUCT(Calc!$K$3:$K$22*(Calc!$G$3:$G$22&gt;=B3542))</f>
        <v/>
      </c>
      <c r="F3542">
        <f>AND(k_n&gt;=5,B3542&gt;A3542+1E-9,C3542&gt;=2,D3542&gt;=1,E3542&gt;=2)</f>
        <v/>
      </c>
      <c r="G3542">
        <f>SUMPRODUCT(Calc!$K$3:$K$22*(Calc!$G$3:$G$22&gt;A3542)*(Calc!$G$3:$G$22-A3542))</f>
        <v/>
      </c>
      <c r="H3542">
        <f>SUMPRODUCT(Calc!$K$3:$K$22*(Calc!$G$3:$G$22&gt;B3542)*(Calc!$G$3:$G$22-B3542))</f>
        <v/>
      </c>
      <c r="I3542">
        <f>SUMPRODUCT(Calc!$K$3:$K$22*(Calc!$G$3:$G$22&gt;A3542)*(Calc!$G$3:$G$22-A3542)^2)</f>
        <v/>
      </c>
      <c r="J3542">
        <f>SUMPRODUCT(Calc!$K$3:$K$22*(Calc!$G$3:$G$22&gt;B3542)*(Calc!$G$3:$G$22-B3542)^2)</f>
        <v/>
      </c>
      <c r="K3542">
        <f>SUMPRODUCT(Calc!$K$3:$K$22*(Calc!$G$3:$G$22&gt;A3542)*(Calc!$G$3:$G$22-A3542)*(Calc!$G$3:$G$22&gt;B3542)*(Calc!$G$3:$G$22-B3542))</f>
        <v/>
      </c>
      <c r="L3542">
        <f>SUMPRODUCT(Calc!$K$3:$K$22*(Calc!$G$3:$G$22&gt;A3542)*(Calc!$G$3:$G$22-A3542)*Calc!$G$3:$G$22)</f>
        <v/>
      </c>
      <c r="M3542">
        <f>SUMPRODUCT(Calc!$K$3:$K$22*(Calc!$G$3:$G$22&gt;B3542)*(Calc!$G$3:$G$22-B3542)*Calc!$G$3:$G$22)</f>
        <v/>
      </c>
      <c r="N3542">
        <f>SUMPRODUCT(Calc!$K$3:$K$22*(Calc!$G$3:$G$22&gt;A3542)*(Calc!$G$3:$G$22-A3542)*Calc!$I$3:$I$22)</f>
        <v/>
      </c>
      <c r="O3542">
        <f>SUMPRODUCT(Calc!$K$3:$K$22*(Calc!$G$3:$G$22&gt;B3542)*(Calc!$G$3:$G$22-B3542)*Calc!$I$3:$I$22)</f>
        <v/>
      </c>
      <c r="P3542">
        <f>I3542-G3542^2/k_n</f>
        <v/>
      </c>
      <c r="Q3542">
        <f>J3542-H3542^2/k_n</f>
        <v/>
      </c>
      <c r="R3542">
        <f>K3542-G3542*H3542/k_n</f>
        <v/>
      </c>
      <c r="S3542">
        <f>L3542-LTP3!$D$3*G3542/k_n</f>
        <v/>
      </c>
      <c r="T3542">
        <f>M3542-LTP3!$D$3*H3542/k_n</f>
        <v/>
      </c>
      <c r="U3542">
        <f>N3542-G3542*LTP3!$D$4/k_n</f>
        <v/>
      </c>
      <c r="V3542">
        <f>O3542-H3542*LTP3!$D$4/k_n</f>
        <v/>
      </c>
      <c r="W3542">
        <f>((LTP3!$D$5)*((P3542)*(Q3542)-(R3542)*(R3542))-(S3542)*((S3542)*(Q3542)-(R3542)*(T3542))+(T3542)*((S3542)*(R3542)-(P3542)*(T3542)))</f>
        <v/>
      </c>
      <c r="X3542">
        <f>IF(ABS(W3542)&gt;1E-12,((LTP3!$D$6)*((P3542)*(Q3542)-(R3542)*(R3542))-(S3542)*((U3542)*(Q3542)-(R3542)*(V3542))+(T3542)*((U3542)*(R3542)-(P3542)*(V3542)))/W3542,0)</f>
        <v/>
      </c>
      <c r="Y3542">
        <f>IF(ABS(W3542)&gt;1E-12,((LTP3!$D$5)*((U3542)*(Q3542)-(R3542)*(V3542))-(LTP3!$D$6)*((S3542)*(Q3542)-(R3542)*(T3542))+(T3542)*((S3542)*(V3542)-(U3542)*(T3542)))/W3542,0)</f>
        <v/>
      </c>
      <c r="Z3542">
        <f>IF(ABS(W3542)&gt;1E-12,((LTP3!$D$5)*((P3542)*(V3542)-(U3542)*(R3542))-(S3542)*((S3542)*(V3542)-(U3542)*(T3542))+(LTP3!$D$6)*((S3542)*(R3542)-(P3542)*(T3542)))/W3542,0)</f>
        <v/>
      </c>
      <c r="AA3542">
        <f>LTP3!$D$7-X3542*LTP3!$D$6-Y3542*U3542-Z3542*V3542</f>
        <v/>
      </c>
      <c r="AB3542">
        <f>IF(AND(F3542,ABS(W3542)&gt;1E-12,Y3542&gt;0,Z3542&gt;0),AA3542,1E+300)</f>
        <v/>
      </c>
    </row>
    <row r="3543">
      <c r="A3543">
        <f>$B$3+$B$5*57</f>
        <v/>
      </c>
      <c r="B3543">
        <f>$B$3+$B$5*54</f>
        <v/>
      </c>
      <c r="C3543">
        <f>SUMPRODUCT(Calc!$K$3:$K$22*(Calc!$G$3:$G$22&lt;=A3543))</f>
        <v/>
      </c>
      <c r="D3543">
        <f>SUMPRODUCT(Calc!$K$3:$K$22*(Calc!$G$3:$G$22&gt;A3543)*(Calc!$G$3:$G$22&lt;B3543))</f>
        <v/>
      </c>
      <c r="E3543">
        <f>SUMPRODUCT(Calc!$K$3:$K$22*(Calc!$G$3:$G$22&gt;=B3543))</f>
        <v/>
      </c>
      <c r="F3543">
        <f>AND(k_n&gt;=5,B3543&gt;A3543+1E-9,C3543&gt;=2,D3543&gt;=1,E3543&gt;=2)</f>
        <v/>
      </c>
      <c r="G3543">
        <f>SUMPRODUCT(Calc!$K$3:$K$22*(Calc!$G$3:$G$22&gt;A3543)*(Calc!$G$3:$G$22-A3543))</f>
        <v/>
      </c>
      <c r="H3543">
        <f>SUMPRODUCT(Calc!$K$3:$K$22*(Calc!$G$3:$G$22&gt;B3543)*(Calc!$G$3:$G$22-B3543))</f>
        <v/>
      </c>
      <c r="I3543">
        <f>SUMPRODUCT(Calc!$K$3:$K$22*(Calc!$G$3:$G$22&gt;A3543)*(Calc!$G$3:$G$22-A3543)^2)</f>
        <v/>
      </c>
      <c r="J3543">
        <f>SUMPRODUCT(Calc!$K$3:$K$22*(Calc!$G$3:$G$22&gt;B3543)*(Calc!$G$3:$G$22-B3543)^2)</f>
        <v/>
      </c>
      <c r="K3543">
        <f>SUMPRODUCT(Calc!$K$3:$K$22*(Calc!$G$3:$G$22&gt;A3543)*(Calc!$G$3:$G$22-A3543)*(Calc!$G$3:$G$22&gt;B3543)*(Calc!$G$3:$G$22-B3543))</f>
        <v/>
      </c>
      <c r="L3543">
        <f>SUMPRODUCT(Calc!$K$3:$K$22*(Calc!$G$3:$G$22&gt;A3543)*(Calc!$G$3:$G$22-A3543)*Calc!$G$3:$G$22)</f>
        <v/>
      </c>
      <c r="M3543">
        <f>SUMPRODUCT(Calc!$K$3:$K$22*(Calc!$G$3:$G$22&gt;B3543)*(Calc!$G$3:$G$22-B3543)*Calc!$G$3:$G$22)</f>
        <v/>
      </c>
      <c r="N3543">
        <f>SUMPRODUCT(Calc!$K$3:$K$22*(Calc!$G$3:$G$22&gt;A3543)*(Calc!$G$3:$G$22-A3543)*Calc!$I$3:$I$22)</f>
        <v/>
      </c>
      <c r="O3543">
        <f>SUMPRODUCT(Calc!$K$3:$K$22*(Calc!$G$3:$G$22&gt;B3543)*(Calc!$G$3:$G$22-B3543)*Calc!$I$3:$I$22)</f>
        <v/>
      </c>
      <c r="P3543">
        <f>I3543-G3543^2/k_n</f>
        <v/>
      </c>
      <c r="Q3543">
        <f>J3543-H3543^2/k_n</f>
        <v/>
      </c>
      <c r="R3543">
        <f>K3543-G3543*H3543/k_n</f>
        <v/>
      </c>
      <c r="S3543">
        <f>L3543-LTP3!$D$3*G3543/k_n</f>
        <v/>
      </c>
      <c r="T3543">
        <f>M3543-LTP3!$D$3*H3543/k_n</f>
        <v/>
      </c>
      <c r="U3543">
        <f>N3543-G3543*LTP3!$D$4/k_n</f>
        <v/>
      </c>
      <c r="V3543">
        <f>O3543-H3543*LTP3!$D$4/k_n</f>
        <v/>
      </c>
      <c r="W3543">
        <f>((LTP3!$D$5)*((P3543)*(Q3543)-(R3543)*(R3543))-(S3543)*((S3543)*(Q3543)-(R3543)*(T3543))+(T3543)*((S3543)*(R3543)-(P3543)*(T3543)))</f>
        <v/>
      </c>
      <c r="X3543">
        <f>IF(ABS(W3543)&gt;1E-12,((LTP3!$D$6)*((P3543)*(Q3543)-(R3543)*(R3543))-(S3543)*((U3543)*(Q3543)-(R3543)*(V3543))+(T3543)*((U3543)*(R3543)-(P3543)*(V3543)))/W3543,0)</f>
        <v/>
      </c>
      <c r="Y3543">
        <f>IF(ABS(W3543)&gt;1E-12,((LTP3!$D$5)*((U3543)*(Q3543)-(R3543)*(V3543))-(LTP3!$D$6)*((S3543)*(Q3543)-(R3543)*(T3543))+(T3543)*((S3543)*(V3543)-(U3543)*(T3543)))/W3543,0)</f>
        <v/>
      </c>
      <c r="Z3543">
        <f>IF(ABS(W3543)&gt;1E-12,((LTP3!$D$5)*((P3543)*(V3543)-(U3543)*(R3543))-(S3543)*((S3543)*(V3543)-(U3543)*(T3543))+(LTP3!$D$6)*((S3543)*(R3543)-(P3543)*(T3543)))/W3543,0)</f>
        <v/>
      </c>
      <c r="AA3543">
        <f>LTP3!$D$7-X3543*LTP3!$D$6-Y3543*U3543-Z3543*V3543</f>
        <v/>
      </c>
      <c r="AB3543">
        <f>IF(AND(F3543,ABS(W3543)&gt;1E-12,Y3543&gt;0,Z3543&gt;0),AA3543,1E+300)</f>
        <v/>
      </c>
    </row>
    <row r="3544">
      <c r="A3544">
        <f>$B$3+$B$5*57</f>
        <v/>
      </c>
      <c r="B3544">
        <f>$B$3+$B$5*55</f>
        <v/>
      </c>
      <c r="C3544">
        <f>SUMPRODUCT(Calc!$K$3:$K$22*(Calc!$G$3:$G$22&lt;=A3544))</f>
        <v/>
      </c>
      <c r="D3544">
        <f>SUMPRODUCT(Calc!$K$3:$K$22*(Calc!$G$3:$G$22&gt;A3544)*(Calc!$G$3:$G$22&lt;B3544))</f>
        <v/>
      </c>
      <c r="E3544">
        <f>SUMPRODUCT(Calc!$K$3:$K$22*(Calc!$G$3:$G$22&gt;=B3544))</f>
        <v/>
      </c>
      <c r="F3544">
        <f>AND(k_n&gt;=5,B3544&gt;A3544+1E-9,C3544&gt;=2,D3544&gt;=1,E3544&gt;=2)</f>
        <v/>
      </c>
      <c r="G3544">
        <f>SUMPRODUCT(Calc!$K$3:$K$22*(Calc!$G$3:$G$22&gt;A3544)*(Calc!$G$3:$G$22-A3544))</f>
        <v/>
      </c>
      <c r="H3544">
        <f>SUMPRODUCT(Calc!$K$3:$K$22*(Calc!$G$3:$G$22&gt;B3544)*(Calc!$G$3:$G$22-B3544))</f>
        <v/>
      </c>
      <c r="I3544">
        <f>SUMPRODUCT(Calc!$K$3:$K$22*(Calc!$G$3:$G$22&gt;A3544)*(Calc!$G$3:$G$22-A3544)^2)</f>
        <v/>
      </c>
      <c r="J3544">
        <f>SUMPRODUCT(Calc!$K$3:$K$22*(Calc!$G$3:$G$22&gt;B3544)*(Calc!$G$3:$G$22-B3544)^2)</f>
        <v/>
      </c>
      <c r="K3544">
        <f>SUMPRODUCT(Calc!$K$3:$K$22*(Calc!$G$3:$G$22&gt;A3544)*(Calc!$G$3:$G$22-A3544)*(Calc!$G$3:$G$22&gt;B3544)*(Calc!$G$3:$G$22-B3544))</f>
        <v/>
      </c>
      <c r="L3544">
        <f>SUMPRODUCT(Calc!$K$3:$K$22*(Calc!$G$3:$G$22&gt;A3544)*(Calc!$G$3:$G$22-A3544)*Calc!$G$3:$G$22)</f>
        <v/>
      </c>
      <c r="M3544">
        <f>SUMPRODUCT(Calc!$K$3:$K$22*(Calc!$G$3:$G$22&gt;B3544)*(Calc!$G$3:$G$22-B3544)*Calc!$G$3:$G$22)</f>
        <v/>
      </c>
      <c r="N3544">
        <f>SUMPRODUCT(Calc!$K$3:$K$22*(Calc!$G$3:$G$22&gt;A3544)*(Calc!$G$3:$G$22-A3544)*Calc!$I$3:$I$22)</f>
        <v/>
      </c>
      <c r="O3544">
        <f>SUMPRODUCT(Calc!$K$3:$K$22*(Calc!$G$3:$G$22&gt;B3544)*(Calc!$G$3:$G$22-B3544)*Calc!$I$3:$I$22)</f>
        <v/>
      </c>
      <c r="P3544">
        <f>I3544-G3544^2/k_n</f>
        <v/>
      </c>
      <c r="Q3544">
        <f>J3544-H3544^2/k_n</f>
        <v/>
      </c>
      <c r="R3544">
        <f>K3544-G3544*H3544/k_n</f>
        <v/>
      </c>
      <c r="S3544">
        <f>L3544-LTP3!$D$3*G3544/k_n</f>
        <v/>
      </c>
      <c r="T3544">
        <f>M3544-LTP3!$D$3*H3544/k_n</f>
        <v/>
      </c>
      <c r="U3544">
        <f>N3544-G3544*LTP3!$D$4/k_n</f>
        <v/>
      </c>
      <c r="V3544">
        <f>O3544-H3544*LTP3!$D$4/k_n</f>
        <v/>
      </c>
      <c r="W3544">
        <f>((LTP3!$D$5)*((P3544)*(Q3544)-(R3544)*(R3544))-(S3544)*((S3544)*(Q3544)-(R3544)*(T3544))+(T3544)*((S3544)*(R3544)-(P3544)*(T3544)))</f>
        <v/>
      </c>
      <c r="X3544">
        <f>IF(ABS(W3544)&gt;1E-12,((LTP3!$D$6)*((P3544)*(Q3544)-(R3544)*(R3544))-(S3544)*((U3544)*(Q3544)-(R3544)*(V3544))+(T3544)*((U3544)*(R3544)-(P3544)*(V3544)))/W3544,0)</f>
        <v/>
      </c>
      <c r="Y3544">
        <f>IF(ABS(W3544)&gt;1E-12,((LTP3!$D$5)*((U3544)*(Q3544)-(R3544)*(V3544))-(LTP3!$D$6)*((S3544)*(Q3544)-(R3544)*(T3544))+(T3544)*((S3544)*(V3544)-(U3544)*(T3544)))/W3544,0)</f>
        <v/>
      </c>
      <c r="Z3544">
        <f>IF(ABS(W3544)&gt;1E-12,((LTP3!$D$5)*((P3544)*(V3544)-(U3544)*(R3544))-(S3544)*((S3544)*(V3544)-(U3544)*(T3544))+(LTP3!$D$6)*((S3544)*(R3544)-(P3544)*(T3544)))/W3544,0)</f>
        <v/>
      </c>
      <c r="AA3544">
        <f>LTP3!$D$7-X3544*LTP3!$D$6-Y3544*U3544-Z3544*V3544</f>
        <v/>
      </c>
      <c r="AB3544">
        <f>IF(AND(F3544,ABS(W3544)&gt;1E-12,Y3544&gt;0,Z3544&gt;0),AA3544,1E+300)</f>
        <v/>
      </c>
    </row>
    <row r="3545">
      <c r="A3545">
        <f>$B$3+$B$5*57</f>
        <v/>
      </c>
      <c r="B3545">
        <f>$B$3+$B$5*56</f>
        <v/>
      </c>
      <c r="C3545">
        <f>SUMPRODUCT(Calc!$K$3:$K$22*(Calc!$G$3:$G$22&lt;=A3545))</f>
        <v/>
      </c>
      <c r="D3545">
        <f>SUMPRODUCT(Calc!$K$3:$K$22*(Calc!$G$3:$G$22&gt;A3545)*(Calc!$G$3:$G$22&lt;B3545))</f>
        <v/>
      </c>
      <c r="E3545">
        <f>SUMPRODUCT(Calc!$K$3:$K$22*(Calc!$G$3:$G$22&gt;=B3545))</f>
        <v/>
      </c>
      <c r="F3545">
        <f>AND(k_n&gt;=5,B3545&gt;A3545+1E-9,C3545&gt;=2,D3545&gt;=1,E3545&gt;=2)</f>
        <v/>
      </c>
      <c r="G3545">
        <f>SUMPRODUCT(Calc!$K$3:$K$22*(Calc!$G$3:$G$22&gt;A3545)*(Calc!$G$3:$G$22-A3545))</f>
        <v/>
      </c>
      <c r="H3545">
        <f>SUMPRODUCT(Calc!$K$3:$K$22*(Calc!$G$3:$G$22&gt;B3545)*(Calc!$G$3:$G$22-B3545))</f>
        <v/>
      </c>
      <c r="I3545">
        <f>SUMPRODUCT(Calc!$K$3:$K$22*(Calc!$G$3:$G$22&gt;A3545)*(Calc!$G$3:$G$22-A3545)^2)</f>
        <v/>
      </c>
      <c r="J3545">
        <f>SUMPRODUCT(Calc!$K$3:$K$22*(Calc!$G$3:$G$22&gt;B3545)*(Calc!$G$3:$G$22-B3545)^2)</f>
        <v/>
      </c>
      <c r="K3545">
        <f>SUMPRODUCT(Calc!$K$3:$K$22*(Calc!$G$3:$G$22&gt;A3545)*(Calc!$G$3:$G$22-A3545)*(Calc!$G$3:$G$22&gt;B3545)*(Calc!$G$3:$G$22-B3545))</f>
        <v/>
      </c>
      <c r="L3545">
        <f>SUMPRODUCT(Calc!$K$3:$K$22*(Calc!$G$3:$G$22&gt;A3545)*(Calc!$G$3:$G$22-A3545)*Calc!$G$3:$G$22)</f>
        <v/>
      </c>
      <c r="M3545">
        <f>SUMPRODUCT(Calc!$K$3:$K$22*(Calc!$G$3:$G$22&gt;B3545)*(Calc!$G$3:$G$22-B3545)*Calc!$G$3:$G$22)</f>
        <v/>
      </c>
      <c r="N3545">
        <f>SUMPRODUCT(Calc!$K$3:$K$22*(Calc!$G$3:$G$22&gt;A3545)*(Calc!$G$3:$G$22-A3545)*Calc!$I$3:$I$22)</f>
        <v/>
      </c>
      <c r="O3545">
        <f>SUMPRODUCT(Calc!$K$3:$K$22*(Calc!$G$3:$G$22&gt;B3545)*(Calc!$G$3:$G$22-B3545)*Calc!$I$3:$I$22)</f>
        <v/>
      </c>
      <c r="P3545">
        <f>I3545-G3545^2/k_n</f>
        <v/>
      </c>
      <c r="Q3545">
        <f>J3545-H3545^2/k_n</f>
        <v/>
      </c>
      <c r="R3545">
        <f>K3545-G3545*H3545/k_n</f>
        <v/>
      </c>
      <c r="S3545">
        <f>L3545-LTP3!$D$3*G3545/k_n</f>
        <v/>
      </c>
      <c r="T3545">
        <f>M3545-LTP3!$D$3*H3545/k_n</f>
        <v/>
      </c>
      <c r="U3545">
        <f>N3545-G3545*LTP3!$D$4/k_n</f>
        <v/>
      </c>
      <c r="V3545">
        <f>O3545-H3545*LTP3!$D$4/k_n</f>
        <v/>
      </c>
      <c r="W3545">
        <f>((LTP3!$D$5)*((P3545)*(Q3545)-(R3545)*(R3545))-(S3545)*((S3545)*(Q3545)-(R3545)*(T3545))+(T3545)*((S3545)*(R3545)-(P3545)*(T3545)))</f>
        <v/>
      </c>
      <c r="X3545">
        <f>IF(ABS(W3545)&gt;1E-12,((LTP3!$D$6)*((P3545)*(Q3545)-(R3545)*(R3545))-(S3545)*((U3545)*(Q3545)-(R3545)*(V3545))+(T3545)*((U3545)*(R3545)-(P3545)*(V3545)))/W3545,0)</f>
        <v/>
      </c>
      <c r="Y3545">
        <f>IF(ABS(W3545)&gt;1E-12,((LTP3!$D$5)*((U3545)*(Q3545)-(R3545)*(V3545))-(LTP3!$D$6)*((S3545)*(Q3545)-(R3545)*(T3545))+(T3545)*((S3545)*(V3545)-(U3545)*(T3545)))/W3545,0)</f>
        <v/>
      </c>
      <c r="Z3545">
        <f>IF(ABS(W3545)&gt;1E-12,((LTP3!$D$5)*((P3545)*(V3545)-(U3545)*(R3545))-(S3545)*((S3545)*(V3545)-(U3545)*(T3545))+(LTP3!$D$6)*((S3545)*(R3545)-(P3545)*(T3545)))/W3545,0)</f>
        <v/>
      </c>
      <c r="AA3545">
        <f>LTP3!$D$7-X3545*LTP3!$D$6-Y3545*U3545-Z3545*V3545</f>
        <v/>
      </c>
      <c r="AB3545">
        <f>IF(AND(F3545,ABS(W3545)&gt;1E-12,Y3545&gt;0,Z3545&gt;0),AA3545,1E+300)</f>
        <v/>
      </c>
    </row>
    <row r="3546">
      <c r="A3546">
        <f>$B$3+$B$5*57</f>
        <v/>
      </c>
      <c r="B3546">
        <f>$B$3+$B$5*57</f>
        <v/>
      </c>
      <c r="C3546">
        <f>SUMPRODUCT(Calc!$K$3:$K$22*(Calc!$G$3:$G$22&lt;=A3546))</f>
        <v/>
      </c>
      <c r="D3546">
        <f>SUMPRODUCT(Calc!$K$3:$K$22*(Calc!$G$3:$G$22&gt;A3546)*(Calc!$G$3:$G$22&lt;B3546))</f>
        <v/>
      </c>
      <c r="E3546">
        <f>SUMPRODUCT(Calc!$K$3:$K$22*(Calc!$G$3:$G$22&gt;=B3546))</f>
        <v/>
      </c>
      <c r="F3546">
        <f>AND(k_n&gt;=5,B3546&gt;A3546+1E-9,C3546&gt;=2,D3546&gt;=1,E3546&gt;=2)</f>
        <v/>
      </c>
      <c r="G3546">
        <f>SUMPRODUCT(Calc!$K$3:$K$22*(Calc!$G$3:$G$22&gt;A3546)*(Calc!$G$3:$G$22-A3546))</f>
        <v/>
      </c>
      <c r="H3546">
        <f>SUMPRODUCT(Calc!$K$3:$K$22*(Calc!$G$3:$G$22&gt;B3546)*(Calc!$G$3:$G$22-B3546))</f>
        <v/>
      </c>
      <c r="I3546">
        <f>SUMPRODUCT(Calc!$K$3:$K$22*(Calc!$G$3:$G$22&gt;A3546)*(Calc!$G$3:$G$22-A3546)^2)</f>
        <v/>
      </c>
      <c r="J3546">
        <f>SUMPRODUCT(Calc!$K$3:$K$22*(Calc!$G$3:$G$22&gt;B3546)*(Calc!$G$3:$G$22-B3546)^2)</f>
        <v/>
      </c>
      <c r="K3546">
        <f>SUMPRODUCT(Calc!$K$3:$K$22*(Calc!$G$3:$G$22&gt;A3546)*(Calc!$G$3:$G$22-A3546)*(Calc!$G$3:$G$22&gt;B3546)*(Calc!$G$3:$G$22-B3546))</f>
        <v/>
      </c>
      <c r="L3546">
        <f>SUMPRODUCT(Calc!$K$3:$K$22*(Calc!$G$3:$G$22&gt;A3546)*(Calc!$G$3:$G$22-A3546)*Calc!$G$3:$G$22)</f>
        <v/>
      </c>
      <c r="M3546">
        <f>SUMPRODUCT(Calc!$K$3:$K$22*(Calc!$G$3:$G$22&gt;B3546)*(Calc!$G$3:$G$22-B3546)*Calc!$G$3:$G$22)</f>
        <v/>
      </c>
      <c r="N3546">
        <f>SUMPRODUCT(Calc!$K$3:$K$22*(Calc!$G$3:$G$22&gt;A3546)*(Calc!$G$3:$G$22-A3546)*Calc!$I$3:$I$22)</f>
        <v/>
      </c>
      <c r="O3546">
        <f>SUMPRODUCT(Calc!$K$3:$K$22*(Calc!$G$3:$G$22&gt;B3546)*(Calc!$G$3:$G$22-B3546)*Calc!$I$3:$I$22)</f>
        <v/>
      </c>
      <c r="P3546">
        <f>I3546-G3546^2/k_n</f>
        <v/>
      </c>
      <c r="Q3546">
        <f>J3546-H3546^2/k_n</f>
        <v/>
      </c>
      <c r="R3546">
        <f>K3546-G3546*H3546/k_n</f>
        <v/>
      </c>
      <c r="S3546">
        <f>L3546-LTP3!$D$3*G3546/k_n</f>
        <v/>
      </c>
      <c r="T3546">
        <f>M3546-LTP3!$D$3*H3546/k_n</f>
        <v/>
      </c>
      <c r="U3546">
        <f>N3546-G3546*LTP3!$D$4/k_n</f>
        <v/>
      </c>
      <c r="V3546">
        <f>O3546-H3546*LTP3!$D$4/k_n</f>
        <v/>
      </c>
      <c r="W3546">
        <f>((LTP3!$D$5)*((P3546)*(Q3546)-(R3546)*(R3546))-(S3546)*((S3546)*(Q3546)-(R3546)*(T3546))+(T3546)*((S3546)*(R3546)-(P3546)*(T3546)))</f>
        <v/>
      </c>
      <c r="X3546">
        <f>IF(ABS(W3546)&gt;1E-12,((LTP3!$D$6)*((P3546)*(Q3546)-(R3546)*(R3546))-(S3546)*((U3546)*(Q3546)-(R3546)*(V3546))+(T3546)*((U3546)*(R3546)-(P3546)*(V3546)))/W3546,0)</f>
        <v/>
      </c>
      <c r="Y3546">
        <f>IF(ABS(W3546)&gt;1E-12,((LTP3!$D$5)*((U3546)*(Q3546)-(R3546)*(V3546))-(LTP3!$D$6)*((S3546)*(Q3546)-(R3546)*(T3546))+(T3546)*((S3546)*(V3546)-(U3546)*(T3546)))/W3546,0)</f>
        <v/>
      </c>
      <c r="Z3546">
        <f>IF(ABS(W3546)&gt;1E-12,((LTP3!$D$5)*((P3546)*(V3546)-(U3546)*(R3546))-(S3546)*((S3546)*(V3546)-(U3546)*(T3546))+(LTP3!$D$6)*((S3546)*(R3546)-(P3546)*(T3546)))/W3546,0)</f>
        <v/>
      </c>
      <c r="AA3546">
        <f>LTP3!$D$7-X3546*LTP3!$D$6-Y3546*U3546-Z3546*V3546</f>
        <v/>
      </c>
      <c r="AB3546">
        <f>IF(AND(F3546,ABS(W3546)&gt;1E-12,Y3546&gt;0,Z3546&gt;0),AA3546,1E+300)</f>
        <v/>
      </c>
    </row>
    <row r="3547">
      <c r="A3547">
        <f>$B$3+$B$5*57</f>
        <v/>
      </c>
      <c r="B3547">
        <f>$B$3+$B$5*58</f>
        <v/>
      </c>
      <c r="C3547">
        <f>SUMPRODUCT(Calc!$K$3:$K$22*(Calc!$G$3:$G$22&lt;=A3547))</f>
        <v/>
      </c>
      <c r="D3547">
        <f>SUMPRODUCT(Calc!$K$3:$K$22*(Calc!$G$3:$G$22&gt;A3547)*(Calc!$G$3:$G$22&lt;B3547))</f>
        <v/>
      </c>
      <c r="E3547">
        <f>SUMPRODUCT(Calc!$K$3:$K$22*(Calc!$G$3:$G$22&gt;=B3547))</f>
        <v/>
      </c>
      <c r="F3547">
        <f>AND(k_n&gt;=5,B3547&gt;A3547+1E-9,C3547&gt;=2,D3547&gt;=1,E3547&gt;=2)</f>
        <v/>
      </c>
      <c r="G3547">
        <f>SUMPRODUCT(Calc!$K$3:$K$22*(Calc!$G$3:$G$22&gt;A3547)*(Calc!$G$3:$G$22-A3547))</f>
        <v/>
      </c>
      <c r="H3547">
        <f>SUMPRODUCT(Calc!$K$3:$K$22*(Calc!$G$3:$G$22&gt;B3547)*(Calc!$G$3:$G$22-B3547))</f>
        <v/>
      </c>
      <c r="I3547">
        <f>SUMPRODUCT(Calc!$K$3:$K$22*(Calc!$G$3:$G$22&gt;A3547)*(Calc!$G$3:$G$22-A3547)^2)</f>
        <v/>
      </c>
      <c r="J3547">
        <f>SUMPRODUCT(Calc!$K$3:$K$22*(Calc!$G$3:$G$22&gt;B3547)*(Calc!$G$3:$G$22-B3547)^2)</f>
        <v/>
      </c>
      <c r="K3547">
        <f>SUMPRODUCT(Calc!$K$3:$K$22*(Calc!$G$3:$G$22&gt;A3547)*(Calc!$G$3:$G$22-A3547)*(Calc!$G$3:$G$22&gt;B3547)*(Calc!$G$3:$G$22-B3547))</f>
        <v/>
      </c>
      <c r="L3547">
        <f>SUMPRODUCT(Calc!$K$3:$K$22*(Calc!$G$3:$G$22&gt;A3547)*(Calc!$G$3:$G$22-A3547)*Calc!$G$3:$G$22)</f>
        <v/>
      </c>
      <c r="M3547">
        <f>SUMPRODUCT(Calc!$K$3:$K$22*(Calc!$G$3:$G$22&gt;B3547)*(Calc!$G$3:$G$22-B3547)*Calc!$G$3:$G$22)</f>
        <v/>
      </c>
      <c r="N3547">
        <f>SUMPRODUCT(Calc!$K$3:$K$22*(Calc!$G$3:$G$22&gt;A3547)*(Calc!$G$3:$G$22-A3547)*Calc!$I$3:$I$22)</f>
        <v/>
      </c>
      <c r="O3547">
        <f>SUMPRODUCT(Calc!$K$3:$K$22*(Calc!$G$3:$G$22&gt;B3547)*(Calc!$G$3:$G$22-B3547)*Calc!$I$3:$I$22)</f>
        <v/>
      </c>
      <c r="P3547">
        <f>I3547-G3547^2/k_n</f>
        <v/>
      </c>
      <c r="Q3547">
        <f>J3547-H3547^2/k_n</f>
        <v/>
      </c>
      <c r="R3547">
        <f>K3547-G3547*H3547/k_n</f>
        <v/>
      </c>
      <c r="S3547">
        <f>L3547-LTP3!$D$3*G3547/k_n</f>
        <v/>
      </c>
      <c r="T3547">
        <f>M3547-LTP3!$D$3*H3547/k_n</f>
        <v/>
      </c>
      <c r="U3547">
        <f>N3547-G3547*LTP3!$D$4/k_n</f>
        <v/>
      </c>
      <c r="V3547">
        <f>O3547-H3547*LTP3!$D$4/k_n</f>
        <v/>
      </c>
      <c r="W3547">
        <f>((LTP3!$D$5)*((P3547)*(Q3547)-(R3547)*(R3547))-(S3547)*((S3547)*(Q3547)-(R3547)*(T3547))+(T3547)*((S3547)*(R3547)-(P3547)*(T3547)))</f>
        <v/>
      </c>
      <c r="X3547">
        <f>IF(ABS(W3547)&gt;1E-12,((LTP3!$D$6)*((P3547)*(Q3547)-(R3547)*(R3547))-(S3547)*((U3547)*(Q3547)-(R3547)*(V3547))+(T3547)*((U3547)*(R3547)-(P3547)*(V3547)))/W3547,0)</f>
        <v/>
      </c>
      <c r="Y3547">
        <f>IF(ABS(W3547)&gt;1E-12,((LTP3!$D$5)*((U3547)*(Q3547)-(R3547)*(V3547))-(LTP3!$D$6)*((S3547)*(Q3547)-(R3547)*(T3547))+(T3547)*((S3547)*(V3547)-(U3547)*(T3547)))/W3547,0)</f>
        <v/>
      </c>
      <c r="Z3547">
        <f>IF(ABS(W3547)&gt;1E-12,((LTP3!$D$5)*((P3547)*(V3547)-(U3547)*(R3547))-(S3547)*((S3547)*(V3547)-(U3547)*(T3547))+(LTP3!$D$6)*((S3547)*(R3547)-(P3547)*(T3547)))/W3547,0)</f>
        <v/>
      </c>
      <c r="AA3547">
        <f>LTP3!$D$7-X3547*LTP3!$D$6-Y3547*U3547-Z3547*V3547</f>
        <v/>
      </c>
      <c r="AB3547">
        <f>IF(AND(F3547,ABS(W3547)&gt;1E-12,Y3547&gt;0,Z3547&gt;0),AA3547,1E+300)</f>
        <v/>
      </c>
    </row>
    <row r="3548">
      <c r="A3548">
        <f>$B$3+$B$5*57</f>
        <v/>
      </c>
      <c r="B3548">
        <f>$B$3+$B$5*59</f>
        <v/>
      </c>
      <c r="C3548">
        <f>SUMPRODUCT(Calc!$K$3:$K$22*(Calc!$G$3:$G$22&lt;=A3548))</f>
        <v/>
      </c>
      <c r="D3548">
        <f>SUMPRODUCT(Calc!$K$3:$K$22*(Calc!$G$3:$G$22&gt;A3548)*(Calc!$G$3:$G$22&lt;B3548))</f>
        <v/>
      </c>
      <c r="E3548">
        <f>SUMPRODUCT(Calc!$K$3:$K$22*(Calc!$G$3:$G$22&gt;=B3548))</f>
        <v/>
      </c>
      <c r="F3548">
        <f>AND(k_n&gt;=5,B3548&gt;A3548+1E-9,C3548&gt;=2,D3548&gt;=1,E3548&gt;=2)</f>
        <v/>
      </c>
      <c r="G3548">
        <f>SUMPRODUCT(Calc!$K$3:$K$22*(Calc!$G$3:$G$22&gt;A3548)*(Calc!$G$3:$G$22-A3548))</f>
        <v/>
      </c>
      <c r="H3548">
        <f>SUMPRODUCT(Calc!$K$3:$K$22*(Calc!$G$3:$G$22&gt;B3548)*(Calc!$G$3:$G$22-B3548))</f>
        <v/>
      </c>
      <c r="I3548">
        <f>SUMPRODUCT(Calc!$K$3:$K$22*(Calc!$G$3:$G$22&gt;A3548)*(Calc!$G$3:$G$22-A3548)^2)</f>
        <v/>
      </c>
      <c r="J3548">
        <f>SUMPRODUCT(Calc!$K$3:$K$22*(Calc!$G$3:$G$22&gt;B3548)*(Calc!$G$3:$G$22-B3548)^2)</f>
        <v/>
      </c>
      <c r="K3548">
        <f>SUMPRODUCT(Calc!$K$3:$K$22*(Calc!$G$3:$G$22&gt;A3548)*(Calc!$G$3:$G$22-A3548)*(Calc!$G$3:$G$22&gt;B3548)*(Calc!$G$3:$G$22-B3548))</f>
        <v/>
      </c>
      <c r="L3548">
        <f>SUMPRODUCT(Calc!$K$3:$K$22*(Calc!$G$3:$G$22&gt;A3548)*(Calc!$G$3:$G$22-A3548)*Calc!$G$3:$G$22)</f>
        <v/>
      </c>
      <c r="M3548">
        <f>SUMPRODUCT(Calc!$K$3:$K$22*(Calc!$G$3:$G$22&gt;B3548)*(Calc!$G$3:$G$22-B3548)*Calc!$G$3:$G$22)</f>
        <v/>
      </c>
      <c r="N3548">
        <f>SUMPRODUCT(Calc!$K$3:$K$22*(Calc!$G$3:$G$22&gt;A3548)*(Calc!$G$3:$G$22-A3548)*Calc!$I$3:$I$22)</f>
        <v/>
      </c>
      <c r="O3548">
        <f>SUMPRODUCT(Calc!$K$3:$K$22*(Calc!$G$3:$G$22&gt;B3548)*(Calc!$G$3:$G$22-B3548)*Calc!$I$3:$I$22)</f>
        <v/>
      </c>
      <c r="P3548">
        <f>I3548-G3548^2/k_n</f>
        <v/>
      </c>
      <c r="Q3548">
        <f>J3548-H3548^2/k_n</f>
        <v/>
      </c>
      <c r="R3548">
        <f>K3548-G3548*H3548/k_n</f>
        <v/>
      </c>
      <c r="S3548">
        <f>L3548-LTP3!$D$3*G3548/k_n</f>
        <v/>
      </c>
      <c r="T3548">
        <f>M3548-LTP3!$D$3*H3548/k_n</f>
        <v/>
      </c>
      <c r="U3548">
        <f>N3548-G3548*LTP3!$D$4/k_n</f>
        <v/>
      </c>
      <c r="V3548">
        <f>O3548-H3548*LTP3!$D$4/k_n</f>
        <v/>
      </c>
      <c r="W3548">
        <f>((LTP3!$D$5)*((P3548)*(Q3548)-(R3548)*(R3548))-(S3548)*((S3548)*(Q3548)-(R3548)*(T3548))+(T3548)*((S3548)*(R3548)-(P3548)*(T3548)))</f>
        <v/>
      </c>
      <c r="X3548">
        <f>IF(ABS(W3548)&gt;1E-12,((LTP3!$D$6)*((P3548)*(Q3548)-(R3548)*(R3548))-(S3548)*((U3548)*(Q3548)-(R3548)*(V3548))+(T3548)*((U3548)*(R3548)-(P3548)*(V3548)))/W3548,0)</f>
        <v/>
      </c>
      <c r="Y3548">
        <f>IF(ABS(W3548)&gt;1E-12,((LTP3!$D$5)*((U3548)*(Q3548)-(R3548)*(V3548))-(LTP3!$D$6)*((S3548)*(Q3548)-(R3548)*(T3548))+(T3548)*((S3548)*(V3548)-(U3548)*(T3548)))/W3548,0)</f>
        <v/>
      </c>
      <c r="Z3548">
        <f>IF(ABS(W3548)&gt;1E-12,((LTP3!$D$5)*((P3548)*(V3548)-(U3548)*(R3548))-(S3548)*((S3548)*(V3548)-(U3548)*(T3548))+(LTP3!$D$6)*((S3548)*(R3548)-(P3548)*(T3548)))/W3548,0)</f>
        <v/>
      </c>
      <c r="AA3548">
        <f>LTP3!$D$7-X3548*LTP3!$D$6-Y3548*U3548-Z3548*V3548</f>
        <v/>
      </c>
      <c r="AB3548">
        <f>IF(AND(F3548,ABS(W3548)&gt;1E-12,Y3548&gt;0,Z3548&gt;0),AA3548,1E+300)</f>
        <v/>
      </c>
    </row>
    <row r="3549">
      <c r="A3549">
        <f>$B$3+$B$5*57</f>
        <v/>
      </c>
      <c r="B3549">
        <f>$B$3+$B$5*60</f>
        <v/>
      </c>
      <c r="C3549">
        <f>SUMPRODUCT(Calc!$K$3:$K$22*(Calc!$G$3:$G$22&lt;=A3549))</f>
        <v/>
      </c>
      <c r="D3549">
        <f>SUMPRODUCT(Calc!$K$3:$K$22*(Calc!$G$3:$G$22&gt;A3549)*(Calc!$G$3:$G$22&lt;B3549))</f>
        <v/>
      </c>
      <c r="E3549">
        <f>SUMPRODUCT(Calc!$K$3:$K$22*(Calc!$G$3:$G$22&gt;=B3549))</f>
        <v/>
      </c>
      <c r="F3549">
        <f>AND(k_n&gt;=5,B3549&gt;A3549+1E-9,C3549&gt;=2,D3549&gt;=1,E3549&gt;=2)</f>
        <v/>
      </c>
      <c r="G3549">
        <f>SUMPRODUCT(Calc!$K$3:$K$22*(Calc!$G$3:$G$22&gt;A3549)*(Calc!$G$3:$G$22-A3549))</f>
        <v/>
      </c>
      <c r="H3549">
        <f>SUMPRODUCT(Calc!$K$3:$K$22*(Calc!$G$3:$G$22&gt;B3549)*(Calc!$G$3:$G$22-B3549))</f>
        <v/>
      </c>
      <c r="I3549">
        <f>SUMPRODUCT(Calc!$K$3:$K$22*(Calc!$G$3:$G$22&gt;A3549)*(Calc!$G$3:$G$22-A3549)^2)</f>
        <v/>
      </c>
      <c r="J3549">
        <f>SUMPRODUCT(Calc!$K$3:$K$22*(Calc!$G$3:$G$22&gt;B3549)*(Calc!$G$3:$G$22-B3549)^2)</f>
        <v/>
      </c>
      <c r="K3549">
        <f>SUMPRODUCT(Calc!$K$3:$K$22*(Calc!$G$3:$G$22&gt;A3549)*(Calc!$G$3:$G$22-A3549)*(Calc!$G$3:$G$22&gt;B3549)*(Calc!$G$3:$G$22-B3549))</f>
        <v/>
      </c>
      <c r="L3549">
        <f>SUMPRODUCT(Calc!$K$3:$K$22*(Calc!$G$3:$G$22&gt;A3549)*(Calc!$G$3:$G$22-A3549)*Calc!$G$3:$G$22)</f>
        <v/>
      </c>
      <c r="M3549">
        <f>SUMPRODUCT(Calc!$K$3:$K$22*(Calc!$G$3:$G$22&gt;B3549)*(Calc!$G$3:$G$22-B3549)*Calc!$G$3:$G$22)</f>
        <v/>
      </c>
      <c r="N3549">
        <f>SUMPRODUCT(Calc!$K$3:$K$22*(Calc!$G$3:$G$22&gt;A3549)*(Calc!$G$3:$G$22-A3549)*Calc!$I$3:$I$22)</f>
        <v/>
      </c>
      <c r="O3549">
        <f>SUMPRODUCT(Calc!$K$3:$K$22*(Calc!$G$3:$G$22&gt;B3549)*(Calc!$G$3:$G$22-B3549)*Calc!$I$3:$I$22)</f>
        <v/>
      </c>
      <c r="P3549">
        <f>I3549-G3549^2/k_n</f>
        <v/>
      </c>
      <c r="Q3549">
        <f>J3549-H3549^2/k_n</f>
        <v/>
      </c>
      <c r="R3549">
        <f>K3549-G3549*H3549/k_n</f>
        <v/>
      </c>
      <c r="S3549">
        <f>L3549-LTP3!$D$3*G3549/k_n</f>
        <v/>
      </c>
      <c r="T3549">
        <f>M3549-LTP3!$D$3*H3549/k_n</f>
        <v/>
      </c>
      <c r="U3549">
        <f>N3549-G3549*LTP3!$D$4/k_n</f>
        <v/>
      </c>
      <c r="V3549">
        <f>O3549-H3549*LTP3!$D$4/k_n</f>
        <v/>
      </c>
      <c r="W3549">
        <f>((LTP3!$D$5)*((P3549)*(Q3549)-(R3549)*(R3549))-(S3549)*((S3549)*(Q3549)-(R3549)*(T3549))+(T3549)*((S3549)*(R3549)-(P3549)*(T3549)))</f>
        <v/>
      </c>
      <c r="X3549">
        <f>IF(ABS(W3549)&gt;1E-12,((LTP3!$D$6)*((P3549)*(Q3549)-(R3549)*(R3549))-(S3549)*((U3549)*(Q3549)-(R3549)*(V3549))+(T3549)*((U3549)*(R3549)-(P3549)*(V3549)))/W3549,0)</f>
        <v/>
      </c>
      <c r="Y3549">
        <f>IF(ABS(W3549)&gt;1E-12,((LTP3!$D$5)*((U3549)*(Q3549)-(R3549)*(V3549))-(LTP3!$D$6)*((S3549)*(Q3549)-(R3549)*(T3549))+(T3549)*((S3549)*(V3549)-(U3549)*(T3549)))/W3549,0)</f>
        <v/>
      </c>
      <c r="Z3549">
        <f>IF(ABS(W3549)&gt;1E-12,((LTP3!$D$5)*((P3549)*(V3549)-(U3549)*(R3549))-(S3549)*((S3549)*(V3549)-(U3549)*(T3549))+(LTP3!$D$6)*((S3549)*(R3549)-(P3549)*(T3549)))/W3549,0)</f>
        <v/>
      </c>
      <c r="AA3549">
        <f>LTP3!$D$7-X3549*LTP3!$D$6-Y3549*U3549-Z3549*V3549</f>
        <v/>
      </c>
      <c r="AB3549">
        <f>IF(AND(F3549,ABS(W3549)&gt;1E-12,Y3549&gt;0,Z3549&gt;0),AA3549,1E+300)</f>
        <v/>
      </c>
    </row>
    <row r="3550">
      <c r="A3550">
        <f>$B$3+$B$5*58</f>
        <v/>
      </c>
      <c r="B3550">
        <f>$B$3+$B$5*0</f>
        <v/>
      </c>
      <c r="C3550">
        <f>SUMPRODUCT(Calc!$K$3:$K$22*(Calc!$G$3:$G$22&lt;=A3550))</f>
        <v/>
      </c>
      <c r="D3550">
        <f>SUMPRODUCT(Calc!$K$3:$K$22*(Calc!$G$3:$G$22&gt;A3550)*(Calc!$G$3:$G$22&lt;B3550))</f>
        <v/>
      </c>
      <c r="E3550">
        <f>SUMPRODUCT(Calc!$K$3:$K$22*(Calc!$G$3:$G$22&gt;=B3550))</f>
        <v/>
      </c>
      <c r="F3550">
        <f>AND(k_n&gt;=5,B3550&gt;A3550+1E-9,C3550&gt;=2,D3550&gt;=1,E3550&gt;=2)</f>
        <v/>
      </c>
      <c r="G3550">
        <f>SUMPRODUCT(Calc!$K$3:$K$22*(Calc!$G$3:$G$22&gt;A3550)*(Calc!$G$3:$G$22-A3550))</f>
        <v/>
      </c>
      <c r="H3550">
        <f>SUMPRODUCT(Calc!$K$3:$K$22*(Calc!$G$3:$G$22&gt;B3550)*(Calc!$G$3:$G$22-B3550))</f>
        <v/>
      </c>
      <c r="I3550">
        <f>SUMPRODUCT(Calc!$K$3:$K$22*(Calc!$G$3:$G$22&gt;A3550)*(Calc!$G$3:$G$22-A3550)^2)</f>
        <v/>
      </c>
      <c r="J3550">
        <f>SUMPRODUCT(Calc!$K$3:$K$22*(Calc!$G$3:$G$22&gt;B3550)*(Calc!$G$3:$G$22-B3550)^2)</f>
        <v/>
      </c>
      <c r="K3550">
        <f>SUMPRODUCT(Calc!$K$3:$K$22*(Calc!$G$3:$G$22&gt;A3550)*(Calc!$G$3:$G$22-A3550)*(Calc!$G$3:$G$22&gt;B3550)*(Calc!$G$3:$G$22-B3550))</f>
        <v/>
      </c>
      <c r="L3550">
        <f>SUMPRODUCT(Calc!$K$3:$K$22*(Calc!$G$3:$G$22&gt;A3550)*(Calc!$G$3:$G$22-A3550)*Calc!$G$3:$G$22)</f>
        <v/>
      </c>
      <c r="M3550">
        <f>SUMPRODUCT(Calc!$K$3:$K$22*(Calc!$G$3:$G$22&gt;B3550)*(Calc!$G$3:$G$22-B3550)*Calc!$G$3:$G$22)</f>
        <v/>
      </c>
      <c r="N3550">
        <f>SUMPRODUCT(Calc!$K$3:$K$22*(Calc!$G$3:$G$22&gt;A3550)*(Calc!$G$3:$G$22-A3550)*Calc!$I$3:$I$22)</f>
        <v/>
      </c>
      <c r="O3550">
        <f>SUMPRODUCT(Calc!$K$3:$K$22*(Calc!$G$3:$G$22&gt;B3550)*(Calc!$G$3:$G$22-B3550)*Calc!$I$3:$I$22)</f>
        <v/>
      </c>
      <c r="P3550">
        <f>I3550-G3550^2/k_n</f>
        <v/>
      </c>
      <c r="Q3550">
        <f>J3550-H3550^2/k_n</f>
        <v/>
      </c>
      <c r="R3550">
        <f>K3550-G3550*H3550/k_n</f>
        <v/>
      </c>
      <c r="S3550">
        <f>L3550-LTP3!$D$3*G3550/k_n</f>
        <v/>
      </c>
      <c r="T3550">
        <f>M3550-LTP3!$D$3*H3550/k_n</f>
        <v/>
      </c>
      <c r="U3550">
        <f>N3550-G3550*LTP3!$D$4/k_n</f>
        <v/>
      </c>
      <c r="V3550">
        <f>O3550-H3550*LTP3!$D$4/k_n</f>
        <v/>
      </c>
      <c r="W3550">
        <f>((LTP3!$D$5)*((P3550)*(Q3550)-(R3550)*(R3550))-(S3550)*((S3550)*(Q3550)-(R3550)*(T3550))+(T3550)*((S3550)*(R3550)-(P3550)*(T3550)))</f>
        <v/>
      </c>
      <c r="X3550">
        <f>IF(ABS(W3550)&gt;1E-12,((LTP3!$D$6)*((P3550)*(Q3550)-(R3550)*(R3550))-(S3550)*((U3550)*(Q3550)-(R3550)*(V3550))+(T3550)*((U3550)*(R3550)-(P3550)*(V3550)))/W3550,0)</f>
        <v/>
      </c>
      <c r="Y3550">
        <f>IF(ABS(W3550)&gt;1E-12,((LTP3!$D$5)*((U3550)*(Q3550)-(R3550)*(V3550))-(LTP3!$D$6)*((S3550)*(Q3550)-(R3550)*(T3550))+(T3550)*((S3550)*(V3550)-(U3550)*(T3550)))/W3550,0)</f>
        <v/>
      </c>
      <c r="Z3550">
        <f>IF(ABS(W3550)&gt;1E-12,((LTP3!$D$5)*((P3550)*(V3550)-(U3550)*(R3550))-(S3550)*((S3550)*(V3550)-(U3550)*(T3550))+(LTP3!$D$6)*((S3550)*(R3550)-(P3550)*(T3550)))/W3550,0)</f>
        <v/>
      </c>
      <c r="AA3550">
        <f>LTP3!$D$7-X3550*LTP3!$D$6-Y3550*U3550-Z3550*V3550</f>
        <v/>
      </c>
      <c r="AB3550">
        <f>IF(AND(F3550,ABS(W3550)&gt;1E-12,Y3550&gt;0,Z3550&gt;0),AA3550,1E+300)</f>
        <v/>
      </c>
    </row>
    <row r="3551">
      <c r="A3551">
        <f>$B$3+$B$5*58</f>
        <v/>
      </c>
      <c r="B3551">
        <f>$B$3+$B$5*1</f>
        <v/>
      </c>
      <c r="C3551">
        <f>SUMPRODUCT(Calc!$K$3:$K$22*(Calc!$G$3:$G$22&lt;=A3551))</f>
        <v/>
      </c>
      <c r="D3551">
        <f>SUMPRODUCT(Calc!$K$3:$K$22*(Calc!$G$3:$G$22&gt;A3551)*(Calc!$G$3:$G$22&lt;B3551))</f>
        <v/>
      </c>
      <c r="E3551">
        <f>SUMPRODUCT(Calc!$K$3:$K$22*(Calc!$G$3:$G$22&gt;=B3551))</f>
        <v/>
      </c>
      <c r="F3551">
        <f>AND(k_n&gt;=5,B3551&gt;A3551+1E-9,C3551&gt;=2,D3551&gt;=1,E3551&gt;=2)</f>
        <v/>
      </c>
      <c r="G3551">
        <f>SUMPRODUCT(Calc!$K$3:$K$22*(Calc!$G$3:$G$22&gt;A3551)*(Calc!$G$3:$G$22-A3551))</f>
        <v/>
      </c>
      <c r="H3551">
        <f>SUMPRODUCT(Calc!$K$3:$K$22*(Calc!$G$3:$G$22&gt;B3551)*(Calc!$G$3:$G$22-B3551))</f>
        <v/>
      </c>
      <c r="I3551">
        <f>SUMPRODUCT(Calc!$K$3:$K$22*(Calc!$G$3:$G$22&gt;A3551)*(Calc!$G$3:$G$22-A3551)^2)</f>
        <v/>
      </c>
      <c r="J3551">
        <f>SUMPRODUCT(Calc!$K$3:$K$22*(Calc!$G$3:$G$22&gt;B3551)*(Calc!$G$3:$G$22-B3551)^2)</f>
        <v/>
      </c>
      <c r="K3551">
        <f>SUMPRODUCT(Calc!$K$3:$K$22*(Calc!$G$3:$G$22&gt;A3551)*(Calc!$G$3:$G$22-A3551)*(Calc!$G$3:$G$22&gt;B3551)*(Calc!$G$3:$G$22-B3551))</f>
        <v/>
      </c>
      <c r="L3551">
        <f>SUMPRODUCT(Calc!$K$3:$K$22*(Calc!$G$3:$G$22&gt;A3551)*(Calc!$G$3:$G$22-A3551)*Calc!$G$3:$G$22)</f>
        <v/>
      </c>
      <c r="M3551">
        <f>SUMPRODUCT(Calc!$K$3:$K$22*(Calc!$G$3:$G$22&gt;B3551)*(Calc!$G$3:$G$22-B3551)*Calc!$G$3:$G$22)</f>
        <v/>
      </c>
      <c r="N3551">
        <f>SUMPRODUCT(Calc!$K$3:$K$22*(Calc!$G$3:$G$22&gt;A3551)*(Calc!$G$3:$G$22-A3551)*Calc!$I$3:$I$22)</f>
        <v/>
      </c>
      <c r="O3551">
        <f>SUMPRODUCT(Calc!$K$3:$K$22*(Calc!$G$3:$G$22&gt;B3551)*(Calc!$G$3:$G$22-B3551)*Calc!$I$3:$I$22)</f>
        <v/>
      </c>
      <c r="P3551">
        <f>I3551-G3551^2/k_n</f>
        <v/>
      </c>
      <c r="Q3551">
        <f>J3551-H3551^2/k_n</f>
        <v/>
      </c>
      <c r="R3551">
        <f>K3551-G3551*H3551/k_n</f>
        <v/>
      </c>
      <c r="S3551">
        <f>L3551-LTP3!$D$3*G3551/k_n</f>
        <v/>
      </c>
      <c r="T3551">
        <f>M3551-LTP3!$D$3*H3551/k_n</f>
        <v/>
      </c>
      <c r="U3551">
        <f>N3551-G3551*LTP3!$D$4/k_n</f>
        <v/>
      </c>
      <c r="V3551">
        <f>O3551-H3551*LTP3!$D$4/k_n</f>
        <v/>
      </c>
      <c r="W3551">
        <f>((LTP3!$D$5)*((P3551)*(Q3551)-(R3551)*(R3551))-(S3551)*((S3551)*(Q3551)-(R3551)*(T3551))+(T3551)*((S3551)*(R3551)-(P3551)*(T3551)))</f>
        <v/>
      </c>
      <c r="X3551">
        <f>IF(ABS(W3551)&gt;1E-12,((LTP3!$D$6)*((P3551)*(Q3551)-(R3551)*(R3551))-(S3551)*((U3551)*(Q3551)-(R3551)*(V3551))+(T3551)*((U3551)*(R3551)-(P3551)*(V3551)))/W3551,0)</f>
        <v/>
      </c>
      <c r="Y3551">
        <f>IF(ABS(W3551)&gt;1E-12,((LTP3!$D$5)*((U3551)*(Q3551)-(R3551)*(V3551))-(LTP3!$D$6)*((S3551)*(Q3551)-(R3551)*(T3551))+(T3551)*((S3551)*(V3551)-(U3551)*(T3551)))/W3551,0)</f>
        <v/>
      </c>
      <c r="Z3551">
        <f>IF(ABS(W3551)&gt;1E-12,((LTP3!$D$5)*((P3551)*(V3551)-(U3551)*(R3551))-(S3551)*((S3551)*(V3551)-(U3551)*(T3551))+(LTP3!$D$6)*((S3551)*(R3551)-(P3551)*(T3551)))/W3551,0)</f>
        <v/>
      </c>
      <c r="AA3551">
        <f>LTP3!$D$7-X3551*LTP3!$D$6-Y3551*U3551-Z3551*V3551</f>
        <v/>
      </c>
      <c r="AB3551">
        <f>IF(AND(F3551,ABS(W3551)&gt;1E-12,Y3551&gt;0,Z3551&gt;0),AA3551,1E+300)</f>
        <v/>
      </c>
    </row>
    <row r="3552">
      <c r="A3552">
        <f>$B$3+$B$5*58</f>
        <v/>
      </c>
      <c r="B3552">
        <f>$B$3+$B$5*2</f>
        <v/>
      </c>
      <c r="C3552">
        <f>SUMPRODUCT(Calc!$K$3:$K$22*(Calc!$G$3:$G$22&lt;=A3552))</f>
        <v/>
      </c>
      <c r="D3552">
        <f>SUMPRODUCT(Calc!$K$3:$K$22*(Calc!$G$3:$G$22&gt;A3552)*(Calc!$G$3:$G$22&lt;B3552))</f>
        <v/>
      </c>
      <c r="E3552">
        <f>SUMPRODUCT(Calc!$K$3:$K$22*(Calc!$G$3:$G$22&gt;=B3552))</f>
        <v/>
      </c>
      <c r="F3552">
        <f>AND(k_n&gt;=5,B3552&gt;A3552+1E-9,C3552&gt;=2,D3552&gt;=1,E3552&gt;=2)</f>
        <v/>
      </c>
      <c r="G3552">
        <f>SUMPRODUCT(Calc!$K$3:$K$22*(Calc!$G$3:$G$22&gt;A3552)*(Calc!$G$3:$G$22-A3552))</f>
        <v/>
      </c>
      <c r="H3552">
        <f>SUMPRODUCT(Calc!$K$3:$K$22*(Calc!$G$3:$G$22&gt;B3552)*(Calc!$G$3:$G$22-B3552))</f>
        <v/>
      </c>
      <c r="I3552">
        <f>SUMPRODUCT(Calc!$K$3:$K$22*(Calc!$G$3:$G$22&gt;A3552)*(Calc!$G$3:$G$22-A3552)^2)</f>
        <v/>
      </c>
      <c r="J3552">
        <f>SUMPRODUCT(Calc!$K$3:$K$22*(Calc!$G$3:$G$22&gt;B3552)*(Calc!$G$3:$G$22-B3552)^2)</f>
        <v/>
      </c>
      <c r="K3552">
        <f>SUMPRODUCT(Calc!$K$3:$K$22*(Calc!$G$3:$G$22&gt;A3552)*(Calc!$G$3:$G$22-A3552)*(Calc!$G$3:$G$22&gt;B3552)*(Calc!$G$3:$G$22-B3552))</f>
        <v/>
      </c>
      <c r="L3552">
        <f>SUMPRODUCT(Calc!$K$3:$K$22*(Calc!$G$3:$G$22&gt;A3552)*(Calc!$G$3:$G$22-A3552)*Calc!$G$3:$G$22)</f>
        <v/>
      </c>
      <c r="M3552">
        <f>SUMPRODUCT(Calc!$K$3:$K$22*(Calc!$G$3:$G$22&gt;B3552)*(Calc!$G$3:$G$22-B3552)*Calc!$G$3:$G$22)</f>
        <v/>
      </c>
      <c r="N3552">
        <f>SUMPRODUCT(Calc!$K$3:$K$22*(Calc!$G$3:$G$22&gt;A3552)*(Calc!$G$3:$G$22-A3552)*Calc!$I$3:$I$22)</f>
        <v/>
      </c>
      <c r="O3552">
        <f>SUMPRODUCT(Calc!$K$3:$K$22*(Calc!$G$3:$G$22&gt;B3552)*(Calc!$G$3:$G$22-B3552)*Calc!$I$3:$I$22)</f>
        <v/>
      </c>
      <c r="P3552">
        <f>I3552-G3552^2/k_n</f>
        <v/>
      </c>
      <c r="Q3552">
        <f>J3552-H3552^2/k_n</f>
        <v/>
      </c>
      <c r="R3552">
        <f>K3552-G3552*H3552/k_n</f>
        <v/>
      </c>
      <c r="S3552">
        <f>L3552-LTP3!$D$3*G3552/k_n</f>
        <v/>
      </c>
      <c r="T3552">
        <f>M3552-LTP3!$D$3*H3552/k_n</f>
        <v/>
      </c>
      <c r="U3552">
        <f>N3552-G3552*LTP3!$D$4/k_n</f>
        <v/>
      </c>
      <c r="V3552">
        <f>O3552-H3552*LTP3!$D$4/k_n</f>
        <v/>
      </c>
      <c r="W3552">
        <f>((LTP3!$D$5)*((P3552)*(Q3552)-(R3552)*(R3552))-(S3552)*((S3552)*(Q3552)-(R3552)*(T3552))+(T3552)*((S3552)*(R3552)-(P3552)*(T3552)))</f>
        <v/>
      </c>
      <c r="X3552">
        <f>IF(ABS(W3552)&gt;1E-12,((LTP3!$D$6)*((P3552)*(Q3552)-(R3552)*(R3552))-(S3552)*((U3552)*(Q3552)-(R3552)*(V3552))+(T3552)*((U3552)*(R3552)-(P3552)*(V3552)))/W3552,0)</f>
        <v/>
      </c>
      <c r="Y3552">
        <f>IF(ABS(W3552)&gt;1E-12,((LTP3!$D$5)*((U3552)*(Q3552)-(R3552)*(V3552))-(LTP3!$D$6)*((S3552)*(Q3552)-(R3552)*(T3552))+(T3552)*((S3552)*(V3552)-(U3552)*(T3552)))/W3552,0)</f>
        <v/>
      </c>
      <c r="Z3552">
        <f>IF(ABS(W3552)&gt;1E-12,((LTP3!$D$5)*((P3552)*(V3552)-(U3552)*(R3552))-(S3552)*((S3552)*(V3552)-(U3552)*(T3552))+(LTP3!$D$6)*((S3552)*(R3552)-(P3552)*(T3552)))/W3552,0)</f>
        <v/>
      </c>
      <c r="AA3552">
        <f>LTP3!$D$7-X3552*LTP3!$D$6-Y3552*U3552-Z3552*V3552</f>
        <v/>
      </c>
      <c r="AB3552">
        <f>IF(AND(F3552,ABS(W3552)&gt;1E-12,Y3552&gt;0,Z3552&gt;0),AA3552,1E+300)</f>
        <v/>
      </c>
    </row>
    <row r="3553">
      <c r="A3553">
        <f>$B$3+$B$5*58</f>
        <v/>
      </c>
      <c r="B3553">
        <f>$B$3+$B$5*3</f>
        <v/>
      </c>
      <c r="C3553">
        <f>SUMPRODUCT(Calc!$K$3:$K$22*(Calc!$G$3:$G$22&lt;=A3553))</f>
        <v/>
      </c>
      <c r="D3553">
        <f>SUMPRODUCT(Calc!$K$3:$K$22*(Calc!$G$3:$G$22&gt;A3553)*(Calc!$G$3:$G$22&lt;B3553))</f>
        <v/>
      </c>
      <c r="E3553">
        <f>SUMPRODUCT(Calc!$K$3:$K$22*(Calc!$G$3:$G$22&gt;=B3553))</f>
        <v/>
      </c>
      <c r="F3553">
        <f>AND(k_n&gt;=5,B3553&gt;A3553+1E-9,C3553&gt;=2,D3553&gt;=1,E3553&gt;=2)</f>
        <v/>
      </c>
      <c r="G3553">
        <f>SUMPRODUCT(Calc!$K$3:$K$22*(Calc!$G$3:$G$22&gt;A3553)*(Calc!$G$3:$G$22-A3553))</f>
        <v/>
      </c>
      <c r="H3553">
        <f>SUMPRODUCT(Calc!$K$3:$K$22*(Calc!$G$3:$G$22&gt;B3553)*(Calc!$G$3:$G$22-B3553))</f>
        <v/>
      </c>
      <c r="I3553">
        <f>SUMPRODUCT(Calc!$K$3:$K$22*(Calc!$G$3:$G$22&gt;A3553)*(Calc!$G$3:$G$22-A3553)^2)</f>
        <v/>
      </c>
      <c r="J3553">
        <f>SUMPRODUCT(Calc!$K$3:$K$22*(Calc!$G$3:$G$22&gt;B3553)*(Calc!$G$3:$G$22-B3553)^2)</f>
        <v/>
      </c>
      <c r="K3553">
        <f>SUMPRODUCT(Calc!$K$3:$K$22*(Calc!$G$3:$G$22&gt;A3553)*(Calc!$G$3:$G$22-A3553)*(Calc!$G$3:$G$22&gt;B3553)*(Calc!$G$3:$G$22-B3553))</f>
        <v/>
      </c>
      <c r="L3553">
        <f>SUMPRODUCT(Calc!$K$3:$K$22*(Calc!$G$3:$G$22&gt;A3553)*(Calc!$G$3:$G$22-A3553)*Calc!$G$3:$G$22)</f>
        <v/>
      </c>
      <c r="M3553">
        <f>SUMPRODUCT(Calc!$K$3:$K$22*(Calc!$G$3:$G$22&gt;B3553)*(Calc!$G$3:$G$22-B3553)*Calc!$G$3:$G$22)</f>
        <v/>
      </c>
      <c r="N3553">
        <f>SUMPRODUCT(Calc!$K$3:$K$22*(Calc!$G$3:$G$22&gt;A3553)*(Calc!$G$3:$G$22-A3553)*Calc!$I$3:$I$22)</f>
        <v/>
      </c>
      <c r="O3553">
        <f>SUMPRODUCT(Calc!$K$3:$K$22*(Calc!$G$3:$G$22&gt;B3553)*(Calc!$G$3:$G$22-B3553)*Calc!$I$3:$I$22)</f>
        <v/>
      </c>
      <c r="P3553">
        <f>I3553-G3553^2/k_n</f>
        <v/>
      </c>
      <c r="Q3553">
        <f>J3553-H3553^2/k_n</f>
        <v/>
      </c>
      <c r="R3553">
        <f>K3553-G3553*H3553/k_n</f>
        <v/>
      </c>
      <c r="S3553">
        <f>L3553-LTP3!$D$3*G3553/k_n</f>
        <v/>
      </c>
      <c r="T3553">
        <f>M3553-LTP3!$D$3*H3553/k_n</f>
        <v/>
      </c>
      <c r="U3553">
        <f>N3553-G3553*LTP3!$D$4/k_n</f>
        <v/>
      </c>
      <c r="V3553">
        <f>O3553-H3553*LTP3!$D$4/k_n</f>
        <v/>
      </c>
      <c r="W3553">
        <f>((LTP3!$D$5)*((P3553)*(Q3553)-(R3553)*(R3553))-(S3553)*((S3553)*(Q3553)-(R3553)*(T3553))+(T3553)*((S3553)*(R3553)-(P3553)*(T3553)))</f>
        <v/>
      </c>
      <c r="X3553">
        <f>IF(ABS(W3553)&gt;1E-12,((LTP3!$D$6)*((P3553)*(Q3553)-(R3553)*(R3553))-(S3553)*((U3553)*(Q3553)-(R3553)*(V3553))+(T3553)*((U3553)*(R3553)-(P3553)*(V3553)))/W3553,0)</f>
        <v/>
      </c>
      <c r="Y3553">
        <f>IF(ABS(W3553)&gt;1E-12,((LTP3!$D$5)*((U3553)*(Q3553)-(R3553)*(V3553))-(LTP3!$D$6)*((S3553)*(Q3553)-(R3553)*(T3553))+(T3553)*((S3553)*(V3553)-(U3553)*(T3553)))/W3553,0)</f>
        <v/>
      </c>
      <c r="Z3553">
        <f>IF(ABS(W3553)&gt;1E-12,((LTP3!$D$5)*((P3553)*(V3553)-(U3553)*(R3553))-(S3553)*((S3553)*(V3553)-(U3553)*(T3553))+(LTP3!$D$6)*((S3553)*(R3553)-(P3553)*(T3553)))/W3553,0)</f>
        <v/>
      </c>
      <c r="AA3553">
        <f>LTP3!$D$7-X3553*LTP3!$D$6-Y3553*U3553-Z3553*V3553</f>
        <v/>
      </c>
      <c r="AB3553">
        <f>IF(AND(F3553,ABS(W3553)&gt;1E-12,Y3553&gt;0,Z3553&gt;0),AA3553,1E+300)</f>
        <v/>
      </c>
    </row>
    <row r="3554">
      <c r="A3554">
        <f>$B$3+$B$5*58</f>
        <v/>
      </c>
      <c r="B3554">
        <f>$B$3+$B$5*4</f>
        <v/>
      </c>
      <c r="C3554">
        <f>SUMPRODUCT(Calc!$K$3:$K$22*(Calc!$G$3:$G$22&lt;=A3554))</f>
        <v/>
      </c>
      <c r="D3554">
        <f>SUMPRODUCT(Calc!$K$3:$K$22*(Calc!$G$3:$G$22&gt;A3554)*(Calc!$G$3:$G$22&lt;B3554))</f>
        <v/>
      </c>
      <c r="E3554">
        <f>SUMPRODUCT(Calc!$K$3:$K$22*(Calc!$G$3:$G$22&gt;=B3554))</f>
        <v/>
      </c>
      <c r="F3554">
        <f>AND(k_n&gt;=5,B3554&gt;A3554+1E-9,C3554&gt;=2,D3554&gt;=1,E3554&gt;=2)</f>
        <v/>
      </c>
      <c r="G3554">
        <f>SUMPRODUCT(Calc!$K$3:$K$22*(Calc!$G$3:$G$22&gt;A3554)*(Calc!$G$3:$G$22-A3554))</f>
        <v/>
      </c>
      <c r="H3554">
        <f>SUMPRODUCT(Calc!$K$3:$K$22*(Calc!$G$3:$G$22&gt;B3554)*(Calc!$G$3:$G$22-B3554))</f>
        <v/>
      </c>
      <c r="I3554">
        <f>SUMPRODUCT(Calc!$K$3:$K$22*(Calc!$G$3:$G$22&gt;A3554)*(Calc!$G$3:$G$22-A3554)^2)</f>
        <v/>
      </c>
      <c r="J3554">
        <f>SUMPRODUCT(Calc!$K$3:$K$22*(Calc!$G$3:$G$22&gt;B3554)*(Calc!$G$3:$G$22-B3554)^2)</f>
        <v/>
      </c>
      <c r="K3554">
        <f>SUMPRODUCT(Calc!$K$3:$K$22*(Calc!$G$3:$G$22&gt;A3554)*(Calc!$G$3:$G$22-A3554)*(Calc!$G$3:$G$22&gt;B3554)*(Calc!$G$3:$G$22-B3554))</f>
        <v/>
      </c>
      <c r="L3554">
        <f>SUMPRODUCT(Calc!$K$3:$K$22*(Calc!$G$3:$G$22&gt;A3554)*(Calc!$G$3:$G$22-A3554)*Calc!$G$3:$G$22)</f>
        <v/>
      </c>
      <c r="M3554">
        <f>SUMPRODUCT(Calc!$K$3:$K$22*(Calc!$G$3:$G$22&gt;B3554)*(Calc!$G$3:$G$22-B3554)*Calc!$G$3:$G$22)</f>
        <v/>
      </c>
      <c r="N3554">
        <f>SUMPRODUCT(Calc!$K$3:$K$22*(Calc!$G$3:$G$22&gt;A3554)*(Calc!$G$3:$G$22-A3554)*Calc!$I$3:$I$22)</f>
        <v/>
      </c>
      <c r="O3554">
        <f>SUMPRODUCT(Calc!$K$3:$K$22*(Calc!$G$3:$G$22&gt;B3554)*(Calc!$G$3:$G$22-B3554)*Calc!$I$3:$I$22)</f>
        <v/>
      </c>
      <c r="P3554">
        <f>I3554-G3554^2/k_n</f>
        <v/>
      </c>
      <c r="Q3554">
        <f>J3554-H3554^2/k_n</f>
        <v/>
      </c>
      <c r="R3554">
        <f>K3554-G3554*H3554/k_n</f>
        <v/>
      </c>
      <c r="S3554">
        <f>L3554-LTP3!$D$3*G3554/k_n</f>
        <v/>
      </c>
      <c r="T3554">
        <f>M3554-LTP3!$D$3*H3554/k_n</f>
        <v/>
      </c>
      <c r="U3554">
        <f>N3554-G3554*LTP3!$D$4/k_n</f>
        <v/>
      </c>
      <c r="V3554">
        <f>O3554-H3554*LTP3!$D$4/k_n</f>
        <v/>
      </c>
      <c r="W3554">
        <f>((LTP3!$D$5)*((P3554)*(Q3554)-(R3554)*(R3554))-(S3554)*((S3554)*(Q3554)-(R3554)*(T3554))+(T3554)*((S3554)*(R3554)-(P3554)*(T3554)))</f>
        <v/>
      </c>
      <c r="X3554">
        <f>IF(ABS(W3554)&gt;1E-12,((LTP3!$D$6)*((P3554)*(Q3554)-(R3554)*(R3554))-(S3554)*((U3554)*(Q3554)-(R3554)*(V3554))+(T3554)*((U3554)*(R3554)-(P3554)*(V3554)))/W3554,0)</f>
        <v/>
      </c>
      <c r="Y3554">
        <f>IF(ABS(W3554)&gt;1E-12,((LTP3!$D$5)*((U3554)*(Q3554)-(R3554)*(V3554))-(LTP3!$D$6)*((S3554)*(Q3554)-(R3554)*(T3554))+(T3554)*((S3554)*(V3554)-(U3554)*(T3554)))/W3554,0)</f>
        <v/>
      </c>
      <c r="Z3554">
        <f>IF(ABS(W3554)&gt;1E-12,((LTP3!$D$5)*((P3554)*(V3554)-(U3554)*(R3554))-(S3554)*((S3554)*(V3554)-(U3554)*(T3554))+(LTP3!$D$6)*((S3554)*(R3554)-(P3554)*(T3554)))/W3554,0)</f>
        <v/>
      </c>
      <c r="AA3554">
        <f>LTP3!$D$7-X3554*LTP3!$D$6-Y3554*U3554-Z3554*V3554</f>
        <v/>
      </c>
      <c r="AB3554">
        <f>IF(AND(F3554,ABS(W3554)&gt;1E-12,Y3554&gt;0,Z3554&gt;0),AA3554,1E+300)</f>
        <v/>
      </c>
    </row>
    <row r="3555">
      <c r="A3555">
        <f>$B$3+$B$5*58</f>
        <v/>
      </c>
      <c r="B3555">
        <f>$B$3+$B$5*5</f>
        <v/>
      </c>
      <c r="C3555">
        <f>SUMPRODUCT(Calc!$K$3:$K$22*(Calc!$G$3:$G$22&lt;=A3555))</f>
        <v/>
      </c>
      <c r="D3555">
        <f>SUMPRODUCT(Calc!$K$3:$K$22*(Calc!$G$3:$G$22&gt;A3555)*(Calc!$G$3:$G$22&lt;B3555))</f>
        <v/>
      </c>
      <c r="E3555">
        <f>SUMPRODUCT(Calc!$K$3:$K$22*(Calc!$G$3:$G$22&gt;=B3555))</f>
        <v/>
      </c>
      <c r="F3555">
        <f>AND(k_n&gt;=5,B3555&gt;A3555+1E-9,C3555&gt;=2,D3555&gt;=1,E3555&gt;=2)</f>
        <v/>
      </c>
      <c r="G3555">
        <f>SUMPRODUCT(Calc!$K$3:$K$22*(Calc!$G$3:$G$22&gt;A3555)*(Calc!$G$3:$G$22-A3555))</f>
        <v/>
      </c>
      <c r="H3555">
        <f>SUMPRODUCT(Calc!$K$3:$K$22*(Calc!$G$3:$G$22&gt;B3555)*(Calc!$G$3:$G$22-B3555))</f>
        <v/>
      </c>
      <c r="I3555">
        <f>SUMPRODUCT(Calc!$K$3:$K$22*(Calc!$G$3:$G$22&gt;A3555)*(Calc!$G$3:$G$22-A3555)^2)</f>
        <v/>
      </c>
      <c r="J3555">
        <f>SUMPRODUCT(Calc!$K$3:$K$22*(Calc!$G$3:$G$22&gt;B3555)*(Calc!$G$3:$G$22-B3555)^2)</f>
        <v/>
      </c>
      <c r="K3555">
        <f>SUMPRODUCT(Calc!$K$3:$K$22*(Calc!$G$3:$G$22&gt;A3555)*(Calc!$G$3:$G$22-A3555)*(Calc!$G$3:$G$22&gt;B3555)*(Calc!$G$3:$G$22-B3555))</f>
        <v/>
      </c>
      <c r="L3555">
        <f>SUMPRODUCT(Calc!$K$3:$K$22*(Calc!$G$3:$G$22&gt;A3555)*(Calc!$G$3:$G$22-A3555)*Calc!$G$3:$G$22)</f>
        <v/>
      </c>
      <c r="M3555">
        <f>SUMPRODUCT(Calc!$K$3:$K$22*(Calc!$G$3:$G$22&gt;B3555)*(Calc!$G$3:$G$22-B3555)*Calc!$G$3:$G$22)</f>
        <v/>
      </c>
      <c r="N3555">
        <f>SUMPRODUCT(Calc!$K$3:$K$22*(Calc!$G$3:$G$22&gt;A3555)*(Calc!$G$3:$G$22-A3555)*Calc!$I$3:$I$22)</f>
        <v/>
      </c>
      <c r="O3555">
        <f>SUMPRODUCT(Calc!$K$3:$K$22*(Calc!$G$3:$G$22&gt;B3555)*(Calc!$G$3:$G$22-B3555)*Calc!$I$3:$I$22)</f>
        <v/>
      </c>
      <c r="P3555">
        <f>I3555-G3555^2/k_n</f>
        <v/>
      </c>
      <c r="Q3555">
        <f>J3555-H3555^2/k_n</f>
        <v/>
      </c>
      <c r="R3555">
        <f>K3555-G3555*H3555/k_n</f>
        <v/>
      </c>
      <c r="S3555">
        <f>L3555-LTP3!$D$3*G3555/k_n</f>
        <v/>
      </c>
      <c r="T3555">
        <f>M3555-LTP3!$D$3*H3555/k_n</f>
        <v/>
      </c>
      <c r="U3555">
        <f>N3555-G3555*LTP3!$D$4/k_n</f>
        <v/>
      </c>
      <c r="V3555">
        <f>O3555-H3555*LTP3!$D$4/k_n</f>
        <v/>
      </c>
      <c r="W3555">
        <f>((LTP3!$D$5)*((P3555)*(Q3555)-(R3555)*(R3555))-(S3555)*((S3555)*(Q3555)-(R3555)*(T3555))+(T3555)*((S3555)*(R3555)-(P3555)*(T3555)))</f>
        <v/>
      </c>
      <c r="X3555">
        <f>IF(ABS(W3555)&gt;1E-12,((LTP3!$D$6)*((P3555)*(Q3555)-(R3555)*(R3555))-(S3555)*((U3555)*(Q3555)-(R3555)*(V3555))+(T3555)*((U3555)*(R3555)-(P3555)*(V3555)))/W3555,0)</f>
        <v/>
      </c>
      <c r="Y3555">
        <f>IF(ABS(W3555)&gt;1E-12,((LTP3!$D$5)*((U3555)*(Q3555)-(R3555)*(V3555))-(LTP3!$D$6)*((S3555)*(Q3555)-(R3555)*(T3555))+(T3555)*((S3555)*(V3555)-(U3555)*(T3555)))/W3555,0)</f>
        <v/>
      </c>
      <c r="Z3555">
        <f>IF(ABS(W3555)&gt;1E-12,((LTP3!$D$5)*((P3555)*(V3555)-(U3555)*(R3555))-(S3555)*((S3555)*(V3555)-(U3555)*(T3555))+(LTP3!$D$6)*((S3555)*(R3555)-(P3555)*(T3555)))/W3555,0)</f>
        <v/>
      </c>
      <c r="AA3555">
        <f>LTP3!$D$7-X3555*LTP3!$D$6-Y3555*U3555-Z3555*V3555</f>
        <v/>
      </c>
      <c r="AB3555">
        <f>IF(AND(F3555,ABS(W3555)&gt;1E-12,Y3555&gt;0,Z3555&gt;0),AA3555,1E+300)</f>
        <v/>
      </c>
    </row>
    <row r="3556">
      <c r="A3556">
        <f>$B$3+$B$5*58</f>
        <v/>
      </c>
      <c r="B3556">
        <f>$B$3+$B$5*6</f>
        <v/>
      </c>
      <c r="C3556">
        <f>SUMPRODUCT(Calc!$K$3:$K$22*(Calc!$G$3:$G$22&lt;=A3556))</f>
        <v/>
      </c>
      <c r="D3556">
        <f>SUMPRODUCT(Calc!$K$3:$K$22*(Calc!$G$3:$G$22&gt;A3556)*(Calc!$G$3:$G$22&lt;B3556))</f>
        <v/>
      </c>
      <c r="E3556">
        <f>SUMPRODUCT(Calc!$K$3:$K$22*(Calc!$G$3:$G$22&gt;=B3556))</f>
        <v/>
      </c>
      <c r="F3556">
        <f>AND(k_n&gt;=5,B3556&gt;A3556+1E-9,C3556&gt;=2,D3556&gt;=1,E3556&gt;=2)</f>
        <v/>
      </c>
      <c r="G3556">
        <f>SUMPRODUCT(Calc!$K$3:$K$22*(Calc!$G$3:$G$22&gt;A3556)*(Calc!$G$3:$G$22-A3556))</f>
        <v/>
      </c>
      <c r="H3556">
        <f>SUMPRODUCT(Calc!$K$3:$K$22*(Calc!$G$3:$G$22&gt;B3556)*(Calc!$G$3:$G$22-B3556))</f>
        <v/>
      </c>
      <c r="I3556">
        <f>SUMPRODUCT(Calc!$K$3:$K$22*(Calc!$G$3:$G$22&gt;A3556)*(Calc!$G$3:$G$22-A3556)^2)</f>
        <v/>
      </c>
      <c r="J3556">
        <f>SUMPRODUCT(Calc!$K$3:$K$22*(Calc!$G$3:$G$22&gt;B3556)*(Calc!$G$3:$G$22-B3556)^2)</f>
        <v/>
      </c>
      <c r="K3556">
        <f>SUMPRODUCT(Calc!$K$3:$K$22*(Calc!$G$3:$G$22&gt;A3556)*(Calc!$G$3:$G$22-A3556)*(Calc!$G$3:$G$22&gt;B3556)*(Calc!$G$3:$G$22-B3556))</f>
        <v/>
      </c>
      <c r="L3556">
        <f>SUMPRODUCT(Calc!$K$3:$K$22*(Calc!$G$3:$G$22&gt;A3556)*(Calc!$G$3:$G$22-A3556)*Calc!$G$3:$G$22)</f>
        <v/>
      </c>
      <c r="M3556">
        <f>SUMPRODUCT(Calc!$K$3:$K$22*(Calc!$G$3:$G$22&gt;B3556)*(Calc!$G$3:$G$22-B3556)*Calc!$G$3:$G$22)</f>
        <v/>
      </c>
      <c r="N3556">
        <f>SUMPRODUCT(Calc!$K$3:$K$22*(Calc!$G$3:$G$22&gt;A3556)*(Calc!$G$3:$G$22-A3556)*Calc!$I$3:$I$22)</f>
        <v/>
      </c>
      <c r="O3556">
        <f>SUMPRODUCT(Calc!$K$3:$K$22*(Calc!$G$3:$G$22&gt;B3556)*(Calc!$G$3:$G$22-B3556)*Calc!$I$3:$I$22)</f>
        <v/>
      </c>
      <c r="P3556">
        <f>I3556-G3556^2/k_n</f>
        <v/>
      </c>
      <c r="Q3556">
        <f>J3556-H3556^2/k_n</f>
        <v/>
      </c>
      <c r="R3556">
        <f>K3556-G3556*H3556/k_n</f>
        <v/>
      </c>
      <c r="S3556">
        <f>L3556-LTP3!$D$3*G3556/k_n</f>
        <v/>
      </c>
      <c r="T3556">
        <f>M3556-LTP3!$D$3*H3556/k_n</f>
        <v/>
      </c>
      <c r="U3556">
        <f>N3556-G3556*LTP3!$D$4/k_n</f>
        <v/>
      </c>
      <c r="V3556">
        <f>O3556-H3556*LTP3!$D$4/k_n</f>
        <v/>
      </c>
      <c r="W3556">
        <f>((LTP3!$D$5)*((P3556)*(Q3556)-(R3556)*(R3556))-(S3556)*((S3556)*(Q3556)-(R3556)*(T3556))+(T3556)*((S3556)*(R3556)-(P3556)*(T3556)))</f>
        <v/>
      </c>
      <c r="X3556">
        <f>IF(ABS(W3556)&gt;1E-12,((LTP3!$D$6)*((P3556)*(Q3556)-(R3556)*(R3556))-(S3556)*((U3556)*(Q3556)-(R3556)*(V3556))+(T3556)*((U3556)*(R3556)-(P3556)*(V3556)))/W3556,0)</f>
        <v/>
      </c>
      <c r="Y3556">
        <f>IF(ABS(W3556)&gt;1E-12,((LTP3!$D$5)*((U3556)*(Q3556)-(R3556)*(V3556))-(LTP3!$D$6)*((S3556)*(Q3556)-(R3556)*(T3556))+(T3556)*((S3556)*(V3556)-(U3556)*(T3556)))/W3556,0)</f>
        <v/>
      </c>
      <c r="Z3556">
        <f>IF(ABS(W3556)&gt;1E-12,((LTP3!$D$5)*((P3556)*(V3556)-(U3556)*(R3556))-(S3556)*((S3556)*(V3556)-(U3556)*(T3556))+(LTP3!$D$6)*((S3556)*(R3556)-(P3556)*(T3556)))/W3556,0)</f>
        <v/>
      </c>
      <c r="AA3556">
        <f>LTP3!$D$7-X3556*LTP3!$D$6-Y3556*U3556-Z3556*V3556</f>
        <v/>
      </c>
      <c r="AB3556">
        <f>IF(AND(F3556,ABS(W3556)&gt;1E-12,Y3556&gt;0,Z3556&gt;0),AA3556,1E+300)</f>
        <v/>
      </c>
    </row>
    <row r="3557">
      <c r="A3557">
        <f>$B$3+$B$5*58</f>
        <v/>
      </c>
      <c r="B3557">
        <f>$B$3+$B$5*7</f>
        <v/>
      </c>
      <c r="C3557">
        <f>SUMPRODUCT(Calc!$K$3:$K$22*(Calc!$G$3:$G$22&lt;=A3557))</f>
        <v/>
      </c>
      <c r="D3557">
        <f>SUMPRODUCT(Calc!$K$3:$K$22*(Calc!$G$3:$G$22&gt;A3557)*(Calc!$G$3:$G$22&lt;B3557))</f>
        <v/>
      </c>
      <c r="E3557">
        <f>SUMPRODUCT(Calc!$K$3:$K$22*(Calc!$G$3:$G$22&gt;=B3557))</f>
        <v/>
      </c>
      <c r="F3557">
        <f>AND(k_n&gt;=5,B3557&gt;A3557+1E-9,C3557&gt;=2,D3557&gt;=1,E3557&gt;=2)</f>
        <v/>
      </c>
      <c r="G3557">
        <f>SUMPRODUCT(Calc!$K$3:$K$22*(Calc!$G$3:$G$22&gt;A3557)*(Calc!$G$3:$G$22-A3557))</f>
        <v/>
      </c>
      <c r="H3557">
        <f>SUMPRODUCT(Calc!$K$3:$K$22*(Calc!$G$3:$G$22&gt;B3557)*(Calc!$G$3:$G$22-B3557))</f>
        <v/>
      </c>
      <c r="I3557">
        <f>SUMPRODUCT(Calc!$K$3:$K$22*(Calc!$G$3:$G$22&gt;A3557)*(Calc!$G$3:$G$22-A3557)^2)</f>
        <v/>
      </c>
      <c r="J3557">
        <f>SUMPRODUCT(Calc!$K$3:$K$22*(Calc!$G$3:$G$22&gt;B3557)*(Calc!$G$3:$G$22-B3557)^2)</f>
        <v/>
      </c>
      <c r="K3557">
        <f>SUMPRODUCT(Calc!$K$3:$K$22*(Calc!$G$3:$G$22&gt;A3557)*(Calc!$G$3:$G$22-A3557)*(Calc!$G$3:$G$22&gt;B3557)*(Calc!$G$3:$G$22-B3557))</f>
        <v/>
      </c>
      <c r="L3557">
        <f>SUMPRODUCT(Calc!$K$3:$K$22*(Calc!$G$3:$G$22&gt;A3557)*(Calc!$G$3:$G$22-A3557)*Calc!$G$3:$G$22)</f>
        <v/>
      </c>
      <c r="M3557">
        <f>SUMPRODUCT(Calc!$K$3:$K$22*(Calc!$G$3:$G$22&gt;B3557)*(Calc!$G$3:$G$22-B3557)*Calc!$G$3:$G$22)</f>
        <v/>
      </c>
      <c r="N3557">
        <f>SUMPRODUCT(Calc!$K$3:$K$22*(Calc!$G$3:$G$22&gt;A3557)*(Calc!$G$3:$G$22-A3557)*Calc!$I$3:$I$22)</f>
        <v/>
      </c>
      <c r="O3557">
        <f>SUMPRODUCT(Calc!$K$3:$K$22*(Calc!$G$3:$G$22&gt;B3557)*(Calc!$G$3:$G$22-B3557)*Calc!$I$3:$I$22)</f>
        <v/>
      </c>
      <c r="P3557">
        <f>I3557-G3557^2/k_n</f>
        <v/>
      </c>
      <c r="Q3557">
        <f>J3557-H3557^2/k_n</f>
        <v/>
      </c>
      <c r="R3557">
        <f>K3557-G3557*H3557/k_n</f>
        <v/>
      </c>
      <c r="S3557">
        <f>L3557-LTP3!$D$3*G3557/k_n</f>
        <v/>
      </c>
      <c r="T3557">
        <f>M3557-LTP3!$D$3*H3557/k_n</f>
        <v/>
      </c>
      <c r="U3557">
        <f>N3557-G3557*LTP3!$D$4/k_n</f>
        <v/>
      </c>
      <c r="V3557">
        <f>O3557-H3557*LTP3!$D$4/k_n</f>
        <v/>
      </c>
      <c r="W3557">
        <f>((LTP3!$D$5)*((P3557)*(Q3557)-(R3557)*(R3557))-(S3557)*((S3557)*(Q3557)-(R3557)*(T3557))+(T3557)*((S3557)*(R3557)-(P3557)*(T3557)))</f>
        <v/>
      </c>
      <c r="X3557">
        <f>IF(ABS(W3557)&gt;1E-12,((LTP3!$D$6)*((P3557)*(Q3557)-(R3557)*(R3557))-(S3557)*((U3557)*(Q3557)-(R3557)*(V3557))+(T3557)*((U3557)*(R3557)-(P3557)*(V3557)))/W3557,0)</f>
        <v/>
      </c>
      <c r="Y3557">
        <f>IF(ABS(W3557)&gt;1E-12,((LTP3!$D$5)*((U3557)*(Q3557)-(R3557)*(V3557))-(LTP3!$D$6)*((S3557)*(Q3557)-(R3557)*(T3557))+(T3557)*((S3557)*(V3557)-(U3557)*(T3557)))/W3557,0)</f>
        <v/>
      </c>
      <c r="Z3557">
        <f>IF(ABS(W3557)&gt;1E-12,((LTP3!$D$5)*((P3557)*(V3557)-(U3557)*(R3557))-(S3557)*((S3557)*(V3557)-(U3557)*(T3557))+(LTP3!$D$6)*((S3557)*(R3557)-(P3557)*(T3557)))/W3557,0)</f>
        <v/>
      </c>
      <c r="AA3557">
        <f>LTP3!$D$7-X3557*LTP3!$D$6-Y3557*U3557-Z3557*V3557</f>
        <v/>
      </c>
      <c r="AB3557">
        <f>IF(AND(F3557,ABS(W3557)&gt;1E-12,Y3557&gt;0,Z3557&gt;0),AA3557,1E+300)</f>
        <v/>
      </c>
    </row>
    <row r="3558">
      <c r="A3558">
        <f>$B$3+$B$5*58</f>
        <v/>
      </c>
      <c r="B3558">
        <f>$B$3+$B$5*8</f>
        <v/>
      </c>
      <c r="C3558">
        <f>SUMPRODUCT(Calc!$K$3:$K$22*(Calc!$G$3:$G$22&lt;=A3558))</f>
        <v/>
      </c>
      <c r="D3558">
        <f>SUMPRODUCT(Calc!$K$3:$K$22*(Calc!$G$3:$G$22&gt;A3558)*(Calc!$G$3:$G$22&lt;B3558))</f>
        <v/>
      </c>
      <c r="E3558">
        <f>SUMPRODUCT(Calc!$K$3:$K$22*(Calc!$G$3:$G$22&gt;=B3558))</f>
        <v/>
      </c>
      <c r="F3558">
        <f>AND(k_n&gt;=5,B3558&gt;A3558+1E-9,C3558&gt;=2,D3558&gt;=1,E3558&gt;=2)</f>
        <v/>
      </c>
      <c r="G3558">
        <f>SUMPRODUCT(Calc!$K$3:$K$22*(Calc!$G$3:$G$22&gt;A3558)*(Calc!$G$3:$G$22-A3558))</f>
        <v/>
      </c>
      <c r="H3558">
        <f>SUMPRODUCT(Calc!$K$3:$K$22*(Calc!$G$3:$G$22&gt;B3558)*(Calc!$G$3:$G$22-B3558))</f>
        <v/>
      </c>
      <c r="I3558">
        <f>SUMPRODUCT(Calc!$K$3:$K$22*(Calc!$G$3:$G$22&gt;A3558)*(Calc!$G$3:$G$22-A3558)^2)</f>
        <v/>
      </c>
      <c r="J3558">
        <f>SUMPRODUCT(Calc!$K$3:$K$22*(Calc!$G$3:$G$22&gt;B3558)*(Calc!$G$3:$G$22-B3558)^2)</f>
        <v/>
      </c>
      <c r="K3558">
        <f>SUMPRODUCT(Calc!$K$3:$K$22*(Calc!$G$3:$G$22&gt;A3558)*(Calc!$G$3:$G$22-A3558)*(Calc!$G$3:$G$22&gt;B3558)*(Calc!$G$3:$G$22-B3558))</f>
        <v/>
      </c>
      <c r="L3558">
        <f>SUMPRODUCT(Calc!$K$3:$K$22*(Calc!$G$3:$G$22&gt;A3558)*(Calc!$G$3:$G$22-A3558)*Calc!$G$3:$G$22)</f>
        <v/>
      </c>
      <c r="M3558">
        <f>SUMPRODUCT(Calc!$K$3:$K$22*(Calc!$G$3:$G$22&gt;B3558)*(Calc!$G$3:$G$22-B3558)*Calc!$G$3:$G$22)</f>
        <v/>
      </c>
      <c r="N3558">
        <f>SUMPRODUCT(Calc!$K$3:$K$22*(Calc!$G$3:$G$22&gt;A3558)*(Calc!$G$3:$G$22-A3558)*Calc!$I$3:$I$22)</f>
        <v/>
      </c>
      <c r="O3558">
        <f>SUMPRODUCT(Calc!$K$3:$K$22*(Calc!$G$3:$G$22&gt;B3558)*(Calc!$G$3:$G$22-B3558)*Calc!$I$3:$I$22)</f>
        <v/>
      </c>
      <c r="P3558">
        <f>I3558-G3558^2/k_n</f>
        <v/>
      </c>
      <c r="Q3558">
        <f>J3558-H3558^2/k_n</f>
        <v/>
      </c>
      <c r="R3558">
        <f>K3558-G3558*H3558/k_n</f>
        <v/>
      </c>
      <c r="S3558">
        <f>L3558-LTP3!$D$3*G3558/k_n</f>
        <v/>
      </c>
      <c r="T3558">
        <f>M3558-LTP3!$D$3*H3558/k_n</f>
        <v/>
      </c>
      <c r="U3558">
        <f>N3558-G3558*LTP3!$D$4/k_n</f>
        <v/>
      </c>
      <c r="V3558">
        <f>O3558-H3558*LTP3!$D$4/k_n</f>
        <v/>
      </c>
      <c r="W3558">
        <f>((LTP3!$D$5)*((P3558)*(Q3558)-(R3558)*(R3558))-(S3558)*((S3558)*(Q3558)-(R3558)*(T3558))+(T3558)*((S3558)*(R3558)-(P3558)*(T3558)))</f>
        <v/>
      </c>
      <c r="X3558">
        <f>IF(ABS(W3558)&gt;1E-12,((LTP3!$D$6)*((P3558)*(Q3558)-(R3558)*(R3558))-(S3558)*((U3558)*(Q3558)-(R3558)*(V3558))+(T3558)*((U3558)*(R3558)-(P3558)*(V3558)))/W3558,0)</f>
        <v/>
      </c>
      <c r="Y3558">
        <f>IF(ABS(W3558)&gt;1E-12,((LTP3!$D$5)*((U3558)*(Q3558)-(R3558)*(V3558))-(LTP3!$D$6)*((S3558)*(Q3558)-(R3558)*(T3558))+(T3558)*((S3558)*(V3558)-(U3558)*(T3558)))/W3558,0)</f>
        <v/>
      </c>
      <c r="Z3558">
        <f>IF(ABS(W3558)&gt;1E-12,((LTP3!$D$5)*((P3558)*(V3558)-(U3558)*(R3558))-(S3558)*((S3558)*(V3558)-(U3558)*(T3558))+(LTP3!$D$6)*((S3558)*(R3558)-(P3558)*(T3558)))/W3558,0)</f>
        <v/>
      </c>
      <c r="AA3558">
        <f>LTP3!$D$7-X3558*LTP3!$D$6-Y3558*U3558-Z3558*V3558</f>
        <v/>
      </c>
      <c r="AB3558">
        <f>IF(AND(F3558,ABS(W3558)&gt;1E-12,Y3558&gt;0,Z3558&gt;0),AA3558,1E+300)</f>
        <v/>
      </c>
    </row>
    <row r="3559">
      <c r="A3559">
        <f>$B$3+$B$5*58</f>
        <v/>
      </c>
      <c r="B3559">
        <f>$B$3+$B$5*9</f>
        <v/>
      </c>
      <c r="C3559">
        <f>SUMPRODUCT(Calc!$K$3:$K$22*(Calc!$G$3:$G$22&lt;=A3559))</f>
        <v/>
      </c>
      <c r="D3559">
        <f>SUMPRODUCT(Calc!$K$3:$K$22*(Calc!$G$3:$G$22&gt;A3559)*(Calc!$G$3:$G$22&lt;B3559))</f>
        <v/>
      </c>
      <c r="E3559">
        <f>SUMPRODUCT(Calc!$K$3:$K$22*(Calc!$G$3:$G$22&gt;=B3559))</f>
        <v/>
      </c>
      <c r="F3559">
        <f>AND(k_n&gt;=5,B3559&gt;A3559+1E-9,C3559&gt;=2,D3559&gt;=1,E3559&gt;=2)</f>
        <v/>
      </c>
      <c r="G3559">
        <f>SUMPRODUCT(Calc!$K$3:$K$22*(Calc!$G$3:$G$22&gt;A3559)*(Calc!$G$3:$G$22-A3559))</f>
        <v/>
      </c>
      <c r="H3559">
        <f>SUMPRODUCT(Calc!$K$3:$K$22*(Calc!$G$3:$G$22&gt;B3559)*(Calc!$G$3:$G$22-B3559))</f>
        <v/>
      </c>
      <c r="I3559">
        <f>SUMPRODUCT(Calc!$K$3:$K$22*(Calc!$G$3:$G$22&gt;A3559)*(Calc!$G$3:$G$22-A3559)^2)</f>
        <v/>
      </c>
      <c r="J3559">
        <f>SUMPRODUCT(Calc!$K$3:$K$22*(Calc!$G$3:$G$22&gt;B3559)*(Calc!$G$3:$G$22-B3559)^2)</f>
        <v/>
      </c>
      <c r="K3559">
        <f>SUMPRODUCT(Calc!$K$3:$K$22*(Calc!$G$3:$G$22&gt;A3559)*(Calc!$G$3:$G$22-A3559)*(Calc!$G$3:$G$22&gt;B3559)*(Calc!$G$3:$G$22-B3559))</f>
        <v/>
      </c>
      <c r="L3559">
        <f>SUMPRODUCT(Calc!$K$3:$K$22*(Calc!$G$3:$G$22&gt;A3559)*(Calc!$G$3:$G$22-A3559)*Calc!$G$3:$G$22)</f>
        <v/>
      </c>
      <c r="M3559">
        <f>SUMPRODUCT(Calc!$K$3:$K$22*(Calc!$G$3:$G$22&gt;B3559)*(Calc!$G$3:$G$22-B3559)*Calc!$G$3:$G$22)</f>
        <v/>
      </c>
      <c r="N3559">
        <f>SUMPRODUCT(Calc!$K$3:$K$22*(Calc!$G$3:$G$22&gt;A3559)*(Calc!$G$3:$G$22-A3559)*Calc!$I$3:$I$22)</f>
        <v/>
      </c>
      <c r="O3559">
        <f>SUMPRODUCT(Calc!$K$3:$K$22*(Calc!$G$3:$G$22&gt;B3559)*(Calc!$G$3:$G$22-B3559)*Calc!$I$3:$I$22)</f>
        <v/>
      </c>
      <c r="P3559">
        <f>I3559-G3559^2/k_n</f>
        <v/>
      </c>
      <c r="Q3559">
        <f>J3559-H3559^2/k_n</f>
        <v/>
      </c>
      <c r="R3559">
        <f>K3559-G3559*H3559/k_n</f>
        <v/>
      </c>
      <c r="S3559">
        <f>L3559-LTP3!$D$3*G3559/k_n</f>
        <v/>
      </c>
      <c r="T3559">
        <f>M3559-LTP3!$D$3*H3559/k_n</f>
        <v/>
      </c>
      <c r="U3559">
        <f>N3559-G3559*LTP3!$D$4/k_n</f>
        <v/>
      </c>
      <c r="V3559">
        <f>O3559-H3559*LTP3!$D$4/k_n</f>
        <v/>
      </c>
      <c r="W3559">
        <f>((LTP3!$D$5)*((P3559)*(Q3559)-(R3559)*(R3559))-(S3559)*((S3559)*(Q3559)-(R3559)*(T3559))+(T3559)*((S3559)*(R3559)-(P3559)*(T3559)))</f>
        <v/>
      </c>
      <c r="X3559">
        <f>IF(ABS(W3559)&gt;1E-12,((LTP3!$D$6)*((P3559)*(Q3559)-(R3559)*(R3559))-(S3559)*((U3559)*(Q3559)-(R3559)*(V3559))+(T3559)*((U3559)*(R3559)-(P3559)*(V3559)))/W3559,0)</f>
        <v/>
      </c>
      <c r="Y3559">
        <f>IF(ABS(W3559)&gt;1E-12,((LTP3!$D$5)*((U3559)*(Q3559)-(R3559)*(V3559))-(LTP3!$D$6)*((S3559)*(Q3559)-(R3559)*(T3559))+(T3559)*((S3559)*(V3559)-(U3559)*(T3559)))/W3559,0)</f>
        <v/>
      </c>
      <c r="Z3559">
        <f>IF(ABS(W3559)&gt;1E-12,((LTP3!$D$5)*((P3559)*(V3559)-(U3559)*(R3559))-(S3559)*((S3559)*(V3559)-(U3559)*(T3559))+(LTP3!$D$6)*((S3559)*(R3559)-(P3559)*(T3559)))/W3559,0)</f>
        <v/>
      </c>
      <c r="AA3559">
        <f>LTP3!$D$7-X3559*LTP3!$D$6-Y3559*U3559-Z3559*V3559</f>
        <v/>
      </c>
      <c r="AB3559">
        <f>IF(AND(F3559,ABS(W3559)&gt;1E-12,Y3559&gt;0,Z3559&gt;0),AA3559,1E+300)</f>
        <v/>
      </c>
    </row>
    <row r="3560">
      <c r="A3560">
        <f>$B$3+$B$5*58</f>
        <v/>
      </c>
      <c r="B3560">
        <f>$B$3+$B$5*10</f>
        <v/>
      </c>
      <c r="C3560">
        <f>SUMPRODUCT(Calc!$K$3:$K$22*(Calc!$G$3:$G$22&lt;=A3560))</f>
        <v/>
      </c>
      <c r="D3560">
        <f>SUMPRODUCT(Calc!$K$3:$K$22*(Calc!$G$3:$G$22&gt;A3560)*(Calc!$G$3:$G$22&lt;B3560))</f>
        <v/>
      </c>
      <c r="E3560">
        <f>SUMPRODUCT(Calc!$K$3:$K$22*(Calc!$G$3:$G$22&gt;=B3560))</f>
        <v/>
      </c>
      <c r="F3560">
        <f>AND(k_n&gt;=5,B3560&gt;A3560+1E-9,C3560&gt;=2,D3560&gt;=1,E3560&gt;=2)</f>
        <v/>
      </c>
      <c r="G3560">
        <f>SUMPRODUCT(Calc!$K$3:$K$22*(Calc!$G$3:$G$22&gt;A3560)*(Calc!$G$3:$G$22-A3560))</f>
        <v/>
      </c>
      <c r="H3560">
        <f>SUMPRODUCT(Calc!$K$3:$K$22*(Calc!$G$3:$G$22&gt;B3560)*(Calc!$G$3:$G$22-B3560))</f>
        <v/>
      </c>
      <c r="I3560">
        <f>SUMPRODUCT(Calc!$K$3:$K$22*(Calc!$G$3:$G$22&gt;A3560)*(Calc!$G$3:$G$22-A3560)^2)</f>
        <v/>
      </c>
      <c r="J3560">
        <f>SUMPRODUCT(Calc!$K$3:$K$22*(Calc!$G$3:$G$22&gt;B3560)*(Calc!$G$3:$G$22-B3560)^2)</f>
        <v/>
      </c>
      <c r="K3560">
        <f>SUMPRODUCT(Calc!$K$3:$K$22*(Calc!$G$3:$G$22&gt;A3560)*(Calc!$G$3:$G$22-A3560)*(Calc!$G$3:$G$22&gt;B3560)*(Calc!$G$3:$G$22-B3560))</f>
        <v/>
      </c>
      <c r="L3560">
        <f>SUMPRODUCT(Calc!$K$3:$K$22*(Calc!$G$3:$G$22&gt;A3560)*(Calc!$G$3:$G$22-A3560)*Calc!$G$3:$G$22)</f>
        <v/>
      </c>
      <c r="M3560">
        <f>SUMPRODUCT(Calc!$K$3:$K$22*(Calc!$G$3:$G$22&gt;B3560)*(Calc!$G$3:$G$22-B3560)*Calc!$G$3:$G$22)</f>
        <v/>
      </c>
      <c r="N3560">
        <f>SUMPRODUCT(Calc!$K$3:$K$22*(Calc!$G$3:$G$22&gt;A3560)*(Calc!$G$3:$G$22-A3560)*Calc!$I$3:$I$22)</f>
        <v/>
      </c>
      <c r="O3560">
        <f>SUMPRODUCT(Calc!$K$3:$K$22*(Calc!$G$3:$G$22&gt;B3560)*(Calc!$G$3:$G$22-B3560)*Calc!$I$3:$I$22)</f>
        <v/>
      </c>
      <c r="P3560">
        <f>I3560-G3560^2/k_n</f>
        <v/>
      </c>
      <c r="Q3560">
        <f>J3560-H3560^2/k_n</f>
        <v/>
      </c>
      <c r="R3560">
        <f>K3560-G3560*H3560/k_n</f>
        <v/>
      </c>
      <c r="S3560">
        <f>L3560-LTP3!$D$3*G3560/k_n</f>
        <v/>
      </c>
      <c r="T3560">
        <f>M3560-LTP3!$D$3*H3560/k_n</f>
        <v/>
      </c>
      <c r="U3560">
        <f>N3560-G3560*LTP3!$D$4/k_n</f>
        <v/>
      </c>
      <c r="V3560">
        <f>O3560-H3560*LTP3!$D$4/k_n</f>
        <v/>
      </c>
      <c r="W3560">
        <f>((LTP3!$D$5)*((P3560)*(Q3560)-(R3560)*(R3560))-(S3560)*((S3560)*(Q3560)-(R3560)*(T3560))+(T3560)*((S3560)*(R3560)-(P3560)*(T3560)))</f>
        <v/>
      </c>
      <c r="X3560">
        <f>IF(ABS(W3560)&gt;1E-12,((LTP3!$D$6)*((P3560)*(Q3560)-(R3560)*(R3560))-(S3560)*((U3560)*(Q3560)-(R3560)*(V3560))+(T3560)*((U3560)*(R3560)-(P3560)*(V3560)))/W3560,0)</f>
        <v/>
      </c>
      <c r="Y3560">
        <f>IF(ABS(W3560)&gt;1E-12,((LTP3!$D$5)*((U3560)*(Q3560)-(R3560)*(V3560))-(LTP3!$D$6)*((S3560)*(Q3560)-(R3560)*(T3560))+(T3560)*((S3560)*(V3560)-(U3560)*(T3560)))/W3560,0)</f>
        <v/>
      </c>
      <c r="Z3560">
        <f>IF(ABS(W3560)&gt;1E-12,((LTP3!$D$5)*((P3560)*(V3560)-(U3560)*(R3560))-(S3560)*((S3560)*(V3560)-(U3560)*(T3560))+(LTP3!$D$6)*((S3560)*(R3560)-(P3560)*(T3560)))/W3560,0)</f>
        <v/>
      </c>
      <c r="AA3560">
        <f>LTP3!$D$7-X3560*LTP3!$D$6-Y3560*U3560-Z3560*V3560</f>
        <v/>
      </c>
      <c r="AB3560">
        <f>IF(AND(F3560,ABS(W3560)&gt;1E-12,Y3560&gt;0,Z3560&gt;0),AA3560,1E+300)</f>
        <v/>
      </c>
    </row>
    <row r="3561">
      <c r="A3561">
        <f>$B$3+$B$5*58</f>
        <v/>
      </c>
      <c r="B3561">
        <f>$B$3+$B$5*11</f>
        <v/>
      </c>
      <c r="C3561">
        <f>SUMPRODUCT(Calc!$K$3:$K$22*(Calc!$G$3:$G$22&lt;=A3561))</f>
        <v/>
      </c>
      <c r="D3561">
        <f>SUMPRODUCT(Calc!$K$3:$K$22*(Calc!$G$3:$G$22&gt;A3561)*(Calc!$G$3:$G$22&lt;B3561))</f>
        <v/>
      </c>
      <c r="E3561">
        <f>SUMPRODUCT(Calc!$K$3:$K$22*(Calc!$G$3:$G$22&gt;=B3561))</f>
        <v/>
      </c>
      <c r="F3561">
        <f>AND(k_n&gt;=5,B3561&gt;A3561+1E-9,C3561&gt;=2,D3561&gt;=1,E3561&gt;=2)</f>
        <v/>
      </c>
      <c r="G3561">
        <f>SUMPRODUCT(Calc!$K$3:$K$22*(Calc!$G$3:$G$22&gt;A3561)*(Calc!$G$3:$G$22-A3561))</f>
        <v/>
      </c>
      <c r="H3561">
        <f>SUMPRODUCT(Calc!$K$3:$K$22*(Calc!$G$3:$G$22&gt;B3561)*(Calc!$G$3:$G$22-B3561))</f>
        <v/>
      </c>
      <c r="I3561">
        <f>SUMPRODUCT(Calc!$K$3:$K$22*(Calc!$G$3:$G$22&gt;A3561)*(Calc!$G$3:$G$22-A3561)^2)</f>
        <v/>
      </c>
      <c r="J3561">
        <f>SUMPRODUCT(Calc!$K$3:$K$22*(Calc!$G$3:$G$22&gt;B3561)*(Calc!$G$3:$G$22-B3561)^2)</f>
        <v/>
      </c>
      <c r="K3561">
        <f>SUMPRODUCT(Calc!$K$3:$K$22*(Calc!$G$3:$G$22&gt;A3561)*(Calc!$G$3:$G$22-A3561)*(Calc!$G$3:$G$22&gt;B3561)*(Calc!$G$3:$G$22-B3561))</f>
        <v/>
      </c>
      <c r="L3561">
        <f>SUMPRODUCT(Calc!$K$3:$K$22*(Calc!$G$3:$G$22&gt;A3561)*(Calc!$G$3:$G$22-A3561)*Calc!$G$3:$G$22)</f>
        <v/>
      </c>
      <c r="M3561">
        <f>SUMPRODUCT(Calc!$K$3:$K$22*(Calc!$G$3:$G$22&gt;B3561)*(Calc!$G$3:$G$22-B3561)*Calc!$G$3:$G$22)</f>
        <v/>
      </c>
      <c r="N3561">
        <f>SUMPRODUCT(Calc!$K$3:$K$22*(Calc!$G$3:$G$22&gt;A3561)*(Calc!$G$3:$G$22-A3561)*Calc!$I$3:$I$22)</f>
        <v/>
      </c>
      <c r="O3561">
        <f>SUMPRODUCT(Calc!$K$3:$K$22*(Calc!$G$3:$G$22&gt;B3561)*(Calc!$G$3:$G$22-B3561)*Calc!$I$3:$I$22)</f>
        <v/>
      </c>
      <c r="P3561">
        <f>I3561-G3561^2/k_n</f>
        <v/>
      </c>
      <c r="Q3561">
        <f>J3561-H3561^2/k_n</f>
        <v/>
      </c>
      <c r="R3561">
        <f>K3561-G3561*H3561/k_n</f>
        <v/>
      </c>
      <c r="S3561">
        <f>L3561-LTP3!$D$3*G3561/k_n</f>
        <v/>
      </c>
      <c r="T3561">
        <f>M3561-LTP3!$D$3*H3561/k_n</f>
        <v/>
      </c>
      <c r="U3561">
        <f>N3561-G3561*LTP3!$D$4/k_n</f>
        <v/>
      </c>
      <c r="V3561">
        <f>O3561-H3561*LTP3!$D$4/k_n</f>
        <v/>
      </c>
      <c r="W3561">
        <f>((LTP3!$D$5)*((P3561)*(Q3561)-(R3561)*(R3561))-(S3561)*((S3561)*(Q3561)-(R3561)*(T3561))+(T3561)*((S3561)*(R3561)-(P3561)*(T3561)))</f>
        <v/>
      </c>
      <c r="X3561">
        <f>IF(ABS(W3561)&gt;1E-12,((LTP3!$D$6)*((P3561)*(Q3561)-(R3561)*(R3561))-(S3561)*((U3561)*(Q3561)-(R3561)*(V3561))+(T3561)*((U3561)*(R3561)-(P3561)*(V3561)))/W3561,0)</f>
        <v/>
      </c>
      <c r="Y3561">
        <f>IF(ABS(W3561)&gt;1E-12,((LTP3!$D$5)*((U3561)*(Q3561)-(R3561)*(V3561))-(LTP3!$D$6)*((S3561)*(Q3561)-(R3561)*(T3561))+(T3561)*((S3561)*(V3561)-(U3561)*(T3561)))/W3561,0)</f>
        <v/>
      </c>
      <c r="Z3561">
        <f>IF(ABS(W3561)&gt;1E-12,((LTP3!$D$5)*((P3561)*(V3561)-(U3561)*(R3561))-(S3561)*((S3561)*(V3561)-(U3561)*(T3561))+(LTP3!$D$6)*((S3561)*(R3561)-(P3561)*(T3561)))/W3561,0)</f>
        <v/>
      </c>
      <c r="AA3561">
        <f>LTP3!$D$7-X3561*LTP3!$D$6-Y3561*U3561-Z3561*V3561</f>
        <v/>
      </c>
      <c r="AB3561">
        <f>IF(AND(F3561,ABS(W3561)&gt;1E-12,Y3561&gt;0,Z3561&gt;0),AA3561,1E+300)</f>
        <v/>
      </c>
    </row>
    <row r="3562">
      <c r="A3562">
        <f>$B$3+$B$5*58</f>
        <v/>
      </c>
      <c r="B3562">
        <f>$B$3+$B$5*12</f>
        <v/>
      </c>
      <c r="C3562">
        <f>SUMPRODUCT(Calc!$K$3:$K$22*(Calc!$G$3:$G$22&lt;=A3562))</f>
        <v/>
      </c>
      <c r="D3562">
        <f>SUMPRODUCT(Calc!$K$3:$K$22*(Calc!$G$3:$G$22&gt;A3562)*(Calc!$G$3:$G$22&lt;B3562))</f>
        <v/>
      </c>
      <c r="E3562">
        <f>SUMPRODUCT(Calc!$K$3:$K$22*(Calc!$G$3:$G$22&gt;=B3562))</f>
        <v/>
      </c>
      <c r="F3562">
        <f>AND(k_n&gt;=5,B3562&gt;A3562+1E-9,C3562&gt;=2,D3562&gt;=1,E3562&gt;=2)</f>
        <v/>
      </c>
      <c r="G3562">
        <f>SUMPRODUCT(Calc!$K$3:$K$22*(Calc!$G$3:$G$22&gt;A3562)*(Calc!$G$3:$G$22-A3562))</f>
        <v/>
      </c>
      <c r="H3562">
        <f>SUMPRODUCT(Calc!$K$3:$K$22*(Calc!$G$3:$G$22&gt;B3562)*(Calc!$G$3:$G$22-B3562))</f>
        <v/>
      </c>
      <c r="I3562">
        <f>SUMPRODUCT(Calc!$K$3:$K$22*(Calc!$G$3:$G$22&gt;A3562)*(Calc!$G$3:$G$22-A3562)^2)</f>
        <v/>
      </c>
      <c r="J3562">
        <f>SUMPRODUCT(Calc!$K$3:$K$22*(Calc!$G$3:$G$22&gt;B3562)*(Calc!$G$3:$G$22-B3562)^2)</f>
        <v/>
      </c>
      <c r="K3562">
        <f>SUMPRODUCT(Calc!$K$3:$K$22*(Calc!$G$3:$G$22&gt;A3562)*(Calc!$G$3:$G$22-A3562)*(Calc!$G$3:$G$22&gt;B3562)*(Calc!$G$3:$G$22-B3562))</f>
        <v/>
      </c>
      <c r="L3562">
        <f>SUMPRODUCT(Calc!$K$3:$K$22*(Calc!$G$3:$G$22&gt;A3562)*(Calc!$G$3:$G$22-A3562)*Calc!$G$3:$G$22)</f>
        <v/>
      </c>
      <c r="M3562">
        <f>SUMPRODUCT(Calc!$K$3:$K$22*(Calc!$G$3:$G$22&gt;B3562)*(Calc!$G$3:$G$22-B3562)*Calc!$G$3:$G$22)</f>
        <v/>
      </c>
      <c r="N3562">
        <f>SUMPRODUCT(Calc!$K$3:$K$22*(Calc!$G$3:$G$22&gt;A3562)*(Calc!$G$3:$G$22-A3562)*Calc!$I$3:$I$22)</f>
        <v/>
      </c>
      <c r="O3562">
        <f>SUMPRODUCT(Calc!$K$3:$K$22*(Calc!$G$3:$G$22&gt;B3562)*(Calc!$G$3:$G$22-B3562)*Calc!$I$3:$I$22)</f>
        <v/>
      </c>
      <c r="P3562">
        <f>I3562-G3562^2/k_n</f>
        <v/>
      </c>
      <c r="Q3562">
        <f>J3562-H3562^2/k_n</f>
        <v/>
      </c>
      <c r="R3562">
        <f>K3562-G3562*H3562/k_n</f>
        <v/>
      </c>
      <c r="S3562">
        <f>L3562-LTP3!$D$3*G3562/k_n</f>
        <v/>
      </c>
      <c r="T3562">
        <f>M3562-LTP3!$D$3*H3562/k_n</f>
        <v/>
      </c>
      <c r="U3562">
        <f>N3562-G3562*LTP3!$D$4/k_n</f>
        <v/>
      </c>
      <c r="V3562">
        <f>O3562-H3562*LTP3!$D$4/k_n</f>
        <v/>
      </c>
      <c r="W3562">
        <f>((LTP3!$D$5)*((P3562)*(Q3562)-(R3562)*(R3562))-(S3562)*((S3562)*(Q3562)-(R3562)*(T3562))+(T3562)*((S3562)*(R3562)-(P3562)*(T3562)))</f>
        <v/>
      </c>
      <c r="X3562">
        <f>IF(ABS(W3562)&gt;1E-12,((LTP3!$D$6)*((P3562)*(Q3562)-(R3562)*(R3562))-(S3562)*((U3562)*(Q3562)-(R3562)*(V3562))+(T3562)*((U3562)*(R3562)-(P3562)*(V3562)))/W3562,0)</f>
        <v/>
      </c>
      <c r="Y3562">
        <f>IF(ABS(W3562)&gt;1E-12,((LTP3!$D$5)*((U3562)*(Q3562)-(R3562)*(V3562))-(LTP3!$D$6)*((S3562)*(Q3562)-(R3562)*(T3562))+(T3562)*((S3562)*(V3562)-(U3562)*(T3562)))/W3562,0)</f>
        <v/>
      </c>
      <c r="Z3562">
        <f>IF(ABS(W3562)&gt;1E-12,((LTP3!$D$5)*((P3562)*(V3562)-(U3562)*(R3562))-(S3562)*((S3562)*(V3562)-(U3562)*(T3562))+(LTP3!$D$6)*((S3562)*(R3562)-(P3562)*(T3562)))/W3562,0)</f>
        <v/>
      </c>
      <c r="AA3562">
        <f>LTP3!$D$7-X3562*LTP3!$D$6-Y3562*U3562-Z3562*V3562</f>
        <v/>
      </c>
      <c r="AB3562">
        <f>IF(AND(F3562,ABS(W3562)&gt;1E-12,Y3562&gt;0,Z3562&gt;0),AA3562,1E+300)</f>
        <v/>
      </c>
    </row>
    <row r="3563">
      <c r="A3563">
        <f>$B$3+$B$5*58</f>
        <v/>
      </c>
      <c r="B3563">
        <f>$B$3+$B$5*13</f>
        <v/>
      </c>
      <c r="C3563">
        <f>SUMPRODUCT(Calc!$K$3:$K$22*(Calc!$G$3:$G$22&lt;=A3563))</f>
        <v/>
      </c>
      <c r="D3563">
        <f>SUMPRODUCT(Calc!$K$3:$K$22*(Calc!$G$3:$G$22&gt;A3563)*(Calc!$G$3:$G$22&lt;B3563))</f>
        <v/>
      </c>
      <c r="E3563">
        <f>SUMPRODUCT(Calc!$K$3:$K$22*(Calc!$G$3:$G$22&gt;=B3563))</f>
        <v/>
      </c>
      <c r="F3563">
        <f>AND(k_n&gt;=5,B3563&gt;A3563+1E-9,C3563&gt;=2,D3563&gt;=1,E3563&gt;=2)</f>
        <v/>
      </c>
      <c r="G3563">
        <f>SUMPRODUCT(Calc!$K$3:$K$22*(Calc!$G$3:$G$22&gt;A3563)*(Calc!$G$3:$G$22-A3563))</f>
        <v/>
      </c>
      <c r="H3563">
        <f>SUMPRODUCT(Calc!$K$3:$K$22*(Calc!$G$3:$G$22&gt;B3563)*(Calc!$G$3:$G$22-B3563))</f>
        <v/>
      </c>
      <c r="I3563">
        <f>SUMPRODUCT(Calc!$K$3:$K$22*(Calc!$G$3:$G$22&gt;A3563)*(Calc!$G$3:$G$22-A3563)^2)</f>
        <v/>
      </c>
      <c r="J3563">
        <f>SUMPRODUCT(Calc!$K$3:$K$22*(Calc!$G$3:$G$22&gt;B3563)*(Calc!$G$3:$G$22-B3563)^2)</f>
        <v/>
      </c>
      <c r="K3563">
        <f>SUMPRODUCT(Calc!$K$3:$K$22*(Calc!$G$3:$G$22&gt;A3563)*(Calc!$G$3:$G$22-A3563)*(Calc!$G$3:$G$22&gt;B3563)*(Calc!$G$3:$G$22-B3563))</f>
        <v/>
      </c>
      <c r="L3563">
        <f>SUMPRODUCT(Calc!$K$3:$K$22*(Calc!$G$3:$G$22&gt;A3563)*(Calc!$G$3:$G$22-A3563)*Calc!$G$3:$G$22)</f>
        <v/>
      </c>
      <c r="M3563">
        <f>SUMPRODUCT(Calc!$K$3:$K$22*(Calc!$G$3:$G$22&gt;B3563)*(Calc!$G$3:$G$22-B3563)*Calc!$G$3:$G$22)</f>
        <v/>
      </c>
      <c r="N3563">
        <f>SUMPRODUCT(Calc!$K$3:$K$22*(Calc!$G$3:$G$22&gt;A3563)*(Calc!$G$3:$G$22-A3563)*Calc!$I$3:$I$22)</f>
        <v/>
      </c>
      <c r="O3563">
        <f>SUMPRODUCT(Calc!$K$3:$K$22*(Calc!$G$3:$G$22&gt;B3563)*(Calc!$G$3:$G$22-B3563)*Calc!$I$3:$I$22)</f>
        <v/>
      </c>
      <c r="P3563">
        <f>I3563-G3563^2/k_n</f>
        <v/>
      </c>
      <c r="Q3563">
        <f>J3563-H3563^2/k_n</f>
        <v/>
      </c>
      <c r="R3563">
        <f>K3563-G3563*H3563/k_n</f>
        <v/>
      </c>
      <c r="S3563">
        <f>L3563-LTP3!$D$3*G3563/k_n</f>
        <v/>
      </c>
      <c r="T3563">
        <f>M3563-LTP3!$D$3*H3563/k_n</f>
        <v/>
      </c>
      <c r="U3563">
        <f>N3563-G3563*LTP3!$D$4/k_n</f>
        <v/>
      </c>
      <c r="V3563">
        <f>O3563-H3563*LTP3!$D$4/k_n</f>
        <v/>
      </c>
      <c r="W3563">
        <f>((LTP3!$D$5)*((P3563)*(Q3563)-(R3563)*(R3563))-(S3563)*((S3563)*(Q3563)-(R3563)*(T3563))+(T3563)*((S3563)*(R3563)-(P3563)*(T3563)))</f>
        <v/>
      </c>
      <c r="X3563">
        <f>IF(ABS(W3563)&gt;1E-12,((LTP3!$D$6)*((P3563)*(Q3563)-(R3563)*(R3563))-(S3563)*((U3563)*(Q3563)-(R3563)*(V3563))+(T3563)*((U3563)*(R3563)-(P3563)*(V3563)))/W3563,0)</f>
        <v/>
      </c>
      <c r="Y3563">
        <f>IF(ABS(W3563)&gt;1E-12,((LTP3!$D$5)*((U3563)*(Q3563)-(R3563)*(V3563))-(LTP3!$D$6)*((S3563)*(Q3563)-(R3563)*(T3563))+(T3563)*((S3563)*(V3563)-(U3563)*(T3563)))/W3563,0)</f>
        <v/>
      </c>
      <c r="Z3563">
        <f>IF(ABS(W3563)&gt;1E-12,((LTP3!$D$5)*((P3563)*(V3563)-(U3563)*(R3563))-(S3563)*((S3563)*(V3563)-(U3563)*(T3563))+(LTP3!$D$6)*((S3563)*(R3563)-(P3563)*(T3563)))/W3563,0)</f>
        <v/>
      </c>
      <c r="AA3563">
        <f>LTP3!$D$7-X3563*LTP3!$D$6-Y3563*U3563-Z3563*V3563</f>
        <v/>
      </c>
      <c r="AB3563">
        <f>IF(AND(F3563,ABS(W3563)&gt;1E-12,Y3563&gt;0,Z3563&gt;0),AA3563,1E+300)</f>
        <v/>
      </c>
    </row>
    <row r="3564">
      <c r="A3564">
        <f>$B$3+$B$5*58</f>
        <v/>
      </c>
      <c r="B3564">
        <f>$B$3+$B$5*14</f>
        <v/>
      </c>
      <c r="C3564">
        <f>SUMPRODUCT(Calc!$K$3:$K$22*(Calc!$G$3:$G$22&lt;=A3564))</f>
        <v/>
      </c>
      <c r="D3564">
        <f>SUMPRODUCT(Calc!$K$3:$K$22*(Calc!$G$3:$G$22&gt;A3564)*(Calc!$G$3:$G$22&lt;B3564))</f>
        <v/>
      </c>
      <c r="E3564">
        <f>SUMPRODUCT(Calc!$K$3:$K$22*(Calc!$G$3:$G$22&gt;=B3564))</f>
        <v/>
      </c>
      <c r="F3564">
        <f>AND(k_n&gt;=5,B3564&gt;A3564+1E-9,C3564&gt;=2,D3564&gt;=1,E3564&gt;=2)</f>
        <v/>
      </c>
      <c r="G3564">
        <f>SUMPRODUCT(Calc!$K$3:$K$22*(Calc!$G$3:$G$22&gt;A3564)*(Calc!$G$3:$G$22-A3564))</f>
        <v/>
      </c>
      <c r="H3564">
        <f>SUMPRODUCT(Calc!$K$3:$K$22*(Calc!$G$3:$G$22&gt;B3564)*(Calc!$G$3:$G$22-B3564))</f>
        <v/>
      </c>
      <c r="I3564">
        <f>SUMPRODUCT(Calc!$K$3:$K$22*(Calc!$G$3:$G$22&gt;A3564)*(Calc!$G$3:$G$22-A3564)^2)</f>
        <v/>
      </c>
      <c r="J3564">
        <f>SUMPRODUCT(Calc!$K$3:$K$22*(Calc!$G$3:$G$22&gt;B3564)*(Calc!$G$3:$G$22-B3564)^2)</f>
        <v/>
      </c>
      <c r="K3564">
        <f>SUMPRODUCT(Calc!$K$3:$K$22*(Calc!$G$3:$G$22&gt;A3564)*(Calc!$G$3:$G$22-A3564)*(Calc!$G$3:$G$22&gt;B3564)*(Calc!$G$3:$G$22-B3564))</f>
        <v/>
      </c>
      <c r="L3564">
        <f>SUMPRODUCT(Calc!$K$3:$K$22*(Calc!$G$3:$G$22&gt;A3564)*(Calc!$G$3:$G$22-A3564)*Calc!$G$3:$G$22)</f>
        <v/>
      </c>
      <c r="M3564">
        <f>SUMPRODUCT(Calc!$K$3:$K$22*(Calc!$G$3:$G$22&gt;B3564)*(Calc!$G$3:$G$22-B3564)*Calc!$G$3:$G$22)</f>
        <v/>
      </c>
      <c r="N3564">
        <f>SUMPRODUCT(Calc!$K$3:$K$22*(Calc!$G$3:$G$22&gt;A3564)*(Calc!$G$3:$G$22-A3564)*Calc!$I$3:$I$22)</f>
        <v/>
      </c>
      <c r="O3564">
        <f>SUMPRODUCT(Calc!$K$3:$K$22*(Calc!$G$3:$G$22&gt;B3564)*(Calc!$G$3:$G$22-B3564)*Calc!$I$3:$I$22)</f>
        <v/>
      </c>
      <c r="P3564">
        <f>I3564-G3564^2/k_n</f>
        <v/>
      </c>
      <c r="Q3564">
        <f>J3564-H3564^2/k_n</f>
        <v/>
      </c>
      <c r="R3564">
        <f>K3564-G3564*H3564/k_n</f>
        <v/>
      </c>
      <c r="S3564">
        <f>L3564-LTP3!$D$3*G3564/k_n</f>
        <v/>
      </c>
      <c r="T3564">
        <f>M3564-LTP3!$D$3*H3564/k_n</f>
        <v/>
      </c>
      <c r="U3564">
        <f>N3564-G3564*LTP3!$D$4/k_n</f>
        <v/>
      </c>
      <c r="V3564">
        <f>O3564-H3564*LTP3!$D$4/k_n</f>
        <v/>
      </c>
      <c r="W3564">
        <f>((LTP3!$D$5)*((P3564)*(Q3564)-(R3564)*(R3564))-(S3564)*((S3564)*(Q3564)-(R3564)*(T3564))+(T3564)*((S3564)*(R3564)-(P3564)*(T3564)))</f>
        <v/>
      </c>
      <c r="X3564">
        <f>IF(ABS(W3564)&gt;1E-12,((LTP3!$D$6)*((P3564)*(Q3564)-(R3564)*(R3564))-(S3564)*((U3564)*(Q3564)-(R3564)*(V3564))+(T3564)*((U3564)*(R3564)-(P3564)*(V3564)))/W3564,0)</f>
        <v/>
      </c>
      <c r="Y3564">
        <f>IF(ABS(W3564)&gt;1E-12,((LTP3!$D$5)*((U3564)*(Q3564)-(R3564)*(V3564))-(LTP3!$D$6)*((S3564)*(Q3564)-(R3564)*(T3564))+(T3564)*((S3564)*(V3564)-(U3564)*(T3564)))/W3564,0)</f>
        <v/>
      </c>
      <c r="Z3564">
        <f>IF(ABS(W3564)&gt;1E-12,((LTP3!$D$5)*((P3564)*(V3564)-(U3564)*(R3564))-(S3564)*((S3564)*(V3564)-(U3564)*(T3564))+(LTP3!$D$6)*((S3564)*(R3564)-(P3564)*(T3564)))/W3564,0)</f>
        <v/>
      </c>
      <c r="AA3564">
        <f>LTP3!$D$7-X3564*LTP3!$D$6-Y3564*U3564-Z3564*V3564</f>
        <v/>
      </c>
      <c r="AB3564">
        <f>IF(AND(F3564,ABS(W3564)&gt;1E-12,Y3564&gt;0,Z3564&gt;0),AA3564,1E+300)</f>
        <v/>
      </c>
    </row>
    <row r="3565">
      <c r="A3565">
        <f>$B$3+$B$5*58</f>
        <v/>
      </c>
      <c r="B3565">
        <f>$B$3+$B$5*15</f>
        <v/>
      </c>
      <c r="C3565">
        <f>SUMPRODUCT(Calc!$K$3:$K$22*(Calc!$G$3:$G$22&lt;=A3565))</f>
        <v/>
      </c>
      <c r="D3565">
        <f>SUMPRODUCT(Calc!$K$3:$K$22*(Calc!$G$3:$G$22&gt;A3565)*(Calc!$G$3:$G$22&lt;B3565))</f>
        <v/>
      </c>
      <c r="E3565">
        <f>SUMPRODUCT(Calc!$K$3:$K$22*(Calc!$G$3:$G$22&gt;=B3565))</f>
        <v/>
      </c>
      <c r="F3565">
        <f>AND(k_n&gt;=5,B3565&gt;A3565+1E-9,C3565&gt;=2,D3565&gt;=1,E3565&gt;=2)</f>
        <v/>
      </c>
      <c r="G3565">
        <f>SUMPRODUCT(Calc!$K$3:$K$22*(Calc!$G$3:$G$22&gt;A3565)*(Calc!$G$3:$G$22-A3565))</f>
        <v/>
      </c>
      <c r="H3565">
        <f>SUMPRODUCT(Calc!$K$3:$K$22*(Calc!$G$3:$G$22&gt;B3565)*(Calc!$G$3:$G$22-B3565))</f>
        <v/>
      </c>
      <c r="I3565">
        <f>SUMPRODUCT(Calc!$K$3:$K$22*(Calc!$G$3:$G$22&gt;A3565)*(Calc!$G$3:$G$22-A3565)^2)</f>
        <v/>
      </c>
      <c r="J3565">
        <f>SUMPRODUCT(Calc!$K$3:$K$22*(Calc!$G$3:$G$22&gt;B3565)*(Calc!$G$3:$G$22-B3565)^2)</f>
        <v/>
      </c>
      <c r="K3565">
        <f>SUMPRODUCT(Calc!$K$3:$K$22*(Calc!$G$3:$G$22&gt;A3565)*(Calc!$G$3:$G$22-A3565)*(Calc!$G$3:$G$22&gt;B3565)*(Calc!$G$3:$G$22-B3565))</f>
        <v/>
      </c>
      <c r="L3565">
        <f>SUMPRODUCT(Calc!$K$3:$K$22*(Calc!$G$3:$G$22&gt;A3565)*(Calc!$G$3:$G$22-A3565)*Calc!$G$3:$G$22)</f>
        <v/>
      </c>
      <c r="M3565">
        <f>SUMPRODUCT(Calc!$K$3:$K$22*(Calc!$G$3:$G$22&gt;B3565)*(Calc!$G$3:$G$22-B3565)*Calc!$G$3:$G$22)</f>
        <v/>
      </c>
      <c r="N3565">
        <f>SUMPRODUCT(Calc!$K$3:$K$22*(Calc!$G$3:$G$22&gt;A3565)*(Calc!$G$3:$G$22-A3565)*Calc!$I$3:$I$22)</f>
        <v/>
      </c>
      <c r="O3565">
        <f>SUMPRODUCT(Calc!$K$3:$K$22*(Calc!$G$3:$G$22&gt;B3565)*(Calc!$G$3:$G$22-B3565)*Calc!$I$3:$I$22)</f>
        <v/>
      </c>
      <c r="P3565">
        <f>I3565-G3565^2/k_n</f>
        <v/>
      </c>
      <c r="Q3565">
        <f>J3565-H3565^2/k_n</f>
        <v/>
      </c>
      <c r="R3565">
        <f>K3565-G3565*H3565/k_n</f>
        <v/>
      </c>
      <c r="S3565">
        <f>L3565-LTP3!$D$3*G3565/k_n</f>
        <v/>
      </c>
      <c r="T3565">
        <f>M3565-LTP3!$D$3*H3565/k_n</f>
        <v/>
      </c>
      <c r="U3565">
        <f>N3565-G3565*LTP3!$D$4/k_n</f>
        <v/>
      </c>
      <c r="V3565">
        <f>O3565-H3565*LTP3!$D$4/k_n</f>
        <v/>
      </c>
      <c r="W3565">
        <f>((LTP3!$D$5)*((P3565)*(Q3565)-(R3565)*(R3565))-(S3565)*((S3565)*(Q3565)-(R3565)*(T3565))+(T3565)*((S3565)*(R3565)-(P3565)*(T3565)))</f>
        <v/>
      </c>
      <c r="X3565">
        <f>IF(ABS(W3565)&gt;1E-12,((LTP3!$D$6)*((P3565)*(Q3565)-(R3565)*(R3565))-(S3565)*((U3565)*(Q3565)-(R3565)*(V3565))+(T3565)*((U3565)*(R3565)-(P3565)*(V3565)))/W3565,0)</f>
        <v/>
      </c>
      <c r="Y3565">
        <f>IF(ABS(W3565)&gt;1E-12,((LTP3!$D$5)*((U3565)*(Q3565)-(R3565)*(V3565))-(LTP3!$D$6)*((S3565)*(Q3565)-(R3565)*(T3565))+(T3565)*((S3565)*(V3565)-(U3565)*(T3565)))/W3565,0)</f>
        <v/>
      </c>
      <c r="Z3565">
        <f>IF(ABS(W3565)&gt;1E-12,((LTP3!$D$5)*((P3565)*(V3565)-(U3565)*(R3565))-(S3565)*((S3565)*(V3565)-(U3565)*(T3565))+(LTP3!$D$6)*((S3565)*(R3565)-(P3565)*(T3565)))/W3565,0)</f>
        <v/>
      </c>
      <c r="AA3565">
        <f>LTP3!$D$7-X3565*LTP3!$D$6-Y3565*U3565-Z3565*V3565</f>
        <v/>
      </c>
      <c r="AB3565">
        <f>IF(AND(F3565,ABS(W3565)&gt;1E-12,Y3565&gt;0,Z3565&gt;0),AA3565,1E+300)</f>
        <v/>
      </c>
    </row>
    <row r="3566">
      <c r="A3566">
        <f>$B$3+$B$5*58</f>
        <v/>
      </c>
      <c r="B3566">
        <f>$B$3+$B$5*16</f>
        <v/>
      </c>
      <c r="C3566">
        <f>SUMPRODUCT(Calc!$K$3:$K$22*(Calc!$G$3:$G$22&lt;=A3566))</f>
        <v/>
      </c>
      <c r="D3566">
        <f>SUMPRODUCT(Calc!$K$3:$K$22*(Calc!$G$3:$G$22&gt;A3566)*(Calc!$G$3:$G$22&lt;B3566))</f>
        <v/>
      </c>
      <c r="E3566">
        <f>SUMPRODUCT(Calc!$K$3:$K$22*(Calc!$G$3:$G$22&gt;=B3566))</f>
        <v/>
      </c>
      <c r="F3566">
        <f>AND(k_n&gt;=5,B3566&gt;A3566+1E-9,C3566&gt;=2,D3566&gt;=1,E3566&gt;=2)</f>
        <v/>
      </c>
      <c r="G3566">
        <f>SUMPRODUCT(Calc!$K$3:$K$22*(Calc!$G$3:$G$22&gt;A3566)*(Calc!$G$3:$G$22-A3566))</f>
        <v/>
      </c>
      <c r="H3566">
        <f>SUMPRODUCT(Calc!$K$3:$K$22*(Calc!$G$3:$G$22&gt;B3566)*(Calc!$G$3:$G$22-B3566))</f>
        <v/>
      </c>
      <c r="I3566">
        <f>SUMPRODUCT(Calc!$K$3:$K$22*(Calc!$G$3:$G$22&gt;A3566)*(Calc!$G$3:$G$22-A3566)^2)</f>
        <v/>
      </c>
      <c r="J3566">
        <f>SUMPRODUCT(Calc!$K$3:$K$22*(Calc!$G$3:$G$22&gt;B3566)*(Calc!$G$3:$G$22-B3566)^2)</f>
        <v/>
      </c>
      <c r="K3566">
        <f>SUMPRODUCT(Calc!$K$3:$K$22*(Calc!$G$3:$G$22&gt;A3566)*(Calc!$G$3:$G$22-A3566)*(Calc!$G$3:$G$22&gt;B3566)*(Calc!$G$3:$G$22-B3566))</f>
        <v/>
      </c>
      <c r="L3566">
        <f>SUMPRODUCT(Calc!$K$3:$K$22*(Calc!$G$3:$G$22&gt;A3566)*(Calc!$G$3:$G$22-A3566)*Calc!$G$3:$G$22)</f>
        <v/>
      </c>
      <c r="M3566">
        <f>SUMPRODUCT(Calc!$K$3:$K$22*(Calc!$G$3:$G$22&gt;B3566)*(Calc!$G$3:$G$22-B3566)*Calc!$G$3:$G$22)</f>
        <v/>
      </c>
      <c r="N3566">
        <f>SUMPRODUCT(Calc!$K$3:$K$22*(Calc!$G$3:$G$22&gt;A3566)*(Calc!$G$3:$G$22-A3566)*Calc!$I$3:$I$22)</f>
        <v/>
      </c>
      <c r="O3566">
        <f>SUMPRODUCT(Calc!$K$3:$K$22*(Calc!$G$3:$G$22&gt;B3566)*(Calc!$G$3:$G$22-B3566)*Calc!$I$3:$I$22)</f>
        <v/>
      </c>
      <c r="P3566">
        <f>I3566-G3566^2/k_n</f>
        <v/>
      </c>
      <c r="Q3566">
        <f>J3566-H3566^2/k_n</f>
        <v/>
      </c>
      <c r="R3566">
        <f>K3566-G3566*H3566/k_n</f>
        <v/>
      </c>
      <c r="S3566">
        <f>L3566-LTP3!$D$3*G3566/k_n</f>
        <v/>
      </c>
      <c r="T3566">
        <f>M3566-LTP3!$D$3*H3566/k_n</f>
        <v/>
      </c>
      <c r="U3566">
        <f>N3566-G3566*LTP3!$D$4/k_n</f>
        <v/>
      </c>
      <c r="V3566">
        <f>O3566-H3566*LTP3!$D$4/k_n</f>
        <v/>
      </c>
      <c r="W3566">
        <f>((LTP3!$D$5)*((P3566)*(Q3566)-(R3566)*(R3566))-(S3566)*((S3566)*(Q3566)-(R3566)*(T3566))+(T3566)*((S3566)*(R3566)-(P3566)*(T3566)))</f>
        <v/>
      </c>
      <c r="X3566">
        <f>IF(ABS(W3566)&gt;1E-12,((LTP3!$D$6)*((P3566)*(Q3566)-(R3566)*(R3566))-(S3566)*((U3566)*(Q3566)-(R3566)*(V3566))+(T3566)*((U3566)*(R3566)-(P3566)*(V3566)))/W3566,0)</f>
        <v/>
      </c>
      <c r="Y3566">
        <f>IF(ABS(W3566)&gt;1E-12,((LTP3!$D$5)*((U3566)*(Q3566)-(R3566)*(V3566))-(LTP3!$D$6)*((S3566)*(Q3566)-(R3566)*(T3566))+(T3566)*((S3566)*(V3566)-(U3566)*(T3566)))/W3566,0)</f>
        <v/>
      </c>
      <c r="Z3566">
        <f>IF(ABS(W3566)&gt;1E-12,((LTP3!$D$5)*((P3566)*(V3566)-(U3566)*(R3566))-(S3566)*((S3566)*(V3566)-(U3566)*(T3566))+(LTP3!$D$6)*((S3566)*(R3566)-(P3566)*(T3566)))/W3566,0)</f>
        <v/>
      </c>
      <c r="AA3566">
        <f>LTP3!$D$7-X3566*LTP3!$D$6-Y3566*U3566-Z3566*V3566</f>
        <v/>
      </c>
      <c r="AB3566">
        <f>IF(AND(F3566,ABS(W3566)&gt;1E-12,Y3566&gt;0,Z3566&gt;0),AA3566,1E+300)</f>
        <v/>
      </c>
    </row>
    <row r="3567">
      <c r="A3567">
        <f>$B$3+$B$5*58</f>
        <v/>
      </c>
      <c r="B3567">
        <f>$B$3+$B$5*17</f>
        <v/>
      </c>
      <c r="C3567">
        <f>SUMPRODUCT(Calc!$K$3:$K$22*(Calc!$G$3:$G$22&lt;=A3567))</f>
        <v/>
      </c>
      <c r="D3567">
        <f>SUMPRODUCT(Calc!$K$3:$K$22*(Calc!$G$3:$G$22&gt;A3567)*(Calc!$G$3:$G$22&lt;B3567))</f>
        <v/>
      </c>
      <c r="E3567">
        <f>SUMPRODUCT(Calc!$K$3:$K$22*(Calc!$G$3:$G$22&gt;=B3567))</f>
        <v/>
      </c>
      <c r="F3567">
        <f>AND(k_n&gt;=5,B3567&gt;A3567+1E-9,C3567&gt;=2,D3567&gt;=1,E3567&gt;=2)</f>
        <v/>
      </c>
      <c r="G3567">
        <f>SUMPRODUCT(Calc!$K$3:$K$22*(Calc!$G$3:$G$22&gt;A3567)*(Calc!$G$3:$G$22-A3567))</f>
        <v/>
      </c>
      <c r="H3567">
        <f>SUMPRODUCT(Calc!$K$3:$K$22*(Calc!$G$3:$G$22&gt;B3567)*(Calc!$G$3:$G$22-B3567))</f>
        <v/>
      </c>
      <c r="I3567">
        <f>SUMPRODUCT(Calc!$K$3:$K$22*(Calc!$G$3:$G$22&gt;A3567)*(Calc!$G$3:$G$22-A3567)^2)</f>
        <v/>
      </c>
      <c r="J3567">
        <f>SUMPRODUCT(Calc!$K$3:$K$22*(Calc!$G$3:$G$22&gt;B3567)*(Calc!$G$3:$G$22-B3567)^2)</f>
        <v/>
      </c>
      <c r="K3567">
        <f>SUMPRODUCT(Calc!$K$3:$K$22*(Calc!$G$3:$G$22&gt;A3567)*(Calc!$G$3:$G$22-A3567)*(Calc!$G$3:$G$22&gt;B3567)*(Calc!$G$3:$G$22-B3567))</f>
        <v/>
      </c>
      <c r="L3567">
        <f>SUMPRODUCT(Calc!$K$3:$K$22*(Calc!$G$3:$G$22&gt;A3567)*(Calc!$G$3:$G$22-A3567)*Calc!$G$3:$G$22)</f>
        <v/>
      </c>
      <c r="M3567">
        <f>SUMPRODUCT(Calc!$K$3:$K$22*(Calc!$G$3:$G$22&gt;B3567)*(Calc!$G$3:$G$22-B3567)*Calc!$G$3:$G$22)</f>
        <v/>
      </c>
      <c r="N3567">
        <f>SUMPRODUCT(Calc!$K$3:$K$22*(Calc!$G$3:$G$22&gt;A3567)*(Calc!$G$3:$G$22-A3567)*Calc!$I$3:$I$22)</f>
        <v/>
      </c>
      <c r="O3567">
        <f>SUMPRODUCT(Calc!$K$3:$K$22*(Calc!$G$3:$G$22&gt;B3567)*(Calc!$G$3:$G$22-B3567)*Calc!$I$3:$I$22)</f>
        <v/>
      </c>
      <c r="P3567">
        <f>I3567-G3567^2/k_n</f>
        <v/>
      </c>
      <c r="Q3567">
        <f>J3567-H3567^2/k_n</f>
        <v/>
      </c>
      <c r="R3567">
        <f>K3567-G3567*H3567/k_n</f>
        <v/>
      </c>
      <c r="S3567">
        <f>L3567-LTP3!$D$3*G3567/k_n</f>
        <v/>
      </c>
      <c r="T3567">
        <f>M3567-LTP3!$D$3*H3567/k_n</f>
        <v/>
      </c>
      <c r="U3567">
        <f>N3567-G3567*LTP3!$D$4/k_n</f>
        <v/>
      </c>
      <c r="V3567">
        <f>O3567-H3567*LTP3!$D$4/k_n</f>
        <v/>
      </c>
      <c r="W3567">
        <f>((LTP3!$D$5)*((P3567)*(Q3567)-(R3567)*(R3567))-(S3567)*((S3567)*(Q3567)-(R3567)*(T3567))+(T3567)*((S3567)*(R3567)-(P3567)*(T3567)))</f>
        <v/>
      </c>
      <c r="X3567">
        <f>IF(ABS(W3567)&gt;1E-12,((LTP3!$D$6)*((P3567)*(Q3567)-(R3567)*(R3567))-(S3567)*((U3567)*(Q3567)-(R3567)*(V3567))+(T3567)*((U3567)*(R3567)-(P3567)*(V3567)))/W3567,0)</f>
        <v/>
      </c>
      <c r="Y3567">
        <f>IF(ABS(W3567)&gt;1E-12,((LTP3!$D$5)*((U3567)*(Q3567)-(R3567)*(V3567))-(LTP3!$D$6)*((S3567)*(Q3567)-(R3567)*(T3567))+(T3567)*((S3567)*(V3567)-(U3567)*(T3567)))/W3567,0)</f>
        <v/>
      </c>
      <c r="Z3567">
        <f>IF(ABS(W3567)&gt;1E-12,((LTP3!$D$5)*((P3567)*(V3567)-(U3567)*(R3567))-(S3567)*((S3567)*(V3567)-(U3567)*(T3567))+(LTP3!$D$6)*((S3567)*(R3567)-(P3567)*(T3567)))/W3567,0)</f>
        <v/>
      </c>
      <c r="AA3567">
        <f>LTP3!$D$7-X3567*LTP3!$D$6-Y3567*U3567-Z3567*V3567</f>
        <v/>
      </c>
      <c r="AB3567">
        <f>IF(AND(F3567,ABS(W3567)&gt;1E-12,Y3567&gt;0,Z3567&gt;0),AA3567,1E+300)</f>
        <v/>
      </c>
    </row>
    <row r="3568">
      <c r="A3568">
        <f>$B$3+$B$5*58</f>
        <v/>
      </c>
      <c r="B3568">
        <f>$B$3+$B$5*18</f>
        <v/>
      </c>
      <c r="C3568">
        <f>SUMPRODUCT(Calc!$K$3:$K$22*(Calc!$G$3:$G$22&lt;=A3568))</f>
        <v/>
      </c>
      <c r="D3568">
        <f>SUMPRODUCT(Calc!$K$3:$K$22*(Calc!$G$3:$G$22&gt;A3568)*(Calc!$G$3:$G$22&lt;B3568))</f>
        <v/>
      </c>
      <c r="E3568">
        <f>SUMPRODUCT(Calc!$K$3:$K$22*(Calc!$G$3:$G$22&gt;=B3568))</f>
        <v/>
      </c>
      <c r="F3568">
        <f>AND(k_n&gt;=5,B3568&gt;A3568+1E-9,C3568&gt;=2,D3568&gt;=1,E3568&gt;=2)</f>
        <v/>
      </c>
      <c r="G3568">
        <f>SUMPRODUCT(Calc!$K$3:$K$22*(Calc!$G$3:$G$22&gt;A3568)*(Calc!$G$3:$G$22-A3568))</f>
        <v/>
      </c>
      <c r="H3568">
        <f>SUMPRODUCT(Calc!$K$3:$K$22*(Calc!$G$3:$G$22&gt;B3568)*(Calc!$G$3:$G$22-B3568))</f>
        <v/>
      </c>
      <c r="I3568">
        <f>SUMPRODUCT(Calc!$K$3:$K$22*(Calc!$G$3:$G$22&gt;A3568)*(Calc!$G$3:$G$22-A3568)^2)</f>
        <v/>
      </c>
      <c r="J3568">
        <f>SUMPRODUCT(Calc!$K$3:$K$22*(Calc!$G$3:$G$22&gt;B3568)*(Calc!$G$3:$G$22-B3568)^2)</f>
        <v/>
      </c>
      <c r="K3568">
        <f>SUMPRODUCT(Calc!$K$3:$K$22*(Calc!$G$3:$G$22&gt;A3568)*(Calc!$G$3:$G$22-A3568)*(Calc!$G$3:$G$22&gt;B3568)*(Calc!$G$3:$G$22-B3568))</f>
        <v/>
      </c>
      <c r="L3568">
        <f>SUMPRODUCT(Calc!$K$3:$K$22*(Calc!$G$3:$G$22&gt;A3568)*(Calc!$G$3:$G$22-A3568)*Calc!$G$3:$G$22)</f>
        <v/>
      </c>
      <c r="M3568">
        <f>SUMPRODUCT(Calc!$K$3:$K$22*(Calc!$G$3:$G$22&gt;B3568)*(Calc!$G$3:$G$22-B3568)*Calc!$G$3:$G$22)</f>
        <v/>
      </c>
      <c r="N3568">
        <f>SUMPRODUCT(Calc!$K$3:$K$22*(Calc!$G$3:$G$22&gt;A3568)*(Calc!$G$3:$G$22-A3568)*Calc!$I$3:$I$22)</f>
        <v/>
      </c>
      <c r="O3568">
        <f>SUMPRODUCT(Calc!$K$3:$K$22*(Calc!$G$3:$G$22&gt;B3568)*(Calc!$G$3:$G$22-B3568)*Calc!$I$3:$I$22)</f>
        <v/>
      </c>
      <c r="P3568">
        <f>I3568-G3568^2/k_n</f>
        <v/>
      </c>
      <c r="Q3568">
        <f>J3568-H3568^2/k_n</f>
        <v/>
      </c>
      <c r="R3568">
        <f>K3568-G3568*H3568/k_n</f>
        <v/>
      </c>
      <c r="S3568">
        <f>L3568-LTP3!$D$3*G3568/k_n</f>
        <v/>
      </c>
      <c r="T3568">
        <f>M3568-LTP3!$D$3*H3568/k_n</f>
        <v/>
      </c>
      <c r="U3568">
        <f>N3568-G3568*LTP3!$D$4/k_n</f>
        <v/>
      </c>
      <c r="V3568">
        <f>O3568-H3568*LTP3!$D$4/k_n</f>
        <v/>
      </c>
      <c r="W3568">
        <f>((LTP3!$D$5)*((P3568)*(Q3568)-(R3568)*(R3568))-(S3568)*((S3568)*(Q3568)-(R3568)*(T3568))+(T3568)*((S3568)*(R3568)-(P3568)*(T3568)))</f>
        <v/>
      </c>
      <c r="X3568">
        <f>IF(ABS(W3568)&gt;1E-12,((LTP3!$D$6)*((P3568)*(Q3568)-(R3568)*(R3568))-(S3568)*((U3568)*(Q3568)-(R3568)*(V3568))+(T3568)*((U3568)*(R3568)-(P3568)*(V3568)))/W3568,0)</f>
        <v/>
      </c>
      <c r="Y3568">
        <f>IF(ABS(W3568)&gt;1E-12,((LTP3!$D$5)*((U3568)*(Q3568)-(R3568)*(V3568))-(LTP3!$D$6)*((S3568)*(Q3568)-(R3568)*(T3568))+(T3568)*((S3568)*(V3568)-(U3568)*(T3568)))/W3568,0)</f>
        <v/>
      </c>
      <c r="Z3568">
        <f>IF(ABS(W3568)&gt;1E-12,((LTP3!$D$5)*((P3568)*(V3568)-(U3568)*(R3568))-(S3568)*((S3568)*(V3568)-(U3568)*(T3568))+(LTP3!$D$6)*((S3568)*(R3568)-(P3568)*(T3568)))/W3568,0)</f>
        <v/>
      </c>
      <c r="AA3568">
        <f>LTP3!$D$7-X3568*LTP3!$D$6-Y3568*U3568-Z3568*V3568</f>
        <v/>
      </c>
      <c r="AB3568">
        <f>IF(AND(F3568,ABS(W3568)&gt;1E-12,Y3568&gt;0,Z3568&gt;0),AA3568,1E+300)</f>
        <v/>
      </c>
    </row>
    <row r="3569">
      <c r="A3569">
        <f>$B$3+$B$5*58</f>
        <v/>
      </c>
      <c r="B3569">
        <f>$B$3+$B$5*19</f>
        <v/>
      </c>
      <c r="C3569">
        <f>SUMPRODUCT(Calc!$K$3:$K$22*(Calc!$G$3:$G$22&lt;=A3569))</f>
        <v/>
      </c>
      <c r="D3569">
        <f>SUMPRODUCT(Calc!$K$3:$K$22*(Calc!$G$3:$G$22&gt;A3569)*(Calc!$G$3:$G$22&lt;B3569))</f>
        <v/>
      </c>
      <c r="E3569">
        <f>SUMPRODUCT(Calc!$K$3:$K$22*(Calc!$G$3:$G$22&gt;=B3569))</f>
        <v/>
      </c>
      <c r="F3569">
        <f>AND(k_n&gt;=5,B3569&gt;A3569+1E-9,C3569&gt;=2,D3569&gt;=1,E3569&gt;=2)</f>
        <v/>
      </c>
      <c r="G3569">
        <f>SUMPRODUCT(Calc!$K$3:$K$22*(Calc!$G$3:$G$22&gt;A3569)*(Calc!$G$3:$G$22-A3569))</f>
        <v/>
      </c>
      <c r="H3569">
        <f>SUMPRODUCT(Calc!$K$3:$K$22*(Calc!$G$3:$G$22&gt;B3569)*(Calc!$G$3:$G$22-B3569))</f>
        <v/>
      </c>
      <c r="I3569">
        <f>SUMPRODUCT(Calc!$K$3:$K$22*(Calc!$G$3:$G$22&gt;A3569)*(Calc!$G$3:$G$22-A3569)^2)</f>
        <v/>
      </c>
      <c r="J3569">
        <f>SUMPRODUCT(Calc!$K$3:$K$22*(Calc!$G$3:$G$22&gt;B3569)*(Calc!$G$3:$G$22-B3569)^2)</f>
        <v/>
      </c>
      <c r="K3569">
        <f>SUMPRODUCT(Calc!$K$3:$K$22*(Calc!$G$3:$G$22&gt;A3569)*(Calc!$G$3:$G$22-A3569)*(Calc!$G$3:$G$22&gt;B3569)*(Calc!$G$3:$G$22-B3569))</f>
        <v/>
      </c>
      <c r="L3569">
        <f>SUMPRODUCT(Calc!$K$3:$K$22*(Calc!$G$3:$G$22&gt;A3569)*(Calc!$G$3:$G$22-A3569)*Calc!$G$3:$G$22)</f>
        <v/>
      </c>
      <c r="M3569">
        <f>SUMPRODUCT(Calc!$K$3:$K$22*(Calc!$G$3:$G$22&gt;B3569)*(Calc!$G$3:$G$22-B3569)*Calc!$G$3:$G$22)</f>
        <v/>
      </c>
      <c r="N3569">
        <f>SUMPRODUCT(Calc!$K$3:$K$22*(Calc!$G$3:$G$22&gt;A3569)*(Calc!$G$3:$G$22-A3569)*Calc!$I$3:$I$22)</f>
        <v/>
      </c>
      <c r="O3569">
        <f>SUMPRODUCT(Calc!$K$3:$K$22*(Calc!$G$3:$G$22&gt;B3569)*(Calc!$G$3:$G$22-B3569)*Calc!$I$3:$I$22)</f>
        <v/>
      </c>
      <c r="P3569">
        <f>I3569-G3569^2/k_n</f>
        <v/>
      </c>
      <c r="Q3569">
        <f>J3569-H3569^2/k_n</f>
        <v/>
      </c>
      <c r="R3569">
        <f>K3569-G3569*H3569/k_n</f>
        <v/>
      </c>
      <c r="S3569">
        <f>L3569-LTP3!$D$3*G3569/k_n</f>
        <v/>
      </c>
      <c r="T3569">
        <f>M3569-LTP3!$D$3*H3569/k_n</f>
        <v/>
      </c>
      <c r="U3569">
        <f>N3569-G3569*LTP3!$D$4/k_n</f>
        <v/>
      </c>
      <c r="V3569">
        <f>O3569-H3569*LTP3!$D$4/k_n</f>
        <v/>
      </c>
      <c r="W3569">
        <f>((LTP3!$D$5)*((P3569)*(Q3569)-(R3569)*(R3569))-(S3569)*((S3569)*(Q3569)-(R3569)*(T3569))+(T3569)*((S3569)*(R3569)-(P3569)*(T3569)))</f>
        <v/>
      </c>
      <c r="X3569">
        <f>IF(ABS(W3569)&gt;1E-12,((LTP3!$D$6)*((P3569)*(Q3569)-(R3569)*(R3569))-(S3569)*((U3569)*(Q3569)-(R3569)*(V3569))+(T3569)*((U3569)*(R3569)-(P3569)*(V3569)))/W3569,0)</f>
        <v/>
      </c>
      <c r="Y3569">
        <f>IF(ABS(W3569)&gt;1E-12,((LTP3!$D$5)*((U3569)*(Q3569)-(R3569)*(V3569))-(LTP3!$D$6)*((S3569)*(Q3569)-(R3569)*(T3569))+(T3569)*((S3569)*(V3569)-(U3569)*(T3569)))/W3569,0)</f>
        <v/>
      </c>
      <c r="Z3569">
        <f>IF(ABS(W3569)&gt;1E-12,((LTP3!$D$5)*((P3569)*(V3569)-(U3569)*(R3569))-(S3569)*((S3569)*(V3569)-(U3569)*(T3569))+(LTP3!$D$6)*((S3569)*(R3569)-(P3569)*(T3569)))/W3569,0)</f>
        <v/>
      </c>
      <c r="AA3569">
        <f>LTP3!$D$7-X3569*LTP3!$D$6-Y3569*U3569-Z3569*V3569</f>
        <v/>
      </c>
      <c r="AB3569">
        <f>IF(AND(F3569,ABS(W3569)&gt;1E-12,Y3569&gt;0,Z3569&gt;0),AA3569,1E+300)</f>
        <v/>
      </c>
    </row>
    <row r="3570">
      <c r="A3570">
        <f>$B$3+$B$5*58</f>
        <v/>
      </c>
      <c r="B3570">
        <f>$B$3+$B$5*20</f>
        <v/>
      </c>
      <c r="C3570">
        <f>SUMPRODUCT(Calc!$K$3:$K$22*(Calc!$G$3:$G$22&lt;=A3570))</f>
        <v/>
      </c>
      <c r="D3570">
        <f>SUMPRODUCT(Calc!$K$3:$K$22*(Calc!$G$3:$G$22&gt;A3570)*(Calc!$G$3:$G$22&lt;B3570))</f>
        <v/>
      </c>
      <c r="E3570">
        <f>SUMPRODUCT(Calc!$K$3:$K$22*(Calc!$G$3:$G$22&gt;=B3570))</f>
        <v/>
      </c>
      <c r="F3570">
        <f>AND(k_n&gt;=5,B3570&gt;A3570+1E-9,C3570&gt;=2,D3570&gt;=1,E3570&gt;=2)</f>
        <v/>
      </c>
      <c r="G3570">
        <f>SUMPRODUCT(Calc!$K$3:$K$22*(Calc!$G$3:$G$22&gt;A3570)*(Calc!$G$3:$G$22-A3570))</f>
        <v/>
      </c>
      <c r="H3570">
        <f>SUMPRODUCT(Calc!$K$3:$K$22*(Calc!$G$3:$G$22&gt;B3570)*(Calc!$G$3:$G$22-B3570))</f>
        <v/>
      </c>
      <c r="I3570">
        <f>SUMPRODUCT(Calc!$K$3:$K$22*(Calc!$G$3:$G$22&gt;A3570)*(Calc!$G$3:$G$22-A3570)^2)</f>
        <v/>
      </c>
      <c r="J3570">
        <f>SUMPRODUCT(Calc!$K$3:$K$22*(Calc!$G$3:$G$22&gt;B3570)*(Calc!$G$3:$G$22-B3570)^2)</f>
        <v/>
      </c>
      <c r="K3570">
        <f>SUMPRODUCT(Calc!$K$3:$K$22*(Calc!$G$3:$G$22&gt;A3570)*(Calc!$G$3:$G$22-A3570)*(Calc!$G$3:$G$22&gt;B3570)*(Calc!$G$3:$G$22-B3570))</f>
        <v/>
      </c>
      <c r="L3570">
        <f>SUMPRODUCT(Calc!$K$3:$K$22*(Calc!$G$3:$G$22&gt;A3570)*(Calc!$G$3:$G$22-A3570)*Calc!$G$3:$G$22)</f>
        <v/>
      </c>
      <c r="M3570">
        <f>SUMPRODUCT(Calc!$K$3:$K$22*(Calc!$G$3:$G$22&gt;B3570)*(Calc!$G$3:$G$22-B3570)*Calc!$G$3:$G$22)</f>
        <v/>
      </c>
      <c r="N3570">
        <f>SUMPRODUCT(Calc!$K$3:$K$22*(Calc!$G$3:$G$22&gt;A3570)*(Calc!$G$3:$G$22-A3570)*Calc!$I$3:$I$22)</f>
        <v/>
      </c>
      <c r="O3570">
        <f>SUMPRODUCT(Calc!$K$3:$K$22*(Calc!$G$3:$G$22&gt;B3570)*(Calc!$G$3:$G$22-B3570)*Calc!$I$3:$I$22)</f>
        <v/>
      </c>
      <c r="P3570">
        <f>I3570-G3570^2/k_n</f>
        <v/>
      </c>
      <c r="Q3570">
        <f>J3570-H3570^2/k_n</f>
        <v/>
      </c>
      <c r="R3570">
        <f>K3570-G3570*H3570/k_n</f>
        <v/>
      </c>
      <c r="S3570">
        <f>L3570-LTP3!$D$3*G3570/k_n</f>
        <v/>
      </c>
      <c r="T3570">
        <f>M3570-LTP3!$D$3*H3570/k_n</f>
        <v/>
      </c>
      <c r="U3570">
        <f>N3570-G3570*LTP3!$D$4/k_n</f>
        <v/>
      </c>
      <c r="V3570">
        <f>O3570-H3570*LTP3!$D$4/k_n</f>
        <v/>
      </c>
      <c r="W3570">
        <f>((LTP3!$D$5)*((P3570)*(Q3570)-(R3570)*(R3570))-(S3570)*((S3570)*(Q3570)-(R3570)*(T3570))+(T3570)*((S3570)*(R3570)-(P3570)*(T3570)))</f>
        <v/>
      </c>
      <c r="X3570">
        <f>IF(ABS(W3570)&gt;1E-12,((LTP3!$D$6)*((P3570)*(Q3570)-(R3570)*(R3570))-(S3570)*((U3570)*(Q3570)-(R3570)*(V3570))+(T3570)*((U3570)*(R3570)-(P3570)*(V3570)))/W3570,0)</f>
        <v/>
      </c>
      <c r="Y3570">
        <f>IF(ABS(W3570)&gt;1E-12,((LTP3!$D$5)*((U3570)*(Q3570)-(R3570)*(V3570))-(LTP3!$D$6)*((S3570)*(Q3570)-(R3570)*(T3570))+(T3570)*((S3570)*(V3570)-(U3570)*(T3570)))/W3570,0)</f>
        <v/>
      </c>
      <c r="Z3570">
        <f>IF(ABS(W3570)&gt;1E-12,((LTP3!$D$5)*((P3570)*(V3570)-(U3570)*(R3570))-(S3570)*((S3570)*(V3570)-(U3570)*(T3570))+(LTP3!$D$6)*((S3570)*(R3570)-(P3570)*(T3570)))/W3570,0)</f>
        <v/>
      </c>
      <c r="AA3570">
        <f>LTP3!$D$7-X3570*LTP3!$D$6-Y3570*U3570-Z3570*V3570</f>
        <v/>
      </c>
      <c r="AB3570">
        <f>IF(AND(F3570,ABS(W3570)&gt;1E-12,Y3570&gt;0,Z3570&gt;0),AA3570,1E+300)</f>
        <v/>
      </c>
    </row>
    <row r="3571">
      <c r="A3571">
        <f>$B$3+$B$5*58</f>
        <v/>
      </c>
      <c r="B3571">
        <f>$B$3+$B$5*21</f>
        <v/>
      </c>
      <c r="C3571">
        <f>SUMPRODUCT(Calc!$K$3:$K$22*(Calc!$G$3:$G$22&lt;=A3571))</f>
        <v/>
      </c>
      <c r="D3571">
        <f>SUMPRODUCT(Calc!$K$3:$K$22*(Calc!$G$3:$G$22&gt;A3571)*(Calc!$G$3:$G$22&lt;B3571))</f>
        <v/>
      </c>
      <c r="E3571">
        <f>SUMPRODUCT(Calc!$K$3:$K$22*(Calc!$G$3:$G$22&gt;=B3571))</f>
        <v/>
      </c>
      <c r="F3571">
        <f>AND(k_n&gt;=5,B3571&gt;A3571+1E-9,C3571&gt;=2,D3571&gt;=1,E3571&gt;=2)</f>
        <v/>
      </c>
      <c r="G3571">
        <f>SUMPRODUCT(Calc!$K$3:$K$22*(Calc!$G$3:$G$22&gt;A3571)*(Calc!$G$3:$G$22-A3571))</f>
        <v/>
      </c>
      <c r="H3571">
        <f>SUMPRODUCT(Calc!$K$3:$K$22*(Calc!$G$3:$G$22&gt;B3571)*(Calc!$G$3:$G$22-B3571))</f>
        <v/>
      </c>
      <c r="I3571">
        <f>SUMPRODUCT(Calc!$K$3:$K$22*(Calc!$G$3:$G$22&gt;A3571)*(Calc!$G$3:$G$22-A3571)^2)</f>
        <v/>
      </c>
      <c r="J3571">
        <f>SUMPRODUCT(Calc!$K$3:$K$22*(Calc!$G$3:$G$22&gt;B3571)*(Calc!$G$3:$G$22-B3571)^2)</f>
        <v/>
      </c>
      <c r="K3571">
        <f>SUMPRODUCT(Calc!$K$3:$K$22*(Calc!$G$3:$G$22&gt;A3571)*(Calc!$G$3:$G$22-A3571)*(Calc!$G$3:$G$22&gt;B3571)*(Calc!$G$3:$G$22-B3571))</f>
        <v/>
      </c>
      <c r="L3571">
        <f>SUMPRODUCT(Calc!$K$3:$K$22*(Calc!$G$3:$G$22&gt;A3571)*(Calc!$G$3:$G$22-A3571)*Calc!$G$3:$G$22)</f>
        <v/>
      </c>
      <c r="M3571">
        <f>SUMPRODUCT(Calc!$K$3:$K$22*(Calc!$G$3:$G$22&gt;B3571)*(Calc!$G$3:$G$22-B3571)*Calc!$G$3:$G$22)</f>
        <v/>
      </c>
      <c r="N3571">
        <f>SUMPRODUCT(Calc!$K$3:$K$22*(Calc!$G$3:$G$22&gt;A3571)*(Calc!$G$3:$G$22-A3571)*Calc!$I$3:$I$22)</f>
        <v/>
      </c>
      <c r="O3571">
        <f>SUMPRODUCT(Calc!$K$3:$K$22*(Calc!$G$3:$G$22&gt;B3571)*(Calc!$G$3:$G$22-B3571)*Calc!$I$3:$I$22)</f>
        <v/>
      </c>
      <c r="P3571">
        <f>I3571-G3571^2/k_n</f>
        <v/>
      </c>
      <c r="Q3571">
        <f>J3571-H3571^2/k_n</f>
        <v/>
      </c>
      <c r="R3571">
        <f>K3571-G3571*H3571/k_n</f>
        <v/>
      </c>
      <c r="S3571">
        <f>L3571-LTP3!$D$3*G3571/k_n</f>
        <v/>
      </c>
      <c r="T3571">
        <f>M3571-LTP3!$D$3*H3571/k_n</f>
        <v/>
      </c>
      <c r="U3571">
        <f>N3571-G3571*LTP3!$D$4/k_n</f>
        <v/>
      </c>
      <c r="V3571">
        <f>O3571-H3571*LTP3!$D$4/k_n</f>
        <v/>
      </c>
      <c r="W3571">
        <f>((LTP3!$D$5)*((P3571)*(Q3571)-(R3571)*(R3571))-(S3571)*((S3571)*(Q3571)-(R3571)*(T3571))+(T3571)*((S3571)*(R3571)-(P3571)*(T3571)))</f>
        <v/>
      </c>
      <c r="X3571">
        <f>IF(ABS(W3571)&gt;1E-12,((LTP3!$D$6)*((P3571)*(Q3571)-(R3571)*(R3571))-(S3571)*((U3571)*(Q3571)-(R3571)*(V3571))+(T3571)*((U3571)*(R3571)-(P3571)*(V3571)))/W3571,0)</f>
        <v/>
      </c>
      <c r="Y3571">
        <f>IF(ABS(W3571)&gt;1E-12,((LTP3!$D$5)*((U3571)*(Q3571)-(R3571)*(V3571))-(LTP3!$D$6)*((S3571)*(Q3571)-(R3571)*(T3571))+(T3571)*((S3571)*(V3571)-(U3571)*(T3571)))/W3571,0)</f>
        <v/>
      </c>
      <c r="Z3571">
        <f>IF(ABS(W3571)&gt;1E-12,((LTP3!$D$5)*((P3571)*(V3571)-(U3571)*(R3571))-(S3571)*((S3571)*(V3571)-(U3571)*(T3571))+(LTP3!$D$6)*((S3571)*(R3571)-(P3571)*(T3571)))/W3571,0)</f>
        <v/>
      </c>
      <c r="AA3571">
        <f>LTP3!$D$7-X3571*LTP3!$D$6-Y3571*U3571-Z3571*V3571</f>
        <v/>
      </c>
      <c r="AB3571">
        <f>IF(AND(F3571,ABS(W3571)&gt;1E-12,Y3571&gt;0,Z3571&gt;0),AA3571,1E+300)</f>
        <v/>
      </c>
    </row>
    <row r="3572">
      <c r="A3572">
        <f>$B$3+$B$5*58</f>
        <v/>
      </c>
      <c r="B3572">
        <f>$B$3+$B$5*22</f>
        <v/>
      </c>
      <c r="C3572">
        <f>SUMPRODUCT(Calc!$K$3:$K$22*(Calc!$G$3:$G$22&lt;=A3572))</f>
        <v/>
      </c>
      <c r="D3572">
        <f>SUMPRODUCT(Calc!$K$3:$K$22*(Calc!$G$3:$G$22&gt;A3572)*(Calc!$G$3:$G$22&lt;B3572))</f>
        <v/>
      </c>
      <c r="E3572">
        <f>SUMPRODUCT(Calc!$K$3:$K$22*(Calc!$G$3:$G$22&gt;=B3572))</f>
        <v/>
      </c>
      <c r="F3572">
        <f>AND(k_n&gt;=5,B3572&gt;A3572+1E-9,C3572&gt;=2,D3572&gt;=1,E3572&gt;=2)</f>
        <v/>
      </c>
      <c r="G3572">
        <f>SUMPRODUCT(Calc!$K$3:$K$22*(Calc!$G$3:$G$22&gt;A3572)*(Calc!$G$3:$G$22-A3572))</f>
        <v/>
      </c>
      <c r="H3572">
        <f>SUMPRODUCT(Calc!$K$3:$K$22*(Calc!$G$3:$G$22&gt;B3572)*(Calc!$G$3:$G$22-B3572))</f>
        <v/>
      </c>
      <c r="I3572">
        <f>SUMPRODUCT(Calc!$K$3:$K$22*(Calc!$G$3:$G$22&gt;A3572)*(Calc!$G$3:$G$22-A3572)^2)</f>
        <v/>
      </c>
      <c r="J3572">
        <f>SUMPRODUCT(Calc!$K$3:$K$22*(Calc!$G$3:$G$22&gt;B3572)*(Calc!$G$3:$G$22-B3572)^2)</f>
        <v/>
      </c>
      <c r="K3572">
        <f>SUMPRODUCT(Calc!$K$3:$K$22*(Calc!$G$3:$G$22&gt;A3572)*(Calc!$G$3:$G$22-A3572)*(Calc!$G$3:$G$22&gt;B3572)*(Calc!$G$3:$G$22-B3572))</f>
        <v/>
      </c>
      <c r="L3572">
        <f>SUMPRODUCT(Calc!$K$3:$K$22*(Calc!$G$3:$G$22&gt;A3572)*(Calc!$G$3:$G$22-A3572)*Calc!$G$3:$G$22)</f>
        <v/>
      </c>
      <c r="M3572">
        <f>SUMPRODUCT(Calc!$K$3:$K$22*(Calc!$G$3:$G$22&gt;B3572)*(Calc!$G$3:$G$22-B3572)*Calc!$G$3:$G$22)</f>
        <v/>
      </c>
      <c r="N3572">
        <f>SUMPRODUCT(Calc!$K$3:$K$22*(Calc!$G$3:$G$22&gt;A3572)*(Calc!$G$3:$G$22-A3572)*Calc!$I$3:$I$22)</f>
        <v/>
      </c>
      <c r="O3572">
        <f>SUMPRODUCT(Calc!$K$3:$K$22*(Calc!$G$3:$G$22&gt;B3572)*(Calc!$G$3:$G$22-B3572)*Calc!$I$3:$I$22)</f>
        <v/>
      </c>
      <c r="P3572">
        <f>I3572-G3572^2/k_n</f>
        <v/>
      </c>
      <c r="Q3572">
        <f>J3572-H3572^2/k_n</f>
        <v/>
      </c>
      <c r="R3572">
        <f>K3572-G3572*H3572/k_n</f>
        <v/>
      </c>
      <c r="S3572">
        <f>L3572-LTP3!$D$3*G3572/k_n</f>
        <v/>
      </c>
      <c r="T3572">
        <f>M3572-LTP3!$D$3*H3572/k_n</f>
        <v/>
      </c>
      <c r="U3572">
        <f>N3572-G3572*LTP3!$D$4/k_n</f>
        <v/>
      </c>
      <c r="V3572">
        <f>O3572-H3572*LTP3!$D$4/k_n</f>
        <v/>
      </c>
      <c r="W3572">
        <f>((LTP3!$D$5)*((P3572)*(Q3572)-(R3572)*(R3572))-(S3572)*((S3572)*(Q3572)-(R3572)*(T3572))+(T3572)*((S3572)*(R3572)-(P3572)*(T3572)))</f>
        <v/>
      </c>
      <c r="X3572">
        <f>IF(ABS(W3572)&gt;1E-12,((LTP3!$D$6)*((P3572)*(Q3572)-(R3572)*(R3572))-(S3572)*((U3572)*(Q3572)-(R3572)*(V3572))+(T3572)*((U3572)*(R3572)-(P3572)*(V3572)))/W3572,0)</f>
        <v/>
      </c>
      <c r="Y3572">
        <f>IF(ABS(W3572)&gt;1E-12,((LTP3!$D$5)*((U3572)*(Q3572)-(R3572)*(V3572))-(LTP3!$D$6)*((S3572)*(Q3572)-(R3572)*(T3572))+(T3572)*((S3572)*(V3572)-(U3572)*(T3572)))/W3572,0)</f>
        <v/>
      </c>
      <c r="Z3572">
        <f>IF(ABS(W3572)&gt;1E-12,((LTP3!$D$5)*((P3572)*(V3572)-(U3572)*(R3572))-(S3572)*((S3572)*(V3572)-(U3572)*(T3572))+(LTP3!$D$6)*((S3572)*(R3572)-(P3572)*(T3572)))/W3572,0)</f>
        <v/>
      </c>
      <c r="AA3572">
        <f>LTP3!$D$7-X3572*LTP3!$D$6-Y3572*U3572-Z3572*V3572</f>
        <v/>
      </c>
      <c r="AB3572">
        <f>IF(AND(F3572,ABS(W3572)&gt;1E-12,Y3572&gt;0,Z3572&gt;0),AA3572,1E+300)</f>
        <v/>
      </c>
    </row>
    <row r="3573">
      <c r="A3573">
        <f>$B$3+$B$5*58</f>
        <v/>
      </c>
      <c r="B3573">
        <f>$B$3+$B$5*23</f>
        <v/>
      </c>
      <c r="C3573">
        <f>SUMPRODUCT(Calc!$K$3:$K$22*(Calc!$G$3:$G$22&lt;=A3573))</f>
        <v/>
      </c>
      <c r="D3573">
        <f>SUMPRODUCT(Calc!$K$3:$K$22*(Calc!$G$3:$G$22&gt;A3573)*(Calc!$G$3:$G$22&lt;B3573))</f>
        <v/>
      </c>
      <c r="E3573">
        <f>SUMPRODUCT(Calc!$K$3:$K$22*(Calc!$G$3:$G$22&gt;=B3573))</f>
        <v/>
      </c>
      <c r="F3573">
        <f>AND(k_n&gt;=5,B3573&gt;A3573+1E-9,C3573&gt;=2,D3573&gt;=1,E3573&gt;=2)</f>
        <v/>
      </c>
      <c r="G3573">
        <f>SUMPRODUCT(Calc!$K$3:$K$22*(Calc!$G$3:$G$22&gt;A3573)*(Calc!$G$3:$G$22-A3573))</f>
        <v/>
      </c>
      <c r="H3573">
        <f>SUMPRODUCT(Calc!$K$3:$K$22*(Calc!$G$3:$G$22&gt;B3573)*(Calc!$G$3:$G$22-B3573))</f>
        <v/>
      </c>
      <c r="I3573">
        <f>SUMPRODUCT(Calc!$K$3:$K$22*(Calc!$G$3:$G$22&gt;A3573)*(Calc!$G$3:$G$22-A3573)^2)</f>
        <v/>
      </c>
      <c r="J3573">
        <f>SUMPRODUCT(Calc!$K$3:$K$22*(Calc!$G$3:$G$22&gt;B3573)*(Calc!$G$3:$G$22-B3573)^2)</f>
        <v/>
      </c>
      <c r="K3573">
        <f>SUMPRODUCT(Calc!$K$3:$K$22*(Calc!$G$3:$G$22&gt;A3573)*(Calc!$G$3:$G$22-A3573)*(Calc!$G$3:$G$22&gt;B3573)*(Calc!$G$3:$G$22-B3573))</f>
        <v/>
      </c>
      <c r="L3573">
        <f>SUMPRODUCT(Calc!$K$3:$K$22*(Calc!$G$3:$G$22&gt;A3573)*(Calc!$G$3:$G$22-A3573)*Calc!$G$3:$G$22)</f>
        <v/>
      </c>
      <c r="M3573">
        <f>SUMPRODUCT(Calc!$K$3:$K$22*(Calc!$G$3:$G$22&gt;B3573)*(Calc!$G$3:$G$22-B3573)*Calc!$G$3:$G$22)</f>
        <v/>
      </c>
      <c r="N3573">
        <f>SUMPRODUCT(Calc!$K$3:$K$22*(Calc!$G$3:$G$22&gt;A3573)*(Calc!$G$3:$G$22-A3573)*Calc!$I$3:$I$22)</f>
        <v/>
      </c>
      <c r="O3573">
        <f>SUMPRODUCT(Calc!$K$3:$K$22*(Calc!$G$3:$G$22&gt;B3573)*(Calc!$G$3:$G$22-B3573)*Calc!$I$3:$I$22)</f>
        <v/>
      </c>
      <c r="P3573">
        <f>I3573-G3573^2/k_n</f>
        <v/>
      </c>
      <c r="Q3573">
        <f>J3573-H3573^2/k_n</f>
        <v/>
      </c>
      <c r="R3573">
        <f>K3573-G3573*H3573/k_n</f>
        <v/>
      </c>
      <c r="S3573">
        <f>L3573-LTP3!$D$3*G3573/k_n</f>
        <v/>
      </c>
      <c r="T3573">
        <f>M3573-LTP3!$D$3*H3573/k_n</f>
        <v/>
      </c>
      <c r="U3573">
        <f>N3573-G3573*LTP3!$D$4/k_n</f>
        <v/>
      </c>
      <c r="V3573">
        <f>O3573-H3573*LTP3!$D$4/k_n</f>
        <v/>
      </c>
      <c r="W3573">
        <f>((LTP3!$D$5)*((P3573)*(Q3573)-(R3573)*(R3573))-(S3573)*((S3573)*(Q3573)-(R3573)*(T3573))+(T3573)*((S3573)*(R3573)-(P3573)*(T3573)))</f>
        <v/>
      </c>
      <c r="X3573">
        <f>IF(ABS(W3573)&gt;1E-12,((LTP3!$D$6)*((P3573)*(Q3573)-(R3573)*(R3573))-(S3573)*((U3573)*(Q3573)-(R3573)*(V3573))+(T3573)*((U3573)*(R3573)-(P3573)*(V3573)))/W3573,0)</f>
        <v/>
      </c>
      <c r="Y3573">
        <f>IF(ABS(W3573)&gt;1E-12,((LTP3!$D$5)*((U3573)*(Q3573)-(R3573)*(V3573))-(LTP3!$D$6)*((S3573)*(Q3573)-(R3573)*(T3573))+(T3573)*((S3573)*(V3573)-(U3573)*(T3573)))/W3573,0)</f>
        <v/>
      </c>
      <c r="Z3573">
        <f>IF(ABS(W3573)&gt;1E-12,((LTP3!$D$5)*((P3573)*(V3573)-(U3573)*(R3573))-(S3573)*((S3573)*(V3573)-(U3573)*(T3573))+(LTP3!$D$6)*((S3573)*(R3573)-(P3573)*(T3573)))/W3573,0)</f>
        <v/>
      </c>
      <c r="AA3573">
        <f>LTP3!$D$7-X3573*LTP3!$D$6-Y3573*U3573-Z3573*V3573</f>
        <v/>
      </c>
      <c r="AB3573">
        <f>IF(AND(F3573,ABS(W3573)&gt;1E-12,Y3573&gt;0,Z3573&gt;0),AA3573,1E+300)</f>
        <v/>
      </c>
    </row>
    <row r="3574">
      <c r="A3574">
        <f>$B$3+$B$5*58</f>
        <v/>
      </c>
      <c r="B3574">
        <f>$B$3+$B$5*24</f>
        <v/>
      </c>
      <c r="C3574">
        <f>SUMPRODUCT(Calc!$K$3:$K$22*(Calc!$G$3:$G$22&lt;=A3574))</f>
        <v/>
      </c>
      <c r="D3574">
        <f>SUMPRODUCT(Calc!$K$3:$K$22*(Calc!$G$3:$G$22&gt;A3574)*(Calc!$G$3:$G$22&lt;B3574))</f>
        <v/>
      </c>
      <c r="E3574">
        <f>SUMPRODUCT(Calc!$K$3:$K$22*(Calc!$G$3:$G$22&gt;=B3574))</f>
        <v/>
      </c>
      <c r="F3574">
        <f>AND(k_n&gt;=5,B3574&gt;A3574+1E-9,C3574&gt;=2,D3574&gt;=1,E3574&gt;=2)</f>
        <v/>
      </c>
      <c r="G3574">
        <f>SUMPRODUCT(Calc!$K$3:$K$22*(Calc!$G$3:$G$22&gt;A3574)*(Calc!$G$3:$G$22-A3574))</f>
        <v/>
      </c>
      <c r="H3574">
        <f>SUMPRODUCT(Calc!$K$3:$K$22*(Calc!$G$3:$G$22&gt;B3574)*(Calc!$G$3:$G$22-B3574))</f>
        <v/>
      </c>
      <c r="I3574">
        <f>SUMPRODUCT(Calc!$K$3:$K$22*(Calc!$G$3:$G$22&gt;A3574)*(Calc!$G$3:$G$22-A3574)^2)</f>
        <v/>
      </c>
      <c r="J3574">
        <f>SUMPRODUCT(Calc!$K$3:$K$22*(Calc!$G$3:$G$22&gt;B3574)*(Calc!$G$3:$G$22-B3574)^2)</f>
        <v/>
      </c>
      <c r="K3574">
        <f>SUMPRODUCT(Calc!$K$3:$K$22*(Calc!$G$3:$G$22&gt;A3574)*(Calc!$G$3:$G$22-A3574)*(Calc!$G$3:$G$22&gt;B3574)*(Calc!$G$3:$G$22-B3574))</f>
        <v/>
      </c>
      <c r="L3574">
        <f>SUMPRODUCT(Calc!$K$3:$K$22*(Calc!$G$3:$G$22&gt;A3574)*(Calc!$G$3:$G$22-A3574)*Calc!$G$3:$G$22)</f>
        <v/>
      </c>
      <c r="M3574">
        <f>SUMPRODUCT(Calc!$K$3:$K$22*(Calc!$G$3:$G$22&gt;B3574)*(Calc!$G$3:$G$22-B3574)*Calc!$G$3:$G$22)</f>
        <v/>
      </c>
      <c r="N3574">
        <f>SUMPRODUCT(Calc!$K$3:$K$22*(Calc!$G$3:$G$22&gt;A3574)*(Calc!$G$3:$G$22-A3574)*Calc!$I$3:$I$22)</f>
        <v/>
      </c>
      <c r="O3574">
        <f>SUMPRODUCT(Calc!$K$3:$K$22*(Calc!$G$3:$G$22&gt;B3574)*(Calc!$G$3:$G$22-B3574)*Calc!$I$3:$I$22)</f>
        <v/>
      </c>
      <c r="P3574">
        <f>I3574-G3574^2/k_n</f>
        <v/>
      </c>
      <c r="Q3574">
        <f>J3574-H3574^2/k_n</f>
        <v/>
      </c>
      <c r="R3574">
        <f>K3574-G3574*H3574/k_n</f>
        <v/>
      </c>
      <c r="S3574">
        <f>L3574-LTP3!$D$3*G3574/k_n</f>
        <v/>
      </c>
      <c r="T3574">
        <f>M3574-LTP3!$D$3*H3574/k_n</f>
        <v/>
      </c>
      <c r="U3574">
        <f>N3574-G3574*LTP3!$D$4/k_n</f>
        <v/>
      </c>
      <c r="V3574">
        <f>O3574-H3574*LTP3!$D$4/k_n</f>
        <v/>
      </c>
      <c r="W3574">
        <f>((LTP3!$D$5)*((P3574)*(Q3574)-(R3574)*(R3574))-(S3574)*((S3574)*(Q3574)-(R3574)*(T3574))+(T3574)*((S3574)*(R3574)-(P3574)*(T3574)))</f>
        <v/>
      </c>
      <c r="X3574">
        <f>IF(ABS(W3574)&gt;1E-12,((LTP3!$D$6)*((P3574)*(Q3574)-(R3574)*(R3574))-(S3574)*((U3574)*(Q3574)-(R3574)*(V3574))+(T3574)*((U3574)*(R3574)-(P3574)*(V3574)))/W3574,0)</f>
        <v/>
      </c>
      <c r="Y3574">
        <f>IF(ABS(W3574)&gt;1E-12,((LTP3!$D$5)*((U3574)*(Q3574)-(R3574)*(V3574))-(LTP3!$D$6)*((S3574)*(Q3574)-(R3574)*(T3574))+(T3574)*((S3574)*(V3574)-(U3574)*(T3574)))/W3574,0)</f>
        <v/>
      </c>
      <c r="Z3574">
        <f>IF(ABS(W3574)&gt;1E-12,((LTP3!$D$5)*((P3574)*(V3574)-(U3574)*(R3574))-(S3574)*((S3574)*(V3574)-(U3574)*(T3574))+(LTP3!$D$6)*((S3574)*(R3574)-(P3574)*(T3574)))/W3574,0)</f>
        <v/>
      </c>
      <c r="AA3574">
        <f>LTP3!$D$7-X3574*LTP3!$D$6-Y3574*U3574-Z3574*V3574</f>
        <v/>
      </c>
      <c r="AB3574">
        <f>IF(AND(F3574,ABS(W3574)&gt;1E-12,Y3574&gt;0,Z3574&gt;0),AA3574,1E+300)</f>
        <v/>
      </c>
    </row>
    <row r="3575">
      <c r="A3575">
        <f>$B$3+$B$5*58</f>
        <v/>
      </c>
      <c r="B3575">
        <f>$B$3+$B$5*25</f>
        <v/>
      </c>
      <c r="C3575">
        <f>SUMPRODUCT(Calc!$K$3:$K$22*(Calc!$G$3:$G$22&lt;=A3575))</f>
        <v/>
      </c>
      <c r="D3575">
        <f>SUMPRODUCT(Calc!$K$3:$K$22*(Calc!$G$3:$G$22&gt;A3575)*(Calc!$G$3:$G$22&lt;B3575))</f>
        <v/>
      </c>
      <c r="E3575">
        <f>SUMPRODUCT(Calc!$K$3:$K$22*(Calc!$G$3:$G$22&gt;=B3575))</f>
        <v/>
      </c>
      <c r="F3575">
        <f>AND(k_n&gt;=5,B3575&gt;A3575+1E-9,C3575&gt;=2,D3575&gt;=1,E3575&gt;=2)</f>
        <v/>
      </c>
      <c r="G3575">
        <f>SUMPRODUCT(Calc!$K$3:$K$22*(Calc!$G$3:$G$22&gt;A3575)*(Calc!$G$3:$G$22-A3575))</f>
        <v/>
      </c>
      <c r="H3575">
        <f>SUMPRODUCT(Calc!$K$3:$K$22*(Calc!$G$3:$G$22&gt;B3575)*(Calc!$G$3:$G$22-B3575))</f>
        <v/>
      </c>
      <c r="I3575">
        <f>SUMPRODUCT(Calc!$K$3:$K$22*(Calc!$G$3:$G$22&gt;A3575)*(Calc!$G$3:$G$22-A3575)^2)</f>
        <v/>
      </c>
      <c r="J3575">
        <f>SUMPRODUCT(Calc!$K$3:$K$22*(Calc!$G$3:$G$22&gt;B3575)*(Calc!$G$3:$G$22-B3575)^2)</f>
        <v/>
      </c>
      <c r="K3575">
        <f>SUMPRODUCT(Calc!$K$3:$K$22*(Calc!$G$3:$G$22&gt;A3575)*(Calc!$G$3:$G$22-A3575)*(Calc!$G$3:$G$22&gt;B3575)*(Calc!$G$3:$G$22-B3575))</f>
        <v/>
      </c>
      <c r="L3575">
        <f>SUMPRODUCT(Calc!$K$3:$K$22*(Calc!$G$3:$G$22&gt;A3575)*(Calc!$G$3:$G$22-A3575)*Calc!$G$3:$G$22)</f>
        <v/>
      </c>
      <c r="M3575">
        <f>SUMPRODUCT(Calc!$K$3:$K$22*(Calc!$G$3:$G$22&gt;B3575)*(Calc!$G$3:$G$22-B3575)*Calc!$G$3:$G$22)</f>
        <v/>
      </c>
      <c r="N3575">
        <f>SUMPRODUCT(Calc!$K$3:$K$22*(Calc!$G$3:$G$22&gt;A3575)*(Calc!$G$3:$G$22-A3575)*Calc!$I$3:$I$22)</f>
        <v/>
      </c>
      <c r="O3575">
        <f>SUMPRODUCT(Calc!$K$3:$K$22*(Calc!$G$3:$G$22&gt;B3575)*(Calc!$G$3:$G$22-B3575)*Calc!$I$3:$I$22)</f>
        <v/>
      </c>
      <c r="P3575">
        <f>I3575-G3575^2/k_n</f>
        <v/>
      </c>
      <c r="Q3575">
        <f>J3575-H3575^2/k_n</f>
        <v/>
      </c>
      <c r="R3575">
        <f>K3575-G3575*H3575/k_n</f>
        <v/>
      </c>
      <c r="S3575">
        <f>L3575-LTP3!$D$3*G3575/k_n</f>
        <v/>
      </c>
      <c r="T3575">
        <f>M3575-LTP3!$D$3*H3575/k_n</f>
        <v/>
      </c>
      <c r="U3575">
        <f>N3575-G3575*LTP3!$D$4/k_n</f>
        <v/>
      </c>
      <c r="V3575">
        <f>O3575-H3575*LTP3!$D$4/k_n</f>
        <v/>
      </c>
      <c r="W3575">
        <f>((LTP3!$D$5)*((P3575)*(Q3575)-(R3575)*(R3575))-(S3575)*((S3575)*(Q3575)-(R3575)*(T3575))+(T3575)*((S3575)*(R3575)-(P3575)*(T3575)))</f>
        <v/>
      </c>
      <c r="X3575">
        <f>IF(ABS(W3575)&gt;1E-12,((LTP3!$D$6)*((P3575)*(Q3575)-(R3575)*(R3575))-(S3575)*((U3575)*(Q3575)-(R3575)*(V3575))+(T3575)*((U3575)*(R3575)-(P3575)*(V3575)))/W3575,0)</f>
        <v/>
      </c>
      <c r="Y3575">
        <f>IF(ABS(W3575)&gt;1E-12,((LTP3!$D$5)*((U3575)*(Q3575)-(R3575)*(V3575))-(LTP3!$D$6)*((S3575)*(Q3575)-(R3575)*(T3575))+(T3575)*((S3575)*(V3575)-(U3575)*(T3575)))/W3575,0)</f>
        <v/>
      </c>
      <c r="Z3575">
        <f>IF(ABS(W3575)&gt;1E-12,((LTP3!$D$5)*((P3575)*(V3575)-(U3575)*(R3575))-(S3575)*((S3575)*(V3575)-(U3575)*(T3575))+(LTP3!$D$6)*((S3575)*(R3575)-(P3575)*(T3575)))/W3575,0)</f>
        <v/>
      </c>
      <c r="AA3575">
        <f>LTP3!$D$7-X3575*LTP3!$D$6-Y3575*U3575-Z3575*V3575</f>
        <v/>
      </c>
      <c r="AB3575">
        <f>IF(AND(F3575,ABS(W3575)&gt;1E-12,Y3575&gt;0,Z3575&gt;0),AA3575,1E+300)</f>
        <v/>
      </c>
    </row>
    <row r="3576">
      <c r="A3576">
        <f>$B$3+$B$5*58</f>
        <v/>
      </c>
      <c r="B3576">
        <f>$B$3+$B$5*26</f>
        <v/>
      </c>
      <c r="C3576">
        <f>SUMPRODUCT(Calc!$K$3:$K$22*(Calc!$G$3:$G$22&lt;=A3576))</f>
        <v/>
      </c>
      <c r="D3576">
        <f>SUMPRODUCT(Calc!$K$3:$K$22*(Calc!$G$3:$G$22&gt;A3576)*(Calc!$G$3:$G$22&lt;B3576))</f>
        <v/>
      </c>
      <c r="E3576">
        <f>SUMPRODUCT(Calc!$K$3:$K$22*(Calc!$G$3:$G$22&gt;=B3576))</f>
        <v/>
      </c>
      <c r="F3576">
        <f>AND(k_n&gt;=5,B3576&gt;A3576+1E-9,C3576&gt;=2,D3576&gt;=1,E3576&gt;=2)</f>
        <v/>
      </c>
      <c r="G3576">
        <f>SUMPRODUCT(Calc!$K$3:$K$22*(Calc!$G$3:$G$22&gt;A3576)*(Calc!$G$3:$G$22-A3576))</f>
        <v/>
      </c>
      <c r="H3576">
        <f>SUMPRODUCT(Calc!$K$3:$K$22*(Calc!$G$3:$G$22&gt;B3576)*(Calc!$G$3:$G$22-B3576))</f>
        <v/>
      </c>
      <c r="I3576">
        <f>SUMPRODUCT(Calc!$K$3:$K$22*(Calc!$G$3:$G$22&gt;A3576)*(Calc!$G$3:$G$22-A3576)^2)</f>
        <v/>
      </c>
      <c r="J3576">
        <f>SUMPRODUCT(Calc!$K$3:$K$22*(Calc!$G$3:$G$22&gt;B3576)*(Calc!$G$3:$G$22-B3576)^2)</f>
        <v/>
      </c>
      <c r="K3576">
        <f>SUMPRODUCT(Calc!$K$3:$K$22*(Calc!$G$3:$G$22&gt;A3576)*(Calc!$G$3:$G$22-A3576)*(Calc!$G$3:$G$22&gt;B3576)*(Calc!$G$3:$G$22-B3576))</f>
        <v/>
      </c>
      <c r="L3576">
        <f>SUMPRODUCT(Calc!$K$3:$K$22*(Calc!$G$3:$G$22&gt;A3576)*(Calc!$G$3:$G$22-A3576)*Calc!$G$3:$G$22)</f>
        <v/>
      </c>
      <c r="M3576">
        <f>SUMPRODUCT(Calc!$K$3:$K$22*(Calc!$G$3:$G$22&gt;B3576)*(Calc!$G$3:$G$22-B3576)*Calc!$G$3:$G$22)</f>
        <v/>
      </c>
      <c r="N3576">
        <f>SUMPRODUCT(Calc!$K$3:$K$22*(Calc!$G$3:$G$22&gt;A3576)*(Calc!$G$3:$G$22-A3576)*Calc!$I$3:$I$22)</f>
        <v/>
      </c>
      <c r="O3576">
        <f>SUMPRODUCT(Calc!$K$3:$K$22*(Calc!$G$3:$G$22&gt;B3576)*(Calc!$G$3:$G$22-B3576)*Calc!$I$3:$I$22)</f>
        <v/>
      </c>
      <c r="P3576">
        <f>I3576-G3576^2/k_n</f>
        <v/>
      </c>
      <c r="Q3576">
        <f>J3576-H3576^2/k_n</f>
        <v/>
      </c>
      <c r="R3576">
        <f>K3576-G3576*H3576/k_n</f>
        <v/>
      </c>
      <c r="S3576">
        <f>L3576-LTP3!$D$3*G3576/k_n</f>
        <v/>
      </c>
      <c r="T3576">
        <f>M3576-LTP3!$D$3*H3576/k_n</f>
        <v/>
      </c>
      <c r="U3576">
        <f>N3576-G3576*LTP3!$D$4/k_n</f>
        <v/>
      </c>
      <c r="V3576">
        <f>O3576-H3576*LTP3!$D$4/k_n</f>
        <v/>
      </c>
      <c r="W3576">
        <f>((LTP3!$D$5)*((P3576)*(Q3576)-(R3576)*(R3576))-(S3576)*((S3576)*(Q3576)-(R3576)*(T3576))+(T3576)*((S3576)*(R3576)-(P3576)*(T3576)))</f>
        <v/>
      </c>
      <c r="X3576">
        <f>IF(ABS(W3576)&gt;1E-12,((LTP3!$D$6)*((P3576)*(Q3576)-(R3576)*(R3576))-(S3576)*((U3576)*(Q3576)-(R3576)*(V3576))+(T3576)*((U3576)*(R3576)-(P3576)*(V3576)))/W3576,0)</f>
        <v/>
      </c>
      <c r="Y3576">
        <f>IF(ABS(W3576)&gt;1E-12,((LTP3!$D$5)*((U3576)*(Q3576)-(R3576)*(V3576))-(LTP3!$D$6)*((S3576)*(Q3576)-(R3576)*(T3576))+(T3576)*((S3576)*(V3576)-(U3576)*(T3576)))/W3576,0)</f>
        <v/>
      </c>
      <c r="Z3576">
        <f>IF(ABS(W3576)&gt;1E-12,((LTP3!$D$5)*((P3576)*(V3576)-(U3576)*(R3576))-(S3576)*((S3576)*(V3576)-(U3576)*(T3576))+(LTP3!$D$6)*((S3576)*(R3576)-(P3576)*(T3576)))/W3576,0)</f>
        <v/>
      </c>
      <c r="AA3576">
        <f>LTP3!$D$7-X3576*LTP3!$D$6-Y3576*U3576-Z3576*V3576</f>
        <v/>
      </c>
      <c r="AB3576">
        <f>IF(AND(F3576,ABS(W3576)&gt;1E-12,Y3576&gt;0,Z3576&gt;0),AA3576,1E+300)</f>
        <v/>
      </c>
    </row>
    <row r="3577">
      <c r="A3577">
        <f>$B$3+$B$5*58</f>
        <v/>
      </c>
      <c r="B3577">
        <f>$B$3+$B$5*27</f>
        <v/>
      </c>
      <c r="C3577">
        <f>SUMPRODUCT(Calc!$K$3:$K$22*(Calc!$G$3:$G$22&lt;=A3577))</f>
        <v/>
      </c>
      <c r="D3577">
        <f>SUMPRODUCT(Calc!$K$3:$K$22*(Calc!$G$3:$G$22&gt;A3577)*(Calc!$G$3:$G$22&lt;B3577))</f>
        <v/>
      </c>
      <c r="E3577">
        <f>SUMPRODUCT(Calc!$K$3:$K$22*(Calc!$G$3:$G$22&gt;=B3577))</f>
        <v/>
      </c>
      <c r="F3577">
        <f>AND(k_n&gt;=5,B3577&gt;A3577+1E-9,C3577&gt;=2,D3577&gt;=1,E3577&gt;=2)</f>
        <v/>
      </c>
      <c r="G3577">
        <f>SUMPRODUCT(Calc!$K$3:$K$22*(Calc!$G$3:$G$22&gt;A3577)*(Calc!$G$3:$G$22-A3577))</f>
        <v/>
      </c>
      <c r="H3577">
        <f>SUMPRODUCT(Calc!$K$3:$K$22*(Calc!$G$3:$G$22&gt;B3577)*(Calc!$G$3:$G$22-B3577))</f>
        <v/>
      </c>
      <c r="I3577">
        <f>SUMPRODUCT(Calc!$K$3:$K$22*(Calc!$G$3:$G$22&gt;A3577)*(Calc!$G$3:$G$22-A3577)^2)</f>
        <v/>
      </c>
      <c r="J3577">
        <f>SUMPRODUCT(Calc!$K$3:$K$22*(Calc!$G$3:$G$22&gt;B3577)*(Calc!$G$3:$G$22-B3577)^2)</f>
        <v/>
      </c>
      <c r="K3577">
        <f>SUMPRODUCT(Calc!$K$3:$K$22*(Calc!$G$3:$G$22&gt;A3577)*(Calc!$G$3:$G$22-A3577)*(Calc!$G$3:$G$22&gt;B3577)*(Calc!$G$3:$G$22-B3577))</f>
        <v/>
      </c>
      <c r="L3577">
        <f>SUMPRODUCT(Calc!$K$3:$K$22*(Calc!$G$3:$G$22&gt;A3577)*(Calc!$G$3:$G$22-A3577)*Calc!$G$3:$G$22)</f>
        <v/>
      </c>
      <c r="M3577">
        <f>SUMPRODUCT(Calc!$K$3:$K$22*(Calc!$G$3:$G$22&gt;B3577)*(Calc!$G$3:$G$22-B3577)*Calc!$G$3:$G$22)</f>
        <v/>
      </c>
      <c r="N3577">
        <f>SUMPRODUCT(Calc!$K$3:$K$22*(Calc!$G$3:$G$22&gt;A3577)*(Calc!$G$3:$G$22-A3577)*Calc!$I$3:$I$22)</f>
        <v/>
      </c>
      <c r="O3577">
        <f>SUMPRODUCT(Calc!$K$3:$K$22*(Calc!$G$3:$G$22&gt;B3577)*(Calc!$G$3:$G$22-B3577)*Calc!$I$3:$I$22)</f>
        <v/>
      </c>
      <c r="P3577">
        <f>I3577-G3577^2/k_n</f>
        <v/>
      </c>
      <c r="Q3577">
        <f>J3577-H3577^2/k_n</f>
        <v/>
      </c>
      <c r="R3577">
        <f>K3577-G3577*H3577/k_n</f>
        <v/>
      </c>
      <c r="S3577">
        <f>L3577-LTP3!$D$3*G3577/k_n</f>
        <v/>
      </c>
      <c r="T3577">
        <f>M3577-LTP3!$D$3*H3577/k_n</f>
        <v/>
      </c>
      <c r="U3577">
        <f>N3577-G3577*LTP3!$D$4/k_n</f>
        <v/>
      </c>
      <c r="V3577">
        <f>O3577-H3577*LTP3!$D$4/k_n</f>
        <v/>
      </c>
      <c r="W3577">
        <f>((LTP3!$D$5)*((P3577)*(Q3577)-(R3577)*(R3577))-(S3577)*((S3577)*(Q3577)-(R3577)*(T3577))+(T3577)*((S3577)*(R3577)-(P3577)*(T3577)))</f>
        <v/>
      </c>
      <c r="X3577">
        <f>IF(ABS(W3577)&gt;1E-12,((LTP3!$D$6)*((P3577)*(Q3577)-(R3577)*(R3577))-(S3577)*((U3577)*(Q3577)-(R3577)*(V3577))+(T3577)*((U3577)*(R3577)-(P3577)*(V3577)))/W3577,0)</f>
        <v/>
      </c>
      <c r="Y3577">
        <f>IF(ABS(W3577)&gt;1E-12,((LTP3!$D$5)*((U3577)*(Q3577)-(R3577)*(V3577))-(LTP3!$D$6)*((S3577)*(Q3577)-(R3577)*(T3577))+(T3577)*((S3577)*(V3577)-(U3577)*(T3577)))/W3577,0)</f>
        <v/>
      </c>
      <c r="Z3577">
        <f>IF(ABS(W3577)&gt;1E-12,((LTP3!$D$5)*((P3577)*(V3577)-(U3577)*(R3577))-(S3577)*((S3577)*(V3577)-(U3577)*(T3577))+(LTP3!$D$6)*((S3577)*(R3577)-(P3577)*(T3577)))/W3577,0)</f>
        <v/>
      </c>
      <c r="AA3577">
        <f>LTP3!$D$7-X3577*LTP3!$D$6-Y3577*U3577-Z3577*V3577</f>
        <v/>
      </c>
      <c r="AB3577">
        <f>IF(AND(F3577,ABS(W3577)&gt;1E-12,Y3577&gt;0,Z3577&gt;0),AA3577,1E+300)</f>
        <v/>
      </c>
    </row>
    <row r="3578">
      <c r="A3578">
        <f>$B$3+$B$5*58</f>
        <v/>
      </c>
      <c r="B3578">
        <f>$B$3+$B$5*28</f>
        <v/>
      </c>
      <c r="C3578">
        <f>SUMPRODUCT(Calc!$K$3:$K$22*(Calc!$G$3:$G$22&lt;=A3578))</f>
        <v/>
      </c>
      <c r="D3578">
        <f>SUMPRODUCT(Calc!$K$3:$K$22*(Calc!$G$3:$G$22&gt;A3578)*(Calc!$G$3:$G$22&lt;B3578))</f>
        <v/>
      </c>
      <c r="E3578">
        <f>SUMPRODUCT(Calc!$K$3:$K$22*(Calc!$G$3:$G$22&gt;=B3578))</f>
        <v/>
      </c>
      <c r="F3578">
        <f>AND(k_n&gt;=5,B3578&gt;A3578+1E-9,C3578&gt;=2,D3578&gt;=1,E3578&gt;=2)</f>
        <v/>
      </c>
      <c r="G3578">
        <f>SUMPRODUCT(Calc!$K$3:$K$22*(Calc!$G$3:$G$22&gt;A3578)*(Calc!$G$3:$G$22-A3578))</f>
        <v/>
      </c>
      <c r="H3578">
        <f>SUMPRODUCT(Calc!$K$3:$K$22*(Calc!$G$3:$G$22&gt;B3578)*(Calc!$G$3:$G$22-B3578))</f>
        <v/>
      </c>
      <c r="I3578">
        <f>SUMPRODUCT(Calc!$K$3:$K$22*(Calc!$G$3:$G$22&gt;A3578)*(Calc!$G$3:$G$22-A3578)^2)</f>
        <v/>
      </c>
      <c r="J3578">
        <f>SUMPRODUCT(Calc!$K$3:$K$22*(Calc!$G$3:$G$22&gt;B3578)*(Calc!$G$3:$G$22-B3578)^2)</f>
        <v/>
      </c>
      <c r="K3578">
        <f>SUMPRODUCT(Calc!$K$3:$K$22*(Calc!$G$3:$G$22&gt;A3578)*(Calc!$G$3:$G$22-A3578)*(Calc!$G$3:$G$22&gt;B3578)*(Calc!$G$3:$G$22-B3578))</f>
        <v/>
      </c>
      <c r="L3578">
        <f>SUMPRODUCT(Calc!$K$3:$K$22*(Calc!$G$3:$G$22&gt;A3578)*(Calc!$G$3:$G$22-A3578)*Calc!$G$3:$G$22)</f>
        <v/>
      </c>
      <c r="M3578">
        <f>SUMPRODUCT(Calc!$K$3:$K$22*(Calc!$G$3:$G$22&gt;B3578)*(Calc!$G$3:$G$22-B3578)*Calc!$G$3:$G$22)</f>
        <v/>
      </c>
      <c r="N3578">
        <f>SUMPRODUCT(Calc!$K$3:$K$22*(Calc!$G$3:$G$22&gt;A3578)*(Calc!$G$3:$G$22-A3578)*Calc!$I$3:$I$22)</f>
        <v/>
      </c>
      <c r="O3578">
        <f>SUMPRODUCT(Calc!$K$3:$K$22*(Calc!$G$3:$G$22&gt;B3578)*(Calc!$G$3:$G$22-B3578)*Calc!$I$3:$I$22)</f>
        <v/>
      </c>
      <c r="P3578">
        <f>I3578-G3578^2/k_n</f>
        <v/>
      </c>
      <c r="Q3578">
        <f>J3578-H3578^2/k_n</f>
        <v/>
      </c>
      <c r="R3578">
        <f>K3578-G3578*H3578/k_n</f>
        <v/>
      </c>
      <c r="S3578">
        <f>L3578-LTP3!$D$3*G3578/k_n</f>
        <v/>
      </c>
      <c r="T3578">
        <f>M3578-LTP3!$D$3*H3578/k_n</f>
        <v/>
      </c>
      <c r="U3578">
        <f>N3578-G3578*LTP3!$D$4/k_n</f>
        <v/>
      </c>
      <c r="V3578">
        <f>O3578-H3578*LTP3!$D$4/k_n</f>
        <v/>
      </c>
      <c r="W3578">
        <f>((LTP3!$D$5)*((P3578)*(Q3578)-(R3578)*(R3578))-(S3578)*((S3578)*(Q3578)-(R3578)*(T3578))+(T3578)*((S3578)*(R3578)-(P3578)*(T3578)))</f>
        <v/>
      </c>
      <c r="X3578">
        <f>IF(ABS(W3578)&gt;1E-12,((LTP3!$D$6)*((P3578)*(Q3578)-(R3578)*(R3578))-(S3578)*((U3578)*(Q3578)-(R3578)*(V3578))+(T3578)*((U3578)*(R3578)-(P3578)*(V3578)))/W3578,0)</f>
        <v/>
      </c>
      <c r="Y3578">
        <f>IF(ABS(W3578)&gt;1E-12,((LTP3!$D$5)*((U3578)*(Q3578)-(R3578)*(V3578))-(LTP3!$D$6)*((S3578)*(Q3578)-(R3578)*(T3578))+(T3578)*((S3578)*(V3578)-(U3578)*(T3578)))/W3578,0)</f>
        <v/>
      </c>
      <c r="Z3578">
        <f>IF(ABS(W3578)&gt;1E-12,((LTP3!$D$5)*((P3578)*(V3578)-(U3578)*(R3578))-(S3578)*((S3578)*(V3578)-(U3578)*(T3578))+(LTP3!$D$6)*((S3578)*(R3578)-(P3578)*(T3578)))/W3578,0)</f>
        <v/>
      </c>
      <c r="AA3578">
        <f>LTP3!$D$7-X3578*LTP3!$D$6-Y3578*U3578-Z3578*V3578</f>
        <v/>
      </c>
      <c r="AB3578">
        <f>IF(AND(F3578,ABS(W3578)&gt;1E-12,Y3578&gt;0,Z3578&gt;0),AA3578,1E+300)</f>
        <v/>
      </c>
    </row>
    <row r="3579">
      <c r="A3579">
        <f>$B$3+$B$5*58</f>
        <v/>
      </c>
      <c r="B3579">
        <f>$B$3+$B$5*29</f>
        <v/>
      </c>
      <c r="C3579">
        <f>SUMPRODUCT(Calc!$K$3:$K$22*(Calc!$G$3:$G$22&lt;=A3579))</f>
        <v/>
      </c>
      <c r="D3579">
        <f>SUMPRODUCT(Calc!$K$3:$K$22*(Calc!$G$3:$G$22&gt;A3579)*(Calc!$G$3:$G$22&lt;B3579))</f>
        <v/>
      </c>
      <c r="E3579">
        <f>SUMPRODUCT(Calc!$K$3:$K$22*(Calc!$G$3:$G$22&gt;=B3579))</f>
        <v/>
      </c>
      <c r="F3579">
        <f>AND(k_n&gt;=5,B3579&gt;A3579+1E-9,C3579&gt;=2,D3579&gt;=1,E3579&gt;=2)</f>
        <v/>
      </c>
      <c r="G3579">
        <f>SUMPRODUCT(Calc!$K$3:$K$22*(Calc!$G$3:$G$22&gt;A3579)*(Calc!$G$3:$G$22-A3579))</f>
        <v/>
      </c>
      <c r="H3579">
        <f>SUMPRODUCT(Calc!$K$3:$K$22*(Calc!$G$3:$G$22&gt;B3579)*(Calc!$G$3:$G$22-B3579))</f>
        <v/>
      </c>
      <c r="I3579">
        <f>SUMPRODUCT(Calc!$K$3:$K$22*(Calc!$G$3:$G$22&gt;A3579)*(Calc!$G$3:$G$22-A3579)^2)</f>
        <v/>
      </c>
      <c r="J3579">
        <f>SUMPRODUCT(Calc!$K$3:$K$22*(Calc!$G$3:$G$22&gt;B3579)*(Calc!$G$3:$G$22-B3579)^2)</f>
        <v/>
      </c>
      <c r="K3579">
        <f>SUMPRODUCT(Calc!$K$3:$K$22*(Calc!$G$3:$G$22&gt;A3579)*(Calc!$G$3:$G$22-A3579)*(Calc!$G$3:$G$22&gt;B3579)*(Calc!$G$3:$G$22-B3579))</f>
        <v/>
      </c>
      <c r="L3579">
        <f>SUMPRODUCT(Calc!$K$3:$K$22*(Calc!$G$3:$G$22&gt;A3579)*(Calc!$G$3:$G$22-A3579)*Calc!$G$3:$G$22)</f>
        <v/>
      </c>
      <c r="M3579">
        <f>SUMPRODUCT(Calc!$K$3:$K$22*(Calc!$G$3:$G$22&gt;B3579)*(Calc!$G$3:$G$22-B3579)*Calc!$G$3:$G$22)</f>
        <v/>
      </c>
      <c r="N3579">
        <f>SUMPRODUCT(Calc!$K$3:$K$22*(Calc!$G$3:$G$22&gt;A3579)*(Calc!$G$3:$G$22-A3579)*Calc!$I$3:$I$22)</f>
        <v/>
      </c>
      <c r="O3579">
        <f>SUMPRODUCT(Calc!$K$3:$K$22*(Calc!$G$3:$G$22&gt;B3579)*(Calc!$G$3:$G$22-B3579)*Calc!$I$3:$I$22)</f>
        <v/>
      </c>
      <c r="P3579">
        <f>I3579-G3579^2/k_n</f>
        <v/>
      </c>
      <c r="Q3579">
        <f>J3579-H3579^2/k_n</f>
        <v/>
      </c>
      <c r="R3579">
        <f>K3579-G3579*H3579/k_n</f>
        <v/>
      </c>
      <c r="S3579">
        <f>L3579-LTP3!$D$3*G3579/k_n</f>
        <v/>
      </c>
      <c r="T3579">
        <f>M3579-LTP3!$D$3*H3579/k_n</f>
        <v/>
      </c>
      <c r="U3579">
        <f>N3579-G3579*LTP3!$D$4/k_n</f>
        <v/>
      </c>
      <c r="V3579">
        <f>O3579-H3579*LTP3!$D$4/k_n</f>
        <v/>
      </c>
      <c r="W3579">
        <f>((LTP3!$D$5)*((P3579)*(Q3579)-(R3579)*(R3579))-(S3579)*((S3579)*(Q3579)-(R3579)*(T3579))+(T3579)*((S3579)*(R3579)-(P3579)*(T3579)))</f>
        <v/>
      </c>
      <c r="X3579">
        <f>IF(ABS(W3579)&gt;1E-12,((LTP3!$D$6)*((P3579)*(Q3579)-(R3579)*(R3579))-(S3579)*((U3579)*(Q3579)-(R3579)*(V3579))+(T3579)*((U3579)*(R3579)-(P3579)*(V3579)))/W3579,0)</f>
        <v/>
      </c>
      <c r="Y3579">
        <f>IF(ABS(W3579)&gt;1E-12,((LTP3!$D$5)*((U3579)*(Q3579)-(R3579)*(V3579))-(LTP3!$D$6)*((S3579)*(Q3579)-(R3579)*(T3579))+(T3579)*((S3579)*(V3579)-(U3579)*(T3579)))/W3579,0)</f>
        <v/>
      </c>
      <c r="Z3579">
        <f>IF(ABS(W3579)&gt;1E-12,((LTP3!$D$5)*((P3579)*(V3579)-(U3579)*(R3579))-(S3579)*((S3579)*(V3579)-(U3579)*(T3579))+(LTP3!$D$6)*((S3579)*(R3579)-(P3579)*(T3579)))/W3579,0)</f>
        <v/>
      </c>
      <c r="AA3579">
        <f>LTP3!$D$7-X3579*LTP3!$D$6-Y3579*U3579-Z3579*V3579</f>
        <v/>
      </c>
      <c r="AB3579">
        <f>IF(AND(F3579,ABS(W3579)&gt;1E-12,Y3579&gt;0,Z3579&gt;0),AA3579,1E+300)</f>
        <v/>
      </c>
    </row>
    <row r="3580">
      <c r="A3580">
        <f>$B$3+$B$5*58</f>
        <v/>
      </c>
      <c r="B3580">
        <f>$B$3+$B$5*30</f>
        <v/>
      </c>
      <c r="C3580">
        <f>SUMPRODUCT(Calc!$K$3:$K$22*(Calc!$G$3:$G$22&lt;=A3580))</f>
        <v/>
      </c>
      <c r="D3580">
        <f>SUMPRODUCT(Calc!$K$3:$K$22*(Calc!$G$3:$G$22&gt;A3580)*(Calc!$G$3:$G$22&lt;B3580))</f>
        <v/>
      </c>
      <c r="E3580">
        <f>SUMPRODUCT(Calc!$K$3:$K$22*(Calc!$G$3:$G$22&gt;=B3580))</f>
        <v/>
      </c>
      <c r="F3580">
        <f>AND(k_n&gt;=5,B3580&gt;A3580+1E-9,C3580&gt;=2,D3580&gt;=1,E3580&gt;=2)</f>
        <v/>
      </c>
      <c r="G3580">
        <f>SUMPRODUCT(Calc!$K$3:$K$22*(Calc!$G$3:$G$22&gt;A3580)*(Calc!$G$3:$G$22-A3580))</f>
        <v/>
      </c>
      <c r="H3580">
        <f>SUMPRODUCT(Calc!$K$3:$K$22*(Calc!$G$3:$G$22&gt;B3580)*(Calc!$G$3:$G$22-B3580))</f>
        <v/>
      </c>
      <c r="I3580">
        <f>SUMPRODUCT(Calc!$K$3:$K$22*(Calc!$G$3:$G$22&gt;A3580)*(Calc!$G$3:$G$22-A3580)^2)</f>
        <v/>
      </c>
      <c r="J3580">
        <f>SUMPRODUCT(Calc!$K$3:$K$22*(Calc!$G$3:$G$22&gt;B3580)*(Calc!$G$3:$G$22-B3580)^2)</f>
        <v/>
      </c>
      <c r="K3580">
        <f>SUMPRODUCT(Calc!$K$3:$K$22*(Calc!$G$3:$G$22&gt;A3580)*(Calc!$G$3:$G$22-A3580)*(Calc!$G$3:$G$22&gt;B3580)*(Calc!$G$3:$G$22-B3580))</f>
        <v/>
      </c>
      <c r="L3580">
        <f>SUMPRODUCT(Calc!$K$3:$K$22*(Calc!$G$3:$G$22&gt;A3580)*(Calc!$G$3:$G$22-A3580)*Calc!$G$3:$G$22)</f>
        <v/>
      </c>
      <c r="M3580">
        <f>SUMPRODUCT(Calc!$K$3:$K$22*(Calc!$G$3:$G$22&gt;B3580)*(Calc!$G$3:$G$22-B3580)*Calc!$G$3:$G$22)</f>
        <v/>
      </c>
      <c r="N3580">
        <f>SUMPRODUCT(Calc!$K$3:$K$22*(Calc!$G$3:$G$22&gt;A3580)*(Calc!$G$3:$G$22-A3580)*Calc!$I$3:$I$22)</f>
        <v/>
      </c>
      <c r="O3580">
        <f>SUMPRODUCT(Calc!$K$3:$K$22*(Calc!$G$3:$G$22&gt;B3580)*(Calc!$G$3:$G$22-B3580)*Calc!$I$3:$I$22)</f>
        <v/>
      </c>
      <c r="P3580">
        <f>I3580-G3580^2/k_n</f>
        <v/>
      </c>
      <c r="Q3580">
        <f>J3580-H3580^2/k_n</f>
        <v/>
      </c>
      <c r="R3580">
        <f>K3580-G3580*H3580/k_n</f>
        <v/>
      </c>
      <c r="S3580">
        <f>L3580-LTP3!$D$3*G3580/k_n</f>
        <v/>
      </c>
      <c r="T3580">
        <f>M3580-LTP3!$D$3*H3580/k_n</f>
        <v/>
      </c>
      <c r="U3580">
        <f>N3580-G3580*LTP3!$D$4/k_n</f>
        <v/>
      </c>
      <c r="V3580">
        <f>O3580-H3580*LTP3!$D$4/k_n</f>
        <v/>
      </c>
      <c r="W3580">
        <f>((LTP3!$D$5)*((P3580)*(Q3580)-(R3580)*(R3580))-(S3580)*((S3580)*(Q3580)-(R3580)*(T3580))+(T3580)*((S3580)*(R3580)-(P3580)*(T3580)))</f>
        <v/>
      </c>
      <c r="X3580">
        <f>IF(ABS(W3580)&gt;1E-12,((LTP3!$D$6)*((P3580)*(Q3580)-(R3580)*(R3580))-(S3580)*((U3580)*(Q3580)-(R3580)*(V3580))+(T3580)*((U3580)*(R3580)-(P3580)*(V3580)))/W3580,0)</f>
        <v/>
      </c>
      <c r="Y3580">
        <f>IF(ABS(W3580)&gt;1E-12,((LTP3!$D$5)*((U3580)*(Q3580)-(R3580)*(V3580))-(LTP3!$D$6)*((S3580)*(Q3580)-(R3580)*(T3580))+(T3580)*((S3580)*(V3580)-(U3580)*(T3580)))/W3580,0)</f>
        <v/>
      </c>
      <c r="Z3580">
        <f>IF(ABS(W3580)&gt;1E-12,((LTP3!$D$5)*((P3580)*(V3580)-(U3580)*(R3580))-(S3580)*((S3580)*(V3580)-(U3580)*(T3580))+(LTP3!$D$6)*((S3580)*(R3580)-(P3580)*(T3580)))/W3580,0)</f>
        <v/>
      </c>
      <c r="AA3580">
        <f>LTP3!$D$7-X3580*LTP3!$D$6-Y3580*U3580-Z3580*V3580</f>
        <v/>
      </c>
      <c r="AB3580">
        <f>IF(AND(F3580,ABS(W3580)&gt;1E-12,Y3580&gt;0,Z3580&gt;0),AA3580,1E+300)</f>
        <v/>
      </c>
    </row>
    <row r="3581">
      <c r="A3581">
        <f>$B$3+$B$5*58</f>
        <v/>
      </c>
      <c r="B3581">
        <f>$B$3+$B$5*31</f>
        <v/>
      </c>
      <c r="C3581">
        <f>SUMPRODUCT(Calc!$K$3:$K$22*(Calc!$G$3:$G$22&lt;=A3581))</f>
        <v/>
      </c>
      <c r="D3581">
        <f>SUMPRODUCT(Calc!$K$3:$K$22*(Calc!$G$3:$G$22&gt;A3581)*(Calc!$G$3:$G$22&lt;B3581))</f>
        <v/>
      </c>
      <c r="E3581">
        <f>SUMPRODUCT(Calc!$K$3:$K$22*(Calc!$G$3:$G$22&gt;=B3581))</f>
        <v/>
      </c>
      <c r="F3581">
        <f>AND(k_n&gt;=5,B3581&gt;A3581+1E-9,C3581&gt;=2,D3581&gt;=1,E3581&gt;=2)</f>
        <v/>
      </c>
      <c r="G3581">
        <f>SUMPRODUCT(Calc!$K$3:$K$22*(Calc!$G$3:$G$22&gt;A3581)*(Calc!$G$3:$G$22-A3581))</f>
        <v/>
      </c>
      <c r="H3581">
        <f>SUMPRODUCT(Calc!$K$3:$K$22*(Calc!$G$3:$G$22&gt;B3581)*(Calc!$G$3:$G$22-B3581))</f>
        <v/>
      </c>
      <c r="I3581">
        <f>SUMPRODUCT(Calc!$K$3:$K$22*(Calc!$G$3:$G$22&gt;A3581)*(Calc!$G$3:$G$22-A3581)^2)</f>
        <v/>
      </c>
      <c r="J3581">
        <f>SUMPRODUCT(Calc!$K$3:$K$22*(Calc!$G$3:$G$22&gt;B3581)*(Calc!$G$3:$G$22-B3581)^2)</f>
        <v/>
      </c>
      <c r="K3581">
        <f>SUMPRODUCT(Calc!$K$3:$K$22*(Calc!$G$3:$G$22&gt;A3581)*(Calc!$G$3:$G$22-A3581)*(Calc!$G$3:$G$22&gt;B3581)*(Calc!$G$3:$G$22-B3581))</f>
        <v/>
      </c>
      <c r="L3581">
        <f>SUMPRODUCT(Calc!$K$3:$K$22*(Calc!$G$3:$G$22&gt;A3581)*(Calc!$G$3:$G$22-A3581)*Calc!$G$3:$G$22)</f>
        <v/>
      </c>
      <c r="M3581">
        <f>SUMPRODUCT(Calc!$K$3:$K$22*(Calc!$G$3:$G$22&gt;B3581)*(Calc!$G$3:$G$22-B3581)*Calc!$G$3:$G$22)</f>
        <v/>
      </c>
      <c r="N3581">
        <f>SUMPRODUCT(Calc!$K$3:$K$22*(Calc!$G$3:$G$22&gt;A3581)*(Calc!$G$3:$G$22-A3581)*Calc!$I$3:$I$22)</f>
        <v/>
      </c>
      <c r="O3581">
        <f>SUMPRODUCT(Calc!$K$3:$K$22*(Calc!$G$3:$G$22&gt;B3581)*(Calc!$G$3:$G$22-B3581)*Calc!$I$3:$I$22)</f>
        <v/>
      </c>
      <c r="P3581">
        <f>I3581-G3581^2/k_n</f>
        <v/>
      </c>
      <c r="Q3581">
        <f>J3581-H3581^2/k_n</f>
        <v/>
      </c>
      <c r="R3581">
        <f>K3581-G3581*H3581/k_n</f>
        <v/>
      </c>
      <c r="S3581">
        <f>L3581-LTP3!$D$3*G3581/k_n</f>
        <v/>
      </c>
      <c r="T3581">
        <f>M3581-LTP3!$D$3*H3581/k_n</f>
        <v/>
      </c>
      <c r="U3581">
        <f>N3581-G3581*LTP3!$D$4/k_n</f>
        <v/>
      </c>
      <c r="V3581">
        <f>O3581-H3581*LTP3!$D$4/k_n</f>
        <v/>
      </c>
      <c r="W3581">
        <f>((LTP3!$D$5)*((P3581)*(Q3581)-(R3581)*(R3581))-(S3581)*((S3581)*(Q3581)-(R3581)*(T3581))+(T3581)*((S3581)*(R3581)-(P3581)*(T3581)))</f>
        <v/>
      </c>
      <c r="X3581">
        <f>IF(ABS(W3581)&gt;1E-12,((LTP3!$D$6)*((P3581)*(Q3581)-(R3581)*(R3581))-(S3581)*((U3581)*(Q3581)-(R3581)*(V3581))+(T3581)*((U3581)*(R3581)-(P3581)*(V3581)))/W3581,0)</f>
        <v/>
      </c>
      <c r="Y3581">
        <f>IF(ABS(W3581)&gt;1E-12,((LTP3!$D$5)*((U3581)*(Q3581)-(R3581)*(V3581))-(LTP3!$D$6)*((S3581)*(Q3581)-(R3581)*(T3581))+(T3581)*((S3581)*(V3581)-(U3581)*(T3581)))/W3581,0)</f>
        <v/>
      </c>
      <c r="Z3581">
        <f>IF(ABS(W3581)&gt;1E-12,((LTP3!$D$5)*((P3581)*(V3581)-(U3581)*(R3581))-(S3581)*((S3581)*(V3581)-(U3581)*(T3581))+(LTP3!$D$6)*((S3581)*(R3581)-(P3581)*(T3581)))/W3581,0)</f>
        <v/>
      </c>
      <c r="AA3581">
        <f>LTP3!$D$7-X3581*LTP3!$D$6-Y3581*U3581-Z3581*V3581</f>
        <v/>
      </c>
      <c r="AB3581">
        <f>IF(AND(F3581,ABS(W3581)&gt;1E-12,Y3581&gt;0,Z3581&gt;0),AA3581,1E+300)</f>
        <v/>
      </c>
    </row>
    <row r="3582">
      <c r="A3582">
        <f>$B$3+$B$5*58</f>
        <v/>
      </c>
      <c r="B3582">
        <f>$B$3+$B$5*32</f>
        <v/>
      </c>
      <c r="C3582">
        <f>SUMPRODUCT(Calc!$K$3:$K$22*(Calc!$G$3:$G$22&lt;=A3582))</f>
        <v/>
      </c>
      <c r="D3582">
        <f>SUMPRODUCT(Calc!$K$3:$K$22*(Calc!$G$3:$G$22&gt;A3582)*(Calc!$G$3:$G$22&lt;B3582))</f>
        <v/>
      </c>
      <c r="E3582">
        <f>SUMPRODUCT(Calc!$K$3:$K$22*(Calc!$G$3:$G$22&gt;=B3582))</f>
        <v/>
      </c>
      <c r="F3582">
        <f>AND(k_n&gt;=5,B3582&gt;A3582+1E-9,C3582&gt;=2,D3582&gt;=1,E3582&gt;=2)</f>
        <v/>
      </c>
      <c r="G3582">
        <f>SUMPRODUCT(Calc!$K$3:$K$22*(Calc!$G$3:$G$22&gt;A3582)*(Calc!$G$3:$G$22-A3582))</f>
        <v/>
      </c>
      <c r="H3582">
        <f>SUMPRODUCT(Calc!$K$3:$K$22*(Calc!$G$3:$G$22&gt;B3582)*(Calc!$G$3:$G$22-B3582))</f>
        <v/>
      </c>
      <c r="I3582">
        <f>SUMPRODUCT(Calc!$K$3:$K$22*(Calc!$G$3:$G$22&gt;A3582)*(Calc!$G$3:$G$22-A3582)^2)</f>
        <v/>
      </c>
      <c r="J3582">
        <f>SUMPRODUCT(Calc!$K$3:$K$22*(Calc!$G$3:$G$22&gt;B3582)*(Calc!$G$3:$G$22-B3582)^2)</f>
        <v/>
      </c>
      <c r="K3582">
        <f>SUMPRODUCT(Calc!$K$3:$K$22*(Calc!$G$3:$G$22&gt;A3582)*(Calc!$G$3:$G$22-A3582)*(Calc!$G$3:$G$22&gt;B3582)*(Calc!$G$3:$G$22-B3582))</f>
        <v/>
      </c>
      <c r="L3582">
        <f>SUMPRODUCT(Calc!$K$3:$K$22*(Calc!$G$3:$G$22&gt;A3582)*(Calc!$G$3:$G$22-A3582)*Calc!$G$3:$G$22)</f>
        <v/>
      </c>
      <c r="M3582">
        <f>SUMPRODUCT(Calc!$K$3:$K$22*(Calc!$G$3:$G$22&gt;B3582)*(Calc!$G$3:$G$22-B3582)*Calc!$G$3:$G$22)</f>
        <v/>
      </c>
      <c r="N3582">
        <f>SUMPRODUCT(Calc!$K$3:$K$22*(Calc!$G$3:$G$22&gt;A3582)*(Calc!$G$3:$G$22-A3582)*Calc!$I$3:$I$22)</f>
        <v/>
      </c>
      <c r="O3582">
        <f>SUMPRODUCT(Calc!$K$3:$K$22*(Calc!$G$3:$G$22&gt;B3582)*(Calc!$G$3:$G$22-B3582)*Calc!$I$3:$I$22)</f>
        <v/>
      </c>
      <c r="P3582">
        <f>I3582-G3582^2/k_n</f>
        <v/>
      </c>
      <c r="Q3582">
        <f>J3582-H3582^2/k_n</f>
        <v/>
      </c>
      <c r="R3582">
        <f>K3582-G3582*H3582/k_n</f>
        <v/>
      </c>
      <c r="S3582">
        <f>L3582-LTP3!$D$3*G3582/k_n</f>
        <v/>
      </c>
      <c r="T3582">
        <f>M3582-LTP3!$D$3*H3582/k_n</f>
        <v/>
      </c>
      <c r="U3582">
        <f>N3582-G3582*LTP3!$D$4/k_n</f>
        <v/>
      </c>
      <c r="V3582">
        <f>O3582-H3582*LTP3!$D$4/k_n</f>
        <v/>
      </c>
      <c r="W3582">
        <f>((LTP3!$D$5)*((P3582)*(Q3582)-(R3582)*(R3582))-(S3582)*((S3582)*(Q3582)-(R3582)*(T3582))+(T3582)*((S3582)*(R3582)-(P3582)*(T3582)))</f>
        <v/>
      </c>
      <c r="X3582">
        <f>IF(ABS(W3582)&gt;1E-12,((LTP3!$D$6)*((P3582)*(Q3582)-(R3582)*(R3582))-(S3582)*((U3582)*(Q3582)-(R3582)*(V3582))+(T3582)*((U3582)*(R3582)-(P3582)*(V3582)))/W3582,0)</f>
        <v/>
      </c>
      <c r="Y3582">
        <f>IF(ABS(W3582)&gt;1E-12,((LTP3!$D$5)*((U3582)*(Q3582)-(R3582)*(V3582))-(LTP3!$D$6)*((S3582)*(Q3582)-(R3582)*(T3582))+(T3582)*((S3582)*(V3582)-(U3582)*(T3582)))/W3582,0)</f>
        <v/>
      </c>
      <c r="Z3582">
        <f>IF(ABS(W3582)&gt;1E-12,((LTP3!$D$5)*((P3582)*(V3582)-(U3582)*(R3582))-(S3582)*((S3582)*(V3582)-(U3582)*(T3582))+(LTP3!$D$6)*((S3582)*(R3582)-(P3582)*(T3582)))/W3582,0)</f>
        <v/>
      </c>
      <c r="AA3582">
        <f>LTP3!$D$7-X3582*LTP3!$D$6-Y3582*U3582-Z3582*V3582</f>
        <v/>
      </c>
      <c r="AB3582">
        <f>IF(AND(F3582,ABS(W3582)&gt;1E-12,Y3582&gt;0,Z3582&gt;0),AA3582,1E+300)</f>
        <v/>
      </c>
    </row>
    <row r="3583">
      <c r="A3583">
        <f>$B$3+$B$5*58</f>
        <v/>
      </c>
      <c r="B3583">
        <f>$B$3+$B$5*33</f>
        <v/>
      </c>
      <c r="C3583">
        <f>SUMPRODUCT(Calc!$K$3:$K$22*(Calc!$G$3:$G$22&lt;=A3583))</f>
        <v/>
      </c>
      <c r="D3583">
        <f>SUMPRODUCT(Calc!$K$3:$K$22*(Calc!$G$3:$G$22&gt;A3583)*(Calc!$G$3:$G$22&lt;B3583))</f>
        <v/>
      </c>
      <c r="E3583">
        <f>SUMPRODUCT(Calc!$K$3:$K$22*(Calc!$G$3:$G$22&gt;=B3583))</f>
        <v/>
      </c>
      <c r="F3583">
        <f>AND(k_n&gt;=5,B3583&gt;A3583+1E-9,C3583&gt;=2,D3583&gt;=1,E3583&gt;=2)</f>
        <v/>
      </c>
      <c r="G3583">
        <f>SUMPRODUCT(Calc!$K$3:$K$22*(Calc!$G$3:$G$22&gt;A3583)*(Calc!$G$3:$G$22-A3583))</f>
        <v/>
      </c>
      <c r="H3583">
        <f>SUMPRODUCT(Calc!$K$3:$K$22*(Calc!$G$3:$G$22&gt;B3583)*(Calc!$G$3:$G$22-B3583))</f>
        <v/>
      </c>
      <c r="I3583">
        <f>SUMPRODUCT(Calc!$K$3:$K$22*(Calc!$G$3:$G$22&gt;A3583)*(Calc!$G$3:$G$22-A3583)^2)</f>
        <v/>
      </c>
      <c r="J3583">
        <f>SUMPRODUCT(Calc!$K$3:$K$22*(Calc!$G$3:$G$22&gt;B3583)*(Calc!$G$3:$G$22-B3583)^2)</f>
        <v/>
      </c>
      <c r="K3583">
        <f>SUMPRODUCT(Calc!$K$3:$K$22*(Calc!$G$3:$G$22&gt;A3583)*(Calc!$G$3:$G$22-A3583)*(Calc!$G$3:$G$22&gt;B3583)*(Calc!$G$3:$G$22-B3583))</f>
        <v/>
      </c>
      <c r="L3583">
        <f>SUMPRODUCT(Calc!$K$3:$K$22*(Calc!$G$3:$G$22&gt;A3583)*(Calc!$G$3:$G$22-A3583)*Calc!$G$3:$G$22)</f>
        <v/>
      </c>
      <c r="M3583">
        <f>SUMPRODUCT(Calc!$K$3:$K$22*(Calc!$G$3:$G$22&gt;B3583)*(Calc!$G$3:$G$22-B3583)*Calc!$G$3:$G$22)</f>
        <v/>
      </c>
      <c r="N3583">
        <f>SUMPRODUCT(Calc!$K$3:$K$22*(Calc!$G$3:$G$22&gt;A3583)*(Calc!$G$3:$G$22-A3583)*Calc!$I$3:$I$22)</f>
        <v/>
      </c>
      <c r="O3583">
        <f>SUMPRODUCT(Calc!$K$3:$K$22*(Calc!$G$3:$G$22&gt;B3583)*(Calc!$G$3:$G$22-B3583)*Calc!$I$3:$I$22)</f>
        <v/>
      </c>
      <c r="P3583">
        <f>I3583-G3583^2/k_n</f>
        <v/>
      </c>
      <c r="Q3583">
        <f>J3583-H3583^2/k_n</f>
        <v/>
      </c>
      <c r="R3583">
        <f>K3583-G3583*H3583/k_n</f>
        <v/>
      </c>
      <c r="S3583">
        <f>L3583-LTP3!$D$3*G3583/k_n</f>
        <v/>
      </c>
      <c r="T3583">
        <f>M3583-LTP3!$D$3*H3583/k_n</f>
        <v/>
      </c>
      <c r="U3583">
        <f>N3583-G3583*LTP3!$D$4/k_n</f>
        <v/>
      </c>
      <c r="V3583">
        <f>O3583-H3583*LTP3!$D$4/k_n</f>
        <v/>
      </c>
      <c r="W3583">
        <f>((LTP3!$D$5)*((P3583)*(Q3583)-(R3583)*(R3583))-(S3583)*((S3583)*(Q3583)-(R3583)*(T3583))+(T3583)*((S3583)*(R3583)-(P3583)*(T3583)))</f>
        <v/>
      </c>
      <c r="X3583">
        <f>IF(ABS(W3583)&gt;1E-12,((LTP3!$D$6)*((P3583)*(Q3583)-(R3583)*(R3583))-(S3583)*((U3583)*(Q3583)-(R3583)*(V3583))+(T3583)*((U3583)*(R3583)-(P3583)*(V3583)))/W3583,0)</f>
        <v/>
      </c>
      <c r="Y3583">
        <f>IF(ABS(W3583)&gt;1E-12,((LTP3!$D$5)*((U3583)*(Q3583)-(R3583)*(V3583))-(LTP3!$D$6)*((S3583)*(Q3583)-(R3583)*(T3583))+(T3583)*((S3583)*(V3583)-(U3583)*(T3583)))/W3583,0)</f>
        <v/>
      </c>
      <c r="Z3583">
        <f>IF(ABS(W3583)&gt;1E-12,((LTP3!$D$5)*((P3583)*(V3583)-(U3583)*(R3583))-(S3583)*((S3583)*(V3583)-(U3583)*(T3583))+(LTP3!$D$6)*((S3583)*(R3583)-(P3583)*(T3583)))/W3583,0)</f>
        <v/>
      </c>
      <c r="AA3583">
        <f>LTP3!$D$7-X3583*LTP3!$D$6-Y3583*U3583-Z3583*V3583</f>
        <v/>
      </c>
      <c r="AB3583">
        <f>IF(AND(F3583,ABS(W3583)&gt;1E-12,Y3583&gt;0,Z3583&gt;0),AA3583,1E+300)</f>
        <v/>
      </c>
    </row>
    <row r="3584">
      <c r="A3584">
        <f>$B$3+$B$5*58</f>
        <v/>
      </c>
      <c r="B3584">
        <f>$B$3+$B$5*34</f>
        <v/>
      </c>
      <c r="C3584">
        <f>SUMPRODUCT(Calc!$K$3:$K$22*(Calc!$G$3:$G$22&lt;=A3584))</f>
        <v/>
      </c>
      <c r="D3584">
        <f>SUMPRODUCT(Calc!$K$3:$K$22*(Calc!$G$3:$G$22&gt;A3584)*(Calc!$G$3:$G$22&lt;B3584))</f>
        <v/>
      </c>
      <c r="E3584">
        <f>SUMPRODUCT(Calc!$K$3:$K$22*(Calc!$G$3:$G$22&gt;=B3584))</f>
        <v/>
      </c>
      <c r="F3584">
        <f>AND(k_n&gt;=5,B3584&gt;A3584+1E-9,C3584&gt;=2,D3584&gt;=1,E3584&gt;=2)</f>
        <v/>
      </c>
      <c r="G3584">
        <f>SUMPRODUCT(Calc!$K$3:$K$22*(Calc!$G$3:$G$22&gt;A3584)*(Calc!$G$3:$G$22-A3584))</f>
        <v/>
      </c>
      <c r="H3584">
        <f>SUMPRODUCT(Calc!$K$3:$K$22*(Calc!$G$3:$G$22&gt;B3584)*(Calc!$G$3:$G$22-B3584))</f>
        <v/>
      </c>
      <c r="I3584">
        <f>SUMPRODUCT(Calc!$K$3:$K$22*(Calc!$G$3:$G$22&gt;A3584)*(Calc!$G$3:$G$22-A3584)^2)</f>
        <v/>
      </c>
      <c r="J3584">
        <f>SUMPRODUCT(Calc!$K$3:$K$22*(Calc!$G$3:$G$22&gt;B3584)*(Calc!$G$3:$G$22-B3584)^2)</f>
        <v/>
      </c>
      <c r="K3584">
        <f>SUMPRODUCT(Calc!$K$3:$K$22*(Calc!$G$3:$G$22&gt;A3584)*(Calc!$G$3:$G$22-A3584)*(Calc!$G$3:$G$22&gt;B3584)*(Calc!$G$3:$G$22-B3584))</f>
        <v/>
      </c>
      <c r="L3584">
        <f>SUMPRODUCT(Calc!$K$3:$K$22*(Calc!$G$3:$G$22&gt;A3584)*(Calc!$G$3:$G$22-A3584)*Calc!$G$3:$G$22)</f>
        <v/>
      </c>
      <c r="M3584">
        <f>SUMPRODUCT(Calc!$K$3:$K$22*(Calc!$G$3:$G$22&gt;B3584)*(Calc!$G$3:$G$22-B3584)*Calc!$G$3:$G$22)</f>
        <v/>
      </c>
      <c r="N3584">
        <f>SUMPRODUCT(Calc!$K$3:$K$22*(Calc!$G$3:$G$22&gt;A3584)*(Calc!$G$3:$G$22-A3584)*Calc!$I$3:$I$22)</f>
        <v/>
      </c>
      <c r="O3584">
        <f>SUMPRODUCT(Calc!$K$3:$K$22*(Calc!$G$3:$G$22&gt;B3584)*(Calc!$G$3:$G$22-B3584)*Calc!$I$3:$I$22)</f>
        <v/>
      </c>
      <c r="P3584">
        <f>I3584-G3584^2/k_n</f>
        <v/>
      </c>
      <c r="Q3584">
        <f>J3584-H3584^2/k_n</f>
        <v/>
      </c>
      <c r="R3584">
        <f>K3584-G3584*H3584/k_n</f>
        <v/>
      </c>
      <c r="S3584">
        <f>L3584-LTP3!$D$3*G3584/k_n</f>
        <v/>
      </c>
      <c r="T3584">
        <f>M3584-LTP3!$D$3*H3584/k_n</f>
        <v/>
      </c>
      <c r="U3584">
        <f>N3584-G3584*LTP3!$D$4/k_n</f>
        <v/>
      </c>
      <c r="V3584">
        <f>O3584-H3584*LTP3!$D$4/k_n</f>
        <v/>
      </c>
      <c r="W3584">
        <f>((LTP3!$D$5)*((P3584)*(Q3584)-(R3584)*(R3584))-(S3584)*((S3584)*(Q3584)-(R3584)*(T3584))+(T3584)*((S3584)*(R3584)-(P3584)*(T3584)))</f>
        <v/>
      </c>
      <c r="X3584">
        <f>IF(ABS(W3584)&gt;1E-12,((LTP3!$D$6)*((P3584)*(Q3584)-(R3584)*(R3584))-(S3584)*((U3584)*(Q3584)-(R3584)*(V3584))+(T3584)*((U3584)*(R3584)-(P3584)*(V3584)))/W3584,0)</f>
        <v/>
      </c>
      <c r="Y3584">
        <f>IF(ABS(W3584)&gt;1E-12,((LTP3!$D$5)*((U3584)*(Q3584)-(R3584)*(V3584))-(LTP3!$D$6)*((S3584)*(Q3584)-(R3584)*(T3584))+(T3584)*((S3584)*(V3584)-(U3584)*(T3584)))/W3584,0)</f>
        <v/>
      </c>
      <c r="Z3584">
        <f>IF(ABS(W3584)&gt;1E-12,((LTP3!$D$5)*((P3584)*(V3584)-(U3584)*(R3584))-(S3584)*((S3584)*(V3584)-(U3584)*(T3584))+(LTP3!$D$6)*((S3584)*(R3584)-(P3584)*(T3584)))/W3584,0)</f>
        <v/>
      </c>
      <c r="AA3584">
        <f>LTP3!$D$7-X3584*LTP3!$D$6-Y3584*U3584-Z3584*V3584</f>
        <v/>
      </c>
      <c r="AB3584">
        <f>IF(AND(F3584,ABS(W3584)&gt;1E-12,Y3584&gt;0,Z3584&gt;0),AA3584,1E+300)</f>
        <v/>
      </c>
    </row>
    <row r="3585">
      <c r="A3585">
        <f>$B$3+$B$5*58</f>
        <v/>
      </c>
      <c r="B3585">
        <f>$B$3+$B$5*35</f>
        <v/>
      </c>
      <c r="C3585">
        <f>SUMPRODUCT(Calc!$K$3:$K$22*(Calc!$G$3:$G$22&lt;=A3585))</f>
        <v/>
      </c>
      <c r="D3585">
        <f>SUMPRODUCT(Calc!$K$3:$K$22*(Calc!$G$3:$G$22&gt;A3585)*(Calc!$G$3:$G$22&lt;B3585))</f>
        <v/>
      </c>
      <c r="E3585">
        <f>SUMPRODUCT(Calc!$K$3:$K$22*(Calc!$G$3:$G$22&gt;=B3585))</f>
        <v/>
      </c>
      <c r="F3585">
        <f>AND(k_n&gt;=5,B3585&gt;A3585+1E-9,C3585&gt;=2,D3585&gt;=1,E3585&gt;=2)</f>
        <v/>
      </c>
      <c r="G3585">
        <f>SUMPRODUCT(Calc!$K$3:$K$22*(Calc!$G$3:$G$22&gt;A3585)*(Calc!$G$3:$G$22-A3585))</f>
        <v/>
      </c>
      <c r="H3585">
        <f>SUMPRODUCT(Calc!$K$3:$K$22*(Calc!$G$3:$G$22&gt;B3585)*(Calc!$G$3:$G$22-B3585))</f>
        <v/>
      </c>
      <c r="I3585">
        <f>SUMPRODUCT(Calc!$K$3:$K$22*(Calc!$G$3:$G$22&gt;A3585)*(Calc!$G$3:$G$22-A3585)^2)</f>
        <v/>
      </c>
      <c r="J3585">
        <f>SUMPRODUCT(Calc!$K$3:$K$22*(Calc!$G$3:$G$22&gt;B3585)*(Calc!$G$3:$G$22-B3585)^2)</f>
        <v/>
      </c>
      <c r="K3585">
        <f>SUMPRODUCT(Calc!$K$3:$K$22*(Calc!$G$3:$G$22&gt;A3585)*(Calc!$G$3:$G$22-A3585)*(Calc!$G$3:$G$22&gt;B3585)*(Calc!$G$3:$G$22-B3585))</f>
        <v/>
      </c>
      <c r="L3585">
        <f>SUMPRODUCT(Calc!$K$3:$K$22*(Calc!$G$3:$G$22&gt;A3585)*(Calc!$G$3:$G$22-A3585)*Calc!$G$3:$G$22)</f>
        <v/>
      </c>
      <c r="M3585">
        <f>SUMPRODUCT(Calc!$K$3:$K$22*(Calc!$G$3:$G$22&gt;B3585)*(Calc!$G$3:$G$22-B3585)*Calc!$G$3:$G$22)</f>
        <v/>
      </c>
      <c r="N3585">
        <f>SUMPRODUCT(Calc!$K$3:$K$22*(Calc!$G$3:$G$22&gt;A3585)*(Calc!$G$3:$G$22-A3585)*Calc!$I$3:$I$22)</f>
        <v/>
      </c>
      <c r="O3585">
        <f>SUMPRODUCT(Calc!$K$3:$K$22*(Calc!$G$3:$G$22&gt;B3585)*(Calc!$G$3:$G$22-B3585)*Calc!$I$3:$I$22)</f>
        <v/>
      </c>
      <c r="P3585">
        <f>I3585-G3585^2/k_n</f>
        <v/>
      </c>
      <c r="Q3585">
        <f>J3585-H3585^2/k_n</f>
        <v/>
      </c>
      <c r="R3585">
        <f>K3585-G3585*H3585/k_n</f>
        <v/>
      </c>
      <c r="S3585">
        <f>L3585-LTP3!$D$3*G3585/k_n</f>
        <v/>
      </c>
      <c r="T3585">
        <f>M3585-LTP3!$D$3*H3585/k_n</f>
        <v/>
      </c>
      <c r="U3585">
        <f>N3585-G3585*LTP3!$D$4/k_n</f>
        <v/>
      </c>
      <c r="V3585">
        <f>O3585-H3585*LTP3!$D$4/k_n</f>
        <v/>
      </c>
      <c r="W3585">
        <f>((LTP3!$D$5)*((P3585)*(Q3585)-(R3585)*(R3585))-(S3585)*((S3585)*(Q3585)-(R3585)*(T3585))+(T3585)*((S3585)*(R3585)-(P3585)*(T3585)))</f>
        <v/>
      </c>
      <c r="X3585">
        <f>IF(ABS(W3585)&gt;1E-12,((LTP3!$D$6)*((P3585)*(Q3585)-(R3585)*(R3585))-(S3585)*((U3585)*(Q3585)-(R3585)*(V3585))+(T3585)*((U3585)*(R3585)-(P3585)*(V3585)))/W3585,0)</f>
        <v/>
      </c>
      <c r="Y3585">
        <f>IF(ABS(W3585)&gt;1E-12,((LTP3!$D$5)*((U3585)*(Q3585)-(R3585)*(V3585))-(LTP3!$D$6)*((S3585)*(Q3585)-(R3585)*(T3585))+(T3585)*((S3585)*(V3585)-(U3585)*(T3585)))/W3585,0)</f>
        <v/>
      </c>
      <c r="Z3585">
        <f>IF(ABS(W3585)&gt;1E-12,((LTP3!$D$5)*((P3585)*(V3585)-(U3585)*(R3585))-(S3585)*((S3585)*(V3585)-(U3585)*(T3585))+(LTP3!$D$6)*((S3585)*(R3585)-(P3585)*(T3585)))/W3585,0)</f>
        <v/>
      </c>
      <c r="AA3585">
        <f>LTP3!$D$7-X3585*LTP3!$D$6-Y3585*U3585-Z3585*V3585</f>
        <v/>
      </c>
      <c r="AB3585">
        <f>IF(AND(F3585,ABS(W3585)&gt;1E-12,Y3585&gt;0,Z3585&gt;0),AA3585,1E+300)</f>
        <v/>
      </c>
    </row>
    <row r="3586">
      <c r="A3586">
        <f>$B$3+$B$5*58</f>
        <v/>
      </c>
      <c r="B3586">
        <f>$B$3+$B$5*36</f>
        <v/>
      </c>
      <c r="C3586">
        <f>SUMPRODUCT(Calc!$K$3:$K$22*(Calc!$G$3:$G$22&lt;=A3586))</f>
        <v/>
      </c>
      <c r="D3586">
        <f>SUMPRODUCT(Calc!$K$3:$K$22*(Calc!$G$3:$G$22&gt;A3586)*(Calc!$G$3:$G$22&lt;B3586))</f>
        <v/>
      </c>
      <c r="E3586">
        <f>SUMPRODUCT(Calc!$K$3:$K$22*(Calc!$G$3:$G$22&gt;=B3586))</f>
        <v/>
      </c>
      <c r="F3586">
        <f>AND(k_n&gt;=5,B3586&gt;A3586+1E-9,C3586&gt;=2,D3586&gt;=1,E3586&gt;=2)</f>
        <v/>
      </c>
      <c r="G3586">
        <f>SUMPRODUCT(Calc!$K$3:$K$22*(Calc!$G$3:$G$22&gt;A3586)*(Calc!$G$3:$G$22-A3586))</f>
        <v/>
      </c>
      <c r="H3586">
        <f>SUMPRODUCT(Calc!$K$3:$K$22*(Calc!$G$3:$G$22&gt;B3586)*(Calc!$G$3:$G$22-B3586))</f>
        <v/>
      </c>
      <c r="I3586">
        <f>SUMPRODUCT(Calc!$K$3:$K$22*(Calc!$G$3:$G$22&gt;A3586)*(Calc!$G$3:$G$22-A3586)^2)</f>
        <v/>
      </c>
      <c r="J3586">
        <f>SUMPRODUCT(Calc!$K$3:$K$22*(Calc!$G$3:$G$22&gt;B3586)*(Calc!$G$3:$G$22-B3586)^2)</f>
        <v/>
      </c>
      <c r="K3586">
        <f>SUMPRODUCT(Calc!$K$3:$K$22*(Calc!$G$3:$G$22&gt;A3586)*(Calc!$G$3:$G$22-A3586)*(Calc!$G$3:$G$22&gt;B3586)*(Calc!$G$3:$G$22-B3586))</f>
        <v/>
      </c>
      <c r="L3586">
        <f>SUMPRODUCT(Calc!$K$3:$K$22*(Calc!$G$3:$G$22&gt;A3586)*(Calc!$G$3:$G$22-A3586)*Calc!$G$3:$G$22)</f>
        <v/>
      </c>
      <c r="M3586">
        <f>SUMPRODUCT(Calc!$K$3:$K$22*(Calc!$G$3:$G$22&gt;B3586)*(Calc!$G$3:$G$22-B3586)*Calc!$G$3:$G$22)</f>
        <v/>
      </c>
      <c r="N3586">
        <f>SUMPRODUCT(Calc!$K$3:$K$22*(Calc!$G$3:$G$22&gt;A3586)*(Calc!$G$3:$G$22-A3586)*Calc!$I$3:$I$22)</f>
        <v/>
      </c>
      <c r="O3586">
        <f>SUMPRODUCT(Calc!$K$3:$K$22*(Calc!$G$3:$G$22&gt;B3586)*(Calc!$G$3:$G$22-B3586)*Calc!$I$3:$I$22)</f>
        <v/>
      </c>
      <c r="P3586">
        <f>I3586-G3586^2/k_n</f>
        <v/>
      </c>
      <c r="Q3586">
        <f>J3586-H3586^2/k_n</f>
        <v/>
      </c>
      <c r="R3586">
        <f>K3586-G3586*H3586/k_n</f>
        <v/>
      </c>
      <c r="S3586">
        <f>L3586-LTP3!$D$3*G3586/k_n</f>
        <v/>
      </c>
      <c r="T3586">
        <f>M3586-LTP3!$D$3*H3586/k_n</f>
        <v/>
      </c>
      <c r="U3586">
        <f>N3586-G3586*LTP3!$D$4/k_n</f>
        <v/>
      </c>
      <c r="V3586">
        <f>O3586-H3586*LTP3!$D$4/k_n</f>
        <v/>
      </c>
      <c r="W3586">
        <f>((LTP3!$D$5)*((P3586)*(Q3586)-(R3586)*(R3586))-(S3586)*((S3586)*(Q3586)-(R3586)*(T3586))+(T3586)*((S3586)*(R3586)-(P3586)*(T3586)))</f>
        <v/>
      </c>
      <c r="X3586">
        <f>IF(ABS(W3586)&gt;1E-12,((LTP3!$D$6)*((P3586)*(Q3586)-(R3586)*(R3586))-(S3586)*((U3586)*(Q3586)-(R3586)*(V3586))+(T3586)*((U3586)*(R3586)-(P3586)*(V3586)))/W3586,0)</f>
        <v/>
      </c>
      <c r="Y3586">
        <f>IF(ABS(W3586)&gt;1E-12,((LTP3!$D$5)*((U3586)*(Q3586)-(R3586)*(V3586))-(LTP3!$D$6)*((S3586)*(Q3586)-(R3586)*(T3586))+(T3586)*((S3586)*(V3586)-(U3586)*(T3586)))/W3586,0)</f>
        <v/>
      </c>
      <c r="Z3586">
        <f>IF(ABS(W3586)&gt;1E-12,((LTP3!$D$5)*((P3586)*(V3586)-(U3586)*(R3586))-(S3586)*((S3586)*(V3586)-(U3586)*(T3586))+(LTP3!$D$6)*((S3586)*(R3586)-(P3586)*(T3586)))/W3586,0)</f>
        <v/>
      </c>
      <c r="AA3586">
        <f>LTP3!$D$7-X3586*LTP3!$D$6-Y3586*U3586-Z3586*V3586</f>
        <v/>
      </c>
      <c r="AB3586">
        <f>IF(AND(F3586,ABS(W3586)&gt;1E-12,Y3586&gt;0,Z3586&gt;0),AA3586,1E+300)</f>
        <v/>
      </c>
    </row>
    <row r="3587">
      <c r="A3587">
        <f>$B$3+$B$5*58</f>
        <v/>
      </c>
      <c r="B3587">
        <f>$B$3+$B$5*37</f>
        <v/>
      </c>
      <c r="C3587">
        <f>SUMPRODUCT(Calc!$K$3:$K$22*(Calc!$G$3:$G$22&lt;=A3587))</f>
        <v/>
      </c>
      <c r="D3587">
        <f>SUMPRODUCT(Calc!$K$3:$K$22*(Calc!$G$3:$G$22&gt;A3587)*(Calc!$G$3:$G$22&lt;B3587))</f>
        <v/>
      </c>
      <c r="E3587">
        <f>SUMPRODUCT(Calc!$K$3:$K$22*(Calc!$G$3:$G$22&gt;=B3587))</f>
        <v/>
      </c>
      <c r="F3587">
        <f>AND(k_n&gt;=5,B3587&gt;A3587+1E-9,C3587&gt;=2,D3587&gt;=1,E3587&gt;=2)</f>
        <v/>
      </c>
      <c r="G3587">
        <f>SUMPRODUCT(Calc!$K$3:$K$22*(Calc!$G$3:$G$22&gt;A3587)*(Calc!$G$3:$G$22-A3587))</f>
        <v/>
      </c>
      <c r="H3587">
        <f>SUMPRODUCT(Calc!$K$3:$K$22*(Calc!$G$3:$G$22&gt;B3587)*(Calc!$G$3:$G$22-B3587))</f>
        <v/>
      </c>
      <c r="I3587">
        <f>SUMPRODUCT(Calc!$K$3:$K$22*(Calc!$G$3:$G$22&gt;A3587)*(Calc!$G$3:$G$22-A3587)^2)</f>
        <v/>
      </c>
      <c r="J3587">
        <f>SUMPRODUCT(Calc!$K$3:$K$22*(Calc!$G$3:$G$22&gt;B3587)*(Calc!$G$3:$G$22-B3587)^2)</f>
        <v/>
      </c>
      <c r="K3587">
        <f>SUMPRODUCT(Calc!$K$3:$K$22*(Calc!$G$3:$G$22&gt;A3587)*(Calc!$G$3:$G$22-A3587)*(Calc!$G$3:$G$22&gt;B3587)*(Calc!$G$3:$G$22-B3587))</f>
        <v/>
      </c>
      <c r="L3587">
        <f>SUMPRODUCT(Calc!$K$3:$K$22*(Calc!$G$3:$G$22&gt;A3587)*(Calc!$G$3:$G$22-A3587)*Calc!$G$3:$G$22)</f>
        <v/>
      </c>
      <c r="M3587">
        <f>SUMPRODUCT(Calc!$K$3:$K$22*(Calc!$G$3:$G$22&gt;B3587)*(Calc!$G$3:$G$22-B3587)*Calc!$G$3:$G$22)</f>
        <v/>
      </c>
      <c r="N3587">
        <f>SUMPRODUCT(Calc!$K$3:$K$22*(Calc!$G$3:$G$22&gt;A3587)*(Calc!$G$3:$G$22-A3587)*Calc!$I$3:$I$22)</f>
        <v/>
      </c>
      <c r="O3587">
        <f>SUMPRODUCT(Calc!$K$3:$K$22*(Calc!$G$3:$G$22&gt;B3587)*(Calc!$G$3:$G$22-B3587)*Calc!$I$3:$I$22)</f>
        <v/>
      </c>
      <c r="P3587">
        <f>I3587-G3587^2/k_n</f>
        <v/>
      </c>
      <c r="Q3587">
        <f>J3587-H3587^2/k_n</f>
        <v/>
      </c>
      <c r="R3587">
        <f>K3587-G3587*H3587/k_n</f>
        <v/>
      </c>
      <c r="S3587">
        <f>L3587-LTP3!$D$3*G3587/k_n</f>
        <v/>
      </c>
      <c r="T3587">
        <f>M3587-LTP3!$D$3*H3587/k_n</f>
        <v/>
      </c>
      <c r="U3587">
        <f>N3587-G3587*LTP3!$D$4/k_n</f>
        <v/>
      </c>
      <c r="V3587">
        <f>O3587-H3587*LTP3!$D$4/k_n</f>
        <v/>
      </c>
      <c r="W3587">
        <f>((LTP3!$D$5)*((P3587)*(Q3587)-(R3587)*(R3587))-(S3587)*((S3587)*(Q3587)-(R3587)*(T3587))+(T3587)*((S3587)*(R3587)-(P3587)*(T3587)))</f>
        <v/>
      </c>
      <c r="X3587">
        <f>IF(ABS(W3587)&gt;1E-12,((LTP3!$D$6)*((P3587)*(Q3587)-(R3587)*(R3587))-(S3587)*((U3587)*(Q3587)-(R3587)*(V3587))+(T3587)*((U3587)*(R3587)-(P3587)*(V3587)))/W3587,0)</f>
        <v/>
      </c>
      <c r="Y3587">
        <f>IF(ABS(W3587)&gt;1E-12,((LTP3!$D$5)*((U3587)*(Q3587)-(R3587)*(V3587))-(LTP3!$D$6)*((S3587)*(Q3587)-(R3587)*(T3587))+(T3587)*((S3587)*(V3587)-(U3587)*(T3587)))/W3587,0)</f>
        <v/>
      </c>
      <c r="Z3587">
        <f>IF(ABS(W3587)&gt;1E-12,((LTP3!$D$5)*((P3587)*(V3587)-(U3587)*(R3587))-(S3587)*((S3587)*(V3587)-(U3587)*(T3587))+(LTP3!$D$6)*((S3587)*(R3587)-(P3587)*(T3587)))/W3587,0)</f>
        <v/>
      </c>
      <c r="AA3587">
        <f>LTP3!$D$7-X3587*LTP3!$D$6-Y3587*U3587-Z3587*V3587</f>
        <v/>
      </c>
      <c r="AB3587">
        <f>IF(AND(F3587,ABS(W3587)&gt;1E-12,Y3587&gt;0,Z3587&gt;0),AA3587,1E+300)</f>
        <v/>
      </c>
    </row>
    <row r="3588">
      <c r="A3588">
        <f>$B$3+$B$5*58</f>
        <v/>
      </c>
      <c r="B3588">
        <f>$B$3+$B$5*38</f>
        <v/>
      </c>
      <c r="C3588">
        <f>SUMPRODUCT(Calc!$K$3:$K$22*(Calc!$G$3:$G$22&lt;=A3588))</f>
        <v/>
      </c>
      <c r="D3588">
        <f>SUMPRODUCT(Calc!$K$3:$K$22*(Calc!$G$3:$G$22&gt;A3588)*(Calc!$G$3:$G$22&lt;B3588))</f>
        <v/>
      </c>
      <c r="E3588">
        <f>SUMPRODUCT(Calc!$K$3:$K$22*(Calc!$G$3:$G$22&gt;=B3588))</f>
        <v/>
      </c>
      <c r="F3588">
        <f>AND(k_n&gt;=5,B3588&gt;A3588+1E-9,C3588&gt;=2,D3588&gt;=1,E3588&gt;=2)</f>
        <v/>
      </c>
      <c r="G3588">
        <f>SUMPRODUCT(Calc!$K$3:$K$22*(Calc!$G$3:$G$22&gt;A3588)*(Calc!$G$3:$G$22-A3588))</f>
        <v/>
      </c>
      <c r="H3588">
        <f>SUMPRODUCT(Calc!$K$3:$K$22*(Calc!$G$3:$G$22&gt;B3588)*(Calc!$G$3:$G$22-B3588))</f>
        <v/>
      </c>
      <c r="I3588">
        <f>SUMPRODUCT(Calc!$K$3:$K$22*(Calc!$G$3:$G$22&gt;A3588)*(Calc!$G$3:$G$22-A3588)^2)</f>
        <v/>
      </c>
      <c r="J3588">
        <f>SUMPRODUCT(Calc!$K$3:$K$22*(Calc!$G$3:$G$22&gt;B3588)*(Calc!$G$3:$G$22-B3588)^2)</f>
        <v/>
      </c>
      <c r="K3588">
        <f>SUMPRODUCT(Calc!$K$3:$K$22*(Calc!$G$3:$G$22&gt;A3588)*(Calc!$G$3:$G$22-A3588)*(Calc!$G$3:$G$22&gt;B3588)*(Calc!$G$3:$G$22-B3588))</f>
        <v/>
      </c>
      <c r="L3588">
        <f>SUMPRODUCT(Calc!$K$3:$K$22*(Calc!$G$3:$G$22&gt;A3588)*(Calc!$G$3:$G$22-A3588)*Calc!$G$3:$G$22)</f>
        <v/>
      </c>
      <c r="M3588">
        <f>SUMPRODUCT(Calc!$K$3:$K$22*(Calc!$G$3:$G$22&gt;B3588)*(Calc!$G$3:$G$22-B3588)*Calc!$G$3:$G$22)</f>
        <v/>
      </c>
      <c r="N3588">
        <f>SUMPRODUCT(Calc!$K$3:$K$22*(Calc!$G$3:$G$22&gt;A3588)*(Calc!$G$3:$G$22-A3588)*Calc!$I$3:$I$22)</f>
        <v/>
      </c>
      <c r="O3588">
        <f>SUMPRODUCT(Calc!$K$3:$K$22*(Calc!$G$3:$G$22&gt;B3588)*(Calc!$G$3:$G$22-B3588)*Calc!$I$3:$I$22)</f>
        <v/>
      </c>
      <c r="P3588">
        <f>I3588-G3588^2/k_n</f>
        <v/>
      </c>
      <c r="Q3588">
        <f>J3588-H3588^2/k_n</f>
        <v/>
      </c>
      <c r="R3588">
        <f>K3588-G3588*H3588/k_n</f>
        <v/>
      </c>
      <c r="S3588">
        <f>L3588-LTP3!$D$3*G3588/k_n</f>
        <v/>
      </c>
      <c r="T3588">
        <f>M3588-LTP3!$D$3*H3588/k_n</f>
        <v/>
      </c>
      <c r="U3588">
        <f>N3588-G3588*LTP3!$D$4/k_n</f>
        <v/>
      </c>
      <c r="V3588">
        <f>O3588-H3588*LTP3!$D$4/k_n</f>
        <v/>
      </c>
      <c r="W3588">
        <f>((LTP3!$D$5)*((P3588)*(Q3588)-(R3588)*(R3588))-(S3588)*((S3588)*(Q3588)-(R3588)*(T3588))+(T3588)*((S3588)*(R3588)-(P3588)*(T3588)))</f>
        <v/>
      </c>
      <c r="X3588">
        <f>IF(ABS(W3588)&gt;1E-12,((LTP3!$D$6)*((P3588)*(Q3588)-(R3588)*(R3588))-(S3588)*((U3588)*(Q3588)-(R3588)*(V3588))+(T3588)*((U3588)*(R3588)-(P3588)*(V3588)))/W3588,0)</f>
        <v/>
      </c>
      <c r="Y3588">
        <f>IF(ABS(W3588)&gt;1E-12,((LTP3!$D$5)*((U3588)*(Q3588)-(R3588)*(V3588))-(LTP3!$D$6)*((S3588)*(Q3588)-(R3588)*(T3588))+(T3588)*((S3588)*(V3588)-(U3588)*(T3588)))/W3588,0)</f>
        <v/>
      </c>
      <c r="Z3588">
        <f>IF(ABS(W3588)&gt;1E-12,((LTP3!$D$5)*((P3588)*(V3588)-(U3588)*(R3588))-(S3588)*((S3588)*(V3588)-(U3588)*(T3588))+(LTP3!$D$6)*((S3588)*(R3588)-(P3588)*(T3588)))/W3588,0)</f>
        <v/>
      </c>
      <c r="AA3588">
        <f>LTP3!$D$7-X3588*LTP3!$D$6-Y3588*U3588-Z3588*V3588</f>
        <v/>
      </c>
      <c r="AB3588">
        <f>IF(AND(F3588,ABS(W3588)&gt;1E-12,Y3588&gt;0,Z3588&gt;0),AA3588,1E+300)</f>
        <v/>
      </c>
    </row>
    <row r="3589">
      <c r="A3589">
        <f>$B$3+$B$5*58</f>
        <v/>
      </c>
      <c r="B3589">
        <f>$B$3+$B$5*39</f>
        <v/>
      </c>
      <c r="C3589">
        <f>SUMPRODUCT(Calc!$K$3:$K$22*(Calc!$G$3:$G$22&lt;=A3589))</f>
        <v/>
      </c>
      <c r="D3589">
        <f>SUMPRODUCT(Calc!$K$3:$K$22*(Calc!$G$3:$G$22&gt;A3589)*(Calc!$G$3:$G$22&lt;B3589))</f>
        <v/>
      </c>
      <c r="E3589">
        <f>SUMPRODUCT(Calc!$K$3:$K$22*(Calc!$G$3:$G$22&gt;=B3589))</f>
        <v/>
      </c>
      <c r="F3589">
        <f>AND(k_n&gt;=5,B3589&gt;A3589+1E-9,C3589&gt;=2,D3589&gt;=1,E3589&gt;=2)</f>
        <v/>
      </c>
      <c r="G3589">
        <f>SUMPRODUCT(Calc!$K$3:$K$22*(Calc!$G$3:$G$22&gt;A3589)*(Calc!$G$3:$G$22-A3589))</f>
        <v/>
      </c>
      <c r="H3589">
        <f>SUMPRODUCT(Calc!$K$3:$K$22*(Calc!$G$3:$G$22&gt;B3589)*(Calc!$G$3:$G$22-B3589))</f>
        <v/>
      </c>
      <c r="I3589">
        <f>SUMPRODUCT(Calc!$K$3:$K$22*(Calc!$G$3:$G$22&gt;A3589)*(Calc!$G$3:$G$22-A3589)^2)</f>
        <v/>
      </c>
      <c r="J3589">
        <f>SUMPRODUCT(Calc!$K$3:$K$22*(Calc!$G$3:$G$22&gt;B3589)*(Calc!$G$3:$G$22-B3589)^2)</f>
        <v/>
      </c>
      <c r="K3589">
        <f>SUMPRODUCT(Calc!$K$3:$K$22*(Calc!$G$3:$G$22&gt;A3589)*(Calc!$G$3:$G$22-A3589)*(Calc!$G$3:$G$22&gt;B3589)*(Calc!$G$3:$G$22-B3589))</f>
        <v/>
      </c>
      <c r="L3589">
        <f>SUMPRODUCT(Calc!$K$3:$K$22*(Calc!$G$3:$G$22&gt;A3589)*(Calc!$G$3:$G$22-A3589)*Calc!$G$3:$G$22)</f>
        <v/>
      </c>
      <c r="M3589">
        <f>SUMPRODUCT(Calc!$K$3:$K$22*(Calc!$G$3:$G$22&gt;B3589)*(Calc!$G$3:$G$22-B3589)*Calc!$G$3:$G$22)</f>
        <v/>
      </c>
      <c r="N3589">
        <f>SUMPRODUCT(Calc!$K$3:$K$22*(Calc!$G$3:$G$22&gt;A3589)*(Calc!$G$3:$G$22-A3589)*Calc!$I$3:$I$22)</f>
        <v/>
      </c>
      <c r="O3589">
        <f>SUMPRODUCT(Calc!$K$3:$K$22*(Calc!$G$3:$G$22&gt;B3589)*(Calc!$G$3:$G$22-B3589)*Calc!$I$3:$I$22)</f>
        <v/>
      </c>
      <c r="P3589">
        <f>I3589-G3589^2/k_n</f>
        <v/>
      </c>
      <c r="Q3589">
        <f>J3589-H3589^2/k_n</f>
        <v/>
      </c>
      <c r="R3589">
        <f>K3589-G3589*H3589/k_n</f>
        <v/>
      </c>
      <c r="S3589">
        <f>L3589-LTP3!$D$3*G3589/k_n</f>
        <v/>
      </c>
      <c r="T3589">
        <f>M3589-LTP3!$D$3*H3589/k_n</f>
        <v/>
      </c>
      <c r="U3589">
        <f>N3589-G3589*LTP3!$D$4/k_n</f>
        <v/>
      </c>
      <c r="V3589">
        <f>O3589-H3589*LTP3!$D$4/k_n</f>
        <v/>
      </c>
      <c r="W3589">
        <f>((LTP3!$D$5)*((P3589)*(Q3589)-(R3589)*(R3589))-(S3589)*((S3589)*(Q3589)-(R3589)*(T3589))+(T3589)*((S3589)*(R3589)-(P3589)*(T3589)))</f>
        <v/>
      </c>
      <c r="X3589">
        <f>IF(ABS(W3589)&gt;1E-12,((LTP3!$D$6)*((P3589)*(Q3589)-(R3589)*(R3589))-(S3589)*((U3589)*(Q3589)-(R3589)*(V3589))+(T3589)*((U3589)*(R3589)-(P3589)*(V3589)))/W3589,0)</f>
        <v/>
      </c>
      <c r="Y3589">
        <f>IF(ABS(W3589)&gt;1E-12,((LTP3!$D$5)*((U3589)*(Q3589)-(R3589)*(V3589))-(LTP3!$D$6)*((S3589)*(Q3589)-(R3589)*(T3589))+(T3589)*((S3589)*(V3589)-(U3589)*(T3589)))/W3589,0)</f>
        <v/>
      </c>
      <c r="Z3589">
        <f>IF(ABS(W3589)&gt;1E-12,((LTP3!$D$5)*((P3589)*(V3589)-(U3589)*(R3589))-(S3589)*((S3589)*(V3589)-(U3589)*(T3589))+(LTP3!$D$6)*((S3589)*(R3589)-(P3589)*(T3589)))/W3589,0)</f>
        <v/>
      </c>
      <c r="AA3589">
        <f>LTP3!$D$7-X3589*LTP3!$D$6-Y3589*U3589-Z3589*V3589</f>
        <v/>
      </c>
      <c r="AB3589">
        <f>IF(AND(F3589,ABS(W3589)&gt;1E-12,Y3589&gt;0,Z3589&gt;0),AA3589,1E+300)</f>
        <v/>
      </c>
    </row>
    <row r="3590">
      <c r="A3590">
        <f>$B$3+$B$5*58</f>
        <v/>
      </c>
      <c r="B3590">
        <f>$B$3+$B$5*40</f>
        <v/>
      </c>
      <c r="C3590">
        <f>SUMPRODUCT(Calc!$K$3:$K$22*(Calc!$G$3:$G$22&lt;=A3590))</f>
        <v/>
      </c>
      <c r="D3590">
        <f>SUMPRODUCT(Calc!$K$3:$K$22*(Calc!$G$3:$G$22&gt;A3590)*(Calc!$G$3:$G$22&lt;B3590))</f>
        <v/>
      </c>
      <c r="E3590">
        <f>SUMPRODUCT(Calc!$K$3:$K$22*(Calc!$G$3:$G$22&gt;=B3590))</f>
        <v/>
      </c>
      <c r="F3590">
        <f>AND(k_n&gt;=5,B3590&gt;A3590+1E-9,C3590&gt;=2,D3590&gt;=1,E3590&gt;=2)</f>
        <v/>
      </c>
      <c r="G3590">
        <f>SUMPRODUCT(Calc!$K$3:$K$22*(Calc!$G$3:$G$22&gt;A3590)*(Calc!$G$3:$G$22-A3590))</f>
        <v/>
      </c>
      <c r="H3590">
        <f>SUMPRODUCT(Calc!$K$3:$K$22*(Calc!$G$3:$G$22&gt;B3590)*(Calc!$G$3:$G$22-B3590))</f>
        <v/>
      </c>
      <c r="I3590">
        <f>SUMPRODUCT(Calc!$K$3:$K$22*(Calc!$G$3:$G$22&gt;A3590)*(Calc!$G$3:$G$22-A3590)^2)</f>
        <v/>
      </c>
      <c r="J3590">
        <f>SUMPRODUCT(Calc!$K$3:$K$22*(Calc!$G$3:$G$22&gt;B3590)*(Calc!$G$3:$G$22-B3590)^2)</f>
        <v/>
      </c>
      <c r="K3590">
        <f>SUMPRODUCT(Calc!$K$3:$K$22*(Calc!$G$3:$G$22&gt;A3590)*(Calc!$G$3:$G$22-A3590)*(Calc!$G$3:$G$22&gt;B3590)*(Calc!$G$3:$G$22-B3590))</f>
        <v/>
      </c>
      <c r="L3590">
        <f>SUMPRODUCT(Calc!$K$3:$K$22*(Calc!$G$3:$G$22&gt;A3590)*(Calc!$G$3:$G$22-A3590)*Calc!$G$3:$G$22)</f>
        <v/>
      </c>
      <c r="M3590">
        <f>SUMPRODUCT(Calc!$K$3:$K$22*(Calc!$G$3:$G$22&gt;B3590)*(Calc!$G$3:$G$22-B3590)*Calc!$G$3:$G$22)</f>
        <v/>
      </c>
      <c r="N3590">
        <f>SUMPRODUCT(Calc!$K$3:$K$22*(Calc!$G$3:$G$22&gt;A3590)*(Calc!$G$3:$G$22-A3590)*Calc!$I$3:$I$22)</f>
        <v/>
      </c>
      <c r="O3590">
        <f>SUMPRODUCT(Calc!$K$3:$K$22*(Calc!$G$3:$G$22&gt;B3590)*(Calc!$G$3:$G$22-B3590)*Calc!$I$3:$I$22)</f>
        <v/>
      </c>
      <c r="P3590">
        <f>I3590-G3590^2/k_n</f>
        <v/>
      </c>
      <c r="Q3590">
        <f>J3590-H3590^2/k_n</f>
        <v/>
      </c>
      <c r="R3590">
        <f>K3590-G3590*H3590/k_n</f>
        <v/>
      </c>
      <c r="S3590">
        <f>L3590-LTP3!$D$3*G3590/k_n</f>
        <v/>
      </c>
      <c r="T3590">
        <f>M3590-LTP3!$D$3*H3590/k_n</f>
        <v/>
      </c>
      <c r="U3590">
        <f>N3590-G3590*LTP3!$D$4/k_n</f>
        <v/>
      </c>
      <c r="V3590">
        <f>O3590-H3590*LTP3!$D$4/k_n</f>
        <v/>
      </c>
      <c r="W3590">
        <f>((LTP3!$D$5)*((P3590)*(Q3590)-(R3590)*(R3590))-(S3590)*((S3590)*(Q3590)-(R3590)*(T3590))+(T3590)*((S3590)*(R3590)-(P3590)*(T3590)))</f>
        <v/>
      </c>
      <c r="X3590">
        <f>IF(ABS(W3590)&gt;1E-12,((LTP3!$D$6)*((P3590)*(Q3590)-(R3590)*(R3590))-(S3590)*((U3590)*(Q3590)-(R3590)*(V3590))+(T3590)*((U3590)*(R3590)-(P3590)*(V3590)))/W3590,0)</f>
        <v/>
      </c>
      <c r="Y3590">
        <f>IF(ABS(W3590)&gt;1E-12,((LTP3!$D$5)*((U3590)*(Q3590)-(R3590)*(V3590))-(LTP3!$D$6)*((S3590)*(Q3590)-(R3590)*(T3590))+(T3590)*((S3590)*(V3590)-(U3590)*(T3590)))/W3590,0)</f>
        <v/>
      </c>
      <c r="Z3590">
        <f>IF(ABS(W3590)&gt;1E-12,((LTP3!$D$5)*((P3590)*(V3590)-(U3590)*(R3590))-(S3590)*((S3590)*(V3590)-(U3590)*(T3590))+(LTP3!$D$6)*((S3590)*(R3590)-(P3590)*(T3590)))/W3590,0)</f>
        <v/>
      </c>
      <c r="AA3590">
        <f>LTP3!$D$7-X3590*LTP3!$D$6-Y3590*U3590-Z3590*V3590</f>
        <v/>
      </c>
      <c r="AB3590">
        <f>IF(AND(F3590,ABS(W3590)&gt;1E-12,Y3590&gt;0,Z3590&gt;0),AA3590,1E+300)</f>
        <v/>
      </c>
    </row>
    <row r="3591">
      <c r="A3591">
        <f>$B$3+$B$5*58</f>
        <v/>
      </c>
      <c r="B3591">
        <f>$B$3+$B$5*41</f>
        <v/>
      </c>
      <c r="C3591">
        <f>SUMPRODUCT(Calc!$K$3:$K$22*(Calc!$G$3:$G$22&lt;=A3591))</f>
        <v/>
      </c>
      <c r="D3591">
        <f>SUMPRODUCT(Calc!$K$3:$K$22*(Calc!$G$3:$G$22&gt;A3591)*(Calc!$G$3:$G$22&lt;B3591))</f>
        <v/>
      </c>
      <c r="E3591">
        <f>SUMPRODUCT(Calc!$K$3:$K$22*(Calc!$G$3:$G$22&gt;=B3591))</f>
        <v/>
      </c>
      <c r="F3591">
        <f>AND(k_n&gt;=5,B3591&gt;A3591+1E-9,C3591&gt;=2,D3591&gt;=1,E3591&gt;=2)</f>
        <v/>
      </c>
      <c r="G3591">
        <f>SUMPRODUCT(Calc!$K$3:$K$22*(Calc!$G$3:$G$22&gt;A3591)*(Calc!$G$3:$G$22-A3591))</f>
        <v/>
      </c>
      <c r="H3591">
        <f>SUMPRODUCT(Calc!$K$3:$K$22*(Calc!$G$3:$G$22&gt;B3591)*(Calc!$G$3:$G$22-B3591))</f>
        <v/>
      </c>
      <c r="I3591">
        <f>SUMPRODUCT(Calc!$K$3:$K$22*(Calc!$G$3:$G$22&gt;A3591)*(Calc!$G$3:$G$22-A3591)^2)</f>
        <v/>
      </c>
      <c r="J3591">
        <f>SUMPRODUCT(Calc!$K$3:$K$22*(Calc!$G$3:$G$22&gt;B3591)*(Calc!$G$3:$G$22-B3591)^2)</f>
        <v/>
      </c>
      <c r="K3591">
        <f>SUMPRODUCT(Calc!$K$3:$K$22*(Calc!$G$3:$G$22&gt;A3591)*(Calc!$G$3:$G$22-A3591)*(Calc!$G$3:$G$22&gt;B3591)*(Calc!$G$3:$G$22-B3591))</f>
        <v/>
      </c>
      <c r="L3591">
        <f>SUMPRODUCT(Calc!$K$3:$K$22*(Calc!$G$3:$G$22&gt;A3591)*(Calc!$G$3:$G$22-A3591)*Calc!$G$3:$G$22)</f>
        <v/>
      </c>
      <c r="M3591">
        <f>SUMPRODUCT(Calc!$K$3:$K$22*(Calc!$G$3:$G$22&gt;B3591)*(Calc!$G$3:$G$22-B3591)*Calc!$G$3:$G$22)</f>
        <v/>
      </c>
      <c r="N3591">
        <f>SUMPRODUCT(Calc!$K$3:$K$22*(Calc!$G$3:$G$22&gt;A3591)*(Calc!$G$3:$G$22-A3591)*Calc!$I$3:$I$22)</f>
        <v/>
      </c>
      <c r="O3591">
        <f>SUMPRODUCT(Calc!$K$3:$K$22*(Calc!$G$3:$G$22&gt;B3591)*(Calc!$G$3:$G$22-B3591)*Calc!$I$3:$I$22)</f>
        <v/>
      </c>
      <c r="P3591">
        <f>I3591-G3591^2/k_n</f>
        <v/>
      </c>
      <c r="Q3591">
        <f>J3591-H3591^2/k_n</f>
        <v/>
      </c>
      <c r="R3591">
        <f>K3591-G3591*H3591/k_n</f>
        <v/>
      </c>
      <c r="S3591">
        <f>L3591-LTP3!$D$3*G3591/k_n</f>
        <v/>
      </c>
      <c r="T3591">
        <f>M3591-LTP3!$D$3*H3591/k_n</f>
        <v/>
      </c>
      <c r="U3591">
        <f>N3591-G3591*LTP3!$D$4/k_n</f>
        <v/>
      </c>
      <c r="V3591">
        <f>O3591-H3591*LTP3!$D$4/k_n</f>
        <v/>
      </c>
      <c r="W3591">
        <f>((LTP3!$D$5)*((P3591)*(Q3591)-(R3591)*(R3591))-(S3591)*((S3591)*(Q3591)-(R3591)*(T3591))+(T3591)*((S3591)*(R3591)-(P3591)*(T3591)))</f>
        <v/>
      </c>
      <c r="X3591">
        <f>IF(ABS(W3591)&gt;1E-12,((LTP3!$D$6)*((P3591)*(Q3591)-(R3591)*(R3591))-(S3591)*((U3591)*(Q3591)-(R3591)*(V3591))+(T3591)*((U3591)*(R3591)-(P3591)*(V3591)))/W3591,0)</f>
        <v/>
      </c>
      <c r="Y3591">
        <f>IF(ABS(W3591)&gt;1E-12,((LTP3!$D$5)*((U3591)*(Q3591)-(R3591)*(V3591))-(LTP3!$D$6)*((S3591)*(Q3591)-(R3591)*(T3591))+(T3591)*((S3591)*(V3591)-(U3591)*(T3591)))/W3591,0)</f>
        <v/>
      </c>
      <c r="Z3591">
        <f>IF(ABS(W3591)&gt;1E-12,((LTP3!$D$5)*((P3591)*(V3591)-(U3591)*(R3591))-(S3591)*((S3591)*(V3591)-(U3591)*(T3591))+(LTP3!$D$6)*((S3591)*(R3591)-(P3591)*(T3591)))/W3591,0)</f>
        <v/>
      </c>
      <c r="AA3591">
        <f>LTP3!$D$7-X3591*LTP3!$D$6-Y3591*U3591-Z3591*V3591</f>
        <v/>
      </c>
      <c r="AB3591">
        <f>IF(AND(F3591,ABS(W3591)&gt;1E-12,Y3591&gt;0,Z3591&gt;0),AA3591,1E+300)</f>
        <v/>
      </c>
    </row>
    <row r="3592">
      <c r="A3592">
        <f>$B$3+$B$5*58</f>
        <v/>
      </c>
      <c r="B3592">
        <f>$B$3+$B$5*42</f>
        <v/>
      </c>
      <c r="C3592">
        <f>SUMPRODUCT(Calc!$K$3:$K$22*(Calc!$G$3:$G$22&lt;=A3592))</f>
        <v/>
      </c>
      <c r="D3592">
        <f>SUMPRODUCT(Calc!$K$3:$K$22*(Calc!$G$3:$G$22&gt;A3592)*(Calc!$G$3:$G$22&lt;B3592))</f>
        <v/>
      </c>
      <c r="E3592">
        <f>SUMPRODUCT(Calc!$K$3:$K$22*(Calc!$G$3:$G$22&gt;=B3592))</f>
        <v/>
      </c>
      <c r="F3592">
        <f>AND(k_n&gt;=5,B3592&gt;A3592+1E-9,C3592&gt;=2,D3592&gt;=1,E3592&gt;=2)</f>
        <v/>
      </c>
      <c r="G3592">
        <f>SUMPRODUCT(Calc!$K$3:$K$22*(Calc!$G$3:$G$22&gt;A3592)*(Calc!$G$3:$G$22-A3592))</f>
        <v/>
      </c>
      <c r="H3592">
        <f>SUMPRODUCT(Calc!$K$3:$K$22*(Calc!$G$3:$G$22&gt;B3592)*(Calc!$G$3:$G$22-B3592))</f>
        <v/>
      </c>
      <c r="I3592">
        <f>SUMPRODUCT(Calc!$K$3:$K$22*(Calc!$G$3:$G$22&gt;A3592)*(Calc!$G$3:$G$22-A3592)^2)</f>
        <v/>
      </c>
      <c r="J3592">
        <f>SUMPRODUCT(Calc!$K$3:$K$22*(Calc!$G$3:$G$22&gt;B3592)*(Calc!$G$3:$G$22-B3592)^2)</f>
        <v/>
      </c>
      <c r="K3592">
        <f>SUMPRODUCT(Calc!$K$3:$K$22*(Calc!$G$3:$G$22&gt;A3592)*(Calc!$G$3:$G$22-A3592)*(Calc!$G$3:$G$22&gt;B3592)*(Calc!$G$3:$G$22-B3592))</f>
        <v/>
      </c>
      <c r="L3592">
        <f>SUMPRODUCT(Calc!$K$3:$K$22*(Calc!$G$3:$G$22&gt;A3592)*(Calc!$G$3:$G$22-A3592)*Calc!$G$3:$G$22)</f>
        <v/>
      </c>
      <c r="M3592">
        <f>SUMPRODUCT(Calc!$K$3:$K$22*(Calc!$G$3:$G$22&gt;B3592)*(Calc!$G$3:$G$22-B3592)*Calc!$G$3:$G$22)</f>
        <v/>
      </c>
      <c r="N3592">
        <f>SUMPRODUCT(Calc!$K$3:$K$22*(Calc!$G$3:$G$22&gt;A3592)*(Calc!$G$3:$G$22-A3592)*Calc!$I$3:$I$22)</f>
        <v/>
      </c>
      <c r="O3592">
        <f>SUMPRODUCT(Calc!$K$3:$K$22*(Calc!$G$3:$G$22&gt;B3592)*(Calc!$G$3:$G$22-B3592)*Calc!$I$3:$I$22)</f>
        <v/>
      </c>
      <c r="P3592">
        <f>I3592-G3592^2/k_n</f>
        <v/>
      </c>
      <c r="Q3592">
        <f>J3592-H3592^2/k_n</f>
        <v/>
      </c>
      <c r="R3592">
        <f>K3592-G3592*H3592/k_n</f>
        <v/>
      </c>
      <c r="S3592">
        <f>L3592-LTP3!$D$3*G3592/k_n</f>
        <v/>
      </c>
      <c r="T3592">
        <f>M3592-LTP3!$D$3*H3592/k_n</f>
        <v/>
      </c>
      <c r="U3592">
        <f>N3592-G3592*LTP3!$D$4/k_n</f>
        <v/>
      </c>
      <c r="V3592">
        <f>O3592-H3592*LTP3!$D$4/k_n</f>
        <v/>
      </c>
      <c r="W3592">
        <f>((LTP3!$D$5)*((P3592)*(Q3592)-(R3592)*(R3592))-(S3592)*((S3592)*(Q3592)-(R3592)*(T3592))+(T3592)*((S3592)*(R3592)-(P3592)*(T3592)))</f>
        <v/>
      </c>
      <c r="X3592">
        <f>IF(ABS(W3592)&gt;1E-12,((LTP3!$D$6)*((P3592)*(Q3592)-(R3592)*(R3592))-(S3592)*((U3592)*(Q3592)-(R3592)*(V3592))+(T3592)*((U3592)*(R3592)-(P3592)*(V3592)))/W3592,0)</f>
        <v/>
      </c>
      <c r="Y3592">
        <f>IF(ABS(W3592)&gt;1E-12,((LTP3!$D$5)*((U3592)*(Q3592)-(R3592)*(V3592))-(LTP3!$D$6)*((S3592)*(Q3592)-(R3592)*(T3592))+(T3592)*((S3592)*(V3592)-(U3592)*(T3592)))/W3592,0)</f>
        <v/>
      </c>
      <c r="Z3592">
        <f>IF(ABS(W3592)&gt;1E-12,((LTP3!$D$5)*((P3592)*(V3592)-(U3592)*(R3592))-(S3592)*((S3592)*(V3592)-(U3592)*(T3592))+(LTP3!$D$6)*((S3592)*(R3592)-(P3592)*(T3592)))/W3592,0)</f>
        <v/>
      </c>
      <c r="AA3592">
        <f>LTP3!$D$7-X3592*LTP3!$D$6-Y3592*U3592-Z3592*V3592</f>
        <v/>
      </c>
      <c r="AB3592">
        <f>IF(AND(F3592,ABS(W3592)&gt;1E-12,Y3592&gt;0,Z3592&gt;0),AA3592,1E+300)</f>
        <v/>
      </c>
    </row>
    <row r="3593">
      <c r="A3593">
        <f>$B$3+$B$5*58</f>
        <v/>
      </c>
      <c r="B3593">
        <f>$B$3+$B$5*43</f>
        <v/>
      </c>
      <c r="C3593">
        <f>SUMPRODUCT(Calc!$K$3:$K$22*(Calc!$G$3:$G$22&lt;=A3593))</f>
        <v/>
      </c>
      <c r="D3593">
        <f>SUMPRODUCT(Calc!$K$3:$K$22*(Calc!$G$3:$G$22&gt;A3593)*(Calc!$G$3:$G$22&lt;B3593))</f>
        <v/>
      </c>
      <c r="E3593">
        <f>SUMPRODUCT(Calc!$K$3:$K$22*(Calc!$G$3:$G$22&gt;=B3593))</f>
        <v/>
      </c>
      <c r="F3593">
        <f>AND(k_n&gt;=5,B3593&gt;A3593+1E-9,C3593&gt;=2,D3593&gt;=1,E3593&gt;=2)</f>
        <v/>
      </c>
      <c r="G3593">
        <f>SUMPRODUCT(Calc!$K$3:$K$22*(Calc!$G$3:$G$22&gt;A3593)*(Calc!$G$3:$G$22-A3593))</f>
        <v/>
      </c>
      <c r="H3593">
        <f>SUMPRODUCT(Calc!$K$3:$K$22*(Calc!$G$3:$G$22&gt;B3593)*(Calc!$G$3:$G$22-B3593))</f>
        <v/>
      </c>
      <c r="I3593">
        <f>SUMPRODUCT(Calc!$K$3:$K$22*(Calc!$G$3:$G$22&gt;A3593)*(Calc!$G$3:$G$22-A3593)^2)</f>
        <v/>
      </c>
      <c r="J3593">
        <f>SUMPRODUCT(Calc!$K$3:$K$22*(Calc!$G$3:$G$22&gt;B3593)*(Calc!$G$3:$G$22-B3593)^2)</f>
        <v/>
      </c>
      <c r="K3593">
        <f>SUMPRODUCT(Calc!$K$3:$K$22*(Calc!$G$3:$G$22&gt;A3593)*(Calc!$G$3:$G$22-A3593)*(Calc!$G$3:$G$22&gt;B3593)*(Calc!$G$3:$G$22-B3593))</f>
        <v/>
      </c>
      <c r="L3593">
        <f>SUMPRODUCT(Calc!$K$3:$K$22*(Calc!$G$3:$G$22&gt;A3593)*(Calc!$G$3:$G$22-A3593)*Calc!$G$3:$G$22)</f>
        <v/>
      </c>
      <c r="M3593">
        <f>SUMPRODUCT(Calc!$K$3:$K$22*(Calc!$G$3:$G$22&gt;B3593)*(Calc!$G$3:$G$22-B3593)*Calc!$G$3:$G$22)</f>
        <v/>
      </c>
      <c r="N3593">
        <f>SUMPRODUCT(Calc!$K$3:$K$22*(Calc!$G$3:$G$22&gt;A3593)*(Calc!$G$3:$G$22-A3593)*Calc!$I$3:$I$22)</f>
        <v/>
      </c>
      <c r="O3593">
        <f>SUMPRODUCT(Calc!$K$3:$K$22*(Calc!$G$3:$G$22&gt;B3593)*(Calc!$G$3:$G$22-B3593)*Calc!$I$3:$I$22)</f>
        <v/>
      </c>
      <c r="P3593">
        <f>I3593-G3593^2/k_n</f>
        <v/>
      </c>
      <c r="Q3593">
        <f>J3593-H3593^2/k_n</f>
        <v/>
      </c>
      <c r="R3593">
        <f>K3593-G3593*H3593/k_n</f>
        <v/>
      </c>
      <c r="S3593">
        <f>L3593-LTP3!$D$3*G3593/k_n</f>
        <v/>
      </c>
      <c r="T3593">
        <f>M3593-LTP3!$D$3*H3593/k_n</f>
        <v/>
      </c>
      <c r="U3593">
        <f>N3593-G3593*LTP3!$D$4/k_n</f>
        <v/>
      </c>
      <c r="V3593">
        <f>O3593-H3593*LTP3!$D$4/k_n</f>
        <v/>
      </c>
      <c r="W3593">
        <f>((LTP3!$D$5)*((P3593)*(Q3593)-(R3593)*(R3593))-(S3593)*((S3593)*(Q3593)-(R3593)*(T3593))+(T3593)*((S3593)*(R3593)-(P3593)*(T3593)))</f>
        <v/>
      </c>
      <c r="X3593">
        <f>IF(ABS(W3593)&gt;1E-12,((LTP3!$D$6)*((P3593)*(Q3593)-(R3593)*(R3593))-(S3593)*((U3593)*(Q3593)-(R3593)*(V3593))+(T3593)*((U3593)*(R3593)-(P3593)*(V3593)))/W3593,0)</f>
        <v/>
      </c>
      <c r="Y3593">
        <f>IF(ABS(W3593)&gt;1E-12,((LTP3!$D$5)*((U3593)*(Q3593)-(R3593)*(V3593))-(LTP3!$D$6)*((S3593)*(Q3593)-(R3593)*(T3593))+(T3593)*((S3593)*(V3593)-(U3593)*(T3593)))/W3593,0)</f>
        <v/>
      </c>
      <c r="Z3593">
        <f>IF(ABS(W3593)&gt;1E-12,((LTP3!$D$5)*((P3593)*(V3593)-(U3593)*(R3593))-(S3593)*((S3593)*(V3593)-(U3593)*(T3593))+(LTP3!$D$6)*((S3593)*(R3593)-(P3593)*(T3593)))/W3593,0)</f>
        <v/>
      </c>
      <c r="AA3593">
        <f>LTP3!$D$7-X3593*LTP3!$D$6-Y3593*U3593-Z3593*V3593</f>
        <v/>
      </c>
      <c r="AB3593">
        <f>IF(AND(F3593,ABS(W3593)&gt;1E-12,Y3593&gt;0,Z3593&gt;0),AA3593,1E+300)</f>
        <v/>
      </c>
    </row>
    <row r="3594">
      <c r="A3594">
        <f>$B$3+$B$5*58</f>
        <v/>
      </c>
      <c r="B3594">
        <f>$B$3+$B$5*44</f>
        <v/>
      </c>
      <c r="C3594">
        <f>SUMPRODUCT(Calc!$K$3:$K$22*(Calc!$G$3:$G$22&lt;=A3594))</f>
        <v/>
      </c>
      <c r="D3594">
        <f>SUMPRODUCT(Calc!$K$3:$K$22*(Calc!$G$3:$G$22&gt;A3594)*(Calc!$G$3:$G$22&lt;B3594))</f>
        <v/>
      </c>
      <c r="E3594">
        <f>SUMPRODUCT(Calc!$K$3:$K$22*(Calc!$G$3:$G$22&gt;=B3594))</f>
        <v/>
      </c>
      <c r="F3594">
        <f>AND(k_n&gt;=5,B3594&gt;A3594+1E-9,C3594&gt;=2,D3594&gt;=1,E3594&gt;=2)</f>
        <v/>
      </c>
      <c r="G3594">
        <f>SUMPRODUCT(Calc!$K$3:$K$22*(Calc!$G$3:$G$22&gt;A3594)*(Calc!$G$3:$G$22-A3594))</f>
        <v/>
      </c>
      <c r="H3594">
        <f>SUMPRODUCT(Calc!$K$3:$K$22*(Calc!$G$3:$G$22&gt;B3594)*(Calc!$G$3:$G$22-B3594))</f>
        <v/>
      </c>
      <c r="I3594">
        <f>SUMPRODUCT(Calc!$K$3:$K$22*(Calc!$G$3:$G$22&gt;A3594)*(Calc!$G$3:$G$22-A3594)^2)</f>
        <v/>
      </c>
      <c r="J3594">
        <f>SUMPRODUCT(Calc!$K$3:$K$22*(Calc!$G$3:$G$22&gt;B3594)*(Calc!$G$3:$G$22-B3594)^2)</f>
        <v/>
      </c>
      <c r="K3594">
        <f>SUMPRODUCT(Calc!$K$3:$K$22*(Calc!$G$3:$G$22&gt;A3594)*(Calc!$G$3:$G$22-A3594)*(Calc!$G$3:$G$22&gt;B3594)*(Calc!$G$3:$G$22-B3594))</f>
        <v/>
      </c>
      <c r="L3594">
        <f>SUMPRODUCT(Calc!$K$3:$K$22*(Calc!$G$3:$G$22&gt;A3594)*(Calc!$G$3:$G$22-A3594)*Calc!$G$3:$G$22)</f>
        <v/>
      </c>
      <c r="M3594">
        <f>SUMPRODUCT(Calc!$K$3:$K$22*(Calc!$G$3:$G$22&gt;B3594)*(Calc!$G$3:$G$22-B3594)*Calc!$G$3:$G$22)</f>
        <v/>
      </c>
      <c r="N3594">
        <f>SUMPRODUCT(Calc!$K$3:$K$22*(Calc!$G$3:$G$22&gt;A3594)*(Calc!$G$3:$G$22-A3594)*Calc!$I$3:$I$22)</f>
        <v/>
      </c>
      <c r="O3594">
        <f>SUMPRODUCT(Calc!$K$3:$K$22*(Calc!$G$3:$G$22&gt;B3594)*(Calc!$G$3:$G$22-B3594)*Calc!$I$3:$I$22)</f>
        <v/>
      </c>
      <c r="P3594">
        <f>I3594-G3594^2/k_n</f>
        <v/>
      </c>
      <c r="Q3594">
        <f>J3594-H3594^2/k_n</f>
        <v/>
      </c>
      <c r="R3594">
        <f>K3594-G3594*H3594/k_n</f>
        <v/>
      </c>
      <c r="S3594">
        <f>L3594-LTP3!$D$3*G3594/k_n</f>
        <v/>
      </c>
      <c r="T3594">
        <f>M3594-LTP3!$D$3*H3594/k_n</f>
        <v/>
      </c>
      <c r="U3594">
        <f>N3594-G3594*LTP3!$D$4/k_n</f>
        <v/>
      </c>
      <c r="V3594">
        <f>O3594-H3594*LTP3!$D$4/k_n</f>
        <v/>
      </c>
      <c r="W3594">
        <f>((LTP3!$D$5)*((P3594)*(Q3594)-(R3594)*(R3594))-(S3594)*((S3594)*(Q3594)-(R3594)*(T3594))+(T3594)*((S3594)*(R3594)-(P3594)*(T3594)))</f>
        <v/>
      </c>
      <c r="X3594">
        <f>IF(ABS(W3594)&gt;1E-12,((LTP3!$D$6)*((P3594)*(Q3594)-(R3594)*(R3594))-(S3594)*((U3594)*(Q3594)-(R3594)*(V3594))+(T3594)*((U3594)*(R3594)-(P3594)*(V3594)))/W3594,0)</f>
        <v/>
      </c>
      <c r="Y3594">
        <f>IF(ABS(W3594)&gt;1E-12,((LTP3!$D$5)*((U3594)*(Q3594)-(R3594)*(V3594))-(LTP3!$D$6)*((S3594)*(Q3594)-(R3594)*(T3594))+(T3594)*((S3594)*(V3594)-(U3594)*(T3594)))/W3594,0)</f>
        <v/>
      </c>
      <c r="Z3594">
        <f>IF(ABS(W3594)&gt;1E-12,((LTP3!$D$5)*((P3594)*(V3594)-(U3594)*(R3594))-(S3594)*((S3594)*(V3594)-(U3594)*(T3594))+(LTP3!$D$6)*((S3594)*(R3594)-(P3594)*(T3594)))/W3594,0)</f>
        <v/>
      </c>
      <c r="AA3594">
        <f>LTP3!$D$7-X3594*LTP3!$D$6-Y3594*U3594-Z3594*V3594</f>
        <v/>
      </c>
      <c r="AB3594">
        <f>IF(AND(F3594,ABS(W3594)&gt;1E-12,Y3594&gt;0,Z3594&gt;0),AA3594,1E+300)</f>
        <v/>
      </c>
    </row>
    <row r="3595">
      <c r="A3595">
        <f>$B$3+$B$5*58</f>
        <v/>
      </c>
      <c r="B3595">
        <f>$B$3+$B$5*45</f>
        <v/>
      </c>
      <c r="C3595">
        <f>SUMPRODUCT(Calc!$K$3:$K$22*(Calc!$G$3:$G$22&lt;=A3595))</f>
        <v/>
      </c>
      <c r="D3595">
        <f>SUMPRODUCT(Calc!$K$3:$K$22*(Calc!$G$3:$G$22&gt;A3595)*(Calc!$G$3:$G$22&lt;B3595))</f>
        <v/>
      </c>
      <c r="E3595">
        <f>SUMPRODUCT(Calc!$K$3:$K$22*(Calc!$G$3:$G$22&gt;=B3595))</f>
        <v/>
      </c>
      <c r="F3595">
        <f>AND(k_n&gt;=5,B3595&gt;A3595+1E-9,C3595&gt;=2,D3595&gt;=1,E3595&gt;=2)</f>
        <v/>
      </c>
      <c r="G3595">
        <f>SUMPRODUCT(Calc!$K$3:$K$22*(Calc!$G$3:$G$22&gt;A3595)*(Calc!$G$3:$G$22-A3595))</f>
        <v/>
      </c>
      <c r="H3595">
        <f>SUMPRODUCT(Calc!$K$3:$K$22*(Calc!$G$3:$G$22&gt;B3595)*(Calc!$G$3:$G$22-B3595))</f>
        <v/>
      </c>
      <c r="I3595">
        <f>SUMPRODUCT(Calc!$K$3:$K$22*(Calc!$G$3:$G$22&gt;A3595)*(Calc!$G$3:$G$22-A3595)^2)</f>
        <v/>
      </c>
      <c r="J3595">
        <f>SUMPRODUCT(Calc!$K$3:$K$22*(Calc!$G$3:$G$22&gt;B3595)*(Calc!$G$3:$G$22-B3595)^2)</f>
        <v/>
      </c>
      <c r="K3595">
        <f>SUMPRODUCT(Calc!$K$3:$K$22*(Calc!$G$3:$G$22&gt;A3595)*(Calc!$G$3:$G$22-A3595)*(Calc!$G$3:$G$22&gt;B3595)*(Calc!$G$3:$G$22-B3595))</f>
        <v/>
      </c>
      <c r="L3595">
        <f>SUMPRODUCT(Calc!$K$3:$K$22*(Calc!$G$3:$G$22&gt;A3595)*(Calc!$G$3:$G$22-A3595)*Calc!$G$3:$G$22)</f>
        <v/>
      </c>
      <c r="M3595">
        <f>SUMPRODUCT(Calc!$K$3:$K$22*(Calc!$G$3:$G$22&gt;B3595)*(Calc!$G$3:$G$22-B3595)*Calc!$G$3:$G$22)</f>
        <v/>
      </c>
      <c r="N3595">
        <f>SUMPRODUCT(Calc!$K$3:$K$22*(Calc!$G$3:$G$22&gt;A3595)*(Calc!$G$3:$G$22-A3595)*Calc!$I$3:$I$22)</f>
        <v/>
      </c>
      <c r="O3595">
        <f>SUMPRODUCT(Calc!$K$3:$K$22*(Calc!$G$3:$G$22&gt;B3595)*(Calc!$G$3:$G$22-B3595)*Calc!$I$3:$I$22)</f>
        <v/>
      </c>
      <c r="P3595">
        <f>I3595-G3595^2/k_n</f>
        <v/>
      </c>
      <c r="Q3595">
        <f>J3595-H3595^2/k_n</f>
        <v/>
      </c>
      <c r="R3595">
        <f>K3595-G3595*H3595/k_n</f>
        <v/>
      </c>
      <c r="S3595">
        <f>L3595-LTP3!$D$3*G3595/k_n</f>
        <v/>
      </c>
      <c r="T3595">
        <f>M3595-LTP3!$D$3*H3595/k_n</f>
        <v/>
      </c>
      <c r="U3595">
        <f>N3595-G3595*LTP3!$D$4/k_n</f>
        <v/>
      </c>
      <c r="V3595">
        <f>O3595-H3595*LTP3!$D$4/k_n</f>
        <v/>
      </c>
      <c r="W3595">
        <f>((LTP3!$D$5)*((P3595)*(Q3595)-(R3595)*(R3595))-(S3595)*((S3595)*(Q3595)-(R3595)*(T3595))+(T3595)*((S3595)*(R3595)-(P3595)*(T3595)))</f>
        <v/>
      </c>
      <c r="X3595">
        <f>IF(ABS(W3595)&gt;1E-12,((LTP3!$D$6)*((P3595)*(Q3595)-(R3595)*(R3595))-(S3595)*((U3595)*(Q3595)-(R3595)*(V3595))+(T3595)*((U3595)*(R3595)-(P3595)*(V3595)))/W3595,0)</f>
        <v/>
      </c>
      <c r="Y3595">
        <f>IF(ABS(W3595)&gt;1E-12,((LTP3!$D$5)*((U3595)*(Q3595)-(R3595)*(V3595))-(LTP3!$D$6)*((S3595)*(Q3595)-(R3595)*(T3595))+(T3595)*((S3595)*(V3595)-(U3595)*(T3595)))/W3595,0)</f>
        <v/>
      </c>
      <c r="Z3595">
        <f>IF(ABS(W3595)&gt;1E-12,((LTP3!$D$5)*((P3595)*(V3595)-(U3595)*(R3595))-(S3595)*((S3595)*(V3595)-(U3595)*(T3595))+(LTP3!$D$6)*((S3595)*(R3595)-(P3595)*(T3595)))/W3595,0)</f>
        <v/>
      </c>
      <c r="AA3595">
        <f>LTP3!$D$7-X3595*LTP3!$D$6-Y3595*U3595-Z3595*V3595</f>
        <v/>
      </c>
      <c r="AB3595">
        <f>IF(AND(F3595,ABS(W3595)&gt;1E-12,Y3595&gt;0,Z3595&gt;0),AA3595,1E+300)</f>
        <v/>
      </c>
    </row>
    <row r="3596">
      <c r="A3596">
        <f>$B$3+$B$5*58</f>
        <v/>
      </c>
      <c r="B3596">
        <f>$B$3+$B$5*46</f>
        <v/>
      </c>
      <c r="C3596">
        <f>SUMPRODUCT(Calc!$K$3:$K$22*(Calc!$G$3:$G$22&lt;=A3596))</f>
        <v/>
      </c>
      <c r="D3596">
        <f>SUMPRODUCT(Calc!$K$3:$K$22*(Calc!$G$3:$G$22&gt;A3596)*(Calc!$G$3:$G$22&lt;B3596))</f>
        <v/>
      </c>
      <c r="E3596">
        <f>SUMPRODUCT(Calc!$K$3:$K$22*(Calc!$G$3:$G$22&gt;=B3596))</f>
        <v/>
      </c>
      <c r="F3596">
        <f>AND(k_n&gt;=5,B3596&gt;A3596+1E-9,C3596&gt;=2,D3596&gt;=1,E3596&gt;=2)</f>
        <v/>
      </c>
      <c r="G3596">
        <f>SUMPRODUCT(Calc!$K$3:$K$22*(Calc!$G$3:$G$22&gt;A3596)*(Calc!$G$3:$G$22-A3596))</f>
        <v/>
      </c>
      <c r="H3596">
        <f>SUMPRODUCT(Calc!$K$3:$K$22*(Calc!$G$3:$G$22&gt;B3596)*(Calc!$G$3:$G$22-B3596))</f>
        <v/>
      </c>
      <c r="I3596">
        <f>SUMPRODUCT(Calc!$K$3:$K$22*(Calc!$G$3:$G$22&gt;A3596)*(Calc!$G$3:$G$22-A3596)^2)</f>
        <v/>
      </c>
      <c r="J3596">
        <f>SUMPRODUCT(Calc!$K$3:$K$22*(Calc!$G$3:$G$22&gt;B3596)*(Calc!$G$3:$G$22-B3596)^2)</f>
        <v/>
      </c>
      <c r="K3596">
        <f>SUMPRODUCT(Calc!$K$3:$K$22*(Calc!$G$3:$G$22&gt;A3596)*(Calc!$G$3:$G$22-A3596)*(Calc!$G$3:$G$22&gt;B3596)*(Calc!$G$3:$G$22-B3596))</f>
        <v/>
      </c>
      <c r="L3596">
        <f>SUMPRODUCT(Calc!$K$3:$K$22*(Calc!$G$3:$G$22&gt;A3596)*(Calc!$G$3:$G$22-A3596)*Calc!$G$3:$G$22)</f>
        <v/>
      </c>
      <c r="M3596">
        <f>SUMPRODUCT(Calc!$K$3:$K$22*(Calc!$G$3:$G$22&gt;B3596)*(Calc!$G$3:$G$22-B3596)*Calc!$G$3:$G$22)</f>
        <v/>
      </c>
      <c r="N3596">
        <f>SUMPRODUCT(Calc!$K$3:$K$22*(Calc!$G$3:$G$22&gt;A3596)*(Calc!$G$3:$G$22-A3596)*Calc!$I$3:$I$22)</f>
        <v/>
      </c>
      <c r="O3596">
        <f>SUMPRODUCT(Calc!$K$3:$K$22*(Calc!$G$3:$G$22&gt;B3596)*(Calc!$G$3:$G$22-B3596)*Calc!$I$3:$I$22)</f>
        <v/>
      </c>
      <c r="P3596">
        <f>I3596-G3596^2/k_n</f>
        <v/>
      </c>
      <c r="Q3596">
        <f>J3596-H3596^2/k_n</f>
        <v/>
      </c>
      <c r="R3596">
        <f>K3596-G3596*H3596/k_n</f>
        <v/>
      </c>
      <c r="S3596">
        <f>L3596-LTP3!$D$3*G3596/k_n</f>
        <v/>
      </c>
      <c r="T3596">
        <f>M3596-LTP3!$D$3*H3596/k_n</f>
        <v/>
      </c>
      <c r="U3596">
        <f>N3596-G3596*LTP3!$D$4/k_n</f>
        <v/>
      </c>
      <c r="V3596">
        <f>O3596-H3596*LTP3!$D$4/k_n</f>
        <v/>
      </c>
      <c r="W3596">
        <f>((LTP3!$D$5)*((P3596)*(Q3596)-(R3596)*(R3596))-(S3596)*((S3596)*(Q3596)-(R3596)*(T3596))+(T3596)*((S3596)*(R3596)-(P3596)*(T3596)))</f>
        <v/>
      </c>
      <c r="X3596">
        <f>IF(ABS(W3596)&gt;1E-12,((LTP3!$D$6)*((P3596)*(Q3596)-(R3596)*(R3596))-(S3596)*((U3596)*(Q3596)-(R3596)*(V3596))+(T3596)*((U3596)*(R3596)-(P3596)*(V3596)))/W3596,0)</f>
        <v/>
      </c>
      <c r="Y3596">
        <f>IF(ABS(W3596)&gt;1E-12,((LTP3!$D$5)*((U3596)*(Q3596)-(R3596)*(V3596))-(LTP3!$D$6)*((S3596)*(Q3596)-(R3596)*(T3596))+(T3596)*((S3596)*(V3596)-(U3596)*(T3596)))/W3596,0)</f>
        <v/>
      </c>
      <c r="Z3596">
        <f>IF(ABS(W3596)&gt;1E-12,((LTP3!$D$5)*((P3596)*(V3596)-(U3596)*(R3596))-(S3596)*((S3596)*(V3596)-(U3596)*(T3596))+(LTP3!$D$6)*((S3596)*(R3596)-(P3596)*(T3596)))/W3596,0)</f>
        <v/>
      </c>
      <c r="AA3596">
        <f>LTP3!$D$7-X3596*LTP3!$D$6-Y3596*U3596-Z3596*V3596</f>
        <v/>
      </c>
      <c r="AB3596">
        <f>IF(AND(F3596,ABS(W3596)&gt;1E-12,Y3596&gt;0,Z3596&gt;0),AA3596,1E+300)</f>
        <v/>
      </c>
    </row>
    <row r="3597">
      <c r="A3597">
        <f>$B$3+$B$5*58</f>
        <v/>
      </c>
      <c r="B3597">
        <f>$B$3+$B$5*47</f>
        <v/>
      </c>
      <c r="C3597">
        <f>SUMPRODUCT(Calc!$K$3:$K$22*(Calc!$G$3:$G$22&lt;=A3597))</f>
        <v/>
      </c>
      <c r="D3597">
        <f>SUMPRODUCT(Calc!$K$3:$K$22*(Calc!$G$3:$G$22&gt;A3597)*(Calc!$G$3:$G$22&lt;B3597))</f>
        <v/>
      </c>
      <c r="E3597">
        <f>SUMPRODUCT(Calc!$K$3:$K$22*(Calc!$G$3:$G$22&gt;=B3597))</f>
        <v/>
      </c>
      <c r="F3597">
        <f>AND(k_n&gt;=5,B3597&gt;A3597+1E-9,C3597&gt;=2,D3597&gt;=1,E3597&gt;=2)</f>
        <v/>
      </c>
      <c r="G3597">
        <f>SUMPRODUCT(Calc!$K$3:$K$22*(Calc!$G$3:$G$22&gt;A3597)*(Calc!$G$3:$G$22-A3597))</f>
        <v/>
      </c>
      <c r="H3597">
        <f>SUMPRODUCT(Calc!$K$3:$K$22*(Calc!$G$3:$G$22&gt;B3597)*(Calc!$G$3:$G$22-B3597))</f>
        <v/>
      </c>
      <c r="I3597">
        <f>SUMPRODUCT(Calc!$K$3:$K$22*(Calc!$G$3:$G$22&gt;A3597)*(Calc!$G$3:$G$22-A3597)^2)</f>
        <v/>
      </c>
      <c r="J3597">
        <f>SUMPRODUCT(Calc!$K$3:$K$22*(Calc!$G$3:$G$22&gt;B3597)*(Calc!$G$3:$G$22-B3597)^2)</f>
        <v/>
      </c>
      <c r="K3597">
        <f>SUMPRODUCT(Calc!$K$3:$K$22*(Calc!$G$3:$G$22&gt;A3597)*(Calc!$G$3:$G$22-A3597)*(Calc!$G$3:$G$22&gt;B3597)*(Calc!$G$3:$G$22-B3597))</f>
        <v/>
      </c>
      <c r="L3597">
        <f>SUMPRODUCT(Calc!$K$3:$K$22*(Calc!$G$3:$G$22&gt;A3597)*(Calc!$G$3:$G$22-A3597)*Calc!$G$3:$G$22)</f>
        <v/>
      </c>
      <c r="M3597">
        <f>SUMPRODUCT(Calc!$K$3:$K$22*(Calc!$G$3:$G$22&gt;B3597)*(Calc!$G$3:$G$22-B3597)*Calc!$G$3:$G$22)</f>
        <v/>
      </c>
      <c r="N3597">
        <f>SUMPRODUCT(Calc!$K$3:$K$22*(Calc!$G$3:$G$22&gt;A3597)*(Calc!$G$3:$G$22-A3597)*Calc!$I$3:$I$22)</f>
        <v/>
      </c>
      <c r="O3597">
        <f>SUMPRODUCT(Calc!$K$3:$K$22*(Calc!$G$3:$G$22&gt;B3597)*(Calc!$G$3:$G$22-B3597)*Calc!$I$3:$I$22)</f>
        <v/>
      </c>
      <c r="P3597">
        <f>I3597-G3597^2/k_n</f>
        <v/>
      </c>
      <c r="Q3597">
        <f>J3597-H3597^2/k_n</f>
        <v/>
      </c>
      <c r="R3597">
        <f>K3597-G3597*H3597/k_n</f>
        <v/>
      </c>
      <c r="S3597">
        <f>L3597-LTP3!$D$3*G3597/k_n</f>
        <v/>
      </c>
      <c r="T3597">
        <f>M3597-LTP3!$D$3*H3597/k_n</f>
        <v/>
      </c>
      <c r="U3597">
        <f>N3597-G3597*LTP3!$D$4/k_n</f>
        <v/>
      </c>
      <c r="V3597">
        <f>O3597-H3597*LTP3!$D$4/k_n</f>
        <v/>
      </c>
      <c r="W3597">
        <f>((LTP3!$D$5)*((P3597)*(Q3597)-(R3597)*(R3597))-(S3597)*((S3597)*(Q3597)-(R3597)*(T3597))+(T3597)*((S3597)*(R3597)-(P3597)*(T3597)))</f>
        <v/>
      </c>
      <c r="X3597">
        <f>IF(ABS(W3597)&gt;1E-12,((LTP3!$D$6)*((P3597)*(Q3597)-(R3597)*(R3597))-(S3597)*((U3597)*(Q3597)-(R3597)*(V3597))+(T3597)*((U3597)*(R3597)-(P3597)*(V3597)))/W3597,0)</f>
        <v/>
      </c>
      <c r="Y3597">
        <f>IF(ABS(W3597)&gt;1E-12,((LTP3!$D$5)*((U3597)*(Q3597)-(R3597)*(V3597))-(LTP3!$D$6)*((S3597)*(Q3597)-(R3597)*(T3597))+(T3597)*((S3597)*(V3597)-(U3597)*(T3597)))/W3597,0)</f>
        <v/>
      </c>
      <c r="Z3597">
        <f>IF(ABS(W3597)&gt;1E-12,((LTP3!$D$5)*((P3597)*(V3597)-(U3597)*(R3597))-(S3597)*((S3597)*(V3597)-(U3597)*(T3597))+(LTP3!$D$6)*((S3597)*(R3597)-(P3597)*(T3597)))/W3597,0)</f>
        <v/>
      </c>
      <c r="AA3597">
        <f>LTP3!$D$7-X3597*LTP3!$D$6-Y3597*U3597-Z3597*V3597</f>
        <v/>
      </c>
      <c r="AB3597">
        <f>IF(AND(F3597,ABS(W3597)&gt;1E-12,Y3597&gt;0,Z3597&gt;0),AA3597,1E+300)</f>
        <v/>
      </c>
    </row>
    <row r="3598">
      <c r="A3598">
        <f>$B$3+$B$5*58</f>
        <v/>
      </c>
      <c r="B3598">
        <f>$B$3+$B$5*48</f>
        <v/>
      </c>
      <c r="C3598">
        <f>SUMPRODUCT(Calc!$K$3:$K$22*(Calc!$G$3:$G$22&lt;=A3598))</f>
        <v/>
      </c>
      <c r="D3598">
        <f>SUMPRODUCT(Calc!$K$3:$K$22*(Calc!$G$3:$G$22&gt;A3598)*(Calc!$G$3:$G$22&lt;B3598))</f>
        <v/>
      </c>
      <c r="E3598">
        <f>SUMPRODUCT(Calc!$K$3:$K$22*(Calc!$G$3:$G$22&gt;=B3598))</f>
        <v/>
      </c>
      <c r="F3598">
        <f>AND(k_n&gt;=5,B3598&gt;A3598+1E-9,C3598&gt;=2,D3598&gt;=1,E3598&gt;=2)</f>
        <v/>
      </c>
      <c r="G3598">
        <f>SUMPRODUCT(Calc!$K$3:$K$22*(Calc!$G$3:$G$22&gt;A3598)*(Calc!$G$3:$G$22-A3598))</f>
        <v/>
      </c>
      <c r="H3598">
        <f>SUMPRODUCT(Calc!$K$3:$K$22*(Calc!$G$3:$G$22&gt;B3598)*(Calc!$G$3:$G$22-B3598))</f>
        <v/>
      </c>
      <c r="I3598">
        <f>SUMPRODUCT(Calc!$K$3:$K$22*(Calc!$G$3:$G$22&gt;A3598)*(Calc!$G$3:$G$22-A3598)^2)</f>
        <v/>
      </c>
      <c r="J3598">
        <f>SUMPRODUCT(Calc!$K$3:$K$22*(Calc!$G$3:$G$22&gt;B3598)*(Calc!$G$3:$G$22-B3598)^2)</f>
        <v/>
      </c>
      <c r="K3598">
        <f>SUMPRODUCT(Calc!$K$3:$K$22*(Calc!$G$3:$G$22&gt;A3598)*(Calc!$G$3:$G$22-A3598)*(Calc!$G$3:$G$22&gt;B3598)*(Calc!$G$3:$G$22-B3598))</f>
        <v/>
      </c>
      <c r="L3598">
        <f>SUMPRODUCT(Calc!$K$3:$K$22*(Calc!$G$3:$G$22&gt;A3598)*(Calc!$G$3:$G$22-A3598)*Calc!$G$3:$G$22)</f>
        <v/>
      </c>
      <c r="M3598">
        <f>SUMPRODUCT(Calc!$K$3:$K$22*(Calc!$G$3:$G$22&gt;B3598)*(Calc!$G$3:$G$22-B3598)*Calc!$G$3:$G$22)</f>
        <v/>
      </c>
      <c r="N3598">
        <f>SUMPRODUCT(Calc!$K$3:$K$22*(Calc!$G$3:$G$22&gt;A3598)*(Calc!$G$3:$G$22-A3598)*Calc!$I$3:$I$22)</f>
        <v/>
      </c>
      <c r="O3598">
        <f>SUMPRODUCT(Calc!$K$3:$K$22*(Calc!$G$3:$G$22&gt;B3598)*(Calc!$G$3:$G$22-B3598)*Calc!$I$3:$I$22)</f>
        <v/>
      </c>
      <c r="P3598">
        <f>I3598-G3598^2/k_n</f>
        <v/>
      </c>
      <c r="Q3598">
        <f>J3598-H3598^2/k_n</f>
        <v/>
      </c>
      <c r="R3598">
        <f>K3598-G3598*H3598/k_n</f>
        <v/>
      </c>
      <c r="S3598">
        <f>L3598-LTP3!$D$3*G3598/k_n</f>
        <v/>
      </c>
      <c r="T3598">
        <f>M3598-LTP3!$D$3*H3598/k_n</f>
        <v/>
      </c>
      <c r="U3598">
        <f>N3598-G3598*LTP3!$D$4/k_n</f>
        <v/>
      </c>
      <c r="V3598">
        <f>O3598-H3598*LTP3!$D$4/k_n</f>
        <v/>
      </c>
      <c r="W3598">
        <f>((LTP3!$D$5)*((P3598)*(Q3598)-(R3598)*(R3598))-(S3598)*((S3598)*(Q3598)-(R3598)*(T3598))+(T3598)*((S3598)*(R3598)-(P3598)*(T3598)))</f>
        <v/>
      </c>
      <c r="X3598">
        <f>IF(ABS(W3598)&gt;1E-12,((LTP3!$D$6)*((P3598)*(Q3598)-(R3598)*(R3598))-(S3598)*((U3598)*(Q3598)-(R3598)*(V3598))+(T3598)*((U3598)*(R3598)-(P3598)*(V3598)))/W3598,0)</f>
        <v/>
      </c>
      <c r="Y3598">
        <f>IF(ABS(W3598)&gt;1E-12,((LTP3!$D$5)*((U3598)*(Q3598)-(R3598)*(V3598))-(LTP3!$D$6)*((S3598)*(Q3598)-(R3598)*(T3598))+(T3598)*((S3598)*(V3598)-(U3598)*(T3598)))/W3598,0)</f>
        <v/>
      </c>
      <c r="Z3598">
        <f>IF(ABS(W3598)&gt;1E-12,((LTP3!$D$5)*((P3598)*(V3598)-(U3598)*(R3598))-(S3598)*((S3598)*(V3598)-(U3598)*(T3598))+(LTP3!$D$6)*((S3598)*(R3598)-(P3598)*(T3598)))/W3598,0)</f>
        <v/>
      </c>
      <c r="AA3598">
        <f>LTP3!$D$7-X3598*LTP3!$D$6-Y3598*U3598-Z3598*V3598</f>
        <v/>
      </c>
      <c r="AB3598">
        <f>IF(AND(F3598,ABS(W3598)&gt;1E-12,Y3598&gt;0,Z3598&gt;0),AA3598,1E+300)</f>
        <v/>
      </c>
    </row>
    <row r="3599">
      <c r="A3599">
        <f>$B$3+$B$5*58</f>
        <v/>
      </c>
      <c r="B3599">
        <f>$B$3+$B$5*49</f>
        <v/>
      </c>
      <c r="C3599">
        <f>SUMPRODUCT(Calc!$K$3:$K$22*(Calc!$G$3:$G$22&lt;=A3599))</f>
        <v/>
      </c>
      <c r="D3599">
        <f>SUMPRODUCT(Calc!$K$3:$K$22*(Calc!$G$3:$G$22&gt;A3599)*(Calc!$G$3:$G$22&lt;B3599))</f>
        <v/>
      </c>
      <c r="E3599">
        <f>SUMPRODUCT(Calc!$K$3:$K$22*(Calc!$G$3:$G$22&gt;=B3599))</f>
        <v/>
      </c>
      <c r="F3599">
        <f>AND(k_n&gt;=5,B3599&gt;A3599+1E-9,C3599&gt;=2,D3599&gt;=1,E3599&gt;=2)</f>
        <v/>
      </c>
      <c r="G3599">
        <f>SUMPRODUCT(Calc!$K$3:$K$22*(Calc!$G$3:$G$22&gt;A3599)*(Calc!$G$3:$G$22-A3599))</f>
        <v/>
      </c>
      <c r="H3599">
        <f>SUMPRODUCT(Calc!$K$3:$K$22*(Calc!$G$3:$G$22&gt;B3599)*(Calc!$G$3:$G$22-B3599))</f>
        <v/>
      </c>
      <c r="I3599">
        <f>SUMPRODUCT(Calc!$K$3:$K$22*(Calc!$G$3:$G$22&gt;A3599)*(Calc!$G$3:$G$22-A3599)^2)</f>
        <v/>
      </c>
      <c r="J3599">
        <f>SUMPRODUCT(Calc!$K$3:$K$22*(Calc!$G$3:$G$22&gt;B3599)*(Calc!$G$3:$G$22-B3599)^2)</f>
        <v/>
      </c>
      <c r="K3599">
        <f>SUMPRODUCT(Calc!$K$3:$K$22*(Calc!$G$3:$G$22&gt;A3599)*(Calc!$G$3:$G$22-A3599)*(Calc!$G$3:$G$22&gt;B3599)*(Calc!$G$3:$G$22-B3599))</f>
        <v/>
      </c>
      <c r="L3599">
        <f>SUMPRODUCT(Calc!$K$3:$K$22*(Calc!$G$3:$G$22&gt;A3599)*(Calc!$G$3:$G$22-A3599)*Calc!$G$3:$G$22)</f>
        <v/>
      </c>
      <c r="M3599">
        <f>SUMPRODUCT(Calc!$K$3:$K$22*(Calc!$G$3:$G$22&gt;B3599)*(Calc!$G$3:$G$22-B3599)*Calc!$G$3:$G$22)</f>
        <v/>
      </c>
      <c r="N3599">
        <f>SUMPRODUCT(Calc!$K$3:$K$22*(Calc!$G$3:$G$22&gt;A3599)*(Calc!$G$3:$G$22-A3599)*Calc!$I$3:$I$22)</f>
        <v/>
      </c>
      <c r="O3599">
        <f>SUMPRODUCT(Calc!$K$3:$K$22*(Calc!$G$3:$G$22&gt;B3599)*(Calc!$G$3:$G$22-B3599)*Calc!$I$3:$I$22)</f>
        <v/>
      </c>
      <c r="P3599">
        <f>I3599-G3599^2/k_n</f>
        <v/>
      </c>
      <c r="Q3599">
        <f>J3599-H3599^2/k_n</f>
        <v/>
      </c>
      <c r="R3599">
        <f>K3599-G3599*H3599/k_n</f>
        <v/>
      </c>
      <c r="S3599">
        <f>L3599-LTP3!$D$3*G3599/k_n</f>
        <v/>
      </c>
      <c r="T3599">
        <f>M3599-LTP3!$D$3*H3599/k_n</f>
        <v/>
      </c>
      <c r="U3599">
        <f>N3599-G3599*LTP3!$D$4/k_n</f>
        <v/>
      </c>
      <c r="V3599">
        <f>O3599-H3599*LTP3!$D$4/k_n</f>
        <v/>
      </c>
      <c r="W3599">
        <f>((LTP3!$D$5)*((P3599)*(Q3599)-(R3599)*(R3599))-(S3599)*((S3599)*(Q3599)-(R3599)*(T3599))+(T3599)*((S3599)*(R3599)-(P3599)*(T3599)))</f>
        <v/>
      </c>
      <c r="X3599">
        <f>IF(ABS(W3599)&gt;1E-12,((LTP3!$D$6)*((P3599)*(Q3599)-(R3599)*(R3599))-(S3599)*((U3599)*(Q3599)-(R3599)*(V3599))+(T3599)*((U3599)*(R3599)-(P3599)*(V3599)))/W3599,0)</f>
        <v/>
      </c>
      <c r="Y3599">
        <f>IF(ABS(W3599)&gt;1E-12,((LTP3!$D$5)*((U3599)*(Q3599)-(R3599)*(V3599))-(LTP3!$D$6)*((S3599)*(Q3599)-(R3599)*(T3599))+(T3599)*((S3599)*(V3599)-(U3599)*(T3599)))/W3599,0)</f>
        <v/>
      </c>
      <c r="Z3599">
        <f>IF(ABS(W3599)&gt;1E-12,((LTP3!$D$5)*((P3599)*(V3599)-(U3599)*(R3599))-(S3599)*((S3599)*(V3599)-(U3599)*(T3599))+(LTP3!$D$6)*((S3599)*(R3599)-(P3599)*(T3599)))/W3599,0)</f>
        <v/>
      </c>
      <c r="AA3599">
        <f>LTP3!$D$7-X3599*LTP3!$D$6-Y3599*U3599-Z3599*V3599</f>
        <v/>
      </c>
      <c r="AB3599">
        <f>IF(AND(F3599,ABS(W3599)&gt;1E-12,Y3599&gt;0,Z3599&gt;0),AA3599,1E+300)</f>
        <v/>
      </c>
    </row>
    <row r="3600">
      <c r="A3600">
        <f>$B$3+$B$5*58</f>
        <v/>
      </c>
      <c r="B3600">
        <f>$B$3+$B$5*50</f>
        <v/>
      </c>
      <c r="C3600">
        <f>SUMPRODUCT(Calc!$K$3:$K$22*(Calc!$G$3:$G$22&lt;=A3600))</f>
        <v/>
      </c>
      <c r="D3600">
        <f>SUMPRODUCT(Calc!$K$3:$K$22*(Calc!$G$3:$G$22&gt;A3600)*(Calc!$G$3:$G$22&lt;B3600))</f>
        <v/>
      </c>
      <c r="E3600">
        <f>SUMPRODUCT(Calc!$K$3:$K$22*(Calc!$G$3:$G$22&gt;=B3600))</f>
        <v/>
      </c>
      <c r="F3600">
        <f>AND(k_n&gt;=5,B3600&gt;A3600+1E-9,C3600&gt;=2,D3600&gt;=1,E3600&gt;=2)</f>
        <v/>
      </c>
      <c r="G3600">
        <f>SUMPRODUCT(Calc!$K$3:$K$22*(Calc!$G$3:$G$22&gt;A3600)*(Calc!$G$3:$G$22-A3600))</f>
        <v/>
      </c>
      <c r="H3600">
        <f>SUMPRODUCT(Calc!$K$3:$K$22*(Calc!$G$3:$G$22&gt;B3600)*(Calc!$G$3:$G$22-B3600))</f>
        <v/>
      </c>
      <c r="I3600">
        <f>SUMPRODUCT(Calc!$K$3:$K$22*(Calc!$G$3:$G$22&gt;A3600)*(Calc!$G$3:$G$22-A3600)^2)</f>
        <v/>
      </c>
      <c r="J3600">
        <f>SUMPRODUCT(Calc!$K$3:$K$22*(Calc!$G$3:$G$22&gt;B3600)*(Calc!$G$3:$G$22-B3600)^2)</f>
        <v/>
      </c>
      <c r="K3600">
        <f>SUMPRODUCT(Calc!$K$3:$K$22*(Calc!$G$3:$G$22&gt;A3600)*(Calc!$G$3:$G$22-A3600)*(Calc!$G$3:$G$22&gt;B3600)*(Calc!$G$3:$G$22-B3600))</f>
        <v/>
      </c>
      <c r="L3600">
        <f>SUMPRODUCT(Calc!$K$3:$K$22*(Calc!$G$3:$G$22&gt;A3600)*(Calc!$G$3:$G$22-A3600)*Calc!$G$3:$G$22)</f>
        <v/>
      </c>
      <c r="M3600">
        <f>SUMPRODUCT(Calc!$K$3:$K$22*(Calc!$G$3:$G$22&gt;B3600)*(Calc!$G$3:$G$22-B3600)*Calc!$G$3:$G$22)</f>
        <v/>
      </c>
      <c r="N3600">
        <f>SUMPRODUCT(Calc!$K$3:$K$22*(Calc!$G$3:$G$22&gt;A3600)*(Calc!$G$3:$G$22-A3600)*Calc!$I$3:$I$22)</f>
        <v/>
      </c>
      <c r="O3600">
        <f>SUMPRODUCT(Calc!$K$3:$K$22*(Calc!$G$3:$G$22&gt;B3600)*(Calc!$G$3:$G$22-B3600)*Calc!$I$3:$I$22)</f>
        <v/>
      </c>
      <c r="P3600">
        <f>I3600-G3600^2/k_n</f>
        <v/>
      </c>
      <c r="Q3600">
        <f>J3600-H3600^2/k_n</f>
        <v/>
      </c>
      <c r="R3600">
        <f>K3600-G3600*H3600/k_n</f>
        <v/>
      </c>
      <c r="S3600">
        <f>L3600-LTP3!$D$3*G3600/k_n</f>
        <v/>
      </c>
      <c r="T3600">
        <f>M3600-LTP3!$D$3*H3600/k_n</f>
        <v/>
      </c>
      <c r="U3600">
        <f>N3600-G3600*LTP3!$D$4/k_n</f>
        <v/>
      </c>
      <c r="V3600">
        <f>O3600-H3600*LTP3!$D$4/k_n</f>
        <v/>
      </c>
      <c r="W3600">
        <f>((LTP3!$D$5)*((P3600)*(Q3600)-(R3600)*(R3600))-(S3600)*((S3600)*(Q3600)-(R3600)*(T3600))+(T3600)*((S3600)*(R3600)-(P3600)*(T3600)))</f>
        <v/>
      </c>
      <c r="X3600">
        <f>IF(ABS(W3600)&gt;1E-12,((LTP3!$D$6)*((P3600)*(Q3600)-(R3600)*(R3600))-(S3600)*((U3600)*(Q3600)-(R3600)*(V3600))+(T3600)*((U3600)*(R3600)-(P3600)*(V3600)))/W3600,0)</f>
        <v/>
      </c>
      <c r="Y3600">
        <f>IF(ABS(W3600)&gt;1E-12,((LTP3!$D$5)*((U3600)*(Q3600)-(R3600)*(V3600))-(LTP3!$D$6)*((S3600)*(Q3600)-(R3600)*(T3600))+(T3600)*((S3600)*(V3600)-(U3600)*(T3600)))/W3600,0)</f>
        <v/>
      </c>
      <c r="Z3600">
        <f>IF(ABS(W3600)&gt;1E-12,((LTP3!$D$5)*((P3600)*(V3600)-(U3600)*(R3600))-(S3600)*((S3600)*(V3600)-(U3600)*(T3600))+(LTP3!$D$6)*((S3600)*(R3600)-(P3600)*(T3600)))/W3600,0)</f>
        <v/>
      </c>
      <c r="AA3600">
        <f>LTP3!$D$7-X3600*LTP3!$D$6-Y3600*U3600-Z3600*V3600</f>
        <v/>
      </c>
      <c r="AB3600">
        <f>IF(AND(F3600,ABS(W3600)&gt;1E-12,Y3600&gt;0,Z3600&gt;0),AA3600,1E+300)</f>
        <v/>
      </c>
    </row>
    <row r="3601">
      <c r="A3601">
        <f>$B$3+$B$5*58</f>
        <v/>
      </c>
      <c r="B3601">
        <f>$B$3+$B$5*51</f>
        <v/>
      </c>
      <c r="C3601">
        <f>SUMPRODUCT(Calc!$K$3:$K$22*(Calc!$G$3:$G$22&lt;=A3601))</f>
        <v/>
      </c>
      <c r="D3601">
        <f>SUMPRODUCT(Calc!$K$3:$K$22*(Calc!$G$3:$G$22&gt;A3601)*(Calc!$G$3:$G$22&lt;B3601))</f>
        <v/>
      </c>
      <c r="E3601">
        <f>SUMPRODUCT(Calc!$K$3:$K$22*(Calc!$G$3:$G$22&gt;=B3601))</f>
        <v/>
      </c>
      <c r="F3601">
        <f>AND(k_n&gt;=5,B3601&gt;A3601+1E-9,C3601&gt;=2,D3601&gt;=1,E3601&gt;=2)</f>
        <v/>
      </c>
      <c r="G3601">
        <f>SUMPRODUCT(Calc!$K$3:$K$22*(Calc!$G$3:$G$22&gt;A3601)*(Calc!$G$3:$G$22-A3601))</f>
        <v/>
      </c>
      <c r="H3601">
        <f>SUMPRODUCT(Calc!$K$3:$K$22*(Calc!$G$3:$G$22&gt;B3601)*(Calc!$G$3:$G$22-B3601))</f>
        <v/>
      </c>
      <c r="I3601">
        <f>SUMPRODUCT(Calc!$K$3:$K$22*(Calc!$G$3:$G$22&gt;A3601)*(Calc!$G$3:$G$22-A3601)^2)</f>
        <v/>
      </c>
      <c r="J3601">
        <f>SUMPRODUCT(Calc!$K$3:$K$22*(Calc!$G$3:$G$22&gt;B3601)*(Calc!$G$3:$G$22-B3601)^2)</f>
        <v/>
      </c>
      <c r="K3601">
        <f>SUMPRODUCT(Calc!$K$3:$K$22*(Calc!$G$3:$G$22&gt;A3601)*(Calc!$G$3:$G$22-A3601)*(Calc!$G$3:$G$22&gt;B3601)*(Calc!$G$3:$G$22-B3601))</f>
        <v/>
      </c>
      <c r="L3601">
        <f>SUMPRODUCT(Calc!$K$3:$K$22*(Calc!$G$3:$G$22&gt;A3601)*(Calc!$G$3:$G$22-A3601)*Calc!$G$3:$G$22)</f>
        <v/>
      </c>
      <c r="M3601">
        <f>SUMPRODUCT(Calc!$K$3:$K$22*(Calc!$G$3:$G$22&gt;B3601)*(Calc!$G$3:$G$22-B3601)*Calc!$G$3:$G$22)</f>
        <v/>
      </c>
      <c r="N3601">
        <f>SUMPRODUCT(Calc!$K$3:$K$22*(Calc!$G$3:$G$22&gt;A3601)*(Calc!$G$3:$G$22-A3601)*Calc!$I$3:$I$22)</f>
        <v/>
      </c>
      <c r="O3601">
        <f>SUMPRODUCT(Calc!$K$3:$K$22*(Calc!$G$3:$G$22&gt;B3601)*(Calc!$G$3:$G$22-B3601)*Calc!$I$3:$I$22)</f>
        <v/>
      </c>
      <c r="P3601">
        <f>I3601-G3601^2/k_n</f>
        <v/>
      </c>
      <c r="Q3601">
        <f>J3601-H3601^2/k_n</f>
        <v/>
      </c>
      <c r="R3601">
        <f>K3601-G3601*H3601/k_n</f>
        <v/>
      </c>
      <c r="S3601">
        <f>L3601-LTP3!$D$3*G3601/k_n</f>
        <v/>
      </c>
      <c r="T3601">
        <f>M3601-LTP3!$D$3*H3601/k_n</f>
        <v/>
      </c>
      <c r="U3601">
        <f>N3601-G3601*LTP3!$D$4/k_n</f>
        <v/>
      </c>
      <c r="V3601">
        <f>O3601-H3601*LTP3!$D$4/k_n</f>
        <v/>
      </c>
      <c r="W3601">
        <f>((LTP3!$D$5)*((P3601)*(Q3601)-(R3601)*(R3601))-(S3601)*((S3601)*(Q3601)-(R3601)*(T3601))+(T3601)*((S3601)*(R3601)-(P3601)*(T3601)))</f>
        <v/>
      </c>
      <c r="X3601">
        <f>IF(ABS(W3601)&gt;1E-12,((LTP3!$D$6)*((P3601)*(Q3601)-(R3601)*(R3601))-(S3601)*((U3601)*(Q3601)-(R3601)*(V3601))+(T3601)*((U3601)*(R3601)-(P3601)*(V3601)))/W3601,0)</f>
        <v/>
      </c>
      <c r="Y3601">
        <f>IF(ABS(W3601)&gt;1E-12,((LTP3!$D$5)*((U3601)*(Q3601)-(R3601)*(V3601))-(LTP3!$D$6)*((S3601)*(Q3601)-(R3601)*(T3601))+(T3601)*((S3601)*(V3601)-(U3601)*(T3601)))/W3601,0)</f>
        <v/>
      </c>
      <c r="Z3601">
        <f>IF(ABS(W3601)&gt;1E-12,((LTP3!$D$5)*((P3601)*(V3601)-(U3601)*(R3601))-(S3601)*((S3601)*(V3601)-(U3601)*(T3601))+(LTP3!$D$6)*((S3601)*(R3601)-(P3601)*(T3601)))/W3601,0)</f>
        <v/>
      </c>
      <c r="AA3601">
        <f>LTP3!$D$7-X3601*LTP3!$D$6-Y3601*U3601-Z3601*V3601</f>
        <v/>
      </c>
      <c r="AB3601">
        <f>IF(AND(F3601,ABS(W3601)&gt;1E-12,Y3601&gt;0,Z3601&gt;0),AA3601,1E+300)</f>
        <v/>
      </c>
    </row>
    <row r="3602">
      <c r="A3602">
        <f>$B$3+$B$5*58</f>
        <v/>
      </c>
      <c r="B3602">
        <f>$B$3+$B$5*52</f>
        <v/>
      </c>
      <c r="C3602">
        <f>SUMPRODUCT(Calc!$K$3:$K$22*(Calc!$G$3:$G$22&lt;=A3602))</f>
        <v/>
      </c>
      <c r="D3602">
        <f>SUMPRODUCT(Calc!$K$3:$K$22*(Calc!$G$3:$G$22&gt;A3602)*(Calc!$G$3:$G$22&lt;B3602))</f>
        <v/>
      </c>
      <c r="E3602">
        <f>SUMPRODUCT(Calc!$K$3:$K$22*(Calc!$G$3:$G$22&gt;=B3602))</f>
        <v/>
      </c>
      <c r="F3602">
        <f>AND(k_n&gt;=5,B3602&gt;A3602+1E-9,C3602&gt;=2,D3602&gt;=1,E3602&gt;=2)</f>
        <v/>
      </c>
      <c r="G3602">
        <f>SUMPRODUCT(Calc!$K$3:$K$22*(Calc!$G$3:$G$22&gt;A3602)*(Calc!$G$3:$G$22-A3602))</f>
        <v/>
      </c>
      <c r="H3602">
        <f>SUMPRODUCT(Calc!$K$3:$K$22*(Calc!$G$3:$G$22&gt;B3602)*(Calc!$G$3:$G$22-B3602))</f>
        <v/>
      </c>
      <c r="I3602">
        <f>SUMPRODUCT(Calc!$K$3:$K$22*(Calc!$G$3:$G$22&gt;A3602)*(Calc!$G$3:$G$22-A3602)^2)</f>
        <v/>
      </c>
      <c r="J3602">
        <f>SUMPRODUCT(Calc!$K$3:$K$22*(Calc!$G$3:$G$22&gt;B3602)*(Calc!$G$3:$G$22-B3602)^2)</f>
        <v/>
      </c>
      <c r="K3602">
        <f>SUMPRODUCT(Calc!$K$3:$K$22*(Calc!$G$3:$G$22&gt;A3602)*(Calc!$G$3:$G$22-A3602)*(Calc!$G$3:$G$22&gt;B3602)*(Calc!$G$3:$G$22-B3602))</f>
        <v/>
      </c>
      <c r="L3602">
        <f>SUMPRODUCT(Calc!$K$3:$K$22*(Calc!$G$3:$G$22&gt;A3602)*(Calc!$G$3:$G$22-A3602)*Calc!$G$3:$G$22)</f>
        <v/>
      </c>
      <c r="M3602">
        <f>SUMPRODUCT(Calc!$K$3:$K$22*(Calc!$G$3:$G$22&gt;B3602)*(Calc!$G$3:$G$22-B3602)*Calc!$G$3:$G$22)</f>
        <v/>
      </c>
      <c r="N3602">
        <f>SUMPRODUCT(Calc!$K$3:$K$22*(Calc!$G$3:$G$22&gt;A3602)*(Calc!$G$3:$G$22-A3602)*Calc!$I$3:$I$22)</f>
        <v/>
      </c>
      <c r="O3602">
        <f>SUMPRODUCT(Calc!$K$3:$K$22*(Calc!$G$3:$G$22&gt;B3602)*(Calc!$G$3:$G$22-B3602)*Calc!$I$3:$I$22)</f>
        <v/>
      </c>
      <c r="P3602">
        <f>I3602-G3602^2/k_n</f>
        <v/>
      </c>
      <c r="Q3602">
        <f>J3602-H3602^2/k_n</f>
        <v/>
      </c>
      <c r="R3602">
        <f>K3602-G3602*H3602/k_n</f>
        <v/>
      </c>
      <c r="S3602">
        <f>L3602-LTP3!$D$3*G3602/k_n</f>
        <v/>
      </c>
      <c r="T3602">
        <f>M3602-LTP3!$D$3*H3602/k_n</f>
        <v/>
      </c>
      <c r="U3602">
        <f>N3602-G3602*LTP3!$D$4/k_n</f>
        <v/>
      </c>
      <c r="V3602">
        <f>O3602-H3602*LTP3!$D$4/k_n</f>
        <v/>
      </c>
      <c r="W3602">
        <f>((LTP3!$D$5)*((P3602)*(Q3602)-(R3602)*(R3602))-(S3602)*((S3602)*(Q3602)-(R3602)*(T3602))+(T3602)*((S3602)*(R3602)-(P3602)*(T3602)))</f>
        <v/>
      </c>
      <c r="X3602">
        <f>IF(ABS(W3602)&gt;1E-12,((LTP3!$D$6)*((P3602)*(Q3602)-(R3602)*(R3602))-(S3602)*((U3602)*(Q3602)-(R3602)*(V3602))+(T3602)*((U3602)*(R3602)-(P3602)*(V3602)))/W3602,0)</f>
        <v/>
      </c>
      <c r="Y3602">
        <f>IF(ABS(W3602)&gt;1E-12,((LTP3!$D$5)*((U3602)*(Q3602)-(R3602)*(V3602))-(LTP3!$D$6)*((S3602)*(Q3602)-(R3602)*(T3602))+(T3602)*((S3602)*(V3602)-(U3602)*(T3602)))/W3602,0)</f>
        <v/>
      </c>
      <c r="Z3602">
        <f>IF(ABS(W3602)&gt;1E-12,((LTP3!$D$5)*((P3602)*(V3602)-(U3602)*(R3602))-(S3602)*((S3602)*(V3602)-(U3602)*(T3602))+(LTP3!$D$6)*((S3602)*(R3602)-(P3602)*(T3602)))/W3602,0)</f>
        <v/>
      </c>
      <c r="AA3602">
        <f>LTP3!$D$7-X3602*LTP3!$D$6-Y3602*U3602-Z3602*V3602</f>
        <v/>
      </c>
      <c r="AB3602">
        <f>IF(AND(F3602,ABS(W3602)&gt;1E-12,Y3602&gt;0,Z3602&gt;0),AA3602,1E+300)</f>
        <v/>
      </c>
    </row>
    <row r="3603">
      <c r="A3603">
        <f>$B$3+$B$5*58</f>
        <v/>
      </c>
      <c r="B3603">
        <f>$B$3+$B$5*53</f>
        <v/>
      </c>
      <c r="C3603">
        <f>SUMPRODUCT(Calc!$K$3:$K$22*(Calc!$G$3:$G$22&lt;=A3603))</f>
        <v/>
      </c>
      <c r="D3603">
        <f>SUMPRODUCT(Calc!$K$3:$K$22*(Calc!$G$3:$G$22&gt;A3603)*(Calc!$G$3:$G$22&lt;B3603))</f>
        <v/>
      </c>
      <c r="E3603">
        <f>SUMPRODUCT(Calc!$K$3:$K$22*(Calc!$G$3:$G$22&gt;=B3603))</f>
        <v/>
      </c>
      <c r="F3603">
        <f>AND(k_n&gt;=5,B3603&gt;A3603+1E-9,C3603&gt;=2,D3603&gt;=1,E3603&gt;=2)</f>
        <v/>
      </c>
      <c r="G3603">
        <f>SUMPRODUCT(Calc!$K$3:$K$22*(Calc!$G$3:$G$22&gt;A3603)*(Calc!$G$3:$G$22-A3603))</f>
        <v/>
      </c>
      <c r="H3603">
        <f>SUMPRODUCT(Calc!$K$3:$K$22*(Calc!$G$3:$G$22&gt;B3603)*(Calc!$G$3:$G$22-B3603))</f>
        <v/>
      </c>
      <c r="I3603">
        <f>SUMPRODUCT(Calc!$K$3:$K$22*(Calc!$G$3:$G$22&gt;A3603)*(Calc!$G$3:$G$22-A3603)^2)</f>
        <v/>
      </c>
      <c r="J3603">
        <f>SUMPRODUCT(Calc!$K$3:$K$22*(Calc!$G$3:$G$22&gt;B3603)*(Calc!$G$3:$G$22-B3603)^2)</f>
        <v/>
      </c>
      <c r="K3603">
        <f>SUMPRODUCT(Calc!$K$3:$K$22*(Calc!$G$3:$G$22&gt;A3603)*(Calc!$G$3:$G$22-A3603)*(Calc!$G$3:$G$22&gt;B3603)*(Calc!$G$3:$G$22-B3603))</f>
        <v/>
      </c>
      <c r="L3603">
        <f>SUMPRODUCT(Calc!$K$3:$K$22*(Calc!$G$3:$G$22&gt;A3603)*(Calc!$G$3:$G$22-A3603)*Calc!$G$3:$G$22)</f>
        <v/>
      </c>
      <c r="M3603">
        <f>SUMPRODUCT(Calc!$K$3:$K$22*(Calc!$G$3:$G$22&gt;B3603)*(Calc!$G$3:$G$22-B3603)*Calc!$G$3:$G$22)</f>
        <v/>
      </c>
      <c r="N3603">
        <f>SUMPRODUCT(Calc!$K$3:$K$22*(Calc!$G$3:$G$22&gt;A3603)*(Calc!$G$3:$G$22-A3603)*Calc!$I$3:$I$22)</f>
        <v/>
      </c>
      <c r="O3603">
        <f>SUMPRODUCT(Calc!$K$3:$K$22*(Calc!$G$3:$G$22&gt;B3603)*(Calc!$G$3:$G$22-B3603)*Calc!$I$3:$I$22)</f>
        <v/>
      </c>
      <c r="P3603">
        <f>I3603-G3603^2/k_n</f>
        <v/>
      </c>
      <c r="Q3603">
        <f>J3603-H3603^2/k_n</f>
        <v/>
      </c>
      <c r="R3603">
        <f>K3603-G3603*H3603/k_n</f>
        <v/>
      </c>
      <c r="S3603">
        <f>L3603-LTP3!$D$3*G3603/k_n</f>
        <v/>
      </c>
      <c r="T3603">
        <f>M3603-LTP3!$D$3*H3603/k_n</f>
        <v/>
      </c>
      <c r="U3603">
        <f>N3603-G3603*LTP3!$D$4/k_n</f>
        <v/>
      </c>
      <c r="V3603">
        <f>O3603-H3603*LTP3!$D$4/k_n</f>
        <v/>
      </c>
      <c r="W3603">
        <f>((LTP3!$D$5)*((P3603)*(Q3603)-(R3603)*(R3603))-(S3603)*((S3603)*(Q3603)-(R3603)*(T3603))+(T3603)*((S3603)*(R3603)-(P3603)*(T3603)))</f>
        <v/>
      </c>
      <c r="X3603">
        <f>IF(ABS(W3603)&gt;1E-12,((LTP3!$D$6)*((P3603)*(Q3603)-(R3603)*(R3603))-(S3603)*((U3603)*(Q3603)-(R3603)*(V3603))+(T3603)*((U3603)*(R3603)-(P3603)*(V3603)))/W3603,0)</f>
        <v/>
      </c>
      <c r="Y3603">
        <f>IF(ABS(W3603)&gt;1E-12,((LTP3!$D$5)*((U3603)*(Q3603)-(R3603)*(V3603))-(LTP3!$D$6)*((S3603)*(Q3603)-(R3603)*(T3603))+(T3603)*((S3603)*(V3603)-(U3603)*(T3603)))/W3603,0)</f>
        <v/>
      </c>
      <c r="Z3603">
        <f>IF(ABS(W3603)&gt;1E-12,((LTP3!$D$5)*((P3603)*(V3603)-(U3603)*(R3603))-(S3603)*((S3603)*(V3603)-(U3603)*(T3603))+(LTP3!$D$6)*((S3603)*(R3603)-(P3603)*(T3603)))/W3603,0)</f>
        <v/>
      </c>
      <c r="AA3603">
        <f>LTP3!$D$7-X3603*LTP3!$D$6-Y3603*U3603-Z3603*V3603</f>
        <v/>
      </c>
      <c r="AB3603">
        <f>IF(AND(F3603,ABS(W3603)&gt;1E-12,Y3603&gt;0,Z3603&gt;0),AA3603,1E+300)</f>
        <v/>
      </c>
    </row>
    <row r="3604">
      <c r="A3604">
        <f>$B$3+$B$5*58</f>
        <v/>
      </c>
      <c r="B3604">
        <f>$B$3+$B$5*54</f>
        <v/>
      </c>
      <c r="C3604">
        <f>SUMPRODUCT(Calc!$K$3:$K$22*(Calc!$G$3:$G$22&lt;=A3604))</f>
        <v/>
      </c>
      <c r="D3604">
        <f>SUMPRODUCT(Calc!$K$3:$K$22*(Calc!$G$3:$G$22&gt;A3604)*(Calc!$G$3:$G$22&lt;B3604))</f>
        <v/>
      </c>
      <c r="E3604">
        <f>SUMPRODUCT(Calc!$K$3:$K$22*(Calc!$G$3:$G$22&gt;=B3604))</f>
        <v/>
      </c>
      <c r="F3604">
        <f>AND(k_n&gt;=5,B3604&gt;A3604+1E-9,C3604&gt;=2,D3604&gt;=1,E3604&gt;=2)</f>
        <v/>
      </c>
      <c r="G3604">
        <f>SUMPRODUCT(Calc!$K$3:$K$22*(Calc!$G$3:$G$22&gt;A3604)*(Calc!$G$3:$G$22-A3604))</f>
        <v/>
      </c>
      <c r="H3604">
        <f>SUMPRODUCT(Calc!$K$3:$K$22*(Calc!$G$3:$G$22&gt;B3604)*(Calc!$G$3:$G$22-B3604))</f>
        <v/>
      </c>
      <c r="I3604">
        <f>SUMPRODUCT(Calc!$K$3:$K$22*(Calc!$G$3:$G$22&gt;A3604)*(Calc!$G$3:$G$22-A3604)^2)</f>
        <v/>
      </c>
      <c r="J3604">
        <f>SUMPRODUCT(Calc!$K$3:$K$22*(Calc!$G$3:$G$22&gt;B3604)*(Calc!$G$3:$G$22-B3604)^2)</f>
        <v/>
      </c>
      <c r="K3604">
        <f>SUMPRODUCT(Calc!$K$3:$K$22*(Calc!$G$3:$G$22&gt;A3604)*(Calc!$G$3:$G$22-A3604)*(Calc!$G$3:$G$22&gt;B3604)*(Calc!$G$3:$G$22-B3604))</f>
        <v/>
      </c>
      <c r="L3604">
        <f>SUMPRODUCT(Calc!$K$3:$K$22*(Calc!$G$3:$G$22&gt;A3604)*(Calc!$G$3:$G$22-A3604)*Calc!$G$3:$G$22)</f>
        <v/>
      </c>
      <c r="M3604">
        <f>SUMPRODUCT(Calc!$K$3:$K$22*(Calc!$G$3:$G$22&gt;B3604)*(Calc!$G$3:$G$22-B3604)*Calc!$G$3:$G$22)</f>
        <v/>
      </c>
      <c r="N3604">
        <f>SUMPRODUCT(Calc!$K$3:$K$22*(Calc!$G$3:$G$22&gt;A3604)*(Calc!$G$3:$G$22-A3604)*Calc!$I$3:$I$22)</f>
        <v/>
      </c>
      <c r="O3604">
        <f>SUMPRODUCT(Calc!$K$3:$K$22*(Calc!$G$3:$G$22&gt;B3604)*(Calc!$G$3:$G$22-B3604)*Calc!$I$3:$I$22)</f>
        <v/>
      </c>
      <c r="P3604">
        <f>I3604-G3604^2/k_n</f>
        <v/>
      </c>
      <c r="Q3604">
        <f>J3604-H3604^2/k_n</f>
        <v/>
      </c>
      <c r="R3604">
        <f>K3604-G3604*H3604/k_n</f>
        <v/>
      </c>
      <c r="S3604">
        <f>L3604-LTP3!$D$3*G3604/k_n</f>
        <v/>
      </c>
      <c r="T3604">
        <f>M3604-LTP3!$D$3*H3604/k_n</f>
        <v/>
      </c>
      <c r="U3604">
        <f>N3604-G3604*LTP3!$D$4/k_n</f>
        <v/>
      </c>
      <c r="V3604">
        <f>O3604-H3604*LTP3!$D$4/k_n</f>
        <v/>
      </c>
      <c r="W3604">
        <f>((LTP3!$D$5)*((P3604)*(Q3604)-(R3604)*(R3604))-(S3604)*((S3604)*(Q3604)-(R3604)*(T3604))+(T3604)*((S3604)*(R3604)-(P3604)*(T3604)))</f>
        <v/>
      </c>
      <c r="X3604">
        <f>IF(ABS(W3604)&gt;1E-12,((LTP3!$D$6)*((P3604)*(Q3604)-(R3604)*(R3604))-(S3604)*((U3604)*(Q3604)-(R3604)*(V3604))+(T3604)*((U3604)*(R3604)-(P3604)*(V3604)))/W3604,0)</f>
        <v/>
      </c>
      <c r="Y3604">
        <f>IF(ABS(W3604)&gt;1E-12,((LTP3!$D$5)*((U3604)*(Q3604)-(R3604)*(V3604))-(LTP3!$D$6)*((S3604)*(Q3604)-(R3604)*(T3604))+(T3604)*((S3604)*(V3604)-(U3604)*(T3604)))/W3604,0)</f>
        <v/>
      </c>
      <c r="Z3604">
        <f>IF(ABS(W3604)&gt;1E-12,((LTP3!$D$5)*((P3604)*(V3604)-(U3604)*(R3604))-(S3604)*((S3604)*(V3604)-(U3604)*(T3604))+(LTP3!$D$6)*((S3604)*(R3604)-(P3604)*(T3604)))/W3604,0)</f>
        <v/>
      </c>
      <c r="AA3604">
        <f>LTP3!$D$7-X3604*LTP3!$D$6-Y3604*U3604-Z3604*V3604</f>
        <v/>
      </c>
      <c r="AB3604">
        <f>IF(AND(F3604,ABS(W3604)&gt;1E-12,Y3604&gt;0,Z3604&gt;0),AA3604,1E+300)</f>
        <v/>
      </c>
    </row>
    <row r="3605">
      <c r="A3605">
        <f>$B$3+$B$5*58</f>
        <v/>
      </c>
      <c r="B3605">
        <f>$B$3+$B$5*55</f>
        <v/>
      </c>
      <c r="C3605">
        <f>SUMPRODUCT(Calc!$K$3:$K$22*(Calc!$G$3:$G$22&lt;=A3605))</f>
        <v/>
      </c>
      <c r="D3605">
        <f>SUMPRODUCT(Calc!$K$3:$K$22*(Calc!$G$3:$G$22&gt;A3605)*(Calc!$G$3:$G$22&lt;B3605))</f>
        <v/>
      </c>
      <c r="E3605">
        <f>SUMPRODUCT(Calc!$K$3:$K$22*(Calc!$G$3:$G$22&gt;=B3605))</f>
        <v/>
      </c>
      <c r="F3605">
        <f>AND(k_n&gt;=5,B3605&gt;A3605+1E-9,C3605&gt;=2,D3605&gt;=1,E3605&gt;=2)</f>
        <v/>
      </c>
      <c r="G3605">
        <f>SUMPRODUCT(Calc!$K$3:$K$22*(Calc!$G$3:$G$22&gt;A3605)*(Calc!$G$3:$G$22-A3605))</f>
        <v/>
      </c>
      <c r="H3605">
        <f>SUMPRODUCT(Calc!$K$3:$K$22*(Calc!$G$3:$G$22&gt;B3605)*(Calc!$G$3:$G$22-B3605))</f>
        <v/>
      </c>
      <c r="I3605">
        <f>SUMPRODUCT(Calc!$K$3:$K$22*(Calc!$G$3:$G$22&gt;A3605)*(Calc!$G$3:$G$22-A3605)^2)</f>
        <v/>
      </c>
      <c r="J3605">
        <f>SUMPRODUCT(Calc!$K$3:$K$22*(Calc!$G$3:$G$22&gt;B3605)*(Calc!$G$3:$G$22-B3605)^2)</f>
        <v/>
      </c>
      <c r="K3605">
        <f>SUMPRODUCT(Calc!$K$3:$K$22*(Calc!$G$3:$G$22&gt;A3605)*(Calc!$G$3:$G$22-A3605)*(Calc!$G$3:$G$22&gt;B3605)*(Calc!$G$3:$G$22-B3605))</f>
        <v/>
      </c>
      <c r="L3605">
        <f>SUMPRODUCT(Calc!$K$3:$K$22*(Calc!$G$3:$G$22&gt;A3605)*(Calc!$G$3:$G$22-A3605)*Calc!$G$3:$G$22)</f>
        <v/>
      </c>
      <c r="M3605">
        <f>SUMPRODUCT(Calc!$K$3:$K$22*(Calc!$G$3:$G$22&gt;B3605)*(Calc!$G$3:$G$22-B3605)*Calc!$G$3:$G$22)</f>
        <v/>
      </c>
      <c r="N3605">
        <f>SUMPRODUCT(Calc!$K$3:$K$22*(Calc!$G$3:$G$22&gt;A3605)*(Calc!$G$3:$G$22-A3605)*Calc!$I$3:$I$22)</f>
        <v/>
      </c>
      <c r="O3605">
        <f>SUMPRODUCT(Calc!$K$3:$K$22*(Calc!$G$3:$G$22&gt;B3605)*(Calc!$G$3:$G$22-B3605)*Calc!$I$3:$I$22)</f>
        <v/>
      </c>
      <c r="P3605">
        <f>I3605-G3605^2/k_n</f>
        <v/>
      </c>
      <c r="Q3605">
        <f>J3605-H3605^2/k_n</f>
        <v/>
      </c>
      <c r="R3605">
        <f>K3605-G3605*H3605/k_n</f>
        <v/>
      </c>
      <c r="S3605">
        <f>L3605-LTP3!$D$3*G3605/k_n</f>
        <v/>
      </c>
      <c r="T3605">
        <f>M3605-LTP3!$D$3*H3605/k_n</f>
        <v/>
      </c>
      <c r="U3605">
        <f>N3605-G3605*LTP3!$D$4/k_n</f>
        <v/>
      </c>
      <c r="V3605">
        <f>O3605-H3605*LTP3!$D$4/k_n</f>
        <v/>
      </c>
      <c r="W3605">
        <f>((LTP3!$D$5)*((P3605)*(Q3605)-(R3605)*(R3605))-(S3605)*((S3605)*(Q3605)-(R3605)*(T3605))+(T3605)*((S3605)*(R3605)-(P3605)*(T3605)))</f>
        <v/>
      </c>
      <c r="X3605">
        <f>IF(ABS(W3605)&gt;1E-12,((LTP3!$D$6)*((P3605)*(Q3605)-(R3605)*(R3605))-(S3605)*((U3605)*(Q3605)-(R3605)*(V3605))+(T3605)*((U3605)*(R3605)-(P3605)*(V3605)))/W3605,0)</f>
        <v/>
      </c>
      <c r="Y3605">
        <f>IF(ABS(W3605)&gt;1E-12,((LTP3!$D$5)*((U3605)*(Q3605)-(R3605)*(V3605))-(LTP3!$D$6)*((S3605)*(Q3605)-(R3605)*(T3605))+(T3605)*((S3605)*(V3605)-(U3605)*(T3605)))/W3605,0)</f>
        <v/>
      </c>
      <c r="Z3605">
        <f>IF(ABS(W3605)&gt;1E-12,((LTP3!$D$5)*((P3605)*(V3605)-(U3605)*(R3605))-(S3605)*((S3605)*(V3605)-(U3605)*(T3605))+(LTP3!$D$6)*((S3605)*(R3605)-(P3605)*(T3605)))/W3605,0)</f>
        <v/>
      </c>
      <c r="AA3605">
        <f>LTP3!$D$7-X3605*LTP3!$D$6-Y3605*U3605-Z3605*V3605</f>
        <v/>
      </c>
      <c r="AB3605">
        <f>IF(AND(F3605,ABS(W3605)&gt;1E-12,Y3605&gt;0,Z3605&gt;0),AA3605,1E+300)</f>
        <v/>
      </c>
    </row>
    <row r="3606">
      <c r="A3606">
        <f>$B$3+$B$5*58</f>
        <v/>
      </c>
      <c r="B3606">
        <f>$B$3+$B$5*56</f>
        <v/>
      </c>
      <c r="C3606">
        <f>SUMPRODUCT(Calc!$K$3:$K$22*(Calc!$G$3:$G$22&lt;=A3606))</f>
        <v/>
      </c>
      <c r="D3606">
        <f>SUMPRODUCT(Calc!$K$3:$K$22*(Calc!$G$3:$G$22&gt;A3606)*(Calc!$G$3:$G$22&lt;B3606))</f>
        <v/>
      </c>
      <c r="E3606">
        <f>SUMPRODUCT(Calc!$K$3:$K$22*(Calc!$G$3:$G$22&gt;=B3606))</f>
        <v/>
      </c>
      <c r="F3606">
        <f>AND(k_n&gt;=5,B3606&gt;A3606+1E-9,C3606&gt;=2,D3606&gt;=1,E3606&gt;=2)</f>
        <v/>
      </c>
      <c r="G3606">
        <f>SUMPRODUCT(Calc!$K$3:$K$22*(Calc!$G$3:$G$22&gt;A3606)*(Calc!$G$3:$G$22-A3606))</f>
        <v/>
      </c>
      <c r="H3606">
        <f>SUMPRODUCT(Calc!$K$3:$K$22*(Calc!$G$3:$G$22&gt;B3606)*(Calc!$G$3:$G$22-B3606))</f>
        <v/>
      </c>
      <c r="I3606">
        <f>SUMPRODUCT(Calc!$K$3:$K$22*(Calc!$G$3:$G$22&gt;A3606)*(Calc!$G$3:$G$22-A3606)^2)</f>
        <v/>
      </c>
      <c r="J3606">
        <f>SUMPRODUCT(Calc!$K$3:$K$22*(Calc!$G$3:$G$22&gt;B3606)*(Calc!$G$3:$G$22-B3606)^2)</f>
        <v/>
      </c>
      <c r="K3606">
        <f>SUMPRODUCT(Calc!$K$3:$K$22*(Calc!$G$3:$G$22&gt;A3606)*(Calc!$G$3:$G$22-A3606)*(Calc!$G$3:$G$22&gt;B3606)*(Calc!$G$3:$G$22-B3606))</f>
        <v/>
      </c>
      <c r="L3606">
        <f>SUMPRODUCT(Calc!$K$3:$K$22*(Calc!$G$3:$G$22&gt;A3606)*(Calc!$G$3:$G$22-A3606)*Calc!$G$3:$G$22)</f>
        <v/>
      </c>
      <c r="M3606">
        <f>SUMPRODUCT(Calc!$K$3:$K$22*(Calc!$G$3:$G$22&gt;B3606)*(Calc!$G$3:$G$22-B3606)*Calc!$G$3:$G$22)</f>
        <v/>
      </c>
      <c r="N3606">
        <f>SUMPRODUCT(Calc!$K$3:$K$22*(Calc!$G$3:$G$22&gt;A3606)*(Calc!$G$3:$G$22-A3606)*Calc!$I$3:$I$22)</f>
        <v/>
      </c>
      <c r="O3606">
        <f>SUMPRODUCT(Calc!$K$3:$K$22*(Calc!$G$3:$G$22&gt;B3606)*(Calc!$G$3:$G$22-B3606)*Calc!$I$3:$I$22)</f>
        <v/>
      </c>
      <c r="P3606">
        <f>I3606-G3606^2/k_n</f>
        <v/>
      </c>
      <c r="Q3606">
        <f>J3606-H3606^2/k_n</f>
        <v/>
      </c>
      <c r="R3606">
        <f>K3606-G3606*H3606/k_n</f>
        <v/>
      </c>
      <c r="S3606">
        <f>L3606-LTP3!$D$3*G3606/k_n</f>
        <v/>
      </c>
      <c r="T3606">
        <f>M3606-LTP3!$D$3*H3606/k_n</f>
        <v/>
      </c>
      <c r="U3606">
        <f>N3606-G3606*LTP3!$D$4/k_n</f>
        <v/>
      </c>
      <c r="V3606">
        <f>O3606-H3606*LTP3!$D$4/k_n</f>
        <v/>
      </c>
      <c r="W3606">
        <f>((LTP3!$D$5)*((P3606)*(Q3606)-(R3606)*(R3606))-(S3606)*((S3606)*(Q3606)-(R3606)*(T3606))+(T3606)*((S3606)*(R3606)-(P3606)*(T3606)))</f>
        <v/>
      </c>
      <c r="X3606">
        <f>IF(ABS(W3606)&gt;1E-12,((LTP3!$D$6)*((P3606)*(Q3606)-(R3606)*(R3606))-(S3606)*((U3606)*(Q3606)-(R3606)*(V3606))+(T3606)*((U3606)*(R3606)-(P3606)*(V3606)))/W3606,0)</f>
        <v/>
      </c>
      <c r="Y3606">
        <f>IF(ABS(W3606)&gt;1E-12,((LTP3!$D$5)*((U3606)*(Q3606)-(R3606)*(V3606))-(LTP3!$D$6)*((S3606)*(Q3606)-(R3606)*(T3606))+(T3606)*((S3606)*(V3606)-(U3606)*(T3606)))/W3606,0)</f>
        <v/>
      </c>
      <c r="Z3606">
        <f>IF(ABS(W3606)&gt;1E-12,((LTP3!$D$5)*((P3606)*(V3606)-(U3606)*(R3606))-(S3606)*((S3606)*(V3606)-(U3606)*(T3606))+(LTP3!$D$6)*((S3606)*(R3606)-(P3606)*(T3606)))/W3606,0)</f>
        <v/>
      </c>
      <c r="AA3606">
        <f>LTP3!$D$7-X3606*LTP3!$D$6-Y3606*U3606-Z3606*V3606</f>
        <v/>
      </c>
      <c r="AB3606">
        <f>IF(AND(F3606,ABS(W3606)&gt;1E-12,Y3606&gt;0,Z3606&gt;0),AA3606,1E+300)</f>
        <v/>
      </c>
    </row>
    <row r="3607">
      <c r="A3607">
        <f>$B$3+$B$5*58</f>
        <v/>
      </c>
      <c r="B3607">
        <f>$B$3+$B$5*57</f>
        <v/>
      </c>
      <c r="C3607">
        <f>SUMPRODUCT(Calc!$K$3:$K$22*(Calc!$G$3:$G$22&lt;=A3607))</f>
        <v/>
      </c>
      <c r="D3607">
        <f>SUMPRODUCT(Calc!$K$3:$K$22*(Calc!$G$3:$G$22&gt;A3607)*(Calc!$G$3:$G$22&lt;B3607))</f>
        <v/>
      </c>
      <c r="E3607">
        <f>SUMPRODUCT(Calc!$K$3:$K$22*(Calc!$G$3:$G$22&gt;=B3607))</f>
        <v/>
      </c>
      <c r="F3607">
        <f>AND(k_n&gt;=5,B3607&gt;A3607+1E-9,C3607&gt;=2,D3607&gt;=1,E3607&gt;=2)</f>
        <v/>
      </c>
      <c r="G3607">
        <f>SUMPRODUCT(Calc!$K$3:$K$22*(Calc!$G$3:$G$22&gt;A3607)*(Calc!$G$3:$G$22-A3607))</f>
        <v/>
      </c>
      <c r="H3607">
        <f>SUMPRODUCT(Calc!$K$3:$K$22*(Calc!$G$3:$G$22&gt;B3607)*(Calc!$G$3:$G$22-B3607))</f>
        <v/>
      </c>
      <c r="I3607">
        <f>SUMPRODUCT(Calc!$K$3:$K$22*(Calc!$G$3:$G$22&gt;A3607)*(Calc!$G$3:$G$22-A3607)^2)</f>
        <v/>
      </c>
      <c r="J3607">
        <f>SUMPRODUCT(Calc!$K$3:$K$22*(Calc!$G$3:$G$22&gt;B3607)*(Calc!$G$3:$G$22-B3607)^2)</f>
        <v/>
      </c>
      <c r="K3607">
        <f>SUMPRODUCT(Calc!$K$3:$K$22*(Calc!$G$3:$G$22&gt;A3607)*(Calc!$G$3:$G$22-A3607)*(Calc!$G$3:$G$22&gt;B3607)*(Calc!$G$3:$G$22-B3607))</f>
        <v/>
      </c>
      <c r="L3607">
        <f>SUMPRODUCT(Calc!$K$3:$K$22*(Calc!$G$3:$G$22&gt;A3607)*(Calc!$G$3:$G$22-A3607)*Calc!$G$3:$G$22)</f>
        <v/>
      </c>
      <c r="M3607">
        <f>SUMPRODUCT(Calc!$K$3:$K$22*(Calc!$G$3:$G$22&gt;B3607)*(Calc!$G$3:$G$22-B3607)*Calc!$G$3:$G$22)</f>
        <v/>
      </c>
      <c r="N3607">
        <f>SUMPRODUCT(Calc!$K$3:$K$22*(Calc!$G$3:$G$22&gt;A3607)*(Calc!$G$3:$G$22-A3607)*Calc!$I$3:$I$22)</f>
        <v/>
      </c>
      <c r="O3607">
        <f>SUMPRODUCT(Calc!$K$3:$K$22*(Calc!$G$3:$G$22&gt;B3607)*(Calc!$G$3:$G$22-B3607)*Calc!$I$3:$I$22)</f>
        <v/>
      </c>
      <c r="P3607">
        <f>I3607-G3607^2/k_n</f>
        <v/>
      </c>
      <c r="Q3607">
        <f>J3607-H3607^2/k_n</f>
        <v/>
      </c>
      <c r="R3607">
        <f>K3607-G3607*H3607/k_n</f>
        <v/>
      </c>
      <c r="S3607">
        <f>L3607-LTP3!$D$3*G3607/k_n</f>
        <v/>
      </c>
      <c r="T3607">
        <f>M3607-LTP3!$D$3*H3607/k_n</f>
        <v/>
      </c>
      <c r="U3607">
        <f>N3607-G3607*LTP3!$D$4/k_n</f>
        <v/>
      </c>
      <c r="V3607">
        <f>O3607-H3607*LTP3!$D$4/k_n</f>
        <v/>
      </c>
      <c r="W3607">
        <f>((LTP3!$D$5)*((P3607)*(Q3607)-(R3607)*(R3607))-(S3607)*((S3607)*(Q3607)-(R3607)*(T3607))+(T3607)*((S3607)*(R3607)-(P3607)*(T3607)))</f>
        <v/>
      </c>
      <c r="X3607">
        <f>IF(ABS(W3607)&gt;1E-12,((LTP3!$D$6)*((P3607)*(Q3607)-(R3607)*(R3607))-(S3607)*((U3607)*(Q3607)-(R3607)*(V3607))+(T3607)*((U3607)*(R3607)-(P3607)*(V3607)))/W3607,0)</f>
        <v/>
      </c>
      <c r="Y3607">
        <f>IF(ABS(W3607)&gt;1E-12,((LTP3!$D$5)*((U3607)*(Q3607)-(R3607)*(V3607))-(LTP3!$D$6)*((S3607)*(Q3607)-(R3607)*(T3607))+(T3607)*((S3607)*(V3607)-(U3607)*(T3607)))/W3607,0)</f>
        <v/>
      </c>
      <c r="Z3607">
        <f>IF(ABS(W3607)&gt;1E-12,((LTP3!$D$5)*((P3607)*(V3607)-(U3607)*(R3607))-(S3607)*((S3607)*(V3607)-(U3607)*(T3607))+(LTP3!$D$6)*((S3607)*(R3607)-(P3607)*(T3607)))/W3607,0)</f>
        <v/>
      </c>
      <c r="AA3607">
        <f>LTP3!$D$7-X3607*LTP3!$D$6-Y3607*U3607-Z3607*V3607</f>
        <v/>
      </c>
      <c r="AB3607">
        <f>IF(AND(F3607,ABS(W3607)&gt;1E-12,Y3607&gt;0,Z3607&gt;0),AA3607,1E+300)</f>
        <v/>
      </c>
    </row>
    <row r="3608">
      <c r="A3608">
        <f>$B$3+$B$5*58</f>
        <v/>
      </c>
      <c r="B3608">
        <f>$B$3+$B$5*58</f>
        <v/>
      </c>
      <c r="C3608">
        <f>SUMPRODUCT(Calc!$K$3:$K$22*(Calc!$G$3:$G$22&lt;=A3608))</f>
        <v/>
      </c>
      <c r="D3608">
        <f>SUMPRODUCT(Calc!$K$3:$K$22*(Calc!$G$3:$G$22&gt;A3608)*(Calc!$G$3:$G$22&lt;B3608))</f>
        <v/>
      </c>
      <c r="E3608">
        <f>SUMPRODUCT(Calc!$K$3:$K$22*(Calc!$G$3:$G$22&gt;=B3608))</f>
        <v/>
      </c>
      <c r="F3608">
        <f>AND(k_n&gt;=5,B3608&gt;A3608+1E-9,C3608&gt;=2,D3608&gt;=1,E3608&gt;=2)</f>
        <v/>
      </c>
      <c r="G3608">
        <f>SUMPRODUCT(Calc!$K$3:$K$22*(Calc!$G$3:$G$22&gt;A3608)*(Calc!$G$3:$G$22-A3608))</f>
        <v/>
      </c>
      <c r="H3608">
        <f>SUMPRODUCT(Calc!$K$3:$K$22*(Calc!$G$3:$G$22&gt;B3608)*(Calc!$G$3:$G$22-B3608))</f>
        <v/>
      </c>
      <c r="I3608">
        <f>SUMPRODUCT(Calc!$K$3:$K$22*(Calc!$G$3:$G$22&gt;A3608)*(Calc!$G$3:$G$22-A3608)^2)</f>
        <v/>
      </c>
      <c r="J3608">
        <f>SUMPRODUCT(Calc!$K$3:$K$22*(Calc!$G$3:$G$22&gt;B3608)*(Calc!$G$3:$G$22-B3608)^2)</f>
        <v/>
      </c>
      <c r="K3608">
        <f>SUMPRODUCT(Calc!$K$3:$K$22*(Calc!$G$3:$G$22&gt;A3608)*(Calc!$G$3:$G$22-A3608)*(Calc!$G$3:$G$22&gt;B3608)*(Calc!$G$3:$G$22-B3608))</f>
        <v/>
      </c>
      <c r="L3608">
        <f>SUMPRODUCT(Calc!$K$3:$K$22*(Calc!$G$3:$G$22&gt;A3608)*(Calc!$G$3:$G$22-A3608)*Calc!$G$3:$G$22)</f>
        <v/>
      </c>
      <c r="M3608">
        <f>SUMPRODUCT(Calc!$K$3:$K$22*(Calc!$G$3:$G$22&gt;B3608)*(Calc!$G$3:$G$22-B3608)*Calc!$G$3:$G$22)</f>
        <v/>
      </c>
      <c r="N3608">
        <f>SUMPRODUCT(Calc!$K$3:$K$22*(Calc!$G$3:$G$22&gt;A3608)*(Calc!$G$3:$G$22-A3608)*Calc!$I$3:$I$22)</f>
        <v/>
      </c>
      <c r="O3608">
        <f>SUMPRODUCT(Calc!$K$3:$K$22*(Calc!$G$3:$G$22&gt;B3608)*(Calc!$G$3:$G$22-B3608)*Calc!$I$3:$I$22)</f>
        <v/>
      </c>
      <c r="P3608">
        <f>I3608-G3608^2/k_n</f>
        <v/>
      </c>
      <c r="Q3608">
        <f>J3608-H3608^2/k_n</f>
        <v/>
      </c>
      <c r="R3608">
        <f>K3608-G3608*H3608/k_n</f>
        <v/>
      </c>
      <c r="S3608">
        <f>L3608-LTP3!$D$3*G3608/k_n</f>
        <v/>
      </c>
      <c r="T3608">
        <f>M3608-LTP3!$D$3*H3608/k_n</f>
        <v/>
      </c>
      <c r="U3608">
        <f>N3608-G3608*LTP3!$D$4/k_n</f>
        <v/>
      </c>
      <c r="V3608">
        <f>O3608-H3608*LTP3!$D$4/k_n</f>
        <v/>
      </c>
      <c r="W3608">
        <f>((LTP3!$D$5)*((P3608)*(Q3608)-(R3608)*(R3608))-(S3608)*((S3608)*(Q3608)-(R3608)*(T3608))+(T3608)*((S3608)*(R3608)-(P3608)*(T3608)))</f>
        <v/>
      </c>
      <c r="X3608">
        <f>IF(ABS(W3608)&gt;1E-12,((LTP3!$D$6)*((P3608)*(Q3608)-(R3608)*(R3608))-(S3608)*((U3608)*(Q3608)-(R3608)*(V3608))+(T3608)*((U3608)*(R3608)-(P3608)*(V3608)))/W3608,0)</f>
        <v/>
      </c>
      <c r="Y3608">
        <f>IF(ABS(W3608)&gt;1E-12,((LTP3!$D$5)*((U3608)*(Q3608)-(R3608)*(V3608))-(LTP3!$D$6)*((S3608)*(Q3608)-(R3608)*(T3608))+(T3608)*((S3608)*(V3608)-(U3608)*(T3608)))/W3608,0)</f>
        <v/>
      </c>
      <c r="Z3608">
        <f>IF(ABS(W3608)&gt;1E-12,((LTP3!$D$5)*((P3608)*(V3608)-(U3608)*(R3608))-(S3608)*((S3608)*(V3608)-(U3608)*(T3608))+(LTP3!$D$6)*((S3608)*(R3608)-(P3608)*(T3608)))/W3608,0)</f>
        <v/>
      </c>
      <c r="AA3608">
        <f>LTP3!$D$7-X3608*LTP3!$D$6-Y3608*U3608-Z3608*V3608</f>
        <v/>
      </c>
      <c r="AB3608">
        <f>IF(AND(F3608,ABS(W3608)&gt;1E-12,Y3608&gt;0,Z3608&gt;0),AA3608,1E+300)</f>
        <v/>
      </c>
    </row>
    <row r="3609">
      <c r="A3609">
        <f>$B$3+$B$5*58</f>
        <v/>
      </c>
      <c r="B3609">
        <f>$B$3+$B$5*59</f>
        <v/>
      </c>
      <c r="C3609">
        <f>SUMPRODUCT(Calc!$K$3:$K$22*(Calc!$G$3:$G$22&lt;=A3609))</f>
        <v/>
      </c>
      <c r="D3609">
        <f>SUMPRODUCT(Calc!$K$3:$K$22*(Calc!$G$3:$G$22&gt;A3609)*(Calc!$G$3:$G$22&lt;B3609))</f>
        <v/>
      </c>
      <c r="E3609">
        <f>SUMPRODUCT(Calc!$K$3:$K$22*(Calc!$G$3:$G$22&gt;=B3609))</f>
        <v/>
      </c>
      <c r="F3609">
        <f>AND(k_n&gt;=5,B3609&gt;A3609+1E-9,C3609&gt;=2,D3609&gt;=1,E3609&gt;=2)</f>
        <v/>
      </c>
      <c r="G3609">
        <f>SUMPRODUCT(Calc!$K$3:$K$22*(Calc!$G$3:$G$22&gt;A3609)*(Calc!$G$3:$G$22-A3609))</f>
        <v/>
      </c>
      <c r="H3609">
        <f>SUMPRODUCT(Calc!$K$3:$K$22*(Calc!$G$3:$G$22&gt;B3609)*(Calc!$G$3:$G$22-B3609))</f>
        <v/>
      </c>
      <c r="I3609">
        <f>SUMPRODUCT(Calc!$K$3:$K$22*(Calc!$G$3:$G$22&gt;A3609)*(Calc!$G$3:$G$22-A3609)^2)</f>
        <v/>
      </c>
      <c r="J3609">
        <f>SUMPRODUCT(Calc!$K$3:$K$22*(Calc!$G$3:$G$22&gt;B3609)*(Calc!$G$3:$G$22-B3609)^2)</f>
        <v/>
      </c>
      <c r="K3609">
        <f>SUMPRODUCT(Calc!$K$3:$K$22*(Calc!$G$3:$G$22&gt;A3609)*(Calc!$G$3:$G$22-A3609)*(Calc!$G$3:$G$22&gt;B3609)*(Calc!$G$3:$G$22-B3609))</f>
        <v/>
      </c>
      <c r="L3609">
        <f>SUMPRODUCT(Calc!$K$3:$K$22*(Calc!$G$3:$G$22&gt;A3609)*(Calc!$G$3:$G$22-A3609)*Calc!$G$3:$G$22)</f>
        <v/>
      </c>
      <c r="M3609">
        <f>SUMPRODUCT(Calc!$K$3:$K$22*(Calc!$G$3:$G$22&gt;B3609)*(Calc!$G$3:$G$22-B3609)*Calc!$G$3:$G$22)</f>
        <v/>
      </c>
      <c r="N3609">
        <f>SUMPRODUCT(Calc!$K$3:$K$22*(Calc!$G$3:$G$22&gt;A3609)*(Calc!$G$3:$G$22-A3609)*Calc!$I$3:$I$22)</f>
        <v/>
      </c>
      <c r="O3609">
        <f>SUMPRODUCT(Calc!$K$3:$K$22*(Calc!$G$3:$G$22&gt;B3609)*(Calc!$G$3:$G$22-B3609)*Calc!$I$3:$I$22)</f>
        <v/>
      </c>
      <c r="P3609">
        <f>I3609-G3609^2/k_n</f>
        <v/>
      </c>
      <c r="Q3609">
        <f>J3609-H3609^2/k_n</f>
        <v/>
      </c>
      <c r="R3609">
        <f>K3609-G3609*H3609/k_n</f>
        <v/>
      </c>
      <c r="S3609">
        <f>L3609-LTP3!$D$3*G3609/k_n</f>
        <v/>
      </c>
      <c r="T3609">
        <f>M3609-LTP3!$D$3*H3609/k_n</f>
        <v/>
      </c>
      <c r="U3609">
        <f>N3609-G3609*LTP3!$D$4/k_n</f>
        <v/>
      </c>
      <c r="V3609">
        <f>O3609-H3609*LTP3!$D$4/k_n</f>
        <v/>
      </c>
      <c r="W3609">
        <f>((LTP3!$D$5)*((P3609)*(Q3609)-(R3609)*(R3609))-(S3609)*((S3609)*(Q3609)-(R3609)*(T3609))+(T3609)*((S3609)*(R3609)-(P3609)*(T3609)))</f>
        <v/>
      </c>
      <c r="X3609">
        <f>IF(ABS(W3609)&gt;1E-12,((LTP3!$D$6)*((P3609)*(Q3609)-(R3609)*(R3609))-(S3609)*((U3609)*(Q3609)-(R3609)*(V3609))+(T3609)*((U3609)*(R3609)-(P3609)*(V3609)))/W3609,0)</f>
        <v/>
      </c>
      <c r="Y3609">
        <f>IF(ABS(W3609)&gt;1E-12,((LTP3!$D$5)*((U3609)*(Q3609)-(R3609)*(V3609))-(LTP3!$D$6)*((S3609)*(Q3609)-(R3609)*(T3609))+(T3609)*((S3609)*(V3609)-(U3609)*(T3609)))/W3609,0)</f>
        <v/>
      </c>
      <c r="Z3609">
        <f>IF(ABS(W3609)&gt;1E-12,((LTP3!$D$5)*((P3609)*(V3609)-(U3609)*(R3609))-(S3609)*((S3609)*(V3609)-(U3609)*(T3609))+(LTP3!$D$6)*((S3609)*(R3609)-(P3609)*(T3609)))/W3609,0)</f>
        <v/>
      </c>
      <c r="AA3609">
        <f>LTP3!$D$7-X3609*LTP3!$D$6-Y3609*U3609-Z3609*V3609</f>
        <v/>
      </c>
      <c r="AB3609">
        <f>IF(AND(F3609,ABS(W3609)&gt;1E-12,Y3609&gt;0,Z3609&gt;0),AA3609,1E+300)</f>
        <v/>
      </c>
    </row>
    <row r="3610">
      <c r="A3610">
        <f>$B$3+$B$5*58</f>
        <v/>
      </c>
      <c r="B3610">
        <f>$B$3+$B$5*60</f>
        <v/>
      </c>
      <c r="C3610">
        <f>SUMPRODUCT(Calc!$K$3:$K$22*(Calc!$G$3:$G$22&lt;=A3610))</f>
        <v/>
      </c>
      <c r="D3610">
        <f>SUMPRODUCT(Calc!$K$3:$K$22*(Calc!$G$3:$G$22&gt;A3610)*(Calc!$G$3:$G$22&lt;B3610))</f>
        <v/>
      </c>
      <c r="E3610">
        <f>SUMPRODUCT(Calc!$K$3:$K$22*(Calc!$G$3:$G$22&gt;=B3610))</f>
        <v/>
      </c>
      <c r="F3610">
        <f>AND(k_n&gt;=5,B3610&gt;A3610+1E-9,C3610&gt;=2,D3610&gt;=1,E3610&gt;=2)</f>
        <v/>
      </c>
      <c r="G3610">
        <f>SUMPRODUCT(Calc!$K$3:$K$22*(Calc!$G$3:$G$22&gt;A3610)*(Calc!$G$3:$G$22-A3610))</f>
        <v/>
      </c>
      <c r="H3610">
        <f>SUMPRODUCT(Calc!$K$3:$K$22*(Calc!$G$3:$G$22&gt;B3610)*(Calc!$G$3:$G$22-B3610))</f>
        <v/>
      </c>
      <c r="I3610">
        <f>SUMPRODUCT(Calc!$K$3:$K$22*(Calc!$G$3:$G$22&gt;A3610)*(Calc!$G$3:$G$22-A3610)^2)</f>
        <v/>
      </c>
      <c r="J3610">
        <f>SUMPRODUCT(Calc!$K$3:$K$22*(Calc!$G$3:$G$22&gt;B3610)*(Calc!$G$3:$G$22-B3610)^2)</f>
        <v/>
      </c>
      <c r="K3610">
        <f>SUMPRODUCT(Calc!$K$3:$K$22*(Calc!$G$3:$G$22&gt;A3610)*(Calc!$G$3:$G$22-A3610)*(Calc!$G$3:$G$22&gt;B3610)*(Calc!$G$3:$G$22-B3610))</f>
        <v/>
      </c>
      <c r="L3610">
        <f>SUMPRODUCT(Calc!$K$3:$K$22*(Calc!$G$3:$G$22&gt;A3610)*(Calc!$G$3:$G$22-A3610)*Calc!$G$3:$G$22)</f>
        <v/>
      </c>
      <c r="M3610">
        <f>SUMPRODUCT(Calc!$K$3:$K$22*(Calc!$G$3:$G$22&gt;B3610)*(Calc!$G$3:$G$22-B3610)*Calc!$G$3:$G$22)</f>
        <v/>
      </c>
      <c r="N3610">
        <f>SUMPRODUCT(Calc!$K$3:$K$22*(Calc!$G$3:$G$22&gt;A3610)*(Calc!$G$3:$G$22-A3610)*Calc!$I$3:$I$22)</f>
        <v/>
      </c>
      <c r="O3610">
        <f>SUMPRODUCT(Calc!$K$3:$K$22*(Calc!$G$3:$G$22&gt;B3610)*(Calc!$G$3:$G$22-B3610)*Calc!$I$3:$I$22)</f>
        <v/>
      </c>
      <c r="P3610">
        <f>I3610-G3610^2/k_n</f>
        <v/>
      </c>
      <c r="Q3610">
        <f>J3610-H3610^2/k_n</f>
        <v/>
      </c>
      <c r="R3610">
        <f>K3610-G3610*H3610/k_n</f>
        <v/>
      </c>
      <c r="S3610">
        <f>L3610-LTP3!$D$3*G3610/k_n</f>
        <v/>
      </c>
      <c r="T3610">
        <f>M3610-LTP3!$D$3*H3610/k_n</f>
        <v/>
      </c>
      <c r="U3610">
        <f>N3610-G3610*LTP3!$D$4/k_n</f>
        <v/>
      </c>
      <c r="V3610">
        <f>O3610-H3610*LTP3!$D$4/k_n</f>
        <v/>
      </c>
      <c r="W3610">
        <f>((LTP3!$D$5)*((P3610)*(Q3610)-(R3610)*(R3610))-(S3610)*((S3610)*(Q3610)-(R3610)*(T3610))+(T3610)*((S3610)*(R3610)-(P3610)*(T3610)))</f>
        <v/>
      </c>
      <c r="X3610">
        <f>IF(ABS(W3610)&gt;1E-12,((LTP3!$D$6)*((P3610)*(Q3610)-(R3610)*(R3610))-(S3610)*((U3610)*(Q3610)-(R3610)*(V3610))+(T3610)*((U3610)*(R3610)-(P3610)*(V3610)))/W3610,0)</f>
        <v/>
      </c>
      <c r="Y3610">
        <f>IF(ABS(W3610)&gt;1E-12,((LTP3!$D$5)*((U3610)*(Q3610)-(R3610)*(V3610))-(LTP3!$D$6)*((S3610)*(Q3610)-(R3610)*(T3610))+(T3610)*((S3610)*(V3610)-(U3610)*(T3610)))/W3610,0)</f>
        <v/>
      </c>
      <c r="Z3610">
        <f>IF(ABS(W3610)&gt;1E-12,((LTP3!$D$5)*((P3610)*(V3610)-(U3610)*(R3610))-(S3610)*((S3610)*(V3610)-(U3610)*(T3610))+(LTP3!$D$6)*((S3610)*(R3610)-(P3610)*(T3610)))/W3610,0)</f>
        <v/>
      </c>
      <c r="AA3610">
        <f>LTP3!$D$7-X3610*LTP3!$D$6-Y3610*U3610-Z3610*V3610</f>
        <v/>
      </c>
      <c r="AB3610">
        <f>IF(AND(F3610,ABS(W3610)&gt;1E-12,Y3610&gt;0,Z3610&gt;0),AA3610,1E+300)</f>
        <v/>
      </c>
    </row>
    <row r="3611">
      <c r="A3611">
        <f>$B$3+$B$5*59</f>
        <v/>
      </c>
      <c r="B3611">
        <f>$B$3+$B$5*0</f>
        <v/>
      </c>
      <c r="C3611">
        <f>SUMPRODUCT(Calc!$K$3:$K$22*(Calc!$G$3:$G$22&lt;=A3611))</f>
        <v/>
      </c>
      <c r="D3611">
        <f>SUMPRODUCT(Calc!$K$3:$K$22*(Calc!$G$3:$G$22&gt;A3611)*(Calc!$G$3:$G$22&lt;B3611))</f>
        <v/>
      </c>
      <c r="E3611">
        <f>SUMPRODUCT(Calc!$K$3:$K$22*(Calc!$G$3:$G$22&gt;=B3611))</f>
        <v/>
      </c>
      <c r="F3611">
        <f>AND(k_n&gt;=5,B3611&gt;A3611+1E-9,C3611&gt;=2,D3611&gt;=1,E3611&gt;=2)</f>
        <v/>
      </c>
      <c r="G3611">
        <f>SUMPRODUCT(Calc!$K$3:$K$22*(Calc!$G$3:$G$22&gt;A3611)*(Calc!$G$3:$G$22-A3611))</f>
        <v/>
      </c>
      <c r="H3611">
        <f>SUMPRODUCT(Calc!$K$3:$K$22*(Calc!$G$3:$G$22&gt;B3611)*(Calc!$G$3:$G$22-B3611))</f>
        <v/>
      </c>
      <c r="I3611">
        <f>SUMPRODUCT(Calc!$K$3:$K$22*(Calc!$G$3:$G$22&gt;A3611)*(Calc!$G$3:$G$22-A3611)^2)</f>
        <v/>
      </c>
      <c r="J3611">
        <f>SUMPRODUCT(Calc!$K$3:$K$22*(Calc!$G$3:$G$22&gt;B3611)*(Calc!$G$3:$G$22-B3611)^2)</f>
        <v/>
      </c>
      <c r="K3611">
        <f>SUMPRODUCT(Calc!$K$3:$K$22*(Calc!$G$3:$G$22&gt;A3611)*(Calc!$G$3:$G$22-A3611)*(Calc!$G$3:$G$22&gt;B3611)*(Calc!$G$3:$G$22-B3611))</f>
        <v/>
      </c>
      <c r="L3611">
        <f>SUMPRODUCT(Calc!$K$3:$K$22*(Calc!$G$3:$G$22&gt;A3611)*(Calc!$G$3:$G$22-A3611)*Calc!$G$3:$G$22)</f>
        <v/>
      </c>
      <c r="M3611">
        <f>SUMPRODUCT(Calc!$K$3:$K$22*(Calc!$G$3:$G$22&gt;B3611)*(Calc!$G$3:$G$22-B3611)*Calc!$G$3:$G$22)</f>
        <v/>
      </c>
      <c r="N3611">
        <f>SUMPRODUCT(Calc!$K$3:$K$22*(Calc!$G$3:$G$22&gt;A3611)*(Calc!$G$3:$G$22-A3611)*Calc!$I$3:$I$22)</f>
        <v/>
      </c>
      <c r="O3611">
        <f>SUMPRODUCT(Calc!$K$3:$K$22*(Calc!$G$3:$G$22&gt;B3611)*(Calc!$G$3:$G$22-B3611)*Calc!$I$3:$I$22)</f>
        <v/>
      </c>
      <c r="P3611">
        <f>I3611-G3611^2/k_n</f>
        <v/>
      </c>
      <c r="Q3611">
        <f>J3611-H3611^2/k_n</f>
        <v/>
      </c>
      <c r="R3611">
        <f>K3611-G3611*H3611/k_n</f>
        <v/>
      </c>
      <c r="S3611">
        <f>L3611-LTP3!$D$3*G3611/k_n</f>
        <v/>
      </c>
      <c r="T3611">
        <f>M3611-LTP3!$D$3*H3611/k_n</f>
        <v/>
      </c>
      <c r="U3611">
        <f>N3611-G3611*LTP3!$D$4/k_n</f>
        <v/>
      </c>
      <c r="V3611">
        <f>O3611-H3611*LTP3!$D$4/k_n</f>
        <v/>
      </c>
      <c r="W3611">
        <f>((LTP3!$D$5)*((P3611)*(Q3611)-(R3611)*(R3611))-(S3611)*((S3611)*(Q3611)-(R3611)*(T3611))+(T3611)*((S3611)*(R3611)-(P3611)*(T3611)))</f>
        <v/>
      </c>
      <c r="X3611">
        <f>IF(ABS(W3611)&gt;1E-12,((LTP3!$D$6)*((P3611)*(Q3611)-(R3611)*(R3611))-(S3611)*((U3611)*(Q3611)-(R3611)*(V3611))+(T3611)*((U3611)*(R3611)-(P3611)*(V3611)))/W3611,0)</f>
        <v/>
      </c>
      <c r="Y3611">
        <f>IF(ABS(W3611)&gt;1E-12,((LTP3!$D$5)*((U3611)*(Q3611)-(R3611)*(V3611))-(LTP3!$D$6)*((S3611)*(Q3611)-(R3611)*(T3611))+(T3611)*((S3611)*(V3611)-(U3611)*(T3611)))/W3611,0)</f>
        <v/>
      </c>
      <c r="Z3611">
        <f>IF(ABS(W3611)&gt;1E-12,((LTP3!$D$5)*((P3611)*(V3611)-(U3611)*(R3611))-(S3611)*((S3611)*(V3611)-(U3611)*(T3611))+(LTP3!$D$6)*((S3611)*(R3611)-(P3611)*(T3611)))/W3611,0)</f>
        <v/>
      </c>
      <c r="AA3611">
        <f>LTP3!$D$7-X3611*LTP3!$D$6-Y3611*U3611-Z3611*V3611</f>
        <v/>
      </c>
      <c r="AB3611">
        <f>IF(AND(F3611,ABS(W3611)&gt;1E-12,Y3611&gt;0,Z3611&gt;0),AA3611,1E+300)</f>
        <v/>
      </c>
    </row>
    <row r="3612">
      <c r="A3612">
        <f>$B$3+$B$5*59</f>
        <v/>
      </c>
      <c r="B3612">
        <f>$B$3+$B$5*1</f>
        <v/>
      </c>
      <c r="C3612">
        <f>SUMPRODUCT(Calc!$K$3:$K$22*(Calc!$G$3:$G$22&lt;=A3612))</f>
        <v/>
      </c>
      <c r="D3612">
        <f>SUMPRODUCT(Calc!$K$3:$K$22*(Calc!$G$3:$G$22&gt;A3612)*(Calc!$G$3:$G$22&lt;B3612))</f>
        <v/>
      </c>
      <c r="E3612">
        <f>SUMPRODUCT(Calc!$K$3:$K$22*(Calc!$G$3:$G$22&gt;=B3612))</f>
        <v/>
      </c>
      <c r="F3612">
        <f>AND(k_n&gt;=5,B3612&gt;A3612+1E-9,C3612&gt;=2,D3612&gt;=1,E3612&gt;=2)</f>
        <v/>
      </c>
      <c r="G3612">
        <f>SUMPRODUCT(Calc!$K$3:$K$22*(Calc!$G$3:$G$22&gt;A3612)*(Calc!$G$3:$G$22-A3612))</f>
        <v/>
      </c>
      <c r="H3612">
        <f>SUMPRODUCT(Calc!$K$3:$K$22*(Calc!$G$3:$G$22&gt;B3612)*(Calc!$G$3:$G$22-B3612))</f>
        <v/>
      </c>
      <c r="I3612">
        <f>SUMPRODUCT(Calc!$K$3:$K$22*(Calc!$G$3:$G$22&gt;A3612)*(Calc!$G$3:$G$22-A3612)^2)</f>
        <v/>
      </c>
      <c r="J3612">
        <f>SUMPRODUCT(Calc!$K$3:$K$22*(Calc!$G$3:$G$22&gt;B3612)*(Calc!$G$3:$G$22-B3612)^2)</f>
        <v/>
      </c>
      <c r="K3612">
        <f>SUMPRODUCT(Calc!$K$3:$K$22*(Calc!$G$3:$G$22&gt;A3612)*(Calc!$G$3:$G$22-A3612)*(Calc!$G$3:$G$22&gt;B3612)*(Calc!$G$3:$G$22-B3612))</f>
        <v/>
      </c>
      <c r="L3612">
        <f>SUMPRODUCT(Calc!$K$3:$K$22*(Calc!$G$3:$G$22&gt;A3612)*(Calc!$G$3:$G$22-A3612)*Calc!$G$3:$G$22)</f>
        <v/>
      </c>
      <c r="M3612">
        <f>SUMPRODUCT(Calc!$K$3:$K$22*(Calc!$G$3:$G$22&gt;B3612)*(Calc!$G$3:$G$22-B3612)*Calc!$G$3:$G$22)</f>
        <v/>
      </c>
      <c r="N3612">
        <f>SUMPRODUCT(Calc!$K$3:$K$22*(Calc!$G$3:$G$22&gt;A3612)*(Calc!$G$3:$G$22-A3612)*Calc!$I$3:$I$22)</f>
        <v/>
      </c>
      <c r="O3612">
        <f>SUMPRODUCT(Calc!$K$3:$K$22*(Calc!$G$3:$G$22&gt;B3612)*(Calc!$G$3:$G$22-B3612)*Calc!$I$3:$I$22)</f>
        <v/>
      </c>
      <c r="P3612">
        <f>I3612-G3612^2/k_n</f>
        <v/>
      </c>
      <c r="Q3612">
        <f>J3612-H3612^2/k_n</f>
        <v/>
      </c>
      <c r="R3612">
        <f>K3612-G3612*H3612/k_n</f>
        <v/>
      </c>
      <c r="S3612">
        <f>L3612-LTP3!$D$3*G3612/k_n</f>
        <v/>
      </c>
      <c r="T3612">
        <f>M3612-LTP3!$D$3*H3612/k_n</f>
        <v/>
      </c>
      <c r="U3612">
        <f>N3612-G3612*LTP3!$D$4/k_n</f>
        <v/>
      </c>
      <c r="V3612">
        <f>O3612-H3612*LTP3!$D$4/k_n</f>
        <v/>
      </c>
      <c r="W3612">
        <f>((LTP3!$D$5)*((P3612)*(Q3612)-(R3612)*(R3612))-(S3612)*((S3612)*(Q3612)-(R3612)*(T3612))+(T3612)*((S3612)*(R3612)-(P3612)*(T3612)))</f>
        <v/>
      </c>
      <c r="X3612">
        <f>IF(ABS(W3612)&gt;1E-12,((LTP3!$D$6)*((P3612)*(Q3612)-(R3612)*(R3612))-(S3612)*((U3612)*(Q3612)-(R3612)*(V3612))+(T3612)*((U3612)*(R3612)-(P3612)*(V3612)))/W3612,0)</f>
        <v/>
      </c>
      <c r="Y3612">
        <f>IF(ABS(W3612)&gt;1E-12,((LTP3!$D$5)*((U3612)*(Q3612)-(R3612)*(V3612))-(LTP3!$D$6)*((S3612)*(Q3612)-(R3612)*(T3612))+(T3612)*((S3612)*(V3612)-(U3612)*(T3612)))/W3612,0)</f>
        <v/>
      </c>
      <c r="Z3612">
        <f>IF(ABS(W3612)&gt;1E-12,((LTP3!$D$5)*((P3612)*(V3612)-(U3612)*(R3612))-(S3612)*((S3612)*(V3612)-(U3612)*(T3612))+(LTP3!$D$6)*((S3612)*(R3612)-(P3612)*(T3612)))/W3612,0)</f>
        <v/>
      </c>
      <c r="AA3612">
        <f>LTP3!$D$7-X3612*LTP3!$D$6-Y3612*U3612-Z3612*V3612</f>
        <v/>
      </c>
      <c r="AB3612">
        <f>IF(AND(F3612,ABS(W3612)&gt;1E-12,Y3612&gt;0,Z3612&gt;0),AA3612,1E+300)</f>
        <v/>
      </c>
    </row>
    <row r="3613">
      <c r="A3613">
        <f>$B$3+$B$5*59</f>
        <v/>
      </c>
      <c r="B3613">
        <f>$B$3+$B$5*2</f>
        <v/>
      </c>
      <c r="C3613">
        <f>SUMPRODUCT(Calc!$K$3:$K$22*(Calc!$G$3:$G$22&lt;=A3613))</f>
        <v/>
      </c>
      <c r="D3613">
        <f>SUMPRODUCT(Calc!$K$3:$K$22*(Calc!$G$3:$G$22&gt;A3613)*(Calc!$G$3:$G$22&lt;B3613))</f>
        <v/>
      </c>
      <c r="E3613">
        <f>SUMPRODUCT(Calc!$K$3:$K$22*(Calc!$G$3:$G$22&gt;=B3613))</f>
        <v/>
      </c>
      <c r="F3613">
        <f>AND(k_n&gt;=5,B3613&gt;A3613+1E-9,C3613&gt;=2,D3613&gt;=1,E3613&gt;=2)</f>
        <v/>
      </c>
      <c r="G3613">
        <f>SUMPRODUCT(Calc!$K$3:$K$22*(Calc!$G$3:$G$22&gt;A3613)*(Calc!$G$3:$G$22-A3613))</f>
        <v/>
      </c>
      <c r="H3613">
        <f>SUMPRODUCT(Calc!$K$3:$K$22*(Calc!$G$3:$G$22&gt;B3613)*(Calc!$G$3:$G$22-B3613))</f>
        <v/>
      </c>
      <c r="I3613">
        <f>SUMPRODUCT(Calc!$K$3:$K$22*(Calc!$G$3:$G$22&gt;A3613)*(Calc!$G$3:$G$22-A3613)^2)</f>
        <v/>
      </c>
      <c r="J3613">
        <f>SUMPRODUCT(Calc!$K$3:$K$22*(Calc!$G$3:$G$22&gt;B3613)*(Calc!$G$3:$G$22-B3613)^2)</f>
        <v/>
      </c>
      <c r="K3613">
        <f>SUMPRODUCT(Calc!$K$3:$K$22*(Calc!$G$3:$G$22&gt;A3613)*(Calc!$G$3:$G$22-A3613)*(Calc!$G$3:$G$22&gt;B3613)*(Calc!$G$3:$G$22-B3613))</f>
        <v/>
      </c>
      <c r="L3613">
        <f>SUMPRODUCT(Calc!$K$3:$K$22*(Calc!$G$3:$G$22&gt;A3613)*(Calc!$G$3:$G$22-A3613)*Calc!$G$3:$G$22)</f>
        <v/>
      </c>
      <c r="M3613">
        <f>SUMPRODUCT(Calc!$K$3:$K$22*(Calc!$G$3:$G$22&gt;B3613)*(Calc!$G$3:$G$22-B3613)*Calc!$G$3:$G$22)</f>
        <v/>
      </c>
      <c r="N3613">
        <f>SUMPRODUCT(Calc!$K$3:$K$22*(Calc!$G$3:$G$22&gt;A3613)*(Calc!$G$3:$G$22-A3613)*Calc!$I$3:$I$22)</f>
        <v/>
      </c>
      <c r="O3613">
        <f>SUMPRODUCT(Calc!$K$3:$K$22*(Calc!$G$3:$G$22&gt;B3613)*(Calc!$G$3:$G$22-B3613)*Calc!$I$3:$I$22)</f>
        <v/>
      </c>
      <c r="P3613">
        <f>I3613-G3613^2/k_n</f>
        <v/>
      </c>
      <c r="Q3613">
        <f>J3613-H3613^2/k_n</f>
        <v/>
      </c>
      <c r="R3613">
        <f>K3613-G3613*H3613/k_n</f>
        <v/>
      </c>
      <c r="S3613">
        <f>L3613-LTP3!$D$3*G3613/k_n</f>
        <v/>
      </c>
      <c r="T3613">
        <f>M3613-LTP3!$D$3*H3613/k_n</f>
        <v/>
      </c>
      <c r="U3613">
        <f>N3613-G3613*LTP3!$D$4/k_n</f>
        <v/>
      </c>
      <c r="V3613">
        <f>O3613-H3613*LTP3!$D$4/k_n</f>
        <v/>
      </c>
      <c r="W3613">
        <f>((LTP3!$D$5)*((P3613)*(Q3613)-(R3613)*(R3613))-(S3613)*((S3613)*(Q3613)-(R3613)*(T3613))+(T3613)*((S3613)*(R3613)-(P3613)*(T3613)))</f>
        <v/>
      </c>
      <c r="X3613">
        <f>IF(ABS(W3613)&gt;1E-12,((LTP3!$D$6)*((P3613)*(Q3613)-(R3613)*(R3613))-(S3613)*((U3613)*(Q3613)-(R3613)*(V3613))+(T3613)*((U3613)*(R3613)-(P3613)*(V3613)))/W3613,0)</f>
        <v/>
      </c>
      <c r="Y3613">
        <f>IF(ABS(W3613)&gt;1E-12,((LTP3!$D$5)*((U3613)*(Q3613)-(R3613)*(V3613))-(LTP3!$D$6)*((S3613)*(Q3613)-(R3613)*(T3613))+(T3613)*((S3613)*(V3613)-(U3613)*(T3613)))/W3613,0)</f>
        <v/>
      </c>
      <c r="Z3613">
        <f>IF(ABS(W3613)&gt;1E-12,((LTP3!$D$5)*((P3613)*(V3613)-(U3613)*(R3613))-(S3613)*((S3613)*(V3613)-(U3613)*(T3613))+(LTP3!$D$6)*((S3613)*(R3613)-(P3613)*(T3613)))/W3613,0)</f>
        <v/>
      </c>
      <c r="AA3613">
        <f>LTP3!$D$7-X3613*LTP3!$D$6-Y3613*U3613-Z3613*V3613</f>
        <v/>
      </c>
      <c r="AB3613">
        <f>IF(AND(F3613,ABS(W3613)&gt;1E-12,Y3613&gt;0,Z3613&gt;0),AA3613,1E+300)</f>
        <v/>
      </c>
    </row>
    <row r="3614">
      <c r="A3614">
        <f>$B$3+$B$5*59</f>
        <v/>
      </c>
      <c r="B3614">
        <f>$B$3+$B$5*3</f>
        <v/>
      </c>
      <c r="C3614">
        <f>SUMPRODUCT(Calc!$K$3:$K$22*(Calc!$G$3:$G$22&lt;=A3614))</f>
        <v/>
      </c>
      <c r="D3614">
        <f>SUMPRODUCT(Calc!$K$3:$K$22*(Calc!$G$3:$G$22&gt;A3614)*(Calc!$G$3:$G$22&lt;B3614))</f>
        <v/>
      </c>
      <c r="E3614">
        <f>SUMPRODUCT(Calc!$K$3:$K$22*(Calc!$G$3:$G$22&gt;=B3614))</f>
        <v/>
      </c>
      <c r="F3614">
        <f>AND(k_n&gt;=5,B3614&gt;A3614+1E-9,C3614&gt;=2,D3614&gt;=1,E3614&gt;=2)</f>
        <v/>
      </c>
      <c r="G3614">
        <f>SUMPRODUCT(Calc!$K$3:$K$22*(Calc!$G$3:$G$22&gt;A3614)*(Calc!$G$3:$G$22-A3614))</f>
        <v/>
      </c>
      <c r="H3614">
        <f>SUMPRODUCT(Calc!$K$3:$K$22*(Calc!$G$3:$G$22&gt;B3614)*(Calc!$G$3:$G$22-B3614))</f>
        <v/>
      </c>
      <c r="I3614">
        <f>SUMPRODUCT(Calc!$K$3:$K$22*(Calc!$G$3:$G$22&gt;A3614)*(Calc!$G$3:$G$22-A3614)^2)</f>
        <v/>
      </c>
      <c r="J3614">
        <f>SUMPRODUCT(Calc!$K$3:$K$22*(Calc!$G$3:$G$22&gt;B3614)*(Calc!$G$3:$G$22-B3614)^2)</f>
        <v/>
      </c>
      <c r="K3614">
        <f>SUMPRODUCT(Calc!$K$3:$K$22*(Calc!$G$3:$G$22&gt;A3614)*(Calc!$G$3:$G$22-A3614)*(Calc!$G$3:$G$22&gt;B3614)*(Calc!$G$3:$G$22-B3614))</f>
        <v/>
      </c>
      <c r="L3614">
        <f>SUMPRODUCT(Calc!$K$3:$K$22*(Calc!$G$3:$G$22&gt;A3614)*(Calc!$G$3:$G$22-A3614)*Calc!$G$3:$G$22)</f>
        <v/>
      </c>
      <c r="M3614">
        <f>SUMPRODUCT(Calc!$K$3:$K$22*(Calc!$G$3:$G$22&gt;B3614)*(Calc!$G$3:$G$22-B3614)*Calc!$G$3:$G$22)</f>
        <v/>
      </c>
      <c r="N3614">
        <f>SUMPRODUCT(Calc!$K$3:$K$22*(Calc!$G$3:$G$22&gt;A3614)*(Calc!$G$3:$G$22-A3614)*Calc!$I$3:$I$22)</f>
        <v/>
      </c>
      <c r="O3614">
        <f>SUMPRODUCT(Calc!$K$3:$K$22*(Calc!$G$3:$G$22&gt;B3614)*(Calc!$G$3:$G$22-B3614)*Calc!$I$3:$I$22)</f>
        <v/>
      </c>
      <c r="P3614">
        <f>I3614-G3614^2/k_n</f>
        <v/>
      </c>
      <c r="Q3614">
        <f>J3614-H3614^2/k_n</f>
        <v/>
      </c>
      <c r="R3614">
        <f>K3614-G3614*H3614/k_n</f>
        <v/>
      </c>
      <c r="S3614">
        <f>L3614-LTP3!$D$3*G3614/k_n</f>
        <v/>
      </c>
      <c r="T3614">
        <f>M3614-LTP3!$D$3*H3614/k_n</f>
        <v/>
      </c>
      <c r="U3614">
        <f>N3614-G3614*LTP3!$D$4/k_n</f>
        <v/>
      </c>
      <c r="V3614">
        <f>O3614-H3614*LTP3!$D$4/k_n</f>
        <v/>
      </c>
      <c r="W3614">
        <f>((LTP3!$D$5)*((P3614)*(Q3614)-(R3614)*(R3614))-(S3614)*((S3614)*(Q3614)-(R3614)*(T3614))+(T3614)*((S3614)*(R3614)-(P3614)*(T3614)))</f>
        <v/>
      </c>
      <c r="X3614">
        <f>IF(ABS(W3614)&gt;1E-12,((LTP3!$D$6)*((P3614)*(Q3614)-(R3614)*(R3614))-(S3614)*((U3614)*(Q3614)-(R3614)*(V3614))+(T3614)*((U3614)*(R3614)-(P3614)*(V3614)))/W3614,0)</f>
        <v/>
      </c>
      <c r="Y3614">
        <f>IF(ABS(W3614)&gt;1E-12,((LTP3!$D$5)*((U3614)*(Q3614)-(R3614)*(V3614))-(LTP3!$D$6)*((S3614)*(Q3614)-(R3614)*(T3614))+(T3614)*((S3614)*(V3614)-(U3614)*(T3614)))/W3614,0)</f>
        <v/>
      </c>
      <c r="Z3614">
        <f>IF(ABS(W3614)&gt;1E-12,((LTP3!$D$5)*((P3614)*(V3614)-(U3614)*(R3614))-(S3614)*((S3614)*(V3614)-(U3614)*(T3614))+(LTP3!$D$6)*((S3614)*(R3614)-(P3614)*(T3614)))/W3614,0)</f>
        <v/>
      </c>
      <c r="AA3614">
        <f>LTP3!$D$7-X3614*LTP3!$D$6-Y3614*U3614-Z3614*V3614</f>
        <v/>
      </c>
      <c r="AB3614">
        <f>IF(AND(F3614,ABS(W3614)&gt;1E-12,Y3614&gt;0,Z3614&gt;0),AA3614,1E+300)</f>
        <v/>
      </c>
    </row>
    <row r="3615">
      <c r="A3615">
        <f>$B$3+$B$5*59</f>
        <v/>
      </c>
      <c r="B3615">
        <f>$B$3+$B$5*4</f>
        <v/>
      </c>
      <c r="C3615">
        <f>SUMPRODUCT(Calc!$K$3:$K$22*(Calc!$G$3:$G$22&lt;=A3615))</f>
        <v/>
      </c>
      <c r="D3615">
        <f>SUMPRODUCT(Calc!$K$3:$K$22*(Calc!$G$3:$G$22&gt;A3615)*(Calc!$G$3:$G$22&lt;B3615))</f>
        <v/>
      </c>
      <c r="E3615">
        <f>SUMPRODUCT(Calc!$K$3:$K$22*(Calc!$G$3:$G$22&gt;=B3615))</f>
        <v/>
      </c>
      <c r="F3615">
        <f>AND(k_n&gt;=5,B3615&gt;A3615+1E-9,C3615&gt;=2,D3615&gt;=1,E3615&gt;=2)</f>
        <v/>
      </c>
      <c r="G3615">
        <f>SUMPRODUCT(Calc!$K$3:$K$22*(Calc!$G$3:$G$22&gt;A3615)*(Calc!$G$3:$G$22-A3615))</f>
        <v/>
      </c>
      <c r="H3615">
        <f>SUMPRODUCT(Calc!$K$3:$K$22*(Calc!$G$3:$G$22&gt;B3615)*(Calc!$G$3:$G$22-B3615))</f>
        <v/>
      </c>
      <c r="I3615">
        <f>SUMPRODUCT(Calc!$K$3:$K$22*(Calc!$G$3:$G$22&gt;A3615)*(Calc!$G$3:$G$22-A3615)^2)</f>
        <v/>
      </c>
      <c r="J3615">
        <f>SUMPRODUCT(Calc!$K$3:$K$22*(Calc!$G$3:$G$22&gt;B3615)*(Calc!$G$3:$G$22-B3615)^2)</f>
        <v/>
      </c>
      <c r="K3615">
        <f>SUMPRODUCT(Calc!$K$3:$K$22*(Calc!$G$3:$G$22&gt;A3615)*(Calc!$G$3:$G$22-A3615)*(Calc!$G$3:$G$22&gt;B3615)*(Calc!$G$3:$G$22-B3615))</f>
        <v/>
      </c>
      <c r="L3615">
        <f>SUMPRODUCT(Calc!$K$3:$K$22*(Calc!$G$3:$G$22&gt;A3615)*(Calc!$G$3:$G$22-A3615)*Calc!$G$3:$G$22)</f>
        <v/>
      </c>
      <c r="M3615">
        <f>SUMPRODUCT(Calc!$K$3:$K$22*(Calc!$G$3:$G$22&gt;B3615)*(Calc!$G$3:$G$22-B3615)*Calc!$G$3:$G$22)</f>
        <v/>
      </c>
      <c r="N3615">
        <f>SUMPRODUCT(Calc!$K$3:$K$22*(Calc!$G$3:$G$22&gt;A3615)*(Calc!$G$3:$G$22-A3615)*Calc!$I$3:$I$22)</f>
        <v/>
      </c>
      <c r="O3615">
        <f>SUMPRODUCT(Calc!$K$3:$K$22*(Calc!$G$3:$G$22&gt;B3615)*(Calc!$G$3:$G$22-B3615)*Calc!$I$3:$I$22)</f>
        <v/>
      </c>
      <c r="P3615">
        <f>I3615-G3615^2/k_n</f>
        <v/>
      </c>
      <c r="Q3615">
        <f>J3615-H3615^2/k_n</f>
        <v/>
      </c>
      <c r="R3615">
        <f>K3615-G3615*H3615/k_n</f>
        <v/>
      </c>
      <c r="S3615">
        <f>L3615-LTP3!$D$3*G3615/k_n</f>
        <v/>
      </c>
      <c r="T3615">
        <f>M3615-LTP3!$D$3*H3615/k_n</f>
        <v/>
      </c>
      <c r="U3615">
        <f>N3615-G3615*LTP3!$D$4/k_n</f>
        <v/>
      </c>
      <c r="V3615">
        <f>O3615-H3615*LTP3!$D$4/k_n</f>
        <v/>
      </c>
      <c r="W3615">
        <f>((LTP3!$D$5)*((P3615)*(Q3615)-(R3615)*(R3615))-(S3615)*((S3615)*(Q3615)-(R3615)*(T3615))+(T3615)*((S3615)*(R3615)-(P3615)*(T3615)))</f>
        <v/>
      </c>
      <c r="X3615">
        <f>IF(ABS(W3615)&gt;1E-12,((LTP3!$D$6)*((P3615)*(Q3615)-(R3615)*(R3615))-(S3615)*((U3615)*(Q3615)-(R3615)*(V3615))+(T3615)*((U3615)*(R3615)-(P3615)*(V3615)))/W3615,0)</f>
        <v/>
      </c>
      <c r="Y3615">
        <f>IF(ABS(W3615)&gt;1E-12,((LTP3!$D$5)*((U3615)*(Q3615)-(R3615)*(V3615))-(LTP3!$D$6)*((S3615)*(Q3615)-(R3615)*(T3615))+(T3615)*((S3615)*(V3615)-(U3615)*(T3615)))/W3615,0)</f>
        <v/>
      </c>
      <c r="Z3615">
        <f>IF(ABS(W3615)&gt;1E-12,((LTP3!$D$5)*((P3615)*(V3615)-(U3615)*(R3615))-(S3615)*((S3615)*(V3615)-(U3615)*(T3615))+(LTP3!$D$6)*((S3615)*(R3615)-(P3615)*(T3615)))/W3615,0)</f>
        <v/>
      </c>
      <c r="AA3615">
        <f>LTP3!$D$7-X3615*LTP3!$D$6-Y3615*U3615-Z3615*V3615</f>
        <v/>
      </c>
      <c r="AB3615">
        <f>IF(AND(F3615,ABS(W3615)&gt;1E-12,Y3615&gt;0,Z3615&gt;0),AA3615,1E+300)</f>
        <v/>
      </c>
    </row>
    <row r="3616">
      <c r="A3616">
        <f>$B$3+$B$5*59</f>
        <v/>
      </c>
      <c r="B3616">
        <f>$B$3+$B$5*5</f>
        <v/>
      </c>
      <c r="C3616">
        <f>SUMPRODUCT(Calc!$K$3:$K$22*(Calc!$G$3:$G$22&lt;=A3616))</f>
        <v/>
      </c>
      <c r="D3616">
        <f>SUMPRODUCT(Calc!$K$3:$K$22*(Calc!$G$3:$G$22&gt;A3616)*(Calc!$G$3:$G$22&lt;B3616))</f>
        <v/>
      </c>
      <c r="E3616">
        <f>SUMPRODUCT(Calc!$K$3:$K$22*(Calc!$G$3:$G$22&gt;=B3616))</f>
        <v/>
      </c>
      <c r="F3616">
        <f>AND(k_n&gt;=5,B3616&gt;A3616+1E-9,C3616&gt;=2,D3616&gt;=1,E3616&gt;=2)</f>
        <v/>
      </c>
      <c r="G3616">
        <f>SUMPRODUCT(Calc!$K$3:$K$22*(Calc!$G$3:$G$22&gt;A3616)*(Calc!$G$3:$G$22-A3616))</f>
        <v/>
      </c>
      <c r="H3616">
        <f>SUMPRODUCT(Calc!$K$3:$K$22*(Calc!$G$3:$G$22&gt;B3616)*(Calc!$G$3:$G$22-B3616))</f>
        <v/>
      </c>
      <c r="I3616">
        <f>SUMPRODUCT(Calc!$K$3:$K$22*(Calc!$G$3:$G$22&gt;A3616)*(Calc!$G$3:$G$22-A3616)^2)</f>
        <v/>
      </c>
      <c r="J3616">
        <f>SUMPRODUCT(Calc!$K$3:$K$22*(Calc!$G$3:$G$22&gt;B3616)*(Calc!$G$3:$G$22-B3616)^2)</f>
        <v/>
      </c>
      <c r="K3616">
        <f>SUMPRODUCT(Calc!$K$3:$K$22*(Calc!$G$3:$G$22&gt;A3616)*(Calc!$G$3:$G$22-A3616)*(Calc!$G$3:$G$22&gt;B3616)*(Calc!$G$3:$G$22-B3616))</f>
        <v/>
      </c>
      <c r="L3616">
        <f>SUMPRODUCT(Calc!$K$3:$K$22*(Calc!$G$3:$G$22&gt;A3616)*(Calc!$G$3:$G$22-A3616)*Calc!$G$3:$G$22)</f>
        <v/>
      </c>
      <c r="M3616">
        <f>SUMPRODUCT(Calc!$K$3:$K$22*(Calc!$G$3:$G$22&gt;B3616)*(Calc!$G$3:$G$22-B3616)*Calc!$G$3:$G$22)</f>
        <v/>
      </c>
      <c r="N3616">
        <f>SUMPRODUCT(Calc!$K$3:$K$22*(Calc!$G$3:$G$22&gt;A3616)*(Calc!$G$3:$G$22-A3616)*Calc!$I$3:$I$22)</f>
        <v/>
      </c>
      <c r="O3616">
        <f>SUMPRODUCT(Calc!$K$3:$K$22*(Calc!$G$3:$G$22&gt;B3616)*(Calc!$G$3:$G$22-B3616)*Calc!$I$3:$I$22)</f>
        <v/>
      </c>
      <c r="P3616">
        <f>I3616-G3616^2/k_n</f>
        <v/>
      </c>
      <c r="Q3616">
        <f>J3616-H3616^2/k_n</f>
        <v/>
      </c>
      <c r="R3616">
        <f>K3616-G3616*H3616/k_n</f>
        <v/>
      </c>
      <c r="S3616">
        <f>L3616-LTP3!$D$3*G3616/k_n</f>
        <v/>
      </c>
      <c r="T3616">
        <f>M3616-LTP3!$D$3*H3616/k_n</f>
        <v/>
      </c>
      <c r="U3616">
        <f>N3616-G3616*LTP3!$D$4/k_n</f>
        <v/>
      </c>
      <c r="V3616">
        <f>O3616-H3616*LTP3!$D$4/k_n</f>
        <v/>
      </c>
      <c r="W3616">
        <f>((LTP3!$D$5)*((P3616)*(Q3616)-(R3616)*(R3616))-(S3616)*((S3616)*(Q3616)-(R3616)*(T3616))+(T3616)*((S3616)*(R3616)-(P3616)*(T3616)))</f>
        <v/>
      </c>
      <c r="X3616">
        <f>IF(ABS(W3616)&gt;1E-12,((LTP3!$D$6)*((P3616)*(Q3616)-(R3616)*(R3616))-(S3616)*((U3616)*(Q3616)-(R3616)*(V3616))+(T3616)*((U3616)*(R3616)-(P3616)*(V3616)))/W3616,0)</f>
        <v/>
      </c>
      <c r="Y3616">
        <f>IF(ABS(W3616)&gt;1E-12,((LTP3!$D$5)*((U3616)*(Q3616)-(R3616)*(V3616))-(LTP3!$D$6)*((S3616)*(Q3616)-(R3616)*(T3616))+(T3616)*((S3616)*(V3616)-(U3616)*(T3616)))/W3616,0)</f>
        <v/>
      </c>
      <c r="Z3616">
        <f>IF(ABS(W3616)&gt;1E-12,((LTP3!$D$5)*((P3616)*(V3616)-(U3616)*(R3616))-(S3616)*((S3616)*(V3616)-(U3616)*(T3616))+(LTP3!$D$6)*((S3616)*(R3616)-(P3616)*(T3616)))/W3616,0)</f>
        <v/>
      </c>
      <c r="AA3616">
        <f>LTP3!$D$7-X3616*LTP3!$D$6-Y3616*U3616-Z3616*V3616</f>
        <v/>
      </c>
      <c r="AB3616">
        <f>IF(AND(F3616,ABS(W3616)&gt;1E-12,Y3616&gt;0,Z3616&gt;0),AA3616,1E+300)</f>
        <v/>
      </c>
    </row>
    <row r="3617">
      <c r="A3617">
        <f>$B$3+$B$5*59</f>
        <v/>
      </c>
      <c r="B3617">
        <f>$B$3+$B$5*6</f>
        <v/>
      </c>
      <c r="C3617">
        <f>SUMPRODUCT(Calc!$K$3:$K$22*(Calc!$G$3:$G$22&lt;=A3617))</f>
        <v/>
      </c>
      <c r="D3617">
        <f>SUMPRODUCT(Calc!$K$3:$K$22*(Calc!$G$3:$G$22&gt;A3617)*(Calc!$G$3:$G$22&lt;B3617))</f>
        <v/>
      </c>
      <c r="E3617">
        <f>SUMPRODUCT(Calc!$K$3:$K$22*(Calc!$G$3:$G$22&gt;=B3617))</f>
        <v/>
      </c>
      <c r="F3617">
        <f>AND(k_n&gt;=5,B3617&gt;A3617+1E-9,C3617&gt;=2,D3617&gt;=1,E3617&gt;=2)</f>
        <v/>
      </c>
      <c r="G3617">
        <f>SUMPRODUCT(Calc!$K$3:$K$22*(Calc!$G$3:$G$22&gt;A3617)*(Calc!$G$3:$G$22-A3617))</f>
        <v/>
      </c>
      <c r="H3617">
        <f>SUMPRODUCT(Calc!$K$3:$K$22*(Calc!$G$3:$G$22&gt;B3617)*(Calc!$G$3:$G$22-B3617))</f>
        <v/>
      </c>
      <c r="I3617">
        <f>SUMPRODUCT(Calc!$K$3:$K$22*(Calc!$G$3:$G$22&gt;A3617)*(Calc!$G$3:$G$22-A3617)^2)</f>
        <v/>
      </c>
      <c r="J3617">
        <f>SUMPRODUCT(Calc!$K$3:$K$22*(Calc!$G$3:$G$22&gt;B3617)*(Calc!$G$3:$G$22-B3617)^2)</f>
        <v/>
      </c>
      <c r="K3617">
        <f>SUMPRODUCT(Calc!$K$3:$K$22*(Calc!$G$3:$G$22&gt;A3617)*(Calc!$G$3:$G$22-A3617)*(Calc!$G$3:$G$22&gt;B3617)*(Calc!$G$3:$G$22-B3617))</f>
        <v/>
      </c>
      <c r="L3617">
        <f>SUMPRODUCT(Calc!$K$3:$K$22*(Calc!$G$3:$G$22&gt;A3617)*(Calc!$G$3:$G$22-A3617)*Calc!$G$3:$G$22)</f>
        <v/>
      </c>
      <c r="M3617">
        <f>SUMPRODUCT(Calc!$K$3:$K$22*(Calc!$G$3:$G$22&gt;B3617)*(Calc!$G$3:$G$22-B3617)*Calc!$G$3:$G$22)</f>
        <v/>
      </c>
      <c r="N3617">
        <f>SUMPRODUCT(Calc!$K$3:$K$22*(Calc!$G$3:$G$22&gt;A3617)*(Calc!$G$3:$G$22-A3617)*Calc!$I$3:$I$22)</f>
        <v/>
      </c>
      <c r="O3617">
        <f>SUMPRODUCT(Calc!$K$3:$K$22*(Calc!$G$3:$G$22&gt;B3617)*(Calc!$G$3:$G$22-B3617)*Calc!$I$3:$I$22)</f>
        <v/>
      </c>
      <c r="P3617">
        <f>I3617-G3617^2/k_n</f>
        <v/>
      </c>
      <c r="Q3617">
        <f>J3617-H3617^2/k_n</f>
        <v/>
      </c>
      <c r="R3617">
        <f>K3617-G3617*H3617/k_n</f>
        <v/>
      </c>
      <c r="S3617">
        <f>L3617-LTP3!$D$3*G3617/k_n</f>
        <v/>
      </c>
      <c r="T3617">
        <f>M3617-LTP3!$D$3*H3617/k_n</f>
        <v/>
      </c>
      <c r="U3617">
        <f>N3617-G3617*LTP3!$D$4/k_n</f>
        <v/>
      </c>
      <c r="V3617">
        <f>O3617-H3617*LTP3!$D$4/k_n</f>
        <v/>
      </c>
      <c r="W3617">
        <f>((LTP3!$D$5)*((P3617)*(Q3617)-(R3617)*(R3617))-(S3617)*((S3617)*(Q3617)-(R3617)*(T3617))+(T3617)*((S3617)*(R3617)-(P3617)*(T3617)))</f>
        <v/>
      </c>
      <c r="X3617">
        <f>IF(ABS(W3617)&gt;1E-12,((LTP3!$D$6)*((P3617)*(Q3617)-(R3617)*(R3617))-(S3617)*((U3617)*(Q3617)-(R3617)*(V3617))+(T3617)*((U3617)*(R3617)-(P3617)*(V3617)))/W3617,0)</f>
        <v/>
      </c>
      <c r="Y3617">
        <f>IF(ABS(W3617)&gt;1E-12,((LTP3!$D$5)*((U3617)*(Q3617)-(R3617)*(V3617))-(LTP3!$D$6)*((S3617)*(Q3617)-(R3617)*(T3617))+(T3617)*((S3617)*(V3617)-(U3617)*(T3617)))/W3617,0)</f>
        <v/>
      </c>
      <c r="Z3617">
        <f>IF(ABS(W3617)&gt;1E-12,((LTP3!$D$5)*((P3617)*(V3617)-(U3617)*(R3617))-(S3617)*((S3617)*(V3617)-(U3617)*(T3617))+(LTP3!$D$6)*((S3617)*(R3617)-(P3617)*(T3617)))/W3617,0)</f>
        <v/>
      </c>
      <c r="AA3617">
        <f>LTP3!$D$7-X3617*LTP3!$D$6-Y3617*U3617-Z3617*V3617</f>
        <v/>
      </c>
      <c r="AB3617">
        <f>IF(AND(F3617,ABS(W3617)&gt;1E-12,Y3617&gt;0,Z3617&gt;0),AA3617,1E+300)</f>
        <v/>
      </c>
    </row>
    <row r="3618">
      <c r="A3618">
        <f>$B$3+$B$5*59</f>
        <v/>
      </c>
      <c r="B3618">
        <f>$B$3+$B$5*7</f>
        <v/>
      </c>
      <c r="C3618">
        <f>SUMPRODUCT(Calc!$K$3:$K$22*(Calc!$G$3:$G$22&lt;=A3618))</f>
        <v/>
      </c>
      <c r="D3618">
        <f>SUMPRODUCT(Calc!$K$3:$K$22*(Calc!$G$3:$G$22&gt;A3618)*(Calc!$G$3:$G$22&lt;B3618))</f>
        <v/>
      </c>
      <c r="E3618">
        <f>SUMPRODUCT(Calc!$K$3:$K$22*(Calc!$G$3:$G$22&gt;=B3618))</f>
        <v/>
      </c>
      <c r="F3618">
        <f>AND(k_n&gt;=5,B3618&gt;A3618+1E-9,C3618&gt;=2,D3618&gt;=1,E3618&gt;=2)</f>
        <v/>
      </c>
      <c r="G3618">
        <f>SUMPRODUCT(Calc!$K$3:$K$22*(Calc!$G$3:$G$22&gt;A3618)*(Calc!$G$3:$G$22-A3618))</f>
        <v/>
      </c>
      <c r="H3618">
        <f>SUMPRODUCT(Calc!$K$3:$K$22*(Calc!$G$3:$G$22&gt;B3618)*(Calc!$G$3:$G$22-B3618))</f>
        <v/>
      </c>
      <c r="I3618">
        <f>SUMPRODUCT(Calc!$K$3:$K$22*(Calc!$G$3:$G$22&gt;A3618)*(Calc!$G$3:$G$22-A3618)^2)</f>
        <v/>
      </c>
      <c r="J3618">
        <f>SUMPRODUCT(Calc!$K$3:$K$22*(Calc!$G$3:$G$22&gt;B3618)*(Calc!$G$3:$G$22-B3618)^2)</f>
        <v/>
      </c>
      <c r="K3618">
        <f>SUMPRODUCT(Calc!$K$3:$K$22*(Calc!$G$3:$G$22&gt;A3618)*(Calc!$G$3:$G$22-A3618)*(Calc!$G$3:$G$22&gt;B3618)*(Calc!$G$3:$G$22-B3618))</f>
        <v/>
      </c>
      <c r="L3618">
        <f>SUMPRODUCT(Calc!$K$3:$K$22*(Calc!$G$3:$G$22&gt;A3618)*(Calc!$G$3:$G$22-A3618)*Calc!$G$3:$G$22)</f>
        <v/>
      </c>
      <c r="M3618">
        <f>SUMPRODUCT(Calc!$K$3:$K$22*(Calc!$G$3:$G$22&gt;B3618)*(Calc!$G$3:$G$22-B3618)*Calc!$G$3:$G$22)</f>
        <v/>
      </c>
      <c r="N3618">
        <f>SUMPRODUCT(Calc!$K$3:$K$22*(Calc!$G$3:$G$22&gt;A3618)*(Calc!$G$3:$G$22-A3618)*Calc!$I$3:$I$22)</f>
        <v/>
      </c>
      <c r="O3618">
        <f>SUMPRODUCT(Calc!$K$3:$K$22*(Calc!$G$3:$G$22&gt;B3618)*(Calc!$G$3:$G$22-B3618)*Calc!$I$3:$I$22)</f>
        <v/>
      </c>
      <c r="P3618">
        <f>I3618-G3618^2/k_n</f>
        <v/>
      </c>
      <c r="Q3618">
        <f>J3618-H3618^2/k_n</f>
        <v/>
      </c>
      <c r="R3618">
        <f>K3618-G3618*H3618/k_n</f>
        <v/>
      </c>
      <c r="S3618">
        <f>L3618-LTP3!$D$3*G3618/k_n</f>
        <v/>
      </c>
      <c r="T3618">
        <f>M3618-LTP3!$D$3*H3618/k_n</f>
        <v/>
      </c>
      <c r="U3618">
        <f>N3618-G3618*LTP3!$D$4/k_n</f>
        <v/>
      </c>
      <c r="V3618">
        <f>O3618-H3618*LTP3!$D$4/k_n</f>
        <v/>
      </c>
      <c r="W3618">
        <f>((LTP3!$D$5)*((P3618)*(Q3618)-(R3618)*(R3618))-(S3618)*((S3618)*(Q3618)-(R3618)*(T3618))+(T3618)*((S3618)*(R3618)-(P3618)*(T3618)))</f>
        <v/>
      </c>
      <c r="X3618">
        <f>IF(ABS(W3618)&gt;1E-12,((LTP3!$D$6)*((P3618)*(Q3618)-(R3618)*(R3618))-(S3618)*((U3618)*(Q3618)-(R3618)*(V3618))+(T3618)*((U3618)*(R3618)-(P3618)*(V3618)))/W3618,0)</f>
        <v/>
      </c>
      <c r="Y3618">
        <f>IF(ABS(W3618)&gt;1E-12,((LTP3!$D$5)*((U3618)*(Q3618)-(R3618)*(V3618))-(LTP3!$D$6)*((S3618)*(Q3618)-(R3618)*(T3618))+(T3618)*((S3618)*(V3618)-(U3618)*(T3618)))/W3618,0)</f>
        <v/>
      </c>
      <c r="Z3618">
        <f>IF(ABS(W3618)&gt;1E-12,((LTP3!$D$5)*((P3618)*(V3618)-(U3618)*(R3618))-(S3618)*((S3618)*(V3618)-(U3618)*(T3618))+(LTP3!$D$6)*((S3618)*(R3618)-(P3618)*(T3618)))/W3618,0)</f>
        <v/>
      </c>
      <c r="AA3618">
        <f>LTP3!$D$7-X3618*LTP3!$D$6-Y3618*U3618-Z3618*V3618</f>
        <v/>
      </c>
      <c r="AB3618">
        <f>IF(AND(F3618,ABS(W3618)&gt;1E-12,Y3618&gt;0,Z3618&gt;0),AA3618,1E+300)</f>
        <v/>
      </c>
    </row>
    <row r="3619">
      <c r="A3619">
        <f>$B$3+$B$5*59</f>
        <v/>
      </c>
      <c r="B3619">
        <f>$B$3+$B$5*8</f>
        <v/>
      </c>
      <c r="C3619">
        <f>SUMPRODUCT(Calc!$K$3:$K$22*(Calc!$G$3:$G$22&lt;=A3619))</f>
        <v/>
      </c>
      <c r="D3619">
        <f>SUMPRODUCT(Calc!$K$3:$K$22*(Calc!$G$3:$G$22&gt;A3619)*(Calc!$G$3:$G$22&lt;B3619))</f>
        <v/>
      </c>
      <c r="E3619">
        <f>SUMPRODUCT(Calc!$K$3:$K$22*(Calc!$G$3:$G$22&gt;=B3619))</f>
        <v/>
      </c>
      <c r="F3619">
        <f>AND(k_n&gt;=5,B3619&gt;A3619+1E-9,C3619&gt;=2,D3619&gt;=1,E3619&gt;=2)</f>
        <v/>
      </c>
      <c r="G3619">
        <f>SUMPRODUCT(Calc!$K$3:$K$22*(Calc!$G$3:$G$22&gt;A3619)*(Calc!$G$3:$G$22-A3619))</f>
        <v/>
      </c>
      <c r="H3619">
        <f>SUMPRODUCT(Calc!$K$3:$K$22*(Calc!$G$3:$G$22&gt;B3619)*(Calc!$G$3:$G$22-B3619))</f>
        <v/>
      </c>
      <c r="I3619">
        <f>SUMPRODUCT(Calc!$K$3:$K$22*(Calc!$G$3:$G$22&gt;A3619)*(Calc!$G$3:$G$22-A3619)^2)</f>
        <v/>
      </c>
      <c r="J3619">
        <f>SUMPRODUCT(Calc!$K$3:$K$22*(Calc!$G$3:$G$22&gt;B3619)*(Calc!$G$3:$G$22-B3619)^2)</f>
        <v/>
      </c>
      <c r="K3619">
        <f>SUMPRODUCT(Calc!$K$3:$K$22*(Calc!$G$3:$G$22&gt;A3619)*(Calc!$G$3:$G$22-A3619)*(Calc!$G$3:$G$22&gt;B3619)*(Calc!$G$3:$G$22-B3619))</f>
        <v/>
      </c>
      <c r="L3619">
        <f>SUMPRODUCT(Calc!$K$3:$K$22*(Calc!$G$3:$G$22&gt;A3619)*(Calc!$G$3:$G$22-A3619)*Calc!$G$3:$G$22)</f>
        <v/>
      </c>
      <c r="M3619">
        <f>SUMPRODUCT(Calc!$K$3:$K$22*(Calc!$G$3:$G$22&gt;B3619)*(Calc!$G$3:$G$22-B3619)*Calc!$G$3:$G$22)</f>
        <v/>
      </c>
      <c r="N3619">
        <f>SUMPRODUCT(Calc!$K$3:$K$22*(Calc!$G$3:$G$22&gt;A3619)*(Calc!$G$3:$G$22-A3619)*Calc!$I$3:$I$22)</f>
        <v/>
      </c>
      <c r="O3619">
        <f>SUMPRODUCT(Calc!$K$3:$K$22*(Calc!$G$3:$G$22&gt;B3619)*(Calc!$G$3:$G$22-B3619)*Calc!$I$3:$I$22)</f>
        <v/>
      </c>
      <c r="P3619">
        <f>I3619-G3619^2/k_n</f>
        <v/>
      </c>
      <c r="Q3619">
        <f>J3619-H3619^2/k_n</f>
        <v/>
      </c>
      <c r="R3619">
        <f>K3619-G3619*H3619/k_n</f>
        <v/>
      </c>
      <c r="S3619">
        <f>L3619-LTP3!$D$3*G3619/k_n</f>
        <v/>
      </c>
      <c r="T3619">
        <f>M3619-LTP3!$D$3*H3619/k_n</f>
        <v/>
      </c>
      <c r="U3619">
        <f>N3619-G3619*LTP3!$D$4/k_n</f>
        <v/>
      </c>
      <c r="V3619">
        <f>O3619-H3619*LTP3!$D$4/k_n</f>
        <v/>
      </c>
      <c r="W3619">
        <f>((LTP3!$D$5)*((P3619)*(Q3619)-(R3619)*(R3619))-(S3619)*((S3619)*(Q3619)-(R3619)*(T3619))+(T3619)*((S3619)*(R3619)-(P3619)*(T3619)))</f>
        <v/>
      </c>
      <c r="X3619">
        <f>IF(ABS(W3619)&gt;1E-12,((LTP3!$D$6)*((P3619)*(Q3619)-(R3619)*(R3619))-(S3619)*((U3619)*(Q3619)-(R3619)*(V3619))+(T3619)*((U3619)*(R3619)-(P3619)*(V3619)))/W3619,0)</f>
        <v/>
      </c>
      <c r="Y3619">
        <f>IF(ABS(W3619)&gt;1E-12,((LTP3!$D$5)*((U3619)*(Q3619)-(R3619)*(V3619))-(LTP3!$D$6)*((S3619)*(Q3619)-(R3619)*(T3619))+(T3619)*((S3619)*(V3619)-(U3619)*(T3619)))/W3619,0)</f>
        <v/>
      </c>
      <c r="Z3619">
        <f>IF(ABS(W3619)&gt;1E-12,((LTP3!$D$5)*((P3619)*(V3619)-(U3619)*(R3619))-(S3619)*((S3619)*(V3619)-(U3619)*(T3619))+(LTP3!$D$6)*((S3619)*(R3619)-(P3619)*(T3619)))/W3619,0)</f>
        <v/>
      </c>
      <c r="AA3619">
        <f>LTP3!$D$7-X3619*LTP3!$D$6-Y3619*U3619-Z3619*V3619</f>
        <v/>
      </c>
      <c r="AB3619">
        <f>IF(AND(F3619,ABS(W3619)&gt;1E-12,Y3619&gt;0,Z3619&gt;0),AA3619,1E+300)</f>
        <v/>
      </c>
    </row>
    <row r="3620">
      <c r="A3620">
        <f>$B$3+$B$5*59</f>
        <v/>
      </c>
      <c r="B3620">
        <f>$B$3+$B$5*9</f>
        <v/>
      </c>
      <c r="C3620">
        <f>SUMPRODUCT(Calc!$K$3:$K$22*(Calc!$G$3:$G$22&lt;=A3620))</f>
        <v/>
      </c>
      <c r="D3620">
        <f>SUMPRODUCT(Calc!$K$3:$K$22*(Calc!$G$3:$G$22&gt;A3620)*(Calc!$G$3:$G$22&lt;B3620))</f>
        <v/>
      </c>
      <c r="E3620">
        <f>SUMPRODUCT(Calc!$K$3:$K$22*(Calc!$G$3:$G$22&gt;=B3620))</f>
        <v/>
      </c>
      <c r="F3620">
        <f>AND(k_n&gt;=5,B3620&gt;A3620+1E-9,C3620&gt;=2,D3620&gt;=1,E3620&gt;=2)</f>
        <v/>
      </c>
      <c r="G3620">
        <f>SUMPRODUCT(Calc!$K$3:$K$22*(Calc!$G$3:$G$22&gt;A3620)*(Calc!$G$3:$G$22-A3620))</f>
        <v/>
      </c>
      <c r="H3620">
        <f>SUMPRODUCT(Calc!$K$3:$K$22*(Calc!$G$3:$G$22&gt;B3620)*(Calc!$G$3:$G$22-B3620))</f>
        <v/>
      </c>
      <c r="I3620">
        <f>SUMPRODUCT(Calc!$K$3:$K$22*(Calc!$G$3:$G$22&gt;A3620)*(Calc!$G$3:$G$22-A3620)^2)</f>
        <v/>
      </c>
      <c r="J3620">
        <f>SUMPRODUCT(Calc!$K$3:$K$22*(Calc!$G$3:$G$22&gt;B3620)*(Calc!$G$3:$G$22-B3620)^2)</f>
        <v/>
      </c>
      <c r="K3620">
        <f>SUMPRODUCT(Calc!$K$3:$K$22*(Calc!$G$3:$G$22&gt;A3620)*(Calc!$G$3:$G$22-A3620)*(Calc!$G$3:$G$22&gt;B3620)*(Calc!$G$3:$G$22-B3620))</f>
        <v/>
      </c>
      <c r="L3620">
        <f>SUMPRODUCT(Calc!$K$3:$K$22*(Calc!$G$3:$G$22&gt;A3620)*(Calc!$G$3:$G$22-A3620)*Calc!$G$3:$G$22)</f>
        <v/>
      </c>
      <c r="M3620">
        <f>SUMPRODUCT(Calc!$K$3:$K$22*(Calc!$G$3:$G$22&gt;B3620)*(Calc!$G$3:$G$22-B3620)*Calc!$G$3:$G$22)</f>
        <v/>
      </c>
      <c r="N3620">
        <f>SUMPRODUCT(Calc!$K$3:$K$22*(Calc!$G$3:$G$22&gt;A3620)*(Calc!$G$3:$G$22-A3620)*Calc!$I$3:$I$22)</f>
        <v/>
      </c>
      <c r="O3620">
        <f>SUMPRODUCT(Calc!$K$3:$K$22*(Calc!$G$3:$G$22&gt;B3620)*(Calc!$G$3:$G$22-B3620)*Calc!$I$3:$I$22)</f>
        <v/>
      </c>
      <c r="P3620">
        <f>I3620-G3620^2/k_n</f>
        <v/>
      </c>
      <c r="Q3620">
        <f>J3620-H3620^2/k_n</f>
        <v/>
      </c>
      <c r="R3620">
        <f>K3620-G3620*H3620/k_n</f>
        <v/>
      </c>
      <c r="S3620">
        <f>L3620-LTP3!$D$3*G3620/k_n</f>
        <v/>
      </c>
      <c r="T3620">
        <f>M3620-LTP3!$D$3*H3620/k_n</f>
        <v/>
      </c>
      <c r="U3620">
        <f>N3620-G3620*LTP3!$D$4/k_n</f>
        <v/>
      </c>
      <c r="V3620">
        <f>O3620-H3620*LTP3!$D$4/k_n</f>
        <v/>
      </c>
      <c r="W3620">
        <f>((LTP3!$D$5)*((P3620)*(Q3620)-(R3620)*(R3620))-(S3620)*((S3620)*(Q3620)-(R3620)*(T3620))+(T3620)*((S3620)*(R3620)-(P3620)*(T3620)))</f>
        <v/>
      </c>
      <c r="X3620">
        <f>IF(ABS(W3620)&gt;1E-12,((LTP3!$D$6)*((P3620)*(Q3620)-(R3620)*(R3620))-(S3620)*((U3620)*(Q3620)-(R3620)*(V3620))+(T3620)*((U3620)*(R3620)-(P3620)*(V3620)))/W3620,0)</f>
        <v/>
      </c>
      <c r="Y3620">
        <f>IF(ABS(W3620)&gt;1E-12,((LTP3!$D$5)*((U3620)*(Q3620)-(R3620)*(V3620))-(LTP3!$D$6)*((S3620)*(Q3620)-(R3620)*(T3620))+(T3620)*((S3620)*(V3620)-(U3620)*(T3620)))/W3620,0)</f>
        <v/>
      </c>
      <c r="Z3620">
        <f>IF(ABS(W3620)&gt;1E-12,((LTP3!$D$5)*((P3620)*(V3620)-(U3620)*(R3620))-(S3620)*((S3620)*(V3620)-(U3620)*(T3620))+(LTP3!$D$6)*((S3620)*(R3620)-(P3620)*(T3620)))/W3620,0)</f>
        <v/>
      </c>
      <c r="AA3620">
        <f>LTP3!$D$7-X3620*LTP3!$D$6-Y3620*U3620-Z3620*V3620</f>
        <v/>
      </c>
      <c r="AB3620">
        <f>IF(AND(F3620,ABS(W3620)&gt;1E-12,Y3620&gt;0,Z3620&gt;0),AA3620,1E+300)</f>
        <v/>
      </c>
    </row>
    <row r="3621">
      <c r="A3621">
        <f>$B$3+$B$5*59</f>
        <v/>
      </c>
      <c r="B3621">
        <f>$B$3+$B$5*10</f>
        <v/>
      </c>
      <c r="C3621">
        <f>SUMPRODUCT(Calc!$K$3:$K$22*(Calc!$G$3:$G$22&lt;=A3621))</f>
        <v/>
      </c>
      <c r="D3621">
        <f>SUMPRODUCT(Calc!$K$3:$K$22*(Calc!$G$3:$G$22&gt;A3621)*(Calc!$G$3:$G$22&lt;B3621))</f>
        <v/>
      </c>
      <c r="E3621">
        <f>SUMPRODUCT(Calc!$K$3:$K$22*(Calc!$G$3:$G$22&gt;=B3621))</f>
        <v/>
      </c>
      <c r="F3621">
        <f>AND(k_n&gt;=5,B3621&gt;A3621+1E-9,C3621&gt;=2,D3621&gt;=1,E3621&gt;=2)</f>
        <v/>
      </c>
      <c r="G3621">
        <f>SUMPRODUCT(Calc!$K$3:$K$22*(Calc!$G$3:$G$22&gt;A3621)*(Calc!$G$3:$G$22-A3621))</f>
        <v/>
      </c>
      <c r="H3621">
        <f>SUMPRODUCT(Calc!$K$3:$K$22*(Calc!$G$3:$G$22&gt;B3621)*(Calc!$G$3:$G$22-B3621))</f>
        <v/>
      </c>
      <c r="I3621">
        <f>SUMPRODUCT(Calc!$K$3:$K$22*(Calc!$G$3:$G$22&gt;A3621)*(Calc!$G$3:$G$22-A3621)^2)</f>
        <v/>
      </c>
      <c r="J3621">
        <f>SUMPRODUCT(Calc!$K$3:$K$22*(Calc!$G$3:$G$22&gt;B3621)*(Calc!$G$3:$G$22-B3621)^2)</f>
        <v/>
      </c>
      <c r="K3621">
        <f>SUMPRODUCT(Calc!$K$3:$K$22*(Calc!$G$3:$G$22&gt;A3621)*(Calc!$G$3:$G$22-A3621)*(Calc!$G$3:$G$22&gt;B3621)*(Calc!$G$3:$G$22-B3621))</f>
        <v/>
      </c>
      <c r="L3621">
        <f>SUMPRODUCT(Calc!$K$3:$K$22*(Calc!$G$3:$G$22&gt;A3621)*(Calc!$G$3:$G$22-A3621)*Calc!$G$3:$G$22)</f>
        <v/>
      </c>
      <c r="M3621">
        <f>SUMPRODUCT(Calc!$K$3:$K$22*(Calc!$G$3:$G$22&gt;B3621)*(Calc!$G$3:$G$22-B3621)*Calc!$G$3:$G$22)</f>
        <v/>
      </c>
      <c r="N3621">
        <f>SUMPRODUCT(Calc!$K$3:$K$22*(Calc!$G$3:$G$22&gt;A3621)*(Calc!$G$3:$G$22-A3621)*Calc!$I$3:$I$22)</f>
        <v/>
      </c>
      <c r="O3621">
        <f>SUMPRODUCT(Calc!$K$3:$K$22*(Calc!$G$3:$G$22&gt;B3621)*(Calc!$G$3:$G$22-B3621)*Calc!$I$3:$I$22)</f>
        <v/>
      </c>
      <c r="P3621">
        <f>I3621-G3621^2/k_n</f>
        <v/>
      </c>
      <c r="Q3621">
        <f>J3621-H3621^2/k_n</f>
        <v/>
      </c>
      <c r="R3621">
        <f>K3621-G3621*H3621/k_n</f>
        <v/>
      </c>
      <c r="S3621">
        <f>L3621-LTP3!$D$3*G3621/k_n</f>
        <v/>
      </c>
      <c r="T3621">
        <f>M3621-LTP3!$D$3*H3621/k_n</f>
        <v/>
      </c>
      <c r="U3621">
        <f>N3621-G3621*LTP3!$D$4/k_n</f>
        <v/>
      </c>
      <c r="V3621">
        <f>O3621-H3621*LTP3!$D$4/k_n</f>
        <v/>
      </c>
      <c r="W3621">
        <f>((LTP3!$D$5)*((P3621)*(Q3621)-(R3621)*(R3621))-(S3621)*((S3621)*(Q3621)-(R3621)*(T3621))+(T3621)*((S3621)*(R3621)-(P3621)*(T3621)))</f>
        <v/>
      </c>
      <c r="X3621">
        <f>IF(ABS(W3621)&gt;1E-12,((LTP3!$D$6)*((P3621)*(Q3621)-(R3621)*(R3621))-(S3621)*((U3621)*(Q3621)-(R3621)*(V3621))+(T3621)*((U3621)*(R3621)-(P3621)*(V3621)))/W3621,0)</f>
        <v/>
      </c>
      <c r="Y3621">
        <f>IF(ABS(W3621)&gt;1E-12,((LTP3!$D$5)*((U3621)*(Q3621)-(R3621)*(V3621))-(LTP3!$D$6)*((S3621)*(Q3621)-(R3621)*(T3621))+(T3621)*((S3621)*(V3621)-(U3621)*(T3621)))/W3621,0)</f>
        <v/>
      </c>
      <c r="Z3621">
        <f>IF(ABS(W3621)&gt;1E-12,((LTP3!$D$5)*((P3621)*(V3621)-(U3621)*(R3621))-(S3621)*((S3621)*(V3621)-(U3621)*(T3621))+(LTP3!$D$6)*((S3621)*(R3621)-(P3621)*(T3621)))/W3621,0)</f>
        <v/>
      </c>
      <c r="AA3621">
        <f>LTP3!$D$7-X3621*LTP3!$D$6-Y3621*U3621-Z3621*V3621</f>
        <v/>
      </c>
      <c r="AB3621">
        <f>IF(AND(F3621,ABS(W3621)&gt;1E-12,Y3621&gt;0,Z3621&gt;0),AA3621,1E+300)</f>
        <v/>
      </c>
    </row>
    <row r="3622">
      <c r="A3622">
        <f>$B$3+$B$5*59</f>
        <v/>
      </c>
      <c r="B3622">
        <f>$B$3+$B$5*11</f>
        <v/>
      </c>
      <c r="C3622">
        <f>SUMPRODUCT(Calc!$K$3:$K$22*(Calc!$G$3:$G$22&lt;=A3622))</f>
        <v/>
      </c>
      <c r="D3622">
        <f>SUMPRODUCT(Calc!$K$3:$K$22*(Calc!$G$3:$G$22&gt;A3622)*(Calc!$G$3:$G$22&lt;B3622))</f>
        <v/>
      </c>
      <c r="E3622">
        <f>SUMPRODUCT(Calc!$K$3:$K$22*(Calc!$G$3:$G$22&gt;=B3622))</f>
        <v/>
      </c>
      <c r="F3622">
        <f>AND(k_n&gt;=5,B3622&gt;A3622+1E-9,C3622&gt;=2,D3622&gt;=1,E3622&gt;=2)</f>
        <v/>
      </c>
      <c r="G3622">
        <f>SUMPRODUCT(Calc!$K$3:$K$22*(Calc!$G$3:$G$22&gt;A3622)*(Calc!$G$3:$G$22-A3622))</f>
        <v/>
      </c>
      <c r="H3622">
        <f>SUMPRODUCT(Calc!$K$3:$K$22*(Calc!$G$3:$G$22&gt;B3622)*(Calc!$G$3:$G$22-B3622))</f>
        <v/>
      </c>
      <c r="I3622">
        <f>SUMPRODUCT(Calc!$K$3:$K$22*(Calc!$G$3:$G$22&gt;A3622)*(Calc!$G$3:$G$22-A3622)^2)</f>
        <v/>
      </c>
      <c r="J3622">
        <f>SUMPRODUCT(Calc!$K$3:$K$22*(Calc!$G$3:$G$22&gt;B3622)*(Calc!$G$3:$G$22-B3622)^2)</f>
        <v/>
      </c>
      <c r="K3622">
        <f>SUMPRODUCT(Calc!$K$3:$K$22*(Calc!$G$3:$G$22&gt;A3622)*(Calc!$G$3:$G$22-A3622)*(Calc!$G$3:$G$22&gt;B3622)*(Calc!$G$3:$G$22-B3622))</f>
        <v/>
      </c>
      <c r="L3622">
        <f>SUMPRODUCT(Calc!$K$3:$K$22*(Calc!$G$3:$G$22&gt;A3622)*(Calc!$G$3:$G$22-A3622)*Calc!$G$3:$G$22)</f>
        <v/>
      </c>
      <c r="M3622">
        <f>SUMPRODUCT(Calc!$K$3:$K$22*(Calc!$G$3:$G$22&gt;B3622)*(Calc!$G$3:$G$22-B3622)*Calc!$G$3:$G$22)</f>
        <v/>
      </c>
      <c r="N3622">
        <f>SUMPRODUCT(Calc!$K$3:$K$22*(Calc!$G$3:$G$22&gt;A3622)*(Calc!$G$3:$G$22-A3622)*Calc!$I$3:$I$22)</f>
        <v/>
      </c>
      <c r="O3622">
        <f>SUMPRODUCT(Calc!$K$3:$K$22*(Calc!$G$3:$G$22&gt;B3622)*(Calc!$G$3:$G$22-B3622)*Calc!$I$3:$I$22)</f>
        <v/>
      </c>
      <c r="P3622">
        <f>I3622-G3622^2/k_n</f>
        <v/>
      </c>
      <c r="Q3622">
        <f>J3622-H3622^2/k_n</f>
        <v/>
      </c>
      <c r="R3622">
        <f>K3622-G3622*H3622/k_n</f>
        <v/>
      </c>
      <c r="S3622">
        <f>L3622-LTP3!$D$3*G3622/k_n</f>
        <v/>
      </c>
      <c r="T3622">
        <f>M3622-LTP3!$D$3*H3622/k_n</f>
        <v/>
      </c>
      <c r="U3622">
        <f>N3622-G3622*LTP3!$D$4/k_n</f>
        <v/>
      </c>
      <c r="V3622">
        <f>O3622-H3622*LTP3!$D$4/k_n</f>
        <v/>
      </c>
      <c r="W3622">
        <f>((LTP3!$D$5)*((P3622)*(Q3622)-(R3622)*(R3622))-(S3622)*((S3622)*(Q3622)-(R3622)*(T3622))+(T3622)*((S3622)*(R3622)-(P3622)*(T3622)))</f>
        <v/>
      </c>
      <c r="X3622">
        <f>IF(ABS(W3622)&gt;1E-12,((LTP3!$D$6)*((P3622)*(Q3622)-(R3622)*(R3622))-(S3622)*((U3622)*(Q3622)-(R3622)*(V3622))+(T3622)*((U3622)*(R3622)-(P3622)*(V3622)))/W3622,0)</f>
        <v/>
      </c>
      <c r="Y3622">
        <f>IF(ABS(W3622)&gt;1E-12,((LTP3!$D$5)*((U3622)*(Q3622)-(R3622)*(V3622))-(LTP3!$D$6)*((S3622)*(Q3622)-(R3622)*(T3622))+(T3622)*((S3622)*(V3622)-(U3622)*(T3622)))/W3622,0)</f>
        <v/>
      </c>
      <c r="Z3622">
        <f>IF(ABS(W3622)&gt;1E-12,((LTP3!$D$5)*((P3622)*(V3622)-(U3622)*(R3622))-(S3622)*((S3622)*(V3622)-(U3622)*(T3622))+(LTP3!$D$6)*((S3622)*(R3622)-(P3622)*(T3622)))/W3622,0)</f>
        <v/>
      </c>
      <c r="AA3622">
        <f>LTP3!$D$7-X3622*LTP3!$D$6-Y3622*U3622-Z3622*V3622</f>
        <v/>
      </c>
      <c r="AB3622">
        <f>IF(AND(F3622,ABS(W3622)&gt;1E-12,Y3622&gt;0,Z3622&gt;0),AA3622,1E+300)</f>
        <v/>
      </c>
    </row>
    <row r="3623">
      <c r="A3623">
        <f>$B$3+$B$5*59</f>
        <v/>
      </c>
      <c r="B3623">
        <f>$B$3+$B$5*12</f>
        <v/>
      </c>
      <c r="C3623">
        <f>SUMPRODUCT(Calc!$K$3:$K$22*(Calc!$G$3:$G$22&lt;=A3623))</f>
        <v/>
      </c>
      <c r="D3623">
        <f>SUMPRODUCT(Calc!$K$3:$K$22*(Calc!$G$3:$G$22&gt;A3623)*(Calc!$G$3:$G$22&lt;B3623))</f>
        <v/>
      </c>
      <c r="E3623">
        <f>SUMPRODUCT(Calc!$K$3:$K$22*(Calc!$G$3:$G$22&gt;=B3623))</f>
        <v/>
      </c>
      <c r="F3623">
        <f>AND(k_n&gt;=5,B3623&gt;A3623+1E-9,C3623&gt;=2,D3623&gt;=1,E3623&gt;=2)</f>
        <v/>
      </c>
      <c r="G3623">
        <f>SUMPRODUCT(Calc!$K$3:$K$22*(Calc!$G$3:$G$22&gt;A3623)*(Calc!$G$3:$G$22-A3623))</f>
        <v/>
      </c>
      <c r="H3623">
        <f>SUMPRODUCT(Calc!$K$3:$K$22*(Calc!$G$3:$G$22&gt;B3623)*(Calc!$G$3:$G$22-B3623))</f>
        <v/>
      </c>
      <c r="I3623">
        <f>SUMPRODUCT(Calc!$K$3:$K$22*(Calc!$G$3:$G$22&gt;A3623)*(Calc!$G$3:$G$22-A3623)^2)</f>
        <v/>
      </c>
      <c r="J3623">
        <f>SUMPRODUCT(Calc!$K$3:$K$22*(Calc!$G$3:$G$22&gt;B3623)*(Calc!$G$3:$G$22-B3623)^2)</f>
        <v/>
      </c>
      <c r="K3623">
        <f>SUMPRODUCT(Calc!$K$3:$K$22*(Calc!$G$3:$G$22&gt;A3623)*(Calc!$G$3:$G$22-A3623)*(Calc!$G$3:$G$22&gt;B3623)*(Calc!$G$3:$G$22-B3623))</f>
        <v/>
      </c>
      <c r="L3623">
        <f>SUMPRODUCT(Calc!$K$3:$K$22*(Calc!$G$3:$G$22&gt;A3623)*(Calc!$G$3:$G$22-A3623)*Calc!$G$3:$G$22)</f>
        <v/>
      </c>
      <c r="M3623">
        <f>SUMPRODUCT(Calc!$K$3:$K$22*(Calc!$G$3:$G$22&gt;B3623)*(Calc!$G$3:$G$22-B3623)*Calc!$G$3:$G$22)</f>
        <v/>
      </c>
      <c r="N3623">
        <f>SUMPRODUCT(Calc!$K$3:$K$22*(Calc!$G$3:$G$22&gt;A3623)*(Calc!$G$3:$G$22-A3623)*Calc!$I$3:$I$22)</f>
        <v/>
      </c>
      <c r="O3623">
        <f>SUMPRODUCT(Calc!$K$3:$K$22*(Calc!$G$3:$G$22&gt;B3623)*(Calc!$G$3:$G$22-B3623)*Calc!$I$3:$I$22)</f>
        <v/>
      </c>
      <c r="P3623">
        <f>I3623-G3623^2/k_n</f>
        <v/>
      </c>
      <c r="Q3623">
        <f>J3623-H3623^2/k_n</f>
        <v/>
      </c>
      <c r="R3623">
        <f>K3623-G3623*H3623/k_n</f>
        <v/>
      </c>
      <c r="S3623">
        <f>L3623-LTP3!$D$3*G3623/k_n</f>
        <v/>
      </c>
      <c r="T3623">
        <f>M3623-LTP3!$D$3*H3623/k_n</f>
        <v/>
      </c>
      <c r="U3623">
        <f>N3623-G3623*LTP3!$D$4/k_n</f>
        <v/>
      </c>
      <c r="V3623">
        <f>O3623-H3623*LTP3!$D$4/k_n</f>
        <v/>
      </c>
      <c r="W3623">
        <f>((LTP3!$D$5)*((P3623)*(Q3623)-(R3623)*(R3623))-(S3623)*((S3623)*(Q3623)-(R3623)*(T3623))+(T3623)*((S3623)*(R3623)-(P3623)*(T3623)))</f>
        <v/>
      </c>
      <c r="X3623">
        <f>IF(ABS(W3623)&gt;1E-12,((LTP3!$D$6)*((P3623)*(Q3623)-(R3623)*(R3623))-(S3623)*((U3623)*(Q3623)-(R3623)*(V3623))+(T3623)*((U3623)*(R3623)-(P3623)*(V3623)))/W3623,0)</f>
        <v/>
      </c>
      <c r="Y3623">
        <f>IF(ABS(W3623)&gt;1E-12,((LTP3!$D$5)*((U3623)*(Q3623)-(R3623)*(V3623))-(LTP3!$D$6)*((S3623)*(Q3623)-(R3623)*(T3623))+(T3623)*((S3623)*(V3623)-(U3623)*(T3623)))/W3623,0)</f>
        <v/>
      </c>
      <c r="Z3623">
        <f>IF(ABS(W3623)&gt;1E-12,((LTP3!$D$5)*((P3623)*(V3623)-(U3623)*(R3623))-(S3623)*((S3623)*(V3623)-(U3623)*(T3623))+(LTP3!$D$6)*((S3623)*(R3623)-(P3623)*(T3623)))/W3623,0)</f>
        <v/>
      </c>
      <c r="AA3623">
        <f>LTP3!$D$7-X3623*LTP3!$D$6-Y3623*U3623-Z3623*V3623</f>
        <v/>
      </c>
      <c r="AB3623">
        <f>IF(AND(F3623,ABS(W3623)&gt;1E-12,Y3623&gt;0,Z3623&gt;0),AA3623,1E+300)</f>
        <v/>
      </c>
    </row>
    <row r="3624">
      <c r="A3624">
        <f>$B$3+$B$5*59</f>
        <v/>
      </c>
      <c r="B3624">
        <f>$B$3+$B$5*13</f>
        <v/>
      </c>
      <c r="C3624">
        <f>SUMPRODUCT(Calc!$K$3:$K$22*(Calc!$G$3:$G$22&lt;=A3624))</f>
        <v/>
      </c>
      <c r="D3624">
        <f>SUMPRODUCT(Calc!$K$3:$K$22*(Calc!$G$3:$G$22&gt;A3624)*(Calc!$G$3:$G$22&lt;B3624))</f>
        <v/>
      </c>
      <c r="E3624">
        <f>SUMPRODUCT(Calc!$K$3:$K$22*(Calc!$G$3:$G$22&gt;=B3624))</f>
        <v/>
      </c>
      <c r="F3624">
        <f>AND(k_n&gt;=5,B3624&gt;A3624+1E-9,C3624&gt;=2,D3624&gt;=1,E3624&gt;=2)</f>
        <v/>
      </c>
      <c r="G3624">
        <f>SUMPRODUCT(Calc!$K$3:$K$22*(Calc!$G$3:$G$22&gt;A3624)*(Calc!$G$3:$G$22-A3624))</f>
        <v/>
      </c>
      <c r="H3624">
        <f>SUMPRODUCT(Calc!$K$3:$K$22*(Calc!$G$3:$G$22&gt;B3624)*(Calc!$G$3:$G$22-B3624))</f>
        <v/>
      </c>
      <c r="I3624">
        <f>SUMPRODUCT(Calc!$K$3:$K$22*(Calc!$G$3:$G$22&gt;A3624)*(Calc!$G$3:$G$22-A3624)^2)</f>
        <v/>
      </c>
      <c r="J3624">
        <f>SUMPRODUCT(Calc!$K$3:$K$22*(Calc!$G$3:$G$22&gt;B3624)*(Calc!$G$3:$G$22-B3624)^2)</f>
        <v/>
      </c>
      <c r="K3624">
        <f>SUMPRODUCT(Calc!$K$3:$K$22*(Calc!$G$3:$G$22&gt;A3624)*(Calc!$G$3:$G$22-A3624)*(Calc!$G$3:$G$22&gt;B3624)*(Calc!$G$3:$G$22-B3624))</f>
        <v/>
      </c>
      <c r="L3624">
        <f>SUMPRODUCT(Calc!$K$3:$K$22*(Calc!$G$3:$G$22&gt;A3624)*(Calc!$G$3:$G$22-A3624)*Calc!$G$3:$G$22)</f>
        <v/>
      </c>
      <c r="M3624">
        <f>SUMPRODUCT(Calc!$K$3:$K$22*(Calc!$G$3:$G$22&gt;B3624)*(Calc!$G$3:$G$22-B3624)*Calc!$G$3:$G$22)</f>
        <v/>
      </c>
      <c r="N3624">
        <f>SUMPRODUCT(Calc!$K$3:$K$22*(Calc!$G$3:$G$22&gt;A3624)*(Calc!$G$3:$G$22-A3624)*Calc!$I$3:$I$22)</f>
        <v/>
      </c>
      <c r="O3624">
        <f>SUMPRODUCT(Calc!$K$3:$K$22*(Calc!$G$3:$G$22&gt;B3624)*(Calc!$G$3:$G$22-B3624)*Calc!$I$3:$I$22)</f>
        <v/>
      </c>
      <c r="P3624">
        <f>I3624-G3624^2/k_n</f>
        <v/>
      </c>
      <c r="Q3624">
        <f>J3624-H3624^2/k_n</f>
        <v/>
      </c>
      <c r="R3624">
        <f>K3624-G3624*H3624/k_n</f>
        <v/>
      </c>
      <c r="S3624">
        <f>L3624-LTP3!$D$3*G3624/k_n</f>
        <v/>
      </c>
      <c r="T3624">
        <f>M3624-LTP3!$D$3*H3624/k_n</f>
        <v/>
      </c>
      <c r="U3624">
        <f>N3624-G3624*LTP3!$D$4/k_n</f>
        <v/>
      </c>
      <c r="V3624">
        <f>O3624-H3624*LTP3!$D$4/k_n</f>
        <v/>
      </c>
      <c r="W3624">
        <f>((LTP3!$D$5)*((P3624)*(Q3624)-(R3624)*(R3624))-(S3624)*((S3624)*(Q3624)-(R3624)*(T3624))+(T3624)*((S3624)*(R3624)-(P3624)*(T3624)))</f>
        <v/>
      </c>
      <c r="X3624">
        <f>IF(ABS(W3624)&gt;1E-12,((LTP3!$D$6)*((P3624)*(Q3624)-(R3624)*(R3624))-(S3624)*((U3624)*(Q3624)-(R3624)*(V3624))+(T3624)*((U3624)*(R3624)-(P3624)*(V3624)))/W3624,0)</f>
        <v/>
      </c>
      <c r="Y3624">
        <f>IF(ABS(W3624)&gt;1E-12,((LTP3!$D$5)*((U3624)*(Q3624)-(R3624)*(V3624))-(LTP3!$D$6)*((S3624)*(Q3624)-(R3624)*(T3624))+(T3624)*((S3624)*(V3624)-(U3624)*(T3624)))/W3624,0)</f>
        <v/>
      </c>
      <c r="Z3624">
        <f>IF(ABS(W3624)&gt;1E-12,((LTP3!$D$5)*((P3624)*(V3624)-(U3624)*(R3624))-(S3624)*((S3624)*(V3624)-(U3624)*(T3624))+(LTP3!$D$6)*((S3624)*(R3624)-(P3624)*(T3624)))/W3624,0)</f>
        <v/>
      </c>
      <c r="AA3624">
        <f>LTP3!$D$7-X3624*LTP3!$D$6-Y3624*U3624-Z3624*V3624</f>
        <v/>
      </c>
      <c r="AB3624">
        <f>IF(AND(F3624,ABS(W3624)&gt;1E-12,Y3624&gt;0,Z3624&gt;0),AA3624,1E+300)</f>
        <v/>
      </c>
    </row>
    <row r="3625">
      <c r="A3625">
        <f>$B$3+$B$5*59</f>
        <v/>
      </c>
      <c r="B3625">
        <f>$B$3+$B$5*14</f>
        <v/>
      </c>
      <c r="C3625">
        <f>SUMPRODUCT(Calc!$K$3:$K$22*(Calc!$G$3:$G$22&lt;=A3625))</f>
        <v/>
      </c>
      <c r="D3625">
        <f>SUMPRODUCT(Calc!$K$3:$K$22*(Calc!$G$3:$G$22&gt;A3625)*(Calc!$G$3:$G$22&lt;B3625))</f>
        <v/>
      </c>
      <c r="E3625">
        <f>SUMPRODUCT(Calc!$K$3:$K$22*(Calc!$G$3:$G$22&gt;=B3625))</f>
        <v/>
      </c>
      <c r="F3625">
        <f>AND(k_n&gt;=5,B3625&gt;A3625+1E-9,C3625&gt;=2,D3625&gt;=1,E3625&gt;=2)</f>
        <v/>
      </c>
      <c r="G3625">
        <f>SUMPRODUCT(Calc!$K$3:$K$22*(Calc!$G$3:$G$22&gt;A3625)*(Calc!$G$3:$G$22-A3625))</f>
        <v/>
      </c>
      <c r="H3625">
        <f>SUMPRODUCT(Calc!$K$3:$K$22*(Calc!$G$3:$G$22&gt;B3625)*(Calc!$G$3:$G$22-B3625))</f>
        <v/>
      </c>
      <c r="I3625">
        <f>SUMPRODUCT(Calc!$K$3:$K$22*(Calc!$G$3:$G$22&gt;A3625)*(Calc!$G$3:$G$22-A3625)^2)</f>
        <v/>
      </c>
      <c r="J3625">
        <f>SUMPRODUCT(Calc!$K$3:$K$22*(Calc!$G$3:$G$22&gt;B3625)*(Calc!$G$3:$G$22-B3625)^2)</f>
        <v/>
      </c>
      <c r="K3625">
        <f>SUMPRODUCT(Calc!$K$3:$K$22*(Calc!$G$3:$G$22&gt;A3625)*(Calc!$G$3:$G$22-A3625)*(Calc!$G$3:$G$22&gt;B3625)*(Calc!$G$3:$G$22-B3625))</f>
        <v/>
      </c>
      <c r="L3625">
        <f>SUMPRODUCT(Calc!$K$3:$K$22*(Calc!$G$3:$G$22&gt;A3625)*(Calc!$G$3:$G$22-A3625)*Calc!$G$3:$G$22)</f>
        <v/>
      </c>
      <c r="M3625">
        <f>SUMPRODUCT(Calc!$K$3:$K$22*(Calc!$G$3:$G$22&gt;B3625)*(Calc!$G$3:$G$22-B3625)*Calc!$G$3:$G$22)</f>
        <v/>
      </c>
      <c r="N3625">
        <f>SUMPRODUCT(Calc!$K$3:$K$22*(Calc!$G$3:$G$22&gt;A3625)*(Calc!$G$3:$G$22-A3625)*Calc!$I$3:$I$22)</f>
        <v/>
      </c>
      <c r="O3625">
        <f>SUMPRODUCT(Calc!$K$3:$K$22*(Calc!$G$3:$G$22&gt;B3625)*(Calc!$G$3:$G$22-B3625)*Calc!$I$3:$I$22)</f>
        <v/>
      </c>
      <c r="P3625">
        <f>I3625-G3625^2/k_n</f>
        <v/>
      </c>
      <c r="Q3625">
        <f>J3625-H3625^2/k_n</f>
        <v/>
      </c>
      <c r="R3625">
        <f>K3625-G3625*H3625/k_n</f>
        <v/>
      </c>
      <c r="S3625">
        <f>L3625-LTP3!$D$3*G3625/k_n</f>
        <v/>
      </c>
      <c r="T3625">
        <f>M3625-LTP3!$D$3*H3625/k_n</f>
        <v/>
      </c>
      <c r="U3625">
        <f>N3625-G3625*LTP3!$D$4/k_n</f>
        <v/>
      </c>
      <c r="V3625">
        <f>O3625-H3625*LTP3!$D$4/k_n</f>
        <v/>
      </c>
      <c r="W3625">
        <f>((LTP3!$D$5)*((P3625)*(Q3625)-(R3625)*(R3625))-(S3625)*((S3625)*(Q3625)-(R3625)*(T3625))+(T3625)*((S3625)*(R3625)-(P3625)*(T3625)))</f>
        <v/>
      </c>
      <c r="X3625">
        <f>IF(ABS(W3625)&gt;1E-12,((LTP3!$D$6)*((P3625)*(Q3625)-(R3625)*(R3625))-(S3625)*((U3625)*(Q3625)-(R3625)*(V3625))+(T3625)*((U3625)*(R3625)-(P3625)*(V3625)))/W3625,0)</f>
        <v/>
      </c>
      <c r="Y3625">
        <f>IF(ABS(W3625)&gt;1E-12,((LTP3!$D$5)*((U3625)*(Q3625)-(R3625)*(V3625))-(LTP3!$D$6)*((S3625)*(Q3625)-(R3625)*(T3625))+(T3625)*((S3625)*(V3625)-(U3625)*(T3625)))/W3625,0)</f>
        <v/>
      </c>
      <c r="Z3625">
        <f>IF(ABS(W3625)&gt;1E-12,((LTP3!$D$5)*((P3625)*(V3625)-(U3625)*(R3625))-(S3625)*((S3625)*(V3625)-(U3625)*(T3625))+(LTP3!$D$6)*((S3625)*(R3625)-(P3625)*(T3625)))/W3625,0)</f>
        <v/>
      </c>
      <c r="AA3625">
        <f>LTP3!$D$7-X3625*LTP3!$D$6-Y3625*U3625-Z3625*V3625</f>
        <v/>
      </c>
      <c r="AB3625">
        <f>IF(AND(F3625,ABS(W3625)&gt;1E-12,Y3625&gt;0,Z3625&gt;0),AA3625,1E+300)</f>
        <v/>
      </c>
    </row>
    <row r="3626">
      <c r="A3626">
        <f>$B$3+$B$5*59</f>
        <v/>
      </c>
      <c r="B3626">
        <f>$B$3+$B$5*15</f>
        <v/>
      </c>
      <c r="C3626">
        <f>SUMPRODUCT(Calc!$K$3:$K$22*(Calc!$G$3:$G$22&lt;=A3626))</f>
        <v/>
      </c>
      <c r="D3626">
        <f>SUMPRODUCT(Calc!$K$3:$K$22*(Calc!$G$3:$G$22&gt;A3626)*(Calc!$G$3:$G$22&lt;B3626))</f>
        <v/>
      </c>
      <c r="E3626">
        <f>SUMPRODUCT(Calc!$K$3:$K$22*(Calc!$G$3:$G$22&gt;=B3626))</f>
        <v/>
      </c>
      <c r="F3626">
        <f>AND(k_n&gt;=5,B3626&gt;A3626+1E-9,C3626&gt;=2,D3626&gt;=1,E3626&gt;=2)</f>
        <v/>
      </c>
      <c r="G3626">
        <f>SUMPRODUCT(Calc!$K$3:$K$22*(Calc!$G$3:$G$22&gt;A3626)*(Calc!$G$3:$G$22-A3626))</f>
        <v/>
      </c>
      <c r="H3626">
        <f>SUMPRODUCT(Calc!$K$3:$K$22*(Calc!$G$3:$G$22&gt;B3626)*(Calc!$G$3:$G$22-B3626))</f>
        <v/>
      </c>
      <c r="I3626">
        <f>SUMPRODUCT(Calc!$K$3:$K$22*(Calc!$G$3:$G$22&gt;A3626)*(Calc!$G$3:$G$22-A3626)^2)</f>
        <v/>
      </c>
      <c r="J3626">
        <f>SUMPRODUCT(Calc!$K$3:$K$22*(Calc!$G$3:$G$22&gt;B3626)*(Calc!$G$3:$G$22-B3626)^2)</f>
        <v/>
      </c>
      <c r="K3626">
        <f>SUMPRODUCT(Calc!$K$3:$K$22*(Calc!$G$3:$G$22&gt;A3626)*(Calc!$G$3:$G$22-A3626)*(Calc!$G$3:$G$22&gt;B3626)*(Calc!$G$3:$G$22-B3626))</f>
        <v/>
      </c>
      <c r="L3626">
        <f>SUMPRODUCT(Calc!$K$3:$K$22*(Calc!$G$3:$G$22&gt;A3626)*(Calc!$G$3:$G$22-A3626)*Calc!$G$3:$G$22)</f>
        <v/>
      </c>
      <c r="M3626">
        <f>SUMPRODUCT(Calc!$K$3:$K$22*(Calc!$G$3:$G$22&gt;B3626)*(Calc!$G$3:$G$22-B3626)*Calc!$G$3:$G$22)</f>
        <v/>
      </c>
      <c r="N3626">
        <f>SUMPRODUCT(Calc!$K$3:$K$22*(Calc!$G$3:$G$22&gt;A3626)*(Calc!$G$3:$G$22-A3626)*Calc!$I$3:$I$22)</f>
        <v/>
      </c>
      <c r="O3626">
        <f>SUMPRODUCT(Calc!$K$3:$K$22*(Calc!$G$3:$G$22&gt;B3626)*(Calc!$G$3:$G$22-B3626)*Calc!$I$3:$I$22)</f>
        <v/>
      </c>
      <c r="P3626">
        <f>I3626-G3626^2/k_n</f>
        <v/>
      </c>
      <c r="Q3626">
        <f>J3626-H3626^2/k_n</f>
        <v/>
      </c>
      <c r="R3626">
        <f>K3626-G3626*H3626/k_n</f>
        <v/>
      </c>
      <c r="S3626">
        <f>L3626-LTP3!$D$3*G3626/k_n</f>
        <v/>
      </c>
      <c r="T3626">
        <f>M3626-LTP3!$D$3*H3626/k_n</f>
        <v/>
      </c>
      <c r="U3626">
        <f>N3626-G3626*LTP3!$D$4/k_n</f>
        <v/>
      </c>
      <c r="V3626">
        <f>O3626-H3626*LTP3!$D$4/k_n</f>
        <v/>
      </c>
      <c r="W3626">
        <f>((LTP3!$D$5)*((P3626)*(Q3626)-(R3626)*(R3626))-(S3626)*((S3626)*(Q3626)-(R3626)*(T3626))+(T3626)*((S3626)*(R3626)-(P3626)*(T3626)))</f>
        <v/>
      </c>
      <c r="X3626">
        <f>IF(ABS(W3626)&gt;1E-12,((LTP3!$D$6)*((P3626)*(Q3626)-(R3626)*(R3626))-(S3626)*((U3626)*(Q3626)-(R3626)*(V3626))+(T3626)*((U3626)*(R3626)-(P3626)*(V3626)))/W3626,0)</f>
        <v/>
      </c>
      <c r="Y3626">
        <f>IF(ABS(W3626)&gt;1E-12,((LTP3!$D$5)*((U3626)*(Q3626)-(R3626)*(V3626))-(LTP3!$D$6)*((S3626)*(Q3626)-(R3626)*(T3626))+(T3626)*((S3626)*(V3626)-(U3626)*(T3626)))/W3626,0)</f>
        <v/>
      </c>
      <c r="Z3626">
        <f>IF(ABS(W3626)&gt;1E-12,((LTP3!$D$5)*((P3626)*(V3626)-(U3626)*(R3626))-(S3626)*((S3626)*(V3626)-(U3626)*(T3626))+(LTP3!$D$6)*((S3626)*(R3626)-(P3626)*(T3626)))/W3626,0)</f>
        <v/>
      </c>
      <c r="AA3626">
        <f>LTP3!$D$7-X3626*LTP3!$D$6-Y3626*U3626-Z3626*V3626</f>
        <v/>
      </c>
      <c r="AB3626">
        <f>IF(AND(F3626,ABS(W3626)&gt;1E-12,Y3626&gt;0,Z3626&gt;0),AA3626,1E+300)</f>
        <v/>
      </c>
    </row>
    <row r="3627">
      <c r="A3627">
        <f>$B$3+$B$5*59</f>
        <v/>
      </c>
      <c r="B3627">
        <f>$B$3+$B$5*16</f>
        <v/>
      </c>
      <c r="C3627">
        <f>SUMPRODUCT(Calc!$K$3:$K$22*(Calc!$G$3:$G$22&lt;=A3627))</f>
        <v/>
      </c>
      <c r="D3627">
        <f>SUMPRODUCT(Calc!$K$3:$K$22*(Calc!$G$3:$G$22&gt;A3627)*(Calc!$G$3:$G$22&lt;B3627))</f>
        <v/>
      </c>
      <c r="E3627">
        <f>SUMPRODUCT(Calc!$K$3:$K$22*(Calc!$G$3:$G$22&gt;=B3627))</f>
        <v/>
      </c>
      <c r="F3627">
        <f>AND(k_n&gt;=5,B3627&gt;A3627+1E-9,C3627&gt;=2,D3627&gt;=1,E3627&gt;=2)</f>
        <v/>
      </c>
      <c r="G3627">
        <f>SUMPRODUCT(Calc!$K$3:$K$22*(Calc!$G$3:$G$22&gt;A3627)*(Calc!$G$3:$G$22-A3627))</f>
        <v/>
      </c>
      <c r="H3627">
        <f>SUMPRODUCT(Calc!$K$3:$K$22*(Calc!$G$3:$G$22&gt;B3627)*(Calc!$G$3:$G$22-B3627))</f>
        <v/>
      </c>
      <c r="I3627">
        <f>SUMPRODUCT(Calc!$K$3:$K$22*(Calc!$G$3:$G$22&gt;A3627)*(Calc!$G$3:$G$22-A3627)^2)</f>
        <v/>
      </c>
      <c r="J3627">
        <f>SUMPRODUCT(Calc!$K$3:$K$22*(Calc!$G$3:$G$22&gt;B3627)*(Calc!$G$3:$G$22-B3627)^2)</f>
        <v/>
      </c>
      <c r="K3627">
        <f>SUMPRODUCT(Calc!$K$3:$K$22*(Calc!$G$3:$G$22&gt;A3627)*(Calc!$G$3:$G$22-A3627)*(Calc!$G$3:$G$22&gt;B3627)*(Calc!$G$3:$G$22-B3627))</f>
        <v/>
      </c>
      <c r="L3627">
        <f>SUMPRODUCT(Calc!$K$3:$K$22*(Calc!$G$3:$G$22&gt;A3627)*(Calc!$G$3:$G$22-A3627)*Calc!$G$3:$G$22)</f>
        <v/>
      </c>
      <c r="M3627">
        <f>SUMPRODUCT(Calc!$K$3:$K$22*(Calc!$G$3:$G$22&gt;B3627)*(Calc!$G$3:$G$22-B3627)*Calc!$G$3:$G$22)</f>
        <v/>
      </c>
      <c r="N3627">
        <f>SUMPRODUCT(Calc!$K$3:$K$22*(Calc!$G$3:$G$22&gt;A3627)*(Calc!$G$3:$G$22-A3627)*Calc!$I$3:$I$22)</f>
        <v/>
      </c>
      <c r="O3627">
        <f>SUMPRODUCT(Calc!$K$3:$K$22*(Calc!$G$3:$G$22&gt;B3627)*(Calc!$G$3:$G$22-B3627)*Calc!$I$3:$I$22)</f>
        <v/>
      </c>
      <c r="P3627">
        <f>I3627-G3627^2/k_n</f>
        <v/>
      </c>
      <c r="Q3627">
        <f>J3627-H3627^2/k_n</f>
        <v/>
      </c>
      <c r="R3627">
        <f>K3627-G3627*H3627/k_n</f>
        <v/>
      </c>
      <c r="S3627">
        <f>L3627-LTP3!$D$3*G3627/k_n</f>
        <v/>
      </c>
      <c r="T3627">
        <f>M3627-LTP3!$D$3*H3627/k_n</f>
        <v/>
      </c>
      <c r="U3627">
        <f>N3627-G3627*LTP3!$D$4/k_n</f>
        <v/>
      </c>
      <c r="V3627">
        <f>O3627-H3627*LTP3!$D$4/k_n</f>
        <v/>
      </c>
      <c r="W3627">
        <f>((LTP3!$D$5)*((P3627)*(Q3627)-(R3627)*(R3627))-(S3627)*((S3627)*(Q3627)-(R3627)*(T3627))+(T3627)*((S3627)*(R3627)-(P3627)*(T3627)))</f>
        <v/>
      </c>
      <c r="X3627">
        <f>IF(ABS(W3627)&gt;1E-12,((LTP3!$D$6)*((P3627)*(Q3627)-(R3627)*(R3627))-(S3627)*((U3627)*(Q3627)-(R3627)*(V3627))+(T3627)*((U3627)*(R3627)-(P3627)*(V3627)))/W3627,0)</f>
        <v/>
      </c>
      <c r="Y3627">
        <f>IF(ABS(W3627)&gt;1E-12,((LTP3!$D$5)*((U3627)*(Q3627)-(R3627)*(V3627))-(LTP3!$D$6)*((S3627)*(Q3627)-(R3627)*(T3627))+(T3627)*((S3627)*(V3627)-(U3627)*(T3627)))/W3627,0)</f>
        <v/>
      </c>
      <c r="Z3627">
        <f>IF(ABS(W3627)&gt;1E-12,((LTP3!$D$5)*((P3627)*(V3627)-(U3627)*(R3627))-(S3627)*((S3627)*(V3627)-(U3627)*(T3627))+(LTP3!$D$6)*((S3627)*(R3627)-(P3627)*(T3627)))/W3627,0)</f>
        <v/>
      </c>
      <c r="AA3627">
        <f>LTP3!$D$7-X3627*LTP3!$D$6-Y3627*U3627-Z3627*V3627</f>
        <v/>
      </c>
      <c r="AB3627">
        <f>IF(AND(F3627,ABS(W3627)&gt;1E-12,Y3627&gt;0,Z3627&gt;0),AA3627,1E+300)</f>
        <v/>
      </c>
    </row>
    <row r="3628">
      <c r="A3628">
        <f>$B$3+$B$5*59</f>
        <v/>
      </c>
      <c r="B3628">
        <f>$B$3+$B$5*17</f>
        <v/>
      </c>
      <c r="C3628">
        <f>SUMPRODUCT(Calc!$K$3:$K$22*(Calc!$G$3:$G$22&lt;=A3628))</f>
        <v/>
      </c>
      <c r="D3628">
        <f>SUMPRODUCT(Calc!$K$3:$K$22*(Calc!$G$3:$G$22&gt;A3628)*(Calc!$G$3:$G$22&lt;B3628))</f>
        <v/>
      </c>
      <c r="E3628">
        <f>SUMPRODUCT(Calc!$K$3:$K$22*(Calc!$G$3:$G$22&gt;=B3628))</f>
        <v/>
      </c>
      <c r="F3628">
        <f>AND(k_n&gt;=5,B3628&gt;A3628+1E-9,C3628&gt;=2,D3628&gt;=1,E3628&gt;=2)</f>
        <v/>
      </c>
      <c r="G3628">
        <f>SUMPRODUCT(Calc!$K$3:$K$22*(Calc!$G$3:$G$22&gt;A3628)*(Calc!$G$3:$G$22-A3628))</f>
        <v/>
      </c>
      <c r="H3628">
        <f>SUMPRODUCT(Calc!$K$3:$K$22*(Calc!$G$3:$G$22&gt;B3628)*(Calc!$G$3:$G$22-B3628))</f>
        <v/>
      </c>
      <c r="I3628">
        <f>SUMPRODUCT(Calc!$K$3:$K$22*(Calc!$G$3:$G$22&gt;A3628)*(Calc!$G$3:$G$22-A3628)^2)</f>
        <v/>
      </c>
      <c r="J3628">
        <f>SUMPRODUCT(Calc!$K$3:$K$22*(Calc!$G$3:$G$22&gt;B3628)*(Calc!$G$3:$G$22-B3628)^2)</f>
        <v/>
      </c>
      <c r="K3628">
        <f>SUMPRODUCT(Calc!$K$3:$K$22*(Calc!$G$3:$G$22&gt;A3628)*(Calc!$G$3:$G$22-A3628)*(Calc!$G$3:$G$22&gt;B3628)*(Calc!$G$3:$G$22-B3628))</f>
        <v/>
      </c>
      <c r="L3628">
        <f>SUMPRODUCT(Calc!$K$3:$K$22*(Calc!$G$3:$G$22&gt;A3628)*(Calc!$G$3:$G$22-A3628)*Calc!$G$3:$G$22)</f>
        <v/>
      </c>
      <c r="M3628">
        <f>SUMPRODUCT(Calc!$K$3:$K$22*(Calc!$G$3:$G$22&gt;B3628)*(Calc!$G$3:$G$22-B3628)*Calc!$G$3:$G$22)</f>
        <v/>
      </c>
      <c r="N3628">
        <f>SUMPRODUCT(Calc!$K$3:$K$22*(Calc!$G$3:$G$22&gt;A3628)*(Calc!$G$3:$G$22-A3628)*Calc!$I$3:$I$22)</f>
        <v/>
      </c>
      <c r="O3628">
        <f>SUMPRODUCT(Calc!$K$3:$K$22*(Calc!$G$3:$G$22&gt;B3628)*(Calc!$G$3:$G$22-B3628)*Calc!$I$3:$I$22)</f>
        <v/>
      </c>
      <c r="P3628">
        <f>I3628-G3628^2/k_n</f>
        <v/>
      </c>
      <c r="Q3628">
        <f>J3628-H3628^2/k_n</f>
        <v/>
      </c>
      <c r="R3628">
        <f>K3628-G3628*H3628/k_n</f>
        <v/>
      </c>
      <c r="S3628">
        <f>L3628-LTP3!$D$3*G3628/k_n</f>
        <v/>
      </c>
      <c r="T3628">
        <f>M3628-LTP3!$D$3*H3628/k_n</f>
        <v/>
      </c>
      <c r="U3628">
        <f>N3628-G3628*LTP3!$D$4/k_n</f>
        <v/>
      </c>
      <c r="V3628">
        <f>O3628-H3628*LTP3!$D$4/k_n</f>
        <v/>
      </c>
      <c r="W3628">
        <f>((LTP3!$D$5)*((P3628)*(Q3628)-(R3628)*(R3628))-(S3628)*((S3628)*(Q3628)-(R3628)*(T3628))+(T3628)*((S3628)*(R3628)-(P3628)*(T3628)))</f>
        <v/>
      </c>
      <c r="X3628">
        <f>IF(ABS(W3628)&gt;1E-12,((LTP3!$D$6)*((P3628)*(Q3628)-(R3628)*(R3628))-(S3628)*((U3628)*(Q3628)-(R3628)*(V3628))+(T3628)*((U3628)*(R3628)-(P3628)*(V3628)))/W3628,0)</f>
        <v/>
      </c>
      <c r="Y3628">
        <f>IF(ABS(W3628)&gt;1E-12,((LTP3!$D$5)*((U3628)*(Q3628)-(R3628)*(V3628))-(LTP3!$D$6)*((S3628)*(Q3628)-(R3628)*(T3628))+(T3628)*((S3628)*(V3628)-(U3628)*(T3628)))/W3628,0)</f>
        <v/>
      </c>
      <c r="Z3628">
        <f>IF(ABS(W3628)&gt;1E-12,((LTP3!$D$5)*((P3628)*(V3628)-(U3628)*(R3628))-(S3628)*((S3628)*(V3628)-(U3628)*(T3628))+(LTP3!$D$6)*((S3628)*(R3628)-(P3628)*(T3628)))/W3628,0)</f>
        <v/>
      </c>
      <c r="AA3628">
        <f>LTP3!$D$7-X3628*LTP3!$D$6-Y3628*U3628-Z3628*V3628</f>
        <v/>
      </c>
      <c r="AB3628">
        <f>IF(AND(F3628,ABS(W3628)&gt;1E-12,Y3628&gt;0,Z3628&gt;0),AA3628,1E+300)</f>
        <v/>
      </c>
    </row>
    <row r="3629">
      <c r="A3629">
        <f>$B$3+$B$5*59</f>
        <v/>
      </c>
      <c r="B3629">
        <f>$B$3+$B$5*18</f>
        <v/>
      </c>
      <c r="C3629">
        <f>SUMPRODUCT(Calc!$K$3:$K$22*(Calc!$G$3:$G$22&lt;=A3629))</f>
        <v/>
      </c>
      <c r="D3629">
        <f>SUMPRODUCT(Calc!$K$3:$K$22*(Calc!$G$3:$G$22&gt;A3629)*(Calc!$G$3:$G$22&lt;B3629))</f>
        <v/>
      </c>
      <c r="E3629">
        <f>SUMPRODUCT(Calc!$K$3:$K$22*(Calc!$G$3:$G$22&gt;=B3629))</f>
        <v/>
      </c>
      <c r="F3629">
        <f>AND(k_n&gt;=5,B3629&gt;A3629+1E-9,C3629&gt;=2,D3629&gt;=1,E3629&gt;=2)</f>
        <v/>
      </c>
      <c r="G3629">
        <f>SUMPRODUCT(Calc!$K$3:$K$22*(Calc!$G$3:$G$22&gt;A3629)*(Calc!$G$3:$G$22-A3629))</f>
        <v/>
      </c>
      <c r="H3629">
        <f>SUMPRODUCT(Calc!$K$3:$K$22*(Calc!$G$3:$G$22&gt;B3629)*(Calc!$G$3:$G$22-B3629))</f>
        <v/>
      </c>
      <c r="I3629">
        <f>SUMPRODUCT(Calc!$K$3:$K$22*(Calc!$G$3:$G$22&gt;A3629)*(Calc!$G$3:$G$22-A3629)^2)</f>
        <v/>
      </c>
      <c r="J3629">
        <f>SUMPRODUCT(Calc!$K$3:$K$22*(Calc!$G$3:$G$22&gt;B3629)*(Calc!$G$3:$G$22-B3629)^2)</f>
        <v/>
      </c>
      <c r="K3629">
        <f>SUMPRODUCT(Calc!$K$3:$K$22*(Calc!$G$3:$G$22&gt;A3629)*(Calc!$G$3:$G$22-A3629)*(Calc!$G$3:$G$22&gt;B3629)*(Calc!$G$3:$G$22-B3629))</f>
        <v/>
      </c>
      <c r="L3629">
        <f>SUMPRODUCT(Calc!$K$3:$K$22*(Calc!$G$3:$G$22&gt;A3629)*(Calc!$G$3:$G$22-A3629)*Calc!$G$3:$G$22)</f>
        <v/>
      </c>
      <c r="M3629">
        <f>SUMPRODUCT(Calc!$K$3:$K$22*(Calc!$G$3:$G$22&gt;B3629)*(Calc!$G$3:$G$22-B3629)*Calc!$G$3:$G$22)</f>
        <v/>
      </c>
      <c r="N3629">
        <f>SUMPRODUCT(Calc!$K$3:$K$22*(Calc!$G$3:$G$22&gt;A3629)*(Calc!$G$3:$G$22-A3629)*Calc!$I$3:$I$22)</f>
        <v/>
      </c>
      <c r="O3629">
        <f>SUMPRODUCT(Calc!$K$3:$K$22*(Calc!$G$3:$G$22&gt;B3629)*(Calc!$G$3:$G$22-B3629)*Calc!$I$3:$I$22)</f>
        <v/>
      </c>
      <c r="P3629">
        <f>I3629-G3629^2/k_n</f>
        <v/>
      </c>
      <c r="Q3629">
        <f>J3629-H3629^2/k_n</f>
        <v/>
      </c>
      <c r="R3629">
        <f>K3629-G3629*H3629/k_n</f>
        <v/>
      </c>
      <c r="S3629">
        <f>L3629-LTP3!$D$3*G3629/k_n</f>
        <v/>
      </c>
      <c r="T3629">
        <f>M3629-LTP3!$D$3*H3629/k_n</f>
        <v/>
      </c>
      <c r="U3629">
        <f>N3629-G3629*LTP3!$D$4/k_n</f>
        <v/>
      </c>
      <c r="V3629">
        <f>O3629-H3629*LTP3!$D$4/k_n</f>
        <v/>
      </c>
      <c r="W3629">
        <f>((LTP3!$D$5)*((P3629)*(Q3629)-(R3629)*(R3629))-(S3629)*((S3629)*(Q3629)-(R3629)*(T3629))+(T3629)*((S3629)*(R3629)-(P3629)*(T3629)))</f>
        <v/>
      </c>
      <c r="X3629">
        <f>IF(ABS(W3629)&gt;1E-12,((LTP3!$D$6)*((P3629)*(Q3629)-(R3629)*(R3629))-(S3629)*((U3629)*(Q3629)-(R3629)*(V3629))+(T3629)*((U3629)*(R3629)-(P3629)*(V3629)))/W3629,0)</f>
        <v/>
      </c>
      <c r="Y3629">
        <f>IF(ABS(W3629)&gt;1E-12,((LTP3!$D$5)*((U3629)*(Q3629)-(R3629)*(V3629))-(LTP3!$D$6)*((S3629)*(Q3629)-(R3629)*(T3629))+(T3629)*((S3629)*(V3629)-(U3629)*(T3629)))/W3629,0)</f>
        <v/>
      </c>
      <c r="Z3629">
        <f>IF(ABS(W3629)&gt;1E-12,((LTP3!$D$5)*((P3629)*(V3629)-(U3629)*(R3629))-(S3629)*((S3629)*(V3629)-(U3629)*(T3629))+(LTP3!$D$6)*((S3629)*(R3629)-(P3629)*(T3629)))/W3629,0)</f>
        <v/>
      </c>
      <c r="AA3629">
        <f>LTP3!$D$7-X3629*LTP3!$D$6-Y3629*U3629-Z3629*V3629</f>
        <v/>
      </c>
      <c r="AB3629">
        <f>IF(AND(F3629,ABS(W3629)&gt;1E-12,Y3629&gt;0,Z3629&gt;0),AA3629,1E+300)</f>
        <v/>
      </c>
    </row>
    <row r="3630">
      <c r="A3630">
        <f>$B$3+$B$5*59</f>
        <v/>
      </c>
      <c r="B3630">
        <f>$B$3+$B$5*19</f>
        <v/>
      </c>
      <c r="C3630">
        <f>SUMPRODUCT(Calc!$K$3:$K$22*(Calc!$G$3:$G$22&lt;=A3630))</f>
        <v/>
      </c>
      <c r="D3630">
        <f>SUMPRODUCT(Calc!$K$3:$K$22*(Calc!$G$3:$G$22&gt;A3630)*(Calc!$G$3:$G$22&lt;B3630))</f>
        <v/>
      </c>
      <c r="E3630">
        <f>SUMPRODUCT(Calc!$K$3:$K$22*(Calc!$G$3:$G$22&gt;=B3630))</f>
        <v/>
      </c>
      <c r="F3630">
        <f>AND(k_n&gt;=5,B3630&gt;A3630+1E-9,C3630&gt;=2,D3630&gt;=1,E3630&gt;=2)</f>
        <v/>
      </c>
      <c r="G3630">
        <f>SUMPRODUCT(Calc!$K$3:$K$22*(Calc!$G$3:$G$22&gt;A3630)*(Calc!$G$3:$G$22-A3630))</f>
        <v/>
      </c>
      <c r="H3630">
        <f>SUMPRODUCT(Calc!$K$3:$K$22*(Calc!$G$3:$G$22&gt;B3630)*(Calc!$G$3:$G$22-B3630))</f>
        <v/>
      </c>
      <c r="I3630">
        <f>SUMPRODUCT(Calc!$K$3:$K$22*(Calc!$G$3:$G$22&gt;A3630)*(Calc!$G$3:$G$22-A3630)^2)</f>
        <v/>
      </c>
      <c r="J3630">
        <f>SUMPRODUCT(Calc!$K$3:$K$22*(Calc!$G$3:$G$22&gt;B3630)*(Calc!$G$3:$G$22-B3630)^2)</f>
        <v/>
      </c>
      <c r="K3630">
        <f>SUMPRODUCT(Calc!$K$3:$K$22*(Calc!$G$3:$G$22&gt;A3630)*(Calc!$G$3:$G$22-A3630)*(Calc!$G$3:$G$22&gt;B3630)*(Calc!$G$3:$G$22-B3630))</f>
        <v/>
      </c>
      <c r="L3630">
        <f>SUMPRODUCT(Calc!$K$3:$K$22*(Calc!$G$3:$G$22&gt;A3630)*(Calc!$G$3:$G$22-A3630)*Calc!$G$3:$G$22)</f>
        <v/>
      </c>
      <c r="M3630">
        <f>SUMPRODUCT(Calc!$K$3:$K$22*(Calc!$G$3:$G$22&gt;B3630)*(Calc!$G$3:$G$22-B3630)*Calc!$G$3:$G$22)</f>
        <v/>
      </c>
      <c r="N3630">
        <f>SUMPRODUCT(Calc!$K$3:$K$22*(Calc!$G$3:$G$22&gt;A3630)*(Calc!$G$3:$G$22-A3630)*Calc!$I$3:$I$22)</f>
        <v/>
      </c>
      <c r="O3630">
        <f>SUMPRODUCT(Calc!$K$3:$K$22*(Calc!$G$3:$G$22&gt;B3630)*(Calc!$G$3:$G$22-B3630)*Calc!$I$3:$I$22)</f>
        <v/>
      </c>
      <c r="P3630">
        <f>I3630-G3630^2/k_n</f>
        <v/>
      </c>
      <c r="Q3630">
        <f>J3630-H3630^2/k_n</f>
        <v/>
      </c>
      <c r="R3630">
        <f>K3630-G3630*H3630/k_n</f>
        <v/>
      </c>
      <c r="S3630">
        <f>L3630-LTP3!$D$3*G3630/k_n</f>
        <v/>
      </c>
      <c r="T3630">
        <f>M3630-LTP3!$D$3*H3630/k_n</f>
        <v/>
      </c>
      <c r="U3630">
        <f>N3630-G3630*LTP3!$D$4/k_n</f>
        <v/>
      </c>
      <c r="V3630">
        <f>O3630-H3630*LTP3!$D$4/k_n</f>
        <v/>
      </c>
      <c r="W3630">
        <f>((LTP3!$D$5)*((P3630)*(Q3630)-(R3630)*(R3630))-(S3630)*((S3630)*(Q3630)-(R3630)*(T3630))+(T3630)*((S3630)*(R3630)-(P3630)*(T3630)))</f>
        <v/>
      </c>
      <c r="X3630">
        <f>IF(ABS(W3630)&gt;1E-12,((LTP3!$D$6)*((P3630)*(Q3630)-(R3630)*(R3630))-(S3630)*((U3630)*(Q3630)-(R3630)*(V3630))+(T3630)*((U3630)*(R3630)-(P3630)*(V3630)))/W3630,0)</f>
        <v/>
      </c>
      <c r="Y3630">
        <f>IF(ABS(W3630)&gt;1E-12,((LTP3!$D$5)*((U3630)*(Q3630)-(R3630)*(V3630))-(LTP3!$D$6)*((S3630)*(Q3630)-(R3630)*(T3630))+(T3630)*((S3630)*(V3630)-(U3630)*(T3630)))/W3630,0)</f>
        <v/>
      </c>
      <c r="Z3630">
        <f>IF(ABS(W3630)&gt;1E-12,((LTP3!$D$5)*((P3630)*(V3630)-(U3630)*(R3630))-(S3630)*((S3630)*(V3630)-(U3630)*(T3630))+(LTP3!$D$6)*((S3630)*(R3630)-(P3630)*(T3630)))/W3630,0)</f>
        <v/>
      </c>
      <c r="AA3630">
        <f>LTP3!$D$7-X3630*LTP3!$D$6-Y3630*U3630-Z3630*V3630</f>
        <v/>
      </c>
      <c r="AB3630">
        <f>IF(AND(F3630,ABS(W3630)&gt;1E-12,Y3630&gt;0,Z3630&gt;0),AA3630,1E+300)</f>
        <v/>
      </c>
    </row>
    <row r="3631">
      <c r="A3631">
        <f>$B$3+$B$5*59</f>
        <v/>
      </c>
      <c r="B3631">
        <f>$B$3+$B$5*20</f>
        <v/>
      </c>
      <c r="C3631">
        <f>SUMPRODUCT(Calc!$K$3:$K$22*(Calc!$G$3:$G$22&lt;=A3631))</f>
        <v/>
      </c>
      <c r="D3631">
        <f>SUMPRODUCT(Calc!$K$3:$K$22*(Calc!$G$3:$G$22&gt;A3631)*(Calc!$G$3:$G$22&lt;B3631))</f>
        <v/>
      </c>
      <c r="E3631">
        <f>SUMPRODUCT(Calc!$K$3:$K$22*(Calc!$G$3:$G$22&gt;=B3631))</f>
        <v/>
      </c>
      <c r="F3631">
        <f>AND(k_n&gt;=5,B3631&gt;A3631+1E-9,C3631&gt;=2,D3631&gt;=1,E3631&gt;=2)</f>
        <v/>
      </c>
      <c r="G3631">
        <f>SUMPRODUCT(Calc!$K$3:$K$22*(Calc!$G$3:$G$22&gt;A3631)*(Calc!$G$3:$G$22-A3631))</f>
        <v/>
      </c>
      <c r="H3631">
        <f>SUMPRODUCT(Calc!$K$3:$K$22*(Calc!$G$3:$G$22&gt;B3631)*(Calc!$G$3:$G$22-B3631))</f>
        <v/>
      </c>
      <c r="I3631">
        <f>SUMPRODUCT(Calc!$K$3:$K$22*(Calc!$G$3:$G$22&gt;A3631)*(Calc!$G$3:$G$22-A3631)^2)</f>
        <v/>
      </c>
      <c r="J3631">
        <f>SUMPRODUCT(Calc!$K$3:$K$22*(Calc!$G$3:$G$22&gt;B3631)*(Calc!$G$3:$G$22-B3631)^2)</f>
        <v/>
      </c>
      <c r="K3631">
        <f>SUMPRODUCT(Calc!$K$3:$K$22*(Calc!$G$3:$G$22&gt;A3631)*(Calc!$G$3:$G$22-A3631)*(Calc!$G$3:$G$22&gt;B3631)*(Calc!$G$3:$G$22-B3631))</f>
        <v/>
      </c>
      <c r="L3631">
        <f>SUMPRODUCT(Calc!$K$3:$K$22*(Calc!$G$3:$G$22&gt;A3631)*(Calc!$G$3:$G$22-A3631)*Calc!$G$3:$G$22)</f>
        <v/>
      </c>
      <c r="M3631">
        <f>SUMPRODUCT(Calc!$K$3:$K$22*(Calc!$G$3:$G$22&gt;B3631)*(Calc!$G$3:$G$22-B3631)*Calc!$G$3:$G$22)</f>
        <v/>
      </c>
      <c r="N3631">
        <f>SUMPRODUCT(Calc!$K$3:$K$22*(Calc!$G$3:$G$22&gt;A3631)*(Calc!$G$3:$G$22-A3631)*Calc!$I$3:$I$22)</f>
        <v/>
      </c>
      <c r="O3631">
        <f>SUMPRODUCT(Calc!$K$3:$K$22*(Calc!$G$3:$G$22&gt;B3631)*(Calc!$G$3:$G$22-B3631)*Calc!$I$3:$I$22)</f>
        <v/>
      </c>
      <c r="P3631">
        <f>I3631-G3631^2/k_n</f>
        <v/>
      </c>
      <c r="Q3631">
        <f>J3631-H3631^2/k_n</f>
        <v/>
      </c>
      <c r="R3631">
        <f>K3631-G3631*H3631/k_n</f>
        <v/>
      </c>
      <c r="S3631">
        <f>L3631-LTP3!$D$3*G3631/k_n</f>
        <v/>
      </c>
      <c r="T3631">
        <f>M3631-LTP3!$D$3*H3631/k_n</f>
        <v/>
      </c>
      <c r="U3631">
        <f>N3631-G3631*LTP3!$D$4/k_n</f>
        <v/>
      </c>
      <c r="V3631">
        <f>O3631-H3631*LTP3!$D$4/k_n</f>
        <v/>
      </c>
      <c r="W3631">
        <f>((LTP3!$D$5)*((P3631)*(Q3631)-(R3631)*(R3631))-(S3631)*((S3631)*(Q3631)-(R3631)*(T3631))+(T3631)*((S3631)*(R3631)-(P3631)*(T3631)))</f>
        <v/>
      </c>
      <c r="X3631">
        <f>IF(ABS(W3631)&gt;1E-12,((LTP3!$D$6)*((P3631)*(Q3631)-(R3631)*(R3631))-(S3631)*((U3631)*(Q3631)-(R3631)*(V3631))+(T3631)*((U3631)*(R3631)-(P3631)*(V3631)))/W3631,0)</f>
        <v/>
      </c>
      <c r="Y3631">
        <f>IF(ABS(W3631)&gt;1E-12,((LTP3!$D$5)*((U3631)*(Q3631)-(R3631)*(V3631))-(LTP3!$D$6)*((S3631)*(Q3631)-(R3631)*(T3631))+(T3631)*((S3631)*(V3631)-(U3631)*(T3631)))/W3631,0)</f>
        <v/>
      </c>
      <c r="Z3631">
        <f>IF(ABS(W3631)&gt;1E-12,((LTP3!$D$5)*((P3631)*(V3631)-(U3631)*(R3631))-(S3631)*((S3631)*(V3631)-(U3631)*(T3631))+(LTP3!$D$6)*((S3631)*(R3631)-(P3631)*(T3631)))/W3631,0)</f>
        <v/>
      </c>
      <c r="AA3631">
        <f>LTP3!$D$7-X3631*LTP3!$D$6-Y3631*U3631-Z3631*V3631</f>
        <v/>
      </c>
      <c r="AB3631">
        <f>IF(AND(F3631,ABS(W3631)&gt;1E-12,Y3631&gt;0,Z3631&gt;0),AA3631,1E+300)</f>
        <v/>
      </c>
    </row>
    <row r="3632">
      <c r="A3632">
        <f>$B$3+$B$5*59</f>
        <v/>
      </c>
      <c r="B3632">
        <f>$B$3+$B$5*21</f>
        <v/>
      </c>
      <c r="C3632">
        <f>SUMPRODUCT(Calc!$K$3:$K$22*(Calc!$G$3:$G$22&lt;=A3632))</f>
        <v/>
      </c>
      <c r="D3632">
        <f>SUMPRODUCT(Calc!$K$3:$K$22*(Calc!$G$3:$G$22&gt;A3632)*(Calc!$G$3:$G$22&lt;B3632))</f>
        <v/>
      </c>
      <c r="E3632">
        <f>SUMPRODUCT(Calc!$K$3:$K$22*(Calc!$G$3:$G$22&gt;=B3632))</f>
        <v/>
      </c>
      <c r="F3632">
        <f>AND(k_n&gt;=5,B3632&gt;A3632+1E-9,C3632&gt;=2,D3632&gt;=1,E3632&gt;=2)</f>
        <v/>
      </c>
      <c r="G3632">
        <f>SUMPRODUCT(Calc!$K$3:$K$22*(Calc!$G$3:$G$22&gt;A3632)*(Calc!$G$3:$G$22-A3632))</f>
        <v/>
      </c>
      <c r="H3632">
        <f>SUMPRODUCT(Calc!$K$3:$K$22*(Calc!$G$3:$G$22&gt;B3632)*(Calc!$G$3:$G$22-B3632))</f>
        <v/>
      </c>
      <c r="I3632">
        <f>SUMPRODUCT(Calc!$K$3:$K$22*(Calc!$G$3:$G$22&gt;A3632)*(Calc!$G$3:$G$22-A3632)^2)</f>
        <v/>
      </c>
      <c r="J3632">
        <f>SUMPRODUCT(Calc!$K$3:$K$22*(Calc!$G$3:$G$22&gt;B3632)*(Calc!$G$3:$G$22-B3632)^2)</f>
        <v/>
      </c>
      <c r="K3632">
        <f>SUMPRODUCT(Calc!$K$3:$K$22*(Calc!$G$3:$G$22&gt;A3632)*(Calc!$G$3:$G$22-A3632)*(Calc!$G$3:$G$22&gt;B3632)*(Calc!$G$3:$G$22-B3632))</f>
        <v/>
      </c>
      <c r="L3632">
        <f>SUMPRODUCT(Calc!$K$3:$K$22*(Calc!$G$3:$G$22&gt;A3632)*(Calc!$G$3:$G$22-A3632)*Calc!$G$3:$G$22)</f>
        <v/>
      </c>
      <c r="M3632">
        <f>SUMPRODUCT(Calc!$K$3:$K$22*(Calc!$G$3:$G$22&gt;B3632)*(Calc!$G$3:$G$22-B3632)*Calc!$G$3:$G$22)</f>
        <v/>
      </c>
      <c r="N3632">
        <f>SUMPRODUCT(Calc!$K$3:$K$22*(Calc!$G$3:$G$22&gt;A3632)*(Calc!$G$3:$G$22-A3632)*Calc!$I$3:$I$22)</f>
        <v/>
      </c>
      <c r="O3632">
        <f>SUMPRODUCT(Calc!$K$3:$K$22*(Calc!$G$3:$G$22&gt;B3632)*(Calc!$G$3:$G$22-B3632)*Calc!$I$3:$I$22)</f>
        <v/>
      </c>
      <c r="P3632">
        <f>I3632-G3632^2/k_n</f>
        <v/>
      </c>
      <c r="Q3632">
        <f>J3632-H3632^2/k_n</f>
        <v/>
      </c>
      <c r="R3632">
        <f>K3632-G3632*H3632/k_n</f>
        <v/>
      </c>
      <c r="S3632">
        <f>L3632-LTP3!$D$3*G3632/k_n</f>
        <v/>
      </c>
      <c r="T3632">
        <f>M3632-LTP3!$D$3*H3632/k_n</f>
        <v/>
      </c>
      <c r="U3632">
        <f>N3632-G3632*LTP3!$D$4/k_n</f>
        <v/>
      </c>
      <c r="V3632">
        <f>O3632-H3632*LTP3!$D$4/k_n</f>
        <v/>
      </c>
      <c r="W3632">
        <f>((LTP3!$D$5)*((P3632)*(Q3632)-(R3632)*(R3632))-(S3632)*((S3632)*(Q3632)-(R3632)*(T3632))+(T3632)*((S3632)*(R3632)-(P3632)*(T3632)))</f>
        <v/>
      </c>
      <c r="X3632">
        <f>IF(ABS(W3632)&gt;1E-12,((LTP3!$D$6)*((P3632)*(Q3632)-(R3632)*(R3632))-(S3632)*((U3632)*(Q3632)-(R3632)*(V3632))+(T3632)*((U3632)*(R3632)-(P3632)*(V3632)))/W3632,0)</f>
        <v/>
      </c>
      <c r="Y3632">
        <f>IF(ABS(W3632)&gt;1E-12,((LTP3!$D$5)*((U3632)*(Q3632)-(R3632)*(V3632))-(LTP3!$D$6)*((S3632)*(Q3632)-(R3632)*(T3632))+(T3632)*((S3632)*(V3632)-(U3632)*(T3632)))/W3632,0)</f>
        <v/>
      </c>
      <c r="Z3632">
        <f>IF(ABS(W3632)&gt;1E-12,((LTP3!$D$5)*((P3632)*(V3632)-(U3632)*(R3632))-(S3632)*((S3632)*(V3632)-(U3632)*(T3632))+(LTP3!$D$6)*((S3632)*(R3632)-(P3632)*(T3632)))/W3632,0)</f>
        <v/>
      </c>
      <c r="AA3632">
        <f>LTP3!$D$7-X3632*LTP3!$D$6-Y3632*U3632-Z3632*V3632</f>
        <v/>
      </c>
      <c r="AB3632">
        <f>IF(AND(F3632,ABS(W3632)&gt;1E-12,Y3632&gt;0,Z3632&gt;0),AA3632,1E+300)</f>
        <v/>
      </c>
    </row>
    <row r="3633">
      <c r="A3633">
        <f>$B$3+$B$5*59</f>
        <v/>
      </c>
      <c r="B3633">
        <f>$B$3+$B$5*22</f>
        <v/>
      </c>
      <c r="C3633">
        <f>SUMPRODUCT(Calc!$K$3:$K$22*(Calc!$G$3:$G$22&lt;=A3633))</f>
        <v/>
      </c>
      <c r="D3633">
        <f>SUMPRODUCT(Calc!$K$3:$K$22*(Calc!$G$3:$G$22&gt;A3633)*(Calc!$G$3:$G$22&lt;B3633))</f>
        <v/>
      </c>
      <c r="E3633">
        <f>SUMPRODUCT(Calc!$K$3:$K$22*(Calc!$G$3:$G$22&gt;=B3633))</f>
        <v/>
      </c>
      <c r="F3633">
        <f>AND(k_n&gt;=5,B3633&gt;A3633+1E-9,C3633&gt;=2,D3633&gt;=1,E3633&gt;=2)</f>
        <v/>
      </c>
      <c r="G3633">
        <f>SUMPRODUCT(Calc!$K$3:$K$22*(Calc!$G$3:$G$22&gt;A3633)*(Calc!$G$3:$G$22-A3633))</f>
        <v/>
      </c>
      <c r="H3633">
        <f>SUMPRODUCT(Calc!$K$3:$K$22*(Calc!$G$3:$G$22&gt;B3633)*(Calc!$G$3:$G$22-B3633))</f>
        <v/>
      </c>
      <c r="I3633">
        <f>SUMPRODUCT(Calc!$K$3:$K$22*(Calc!$G$3:$G$22&gt;A3633)*(Calc!$G$3:$G$22-A3633)^2)</f>
        <v/>
      </c>
      <c r="J3633">
        <f>SUMPRODUCT(Calc!$K$3:$K$22*(Calc!$G$3:$G$22&gt;B3633)*(Calc!$G$3:$G$22-B3633)^2)</f>
        <v/>
      </c>
      <c r="K3633">
        <f>SUMPRODUCT(Calc!$K$3:$K$22*(Calc!$G$3:$G$22&gt;A3633)*(Calc!$G$3:$G$22-A3633)*(Calc!$G$3:$G$22&gt;B3633)*(Calc!$G$3:$G$22-B3633))</f>
        <v/>
      </c>
      <c r="L3633">
        <f>SUMPRODUCT(Calc!$K$3:$K$22*(Calc!$G$3:$G$22&gt;A3633)*(Calc!$G$3:$G$22-A3633)*Calc!$G$3:$G$22)</f>
        <v/>
      </c>
      <c r="M3633">
        <f>SUMPRODUCT(Calc!$K$3:$K$22*(Calc!$G$3:$G$22&gt;B3633)*(Calc!$G$3:$G$22-B3633)*Calc!$G$3:$G$22)</f>
        <v/>
      </c>
      <c r="N3633">
        <f>SUMPRODUCT(Calc!$K$3:$K$22*(Calc!$G$3:$G$22&gt;A3633)*(Calc!$G$3:$G$22-A3633)*Calc!$I$3:$I$22)</f>
        <v/>
      </c>
      <c r="O3633">
        <f>SUMPRODUCT(Calc!$K$3:$K$22*(Calc!$G$3:$G$22&gt;B3633)*(Calc!$G$3:$G$22-B3633)*Calc!$I$3:$I$22)</f>
        <v/>
      </c>
      <c r="P3633">
        <f>I3633-G3633^2/k_n</f>
        <v/>
      </c>
      <c r="Q3633">
        <f>J3633-H3633^2/k_n</f>
        <v/>
      </c>
      <c r="R3633">
        <f>K3633-G3633*H3633/k_n</f>
        <v/>
      </c>
      <c r="S3633">
        <f>L3633-LTP3!$D$3*G3633/k_n</f>
        <v/>
      </c>
      <c r="T3633">
        <f>M3633-LTP3!$D$3*H3633/k_n</f>
        <v/>
      </c>
      <c r="U3633">
        <f>N3633-G3633*LTP3!$D$4/k_n</f>
        <v/>
      </c>
      <c r="V3633">
        <f>O3633-H3633*LTP3!$D$4/k_n</f>
        <v/>
      </c>
      <c r="W3633">
        <f>((LTP3!$D$5)*((P3633)*(Q3633)-(R3633)*(R3633))-(S3633)*((S3633)*(Q3633)-(R3633)*(T3633))+(T3633)*((S3633)*(R3633)-(P3633)*(T3633)))</f>
        <v/>
      </c>
      <c r="X3633">
        <f>IF(ABS(W3633)&gt;1E-12,((LTP3!$D$6)*((P3633)*(Q3633)-(R3633)*(R3633))-(S3633)*((U3633)*(Q3633)-(R3633)*(V3633))+(T3633)*((U3633)*(R3633)-(P3633)*(V3633)))/W3633,0)</f>
        <v/>
      </c>
      <c r="Y3633">
        <f>IF(ABS(W3633)&gt;1E-12,((LTP3!$D$5)*((U3633)*(Q3633)-(R3633)*(V3633))-(LTP3!$D$6)*((S3633)*(Q3633)-(R3633)*(T3633))+(T3633)*((S3633)*(V3633)-(U3633)*(T3633)))/W3633,0)</f>
        <v/>
      </c>
      <c r="Z3633">
        <f>IF(ABS(W3633)&gt;1E-12,((LTP3!$D$5)*((P3633)*(V3633)-(U3633)*(R3633))-(S3633)*((S3633)*(V3633)-(U3633)*(T3633))+(LTP3!$D$6)*((S3633)*(R3633)-(P3633)*(T3633)))/W3633,0)</f>
        <v/>
      </c>
      <c r="AA3633">
        <f>LTP3!$D$7-X3633*LTP3!$D$6-Y3633*U3633-Z3633*V3633</f>
        <v/>
      </c>
      <c r="AB3633">
        <f>IF(AND(F3633,ABS(W3633)&gt;1E-12,Y3633&gt;0,Z3633&gt;0),AA3633,1E+300)</f>
        <v/>
      </c>
    </row>
    <row r="3634">
      <c r="A3634">
        <f>$B$3+$B$5*59</f>
        <v/>
      </c>
      <c r="B3634">
        <f>$B$3+$B$5*23</f>
        <v/>
      </c>
      <c r="C3634">
        <f>SUMPRODUCT(Calc!$K$3:$K$22*(Calc!$G$3:$G$22&lt;=A3634))</f>
        <v/>
      </c>
      <c r="D3634">
        <f>SUMPRODUCT(Calc!$K$3:$K$22*(Calc!$G$3:$G$22&gt;A3634)*(Calc!$G$3:$G$22&lt;B3634))</f>
        <v/>
      </c>
      <c r="E3634">
        <f>SUMPRODUCT(Calc!$K$3:$K$22*(Calc!$G$3:$G$22&gt;=B3634))</f>
        <v/>
      </c>
      <c r="F3634">
        <f>AND(k_n&gt;=5,B3634&gt;A3634+1E-9,C3634&gt;=2,D3634&gt;=1,E3634&gt;=2)</f>
        <v/>
      </c>
      <c r="G3634">
        <f>SUMPRODUCT(Calc!$K$3:$K$22*(Calc!$G$3:$G$22&gt;A3634)*(Calc!$G$3:$G$22-A3634))</f>
        <v/>
      </c>
      <c r="H3634">
        <f>SUMPRODUCT(Calc!$K$3:$K$22*(Calc!$G$3:$G$22&gt;B3634)*(Calc!$G$3:$G$22-B3634))</f>
        <v/>
      </c>
      <c r="I3634">
        <f>SUMPRODUCT(Calc!$K$3:$K$22*(Calc!$G$3:$G$22&gt;A3634)*(Calc!$G$3:$G$22-A3634)^2)</f>
        <v/>
      </c>
      <c r="J3634">
        <f>SUMPRODUCT(Calc!$K$3:$K$22*(Calc!$G$3:$G$22&gt;B3634)*(Calc!$G$3:$G$22-B3634)^2)</f>
        <v/>
      </c>
      <c r="K3634">
        <f>SUMPRODUCT(Calc!$K$3:$K$22*(Calc!$G$3:$G$22&gt;A3634)*(Calc!$G$3:$G$22-A3634)*(Calc!$G$3:$G$22&gt;B3634)*(Calc!$G$3:$G$22-B3634))</f>
        <v/>
      </c>
      <c r="L3634">
        <f>SUMPRODUCT(Calc!$K$3:$K$22*(Calc!$G$3:$G$22&gt;A3634)*(Calc!$G$3:$G$22-A3634)*Calc!$G$3:$G$22)</f>
        <v/>
      </c>
      <c r="M3634">
        <f>SUMPRODUCT(Calc!$K$3:$K$22*(Calc!$G$3:$G$22&gt;B3634)*(Calc!$G$3:$G$22-B3634)*Calc!$G$3:$G$22)</f>
        <v/>
      </c>
      <c r="N3634">
        <f>SUMPRODUCT(Calc!$K$3:$K$22*(Calc!$G$3:$G$22&gt;A3634)*(Calc!$G$3:$G$22-A3634)*Calc!$I$3:$I$22)</f>
        <v/>
      </c>
      <c r="O3634">
        <f>SUMPRODUCT(Calc!$K$3:$K$22*(Calc!$G$3:$G$22&gt;B3634)*(Calc!$G$3:$G$22-B3634)*Calc!$I$3:$I$22)</f>
        <v/>
      </c>
      <c r="P3634">
        <f>I3634-G3634^2/k_n</f>
        <v/>
      </c>
      <c r="Q3634">
        <f>J3634-H3634^2/k_n</f>
        <v/>
      </c>
      <c r="R3634">
        <f>K3634-G3634*H3634/k_n</f>
        <v/>
      </c>
      <c r="S3634">
        <f>L3634-LTP3!$D$3*G3634/k_n</f>
        <v/>
      </c>
      <c r="T3634">
        <f>M3634-LTP3!$D$3*H3634/k_n</f>
        <v/>
      </c>
      <c r="U3634">
        <f>N3634-G3634*LTP3!$D$4/k_n</f>
        <v/>
      </c>
      <c r="V3634">
        <f>O3634-H3634*LTP3!$D$4/k_n</f>
        <v/>
      </c>
      <c r="W3634">
        <f>((LTP3!$D$5)*((P3634)*(Q3634)-(R3634)*(R3634))-(S3634)*((S3634)*(Q3634)-(R3634)*(T3634))+(T3634)*((S3634)*(R3634)-(P3634)*(T3634)))</f>
        <v/>
      </c>
      <c r="X3634">
        <f>IF(ABS(W3634)&gt;1E-12,((LTP3!$D$6)*((P3634)*(Q3634)-(R3634)*(R3634))-(S3634)*((U3634)*(Q3634)-(R3634)*(V3634))+(T3634)*((U3634)*(R3634)-(P3634)*(V3634)))/W3634,0)</f>
        <v/>
      </c>
      <c r="Y3634">
        <f>IF(ABS(W3634)&gt;1E-12,((LTP3!$D$5)*((U3634)*(Q3634)-(R3634)*(V3634))-(LTP3!$D$6)*((S3634)*(Q3634)-(R3634)*(T3634))+(T3634)*((S3634)*(V3634)-(U3634)*(T3634)))/W3634,0)</f>
        <v/>
      </c>
      <c r="Z3634">
        <f>IF(ABS(W3634)&gt;1E-12,((LTP3!$D$5)*((P3634)*(V3634)-(U3634)*(R3634))-(S3634)*((S3634)*(V3634)-(U3634)*(T3634))+(LTP3!$D$6)*((S3634)*(R3634)-(P3634)*(T3634)))/W3634,0)</f>
        <v/>
      </c>
      <c r="AA3634">
        <f>LTP3!$D$7-X3634*LTP3!$D$6-Y3634*U3634-Z3634*V3634</f>
        <v/>
      </c>
      <c r="AB3634">
        <f>IF(AND(F3634,ABS(W3634)&gt;1E-12,Y3634&gt;0,Z3634&gt;0),AA3634,1E+300)</f>
        <v/>
      </c>
    </row>
    <row r="3635">
      <c r="A3635">
        <f>$B$3+$B$5*59</f>
        <v/>
      </c>
      <c r="B3635">
        <f>$B$3+$B$5*24</f>
        <v/>
      </c>
      <c r="C3635">
        <f>SUMPRODUCT(Calc!$K$3:$K$22*(Calc!$G$3:$G$22&lt;=A3635))</f>
        <v/>
      </c>
      <c r="D3635">
        <f>SUMPRODUCT(Calc!$K$3:$K$22*(Calc!$G$3:$G$22&gt;A3635)*(Calc!$G$3:$G$22&lt;B3635))</f>
        <v/>
      </c>
      <c r="E3635">
        <f>SUMPRODUCT(Calc!$K$3:$K$22*(Calc!$G$3:$G$22&gt;=B3635))</f>
        <v/>
      </c>
      <c r="F3635">
        <f>AND(k_n&gt;=5,B3635&gt;A3635+1E-9,C3635&gt;=2,D3635&gt;=1,E3635&gt;=2)</f>
        <v/>
      </c>
      <c r="G3635">
        <f>SUMPRODUCT(Calc!$K$3:$K$22*(Calc!$G$3:$G$22&gt;A3635)*(Calc!$G$3:$G$22-A3635))</f>
        <v/>
      </c>
      <c r="H3635">
        <f>SUMPRODUCT(Calc!$K$3:$K$22*(Calc!$G$3:$G$22&gt;B3635)*(Calc!$G$3:$G$22-B3635))</f>
        <v/>
      </c>
      <c r="I3635">
        <f>SUMPRODUCT(Calc!$K$3:$K$22*(Calc!$G$3:$G$22&gt;A3635)*(Calc!$G$3:$G$22-A3635)^2)</f>
        <v/>
      </c>
      <c r="J3635">
        <f>SUMPRODUCT(Calc!$K$3:$K$22*(Calc!$G$3:$G$22&gt;B3635)*(Calc!$G$3:$G$22-B3635)^2)</f>
        <v/>
      </c>
      <c r="K3635">
        <f>SUMPRODUCT(Calc!$K$3:$K$22*(Calc!$G$3:$G$22&gt;A3635)*(Calc!$G$3:$G$22-A3635)*(Calc!$G$3:$G$22&gt;B3635)*(Calc!$G$3:$G$22-B3635))</f>
        <v/>
      </c>
      <c r="L3635">
        <f>SUMPRODUCT(Calc!$K$3:$K$22*(Calc!$G$3:$G$22&gt;A3635)*(Calc!$G$3:$G$22-A3635)*Calc!$G$3:$G$22)</f>
        <v/>
      </c>
      <c r="M3635">
        <f>SUMPRODUCT(Calc!$K$3:$K$22*(Calc!$G$3:$G$22&gt;B3635)*(Calc!$G$3:$G$22-B3635)*Calc!$G$3:$G$22)</f>
        <v/>
      </c>
      <c r="N3635">
        <f>SUMPRODUCT(Calc!$K$3:$K$22*(Calc!$G$3:$G$22&gt;A3635)*(Calc!$G$3:$G$22-A3635)*Calc!$I$3:$I$22)</f>
        <v/>
      </c>
      <c r="O3635">
        <f>SUMPRODUCT(Calc!$K$3:$K$22*(Calc!$G$3:$G$22&gt;B3635)*(Calc!$G$3:$G$22-B3635)*Calc!$I$3:$I$22)</f>
        <v/>
      </c>
      <c r="P3635">
        <f>I3635-G3635^2/k_n</f>
        <v/>
      </c>
      <c r="Q3635">
        <f>J3635-H3635^2/k_n</f>
        <v/>
      </c>
      <c r="R3635">
        <f>K3635-G3635*H3635/k_n</f>
        <v/>
      </c>
      <c r="S3635">
        <f>L3635-LTP3!$D$3*G3635/k_n</f>
        <v/>
      </c>
      <c r="T3635">
        <f>M3635-LTP3!$D$3*H3635/k_n</f>
        <v/>
      </c>
      <c r="U3635">
        <f>N3635-G3635*LTP3!$D$4/k_n</f>
        <v/>
      </c>
      <c r="V3635">
        <f>O3635-H3635*LTP3!$D$4/k_n</f>
        <v/>
      </c>
      <c r="W3635">
        <f>((LTP3!$D$5)*((P3635)*(Q3635)-(R3635)*(R3635))-(S3635)*((S3635)*(Q3635)-(R3635)*(T3635))+(T3635)*((S3635)*(R3635)-(P3635)*(T3635)))</f>
        <v/>
      </c>
      <c r="X3635">
        <f>IF(ABS(W3635)&gt;1E-12,((LTP3!$D$6)*((P3635)*(Q3635)-(R3635)*(R3635))-(S3635)*((U3635)*(Q3635)-(R3635)*(V3635))+(T3635)*((U3635)*(R3635)-(P3635)*(V3635)))/W3635,0)</f>
        <v/>
      </c>
      <c r="Y3635">
        <f>IF(ABS(W3635)&gt;1E-12,((LTP3!$D$5)*((U3635)*(Q3635)-(R3635)*(V3635))-(LTP3!$D$6)*((S3635)*(Q3635)-(R3635)*(T3635))+(T3635)*((S3635)*(V3635)-(U3635)*(T3635)))/W3635,0)</f>
        <v/>
      </c>
      <c r="Z3635">
        <f>IF(ABS(W3635)&gt;1E-12,((LTP3!$D$5)*((P3635)*(V3635)-(U3635)*(R3635))-(S3635)*((S3635)*(V3635)-(U3635)*(T3635))+(LTP3!$D$6)*((S3635)*(R3635)-(P3635)*(T3635)))/W3635,0)</f>
        <v/>
      </c>
      <c r="AA3635">
        <f>LTP3!$D$7-X3635*LTP3!$D$6-Y3635*U3635-Z3635*V3635</f>
        <v/>
      </c>
      <c r="AB3635">
        <f>IF(AND(F3635,ABS(W3635)&gt;1E-12,Y3635&gt;0,Z3635&gt;0),AA3635,1E+300)</f>
        <v/>
      </c>
    </row>
    <row r="3636">
      <c r="A3636">
        <f>$B$3+$B$5*59</f>
        <v/>
      </c>
      <c r="B3636">
        <f>$B$3+$B$5*25</f>
        <v/>
      </c>
      <c r="C3636">
        <f>SUMPRODUCT(Calc!$K$3:$K$22*(Calc!$G$3:$G$22&lt;=A3636))</f>
        <v/>
      </c>
      <c r="D3636">
        <f>SUMPRODUCT(Calc!$K$3:$K$22*(Calc!$G$3:$G$22&gt;A3636)*(Calc!$G$3:$G$22&lt;B3636))</f>
        <v/>
      </c>
      <c r="E3636">
        <f>SUMPRODUCT(Calc!$K$3:$K$22*(Calc!$G$3:$G$22&gt;=B3636))</f>
        <v/>
      </c>
      <c r="F3636">
        <f>AND(k_n&gt;=5,B3636&gt;A3636+1E-9,C3636&gt;=2,D3636&gt;=1,E3636&gt;=2)</f>
        <v/>
      </c>
      <c r="G3636">
        <f>SUMPRODUCT(Calc!$K$3:$K$22*(Calc!$G$3:$G$22&gt;A3636)*(Calc!$G$3:$G$22-A3636))</f>
        <v/>
      </c>
      <c r="H3636">
        <f>SUMPRODUCT(Calc!$K$3:$K$22*(Calc!$G$3:$G$22&gt;B3636)*(Calc!$G$3:$G$22-B3636))</f>
        <v/>
      </c>
      <c r="I3636">
        <f>SUMPRODUCT(Calc!$K$3:$K$22*(Calc!$G$3:$G$22&gt;A3636)*(Calc!$G$3:$G$22-A3636)^2)</f>
        <v/>
      </c>
      <c r="J3636">
        <f>SUMPRODUCT(Calc!$K$3:$K$22*(Calc!$G$3:$G$22&gt;B3636)*(Calc!$G$3:$G$22-B3636)^2)</f>
        <v/>
      </c>
      <c r="K3636">
        <f>SUMPRODUCT(Calc!$K$3:$K$22*(Calc!$G$3:$G$22&gt;A3636)*(Calc!$G$3:$G$22-A3636)*(Calc!$G$3:$G$22&gt;B3636)*(Calc!$G$3:$G$22-B3636))</f>
        <v/>
      </c>
      <c r="L3636">
        <f>SUMPRODUCT(Calc!$K$3:$K$22*(Calc!$G$3:$G$22&gt;A3636)*(Calc!$G$3:$G$22-A3636)*Calc!$G$3:$G$22)</f>
        <v/>
      </c>
      <c r="M3636">
        <f>SUMPRODUCT(Calc!$K$3:$K$22*(Calc!$G$3:$G$22&gt;B3636)*(Calc!$G$3:$G$22-B3636)*Calc!$G$3:$G$22)</f>
        <v/>
      </c>
      <c r="N3636">
        <f>SUMPRODUCT(Calc!$K$3:$K$22*(Calc!$G$3:$G$22&gt;A3636)*(Calc!$G$3:$G$22-A3636)*Calc!$I$3:$I$22)</f>
        <v/>
      </c>
      <c r="O3636">
        <f>SUMPRODUCT(Calc!$K$3:$K$22*(Calc!$G$3:$G$22&gt;B3636)*(Calc!$G$3:$G$22-B3636)*Calc!$I$3:$I$22)</f>
        <v/>
      </c>
      <c r="P3636">
        <f>I3636-G3636^2/k_n</f>
        <v/>
      </c>
      <c r="Q3636">
        <f>J3636-H3636^2/k_n</f>
        <v/>
      </c>
      <c r="R3636">
        <f>K3636-G3636*H3636/k_n</f>
        <v/>
      </c>
      <c r="S3636">
        <f>L3636-LTP3!$D$3*G3636/k_n</f>
        <v/>
      </c>
      <c r="T3636">
        <f>M3636-LTP3!$D$3*H3636/k_n</f>
        <v/>
      </c>
      <c r="U3636">
        <f>N3636-G3636*LTP3!$D$4/k_n</f>
        <v/>
      </c>
      <c r="V3636">
        <f>O3636-H3636*LTP3!$D$4/k_n</f>
        <v/>
      </c>
      <c r="W3636">
        <f>((LTP3!$D$5)*((P3636)*(Q3636)-(R3636)*(R3636))-(S3636)*((S3636)*(Q3636)-(R3636)*(T3636))+(T3636)*((S3636)*(R3636)-(P3636)*(T3636)))</f>
        <v/>
      </c>
      <c r="X3636">
        <f>IF(ABS(W3636)&gt;1E-12,((LTP3!$D$6)*((P3636)*(Q3636)-(R3636)*(R3636))-(S3636)*((U3636)*(Q3636)-(R3636)*(V3636))+(T3636)*((U3636)*(R3636)-(P3636)*(V3636)))/W3636,0)</f>
        <v/>
      </c>
      <c r="Y3636">
        <f>IF(ABS(W3636)&gt;1E-12,((LTP3!$D$5)*((U3636)*(Q3636)-(R3636)*(V3636))-(LTP3!$D$6)*((S3636)*(Q3636)-(R3636)*(T3636))+(T3636)*((S3636)*(V3636)-(U3636)*(T3636)))/W3636,0)</f>
        <v/>
      </c>
      <c r="Z3636">
        <f>IF(ABS(W3636)&gt;1E-12,((LTP3!$D$5)*((P3636)*(V3636)-(U3636)*(R3636))-(S3636)*((S3636)*(V3636)-(U3636)*(T3636))+(LTP3!$D$6)*((S3636)*(R3636)-(P3636)*(T3636)))/W3636,0)</f>
        <v/>
      </c>
      <c r="AA3636">
        <f>LTP3!$D$7-X3636*LTP3!$D$6-Y3636*U3636-Z3636*V3636</f>
        <v/>
      </c>
      <c r="AB3636">
        <f>IF(AND(F3636,ABS(W3636)&gt;1E-12,Y3636&gt;0,Z3636&gt;0),AA3636,1E+300)</f>
        <v/>
      </c>
    </row>
    <row r="3637">
      <c r="A3637">
        <f>$B$3+$B$5*59</f>
        <v/>
      </c>
      <c r="B3637">
        <f>$B$3+$B$5*26</f>
        <v/>
      </c>
      <c r="C3637">
        <f>SUMPRODUCT(Calc!$K$3:$K$22*(Calc!$G$3:$G$22&lt;=A3637))</f>
        <v/>
      </c>
      <c r="D3637">
        <f>SUMPRODUCT(Calc!$K$3:$K$22*(Calc!$G$3:$G$22&gt;A3637)*(Calc!$G$3:$G$22&lt;B3637))</f>
        <v/>
      </c>
      <c r="E3637">
        <f>SUMPRODUCT(Calc!$K$3:$K$22*(Calc!$G$3:$G$22&gt;=B3637))</f>
        <v/>
      </c>
      <c r="F3637">
        <f>AND(k_n&gt;=5,B3637&gt;A3637+1E-9,C3637&gt;=2,D3637&gt;=1,E3637&gt;=2)</f>
        <v/>
      </c>
      <c r="G3637">
        <f>SUMPRODUCT(Calc!$K$3:$K$22*(Calc!$G$3:$G$22&gt;A3637)*(Calc!$G$3:$G$22-A3637))</f>
        <v/>
      </c>
      <c r="H3637">
        <f>SUMPRODUCT(Calc!$K$3:$K$22*(Calc!$G$3:$G$22&gt;B3637)*(Calc!$G$3:$G$22-B3637))</f>
        <v/>
      </c>
      <c r="I3637">
        <f>SUMPRODUCT(Calc!$K$3:$K$22*(Calc!$G$3:$G$22&gt;A3637)*(Calc!$G$3:$G$22-A3637)^2)</f>
        <v/>
      </c>
      <c r="J3637">
        <f>SUMPRODUCT(Calc!$K$3:$K$22*(Calc!$G$3:$G$22&gt;B3637)*(Calc!$G$3:$G$22-B3637)^2)</f>
        <v/>
      </c>
      <c r="K3637">
        <f>SUMPRODUCT(Calc!$K$3:$K$22*(Calc!$G$3:$G$22&gt;A3637)*(Calc!$G$3:$G$22-A3637)*(Calc!$G$3:$G$22&gt;B3637)*(Calc!$G$3:$G$22-B3637))</f>
        <v/>
      </c>
      <c r="L3637">
        <f>SUMPRODUCT(Calc!$K$3:$K$22*(Calc!$G$3:$G$22&gt;A3637)*(Calc!$G$3:$G$22-A3637)*Calc!$G$3:$G$22)</f>
        <v/>
      </c>
      <c r="M3637">
        <f>SUMPRODUCT(Calc!$K$3:$K$22*(Calc!$G$3:$G$22&gt;B3637)*(Calc!$G$3:$G$22-B3637)*Calc!$G$3:$G$22)</f>
        <v/>
      </c>
      <c r="N3637">
        <f>SUMPRODUCT(Calc!$K$3:$K$22*(Calc!$G$3:$G$22&gt;A3637)*(Calc!$G$3:$G$22-A3637)*Calc!$I$3:$I$22)</f>
        <v/>
      </c>
      <c r="O3637">
        <f>SUMPRODUCT(Calc!$K$3:$K$22*(Calc!$G$3:$G$22&gt;B3637)*(Calc!$G$3:$G$22-B3637)*Calc!$I$3:$I$22)</f>
        <v/>
      </c>
      <c r="P3637">
        <f>I3637-G3637^2/k_n</f>
        <v/>
      </c>
      <c r="Q3637">
        <f>J3637-H3637^2/k_n</f>
        <v/>
      </c>
      <c r="R3637">
        <f>K3637-G3637*H3637/k_n</f>
        <v/>
      </c>
      <c r="S3637">
        <f>L3637-LTP3!$D$3*G3637/k_n</f>
        <v/>
      </c>
      <c r="T3637">
        <f>M3637-LTP3!$D$3*H3637/k_n</f>
        <v/>
      </c>
      <c r="U3637">
        <f>N3637-G3637*LTP3!$D$4/k_n</f>
        <v/>
      </c>
      <c r="V3637">
        <f>O3637-H3637*LTP3!$D$4/k_n</f>
        <v/>
      </c>
      <c r="W3637">
        <f>((LTP3!$D$5)*((P3637)*(Q3637)-(R3637)*(R3637))-(S3637)*((S3637)*(Q3637)-(R3637)*(T3637))+(T3637)*((S3637)*(R3637)-(P3637)*(T3637)))</f>
        <v/>
      </c>
      <c r="X3637">
        <f>IF(ABS(W3637)&gt;1E-12,((LTP3!$D$6)*((P3637)*(Q3637)-(R3637)*(R3637))-(S3637)*((U3637)*(Q3637)-(R3637)*(V3637))+(T3637)*((U3637)*(R3637)-(P3637)*(V3637)))/W3637,0)</f>
        <v/>
      </c>
      <c r="Y3637">
        <f>IF(ABS(W3637)&gt;1E-12,((LTP3!$D$5)*((U3637)*(Q3637)-(R3637)*(V3637))-(LTP3!$D$6)*((S3637)*(Q3637)-(R3637)*(T3637))+(T3637)*((S3637)*(V3637)-(U3637)*(T3637)))/W3637,0)</f>
        <v/>
      </c>
      <c r="Z3637">
        <f>IF(ABS(W3637)&gt;1E-12,((LTP3!$D$5)*((P3637)*(V3637)-(U3637)*(R3637))-(S3637)*((S3637)*(V3637)-(U3637)*(T3637))+(LTP3!$D$6)*((S3637)*(R3637)-(P3637)*(T3637)))/W3637,0)</f>
        <v/>
      </c>
      <c r="AA3637">
        <f>LTP3!$D$7-X3637*LTP3!$D$6-Y3637*U3637-Z3637*V3637</f>
        <v/>
      </c>
      <c r="AB3637">
        <f>IF(AND(F3637,ABS(W3637)&gt;1E-12,Y3637&gt;0,Z3637&gt;0),AA3637,1E+300)</f>
        <v/>
      </c>
    </row>
    <row r="3638">
      <c r="A3638">
        <f>$B$3+$B$5*59</f>
        <v/>
      </c>
      <c r="B3638">
        <f>$B$3+$B$5*27</f>
        <v/>
      </c>
      <c r="C3638">
        <f>SUMPRODUCT(Calc!$K$3:$K$22*(Calc!$G$3:$G$22&lt;=A3638))</f>
        <v/>
      </c>
      <c r="D3638">
        <f>SUMPRODUCT(Calc!$K$3:$K$22*(Calc!$G$3:$G$22&gt;A3638)*(Calc!$G$3:$G$22&lt;B3638))</f>
        <v/>
      </c>
      <c r="E3638">
        <f>SUMPRODUCT(Calc!$K$3:$K$22*(Calc!$G$3:$G$22&gt;=B3638))</f>
        <v/>
      </c>
      <c r="F3638">
        <f>AND(k_n&gt;=5,B3638&gt;A3638+1E-9,C3638&gt;=2,D3638&gt;=1,E3638&gt;=2)</f>
        <v/>
      </c>
      <c r="G3638">
        <f>SUMPRODUCT(Calc!$K$3:$K$22*(Calc!$G$3:$G$22&gt;A3638)*(Calc!$G$3:$G$22-A3638))</f>
        <v/>
      </c>
      <c r="H3638">
        <f>SUMPRODUCT(Calc!$K$3:$K$22*(Calc!$G$3:$G$22&gt;B3638)*(Calc!$G$3:$G$22-B3638))</f>
        <v/>
      </c>
      <c r="I3638">
        <f>SUMPRODUCT(Calc!$K$3:$K$22*(Calc!$G$3:$G$22&gt;A3638)*(Calc!$G$3:$G$22-A3638)^2)</f>
        <v/>
      </c>
      <c r="J3638">
        <f>SUMPRODUCT(Calc!$K$3:$K$22*(Calc!$G$3:$G$22&gt;B3638)*(Calc!$G$3:$G$22-B3638)^2)</f>
        <v/>
      </c>
      <c r="K3638">
        <f>SUMPRODUCT(Calc!$K$3:$K$22*(Calc!$G$3:$G$22&gt;A3638)*(Calc!$G$3:$G$22-A3638)*(Calc!$G$3:$G$22&gt;B3638)*(Calc!$G$3:$G$22-B3638))</f>
        <v/>
      </c>
      <c r="L3638">
        <f>SUMPRODUCT(Calc!$K$3:$K$22*(Calc!$G$3:$G$22&gt;A3638)*(Calc!$G$3:$G$22-A3638)*Calc!$G$3:$G$22)</f>
        <v/>
      </c>
      <c r="M3638">
        <f>SUMPRODUCT(Calc!$K$3:$K$22*(Calc!$G$3:$G$22&gt;B3638)*(Calc!$G$3:$G$22-B3638)*Calc!$G$3:$G$22)</f>
        <v/>
      </c>
      <c r="N3638">
        <f>SUMPRODUCT(Calc!$K$3:$K$22*(Calc!$G$3:$G$22&gt;A3638)*(Calc!$G$3:$G$22-A3638)*Calc!$I$3:$I$22)</f>
        <v/>
      </c>
      <c r="O3638">
        <f>SUMPRODUCT(Calc!$K$3:$K$22*(Calc!$G$3:$G$22&gt;B3638)*(Calc!$G$3:$G$22-B3638)*Calc!$I$3:$I$22)</f>
        <v/>
      </c>
      <c r="P3638">
        <f>I3638-G3638^2/k_n</f>
        <v/>
      </c>
      <c r="Q3638">
        <f>J3638-H3638^2/k_n</f>
        <v/>
      </c>
      <c r="R3638">
        <f>K3638-G3638*H3638/k_n</f>
        <v/>
      </c>
      <c r="S3638">
        <f>L3638-LTP3!$D$3*G3638/k_n</f>
        <v/>
      </c>
      <c r="T3638">
        <f>M3638-LTP3!$D$3*H3638/k_n</f>
        <v/>
      </c>
      <c r="U3638">
        <f>N3638-G3638*LTP3!$D$4/k_n</f>
        <v/>
      </c>
      <c r="V3638">
        <f>O3638-H3638*LTP3!$D$4/k_n</f>
        <v/>
      </c>
      <c r="W3638">
        <f>((LTP3!$D$5)*((P3638)*(Q3638)-(R3638)*(R3638))-(S3638)*((S3638)*(Q3638)-(R3638)*(T3638))+(T3638)*((S3638)*(R3638)-(P3638)*(T3638)))</f>
        <v/>
      </c>
      <c r="X3638">
        <f>IF(ABS(W3638)&gt;1E-12,((LTP3!$D$6)*((P3638)*(Q3638)-(R3638)*(R3638))-(S3638)*((U3638)*(Q3638)-(R3638)*(V3638))+(T3638)*((U3638)*(R3638)-(P3638)*(V3638)))/W3638,0)</f>
        <v/>
      </c>
      <c r="Y3638">
        <f>IF(ABS(W3638)&gt;1E-12,((LTP3!$D$5)*((U3638)*(Q3638)-(R3638)*(V3638))-(LTP3!$D$6)*((S3638)*(Q3638)-(R3638)*(T3638))+(T3638)*((S3638)*(V3638)-(U3638)*(T3638)))/W3638,0)</f>
        <v/>
      </c>
      <c r="Z3638">
        <f>IF(ABS(W3638)&gt;1E-12,((LTP3!$D$5)*((P3638)*(V3638)-(U3638)*(R3638))-(S3638)*((S3638)*(V3638)-(U3638)*(T3638))+(LTP3!$D$6)*((S3638)*(R3638)-(P3638)*(T3638)))/W3638,0)</f>
        <v/>
      </c>
      <c r="AA3638">
        <f>LTP3!$D$7-X3638*LTP3!$D$6-Y3638*U3638-Z3638*V3638</f>
        <v/>
      </c>
      <c r="AB3638">
        <f>IF(AND(F3638,ABS(W3638)&gt;1E-12,Y3638&gt;0,Z3638&gt;0),AA3638,1E+300)</f>
        <v/>
      </c>
    </row>
    <row r="3639">
      <c r="A3639">
        <f>$B$3+$B$5*59</f>
        <v/>
      </c>
      <c r="B3639">
        <f>$B$3+$B$5*28</f>
        <v/>
      </c>
      <c r="C3639">
        <f>SUMPRODUCT(Calc!$K$3:$K$22*(Calc!$G$3:$G$22&lt;=A3639))</f>
        <v/>
      </c>
      <c r="D3639">
        <f>SUMPRODUCT(Calc!$K$3:$K$22*(Calc!$G$3:$G$22&gt;A3639)*(Calc!$G$3:$G$22&lt;B3639))</f>
        <v/>
      </c>
      <c r="E3639">
        <f>SUMPRODUCT(Calc!$K$3:$K$22*(Calc!$G$3:$G$22&gt;=B3639))</f>
        <v/>
      </c>
      <c r="F3639">
        <f>AND(k_n&gt;=5,B3639&gt;A3639+1E-9,C3639&gt;=2,D3639&gt;=1,E3639&gt;=2)</f>
        <v/>
      </c>
      <c r="G3639">
        <f>SUMPRODUCT(Calc!$K$3:$K$22*(Calc!$G$3:$G$22&gt;A3639)*(Calc!$G$3:$G$22-A3639))</f>
        <v/>
      </c>
      <c r="H3639">
        <f>SUMPRODUCT(Calc!$K$3:$K$22*(Calc!$G$3:$G$22&gt;B3639)*(Calc!$G$3:$G$22-B3639))</f>
        <v/>
      </c>
      <c r="I3639">
        <f>SUMPRODUCT(Calc!$K$3:$K$22*(Calc!$G$3:$G$22&gt;A3639)*(Calc!$G$3:$G$22-A3639)^2)</f>
        <v/>
      </c>
      <c r="J3639">
        <f>SUMPRODUCT(Calc!$K$3:$K$22*(Calc!$G$3:$G$22&gt;B3639)*(Calc!$G$3:$G$22-B3639)^2)</f>
        <v/>
      </c>
      <c r="K3639">
        <f>SUMPRODUCT(Calc!$K$3:$K$22*(Calc!$G$3:$G$22&gt;A3639)*(Calc!$G$3:$G$22-A3639)*(Calc!$G$3:$G$22&gt;B3639)*(Calc!$G$3:$G$22-B3639))</f>
        <v/>
      </c>
      <c r="L3639">
        <f>SUMPRODUCT(Calc!$K$3:$K$22*(Calc!$G$3:$G$22&gt;A3639)*(Calc!$G$3:$G$22-A3639)*Calc!$G$3:$G$22)</f>
        <v/>
      </c>
      <c r="M3639">
        <f>SUMPRODUCT(Calc!$K$3:$K$22*(Calc!$G$3:$G$22&gt;B3639)*(Calc!$G$3:$G$22-B3639)*Calc!$G$3:$G$22)</f>
        <v/>
      </c>
      <c r="N3639">
        <f>SUMPRODUCT(Calc!$K$3:$K$22*(Calc!$G$3:$G$22&gt;A3639)*(Calc!$G$3:$G$22-A3639)*Calc!$I$3:$I$22)</f>
        <v/>
      </c>
      <c r="O3639">
        <f>SUMPRODUCT(Calc!$K$3:$K$22*(Calc!$G$3:$G$22&gt;B3639)*(Calc!$G$3:$G$22-B3639)*Calc!$I$3:$I$22)</f>
        <v/>
      </c>
      <c r="P3639">
        <f>I3639-G3639^2/k_n</f>
        <v/>
      </c>
      <c r="Q3639">
        <f>J3639-H3639^2/k_n</f>
        <v/>
      </c>
      <c r="R3639">
        <f>K3639-G3639*H3639/k_n</f>
        <v/>
      </c>
      <c r="S3639">
        <f>L3639-LTP3!$D$3*G3639/k_n</f>
        <v/>
      </c>
      <c r="T3639">
        <f>M3639-LTP3!$D$3*H3639/k_n</f>
        <v/>
      </c>
      <c r="U3639">
        <f>N3639-G3639*LTP3!$D$4/k_n</f>
        <v/>
      </c>
      <c r="V3639">
        <f>O3639-H3639*LTP3!$D$4/k_n</f>
        <v/>
      </c>
      <c r="W3639">
        <f>((LTP3!$D$5)*((P3639)*(Q3639)-(R3639)*(R3639))-(S3639)*((S3639)*(Q3639)-(R3639)*(T3639))+(T3639)*((S3639)*(R3639)-(P3639)*(T3639)))</f>
        <v/>
      </c>
      <c r="X3639">
        <f>IF(ABS(W3639)&gt;1E-12,((LTP3!$D$6)*((P3639)*(Q3639)-(R3639)*(R3639))-(S3639)*((U3639)*(Q3639)-(R3639)*(V3639))+(T3639)*((U3639)*(R3639)-(P3639)*(V3639)))/W3639,0)</f>
        <v/>
      </c>
      <c r="Y3639">
        <f>IF(ABS(W3639)&gt;1E-12,((LTP3!$D$5)*((U3639)*(Q3639)-(R3639)*(V3639))-(LTP3!$D$6)*((S3639)*(Q3639)-(R3639)*(T3639))+(T3639)*((S3639)*(V3639)-(U3639)*(T3639)))/W3639,0)</f>
        <v/>
      </c>
      <c r="Z3639">
        <f>IF(ABS(W3639)&gt;1E-12,((LTP3!$D$5)*((P3639)*(V3639)-(U3639)*(R3639))-(S3639)*((S3639)*(V3639)-(U3639)*(T3639))+(LTP3!$D$6)*((S3639)*(R3639)-(P3639)*(T3639)))/W3639,0)</f>
        <v/>
      </c>
      <c r="AA3639">
        <f>LTP3!$D$7-X3639*LTP3!$D$6-Y3639*U3639-Z3639*V3639</f>
        <v/>
      </c>
      <c r="AB3639">
        <f>IF(AND(F3639,ABS(W3639)&gt;1E-12,Y3639&gt;0,Z3639&gt;0),AA3639,1E+300)</f>
        <v/>
      </c>
    </row>
    <row r="3640">
      <c r="A3640">
        <f>$B$3+$B$5*59</f>
        <v/>
      </c>
      <c r="B3640">
        <f>$B$3+$B$5*29</f>
        <v/>
      </c>
      <c r="C3640">
        <f>SUMPRODUCT(Calc!$K$3:$K$22*(Calc!$G$3:$G$22&lt;=A3640))</f>
        <v/>
      </c>
      <c r="D3640">
        <f>SUMPRODUCT(Calc!$K$3:$K$22*(Calc!$G$3:$G$22&gt;A3640)*(Calc!$G$3:$G$22&lt;B3640))</f>
        <v/>
      </c>
      <c r="E3640">
        <f>SUMPRODUCT(Calc!$K$3:$K$22*(Calc!$G$3:$G$22&gt;=B3640))</f>
        <v/>
      </c>
      <c r="F3640">
        <f>AND(k_n&gt;=5,B3640&gt;A3640+1E-9,C3640&gt;=2,D3640&gt;=1,E3640&gt;=2)</f>
        <v/>
      </c>
      <c r="G3640">
        <f>SUMPRODUCT(Calc!$K$3:$K$22*(Calc!$G$3:$G$22&gt;A3640)*(Calc!$G$3:$G$22-A3640))</f>
        <v/>
      </c>
      <c r="H3640">
        <f>SUMPRODUCT(Calc!$K$3:$K$22*(Calc!$G$3:$G$22&gt;B3640)*(Calc!$G$3:$G$22-B3640))</f>
        <v/>
      </c>
      <c r="I3640">
        <f>SUMPRODUCT(Calc!$K$3:$K$22*(Calc!$G$3:$G$22&gt;A3640)*(Calc!$G$3:$G$22-A3640)^2)</f>
        <v/>
      </c>
      <c r="J3640">
        <f>SUMPRODUCT(Calc!$K$3:$K$22*(Calc!$G$3:$G$22&gt;B3640)*(Calc!$G$3:$G$22-B3640)^2)</f>
        <v/>
      </c>
      <c r="K3640">
        <f>SUMPRODUCT(Calc!$K$3:$K$22*(Calc!$G$3:$G$22&gt;A3640)*(Calc!$G$3:$G$22-A3640)*(Calc!$G$3:$G$22&gt;B3640)*(Calc!$G$3:$G$22-B3640))</f>
        <v/>
      </c>
      <c r="L3640">
        <f>SUMPRODUCT(Calc!$K$3:$K$22*(Calc!$G$3:$G$22&gt;A3640)*(Calc!$G$3:$G$22-A3640)*Calc!$G$3:$G$22)</f>
        <v/>
      </c>
      <c r="M3640">
        <f>SUMPRODUCT(Calc!$K$3:$K$22*(Calc!$G$3:$G$22&gt;B3640)*(Calc!$G$3:$G$22-B3640)*Calc!$G$3:$G$22)</f>
        <v/>
      </c>
      <c r="N3640">
        <f>SUMPRODUCT(Calc!$K$3:$K$22*(Calc!$G$3:$G$22&gt;A3640)*(Calc!$G$3:$G$22-A3640)*Calc!$I$3:$I$22)</f>
        <v/>
      </c>
      <c r="O3640">
        <f>SUMPRODUCT(Calc!$K$3:$K$22*(Calc!$G$3:$G$22&gt;B3640)*(Calc!$G$3:$G$22-B3640)*Calc!$I$3:$I$22)</f>
        <v/>
      </c>
      <c r="P3640">
        <f>I3640-G3640^2/k_n</f>
        <v/>
      </c>
      <c r="Q3640">
        <f>J3640-H3640^2/k_n</f>
        <v/>
      </c>
      <c r="R3640">
        <f>K3640-G3640*H3640/k_n</f>
        <v/>
      </c>
      <c r="S3640">
        <f>L3640-LTP3!$D$3*G3640/k_n</f>
        <v/>
      </c>
      <c r="T3640">
        <f>M3640-LTP3!$D$3*H3640/k_n</f>
        <v/>
      </c>
      <c r="U3640">
        <f>N3640-G3640*LTP3!$D$4/k_n</f>
        <v/>
      </c>
      <c r="V3640">
        <f>O3640-H3640*LTP3!$D$4/k_n</f>
        <v/>
      </c>
      <c r="W3640">
        <f>((LTP3!$D$5)*((P3640)*(Q3640)-(R3640)*(R3640))-(S3640)*((S3640)*(Q3640)-(R3640)*(T3640))+(T3640)*((S3640)*(R3640)-(P3640)*(T3640)))</f>
        <v/>
      </c>
      <c r="X3640">
        <f>IF(ABS(W3640)&gt;1E-12,((LTP3!$D$6)*((P3640)*(Q3640)-(R3640)*(R3640))-(S3640)*((U3640)*(Q3640)-(R3640)*(V3640))+(T3640)*((U3640)*(R3640)-(P3640)*(V3640)))/W3640,0)</f>
        <v/>
      </c>
      <c r="Y3640">
        <f>IF(ABS(W3640)&gt;1E-12,((LTP3!$D$5)*((U3640)*(Q3640)-(R3640)*(V3640))-(LTP3!$D$6)*((S3640)*(Q3640)-(R3640)*(T3640))+(T3640)*((S3640)*(V3640)-(U3640)*(T3640)))/W3640,0)</f>
        <v/>
      </c>
      <c r="Z3640">
        <f>IF(ABS(W3640)&gt;1E-12,((LTP3!$D$5)*((P3640)*(V3640)-(U3640)*(R3640))-(S3640)*((S3640)*(V3640)-(U3640)*(T3640))+(LTP3!$D$6)*((S3640)*(R3640)-(P3640)*(T3640)))/W3640,0)</f>
        <v/>
      </c>
      <c r="AA3640">
        <f>LTP3!$D$7-X3640*LTP3!$D$6-Y3640*U3640-Z3640*V3640</f>
        <v/>
      </c>
      <c r="AB3640">
        <f>IF(AND(F3640,ABS(W3640)&gt;1E-12,Y3640&gt;0,Z3640&gt;0),AA3640,1E+300)</f>
        <v/>
      </c>
    </row>
    <row r="3641">
      <c r="A3641">
        <f>$B$3+$B$5*59</f>
        <v/>
      </c>
      <c r="B3641">
        <f>$B$3+$B$5*30</f>
        <v/>
      </c>
      <c r="C3641">
        <f>SUMPRODUCT(Calc!$K$3:$K$22*(Calc!$G$3:$G$22&lt;=A3641))</f>
        <v/>
      </c>
      <c r="D3641">
        <f>SUMPRODUCT(Calc!$K$3:$K$22*(Calc!$G$3:$G$22&gt;A3641)*(Calc!$G$3:$G$22&lt;B3641))</f>
        <v/>
      </c>
      <c r="E3641">
        <f>SUMPRODUCT(Calc!$K$3:$K$22*(Calc!$G$3:$G$22&gt;=B3641))</f>
        <v/>
      </c>
      <c r="F3641">
        <f>AND(k_n&gt;=5,B3641&gt;A3641+1E-9,C3641&gt;=2,D3641&gt;=1,E3641&gt;=2)</f>
        <v/>
      </c>
      <c r="G3641">
        <f>SUMPRODUCT(Calc!$K$3:$K$22*(Calc!$G$3:$G$22&gt;A3641)*(Calc!$G$3:$G$22-A3641))</f>
        <v/>
      </c>
      <c r="H3641">
        <f>SUMPRODUCT(Calc!$K$3:$K$22*(Calc!$G$3:$G$22&gt;B3641)*(Calc!$G$3:$G$22-B3641))</f>
        <v/>
      </c>
      <c r="I3641">
        <f>SUMPRODUCT(Calc!$K$3:$K$22*(Calc!$G$3:$G$22&gt;A3641)*(Calc!$G$3:$G$22-A3641)^2)</f>
        <v/>
      </c>
      <c r="J3641">
        <f>SUMPRODUCT(Calc!$K$3:$K$22*(Calc!$G$3:$G$22&gt;B3641)*(Calc!$G$3:$G$22-B3641)^2)</f>
        <v/>
      </c>
      <c r="K3641">
        <f>SUMPRODUCT(Calc!$K$3:$K$22*(Calc!$G$3:$G$22&gt;A3641)*(Calc!$G$3:$G$22-A3641)*(Calc!$G$3:$G$22&gt;B3641)*(Calc!$G$3:$G$22-B3641))</f>
        <v/>
      </c>
      <c r="L3641">
        <f>SUMPRODUCT(Calc!$K$3:$K$22*(Calc!$G$3:$G$22&gt;A3641)*(Calc!$G$3:$G$22-A3641)*Calc!$G$3:$G$22)</f>
        <v/>
      </c>
      <c r="M3641">
        <f>SUMPRODUCT(Calc!$K$3:$K$22*(Calc!$G$3:$G$22&gt;B3641)*(Calc!$G$3:$G$22-B3641)*Calc!$G$3:$G$22)</f>
        <v/>
      </c>
      <c r="N3641">
        <f>SUMPRODUCT(Calc!$K$3:$K$22*(Calc!$G$3:$G$22&gt;A3641)*(Calc!$G$3:$G$22-A3641)*Calc!$I$3:$I$22)</f>
        <v/>
      </c>
      <c r="O3641">
        <f>SUMPRODUCT(Calc!$K$3:$K$22*(Calc!$G$3:$G$22&gt;B3641)*(Calc!$G$3:$G$22-B3641)*Calc!$I$3:$I$22)</f>
        <v/>
      </c>
      <c r="P3641">
        <f>I3641-G3641^2/k_n</f>
        <v/>
      </c>
      <c r="Q3641">
        <f>J3641-H3641^2/k_n</f>
        <v/>
      </c>
      <c r="R3641">
        <f>K3641-G3641*H3641/k_n</f>
        <v/>
      </c>
      <c r="S3641">
        <f>L3641-LTP3!$D$3*G3641/k_n</f>
        <v/>
      </c>
      <c r="T3641">
        <f>M3641-LTP3!$D$3*H3641/k_n</f>
        <v/>
      </c>
      <c r="U3641">
        <f>N3641-G3641*LTP3!$D$4/k_n</f>
        <v/>
      </c>
      <c r="V3641">
        <f>O3641-H3641*LTP3!$D$4/k_n</f>
        <v/>
      </c>
      <c r="W3641">
        <f>((LTP3!$D$5)*((P3641)*(Q3641)-(R3641)*(R3641))-(S3641)*((S3641)*(Q3641)-(R3641)*(T3641))+(T3641)*((S3641)*(R3641)-(P3641)*(T3641)))</f>
        <v/>
      </c>
      <c r="X3641">
        <f>IF(ABS(W3641)&gt;1E-12,((LTP3!$D$6)*((P3641)*(Q3641)-(R3641)*(R3641))-(S3641)*((U3641)*(Q3641)-(R3641)*(V3641))+(T3641)*((U3641)*(R3641)-(P3641)*(V3641)))/W3641,0)</f>
        <v/>
      </c>
      <c r="Y3641">
        <f>IF(ABS(W3641)&gt;1E-12,((LTP3!$D$5)*((U3641)*(Q3641)-(R3641)*(V3641))-(LTP3!$D$6)*((S3641)*(Q3641)-(R3641)*(T3641))+(T3641)*((S3641)*(V3641)-(U3641)*(T3641)))/W3641,0)</f>
        <v/>
      </c>
      <c r="Z3641">
        <f>IF(ABS(W3641)&gt;1E-12,((LTP3!$D$5)*((P3641)*(V3641)-(U3641)*(R3641))-(S3641)*((S3641)*(V3641)-(U3641)*(T3641))+(LTP3!$D$6)*((S3641)*(R3641)-(P3641)*(T3641)))/W3641,0)</f>
        <v/>
      </c>
      <c r="AA3641">
        <f>LTP3!$D$7-X3641*LTP3!$D$6-Y3641*U3641-Z3641*V3641</f>
        <v/>
      </c>
      <c r="AB3641">
        <f>IF(AND(F3641,ABS(W3641)&gt;1E-12,Y3641&gt;0,Z3641&gt;0),AA3641,1E+300)</f>
        <v/>
      </c>
    </row>
    <row r="3642">
      <c r="A3642">
        <f>$B$3+$B$5*59</f>
        <v/>
      </c>
      <c r="B3642">
        <f>$B$3+$B$5*31</f>
        <v/>
      </c>
      <c r="C3642">
        <f>SUMPRODUCT(Calc!$K$3:$K$22*(Calc!$G$3:$G$22&lt;=A3642))</f>
        <v/>
      </c>
      <c r="D3642">
        <f>SUMPRODUCT(Calc!$K$3:$K$22*(Calc!$G$3:$G$22&gt;A3642)*(Calc!$G$3:$G$22&lt;B3642))</f>
        <v/>
      </c>
      <c r="E3642">
        <f>SUMPRODUCT(Calc!$K$3:$K$22*(Calc!$G$3:$G$22&gt;=B3642))</f>
        <v/>
      </c>
      <c r="F3642">
        <f>AND(k_n&gt;=5,B3642&gt;A3642+1E-9,C3642&gt;=2,D3642&gt;=1,E3642&gt;=2)</f>
        <v/>
      </c>
      <c r="G3642">
        <f>SUMPRODUCT(Calc!$K$3:$K$22*(Calc!$G$3:$G$22&gt;A3642)*(Calc!$G$3:$G$22-A3642))</f>
        <v/>
      </c>
      <c r="H3642">
        <f>SUMPRODUCT(Calc!$K$3:$K$22*(Calc!$G$3:$G$22&gt;B3642)*(Calc!$G$3:$G$22-B3642))</f>
        <v/>
      </c>
      <c r="I3642">
        <f>SUMPRODUCT(Calc!$K$3:$K$22*(Calc!$G$3:$G$22&gt;A3642)*(Calc!$G$3:$G$22-A3642)^2)</f>
        <v/>
      </c>
      <c r="J3642">
        <f>SUMPRODUCT(Calc!$K$3:$K$22*(Calc!$G$3:$G$22&gt;B3642)*(Calc!$G$3:$G$22-B3642)^2)</f>
        <v/>
      </c>
      <c r="K3642">
        <f>SUMPRODUCT(Calc!$K$3:$K$22*(Calc!$G$3:$G$22&gt;A3642)*(Calc!$G$3:$G$22-A3642)*(Calc!$G$3:$G$22&gt;B3642)*(Calc!$G$3:$G$22-B3642))</f>
        <v/>
      </c>
      <c r="L3642">
        <f>SUMPRODUCT(Calc!$K$3:$K$22*(Calc!$G$3:$G$22&gt;A3642)*(Calc!$G$3:$G$22-A3642)*Calc!$G$3:$G$22)</f>
        <v/>
      </c>
      <c r="M3642">
        <f>SUMPRODUCT(Calc!$K$3:$K$22*(Calc!$G$3:$G$22&gt;B3642)*(Calc!$G$3:$G$22-B3642)*Calc!$G$3:$G$22)</f>
        <v/>
      </c>
      <c r="N3642">
        <f>SUMPRODUCT(Calc!$K$3:$K$22*(Calc!$G$3:$G$22&gt;A3642)*(Calc!$G$3:$G$22-A3642)*Calc!$I$3:$I$22)</f>
        <v/>
      </c>
      <c r="O3642">
        <f>SUMPRODUCT(Calc!$K$3:$K$22*(Calc!$G$3:$G$22&gt;B3642)*(Calc!$G$3:$G$22-B3642)*Calc!$I$3:$I$22)</f>
        <v/>
      </c>
      <c r="P3642">
        <f>I3642-G3642^2/k_n</f>
        <v/>
      </c>
      <c r="Q3642">
        <f>J3642-H3642^2/k_n</f>
        <v/>
      </c>
      <c r="R3642">
        <f>K3642-G3642*H3642/k_n</f>
        <v/>
      </c>
      <c r="S3642">
        <f>L3642-LTP3!$D$3*G3642/k_n</f>
        <v/>
      </c>
      <c r="T3642">
        <f>M3642-LTP3!$D$3*H3642/k_n</f>
        <v/>
      </c>
      <c r="U3642">
        <f>N3642-G3642*LTP3!$D$4/k_n</f>
        <v/>
      </c>
      <c r="V3642">
        <f>O3642-H3642*LTP3!$D$4/k_n</f>
        <v/>
      </c>
      <c r="W3642">
        <f>((LTP3!$D$5)*((P3642)*(Q3642)-(R3642)*(R3642))-(S3642)*((S3642)*(Q3642)-(R3642)*(T3642))+(T3642)*((S3642)*(R3642)-(P3642)*(T3642)))</f>
        <v/>
      </c>
      <c r="X3642">
        <f>IF(ABS(W3642)&gt;1E-12,((LTP3!$D$6)*((P3642)*(Q3642)-(R3642)*(R3642))-(S3642)*((U3642)*(Q3642)-(R3642)*(V3642))+(T3642)*((U3642)*(R3642)-(P3642)*(V3642)))/W3642,0)</f>
        <v/>
      </c>
      <c r="Y3642">
        <f>IF(ABS(W3642)&gt;1E-12,((LTP3!$D$5)*((U3642)*(Q3642)-(R3642)*(V3642))-(LTP3!$D$6)*((S3642)*(Q3642)-(R3642)*(T3642))+(T3642)*((S3642)*(V3642)-(U3642)*(T3642)))/W3642,0)</f>
        <v/>
      </c>
      <c r="Z3642">
        <f>IF(ABS(W3642)&gt;1E-12,((LTP3!$D$5)*((P3642)*(V3642)-(U3642)*(R3642))-(S3642)*((S3642)*(V3642)-(U3642)*(T3642))+(LTP3!$D$6)*((S3642)*(R3642)-(P3642)*(T3642)))/W3642,0)</f>
        <v/>
      </c>
      <c r="AA3642">
        <f>LTP3!$D$7-X3642*LTP3!$D$6-Y3642*U3642-Z3642*V3642</f>
        <v/>
      </c>
      <c r="AB3642">
        <f>IF(AND(F3642,ABS(W3642)&gt;1E-12,Y3642&gt;0,Z3642&gt;0),AA3642,1E+300)</f>
        <v/>
      </c>
    </row>
    <row r="3643">
      <c r="A3643">
        <f>$B$3+$B$5*59</f>
        <v/>
      </c>
      <c r="B3643">
        <f>$B$3+$B$5*32</f>
        <v/>
      </c>
      <c r="C3643">
        <f>SUMPRODUCT(Calc!$K$3:$K$22*(Calc!$G$3:$G$22&lt;=A3643))</f>
        <v/>
      </c>
      <c r="D3643">
        <f>SUMPRODUCT(Calc!$K$3:$K$22*(Calc!$G$3:$G$22&gt;A3643)*(Calc!$G$3:$G$22&lt;B3643))</f>
        <v/>
      </c>
      <c r="E3643">
        <f>SUMPRODUCT(Calc!$K$3:$K$22*(Calc!$G$3:$G$22&gt;=B3643))</f>
        <v/>
      </c>
      <c r="F3643">
        <f>AND(k_n&gt;=5,B3643&gt;A3643+1E-9,C3643&gt;=2,D3643&gt;=1,E3643&gt;=2)</f>
        <v/>
      </c>
      <c r="G3643">
        <f>SUMPRODUCT(Calc!$K$3:$K$22*(Calc!$G$3:$G$22&gt;A3643)*(Calc!$G$3:$G$22-A3643))</f>
        <v/>
      </c>
      <c r="H3643">
        <f>SUMPRODUCT(Calc!$K$3:$K$22*(Calc!$G$3:$G$22&gt;B3643)*(Calc!$G$3:$G$22-B3643))</f>
        <v/>
      </c>
      <c r="I3643">
        <f>SUMPRODUCT(Calc!$K$3:$K$22*(Calc!$G$3:$G$22&gt;A3643)*(Calc!$G$3:$G$22-A3643)^2)</f>
        <v/>
      </c>
      <c r="J3643">
        <f>SUMPRODUCT(Calc!$K$3:$K$22*(Calc!$G$3:$G$22&gt;B3643)*(Calc!$G$3:$G$22-B3643)^2)</f>
        <v/>
      </c>
      <c r="K3643">
        <f>SUMPRODUCT(Calc!$K$3:$K$22*(Calc!$G$3:$G$22&gt;A3643)*(Calc!$G$3:$G$22-A3643)*(Calc!$G$3:$G$22&gt;B3643)*(Calc!$G$3:$G$22-B3643))</f>
        <v/>
      </c>
      <c r="L3643">
        <f>SUMPRODUCT(Calc!$K$3:$K$22*(Calc!$G$3:$G$22&gt;A3643)*(Calc!$G$3:$G$22-A3643)*Calc!$G$3:$G$22)</f>
        <v/>
      </c>
      <c r="M3643">
        <f>SUMPRODUCT(Calc!$K$3:$K$22*(Calc!$G$3:$G$22&gt;B3643)*(Calc!$G$3:$G$22-B3643)*Calc!$G$3:$G$22)</f>
        <v/>
      </c>
      <c r="N3643">
        <f>SUMPRODUCT(Calc!$K$3:$K$22*(Calc!$G$3:$G$22&gt;A3643)*(Calc!$G$3:$G$22-A3643)*Calc!$I$3:$I$22)</f>
        <v/>
      </c>
      <c r="O3643">
        <f>SUMPRODUCT(Calc!$K$3:$K$22*(Calc!$G$3:$G$22&gt;B3643)*(Calc!$G$3:$G$22-B3643)*Calc!$I$3:$I$22)</f>
        <v/>
      </c>
      <c r="P3643">
        <f>I3643-G3643^2/k_n</f>
        <v/>
      </c>
      <c r="Q3643">
        <f>J3643-H3643^2/k_n</f>
        <v/>
      </c>
      <c r="R3643">
        <f>K3643-G3643*H3643/k_n</f>
        <v/>
      </c>
      <c r="S3643">
        <f>L3643-LTP3!$D$3*G3643/k_n</f>
        <v/>
      </c>
      <c r="T3643">
        <f>M3643-LTP3!$D$3*H3643/k_n</f>
        <v/>
      </c>
      <c r="U3643">
        <f>N3643-G3643*LTP3!$D$4/k_n</f>
        <v/>
      </c>
      <c r="V3643">
        <f>O3643-H3643*LTP3!$D$4/k_n</f>
        <v/>
      </c>
      <c r="W3643">
        <f>((LTP3!$D$5)*((P3643)*(Q3643)-(R3643)*(R3643))-(S3643)*((S3643)*(Q3643)-(R3643)*(T3643))+(T3643)*((S3643)*(R3643)-(P3643)*(T3643)))</f>
        <v/>
      </c>
      <c r="X3643">
        <f>IF(ABS(W3643)&gt;1E-12,((LTP3!$D$6)*((P3643)*(Q3643)-(R3643)*(R3643))-(S3643)*((U3643)*(Q3643)-(R3643)*(V3643))+(T3643)*((U3643)*(R3643)-(P3643)*(V3643)))/W3643,0)</f>
        <v/>
      </c>
      <c r="Y3643">
        <f>IF(ABS(W3643)&gt;1E-12,((LTP3!$D$5)*((U3643)*(Q3643)-(R3643)*(V3643))-(LTP3!$D$6)*((S3643)*(Q3643)-(R3643)*(T3643))+(T3643)*((S3643)*(V3643)-(U3643)*(T3643)))/W3643,0)</f>
        <v/>
      </c>
      <c r="Z3643">
        <f>IF(ABS(W3643)&gt;1E-12,((LTP3!$D$5)*((P3643)*(V3643)-(U3643)*(R3643))-(S3643)*((S3643)*(V3643)-(U3643)*(T3643))+(LTP3!$D$6)*((S3643)*(R3643)-(P3643)*(T3643)))/W3643,0)</f>
        <v/>
      </c>
      <c r="AA3643">
        <f>LTP3!$D$7-X3643*LTP3!$D$6-Y3643*U3643-Z3643*V3643</f>
        <v/>
      </c>
      <c r="AB3643">
        <f>IF(AND(F3643,ABS(W3643)&gt;1E-12,Y3643&gt;0,Z3643&gt;0),AA3643,1E+300)</f>
        <v/>
      </c>
    </row>
    <row r="3644">
      <c r="A3644">
        <f>$B$3+$B$5*59</f>
        <v/>
      </c>
      <c r="B3644">
        <f>$B$3+$B$5*33</f>
        <v/>
      </c>
      <c r="C3644">
        <f>SUMPRODUCT(Calc!$K$3:$K$22*(Calc!$G$3:$G$22&lt;=A3644))</f>
        <v/>
      </c>
      <c r="D3644">
        <f>SUMPRODUCT(Calc!$K$3:$K$22*(Calc!$G$3:$G$22&gt;A3644)*(Calc!$G$3:$G$22&lt;B3644))</f>
        <v/>
      </c>
      <c r="E3644">
        <f>SUMPRODUCT(Calc!$K$3:$K$22*(Calc!$G$3:$G$22&gt;=B3644))</f>
        <v/>
      </c>
      <c r="F3644">
        <f>AND(k_n&gt;=5,B3644&gt;A3644+1E-9,C3644&gt;=2,D3644&gt;=1,E3644&gt;=2)</f>
        <v/>
      </c>
      <c r="G3644">
        <f>SUMPRODUCT(Calc!$K$3:$K$22*(Calc!$G$3:$G$22&gt;A3644)*(Calc!$G$3:$G$22-A3644))</f>
        <v/>
      </c>
      <c r="H3644">
        <f>SUMPRODUCT(Calc!$K$3:$K$22*(Calc!$G$3:$G$22&gt;B3644)*(Calc!$G$3:$G$22-B3644))</f>
        <v/>
      </c>
      <c r="I3644">
        <f>SUMPRODUCT(Calc!$K$3:$K$22*(Calc!$G$3:$G$22&gt;A3644)*(Calc!$G$3:$G$22-A3644)^2)</f>
        <v/>
      </c>
      <c r="J3644">
        <f>SUMPRODUCT(Calc!$K$3:$K$22*(Calc!$G$3:$G$22&gt;B3644)*(Calc!$G$3:$G$22-B3644)^2)</f>
        <v/>
      </c>
      <c r="K3644">
        <f>SUMPRODUCT(Calc!$K$3:$K$22*(Calc!$G$3:$G$22&gt;A3644)*(Calc!$G$3:$G$22-A3644)*(Calc!$G$3:$G$22&gt;B3644)*(Calc!$G$3:$G$22-B3644))</f>
        <v/>
      </c>
      <c r="L3644">
        <f>SUMPRODUCT(Calc!$K$3:$K$22*(Calc!$G$3:$G$22&gt;A3644)*(Calc!$G$3:$G$22-A3644)*Calc!$G$3:$G$22)</f>
        <v/>
      </c>
      <c r="M3644">
        <f>SUMPRODUCT(Calc!$K$3:$K$22*(Calc!$G$3:$G$22&gt;B3644)*(Calc!$G$3:$G$22-B3644)*Calc!$G$3:$G$22)</f>
        <v/>
      </c>
      <c r="N3644">
        <f>SUMPRODUCT(Calc!$K$3:$K$22*(Calc!$G$3:$G$22&gt;A3644)*(Calc!$G$3:$G$22-A3644)*Calc!$I$3:$I$22)</f>
        <v/>
      </c>
      <c r="O3644">
        <f>SUMPRODUCT(Calc!$K$3:$K$22*(Calc!$G$3:$G$22&gt;B3644)*(Calc!$G$3:$G$22-B3644)*Calc!$I$3:$I$22)</f>
        <v/>
      </c>
      <c r="P3644">
        <f>I3644-G3644^2/k_n</f>
        <v/>
      </c>
      <c r="Q3644">
        <f>J3644-H3644^2/k_n</f>
        <v/>
      </c>
      <c r="R3644">
        <f>K3644-G3644*H3644/k_n</f>
        <v/>
      </c>
      <c r="S3644">
        <f>L3644-LTP3!$D$3*G3644/k_n</f>
        <v/>
      </c>
      <c r="T3644">
        <f>M3644-LTP3!$D$3*H3644/k_n</f>
        <v/>
      </c>
      <c r="U3644">
        <f>N3644-G3644*LTP3!$D$4/k_n</f>
        <v/>
      </c>
      <c r="V3644">
        <f>O3644-H3644*LTP3!$D$4/k_n</f>
        <v/>
      </c>
      <c r="W3644">
        <f>((LTP3!$D$5)*((P3644)*(Q3644)-(R3644)*(R3644))-(S3644)*((S3644)*(Q3644)-(R3644)*(T3644))+(T3644)*((S3644)*(R3644)-(P3644)*(T3644)))</f>
        <v/>
      </c>
      <c r="X3644">
        <f>IF(ABS(W3644)&gt;1E-12,((LTP3!$D$6)*((P3644)*(Q3644)-(R3644)*(R3644))-(S3644)*((U3644)*(Q3644)-(R3644)*(V3644))+(T3644)*((U3644)*(R3644)-(P3644)*(V3644)))/W3644,0)</f>
        <v/>
      </c>
      <c r="Y3644">
        <f>IF(ABS(W3644)&gt;1E-12,((LTP3!$D$5)*((U3644)*(Q3644)-(R3644)*(V3644))-(LTP3!$D$6)*((S3644)*(Q3644)-(R3644)*(T3644))+(T3644)*((S3644)*(V3644)-(U3644)*(T3644)))/W3644,0)</f>
        <v/>
      </c>
      <c r="Z3644">
        <f>IF(ABS(W3644)&gt;1E-12,((LTP3!$D$5)*((P3644)*(V3644)-(U3644)*(R3644))-(S3644)*((S3644)*(V3644)-(U3644)*(T3644))+(LTP3!$D$6)*((S3644)*(R3644)-(P3644)*(T3644)))/W3644,0)</f>
        <v/>
      </c>
      <c r="AA3644">
        <f>LTP3!$D$7-X3644*LTP3!$D$6-Y3644*U3644-Z3644*V3644</f>
        <v/>
      </c>
      <c r="AB3644">
        <f>IF(AND(F3644,ABS(W3644)&gt;1E-12,Y3644&gt;0,Z3644&gt;0),AA3644,1E+300)</f>
        <v/>
      </c>
    </row>
    <row r="3645">
      <c r="A3645">
        <f>$B$3+$B$5*59</f>
        <v/>
      </c>
      <c r="B3645">
        <f>$B$3+$B$5*34</f>
        <v/>
      </c>
      <c r="C3645">
        <f>SUMPRODUCT(Calc!$K$3:$K$22*(Calc!$G$3:$G$22&lt;=A3645))</f>
        <v/>
      </c>
      <c r="D3645">
        <f>SUMPRODUCT(Calc!$K$3:$K$22*(Calc!$G$3:$G$22&gt;A3645)*(Calc!$G$3:$G$22&lt;B3645))</f>
        <v/>
      </c>
      <c r="E3645">
        <f>SUMPRODUCT(Calc!$K$3:$K$22*(Calc!$G$3:$G$22&gt;=B3645))</f>
        <v/>
      </c>
      <c r="F3645">
        <f>AND(k_n&gt;=5,B3645&gt;A3645+1E-9,C3645&gt;=2,D3645&gt;=1,E3645&gt;=2)</f>
        <v/>
      </c>
      <c r="G3645">
        <f>SUMPRODUCT(Calc!$K$3:$K$22*(Calc!$G$3:$G$22&gt;A3645)*(Calc!$G$3:$G$22-A3645))</f>
        <v/>
      </c>
      <c r="H3645">
        <f>SUMPRODUCT(Calc!$K$3:$K$22*(Calc!$G$3:$G$22&gt;B3645)*(Calc!$G$3:$G$22-B3645))</f>
        <v/>
      </c>
      <c r="I3645">
        <f>SUMPRODUCT(Calc!$K$3:$K$22*(Calc!$G$3:$G$22&gt;A3645)*(Calc!$G$3:$G$22-A3645)^2)</f>
        <v/>
      </c>
      <c r="J3645">
        <f>SUMPRODUCT(Calc!$K$3:$K$22*(Calc!$G$3:$G$22&gt;B3645)*(Calc!$G$3:$G$22-B3645)^2)</f>
        <v/>
      </c>
      <c r="K3645">
        <f>SUMPRODUCT(Calc!$K$3:$K$22*(Calc!$G$3:$G$22&gt;A3645)*(Calc!$G$3:$G$22-A3645)*(Calc!$G$3:$G$22&gt;B3645)*(Calc!$G$3:$G$22-B3645))</f>
        <v/>
      </c>
      <c r="L3645">
        <f>SUMPRODUCT(Calc!$K$3:$K$22*(Calc!$G$3:$G$22&gt;A3645)*(Calc!$G$3:$G$22-A3645)*Calc!$G$3:$G$22)</f>
        <v/>
      </c>
      <c r="M3645">
        <f>SUMPRODUCT(Calc!$K$3:$K$22*(Calc!$G$3:$G$22&gt;B3645)*(Calc!$G$3:$G$22-B3645)*Calc!$G$3:$G$22)</f>
        <v/>
      </c>
      <c r="N3645">
        <f>SUMPRODUCT(Calc!$K$3:$K$22*(Calc!$G$3:$G$22&gt;A3645)*(Calc!$G$3:$G$22-A3645)*Calc!$I$3:$I$22)</f>
        <v/>
      </c>
      <c r="O3645">
        <f>SUMPRODUCT(Calc!$K$3:$K$22*(Calc!$G$3:$G$22&gt;B3645)*(Calc!$G$3:$G$22-B3645)*Calc!$I$3:$I$22)</f>
        <v/>
      </c>
      <c r="P3645">
        <f>I3645-G3645^2/k_n</f>
        <v/>
      </c>
      <c r="Q3645">
        <f>J3645-H3645^2/k_n</f>
        <v/>
      </c>
      <c r="R3645">
        <f>K3645-G3645*H3645/k_n</f>
        <v/>
      </c>
      <c r="S3645">
        <f>L3645-LTP3!$D$3*G3645/k_n</f>
        <v/>
      </c>
      <c r="T3645">
        <f>M3645-LTP3!$D$3*H3645/k_n</f>
        <v/>
      </c>
      <c r="U3645">
        <f>N3645-G3645*LTP3!$D$4/k_n</f>
        <v/>
      </c>
      <c r="V3645">
        <f>O3645-H3645*LTP3!$D$4/k_n</f>
        <v/>
      </c>
      <c r="W3645">
        <f>((LTP3!$D$5)*((P3645)*(Q3645)-(R3645)*(R3645))-(S3645)*((S3645)*(Q3645)-(R3645)*(T3645))+(T3645)*((S3645)*(R3645)-(P3645)*(T3645)))</f>
        <v/>
      </c>
      <c r="X3645">
        <f>IF(ABS(W3645)&gt;1E-12,((LTP3!$D$6)*((P3645)*(Q3645)-(R3645)*(R3645))-(S3645)*((U3645)*(Q3645)-(R3645)*(V3645))+(T3645)*((U3645)*(R3645)-(P3645)*(V3645)))/W3645,0)</f>
        <v/>
      </c>
      <c r="Y3645">
        <f>IF(ABS(W3645)&gt;1E-12,((LTP3!$D$5)*((U3645)*(Q3645)-(R3645)*(V3645))-(LTP3!$D$6)*((S3645)*(Q3645)-(R3645)*(T3645))+(T3645)*((S3645)*(V3645)-(U3645)*(T3645)))/W3645,0)</f>
        <v/>
      </c>
      <c r="Z3645">
        <f>IF(ABS(W3645)&gt;1E-12,((LTP3!$D$5)*((P3645)*(V3645)-(U3645)*(R3645))-(S3645)*((S3645)*(V3645)-(U3645)*(T3645))+(LTP3!$D$6)*((S3645)*(R3645)-(P3645)*(T3645)))/W3645,0)</f>
        <v/>
      </c>
      <c r="AA3645">
        <f>LTP3!$D$7-X3645*LTP3!$D$6-Y3645*U3645-Z3645*V3645</f>
        <v/>
      </c>
      <c r="AB3645">
        <f>IF(AND(F3645,ABS(W3645)&gt;1E-12,Y3645&gt;0,Z3645&gt;0),AA3645,1E+300)</f>
        <v/>
      </c>
    </row>
    <row r="3646">
      <c r="A3646">
        <f>$B$3+$B$5*59</f>
        <v/>
      </c>
      <c r="B3646">
        <f>$B$3+$B$5*35</f>
        <v/>
      </c>
      <c r="C3646">
        <f>SUMPRODUCT(Calc!$K$3:$K$22*(Calc!$G$3:$G$22&lt;=A3646))</f>
        <v/>
      </c>
      <c r="D3646">
        <f>SUMPRODUCT(Calc!$K$3:$K$22*(Calc!$G$3:$G$22&gt;A3646)*(Calc!$G$3:$G$22&lt;B3646))</f>
        <v/>
      </c>
      <c r="E3646">
        <f>SUMPRODUCT(Calc!$K$3:$K$22*(Calc!$G$3:$G$22&gt;=B3646))</f>
        <v/>
      </c>
      <c r="F3646">
        <f>AND(k_n&gt;=5,B3646&gt;A3646+1E-9,C3646&gt;=2,D3646&gt;=1,E3646&gt;=2)</f>
        <v/>
      </c>
      <c r="G3646">
        <f>SUMPRODUCT(Calc!$K$3:$K$22*(Calc!$G$3:$G$22&gt;A3646)*(Calc!$G$3:$G$22-A3646))</f>
        <v/>
      </c>
      <c r="H3646">
        <f>SUMPRODUCT(Calc!$K$3:$K$22*(Calc!$G$3:$G$22&gt;B3646)*(Calc!$G$3:$G$22-B3646))</f>
        <v/>
      </c>
      <c r="I3646">
        <f>SUMPRODUCT(Calc!$K$3:$K$22*(Calc!$G$3:$G$22&gt;A3646)*(Calc!$G$3:$G$22-A3646)^2)</f>
        <v/>
      </c>
      <c r="J3646">
        <f>SUMPRODUCT(Calc!$K$3:$K$22*(Calc!$G$3:$G$22&gt;B3646)*(Calc!$G$3:$G$22-B3646)^2)</f>
        <v/>
      </c>
      <c r="K3646">
        <f>SUMPRODUCT(Calc!$K$3:$K$22*(Calc!$G$3:$G$22&gt;A3646)*(Calc!$G$3:$G$22-A3646)*(Calc!$G$3:$G$22&gt;B3646)*(Calc!$G$3:$G$22-B3646))</f>
        <v/>
      </c>
      <c r="L3646">
        <f>SUMPRODUCT(Calc!$K$3:$K$22*(Calc!$G$3:$G$22&gt;A3646)*(Calc!$G$3:$G$22-A3646)*Calc!$G$3:$G$22)</f>
        <v/>
      </c>
      <c r="M3646">
        <f>SUMPRODUCT(Calc!$K$3:$K$22*(Calc!$G$3:$G$22&gt;B3646)*(Calc!$G$3:$G$22-B3646)*Calc!$G$3:$G$22)</f>
        <v/>
      </c>
      <c r="N3646">
        <f>SUMPRODUCT(Calc!$K$3:$K$22*(Calc!$G$3:$G$22&gt;A3646)*(Calc!$G$3:$G$22-A3646)*Calc!$I$3:$I$22)</f>
        <v/>
      </c>
      <c r="O3646">
        <f>SUMPRODUCT(Calc!$K$3:$K$22*(Calc!$G$3:$G$22&gt;B3646)*(Calc!$G$3:$G$22-B3646)*Calc!$I$3:$I$22)</f>
        <v/>
      </c>
      <c r="P3646">
        <f>I3646-G3646^2/k_n</f>
        <v/>
      </c>
      <c r="Q3646">
        <f>J3646-H3646^2/k_n</f>
        <v/>
      </c>
      <c r="R3646">
        <f>K3646-G3646*H3646/k_n</f>
        <v/>
      </c>
      <c r="S3646">
        <f>L3646-LTP3!$D$3*G3646/k_n</f>
        <v/>
      </c>
      <c r="T3646">
        <f>M3646-LTP3!$D$3*H3646/k_n</f>
        <v/>
      </c>
      <c r="U3646">
        <f>N3646-G3646*LTP3!$D$4/k_n</f>
        <v/>
      </c>
      <c r="V3646">
        <f>O3646-H3646*LTP3!$D$4/k_n</f>
        <v/>
      </c>
      <c r="W3646">
        <f>((LTP3!$D$5)*((P3646)*(Q3646)-(R3646)*(R3646))-(S3646)*((S3646)*(Q3646)-(R3646)*(T3646))+(T3646)*((S3646)*(R3646)-(P3646)*(T3646)))</f>
        <v/>
      </c>
      <c r="X3646">
        <f>IF(ABS(W3646)&gt;1E-12,((LTP3!$D$6)*((P3646)*(Q3646)-(R3646)*(R3646))-(S3646)*((U3646)*(Q3646)-(R3646)*(V3646))+(T3646)*((U3646)*(R3646)-(P3646)*(V3646)))/W3646,0)</f>
        <v/>
      </c>
      <c r="Y3646">
        <f>IF(ABS(W3646)&gt;1E-12,((LTP3!$D$5)*((U3646)*(Q3646)-(R3646)*(V3646))-(LTP3!$D$6)*((S3646)*(Q3646)-(R3646)*(T3646))+(T3646)*((S3646)*(V3646)-(U3646)*(T3646)))/W3646,0)</f>
        <v/>
      </c>
      <c r="Z3646">
        <f>IF(ABS(W3646)&gt;1E-12,((LTP3!$D$5)*((P3646)*(V3646)-(U3646)*(R3646))-(S3646)*((S3646)*(V3646)-(U3646)*(T3646))+(LTP3!$D$6)*((S3646)*(R3646)-(P3646)*(T3646)))/W3646,0)</f>
        <v/>
      </c>
      <c r="AA3646">
        <f>LTP3!$D$7-X3646*LTP3!$D$6-Y3646*U3646-Z3646*V3646</f>
        <v/>
      </c>
      <c r="AB3646">
        <f>IF(AND(F3646,ABS(W3646)&gt;1E-12,Y3646&gt;0,Z3646&gt;0),AA3646,1E+300)</f>
        <v/>
      </c>
    </row>
    <row r="3647">
      <c r="A3647">
        <f>$B$3+$B$5*59</f>
        <v/>
      </c>
      <c r="B3647">
        <f>$B$3+$B$5*36</f>
        <v/>
      </c>
      <c r="C3647">
        <f>SUMPRODUCT(Calc!$K$3:$K$22*(Calc!$G$3:$G$22&lt;=A3647))</f>
        <v/>
      </c>
      <c r="D3647">
        <f>SUMPRODUCT(Calc!$K$3:$K$22*(Calc!$G$3:$G$22&gt;A3647)*(Calc!$G$3:$G$22&lt;B3647))</f>
        <v/>
      </c>
      <c r="E3647">
        <f>SUMPRODUCT(Calc!$K$3:$K$22*(Calc!$G$3:$G$22&gt;=B3647))</f>
        <v/>
      </c>
      <c r="F3647">
        <f>AND(k_n&gt;=5,B3647&gt;A3647+1E-9,C3647&gt;=2,D3647&gt;=1,E3647&gt;=2)</f>
        <v/>
      </c>
      <c r="G3647">
        <f>SUMPRODUCT(Calc!$K$3:$K$22*(Calc!$G$3:$G$22&gt;A3647)*(Calc!$G$3:$G$22-A3647))</f>
        <v/>
      </c>
      <c r="H3647">
        <f>SUMPRODUCT(Calc!$K$3:$K$22*(Calc!$G$3:$G$22&gt;B3647)*(Calc!$G$3:$G$22-B3647))</f>
        <v/>
      </c>
      <c r="I3647">
        <f>SUMPRODUCT(Calc!$K$3:$K$22*(Calc!$G$3:$G$22&gt;A3647)*(Calc!$G$3:$G$22-A3647)^2)</f>
        <v/>
      </c>
      <c r="J3647">
        <f>SUMPRODUCT(Calc!$K$3:$K$22*(Calc!$G$3:$G$22&gt;B3647)*(Calc!$G$3:$G$22-B3647)^2)</f>
        <v/>
      </c>
      <c r="K3647">
        <f>SUMPRODUCT(Calc!$K$3:$K$22*(Calc!$G$3:$G$22&gt;A3647)*(Calc!$G$3:$G$22-A3647)*(Calc!$G$3:$G$22&gt;B3647)*(Calc!$G$3:$G$22-B3647))</f>
        <v/>
      </c>
      <c r="L3647">
        <f>SUMPRODUCT(Calc!$K$3:$K$22*(Calc!$G$3:$G$22&gt;A3647)*(Calc!$G$3:$G$22-A3647)*Calc!$G$3:$G$22)</f>
        <v/>
      </c>
      <c r="M3647">
        <f>SUMPRODUCT(Calc!$K$3:$K$22*(Calc!$G$3:$G$22&gt;B3647)*(Calc!$G$3:$G$22-B3647)*Calc!$G$3:$G$22)</f>
        <v/>
      </c>
      <c r="N3647">
        <f>SUMPRODUCT(Calc!$K$3:$K$22*(Calc!$G$3:$G$22&gt;A3647)*(Calc!$G$3:$G$22-A3647)*Calc!$I$3:$I$22)</f>
        <v/>
      </c>
      <c r="O3647">
        <f>SUMPRODUCT(Calc!$K$3:$K$22*(Calc!$G$3:$G$22&gt;B3647)*(Calc!$G$3:$G$22-B3647)*Calc!$I$3:$I$22)</f>
        <v/>
      </c>
      <c r="P3647">
        <f>I3647-G3647^2/k_n</f>
        <v/>
      </c>
      <c r="Q3647">
        <f>J3647-H3647^2/k_n</f>
        <v/>
      </c>
      <c r="R3647">
        <f>K3647-G3647*H3647/k_n</f>
        <v/>
      </c>
      <c r="S3647">
        <f>L3647-LTP3!$D$3*G3647/k_n</f>
        <v/>
      </c>
      <c r="T3647">
        <f>M3647-LTP3!$D$3*H3647/k_n</f>
        <v/>
      </c>
      <c r="U3647">
        <f>N3647-G3647*LTP3!$D$4/k_n</f>
        <v/>
      </c>
      <c r="V3647">
        <f>O3647-H3647*LTP3!$D$4/k_n</f>
        <v/>
      </c>
      <c r="W3647">
        <f>((LTP3!$D$5)*((P3647)*(Q3647)-(R3647)*(R3647))-(S3647)*((S3647)*(Q3647)-(R3647)*(T3647))+(T3647)*((S3647)*(R3647)-(P3647)*(T3647)))</f>
        <v/>
      </c>
      <c r="X3647">
        <f>IF(ABS(W3647)&gt;1E-12,((LTP3!$D$6)*((P3647)*(Q3647)-(R3647)*(R3647))-(S3647)*((U3647)*(Q3647)-(R3647)*(V3647))+(T3647)*((U3647)*(R3647)-(P3647)*(V3647)))/W3647,0)</f>
        <v/>
      </c>
      <c r="Y3647">
        <f>IF(ABS(W3647)&gt;1E-12,((LTP3!$D$5)*((U3647)*(Q3647)-(R3647)*(V3647))-(LTP3!$D$6)*((S3647)*(Q3647)-(R3647)*(T3647))+(T3647)*((S3647)*(V3647)-(U3647)*(T3647)))/W3647,0)</f>
        <v/>
      </c>
      <c r="Z3647">
        <f>IF(ABS(W3647)&gt;1E-12,((LTP3!$D$5)*((P3647)*(V3647)-(U3647)*(R3647))-(S3647)*((S3647)*(V3647)-(U3647)*(T3647))+(LTP3!$D$6)*((S3647)*(R3647)-(P3647)*(T3647)))/W3647,0)</f>
        <v/>
      </c>
      <c r="AA3647">
        <f>LTP3!$D$7-X3647*LTP3!$D$6-Y3647*U3647-Z3647*V3647</f>
        <v/>
      </c>
      <c r="AB3647">
        <f>IF(AND(F3647,ABS(W3647)&gt;1E-12,Y3647&gt;0,Z3647&gt;0),AA3647,1E+300)</f>
        <v/>
      </c>
    </row>
    <row r="3648">
      <c r="A3648">
        <f>$B$3+$B$5*59</f>
        <v/>
      </c>
      <c r="B3648">
        <f>$B$3+$B$5*37</f>
        <v/>
      </c>
      <c r="C3648">
        <f>SUMPRODUCT(Calc!$K$3:$K$22*(Calc!$G$3:$G$22&lt;=A3648))</f>
        <v/>
      </c>
      <c r="D3648">
        <f>SUMPRODUCT(Calc!$K$3:$K$22*(Calc!$G$3:$G$22&gt;A3648)*(Calc!$G$3:$G$22&lt;B3648))</f>
        <v/>
      </c>
      <c r="E3648">
        <f>SUMPRODUCT(Calc!$K$3:$K$22*(Calc!$G$3:$G$22&gt;=B3648))</f>
        <v/>
      </c>
      <c r="F3648">
        <f>AND(k_n&gt;=5,B3648&gt;A3648+1E-9,C3648&gt;=2,D3648&gt;=1,E3648&gt;=2)</f>
        <v/>
      </c>
      <c r="G3648">
        <f>SUMPRODUCT(Calc!$K$3:$K$22*(Calc!$G$3:$G$22&gt;A3648)*(Calc!$G$3:$G$22-A3648))</f>
        <v/>
      </c>
      <c r="H3648">
        <f>SUMPRODUCT(Calc!$K$3:$K$22*(Calc!$G$3:$G$22&gt;B3648)*(Calc!$G$3:$G$22-B3648))</f>
        <v/>
      </c>
      <c r="I3648">
        <f>SUMPRODUCT(Calc!$K$3:$K$22*(Calc!$G$3:$G$22&gt;A3648)*(Calc!$G$3:$G$22-A3648)^2)</f>
        <v/>
      </c>
      <c r="J3648">
        <f>SUMPRODUCT(Calc!$K$3:$K$22*(Calc!$G$3:$G$22&gt;B3648)*(Calc!$G$3:$G$22-B3648)^2)</f>
        <v/>
      </c>
      <c r="K3648">
        <f>SUMPRODUCT(Calc!$K$3:$K$22*(Calc!$G$3:$G$22&gt;A3648)*(Calc!$G$3:$G$22-A3648)*(Calc!$G$3:$G$22&gt;B3648)*(Calc!$G$3:$G$22-B3648))</f>
        <v/>
      </c>
      <c r="L3648">
        <f>SUMPRODUCT(Calc!$K$3:$K$22*(Calc!$G$3:$G$22&gt;A3648)*(Calc!$G$3:$G$22-A3648)*Calc!$G$3:$G$22)</f>
        <v/>
      </c>
      <c r="M3648">
        <f>SUMPRODUCT(Calc!$K$3:$K$22*(Calc!$G$3:$G$22&gt;B3648)*(Calc!$G$3:$G$22-B3648)*Calc!$G$3:$G$22)</f>
        <v/>
      </c>
      <c r="N3648">
        <f>SUMPRODUCT(Calc!$K$3:$K$22*(Calc!$G$3:$G$22&gt;A3648)*(Calc!$G$3:$G$22-A3648)*Calc!$I$3:$I$22)</f>
        <v/>
      </c>
      <c r="O3648">
        <f>SUMPRODUCT(Calc!$K$3:$K$22*(Calc!$G$3:$G$22&gt;B3648)*(Calc!$G$3:$G$22-B3648)*Calc!$I$3:$I$22)</f>
        <v/>
      </c>
      <c r="P3648">
        <f>I3648-G3648^2/k_n</f>
        <v/>
      </c>
      <c r="Q3648">
        <f>J3648-H3648^2/k_n</f>
        <v/>
      </c>
      <c r="R3648">
        <f>K3648-G3648*H3648/k_n</f>
        <v/>
      </c>
      <c r="S3648">
        <f>L3648-LTP3!$D$3*G3648/k_n</f>
        <v/>
      </c>
      <c r="T3648">
        <f>M3648-LTP3!$D$3*H3648/k_n</f>
        <v/>
      </c>
      <c r="U3648">
        <f>N3648-G3648*LTP3!$D$4/k_n</f>
        <v/>
      </c>
      <c r="V3648">
        <f>O3648-H3648*LTP3!$D$4/k_n</f>
        <v/>
      </c>
      <c r="W3648">
        <f>((LTP3!$D$5)*((P3648)*(Q3648)-(R3648)*(R3648))-(S3648)*((S3648)*(Q3648)-(R3648)*(T3648))+(T3648)*((S3648)*(R3648)-(P3648)*(T3648)))</f>
        <v/>
      </c>
      <c r="X3648">
        <f>IF(ABS(W3648)&gt;1E-12,((LTP3!$D$6)*((P3648)*(Q3648)-(R3648)*(R3648))-(S3648)*((U3648)*(Q3648)-(R3648)*(V3648))+(T3648)*((U3648)*(R3648)-(P3648)*(V3648)))/W3648,0)</f>
        <v/>
      </c>
      <c r="Y3648">
        <f>IF(ABS(W3648)&gt;1E-12,((LTP3!$D$5)*((U3648)*(Q3648)-(R3648)*(V3648))-(LTP3!$D$6)*((S3648)*(Q3648)-(R3648)*(T3648))+(T3648)*((S3648)*(V3648)-(U3648)*(T3648)))/W3648,0)</f>
        <v/>
      </c>
      <c r="Z3648">
        <f>IF(ABS(W3648)&gt;1E-12,((LTP3!$D$5)*((P3648)*(V3648)-(U3648)*(R3648))-(S3648)*((S3648)*(V3648)-(U3648)*(T3648))+(LTP3!$D$6)*((S3648)*(R3648)-(P3648)*(T3648)))/W3648,0)</f>
        <v/>
      </c>
      <c r="AA3648">
        <f>LTP3!$D$7-X3648*LTP3!$D$6-Y3648*U3648-Z3648*V3648</f>
        <v/>
      </c>
      <c r="AB3648">
        <f>IF(AND(F3648,ABS(W3648)&gt;1E-12,Y3648&gt;0,Z3648&gt;0),AA3648,1E+300)</f>
        <v/>
      </c>
    </row>
    <row r="3649">
      <c r="A3649">
        <f>$B$3+$B$5*59</f>
        <v/>
      </c>
      <c r="B3649">
        <f>$B$3+$B$5*38</f>
        <v/>
      </c>
      <c r="C3649">
        <f>SUMPRODUCT(Calc!$K$3:$K$22*(Calc!$G$3:$G$22&lt;=A3649))</f>
        <v/>
      </c>
      <c r="D3649">
        <f>SUMPRODUCT(Calc!$K$3:$K$22*(Calc!$G$3:$G$22&gt;A3649)*(Calc!$G$3:$G$22&lt;B3649))</f>
        <v/>
      </c>
      <c r="E3649">
        <f>SUMPRODUCT(Calc!$K$3:$K$22*(Calc!$G$3:$G$22&gt;=B3649))</f>
        <v/>
      </c>
      <c r="F3649">
        <f>AND(k_n&gt;=5,B3649&gt;A3649+1E-9,C3649&gt;=2,D3649&gt;=1,E3649&gt;=2)</f>
        <v/>
      </c>
      <c r="G3649">
        <f>SUMPRODUCT(Calc!$K$3:$K$22*(Calc!$G$3:$G$22&gt;A3649)*(Calc!$G$3:$G$22-A3649))</f>
        <v/>
      </c>
      <c r="H3649">
        <f>SUMPRODUCT(Calc!$K$3:$K$22*(Calc!$G$3:$G$22&gt;B3649)*(Calc!$G$3:$G$22-B3649))</f>
        <v/>
      </c>
      <c r="I3649">
        <f>SUMPRODUCT(Calc!$K$3:$K$22*(Calc!$G$3:$G$22&gt;A3649)*(Calc!$G$3:$G$22-A3649)^2)</f>
        <v/>
      </c>
      <c r="J3649">
        <f>SUMPRODUCT(Calc!$K$3:$K$22*(Calc!$G$3:$G$22&gt;B3649)*(Calc!$G$3:$G$22-B3649)^2)</f>
        <v/>
      </c>
      <c r="K3649">
        <f>SUMPRODUCT(Calc!$K$3:$K$22*(Calc!$G$3:$G$22&gt;A3649)*(Calc!$G$3:$G$22-A3649)*(Calc!$G$3:$G$22&gt;B3649)*(Calc!$G$3:$G$22-B3649))</f>
        <v/>
      </c>
      <c r="L3649">
        <f>SUMPRODUCT(Calc!$K$3:$K$22*(Calc!$G$3:$G$22&gt;A3649)*(Calc!$G$3:$G$22-A3649)*Calc!$G$3:$G$22)</f>
        <v/>
      </c>
      <c r="M3649">
        <f>SUMPRODUCT(Calc!$K$3:$K$22*(Calc!$G$3:$G$22&gt;B3649)*(Calc!$G$3:$G$22-B3649)*Calc!$G$3:$G$22)</f>
        <v/>
      </c>
      <c r="N3649">
        <f>SUMPRODUCT(Calc!$K$3:$K$22*(Calc!$G$3:$G$22&gt;A3649)*(Calc!$G$3:$G$22-A3649)*Calc!$I$3:$I$22)</f>
        <v/>
      </c>
      <c r="O3649">
        <f>SUMPRODUCT(Calc!$K$3:$K$22*(Calc!$G$3:$G$22&gt;B3649)*(Calc!$G$3:$G$22-B3649)*Calc!$I$3:$I$22)</f>
        <v/>
      </c>
      <c r="P3649">
        <f>I3649-G3649^2/k_n</f>
        <v/>
      </c>
      <c r="Q3649">
        <f>J3649-H3649^2/k_n</f>
        <v/>
      </c>
      <c r="R3649">
        <f>K3649-G3649*H3649/k_n</f>
        <v/>
      </c>
      <c r="S3649">
        <f>L3649-LTP3!$D$3*G3649/k_n</f>
        <v/>
      </c>
      <c r="T3649">
        <f>M3649-LTP3!$D$3*H3649/k_n</f>
        <v/>
      </c>
      <c r="U3649">
        <f>N3649-G3649*LTP3!$D$4/k_n</f>
        <v/>
      </c>
      <c r="V3649">
        <f>O3649-H3649*LTP3!$D$4/k_n</f>
        <v/>
      </c>
      <c r="W3649">
        <f>((LTP3!$D$5)*((P3649)*(Q3649)-(R3649)*(R3649))-(S3649)*((S3649)*(Q3649)-(R3649)*(T3649))+(T3649)*((S3649)*(R3649)-(P3649)*(T3649)))</f>
        <v/>
      </c>
      <c r="X3649">
        <f>IF(ABS(W3649)&gt;1E-12,((LTP3!$D$6)*((P3649)*(Q3649)-(R3649)*(R3649))-(S3649)*((U3649)*(Q3649)-(R3649)*(V3649))+(T3649)*((U3649)*(R3649)-(P3649)*(V3649)))/W3649,0)</f>
        <v/>
      </c>
      <c r="Y3649">
        <f>IF(ABS(W3649)&gt;1E-12,((LTP3!$D$5)*((U3649)*(Q3649)-(R3649)*(V3649))-(LTP3!$D$6)*((S3649)*(Q3649)-(R3649)*(T3649))+(T3649)*((S3649)*(V3649)-(U3649)*(T3649)))/W3649,0)</f>
        <v/>
      </c>
      <c r="Z3649">
        <f>IF(ABS(W3649)&gt;1E-12,((LTP3!$D$5)*((P3649)*(V3649)-(U3649)*(R3649))-(S3649)*((S3649)*(V3649)-(U3649)*(T3649))+(LTP3!$D$6)*((S3649)*(R3649)-(P3649)*(T3649)))/W3649,0)</f>
        <v/>
      </c>
      <c r="AA3649">
        <f>LTP3!$D$7-X3649*LTP3!$D$6-Y3649*U3649-Z3649*V3649</f>
        <v/>
      </c>
      <c r="AB3649">
        <f>IF(AND(F3649,ABS(W3649)&gt;1E-12,Y3649&gt;0,Z3649&gt;0),AA3649,1E+300)</f>
        <v/>
      </c>
    </row>
    <row r="3650">
      <c r="A3650">
        <f>$B$3+$B$5*59</f>
        <v/>
      </c>
      <c r="B3650">
        <f>$B$3+$B$5*39</f>
        <v/>
      </c>
      <c r="C3650">
        <f>SUMPRODUCT(Calc!$K$3:$K$22*(Calc!$G$3:$G$22&lt;=A3650))</f>
        <v/>
      </c>
      <c r="D3650">
        <f>SUMPRODUCT(Calc!$K$3:$K$22*(Calc!$G$3:$G$22&gt;A3650)*(Calc!$G$3:$G$22&lt;B3650))</f>
        <v/>
      </c>
      <c r="E3650">
        <f>SUMPRODUCT(Calc!$K$3:$K$22*(Calc!$G$3:$G$22&gt;=B3650))</f>
        <v/>
      </c>
      <c r="F3650">
        <f>AND(k_n&gt;=5,B3650&gt;A3650+1E-9,C3650&gt;=2,D3650&gt;=1,E3650&gt;=2)</f>
        <v/>
      </c>
      <c r="G3650">
        <f>SUMPRODUCT(Calc!$K$3:$K$22*(Calc!$G$3:$G$22&gt;A3650)*(Calc!$G$3:$G$22-A3650))</f>
        <v/>
      </c>
      <c r="H3650">
        <f>SUMPRODUCT(Calc!$K$3:$K$22*(Calc!$G$3:$G$22&gt;B3650)*(Calc!$G$3:$G$22-B3650))</f>
        <v/>
      </c>
      <c r="I3650">
        <f>SUMPRODUCT(Calc!$K$3:$K$22*(Calc!$G$3:$G$22&gt;A3650)*(Calc!$G$3:$G$22-A3650)^2)</f>
        <v/>
      </c>
      <c r="J3650">
        <f>SUMPRODUCT(Calc!$K$3:$K$22*(Calc!$G$3:$G$22&gt;B3650)*(Calc!$G$3:$G$22-B3650)^2)</f>
        <v/>
      </c>
      <c r="K3650">
        <f>SUMPRODUCT(Calc!$K$3:$K$22*(Calc!$G$3:$G$22&gt;A3650)*(Calc!$G$3:$G$22-A3650)*(Calc!$G$3:$G$22&gt;B3650)*(Calc!$G$3:$G$22-B3650))</f>
        <v/>
      </c>
      <c r="L3650">
        <f>SUMPRODUCT(Calc!$K$3:$K$22*(Calc!$G$3:$G$22&gt;A3650)*(Calc!$G$3:$G$22-A3650)*Calc!$G$3:$G$22)</f>
        <v/>
      </c>
      <c r="M3650">
        <f>SUMPRODUCT(Calc!$K$3:$K$22*(Calc!$G$3:$G$22&gt;B3650)*(Calc!$G$3:$G$22-B3650)*Calc!$G$3:$G$22)</f>
        <v/>
      </c>
      <c r="N3650">
        <f>SUMPRODUCT(Calc!$K$3:$K$22*(Calc!$G$3:$G$22&gt;A3650)*(Calc!$G$3:$G$22-A3650)*Calc!$I$3:$I$22)</f>
        <v/>
      </c>
      <c r="O3650">
        <f>SUMPRODUCT(Calc!$K$3:$K$22*(Calc!$G$3:$G$22&gt;B3650)*(Calc!$G$3:$G$22-B3650)*Calc!$I$3:$I$22)</f>
        <v/>
      </c>
      <c r="P3650">
        <f>I3650-G3650^2/k_n</f>
        <v/>
      </c>
      <c r="Q3650">
        <f>J3650-H3650^2/k_n</f>
        <v/>
      </c>
      <c r="R3650">
        <f>K3650-G3650*H3650/k_n</f>
        <v/>
      </c>
      <c r="S3650">
        <f>L3650-LTP3!$D$3*G3650/k_n</f>
        <v/>
      </c>
      <c r="T3650">
        <f>M3650-LTP3!$D$3*H3650/k_n</f>
        <v/>
      </c>
      <c r="U3650">
        <f>N3650-G3650*LTP3!$D$4/k_n</f>
        <v/>
      </c>
      <c r="V3650">
        <f>O3650-H3650*LTP3!$D$4/k_n</f>
        <v/>
      </c>
      <c r="W3650">
        <f>((LTP3!$D$5)*((P3650)*(Q3650)-(R3650)*(R3650))-(S3650)*((S3650)*(Q3650)-(R3650)*(T3650))+(T3650)*((S3650)*(R3650)-(P3650)*(T3650)))</f>
        <v/>
      </c>
      <c r="X3650">
        <f>IF(ABS(W3650)&gt;1E-12,((LTP3!$D$6)*((P3650)*(Q3650)-(R3650)*(R3650))-(S3650)*((U3650)*(Q3650)-(R3650)*(V3650))+(T3650)*((U3650)*(R3650)-(P3650)*(V3650)))/W3650,0)</f>
        <v/>
      </c>
      <c r="Y3650">
        <f>IF(ABS(W3650)&gt;1E-12,((LTP3!$D$5)*((U3650)*(Q3650)-(R3650)*(V3650))-(LTP3!$D$6)*((S3650)*(Q3650)-(R3650)*(T3650))+(T3650)*((S3650)*(V3650)-(U3650)*(T3650)))/W3650,0)</f>
        <v/>
      </c>
      <c r="Z3650">
        <f>IF(ABS(W3650)&gt;1E-12,((LTP3!$D$5)*((P3650)*(V3650)-(U3650)*(R3650))-(S3650)*((S3650)*(V3650)-(U3650)*(T3650))+(LTP3!$D$6)*((S3650)*(R3650)-(P3650)*(T3650)))/W3650,0)</f>
        <v/>
      </c>
      <c r="AA3650">
        <f>LTP3!$D$7-X3650*LTP3!$D$6-Y3650*U3650-Z3650*V3650</f>
        <v/>
      </c>
      <c r="AB3650">
        <f>IF(AND(F3650,ABS(W3650)&gt;1E-12,Y3650&gt;0,Z3650&gt;0),AA3650,1E+300)</f>
        <v/>
      </c>
    </row>
    <row r="3651">
      <c r="A3651">
        <f>$B$3+$B$5*59</f>
        <v/>
      </c>
      <c r="B3651">
        <f>$B$3+$B$5*40</f>
        <v/>
      </c>
      <c r="C3651">
        <f>SUMPRODUCT(Calc!$K$3:$K$22*(Calc!$G$3:$G$22&lt;=A3651))</f>
        <v/>
      </c>
      <c r="D3651">
        <f>SUMPRODUCT(Calc!$K$3:$K$22*(Calc!$G$3:$G$22&gt;A3651)*(Calc!$G$3:$G$22&lt;B3651))</f>
        <v/>
      </c>
      <c r="E3651">
        <f>SUMPRODUCT(Calc!$K$3:$K$22*(Calc!$G$3:$G$22&gt;=B3651))</f>
        <v/>
      </c>
      <c r="F3651">
        <f>AND(k_n&gt;=5,B3651&gt;A3651+1E-9,C3651&gt;=2,D3651&gt;=1,E3651&gt;=2)</f>
        <v/>
      </c>
      <c r="G3651">
        <f>SUMPRODUCT(Calc!$K$3:$K$22*(Calc!$G$3:$G$22&gt;A3651)*(Calc!$G$3:$G$22-A3651))</f>
        <v/>
      </c>
      <c r="H3651">
        <f>SUMPRODUCT(Calc!$K$3:$K$22*(Calc!$G$3:$G$22&gt;B3651)*(Calc!$G$3:$G$22-B3651))</f>
        <v/>
      </c>
      <c r="I3651">
        <f>SUMPRODUCT(Calc!$K$3:$K$22*(Calc!$G$3:$G$22&gt;A3651)*(Calc!$G$3:$G$22-A3651)^2)</f>
        <v/>
      </c>
      <c r="J3651">
        <f>SUMPRODUCT(Calc!$K$3:$K$22*(Calc!$G$3:$G$22&gt;B3651)*(Calc!$G$3:$G$22-B3651)^2)</f>
        <v/>
      </c>
      <c r="K3651">
        <f>SUMPRODUCT(Calc!$K$3:$K$22*(Calc!$G$3:$G$22&gt;A3651)*(Calc!$G$3:$G$22-A3651)*(Calc!$G$3:$G$22&gt;B3651)*(Calc!$G$3:$G$22-B3651))</f>
        <v/>
      </c>
      <c r="L3651">
        <f>SUMPRODUCT(Calc!$K$3:$K$22*(Calc!$G$3:$G$22&gt;A3651)*(Calc!$G$3:$G$22-A3651)*Calc!$G$3:$G$22)</f>
        <v/>
      </c>
      <c r="M3651">
        <f>SUMPRODUCT(Calc!$K$3:$K$22*(Calc!$G$3:$G$22&gt;B3651)*(Calc!$G$3:$G$22-B3651)*Calc!$G$3:$G$22)</f>
        <v/>
      </c>
      <c r="N3651">
        <f>SUMPRODUCT(Calc!$K$3:$K$22*(Calc!$G$3:$G$22&gt;A3651)*(Calc!$G$3:$G$22-A3651)*Calc!$I$3:$I$22)</f>
        <v/>
      </c>
      <c r="O3651">
        <f>SUMPRODUCT(Calc!$K$3:$K$22*(Calc!$G$3:$G$22&gt;B3651)*(Calc!$G$3:$G$22-B3651)*Calc!$I$3:$I$22)</f>
        <v/>
      </c>
      <c r="P3651">
        <f>I3651-G3651^2/k_n</f>
        <v/>
      </c>
      <c r="Q3651">
        <f>J3651-H3651^2/k_n</f>
        <v/>
      </c>
      <c r="R3651">
        <f>K3651-G3651*H3651/k_n</f>
        <v/>
      </c>
      <c r="S3651">
        <f>L3651-LTP3!$D$3*G3651/k_n</f>
        <v/>
      </c>
      <c r="T3651">
        <f>M3651-LTP3!$D$3*H3651/k_n</f>
        <v/>
      </c>
      <c r="U3651">
        <f>N3651-G3651*LTP3!$D$4/k_n</f>
        <v/>
      </c>
      <c r="V3651">
        <f>O3651-H3651*LTP3!$D$4/k_n</f>
        <v/>
      </c>
      <c r="W3651">
        <f>((LTP3!$D$5)*((P3651)*(Q3651)-(R3651)*(R3651))-(S3651)*((S3651)*(Q3651)-(R3651)*(T3651))+(T3651)*((S3651)*(R3651)-(P3651)*(T3651)))</f>
        <v/>
      </c>
      <c r="X3651">
        <f>IF(ABS(W3651)&gt;1E-12,((LTP3!$D$6)*((P3651)*(Q3651)-(R3651)*(R3651))-(S3651)*((U3651)*(Q3651)-(R3651)*(V3651))+(T3651)*((U3651)*(R3651)-(P3651)*(V3651)))/W3651,0)</f>
        <v/>
      </c>
      <c r="Y3651">
        <f>IF(ABS(W3651)&gt;1E-12,((LTP3!$D$5)*((U3651)*(Q3651)-(R3651)*(V3651))-(LTP3!$D$6)*((S3651)*(Q3651)-(R3651)*(T3651))+(T3651)*((S3651)*(V3651)-(U3651)*(T3651)))/W3651,0)</f>
        <v/>
      </c>
      <c r="Z3651">
        <f>IF(ABS(W3651)&gt;1E-12,((LTP3!$D$5)*((P3651)*(V3651)-(U3651)*(R3651))-(S3651)*((S3651)*(V3651)-(U3651)*(T3651))+(LTP3!$D$6)*((S3651)*(R3651)-(P3651)*(T3651)))/W3651,0)</f>
        <v/>
      </c>
      <c r="AA3651">
        <f>LTP3!$D$7-X3651*LTP3!$D$6-Y3651*U3651-Z3651*V3651</f>
        <v/>
      </c>
      <c r="AB3651">
        <f>IF(AND(F3651,ABS(W3651)&gt;1E-12,Y3651&gt;0,Z3651&gt;0),AA3651,1E+300)</f>
        <v/>
      </c>
    </row>
    <row r="3652">
      <c r="A3652">
        <f>$B$3+$B$5*59</f>
        <v/>
      </c>
      <c r="B3652">
        <f>$B$3+$B$5*41</f>
        <v/>
      </c>
      <c r="C3652">
        <f>SUMPRODUCT(Calc!$K$3:$K$22*(Calc!$G$3:$G$22&lt;=A3652))</f>
        <v/>
      </c>
      <c r="D3652">
        <f>SUMPRODUCT(Calc!$K$3:$K$22*(Calc!$G$3:$G$22&gt;A3652)*(Calc!$G$3:$G$22&lt;B3652))</f>
        <v/>
      </c>
      <c r="E3652">
        <f>SUMPRODUCT(Calc!$K$3:$K$22*(Calc!$G$3:$G$22&gt;=B3652))</f>
        <v/>
      </c>
      <c r="F3652">
        <f>AND(k_n&gt;=5,B3652&gt;A3652+1E-9,C3652&gt;=2,D3652&gt;=1,E3652&gt;=2)</f>
        <v/>
      </c>
      <c r="G3652">
        <f>SUMPRODUCT(Calc!$K$3:$K$22*(Calc!$G$3:$G$22&gt;A3652)*(Calc!$G$3:$G$22-A3652))</f>
        <v/>
      </c>
      <c r="H3652">
        <f>SUMPRODUCT(Calc!$K$3:$K$22*(Calc!$G$3:$G$22&gt;B3652)*(Calc!$G$3:$G$22-B3652))</f>
        <v/>
      </c>
      <c r="I3652">
        <f>SUMPRODUCT(Calc!$K$3:$K$22*(Calc!$G$3:$G$22&gt;A3652)*(Calc!$G$3:$G$22-A3652)^2)</f>
        <v/>
      </c>
      <c r="J3652">
        <f>SUMPRODUCT(Calc!$K$3:$K$22*(Calc!$G$3:$G$22&gt;B3652)*(Calc!$G$3:$G$22-B3652)^2)</f>
        <v/>
      </c>
      <c r="K3652">
        <f>SUMPRODUCT(Calc!$K$3:$K$22*(Calc!$G$3:$G$22&gt;A3652)*(Calc!$G$3:$G$22-A3652)*(Calc!$G$3:$G$22&gt;B3652)*(Calc!$G$3:$G$22-B3652))</f>
        <v/>
      </c>
      <c r="L3652">
        <f>SUMPRODUCT(Calc!$K$3:$K$22*(Calc!$G$3:$G$22&gt;A3652)*(Calc!$G$3:$G$22-A3652)*Calc!$G$3:$G$22)</f>
        <v/>
      </c>
      <c r="M3652">
        <f>SUMPRODUCT(Calc!$K$3:$K$22*(Calc!$G$3:$G$22&gt;B3652)*(Calc!$G$3:$G$22-B3652)*Calc!$G$3:$G$22)</f>
        <v/>
      </c>
      <c r="N3652">
        <f>SUMPRODUCT(Calc!$K$3:$K$22*(Calc!$G$3:$G$22&gt;A3652)*(Calc!$G$3:$G$22-A3652)*Calc!$I$3:$I$22)</f>
        <v/>
      </c>
      <c r="O3652">
        <f>SUMPRODUCT(Calc!$K$3:$K$22*(Calc!$G$3:$G$22&gt;B3652)*(Calc!$G$3:$G$22-B3652)*Calc!$I$3:$I$22)</f>
        <v/>
      </c>
      <c r="P3652">
        <f>I3652-G3652^2/k_n</f>
        <v/>
      </c>
      <c r="Q3652">
        <f>J3652-H3652^2/k_n</f>
        <v/>
      </c>
      <c r="R3652">
        <f>K3652-G3652*H3652/k_n</f>
        <v/>
      </c>
      <c r="S3652">
        <f>L3652-LTP3!$D$3*G3652/k_n</f>
        <v/>
      </c>
      <c r="T3652">
        <f>M3652-LTP3!$D$3*H3652/k_n</f>
        <v/>
      </c>
      <c r="U3652">
        <f>N3652-G3652*LTP3!$D$4/k_n</f>
        <v/>
      </c>
      <c r="V3652">
        <f>O3652-H3652*LTP3!$D$4/k_n</f>
        <v/>
      </c>
      <c r="W3652">
        <f>((LTP3!$D$5)*((P3652)*(Q3652)-(R3652)*(R3652))-(S3652)*((S3652)*(Q3652)-(R3652)*(T3652))+(T3652)*((S3652)*(R3652)-(P3652)*(T3652)))</f>
        <v/>
      </c>
      <c r="X3652">
        <f>IF(ABS(W3652)&gt;1E-12,((LTP3!$D$6)*((P3652)*(Q3652)-(R3652)*(R3652))-(S3652)*((U3652)*(Q3652)-(R3652)*(V3652))+(T3652)*((U3652)*(R3652)-(P3652)*(V3652)))/W3652,0)</f>
        <v/>
      </c>
      <c r="Y3652">
        <f>IF(ABS(W3652)&gt;1E-12,((LTP3!$D$5)*((U3652)*(Q3652)-(R3652)*(V3652))-(LTP3!$D$6)*((S3652)*(Q3652)-(R3652)*(T3652))+(T3652)*((S3652)*(V3652)-(U3652)*(T3652)))/W3652,0)</f>
        <v/>
      </c>
      <c r="Z3652">
        <f>IF(ABS(W3652)&gt;1E-12,((LTP3!$D$5)*((P3652)*(V3652)-(U3652)*(R3652))-(S3652)*((S3652)*(V3652)-(U3652)*(T3652))+(LTP3!$D$6)*((S3652)*(R3652)-(P3652)*(T3652)))/W3652,0)</f>
        <v/>
      </c>
      <c r="AA3652">
        <f>LTP3!$D$7-X3652*LTP3!$D$6-Y3652*U3652-Z3652*V3652</f>
        <v/>
      </c>
      <c r="AB3652">
        <f>IF(AND(F3652,ABS(W3652)&gt;1E-12,Y3652&gt;0,Z3652&gt;0),AA3652,1E+300)</f>
        <v/>
      </c>
    </row>
    <row r="3653">
      <c r="A3653">
        <f>$B$3+$B$5*59</f>
        <v/>
      </c>
      <c r="B3653">
        <f>$B$3+$B$5*42</f>
        <v/>
      </c>
      <c r="C3653">
        <f>SUMPRODUCT(Calc!$K$3:$K$22*(Calc!$G$3:$G$22&lt;=A3653))</f>
        <v/>
      </c>
      <c r="D3653">
        <f>SUMPRODUCT(Calc!$K$3:$K$22*(Calc!$G$3:$G$22&gt;A3653)*(Calc!$G$3:$G$22&lt;B3653))</f>
        <v/>
      </c>
      <c r="E3653">
        <f>SUMPRODUCT(Calc!$K$3:$K$22*(Calc!$G$3:$G$22&gt;=B3653))</f>
        <v/>
      </c>
      <c r="F3653">
        <f>AND(k_n&gt;=5,B3653&gt;A3653+1E-9,C3653&gt;=2,D3653&gt;=1,E3653&gt;=2)</f>
        <v/>
      </c>
      <c r="G3653">
        <f>SUMPRODUCT(Calc!$K$3:$K$22*(Calc!$G$3:$G$22&gt;A3653)*(Calc!$G$3:$G$22-A3653))</f>
        <v/>
      </c>
      <c r="H3653">
        <f>SUMPRODUCT(Calc!$K$3:$K$22*(Calc!$G$3:$G$22&gt;B3653)*(Calc!$G$3:$G$22-B3653))</f>
        <v/>
      </c>
      <c r="I3653">
        <f>SUMPRODUCT(Calc!$K$3:$K$22*(Calc!$G$3:$G$22&gt;A3653)*(Calc!$G$3:$G$22-A3653)^2)</f>
        <v/>
      </c>
      <c r="J3653">
        <f>SUMPRODUCT(Calc!$K$3:$K$22*(Calc!$G$3:$G$22&gt;B3653)*(Calc!$G$3:$G$22-B3653)^2)</f>
        <v/>
      </c>
      <c r="K3653">
        <f>SUMPRODUCT(Calc!$K$3:$K$22*(Calc!$G$3:$G$22&gt;A3653)*(Calc!$G$3:$G$22-A3653)*(Calc!$G$3:$G$22&gt;B3653)*(Calc!$G$3:$G$22-B3653))</f>
        <v/>
      </c>
      <c r="L3653">
        <f>SUMPRODUCT(Calc!$K$3:$K$22*(Calc!$G$3:$G$22&gt;A3653)*(Calc!$G$3:$G$22-A3653)*Calc!$G$3:$G$22)</f>
        <v/>
      </c>
      <c r="M3653">
        <f>SUMPRODUCT(Calc!$K$3:$K$22*(Calc!$G$3:$G$22&gt;B3653)*(Calc!$G$3:$G$22-B3653)*Calc!$G$3:$G$22)</f>
        <v/>
      </c>
      <c r="N3653">
        <f>SUMPRODUCT(Calc!$K$3:$K$22*(Calc!$G$3:$G$22&gt;A3653)*(Calc!$G$3:$G$22-A3653)*Calc!$I$3:$I$22)</f>
        <v/>
      </c>
      <c r="O3653">
        <f>SUMPRODUCT(Calc!$K$3:$K$22*(Calc!$G$3:$G$22&gt;B3653)*(Calc!$G$3:$G$22-B3653)*Calc!$I$3:$I$22)</f>
        <v/>
      </c>
      <c r="P3653">
        <f>I3653-G3653^2/k_n</f>
        <v/>
      </c>
      <c r="Q3653">
        <f>J3653-H3653^2/k_n</f>
        <v/>
      </c>
      <c r="R3653">
        <f>K3653-G3653*H3653/k_n</f>
        <v/>
      </c>
      <c r="S3653">
        <f>L3653-LTP3!$D$3*G3653/k_n</f>
        <v/>
      </c>
      <c r="T3653">
        <f>M3653-LTP3!$D$3*H3653/k_n</f>
        <v/>
      </c>
      <c r="U3653">
        <f>N3653-G3653*LTP3!$D$4/k_n</f>
        <v/>
      </c>
      <c r="V3653">
        <f>O3653-H3653*LTP3!$D$4/k_n</f>
        <v/>
      </c>
      <c r="W3653">
        <f>((LTP3!$D$5)*((P3653)*(Q3653)-(R3653)*(R3653))-(S3653)*((S3653)*(Q3653)-(R3653)*(T3653))+(T3653)*((S3653)*(R3653)-(P3653)*(T3653)))</f>
        <v/>
      </c>
      <c r="X3653">
        <f>IF(ABS(W3653)&gt;1E-12,((LTP3!$D$6)*((P3653)*(Q3653)-(R3653)*(R3653))-(S3653)*((U3653)*(Q3653)-(R3653)*(V3653))+(T3653)*((U3653)*(R3653)-(P3653)*(V3653)))/W3653,0)</f>
        <v/>
      </c>
      <c r="Y3653">
        <f>IF(ABS(W3653)&gt;1E-12,((LTP3!$D$5)*((U3653)*(Q3653)-(R3653)*(V3653))-(LTP3!$D$6)*((S3653)*(Q3653)-(R3653)*(T3653))+(T3653)*((S3653)*(V3653)-(U3653)*(T3653)))/W3653,0)</f>
        <v/>
      </c>
      <c r="Z3653">
        <f>IF(ABS(W3653)&gt;1E-12,((LTP3!$D$5)*((P3653)*(V3653)-(U3653)*(R3653))-(S3653)*((S3653)*(V3653)-(U3653)*(T3653))+(LTP3!$D$6)*((S3653)*(R3653)-(P3653)*(T3653)))/W3653,0)</f>
        <v/>
      </c>
      <c r="AA3653">
        <f>LTP3!$D$7-X3653*LTP3!$D$6-Y3653*U3653-Z3653*V3653</f>
        <v/>
      </c>
      <c r="AB3653">
        <f>IF(AND(F3653,ABS(W3653)&gt;1E-12,Y3653&gt;0,Z3653&gt;0),AA3653,1E+300)</f>
        <v/>
      </c>
    </row>
    <row r="3654">
      <c r="A3654">
        <f>$B$3+$B$5*59</f>
        <v/>
      </c>
      <c r="B3654">
        <f>$B$3+$B$5*43</f>
        <v/>
      </c>
      <c r="C3654">
        <f>SUMPRODUCT(Calc!$K$3:$K$22*(Calc!$G$3:$G$22&lt;=A3654))</f>
        <v/>
      </c>
      <c r="D3654">
        <f>SUMPRODUCT(Calc!$K$3:$K$22*(Calc!$G$3:$G$22&gt;A3654)*(Calc!$G$3:$G$22&lt;B3654))</f>
        <v/>
      </c>
      <c r="E3654">
        <f>SUMPRODUCT(Calc!$K$3:$K$22*(Calc!$G$3:$G$22&gt;=B3654))</f>
        <v/>
      </c>
      <c r="F3654">
        <f>AND(k_n&gt;=5,B3654&gt;A3654+1E-9,C3654&gt;=2,D3654&gt;=1,E3654&gt;=2)</f>
        <v/>
      </c>
      <c r="G3654">
        <f>SUMPRODUCT(Calc!$K$3:$K$22*(Calc!$G$3:$G$22&gt;A3654)*(Calc!$G$3:$G$22-A3654))</f>
        <v/>
      </c>
      <c r="H3654">
        <f>SUMPRODUCT(Calc!$K$3:$K$22*(Calc!$G$3:$G$22&gt;B3654)*(Calc!$G$3:$G$22-B3654))</f>
        <v/>
      </c>
      <c r="I3654">
        <f>SUMPRODUCT(Calc!$K$3:$K$22*(Calc!$G$3:$G$22&gt;A3654)*(Calc!$G$3:$G$22-A3654)^2)</f>
        <v/>
      </c>
      <c r="J3654">
        <f>SUMPRODUCT(Calc!$K$3:$K$22*(Calc!$G$3:$G$22&gt;B3654)*(Calc!$G$3:$G$22-B3654)^2)</f>
        <v/>
      </c>
      <c r="K3654">
        <f>SUMPRODUCT(Calc!$K$3:$K$22*(Calc!$G$3:$G$22&gt;A3654)*(Calc!$G$3:$G$22-A3654)*(Calc!$G$3:$G$22&gt;B3654)*(Calc!$G$3:$G$22-B3654))</f>
        <v/>
      </c>
      <c r="L3654">
        <f>SUMPRODUCT(Calc!$K$3:$K$22*(Calc!$G$3:$G$22&gt;A3654)*(Calc!$G$3:$G$22-A3654)*Calc!$G$3:$G$22)</f>
        <v/>
      </c>
      <c r="M3654">
        <f>SUMPRODUCT(Calc!$K$3:$K$22*(Calc!$G$3:$G$22&gt;B3654)*(Calc!$G$3:$G$22-B3654)*Calc!$G$3:$G$22)</f>
        <v/>
      </c>
      <c r="N3654">
        <f>SUMPRODUCT(Calc!$K$3:$K$22*(Calc!$G$3:$G$22&gt;A3654)*(Calc!$G$3:$G$22-A3654)*Calc!$I$3:$I$22)</f>
        <v/>
      </c>
      <c r="O3654">
        <f>SUMPRODUCT(Calc!$K$3:$K$22*(Calc!$G$3:$G$22&gt;B3654)*(Calc!$G$3:$G$22-B3654)*Calc!$I$3:$I$22)</f>
        <v/>
      </c>
      <c r="P3654">
        <f>I3654-G3654^2/k_n</f>
        <v/>
      </c>
      <c r="Q3654">
        <f>J3654-H3654^2/k_n</f>
        <v/>
      </c>
      <c r="R3654">
        <f>K3654-G3654*H3654/k_n</f>
        <v/>
      </c>
      <c r="S3654">
        <f>L3654-LTP3!$D$3*G3654/k_n</f>
        <v/>
      </c>
      <c r="T3654">
        <f>M3654-LTP3!$D$3*H3654/k_n</f>
        <v/>
      </c>
      <c r="U3654">
        <f>N3654-G3654*LTP3!$D$4/k_n</f>
        <v/>
      </c>
      <c r="V3654">
        <f>O3654-H3654*LTP3!$D$4/k_n</f>
        <v/>
      </c>
      <c r="W3654">
        <f>((LTP3!$D$5)*((P3654)*(Q3654)-(R3654)*(R3654))-(S3654)*((S3654)*(Q3654)-(R3654)*(T3654))+(T3654)*((S3654)*(R3654)-(P3654)*(T3654)))</f>
        <v/>
      </c>
      <c r="X3654">
        <f>IF(ABS(W3654)&gt;1E-12,((LTP3!$D$6)*((P3654)*(Q3654)-(R3654)*(R3654))-(S3654)*((U3654)*(Q3654)-(R3654)*(V3654))+(T3654)*((U3654)*(R3654)-(P3654)*(V3654)))/W3654,0)</f>
        <v/>
      </c>
      <c r="Y3654">
        <f>IF(ABS(W3654)&gt;1E-12,((LTP3!$D$5)*((U3654)*(Q3654)-(R3654)*(V3654))-(LTP3!$D$6)*((S3654)*(Q3654)-(R3654)*(T3654))+(T3654)*((S3654)*(V3654)-(U3654)*(T3654)))/W3654,0)</f>
        <v/>
      </c>
      <c r="Z3654">
        <f>IF(ABS(W3654)&gt;1E-12,((LTP3!$D$5)*((P3654)*(V3654)-(U3654)*(R3654))-(S3654)*((S3654)*(V3654)-(U3654)*(T3654))+(LTP3!$D$6)*((S3654)*(R3654)-(P3654)*(T3654)))/W3654,0)</f>
        <v/>
      </c>
      <c r="AA3654">
        <f>LTP3!$D$7-X3654*LTP3!$D$6-Y3654*U3654-Z3654*V3654</f>
        <v/>
      </c>
      <c r="AB3654">
        <f>IF(AND(F3654,ABS(W3654)&gt;1E-12,Y3654&gt;0,Z3654&gt;0),AA3654,1E+300)</f>
        <v/>
      </c>
    </row>
    <row r="3655">
      <c r="A3655">
        <f>$B$3+$B$5*59</f>
        <v/>
      </c>
      <c r="B3655">
        <f>$B$3+$B$5*44</f>
        <v/>
      </c>
      <c r="C3655">
        <f>SUMPRODUCT(Calc!$K$3:$K$22*(Calc!$G$3:$G$22&lt;=A3655))</f>
        <v/>
      </c>
      <c r="D3655">
        <f>SUMPRODUCT(Calc!$K$3:$K$22*(Calc!$G$3:$G$22&gt;A3655)*(Calc!$G$3:$G$22&lt;B3655))</f>
        <v/>
      </c>
      <c r="E3655">
        <f>SUMPRODUCT(Calc!$K$3:$K$22*(Calc!$G$3:$G$22&gt;=B3655))</f>
        <v/>
      </c>
      <c r="F3655">
        <f>AND(k_n&gt;=5,B3655&gt;A3655+1E-9,C3655&gt;=2,D3655&gt;=1,E3655&gt;=2)</f>
        <v/>
      </c>
      <c r="G3655">
        <f>SUMPRODUCT(Calc!$K$3:$K$22*(Calc!$G$3:$G$22&gt;A3655)*(Calc!$G$3:$G$22-A3655))</f>
        <v/>
      </c>
      <c r="H3655">
        <f>SUMPRODUCT(Calc!$K$3:$K$22*(Calc!$G$3:$G$22&gt;B3655)*(Calc!$G$3:$G$22-B3655))</f>
        <v/>
      </c>
      <c r="I3655">
        <f>SUMPRODUCT(Calc!$K$3:$K$22*(Calc!$G$3:$G$22&gt;A3655)*(Calc!$G$3:$G$22-A3655)^2)</f>
        <v/>
      </c>
      <c r="J3655">
        <f>SUMPRODUCT(Calc!$K$3:$K$22*(Calc!$G$3:$G$22&gt;B3655)*(Calc!$G$3:$G$22-B3655)^2)</f>
        <v/>
      </c>
      <c r="K3655">
        <f>SUMPRODUCT(Calc!$K$3:$K$22*(Calc!$G$3:$G$22&gt;A3655)*(Calc!$G$3:$G$22-A3655)*(Calc!$G$3:$G$22&gt;B3655)*(Calc!$G$3:$G$22-B3655))</f>
        <v/>
      </c>
      <c r="L3655">
        <f>SUMPRODUCT(Calc!$K$3:$K$22*(Calc!$G$3:$G$22&gt;A3655)*(Calc!$G$3:$G$22-A3655)*Calc!$G$3:$G$22)</f>
        <v/>
      </c>
      <c r="M3655">
        <f>SUMPRODUCT(Calc!$K$3:$K$22*(Calc!$G$3:$G$22&gt;B3655)*(Calc!$G$3:$G$22-B3655)*Calc!$G$3:$G$22)</f>
        <v/>
      </c>
      <c r="N3655">
        <f>SUMPRODUCT(Calc!$K$3:$K$22*(Calc!$G$3:$G$22&gt;A3655)*(Calc!$G$3:$G$22-A3655)*Calc!$I$3:$I$22)</f>
        <v/>
      </c>
      <c r="O3655">
        <f>SUMPRODUCT(Calc!$K$3:$K$22*(Calc!$G$3:$G$22&gt;B3655)*(Calc!$G$3:$G$22-B3655)*Calc!$I$3:$I$22)</f>
        <v/>
      </c>
      <c r="P3655">
        <f>I3655-G3655^2/k_n</f>
        <v/>
      </c>
      <c r="Q3655">
        <f>J3655-H3655^2/k_n</f>
        <v/>
      </c>
      <c r="R3655">
        <f>K3655-G3655*H3655/k_n</f>
        <v/>
      </c>
      <c r="S3655">
        <f>L3655-LTP3!$D$3*G3655/k_n</f>
        <v/>
      </c>
      <c r="T3655">
        <f>M3655-LTP3!$D$3*H3655/k_n</f>
        <v/>
      </c>
      <c r="U3655">
        <f>N3655-G3655*LTP3!$D$4/k_n</f>
        <v/>
      </c>
      <c r="V3655">
        <f>O3655-H3655*LTP3!$D$4/k_n</f>
        <v/>
      </c>
      <c r="W3655">
        <f>((LTP3!$D$5)*((P3655)*(Q3655)-(R3655)*(R3655))-(S3655)*((S3655)*(Q3655)-(R3655)*(T3655))+(T3655)*((S3655)*(R3655)-(P3655)*(T3655)))</f>
        <v/>
      </c>
      <c r="X3655">
        <f>IF(ABS(W3655)&gt;1E-12,((LTP3!$D$6)*((P3655)*(Q3655)-(R3655)*(R3655))-(S3655)*((U3655)*(Q3655)-(R3655)*(V3655))+(T3655)*((U3655)*(R3655)-(P3655)*(V3655)))/W3655,0)</f>
        <v/>
      </c>
      <c r="Y3655">
        <f>IF(ABS(W3655)&gt;1E-12,((LTP3!$D$5)*((U3655)*(Q3655)-(R3655)*(V3655))-(LTP3!$D$6)*((S3655)*(Q3655)-(R3655)*(T3655))+(T3655)*((S3655)*(V3655)-(U3655)*(T3655)))/W3655,0)</f>
        <v/>
      </c>
      <c r="Z3655">
        <f>IF(ABS(W3655)&gt;1E-12,((LTP3!$D$5)*((P3655)*(V3655)-(U3655)*(R3655))-(S3655)*((S3655)*(V3655)-(U3655)*(T3655))+(LTP3!$D$6)*((S3655)*(R3655)-(P3655)*(T3655)))/W3655,0)</f>
        <v/>
      </c>
      <c r="AA3655">
        <f>LTP3!$D$7-X3655*LTP3!$D$6-Y3655*U3655-Z3655*V3655</f>
        <v/>
      </c>
      <c r="AB3655">
        <f>IF(AND(F3655,ABS(W3655)&gt;1E-12,Y3655&gt;0,Z3655&gt;0),AA3655,1E+300)</f>
        <v/>
      </c>
    </row>
    <row r="3656">
      <c r="A3656">
        <f>$B$3+$B$5*59</f>
        <v/>
      </c>
      <c r="B3656">
        <f>$B$3+$B$5*45</f>
        <v/>
      </c>
      <c r="C3656">
        <f>SUMPRODUCT(Calc!$K$3:$K$22*(Calc!$G$3:$G$22&lt;=A3656))</f>
        <v/>
      </c>
      <c r="D3656">
        <f>SUMPRODUCT(Calc!$K$3:$K$22*(Calc!$G$3:$G$22&gt;A3656)*(Calc!$G$3:$G$22&lt;B3656))</f>
        <v/>
      </c>
      <c r="E3656">
        <f>SUMPRODUCT(Calc!$K$3:$K$22*(Calc!$G$3:$G$22&gt;=B3656))</f>
        <v/>
      </c>
      <c r="F3656">
        <f>AND(k_n&gt;=5,B3656&gt;A3656+1E-9,C3656&gt;=2,D3656&gt;=1,E3656&gt;=2)</f>
        <v/>
      </c>
      <c r="G3656">
        <f>SUMPRODUCT(Calc!$K$3:$K$22*(Calc!$G$3:$G$22&gt;A3656)*(Calc!$G$3:$G$22-A3656))</f>
        <v/>
      </c>
      <c r="H3656">
        <f>SUMPRODUCT(Calc!$K$3:$K$22*(Calc!$G$3:$G$22&gt;B3656)*(Calc!$G$3:$G$22-B3656))</f>
        <v/>
      </c>
      <c r="I3656">
        <f>SUMPRODUCT(Calc!$K$3:$K$22*(Calc!$G$3:$G$22&gt;A3656)*(Calc!$G$3:$G$22-A3656)^2)</f>
        <v/>
      </c>
      <c r="J3656">
        <f>SUMPRODUCT(Calc!$K$3:$K$22*(Calc!$G$3:$G$22&gt;B3656)*(Calc!$G$3:$G$22-B3656)^2)</f>
        <v/>
      </c>
      <c r="K3656">
        <f>SUMPRODUCT(Calc!$K$3:$K$22*(Calc!$G$3:$G$22&gt;A3656)*(Calc!$G$3:$G$22-A3656)*(Calc!$G$3:$G$22&gt;B3656)*(Calc!$G$3:$G$22-B3656))</f>
        <v/>
      </c>
      <c r="L3656">
        <f>SUMPRODUCT(Calc!$K$3:$K$22*(Calc!$G$3:$G$22&gt;A3656)*(Calc!$G$3:$G$22-A3656)*Calc!$G$3:$G$22)</f>
        <v/>
      </c>
      <c r="M3656">
        <f>SUMPRODUCT(Calc!$K$3:$K$22*(Calc!$G$3:$G$22&gt;B3656)*(Calc!$G$3:$G$22-B3656)*Calc!$G$3:$G$22)</f>
        <v/>
      </c>
      <c r="N3656">
        <f>SUMPRODUCT(Calc!$K$3:$K$22*(Calc!$G$3:$G$22&gt;A3656)*(Calc!$G$3:$G$22-A3656)*Calc!$I$3:$I$22)</f>
        <v/>
      </c>
      <c r="O3656">
        <f>SUMPRODUCT(Calc!$K$3:$K$22*(Calc!$G$3:$G$22&gt;B3656)*(Calc!$G$3:$G$22-B3656)*Calc!$I$3:$I$22)</f>
        <v/>
      </c>
      <c r="P3656">
        <f>I3656-G3656^2/k_n</f>
        <v/>
      </c>
      <c r="Q3656">
        <f>J3656-H3656^2/k_n</f>
        <v/>
      </c>
      <c r="R3656">
        <f>K3656-G3656*H3656/k_n</f>
        <v/>
      </c>
      <c r="S3656">
        <f>L3656-LTP3!$D$3*G3656/k_n</f>
        <v/>
      </c>
      <c r="T3656">
        <f>M3656-LTP3!$D$3*H3656/k_n</f>
        <v/>
      </c>
      <c r="U3656">
        <f>N3656-G3656*LTP3!$D$4/k_n</f>
        <v/>
      </c>
      <c r="V3656">
        <f>O3656-H3656*LTP3!$D$4/k_n</f>
        <v/>
      </c>
      <c r="W3656">
        <f>((LTP3!$D$5)*((P3656)*(Q3656)-(R3656)*(R3656))-(S3656)*((S3656)*(Q3656)-(R3656)*(T3656))+(T3656)*((S3656)*(R3656)-(P3656)*(T3656)))</f>
        <v/>
      </c>
      <c r="X3656">
        <f>IF(ABS(W3656)&gt;1E-12,((LTP3!$D$6)*((P3656)*(Q3656)-(R3656)*(R3656))-(S3656)*((U3656)*(Q3656)-(R3656)*(V3656))+(T3656)*((U3656)*(R3656)-(P3656)*(V3656)))/W3656,0)</f>
        <v/>
      </c>
      <c r="Y3656">
        <f>IF(ABS(W3656)&gt;1E-12,((LTP3!$D$5)*((U3656)*(Q3656)-(R3656)*(V3656))-(LTP3!$D$6)*((S3656)*(Q3656)-(R3656)*(T3656))+(T3656)*((S3656)*(V3656)-(U3656)*(T3656)))/W3656,0)</f>
        <v/>
      </c>
      <c r="Z3656">
        <f>IF(ABS(W3656)&gt;1E-12,((LTP3!$D$5)*((P3656)*(V3656)-(U3656)*(R3656))-(S3656)*((S3656)*(V3656)-(U3656)*(T3656))+(LTP3!$D$6)*((S3656)*(R3656)-(P3656)*(T3656)))/W3656,0)</f>
        <v/>
      </c>
      <c r="AA3656">
        <f>LTP3!$D$7-X3656*LTP3!$D$6-Y3656*U3656-Z3656*V3656</f>
        <v/>
      </c>
      <c r="AB3656">
        <f>IF(AND(F3656,ABS(W3656)&gt;1E-12,Y3656&gt;0,Z3656&gt;0),AA3656,1E+300)</f>
        <v/>
      </c>
    </row>
    <row r="3657">
      <c r="A3657">
        <f>$B$3+$B$5*59</f>
        <v/>
      </c>
      <c r="B3657">
        <f>$B$3+$B$5*46</f>
        <v/>
      </c>
      <c r="C3657">
        <f>SUMPRODUCT(Calc!$K$3:$K$22*(Calc!$G$3:$G$22&lt;=A3657))</f>
        <v/>
      </c>
      <c r="D3657">
        <f>SUMPRODUCT(Calc!$K$3:$K$22*(Calc!$G$3:$G$22&gt;A3657)*(Calc!$G$3:$G$22&lt;B3657))</f>
        <v/>
      </c>
      <c r="E3657">
        <f>SUMPRODUCT(Calc!$K$3:$K$22*(Calc!$G$3:$G$22&gt;=B3657))</f>
        <v/>
      </c>
      <c r="F3657">
        <f>AND(k_n&gt;=5,B3657&gt;A3657+1E-9,C3657&gt;=2,D3657&gt;=1,E3657&gt;=2)</f>
        <v/>
      </c>
      <c r="G3657">
        <f>SUMPRODUCT(Calc!$K$3:$K$22*(Calc!$G$3:$G$22&gt;A3657)*(Calc!$G$3:$G$22-A3657))</f>
        <v/>
      </c>
      <c r="H3657">
        <f>SUMPRODUCT(Calc!$K$3:$K$22*(Calc!$G$3:$G$22&gt;B3657)*(Calc!$G$3:$G$22-B3657))</f>
        <v/>
      </c>
      <c r="I3657">
        <f>SUMPRODUCT(Calc!$K$3:$K$22*(Calc!$G$3:$G$22&gt;A3657)*(Calc!$G$3:$G$22-A3657)^2)</f>
        <v/>
      </c>
      <c r="J3657">
        <f>SUMPRODUCT(Calc!$K$3:$K$22*(Calc!$G$3:$G$22&gt;B3657)*(Calc!$G$3:$G$22-B3657)^2)</f>
        <v/>
      </c>
      <c r="K3657">
        <f>SUMPRODUCT(Calc!$K$3:$K$22*(Calc!$G$3:$G$22&gt;A3657)*(Calc!$G$3:$G$22-A3657)*(Calc!$G$3:$G$22&gt;B3657)*(Calc!$G$3:$G$22-B3657))</f>
        <v/>
      </c>
      <c r="L3657">
        <f>SUMPRODUCT(Calc!$K$3:$K$22*(Calc!$G$3:$G$22&gt;A3657)*(Calc!$G$3:$G$22-A3657)*Calc!$G$3:$G$22)</f>
        <v/>
      </c>
      <c r="M3657">
        <f>SUMPRODUCT(Calc!$K$3:$K$22*(Calc!$G$3:$G$22&gt;B3657)*(Calc!$G$3:$G$22-B3657)*Calc!$G$3:$G$22)</f>
        <v/>
      </c>
      <c r="N3657">
        <f>SUMPRODUCT(Calc!$K$3:$K$22*(Calc!$G$3:$G$22&gt;A3657)*(Calc!$G$3:$G$22-A3657)*Calc!$I$3:$I$22)</f>
        <v/>
      </c>
      <c r="O3657">
        <f>SUMPRODUCT(Calc!$K$3:$K$22*(Calc!$G$3:$G$22&gt;B3657)*(Calc!$G$3:$G$22-B3657)*Calc!$I$3:$I$22)</f>
        <v/>
      </c>
      <c r="P3657">
        <f>I3657-G3657^2/k_n</f>
        <v/>
      </c>
      <c r="Q3657">
        <f>J3657-H3657^2/k_n</f>
        <v/>
      </c>
      <c r="R3657">
        <f>K3657-G3657*H3657/k_n</f>
        <v/>
      </c>
      <c r="S3657">
        <f>L3657-LTP3!$D$3*G3657/k_n</f>
        <v/>
      </c>
      <c r="T3657">
        <f>M3657-LTP3!$D$3*H3657/k_n</f>
        <v/>
      </c>
      <c r="U3657">
        <f>N3657-G3657*LTP3!$D$4/k_n</f>
        <v/>
      </c>
      <c r="V3657">
        <f>O3657-H3657*LTP3!$D$4/k_n</f>
        <v/>
      </c>
      <c r="W3657">
        <f>((LTP3!$D$5)*((P3657)*(Q3657)-(R3657)*(R3657))-(S3657)*((S3657)*(Q3657)-(R3657)*(T3657))+(T3657)*((S3657)*(R3657)-(P3657)*(T3657)))</f>
        <v/>
      </c>
      <c r="X3657">
        <f>IF(ABS(W3657)&gt;1E-12,((LTP3!$D$6)*((P3657)*(Q3657)-(R3657)*(R3657))-(S3657)*((U3657)*(Q3657)-(R3657)*(V3657))+(T3657)*((U3657)*(R3657)-(P3657)*(V3657)))/W3657,0)</f>
        <v/>
      </c>
      <c r="Y3657">
        <f>IF(ABS(W3657)&gt;1E-12,((LTP3!$D$5)*((U3657)*(Q3657)-(R3657)*(V3657))-(LTP3!$D$6)*((S3657)*(Q3657)-(R3657)*(T3657))+(T3657)*((S3657)*(V3657)-(U3657)*(T3657)))/W3657,0)</f>
        <v/>
      </c>
      <c r="Z3657">
        <f>IF(ABS(W3657)&gt;1E-12,((LTP3!$D$5)*((P3657)*(V3657)-(U3657)*(R3657))-(S3657)*((S3657)*(V3657)-(U3657)*(T3657))+(LTP3!$D$6)*((S3657)*(R3657)-(P3657)*(T3657)))/W3657,0)</f>
        <v/>
      </c>
      <c r="AA3657">
        <f>LTP3!$D$7-X3657*LTP3!$D$6-Y3657*U3657-Z3657*V3657</f>
        <v/>
      </c>
      <c r="AB3657">
        <f>IF(AND(F3657,ABS(W3657)&gt;1E-12,Y3657&gt;0,Z3657&gt;0),AA3657,1E+300)</f>
        <v/>
      </c>
    </row>
    <row r="3658">
      <c r="A3658">
        <f>$B$3+$B$5*59</f>
        <v/>
      </c>
      <c r="B3658">
        <f>$B$3+$B$5*47</f>
        <v/>
      </c>
      <c r="C3658">
        <f>SUMPRODUCT(Calc!$K$3:$K$22*(Calc!$G$3:$G$22&lt;=A3658))</f>
        <v/>
      </c>
      <c r="D3658">
        <f>SUMPRODUCT(Calc!$K$3:$K$22*(Calc!$G$3:$G$22&gt;A3658)*(Calc!$G$3:$G$22&lt;B3658))</f>
        <v/>
      </c>
      <c r="E3658">
        <f>SUMPRODUCT(Calc!$K$3:$K$22*(Calc!$G$3:$G$22&gt;=B3658))</f>
        <v/>
      </c>
      <c r="F3658">
        <f>AND(k_n&gt;=5,B3658&gt;A3658+1E-9,C3658&gt;=2,D3658&gt;=1,E3658&gt;=2)</f>
        <v/>
      </c>
      <c r="G3658">
        <f>SUMPRODUCT(Calc!$K$3:$K$22*(Calc!$G$3:$G$22&gt;A3658)*(Calc!$G$3:$G$22-A3658))</f>
        <v/>
      </c>
      <c r="H3658">
        <f>SUMPRODUCT(Calc!$K$3:$K$22*(Calc!$G$3:$G$22&gt;B3658)*(Calc!$G$3:$G$22-B3658))</f>
        <v/>
      </c>
      <c r="I3658">
        <f>SUMPRODUCT(Calc!$K$3:$K$22*(Calc!$G$3:$G$22&gt;A3658)*(Calc!$G$3:$G$22-A3658)^2)</f>
        <v/>
      </c>
      <c r="J3658">
        <f>SUMPRODUCT(Calc!$K$3:$K$22*(Calc!$G$3:$G$22&gt;B3658)*(Calc!$G$3:$G$22-B3658)^2)</f>
        <v/>
      </c>
      <c r="K3658">
        <f>SUMPRODUCT(Calc!$K$3:$K$22*(Calc!$G$3:$G$22&gt;A3658)*(Calc!$G$3:$G$22-A3658)*(Calc!$G$3:$G$22&gt;B3658)*(Calc!$G$3:$G$22-B3658))</f>
        <v/>
      </c>
      <c r="L3658">
        <f>SUMPRODUCT(Calc!$K$3:$K$22*(Calc!$G$3:$G$22&gt;A3658)*(Calc!$G$3:$G$22-A3658)*Calc!$G$3:$G$22)</f>
        <v/>
      </c>
      <c r="M3658">
        <f>SUMPRODUCT(Calc!$K$3:$K$22*(Calc!$G$3:$G$22&gt;B3658)*(Calc!$G$3:$G$22-B3658)*Calc!$G$3:$G$22)</f>
        <v/>
      </c>
      <c r="N3658">
        <f>SUMPRODUCT(Calc!$K$3:$K$22*(Calc!$G$3:$G$22&gt;A3658)*(Calc!$G$3:$G$22-A3658)*Calc!$I$3:$I$22)</f>
        <v/>
      </c>
      <c r="O3658">
        <f>SUMPRODUCT(Calc!$K$3:$K$22*(Calc!$G$3:$G$22&gt;B3658)*(Calc!$G$3:$G$22-B3658)*Calc!$I$3:$I$22)</f>
        <v/>
      </c>
      <c r="P3658">
        <f>I3658-G3658^2/k_n</f>
        <v/>
      </c>
      <c r="Q3658">
        <f>J3658-H3658^2/k_n</f>
        <v/>
      </c>
      <c r="R3658">
        <f>K3658-G3658*H3658/k_n</f>
        <v/>
      </c>
      <c r="S3658">
        <f>L3658-LTP3!$D$3*G3658/k_n</f>
        <v/>
      </c>
      <c r="T3658">
        <f>M3658-LTP3!$D$3*H3658/k_n</f>
        <v/>
      </c>
      <c r="U3658">
        <f>N3658-G3658*LTP3!$D$4/k_n</f>
        <v/>
      </c>
      <c r="V3658">
        <f>O3658-H3658*LTP3!$D$4/k_n</f>
        <v/>
      </c>
      <c r="W3658">
        <f>((LTP3!$D$5)*((P3658)*(Q3658)-(R3658)*(R3658))-(S3658)*((S3658)*(Q3658)-(R3658)*(T3658))+(T3658)*((S3658)*(R3658)-(P3658)*(T3658)))</f>
        <v/>
      </c>
      <c r="X3658">
        <f>IF(ABS(W3658)&gt;1E-12,((LTP3!$D$6)*((P3658)*(Q3658)-(R3658)*(R3658))-(S3658)*((U3658)*(Q3658)-(R3658)*(V3658))+(T3658)*((U3658)*(R3658)-(P3658)*(V3658)))/W3658,0)</f>
        <v/>
      </c>
      <c r="Y3658">
        <f>IF(ABS(W3658)&gt;1E-12,((LTP3!$D$5)*((U3658)*(Q3658)-(R3658)*(V3658))-(LTP3!$D$6)*((S3658)*(Q3658)-(R3658)*(T3658))+(T3658)*((S3658)*(V3658)-(U3658)*(T3658)))/W3658,0)</f>
        <v/>
      </c>
      <c r="Z3658">
        <f>IF(ABS(W3658)&gt;1E-12,((LTP3!$D$5)*((P3658)*(V3658)-(U3658)*(R3658))-(S3658)*((S3658)*(V3658)-(U3658)*(T3658))+(LTP3!$D$6)*((S3658)*(R3658)-(P3658)*(T3658)))/W3658,0)</f>
        <v/>
      </c>
      <c r="AA3658">
        <f>LTP3!$D$7-X3658*LTP3!$D$6-Y3658*U3658-Z3658*V3658</f>
        <v/>
      </c>
      <c r="AB3658">
        <f>IF(AND(F3658,ABS(W3658)&gt;1E-12,Y3658&gt;0,Z3658&gt;0),AA3658,1E+300)</f>
        <v/>
      </c>
    </row>
    <row r="3659">
      <c r="A3659">
        <f>$B$3+$B$5*59</f>
        <v/>
      </c>
      <c r="B3659">
        <f>$B$3+$B$5*48</f>
        <v/>
      </c>
      <c r="C3659">
        <f>SUMPRODUCT(Calc!$K$3:$K$22*(Calc!$G$3:$G$22&lt;=A3659))</f>
        <v/>
      </c>
      <c r="D3659">
        <f>SUMPRODUCT(Calc!$K$3:$K$22*(Calc!$G$3:$G$22&gt;A3659)*(Calc!$G$3:$G$22&lt;B3659))</f>
        <v/>
      </c>
      <c r="E3659">
        <f>SUMPRODUCT(Calc!$K$3:$K$22*(Calc!$G$3:$G$22&gt;=B3659))</f>
        <v/>
      </c>
      <c r="F3659">
        <f>AND(k_n&gt;=5,B3659&gt;A3659+1E-9,C3659&gt;=2,D3659&gt;=1,E3659&gt;=2)</f>
        <v/>
      </c>
      <c r="G3659">
        <f>SUMPRODUCT(Calc!$K$3:$K$22*(Calc!$G$3:$G$22&gt;A3659)*(Calc!$G$3:$G$22-A3659))</f>
        <v/>
      </c>
      <c r="H3659">
        <f>SUMPRODUCT(Calc!$K$3:$K$22*(Calc!$G$3:$G$22&gt;B3659)*(Calc!$G$3:$G$22-B3659))</f>
        <v/>
      </c>
      <c r="I3659">
        <f>SUMPRODUCT(Calc!$K$3:$K$22*(Calc!$G$3:$G$22&gt;A3659)*(Calc!$G$3:$G$22-A3659)^2)</f>
        <v/>
      </c>
      <c r="J3659">
        <f>SUMPRODUCT(Calc!$K$3:$K$22*(Calc!$G$3:$G$22&gt;B3659)*(Calc!$G$3:$G$22-B3659)^2)</f>
        <v/>
      </c>
      <c r="K3659">
        <f>SUMPRODUCT(Calc!$K$3:$K$22*(Calc!$G$3:$G$22&gt;A3659)*(Calc!$G$3:$G$22-A3659)*(Calc!$G$3:$G$22&gt;B3659)*(Calc!$G$3:$G$22-B3659))</f>
        <v/>
      </c>
      <c r="L3659">
        <f>SUMPRODUCT(Calc!$K$3:$K$22*(Calc!$G$3:$G$22&gt;A3659)*(Calc!$G$3:$G$22-A3659)*Calc!$G$3:$G$22)</f>
        <v/>
      </c>
      <c r="M3659">
        <f>SUMPRODUCT(Calc!$K$3:$K$22*(Calc!$G$3:$G$22&gt;B3659)*(Calc!$G$3:$G$22-B3659)*Calc!$G$3:$G$22)</f>
        <v/>
      </c>
      <c r="N3659">
        <f>SUMPRODUCT(Calc!$K$3:$K$22*(Calc!$G$3:$G$22&gt;A3659)*(Calc!$G$3:$G$22-A3659)*Calc!$I$3:$I$22)</f>
        <v/>
      </c>
      <c r="O3659">
        <f>SUMPRODUCT(Calc!$K$3:$K$22*(Calc!$G$3:$G$22&gt;B3659)*(Calc!$G$3:$G$22-B3659)*Calc!$I$3:$I$22)</f>
        <v/>
      </c>
      <c r="P3659">
        <f>I3659-G3659^2/k_n</f>
        <v/>
      </c>
      <c r="Q3659">
        <f>J3659-H3659^2/k_n</f>
        <v/>
      </c>
      <c r="R3659">
        <f>K3659-G3659*H3659/k_n</f>
        <v/>
      </c>
      <c r="S3659">
        <f>L3659-LTP3!$D$3*G3659/k_n</f>
        <v/>
      </c>
      <c r="T3659">
        <f>M3659-LTP3!$D$3*H3659/k_n</f>
        <v/>
      </c>
      <c r="U3659">
        <f>N3659-G3659*LTP3!$D$4/k_n</f>
        <v/>
      </c>
      <c r="V3659">
        <f>O3659-H3659*LTP3!$D$4/k_n</f>
        <v/>
      </c>
      <c r="W3659">
        <f>((LTP3!$D$5)*((P3659)*(Q3659)-(R3659)*(R3659))-(S3659)*((S3659)*(Q3659)-(R3659)*(T3659))+(T3659)*((S3659)*(R3659)-(P3659)*(T3659)))</f>
        <v/>
      </c>
      <c r="X3659">
        <f>IF(ABS(W3659)&gt;1E-12,((LTP3!$D$6)*((P3659)*(Q3659)-(R3659)*(R3659))-(S3659)*((U3659)*(Q3659)-(R3659)*(V3659))+(T3659)*((U3659)*(R3659)-(P3659)*(V3659)))/W3659,0)</f>
        <v/>
      </c>
      <c r="Y3659">
        <f>IF(ABS(W3659)&gt;1E-12,((LTP3!$D$5)*((U3659)*(Q3659)-(R3659)*(V3659))-(LTP3!$D$6)*((S3659)*(Q3659)-(R3659)*(T3659))+(T3659)*((S3659)*(V3659)-(U3659)*(T3659)))/W3659,0)</f>
        <v/>
      </c>
      <c r="Z3659">
        <f>IF(ABS(W3659)&gt;1E-12,((LTP3!$D$5)*((P3659)*(V3659)-(U3659)*(R3659))-(S3659)*((S3659)*(V3659)-(U3659)*(T3659))+(LTP3!$D$6)*((S3659)*(R3659)-(P3659)*(T3659)))/W3659,0)</f>
        <v/>
      </c>
      <c r="AA3659">
        <f>LTP3!$D$7-X3659*LTP3!$D$6-Y3659*U3659-Z3659*V3659</f>
        <v/>
      </c>
      <c r="AB3659">
        <f>IF(AND(F3659,ABS(W3659)&gt;1E-12,Y3659&gt;0,Z3659&gt;0),AA3659,1E+300)</f>
        <v/>
      </c>
    </row>
    <row r="3660">
      <c r="A3660">
        <f>$B$3+$B$5*59</f>
        <v/>
      </c>
      <c r="B3660">
        <f>$B$3+$B$5*49</f>
        <v/>
      </c>
      <c r="C3660">
        <f>SUMPRODUCT(Calc!$K$3:$K$22*(Calc!$G$3:$G$22&lt;=A3660))</f>
        <v/>
      </c>
      <c r="D3660">
        <f>SUMPRODUCT(Calc!$K$3:$K$22*(Calc!$G$3:$G$22&gt;A3660)*(Calc!$G$3:$G$22&lt;B3660))</f>
        <v/>
      </c>
      <c r="E3660">
        <f>SUMPRODUCT(Calc!$K$3:$K$22*(Calc!$G$3:$G$22&gt;=B3660))</f>
        <v/>
      </c>
      <c r="F3660">
        <f>AND(k_n&gt;=5,B3660&gt;A3660+1E-9,C3660&gt;=2,D3660&gt;=1,E3660&gt;=2)</f>
        <v/>
      </c>
      <c r="G3660">
        <f>SUMPRODUCT(Calc!$K$3:$K$22*(Calc!$G$3:$G$22&gt;A3660)*(Calc!$G$3:$G$22-A3660))</f>
        <v/>
      </c>
      <c r="H3660">
        <f>SUMPRODUCT(Calc!$K$3:$K$22*(Calc!$G$3:$G$22&gt;B3660)*(Calc!$G$3:$G$22-B3660))</f>
        <v/>
      </c>
      <c r="I3660">
        <f>SUMPRODUCT(Calc!$K$3:$K$22*(Calc!$G$3:$G$22&gt;A3660)*(Calc!$G$3:$G$22-A3660)^2)</f>
        <v/>
      </c>
      <c r="J3660">
        <f>SUMPRODUCT(Calc!$K$3:$K$22*(Calc!$G$3:$G$22&gt;B3660)*(Calc!$G$3:$G$22-B3660)^2)</f>
        <v/>
      </c>
      <c r="K3660">
        <f>SUMPRODUCT(Calc!$K$3:$K$22*(Calc!$G$3:$G$22&gt;A3660)*(Calc!$G$3:$G$22-A3660)*(Calc!$G$3:$G$22&gt;B3660)*(Calc!$G$3:$G$22-B3660))</f>
        <v/>
      </c>
      <c r="L3660">
        <f>SUMPRODUCT(Calc!$K$3:$K$22*(Calc!$G$3:$G$22&gt;A3660)*(Calc!$G$3:$G$22-A3660)*Calc!$G$3:$G$22)</f>
        <v/>
      </c>
      <c r="M3660">
        <f>SUMPRODUCT(Calc!$K$3:$K$22*(Calc!$G$3:$G$22&gt;B3660)*(Calc!$G$3:$G$22-B3660)*Calc!$G$3:$G$22)</f>
        <v/>
      </c>
      <c r="N3660">
        <f>SUMPRODUCT(Calc!$K$3:$K$22*(Calc!$G$3:$G$22&gt;A3660)*(Calc!$G$3:$G$22-A3660)*Calc!$I$3:$I$22)</f>
        <v/>
      </c>
      <c r="O3660">
        <f>SUMPRODUCT(Calc!$K$3:$K$22*(Calc!$G$3:$G$22&gt;B3660)*(Calc!$G$3:$G$22-B3660)*Calc!$I$3:$I$22)</f>
        <v/>
      </c>
      <c r="P3660">
        <f>I3660-G3660^2/k_n</f>
        <v/>
      </c>
      <c r="Q3660">
        <f>J3660-H3660^2/k_n</f>
        <v/>
      </c>
      <c r="R3660">
        <f>K3660-G3660*H3660/k_n</f>
        <v/>
      </c>
      <c r="S3660">
        <f>L3660-LTP3!$D$3*G3660/k_n</f>
        <v/>
      </c>
      <c r="T3660">
        <f>M3660-LTP3!$D$3*H3660/k_n</f>
        <v/>
      </c>
      <c r="U3660">
        <f>N3660-G3660*LTP3!$D$4/k_n</f>
        <v/>
      </c>
      <c r="V3660">
        <f>O3660-H3660*LTP3!$D$4/k_n</f>
        <v/>
      </c>
      <c r="W3660">
        <f>((LTP3!$D$5)*((P3660)*(Q3660)-(R3660)*(R3660))-(S3660)*((S3660)*(Q3660)-(R3660)*(T3660))+(T3660)*((S3660)*(R3660)-(P3660)*(T3660)))</f>
        <v/>
      </c>
      <c r="X3660">
        <f>IF(ABS(W3660)&gt;1E-12,((LTP3!$D$6)*((P3660)*(Q3660)-(R3660)*(R3660))-(S3660)*((U3660)*(Q3660)-(R3660)*(V3660))+(T3660)*((U3660)*(R3660)-(P3660)*(V3660)))/W3660,0)</f>
        <v/>
      </c>
      <c r="Y3660">
        <f>IF(ABS(W3660)&gt;1E-12,((LTP3!$D$5)*((U3660)*(Q3660)-(R3660)*(V3660))-(LTP3!$D$6)*((S3660)*(Q3660)-(R3660)*(T3660))+(T3660)*((S3660)*(V3660)-(U3660)*(T3660)))/W3660,0)</f>
        <v/>
      </c>
      <c r="Z3660">
        <f>IF(ABS(W3660)&gt;1E-12,((LTP3!$D$5)*((P3660)*(V3660)-(U3660)*(R3660))-(S3660)*((S3660)*(V3660)-(U3660)*(T3660))+(LTP3!$D$6)*((S3660)*(R3660)-(P3660)*(T3660)))/W3660,0)</f>
        <v/>
      </c>
      <c r="AA3660">
        <f>LTP3!$D$7-X3660*LTP3!$D$6-Y3660*U3660-Z3660*V3660</f>
        <v/>
      </c>
      <c r="AB3660">
        <f>IF(AND(F3660,ABS(W3660)&gt;1E-12,Y3660&gt;0,Z3660&gt;0),AA3660,1E+300)</f>
        <v/>
      </c>
    </row>
    <row r="3661">
      <c r="A3661">
        <f>$B$3+$B$5*59</f>
        <v/>
      </c>
      <c r="B3661">
        <f>$B$3+$B$5*50</f>
        <v/>
      </c>
      <c r="C3661">
        <f>SUMPRODUCT(Calc!$K$3:$K$22*(Calc!$G$3:$G$22&lt;=A3661))</f>
        <v/>
      </c>
      <c r="D3661">
        <f>SUMPRODUCT(Calc!$K$3:$K$22*(Calc!$G$3:$G$22&gt;A3661)*(Calc!$G$3:$G$22&lt;B3661))</f>
        <v/>
      </c>
      <c r="E3661">
        <f>SUMPRODUCT(Calc!$K$3:$K$22*(Calc!$G$3:$G$22&gt;=B3661))</f>
        <v/>
      </c>
      <c r="F3661">
        <f>AND(k_n&gt;=5,B3661&gt;A3661+1E-9,C3661&gt;=2,D3661&gt;=1,E3661&gt;=2)</f>
        <v/>
      </c>
      <c r="G3661">
        <f>SUMPRODUCT(Calc!$K$3:$K$22*(Calc!$G$3:$G$22&gt;A3661)*(Calc!$G$3:$G$22-A3661))</f>
        <v/>
      </c>
      <c r="H3661">
        <f>SUMPRODUCT(Calc!$K$3:$K$22*(Calc!$G$3:$G$22&gt;B3661)*(Calc!$G$3:$G$22-B3661))</f>
        <v/>
      </c>
      <c r="I3661">
        <f>SUMPRODUCT(Calc!$K$3:$K$22*(Calc!$G$3:$G$22&gt;A3661)*(Calc!$G$3:$G$22-A3661)^2)</f>
        <v/>
      </c>
      <c r="J3661">
        <f>SUMPRODUCT(Calc!$K$3:$K$22*(Calc!$G$3:$G$22&gt;B3661)*(Calc!$G$3:$G$22-B3661)^2)</f>
        <v/>
      </c>
      <c r="K3661">
        <f>SUMPRODUCT(Calc!$K$3:$K$22*(Calc!$G$3:$G$22&gt;A3661)*(Calc!$G$3:$G$22-A3661)*(Calc!$G$3:$G$22&gt;B3661)*(Calc!$G$3:$G$22-B3661))</f>
        <v/>
      </c>
      <c r="L3661">
        <f>SUMPRODUCT(Calc!$K$3:$K$22*(Calc!$G$3:$G$22&gt;A3661)*(Calc!$G$3:$G$22-A3661)*Calc!$G$3:$G$22)</f>
        <v/>
      </c>
      <c r="M3661">
        <f>SUMPRODUCT(Calc!$K$3:$K$22*(Calc!$G$3:$G$22&gt;B3661)*(Calc!$G$3:$G$22-B3661)*Calc!$G$3:$G$22)</f>
        <v/>
      </c>
      <c r="N3661">
        <f>SUMPRODUCT(Calc!$K$3:$K$22*(Calc!$G$3:$G$22&gt;A3661)*(Calc!$G$3:$G$22-A3661)*Calc!$I$3:$I$22)</f>
        <v/>
      </c>
      <c r="O3661">
        <f>SUMPRODUCT(Calc!$K$3:$K$22*(Calc!$G$3:$G$22&gt;B3661)*(Calc!$G$3:$G$22-B3661)*Calc!$I$3:$I$22)</f>
        <v/>
      </c>
      <c r="P3661">
        <f>I3661-G3661^2/k_n</f>
        <v/>
      </c>
      <c r="Q3661">
        <f>J3661-H3661^2/k_n</f>
        <v/>
      </c>
      <c r="R3661">
        <f>K3661-G3661*H3661/k_n</f>
        <v/>
      </c>
      <c r="S3661">
        <f>L3661-LTP3!$D$3*G3661/k_n</f>
        <v/>
      </c>
      <c r="T3661">
        <f>M3661-LTP3!$D$3*H3661/k_n</f>
        <v/>
      </c>
      <c r="U3661">
        <f>N3661-G3661*LTP3!$D$4/k_n</f>
        <v/>
      </c>
      <c r="V3661">
        <f>O3661-H3661*LTP3!$D$4/k_n</f>
        <v/>
      </c>
      <c r="W3661">
        <f>((LTP3!$D$5)*((P3661)*(Q3661)-(R3661)*(R3661))-(S3661)*((S3661)*(Q3661)-(R3661)*(T3661))+(T3661)*((S3661)*(R3661)-(P3661)*(T3661)))</f>
        <v/>
      </c>
      <c r="X3661">
        <f>IF(ABS(W3661)&gt;1E-12,((LTP3!$D$6)*((P3661)*(Q3661)-(R3661)*(R3661))-(S3661)*((U3661)*(Q3661)-(R3661)*(V3661))+(T3661)*((U3661)*(R3661)-(P3661)*(V3661)))/W3661,0)</f>
        <v/>
      </c>
      <c r="Y3661">
        <f>IF(ABS(W3661)&gt;1E-12,((LTP3!$D$5)*((U3661)*(Q3661)-(R3661)*(V3661))-(LTP3!$D$6)*((S3661)*(Q3661)-(R3661)*(T3661))+(T3661)*((S3661)*(V3661)-(U3661)*(T3661)))/W3661,0)</f>
        <v/>
      </c>
      <c r="Z3661">
        <f>IF(ABS(W3661)&gt;1E-12,((LTP3!$D$5)*((P3661)*(V3661)-(U3661)*(R3661))-(S3661)*((S3661)*(V3661)-(U3661)*(T3661))+(LTP3!$D$6)*((S3661)*(R3661)-(P3661)*(T3661)))/W3661,0)</f>
        <v/>
      </c>
      <c r="AA3661">
        <f>LTP3!$D$7-X3661*LTP3!$D$6-Y3661*U3661-Z3661*V3661</f>
        <v/>
      </c>
      <c r="AB3661">
        <f>IF(AND(F3661,ABS(W3661)&gt;1E-12,Y3661&gt;0,Z3661&gt;0),AA3661,1E+300)</f>
        <v/>
      </c>
    </row>
    <row r="3662">
      <c r="A3662">
        <f>$B$3+$B$5*59</f>
        <v/>
      </c>
      <c r="B3662">
        <f>$B$3+$B$5*51</f>
        <v/>
      </c>
      <c r="C3662">
        <f>SUMPRODUCT(Calc!$K$3:$K$22*(Calc!$G$3:$G$22&lt;=A3662))</f>
        <v/>
      </c>
      <c r="D3662">
        <f>SUMPRODUCT(Calc!$K$3:$K$22*(Calc!$G$3:$G$22&gt;A3662)*(Calc!$G$3:$G$22&lt;B3662))</f>
        <v/>
      </c>
      <c r="E3662">
        <f>SUMPRODUCT(Calc!$K$3:$K$22*(Calc!$G$3:$G$22&gt;=B3662))</f>
        <v/>
      </c>
      <c r="F3662">
        <f>AND(k_n&gt;=5,B3662&gt;A3662+1E-9,C3662&gt;=2,D3662&gt;=1,E3662&gt;=2)</f>
        <v/>
      </c>
      <c r="G3662">
        <f>SUMPRODUCT(Calc!$K$3:$K$22*(Calc!$G$3:$G$22&gt;A3662)*(Calc!$G$3:$G$22-A3662))</f>
        <v/>
      </c>
      <c r="H3662">
        <f>SUMPRODUCT(Calc!$K$3:$K$22*(Calc!$G$3:$G$22&gt;B3662)*(Calc!$G$3:$G$22-B3662))</f>
        <v/>
      </c>
      <c r="I3662">
        <f>SUMPRODUCT(Calc!$K$3:$K$22*(Calc!$G$3:$G$22&gt;A3662)*(Calc!$G$3:$G$22-A3662)^2)</f>
        <v/>
      </c>
      <c r="J3662">
        <f>SUMPRODUCT(Calc!$K$3:$K$22*(Calc!$G$3:$G$22&gt;B3662)*(Calc!$G$3:$G$22-B3662)^2)</f>
        <v/>
      </c>
      <c r="K3662">
        <f>SUMPRODUCT(Calc!$K$3:$K$22*(Calc!$G$3:$G$22&gt;A3662)*(Calc!$G$3:$G$22-A3662)*(Calc!$G$3:$G$22&gt;B3662)*(Calc!$G$3:$G$22-B3662))</f>
        <v/>
      </c>
      <c r="L3662">
        <f>SUMPRODUCT(Calc!$K$3:$K$22*(Calc!$G$3:$G$22&gt;A3662)*(Calc!$G$3:$G$22-A3662)*Calc!$G$3:$G$22)</f>
        <v/>
      </c>
      <c r="M3662">
        <f>SUMPRODUCT(Calc!$K$3:$K$22*(Calc!$G$3:$G$22&gt;B3662)*(Calc!$G$3:$G$22-B3662)*Calc!$G$3:$G$22)</f>
        <v/>
      </c>
      <c r="N3662">
        <f>SUMPRODUCT(Calc!$K$3:$K$22*(Calc!$G$3:$G$22&gt;A3662)*(Calc!$G$3:$G$22-A3662)*Calc!$I$3:$I$22)</f>
        <v/>
      </c>
      <c r="O3662">
        <f>SUMPRODUCT(Calc!$K$3:$K$22*(Calc!$G$3:$G$22&gt;B3662)*(Calc!$G$3:$G$22-B3662)*Calc!$I$3:$I$22)</f>
        <v/>
      </c>
      <c r="P3662">
        <f>I3662-G3662^2/k_n</f>
        <v/>
      </c>
      <c r="Q3662">
        <f>J3662-H3662^2/k_n</f>
        <v/>
      </c>
      <c r="R3662">
        <f>K3662-G3662*H3662/k_n</f>
        <v/>
      </c>
      <c r="S3662">
        <f>L3662-LTP3!$D$3*G3662/k_n</f>
        <v/>
      </c>
      <c r="T3662">
        <f>M3662-LTP3!$D$3*H3662/k_n</f>
        <v/>
      </c>
      <c r="U3662">
        <f>N3662-G3662*LTP3!$D$4/k_n</f>
        <v/>
      </c>
      <c r="V3662">
        <f>O3662-H3662*LTP3!$D$4/k_n</f>
        <v/>
      </c>
      <c r="W3662">
        <f>((LTP3!$D$5)*((P3662)*(Q3662)-(R3662)*(R3662))-(S3662)*((S3662)*(Q3662)-(R3662)*(T3662))+(T3662)*((S3662)*(R3662)-(P3662)*(T3662)))</f>
        <v/>
      </c>
      <c r="X3662">
        <f>IF(ABS(W3662)&gt;1E-12,((LTP3!$D$6)*((P3662)*(Q3662)-(R3662)*(R3662))-(S3662)*((U3662)*(Q3662)-(R3662)*(V3662))+(T3662)*((U3662)*(R3662)-(P3662)*(V3662)))/W3662,0)</f>
        <v/>
      </c>
      <c r="Y3662">
        <f>IF(ABS(W3662)&gt;1E-12,((LTP3!$D$5)*((U3662)*(Q3662)-(R3662)*(V3662))-(LTP3!$D$6)*((S3662)*(Q3662)-(R3662)*(T3662))+(T3662)*((S3662)*(V3662)-(U3662)*(T3662)))/W3662,0)</f>
        <v/>
      </c>
      <c r="Z3662">
        <f>IF(ABS(W3662)&gt;1E-12,((LTP3!$D$5)*((P3662)*(V3662)-(U3662)*(R3662))-(S3662)*((S3662)*(V3662)-(U3662)*(T3662))+(LTP3!$D$6)*((S3662)*(R3662)-(P3662)*(T3662)))/W3662,0)</f>
        <v/>
      </c>
      <c r="AA3662">
        <f>LTP3!$D$7-X3662*LTP3!$D$6-Y3662*U3662-Z3662*V3662</f>
        <v/>
      </c>
      <c r="AB3662">
        <f>IF(AND(F3662,ABS(W3662)&gt;1E-12,Y3662&gt;0,Z3662&gt;0),AA3662,1E+300)</f>
        <v/>
      </c>
    </row>
    <row r="3663">
      <c r="A3663">
        <f>$B$3+$B$5*59</f>
        <v/>
      </c>
      <c r="B3663">
        <f>$B$3+$B$5*52</f>
        <v/>
      </c>
      <c r="C3663">
        <f>SUMPRODUCT(Calc!$K$3:$K$22*(Calc!$G$3:$G$22&lt;=A3663))</f>
        <v/>
      </c>
      <c r="D3663">
        <f>SUMPRODUCT(Calc!$K$3:$K$22*(Calc!$G$3:$G$22&gt;A3663)*(Calc!$G$3:$G$22&lt;B3663))</f>
        <v/>
      </c>
      <c r="E3663">
        <f>SUMPRODUCT(Calc!$K$3:$K$22*(Calc!$G$3:$G$22&gt;=B3663))</f>
        <v/>
      </c>
      <c r="F3663">
        <f>AND(k_n&gt;=5,B3663&gt;A3663+1E-9,C3663&gt;=2,D3663&gt;=1,E3663&gt;=2)</f>
        <v/>
      </c>
      <c r="G3663">
        <f>SUMPRODUCT(Calc!$K$3:$K$22*(Calc!$G$3:$G$22&gt;A3663)*(Calc!$G$3:$G$22-A3663))</f>
        <v/>
      </c>
      <c r="H3663">
        <f>SUMPRODUCT(Calc!$K$3:$K$22*(Calc!$G$3:$G$22&gt;B3663)*(Calc!$G$3:$G$22-B3663))</f>
        <v/>
      </c>
      <c r="I3663">
        <f>SUMPRODUCT(Calc!$K$3:$K$22*(Calc!$G$3:$G$22&gt;A3663)*(Calc!$G$3:$G$22-A3663)^2)</f>
        <v/>
      </c>
      <c r="J3663">
        <f>SUMPRODUCT(Calc!$K$3:$K$22*(Calc!$G$3:$G$22&gt;B3663)*(Calc!$G$3:$G$22-B3663)^2)</f>
        <v/>
      </c>
      <c r="K3663">
        <f>SUMPRODUCT(Calc!$K$3:$K$22*(Calc!$G$3:$G$22&gt;A3663)*(Calc!$G$3:$G$22-A3663)*(Calc!$G$3:$G$22&gt;B3663)*(Calc!$G$3:$G$22-B3663))</f>
        <v/>
      </c>
      <c r="L3663">
        <f>SUMPRODUCT(Calc!$K$3:$K$22*(Calc!$G$3:$G$22&gt;A3663)*(Calc!$G$3:$G$22-A3663)*Calc!$G$3:$G$22)</f>
        <v/>
      </c>
      <c r="M3663">
        <f>SUMPRODUCT(Calc!$K$3:$K$22*(Calc!$G$3:$G$22&gt;B3663)*(Calc!$G$3:$G$22-B3663)*Calc!$G$3:$G$22)</f>
        <v/>
      </c>
      <c r="N3663">
        <f>SUMPRODUCT(Calc!$K$3:$K$22*(Calc!$G$3:$G$22&gt;A3663)*(Calc!$G$3:$G$22-A3663)*Calc!$I$3:$I$22)</f>
        <v/>
      </c>
      <c r="O3663">
        <f>SUMPRODUCT(Calc!$K$3:$K$22*(Calc!$G$3:$G$22&gt;B3663)*(Calc!$G$3:$G$22-B3663)*Calc!$I$3:$I$22)</f>
        <v/>
      </c>
      <c r="P3663">
        <f>I3663-G3663^2/k_n</f>
        <v/>
      </c>
      <c r="Q3663">
        <f>J3663-H3663^2/k_n</f>
        <v/>
      </c>
      <c r="R3663">
        <f>K3663-G3663*H3663/k_n</f>
        <v/>
      </c>
      <c r="S3663">
        <f>L3663-LTP3!$D$3*G3663/k_n</f>
        <v/>
      </c>
      <c r="T3663">
        <f>M3663-LTP3!$D$3*H3663/k_n</f>
        <v/>
      </c>
      <c r="U3663">
        <f>N3663-G3663*LTP3!$D$4/k_n</f>
        <v/>
      </c>
      <c r="V3663">
        <f>O3663-H3663*LTP3!$D$4/k_n</f>
        <v/>
      </c>
      <c r="W3663">
        <f>((LTP3!$D$5)*((P3663)*(Q3663)-(R3663)*(R3663))-(S3663)*((S3663)*(Q3663)-(R3663)*(T3663))+(T3663)*((S3663)*(R3663)-(P3663)*(T3663)))</f>
        <v/>
      </c>
      <c r="X3663">
        <f>IF(ABS(W3663)&gt;1E-12,((LTP3!$D$6)*((P3663)*(Q3663)-(R3663)*(R3663))-(S3663)*((U3663)*(Q3663)-(R3663)*(V3663))+(T3663)*((U3663)*(R3663)-(P3663)*(V3663)))/W3663,0)</f>
        <v/>
      </c>
      <c r="Y3663">
        <f>IF(ABS(W3663)&gt;1E-12,((LTP3!$D$5)*((U3663)*(Q3663)-(R3663)*(V3663))-(LTP3!$D$6)*((S3663)*(Q3663)-(R3663)*(T3663))+(T3663)*((S3663)*(V3663)-(U3663)*(T3663)))/W3663,0)</f>
        <v/>
      </c>
      <c r="Z3663">
        <f>IF(ABS(W3663)&gt;1E-12,((LTP3!$D$5)*((P3663)*(V3663)-(U3663)*(R3663))-(S3663)*((S3663)*(V3663)-(U3663)*(T3663))+(LTP3!$D$6)*((S3663)*(R3663)-(P3663)*(T3663)))/W3663,0)</f>
        <v/>
      </c>
      <c r="AA3663">
        <f>LTP3!$D$7-X3663*LTP3!$D$6-Y3663*U3663-Z3663*V3663</f>
        <v/>
      </c>
      <c r="AB3663">
        <f>IF(AND(F3663,ABS(W3663)&gt;1E-12,Y3663&gt;0,Z3663&gt;0),AA3663,1E+300)</f>
        <v/>
      </c>
    </row>
    <row r="3664">
      <c r="A3664">
        <f>$B$3+$B$5*59</f>
        <v/>
      </c>
      <c r="B3664">
        <f>$B$3+$B$5*53</f>
        <v/>
      </c>
      <c r="C3664">
        <f>SUMPRODUCT(Calc!$K$3:$K$22*(Calc!$G$3:$G$22&lt;=A3664))</f>
        <v/>
      </c>
      <c r="D3664">
        <f>SUMPRODUCT(Calc!$K$3:$K$22*(Calc!$G$3:$G$22&gt;A3664)*(Calc!$G$3:$G$22&lt;B3664))</f>
        <v/>
      </c>
      <c r="E3664">
        <f>SUMPRODUCT(Calc!$K$3:$K$22*(Calc!$G$3:$G$22&gt;=B3664))</f>
        <v/>
      </c>
      <c r="F3664">
        <f>AND(k_n&gt;=5,B3664&gt;A3664+1E-9,C3664&gt;=2,D3664&gt;=1,E3664&gt;=2)</f>
        <v/>
      </c>
      <c r="G3664">
        <f>SUMPRODUCT(Calc!$K$3:$K$22*(Calc!$G$3:$G$22&gt;A3664)*(Calc!$G$3:$G$22-A3664))</f>
        <v/>
      </c>
      <c r="H3664">
        <f>SUMPRODUCT(Calc!$K$3:$K$22*(Calc!$G$3:$G$22&gt;B3664)*(Calc!$G$3:$G$22-B3664))</f>
        <v/>
      </c>
      <c r="I3664">
        <f>SUMPRODUCT(Calc!$K$3:$K$22*(Calc!$G$3:$G$22&gt;A3664)*(Calc!$G$3:$G$22-A3664)^2)</f>
        <v/>
      </c>
      <c r="J3664">
        <f>SUMPRODUCT(Calc!$K$3:$K$22*(Calc!$G$3:$G$22&gt;B3664)*(Calc!$G$3:$G$22-B3664)^2)</f>
        <v/>
      </c>
      <c r="K3664">
        <f>SUMPRODUCT(Calc!$K$3:$K$22*(Calc!$G$3:$G$22&gt;A3664)*(Calc!$G$3:$G$22-A3664)*(Calc!$G$3:$G$22&gt;B3664)*(Calc!$G$3:$G$22-B3664))</f>
        <v/>
      </c>
      <c r="L3664">
        <f>SUMPRODUCT(Calc!$K$3:$K$22*(Calc!$G$3:$G$22&gt;A3664)*(Calc!$G$3:$G$22-A3664)*Calc!$G$3:$G$22)</f>
        <v/>
      </c>
      <c r="M3664">
        <f>SUMPRODUCT(Calc!$K$3:$K$22*(Calc!$G$3:$G$22&gt;B3664)*(Calc!$G$3:$G$22-B3664)*Calc!$G$3:$G$22)</f>
        <v/>
      </c>
      <c r="N3664">
        <f>SUMPRODUCT(Calc!$K$3:$K$22*(Calc!$G$3:$G$22&gt;A3664)*(Calc!$G$3:$G$22-A3664)*Calc!$I$3:$I$22)</f>
        <v/>
      </c>
      <c r="O3664">
        <f>SUMPRODUCT(Calc!$K$3:$K$22*(Calc!$G$3:$G$22&gt;B3664)*(Calc!$G$3:$G$22-B3664)*Calc!$I$3:$I$22)</f>
        <v/>
      </c>
      <c r="P3664">
        <f>I3664-G3664^2/k_n</f>
        <v/>
      </c>
      <c r="Q3664">
        <f>J3664-H3664^2/k_n</f>
        <v/>
      </c>
      <c r="R3664">
        <f>K3664-G3664*H3664/k_n</f>
        <v/>
      </c>
      <c r="S3664">
        <f>L3664-LTP3!$D$3*G3664/k_n</f>
        <v/>
      </c>
      <c r="T3664">
        <f>M3664-LTP3!$D$3*H3664/k_n</f>
        <v/>
      </c>
      <c r="U3664">
        <f>N3664-G3664*LTP3!$D$4/k_n</f>
        <v/>
      </c>
      <c r="V3664">
        <f>O3664-H3664*LTP3!$D$4/k_n</f>
        <v/>
      </c>
      <c r="W3664">
        <f>((LTP3!$D$5)*((P3664)*(Q3664)-(R3664)*(R3664))-(S3664)*((S3664)*(Q3664)-(R3664)*(T3664))+(T3664)*((S3664)*(R3664)-(P3664)*(T3664)))</f>
        <v/>
      </c>
      <c r="X3664">
        <f>IF(ABS(W3664)&gt;1E-12,((LTP3!$D$6)*((P3664)*(Q3664)-(R3664)*(R3664))-(S3664)*((U3664)*(Q3664)-(R3664)*(V3664))+(T3664)*((U3664)*(R3664)-(P3664)*(V3664)))/W3664,0)</f>
        <v/>
      </c>
      <c r="Y3664">
        <f>IF(ABS(W3664)&gt;1E-12,((LTP3!$D$5)*((U3664)*(Q3664)-(R3664)*(V3664))-(LTP3!$D$6)*((S3664)*(Q3664)-(R3664)*(T3664))+(T3664)*((S3664)*(V3664)-(U3664)*(T3664)))/W3664,0)</f>
        <v/>
      </c>
      <c r="Z3664">
        <f>IF(ABS(W3664)&gt;1E-12,((LTP3!$D$5)*((P3664)*(V3664)-(U3664)*(R3664))-(S3664)*((S3664)*(V3664)-(U3664)*(T3664))+(LTP3!$D$6)*((S3664)*(R3664)-(P3664)*(T3664)))/W3664,0)</f>
        <v/>
      </c>
      <c r="AA3664">
        <f>LTP3!$D$7-X3664*LTP3!$D$6-Y3664*U3664-Z3664*V3664</f>
        <v/>
      </c>
      <c r="AB3664">
        <f>IF(AND(F3664,ABS(W3664)&gt;1E-12,Y3664&gt;0,Z3664&gt;0),AA3664,1E+300)</f>
        <v/>
      </c>
    </row>
    <row r="3665">
      <c r="A3665">
        <f>$B$3+$B$5*59</f>
        <v/>
      </c>
      <c r="B3665">
        <f>$B$3+$B$5*54</f>
        <v/>
      </c>
      <c r="C3665">
        <f>SUMPRODUCT(Calc!$K$3:$K$22*(Calc!$G$3:$G$22&lt;=A3665))</f>
        <v/>
      </c>
      <c r="D3665">
        <f>SUMPRODUCT(Calc!$K$3:$K$22*(Calc!$G$3:$G$22&gt;A3665)*(Calc!$G$3:$G$22&lt;B3665))</f>
        <v/>
      </c>
      <c r="E3665">
        <f>SUMPRODUCT(Calc!$K$3:$K$22*(Calc!$G$3:$G$22&gt;=B3665))</f>
        <v/>
      </c>
      <c r="F3665">
        <f>AND(k_n&gt;=5,B3665&gt;A3665+1E-9,C3665&gt;=2,D3665&gt;=1,E3665&gt;=2)</f>
        <v/>
      </c>
      <c r="G3665">
        <f>SUMPRODUCT(Calc!$K$3:$K$22*(Calc!$G$3:$G$22&gt;A3665)*(Calc!$G$3:$G$22-A3665))</f>
        <v/>
      </c>
      <c r="H3665">
        <f>SUMPRODUCT(Calc!$K$3:$K$22*(Calc!$G$3:$G$22&gt;B3665)*(Calc!$G$3:$G$22-B3665))</f>
        <v/>
      </c>
      <c r="I3665">
        <f>SUMPRODUCT(Calc!$K$3:$K$22*(Calc!$G$3:$G$22&gt;A3665)*(Calc!$G$3:$G$22-A3665)^2)</f>
        <v/>
      </c>
      <c r="J3665">
        <f>SUMPRODUCT(Calc!$K$3:$K$22*(Calc!$G$3:$G$22&gt;B3665)*(Calc!$G$3:$G$22-B3665)^2)</f>
        <v/>
      </c>
      <c r="K3665">
        <f>SUMPRODUCT(Calc!$K$3:$K$22*(Calc!$G$3:$G$22&gt;A3665)*(Calc!$G$3:$G$22-A3665)*(Calc!$G$3:$G$22&gt;B3665)*(Calc!$G$3:$G$22-B3665))</f>
        <v/>
      </c>
      <c r="L3665">
        <f>SUMPRODUCT(Calc!$K$3:$K$22*(Calc!$G$3:$G$22&gt;A3665)*(Calc!$G$3:$G$22-A3665)*Calc!$G$3:$G$22)</f>
        <v/>
      </c>
      <c r="M3665">
        <f>SUMPRODUCT(Calc!$K$3:$K$22*(Calc!$G$3:$G$22&gt;B3665)*(Calc!$G$3:$G$22-B3665)*Calc!$G$3:$G$22)</f>
        <v/>
      </c>
      <c r="N3665">
        <f>SUMPRODUCT(Calc!$K$3:$K$22*(Calc!$G$3:$G$22&gt;A3665)*(Calc!$G$3:$G$22-A3665)*Calc!$I$3:$I$22)</f>
        <v/>
      </c>
      <c r="O3665">
        <f>SUMPRODUCT(Calc!$K$3:$K$22*(Calc!$G$3:$G$22&gt;B3665)*(Calc!$G$3:$G$22-B3665)*Calc!$I$3:$I$22)</f>
        <v/>
      </c>
      <c r="P3665">
        <f>I3665-G3665^2/k_n</f>
        <v/>
      </c>
      <c r="Q3665">
        <f>J3665-H3665^2/k_n</f>
        <v/>
      </c>
      <c r="R3665">
        <f>K3665-G3665*H3665/k_n</f>
        <v/>
      </c>
      <c r="S3665">
        <f>L3665-LTP3!$D$3*G3665/k_n</f>
        <v/>
      </c>
      <c r="T3665">
        <f>M3665-LTP3!$D$3*H3665/k_n</f>
        <v/>
      </c>
      <c r="U3665">
        <f>N3665-G3665*LTP3!$D$4/k_n</f>
        <v/>
      </c>
      <c r="V3665">
        <f>O3665-H3665*LTP3!$D$4/k_n</f>
        <v/>
      </c>
      <c r="W3665">
        <f>((LTP3!$D$5)*((P3665)*(Q3665)-(R3665)*(R3665))-(S3665)*((S3665)*(Q3665)-(R3665)*(T3665))+(T3665)*((S3665)*(R3665)-(P3665)*(T3665)))</f>
        <v/>
      </c>
      <c r="X3665">
        <f>IF(ABS(W3665)&gt;1E-12,((LTP3!$D$6)*((P3665)*(Q3665)-(R3665)*(R3665))-(S3665)*((U3665)*(Q3665)-(R3665)*(V3665))+(T3665)*((U3665)*(R3665)-(P3665)*(V3665)))/W3665,0)</f>
        <v/>
      </c>
      <c r="Y3665">
        <f>IF(ABS(W3665)&gt;1E-12,((LTP3!$D$5)*((U3665)*(Q3665)-(R3665)*(V3665))-(LTP3!$D$6)*((S3665)*(Q3665)-(R3665)*(T3665))+(T3665)*((S3665)*(V3665)-(U3665)*(T3665)))/W3665,0)</f>
        <v/>
      </c>
      <c r="Z3665">
        <f>IF(ABS(W3665)&gt;1E-12,((LTP3!$D$5)*((P3665)*(V3665)-(U3665)*(R3665))-(S3665)*((S3665)*(V3665)-(U3665)*(T3665))+(LTP3!$D$6)*((S3665)*(R3665)-(P3665)*(T3665)))/W3665,0)</f>
        <v/>
      </c>
      <c r="AA3665">
        <f>LTP3!$D$7-X3665*LTP3!$D$6-Y3665*U3665-Z3665*V3665</f>
        <v/>
      </c>
      <c r="AB3665">
        <f>IF(AND(F3665,ABS(W3665)&gt;1E-12,Y3665&gt;0,Z3665&gt;0),AA3665,1E+300)</f>
        <v/>
      </c>
    </row>
    <row r="3666">
      <c r="A3666">
        <f>$B$3+$B$5*59</f>
        <v/>
      </c>
      <c r="B3666">
        <f>$B$3+$B$5*55</f>
        <v/>
      </c>
      <c r="C3666">
        <f>SUMPRODUCT(Calc!$K$3:$K$22*(Calc!$G$3:$G$22&lt;=A3666))</f>
        <v/>
      </c>
      <c r="D3666">
        <f>SUMPRODUCT(Calc!$K$3:$K$22*(Calc!$G$3:$G$22&gt;A3666)*(Calc!$G$3:$G$22&lt;B3666))</f>
        <v/>
      </c>
      <c r="E3666">
        <f>SUMPRODUCT(Calc!$K$3:$K$22*(Calc!$G$3:$G$22&gt;=B3666))</f>
        <v/>
      </c>
      <c r="F3666">
        <f>AND(k_n&gt;=5,B3666&gt;A3666+1E-9,C3666&gt;=2,D3666&gt;=1,E3666&gt;=2)</f>
        <v/>
      </c>
      <c r="G3666">
        <f>SUMPRODUCT(Calc!$K$3:$K$22*(Calc!$G$3:$G$22&gt;A3666)*(Calc!$G$3:$G$22-A3666))</f>
        <v/>
      </c>
      <c r="H3666">
        <f>SUMPRODUCT(Calc!$K$3:$K$22*(Calc!$G$3:$G$22&gt;B3666)*(Calc!$G$3:$G$22-B3666))</f>
        <v/>
      </c>
      <c r="I3666">
        <f>SUMPRODUCT(Calc!$K$3:$K$22*(Calc!$G$3:$G$22&gt;A3666)*(Calc!$G$3:$G$22-A3666)^2)</f>
        <v/>
      </c>
      <c r="J3666">
        <f>SUMPRODUCT(Calc!$K$3:$K$22*(Calc!$G$3:$G$22&gt;B3666)*(Calc!$G$3:$G$22-B3666)^2)</f>
        <v/>
      </c>
      <c r="K3666">
        <f>SUMPRODUCT(Calc!$K$3:$K$22*(Calc!$G$3:$G$22&gt;A3666)*(Calc!$G$3:$G$22-A3666)*(Calc!$G$3:$G$22&gt;B3666)*(Calc!$G$3:$G$22-B3666))</f>
        <v/>
      </c>
      <c r="L3666">
        <f>SUMPRODUCT(Calc!$K$3:$K$22*(Calc!$G$3:$G$22&gt;A3666)*(Calc!$G$3:$G$22-A3666)*Calc!$G$3:$G$22)</f>
        <v/>
      </c>
      <c r="M3666">
        <f>SUMPRODUCT(Calc!$K$3:$K$22*(Calc!$G$3:$G$22&gt;B3666)*(Calc!$G$3:$G$22-B3666)*Calc!$G$3:$G$22)</f>
        <v/>
      </c>
      <c r="N3666">
        <f>SUMPRODUCT(Calc!$K$3:$K$22*(Calc!$G$3:$G$22&gt;A3666)*(Calc!$G$3:$G$22-A3666)*Calc!$I$3:$I$22)</f>
        <v/>
      </c>
      <c r="O3666">
        <f>SUMPRODUCT(Calc!$K$3:$K$22*(Calc!$G$3:$G$22&gt;B3666)*(Calc!$G$3:$G$22-B3666)*Calc!$I$3:$I$22)</f>
        <v/>
      </c>
      <c r="P3666">
        <f>I3666-G3666^2/k_n</f>
        <v/>
      </c>
      <c r="Q3666">
        <f>J3666-H3666^2/k_n</f>
        <v/>
      </c>
      <c r="R3666">
        <f>K3666-G3666*H3666/k_n</f>
        <v/>
      </c>
      <c r="S3666">
        <f>L3666-LTP3!$D$3*G3666/k_n</f>
        <v/>
      </c>
      <c r="T3666">
        <f>M3666-LTP3!$D$3*H3666/k_n</f>
        <v/>
      </c>
      <c r="U3666">
        <f>N3666-G3666*LTP3!$D$4/k_n</f>
        <v/>
      </c>
      <c r="V3666">
        <f>O3666-H3666*LTP3!$D$4/k_n</f>
        <v/>
      </c>
      <c r="W3666">
        <f>((LTP3!$D$5)*((P3666)*(Q3666)-(R3666)*(R3666))-(S3666)*((S3666)*(Q3666)-(R3666)*(T3666))+(T3666)*((S3666)*(R3666)-(P3666)*(T3666)))</f>
        <v/>
      </c>
      <c r="X3666">
        <f>IF(ABS(W3666)&gt;1E-12,((LTP3!$D$6)*((P3666)*(Q3666)-(R3666)*(R3666))-(S3666)*((U3666)*(Q3666)-(R3666)*(V3666))+(T3666)*((U3666)*(R3666)-(P3666)*(V3666)))/W3666,0)</f>
        <v/>
      </c>
      <c r="Y3666">
        <f>IF(ABS(W3666)&gt;1E-12,((LTP3!$D$5)*((U3666)*(Q3666)-(R3666)*(V3666))-(LTP3!$D$6)*((S3666)*(Q3666)-(R3666)*(T3666))+(T3666)*((S3666)*(V3666)-(U3666)*(T3666)))/W3666,0)</f>
        <v/>
      </c>
      <c r="Z3666">
        <f>IF(ABS(W3666)&gt;1E-12,((LTP3!$D$5)*((P3666)*(V3666)-(U3666)*(R3666))-(S3666)*((S3666)*(V3666)-(U3666)*(T3666))+(LTP3!$D$6)*((S3666)*(R3666)-(P3666)*(T3666)))/W3666,0)</f>
        <v/>
      </c>
      <c r="AA3666">
        <f>LTP3!$D$7-X3666*LTP3!$D$6-Y3666*U3666-Z3666*V3666</f>
        <v/>
      </c>
      <c r="AB3666">
        <f>IF(AND(F3666,ABS(W3666)&gt;1E-12,Y3666&gt;0,Z3666&gt;0),AA3666,1E+300)</f>
        <v/>
      </c>
    </row>
    <row r="3667">
      <c r="A3667">
        <f>$B$3+$B$5*59</f>
        <v/>
      </c>
      <c r="B3667">
        <f>$B$3+$B$5*56</f>
        <v/>
      </c>
      <c r="C3667">
        <f>SUMPRODUCT(Calc!$K$3:$K$22*(Calc!$G$3:$G$22&lt;=A3667))</f>
        <v/>
      </c>
      <c r="D3667">
        <f>SUMPRODUCT(Calc!$K$3:$K$22*(Calc!$G$3:$G$22&gt;A3667)*(Calc!$G$3:$G$22&lt;B3667))</f>
        <v/>
      </c>
      <c r="E3667">
        <f>SUMPRODUCT(Calc!$K$3:$K$22*(Calc!$G$3:$G$22&gt;=B3667))</f>
        <v/>
      </c>
      <c r="F3667">
        <f>AND(k_n&gt;=5,B3667&gt;A3667+1E-9,C3667&gt;=2,D3667&gt;=1,E3667&gt;=2)</f>
        <v/>
      </c>
      <c r="G3667">
        <f>SUMPRODUCT(Calc!$K$3:$K$22*(Calc!$G$3:$G$22&gt;A3667)*(Calc!$G$3:$G$22-A3667))</f>
        <v/>
      </c>
      <c r="H3667">
        <f>SUMPRODUCT(Calc!$K$3:$K$22*(Calc!$G$3:$G$22&gt;B3667)*(Calc!$G$3:$G$22-B3667))</f>
        <v/>
      </c>
      <c r="I3667">
        <f>SUMPRODUCT(Calc!$K$3:$K$22*(Calc!$G$3:$G$22&gt;A3667)*(Calc!$G$3:$G$22-A3667)^2)</f>
        <v/>
      </c>
      <c r="J3667">
        <f>SUMPRODUCT(Calc!$K$3:$K$22*(Calc!$G$3:$G$22&gt;B3667)*(Calc!$G$3:$G$22-B3667)^2)</f>
        <v/>
      </c>
      <c r="K3667">
        <f>SUMPRODUCT(Calc!$K$3:$K$22*(Calc!$G$3:$G$22&gt;A3667)*(Calc!$G$3:$G$22-A3667)*(Calc!$G$3:$G$22&gt;B3667)*(Calc!$G$3:$G$22-B3667))</f>
        <v/>
      </c>
      <c r="L3667">
        <f>SUMPRODUCT(Calc!$K$3:$K$22*(Calc!$G$3:$G$22&gt;A3667)*(Calc!$G$3:$G$22-A3667)*Calc!$G$3:$G$22)</f>
        <v/>
      </c>
      <c r="M3667">
        <f>SUMPRODUCT(Calc!$K$3:$K$22*(Calc!$G$3:$G$22&gt;B3667)*(Calc!$G$3:$G$22-B3667)*Calc!$G$3:$G$22)</f>
        <v/>
      </c>
      <c r="N3667">
        <f>SUMPRODUCT(Calc!$K$3:$K$22*(Calc!$G$3:$G$22&gt;A3667)*(Calc!$G$3:$G$22-A3667)*Calc!$I$3:$I$22)</f>
        <v/>
      </c>
      <c r="O3667">
        <f>SUMPRODUCT(Calc!$K$3:$K$22*(Calc!$G$3:$G$22&gt;B3667)*(Calc!$G$3:$G$22-B3667)*Calc!$I$3:$I$22)</f>
        <v/>
      </c>
      <c r="P3667">
        <f>I3667-G3667^2/k_n</f>
        <v/>
      </c>
      <c r="Q3667">
        <f>J3667-H3667^2/k_n</f>
        <v/>
      </c>
      <c r="R3667">
        <f>K3667-G3667*H3667/k_n</f>
        <v/>
      </c>
      <c r="S3667">
        <f>L3667-LTP3!$D$3*G3667/k_n</f>
        <v/>
      </c>
      <c r="T3667">
        <f>M3667-LTP3!$D$3*H3667/k_n</f>
        <v/>
      </c>
      <c r="U3667">
        <f>N3667-G3667*LTP3!$D$4/k_n</f>
        <v/>
      </c>
      <c r="V3667">
        <f>O3667-H3667*LTP3!$D$4/k_n</f>
        <v/>
      </c>
      <c r="W3667">
        <f>((LTP3!$D$5)*((P3667)*(Q3667)-(R3667)*(R3667))-(S3667)*((S3667)*(Q3667)-(R3667)*(T3667))+(T3667)*((S3667)*(R3667)-(P3667)*(T3667)))</f>
        <v/>
      </c>
      <c r="X3667">
        <f>IF(ABS(W3667)&gt;1E-12,((LTP3!$D$6)*((P3667)*(Q3667)-(R3667)*(R3667))-(S3667)*((U3667)*(Q3667)-(R3667)*(V3667))+(T3667)*((U3667)*(R3667)-(P3667)*(V3667)))/W3667,0)</f>
        <v/>
      </c>
      <c r="Y3667">
        <f>IF(ABS(W3667)&gt;1E-12,((LTP3!$D$5)*((U3667)*(Q3667)-(R3667)*(V3667))-(LTP3!$D$6)*((S3667)*(Q3667)-(R3667)*(T3667))+(T3667)*((S3667)*(V3667)-(U3667)*(T3667)))/W3667,0)</f>
        <v/>
      </c>
      <c r="Z3667">
        <f>IF(ABS(W3667)&gt;1E-12,((LTP3!$D$5)*((P3667)*(V3667)-(U3667)*(R3667))-(S3667)*((S3667)*(V3667)-(U3667)*(T3667))+(LTP3!$D$6)*((S3667)*(R3667)-(P3667)*(T3667)))/W3667,0)</f>
        <v/>
      </c>
      <c r="AA3667">
        <f>LTP3!$D$7-X3667*LTP3!$D$6-Y3667*U3667-Z3667*V3667</f>
        <v/>
      </c>
      <c r="AB3667">
        <f>IF(AND(F3667,ABS(W3667)&gt;1E-12,Y3667&gt;0,Z3667&gt;0),AA3667,1E+300)</f>
        <v/>
      </c>
    </row>
    <row r="3668">
      <c r="A3668">
        <f>$B$3+$B$5*59</f>
        <v/>
      </c>
      <c r="B3668">
        <f>$B$3+$B$5*57</f>
        <v/>
      </c>
      <c r="C3668">
        <f>SUMPRODUCT(Calc!$K$3:$K$22*(Calc!$G$3:$G$22&lt;=A3668))</f>
        <v/>
      </c>
      <c r="D3668">
        <f>SUMPRODUCT(Calc!$K$3:$K$22*(Calc!$G$3:$G$22&gt;A3668)*(Calc!$G$3:$G$22&lt;B3668))</f>
        <v/>
      </c>
      <c r="E3668">
        <f>SUMPRODUCT(Calc!$K$3:$K$22*(Calc!$G$3:$G$22&gt;=B3668))</f>
        <v/>
      </c>
      <c r="F3668">
        <f>AND(k_n&gt;=5,B3668&gt;A3668+1E-9,C3668&gt;=2,D3668&gt;=1,E3668&gt;=2)</f>
        <v/>
      </c>
      <c r="G3668">
        <f>SUMPRODUCT(Calc!$K$3:$K$22*(Calc!$G$3:$G$22&gt;A3668)*(Calc!$G$3:$G$22-A3668))</f>
        <v/>
      </c>
      <c r="H3668">
        <f>SUMPRODUCT(Calc!$K$3:$K$22*(Calc!$G$3:$G$22&gt;B3668)*(Calc!$G$3:$G$22-B3668))</f>
        <v/>
      </c>
      <c r="I3668">
        <f>SUMPRODUCT(Calc!$K$3:$K$22*(Calc!$G$3:$G$22&gt;A3668)*(Calc!$G$3:$G$22-A3668)^2)</f>
        <v/>
      </c>
      <c r="J3668">
        <f>SUMPRODUCT(Calc!$K$3:$K$22*(Calc!$G$3:$G$22&gt;B3668)*(Calc!$G$3:$G$22-B3668)^2)</f>
        <v/>
      </c>
      <c r="K3668">
        <f>SUMPRODUCT(Calc!$K$3:$K$22*(Calc!$G$3:$G$22&gt;A3668)*(Calc!$G$3:$G$22-A3668)*(Calc!$G$3:$G$22&gt;B3668)*(Calc!$G$3:$G$22-B3668))</f>
        <v/>
      </c>
      <c r="L3668">
        <f>SUMPRODUCT(Calc!$K$3:$K$22*(Calc!$G$3:$G$22&gt;A3668)*(Calc!$G$3:$G$22-A3668)*Calc!$G$3:$G$22)</f>
        <v/>
      </c>
      <c r="M3668">
        <f>SUMPRODUCT(Calc!$K$3:$K$22*(Calc!$G$3:$G$22&gt;B3668)*(Calc!$G$3:$G$22-B3668)*Calc!$G$3:$G$22)</f>
        <v/>
      </c>
      <c r="N3668">
        <f>SUMPRODUCT(Calc!$K$3:$K$22*(Calc!$G$3:$G$22&gt;A3668)*(Calc!$G$3:$G$22-A3668)*Calc!$I$3:$I$22)</f>
        <v/>
      </c>
      <c r="O3668">
        <f>SUMPRODUCT(Calc!$K$3:$K$22*(Calc!$G$3:$G$22&gt;B3668)*(Calc!$G$3:$G$22-B3668)*Calc!$I$3:$I$22)</f>
        <v/>
      </c>
      <c r="P3668">
        <f>I3668-G3668^2/k_n</f>
        <v/>
      </c>
      <c r="Q3668">
        <f>J3668-H3668^2/k_n</f>
        <v/>
      </c>
      <c r="R3668">
        <f>K3668-G3668*H3668/k_n</f>
        <v/>
      </c>
      <c r="S3668">
        <f>L3668-LTP3!$D$3*G3668/k_n</f>
        <v/>
      </c>
      <c r="T3668">
        <f>M3668-LTP3!$D$3*H3668/k_n</f>
        <v/>
      </c>
      <c r="U3668">
        <f>N3668-G3668*LTP3!$D$4/k_n</f>
        <v/>
      </c>
      <c r="V3668">
        <f>O3668-H3668*LTP3!$D$4/k_n</f>
        <v/>
      </c>
      <c r="W3668">
        <f>((LTP3!$D$5)*((P3668)*(Q3668)-(R3668)*(R3668))-(S3668)*((S3668)*(Q3668)-(R3668)*(T3668))+(T3668)*((S3668)*(R3668)-(P3668)*(T3668)))</f>
        <v/>
      </c>
      <c r="X3668">
        <f>IF(ABS(W3668)&gt;1E-12,((LTP3!$D$6)*((P3668)*(Q3668)-(R3668)*(R3668))-(S3668)*((U3668)*(Q3668)-(R3668)*(V3668))+(T3668)*((U3668)*(R3668)-(P3668)*(V3668)))/W3668,0)</f>
        <v/>
      </c>
      <c r="Y3668">
        <f>IF(ABS(W3668)&gt;1E-12,((LTP3!$D$5)*((U3668)*(Q3668)-(R3668)*(V3668))-(LTP3!$D$6)*((S3668)*(Q3668)-(R3668)*(T3668))+(T3668)*((S3668)*(V3668)-(U3668)*(T3668)))/W3668,0)</f>
        <v/>
      </c>
      <c r="Z3668">
        <f>IF(ABS(W3668)&gt;1E-12,((LTP3!$D$5)*((P3668)*(V3668)-(U3668)*(R3668))-(S3668)*((S3668)*(V3668)-(U3668)*(T3668))+(LTP3!$D$6)*((S3668)*(R3668)-(P3668)*(T3668)))/W3668,0)</f>
        <v/>
      </c>
      <c r="AA3668">
        <f>LTP3!$D$7-X3668*LTP3!$D$6-Y3668*U3668-Z3668*V3668</f>
        <v/>
      </c>
      <c r="AB3668">
        <f>IF(AND(F3668,ABS(W3668)&gt;1E-12,Y3668&gt;0,Z3668&gt;0),AA3668,1E+300)</f>
        <v/>
      </c>
    </row>
    <row r="3669">
      <c r="A3669">
        <f>$B$3+$B$5*59</f>
        <v/>
      </c>
      <c r="B3669">
        <f>$B$3+$B$5*58</f>
        <v/>
      </c>
      <c r="C3669">
        <f>SUMPRODUCT(Calc!$K$3:$K$22*(Calc!$G$3:$G$22&lt;=A3669))</f>
        <v/>
      </c>
      <c r="D3669">
        <f>SUMPRODUCT(Calc!$K$3:$K$22*(Calc!$G$3:$G$22&gt;A3669)*(Calc!$G$3:$G$22&lt;B3669))</f>
        <v/>
      </c>
      <c r="E3669">
        <f>SUMPRODUCT(Calc!$K$3:$K$22*(Calc!$G$3:$G$22&gt;=B3669))</f>
        <v/>
      </c>
      <c r="F3669">
        <f>AND(k_n&gt;=5,B3669&gt;A3669+1E-9,C3669&gt;=2,D3669&gt;=1,E3669&gt;=2)</f>
        <v/>
      </c>
      <c r="G3669">
        <f>SUMPRODUCT(Calc!$K$3:$K$22*(Calc!$G$3:$G$22&gt;A3669)*(Calc!$G$3:$G$22-A3669))</f>
        <v/>
      </c>
      <c r="H3669">
        <f>SUMPRODUCT(Calc!$K$3:$K$22*(Calc!$G$3:$G$22&gt;B3669)*(Calc!$G$3:$G$22-B3669))</f>
        <v/>
      </c>
      <c r="I3669">
        <f>SUMPRODUCT(Calc!$K$3:$K$22*(Calc!$G$3:$G$22&gt;A3669)*(Calc!$G$3:$G$22-A3669)^2)</f>
        <v/>
      </c>
      <c r="J3669">
        <f>SUMPRODUCT(Calc!$K$3:$K$22*(Calc!$G$3:$G$22&gt;B3669)*(Calc!$G$3:$G$22-B3669)^2)</f>
        <v/>
      </c>
      <c r="K3669">
        <f>SUMPRODUCT(Calc!$K$3:$K$22*(Calc!$G$3:$G$22&gt;A3669)*(Calc!$G$3:$G$22-A3669)*(Calc!$G$3:$G$22&gt;B3669)*(Calc!$G$3:$G$22-B3669))</f>
        <v/>
      </c>
      <c r="L3669">
        <f>SUMPRODUCT(Calc!$K$3:$K$22*(Calc!$G$3:$G$22&gt;A3669)*(Calc!$G$3:$G$22-A3669)*Calc!$G$3:$G$22)</f>
        <v/>
      </c>
      <c r="M3669">
        <f>SUMPRODUCT(Calc!$K$3:$K$22*(Calc!$G$3:$G$22&gt;B3669)*(Calc!$G$3:$G$22-B3669)*Calc!$G$3:$G$22)</f>
        <v/>
      </c>
      <c r="N3669">
        <f>SUMPRODUCT(Calc!$K$3:$K$22*(Calc!$G$3:$G$22&gt;A3669)*(Calc!$G$3:$G$22-A3669)*Calc!$I$3:$I$22)</f>
        <v/>
      </c>
      <c r="O3669">
        <f>SUMPRODUCT(Calc!$K$3:$K$22*(Calc!$G$3:$G$22&gt;B3669)*(Calc!$G$3:$G$22-B3669)*Calc!$I$3:$I$22)</f>
        <v/>
      </c>
      <c r="P3669">
        <f>I3669-G3669^2/k_n</f>
        <v/>
      </c>
      <c r="Q3669">
        <f>J3669-H3669^2/k_n</f>
        <v/>
      </c>
      <c r="R3669">
        <f>K3669-G3669*H3669/k_n</f>
        <v/>
      </c>
      <c r="S3669">
        <f>L3669-LTP3!$D$3*G3669/k_n</f>
        <v/>
      </c>
      <c r="T3669">
        <f>M3669-LTP3!$D$3*H3669/k_n</f>
        <v/>
      </c>
      <c r="U3669">
        <f>N3669-G3669*LTP3!$D$4/k_n</f>
        <v/>
      </c>
      <c r="V3669">
        <f>O3669-H3669*LTP3!$D$4/k_n</f>
        <v/>
      </c>
      <c r="W3669">
        <f>((LTP3!$D$5)*((P3669)*(Q3669)-(R3669)*(R3669))-(S3669)*((S3669)*(Q3669)-(R3669)*(T3669))+(T3669)*((S3669)*(R3669)-(P3669)*(T3669)))</f>
        <v/>
      </c>
      <c r="X3669">
        <f>IF(ABS(W3669)&gt;1E-12,((LTP3!$D$6)*((P3669)*(Q3669)-(R3669)*(R3669))-(S3669)*((U3669)*(Q3669)-(R3669)*(V3669))+(T3669)*((U3669)*(R3669)-(P3669)*(V3669)))/W3669,0)</f>
        <v/>
      </c>
      <c r="Y3669">
        <f>IF(ABS(W3669)&gt;1E-12,((LTP3!$D$5)*((U3669)*(Q3669)-(R3669)*(V3669))-(LTP3!$D$6)*((S3669)*(Q3669)-(R3669)*(T3669))+(T3669)*((S3669)*(V3669)-(U3669)*(T3669)))/W3669,0)</f>
        <v/>
      </c>
      <c r="Z3669">
        <f>IF(ABS(W3669)&gt;1E-12,((LTP3!$D$5)*((P3669)*(V3669)-(U3669)*(R3669))-(S3669)*((S3669)*(V3669)-(U3669)*(T3669))+(LTP3!$D$6)*((S3669)*(R3669)-(P3669)*(T3669)))/W3669,0)</f>
        <v/>
      </c>
      <c r="AA3669">
        <f>LTP3!$D$7-X3669*LTP3!$D$6-Y3669*U3669-Z3669*V3669</f>
        <v/>
      </c>
      <c r="AB3669">
        <f>IF(AND(F3669,ABS(W3669)&gt;1E-12,Y3669&gt;0,Z3669&gt;0),AA3669,1E+300)</f>
        <v/>
      </c>
    </row>
    <row r="3670">
      <c r="A3670">
        <f>$B$3+$B$5*59</f>
        <v/>
      </c>
      <c r="B3670">
        <f>$B$3+$B$5*59</f>
        <v/>
      </c>
      <c r="C3670">
        <f>SUMPRODUCT(Calc!$K$3:$K$22*(Calc!$G$3:$G$22&lt;=A3670))</f>
        <v/>
      </c>
      <c r="D3670">
        <f>SUMPRODUCT(Calc!$K$3:$K$22*(Calc!$G$3:$G$22&gt;A3670)*(Calc!$G$3:$G$22&lt;B3670))</f>
        <v/>
      </c>
      <c r="E3670">
        <f>SUMPRODUCT(Calc!$K$3:$K$22*(Calc!$G$3:$G$22&gt;=B3670))</f>
        <v/>
      </c>
      <c r="F3670">
        <f>AND(k_n&gt;=5,B3670&gt;A3670+1E-9,C3670&gt;=2,D3670&gt;=1,E3670&gt;=2)</f>
        <v/>
      </c>
      <c r="G3670">
        <f>SUMPRODUCT(Calc!$K$3:$K$22*(Calc!$G$3:$G$22&gt;A3670)*(Calc!$G$3:$G$22-A3670))</f>
        <v/>
      </c>
      <c r="H3670">
        <f>SUMPRODUCT(Calc!$K$3:$K$22*(Calc!$G$3:$G$22&gt;B3670)*(Calc!$G$3:$G$22-B3670))</f>
        <v/>
      </c>
      <c r="I3670">
        <f>SUMPRODUCT(Calc!$K$3:$K$22*(Calc!$G$3:$G$22&gt;A3670)*(Calc!$G$3:$G$22-A3670)^2)</f>
        <v/>
      </c>
      <c r="J3670">
        <f>SUMPRODUCT(Calc!$K$3:$K$22*(Calc!$G$3:$G$22&gt;B3670)*(Calc!$G$3:$G$22-B3670)^2)</f>
        <v/>
      </c>
      <c r="K3670">
        <f>SUMPRODUCT(Calc!$K$3:$K$22*(Calc!$G$3:$G$22&gt;A3670)*(Calc!$G$3:$G$22-A3670)*(Calc!$G$3:$G$22&gt;B3670)*(Calc!$G$3:$G$22-B3670))</f>
        <v/>
      </c>
      <c r="L3670">
        <f>SUMPRODUCT(Calc!$K$3:$K$22*(Calc!$G$3:$G$22&gt;A3670)*(Calc!$G$3:$G$22-A3670)*Calc!$G$3:$G$22)</f>
        <v/>
      </c>
      <c r="M3670">
        <f>SUMPRODUCT(Calc!$K$3:$K$22*(Calc!$G$3:$G$22&gt;B3670)*(Calc!$G$3:$G$22-B3670)*Calc!$G$3:$G$22)</f>
        <v/>
      </c>
      <c r="N3670">
        <f>SUMPRODUCT(Calc!$K$3:$K$22*(Calc!$G$3:$G$22&gt;A3670)*(Calc!$G$3:$G$22-A3670)*Calc!$I$3:$I$22)</f>
        <v/>
      </c>
      <c r="O3670">
        <f>SUMPRODUCT(Calc!$K$3:$K$22*(Calc!$G$3:$G$22&gt;B3670)*(Calc!$G$3:$G$22-B3670)*Calc!$I$3:$I$22)</f>
        <v/>
      </c>
      <c r="P3670">
        <f>I3670-G3670^2/k_n</f>
        <v/>
      </c>
      <c r="Q3670">
        <f>J3670-H3670^2/k_n</f>
        <v/>
      </c>
      <c r="R3670">
        <f>K3670-G3670*H3670/k_n</f>
        <v/>
      </c>
      <c r="S3670">
        <f>L3670-LTP3!$D$3*G3670/k_n</f>
        <v/>
      </c>
      <c r="T3670">
        <f>M3670-LTP3!$D$3*H3670/k_n</f>
        <v/>
      </c>
      <c r="U3670">
        <f>N3670-G3670*LTP3!$D$4/k_n</f>
        <v/>
      </c>
      <c r="V3670">
        <f>O3670-H3670*LTP3!$D$4/k_n</f>
        <v/>
      </c>
      <c r="W3670">
        <f>((LTP3!$D$5)*((P3670)*(Q3670)-(R3670)*(R3670))-(S3670)*((S3670)*(Q3670)-(R3670)*(T3670))+(T3670)*((S3670)*(R3670)-(P3670)*(T3670)))</f>
        <v/>
      </c>
      <c r="X3670">
        <f>IF(ABS(W3670)&gt;1E-12,((LTP3!$D$6)*((P3670)*(Q3670)-(R3670)*(R3670))-(S3670)*((U3670)*(Q3670)-(R3670)*(V3670))+(T3670)*((U3670)*(R3670)-(P3670)*(V3670)))/W3670,0)</f>
        <v/>
      </c>
      <c r="Y3670">
        <f>IF(ABS(W3670)&gt;1E-12,((LTP3!$D$5)*((U3670)*(Q3670)-(R3670)*(V3670))-(LTP3!$D$6)*((S3670)*(Q3670)-(R3670)*(T3670))+(T3670)*((S3670)*(V3670)-(U3670)*(T3670)))/W3670,0)</f>
        <v/>
      </c>
      <c r="Z3670">
        <f>IF(ABS(W3670)&gt;1E-12,((LTP3!$D$5)*((P3670)*(V3670)-(U3670)*(R3670))-(S3670)*((S3670)*(V3670)-(U3670)*(T3670))+(LTP3!$D$6)*((S3670)*(R3670)-(P3670)*(T3670)))/W3670,0)</f>
        <v/>
      </c>
      <c r="AA3670">
        <f>LTP3!$D$7-X3670*LTP3!$D$6-Y3670*U3670-Z3670*V3670</f>
        <v/>
      </c>
      <c r="AB3670">
        <f>IF(AND(F3670,ABS(W3670)&gt;1E-12,Y3670&gt;0,Z3670&gt;0),AA3670,1E+300)</f>
        <v/>
      </c>
    </row>
    <row r="3671">
      <c r="A3671">
        <f>$B$3+$B$5*59</f>
        <v/>
      </c>
      <c r="B3671">
        <f>$B$3+$B$5*60</f>
        <v/>
      </c>
      <c r="C3671">
        <f>SUMPRODUCT(Calc!$K$3:$K$22*(Calc!$G$3:$G$22&lt;=A3671))</f>
        <v/>
      </c>
      <c r="D3671">
        <f>SUMPRODUCT(Calc!$K$3:$K$22*(Calc!$G$3:$G$22&gt;A3671)*(Calc!$G$3:$G$22&lt;B3671))</f>
        <v/>
      </c>
      <c r="E3671">
        <f>SUMPRODUCT(Calc!$K$3:$K$22*(Calc!$G$3:$G$22&gt;=B3671))</f>
        <v/>
      </c>
      <c r="F3671">
        <f>AND(k_n&gt;=5,B3671&gt;A3671+1E-9,C3671&gt;=2,D3671&gt;=1,E3671&gt;=2)</f>
        <v/>
      </c>
      <c r="G3671">
        <f>SUMPRODUCT(Calc!$K$3:$K$22*(Calc!$G$3:$G$22&gt;A3671)*(Calc!$G$3:$G$22-A3671))</f>
        <v/>
      </c>
      <c r="H3671">
        <f>SUMPRODUCT(Calc!$K$3:$K$22*(Calc!$G$3:$G$22&gt;B3671)*(Calc!$G$3:$G$22-B3671))</f>
        <v/>
      </c>
      <c r="I3671">
        <f>SUMPRODUCT(Calc!$K$3:$K$22*(Calc!$G$3:$G$22&gt;A3671)*(Calc!$G$3:$G$22-A3671)^2)</f>
        <v/>
      </c>
      <c r="J3671">
        <f>SUMPRODUCT(Calc!$K$3:$K$22*(Calc!$G$3:$G$22&gt;B3671)*(Calc!$G$3:$G$22-B3671)^2)</f>
        <v/>
      </c>
      <c r="K3671">
        <f>SUMPRODUCT(Calc!$K$3:$K$22*(Calc!$G$3:$G$22&gt;A3671)*(Calc!$G$3:$G$22-A3671)*(Calc!$G$3:$G$22&gt;B3671)*(Calc!$G$3:$G$22-B3671))</f>
        <v/>
      </c>
      <c r="L3671">
        <f>SUMPRODUCT(Calc!$K$3:$K$22*(Calc!$G$3:$G$22&gt;A3671)*(Calc!$G$3:$G$22-A3671)*Calc!$G$3:$G$22)</f>
        <v/>
      </c>
      <c r="M3671">
        <f>SUMPRODUCT(Calc!$K$3:$K$22*(Calc!$G$3:$G$22&gt;B3671)*(Calc!$G$3:$G$22-B3671)*Calc!$G$3:$G$22)</f>
        <v/>
      </c>
      <c r="N3671">
        <f>SUMPRODUCT(Calc!$K$3:$K$22*(Calc!$G$3:$G$22&gt;A3671)*(Calc!$G$3:$G$22-A3671)*Calc!$I$3:$I$22)</f>
        <v/>
      </c>
      <c r="O3671">
        <f>SUMPRODUCT(Calc!$K$3:$K$22*(Calc!$G$3:$G$22&gt;B3671)*(Calc!$G$3:$G$22-B3671)*Calc!$I$3:$I$22)</f>
        <v/>
      </c>
      <c r="P3671">
        <f>I3671-G3671^2/k_n</f>
        <v/>
      </c>
      <c r="Q3671">
        <f>J3671-H3671^2/k_n</f>
        <v/>
      </c>
      <c r="R3671">
        <f>K3671-G3671*H3671/k_n</f>
        <v/>
      </c>
      <c r="S3671">
        <f>L3671-LTP3!$D$3*G3671/k_n</f>
        <v/>
      </c>
      <c r="T3671">
        <f>M3671-LTP3!$D$3*H3671/k_n</f>
        <v/>
      </c>
      <c r="U3671">
        <f>N3671-G3671*LTP3!$D$4/k_n</f>
        <v/>
      </c>
      <c r="V3671">
        <f>O3671-H3671*LTP3!$D$4/k_n</f>
        <v/>
      </c>
      <c r="W3671">
        <f>((LTP3!$D$5)*((P3671)*(Q3671)-(R3671)*(R3671))-(S3671)*((S3671)*(Q3671)-(R3671)*(T3671))+(T3671)*((S3671)*(R3671)-(P3671)*(T3671)))</f>
        <v/>
      </c>
      <c r="X3671">
        <f>IF(ABS(W3671)&gt;1E-12,((LTP3!$D$6)*((P3671)*(Q3671)-(R3671)*(R3671))-(S3671)*((U3671)*(Q3671)-(R3671)*(V3671))+(T3671)*((U3671)*(R3671)-(P3671)*(V3671)))/W3671,0)</f>
        <v/>
      </c>
      <c r="Y3671">
        <f>IF(ABS(W3671)&gt;1E-12,((LTP3!$D$5)*((U3671)*(Q3671)-(R3671)*(V3671))-(LTP3!$D$6)*((S3671)*(Q3671)-(R3671)*(T3671))+(T3671)*((S3671)*(V3671)-(U3671)*(T3671)))/W3671,0)</f>
        <v/>
      </c>
      <c r="Z3671">
        <f>IF(ABS(W3671)&gt;1E-12,((LTP3!$D$5)*((P3671)*(V3671)-(U3671)*(R3671))-(S3671)*((S3671)*(V3671)-(U3671)*(T3671))+(LTP3!$D$6)*((S3671)*(R3671)-(P3671)*(T3671)))/W3671,0)</f>
        <v/>
      </c>
      <c r="AA3671">
        <f>LTP3!$D$7-X3671*LTP3!$D$6-Y3671*U3671-Z3671*V3671</f>
        <v/>
      </c>
      <c r="AB3671">
        <f>IF(AND(F3671,ABS(W3671)&gt;1E-12,Y3671&gt;0,Z3671&gt;0),AA3671,1E+300)</f>
        <v/>
      </c>
    </row>
    <row r="3672">
      <c r="A3672">
        <f>$B$3+$B$5*60</f>
        <v/>
      </c>
      <c r="B3672">
        <f>$B$3+$B$5*0</f>
        <v/>
      </c>
      <c r="C3672">
        <f>SUMPRODUCT(Calc!$K$3:$K$22*(Calc!$G$3:$G$22&lt;=A3672))</f>
        <v/>
      </c>
      <c r="D3672">
        <f>SUMPRODUCT(Calc!$K$3:$K$22*(Calc!$G$3:$G$22&gt;A3672)*(Calc!$G$3:$G$22&lt;B3672))</f>
        <v/>
      </c>
      <c r="E3672">
        <f>SUMPRODUCT(Calc!$K$3:$K$22*(Calc!$G$3:$G$22&gt;=B3672))</f>
        <v/>
      </c>
      <c r="F3672">
        <f>AND(k_n&gt;=5,B3672&gt;A3672+1E-9,C3672&gt;=2,D3672&gt;=1,E3672&gt;=2)</f>
        <v/>
      </c>
      <c r="G3672">
        <f>SUMPRODUCT(Calc!$K$3:$K$22*(Calc!$G$3:$G$22&gt;A3672)*(Calc!$G$3:$G$22-A3672))</f>
        <v/>
      </c>
      <c r="H3672">
        <f>SUMPRODUCT(Calc!$K$3:$K$22*(Calc!$G$3:$G$22&gt;B3672)*(Calc!$G$3:$G$22-B3672))</f>
        <v/>
      </c>
      <c r="I3672">
        <f>SUMPRODUCT(Calc!$K$3:$K$22*(Calc!$G$3:$G$22&gt;A3672)*(Calc!$G$3:$G$22-A3672)^2)</f>
        <v/>
      </c>
      <c r="J3672">
        <f>SUMPRODUCT(Calc!$K$3:$K$22*(Calc!$G$3:$G$22&gt;B3672)*(Calc!$G$3:$G$22-B3672)^2)</f>
        <v/>
      </c>
      <c r="K3672">
        <f>SUMPRODUCT(Calc!$K$3:$K$22*(Calc!$G$3:$G$22&gt;A3672)*(Calc!$G$3:$G$22-A3672)*(Calc!$G$3:$G$22&gt;B3672)*(Calc!$G$3:$G$22-B3672))</f>
        <v/>
      </c>
      <c r="L3672">
        <f>SUMPRODUCT(Calc!$K$3:$K$22*(Calc!$G$3:$G$22&gt;A3672)*(Calc!$G$3:$G$22-A3672)*Calc!$G$3:$G$22)</f>
        <v/>
      </c>
      <c r="M3672">
        <f>SUMPRODUCT(Calc!$K$3:$K$22*(Calc!$G$3:$G$22&gt;B3672)*(Calc!$G$3:$G$22-B3672)*Calc!$G$3:$G$22)</f>
        <v/>
      </c>
      <c r="N3672">
        <f>SUMPRODUCT(Calc!$K$3:$K$22*(Calc!$G$3:$G$22&gt;A3672)*(Calc!$G$3:$G$22-A3672)*Calc!$I$3:$I$22)</f>
        <v/>
      </c>
      <c r="O3672">
        <f>SUMPRODUCT(Calc!$K$3:$K$22*(Calc!$G$3:$G$22&gt;B3672)*(Calc!$G$3:$G$22-B3672)*Calc!$I$3:$I$22)</f>
        <v/>
      </c>
      <c r="P3672">
        <f>I3672-G3672^2/k_n</f>
        <v/>
      </c>
      <c r="Q3672">
        <f>J3672-H3672^2/k_n</f>
        <v/>
      </c>
      <c r="R3672">
        <f>K3672-G3672*H3672/k_n</f>
        <v/>
      </c>
      <c r="S3672">
        <f>L3672-LTP3!$D$3*G3672/k_n</f>
        <v/>
      </c>
      <c r="T3672">
        <f>M3672-LTP3!$D$3*H3672/k_n</f>
        <v/>
      </c>
      <c r="U3672">
        <f>N3672-G3672*LTP3!$D$4/k_n</f>
        <v/>
      </c>
      <c r="V3672">
        <f>O3672-H3672*LTP3!$D$4/k_n</f>
        <v/>
      </c>
      <c r="W3672">
        <f>((LTP3!$D$5)*((P3672)*(Q3672)-(R3672)*(R3672))-(S3672)*((S3672)*(Q3672)-(R3672)*(T3672))+(T3672)*((S3672)*(R3672)-(P3672)*(T3672)))</f>
        <v/>
      </c>
      <c r="X3672">
        <f>IF(ABS(W3672)&gt;1E-12,((LTP3!$D$6)*((P3672)*(Q3672)-(R3672)*(R3672))-(S3672)*((U3672)*(Q3672)-(R3672)*(V3672))+(T3672)*((U3672)*(R3672)-(P3672)*(V3672)))/W3672,0)</f>
        <v/>
      </c>
      <c r="Y3672">
        <f>IF(ABS(W3672)&gt;1E-12,((LTP3!$D$5)*((U3672)*(Q3672)-(R3672)*(V3672))-(LTP3!$D$6)*((S3672)*(Q3672)-(R3672)*(T3672))+(T3672)*((S3672)*(V3672)-(U3672)*(T3672)))/W3672,0)</f>
        <v/>
      </c>
      <c r="Z3672">
        <f>IF(ABS(W3672)&gt;1E-12,((LTP3!$D$5)*((P3672)*(V3672)-(U3672)*(R3672))-(S3672)*((S3672)*(V3672)-(U3672)*(T3672))+(LTP3!$D$6)*((S3672)*(R3672)-(P3672)*(T3672)))/W3672,0)</f>
        <v/>
      </c>
      <c r="AA3672">
        <f>LTP3!$D$7-X3672*LTP3!$D$6-Y3672*U3672-Z3672*V3672</f>
        <v/>
      </c>
      <c r="AB3672">
        <f>IF(AND(F3672,ABS(W3672)&gt;1E-12,Y3672&gt;0,Z3672&gt;0),AA3672,1E+300)</f>
        <v/>
      </c>
    </row>
    <row r="3673">
      <c r="A3673">
        <f>$B$3+$B$5*60</f>
        <v/>
      </c>
      <c r="B3673">
        <f>$B$3+$B$5*1</f>
        <v/>
      </c>
      <c r="C3673">
        <f>SUMPRODUCT(Calc!$K$3:$K$22*(Calc!$G$3:$G$22&lt;=A3673))</f>
        <v/>
      </c>
      <c r="D3673">
        <f>SUMPRODUCT(Calc!$K$3:$K$22*(Calc!$G$3:$G$22&gt;A3673)*(Calc!$G$3:$G$22&lt;B3673))</f>
        <v/>
      </c>
      <c r="E3673">
        <f>SUMPRODUCT(Calc!$K$3:$K$22*(Calc!$G$3:$G$22&gt;=B3673))</f>
        <v/>
      </c>
      <c r="F3673">
        <f>AND(k_n&gt;=5,B3673&gt;A3673+1E-9,C3673&gt;=2,D3673&gt;=1,E3673&gt;=2)</f>
        <v/>
      </c>
      <c r="G3673">
        <f>SUMPRODUCT(Calc!$K$3:$K$22*(Calc!$G$3:$G$22&gt;A3673)*(Calc!$G$3:$G$22-A3673))</f>
        <v/>
      </c>
      <c r="H3673">
        <f>SUMPRODUCT(Calc!$K$3:$K$22*(Calc!$G$3:$G$22&gt;B3673)*(Calc!$G$3:$G$22-B3673))</f>
        <v/>
      </c>
      <c r="I3673">
        <f>SUMPRODUCT(Calc!$K$3:$K$22*(Calc!$G$3:$G$22&gt;A3673)*(Calc!$G$3:$G$22-A3673)^2)</f>
        <v/>
      </c>
      <c r="J3673">
        <f>SUMPRODUCT(Calc!$K$3:$K$22*(Calc!$G$3:$G$22&gt;B3673)*(Calc!$G$3:$G$22-B3673)^2)</f>
        <v/>
      </c>
      <c r="K3673">
        <f>SUMPRODUCT(Calc!$K$3:$K$22*(Calc!$G$3:$G$22&gt;A3673)*(Calc!$G$3:$G$22-A3673)*(Calc!$G$3:$G$22&gt;B3673)*(Calc!$G$3:$G$22-B3673))</f>
        <v/>
      </c>
      <c r="L3673">
        <f>SUMPRODUCT(Calc!$K$3:$K$22*(Calc!$G$3:$G$22&gt;A3673)*(Calc!$G$3:$G$22-A3673)*Calc!$G$3:$G$22)</f>
        <v/>
      </c>
      <c r="M3673">
        <f>SUMPRODUCT(Calc!$K$3:$K$22*(Calc!$G$3:$G$22&gt;B3673)*(Calc!$G$3:$G$22-B3673)*Calc!$G$3:$G$22)</f>
        <v/>
      </c>
      <c r="N3673">
        <f>SUMPRODUCT(Calc!$K$3:$K$22*(Calc!$G$3:$G$22&gt;A3673)*(Calc!$G$3:$G$22-A3673)*Calc!$I$3:$I$22)</f>
        <v/>
      </c>
      <c r="O3673">
        <f>SUMPRODUCT(Calc!$K$3:$K$22*(Calc!$G$3:$G$22&gt;B3673)*(Calc!$G$3:$G$22-B3673)*Calc!$I$3:$I$22)</f>
        <v/>
      </c>
      <c r="P3673">
        <f>I3673-G3673^2/k_n</f>
        <v/>
      </c>
      <c r="Q3673">
        <f>J3673-H3673^2/k_n</f>
        <v/>
      </c>
      <c r="R3673">
        <f>K3673-G3673*H3673/k_n</f>
        <v/>
      </c>
      <c r="S3673">
        <f>L3673-LTP3!$D$3*G3673/k_n</f>
        <v/>
      </c>
      <c r="T3673">
        <f>M3673-LTP3!$D$3*H3673/k_n</f>
        <v/>
      </c>
      <c r="U3673">
        <f>N3673-G3673*LTP3!$D$4/k_n</f>
        <v/>
      </c>
      <c r="V3673">
        <f>O3673-H3673*LTP3!$D$4/k_n</f>
        <v/>
      </c>
      <c r="W3673">
        <f>((LTP3!$D$5)*((P3673)*(Q3673)-(R3673)*(R3673))-(S3673)*((S3673)*(Q3673)-(R3673)*(T3673))+(T3673)*((S3673)*(R3673)-(P3673)*(T3673)))</f>
        <v/>
      </c>
      <c r="X3673">
        <f>IF(ABS(W3673)&gt;1E-12,((LTP3!$D$6)*((P3673)*(Q3673)-(R3673)*(R3673))-(S3673)*((U3673)*(Q3673)-(R3673)*(V3673))+(T3673)*((U3673)*(R3673)-(P3673)*(V3673)))/W3673,0)</f>
        <v/>
      </c>
      <c r="Y3673">
        <f>IF(ABS(W3673)&gt;1E-12,((LTP3!$D$5)*((U3673)*(Q3673)-(R3673)*(V3673))-(LTP3!$D$6)*((S3673)*(Q3673)-(R3673)*(T3673))+(T3673)*((S3673)*(V3673)-(U3673)*(T3673)))/W3673,0)</f>
        <v/>
      </c>
      <c r="Z3673">
        <f>IF(ABS(W3673)&gt;1E-12,((LTP3!$D$5)*((P3673)*(V3673)-(U3673)*(R3673))-(S3673)*((S3673)*(V3673)-(U3673)*(T3673))+(LTP3!$D$6)*((S3673)*(R3673)-(P3673)*(T3673)))/W3673,0)</f>
        <v/>
      </c>
      <c r="AA3673">
        <f>LTP3!$D$7-X3673*LTP3!$D$6-Y3673*U3673-Z3673*V3673</f>
        <v/>
      </c>
      <c r="AB3673">
        <f>IF(AND(F3673,ABS(W3673)&gt;1E-12,Y3673&gt;0,Z3673&gt;0),AA3673,1E+300)</f>
        <v/>
      </c>
    </row>
    <row r="3674">
      <c r="A3674">
        <f>$B$3+$B$5*60</f>
        <v/>
      </c>
      <c r="B3674">
        <f>$B$3+$B$5*2</f>
        <v/>
      </c>
      <c r="C3674">
        <f>SUMPRODUCT(Calc!$K$3:$K$22*(Calc!$G$3:$G$22&lt;=A3674))</f>
        <v/>
      </c>
      <c r="D3674">
        <f>SUMPRODUCT(Calc!$K$3:$K$22*(Calc!$G$3:$G$22&gt;A3674)*(Calc!$G$3:$G$22&lt;B3674))</f>
        <v/>
      </c>
      <c r="E3674">
        <f>SUMPRODUCT(Calc!$K$3:$K$22*(Calc!$G$3:$G$22&gt;=B3674))</f>
        <v/>
      </c>
      <c r="F3674">
        <f>AND(k_n&gt;=5,B3674&gt;A3674+1E-9,C3674&gt;=2,D3674&gt;=1,E3674&gt;=2)</f>
        <v/>
      </c>
      <c r="G3674">
        <f>SUMPRODUCT(Calc!$K$3:$K$22*(Calc!$G$3:$G$22&gt;A3674)*(Calc!$G$3:$G$22-A3674))</f>
        <v/>
      </c>
      <c r="H3674">
        <f>SUMPRODUCT(Calc!$K$3:$K$22*(Calc!$G$3:$G$22&gt;B3674)*(Calc!$G$3:$G$22-B3674))</f>
        <v/>
      </c>
      <c r="I3674">
        <f>SUMPRODUCT(Calc!$K$3:$K$22*(Calc!$G$3:$G$22&gt;A3674)*(Calc!$G$3:$G$22-A3674)^2)</f>
        <v/>
      </c>
      <c r="J3674">
        <f>SUMPRODUCT(Calc!$K$3:$K$22*(Calc!$G$3:$G$22&gt;B3674)*(Calc!$G$3:$G$22-B3674)^2)</f>
        <v/>
      </c>
      <c r="K3674">
        <f>SUMPRODUCT(Calc!$K$3:$K$22*(Calc!$G$3:$G$22&gt;A3674)*(Calc!$G$3:$G$22-A3674)*(Calc!$G$3:$G$22&gt;B3674)*(Calc!$G$3:$G$22-B3674))</f>
        <v/>
      </c>
      <c r="L3674">
        <f>SUMPRODUCT(Calc!$K$3:$K$22*(Calc!$G$3:$G$22&gt;A3674)*(Calc!$G$3:$G$22-A3674)*Calc!$G$3:$G$22)</f>
        <v/>
      </c>
      <c r="M3674">
        <f>SUMPRODUCT(Calc!$K$3:$K$22*(Calc!$G$3:$G$22&gt;B3674)*(Calc!$G$3:$G$22-B3674)*Calc!$G$3:$G$22)</f>
        <v/>
      </c>
      <c r="N3674">
        <f>SUMPRODUCT(Calc!$K$3:$K$22*(Calc!$G$3:$G$22&gt;A3674)*(Calc!$G$3:$G$22-A3674)*Calc!$I$3:$I$22)</f>
        <v/>
      </c>
      <c r="O3674">
        <f>SUMPRODUCT(Calc!$K$3:$K$22*(Calc!$G$3:$G$22&gt;B3674)*(Calc!$G$3:$G$22-B3674)*Calc!$I$3:$I$22)</f>
        <v/>
      </c>
      <c r="P3674">
        <f>I3674-G3674^2/k_n</f>
        <v/>
      </c>
      <c r="Q3674">
        <f>J3674-H3674^2/k_n</f>
        <v/>
      </c>
      <c r="R3674">
        <f>K3674-G3674*H3674/k_n</f>
        <v/>
      </c>
      <c r="S3674">
        <f>L3674-LTP3!$D$3*G3674/k_n</f>
        <v/>
      </c>
      <c r="T3674">
        <f>M3674-LTP3!$D$3*H3674/k_n</f>
        <v/>
      </c>
      <c r="U3674">
        <f>N3674-G3674*LTP3!$D$4/k_n</f>
        <v/>
      </c>
      <c r="V3674">
        <f>O3674-H3674*LTP3!$D$4/k_n</f>
        <v/>
      </c>
      <c r="W3674">
        <f>((LTP3!$D$5)*((P3674)*(Q3674)-(R3674)*(R3674))-(S3674)*((S3674)*(Q3674)-(R3674)*(T3674))+(T3674)*((S3674)*(R3674)-(P3674)*(T3674)))</f>
        <v/>
      </c>
      <c r="X3674">
        <f>IF(ABS(W3674)&gt;1E-12,((LTP3!$D$6)*((P3674)*(Q3674)-(R3674)*(R3674))-(S3674)*((U3674)*(Q3674)-(R3674)*(V3674))+(T3674)*((U3674)*(R3674)-(P3674)*(V3674)))/W3674,0)</f>
        <v/>
      </c>
      <c r="Y3674">
        <f>IF(ABS(W3674)&gt;1E-12,((LTP3!$D$5)*((U3674)*(Q3674)-(R3674)*(V3674))-(LTP3!$D$6)*((S3674)*(Q3674)-(R3674)*(T3674))+(T3674)*((S3674)*(V3674)-(U3674)*(T3674)))/W3674,0)</f>
        <v/>
      </c>
      <c r="Z3674">
        <f>IF(ABS(W3674)&gt;1E-12,((LTP3!$D$5)*((P3674)*(V3674)-(U3674)*(R3674))-(S3674)*((S3674)*(V3674)-(U3674)*(T3674))+(LTP3!$D$6)*((S3674)*(R3674)-(P3674)*(T3674)))/W3674,0)</f>
        <v/>
      </c>
      <c r="AA3674">
        <f>LTP3!$D$7-X3674*LTP3!$D$6-Y3674*U3674-Z3674*V3674</f>
        <v/>
      </c>
      <c r="AB3674">
        <f>IF(AND(F3674,ABS(W3674)&gt;1E-12,Y3674&gt;0,Z3674&gt;0),AA3674,1E+300)</f>
        <v/>
      </c>
    </row>
    <row r="3675">
      <c r="A3675">
        <f>$B$3+$B$5*60</f>
        <v/>
      </c>
      <c r="B3675">
        <f>$B$3+$B$5*3</f>
        <v/>
      </c>
      <c r="C3675">
        <f>SUMPRODUCT(Calc!$K$3:$K$22*(Calc!$G$3:$G$22&lt;=A3675))</f>
        <v/>
      </c>
      <c r="D3675">
        <f>SUMPRODUCT(Calc!$K$3:$K$22*(Calc!$G$3:$G$22&gt;A3675)*(Calc!$G$3:$G$22&lt;B3675))</f>
        <v/>
      </c>
      <c r="E3675">
        <f>SUMPRODUCT(Calc!$K$3:$K$22*(Calc!$G$3:$G$22&gt;=B3675))</f>
        <v/>
      </c>
      <c r="F3675">
        <f>AND(k_n&gt;=5,B3675&gt;A3675+1E-9,C3675&gt;=2,D3675&gt;=1,E3675&gt;=2)</f>
        <v/>
      </c>
      <c r="G3675">
        <f>SUMPRODUCT(Calc!$K$3:$K$22*(Calc!$G$3:$G$22&gt;A3675)*(Calc!$G$3:$G$22-A3675))</f>
        <v/>
      </c>
      <c r="H3675">
        <f>SUMPRODUCT(Calc!$K$3:$K$22*(Calc!$G$3:$G$22&gt;B3675)*(Calc!$G$3:$G$22-B3675))</f>
        <v/>
      </c>
      <c r="I3675">
        <f>SUMPRODUCT(Calc!$K$3:$K$22*(Calc!$G$3:$G$22&gt;A3675)*(Calc!$G$3:$G$22-A3675)^2)</f>
        <v/>
      </c>
      <c r="J3675">
        <f>SUMPRODUCT(Calc!$K$3:$K$22*(Calc!$G$3:$G$22&gt;B3675)*(Calc!$G$3:$G$22-B3675)^2)</f>
        <v/>
      </c>
      <c r="K3675">
        <f>SUMPRODUCT(Calc!$K$3:$K$22*(Calc!$G$3:$G$22&gt;A3675)*(Calc!$G$3:$G$22-A3675)*(Calc!$G$3:$G$22&gt;B3675)*(Calc!$G$3:$G$22-B3675))</f>
        <v/>
      </c>
      <c r="L3675">
        <f>SUMPRODUCT(Calc!$K$3:$K$22*(Calc!$G$3:$G$22&gt;A3675)*(Calc!$G$3:$G$22-A3675)*Calc!$G$3:$G$22)</f>
        <v/>
      </c>
      <c r="M3675">
        <f>SUMPRODUCT(Calc!$K$3:$K$22*(Calc!$G$3:$G$22&gt;B3675)*(Calc!$G$3:$G$22-B3675)*Calc!$G$3:$G$22)</f>
        <v/>
      </c>
      <c r="N3675">
        <f>SUMPRODUCT(Calc!$K$3:$K$22*(Calc!$G$3:$G$22&gt;A3675)*(Calc!$G$3:$G$22-A3675)*Calc!$I$3:$I$22)</f>
        <v/>
      </c>
      <c r="O3675">
        <f>SUMPRODUCT(Calc!$K$3:$K$22*(Calc!$G$3:$G$22&gt;B3675)*(Calc!$G$3:$G$22-B3675)*Calc!$I$3:$I$22)</f>
        <v/>
      </c>
      <c r="P3675">
        <f>I3675-G3675^2/k_n</f>
        <v/>
      </c>
      <c r="Q3675">
        <f>J3675-H3675^2/k_n</f>
        <v/>
      </c>
      <c r="R3675">
        <f>K3675-G3675*H3675/k_n</f>
        <v/>
      </c>
      <c r="S3675">
        <f>L3675-LTP3!$D$3*G3675/k_n</f>
        <v/>
      </c>
      <c r="T3675">
        <f>M3675-LTP3!$D$3*H3675/k_n</f>
        <v/>
      </c>
      <c r="U3675">
        <f>N3675-G3675*LTP3!$D$4/k_n</f>
        <v/>
      </c>
      <c r="V3675">
        <f>O3675-H3675*LTP3!$D$4/k_n</f>
        <v/>
      </c>
      <c r="W3675">
        <f>((LTP3!$D$5)*((P3675)*(Q3675)-(R3675)*(R3675))-(S3675)*((S3675)*(Q3675)-(R3675)*(T3675))+(T3675)*((S3675)*(R3675)-(P3675)*(T3675)))</f>
        <v/>
      </c>
      <c r="X3675">
        <f>IF(ABS(W3675)&gt;1E-12,((LTP3!$D$6)*((P3675)*(Q3675)-(R3675)*(R3675))-(S3675)*((U3675)*(Q3675)-(R3675)*(V3675))+(T3675)*((U3675)*(R3675)-(P3675)*(V3675)))/W3675,0)</f>
        <v/>
      </c>
      <c r="Y3675">
        <f>IF(ABS(W3675)&gt;1E-12,((LTP3!$D$5)*((U3675)*(Q3675)-(R3675)*(V3675))-(LTP3!$D$6)*((S3675)*(Q3675)-(R3675)*(T3675))+(T3675)*((S3675)*(V3675)-(U3675)*(T3675)))/W3675,0)</f>
        <v/>
      </c>
      <c r="Z3675">
        <f>IF(ABS(W3675)&gt;1E-12,((LTP3!$D$5)*((P3675)*(V3675)-(U3675)*(R3675))-(S3675)*((S3675)*(V3675)-(U3675)*(T3675))+(LTP3!$D$6)*((S3675)*(R3675)-(P3675)*(T3675)))/W3675,0)</f>
        <v/>
      </c>
      <c r="AA3675">
        <f>LTP3!$D$7-X3675*LTP3!$D$6-Y3675*U3675-Z3675*V3675</f>
        <v/>
      </c>
      <c r="AB3675">
        <f>IF(AND(F3675,ABS(W3675)&gt;1E-12,Y3675&gt;0,Z3675&gt;0),AA3675,1E+300)</f>
        <v/>
      </c>
    </row>
    <row r="3676">
      <c r="A3676">
        <f>$B$3+$B$5*60</f>
        <v/>
      </c>
      <c r="B3676">
        <f>$B$3+$B$5*4</f>
        <v/>
      </c>
      <c r="C3676">
        <f>SUMPRODUCT(Calc!$K$3:$K$22*(Calc!$G$3:$G$22&lt;=A3676))</f>
        <v/>
      </c>
      <c r="D3676">
        <f>SUMPRODUCT(Calc!$K$3:$K$22*(Calc!$G$3:$G$22&gt;A3676)*(Calc!$G$3:$G$22&lt;B3676))</f>
        <v/>
      </c>
      <c r="E3676">
        <f>SUMPRODUCT(Calc!$K$3:$K$22*(Calc!$G$3:$G$22&gt;=B3676))</f>
        <v/>
      </c>
      <c r="F3676">
        <f>AND(k_n&gt;=5,B3676&gt;A3676+1E-9,C3676&gt;=2,D3676&gt;=1,E3676&gt;=2)</f>
        <v/>
      </c>
      <c r="G3676">
        <f>SUMPRODUCT(Calc!$K$3:$K$22*(Calc!$G$3:$G$22&gt;A3676)*(Calc!$G$3:$G$22-A3676))</f>
        <v/>
      </c>
      <c r="H3676">
        <f>SUMPRODUCT(Calc!$K$3:$K$22*(Calc!$G$3:$G$22&gt;B3676)*(Calc!$G$3:$G$22-B3676))</f>
        <v/>
      </c>
      <c r="I3676">
        <f>SUMPRODUCT(Calc!$K$3:$K$22*(Calc!$G$3:$G$22&gt;A3676)*(Calc!$G$3:$G$22-A3676)^2)</f>
        <v/>
      </c>
      <c r="J3676">
        <f>SUMPRODUCT(Calc!$K$3:$K$22*(Calc!$G$3:$G$22&gt;B3676)*(Calc!$G$3:$G$22-B3676)^2)</f>
        <v/>
      </c>
      <c r="K3676">
        <f>SUMPRODUCT(Calc!$K$3:$K$22*(Calc!$G$3:$G$22&gt;A3676)*(Calc!$G$3:$G$22-A3676)*(Calc!$G$3:$G$22&gt;B3676)*(Calc!$G$3:$G$22-B3676))</f>
        <v/>
      </c>
      <c r="L3676">
        <f>SUMPRODUCT(Calc!$K$3:$K$22*(Calc!$G$3:$G$22&gt;A3676)*(Calc!$G$3:$G$22-A3676)*Calc!$G$3:$G$22)</f>
        <v/>
      </c>
      <c r="M3676">
        <f>SUMPRODUCT(Calc!$K$3:$K$22*(Calc!$G$3:$G$22&gt;B3676)*(Calc!$G$3:$G$22-B3676)*Calc!$G$3:$G$22)</f>
        <v/>
      </c>
      <c r="N3676">
        <f>SUMPRODUCT(Calc!$K$3:$K$22*(Calc!$G$3:$G$22&gt;A3676)*(Calc!$G$3:$G$22-A3676)*Calc!$I$3:$I$22)</f>
        <v/>
      </c>
      <c r="O3676">
        <f>SUMPRODUCT(Calc!$K$3:$K$22*(Calc!$G$3:$G$22&gt;B3676)*(Calc!$G$3:$G$22-B3676)*Calc!$I$3:$I$22)</f>
        <v/>
      </c>
      <c r="P3676">
        <f>I3676-G3676^2/k_n</f>
        <v/>
      </c>
      <c r="Q3676">
        <f>J3676-H3676^2/k_n</f>
        <v/>
      </c>
      <c r="R3676">
        <f>K3676-G3676*H3676/k_n</f>
        <v/>
      </c>
      <c r="S3676">
        <f>L3676-LTP3!$D$3*G3676/k_n</f>
        <v/>
      </c>
      <c r="T3676">
        <f>M3676-LTP3!$D$3*H3676/k_n</f>
        <v/>
      </c>
      <c r="U3676">
        <f>N3676-G3676*LTP3!$D$4/k_n</f>
        <v/>
      </c>
      <c r="V3676">
        <f>O3676-H3676*LTP3!$D$4/k_n</f>
        <v/>
      </c>
      <c r="W3676">
        <f>((LTP3!$D$5)*((P3676)*(Q3676)-(R3676)*(R3676))-(S3676)*((S3676)*(Q3676)-(R3676)*(T3676))+(T3676)*((S3676)*(R3676)-(P3676)*(T3676)))</f>
        <v/>
      </c>
      <c r="X3676">
        <f>IF(ABS(W3676)&gt;1E-12,((LTP3!$D$6)*((P3676)*(Q3676)-(R3676)*(R3676))-(S3676)*((U3676)*(Q3676)-(R3676)*(V3676))+(T3676)*((U3676)*(R3676)-(P3676)*(V3676)))/W3676,0)</f>
        <v/>
      </c>
      <c r="Y3676">
        <f>IF(ABS(W3676)&gt;1E-12,((LTP3!$D$5)*((U3676)*(Q3676)-(R3676)*(V3676))-(LTP3!$D$6)*((S3676)*(Q3676)-(R3676)*(T3676))+(T3676)*((S3676)*(V3676)-(U3676)*(T3676)))/W3676,0)</f>
        <v/>
      </c>
      <c r="Z3676">
        <f>IF(ABS(W3676)&gt;1E-12,((LTP3!$D$5)*((P3676)*(V3676)-(U3676)*(R3676))-(S3676)*((S3676)*(V3676)-(U3676)*(T3676))+(LTP3!$D$6)*((S3676)*(R3676)-(P3676)*(T3676)))/W3676,0)</f>
        <v/>
      </c>
      <c r="AA3676">
        <f>LTP3!$D$7-X3676*LTP3!$D$6-Y3676*U3676-Z3676*V3676</f>
        <v/>
      </c>
      <c r="AB3676">
        <f>IF(AND(F3676,ABS(W3676)&gt;1E-12,Y3676&gt;0,Z3676&gt;0),AA3676,1E+300)</f>
        <v/>
      </c>
    </row>
    <row r="3677">
      <c r="A3677">
        <f>$B$3+$B$5*60</f>
        <v/>
      </c>
      <c r="B3677">
        <f>$B$3+$B$5*5</f>
        <v/>
      </c>
      <c r="C3677">
        <f>SUMPRODUCT(Calc!$K$3:$K$22*(Calc!$G$3:$G$22&lt;=A3677))</f>
        <v/>
      </c>
      <c r="D3677">
        <f>SUMPRODUCT(Calc!$K$3:$K$22*(Calc!$G$3:$G$22&gt;A3677)*(Calc!$G$3:$G$22&lt;B3677))</f>
        <v/>
      </c>
      <c r="E3677">
        <f>SUMPRODUCT(Calc!$K$3:$K$22*(Calc!$G$3:$G$22&gt;=B3677))</f>
        <v/>
      </c>
      <c r="F3677">
        <f>AND(k_n&gt;=5,B3677&gt;A3677+1E-9,C3677&gt;=2,D3677&gt;=1,E3677&gt;=2)</f>
        <v/>
      </c>
      <c r="G3677">
        <f>SUMPRODUCT(Calc!$K$3:$K$22*(Calc!$G$3:$G$22&gt;A3677)*(Calc!$G$3:$G$22-A3677))</f>
        <v/>
      </c>
      <c r="H3677">
        <f>SUMPRODUCT(Calc!$K$3:$K$22*(Calc!$G$3:$G$22&gt;B3677)*(Calc!$G$3:$G$22-B3677))</f>
        <v/>
      </c>
      <c r="I3677">
        <f>SUMPRODUCT(Calc!$K$3:$K$22*(Calc!$G$3:$G$22&gt;A3677)*(Calc!$G$3:$G$22-A3677)^2)</f>
        <v/>
      </c>
      <c r="J3677">
        <f>SUMPRODUCT(Calc!$K$3:$K$22*(Calc!$G$3:$G$22&gt;B3677)*(Calc!$G$3:$G$22-B3677)^2)</f>
        <v/>
      </c>
      <c r="K3677">
        <f>SUMPRODUCT(Calc!$K$3:$K$22*(Calc!$G$3:$G$22&gt;A3677)*(Calc!$G$3:$G$22-A3677)*(Calc!$G$3:$G$22&gt;B3677)*(Calc!$G$3:$G$22-B3677))</f>
        <v/>
      </c>
      <c r="L3677">
        <f>SUMPRODUCT(Calc!$K$3:$K$22*(Calc!$G$3:$G$22&gt;A3677)*(Calc!$G$3:$G$22-A3677)*Calc!$G$3:$G$22)</f>
        <v/>
      </c>
      <c r="M3677">
        <f>SUMPRODUCT(Calc!$K$3:$K$22*(Calc!$G$3:$G$22&gt;B3677)*(Calc!$G$3:$G$22-B3677)*Calc!$G$3:$G$22)</f>
        <v/>
      </c>
      <c r="N3677">
        <f>SUMPRODUCT(Calc!$K$3:$K$22*(Calc!$G$3:$G$22&gt;A3677)*(Calc!$G$3:$G$22-A3677)*Calc!$I$3:$I$22)</f>
        <v/>
      </c>
      <c r="O3677">
        <f>SUMPRODUCT(Calc!$K$3:$K$22*(Calc!$G$3:$G$22&gt;B3677)*(Calc!$G$3:$G$22-B3677)*Calc!$I$3:$I$22)</f>
        <v/>
      </c>
      <c r="P3677">
        <f>I3677-G3677^2/k_n</f>
        <v/>
      </c>
      <c r="Q3677">
        <f>J3677-H3677^2/k_n</f>
        <v/>
      </c>
      <c r="R3677">
        <f>K3677-G3677*H3677/k_n</f>
        <v/>
      </c>
      <c r="S3677">
        <f>L3677-LTP3!$D$3*G3677/k_n</f>
        <v/>
      </c>
      <c r="T3677">
        <f>M3677-LTP3!$D$3*H3677/k_n</f>
        <v/>
      </c>
      <c r="U3677">
        <f>N3677-G3677*LTP3!$D$4/k_n</f>
        <v/>
      </c>
      <c r="V3677">
        <f>O3677-H3677*LTP3!$D$4/k_n</f>
        <v/>
      </c>
      <c r="W3677">
        <f>((LTP3!$D$5)*((P3677)*(Q3677)-(R3677)*(R3677))-(S3677)*((S3677)*(Q3677)-(R3677)*(T3677))+(T3677)*((S3677)*(R3677)-(P3677)*(T3677)))</f>
        <v/>
      </c>
      <c r="X3677">
        <f>IF(ABS(W3677)&gt;1E-12,((LTP3!$D$6)*((P3677)*(Q3677)-(R3677)*(R3677))-(S3677)*((U3677)*(Q3677)-(R3677)*(V3677))+(T3677)*((U3677)*(R3677)-(P3677)*(V3677)))/W3677,0)</f>
        <v/>
      </c>
      <c r="Y3677">
        <f>IF(ABS(W3677)&gt;1E-12,((LTP3!$D$5)*((U3677)*(Q3677)-(R3677)*(V3677))-(LTP3!$D$6)*((S3677)*(Q3677)-(R3677)*(T3677))+(T3677)*((S3677)*(V3677)-(U3677)*(T3677)))/W3677,0)</f>
        <v/>
      </c>
      <c r="Z3677">
        <f>IF(ABS(W3677)&gt;1E-12,((LTP3!$D$5)*((P3677)*(V3677)-(U3677)*(R3677))-(S3677)*((S3677)*(V3677)-(U3677)*(T3677))+(LTP3!$D$6)*((S3677)*(R3677)-(P3677)*(T3677)))/W3677,0)</f>
        <v/>
      </c>
      <c r="AA3677">
        <f>LTP3!$D$7-X3677*LTP3!$D$6-Y3677*U3677-Z3677*V3677</f>
        <v/>
      </c>
      <c r="AB3677">
        <f>IF(AND(F3677,ABS(W3677)&gt;1E-12,Y3677&gt;0,Z3677&gt;0),AA3677,1E+300)</f>
        <v/>
      </c>
    </row>
    <row r="3678">
      <c r="A3678">
        <f>$B$3+$B$5*60</f>
        <v/>
      </c>
      <c r="B3678">
        <f>$B$3+$B$5*6</f>
        <v/>
      </c>
      <c r="C3678">
        <f>SUMPRODUCT(Calc!$K$3:$K$22*(Calc!$G$3:$G$22&lt;=A3678))</f>
        <v/>
      </c>
      <c r="D3678">
        <f>SUMPRODUCT(Calc!$K$3:$K$22*(Calc!$G$3:$G$22&gt;A3678)*(Calc!$G$3:$G$22&lt;B3678))</f>
        <v/>
      </c>
      <c r="E3678">
        <f>SUMPRODUCT(Calc!$K$3:$K$22*(Calc!$G$3:$G$22&gt;=B3678))</f>
        <v/>
      </c>
      <c r="F3678">
        <f>AND(k_n&gt;=5,B3678&gt;A3678+1E-9,C3678&gt;=2,D3678&gt;=1,E3678&gt;=2)</f>
        <v/>
      </c>
      <c r="G3678">
        <f>SUMPRODUCT(Calc!$K$3:$K$22*(Calc!$G$3:$G$22&gt;A3678)*(Calc!$G$3:$G$22-A3678))</f>
        <v/>
      </c>
      <c r="H3678">
        <f>SUMPRODUCT(Calc!$K$3:$K$22*(Calc!$G$3:$G$22&gt;B3678)*(Calc!$G$3:$G$22-B3678))</f>
        <v/>
      </c>
      <c r="I3678">
        <f>SUMPRODUCT(Calc!$K$3:$K$22*(Calc!$G$3:$G$22&gt;A3678)*(Calc!$G$3:$G$22-A3678)^2)</f>
        <v/>
      </c>
      <c r="J3678">
        <f>SUMPRODUCT(Calc!$K$3:$K$22*(Calc!$G$3:$G$22&gt;B3678)*(Calc!$G$3:$G$22-B3678)^2)</f>
        <v/>
      </c>
      <c r="K3678">
        <f>SUMPRODUCT(Calc!$K$3:$K$22*(Calc!$G$3:$G$22&gt;A3678)*(Calc!$G$3:$G$22-A3678)*(Calc!$G$3:$G$22&gt;B3678)*(Calc!$G$3:$G$22-B3678))</f>
        <v/>
      </c>
      <c r="L3678">
        <f>SUMPRODUCT(Calc!$K$3:$K$22*(Calc!$G$3:$G$22&gt;A3678)*(Calc!$G$3:$G$22-A3678)*Calc!$G$3:$G$22)</f>
        <v/>
      </c>
      <c r="M3678">
        <f>SUMPRODUCT(Calc!$K$3:$K$22*(Calc!$G$3:$G$22&gt;B3678)*(Calc!$G$3:$G$22-B3678)*Calc!$G$3:$G$22)</f>
        <v/>
      </c>
      <c r="N3678">
        <f>SUMPRODUCT(Calc!$K$3:$K$22*(Calc!$G$3:$G$22&gt;A3678)*(Calc!$G$3:$G$22-A3678)*Calc!$I$3:$I$22)</f>
        <v/>
      </c>
      <c r="O3678">
        <f>SUMPRODUCT(Calc!$K$3:$K$22*(Calc!$G$3:$G$22&gt;B3678)*(Calc!$G$3:$G$22-B3678)*Calc!$I$3:$I$22)</f>
        <v/>
      </c>
      <c r="P3678">
        <f>I3678-G3678^2/k_n</f>
        <v/>
      </c>
      <c r="Q3678">
        <f>J3678-H3678^2/k_n</f>
        <v/>
      </c>
      <c r="R3678">
        <f>K3678-G3678*H3678/k_n</f>
        <v/>
      </c>
      <c r="S3678">
        <f>L3678-LTP3!$D$3*G3678/k_n</f>
        <v/>
      </c>
      <c r="T3678">
        <f>M3678-LTP3!$D$3*H3678/k_n</f>
        <v/>
      </c>
      <c r="U3678">
        <f>N3678-G3678*LTP3!$D$4/k_n</f>
        <v/>
      </c>
      <c r="V3678">
        <f>O3678-H3678*LTP3!$D$4/k_n</f>
        <v/>
      </c>
      <c r="W3678">
        <f>((LTP3!$D$5)*((P3678)*(Q3678)-(R3678)*(R3678))-(S3678)*((S3678)*(Q3678)-(R3678)*(T3678))+(T3678)*((S3678)*(R3678)-(P3678)*(T3678)))</f>
        <v/>
      </c>
      <c r="X3678">
        <f>IF(ABS(W3678)&gt;1E-12,((LTP3!$D$6)*((P3678)*(Q3678)-(R3678)*(R3678))-(S3678)*((U3678)*(Q3678)-(R3678)*(V3678))+(T3678)*((U3678)*(R3678)-(P3678)*(V3678)))/W3678,0)</f>
        <v/>
      </c>
      <c r="Y3678">
        <f>IF(ABS(W3678)&gt;1E-12,((LTP3!$D$5)*((U3678)*(Q3678)-(R3678)*(V3678))-(LTP3!$D$6)*((S3678)*(Q3678)-(R3678)*(T3678))+(T3678)*((S3678)*(V3678)-(U3678)*(T3678)))/W3678,0)</f>
        <v/>
      </c>
      <c r="Z3678">
        <f>IF(ABS(W3678)&gt;1E-12,((LTP3!$D$5)*((P3678)*(V3678)-(U3678)*(R3678))-(S3678)*((S3678)*(V3678)-(U3678)*(T3678))+(LTP3!$D$6)*((S3678)*(R3678)-(P3678)*(T3678)))/W3678,0)</f>
        <v/>
      </c>
      <c r="AA3678">
        <f>LTP3!$D$7-X3678*LTP3!$D$6-Y3678*U3678-Z3678*V3678</f>
        <v/>
      </c>
      <c r="AB3678">
        <f>IF(AND(F3678,ABS(W3678)&gt;1E-12,Y3678&gt;0,Z3678&gt;0),AA3678,1E+300)</f>
        <v/>
      </c>
    </row>
    <row r="3679">
      <c r="A3679">
        <f>$B$3+$B$5*60</f>
        <v/>
      </c>
      <c r="B3679">
        <f>$B$3+$B$5*7</f>
        <v/>
      </c>
      <c r="C3679">
        <f>SUMPRODUCT(Calc!$K$3:$K$22*(Calc!$G$3:$G$22&lt;=A3679))</f>
        <v/>
      </c>
      <c r="D3679">
        <f>SUMPRODUCT(Calc!$K$3:$K$22*(Calc!$G$3:$G$22&gt;A3679)*(Calc!$G$3:$G$22&lt;B3679))</f>
        <v/>
      </c>
      <c r="E3679">
        <f>SUMPRODUCT(Calc!$K$3:$K$22*(Calc!$G$3:$G$22&gt;=B3679))</f>
        <v/>
      </c>
      <c r="F3679">
        <f>AND(k_n&gt;=5,B3679&gt;A3679+1E-9,C3679&gt;=2,D3679&gt;=1,E3679&gt;=2)</f>
        <v/>
      </c>
      <c r="G3679">
        <f>SUMPRODUCT(Calc!$K$3:$K$22*(Calc!$G$3:$G$22&gt;A3679)*(Calc!$G$3:$G$22-A3679))</f>
        <v/>
      </c>
      <c r="H3679">
        <f>SUMPRODUCT(Calc!$K$3:$K$22*(Calc!$G$3:$G$22&gt;B3679)*(Calc!$G$3:$G$22-B3679))</f>
        <v/>
      </c>
      <c r="I3679">
        <f>SUMPRODUCT(Calc!$K$3:$K$22*(Calc!$G$3:$G$22&gt;A3679)*(Calc!$G$3:$G$22-A3679)^2)</f>
        <v/>
      </c>
      <c r="J3679">
        <f>SUMPRODUCT(Calc!$K$3:$K$22*(Calc!$G$3:$G$22&gt;B3679)*(Calc!$G$3:$G$22-B3679)^2)</f>
        <v/>
      </c>
      <c r="K3679">
        <f>SUMPRODUCT(Calc!$K$3:$K$22*(Calc!$G$3:$G$22&gt;A3679)*(Calc!$G$3:$G$22-A3679)*(Calc!$G$3:$G$22&gt;B3679)*(Calc!$G$3:$G$22-B3679))</f>
        <v/>
      </c>
      <c r="L3679">
        <f>SUMPRODUCT(Calc!$K$3:$K$22*(Calc!$G$3:$G$22&gt;A3679)*(Calc!$G$3:$G$22-A3679)*Calc!$G$3:$G$22)</f>
        <v/>
      </c>
      <c r="M3679">
        <f>SUMPRODUCT(Calc!$K$3:$K$22*(Calc!$G$3:$G$22&gt;B3679)*(Calc!$G$3:$G$22-B3679)*Calc!$G$3:$G$22)</f>
        <v/>
      </c>
      <c r="N3679">
        <f>SUMPRODUCT(Calc!$K$3:$K$22*(Calc!$G$3:$G$22&gt;A3679)*(Calc!$G$3:$G$22-A3679)*Calc!$I$3:$I$22)</f>
        <v/>
      </c>
      <c r="O3679">
        <f>SUMPRODUCT(Calc!$K$3:$K$22*(Calc!$G$3:$G$22&gt;B3679)*(Calc!$G$3:$G$22-B3679)*Calc!$I$3:$I$22)</f>
        <v/>
      </c>
      <c r="P3679">
        <f>I3679-G3679^2/k_n</f>
        <v/>
      </c>
      <c r="Q3679">
        <f>J3679-H3679^2/k_n</f>
        <v/>
      </c>
      <c r="R3679">
        <f>K3679-G3679*H3679/k_n</f>
        <v/>
      </c>
      <c r="S3679">
        <f>L3679-LTP3!$D$3*G3679/k_n</f>
        <v/>
      </c>
      <c r="T3679">
        <f>M3679-LTP3!$D$3*H3679/k_n</f>
        <v/>
      </c>
      <c r="U3679">
        <f>N3679-G3679*LTP3!$D$4/k_n</f>
        <v/>
      </c>
      <c r="V3679">
        <f>O3679-H3679*LTP3!$D$4/k_n</f>
        <v/>
      </c>
      <c r="W3679">
        <f>((LTP3!$D$5)*((P3679)*(Q3679)-(R3679)*(R3679))-(S3679)*((S3679)*(Q3679)-(R3679)*(T3679))+(T3679)*((S3679)*(R3679)-(P3679)*(T3679)))</f>
        <v/>
      </c>
      <c r="X3679">
        <f>IF(ABS(W3679)&gt;1E-12,((LTP3!$D$6)*((P3679)*(Q3679)-(R3679)*(R3679))-(S3679)*((U3679)*(Q3679)-(R3679)*(V3679))+(T3679)*((U3679)*(R3679)-(P3679)*(V3679)))/W3679,0)</f>
        <v/>
      </c>
      <c r="Y3679">
        <f>IF(ABS(W3679)&gt;1E-12,((LTP3!$D$5)*((U3679)*(Q3679)-(R3679)*(V3679))-(LTP3!$D$6)*((S3679)*(Q3679)-(R3679)*(T3679))+(T3679)*((S3679)*(V3679)-(U3679)*(T3679)))/W3679,0)</f>
        <v/>
      </c>
      <c r="Z3679">
        <f>IF(ABS(W3679)&gt;1E-12,((LTP3!$D$5)*((P3679)*(V3679)-(U3679)*(R3679))-(S3679)*((S3679)*(V3679)-(U3679)*(T3679))+(LTP3!$D$6)*((S3679)*(R3679)-(P3679)*(T3679)))/W3679,0)</f>
        <v/>
      </c>
      <c r="AA3679">
        <f>LTP3!$D$7-X3679*LTP3!$D$6-Y3679*U3679-Z3679*V3679</f>
        <v/>
      </c>
      <c r="AB3679">
        <f>IF(AND(F3679,ABS(W3679)&gt;1E-12,Y3679&gt;0,Z3679&gt;0),AA3679,1E+300)</f>
        <v/>
      </c>
    </row>
    <row r="3680">
      <c r="A3680">
        <f>$B$3+$B$5*60</f>
        <v/>
      </c>
      <c r="B3680">
        <f>$B$3+$B$5*8</f>
        <v/>
      </c>
      <c r="C3680">
        <f>SUMPRODUCT(Calc!$K$3:$K$22*(Calc!$G$3:$G$22&lt;=A3680))</f>
        <v/>
      </c>
      <c r="D3680">
        <f>SUMPRODUCT(Calc!$K$3:$K$22*(Calc!$G$3:$G$22&gt;A3680)*(Calc!$G$3:$G$22&lt;B3680))</f>
        <v/>
      </c>
      <c r="E3680">
        <f>SUMPRODUCT(Calc!$K$3:$K$22*(Calc!$G$3:$G$22&gt;=B3680))</f>
        <v/>
      </c>
      <c r="F3680">
        <f>AND(k_n&gt;=5,B3680&gt;A3680+1E-9,C3680&gt;=2,D3680&gt;=1,E3680&gt;=2)</f>
        <v/>
      </c>
      <c r="G3680">
        <f>SUMPRODUCT(Calc!$K$3:$K$22*(Calc!$G$3:$G$22&gt;A3680)*(Calc!$G$3:$G$22-A3680))</f>
        <v/>
      </c>
      <c r="H3680">
        <f>SUMPRODUCT(Calc!$K$3:$K$22*(Calc!$G$3:$G$22&gt;B3680)*(Calc!$G$3:$G$22-B3680))</f>
        <v/>
      </c>
      <c r="I3680">
        <f>SUMPRODUCT(Calc!$K$3:$K$22*(Calc!$G$3:$G$22&gt;A3680)*(Calc!$G$3:$G$22-A3680)^2)</f>
        <v/>
      </c>
      <c r="J3680">
        <f>SUMPRODUCT(Calc!$K$3:$K$22*(Calc!$G$3:$G$22&gt;B3680)*(Calc!$G$3:$G$22-B3680)^2)</f>
        <v/>
      </c>
      <c r="K3680">
        <f>SUMPRODUCT(Calc!$K$3:$K$22*(Calc!$G$3:$G$22&gt;A3680)*(Calc!$G$3:$G$22-A3680)*(Calc!$G$3:$G$22&gt;B3680)*(Calc!$G$3:$G$22-B3680))</f>
        <v/>
      </c>
      <c r="L3680">
        <f>SUMPRODUCT(Calc!$K$3:$K$22*(Calc!$G$3:$G$22&gt;A3680)*(Calc!$G$3:$G$22-A3680)*Calc!$G$3:$G$22)</f>
        <v/>
      </c>
      <c r="M3680">
        <f>SUMPRODUCT(Calc!$K$3:$K$22*(Calc!$G$3:$G$22&gt;B3680)*(Calc!$G$3:$G$22-B3680)*Calc!$G$3:$G$22)</f>
        <v/>
      </c>
      <c r="N3680">
        <f>SUMPRODUCT(Calc!$K$3:$K$22*(Calc!$G$3:$G$22&gt;A3680)*(Calc!$G$3:$G$22-A3680)*Calc!$I$3:$I$22)</f>
        <v/>
      </c>
      <c r="O3680">
        <f>SUMPRODUCT(Calc!$K$3:$K$22*(Calc!$G$3:$G$22&gt;B3680)*(Calc!$G$3:$G$22-B3680)*Calc!$I$3:$I$22)</f>
        <v/>
      </c>
      <c r="P3680">
        <f>I3680-G3680^2/k_n</f>
        <v/>
      </c>
      <c r="Q3680">
        <f>J3680-H3680^2/k_n</f>
        <v/>
      </c>
      <c r="R3680">
        <f>K3680-G3680*H3680/k_n</f>
        <v/>
      </c>
      <c r="S3680">
        <f>L3680-LTP3!$D$3*G3680/k_n</f>
        <v/>
      </c>
      <c r="T3680">
        <f>M3680-LTP3!$D$3*H3680/k_n</f>
        <v/>
      </c>
      <c r="U3680">
        <f>N3680-G3680*LTP3!$D$4/k_n</f>
        <v/>
      </c>
      <c r="V3680">
        <f>O3680-H3680*LTP3!$D$4/k_n</f>
        <v/>
      </c>
      <c r="W3680">
        <f>((LTP3!$D$5)*((P3680)*(Q3680)-(R3680)*(R3680))-(S3680)*((S3680)*(Q3680)-(R3680)*(T3680))+(T3680)*((S3680)*(R3680)-(P3680)*(T3680)))</f>
        <v/>
      </c>
      <c r="X3680">
        <f>IF(ABS(W3680)&gt;1E-12,((LTP3!$D$6)*((P3680)*(Q3680)-(R3680)*(R3680))-(S3680)*((U3680)*(Q3680)-(R3680)*(V3680))+(T3680)*((U3680)*(R3680)-(P3680)*(V3680)))/W3680,0)</f>
        <v/>
      </c>
      <c r="Y3680">
        <f>IF(ABS(W3680)&gt;1E-12,((LTP3!$D$5)*((U3680)*(Q3680)-(R3680)*(V3680))-(LTP3!$D$6)*((S3680)*(Q3680)-(R3680)*(T3680))+(T3680)*((S3680)*(V3680)-(U3680)*(T3680)))/W3680,0)</f>
        <v/>
      </c>
      <c r="Z3680">
        <f>IF(ABS(W3680)&gt;1E-12,((LTP3!$D$5)*((P3680)*(V3680)-(U3680)*(R3680))-(S3680)*((S3680)*(V3680)-(U3680)*(T3680))+(LTP3!$D$6)*((S3680)*(R3680)-(P3680)*(T3680)))/W3680,0)</f>
        <v/>
      </c>
      <c r="AA3680">
        <f>LTP3!$D$7-X3680*LTP3!$D$6-Y3680*U3680-Z3680*V3680</f>
        <v/>
      </c>
      <c r="AB3680">
        <f>IF(AND(F3680,ABS(W3680)&gt;1E-12,Y3680&gt;0,Z3680&gt;0),AA3680,1E+300)</f>
        <v/>
      </c>
    </row>
    <row r="3681">
      <c r="A3681">
        <f>$B$3+$B$5*60</f>
        <v/>
      </c>
      <c r="B3681">
        <f>$B$3+$B$5*9</f>
        <v/>
      </c>
      <c r="C3681">
        <f>SUMPRODUCT(Calc!$K$3:$K$22*(Calc!$G$3:$G$22&lt;=A3681))</f>
        <v/>
      </c>
      <c r="D3681">
        <f>SUMPRODUCT(Calc!$K$3:$K$22*(Calc!$G$3:$G$22&gt;A3681)*(Calc!$G$3:$G$22&lt;B3681))</f>
        <v/>
      </c>
      <c r="E3681">
        <f>SUMPRODUCT(Calc!$K$3:$K$22*(Calc!$G$3:$G$22&gt;=B3681))</f>
        <v/>
      </c>
      <c r="F3681">
        <f>AND(k_n&gt;=5,B3681&gt;A3681+1E-9,C3681&gt;=2,D3681&gt;=1,E3681&gt;=2)</f>
        <v/>
      </c>
      <c r="G3681">
        <f>SUMPRODUCT(Calc!$K$3:$K$22*(Calc!$G$3:$G$22&gt;A3681)*(Calc!$G$3:$G$22-A3681))</f>
        <v/>
      </c>
      <c r="H3681">
        <f>SUMPRODUCT(Calc!$K$3:$K$22*(Calc!$G$3:$G$22&gt;B3681)*(Calc!$G$3:$G$22-B3681))</f>
        <v/>
      </c>
      <c r="I3681">
        <f>SUMPRODUCT(Calc!$K$3:$K$22*(Calc!$G$3:$G$22&gt;A3681)*(Calc!$G$3:$G$22-A3681)^2)</f>
        <v/>
      </c>
      <c r="J3681">
        <f>SUMPRODUCT(Calc!$K$3:$K$22*(Calc!$G$3:$G$22&gt;B3681)*(Calc!$G$3:$G$22-B3681)^2)</f>
        <v/>
      </c>
      <c r="K3681">
        <f>SUMPRODUCT(Calc!$K$3:$K$22*(Calc!$G$3:$G$22&gt;A3681)*(Calc!$G$3:$G$22-A3681)*(Calc!$G$3:$G$22&gt;B3681)*(Calc!$G$3:$G$22-B3681))</f>
        <v/>
      </c>
      <c r="L3681">
        <f>SUMPRODUCT(Calc!$K$3:$K$22*(Calc!$G$3:$G$22&gt;A3681)*(Calc!$G$3:$G$22-A3681)*Calc!$G$3:$G$22)</f>
        <v/>
      </c>
      <c r="M3681">
        <f>SUMPRODUCT(Calc!$K$3:$K$22*(Calc!$G$3:$G$22&gt;B3681)*(Calc!$G$3:$G$22-B3681)*Calc!$G$3:$G$22)</f>
        <v/>
      </c>
      <c r="N3681">
        <f>SUMPRODUCT(Calc!$K$3:$K$22*(Calc!$G$3:$G$22&gt;A3681)*(Calc!$G$3:$G$22-A3681)*Calc!$I$3:$I$22)</f>
        <v/>
      </c>
      <c r="O3681">
        <f>SUMPRODUCT(Calc!$K$3:$K$22*(Calc!$G$3:$G$22&gt;B3681)*(Calc!$G$3:$G$22-B3681)*Calc!$I$3:$I$22)</f>
        <v/>
      </c>
      <c r="P3681">
        <f>I3681-G3681^2/k_n</f>
        <v/>
      </c>
      <c r="Q3681">
        <f>J3681-H3681^2/k_n</f>
        <v/>
      </c>
      <c r="R3681">
        <f>K3681-G3681*H3681/k_n</f>
        <v/>
      </c>
      <c r="S3681">
        <f>L3681-LTP3!$D$3*G3681/k_n</f>
        <v/>
      </c>
      <c r="T3681">
        <f>M3681-LTP3!$D$3*H3681/k_n</f>
        <v/>
      </c>
      <c r="U3681">
        <f>N3681-G3681*LTP3!$D$4/k_n</f>
        <v/>
      </c>
      <c r="V3681">
        <f>O3681-H3681*LTP3!$D$4/k_n</f>
        <v/>
      </c>
      <c r="W3681">
        <f>((LTP3!$D$5)*((P3681)*(Q3681)-(R3681)*(R3681))-(S3681)*((S3681)*(Q3681)-(R3681)*(T3681))+(T3681)*((S3681)*(R3681)-(P3681)*(T3681)))</f>
        <v/>
      </c>
      <c r="X3681">
        <f>IF(ABS(W3681)&gt;1E-12,((LTP3!$D$6)*((P3681)*(Q3681)-(R3681)*(R3681))-(S3681)*((U3681)*(Q3681)-(R3681)*(V3681))+(T3681)*((U3681)*(R3681)-(P3681)*(V3681)))/W3681,0)</f>
        <v/>
      </c>
      <c r="Y3681">
        <f>IF(ABS(W3681)&gt;1E-12,((LTP3!$D$5)*((U3681)*(Q3681)-(R3681)*(V3681))-(LTP3!$D$6)*((S3681)*(Q3681)-(R3681)*(T3681))+(T3681)*((S3681)*(V3681)-(U3681)*(T3681)))/W3681,0)</f>
        <v/>
      </c>
      <c r="Z3681">
        <f>IF(ABS(W3681)&gt;1E-12,((LTP3!$D$5)*((P3681)*(V3681)-(U3681)*(R3681))-(S3681)*((S3681)*(V3681)-(U3681)*(T3681))+(LTP3!$D$6)*((S3681)*(R3681)-(P3681)*(T3681)))/W3681,0)</f>
        <v/>
      </c>
      <c r="AA3681">
        <f>LTP3!$D$7-X3681*LTP3!$D$6-Y3681*U3681-Z3681*V3681</f>
        <v/>
      </c>
      <c r="AB3681">
        <f>IF(AND(F3681,ABS(W3681)&gt;1E-12,Y3681&gt;0,Z3681&gt;0),AA3681,1E+300)</f>
        <v/>
      </c>
    </row>
    <row r="3682">
      <c r="A3682">
        <f>$B$3+$B$5*60</f>
        <v/>
      </c>
      <c r="B3682">
        <f>$B$3+$B$5*10</f>
        <v/>
      </c>
      <c r="C3682">
        <f>SUMPRODUCT(Calc!$K$3:$K$22*(Calc!$G$3:$G$22&lt;=A3682))</f>
        <v/>
      </c>
      <c r="D3682">
        <f>SUMPRODUCT(Calc!$K$3:$K$22*(Calc!$G$3:$G$22&gt;A3682)*(Calc!$G$3:$G$22&lt;B3682))</f>
        <v/>
      </c>
      <c r="E3682">
        <f>SUMPRODUCT(Calc!$K$3:$K$22*(Calc!$G$3:$G$22&gt;=B3682))</f>
        <v/>
      </c>
      <c r="F3682">
        <f>AND(k_n&gt;=5,B3682&gt;A3682+1E-9,C3682&gt;=2,D3682&gt;=1,E3682&gt;=2)</f>
        <v/>
      </c>
      <c r="G3682">
        <f>SUMPRODUCT(Calc!$K$3:$K$22*(Calc!$G$3:$G$22&gt;A3682)*(Calc!$G$3:$G$22-A3682))</f>
        <v/>
      </c>
      <c r="H3682">
        <f>SUMPRODUCT(Calc!$K$3:$K$22*(Calc!$G$3:$G$22&gt;B3682)*(Calc!$G$3:$G$22-B3682))</f>
        <v/>
      </c>
      <c r="I3682">
        <f>SUMPRODUCT(Calc!$K$3:$K$22*(Calc!$G$3:$G$22&gt;A3682)*(Calc!$G$3:$G$22-A3682)^2)</f>
        <v/>
      </c>
      <c r="J3682">
        <f>SUMPRODUCT(Calc!$K$3:$K$22*(Calc!$G$3:$G$22&gt;B3682)*(Calc!$G$3:$G$22-B3682)^2)</f>
        <v/>
      </c>
      <c r="K3682">
        <f>SUMPRODUCT(Calc!$K$3:$K$22*(Calc!$G$3:$G$22&gt;A3682)*(Calc!$G$3:$G$22-A3682)*(Calc!$G$3:$G$22&gt;B3682)*(Calc!$G$3:$G$22-B3682))</f>
        <v/>
      </c>
      <c r="L3682">
        <f>SUMPRODUCT(Calc!$K$3:$K$22*(Calc!$G$3:$G$22&gt;A3682)*(Calc!$G$3:$G$22-A3682)*Calc!$G$3:$G$22)</f>
        <v/>
      </c>
      <c r="M3682">
        <f>SUMPRODUCT(Calc!$K$3:$K$22*(Calc!$G$3:$G$22&gt;B3682)*(Calc!$G$3:$G$22-B3682)*Calc!$G$3:$G$22)</f>
        <v/>
      </c>
      <c r="N3682">
        <f>SUMPRODUCT(Calc!$K$3:$K$22*(Calc!$G$3:$G$22&gt;A3682)*(Calc!$G$3:$G$22-A3682)*Calc!$I$3:$I$22)</f>
        <v/>
      </c>
      <c r="O3682">
        <f>SUMPRODUCT(Calc!$K$3:$K$22*(Calc!$G$3:$G$22&gt;B3682)*(Calc!$G$3:$G$22-B3682)*Calc!$I$3:$I$22)</f>
        <v/>
      </c>
      <c r="P3682">
        <f>I3682-G3682^2/k_n</f>
        <v/>
      </c>
      <c r="Q3682">
        <f>J3682-H3682^2/k_n</f>
        <v/>
      </c>
      <c r="R3682">
        <f>K3682-G3682*H3682/k_n</f>
        <v/>
      </c>
      <c r="S3682">
        <f>L3682-LTP3!$D$3*G3682/k_n</f>
        <v/>
      </c>
      <c r="T3682">
        <f>M3682-LTP3!$D$3*H3682/k_n</f>
        <v/>
      </c>
      <c r="U3682">
        <f>N3682-G3682*LTP3!$D$4/k_n</f>
        <v/>
      </c>
      <c r="V3682">
        <f>O3682-H3682*LTP3!$D$4/k_n</f>
        <v/>
      </c>
      <c r="W3682">
        <f>((LTP3!$D$5)*((P3682)*(Q3682)-(R3682)*(R3682))-(S3682)*((S3682)*(Q3682)-(R3682)*(T3682))+(T3682)*((S3682)*(R3682)-(P3682)*(T3682)))</f>
        <v/>
      </c>
      <c r="X3682">
        <f>IF(ABS(W3682)&gt;1E-12,((LTP3!$D$6)*((P3682)*(Q3682)-(R3682)*(R3682))-(S3682)*((U3682)*(Q3682)-(R3682)*(V3682))+(T3682)*((U3682)*(R3682)-(P3682)*(V3682)))/W3682,0)</f>
        <v/>
      </c>
      <c r="Y3682">
        <f>IF(ABS(W3682)&gt;1E-12,((LTP3!$D$5)*((U3682)*(Q3682)-(R3682)*(V3682))-(LTP3!$D$6)*((S3682)*(Q3682)-(R3682)*(T3682))+(T3682)*((S3682)*(V3682)-(U3682)*(T3682)))/W3682,0)</f>
        <v/>
      </c>
      <c r="Z3682">
        <f>IF(ABS(W3682)&gt;1E-12,((LTP3!$D$5)*((P3682)*(V3682)-(U3682)*(R3682))-(S3682)*((S3682)*(V3682)-(U3682)*(T3682))+(LTP3!$D$6)*((S3682)*(R3682)-(P3682)*(T3682)))/W3682,0)</f>
        <v/>
      </c>
      <c r="AA3682">
        <f>LTP3!$D$7-X3682*LTP3!$D$6-Y3682*U3682-Z3682*V3682</f>
        <v/>
      </c>
      <c r="AB3682">
        <f>IF(AND(F3682,ABS(W3682)&gt;1E-12,Y3682&gt;0,Z3682&gt;0),AA3682,1E+300)</f>
        <v/>
      </c>
    </row>
    <row r="3683">
      <c r="A3683">
        <f>$B$3+$B$5*60</f>
        <v/>
      </c>
      <c r="B3683">
        <f>$B$3+$B$5*11</f>
        <v/>
      </c>
      <c r="C3683">
        <f>SUMPRODUCT(Calc!$K$3:$K$22*(Calc!$G$3:$G$22&lt;=A3683))</f>
        <v/>
      </c>
      <c r="D3683">
        <f>SUMPRODUCT(Calc!$K$3:$K$22*(Calc!$G$3:$G$22&gt;A3683)*(Calc!$G$3:$G$22&lt;B3683))</f>
        <v/>
      </c>
      <c r="E3683">
        <f>SUMPRODUCT(Calc!$K$3:$K$22*(Calc!$G$3:$G$22&gt;=B3683))</f>
        <v/>
      </c>
      <c r="F3683">
        <f>AND(k_n&gt;=5,B3683&gt;A3683+1E-9,C3683&gt;=2,D3683&gt;=1,E3683&gt;=2)</f>
        <v/>
      </c>
      <c r="G3683">
        <f>SUMPRODUCT(Calc!$K$3:$K$22*(Calc!$G$3:$G$22&gt;A3683)*(Calc!$G$3:$G$22-A3683))</f>
        <v/>
      </c>
      <c r="H3683">
        <f>SUMPRODUCT(Calc!$K$3:$K$22*(Calc!$G$3:$G$22&gt;B3683)*(Calc!$G$3:$G$22-B3683))</f>
        <v/>
      </c>
      <c r="I3683">
        <f>SUMPRODUCT(Calc!$K$3:$K$22*(Calc!$G$3:$G$22&gt;A3683)*(Calc!$G$3:$G$22-A3683)^2)</f>
        <v/>
      </c>
      <c r="J3683">
        <f>SUMPRODUCT(Calc!$K$3:$K$22*(Calc!$G$3:$G$22&gt;B3683)*(Calc!$G$3:$G$22-B3683)^2)</f>
        <v/>
      </c>
      <c r="K3683">
        <f>SUMPRODUCT(Calc!$K$3:$K$22*(Calc!$G$3:$G$22&gt;A3683)*(Calc!$G$3:$G$22-A3683)*(Calc!$G$3:$G$22&gt;B3683)*(Calc!$G$3:$G$22-B3683))</f>
        <v/>
      </c>
      <c r="L3683">
        <f>SUMPRODUCT(Calc!$K$3:$K$22*(Calc!$G$3:$G$22&gt;A3683)*(Calc!$G$3:$G$22-A3683)*Calc!$G$3:$G$22)</f>
        <v/>
      </c>
      <c r="M3683">
        <f>SUMPRODUCT(Calc!$K$3:$K$22*(Calc!$G$3:$G$22&gt;B3683)*(Calc!$G$3:$G$22-B3683)*Calc!$G$3:$G$22)</f>
        <v/>
      </c>
      <c r="N3683">
        <f>SUMPRODUCT(Calc!$K$3:$K$22*(Calc!$G$3:$G$22&gt;A3683)*(Calc!$G$3:$G$22-A3683)*Calc!$I$3:$I$22)</f>
        <v/>
      </c>
      <c r="O3683">
        <f>SUMPRODUCT(Calc!$K$3:$K$22*(Calc!$G$3:$G$22&gt;B3683)*(Calc!$G$3:$G$22-B3683)*Calc!$I$3:$I$22)</f>
        <v/>
      </c>
      <c r="P3683">
        <f>I3683-G3683^2/k_n</f>
        <v/>
      </c>
      <c r="Q3683">
        <f>J3683-H3683^2/k_n</f>
        <v/>
      </c>
      <c r="R3683">
        <f>K3683-G3683*H3683/k_n</f>
        <v/>
      </c>
      <c r="S3683">
        <f>L3683-LTP3!$D$3*G3683/k_n</f>
        <v/>
      </c>
      <c r="T3683">
        <f>M3683-LTP3!$D$3*H3683/k_n</f>
        <v/>
      </c>
      <c r="U3683">
        <f>N3683-G3683*LTP3!$D$4/k_n</f>
        <v/>
      </c>
      <c r="V3683">
        <f>O3683-H3683*LTP3!$D$4/k_n</f>
        <v/>
      </c>
      <c r="W3683">
        <f>((LTP3!$D$5)*((P3683)*(Q3683)-(R3683)*(R3683))-(S3683)*((S3683)*(Q3683)-(R3683)*(T3683))+(T3683)*((S3683)*(R3683)-(P3683)*(T3683)))</f>
        <v/>
      </c>
      <c r="X3683">
        <f>IF(ABS(W3683)&gt;1E-12,((LTP3!$D$6)*((P3683)*(Q3683)-(R3683)*(R3683))-(S3683)*((U3683)*(Q3683)-(R3683)*(V3683))+(T3683)*((U3683)*(R3683)-(P3683)*(V3683)))/W3683,0)</f>
        <v/>
      </c>
      <c r="Y3683">
        <f>IF(ABS(W3683)&gt;1E-12,((LTP3!$D$5)*((U3683)*(Q3683)-(R3683)*(V3683))-(LTP3!$D$6)*((S3683)*(Q3683)-(R3683)*(T3683))+(T3683)*((S3683)*(V3683)-(U3683)*(T3683)))/W3683,0)</f>
        <v/>
      </c>
      <c r="Z3683">
        <f>IF(ABS(W3683)&gt;1E-12,((LTP3!$D$5)*((P3683)*(V3683)-(U3683)*(R3683))-(S3683)*((S3683)*(V3683)-(U3683)*(T3683))+(LTP3!$D$6)*((S3683)*(R3683)-(P3683)*(T3683)))/W3683,0)</f>
        <v/>
      </c>
      <c r="AA3683">
        <f>LTP3!$D$7-X3683*LTP3!$D$6-Y3683*U3683-Z3683*V3683</f>
        <v/>
      </c>
      <c r="AB3683">
        <f>IF(AND(F3683,ABS(W3683)&gt;1E-12,Y3683&gt;0,Z3683&gt;0),AA3683,1E+300)</f>
        <v/>
      </c>
    </row>
    <row r="3684">
      <c r="A3684">
        <f>$B$3+$B$5*60</f>
        <v/>
      </c>
      <c r="B3684">
        <f>$B$3+$B$5*12</f>
        <v/>
      </c>
      <c r="C3684">
        <f>SUMPRODUCT(Calc!$K$3:$K$22*(Calc!$G$3:$G$22&lt;=A3684))</f>
        <v/>
      </c>
      <c r="D3684">
        <f>SUMPRODUCT(Calc!$K$3:$K$22*(Calc!$G$3:$G$22&gt;A3684)*(Calc!$G$3:$G$22&lt;B3684))</f>
        <v/>
      </c>
      <c r="E3684">
        <f>SUMPRODUCT(Calc!$K$3:$K$22*(Calc!$G$3:$G$22&gt;=B3684))</f>
        <v/>
      </c>
      <c r="F3684">
        <f>AND(k_n&gt;=5,B3684&gt;A3684+1E-9,C3684&gt;=2,D3684&gt;=1,E3684&gt;=2)</f>
        <v/>
      </c>
      <c r="G3684">
        <f>SUMPRODUCT(Calc!$K$3:$K$22*(Calc!$G$3:$G$22&gt;A3684)*(Calc!$G$3:$G$22-A3684))</f>
        <v/>
      </c>
      <c r="H3684">
        <f>SUMPRODUCT(Calc!$K$3:$K$22*(Calc!$G$3:$G$22&gt;B3684)*(Calc!$G$3:$G$22-B3684))</f>
        <v/>
      </c>
      <c r="I3684">
        <f>SUMPRODUCT(Calc!$K$3:$K$22*(Calc!$G$3:$G$22&gt;A3684)*(Calc!$G$3:$G$22-A3684)^2)</f>
        <v/>
      </c>
      <c r="J3684">
        <f>SUMPRODUCT(Calc!$K$3:$K$22*(Calc!$G$3:$G$22&gt;B3684)*(Calc!$G$3:$G$22-B3684)^2)</f>
        <v/>
      </c>
      <c r="K3684">
        <f>SUMPRODUCT(Calc!$K$3:$K$22*(Calc!$G$3:$G$22&gt;A3684)*(Calc!$G$3:$G$22-A3684)*(Calc!$G$3:$G$22&gt;B3684)*(Calc!$G$3:$G$22-B3684))</f>
        <v/>
      </c>
      <c r="L3684">
        <f>SUMPRODUCT(Calc!$K$3:$K$22*(Calc!$G$3:$G$22&gt;A3684)*(Calc!$G$3:$G$22-A3684)*Calc!$G$3:$G$22)</f>
        <v/>
      </c>
      <c r="M3684">
        <f>SUMPRODUCT(Calc!$K$3:$K$22*(Calc!$G$3:$G$22&gt;B3684)*(Calc!$G$3:$G$22-B3684)*Calc!$G$3:$G$22)</f>
        <v/>
      </c>
      <c r="N3684">
        <f>SUMPRODUCT(Calc!$K$3:$K$22*(Calc!$G$3:$G$22&gt;A3684)*(Calc!$G$3:$G$22-A3684)*Calc!$I$3:$I$22)</f>
        <v/>
      </c>
      <c r="O3684">
        <f>SUMPRODUCT(Calc!$K$3:$K$22*(Calc!$G$3:$G$22&gt;B3684)*(Calc!$G$3:$G$22-B3684)*Calc!$I$3:$I$22)</f>
        <v/>
      </c>
      <c r="P3684">
        <f>I3684-G3684^2/k_n</f>
        <v/>
      </c>
      <c r="Q3684">
        <f>J3684-H3684^2/k_n</f>
        <v/>
      </c>
      <c r="R3684">
        <f>K3684-G3684*H3684/k_n</f>
        <v/>
      </c>
      <c r="S3684">
        <f>L3684-LTP3!$D$3*G3684/k_n</f>
        <v/>
      </c>
      <c r="T3684">
        <f>M3684-LTP3!$D$3*H3684/k_n</f>
        <v/>
      </c>
      <c r="U3684">
        <f>N3684-G3684*LTP3!$D$4/k_n</f>
        <v/>
      </c>
      <c r="V3684">
        <f>O3684-H3684*LTP3!$D$4/k_n</f>
        <v/>
      </c>
      <c r="W3684">
        <f>((LTP3!$D$5)*((P3684)*(Q3684)-(R3684)*(R3684))-(S3684)*((S3684)*(Q3684)-(R3684)*(T3684))+(T3684)*((S3684)*(R3684)-(P3684)*(T3684)))</f>
        <v/>
      </c>
      <c r="X3684">
        <f>IF(ABS(W3684)&gt;1E-12,((LTP3!$D$6)*((P3684)*(Q3684)-(R3684)*(R3684))-(S3684)*((U3684)*(Q3684)-(R3684)*(V3684))+(T3684)*((U3684)*(R3684)-(P3684)*(V3684)))/W3684,0)</f>
        <v/>
      </c>
      <c r="Y3684">
        <f>IF(ABS(W3684)&gt;1E-12,((LTP3!$D$5)*((U3684)*(Q3684)-(R3684)*(V3684))-(LTP3!$D$6)*((S3684)*(Q3684)-(R3684)*(T3684))+(T3684)*((S3684)*(V3684)-(U3684)*(T3684)))/W3684,0)</f>
        <v/>
      </c>
      <c r="Z3684">
        <f>IF(ABS(W3684)&gt;1E-12,((LTP3!$D$5)*((P3684)*(V3684)-(U3684)*(R3684))-(S3684)*((S3684)*(V3684)-(U3684)*(T3684))+(LTP3!$D$6)*((S3684)*(R3684)-(P3684)*(T3684)))/W3684,0)</f>
        <v/>
      </c>
      <c r="AA3684">
        <f>LTP3!$D$7-X3684*LTP3!$D$6-Y3684*U3684-Z3684*V3684</f>
        <v/>
      </c>
      <c r="AB3684">
        <f>IF(AND(F3684,ABS(W3684)&gt;1E-12,Y3684&gt;0,Z3684&gt;0),AA3684,1E+300)</f>
        <v/>
      </c>
    </row>
    <row r="3685">
      <c r="A3685">
        <f>$B$3+$B$5*60</f>
        <v/>
      </c>
      <c r="B3685">
        <f>$B$3+$B$5*13</f>
        <v/>
      </c>
      <c r="C3685">
        <f>SUMPRODUCT(Calc!$K$3:$K$22*(Calc!$G$3:$G$22&lt;=A3685))</f>
        <v/>
      </c>
      <c r="D3685">
        <f>SUMPRODUCT(Calc!$K$3:$K$22*(Calc!$G$3:$G$22&gt;A3685)*(Calc!$G$3:$G$22&lt;B3685))</f>
        <v/>
      </c>
      <c r="E3685">
        <f>SUMPRODUCT(Calc!$K$3:$K$22*(Calc!$G$3:$G$22&gt;=B3685))</f>
        <v/>
      </c>
      <c r="F3685">
        <f>AND(k_n&gt;=5,B3685&gt;A3685+1E-9,C3685&gt;=2,D3685&gt;=1,E3685&gt;=2)</f>
        <v/>
      </c>
      <c r="G3685">
        <f>SUMPRODUCT(Calc!$K$3:$K$22*(Calc!$G$3:$G$22&gt;A3685)*(Calc!$G$3:$G$22-A3685))</f>
        <v/>
      </c>
      <c r="H3685">
        <f>SUMPRODUCT(Calc!$K$3:$K$22*(Calc!$G$3:$G$22&gt;B3685)*(Calc!$G$3:$G$22-B3685))</f>
        <v/>
      </c>
      <c r="I3685">
        <f>SUMPRODUCT(Calc!$K$3:$K$22*(Calc!$G$3:$G$22&gt;A3685)*(Calc!$G$3:$G$22-A3685)^2)</f>
        <v/>
      </c>
      <c r="J3685">
        <f>SUMPRODUCT(Calc!$K$3:$K$22*(Calc!$G$3:$G$22&gt;B3685)*(Calc!$G$3:$G$22-B3685)^2)</f>
        <v/>
      </c>
      <c r="K3685">
        <f>SUMPRODUCT(Calc!$K$3:$K$22*(Calc!$G$3:$G$22&gt;A3685)*(Calc!$G$3:$G$22-A3685)*(Calc!$G$3:$G$22&gt;B3685)*(Calc!$G$3:$G$22-B3685))</f>
        <v/>
      </c>
      <c r="L3685">
        <f>SUMPRODUCT(Calc!$K$3:$K$22*(Calc!$G$3:$G$22&gt;A3685)*(Calc!$G$3:$G$22-A3685)*Calc!$G$3:$G$22)</f>
        <v/>
      </c>
      <c r="M3685">
        <f>SUMPRODUCT(Calc!$K$3:$K$22*(Calc!$G$3:$G$22&gt;B3685)*(Calc!$G$3:$G$22-B3685)*Calc!$G$3:$G$22)</f>
        <v/>
      </c>
      <c r="N3685">
        <f>SUMPRODUCT(Calc!$K$3:$K$22*(Calc!$G$3:$G$22&gt;A3685)*(Calc!$G$3:$G$22-A3685)*Calc!$I$3:$I$22)</f>
        <v/>
      </c>
      <c r="O3685">
        <f>SUMPRODUCT(Calc!$K$3:$K$22*(Calc!$G$3:$G$22&gt;B3685)*(Calc!$G$3:$G$22-B3685)*Calc!$I$3:$I$22)</f>
        <v/>
      </c>
      <c r="P3685">
        <f>I3685-G3685^2/k_n</f>
        <v/>
      </c>
      <c r="Q3685">
        <f>J3685-H3685^2/k_n</f>
        <v/>
      </c>
      <c r="R3685">
        <f>K3685-G3685*H3685/k_n</f>
        <v/>
      </c>
      <c r="S3685">
        <f>L3685-LTP3!$D$3*G3685/k_n</f>
        <v/>
      </c>
      <c r="T3685">
        <f>M3685-LTP3!$D$3*H3685/k_n</f>
        <v/>
      </c>
      <c r="U3685">
        <f>N3685-G3685*LTP3!$D$4/k_n</f>
        <v/>
      </c>
      <c r="V3685">
        <f>O3685-H3685*LTP3!$D$4/k_n</f>
        <v/>
      </c>
      <c r="W3685">
        <f>((LTP3!$D$5)*((P3685)*(Q3685)-(R3685)*(R3685))-(S3685)*((S3685)*(Q3685)-(R3685)*(T3685))+(T3685)*((S3685)*(R3685)-(P3685)*(T3685)))</f>
        <v/>
      </c>
      <c r="X3685">
        <f>IF(ABS(W3685)&gt;1E-12,((LTP3!$D$6)*((P3685)*(Q3685)-(R3685)*(R3685))-(S3685)*((U3685)*(Q3685)-(R3685)*(V3685))+(T3685)*((U3685)*(R3685)-(P3685)*(V3685)))/W3685,0)</f>
        <v/>
      </c>
      <c r="Y3685">
        <f>IF(ABS(W3685)&gt;1E-12,((LTP3!$D$5)*((U3685)*(Q3685)-(R3685)*(V3685))-(LTP3!$D$6)*((S3685)*(Q3685)-(R3685)*(T3685))+(T3685)*((S3685)*(V3685)-(U3685)*(T3685)))/W3685,0)</f>
        <v/>
      </c>
      <c r="Z3685">
        <f>IF(ABS(W3685)&gt;1E-12,((LTP3!$D$5)*((P3685)*(V3685)-(U3685)*(R3685))-(S3685)*((S3685)*(V3685)-(U3685)*(T3685))+(LTP3!$D$6)*((S3685)*(R3685)-(P3685)*(T3685)))/W3685,0)</f>
        <v/>
      </c>
      <c r="AA3685">
        <f>LTP3!$D$7-X3685*LTP3!$D$6-Y3685*U3685-Z3685*V3685</f>
        <v/>
      </c>
      <c r="AB3685">
        <f>IF(AND(F3685,ABS(W3685)&gt;1E-12,Y3685&gt;0,Z3685&gt;0),AA3685,1E+300)</f>
        <v/>
      </c>
    </row>
    <row r="3686">
      <c r="A3686">
        <f>$B$3+$B$5*60</f>
        <v/>
      </c>
      <c r="B3686">
        <f>$B$3+$B$5*14</f>
        <v/>
      </c>
      <c r="C3686">
        <f>SUMPRODUCT(Calc!$K$3:$K$22*(Calc!$G$3:$G$22&lt;=A3686))</f>
        <v/>
      </c>
      <c r="D3686">
        <f>SUMPRODUCT(Calc!$K$3:$K$22*(Calc!$G$3:$G$22&gt;A3686)*(Calc!$G$3:$G$22&lt;B3686))</f>
        <v/>
      </c>
      <c r="E3686">
        <f>SUMPRODUCT(Calc!$K$3:$K$22*(Calc!$G$3:$G$22&gt;=B3686))</f>
        <v/>
      </c>
      <c r="F3686">
        <f>AND(k_n&gt;=5,B3686&gt;A3686+1E-9,C3686&gt;=2,D3686&gt;=1,E3686&gt;=2)</f>
        <v/>
      </c>
      <c r="G3686">
        <f>SUMPRODUCT(Calc!$K$3:$K$22*(Calc!$G$3:$G$22&gt;A3686)*(Calc!$G$3:$G$22-A3686))</f>
        <v/>
      </c>
      <c r="H3686">
        <f>SUMPRODUCT(Calc!$K$3:$K$22*(Calc!$G$3:$G$22&gt;B3686)*(Calc!$G$3:$G$22-B3686))</f>
        <v/>
      </c>
      <c r="I3686">
        <f>SUMPRODUCT(Calc!$K$3:$K$22*(Calc!$G$3:$G$22&gt;A3686)*(Calc!$G$3:$G$22-A3686)^2)</f>
        <v/>
      </c>
      <c r="J3686">
        <f>SUMPRODUCT(Calc!$K$3:$K$22*(Calc!$G$3:$G$22&gt;B3686)*(Calc!$G$3:$G$22-B3686)^2)</f>
        <v/>
      </c>
      <c r="K3686">
        <f>SUMPRODUCT(Calc!$K$3:$K$22*(Calc!$G$3:$G$22&gt;A3686)*(Calc!$G$3:$G$22-A3686)*(Calc!$G$3:$G$22&gt;B3686)*(Calc!$G$3:$G$22-B3686))</f>
        <v/>
      </c>
      <c r="L3686">
        <f>SUMPRODUCT(Calc!$K$3:$K$22*(Calc!$G$3:$G$22&gt;A3686)*(Calc!$G$3:$G$22-A3686)*Calc!$G$3:$G$22)</f>
        <v/>
      </c>
      <c r="M3686">
        <f>SUMPRODUCT(Calc!$K$3:$K$22*(Calc!$G$3:$G$22&gt;B3686)*(Calc!$G$3:$G$22-B3686)*Calc!$G$3:$G$22)</f>
        <v/>
      </c>
      <c r="N3686">
        <f>SUMPRODUCT(Calc!$K$3:$K$22*(Calc!$G$3:$G$22&gt;A3686)*(Calc!$G$3:$G$22-A3686)*Calc!$I$3:$I$22)</f>
        <v/>
      </c>
      <c r="O3686">
        <f>SUMPRODUCT(Calc!$K$3:$K$22*(Calc!$G$3:$G$22&gt;B3686)*(Calc!$G$3:$G$22-B3686)*Calc!$I$3:$I$22)</f>
        <v/>
      </c>
      <c r="P3686">
        <f>I3686-G3686^2/k_n</f>
        <v/>
      </c>
      <c r="Q3686">
        <f>J3686-H3686^2/k_n</f>
        <v/>
      </c>
      <c r="R3686">
        <f>K3686-G3686*H3686/k_n</f>
        <v/>
      </c>
      <c r="S3686">
        <f>L3686-LTP3!$D$3*G3686/k_n</f>
        <v/>
      </c>
      <c r="T3686">
        <f>M3686-LTP3!$D$3*H3686/k_n</f>
        <v/>
      </c>
      <c r="U3686">
        <f>N3686-G3686*LTP3!$D$4/k_n</f>
        <v/>
      </c>
      <c r="V3686">
        <f>O3686-H3686*LTP3!$D$4/k_n</f>
        <v/>
      </c>
      <c r="W3686">
        <f>((LTP3!$D$5)*((P3686)*(Q3686)-(R3686)*(R3686))-(S3686)*((S3686)*(Q3686)-(R3686)*(T3686))+(T3686)*((S3686)*(R3686)-(P3686)*(T3686)))</f>
        <v/>
      </c>
      <c r="X3686">
        <f>IF(ABS(W3686)&gt;1E-12,((LTP3!$D$6)*((P3686)*(Q3686)-(R3686)*(R3686))-(S3686)*((U3686)*(Q3686)-(R3686)*(V3686))+(T3686)*((U3686)*(R3686)-(P3686)*(V3686)))/W3686,0)</f>
        <v/>
      </c>
      <c r="Y3686">
        <f>IF(ABS(W3686)&gt;1E-12,((LTP3!$D$5)*((U3686)*(Q3686)-(R3686)*(V3686))-(LTP3!$D$6)*((S3686)*(Q3686)-(R3686)*(T3686))+(T3686)*((S3686)*(V3686)-(U3686)*(T3686)))/W3686,0)</f>
        <v/>
      </c>
      <c r="Z3686">
        <f>IF(ABS(W3686)&gt;1E-12,((LTP3!$D$5)*((P3686)*(V3686)-(U3686)*(R3686))-(S3686)*((S3686)*(V3686)-(U3686)*(T3686))+(LTP3!$D$6)*((S3686)*(R3686)-(P3686)*(T3686)))/W3686,0)</f>
        <v/>
      </c>
      <c r="AA3686">
        <f>LTP3!$D$7-X3686*LTP3!$D$6-Y3686*U3686-Z3686*V3686</f>
        <v/>
      </c>
      <c r="AB3686">
        <f>IF(AND(F3686,ABS(W3686)&gt;1E-12,Y3686&gt;0,Z3686&gt;0),AA3686,1E+300)</f>
        <v/>
      </c>
    </row>
    <row r="3687">
      <c r="A3687">
        <f>$B$3+$B$5*60</f>
        <v/>
      </c>
      <c r="B3687">
        <f>$B$3+$B$5*15</f>
        <v/>
      </c>
      <c r="C3687">
        <f>SUMPRODUCT(Calc!$K$3:$K$22*(Calc!$G$3:$G$22&lt;=A3687))</f>
        <v/>
      </c>
      <c r="D3687">
        <f>SUMPRODUCT(Calc!$K$3:$K$22*(Calc!$G$3:$G$22&gt;A3687)*(Calc!$G$3:$G$22&lt;B3687))</f>
        <v/>
      </c>
      <c r="E3687">
        <f>SUMPRODUCT(Calc!$K$3:$K$22*(Calc!$G$3:$G$22&gt;=B3687))</f>
        <v/>
      </c>
      <c r="F3687">
        <f>AND(k_n&gt;=5,B3687&gt;A3687+1E-9,C3687&gt;=2,D3687&gt;=1,E3687&gt;=2)</f>
        <v/>
      </c>
      <c r="G3687">
        <f>SUMPRODUCT(Calc!$K$3:$K$22*(Calc!$G$3:$G$22&gt;A3687)*(Calc!$G$3:$G$22-A3687))</f>
        <v/>
      </c>
      <c r="H3687">
        <f>SUMPRODUCT(Calc!$K$3:$K$22*(Calc!$G$3:$G$22&gt;B3687)*(Calc!$G$3:$G$22-B3687))</f>
        <v/>
      </c>
      <c r="I3687">
        <f>SUMPRODUCT(Calc!$K$3:$K$22*(Calc!$G$3:$G$22&gt;A3687)*(Calc!$G$3:$G$22-A3687)^2)</f>
        <v/>
      </c>
      <c r="J3687">
        <f>SUMPRODUCT(Calc!$K$3:$K$22*(Calc!$G$3:$G$22&gt;B3687)*(Calc!$G$3:$G$22-B3687)^2)</f>
        <v/>
      </c>
      <c r="K3687">
        <f>SUMPRODUCT(Calc!$K$3:$K$22*(Calc!$G$3:$G$22&gt;A3687)*(Calc!$G$3:$G$22-A3687)*(Calc!$G$3:$G$22&gt;B3687)*(Calc!$G$3:$G$22-B3687))</f>
        <v/>
      </c>
      <c r="L3687">
        <f>SUMPRODUCT(Calc!$K$3:$K$22*(Calc!$G$3:$G$22&gt;A3687)*(Calc!$G$3:$G$22-A3687)*Calc!$G$3:$G$22)</f>
        <v/>
      </c>
      <c r="M3687">
        <f>SUMPRODUCT(Calc!$K$3:$K$22*(Calc!$G$3:$G$22&gt;B3687)*(Calc!$G$3:$G$22-B3687)*Calc!$G$3:$G$22)</f>
        <v/>
      </c>
      <c r="N3687">
        <f>SUMPRODUCT(Calc!$K$3:$K$22*(Calc!$G$3:$G$22&gt;A3687)*(Calc!$G$3:$G$22-A3687)*Calc!$I$3:$I$22)</f>
        <v/>
      </c>
      <c r="O3687">
        <f>SUMPRODUCT(Calc!$K$3:$K$22*(Calc!$G$3:$G$22&gt;B3687)*(Calc!$G$3:$G$22-B3687)*Calc!$I$3:$I$22)</f>
        <v/>
      </c>
      <c r="P3687">
        <f>I3687-G3687^2/k_n</f>
        <v/>
      </c>
      <c r="Q3687">
        <f>J3687-H3687^2/k_n</f>
        <v/>
      </c>
      <c r="R3687">
        <f>K3687-G3687*H3687/k_n</f>
        <v/>
      </c>
      <c r="S3687">
        <f>L3687-LTP3!$D$3*G3687/k_n</f>
        <v/>
      </c>
      <c r="T3687">
        <f>M3687-LTP3!$D$3*H3687/k_n</f>
        <v/>
      </c>
      <c r="U3687">
        <f>N3687-G3687*LTP3!$D$4/k_n</f>
        <v/>
      </c>
      <c r="V3687">
        <f>O3687-H3687*LTP3!$D$4/k_n</f>
        <v/>
      </c>
      <c r="W3687">
        <f>((LTP3!$D$5)*((P3687)*(Q3687)-(R3687)*(R3687))-(S3687)*((S3687)*(Q3687)-(R3687)*(T3687))+(T3687)*((S3687)*(R3687)-(P3687)*(T3687)))</f>
        <v/>
      </c>
      <c r="X3687">
        <f>IF(ABS(W3687)&gt;1E-12,((LTP3!$D$6)*((P3687)*(Q3687)-(R3687)*(R3687))-(S3687)*((U3687)*(Q3687)-(R3687)*(V3687))+(T3687)*((U3687)*(R3687)-(P3687)*(V3687)))/W3687,0)</f>
        <v/>
      </c>
      <c r="Y3687">
        <f>IF(ABS(W3687)&gt;1E-12,((LTP3!$D$5)*((U3687)*(Q3687)-(R3687)*(V3687))-(LTP3!$D$6)*((S3687)*(Q3687)-(R3687)*(T3687))+(T3687)*((S3687)*(V3687)-(U3687)*(T3687)))/W3687,0)</f>
        <v/>
      </c>
      <c r="Z3687">
        <f>IF(ABS(W3687)&gt;1E-12,((LTP3!$D$5)*((P3687)*(V3687)-(U3687)*(R3687))-(S3687)*((S3687)*(V3687)-(U3687)*(T3687))+(LTP3!$D$6)*((S3687)*(R3687)-(P3687)*(T3687)))/W3687,0)</f>
        <v/>
      </c>
      <c r="AA3687">
        <f>LTP3!$D$7-X3687*LTP3!$D$6-Y3687*U3687-Z3687*V3687</f>
        <v/>
      </c>
      <c r="AB3687">
        <f>IF(AND(F3687,ABS(W3687)&gt;1E-12,Y3687&gt;0,Z3687&gt;0),AA3687,1E+300)</f>
        <v/>
      </c>
    </row>
    <row r="3688">
      <c r="A3688">
        <f>$B$3+$B$5*60</f>
        <v/>
      </c>
      <c r="B3688">
        <f>$B$3+$B$5*16</f>
        <v/>
      </c>
      <c r="C3688">
        <f>SUMPRODUCT(Calc!$K$3:$K$22*(Calc!$G$3:$G$22&lt;=A3688))</f>
        <v/>
      </c>
      <c r="D3688">
        <f>SUMPRODUCT(Calc!$K$3:$K$22*(Calc!$G$3:$G$22&gt;A3688)*(Calc!$G$3:$G$22&lt;B3688))</f>
        <v/>
      </c>
      <c r="E3688">
        <f>SUMPRODUCT(Calc!$K$3:$K$22*(Calc!$G$3:$G$22&gt;=B3688))</f>
        <v/>
      </c>
      <c r="F3688">
        <f>AND(k_n&gt;=5,B3688&gt;A3688+1E-9,C3688&gt;=2,D3688&gt;=1,E3688&gt;=2)</f>
        <v/>
      </c>
      <c r="G3688">
        <f>SUMPRODUCT(Calc!$K$3:$K$22*(Calc!$G$3:$G$22&gt;A3688)*(Calc!$G$3:$G$22-A3688))</f>
        <v/>
      </c>
      <c r="H3688">
        <f>SUMPRODUCT(Calc!$K$3:$K$22*(Calc!$G$3:$G$22&gt;B3688)*(Calc!$G$3:$G$22-B3688))</f>
        <v/>
      </c>
      <c r="I3688">
        <f>SUMPRODUCT(Calc!$K$3:$K$22*(Calc!$G$3:$G$22&gt;A3688)*(Calc!$G$3:$G$22-A3688)^2)</f>
        <v/>
      </c>
      <c r="J3688">
        <f>SUMPRODUCT(Calc!$K$3:$K$22*(Calc!$G$3:$G$22&gt;B3688)*(Calc!$G$3:$G$22-B3688)^2)</f>
        <v/>
      </c>
      <c r="K3688">
        <f>SUMPRODUCT(Calc!$K$3:$K$22*(Calc!$G$3:$G$22&gt;A3688)*(Calc!$G$3:$G$22-A3688)*(Calc!$G$3:$G$22&gt;B3688)*(Calc!$G$3:$G$22-B3688))</f>
        <v/>
      </c>
      <c r="L3688">
        <f>SUMPRODUCT(Calc!$K$3:$K$22*(Calc!$G$3:$G$22&gt;A3688)*(Calc!$G$3:$G$22-A3688)*Calc!$G$3:$G$22)</f>
        <v/>
      </c>
      <c r="M3688">
        <f>SUMPRODUCT(Calc!$K$3:$K$22*(Calc!$G$3:$G$22&gt;B3688)*(Calc!$G$3:$G$22-B3688)*Calc!$G$3:$G$22)</f>
        <v/>
      </c>
      <c r="N3688">
        <f>SUMPRODUCT(Calc!$K$3:$K$22*(Calc!$G$3:$G$22&gt;A3688)*(Calc!$G$3:$G$22-A3688)*Calc!$I$3:$I$22)</f>
        <v/>
      </c>
      <c r="O3688">
        <f>SUMPRODUCT(Calc!$K$3:$K$22*(Calc!$G$3:$G$22&gt;B3688)*(Calc!$G$3:$G$22-B3688)*Calc!$I$3:$I$22)</f>
        <v/>
      </c>
      <c r="P3688">
        <f>I3688-G3688^2/k_n</f>
        <v/>
      </c>
      <c r="Q3688">
        <f>J3688-H3688^2/k_n</f>
        <v/>
      </c>
      <c r="R3688">
        <f>K3688-G3688*H3688/k_n</f>
        <v/>
      </c>
      <c r="S3688">
        <f>L3688-LTP3!$D$3*G3688/k_n</f>
        <v/>
      </c>
      <c r="T3688">
        <f>M3688-LTP3!$D$3*H3688/k_n</f>
        <v/>
      </c>
      <c r="U3688">
        <f>N3688-G3688*LTP3!$D$4/k_n</f>
        <v/>
      </c>
      <c r="V3688">
        <f>O3688-H3688*LTP3!$D$4/k_n</f>
        <v/>
      </c>
      <c r="W3688">
        <f>((LTP3!$D$5)*((P3688)*(Q3688)-(R3688)*(R3688))-(S3688)*((S3688)*(Q3688)-(R3688)*(T3688))+(T3688)*((S3688)*(R3688)-(P3688)*(T3688)))</f>
        <v/>
      </c>
      <c r="X3688">
        <f>IF(ABS(W3688)&gt;1E-12,((LTP3!$D$6)*((P3688)*(Q3688)-(R3688)*(R3688))-(S3688)*((U3688)*(Q3688)-(R3688)*(V3688))+(T3688)*((U3688)*(R3688)-(P3688)*(V3688)))/W3688,0)</f>
        <v/>
      </c>
      <c r="Y3688">
        <f>IF(ABS(W3688)&gt;1E-12,((LTP3!$D$5)*((U3688)*(Q3688)-(R3688)*(V3688))-(LTP3!$D$6)*((S3688)*(Q3688)-(R3688)*(T3688))+(T3688)*((S3688)*(V3688)-(U3688)*(T3688)))/W3688,0)</f>
        <v/>
      </c>
      <c r="Z3688">
        <f>IF(ABS(W3688)&gt;1E-12,((LTP3!$D$5)*((P3688)*(V3688)-(U3688)*(R3688))-(S3688)*((S3688)*(V3688)-(U3688)*(T3688))+(LTP3!$D$6)*((S3688)*(R3688)-(P3688)*(T3688)))/W3688,0)</f>
        <v/>
      </c>
      <c r="AA3688">
        <f>LTP3!$D$7-X3688*LTP3!$D$6-Y3688*U3688-Z3688*V3688</f>
        <v/>
      </c>
      <c r="AB3688">
        <f>IF(AND(F3688,ABS(W3688)&gt;1E-12,Y3688&gt;0,Z3688&gt;0),AA3688,1E+300)</f>
        <v/>
      </c>
    </row>
    <row r="3689">
      <c r="A3689">
        <f>$B$3+$B$5*60</f>
        <v/>
      </c>
      <c r="B3689">
        <f>$B$3+$B$5*17</f>
        <v/>
      </c>
      <c r="C3689">
        <f>SUMPRODUCT(Calc!$K$3:$K$22*(Calc!$G$3:$G$22&lt;=A3689))</f>
        <v/>
      </c>
      <c r="D3689">
        <f>SUMPRODUCT(Calc!$K$3:$K$22*(Calc!$G$3:$G$22&gt;A3689)*(Calc!$G$3:$G$22&lt;B3689))</f>
        <v/>
      </c>
      <c r="E3689">
        <f>SUMPRODUCT(Calc!$K$3:$K$22*(Calc!$G$3:$G$22&gt;=B3689))</f>
        <v/>
      </c>
      <c r="F3689">
        <f>AND(k_n&gt;=5,B3689&gt;A3689+1E-9,C3689&gt;=2,D3689&gt;=1,E3689&gt;=2)</f>
        <v/>
      </c>
      <c r="G3689">
        <f>SUMPRODUCT(Calc!$K$3:$K$22*(Calc!$G$3:$G$22&gt;A3689)*(Calc!$G$3:$G$22-A3689))</f>
        <v/>
      </c>
      <c r="H3689">
        <f>SUMPRODUCT(Calc!$K$3:$K$22*(Calc!$G$3:$G$22&gt;B3689)*(Calc!$G$3:$G$22-B3689))</f>
        <v/>
      </c>
      <c r="I3689">
        <f>SUMPRODUCT(Calc!$K$3:$K$22*(Calc!$G$3:$G$22&gt;A3689)*(Calc!$G$3:$G$22-A3689)^2)</f>
        <v/>
      </c>
      <c r="J3689">
        <f>SUMPRODUCT(Calc!$K$3:$K$22*(Calc!$G$3:$G$22&gt;B3689)*(Calc!$G$3:$G$22-B3689)^2)</f>
        <v/>
      </c>
      <c r="K3689">
        <f>SUMPRODUCT(Calc!$K$3:$K$22*(Calc!$G$3:$G$22&gt;A3689)*(Calc!$G$3:$G$22-A3689)*(Calc!$G$3:$G$22&gt;B3689)*(Calc!$G$3:$G$22-B3689))</f>
        <v/>
      </c>
      <c r="L3689">
        <f>SUMPRODUCT(Calc!$K$3:$K$22*(Calc!$G$3:$G$22&gt;A3689)*(Calc!$G$3:$G$22-A3689)*Calc!$G$3:$G$22)</f>
        <v/>
      </c>
      <c r="M3689">
        <f>SUMPRODUCT(Calc!$K$3:$K$22*(Calc!$G$3:$G$22&gt;B3689)*(Calc!$G$3:$G$22-B3689)*Calc!$G$3:$G$22)</f>
        <v/>
      </c>
      <c r="N3689">
        <f>SUMPRODUCT(Calc!$K$3:$K$22*(Calc!$G$3:$G$22&gt;A3689)*(Calc!$G$3:$G$22-A3689)*Calc!$I$3:$I$22)</f>
        <v/>
      </c>
      <c r="O3689">
        <f>SUMPRODUCT(Calc!$K$3:$K$22*(Calc!$G$3:$G$22&gt;B3689)*(Calc!$G$3:$G$22-B3689)*Calc!$I$3:$I$22)</f>
        <v/>
      </c>
      <c r="P3689">
        <f>I3689-G3689^2/k_n</f>
        <v/>
      </c>
      <c r="Q3689">
        <f>J3689-H3689^2/k_n</f>
        <v/>
      </c>
      <c r="R3689">
        <f>K3689-G3689*H3689/k_n</f>
        <v/>
      </c>
      <c r="S3689">
        <f>L3689-LTP3!$D$3*G3689/k_n</f>
        <v/>
      </c>
      <c r="T3689">
        <f>M3689-LTP3!$D$3*H3689/k_n</f>
        <v/>
      </c>
      <c r="U3689">
        <f>N3689-G3689*LTP3!$D$4/k_n</f>
        <v/>
      </c>
      <c r="V3689">
        <f>O3689-H3689*LTP3!$D$4/k_n</f>
        <v/>
      </c>
      <c r="W3689">
        <f>((LTP3!$D$5)*((P3689)*(Q3689)-(R3689)*(R3689))-(S3689)*((S3689)*(Q3689)-(R3689)*(T3689))+(T3689)*((S3689)*(R3689)-(P3689)*(T3689)))</f>
        <v/>
      </c>
      <c r="X3689">
        <f>IF(ABS(W3689)&gt;1E-12,((LTP3!$D$6)*((P3689)*(Q3689)-(R3689)*(R3689))-(S3689)*((U3689)*(Q3689)-(R3689)*(V3689))+(T3689)*((U3689)*(R3689)-(P3689)*(V3689)))/W3689,0)</f>
        <v/>
      </c>
      <c r="Y3689">
        <f>IF(ABS(W3689)&gt;1E-12,((LTP3!$D$5)*((U3689)*(Q3689)-(R3689)*(V3689))-(LTP3!$D$6)*((S3689)*(Q3689)-(R3689)*(T3689))+(T3689)*((S3689)*(V3689)-(U3689)*(T3689)))/W3689,0)</f>
        <v/>
      </c>
      <c r="Z3689">
        <f>IF(ABS(W3689)&gt;1E-12,((LTP3!$D$5)*((P3689)*(V3689)-(U3689)*(R3689))-(S3689)*((S3689)*(V3689)-(U3689)*(T3689))+(LTP3!$D$6)*((S3689)*(R3689)-(P3689)*(T3689)))/W3689,0)</f>
        <v/>
      </c>
      <c r="AA3689">
        <f>LTP3!$D$7-X3689*LTP3!$D$6-Y3689*U3689-Z3689*V3689</f>
        <v/>
      </c>
      <c r="AB3689">
        <f>IF(AND(F3689,ABS(W3689)&gt;1E-12,Y3689&gt;0,Z3689&gt;0),AA3689,1E+300)</f>
        <v/>
      </c>
    </row>
    <row r="3690">
      <c r="A3690">
        <f>$B$3+$B$5*60</f>
        <v/>
      </c>
      <c r="B3690">
        <f>$B$3+$B$5*18</f>
        <v/>
      </c>
      <c r="C3690">
        <f>SUMPRODUCT(Calc!$K$3:$K$22*(Calc!$G$3:$G$22&lt;=A3690))</f>
        <v/>
      </c>
      <c r="D3690">
        <f>SUMPRODUCT(Calc!$K$3:$K$22*(Calc!$G$3:$G$22&gt;A3690)*(Calc!$G$3:$G$22&lt;B3690))</f>
        <v/>
      </c>
      <c r="E3690">
        <f>SUMPRODUCT(Calc!$K$3:$K$22*(Calc!$G$3:$G$22&gt;=B3690))</f>
        <v/>
      </c>
      <c r="F3690">
        <f>AND(k_n&gt;=5,B3690&gt;A3690+1E-9,C3690&gt;=2,D3690&gt;=1,E3690&gt;=2)</f>
        <v/>
      </c>
      <c r="G3690">
        <f>SUMPRODUCT(Calc!$K$3:$K$22*(Calc!$G$3:$G$22&gt;A3690)*(Calc!$G$3:$G$22-A3690))</f>
        <v/>
      </c>
      <c r="H3690">
        <f>SUMPRODUCT(Calc!$K$3:$K$22*(Calc!$G$3:$G$22&gt;B3690)*(Calc!$G$3:$G$22-B3690))</f>
        <v/>
      </c>
      <c r="I3690">
        <f>SUMPRODUCT(Calc!$K$3:$K$22*(Calc!$G$3:$G$22&gt;A3690)*(Calc!$G$3:$G$22-A3690)^2)</f>
        <v/>
      </c>
      <c r="J3690">
        <f>SUMPRODUCT(Calc!$K$3:$K$22*(Calc!$G$3:$G$22&gt;B3690)*(Calc!$G$3:$G$22-B3690)^2)</f>
        <v/>
      </c>
      <c r="K3690">
        <f>SUMPRODUCT(Calc!$K$3:$K$22*(Calc!$G$3:$G$22&gt;A3690)*(Calc!$G$3:$G$22-A3690)*(Calc!$G$3:$G$22&gt;B3690)*(Calc!$G$3:$G$22-B3690))</f>
        <v/>
      </c>
      <c r="L3690">
        <f>SUMPRODUCT(Calc!$K$3:$K$22*(Calc!$G$3:$G$22&gt;A3690)*(Calc!$G$3:$G$22-A3690)*Calc!$G$3:$G$22)</f>
        <v/>
      </c>
      <c r="M3690">
        <f>SUMPRODUCT(Calc!$K$3:$K$22*(Calc!$G$3:$G$22&gt;B3690)*(Calc!$G$3:$G$22-B3690)*Calc!$G$3:$G$22)</f>
        <v/>
      </c>
      <c r="N3690">
        <f>SUMPRODUCT(Calc!$K$3:$K$22*(Calc!$G$3:$G$22&gt;A3690)*(Calc!$G$3:$G$22-A3690)*Calc!$I$3:$I$22)</f>
        <v/>
      </c>
      <c r="O3690">
        <f>SUMPRODUCT(Calc!$K$3:$K$22*(Calc!$G$3:$G$22&gt;B3690)*(Calc!$G$3:$G$22-B3690)*Calc!$I$3:$I$22)</f>
        <v/>
      </c>
      <c r="P3690">
        <f>I3690-G3690^2/k_n</f>
        <v/>
      </c>
      <c r="Q3690">
        <f>J3690-H3690^2/k_n</f>
        <v/>
      </c>
      <c r="R3690">
        <f>K3690-G3690*H3690/k_n</f>
        <v/>
      </c>
      <c r="S3690">
        <f>L3690-LTP3!$D$3*G3690/k_n</f>
        <v/>
      </c>
      <c r="T3690">
        <f>M3690-LTP3!$D$3*H3690/k_n</f>
        <v/>
      </c>
      <c r="U3690">
        <f>N3690-G3690*LTP3!$D$4/k_n</f>
        <v/>
      </c>
      <c r="V3690">
        <f>O3690-H3690*LTP3!$D$4/k_n</f>
        <v/>
      </c>
      <c r="W3690">
        <f>((LTP3!$D$5)*((P3690)*(Q3690)-(R3690)*(R3690))-(S3690)*((S3690)*(Q3690)-(R3690)*(T3690))+(T3690)*((S3690)*(R3690)-(P3690)*(T3690)))</f>
        <v/>
      </c>
      <c r="X3690">
        <f>IF(ABS(W3690)&gt;1E-12,((LTP3!$D$6)*((P3690)*(Q3690)-(R3690)*(R3690))-(S3690)*((U3690)*(Q3690)-(R3690)*(V3690))+(T3690)*((U3690)*(R3690)-(P3690)*(V3690)))/W3690,0)</f>
        <v/>
      </c>
      <c r="Y3690">
        <f>IF(ABS(W3690)&gt;1E-12,((LTP3!$D$5)*((U3690)*(Q3690)-(R3690)*(V3690))-(LTP3!$D$6)*((S3690)*(Q3690)-(R3690)*(T3690))+(T3690)*((S3690)*(V3690)-(U3690)*(T3690)))/W3690,0)</f>
        <v/>
      </c>
      <c r="Z3690">
        <f>IF(ABS(W3690)&gt;1E-12,((LTP3!$D$5)*((P3690)*(V3690)-(U3690)*(R3690))-(S3690)*((S3690)*(V3690)-(U3690)*(T3690))+(LTP3!$D$6)*((S3690)*(R3690)-(P3690)*(T3690)))/W3690,0)</f>
        <v/>
      </c>
      <c r="AA3690">
        <f>LTP3!$D$7-X3690*LTP3!$D$6-Y3690*U3690-Z3690*V3690</f>
        <v/>
      </c>
      <c r="AB3690">
        <f>IF(AND(F3690,ABS(W3690)&gt;1E-12,Y3690&gt;0,Z3690&gt;0),AA3690,1E+300)</f>
        <v/>
      </c>
    </row>
    <row r="3691">
      <c r="A3691">
        <f>$B$3+$B$5*60</f>
        <v/>
      </c>
      <c r="B3691">
        <f>$B$3+$B$5*19</f>
        <v/>
      </c>
      <c r="C3691">
        <f>SUMPRODUCT(Calc!$K$3:$K$22*(Calc!$G$3:$G$22&lt;=A3691))</f>
        <v/>
      </c>
      <c r="D3691">
        <f>SUMPRODUCT(Calc!$K$3:$K$22*(Calc!$G$3:$G$22&gt;A3691)*(Calc!$G$3:$G$22&lt;B3691))</f>
        <v/>
      </c>
      <c r="E3691">
        <f>SUMPRODUCT(Calc!$K$3:$K$22*(Calc!$G$3:$G$22&gt;=B3691))</f>
        <v/>
      </c>
      <c r="F3691">
        <f>AND(k_n&gt;=5,B3691&gt;A3691+1E-9,C3691&gt;=2,D3691&gt;=1,E3691&gt;=2)</f>
        <v/>
      </c>
      <c r="G3691">
        <f>SUMPRODUCT(Calc!$K$3:$K$22*(Calc!$G$3:$G$22&gt;A3691)*(Calc!$G$3:$G$22-A3691))</f>
        <v/>
      </c>
      <c r="H3691">
        <f>SUMPRODUCT(Calc!$K$3:$K$22*(Calc!$G$3:$G$22&gt;B3691)*(Calc!$G$3:$G$22-B3691))</f>
        <v/>
      </c>
      <c r="I3691">
        <f>SUMPRODUCT(Calc!$K$3:$K$22*(Calc!$G$3:$G$22&gt;A3691)*(Calc!$G$3:$G$22-A3691)^2)</f>
        <v/>
      </c>
      <c r="J3691">
        <f>SUMPRODUCT(Calc!$K$3:$K$22*(Calc!$G$3:$G$22&gt;B3691)*(Calc!$G$3:$G$22-B3691)^2)</f>
        <v/>
      </c>
      <c r="K3691">
        <f>SUMPRODUCT(Calc!$K$3:$K$22*(Calc!$G$3:$G$22&gt;A3691)*(Calc!$G$3:$G$22-A3691)*(Calc!$G$3:$G$22&gt;B3691)*(Calc!$G$3:$G$22-B3691))</f>
        <v/>
      </c>
      <c r="L3691">
        <f>SUMPRODUCT(Calc!$K$3:$K$22*(Calc!$G$3:$G$22&gt;A3691)*(Calc!$G$3:$G$22-A3691)*Calc!$G$3:$G$22)</f>
        <v/>
      </c>
      <c r="M3691">
        <f>SUMPRODUCT(Calc!$K$3:$K$22*(Calc!$G$3:$G$22&gt;B3691)*(Calc!$G$3:$G$22-B3691)*Calc!$G$3:$G$22)</f>
        <v/>
      </c>
      <c r="N3691">
        <f>SUMPRODUCT(Calc!$K$3:$K$22*(Calc!$G$3:$G$22&gt;A3691)*(Calc!$G$3:$G$22-A3691)*Calc!$I$3:$I$22)</f>
        <v/>
      </c>
      <c r="O3691">
        <f>SUMPRODUCT(Calc!$K$3:$K$22*(Calc!$G$3:$G$22&gt;B3691)*(Calc!$G$3:$G$22-B3691)*Calc!$I$3:$I$22)</f>
        <v/>
      </c>
      <c r="P3691">
        <f>I3691-G3691^2/k_n</f>
        <v/>
      </c>
      <c r="Q3691">
        <f>J3691-H3691^2/k_n</f>
        <v/>
      </c>
      <c r="R3691">
        <f>K3691-G3691*H3691/k_n</f>
        <v/>
      </c>
      <c r="S3691">
        <f>L3691-LTP3!$D$3*G3691/k_n</f>
        <v/>
      </c>
      <c r="T3691">
        <f>M3691-LTP3!$D$3*H3691/k_n</f>
        <v/>
      </c>
      <c r="U3691">
        <f>N3691-G3691*LTP3!$D$4/k_n</f>
        <v/>
      </c>
      <c r="V3691">
        <f>O3691-H3691*LTP3!$D$4/k_n</f>
        <v/>
      </c>
      <c r="W3691">
        <f>((LTP3!$D$5)*((P3691)*(Q3691)-(R3691)*(R3691))-(S3691)*((S3691)*(Q3691)-(R3691)*(T3691))+(T3691)*((S3691)*(R3691)-(P3691)*(T3691)))</f>
        <v/>
      </c>
      <c r="X3691">
        <f>IF(ABS(W3691)&gt;1E-12,((LTP3!$D$6)*((P3691)*(Q3691)-(R3691)*(R3691))-(S3691)*((U3691)*(Q3691)-(R3691)*(V3691))+(T3691)*((U3691)*(R3691)-(P3691)*(V3691)))/W3691,0)</f>
        <v/>
      </c>
      <c r="Y3691">
        <f>IF(ABS(W3691)&gt;1E-12,((LTP3!$D$5)*((U3691)*(Q3691)-(R3691)*(V3691))-(LTP3!$D$6)*((S3691)*(Q3691)-(R3691)*(T3691))+(T3691)*((S3691)*(V3691)-(U3691)*(T3691)))/W3691,0)</f>
        <v/>
      </c>
      <c r="Z3691">
        <f>IF(ABS(W3691)&gt;1E-12,((LTP3!$D$5)*((P3691)*(V3691)-(U3691)*(R3691))-(S3691)*((S3691)*(V3691)-(U3691)*(T3691))+(LTP3!$D$6)*((S3691)*(R3691)-(P3691)*(T3691)))/W3691,0)</f>
        <v/>
      </c>
      <c r="AA3691">
        <f>LTP3!$D$7-X3691*LTP3!$D$6-Y3691*U3691-Z3691*V3691</f>
        <v/>
      </c>
      <c r="AB3691">
        <f>IF(AND(F3691,ABS(W3691)&gt;1E-12,Y3691&gt;0,Z3691&gt;0),AA3691,1E+300)</f>
        <v/>
      </c>
    </row>
    <row r="3692">
      <c r="A3692">
        <f>$B$3+$B$5*60</f>
        <v/>
      </c>
      <c r="B3692">
        <f>$B$3+$B$5*20</f>
        <v/>
      </c>
      <c r="C3692">
        <f>SUMPRODUCT(Calc!$K$3:$K$22*(Calc!$G$3:$G$22&lt;=A3692))</f>
        <v/>
      </c>
      <c r="D3692">
        <f>SUMPRODUCT(Calc!$K$3:$K$22*(Calc!$G$3:$G$22&gt;A3692)*(Calc!$G$3:$G$22&lt;B3692))</f>
        <v/>
      </c>
      <c r="E3692">
        <f>SUMPRODUCT(Calc!$K$3:$K$22*(Calc!$G$3:$G$22&gt;=B3692))</f>
        <v/>
      </c>
      <c r="F3692">
        <f>AND(k_n&gt;=5,B3692&gt;A3692+1E-9,C3692&gt;=2,D3692&gt;=1,E3692&gt;=2)</f>
        <v/>
      </c>
      <c r="G3692">
        <f>SUMPRODUCT(Calc!$K$3:$K$22*(Calc!$G$3:$G$22&gt;A3692)*(Calc!$G$3:$G$22-A3692))</f>
        <v/>
      </c>
      <c r="H3692">
        <f>SUMPRODUCT(Calc!$K$3:$K$22*(Calc!$G$3:$G$22&gt;B3692)*(Calc!$G$3:$G$22-B3692))</f>
        <v/>
      </c>
      <c r="I3692">
        <f>SUMPRODUCT(Calc!$K$3:$K$22*(Calc!$G$3:$G$22&gt;A3692)*(Calc!$G$3:$G$22-A3692)^2)</f>
        <v/>
      </c>
      <c r="J3692">
        <f>SUMPRODUCT(Calc!$K$3:$K$22*(Calc!$G$3:$G$22&gt;B3692)*(Calc!$G$3:$G$22-B3692)^2)</f>
        <v/>
      </c>
      <c r="K3692">
        <f>SUMPRODUCT(Calc!$K$3:$K$22*(Calc!$G$3:$G$22&gt;A3692)*(Calc!$G$3:$G$22-A3692)*(Calc!$G$3:$G$22&gt;B3692)*(Calc!$G$3:$G$22-B3692))</f>
        <v/>
      </c>
      <c r="L3692">
        <f>SUMPRODUCT(Calc!$K$3:$K$22*(Calc!$G$3:$G$22&gt;A3692)*(Calc!$G$3:$G$22-A3692)*Calc!$G$3:$G$22)</f>
        <v/>
      </c>
      <c r="M3692">
        <f>SUMPRODUCT(Calc!$K$3:$K$22*(Calc!$G$3:$G$22&gt;B3692)*(Calc!$G$3:$G$22-B3692)*Calc!$G$3:$G$22)</f>
        <v/>
      </c>
      <c r="N3692">
        <f>SUMPRODUCT(Calc!$K$3:$K$22*(Calc!$G$3:$G$22&gt;A3692)*(Calc!$G$3:$G$22-A3692)*Calc!$I$3:$I$22)</f>
        <v/>
      </c>
      <c r="O3692">
        <f>SUMPRODUCT(Calc!$K$3:$K$22*(Calc!$G$3:$G$22&gt;B3692)*(Calc!$G$3:$G$22-B3692)*Calc!$I$3:$I$22)</f>
        <v/>
      </c>
      <c r="P3692">
        <f>I3692-G3692^2/k_n</f>
        <v/>
      </c>
      <c r="Q3692">
        <f>J3692-H3692^2/k_n</f>
        <v/>
      </c>
      <c r="R3692">
        <f>K3692-G3692*H3692/k_n</f>
        <v/>
      </c>
      <c r="S3692">
        <f>L3692-LTP3!$D$3*G3692/k_n</f>
        <v/>
      </c>
      <c r="T3692">
        <f>M3692-LTP3!$D$3*H3692/k_n</f>
        <v/>
      </c>
      <c r="U3692">
        <f>N3692-G3692*LTP3!$D$4/k_n</f>
        <v/>
      </c>
      <c r="V3692">
        <f>O3692-H3692*LTP3!$D$4/k_n</f>
        <v/>
      </c>
      <c r="W3692">
        <f>((LTP3!$D$5)*((P3692)*(Q3692)-(R3692)*(R3692))-(S3692)*((S3692)*(Q3692)-(R3692)*(T3692))+(T3692)*((S3692)*(R3692)-(P3692)*(T3692)))</f>
        <v/>
      </c>
      <c r="X3692">
        <f>IF(ABS(W3692)&gt;1E-12,((LTP3!$D$6)*((P3692)*(Q3692)-(R3692)*(R3692))-(S3692)*((U3692)*(Q3692)-(R3692)*(V3692))+(T3692)*((U3692)*(R3692)-(P3692)*(V3692)))/W3692,0)</f>
        <v/>
      </c>
      <c r="Y3692">
        <f>IF(ABS(W3692)&gt;1E-12,((LTP3!$D$5)*((U3692)*(Q3692)-(R3692)*(V3692))-(LTP3!$D$6)*((S3692)*(Q3692)-(R3692)*(T3692))+(T3692)*((S3692)*(V3692)-(U3692)*(T3692)))/W3692,0)</f>
        <v/>
      </c>
      <c r="Z3692">
        <f>IF(ABS(W3692)&gt;1E-12,((LTP3!$D$5)*((P3692)*(V3692)-(U3692)*(R3692))-(S3692)*((S3692)*(V3692)-(U3692)*(T3692))+(LTP3!$D$6)*((S3692)*(R3692)-(P3692)*(T3692)))/W3692,0)</f>
        <v/>
      </c>
      <c r="AA3692">
        <f>LTP3!$D$7-X3692*LTP3!$D$6-Y3692*U3692-Z3692*V3692</f>
        <v/>
      </c>
      <c r="AB3692">
        <f>IF(AND(F3692,ABS(W3692)&gt;1E-12,Y3692&gt;0,Z3692&gt;0),AA3692,1E+300)</f>
        <v/>
      </c>
    </row>
    <row r="3693">
      <c r="A3693">
        <f>$B$3+$B$5*60</f>
        <v/>
      </c>
      <c r="B3693">
        <f>$B$3+$B$5*21</f>
        <v/>
      </c>
      <c r="C3693">
        <f>SUMPRODUCT(Calc!$K$3:$K$22*(Calc!$G$3:$G$22&lt;=A3693))</f>
        <v/>
      </c>
      <c r="D3693">
        <f>SUMPRODUCT(Calc!$K$3:$K$22*(Calc!$G$3:$G$22&gt;A3693)*(Calc!$G$3:$G$22&lt;B3693))</f>
        <v/>
      </c>
      <c r="E3693">
        <f>SUMPRODUCT(Calc!$K$3:$K$22*(Calc!$G$3:$G$22&gt;=B3693))</f>
        <v/>
      </c>
      <c r="F3693">
        <f>AND(k_n&gt;=5,B3693&gt;A3693+1E-9,C3693&gt;=2,D3693&gt;=1,E3693&gt;=2)</f>
        <v/>
      </c>
      <c r="G3693">
        <f>SUMPRODUCT(Calc!$K$3:$K$22*(Calc!$G$3:$G$22&gt;A3693)*(Calc!$G$3:$G$22-A3693))</f>
        <v/>
      </c>
      <c r="H3693">
        <f>SUMPRODUCT(Calc!$K$3:$K$22*(Calc!$G$3:$G$22&gt;B3693)*(Calc!$G$3:$G$22-B3693))</f>
        <v/>
      </c>
      <c r="I3693">
        <f>SUMPRODUCT(Calc!$K$3:$K$22*(Calc!$G$3:$G$22&gt;A3693)*(Calc!$G$3:$G$22-A3693)^2)</f>
        <v/>
      </c>
      <c r="J3693">
        <f>SUMPRODUCT(Calc!$K$3:$K$22*(Calc!$G$3:$G$22&gt;B3693)*(Calc!$G$3:$G$22-B3693)^2)</f>
        <v/>
      </c>
      <c r="K3693">
        <f>SUMPRODUCT(Calc!$K$3:$K$22*(Calc!$G$3:$G$22&gt;A3693)*(Calc!$G$3:$G$22-A3693)*(Calc!$G$3:$G$22&gt;B3693)*(Calc!$G$3:$G$22-B3693))</f>
        <v/>
      </c>
      <c r="L3693">
        <f>SUMPRODUCT(Calc!$K$3:$K$22*(Calc!$G$3:$G$22&gt;A3693)*(Calc!$G$3:$G$22-A3693)*Calc!$G$3:$G$22)</f>
        <v/>
      </c>
      <c r="M3693">
        <f>SUMPRODUCT(Calc!$K$3:$K$22*(Calc!$G$3:$G$22&gt;B3693)*(Calc!$G$3:$G$22-B3693)*Calc!$G$3:$G$22)</f>
        <v/>
      </c>
      <c r="N3693">
        <f>SUMPRODUCT(Calc!$K$3:$K$22*(Calc!$G$3:$G$22&gt;A3693)*(Calc!$G$3:$G$22-A3693)*Calc!$I$3:$I$22)</f>
        <v/>
      </c>
      <c r="O3693">
        <f>SUMPRODUCT(Calc!$K$3:$K$22*(Calc!$G$3:$G$22&gt;B3693)*(Calc!$G$3:$G$22-B3693)*Calc!$I$3:$I$22)</f>
        <v/>
      </c>
      <c r="P3693">
        <f>I3693-G3693^2/k_n</f>
        <v/>
      </c>
      <c r="Q3693">
        <f>J3693-H3693^2/k_n</f>
        <v/>
      </c>
      <c r="R3693">
        <f>K3693-G3693*H3693/k_n</f>
        <v/>
      </c>
      <c r="S3693">
        <f>L3693-LTP3!$D$3*G3693/k_n</f>
        <v/>
      </c>
      <c r="T3693">
        <f>M3693-LTP3!$D$3*H3693/k_n</f>
        <v/>
      </c>
      <c r="U3693">
        <f>N3693-G3693*LTP3!$D$4/k_n</f>
        <v/>
      </c>
      <c r="V3693">
        <f>O3693-H3693*LTP3!$D$4/k_n</f>
        <v/>
      </c>
      <c r="W3693">
        <f>((LTP3!$D$5)*((P3693)*(Q3693)-(R3693)*(R3693))-(S3693)*((S3693)*(Q3693)-(R3693)*(T3693))+(T3693)*((S3693)*(R3693)-(P3693)*(T3693)))</f>
        <v/>
      </c>
      <c r="X3693">
        <f>IF(ABS(W3693)&gt;1E-12,((LTP3!$D$6)*((P3693)*(Q3693)-(R3693)*(R3693))-(S3693)*((U3693)*(Q3693)-(R3693)*(V3693))+(T3693)*((U3693)*(R3693)-(P3693)*(V3693)))/W3693,0)</f>
        <v/>
      </c>
      <c r="Y3693">
        <f>IF(ABS(W3693)&gt;1E-12,((LTP3!$D$5)*((U3693)*(Q3693)-(R3693)*(V3693))-(LTP3!$D$6)*((S3693)*(Q3693)-(R3693)*(T3693))+(T3693)*((S3693)*(V3693)-(U3693)*(T3693)))/W3693,0)</f>
        <v/>
      </c>
      <c r="Z3693">
        <f>IF(ABS(W3693)&gt;1E-12,((LTP3!$D$5)*((P3693)*(V3693)-(U3693)*(R3693))-(S3693)*((S3693)*(V3693)-(U3693)*(T3693))+(LTP3!$D$6)*((S3693)*(R3693)-(P3693)*(T3693)))/W3693,0)</f>
        <v/>
      </c>
      <c r="AA3693">
        <f>LTP3!$D$7-X3693*LTP3!$D$6-Y3693*U3693-Z3693*V3693</f>
        <v/>
      </c>
      <c r="AB3693">
        <f>IF(AND(F3693,ABS(W3693)&gt;1E-12,Y3693&gt;0,Z3693&gt;0),AA3693,1E+300)</f>
        <v/>
      </c>
    </row>
    <row r="3694">
      <c r="A3694">
        <f>$B$3+$B$5*60</f>
        <v/>
      </c>
      <c r="B3694">
        <f>$B$3+$B$5*22</f>
        <v/>
      </c>
      <c r="C3694">
        <f>SUMPRODUCT(Calc!$K$3:$K$22*(Calc!$G$3:$G$22&lt;=A3694))</f>
        <v/>
      </c>
      <c r="D3694">
        <f>SUMPRODUCT(Calc!$K$3:$K$22*(Calc!$G$3:$G$22&gt;A3694)*(Calc!$G$3:$G$22&lt;B3694))</f>
        <v/>
      </c>
      <c r="E3694">
        <f>SUMPRODUCT(Calc!$K$3:$K$22*(Calc!$G$3:$G$22&gt;=B3694))</f>
        <v/>
      </c>
      <c r="F3694">
        <f>AND(k_n&gt;=5,B3694&gt;A3694+1E-9,C3694&gt;=2,D3694&gt;=1,E3694&gt;=2)</f>
        <v/>
      </c>
      <c r="G3694">
        <f>SUMPRODUCT(Calc!$K$3:$K$22*(Calc!$G$3:$G$22&gt;A3694)*(Calc!$G$3:$G$22-A3694))</f>
        <v/>
      </c>
      <c r="H3694">
        <f>SUMPRODUCT(Calc!$K$3:$K$22*(Calc!$G$3:$G$22&gt;B3694)*(Calc!$G$3:$G$22-B3694))</f>
        <v/>
      </c>
      <c r="I3694">
        <f>SUMPRODUCT(Calc!$K$3:$K$22*(Calc!$G$3:$G$22&gt;A3694)*(Calc!$G$3:$G$22-A3694)^2)</f>
        <v/>
      </c>
      <c r="J3694">
        <f>SUMPRODUCT(Calc!$K$3:$K$22*(Calc!$G$3:$G$22&gt;B3694)*(Calc!$G$3:$G$22-B3694)^2)</f>
        <v/>
      </c>
      <c r="K3694">
        <f>SUMPRODUCT(Calc!$K$3:$K$22*(Calc!$G$3:$G$22&gt;A3694)*(Calc!$G$3:$G$22-A3694)*(Calc!$G$3:$G$22&gt;B3694)*(Calc!$G$3:$G$22-B3694))</f>
        <v/>
      </c>
      <c r="L3694">
        <f>SUMPRODUCT(Calc!$K$3:$K$22*(Calc!$G$3:$G$22&gt;A3694)*(Calc!$G$3:$G$22-A3694)*Calc!$G$3:$G$22)</f>
        <v/>
      </c>
      <c r="M3694">
        <f>SUMPRODUCT(Calc!$K$3:$K$22*(Calc!$G$3:$G$22&gt;B3694)*(Calc!$G$3:$G$22-B3694)*Calc!$G$3:$G$22)</f>
        <v/>
      </c>
      <c r="N3694">
        <f>SUMPRODUCT(Calc!$K$3:$K$22*(Calc!$G$3:$G$22&gt;A3694)*(Calc!$G$3:$G$22-A3694)*Calc!$I$3:$I$22)</f>
        <v/>
      </c>
      <c r="O3694">
        <f>SUMPRODUCT(Calc!$K$3:$K$22*(Calc!$G$3:$G$22&gt;B3694)*(Calc!$G$3:$G$22-B3694)*Calc!$I$3:$I$22)</f>
        <v/>
      </c>
      <c r="P3694">
        <f>I3694-G3694^2/k_n</f>
        <v/>
      </c>
      <c r="Q3694">
        <f>J3694-H3694^2/k_n</f>
        <v/>
      </c>
      <c r="R3694">
        <f>K3694-G3694*H3694/k_n</f>
        <v/>
      </c>
      <c r="S3694">
        <f>L3694-LTP3!$D$3*G3694/k_n</f>
        <v/>
      </c>
      <c r="T3694">
        <f>M3694-LTP3!$D$3*H3694/k_n</f>
        <v/>
      </c>
      <c r="U3694">
        <f>N3694-G3694*LTP3!$D$4/k_n</f>
        <v/>
      </c>
      <c r="V3694">
        <f>O3694-H3694*LTP3!$D$4/k_n</f>
        <v/>
      </c>
      <c r="W3694">
        <f>((LTP3!$D$5)*((P3694)*(Q3694)-(R3694)*(R3694))-(S3694)*((S3694)*(Q3694)-(R3694)*(T3694))+(T3694)*((S3694)*(R3694)-(P3694)*(T3694)))</f>
        <v/>
      </c>
      <c r="X3694">
        <f>IF(ABS(W3694)&gt;1E-12,((LTP3!$D$6)*((P3694)*(Q3694)-(R3694)*(R3694))-(S3694)*((U3694)*(Q3694)-(R3694)*(V3694))+(T3694)*((U3694)*(R3694)-(P3694)*(V3694)))/W3694,0)</f>
        <v/>
      </c>
      <c r="Y3694">
        <f>IF(ABS(W3694)&gt;1E-12,((LTP3!$D$5)*((U3694)*(Q3694)-(R3694)*(V3694))-(LTP3!$D$6)*((S3694)*(Q3694)-(R3694)*(T3694))+(T3694)*((S3694)*(V3694)-(U3694)*(T3694)))/W3694,0)</f>
        <v/>
      </c>
      <c r="Z3694">
        <f>IF(ABS(W3694)&gt;1E-12,((LTP3!$D$5)*((P3694)*(V3694)-(U3694)*(R3694))-(S3694)*((S3694)*(V3694)-(U3694)*(T3694))+(LTP3!$D$6)*((S3694)*(R3694)-(P3694)*(T3694)))/W3694,0)</f>
        <v/>
      </c>
      <c r="AA3694">
        <f>LTP3!$D$7-X3694*LTP3!$D$6-Y3694*U3694-Z3694*V3694</f>
        <v/>
      </c>
      <c r="AB3694">
        <f>IF(AND(F3694,ABS(W3694)&gt;1E-12,Y3694&gt;0,Z3694&gt;0),AA3694,1E+300)</f>
        <v/>
      </c>
    </row>
    <row r="3695">
      <c r="A3695">
        <f>$B$3+$B$5*60</f>
        <v/>
      </c>
      <c r="B3695">
        <f>$B$3+$B$5*23</f>
        <v/>
      </c>
      <c r="C3695">
        <f>SUMPRODUCT(Calc!$K$3:$K$22*(Calc!$G$3:$G$22&lt;=A3695))</f>
        <v/>
      </c>
      <c r="D3695">
        <f>SUMPRODUCT(Calc!$K$3:$K$22*(Calc!$G$3:$G$22&gt;A3695)*(Calc!$G$3:$G$22&lt;B3695))</f>
        <v/>
      </c>
      <c r="E3695">
        <f>SUMPRODUCT(Calc!$K$3:$K$22*(Calc!$G$3:$G$22&gt;=B3695))</f>
        <v/>
      </c>
      <c r="F3695">
        <f>AND(k_n&gt;=5,B3695&gt;A3695+1E-9,C3695&gt;=2,D3695&gt;=1,E3695&gt;=2)</f>
        <v/>
      </c>
      <c r="G3695">
        <f>SUMPRODUCT(Calc!$K$3:$K$22*(Calc!$G$3:$G$22&gt;A3695)*(Calc!$G$3:$G$22-A3695))</f>
        <v/>
      </c>
      <c r="H3695">
        <f>SUMPRODUCT(Calc!$K$3:$K$22*(Calc!$G$3:$G$22&gt;B3695)*(Calc!$G$3:$G$22-B3695))</f>
        <v/>
      </c>
      <c r="I3695">
        <f>SUMPRODUCT(Calc!$K$3:$K$22*(Calc!$G$3:$G$22&gt;A3695)*(Calc!$G$3:$G$22-A3695)^2)</f>
        <v/>
      </c>
      <c r="J3695">
        <f>SUMPRODUCT(Calc!$K$3:$K$22*(Calc!$G$3:$G$22&gt;B3695)*(Calc!$G$3:$G$22-B3695)^2)</f>
        <v/>
      </c>
      <c r="K3695">
        <f>SUMPRODUCT(Calc!$K$3:$K$22*(Calc!$G$3:$G$22&gt;A3695)*(Calc!$G$3:$G$22-A3695)*(Calc!$G$3:$G$22&gt;B3695)*(Calc!$G$3:$G$22-B3695))</f>
        <v/>
      </c>
      <c r="L3695">
        <f>SUMPRODUCT(Calc!$K$3:$K$22*(Calc!$G$3:$G$22&gt;A3695)*(Calc!$G$3:$G$22-A3695)*Calc!$G$3:$G$22)</f>
        <v/>
      </c>
      <c r="M3695">
        <f>SUMPRODUCT(Calc!$K$3:$K$22*(Calc!$G$3:$G$22&gt;B3695)*(Calc!$G$3:$G$22-B3695)*Calc!$G$3:$G$22)</f>
        <v/>
      </c>
      <c r="N3695">
        <f>SUMPRODUCT(Calc!$K$3:$K$22*(Calc!$G$3:$G$22&gt;A3695)*(Calc!$G$3:$G$22-A3695)*Calc!$I$3:$I$22)</f>
        <v/>
      </c>
      <c r="O3695">
        <f>SUMPRODUCT(Calc!$K$3:$K$22*(Calc!$G$3:$G$22&gt;B3695)*(Calc!$G$3:$G$22-B3695)*Calc!$I$3:$I$22)</f>
        <v/>
      </c>
      <c r="P3695">
        <f>I3695-G3695^2/k_n</f>
        <v/>
      </c>
      <c r="Q3695">
        <f>J3695-H3695^2/k_n</f>
        <v/>
      </c>
      <c r="R3695">
        <f>K3695-G3695*H3695/k_n</f>
        <v/>
      </c>
      <c r="S3695">
        <f>L3695-LTP3!$D$3*G3695/k_n</f>
        <v/>
      </c>
      <c r="T3695">
        <f>M3695-LTP3!$D$3*H3695/k_n</f>
        <v/>
      </c>
      <c r="U3695">
        <f>N3695-G3695*LTP3!$D$4/k_n</f>
        <v/>
      </c>
      <c r="V3695">
        <f>O3695-H3695*LTP3!$D$4/k_n</f>
        <v/>
      </c>
      <c r="W3695">
        <f>((LTP3!$D$5)*((P3695)*(Q3695)-(R3695)*(R3695))-(S3695)*((S3695)*(Q3695)-(R3695)*(T3695))+(T3695)*((S3695)*(R3695)-(P3695)*(T3695)))</f>
        <v/>
      </c>
      <c r="X3695">
        <f>IF(ABS(W3695)&gt;1E-12,((LTP3!$D$6)*((P3695)*(Q3695)-(R3695)*(R3695))-(S3695)*((U3695)*(Q3695)-(R3695)*(V3695))+(T3695)*((U3695)*(R3695)-(P3695)*(V3695)))/W3695,0)</f>
        <v/>
      </c>
      <c r="Y3695">
        <f>IF(ABS(W3695)&gt;1E-12,((LTP3!$D$5)*((U3695)*(Q3695)-(R3695)*(V3695))-(LTP3!$D$6)*((S3695)*(Q3695)-(R3695)*(T3695))+(T3695)*((S3695)*(V3695)-(U3695)*(T3695)))/W3695,0)</f>
        <v/>
      </c>
      <c r="Z3695">
        <f>IF(ABS(W3695)&gt;1E-12,((LTP3!$D$5)*((P3695)*(V3695)-(U3695)*(R3695))-(S3695)*((S3695)*(V3695)-(U3695)*(T3695))+(LTP3!$D$6)*((S3695)*(R3695)-(P3695)*(T3695)))/W3695,0)</f>
        <v/>
      </c>
      <c r="AA3695">
        <f>LTP3!$D$7-X3695*LTP3!$D$6-Y3695*U3695-Z3695*V3695</f>
        <v/>
      </c>
      <c r="AB3695">
        <f>IF(AND(F3695,ABS(W3695)&gt;1E-12,Y3695&gt;0,Z3695&gt;0),AA3695,1E+300)</f>
        <v/>
      </c>
    </row>
    <row r="3696">
      <c r="A3696">
        <f>$B$3+$B$5*60</f>
        <v/>
      </c>
      <c r="B3696">
        <f>$B$3+$B$5*24</f>
        <v/>
      </c>
      <c r="C3696">
        <f>SUMPRODUCT(Calc!$K$3:$K$22*(Calc!$G$3:$G$22&lt;=A3696))</f>
        <v/>
      </c>
      <c r="D3696">
        <f>SUMPRODUCT(Calc!$K$3:$K$22*(Calc!$G$3:$G$22&gt;A3696)*(Calc!$G$3:$G$22&lt;B3696))</f>
        <v/>
      </c>
      <c r="E3696">
        <f>SUMPRODUCT(Calc!$K$3:$K$22*(Calc!$G$3:$G$22&gt;=B3696))</f>
        <v/>
      </c>
      <c r="F3696">
        <f>AND(k_n&gt;=5,B3696&gt;A3696+1E-9,C3696&gt;=2,D3696&gt;=1,E3696&gt;=2)</f>
        <v/>
      </c>
      <c r="G3696">
        <f>SUMPRODUCT(Calc!$K$3:$K$22*(Calc!$G$3:$G$22&gt;A3696)*(Calc!$G$3:$G$22-A3696))</f>
        <v/>
      </c>
      <c r="H3696">
        <f>SUMPRODUCT(Calc!$K$3:$K$22*(Calc!$G$3:$G$22&gt;B3696)*(Calc!$G$3:$G$22-B3696))</f>
        <v/>
      </c>
      <c r="I3696">
        <f>SUMPRODUCT(Calc!$K$3:$K$22*(Calc!$G$3:$G$22&gt;A3696)*(Calc!$G$3:$G$22-A3696)^2)</f>
        <v/>
      </c>
      <c r="J3696">
        <f>SUMPRODUCT(Calc!$K$3:$K$22*(Calc!$G$3:$G$22&gt;B3696)*(Calc!$G$3:$G$22-B3696)^2)</f>
        <v/>
      </c>
      <c r="K3696">
        <f>SUMPRODUCT(Calc!$K$3:$K$22*(Calc!$G$3:$G$22&gt;A3696)*(Calc!$G$3:$G$22-A3696)*(Calc!$G$3:$G$22&gt;B3696)*(Calc!$G$3:$G$22-B3696))</f>
        <v/>
      </c>
      <c r="L3696">
        <f>SUMPRODUCT(Calc!$K$3:$K$22*(Calc!$G$3:$G$22&gt;A3696)*(Calc!$G$3:$G$22-A3696)*Calc!$G$3:$G$22)</f>
        <v/>
      </c>
      <c r="M3696">
        <f>SUMPRODUCT(Calc!$K$3:$K$22*(Calc!$G$3:$G$22&gt;B3696)*(Calc!$G$3:$G$22-B3696)*Calc!$G$3:$G$22)</f>
        <v/>
      </c>
      <c r="N3696">
        <f>SUMPRODUCT(Calc!$K$3:$K$22*(Calc!$G$3:$G$22&gt;A3696)*(Calc!$G$3:$G$22-A3696)*Calc!$I$3:$I$22)</f>
        <v/>
      </c>
      <c r="O3696">
        <f>SUMPRODUCT(Calc!$K$3:$K$22*(Calc!$G$3:$G$22&gt;B3696)*(Calc!$G$3:$G$22-B3696)*Calc!$I$3:$I$22)</f>
        <v/>
      </c>
      <c r="P3696">
        <f>I3696-G3696^2/k_n</f>
        <v/>
      </c>
      <c r="Q3696">
        <f>J3696-H3696^2/k_n</f>
        <v/>
      </c>
      <c r="R3696">
        <f>K3696-G3696*H3696/k_n</f>
        <v/>
      </c>
      <c r="S3696">
        <f>L3696-LTP3!$D$3*G3696/k_n</f>
        <v/>
      </c>
      <c r="T3696">
        <f>M3696-LTP3!$D$3*H3696/k_n</f>
        <v/>
      </c>
      <c r="U3696">
        <f>N3696-G3696*LTP3!$D$4/k_n</f>
        <v/>
      </c>
      <c r="V3696">
        <f>O3696-H3696*LTP3!$D$4/k_n</f>
        <v/>
      </c>
      <c r="W3696">
        <f>((LTP3!$D$5)*((P3696)*(Q3696)-(R3696)*(R3696))-(S3696)*((S3696)*(Q3696)-(R3696)*(T3696))+(T3696)*((S3696)*(R3696)-(P3696)*(T3696)))</f>
        <v/>
      </c>
      <c r="X3696">
        <f>IF(ABS(W3696)&gt;1E-12,((LTP3!$D$6)*((P3696)*(Q3696)-(R3696)*(R3696))-(S3696)*((U3696)*(Q3696)-(R3696)*(V3696))+(T3696)*((U3696)*(R3696)-(P3696)*(V3696)))/W3696,0)</f>
        <v/>
      </c>
      <c r="Y3696">
        <f>IF(ABS(W3696)&gt;1E-12,((LTP3!$D$5)*((U3696)*(Q3696)-(R3696)*(V3696))-(LTP3!$D$6)*((S3696)*(Q3696)-(R3696)*(T3696))+(T3696)*((S3696)*(V3696)-(U3696)*(T3696)))/W3696,0)</f>
        <v/>
      </c>
      <c r="Z3696">
        <f>IF(ABS(W3696)&gt;1E-12,((LTP3!$D$5)*((P3696)*(V3696)-(U3696)*(R3696))-(S3696)*((S3696)*(V3696)-(U3696)*(T3696))+(LTP3!$D$6)*((S3696)*(R3696)-(P3696)*(T3696)))/W3696,0)</f>
        <v/>
      </c>
      <c r="AA3696">
        <f>LTP3!$D$7-X3696*LTP3!$D$6-Y3696*U3696-Z3696*V3696</f>
        <v/>
      </c>
      <c r="AB3696">
        <f>IF(AND(F3696,ABS(W3696)&gt;1E-12,Y3696&gt;0,Z3696&gt;0),AA3696,1E+300)</f>
        <v/>
      </c>
    </row>
    <row r="3697">
      <c r="A3697">
        <f>$B$3+$B$5*60</f>
        <v/>
      </c>
      <c r="B3697">
        <f>$B$3+$B$5*25</f>
        <v/>
      </c>
      <c r="C3697">
        <f>SUMPRODUCT(Calc!$K$3:$K$22*(Calc!$G$3:$G$22&lt;=A3697))</f>
        <v/>
      </c>
      <c r="D3697">
        <f>SUMPRODUCT(Calc!$K$3:$K$22*(Calc!$G$3:$G$22&gt;A3697)*(Calc!$G$3:$G$22&lt;B3697))</f>
        <v/>
      </c>
      <c r="E3697">
        <f>SUMPRODUCT(Calc!$K$3:$K$22*(Calc!$G$3:$G$22&gt;=B3697))</f>
        <v/>
      </c>
      <c r="F3697">
        <f>AND(k_n&gt;=5,B3697&gt;A3697+1E-9,C3697&gt;=2,D3697&gt;=1,E3697&gt;=2)</f>
        <v/>
      </c>
      <c r="G3697">
        <f>SUMPRODUCT(Calc!$K$3:$K$22*(Calc!$G$3:$G$22&gt;A3697)*(Calc!$G$3:$G$22-A3697))</f>
        <v/>
      </c>
      <c r="H3697">
        <f>SUMPRODUCT(Calc!$K$3:$K$22*(Calc!$G$3:$G$22&gt;B3697)*(Calc!$G$3:$G$22-B3697))</f>
        <v/>
      </c>
      <c r="I3697">
        <f>SUMPRODUCT(Calc!$K$3:$K$22*(Calc!$G$3:$G$22&gt;A3697)*(Calc!$G$3:$G$22-A3697)^2)</f>
        <v/>
      </c>
      <c r="J3697">
        <f>SUMPRODUCT(Calc!$K$3:$K$22*(Calc!$G$3:$G$22&gt;B3697)*(Calc!$G$3:$G$22-B3697)^2)</f>
        <v/>
      </c>
      <c r="K3697">
        <f>SUMPRODUCT(Calc!$K$3:$K$22*(Calc!$G$3:$G$22&gt;A3697)*(Calc!$G$3:$G$22-A3697)*(Calc!$G$3:$G$22&gt;B3697)*(Calc!$G$3:$G$22-B3697))</f>
        <v/>
      </c>
      <c r="L3697">
        <f>SUMPRODUCT(Calc!$K$3:$K$22*(Calc!$G$3:$G$22&gt;A3697)*(Calc!$G$3:$G$22-A3697)*Calc!$G$3:$G$22)</f>
        <v/>
      </c>
      <c r="M3697">
        <f>SUMPRODUCT(Calc!$K$3:$K$22*(Calc!$G$3:$G$22&gt;B3697)*(Calc!$G$3:$G$22-B3697)*Calc!$G$3:$G$22)</f>
        <v/>
      </c>
      <c r="N3697">
        <f>SUMPRODUCT(Calc!$K$3:$K$22*(Calc!$G$3:$G$22&gt;A3697)*(Calc!$G$3:$G$22-A3697)*Calc!$I$3:$I$22)</f>
        <v/>
      </c>
      <c r="O3697">
        <f>SUMPRODUCT(Calc!$K$3:$K$22*(Calc!$G$3:$G$22&gt;B3697)*(Calc!$G$3:$G$22-B3697)*Calc!$I$3:$I$22)</f>
        <v/>
      </c>
      <c r="P3697">
        <f>I3697-G3697^2/k_n</f>
        <v/>
      </c>
      <c r="Q3697">
        <f>J3697-H3697^2/k_n</f>
        <v/>
      </c>
      <c r="R3697">
        <f>K3697-G3697*H3697/k_n</f>
        <v/>
      </c>
      <c r="S3697">
        <f>L3697-LTP3!$D$3*G3697/k_n</f>
        <v/>
      </c>
      <c r="T3697">
        <f>M3697-LTP3!$D$3*H3697/k_n</f>
        <v/>
      </c>
      <c r="U3697">
        <f>N3697-G3697*LTP3!$D$4/k_n</f>
        <v/>
      </c>
      <c r="V3697">
        <f>O3697-H3697*LTP3!$D$4/k_n</f>
        <v/>
      </c>
      <c r="W3697">
        <f>((LTP3!$D$5)*((P3697)*(Q3697)-(R3697)*(R3697))-(S3697)*((S3697)*(Q3697)-(R3697)*(T3697))+(T3697)*((S3697)*(R3697)-(P3697)*(T3697)))</f>
        <v/>
      </c>
      <c r="X3697">
        <f>IF(ABS(W3697)&gt;1E-12,((LTP3!$D$6)*((P3697)*(Q3697)-(R3697)*(R3697))-(S3697)*((U3697)*(Q3697)-(R3697)*(V3697))+(T3697)*((U3697)*(R3697)-(P3697)*(V3697)))/W3697,0)</f>
        <v/>
      </c>
      <c r="Y3697">
        <f>IF(ABS(W3697)&gt;1E-12,((LTP3!$D$5)*((U3697)*(Q3697)-(R3697)*(V3697))-(LTP3!$D$6)*((S3697)*(Q3697)-(R3697)*(T3697))+(T3697)*((S3697)*(V3697)-(U3697)*(T3697)))/W3697,0)</f>
        <v/>
      </c>
      <c r="Z3697">
        <f>IF(ABS(W3697)&gt;1E-12,((LTP3!$D$5)*((P3697)*(V3697)-(U3697)*(R3697))-(S3697)*((S3697)*(V3697)-(U3697)*(T3697))+(LTP3!$D$6)*((S3697)*(R3697)-(P3697)*(T3697)))/W3697,0)</f>
        <v/>
      </c>
      <c r="AA3697">
        <f>LTP3!$D$7-X3697*LTP3!$D$6-Y3697*U3697-Z3697*V3697</f>
        <v/>
      </c>
      <c r="AB3697">
        <f>IF(AND(F3697,ABS(W3697)&gt;1E-12,Y3697&gt;0,Z3697&gt;0),AA3697,1E+300)</f>
        <v/>
      </c>
    </row>
    <row r="3698">
      <c r="A3698">
        <f>$B$3+$B$5*60</f>
        <v/>
      </c>
      <c r="B3698">
        <f>$B$3+$B$5*26</f>
        <v/>
      </c>
      <c r="C3698">
        <f>SUMPRODUCT(Calc!$K$3:$K$22*(Calc!$G$3:$G$22&lt;=A3698))</f>
        <v/>
      </c>
      <c r="D3698">
        <f>SUMPRODUCT(Calc!$K$3:$K$22*(Calc!$G$3:$G$22&gt;A3698)*(Calc!$G$3:$G$22&lt;B3698))</f>
        <v/>
      </c>
      <c r="E3698">
        <f>SUMPRODUCT(Calc!$K$3:$K$22*(Calc!$G$3:$G$22&gt;=B3698))</f>
        <v/>
      </c>
      <c r="F3698">
        <f>AND(k_n&gt;=5,B3698&gt;A3698+1E-9,C3698&gt;=2,D3698&gt;=1,E3698&gt;=2)</f>
        <v/>
      </c>
      <c r="G3698">
        <f>SUMPRODUCT(Calc!$K$3:$K$22*(Calc!$G$3:$G$22&gt;A3698)*(Calc!$G$3:$G$22-A3698))</f>
        <v/>
      </c>
      <c r="H3698">
        <f>SUMPRODUCT(Calc!$K$3:$K$22*(Calc!$G$3:$G$22&gt;B3698)*(Calc!$G$3:$G$22-B3698))</f>
        <v/>
      </c>
      <c r="I3698">
        <f>SUMPRODUCT(Calc!$K$3:$K$22*(Calc!$G$3:$G$22&gt;A3698)*(Calc!$G$3:$G$22-A3698)^2)</f>
        <v/>
      </c>
      <c r="J3698">
        <f>SUMPRODUCT(Calc!$K$3:$K$22*(Calc!$G$3:$G$22&gt;B3698)*(Calc!$G$3:$G$22-B3698)^2)</f>
        <v/>
      </c>
      <c r="K3698">
        <f>SUMPRODUCT(Calc!$K$3:$K$22*(Calc!$G$3:$G$22&gt;A3698)*(Calc!$G$3:$G$22-A3698)*(Calc!$G$3:$G$22&gt;B3698)*(Calc!$G$3:$G$22-B3698))</f>
        <v/>
      </c>
      <c r="L3698">
        <f>SUMPRODUCT(Calc!$K$3:$K$22*(Calc!$G$3:$G$22&gt;A3698)*(Calc!$G$3:$G$22-A3698)*Calc!$G$3:$G$22)</f>
        <v/>
      </c>
      <c r="M3698">
        <f>SUMPRODUCT(Calc!$K$3:$K$22*(Calc!$G$3:$G$22&gt;B3698)*(Calc!$G$3:$G$22-B3698)*Calc!$G$3:$G$22)</f>
        <v/>
      </c>
      <c r="N3698">
        <f>SUMPRODUCT(Calc!$K$3:$K$22*(Calc!$G$3:$G$22&gt;A3698)*(Calc!$G$3:$G$22-A3698)*Calc!$I$3:$I$22)</f>
        <v/>
      </c>
      <c r="O3698">
        <f>SUMPRODUCT(Calc!$K$3:$K$22*(Calc!$G$3:$G$22&gt;B3698)*(Calc!$G$3:$G$22-B3698)*Calc!$I$3:$I$22)</f>
        <v/>
      </c>
      <c r="P3698">
        <f>I3698-G3698^2/k_n</f>
        <v/>
      </c>
      <c r="Q3698">
        <f>J3698-H3698^2/k_n</f>
        <v/>
      </c>
      <c r="R3698">
        <f>K3698-G3698*H3698/k_n</f>
        <v/>
      </c>
      <c r="S3698">
        <f>L3698-LTP3!$D$3*G3698/k_n</f>
        <v/>
      </c>
      <c r="T3698">
        <f>M3698-LTP3!$D$3*H3698/k_n</f>
        <v/>
      </c>
      <c r="U3698">
        <f>N3698-G3698*LTP3!$D$4/k_n</f>
        <v/>
      </c>
      <c r="V3698">
        <f>O3698-H3698*LTP3!$D$4/k_n</f>
        <v/>
      </c>
      <c r="W3698">
        <f>((LTP3!$D$5)*((P3698)*(Q3698)-(R3698)*(R3698))-(S3698)*((S3698)*(Q3698)-(R3698)*(T3698))+(T3698)*((S3698)*(R3698)-(P3698)*(T3698)))</f>
        <v/>
      </c>
      <c r="X3698">
        <f>IF(ABS(W3698)&gt;1E-12,((LTP3!$D$6)*((P3698)*(Q3698)-(R3698)*(R3698))-(S3698)*((U3698)*(Q3698)-(R3698)*(V3698))+(T3698)*((U3698)*(R3698)-(P3698)*(V3698)))/W3698,0)</f>
        <v/>
      </c>
      <c r="Y3698">
        <f>IF(ABS(W3698)&gt;1E-12,((LTP3!$D$5)*((U3698)*(Q3698)-(R3698)*(V3698))-(LTP3!$D$6)*((S3698)*(Q3698)-(R3698)*(T3698))+(T3698)*((S3698)*(V3698)-(U3698)*(T3698)))/W3698,0)</f>
        <v/>
      </c>
      <c r="Z3698">
        <f>IF(ABS(W3698)&gt;1E-12,((LTP3!$D$5)*((P3698)*(V3698)-(U3698)*(R3698))-(S3698)*((S3698)*(V3698)-(U3698)*(T3698))+(LTP3!$D$6)*((S3698)*(R3698)-(P3698)*(T3698)))/W3698,0)</f>
        <v/>
      </c>
      <c r="AA3698">
        <f>LTP3!$D$7-X3698*LTP3!$D$6-Y3698*U3698-Z3698*V3698</f>
        <v/>
      </c>
      <c r="AB3698">
        <f>IF(AND(F3698,ABS(W3698)&gt;1E-12,Y3698&gt;0,Z3698&gt;0),AA3698,1E+300)</f>
        <v/>
      </c>
    </row>
    <row r="3699">
      <c r="A3699">
        <f>$B$3+$B$5*60</f>
        <v/>
      </c>
      <c r="B3699">
        <f>$B$3+$B$5*27</f>
        <v/>
      </c>
      <c r="C3699">
        <f>SUMPRODUCT(Calc!$K$3:$K$22*(Calc!$G$3:$G$22&lt;=A3699))</f>
        <v/>
      </c>
      <c r="D3699">
        <f>SUMPRODUCT(Calc!$K$3:$K$22*(Calc!$G$3:$G$22&gt;A3699)*(Calc!$G$3:$G$22&lt;B3699))</f>
        <v/>
      </c>
      <c r="E3699">
        <f>SUMPRODUCT(Calc!$K$3:$K$22*(Calc!$G$3:$G$22&gt;=B3699))</f>
        <v/>
      </c>
      <c r="F3699">
        <f>AND(k_n&gt;=5,B3699&gt;A3699+1E-9,C3699&gt;=2,D3699&gt;=1,E3699&gt;=2)</f>
        <v/>
      </c>
      <c r="G3699">
        <f>SUMPRODUCT(Calc!$K$3:$K$22*(Calc!$G$3:$G$22&gt;A3699)*(Calc!$G$3:$G$22-A3699))</f>
        <v/>
      </c>
      <c r="H3699">
        <f>SUMPRODUCT(Calc!$K$3:$K$22*(Calc!$G$3:$G$22&gt;B3699)*(Calc!$G$3:$G$22-B3699))</f>
        <v/>
      </c>
      <c r="I3699">
        <f>SUMPRODUCT(Calc!$K$3:$K$22*(Calc!$G$3:$G$22&gt;A3699)*(Calc!$G$3:$G$22-A3699)^2)</f>
        <v/>
      </c>
      <c r="J3699">
        <f>SUMPRODUCT(Calc!$K$3:$K$22*(Calc!$G$3:$G$22&gt;B3699)*(Calc!$G$3:$G$22-B3699)^2)</f>
        <v/>
      </c>
      <c r="K3699">
        <f>SUMPRODUCT(Calc!$K$3:$K$22*(Calc!$G$3:$G$22&gt;A3699)*(Calc!$G$3:$G$22-A3699)*(Calc!$G$3:$G$22&gt;B3699)*(Calc!$G$3:$G$22-B3699))</f>
        <v/>
      </c>
      <c r="L3699">
        <f>SUMPRODUCT(Calc!$K$3:$K$22*(Calc!$G$3:$G$22&gt;A3699)*(Calc!$G$3:$G$22-A3699)*Calc!$G$3:$G$22)</f>
        <v/>
      </c>
      <c r="M3699">
        <f>SUMPRODUCT(Calc!$K$3:$K$22*(Calc!$G$3:$G$22&gt;B3699)*(Calc!$G$3:$G$22-B3699)*Calc!$G$3:$G$22)</f>
        <v/>
      </c>
      <c r="N3699">
        <f>SUMPRODUCT(Calc!$K$3:$K$22*(Calc!$G$3:$G$22&gt;A3699)*(Calc!$G$3:$G$22-A3699)*Calc!$I$3:$I$22)</f>
        <v/>
      </c>
      <c r="O3699">
        <f>SUMPRODUCT(Calc!$K$3:$K$22*(Calc!$G$3:$G$22&gt;B3699)*(Calc!$G$3:$G$22-B3699)*Calc!$I$3:$I$22)</f>
        <v/>
      </c>
      <c r="P3699">
        <f>I3699-G3699^2/k_n</f>
        <v/>
      </c>
      <c r="Q3699">
        <f>J3699-H3699^2/k_n</f>
        <v/>
      </c>
      <c r="R3699">
        <f>K3699-G3699*H3699/k_n</f>
        <v/>
      </c>
      <c r="S3699">
        <f>L3699-LTP3!$D$3*G3699/k_n</f>
        <v/>
      </c>
      <c r="T3699">
        <f>M3699-LTP3!$D$3*H3699/k_n</f>
        <v/>
      </c>
      <c r="U3699">
        <f>N3699-G3699*LTP3!$D$4/k_n</f>
        <v/>
      </c>
      <c r="V3699">
        <f>O3699-H3699*LTP3!$D$4/k_n</f>
        <v/>
      </c>
      <c r="W3699">
        <f>((LTP3!$D$5)*((P3699)*(Q3699)-(R3699)*(R3699))-(S3699)*((S3699)*(Q3699)-(R3699)*(T3699))+(T3699)*((S3699)*(R3699)-(P3699)*(T3699)))</f>
        <v/>
      </c>
      <c r="X3699">
        <f>IF(ABS(W3699)&gt;1E-12,((LTP3!$D$6)*((P3699)*(Q3699)-(R3699)*(R3699))-(S3699)*((U3699)*(Q3699)-(R3699)*(V3699))+(T3699)*((U3699)*(R3699)-(P3699)*(V3699)))/W3699,0)</f>
        <v/>
      </c>
      <c r="Y3699">
        <f>IF(ABS(W3699)&gt;1E-12,((LTP3!$D$5)*((U3699)*(Q3699)-(R3699)*(V3699))-(LTP3!$D$6)*((S3699)*(Q3699)-(R3699)*(T3699))+(T3699)*((S3699)*(V3699)-(U3699)*(T3699)))/W3699,0)</f>
        <v/>
      </c>
      <c r="Z3699">
        <f>IF(ABS(W3699)&gt;1E-12,((LTP3!$D$5)*((P3699)*(V3699)-(U3699)*(R3699))-(S3699)*((S3699)*(V3699)-(U3699)*(T3699))+(LTP3!$D$6)*((S3699)*(R3699)-(P3699)*(T3699)))/W3699,0)</f>
        <v/>
      </c>
      <c r="AA3699">
        <f>LTP3!$D$7-X3699*LTP3!$D$6-Y3699*U3699-Z3699*V3699</f>
        <v/>
      </c>
      <c r="AB3699">
        <f>IF(AND(F3699,ABS(W3699)&gt;1E-12,Y3699&gt;0,Z3699&gt;0),AA3699,1E+300)</f>
        <v/>
      </c>
    </row>
    <row r="3700">
      <c r="A3700">
        <f>$B$3+$B$5*60</f>
        <v/>
      </c>
      <c r="B3700">
        <f>$B$3+$B$5*28</f>
        <v/>
      </c>
      <c r="C3700">
        <f>SUMPRODUCT(Calc!$K$3:$K$22*(Calc!$G$3:$G$22&lt;=A3700))</f>
        <v/>
      </c>
      <c r="D3700">
        <f>SUMPRODUCT(Calc!$K$3:$K$22*(Calc!$G$3:$G$22&gt;A3700)*(Calc!$G$3:$G$22&lt;B3700))</f>
        <v/>
      </c>
      <c r="E3700">
        <f>SUMPRODUCT(Calc!$K$3:$K$22*(Calc!$G$3:$G$22&gt;=B3700))</f>
        <v/>
      </c>
      <c r="F3700">
        <f>AND(k_n&gt;=5,B3700&gt;A3700+1E-9,C3700&gt;=2,D3700&gt;=1,E3700&gt;=2)</f>
        <v/>
      </c>
      <c r="G3700">
        <f>SUMPRODUCT(Calc!$K$3:$K$22*(Calc!$G$3:$G$22&gt;A3700)*(Calc!$G$3:$G$22-A3700))</f>
        <v/>
      </c>
      <c r="H3700">
        <f>SUMPRODUCT(Calc!$K$3:$K$22*(Calc!$G$3:$G$22&gt;B3700)*(Calc!$G$3:$G$22-B3700))</f>
        <v/>
      </c>
      <c r="I3700">
        <f>SUMPRODUCT(Calc!$K$3:$K$22*(Calc!$G$3:$G$22&gt;A3700)*(Calc!$G$3:$G$22-A3700)^2)</f>
        <v/>
      </c>
      <c r="J3700">
        <f>SUMPRODUCT(Calc!$K$3:$K$22*(Calc!$G$3:$G$22&gt;B3700)*(Calc!$G$3:$G$22-B3700)^2)</f>
        <v/>
      </c>
      <c r="K3700">
        <f>SUMPRODUCT(Calc!$K$3:$K$22*(Calc!$G$3:$G$22&gt;A3700)*(Calc!$G$3:$G$22-A3700)*(Calc!$G$3:$G$22&gt;B3700)*(Calc!$G$3:$G$22-B3700))</f>
        <v/>
      </c>
      <c r="L3700">
        <f>SUMPRODUCT(Calc!$K$3:$K$22*(Calc!$G$3:$G$22&gt;A3700)*(Calc!$G$3:$G$22-A3700)*Calc!$G$3:$G$22)</f>
        <v/>
      </c>
      <c r="M3700">
        <f>SUMPRODUCT(Calc!$K$3:$K$22*(Calc!$G$3:$G$22&gt;B3700)*(Calc!$G$3:$G$22-B3700)*Calc!$G$3:$G$22)</f>
        <v/>
      </c>
      <c r="N3700">
        <f>SUMPRODUCT(Calc!$K$3:$K$22*(Calc!$G$3:$G$22&gt;A3700)*(Calc!$G$3:$G$22-A3700)*Calc!$I$3:$I$22)</f>
        <v/>
      </c>
      <c r="O3700">
        <f>SUMPRODUCT(Calc!$K$3:$K$22*(Calc!$G$3:$G$22&gt;B3700)*(Calc!$G$3:$G$22-B3700)*Calc!$I$3:$I$22)</f>
        <v/>
      </c>
      <c r="P3700">
        <f>I3700-G3700^2/k_n</f>
        <v/>
      </c>
      <c r="Q3700">
        <f>J3700-H3700^2/k_n</f>
        <v/>
      </c>
      <c r="R3700">
        <f>K3700-G3700*H3700/k_n</f>
        <v/>
      </c>
      <c r="S3700">
        <f>L3700-LTP3!$D$3*G3700/k_n</f>
        <v/>
      </c>
      <c r="T3700">
        <f>M3700-LTP3!$D$3*H3700/k_n</f>
        <v/>
      </c>
      <c r="U3700">
        <f>N3700-G3700*LTP3!$D$4/k_n</f>
        <v/>
      </c>
      <c r="V3700">
        <f>O3700-H3700*LTP3!$D$4/k_n</f>
        <v/>
      </c>
      <c r="W3700">
        <f>((LTP3!$D$5)*((P3700)*(Q3700)-(R3700)*(R3700))-(S3700)*((S3700)*(Q3700)-(R3700)*(T3700))+(T3700)*((S3700)*(R3700)-(P3700)*(T3700)))</f>
        <v/>
      </c>
      <c r="X3700">
        <f>IF(ABS(W3700)&gt;1E-12,((LTP3!$D$6)*((P3700)*(Q3700)-(R3700)*(R3700))-(S3700)*((U3700)*(Q3700)-(R3700)*(V3700))+(T3700)*((U3700)*(R3700)-(P3700)*(V3700)))/W3700,0)</f>
        <v/>
      </c>
      <c r="Y3700">
        <f>IF(ABS(W3700)&gt;1E-12,((LTP3!$D$5)*((U3700)*(Q3700)-(R3700)*(V3700))-(LTP3!$D$6)*((S3700)*(Q3700)-(R3700)*(T3700))+(T3700)*((S3700)*(V3700)-(U3700)*(T3700)))/W3700,0)</f>
        <v/>
      </c>
      <c r="Z3700">
        <f>IF(ABS(W3700)&gt;1E-12,((LTP3!$D$5)*((P3700)*(V3700)-(U3700)*(R3700))-(S3700)*((S3700)*(V3700)-(U3700)*(T3700))+(LTP3!$D$6)*((S3700)*(R3700)-(P3700)*(T3700)))/W3700,0)</f>
        <v/>
      </c>
      <c r="AA3700">
        <f>LTP3!$D$7-X3700*LTP3!$D$6-Y3700*U3700-Z3700*V3700</f>
        <v/>
      </c>
      <c r="AB3700">
        <f>IF(AND(F3700,ABS(W3700)&gt;1E-12,Y3700&gt;0,Z3700&gt;0),AA3700,1E+300)</f>
        <v/>
      </c>
    </row>
    <row r="3701">
      <c r="A3701">
        <f>$B$3+$B$5*60</f>
        <v/>
      </c>
      <c r="B3701">
        <f>$B$3+$B$5*29</f>
        <v/>
      </c>
      <c r="C3701">
        <f>SUMPRODUCT(Calc!$K$3:$K$22*(Calc!$G$3:$G$22&lt;=A3701))</f>
        <v/>
      </c>
      <c r="D3701">
        <f>SUMPRODUCT(Calc!$K$3:$K$22*(Calc!$G$3:$G$22&gt;A3701)*(Calc!$G$3:$G$22&lt;B3701))</f>
        <v/>
      </c>
      <c r="E3701">
        <f>SUMPRODUCT(Calc!$K$3:$K$22*(Calc!$G$3:$G$22&gt;=B3701))</f>
        <v/>
      </c>
      <c r="F3701">
        <f>AND(k_n&gt;=5,B3701&gt;A3701+1E-9,C3701&gt;=2,D3701&gt;=1,E3701&gt;=2)</f>
        <v/>
      </c>
      <c r="G3701">
        <f>SUMPRODUCT(Calc!$K$3:$K$22*(Calc!$G$3:$G$22&gt;A3701)*(Calc!$G$3:$G$22-A3701))</f>
        <v/>
      </c>
      <c r="H3701">
        <f>SUMPRODUCT(Calc!$K$3:$K$22*(Calc!$G$3:$G$22&gt;B3701)*(Calc!$G$3:$G$22-B3701))</f>
        <v/>
      </c>
      <c r="I3701">
        <f>SUMPRODUCT(Calc!$K$3:$K$22*(Calc!$G$3:$G$22&gt;A3701)*(Calc!$G$3:$G$22-A3701)^2)</f>
        <v/>
      </c>
      <c r="J3701">
        <f>SUMPRODUCT(Calc!$K$3:$K$22*(Calc!$G$3:$G$22&gt;B3701)*(Calc!$G$3:$G$22-B3701)^2)</f>
        <v/>
      </c>
      <c r="K3701">
        <f>SUMPRODUCT(Calc!$K$3:$K$22*(Calc!$G$3:$G$22&gt;A3701)*(Calc!$G$3:$G$22-A3701)*(Calc!$G$3:$G$22&gt;B3701)*(Calc!$G$3:$G$22-B3701))</f>
        <v/>
      </c>
      <c r="L3701">
        <f>SUMPRODUCT(Calc!$K$3:$K$22*(Calc!$G$3:$G$22&gt;A3701)*(Calc!$G$3:$G$22-A3701)*Calc!$G$3:$G$22)</f>
        <v/>
      </c>
      <c r="M3701">
        <f>SUMPRODUCT(Calc!$K$3:$K$22*(Calc!$G$3:$G$22&gt;B3701)*(Calc!$G$3:$G$22-B3701)*Calc!$G$3:$G$22)</f>
        <v/>
      </c>
      <c r="N3701">
        <f>SUMPRODUCT(Calc!$K$3:$K$22*(Calc!$G$3:$G$22&gt;A3701)*(Calc!$G$3:$G$22-A3701)*Calc!$I$3:$I$22)</f>
        <v/>
      </c>
      <c r="O3701">
        <f>SUMPRODUCT(Calc!$K$3:$K$22*(Calc!$G$3:$G$22&gt;B3701)*(Calc!$G$3:$G$22-B3701)*Calc!$I$3:$I$22)</f>
        <v/>
      </c>
      <c r="P3701">
        <f>I3701-G3701^2/k_n</f>
        <v/>
      </c>
      <c r="Q3701">
        <f>J3701-H3701^2/k_n</f>
        <v/>
      </c>
      <c r="R3701">
        <f>K3701-G3701*H3701/k_n</f>
        <v/>
      </c>
      <c r="S3701">
        <f>L3701-LTP3!$D$3*G3701/k_n</f>
        <v/>
      </c>
      <c r="T3701">
        <f>M3701-LTP3!$D$3*H3701/k_n</f>
        <v/>
      </c>
      <c r="U3701">
        <f>N3701-G3701*LTP3!$D$4/k_n</f>
        <v/>
      </c>
      <c r="V3701">
        <f>O3701-H3701*LTP3!$D$4/k_n</f>
        <v/>
      </c>
      <c r="W3701">
        <f>((LTP3!$D$5)*((P3701)*(Q3701)-(R3701)*(R3701))-(S3701)*((S3701)*(Q3701)-(R3701)*(T3701))+(T3701)*((S3701)*(R3701)-(P3701)*(T3701)))</f>
        <v/>
      </c>
      <c r="X3701">
        <f>IF(ABS(W3701)&gt;1E-12,((LTP3!$D$6)*((P3701)*(Q3701)-(R3701)*(R3701))-(S3701)*((U3701)*(Q3701)-(R3701)*(V3701))+(T3701)*((U3701)*(R3701)-(P3701)*(V3701)))/W3701,0)</f>
        <v/>
      </c>
      <c r="Y3701">
        <f>IF(ABS(W3701)&gt;1E-12,((LTP3!$D$5)*((U3701)*(Q3701)-(R3701)*(V3701))-(LTP3!$D$6)*((S3701)*(Q3701)-(R3701)*(T3701))+(T3701)*((S3701)*(V3701)-(U3701)*(T3701)))/W3701,0)</f>
        <v/>
      </c>
      <c r="Z3701">
        <f>IF(ABS(W3701)&gt;1E-12,((LTP3!$D$5)*((P3701)*(V3701)-(U3701)*(R3701))-(S3701)*((S3701)*(V3701)-(U3701)*(T3701))+(LTP3!$D$6)*((S3701)*(R3701)-(P3701)*(T3701)))/W3701,0)</f>
        <v/>
      </c>
      <c r="AA3701">
        <f>LTP3!$D$7-X3701*LTP3!$D$6-Y3701*U3701-Z3701*V3701</f>
        <v/>
      </c>
      <c r="AB3701">
        <f>IF(AND(F3701,ABS(W3701)&gt;1E-12,Y3701&gt;0,Z3701&gt;0),AA3701,1E+300)</f>
        <v/>
      </c>
    </row>
    <row r="3702">
      <c r="A3702">
        <f>$B$3+$B$5*60</f>
        <v/>
      </c>
      <c r="B3702">
        <f>$B$3+$B$5*30</f>
        <v/>
      </c>
      <c r="C3702">
        <f>SUMPRODUCT(Calc!$K$3:$K$22*(Calc!$G$3:$G$22&lt;=A3702))</f>
        <v/>
      </c>
      <c r="D3702">
        <f>SUMPRODUCT(Calc!$K$3:$K$22*(Calc!$G$3:$G$22&gt;A3702)*(Calc!$G$3:$G$22&lt;B3702))</f>
        <v/>
      </c>
      <c r="E3702">
        <f>SUMPRODUCT(Calc!$K$3:$K$22*(Calc!$G$3:$G$22&gt;=B3702))</f>
        <v/>
      </c>
      <c r="F3702">
        <f>AND(k_n&gt;=5,B3702&gt;A3702+1E-9,C3702&gt;=2,D3702&gt;=1,E3702&gt;=2)</f>
        <v/>
      </c>
      <c r="G3702">
        <f>SUMPRODUCT(Calc!$K$3:$K$22*(Calc!$G$3:$G$22&gt;A3702)*(Calc!$G$3:$G$22-A3702))</f>
        <v/>
      </c>
      <c r="H3702">
        <f>SUMPRODUCT(Calc!$K$3:$K$22*(Calc!$G$3:$G$22&gt;B3702)*(Calc!$G$3:$G$22-B3702))</f>
        <v/>
      </c>
      <c r="I3702">
        <f>SUMPRODUCT(Calc!$K$3:$K$22*(Calc!$G$3:$G$22&gt;A3702)*(Calc!$G$3:$G$22-A3702)^2)</f>
        <v/>
      </c>
      <c r="J3702">
        <f>SUMPRODUCT(Calc!$K$3:$K$22*(Calc!$G$3:$G$22&gt;B3702)*(Calc!$G$3:$G$22-B3702)^2)</f>
        <v/>
      </c>
      <c r="K3702">
        <f>SUMPRODUCT(Calc!$K$3:$K$22*(Calc!$G$3:$G$22&gt;A3702)*(Calc!$G$3:$G$22-A3702)*(Calc!$G$3:$G$22&gt;B3702)*(Calc!$G$3:$G$22-B3702))</f>
        <v/>
      </c>
      <c r="L3702">
        <f>SUMPRODUCT(Calc!$K$3:$K$22*(Calc!$G$3:$G$22&gt;A3702)*(Calc!$G$3:$G$22-A3702)*Calc!$G$3:$G$22)</f>
        <v/>
      </c>
      <c r="M3702">
        <f>SUMPRODUCT(Calc!$K$3:$K$22*(Calc!$G$3:$G$22&gt;B3702)*(Calc!$G$3:$G$22-B3702)*Calc!$G$3:$G$22)</f>
        <v/>
      </c>
      <c r="N3702">
        <f>SUMPRODUCT(Calc!$K$3:$K$22*(Calc!$G$3:$G$22&gt;A3702)*(Calc!$G$3:$G$22-A3702)*Calc!$I$3:$I$22)</f>
        <v/>
      </c>
      <c r="O3702">
        <f>SUMPRODUCT(Calc!$K$3:$K$22*(Calc!$G$3:$G$22&gt;B3702)*(Calc!$G$3:$G$22-B3702)*Calc!$I$3:$I$22)</f>
        <v/>
      </c>
      <c r="P3702">
        <f>I3702-G3702^2/k_n</f>
        <v/>
      </c>
      <c r="Q3702">
        <f>J3702-H3702^2/k_n</f>
        <v/>
      </c>
      <c r="R3702">
        <f>K3702-G3702*H3702/k_n</f>
        <v/>
      </c>
      <c r="S3702">
        <f>L3702-LTP3!$D$3*G3702/k_n</f>
        <v/>
      </c>
      <c r="T3702">
        <f>M3702-LTP3!$D$3*H3702/k_n</f>
        <v/>
      </c>
      <c r="U3702">
        <f>N3702-G3702*LTP3!$D$4/k_n</f>
        <v/>
      </c>
      <c r="V3702">
        <f>O3702-H3702*LTP3!$D$4/k_n</f>
        <v/>
      </c>
      <c r="W3702">
        <f>((LTP3!$D$5)*((P3702)*(Q3702)-(R3702)*(R3702))-(S3702)*((S3702)*(Q3702)-(R3702)*(T3702))+(T3702)*((S3702)*(R3702)-(P3702)*(T3702)))</f>
        <v/>
      </c>
      <c r="X3702">
        <f>IF(ABS(W3702)&gt;1E-12,((LTP3!$D$6)*((P3702)*(Q3702)-(R3702)*(R3702))-(S3702)*((U3702)*(Q3702)-(R3702)*(V3702))+(T3702)*((U3702)*(R3702)-(P3702)*(V3702)))/W3702,0)</f>
        <v/>
      </c>
      <c r="Y3702">
        <f>IF(ABS(W3702)&gt;1E-12,((LTP3!$D$5)*((U3702)*(Q3702)-(R3702)*(V3702))-(LTP3!$D$6)*((S3702)*(Q3702)-(R3702)*(T3702))+(T3702)*((S3702)*(V3702)-(U3702)*(T3702)))/W3702,0)</f>
        <v/>
      </c>
      <c r="Z3702">
        <f>IF(ABS(W3702)&gt;1E-12,((LTP3!$D$5)*((P3702)*(V3702)-(U3702)*(R3702))-(S3702)*((S3702)*(V3702)-(U3702)*(T3702))+(LTP3!$D$6)*((S3702)*(R3702)-(P3702)*(T3702)))/W3702,0)</f>
        <v/>
      </c>
      <c r="AA3702">
        <f>LTP3!$D$7-X3702*LTP3!$D$6-Y3702*U3702-Z3702*V3702</f>
        <v/>
      </c>
      <c r="AB3702">
        <f>IF(AND(F3702,ABS(W3702)&gt;1E-12,Y3702&gt;0,Z3702&gt;0),AA3702,1E+300)</f>
        <v/>
      </c>
    </row>
    <row r="3703">
      <c r="A3703">
        <f>$B$3+$B$5*60</f>
        <v/>
      </c>
      <c r="B3703">
        <f>$B$3+$B$5*31</f>
        <v/>
      </c>
      <c r="C3703">
        <f>SUMPRODUCT(Calc!$K$3:$K$22*(Calc!$G$3:$G$22&lt;=A3703))</f>
        <v/>
      </c>
      <c r="D3703">
        <f>SUMPRODUCT(Calc!$K$3:$K$22*(Calc!$G$3:$G$22&gt;A3703)*(Calc!$G$3:$G$22&lt;B3703))</f>
        <v/>
      </c>
      <c r="E3703">
        <f>SUMPRODUCT(Calc!$K$3:$K$22*(Calc!$G$3:$G$22&gt;=B3703))</f>
        <v/>
      </c>
      <c r="F3703">
        <f>AND(k_n&gt;=5,B3703&gt;A3703+1E-9,C3703&gt;=2,D3703&gt;=1,E3703&gt;=2)</f>
        <v/>
      </c>
      <c r="G3703">
        <f>SUMPRODUCT(Calc!$K$3:$K$22*(Calc!$G$3:$G$22&gt;A3703)*(Calc!$G$3:$G$22-A3703))</f>
        <v/>
      </c>
      <c r="H3703">
        <f>SUMPRODUCT(Calc!$K$3:$K$22*(Calc!$G$3:$G$22&gt;B3703)*(Calc!$G$3:$G$22-B3703))</f>
        <v/>
      </c>
      <c r="I3703">
        <f>SUMPRODUCT(Calc!$K$3:$K$22*(Calc!$G$3:$G$22&gt;A3703)*(Calc!$G$3:$G$22-A3703)^2)</f>
        <v/>
      </c>
      <c r="J3703">
        <f>SUMPRODUCT(Calc!$K$3:$K$22*(Calc!$G$3:$G$22&gt;B3703)*(Calc!$G$3:$G$22-B3703)^2)</f>
        <v/>
      </c>
      <c r="K3703">
        <f>SUMPRODUCT(Calc!$K$3:$K$22*(Calc!$G$3:$G$22&gt;A3703)*(Calc!$G$3:$G$22-A3703)*(Calc!$G$3:$G$22&gt;B3703)*(Calc!$G$3:$G$22-B3703))</f>
        <v/>
      </c>
      <c r="L3703">
        <f>SUMPRODUCT(Calc!$K$3:$K$22*(Calc!$G$3:$G$22&gt;A3703)*(Calc!$G$3:$G$22-A3703)*Calc!$G$3:$G$22)</f>
        <v/>
      </c>
      <c r="M3703">
        <f>SUMPRODUCT(Calc!$K$3:$K$22*(Calc!$G$3:$G$22&gt;B3703)*(Calc!$G$3:$G$22-B3703)*Calc!$G$3:$G$22)</f>
        <v/>
      </c>
      <c r="N3703">
        <f>SUMPRODUCT(Calc!$K$3:$K$22*(Calc!$G$3:$G$22&gt;A3703)*(Calc!$G$3:$G$22-A3703)*Calc!$I$3:$I$22)</f>
        <v/>
      </c>
      <c r="O3703">
        <f>SUMPRODUCT(Calc!$K$3:$K$22*(Calc!$G$3:$G$22&gt;B3703)*(Calc!$G$3:$G$22-B3703)*Calc!$I$3:$I$22)</f>
        <v/>
      </c>
      <c r="P3703">
        <f>I3703-G3703^2/k_n</f>
        <v/>
      </c>
      <c r="Q3703">
        <f>J3703-H3703^2/k_n</f>
        <v/>
      </c>
      <c r="R3703">
        <f>K3703-G3703*H3703/k_n</f>
        <v/>
      </c>
      <c r="S3703">
        <f>L3703-LTP3!$D$3*G3703/k_n</f>
        <v/>
      </c>
      <c r="T3703">
        <f>M3703-LTP3!$D$3*H3703/k_n</f>
        <v/>
      </c>
      <c r="U3703">
        <f>N3703-G3703*LTP3!$D$4/k_n</f>
        <v/>
      </c>
      <c r="V3703">
        <f>O3703-H3703*LTP3!$D$4/k_n</f>
        <v/>
      </c>
      <c r="W3703">
        <f>((LTP3!$D$5)*((P3703)*(Q3703)-(R3703)*(R3703))-(S3703)*((S3703)*(Q3703)-(R3703)*(T3703))+(T3703)*((S3703)*(R3703)-(P3703)*(T3703)))</f>
        <v/>
      </c>
      <c r="X3703">
        <f>IF(ABS(W3703)&gt;1E-12,((LTP3!$D$6)*((P3703)*(Q3703)-(R3703)*(R3703))-(S3703)*((U3703)*(Q3703)-(R3703)*(V3703))+(T3703)*((U3703)*(R3703)-(P3703)*(V3703)))/W3703,0)</f>
        <v/>
      </c>
      <c r="Y3703">
        <f>IF(ABS(W3703)&gt;1E-12,((LTP3!$D$5)*((U3703)*(Q3703)-(R3703)*(V3703))-(LTP3!$D$6)*((S3703)*(Q3703)-(R3703)*(T3703))+(T3703)*((S3703)*(V3703)-(U3703)*(T3703)))/W3703,0)</f>
        <v/>
      </c>
      <c r="Z3703">
        <f>IF(ABS(W3703)&gt;1E-12,((LTP3!$D$5)*((P3703)*(V3703)-(U3703)*(R3703))-(S3703)*((S3703)*(V3703)-(U3703)*(T3703))+(LTP3!$D$6)*((S3703)*(R3703)-(P3703)*(T3703)))/W3703,0)</f>
        <v/>
      </c>
      <c r="AA3703">
        <f>LTP3!$D$7-X3703*LTP3!$D$6-Y3703*U3703-Z3703*V3703</f>
        <v/>
      </c>
      <c r="AB3703">
        <f>IF(AND(F3703,ABS(W3703)&gt;1E-12,Y3703&gt;0,Z3703&gt;0),AA3703,1E+300)</f>
        <v/>
      </c>
    </row>
    <row r="3704">
      <c r="A3704">
        <f>$B$3+$B$5*60</f>
        <v/>
      </c>
      <c r="B3704">
        <f>$B$3+$B$5*32</f>
        <v/>
      </c>
      <c r="C3704">
        <f>SUMPRODUCT(Calc!$K$3:$K$22*(Calc!$G$3:$G$22&lt;=A3704))</f>
        <v/>
      </c>
      <c r="D3704">
        <f>SUMPRODUCT(Calc!$K$3:$K$22*(Calc!$G$3:$G$22&gt;A3704)*(Calc!$G$3:$G$22&lt;B3704))</f>
        <v/>
      </c>
      <c r="E3704">
        <f>SUMPRODUCT(Calc!$K$3:$K$22*(Calc!$G$3:$G$22&gt;=B3704))</f>
        <v/>
      </c>
      <c r="F3704">
        <f>AND(k_n&gt;=5,B3704&gt;A3704+1E-9,C3704&gt;=2,D3704&gt;=1,E3704&gt;=2)</f>
        <v/>
      </c>
      <c r="G3704">
        <f>SUMPRODUCT(Calc!$K$3:$K$22*(Calc!$G$3:$G$22&gt;A3704)*(Calc!$G$3:$G$22-A3704))</f>
        <v/>
      </c>
      <c r="H3704">
        <f>SUMPRODUCT(Calc!$K$3:$K$22*(Calc!$G$3:$G$22&gt;B3704)*(Calc!$G$3:$G$22-B3704))</f>
        <v/>
      </c>
      <c r="I3704">
        <f>SUMPRODUCT(Calc!$K$3:$K$22*(Calc!$G$3:$G$22&gt;A3704)*(Calc!$G$3:$G$22-A3704)^2)</f>
        <v/>
      </c>
      <c r="J3704">
        <f>SUMPRODUCT(Calc!$K$3:$K$22*(Calc!$G$3:$G$22&gt;B3704)*(Calc!$G$3:$G$22-B3704)^2)</f>
        <v/>
      </c>
      <c r="K3704">
        <f>SUMPRODUCT(Calc!$K$3:$K$22*(Calc!$G$3:$G$22&gt;A3704)*(Calc!$G$3:$G$22-A3704)*(Calc!$G$3:$G$22&gt;B3704)*(Calc!$G$3:$G$22-B3704))</f>
        <v/>
      </c>
      <c r="L3704">
        <f>SUMPRODUCT(Calc!$K$3:$K$22*(Calc!$G$3:$G$22&gt;A3704)*(Calc!$G$3:$G$22-A3704)*Calc!$G$3:$G$22)</f>
        <v/>
      </c>
      <c r="M3704">
        <f>SUMPRODUCT(Calc!$K$3:$K$22*(Calc!$G$3:$G$22&gt;B3704)*(Calc!$G$3:$G$22-B3704)*Calc!$G$3:$G$22)</f>
        <v/>
      </c>
      <c r="N3704">
        <f>SUMPRODUCT(Calc!$K$3:$K$22*(Calc!$G$3:$G$22&gt;A3704)*(Calc!$G$3:$G$22-A3704)*Calc!$I$3:$I$22)</f>
        <v/>
      </c>
      <c r="O3704">
        <f>SUMPRODUCT(Calc!$K$3:$K$22*(Calc!$G$3:$G$22&gt;B3704)*(Calc!$G$3:$G$22-B3704)*Calc!$I$3:$I$22)</f>
        <v/>
      </c>
      <c r="P3704">
        <f>I3704-G3704^2/k_n</f>
        <v/>
      </c>
      <c r="Q3704">
        <f>J3704-H3704^2/k_n</f>
        <v/>
      </c>
      <c r="R3704">
        <f>K3704-G3704*H3704/k_n</f>
        <v/>
      </c>
      <c r="S3704">
        <f>L3704-LTP3!$D$3*G3704/k_n</f>
        <v/>
      </c>
      <c r="T3704">
        <f>M3704-LTP3!$D$3*H3704/k_n</f>
        <v/>
      </c>
      <c r="U3704">
        <f>N3704-G3704*LTP3!$D$4/k_n</f>
        <v/>
      </c>
      <c r="V3704">
        <f>O3704-H3704*LTP3!$D$4/k_n</f>
        <v/>
      </c>
      <c r="W3704">
        <f>((LTP3!$D$5)*((P3704)*(Q3704)-(R3704)*(R3704))-(S3704)*((S3704)*(Q3704)-(R3704)*(T3704))+(T3704)*((S3704)*(R3704)-(P3704)*(T3704)))</f>
        <v/>
      </c>
      <c r="X3704">
        <f>IF(ABS(W3704)&gt;1E-12,((LTP3!$D$6)*((P3704)*(Q3704)-(R3704)*(R3704))-(S3704)*((U3704)*(Q3704)-(R3704)*(V3704))+(T3704)*((U3704)*(R3704)-(P3704)*(V3704)))/W3704,0)</f>
        <v/>
      </c>
      <c r="Y3704">
        <f>IF(ABS(W3704)&gt;1E-12,((LTP3!$D$5)*((U3704)*(Q3704)-(R3704)*(V3704))-(LTP3!$D$6)*((S3704)*(Q3704)-(R3704)*(T3704))+(T3704)*((S3704)*(V3704)-(U3704)*(T3704)))/W3704,0)</f>
        <v/>
      </c>
      <c r="Z3704">
        <f>IF(ABS(W3704)&gt;1E-12,((LTP3!$D$5)*((P3704)*(V3704)-(U3704)*(R3704))-(S3704)*((S3704)*(V3704)-(U3704)*(T3704))+(LTP3!$D$6)*((S3704)*(R3704)-(P3704)*(T3704)))/W3704,0)</f>
        <v/>
      </c>
      <c r="AA3704">
        <f>LTP3!$D$7-X3704*LTP3!$D$6-Y3704*U3704-Z3704*V3704</f>
        <v/>
      </c>
      <c r="AB3704">
        <f>IF(AND(F3704,ABS(W3704)&gt;1E-12,Y3704&gt;0,Z3704&gt;0),AA3704,1E+300)</f>
        <v/>
      </c>
    </row>
    <row r="3705">
      <c r="A3705">
        <f>$B$3+$B$5*60</f>
        <v/>
      </c>
      <c r="B3705">
        <f>$B$3+$B$5*33</f>
        <v/>
      </c>
      <c r="C3705">
        <f>SUMPRODUCT(Calc!$K$3:$K$22*(Calc!$G$3:$G$22&lt;=A3705))</f>
        <v/>
      </c>
      <c r="D3705">
        <f>SUMPRODUCT(Calc!$K$3:$K$22*(Calc!$G$3:$G$22&gt;A3705)*(Calc!$G$3:$G$22&lt;B3705))</f>
        <v/>
      </c>
      <c r="E3705">
        <f>SUMPRODUCT(Calc!$K$3:$K$22*(Calc!$G$3:$G$22&gt;=B3705))</f>
        <v/>
      </c>
      <c r="F3705">
        <f>AND(k_n&gt;=5,B3705&gt;A3705+1E-9,C3705&gt;=2,D3705&gt;=1,E3705&gt;=2)</f>
        <v/>
      </c>
      <c r="G3705">
        <f>SUMPRODUCT(Calc!$K$3:$K$22*(Calc!$G$3:$G$22&gt;A3705)*(Calc!$G$3:$G$22-A3705))</f>
        <v/>
      </c>
      <c r="H3705">
        <f>SUMPRODUCT(Calc!$K$3:$K$22*(Calc!$G$3:$G$22&gt;B3705)*(Calc!$G$3:$G$22-B3705))</f>
        <v/>
      </c>
      <c r="I3705">
        <f>SUMPRODUCT(Calc!$K$3:$K$22*(Calc!$G$3:$G$22&gt;A3705)*(Calc!$G$3:$G$22-A3705)^2)</f>
        <v/>
      </c>
      <c r="J3705">
        <f>SUMPRODUCT(Calc!$K$3:$K$22*(Calc!$G$3:$G$22&gt;B3705)*(Calc!$G$3:$G$22-B3705)^2)</f>
        <v/>
      </c>
      <c r="K3705">
        <f>SUMPRODUCT(Calc!$K$3:$K$22*(Calc!$G$3:$G$22&gt;A3705)*(Calc!$G$3:$G$22-A3705)*(Calc!$G$3:$G$22&gt;B3705)*(Calc!$G$3:$G$22-B3705))</f>
        <v/>
      </c>
      <c r="L3705">
        <f>SUMPRODUCT(Calc!$K$3:$K$22*(Calc!$G$3:$G$22&gt;A3705)*(Calc!$G$3:$G$22-A3705)*Calc!$G$3:$G$22)</f>
        <v/>
      </c>
      <c r="M3705">
        <f>SUMPRODUCT(Calc!$K$3:$K$22*(Calc!$G$3:$G$22&gt;B3705)*(Calc!$G$3:$G$22-B3705)*Calc!$G$3:$G$22)</f>
        <v/>
      </c>
      <c r="N3705">
        <f>SUMPRODUCT(Calc!$K$3:$K$22*(Calc!$G$3:$G$22&gt;A3705)*(Calc!$G$3:$G$22-A3705)*Calc!$I$3:$I$22)</f>
        <v/>
      </c>
      <c r="O3705">
        <f>SUMPRODUCT(Calc!$K$3:$K$22*(Calc!$G$3:$G$22&gt;B3705)*(Calc!$G$3:$G$22-B3705)*Calc!$I$3:$I$22)</f>
        <v/>
      </c>
      <c r="P3705">
        <f>I3705-G3705^2/k_n</f>
        <v/>
      </c>
      <c r="Q3705">
        <f>J3705-H3705^2/k_n</f>
        <v/>
      </c>
      <c r="R3705">
        <f>K3705-G3705*H3705/k_n</f>
        <v/>
      </c>
      <c r="S3705">
        <f>L3705-LTP3!$D$3*G3705/k_n</f>
        <v/>
      </c>
      <c r="T3705">
        <f>M3705-LTP3!$D$3*H3705/k_n</f>
        <v/>
      </c>
      <c r="U3705">
        <f>N3705-G3705*LTP3!$D$4/k_n</f>
        <v/>
      </c>
      <c r="V3705">
        <f>O3705-H3705*LTP3!$D$4/k_n</f>
        <v/>
      </c>
      <c r="W3705">
        <f>((LTP3!$D$5)*((P3705)*(Q3705)-(R3705)*(R3705))-(S3705)*((S3705)*(Q3705)-(R3705)*(T3705))+(T3705)*((S3705)*(R3705)-(P3705)*(T3705)))</f>
        <v/>
      </c>
      <c r="X3705">
        <f>IF(ABS(W3705)&gt;1E-12,((LTP3!$D$6)*((P3705)*(Q3705)-(R3705)*(R3705))-(S3705)*((U3705)*(Q3705)-(R3705)*(V3705))+(T3705)*((U3705)*(R3705)-(P3705)*(V3705)))/W3705,0)</f>
        <v/>
      </c>
      <c r="Y3705">
        <f>IF(ABS(W3705)&gt;1E-12,((LTP3!$D$5)*((U3705)*(Q3705)-(R3705)*(V3705))-(LTP3!$D$6)*((S3705)*(Q3705)-(R3705)*(T3705))+(T3705)*((S3705)*(V3705)-(U3705)*(T3705)))/W3705,0)</f>
        <v/>
      </c>
      <c r="Z3705">
        <f>IF(ABS(W3705)&gt;1E-12,((LTP3!$D$5)*((P3705)*(V3705)-(U3705)*(R3705))-(S3705)*((S3705)*(V3705)-(U3705)*(T3705))+(LTP3!$D$6)*((S3705)*(R3705)-(P3705)*(T3705)))/W3705,0)</f>
        <v/>
      </c>
      <c r="AA3705">
        <f>LTP3!$D$7-X3705*LTP3!$D$6-Y3705*U3705-Z3705*V3705</f>
        <v/>
      </c>
      <c r="AB3705">
        <f>IF(AND(F3705,ABS(W3705)&gt;1E-12,Y3705&gt;0,Z3705&gt;0),AA3705,1E+300)</f>
        <v/>
      </c>
    </row>
    <row r="3706">
      <c r="A3706">
        <f>$B$3+$B$5*60</f>
        <v/>
      </c>
      <c r="B3706">
        <f>$B$3+$B$5*34</f>
        <v/>
      </c>
      <c r="C3706">
        <f>SUMPRODUCT(Calc!$K$3:$K$22*(Calc!$G$3:$G$22&lt;=A3706))</f>
        <v/>
      </c>
      <c r="D3706">
        <f>SUMPRODUCT(Calc!$K$3:$K$22*(Calc!$G$3:$G$22&gt;A3706)*(Calc!$G$3:$G$22&lt;B3706))</f>
        <v/>
      </c>
      <c r="E3706">
        <f>SUMPRODUCT(Calc!$K$3:$K$22*(Calc!$G$3:$G$22&gt;=B3706))</f>
        <v/>
      </c>
      <c r="F3706">
        <f>AND(k_n&gt;=5,B3706&gt;A3706+1E-9,C3706&gt;=2,D3706&gt;=1,E3706&gt;=2)</f>
        <v/>
      </c>
      <c r="G3706">
        <f>SUMPRODUCT(Calc!$K$3:$K$22*(Calc!$G$3:$G$22&gt;A3706)*(Calc!$G$3:$G$22-A3706))</f>
        <v/>
      </c>
      <c r="H3706">
        <f>SUMPRODUCT(Calc!$K$3:$K$22*(Calc!$G$3:$G$22&gt;B3706)*(Calc!$G$3:$G$22-B3706))</f>
        <v/>
      </c>
      <c r="I3706">
        <f>SUMPRODUCT(Calc!$K$3:$K$22*(Calc!$G$3:$G$22&gt;A3706)*(Calc!$G$3:$G$22-A3706)^2)</f>
        <v/>
      </c>
      <c r="J3706">
        <f>SUMPRODUCT(Calc!$K$3:$K$22*(Calc!$G$3:$G$22&gt;B3706)*(Calc!$G$3:$G$22-B3706)^2)</f>
        <v/>
      </c>
      <c r="K3706">
        <f>SUMPRODUCT(Calc!$K$3:$K$22*(Calc!$G$3:$G$22&gt;A3706)*(Calc!$G$3:$G$22-A3706)*(Calc!$G$3:$G$22&gt;B3706)*(Calc!$G$3:$G$22-B3706))</f>
        <v/>
      </c>
      <c r="L3706">
        <f>SUMPRODUCT(Calc!$K$3:$K$22*(Calc!$G$3:$G$22&gt;A3706)*(Calc!$G$3:$G$22-A3706)*Calc!$G$3:$G$22)</f>
        <v/>
      </c>
      <c r="M3706">
        <f>SUMPRODUCT(Calc!$K$3:$K$22*(Calc!$G$3:$G$22&gt;B3706)*(Calc!$G$3:$G$22-B3706)*Calc!$G$3:$G$22)</f>
        <v/>
      </c>
      <c r="N3706">
        <f>SUMPRODUCT(Calc!$K$3:$K$22*(Calc!$G$3:$G$22&gt;A3706)*(Calc!$G$3:$G$22-A3706)*Calc!$I$3:$I$22)</f>
        <v/>
      </c>
      <c r="O3706">
        <f>SUMPRODUCT(Calc!$K$3:$K$22*(Calc!$G$3:$G$22&gt;B3706)*(Calc!$G$3:$G$22-B3706)*Calc!$I$3:$I$22)</f>
        <v/>
      </c>
      <c r="P3706">
        <f>I3706-G3706^2/k_n</f>
        <v/>
      </c>
      <c r="Q3706">
        <f>J3706-H3706^2/k_n</f>
        <v/>
      </c>
      <c r="R3706">
        <f>K3706-G3706*H3706/k_n</f>
        <v/>
      </c>
      <c r="S3706">
        <f>L3706-LTP3!$D$3*G3706/k_n</f>
        <v/>
      </c>
      <c r="T3706">
        <f>M3706-LTP3!$D$3*H3706/k_n</f>
        <v/>
      </c>
      <c r="U3706">
        <f>N3706-G3706*LTP3!$D$4/k_n</f>
        <v/>
      </c>
      <c r="V3706">
        <f>O3706-H3706*LTP3!$D$4/k_n</f>
        <v/>
      </c>
      <c r="W3706">
        <f>((LTP3!$D$5)*((P3706)*(Q3706)-(R3706)*(R3706))-(S3706)*((S3706)*(Q3706)-(R3706)*(T3706))+(T3706)*((S3706)*(R3706)-(P3706)*(T3706)))</f>
        <v/>
      </c>
      <c r="X3706">
        <f>IF(ABS(W3706)&gt;1E-12,((LTP3!$D$6)*((P3706)*(Q3706)-(R3706)*(R3706))-(S3706)*((U3706)*(Q3706)-(R3706)*(V3706))+(T3706)*((U3706)*(R3706)-(P3706)*(V3706)))/W3706,0)</f>
        <v/>
      </c>
      <c r="Y3706">
        <f>IF(ABS(W3706)&gt;1E-12,((LTP3!$D$5)*((U3706)*(Q3706)-(R3706)*(V3706))-(LTP3!$D$6)*((S3706)*(Q3706)-(R3706)*(T3706))+(T3706)*((S3706)*(V3706)-(U3706)*(T3706)))/W3706,0)</f>
        <v/>
      </c>
      <c r="Z3706">
        <f>IF(ABS(W3706)&gt;1E-12,((LTP3!$D$5)*((P3706)*(V3706)-(U3706)*(R3706))-(S3706)*((S3706)*(V3706)-(U3706)*(T3706))+(LTP3!$D$6)*((S3706)*(R3706)-(P3706)*(T3706)))/W3706,0)</f>
        <v/>
      </c>
      <c r="AA3706">
        <f>LTP3!$D$7-X3706*LTP3!$D$6-Y3706*U3706-Z3706*V3706</f>
        <v/>
      </c>
      <c r="AB3706">
        <f>IF(AND(F3706,ABS(W3706)&gt;1E-12,Y3706&gt;0,Z3706&gt;0),AA3706,1E+300)</f>
        <v/>
      </c>
    </row>
    <row r="3707">
      <c r="A3707">
        <f>$B$3+$B$5*60</f>
        <v/>
      </c>
      <c r="B3707">
        <f>$B$3+$B$5*35</f>
        <v/>
      </c>
      <c r="C3707">
        <f>SUMPRODUCT(Calc!$K$3:$K$22*(Calc!$G$3:$G$22&lt;=A3707))</f>
        <v/>
      </c>
      <c r="D3707">
        <f>SUMPRODUCT(Calc!$K$3:$K$22*(Calc!$G$3:$G$22&gt;A3707)*(Calc!$G$3:$G$22&lt;B3707))</f>
        <v/>
      </c>
      <c r="E3707">
        <f>SUMPRODUCT(Calc!$K$3:$K$22*(Calc!$G$3:$G$22&gt;=B3707))</f>
        <v/>
      </c>
      <c r="F3707">
        <f>AND(k_n&gt;=5,B3707&gt;A3707+1E-9,C3707&gt;=2,D3707&gt;=1,E3707&gt;=2)</f>
        <v/>
      </c>
      <c r="G3707">
        <f>SUMPRODUCT(Calc!$K$3:$K$22*(Calc!$G$3:$G$22&gt;A3707)*(Calc!$G$3:$G$22-A3707))</f>
        <v/>
      </c>
      <c r="H3707">
        <f>SUMPRODUCT(Calc!$K$3:$K$22*(Calc!$G$3:$G$22&gt;B3707)*(Calc!$G$3:$G$22-B3707))</f>
        <v/>
      </c>
      <c r="I3707">
        <f>SUMPRODUCT(Calc!$K$3:$K$22*(Calc!$G$3:$G$22&gt;A3707)*(Calc!$G$3:$G$22-A3707)^2)</f>
        <v/>
      </c>
      <c r="J3707">
        <f>SUMPRODUCT(Calc!$K$3:$K$22*(Calc!$G$3:$G$22&gt;B3707)*(Calc!$G$3:$G$22-B3707)^2)</f>
        <v/>
      </c>
      <c r="K3707">
        <f>SUMPRODUCT(Calc!$K$3:$K$22*(Calc!$G$3:$G$22&gt;A3707)*(Calc!$G$3:$G$22-A3707)*(Calc!$G$3:$G$22&gt;B3707)*(Calc!$G$3:$G$22-B3707))</f>
        <v/>
      </c>
      <c r="L3707">
        <f>SUMPRODUCT(Calc!$K$3:$K$22*(Calc!$G$3:$G$22&gt;A3707)*(Calc!$G$3:$G$22-A3707)*Calc!$G$3:$G$22)</f>
        <v/>
      </c>
      <c r="M3707">
        <f>SUMPRODUCT(Calc!$K$3:$K$22*(Calc!$G$3:$G$22&gt;B3707)*(Calc!$G$3:$G$22-B3707)*Calc!$G$3:$G$22)</f>
        <v/>
      </c>
      <c r="N3707">
        <f>SUMPRODUCT(Calc!$K$3:$K$22*(Calc!$G$3:$G$22&gt;A3707)*(Calc!$G$3:$G$22-A3707)*Calc!$I$3:$I$22)</f>
        <v/>
      </c>
      <c r="O3707">
        <f>SUMPRODUCT(Calc!$K$3:$K$22*(Calc!$G$3:$G$22&gt;B3707)*(Calc!$G$3:$G$22-B3707)*Calc!$I$3:$I$22)</f>
        <v/>
      </c>
      <c r="P3707">
        <f>I3707-G3707^2/k_n</f>
        <v/>
      </c>
      <c r="Q3707">
        <f>J3707-H3707^2/k_n</f>
        <v/>
      </c>
      <c r="R3707">
        <f>K3707-G3707*H3707/k_n</f>
        <v/>
      </c>
      <c r="S3707">
        <f>L3707-LTP3!$D$3*G3707/k_n</f>
        <v/>
      </c>
      <c r="T3707">
        <f>M3707-LTP3!$D$3*H3707/k_n</f>
        <v/>
      </c>
      <c r="U3707">
        <f>N3707-G3707*LTP3!$D$4/k_n</f>
        <v/>
      </c>
      <c r="V3707">
        <f>O3707-H3707*LTP3!$D$4/k_n</f>
        <v/>
      </c>
      <c r="W3707">
        <f>((LTP3!$D$5)*((P3707)*(Q3707)-(R3707)*(R3707))-(S3707)*((S3707)*(Q3707)-(R3707)*(T3707))+(T3707)*((S3707)*(R3707)-(P3707)*(T3707)))</f>
        <v/>
      </c>
      <c r="X3707">
        <f>IF(ABS(W3707)&gt;1E-12,((LTP3!$D$6)*((P3707)*(Q3707)-(R3707)*(R3707))-(S3707)*((U3707)*(Q3707)-(R3707)*(V3707))+(T3707)*((U3707)*(R3707)-(P3707)*(V3707)))/W3707,0)</f>
        <v/>
      </c>
      <c r="Y3707">
        <f>IF(ABS(W3707)&gt;1E-12,((LTP3!$D$5)*((U3707)*(Q3707)-(R3707)*(V3707))-(LTP3!$D$6)*((S3707)*(Q3707)-(R3707)*(T3707))+(T3707)*((S3707)*(V3707)-(U3707)*(T3707)))/W3707,0)</f>
        <v/>
      </c>
      <c r="Z3707">
        <f>IF(ABS(W3707)&gt;1E-12,((LTP3!$D$5)*((P3707)*(V3707)-(U3707)*(R3707))-(S3707)*((S3707)*(V3707)-(U3707)*(T3707))+(LTP3!$D$6)*((S3707)*(R3707)-(P3707)*(T3707)))/W3707,0)</f>
        <v/>
      </c>
      <c r="AA3707">
        <f>LTP3!$D$7-X3707*LTP3!$D$6-Y3707*U3707-Z3707*V3707</f>
        <v/>
      </c>
      <c r="AB3707">
        <f>IF(AND(F3707,ABS(W3707)&gt;1E-12,Y3707&gt;0,Z3707&gt;0),AA3707,1E+300)</f>
        <v/>
      </c>
    </row>
    <row r="3708">
      <c r="A3708">
        <f>$B$3+$B$5*60</f>
        <v/>
      </c>
      <c r="B3708">
        <f>$B$3+$B$5*36</f>
        <v/>
      </c>
      <c r="C3708">
        <f>SUMPRODUCT(Calc!$K$3:$K$22*(Calc!$G$3:$G$22&lt;=A3708))</f>
        <v/>
      </c>
      <c r="D3708">
        <f>SUMPRODUCT(Calc!$K$3:$K$22*(Calc!$G$3:$G$22&gt;A3708)*(Calc!$G$3:$G$22&lt;B3708))</f>
        <v/>
      </c>
      <c r="E3708">
        <f>SUMPRODUCT(Calc!$K$3:$K$22*(Calc!$G$3:$G$22&gt;=B3708))</f>
        <v/>
      </c>
      <c r="F3708">
        <f>AND(k_n&gt;=5,B3708&gt;A3708+1E-9,C3708&gt;=2,D3708&gt;=1,E3708&gt;=2)</f>
        <v/>
      </c>
      <c r="G3708">
        <f>SUMPRODUCT(Calc!$K$3:$K$22*(Calc!$G$3:$G$22&gt;A3708)*(Calc!$G$3:$G$22-A3708))</f>
        <v/>
      </c>
      <c r="H3708">
        <f>SUMPRODUCT(Calc!$K$3:$K$22*(Calc!$G$3:$G$22&gt;B3708)*(Calc!$G$3:$G$22-B3708))</f>
        <v/>
      </c>
      <c r="I3708">
        <f>SUMPRODUCT(Calc!$K$3:$K$22*(Calc!$G$3:$G$22&gt;A3708)*(Calc!$G$3:$G$22-A3708)^2)</f>
        <v/>
      </c>
      <c r="J3708">
        <f>SUMPRODUCT(Calc!$K$3:$K$22*(Calc!$G$3:$G$22&gt;B3708)*(Calc!$G$3:$G$22-B3708)^2)</f>
        <v/>
      </c>
      <c r="K3708">
        <f>SUMPRODUCT(Calc!$K$3:$K$22*(Calc!$G$3:$G$22&gt;A3708)*(Calc!$G$3:$G$22-A3708)*(Calc!$G$3:$G$22&gt;B3708)*(Calc!$G$3:$G$22-B3708))</f>
        <v/>
      </c>
      <c r="L3708">
        <f>SUMPRODUCT(Calc!$K$3:$K$22*(Calc!$G$3:$G$22&gt;A3708)*(Calc!$G$3:$G$22-A3708)*Calc!$G$3:$G$22)</f>
        <v/>
      </c>
      <c r="M3708">
        <f>SUMPRODUCT(Calc!$K$3:$K$22*(Calc!$G$3:$G$22&gt;B3708)*(Calc!$G$3:$G$22-B3708)*Calc!$G$3:$G$22)</f>
        <v/>
      </c>
      <c r="N3708">
        <f>SUMPRODUCT(Calc!$K$3:$K$22*(Calc!$G$3:$G$22&gt;A3708)*(Calc!$G$3:$G$22-A3708)*Calc!$I$3:$I$22)</f>
        <v/>
      </c>
      <c r="O3708">
        <f>SUMPRODUCT(Calc!$K$3:$K$22*(Calc!$G$3:$G$22&gt;B3708)*(Calc!$G$3:$G$22-B3708)*Calc!$I$3:$I$22)</f>
        <v/>
      </c>
      <c r="P3708">
        <f>I3708-G3708^2/k_n</f>
        <v/>
      </c>
      <c r="Q3708">
        <f>J3708-H3708^2/k_n</f>
        <v/>
      </c>
      <c r="R3708">
        <f>K3708-G3708*H3708/k_n</f>
        <v/>
      </c>
      <c r="S3708">
        <f>L3708-LTP3!$D$3*G3708/k_n</f>
        <v/>
      </c>
      <c r="T3708">
        <f>M3708-LTP3!$D$3*H3708/k_n</f>
        <v/>
      </c>
      <c r="U3708">
        <f>N3708-G3708*LTP3!$D$4/k_n</f>
        <v/>
      </c>
      <c r="V3708">
        <f>O3708-H3708*LTP3!$D$4/k_n</f>
        <v/>
      </c>
      <c r="W3708">
        <f>((LTP3!$D$5)*((P3708)*(Q3708)-(R3708)*(R3708))-(S3708)*((S3708)*(Q3708)-(R3708)*(T3708))+(T3708)*((S3708)*(R3708)-(P3708)*(T3708)))</f>
        <v/>
      </c>
      <c r="X3708">
        <f>IF(ABS(W3708)&gt;1E-12,((LTP3!$D$6)*((P3708)*(Q3708)-(R3708)*(R3708))-(S3708)*((U3708)*(Q3708)-(R3708)*(V3708))+(T3708)*((U3708)*(R3708)-(P3708)*(V3708)))/W3708,0)</f>
        <v/>
      </c>
      <c r="Y3708">
        <f>IF(ABS(W3708)&gt;1E-12,((LTP3!$D$5)*((U3708)*(Q3708)-(R3708)*(V3708))-(LTP3!$D$6)*((S3708)*(Q3708)-(R3708)*(T3708))+(T3708)*((S3708)*(V3708)-(U3708)*(T3708)))/W3708,0)</f>
        <v/>
      </c>
      <c r="Z3708">
        <f>IF(ABS(W3708)&gt;1E-12,((LTP3!$D$5)*((P3708)*(V3708)-(U3708)*(R3708))-(S3708)*((S3708)*(V3708)-(U3708)*(T3708))+(LTP3!$D$6)*((S3708)*(R3708)-(P3708)*(T3708)))/W3708,0)</f>
        <v/>
      </c>
      <c r="AA3708">
        <f>LTP3!$D$7-X3708*LTP3!$D$6-Y3708*U3708-Z3708*V3708</f>
        <v/>
      </c>
      <c r="AB3708">
        <f>IF(AND(F3708,ABS(W3708)&gt;1E-12,Y3708&gt;0,Z3708&gt;0),AA3708,1E+300)</f>
        <v/>
      </c>
    </row>
    <row r="3709">
      <c r="A3709">
        <f>$B$3+$B$5*60</f>
        <v/>
      </c>
      <c r="B3709">
        <f>$B$3+$B$5*37</f>
        <v/>
      </c>
      <c r="C3709">
        <f>SUMPRODUCT(Calc!$K$3:$K$22*(Calc!$G$3:$G$22&lt;=A3709))</f>
        <v/>
      </c>
      <c r="D3709">
        <f>SUMPRODUCT(Calc!$K$3:$K$22*(Calc!$G$3:$G$22&gt;A3709)*(Calc!$G$3:$G$22&lt;B3709))</f>
        <v/>
      </c>
      <c r="E3709">
        <f>SUMPRODUCT(Calc!$K$3:$K$22*(Calc!$G$3:$G$22&gt;=B3709))</f>
        <v/>
      </c>
      <c r="F3709">
        <f>AND(k_n&gt;=5,B3709&gt;A3709+1E-9,C3709&gt;=2,D3709&gt;=1,E3709&gt;=2)</f>
        <v/>
      </c>
      <c r="G3709">
        <f>SUMPRODUCT(Calc!$K$3:$K$22*(Calc!$G$3:$G$22&gt;A3709)*(Calc!$G$3:$G$22-A3709))</f>
        <v/>
      </c>
      <c r="H3709">
        <f>SUMPRODUCT(Calc!$K$3:$K$22*(Calc!$G$3:$G$22&gt;B3709)*(Calc!$G$3:$G$22-B3709))</f>
        <v/>
      </c>
      <c r="I3709">
        <f>SUMPRODUCT(Calc!$K$3:$K$22*(Calc!$G$3:$G$22&gt;A3709)*(Calc!$G$3:$G$22-A3709)^2)</f>
        <v/>
      </c>
      <c r="J3709">
        <f>SUMPRODUCT(Calc!$K$3:$K$22*(Calc!$G$3:$G$22&gt;B3709)*(Calc!$G$3:$G$22-B3709)^2)</f>
        <v/>
      </c>
      <c r="K3709">
        <f>SUMPRODUCT(Calc!$K$3:$K$22*(Calc!$G$3:$G$22&gt;A3709)*(Calc!$G$3:$G$22-A3709)*(Calc!$G$3:$G$22&gt;B3709)*(Calc!$G$3:$G$22-B3709))</f>
        <v/>
      </c>
      <c r="L3709">
        <f>SUMPRODUCT(Calc!$K$3:$K$22*(Calc!$G$3:$G$22&gt;A3709)*(Calc!$G$3:$G$22-A3709)*Calc!$G$3:$G$22)</f>
        <v/>
      </c>
      <c r="M3709">
        <f>SUMPRODUCT(Calc!$K$3:$K$22*(Calc!$G$3:$G$22&gt;B3709)*(Calc!$G$3:$G$22-B3709)*Calc!$G$3:$G$22)</f>
        <v/>
      </c>
      <c r="N3709">
        <f>SUMPRODUCT(Calc!$K$3:$K$22*(Calc!$G$3:$G$22&gt;A3709)*(Calc!$G$3:$G$22-A3709)*Calc!$I$3:$I$22)</f>
        <v/>
      </c>
      <c r="O3709">
        <f>SUMPRODUCT(Calc!$K$3:$K$22*(Calc!$G$3:$G$22&gt;B3709)*(Calc!$G$3:$G$22-B3709)*Calc!$I$3:$I$22)</f>
        <v/>
      </c>
      <c r="P3709">
        <f>I3709-G3709^2/k_n</f>
        <v/>
      </c>
      <c r="Q3709">
        <f>J3709-H3709^2/k_n</f>
        <v/>
      </c>
      <c r="R3709">
        <f>K3709-G3709*H3709/k_n</f>
        <v/>
      </c>
      <c r="S3709">
        <f>L3709-LTP3!$D$3*G3709/k_n</f>
        <v/>
      </c>
      <c r="T3709">
        <f>M3709-LTP3!$D$3*H3709/k_n</f>
        <v/>
      </c>
      <c r="U3709">
        <f>N3709-G3709*LTP3!$D$4/k_n</f>
        <v/>
      </c>
      <c r="V3709">
        <f>O3709-H3709*LTP3!$D$4/k_n</f>
        <v/>
      </c>
      <c r="W3709">
        <f>((LTP3!$D$5)*((P3709)*(Q3709)-(R3709)*(R3709))-(S3709)*((S3709)*(Q3709)-(R3709)*(T3709))+(T3709)*((S3709)*(R3709)-(P3709)*(T3709)))</f>
        <v/>
      </c>
      <c r="X3709">
        <f>IF(ABS(W3709)&gt;1E-12,((LTP3!$D$6)*((P3709)*(Q3709)-(R3709)*(R3709))-(S3709)*((U3709)*(Q3709)-(R3709)*(V3709))+(T3709)*((U3709)*(R3709)-(P3709)*(V3709)))/W3709,0)</f>
        <v/>
      </c>
      <c r="Y3709">
        <f>IF(ABS(W3709)&gt;1E-12,((LTP3!$D$5)*((U3709)*(Q3709)-(R3709)*(V3709))-(LTP3!$D$6)*((S3709)*(Q3709)-(R3709)*(T3709))+(T3709)*((S3709)*(V3709)-(U3709)*(T3709)))/W3709,0)</f>
        <v/>
      </c>
      <c r="Z3709">
        <f>IF(ABS(W3709)&gt;1E-12,((LTP3!$D$5)*((P3709)*(V3709)-(U3709)*(R3709))-(S3709)*((S3709)*(V3709)-(U3709)*(T3709))+(LTP3!$D$6)*((S3709)*(R3709)-(P3709)*(T3709)))/W3709,0)</f>
        <v/>
      </c>
      <c r="AA3709">
        <f>LTP3!$D$7-X3709*LTP3!$D$6-Y3709*U3709-Z3709*V3709</f>
        <v/>
      </c>
      <c r="AB3709">
        <f>IF(AND(F3709,ABS(W3709)&gt;1E-12,Y3709&gt;0,Z3709&gt;0),AA3709,1E+300)</f>
        <v/>
      </c>
    </row>
    <row r="3710">
      <c r="A3710">
        <f>$B$3+$B$5*60</f>
        <v/>
      </c>
      <c r="B3710">
        <f>$B$3+$B$5*38</f>
        <v/>
      </c>
      <c r="C3710">
        <f>SUMPRODUCT(Calc!$K$3:$K$22*(Calc!$G$3:$G$22&lt;=A3710))</f>
        <v/>
      </c>
      <c r="D3710">
        <f>SUMPRODUCT(Calc!$K$3:$K$22*(Calc!$G$3:$G$22&gt;A3710)*(Calc!$G$3:$G$22&lt;B3710))</f>
        <v/>
      </c>
      <c r="E3710">
        <f>SUMPRODUCT(Calc!$K$3:$K$22*(Calc!$G$3:$G$22&gt;=B3710))</f>
        <v/>
      </c>
      <c r="F3710">
        <f>AND(k_n&gt;=5,B3710&gt;A3710+1E-9,C3710&gt;=2,D3710&gt;=1,E3710&gt;=2)</f>
        <v/>
      </c>
      <c r="G3710">
        <f>SUMPRODUCT(Calc!$K$3:$K$22*(Calc!$G$3:$G$22&gt;A3710)*(Calc!$G$3:$G$22-A3710))</f>
        <v/>
      </c>
      <c r="H3710">
        <f>SUMPRODUCT(Calc!$K$3:$K$22*(Calc!$G$3:$G$22&gt;B3710)*(Calc!$G$3:$G$22-B3710))</f>
        <v/>
      </c>
      <c r="I3710">
        <f>SUMPRODUCT(Calc!$K$3:$K$22*(Calc!$G$3:$G$22&gt;A3710)*(Calc!$G$3:$G$22-A3710)^2)</f>
        <v/>
      </c>
      <c r="J3710">
        <f>SUMPRODUCT(Calc!$K$3:$K$22*(Calc!$G$3:$G$22&gt;B3710)*(Calc!$G$3:$G$22-B3710)^2)</f>
        <v/>
      </c>
      <c r="K3710">
        <f>SUMPRODUCT(Calc!$K$3:$K$22*(Calc!$G$3:$G$22&gt;A3710)*(Calc!$G$3:$G$22-A3710)*(Calc!$G$3:$G$22&gt;B3710)*(Calc!$G$3:$G$22-B3710))</f>
        <v/>
      </c>
      <c r="L3710">
        <f>SUMPRODUCT(Calc!$K$3:$K$22*(Calc!$G$3:$G$22&gt;A3710)*(Calc!$G$3:$G$22-A3710)*Calc!$G$3:$G$22)</f>
        <v/>
      </c>
      <c r="M3710">
        <f>SUMPRODUCT(Calc!$K$3:$K$22*(Calc!$G$3:$G$22&gt;B3710)*(Calc!$G$3:$G$22-B3710)*Calc!$G$3:$G$22)</f>
        <v/>
      </c>
      <c r="N3710">
        <f>SUMPRODUCT(Calc!$K$3:$K$22*(Calc!$G$3:$G$22&gt;A3710)*(Calc!$G$3:$G$22-A3710)*Calc!$I$3:$I$22)</f>
        <v/>
      </c>
      <c r="O3710">
        <f>SUMPRODUCT(Calc!$K$3:$K$22*(Calc!$G$3:$G$22&gt;B3710)*(Calc!$G$3:$G$22-B3710)*Calc!$I$3:$I$22)</f>
        <v/>
      </c>
      <c r="P3710">
        <f>I3710-G3710^2/k_n</f>
        <v/>
      </c>
      <c r="Q3710">
        <f>J3710-H3710^2/k_n</f>
        <v/>
      </c>
      <c r="R3710">
        <f>K3710-G3710*H3710/k_n</f>
        <v/>
      </c>
      <c r="S3710">
        <f>L3710-LTP3!$D$3*G3710/k_n</f>
        <v/>
      </c>
      <c r="T3710">
        <f>M3710-LTP3!$D$3*H3710/k_n</f>
        <v/>
      </c>
      <c r="U3710">
        <f>N3710-G3710*LTP3!$D$4/k_n</f>
        <v/>
      </c>
      <c r="V3710">
        <f>O3710-H3710*LTP3!$D$4/k_n</f>
        <v/>
      </c>
      <c r="W3710">
        <f>((LTP3!$D$5)*((P3710)*(Q3710)-(R3710)*(R3710))-(S3710)*((S3710)*(Q3710)-(R3710)*(T3710))+(T3710)*((S3710)*(R3710)-(P3710)*(T3710)))</f>
        <v/>
      </c>
      <c r="X3710">
        <f>IF(ABS(W3710)&gt;1E-12,((LTP3!$D$6)*((P3710)*(Q3710)-(R3710)*(R3710))-(S3710)*((U3710)*(Q3710)-(R3710)*(V3710))+(T3710)*((U3710)*(R3710)-(P3710)*(V3710)))/W3710,0)</f>
        <v/>
      </c>
      <c r="Y3710">
        <f>IF(ABS(W3710)&gt;1E-12,((LTP3!$D$5)*((U3710)*(Q3710)-(R3710)*(V3710))-(LTP3!$D$6)*((S3710)*(Q3710)-(R3710)*(T3710))+(T3710)*((S3710)*(V3710)-(U3710)*(T3710)))/W3710,0)</f>
        <v/>
      </c>
      <c r="Z3710">
        <f>IF(ABS(W3710)&gt;1E-12,((LTP3!$D$5)*((P3710)*(V3710)-(U3710)*(R3710))-(S3710)*((S3710)*(V3710)-(U3710)*(T3710))+(LTP3!$D$6)*((S3710)*(R3710)-(P3710)*(T3710)))/W3710,0)</f>
        <v/>
      </c>
      <c r="AA3710">
        <f>LTP3!$D$7-X3710*LTP3!$D$6-Y3710*U3710-Z3710*V3710</f>
        <v/>
      </c>
      <c r="AB3710">
        <f>IF(AND(F3710,ABS(W3710)&gt;1E-12,Y3710&gt;0,Z3710&gt;0),AA3710,1E+300)</f>
        <v/>
      </c>
    </row>
    <row r="3711">
      <c r="A3711">
        <f>$B$3+$B$5*60</f>
        <v/>
      </c>
      <c r="B3711">
        <f>$B$3+$B$5*39</f>
        <v/>
      </c>
      <c r="C3711">
        <f>SUMPRODUCT(Calc!$K$3:$K$22*(Calc!$G$3:$G$22&lt;=A3711))</f>
        <v/>
      </c>
      <c r="D3711">
        <f>SUMPRODUCT(Calc!$K$3:$K$22*(Calc!$G$3:$G$22&gt;A3711)*(Calc!$G$3:$G$22&lt;B3711))</f>
        <v/>
      </c>
      <c r="E3711">
        <f>SUMPRODUCT(Calc!$K$3:$K$22*(Calc!$G$3:$G$22&gt;=B3711))</f>
        <v/>
      </c>
      <c r="F3711">
        <f>AND(k_n&gt;=5,B3711&gt;A3711+1E-9,C3711&gt;=2,D3711&gt;=1,E3711&gt;=2)</f>
        <v/>
      </c>
      <c r="G3711">
        <f>SUMPRODUCT(Calc!$K$3:$K$22*(Calc!$G$3:$G$22&gt;A3711)*(Calc!$G$3:$G$22-A3711))</f>
        <v/>
      </c>
      <c r="H3711">
        <f>SUMPRODUCT(Calc!$K$3:$K$22*(Calc!$G$3:$G$22&gt;B3711)*(Calc!$G$3:$G$22-B3711))</f>
        <v/>
      </c>
      <c r="I3711">
        <f>SUMPRODUCT(Calc!$K$3:$K$22*(Calc!$G$3:$G$22&gt;A3711)*(Calc!$G$3:$G$22-A3711)^2)</f>
        <v/>
      </c>
      <c r="J3711">
        <f>SUMPRODUCT(Calc!$K$3:$K$22*(Calc!$G$3:$G$22&gt;B3711)*(Calc!$G$3:$G$22-B3711)^2)</f>
        <v/>
      </c>
      <c r="K3711">
        <f>SUMPRODUCT(Calc!$K$3:$K$22*(Calc!$G$3:$G$22&gt;A3711)*(Calc!$G$3:$G$22-A3711)*(Calc!$G$3:$G$22&gt;B3711)*(Calc!$G$3:$G$22-B3711))</f>
        <v/>
      </c>
      <c r="L3711">
        <f>SUMPRODUCT(Calc!$K$3:$K$22*(Calc!$G$3:$G$22&gt;A3711)*(Calc!$G$3:$G$22-A3711)*Calc!$G$3:$G$22)</f>
        <v/>
      </c>
      <c r="M3711">
        <f>SUMPRODUCT(Calc!$K$3:$K$22*(Calc!$G$3:$G$22&gt;B3711)*(Calc!$G$3:$G$22-B3711)*Calc!$G$3:$G$22)</f>
        <v/>
      </c>
      <c r="N3711">
        <f>SUMPRODUCT(Calc!$K$3:$K$22*(Calc!$G$3:$G$22&gt;A3711)*(Calc!$G$3:$G$22-A3711)*Calc!$I$3:$I$22)</f>
        <v/>
      </c>
      <c r="O3711">
        <f>SUMPRODUCT(Calc!$K$3:$K$22*(Calc!$G$3:$G$22&gt;B3711)*(Calc!$G$3:$G$22-B3711)*Calc!$I$3:$I$22)</f>
        <v/>
      </c>
      <c r="P3711">
        <f>I3711-G3711^2/k_n</f>
        <v/>
      </c>
      <c r="Q3711">
        <f>J3711-H3711^2/k_n</f>
        <v/>
      </c>
      <c r="R3711">
        <f>K3711-G3711*H3711/k_n</f>
        <v/>
      </c>
      <c r="S3711">
        <f>L3711-LTP3!$D$3*G3711/k_n</f>
        <v/>
      </c>
      <c r="T3711">
        <f>M3711-LTP3!$D$3*H3711/k_n</f>
        <v/>
      </c>
      <c r="U3711">
        <f>N3711-G3711*LTP3!$D$4/k_n</f>
        <v/>
      </c>
      <c r="V3711">
        <f>O3711-H3711*LTP3!$D$4/k_n</f>
        <v/>
      </c>
      <c r="W3711">
        <f>((LTP3!$D$5)*((P3711)*(Q3711)-(R3711)*(R3711))-(S3711)*((S3711)*(Q3711)-(R3711)*(T3711))+(T3711)*((S3711)*(R3711)-(P3711)*(T3711)))</f>
        <v/>
      </c>
      <c r="X3711">
        <f>IF(ABS(W3711)&gt;1E-12,((LTP3!$D$6)*((P3711)*(Q3711)-(R3711)*(R3711))-(S3711)*((U3711)*(Q3711)-(R3711)*(V3711))+(T3711)*((U3711)*(R3711)-(P3711)*(V3711)))/W3711,0)</f>
        <v/>
      </c>
      <c r="Y3711">
        <f>IF(ABS(W3711)&gt;1E-12,((LTP3!$D$5)*((U3711)*(Q3711)-(R3711)*(V3711))-(LTP3!$D$6)*((S3711)*(Q3711)-(R3711)*(T3711))+(T3711)*((S3711)*(V3711)-(U3711)*(T3711)))/W3711,0)</f>
        <v/>
      </c>
      <c r="Z3711">
        <f>IF(ABS(W3711)&gt;1E-12,((LTP3!$D$5)*((P3711)*(V3711)-(U3711)*(R3711))-(S3711)*((S3711)*(V3711)-(U3711)*(T3711))+(LTP3!$D$6)*((S3711)*(R3711)-(P3711)*(T3711)))/W3711,0)</f>
        <v/>
      </c>
      <c r="AA3711">
        <f>LTP3!$D$7-X3711*LTP3!$D$6-Y3711*U3711-Z3711*V3711</f>
        <v/>
      </c>
      <c r="AB3711">
        <f>IF(AND(F3711,ABS(W3711)&gt;1E-12,Y3711&gt;0,Z3711&gt;0),AA3711,1E+300)</f>
        <v/>
      </c>
    </row>
    <row r="3712">
      <c r="A3712">
        <f>$B$3+$B$5*60</f>
        <v/>
      </c>
      <c r="B3712">
        <f>$B$3+$B$5*40</f>
        <v/>
      </c>
      <c r="C3712">
        <f>SUMPRODUCT(Calc!$K$3:$K$22*(Calc!$G$3:$G$22&lt;=A3712))</f>
        <v/>
      </c>
      <c r="D3712">
        <f>SUMPRODUCT(Calc!$K$3:$K$22*(Calc!$G$3:$G$22&gt;A3712)*(Calc!$G$3:$G$22&lt;B3712))</f>
        <v/>
      </c>
      <c r="E3712">
        <f>SUMPRODUCT(Calc!$K$3:$K$22*(Calc!$G$3:$G$22&gt;=B3712))</f>
        <v/>
      </c>
      <c r="F3712">
        <f>AND(k_n&gt;=5,B3712&gt;A3712+1E-9,C3712&gt;=2,D3712&gt;=1,E3712&gt;=2)</f>
        <v/>
      </c>
      <c r="G3712">
        <f>SUMPRODUCT(Calc!$K$3:$K$22*(Calc!$G$3:$G$22&gt;A3712)*(Calc!$G$3:$G$22-A3712))</f>
        <v/>
      </c>
      <c r="H3712">
        <f>SUMPRODUCT(Calc!$K$3:$K$22*(Calc!$G$3:$G$22&gt;B3712)*(Calc!$G$3:$G$22-B3712))</f>
        <v/>
      </c>
      <c r="I3712">
        <f>SUMPRODUCT(Calc!$K$3:$K$22*(Calc!$G$3:$G$22&gt;A3712)*(Calc!$G$3:$G$22-A3712)^2)</f>
        <v/>
      </c>
      <c r="J3712">
        <f>SUMPRODUCT(Calc!$K$3:$K$22*(Calc!$G$3:$G$22&gt;B3712)*(Calc!$G$3:$G$22-B3712)^2)</f>
        <v/>
      </c>
      <c r="K3712">
        <f>SUMPRODUCT(Calc!$K$3:$K$22*(Calc!$G$3:$G$22&gt;A3712)*(Calc!$G$3:$G$22-A3712)*(Calc!$G$3:$G$22&gt;B3712)*(Calc!$G$3:$G$22-B3712))</f>
        <v/>
      </c>
      <c r="L3712">
        <f>SUMPRODUCT(Calc!$K$3:$K$22*(Calc!$G$3:$G$22&gt;A3712)*(Calc!$G$3:$G$22-A3712)*Calc!$G$3:$G$22)</f>
        <v/>
      </c>
      <c r="M3712">
        <f>SUMPRODUCT(Calc!$K$3:$K$22*(Calc!$G$3:$G$22&gt;B3712)*(Calc!$G$3:$G$22-B3712)*Calc!$G$3:$G$22)</f>
        <v/>
      </c>
      <c r="N3712">
        <f>SUMPRODUCT(Calc!$K$3:$K$22*(Calc!$G$3:$G$22&gt;A3712)*(Calc!$G$3:$G$22-A3712)*Calc!$I$3:$I$22)</f>
        <v/>
      </c>
      <c r="O3712">
        <f>SUMPRODUCT(Calc!$K$3:$K$22*(Calc!$G$3:$G$22&gt;B3712)*(Calc!$G$3:$G$22-B3712)*Calc!$I$3:$I$22)</f>
        <v/>
      </c>
      <c r="P3712">
        <f>I3712-G3712^2/k_n</f>
        <v/>
      </c>
      <c r="Q3712">
        <f>J3712-H3712^2/k_n</f>
        <v/>
      </c>
      <c r="R3712">
        <f>K3712-G3712*H3712/k_n</f>
        <v/>
      </c>
      <c r="S3712">
        <f>L3712-LTP3!$D$3*G3712/k_n</f>
        <v/>
      </c>
      <c r="T3712">
        <f>M3712-LTP3!$D$3*H3712/k_n</f>
        <v/>
      </c>
      <c r="U3712">
        <f>N3712-G3712*LTP3!$D$4/k_n</f>
        <v/>
      </c>
      <c r="V3712">
        <f>O3712-H3712*LTP3!$D$4/k_n</f>
        <v/>
      </c>
      <c r="W3712">
        <f>((LTP3!$D$5)*((P3712)*(Q3712)-(R3712)*(R3712))-(S3712)*((S3712)*(Q3712)-(R3712)*(T3712))+(T3712)*((S3712)*(R3712)-(P3712)*(T3712)))</f>
        <v/>
      </c>
      <c r="X3712">
        <f>IF(ABS(W3712)&gt;1E-12,((LTP3!$D$6)*((P3712)*(Q3712)-(R3712)*(R3712))-(S3712)*((U3712)*(Q3712)-(R3712)*(V3712))+(T3712)*((U3712)*(R3712)-(P3712)*(V3712)))/W3712,0)</f>
        <v/>
      </c>
      <c r="Y3712">
        <f>IF(ABS(W3712)&gt;1E-12,((LTP3!$D$5)*((U3712)*(Q3712)-(R3712)*(V3712))-(LTP3!$D$6)*((S3712)*(Q3712)-(R3712)*(T3712))+(T3712)*((S3712)*(V3712)-(U3712)*(T3712)))/W3712,0)</f>
        <v/>
      </c>
      <c r="Z3712">
        <f>IF(ABS(W3712)&gt;1E-12,((LTP3!$D$5)*((P3712)*(V3712)-(U3712)*(R3712))-(S3712)*((S3712)*(V3712)-(U3712)*(T3712))+(LTP3!$D$6)*((S3712)*(R3712)-(P3712)*(T3712)))/W3712,0)</f>
        <v/>
      </c>
      <c r="AA3712">
        <f>LTP3!$D$7-X3712*LTP3!$D$6-Y3712*U3712-Z3712*V3712</f>
        <v/>
      </c>
      <c r="AB3712">
        <f>IF(AND(F3712,ABS(W3712)&gt;1E-12,Y3712&gt;0,Z3712&gt;0),AA3712,1E+300)</f>
        <v/>
      </c>
    </row>
    <row r="3713">
      <c r="A3713">
        <f>$B$3+$B$5*60</f>
        <v/>
      </c>
      <c r="B3713">
        <f>$B$3+$B$5*41</f>
        <v/>
      </c>
      <c r="C3713">
        <f>SUMPRODUCT(Calc!$K$3:$K$22*(Calc!$G$3:$G$22&lt;=A3713))</f>
        <v/>
      </c>
      <c r="D3713">
        <f>SUMPRODUCT(Calc!$K$3:$K$22*(Calc!$G$3:$G$22&gt;A3713)*(Calc!$G$3:$G$22&lt;B3713))</f>
        <v/>
      </c>
      <c r="E3713">
        <f>SUMPRODUCT(Calc!$K$3:$K$22*(Calc!$G$3:$G$22&gt;=B3713))</f>
        <v/>
      </c>
      <c r="F3713">
        <f>AND(k_n&gt;=5,B3713&gt;A3713+1E-9,C3713&gt;=2,D3713&gt;=1,E3713&gt;=2)</f>
        <v/>
      </c>
      <c r="G3713">
        <f>SUMPRODUCT(Calc!$K$3:$K$22*(Calc!$G$3:$G$22&gt;A3713)*(Calc!$G$3:$G$22-A3713))</f>
        <v/>
      </c>
      <c r="H3713">
        <f>SUMPRODUCT(Calc!$K$3:$K$22*(Calc!$G$3:$G$22&gt;B3713)*(Calc!$G$3:$G$22-B3713))</f>
        <v/>
      </c>
      <c r="I3713">
        <f>SUMPRODUCT(Calc!$K$3:$K$22*(Calc!$G$3:$G$22&gt;A3713)*(Calc!$G$3:$G$22-A3713)^2)</f>
        <v/>
      </c>
      <c r="J3713">
        <f>SUMPRODUCT(Calc!$K$3:$K$22*(Calc!$G$3:$G$22&gt;B3713)*(Calc!$G$3:$G$22-B3713)^2)</f>
        <v/>
      </c>
      <c r="K3713">
        <f>SUMPRODUCT(Calc!$K$3:$K$22*(Calc!$G$3:$G$22&gt;A3713)*(Calc!$G$3:$G$22-A3713)*(Calc!$G$3:$G$22&gt;B3713)*(Calc!$G$3:$G$22-B3713))</f>
        <v/>
      </c>
      <c r="L3713">
        <f>SUMPRODUCT(Calc!$K$3:$K$22*(Calc!$G$3:$G$22&gt;A3713)*(Calc!$G$3:$G$22-A3713)*Calc!$G$3:$G$22)</f>
        <v/>
      </c>
      <c r="M3713">
        <f>SUMPRODUCT(Calc!$K$3:$K$22*(Calc!$G$3:$G$22&gt;B3713)*(Calc!$G$3:$G$22-B3713)*Calc!$G$3:$G$22)</f>
        <v/>
      </c>
      <c r="N3713">
        <f>SUMPRODUCT(Calc!$K$3:$K$22*(Calc!$G$3:$G$22&gt;A3713)*(Calc!$G$3:$G$22-A3713)*Calc!$I$3:$I$22)</f>
        <v/>
      </c>
      <c r="O3713">
        <f>SUMPRODUCT(Calc!$K$3:$K$22*(Calc!$G$3:$G$22&gt;B3713)*(Calc!$G$3:$G$22-B3713)*Calc!$I$3:$I$22)</f>
        <v/>
      </c>
      <c r="P3713">
        <f>I3713-G3713^2/k_n</f>
        <v/>
      </c>
      <c r="Q3713">
        <f>J3713-H3713^2/k_n</f>
        <v/>
      </c>
      <c r="R3713">
        <f>K3713-G3713*H3713/k_n</f>
        <v/>
      </c>
      <c r="S3713">
        <f>L3713-LTP3!$D$3*G3713/k_n</f>
        <v/>
      </c>
      <c r="T3713">
        <f>M3713-LTP3!$D$3*H3713/k_n</f>
        <v/>
      </c>
      <c r="U3713">
        <f>N3713-G3713*LTP3!$D$4/k_n</f>
        <v/>
      </c>
      <c r="V3713">
        <f>O3713-H3713*LTP3!$D$4/k_n</f>
        <v/>
      </c>
      <c r="W3713">
        <f>((LTP3!$D$5)*((P3713)*(Q3713)-(R3713)*(R3713))-(S3713)*((S3713)*(Q3713)-(R3713)*(T3713))+(T3713)*((S3713)*(R3713)-(P3713)*(T3713)))</f>
        <v/>
      </c>
      <c r="X3713">
        <f>IF(ABS(W3713)&gt;1E-12,((LTP3!$D$6)*((P3713)*(Q3713)-(R3713)*(R3713))-(S3713)*((U3713)*(Q3713)-(R3713)*(V3713))+(T3713)*((U3713)*(R3713)-(P3713)*(V3713)))/W3713,0)</f>
        <v/>
      </c>
      <c r="Y3713">
        <f>IF(ABS(W3713)&gt;1E-12,((LTP3!$D$5)*((U3713)*(Q3713)-(R3713)*(V3713))-(LTP3!$D$6)*((S3713)*(Q3713)-(R3713)*(T3713))+(T3713)*((S3713)*(V3713)-(U3713)*(T3713)))/W3713,0)</f>
        <v/>
      </c>
      <c r="Z3713">
        <f>IF(ABS(W3713)&gt;1E-12,((LTP3!$D$5)*((P3713)*(V3713)-(U3713)*(R3713))-(S3713)*((S3713)*(V3713)-(U3713)*(T3713))+(LTP3!$D$6)*((S3713)*(R3713)-(P3713)*(T3713)))/W3713,0)</f>
        <v/>
      </c>
      <c r="AA3713">
        <f>LTP3!$D$7-X3713*LTP3!$D$6-Y3713*U3713-Z3713*V3713</f>
        <v/>
      </c>
      <c r="AB3713">
        <f>IF(AND(F3713,ABS(W3713)&gt;1E-12,Y3713&gt;0,Z3713&gt;0),AA3713,1E+300)</f>
        <v/>
      </c>
    </row>
    <row r="3714">
      <c r="A3714">
        <f>$B$3+$B$5*60</f>
        <v/>
      </c>
      <c r="B3714">
        <f>$B$3+$B$5*42</f>
        <v/>
      </c>
      <c r="C3714">
        <f>SUMPRODUCT(Calc!$K$3:$K$22*(Calc!$G$3:$G$22&lt;=A3714))</f>
        <v/>
      </c>
      <c r="D3714">
        <f>SUMPRODUCT(Calc!$K$3:$K$22*(Calc!$G$3:$G$22&gt;A3714)*(Calc!$G$3:$G$22&lt;B3714))</f>
        <v/>
      </c>
      <c r="E3714">
        <f>SUMPRODUCT(Calc!$K$3:$K$22*(Calc!$G$3:$G$22&gt;=B3714))</f>
        <v/>
      </c>
      <c r="F3714">
        <f>AND(k_n&gt;=5,B3714&gt;A3714+1E-9,C3714&gt;=2,D3714&gt;=1,E3714&gt;=2)</f>
        <v/>
      </c>
      <c r="G3714">
        <f>SUMPRODUCT(Calc!$K$3:$K$22*(Calc!$G$3:$G$22&gt;A3714)*(Calc!$G$3:$G$22-A3714))</f>
        <v/>
      </c>
      <c r="H3714">
        <f>SUMPRODUCT(Calc!$K$3:$K$22*(Calc!$G$3:$G$22&gt;B3714)*(Calc!$G$3:$G$22-B3714))</f>
        <v/>
      </c>
      <c r="I3714">
        <f>SUMPRODUCT(Calc!$K$3:$K$22*(Calc!$G$3:$G$22&gt;A3714)*(Calc!$G$3:$G$22-A3714)^2)</f>
        <v/>
      </c>
      <c r="J3714">
        <f>SUMPRODUCT(Calc!$K$3:$K$22*(Calc!$G$3:$G$22&gt;B3714)*(Calc!$G$3:$G$22-B3714)^2)</f>
        <v/>
      </c>
      <c r="K3714">
        <f>SUMPRODUCT(Calc!$K$3:$K$22*(Calc!$G$3:$G$22&gt;A3714)*(Calc!$G$3:$G$22-A3714)*(Calc!$G$3:$G$22&gt;B3714)*(Calc!$G$3:$G$22-B3714))</f>
        <v/>
      </c>
      <c r="L3714">
        <f>SUMPRODUCT(Calc!$K$3:$K$22*(Calc!$G$3:$G$22&gt;A3714)*(Calc!$G$3:$G$22-A3714)*Calc!$G$3:$G$22)</f>
        <v/>
      </c>
      <c r="M3714">
        <f>SUMPRODUCT(Calc!$K$3:$K$22*(Calc!$G$3:$G$22&gt;B3714)*(Calc!$G$3:$G$22-B3714)*Calc!$G$3:$G$22)</f>
        <v/>
      </c>
      <c r="N3714">
        <f>SUMPRODUCT(Calc!$K$3:$K$22*(Calc!$G$3:$G$22&gt;A3714)*(Calc!$G$3:$G$22-A3714)*Calc!$I$3:$I$22)</f>
        <v/>
      </c>
      <c r="O3714">
        <f>SUMPRODUCT(Calc!$K$3:$K$22*(Calc!$G$3:$G$22&gt;B3714)*(Calc!$G$3:$G$22-B3714)*Calc!$I$3:$I$22)</f>
        <v/>
      </c>
      <c r="P3714">
        <f>I3714-G3714^2/k_n</f>
        <v/>
      </c>
      <c r="Q3714">
        <f>J3714-H3714^2/k_n</f>
        <v/>
      </c>
      <c r="R3714">
        <f>K3714-G3714*H3714/k_n</f>
        <v/>
      </c>
      <c r="S3714">
        <f>L3714-LTP3!$D$3*G3714/k_n</f>
        <v/>
      </c>
      <c r="T3714">
        <f>M3714-LTP3!$D$3*H3714/k_n</f>
        <v/>
      </c>
      <c r="U3714">
        <f>N3714-G3714*LTP3!$D$4/k_n</f>
        <v/>
      </c>
      <c r="V3714">
        <f>O3714-H3714*LTP3!$D$4/k_n</f>
        <v/>
      </c>
      <c r="W3714">
        <f>((LTP3!$D$5)*((P3714)*(Q3714)-(R3714)*(R3714))-(S3714)*((S3714)*(Q3714)-(R3714)*(T3714))+(T3714)*((S3714)*(R3714)-(P3714)*(T3714)))</f>
        <v/>
      </c>
      <c r="X3714">
        <f>IF(ABS(W3714)&gt;1E-12,((LTP3!$D$6)*((P3714)*(Q3714)-(R3714)*(R3714))-(S3714)*((U3714)*(Q3714)-(R3714)*(V3714))+(T3714)*((U3714)*(R3714)-(P3714)*(V3714)))/W3714,0)</f>
        <v/>
      </c>
      <c r="Y3714">
        <f>IF(ABS(W3714)&gt;1E-12,((LTP3!$D$5)*((U3714)*(Q3714)-(R3714)*(V3714))-(LTP3!$D$6)*((S3714)*(Q3714)-(R3714)*(T3714))+(T3714)*((S3714)*(V3714)-(U3714)*(T3714)))/W3714,0)</f>
        <v/>
      </c>
      <c r="Z3714">
        <f>IF(ABS(W3714)&gt;1E-12,((LTP3!$D$5)*((P3714)*(V3714)-(U3714)*(R3714))-(S3714)*((S3714)*(V3714)-(U3714)*(T3714))+(LTP3!$D$6)*((S3714)*(R3714)-(P3714)*(T3714)))/W3714,0)</f>
        <v/>
      </c>
      <c r="AA3714">
        <f>LTP3!$D$7-X3714*LTP3!$D$6-Y3714*U3714-Z3714*V3714</f>
        <v/>
      </c>
      <c r="AB3714">
        <f>IF(AND(F3714,ABS(W3714)&gt;1E-12,Y3714&gt;0,Z3714&gt;0),AA3714,1E+300)</f>
        <v/>
      </c>
    </row>
    <row r="3715">
      <c r="A3715">
        <f>$B$3+$B$5*60</f>
        <v/>
      </c>
      <c r="B3715">
        <f>$B$3+$B$5*43</f>
        <v/>
      </c>
      <c r="C3715">
        <f>SUMPRODUCT(Calc!$K$3:$K$22*(Calc!$G$3:$G$22&lt;=A3715))</f>
        <v/>
      </c>
      <c r="D3715">
        <f>SUMPRODUCT(Calc!$K$3:$K$22*(Calc!$G$3:$G$22&gt;A3715)*(Calc!$G$3:$G$22&lt;B3715))</f>
        <v/>
      </c>
      <c r="E3715">
        <f>SUMPRODUCT(Calc!$K$3:$K$22*(Calc!$G$3:$G$22&gt;=B3715))</f>
        <v/>
      </c>
      <c r="F3715">
        <f>AND(k_n&gt;=5,B3715&gt;A3715+1E-9,C3715&gt;=2,D3715&gt;=1,E3715&gt;=2)</f>
        <v/>
      </c>
      <c r="G3715">
        <f>SUMPRODUCT(Calc!$K$3:$K$22*(Calc!$G$3:$G$22&gt;A3715)*(Calc!$G$3:$G$22-A3715))</f>
        <v/>
      </c>
      <c r="H3715">
        <f>SUMPRODUCT(Calc!$K$3:$K$22*(Calc!$G$3:$G$22&gt;B3715)*(Calc!$G$3:$G$22-B3715))</f>
        <v/>
      </c>
      <c r="I3715">
        <f>SUMPRODUCT(Calc!$K$3:$K$22*(Calc!$G$3:$G$22&gt;A3715)*(Calc!$G$3:$G$22-A3715)^2)</f>
        <v/>
      </c>
      <c r="J3715">
        <f>SUMPRODUCT(Calc!$K$3:$K$22*(Calc!$G$3:$G$22&gt;B3715)*(Calc!$G$3:$G$22-B3715)^2)</f>
        <v/>
      </c>
      <c r="K3715">
        <f>SUMPRODUCT(Calc!$K$3:$K$22*(Calc!$G$3:$G$22&gt;A3715)*(Calc!$G$3:$G$22-A3715)*(Calc!$G$3:$G$22&gt;B3715)*(Calc!$G$3:$G$22-B3715))</f>
        <v/>
      </c>
      <c r="L3715">
        <f>SUMPRODUCT(Calc!$K$3:$K$22*(Calc!$G$3:$G$22&gt;A3715)*(Calc!$G$3:$G$22-A3715)*Calc!$G$3:$G$22)</f>
        <v/>
      </c>
      <c r="M3715">
        <f>SUMPRODUCT(Calc!$K$3:$K$22*(Calc!$G$3:$G$22&gt;B3715)*(Calc!$G$3:$G$22-B3715)*Calc!$G$3:$G$22)</f>
        <v/>
      </c>
      <c r="N3715">
        <f>SUMPRODUCT(Calc!$K$3:$K$22*(Calc!$G$3:$G$22&gt;A3715)*(Calc!$G$3:$G$22-A3715)*Calc!$I$3:$I$22)</f>
        <v/>
      </c>
      <c r="O3715">
        <f>SUMPRODUCT(Calc!$K$3:$K$22*(Calc!$G$3:$G$22&gt;B3715)*(Calc!$G$3:$G$22-B3715)*Calc!$I$3:$I$22)</f>
        <v/>
      </c>
      <c r="P3715">
        <f>I3715-G3715^2/k_n</f>
        <v/>
      </c>
      <c r="Q3715">
        <f>J3715-H3715^2/k_n</f>
        <v/>
      </c>
      <c r="R3715">
        <f>K3715-G3715*H3715/k_n</f>
        <v/>
      </c>
      <c r="S3715">
        <f>L3715-LTP3!$D$3*G3715/k_n</f>
        <v/>
      </c>
      <c r="T3715">
        <f>M3715-LTP3!$D$3*H3715/k_n</f>
        <v/>
      </c>
      <c r="U3715">
        <f>N3715-G3715*LTP3!$D$4/k_n</f>
        <v/>
      </c>
      <c r="V3715">
        <f>O3715-H3715*LTP3!$D$4/k_n</f>
        <v/>
      </c>
      <c r="W3715">
        <f>((LTP3!$D$5)*((P3715)*(Q3715)-(R3715)*(R3715))-(S3715)*((S3715)*(Q3715)-(R3715)*(T3715))+(T3715)*((S3715)*(R3715)-(P3715)*(T3715)))</f>
        <v/>
      </c>
      <c r="X3715">
        <f>IF(ABS(W3715)&gt;1E-12,((LTP3!$D$6)*((P3715)*(Q3715)-(R3715)*(R3715))-(S3715)*((U3715)*(Q3715)-(R3715)*(V3715))+(T3715)*((U3715)*(R3715)-(P3715)*(V3715)))/W3715,0)</f>
        <v/>
      </c>
      <c r="Y3715">
        <f>IF(ABS(W3715)&gt;1E-12,((LTP3!$D$5)*((U3715)*(Q3715)-(R3715)*(V3715))-(LTP3!$D$6)*((S3715)*(Q3715)-(R3715)*(T3715))+(T3715)*((S3715)*(V3715)-(U3715)*(T3715)))/W3715,0)</f>
        <v/>
      </c>
      <c r="Z3715">
        <f>IF(ABS(W3715)&gt;1E-12,((LTP3!$D$5)*((P3715)*(V3715)-(U3715)*(R3715))-(S3715)*((S3715)*(V3715)-(U3715)*(T3715))+(LTP3!$D$6)*((S3715)*(R3715)-(P3715)*(T3715)))/W3715,0)</f>
        <v/>
      </c>
      <c r="AA3715">
        <f>LTP3!$D$7-X3715*LTP3!$D$6-Y3715*U3715-Z3715*V3715</f>
        <v/>
      </c>
      <c r="AB3715">
        <f>IF(AND(F3715,ABS(W3715)&gt;1E-12,Y3715&gt;0,Z3715&gt;0),AA3715,1E+300)</f>
        <v/>
      </c>
    </row>
    <row r="3716">
      <c r="A3716">
        <f>$B$3+$B$5*60</f>
        <v/>
      </c>
      <c r="B3716">
        <f>$B$3+$B$5*44</f>
        <v/>
      </c>
      <c r="C3716">
        <f>SUMPRODUCT(Calc!$K$3:$K$22*(Calc!$G$3:$G$22&lt;=A3716))</f>
        <v/>
      </c>
      <c r="D3716">
        <f>SUMPRODUCT(Calc!$K$3:$K$22*(Calc!$G$3:$G$22&gt;A3716)*(Calc!$G$3:$G$22&lt;B3716))</f>
        <v/>
      </c>
      <c r="E3716">
        <f>SUMPRODUCT(Calc!$K$3:$K$22*(Calc!$G$3:$G$22&gt;=B3716))</f>
        <v/>
      </c>
      <c r="F3716">
        <f>AND(k_n&gt;=5,B3716&gt;A3716+1E-9,C3716&gt;=2,D3716&gt;=1,E3716&gt;=2)</f>
        <v/>
      </c>
      <c r="G3716">
        <f>SUMPRODUCT(Calc!$K$3:$K$22*(Calc!$G$3:$G$22&gt;A3716)*(Calc!$G$3:$G$22-A3716))</f>
        <v/>
      </c>
      <c r="H3716">
        <f>SUMPRODUCT(Calc!$K$3:$K$22*(Calc!$G$3:$G$22&gt;B3716)*(Calc!$G$3:$G$22-B3716))</f>
        <v/>
      </c>
      <c r="I3716">
        <f>SUMPRODUCT(Calc!$K$3:$K$22*(Calc!$G$3:$G$22&gt;A3716)*(Calc!$G$3:$G$22-A3716)^2)</f>
        <v/>
      </c>
      <c r="J3716">
        <f>SUMPRODUCT(Calc!$K$3:$K$22*(Calc!$G$3:$G$22&gt;B3716)*(Calc!$G$3:$G$22-B3716)^2)</f>
        <v/>
      </c>
      <c r="K3716">
        <f>SUMPRODUCT(Calc!$K$3:$K$22*(Calc!$G$3:$G$22&gt;A3716)*(Calc!$G$3:$G$22-A3716)*(Calc!$G$3:$G$22&gt;B3716)*(Calc!$G$3:$G$22-B3716))</f>
        <v/>
      </c>
      <c r="L3716">
        <f>SUMPRODUCT(Calc!$K$3:$K$22*(Calc!$G$3:$G$22&gt;A3716)*(Calc!$G$3:$G$22-A3716)*Calc!$G$3:$G$22)</f>
        <v/>
      </c>
      <c r="M3716">
        <f>SUMPRODUCT(Calc!$K$3:$K$22*(Calc!$G$3:$G$22&gt;B3716)*(Calc!$G$3:$G$22-B3716)*Calc!$G$3:$G$22)</f>
        <v/>
      </c>
      <c r="N3716">
        <f>SUMPRODUCT(Calc!$K$3:$K$22*(Calc!$G$3:$G$22&gt;A3716)*(Calc!$G$3:$G$22-A3716)*Calc!$I$3:$I$22)</f>
        <v/>
      </c>
      <c r="O3716">
        <f>SUMPRODUCT(Calc!$K$3:$K$22*(Calc!$G$3:$G$22&gt;B3716)*(Calc!$G$3:$G$22-B3716)*Calc!$I$3:$I$22)</f>
        <v/>
      </c>
      <c r="P3716">
        <f>I3716-G3716^2/k_n</f>
        <v/>
      </c>
      <c r="Q3716">
        <f>J3716-H3716^2/k_n</f>
        <v/>
      </c>
      <c r="R3716">
        <f>K3716-G3716*H3716/k_n</f>
        <v/>
      </c>
      <c r="S3716">
        <f>L3716-LTP3!$D$3*G3716/k_n</f>
        <v/>
      </c>
      <c r="T3716">
        <f>M3716-LTP3!$D$3*H3716/k_n</f>
        <v/>
      </c>
      <c r="U3716">
        <f>N3716-G3716*LTP3!$D$4/k_n</f>
        <v/>
      </c>
      <c r="V3716">
        <f>O3716-H3716*LTP3!$D$4/k_n</f>
        <v/>
      </c>
      <c r="W3716">
        <f>((LTP3!$D$5)*((P3716)*(Q3716)-(R3716)*(R3716))-(S3716)*((S3716)*(Q3716)-(R3716)*(T3716))+(T3716)*((S3716)*(R3716)-(P3716)*(T3716)))</f>
        <v/>
      </c>
      <c r="X3716">
        <f>IF(ABS(W3716)&gt;1E-12,((LTP3!$D$6)*((P3716)*(Q3716)-(R3716)*(R3716))-(S3716)*((U3716)*(Q3716)-(R3716)*(V3716))+(T3716)*((U3716)*(R3716)-(P3716)*(V3716)))/W3716,0)</f>
        <v/>
      </c>
      <c r="Y3716">
        <f>IF(ABS(W3716)&gt;1E-12,((LTP3!$D$5)*((U3716)*(Q3716)-(R3716)*(V3716))-(LTP3!$D$6)*((S3716)*(Q3716)-(R3716)*(T3716))+(T3716)*((S3716)*(V3716)-(U3716)*(T3716)))/W3716,0)</f>
        <v/>
      </c>
      <c r="Z3716">
        <f>IF(ABS(W3716)&gt;1E-12,((LTP3!$D$5)*((P3716)*(V3716)-(U3716)*(R3716))-(S3716)*((S3716)*(V3716)-(U3716)*(T3716))+(LTP3!$D$6)*((S3716)*(R3716)-(P3716)*(T3716)))/W3716,0)</f>
        <v/>
      </c>
      <c r="AA3716">
        <f>LTP3!$D$7-X3716*LTP3!$D$6-Y3716*U3716-Z3716*V3716</f>
        <v/>
      </c>
      <c r="AB3716">
        <f>IF(AND(F3716,ABS(W3716)&gt;1E-12,Y3716&gt;0,Z3716&gt;0),AA3716,1E+300)</f>
        <v/>
      </c>
    </row>
    <row r="3717">
      <c r="A3717">
        <f>$B$3+$B$5*60</f>
        <v/>
      </c>
      <c r="B3717">
        <f>$B$3+$B$5*45</f>
        <v/>
      </c>
      <c r="C3717">
        <f>SUMPRODUCT(Calc!$K$3:$K$22*(Calc!$G$3:$G$22&lt;=A3717))</f>
        <v/>
      </c>
      <c r="D3717">
        <f>SUMPRODUCT(Calc!$K$3:$K$22*(Calc!$G$3:$G$22&gt;A3717)*(Calc!$G$3:$G$22&lt;B3717))</f>
        <v/>
      </c>
      <c r="E3717">
        <f>SUMPRODUCT(Calc!$K$3:$K$22*(Calc!$G$3:$G$22&gt;=B3717))</f>
        <v/>
      </c>
      <c r="F3717">
        <f>AND(k_n&gt;=5,B3717&gt;A3717+1E-9,C3717&gt;=2,D3717&gt;=1,E3717&gt;=2)</f>
        <v/>
      </c>
      <c r="G3717">
        <f>SUMPRODUCT(Calc!$K$3:$K$22*(Calc!$G$3:$G$22&gt;A3717)*(Calc!$G$3:$G$22-A3717))</f>
        <v/>
      </c>
      <c r="H3717">
        <f>SUMPRODUCT(Calc!$K$3:$K$22*(Calc!$G$3:$G$22&gt;B3717)*(Calc!$G$3:$G$22-B3717))</f>
        <v/>
      </c>
      <c r="I3717">
        <f>SUMPRODUCT(Calc!$K$3:$K$22*(Calc!$G$3:$G$22&gt;A3717)*(Calc!$G$3:$G$22-A3717)^2)</f>
        <v/>
      </c>
      <c r="J3717">
        <f>SUMPRODUCT(Calc!$K$3:$K$22*(Calc!$G$3:$G$22&gt;B3717)*(Calc!$G$3:$G$22-B3717)^2)</f>
        <v/>
      </c>
      <c r="K3717">
        <f>SUMPRODUCT(Calc!$K$3:$K$22*(Calc!$G$3:$G$22&gt;A3717)*(Calc!$G$3:$G$22-A3717)*(Calc!$G$3:$G$22&gt;B3717)*(Calc!$G$3:$G$22-B3717))</f>
        <v/>
      </c>
      <c r="L3717">
        <f>SUMPRODUCT(Calc!$K$3:$K$22*(Calc!$G$3:$G$22&gt;A3717)*(Calc!$G$3:$G$22-A3717)*Calc!$G$3:$G$22)</f>
        <v/>
      </c>
      <c r="M3717">
        <f>SUMPRODUCT(Calc!$K$3:$K$22*(Calc!$G$3:$G$22&gt;B3717)*(Calc!$G$3:$G$22-B3717)*Calc!$G$3:$G$22)</f>
        <v/>
      </c>
      <c r="N3717">
        <f>SUMPRODUCT(Calc!$K$3:$K$22*(Calc!$G$3:$G$22&gt;A3717)*(Calc!$G$3:$G$22-A3717)*Calc!$I$3:$I$22)</f>
        <v/>
      </c>
      <c r="O3717">
        <f>SUMPRODUCT(Calc!$K$3:$K$22*(Calc!$G$3:$G$22&gt;B3717)*(Calc!$G$3:$G$22-B3717)*Calc!$I$3:$I$22)</f>
        <v/>
      </c>
      <c r="P3717">
        <f>I3717-G3717^2/k_n</f>
        <v/>
      </c>
      <c r="Q3717">
        <f>J3717-H3717^2/k_n</f>
        <v/>
      </c>
      <c r="R3717">
        <f>K3717-G3717*H3717/k_n</f>
        <v/>
      </c>
      <c r="S3717">
        <f>L3717-LTP3!$D$3*G3717/k_n</f>
        <v/>
      </c>
      <c r="T3717">
        <f>M3717-LTP3!$D$3*H3717/k_n</f>
        <v/>
      </c>
      <c r="U3717">
        <f>N3717-G3717*LTP3!$D$4/k_n</f>
        <v/>
      </c>
      <c r="V3717">
        <f>O3717-H3717*LTP3!$D$4/k_n</f>
        <v/>
      </c>
      <c r="W3717">
        <f>((LTP3!$D$5)*((P3717)*(Q3717)-(R3717)*(R3717))-(S3717)*((S3717)*(Q3717)-(R3717)*(T3717))+(T3717)*((S3717)*(R3717)-(P3717)*(T3717)))</f>
        <v/>
      </c>
      <c r="X3717">
        <f>IF(ABS(W3717)&gt;1E-12,((LTP3!$D$6)*((P3717)*(Q3717)-(R3717)*(R3717))-(S3717)*((U3717)*(Q3717)-(R3717)*(V3717))+(T3717)*((U3717)*(R3717)-(P3717)*(V3717)))/W3717,0)</f>
        <v/>
      </c>
      <c r="Y3717">
        <f>IF(ABS(W3717)&gt;1E-12,((LTP3!$D$5)*((U3717)*(Q3717)-(R3717)*(V3717))-(LTP3!$D$6)*((S3717)*(Q3717)-(R3717)*(T3717))+(T3717)*((S3717)*(V3717)-(U3717)*(T3717)))/W3717,0)</f>
        <v/>
      </c>
      <c r="Z3717">
        <f>IF(ABS(W3717)&gt;1E-12,((LTP3!$D$5)*((P3717)*(V3717)-(U3717)*(R3717))-(S3717)*((S3717)*(V3717)-(U3717)*(T3717))+(LTP3!$D$6)*((S3717)*(R3717)-(P3717)*(T3717)))/W3717,0)</f>
        <v/>
      </c>
      <c r="AA3717">
        <f>LTP3!$D$7-X3717*LTP3!$D$6-Y3717*U3717-Z3717*V3717</f>
        <v/>
      </c>
      <c r="AB3717">
        <f>IF(AND(F3717,ABS(W3717)&gt;1E-12,Y3717&gt;0,Z3717&gt;0),AA3717,1E+300)</f>
        <v/>
      </c>
    </row>
    <row r="3718">
      <c r="A3718">
        <f>$B$3+$B$5*60</f>
        <v/>
      </c>
      <c r="B3718">
        <f>$B$3+$B$5*46</f>
        <v/>
      </c>
      <c r="C3718">
        <f>SUMPRODUCT(Calc!$K$3:$K$22*(Calc!$G$3:$G$22&lt;=A3718))</f>
        <v/>
      </c>
      <c r="D3718">
        <f>SUMPRODUCT(Calc!$K$3:$K$22*(Calc!$G$3:$G$22&gt;A3718)*(Calc!$G$3:$G$22&lt;B3718))</f>
        <v/>
      </c>
      <c r="E3718">
        <f>SUMPRODUCT(Calc!$K$3:$K$22*(Calc!$G$3:$G$22&gt;=B3718))</f>
        <v/>
      </c>
      <c r="F3718">
        <f>AND(k_n&gt;=5,B3718&gt;A3718+1E-9,C3718&gt;=2,D3718&gt;=1,E3718&gt;=2)</f>
        <v/>
      </c>
      <c r="G3718">
        <f>SUMPRODUCT(Calc!$K$3:$K$22*(Calc!$G$3:$G$22&gt;A3718)*(Calc!$G$3:$G$22-A3718))</f>
        <v/>
      </c>
      <c r="H3718">
        <f>SUMPRODUCT(Calc!$K$3:$K$22*(Calc!$G$3:$G$22&gt;B3718)*(Calc!$G$3:$G$22-B3718))</f>
        <v/>
      </c>
      <c r="I3718">
        <f>SUMPRODUCT(Calc!$K$3:$K$22*(Calc!$G$3:$G$22&gt;A3718)*(Calc!$G$3:$G$22-A3718)^2)</f>
        <v/>
      </c>
      <c r="J3718">
        <f>SUMPRODUCT(Calc!$K$3:$K$22*(Calc!$G$3:$G$22&gt;B3718)*(Calc!$G$3:$G$22-B3718)^2)</f>
        <v/>
      </c>
      <c r="K3718">
        <f>SUMPRODUCT(Calc!$K$3:$K$22*(Calc!$G$3:$G$22&gt;A3718)*(Calc!$G$3:$G$22-A3718)*(Calc!$G$3:$G$22&gt;B3718)*(Calc!$G$3:$G$22-B3718))</f>
        <v/>
      </c>
      <c r="L3718">
        <f>SUMPRODUCT(Calc!$K$3:$K$22*(Calc!$G$3:$G$22&gt;A3718)*(Calc!$G$3:$G$22-A3718)*Calc!$G$3:$G$22)</f>
        <v/>
      </c>
      <c r="M3718">
        <f>SUMPRODUCT(Calc!$K$3:$K$22*(Calc!$G$3:$G$22&gt;B3718)*(Calc!$G$3:$G$22-B3718)*Calc!$G$3:$G$22)</f>
        <v/>
      </c>
      <c r="N3718">
        <f>SUMPRODUCT(Calc!$K$3:$K$22*(Calc!$G$3:$G$22&gt;A3718)*(Calc!$G$3:$G$22-A3718)*Calc!$I$3:$I$22)</f>
        <v/>
      </c>
      <c r="O3718">
        <f>SUMPRODUCT(Calc!$K$3:$K$22*(Calc!$G$3:$G$22&gt;B3718)*(Calc!$G$3:$G$22-B3718)*Calc!$I$3:$I$22)</f>
        <v/>
      </c>
      <c r="P3718">
        <f>I3718-G3718^2/k_n</f>
        <v/>
      </c>
      <c r="Q3718">
        <f>J3718-H3718^2/k_n</f>
        <v/>
      </c>
      <c r="R3718">
        <f>K3718-G3718*H3718/k_n</f>
        <v/>
      </c>
      <c r="S3718">
        <f>L3718-LTP3!$D$3*G3718/k_n</f>
        <v/>
      </c>
      <c r="T3718">
        <f>M3718-LTP3!$D$3*H3718/k_n</f>
        <v/>
      </c>
      <c r="U3718">
        <f>N3718-G3718*LTP3!$D$4/k_n</f>
        <v/>
      </c>
      <c r="V3718">
        <f>O3718-H3718*LTP3!$D$4/k_n</f>
        <v/>
      </c>
      <c r="W3718">
        <f>((LTP3!$D$5)*((P3718)*(Q3718)-(R3718)*(R3718))-(S3718)*((S3718)*(Q3718)-(R3718)*(T3718))+(T3718)*((S3718)*(R3718)-(P3718)*(T3718)))</f>
        <v/>
      </c>
      <c r="X3718">
        <f>IF(ABS(W3718)&gt;1E-12,((LTP3!$D$6)*((P3718)*(Q3718)-(R3718)*(R3718))-(S3718)*((U3718)*(Q3718)-(R3718)*(V3718))+(T3718)*((U3718)*(R3718)-(P3718)*(V3718)))/W3718,0)</f>
        <v/>
      </c>
      <c r="Y3718">
        <f>IF(ABS(W3718)&gt;1E-12,((LTP3!$D$5)*((U3718)*(Q3718)-(R3718)*(V3718))-(LTP3!$D$6)*((S3718)*(Q3718)-(R3718)*(T3718))+(T3718)*((S3718)*(V3718)-(U3718)*(T3718)))/W3718,0)</f>
        <v/>
      </c>
      <c r="Z3718">
        <f>IF(ABS(W3718)&gt;1E-12,((LTP3!$D$5)*((P3718)*(V3718)-(U3718)*(R3718))-(S3718)*((S3718)*(V3718)-(U3718)*(T3718))+(LTP3!$D$6)*((S3718)*(R3718)-(P3718)*(T3718)))/W3718,0)</f>
        <v/>
      </c>
      <c r="AA3718">
        <f>LTP3!$D$7-X3718*LTP3!$D$6-Y3718*U3718-Z3718*V3718</f>
        <v/>
      </c>
      <c r="AB3718">
        <f>IF(AND(F3718,ABS(W3718)&gt;1E-12,Y3718&gt;0,Z3718&gt;0),AA3718,1E+300)</f>
        <v/>
      </c>
    </row>
    <row r="3719">
      <c r="A3719">
        <f>$B$3+$B$5*60</f>
        <v/>
      </c>
      <c r="B3719">
        <f>$B$3+$B$5*47</f>
        <v/>
      </c>
      <c r="C3719">
        <f>SUMPRODUCT(Calc!$K$3:$K$22*(Calc!$G$3:$G$22&lt;=A3719))</f>
        <v/>
      </c>
      <c r="D3719">
        <f>SUMPRODUCT(Calc!$K$3:$K$22*(Calc!$G$3:$G$22&gt;A3719)*(Calc!$G$3:$G$22&lt;B3719))</f>
        <v/>
      </c>
      <c r="E3719">
        <f>SUMPRODUCT(Calc!$K$3:$K$22*(Calc!$G$3:$G$22&gt;=B3719))</f>
        <v/>
      </c>
      <c r="F3719">
        <f>AND(k_n&gt;=5,B3719&gt;A3719+1E-9,C3719&gt;=2,D3719&gt;=1,E3719&gt;=2)</f>
        <v/>
      </c>
      <c r="G3719">
        <f>SUMPRODUCT(Calc!$K$3:$K$22*(Calc!$G$3:$G$22&gt;A3719)*(Calc!$G$3:$G$22-A3719))</f>
        <v/>
      </c>
      <c r="H3719">
        <f>SUMPRODUCT(Calc!$K$3:$K$22*(Calc!$G$3:$G$22&gt;B3719)*(Calc!$G$3:$G$22-B3719))</f>
        <v/>
      </c>
      <c r="I3719">
        <f>SUMPRODUCT(Calc!$K$3:$K$22*(Calc!$G$3:$G$22&gt;A3719)*(Calc!$G$3:$G$22-A3719)^2)</f>
        <v/>
      </c>
      <c r="J3719">
        <f>SUMPRODUCT(Calc!$K$3:$K$22*(Calc!$G$3:$G$22&gt;B3719)*(Calc!$G$3:$G$22-B3719)^2)</f>
        <v/>
      </c>
      <c r="K3719">
        <f>SUMPRODUCT(Calc!$K$3:$K$22*(Calc!$G$3:$G$22&gt;A3719)*(Calc!$G$3:$G$22-A3719)*(Calc!$G$3:$G$22&gt;B3719)*(Calc!$G$3:$G$22-B3719))</f>
        <v/>
      </c>
      <c r="L3719">
        <f>SUMPRODUCT(Calc!$K$3:$K$22*(Calc!$G$3:$G$22&gt;A3719)*(Calc!$G$3:$G$22-A3719)*Calc!$G$3:$G$22)</f>
        <v/>
      </c>
      <c r="M3719">
        <f>SUMPRODUCT(Calc!$K$3:$K$22*(Calc!$G$3:$G$22&gt;B3719)*(Calc!$G$3:$G$22-B3719)*Calc!$G$3:$G$22)</f>
        <v/>
      </c>
      <c r="N3719">
        <f>SUMPRODUCT(Calc!$K$3:$K$22*(Calc!$G$3:$G$22&gt;A3719)*(Calc!$G$3:$G$22-A3719)*Calc!$I$3:$I$22)</f>
        <v/>
      </c>
      <c r="O3719">
        <f>SUMPRODUCT(Calc!$K$3:$K$22*(Calc!$G$3:$G$22&gt;B3719)*(Calc!$G$3:$G$22-B3719)*Calc!$I$3:$I$22)</f>
        <v/>
      </c>
      <c r="P3719">
        <f>I3719-G3719^2/k_n</f>
        <v/>
      </c>
      <c r="Q3719">
        <f>J3719-H3719^2/k_n</f>
        <v/>
      </c>
      <c r="R3719">
        <f>K3719-G3719*H3719/k_n</f>
        <v/>
      </c>
      <c r="S3719">
        <f>L3719-LTP3!$D$3*G3719/k_n</f>
        <v/>
      </c>
      <c r="T3719">
        <f>M3719-LTP3!$D$3*H3719/k_n</f>
        <v/>
      </c>
      <c r="U3719">
        <f>N3719-G3719*LTP3!$D$4/k_n</f>
        <v/>
      </c>
      <c r="V3719">
        <f>O3719-H3719*LTP3!$D$4/k_n</f>
        <v/>
      </c>
      <c r="W3719">
        <f>((LTP3!$D$5)*((P3719)*(Q3719)-(R3719)*(R3719))-(S3719)*((S3719)*(Q3719)-(R3719)*(T3719))+(T3719)*((S3719)*(R3719)-(P3719)*(T3719)))</f>
        <v/>
      </c>
      <c r="X3719">
        <f>IF(ABS(W3719)&gt;1E-12,((LTP3!$D$6)*((P3719)*(Q3719)-(R3719)*(R3719))-(S3719)*((U3719)*(Q3719)-(R3719)*(V3719))+(T3719)*((U3719)*(R3719)-(P3719)*(V3719)))/W3719,0)</f>
        <v/>
      </c>
      <c r="Y3719">
        <f>IF(ABS(W3719)&gt;1E-12,((LTP3!$D$5)*((U3719)*(Q3719)-(R3719)*(V3719))-(LTP3!$D$6)*((S3719)*(Q3719)-(R3719)*(T3719))+(T3719)*((S3719)*(V3719)-(U3719)*(T3719)))/W3719,0)</f>
        <v/>
      </c>
      <c r="Z3719">
        <f>IF(ABS(W3719)&gt;1E-12,((LTP3!$D$5)*((P3719)*(V3719)-(U3719)*(R3719))-(S3719)*((S3719)*(V3719)-(U3719)*(T3719))+(LTP3!$D$6)*((S3719)*(R3719)-(P3719)*(T3719)))/W3719,0)</f>
        <v/>
      </c>
      <c r="AA3719">
        <f>LTP3!$D$7-X3719*LTP3!$D$6-Y3719*U3719-Z3719*V3719</f>
        <v/>
      </c>
      <c r="AB3719">
        <f>IF(AND(F3719,ABS(W3719)&gt;1E-12,Y3719&gt;0,Z3719&gt;0),AA3719,1E+300)</f>
        <v/>
      </c>
    </row>
    <row r="3720">
      <c r="A3720">
        <f>$B$3+$B$5*60</f>
        <v/>
      </c>
      <c r="B3720">
        <f>$B$3+$B$5*48</f>
        <v/>
      </c>
      <c r="C3720">
        <f>SUMPRODUCT(Calc!$K$3:$K$22*(Calc!$G$3:$G$22&lt;=A3720))</f>
        <v/>
      </c>
      <c r="D3720">
        <f>SUMPRODUCT(Calc!$K$3:$K$22*(Calc!$G$3:$G$22&gt;A3720)*(Calc!$G$3:$G$22&lt;B3720))</f>
        <v/>
      </c>
      <c r="E3720">
        <f>SUMPRODUCT(Calc!$K$3:$K$22*(Calc!$G$3:$G$22&gt;=B3720))</f>
        <v/>
      </c>
      <c r="F3720">
        <f>AND(k_n&gt;=5,B3720&gt;A3720+1E-9,C3720&gt;=2,D3720&gt;=1,E3720&gt;=2)</f>
        <v/>
      </c>
      <c r="G3720">
        <f>SUMPRODUCT(Calc!$K$3:$K$22*(Calc!$G$3:$G$22&gt;A3720)*(Calc!$G$3:$G$22-A3720))</f>
        <v/>
      </c>
      <c r="H3720">
        <f>SUMPRODUCT(Calc!$K$3:$K$22*(Calc!$G$3:$G$22&gt;B3720)*(Calc!$G$3:$G$22-B3720))</f>
        <v/>
      </c>
      <c r="I3720">
        <f>SUMPRODUCT(Calc!$K$3:$K$22*(Calc!$G$3:$G$22&gt;A3720)*(Calc!$G$3:$G$22-A3720)^2)</f>
        <v/>
      </c>
      <c r="J3720">
        <f>SUMPRODUCT(Calc!$K$3:$K$22*(Calc!$G$3:$G$22&gt;B3720)*(Calc!$G$3:$G$22-B3720)^2)</f>
        <v/>
      </c>
      <c r="K3720">
        <f>SUMPRODUCT(Calc!$K$3:$K$22*(Calc!$G$3:$G$22&gt;A3720)*(Calc!$G$3:$G$22-A3720)*(Calc!$G$3:$G$22&gt;B3720)*(Calc!$G$3:$G$22-B3720))</f>
        <v/>
      </c>
      <c r="L3720">
        <f>SUMPRODUCT(Calc!$K$3:$K$22*(Calc!$G$3:$G$22&gt;A3720)*(Calc!$G$3:$G$22-A3720)*Calc!$G$3:$G$22)</f>
        <v/>
      </c>
      <c r="M3720">
        <f>SUMPRODUCT(Calc!$K$3:$K$22*(Calc!$G$3:$G$22&gt;B3720)*(Calc!$G$3:$G$22-B3720)*Calc!$G$3:$G$22)</f>
        <v/>
      </c>
      <c r="N3720">
        <f>SUMPRODUCT(Calc!$K$3:$K$22*(Calc!$G$3:$G$22&gt;A3720)*(Calc!$G$3:$G$22-A3720)*Calc!$I$3:$I$22)</f>
        <v/>
      </c>
      <c r="O3720">
        <f>SUMPRODUCT(Calc!$K$3:$K$22*(Calc!$G$3:$G$22&gt;B3720)*(Calc!$G$3:$G$22-B3720)*Calc!$I$3:$I$22)</f>
        <v/>
      </c>
      <c r="P3720">
        <f>I3720-G3720^2/k_n</f>
        <v/>
      </c>
      <c r="Q3720">
        <f>J3720-H3720^2/k_n</f>
        <v/>
      </c>
      <c r="R3720">
        <f>K3720-G3720*H3720/k_n</f>
        <v/>
      </c>
      <c r="S3720">
        <f>L3720-LTP3!$D$3*G3720/k_n</f>
        <v/>
      </c>
      <c r="T3720">
        <f>M3720-LTP3!$D$3*H3720/k_n</f>
        <v/>
      </c>
      <c r="U3720">
        <f>N3720-G3720*LTP3!$D$4/k_n</f>
        <v/>
      </c>
      <c r="V3720">
        <f>O3720-H3720*LTP3!$D$4/k_n</f>
        <v/>
      </c>
      <c r="W3720">
        <f>((LTP3!$D$5)*((P3720)*(Q3720)-(R3720)*(R3720))-(S3720)*((S3720)*(Q3720)-(R3720)*(T3720))+(T3720)*((S3720)*(R3720)-(P3720)*(T3720)))</f>
        <v/>
      </c>
      <c r="X3720">
        <f>IF(ABS(W3720)&gt;1E-12,((LTP3!$D$6)*((P3720)*(Q3720)-(R3720)*(R3720))-(S3720)*((U3720)*(Q3720)-(R3720)*(V3720))+(T3720)*((U3720)*(R3720)-(P3720)*(V3720)))/W3720,0)</f>
        <v/>
      </c>
      <c r="Y3720">
        <f>IF(ABS(W3720)&gt;1E-12,((LTP3!$D$5)*((U3720)*(Q3720)-(R3720)*(V3720))-(LTP3!$D$6)*((S3720)*(Q3720)-(R3720)*(T3720))+(T3720)*((S3720)*(V3720)-(U3720)*(T3720)))/W3720,0)</f>
        <v/>
      </c>
      <c r="Z3720">
        <f>IF(ABS(W3720)&gt;1E-12,((LTP3!$D$5)*((P3720)*(V3720)-(U3720)*(R3720))-(S3720)*((S3720)*(V3720)-(U3720)*(T3720))+(LTP3!$D$6)*((S3720)*(R3720)-(P3720)*(T3720)))/W3720,0)</f>
        <v/>
      </c>
      <c r="AA3720">
        <f>LTP3!$D$7-X3720*LTP3!$D$6-Y3720*U3720-Z3720*V3720</f>
        <v/>
      </c>
      <c r="AB3720">
        <f>IF(AND(F3720,ABS(W3720)&gt;1E-12,Y3720&gt;0,Z3720&gt;0),AA3720,1E+300)</f>
        <v/>
      </c>
    </row>
    <row r="3721">
      <c r="A3721">
        <f>$B$3+$B$5*60</f>
        <v/>
      </c>
      <c r="B3721">
        <f>$B$3+$B$5*49</f>
        <v/>
      </c>
      <c r="C3721">
        <f>SUMPRODUCT(Calc!$K$3:$K$22*(Calc!$G$3:$G$22&lt;=A3721))</f>
        <v/>
      </c>
      <c r="D3721">
        <f>SUMPRODUCT(Calc!$K$3:$K$22*(Calc!$G$3:$G$22&gt;A3721)*(Calc!$G$3:$G$22&lt;B3721))</f>
        <v/>
      </c>
      <c r="E3721">
        <f>SUMPRODUCT(Calc!$K$3:$K$22*(Calc!$G$3:$G$22&gt;=B3721))</f>
        <v/>
      </c>
      <c r="F3721">
        <f>AND(k_n&gt;=5,B3721&gt;A3721+1E-9,C3721&gt;=2,D3721&gt;=1,E3721&gt;=2)</f>
        <v/>
      </c>
      <c r="G3721">
        <f>SUMPRODUCT(Calc!$K$3:$K$22*(Calc!$G$3:$G$22&gt;A3721)*(Calc!$G$3:$G$22-A3721))</f>
        <v/>
      </c>
      <c r="H3721">
        <f>SUMPRODUCT(Calc!$K$3:$K$22*(Calc!$G$3:$G$22&gt;B3721)*(Calc!$G$3:$G$22-B3721))</f>
        <v/>
      </c>
      <c r="I3721">
        <f>SUMPRODUCT(Calc!$K$3:$K$22*(Calc!$G$3:$G$22&gt;A3721)*(Calc!$G$3:$G$22-A3721)^2)</f>
        <v/>
      </c>
      <c r="J3721">
        <f>SUMPRODUCT(Calc!$K$3:$K$22*(Calc!$G$3:$G$22&gt;B3721)*(Calc!$G$3:$G$22-B3721)^2)</f>
        <v/>
      </c>
      <c r="K3721">
        <f>SUMPRODUCT(Calc!$K$3:$K$22*(Calc!$G$3:$G$22&gt;A3721)*(Calc!$G$3:$G$22-A3721)*(Calc!$G$3:$G$22&gt;B3721)*(Calc!$G$3:$G$22-B3721))</f>
        <v/>
      </c>
      <c r="L3721">
        <f>SUMPRODUCT(Calc!$K$3:$K$22*(Calc!$G$3:$G$22&gt;A3721)*(Calc!$G$3:$G$22-A3721)*Calc!$G$3:$G$22)</f>
        <v/>
      </c>
      <c r="M3721">
        <f>SUMPRODUCT(Calc!$K$3:$K$22*(Calc!$G$3:$G$22&gt;B3721)*(Calc!$G$3:$G$22-B3721)*Calc!$G$3:$G$22)</f>
        <v/>
      </c>
      <c r="N3721">
        <f>SUMPRODUCT(Calc!$K$3:$K$22*(Calc!$G$3:$G$22&gt;A3721)*(Calc!$G$3:$G$22-A3721)*Calc!$I$3:$I$22)</f>
        <v/>
      </c>
      <c r="O3721">
        <f>SUMPRODUCT(Calc!$K$3:$K$22*(Calc!$G$3:$G$22&gt;B3721)*(Calc!$G$3:$G$22-B3721)*Calc!$I$3:$I$22)</f>
        <v/>
      </c>
      <c r="P3721">
        <f>I3721-G3721^2/k_n</f>
        <v/>
      </c>
      <c r="Q3721">
        <f>J3721-H3721^2/k_n</f>
        <v/>
      </c>
      <c r="R3721">
        <f>K3721-G3721*H3721/k_n</f>
        <v/>
      </c>
      <c r="S3721">
        <f>L3721-LTP3!$D$3*G3721/k_n</f>
        <v/>
      </c>
      <c r="T3721">
        <f>M3721-LTP3!$D$3*H3721/k_n</f>
        <v/>
      </c>
      <c r="U3721">
        <f>N3721-G3721*LTP3!$D$4/k_n</f>
        <v/>
      </c>
      <c r="V3721">
        <f>O3721-H3721*LTP3!$D$4/k_n</f>
        <v/>
      </c>
      <c r="W3721">
        <f>((LTP3!$D$5)*((P3721)*(Q3721)-(R3721)*(R3721))-(S3721)*((S3721)*(Q3721)-(R3721)*(T3721))+(T3721)*((S3721)*(R3721)-(P3721)*(T3721)))</f>
        <v/>
      </c>
      <c r="X3721">
        <f>IF(ABS(W3721)&gt;1E-12,((LTP3!$D$6)*((P3721)*(Q3721)-(R3721)*(R3721))-(S3721)*((U3721)*(Q3721)-(R3721)*(V3721))+(T3721)*((U3721)*(R3721)-(P3721)*(V3721)))/W3721,0)</f>
        <v/>
      </c>
      <c r="Y3721">
        <f>IF(ABS(W3721)&gt;1E-12,((LTP3!$D$5)*((U3721)*(Q3721)-(R3721)*(V3721))-(LTP3!$D$6)*((S3721)*(Q3721)-(R3721)*(T3721))+(T3721)*((S3721)*(V3721)-(U3721)*(T3721)))/W3721,0)</f>
        <v/>
      </c>
      <c r="Z3721">
        <f>IF(ABS(W3721)&gt;1E-12,((LTP3!$D$5)*((P3721)*(V3721)-(U3721)*(R3721))-(S3721)*((S3721)*(V3721)-(U3721)*(T3721))+(LTP3!$D$6)*((S3721)*(R3721)-(P3721)*(T3721)))/W3721,0)</f>
        <v/>
      </c>
      <c r="AA3721">
        <f>LTP3!$D$7-X3721*LTP3!$D$6-Y3721*U3721-Z3721*V3721</f>
        <v/>
      </c>
      <c r="AB3721">
        <f>IF(AND(F3721,ABS(W3721)&gt;1E-12,Y3721&gt;0,Z3721&gt;0),AA3721,1E+300)</f>
        <v/>
      </c>
    </row>
    <row r="3722">
      <c r="A3722">
        <f>$B$3+$B$5*60</f>
        <v/>
      </c>
      <c r="B3722">
        <f>$B$3+$B$5*50</f>
        <v/>
      </c>
      <c r="C3722">
        <f>SUMPRODUCT(Calc!$K$3:$K$22*(Calc!$G$3:$G$22&lt;=A3722))</f>
        <v/>
      </c>
      <c r="D3722">
        <f>SUMPRODUCT(Calc!$K$3:$K$22*(Calc!$G$3:$G$22&gt;A3722)*(Calc!$G$3:$G$22&lt;B3722))</f>
        <v/>
      </c>
      <c r="E3722">
        <f>SUMPRODUCT(Calc!$K$3:$K$22*(Calc!$G$3:$G$22&gt;=B3722))</f>
        <v/>
      </c>
      <c r="F3722">
        <f>AND(k_n&gt;=5,B3722&gt;A3722+1E-9,C3722&gt;=2,D3722&gt;=1,E3722&gt;=2)</f>
        <v/>
      </c>
      <c r="G3722">
        <f>SUMPRODUCT(Calc!$K$3:$K$22*(Calc!$G$3:$G$22&gt;A3722)*(Calc!$G$3:$G$22-A3722))</f>
        <v/>
      </c>
      <c r="H3722">
        <f>SUMPRODUCT(Calc!$K$3:$K$22*(Calc!$G$3:$G$22&gt;B3722)*(Calc!$G$3:$G$22-B3722))</f>
        <v/>
      </c>
      <c r="I3722">
        <f>SUMPRODUCT(Calc!$K$3:$K$22*(Calc!$G$3:$G$22&gt;A3722)*(Calc!$G$3:$G$22-A3722)^2)</f>
        <v/>
      </c>
      <c r="J3722">
        <f>SUMPRODUCT(Calc!$K$3:$K$22*(Calc!$G$3:$G$22&gt;B3722)*(Calc!$G$3:$G$22-B3722)^2)</f>
        <v/>
      </c>
      <c r="K3722">
        <f>SUMPRODUCT(Calc!$K$3:$K$22*(Calc!$G$3:$G$22&gt;A3722)*(Calc!$G$3:$G$22-A3722)*(Calc!$G$3:$G$22&gt;B3722)*(Calc!$G$3:$G$22-B3722))</f>
        <v/>
      </c>
      <c r="L3722">
        <f>SUMPRODUCT(Calc!$K$3:$K$22*(Calc!$G$3:$G$22&gt;A3722)*(Calc!$G$3:$G$22-A3722)*Calc!$G$3:$G$22)</f>
        <v/>
      </c>
      <c r="M3722">
        <f>SUMPRODUCT(Calc!$K$3:$K$22*(Calc!$G$3:$G$22&gt;B3722)*(Calc!$G$3:$G$22-B3722)*Calc!$G$3:$G$22)</f>
        <v/>
      </c>
      <c r="N3722">
        <f>SUMPRODUCT(Calc!$K$3:$K$22*(Calc!$G$3:$G$22&gt;A3722)*(Calc!$G$3:$G$22-A3722)*Calc!$I$3:$I$22)</f>
        <v/>
      </c>
      <c r="O3722">
        <f>SUMPRODUCT(Calc!$K$3:$K$22*(Calc!$G$3:$G$22&gt;B3722)*(Calc!$G$3:$G$22-B3722)*Calc!$I$3:$I$22)</f>
        <v/>
      </c>
      <c r="P3722">
        <f>I3722-G3722^2/k_n</f>
        <v/>
      </c>
      <c r="Q3722">
        <f>J3722-H3722^2/k_n</f>
        <v/>
      </c>
      <c r="R3722">
        <f>K3722-G3722*H3722/k_n</f>
        <v/>
      </c>
      <c r="S3722">
        <f>L3722-LTP3!$D$3*G3722/k_n</f>
        <v/>
      </c>
      <c r="T3722">
        <f>M3722-LTP3!$D$3*H3722/k_n</f>
        <v/>
      </c>
      <c r="U3722">
        <f>N3722-G3722*LTP3!$D$4/k_n</f>
        <v/>
      </c>
      <c r="V3722">
        <f>O3722-H3722*LTP3!$D$4/k_n</f>
        <v/>
      </c>
      <c r="W3722">
        <f>((LTP3!$D$5)*((P3722)*(Q3722)-(R3722)*(R3722))-(S3722)*((S3722)*(Q3722)-(R3722)*(T3722))+(T3722)*((S3722)*(R3722)-(P3722)*(T3722)))</f>
        <v/>
      </c>
      <c r="X3722">
        <f>IF(ABS(W3722)&gt;1E-12,((LTP3!$D$6)*((P3722)*(Q3722)-(R3722)*(R3722))-(S3722)*((U3722)*(Q3722)-(R3722)*(V3722))+(T3722)*((U3722)*(R3722)-(P3722)*(V3722)))/W3722,0)</f>
        <v/>
      </c>
      <c r="Y3722">
        <f>IF(ABS(W3722)&gt;1E-12,((LTP3!$D$5)*((U3722)*(Q3722)-(R3722)*(V3722))-(LTP3!$D$6)*((S3722)*(Q3722)-(R3722)*(T3722))+(T3722)*((S3722)*(V3722)-(U3722)*(T3722)))/W3722,0)</f>
        <v/>
      </c>
      <c r="Z3722">
        <f>IF(ABS(W3722)&gt;1E-12,((LTP3!$D$5)*((P3722)*(V3722)-(U3722)*(R3722))-(S3722)*((S3722)*(V3722)-(U3722)*(T3722))+(LTP3!$D$6)*((S3722)*(R3722)-(P3722)*(T3722)))/W3722,0)</f>
        <v/>
      </c>
      <c r="AA3722">
        <f>LTP3!$D$7-X3722*LTP3!$D$6-Y3722*U3722-Z3722*V3722</f>
        <v/>
      </c>
      <c r="AB3722">
        <f>IF(AND(F3722,ABS(W3722)&gt;1E-12,Y3722&gt;0,Z3722&gt;0),AA3722,1E+300)</f>
        <v/>
      </c>
    </row>
    <row r="3723">
      <c r="A3723">
        <f>$B$3+$B$5*60</f>
        <v/>
      </c>
      <c r="B3723">
        <f>$B$3+$B$5*51</f>
        <v/>
      </c>
      <c r="C3723">
        <f>SUMPRODUCT(Calc!$K$3:$K$22*(Calc!$G$3:$G$22&lt;=A3723))</f>
        <v/>
      </c>
      <c r="D3723">
        <f>SUMPRODUCT(Calc!$K$3:$K$22*(Calc!$G$3:$G$22&gt;A3723)*(Calc!$G$3:$G$22&lt;B3723))</f>
        <v/>
      </c>
      <c r="E3723">
        <f>SUMPRODUCT(Calc!$K$3:$K$22*(Calc!$G$3:$G$22&gt;=B3723))</f>
        <v/>
      </c>
      <c r="F3723">
        <f>AND(k_n&gt;=5,B3723&gt;A3723+1E-9,C3723&gt;=2,D3723&gt;=1,E3723&gt;=2)</f>
        <v/>
      </c>
      <c r="G3723">
        <f>SUMPRODUCT(Calc!$K$3:$K$22*(Calc!$G$3:$G$22&gt;A3723)*(Calc!$G$3:$G$22-A3723))</f>
        <v/>
      </c>
      <c r="H3723">
        <f>SUMPRODUCT(Calc!$K$3:$K$22*(Calc!$G$3:$G$22&gt;B3723)*(Calc!$G$3:$G$22-B3723))</f>
        <v/>
      </c>
      <c r="I3723">
        <f>SUMPRODUCT(Calc!$K$3:$K$22*(Calc!$G$3:$G$22&gt;A3723)*(Calc!$G$3:$G$22-A3723)^2)</f>
        <v/>
      </c>
      <c r="J3723">
        <f>SUMPRODUCT(Calc!$K$3:$K$22*(Calc!$G$3:$G$22&gt;B3723)*(Calc!$G$3:$G$22-B3723)^2)</f>
        <v/>
      </c>
      <c r="K3723">
        <f>SUMPRODUCT(Calc!$K$3:$K$22*(Calc!$G$3:$G$22&gt;A3723)*(Calc!$G$3:$G$22-A3723)*(Calc!$G$3:$G$22&gt;B3723)*(Calc!$G$3:$G$22-B3723))</f>
        <v/>
      </c>
      <c r="L3723">
        <f>SUMPRODUCT(Calc!$K$3:$K$22*(Calc!$G$3:$G$22&gt;A3723)*(Calc!$G$3:$G$22-A3723)*Calc!$G$3:$G$22)</f>
        <v/>
      </c>
      <c r="M3723">
        <f>SUMPRODUCT(Calc!$K$3:$K$22*(Calc!$G$3:$G$22&gt;B3723)*(Calc!$G$3:$G$22-B3723)*Calc!$G$3:$G$22)</f>
        <v/>
      </c>
      <c r="N3723">
        <f>SUMPRODUCT(Calc!$K$3:$K$22*(Calc!$G$3:$G$22&gt;A3723)*(Calc!$G$3:$G$22-A3723)*Calc!$I$3:$I$22)</f>
        <v/>
      </c>
      <c r="O3723">
        <f>SUMPRODUCT(Calc!$K$3:$K$22*(Calc!$G$3:$G$22&gt;B3723)*(Calc!$G$3:$G$22-B3723)*Calc!$I$3:$I$22)</f>
        <v/>
      </c>
      <c r="P3723">
        <f>I3723-G3723^2/k_n</f>
        <v/>
      </c>
      <c r="Q3723">
        <f>J3723-H3723^2/k_n</f>
        <v/>
      </c>
      <c r="R3723">
        <f>K3723-G3723*H3723/k_n</f>
        <v/>
      </c>
      <c r="S3723">
        <f>L3723-LTP3!$D$3*G3723/k_n</f>
        <v/>
      </c>
      <c r="T3723">
        <f>M3723-LTP3!$D$3*H3723/k_n</f>
        <v/>
      </c>
      <c r="U3723">
        <f>N3723-G3723*LTP3!$D$4/k_n</f>
        <v/>
      </c>
      <c r="V3723">
        <f>O3723-H3723*LTP3!$D$4/k_n</f>
        <v/>
      </c>
      <c r="W3723">
        <f>((LTP3!$D$5)*((P3723)*(Q3723)-(R3723)*(R3723))-(S3723)*((S3723)*(Q3723)-(R3723)*(T3723))+(T3723)*((S3723)*(R3723)-(P3723)*(T3723)))</f>
        <v/>
      </c>
      <c r="X3723">
        <f>IF(ABS(W3723)&gt;1E-12,((LTP3!$D$6)*((P3723)*(Q3723)-(R3723)*(R3723))-(S3723)*((U3723)*(Q3723)-(R3723)*(V3723))+(T3723)*((U3723)*(R3723)-(P3723)*(V3723)))/W3723,0)</f>
        <v/>
      </c>
      <c r="Y3723">
        <f>IF(ABS(W3723)&gt;1E-12,((LTP3!$D$5)*((U3723)*(Q3723)-(R3723)*(V3723))-(LTP3!$D$6)*((S3723)*(Q3723)-(R3723)*(T3723))+(T3723)*((S3723)*(V3723)-(U3723)*(T3723)))/W3723,0)</f>
        <v/>
      </c>
      <c r="Z3723">
        <f>IF(ABS(W3723)&gt;1E-12,((LTP3!$D$5)*((P3723)*(V3723)-(U3723)*(R3723))-(S3723)*((S3723)*(V3723)-(U3723)*(T3723))+(LTP3!$D$6)*((S3723)*(R3723)-(P3723)*(T3723)))/W3723,0)</f>
        <v/>
      </c>
      <c r="AA3723">
        <f>LTP3!$D$7-X3723*LTP3!$D$6-Y3723*U3723-Z3723*V3723</f>
        <v/>
      </c>
      <c r="AB3723">
        <f>IF(AND(F3723,ABS(W3723)&gt;1E-12,Y3723&gt;0,Z3723&gt;0),AA3723,1E+300)</f>
        <v/>
      </c>
    </row>
    <row r="3724">
      <c r="A3724">
        <f>$B$3+$B$5*60</f>
        <v/>
      </c>
      <c r="B3724">
        <f>$B$3+$B$5*52</f>
        <v/>
      </c>
      <c r="C3724">
        <f>SUMPRODUCT(Calc!$K$3:$K$22*(Calc!$G$3:$G$22&lt;=A3724))</f>
        <v/>
      </c>
      <c r="D3724">
        <f>SUMPRODUCT(Calc!$K$3:$K$22*(Calc!$G$3:$G$22&gt;A3724)*(Calc!$G$3:$G$22&lt;B3724))</f>
        <v/>
      </c>
      <c r="E3724">
        <f>SUMPRODUCT(Calc!$K$3:$K$22*(Calc!$G$3:$G$22&gt;=B3724))</f>
        <v/>
      </c>
      <c r="F3724">
        <f>AND(k_n&gt;=5,B3724&gt;A3724+1E-9,C3724&gt;=2,D3724&gt;=1,E3724&gt;=2)</f>
        <v/>
      </c>
      <c r="G3724">
        <f>SUMPRODUCT(Calc!$K$3:$K$22*(Calc!$G$3:$G$22&gt;A3724)*(Calc!$G$3:$G$22-A3724))</f>
        <v/>
      </c>
      <c r="H3724">
        <f>SUMPRODUCT(Calc!$K$3:$K$22*(Calc!$G$3:$G$22&gt;B3724)*(Calc!$G$3:$G$22-B3724))</f>
        <v/>
      </c>
      <c r="I3724">
        <f>SUMPRODUCT(Calc!$K$3:$K$22*(Calc!$G$3:$G$22&gt;A3724)*(Calc!$G$3:$G$22-A3724)^2)</f>
        <v/>
      </c>
      <c r="J3724">
        <f>SUMPRODUCT(Calc!$K$3:$K$22*(Calc!$G$3:$G$22&gt;B3724)*(Calc!$G$3:$G$22-B3724)^2)</f>
        <v/>
      </c>
      <c r="K3724">
        <f>SUMPRODUCT(Calc!$K$3:$K$22*(Calc!$G$3:$G$22&gt;A3724)*(Calc!$G$3:$G$22-A3724)*(Calc!$G$3:$G$22&gt;B3724)*(Calc!$G$3:$G$22-B3724))</f>
        <v/>
      </c>
      <c r="L3724">
        <f>SUMPRODUCT(Calc!$K$3:$K$22*(Calc!$G$3:$G$22&gt;A3724)*(Calc!$G$3:$G$22-A3724)*Calc!$G$3:$G$22)</f>
        <v/>
      </c>
      <c r="M3724">
        <f>SUMPRODUCT(Calc!$K$3:$K$22*(Calc!$G$3:$G$22&gt;B3724)*(Calc!$G$3:$G$22-B3724)*Calc!$G$3:$G$22)</f>
        <v/>
      </c>
      <c r="N3724">
        <f>SUMPRODUCT(Calc!$K$3:$K$22*(Calc!$G$3:$G$22&gt;A3724)*(Calc!$G$3:$G$22-A3724)*Calc!$I$3:$I$22)</f>
        <v/>
      </c>
      <c r="O3724">
        <f>SUMPRODUCT(Calc!$K$3:$K$22*(Calc!$G$3:$G$22&gt;B3724)*(Calc!$G$3:$G$22-B3724)*Calc!$I$3:$I$22)</f>
        <v/>
      </c>
      <c r="P3724">
        <f>I3724-G3724^2/k_n</f>
        <v/>
      </c>
      <c r="Q3724">
        <f>J3724-H3724^2/k_n</f>
        <v/>
      </c>
      <c r="R3724">
        <f>K3724-G3724*H3724/k_n</f>
        <v/>
      </c>
      <c r="S3724">
        <f>L3724-LTP3!$D$3*G3724/k_n</f>
        <v/>
      </c>
      <c r="T3724">
        <f>M3724-LTP3!$D$3*H3724/k_n</f>
        <v/>
      </c>
      <c r="U3724">
        <f>N3724-G3724*LTP3!$D$4/k_n</f>
        <v/>
      </c>
      <c r="V3724">
        <f>O3724-H3724*LTP3!$D$4/k_n</f>
        <v/>
      </c>
      <c r="W3724">
        <f>((LTP3!$D$5)*((P3724)*(Q3724)-(R3724)*(R3724))-(S3724)*((S3724)*(Q3724)-(R3724)*(T3724))+(T3724)*((S3724)*(R3724)-(P3724)*(T3724)))</f>
        <v/>
      </c>
      <c r="X3724">
        <f>IF(ABS(W3724)&gt;1E-12,((LTP3!$D$6)*((P3724)*(Q3724)-(R3724)*(R3724))-(S3724)*((U3724)*(Q3724)-(R3724)*(V3724))+(T3724)*((U3724)*(R3724)-(P3724)*(V3724)))/W3724,0)</f>
        <v/>
      </c>
      <c r="Y3724">
        <f>IF(ABS(W3724)&gt;1E-12,((LTP3!$D$5)*((U3724)*(Q3724)-(R3724)*(V3724))-(LTP3!$D$6)*((S3724)*(Q3724)-(R3724)*(T3724))+(T3724)*((S3724)*(V3724)-(U3724)*(T3724)))/W3724,0)</f>
        <v/>
      </c>
      <c r="Z3724">
        <f>IF(ABS(W3724)&gt;1E-12,((LTP3!$D$5)*((P3724)*(V3724)-(U3724)*(R3724))-(S3724)*((S3724)*(V3724)-(U3724)*(T3724))+(LTP3!$D$6)*((S3724)*(R3724)-(P3724)*(T3724)))/W3724,0)</f>
        <v/>
      </c>
      <c r="AA3724">
        <f>LTP3!$D$7-X3724*LTP3!$D$6-Y3724*U3724-Z3724*V3724</f>
        <v/>
      </c>
      <c r="AB3724">
        <f>IF(AND(F3724,ABS(W3724)&gt;1E-12,Y3724&gt;0,Z3724&gt;0),AA3724,1E+300)</f>
        <v/>
      </c>
    </row>
    <row r="3725">
      <c r="A3725">
        <f>$B$3+$B$5*60</f>
        <v/>
      </c>
      <c r="B3725">
        <f>$B$3+$B$5*53</f>
        <v/>
      </c>
      <c r="C3725">
        <f>SUMPRODUCT(Calc!$K$3:$K$22*(Calc!$G$3:$G$22&lt;=A3725))</f>
        <v/>
      </c>
      <c r="D3725">
        <f>SUMPRODUCT(Calc!$K$3:$K$22*(Calc!$G$3:$G$22&gt;A3725)*(Calc!$G$3:$G$22&lt;B3725))</f>
        <v/>
      </c>
      <c r="E3725">
        <f>SUMPRODUCT(Calc!$K$3:$K$22*(Calc!$G$3:$G$22&gt;=B3725))</f>
        <v/>
      </c>
      <c r="F3725">
        <f>AND(k_n&gt;=5,B3725&gt;A3725+1E-9,C3725&gt;=2,D3725&gt;=1,E3725&gt;=2)</f>
        <v/>
      </c>
      <c r="G3725">
        <f>SUMPRODUCT(Calc!$K$3:$K$22*(Calc!$G$3:$G$22&gt;A3725)*(Calc!$G$3:$G$22-A3725))</f>
        <v/>
      </c>
      <c r="H3725">
        <f>SUMPRODUCT(Calc!$K$3:$K$22*(Calc!$G$3:$G$22&gt;B3725)*(Calc!$G$3:$G$22-B3725))</f>
        <v/>
      </c>
      <c r="I3725">
        <f>SUMPRODUCT(Calc!$K$3:$K$22*(Calc!$G$3:$G$22&gt;A3725)*(Calc!$G$3:$G$22-A3725)^2)</f>
        <v/>
      </c>
      <c r="J3725">
        <f>SUMPRODUCT(Calc!$K$3:$K$22*(Calc!$G$3:$G$22&gt;B3725)*(Calc!$G$3:$G$22-B3725)^2)</f>
        <v/>
      </c>
      <c r="K3725">
        <f>SUMPRODUCT(Calc!$K$3:$K$22*(Calc!$G$3:$G$22&gt;A3725)*(Calc!$G$3:$G$22-A3725)*(Calc!$G$3:$G$22&gt;B3725)*(Calc!$G$3:$G$22-B3725))</f>
        <v/>
      </c>
      <c r="L3725">
        <f>SUMPRODUCT(Calc!$K$3:$K$22*(Calc!$G$3:$G$22&gt;A3725)*(Calc!$G$3:$G$22-A3725)*Calc!$G$3:$G$22)</f>
        <v/>
      </c>
      <c r="M3725">
        <f>SUMPRODUCT(Calc!$K$3:$K$22*(Calc!$G$3:$G$22&gt;B3725)*(Calc!$G$3:$G$22-B3725)*Calc!$G$3:$G$22)</f>
        <v/>
      </c>
      <c r="N3725">
        <f>SUMPRODUCT(Calc!$K$3:$K$22*(Calc!$G$3:$G$22&gt;A3725)*(Calc!$G$3:$G$22-A3725)*Calc!$I$3:$I$22)</f>
        <v/>
      </c>
      <c r="O3725">
        <f>SUMPRODUCT(Calc!$K$3:$K$22*(Calc!$G$3:$G$22&gt;B3725)*(Calc!$G$3:$G$22-B3725)*Calc!$I$3:$I$22)</f>
        <v/>
      </c>
      <c r="P3725">
        <f>I3725-G3725^2/k_n</f>
        <v/>
      </c>
      <c r="Q3725">
        <f>J3725-H3725^2/k_n</f>
        <v/>
      </c>
      <c r="R3725">
        <f>K3725-G3725*H3725/k_n</f>
        <v/>
      </c>
      <c r="S3725">
        <f>L3725-LTP3!$D$3*G3725/k_n</f>
        <v/>
      </c>
      <c r="T3725">
        <f>M3725-LTP3!$D$3*H3725/k_n</f>
        <v/>
      </c>
      <c r="U3725">
        <f>N3725-G3725*LTP3!$D$4/k_n</f>
        <v/>
      </c>
      <c r="V3725">
        <f>O3725-H3725*LTP3!$D$4/k_n</f>
        <v/>
      </c>
      <c r="W3725">
        <f>((LTP3!$D$5)*((P3725)*(Q3725)-(R3725)*(R3725))-(S3725)*((S3725)*(Q3725)-(R3725)*(T3725))+(T3725)*((S3725)*(R3725)-(P3725)*(T3725)))</f>
        <v/>
      </c>
      <c r="X3725">
        <f>IF(ABS(W3725)&gt;1E-12,((LTP3!$D$6)*((P3725)*(Q3725)-(R3725)*(R3725))-(S3725)*((U3725)*(Q3725)-(R3725)*(V3725))+(T3725)*((U3725)*(R3725)-(P3725)*(V3725)))/W3725,0)</f>
        <v/>
      </c>
      <c r="Y3725">
        <f>IF(ABS(W3725)&gt;1E-12,((LTP3!$D$5)*((U3725)*(Q3725)-(R3725)*(V3725))-(LTP3!$D$6)*((S3725)*(Q3725)-(R3725)*(T3725))+(T3725)*((S3725)*(V3725)-(U3725)*(T3725)))/W3725,0)</f>
        <v/>
      </c>
      <c r="Z3725">
        <f>IF(ABS(W3725)&gt;1E-12,((LTP3!$D$5)*((P3725)*(V3725)-(U3725)*(R3725))-(S3725)*((S3725)*(V3725)-(U3725)*(T3725))+(LTP3!$D$6)*((S3725)*(R3725)-(P3725)*(T3725)))/W3725,0)</f>
        <v/>
      </c>
      <c r="AA3725">
        <f>LTP3!$D$7-X3725*LTP3!$D$6-Y3725*U3725-Z3725*V3725</f>
        <v/>
      </c>
      <c r="AB3725">
        <f>IF(AND(F3725,ABS(W3725)&gt;1E-12,Y3725&gt;0,Z3725&gt;0),AA3725,1E+300)</f>
        <v/>
      </c>
    </row>
    <row r="3726">
      <c r="A3726">
        <f>$B$3+$B$5*60</f>
        <v/>
      </c>
      <c r="B3726">
        <f>$B$3+$B$5*54</f>
        <v/>
      </c>
      <c r="C3726">
        <f>SUMPRODUCT(Calc!$K$3:$K$22*(Calc!$G$3:$G$22&lt;=A3726))</f>
        <v/>
      </c>
      <c r="D3726">
        <f>SUMPRODUCT(Calc!$K$3:$K$22*(Calc!$G$3:$G$22&gt;A3726)*(Calc!$G$3:$G$22&lt;B3726))</f>
        <v/>
      </c>
      <c r="E3726">
        <f>SUMPRODUCT(Calc!$K$3:$K$22*(Calc!$G$3:$G$22&gt;=B3726))</f>
        <v/>
      </c>
      <c r="F3726">
        <f>AND(k_n&gt;=5,B3726&gt;A3726+1E-9,C3726&gt;=2,D3726&gt;=1,E3726&gt;=2)</f>
        <v/>
      </c>
      <c r="G3726">
        <f>SUMPRODUCT(Calc!$K$3:$K$22*(Calc!$G$3:$G$22&gt;A3726)*(Calc!$G$3:$G$22-A3726))</f>
        <v/>
      </c>
      <c r="H3726">
        <f>SUMPRODUCT(Calc!$K$3:$K$22*(Calc!$G$3:$G$22&gt;B3726)*(Calc!$G$3:$G$22-B3726))</f>
        <v/>
      </c>
      <c r="I3726">
        <f>SUMPRODUCT(Calc!$K$3:$K$22*(Calc!$G$3:$G$22&gt;A3726)*(Calc!$G$3:$G$22-A3726)^2)</f>
        <v/>
      </c>
      <c r="J3726">
        <f>SUMPRODUCT(Calc!$K$3:$K$22*(Calc!$G$3:$G$22&gt;B3726)*(Calc!$G$3:$G$22-B3726)^2)</f>
        <v/>
      </c>
      <c r="K3726">
        <f>SUMPRODUCT(Calc!$K$3:$K$22*(Calc!$G$3:$G$22&gt;A3726)*(Calc!$G$3:$G$22-A3726)*(Calc!$G$3:$G$22&gt;B3726)*(Calc!$G$3:$G$22-B3726))</f>
        <v/>
      </c>
      <c r="L3726">
        <f>SUMPRODUCT(Calc!$K$3:$K$22*(Calc!$G$3:$G$22&gt;A3726)*(Calc!$G$3:$G$22-A3726)*Calc!$G$3:$G$22)</f>
        <v/>
      </c>
      <c r="M3726">
        <f>SUMPRODUCT(Calc!$K$3:$K$22*(Calc!$G$3:$G$22&gt;B3726)*(Calc!$G$3:$G$22-B3726)*Calc!$G$3:$G$22)</f>
        <v/>
      </c>
      <c r="N3726">
        <f>SUMPRODUCT(Calc!$K$3:$K$22*(Calc!$G$3:$G$22&gt;A3726)*(Calc!$G$3:$G$22-A3726)*Calc!$I$3:$I$22)</f>
        <v/>
      </c>
      <c r="O3726">
        <f>SUMPRODUCT(Calc!$K$3:$K$22*(Calc!$G$3:$G$22&gt;B3726)*(Calc!$G$3:$G$22-B3726)*Calc!$I$3:$I$22)</f>
        <v/>
      </c>
      <c r="P3726">
        <f>I3726-G3726^2/k_n</f>
        <v/>
      </c>
      <c r="Q3726">
        <f>J3726-H3726^2/k_n</f>
        <v/>
      </c>
      <c r="R3726">
        <f>K3726-G3726*H3726/k_n</f>
        <v/>
      </c>
      <c r="S3726">
        <f>L3726-LTP3!$D$3*G3726/k_n</f>
        <v/>
      </c>
      <c r="T3726">
        <f>M3726-LTP3!$D$3*H3726/k_n</f>
        <v/>
      </c>
      <c r="U3726">
        <f>N3726-G3726*LTP3!$D$4/k_n</f>
        <v/>
      </c>
      <c r="V3726">
        <f>O3726-H3726*LTP3!$D$4/k_n</f>
        <v/>
      </c>
      <c r="W3726">
        <f>((LTP3!$D$5)*((P3726)*(Q3726)-(R3726)*(R3726))-(S3726)*((S3726)*(Q3726)-(R3726)*(T3726))+(T3726)*((S3726)*(R3726)-(P3726)*(T3726)))</f>
        <v/>
      </c>
      <c r="X3726">
        <f>IF(ABS(W3726)&gt;1E-12,((LTP3!$D$6)*((P3726)*(Q3726)-(R3726)*(R3726))-(S3726)*((U3726)*(Q3726)-(R3726)*(V3726))+(T3726)*((U3726)*(R3726)-(P3726)*(V3726)))/W3726,0)</f>
        <v/>
      </c>
      <c r="Y3726">
        <f>IF(ABS(W3726)&gt;1E-12,((LTP3!$D$5)*((U3726)*(Q3726)-(R3726)*(V3726))-(LTP3!$D$6)*((S3726)*(Q3726)-(R3726)*(T3726))+(T3726)*((S3726)*(V3726)-(U3726)*(T3726)))/W3726,0)</f>
        <v/>
      </c>
      <c r="Z3726">
        <f>IF(ABS(W3726)&gt;1E-12,((LTP3!$D$5)*((P3726)*(V3726)-(U3726)*(R3726))-(S3726)*((S3726)*(V3726)-(U3726)*(T3726))+(LTP3!$D$6)*((S3726)*(R3726)-(P3726)*(T3726)))/W3726,0)</f>
        <v/>
      </c>
      <c r="AA3726">
        <f>LTP3!$D$7-X3726*LTP3!$D$6-Y3726*U3726-Z3726*V3726</f>
        <v/>
      </c>
      <c r="AB3726">
        <f>IF(AND(F3726,ABS(W3726)&gt;1E-12,Y3726&gt;0,Z3726&gt;0),AA3726,1E+300)</f>
        <v/>
      </c>
    </row>
    <row r="3727">
      <c r="A3727">
        <f>$B$3+$B$5*60</f>
        <v/>
      </c>
      <c r="B3727">
        <f>$B$3+$B$5*55</f>
        <v/>
      </c>
      <c r="C3727">
        <f>SUMPRODUCT(Calc!$K$3:$K$22*(Calc!$G$3:$G$22&lt;=A3727))</f>
        <v/>
      </c>
      <c r="D3727">
        <f>SUMPRODUCT(Calc!$K$3:$K$22*(Calc!$G$3:$G$22&gt;A3727)*(Calc!$G$3:$G$22&lt;B3727))</f>
        <v/>
      </c>
      <c r="E3727">
        <f>SUMPRODUCT(Calc!$K$3:$K$22*(Calc!$G$3:$G$22&gt;=B3727))</f>
        <v/>
      </c>
      <c r="F3727">
        <f>AND(k_n&gt;=5,B3727&gt;A3727+1E-9,C3727&gt;=2,D3727&gt;=1,E3727&gt;=2)</f>
        <v/>
      </c>
      <c r="G3727">
        <f>SUMPRODUCT(Calc!$K$3:$K$22*(Calc!$G$3:$G$22&gt;A3727)*(Calc!$G$3:$G$22-A3727))</f>
        <v/>
      </c>
      <c r="H3727">
        <f>SUMPRODUCT(Calc!$K$3:$K$22*(Calc!$G$3:$G$22&gt;B3727)*(Calc!$G$3:$G$22-B3727))</f>
        <v/>
      </c>
      <c r="I3727">
        <f>SUMPRODUCT(Calc!$K$3:$K$22*(Calc!$G$3:$G$22&gt;A3727)*(Calc!$G$3:$G$22-A3727)^2)</f>
        <v/>
      </c>
      <c r="J3727">
        <f>SUMPRODUCT(Calc!$K$3:$K$22*(Calc!$G$3:$G$22&gt;B3727)*(Calc!$G$3:$G$22-B3727)^2)</f>
        <v/>
      </c>
      <c r="K3727">
        <f>SUMPRODUCT(Calc!$K$3:$K$22*(Calc!$G$3:$G$22&gt;A3727)*(Calc!$G$3:$G$22-A3727)*(Calc!$G$3:$G$22&gt;B3727)*(Calc!$G$3:$G$22-B3727))</f>
        <v/>
      </c>
      <c r="L3727">
        <f>SUMPRODUCT(Calc!$K$3:$K$22*(Calc!$G$3:$G$22&gt;A3727)*(Calc!$G$3:$G$22-A3727)*Calc!$G$3:$G$22)</f>
        <v/>
      </c>
      <c r="M3727">
        <f>SUMPRODUCT(Calc!$K$3:$K$22*(Calc!$G$3:$G$22&gt;B3727)*(Calc!$G$3:$G$22-B3727)*Calc!$G$3:$G$22)</f>
        <v/>
      </c>
      <c r="N3727">
        <f>SUMPRODUCT(Calc!$K$3:$K$22*(Calc!$G$3:$G$22&gt;A3727)*(Calc!$G$3:$G$22-A3727)*Calc!$I$3:$I$22)</f>
        <v/>
      </c>
      <c r="O3727">
        <f>SUMPRODUCT(Calc!$K$3:$K$22*(Calc!$G$3:$G$22&gt;B3727)*(Calc!$G$3:$G$22-B3727)*Calc!$I$3:$I$22)</f>
        <v/>
      </c>
      <c r="P3727">
        <f>I3727-G3727^2/k_n</f>
        <v/>
      </c>
      <c r="Q3727">
        <f>J3727-H3727^2/k_n</f>
        <v/>
      </c>
      <c r="R3727">
        <f>K3727-G3727*H3727/k_n</f>
        <v/>
      </c>
      <c r="S3727">
        <f>L3727-LTP3!$D$3*G3727/k_n</f>
        <v/>
      </c>
      <c r="T3727">
        <f>M3727-LTP3!$D$3*H3727/k_n</f>
        <v/>
      </c>
      <c r="U3727">
        <f>N3727-G3727*LTP3!$D$4/k_n</f>
        <v/>
      </c>
      <c r="V3727">
        <f>O3727-H3727*LTP3!$D$4/k_n</f>
        <v/>
      </c>
      <c r="W3727">
        <f>((LTP3!$D$5)*((P3727)*(Q3727)-(R3727)*(R3727))-(S3727)*((S3727)*(Q3727)-(R3727)*(T3727))+(T3727)*((S3727)*(R3727)-(P3727)*(T3727)))</f>
        <v/>
      </c>
      <c r="X3727">
        <f>IF(ABS(W3727)&gt;1E-12,((LTP3!$D$6)*((P3727)*(Q3727)-(R3727)*(R3727))-(S3727)*((U3727)*(Q3727)-(R3727)*(V3727))+(T3727)*((U3727)*(R3727)-(P3727)*(V3727)))/W3727,0)</f>
        <v/>
      </c>
      <c r="Y3727">
        <f>IF(ABS(W3727)&gt;1E-12,((LTP3!$D$5)*((U3727)*(Q3727)-(R3727)*(V3727))-(LTP3!$D$6)*((S3727)*(Q3727)-(R3727)*(T3727))+(T3727)*((S3727)*(V3727)-(U3727)*(T3727)))/W3727,0)</f>
        <v/>
      </c>
      <c r="Z3727">
        <f>IF(ABS(W3727)&gt;1E-12,((LTP3!$D$5)*((P3727)*(V3727)-(U3727)*(R3727))-(S3727)*((S3727)*(V3727)-(U3727)*(T3727))+(LTP3!$D$6)*((S3727)*(R3727)-(P3727)*(T3727)))/W3727,0)</f>
        <v/>
      </c>
      <c r="AA3727">
        <f>LTP3!$D$7-X3727*LTP3!$D$6-Y3727*U3727-Z3727*V3727</f>
        <v/>
      </c>
      <c r="AB3727">
        <f>IF(AND(F3727,ABS(W3727)&gt;1E-12,Y3727&gt;0,Z3727&gt;0),AA3727,1E+300)</f>
        <v/>
      </c>
    </row>
    <row r="3728">
      <c r="A3728">
        <f>$B$3+$B$5*60</f>
        <v/>
      </c>
      <c r="B3728">
        <f>$B$3+$B$5*56</f>
        <v/>
      </c>
      <c r="C3728">
        <f>SUMPRODUCT(Calc!$K$3:$K$22*(Calc!$G$3:$G$22&lt;=A3728))</f>
        <v/>
      </c>
      <c r="D3728">
        <f>SUMPRODUCT(Calc!$K$3:$K$22*(Calc!$G$3:$G$22&gt;A3728)*(Calc!$G$3:$G$22&lt;B3728))</f>
        <v/>
      </c>
      <c r="E3728">
        <f>SUMPRODUCT(Calc!$K$3:$K$22*(Calc!$G$3:$G$22&gt;=B3728))</f>
        <v/>
      </c>
      <c r="F3728">
        <f>AND(k_n&gt;=5,B3728&gt;A3728+1E-9,C3728&gt;=2,D3728&gt;=1,E3728&gt;=2)</f>
        <v/>
      </c>
      <c r="G3728">
        <f>SUMPRODUCT(Calc!$K$3:$K$22*(Calc!$G$3:$G$22&gt;A3728)*(Calc!$G$3:$G$22-A3728))</f>
        <v/>
      </c>
      <c r="H3728">
        <f>SUMPRODUCT(Calc!$K$3:$K$22*(Calc!$G$3:$G$22&gt;B3728)*(Calc!$G$3:$G$22-B3728))</f>
        <v/>
      </c>
      <c r="I3728">
        <f>SUMPRODUCT(Calc!$K$3:$K$22*(Calc!$G$3:$G$22&gt;A3728)*(Calc!$G$3:$G$22-A3728)^2)</f>
        <v/>
      </c>
      <c r="J3728">
        <f>SUMPRODUCT(Calc!$K$3:$K$22*(Calc!$G$3:$G$22&gt;B3728)*(Calc!$G$3:$G$22-B3728)^2)</f>
        <v/>
      </c>
      <c r="K3728">
        <f>SUMPRODUCT(Calc!$K$3:$K$22*(Calc!$G$3:$G$22&gt;A3728)*(Calc!$G$3:$G$22-A3728)*(Calc!$G$3:$G$22&gt;B3728)*(Calc!$G$3:$G$22-B3728))</f>
        <v/>
      </c>
      <c r="L3728">
        <f>SUMPRODUCT(Calc!$K$3:$K$22*(Calc!$G$3:$G$22&gt;A3728)*(Calc!$G$3:$G$22-A3728)*Calc!$G$3:$G$22)</f>
        <v/>
      </c>
      <c r="M3728">
        <f>SUMPRODUCT(Calc!$K$3:$K$22*(Calc!$G$3:$G$22&gt;B3728)*(Calc!$G$3:$G$22-B3728)*Calc!$G$3:$G$22)</f>
        <v/>
      </c>
      <c r="N3728">
        <f>SUMPRODUCT(Calc!$K$3:$K$22*(Calc!$G$3:$G$22&gt;A3728)*(Calc!$G$3:$G$22-A3728)*Calc!$I$3:$I$22)</f>
        <v/>
      </c>
      <c r="O3728">
        <f>SUMPRODUCT(Calc!$K$3:$K$22*(Calc!$G$3:$G$22&gt;B3728)*(Calc!$G$3:$G$22-B3728)*Calc!$I$3:$I$22)</f>
        <v/>
      </c>
      <c r="P3728">
        <f>I3728-G3728^2/k_n</f>
        <v/>
      </c>
      <c r="Q3728">
        <f>J3728-H3728^2/k_n</f>
        <v/>
      </c>
      <c r="R3728">
        <f>K3728-G3728*H3728/k_n</f>
        <v/>
      </c>
      <c r="S3728">
        <f>L3728-LTP3!$D$3*G3728/k_n</f>
        <v/>
      </c>
      <c r="T3728">
        <f>M3728-LTP3!$D$3*H3728/k_n</f>
        <v/>
      </c>
      <c r="U3728">
        <f>N3728-G3728*LTP3!$D$4/k_n</f>
        <v/>
      </c>
      <c r="V3728">
        <f>O3728-H3728*LTP3!$D$4/k_n</f>
        <v/>
      </c>
      <c r="W3728">
        <f>((LTP3!$D$5)*((P3728)*(Q3728)-(R3728)*(R3728))-(S3728)*((S3728)*(Q3728)-(R3728)*(T3728))+(T3728)*((S3728)*(R3728)-(P3728)*(T3728)))</f>
        <v/>
      </c>
      <c r="X3728">
        <f>IF(ABS(W3728)&gt;1E-12,((LTP3!$D$6)*((P3728)*(Q3728)-(R3728)*(R3728))-(S3728)*((U3728)*(Q3728)-(R3728)*(V3728))+(T3728)*((U3728)*(R3728)-(P3728)*(V3728)))/W3728,0)</f>
        <v/>
      </c>
      <c r="Y3728">
        <f>IF(ABS(W3728)&gt;1E-12,((LTP3!$D$5)*((U3728)*(Q3728)-(R3728)*(V3728))-(LTP3!$D$6)*((S3728)*(Q3728)-(R3728)*(T3728))+(T3728)*((S3728)*(V3728)-(U3728)*(T3728)))/W3728,0)</f>
        <v/>
      </c>
      <c r="Z3728">
        <f>IF(ABS(W3728)&gt;1E-12,((LTP3!$D$5)*((P3728)*(V3728)-(U3728)*(R3728))-(S3728)*((S3728)*(V3728)-(U3728)*(T3728))+(LTP3!$D$6)*((S3728)*(R3728)-(P3728)*(T3728)))/W3728,0)</f>
        <v/>
      </c>
      <c r="AA3728">
        <f>LTP3!$D$7-X3728*LTP3!$D$6-Y3728*U3728-Z3728*V3728</f>
        <v/>
      </c>
      <c r="AB3728">
        <f>IF(AND(F3728,ABS(W3728)&gt;1E-12,Y3728&gt;0,Z3728&gt;0),AA3728,1E+300)</f>
        <v/>
      </c>
    </row>
    <row r="3729">
      <c r="A3729">
        <f>$B$3+$B$5*60</f>
        <v/>
      </c>
      <c r="B3729">
        <f>$B$3+$B$5*57</f>
        <v/>
      </c>
      <c r="C3729">
        <f>SUMPRODUCT(Calc!$K$3:$K$22*(Calc!$G$3:$G$22&lt;=A3729))</f>
        <v/>
      </c>
      <c r="D3729">
        <f>SUMPRODUCT(Calc!$K$3:$K$22*(Calc!$G$3:$G$22&gt;A3729)*(Calc!$G$3:$G$22&lt;B3729))</f>
        <v/>
      </c>
      <c r="E3729">
        <f>SUMPRODUCT(Calc!$K$3:$K$22*(Calc!$G$3:$G$22&gt;=B3729))</f>
        <v/>
      </c>
      <c r="F3729">
        <f>AND(k_n&gt;=5,B3729&gt;A3729+1E-9,C3729&gt;=2,D3729&gt;=1,E3729&gt;=2)</f>
        <v/>
      </c>
      <c r="G3729">
        <f>SUMPRODUCT(Calc!$K$3:$K$22*(Calc!$G$3:$G$22&gt;A3729)*(Calc!$G$3:$G$22-A3729))</f>
        <v/>
      </c>
      <c r="H3729">
        <f>SUMPRODUCT(Calc!$K$3:$K$22*(Calc!$G$3:$G$22&gt;B3729)*(Calc!$G$3:$G$22-B3729))</f>
        <v/>
      </c>
      <c r="I3729">
        <f>SUMPRODUCT(Calc!$K$3:$K$22*(Calc!$G$3:$G$22&gt;A3729)*(Calc!$G$3:$G$22-A3729)^2)</f>
        <v/>
      </c>
      <c r="J3729">
        <f>SUMPRODUCT(Calc!$K$3:$K$22*(Calc!$G$3:$G$22&gt;B3729)*(Calc!$G$3:$G$22-B3729)^2)</f>
        <v/>
      </c>
      <c r="K3729">
        <f>SUMPRODUCT(Calc!$K$3:$K$22*(Calc!$G$3:$G$22&gt;A3729)*(Calc!$G$3:$G$22-A3729)*(Calc!$G$3:$G$22&gt;B3729)*(Calc!$G$3:$G$22-B3729))</f>
        <v/>
      </c>
      <c r="L3729">
        <f>SUMPRODUCT(Calc!$K$3:$K$22*(Calc!$G$3:$G$22&gt;A3729)*(Calc!$G$3:$G$22-A3729)*Calc!$G$3:$G$22)</f>
        <v/>
      </c>
      <c r="M3729">
        <f>SUMPRODUCT(Calc!$K$3:$K$22*(Calc!$G$3:$G$22&gt;B3729)*(Calc!$G$3:$G$22-B3729)*Calc!$G$3:$G$22)</f>
        <v/>
      </c>
      <c r="N3729">
        <f>SUMPRODUCT(Calc!$K$3:$K$22*(Calc!$G$3:$G$22&gt;A3729)*(Calc!$G$3:$G$22-A3729)*Calc!$I$3:$I$22)</f>
        <v/>
      </c>
      <c r="O3729">
        <f>SUMPRODUCT(Calc!$K$3:$K$22*(Calc!$G$3:$G$22&gt;B3729)*(Calc!$G$3:$G$22-B3729)*Calc!$I$3:$I$22)</f>
        <v/>
      </c>
      <c r="P3729">
        <f>I3729-G3729^2/k_n</f>
        <v/>
      </c>
      <c r="Q3729">
        <f>J3729-H3729^2/k_n</f>
        <v/>
      </c>
      <c r="R3729">
        <f>K3729-G3729*H3729/k_n</f>
        <v/>
      </c>
      <c r="S3729">
        <f>L3729-LTP3!$D$3*G3729/k_n</f>
        <v/>
      </c>
      <c r="T3729">
        <f>M3729-LTP3!$D$3*H3729/k_n</f>
        <v/>
      </c>
      <c r="U3729">
        <f>N3729-G3729*LTP3!$D$4/k_n</f>
        <v/>
      </c>
      <c r="V3729">
        <f>O3729-H3729*LTP3!$D$4/k_n</f>
        <v/>
      </c>
      <c r="W3729">
        <f>((LTP3!$D$5)*((P3729)*(Q3729)-(R3729)*(R3729))-(S3729)*((S3729)*(Q3729)-(R3729)*(T3729))+(T3729)*((S3729)*(R3729)-(P3729)*(T3729)))</f>
        <v/>
      </c>
      <c r="X3729">
        <f>IF(ABS(W3729)&gt;1E-12,((LTP3!$D$6)*((P3729)*(Q3729)-(R3729)*(R3729))-(S3729)*((U3729)*(Q3729)-(R3729)*(V3729))+(T3729)*((U3729)*(R3729)-(P3729)*(V3729)))/W3729,0)</f>
        <v/>
      </c>
      <c r="Y3729">
        <f>IF(ABS(W3729)&gt;1E-12,((LTP3!$D$5)*((U3729)*(Q3729)-(R3729)*(V3729))-(LTP3!$D$6)*((S3729)*(Q3729)-(R3729)*(T3729))+(T3729)*((S3729)*(V3729)-(U3729)*(T3729)))/W3729,0)</f>
        <v/>
      </c>
      <c r="Z3729">
        <f>IF(ABS(W3729)&gt;1E-12,((LTP3!$D$5)*((P3729)*(V3729)-(U3729)*(R3729))-(S3729)*((S3729)*(V3729)-(U3729)*(T3729))+(LTP3!$D$6)*((S3729)*(R3729)-(P3729)*(T3729)))/W3729,0)</f>
        <v/>
      </c>
      <c r="AA3729">
        <f>LTP3!$D$7-X3729*LTP3!$D$6-Y3729*U3729-Z3729*V3729</f>
        <v/>
      </c>
      <c r="AB3729">
        <f>IF(AND(F3729,ABS(W3729)&gt;1E-12,Y3729&gt;0,Z3729&gt;0),AA3729,1E+300)</f>
        <v/>
      </c>
    </row>
    <row r="3730">
      <c r="A3730">
        <f>$B$3+$B$5*60</f>
        <v/>
      </c>
      <c r="B3730">
        <f>$B$3+$B$5*58</f>
        <v/>
      </c>
      <c r="C3730">
        <f>SUMPRODUCT(Calc!$K$3:$K$22*(Calc!$G$3:$G$22&lt;=A3730))</f>
        <v/>
      </c>
      <c r="D3730">
        <f>SUMPRODUCT(Calc!$K$3:$K$22*(Calc!$G$3:$G$22&gt;A3730)*(Calc!$G$3:$G$22&lt;B3730))</f>
        <v/>
      </c>
      <c r="E3730">
        <f>SUMPRODUCT(Calc!$K$3:$K$22*(Calc!$G$3:$G$22&gt;=B3730))</f>
        <v/>
      </c>
      <c r="F3730">
        <f>AND(k_n&gt;=5,B3730&gt;A3730+1E-9,C3730&gt;=2,D3730&gt;=1,E3730&gt;=2)</f>
        <v/>
      </c>
      <c r="G3730">
        <f>SUMPRODUCT(Calc!$K$3:$K$22*(Calc!$G$3:$G$22&gt;A3730)*(Calc!$G$3:$G$22-A3730))</f>
        <v/>
      </c>
      <c r="H3730">
        <f>SUMPRODUCT(Calc!$K$3:$K$22*(Calc!$G$3:$G$22&gt;B3730)*(Calc!$G$3:$G$22-B3730))</f>
        <v/>
      </c>
      <c r="I3730">
        <f>SUMPRODUCT(Calc!$K$3:$K$22*(Calc!$G$3:$G$22&gt;A3730)*(Calc!$G$3:$G$22-A3730)^2)</f>
        <v/>
      </c>
      <c r="J3730">
        <f>SUMPRODUCT(Calc!$K$3:$K$22*(Calc!$G$3:$G$22&gt;B3730)*(Calc!$G$3:$G$22-B3730)^2)</f>
        <v/>
      </c>
      <c r="K3730">
        <f>SUMPRODUCT(Calc!$K$3:$K$22*(Calc!$G$3:$G$22&gt;A3730)*(Calc!$G$3:$G$22-A3730)*(Calc!$G$3:$G$22&gt;B3730)*(Calc!$G$3:$G$22-B3730))</f>
        <v/>
      </c>
      <c r="L3730">
        <f>SUMPRODUCT(Calc!$K$3:$K$22*(Calc!$G$3:$G$22&gt;A3730)*(Calc!$G$3:$G$22-A3730)*Calc!$G$3:$G$22)</f>
        <v/>
      </c>
      <c r="M3730">
        <f>SUMPRODUCT(Calc!$K$3:$K$22*(Calc!$G$3:$G$22&gt;B3730)*(Calc!$G$3:$G$22-B3730)*Calc!$G$3:$G$22)</f>
        <v/>
      </c>
      <c r="N3730">
        <f>SUMPRODUCT(Calc!$K$3:$K$22*(Calc!$G$3:$G$22&gt;A3730)*(Calc!$G$3:$G$22-A3730)*Calc!$I$3:$I$22)</f>
        <v/>
      </c>
      <c r="O3730">
        <f>SUMPRODUCT(Calc!$K$3:$K$22*(Calc!$G$3:$G$22&gt;B3730)*(Calc!$G$3:$G$22-B3730)*Calc!$I$3:$I$22)</f>
        <v/>
      </c>
      <c r="P3730">
        <f>I3730-G3730^2/k_n</f>
        <v/>
      </c>
      <c r="Q3730">
        <f>J3730-H3730^2/k_n</f>
        <v/>
      </c>
      <c r="R3730">
        <f>K3730-G3730*H3730/k_n</f>
        <v/>
      </c>
      <c r="S3730">
        <f>L3730-LTP3!$D$3*G3730/k_n</f>
        <v/>
      </c>
      <c r="T3730">
        <f>M3730-LTP3!$D$3*H3730/k_n</f>
        <v/>
      </c>
      <c r="U3730">
        <f>N3730-G3730*LTP3!$D$4/k_n</f>
        <v/>
      </c>
      <c r="V3730">
        <f>O3730-H3730*LTP3!$D$4/k_n</f>
        <v/>
      </c>
      <c r="W3730">
        <f>((LTP3!$D$5)*((P3730)*(Q3730)-(R3730)*(R3730))-(S3730)*((S3730)*(Q3730)-(R3730)*(T3730))+(T3730)*((S3730)*(R3730)-(P3730)*(T3730)))</f>
        <v/>
      </c>
      <c r="X3730">
        <f>IF(ABS(W3730)&gt;1E-12,((LTP3!$D$6)*((P3730)*(Q3730)-(R3730)*(R3730))-(S3730)*((U3730)*(Q3730)-(R3730)*(V3730))+(T3730)*((U3730)*(R3730)-(P3730)*(V3730)))/W3730,0)</f>
        <v/>
      </c>
      <c r="Y3730">
        <f>IF(ABS(W3730)&gt;1E-12,((LTP3!$D$5)*((U3730)*(Q3730)-(R3730)*(V3730))-(LTP3!$D$6)*((S3730)*(Q3730)-(R3730)*(T3730))+(T3730)*((S3730)*(V3730)-(U3730)*(T3730)))/W3730,0)</f>
        <v/>
      </c>
      <c r="Z3730">
        <f>IF(ABS(W3730)&gt;1E-12,((LTP3!$D$5)*((P3730)*(V3730)-(U3730)*(R3730))-(S3730)*((S3730)*(V3730)-(U3730)*(T3730))+(LTP3!$D$6)*((S3730)*(R3730)-(P3730)*(T3730)))/W3730,0)</f>
        <v/>
      </c>
      <c r="AA3730">
        <f>LTP3!$D$7-X3730*LTP3!$D$6-Y3730*U3730-Z3730*V3730</f>
        <v/>
      </c>
      <c r="AB3730">
        <f>IF(AND(F3730,ABS(W3730)&gt;1E-12,Y3730&gt;0,Z3730&gt;0),AA3730,1E+300)</f>
        <v/>
      </c>
    </row>
    <row r="3731">
      <c r="A3731">
        <f>$B$3+$B$5*60</f>
        <v/>
      </c>
      <c r="B3731">
        <f>$B$3+$B$5*59</f>
        <v/>
      </c>
      <c r="C3731">
        <f>SUMPRODUCT(Calc!$K$3:$K$22*(Calc!$G$3:$G$22&lt;=A3731))</f>
        <v/>
      </c>
      <c r="D3731">
        <f>SUMPRODUCT(Calc!$K$3:$K$22*(Calc!$G$3:$G$22&gt;A3731)*(Calc!$G$3:$G$22&lt;B3731))</f>
        <v/>
      </c>
      <c r="E3731">
        <f>SUMPRODUCT(Calc!$K$3:$K$22*(Calc!$G$3:$G$22&gt;=B3731))</f>
        <v/>
      </c>
      <c r="F3731">
        <f>AND(k_n&gt;=5,B3731&gt;A3731+1E-9,C3731&gt;=2,D3731&gt;=1,E3731&gt;=2)</f>
        <v/>
      </c>
      <c r="G3731">
        <f>SUMPRODUCT(Calc!$K$3:$K$22*(Calc!$G$3:$G$22&gt;A3731)*(Calc!$G$3:$G$22-A3731))</f>
        <v/>
      </c>
      <c r="H3731">
        <f>SUMPRODUCT(Calc!$K$3:$K$22*(Calc!$G$3:$G$22&gt;B3731)*(Calc!$G$3:$G$22-B3731))</f>
        <v/>
      </c>
      <c r="I3731">
        <f>SUMPRODUCT(Calc!$K$3:$K$22*(Calc!$G$3:$G$22&gt;A3731)*(Calc!$G$3:$G$22-A3731)^2)</f>
        <v/>
      </c>
      <c r="J3731">
        <f>SUMPRODUCT(Calc!$K$3:$K$22*(Calc!$G$3:$G$22&gt;B3731)*(Calc!$G$3:$G$22-B3731)^2)</f>
        <v/>
      </c>
      <c r="K3731">
        <f>SUMPRODUCT(Calc!$K$3:$K$22*(Calc!$G$3:$G$22&gt;A3731)*(Calc!$G$3:$G$22-A3731)*(Calc!$G$3:$G$22&gt;B3731)*(Calc!$G$3:$G$22-B3731))</f>
        <v/>
      </c>
      <c r="L3731">
        <f>SUMPRODUCT(Calc!$K$3:$K$22*(Calc!$G$3:$G$22&gt;A3731)*(Calc!$G$3:$G$22-A3731)*Calc!$G$3:$G$22)</f>
        <v/>
      </c>
      <c r="M3731">
        <f>SUMPRODUCT(Calc!$K$3:$K$22*(Calc!$G$3:$G$22&gt;B3731)*(Calc!$G$3:$G$22-B3731)*Calc!$G$3:$G$22)</f>
        <v/>
      </c>
      <c r="N3731">
        <f>SUMPRODUCT(Calc!$K$3:$K$22*(Calc!$G$3:$G$22&gt;A3731)*(Calc!$G$3:$G$22-A3731)*Calc!$I$3:$I$22)</f>
        <v/>
      </c>
      <c r="O3731">
        <f>SUMPRODUCT(Calc!$K$3:$K$22*(Calc!$G$3:$G$22&gt;B3731)*(Calc!$G$3:$G$22-B3731)*Calc!$I$3:$I$22)</f>
        <v/>
      </c>
      <c r="P3731">
        <f>I3731-G3731^2/k_n</f>
        <v/>
      </c>
      <c r="Q3731">
        <f>J3731-H3731^2/k_n</f>
        <v/>
      </c>
      <c r="R3731">
        <f>K3731-G3731*H3731/k_n</f>
        <v/>
      </c>
      <c r="S3731">
        <f>L3731-LTP3!$D$3*G3731/k_n</f>
        <v/>
      </c>
      <c r="T3731">
        <f>M3731-LTP3!$D$3*H3731/k_n</f>
        <v/>
      </c>
      <c r="U3731">
        <f>N3731-G3731*LTP3!$D$4/k_n</f>
        <v/>
      </c>
      <c r="V3731">
        <f>O3731-H3731*LTP3!$D$4/k_n</f>
        <v/>
      </c>
      <c r="W3731">
        <f>((LTP3!$D$5)*((P3731)*(Q3731)-(R3731)*(R3731))-(S3731)*((S3731)*(Q3731)-(R3731)*(T3731))+(T3731)*((S3731)*(R3731)-(P3731)*(T3731)))</f>
        <v/>
      </c>
      <c r="X3731">
        <f>IF(ABS(W3731)&gt;1E-12,((LTP3!$D$6)*((P3731)*(Q3731)-(R3731)*(R3731))-(S3731)*((U3731)*(Q3731)-(R3731)*(V3731))+(T3731)*((U3731)*(R3731)-(P3731)*(V3731)))/W3731,0)</f>
        <v/>
      </c>
      <c r="Y3731">
        <f>IF(ABS(W3731)&gt;1E-12,((LTP3!$D$5)*((U3731)*(Q3731)-(R3731)*(V3731))-(LTP3!$D$6)*((S3731)*(Q3731)-(R3731)*(T3731))+(T3731)*((S3731)*(V3731)-(U3731)*(T3731)))/W3731,0)</f>
        <v/>
      </c>
      <c r="Z3731">
        <f>IF(ABS(W3731)&gt;1E-12,((LTP3!$D$5)*((P3731)*(V3731)-(U3731)*(R3731))-(S3731)*((S3731)*(V3731)-(U3731)*(T3731))+(LTP3!$D$6)*((S3731)*(R3731)-(P3731)*(T3731)))/W3731,0)</f>
        <v/>
      </c>
      <c r="AA3731">
        <f>LTP3!$D$7-X3731*LTP3!$D$6-Y3731*U3731-Z3731*V3731</f>
        <v/>
      </c>
      <c r="AB3731">
        <f>IF(AND(F3731,ABS(W3731)&gt;1E-12,Y3731&gt;0,Z3731&gt;0),AA3731,1E+300)</f>
        <v/>
      </c>
    </row>
    <row r="3732">
      <c r="A3732">
        <f>$B$3+$B$5*60</f>
        <v/>
      </c>
      <c r="B3732">
        <f>$B$3+$B$5*60</f>
        <v/>
      </c>
      <c r="C3732">
        <f>SUMPRODUCT(Calc!$K$3:$K$22*(Calc!$G$3:$G$22&lt;=A3732))</f>
        <v/>
      </c>
      <c r="D3732">
        <f>SUMPRODUCT(Calc!$K$3:$K$22*(Calc!$G$3:$G$22&gt;A3732)*(Calc!$G$3:$G$22&lt;B3732))</f>
        <v/>
      </c>
      <c r="E3732">
        <f>SUMPRODUCT(Calc!$K$3:$K$22*(Calc!$G$3:$G$22&gt;=B3732))</f>
        <v/>
      </c>
      <c r="F3732">
        <f>AND(k_n&gt;=5,B3732&gt;A3732+1E-9,C3732&gt;=2,D3732&gt;=1,E3732&gt;=2)</f>
        <v/>
      </c>
      <c r="G3732">
        <f>SUMPRODUCT(Calc!$K$3:$K$22*(Calc!$G$3:$G$22&gt;A3732)*(Calc!$G$3:$G$22-A3732))</f>
        <v/>
      </c>
      <c r="H3732">
        <f>SUMPRODUCT(Calc!$K$3:$K$22*(Calc!$G$3:$G$22&gt;B3732)*(Calc!$G$3:$G$22-B3732))</f>
        <v/>
      </c>
      <c r="I3732">
        <f>SUMPRODUCT(Calc!$K$3:$K$22*(Calc!$G$3:$G$22&gt;A3732)*(Calc!$G$3:$G$22-A3732)^2)</f>
        <v/>
      </c>
      <c r="J3732">
        <f>SUMPRODUCT(Calc!$K$3:$K$22*(Calc!$G$3:$G$22&gt;B3732)*(Calc!$G$3:$G$22-B3732)^2)</f>
        <v/>
      </c>
      <c r="K3732">
        <f>SUMPRODUCT(Calc!$K$3:$K$22*(Calc!$G$3:$G$22&gt;A3732)*(Calc!$G$3:$G$22-A3732)*(Calc!$G$3:$G$22&gt;B3732)*(Calc!$G$3:$G$22-B3732))</f>
        <v/>
      </c>
      <c r="L3732">
        <f>SUMPRODUCT(Calc!$K$3:$K$22*(Calc!$G$3:$G$22&gt;A3732)*(Calc!$G$3:$G$22-A3732)*Calc!$G$3:$G$22)</f>
        <v/>
      </c>
      <c r="M3732">
        <f>SUMPRODUCT(Calc!$K$3:$K$22*(Calc!$G$3:$G$22&gt;B3732)*(Calc!$G$3:$G$22-B3732)*Calc!$G$3:$G$22)</f>
        <v/>
      </c>
      <c r="N3732">
        <f>SUMPRODUCT(Calc!$K$3:$K$22*(Calc!$G$3:$G$22&gt;A3732)*(Calc!$G$3:$G$22-A3732)*Calc!$I$3:$I$22)</f>
        <v/>
      </c>
      <c r="O3732">
        <f>SUMPRODUCT(Calc!$K$3:$K$22*(Calc!$G$3:$G$22&gt;B3732)*(Calc!$G$3:$G$22-B3732)*Calc!$I$3:$I$22)</f>
        <v/>
      </c>
      <c r="P3732">
        <f>I3732-G3732^2/k_n</f>
        <v/>
      </c>
      <c r="Q3732">
        <f>J3732-H3732^2/k_n</f>
        <v/>
      </c>
      <c r="R3732">
        <f>K3732-G3732*H3732/k_n</f>
        <v/>
      </c>
      <c r="S3732">
        <f>L3732-LTP3!$D$3*G3732/k_n</f>
        <v/>
      </c>
      <c r="T3732">
        <f>M3732-LTP3!$D$3*H3732/k_n</f>
        <v/>
      </c>
      <c r="U3732">
        <f>N3732-G3732*LTP3!$D$4/k_n</f>
        <v/>
      </c>
      <c r="V3732">
        <f>O3732-H3732*LTP3!$D$4/k_n</f>
        <v/>
      </c>
      <c r="W3732">
        <f>((LTP3!$D$5)*((P3732)*(Q3732)-(R3732)*(R3732))-(S3732)*((S3732)*(Q3732)-(R3732)*(T3732))+(T3732)*((S3732)*(R3732)-(P3732)*(T3732)))</f>
        <v/>
      </c>
      <c r="X3732">
        <f>IF(ABS(W3732)&gt;1E-12,((LTP3!$D$6)*((P3732)*(Q3732)-(R3732)*(R3732))-(S3732)*((U3732)*(Q3732)-(R3732)*(V3732))+(T3732)*((U3732)*(R3732)-(P3732)*(V3732)))/W3732,0)</f>
        <v/>
      </c>
      <c r="Y3732">
        <f>IF(ABS(W3732)&gt;1E-12,((LTP3!$D$5)*((U3732)*(Q3732)-(R3732)*(V3732))-(LTP3!$D$6)*((S3732)*(Q3732)-(R3732)*(T3732))+(T3732)*((S3732)*(V3732)-(U3732)*(T3732)))/W3732,0)</f>
        <v/>
      </c>
      <c r="Z3732">
        <f>IF(ABS(W3732)&gt;1E-12,((LTP3!$D$5)*((P3732)*(V3732)-(U3732)*(R3732))-(S3732)*((S3732)*(V3732)-(U3732)*(T3732))+(LTP3!$D$6)*((S3732)*(R3732)-(P3732)*(T3732)))/W3732,0)</f>
        <v/>
      </c>
      <c r="AA3732">
        <f>LTP3!$D$7-X3732*LTP3!$D$6-Y3732*U3732-Z3732*V3732</f>
        <v/>
      </c>
      <c r="AB3732">
        <f>IF(AND(F3732,ABS(W3732)&gt;1E-12,Y3732&gt;0,Z3732&gt;0),AA3732,1E+300)</f>
        <v/>
      </c>
    </row>
    <row r="3734">
      <c r="A3734" s="57" t="inlineStr">
        <is>
          <t>Verfeinerung 1</t>
        </is>
      </c>
    </row>
    <row r="3735">
      <c r="A3735" s="57" t="inlineStr">
        <is>
          <t>k1</t>
        </is>
      </c>
      <c r="B3735" s="57" t="inlineStr">
        <is>
          <t>k2</t>
        </is>
      </c>
      <c r="C3735" s="57" t="inlineStr">
        <is>
          <t>a</t>
        </is>
      </c>
      <c r="D3735" s="57" t="inlineStr">
        <is>
          <t>mid</t>
        </is>
      </c>
      <c r="E3735" s="57" t="inlineStr">
        <is>
          <t>c</t>
        </is>
      </c>
      <c r="F3735" s="57" t="inlineStr">
        <is>
          <t>ok</t>
        </is>
      </c>
      <c r="G3735" s="57" t="inlineStr">
        <is>
          <t>S1</t>
        </is>
      </c>
      <c r="H3735" s="57" t="inlineStr">
        <is>
          <t>S2</t>
        </is>
      </c>
      <c r="I3735" s="57" t="inlineStr">
        <is>
          <t>S11</t>
        </is>
      </c>
      <c r="J3735" s="57" t="inlineStr">
        <is>
          <t>S22</t>
        </is>
      </c>
      <c r="K3735" s="57" t="inlineStr">
        <is>
          <t>S12</t>
        </is>
      </c>
      <c r="L3735" s="57" t="inlineStr">
        <is>
          <t>Sx1</t>
        </is>
      </c>
      <c r="M3735" s="57" t="inlineStr">
        <is>
          <t>Sx2</t>
        </is>
      </c>
      <c r="N3735" s="57" t="inlineStr">
        <is>
          <t>S1y</t>
        </is>
      </c>
      <c r="O3735" s="57" t="inlineStr">
        <is>
          <t>S2y</t>
        </is>
      </c>
      <c r="P3735" s="57" t="inlineStr">
        <is>
          <t>C11</t>
        </is>
      </c>
      <c r="Q3735" s="57" t="inlineStr">
        <is>
          <t>C22</t>
        </is>
      </c>
      <c r="R3735" s="57" t="inlineStr">
        <is>
          <t>C12</t>
        </is>
      </c>
      <c r="S3735" s="57" t="inlineStr">
        <is>
          <t>Cx1</t>
        </is>
      </c>
      <c r="T3735" s="57" t="inlineStr">
        <is>
          <t>Cx2</t>
        </is>
      </c>
      <c r="U3735" s="57" t="inlineStr">
        <is>
          <t>C1y</t>
        </is>
      </c>
      <c r="V3735" s="57" t="inlineStr">
        <is>
          <t>C2y</t>
        </is>
      </c>
      <c r="W3735" s="57" t="inlineStr">
        <is>
          <t>det</t>
        </is>
      </c>
      <c r="X3735" s="57" t="inlineStr">
        <is>
          <t>bx</t>
        </is>
      </c>
      <c r="Y3735" s="57" t="inlineStr">
        <is>
          <t>b1</t>
        </is>
      </c>
      <c r="Z3735" s="57" t="inlineStr">
        <is>
          <t>b2</t>
        </is>
      </c>
      <c r="AA3735" s="57" t="inlineStr">
        <is>
          <t>SSE</t>
        </is>
      </c>
      <c r="AB3735" s="57" t="inlineStr">
        <is>
          <t>Score</t>
        </is>
      </c>
    </row>
    <row r="3736">
      <c r="A3736">
        <f>$I$3-$B$5+$B$5*0/10</f>
        <v/>
      </c>
      <c r="B3736">
        <f>$J$3-$B$5+$B$5*0/10</f>
        <v/>
      </c>
      <c r="C3736">
        <f>SUMPRODUCT(Calc!$K$3:$K$22*(Calc!$G$3:$G$22&lt;=A3736))</f>
        <v/>
      </c>
      <c r="D3736">
        <f>SUMPRODUCT(Calc!$K$3:$K$22*(Calc!$G$3:$G$22&gt;A3736)*(Calc!$G$3:$G$22&lt;B3736))</f>
        <v/>
      </c>
      <c r="E3736">
        <f>SUMPRODUCT(Calc!$K$3:$K$22*(Calc!$G$3:$G$22&gt;=B3736))</f>
        <v/>
      </c>
      <c r="F3736">
        <f>AND(k_n&gt;=5,B3736&gt;A3736+1E-9,C3736&gt;=2,D3736&gt;=1,E3736&gt;=2)</f>
        <v/>
      </c>
      <c r="G3736">
        <f>SUMPRODUCT(Calc!$K$3:$K$22*(Calc!$G$3:$G$22&gt;A3736)*(Calc!$G$3:$G$22-A3736))</f>
        <v/>
      </c>
      <c r="H3736">
        <f>SUMPRODUCT(Calc!$K$3:$K$22*(Calc!$G$3:$G$22&gt;B3736)*(Calc!$G$3:$G$22-B3736))</f>
        <v/>
      </c>
      <c r="I3736">
        <f>SUMPRODUCT(Calc!$K$3:$K$22*(Calc!$G$3:$G$22&gt;A3736)*(Calc!$G$3:$G$22-A3736)^2)</f>
        <v/>
      </c>
      <c r="J3736">
        <f>SUMPRODUCT(Calc!$K$3:$K$22*(Calc!$G$3:$G$22&gt;B3736)*(Calc!$G$3:$G$22-B3736)^2)</f>
        <v/>
      </c>
      <c r="K3736">
        <f>SUMPRODUCT(Calc!$K$3:$K$22*(Calc!$G$3:$G$22&gt;A3736)*(Calc!$G$3:$G$22-A3736)*(Calc!$G$3:$G$22&gt;B3736)*(Calc!$G$3:$G$22-B3736))</f>
        <v/>
      </c>
      <c r="L3736">
        <f>SUMPRODUCT(Calc!$K$3:$K$22*(Calc!$G$3:$G$22&gt;A3736)*(Calc!$G$3:$G$22-A3736)*Calc!$G$3:$G$22)</f>
        <v/>
      </c>
      <c r="M3736">
        <f>SUMPRODUCT(Calc!$K$3:$K$22*(Calc!$G$3:$G$22&gt;B3736)*(Calc!$G$3:$G$22-B3736)*Calc!$G$3:$G$22)</f>
        <v/>
      </c>
      <c r="N3736">
        <f>SUMPRODUCT(Calc!$K$3:$K$22*(Calc!$G$3:$G$22&gt;A3736)*(Calc!$G$3:$G$22-A3736)*Calc!$I$3:$I$22)</f>
        <v/>
      </c>
      <c r="O3736">
        <f>SUMPRODUCT(Calc!$K$3:$K$22*(Calc!$G$3:$G$22&gt;B3736)*(Calc!$G$3:$G$22-B3736)*Calc!$I$3:$I$22)</f>
        <v/>
      </c>
      <c r="P3736">
        <f>I3736-G3736^2/k_n</f>
        <v/>
      </c>
      <c r="Q3736">
        <f>J3736-H3736^2/k_n</f>
        <v/>
      </c>
      <c r="R3736">
        <f>K3736-G3736*H3736/k_n</f>
        <v/>
      </c>
      <c r="S3736">
        <f>L3736-LTP3!$D$3*G3736/k_n</f>
        <v/>
      </c>
      <c r="T3736">
        <f>M3736-LTP3!$D$3*H3736/k_n</f>
        <v/>
      </c>
      <c r="U3736">
        <f>N3736-G3736*LTP3!$D$4/k_n</f>
        <v/>
      </c>
      <c r="V3736">
        <f>O3736-H3736*LTP3!$D$4/k_n</f>
        <v/>
      </c>
      <c r="W3736">
        <f>((LTP3!$D$5)*((P3736)*(Q3736)-(R3736)*(R3736))-(S3736)*((S3736)*(Q3736)-(R3736)*(T3736))+(T3736)*((S3736)*(R3736)-(P3736)*(T3736)))</f>
        <v/>
      </c>
      <c r="X3736">
        <f>IF(ABS(W3736)&gt;1E-12,((LTP3!$D$6)*((P3736)*(Q3736)-(R3736)*(R3736))-(S3736)*((U3736)*(Q3736)-(R3736)*(V3736))+(T3736)*((U3736)*(R3736)-(P3736)*(V3736)))/W3736,0)</f>
        <v/>
      </c>
      <c r="Y3736">
        <f>IF(ABS(W3736)&gt;1E-12,((LTP3!$D$5)*((U3736)*(Q3736)-(R3736)*(V3736))-(LTP3!$D$6)*((S3736)*(Q3736)-(R3736)*(T3736))+(T3736)*((S3736)*(V3736)-(U3736)*(T3736)))/W3736,0)</f>
        <v/>
      </c>
      <c r="Z3736">
        <f>IF(ABS(W3736)&gt;1E-12,((LTP3!$D$5)*((P3736)*(V3736)-(U3736)*(R3736))-(S3736)*((S3736)*(V3736)-(U3736)*(T3736))+(LTP3!$D$6)*((S3736)*(R3736)-(P3736)*(T3736)))/W3736,0)</f>
        <v/>
      </c>
      <c r="AA3736">
        <f>LTP3!$D$7-X3736*LTP3!$D$6-Y3736*U3736-Z3736*V3736</f>
        <v/>
      </c>
      <c r="AB3736">
        <f>IF(AND(F3736,ABS(W3736)&gt;1E-12,Y3736&gt;0,Z3736&gt;0),AA3736,1E+300)</f>
        <v/>
      </c>
    </row>
    <row r="3737">
      <c r="A3737">
        <f>$I$3-$B$5+$B$5*0/10</f>
        <v/>
      </c>
      <c r="B3737">
        <f>$J$3-$B$5+$B$5*1/10</f>
        <v/>
      </c>
      <c r="C3737">
        <f>SUMPRODUCT(Calc!$K$3:$K$22*(Calc!$G$3:$G$22&lt;=A3737))</f>
        <v/>
      </c>
      <c r="D3737">
        <f>SUMPRODUCT(Calc!$K$3:$K$22*(Calc!$G$3:$G$22&gt;A3737)*(Calc!$G$3:$G$22&lt;B3737))</f>
        <v/>
      </c>
      <c r="E3737">
        <f>SUMPRODUCT(Calc!$K$3:$K$22*(Calc!$G$3:$G$22&gt;=B3737))</f>
        <v/>
      </c>
      <c r="F3737">
        <f>AND(k_n&gt;=5,B3737&gt;A3737+1E-9,C3737&gt;=2,D3737&gt;=1,E3737&gt;=2)</f>
        <v/>
      </c>
      <c r="G3737">
        <f>SUMPRODUCT(Calc!$K$3:$K$22*(Calc!$G$3:$G$22&gt;A3737)*(Calc!$G$3:$G$22-A3737))</f>
        <v/>
      </c>
      <c r="H3737">
        <f>SUMPRODUCT(Calc!$K$3:$K$22*(Calc!$G$3:$G$22&gt;B3737)*(Calc!$G$3:$G$22-B3737))</f>
        <v/>
      </c>
      <c r="I3737">
        <f>SUMPRODUCT(Calc!$K$3:$K$22*(Calc!$G$3:$G$22&gt;A3737)*(Calc!$G$3:$G$22-A3737)^2)</f>
        <v/>
      </c>
      <c r="J3737">
        <f>SUMPRODUCT(Calc!$K$3:$K$22*(Calc!$G$3:$G$22&gt;B3737)*(Calc!$G$3:$G$22-B3737)^2)</f>
        <v/>
      </c>
      <c r="K3737">
        <f>SUMPRODUCT(Calc!$K$3:$K$22*(Calc!$G$3:$G$22&gt;A3737)*(Calc!$G$3:$G$22-A3737)*(Calc!$G$3:$G$22&gt;B3737)*(Calc!$G$3:$G$22-B3737))</f>
        <v/>
      </c>
      <c r="L3737">
        <f>SUMPRODUCT(Calc!$K$3:$K$22*(Calc!$G$3:$G$22&gt;A3737)*(Calc!$G$3:$G$22-A3737)*Calc!$G$3:$G$22)</f>
        <v/>
      </c>
      <c r="M3737">
        <f>SUMPRODUCT(Calc!$K$3:$K$22*(Calc!$G$3:$G$22&gt;B3737)*(Calc!$G$3:$G$22-B3737)*Calc!$G$3:$G$22)</f>
        <v/>
      </c>
      <c r="N3737">
        <f>SUMPRODUCT(Calc!$K$3:$K$22*(Calc!$G$3:$G$22&gt;A3737)*(Calc!$G$3:$G$22-A3737)*Calc!$I$3:$I$22)</f>
        <v/>
      </c>
      <c r="O3737">
        <f>SUMPRODUCT(Calc!$K$3:$K$22*(Calc!$G$3:$G$22&gt;B3737)*(Calc!$G$3:$G$22-B3737)*Calc!$I$3:$I$22)</f>
        <v/>
      </c>
      <c r="P3737">
        <f>I3737-G3737^2/k_n</f>
        <v/>
      </c>
      <c r="Q3737">
        <f>J3737-H3737^2/k_n</f>
        <v/>
      </c>
      <c r="R3737">
        <f>K3737-G3737*H3737/k_n</f>
        <v/>
      </c>
      <c r="S3737">
        <f>L3737-LTP3!$D$3*G3737/k_n</f>
        <v/>
      </c>
      <c r="T3737">
        <f>M3737-LTP3!$D$3*H3737/k_n</f>
        <v/>
      </c>
      <c r="U3737">
        <f>N3737-G3737*LTP3!$D$4/k_n</f>
        <v/>
      </c>
      <c r="V3737">
        <f>O3737-H3737*LTP3!$D$4/k_n</f>
        <v/>
      </c>
      <c r="W3737">
        <f>((LTP3!$D$5)*((P3737)*(Q3737)-(R3737)*(R3737))-(S3737)*((S3737)*(Q3737)-(R3737)*(T3737))+(T3737)*((S3737)*(R3737)-(P3737)*(T3737)))</f>
        <v/>
      </c>
      <c r="X3737">
        <f>IF(ABS(W3737)&gt;1E-12,((LTP3!$D$6)*((P3737)*(Q3737)-(R3737)*(R3737))-(S3737)*((U3737)*(Q3737)-(R3737)*(V3737))+(T3737)*((U3737)*(R3737)-(P3737)*(V3737)))/W3737,0)</f>
        <v/>
      </c>
      <c r="Y3737">
        <f>IF(ABS(W3737)&gt;1E-12,((LTP3!$D$5)*((U3737)*(Q3737)-(R3737)*(V3737))-(LTP3!$D$6)*((S3737)*(Q3737)-(R3737)*(T3737))+(T3737)*((S3737)*(V3737)-(U3737)*(T3737)))/W3737,0)</f>
        <v/>
      </c>
      <c r="Z3737">
        <f>IF(ABS(W3737)&gt;1E-12,((LTP3!$D$5)*((P3737)*(V3737)-(U3737)*(R3737))-(S3737)*((S3737)*(V3737)-(U3737)*(T3737))+(LTP3!$D$6)*((S3737)*(R3737)-(P3737)*(T3737)))/W3737,0)</f>
        <v/>
      </c>
      <c r="AA3737">
        <f>LTP3!$D$7-X3737*LTP3!$D$6-Y3737*U3737-Z3737*V3737</f>
        <v/>
      </c>
      <c r="AB3737">
        <f>IF(AND(F3737,ABS(W3737)&gt;1E-12,Y3737&gt;0,Z3737&gt;0),AA3737,1E+300)</f>
        <v/>
      </c>
    </row>
    <row r="3738">
      <c r="A3738">
        <f>$I$3-$B$5+$B$5*0/10</f>
        <v/>
      </c>
      <c r="B3738">
        <f>$J$3-$B$5+$B$5*2/10</f>
        <v/>
      </c>
      <c r="C3738">
        <f>SUMPRODUCT(Calc!$K$3:$K$22*(Calc!$G$3:$G$22&lt;=A3738))</f>
        <v/>
      </c>
      <c r="D3738">
        <f>SUMPRODUCT(Calc!$K$3:$K$22*(Calc!$G$3:$G$22&gt;A3738)*(Calc!$G$3:$G$22&lt;B3738))</f>
        <v/>
      </c>
      <c r="E3738">
        <f>SUMPRODUCT(Calc!$K$3:$K$22*(Calc!$G$3:$G$22&gt;=B3738))</f>
        <v/>
      </c>
      <c r="F3738">
        <f>AND(k_n&gt;=5,B3738&gt;A3738+1E-9,C3738&gt;=2,D3738&gt;=1,E3738&gt;=2)</f>
        <v/>
      </c>
      <c r="G3738">
        <f>SUMPRODUCT(Calc!$K$3:$K$22*(Calc!$G$3:$G$22&gt;A3738)*(Calc!$G$3:$G$22-A3738))</f>
        <v/>
      </c>
      <c r="H3738">
        <f>SUMPRODUCT(Calc!$K$3:$K$22*(Calc!$G$3:$G$22&gt;B3738)*(Calc!$G$3:$G$22-B3738))</f>
        <v/>
      </c>
      <c r="I3738">
        <f>SUMPRODUCT(Calc!$K$3:$K$22*(Calc!$G$3:$G$22&gt;A3738)*(Calc!$G$3:$G$22-A3738)^2)</f>
        <v/>
      </c>
      <c r="J3738">
        <f>SUMPRODUCT(Calc!$K$3:$K$22*(Calc!$G$3:$G$22&gt;B3738)*(Calc!$G$3:$G$22-B3738)^2)</f>
        <v/>
      </c>
      <c r="K3738">
        <f>SUMPRODUCT(Calc!$K$3:$K$22*(Calc!$G$3:$G$22&gt;A3738)*(Calc!$G$3:$G$22-A3738)*(Calc!$G$3:$G$22&gt;B3738)*(Calc!$G$3:$G$22-B3738))</f>
        <v/>
      </c>
      <c r="L3738">
        <f>SUMPRODUCT(Calc!$K$3:$K$22*(Calc!$G$3:$G$22&gt;A3738)*(Calc!$G$3:$G$22-A3738)*Calc!$G$3:$G$22)</f>
        <v/>
      </c>
      <c r="M3738">
        <f>SUMPRODUCT(Calc!$K$3:$K$22*(Calc!$G$3:$G$22&gt;B3738)*(Calc!$G$3:$G$22-B3738)*Calc!$G$3:$G$22)</f>
        <v/>
      </c>
      <c r="N3738">
        <f>SUMPRODUCT(Calc!$K$3:$K$22*(Calc!$G$3:$G$22&gt;A3738)*(Calc!$G$3:$G$22-A3738)*Calc!$I$3:$I$22)</f>
        <v/>
      </c>
      <c r="O3738">
        <f>SUMPRODUCT(Calc!$K$3:$K$22*(Calc!$G$3:$G$22&gt;B3738)*(Calc!$G$3:$G$22-B3738)*Calc!$I$3:$I$22)</f>
        <v/>
      </c>
      <c r="P3738">
        <f>I3738-G3738^2/k_n</f>
        <v/>
      </c>
      <c r="Q3738">
        <f>J3738-H3738^2/k_n</f>
        <v/>
      </c>
      <c r="R3738">
        <f>K3738-G3738*H3738/k_n</f>
        <v/>
      </c>
      <c r="S3738">
        <f>L3738-LTP3!$D$3*G3738/k_n</f>
        <v/>
      </c>
      <c r="T3738">
        <f>M3738-LTP3!$D$3*H3738/k_n</f>
        <v/>
      </c>
      <c r="U3738">
        <f>N3738-G3738*LTP3!$D$4/k_n</f>
        <v/>
      </c>
      <c r="V3738">
        <f>O3738-H3738*LTP3!$D$4/k_n</f>
        <v/>
      </c>
      <c r="W3738">
        <f>((LTP3!$D$5)*((P3738)*(Q3738)-(R3738)*(R3738))-(S3738)*((S3738)*(Q3738)-(R3738)*(T3738))+(T3738)*((S3738)*(R3738)-(P3738)*(T3738)))</f>
        <v/>
      </c>
      <c r="X3738">
        <f>IF(ABS(W3738)&gt;1E-12,((LTP3!$D$6)*((P3738)*(Q3738)-(R3738)*(R3738))-(S3738)*((U3738)*(Q3738)-(R3738)*(V3738))+(T3738)*((U3738)*(R3738)-(P3738)*(V3738)))/W3738,0)</f>
        <v/>
      </c>
      <c r="Y3738">
        <f>IF(ABS(W3738)&gt;1E-12,((LTP3!$D$5)*((U3738)*(Q3738)-(R3738)*(V3738))-(LTP3!$D$6)*((S3738)*(Q3738)-(R3738)*(T3738))+(T3738)*((S3738)*(V3738)-(U3738)*(T3738)))/W3738,0)</f>
        <v/>
      </c>
      <c r="Z3738">
        <f>IF(ABS(W3738)&gt;1E-12,((LTP3!$D$5)*((P3738)*(V3738)-(U3738)*(R3738))-(S3738)*((S3738)*(V3738)-(U3738)*(T3738))+(LTP3!$D$6)*((S3738)*(R3738)-(P3738)*(T3738)))/W3738,0)</f>
        <v/>
      </c>
      <c r="AA3738">
        <f>LTP3!$D$7-X3738*LTP3!$D$6-Y3738*U3738-Z3738*V3738</f>
        <v/>
      </c>
      <c r="AB3738">
        <f>IF(AND(F3738,ABS(W3738)&gt;1E-12,Y3738&gt;0,Z3738&gt;0),AA3738,1E+300)</f>
        <v/>
      </c>
    </row>
    <row r="3739">
      <c r="A3739">
        <f>$I$3-$B$5+$B$5*0/10</f>
        <v/>
      </c>
      <c r="B3739">
        <f>$J$3-$B$5+$B$5*3/10</f>
        <v/>
      </c>
      <c r="C3739">
        <f>SUMPRODUCT(Calc!$K$3:$K$22*(Calc!$G$3:$G$22&lt;=A3739))</f>
        <v/>
      </c>
      <c r="D3739">
        <f>SUMPRODUCT(Calc!$K$3:$K$22*(Calc!$G$3:$G$22&gt;A3739)*(Calc!$G$3:$G$22&lt;B3739))</f>
        <v/>
      </c>
      <c r="E3739">
        <f>SUMPRODUCT(Calc!$K$3:$K$22*(Calc!$G$3:$G$22&gt;=B3739))</f>
        <v/>
      </c>
      <c r="F3739">
        <f>AND(k_n&gt;=5,B3739&gt;A3739+1E-9,C3739&gt;=2,D3739&gt;=1,E3739&gt;=2)</f>
        <v/>
      </c>
      <c r="G3739">
        <f>SUMPRODUCT(Calc!$K$3:$K$22*(Calc!$G$3:$G$22&gt;A3739)*(Calc!$G$3:$G$22-A3739))</f>
        <v/>
      </c>
      <c r="H3739">
        <f>SUMPRODUCT(Calc!$K$3:$K$22*(Calc!$G$3:$G$22&gt;B3739)*(Calc!$G$3:$G$22-B3739))</f>
        <v/>
      </c>
      <c r="I3739">
        <f>SUMPRODUCT(Calc!$K$3:$K$22*(Calc!$G$3:$G$22&gt;A3739)*(Calc!$G$3:$G$22-A3739)^2)</f>
        <v/>
      </c>
      <c r="J3739">
        <f>SUMPRODUCT(Calc!$K$3:$K$22*(Calc!$G$3:$G$22&gt;B3739)*(Calc!$G$3:$G$22-B3739)^2)</f>
        <v/>
      </c>
      <c r="K3739">
        <f>SUMPRODUCT(Calc!$K$3:$K$22*(Calc!$G$3:$G$22&gt;A3739)*(Calc!$G$3:$G$22-A3739)*(Calc!$G$3:$G$22&gt;B3739)*(Calc!$G$3:$G$22-B3739))</f>
        <v/>
      </c>
      <c r="L3739">
        <f>SUMPRODUCT(Calc!$K$3:$K$22*(Calc!$G$3:$G$22&gt;A3739)*(Calc!$G$3:$G$22-A3739)*Calc!$G$3:$G$22)</f>
        <v/>
      </c>
      <c r="M3739">
        <f>SUMPRODUCT(Calc!$K$3:$K$22*(Calc!$G$3:$G$22&gt;B3739)*(Calc!$G$3:$G$22-B3739)*Calc!$G$3:$G$22)</f>
        <v/>
      </c>
      <c r="N3739">
        <f>SUMPRODUCT(Calc!$K$3:$K$22*(Calc!$G$3:$G$22&gt;A3739)*(Calc!$G$3:$G$22-A3739)*Calc!$I$3:$I$22)</f>
        <v/>
      </c>
      <c r="O3739">
        <f>SUMPRODUCT(Calc!$K$3:$K$22*(Calc!$G$3:$G$22&gt;B3739)*(Calc!$G$3:$G$22-B3739)*Calc!$I$3:$I$22)</f>
        <v/>
      </c>
      <c r="P3739">
        <f>I3739-G3739^2/k_n</f>
        <v/>
      </c>
      <c r="Q3739">
        <f>J3739-H3739^2/k_n</f>
        <v/>
      </c>
      <c r="R3739">
        <f>K3739-G3739*H3739/k_n</f>
        <v/>
      </c>
      <c r="S3739">
        <f>L3739-LTP3!$D$3*G3739/k_n</f>
        <v/>
      </c>
      <c r="T3739">
        <f>M3739-LTP3!$D$3*H3739/k_n</f>
        <v/>
      </c>
      <c r="U3739">
        <f>N3739-G3739*LTP3!$D$4/k_n</f>
        <v/>
      </c>
      <c r="V3739">
        <f>O3739-H3739*LTP3!$D$4/k_n</f>
        <v/>
      </c>
      <c r="W3739">
        <f>((LTP3!$D$5)*((P3739)*(Q3739)-(R3739)*(R3739))-(S3739)*((S3739)*(Q3739)-(R3739)*(T3739))+(T3739)*((S3739)*(R3739)-(P3739)*(T3739)))</f>
        <v/>
      </c>
      <c r="X3739">
        <f>IF(ABS(W3739)&gt;1E-12,((LTP3!$D$6)*((P3739)*(Q3739)-(R3739)*(R3739))-(S3739)*((U3739)*(Q3739)-(R3739)*(V3739))+(T3739)*((U3739)*(R3739)-(P3739)*(V3739)))/W3739,0)</f>
        <v/>
      </c>
      <c r="Y3739">
        <f>IF(ABS(W3739)&gt;1E-12,((LTP3!$D$5)*((U3739)*(Q3739)-(R3739)*(V3739))-(LTP3!$D$6)*((S3739)*(Q3739)-(R3739)*(T3739))+(T3739)*((S3739)*(V3739)-(U3739)*(T3739)))/W3739,0)</f>
        <v/>
      </c>
      <c r="Z3739">
        <f>IF(ABS(W3739)&gt;1E-12,((LTP3!$D$5)*((P3739)*(V3739)-(U3739)*(R3739))-(S3739)*((S3739)*(V3739)-(U3739)*(T3739))+(LTP3!$D$6)*((S3739)*(R3739)-(P3739)*(T3739)))/W3739,0)</f>
        <v/>
      </c>
      <c r="AA3739">
        <f>LTP3!$D$7-X3739*LTP3!$D$6-Y3739*U3739-Z3739*V3739</f>
        <v/>
      </c>
      <c r="AB3739">
        <f>IF(AND(F3739,ABS(W3739)&gt;1E-12,Y3739&gt;0,Z3739&gt;0),AA3739,1E+300)</f>
        <v/>
      </c>
    </row>
    <row r="3740">
      <c r="A3740">
        <f>$I$3-$B$5+$B$5*0/10</f>
        <v/>
      </c>
      <c r="B3740">
        <f>$J$3-$B$5+$B$5*4/10</f>
        <v/>
      </c>
      <c r="C3740">
        <f>SUMPRODUCT(Calc!$K$3:$K$22*(Calc!$G$3:$G$22&lt;=A3740))</f>
        <v/>
      </c>
      <c r="D3740">
        <f>SUMPRODUCT(Calc!$K$3:$K$22*(Calc!$G$3:$G$22&gt;A3740)*(Calc!$G$3:$G$22&lt;B3740))</f>
        <v/>
      </c>
      <c r="E3740">
        <f>SUMPRODUCT(Calc!$K$3:$K$22*(Calc!$G$3:$G$22&gt;=B3740))</f>
        <v/>
      </c>
      <c r="F3740">
        <f>AND(k_n&gt;=5,B3740&gt;A3740+1E-9,C3740&gt;=2,D3740&gt;=1,E3740&gt;=2)</f>
        <v/>
      </c>
      <c r="G3740">
        <f>SUMPRODUCT(Calc!$K$3:$K$22*(Calc!$G$3:$G$22&gt;A3740)*(Calc!$G$3:$G$22-A3740))</f>
        <v/>
      </c>
      <c r="H3740">
        <f>SUMPRODUCT(Calc!$K$3:$K$22*(Calc!$G$3:$G$22&gt;B3740)*(Calc!$G$3:$G$22-B3740))</f>
        <v/>
      </c>
      <c r="I3740">
        <f>SUMPRODUCT(Calc!$K$3:$K$22*(Calc!$G$3:$G$22&gt;A3740)*(Calc!$G$3:$G$22-A3740)^2)</f>
        <v/>
      </c>
      <c r="J3740">
        <f>SUMPRODUCT(Calc!$K$3:$K$22*(Calc!$G$3:$G$22&gt;B3740)*(Calc!$G$3:$G$22-B3740)^2)</f>
        <v/>
      </c>
      <c r="K3740">
        <f>SUMPRODUCT(Calc!$K$3:$K$22*(Calc!$G$3:$G$22&gt;A3740)*(Calc!$G$3:$G$22-A3740)*(Calc!$G$3:$G$22&gt;B3740)*(Calc!$G$3:$G$22-B3740))</f>
        <v/>
      </c>
      <c r="L3740">
        <f>SUMPRODUCT(Calc!$K$3:$K$22*(Calc!$G$3:$G$22&gt;A3740)*(Calc!$G$3:$G$22-A3740)*Calc!$G$3:$G$22)</f>
        <v/>
      </c>
      <c r="M3740">
        <f>SUMPRODUCT(Calc!$K$3:$K$22*(Calc!$G$3:$G$22&gt;B3740)*(Calc!$G$3:$G$22-B3740)*Calc!$G$3:$G$22)</f>
        <v/>
      </c>
      <c r="N3740">
        <f>SUMPRODUCT(Calc!$K$3:$K$22*(Calc!$G$3:$G$22&gt;A3740)*(Calc!$G$3:$G$22-A3740)*Calc!$I$3:$I$22)</f>
        <v/>
      </c>
      <c r="O3740">
        <f>SUMPRODUCT(Calc!$K$3:$K$22*(Calc!$G$3:$G$22&gt;B3740)*(Calc!$G$3:$G$22-B3740)*Calc!$I$3:$I$22)</f>
        <v/>
      </c>
      <c r="P3740">
        <f>I3740-G3740^2/k_n</f>
        <v/>
      </c>
      <c r="Q3740">
        <f>J3740-H3740^2/k_n</f>
        <v/>
      </c>
      <c r="R3740">
        <f>K3740-G3740*H3740/k_n</f>
        <v/>
      </c>
      <c r="S3740">
        <f>L3740-LTP3!$D$3*G3740/k_n</f>
        <v/>
      </c>
      <c r="T3740">
        <f>M3740-LTP3!$D$3*H3740/k_n</f>
        <v/>
      </c>
      <c r="U3740">
        <f>N3740-G3740*LTP3!$D$4/k_n</f>
        <v/>
      </c>
      <c r="V3740">
        <f>O3740-H3740*LTP3!$D$4/k_n</f>
        <v/>
      </c>
      <c r="W3740">
        <f>((LTP3!$D$5)*((P3740)*(Q3740)-(R3740)*(R3740))-(S3740)*((S3740)*(Q3740)-(R3740)*(T3740))+(T3740)*((S3740)*(R3740)-(P3740)*(T3740)))</f>
        <v/>
      </c>
      <c r="X3740">
        <f>IF(ABS(W3740)&gt;1E-12,((LTP3!$D$6)*((P3740)*(Q3740)-(R3740)*(R3740))-(S3740)*((U3740)*(Q3740)-(R3740)*(V3740))+(T3740)*((U3740)*(R3740)-(P3740)*(V3740)))/W3740,0)</f>
        <v/>
      </c>
      <c r="Y3740">
        <f>IF(ABS(W3740)&gt;1E-12,((LTP3!$D$5)*((U3740)*(Q3740)-(R3740)*(V3740))-(LTP3!$D$6)*((S3740)*(Q3740)-(R3740)*(T3740))+(T3740)*((S3740)*(V3740)-(U3740)*(T3740)))/W3740,0)</f>
        <v/>
      </c>
      <c r="Z3740">
        <f>IF(ABS(W3740)&gt;1E-12,((LTP3!$D$5)*((P3740)*(V3740)-(U3740)*(R3740))-(S3740)*((S3740)*(V3740)-(U3740)*(T3740))+(LTP3!$D$6)*((S3740)*(R3740)-(P3740)*(T3740)))/W3740,0)</f>
        <v/>
      </c>
      <c r="AA3740">
        <f>LTP3!$D$7-X3740*LTP3!$D$6-Y3740*U3740-Z3740*V3740</f>
        <v/>
      </c>
      <c r="AB3740">
        <f>IF(AND(F3740,ABS(W3740)&gt;1E-12,Y3740&gt;0,Z3740&gt;0),AA3740,1E+300)</f>
        <v/>
      </c>
    </row>
    <row r="3741">
      <c r="A3741">
        <f>$I$3-$B$5+$B$5*0/10</f>
        <v/>
      </c>
      <c r="B3741">
        <f>$J$3-$B$5+$B$5*5/10</f>
        <v/>
      </c>
      <c r="C3741">
        <f>SUMPRODUCT(Calc!$K$3:$K$22*(Calc!$G$3:$G$22&lt;=A3741))</f>
        <v/>
      </c>
      <c r="D3741">
        <f>SUMPRODUCT(Calc!$K$3:$K$22*(Calc!$G$3:$G$22&gt;A3741)*(Calc!$G$3:$G$22&lt;B3741))</f>
        <v/>
      </c>
      <c r="E3741">
        <f>SUMPRODUCT(Calc!$K$3:$K$22*(Calc!$G$3:$G$22&gt;=B3741))</f>
        <v/>
      </c>
      <c r="F3741">
        <f>AND(k_n&gt;=5,B3741&gt;A3741+1E-9,C3741&gt;=2,D3741&gt;=1,E3741&gt;=2)</f>
        <v/>
      </c>
      <c r="G3741">
        <f>SUMPRODUCT(Calc!$K$3:$K$22*(Calc!$G$3:$G$22&gt;A3741)*(Calc!$G$3:$G$22-A3741))</f>
        <v/>
      </c>
      <c r="H3741">
        <f>SUMPRODUCT(Calc!$K$3:$K$22*(Calc!$G$3:$G$22&gt;B3741)*(Calc!$G$3:$G$22-B3741))</f>
        <v/>
      </c>
      <c r="I3741">
        <f>SUMPRODUCT(Calc!$K$3:$K$22*(Calc!$G$3:$G$22&gt;A3741)*(Calc!$G$3:$G$22-A3741)^2)</f>
        <v/>
      </c>
      <c r="J3741">
        <f>SUMPRODUCT(Calc!$K$3:$K$22*(Calc!$G$3:$G$22&gt;B3741)*(Calc!$G$3:$G$22-B3741)^2)</f>
        <v/>
      </c>
      <c r="K3741">
        <f>SUMPRODUCT(Calc!$K$3:$K$22*(Calc!$G$3:$G$22&gt;A3741)*(Calc!$G$3:$G$22-A3741)*(Calc!$G$3:$G$22&gt;B3741)*(Calc!$G$3:$G$22-B3741))</f>
        <v/>
      </c>
      <c r="L3741">
        <f>SUMPRODUCT(Calc!$K$3:$K$22*(Calc!$G$3:$G$22&gt;A3741)*(Calc!$G$3:$G$22-A3741)*Calc!$G$3:$G$22)</f>
        <v/>
      </c>
      <c r="M3741">
        <f>SUMPRODUCT(Calc!$K$3:$K$22*(Calc!$G$3:$G$22&gt;B3741)*(Calc!$G$3:$G$22-B3741)*Calc!$G$3:$G$22)</f>
        <v/>
      </c>
      <c r="N3741">
        <f>SUMPRODUCT(Calc!$K$3:$K$22*(Calc!$G$3:$G$22&gt;A3741)*(Calc!$G$3:$G$22-A3741)*Calc!$I$3:$I$22)</f>
        <v/>
      </c>
      <c r="O3741">
        <f>SUMPRODUCT(Calc!$K$3:$K$22*(Calc!$G$3:$G$22&gt;B3741)*(Calc!$G$3:$G$22-B3741)*Calc!$I$3:$I$22)</f>
        <v/>
      </c>
      <c r="P3741">
        <f>I3741-G3741^2/k_n</f>
        <v/>
      </c>
      <c r="Q3741">
        <f>J3741-H3741^2/k_n</f>
        <v/>
      </c>
      <c r="R3741">
        <f>K3741-G3741*H3741/k_n</f>
        <v/>
      </c>
      <c r="S3741">
        <f>L3741-LTP3!$D$3*G3741/k_n</f>
        <v/>
      </c>
      <c r="T3741">
        <f>M3741-LTP3!$D$3*H3741/k_n</f>
        <v/>
      </c>
      <c r="U3741">
        <f>N3741-G3741*LTP3!$D$4/k_n</f>
        <v/>
      </c>
      <c r="V3741">
        <f>O3741-H3741*LTP3!$D$4/k_n</f>
        <v/>
      </c>
      <c r="W3741">
        <f>((LTP3!$D$5)*((P3741)*(Q3741)-(R3741)*(R3741))-(S3741)*((S3741)*(Q3741)-(R3741)*(T3741))+(T3741)*((S3741)*(R3741)-(P3741)*(T3741)))</f>
        <v/>
      </c>
      <c r="X3741">
        <f>IF(ABS(W3741)&gt;1E-12,((LTP3!$D$6)*((P3741)*(Q3741)-(R3741)*(R3741))-(S3741)*((U3741)*(Q3741)-(R3741)*(V3741))+(T3741)*((U3741)*(R3741)-(P3741)*(V3741)))/W3741,0)</f>
        <v/>
      </c>
      <c r="Y3741">
        <f>IF(ABS(W3741)&gt;1E-12,((LTP3!$D$5)*((U3741)*(Q3741)-(R3741)*(V3741))-(LTP3!$D$6)*((S3741)*(Q3741)-(R3741)*(T3741))+(T3741)*((S3741)*(V3741)-(U3741)*(T3741)))/W3741,0)</f>
        <v/>
      </c>
      <c r="Z3741">
        <f>IF(ABS(W3741)&gt;1E-12,((LTP3!$D$5)*((P3741)*(V3741)-(U3741)*(R3741))-(S3741)*((S3741)*(V3741)-(U3741)*(T3741))+(LTP3!$D$6)*((S3741)*(R3741)-(P3741)*(T3741)))/W3741,0)</f>
        <v/>
      </c>
      <c r="AA3741">
        <f>LTP3!$D$7-X3741*LTP3!$D$6-Y3741*U3741-Z3741*V3741</f>
        <v/>
      </c>
      <c r="AB3741">
        <f>IF(AND(F3741,ABS(W3741)&gt;1E-12,Y3741&gt;0,Z3741&gt;0),AA3741,1E+300)</f>
        <v/>
      </c>
    </row>
    <row r="3742">
      <c r="A3742">
        <f>$I$3-$B$5+$B$5*0/10</f>
        <v/>
      </c>
      <c r="B3742">
        <f>$J$3-$B$5+$B$5*6/10</f>
        <v/>
      </c>
      <c r="C3742">
        <f>SUMPRODUCT(Calc!$K$3:$K$22*(Calc!$G$3:$G$22&lt;=A3742))</f>
        <v/>
      </c>
      <c r="D3742">
        <f>SUMPRODUCT(Calc!$K$3:$K$22*(Calc!$G$3:$G$22&gt;A3742)*(Calc!$G$3:$G$22&lt;B3742))</f>
        <v/>
      </c>
      <c r="E3742">
        <f>SUMPRODUCT(Calc!$K$3:$K$22*(Calc!$G$3:$G$22&gt;=B3742))</f>
        <v/>
      </c>
      <c r="F3742">
        <f>AND(k_n&gt;=5,B3742&gt;A3742+1E-9,C3742&gt;=2,D3742&gt;=1,E3742&gt;=2)</f>
        <v/>
      </c>
      <c r="G3742">
        <f>SUMPRODUCT(Calc!$K$3:$K$22*(Calc!$G$3:$G$22&gt;A3742)*(Calc!$G$3:$G$22-A3742))</f>
        <v/>
      </c>
      <c r="H3742">
        <f>SUMPRODUCT(Calc!$K$3:$K$22*(Calc!$G$3:$G$22&gt;B3742)*(Calc!$G$3:$G$22-B3742))</f>
        <v/>
      </c>
      <c r="I3742">
        <f>SUMPRODUCT(Calc!$K$3:$K$22*(Calc!$G$3:$G$22&gt;A3742)*(Calc!$G$3:$G$22-A3742)^2)</f>
        <v/>
      </c>
      <c r="J3742">
        <f>SUMPRODUCT(Calc!$K$3:$K$22*(Calc!$G$3:$G$22&gt;B3742)*(Calc!$G$3:$G$22-B3742)^2)</f>
        <v/>
      </c>
      <c r="K3742">
        <f>SUMPRODUCT(Calc!$K$3:$K$22*(Calc!$G$3:$G$22&gt;A3742)*(Calc!$G$3:$G$22-A3742)*(Calc!$G$3:$G$22&gt;B3742)*(Calc!$G$3:$G$22-B3742))</f>
        <v/>
      </c>
      <c r="L3742">
        <f>SUMPRODUCT(Calc!$K$3:$K$22*(Calc!$G$3:$G$22&gt;A3742)*(Calc!$G$3:$G$22-A3742)*Calc!$G$3:$G$22)</f>
        <v/>
      </c>
      <c r="M3742">
        <f>SUMPRODUCT(Calc!$K$3:$K$22*(Calc!$G$3:$G$22&gt;B3742)*(Calc!$G$3:$G$22-B3742)*Calc!$G$3:$G$22)</f>
        <v/>
      </c>
      <c r="N3742">
        <f>SUMPRODUCT(Calc!$K$3:$K$22*(Calc!$G$3:$G$22&gt;A3742)*(Calc!$G$3:$G$22-A3742)*Calc!$I$3:$I$22)</f>
        <v/>
      </c>
      <c r="O3742">
        <f>SUMPRODUCT(Calc!$K$3:$K$22*(Calc!$G$3:$G$22&gt;B3742)*(Calc!$G$3:$G$22-B3742)*Calc!$I$3:$I$22)</f>
        <v/>
      </c>
      <c r="P3742">
        <f>I3742-G3742^2/k_n</f>
        <v/>
      </c>
      <c r="Q3742">
        <f>J3742-H3742^2/k_n</f>
        <v/>
      </c>
      <c r="R3742">
        <f>K3742-G3742*H3742/k_n</f>
        <v/>
      </c>
      <c r="S3742">
        <f>L3742-LTP3!$D$3*G3742/k_n</f>
        <v/>
      </c>
      <c r="T3742">
        <f>M3742-LTP3!$D$3*H3742/k_n</f>
        <v/>
      </c>
      <c r="U3742">
        <f>N3742-G3742*LTP3!$D$4/k_n</f>
        <v/>
      </c>
      <c r="V3742">
        <f>O3742-H3742*LTP3!$D$4/k_n</f>
        <v/>
      </c>
      <c r="W3742">
        <f>((LTP3!$D$5)*((P3742)*(Q3742)-(R3742)*(R3742))-(S3742)*((S3742)*(Q3742)-(R3742)*(T3742))+(T3742)*((S3742)*(R3742)-(P3742)*(T3742)))</f>
        <v/>
      </c>
      <c r="X3742">
        <f>IF(ABS(W3742)&gt;1E-12,((LTP3!$D$6)*((P3742)*(Q3742)-(R3742)*(R3742))-(S3742)*((U3742)*(Q3742)-(R3742)*(V3742))+(T3742)*((U3742)*(R3742)-(P3742)*(V3742)))/W3742,0)</f>
        <v/>
      </c>
      <c r="Y3742">
        <f>IF(ABS(W3742)&gt;1E-12,((LTP3!$D$5)*((U3742)*(Q3742)-(R3742)*(V3742))-(LTP3!$D$6)*((S3742)*(Q3742)-(R3742)*(T3742))+(T3742)*((S3742)*(V3742)-(U3742)*(T3742)))/W3742,0)</f>
        <v/>
      </c>
      <c r="Z3742">
        <f>IF(ABS(W3742)&gt;1E-12,((LTP3!$D$5)*((P3742)*(V3742)-(U3742)*(R3742))-(S3742)*((S3742)*(V3742)-(U3742)*(T3742))+(LTP3!$D$6)*((S3742)*(R3742)-(P3742)*(T3742)))/W3742,0)</f>
        <v/>
      </c>
      <c r="AA3742">
        <f>LTP3!$D$7-X3742*LTP3!$D$6-Y3742*U3742-Z3742*V3742</f>
        <v/>
      </c>
      <c r="AB3742">
        <f>IF(AND(F3742,ABS(W3742)&gt;1E-12,Y3742&gt;0,Z3742&gt;0),AA3742,1E+300)</f>
        <v/>
      </c>
    </row>
    <row r="3743">
      <c r="A3743">
        <f>$I$3-$B$5+$B$5*0/10</f>
        <v/>
      </c>
      <c r="B3743">
        <f>$J$3-$B$5+$B$5*7/10</f>
        <v/>
      </c>
      <c r="C3743">
        <f>SUMPRODUCT(Calc!$K$3:$K$22*(Calc!$G$3:$G$22&lt;=A3743))</f>
        <v/>
      </c>
      <c r="D3743">
        <f>SUMPRODUCT(Calc!$K$3:$K$22*(Calc!$G$3:$G$22&gt;A3743)*(Calc!$G$3:$G$22&lt;B3743))</f>
        <v/>
      </c>
      <c r="E3743">
        <f>SUMPRODUCT(Calc!$K$3:$K$22*(Calc!$G$3:$G$22&gt;=B3743))</f>
        <v/>
      </c>
      <c r="F3743">
        <f>AND(k_n&gt;=5,B3743&gt;A3743+1E-9,C3743&gt;=2,D3743&gt;=1,E3743&gt;=2)</f>
        <v/>
      </c>
      <c r="G3743">
        <f>SUMPRODUCT(Calc!$K$3:$K$22*(Calc!$G$3:$G$22&gt;A3743)*(Calc!$G$3:$G$22-A3743))</f>
        <v/>
      </c>
      <c r="H3743">
        <f>SUMPRODUCT(Calc!$K$3:$K$22*(Calc!$G$3:$G$22&gt;B3743)*(Calc!$G$3:$G$22-B3743))</f>
        <v/>
      </c>
      <c r="I3743">
        <f>SUMPRODUCT(Calc!$K$3:$K$22*(Calc!$G$3:$G$22&gt;A3743)*(Calc!$G$3:$G$22-A3743)^2)</f>
        <v/>
      </c>
      <c r="J3743">
        <f>SUMPRODUCT(Calc!$K$3:$K$22*(Calc!$G$3:$G$22&gt;B3743)*(Calc!$G$3:$G$22-B3743)^2)</f>
        <v/>
      </c>
      <c r="K3743">
        <f>SUMPRODUCT(Calc!$K$3:$K$22*(Calc!$G$3:$G$22&gt;A3743)*(Calc!$G$3:$G$22-A3743)*(Calc!$G$3:$G$22&gt;B3743)*(Calc!$G$3:$G$22-B3743))</f>
        <v/>
      </c>
      <c r="L3743">
        <f>SUMPRODUCT(Calc!$K$3:$K$22*(Calc!$G$3:$G$22&gt;A3743)*(Calc!$G$3:$G$22-A3743)*Calc!$G$3:$G$22)</f>
        <v/>
      </c>
      <c r="M3743">
        <f>SUMPRODUCT(Calc!$K$3:$K$22*(Calc!$G$3:$G$22&gt;B3743)*(Calc!$G$3:$G$22-B3743)*Calc!$G$3:$G$22)</f>
        <v/>
      </c>
      <c r="N3743">
        <f>SUMPRODUCT(Calc!$K$3:$K$22*(Calc!$G$3:$G$22&gt;A3743)*(Calc!$G$3:$G$22-A3743)*Calc!$I$3:$I$22)</f>
        <v/>
      </c>
      <c r="O3743">
        <f>SUMPRODUCT(Calc!$K$3:$K$22*(Calc!$G$3:$G$22&gt;B3743)*(Calc!$G$3:$G$22-B3743)*Calc!$I$3:$I$22)</f>
        <v/>
      </c>
      <c r="P3743">
        <f>I3743-G3743^2/k_n</f>
        <v/>
      </c>
      <c r="Q3743">
        <f>J3743-H3743^2/k_n</f>
        <v/>
      </c>
      <c r="R3743">
        <f>K3743-G3743*H3743/k_n</f>
        <v/>
      </c>
      <c r="S3743">
        <f>L3743-LTP3!$D$3*G3743/k_n</f>
        <v/>
      </c>
      <c r="T3743">
        <f>M3743-LTP3!$D$3*H3743/k_n</f>
        <v/>
      </c>
      <c r="U3743">
        <f>N3743-G3743*LTP3!$D$4/k_n</f>
        <v/>
      </c>
      <c r="V3743">
        <f>O3743-H3743*LTP3!$D$4/k_n</f>
        <v/>
      </c>
      <c r="W3743">
        <f>((LTP3!$D$5)*((P3743)*(Q3743)-(R3743)*(R3743))-(S3743)*((S3743)*(Q3743)-(R3743)*(T3743))+(T3743)*((S3743)*(R3743)-(P3743)*(T3743)))</f>
        <v/>
      </c>
      <c r="X3743">
        <f>IF(ABS(W3743)&gt;1E-12,((LTP3!$D$6)*((P3743)*(Q3743)-(R3743)*(R3743))-(S3743)*((U3743)*(Q3743)-(R3743)*(V3743))+(T3743)*((U3743)*(R3743)-(P3743)*(V3743)))/W3743,0)</f>
        <v/>
      </c>
      <c r="Y3743">
        <f>IF(ABS(W3743)&gt;1E-12,((LTP3!$D$5)*((U3743)*(Q3743)-(R3743)*(V3743))-(LTP3!$D$6)*((S3743)*(Q3743)-(R3743)*(T3743))+(T3743)*((S3743)*(V3743)-(U3743)*(T3743)))/W3743,0)</f>
        <v/>
      </c>
      <c r="Z3743">
        <f>IF(ABS(W3743)&gt;1E-12,((LTP3!$D$5)*((P3743)*(V3743)-(U3743)*(R3743))-(S3743)*((S3743)*(V3743)-(U3743)*(T3743))+(LTP3!$D$6)*((S3743)*(R3743)-(P3743)*(T3743)))/W3743,0)</f>
        <v/>
      </c>
      <c r="AA3743">
        <f>LTP3!$D$7-X3743*LTP3!$D$6-Y3743*U3743-Z3743*V3743</f>
        <v/>
      </c>
      <c r="AB3743">
        <f>IF(AND(F3743,ABS(W3743)&gt;1E-12,Y3743&gt;0,Z3743&gt;0),AA3743,1E+300)</f>
        <v/>
      </c>
    </row>
    <row r="3744">
      <c r="A3744">
        <f>$I$3-$B$5+$B$5*0/10</f>
        <v/>
      </c>
      <c r="B3744">
        <f>$J$3-$B$5+$B$5*8/10</f>
        <v/>
      </c>
      <c r="C3744">
        <f>SUMPRODUCT(Calc!$K$3:$K$22*(Calc!$G$3:$G$22&lt;=A3744))</f>
        <v/>
      </c>
      <c r="D3744">
        <f>SUMPRODUCT(Calc!$K$3:$K$22*(Calc!$G$3:$G$22&gt;A3744)*(Calc!$G$3:$G$22&lt;B3744))</f>
        <v/>
      </c>
      <c r="E3744">
        <f>SUMPRODUCT(Calc!$K$3:$K$22*(Calc!$G$3:$G$22&gt;=B3744))</f>
        <v/>
      </c>
      <c r="F3744">
        <f>AND(k_n&gt;=5,B3744&gt;A3744+1E-9,C3744&gt;=2,D3744&gt;=1,E3744&gt;=2)</f>
        <v/>
      </c>
      <c r="G3744">
        <f>SUMPRODUCT(Calc!$K$3:$K$22*(Calc!$G$3:$G$22&gt;A3744)*(Calc!$G$3:$G$22-A3744))</f>
        <v/>
      </c>
      <c r="H3744">
        <f>SUMPRODUCT(Calc!$K$3:$K$22*(Calc!$G$3:$G$22&gt;B3744)*(Calc!$G$3:$G$22-B3744))</f>
        <v/>
      </c>
      <c r="I3744">
        <f>SUMPRODUCT(Calc!$K$3:$K$22*(Calc!$G$3:$G$22&gt;A3744)*(Calc!$G$3:$G$22-A3744)^2)</f>
        <v/>
      </c>
      <c r="J3744">
        <f>SUMPRODUCT(Calc!$K$3:$K$22*(Calc!$G$3:$G$22&gt;B3744)*(Calc!$G$3:$G$22-B3744)^2)</f>
        <v/>
      </c>
      <c r="K3744">
        <f>SUMPRODUCT(Calc!$K$3:$K$22*(Calc!$G$3:$G$22&gt;A3744)*(Calc!$G$3:$G$22-A3744)*(Calc!$G$3:$G$22&gt;B3744)*(Calc!$G$3:$G$22-B3744))</f>
        <v/>
      </c>
      <c r="L3744">
        <f>SUMPRODUCT(Calc!$K$3:$K$22*(Calc!$G$3:$G$22&gt;A3744)*(Calc!$G$3:$G$22-A3744)*Calc!$G$3:$G$22)</f>
        <v/>
      </c>
      <c r="M3744">
        <f>SUMPRODUCT(Calc!$K$3:$K$22*(Calc!$G$3:$G$22&gt;B3744)*(Calc!$G$3:$G$22-B3744)*Calc!$G$3:$G$22)</f>
        <v/>
      </c>
      <c r="N3744">
        <f>SUMPRODUCT(Calc!$K$3:$K$22*(Calc!$G$3:$G$22&gt;A3744)*(Calc!$G$3:$G$22-A3744)*Calc!$I$3:$I$22)</f>
        <v/>
      </c>
      <c r="O3744">
        <f>SUMPRODUCT(Calc!$K$3:$K$22*(Calc!$G$3:$G$22&gt;B3744)*(Calc!$G$3:$G$22-B3744)*Calc!$I$3:$I$22)</f>
        <v/>
      </c>
      <c r="P3744">
        <f>I3744-G3744^2/k_n</f>
        <v/>
      </c>
      <c r="Q3744">
        <f>J3744-H3744^2/k_n</f>
        <v/>
      </c>
      <c r="R3744">
        <f>K3744-G3744*H3744/k_n</f>
        <v/>
      </c>
      <c r="S3744">
        <f>L3744-LTP3!$D$3*G3744/k_n</f>
        <v/>
      </c>
      <c r="T3744">
        <f>M3744-LTP3!$D$3*H3744/k_n</f>
        <v/>
      </c>
      <c r="U3744">
        <f>N3744-G3744*LTP3!$D$4/k_n</f>
        <v/>
      </c>
      <c r="V3744">
        <f>O3744-H3744*LTP3!$D$4/k_n</f>
        <v/>
      </c>
      <c r="W3744">
        <f>((LTP3!$D$5)*((P3744)*(Q3744)-(R3744)*(R3744))-(S3744)*((S3744)*(Q3744)-(R3744)*(T3744))+(T3744)*((S3744)*(R3744)-(P3744)*(T3744)))</f>
        <v/>
      </c>
      <c r="X3744">
        <f>IF(ABS(W3744)&gt;1E-12,((LTP3!$D$6)*((P3744)*(Q3744)-(R3744)*(R3744))-(S3744)*((U3744)*(Q3744)-(R3744)*(V3744))+(T3744)*((U3744)*(R3744)-(P3744)*(V3744)))/W3744,0)</f>
        <v/>
      </c>
      <c r="Y3744">
        <f>IF(ABS(W3744)&gt;1E-12,((LTP3!$D$5)*((U3744)*(Q3744)-(R3744)*(V3744))-(LTP3!$D$6)*((S3744)*(Q3744)-(R3744)*(T3744))+(T3744)*((S3744)*(V3744)-(U3744)*(T3744)))/W3744,0)</f>
        <v/>
      </c>
      <c r="Z3744">
        <f>IF(ABS(W3744)&gt;1E-12,((LTP3!$D$5)*((P3744)*(V3744)-(U3744)*(R3744))-(S3744)*((S3744)*(V3744)-(U3744)*(T3744))+(LTP3!$D$6)*((S3744)*(R3744)-(P3744)*(T3744)))/W3744,0)</f>
        <v/>
      </c>
      <c r="AA3744">
        <f>LTP3!$D$7-X3744*LTP3!$D$6-Y3744*U3744-Z3744*V3744</f>
        <v/>
      </c>
      <c r="AB3744">
        <f>IF(AND(F3744,ABS(W3744)&gt;1E-12,Y3744&gt;0,Z3744&gt;0),AA3744,1E+300)</f>
        <v/>
      </c>
    </row>
    <row r="3745">
      <c r="A3745">
        <f>$I$3-$B$5+$B$5*0/10</f>
        <v/>
      </c>
      <c r="B3745">
        <f>$J$3-$B$5+$B$5*9/10</f>
        <v/>
      </c>
      <c r="C3745">
        <f>SUMPRODUCT(Calc!$K$3:$K$22*(Calc!$G$3:$G$22&lt;=A3745))</f>
        <v/>
      </c>
      <c r="D3745">
        <f>SUMPRODUCT(Calc!$K$3:$K$22*(Calc!$G$3:$G$22&gt;A3745)*(Calc!$G$3:$G$22&lt;B3745))</f>
        <v/>
      </c>
      <c r="E3745">
        <f>SUMPRODUCT(Calc!$K$3:$K$22*(Calc!$G$3:$G$22&gt;=B3745))</f>
        <v/>
      </c>
      <c r="F3745">
        <f>AND(k_n&gt;=5,B3745&gt;A3745+1E-9,C3745&gt;=2,D3745&gt;=1,E3745&gt;=2)</f>
        <v/>
      </c>
      <c r="G3745">
        <f>SUMPRODUCT(Calc!$K$3:$K$22*(Calc!$G$3:$G$22&gt;A3745)*(Calc!$G$3:$G$22-A3745))</f>
        <v/>
      </c>
      <c r="H3745">
        <f>SUMPRODUCT(Calc!$K$3:$K$22*(Calc!$G$3:$G$22&gt;B3745)*(Calc!$G$3:$G$22-B3745))</f>
        <v/>
      </c>
      <c r="I3745">
        <f>SUMPRODUCT(Calc!$K$3:$K$22*(Calc!$G$3:$G$22&gt;A3745)*(Calc!$G$3:$G$22-A3745)^2)</f>
        <v/>
      </c>
      <c r="J3745">
        <f>SUMPRODUCT(Calc!$K$3:$K$22*(Calc!$G$3:$G$22&gt;B3745)*(Calc!$G$3:$G$22-B3745)^2)</f>
        <v/>
      </c>
      <c r="K3745">
        <f>SUMPRODUCT(Calc!$K$3:$K$22*(Calc!$G$3:$G$22&gt;A3745)*(Calc!$G$3:$G$22-A3745)*(Calc!$G$3:$G$22&gt;B3745)*(Calc!$G$3:$G$22-B3745))</f>
        <v/>
      </c>
      <c r="L3745">
        <f>SUMPRODUCT(Calc!$K$3:$K$22*(Calc!$G$3:$G$22&gt;A3745)*(Calc!$G$3:$G$22-A3745)*Calc!$G$3:$G$22)</f>
        <v/>
      </c>
      <c r="M3745">
        <f>SUMPRODUCT(Calc!$K$3:$K$22*(Calc!$G$3:$G$22&gt;B3745)*(Calc!$G$3:$G$22-B3745)*Calc!$G$3:$G$22)</f>
        <v/>
      </c>
      <c r="N3745">
        <f>SUMPRODUCT(Calc!$K$3:$K$22*(Calc!$G$3:$G$22&gt;A3745)*(Calc!$G$3:$G$22-A3745)*Calc!$I$3:$I$22)</f>
        <v/>
      </c>
      <c r="O3745">
        <f>SUMPRODUCT(Calc!$K$3:$K$22*(Calc!$G$3:$G$22&gt;B3745)*(Calc!$G$3:$G$22-B3745)*Calc!$I$3:$I$22)</f>
        <v/>
      </c>
      <c r="P3745">
        <f>I3745-G3745^2/k_n</f>
        <v/>
      </c>
      <c r="Q3745">
        <f>J3745-H3745^2/k_n</f>
        <v/>
      </c>
      <c r="R3745">
        <f>K3745-G3745*H3745/k_n</f>
        <v/>
      </c>
      <c r="S3745">
        <f>L3745-LTP3!$D$3*G3745/k_n</f>
        <v/>
      </c>
      <c r="T3745">
        <f>M3745-LTP3!$D$3*H3745/k_n</f>
        <v/>
      </c>
      <c r="U3745">
        <f>N3745-G3745*LTP3!$D$4/k_n</f>
        <v/>
      </c>
      <c r="V3745">
        <f>O3745-H3745*LTP3!$D$4/k_n</f>
        <v/>
      </c>
      <c r="W3745">
        <f>((LTP3!$D$5)*((P3745)*(Q3745)-(R3745)*(R3745))-(S3745)*((S3745)*(Q3745)-(R3745)*(T3745))+(T3745)*((S3745)*(R3745)-(P3745)*(T3745)))</f>
        <v/>
      </c>
      <c r="X3745">
        <f>IF(ABS(W3745)&gt;1E-12,((LTP3!$D$6)*((P3745)*(Q3745)-(R3745)*(R3745))-(S3745)*((U3745)*(Q3745)-(R3745)*(V3745))+(T3745)*((U3745)*(R3745)-(P3745)*(V3745)))/W3745,0)</f>
        <v/>
      </c>
      <c r="Y3745">
        <f>IF(ABS(W3745)&gt;1E-12,((LTP3!$D$5)*((U3745)*(Q3745)-(R3745)*(V3745))-(LTP3!$D$6)*((S3745)*(Q3745)-(R3745)*(T3745))+(T3745)*((S3745)*(V3745)-(U3745)*(T3745)))/W3745,0)</f>
        <v/>
      </c>
      <c r="Z3745">
        <f>IF(ABS(W3745)&gt;1E-12,((LTP3!$D$5)*((P3745)*(V3745)-(U3745)*(R3745))-(S3745)*((S3745)*(V3745)-(U3745)*(T3745))+(LTP3!$D$6)*((S3745)*(R3745)-(P3745)*(T3745)))/W3745,0)</f>
        <v/>
      </c>
      <c r="AA3745">
        <f>LTP3!$D$7-X3745*LTP3!$D$6-Y3745*U3745-Z3745*V3745</f>
        <v/>
      </c>
      <c r="AB3745">
        <f>IF(AND(F3745,ABS(W3745)&gt;1E-12,Y3745&gt;0,Z3745&gt;0),AA3745,1E+300)</f>
        <v/>
      </c>
    </row>
    <row r="3746">
      <c r="A3746">
        <f>$I$3-$B$5+$B$5*0/10</f>
        <v/>
      </c>
      <c r="B3746">
        <f>$J$3-$B$5+$B$5*10/10</f>
        <v/>
      </c>
      <c r="C3746">
        <f>SUMPRODUCT(Calc!$K$3:$K$22*(Calc!$G$3:$G$22&lt;=A3746))</f>
        <v/>
      </c>
      <c r="D3746">
        <f>SUMPRODUCT(Calc!$K$3:$K$22*(Calc!$G$3:$G$22&gt;A3746)*(Calc!$G$3:$G$22&lt;B3746))</f>
        <v/>
      </c>
      <c r="E3746">
        <f>SUMPRODUCT(Calc!$K$3:$K$22*(Calc!$G$3:$G$22&gt;=B3746))</f>
        <v/>
      </c>
      <c r="F3746">
        <f>AND(k_n&gt;=5,B3746&gt;A3746+1E-9,C3746&gt;=2,D3746&gt;=1,E3746&gt;=2)</f>
        <v/>
      </c>
      <c r="G3746">
        <f>SUMPRODUCT(Calc!$K$3:$K$22*(Calc!$G$3:$G$22&gt;A3746)*(Calc!$G$3:$G$22-A3746))</f>
        <v/>
      </c>
      <c r="H3746">
        <f>SUMPRODUCT(Calc!$K$3:$K$22*(Calc!$G$3:$G$22&gt;B3746)*(Calc!$G$3:$G$22-B3746))</f>
        <v/>
      </c>
      <c r="I3746">
        <f>SUMPRODUCT(Calc!$K$3:$K$22*(Calc!$G$3:$G$22&gt;A3746)*(Calc!$G$3:$G$22-A3746)^2)</f>
        <v/>
      </c>
      <c r="J3746">
        <f>SUMPRODUCT(Calc!$K$3:$K$22*(Calc!$G$3:$G$22&gt;B3746)*(Calc!$G$3:$G$22-B3746)^2)</f>
        <v/>
      </c>
      <c r="K3746">
        <f>SUMPRODUCT(Calc!$K$3:$K$22*(Calc!$G$3:$G$22&gt;A3746)*(Calc!$G$3:$G$22-A3746)*(Calc!$G$3:$G$22&gt;B3746)*(Calc!$G$3:$G$22-B3746))</f>
        <v/>
      </c>
      <c r="L3746">
        <f>SUMPRODUCT(Calc!$K$3:$K$22*(Calc!$G$3:$G$22&gt;A3746)*(Calc!$G$3:$G$22-A3746)*Calc!$G$3:$G$22)</f>
        <v/>
      </c>
      <c r="M3746">
        <f>SUMPRODUCT(Calc!$K$3:$K$22*(Calc!$G$3:$G$22&gt;B3746)*(Calc!$G$3:$G$22-B3746)*Calc!$G$3:$G$22)</f>
        <v/>
      </c>
      <c r="N3746">
        <f>SUMPRODUCT(Calc!$K$3:$K$22*(Calc!$G$3:$G$22&gt;A3746)*(Calc!$G$3:$G$22-A3746)*Calc!$I$3:$I$22)</f>
        <v/>
      </c>
      <c r="O3746">
        <f>SUMPRODUCT(Calc!$K$3:$K$22*(Calc!$G$3:$G$22&gt;B3746)*(Calc!$G$3:$G$22-B3746)*Calc!$I$3:$I$22)</f>
        <v/>
      </c>
      <c r="P3746">
        <f>I3746-G3746^2/k_n</f>
        <v/>
      </c>
      <c r="Q3746">
        <f>J3746-H3746^2/k_n</f>
        <v/>
      </c>
      <c r="R3746">
        <f>K3746-G3746*H3746/k_n</f>
        <v/>
      </c>
      <c r="S3746">
        <f>L3746-LTP3!$D$3*G3746/k_n</f>
        <v/>
      </c>
      <c r="T3746">
        <f>M3746-LTP3!$D$3*H3746/k_n</f>
        <v/>
      </c>
      <c r="U3746">
        <f>N3746-G3746*LTP3!$D$4/k_n</f>
        <v/>
      </c>
      <c r="V3746">
        <f>O3746-H3746*LTP3!$D$4/k_n</f>
        <v/>
      </c>
      <c r="W3746">
        <f>((LTP3!$D$5)*((P3746)*(Q3746)-(R3746)*(R3746))-(S3746)*((S3746)*(Q3746)-(R3746)*(T3746))+(T3746)*((S3746)*(R3746)-(P3746)*(T3746)))</f>
        <v/>
      </c>
      <c r="X3746">
        <f>IF(ABS(W3746)&gt;1E-12,((LTP3!$D$6)*((P3746)*(Q3746)-(R3746)*(R3746))-(S3746)*((U3746)*(Q3746)-(R3746)*(V3746))+(T3746)*((U3746)*(R3746)-(P3746)*(V3746)))/W3746,0)</f>
        <v/>
      </c>
      <c r="Y3746">
        <f>IF(ABS(W3746)&gt;1E-12,((LTP3!$D$5)*((U3746)*(Q3746)-(R3746)*(V3746))-(LTP3!$D$6)*((S3746)*(Q3746)-(R3746)*(T3746))+(T3746)*((S3746)*(V3746)-(U3746)*(T3746)))/W3746,0)</f>
        <v/>
      </c>
      <c r="Z3746">
        <f>IF(ABS(W3746)&gt;1E-12,((LTP3!$D$5)*((P3746)*(V3746)-(U3746)*(R3746))-(S3746)*((S3746)*(V3746)-(U3746)*(T3746))+(LTP3!$D$6)*((S3746)*(R3746)-(P3746)*(T3746)))/W3746,0)</f>
        <v/>
      </c>
      <c r="AA3746">
        <f>LTP3!$D$7-X3746*LTP3!$D$6-Y3746*U3746-Z3746*V3746</f>
        <v/>
      </c>
      <c r="AB3746">
        <f>IF(AND(F3746,ABS(W3746)&gt;1E-12,Y3746&gt;0,Z3746&gt;0),AA3746,1E+300)</f>
        <v/>
      </c>
    </row>
    <row r="3747">
      <c r="A3747">
        <f>$I$3-$B$5+$B$5*0/10</f>
        <v/>
      </c>
      <c r="B3747">
        <f>$J$3-$B$5+$B$5*11/10</f>
        <v/>
      </c>
      <c r="C3747">
        <f>SUMPRODUCT(Calc!$K$3:$K$22*(Calc!$G$3:$G$22&lt;=A3747))</f>
        <v/>
      </c>
      <c r="D3747">
        <f>SUMPRODUCT(Calc!$K$3:$K$22*(Calc!$G$3:$G$22&gt;A3747)*(Calc!$G$3:$G$22&lt;B3747))</f>
        <v/>
      </c>
      <c r="E3747">
        <f>SUMPRODUCT(Calc!$K$3:$K$22*(Calc!$G$3:$G$22&gt;=B3747))</f>
        <v/>
      </c>
      <c r="F3747">
        <f>AND(k_n&gt;=5,B3747&gt;A3747+1E-9,C3747&gt;=2,D3747&gt;=1,E3747&gt;=2)</f>
        <v/>
      </c>
      <c r="G3747">
        <f>SUMPRODUCT(Calc!$K$3:$K$22*(Calc!$G$3:$G$22&gt;A3747)*(Calc!$G$3:$G$22-A3747))</f>
        <v/>
      </c>
      <c r="H3747">
        <f>SUMPRODUCT(Calc!$K$3:$K$22*(Calc!$G$3:$G$22&gt;B3747)*(Calc!$G$3:$G$22-B3747))</f>
        <v/>
      </c>
      <c r="I3747">
        <f>SUMPRODUCT(Calc!$K$3:$K$22*(Calc!$G$3:$G$22&gt;A3747)*(Calc!$G$3:$G$22-A3747)^2)</f>
        <v/>
      </c>
      <c r="J3747">
        <f>SUMPRODUCT(Calc!$K$3:$K$22*(Calc!$G$3:$G$22&gt;B3747)*(Calc!$G$3:$G$22-B3747)^2)</f>
        <v/>
      </c>
      <c r="K3747">
        <f>SUMPRODUCT(Calc!$K$3:$K$22*(Calc!$G$3:$G$22&gt;A3747)*(Calc!$G$3:$G$22-A3747)*(Calc!$G$3:$G$22&gt;B3747)*(Calc!$G$3:$G$22-B3747))</f>
        <v/>
      </c>
      <c r="L3747">
        <f>SUMPRODUCT(Calc!$K$3:$K$22*(Calc!$G$3:$G$22&gt;A3747)*(Calc!$G$3:$G$22-A3747)*Calc!$G$3:$G$22)</f>
        <v/>
      </c>
      <c r="M3747">
        <f>SUMPRODUCT(Calc!$K$3:$K$22*(Calc!$G$3:$G$22&gt;B3747)*(Calc!$G$3:$G$22-B3747)*Calc!$G$3:$G$22)</f>
        <v/>
      </c>
      <c r="N3747">
        <f>SUMPRODUCT(Calc!$K$3:$K$22*(Calc!$G$3:$G$22&gt;A3747)*(Calc!$G$3:$G$22-A3747)*Calc!$I$3:$I$22)</f>
        <v/>
      </c>
      <c r="O3747">
        <f>SUMPRODUCT(Calc!$K$3:$K$22*(Calc!$G$3:$G$22&gt;B3747)*(Calc!$G$3:$G$22-B3747)*Calc!$I$3:$I$22)</f>
        <v/>
      </c>
      <c r="P3747">
        <f>I3747-G3747^2/k_n</f>
        <v/>
      </c>
      <c r="Q3747">
        <f>J3747-H3747^2/k_n</f>
        <v/>
      </c>
      <c r="R3747">
        <f>K3747-G3747*H3747/k_n</f>
        <v/>
      </c>
      <c r="S3747">
        <f>L3747-LTP3!$D$3*G3747/k_n</f>
        <v/>
      </c>
      <c r="T3747">
        <f>M3747-LTP3!$D$3*H3747/k_n</f>
        <v/>
      </c>
      <c r="U3747">
        <f>N3747-G3747*LTP3!$D$4/k_n</f>
        <v/>
      </c>
      <c r="V3747">
        <f>O3747-H3747*LTP3!$D$4/k_n</f>
        <v/>
      </c>
      <c r="W3747">
        <f>((LTP3!$D$5)*((P3747)*(Q3747)-(R3747)*(R3747))-(S3747)*((S3747)*(Q3747)-(R3747)*(T3747))+(T3747)*((S3747)*(R3747)-(P3747)*(T3747)))</f>
        <v/>
      </c>
      <c r="X3747">
        <f>IF(ABS(W3747)&gt;1E-12,((LTP3!$D$6)*((P3747)*(Q3747)-(R3747)*(R3747))-(S3747)*((U3747)*(Q3747)-(R3747)*(V3747))+(T3747)*((U3747)*(R3747)-(P3747)*(V3747)))/W3747,0)</f>
        <v/>
      </c>
      <c r="Y3747">
        <f>IF(ABS(W3747)&gt;1E-12,((LTP3!$D$5)*((U3747)*(Q3747)-(R3747)*(V3747))-(LTP3!$D$6)*((S3747)*(Q3747)-(R3747)*(T3747))+(T3747)*((S3747)*(V3747)-(U3747)*(T3747)))/W3747,0)</f>
        <v/>
      </c>
      <c r="Z3747">
        <f>IF(ABS(W3747)&gt;1E-12,((LTP3!$D$5)*((P3747)*(V3747)-(U3747)*(R3747))-(S3747)*((S3747)*(V3747)-(U3747)*(T3747))+(LTP3!$D$6)*((S3747)*(R3747)-(P3747)*(T3747)))/W3747,0)</f>
        <v/>
      </c>
      <c r="AA3747">
        <f>LTP3!$D$7-X3747*LTP3!$D$6-Y3747*U3747-Z3747*V3747</f>
        <v/>
      </c>
      <c r="AB3747">
        <f>IF(AND(F3747,ABS(W3747)&gt;1E-12,Y3747&gt;0,Z3747&gt;0),AA3747,1E+300)</f>
        <v/>
      </c>
    </row>
    <row r="3748">
      <c r="A3748">
        <f>$I$3-$B$5+$B$5*0/10</f>
        <v/>
      </c>
      <c r="B3748">
        <f>$J$3-$B$5+$B$5*12/10</f>
        <v/>
      </c>
      <c r="C3748">
        <f>SUMPRODUCT(Calc!$K$3:$K$22*(Calc!$G$3:$G$22&lt;=A3748))</f>
        <v/>
      </c>
      <c r="D3748">
        <f>SUMPRODUCT(Calc!$K$3:$K$22*(Calc!$G$3:$G$22&gt;A3748)*(Calc!$G$3:$G$22&lt;B3748))</f>
        <v/>
      </c>
      <c r="E3748">
        <f>SUMPRODUCT(Calc!$K$3:$K$22*(Calc!$G$3:$G$22&gt;=B3748))</f>
        <v/>
      </c>
      <c r="F3748">
        <f>AND(k_n&gt;=5,B3748&gt;A3748+1E-9,C3748&gt;=2,D3748&gt;=1,E3748&gt;=2)</f>
        <v/>
      </c>
      <c r="G3748">
        <f>SUMPRODUCT(Calc!$K$3:$K$22*(Calc!$G$3:$G$22&gt;A3748)*(Calc!$G$3:$G$22-A3748))</f>
        <v/>
      </c>
      <c r="H3748">
        <f>SUMPRODUCT(Calc!$K$3:$K$22*(Calc!$G$3:$G$22&gt;B3748)*(Calc!$G$3:$G$22-B3748))</f>
        <v/>
      </c>
      <c r="I3748">
        <f>SUMPRODUCT(Calc!$K$3:$K$22*(Calc!$G$3:$G$22&gt;A3748)*(Calc!$G$3:$G$22-A3748)^2)</f>
        <v/>
      </c>
      <c r="J3748">
        <f>SUMPRODUCT(Calc!$K$3:$K$22*(Calc!$G$3:$G$22&gt;B3748)*(Calc!$G$3:$G$22-B3748)^2)</f>
        <v/>
      </c>
      <c r="K3748">
        <f>SUMPRODUCT(Calc!$K$3:$K$22*(Calc!$G$3:$G$22&gt;A3748)*(Calc!$G$3:$G$22-A3748)*(Calc!$G$3:$G$22&gt;B3748)*(Calc!$G$3:$G$22-B3748))</f>
        <v/>
      </c>
      <c r="L3748">
        <f>SUMPRODUCT(Calc!$K$3:$K$22*(Calc!$G$3:$G$22&gt;A3748)*(Calc!$G$3:$G$22-A3748)*Calc!$G$3:$G$22)</f>
        <v/>
      </c>
      <c r="M3748">
        <f>SUMPRODUCT(Calc!$K$3:$K$22*(Calc!$G$3:$G$22&gt;B3748)*(Calc!$G$3:$G$22-B3748)*Calc!$G$3:$G$22)</f>
        <v/>
      </c>
      <c r="N3748">
        <f>SUMPRODUCT(Calc!$K$3:$K$22*(Calc!$G$3:$G$22&gt;A3748)*(Calc!$G$3:$G$22-A3748)*Calc!$I$3:$I$22)</f>
        <v/>
      </c>
      <c r="O3748">
        <f>SUMPRODUCT(Calc!$K$3:$K$22*(Calc!$G$3:$G$22&gt;B3748)*(Calc!$G$3:$G$22-B3748)*Calc!$I$3:$I$22)</f>
        <v/>
      </c>
      <c r="P3748">
        <f>I3748-G3748^2/k_n</f>
        <v/>
      </c>
      <c r="Q3748">
        <f>J3748-H3748^2/k_n</f>
        <v/>
      </c>
      <c r="R3748">
        <f>K3748-G3748*H3748/k_n</f>
        <v/>
      </c>
      <c r="S3748">
        <f>L3748-LTP3!$D$3*G3748/k_n</f>
        <v/>
      </c>
      <c r="T3748">
        <f>M3748-LTP3!$D$3*H3748/k_n</f>
        <v/>
      </c>
      <c r="U3748">
        <f>N3748-G3748*LTP3!$D$4/k_n</f>
        <v/>
      </c>
      <c r="V3748">
        <f>O3748-H3748*LTP3!$D$4/k_n</f>
        <v/>
      </c>
      <c r="W3748">
        <f>((LTP3!$D$5)*((P3748)*(Q3748)-(R3748)*(R3748))-(S3748)*((S3748)*(Q3748)-(R3748)*(T3748))+(T3748)*((S3748)*(R3748)-(P3748)*(T3748)))</f>
        <v/>
      </c>
      <c r="X3748">
        <f>IF(ABS(W3748)&gt;1E-12,((LTP3!$D$6)*((P3748)*(Q3748)-(R3748)*(R3748))-(S3748)*((U3748)*(Q3748)-(R3748)*(V3748))+(T3748)*((U3748)*(R3748)-(P3748)*(V3748)))/W3748,0)</f>
        <v/>
      </c>
      <c r="Y3748">
        <f>IF(ABS(W3748)&gt;1E-12,((LTP3!$D$5)*((U3748)*(Q3748)-(R3748)*(V3748))-(LTP3!$D$6)*((S3748)*(Q3748)-(R3748)*(T3748))+(T3748)*((S3748)*(V3748)-(U3748)*(T3748)))/W3748,0)</f>
        <v/>
      </c>
      <c r="Z3748">
        <f>IF(ABS(W3748)&gt;1E-12,((LTP3!$D$5)*((P3748)*(V3748)-(U3748)*(R3748))-(S3748)*((S3748)*(V3748)-(U3748)*(T3748))+(LTP3!$D$6)*((S3748)*(R3748)-(P3748)*(T3748)))/W3748,0)</f>
        <v/>
      </c>
      <c r="AA3748">
        <f>LTP3!$D$7-X3748*LTP3!$D$6-Y3748*U3748-Z3748*V3748</f>
        <v/>
      </c>
      <c r="AB3748">
        <f>IF(AND(F3748,ABS(W3748)&gt;1E-12,Y3748&gt;0,Z3748&gt;0),AA3748,1E+300)</f>
        <v/>
      </c>
    </row>
    <row r="3749">
      <c r="A3749">
        <f>$I$3-$B$5+$B$5*0/10</f>
        <v/>
      </c>
      <c r="B3749">
        <f>$J$3-$B$5+$B$5*13/10</f>
        <v/>
      </c>
      <c r="C3749">
        <f>SUMPRODUCT(Calc!$K$3:$K$22*(Calc!$G$3:$G$22&lt;=A3749))</f>
        <v/>
      </c>
      <c r="D3749">
        <f>SUMPRODUCT(Calc!$K$3:$K$22*(Calc!$G$3:$G$22&gt;A3749)*(Calc!$G$3:$G$22&lt;B3749))</f>
        <v/>
      </c>
      <c r="E3749">
        <f>SUMPRODUCT(Calc!$K$3:$K$22*(Calc!$G$3:$G$22&gt;=B3749))</f>
        <v/>
      </c>
      <c r="F3749">
        <f>AND(k_n&gt;=5,B3749&gt;A3749+1E-9,C3749&gt;=2,D3749&gt;=1,E3749&gt;=2)</f>
        <v/>
      </c>
      <c r="G3749">
        <f>SUMPRODUCT(Calc!$K$3:$K$22*(Calc!$G$3:$G$22&gt;A3749)*(Calc!$G$3:$G$22-A3749))</f>
        <v/>
      </c>
      <c r="H3749">
        <f>SUMPRODUCT(Calc!$K$3:$K$22*(Calc!$G$3:$G$22&gt;B3749)*(Calc!$G$3:$G$22-B3749))</f>
        <v/>
      </c>
      <c r="I3749">
        <f>SUMPRODUCT(Calc!$K$3:$K$22*(Calc!$G$3:$G$22&gt;A3749)*(Calc!$G$3:$G$22-A3749)^2)</f>
        <v/>
      </c>
      <c r="J3749">
        <f>SUMPRODUCT(Calc!$K$3:$K$22*(Calc!$G$3:$G$22&gt;B3749)*(Calc!$G$3:$G$22-B3749)^2)</f>
        <v/>
      </c>
      <c r="K3749">
        <f>SUMPRODUCT(Calc!$K$3:$K$22*(Calc!$G$3:$G$22&gt;A3749)*(Calc!$G$3:$G$22-A3749)*(Calc!$G$3:$G$22&gt;B3749)*(Calc!$G$3:$G$22-B3749))</f>
        <v/>
      </c>
      <c r="L3749">
        <f>SUMPRODUCT(Calc!$K$3:$K$22*(Calc!$G$3:$G$22&gt;A3749)*(Calc!$G$3:$G$22-A3749)*Calc!$G$3:$G$22)</f>
        <v/>
      </c>
      <c r="M3749">
        <f>SUMPRODUCT(Calc!$K$3:$K$22*(Calc!$G$3:$G$22&gt;B3749)*(Calc!$G$3:$G$22-B3749)*Calc!$G$3:$G$22)</f>
        <v/>
      </c>
      <c r="N3749">
        <f>SUMPRODUCT(Calc!$K$3:$K$22*(Calc!$G$3:$G$22&gt;A3749)*(Calc!$G$3:$G$22-A3749)*Calc!$I$3:$I$22)</f>
        <v/>
      </c>
      <c r="O3749">
        <f>SUMPRODUCT(Calc!$K$3:$K$22*(Calc!$G$3:$G$22&gt;B3749)*(Calc!$G$3:$G$22-B3749)*Calc!$I$3:$I$22)</f>
        <v/>
      </c>
      <c r="P3749">
        <f>I3749-G3749^2/k_n</f>
        <v/>
      </c>
      <c r="Q3749">
        <f>J3749-H3749^2/k_n</f>
        <v/>
      </c>
      <c r="R3749">
        <f>K3749-G3749*H3749/k_n</f>
        <v/>
      </c>
      <c r="S3749">
        <f>L3749-LTP3!$D$3*G3749/k_n</f>
        <v/>
      </c>
      <c r="T3749">
        <f>M3749-LTP3!$D$3*H3749/k_n</f>
        <v/>
      </c>
      <c r="U3749">
        <f>N3749-G3749*LTP3!$D$4/k_n</f>
        <v/>
      </c>
      <c r="V3749">
        <f>O3749-H3749*LTP3!$D$4/k_n</f>
        <v/>
      </c>
      <c r="W3749">
        <f>((LTP3!$D$5)*((P3749)*(Q3749)-(R3749)*(R3749))-(S3749)*((S3749)*(Q3749)-(R3749)*(T3749))+(T3749)*((S3749)*(R3749)-(P3749)*(T3749)))</f>
        <v/>
      </c>
      <c r="X3749">
        <f>IF(ABS(W3749)&gt;1E-12,((LTP3!$D$6)*((P3749)*(Q3749)-(R3749)*(R3749))-(S3749)*((U3749)*(Q3749)-(R3749)*(V3749))+(T3749)*((U3749)*(R3749)-(P3749)*(V3749)))/W3749,0)</f>
        <v/>
      </c>
      <c r="Y3749">
        <f>IF(ABS(W3749)&gt;1E-12,((LTP3!$D$5)*((U3749)*(Q3749)-(R3749)*(V3749))-(LTP3!$D$6)*((S3749)*(Q3749)-(R3749)*(T3749))+(T3749)*((S3749)*(V3749)-(U3749)*(T3749)))/W3749,0)</f>
        <v/>
      </c>
      <c r="Z3749">
        <f>IF(ABS(W3749)&gt;1E-12,((LTP3!$D$5)*((P3749)*(V3749)-(U3749)*(R3749))-(S3749)*((S3749)*(V3749)-(U3749)*(T3749))+(LTP3!$D$6)*((S3749)*(R3749)-(P3749)*(T3749)))/W3749,0)</f>
        <v/>
      </c>
      <c r="AA3749">
        <f>LTP3!$D$7-X3749*LTP3!$D$6-Y3749*U3749-Z3749*V3749</f>
        <v/>
      </c>
      <c r="AB3749">
        <f>IF(AND(F3749,ABS(W3749)&gt;1E-12,Y3749&gt;0,Z3749&gt;0),AA3749,1E+300)</f>
        <v/>
      </c>
    </row>
    <row r="3750">
      <c r="A3750">
        <f>$I$3-$B$5+$B$5*0/10</f>
        <v/>
      </c>
      <c r="B3750">
        <f>$J$3-$B$5+$B$5*14/10</f>
        <v/>
      </c>
      <c r="C3750">
        <f>SUMPRODUCT(Calc!$K$3:$K$22*(Calc!$G$3:$G$22&lt;=A3750))</f>
        <v/>
      </c>
      <c r="D3750">
        <f>SUMPRODUCT(Calc!$K$3:$K$22*(Calc!$G$3:$G$22&gt;A3750)*(Calc!$G$3:$G$22&lt;B3750))</f>
        <v/>
      </c>
      <c r="E3750">
        <f>SUMPRODUCT(Calc!$K$3:$K$22*(Calc!$G$3:$G$22&gt;=B3750))</f>
        <v/>
      </c>
      <c r="F3750">
        <f>AND(k_n&gt;=5,B3750&gt;A3750+1E-9,C3750&gt;=2,D3750&gt;=1,E3750&gt;=2)</f>
        <v/>
      </c>
      <c r="G3750">
        <f>SUMPRODUCT(Calc!$K$3:$K$22*(Calc!$G$3:$G$22&gt;A3750)*(Calc!$G$3:$G$22-A3750))</f>
        <v/>
      </c>
      <c r="H3750">
        <f>SUMPRODUCT(Calc!$K$3:$K$22*(Calc!$G$3:$G$22&gt;B3750)*(Calc!$G$3:$G$22-B3750))</f>
        <v/>
      </c>
      <c r="I3750">
        <f>SUMPRODUCT(Calc!$K$3:$K$22*(Calc!$G$3:$G$22&gt;A3750)*(Calc!$G$3:$G$22-A3750)^2)</f>
        <v/>
      </c>
      <c r="J3750">
        <f>SUMPRODUCT(Calc!$K$3:$K$22*(Calc!$G$3:$G$22&gt;B3750)*(Calc!$G$3:$G$22-B3750)^2)</f>
        <v/>
      </c>
      <c r="K3750">
        <f>SUMPRODUCT(Calc!$K$3:$K$22*(Calc!$G$3:$G$22&gt;A3750)*(Calc!$G$3:$G$22-A3750)*(Calc!$G$3:$G$22&gt;B3750)*(Calc!$G$3:$G$22-B3750))</f>
        <v/>
      </c>
      <c r="L3750">
        <f>SUMPRODUCT(Calc!$K$3:$K$22*(Calc!$G$3:$G$22&gt;A3750)*(Calc!$G$3:$G$22-A3750)*Calc!$G$3:$G$22)</f>
        <v/>
      </c>
      <c r="M3750">
        <f>SUMPRODUCT(Calc!$K$3:$K$22*(Calc!$G$3:$G$22&gt;B3750)*(Calc!$G$3:$G$22-B3750)*Calc!$G$3:$G$22)</f>
        <v/>
      </c>
      <c r="N3750">
        <f>SUMPRODUCT(Calc!$K$3:$K$22*(Calc!$G$3:$G$22&gt;A3750)*(Calc!$G$3:$G$22-A3750)*Calc!$I$3:$I$22)</f>
        <v/>
      </c>
      <c r="O3750">
        <f>SUMPRODUCT(Calc!$K$3:$K$22*(Calc!$G$3:$G$22&gt;B3750)*(Calc!$G$3:$G$22-B3750)*Calc!$I$3:$I$22)</f>
        <v/>
      </c>
      <c r="P3750">
        <f>I3750-G3750^2/k_n</f>
        <v/>
      </c>
      <c r="Q3750">
        <f>J3750-H3750^2/k_n</f>
        <v/>
      </c>
      <c r="R3750">
        <f>K3750-G3750*H3750/k_n</f>
        <v/>
      </c>
      <c r="S3750">
        <f>L3750-LTP3!$D$3*G3750/k_n</f>
        <v/>
      </c>
      <c r="T3750">
        <f>M3750-LTP3!$D$3*H3750/k_n</f>
        <v/>
      </c>
      <c r="U3750">
        <f>N3750-G3750*LTP3!$D$4/k_n</f>
        <v/>
      </c>
      <c r="V3750">
        <f>O3750-H3750*LTP3!$D$4/k_n</f>
        <v/>
      </c>
      <c r="W3750">
        <f>((LTP3!$D$5)*((P3750)*(Q3750)-(R3750)*(R3750))-(S3750)*((S3750)*(Q3750)-(R3750)*(T3750))+(T3750)*((S3750)*(R3750)-(P3750)*(T3750)))</f>
        <v/>
      </c>
      <c r="X3750">
        <f>IF(ABS(W3750)&gt;1E-12,((LTP3!$D$6)*((P3750)*(Q3750)-(R3750)*(R3750))-(S3750)*((U3750)*(Q3750)-(R3750)*(V3750))+(T3750)*((U3750)*(R3750)-(P3750)*(V3750)))/W3750,0)</f>
        <v/>
      </c>
      <c r="Y3750">
        <f>IF(ABS(W3750)&gt;1E-12,((LTP3!$D$5)*((U3750)*(Q3750)-(R3750)*(V3750))-(LTP3!$D$6)*((S3750)*(Q3750)-(R3750)*(T3750))+(T3750)*((S3750)*(V3750)-(U3750)*(T3750)))/W3750,0)</f>
        <v/>
      </c>
      <c r="Z3750">
        <f>IF(ABS(W3750)&gt;1E-12,((LTP3!$D$5)*((P3750)*(V3750)-(U3750)*(R3750))-(S3750)*((S3750)*(V3750)-(U3750)*(T3750))+(LTP3!$D$6)*((S3750)*(R3750)-(P3750)*(T3750)))/W3750,0)</f>
        <v/>
      </c>
      <c r="AA3750">
        <f>LTP3!$D$7-X3750*LTP3!$D$6-Y3750*U3750-Z3750*V3750</f>
        <v/>
      </c>
      <c r="AB3750">
        <f>IF(AND(F3750,ABS(W3750)&gt;1E-12,Y3750&gt;0,Z3750&gt;0),AA3750,1E+300)</f>
        <v/>
      </c>
    </row>
    <row r="3751">
      <c r="A3751">
        <f>$I$3-$B$5+$B$5*0/10</f>
        <v/>
      </c>
      <c r="B3751">
        <f>$J$3-$B$5+$B$5*15/10</f>
        <v/>
      </c>
      <c r="C3751">
        <f>SUMPRODUCT(Calc!$K$3:$K$22*(Calc!$G$3:$G$22&lt;=A3751))</f>
        <v/>
      </c>
      <c r="D3751">
        <f>SUMPRODUCT(Calc!$K$3:$K$22*(Calc!$G$3:$G$22&gt;A3751)*(Calc!$G$3:$G$22&lt;B3751))</f>
        <v/>
      </c>
      <c r="E3751">
        <f>SUMPRODUCT(Calc!$K$3:$K$22*(Calc!$G$3:$G$22&gt;=B3751))</f>
        <v/>
      </c>
      <c r="F3751">
        <f>AND(k_n&gt;=5,B3751&gt;A3751+1E-9,C3751&gt;=2,D3751&gt;=1,E3751&gt;=2)</f>
        <v/>
      </c>
      <c r="G3751">
        <f>SUMPRODUCT(Calc!$K$3:$K$22*(Calc!$G$3:$G$22&gt;A3751)*(Calc!$G$3:$G$22-A3751))</f>
        <v/>
      </c>
      <c r="H3751">
        <f>SUMPRODUCT(Calc!$K$3:$K$22*(Calc!$G$3:$G$22&gt;B3751)*(Calc!$G$3:$G$22-B3751))</f>
        <v/>
      </c>
      <c r="I3751">
        <f>SUMPRODUCT(Calc!$K$3:$K$22*(Calc!$G$3:$G$22&gt;A3751)*(Calc!$G$3:$G$22-A3751)^2)</f>
        <v/>
      </c>
      <c r="J3751">
        <f>SUMPRODUCT(Calc!$K$3:$K$22*(Calc!$G$3:$G$22&gt;B3751)*(Calc!$G$3:$G$22-B3751)^2)</f>
        <v/>
      </c>
      <c r="K3751">
        <f>SUMPRODUCT(Calc!$K$3:$K$22*(Calc!$G$3:$G$22&gt;A3751)*(Calc!$G$3:$G$22-A3751)*(Calc!$G$3:$G$22&gt;B3751)*(Calc!$G$3:$G$22-B3751))</f>
        <v/>
      </c>
      <c r="L3751">
        <f>SUMPRODUCT(Calc!$K$3:$K$22*(Calc!$G$3:$G$22&gt;A3751)*(Calc!$G$3:$G$22-A3751)*Calc!$G$3:$G$22)</f>
        <v/>
      </c>
      <c r="M3751">
        <f>SUMPRODUCT(Calc!$K$3:$K$22*(Calc!$G$3:$G$22&gt;B3751)*(Calc!$G$3:$G$22-B3751)*Calc!$G$3:$G$22)</f>
        <v/>
      </c>
      <c r="N3751">
        <f>SUMPRODUCT(Calc!$K$3:$K$22*(Calc!$G$3:$G$22&gt;A3751)*(Calc!$G$3:$G$22-A3751)*Calc!$I$3:$I$22)</f>
        <v/>
      </c>
      <c r="O3751">
        <f>SUMPRODUCT(Calc!$K$3:$K$22*(Calc!$G$3:$G$22&gt;B3751)*(Calc!$G$3:$G$22-B3751)*Calc!$I$3:$I$22)</f>
        <v/>
      </c>
      <c r="P3751">
        <f>I3751-G3751^2/k_n</f>
        <v/>
      </c>
      <c r="Q3751">
        <f>J3751-H3751^2/k_n</f>
        <v/>
      </c>
      <c r="R3751">
        <f>K3751-G3751*H3751/k_n</f>
        <v/>
      </c>
      <c r="S3751">
        <f>L3751-LTP3!$D$3*G3751/k_n</f>
        <v/>
      </c>
      <c r="T3751">
        <f>M3751-LTP3!$D$3*H3751/k_n</f>
        <v/>
      </c>
      <c r="U3751">
        <f>N3751-G3751*LTP3!$D$4/k_n</f>
        <v/>
      </c>
      <c r="V3751">
        <f>O3751-H3751*LTP3!$D$4/k_n</f>
        <v/>
      </c>
      <c r="W3751">
        <f>((LTP3!$D$5)*((P3751)*(Q3751)-(R3751)*(R3751))-(S3751)*((S3751)*(Q3751)-(R3751)*(T3751))+(T3751)*((S3751)*(R3751)-(P3751)*(T3751)))</f>
        <v/>
      </c>
      <c r="X3751">
        <f>IF(ABS(W3751)&gt;1E-12,((LTP3!$D$6)*((P3751)*(Q3751)-(R3751)*(R3751))-(S3751)*((U3751)*(Q3751)-(R3751)*(V3751))+(T3751)*((U3751)*(R3751)-(P3751)*(V3751)))/W3751,0)</f>
        <v/>
      </c>
      <c r="Y3751">
        <f>IF(ABS(W3751)&gt;1E-12,((LTP3!$D$5)*((U3751)*(Q3751)-(R3751)*(V3751))-(LTP3!$D$6)*((S3751)*(Q3751)-(R3751)*(T3751))+(T3751)*((S3751)*(V3751)-(U3751)*(T3751)))/W3751,0)</f>
        <v/>
      </c>
      <c r="Z3751">
        <f>IF(ABS(W3751)&gt;1E-12,((LTP3!$D$5)*((P3751)*(V3751)-(U3751)*(R3751))-(S3751)*((S3751)*(V3751)-(U3751)*(T3751))+(LTP3!$D$6)*((S3751)*(R3751)-(P3751)*(T3751)))/W3751,0)</f>
        <v/>
      </c>
      <c r="AA3751">
        <f>LTP3!$D$7-X3751*LTP3!$D$6-Y3751*U3751-Z3751*V3751</f>
        <v/>
      </c>
      <c r="AB3751">
        <f>IF(AND(F3751,ABS(W3751)&gt;1E-12,Y3751&gt;0,Z3751&gt;0),AA3751,1E+300)</f>
        <v/>
      </c>
    </row>
    <row r="3752">
      <c r="A3752">
        <f>$I$3-$B$5+$B$5*0/10</f>
        <v/>
      </c>
      <c r="B3752">
        <f>$J$3-$B$5+$B$5*16/10</f>
        <v/>
      </c>
      <c r="C3752">
        <f>SUMPRODUCT(Calc!$K$3:$K$22*(Calc!$G$3:$G$22&lt;=A3752))</f>
        <v/>
      </c>
      <c r="D3752">
        <f>SUMPRODUCT(Calc!$K$3:$K$22*(Calc!$G$3:$G$22&gt;A3752)*(Calc!$G$3:$G$22&lt;B3752))</f>
        <v/>
      </c>
      <c r="E3752">
        <f>SUMPRODUCT(Calc!$K$3:$K$22*(Calc!$G$3:$G$22&gt;=B3752))</f>
        <v/>
      </c>
      <c r="F3752">
        <f>AND(k_n&gt;=5,B3752&gt;A3752+1E-9,C3752&gt;=2,D3752&gt;=1,E3752&gt;=2)</f>
        <v/>
      </c>
      <c r="G3752">
        <f>SUMPRODUCT(Calc!$K$3:$K$22*(Calc!$G$3:$G$22&gt;A3752)*(Calc!$G$3:$G$22-A3752))</f>
        <v/>
      </c>
      <c r="H3752">
        <f>SUMPRODUCT(Calc!$K$3:$K$22*(Calc!$G$3:$G$22&gt;B3752)*(Calc!$G$3:$G$22-B3752))</f>
        <v/>
      </c>
      <c r="I3752">
        <f>SUMPRODUCT(Calc!$K$3:$K$22*(Calc!$G$3:$G$22&gt;A3752)*(Calc!$G$3:$G$22-A3752)^2)</f>
        <v/>
      </c>
      <c r="J3752">
        <f>SUMPRODUCT(Calc!$K$3:$K$22*(Calc!$G$3:$G$22&gt;B3752)*(Calc!$G$3:$G$22-B3752)^2)</f>
        <v/>
      </c>
      <c r="K3752">
        <f>SUMPRODUCT(Calc!$K$3:$K$22*(Calc!$G$3:$G$22&gt;A3752)*(Calc!$G$3:$G$22-A3752)*(Calc!$G$3:$G$22&gt;B3752)*(Calc!$G$3:$G$22-B3752))</f>
        <v/>
      </c>
      <c r="L3752">
        <f>SUMPRODUCT(Calc!$K$3:$K$22*(Calc!$G$3:$G$22&gt;A3752)*(Calc!$G$3:$G$22-A3752)*Calc!$G$3:$G$22)</f>
        <v/>
      </c>
      <c r="M3752">
        <f>SUMPRODUCT(Calc!$K$3:$K$22*(Calc!$G$3:$G$22&gt;B3752)*(Calc!$G$3:$G$22-B3752)*Calc!$G$3:$G$22)</f>
        <v/>
      </c>
      <c r="N3752">
        <f>SUMPRODUCT(Calc!$K$3:$K$22*(Calc!$G$3:$G$22&gt;A3752)*(Calc!$G$3:$G$22-A3752)*Calc!$I$3:$I$22)</f>
        <v/>
      </c>
      <c r="O3752">
        <f>SUMPRODUCT(Calc!$K$3:$K$22*(Calc!$G$3:$G$22&gt;B3752)*(Calc!$G$3:$G$22-B3752)*Calc!$I$3:$I$22)</f>
        <v/>
      </c>
      <c r="P3752">
        <f>I3752-G3752^2/k_n</f>
        <v/>
      </c>
      <c r="Q3752">
        <f>J3752-H3752^2/k_n</f>
        <v/>
      </c>
      <c r="R3752">
        <f>K3752-G3752*H3752/k_n</f>
        <v/>
      </c>
      <c r="S3752">
        <f>L3752-LTP3!$D$3*G3752/k_n</f>
        <v/>
      </c>
      <c r="T3752">
        <f>M3752-LTP3!$D$3*H3752/k_n</f>
        <v/>
      </c>
      <c r="U3752">
        <f>N3752-G3752*LTP3!$D$4/k_n</f>
        <v/>
      </c>
      <c r="V3752">
        <f>O3752-H3752*LTP3!$D$4/k_n</f>
        <v/>
      </c>
      <c r="W3752">
        <f>((LTP3!$D$5)*((P3752)*(Q3752)-(R3752)*(R3752))-(S3752)*((S3752)*(Q3752)-(R3752)*(T3752))+(T3752)*((S3752)*(R3752)-(P3752)*(T3752)))</f>
        <v/>
      </c>
      <c r="X3752">
        <f>IF(ABS(W3752)&gt;1E-12,((LTP3!$D$6)*((P3752)*(Q3752)-(R3752)*(R3752))-(S3752)*((U3752)*(Q3752)-(R3752)*(V3752))+(T3752)*((U3752)*(R3752)-(P3752)*(V3752)))/W3752,0)</f>
        <v/>
      </c>
      <c r="Y3752">
        <f>IF(ABS(W3752)&gt;1E-12,((LTP3!$D$5)*((U3752)*(Q3752)-(R3752)*(V3752))-(LTP3!$D$6)*((S3752)*(Q3752)-(R3752)*(T3752))+(T3752)*((S3752)*(V3752)-(U3752)*(T3752)))/W3752,0)</f>
        <v/>
      </c>
      <c r="Z3752">
        <f>IF(ABS(W3752)&gt;1E-12,((LTP3!$D$5)*((P3752)*(V3752)-(U3752)*(R3752))-(S3752)*((S3752)*(V3752)-(U3752)*(T3752))+(LTP3!$D$6)*((S3752)*(R3752)-(P3752)*(T3752)))/W3752,0)</f>
        <v/>
      </c>
      <c r="AA3752">
        <f>LTP3!$D$7-X3752*LTP3!$D$6-Y3752*U3752-Z3752*V3752</f>
        <v/>
      </c>
      <c r="AB3752">
        <f>IF(AND(F3752,ABS(W3752)&gt;1E-12,Y3752&gt;0,Z3752&gt;0),AA3752,1E+300)</f>
        <v/>
      </c>
    </row>
    <row r="3753">
      <c r="A3753">
        <f>$I$3-$B$5+$B$5*0/10</f>
        <v/>
      </c>
      <c r="B3753">
        <f>$J$3-$B$5+$B$5*17/10</f>
        <v/>
      </c>
      <c r="C3753">
        <f>SUMPRODUCT(Calc!$K$3:$K$22*(Calc!$G$3:$G$22&lt;=A3753))</f>
        <v/>
      </c>
      <c r="D3753">
        <f>SUMPRODUCT(Calc!$K$3:$K$22*(Calc!$G$3:$G$22&gt;A3753)*(Calc!$G$3:$G$22&lt;B3753))</f>
        <v/>
      </c>
      <c r="E3753">
        <f>SUMPRODUCT(Calc!$K$3:$K$22*(Calc!$G$3:$G$22&gt;=B3753))</f>
        <v/>
      </c>
      <c r="F3753">
        <f>AND(k_n&gt;=5,B3753&gt;A3753+1E-9,C3753&gt;=2,D3753&gt;=1,E3753&gt;=2)</f>
        <v/>
      </c>
      <c r="G3753">
        <f>SUMPRODUCT(Calc!$K$3:$K$22*(Calc!$G$3:$G$22&gt;A3753)*(Calc!$G$3:$G$22-A3753))</f>
        <v/>
      </c>
      <c r="H3753">
        <f>SUMPRODUCT(Calc!$K$3:$K$22*(Calc!$G$3:$G$22&gt;B3753)*(Calc!$G$3:$G$22-B3753))</f>
        <v/>
      </c>
      <c r="I3753">
        <f>SUMPRODUCT(Calc!$K$3:$K$22*(Calc!$G$3:$G$22&gt;A3753)*(Calc!$G$3:$G$22-A3753)^2)</f>
        <v/>
      </c>
      <c r="J3753">
        <f>SUMPRODUCT(Calc!$K$3:$K$22*(Calc!$G$3:$G$22&gt;B3753)*(Calc!$G$3:$G$22-B3753)^2)</f>
        <v/>
      </c>
      <c r="K3753">
        <f>SUMPRODUCT(Calc!$K$3:$K$22*(Calc!$G$3:$G$22&gt;A3753)*(Calc!$G$3:$G$22-A3753)*(Calc!$G$3:$G$22&gt;B3753)*(Calc!$G$3:$G$22-B3753))</f>
        <v/>
      </c>
      <c r="L3753">
        <f>SUMPRODUCT(Calc!$K$3:$K$22*(Calc!$G$3:$G$22&gt;A3753)*(Calc!$G$3:$G$22-A3753)*Calc!$G$3:$G$22)</f>
        <v/>
      </c>
      <c r="M3753">
        <f>SUMPRODUCT(Calc!$K$3:$K$22*(Calc!$G$3:$G$22&gt;B3753)*(Calc!$G$3:$G$22-B3753)*Calc!$G$3:$G$22)</f>
        <v/>
      </c>
      <c r="N3753">
        <f>SUMPRODUCT(Calc!$K$3:$K$22*(Calc!$G$3:$G$22&gt;A3753)*(Calc!$G$3:$G$22-A3753)*Calc!$I$3:$I$22)</f>
        <v/>
      </c>
      <c r="O3753">
        <f>SUMPRODUCT(Calc!$K$3:$K$22*(Calc!$G$3:$G$22&gt;B3753)*(Calc!$G$3:$G$22-B3753)*Calc!$I$3:$I$22)</f>
        <v/>
      </c>
      <c r="P3753">
        <f>I3753-G3753^2/k_n</f>
        <v/>
      </c>
      <c r="Q3753">
        <f>J3753-H3753^2/k_n</f>
        <v/>
      </c>
      <c r="R3753">
        <f>K3753-G3753*H3753/k_n</f>
        <v/>
      </c>
      <c r="S3753">
        <f>L3753-LTP3!$D$3*G3753/k_n</f>
        <v/>
      </c>
      <c r="T3753">
        <f>M3753-LTP3!$D$3*H3753/k_n</f>
        <v/>
      </c>
      <c r="U3753">
        <f>N3753-G3753*LTP3!$D$4/k_n</f>
        <v/>
      </c>
      <c r="V3753">
        <f>O3753-H3753*LTP3!$D$4/k_n</f>
        <v/>
      </c>
      <c r="W3753">
        <f>((LTP3!$D$5)*((P3753)*(Q3753)-(R3753)*(R3753))-(S3753)*((S3753)*(Q3753)-(R3753)*(T3753))+(T3753)*((S3753)*(R3753)-(P3753)*(T3753)))</f>
        <v/>
      </c>
      <c r="X3753">
        <f>IF(ABS(W3753)&gt;1E-12,((LTP3!$D$6)*((P3753)*(Q3753)-(R3753)*(R3753))-(S3753)*((U3753)*(Q3753)-(R3753)*(V3753))+(T3753)*((U3753)*(R3753)-(P3753)*(V3753)))/W3753,0)</f>
        <v/>
      </c>
      <c r="Y3753">
        <f>IF(ABS(W3753)&gt;1E-12,((LTP3!$D$5)*((U3753)*(Q3753)-(R3753)*(V3753))-(LTP3!$D$6)*((S3753)*(Q3753)-(R3753)*(T3753))+(T3753)*((S3753)*(V3753)-(U3753)*(T3753)))/W3753,0)</f>
        <v/>
      </c>
      <c r="Z3753">
        <f>IF(ABS(W3753)&gt;1E-12,((LTP3!$D$5)*((P3753)*(V3753)-(U3753)*(R3753))-(S3753)*((S3753)*(V3753)-(U3753)*(T3753))+(LTP3!$D$6)*((S3753)*(R3753)-(P3753)*(T3753)))/W3753,0)</f>
        <v/>
      </c>
      <c r="AA3753">
        <f>LTP3!$D$7-X3753*LTP3!$D$6-Y3753*U3753-Z3753*V3753</f>
        <v/>
      </c>
      <c r="AB3753">
        <f>IF(AND(F3753,ABS(W3753)&gt;1E-12,Y3753&gt;0,Z3753&gt;0),AA3753,1E+300)</f>
        <v/>
      </c>
    </row>
    <row r="3754">
      <c r="A3754">
        <f>$I$3-$B$5+$B$5*0/10</f>
        <v/>
      </c>
      <c r="B3754">
        <f>$J$3-$B$5+$B$5*18/10</f>
        <v/>
      </c>
      <c r="C3754">
        <f>SUMPRODUCT(Calc!$K$3:$K$22*(Calc!$G$3:$G$22&lt;=A3754))</f>
        <v/>
      </c>
      <c r="D3754">
        <f>SUMPRODUCT(Calc!$K$3:$K$22*(Calc!$G$3:$G$22&gt;A3754)*(Calc!$G$3:$G$22&lt;B3754))</f>
        <v/>
      </c>
      <c r="E3754">
        <f>SUMPRODUCT(Calc!$K$3:$K$22*(Calc!$G$3:$G$22&gt;=B3754))</f>
        <v/>
      </c>
      <c r="F3754">
        <f>AND(k_n&gt;=5,B3754&gt;A3754+1E-9,C3754&gt;=2,D3754&gt;=1,E3754&gt;=2)</f>
        <v/>
      </c>
      <c r="G3754">
        <f>SUMPRODUCT(Calc!$K$3:$K$22*(Calc!$G$3:$G$22&gt;A3754)*(Calc!$G$3:$G$22-A3754))</f>
        <v/>
      </c>
      <c r="H3754">
        <f>SUMPRODUCT(Calc!$K$3:$K$22*(Calc!$G$3:$G$22&gt;B3754)*(Calc!$G$3:$G$22-B3754))</f>
        <v/>
      </c>
      <c r="I3754">
        <f>SUMPRODUCT(Calc!$K$3:$K$22*(Calc!$G$3:$G$22&gt;A3754)*(Calc!$G$3:$G$22-A3754)^2)</f>
        <v/>
      </c>
      <c r="J3754">
        <f>SUMPRODUCT(Calc!$K$3:$K$22*(Calc!$G$3:$G$22&gt;B3754)*(Calc!$G$3:$G$22-B3754)^2)</f>
        <v/>
      </c>
      <c r="K3754">
        <f>SUMPRODUCT(Calc!$K$3:$K$22*(Calc!$G$3:$G$22&gt;A3754)*(Calc!$G$3:$G$22-A3754)*(Calc!$G$3:$G$22&gt;B3754)*(Calc!$G$3:$G$22-B3754))</f>
        <v/>
      </c>
      <c r="L3754">
        <f>SUMPRODUCT(Calc!$K$3:$K$22*(Calc!$G$3:$G$22&gt;A3754)*(Calc!$G$3:$G$22-A3754)*Calc!$G$3:$G$22)</f>
        <v/>
      </c>
      <c r="M3754">
        <f>SUMPRODUCT(Calc!$K$3:$K$22*(Calc!$G$3:$G$22&gt;B3754)*(Calc!$G$3:$G$22-B3754)*Calc!$G$3:$G$22)</f>
        <v/>
      </c>
      <c r="N3754">
        <f>SUMPRODUCT(Calc!$K$3:$K$22*(Calc!$G$3:$G$22&gt;A3754)*(Calc!$G$3:$G$22-A3754)*Calc!$I$3:$I$22)</f>
        <v/>
      </c>
      <c r="O3754">
        <f>SUMPRODUCT(Calc!$K$3:$K$22*(Calc!$G$3:$G$22&gt;B3754)*(Calc!$G$3:$G$22-B3754)*Calc!$I$3:$I$22)</f>
        <v/>
      </c>
      <c r="P3754">
        <f>I3754-G3754^2/k_n</f>
        <v/>
      </c>
      <c r="Q3754">
        <f>J3754-H3754^2/k_n</f>
        <v/>
      </c>
      <c r="R3754">
        <f>K3754-G3754*H3754/k_n</f>
        <v/>
      </c>
      <c r="S3754">
        <f>L3754-LTP3!$D$3*G3754/k_n</f>
        <v/>
      </c>
      <c r="T3754">
        <f>M3754-LTP3!$D$3*H3754/k_n</f>
        <v/>
      </c>
      <c r="U3754">
        <f>N3754-G3754*LTP3!$D$4/k_n</f>
        <v/>
      </c>
      <c r="V3754">
        <f>O3754-H3754*LTP3!$D$4/k_n</f>
        <v/>
      </c>
      <c r="W3754">
        <f>((LTP3!$D$5)*((P3754)*(Q3754)-(R3754)*(R3754))-(S3754)*((S3754)*(Q3754)-(R3754)*(T3754))+(T3754)*((S3754)*(R3754)-(P3754)*(T3754)))</f>
        <v/>
      </c>
      <c r="X3754">
        <f>IF(ABS(W3754)&gt;1E-12,((LTP3!$D$6)*((P3754)*(Q3754)-(R3754)*(R3754))-(S3754)*((U3754)*(Q3754)-(R3754)*(V3754))+(T3754)*((U3754)*(R3754)-(P3754)*(V3754)))/W3754,0)</f>
        <v/>
      </c>
      <c r="Y3754">
        <f>IF(ABS(W3754)&gt;1E-12,((LTP3!$D$5)*((U3754)*(Q3754)-(R3754)*(V3754))-(LTP3!$D$6)*((S3754)*(Q3754)-(R3754)*(T3754))+(T3754)*((S3754)*(V3754)-(U3754)*(T3754)))/W3754,0)</f>
        <v/>
      </c>
      <c r="Z3754">
        <f>IF(ABS(W3754)&gt;1E-12,((LTP3!$D$5)*((P3754)*(V3754)-(U3754)*(R3754))-(S3754)*((S3754)*(V3754)-(U3754)*(T3754))+(LTP3!$D$6)*((S3754)*(R3754)-(P3754)*(T3754)))/W3754,0)</f>
        <v/>
      </c>
      <c r="AA3754">
        <f>LTP3!$D$7-X3754*LTP3!$D$6-Y3754*U3754-Z3754*V3754</f>
        <v/>
      </c>
      <c r="AB3754">
        <f>IF(AND(F3754,ABS(W3754)&gt;1E-12,Y3754&gt;0,Z3754&gt;0),AA3754,1E+300)</f>
        <v/>
      </c>
    </row>
    <row r="3755">
      <c r="A3755">
        <f>$I$3-$B$5+$B$5*0/10</f>
        <v/>
      </c>
      <c r="B3755">
        <f>$J$3-$B$5+$B$5*19/10</f>
        <v/>
      </c>
      <c r="C3755">
        <f>SUMPRODUCT(Calc!$K$3:$K$22*(Calc!$G$3:$G$22&lt;=A3755))</f>
        <v/>
      </c>
      <c r="D3755">
        <f>SUMPRODUCT(Calc!$K$3:$K$22*(Calc!$G$3:$G$22&gt;A3755)*(Calc!$G$3:$G$22&lt;B3755))</f>
        <v/>
      </c>
      <c r="E3755">
        <f>SUMPRODUCT(Calc!$K$3:$K$22*(Calc!$G$3:$G$22&gt;=B3755))</f>
        <v/>
      </c>
      <c r="F3755">
        <f>AND(k_n&gt;=5,B3755&gt;A3755+1E-9,C3755&gt;=2,D3755&gt;=1,E3755&gt;=2)</f>
        <v/>
      </c>
      <c r="G3755">
        <f>SUMPRODUCT(Calc!$K$3:$K$22*(Calc!$G$3:$G$22&gt;A3755)*(Calc!$G$3:$G$22-A3755))</f>
        <v/>
      </c>
      <c r="H3755">
        <f>SUMPRODUCT(Calc!$K$3:$K$22*(Calc!$G$3:$G$22&gt;B3755)*(Calc!$G$3:$G$22-B3755))</f>
        <v/>
      </c>
      <c r="I3755">
        <f>SUMPRODUCT(Calc!$K$3:$K$22*(Calc!$G$3:$G$22&gt;A3755)*(Calc!$G$3:$G$22-A3755)^2)</f>
        <v/>
      </c>
      <c r="J3755">
        <f>SUMPRODUCT(Calc!$K$3:$K$22*(Calc!$G$3:$G$22&gt;B3755)*(Calc!$G$3:$G$22-B3755)^2)</f>
        <v/>
      </c>
      <c r="K3755">
        <f>SUMPRODUCT(Calc!$K$3:$K$22*(Calc!$G$3:$G$22&gt;A3755)*(Calc!$G$3:$G$22-A3755)*(Calc!$G$3:$G$22&gt;B3755)*(Calc!$G$3:$G$22-B3755))</f>
        <v/>
      </c>
      <c r="L3755">
        <f>SUMPRODUCT(Calc!$K$3:$K$22*(Calc!$G$3:$G$22&gt;A3755)*(Calc!$G$3:$G$22-A3755)*Calc!$G$3:$G$22)</f>
        <v/>
      </c>
      <c r="M3755">
        <f>SUMPRODUCT(Calc!$K$3:$K$22*(Calc!$G$3:$G$22&gt;B3755)*(Calc!$G$3:$G$22-B3755)*Calc!$G$3:$G$22)</f>
        <v/>
      </c>
      <c r="N3755">
        <f>SUMPRODUCT(Calc!$K$3:$K$22*(Calc!$G$3:$G$22&gt;A3755)*(Calc!$G$3:$G$22-A3755)*Calc!$I$3:$I$22)</f>
        <v/>
      </c>
      <c r="O3755">
        <f>SUMPRODUCT(Calc!$K$3:$K$22*(Calc!$G$3:$G$22&gt;B3755)*(Calc!$G$3:$G$22-B3755)*Calc!$I$3:$I$22)</f>
        <v/>
      </c>
      <c r="P3755">
        <f>I3755-G3755^2/k_n</f>
        <v/>
      </c>
      <c r="Q3755">
        <f>J3755-H3755^2/k_n</f>
        <v/>
      </c>
      <c r="R3755">
        <f>K3755-G3755*H3755/k_n</f>
        <v/>
      </c>
      <c r="S3755">
        <f>L3755-LTP3!$D$3*G3755/k_n</f>
        <v/>
      </c>
      <c r="T3755">
        <f>M3755-LTP3!$D$3*H3755/k_n</f>
        <v/>
      </c>
      <c r="U3755">
        <f>N3755-G3755*LTP3!$D$4/k_n</f>
        <v/>
      </c>
      <c r="V3755">
        <f>O3755-H3755*LTP3!$D$4/k_n</f>
        <v/>
      </c>
      <c r="W3755">
        <f>((LTP3!$D$5)*((P3755)*(Q3755)-(R3755)*(R3755))-(S3755)*((S3755)*(Q3755)-(R3755)*(T3755))+(T3755)*((S3755)*(R3755)-(P3755)*(T3755)))</f>
        <v/>
      </c>
      <c r="X3755">
        <f>IF(ABS(W3755)&gt;1E-12,((LTP3!$D$6)*((P3755)*(Q3755)-(R3755)*(R3755))-(S3755)*((U3755)*(Q3755)-(R3755)*(V3755))+(T3755)*((U3755)*(R3755)-(P3755)*(V3755)))/W3755,0)</f>
        <v/>
      </c>
      <c r="Y3755">
        <f>IF(ABS(W3755)&gt;1E-12,((LTP3!$D$5)*((U3755)*(Q3755)-(R3755)*(V3755))-(LTP3!$D$6)*((S3755)*(Q3755)-(R3755)*(T3755))+(T3755)*((S3755)*(V3755)-(U3755)*(T3755)))/W3755,0)</f>
        <v/>
      </c>
      <c r="Z3755">
        <f>IF(ABS(W3755)&gt;1E-12,((LTP3!$D$5)*((P3755)*(V3755)-(U3755)*(R3755))-(S3755)*((S3755)*(V3755)-(U3755)*(T3755))+(LTP3!$D$6)*((S3755)*(R3755)-(P3755)*(T3755)))/W3755,0)</f>
        <v/>
      </c>
      <c r="AA3755">
        <f>LTP3!$D$7-X3755*LTP3!$D$6-Y3755*U3755-Z3755*V3755</f>
        <v/>
      </c>
      <c r="AB3755">
        <f>IF(AND(F3755,ABS(W3755)&gt;1E-12,Y3755&gt;0,Z3755&gt;0),AA3755,1E+300)</f>
        <v/>
      </c>
    </row>
    <row r="3756">
      <c r="A3756">
        <f>$I$3-$B$5+$B$5*0/10</f>
        <v/>
      </c>
      <c r="B3756">
        <f>$J$3-$B$5+$B$5*20/10</f>
        <v/>
      </c>
      <c r="C3756">
        <f>SUMPRODUCT(Calc!$K$3:$K$22*(Calc!$G$3:$G$22&lt;=A3756))</f>
        <v/>
      </c>
      <c r="D3756">
        <f>SUMPRODUCT(Calc!$K$3:$K$22*(Calc!$G$3:$G$22&gt;A3756)*(Calc!$G$3:$G$22&lt;B3756))</f>
        <v/>
      </c>
      <c r="E3756">
        <f>SUMPRODUCT(Calc!$K$3:$K$22*(Calc!$G$3:$G$22&gt;=B3756))</f>
        <v/>
      </c>
      <c r="F3756">
        <f>AND(k_n&gt;=5,B3756&gt;A3756+1E-9,C3756&gt;=2,D3756&gt;=1,E3756&gt;=2)</f>
        <v/>
      </c>
      <c r="G3756">
        <f>SUMPRODUCT(Calc!$K$3:$K$22*(Calc!$G$3:$G$22&gt;A3756)*(Calc!$G$3:$G$22-A3756))</f>
        <v/>
      </c>
      <c r="H3756">
        <f>SUMPRODUCT(Calc!$K$3:$K$22*(Calc!$G$3:$G$22&gt;B3756)*(Calc!$G$3:$G$22-B3756))</f>
        <v/>
      </c>
      <c r="I3756">
        <f>SUMPRODUCT(Calc!$K$3:$K$22*(Calc!$G$3:$G$22&gt;A3756)*(Calc!$G$3:$G$22-A3756)^2)</f>
        <v/>
      </c>
      <c r="J3756">
        <f>SUMPRODUCT(Calc!$K$3:$K$22*(Calc!$G$3:$G$22&gt;B3756)*(Calc!$G$3:$G$22-B3756)^2)</f>
        <v/>
      </c>
      <c r="K3756">
        <f>SUMPRODUCT(Calc!$K$3:$K$22*(Calc!$G$3:$G$22&gt;A3756)*(Calc!$G$3:$G$22-A3756)*(Calc!$G$3:$G$22&gt;B3756)*(Calc!$G$3:$G$22-B3756))</f>
        <v/>
      </c>
      <c r="L3756">
        <f>SUMPRODUCT(Calc!$K$3:$K$22*(Calc!$G$3:$G$22&gt;A3756)*(Calc!$G$3:$G$22-A3756)*Calc!$G$3:$G$22)</f>
        <v/>
      </c>
      <c r="M3756">
        <f>SUMPRODUCT(Calc!$K$3:$K$22*(Calc!$G$3:$G$22&gt;B3756)*(Calc!$G$3:$G$22-B3756)*Calc!$G$3:$G$22)</f>
        <v/>
      </c>
      <c r="N3756">
        <f>SUMPRODUCT(Calc!$K$3:$K$22*(Calc!$G$3:$G$22&gt;A3756)*(Calc!$G$3:$G$22-A3756)*Calc!$I$3:$I$22)</f>
        <v/>
      </c>
      <c r="O3756">
        <f>SUMPRODUCT(Calc!$K$3:$K$22*(Calc!$G$3:$G$22&gt;B3756)*(Calc!$G$3:$G$22-B3756)*Calc!$I$3:$I$22)</f>
        <v/>
      </c>
      <c r="P3756">
        <f>I3756-G3756^2/k_n</f>
        <v/>
      </c>
      <c r="Q3756">
        <f>J3756-H3756^2/k_n</f>
        <v/>
      </c>
      <c r="R3756">
        <f>K3756-G3756*H3756/k_n</f>
        <v/>
      </c>
      <c r="S3756">
        <f>L3756-LTP3!$D$3*G3756/k_n</f>
        <v/>
      </c>
      <c r="T3756">
        <f>M3756-LTP3!$D$3*H3756/k_n</f>
        <v/>
      </c>
      <c r="U3756">
        <f>N3756-G3756*LTP3!$D$4/k_n</f>
        <v/>
      </c>
      <c r="V3756">
        <f>O3756-H3756*LTP3!$D$4/k_n</f>
        <v/>
      </c>
      <c r="W3756">
        <f>((LTP3!$D$5)*((P3756)*(Q3756)-(R3756)*(R3756))-(S3756)*((S3756)*(Q3756)-(R3756)*(T3756))+(T3756)*((S3756)*(R3756)-(P3756)*(T3756)))</f>
        <v/>
      </c>
      <c r="X3756">
        <f>IF(ABS(W3756)&gt;1E-12,((LTP3!$D$6)*((P3756)*(Q3756)-(R3756)*(R3756))-(S3756)*((U3756)*(Q3756)-(R3756)*(V3756))+(T3756)*((U3756)*(R3756)-(P3756)*(V3756)))/W3756,0)</f>
        <v/>
      </c>
      <c r="Y3756">
        <f>IF(ABS(W3756)&gt;1E-12,((LTP3!$D$5)*((U3756)*(Q3756)-(R3756)*(V3756))-(LTP3!$D$6)*((S3756)*(Q3756)-(R3756)*(T3756))+(T3756)*((S3756)*(V3756)-(U3756)*(T3756)))/W3756,0)</f>
        <v/>
      </c>
      <c r="Z3756">
        <f>IF(ABS(W3756)&gt;1E-12,((LTP3!$D$5)*((P3756)*(V3756)-(U3756)*(R3756))-(S3756)*((S3756)*(V3756)-(U3756)*(T3756))+(LTP3!$D$6)*((S3756)*(R3756)-(P3756)*(T3756)))/W3756,0)</f>
        <v/>
      </c>
      <c r="AA3756">
        <f>LTP3!$D$7-X3756*LTP3!$D$6-Y3756*U3756-Z3756*V3756</f>
        <v/>
      </c>
      <c r="AB3756">
        <f>IF(AND(F3756,ABS(W3756)&gt;1E-12,Y3756&gt;0,Z3756&gt;0),AA3756,1E+300)</f>
        <v/>
      </c>
    </row>
    <row r="3757">
      <c r="A3757">
        <f>$I$3-$B$5+$B$5*1/10</f>
        <v/>
      </c>
      <c r="B3757">
        <f>$J$3-$B$5+$B$5*0/10</f>
        <v/>
      </c>
      <c r="C3757">
        <f>SUMPRODUCT(Calc!$K$3:$K$22*(Calc!$G$3:$G$22&lt;=A3757))</f>
        <v/>
      </c>
      <c r="D3757">
        <f>SUMPRODUCT(Calc!$K$3:$K$22*(Calc!$G$3:$G$22&gt;A3757)*(Calc!$G$3:$G$22&lt;B3757))</f>
        <v/>
      </c>
      <c r="E3757">
        <f>SUMPRODUCT(Calc!$K$3:$K$22*(Calc!$G$3:$G$22&gt;=B3757))</f>
        <v/>
      </c>
      <c r="F3757">
        <f>AND(k_n&gt;=5,B3757&gt;A3757+1E-9,C3757&gt;=2,D3757&gt;=1,E3757&gt;=2)</f>
        <v/>
      </c>
      <c r="G3757">
        <f>SUMPRODUCT(Calc!$K$3:$K$22*(Calc!$G$3:$G$22&gt;A3757)*(Calc!$G$3:$G$22-A3757))</f>
        <v/>
      </c>
      <c r="H3757">
        <f>SUMPRODUCT(Calc!$K$3:$K$22*(Calc!$G$3:$G$22&gt;B3757)*(Calc!$G$3:$G$22-B3757))</f>
        <v/>
      </c>
      <c r="I3757">
        <f>SUMPRODUCT(Calc!$K$3:$K$22*(Calc!$G$3:$G$22&gt;A3757)*(Calc!$G$3:$G$22-A3757)^2)</f>
        <v/>
      </c>
      <c r="J3757">
        <f>SUMPRODUCT(Calc!$K$3:$K$22*(Calc!$G$3:$G$22&gt;B3757)*(Calc!$G$3:$G$22-B3757)^2)</f>
        <v/>
      </c>
      <c r="K3757">
        <f>SUMPRODUCT(Calc!$K$3:$K$22*(Calc!$G$3:$G$22&gt;A3757)*(Calc!$G$3:$G$22-A3757)*(Calc!$G$3:$G$22&gt;B3757)*(Calc!$G$3:$G$22-B3757))</f>
        <v/>
      </c>
      <c r="L3757">
        <f>SUMPRODUCT(Calc!$K$3:$K$22*(Calc!$G$3:$G$22&gt;A3757)*(Calc!$G$3:$G$22-A3757)*Calc!$G$3:$G$22)</f>
        <v/>
      </c>
      <c r="M3757">
        <f>SUMPRODUCT(Calc!$K$3:$K$22*(Calc!$G$3:$G$22&gt;B3757)*(Calc!$G$3:$G$22-B3757)*Calc!$G$3:$G$22)</f>
        <v/>
      </c>
      <c r="N3757">
        <f>SUMPRODUCT(Calc!$K$3:$K$22*(Calc!$G$3:$G$22&gt;A3757)*(Calc!$G$3:$G$22-A3757)*Calc!$I$3:$I$22)</f>
        <v/>
      </c>
      <c r="O3757">
        <f>SUMPRODUCT(Calc!$K$3:$K$22*(Calc!$G$3:$G$22&gt;B3757)*(Calc!$G$3:$G$22-B3757)*Calc!$I$3:$I$22)</f>
        <v/>
      </c>
      <c r="P3757">
        <f>I3757-G3757^2/k_n</f>
        <v/>
      </c>
      <c r="Q3757">
        <f>J3757-H3757^2/k_n</f>
        <v/>
      </c>
      <c r="R3757">
        <f>K3757-G3757*H3757/k_n</f>
        <v/>
      </c>
      <c r="S3757">
        <f>L3757-LTP3!$D$3*G3757/k_n</f>
        <v/>
      </c>
      <c r="T3757">
        <f>M3757-LTP3!$D$3*H3757/k_n</f>
        <v/>
      </c>
      <c r="U3757">
        <f>N3757-G3757*LTP3!$D$4/k_n</f>
        <v/>
      </c>
      <c r="V3757">
        <f>O3757-H3757*LTP3!$D$4/k_n</f>
        <v/>
      </c>
      <c r="W3757">
        <f>((LTP3!$D$5)*((P3757)*(Q3757)-(R3757)*(R3757))-(S3757)*((S3757)*(Q3757)-(R3757)*(T3757))+(T3757)*((S3757)*(R3757)-(P3757)*(T3757)))</f>
        <v/>
      </c>
      <c r="X3757">
        <f>IF(ABS(W3757)&gt;1E-12,((LTP3!$D$6)*((P3757)*(Q3757)-(R3757)*(R3757))-(S3757)*((U3757)*(Q3757)-(R3757)*(V3757))+(T3757)*((U3757)*(R3757)-(P3757)*(V3757)))/W3757,0)</f>
        <v/>
      </c>
      <c r="Y3757">
        <f>IF(ABS(W3757)&gt;1E-12,((LTP3!$D$5)*((U3757)*(Q3757)-(R3757)*(V3757))-(LTP3!$D$6)*((S3757)*(Q3757)-(R3757)*(T3757))+(T3757)*((S3757)*(V3757)-(U3757)*(T3757)))/W3757,0)</f>
        <v/>
      </c>
      <c r="Z3757">
        <f>IF(ABS(W3757)&gt;1E-12,((LTP3!$D$5)*((P3757)*(V3757)-(U3757)*(R3757))-(S3757)*((S3757)*(V3757)-(U3757)*(T3757))+(LTP3!$D$6)*((S3757)*(R3757)-(P3757)*(T3757)))/W3757,0)</f>
        <v/>
      </c>
      <c r="AA3757">
        <f>LTP3!$D$7-X3757*LTP3!$D$6-Y3757*U3757-Z3757*V3757</f>
        <v/>
      </c>
      <c r="AB3757">
        <f>IF(AND(F3757,ABS(W3757)&gt;1E-12,Y3757&gt;0,Z3757&gt;0),AA3757,1E+300)</f>
        <v/>
      </c>
    </row>
    <row r="3758">
      <c r="A3758">
        <f>$I$3-$B$5+$B$5*1/10</f>
        <v/>
      </c>
      <c r="B3758">
        <f>$J$3-$B$5+$B$5*1/10</f>
        <v/>
      </c>
      <c r="C3758">
        <f>SUMPRODUCT(Calc!$K$3:$K$22*(Calc!$G$3:$G$22&lt;=A3758))</f>
        <v/>
      </c>
      <c r="D3758">
        <f>SUMPRODUCT(Calc!$K$3:$K$22*(Calc!$G$3:$G$22&gt;A3758)*(Calc!$G$3:$G$22&lt;B3758))</f>
        <v/>
      </c>
      <c r="E3758">
        <f>SUMPRODUCT(Calc!$K$3:$K$22*(Calc!$G$3:$G$22&gt;=B3758))</f>
        <v/>
      </c>
      <c r="F3758">
        <f>AND(k_n&gt;=5,B3758&gt;A3758+1E-9,C3758&gt;=2,D3758&gt;=1,E3758&gt;=2)</f>
        <v/>
      </c>
      <c r="G3758">
        <f>SUMPRODUCT(Calc!$K$3:$K$22*(Calc!$G$3:$G$22&gt;A3758)*(Calc!$G$3:$G$22-A3758))</f>
        <v/>
      </c>
      <c r="H3758">
        <f>SUMPRODUCT(Calc!$K$3:$K$22*(Calc!$G$3:$G$22&gt;B3758)*(Calc!$G$3:$G$22-B3758))</f>
        <v/>
      </c>
      <c r="I3758">
        <f>SUMPRODUCT(Calc!$K$3:$K$22*(Calc!$G$3:$G$22&gt;A3758)*(Calc!$G$3:$G$22-A3758)^2)</f>
        <v/>
      </c>
      <c r="J3758">
        <f>SUMPRODUCT(Calc!$K$3:$K$22*(Calc!$G$3:$G$22&gt;B3758)*(Calc!$G$3:$G$22-B3758)^2)</f>
        <v/>
      </c>
      <c r="K3758">
        <f>SUMPRODUCT(Calc!$K$3:$K$22*(Calc!$G$3:$G$22&gt;A3758)*(Calc!$G$3:$G$22-A3758)*(Calc!$G$3:$G$22&gt;B3758)*(Calc!$G$3:$G$22-B3758))</f>
        <v/>
      </c>
      <c r="L3758">
        <f>SUMPRODUCT(Calc!$K$3:$K$22*(Calc!$G$3:$G$22&gt;A3758)*(Calc!$G$3:$G$22-A3758)*Calc!$G$3:$G$22)</f>
        <v/>
      </c>
      <c r="M3758">
        <f>SUMPRODUCT(Calc!$K$3:$K$22*(Calc!$G$3:$G$22&gt;B3758)*(Calc!$G$3:$G$22-B3758)*Calc!$G$3:$G$22)</f>
        <v/>
      </c>
      <c r="N3758">
        <f>SUMPRODUCT(Calc!$K$3:$K$22*(Calc!$G$3:$G$22&gt;A3758)*(Calc!$G$3:$G$22-A3758)*Calc!$I$3:$I$22)</f>
        <v/>
      </c>
      <c r="O3758">
        <f>SUMPRODUCT(Calc!$K$3:$K$22*(Calc!$G$3:$G$22&gt;B3758)*(Calc!$G$3:$G$22-B3758)*Calc!$I$3:$I$22)</f>
        <v/>
      </c>
      <c r="P3758">
        <f>I3758-G3758^2/k_n</f>
        <v/>
      </c>
      <c r="Q3758">
        <f>J3758-H3758^2/k_n</f>
        <v/>
      </c>
      <c r="R3758">
        <f>K3758-G3758*H3758/k_n</f>
        <v/>
      </c>
      <c r="S3758">
        <f>L3758-LTP3!$D$3*G3758/k_n</f>
        <v/>
      </c>
      <c r="T3758">
        <f>M3758-LTP3!$D$3*H3758/k_n</f>
        <v/>
      </c>
      <c r="U3758">
        <f>N3758-G3758*LTP3!$D$4/k_n</f>
        <v/>
      </c>
      <c r="V3758">
        <f>O3758-H3758*LTP3!$D$4/k_n</f>
        <v/>
      </c>
      <c r="W3758">
        <f>((LTP3!$D$5)*((P3758)*(Q3758)-(R3758)*(R3758))-(S3758)*((S3758)*(Q3758)-(R3758)*(T3758))+(T3758)*((S3758)*(R3758)-(P3758)*(T3758)))</f>
        <v/>
      </c>
      <c r="X3758">
        <f>IF(ABS(W3758)&gt;1E-12,((LTP3!$D$6)*((P3758)*(Q3758)-(R3758)*(R3758))-(S3758)*((U3758)*(Q3758)-(R3758)*(V3758))+(T3758)*((U3758)*(R3758)-(P3758)*(V3758)))/W3758,0)</f>
        <v/>
      </c>
      <c r="Y3758">
        <f>IF(ABS(W3758)&gt;1E-12,((LTP3!$D$5)*((U3758)*(Q3758)-(R3758)*(V3758))-(LTP3!$D$6)*((S3758)*(Q3758)-(R3758)*(T3758))+(T3758)*((S3758)*(V3758)-(U3758)*(T3758)))/W3758,0)</f>
        <v/>
      </c>
      <c r="Z3758">
        <f>IF(ABS(W3758)&gt;1E-12,((LTP3!$D$5)*((P3758)*(V3758)-(U3758)*(R3758))-(S3758)*((S3758)*(V3758)-(U3758)*(T3758))+(LTP3!$D$6)*((S3758)*(R3758)-(P3758)*(T3758)))/W3758,0)</f>
        <v/>
      </c>
      <c r="AA3758">
        <f>LTP3!$D$7-X3758*LTP3!$D$6-Y3758*U3758-Z3758*V3758</f>
        <v/>
      </c>
      <c r="AB3758">
        <f>IF(AND(F3758,ABS(W3758)&gt;1E-12,Y3758&gt;0,Z3758&gt;0),AA3758,1E+300)</f>
        <v/>
      </c>
    </row>
    <row r="3759">
      <c r="A3759">
        <f>$I$3-$B$5+$B$5*1/10</f>
        <v/>
      </c>
      <c r="B3759">
        <f>$J$3-$B$5+$B$5*2/10</f>
        <v/>
      </c>
      <c r="C3759">
        <f>SUMPRODUCT(Calc!$K$3:$K$22*(Calc!$G$3:$G$22&lt;=A3759))</f>
        <v/>
      </c>
      <c r="D3759">
        <f>SUMPRODUCT(Calc!$K$3:$K$22*(Calc!$G$3:$G$22&gt;A3759)*(Calc!$G$3:$G$22&lt;B3759))</f>
        <v/>
      </c>
      <c r="E3759">
        <f>SUMPRODUCT(Calc!$K$3:$K$22*(Calc!$G$3:$G$22&gt;=B3759))</f>
        <v/>
      </c>
      <c r="F3759">
        <f>AND(k_n&gt;=5,B3759&gt;A3759+1E-9,C3759&gt;=2,D3759&gt;=1,E3759&gt;=2)</f>
        <v/>
      </c>
      <c r="G3759">
        <f>SUMPRODUCT(Calc!$K$3:$K$22*(Calc!$G$3:$G$22&gt;A3759)*(Calc!$G$3:$G$22-A3759))</f>
        <v/>
      </c>
      <c r="H3759">
        <f>SUMPRODUCT(Calc!$K$3:$K$22*(Calc!$G$3:$G$22&gt;B3759)*(Calc!$G$3:$G$22-B3759))</f>
        <v/>
      </c>
      <c r="I3759">
        <f>SUMPRODUCT(Calc!$K$3:$K$22*(Calc!$G$3:$G$22&gt;A3759)*(Calc!$G$3:$G$22-A3759)^2)</f>
        <v/>
      </c>
      <c r="J3759">
        <f>SUMPRODUCT(Calc!$K$3:$K$22*(Calc!$G$3:$G$22&gt;B3759)*(Calc!$G$3:$G$22-B3759)^2)</f>
        <v/>
      </c>
      <c r="K3759">
        <f>SUMPRODUCT(Calc!$K$3:$K$22*(Calc!$G$3:$G$22&gt;A3759)*(Calc!$G$3:$G$22-A3759)*(Calc!$G$3:$G$22&gt;B3759)*(Calc!$G$3:$G$22-B3759))</f>
        <v/>
      </c>
      <c r="L3759">
        <f>SUMPRODUCT(Calc!$K$3:$K$22*(Calc!$G$3:$G$22&gt;A3759)*(Calc!$G$3:$G$22-A3759)*Calc!$G$3:$G$22)</f>
        <v/>
      </c>
      <c r="M3759">
        <f>SUMPRODUCT(Calc!$K$3:$K$22*(Calc!$G$3:$G$22&gt;B3759)*(Calc!$G$3:$G$22-B3759)*Calc!$G$3:$G$22)</f>
        <v/>
      </c>
      <c r="N3759">
        <f>SUMPRODUCT(Calc!$K$3:$K$22*(Calc!$G$3:$G$22&gt;A3759)*(Calc!$G$3:$G$22-A3759)*Calc!$I$3:$I$22)</f>
        <v/>
      </c>
      <c r="O3759">
        <f>SUMPRODUCT(Calc!$K$3:$K$22*(Calc!$G$3:$G$22&gt;B3759)*(Calc!$G$3:$G$22-B3759)*Calc!$I$3:$I$22)</f>
        <v/>
      </c>
      <c r="P3759">
        <f>I3759-G3759^2/k_n</f>
        <v/>
      </c>
      <c r="Q3759">
        <f>J3759-H3759^2/k_n</f>
        <v/>
      </c>
      <c r="R3759">
        <f>K3759-G3759*H3759/k_n</f>
        <v/>
      </c>
      <c r="S3759">
        <f>L3759-LTP3!$D$3*G3759/k_n</f>
        <v/>
      </c>
      <c r="T3759">
        <f>M3759-LTP3!$D$3*H3759/k_n</f>
        <v/>
      </c>
      <c r="U3759">
        <f>N3759-G3759*LTP3!$D$4/k_n</f>
        <v/>
      </c>
      <c r="V3759">
        <f>O3759-H3759*LTP3!$D$4/k_n</f>
        <v/>
      </c>
      <c r="W3759">
        <f>((LTP3!$D$5)*((P3759)*(Q3759)-(R3759)*(R3759))-(S3759)*((S3759)*(Q3759)-(R3759)*(T3759))+(T3759)*((S3759)*(R3759)-(P3759)*(T3759)))</f>
        <v/>
      </c>
      <c r="X3759">
        <f>IF(ABS(W3759)&gt;1E-12,((LTP3!$D$6)*((P3759)*(Q3759)-(R3759)*(R3759))-(S3759)*((U3759)*(Q3759)-(R3759)*(V3759))+(T3759)*((U3759)*(R3759)-(P3759)*(V3759)))/W3759,0)</f>
        <v/>
      </c>
      <c r="Y3759">
        <f>IF(ABS(W3759)&gt;1E-12,((LTP3!$D$5)*((U3759)*(Q3759)-(R3759)*(V3759))-(LTP3!$D$6)*((S3759)*(Q3759)-(R3759)*(T3759))+(T3759)*((S3759)*(V3759)-(U3759)*(T3759)))/W3759,0)</f>
        <v/>
      </c>
      <c r="Z3759">
        <f>IF(ABS(W3759)&gt;1E-12,((LTP3!$D$5)*((P3759)*(V3759)-(U3759)*(R3759))-(S3759)*((S3759)*(V3759)-(U3759)*(T3759))+(LTP3!$D$6)*((S3759)*(R3759)-(P3759)*(T3759)))/W3759,0)</f>
        <v/>
      </c>
      <c r="AA3759">
        <f>LTP3!$D$7-X3759*LTP3!$D$6-Y3759*U3759-Z3759*V3759</f>
        <v/>
      </c>
      <c r="AB3759">
        <f>IF(AND(F3759,ABS(W3759)&gt;1E-12,Y3759&gt;0,Z3759&gt;0),AA3759,1E+300)</f>
        <v/>
      </c>
    </row>
    <row r="3760">
      <c r="A3760">
        <f>$I$3-$B$5+$B$5*1/10</f>
        <v/>
      </c>
      <c r="B3760">
        <f>$J$3-$B$5+$B$5*3/10</f>
        <v/>
      </c>
      <c r="C3760">
        <f>SUMPRODUCT(Calc!$K$3:$K$22*(Calc!$G$3:$G$22&lt;=A3760))</f>
        <v/>
      </c>
      <c r="D3760">
        <f>SUMPRODUCT(Calc!$K$3:$K$22*(Calc!$G$3:$G$22&gt;A3760)*(Calc!$G$3:$G$22&lt;B3760))</f>
        <v/>
      </c>
      <c r="E3760">
        <f>SUMPRODUCT(Calc!$K$3:$K$22*(Calc!$G$3:$G$22&gt;=B3760))</f>
        <v/>
      </c>
      <c r="F3760">
        <f>AND(k_n&gt;=5,B3760&gt;A3760+1E-9,C3760&gt;=2,D3760&gt;=1,E3760&gt;=2)</f>
        <v/>
      </c>
      <c r="G3760">
        <f>SUMPRODUCT(Calc!$K$3:$K$22*(Calc!$G$3:$G$22&gt;A3760)*(Calc!$G$3:$G$22-A3760))</f>
        <v/>
      </c>
      <c r="H3760">
        <f>SUMPRODUCT(Calc!$K$3:$K$22*(Calc!$G$3:$G$22&gt;B3760)*(Calc!$G$3:$G$22-B3760))</f>
        <v/>
      </c>
      <c r="I3760">
        <f>SUMPRODUCT(Calc!$K$3:$K$22*(Calc!$G$3:$G$22&gt;A3760)*(Calc!$G$3:$G$22-A3760)^2)</f>
        <v/>
      </c>
      <c r="J3760">
        <f>SUMPRODUCT(Calc!$K$3:$K$22*(Calc!$G$3:$G$22&gt;B3760)*(Calc!$G$3:$G$22-B3760)^2)</f>
        <v/>
      </c>
      <c r="K3760">
        <f>SUMPRODUCT(Calc!$K$3:$K$22*(Calc!$G$3:$G$22&gt;A3760)*(Calc!$G$3:$G$22-A3760)*(Calc!$G$3:$G$22&gt;B3760)*(Calc!$G$3:$G$22-B3760))</f>
        <v/>
      </c>
      <c r="L3760">
        <f>SUMPRODUCT(Calc!$K$3:$K$22*(Calc!$G$3:$G$22&gt;A3760)*(Calc!$G$3:$G$22-A3760)*Calc!$G$3:$G$22)</f>
        <v/>
      </c>
      <c r="M3760">
        <f>SUMPRODUCT(Calc!$K$3:$K$22*(Calc!$G$3:$G$22&gt;B3760)*(Calc!$G$3:$G$22-B3760)*Calc!$G$3:$G$22)</f>
        <v/>
      </c>
      <c r="N3760">
        <f>SUMPRODUCT(Calc!$K$3:$K$22*(Calc!$G$3:$G$22&gt;A3760)*(Calc!$G$3:$G$22-A3760)*Calc!$I$3:$I$22)</f>
        <v/>
      </c>
      <c r="O3760">
        <f>SUMPRODUCT(Calc!$K$3:$K$22*(Calc!$G$3:$G$22&gt;B3760)*(Calc!$G$3:$G$22-B3760)*Calc!$I$3:$I$22)</f>
        <v/>
      </c>
      <c r="P3760">
        <f>I3760-G3760^2/k_n</f>
        <v/>
      </c>
      <c r="Q3760">
        <f>J3760-H3760^2/k_n</f>
        <v/>
      </c>
      <c r="R3760">
        <f>K3760-G3760*H3760/k_n</f>
        <v/>
      </c>
      <c r="S3760">
        <f>L3760-LTP3!$D$3*G3760/k_n</f>
        <v/>
      </c>
      <c r="T3760">
        <f>M3760-LTP3!$D$3*H3760/k_n</f>
        <v/>
      </c>
      <c r="U3760">
        <f>N3760-G3760*LTP3!$D$4/k_n</f>
        <v/>
      </c>
      <c r="V3760">
        <f>O3760-H3760*LTP3!$D$4/k_n</f>
        <v/>
      </c>
      <c r="W3760">
        <f>((LTP3!$D$5)*((P3760)*(Q3760)-(R3760)*(R3760))-(S3760)*((S3760)*(Q3760)-(R3760)*(T3760))+(T3760)*((S3760)*(R3760)-(P3760)*(T3760)))</f>
        <v/>
      </c>
      <c r="X3760">
        <f>IF(ABS(W3760)&gt;1E-12,((LTP3!$D$6)*((P3760)*(Q3760)-(R3760)*(R3760))-(S3760)*((U3760)*(Q3760)-(R3760)*(V3760))+(T3760)*((U3760)*(R3760)-(P3760)*(V3760)))/W3760,0)</f>
        <v/>
      </c>
      <c r="Y3760">
        <f>IF(ABS(W3760)&gt;1E-12,((LTP3!$D$5)*((U3760)*(Q3760)-(R3760)*(V3760))-(LTP3!$D$6)*((S3760)*(Q3760)-(R3760)*(T3760))+(T3760)*((S3760)*(V3760)-(U3760)*(T3760)))/W3760,0)</f>
        <v/>
      </c>
      <c r="Z3760">
        <f>IF(ABS(W3760)&gt;1E-12,((LTP3!$D$5)*((P3760)*(V3760)-(U3760)*(R3760))-(S3760)*((S3760)*(V3760)-(U3760)*(T3760))+(LTP3!$D$6)*((S3760)*(R3760)-(P3760)*(T3760)))/W3760,0)</f>
        <v/>
      </c>
      <c r="AA3760">
        <f>LTP3!$D$7-X3760*LTP3!$D$6-Y3760*U3760-Z3760*V3760</f>
        <v/>
      </c>
      <c r="AB3760">
        <f>IF(AND(F3760,ABS(W3760)&gt;1E-12,Y3760&gt;0,Z3760&gt;0),AA3760,1E+300)</f>
        <v/>
      </c>
    </row>
    <row r="3761">
      <c r="A3761">
        <f>$I$3-$B$5+$B$5*1/10</f>
        <v/>
      </c>
      <c r="B3761">
        <f>$J$3-$B$5+$B$5*4/10</f>
        <v/>
      </c>
      <c r="C3761">
        <f>SUMPRODUCT(Calc!$K$3:$K$22*(Calc!$G$3:$G$22&lt;=A3761))</f>
        <v/>
      </c>
      <c r="D3761">
        <f>SUMPRODUCT(Calc!$K$3:$K$22*(Calc!$G$3:$G$22&gt;A3761)*(Calc!$G$3:$G$22&lt;B3761))</f>
        <v/>
      </c>
      <c r="E3761">
        <f>SUMPRODUCT(Calc!$K$3:$K$22*(Calc!$G$3:$G$22&gt;=B3761))</f>
        <v/>
      </c>
      <c r="F3761">
        <f>AND(k_n&gt;=5,B3761&gt;A3761+1E-9,C3761&gt;=2,D3761&gt;=1,E3761&gt;=2)</f>
        <v/>
      </c>
      <c r="G3761">
        <f>SUMPRODUCT(Calc!$K$3:$K$22*(Calc!$G$3:$G$22&gt;A3761)*(Calc!$G$3:$G$22-A3761))</f>
        <v/>
      </c>
      <c r="H3761">
        <f>SUMPRODUCT(Calc!$K$3:$K$22*(Calc!$G$3:$G$22&gt;B3761)*(Calc!$G$3:$G$22-B3761))</f>
        <v/>
      </c>
      <c r="I3761">
        <f>SUMPRODUCT(Calc!$K$3:$K$22*(Calc!$G$3:$G$22&gt;A3761)*(Calc!$G$3:$G$22-A3761)^2)</f>
        <v/>
      </c>
      <c r="J3761">
        <f>SUMPRODUCT(Calc!$K$3:$K$22*(Calc!$G$3:$G$22&gt;B3761)*(Calc!$G$3:$G$22-B3761)^2)</f>
        <v/>
      </c>
      <c r="K3761">
        <f>SUMPRODUCT(Calc!$K$3:$K$22*(Calc!$G$3:$G$22&gt;A3761)*(Calc!$G$3:$G$22-A3761)*(Calc!$G$3:$G$22&gt;B3761)*(Calc!$G$3:$G$22-B3761))</f>
        <v/>
      </c>
      <c r="L3761">
        <f>SUMPRODUCT(Calc!$K$3:$K$22*(Calc!$G$3:$G$22&gt;A3761)*(Calc!$G$3:$G$22-A3761)*Calc!$G$3:$G$22)</f>
        <v/>
      </c>
      <c r="M3761">
        <f>SUMPRODUCT(Calc!$K$3:$K$22*(Calc!$G$3:$G$22&gt;B3761)*(Calc!$G$3:$G$22-B3761)*Calc!$G$3:$G$22)</f>
        <v/>
      </c>
      <c r="N3761">
        <f>SUMPRODUCT(Calc!$K$3:$K$22*(Calc!$G$3:$G$22&gt;A3761)*(Calc!$G$3:$G$22-A3761)*Calc!$I$3:$I$22)</f>
        <v/>
      </c>
      <c r="O3761">
        <f>SUMPRODUCT(Calc!$K$3:$K$22*(Calc!$G$3:$G$22&gt;B3761)*(Calc!$G$3:$G$22-B3761)*Calc!$I$3:$I$22)</f>
        <v/>
      </c>
      <c r="P3761">
        <f>I3761-G3761^2/k_n</f>
        <v/>
      </c>
      <c r="Q3761">
        <f>J3761-H3761^2/k_n</f>
        <v/>
      </c>
      <c r="R3761">
        <f>K3761-G3761*H3761/k_n</f>
        <v/>
      </c>
      <c r="S3761">
        <f>L3761-LTP3!$D$3*G3761/k_n</f>
        <v/>
      </c>
      <c r="T3761">
        <f>M3761-LTP3!$D$3*H3761/k_n</f>
        <v/>
      </c>
      <c r="U3761">
        <f>N3761-G3761*LTP3!$D$4/k_n</f>
        <v/>
      </c>
      <c r="V3761">
        <f>O3761-H3761*LTP3!$D$4/k_n</f>
        <v/>
      </c>
      <c r="W3761">
        <f>((LTP3!$D$5)*((P3761)*(Q3761)-(R3761)*(R3761))-(S3761)*((S3761)*(Q3761)-(R3761)*(T3761))+(T3761)*((S3761)*(R3761)-(P3761)*(T3761)))</f>
        <v/>
      </c>
      <c r="X3761">
        <f>IF(ABS(W3761)&gt;1E-12,((LTP3!$D$6)*((P3761)*(Q3761)-(R3761)*(R3761))-(S3761)*((U3761)*(Q3761)-(R3761)*(V3761))+(T3761)*((U3761)*(R3761)-(P3761)*(V3761)))/W3761,0)</f>
        <v/>
      </c>
      <c r="Y3761">
        <f>IF(ABS(W3761)&gt;1E-12,((LTP3!$D$5)*((U3761)*(Q3761)-(R3761)*(V3761))-(LTP3!$D$6)*((S3761)*(Q3761)-(R3761)*(T3761))+(T3761)*((S3761)*(V3761)-(U3761)*(T3761)))/W3761,0)</f>
        <v/>
      </c>
      <c r="Z3761">
        <f>IF(ABS(W3761)&gt;1E-12,((LTP3!$D$5)*((P3761)*(V3761)-(U3761)*(R3761))-(S3761)*((S3761)*(V3761)-(U3761)*(T3761))+(LTP3!$D$6)*((S3761)*(R3761)-(P3761)*(T3761)))/W3761,0)</f>
        <v/>
      </c>
      <c r="AA3761">
        <f>LTP3!$D$7-X3761*LTP3!$D$6-Y3761*U3761-Z3761*V3761</f>
        <v/>
      </c>
      <c r="AB3761">
        <f>IF(AND(F3761,ABS(W3761)&gt;1E-12,Y3761&gt;0,Z3761&gt;0),AA3761,1E+300)</f>
        <v/>
      </c>
    </row>
    <row r="3762">
      <c r="A3762">
        <f>$I$3-$B$5+$B$5*1/10</f>
        <v/>
      </c>
      <c r="B3762">
        <f>$J$3-$B$5+$B$5*5/10</f>
        <v/>
      </c>
      <c r="C3762">
        <f>SUMPRODUCT(Calc!$K$3:$K$22*(Calc!$G$3:$G$22&lt;=A3762))</f>
        <v/>
      </c>
      <c r="D3762">
        <f>SUMPRODUCT(Calc!$K$3:$K$22*(Calc!$G$3:$G$22&gt;A3762)*(Calc!$G$3:$G$22&lt;B3762))</f>
        <v/>
      </c>
      <c r="E3762">
        <f>SUMPRODUCT(Calc!$K$3:$K$22*(Calc!$G$3:$G$22&gt;=B3762))</f>
        <v/>
      </c>
      <c r="F3762">
        <f>AND(k_n&gt;=5,B3762&gt;A3762+1E-9,C3762&gt;=2,D3762&gt;=1,E3762&gt;=2)</f>
        <v/>
      </c>
      <c r="G3762">
        <f>SUMPRODUCT(Calc!$K$3:$K$22*(Calc!$G$3:$G$22&gt;A3762)*(Calc!$G$3:$G$22-A3762))</f>
        <v/>
      </c>
      <c r="H3762">
        <f>SUMPRODUCT(Calc!$K$3:$K$22*(Calc!$G$3:$G$22&gt;B3762)*(Calc!$G$3:$G$22-B3762))</f>
        <v/>
      </c>
      <c r="I3762">
        <f>SUMPRODUCT(Calc!$K$3:$K$22*(Calc!$G$3:$G$22&gt;A3762)*(Calc!$G$3:$G$22-A3762)^2)</f>
        <v/>
      </c>
      <c r="J3762">
        <f>SUMPRODUCT(Calc!$K$3:$K$22*(Calc!$G$3:$G$22&gt;B3762)*(Calc!$G$3:$G$22-B3762)^2)</f>
        <v/>
      </c>
      <c r="K3762">
        <f>SUMPRODUCT(Calc!$K$3:$K$22*(Calc!$G$3:$G$22&gt;A3762)*(Calc!$G$3:$G$22-A3762)*(Calc!$G$3:$G$22&gt;B3762)*(Calc!$G$3:$G$22-B3762))</f>
        <v/>
      </c>
      <c r="L3762">
        <f>SUMPRODUCT(Calc!$K$3:$K$22*(Calc!$G$3:$G$22&gt;A3762)*(Calc!$G$3:$G$22-A3762)*Calc!$G$3:$G$22)</f>
        <v/>
      </c>
      <c r="M3762">
        <f>SUMPRODUCT(Calc!$K$3:$K$22*(Calc!$G$3:$G$22&gt;B3762)*(Calc!$G$3:$G$22-B3762)*Calc!$G$3:$G$22)</f>
        <v/>
      </c>
      <c r="N3762">
        <f>SUMPRODUCT(Calc!$K$3:$K$22*(Calc!$G$3:$G$22&gt;A3762)*(Calc!$G$3:$G$22-A3762)*Calc!$I$3:$I$22)</f>
        <v/>
      </c>
      <c r="O3762">
        <f>SUMPRODUCT(Calc!$K$3:$K$22*(Calc!$G$3:$G$22&gt;B3762)*(Calc!$G$3:$G$22-B3762)*Calc!$I$3:$I$22)</f>
        <v/>
      </c>
      <c r="P3762">
        <f>I3762-G3762^2/k_n</f>
        <v/>
      </c>
      <c r="Q3762">
        <f>J3762-H3762^2/k_n</f>
        <v/>
      </c>
      <c r="R3762">
        <f>K3762-G3762*H3762/k_n</f>
        <v/>
      </c>
      <c r="S3762">
        <f>L3762-LTP3!$D$3*G3762/k_n</f>
        <v/>
      </c>
      <c r="T3762">
        <f>M3762-LTP3!$D$3*H3762/k_n</f>
        <v/>
      </c>
      <c r="U3762">
        <f>N3762-G3762*LTP3!$D$4/k_n</f>
        <v/>
      </c>
      <c r="V3762">
        <f>O3762-H3762*LTP3!$D$4/k_n</f>
        <v/>
      </c>
      <c r="W3762">
        <f>((LTP3!$D$5)*((P3762)*(Q3762)-(R3762)*(R3762))-(S3762)*((S3762)*(Q3762)-(R3762)*(T3762))+(T3762)*((S3762)*(R3762)-(P3762)*(T3762)))</f>
        <v/>
      </c>
      <c r="X3762">
        <f>IF(ABS(W3762)&gt;1E-12,((LTP3!$D$6)*((P3762)*(Q3762)-(R3762)*(R3762))-(S3762)*((U3762)*(Q3762)-(R3762)*(V3762))+(T3762)*((U3762)*(R3762)-(P3762)*(V3762)))/W3762,0)</f>
        <v/>
      </c>
      <c r="Y3762">
        <f>IF(ABS(W3762)&gt;1E-12,((LTP3!$D$5)*((U3762)*(Q3762)-(R3762)*(V3762))-(LTP3!$D$6)*((S3762)*(Q3762)-(R3762)*(T3762))+(T3762)*((S3762)*(V3762)-(U3762)*(T3762)))/W3762,0)</f>
        <v/>
      </c>
      <c r="Z3762">
        <f>IF(ABS(W3762)&gt;1E-12,((LTP3!$D$5)*((P3762)*(V3762)-(U3762)*(R3762))-(S3762)*((S3762)*(V3762)-(U3762)*(T3762))+(LTP3!$D$6)*((S3762)*(R3762)-(P3762)*(T3762)))/W3762,0)</f>
        <v/>
      </c>
      <c r="AA3762">
        <f>LTP3!$D$7-X3762*LTP3!$D$6-Y3762*U3762-Z3762*V3762</f>
        <v/>
      </c>
      <c r="AB3762">
        <f>IF(AND(F3762,ABS(W3762)&gt;1E-12,Y3762&gt;0,Z3762&gt;0),AA3762,1E+300)</f>
        <v/>
      </c>
    </row>
    <row r="3763">
      <c r="A3763">
        <f>$I$3-$B$5+$B$5*1/10</f>
        <v/>
      </c>
      <c r="B3763">
        <f>$J$3-$B$5+$B$5*6/10</f>
        <v/>
      </c>
      <c r="C3763">
        <f>SUMPRODUCT(Calc!$K$3:$K$22*(Calc!$G$3:$G$22&lt;=A3763))</f>
        <v/>
      </c>
      <c r="D3763">
        <f>SUMPRODUCT(Calc!$K$3:$K$22*(Calc!$G$3:$G$22&gt;A3763)*(Calc!$G$3:$G$22&lt;B3763))</f>
        <v/>
      </c>
      <c r="E3763">
        <f>SUMPRODUCT(Calc!$K$3:$K$22*(Calc!$G$3:$G$22&gt;=B3763))</f>
        <v/>
      </c>
      <c r="F3763">
        <f>AND(k_n&gt;=5,B3763&gt;A3763+1E-9,C3763&gt;=2,D3763&gt;=1,E3763&gt;=2)</f>
        <v/>
      </c>
      <c r="G3763">
        <f>SUMPRODUCT(Calc!$K$3:$K$22*(Calc!$G$3:$G$22&gt;A3763)*(Calc!$G$3:$G$22-A3763))</f>
        <v/>
      </c>
      <c r="H3763">
        <f>SUMPRODUCT(Calc!$K$3:$K$22*(Calc!$G$3:$G$22&gt;B3763)*(Calc!$G$3:$G$22-B3763))</f>
        <v/>
      </c>
      <c r="I3763">
        <f>SUMPRODUCT(Calc!$K$3:$K$22*(Calc!$G$3:$G$22&gt;A3763)*(Calc!$G$3:$G$22-A3763)^2)</f>
        <v/>
      </c>
      <c r="J3763">
        <f>SUMPRODUCT(Calc!$K$3:$K$22*(Calc!$G$3:$G$22&gt;B3763)*(Calc!$G$3:$G$22-B3763)^2)</f>
        <v/>
      </c>
      <c r="K3763">
        <f>SUMPRODUCT(Calc!$K$3:$K$22*(Calc!$G$3:$G$22&gt;A3763)*(Calc!$G$3:$G$22-A3763)*(Calc!$G$3:$G$22&gt;B3763)*(Calc!$G$3:$G$22-B3763))</f>
        <v/>
      </c>
      <c r="L3763">
        <f>SUMPRODUCT(Calc!$K$3:$K$22*(Calc!$G$3:$G$22&gt;A3763)*(Calc!$G$3:$G$22-A3763)*Calc!$G$3:$G$22)</f>
        <v/>
      </c>
      <c r="M3763">
        <f>SUMPRODUCT(Calc!$K$3:$K$22*(Calc!$G$3:$G$22&gt;B3763)*(Calc!$G$3:$G$22-B3763)*Calc!$G$3:$G$22)</f>
        <v/>
      </c>
      <c r="N3763">
        <f>SUMPRODUCT(Calc!$K$3:$K$22*(Calc!$G$3:$G$22&gt;A3763)*(Calc!$G$3:$G$22-A3763)*Calc!$I$3:$I$22)</f>
        <v/>
      </c>
      <c r="O3763">
        <f>SUMPRODUCT(Calc!$K$3:$K$22*(Calc!$G$3:$G$22&gt;B3763)*(Calc!$G$3:$G$22-B3763)*Calc!$I$3:$I$22)</f>
        <v/>
      </c>
      <c r="P3763">
        <f>I3763-G3763^2/k_n</f>
        <v/>
      </c>
      <c r="Q3763">
        <f>J3763-H3763^2/k_n</f>
        <v/>
      </c>
      <c r="R3763">
        <f>K3763-G3763*H3763/k_n</f>
        <v/>
      </c>
      <c r="S3763">
        <f>L3763-LTP3!$D$3*G3763/k_n</f>
        <v/>
      </c>
      <c r="T3763">
        <f>M3763-LTP3!$D$3*H3763/k_n</f>
        <v/>
      </c>
      <c r="U3763">
        <f>N3763-G3763*LTP3!$D$4/k_n</f>
        <v/>
      </c>
      <c r="V3763">
        <f>O3763-H3763*LTP3!$D$4/k_n</f>
        <v/>
      </c>
      <c r="W3763">
        <f>((LTP3!$D$5)*((P3763)*(Q3763)-(R3763)*(R3763))-(S3763)*((S3763)*(Q3763)-(R3763)*(T3763))+(T3763)*((S3763)*(R3763)-(P3763)*(T3763)))</f>
        <v/>
      </c>
      <c r="X3763">
        <f>IF(ABS(W3763)&gt;1E-12,((LTP3!$D$6)*((P3763)*(Q3763)-(R3763)*(R3763))-(S3763)*((U3763)*(Q3763)-(R3763)*(V3763))+(T3763)*((U3763)*(R3763)-(P3763)*(V3763)))/W3763,0)</f>
        <v/>
      </c>
      <c r="Y3763">
        <f>IF(ABS(W3763)&gt;1E-12,((LTP3!$D$5)*((U3763)*(Q3763)-(R3763)*(V3763))-(LTP3!$D$6)*((S3763)*(Q3763)-(R3763)*(T3763))+(T3763)*((S3763)*(V3763)-(U3763)*(T3763)))/W3763,0)</f>
        <v/>
      </c>
      <c r="Z3763">
        <f>IF(ABS(W3763)&gt;1E-12,((LTP3!$D$5)*((P3763)*(V3763)-(U3763)*(R3763))-(S3763)*((S3763)*(V3763)-(U3763)*(T3763))+(LTP3!$D$6)*((S3763)*(R3763)-(P3763)*(T3763)))/W3763,0)</f>
        <v/>
      </c>
      <c r="AA3763">
        <f>LTP3!$D$7-X3763*LTP3!$D$6-Y3763*U3763-Z3763*V3763</f>
        <v/>
      </c>
      <c r="AB3763">
        <f>IF(AND(F3763,ABS(W3763)&gt;1E-12,Y3763&gt;0,Z3763&gt;0),AA3763,1E+300)</f>
        <v/>
      </c>
    </row>
    <row r="3764">
      <c r="A3764">
        <f>$I$3-$B$5+$B$5*1/10</f>
        <v/>
      </c>
      <c r="B3764">
        <f>$J$3-$B$5+$B$5*7/10</f>
        <v/>
      </c>
      <c r="C3764">
        <f>SUMPRODUCT(Calc!$K$3:$K$22*(Calc!$G$3:$G$22&lt;=A3764))</f>
        <v/>
      </c>
      <c r="D3764">
        <f>SUMPRODUCT(Calc!$K$3:$K$22*(Calc!$G$3:$G$22&gt;A3764)*(Calc!$G$3:$G$22&lt;B3764))</f>
        <v/>
      </c>
      <c r="E3764">
        <f>SUMPRODUCT(Calc!$K$3:$K$22*(Calc!$G$3:$G$22&gt;=B3764))</f>
        <v/>
      </c>
      <c r="F3764">
        <f>AND(k_n&gt;=5,B3764&gt;A3764+1E-9,C3764&gt;=2,D3764&gt;=1,E3764&gt;=2)</f>
        <v/>
      </c>
      <c r="G3764">
        <f>SUMPRODUCT(Calc!$K$3:$K$22*(Calc!$G$3:$G$22&gt;A3764)*(Calc!$G$3:$G$22-A3764))</f>
        <v/>
      </c>
      <c r="H3764">
        <f>SUMPRODUCT(Calc!$K$3:$K$22*(Calc!$G$3:$G$22&gt;B3764)*(Calc!$G$3:$G$22-B3764))</f>
        <v/>
      </c>
      <c r="I3764">
        <f>SUMPRODUCT(Calc!$K$3:$K$22*(Calc!$G$3:$G$22&gt;A3764)*(Calc!$G$3:$G$22-A3764)^2)</f>
        <v/>
      </c>
      <c r="J3764">
        <f>SUMPRODUCT(Calc!$K$3:$K$22*(Calc!$G$3:$G$22&gt;B3764)*(Calc!$G$3:$G$22-B3764)^2)</f>
        <v/>
      </c>
      <c r="K3764">
        <f>SUMPRODUCT(Calc!$K$3:$K$22*(Calc!$G$3:$G$22&gt;A3764)*(Calc!$G$3:$G$22-A3764)*(Calc!$G$3:$G$22&gt;B3764)*(Calc!$G$3:$G$22-B3764))</f>
        <v/>
      </c>
      <c r="L3764">
        <f>SUMPRODUCT(Calc!$K$3:$K$22*(Calc!$G$3:$G$22&gt;A3764)*(Calc!$G$3:$G$22-A3764)*Calc!$G$3:$G$22)</f>
        <v/>
      </c>
      <c r="M3764">
        <f>SUMPRODUCT(Calc!$K$3:$K$22*(Calc!$G$3:$G$22&gt;B3764)*(Calc!$G$3:$G$22-B3764)*Calc!$G$3:$G$22)</f>
        <v/>
      </c>
      <c r="N3764">
        <f>SUMPRODUCT(Calc!$K$3:$K$22*(Calc!$G$3:$G$22&gt;A3764)*(Calc!$G$3:$G$22-A3764)*Calc!$I$3:$I$22)</f>
        <v/>
      </c>
      <c r="O3764">
        <f>SUMPRODUCT(Calc!$K$3:$K$22*(Calc!$G$3:$G$22&gt;B3764)*(Calc!$G$3:$G$22-B3764)*Calc!$I$3:$I$22)</f>
        <v/>
      </c>
      <c r="P3764">
        <f>I3764-G3764^2/k_n</f>
        <v/>
      </c>
      <c r="Q3764">
        <f>J3764-H3764^2/k_n</f>
        <v/>
      </c>
      <c r="R3764">
        <f>K3764-G3764*H3764/k_n</f>
        <v/>
      </c>
      <c r="S3764">
        <f>L3764-LTP3!$D$3*G3764/k_n</f>
        <v/>
      </c>
      <c r="T3764">
        <f>M3764-LTP3!$D$3*H3764/k_n</f>
        <v/>
      </c>
      <c r="U3764">
        <f>N3764-G3764*LTP3!$D$4/k_n</f>
        <v/>
      </c>
      <c r="V3764">
        <f>O3764-H3764*LTP3!$D$4/k_n</f>
        <v/>
      </c>
      <c r="W3764">
        <f>((LTP3!$D$5)*((P3764)*(Q3764)-(R3764)*(R3764))-(S3764)*((S3764)*(Q3764)-(R3764)*(T3764))+(T3764)*((S3764)*(R3764)-(P3764)*(T3764)))</f>
        <v/>
      </c>
      <c r="X3764">
        <f>IF(ABS(W3764)&gt;1E-12,((LTP3!$D$6)*((P3764)*(Q3764)-(R3764)*(R3764))-(S3764)*((U3764)*(Q3764)-(R3764)*(V3764))+(T3764)*((U3764)*(R3764)-(P3764)*(V3764)))/W3764,0)</f>
        <v/>
      </c>
      <c r="Y3764">
        <f>IF(ABS(W3764)&gt;1E-12,((LTP3!$D$5)*((U3764)*(Q3764)-(R3764)*(V3764))-(LTP3!$D$6)*((S3764)*(Q3764)-(R3764)*(T3764))+(T3764)*((S3764)*(V3764)-(U3764)*(T3764)))/W3764,0)</f>
        <v/>
      </c>
      <c r="Z3764">
        <f>IF(ABS(W3764)&gt;1E-12,((LTP3!$D$5)*((P3764)*(V3764)-(U3764)*(R3764))-(S3764)*((S3764)*(V3764)-(U3764)*(T3764))+(LTP3!$D$6)*((S3764)*(R3764)-(P3764)*(T3764)))/W3764,0)</f>
        <v/>
      </c>
      <c r="AA3764">
        <f>LTP3!$D$7-X3764*LTP3!$D$6-Y3764*U3764-Z3764*V3764</f>
        <v/>
      </c>
      <c r="AB3764">
        <f>IF(AND(F3764,ABS(W3764)&gt;1E-12,Y3764&gt;0,Z3764&gt;0),AA3764,1E+300)</f>
        <v/>
      </c>
    </row>
    <row r="3765">
      <c r="A3765">
        <f>$I$3-$B$5+$B$5*1/10</f>
        <v/>
      </c>
      <c r="B3765">
        <f>$J$3-$B$5+$B$5*8/10</f>
        <v/>
      </c>
      <c r="C3765">
        <f>SUMPRODUCT(Calc!$K$3:$K$22*(Calc!$G$3:$G$22&lt;=A3765))</f>
        <v/>
      </c>
      <c r="D3765">
        <f>SUMPRODUCT(Calc!$K$3:$K$22*(Calc!$G$3:$G$22&gt;A3765)*(Calc!$G$3:$G$22&lt;B3765))</f>
        <v/>
      </c>
      <c r="E3765">
        <f>SUMPRODUCT(Calc!$K$3:$K$22*(Calc!$G$3:$G$22&gt;=B3765))</f>
        <v/>
      </c>
      <c r="F3765">
        <f>AND(k_n&gt;=5,B3765&gt;A3765+1E-9,C3765&gt;=2,D3765&gt;=1,E3765&gt;=2)</f>
        <v/>
      </c>
      <c r="G3765">
        <f>SUMPRODUCT(Calc!$K$3:$K$22*(Calc!$G$3:$G$22&gt;A3765)*(Calc!$G$3:$G$22-A3765))</f>
        <v/>
      </c>
      <c r="H3765">
        <f>SUMPRODUCT(Calc!$K$3:$K$22*(Calc!$G$3:$G$22&gt;B3765)*(Calc!$G$3:$G$22-B3765))</f>
        <v/>
      </c>
      <c r="I3765">
        <f>SUMPRODUCT(Calc!$K$3:$K$22*(Calc!$G$3:$G$22&gt;A3765)*(Calc!$G$3:$G$22-A3765)^2)</f>
        <v/>
      </c>
      <c r="J3765">
        <f>SUMPRODUCT(Calc!$K$3:$K$22*(Calc!$G$3:$G$22&gt;B3765)*(Calc!$G$3:$G$22-B3765)^2)</f>
        <v/>
      </c>
      <c r="K3765">
        <f>SUMPRODUCT(Calc!$K$3:$K$22*(Calc!$G$3:$G$22&gt;A3765)*(Calc!$G$3:$G$22-A3765)*(Calc!$G$3:$G$22&gt;B3765)*(Calc!$G$3:$G$22-B3765))</f>
        <v/>
      </c>
      <c r="L3765">
        <f>SUMPRODUCT(Calc!$K$3:$K$22*(Calc!$G$3:$G$22&gt;A3765)*(Calc!$G$3:$G$22-A3765)*Calc!$G$3:$G$22)</f>
        <v/>
      </c>
      <c r="M3765">
        <f>SUMPRODUCT(Calc!$K$3:$K$22*(Calc!$G$3:$G$22&gt;B3765)*(Calc!$G$3:$G$22-B3765)*Calc!$G$3:$G$22)</f>
        <v/>
      </c>
      <c r="N3765">
        <f>SUMPRODUCT(Calc!$K$3:$K$22*(Calc!$G$3:$G$22&gt;A3765)*(Calc!$G$3:$G$22-A3765)*Calc!$I$3:$I$22)</f>
        <v/>
      </c>
      <c r="O3765">
        <f>SUMPRODUCT(Calc!$K$3:$K$22*(Calc!$G$3:$G$22&gt;B3765)*(Calc!$G$3:$G$22-B3765)*Calc!$I$3:$I$22)</f>
        <v/>
      </c>
      <c r="P3765">
        <f>I3765-G3765^2/k_n</f>
        <v/>
      </c>
      <c r="Q3765">
        <f>J3765-H3765^2/k_n</f>
        <v/>
      </c>
      <c r="R3765">
        <f>K3765-G3765*H3765/k_n</f>
        <v/>
      </c>
      <c r="S3765">
        <f>L3765-LTP3!$D$3*G3765/k_n</f>
        <v/>
      </c>
      <c r="T3765">
        <f>M3765-LTP3!$D$3*H3765/k_n</f>
        <v/>
      </c>
      <c r="U3765">
        <f>N3765-G3765*LTP3!$D$4/k_n</f>
        <v/>
      </c>
      <c r="V3765">
        <f>O3765-H3765*LTP3!$D$4/k_n</f>
        <v/>
      </c>
      <c r="W3765">
        <f>((LTP3!$D$5)*((P3765)*(Q3765)-(R3765)*(R3765))-(S3765)*((S3765)*(Q3765)-(R3765)*(T3765))+(T3765)*((S3765)*(R3765)-(P3765)*(T3765)))</f>
        <v/>
      </c>
      <c r="X3765">
        <f>IF(ABS(W3765)&gt;1E-12,((LTP3!$D$6)*((P3765)*(Q3765)-(R3765)*(R3765))-(S3765)*((U3765)*(Q3765)-(R3765)*(V3765))+(T3765)*((U3765)*(R3765)-(P3765)*(V3765)))/W3765,0)</f>
        <v/>
      </c>
      <c r="Y3765">
        <f>IF(ABS(W3765)&gt;1E-12,((LTP3!$D$5)*((U3765)*(Q3765)-(R3765)*(V3765))-(LTP3!$D$6)*((S3765)*(Q3765)-(R3765)*(T3765))+(T3765)*((S3765)*(V3765)-(U3765)*(T3765)))/W3765,0)</f>
        <v/>
      </c>
      <c r="Z3765">
        <f>IF(ABS(W3765)&gt;1E-12,((LTP3!$D$5)*((P3765)*(V3765)-(U3765)*(R3765))-(S3765)*((S3765)*(V3765)-(U3765)*(T3765))+(LTP3!$D$6)*((S3765)*(R3765)-(P3765)*(T3765)))/W3765,0)</f>
        <v/>
      </c>
      <c r="AA3765">
        <f>LTP3!$D$7-X3765*LTP3!$D$6-Y3765*U3765-Z3765*V3765</f>
        <v/>
      </c>
      <c r="AB3765">
        <f>IF(AND(F3765,ABS(W3765)&gt;1E-12,Y3765&gt;0,Z3765&gt;0),AA3765,1E+300)</f>
        <v/>
      </c>
    </row>
    <row r="3766">
      <c r="A3766">
        <f>$I$3-$B$5+$B$5*1/10</f>
        <v/>
      </c>
      <c r="B3766">
        <f>$J$3-$B$5+$B$5*9/10</f>
        <v/>
      </c>
      <c r="C3766">
        <f>SUMPRODUCT(Calc!$K$3:$K$22*(Calc!$G$3:$G$22&lt;=A3766))</f>
        <v/>
      </c>
      <c r="D3766">
        <f>SUMPRODUCT(Calc!$K$3:$K$22*(Calc!$G$3:$G$22&gt;A3766)*(Calc!$G$3:$G$22&lt;B3766))</f>
        <v/>
      </c>
      <c r="E3766">
        <f>SUMPRODUCT(Calc!$K$3:$K$22*(Calc!$G$3:$G$22&gt;=B3766))</f>
        <v/>
      </c>
      <c r="F3766">
        <f>AND(k_n&gt;=5,B3766&gt;A3766+1E-9,C3766&gt;=2,D3766&gt;=1,E3766&gt;=2)</f>
        <v/>
      </c>
      <c r="G3766">
        <f>SUMPRODUCT(Calc!$K$3:$K$22*(Calc!$G$3:$G$22&gt;A3766)*(Calc!$G$3:$G$22-A3766))</f>
        <v/>
      </c>
      <c r="H3766">
        <f>SUMPRODUCT(Calc!$K$3:$K$22*(Calc!$G$3:$G$22&gt;B3766)*(Calc!$G$3:$G$22-B3766))</f>
        <v/>
      </c>
      <c r="I3766">
        <f>SUMPRODUCT(Calc!$K$3:$K$22*(Calc!$G$3:$G$22&gt;A3766)*(Calc!$G$3:$G$22-A3766)^2)</f>
        <v/>
      </c>
      <c r="J3766">
        <f>SUMPRODUCT(Calc!$K$3:$K$22*(Calc!$G$3:$G$22&gt;B3766)*(Calc!$G$3:$G$22-B3766)^2)</f>
        <v/>
      </c>
      <c r="K3766">
        <f>SUMPRODUCT(Calc!$K$3:$K$22*(Calc!$G$3:$G$22&gt;A3766)*(Calc!$G$3:$G$22-A3766)*(Calc!$G$3:$G$22&gt;B3766)*(Calc!$G$3:$G$22-B3766))</f>
        <v/>
      </c>
      <c r="L3766">
        <f>SUMPRODUCT(Calc!$K$3:$K$22*(Calc!$G$3:$G$22&gt;A3766)*(Calc!$G$3:$G$22-A3766)*Calc!$G$3:$G$22)</f>
        <v/>
      </c>
      <c r="M3766">
        <f>SUMPRODUCT(Calc!$K$3:$K$22*(Calc!$G$3:$G$22&gt;B3766)*(Calc!$G$3:$G$22-B3766)*Calc!$G$3:$G$22)</f>
        <v/>
      </c>
      <c r="N3766">
        <f>SUMPRODUCT(Calc!$K$3:$K$22*(Calc!$G$3:$G$22&gt;A3766)*(Calc!$G$3:$G$22-A3766)*Calc!$I$3:$I$22)</f>
        <v/>
      </c>
      <c r="O3766">
        <f>SUMPRODUCT(Calc!$K$3:$K$22*(Calc!$G$3:$G$22&gt;B3766)*(Calc!$G$3:$G$22-B3766)*Calc!$I$3:$I$22)</f>
        <v/>
      </c>
      <c r="P3766">
        <f>I3766-G3766^2/k_n</f>
        <v/>
      </c>
      <c r="Q3766">
        <f>J3766-H3766^2/k_n</f>
        <v/>
      </c>
      <c r="R3766">
        <f>K3766-G3766*H3766/k_n</f>
        <v/>
      </c>
      <c r="S3766">
        <f>L3766-LTP3!$D$3*G3766/k_n</f>
        <v/>
      </c>
      <c r="T3766">
        <f>M3766-LTP3!$D$3*H3766/k_n</f>
        <v/>
      </c>
      <c r="U3766">
        <f>N3766-G3766*LTP3!$D$4/k_n</f>
        <v/>
      </c>
      <c r="V3766">
        <f>O3766-H3766*LTP3!$D$4/k_n</f>
        <v/>
      </c>
      <c r="W3766">
        <f>((LTP3!$D$5)*((P3766)*(Q3766)-(R3766)*(R3766))-(S3766)*((S3766)*(Q3766)-(R3766)*(T3766))+(T3766)*((S3766)*(R3766)-(P3766)*(T3766)))</f>
        <v/>
      </c>
      <c r="X3766">
        <f>IF(ABS(W3766)&gt;1E-12,((LTP3!$D$6)*((P3766)*(Q3766)-(R3766)*(R3766))-(S3766)*((U3766)*(Q3766)-(R3766)*(V3766))+(T3766)*((U3766)*(R3766)-(P3766)*(V3766)))/W3766,0)</f>
        <v/>
      </c>
      <c r="Y3766">
        <f>IF(ABS(W3766)&gt;1E-12,((LTP3!$D$5)*((U3766)*(Q3766)-(R3766)*(V3766))-(LTP3!$D$6)*((S3766)*(Q3766)-(R3766)*(T3766))+(T3766)*((S3766)*(V3766)-(U3766)*(T3766)))/W3766,0)</f>
        <v/>
      </c>
      <c r="Z3766">
        <f>IF(ABS(W3766)&gt;1E-12,((LTP3!$D$5)*((P3766)*(V3766)-(U3766)*(R3766))-(S3766)*((S3766)*(V3766)-(U3766)*(T3766))+(LTP3!$D$6)*((S3766)*(R3766)-(P3766)*(T3766)))/W3766,0)</f>
        <v/>
      </c>
      <c r="AA3766">
        <f>LTP3!$D$7-X3766*LTP3!$D$6-Y3766*U3766-Z3766*V3766</f>
        <v/>
      </c>
      <c r="AB3766">
        <f>IF(AND(F3766,ABS(W3766)&gt;1E-12,Y3766&gt;0,Z3766&gt;0),AA3766,1E+300)</f>
        <v/>
      </c>
    </row>
    <row r="3767">
      <c r="A3767">
        <f>$I$3-$B$5+$B$5*1/10</f>
        <v/>
      </c>
      <c r="B3767">
        <f>$J$3-$B$5+$B$5*10/10</f>
        <v/>
      </c>
      <c r="C3767">
        <f>SUMPRODUCT(Calc!$K$3:$K$22*(Calc!$G$3:$G$22&lt;=A3767))</f>
        <v/>
      </c>
      <c r="D3767">
        <f>SUMPRODUCT(Calc!$K$3:$K$22*(Calc!$G$3:$G$22&gt;A3767)*(Calc!$G$3:$G$22&lt;B3767))</f>
        <v/>
      </c>
      <c r="E3767">
        <f>SUMPRODUCT(Calc!$K$3:$K$22*(Calc!$G$3:$G$22&gt;=B3767))</f>
        <v/>
      </c>
      <c r="F3767">
        <f>AND(k_n&gt;=5,B3767&gt;A3767+1E-9,C3767&gt;=2,D3767&gt;=1,E3767&gt;=2)</f>
        <v/>
      </c>
      <c r="G3767">
        <f>SUMPRODUCT(Calc!$K$3:$K$22*(Calc!$G$3:$G$22&gt;A3767)*(Calc!$G$3:$G$22-A3767))</f>
        <v/>
      </c>
      <c r="H3767">
        <f>SUMPRODUCT(Calc!$K$3:$K$22*(Calc!$G$3:$G$22&gt;B3767)*(Calc!$G$3:$G$22-B3767))</f>
        <v/>
      </c>
      <c r="I3767">
        <f>SUMPRODUCT(Calc!$K$3:$K$22*(Calc!$G$3:$G$22&gt;A3767)*(Calc!$G$3:$G$22-A3767)^2)</f>
        <v/>
      </c>
      <c r="J3767">
        <f>SUMPRODUCT(Calc!$K$3:$K$22*(Calc!$G$3:$G$22&gt;B3767)*(Calc!$G$3:$G$22-B3767)^2)</f>
        <v/>
      </c>
      <c r="K3767">
        <f>SUMPRODUCT(Calc!$K$3:$K$22*(Calc!$G$3:$G$22&gt;A3767)*(Calc!$G$3:$G$22-A3767)*(Calc!$G$3:$G$22&gt;B3767)*(Calc!$G$3:$G$22-B3767))</f>
        <v/>
      </c>
      <c r="L3767">
        <f>SUMPRODUCT(Calc!$K$3:$K$22*(Calc!$G$3:$G$22&gt;A3767)*(Calc!$G$3:$G$22-A3767)*Calc!$G$3:$G$22)</f>
        <v/>
      </c>
      <c r="M3767">
        <f>SUMPRODUCT(Calc!$K$3:$K$22*(Calc!$G$3:$G$22&gt;B3767)*(Calc!$G$3:$G$22-B3767)*Calc!$G$3:$G$22)</f>
        <v/>
      </c>
      <c r="N3767">
        <f>SUMPRODUCT(Calc!$K$3:$K$22*(Calc!$G$3:$G$22&gt;A3767)*(Calc!$G$3:$G$22-A3767)*Calc!$I$3:$I$22)</f>
        <v/>
      </c>
      <c r="O3767">
        <f>SUMPRODUCT(Calc!$K$3:$K$22*(Calc!$G$3:$G$22&gt;B3767)*(Calc!$G$3:$G$22-B3767)*Calc!$I$3:$I$22)</f>
        <v/>
      </c>
      <c r="P3767">
        <f>I3767-G3767^2/k_n</f>
        <v/>
      </c>
      <c r="Q3767">
        <f>J3767-H3767^2/k_n</f>
        <v/>
      </c>
      <c r="R3767">
        <f>K3767-G3767*H3767/k_n</f>
        <v/>
      </c>
      <c r="S3767">
        <f>L3767-LTP3!$D$3*G3767/k_n</f>
        <v/>
      </c>
      <c r="T3767">
        <f>M3767-LTP3!$D$3*H3767/k_n</f>
        <v/>
      </c>
      <c r="U3767">
        <f>N3767-G3767*LTP3!$D$4/k_n</f>
        <v/>
      </c>
      <c r="V3767">
        <f>O3767-H3767*LTP3!$D$4/k_n</f>
        <v/>
      </c>
      <c r="W3767">
        <f>((LTP3!$D$5)*((P3767)*(Q3767)-(R3767)*(R3767))-(S3767)*((S3767)*(Q3767)-(R3767)*(T3767))+(T3767)*((S3767)*(R3767)-(P3767)*(T3767)))</f>
        <v/>
      </c>
      <c r="X3767">
        <f>IF(ABS(W3767)&gt;1E-12,((LTP3!$D$6)*((P3767)*(Q3767)-(R3767)*(R3767))-(S3767)*((U3767)*(Q3767)-(R3767)*(V3767))+(T3767)*((U3767)*(R3767)-(P3767)*(V3767)))/W3767,0)</f>
        <v/>
      </c>
      <c r="Y3767">
        <f>IF(ABS(W3767)&gt;1E-12,((LTP3!$D$5)*((U3767)*(Q3767)-(R3767)*(V3767))-(LTP3!$D$6)*((S3767)*(Q3767)-(R3767)*(T3767))+(T3767)*((S3767)*(V3767)-(U3767)*(T3767)))/W3767,0)</f>
        <v/>
      </c>
      <c r="Z3767">
        <f>IF(ABS(W3767)&gt;1E-12,((LTP3!$D$5)*((P3767)*(V3767)-(U3767)*(R3767))-(S3767)*((S3767)*(V3767)-(U3767)*(T3767))+(LTP3!$D$6)*((S3767)*(R3767)-(P3767)*(T3767)))/W3767,0)</f>
        <v/>
      </c>
      <c r="AA3767">
        <f>LTP3!$D$7-X3767*LTP3!$D$6-Y3767*U3767-Z3767*V3767</f>
        <v/>
      </c>
      <c r="AB3767">
        <f>IF(AND(F3767,ABS(W3767)&gt;1E-12,Y3767&gt;0,Z3767&gt;0),AA3767,1E+300)</f>
        <v/>
      </c>
    </row>
    <row r="3768">
      <c r="A3768">
        <f>$I$3-$B$5+$B$5*1/10</f>
        <v/>
      </c>
      <c r="B3768">
        <f>$J$3-$B$5+$B$5*11/10</f>
        <v/>
      </c>
      <c r="C3768">
        <f>SUMPRODUCT(Calc!$K$3:$K$22*(Calc!$G$3:$G$22&lt;=A3768))</f>
        <v/>
      </c>
      <c r="D3768">
        <f>SUMPRODUCT(Calc!$K$3:$K$22*(Calc!$G$3:$G$22&gt;A3768)*(Calc!$G$3:$G$22&lt;B3768))</f>
        <v/>
      </c>
      <c r="E3768">
        <f>SUMPRODUCT(Calc!$K$3:$K$22*(Calc!$G$3:$G$22&gt;=B3768))</f>
        <v/>
      </c>
      <c r="F3768">
        <f>AND(k_n&gt;=5,B3768&gt;A3768+1E-9,C3768&gt;=2,D3768&gt;=1,E3768&gt;=2)</f>
        <v/>
      </c>
      <c r="G3768">
        <f>SUMPRODUCT(Calc!$K$3:$K$22*(Calc!$G$3:$G$22&gt;A3768)*(Calc!$G$3:$G$22-A3768))</f>
        <v/>
      </c>
      <c r="H3768">
        <f>SUMPRODUCT(Calc!$K$3:$K$22*(Calc!$G$3:$G$22&gt;B3768)*(Calc!$G$3:$G$22-B3768))</f>
        <v/>
      </c>
      <c r="I3768">
        <f>SUMPRODUCT(Calc!$K$3:$K$22*(Calc!$G$3:$G$22&gt;A3768)*(Calc!$G$3:$G$22-A3768)^2)</f>
        <v/>
      </c>
      <c r="J3768">
        <f>SUMPRODUCT(Calc!$K$3:$K$22*(Calc!$G$3:$G$22&gt;B3768)*(Calc!$G$3:$G$22-B3768)^2)</f>
        <v/>
      </c>
      <c r="K3768">
        <f>SUMPRODUCT(Calc!$K$3:$K$22*(Calc!$G$3:$G$22&gt;A3768)*(Calc!$G$3:$G$22-A3768)*(Calc!$G$3:$G$22&gt;B3768)*(Calc!$G$3:$G$22-B3768))</f>
        <v/>
      </c>
      <c r="L3768">
        <f>SUMPRODUCT(Calc!$K$3:$K$22*(Calc!$G$3:$G$22&gt;A3768)*(Calc!$G$3:$G$22-A3768)*Calc!$G$3:$G$22)</f>
        <v/>
      </c>
      <c r="M3768">
        <f>SUMPRODUCT(Calc!$K$3:$K$22*(Calc!$G$3:$G$22&gt;B3768)*(Calc!$G$3:$G$22-B3768)*Calc!$G$3:$G$22)</f>
        <v/>
      </c>
      <c r="N3768">
        <f>SUMPRODUCT(Calc!$K$3:$K$22*(Calc!$G$3:$G$22&gt;A3768)*(Calc!$G$3:$G$22-A3768)*Calc!$I$3:$I$22)</f>
        <v/>
      </c>
      <c r="O3768">
        <f>SUMPRODUCT(Calc!$K$3:$K$22*(Calc!$G$3:$G$22&gt;B3768)*(Calc!$G$3:$G$22-B3768)*Calc!$I$3:$I$22)</f>
        <v/>
      </c>
      <c r="P3768">
        <f>I3768-G3768^2/k_n</f>
        <v/>
      </c>
      <c r="Q3768">
        <f>J3768-H3768^2/k_n</f>
        <v/>
      </c>
      <c r="R3768">
        <f>K3768-G3768*H3768/k_n</f>
        <v/>
      </c>
      <c r="S3768">
        <f>L3768-LTP3!$D$3*G3768/k_n</f>
        <v/>
      </c>
      <c r="T3768">
        <f>M3768-LTP3!$D$3*H3768/k_n</f>
        <v/>
      </c>
      <c r="U3768">
        <f>N3768-G3768*LTP3!$D$4/k_n</f>
        <v/>
      </c>
      <c r="V3768">
        <f>O3768-H3768*LTP3!$D$4/k_n</f>
        <v/>
      </c>
      <c r="W3768">
        <f>((LTP3!$D$5)*((P3768)*(Q3768)-(R3768)*(R3768))-(S3768)*((S3768)*(Q3768)-(R3768)*(T3768))+(T3768)*((S3768)*(R3768)-(P3768)*(T3768)))</f>
        <v/>
      </c>
      <c r="X3768">
        <f>IF(ABS(W3768)&gt;1E-12,((LTP3!$D$6)*((P3768)*(Q3768)-(R3768)*(R3768))-(S3768)*((U3768)*(Q3768)-(R3768)*(V3768))+(T3768)*((U3768)*(R3768)-(P3768)*(V3768)))/W3768,0)</f>
        <v/>
      </c>
      <c r="Y3768">
        <f>IF(ABS(W3768)&gt;1E-12,((LTP3!$D$5)*((U3768)*(Q3768)-(R3768)*(V3768))-(LTP3!$D$6)*((S3768)*(Q3768)-(R3768)*(T3768))+(T3768)*((S3768)*(V3768)-(U3768)*(T3768)))/W3768,0)</f>
        <v/>
      </c>
      <c r="Z3768">
        <f>IF(ABS(W3768)&gt;1E-12,((LTP3!$D$5)*((P3768)*(V3768)-(U3768)*(R3768))-(S3768)*((S3768)*(V3768)-(U3768)*(T3768))+(LTP3!$D$6)*((S3768)*(R3768)-(P3768)*(T3768)))/W3768,0)</f>
        <v/>
      </c>
      <c r="AA3768">
        <f>LTP3!$D$7-X3768*LTP3!$D$6-Y3768*U3768-Z3768*V3768</f>
        <v/>
      </c>
      <c r="AB3768">
        <f>IF(AND(F3768,ABS(W3768)&gt;1E-12,Y3768&gt;0,Z3768&gt;0),AA3768,1E+300)</f>
        <v/>
      </c>
    </row>
    <row r="3769">
      <c r="A3769">
        <f>$I$3-$B$5+$B$5*1/10</f>
        <v/>
      </c>
      <c r="B3769">
        <f>$J$3-$B$5+$B$5*12/10</f>
        <v/>
      </c>
      <c r="C3769">
        <f>SUMPRODUCT(Calc!$K$3:$K$22*(Calc!$G$3:$G$22&lt;=A3769))</f>
        <v/>
      </c>
      <c r="D3769">
        <f>SUMPRODUCT(Calc!$K$3:$K$22*(Calc!$G$3:$G$22&gt;A3769)*(Calc!$G$3:$G$22&lt;B3769))</f>
        <v/>
      </c>
      <c r="E3769">
        <f>SUMPRODUCT(Calc!$K$3:$K$22*(Calc!$G$3:$G$22&gt;=B3769))</f>
        <v/>
      </c>
      <c r="F3769">
        <f>AND(k_n&gt;=5,B3769&gt;A3769+1E-9,C3769&gt;=2,D3769&gt;=1,E3769&gt;=2)</f>
        <v/>
      </c>
      <c r="G3769">
        <f>SUMPRODUCT(Calc!$K$3:$K$22*(Calc!$G$3:$G$22&gt;A3769)*(Calc!$G$3:$G$22-A3769))</f>
        <v/>
      </c>
      <c r="H3769">
        <f>SUMPRODUCT(Calc!$K$3:$K$22*(Calc!$G$3:$G$22&gt;B3769)*(Calc!$G$3:$G$22-B3769))</f>
        <v/>
      </c>
      <c r="I3769">
        <f>SUMPRODUCT(Calc!$K$3:$K$22*(Calc!$G$3:$G$22&gt;A3769)*(Calc!$G$3:$G$22-A3769)^2)</f>
        <v/>
      </c>
      <c r="J3769">
        <f>SUMPRODUCT(Calc!$K$3:$K$22*(Calc!$G$3:$G$22&gt;B3769)*(Calc!$G$3:$G$22-B3769)^2)</f>
        <v/>
      </c>
      <c r="K3769">
        <f>SUMPRODUCT(Calc!$K$3:$K$22*(Calc!$G$3:$G$22&gt;A3769)*(Calc!$G$3:$G$22-A3769)*(Calc!$G$3:$G$22&gt;B3769)*(Calc!$G$3:$G$22-B3769))</f>
        <v/>
      </c>
      <c r="L3769">
        <f>SUMPRODUCT(Calc!$K$3:$K$22*(Calc!$G$3:$G$22&gt;A3769)*(Calc!$G$3:$G$22-A3769)*Calc!$G$3:$G$22)</f>
        <v/>
      </c>
      <c r="M3769">
        <f>SUMPRODUCT(Calc!$K$3:$K$22*(Calc!$G$3:$G$22&gt;B3769)*(Calc!$G$3:$G$22-B3769)*Calc!$G$3:$G$22)</f>
        <v/>
      </c>
      <c r="N3769">
        <f>SUMPRODUCT(Calc!$K$3:$K$22*(Calc!$G$3:$G$22&gt;A3769)*(Calc!$G$3:$G$22-A3769)*Calc!$I$3:$I$22)</f>
        <v/>
      </c>
      <c r="O3769">
        <f>SUMPRODUCT(Calc!$K$3:$K$22*(Calc!$G$3:$G$22&gt;B3769)*(Calc!$G$3:$G$22-B3769)*Calc!$I$3:$I$22)</f>
        <v/>
      </c>
      <c r="P3769">
        <f>I3769-G3769^2/k_n</f>
        <v/>
      </c>
      <c r="Q3769">
        <f>J3769-H3769^2/k_n</f>
        <v/>
      </c>
      <c r="R3769">
        <f>K3769-G3769*H3769/k_n</f>
        <v/>
      </c>
      <c r="S3769">
        <f>L3769-LTP3!$D$3*G3769/k_n</f>
        <v/>
      </c>
      <c r="T3769">
        <f>M3769-LTP3!$D$3*H3769/k_n</f>
        <v/>
      </c>
      <c r="U3769">
        <f>N3769-G3769*LTP3!$D$4/k_n</f>
        <v/>
      </c>
      <c r="V3769">
        <f>O3769-H3769*LTP3!$D$4/k_n</f>
        <v/>
      </c>
      <c r="W3769">
        <f>((LTP3!$D$5)*((P3769)*(Q3769)-(R3769)*(R3769))-(S3769)*((S3769)*(Q3769)-(R3769)*(T3769))+(T3769)*((S3769)*(R3769)-(P3769)*(T3769)))</f>
        <v/>
      </c>
      <c r="X3769">
        <f>IF(ABS(W3769)&gt;1E-12,((LTP3!$D$6)*((P3769)*(Q3769)-(R3769)*(R3769))-(S3769)*((U3769)*(Q3769)-(R3769)*(V3769))+(T3769)*((U3769)*(R3769)-(P3769)*(V3769)))/W3769,0)</f>
        <v/>
      </c>
      <c r="Y3769">
        <f>IF(ABS(W3769)&gt;1E-12,((LTP3!$D$5)*((U3769)*(Q3769)-(R3769)*(V3769))-(LTP3!$D$6)*((S3769)*(Q3769)-(R3769)*(T3769))+(T3769)*((S3769)*(V3769)-(U3769)*(T3769)))/W3769,0)</f>
        <v/>
      </c>
      <c r="Z3769">
        <f>IF(ABS(W3769)&gt;1E-12,((LTP3!$D$5)*((P3769)*(V3769)-(U3769)*(R3769))-(S3769)*((S3769)*(V3769)-(U3769)*(T3769))+(LTP3!$D$6)*((S3769)*(R3769)-(P3769)*(T3769)))/W3769,0)</f>
        <v/>
      </c>
      <c r="AA3769">
        <f>LTP3!$D$7-X3769*LTP3!$D$6-Y3769*U3769-Z3769*V3769</f>
        <v/>
      </c>
      <c r="AB3769">
        <f>IF(AND(F3769,ABS(W3769)&gt;1E-12,Y3769&gt;0,Z3769&gt;0),AA3769,1E+300)</f>
        <v/>
      </c>
    </row>
    <row r="3770">
      <c r="A3770">
        <f>$I$3-$B$5+$B$5*1/10</f>
        <v/>
      </c>
      <c r="B3770">
        <f>$J$3-$B$5+$B$5*13/10</f>
        <v/>
      </c>
      <c r="C3770">
        <f>SUMPRODUCT(Calc!$K$3:$K$22*(Calc!$G$3:$G$22&lt;=A3770))</f>
        <v/>
      </c>
      <c r="D3770">
        <f>SUMPRODUCT(Calc!$K$3:$K$22*(Calc!$G$3:$G$22&gt;A3770)*(Calc!$G$3:$G$22&lt;B3770))</f>
        <v/>
      </c>
      <c r="E3770">
        <f>SUMPRODUCT(Calc!$K$3:$K$22*(Calc!$G$3:$G$22&gt;=B3770))</f>
        <v/>
      </c>
      <c r="F3770">
        <f>AND(k_n&gt;=5,B3770&gt;A3770+1E-9,C3770&gt;=2,D3770&gt;=1,E3770&gt;=2)</f>
        <v/>
      </c>
      <c r="G3770">
        <f>SUMPRODUCT(Calc!$K$3:$K$22*(Calc!$G$3:$G$22&gt;A3770)*(Calc!$G$3:$G$22-A3770))</f>
        <v/>
      </c>
      <c r="H3770">
        <f>SUMPRODUCT(Calc!$K$3:$K$22*(Calc!$G$3:$G$22&gt;B3770)*(Calc!$G$3:$G$22-B3770))</f>
        <v/>
      </c>
      <c r="I3770">
        <f>SUMPRODUCT(Calc!$K$3:$K$22*(Calc!$G$3:$G$22&gt;A3770)*(Calc!$G$3:$G$22-A3770)^2)</f>
        <v/>
      </c>
      <c r="J3770">
        <f>SUMPRODUCT(Calc!$K$3:$K$22*(Calc!$G$3:$G$22&gt;B3770)*(Calc!$G$3:$G$22-B3770)^2)</f>
        <v/>
      </c>
      <c r="K3770">
        <f>SUMPRODUCT(Calc!$K$3:$K$22*(Calc!$G$3:$G$22&gt;A3770)*(Calc!$G$3:$G$22-A3770)*(Calc!$G$3:$G$22&gt;B3770)*(Calc!$G$3:$G$22-B3770))</f>
        <v/>
      </c>
      <c r="L3770">
        <f>SUMPRODUCT(Calc!$K$3:$K$22*(Calc!$G$3:$G$22&gt;A3770)*(Calc!$G$3:$G$22-A3770)*Calc!$G$3:$G$22)</f>
        <v/>
      </c>
      <c r="M3770">
        <f>SUMPRODUCT(Calc!$K$3:$K$22*(Calc!$G$3:$G$22&gt;B3770)*(Calc!$G$3:$G$22-B3770)*Calc!$G$3:$G$22)</f>
        <v/>
      </c>
      <c r="N3770">
        <f>SUMPRODUCT(Calc!$K$3:$K$22*(Calc!$G$3:$G$22&gt;A3770)*(Calc!$G$3:$G$22-A3770)*Calc!$I$3:$I$22)</f>
        <v/>
      </c>
      <c r="O3770">
        <f>SUMPRODUCT(Calc!$K$3:$K$22*(Calc!$G$3:$G$22&gt;B3770)*(Calc!$G$3:$G$22-B3770)*Calc!$I$3:$I$22)</f>
        <v/>
      </c>
      <c r="P3770">
        <f>I3770-G3770^2/k_n</f>
        <v/>
      </c>
      <c r="Q3770">
        <f>J3770-H3770^2/k_n</f>
        <v/>
      </c>
      <c r="R3770">
        <f>K3770-G3770*H3770/k_n</f>
        <v/>
      </c>
      <c r="S3770">
        <f>L3770-LTP3!$D$3*G3770/k_n</f>
        <v/>
      </c>
      <c r="T3770">
        <f>M3770-LTP3!$D$3*H3770/k_n</f>
        <v/>
      </c>
      <c r="U3770">
        <f>N3770-G3770*LTP3!$D$4/k_n</f>
        <v/>
      </c>
      <c r="V3770">
        <f>O3770-H3770*LTP3!$D$4/k_n</f>
        <v/>
      </c>
      <c r="W3770">
        <f>((LTP3!$D$5)*((P3770)*(Q3770)-(R3770)*(R3770))-(S3770)*((S3770)*(Q3770)-(R3770)*(T3770))+(T3770)*((S3770)*(R3770)-(P3770)*(T3770)))</f>
        <v/>
      </c>
      <c r="X3770">
        <f>IF(ABS(W3770)&gt;1E-12,((LTP3!$D$6)*((P3770)*(Q3770)-(R3770)*(R3770))-(S3770)*((U3770)*(Q3770)-(R3770)*(V3770))+(T3770)*((U3770)*(R3770)-(P3770)*(V3770)))/W3770,0)</f>
        <v/>
      </c>
      <c r="Y3770">
        <f>IF(ABS(W3770)&gt;1E-12,((LTP3!$D$5)*((U3770)*(Q3770)-(R3770)*(V3770))-(LTP3!$D$6)*((S3770)*(Q3770)-(R3770)*(T3770))+(T3770)*((S3770)*(V3770)-(U3770)*(T3770)))/W3770,0)</f>
        <v/>
      </c>
      <c r="Z3770">
        <f>IF(ABS(W3770)&gt;1E-12,((LTP3!$D$5)*((P3770)*(V3770)-(U3770)*(R3770))-(S3770)*((S3770)*(V3770)-(U3770)*(T3770))+(LTP3!$D$6)*((S3770)*(R3770)-(P3770)*(T3770)))/W3770,0)</f>
        <v/>
      </c>
      <c r="AA3770">
        <f>LTP3!$D$7-X3770*LTP3!$D$6-Y3770*U3770-Z3770*V3770</f>
        <v/>
      </c>
      <c r="AB3770">
        <f>IF(AND(F3770,ABS(W3770)&gt;1E-12,Y3770&gt;0,Z3770&gt;0),AA3770,1E+300)</f>
        <v/>
      </c>
    </row>
    <row r="3771">
      <c r="A3771">
        <f>$I$3-$B$5+$B$5*1/10</f>
        <v/>
      </c>
      <c r="B3771">
        <f>$J$3-$B$5+$B$5*14/10</f>
        <v/>
      </c>
      <c r="C3771">
        <f>SUMPRODUCT(Calc!$K$3:$K$22*(Calc!$G$3:$G$22&lt;=A3771))</f>
        <v/>
      </c>
      <c r="D3771">
        <f>SUMPRODUCT(Calc!$K$3:$K$22*(Calc!$G$3:$G$22&gt;A3771)*(Calc!$G$3:$G$22&lt;B3771))</f>
        <v/>
      </c>
      <c r="E3771">
        <f>SUMPRODUCT(Calc!$K$3:$K$22*(Calc!$G$3:$G$22&gt;=B3771))</f>
        <v/>
      </c>
      <c r="F3771">
        <f>AND(k_n&gt;=5,B3771&gt;A3771+1E-9,C3771&gt;=2,D3771&gt;=1,E3771&gt;=2)</f>
        <v/>
      </c>
      <c r="G3771">
        <f>SUMPRODUCT(Calc!$K$3:$K$22*(Calc!$G$3:$G$22&gt;A3771)*(Calc!$G$3:$G$22-A3771))</f>
        <v/>
      </c>
      <c r="H3771">
        <f>SUMPRODUCT(Calc!$K$3:$K$22*(Calc!$G$3:$G$22&gt;B3771)*(Calc!$G$3:$G$22-B3771))</f>
        <v/>
      </c>
      <c r="I3771">
        <f>SUMPRODUCT(Calc!$K$3:$K$22*(Calc!$G$3:$G$22&gt;A3771)*(Calc!$G$3:$G$22-A3771)^2)</f>
        <v/>
      </c>
      <c r="J3771">
        <f>SUMPRODUCT(Calc!$K$3:$K$22*(Calc!$G$3:$G$22&gt;B3771)*(Calc!$G$3:$G$22-B3771)^2)</f>
        <v/>
      </c>
      <c r="K3771">
        <f>SUMPRODUCT(Calc!$K$3:$K$22*(Calc!$G$3:$G$22&gt;A3771)*(Calc!$G$3:$G$22-A3771)*(Calc!$G$3:$G$22&gt;B3771)*(Calc!$G$3:$G$22-B3771))</f>
        <v/>
      </c>
      <c r="L3771">
        <f>SUMPRODUCT(Calc!$K$3:$K$22*(Calc!$G$3:$G$22&gt;A3771)*(Calc!$G$3:$G$22-A3771)*Calc!$G$3:$G$22)</f>
        <v/>
      </c>
      <c r="M3771">
        <f>SUMPRODUCT(Calc!$K$3:$K$22*(Calc!$G$3:$G$22&gt;B3771)*(Calc!$G$3:$G$22-B3771)*Calc!$G$3:$G$22)</f>
        <v/>
      </c>
      <c r="N3771">
        <f>SUMPRODUCT(Calc!$K$3:$K$22*(Calc!$G$3:$G$22&gt;A3771)*(Calc!$G$3:$G$22-A3771)*Calc!$I$3:$I$22)</f>
        <v/>
      </c>
      <c r="O3771">
        <f>SUMPRODUCT(Calc!$K$3:$K$22*(Calc!$G$3:$G$22&gt;B3771)*(Calc!$G$3:$G$22-B3771)*Calc!$I$3:$I$22)</f>
        <v/>
      </c>
      <c r="P3771">
        <f>I3771-G3771^2/k_n</f>
        <v/>
      </c>
      <c r="Q3771">
        <f>J3771-H3771^2/k_n</f>
        <v/>
      </c>
      <c r="R3771">
        <f>K3771-G3771*H3771/k_n</f>
        <v/>
      </c>
      <c r="S3771">
        <f>L3771-LTP3!$D$3*G3771/k_n</f>
        <v/>
      </c>
      <c r="T3771">
        <f>M3771-LTP3!$D$3*H3771/k_n</f>
        <v/>
      </c>
      <c r="U3771">
        <f>N3771-G3771*LTP3!$D$4/k_n</f>
        <v/>
      </c>
      <c r="V3771">
        <f>O3771-H3771*LTP3!$D$4/k_n</f>
        <v/>
      </c>
      <c r="W3771">
        <f>((LTP3!$D$5)*((P3771)*(Q3771)-(R3771)*(R3771))-(S3771)*((S3771)*(Q3771)-(R3771)*(T3771))+(T3771)*((S3771)*(R3771)-(P3771)*(T3771)))</f>
        <v/>
      </c>
      <c r="X3771">
        <f>IF(ABS(W3771)&gt;1E-12,((LTP3!$D$6)*((P3771)*(Q3771)-(R3771)*(R3771))-(S3771)*((U3771)*(Q3771)-(R3771)*(V3771))+(T3771)*((U3771)*(R3771)-(P3771)*(V3771)))/W3771,0)</f>
        <v/>
      </c>
      <c r="Y3771">
        <f>IF(ABS(W3771)&gt;1E-12,((LTP3!$D$5)*((U3771)*(Q3771)-(R3771)*(V3771))-(LTP3!$D$6)*((S3771)*(Q3771)-(R3771)*(T3771))+(T3771)*((S3771)*(V3771)-(U3771)*(T3771)))/W3771,0)</f>
        <v/>
      </c>
      <c r="Z3771">
        <f>IF(ABS(W3771)&gt;1E-12,((LTP3!$D$5)*((P3771)*(V3771)-(U3771)*(R3771))-(S3771)*((S3771)*(V3771)-(U3771)*(T3771))+(LTP3!$D$6)*((S3771)*(R3771)-(P3771)*(T3771)))/W3771,0)</f>
        <v/>
      </c>
      <c r="AA3771">
        <f>LTP3!$D$7-X3771*LTP3!$D$6-Y3771*U3771-Z3771*V3771</f>
        <v/>
      </c>
      <c r="AB3771">
        <f>IF(AND(F3771,ABS(W3771)&gt;1E-12,Y3771&gt;0,Z3771&gt;0),AA3771,1E+300)</f>
        <v/>
      </c>
    </row>
    <row r="3772">
      <c r="A3772">
        <f>$I$3-$B$5+$B$5*1/10</f>
        <v/>
      </c>
      <c r="B3772">
        <f>$J$3-$B$5+$B$5*15/10</f>
        <v/>
      </c>
      <c r="C3772">
        <f>SUMPRODUCT(Calc!$K$3:$K$22*(Calc!$G$3:$G$22&lt;=A3772))</f>
        <v/>
      </c>
      <c r="D3772">
        <f>SUMPRODUCT(Calc!$K$3:$K$22*(Calc!$G$3:$G$22&gt;A3772)*(Calc!$G$3:$G$22&lt;B3772))</f>
        <v/>
      </c>
      <c r="E3772">
        <f>SUMPRODUCT(Calc!$K$3:$K$22*(Calc!$G$3:$G$22&gt;=B3772))</f>
        <v/>
      </c>
      <c r="F3772">
        <f>AND(k_n&gt;=5,B3772&gt;A3772+1E-9,C3772&gt;=2,D3772&gt;=1,E3772&gt;=2)</f>
        <v/>
      </c>
      <c r="G3772">
        <f>SUMPRODUCT(Calc!$K$3:$K$22*(Calc!$G$3:$G$22&gt;A3772)*(Calc!$G$3:$G$22-A3772))</f>
        <v/>
      </c>
      <c r="H3772">
        <f>SUMPRODUCT(Calc!$K$3:$K$22*(Calc!$G$3:$G$22&gt;B3772)*(Calc!$G$3:$G$22-B3772))</f>
        <v/>
      </c>
      <c r="I3772">
        <f>SUMPRODUCT(Calc!$K$3:$K$22*(Calc!$G$3:$G$22&gt;A3772)*(Calc!$G$3:$G$22-A3772)^2)</f>
        <v/>
      </c>
      <c r="J3772">
        <f>SUMPRODUCT(Calc!$K$3:$K$22*(Calc!$G$3:$G$22&gt;B3772)*(Calc!$G$3:$G$22-B3772)^2)</f>
        <v/>
      </c>
      <c r="K3772">
        <f>SUMPRODUCT(Calc!$K$3:$K$22*(Calc!$G$3:$G$22&gt;A3772)*(Calc!$G$3:$G$22-A3772)*(Calc!$G$3:$G$22&gt;B3772)*(Calc!$G$3:$G$22-B3772))</f>
        <v/>
      </c>
      <c r="L3772">
        <f>SUMPRODUCT(Calc!$K$3:$K$22*(Calc!$G$3:$G$22&gt;A3772)*(Calc!$G$3:$G$22-A3772)*Calc!$G$3:$G$22)</f>
        <v/>
      </c>
      <c r="M3772">
        <f>SUMPRODUCT(Calc!$K$3:$K$22*(Calc!$G$3:$G$22&gt;B3772)*(Calc!$G$3:$G$22-B3772)*Calc!$G$3:$G$22)</f>
        <v/>
      </c>
      <c r="N3772">
        <f>SUMPRODUCT(Calc!$K$3:$K$22*(Calc!$G$3:$G$22&gt;A3772)*(Calc!$G$3:$G$22-A3772)*Calc!$I$3:$I$22)</f>
        <v/>
      </c>
      <c r="O3772">
        <f>SUMPRODUCT(Calc!$K$3:$K$22*(Calc!$G$3:$G$22&gt;B3772)*(Calc!$G$3:$G$22-B3772)*Calc!$I$3:$I$22)</f>
        <v/>
      </c>
      <c r="P3772">
        <f>I3772-G3772^2/k_n</f>
        <v/>
      </c>
      <c r="Q3772">
        <f>J3772-H3772^2/k_n</f>
        <v/>
      </c>
      <c r="R3772">
        <f>K3772-G3772*H3772/k_n</f>
        <v/>
      </c>
      <c r="S3772">
        <f>L3772-LTP3!$D$3*G3772/k_n</f>
        <v/>
      </c>
      <c r="T3772">
        <f>M3772-LTP3!$D$3*H3772/k_n</f>
        <v/>
      </c>
      <c r="U3772">
        <f>N3772-G3772*LTP3!$D$4/k_n</f>
        <v/>
      </c>
      <c r="V3772">
        <f>O3772-H3772*LTP3!$D$4/k_n</f>
        <v/>
      </c>
      <c r="W3772">
        <f>((LTP3!$D$5)*((P3772)*(Q3772)-(R3772)*(R3772))-(S3772)*((S3772)*(Q3772)-(R3772)*(T3772))+(T3772)*((S3772)*(R3772)-(P3772)*(T3772)))</f>
        <v/>
      </c>
      <c r="X3772">
        <f>IF(ABS(W3772)&gt;1E-12,((LTP3!$D$6)*((P3772)*(Q3772)-(R3772)*(R3772))-(S3772)*((U3772)*(Q3772)-(R3772)*(V3772))+(T3772)*((U3772)*(R3772)-(P3772)*(V3772)))/W3772,0)</f>
        <v/>
      </c>
      <c r="Y3772">
        <f>IF(ABS(W3772)&gt;1E-12,((LTP3!$D$5)*((U3772)*(Q3772)-(R3772)*(V3772))-(LTP3!$D$6)*((S3772)*(Q3772)-(R3772)*(T3772))+(T3772)*((S3772)*(V3772)-(U3772)*(T3772)))/W3772,0)</f>
        <v/>
      </c>
      <c r="Z3772">
        <f>IF(ABS(W3772)&gt;1E-12,((LTP3!$D$5)*((P3772)*(V3772)-(U3772)*(R3772))-(S3772)*((S3772)*(V3772)-(U3772)*(T3772))+(LTP3!$D$6)*((S3772)*(R3772)-(P3772)*(T3772)))/W3772,0)</f>
        <v/>
      </c>
      <c r="AA3772">
        <f>LTP3!$D$7-X3772*LTP3!$D$6-Y3772*U3772-Z3772*V3772</f>
        <v/>
      </c>
      <c r="AB3772">
        <f>IF(AND(F3772,ABS(W3772)&gt;1E-12,Y3772&gt;0,Z3772&gt;0),AA3772,1E+300)</f>
        <v/>
      </c>
    </row>
    <row r="3773">
      <c r="A3773">
        <f>$I$3-$B$5+$B$5*1/10</f>
        <v/>
      </c>
      <c r="B3773">
        <f>$J$3-$B$5+$B$5*16/10</f>
        <v/>
      </c>
      <c r="C3773">
        <f>SUMPRODUCT(Calc!$K$3:$K$22*(Calc!$G$3:$G$22&lt;=A3773))</f>
        <v/>
      </c>
      <c r="D3773">
        <f>SUMPRODUCT(Calc!$K$3:$K$22*(Calc!$G$3:$G$22&gt;A3773)*(Calc!$G$3:$G$22&lt;B3773))</f>
        <v/>
      </c>
      <c r="E3773">
        <f>SUMPRODUCT(Calc!$K$3:$K$22*(Calc!$G$3:$G$22&gt;=B3773))</f>
        <v/>
      </c>
      <c r="F3773">
        <f>AND(k_n&gt;=5,B3773&gt;A3773+1E-9,C3773&gt;=2,D3773&gt;=1,E3773&gt;=2)</f>
        <v/>
      </c>
      <c r="G3773">
        <f>SUMPRODUCT(Calc!$K$3:$K$22*(Calc!$G$3:$G$22&gt;A3773)*(Calc!$G$3:$G$22-A3773))</f>
        <v/>
      </c>
      <c r="H3773">
        <f>SUMPRODUCT(Calc!$K$3:$K$22*(Calc!$G$3:$G$22&gt;B3773)*(Calc!$G$3:$G$22-B3773))</f>
        <v/>
      </c>
      <c r="I3773">
        <f>SUMPRODUCT(Calc!$K$3:$K$22*(Calc!$G$3:$G$22&gt;A3773)*(Calc!$G$3:$G$22-A3773)^2)</f>
        <v/>
      </c>
      <c r="J3773">
        <f>SUMPRODUCT(Calc!$K$3:$K$22*(Calc!$G$3:$G$22&gt;B3773)*(Calc!$G$3:$G$22-B3773)^2)</f>
        <v/>
      </c>
      <c r="K3773">
        <f>SUMPRODUCT(Calc!$K$3:$K$22*(Calc!$G$3:$G$22&gt;A3773)*(Calc!$G$3:$G$22-A3773)*(Calc!$G$3:$G$22&gt;B3773)*(Calc!$G$3:$G$22-B3773))</f>
        <v/>
      </c>
      <c r="L3773">
        <f>SUMPRODUCT(Calc!$K$3:$K$22*(Calc!$G$3:$G$22&gt;A3773)*(Calc!$G$3:$G$22-A3773)*Calc!$G$3:$G$22)</f>
        <v/>
      </c>
      <c r="M3773">
        <f>SUMPRODUCT(Calc!$K$3:$K$22*(Calc!$G$3:$G$22&gt;B3773)*(Calc!$G$3:$G$22-B3773)*Calc!$G$3:$G$22)</f>
        <v/>
      </c>
      <c r="N3773">
        <f>SUMPRODUCT(Calc!$K$3:$K$22*(Calc!$G$3:$G$22&gt;A3773)*(Calc!$G$3:$G$22-A3773)*Calc!$I$3:$I$22)</f>
        <v/>
      </c>
      <c r="O3773">
        <f>SUMPRODUCT(Calc!$K$3:$K$22*(Calc!$G$3:$G$22&gt;B3773)*(Calc!$G$3:$G$22-B3773)*Calc!$I$3:$I$22)</f>
        <v/>
      </c>
      <c r="P3773">
        <f>I3773-G3773^2/k_n</f>
        <v/>
      </c>
      <c r="Q3773">
        <f>J3773-H3773^2/k_n</f>
        <v/>
      </c>
      <c r="R3773">
        <f>K3773-G3773*H3773/k_n</f>
        <v/>
      </c>
      <c r="S3773">
        <f>L3773-LTP3!$D$3*G3773/k_n</f>
        <v/>
      </c>
      <c r="T3773">
        <f>M3773-LTP3!$D$3*H3773/k_n</f>
        <v/>
      </c>
      <c r="U3773">
        <f>N3773-G3773*LTP3!$D$4/k_n</f>
        <v/>
      </c>
      <c r="V3773">
        <f>O3773-H3773*LTP3!$D$4/k_n</f>
        <v/>
      </c>
      <c r="W3773">
        <f>((LTP3!$D$5)*((P3773)*(Q3773)-(R3773)*(R3773))-(S3773)*((S3773)*(Q3773)-(R3773)*(T3773))+(T3773)*((S3773)*(R3773)-(P3773)*(T3773)))</f>
        <v/>
      </c>
      <c r="X3773">
        <f>IF(ABS(W3773)&gt;1E-12,((LTP3!$D$6)*((P3773)*(Q3773)-(R3773)*(R3773))-(S3773)*((U3773)*(Q3773)-(R3773)*(V3773))+(T3773)*((U3773)*(R3773)-(P3773)*(V3773)))/W3773,0)</f>
        <v/>
      </c>
      <c r="Y3773">
        <f>IF(ABS(W3773)&gt;1E-12,((LTP3!$D$5)*((U3773)*(Q3773)-(R3773)*(V3773))-(LTP3!$D$6)*((S3773)*(Q3773)-(R3773)*(T3773))+(T3773)*((S3773)*(V3773)-(U3773)*(T3773)))/W3773,0)</f>
        <v/>
      </c>
      <c r="Z3773">
        <f>IF(ABS(W3773)&gt;1E-12,((LTP3!$D$5)*((P3773)*(V3773)-(U3773)*(R3773))-(S3773)*((S3773)*(V3773)-(U3773)*(T3773))+(LTP3!$D$6)*((S3773)*(R3773)-(P3773)*(T3773)))/W3773,0)</f>
        <v/>
      </c>
      <c r="AA3773">
        <f>LTP3!$D$7-X3773*LTP3!$D$6-Y3773*U3773-Z3773*V3773</f>
        <v/>
      </c>
      <c r="AB3773">
        <f>IF(AND(F3773,ABS(W3773)&gt;1E-12,Y3773&gt;0,Z3773&gt;0),AA3773,1E+300)</f>
        <v/>
      </c>
    </row>
    <row r="3774">
      <c r="A3774">
        <f>$I$3-$B$5+$B$5*1/10</f>
        <v/>
      </c>
      <c r="B3774">
        <f>$J$3-$B$5+$B$5*17/10</f>
        <v/>
      </c>
      <c r="C3774">
        <f>SUMPRODUCT(Calc!$K$3:$K$22*(Calc!$G$3:$G$22&lt;=A3774))</f>
        <v/>
      </c>
      <c r="D3774">
        <f>SUMPRODUCT(Calc!$K$3:$K$22*(Calc!$G$3:$G$22&gt;A3774)*(Calc!$G$3:$G$22&lt;B3774))</f>
        <v/>
      </c>
      <c r="E3774">
        <f>SUMPRODUCT(Calc!$K$3:$K$22*(Calc!$G$3:$G$22&gt;=B3774))</f>
        <v/>
      </c>
      <c r="F3774">
        <f>AND(k_n&gt;=5,B3774&gt;A3774+1E-9,C3774&gt;=2,D3774&gt;=1,E3774&gt;=2)</f>
        <v/>
      </c>
      <c r="G3774">
        <f>SUMPRODUCT(Calc!$K$3:$K$22*(Calc!$G$3:$G$22&gt;A3774)*(Calc!$G$3:$G$22-A3774))</f>
        <v/>
      </c>
      <c r="H3774">
        <f>SUMPRODUCT(Calc!$K$3:$K$22*(Calc!$G$3:$G$22&gt;B3774)*(Calc!$G$3:$G$22-B3774))</f>
        <v/>
      </c>
      <c r="I3774">
        <f>SUMPRODUCT(Calc!$K$3:$K$22*(Calc!$G$3:$G$22&gt;A3774)*(Calc!$G$3:$G$22-A3774)^2)</f>
        <v/>
      </c>
      <c r="J3774">
        <f>SUMPRODUCT(Calc!$K$3:$K$22*(Calc!$G$3:$G$22&gt;B3774)*(Calc!$G$3:$G$22-B3774)^2)</f>
        <v/>
      </c>
      <c r="K3774">
        <f>SUMPRODUCT(Calc!$K$3:$K$22*(Calc!$G$3:$G$22&gt;A3774)*(Calc!$G$3:$G$22-A3774)*(Calc!$G$3:$G$22&gt;B3774)*(Calc!$G$3:$G$22-B3774))</f>
        <v/>
      </c>
      <c r="L3774">
        <f>SUMPRODUCT(Calc!$K$3:$K$22*(Calc!$G$3:$G$22&gt;A3774)*(Calc!$G$3:$G$22-A3774)*Calc!$G$3:$G$22)</f>
        <v/>
      </c>
      <c r="M3774">
        <f>SUMPRODUCT(Calc!$K$3:$K$22*(Calc!$G$3:$G$22&gt;B3774)*(Calc!$G$3:$G$22-B3774)*Calc!$G$3:$G$22)</f>
        <v/>
      </c>
      <c r="N3774">
        <f>SUMPRODUCT(Calc!$K$3:$K$22*(Calc!$G$3:$G$22&gt;A3774)*(Calc!$G$3:$G$22-A3774)*Calc!$I$3:$I$22)</f>
        <v/>
      </c>
      <c r="O3774">
        <f>SUMPRODUCT(Calc!$K$3:$K$22*(Calc!$G$3:$G$22&gt;B3774)*(Calc!$G$3:$G$22-B3774)*Calc!$I$3:$I$22)</f>
        <v/>
      </c>
      <c r="P3774">
        <f>I3774-G3774^2/k_n</f>
        <v/>
      </c>
      <c r="Q3774">
        <f>J3774-H3774^2/k_n</f>
        <v/>
      </c>
      <c r="R3774">
        <f>K3774-G3774*H3774/k_n</f>
        <v/>
      </c>
      <c r="S3774">
        <f>L3774-LTP3!$D$3*G3774/k_n</f>
        <v/>
      </c>
      <c r="T3774">
        <f>M3774-LTP3!$D$3*H3774/k_n</f>
        <v/>
      </c>
      <c r="U3774">
        <f>N3774-G3774*LTP3!$D$4/k_n</f>
        <v/>
      </c>
      <c r="V3774">
        <f>O3774-H3774*LTP3!$D$4/k_n</f>
        <v/>
      </c>
      <c r="W3774">
        <f>((LTP3!$D$5)*((P3774)*(Q3774)-(R3774)*(R3774))-(S3774)*((S3774)*(Q3774)-(R3774)*(T3774))+(T3774)*((S3774)*(R3774)-(P3774)*(T3774)))</f>
        <v/>
      </c>
      <c r="X3774">
        <f>IF(ABS(W3774)&gt;1E-12,((LTP3!$D$6)*((P3774)*(Q3774)-(R3774)*(R3774))-(S3774)*((U3774)*(Q3774)-(R3774)*(V3774))+(T3774)*((U3774)*(R3774)-(P3774)*(V3774)))/W3774,0)</f>
        <v/>
      </c>
      <c r="Y3774">
        <f>IF(ABS(W3774)&gt;1E-12,((LTP3!$D$5)*((U3774)*(Q3774)-(R3774)*(V3774))-(LTP3!$D$6)*((S3774)*(Q3774)-(R3774)*(T3774))+(T3774)*((S3774)*(V3774)-(U3774)*(T3774)))/W3774,0)</f>
        <v/>
      </c>
      <c r="Z3774">
        <f>IF(ABS(W3774)&gt;1E-12,((LTP3!$D$5)*((P3774)*(V3774)-(U3774)*(R3774))-(S3774)*((S3774)*(V3774)-(U3774)*(T3774))+(LTP3!$D$6)*((S3774)*(R3774)-(P3774)*(T3774)))/W3774,0)</f>
        <v/>
      </c>
      <c r="AA3774">
        <f>LTP3!$D$7-X3774*LTP3!$D$6-Y3774*U3774-Z3774*V3774</f>
        <v/>
      </c>
      <c r="AB3774">
        <f>IF(AND(F3774,ABS(W3774)&gt;1E-12,Y3774&gt;0,Z3774&gt;0),AA3774,1E+300)</f>
        <v/>
      </c>
    </row>
    <row r="3775">
      <c r="A3775">
        <f>$I$3-$B$5+$B$5*1/10</f>
        <v/>
      </c>
      <c r="B3775">
        <f>$J$3-$B$5+$B$5*18/10</f>
        <v/>
      </c>
      <c r="C3775">
        <f>SUMPRODUCT(Calc!$K$3:$K$22*(Calc!$G$3:$G$22&lt;=A3775))</f>
        <v/>
      </c>
      <c r="D3775">
        <f>SUMPRODUCT(Calc!$K$3:$K$22*(Calc!$G$3:$G$22&gt;A3775)*(Calc!$G$3:$G$22&lt;B3775))</f>
        <v/>
      </c>
      <c r="E3775">
        <f>SUMPRODUCT(Calc!$K$3:$K$22*(Calc!$G$3:$G$22&gt;=B3775))</f>
        <v/>
      </c>
      <c r="F3775">
        <f>AND(k_n&gt;=5,B3775&gt;A3775+1E-9,C3775&gt;=2,D3775&gt;=1,E3775&gt;=2)</f>
        <v/>
      </c>
      <c r="G3775">
        <f>SUMPRODUCT(Calc!$K$3:$K$22*(Calc!$G$3:$G$22&gt;A3775)*(Calc!$G$3:$G$22-A3775))</f>
        <v/>
      </c>
      <c r="H3775">
        <f>SUMPRODUCT(Calc!$K$3:$K$22*(Calc!$G$3:$G$22&gt;B3775)*(Calc!$G$3:$G$22-B3775))</f>
        <v/>
      </c>
      <c r="I3775">
        <f>SUMPRODUCT(Calc!$K$3:$K$22*(Calc!$G$3:$G$22&gt;A3775)*(Calc!$G$3:$G$22-A3775)^2)</f>
        <v/>
      </c>
      <c r="J3775">
        <f>SUMPRODUCT(Calc!$K$3:$K$22*(Calc!$G$3:$G$22&gt;B3775)*(Calc!$G$3:$G$22-B3775)^2)</f>
        <v/>
      </c>
      <c r="K3775">
        <f>SUMPRODUCT(Calc!$K$3:$K$22*(Calc!$G$3:$G$22&gt;A3775)*(Calc!$G$3:$G$22-A3775)*(Calc!$G$3:$G$22&gt;B3775)*(Calc!$G$3:$G$22-B3775))</f>
        <v/>
      </c>
      <c r="L3775">
        <f>SUMPRODUCT(Calc!$K$3:$K$22*(Calc!$G$3:$G$22&gt;A3775)*(Calc!$G$3:$G$22-A3775)*Calc!$G$3:$G$22)</f>
        <v/>
      </c>
      <c r="M3775">
        <f>SUMPRODUCT(Calc!$K$3:$K$22*(Calc!$G$3:$G$22&gt;B3775)*(Calc!$G$3:$G$22-B3775)*Calc!$G$3:$G$22)</f>
        <v/>
      </c>
      <c r="N3775">
        <f>SUMPRODUCT(Calc!$K$3:$K$22*(Calc!$G$3:$G$22&gt;A3775)*(Calc!$G$3:$G$22-A3775)*Calc!$I$3:$I$22)</f>
        <v/>
      </c>
      <c r="O3775">
        <f>SUMPRODUCT(Calc!$K$3:$K$22*(Calc!$G$3:$G$22&gt;B3775)*(Calc!$G$3:$G$22-B3775)*Calc!$I$3:$I$22)</f>
        <v/>
      </c>
      <c r="P3775">
        <f>I3775-G3775^2/k_n</f>
        <v/>
      </c>
      <c r="Q3775">
        <f>J3775-H3775^2/k_n</f>
        <v/>
      </c>
      <c r="R3775">
        <f>K3775-G3775*H3775/k_n</f>
        <v/>
      </c>
      <c r="S3775">
        <f>L3775-LTP3!$D$3*G3775/k_n</f>
        <v/>
      </c>
      <c r="T3775">
        <f>M3775-LTP3!$D$3*H3775/k_n</f>
        <v/>
      </c>
      <c r="U3775">
        <f>N3775-G3775*LTP3!$D$4/k_n</f>
        <v/>
      </c>
      <c r="V3775">
        <f>O3775-H3775*LTP3!$D$4/k_n</f>
        <v/>
      </c>
      <c r="W3775">
        <f>((LTP3!$D$5)*((P3775)*(Q3775)-(R3775)*(R3775))-(S3775)*((S3775)*(Q3775)-(R3775)*(T3775))+(T3775)*((S3775)*(R3775)-(P3775)*(T3775)))</f>
        <v/>
      </c>
      <c r="X3775">
        <f>IF(ABS(W3775)&gt;1E-12,((LTP3!$D$6)*((P3775)*(Q3775)-(R3775)*(R3775))-(S3775)*((U3775)*(Q3775)-(R3775)*(V3775))+(T3775)*((U3775)*(R3775)-(P3775)*(V3775)))/W3775,0)</f>
        <v/>
      </c>
      <c r="Y3775">
        <f>IF(ABS(W3775)&gt;1E-12,((LTP3!$D$5)*((U3775)*(Q3775)-(R3775)*(V3775))-(LTP3!$D$6)*((S3775)*(Q3775)-(R3775)*(T3775))+(T3775)*((S3775)*(V3775)-(U3775)*(T3775)))/W3775,0)</f>
        <v/>
      </c>
      <c r="Z3775">
        <f>IF(ABS(W3775)&gt;1E-12,((LTP3!$D$5)*((P3775)*(V3775)-(U3775)*(R3775))-(S3775)*((S3775)*(V3775)-(U3775)*(T3775))+(LTP3!$D$6)*((S3775)*(R3775)-(P3775)*(T3775)))/W3775,0)</f>
        <v/>
      </c>
      <c r="AA3775">
        <f>LTP3!$D$7-X3775*LTP3!$D$6-Y3775*U3775-Z3775*V3775</f>
        <v/>
      </c>
      <c r="AB3775">
        <f>IF(AND(F3775,ABS(W3775)&gt;1E-12,Y3775&gt;0,Z3775&gt;0),AA3775,1E+300)</f>
        <v/>
      </c>
    </row>
    <row r="3776">
      <c r="A3776">
        <f>$I$3-$B$5+$B$5*1/10</f>
        <v/>
      </c>
      <c r="B3776">
        <f>$J$3-$B$5+$B$5*19/10</f>
        <v/>
      </c>
      <c r="C3776">
        <f>SUMPRODUCT(Calc!$K$3:$K$22*(Calc!$G$3:$G$22&lt;=A3776))</f>
        <v/>
      </c>
      <c r="D3776">
        <f>SUMPRODUCT(Calc!$K$3:$K$22*(Calc!$G$3:$G$22&gt;A3776)*(Calc!$G$3:$G$22&lt;B3776))</f>
        <v/>
      </c>
      <c r="E3776">
        <f>SUMPRODUCT(Calc!$K$3:$K$22*(Calc!$G$3:$G$22&gt;=B3776))</f>
        <v/>
      </c>
      <c r="F3776">
        <f>AND(k_n&gt;=5,B3776&gt;A3776+1E-9,C3776&gt;=2,D3776&gt;=1,E3776&gt;=2)</f>
        <v/>
      </c>
      <c r="G3776">
        <f>SUMPRODUCT(Calc!$K$3:$K$22*(Calc!$G$3:$G$22&gt;A3776)*(Calc!$G$3:$G$22-A3776))</f>
        <v/>
      </c>
      <c r="H3776">
        <f>SUMPRODUCT(Calc!$K$3:$K$22*(Calc!$G$3:$G$22&gt;B3776)*(Calc!$G$3:$G$22-B3776))</f>
        <v/>
      </c>
      <c r="I3776">
        <f>SUMPRODUCT(Calc!$K$3:$K$22*(Calc!$G$3:$G$22&gt;A3776)*(Calc!$G$3:$G$22-A3776)^2)</f>
        <v/>
      </c>
      <c r="J3776">
        <f>SUMPRODUCT(Calc!$K$3:$K$22*(Calc!$G$3:$G$22&gt;B3776)*(Calc!$G$3:$G$22-B3776)^2)</f>
        <v/>
      </c>
      <c r="K3776">
        <f>SUMPRODUCT(Calc!$K$3:$K$22*(Calc!$G$3:$G$22&gt;A3776)*(Calc!$G$3:$G$22-A3776)*(Calc!$G$3:$G$22&gt;B3776)*(Calc!$G$3:$G$22-B3776))</f>
        <v/>
      </c>
      <c r="L3776">
        <f>SUMPRODUCT(Calc!$K$3:$K$22*(Calc!$G$3:$G$22&gt;A3776)*(Calc!$G$3:$G$22-A3776)*Calc!$G$3:$G$22)</f>
        <v/>
      </c>
      <c r="M3776">
        <f>SUMPRODUCT(Calc!$K$3:$K$22*(Calc!$G$3:$G$22&gt;B3776)*(Calc!$G$3:$G$22-B3776)*Calc!$G$3:$G$22)</f>
        <v/>
      </c>
      <c r="N3776">
        <f>SUMPRODUCT(Calc!$K$3:$K$22*(Calc!$G$3:$G$22&gt;A3776)*(Calc!$G$3:$G$22-A3776)*Calc!$I$3:$I$22)</f>
        <v/>
      </c>
      <c r="O3776">
        <f>SUMPRODUCT(Calc!$K$3:$K$22*(Calc!$G$3:$G$22&gt;B3776)*(Calc!$G$3:$G$22-B3776)*Calc!$I$3:$I$22)</f>
        <v/>
      </c>
      <c r="P3776">
        <f>I3776-G3776^2/k_n</f>
        <v/>
      </c>
      <c r="Q3776">
        <f>J3776-H3776^2/k_n</f>
        <v/>
      </c>
      <c r="R3776">
        <f>K3776-G3776*H3776/k_n</f>
        <v/>
      </c>
      <c r="S3776">
        <f>L3776-LTP3!$D$3*G3776/k_n</f>
        <v/>
      </c>
      <c r="T3776">
        <f>M3776-LTP3!$D$3*H3776/k_n</f>
        <v/>
      </c>
      <c r="U3776">
        <f>N3776-G3776*LTP3!$D$4/k_n</f>
        <v/>
      </c>
      <c r="V3776">
        <f>O3776-H3776*LTP3!$D$4/k_n</f>
        <v/>
      </c>
      <c r="W3776">
        <f>((LTP3!$D$5)*((P3776)*(Q3776)-(R3776)*(R3776))-(S3776)*((S3776)*(Q3776)-(R3776)*(T3776))+(T3776)*((S3776)*(R3776)-(P3776)*(T3776)))</f>
        <v/>
      </c>
      <c r="X3776">
        <f>IF(ABS(W3776)&gt;1E-12,((LTP3!$D$6)*((P3776)*(Q3776)-(R3776)*(R3776))-(S3776)*((U3776)*(Q3776)-(R3776)*(V3776))+(T3776)*((U3776)*(R3776)-(P3776)*(V3776)))/W3776,0)</f>
        <v/>
      </c>
      <c r="Y3776">
        <f>IF(ABS(W3776)&gt;1E-12,((LTP3!$D$5)*((U3776)*(Q3776)-(R3776)*(V3776))-(LTP3!$D$6)*((S3776)*(Q3776)-(R3776)*(T3776))+(T3776)*((S3776)*(V3776)-(U3776)*(T3776)))/W3776,0)</f>
        <v/>
      </c>
      <c r="Z3776">
        <f>IF(ABS(W3776)&gt;1E-12,((LTP3!$D$5)*((P3776)*(V3776)-(U3776)*(R3776))-(S3776)*((S3776)*(V3776)-(U3776)*(T3776))+(LTP3!$D$6)*((S3776)*(R3776)-(P3776)*(T3776)))/W3776,0)</f>
        <v/>
      </c>
      <c r="AA3776">
        <f>LTP3!$D$7-X3776*LTP3!$D$6-Y3776*U3776-Z3776*V3776</f>
        <v/>
      </c>
      <c r="AB3776">
        <f>IF(AND(F3776,ABS(W3776)&gt;1E-12,Y3776&gt;0,Z3776&gt;0),AA3776,1E+300)</f>
        <v/>
      </c>
    </row>
    <row r="3777">
      <c r="A3777">
        <f>$I$3-$B$5+$B$5*1/10</f>
        <v/>
      </c>
      <c r="B3777">
        <f>$J$3-$B$5+$B$5*20/10</f>
        <v/>
      </c>
      <c r="C3777">
        <f>SUMPRODUCT(Calc!$K$3:$K$22*(Calc!$G$3:$G$22&lt;=A3777))</f>
        <v/>
      </c>
      <c r="D3777">
        <f>SUMPRODUCT(Calc!$K$3:$K$22*(Calc!$G$3:$G$22&gt;A3777)*(Calc!$G$3:$G$22&lt;B3777))</f>
        <v/>
      </c>
      <c r="E3777">
        <f>SUMPRODUCT(Calc!$K$3:$K$22*(Calc!$G$3:$G$22&gt;=B3777))</f>
        <v/>
      </c>
      <c r="F3777">
        <f>AND(k_n&gt;=5,B3777&gt;A3777+1E-9,C3777&gt;=2,D3777&gt;=1,E3777&gt;=2)</f>
        <v/>
      </c>
      <c r="G3777">
        <f>SUMPRODUCT(Calc!$K$3:$K$22*(Calc!$G$3:$G$22&gt;A3777)*(Calc!$G$3:$G$22-A3777))</f>
        <v/>
      </c>
      <c r="H3777">
        <f>SUMPRODUCT(Calc!$K$3:$K$22*(Calc!$G$3:$G$22&gt;B3777)*(Calc!$G$3:$G$22-B3777))</f>
        <v/>
      </c>
      <c r="I3777">
        <f>SUMPRODUCT(Calc!$K$3:$K$22*(Calc!$G$3:$G$22&gt;A3777)*(Calc!$G$3:$G$22-A3777)^2)</f>
        <v/>
      </c>
      <c r="J3777">
        <f>SUMPRODUCT(Calc!$K$3:$K$22*(Calc!$G$3:$G$22&gt;B3777)*(Calc!$G$3:$G$22-B3777)^2)</f>
        <v/>
      </c>
      <c r="K3777">
        <f>SUMPRODUCT(Calc!$K$3:$K$22*(Calc!$G$3:$G$22&gt;A3777)*(Calc!$G$3:$G$22-A3777)*(Calc!$G$3:$G$22&gt;B3777)*(Calc!$G$3:$G$22-B3777))</f>
        <v/>
      </c>
      <c r="L3777">
        <f>SUMPRODUCT(Calc!$K$3:$K$22*(Calc!$G$3:$G$22&gt;A3777)*(Calc!$G$3:$G$22-A3777)*Calc!$G$3:$G$22)</f>
        <v/>
      </c>
      <c r="M3777">
        <f>SUMPRODUCT(Calc!$K$3:$K$22*(Calc!$G$3:$G$22&gt;B3777)*(Calc!$G$3:$G$22-B3777)*Calc!$G$3:$G$22)</f>
        <v/>
      </c>
      <c r="N3777">
        <f>SUMPRODUCT(Calc!$K$3:$K$22*(Calc!$G$3:$G$22&gt;A3777)*(Calc!$G$3:$G$22-A3777)*Calc!$I$3:$I$22)</f>
        <v/>
      </c>
      <c r="O3777">
        <f>SUMPRODUCT(Calc!$K$3:$K$22*(Calc!$G$3:$G$22&gt;B3777)*(Calc!$G$3:$G$22-B3777)*Calc!$I$3:$I$22)</f>
        <v/>
      </c>
      <c r="P3777">
        <f>I3777-G3777^2/k_n</f>
        <v/>
      </c>
      <c r="Q3777">
        <f>J3777-H3777^2/k_n</f>
        <v/>
      </c>
      <c r="R3777">
        <f>K3777-G3777*H3777/k_n</f>
        <v/>
      </c>
      <c r="S3777">
        <f>L3777-LTP3!$D$3*G3777/k_n</f>
        <v/>
      </c>
      <c r="T3777">
        <f>M3777-LTP3!$D$3*H3777/k_n</f>
        <v/>
      </c>
      <c r="U3777">
        <f>N3777-G3777*LTP3!$D$4/k_n</f>
        <v/>
      </c>
      <c r="V3777">
        <f>O3777-H3777*LTP3!$D$4/k_n</f>
        <v/>
      </c>
      <c r="W3777">
        <f>((LTP3!$D$5)*((P3777)*(Q3777)-(R3777)*(R3777))-(S3777)*((S3777)*(Q3777)-(R3777)*(T3777))+(T3777)*((S3777)*(R3777)-(P3777)*(T3777)))</f>
        <v/>
      </c>
      <c r="X3777">
        <f>IF(ABS(W3777)&gt;1E-12,((LTP3!$D$6)*((P3777)*(Q3777)-(R3777)*(R3777))-(S3777)*((U3777)*(Q3777)-(R3777)*(V3777))+(T3777)*((U3777)*(R3777)-(P3777)*(V3777)))/W3777,0)</f>
        <v/>
      </c>
      <c r="Y3777">
        <f>IF(ABS(W3777)&gt;1E-12,((LTP3!$D$5)*((U3777)*(Q3777)-(R3777)*(V3777))-(LTP3!$D$6)*((S3777)*(Q3777)-(R3777)*(T3777))+(T3777)*((S3777)*(V3777)-(U3777)*(T3777)))/W3777,0)</f>
        <v/>
      </c>
      <c r="Z3777">
        <f>IF(ABS(W3777)&gt;1E-12,((LTP3!$D$5)*((P3777)*(V3777)-(U3777)*(R3777))-(S3777)*((S3777)*(V3777)-(U3777)*(T3777))+(LTP3!$D$6)*((S3777)*(R3777)-(P3777)*(T3777)))/W3777,0)</f>
        <v/>
      </c>
      <c r="AA3777">
        <f>LTP3!$D$7-X3777*LTP3!$D$6-Y3777*U3777-Z3777*V3777</f>
        <v/>
      </c>
      <c r="AB3777">
        <f>IF(AND(F3777,ABS(W3777)&gt;1E-12,Y3777&gt;0,Z3777&gt;0),AA3777,1E+300)</f>
        <v/>
      </c>
    </row>
    <row r="3778">
      <c r="A3778">
        <f>$I$3-$B$5+$B$5*2/10</f>
        <v/>
      </c>
      <c r="B3778">
        <f>$J$3-$B$5+$B$5*0/10</f>
        <v/>
      </c>
      <c r="C3778">
        <f>SUMPRODUCT(Calc!$K$3:$K$22*(Calc!$G$3:$G$22&lt;=A3778))</f>
        <v/>
      </c>
      <c r="D3778">
        <f>SUMPRODUCT(Calc!$K$3:$K$22*(Calc!$G$3:$G$22&gt;A3778)*(Calc!$G$3:$G$22&lt;B3778))</f>
        <v/>
      </c>
      <c r="E3778">
        <f>SUMPRODUCT(Calc!$K$3:$K$22*(Calc!$G$3:$G$22&gt;=B3778))</f>
        <v/>
      </c>
      <c r="F3778">
        <f>AND(k_n&gt;=5,B3778&gt;A3778+1E-9,C3778&gt;=2,D3778&gt;=1,E3778&gt;=2)</f>
        <v/>
      </c>
      <c r="G3778">
        <f>SUMPRODUCT(Calc!$K$3:$K$22*(Calc!$G$3:$G$22&gt;A3778)*(Calc!$G$3:$G$22-A3778))</f>
        <v/>
      </c>
      <c r="H3778">
        <f>SUMPRODUCT(Calc!$K$3:$K$22*(Calc!$G$3:$G$22&gt;B3778)*(Calc!$G$3:$G$22-B3778))</f>
        <v/>
      </c>
      <c r="I3778">
        <f>SUMPRODUCT(Calc!$K$3:$K$22*(Calc!$G$3:$G$22&gt;A3778)*(Calc!$G$3:$G$22-A3778)^2)</f>
        <v/>
      </c>
      <c r="J3778">
        <f>SUMPRODUCT(Calc!$K$3:$K$22*(Calc!$G$3:$G$22&gt;B3778)*(Calc!$G$3:$G$22-B3778)^2)</f>
        <v/>
      </c>
      <c r="K3778">
        <f>SUMPRODUCT(Calc!$K$3:$K$22*(Calc!$G$3:$G$22&gt;A3778)*(Calc!$G$3:$G$22-A3778)*(Calc!$G$3:$G$22&gt;B3778)*(Calc!$G$3:$G$22-B3778))</f>
        <v/>
      </c>
      <c r="L3778">
        <f>SUMPRODUCT(Calc!$K$3:$K$22*(Calc!$G$3:$G$22&gt;A3778)*(Calc!$G$3:$G$22-A3778)*Calc!$G$3:$G$22)</f>
        <v/>
      </c>
      <c r="M3778">
        <f>SUMPRODUCT(Calc!$K$3:$K$22*(Calc!$G$3:$G$22&gt;B3778)*(Calc!$G$3:$G$22-B3778)*Calc!$G$3:$G$22)</f>
        <v/>
      </c>
      <c r="N3778">
        <f>SUMPRODUCT(Calc!$K$3:$K$22*(Calc!$G$3:$G$22&gt;A3778)*(Calc!$G$3:$G$22-A3778)*Calc!$I$3:$I$22)</f>
        <v/>
      </c>
      <c r="O3778">
        <f>SUMPRODUCT(Calc!$K$3:$K$22*(Calc!$G$3:$G$22&gt;B3778)*(Calc!$G$3:$G$22-B3778)*Calc!$I$3:$I$22)</f>
        <v/>
      </c>
      <c r="P3778">
        <f>I3778-G3778^2/k_n</f>
        <v/>
      </c>
      <c r="Q3778">
        <f>J3778-H3778^2/k_n</f>
        <v/>
      </c>
      <c r="R3778">
        <f>K3778-G3778*H3778/k_n</f>
        <v/>
      </c>
      <c r="S3778">
        <f>L3778-LTP3!$D$3*G3778/k_n</f>
        <v/>
      </c>
      <c r="T3778">
        <f>M3778-LTP3!$D$3*H3778/k_n</f>
        <v/>
      </c>
      <c r="U3778">
        <f>N3778-G3778*LTP3!$D$4/k_n</f>
        <v/>
      </c>
      <c r="V3778">
        <f>O3778-H3778*LTP3!$D$4/k_n</f>
        <v/>
      </c>
      <c r="W3778">
        <f>((LTP3!$D$5)*((P3778)*(Q3778)-(R3778)*(R3778))-(S3778)*((S3778)*(Q3778)-(R3778)*(T3778))+(T3778)*((S3778)*(R3778)-(P3778)*(T3778)))</f>
        <v/>
      </c>
      <c r="X3778">
        <f>IF(ABS(W3778)&gt;1E-12,((LTP3!$D$6)*((P3778)*(Q3778)-(R3778)*(R3778))-(S3778)*((U3778)*(Q3778)-(R3778)*(V3778))+(T3778)*((U3778)*(R3778)-(P3778)*(V3778)))/W3778,0)</f>
        <v/>
      </c>
      <c r="Y3778">
        <f>IF(ABS(W3778)&gt;1E-12,((LTP3!$D$5)*((U3778)*(Q3778)-(R3778)*(V3778))-(LTP3!$D$6)*((S3778)*(Q3778)-(R3778)*(T3778))+(T3778)*((S3778)*(V3778)-(U3778)*(T3778)))/W3778,0)</f>
        <v/>
      </c>
      <c r="Z3778">
        <f>IF(ABS(W3778)&gt;1E-12,((LTP3!$D$5)*((P3778)*(V3778)-(U3778)*(R3778))-(S3778)*((S3778)*(V3778)-(U3778)*(T3778))+(LTP3!$D$6)*((S3778)*(R3778)-(P3778)*(T3778)))/W3778,0)</f>
        <v/>
      </c>
      <c r="AA3778">
        <f>LTP3!$D$7-X3778*LTP3!$D$6-Y3778*U3778-Z3778*V3778</f>
        <v/>
      </c>
      <c r="AB3778">
        <f>IF(AND(F3778,ABS(W3778)&gt;1E-12,Y3778&gt;0,Z3778&gt;0),AA3778,1E+300)</f>
        <v/>
      </c>
    </row>
    <row r="3779">
      <c r="A3779">
        <f>$I$3-$B$5+$B$5*2/10</f>
        <v/>
      </c>
      <c r="B3779">
        <f>$J$3-$B$5+$B$5*1/10</f>
        <v/>
      </c>
      <c r="C3779">
        <f>SUMPRODUCT(Calc!$K$3:$K$22*(Calc!$G$3:$G$22&lt;=A3779))</f>
        <v/>
      </c>
      <c r="D3779">
        <f>SUMPRODUCT(Calc!$K$3:$K$22*(Calc!$G$3:$G$22&gt;A3779)*(Calc!$G$3:$G$22&lt;B3779))</f>
        <v/>
      </c>
      <c r="E3779">
        <f>SUMPRODUCT(Calc!$K$3:$K$22*(Calc!$G$3:$G$22&gt;=B3779))</f>
        <v/>
      </c>
      <c r="F3779">
        <f>AND(k_n&gt;=5,B3779&gt;A3779+1E-9,C3779&gt;=2,D3779&gt;=1,E3779&gt;=2)</f>
        <v/>
      </c>
      <c r="G3779">
        <f>SUMPRODUCT(Calc!$K$3:$K$22*(Calc!$G$3:$G$22&gt;A3779)*(Calc!$G$3:$G$22-A3779))</f>
        <v/>
      </c>
      <c r="H3779">
        <f>SUMPRODUCT(Calc!$K$3:$K$22*(Calc!$G$3:$G$22&gt;B3779)*(Calc!$G$3:$G$22-B3779))</f>
        <v/>
      </c>
      <c r="I3779">
        <f>SUMPRODUCT(Calc!$K$3:$K$22*(Calc!$G$3:$G$22&gt;A3779)*(Calc!$G$3:$G$22-A3779)^2)</f>
        <v/>
      </c>
      <c r="J3779">
        <f>SUMPRODUCT(Calc!$K$3:$K$22*(Calc!$G$3:$G$22&gt;B3779)*(Calc!$G$3:$G$22-B3779)^2)</f>
        <v/>
      </c>
      <c r="K3779">
        <f>SUMPRODUCT(Calc!$K$3:$K$22*(Calc!$G$3:$G$22&gt;A3779)*(Calc!$G$3:$G$22-A3779)*(Calc!$G$3:$G$22&gt;B3779)*(Calc!$G$3:$G$22-B3779))</f>
        <v/>
      </c>
      <c r="L3779">
        <f>SUMPRODUCT(Calc!$K$3:$K$22*(Calc!$G$3:$G$22&gt;A3779)*(Calc!$G$3:$G$22-A3779)*Calc!$G$3:$G$22)</f>
        <v/>
      </c>
      <c r="M3779">
        <f>SUMPRODUCT(Calc!$K$3:$K$22*(Calc!$G$3:$G$22&gt;B3779)*(Calc!$G$3:$G$22-B3779)*Calc!$G$3:$G$22)</f>
        <v/>
      </c>
      <c r="N3779">
        <f>SUMPRODUCT(Calc!$K$3:$K$22*(Calc!$G$3:$G$22&gt;A3779)*(Calc!$G$3:$G$22-A3779)*Calc!$I$3:$I$22)</f>
        <v/>
      </c>
      <c r="O3779">
        <f>SUMPRODUCT(Calc!$K$3:$K$22*(Calc!$G$3:$G$22&gt;B3779)*(Calc!$G$3:$G$22-B3779)*Calc!$I$3:$I$22)</f>
        <v/>
      </c>
      <c r="P3779">
        <f>I3779-G3779^2/k_n</f>
        <v/>
      </c>
      <c r="Q3779">
        <f>J3779-H3779^2/k_n</f>
        <v/>
      </c>
      <c r="R3779">
        <f>K3779-G3779*H3779/k_n</f>
        <v/>
      </c>
      <c r="S3779">
        <f>L3779-LTP3!$D$3*G3779/k_n</f>
        <v/>
      </c>
      <c r="T3779">
        <f>M3779-LTP3!$D$3*H3779/k_n</f>
        <v/>
      </c>
      <c r="U3779">
        <f>N3779-G3779*LTP3!$D$4/k_n</f>
        <v/>
      </c>
      <c r="V3779">
        <f>O3779-H3779*LTP3!$D$4/k_n</f>
        <v/>
      </c>
      <c r="W3779">
        <f>((LTP3!$D$5)*((P3779)*(Q3779)-(R3779)*(R3779))-(S3779)*((S3779)*(Q3779)-(R3779)*(T3779))+(T3779)*((S3779)*(R3779)-(P3779)*(T3779)))</f>
        <v/>
      </c>
      <c r="X3779">
        <f>IF(ABS(W3779)&gt;1E-12,((LTP3!$D$6)*((P3779)*(Q3779)-(R3779)*(R3779))-(S3779)*((U3779)*(Q3779)-(R3779)*(V3779))+(T3779)*((U3779)*(R3779)-(P3779)*(V3779)))/W3779,0)</f>
        <v/>
      </c>
      <c r="Y3779">
        <f>IF(ABS(W3779)&gt;1E-12,((LTP3!$D$5)*((U3779)*(Q3779)-(R3779)*(V3779))-(LTP3!$D$6)*((S3779)*(Q3779)-(R3779)*(T3779))+(T3779)*((S3779)*(V3779)-(U3779)*(T3779)))/W3779,0)</f>
        <v/>
      </c>
      <c r="Z3779">
        <f>IF(ABS(W3779)&gt;1E-12,((LTP3!$D$5)*((P3779)*(V3779)-(U3779)*(R3779))-(S3779)*((S3779)*(V3779)-(U3779)*(T3779))+(LTP3!$D$6)*((S3779)*(R3779)-(P3779)*(T3779)))/W3779,0)</f>
        <v/>
      </c>
      <c r="AA3779">
        <f>LTP3!$D$7-X3779*LTP3!$D$6-Y3779*U3779-Z3779*V3779</f>
        <v/>
      </c>
      <c r="AB3779">
        <f>IF(AND(F3779,ABS(W3779)&gt;1E-12,Y3779&gt;0,Z3779&gt;0),AA3779,1E+300)</f>
        <v/>
      </c>
    </row>
    <row r="3780">
      <c r="A3780">
        <f>$I$3-$B$5+$B$5*2/10</f>
        <v/>
      </c>
      <c r="B3780">
        <f>$J$3-$B$5+$B$5*2/10</f>
        <v/>
      </c>
      <c r="C3780">
        <f>SUMPRODUCT(Calc!$K$3:$K$22*(Calc!$G$3:$G$22&lt;=A3780))</f>
        <v/>
      </c>
      <c r="D3780">
        <f>SUMPRODUCT(Calc!$K$3:$K$22*(Calc!$G$3:$G$22&gt;A3780)*(Calc!$G$3:$G$22&lt;B3780))</f>
        <v/>
      </c>
      <c r="E3780">
        <f>SUMPRODUCT(Calc!$K$3:$K$22*(Calc!$G$3:$G$22&gt;=B3780))</f>
        <v/>
      </c>
      <c r="F3780">
        <f>AND(k_n&gt;=5,B3780&gt;A3780+1E-9,C3780&gt;=2,D3780&gt;=1,E3780&gt;=2)</f>
        <v/>
      </c>
      <c r="G3780">
        <f>SUMPRODUCT(Calc!$K$3:$K$22*(Calc!$G$3:$G$22&gt;A3780)*(Calc!$G$3:$G$22-A3780))</f>
        <v/>
      </c>
      <c r="H3780">
        <f>SUMPRODUCT(Calc!$K$3:$K$22*(Calc!$G$3:$G$22&gt;B3780)*(Calc!$G$3:$G$22-B3780))</f>
        <v/>
      </c>
      <c r="I3780">
        <f>SUMPRODUCT(Calc!$K$3:$K$22*(Calc!$G$3:$G$22&gt;A3780)*(Calc!$G$3:$G$22-A3780)^2)</f>
        <v/>
      </c>
      <c r="J3780">
        <f>SUMPRODUCT(Calc!$K$3:$K$22*(Calc!$G$3:$G$22&gt;B3780)*(Calc!$G$3:$G$22-B3780)^2)</f>
        <v/>
      </c>
      <c r="K3780">
        <f>SUMPRODUCT(Calc!$K$3:$K$22*(Calc!$G$3:$G$22&gt;A3780)*(Calc!$G$3:$G$22-A3780)*(Calc!$G$3:$G$22&gt;B3780)*(Calc!$G$3:$G$22-B3780))</f>
        <v/>
      </c>
      <c r="L3780">
        <f>SUMPRODUCT(Calc!$K$3:$K$22*(Calc!$G$3:$G$22&gt;A3780)*(Calc!$G$3:$G$22-A3780)*Calc!$G$3:$G$22)</f>
        <v/>
      </c>
      <c r="M3780">
        <f>SUMPRODUCT(Calc!$K$3:$K$22*(Calc!$G$3:$G$22&gt;B3780)*(Calc!$G$3:$G$22-B3780)*Calc!$G$3:$G$22)</f>
        <v/>
      </c>
      <c r="N3780">
        <f>SUMPRODUCT(Calc!$K$3:$K$22*(Calc!$G$3:$G$22&gt;A3780)*(Calc!$G$3:$G$22-A3780)*Calc!$I$3:$I$22)</f>
        <v/>
      </c>
      <c r="O3780">
        <f>SUMPRODUCT(Calc!$K$3:$K$22*(Calc!$G$3:$G$22&gt;B3780)*(Calc!$G$3:$G$22-B3780)*Calc!$I$3:$I$22)</f>
        <v/>
      </c>
      <c r="P3780">
        <f>I3780-G3780^2/k_n</f>
        <v/>
      </c>
      <c r="Q3780">
        <f>J3780-H3780^2/k_n</f>
        <v/>
      </c>
      <c r="R3780">
        <f>K3780-G3780*H3780/k_n</f>
        <v/>
      </c>
      <c r="S3780">
        <f>L3780-LTP3!$D$3*G3780/k_n</f>
        <v/>
      </c>
      <c r="T3780">
        <f>M3780-LTP3!$D$3*H3780/k_n</f>
        <v/>
      </c>
      <c r="U3780">
        <f>N3780-G3780*LTP3!$D$4/k_n</f>
        <v/>
      </c>
      <c r="V3780">
        <f>O3780-H3780*LTP3!$D$4/k_n</f>
        <v/>
      </c>
      <c r="W3780">
        <f>((LTP3!$D$5)*((P3780)*(Q3780)-(R3780)*(R3780))-(S3780)*((S3780)*(Q3780)-(R3780)*(T3780))+(T3780)*((S3780)*(R3780)-(P3780)*(T3780)))</f>
        <v/>
      </c>
      <c r="X3780">
        <f>IF(ABS(W3780)&gt;1E-12,((LTP3!$D$6)*((P3780)*(Q3780)-(R3780)*(R3780))-(S3780)*((U3780)*(Q3780)-(R3780)*(V3780))+(T3780)*((U3780)*(R3780)-(P3780)*(V3780)))/W3780,0)</f>
        <v/>
      </c>
      <c r="Y3780">
        <f>IF(ABS(W3780)&gt;1E-12,((LTP3!$D$5)*((U3780)*(Q3780)-(R3780)*(V3780))-(LTP3!$D$6)*((S3780)*(Q3780)-(R3780)*(T3780))+(T3780)*((S3780)*(V3780)-(U3780)*(T3780)))/W3780,0)</f>
        <v/>
      </c>
      <c r="Z3780">
        <f>IF(ABS(W3780)&gt;1E-12,((LTP3!$D$5)*((P3780)*(V3780)-(U3780)*(R3780))-(S3780)*((S3780)*(V3780)-(U3780)*(T3780))+(LTP3!$D$6)*((S3780)*(R3780)-(P3780)*(T3780)))/W3780,0)</f>
        <v/>
      </c>
      <c r="AA3780">
        <f>LTP3!$D$7-X3780*LTP3!$D$6-Y3780*U3780-Z3780*V3780</f>
        <v/>
      </c>
      <c r="AB3780">
        <f>IF(AND(F3780,ABS(W3780)&gt;1E-12,Y3780&gt;0,Z3780&gt;0),AA3780,1E+300)</f>
        <v/>
      </c>
    </row>
    <row r="3781">
      <c r="A3781">
        <f>$I$3-$B$5+$B$5*2/10</f>
        <v/>
      </c>
      <c r="B3781">
        <f>$J$3-$B$5+$B$5*3/10</f>
        <v/>
      </c>
      <c r="C3781">
        <f>SUMPRODUCT(Calc!$K$3:$K$22*(Calc!$G$3:$G$22&lt;=A3781))</f>
        <v/>
      </c>
      <c r="D3781">
        <f>SUMPRODUCT(Calc!$K$3:$K$22*(Calc!$G$3:$G$22&gt;A3781)*(Calc!$G$3:$G$22&lt;B3781))</f>
        <v/>
      </c>
      <c r="E3781">
        <f>SUMPRODUCT(Calc!$K$3:$K$22*(Calc!$G$3:$G$22&gt;=B3781))</f>
        <v/>
      </c>
      <c r="F3781">
        <f>AND(k_n&gt;=5,B3781&gt;A3781+1E-9,C3781&gt;=2,D3781&gt;=1,E3781&gt;=2)</f>
        <v/>
      </c>
      <c r="G3781">
        <f>SUMPRODUCT(Calc!$K$3:$K$22*(Calc!$G$3:$G$22&gt;A3781)*(Calc!$G$3:$G$22-A3781))</f>
        <v/>
      </c>
      <c r="H3781">
        <f>SUMPRODUCT(Calc!$K$3:$K$22*(Calc!$G$3:$G$22&gt;B3781)*(Calc!$G$3:$G$22-B3781))</f>
        <v/>
      </c>
      <c r="I3781">
        <f>SUMPRODUCT(Calc!$K$3:$K$22*(Calc!$G$3:$G$22&gt;A3781)*(Calc!$G$3:$G$22-A3781)^2)</f>
        <v/>
      </c>
      <c r="J3781">
        <f>SUMPRODUCT(Calc!$K$3:$K$22*(Calc!$G$3:$G$22&gt;B3781)*(Calc!$G$3:$G$22-B3781)^2)</f>
        <v/>
      </c>
      <c r="K3781">
        <f>SUMPRODUCT(Calc!$K$3:$K$22*(Calc!$G$3:$G$22&gt;A3781)*(Calc!$G$3:$G$22-A3781)*(Calc!$G$3:$G$22&gt;B3781)*(Calc!$G$3:$G$22-B3781))</f>
        <v/>
      </c>
      <c r="L3781">
        <f>SUMPRODUCT(Calc!$K$3:$K$22*(Calc!$G$3:$G$22&gt;A3781)*(Calc!$G$3:$G$22-A3781)*Calc!$G$3:$G$22)</f>
        <v/>
      </c>
      <c r="M3781">
        <f>SUMPRODUCT(Calc!$K$3:$K$22*(Calc!$G$3:$G$22&gt;B3781)*(Calc!$G$3:$G$22-B3781)*Calc!$G$3:$G$22)</f>
        <v/>
      </c>
      <c r="N3781">
        <f>SUMPRODUCT(Calc!$K$3:$K$22*(Calc!$G$3:$G$22&gt;A3781)*(Calc!$G$3:$G$22-A3781)*Calc!$I$3:$I$22)</f>
        <v/>
      </c>
      <c r="O3781">
        <f>SUMPRODUCT(Calc!$K$3:$K$22*(Calc!$G$3:$G$22&gt;B3781)*(Calc!$G$3:$G$22-B3781)*Calc!$I$3:$I$22)</f>
        <v/>
      </c>
      <c r="P3781">
        <f>I3781-G3781^2/k_n</f>
        <v/>
      </c>
      <c r="Q3781">
        <f>J3781-H3781^2/k_n</f>
        <v/>
      </c>
      <c r="R3781">
        <f>K3781-G3781*H3781/k_n</f>
        <v/>
      </c>
      <c r="S3781">
        <f>L3781-LTP3!$D$3*G3781/k_n</f>
        <v/>
      </c>
      <c r="T3781">
        <f>M3781-LTP3!$D$3*H3781/k_n</f>
        <v/>
      </c>
      <c r="U3781">
        <f>N3781-G3781*LTP3!$D$4/k_n</f>
        <v/>
      </c>
      <c r="V3781">
        <f>O3781-H3781*LTP3!$D$4/k_n</f>
        <v/>
      </c>
      <c r="W3781">
        <f>((LTP3!$D$5)*((P3781)*(Q3781)-(R3781)*(R3781))-(S3781)*((S3781)*(Q3781)-(R3781)*(T3781))+(T3781)*((S3781)*(R3781)-(P3781)*(T3781)))</f>
        <v/>
      </c>
      <c r="X3781">
        <f>IF(ABS(W3781)&gt;1E-12,((LTP3!$D$6)*((P3781)*(Q3781)-(R3781)*(R3781))-(S3781)*((U3781)*(Q3781)-(R3781)*(V3781))+(T3781)*((U3781)*(R3781)-(P3781)*(V3781)))/W3781,0)</f>
        <v/>
      </c>
      <c r="Y3781">
        <f>IF(ABS(W3781)&gt;1E-12,((LTP3!$D$5)*((U3781)*(Q3781)-(R3781)*(V3781))-(LTP3!$D$6)*((S3781)*(Q3781)-(R3781)*(T3781))+(T3781)*((S3781)*(V3781)-(U3781)*(T3781)))/W3781,0)</f>
        <v/>
      </c>
      <c r="Z3781">
        <f>IF(ABS(W3781)&gt;1E-12,((LTP3!$D$5)*((P3781)*(V3781)-(U3781)*(R3781))-(S3781)*((S3781)*(V3781)-(U3781)*(T3781))+(LTP3!$D$6)*((S3781)*(R3781)-(P3781)*(T3781)))/W3781,0)</f>
        <v/>
      </c>
      <c r="AA3781">
        <f>LTP3!$D$7-X3781*LTP3!$D$6-Y3781*U3781-Z3781*V3781</f>
        <v/>
      </c>
      <c r="AB3781">
        <f>IF(AND(F3781,ABS(W3781)&gt;1E-12,Y3781&gt;0,Z3781&gt;0),AA3781,1E+300)</f>
        <v/>
      </c>
    </row>
    <row r="3782">
      <c r="A3782">
        <f>$I$3-$B$5+$B$5*2/10</f>
        <v/>
      </c>
      <c r="B3782">
        <f>$J$3-$B$5+$B$5*4/10</f>
        <v/>
      </c>
      <c r="C3782">
        <f>SUMPRODUCT(Calc!$K$3:$K$22*(Calc!$G$3:$G$22&lt;=A3782))</f>
        <v/>
      </c>
      <c r="D3782">
        <f>SUMPRODUCT(Calc!$K$3:$K$22*(Calc!$G$3:$G$22&gt;A3782)*(Calc!$G$3:$G$22&lt;B3782))</f>
        <v/>
      </c>
      <c r="E3782">
        <f>SUMPRODUCT(Calc!$K$3:$K$22*(Calc!$G$3:$G$22&gt;=B3782))</f>
        <v/>
      </c>
      <c r="F3782">
        <f>AND(k_n&gt;=5,B3782&gt;A3782+1E-9,C3782&gt;=2,D3782&gt;=1,E3782&gt;=2)</f>
        <v/>
      </c>
      <c r="G3782">
        <f>SUMPRODUCT(Calc!$K$3:$K$22*(Calc!$G$3:$G$22&gt;A3782)*(Calc!$G$3:$G$22-A3782))</f>
        <v/>
      </c>
      <c r="H3782">
        <f>SUMPRODUCT(Calc!$K$3:$K$22*(Calc!$G$3:$G$22&gt;B3782)*(Calc!$G$3:$G$22-B3782))</f>
        <v/>
      </c>
      <c r="I3782">
        <f>SUMPRODUCT(Calc!$K$3:$K$22*(Calc!$G$3:$G$22&gt;A3782)*(Calc!$G$3:$G$22-A3782)^2)</f>
        <v/>
      </c>
      <c r="J3782">
        <f>SUMPRODUCT(Calc!$K$3:$K$22*(Calc!$G$3:$G$22&gt;B3782)*(Calc!$G$3:$G$22-B3782)^2)</f>
        <v/>
      </c>
      <c r="K3782">
        <f>SUMPRODUCT(Calc!$K$3:$K$22*(Calc!$G$3:$G$22&gt;A3782)*(Calc!$G$3:$G$22-A3782)*(Calc!$G$3:$G$22&gt;B3782)*(Calc!$G$3:$G$22-B3782))</f>
        <v/>
      </c>
      <c r="L3782">
        <f>SUMPRODUCT(Calc!$K$3:$K$22*(Calc!$G$3:$G$22&gt;A3782)*(Calc!$G$3:$G$22-A3782)*Calc!$G$3:$G$22)</f>
        <v/>
      </c>
      <c r="M3782">
        <f>SUMPRODUCT(Calc!$K$3:$K$22*(Calc!$G$3:$G$22&gt;B3782)*(Calc!$G$3:$G$22-B3782)*Calc!$G$3:$G$22)</f>
        <v/>
      </c>
      <c r="N3782">
        <f>SUMPRODUCT(Calc!$K$3:$K$22*(Calc!$G$3:$G$22&gt;A3782)*(Calc!$G$3:$G$22-A3782)*Calc!$I$3:$I$22)</f>
        <v/>
      </c>
      <c r="O3782">
        <f>SUMPRODUCT(Calc!$K$3:$K$22*(Calc!$G$3:$G$22&gt;B3782)*(Calc!$G$3:$G$22-B3782)*Calc!$I$3:$I$22)</f>
        <v/>
      </c>
      <c r="P3782">
        <f>I3782-G3782^2/k_n</f>
        <v/>
      </c>
      <c r="Q3782">
        <f>J3782-H3782^2/k_n</f>
        <v/>
      </c>
      <c r="R3782">
        <f>K3782-G3782*H3782/k_n</f>
        <v/>
      </c>
      <c r="S3782">
        <f>L3782-LTP3!$D$3*G3782/k_n</f>
        <v/>
      </c>
      <c r="T3782">
        <f>M3782-LTP3!$D$3*H3782/k_n</f>
        <v/>
      </c>
      <c r="U3782">
        <f>N3782-G3782*LTP3!$D$4/k_n</f>
        <v/>
      </c>
      <c r="V3782">
        <f>O3782-H3782*LTP3!$D$4/k_n</f>
        <v/>
      </c>
      <c r="W3782">
        <f>((LTP3!$D$5)*((P3782)*(Q3782)-(R3782)*(R3782))-(S3782)*((S3782)*(Q3782)-(R3782)*(T3782))+(T3782)*((S3782)*(R3782)-(P3782)*(T3782)))</f>
        <v/>
      </c>
      <c r="X3782">
        <f>IF(ABS(W3782)&gt;1E-12,((LTP3!$D$6)*((P3782)*(Q3782)-(R3782)*(R3782))-(S3782)*((U3782)*(Q3782)-(R3782)*(V3782))+(T3782)*((U3782)*(R3782)-(P3782)*(V3782)))/W3782,0)</f>
        <v/>
      </c>
      <c r="Y3782">
        <f>IF(ABS(W3782)&gt;1E-12,((LTP3!$D$5)*((U3782)*(Q3782)-(R3782)*(V3782))-(LTP3!$D$6)*((S3782)*(Q3782)-(R3782)*(T3782))+(T3782)*((S3782)*(V3782)-(U3782)*(T3782)))/W3782,0)</f>
        <v/>
      </c>
      <c r="Z3782">
        <f>IF(ABS(W3782)&gt;1E-12,((LTP3!$D$5)*((P3782)*(V3782)-(U3782)*(R3782))-(S3782)*((S3782)*(V3782)-(U3782)*(T3782))+(LTP3!$D$6)*((S3782)*(R3782)-(P3782)*(T3782)))/W3782,0)</f>
        <v/>
      </c>
      <c r="AA3782">
        <f>LTP3!$D$7-X3782*LTP3!$D$6-Y3782*U3782-Z3782*V3782</f>
        <v/>
      </c>
      <c r="AB3782">
        <f>IF(AND(F3782,ABS(W3782)&gt;1E-12,Y3782&gt;0,Z3782&gt;0),AA3782,1E+300)</f>
        <v/>
      </c>
    </row>
    <row r="3783">
      <c r="A3783">
        <f>$I$3-$B$5+$B$5*2/10</f>
        <v/>
      </c>
      <c r="B3783">
        <f>$J$3-$B$5+$B$5*5/10</f>
        <v/>
      </c>
      <c r="C3783">
        <f>SUMPRODUCT(Calc!$K$3:$K$22*(Calc!$G$3:$G$22&lt;=A3783))</f>
        <v/>
      </c>
      <c r="D3783">
        <f>SUMPRODUCT(Calc!$K$3:$K$22*(Calc!$G$3:$G$22&gt;A3783)*(Calc!$G$3:$G$22&lt;B3783))</f>
        <v/>
      </c>
      <c r="E3783">
        <f>SUMPRODUCT(Calc!$K$3:$K$22*(Calc!$G$3:$G$22&gt;=B3783))</f>
        <v/>
      </c>
      <c r="F3783">
        <f>AND(k_n&gt;=5,B3783&gt;A3783+1E-9,C3783&gt;=2,D3783&gt;=1,E3783&gt;=2)</f>
        <v/>
      </c>
      <c r="G3783">
        <f>SUMPRODUCT(Calc!$K$3:$K$22*(Calc!$G$3:$G$22&gt;A3783)*(Calc!$G$3:$G$22-A3783))</f>
        <v/>
      </c>
      <c r="H3783">
        <f>SUMPRODUCT(Calc!$K$3:$K$22*(Calc!$G$3:$G$22&gt;B3783)*(Calc!$G$3:$G$22-B3783))</f>
        <v/>
      </c>
      <c r="I3783">
        <f>SUMPRODUCT(Calc!$K$3:$K$22*(Calc!$G$3:$G$22&gt;A3783)*(Calc!$G$3:$G$22-A3783)^2)</f>
        <v/>
      </c>
      <c r="J3783">
        <f>SUMPRODUCT(Calc!$K$3:$K$22*(Calc!$G$3:$G$22&gt;B3783)*(Calc!$G$3:$G$22-B3783)^2)</f>
        <v/>
      </c>
      <c r="K3783">
        <f>SUMPRODUCT(Calc!$K$3:$K$22*(Calc!$G$3:$G$22&gt;A3783)*(Calc!$G$3:$G$22-A3783)*(Calc!$G$3:$G$22&gt;B3783)*(Calc!$G$3:$G$22-B3783))</f>
        <v/>
      </c>
      <c r="L3783">
        <f>SUMPRODUCT(Calc!$K$3:$K$22*(Calc!$G$3:$G$22&gt;A3783)*(Calc!$G$3:$G$22-A3783)*Calc!$G$3:$G$22)</f>
        <v/>
      </c>
      <c r="M3783">
        <f>SUMPRODUCT(Calc!$K$3:$K$22*(Calc!$G$3:$G$22&gt;B3783)*(Calc!$G$3:$G$22-B3783)*Calc!$G$3:$G$22)</f>
        <v/>
      </c>
      <c r="N3783">
        <f>SUMPRODUCT(Calc!$K$3:$K$22*(Calc!$G$3:$G$22&gt;A3783)*(Calc!$G$3:$G$22-A3783)*Calc!$I$3:$I$22)</f>
        <v/>
      </c>
      <c r="O3783">
        <f>SUMPRODUCT(Calc!$K$3:$K$22*(Calc!$G$3:$G$22&gt;B3783)*(Calc!$G$3:$G$22-B3783)*Calc!$I$3:$I$22)</f>
        <v/>
      </c>
      <c r="P3783">
        <f>I3783-G3783^2/k_n</f>
        <v/>
      </c>
      <c r="Q3783">
        <f>J3783-H3783^2/k_n</f>
        <v/>
      </c>
      <c r="R3783">
        <f>K3783-G3783*H3783/k_n</f>
        <v/>
      </c>
      <c r="S3783">
        <f>L3783-LTP3!$D$3*G3783/k_n</f>
        <v/>
      </c>
      <c r="T3783">
        <f>M3783-LTP3!$D$3*H3783/k_n</f>
        <v/>
      </c>
      <c r="U3783">
        <f>N3783-G3783*LTP3!$D$4/k_n</f>
        <v/>
      </c>
      <c r="V3783">
        <f>O3783-H3783*LTP3!$D$4/k_n</f>
        <v/>
      </c>
      <c r="W3783">
        <f>((LTP3!$D$5)*((P3783)*(Q3783)-(R3783)*(R3783))-(S3783)*((S3783)*(Q3783)-(R3783)*(T3783))+(T3783)*((S3783)*(R3783)-(P3783)*(T3783)))</f>
        <v/>
      </c>
      <c r="X3783">
        <f>IF(ABS(W3783)&gt;1E-12,((LTP3!$D$6)*((P3783)*(Q3783)-(R3783)*(R3783))-(S3783)*((U3783)*(Q3783)-(R3783)*(V3783))+(T3783)*((U3783)*(R3783)-(P3783)*(V3783)))/W3783,0)</f>
        <v/>
      </c>
      <c r="Y3783">
        <f>IF(ABS(W3783)&gt;1E-12,((LTP3!$D$5)*((U3783)*(Q3783)-(R3783)*(V3783))-(LTP3!$D$6)*((S3783)*(Q3783)-(R3783)*(T3783))+(T3783)*((S3783)*(V3783)-(U3783)*(T3783)))/W3783,0)</f>
        <v/>
      </c>
      <c r="Z3783">
        <f>IF(ABS(W3783)&gt;1E-12,((LTP3!$D$5)*((P3783)*(V3783)-(U3783)*(R3783))-(S3783)*((S3783)*(V3783)-(U3783)*(T3783))+(LTP3!$D$6)*((S3783)*(R3783)-(P3783)*(T3783)))/W3783,0)</f>
        <v/>
      </c>
      <c r="AA3783">
        <f>LTP3!$D$7-X3783*LTP3!$D$6-Y3783*U3783-Z3783*V3783</f>
        <v/>
      </c>
      <c r="AB3783">
        <f>IF(AND(F3783,ABS(W3783)&gt;1E-12,Y3783&gt;0,Z3783&gt;0),AA3783,1E+300)</f>
        <v/>
      </c>
    </row>
    <row r="3784">
      <c r="A3784">
        <f>$I$3-$B$5+$B$5*2/10</f>
        <v/>
      </c>
      <c r="B3784">
        <f>$J$3-$B$5+$B$5*6/10</f>
        <v/>
      </c>
      <c r="C3784">
        <f>SUMPRODUCT(Calc!$K$3:$K$22*(Calc!$G$3:$G$22&lt;=A3784))</f>
        <v/>
      </c>
      <c r="D3784">
        <f>SUMPRODUCT(Calc!$K$3:$K$22*(Calc!$G$3:$G$22&gt;A3784)*(Calc!$G$3:$G$22&lt;B3784))</f>
        <v/>
      </c>
      <c r="E3784">
        <f>SUMPRODUCT(Calc!$K$3:$K$22*(Calc!$G$3:$G$22&gt;=B3784))</f>
        <v/>
      </c>
      <c r="F3784">
        <f>AND(k_n&gt;=5,B3784&gt;A3784+1E-9,C3784&gt;=2,D3784&gt;=1,E3784&gt;=2)</f>
        <v/>
      </c>
      <c r="G3784">
        <f>SUMPRODUCT(Calc!$K$3:$K$22*(Calc!$G$3:$G$22&gt;A3784)*(Calc!$G$3:$G$22-A3784))</f>
        <v/>
      </c>
      <c r="H3784">
        <f>SUMPRODUCT(Calc!$K$3:$K$22*(Calc!$G$3:$G$22&gt;B3784)*(Calc!$G$3:$G$22-B3784))</f>
        <v/>
      </c>
      <c r="I3784">
        <f>SUMPRODUCT(Calc!$K$3:$K$22*(Calc!$G$3:$G$22&gt;A3784)*(Calc!$G$3:$G$22-A3784)^2)</f>
        <v/>
      </c>
      <c r="J3784">
        <f>SUMPRODUCT(Calc!$K$3:$K$22*(Calc!$G$3:$G$22&gt;B3784)*(Calc!$G$3:$G$22-B3784)^2)</f>
        <v/>
      </c>
      <c r="K3784">
        <f>SUMPRODUCT(Calc!$K$3:$K$22*(Calc!$G$3:$G$22&gt;A3784)*(Calc!$G$3:$G$22-A3784)*(Calc!$G$3:$G$22&gt;B3784)*(Calc!$G$3:$G$22-B3784))</f>
        <v/>
      </c>
      <c r="L3784">
        <f>SUMPRODUCT(Calc!$K$3:$K$22*(Calc!$G$3:$G$22&gt;A3784)*(Calc!$G$3:$G$22-A3784)*Calc!$G$3:$G$22)</f>
        <v/>
      </c>
      <c r="M3784">
        <f>SUMPRODUCT(Calc!$K$3:$K$22*(Calc!$G$3:$G$22&gt;B3784)*(Calc!$G$3:$G$22-B3784)*Calc!$G$3:$G$22)</f>
        <v/>
      </c>
      <c r="N3784">
        <f>SUMPRODUCT(Calc!$K$3:$K$22*(Calc!$G$3:$G$22&gt;A3784)*(Calc!$G$3:$G$22-A3784)*Calc!$I$3:$I$22)</f>
        <v/>
      </c>
      <c r="O3784">
        <f>SUMPRODUCT(Calc!$K$3:$K$22*(Calc!$G$3:$G$22&gt;B3784)*(Calc!$G$3:$G$22-B3784)*Calc!$I$3:$I$22)</f>
        <v/>
      </c>
      <c r="P3784">
        <f>I3784-G3784^2/k_n</f>
        <v/>
      </c>
      <c r="Q3784">
        <f>J3784-H3784^2/k_n</f>
        <v/>
      </c>
      <c r="R3784">
        <f>K3784-G3784*H3784/k_n</f>
        <v/>
      </c>
      <c r="S3784">
        <f>L3784-LTP3!$D$3*G3784/k_n</f>
        <v/>
      </c>
      <c r="T3784">
        <f>M3784-LTP3!$D$3*H3784/k_n</f>
        <v/>
      </c>
      <c r="U3784">
        <f>N3784-G3784*LTP3!$D$4/k_n</f>
        <v/>
      </c>
      <c r="V3784">
        <f>O3784-H3784*LTP3!$D$4/k_n</f>
        <v/>
      </c>
      <c r="W3784">
        <f>((LTP3!$D$5)*((P3784)*(Q3784)-(R3784)*(R3784))-(S3784)*((S3784)*(Q3784)-(R3784)*(T3784))+(T3784)*((S3784)*(R3784)-(P3784)*(T3784)))</f>
        <v/>
      </c>
      <c r="X3784">
        <f>IF(ABS(W3784)&gt;1E-12,((LTP3!$D$6)*((P3784)*(Q3784)-(R3784)*(R3784))-(S3784)*((U3784)*(Q3784)-(R3784)*(V3784))+(T3784)*((U3784)*(R3784)-(P3784)*(V3784)))/W3784,0)</f>
        <v/>
      </c>
      <c r="Y3784">
        <f>IF(ABS(W3784)&gt;1E-12,((LTP3!$D$5)*((U3784)*(Q3784)-(R3784)*(V3784))-(LTP3!$D$6)*((S3784)*(Q3784)-(R3784)*(T3784))+(T3784)*((S3784)*(V3784)-(U3784)*(T3784)))/W3784,0)</f>
        <v/>
      </c>
      <c r="Z3784">
        <f>IF(ABS(W3784)&gt;1E-12,((LTP3!$D$5)*((P3784)*(V3784)-(U3784)*(R3784))-(S3784)*((S3784)*(V3784)-(U3784)*(T3784))+(LTP3!$D$6)*((S3784)*(R3784)-(P3784)*(T3784)))/W3784,0)</f>
        <v/>
      </c>
      <c r="AA3784">
        <f>LTP3!$D$7-X3784*LTP3!$D$6-Y3784*U3784-Z3784*V3784</f>
        <v/>
      </c>
      <c r="AB3784">
        <f>IF(AND(F3784,ABS(W3784)&gt;1E-12,Y3784&gt;0,Z3784&gt;0),AA3784,1E+300)</f>
        <v/>
      </c>
    </row>
    <row r="3785">
      <c r="A3785">
        <f>$I$3-$B$5+$B$5*2/10</f>
        <v/>
      </c>
      <c r="B3785">
        <f>$J$3-$B$5+$B$5*7/10</f>
        <v/>
      </c>
      <c r="C3785">
        <f>SUMPRODUCT(Calc!$K$3:$K$22*(Calc!$G$3:$G$22&lt;=A3785))</f>
        <v/>
      </c>
      <c r="D3785">
        <f>SUMPRODUCT(Calc!$K$3:$K$22*(Calc!$G$3:$G$22&gt;A3785)*(Calc!$G$3:$G$22&lt;B3785))</f>
        <v/>
      </c>
      <c r="E3785">
        <f>SUMPRODUCT(Calc!$K$3:$K$22*(Calc!$G$3:$G$22&gt;=B3785))</f>
        <v/>
      </c>
      <c r="F3785">
        <f>AND(k_n&gt;=5,B3785&gt;A3785+1E-9,C3785&gt;=2,D3785&gt;=1,E3785&gt;=2)</f>
        <v/>
      </c>
      <c r="G3785">
        <f>SUMPRODUCT(Calc!$K$3:$K$22*(Calc!$G$3:$G$22&gt;A3785)*(Calc!$G$3:$G$22-A3785))</f>
        <v/>
      </c>
      <c r="H3785">
        <f>SUMPRODUCT(Calc!$K$3:$K$22*(Calc!$G$3:$G$22&gt;B3785)*(Calc!$G$3:$G$22-B3785))</f>
        <v/>
      </c>
      <c r="I3785">
        <f>SUMPRODUCT(Calc!$K$3:$K$22*(Calc!$G$3:$G$22&gt;A3785)*(Calc!$G$3:$G$22-A3785)^2)</f>
        <v/>
      </c>
      <c r="J3785">
        <f>SUMPRODUCT(Calc!$K$3:$K$22*(Calc!$G$3:$G$22&gt;B3785)*(Calc!$G$3:$G$22-B3785)^2)</f>
        <v/>
      </c>
      <c r="K3785">
        <f>SUMPRODUCT(Calc!$K$3:$K$22*(Calc!$G$3:$G$22&gt;A3785)*(Calc!$G$3:$G$22-A3785)*(Calc!$G$3:$G$22&gt;B3785)*(Calc!$G$3:$G$22-B3785))</f>
        <v/>
      </c>
      <c r="L3785">
        <f>SUMPRODUCT(Calc!$K$3:$K$22*(Calc!$G$3:$G$22&gt;A3785)*(Calc!$G$3:$G$22-A3785)*Calc!$G$3:$G$22)</f>
        <v/>
      </c>
      <c r="M3785">
        <f>SUMPRODUCT(Calc!$K$3:$K$22*(Calc!$G$3:$G$22&gt;B3785)*(Calc!$G$3:$G$22-B3785)*Calc!$G$3:$G$22)</f>
        <v/>
      </c>
      <c r="N3785">
        <f>SUMPRODUCT(Calc!$K$3:$K$22*(Calc!$G$3:$G$22&gt;A3785)*(Calc!$G$3:$G$22-A3785)*Calc!$I$3:$I$22)</f>
        <v/>
      </c>
      <c r="O3785">
        <f>SUMPRODUCT(Calc!$K$3:$K$22*(Calc!$G$3:$G$22&gt;B3785)*(Calc!$G$3:$G$22-B3785)*Calc!$I$3:$I$22)</f>
        <v/>
      </c>
      <c r="P3785">
        <f>I3785-G3785^2/k_n</f>
        <v/>
      </c>
      <c r="Q3785">
        <f>J3785-H3785^2/k_n</f>
        <v/>
      </c>
      <c r="R3785">
        <f>K3785-G3785*H3785/k_n</f>
        <v/>
      </c>
      <c r="S3785">
        <f>L3785-LTP3!$D$3*G3785/k_n</f>
        <v/>
      </c>
      <c r="T3785">
        <f>M3785-LTP3!$D$3*H3785/k_n</f>
        <v/>
      </c>
      <c r="U3785">
        <f>N3785-G3785*LTP3!$D$4/k_n</f>
        <v/>
      </c>
      <c r="V3785">
        <f>O3785-H3785*LTP3!$D$4/k_n</f>
        <v/>
      </c>
      <c r="W3785">
        <f>((LTP3!$D$5)*((P3785)*(Q3785)-(R3785)*(R3785))-(S3785)*((S3785)*(Q3785)-(R3785)*(T3785))+(T3785)*((S3785)*(R3785)-(P3785)*(T3785)))</f>
        <v/>
      </c>
      <c r="X3785">
        <f>IF(ABS(W3785)&gt;1E-12,((LTP3!$D$6)*((P3785)*(Q3785)-(R3785)*(R3785))-(S3785)*((U3785)*(Q3785)-(R3785)*(V3785))+(T3785)*((U3785)*(R3785)-(P3785)*(V3785)))/W3785,0)</f>
        <v/>
      </c>
      <c r="Y3785">
        <f>IF(ABS(W3785)&gt;1E-12,((LTP3!$D$5)*((U3785)*(Q3785)-(R3785)*(V3785))-(LTP3!$D$6)*((S3785)*(Q3785)-(R3785)*(T3785))+(T3785)*((S3785)*(V3785)-(U3785)*(T3785)))/W3785,0)</f>
        <v/>
      </c>
      <c r="Z3785">
        <f>IF(ABS(W3785)&gt;1E-12,((LTP3!$D$5)*((P3785)*(V3785)-(U3785)*(R3785))-(S3785)*((S3785)*(V3785)-(U3785)*(T3785))+(LTP3!$D$6)*((S3785)*(R3785)-(P3785)*(T3785)))/W3785,0)</f>
        <v/>
      </c>
      <c r="AA3785">
        <f>LTP3!$D$7-X3785*LTP3!$D$6-Y3785*U3785-Z3785*V3785</f>
        <v/>
      </c>
      <c r="AB3785">
        <f>IF(AND(F3785,ABS(W3785)&gt;1E-12,Y3785&gt;0,Z3785&gt;0),AA3785,1E+300)</f>
        <v/>
      </c>
    </row>
    <row r="3786">
      <c r="A3786">
        <f>$I$3-$B$5+$B$5*2/10</f>
        <v/>
      </c>
      <c r="B3786">
        <f>$J$3-$B$5+$B$5*8/10</f>
        <v/>
      </c>
      <c r="C3786">
        <f>SUMPRODUCT(Calc!$K$3:$K$22*(Calc!$G$3:$G$22&lt;=A3786))</f>
        <v/>
      </c>
      <c r="D3786">
        <f>SUMPRODUCT(Calc!$K$3:$K$22*(Calc!$G$3:$G$22&gt;A3786)*(Calc!$G$3:$G$22&lt;B3786))</f>
        <v/>
      </c>
      <c r="E3786">
        <f>SUMPRODUCT(Calc!$K$3:$K$22*(Calc!$G$3:$G$22&gt;=B3786))</f>
        <v/>
      </c>
      <c r="F3786">
        <f>AND(k_n&gt;=5,B3786&gt;A3786+1E-9,C3786&gt;=2,D3786&gt;=1,E3786&gt;=2)</f>
        <v/>
      </c>
      <c r="G3786">
        <f>SUMPRODUCT(Calc!$K$3:$K$22*(Calc!$G$3:$G$22&gt;A3786)*(Calc!$G$3:$G$22-A3786))</f>
        <v/>
      </c>
      <c r="H3786">
        <f>SUMPRODUCT(Calc!$K$3:$K$22*(Calc!$G$3:$G$22&gt;B3786)*(Calc!$G$3:$G$22-B3786))</f>
        <v/>
      </c>
      <c r="I3786">
        <f>SUMPRODUCT(Calc!$K$3:$K$22*(Calc!$G$3:$G$22&gt;A3786)*(Calc!$G$3:$G$22-A3786)^2)</f>
        <v/>
      </c>
      <c r="J3786">
        <f>SUMPRODUCT(Calc!$K$3:$K$22*(Calc!$G$3:$G$22&gt;B3786)*(Calc!$G$3:$G$22-B3786)^2)</f>
        <v/>
      </c>
      <c r="K3786">
        <f>SUMPRODUCT(Calc!$K$3:$K$22*(Calc!$G$3:$G$22&gt;A3786)*(Calc!$G$3:$G$22-A3786)*(Calc!$G$3:$G$22&gt;B3786)*(Calc!$G$3:$G$22-B3786))</f>
        <v/>
      </c>
      <c r="L3786">
        <f>SUMPRODUCT(Calc!$K$3:$K$22*(Calc!$G$3:$G$22&gt;A3786)*(Calc!$G$3:$G$22-A3786)*Calc!$G$3:$G$22)</f>
        <v/>
      </c>
      <c r="M3786">
        <f>SUMPRODUCT(Calc!$K$3:$K$22*(Calc!$G$3:$G$22&gt;B3786)*(Calc!$G$3:$G$22-B3786)*Calc!$G$3:$G$22)</f>
        <v/>
      </c>
      <c r="N3786">
        <f>SUMPRODUCT(Calc!$K$3:$K$22*(Calc!$G$3:$G$22&gt;A3786)*(Calc!$G$3:$G$22-A3786)*Calc!$I$3:$I$22)</f>
        <v/>
      </c>
      <c r="O3786">
        <f>SUMPRODUCT(Calc!$K$3:$K$22*(Calc!$G$3:$G$22&gt;B3786)*(Calc!$G$3:$G$22-B3786)*Calc!$I$3:$I$22)</f>
        <v/>
      </c>
      <c r="P3786">
        <f>I3786-G3786^2/k_n</f>
        <v/>
      </c>
      <c r="Q3786">
        <f>J3786-H3786^2/k_n</f>
        <v/>
      </c>
      <c r="R3786">
        <f>K3786-G3786*H3786/k_n</f>
        <v/>
      </c>
      <c r="S3786">
        <f>L3786-LTP3!$D$3*G3786/k_n</f>
        <v/>
      </c>
      <c r="T3786">
        <f>M3786-LTP3!$D$3*H3786/k_n</f>
        <v/>
      </c>
      <c r="U3786">
        <f>N3786-G3786*LTP3!$D$4/k_n</f>
        <v/>
      </c>
      <c r="V3786">
        <f>O3786-H3786*LTP3!$D$4/k_n</f>
        <v/>
      </c>
      <c r="W3786">
        <f>((LTP3!$D$5)*((P3786)*(Q3786)-(R3786)*(R3786))-(S3786)*((S3786)*(Q3786)-(R3786)*(T3786))+(T3786)*((S3786)*(R3786)-(P3786)*(T3786)))</f>
        <v/>
      </c>
      <c r="X3786">
        <f>IF(ABS(W3786)&gt;1E-12,((LTP3!$D$6)*((P3786)*(Q3786)-(R3786)*(R3786))-(S3786)*((U3786)*(Q3786)-(R3786)*(V3786))+(T3786)*((U3786)*(R3786)-(P3786)*(V3786)))/W3786,0)</f>
        <v/>
      </c>
      <c r="Y3786">
        <f>IF(ABS(W3786)&gt;1E-12,((LTP3!$D$5)*((U3786)*(Q3786)-(R3786)*(V3786))-(LTP3!$D$6)*((S3786)*(Q3786)-(R3786)*(T3786))+(T3786)*((S3786)*(V3786)-(U3786)*(T3786)))/W3786,0)</f>
        <v/>
      </c>
      <c r="Z3786">
        <f>IF(ABS(W3786)&gt;1E-12,((LTP3!$D$5)*((P3786)*(V3786)-(U3786)*(R3786))-(S3786)*((S3786)*(V3786)-(U3786)*(T3786))+(LTP3!$D$6)*((S3786)*(R3786)-(P3786)*(T3786)))/W3786,0)</f>
        <v/>
      </c>
      <c r="AA3786">
        <f>LTP3!$D$7-X3786*LTP3!$D$6-Y3786*U3786-Z3786*V3786</f>
        <v/>
      </c>
      <c r="AB3786">
        <f>IF(AND(F3786,ABS(W3786)&gt;1E-12,Y3786&gt;0,Z3786&gt;0),AA3786,1E+300)</f>
        <v/>
      </c>
    </row>
    <row r="3787">
      <c r="A3787">
        <f>$I$3-$B$5+$B$5*2/10</f>
        <v/>
      </c>
      <c r="B3787">
        <f>$J$3-$B$5+$B$5*9/10</f>
        <v/>
      </c>
      <c r="C3787">
        <f>SUMPRODUCT(Calc!$K$3:$K$22*(Calc!$G$3:$G$22&lt;=A3787))</f>
        <v/>
      </c>
      <c r="D3787">
        <f>SUMPRODUCT(Calc!$K$3:$K$22*(Calc!$G$3:$G$22&gt;A3787)*(Calc!$G$3:$G$22&lt;B3787))</f>
        <v/>
      </c>
      <c r="E3787">
        <f>SUMPRODUCT(Calc!$K$3:$K$22*(Calc!$G$3:$G$22&gt;=B3787))</f>
        <v/>
      </c>
      <c r="F3787">
        <f>AND(k_n&gt;=5,B3787&gt;A3787+1E-9,C3787&gt;=2,D3787&gt;=1,E3787&gt;=2)</f>
        <v/>
      </c>
      <c r="G3787">
        <f>SUMPRODUCT(Calc!$K$3:$K$22*(Calc!$G$3:$G$22&gt;A3787)*(Calc!$G$3:$G$22-A3787))</f>
        <v/>
      </c>
      <c r="H3787">
        <f>SUMPRODUCT(Calc!$K$3:$K$22*(Calc!$G$3:$G$22&gt;B3787)*(Calc!$G$3:$G$22-B3787))</f>
        <v/>
      </c>
      <c r="I3787">
        <f>SUMPRODUCT(Calc!$K$3:$K$22*(Calc!$G$3:$G$22&gt;A3787)*(Calc!$G$3:$G$22-A3787)^2)</f>
        <v/>
      </c>
      <c r="J3787">
        <f>SUMPRODUCT(Calc!$K$3:$K$22*(Calc!$G$3:$G$22&gt;B3787)*(Calc!$G$3:$G$22-B3787)^2)</f>
        <v/>
      </c>
      <c r="K3787">
        <f>SUMPRODUCT(Calc!$K$3:$K$22*(Calc!$G$3:$G$22&gt;A3787)*(Calc!$G$3:$G$22-A3787)*(Calc!$G$3:$G$22&gt;B3787)*(Calc!$G$3:$G$22-B3787))</f>
        <v/>
      </c>
      <c r="L3787">
        <f>SUMPRODUCT(Calc!$K$3:$K$22*(Calc!$G$3:$G$22&gt;A3787)*(Calc!$G$3:$G$22-A3787)*Calc!$G$3:$G$22)</f>
        <v/>
      </c>
      <c r="M3787">
        <f>SUMPRODUCT(Calc!$K$3:$K$22*(Calc!$G$3:$G$22&gt;B3787)*(Calc!$G$3:$G$22-B3787)*Calc!$G$3:$G$22)</f>
        <v/>
      </c>
      <c r="N3787">
        <f>SUMPRODUCT(Calc!$K$3:$K$22*(Calc!$G$3:$G$22&gt;A3787)*(Calc!$G$3:$G$22-A3787)*Calc!$I$3:$I$22)</f>
        <v/>
      </c>
      <c r="O3787">
        <f>SUMPRODUCT(Calc!$K$3:$K$22*(Calc!$G$3:$G$22&gt;B3787)*(Calc!$G$3:$G$22-B3787)*Calc!$I$3:$I$22)</f>
        <v/>
      </c>
      <c r="P3787">
        <f>I3787-G3787^2/k_n</f>
        <v/>
      </c>
      <c r="Q3787">
        <f>J3787-H3787^2/k_n</f>
        <v/>
      </c>
      <c r="R3787">
        <f>K3787-G3787*H3787/k_n</f>
        <v/>
      </c>
      <c r="S3787">
        <f>L3787-LTP3!$D$3*G3787/k_n</f>
        <v/>
      </c>
      <c r="T3787">
        <f>M3787-LTP3!$D$3*H3787/k_n</f>
        <v/>
      </c>
      <c r="U3787">
        <f>N3787-G3787*LTP3!$D$4/k_n</f>
        <v/>
      </c>
      <c r="V3787">
        <f>O3787-H3787*LTP3!$D$4/k_n</f>
        <v/>
      </c>
      <c r="W3787">
        <f>((LTP3!$D$5)*((P3787)*(Q3787)-(R3787)*(R3787))-(S3787)*((S3787)*(Q3787)-(R3787)*(T3787))+(T3787)*((S3787)*(R3787)-(P3787)*(T3787)))</f>
        <v/>
      </c>
      <c r="X3787">
        <f>IF(ABS(W3787)&gt;1E-12,((LTP3!$D$6)*((P3787)*(Q3787)-(R3787)*(R3787))-(S3787)*((U3787)*(Q3787)-(R3787)*(V3787))+(T3787)*((U3787)*(R3787)-(P3787)*(V3787)))/W3787,0)</f>
        <v/>
      </c>
      <c r="Y3787">
        <f>IF(ABS(W3787)&gt;1E-12,((LTP3!$D$5)*((U3787)*(Q3787)-(R3787)*(V3787))-(LTP3!$D$6)*((S3787)*(Q3787)-(R3787)*(T3787))+(T3787)*((S3787)*(V3787)-(U3787)*(T3787)))/W3787,0)</f>
        <v/>
      </c>
      <c r="Z3787">
        <f>IF(ABS(W3787)&gt;1E-12,((LTP3!$D$5)*((P3787)*(V3787)-(U3787)*(R3787))-(S3787)*((S3787)*(V3787)-(U3787)*(T3787))+(LTP3!$D$6)*((S3787)*(R3787)-(P3787)*(T3787)))/W3787,0)</f>
        <v/>
      </c>
      <c r="AA3787">
        <f>LTP3!$D$7-X3787*LTP3!$D$6-Y3787*U3787-Z3787*V3787</f>
        <v/>
      </c>
      <c r="AB3787">
        <f>IF(AND(F3787,ABS(W3787)&gt;1E-12,Y3787&gt;0,Z3787&gt;0),AA3787,1E+300)</f>
        <v/>
      </c>
    </row>
    <row r="3788">
      <c r="A3788">
        <f>$I$3-$B$5+$B$5*2/10</f>
        <v/>
      </c>
      <c r="B3788">
        <f>$J$3-$B$5+$B$5*10/10</f>
        <v/>
      </c>
      <c r="C3788">
        <f>SUMPRODUCT(Calc!$K$3:$K$22*(Calc!$G$3:$G$22&lt;=A3788))</f>
        <v/>
      </c>
      <c r="D3788">
        <f>SUMPRODUCT(Calc!$K$3:$K$22*(Calc!$G$3:$G$22&gt;A3788)*(Calc!$G$3:$G$22&lt;B3788))</f>
        <v/>
      </c>
      <c r="E3788">
        <f>SUMPRODUCT(Calc!$K$3:$K$22*(Calc!$G$3:$G$22&gt;=B3788))</f>
        <v/>
      </c>
      <c r="F3788">
        <f>AND(k_n&gt;=5,B3788&gt;A3788+1E-9,C3788&gt;=2,D3788&gt;=1,E3788&gt;=2)</f>
        <v/>
      </c>
      <c r="G3788">
        <f>SUMPRODUCT(Calc!$K$3:$K$22*(Calc!$G$3:$G$22&gt;A3788)*(Calc!$G$3:$G$22-A3788))</f>
        <v/>
      </c>
      <c r="H3788">
        <f>SUMPRODUCT(Calc!$K$3:$K$22*(Calc!$G$3:$G$22&gt;B3788)*(Calc!$G$3:$G$22-B3788))</f>
        <v/>
      </c>
      <c r="I3788">
        <f>SUMPRODUCT(Calc!$K$3:$K$22*(Calc!$G$3:$G$22&gt;A3788)*(Calc!$G$3:$G$22-A3788)^2)</f>
        <v/>
      </c>
      <c r="J3788">
        <f>SUMPRODUCT(Calc!$K$3:$K$22*(Calc!$G$3:$G$22&gt;B3788)*(Calc!$G$3:$G$22-B3788)^2)</f>
        <v/>
      </c>
      <c r="K3788">
        <f>SUMPRODUCT(Calc!$K$3:$K$22*(Calc!$G$3:$G$22&gt;A3788)*(Calc!$G$3:$G$22-A3788)*(Calc!$G$3:$G$22&gt;B3788)*(Calc!$G$3:$G$22-B3788))</f>
        <v/>
      </c>
      <c r="L3788">
        <f>SUMPRODUCT(Calc!$K$3:$K$22*(Calc!$G$3:$G$22&gt;A3788)*(Calc!$G$3:$G$22-A3788)*Calc!$G$3:$G$22)</f>
        <v/>
      </c>
      <c r="M3788">
        <f>SUMPRODUCT(Calc!$K$3:$K$22*(Calc!$G$3:$G$22&gt;B3788)*(Calc!$G$3:$G$22-B3788)*Calc!$G$3:$G$22)</f>
        <v/>
      </c>
      <c r="N3788">
        <f>SUMPRODUCT(Calc!$K$3:$K$22*(Calc!$G$3:$G$22&gt;A3788)*(Calc!$G$3:$G$22-A3788)*Calc!$I$3:$I$22)</f>
        <v/>
      </c>
      <c r="O3788">
        <f>SUMPRODUCT(Calc!$K$3:$K$22*(Calc!$G$3:$G$22&gt;B3788)*(Calc!$G$3:$G$22-B3788)*Calc!$I$3:$I$22)</f>
        <v/>
      </c>
      <c r="P3788">
        <f>I3788-G3788^2/k_n</f>
        <v/>
      </c>
      <c r="Q3788">
        <f>J3788-H3788^2/k_n</f>
        <v/>
      </c>
      <c r="R3788">
        <f>K3788-G3788*H3788/k_n</f>
        <v/>
      </c>
      <c r="S3788">
        <f>L3788-LTP3!$D$3*G3788/k_n</f>
        <v/>
      </c>
      <c r="T3788">
        <f>M3788-LTP3!$D$3*H3788/k_n</f>
        <v/>
      </c>
      <c r="U3788">
        <f>N3788-G3788*LTP3!$D$4/k_n</f>
        <v/>
      </c>
      <c r="V3788">
        <f>O3788-H3788*LTP3!$D$4/k_n</f>
        <v/>
      </c>
      <c r="W3788">
        <f>((LTP3!$D$5)*((P3788)*(Q3788)-(R3788)*(R3788))-(S3788)*((S3788)*(Q3788)-(R3788)*(T3788))+(T3788)*((S3788)*(R3788)-(P3788)*(T3788)))</f>
        <v/>
      </c>
      <c r="X3788">
        <f>IF(ABS(W3788)&gt;1E-12,((LTP3!$D$6)*((P3788)*(Q3788)-(R3788)*(R3788))-(S3788)*((U3788)*(Q3788)-(R3788)*(V3788))+(T3788)*((U3788)*(R3788)-(P3788)*(V3788)))/W3788,0)</f>
        <v/>
      </c>
      <c r="Y3788">
        <f>IF(ABS(W3788)&gt;1E-12,((LTP3!$D$5)*((U3788)*(Q3788)-(R3788)*(V3788))-(LTP3!$D$6)*((S3788)*(Q3788)-(R3788)*(T3788))+(T3788)*((S3788)*(V3788)-(U3788)*(T3788)))/W3788,0)</f>
        <v/>
      </c>
      <c r="Z3788">
        <f>IF(ABS(W3788)&gt;1E-12,((LTP3!$D$5)*((P3788)*(V3788)-(U3788)*(R3788))-(S3788)*((S3788)*(V3788)-(U3788)*(T3788))+(LTP3!$D$6)*((S3788)*(R3788)-(P3788)*(T3788)))/W3788,0)</f>
        <v/>
      </c>
      <c r="AA3788">
        <f>LTP3!$D$7-X3788*LTP3!$D$6-Y3788*U3788-Z3788*V3788</f>
        <v/>
      </c>
      <c r="AB3788">
        <f>IF(AND(F3788,ABS(W3788)&gt;1E-12,Y3788&gt;0,Z3788&gt;0),AA3788,1E+300)</f>
        <v/>
      </c>
    </row>
    <row r="3789">
      <c r="A3789">
        <f>$I$3-$B$5+$B$5*2/10</f>
        <v/>
      </c>
      <c r="B3789">
        <f>$J$3-$B$5+$B$5*11/10</f>
        <v/>
      </c>
      <c r="C3789">
        <f>SUMPRODUCT(Calc!$K$3:$K$22*(Calc!$G$3:$G$22&lt;=A3789))</f>
        <v/>
      </c>
      <c r="D3789">
        <f>SUMPRODUCT(Calc!$K$3:$K$22*(Calc!$G$3:$G$22&gt;A3789)*(Calc!$G$3:$G$22&lt;B3789))</f>
        <v/>
      </c>
      <c r="E3789">
        <f>SUMPRODUCT(Calc!$K$3:$K$22*(Calc!$G$3:$G$22&gt;=B3789))</f>
        <v/>
      </c>
      <c r="F3789">
        <f>AND(k_n&gt;=5,B3789&gt;A3789+1E-9,C3789&gt;=2,D3789&gt;=1,E3789&gt;=2)</f>
        <v/>
      </c>
      <c r="G3789">
        <f>SUMPRODUCT(Calc!$K$3:$K$22*(Calc!$G$3:$G$22&gt;A3789)*(Calc!$G$3:$G$22-A3789))</f>
        <v/>
      </c>
      <c r="H3789">
        <f>SUMPRODUCT(Calc!$K$3:$K$22*(Calc!$G$3:$G$22&gt;B3789)*(Calc!$G$3:$G$22-B3789))</f>
        <v/>
      </c>
      <c r="I3789">
        <f>SUMPRODUCT(Calc!$K$3:$K$22*(Calc!$G$3:$G$22&gt;A3789)*(Calc!$G$3:$G$22-A3789)^2)</f>
        <v/>
      </c>
      <c r="J3789">
        <f>SUMPRODUCT(Calc!$K$3:$K$22*(Calc!$G$3:$G$22&gt;B3789)*(Calc!$G$3:$G$22-B3789)^2)</f>
        <v/>
      </c>
      <c r="K3789">
        <f>SUMPRODUCT(Calc!$K$3:$K$22*(Calc!$G$3:$G$22&gt;A3789)*(Calc!$G$3:$G$22-A3789)*(Calc!$G$3:$G$22&gt;B3789)*(Calc!$G$3:$G$22-B3789))</f>
        <v/>
      </c>
      <c r="L3789">
        <f>SUMPRODUCT(Calc!$K$3:$K$22*(Calc!$G$3:$G$22&gt;A3789)*(Calc!$G$3:$G$22-A3789)*Calc!$G$3:$G$22)</f>
        <v/>
      </c>
      <c r="M3789">
        <f>SUMPRODUCT(Calc!$K$3:$K$22*(Calc!$G$3:$G$22&gt;B3789)*(Calc!$G$3:$G$22-B3789)*Calc!$G$3:$G$22)</f>
        <v/>
      </c>
      <c r="N3789">
        <f>SUMPRODUCT(Calc!$K$3:$K$22*(Calc!$G$3:$G$22&gt;A3789)*(Calc!$G$3:$G$22-A3789)*Calc!$I$3:$I$22)</f>
        <v/>
      </c>
      <c r="O3789">
        <f>SUMPRODUCT(Calc!$K$3:$K$22*(Calc!$G$3:$G$22&gt;B3789)*(Calc!$G$3:$G$22-B3789)*Calc!$I$3:$I$22)</f>
        <v/>
      </c>
      <c r="P3789">
        <f>I3789-G3789^2/k_n</f>
        <v/>
      </c>
      <c r="Q3789">
        <f>J3789-H3789^2/k_n</f>
        <v/>
      </c>
      <c r="R3789">
        <f>K3789-G3789*H3789/k_n</f>
        <v/>
      </c>
      <c r="S3789">
        <f>L3789-LTP3!$D$3*G3789/k_n</f>
        <v/>
      </c>
      <c r="T3789">
        <f>M3789-LTP3!$D$3*H3789/k_n</f>
        <v/>
      </c>
      <c r="U3789">
        <f>N3789-G3789*LTP3!$D$4/k_n</f>
        <v/>
      </c>
      <c r="V3789">
        <f>O3789-H3789*LTP3!$D$4/k_n</f>
        <v/>
      </c>
      <c r="W3789">
        <f>((LTP3!$D$5)*((P3789)*(Q3789)-(R3789)*(R3789))-(S3789)*((S3789)*(Q3789)-(R3789)*(T3789))+(T3789)*((S3789)*(R3789)-(P3789)*(T3789)))</f>
        <v/>
      </c>
      <c r="X3789">
        <f>IF(ABS(W3789)&gt;1E-12,((LTP3!$D$6)*((P3789)*(Q3789)-(R3789)*(R3789))-(S3789)*((U3789)*(Q3789)-(R3789)*(V3789))+(T3789)*((U3789)*(R3789)-(P3789)*(V3789)))/W3789,0)</f>
        <v/>
      </c>
      <c r="Y3789">
        <f>IF(ABS(W3789)&gt;1E-12,((LTP3!$D$5)*((U3789)*(Q3789)-(R3789)*(V3789))-(LTP3!$D$6)*((S3789)*(Q3789)-(R3789)*(T3789))+(T3789)*((S3789)*(V3789)-(U3789)*(T3789)))/W3789,0)</f>
        <v/>
      </c>
      <c r="Z3789">
        <f>IF(ABS(W3789)&gt;1E-12,((LTP3!$D$5)*((P3789)*(V3789)-(U3789)*(R3789))-(S3789)*((S3789)*(V3789)-(U3789)*(T3789))+(LTP3!$D$6)*((S3789)*(R3789)-(P3789)*(T3789)))/W3789,0)</f>
        <v/>
      </c>
      <c r="AA3789">
        <f>LTP3!$D$7-X3789*LTP3!$D$6-Y3789*U3789-Z3789*V3789</f>
        <v/>
      </c>
      <c r="AB3789">
        <f>IF(AND(F3789,ABS(W3789)&gt;1E-12,Y3789&gt;0,Z3789&gt;0),AA3789,1E+300)</f>
        <v/>
      </c>
    </row>
    <row r="3790">
      <c r="A3790">
        <f>$I$3-$B$5+$B$5*2/10</f>
        <v/>
      </c>
      <c r="B3790">
        <f>$J$3-$B$5+$B$5*12/10</f>
        <v/>
      </c>
      <c r="C3790">
        <f>SUMPRODUCT(Calc!$K$3:$K$22*(Calc!$G$3:$G$22&lt;=A3790))</f>
        <v/>
      </c>
      <c r="D3790">
        <f>SUMPRODUCT(Calc!$K$3:$K$22*(Calc!$G$3:$G$22&gt;A3790)*(Calc!$G$3:$G$22&lt;B3790))</f>
        <v/>
      </c>
      <c r="E3790">
        <f>SUMPRODUCT(Calc!$K$3:$K$22*(Calc!$G$3:$G$22&gt;=B3790))</f>
        <v/>
      </c>
      <c r="F3790">
        <f>AND(k_n&gt;=5,B3790&gt;A3790+1E-9,C3790&gt;=2,D3790&gt;=1,E3790&gt;=2)</f>
        <v/>
      </c>
      <c r="G3790">
        <f>SUMPRODUCT(Calc!$K$3:$K$22*(Calc!$G$3:$G$22&gt;A3790)*(Calc!$G$3:$G$22-A3790))</f>
        <v/>
      </c>
      <c r="H3790">
        <f>SUMPRODUCT(Calc!$K$3:$K$22*(Calc!$G$3:$G$22&gt;B3790)*(Calc!$G$3:$G$22-B3790))</f>
        <v/>
      </c>
      <c r="I3790">
        <f>SUMPRODUCT(Calc!$K$3:$K$22*(Calc!$G$3:$G$22&gt;A3790)*(Calc!$G$3:$G$22-A3790)^2)</f>
        <v/>
      </c>
      <c r="J3790">
        <f>SUMPRODUCT(Calc!$K$3:$K$22*(Calc!$G$3:$G$22&gt;B3790)*(Calc!$G$3:$G$22-B3790)^2)</f>
        <v/>
      </c>
      <c r="K3790">
        <f>SUMPRODUCT(Calc!$K$3:$K$22*(Calc!$G$3:$G$22&gt;A3790)*(Calc!$G$3:$G$22-A3790)*(Calc!$G$3:$G$22&gt;B3790)*(Calc!$G$3:$G$22-B3790))</f>
        <v/>
      </c>
      <c r="L3790">
        <f>SUMPRODUCT(Calc!$K$3:$K$22*(Calc!$G$3:$G$22&gt;A3790)*(Calc!$G$3:$G$22-A3790)*Calc!$G$3:$G$22)</f>
        <v/>
      </c>
      <c r="M3790">
        <f>SUMPRODUCT(Calc!$K$3:$K$22*(Calc!$G$3:$G$22&gt;B3790)*(Calc!$G$3:$G$22-B3790)*Calc!$G$3:$G$22)</f>
        <v/>
      </c>
      <c r="N3790">
        <f>SUMPRODUCT(Calc!$K$3:$K$22*(Calc!$G$3:$G$22&gt;A3790)*(Calc!$G$3:$G$22-A3790)*Calc!$I$3:$I$22)</f>
        <v/>
      </c>
      <c r="O3790">
        <f>SUMPRODUCT(Calc!$K$3:$K$22*(Calc!$G$3:$G$22&gt;B3790)*(Calc!$G$3:$G$22-B3790)*Calc!$I$3:$I$22)</f>
        <v/>
      </c>
      <c r="P3790">
        <f>I3790-G3790^2/k_n</f>
        <v/>
      </c>
      <c r="Q3790">
        <f>J3790-H3790^2/k_n</f>
        <v/>
      </c>
      <c r="R3790">
        <f>K3790-G3790*H3790/k_n</f>
        <v/>
      </c>
      <c r="S3790">
        <f>L3790-LTP3!$D$3*G3790/k_n</f>
        <v/>
      </c>
      <c r="T3790">
        <f>M3790-LTP3!$D$3*H3790/k_n</f>
        <v/>
      </c>
      <c r="U3790">
        <f>N3790-G3790*LTP3!$D$4/k_n</f>
        <v/>
      </c>
      <c r="V3790">
        <f>O3790-H3790*LTP3!$D$4/k_n</f>
        <v/>
      </c>
      <c r="W3790">
        <f>((LTP3!$D$5)*((P3790)*(Q3790)-(R3790)*(R3790))-(S3790)*((S3790)*(Q3790)-(R3790)*(T3790))+(T3790)*((S3790)*(R3790)-(P3790)*(T3790)))</f>
        <v/>
      </c>
      <c r="X3790">
        <f>IF(ABS(W3790)&gt;1E-12,((LTP3!$D$6)*((P3790)*(Q3790)-(R3790)*(R3790))-(S3790)*((U3790)*(Q3790)-(R3790)*(V3790))+(T3790)*((U3790)*(R3790)-(P3790)*(V3790)))/W3790,0)</f>
        <v/>
      </c>
      <c r="Y3790">
        <f>IF(ABS(W3790)&gt;1E-12,((LTP3!$D$5)*((U3790)*(Q3790)-(R3790)*(V3790))-(LTP3!$D$6)*((S3790)*(Q3790)-(R3790)*(T3790))+(T3790)*((S3790)*(V3790)-(U3790)*(T3790)))/W3790,0)</f>
        <v/>
      </c>
      <c r="Z3790">
        <f>IF(ABS(W3790)&gt;1E-12,((LTP3!$D$5)*((P3790)*(V3790)-(U3790)*(R3790))-(S3790)*((S3790)*(V3790)-(U3790)*(T3790))+(LTP3!$D$6)*((S3790)*(R3790)-(P3790)*(T3790)))/W3790,0)</f>
        <v/>
      </c>
      <c r="AA3790">
        <f>LTP3!$D$7-X3790*LTP3!$D$6-Y3790*U3790-Z3790*V3790</f>
        <v/>
      </c>
      <c r="AB3790">
        <f>IF(AND(F3790,ABS(W3790)&gt;1E-12,Y3790&gt;0,Z3790&gt;0),AA3790,1E+300)</f>
        <v/>
      </c>
    </row>
    <row r="3791">
      <c r="A3791">
        <f>$I$3-$B$5+$B$5*2/10</f>
        <v/>
      </c>
      <c r="B3791">
        <f>$J$3-$B$5+$B$5*13/10</f>
        <v/>
      </c>
      <c r="C3791">
        <f>SUMPRODUCT(Calc!$K$3:$K$22*(Calc!$G$3:$G$22&lt;=A3791))</f>
        <v/>
      </c>
      <c r="D3791">
        <f>SUMPRODUCT(Calc!$K$3:$K$22*(Calc!$G$3:$G$22&gt;A3791)*(Calc!$G$3:$G$22&lt;B3791))</f>
        <v/>
      </c>
      <c r="E3791">
        <f>SUMPRODUCT(Calc!$K$3:$K$22*(Calc!$G$3:$G$22&gt;=B3791))</f>
        <v/>
      </c>
      <c r="F3791">
        <f>AND(k_n&gt;=5,B3791&gt;A3791+1E-9,C3791&gt;=2,D3791&gt;=1,E3791&gt;=2)</f>
        <v/>
      </c>
      <c r="G3791">
        <f>SUMPRODUCT(Calc!$K$3:$K$22*(Calc!$G$3:$G$22&gt;A3791)*(Calc!$G$3:$G$22-A3791))</f>
        <v/>
      </c>
      <c r="H3791">
        <f>SUMPRODUCT(Calc!$K$3:$K$22*(Calc!$G$3:$G$22&gt;B3791)*(Calc!$G$3:$G$22-B3791))</f>
        <v/>
      </c>
      <c r="I3791">
        <f>SUMPRODUCT(Calc!$K$3:$K$22*(Calc!$G$3:$G$22&gt;A3791)*(Calc!$G$3:$G$22-A3791)^2)</f>
        <v/>
      </c>
      <c r="J3791">
        <f>SUMPRODUCT(Calc!$K$3:$K$22*(Calc!$G$3:$G$22&gt;B3791)*(Calc!$G$3:$G$22-B3791)^2)</f>
        <v/>
      </c>
      <c r="K3791">
        <f>SUMPRODUCT(Calc!$K$3:$K$22*(Calc!$G$3:$G$22&gt;A3791)*(Calc!$G$3:$G$22-A3791)*(Calc!$G$3:$G$22&gt;B3791)*(Calc!$G$3:$G$22-B3791))</f>
        <v/>
      </c>
      <c r="L3791">
        <f>SUMPRODUCT(Calc!$K$3:$K$22*(Calc!$G$3:$G$22&gt;A3791)*(Calc!$G$3:$G$22-A3791)*Calc!$G$3:$G$22)</f>
        <v/>
      </c>
      <c r="M3791">
        <f>SUMPRODUCT(Calc!$K$3:$K$22*(Calc!$G$3:$G$22&gt;B3791)*(Calc!$G$3:$G$22-B3791)*Calc!$G$3:$G$22)</f>
        <v/>
      </c>
      <c r="N3791">
        <f>SUMPRODUCT(Calc!$K$3:$K$22*(Calc!$G$3:$G$22&gt;A3791)*(Calc!$G$3:$G$22-A3791)*Calc!$I$3:$I$22)</f>
        <v/>
      </c>
      <c r="O3791">
        <f>SUMPRODUCT(Calc!$K$3:$K$22*(Calc!$G$3:$G$22&gt;B3791)*(Calc!$G$3:$G$22-B3791)*Calc!$I$3:$I$22)</f>
        <v/>
      </c>
      <c r="P3791">
        <f>I3791-G3791^2/k_n</f>
        <v/>
      </c>
      <c r="Q3791">
        <f>J3791-H3791^2/k_n</f>
        <v/>
      </c>
      <c r="R3791">
        <f>K3791-G3791*H3791/k_n</f>
        <v/>
      </c>
      <c r="S3791">
        <f>L3791-LTP3!$D$3*G3791/k_n</f>
        <v/>
      </c>
      <c r="T3791">
        <f>M3791-LTP3!$D$3*H3791/k_n</f>
        <v/>
      </c>
      <c r="U3791">
        <f>N3791-G3791*LTP3!$D$4/k_n</f>
        <v/>
      </c>
      <c r="V3791">
        <f>O3791-H3791*LTP3!$D$4/k_n</f>
        <v/>
      </c>
      <c r="W3791">
        <f>((LTP3!$D$5)*((P3791)*(Q3791)-(R3791)*(R3791))-(S3791)*((S3791)*(Q3791)-(R3791)*(T3791))+(T3791)*((S3791)*(R3791)-(P3791)*(T3791)))</f>
        <v/>
      </c>
      <c r="X3791">
        <f>IF(ABS(W3791)&gt;1E-12,((LTP3!$D$6)*((P3791)*(Q3791)-(R3791)*(R3791))-(S3791)*((U3791)*(Q3791)-(R3791)*(V3791))+(T3791)*((U3791)*(R3791)-(P3791)*(V3791)))/W3791,0)</f>
        <v/>
      </c>
      <c r="Y3791">
        <f>IF(ABS(W3791)&gt;1E-12,((LTP3!$D$5)*((U3791)*(Q3791)-(R3791)*(V3791))-(LTP3!$D$6)*((S3791)*(Q3791)-(R3791)*(T3791))+(T3791)*((S3791)*(V3791)-(U3791)*(T3791)))/W3791,0)</f>
        <v/>
      </c>
      <c r="Z3791">
        <f>IF(ABS(W3791)&gt;1E-12,((LTP3!$D$5)*((P3791)*(V3791)-(U3791)*(R3791))-(S3791)*((S3791)*(V3791)-(U3791)*(T3791))+(LTP3!$D$6)*((S3791)*(R3791)-(P3791)*(T3791)))/W3791,0)</f>
        <v/>
      </c>
      <c r="AA3791">
        <f>LTP3!$D$7-X3791*LTP3!$D$6-Y3791*U3791-Z3791*V3791</f>
        <v/>
      </c>
      <c r="AB3791">
        <f>IF(AND(F3791,ABS(W3791)&gt;1E-12,Y3791&gt;0,Z3791&gt;0),AA3791,1E+300)</f>
        <v/>
      </c>
    </row>
    <row r="3792">
      <c r="A3792">
        <f>$I$3-$B$5+$B$5*2/10</f>
        <v/>
      </c>
      <c r="B3792">
        <f>$J$3-$B$5+$B$5*14/10</f>
        <v/>
      </c>
      <c r="C3792">
        <f>SUMPRODUCT(Calc!$K$3:$K$22*(Calc!$G$3:$G$22&lt;=A3792))</f>
        <v/>
      </c>
      <c r="D3792">
        <f>SUMPRODUCT(Calc!$K$3:$K$22*(Calc!$G$3:$G$22&gt;A3792)*(Calc!$G$3:$G$22&lt;B3792))</f>
        <v/>
      </c>
      <c r="E3792">
        <f>SUMPRODUCT(Calc!$K$3:$K$22*(Calc!$G$3:$G$22&gt;=B3792))</f>
        <v/>
      </c>
      <c r="F3792">
        <f>AND(k_n&gt;=5,B3792&gt;A3792+1E-9,C3792&gt;=2,D3792&gt;=1,E3792&gt;=2)</f>
        <v/>
      </c>
      <c r="G3792">
        <f>SUMPRODUCT(Calc!$K$3:$K$22*(Calc!$G$3:$G$22&gt;A3792)*(Calc!$G$3:$G$22-A3792))</f>
        <v/>
      </c>
      <c r="H3792">
        <f>SUMPRODUCT(Calc!$K$3:$K$22*(Calc!$G$3:$G$22&gt;B3792)*(Calc!$G$3:$G$22-B3792))</f>
        <v/>
      </c>
      <c r="I3792">
        <f>SUMPRODUCT(Calc!$K$3:$K$22*(Calc!$G$3:$G$22&gt;A3792)*(Calc!$G$3:$G$22-A3792)^2)</f>
        <v/>
      </c>
      <c r="J3792">
        <f>SUMPRODUCT(Calc!$K$3:$K$22*(Calc!$G$3:$G$22&gt;B3792)*(Calc!$G$3:$G$22-B3792)^2)</f>
        <v/>
      </c>
      <c r="K3792">
        <f>SUMPRODUCT(Calc!$K$3:$K$22*(Calc!$G$3:$G$22&gt;A3792)*(Calc!$G$3:$G$22-A3792)*(Calc!$G$3:$G$22&gt;B3792)*(Calc!$G$3:$G$22-B3792))</f>
        <v/>
      </c>
      <c r="L3792">
        <f>SUMPRODUCT(Calc!$K$3:$K$22*(Calc!$G$3:$G$22&gt;A3792)*(Calc!$G$3:$G$22-A3792)*Calc!$G$3:$G$22)</f>
        <v/>
      </c>
      <c r="M3792">
        <f>SUMPRODUCT(Calc!$K$3:$K$22*(Calc!$G$3:$G$22&gt;B3792)*(Calc!$G$3:$G$22-B3792)*Calc!$G$3:$G$22)</f>
        <v/>
      </c>
      <c r="N3792">
        <f>SUMPRODUCT(Calc!$K$3:$K$22*(Calc!$G$3:$G$22&gt;A3792)*(Calc!$G$3:$G$22-A3792)*Calc!$I$3:$I$22)</f>
        <v/>
      </c>
      <c r="O3792">
        <f>SUMPRODUCT(Calc!$K$3:$K$22*(Calc!$G$3:$G$22&gt;B3792)*(Calc!$G$3:$G$22-B3792)*Calc!$I$3:$I$22)</f>
        <v/>
      </c>
      <c r="P3792">
        <f>I3792-G3792^2/k_n</f>
        <v/>
      </c>
      <c r="Q3792">
        <f>J3792-H3792^2/k_n</f>
        <v/>
      </c>
      <c r="R3792">
        <f>K3792-G3792*H3792/k_n</f>
        <v/>
      </c>
      <c r="S3792">
        <f>L3792-LTP3!$D$3*G3792/k_n</f>
        <v/>
      </c>
      <c r="T3792">
        <f>M3792-LTP3!$D$3*H3792/k_n</f>
        <v/>
      </c>
      <c r="U3792">
        <f>N3792-G3792*LTP3!$D$4/k_n</f>
        <v/>
      </c>
      <c r="V3792">
        <f>O3792-H3792*LTP3!$D$4/k_n</f>
        <v/>
      </c>
      <c r="W3792">
        <f>((LTP3!$D$5)*((P3792)*(Q3792)-(R3792)*(R3792))-(S3792)*((S3792)*(Q3792)-(R3792)*(T3792))+(T3792)*((S3792)*(R3792)-(P3792)*(T3792)))</f>
        <v/>
      </c>
      <c r="X3792">
        <f>IF(ABS(W3792)&gt;1E-12,((LTP3!$D$6)*((P3792)*(Q3792)-(R3792)*(R3792))-(S3792)*((U3792)*(Q3792)-(R3792)*(V3792))+(T3792)*((U3792)*(R3792)-(P3792)*(V3792)))/W3792,0)</f>
        <v/>
      </c>
      <c r="Y3792">
        <f>IF(ABS(W3792)&gt;1E-12,((LTP3!$D$5)*((U3792)*(Q3792)-(R3792)*(V3792))-(LTP3!$D$6)*((S3792)*(Q3792)-(R3792)*(T3792))+(T3792)*((S3792)*(V3792)-(U3792)*(T3792)))/W3792,0)</f>
        <v/>
      </c>
      <c r="Z3792">
        <f>IF(ABS(W3792)&gt;1E-12,((LTP3!$D$5)*((P3792)*(V3792)-(U3792)*(R3792))-(S3792)*((S3792)*(V3792)-(U3792)*(T3792))+(LTP3!$D$6)*((S3792)*(R3792)-(P3792)*(T3792)))/W3792,0)</f>
        <v/>
      </c>
      <c r="AA3792">
        <f>LTP3!$D$7-X3792*LTP3!$D$6-Y3792*U3792-Z3792*V3792</f>
        <v/>
      </c>
      <c r="AB3792">
        <f>IF(AND(F3792,ABS(W3792)&gt;1E-12,Y3792&gt;0,Z3792&gt;0),AA3792,1E+300)</f>
        <v/>
      </c>
    </row>
    <row r="3793">
      <c r="A3793">
        <f>$I$3-$B$5+$B$5*2/10</f>
        <v/>
      </c>
      <c r="B3793">
        <f>$J$3-$B$5+$B$5*15/10</f>
        <v/>
      </c>
      <c r="C3793">
        <f>SUMPRODUCT(Calc!$K$3:$K$22*(Calc!$G$3:$G$22&lt;=A3793))</f>
        <v/>
      </c>
      <c r="D3793">
        <f>SUMPRODUCT(Calc!$K$3:$K$22*(Calc!$G$3:$G$22&gt;A3793)*(Calc!$G$3:$G$22&lt;B3793))</f>
        <v/>
      </c>
      <c r="E3793">
        <f>SUMPRODUCT(Calc!$K$3:$K$22*(Calc!$G$3:$G$22&gt;=B3793))</f>
        <v/>
      </c>
      <c r="F3793">
        <f>AND(k_n&gt;=5,B3793&gt;A3793+1E-9,C3793&gt;=2,D3793&gt;=1,E3793&gt;=2)</f>
        <v/>
      </c>
      <c r="G3793">
        <f>SUMPRODUCT(Calc!$K$3:$K$22*(Calc!$G$3:$G$22&gt;A3793)*(Calc!$G$3:$G$22-A3793))</f>
        <v/>
      </c>
      <c r="H3793">
        <f>SUMPRODUCT(Calc!$K$3:$K$22*(Calc!$G$3:$G$22&gt;B3793)*(Calc!$G$3:$G$22-B3793))</f>
        <v/>
      </c>
      <c r="I3793">
        <f>SUMPRODUCT(Calc!$K$3:$K$22*(Calc!$G$3:$G$22&gt;A3793)*(Calc!$G$3:$G$22-A3793)^2)</f>
        <v/>
      </c>
      <c r="J3793">
        <f>SUMPRODUCT(Calc!$K$3:$K$22*(Calc!$G$3:$G$22&gt;B3793)*(Calc!$G$3:$G$22-B3793)^2)</f>
        <v/>
      </c>
      <c r="K3793">
        <f>SUMPRODUCT(Calc!$K$3:$K$22*(Calc!$G$3:$G$22&gt;A3793)*(Calc!$G$3:$G$22-A3793)*(Calc!$G$3:$G$22&gt;B3793)*(Calc!$G$3:$G$22-B3793))</f>
        <v/>
      </c>
      <c r="L3793">
        <f>SUMPRODUCT(Calc!$K$3:$K$22*(Calc!$G$3:$G$22&gt;A3793)*(Calc!$G$3:$G$22-A3793)*Calc!$G$3:$G$22)</f>
        <v/>
      </c>
      <c r="M3793">
        <f>SUMPRODUCT(Calc!$K$3:$K$22*(Calc!$G$3:$G$22&gt;B3793)*(Calc!$G$3:$G$22-B3793)*Calc!$G$3:$G$22)</f>
        <v/>
      </c>
      <c r="N3793">
        <f>SUMPRODUCT(Calc!$K$3:$K$22*(Calc!$G$3:$G$22&gt;A3793)*(Calc!$G$3:$G$22-A3793)*Calc!$I$3:$I$22)</f>
        <v/>
      </c>
      <c r="O3793">
        <f>SUMPRODUCT(Calc!$K$3:$K$22*(Calc!$G$3:$G$22&gt;B3793)*(Calc!$G$3:$G$22-B3793)*Calc!$I$3:$I$22)</f>
        <v/>
      </c>
      <c r="P3793">
        <f>I3793-G3793^2/k_n</f>
        <v/>
      </c>
      <c r="Q3793">
        <f>J3793-H3793^2/k_n</f>
        <v/>
      </c>
      <c r="R3793">
        <f>K3793-G3793*H3793/k_n</f>
        <v/>
      </c>
      <c r="S3793">
        <f>L3793-LTP3!$D$3*G3793/k_n</f>
        <v/>
      </c>
      <c r="T3793">
        <f>M3793-LTP3!$D$3*H3793/k_n</f>
        <v/>
      </c>
      <c r="U3793">
        <f>N3793-G3793*LTP3!$D$4/k_n</f>
        <v/>
      </c>
      <c r="V3793">
        <f>O3793-H3793*LTP3!$D$4/k_n</f>
        <v/>
      </c>
      <c r="W3793">
        <f>((LTP3!$D$5)*((P3793)*(Q3793)-(R3793)*(R3793))-(S3793)*((S3793)*(Q3793)-(R3793)*(T3793))+(T3793)*((S3793)*(R3793)-(P3793)*(T3793)))</f>
        <v/>
      </c>
      <c r="X3793">
        <f>IF(ABS(W3793)&gt;1E-12,((LTP3!$D$6)*((P3793)*(Q3793)-(R3793)*(R3793))-(S3793)*((U3793)*(Q3793)-(R3793)*(V3793))+(T3793)*((U3793)*(R3793)-(P3793)*(V3793)))/W3793,0)</f>
        <v/>
      </c>
      <c r="Y3793">
        <f>IF(ABS(W3793)&gt;1E-12,((LTP3!$D$5)*((U3793)*(Q3793)-(R3793)*(V3793))-(LTP3!$D$6)*((S3793)*(Q3793)-(R3793)*(T3793))+(T3793)*((S3793)*(V3793)-(U3793)*(T3793)))/W3793,0)</f>
        <v/>
      </c>
      <c r="Z3793">
        <f>IF(ABS(W3793)&gt;1E-12,((LTP3!$D$5)*((P3793)*(V3793)-(U3793)*(R3793))-(S3793)*((S3793)*(V3793)-(U3793)*(T3793))+(LTP3!$D$6)*((S3793)*(R3793)-(P3793)*(T3793)))/W3793,0)</f>
        <v/>
      </c>
      <c r="AA3793">
        <f>LTP3!$D$7-X3793*LTP3!$D$6-Y3793*U3793-Z3793*V3793</f>
        <v/>
      </c>
      <c r="AB3793">
        <f>IF(AND(F3793,ABS(W3793)&gt;1E-12,Y3793&gt;0,Z3793&gt;0),AA3793,1E+300)</f>
        <v/>
      </c>
    </row>
    <row r="3794">
      <c r="A3794">
        <f>$I$3-$B$5+$B$5*2/10</f>
        <v/>
      </c>
      <c r="B3794">
        <f>$J$3-$B$5+$B$5*16/10</f>
        <v/>
      </c>
      <c r="C3794">
        <f>SUMPRODUCT(Calc!$K$3:$K$22*(Calc!$G$3:$G$22&lt;=A3794))</f>
        <v/>
      </c>
      <c r="D3794">
        <f>SUMPRODUCT(Calc!$K$3:$K$22*(Calc!$G$3:$G$22&gt;A3794)*(Calc!$G$3:$G$22&lt;B3794))</f>
        <v/>
      </c>
      <c r="E3794">
        <f>SUMPRODUCT(Calc!$K$3:$K$22*(Calc!$G$3:$G$22&gt;=B3794))</f>
        <v/>
      </c>
      <c r="F3794">
        <f>AND(k_n&gt;=5,B3794&gt;A3794+1E-9,C3794&gt;=2,D3794&gt;=1,E3794&gt;=2)</f>
        <v/>
      </c>
      <c r="G3794">
        <f>SUMPRODUCT(Calc!$K$3:$K$22*(Calc!$G$3:$G$22&gt;A3794)*(Calc!$G$3:$G$22-A3794))</f>
        <v/>
      </c>
      <c r="H3794">
        <f>SUMPRODUCT(Calc!$K$3:$K$22*(Calc!$G$3:$G$22&gt;B3794)*(Calc!$G$3:$G$22-B3794))</f>
        <v/>
      </c>
      <c r="I3794">
        <f>SUMPRODUCT(Calc!$K$3:$K$22*(Calc!$G$3:$G$22&gt;A3794)*(Calc!$G$3:$G$22-A3794)^2)</f>
        <v/>
      </c>
      <c r="J3794">
        <f>SUMPRODUCT(Calc!$K$3:$K$22*(Calc!$G$3:$G$22&gt;B3794)*(Calc!$G$3:$G$22-B3794)^2)</f>
        <v/>
      </c>
      <c r="K3794">
        <f>SUMPRODUCT(Calc!$K$3:$K$22*(Calc!$G$3:$G$22&gt;A3794)*(Calc!$G$3:$G$22-A3794)*(Calc!$G$3:$G$22&gt;B3794)*(Calc!$G$3:$G$22-B3794))</f>
        <v/>
      </c>
      <c r="L3794">
        <f>SUMPRODUCT(Calc!$K$3:$K$22*(Calc!$G$3:$G$22&gt;A3794)*(Calc!$G$3:$G$22-A3794)*Calc!$G$3:$G$22)</f>
        <v/>
      </c>
      <c r="M3794">
        <f>SUMPRODUCT(Calc!$K$3:$K$22*(Calc!$G$3:$G$22&gt;B3794)*(Calc!$G$3:$G$22-B3794)*Calc!$G$3:$G$22)</f>
        <v/>
      </c>
      <c r="N3794">
        <f>SUMPRODUCT(Calc!$K$3:$K$22*(Calc!$G$3:$G$22&gt;A3794)*(Calc!$G$3:$G$22-A3794)*Calc!$I$3:$I$22)</f>
        <v/>
      </c>
      <c r="O3794">
        <f>SUMPRODUCT(Calc!$K$3:$K$22*(Calc!$G$3:$G$22&gt;B3794)*(Calc!$G$3:$G$22-B3794)*Calc!$I$3:$I$22)</f>
        <v/>
      </c>
      <c r="P3794">
        <f>I3794-G3794^2/k_n</f>
        <v/>
      </c>
      <c r="Q3794">
        <f>J3794-H3794^2/k_n</f>
        <v/>
      </c>
      <c r="R3794">
        <f>K3794-G3794*H3794/k_n</f>
        <v/>
      </c>
      <c r="S3794">
        <f>L3794-LTP3!$D$3*G3794/k_n</f>
        <v/>
      </c>
      <c r="T3794">
        <f>M3794-LTP3!$D$3*H3794/k_n</f>
        <v/>
      </c>
      <c r="U3794">
        <f>N3794-G3794*LTP3!$D$4/k_n</f>
        <v/>
      </c>
      <c r="V3794">
        <f>O3794-H3794*LTP3!$D$4/k_n</f>
        <v/>
      </c>
      <c r="W3794">
        <f>((LTP3!$D$5)*((P3794)*(Q3794)-(R3794)*(R3794))-(S3794)*((S3794)*(Q3794)-(R3794)*(T3794))+(T3794)*((S3794)*(R3794)-(P3794)*(T3794)))</f>
        <v/>
      </c>
      <c r="X3794">
        <f>IF(ABS(W3794)&gt;1E-12,((LTP3!$D$6)*((P3794)*(Q3794)-(R3794)*(R3794))-(S3794)*((U3794)*(Q3794)-(R3794)*(V3794))+(T3794)*((U3794)*(R3794)-(P3794)*(V3794)))/W3794,0)</f>
        <v/>
      </c>
      <c r="Y3794">
        <f>IF(ABS(W3794)&gt;1E-12,((LTP3!$D$5)*((U3794)*(Q3794)-(R3794)*(V3794))-(LTP3!$D$6)*((S3794)*(Q3794)-(R3794)*(T3794))+(T3794)*((S3794)*(V3794)-(U3794)*(T3794)))/W3794,0)</f>
        <v/>
      </c>
      <c r="Z3794">
        <f>IF(ABS(W3794)&gt;1E-12,((LTP3!$D$5)*((P3794)*(V3794)-(U3794)*(R3794))-(S3794)*((S3794)*(V3794)-(U3794)*(T3794))+(LTP3!$D$6)*((S3794)*(R3794)-(P3794)*(T3794)))/W3794,0)</f>
        <v/>
      </c>
      <c r="AA3794">
        <f>LTP3!$D$7-X3794*LTP3!$D$6-Y3794*U3794-Z3794*V3794</f>
        <v/>
      </c>
      <c r="AB3794">
        <f>IF(AND(F3794,ABS(W3794)&gt;1E-12,Y3794&gt;0,Z3794&gt;0),AA3794,1E+300)</f>
        <v/>
      </c>
    </row>
    <row r="3795">
      <c r="A3795">
        <f>$I$3-$B$5+$B$5*2/10</f>
        <v/>
      </c>
      <c r="B3795">
        <f>$J$3-$B$5+$B$5*17/10</f>
        <v/>
      </c>
      <c r="C3795">
        <f>SUMPRODUCT(Calc!$K$3:$K$22*(Calc!$G$3:$G$22&lt;=A3795))</f>
        <v/>
      </c>
      <c r="D3795">
        <f>SUMPRODUCT(Calc!$K$3:$K$22*(Calc!$G$3:$G$22&gt;A3795)*(Calc!$G$3:$G$22&lt;B3795))</f>
        <v/>
      </c>
      <c r="E3795">
        <f>SUMPRODUCT(Calc!$K$3:$K$22*(Calc!$G$3:$G$22&gt;=B3795))</f>
        <v/>
      </c>
      <c r="F3795">
        <f>AND(k_n&gt;=5,B3795&gt;A3795+1E-9,C3795&gt;=2,D3795&gt;=1,E3795&gt;=2)</f>
        <v/>
      </c>
      <c r="G3795">
        <f>SUMPRODUCT(Calc!$K$3:$K$22*(Calc!$G$3:$G$22&gt;A3795)*(Calc!$G$3:$G$22-A3795))</f>
        <v/>
      </c>
      <c r="H3795">
        <f>SUMPRODUCT(Calc!$K$3:$K$22*(Calc!$G$3:$G$22&gt;B3795)*(Calc!$G$3:$G$22-B3795))</f>
        <v/>
      </c>
      <c r="I3795">
        <f>SUMPRODUCT(Calc!$K$3:$K$22*(Calc!$G$3:$G$22&gt;A3795)*(Calc!$G$3:$G$22-A3795)^2)</f>
        <v/>
      </c>
      <c r="J3795">
        <f>SUMPRODUCT(Calc!$K$3:$K$22*(Calc!$G$3:$G$22&gt;B3795)*(Calc!$G$3:$G$22-B3795)^2)</f>
        <v/>
      </c>
      <c r="K3795">
        <f>SUMPRODUCT(Calc!$K$3:$K$22*(Calc!$G$3:$G$22&gt;A3795)*(Calc!$G$3:$G$22-A3795)*(Calc!$G$3:$G$22&gt;B3795)*(Calc!$G$3:$G$22-B3795))</f>
        <v/>
      </c>
      <c r="L3795">
        <f>SUMPRODUCT(Calc!$K$3:$K$22*(Calc!$G$3:$G$22&gt;A3795)*(Calc!$G$3:$G$22-A3795)*Calc!$G$3:$G$22)</f>
        <v/>
      </c>
      <c r="M3795">
        <f>SUMPRODUCT(Calc!$K$3:$K$22*(Calc!$G$3:$G$22&gt;B3795)*(Calc!$G$3:$G$22-B3795)*Calc!$G$3:$G$22)</f>
        <v/>
      </c>
      <c r="N3795">
        <f>SUMPRODUCT(Calc!$K$3:$K$22*(Calc!$G$3:$G$22&gt;A3795)*(Calc!$G$3:$G$22-A3795)*Calc!$I$3:$I$22)</f>
        <v/>
      </c>
      <c r="O3795">
        <f>SUMPRODUCT(Calc!$K$3:$K$22*(Calc!$G$3:$G$22&gt;B3795)*(Calc!$G$3:$G$22-B3795)*Calc!$I$3:$I$22)</f>
        <v/>
      </c>
      <c r="P3795">
        <f>I3795-G3795^2/k_n</f>
        <v/>
      </c>
      <c r="Q3795">
        <f>J3795-H3795^2/k_n</f>
        <v/>
      </c>
      <c r="R3795">
        <f>K3795-G3795*H3795/k_n</f>
        <v/>
      </c>
      <c r="S3795">
        <f>L3795-LTP3!$D$3*G3795/k_n</f>
        <v/>
      </c>
      <c r="T3795">
        <f>M3795-LTP3!$D$3*H3795/k_n</f>
        <v/>
      </c>
      <c r="U3795">
        <f>N3795-G3795*LTP3!$D$4/k_n</f>
        <v/>
      </c>
      <c r="V3795">
        <f>O3795-H3795*LTP3!$D$4/k_n</f>
        <v/>
      </c>
      <c r="W3795">
        <f>((LTP3!$D$5)*((P3795)*(Q3795)-(R3795)*(R3795))-(S3795)*((S3795)*(Q3795)-(R3795)*(T3795))+(T3795)*((S3795)*(R3795)-(P3795)*(T3795)))</f>
        <v/>
      </c>
      <c r="X3795">
        <f>IF(ABS(W3795)&gt;1E-12,((LTP3!$D$6)*((P3795)*(Q3795)-(R3795)*(R3795))-(S3795)*((U3795)*(Q3795)-(R3795)*(V3795))+(T3795)*((U3795)*(R3795)-(P3795)*(V3795)))/W3795,0)</f>
        <v/>
      </c>
      <c r="Y3795">
        <f>IF(ABS(W3795)&gt;1E-12,((LTP3!$D$5)*((U3795)*(Q3795)-(R3795)*(V3795))-(LTP3!$D$6)*((S3795)*(Q3795)-(R3795)*(T3795))+(T3795)*((S3795)*(V3795)-(U3795)*(T3795)))/W3795,0)</f>
        <v/>
      </c>
      <c r="Z3795">
        <f>IF(ABS(W3795)&gt;1E-12,((LTP3!$D$5)*((P3795)*(V3795)-(U3795)*(R3795))-(S3795)*((S3795)*(V3795)-(U3795)*(T3795))+(LTP3!$D$6)*((S3795)*(R3795)-(P3795)*(T3795)))/W3795,0)</f>
        <v/>
      </c>
      <c r="AA3795">
        <f>LTP3!$D$7-X3795*LTP3!$D$6-Y3795*U3795-Z3795*V3795</f>
        <v/>
      </c>
      <c r="AB3795">
        <f>IF(AND(F3795,ABS(W3795)&gt;1E-12,Y3795&gt;0,Z3795&gt;0),AA3795,1E+300)</f>
        <v/>
      </c>
    </row>
    <row r="3796">
      <c r="A3796">
        <f>$I$3-$B$5+$B$5*2/10</f>
        <v/>
      </c>
      <c r="B3796">
        <f>$J$3-$B$5+$B$5*18/10</f>
        <v/>
      </c>
      <c r="C3796">
        <f>SUMPRODUCT(Calc!$K$3:$K$22*(Calc!$G$3:$G$22&lt;=A3796))</f>
        <v/>
      </c>
      <c r="D3796">
        <f>SUMPRODUCT(Calc!$K$3:$K$22*(Calc!$G$3:$G$22&gt;A3796)*(Calc!$G$3:$G$22&lt;B3796))</f>
        <v/>
      </c>
      <c r="E3796">
        <f>SUMPRODUCT(Calc!$K$3:$K$22*(Calc!$G$3:$G$22&gt;=B3796))</f>
        <v/>
      </c>
      <c r="F3796">
        <f>AND(k_n&gt;=5,B3796&gt;A3796+1E-9,C3796&gt;=2,D3796&gt;=1,E3796&gt;=2)</f>
        <v/>
      </c>
      <c r="G3796">
        <f>SUMPRODUCT(Calc!$K$3:$K$22*(Calc!$G$3:$G$22&gt;A3796)*(Calc!$G$3:$G$22-A3796))</f>
        <v/>
      </c>
      <c r="H3796">
        <f>SUMPRODUCT(Calc!$K$3:$K$22*(Calc!$G$3:$G$22&gt;B3796)*(Calc!$G$3:$G$22-B3796))</f>
        <v/>
      </c>
      <c r="I3796">
        <f>SUMPRODUCT(Calc!$K$3:$K$22*(Calc!$G$3:$G$22&gt;A3796)*(Calc!$G$3:$G$22-A3796)^2)</f>
        <v/>
      </c>
      <c r="J3796">
        <f>SUMPRODUCT(Calc!$K$3:$K$22*(Calc!$G$3:$G$22&gt;B3796)*(Calc!$G$3:$G$22-B3796)^2)</f>
        <v/>
      </c>
      <c r="K3796">
        <f>SUMPRODUCT(Calc!$K$3:$K$22*(Calc!$G$3:$G$22&gt;A3796)*(Calc!$G$3:$G$22-A3796)*(Calc!$G$3:$G$22&gt;B3796)*(Calc!$G$3:$G$22-B3796))</f>
        <v/>
      </c>
      <c r="L3796">
        <f>SUMPRODUCT(Calc!$K$3:$K$22*(Calc!$G$3:$G$22&gt;A3796)*(Calc!$G$3:$G$22-A3796)*Calc!$G$3:$G$22)</f>
        <v/>
      </c>
      <c r="M3796">
        <f>SUMPRODUCT(Calc!$K$3:$K$22*(Calc!$G$3:$G$22&gt;B3796)*(Calc!$G$3:$G$22-B3796)*Calc!$G$3:$G$22)</f>
        <v/>
      </c>
      <c r="N3796">
        <f>SUMPRODUCT(Calc!$K$3:$K$22*(Calc!$G$3:$G$22&gt;A3796)*(Calc!$G$3:$G$22-A3796)*Calc!$I$3:$I$22)</f>
        <v/>
      </c>
      <c r="O3796">
        <f>SUMPRODUCT(Calc!$K$3:$K$22*(Calc!$G$3:$G$22&gt;B3796)*(Calc!$G$3:$G$22-B3796)*Calc!$I$3:$I$22)</f>
        <v/>
      </c>
      <c r="P3796">
        <f>I3796-G3796^2/k_n</f>
        <v/>
      </c>
      <c r="Q3796">
        <f>J3796-H3796^2/k_n</f>
        <v/>
      </c>
      <c r="R3796">
        <f>K3796-G3796*H3796/k_n</f>
        <v/>
      </c>
      <c r="S3796">
        <f>L3796-LTP3!$D$3*G3796/k_n</f>
        <v/>
      </c>
      <c r="T3796">
        <f>M3796-LTP3!$D$3*H3796/k_n</f>
        <v/>
      </c>
      <c r="U3796">
        <f>N3796-G3796*LTP3!$D$4/k_n</f>
        <v/>
      </c>
      <c r="V3796">
        <f>O3796-H3796*LTP3!$D$4/k_n</f>
        <v/>
      </c>
      <c r="W3796">
        <f>((LTP3!$D$5)*((P3796)*(Q3796)-(R3796)*(R3796))-(S3796)*((S3796)*(Q3796)-(R3796)*(T3796))+(T3796)*((S3796)*(R3796)-(P3796)*(T3796)))</f>
        <v/>
      </c>
      <c r="X3796">
        <f>IF(ABS(W3796)&gt;1E-12,((LTP3!$D$6)*((P3796)*(Q3796)-(R3796)*(R3796))-(S3796)*((U3796)*(Q3796)-(R3796)*(V3796))+(T3796)*((U3796)*(R3796)-(P3796)*(V3796)))/W3796,0)</f>
        <v/>
      </c>
      <c r="Y3796">
        <f>IF(ABS(W3796)&gt;1E-12,((LTP3!$D$5)*((U3796)*(Q3796)-(R3796)*(V3796))-(LTP3!$D$6)*((S3796)*(Q3796)-(R3796)*(T3796))+(T3796)*((S3796)*(V3796)-(U3796)*(T3796)))/W3796,0)</f>
        <v/>
      </c>
      <c r="Z3796">
        <f>IF(ABS(W3796)&gt;1E-12,((LTP3!$D$5)*((P3796)*(V3796)-(U3796)*(R3796))-(S3796)*((S3796)*(V3796)-(U3796)*(T3796))+(LTP3!$D$6)*((S3796)*(R3796)-(P3796)*(T3796)))/W3796,0)</f>
        <v/>
      </c>
      <c r="AA3796">
        <f>LTP3!$D$7-X3796*LTP3!$D$6-Y3796*U3796-Z3796*V3796</f>
        <v/>
      </c>
      <c r="AB3796">
        <f>IF(AND(F3796,ABS(W3796)&gt;1E-12,Y3796&gt;0,Z3796&gt;0),AA3796,1E+300)</f>
        <v/>
      </c>
    </row>
    <row r="3797">
      <c r="A3797">
        <f>$I$3-$B$5+$B$5*2/10</f>
        <v/>
      </c>
      <c r="B3797">
        <f>$J$3-$B$5+$B$5*19/10</f>
        <v/>
      </c>
      <c r="C3797">
        <f>SUMPRODUCT(Calc!$K$3:$K$22*(Calc!$G$3:$G$22&lt;=A3797))</f>
        <v/>
      </c>
      <c r="D3797">
        <f>SUMPRODUCT(Calc!$K$3:$K$22*(Calc!$G$3:$G$22&gt;A3797)*(Calc!$G$3:$G$22&lt;B3797))</f>
        <v/>
      </c>
      <c r="E3797">
        <f>SUMPRODUCT(Calc!$K$3:$K$22*(Calc!$G$3:$G$22&gt;=B3797))</f>
        <v/>
      </c>
      <c r="F3797">
        <f>AND(k_n&gt;=5,B3797&gt;A3797+1E-9,C3797&gt;=2,D3797&gt;=1,E3797&gt;=2)</f>
        <v/>
      </c>
      <c r="G3797">
        <f>SUMPRODUCT(Calc!$K$3:$K$22*(Calc!$G$3:$G$22&gt;A3797)*(Calc!$G$3:$G$22-A3797))</f>
        <v/>
      </c>
      <c r="H3797">
        <f>SUMPRODUCT(Calc!$K$3:$K$22*(Calc!$G$3:$G$22&gt;B3797)*(Calc!$G$3:$G$22-B3797))</f>
        <v/>
      </c>
      <c r="I3797">
        <f>SUMPRODUCT(Calc!$K$3:$K$22*(Calc!$G$3:$G$22&gt;A3797)*(Calc!$G$3:$G$22-A3797)^2)</f>
        <v/>
      </c>
      <c r="J3797">
        <f>SUMPRODUCT(Calc!$K$3:$K$22*(Calc!$G$3:$G$22&gt;B3797)*(Calc!$G$3:$G$22-B3797)^2)</f>
        <v/>
      </c>
      <c r="K3797">
        <f>SUMPRODUCT(Calc!$K$3:$K$22*(Calc!$G$3:$G$22&gt;A3797)*(Calc!$G$3:$G$22-A3797)*(Calc!$G$3:$G$22&gt;B3797)*(Calc!$G$3:$G$22-B3797))</f>
        <v/>
      </c>
      <c r="L3797">
        <f>SUMPRODUCT(Calc!$K$3:$K$22*(Calc!$G$3:$G$22&gt;A3797)*(Calc!$G$3:$G$22-A3797)*Calc!$G$3:$G$22)</f>
        <v/>
      </c>
      <c r="M3797">
        <f>SUMPRODUCT(Calc!$K$3:$K$22*(Calc!$G$3:$G$22&gt;B3797)*(Calc!$G$3:$G$22-B3797)*Calc!$G$3:$G$22)</f>
        <v/>
      </c>
      <c r="N3797">
        <f>SUMPRODUCT(Calc!$K$3:$K$22*(Calc!$G$3:$G$22&gt;A3797)*(Calc!$G$3:$G$22-A3797)*Calc!$I$3:$I$22)</f>
        <v/>
      </c>
      <c r="O3797">
        <f>SUMPRODUCT(Calc!$K$3:$K$22*(Calc!$G$3:$G$22&gt;B3797)*(Calc!$G$3:$G$22-B3797)*Calc!$I$3:$I$22)</f>
        <v/>
      </c>
      <c r="P3797">
        <f>I3797-G3797^2/k_n</f>
        <v/>
      </c>
      <c r="Q3797">
        <f>J3797-H3797^2/k_n</f>
        <v/>
      </c>
      <c r="R3797">
        <f>K3797-G3797*H3797/k_n</f>
        <v/>
      </c>
      <c r="S3797">
        <f>L3797-LTP3!$D$3*G3797/k_n</f>
        <v/>
      </c>
      <c r="T3797">
        <f>M3797-LTP3!$D$3*H3797/k_n</f>
        <v/>
      </c>
      <c r="U3797">
        <f>N3797-G3797*LTP3!$D$4/k_n</f>
        <v/>
      </c>
      <c r="V3797">
        <f>O3797-H3797*LTP3!$D$4/k_n</f>
        <v/>
      </c>
      <c r="W3797">
        <f>((LTP3!$D$5)*((P3797)*(Q3797)-(R3797)*(R3797))-(S3797)*((S3797)*(Q3797)-(R3797)*(T3797))+(T3797)*((S3797)*(R3797)-(P3797)*(T3797)))</f>
        <v/>
      </c>
      <c r="X3797">
        <f>IF(ABS(W3797)&gt;1E-12,((LTP3!$D$6)*((P3797)*(Q3797)-(R3797)*(R3797))-(S3797)*((U3797)*(Q3797)-(R3797)*(V3797))+(T3797)*((U3797)*(R3797)-(P3797)*(V3797)))/W3797,0)</f>
        <v/>
      </c>
      <c r="Y3797">
        <f>IF(ABS(W3797)&gt;1E-12,((LTP3!$D$5)*((U3797)*(Q3797)-(R3797)*(V3797))-(LTP3!$D$6)*((S3797)*(Q3797)-(R3797)*(T3797))+(T3797)*((S3797)*(V3797)-(U3797)*(T3797)))/W3797,0)</f>
        <v/>
      </c>
      <c r="Z3797">
        <f>IF(ABS(W3797)&gt;1E-12,((LTP3!$D$5)*((P3797)*(V3797)-(U3797)*(R3797))-(S3797)*((S3797)*(V3797)-(U3797)*(T3797))+(LTP3!$D$6)*((S3797)*(R3797)-(P3797)*(T3797)))/W3797,0)</f>
        <v/>
      </c>
      <c r="AA3797">
        <f>LTP3!$D$7-X3797*LTP3!$D$6-Y3797*U3797-Z3797*V3797</f>
        <v/>
      </c>
      <c r="AB3797">
        <f>IF(AND(F3797,ABS(W3797)&gt;1E-12,Y3797&gt;0,Z3797&gt;0),AA3797,1E+300)</f>
        <v/>
      </c>
    </row>
    <row r="3798">
      <c r="A3798">
        <f>$I$3-$B$5+$B$5*2/10</f>
        <v/>
      </c>
      <c r="B3798">
        <f>$J$3-$B$5+$B$5*20/10</f>
        <v/>
      </c>
      <c r="C3798">
        <f>SUMPRODUCT(Calc!$K$3:$K$22*(Calc!$G$3:$G$22&lt;=A3798))</f>
        <v/>
      </c>
      <c r="D3798">
        <f>SUMPRODUCT(Calc!$K$3:$K$22*(Calc!$G$3:$G$22&gt;A3798)*(Calc!$G$3:$G$22&lt;B3798))</f>
        <v/>
      </c>
      <c r="E3798">
        <f>SUMPRODUCT(Calc!$K$3:$K$22*(Calc!$G$3:$G$22&gt;=B3798))</f>
        <v/>
      </c>
      <c r="F3798">
        <f>AND(k_n&gt;=5,B3798&gt;A3798+1E-9,C3798&gt;=2,D3798&gt;=1,E3798&gt;=2)</f>
        <v/>
      </c>
      <c r="G3798">
        <f>SUMPRODUCT(Calc!$K$3:$K$22*(Calc!$G$3:$G$22&gt;A3798)*(Calc!$G$3:$G$22-A3798))</f>
        <v/>
      </c>
      <c r="H3798">
        <f>SUMPRODUCT(Calc!$K$3:$K$22*(Calc!$G$3:$G$22&gt;B3798)*(Calc!$G$3:$G$22-B3798))</f>
        <v/>
      </c>
      <c r="I3798">
        <f>SUMPRODUCT(Calc!$K$3:$K$22*(Calc!$G$3:$G$22&gt;A3798)*(Calc!$G$3:$G$22-A3798)^2)</f>
        <v/>
      </c>
      <c r="J3798">
        <f>SUMPRODUCT(Calc!$K$3:$K$22*(Calc!$G$3:$G$22&gt;B3798)*(Calc!$G$3:$G$22-B3798)^2)</f>
        <v/>
      </c>
      <c r="K3798">
        <f>SUMPRODUCT(Calc!$K$3:$K$22*(Calc!$G$3:$G$22&gt;A3798)*(Calc!$G$3:$G$22-A3798)*(Calc!$G$3:$G$22&gt;B3798)*(Calc!$G$3:$G$22-B3798))</f>
        <v/>
      </c>
      <c r="L3798">
        <f>SUMPRODUCT(Calc!$K$3:$K$22*(Calc!$G$3:$G$22&gt;A3798)*(Calc!$G$3:$G$22-A3798)*Calc!$G$3:$G$22)</f>
        <v/>
      </c>
      <c r="M3798">
        <f>SUMPRODUCT(Calc!$K$3:$K$22*(Calc!$G$3:$G$22&gt;B3798)*(Calc!$G$3:$G$22-B3798)*Calc!$G$3:$G$22)</f>
        <v/>
      </c>
      <c r="N3798">
        <f>SUMPRODUCT(Calc!$K$3:$K$22*(Calc!$G$3:$G$22&gt;A3798)*(Calc!$G$3:$G$22-A3798)*Calc!$I$3:$I$22)</f>
        <v/>
      </c>
      <c r="O3798">
        <f>SUMPRODUCT(Calc!$K$3:$K$22*(Calc!$G$3:$G$22&gt;B3798)*(Calc!$G$3:$G$22-B3798)*Calc!$I$3:$I$22)</f>
        <v/>
      </c>
      <c r="P3798">
        <f>I3798-G3798^2/k_n</f>
        <v/>
      </c>
      <c r="Q3798">
        <f>J3798-H3798^2/k_n</f>
        <v/>
      </c>
      <c r="R3798">
        <f>K3798-G3798*H3798/k_n</f>
        <v/>
      </c>
      <c r="S3798">
        <f>L3798-LTP3!$D$3*G3798/k_n</f>
        <v/>
      </c>
      <c r="T3798">
        <f>M3798-LTP3!$D$3*H3798/k_n</f>
        <v/>
      </c>
      <c r="U3798">
        <f>N3798-G3798*LTP3!$D$4/k_n</f>
        <v/>
      </c>
      <c r="V3798">
        <f>O3798-H3798*LTP3!$D$4/k_n</f>
        <v/>
      </c>
      <c r="W3798">
        <f>((LTP3!$D$5)*((P3798)*(Q3798)-(R3798)*(R3798))-(S3798)*((S3798)*(Q3798)-(R3798)*(T3798))+(T3798)*((S3798)*(R3798)-(P3798)*(T3798)))</f>
        <v/>
      </c>
      <c r="X3798">
        <f>IF(ABS(W3798)&gt;1E-12,((LTP3!$D$6)*((P3798)*(Q3798)-(R3798)*(R3798))-(S3798)*((U3798)*(Q3798)-(R3798)*(V3798))+(T3798)*((U3798)*(R3798)-(P3798)*(V3798)))/W3798,0)</f>
        <v/>
      </c>
      <c r="Y3798">
        <f>IF(ABS(W3798)&gt;1E-12,((LTP3!$D$5)*((U3798)*(Q3798)-(R3798)*(V3798))-(LTP3!$D$6)*((S3798)*(Q3798)-(R3798)*(T3798))+(T3798)*((S3798)*(V3798)-(U3798)*(T3798)))/W3798,0)</f>
        <v/>
      </c>
      <c r="Z3798">
        <f>IF(ABS(W3798)&gt;1E-12,((LTP3!$D$5)*((P3798)*(V3798)-(U3798)*(R3798))-(S3798)*((S3798)*(V3798)-(U3798)*(T3798))+(LTP3!$D$6)*((S3798)*(R3798)-(P3798)*(T3798)))/W3798,0)</f>
        <v/>
      </c>
      <c r="AA3798">
        <f>LTP3!$D$7-X3798*LTP3!$D$6-Y3798*U3798-Z3798*V3798</f>
        <v/>
      </c>
      <c r="AB3798">
        <f>IF(AND(F3798,ABS(W3798)&gt;1E-12,Y3798&gt;0,Z3798&gt;0),AA3798,1E+300)</f>
        <v/>
      </c>
    </row>
    <row r="3799">
      <c r="A3799">
        <f>$I$3-$B$5+$B$5*3/10</f>
        <v/>
      </c>
      <c r="B3799">
        <f>$J$3-$B$5+$B$5*0/10</f>
        <v/>
      </c>
      <c r="C3799">
        <f>SUMPRODUCT(Calc!$K$3:$K$22*(Calc!$G$3:$G$22&lt;=A3799))</f>
        <v/>
      </c>
      <c r="D3799">
        <f>SUMPRODUCT(Calc!$K$3:$K$22*(Calc!$G$3:$G$22&gt;A3799)*(Calc!$G$3:$G$22&lt;B3799))</f>
        <v/>
      </c>
      <c r="E3799">
        <f>SUMPRODUCT(Calc!$K$3:$K$22*(Calc!$G$3:$G$22&gt;=B3799))</f>
        <v/>
      </c>
      <c r="F3799">
        <f>AND(k_n&gt;=5,B3799&gt;A3799+1E-9,C3799&gt;=2,D3799&gt;=1,E3799&gt;=2)</f>
        <v/>
      </c>
      <c r="G3799">
        <f>SUMPRODUCT(Calc!$K$3:$K$22*(Calc!$G$3:$G$22&gt;A3799)*(Calc!$G$3:$G$22-A3799))</f>
        <v/>
      </c>
      <c r="H3799">
        <f>SUMPRODUCT(Calc!$K$3:$K$22*(Calc!$G$3:$G$22&gt;B3799)*(Calc!$G$3:$G$22-B3799))</f>
        <v/>
      </c>
      <c r="I3799">
        <f>SUMPRODUCT(Calc!$K$3:$K$22*(Calc!$G$3:$G$22&gt;A3799)*(Calc!$G$3:$G$22-A3799)^2)</f>
        <v/>
      </c>
      <c r="J3799">
        <f>SUMPRODUCT(Calc!$K$3:$K$22*(Calc!$G$3:$G$22&gt;B3799)*(Calc!$G$3:$G$22-B3799)^2)</f>
        <v/>
      </c>
      <c r="K3799">
        <f>SUMPRODUCT(Calc!$K$3:$K$22*(Calc!$G$3:$G$22&gt;A3799)*(Calc!$G$3:$G$22-A3799)*(Calc!$G$3:$G$22&gt;B3799)*(Calc!$G$3:$G$22-B3799))</f>
        <v/>
      </c>
      <c r="L3799">
        <f>SUMPRODUCT(Calc!$K$3:$K$22*(Calc!$G$3:$G$22&gt;A3799)*(Calc!$G$3:$G$22-A3799)*Calc!$G$3:$G$22)</f>
        <v/>
      </c>
      <c r="M3799">
        <f>SUMPRODUCT(Calc!$K$3:$K$22*(Calc!$G$3:$G$22&gt;B3799)*(Calc!$G$3:$G$22-B3799)*Calc!$G$3:$G$22)</f>
        <v/>
      </c>
      <c r="N3799">
        <f>SUMPRODUCT(Calc!$K$3:$K$22*(Calc!$G$3:$G$22&gt;A3799)*(Calc!$G$3:$G$22-A3799)*Calc!$I$3:$I$22)</f>
        <v/>
      </c>
      <c r="O3799">
        <f>SUMPRODUCT(Calc!$K$3:$K$22*(Calc!$G$3:$G$22&gt;B3799)*(Calc!$G$3:$G$22-B3799)*Calc!$I$3:$I$22)</f>
        <v/>
      </c>
      <c r="P3799">
        <f>I3799-G3799^2/k_n</f>
        <v/>
      </c>
      <c r="Q3799">
        <f>J3799-H3799^2/k_n</f>
        <v/>
      </c>
      <c r="R3799">
        <f>K3799-G3799*H3799/k_n</f>
        <v/>
      </c>
      <c r="S3799">
        <f>L3799-LTP3!$D$3*G3799/k_n</f>
        <v/>
      </c>
      <c r="T3799">
        <f>M3799-LTP3!$D$3*H3799/k_n</f>
        <v/>
      </c>
      <c r="U3799">
        <f>N3799-G3799*LTP3!$D$4/k_n</f>
        <v/>
      </c>
      <c r="V3799">
        <f>O3799-H3799*LTP3!$D$4/k_n</f>
        <v/>
      </c>
      <c r="W3799">
        <f>((LTP3!$D$5)*((P3799)*(Q3799)-(R3799)*(R3799))-(S3799)*((S3799)*(Q3799)-(R3799)*(T3799))+(T3799)*((S3799)*(R3799)-(P3799)*(T3799)))</f>
        <v/>
      </c>
      <c r="X3799">
        <f>IF(ABS(W3799)&gt;1E-12,((LTP3!$D$6)*((P3799)*(Q3799)-(R3799)*(R3799))-(S3799)*((U3799)*(Q3799)-(R3799)*(V3799))+(T3799)*((U3799)*(R3799)-(P3799)*(V3799)))/W3799,0)</f>
        <v/>
      </c>
      <c r="Y3799">
        <f>IF(ABS(W3799)&gt;1E-12,((LTP3!$D$5)*((U3799)*(Q3799)-(R3799)*(V3799))-(LTP3!$D$6)*((S3799)*(Q3799)-(R3799)*(T3799))+(T3799)*((S3799)*(V3799)-(U3799)*(T3799)))/W3799,0)</f>
        <v/>
      </c>
      <c r="Z3799">
        <f>IF(ABS(W3799)&gt;1E-12,((LTP3!$D$5)*((P3799)*(V3799)-(U3799)*(R3799))-(S3799)*((S3799)*(V3799)-(U3799)*(T3799))+(LTP3!$D$6)*((S3799)*(R3799)-(P3799)*(T3799)))/W3799,0)</f>
        <v/>
      </c>
      <c r="AA3799">
        <f>LTP3!$D$7-X3799*LTP3!$D$6-Y3799*U3799-Z3799*V3799</f>
        <v/>
      </c>
      <c r="AB3799">
        <f>IF(AND(F3799,ABS(W3799)&gt;1E-12,Y3799&gt;0,Z3799&gt;0),AA3799,1E+300)</f>
        <v/>
      </c>
    </row>
    <row r="3800">
      <c r="A3800">
        <f>$I$3-$B$5+$B$5*3/10</f>
        <v/>
      </c>
      <c r="B3800">
        <f>$J$3-$B$5+$B$5*1/10</f>
        <v/>
      </c>
      <c r="C3800">
        <f>SUMPRODUCT(Calc!$K$3:$K$22*(Calc!$G$3:$G$22&lt;=A3800))</f>
        <v/>
      </c>
      <c r="D3800">
        <f>SUMPRODUCT(Calc!$K$3:$K$22*(Calc!$G$3:$G$22&gt;A3800)*(Calc!$G$3:$G$22&lt;B3800))</f>
        <v/>
      </c>
      <c r="E3800">
        <f>SUMPRODUCT(Calc!$K$3:$K$22*(Calc!$G$3:$G$22&gt;=B3800))</f>
        <v/>
      </c>
      <c r="F3800">
        <f>AND(k_n&gt;=5,B3800&gt;A3800+1E-9,C3800&gt;=2,D3800&gt;=1,E3800&gt;=2)</f>
        <v/>
      </c>
      <c r="G3800">
        <f>SUMPRODUCT(Calc!$K$3:$K$22*(Calc!$G$3:$G$22&gt;A3800)*(Calc!$G$3:$G$22-A3800))</f>
        <v/>
      </c>
      <c r="H3800">
        <f>SUMPRODUCT(Calc!$K$3:$K$22*(Calc!$G$3:$G$22&gt;B3800)*(Calc!$G$3:$G$22-B3800))</f>
        <v/>
      </c>
      <c r="I3800">
        <f>SUMPRODUCT(Calc!$K$3:$K$22*(Calc!$G$3:$G$22&gt;A3800)*(Calc!$G$3:$G$22-A3800)^2)</f>
        <v/>
      </c>
      <c r="J3800">
        <f>SUMPRODUCT(Calc!$K$3:$K$22*(Calc!$G$3:$G$22&gt;B3800)*(Calc!$G$3:$G$22-B3800)^2)</f>
        <v/>
      </c>
      <c r="K3800">
        <f>SUMPRODUCT(Calc!$K$3:$K$22*(Calc!$G$3:$G$22&gt;A3800)*(Calc!$G$3:$G$22-A3800)*(Calc!$G$3:$G$22&gt;B3800)*(Calc!$G$3:$G$22-B3800))</f>
        <v/>
      </c>
      <c r="L3800">
        <f>SUMPRODUCT(Calc!$K$3:$K$22*(Calc!$G$3:$G$22&gt;A3800)*(Calc!$G$3:$G$22-A3800)*Calc!$G$3:$G$22)</f>
        <v/>
      </c>
      <c r="M3800">
        <f>SUMPRODUCT(Calc!$K$3:$K$22*(Calc!$G$3:$G$22&gt;B3800)*(Calc!$G$3:$G$22-B3800)*Calc!$G$3:$G$22)</f>
        <v/>
      </c>
      <c r="N3800">
        <f>SUMPRODUCT(Calc!$K$3:$K$22*(Calc!$G$3:$G$22&gt;A3800)*(Calc!$G$3:$G$22-A3800)*Calc!$I$3:$I$22)</f>
        <v/>
      </c>
      <c r="O3800">
        <f>SUMPRODUCT(Calc!$K$3:$K$22*(Calc!$G$3:$G$22&gt;B3800)*(Calc!$G$3:$G$22-B3800)*Calc!$I$3:$I$22)</f>
        <v/>
      </c>
      <c r="P3800">
        <f>I3800-G3800^2/k_n</f>
        <v/>
      </c>
      <c r="Q3800">
        <f>J3800-H3800^2/k_n</f>
        <v/>
      </c>
      <c r="R3800">
        <f>K3800-G3800*H3800/k_n</f>
        <v/>
      </c>
      <c r="S3800">
        <f>L3800-LTP3!$D$3*G3800/k_n</f>
        <v/>
      </c>
      <c r="T3800">
        <f>M3800-LTP3!$D$3*H3800/k_n</f>
        <v/>
      </c>
      <c r="U3800">
        <f>N3800-G3800*LTP3!$D$4/k_n</f>
        <v/>
      </c>
      <c r="V3800">
        <f>O3800-H3800*LTP3!$D$4/k_n</f>
        <v/>
      </c>
      <c r="W3800">
        <f>((LTP3!$D$5)*((P3800)*(Q3800)-(R3800)*(R3800))-(S3800)*((S3800)*(Q3800)-(R3800)*(T3800))+(T3800)*((S3800)*(R3800)-(P3800)*(T3800)))</f>
        <v/>
      </c>
      <c r="X3800">
        <f>IF(ABS(W3800)&gt;1E-12,((LTP3!$D$6)*((P3800)*(Q3800)-(R3800)*(R3800))-(S3800)*((U3800)*(Q3800)-(R3800)*(V3800))+(T3800)*((U3800)*(R3800)-(P3800)*(V3800)))/W3800,0)</f>
        <v/>
      </c>
      <c r="Y3800">
        <f>IF(ABS(W3800)&gt;1E-12,((LTP3!$D$5)*((U3800)*(Q3800)-(R3800)*(V3800))-(LTP3!$D$6)*((S3800)*(Q3800)-(R3800)*(T3800))+(T3800)*((S3800)*(V3800)-(U3800)*(T3800)))/W3800,0)</f>
        <v/>
      </c>
      <c r="Z3800">
        <f>IF(ABS(W3800)&gt;1E-12,((LTP3!$D$5)*((P3800)*(V3800)-(U3800)*(R3800))-(S3800)*((S3800)*(V3800)-(U3800)*(T3800))+(LTP3!$D$6)*((S3800)*(R3800)-(P3800)*(T3800)))/W3800,0)</f>
        <v/>
      </c>
      <c r="AA3800">
        <f>LTP3!$D$7-X3800*LTP3!$D$6-Y3800*U3800-Z3800*V3800</f>
        <v/>
      </c>
      <c r="AB3800">
        <f>IF(AND(F3800,ABS(W3800)&gt;1E-12,Y3800&gt;0,Z3800&gt;0),AA3800,1E+300)</f>
        <v/>
      </c>
    </row>
    <row r="3801">
      <c r="A3801">
        <f>$I$3-$B$5+$B$5*3/10</f>
        <v/>
      </c>
      <c r="B3801">
        <f>$J$3-$B$5+$B$5*2/10</f>
        <v/>
      </c>
      <c r="C3801">
        <f>SUMPRODUCT(Calc!$K$3:$K$22*(Calc!$G$3:$G$22&lt;=A3801))</f>
        <v/>
      </c>
      <c r="D3801">
        <f>SUMPRODUCT(Calc!$K$3:$K$22*(Calc!$G$3:$G$22&gt;A3801)*(Calc!$G$3:$G$22&lt;B3801))</f>
        <v/>
      </c>
      <c r="E3801">
        <f>SUMPRODUCT(Calc!$K$3:$K$22*(Calc!$G$3:$G$22&gt;=B3801))</f>
        <v/>
      </c>
      <c r="F3801">
        <f>AND(k_n&gt;=5,B3801&gt;A3801+1E-9,C3801&gt;=2,D3801&gt;=1,E3801&gt;=2)</f>
        <v/>
      </c>
      <c r="G3801">
        <f>SUMPRODUCT(Calc!$K$3:$K$22*(Calc!$G$3:$G$22&gt;A3801)*(Calc!$G$3:$G$22-A3801))</f>
        <v/>
      </c>
      <c r="H3801">
        <f>SUMPRODUCT(Calc!$K$3:$K$22*(Calc!$G$3:$G$22&gt;B3801)*(Calc!$G$3:$G$22-B3801))</f>
        <v/>
      </c>
      <c r="I3801">
        <f>SUMPRODUCT(Calc!$K$3:$K$22*(Calc!$G$3:$G$22&gt;A3801)*(Calc!$G$3:$G$22-A3801)^2)</f>
        <v/>
      </c>
      <c r="J3801">
        <f>SUMPRODUCT(Calc!$K$3:$K$22*(Calc!$G$3:$G$22&gt;B3801)*(Calc!$G$3:$G$22-B3801)^2)</f>
        <v/>
      </c>
      <c r="K3801">
        <f>SUMPRODUCT(Calc!$K$3:$K$22*(Calc!$G$3:$G$22&gt;A3801)*(Calc!$G$3:$G$22-A3801)*(Calc!$G$3:$G$22&gt;B3801)*(Calc!$G$3:$G$22-B3801))</f>
        <v/>
      </c>
      <c r="L3801">
        <f>SUMPRODUCT(Calc!$K$3:$K$22*(Calc!$G$3:$G$22&gt;A3801)*(Calc!$G$3:$G$22-A3801)*Calc!$G$3:$G$22)</f>
        <v/>
      </c>
      <c r="M3801">
        <f>SUMPRODUCT(Calc!$K$3:$K$22*(Calc!$G$3:$G$22&gt;B3801)*(Calc!$G$3:$G$22-B3801)*Calc!$G$3:$G$22)</f>
        <v/>
      </c>
      <c r="N3801">
        <f>SUMPRODUCT(Calc!$K$3:$K$22*(Calc!$G$3:$G$22&gt;A3801)*(Calc!$G$3:$G$22-A3801)*Calc!$I$3:$I$22)</f>
        <v/>
      </c>
      <c r="O3801">
        <f>SUMPRODUCT(Calc!$K$3:$K$22*(Calc!$G$3:$G$22&gt;B3801)*(Calc!$G$3:$G$22-B3801)*Calc!$I$3:$I$22)</f>
        <v/>
      </c>
      <c r="P3801">
        <f>I3801-G3801^2/k_n</f>
        <v/>
      </c>
      <c r="Q3801">
        <f>J3801-H3801^2/k_n</f>
        <v/>
      </c>
      <c r="R3801">
        <f>K3801-G3801*H3801/k_n</f>
        <v/>
      </c>
      <c r="S3801">
        <f>L3801-LTP3!$D$3*G3801/k_n</f>
        <v/>
      </c>
      <c r="T3801">
        <f>M3801-LTP3!$D$3*H3801/k_n</f>
        <v/>
      </c>
      <c r="U3801">
        <f>N3801-G3801*LTP3!$D$4/k_n</f>
        <v/>
      </c>
      <c r="V3801">
        <f>O3801-H3801*LTP3!$D$4/k_n</f>
        <v/>
      </c>
      <c r="W3801">
        <f>((LTP3!$D$5)*((P3801)*(Q3801)-(R3801)*(R3801))-(S3801)*((S3801)*(Q3801)-(R3801)*(T3801))+(T3801)*((S3801)*(R3801)-(P3801)*(T3801)))</f>
        <v/>
      </c>
      <c r="X3801">
        <f>IF(ABS(W3801)&gt;1E-12,((LTP3!$D$6)*((P3801)*(Q3801)-(R3801)*(R3801))-(S3801)*((U3801)*(Q3801)-(R3801)*(V3801))+(T3801)*((U3801)*(R3801)-(P3801)*(V3801)))/W3801,0)</f>
        <v/>
      </c>
      <c r="Y3801">
        <f>IF(ABS(W3801)&gt;1E-12,((LTP3!$D$5)*((U3801)*(Q3801)-(R3801)*(V3801))-(LTP3!$D$6)*((S3801)*(Q3801)-(R3801)*(T3801))+(T3801)*((S3801)*(V3801)-(U3801)*(T3801)))/W3801,0)</f>
        <v/>
      </c>
      <c r="Z3801">
        <f>IF(ABS(W3801)&gt;1E-12,((LTP3!$D$5)*((P3801)*(V3801)-(U3801)*(R3801))-(S3801)*((S3801)*(V3801)-(U3801)*(T3801))+(LTP3!$D$6)*((S3801)*(R3801)-(P3801)*(T3801)))/W3801,0)</f>
        <v/>
      </c>
      <c r="AA3801">
        <f>LTP3!$D$7-X3801*LTP3!$D$6-Y3801*U3801-Z3801*V3801</f>
        <v/>
      </c>
      <c r="AB3801">
        <f>IF(AND(F3801,ABS(W3801)&gt;1E-12,Y3801&gt;0,Z3801&gt;0),AA3801,1E+300)</f>
        <v/>
      </c>
    </row>
    <row r="3802">
      <c r="A3802">
        <f>$I$3-$B$5+$B$5*3/10</f>
        <v/>
      </c>
      <c r="B3802">
        <f>$J$3-$B$5+$B$5*3/10</f>
        <v/>
      </c>
      <c r="C3802">
        <f>SUMPRODUCT(Calc!$K$3:$K$22*(Calc!$G$3:$G$22&lt;=A3802))</f>
        <v/>
      </c>
      <c r="D3802">
        <f>SUMPRODUCT(Calc!$K$3:$K$22*(Calc!$G$3:$G$22&gt;A3802)*(Calc!$G$3:$G$22&lt;B3802))</f>
        <v/>
      </c>
      <c r="E3802">
        <f>SUMPRODUCT(Calc!$K$3:$K$22*(Calc!$G$3:$G$22&gt;=B3802))</f>
        <v/>
      </c>
      <c r="F3802">
        <f>AND(k_n&gt;=5,B3802&gt;A3802+1E-9,C3802&gt;=2,D3802&gt;=1,E3802&gt;=2)</f>
        <v/>
      </c>
      <c r="G3802">
        <f>SUMPRODUCT(Calc!$K$3:$K$22*(Calc!$G$3:$G$22&gt;A3802)*(Calc!$G$3:$G$22-A3802))</f>
        <v/>
      </c>
      <c r="H3802">
        <f>SUMPRODUCT(Calc!$K$3:$K$22*(Calc!$G$3:$G$22&gt;B3802)*(Calc!$G$3:$G$22-B3802))</f>
        <v/>
      </c>
      <c r="I3802">
        <f>SUMPRODUCT(Calc!$K$3:$K$22*(Calc!$G$3:$G$22&gt;A3802)*(Calc!$G$3:$G$22-A3802)^2)</f>
        <v/>
      </c>
      <c r="J3802">
        <f>SUMPRODUCT(Calc!$K$3:$K$22*(Calc!$G$3:$G$22&gt;B3802)*(Calc!$G$3:$G$22-B3802)^2)</f>
        <v/>
      </c>
      <c r="K3802">
        <f>SUMPRODUCT(Calc!$K$3:$K$22*(Calc!$G$3:$G$22&gt;A3802)*(Calc!$G$3:$G$22-A3802)*(Calc!$G$3:$G$22&gt;B3802)*(Calc!$G$3:$G$22-B3802))</f>
        <v/>
      </c>
      <c r="L3802">
        <f>SUMPRODUCT(Calc!$K$3:$K$22*(Calc!$G$3:$G$22&gt;A3802)*(Calc!$G$3:$G$22-A3802)*Calc!$G$3:$G$22)</f>
        <v/>
      </c>
      <c r="M3802">
        <f>SUMPRODUCT(Calc!$K$3:$K$22*(Calc!$G$3:$G$22&gt;B3802)*(Calc!$G$3:$G$22-B3802)*Calc!$G$3:$G$22)</f>
        <v/>
      </c>
      <c r="N3802">
        <f>SUMPRODUCT(Calc!$K$3:$K$22*(Calc!$G$3:$G$22&gt;A3802)*(Calc!$G$3:$G$22-A3802)*Calc!$I$3:$I$22)</f>
        <v/>
      </c>
      <c r="O3802">
        <f>SUMPRODUCT(Calc!$K$3:$K$22*(Calc!$G$3:$G$22&gt;B3802)*(Calc!$G$3:$G$22-B3802)*Calc!$I$3:$I$22)</f>
        <v/>
      </c>
      <c r="P3802">
        <f>I3802-G3802^2/k_n</f>
        <v/>
      </c>
      <c r="Q3802">
        <f>J3802-H3802^2/k_n</f>
        <v/>
      </c>
      <c r="R3802">
        <f>K3802-G3802*H3802/k_n</f>
        <v/>
      </c>
      <c r="S3802">
        <f>L3802-LTP3!$D$3*G3802/k_n</f>
        <v/>
      </c>
      <c r="T3802">
        <f>M3802-LTP3!$D$3*H3802/k_n</f>
        <v/>
      </c>
      <c r="U3802">
        <f>N3802-G3802*LTP3!$D$4/k_n</f>
        <v/>
      </c>
      <c r="V3802">
        <f>O3802-H3802*LTP3!$D$4/k_n</f>
        <v/>
      </c>
      <c r="W3802">
        <f>((LTP3!$D$5)*((P3802)*(Q3802)-(R3802)*(R3802))-(S3802)*((S3802)*(Q3802)-(R3802)*(T3802))+(T3802)*((S3802)*(R3802)-(P3802)*(T3802)))</f>
        <v/>
      </c>
      <c r="X3802">
        <f>IF(ABS(W3802)&gt;1E-12,((LTP3!$D$6)*((P3802)*(Q3802)-(R3802)*(R3802))-(S3802)*((U3802)*(Q3802)-(R3802)*(V3802))+(T3802)*((U3802)*(R3802)-(P3802)*(V3802)))/W3802,0)</f>
        <v/>
      </c>
      <c r="Y3802">
        <f>IF(ABS(W3802)&gt;1E-12,((LTP3!$D$5)*((U3802)*(Q3802)-(R3802)*(V3802))-(LTP3!$D$6)*((S3802)*(Q3802)-(R3802)*(T3802))+(T3802)*((S3802)*(V3802)-(U3802)*(T3802)))/W3802,0)</f>
        <v/>
      </c>
      <c r="Z3802">
        <f>IF(ABS(W3802)&gt;1E-12,((LTP3!$D$5)*((P3802)*(V3802)-(U3802)*(R3802))-(S3802)*((S3802)*(V3802)-(U3802)*(T3802))+(LTP3!$D$6)*((S3802)*(R3802)-(P3802)*(T3802)))/W3802,0)</f>
        <v/>
      </c>
      <c r="AA3802">
        <f>LTP3!$D$7-X3802*LTP3!$D$6-Y3802*U3802-Z3802*V3802</f>
        <v/>
      </c>
      <c r="AB3802">
        <f>IF(AND(F3802,ABS(W3802)&gt;1E-12,Y3802&gt;0,Z3802&gt;0),AA3802,1E+300)</f>
        <v/>
      </c>
    </row>
    <row r="3803">
      <c r="A3803">
        <f>$I$3-$B$5+$B$5*3/10</f>
        <v/>
      </c>
      <c r="B3803">
        <f>$J$3-$B$5+$B$5*4/10</f>
        <v/>
      </c>
      <c r="C3803">
        <f>SUMPRODUCT(Calc!$K$3:$K$22*(Calc!$G$3:$G$22&lt;=A3803))</f>
        <v/>
      </c>
      <c r="D3803">
        <f>SUMPRODUCT(Calc!$K$3:$K$22*(Calc!$G$3:$G$22&gt;A3803)*(Calc!$G$3:$G$22&lt;B3803))</f>
        <v/>
      </c>
      <c r="E3803">
        <f>SUMPRODUCT(Calc!$K$3:$K$22*(Calc!$G$3:$G$22&gt;=B3803))</f>
        <v/>
      </c>
      <c r="F3803">
        <f>AND(k_n&gt;=5,B3803&gt;A3803+1E-9,C3803&gt;=2,D3803&gt;=1,E3803&gt;=2)</f>
        <v/>
      </c>
      <c r="G3803">
        <f>SUMPRODUCT(Calc!$K$3:$K$22*(Calc!$G$3:$G$22&gt;A3803)*(Calc!$G$3:$G$22-A3803))</f>
        <v/>
      </c>
      <c r="H3803">
        <f>SUMPRODUCT(Calc!$K$3:$K$22*(Calc!$G$3:$G$22&gt;B3803)*(Calc!$G$3:$G$22-B3803))</f>
        <v/>
      </c>
      <c r="I3803">
        <f>SUMPRODUCT(Calc!$K$3:$K$22*(Calc!$G$3:$G$22&gt;A3803)*(Calc!$G$3:$G$22-A3803)^2)</f>
        <v/>
      </c>
      <c r="J3803">
        <f>SUMPRODUCT(Calc!$K$3:$K$22*(Calc!$G$3:$G$22&gt;B3803)*(Calc!$G$3:$G$22-B3803)^2)</f>
        <v/>
      </c>
      <c r="K3803">
        <f>SUMPRODUCT(Calc!$K$3:$K$22*(Calc!$G$3:$G$22&gt;A3803)*(Calc!$G$3:$G$22-A3803)*(Calc!$G$3:$G$22&gt;B3803)*(Calc!$G$3:$G$22-B3803))</f>
        <v/>
      </c>
      <c r="L3803">
        <f>SUMPRODUCT(Calc!$K$3:$K$22*(Calc!$G$3:$G$22&gt;A3803)*(Calc!$G$3:$G$22-A3803)*Calc!$G$3:$G$22)</f>
        <v/>
      </c>
      <c r="M3803">
        <f>SUMPRODUCT(Calc!$K$3:$K$22*(Calc!$G$3:$G$22&gt;B3803)*(Calc!$G$3:$G$22-B3803)*Calc!$G$3:$G$22)</f>
        <v/>
      </c>
      <c r="N3803">
        <f>SUMPRODUCT(Calc!$K$3:$K$22*(Calc!$G$3:$G$22&gt;A3803)*(Calc!$G$3:$G$22-A3803)*Calc!$I$3:$I$22)</f>
        <v/>
      </c>
      <c r="O3803">
        <f>SUMPRODUCT(Calc!$K$3:$K$22*(Calc!$G$3:$G$22&gt;B3803)*(Calc!$G$3:$G$22-B3803)*Calc!$I$3:$I$22)</f>
        <v/>
      </c>
      <c r="P3803">
        <f>I3803-G3803^2/k_n</f>
        <v/>
      </c>
      <c r="Q3803">
        <f>J3803-H3803^2/k_n</f>
        <v/>
      </c>
      <c r="R3803">
        <f>K3803-G3803*H3803/k_n</f>
        <v/>
      </c>
      <c r="S3803">
        <f>L3803-LTP3!$D$3*G3803/k_n</f>
        <v/>
      </c>
      <c r="T3803">
        <f>M3803-LTP3!$D$3*H3803/k_n</f>
        <v/>
      </c>
      <c r="U3803">
        <f>N3803-G3803*LTP3!$D$4/k_n</f>
        <v/>
      </c>
      <c r="V3803">
        <f>O3803-H3803*LTP3!$D$4/k_n</f>
        <v/>
      </c>
      <c r="W3803">
        <f>((LTP3!$D$5)*((P3803)*(Q3803)-(R3803)*(R3803))-(S3803)*((S3803)*(Q3803)-(R3803)*(T3803))+(T3803)*((S3803)*(R3803)-(P3803)*(T3803)))</f>
        <v/>
      </c>
      <c r="X3803">
        <f>IF(ABS(W3803)&gt;1E-12,((LTP3!$D$6)*((P3803)*(Q3803)-(R3803)*(R3803))-(S3803)*((U3803)*(Q3803)-(R3803)*(V3803))+(T3803)*((U3803)*(R3803)-(P3803)*(V3803)))/W3803,0)</f>
        <v/>
      </c>
      <c r="Y3803">
        <f>IF(ABS(W3803)&gt;1E-12,((LTP3!$D$5)*((U3803)*(Q3803)-(R3803)*(V3803))-(LTP3!$D$6)*((S3803)*(Q3803)-(R3803)*(T3803))+(T3803)*((S3803)*(V3803)-(U3803)*(T3803)))/W3803,0)</f>
        <v/>
      </c>
      <c r="Z3803">
        <f>IF(ABS(W3803)&gt;1E-12,((LTP3!$D$5)*((P3803)*(V3803)-(U3803)*(R3803))-(S3803)*((S3803)*(V3803)-(U3803)*(T3803))+(LTP3!$D$6)*((S3803)*(R3803)-(P3803)*(T3803)))/W3803,0)</f>
        <v/>
      </c>
      <c r="AA3803">
        <f>LTP3!$D$7-X3803*LTP3!$D$6-Y3803*U3803-Z3803*V3803</f>
        <v/>
      </c>
      <c r="AB3803">
        <f>IF(AND(F3803,ABS(W3803)&gt;1E-12,Y3803&gt;0,Z3803&gt;0),AA3803,1E+300)</f>
        <v/>
      </c>
    </row>
    <row r="3804">
      <c r="A3804">
        <f>$I$3-$B$5+$B$5*3/10</f>
        <v/>
      </c>
      <c r="B3804">
        <f>$J$3-$B$5+$B$5*5/10</f>
        <v/>
      </c>
      <c r="C3804">
        <f>SUMPRODUCT(Calc!$K$3:$K$22*(Calc!$G$3:$G$22&lt;=A3804))</f>
        <v/>
      </c>
      <c r="D3804">
        <f>SUMPRODUCT(Calc!$K$3:$K$22*(Calc!$G$3:$G$22&gt;A3804)*(Calc!$G$3:$G$22&lt;B3804))</f>
        <v/>
      </c>
      <c r="E3804">
        <f>SUMPRODUCT(Calc!$K$3:$K$22*(Calc!$G$3:$G$22&gt;=B3804))</f>
        <v/>
      </c>
      <c r="F3804">
        <f>AND(k_n&gt;=5,B3804&gt;A3804+1E-9,C3804&gt;=2,D3804&gt;=1,E3804&gt;=2)</f>
        <v/>
      </c>
      <c r="G3804">
        <f>SUMPRODUCT(Calc!$K$3:$K$22*(Calc!$G$3:$G$22&gt;A3804)*(Calc!$G$3:$G$22-A3804))</f>
        <v/>
      </c>
      <c r="H3804">
        <f>SUMPRODUCT(Calc!$K$3:$K$22*(Calc!$G$3:$G$22&gt;B3804)*(Calc!$G$3:$G$22-B3804))</f>
        <v/>
      </c>
      <c r="I3804">
        <f>SUMPRODUCT(Calc!$K$3:$K$22*(Calc!$G$3:$G$22&gt;A3804)*(Calc!$G$3:$G$22-A3804)^2)</f>
        <v/>
      </c>
      <c r="J3804">
        <f>SUMPRODUCT(Calc!$K$3:$K$22*(Calc!$G$3:$G$22&gt;B3804)*(Calc!$G$3:$G$22-B3804)^2)</f>
        <v/>
      </c>
      <c r="K3804">
        <f>SUMPRODUCT(Calc!$K$3:$K$22*(Calc!$G$3:$G$22&gt;A3804)*(Calc!$G$3:$G$22-A3804)*(Calc!$G$3:$G$22&gt;B3804)*(Calc!$G$3:$G$22-B3804))</f>
        <v/>
      </c>
      <c r="L3804">
        <f>SUMPRODUCT(Calc!$K$3:$K$22*(Calc!$G$3:$G$22&gt;A3804)*(Calc!$G$3:$G$22-A3804)*Calc!$G$3:$G$22)</f>
        <v/>
      </c>
      <c r="M3804">
        <f>SUMPRODUCT(Calc!$K$3:$K$22*(Calc!$G$3:$G$22&gt;B3804)*(Calc!$G$3:$G$22-B3804)*Calc!$G$3:$G$22)</f>
        <v/>
      </c>
      <c r="N3804">
        <f>SUMPRODUCT(Calc!$K$3:$K$22*(Calc!$G$3:$G$22&gt;A3804)*(Calc!$G$3:$G$22-A3804)*Calc!$I$3:$I$22)</f>
        <v/>
      </c>
      <c r="O3804">
        <f>SUMPRODUCT(Calc!$K$3:$K$22*(Calc!$G$3:$G$22&gt;B3804)*(Calc!$G$3:$G$22-B3804)*Calc!$I$3:$I$22)</f>
        <v/>
      </c>
      <c r="P3804">
        <f>I3804-G3804^2/k_n</f>
        <v/>
      </c>
      <c r="Q3804">
        <f>J3804-H3804^2/k_n</f>
        <v/>
      </c>
      <c r="R3804">
        <f>K3804-G3804*H3804/k_n</f>
        <v/>
      </c>
      <c r="S3804">
        <f>L3804-LTP3!$D$3*G3804/k_n</f>
        <v/>
      </c>
      <c r="T3804">
        <f>M3804-LTP3!$D$3*H3804/k_n</f>
        <v/>
      </c>
      <c r="U3804">
        <f>N3804-G3804*LTP3!$D$4/k_n</f>
        <v/>
      </c>
      <c r="V3804">
        <f>O3804-H3804*LTP3!$D$4/k_n</f>
        <v/>
      </c>
      <c r="W3804">
        <f>((LTP3!$D$5)*((P3804)*(Q3804)-(R3804)*(R3804))-(S3804)*((S3804)*(Q3804)-(R3804)*(T3804))+(T3804)*((S3804)*(R3804)-(P3804)*(T3804)))</f>
        <v/>
      </c>
      <c r="X3804">
        <f>IF(ABS(W3804)&gt;1E-12,((LTP3!$D$6)*((P3804)*(Q3804)-(R3804)*(R3804))-(S3804)*((U3804)*(Q3804)-(R3804)*(V3804))+(T3804)*((U3804)*(R3804)-(P3804)*(V3804)))/W3804,0)</f>
        <v/>
      </c>
      <c r="Y3804">
        <f>IF(ABS(W3804)&gt;1E-12,((LTP3!$D$5)*((U3804)*(Q3804)-(R3804)*(V3804))-(LTP3!$D$6)*((S3804)*(Q3804)-(R3804)*(T3804))+(T3804)*((S3804)*(V3804)-(U3804)*(T3804)))/W3804,0)</f>
        <v/>
      </c>
      <c r="Z3804">
        <f>IF(ABS(W3804)&gt;1E-12,((LTP3!$D$5)*((P3804)*(V3804)-(U3804)*(R3804))-(S3804)*((S3804)*(V3804)-(U3804)*(T3804))+(LTP3!$D$6)*((S3804)*(R3804)-(P3804)*(T3804)))/W3804,0)</f>
        <v/>
      </c>
      <c r="AA3804">
        <f>LTP3!$D$7-X3804*LTP3!$D$6-Y3804*U3804-Z3804*V3804</f>
        <v/>
      </c>
      <c r="AB3804">
        <f>IF(AND(F3804,ABS(W3804)&gt;1E-12,Y3804&gt;0,Z3804&gt;0),AA3804,1E+300)</f>
        <v/>
      </c>
    </row>
    <row r="3805">
      <c r="A3805">
        <f>$I$3-$B$5+$B$5*3/10</f>
        <v/>
      </c>
      <c r="B3805">
        <f>$J$3-$B$5+$B$5*6/10</f>
        <v/>
      </c>
      <c r="C3805">
        <f>SUMPRODUCT(Calc!$K$3:$K$22*(Calc!$G$3:$G$22&lt;=A3805))</f>
        <v/>
      </c>
      <c r="D3805">
        <f>SUMPRODUCT(Calc!$K$3:$K$22*(Calc!$G$3:$G$22&gt;A3805)*(Calc!$G$3:$G$22&lt;B3805))</f>
        <v/>
      </c>
      <c r="E3805">
        <f>SUMPRODUCT(Calc!$K$3:$K$22*(Calc!$G$3:$G$22&gt;=B3805))</f>
        <v/>
      </c>
      <c r="F3805">
        <f>AND(k_n&gt;=5,B3805&gt;A3805+1E-9,C3805&gt;=2,D3805&gt;=1,E3805&gt;=2)</f>
        <v/>
      </c>
      <c r="G3805">
        <f>SUMPRODUCT(Calc!$K$3:$K$22*(Calc!$G$3:$G$22&gt;A3805)*(Calc!$G$3:$G$22-A3805))</f>
        <v/>
      </c>
      <c r="H3805">
        <f>SUMPRODUCT(Calc!$K$3:$K$22*(Calc!$G$3:$G$22&gt;B3805)*(Calc!$G$3:$G$22-B3805))</f>
        <v/>
      </c>
      <c r="I3805">
        <f>SUMPRODUCT(Calc!$K$3:$K$22*(Calc!$G$3:$G$22&gt;A3805)*(Calc!$G$3:$G$22-A3805)^2)</f>
        <v/>
      </c>
      <c r="J3805">
        <f>SUMPRODUCT(Calc!$K$3:$K$22*(Calc!$G$3:$G$22&gt;B3805)*(Calc!$G$3:$G$22-B3805)^2)</f>
        <v/>
      </c>
      <c r="K3805">
        <f>SUMPRODUCT(Calc!$K$3:$K$22*(Calc!$G$3:$G$22&gt;A3805)*(Calc!$G$3:$G$22-A3805)*(Calc!$G$3:$G$22&gt;B3805)*(Calc!$G$3:$G$22-B3805))</f>
        <v/>
      </c>
      <c r="L3805">
        <f>SUMPRODUCT(Calc!$K$3:$K$22*(Calc!$G$3:$G$22&gt;A3805)*(Calc!$G$3:$G$22-A3805)*Calc!$G$3:$G$22)</f>
        <v/>
      </c>
      <c r="M3805">
        <f>SUMPRODUCT(Calc!$K$3:$K$22*(Calc!$G$3:$G$22&gt;B3805)*(Calc!$G$3:$G$22-B3805)*Calc!$G$3:$G$22)</f>
        <v/>
      </c>
      <c r="N3805">
        <f>SUMPRODUCT(Calc!$K$3:$K$22*(Calc!$G$3:$G$22&gt;A3805)*(Calc!$G$3:$G$22-A3805)*Calc!$I$3:$I$22)</f>
        <v/>
      </c>
      <c r="O3805">
        <f>SUMPRODUCT(Calc!$K$3:$K$22*(Calc!$G$3:$G$22&gt;B3805)*(Calc!$G$3:$G$22-B3805)*Calc!$I$3:$I$22)</f>
        <v/>
      </c>
      <c r="P3805">
        <f>I3805-G3805^2/k_n</f>
        <v/>
      </c>
      <c r="Q3805">
        <f>J3805-H3805^2/k_n</f>
        <v/>
      </c>
      <c r="R3805">
        <f>K3805-G3805*H3805/k_n</f>
        <v/>
      </c>
      <c r="S3805">
        <f>L3805-LTP3!$D$3*G3805/k_n</f>
        <v/>
      </c>
      <c r="T3805">
        <f>M3805-LTP3!$D$3*H3805/k_n</f>
        <v/>
      </c>
      <c r="U3805">
        <f>N3805-G3805*LTP3!$D$4/k_n</f>
        <v/>
      </c>
      <c r="V3805">
        <f>O3805-H3805*LTP3!$D$4/k_n</f>
        <v/>
      </c>
      <c r="W3805">
        <f>((LTP3!$D$5)*((P3805)*(Q3805)-(R3805)*(R3805))-(S3805)*((S3805)*(Q3805)-(R3805)*(T3805))+(T3805)*((S3805)*(R3805)-(P3805)*(T3805)))</f>
        <v/>
      </c>
      <c r="X3805">
        <f>IF(ABS(W3805)&gt;1E-12,((LTP3!$D$6)*((P3805)*(Q3805)-(R3805)*(R3805))-(S3805)*((U3805)*(Q3805)-(R3805)*(V3805))+(T3805)*((U3805)*(R3805)-(P3805)*(V3805)))/W3805,0)</f>
        <v/>
      </c>
      <c r="Y3805">
        <f>IF(ABS(W3805)&gt;1E-12,((LTP3!$D$5)*((U3805)*(Q3805)-(R3805)*(V3805))-(LTP3!$D$6)*((S3805)*(Q3805)-(R3805)*(T3805))+(T3805)*((S3805)*(V3805)-(U3805)*(T3805)))/W3805,0)</f>
        <v/>
      </c>
      <c r="Z3805">
        <f>IF(ABS(W3805)&gt;1E-12,((LTP3!$D$5)*((P3805)*(V3805)-(U3805)*(R3805))-(S3805)*((S3805)*(V3805)-(U3805)*(T3805))+(LTP3!$D$6)*((S3805)*(R3805)-(P3805)*(T3805)))/W3805,0)</f>
        <v/>
      </c>
      <c r="AA3805">
        <f>LTP3!$D$7-X3805*LTP3!$D$6-Y3805*U3805-Z3805*V3805</f>
        <v/>
      </c>
      <c r="AB3805">
        <f>IF(AND(F3805,ABS(W3805)&gt;1E-12,Y3805&gt;0,Z3805&gt;0),AA3805,1E+300)</f>
        <v/>
      </c>
    </row>
    <row r="3806">
      <c r="A3806">
        <f>$I$3-$B$5+$B$5*3/10</f>
        <v/>
      </c>
      <c r="B3806">
        <f>$J$3-$B$5+$B$5*7/10</f>
        <v/>
      </c>
      <c r="C3806">
        <f>SUMPRODUCT(Calc!$K$3:$K$22*(Calc!$G$3:$G$22&lt;=A3806))</f>
        <v/>
      </c>
      <c r="D3806">
        <f>SUMPRODUCT(Calc!$K$3:$K$22*(Calc!$G$3:$G$22&gt;A3806)*(Calc!$G$3:$G$22&lt;B3806))</f>
        <v/>
      </c>
      <c r="E3806">
        <f>SUMPRODUCT(Calc!$K$3:$K$22*(Calc!$G$3:$G$22&gt;=B3806))</f>
        <v/>
      </c>
      <c r="F3806">
        <f>AND(k_n&gt;=5,B3806&gt;A3806+1E-9,C3806&gt;=2,D3806&gt;=1,E3806&gt;=2)</f>
        <v/>
      </c>
      <c r="G3806">
        <f>SUMPRODUCT(Calc!$K$3:$K$22*(Calc!$G$3:$G$22&gt;A3806)*(Calc!$G$3:$G$22-A3806))</f>
        <v/>
      </c>
      <c r="H3806">
        <f>SUMPRODUCT(Calc!$K$3:$K$22*(Calc!$G$3:$G$22&gt;B3806)*(Calc!$G$3:$G$22-B3806))</f>
        <v/>
      </c>
      <c r="I3806">
        <f>SUMPRODUCT(Calc!$K$3:$K$22*(Calc!$G$3:$G$22&gt;A3806)*(Calc!$G$3:$G$22-A3806)^2)</f>
        <v/>
      </c>
      <c r="J3806">
        <f>SUMPRODUCT(Calc!$K$3:$K$22*(Calc!$G$3:$G$22&gt;B3806)*(Calc!$G$3:$G$22-B3806)^2)</f>
        <v/>
      </c>
      <c r="K3806">
        <f>SUMPRODUCT(Calc!$K$3:$K$22*(Calc!$G$3:$G$22&gt;A3806)*(Calc!$G$3:$G$22-A3806)*(Calc!$G$3:$G$22&gt;B3806)*(Calc!$G$3:$G$22-B3806))</f>
        <v/>
      </c>
      <c r="L3806">
        <f>SUMPRODUCT(Calc!$K$3:$K$22*(Calc!$G$3:$G$22&gt;A3806)*(Calc!$G$3:$G$22-A3806)*Calc!$G$3:$G$22)</f>
        <v/>
      </c>
      <c r="M3806">
        <f>SUMPRODUCT(Calc!$K$3:$K$22*(Calc!$G$3:$G$22&gt;B3806)*(Calc!$G$3:$G$22-B3806)*Calc!$G$3:$G$22)</f>
        <v/>
      </c>
      <c r="N3806">
        <f>SUMPRODUCT(Calc!$K$3:$K$22*(Calc!$G$3:$G$22&gt;A3806)*(Calc!$G$3:$G$22-A3806)*Calc!$I$3:$I$22)</f>
        <v/>
      </c>
      <c r="O3806">
        <f>SUMPRODUCT(Calc!$K$3:$K$22*(Calc!$G$3:$G$22&gt;B3806)*(Calc!$G$3:$G$22-B3806)*Calc!$I$3:$I$22)</f>
        <v/>
      </c>
      <c r="P3806">
        <f>I3806-G3806^2/k_n</f>
        <v/>
      </c>
      <c r="Q3806">
        <f>J3806-H3806^2/k_n</f>
        <v/>
      </c>
      <c r="R3806">
        <f>K3806-G3806*H3806/k_n</f>
        <v/>
      </c>
      <c r="S3806">
        <f>L3806-LTP3!$D$3*G3806/k_n</f>
        <v/>
      </c>
      <c r="T3806">
        <f>M3806-LTP3!$D$3*H3806/k_n</f>
        <v/>
      </c>
      <c r="U3806">
        <f>N3806-G3806*LTP3!$D$4/k_n</f>
        <v/>
      </c>
      <c r="V3806">
        <f>O3806-H3806*LTP3!$D$4/k_n</f>
        <v/>
      </c>
      <c r="W3806">
        <f>((LTP3!$D$5)*((P3806)*(Q3806)-(R3806)*(R3806))-(S3806)*((S3806)*(Q3806)-(R3806)*(T3806))+(T3806)*((S3806)*(R3806)-(P3806)*(T3806)))</f>
        <v/>
      </c>
      <c r="X3806">
        <f>IF(ABS(W3806)&gt;1E-12,((LTP3!$D$6)*((P3806)*(Q3806)-(R3806)*(R3806))-(S3806)*((U3806)*(Q3806)-(R3806)*(V3806))+(T3806)*((U3806)*(R3806)-(P3806)*(V3806)))/W3806,0)</f>
        <v/>
      </c>
      <c r="Y3806">
        <f>IF(ABS(W3806)&gt;1E-12,((LTP3!$D$5)*((U3806)*(Q3806)-(R3806)*(V3806))-(LTP3!$D$6)*((S3806)*(Q3806)-(R3806)*(T3806))+(T3806)*((S3806)*(V3806)-(U3806)*(T3806)))/W3806,0)</f>
        <v/>
      </c>
      <c r="Z3806">
        <f>IF(ABS(W3806)&gt;1E-12,((LTP3!$D$5)*((P3806)*(V3806)-(U3806)*(R3806))-(S3806)*((S3806)*(V3806)-(U3806)*(T3806))+(LTP3!$D$6)*((S3806)*(R3806)-(P3806)*(T3806)))/W3806,0)</f>
        <v/>
      </c>
      <c r="AA3806">
        <f>LTP3!$D$7-X3806*LTP3!$D$6-Y3806*U3806-Z3806*V3806</f>
        <v/>
      </c>
      <c r="AB3806">
        <f>IF(AND(F3806,ABS(W3806)&gt;1E-12,Y3806&gt;0,Z3806&gt;0),AA3806,1E+300)</f>
        <v/>
      </c>
    </row>
    <row r="3807">
      <c r="A3807">
        <f>$I$3-$B$5+$B$5*3/10</f>
        <v/>
      </c>
      <c r="B3807">
        <f>$J$3-$B$5+$B$5*8/10</f>
        <v/>
      </c>
      <c r="C3807">
        <f>SUMPRODUCT(Calc!$K$3:$K$22*(Calc!$G$3:$G$22&lt;=A3807))</f>
        <v/>
      </c>
      <c r="D3807">
        <f>SUMPRODUCT(Calc!$K$3:$K$22*(Calc!$G$3:$G$22&gt;A3807)*(Calc!$G$3:$G$22&lt;B3807))</f>
        <v/>
      </c>
      <c r="E3807">
        <f>SUMPRODUCT(Calc!$K$3:$K$22*(Calc!$G$3:$G$22&gt;=B3807))</f>
        <v/>
      </c>
      <c r="F3807">
        <f>AND(k_n&gt;=5,B3807&gt;A3807+1E-9,C3807&gt;=2,D3807&gt;=1,E3807&gt;=2)</f>
        <v/>
      </c>
      <c r="G3807">
        <f>SUMPRODUCT(Calc!$K$3:$K$22*(Calc!$G$3:$G$22&gt;A3807)*(Calc!$G$3:$G$22-A3807))</f>
        <v/>
      </c>
      <c r="H3807">
        <f>SUMPRODUCT(Calc!$K$3:$K$22*(Calc!$G$3:$G$22&gt;B3807)*(Calc!$G$3:$G$22-B3807))</f>
        <v/>
      </c>
      <c r="I3807">
        <f>SUMPRODUCT(Calc!$K$3:$K$22*(Calc!$G$3:$G$22&gt;A3807)*(Calc!$G$3:$G$22-A3807)^2)</f>
        <v/>
      </c>
      <c r="J3807">
        <f>SUMPRODUCT(Calc!$K$3:$K$22*(Calc!$G$3:$G$22&gt;B3807)*(Calc!$G$3:$G$22-B3807)^2)</f>
        <v/>
      </c>
      <c r="K3807">
        <f>SUMPRODUCT(Calc!$K$3:$K$22*(Calc!$G$3:$G$22&gt;A3807)*(Calc!$G$3:$G$22-A3807)*(Calc!$G$3:$G$22&gt;B3807)*(Calc!$G$3:$G$22-B3807))</f>
        <v/>
      </c>
      <c r="L3807">
        <f>SUMPRODUCT(Calc!$K$3:$K$22*(Calc!$G$3:$G$22&gt;A3807)*(Calc!$G$3:$G$22-A3807)*Calc!$G$3:$G$22)</f>
        <v/>
      </c>
      <c r="M3807">
        <f>SUMPRODUCT(Calc!$K$3:$K$22*(Calc!$G$3:$G$22&gt;B3807)*(Calc!$G$3:$G$22-B3807)*Calc!$G$3:$G$22)</f>
        <v/>
      </c>
      <c r="N3807">
        <f>SUMPRODUCT(Calc!$K$3:$K$22*(Calc!$G$3:$G$22&gt;A3807)*(Calc!$G$3:$G$22-A3807)*Calc!$I$3:$I$22)</f>
        <v/>
      </c>
      <c r="O3807">
        <f>SUMPRODUCT(Calc!$K$3:$K$22*(Calc!$G$3:$G$22&gt;B3807)*(Calc!$G$3:$G$22-B3807)*Calc!$I$3:$I$22)</f>
        <v/>
      </c>
      <c r="P3807">
        <f>I3807-G3807^2/k_n</f>
        <v/>
      </c>
      <c r="Q3807">
        <f>J3807-H3807^2/k_n</f>
        <v/>
      </c>
      <c r="R3807">
        <f>K3807-G3807*H3807/k_n</f>
        <v/>
      </c>
      <c r="S3807">
        <f>L3807-LTP3!$D$3*G3807/k_n</f>
        <v/>
      </c>
      <c r="T3807">
        <f>M3807-LTP3!$D$3*H3807/k_n</f>
        <v/>
      </c>
      <c r="U3807">
        <f>N3807-G3807*LTP3!$D$4/k_n</f>
        <v/>
      </c>
      <c r="V3807">
        <f>O3807-H3807*LTP3!$D$4/k_n</f>
        <v/>
      </c>
      <c r="W3807">
        <f>((LTP3!$D$5)*((P3807)*(Q3807)-(R3807)*(R3807))-(S3807)*((S3807)*(Q3807)-(R3807)*(T3807))+(T3807)*((S3807)*(R3807)-(P3807)*(T3807)))</f>
        <v/>
      </c>
      <c r="X3807">
        <f>IF(ABS(W3807)&gt;1E-12,((LTP3!$D$6)*((P3807)*(Q3807)-(R3807)*(R3807))-(S3807)*((U3807)*(Q3807)-(R3807)*(V3807))+(T3807)*((U3807)*(R3807)-(P3807)*(V3807)))/W3807,0)</f>
        <v/>
      </c>
      <c r="Y3807">
        <f>IF(ABS(W3807)&gt;1E-12,((LTP3!$D$5)*((U3807)*(Q3807)-(R3807)*(V3807))-(LTP3!$D$6)*((S3807)*(Q3807)-(R3807)*(T3807))+(T3807)*((S3807)*(V3807)-(U3807)*(T3807)))/W3807,0)</f>
        <v/>
      </c>
      <c r="Z3807">
        <f>IF(ABS(W3807)&gt;1E-12,((LTP3!$D$5)*((P3807)*(V3807)-(U3807)*(R3807))-(S3807)*((S3807)*(V3807)-(U3807)*(T3807))+(LTP3!$D$6)*((S3807)*(R3807)-(P3807)*(T3807)))/W3807,0)</f>
        <v/>
      </c>
      <c r="AA3807">
        <f>LTP3!$D$7-X3807*LTP3!$D$6-Y3807*U3807-Z3807*V3807</f>
        <v/>
      </c>
      <c r="AB3807">
        <f>IF(AND(F3807,ABS(W3807)&gt;1E-12,Y3807&gt;0,Z3807&gt;0),AA3807,1E+300)</f>
        <v/>
      </c>
    </row>
    <row r="3808">
      <c r="A3808">
        <f>$I$3-$B$5+$B$5*3/10</f>
        <v/>
      </c>
      <c r="B3808">
        <f>$J$3-$B$5+$B$5*9/10</f>
        <v/>
      </c>
      <c r="C3808">
        <f>SUMPRODUCT(Calc!$K$3:$K$22*(Calc!$G$3:$G$22&lt;=A3808))</f>
        <v/>
      </c>
      <c r="D3808">
        <f>SUMPRODUCT(Calc!$K$3:$K$22*(Calc!$G$3:$G$22&gt;A3808)*(Calc!$G$3:$G$22&lt;B3808))</f>
        <v/>
      </c>
      <c r="E3808">
        <f>SUMPRODUCT(Calc!$K$3:$K$22*(Calc!$G$3:$G$22&gt;=B3808))</f>
        <v/>
      </c>
      <c r="F3808">
        <f>AND(k_n&gt;=5,B3808&gt;A3808+1E-9,C3808&gt;=2,D3808&gt;=1,E3808&gt;=2)</f>
        <v/>
      </c>
      <c r="G3808">
        <f>SUMPRODUCT(Calc!$K$3:$K$22*(Calc!$G$3:$G$22&gt;A3808)*(Calc!$G$3:$G$22-A3808))</f>
        <v/>
      </c>
      <c r="H3808">
        <f>SUMPRODUCT(Calc!$K$3:$K$22*(Calc!$G$3:$G$22&gt;B3808)*(Calc!$G$3:$G$22-B3808))</f>
        <v/>
      </c>
      <c r="I3808">
        <f>SUMPRODUCT(Calc!$K$3:$K$22*(Calc!$G$3:$G$22&gt;A3808)*(Calc!$G$3:$G$22-A3808)^2)</f>
        <v/>
      </c>
      <c r="J3808">
        <f>SUMPRODUCT(Calc!$K$3:$K$22*(Calc!$G$3:$G$22&gt;B3808)*(Calc!$G$3:$G$22-B3808)^2)</f>
        <v/>
      </c>
      <c r="K3808">
        <f>SUMPRODUCT(Calc!$K$3:$K$22*(Calc!$G$3:$G$22&gt;A3808)*(Calc!$G$3:$G$22-A3808)*(Calc!$G$3:$G$22&gt;B3808)*(Calc!$G$3:$G$22-B3808))</f>
        <v/>
      </c>
      <c r="L3808">
        <f>SUMPRODUCT(Calc!$K$3:$K$22*(Calc!$G$3:$G$22&gt;A3808)*(Calc!$G$3:$G$22-A3808)*Calc!$G$3:$G$22)</f>
        <v/>
      </c>
      <c r="M3808">
        <f>SUMPRODUCT(Calc!$K$3:$K$22*(Calc!$G$3:$G$22&gt;B3808)*(Calc!$G$3:$G$22-B3808)*Calc!$G$3:$G$22)</f>
        <v/>
      </c>
      <c r="N3808">
        <f>SUMPRODUCT(Calc!$K$3:$K$22*(Calc!$G$3:$G$22&gt;A3808)*(Calc!$G$3:$G$22-A3808)*Calc!$I$3:$I$22)</f>
        <v/>
      </c>
      <c r="O3808">
        <f>SUMPRODUCT(Calc!$K$3:$K$22*(Calc!$G$3:$G$22&gt;B3808)*(Calc!$G$3:$G$22-B3808)*Calc!$I$3:$I$22)</f>
        <v/>
      </c>
      <c r="P3808">
        <f>I3808-G3808^2/k_n</f>
        <v/>
      </c>
      <c r="Q3808">
        <f>J3808-H3808^2/k_n</f>
        <v/>
      </c>
      <c r="R3808">
        <f>K3808-G3808*H3808/k_n</f>
        <v/>
      </c>
      <c r="S3808">
        <f>L3808-LTP3!$D$3*G3808/k_n</f>
        <v/>
      </c>
      <c r="T3808">
        <f>M3808-LTP3!$D$3*H3808/k_n</f>
        <v/>
      </c>
      <c r="U3808">
        <f>N3808-G3808*LTP3!$D$4/k_n</f>
        <v/>
      </c>
      <c r="V3808">
        <f>O3808-H3808*LTP3!$D$4/k_n</f>
        <v/>
      </c>
      <c r="W3808">
        <f>((LTP3!$D$5)*((P3808)*(Q3808)-(R3808)*(R3808))-(S3808)*((S3808)*(Q3808)-(R3808)*(T3808))+(T3808)*((S3808)*(R3808)-(P3808)*(T3808)))</f>
        <v/>
      </c>
      <c r="X3808">
        <f>IF(ABS(W3808)&gt;1E-12,((LTP3!$D$6)*((P3808)*(Q3808)-(R3808)*(R3808))-(S3808)*((U3808)*(Q3808)-(R3808)*(V3808))+(T3808)*((U3808)*(R3808)-(P3808)*(V3808)))/W3808,0)</f>
        <v/>
      </c>
      <c r="Y3808">
        <f>IF(ABS(W3808)&gt;1E-12,((LTP3!$D$5)*((U3808)*(Q3808)-(R3808)*(V3808))-(LTP3!$D$6)*((S3808)*(Q3808)-(R3808)*(T3808))+(T3808)*((S3808)*(V3808)-(U3808)*(T3808)))/W3808,0)</f>
        <v/>
      </c>
      <c r="Z3808">
        <f>IF(ABS(W3808)&gt;1E-12,((LTP3!$D$5)*((P3808)*(V3808)-(U3808)*(R3808))-(S3808)*((S3808)*(V3808)-(U3808)*(T3808))+(LTP3!$D$6)*((S3808)*(R3808)-(P3808)*(T3808)))/W3808,0)</f>
        <v/>
      </c>
      <c r="AA3808">
        <f>LTP3!$D$7-X3808*LTP3!$D$6-Y3808*U3808-Z3808*V3808</f>
        <v/>
      </c>
      <c r="AB3808">
        <f>IF(AND(F3808,ABS(W3808)&gt;1E-12,Y3808&gt;0,Z3808&gt;0),AA3808,1E+300)</f>
        <v/>
      </c>
    </row>
    <row r="3809">
      <c r="A3809">
        <f>$I$3-$B$5+$B$5*3/10</f>
        <v/>
      </c>
      <c r="B3809">
        <f>$J$3-$B$5+$B$5*10/10</f>
        <v/>
      </c>
      <c r="C3809">
        <f>SUMPRODUCT(Calc!$K$3:$K$22*(Calc!$G$3:$G$22&lt;=A3809))</f>
        <v/>
      </c>
      <c r="D3809">
        <f>SUMPRODUCT(Calc!$K$3:$K$22*(Calc!$G$3:$G$22&gt;A3809)*(Calc!$G$3:$G$22&lt;B3809))</f>
        <v/>
      </c>
      <c r="E3809">
        <f>SUMPRODUCT(Calc!$K$3:$K$22*(Calc!$G$3:$G$22&gt;=B3809))</f>
        <v/>
      </c>
      <c r="F3809">
        <f>AND(k_n&gt;=5,B3809&gt;A3809+1E-9,C3809&gt;=2,D3809&gt;=1,E3809&gt;=2)</f>
        <v/>
      </c>
      <c r="G3809">
        <f>SUMPRODUCT(Calc!$K$3:$K$22*(Calc!$G$3:$G$22&gt;A3809)*(Calc!$G$3:$G$22-A3809))</f>
        <v/>
      </c>
      <c r="H3809">
        <f>SUMPRODUCT(Calc!$K$3:$K$22*(Calc!$G$3:$G$22&gt;B3809)*(Calc!$G$3:$G$22-B3809))</f>
        <v/>
      </c>
      <c r="I3809">
        <f>SUMPRODUCT(Calc!$K$3:$K$22*(Calc!$G$3:$G$22&gt;A3809)*(Calc!$G$3:$G$22-A3809)^2)</f>
        <v/>
      </c>
      <c r="J3809">
        <f>SUMPRODUCT(Calc!$K$3:$K$22*(Calc!$G$3:$G$22&gt;B3809)*(Calc!$G$3:$G$22-B3809)^2)</f>
        <v/>
      </c>
      <c r="K3809">
        <f>SUMPRODUCT(Calc!$K$3:$K$22*(Calc!$G$3:$G$22&gt;A3809)*(Calc!$G$3:$G$22-A3809)*(Calc!$G$3:$G$22&gt;B3809)*(Calc!$G$3:$G$22-B3809))</f>
        <v/>
      </c>
      <c r="L3809">
        <f>SUMPRODUCT(Calc!$K$3:$K$22*(Calc!$G$3:$G$22&gt;A3809)*(Calc!$G$3:$G$22-A3809)*Calc!$G$3:$G$22)</f>
        <v/>
      </c>
      <c r="M3809">
        <f>SUMPRODUCT(Calc!$K$3:$K$22*(Calc!$G$3:$G$22&gt;B3809)*(Calc!$G$3:$G$22-B3809)*Calc!$G$3:$G$22)</f>
        <v/>
      </c>
      <c r="N3809">
        <f>SUMPRODUCT(Calc!$K$3:$K$22*(Calc!$G$3:$G$22&gt;A3809)*(Calc!$G$3:$G$22-A3809)*Calc!$I$3:$I$22)</f>
        <v/>
      </c>
      <c r="O3809">
        <f>SUMPRODUCT(Calc!$K$3:$K$22*(Calc!$G$3:$G$22&gt;B3809)*(Calc!$G$3:$G$22-B3809)*Calc!$I$3:$I$22)</f>
        <v/>
      </c>
      <c r="P3809">
        <f>I3809-G3809^2/k_n</f>
        <v/>
      </c>
      <c r="Q3809">
        <f>J3809-H3809^2/k_n</f>
        <v/>
      </c>
      <c r="R3809">
        <f>K3809-G3809*H3809/k_n</f>
        <v/>
      </c>
      <c r="S3809">
        <f>L3809-LTP3!$D$3*G3809/k_n</f>
        <v/>
      </c>
      <c r="T3809">
        <f>M3809-LTP3!$D$3*H3809/k_n</f>
        <v/>
      </c>
      <c r="U3809">
        <f>N3809-G3809*LTP3!$D$4/k_n</f>
        <v/>
      </c>
      <c r="V3809">
        <f>O3809-H3809*LTP3!$D$4/k_n</f>
        <v/>
      </c>
      <c r="W3809">
        <f>((LTP3!$D$5)*((P3809)*(Q3809)-(R3809)*(R3809))-(S3809)*((S3809)*(Q3809)-(R3809)*(T3809))+(T3809)*((S3809)*(R3809)-(P3809)*(T3809)))</f>
        <v/>
      </c>
      <c r="X3809">
        <f>IF(ABS(W3809)&gt;1E-12,((LTP3!$D$6)*((P3809)*(Q3809)-(R3809)*(R3809))-(S3809)*((U3809)*(Q3809)-(R3809)*(V3809))+(T3809)*((U3809)*(R3809)-(P3809)*(V3809)))/W3809,0)</f>
        <v/>
      </c>
      <c r="Y3809">
        <f>IF(ABS(W3809)&gt;1E-12,((LTP3!$D$5)*((U3809)*(Q3809)-(R3809)*(V3809))-(LTP3!$D$6)*((S3809)*(Q3809)-(R3809)*(T3809))+(T3809)*((S3809)*(V3809)-(U3809)*(T3809)))/W3809,0)</f>
        <v/>
      </c>
      <c r="Z3809">
        <f>IF(ABS(W3809)&gt;1E-12,((LTP3!$D$5)*((P3809)*(V3809)-(U3809)*(R3809))-(S3809)*((S3809)*(V3809)-(U3809)*(T3809))+(LTP3!$D$6)*((S3809)*(R3809)-(P3809)*(T3809)))/W3809,0)</f>
        <v/>
      </c>
      <c r="AA3809">
        <f>LTP3!$D$7-X3809*LTP3!$D$6-Y3809*U3809-Z3809*V3809</f>
        <v/>
      </c>
      <c r="AB3809">
        <f>IF(AND(F3809,ABS(W3809)&gt;1E-12,Y3809&gt;0,Z3809&gt;0),AA3809,1E+300)</f>
        <v/>
      </c>
    </row>
    <row r="3810">
      <c r="A3810">
        <f>$I$3-$B$5+$B$5*3/10</f>
        <v/>
      </c>
      <c r="B3810">
        <f>$J$3-$B$5+$B$5*11/10</f>
        <v/>
      </c>
      <c r="C3810">
        <f>SUMPRODUCT(Calc!$K$3:$K$22*(Calc!$G$3:$G$22&lt;=A3810))</f>
        <v/>
      </c>
      <c r="D3810">
        <f>SUMPRODUCT(Calc!$K$3:$K$22*(Calc!$G$3:$G$22&gt;A3810)*(Calc!$G$3:$G$22&lt;B3810))</f>
        <v/>
      </c>
      <c r="E3810">
        <f>SUMPRODUCT(Calc!$K$3:$K$22*(Calc!$G$3:$G$22&gt;=B3810))</f>
        <v/>
      </c>
      <c r="F3810">
        <f>AND(k_n&gt;=5,B3810&gt;A3810+1E-9,C3810&gt;=2,D3810&gt;=1,E3810&gt;=2)</f>
        <v/>
      </c>
      <c r="G3810">
        <f>SUMPRODUCT(Calc!$K$3:$K$22*(Calc!$G$3:$G$22&gt;A3810)*(Calc!$G$3:$G$22-A3810))</f>
        <v/>
      </c>
      <c r="H3810">
        <f>SUMPRODUCT(Calc!$K$3:$K$22*(Calc!$G$3:$G$22&gt;B3810)*(Calc!$G$3:$G$22-B3810))</f>
        <v/>
      </c>
      <c r="I3810">
        <f>SUMPRODUCT(Calc!$K$3:$K$22*(Calc!$G$3:$G$22&gt;A3810)*(Calc!$G$3:$G$22-A3810)^2)</f>
        <v/>
      </c>
      <c r="J3810">
        <f>SUMPRODUCT(Calc!$K$3:$K$22*(Calc!$G$3:$G$22&gt;B3810)*(Calc!$G$3:$G$22-B3810)^2)</f>
        <v/>
      </c>
      <c r="K3810">
        <f>SUMPRODUCT(Calc!$K$3:$K$22*(Calc!$G$3:$G$22&gt;A3810)*(Calc!$G$3:$G$22-A3810)*(Calc!$G$3:$G$22&gt;B3810)*(Calc!$G$3:$G$22-B3810))</f>
        <v/>
      </c>
      <c r="L3810">
        <f>SUMPRODUCT(Calc!$K$3:$K$22*(Calc!$G$3:$G$22&gt;A3810)*(Calc!$G$3:$G$22-A3810)*Calc!$G$3:$G$22)</f>
        <v/>
      </c>
      <c r="M3810">
        <f>SUMPRODUCT(Calc!$K$3:$K$22*(Calc!$G$3:$G$22&gt;B3810)*(Calc!$G$3:$G$22-B3810)*Calc!$G$3:$G$22)</f>
        <v/>
      </c>
      <c r="N3810">
        <f>SUMPRODUCT(Calc!$K$3:$K$22*(Calc!$G$3:$G$22&gt;A3810)*(Calc!$G$3:$G$22-A3810)*Calc!$I$3:$I$22)</f>
        <v/>
      </c>
      <c r="O3810">
        <f>SUMPRODUCT(Calc!$K$3:$K$22*(Calc!$G$3:$G$22&gt;B3810)*(Calc!$G$3:$G$22-B3810)*Calc!$I$3:$I$22)</f>
        <v/>
      </c>
      <c r="P3810">
        <f>I3810-G3810^2/k_n</f>
        <v/>
      </c>
      <c r="Q3810">
        <f>J3810-H3810^2/k_n</f>
        <v/>
      </c>
      <c r="R3810">
        <f>K3810-G3810*H3810/k_n</f>
        <v/>
      </c>
      <c r="S3810">
        <f>L3810-LTP3!$D$3*G3810/k_n</f>
        <v/>
      </c>
      <c r="T3810">
        <f>M3810-LTP3!$D$3*H3810/k_n</f>
        <v/>
      </c>
      <c r="U3810">
        <f>N3810-G3810*LTP3!$D$4/k_n</f>
        <v/>
      </c>
      <c r="V3810">
        <f>O3810-H3810*LTP3!$D$4/k_n</f>
        <v/>
      </c>
      <c r="W3810">
        <f>((LTP3!$D$5)*((P3810)*(Q3810)-(R3810)*(R3810))-(S3810)*((S3810)*(Q3810)-(R3810)*(T3810))+(T3810)*((S3810)*(R3810)-(P3810)*(T3810)))</f>
        <v/>
      </c>
      <c r="X3810">
        <f>IF(ABS(W3810)&gt;1E-12,((LTP3!$D$6)*((P3810)*(Q3810)-(R3810)*(R3810))-(S3810)*((U3810)*(Q3810)-(R3810)*(V3810))+(T3810)*((U3810)*(R3810)-(P3810)*(V3810)))/W3810,0)</f>
        <v/>
      </c>
      <c r="Y3810">
        <f>IF(ABS(W3810)&gt;1E-12,((LTP3!$D$5)*((U3810)*(Q3810)-(R3810)*(V3810))-(LTP3!$D$6)*((S3810)*(Q3810)-(R3810)*(T3810))+(T3810)*((S3810)*(V3810)-(U3810)*(T3810)))/W3810,0)</f>
        <v/>
      </c>
      <c r="Z3810">
        <f>IF(ABS(W3810)&gt;1E-12,((LTP3!$D$5)*((P3810)*(V3810)-(U3810)*(R3810))-(S3810)*((S3810)*(V3810)-(U3810)*(T3810))+(LTP3!$D$6)*((S3810)*(R3810)-(P3810)*(T3810)))/W3810,0)</f>
        <v/>
      </c>
      <c r="AA3810">
        <f>LTP3!$D$7-X3810*LTP3!$D$6-Y3810*U3810-Z3810*V3810</f>
        <v/>
      </c>
      <c r="AB3810">
        <f>IF(AND(F3810,ABS(W3810)&gt;1E-12,Y3810&gt;0,Z3810&gt;0),AA3810,1E+300)</f>
        <v/>
      </c>
    </row>
    <row r="3811">
      <c r="A3811">
        <f>$I$3-$B$5+$B$5*3/10</f>
        <v/>
      </c>
      <c r="B3811">
        <f>$J$3-$B$5+$B$5*12/10</f>
        <v/>
      </c>
      <c r="C3811">
        <f>SUMPRODUCT(Calc!$K$3:$K$22*(Calc!$G$3:$G$22&lt;=A3811))</f>
        <v/>
      </c>
      <c r="D3811">
        <f>SUMPRODUCT(Calc!$K$3:$K$22*(Calc!$G$3:$G$22&gt;A3811)*(Calc!$G$3:$G$22&lt;B3811))</f>
        <v/>
      </c>
      <c r="E3811">
        <f>SUMPRODUCT(Calc!$K$3:$K$22*(Calc!$G$3:$G$22&gt;=B3811))</f>
        <v/>
      </c>
      <c r="F3811">
        <f>AND(k_n&gt;=5,B3811&gt;A3811+1E-9,C3811&gt;=2,D3811&gt;=1,E3811&gt;=2)</f>
        <v/>
      </c>
      <c r="G3811">
        <f>SUMPRODUCT(Calc!$K$3:$K$22*(Calc!$G$3:$G$22&gt;A3811)*(Calc!$G$3:$G$22-A3811))</f>
        <v/>
      </c>
      <c r="H3811">
        <f>SUMPRODUCT(Calc!$K$3:$K$22*(Calc!$G$3:$G$22&gt;B3811)*(Calc!$G$3:$G$22-B3811))</f>
        <v/>
      </c>
      <c r="I3811">
        <f>SUMPRODUCT(Calc!$K$3:$K$22*(Calc!$G$3:$G$22&gt;A3811)*(Calc!$G$3:$G$22-A3811)^2)</f>
        <v/>
      </c>
      <c r="J3811">
        <f>SUMPRODUCT(Calc!$K$3:$K$22*(Calc!$G$3:$G$22&gt;B3811)*(Calc!$G$3:$G$22-B3811)^2)</f>
        <v/>
      </c>
      <c r="K3811">
        <f>SUMPRODUCT(Calc!$K$3:$K$22*(Calc!$G$3:$G$22&gt;A3811)*(Calc!$G$3:$G$22-A3811)*(Calc!$G$3:$G$22&gt;B3811)*(Calc!$G$3:$G$22-B3811))</f>
        <v/>
      </c>
      <c r="L3811">
        <f>SUMPRODUCT(Calc!$K$3:$K$22*(Calc!$G$3:$G$22&gt;A3811)*(Calc!$G$3:$G$22-A3811)*Calc!$G$3:$G$22)</f>
        <v/>
      </c>
      <c r="M3811">
        <f>SUMPRODUCT(Calc!$K$3:$K$22*(Calc!$G$3:$G$22&gt;B3811)*(Calc!$G$3:$G$22-B3811)*Calc!$G$3:$G$22)</f>
        <v/>
      </c>
      <c r="N3811">
        <f>SUMPRODUCT(Calc!$K$3:$K$22*(Calc!$G$3:$G$22&gt;A3811)*(Calc!$G$3:$G$22-A3811)*Calc!$I$3:$I$22)</f>
        <v/>
      </c>
      <c r="O3811">
        <f>SUMPRODUCT(Calc!$K$3:$K$22*(Calc!$G$3:$G$22&gt;B3811)*(Calc!$G$3:$G$22-B3811)*Calc!$I$3:$I$22)</f>
        <v/>
      </c>
      <c r="P3811">
        <f>I3811-G3811^2/k_n</f>
        <v/>
      </c>
      <c r="Q3811">
        <f>J3811-H3811^2/k_n</f>
        <v/>
      </c>
      <c r="R3811">
        <f>K3811-G3811*H3811/k_n</f>
        <v/>
      </c>
      <c r="S3811">
        <f>L3811-LTP3!$D$3*G3811/k_n</f>
        <v/>
      </c>
      <c r="T3811">
        <f>M3811-LTP3!$D$3*H3811/k_n</f>
        <v/>
      </c>
      <c r="U3811">
        <f>N3811-G3811*LTP3!$D$4/k_n</f>
        <v/>
      </c>
      <c r="V3811">
        <f>O3811-H3811*LTP3!$D$4/k_n</f>
        <v/>
      </c>
      <c r="W3811">
        <f>((LTP3!$D$5)*((P3811)*(Q3811)-(R3811)*(R3811))-(S3811)*((S3811)*(Q3811)-(R3811)*(T3811))+(T3811)*((S3811)*(R3811)-(P3811)*(T3811)))</f>
        <v/>
      </c>
      <c r="X3811">
        <f>IF(ABS(W3811)&gt;1E-12,((LTP3!$D$6)*((P3811)*(Q3811)-(R3811)*(R3811))-(S3811)*((U3811)*(Q3811)-(R3811)*(V3811))+(T3811)*((U3811)*(R3811)-(P3811)*(V3811)))/W3811,0)</f>
        <v/>
      </c>
      <c r="Y3811">
        <f>IF(ABS(W3811)&gt;1E-12,((LTP3!$D$5)*((U3811)*(Q3811)-(R3811)*(V3811))-(LTP3!$D$6)*((S3811)*(Q3811)-(R3811)*(T3811))+(T3811)*((S3811)*(V3811)-(U3811)*(T3811)))/W3811,0)</f>
        <v/>
      </c>
      <c r="Z3811">
        <f>IF(ABS(W3811)&gt;1E-12,((LTP3!$D$5)*((P3811)*(V3811)-(U3811)*(R3811))-(S3811)*((S3811)*(V3811)-(U3811)*(T3811))+(LTP3!$D$6)*((S3811)*(R3811)-(P3811)*(T3811)))/W3811,0)</f>
        <v/>
      </c>
      <c r="AA3811">
        <f>LTP3!$D$7-X3811*LTP3!$D$6-Y3811*U3811-Z3811*V3811</f>
        <v/>
      </c>
      <c r="AB3811">
        <f>IF(AND(F3811,ABS(W3811)&gt;1E-12,Y3811&gt;0,Z3811&gt;0),AA3811,1E+300)</f>
        <v/>
      </c>
    </row>
    <row r="3812">
      <c r="A3812">
        <f>$I$3-$B$5+$B$5*3/10</f>
        <v/>
      </c>
      <c r="B3812">
        <f>$J$3-$B$5+$B$5*13/10</f>
        <v/>
      </c>
      <c r="C3812">
        <f>SUMPRODUCT(Calc!$K$3:$K$22*(Calc!$G$3:$G$22&lt;=A3812))</f>
        <v/>
      </c>
      <c r="D3812">
        <f>SUMPRODUCT(Calc!$K$3:$K$22*(Calc!$G$3:$G$22&gt;A3812)*(Calc!$G$3:$G$22&lt;B3812))</f>
        <v/>
      </c>
      <c r="E3812">
        <f>SUMPRODUCT(Calc!$K$3:$K$22*(Calc!$G$3:$G$22&gt;=B3812))</f>
        <v/>
      </c>
      <c r="F3812">
        <f>AND(k_n&gt;=5,B3812&gt;A3812+1E-9,C3812&gt;=2,D3812&gt;=1,E3812&gt;=2)</f>
        <v/>
      </c>
      <c r="G3812">
        <f>SUMPRODUCT(Calc!$K$3:$K$22*(Calc!$G$3:$G$22&gt;A3812)*(Calc!$G$3:$G$22-A3812))</f>
        <v/>
      </c>
      <c r="H3812">
        <f>SUMPRODUCT(Calc!$K$3:$K$22*(Calc!$G$3:$G$22&gt;B3812)*(Calc!$G$3:$G$22-B3812))</f>
        <v/>
      </c>
      <c r="I3812">
        <f>SUMPRODUCT(Calc!$K$3:$K$22*(Calc!$G$3:$G$22&gt;A3812)*(Calc!$G$3:$G$22-A3812)^2)</f>
        <v/>
      </c>
      <c r="J3812">
        <f>SUMPRODUCT(Calc!$K$3:$K$22*(Calc!$G$3:$G$22&gt;B3812)*(Calc!$G$3:$G$22-B3812)^2)</f>
        <v/>
      </c>
      <c r="K3812">
        <f>SUMPRODUCT(Calc!$K$3:$K$22*(Calc!$G$3:$G$22&gt;A3812)*(Calc!$G$3:$G$22-A3812)*(Calc!$G$3:$G$22&gt;B3812)*(Calc!$G$3:$G$22-B3812))</f>
        <v/>
      </c>
      <c r="L3812">
        <f>SUMPRODUCT(Calc!$K$3:$K$22*(Calc!$G$3:$G$22&gt;A3812)*(Calc!$G$3:$G$22-A3812)*Calc!$G$3:$G$22)</f>
        <v/>
      </c>
      <c r="M3812">
        <f>SUMPRODUCT(Calc!$K$3:$K$22*(Calc!$G$3:$G$22&gt;B3812)*(Calc!$G$3:$G$22-B3812)*Calc!$G$3:$G$22)</f>
        <v/>
      </c>
      <c r="N3812">
        <f>SUMPRODUCT(Calc!$K$3:$K$22*(Calc!$G$3:$G$22&gt;A3812)*(Calc!$G$3:$G$22-A3812)*Calc!$I$3:$I$22)</f>
        <v/>
      </c>
      <c r="O3812">
        <f>SUMPRODUCT(Calc!$K$3:$K$22*(Calc!$G$3:$G$22&gt;B3812)*(Calc!$G$3:$G$22-B3812)*Calc!$I$3:$I$22)</f>
        <v/>
      </c>
      <c r="P3812">
        <f>I3812-G3812^2/k_n</f>
        <v/>
      </c>
      <c r="Q3812">
        <f>J3812-H3812^2/k_n</f>
        <v/>
      </c>
      <c r="R3812">
        <f>K3812-G3812*H3812/k_n</f>
        <v/>
      </c>
      <c r="S3812">
        <f>L3812-LTP3!$D$3*G3812/k_n</f>
        <v/>
      </c>
      <c r="T3812">
        <f>M3812-LTP3!$D$3*H3812/k_n</f>
        <v/>
      </c>
      <c r="U3812">
        <f>N3812-G3812*LTP3!$D$4/k_n</f>
        <v/>
      </c>
      <c r="V3812">
        <f>O3812-H3812*LTP3!$D$4/k_n</f>
        <v/>
      </c>
      <c r="W3812">
        <f>((LTP3!$D$5)*((P3812)*(Q3812)-(R3812)*(R3812))-(S3812)*((S3812)*(Q3812)-(R3812)*(T3812))+(T3812)*((S3812)*(R3812)-(P3812)*(T3812)))</f>
        <v/>
      </c>
      <c r="X3812">
        <f>IF(ABS(W3812)&gt;1E-12,((LTP3!$D$6)*((P3812)*(Q3812)-(R3812)*(R3812))-(S3812)*((U3812)*(Q3812)-(R3812)*(V3812))+(T3812)*((U3812)*(R3812)-(P3812)*(V3812)))/W3812,0)</f>
        <v/>
      </c>
      <c r="Y3812">
        <f>IF(ABS(W3812)&gt;1E-12,((LTP3!$D$5)*((U3812)*(Q3812)-(R3812)*(V3812))-(LTP3!$D$6)*((S3812)*(Q3812)-(R3812)*(T3812))+(T3812)*((S3812)*(V3812)-(U3812)*(T3812)))/W3812,0)</f>
        <v/>
      </c>
      <c r="Z3812">
        <f>IF(ABS(W3812)&gt;1E-12,((LTP3!$D$5)*((P3812)*(V3812)-(U3812)*(R3812))-(S3812)*((S3812)*(V3812)-(U3812)*(T3812))+(LTP3!$D$6)*((S3812)*(R3812)-(P3812)*(T3812)))/W3812,0)</f>
        <v/>
      </c>
      <c r="AA3812">
        <f>LTP3!$D$7-X3812*LTP3!$D$6-Y3812*U3812-Z3812*V3812</f>
        <v/>
      </c>
      <c r="AB3812">
        <f>IF(AND(F3812,ABS(W3812)&gt;1E-12,Y3812&gt;0,Z3812&gt;0),AA3812,1E+300)</f>
        <v/>
      </c>
    </row>
    <row r="3813">
      <c r="A3813">
        <f>$I$3-$B$5+$B$5*3/10</f>
        <v/>
      </c>
      <c r="B3813">
        <f>$J$3-$B$5+$B$5*14/10</f>
        <v/>
      </c>
      <c r="C3813">
        <f>SUMPRODUCT(Calc!$K$3:$K$22*(Calc!$G$3:$G$22&lt;=A3813))</f>
        <v/>
      </c>
      <c r="D3813">
        <f>SUMPRODUCT(Calc!$K$3:$K$22*(Calc!$G$3:$G$22&gt;A3813)*(Calc!$G$3:$G$22&lt;B3813))</f>
        <v/>
      </c>
      <c r="E3813">
        <f>SUMPRODUCT(Calc!$K$3:$K$22*(Calc!$G$3:$G$22&gt;=B3813))</f>
        <v/>
      </c>
      <c r="F3813">
        <f>AND(k_n&gt;=5,B3813&gt;A3813+1E-9,C3813&gt;=2,D3813&gt;=1,E3813&gt;=2)</f>
        <v/>
      </c>
      <c r="G3813">
        <f>SUMPRODUCT(Calc!$K$3:$K$22*(Calc!$G$3:$G$22&gt;A3813)*(Calc!$G$3:$G$22-A3813))</f>
        <v/>
      </c>
      <c r="H3813">
        <f>SUMPRODUCT(Calc!$K$3:$K$22*(Calc!$G$3:$G$22&gt;B3813)*(Calc!$G$3:$G$22-B3813))</f>
        <v/>
      </c>
      <c r="I3813">
        <f>SUMPRODUCT(Calc!$K$3:$K$22*(Calc!$G$3:$G$22&gt;A3813)*(Calc!$G$3:$G$22-A3813)^2)</f>
        <v/>
      </c>
      <c r="J3813">
        <f>SUMPRODUCT(Calc!$K$3:$K$22*(Calc!$G$3:$G$22&gt;B3813)*(Calc!$G$3:$G$22-B3813)^2)</f>
        <v/>
      </c>
      <c r="K3813">
        <f>SUMPRODUCT(Calc!$K$3:$K$22*(Calc!$G$3:$G$22&gt;A3813)*(Calc!$G$3:$G$22-A3813)*(Calc!$G$3:$G$22&gt;B3813)*(Calc!$G$3:$G$22-B3813))</f>
        <v/>
      </c>
      <c r="L3813">
        <f>SUMPRODUCT(Calc!$K$3:$K$22*(Calc!$G$3:$G$22&gt;A3813)*(Calc!$G$3:$G$22-A3813)*Calc!$G$3:$G$22)</f>
        <v/>
      </c>
      <c r="M3813">
        <f>SUMPRODUCT(Calc!$K$3:$K$22*(Calc!$G$3:$G$22&gt;B3813)*(Calc!$G$3:$G$22-B3813)*Calc!$G$3:$G$22)</f>
        <v/>
      </c>
      <c r="N3813">
        <f>SUMPRODUCT(Calc!$K$3:$K$22*(Calc!$G$3:$G$22&gt;A3813)*(Calc!$G$3:$G$22-A3813)*Calc!$I$3:$I$22)</f>
        <v/>
      </c>
      <c r="O3813">
        <f>SUMPRODUCT(Calc!$K$3:$K$22*(Calc!$G$3:$G$22&gt;B3813)*(Calc!$G$3:$G$22-B3813)*Calc!$I$3:$I$22)</f>
        <v/>
      </c>
      <c r="P3813">
        <f>I3813-G3813^2/k_n</f>
        <v/>
      </c>
      <c r="Q3813">
        <f>J3813-H3813^2/k_n</f>
        <v/>
      </c>
      <c r="R3813">
        <f>K3813-G3813*H3813/k_n</f>
        <v/>
      </c>
      <c r="S3813">
        <f>L3813-LTP3!$D$3*G3813/k_n</f>
        <v/>
      </c>
      <c r="T3813">
        <f>M3813-LTP3!$D$3*H3813/k_n</f>
        <v/>
      </c>
      <c r="U3813">
        <f>N3813-G3813*LTP3!$D$4/k_n</f>
        <v/>
      </c>
      <c r="V3813">
        <f>O3813-H3813*LTP3!$D$4/k_n</f>
        <v/>
      </c>
      <c r="W3813">
        <f>((LTP3!$D$5)*((P3813)*(Q3813)-(R3813)*(R3813))-(S3813)*((S3813)*(Q3813)-(R3813)*(T3813))+(T3813)*((S3813)*(R3813)-(P3813)*(T3813)))</f>
        <v/>
      </c>
      <c r="X3813">
        <f>IF(ABS(W3813)&gt;1E-12,((LTP3!$D$6)*((P3813)*(Q3813)-(R3813)*(R3813))-(S3813)*((U3813)*(Q3813)-(R3813)*(V3813))+(T3813)*((U3813)*(R3813)-(P3813)*(V3813)))/W3813,0)</f>
        <v/>
      </c>
      <c r="Y3813">
        <f>IF(ABS(W3813)&gt;1E-12,((LTP3!$D$5)*((U3813)*(Q3813)-(R3813)*(V3813))-(LTP3!$D$6)*((S3813)*(Q3813)-(R3813)*(T3813))+(T3813)*((S3813)*(V3813)-(U3813)*(T3813)))/W3813,0)</f>
        <v/>
      </c>
      <c r="Z3813">
        <f>IF(ABS(W3813)&gt;1E-12,((LTP3!$D$5)*((P3813)*(V3813)-(U3813)*(R3813))-(S3813)*((S3813)*(V3813)-(U3813)*(T3813))+(LTP3!$D$6)*((S3813)*(R3813)-(P3813)*(T3813)))/W3813,0)</f>
        <v/>
      </c>
      <c r="AA3813">
        <f>LTP3!$D$7-X3813*LTP3!$D$6-Y3813*U3813-Z3813*V3813</f>
        <v/>
      </c>
      <c r="AB3813">
        <f>IF(AND(F3813,ABS(W3813)&gt;1E-12,Y3813&gt;0,Z3813&gt;0),AA3813,1E+300)</f>
        <v/>
      </c>
    </row>
    <row r="3814">
      <c r="A3814">
        <f>$I$3-$B$5+$B$5*3/10</f>
        <v/>
      </c>
      <c r="B3814">
        <f>$J$3-$B$5+$B$5*15/10</f>
        <v/>
      </c>
      <c r="C3814">
        <f>SUMPRODUCT(Calc!$K$3:$K$22*(Calc!$G$3:$G$22&lt;=A3814))</f>
        <v/>
      </c>
      <c r="D3814">
        <f>SUMPRODUCT(Calc!$K$3:$K$22*(Calc!$G$3:$G$22&gt;A3814)*(Calc!$G$3:$G$22&lt;B3814))</f>
        <v/>
      </c>
      <c r="E3814">
        <f>SUMPRODUCT(Calc!$K$3:$K$22*(Calc!$G$3:$G$22&gt;=B3814))</f>
        <v/>
      </c>
      <c r="F3814">
        <f>AND(k_n&gt;=5,B3814&gt;A3814+1E-9,C3814&gt;=2,D3814&gt;=1,E3814&gt;=2)</f>
        <v/>
      </c>
      <c r="G3814">
        <f>SUMPRODUCT(Calc!$K$3:$K$22*(Calc!$G$3:$G$22&gt;A3814)*(Calc!$G$3:$G$22-A3814))</f>
        <v/>
      </c>
      <c r="H3814">
        <f>SUMPRODUCT(Calc!$K$3:$K$22*(Calc!$G$3:$G$22&gt;B3814)*(Calc!$G$3:$G$22-B3814))</f>
        <v/>
      </c>
      <c r="I3814">
        <f>SUMPRODUCT(Calc!$K$3:$K$22*(Calc!$G$3:$G$22&gt;A3814)*(Calc!$G$3:$G$22-A3814)^2)</f>
        <v/>
      </c>
      <c r="J3814">
        <f>SUMPRODUCT(Calc!$K$3:$K$22*(Calc!$G$3:$G$22&gt;B3814)*(Calc!$G$3:$G$22-B3814)^2)</f>
        <v/>
      </c>
      <c r="K3814">
        <f>SUMPRODUCT(Calc!$K$3:$K$22*(Calc!$G$3:$G$22&gt;A3814)*(Calc!$G$3:$G$22-A3814)*(Calc!$G$3:$G$22&gt;B3814)*(Calc!$G$3:$G$22-B3814))</f>
        <v/>
      </c>
      <c r="L3814">
        <f>SUMPRODUCT(Calc!$K$3:$K$22*(Calc!$G$3:$G$22&gt;A3814)*(Calc!$G$3:$G$22-A3814)*Calc!$G$3:$G$22)</f>
        <v/>
      </c>
      <c r="M3814">
        <f>SUMPRODUCT(Calc!$K$3:$K$22*(Calc!$G$3:$G$22&gt;B3814)*(Calc!$G$3:$G$22-B3814)*Calc!$G$3:$G$22)</f>
        <v/>
      </c>
      <c r="N3814">
        <f>SUMPRODUCT(Calc!$K$3:$K$22*(Calc!$G$3:$G$22&gt;A3814)*(Calc!$G$3:$G$22-A3814)*Calc!$I$3:$I$22)</f>
        <v/>
      </c>
      <c r="O3814">
        <f>SUMPRODUCT(Calc!$K$3:$K$22*(Calc!$G$3:$G$22&gt;B3814)*(Calc!$G$3:$G$22-B3814)*Calc!$I$3:$I$22)</f>
        <v/>
      </c>
      <c r="P3814">
        <f>I3814-G3814^2/k_n</f>
        <v/>
      </c>
      <c r="Q3814">
        <f>J3814-H3814^2/k_n</f>
        <v/>
      </c>
      <c r="R3814">
        <f>K3814-G3814*H3814/k_n</f>
        <v/>
      </c>
      <c r="S3814">
        <f>L3814-LTP3!$D$3*G3814/k_n</f>
        <v/>
      </c>
      <c r="T3814">
        <f>M3814-LTP3!$D$3*H3814/k_n</f>
        <v/>
      </c>
      <c r="U3814">
        <f>N3814-G3814*LTP3!$D$4/k_n</f>
        <v/>
      </c>
      <c r="V3814">
        <f>O3814-H3814*LTP3!$D$4/k_n</f>
        <v/>
      </c>
      <c r="W3814">
        <f>((LTP3!$D$5)*((P3814)*(Q3814)-(R3814)*(R3814))-(S3814)*((S3814)*(Q3814)-(R3814)*(T3814))+(T3814)*((S3814)*(R3814)-(P3814)*(T3814)))</f>
        <v/>
      </c>
      <c r="X3814">
        <f>IF(ABS(W3814)&gt;1E-12,((LTP3!$D$6)*((P3814)*(Q3814)-(R3814)*(R3814))-(S3814)*((U3814)*(Q3814)-(R3814)*(V3814))+(T3814)*((U3814)*(R3814)-(P3814)*(V3814)))/W3814,0)</f>
        <v/>
      </c>
      <c r="Y3814">
        <f>IF(ABS(W3814)&gt;1E-12,((LTP3!$D$5)*((U3814)*(Q3814)-(R3814)*(V3814))-(LTP3!$D$6)*((S3814)*(Q3814)-(R3814)*(T3814))+(T3814)*((S3814)*(V3814)-(U3814)*(T3814)))/W3814,0)</f>
        <v/>
      </c>
      <c r="Z3814">
        <f>IF(ABS(W3814)&gt;1E-12,((LTP3!$D$5)*((P3814)*(V3814)-(U3814)*(R3814))-(S3814)*((S3814)*(V3814)-(U3814)*(T3814))+(LTP3!$D$6)*((S3814)*(R3814)-(P3814)*(T3814)))/W3814,0)</f>
        <v/>
      </c>
      <c r="AA3814">
        <f>LTP3!$D$7-X3814*LTP3!$D$6-Y3814*U3814-Z3814*V3814</f>
        <v/>
      </c>
      <c r="AB3814">
        <f>IF(AND(F3814,ABS(W3814)&gt;1E-12,Y3814&gt;0,Z3814&gt;0),AA3814,1E+300)</f>
        <v/>
      </c>
    </row>
    <row r="3815">
      <c r="A3815">
        <f>$I$3-$B$5+$B$5*3/10</f>
        <v/>
      </c>
      <c r="B3815">
        <f>$J$3-$B$5+$B$5*16/10</f>
        <v/>
      </c>
      <c r="C3815">
        <f>SUMPRODUCT(Calc!$K$3:$K$22*(Calc!$G$3:$G$22&lt;=A3815))</f>
        <v/>
      </c>
      <c r="D3815">
        <f>SUMPRODUCT(Calc!$K$3:$K$22*(Calc!$G$3:$G$22&gt;A3815)*(Calc!$G$3:$G$22&lt;B3815))</f>
        <v/>
      </c>
      <c r="E3815">
        <f>SUMPRODUCT(Calc!$K$3:$K$22*(Calc!$G$3:$G$22&gt;=B3815))</f>
        <v/>
      </c>
      <c r="F3815">
        <f>AND(k_n&gt;=5,B3815&gt;A3815+1E-9,C3815&gt;=2,D3815&gt;=1,E3815&gt;=2)</f>
        <v/>
      </c>
      <c r="G3815">
        <f>SUMPRODUCT(Calc!$K$3:$K$22*(Calc!$G$3:$G$22&gt;A3815)*(Calc!$G$3:$G$22-A3815))</f>
        <v/>
      </c>
      <c r="H3815">
        <f>SUMPRODUCT(Calc!$K$3:$K$22*(Calc!$G$3:$G$22&gt;B3815)*(Calc!$G$3:$G$22-B3815))</f>
        <v/>
      </c>
      <c r="I3815">
        <f>SUMPRODUCT(Calc!$K$3:$K$22*(Calc!$G$3:$G$22&gt;A3815)*(Calc!$G$3:$G$22-A3815)^2)</f>
        <v/>
      </c>
      <c r="J3815">
        <f>SUMPRODUCT(Calc!$K$3:$K$22*(Calc!$G$3:$G$22&gt;B3815)*(Calc!$G$3:$G$22-B3815)^2)</f>
        <v/>
      </c>
      <c r="K3815">
        <f>SUMPRODUCT(Calc!$K$3:$K$22*(Calc!$G$3:$G$22&gt;A3815)*(Calc!$G$3:$G$22-A3815)*(Calc!$G$3:$G$22&gt;B3815)*(Calc!$G$3:$G$22-B3815))</f>
        <v/>
      </c>
      <c r="L3815">
        <f>SUMPRODUCT(Calc!$K$3:$K$22*(Calc!$G$3:$G$22&gt;A3815)*(Calc!$G$3:$G$22-A3815)*Calc!$G$3:$G$22)</f>
        <v/>
      </c>
      <c r="M3815">
        <f>SUMPRODUCT(Calc!$K$3:$K$22*(Calc!$G$3:$G$22&gt;B3815)*(Calc!$G$3:$G$22-B3815)*Calc!$G$3:$G$22)</f>
        <v/>
      </c>
      <c r="N3815">
        <f>SUMPRODUCT(Calc!$K$3:$K$22*(Calc!$G$3:$G$22&gt;A3815)*(Calc!$G$3:$G$22-A3815)*Calc!$I$3:$I$22)</f>
        <v/>
      </c>
      <c r="O3815">
        <f>SUMPRODUCT(Calc!$K$3:$K$22*(Calc!$G$3:$G$22&gt;B3815)*(Calc!$G$3:$G$22-B3815)*Calc!$I$3:$I$22)</f>
        <v/>
      </c>
      <c r="P3815">
        <f>I3815-G3815^2/k_n</f>
        <v/>
      </c>
      <c r="Q3815">
        <f>J3815-H3815^2/k_n</f>
        <v/>
      </c>
      <c r="R3815">
        <f>K3815-G3815*H3815/k_n</f>
        <v/>
      </c>
      <c r="S3815">
        <f>L3815-LTP3!$D$3*G3815/k_n</f>
        <v/>
      </c>
      <c r="T3815">
        <f>M3815-LTP3!$D$3*H3815/k_n</f>
        <v/>
      </c>
      <c r="U3815">
        <f>N3815-G3815*LTP3!$D$4/k_n</f>
        <v/>
      </c>
      <c r="V3815">
        <f>O3815-H3815*LTP3!$D$4/k_n</f>
        <v/>
      </c>
      <c r="W3815">
        <f>((LTP3!$D$5)*((P3815)*(Q3815)-(R3815)*(R3815))-(S3815)*((S3815)*(Q3815)-(R3815)*(T3815))+(T3815)*((S3815)*(R3815)-(P3815)*(T3815)))</f>
        <v/>
      </c>
      <c r="X3815">
        <f>IF(ABS(W3815)&gt;1E-12,((LTP3!$D$6)*((P3815)*(Q3815)-(R3815)*(R3815))-(S3815)*((U3815)*(Q3815)-(R3815)*(V3815))+(T3815)*((U3815)*(R3815)-(P3815)*(V3815)))/W3815,0)</f>
        <v/>
      </c>
      <c r="Y3815">
        <f>IF(ABS(W3815)&gt;1E-12,((LTP3!$D$5)*((U3815)*(Q3815)-(R3815)*(V3815))-(LTP3!$D$6)*((S3815)*(Q3815)-(R3815)*(T3815))+(T3815)*((S3815)*(V3815)-(U3815)*(T3815)))/W3815,0)</f>
        <v/>
      </c>
      <c r="Z3815">
        <f>IF(ABS(W3815)&gt;1E-12,((LTP3!$D$5)*((P3815)*(V3815)-(U3815)*(R3815))-(S3815)*((S3815)*(V3815)-(U3815)*(T3815))+(LTP3!$D$6)*((S3815)*(R3815)-(P3815)*(T3815)))/W3815,0)</f>
        <v/>
      </c>
      <c r="AA3815">
        <f>LTP3!$D$7-X3815*LTP3!$D$6-Y3815*U3815-Z3815*V3815</f>
        <v/>
      </c>
      <c r="AB3815">
        <f>IF(AND(F3815,ABS(W3815)&gt;1E-12,Y3815&gt;0,Z3815&gt;0),AA3815,1E+300)</f>
        <v/>
      </c>
    </row>
    <row r="3816">
      <c r="A3816">
        <f>$I$3-$B$5+$B$5*3/10</f>
        <v/>
      </c>
      <c r="B3816">
        <f>$J$3-$B$5+$B$5*17/10</f>
        <v/>
      </c>
      <c r="C3816">
        <f>SUMPRODUCT(Calc!$K$3:$K$22*(Calc!$G$3:$G$22&lt;=A3816))</f>
        <v/>
      </c>
      <c r="D3816">
        <f>SUMPRODUCT(Calc!$K$3:$K$22*(Calc!$G$3:$G$22&gt;A3816)*(Calc!$G$3:$G$22&lt;B3816))</f>
        <v/>
      </c>
      <c r="E3816">
        <f>SUMPRODUCT(Calc!$K$3:$K$22*(Calc!$G$3:$G$22&gt;=B3816))</f>
        <v/>
      </c>
      <c r="F3816">
        <f>AND(k_n&gt;=5,B3816&gt;A3816+1E-9,C3816&gt;=2,D3816&gt;=1,E3816&gt;=2)</f>
        <v/>
      </c>
      <c r="G3816">
        <f>SUMPRODUCT(Calc!$K$3:$K$22*(Calc!$G$3:$G$22&gt;A3816)*(Calc!$G$3:$G$22-A3816))</f>
        <v/>
      </c>
      <c r="H3816">
        <f>SUMPRODUCT(Calc!$K$3:$K$22*(Calc!$G$3:$G$22&gt;B3816)*(Calc!$G$3:$G$22-B3816))</f>
        <v/>
      </c>
      <c r="I3816">
        <f>SUMPRODUCT(Calc!$K$3:$K$22*(Calc!$G$3:$G$22&gt;A3816)*(Calc!$G$3:$G$22-A3816)^2)</f>
        <v/>
      </c>
      <c r="J3816">
        <f>SUMPRODUCT(Calc!$K$3:$K$22*(Calc!$G$3:$G$22&gt;B3816)*(Calc!$G$3:$G$22-B3816)^2)</f>
        <v/>
      </c>
      <c r="K3816">
        <f>SUMPRODUCT(Calc!$K$3:$K$22*(Calc!$G$3:$G$22&gt;A3816)*(Calc!$G$3:$G$22-A3816)*(Calc!$G$3:$G$22&gt;B3816)*(Calc!$G$3:$G$22-B3816))</f>
        <v/>
      </c>
      <c r="L3816">
        <f>SUMPRODUCT(Calc!$K$3:$K$22*(Calc!$G$3:$G$22&gt;A3816)*(Calc!$G$3:$G$22-A3816)*Calc!$G$3:$G$22)</f>
        <v/>
      </c>
      <c r="M3816">
        <f>SUMPRODUCT(Calc!$K$3:$K$22*(Calc!$G$3:$G$22&gt;B3816)*(Calc!$G$3:$G$22-B3816)*Calc!$G$3:$G$22)</f>
        <v/>
      </c>
      <c r="N3816">
        <f>SUMPRODUCT(Calc!$K$3:$K$22*(Calc!$G$3:$G$22&gt;A3816)*(Calc!$G$3:$G$22-A3816)*Calc!$I$3:$I$22)</f>
        <v/>
      </c>
      <c r="O3816">
        <f>SUMPRODUCT(Calc!$K$3:$K$22*(Calc!$G$3:$G$22&gt;B3816)*(Calc!$G$3:$G$22-B3816)*Calc!$I$3:$I$22)</f>
        <v/>
      </c>
      <c r="P3816">
        <f>I3816-G3816^2/k_n</f>
        <v/>
      </c>
      <c r="Q3816">
        <f>J3816-H3816^2/k_n</f>
        <v/>
      </c>
      <c r="R3816">
        <f>K3816-G3816*H3816/k_n</f>
        <v/>
      </c>
      <c r="S3816">
        <f>L3816-LTP3!$D$3*G3816/k_n</f>
        <v/>
      </c>
      <c r="T3816">
        <f>M3816-LTP3!$D$3*H3816/k_n</f>
        <v/>
      </c>
      <c r="U3816">
        <f>N3816-G3816*LTP3!$D$4/k_n</f>
        <v/>
      </c>
      <c r="V3816">
        <f>O3816-H3816*LTP3!$D$4/k_n</f>
        <v/>
      </c>
      <c r="W3816">
        <f>((LTP3!$D$5)*((P3816)*(Q3816)-(R3816)*(R3816))-(S3816)*((S3816)*(Q3816)-(R3816)*(T3816))+(T3816)*((S3816)*(R3816)-(P3816)*(T3816)))</f>
        <v/>
      </c>
      <c r="X3816">
        <f>IF(ABS(W3816)&gt;1E-12,((LTP3!$D$6)*((P3816)*(Q3816)-(R3816)*(R3816))-(S3816)*((U3816)*(Q3816)-(R3816)*(V3816))+(T3816)*((U3816)*(R3816)-(P3816)*(V3816)))/W3816,0)</f>
        <v/>
      </c>
      <c r="Y3816">
        <f>IF(ABS(W3816)&gt;1E-12,((LTP3!$D$5)*((U3816)*(Q3816)-(R3816)*(V3816))-(LTP3!$D$6)*((S3816)*(Q3816)-(R3816)*(T3816))+(T3816)*((S3816)*(V3816)-(U3816)*(T3816)))/W3816,0)</f>
        <v/>
      </c>
      <c r="Z3816">
        <f>IF(ABS(W3816)&gt;1E-12,((LTP3!$D$5)*((P3816)*(V3816)-(U3816)*(R3816))-(S3816)*((S3816)*(V3816)-(U3816)*(T3816))+(LTP3!$D$6)*((S3816)*(R3816)-(P3816)*(T3816)))/W3816,0)</f>
        <v/>
      </c>
      <c r="AA3816">
        <f>LTP3!$D$7-X3816*LTP3!$D$6-Y3816*U3816-Z3816*V3816</f>
        <v/>
      </c>
      <c r="AB3816">
        <f>IF(AND(F3816,ABS(W3816)&gt;1E-12,Y3816&gt;0,Z3816&gt;0),AA3816,1E+300)</f>
        <v/>
      </c>
    </row>
    <row r="3817">
      <c r="A3817">
        <f>$I$3-$B$5+$B$5*3/10</f>
        <v/>
      </c>
      <c r="B3817">
        <f>$J$3-$B$5+$B$5*18/10</f>
        <v/>
      </c>
      <c r="C3817">
        <f>SUMPRODUCT(Calc!$K$3:$K$22*(Calc!$G$3:$G$22&lt;=A3817))</f>
        <v/>
      </c>
      <c r="D3817">
        <f>SUMPRODUCT(Calc!$K$3:$K$22*(Calc!$G$3:$G$22&gt;A3817)*(Calc!$G$3:$G$22&lt;B3817))</f>
        <v/>
      </c>
      <c r="E3817">
        <f>SUMPRODUCT(Calc!$K$3:$K$22*(Calc!$G$3:$G$22&gt;=B3817))</f>
        <v/>
      </c>
      <c r="F3817">
        <f>AND(k_n&gt;=5,B3817&gt;A3817+1E-9,C3817&gt;=2,D3817&gt;=1,E3817&gt;=2)</f>
        <v/>
      </c>
      <c r="G3817">
        <f>SUMPRODUCT(Calc!$K$3:$K$22*(Calc!$G$3:$G$22&gt;A3817)*(Calc!$G$3:$G$22-A3817))</f>
        <v/>
      </c>
      <c r="H3817">
        <f>SUMPRODUCT(Calc!$K$3:$K$22*(Calc!$G$3:$G$22&gt;B3817)*(Calc!$G$3:$G$22-B3817))</f>
        <v/>
      </c>
      <c r="I3817">
        <f>SUMPRODUCT(Calc!$K$3:$K$22*(Calc!$G$3:$G$22&gt;A3817)*(Calc!$G$3:$G$22-A3817)^2)</f>
        <v/>
      </c>
      <c r="J3817">
        <f>SUMPRODUCT(Calc!$K$3:$K$22*(Calc!$G$3:$G$22&gt;B3817)*(Calc!$G$3:$G$22-B3817)^2)</f>
        <v/>
      </c>
      <c r="K3817">
        <f>SUMPRODUCT(Calc!$K$3:$K$22*(Calc!$G$3:$G$22&gt;A3817)*(Calc!$G$3:$G$22-A3817)*(Calc!$G$3:$G$22&gt;B3817)*(Calc!$G$3:$G$22-B3817))</f>
        <v/>
      </c>
      <c r="L3817">
        <f>SUMPRODUCT(Calc!$K$3:$K$22*(Calc!$G$3:$G$22&gt;A3817)*(Calc!$G$3:$G$22-A3817)*Calc!$G$3:$G$22)</f>
        <v/>
      </c>
      <c r="M3817">
        <f>SUMPRODUCT(Calc!$K$3:$K$22*(Calc!$G$3:$G$22&gt;B3817)*(Calc!$G$3:$G$22-B3817)*Calc!$G$3:$G$22)</f>
        <v/>
      </c>
      <c r="N3817">
        <f>SUMPRODUCT(Calc!$K$3:$K$22*(Calc!$G$3:$G$22&gt;A3817)*(Calc!$G$3:$G$22-A3817)*Calc!$I$3:$I$22)</f>
        <v/>
      </c>
      <c r="O3817">
        <f>SUMPRODUCT(Calc!$K$3:$K$22*(Calc!$G$3:$G$22&gt;B3817)*(Calc!$G$3:$G$22-B3817)*Calc!$I$3:$I$22)</f>
        <v/>
      </c>
      <c r="P3817">
        <f>I3817-G3817^2/k_n</f>
        <v/>
      </c>
      <c r="Q3817">
        <f>J3817-H3817^2/k_n</f>
        <v/>
      </c>
      <c r="R3817">
        <f>K3817-G3817*H3817/k_n</f>
        <v/>
      </c>
      <c r="S3817">
        <f>L3817-LTP3!$D$3*G3817/k_n</f>
        <v/>
      </c>
      <c r="T3817">
        <f>M3817-LTP3!$D$3*H3817/k_n</f>
        <v/>
      </c>
      <c r="U3817">
        <f>N3817-G3817*LTP3!$D$4/k_n</f>
        <v/>
      </c>
      <c r="V3817">
        <f>O3817-H3817*LTP3!$D$4/k_n</f>
        <v/>
      </c>
      <c r="W3817">
        <f>((LTP3!$D$5)*((P3817)*(Q3817)-(R3817)*(R3817))-(S3817)*((S3817)*(Q3817)-(R3817)*(T3817))+(T3817)*((S3817)*(R3817)-(P3817)*(T3817)))</f>
        <v/>
      </c>
      <c r="X3817">
        <f>IF(ABS(W3817)&gt;1E-12,((LTP3!$D$6)*((P3817)*(Q3817)-(R3817)*(R3817))-(S3817)*((U3817)*(Q3817)-(R3817)*(V3817))+(T3817)*((U3817)*(R3817)-(P3817)*(V3817)))/W3817,0)</f>
        <v/>
      </c>
      <c r="Y3817">
        <f>IF(ABS(W3817)&gt;1E-12,((LTP3!$D$5)*((U3817)*(Q3817)-(R3817)*(V3817))-(LTP3!$D$6)*((S3817)*(Q3817)-(R3817)*(T3817))+(T3817)*((S3817)*(V3817)-(U3817)*(T3817)))/W3817,0)</f>
        <v/>
      </c>
      <c r="Z3817">
        <f>IF(ABS(W3817)&gt;1E-12,((LTP3!$D$5)*((P3817)*(V3817)-(U3817)*(R3817))-(S3817)*((S3817)*(V3817)-(U3817)*(T3817))+(LTP3!$D$6)*((S3817)*(R3817)-(P3817)*(T3817)))/W3817,0)</f>
        <v/>
      </c>
      <c r="AA3817">
        <f>LTP3!$D$7-X3817*LTP3!$D$6-Y3817*U3817-Z3817*V3817</f>
        <v/>
      </c>
      <c r="AB3817">
        <f>IF(AND(F3817,ABS(W3817)&gt;1E-12,Y3817&gt;0,Z3817&gt;0),AA3817,1E+300)</f>
        <v/>
      </c>
    </row>
    <row r="3818">
      <c r="A3818">
        <f>$I$3-$B$5+$B$5*3/10</f>
        <v/>
      </c>
      <c r="B3818">
        <f>$J$3-$B$5+$B$5*19/10</f>
        <v/>
      </c>
      <c r="C3818">
        <f>SUMPRODUCT(Calc!$K$3:$K$22*(Calc!$G$3:$G$22&lt;=A3818))</f>
        <v/>
      </c>
      <c r="D3818">
        <f>SUMPRODUCT(Calc!$K$3:$K$22*(Calc!$G$3:$G$22&gt;A3818)*(Calc!$G$3:$G$22&lt;B3818))</f>
        <v/>
      </c>
      <c r="E3818">
        <f>SUMPRODUCT(Calc!$K$3:$K$22*(Calc!$G$3:$G$22&gt;=B3818))</f>
        <v/>
      </c>
      <c r="F3818">
        <f>AND(k_n&gt;=5,B3818&gt;A3818+1E-9,C3818&gt;=2,D3818&gt;=1,E3818&gt;=2)</f>
        <v/>
      </c>
      <c r="G3818">
        <f>SUMPRODUCT(Calc!$K$3:$K$22*(Calc!$G$3:$G$22&gt;A3818)*(Calc!$G$3:$G$22-A3818))</f>
        <v/>
      </c>
      <c r="H3818">
        <f>SUMPRODUCT(Calc!$K$3:$K$22*(Calc!$G$3:$G$22&gt;B3818)*(Calc!$G$3:$G$22-B3818))</f>
        <v/>
      </c>
      <c r="I3818">
        <f>SUMPRODUCT(Calc!$K$3:$K$22*(Calc!$G$3:$G$22&gt;A3818)*(Calc!$G$3:$G$22-A3818)^2)</f>
        <v/>
      </c>
      <c r="J3818">
        <f>SUMPRODUCT(Calc!$K$3:$K$22*(Calc!$G$3:$G$22&gt;B3818)*(Calc!$G$3:$G$22-B3818)^2)</f>
        <v/>
      </c>
      <c r="K3818">
        <f>SUMPRODUCT(Calc!$K$3:$K$22*(Calc!$G$3:$G$22&gt;A3818)*(Calc!$G$3:$G$22-A3818)*(Calc!$G$3:$G$22&gt;B3818)*(Calc!$G$3:$G$22-B3818))</f>
        <v/>
      </c>
      <c r="L3818">
        <f>SUMPRODUCT(Calc!$K$3:$K$22*(Calc!$G$3:$G$22&gt;A3818)*(Calc!$G$3:$G$22-A3818)*Calc!$G$3:$G$22)</f>
        <v/>
      </c>
      <c r="M3818">
        <f>SUMPRODUCT(Calc!$K$3:$K$22*(Calc!$G$3:$G$22&gt;B3818)*(Calc!$G$3:$G$22-B3818)*Calc!$G$3:$G$22)</f>
        <v/>
      </c>
      <c r="N3818">
        <f>SUMPRODUCT(Calc!$K$3:$K$22*(Calc!$G$3:$G$22&gt;A3818)*(Calc!$G$3:$G$22-A3818)*Calc!$I$3:$I$22)</f>
        <v/>
      </c>
      <c r="O3818">
        <f>SUMPRODUCT(Calc!$K$3:$K$22*(Calc!$G$3:$G$22&gt;B3818)*(Calc!$G$3:$G$22-B3818)*Calc!$I$3:$I$22)</f>
        <v/>
      </c>
      <c r="P3818">
        <f>I3818-G3818^2/k_n</f>
        <v/>
      </c>
      <c r="Q3818">
        <f>J3818-H3818^2/k_n</f>
        <v/>
      </c>
      <c r="R3818">
        <f>K3818-G3818*H3818/k_n</f>
        <v/>
      </c>
      <c r="S3818">
        <f>L3818-LTP3!$D$3*G3818/k_n</f>
        <v/>
      </c>
      <c r="T3818">
        <f>M3818-LTP3!$D$3*H3818/k_n</f>
        <v/>
      </c>
      <c r="U3818">
        <f>N3818-G3818*LTP3!$D$4/k_n</f>
        <v/>
      </c>
      <c r="V3818">
        <f>O3818-H3818*LTP3!$D$4/k_n</f>
        <v/>
      </c>
      <c r="W3818">
        <f>((LTP3!$D$5)*((P3818)*(Q3818)-(R3818)*(R3818))-(S3818)*((S3818)*(Q3818)-(R3818)*(T3818))+(T3818)*((S3818)*(R3818)-(P3818)*(T3818)))</f>
        <v/>
      </c>
      <c r="X3818">
        <f>IF(ABS(W3818)&gt;1E-12,((LTP3!$D$6)*((P3818)*(Q3818)-(R3818)*(R3818))-(S3818)*((U3818)*(Q3818)-(R3818)*(V3818))+(T3818)*((U3818)*(R3818)-(P3818)*(V3818)))/W3818,0)</f>
        <v/>
      </c>
      <c r="Y3818">
        <f>IF(ABS(W3818)&gt;1E-12,((LTP3!$D$5)*((U3818)*(Q3818)-(R3818)*(V3818))-(LTP3!$D$6)*((S3818)*(Q3818)-(R3818)*(T3818))+(T3818)*((S3818)*(V3818)-(U3818)*(T3818)))/W3818,0)</f>
        <v/>
      </c>
      <c r="Z3818">
        <f>IF(ABS(W3818)&gt;1E-12,((LTP3!$D$5)*((P3818)*(V3818)-(U3818)*(R3818))-(S3818)*((S3818)*(V3818)-(U3818)*(T3818))+(LTP3!$D$6)*((S3818)*(R3818)-(P3818)*(T3818)))/W3818,0)</f>
        <v/>
      </c>
      <c r="AA3818">
        <f>LTP3!$D$7-X3818*LTP3!$D$6-Y3818*U3818-Z3818*V3818</f>
        <v/>
      </c>
      <c r="AB3818">
        <f>IF(AND(F3818,ABS(W3818)&gt;1E-12,Y3818&gt;0,Z3818&gt;0),AA3818,1E+300)</f>
        <v/>
      </c>
    </row>
    <row r="3819">
      <c r="A3819">
        <f>$I$3-$B$5+$B$5*3/10</f>
        <v/>
      </c>
      <c r="B3819">
        <f>$J$3-$B$5+$B$5*20/10</f>
        <v/>
      </c>
      <c r="C3819">
        <f>SUMPRODUCT(Calc!$K$3:$K$22*(Calc!$G$3:$G$22&lt;=A3819))</f>
        <v/>
      </c>
      <c r="D3819">
        <f>SUMPRODUCT(Calc!$K$3:$K$22*(Calc!$G$3:$G$22&gt;A3819)*(Calc!$G$3:$G$22&lt;B3819))</f>
        <v/>
      </c>
      <c r="E3819">
        <f>SUMPRODUCT(Calc!$K$3:$K$22*(Calc!$G$3:$G$22&gt;=B3819))</f>
        <v/>
      </c>
      <c r="F3819">
        <f>AND(k_n&gt;=5,B3819&gt;A3819+1E-9,C3819&gt;=2,D3819&gt;=1,E3819&gt;=2)</f>
        <v/>
      </c>
      <c r="G3819">
        <f>SUMPRODUCT(Calc!$K$3:$K$22*(Calc!$G$3:$G$22&gt;A3819)*(Calc!$G$3:$G$22-A3819))</f>
        <v/>
      </c>
      <c r="H3819">
        <f>SUMPRODUCT(Calc!$K$3:$K$22*(Calc!$G$3:$G$22&gt;B3819)*(Calc!$G$3:$G$22-B3819))</f>
        <v/>
      </c>
      <c r="I3819">
        <f>SUMPRODUCT(Calc!$K$3:$K$22*(Calc!$G$3:$G$22&gt;A3819)*(Calc!$G$3:$G$22-A3819)^2)</f>
        <v/>
      </c>
      <c r="J3819">
        <f>SUMPRODUCT(Calc!$K$3:$K$22*(Calc!$G$3:$G$22&gt;B3819)*(Calc!$G$3:$G$22-B3819)^2)</f>
        <v/>
      </c>
      <c r="K3819">
        <f>SUMPRODUCT(Calc!$K$3:$K$22*(Calc!$G$3:$G$22&gt;A3819)*(Calc!$G$3:$G$22-A3819)*(Calc!$G$3:$G$22&gt;B3819)*(Calc!$G$3:$G$22-B3819))</f>
        <v/>
      </c>
      <c r="L3819">
        <f>SUMPRODUCT(Calc!$K$3:$K$22*(Calc!$G$3:$G$22&gt;A3819)*(Calc!$G$3:$G$22-A3819)*Calc!$G$3:$G$22)</f>
        <v/>
      </c>
      <c r="M3819">
        <f>SUMPRODUCT(Calc!$K$3:$K$22*(Calc!$G$3:$G$22&gt;B3819)*(Calc!$G$3:$G$22-B3819)*Calc!$G$3:$G$22)</f>
        <v/>
      </c>
      <c r="N3819">
        <f>SUMPRODUCT(Calc!$K$3:$K$22*(Calc!$G$3:$G$22&gt;A3819)*(Calc!$G$3:$G$22-A3819)*Calc!$I$3:$I$22)</f>
        <v/>
      </c>
      <c r="O3819">
        <f>SUMPRODUCT(Calc!$K$3:$K$22*(Calc!$G$3:$G$22&gt;B3819)*(Calc!$G$3:$G$22-B3819)*Calc!$I$3:$I$22)</f>
        <v/>
      </c>
      <c r="P3819">
        <f>I3819-G3819^2/k_n</f>
        <v/>
      </c>
      <c r="Q3819">
        <f>J3819-H3819^2/k_n</f>
        <v/>
      </c>
      <c r="R3819">
        <f>K3819-G3819*H3819/k_n</f>
        <v/>
      </c>
      <c r="S3819">
        <f>L3819-LTP3!$D$3*G3819/k_n</f>
        <v/>
      </c>
      <c r="T3819">
        <f>M3819-LTP3!$D$3*H3819/k_n</f>
        <v/>
      </c>
      <c r="U3819">
        <f>N3819-G3819*LTP3!$D$4/k_n</f>
        <v/>
      </c>
      <c r="V3819">
        <f>O3819-H3819*LTP3!$D$4/k_n</f>
        <v/>
      </c>
      <c r="W3819">
        <f>((LTP3!$D$5)*((P3819)*(Q3819)-(R3819)*(R3819))-(S3819)*((S3819)*(Q3819)-(R3819)*(T3819))+(T3819)*((S3819)*(R3819)-(P3819)*(T3819)))</f>
        <v/>
      </c>
      <c r="X3819">
        <f>IF(ABS(W3819)&gt;1E-12,((LTP3!$D$6)*((P3819)*(Q3819)-(R3819)*(R3819))-(S3819)*((U3819)*(Q3819)-(R3819)*(V3819))+(T3819)*((U3819)*(R3819)-(P3819)*(V3819)))/W3819,0)</f>
        <v/>
      </c>
      <c r="Y3819">
        <f>IF(ABS(W3819)&gt;1E-12,((LTP3!$D$5)*((U3819)*(Q3819)-(R3819)*(V3819))-(LTP3!$D$6)*((S3819)*(Q3819)-(R3819)*(T3819))+(T3819)*((S3819)*(V3819)-(U3819)*(T3819)))/W3819,0)</f>
        <v/>
      </c>
      <c r="Z3819">
        <f>IF(ABS(W3819)&gt;1E-12,((LTP3!$D$5)*((P3819)*(V3819)-(U3819)*(R3819))-(S3819)*((S3819)*(V3819)-(U3819)*(T3819))+(LTP3!$D$6)*((S3819)*(R3819)-(P3819)*(T3819)))/W3819,0)</f>
        <v/>
      </c>
      <c r="AA3819">
        <f>LTP3!$D$7-X3819*LTP3!$D$6-Y3819*U3819-Z3819*V3819</f>
        <v/>
      </c>
      <c r="AB3819">
        <f>IF(AND(F3819,ABS(W3819)&gt;1E-12,Y3819&gt;0,Z3819&gt;0),AA3819,1E+300)</f>
        <v/>
      </c>
    </row>
    <row r="3820">
      <c r="A3820">
        <f>$I$3-$B$5+$B$5*4/10</f>
        <v/>
      </c>
      <c r="B3820">
        <f>$J$3-$B$5+$B$5*0/10</f>
        <v/>
      </c>
      <c r="C3820">
        <f>SUMPRODUCT(Calc!$K$3:$K$22*(Calc!$G$3:$G$22&lt;=A3820))</f>
        <v/>
      </c>
      <c r="D3820">
        <f>SUMPRODUCT(Calc!$K$3:$K$22*(Calc!$G$3:$G$22&gt;A3820)*(Calc!$G$3:$G$22&lt;B3820))</f>
        <v/>
      </c>
      <c r="E3820">
        <f>SUMPRODUCT(Calc!$K$3:$K$22*(Calc!$G$3:$G$22&gt;=B3820))</f>
        <v/>
      </c>
      <c r="F3820">
        <f>AND(k_n&gt;=5,B3820&gt;A3820+1E-9,C3820&gt;=2,D3820&gt;=1,E3820&gt;=2)</f>
        <v/>
      </c>
      <c r="G3820">
        <f>SUMPRODUCT(Calc!$K$3:$K$22*(Calc!$G$3:$G$22&gt;A3820)*(Calc!$G$3:$G$22-A3820))</f>
        <v/>
      </c>
      <c r="H3820">
        <f>SUMPRODUCT(Calc!$K$3:$K$22*(Calc!$G$3:$G$22&gt;B3820)*(Calc!$G$3:$G$22-B3820))</f>
        <v/>
      </c>
      <c r="I3820">
        <f>SUMPRODUCT(Calc!$K$3:$K$22*(Calc!$G$3:$G$22&gt;A3820)*(Calc!$G$3:$G$22-A3820)^2)</f>
        <v/>
      </c>
      <c r="J3820">
        <f>SUMPRODUCT(Calc!$K$3:$K$22*(Calc!$G$3:$G$22&gt;B3820)*(Calc!$G$3:$G$22-B3820)^2)</f>
        <v/>
      </c>
      <c r="K3820">
        <f>SUMPRODUCT(Calc!$K$3:$K$22*(Calc!$G$3:$G$22&gt;A3820)*(Calc!$G$3:$G$22-A3820)*(Calc!$G$3:$G$22&gt;B3820)*(Calc!$G$3:$G$22-B3820))</f>
        <v/>
      </c>
      <c r="L3820">
        <f>SUMPRODUCT(Calc!$K$3:$K$22*(Calc!$G$3:$G$22&gt;A3820)*(Calc!$G$3:$G$22-A3820)*Calc!$G$3:$G$22)</f>
        <v/>
      </c>
      <c r="M3820">
        <f>SUMPRODUCT(Calc!$K$3:$K$22*(Calc!$G$3:$G$22&gt;B3820)*(Calc!$G$3:$G$22-B3820)*Calc!$G$3:$G$22)</f>
        <v/>
      </c>
      <c r="N3820">
        <f>SUMPRODUCT(Calc!$K$3:$K$22*(Calc!$G$3:$G$22&gt;A3820)*(Calc!$G$3:$G$22-A3820)*Calc!$I$3:$I$22)</f>
        <v/>
      </c>
      <c r="O3820">
        <f>SUMPRODUCT(Calc!$K$3:$K$22*(Calc!$G$3:$G$22&gt;B3820)*(Calc!$G$3:$G$22-B3820)*Calc!$I$3:$I$22)</f>
        <v/>
      </c>
      <c r="P3820">
        <f>I3820-G3820^2/k_n</f>
        <v/>
      </c>
      <c r="Q3820">
        <f>J3820-H3820^2/k_n</f>
        <v/>
      </c>
      <c r="R3820">
        <f>K3820-G3820*H3820/k_n</f>
        <v/>
      </c>
      <c r="S3820">
        <f>L3820-LTP3!$D$3*G3820/k_n</f>
        <v/>
      </c>
      <c r="T3820">
        <f>M3820-LTP3!$D$3*H3820/k_n</f>
        <v/>
      </c>
      <c r="U3820">
        <f>N3820-G3820*LTP3!$D$4/k_n</f>
        <v/>
      </c>
      <c r="V3820">
        <f>O3820-H3820*LTP3!$D$4/k_n</f>
        <v/>
      </c>
      <c r="W3820">
        <f>((LTP3!$D$5)*((P3820)*(Q3820)-(R3820)*(R3820))-(S3820)*((S3820)*(Q3820)-(R3820)*(T3820))+(T3820)*((S3820)*(R3820)-(P3820)*(T3820)))</f>
        <v/>
      </c>
      <c r="X3820">
        <f>IF(ABS(W3820)&gt;1E-12,((LTP3!$D$6)*((P3820)*(Q3820)-(R3820)*(R3820))-(S3820)*((U3820)*(Q3820)-(R3820)*(V3820))+(T3820)*((U3820)*(R3820)-(P3820)*(V3820)))/W3820,0)</f>
        <v/>
      </c>
      <c r="Y3820">
        <f>IF(ABS(W3820)&gt;1E-12,((LTP3!$D$5)*((U3820)*(Q3820)-(R3820)*(V3820))-(LTP3!$D$6)*((S3820)*(Q3820)-(R3820)*(T3820))+(T3820)*((S3820)*(V3820)-(U3820)*(T3820)))/W3820,0)</f>
        <v/>
      </c>
      <c r="Z3820">
        <f>IF(ABS(W3820)&gt;1E-12,((LTP3!$D$5)*((P3820)*(V3820)-(U3820)*(R3820))-(S3820)*((S3820)*(V3820)-(U3820)*(T3820))+(LTP3!$D$6)*((S3820)*(R3820)-(P3820)*(T3820)))/W3820,0)</f>
        <v/>
      </c>
      <c r="AA3820">
        <f>LTP3!$D$7-X3820*LTP3!$D$6-Y3820*U3820-Z3820*V3820</f>
        <v/>
      </c>
      <c r="AB3820">
        <f>IF(AND(F3820,ABS(W3820)&gt;1E-12,Y3820&gt;0,Z3820&gt;0),AA3820,1E+300)</f>
        <v/>
      </c>
    </row>
    <row r="3821">
      <c r="A3821">
        <f>$I$3-$B$5+$B$5*4/10</f>
        <v/>
      </c>
      <c r="B3821">
        <f>$J$3-$B$5+$B$5*1/10</f>
        <v/>
      </c>
      <c r="C3821">
        <f>SUMPRODUCT(Calc!$K$3:$K$22*(Calc!$G$3:$G$22&lt;=A3821))</f>
        <v/>
      </c>
      <c r="D3821">
        <f>SUMPRODUCT(Calc!$K$3:$K$22*(Calc!$G$3:$G$22&gt;A3821)*(Calc!$G$3:$G$22&lt;B3821))</f>
        <v/>
      </c>
      <c r="E3821">
        <f>SUMPRODUCT(Calc!$K$3:$K$22*(Calc!$G$3:$G$22&gt;=B3821))</f>
        <v/>
      </c>
      <c r="F3821">
        <f>AND(k_n&gt;=5,B3821&gt;A3821+1E-9,C3821&gt;=2,D3821&gt;=1,E3821&gt;=2)</f>
        <v/>
      </c>
      <c r="G3821">
        <f>SUMPRODUCT(Calc!$K$3:$K$22*(Calc!$G$3:$G$22&gt;A3821)*(Calc!$G$3:$G$22-A3821))</f>
        <v/>
      </c>
      <c r="H3821">
        <f>SUMPRODUCT(Calc!$K$3:$K$22*(Calc!$G$3:$G$22&gt;B3821)*(Calc!$G$3:$G$22-B3821))</f>
        <v/>
      </c>
      <c r="I3821">
        <f>SUMPRODUCT(Calc!$K$3:$K$22*(Calc!$G$3:$G$22&gt;A3821)*(Calc!$G$3:$G$22-A3821)^2)</f>
        <v/>
      </c>
      <c r="J3821">
        <f>SUMPRODUCT(Calc!$K$3:$K$22*(Calc!$G$3:$G$22&gt;B3821)*(Calc!$G$3:$G$22-B3821)^2)</f>
        <v/>
      </c>
      <c r="K3821">
        <f>SUMPRODUCT(Calc!$K$3:$K$22*(Calc!$G$3:$G$22&gt;A3821)*(Calc!$G$3:$G$22-A3821)*(Calc!$G$3:$G$22&gt;B3821)*(Calc!$G$3:$G$22-B3821))</f>
        <v/>
      </c>
      <c r="L3821">
        <f>SUMPRODUCT(Calc!$K$3:$K$22*(Calc!$G$3:$G$22&gt;A3821)*(Calc!$G$3:$G$22-A3821)*Calc!$G$3:$G$22)</f>
        <v/>
      </c>
      <c r="M3821">
        <f>SUMPRODUCT(Calc!$K$3:$K$22*(Calc!$G$3:$G$22&gt;B3821)*(Calc!$G$3:$G$22-B3821)*Calc!$G$3:$G$22)</f>
        <v/>
      </c>
      <c r="N3821">
        <f>SUMPRODUCT(Calc!$K$3:$K$22*(Calc!$G$3:$G$22&gt;A3821)*(Calc!$G$3:$G$22-A3821)*Calc!$I$3:$I$22)</f>
        <v/>
      </c>
      <c r="O3821">
        <f>SUMPRODUCT(Calc!$K$3:$K$22*(Calc!$G$3:$G$22&gt;B3821)*(Calc!$G$3:$G$22-B3821)*Calc!$I$3:$I$22)</f>
        <v/>
      </c>
      <c r="P3821">
        <f>I3821-G3821^2/k_n</f>
        <v/>
      </c>
      <c r="Q3821">
        <f>J3821-H3821^2/k_n</f>
        <v/>
      </c>
      <c r="R3821">
        <f>K3821-G3821*H3821/k_n</f>
        <v/>
      </c>
      <c r="S3821">
        <f>L3821-LTP3!$D$3*G3821/k_n</f>
        <v/>
      </c>
      <c r="T3821">
        <f>M3821-LTP3!$D$3*H3821/k_n</f>
        <v/>
      </c>
      <c r="U3821">
        <f>N3821-G3821*LTP3!$D$4/k_n</f>
        <v/>
      </c>
      <c r="V3821">
        <f>O3821-H3821*LTP3!$D$4/k_n</f>
        <v/>
      </c>
      <c r="W3821">
        <f>((LTP3!$D$5)*((P3821)*(Q3821)-(R3821)*(R3821))-(S3821)*((S3821)*(Q3821)-(R3821)*(T3821))+(T3821)*((S3821)*(R3821)-(P3821)*(T3821)))</f>
        <v/>
      </c>
      <c r="X3821">
        <f>IF(ABS(W3821)&gt;1E-12,((LTP3!$D$6)*((P3821)*(Q3821)-(R3821)*(R3821))-(S3821)*((U3821)*(Q3821)-(R3821)*(V3821))+(T3821)*((U3821)*(R3821)-(P3821)*(V3821)))/W3821,0)</f>
        <v/>
      </c>
      <c r="Y3821">
        <f>IF(ABS(W3821)&gt;1E-12,((LTP3!$D$5)*((U3821)*(Q3821)-(R3821)*(V3821))-(LTP3!$D$6)*((S3821)*(Q3821)-(R3821)*(T3821))+(T3821)*((S3821)*(V3821)-(U3821)*(T3821)))/W3821,0)</f>
        <v/>
      </c>
      <c r="Z3821">
        <f>IF(ABS(W3821)&gt;1E-12,((LTP3!$D$5)*((P3821)*(V3821)-(U3821)*(R3821))-(S3821)*((S3821)*(V3821)-(U3821)*(T3821))+(LTP3!$D$6)*((S3821)*(R3821)-(P3821)*(T3821)))/W3821,0)</f>
        <v/>
      </c>
      <c r="AA3821">
        <f>LTP3!$D$7-X3821*LTP3!$D$6-Y3821*U3821-Z3821*V3821</f>
        <v/>
      </c>
      <c r="AB3821">
        <f>IF(AND(F3821,ABS(W3821)&gt;1E-12,Y3821&gt;0,Z3821&gt;0),AA3821,1E+300)</f>
        <v/>
      </c>
    </row>
    <row r="3822">
      <c r="A3822">
        <f>$I$3-$B$5+$B$5*4/10</f>
        <v/>
      </c>
      <c r="B3822">
        <f>$J$3-$B$5+$B$5*2/10</f>
        <v/>
      </c>
      <c r="C3822">
        <f>SUMPRODUCT(Calc!$K$3:$K$22*(Calc!$G$3:$G$22&lt;=A3822))</f>
        <v/>
      </c>
      <c r="D3822">
        <f>SUMPRODUCT(Calc!$K$3:$K$22*(Calc!$G$3:$G$22&gt;A3822)*(Calc!$G$3:$G$22&lt;B3822))</f>
        <v/>
      </c>
      <c r="E3822">
        <f>SUMPRODUCT(Calc!$K$3:$K$22*(Calc!$G$3:$G$22&gt;=B3822))</f>
        <v/>
      </c>
      <c r="F3822">
        <f>AND(k_n&gt;=5,B3822&gt;A3822+1E-9,C3822&gt;=2,D3822&gt;=1,E3822&gt;=2)</f>
        <v/>
      </c>
      <c r="G3822">
        <f>SUMPRODUCT(Calc!$K$3:$K$22*(Calc!$G$3:$G$22&gt;A3822)*(Calc!$G$3:$G$22-A3822))</f>
        <v/>
      </c>
      <c r="H3822">
        <f>SUMPRODUCT(Calc!$K$3:$K$22*(Calc!$G$3:$G$22&gt;B3822)*(Calc!$G$3:$G$22-B3822))</f>
        <v/>
      </c>
      <c r="I3822">
        <f>SUMPRODUCT(Calc!$K$3:$K$22*(Calc!$G$3:$G$22&gt;A3822)*(Calc!$G$3:$G$22-A3822)^2)</f>
        <v/>
      </c>
      <c r="J3822">
        <f>SUMPRODUCT(Calc!$K$3:$K$22*(Calc!$G$3:$G$22&gt;B3822)*(Calc!$G$3:$G$22-B3822)^2)</f>
        <v/>
      </c>
      <c r="K3822">
        <f>SUMPRODUCT(Calc!$K$3:$K$22*(Calc!$G$3:$G$22&gt;A3822)*(Calc!$G$3:$G$22-A3822)*(Calc!$G$3:$G$22&gt;B3822)*(Calc!$G$3:$G$22-B3822))</f>
        <v/>
      </c>
      <c r="L3822">
        <f>SUMPRODUCT(Calc!$K$3:$K$22*(Calc!$G$3:$G$22&gt;A3822)*(Calc!$G$3:$G$22-A3822)*Calc!$G$3:$G$22)</f>
        <v/>
      </c>
      <c r="M3822">
        <f>SUMPRODUCT(Calc!$K$3:$K$22*(Calc!$G$3:$G$22&gt;B3822)*(Calc!$G$3:$G$22-B3822)*Calc!$G$3:$G$22)</f>
        <v/>
      </c>
      <c r="N3822">
        <f>SUMPRODUCT(Calc!$K$3:$K$22*(Calc!$G$3:$G$22&gt;A3822)*(Calc!$G$3:$G$22-A3822)*Calc!$I$3:$I$22)</f>
        <v/>
      </c>
      <c r="O3822">
        <f>SUMPRODUCT(Calc!$K$3:$K$22*(Calc!$G$3:$G$22&gt;B3822)*(Calc!$G$3:$G$22-B3822)*Calc!$I$3:$I$22)</f>
        <v/>
      </c>
      <c r="P3822">
        <f>I3822-G3822^2/k_n</f>
        <v/>
      </c>
      <c r="Q3822">
        <f>J3822-H3822^2/k_n</f>
        <v/>
      </c>
      <c r="R3822">
        <f>K3822-G3822*H3822/k_n</f>
        <v/>
      </c>
      <c r="S3822">
        <f>L3822-LTP3!$D$3*G3822/k_n</f>
        <v/>
      </c>
      <c r="T3822">
        <f>M3822-LTP3!$D$3*H3822/k_n</f>
        <v/>
      </c>
      <c r="U3822">
        <f>N3822-G3822*LTP3!$D$4/k_n</f>
        <v/>
      </c>
      <c r="V3822">
        <f>O3822-H3822*LTP3!$D$4/k_n</f>
        <v/>
      </c>
      <c r="W3822">
        <f>((LTP3!$D$5)*((P3822)*(Q3822)-(R3822)*(R3822))-(S3822)*((S3822)*(Q3822)-(R3822)*(T3822))+(T3822)*((S3822)*(R3822)-(P3822)*(T3822)))</f>
        <v/>
      </c>
      <c r="X3822">
        <f>IF(ABS(W3822)&gt;1E-12,((LTP3!$D$6)*((P3822)*(Q3822)-(R3822)*(R3822))-(S3822)*((U3822)*(Q3822)-(R3822)*(V3822))+(T3822)*((U3822)*(R3822)-(P3822)*(V3822)))/W3822,0)</f>
        <v/>
      </c>
      <c r="Y3822">
        <f>IF(ABS(W3822)&gt;1E-12,((LTP3!$D$5)*((U3822)*(Q3822)-(R3822)*(V3822))-(LTP3!$D$6)*((S3822)*(Q3822)-(R3822)*(T3822))+(T3822)*((S3822)*(V3822)-(U3822)*(T3822)))/W3822,0)</f>
        <v/>
      </c>
      <c r="Z3822">
        <f>IF(ABS(W3822)&gt;1E-12,((LTP3!$D$5)*((P3822)*(V3822)-(U3822)*(R3822))-(S3822)*((S3822)*(V3822)-(U3822)*(T3822))+(LTP3!$D$6)*((S3822)*(R3822)-(P3822)*(T3822)))/W3822,0)</f>
        <v/>
      </c>
      <c r="AA3822">
        <f>LTP3!$D$7-X3822*LTP3!$D$6-Y3822*U3822-Z3822*V3822</f>
        <v/>
      </c>
      <c r="AB3822">
        <f>IF(AND(F3822,ABS(W3822)&gt;1E-12,Y3822&gt;0,Z3822&gt;0),AA3822,1E+300)</f>
        <v/>
      </c>
    </row>
    <row r="3823">
      <c r="A3823">
        <f>$I$3-$B$5+$B$5*4/10</f>
        <v/>
      </c>
      <c r="B3823">
        <f>$J$3-$B$5+$B$5*3/10</f>
        <v/>
      </c>
      <c r="C3823">
        <f>SUMPRODUCT(Calc!$K$3:$K$22*(Calc!$G$3:$G$22&lt;=A3823))</f>
        <v/>
      </c>
      <c r="D3823">
        <f>SUMPRODUCT(Calc!$K$3:$K$22*(Calc!$G$3:$G$22&gt;A3823)*(Calc!$G$3:$G$22&lt;B3823))</f>
        <v/>
      </c>
      <c r="E3823">
        <f>SUMPRODUCT(Calc!$K$3:$K$22*(Calc!$G$3:$G$22&gt;=B3823))</f>
        <v/>
      </c>
      <c r="F3823">
        <f>AND(k_n&gt;=5,B3823&gt;A3823+1E-9,C3823&gt;=2,D3823&gt;=1,E3823&gt;=2)</f>
        <v/>
      </c>
      <c r="G3823">
        <f>SUMPRODUCT(Calc!$K$3:$K$22*(Calc!$G$3:$G$22&gt;A3823)*(Calc!$G$3:$G$22-A3823))</f>
        <v/>
      </c>
      <c r="H3823">
        <f>SUMPRODUCT(Calc!$K$3:$K$22*(Calc!$G$3:$G$22&gt;B3823)*(Calc!$G$3:$G$22-B3823))</f>
        <v/>
      </c>
      <c r="I3823">
        <f>SUMPRODUCT(Calc!$K$3:$K$22*(Calc!$G$3:$G$22&gt;A3823)*(Calc!$G$3:$G$22-A3823)^2)</f>
        <v/>
      </c>
      <c r="J3823">
        <f>SUMPRODUCT(Calc!$K$3:$K$22*(Calc!$G$3:$G$22&gt;B3823)*(Calc!$G$3:$G$22-B3823)^2)</f>
        <v/>
      </c>
      <c r="K3823">
        <f>SUMPRODUCT(Calc!$K$3:$K$22*(Calc!$G$3:$G$22&gt;A3823)*(Calc!$G$3:$G$22-A3823)*(Calc!$G$3:$G$22&gt;B3823)*(Calc!$G$3:$G$22-B3823))</f>
        <v/>
      </c>
      <c r="L3823">
        <f>SUMPRODUCT(Calc!$K$3:$K$22*(Calc!$G$3:$G$22&gt;A3823)*(Calc!$G$3:$G$22-A3823)*Calc!$G$3:$G$22)</f>
        <v/>
      </c>
      <c r="M3823">
        <f>SUMPRODUCT(Calc!$K$3:$K$22*(Calc!$G$3:$G$22&gt;B3823)*(Calc!$G$3:$G$22-B3823)*Calc!$G$3:$G$22)</f>
        <v/>
      </c>
      <c r="N3823">
        <f>SUMPRODUCT(Calc!$K$3:$K$22*(Calc!$G$3:$G$22&gt;A3823)*(Calc!$G$3:$G$22-A3823)*Calc!$I$3:$I$22)</f>
        <v/>
      </c>
      <c r="O3823">
        <f>SUMPRODUCT(Calc!$K$3:$K$22*(Calc!$G$3:$G$22&gt;B3823)*(Calc!$G$3:$G$22-B3823)*Calc!$I$3:$I$22)</f>
        <v/>
      </c>
      <c r="P3823">
        <f>I3823-G3823^2/k_n</f>
        <v/>
      </c>
      <c r="Q3823">
        <f>J3823-H3823^2/k_n</f>
        <v/>
      </c>
      <c r="R3823">
        <f>K3823-G3823*H3823/k_n</f>
        <v/>
      </c>
      <c r="S3823">
        <f>L3823-LTP3!$D$3*G3823/k_n</f>
        <v/>
      </c>
      <c r="T3823">
        <f>M3823-LTP3!$D$3*H3823/k_n</f>
        <v/>
      </c>
      <c r="U3823">
        <f>N3823-G3823*LTP3!$D$4/k_n</f>
        <v/>
      </c>
      <c r="V3823">
        <f>O3823-H3823*LTP3!$D$4/k_n</f>
        <v/>
      </c>
      <c r="W3823">
        <f>((LTP3!$D$5)*((P3823)*(Q3823)-(R3823)*(R3823))-(S3823)*((S3823)*(Q3823)-(R3823)*(T3823))+(T3823)*((S3823)*(R3823)-(P3823)*(T3823)))</f>
        <v/>
      </c>
      <c r="X3823">
        <f>IF(ABS(W3823)&gt;1E-12,((LTP3!$D$6)*((P3823)*(Q3823)-(R3823)*(R3823))-(S3823)*((U3823)*(Q3823)-(R3823)*(V3823))+(T3823)*((U3823)*(R3823)-(P3823)*(V3823)))/W3823,0)</f>
        <v/>
      </c>
      <c r="Y3823">
        <f>IF(ABS(W3823)&gt;1E-12,((LTP3!$D$5)*((U3823)*(Q3823)-(R3823)*(V3823))-(LTP3!$D$6)*((S3823)*(Q3823)-(R3823)*(T3823))+(T3823)*((S3823)*(V3823)-(U3823)*(T3823)))/W3823,0)</f>
        <v/>
      </c>
      <c r="Z3823">
        <f>IF(ABS(W3823)&gt;1E-12,((LTP3!$D$5)*((P3823)*(V3823)-(U3823)*(R3823))-(S3823)*((S3823)*(V3823)-(U3823)*(T3823))+(LTP3!$D$6)*((S3823)*(R3823)-(P3823)*(T3823)))/W3823,0)</f>
        <v/>
      </c>
      <c r="AA3823">
        <f>LTP3!$D$7-X3823*LTP3!$D$6-Y3823*U3823-Z3823*V3823</f>
        <v/>
      </c>
      <c r="AB3823">
        <f>IF(AND(F3823,ABS(W3823)&gt;1E-12,Y3823&gt;0,Z3823&gt;0),AA3823,1E+300)</f>
        <v/>
      </c>
    </row>
    <row r="3824">
      <c r="A3824">
        <f>$I$3-$B$5+$B$5*4/10</f>
        <v/>
      </c>
      <c r="B3824">
        <f>$J$3-$B$5+$B$5*4/10</f>
        <v/>
      </c>
      <c r="C3824">
        <f>SUMPRODUCT(Calc!$K$3:$K$22*(Calc!$G$3:$G$22&lt;=A3824))</f>
        <v/>
      </c>
      <c r="D3824">
        <f>SUMPRODUCT(Calc!$K$3:$K$22*(Calc!$G$3:$G$22&gt;A3824)*(Calc!$G$3:$G$22&lt;B3824))</f>
        <v/>
      </c>
      <c r="E3824">
        <f>SUMPRODUCT(Calc!$K$3:$K$22*(Calc!$G$3:$G$22&gt;=B3824))</f>
        <v/>
      </c>
      <c r="F3824">
        <f>AND(k_n&gt;=5,B3824&gt;A3824+1E-9,C3824&gt;=2,D3824&gt;=1,E3824&gt;=2)</f>
        <v/>
      </c>
      <c r="G3824">
        <f>SUMPRODUCT(Calc!$K$3:$K$22*(Calc!$G$3:$G$22&gt;A3824)*(Calc!$G$3:$G$22-A3824))</f>
        <v/>
      </c>
      <c r="H3824">
        <f>SUMPRODUCT(Calc!$K$3:$K$22*(Calc!$G$3:$G$22&gt;B3824)*(Calc!$G$3:$G$22-B3824))</f>
        <v/>
      </c>
      <c r="I3824">
        <f>SUMPRODUCT(Calc!$K$3:$K$22*(Calc!$G$3:$G$22&gt;A3824)*(Calc!$G$3:$G$22-A3824)^2)</f>
        <v/>
      </c>
      <c r="J3824">
        <f>SUMPRODUCT(Calc!$K$3:$K$22*(Calc!$G$3:$G$22&gt;B3824)*(Calc!$G$3:$G$22-B3824)^2)</f>
        <v/>
      </c>
      <c r="K3824">
        <f>SUMPRODUCT(Calc!$K$3:$K$22*(Calc!$G$3:$G$22&gt;A3824)*(Calc!$G$3:$G$22-A3824)*(Calc!$G$3:$G$22&gt;B3824)*(Calc!$G$3:$G$22-B3824))</f>
        <v/>
      </c>
      <c r="L3824">
        <f>SUMPRODUCT(Calc!$K$3:$K$22*(Calc!$G$3:$G$22&gt;A3824)*(Calc!$G$3:$G$22-A3824)*Calc!$G$3:$G$22)</f>
        <v/>
      </c>
      <c r="M3824">
        <f>SUMPRODUCT(Calc!$K$3:$K$22*(Calc!$G$3:$G$22&gt;B3824)*(Calc!$G$3:$G$22-B3824)*Calc!$G$3:$G$22)</f>
        <v/>
      </c>
      <c r="N3824">
        <f>SUMPRODUCT(Calc!$K$3:$K$22*(Calc!$G$3:$G$22&gt;A3824)*(Calc!$G$3:$G$22-A3824)*Calc!$I$3:$I$22)</f>
        <v/>
      </c>
      <c r="O3824">
        <f>SUMPRODUCT(Calc!$K$3:$K$22*(Calc!$G$3:$G$22&gt;B3824)*(Calc!$G$3:$G$22-B3824)*Calc!$I$3:$I$22)</f>
        <v/>
      </c>
      <c r="P3824">
        <f>I3824-G3824^2/k_n</f>
        <v/>
      </c>
      <c r="Q3824">
        <f>J3824-H3824^2/k_n</f>
        <v/>
      </c>
      <c r="R3824">
        <f>K3824-G3824*H3824/k_n</f>
        <v/>
      </c>
      <c r="S3824">
        <f>L3824-LTP3!$D$3*G3824/k_n</f>
        <v/>
      </c>
      <c r="T3824">
        <f>M3824-LTP3!$D$3*H3824/k_n</f>
        <v/>
      </c>
      <c r="U3824">
        <f>N3824-G3824*LTP3!$D$4/k_n</f>
        <v/>
      </c>
      <c r="V3824">
        <f>O3824-H3824*LTP3!$D$4/k_n</f>
        <v/>
      </c>
      <c r="W3824">
        <f>((LTP3!$D$5)*((P3824)*(Q3824)-(R3824)*(R3824))-(S3824)*((S3824)*(Q3824)-(R3824)*(T3824))+(T3824)*((S3824)*(R3824)-(P3824)*(T3824)))</f>
        <v/>
      </c>
      <c r="X3824">
        <f>IF(ABS(W3824)&gt;1E-12,((LTP3!$D$6)*((P3824)*(Q3824)-(R3824)*(R3824))-(S3824)*((U3824)*(Q3824)-(R3824)*(V3824))+(T3824)*((U3824)*(R3824)-(P3824)*(V3824)))/W3824,0)</f>
        <v/>
      </c>
      <c r="Y3824">
        <f>IF(ABS(W3824)&gt;1E-12,((LTP3!$D$5)*((U3824)*(Q3824)-(R3824)*(V3824))-(LTP3!$D$6)*((S3824)*(Q3824)-(R3824)*(T3824))+(T3824)*((S3824)*(V3824)-(U3824)*(T3824)))/W3824,0)</f>
        <v/>
      </c>
      <c r="Z3824">
        <f>IF(ABS(W3824)&gt;1E-12,((LTP3!$D$5)*((P3824)*(V3824)-(U3824)*(R3824))-(S3824)*((S3824)*(V3824)-(U3824)*(T3824))+(LTP3!$D$6)*((S3824)*(R3824)-(P3824)*(T3824)))/W3824,0)</f>
        <v/>
      </c>
      <c r="AA3824">
        <f>LTP3!$D$7-X3824*LTP3!$D$6-Y3824*U3824-Z3824*V3824</f>
        <v/>
      </c>
      <c r="AB3824">
        <f>IF(AND(F3824,ABS(W3824)&gt;1E-12,Y3824&gt;0,Z3824&gt;0),AA3824,1E+300)</f>
        <v/>
      </c>
    </row>
    <row r="3825">
      <c r="A3825">
        <f>$I$3-$B$5+$B$5*4/10</f>
        <v/>
      </c>
      <c r="B3825">
        <f>$J$3-$B$5+$B$5*5/10</f>
        <v/>
      </c>
      <c r="C3825">
        <f>SUMPRODUCT(Calc!$K$3:$K$22*(Calc!$G$3:$G$22&lt;=A3825))</f>
        <v/>
      </c>
      <c r="D3825">
        <f>SUMPRODUCT(Calc!$K$3:$K$22*(Calc!$G$3:$G$22&gt;A3825)*(Calc!$G$3:$G$22&lt;B3825))</f>
        <v/>
      </c>
      <c r="E3825">
        <f>SUMPRODUCT(Calc!$K$3:$K$22*(Calc!$G$3:$G$22&gt;=B3825))</f>
        <v/>
      </c>
      <c r="F3825">
        <f>AND(k_n&gt;=5,B3825&gt;A3825+1E-9,C3825&gt;=2,D3825&gt;=1,E3825&gt;=2)</f>
        <v/>
      </c>
      <c r="G3825">
        <f>SUMPRODUCT(Calc!$K$3:$K$22*(Calc!$G$3:$G$22&gt;A3825)*(Calc!$G$3:$G$22-A3825))</f>
        <v/>
      </c>
      <c r="H3825">
        <f>SUMPRODUCT(Calc!$K$3:$K$22*(Calc!$G$3:$G$22&gt;B3825)*(Calc!$G$3:$G$22-B3825))</f>
        <v/>
      </c>
      <c r="I3825">
        <f>SUMPRODUCT(Calc!$K$3:$K$22*(Calc!$G$3:$G$22&gt;A3825)*(Calc!$G$3:$G$22-A3825)^2)</f>
        <v/>
      </c>
      <c r="J3825">
        <f>SUMPRODUCT(Calc!$K$3:$K$22*(Calc!$G$3:$G$22&gt;B3825)*(Calc!$G$3:$G$22-B3825)^2)</f>
        <v/>
      </c>
      <c r="K3825">
        <f>SUMPRODUCT(Calc!$K$3:$K$22*(Calc!$G$3:$G$22&gt;A3825)*(Calc!$G$3:$G$22-A3825)*(Calc!$G$3:$G$22&gt;B3825)*(Calc!$G$3:$G$22-B3825))</f>
        <v/>
      </c>
      <c r="L3825">
        <f>SUMPRODUCT(Calc!$K$3:$K$22*(Calc!$G$3:$G$22&gt;A3825)*(Calc!$G$3:$G$22-A3825)*Calc!$G$3:$G$22)</f>
        <v/>
      </c>
      <c r="M3825">
        <f>SUMPRODUCT(Calc!$K$3:$K$22*(Calc!$G$3:$G$22&gt;B3825)*(Calc!$G$3:$G$22-B3825)*Calc!$G$3:$G$22)</f>
        <v/>
      </c>
      <c r="N3825">
        <f>SUMPRODUCT(Calc!$K$3:$K$22*(Calc!$G$3:$G$22&gt;A3825)*(Calc!$G$3:$G$22-A3825)*Calc!$I$3:$I$22)</f>
        <v/>
      </c>
      <c r="O3825">
        <f>SUMPRODUCT(Calc!$K$3:$K$22*(Calc!$G$3:$G$22&gt;B3825)*(Calc!$G$3:$G$22-B3825)*Calc!$I$3:$I$22)</f>
        <v/>
      </c>
      <c r="P3825">
        <f>I3825-G3825^2/k_n</f>
        <v/>
      </c>
      <c r="Q3825">
        <f>J3825-H3825^2/k_n</f>
        <v/>
      </c>
      <c r="R3825">
        <f>K3825-G3825*H3825/k_n</f>
        <v/>
      </c>
      <c r="S3825">
        <f>L3825-LTP3!$D$3*G3825/k_n</f>
        <v/>
      </c>
      <c r="T3825">
        <f>M3825-LTP3!$D$3*H3825/k_n</f>
        <v/>
      </c>
      <c r="U3825">
        <f>N3825-G3825*LTP3!$D$4/k_n</f>
        <v/>
      </c>
      <c r="V3825">
        <f>O3825-H3825*LTP3!$D$4/k_n</f>
        <v/>
      </c>
      <c r="W3825">
        <f>((LTP3!$D$5)*((P3825)*(Q3825)-(R3825)*(R3825))-(S3825)*((S3825)*(Q3825)-(R3825)*(T3825))+(T3825)*((S3825)*(R3825)-(P3825)*(T3825)))</f>
        <v/>
      </c>
      <c r="X3825">
        <f>IF(ABS(W3825)&gt;1E-12,((LTP3!$D$6)*((P3825)*(Q3825)-(R3825)*(R3825))-(S3825)*((U3825)*(Q3825)-(R3825)*(V3825))+(T3825)*((U3825)*(R3825)-(P3825)*(V3825)))/W3825,0)</f>
        <v/>
      </c>
      <c r="Y3825">
        <f>IF(ABS(W3825)&gt;1E-12,((LTP3!$D$5)*((U3825)*(Q3825)-(R3825)*(V3825))-(LTP3!$D$6)*((S3825)*(Q3825)-(R3825)*(T3825))+(T3825)*((S3825)*(V3825)-(U3825)*(T3825)))/W3825,0)</f>
        <v/>
      </c>
      <c r="Z3825">
        <f>IF(ABS(W3825)&gt;1E-12,((LTP3!$D$5)*((P3825)*(V3825)-(U3825)*(R3825))-(S3825)*((S3825)*(V3825)-(U3825)*(T3825))+(LTP3!$D$6)*((S3825)*(R3825)-(P3825)*(T3825)))/W3825,0)</f>
        <v/>
      </c>
      <c r="AA3825">
        <f>LTP3!$D$7-X3825*LTP3!$D$6-Y3825*U3825-Z3825*V3825</f>
        <v/>
      </c>
      <c r="AB3825">
        <f>IF(AND(F3825,ABS(W3825)&gt;1E-12,Y3825&gt;0,Z3825&gt;0),AA3825,1E+300)</f>
        <v/>
      </c>
    </row>
    <row r="3826">
      <c r="A3826">
        <f>$I$3-$B$5+$B$5*4/10</f>
        <v/>
      </c>
      <c r="B3826">
        <f>$J$3-$B$5+$B$5*6/10</f>
        <v/>
      </c>
      <c r="C3826">
        <f>SUMPRODUCT(Calc!$K$3:$K$22*(Calc!$G$3:$G$22&lt;=A3826))</f>
        <v/>
      </c>
      <c r="D3826">
        <f>SUMPRODUCT(Calc!$K$3:$K$22*(Calc!$G$3:$G$22&gt;A3826)*(Calc!$G$3:$G$22&lt;B3826))</f>
        <v/>
      </c>
      <c r="E3826">
        <f>SUMPRODUCT(Calc!$K$3:$K$22*(Calc!$G$3:$G$22&gt;=B3826))</f>
        <v/>
      </c>
      <c r="F3826">
        <f>AND(k_n&gt;=5,B3826&gt;A3826+1E-9,C3826&gt;=2,D3826&gt;=1,E3826&gt;=2)</f>
        <v/>
      </c>
      <c r="G3826">
        <f>SUMPRODUCT(Calc!$K$3:$K$22*(Calc!$G$3:$G$22&gt;A3826)*(Calc!$G$3:$G$22-A3826))</f>
        <v/>
      </c>
      <c r="H3826">
        <f>SUMPRODUCT(Calc!$K$3:$K$22*(Calc!$G$3:$G$22&gt;B3826)*(Calc!$G$3:$G$22-B3826))</f>
        <v/>
      </c>
      <c r="I3826">
        <f>SUMPRODUCT(Calc!$K$3:$K$22*(Calc!$G$3:$G$22&gt;A3826)*(Calc!$G$3:$G$22-A3826)^2)</f>
        <v/>
      </c>
      <c r="J3826">
        <f>SUMPRODUCT(Calc!$K$3:$K$22*(Calc!$G$3:$G$22&gt;B3826)*(Calc!$G$3:$G$22-B3826)^2)</f>
        <v/>
      </c>
      <c r="K3826">
        <f>SUMPRODUCT(Calc!$K$3:$K$22*(Calc!$G$3:$G$22&gt;A3826)*(Calc!$G$3:$G$22-A3826)*(Calc!$G$3:$G$22&gt;B3826)*(Calc!$G$3:$G$22-B3826))</f>
        <v/>
      </c>
      <c r="L3826">
        <f>SUMPRODUCT(Calc!$K$3:$K$22*(Calc!$G$3:$G$22&gt;A3826)*(Calc!$G$3:$G$22-A3826)*Calc!$G$3:$G$22)</f>
        <v/>
      </c>
      <c r="M3826">
        <f>SUMPRODUCT(Calc!$K$3:$K$22*(Calc!$G$3:$G$22&gt;B3826)*(Calc!$G$3:$G$22-B3826)*Calc!$G$3:$G$22)</f>
        <v/>
      </c>
      <c r="N3826">
        <f>SUMPRODUCT(Calc!$K$3:$K$22*(Calc!$G$3:$G$22&gt;A3826)*(Calc!$G$3:$G$22-A3826)*Calc!$I$3:$I$22)</f>
        <v/>
      </c>
      <c r="O3826">
        <f>SUMPRODUCT(Calc!$K$3:$K$22*(Calc!$G$3:$G$22&gt;B3826)*(Calc!$G$3:$G$22-B3826)*Calc!$I$3:$I$22)</f>
        <v/>
      </c>
      <c r="P3826">
        <f>I3826-G3826^2/k_n</f>
        <v/>
      </c>
      <c r="Q3826">
        <f>J3826-H3826^2/k_n</f>
        <v/>
      </c>
      <c r="R3826">
        <f>K3826-G3826*H3826/k_n</f>
        <v/>
      </c>
      <c r="S3826">
        <f>L3826-LTP3!$D$3*G3826/k_n</f>
        <v/>
      </c>
      <c r="T3826">
        <f>M3826-LTP3!$D$3*H3826/k_n</f>
        <v/>
      </c>
      <c r="U3826">
        <f>N3826-G3826*LTP3!$D$4/k_n</f>
        <v/>
      </c>
      <c r="V3826">
        <f>O3826-H3826*LTP3!$D$4/k_n</f>
        <v/>
      </c>
      <c r="W3826">
        <f>((LTP3!$D$5)*((P3826)*(Q3826)-(R3826)*(R3826))-(S3826)*((S3826)*(Q3826)-(R3826)*(T3826))+(T3826)*((S3826)*(R3826)-(P3826)*(T3826)))</f>
        <v/>
      </c>
      <c r="X3826">
        <f>IF(ABS(W3826)&gt;1E-12,((LTP3!$D$6)*((P3826)*(Q3826)-(R3826)*(R3826))-(S3826)*((U3826)*(Q3826)-(R3826)*(V3826))+(T3826)*((U3826)*(R3826)-(P3826)*(V3826)))/W3826,0)</f>
        <v/>
      </c>
      <c r="Y3826">
        <f>IF(ABS(W3826)&gt;1E-12,((LTP3!$D$5)*((U3826)*(Q3826)-(R3826)*(V3826))-(LTP3!$D$6)*((S3826)*(Q3826)-(R3826)*(T3826))+(T3826)*((S3826)*(V3826)-(U3826)*(T3826)))/W3826,0)</f>
        <v/>
      </c>
      <c r="Z3826">
        <f>IF(ABS(W3826)&gt;1E-12,((LTP3!$D$5)*((P3826)*(V3826)-(U3826)*(R3826))-(S3826)*((S3826)*(V3826)-(U3826)*(T3826))+(LTP3!$D$6)*((S3826)*(R3826)-(P3826)*(T3826)))/W3826,0)</f>
        <v/>
      </c>
      <c r="AA3826">
        <f>LTP3!$D$7-X3826*LTP3!$D$6-Y3826*U3826-Z3826*V3826</f>
        <v/>
      </c>
      <c r="AB3826">
        <f>IF(AND(F3826,ABS(W3826)&gt;1E-12,Y3826&gt;0,Z3826&gt;0),AA3826,1E+300)</f>
        <v/>
      </c>
    </row>
    <row r="3827">
      <c r="A3827">
        <f>$I$3-$B$5+$B$5*4/10</f>
        <v/>
      </c>
      <c r="B3827">
        <f>$J$3-$B$5+$B$5*7/10</f>
        <v/>
      </c>
      <c r="C3827">
        <f>SUMPRODUCT(Calc!$K$3:$K$22*(Calc!$G$3:$G$22&lt;=A3827))</f>
        <v/>
      </c>
      <c r="D3827">
        <f>SUMPRODUCT(Calc!$K$3:$K$22*(Calc!$G$3:$G$22&gt;A3827)*(Calc!$G$3:$G$22&lt;B3827))</f>
        <v/>
      </c>
      <c r="E3827">
        <f>SUMPRODUCT(Calc!$K$3:$K$22*(Calc!$G$3:$G$22&gt;=B3827))</f>
        <v/>
      </c>
      <c r="F3827">
        <f>AND(k_n&gt;=5,B3827&gt;A3827+1E-9,C3827&gt;=2,D3827&gt;=1,E3827&gt;=2)</f>
        <v/>
      </c>
      <c r="G3827">
        <f>SUMPRODUCT(Calc!$K$3:$K$22*(Calc!$G$3:$G$22&gt;A3827)*(Calc!$G$3:$G$22-A3827))</f>
        <v/>
      </c>
      <c r="H3827">
        <f>SUMPRODUCT(Calc!$K$3:$K$22*(Calc!$G$3:$G$22&gt;B3827)*(Calc!$G$3:$G$22-B3827))</f>
        <v/>
      </c>
      <c r="I3827">
        <f>SUMPRODUCT(Calc!$K$3:$K$22*(Calc!$G$3:$G$22&gt;A3827)*(Calc!$G$3:$G$22-A3827)^2)</f>
        <v/>
      </c>
      <c r="J3827">
        <f>SUMPRODUCT(Calc!$K$3:$K$22*(Calc!$G$3:$G$22&gt;B3827)*(Calc!$G$3:$G$22-B3827)^2)</f>
        <v/>
      </c>
      <c r="K3827">
        <f>SUMPRODUCT(Calc!$K$3:$K$22*(Calc!$G$3:$G$22&gt;A3827)*(Calc!$G$3:$G$22-A3827)*(Calc!$G$3:$G$22&gt;B3827)*(Calc!$G$3:$G$22-B3827))</f>
        <v/>
      </c>
      <c r="L3827">
        <f>SUMPRODUCT(Calc!$K$3:$K$22*(Calc!$G$3:$G$22&gt;A3827)*(Calc!$G$3:$G$22-A3827)*Calc!$G$3:$G$22)</f>
        <v/>
      </c>
      <c r="M3827">
        <f>SUMPRODUCT(Calc!$K$3:$K$22*(Calc!$G$3:$G$22&gt;B3827)*(Calc!$G$3:$G$22-B3827)*Calc!$G$3:$G$22)</f>
        <v/>
      </c>
      <c r="N3827">
        <f>SUMPRODUCT(Calc!$K$3:$K$22*(Calc!$G$3:$G$22&gt;A3827)*(Calc!$G$3:$G$22-A3827)*Calc!$I$3:$I$22)</f>
        <v/>
      </c>
      <c r="O3827">
        <f>SUMPRODUCT(Calc!$K$3:$K$22*(Calc!$G$3:$G$22&gt;B3827)*(Calc!$G$3:$G$22-B3827)*Calc!$I$3:$I$22)</f>
        <v/>
      </c>
      <c r="P3827">
        <f>I3827-G3827^2/k_n</f>
        <v/>
      </c>
      <c r="Q3827">
        <f>J3827-H3827^2/k_n</f>
        <v/>
      </c>
      <c r="R3827">
        <f>K3827-G3827*H3827/k_n</f>
        <v/>
      </c>
      <c r="S3827">
        <f>L3827-LTP3!$D$3*G3827/k_n</f>
        <v/>
      </c>
      <c r="T3827">
        <f>M3827-LTP3!$D$3*H3827/k_n</f>
        <v/>
      </c>
      <c r="U3827">
        <f>N3827-G3827*LTP3!$D$4/k_n</f>
        <v/>
      </c>
      <c r="V3827">
        <f>O3827-H3827*LTP3!$D$4/k_n</f>
        <v/>
      </c>
      <c r="W3827">
        <f>((LTP3!$D$5)*((P3827)*(Q3827)-(R3827)*(R3827))-(S3827)*((S3827)*(Q3827)-(R3827)*(T3827))+(T3827)*((S3827)*(R3827)-(P3827)*(T3827)))</f>
        <v/>
      </c>
      <c r="X3827">
        <f>IF(ABS(W3827)&gt;1E-12,((LTP3!$D$6)*((P3827)*(Q3827)-(R3827)*(R3827))-(S3827)*((U3827)*(Q3827)-(R3827)*(V3827))+(T3827)*((U3827)*(R3827)-(P3827)*(V3827)))/W3827,0)</f>
        <v/>
      </c>
      <c r="Y3827">
        <f>IF(ABS(W3827)&gt;1E-12,((LTP3!$D$5)*((U3827)*(Q3827)-(R3827)*(V3827))-(LTP3!$D$6)*((S3827)*(Q3827)-(R3827)*(T3827))+(T3827)*((S3827)*(V3827)-(U3827)*(T3827)))/W3827,0)</f>
        <v/>
      </c>
      <c r="Z3827">
        <f>IF(ABS(W3827)&gt;1E-12,((LTP3!$D$5)*((P3827)*(V3827)-(U3827)*(R3827))-(S3827)*((S3827)*(V3827)-(U3827)*(T3827))+(LTP3!$D$6)*((S3827)*(R3827)-(P3827)*(T3827)))/W3827,0)</f>
        <v/>
      </c>
      <c r="AA3827">
        <f>LTP3!$D$7-X3827*LTP3!$D$6-Y3827*U3827-Z3827*V3827</f>
        <v/>
      </c>
      <c r="AB3827">
        <f>IF(AND(F3827,ABS(W3827)&gt;1E-12,Y3827&gt;0,Z3827&gt;0),AA3827,1E+300)</f>
        <v/>
      </c>
    </row>
    <row r="3828">
      <c r="A3828">
        <f>$I$3-$B$5+$B$5*4/10</f>
        <v/>
      </c>
      <c r="B3828">
        <f>$J$3-$B$5+$B$5*8/10</f>
        <v/>
      </c>
      <c r="C3828">
        <f>SUMPRODUCT(Calc!$K$3:$K$22*(Calc!$G$3:$G$22&lt;=A3828))</f>
        <v/>
      </c>
      <c r="D3828">
        <f>SUMPRODUCT(Calc!$K$3:$K$22*(Calc!$G$3:$G$22&gt;A3828)*(Calc!$G$3:$G$22&lt;B3828))</f>
        <v/>
      </c>
      <c r="E3828">
        <f>SUMPRODUCT(Calc!$K$3:$K$22*(Calc!$G$3:$G$22&gt;=B3828))</f>
        <v/>
      </c>
      <c r="F3828">
        <f>AND(k_n&gt;=5,B3828&gt;A3828+1E-9,C3828&gt;=2,D3828&gt;=1,E3828&gt;=2)</f>
        <v/>
      </c>
      <c r="G3828">
        <f>SUMPRODUCT(Calc!$K$3:$K$22*(Calc!$G$3:$G$22&gt;A3828)*(Calc!$G$3:$G$22-A3828))</f>
        <v/>
      </c>
      <c r="H3828">
        <f>SUMPRODUCT(Calc!$K$3:$K$22*(Calc!$G$3:$G$22&gt;B3828)*(Calc!$G$3:$G$22-B3828))</f>
        <v/>
      </c>
      <c r="I3828">
        <f>SUMPRODUCT(Calc!$K$3:$K$22*(Calc!$G$3:$G$22&gt;A3828)*(Calc!$G$3:$G$22-A3828)^2)</f>
        <v/>
      </c>
      <c r="J3828">
        <f>SUMPRODUCT(Calc!$K$3:$K$22*(Calc!$G$3:$G$22&gt;B3828)*(Calc!$G$3:$G$22-B3828)^2)</f>
        <v/>
      </c>
      <c r="K3828">
        <f>SUMPRODUCT(Calc!$K$3:$K$22*(Calc!$G$3:$G$22&gt;A3828)*(Calc!$G$3:$G$22-A3828)*(Calc!$G$3:$G$22&gt;B3828)*(Calc!$G$3:$G$22-B3828))</f>
        <v/>
      </c>
      <c r="L3828">
        <f>SUMPRODUCT(Calc!$K$3:$K$22*(Calc!$G$3:$G$22&gt;A3828)*(Calc!$G$3:$G$22-A3828)*Calc!$G$3:$G$22)</f>
        <v/>
      </c>
      <c r="M3828">
        <f>SUMPRODUCT(Calc!$K$3:$K$22*(Calc!$G$3:$G$22&gt;B3828)*(Calc!$G$3:$G$22-B3828)*Calc!$G$3:$G$22)</f>
        <v/>
      </c>
      <c r="N3828">
        <f>SUMPRODUCT(Calc!$K$3:$K$22*(Calc!$G$3:$G$22&gt;A3828)*(Calc!$G$3:$G$22-A3828)*Calc!$I$3:$I$22)</f>
        <v/>
      </c>
      <c r="O3828">
        <f>SUMPRODUCT(Calc!$K$3:$K$22*(Calc!$G$3:$G$22&gt;B3828)*(Calc!$G$3:$G$22-B3828)*Calc!$I$3:$I$22)</f>
        <v/>
      </c>
      <c r="P3828">
        <f>I3828-G3828^2/k_n</f>
        <v/>
      </c>
      <c r="Q3828">
        <f>J3828-H3828^2/k_n</f>
        <v/>
      </c>
      <c r="R3828">
        <f>K3828-G3828*H3828/k_n</f>
        <v/>
      </c>
      <c r="S3828">
        <f>L3828-LTP3!$D$3*G3828/k_n</f>
        <v/>
      </c>
      <c r="T3828">
        <f>M3828-LTP3!$D$3*H3828/k_n</f>
        <v/>
      </c>
      <c r="U3828">
        <f>N3828-G3828*LTP3!$D$4/k_n</f>
        <v/>
      </c>
      <c r="V3828">
        <f>O3828-H3828*LTP3!$D$4/k_n</f>
        <v/>
      </c>
      <c r="W3828">
        <f>((LTP3!$D$5)*((P3828)*(Q3828)-(R3828)*(R3828))-(S3828)*((S3828)*(Q3828)-(R3828)*(T3828))+(T3828)*((S3828)*(R3828)-(P3828)*(T3828)))</f>
        <v/>
      </c>
      <c r="X3828">
        <f>IF(ABS(W3828)&gt;1E-12,((LTP3!$D$6)*((P3828)*(Q3828)-(R3828)*(R3828))-(S3828)*((U3828)*(Q3828)-(R3828)*(V3828))+(T3828)*((U3828)*(R3828)-(P3828)*(V3828)))/W3828,0)</f>
        <v/>
      </c>
      <c r="Y3828">
        <f>IF(ABS(W3828)&gt;1E-12,((LTP3!$D$5)*((U3828)*(Q3828)-(R3828)*(V3828))-(LTP3!$D$6)*((S3828)*(Q3828)-(R3828)*(T3828))+(T3828)*((S3828)*(V3828)-(U3828)*(T3828)))/W3828,0)</f>
        <v/>
      </c>
      <c r="Z3828">
        <f>IF(ABS(W3828)&gt;1E-12,((LTP3!$D$5)*((P3828)*(V3828)-(U3828)*(R3828))-(S3828)*((S3828)*(V3828)-(U3828)*(T3828))+(LTP3!$D$6)*((S3828)*(R3828)-(P3828)*(T3828)))/W3828,0)</f>
        <v/>
      </c>
      <c r="AA3828">
        <f>LTP3!$D$7-X3828*LTP3!$D$6-Y3828*U3828-Z3828*V3828</f>
        <v/>
      </c>
      <c r="AB3828">
        <f>IF(AND(F3828,ABS(W3828)&gt;1E-12,Y3828&gt;0,Z3828&gt;0),AA3828,1E+300)</f>
        <v/>
      </c>
    </row>
    <row r="3829">
      <c r="A3829">
        <f>$I$3-$B$5+$B$5*4/10</f>
        <v/>
      </c>
      <c r="B3829">
        <f>$J$3-$B$5+$B$5*9/10</f>
        <v/>
      </c>
      <c r="C3829">
        <f>SUMPRODUCT(Calc!$K$3:$K$22*(Calc!$G$3:$G$22&lt;=A3829))</f>
        <v/>
      </c>
      <c r="D3829">
        <f>SUMPRODUCT(Calc!$K$3:$K$22*(Calc!$G$3:$G$22&gt;A3829)*(Calc!$G$3:$G$22&lt;B3829))</f>
        <v/>
      </c>
      <c r="E3829">
        <f>SUMPRODUCT(Calc!$K$3:$K$22*(Calc!$G$3:$G$22&gt;=B3829))</f>
        <v/>
      </c>
      <c r="F3829">
        <f>AND(k_n&gt;=5,B3829&gt;A3829+1E-9,C3829&gt;=2,D3829&gt;=1,E3829&gt;=2)</f>
        <v/>
      </c>
      <c r="G3829">
        <f>SUMPRODUCT(Calc!$K$3:$K$22*(Calc!$G$3:$G$22&gt;A3829)*(Calc!$G$3:$G$22-A3829))</f>
        <v/>
      </c>
      <c r="H3829">
        <f>SUMPRODUCT(Calc!$K$3:$K$22*(Calc!$G$3:$G$22&gt;B3829)*(Calc!$G$3:$G$22-B3829))</f>
        <v/>
      </c>
      <c r="I3829">
        <f>SUMPRODUCT(Calc!$K$3:$K$22*(Calc!$G$3:$G$22&gt;A3829)*(Calc!$G$3:$G$22-A3829)^2)</f>
        <v/>
      </c>
      <c r="J3829">
        <f>SUMPRODUCT(Calc!$K$3:$K$22*(Calc!$G$3:$G$22&gt;B3829)*(Calc!$G$3:$G$22-B3829)^2)</f>
        <v/>
      </c>
      <c r="K3829">
        <f>SUMPRODUCT(Calc!$K$3:$K$22*(Calc!$G$3:$G$22&gt;A3829)*(Calc!$G$3:$G$22-A3829)*(Calc!$G$3:$G$22&gt;B3829)*(Calc!$G$3:$G$22-B3829))</f>
        <v/>
      </c>
      <c r="L3829">
        <f>SUMPRODUCT(Calc!$K$3:$K$22*(Calc!$G$3:$G$22&gt;A3829)*(Calc!$G$3:$G$22-A3829)*Calc!$G$3:$G$22)</f>
        <v/>
      </c>
      <c r="M3829">
        <f>SUMPRODUCT(Calc!$K$3:$K$22*(Calc!$G$3:$G$22&gt;B3829)*(Calc!$G$3:$G$22-B3829)*Calc!$G$3:$G$22)</f>
        <v/>
      </c>
      <c r="N3829">
        <f>SUMPRODUCT(Calc!$K$3:$K$22*(Calc!$G$3:$G$22&gt;A3829)*(Calc!$G$3:$G$22-A3829)*Calc!$I$3:$I$22)</f>
        <v/>
      </c>
      <c r="O3829">
        <f>SUMPRODUCT(Calc!$K$3:$K$22*(Calc!$G$3:$G$22&gt;B3829)*(Calc!$G$3:$G$22-B3829)*Calc!$I$3:$I$22)</f>
        <v/>
      </c>
      <c r="P3829">
        <f>I3829-G3829^2/k_n</f>
        <v/>
      </c>
      <c r="Q3829">
        <f>J3829-H3829^2/k_n</f>
        <v/>
      </c>
      <c r="R3829">
        <f>K3829-G3829*H3829/k_n</f>
        <v/>
      </c>
      <c r="S3829">
        <f>L3829-LTP3!$D$3*G3829/k_n</f>
        <v/>
      </c>
      <c r="T3829">
        <f>M3829-LTP3!$D$3*H3829/k_n</f>
        <v/>
      </c>
      <c r="U3829">
        <f>N3829-G3829*LTP3!$D$4/k_n</f>
        <v/>
      </c>
      <c r="V3829">
        <f>O3829-H3829*LTP3!$D$4/k_n</f>
        <v/>
      </c>
      <c r="W3829">
        <f>((LTP3!$D$5)*((P3829)*(Q3829)-(R3829)*(R3829))-(S3829)*((S3829)*(Q3829)-(R3829)*(T3829))+(T3829)*((S3829)*(R3829)-(P3829)*(T3829)))</f>
        <v/>
      </c>
      <c r="X3829">
        <f>IF(ABS(W3829)&gt;1E-12,((LTP3!$D$6)*((P3829)*(Q3829)-(R3829)*(R3829))-(S3829)*((U3829)*(Q3829)-(R3829)*(V3829))+(T3829)*((U3829)*(R3829)-(P3829)*(V3829)))/W3829,0)</f>
        <v/>
      </c>
      <c r="Y3829">
        <f>IF(ABS(W3829)&gt;1E-12,((LTP3!$D$5)*((U3829)*(Q3829)-(R3829)*(V3829))-(LTP3!$D$6)*((S3829)*(Q3829)-(R3829)*(T3829))+(T3829)*((S3829)*(V3829)-(U3829)*(T3829)))/W3829,0)</f>
        <v/>
      </c>
      <c r="Z3829">
        <f>IF(ABS(W3829)&gt;1E-12,((LTP3!$D$5)*((P3829)*(V3829)-(U3829)*(R3829))-(S3829)*((S3829)*(V3829)-(U3829)*(T3829))+(LTP3!$D$6)*((S3829)*(R3829)-(P3829)*(T3829)))/W3829,0)</f>
        <v/>
      </c>
      <c r="AA3829">
        <f>LTP3!$D$7-X3829*LTP3!$D$6-Y3829*U3829-Z3829*V3829</f>
        <v/>
      </c>
      <c r="AB3829">
        <f>IF(AND(F3829,ABS(W3829)&gt;1E-12,Y3829&gt;0,Z3829&gt;0),AA3829,1E+300)</f>
        <v/>
      </c>
    </row>
    <row r="3830">
      <c r="A3830">
        <f>$I$3-$B$5+$B$5*4/10</f>
        <v/>
      </c>
      <c r="B3830">
        <f>$J$3-$B$5+$B$5*10/10</f>
        <v/>
      </c>
      <c r="C3830">
        <f>SUMPRODUCT(Calc!$K$3:$K$22*(Calc!$G$3:$G$22&lt;=A3830))</f>
        <v/>
      </c>
      <c r="D3830">
        <f>SUMPRODUCT(Calc!$K$3:$K$22*(Calc!$G$3:$G$22&gt;A3830)*(Calc!$G$3:$G$22&lt;B3830))</f>
        <v/>
      </c>
      <c r="E3830">
        <f>SUMPRODUCT(Calc!$K$3:$K$22*(Calc!$G$3:$G$22&gt;=B3830))</f>
        <v/>
      </c>
      <c r="F3830">
        <f>AND(k_n&gt;=5,B3830&gt;A3830+1E-9,C3830&gt;=2,D3830&gt;=1,E3830&gt;=2)</f>
        <v/>
      </c>
      <c r="G3830">
        <f>SUMPRODUCT(Calc!$K$3:$K$22*(Calc!$G$3:$G$22&gt;A3830)*(Calc!$G$3:$G$22-A3830))</f>
        <v/>
      </c>
      <c r="H3830">
        <f>SUMPRODUCT(Calc!$K$3:$K$22*(Calc!$G$3:$G$22&gt;B3830)*(Calc!$G$3:$G$22-B3830))</f>
        <v/>
      </c>
      <c r="I3830">
        <f>SUMPRODUCT(Calc!$K$3:$K$22*(Calc!$G$3:$G$22&gt;A3830)*(Calc!$G$3:$G$22-A3830)^2)</f>
        <v/>
      </c>
      <c r="J3830">
        <f>SUMPRODUCT(Calc!$K$3:$K$22*(Calc!$G$3:$G$22&gt;B3830)*(Calc!$G$3:$G$22-B3830)^2)</f>
        <v/>
      </c>
      <c r="K3830">
        <f>SUMPRODUCT(Calc!$K$3:$K$22*(Calc!$G$3:$G$22&gt;A3830)*(Calc!$G$3:$G$22-A3830)*(Calc!$G$3:$G$22&gt;B3830)*(Calc!$G$3:$G$22-B3830))</f>
        <v/>
      </c>
      <c r="L3830">
        <f>SUMPRODUCT(Calc!$K$3:$K$22*(Calc!$G$3:$G$22&gt;A3830)*(Calc!$G$3:$G$22-A3830)*Calc!$G$3:$G$22)</f>
        <v/>
      </c>
      <c r="M3830">
        <f>SUMPRODUCT(Calc!$K$3:$K$22*(Calc!$G$3:$G$22&gt;B3830)*(Calc!$G$3:$G$22-B3830)*Calc!$G$3:$G$22)</f>
        <v/>
      </c>
      <c r="N3830">
        <f>SUMPRODUCT(Calc!$K$3:$K$22*(Calc!$G$3:$G$22&gt;A3830)*(Calc!$G$3:$G$22-A3830)*Calc!$I$3:$I$22)</f>
        <v/>
      </c>
      <c r="O3830">
        <f>SUMPRODUCT(Calc!$K$3:$K$22*(Calc!$G$3:$G$22&gt;B3830)*(Calc!$G$3:$G$22-B3830)*Calc!$I$3:$I$22)</f>
        <v/>
      </c>
      <c r="P3830">
        <f>I3830-G3830^2/k_n</f>
        <v/>
      </c>
      <c r="Q3830">
        <f>J3830-H3830^2/k_n</f>
        <v/>
      </c>
      <c r="R3830">
        <f>K3830-G3830*H3830/k_n</f>
        <v/>
      </c>
      <c r="S3830">
        <f>L3830-LTP3!$D$3*G3830/k_n</f>
        <v/>
      </c>
      <c r="T3830">
        <f>M3830-LTP3!$D$3*H3830/k_n</f>
        <v/>
      </c>
      <c r="U3830">
        <f>N3830-G3830*LTP3!$D$4/k_n</f>
        <v/>
      </c>
      <c r="V3830">
        <f>O3830-H3830*LTP3!$D$4/k_n</f>
        <v/>
      </c>
      <c r="W3830">
        <f>((LTP3!$D$5)*((P3830)*(Q3830)-(R3830)*(R3830))-(S3830)*((S3830)*(Q3830)-(R3830)*(T3830))+(T3830)*((S3830)*(R3830)-(P3830)*(T3830)))</f>
        <v/>
      </c>
      <c r="X3830">
        <f>IF(ABS(W3830)&gt;1E-12,((LTP3!$D$6)*((P3830)*(Q3830)-(R3830)*(R3830))-(S3830)*((U3830)*(Q3830)-(R3830)*(V3830))+(T3830)*((U3830)*(R3830)-(P3830)*(V3830)))/W3830,0)</f>
        <v/>
      </c>
      <c r="Y3830">
        <f>IF(ABS(W3830)&gt;1E-12,((LTP3!$D$5)*((U3830)*(Q3830)-(R3830)*(V3830))-(LTP3!$D$6)*((S3830)*(Q3830)-(R3830)*(T3830))+(T3830)*((S3830)*(V3830)-(U3830)*(T3830)))/W3830,0)</f>
        <v/>
      </c>
      <c r="Z3830">
        <f>IF(ABS(W3830)&gt;1E-12,((LTP3!$D$5)*((P3830)*(V3830)-(U3830)*(R3830))-(S3830)*((S3830)*(V3830)-(U3830)*(T3830))+(LTP3!$D$6)*((S3830)*(R3830)-(P3830)*(T3830)))/W3830,0)</f>
        <v/>
      </c>
      <c r="AA3830">
        <f>LTP3!$D$7-X3830*LTP3!$D$6-Y3830*U3830-Z3830*V3830</f>
        <v/>
      </c>
      <c r="AB3830">
        <f>IF(AND(F3830,ABS(W3830)&gt;1E-12,Y3830&gt;0,Z3830&gt;0),AA3830,1E+300)</f>
        <v/>
      </c>
    </row>
    <row r="3831">
      <c r="A3831">
        <f>$I$3-$B$5+$B$5*4/10</f>
        <v/>
      </c>
      <c r="B3831">
        <f>$J$3-$B$5+$B$5*11/10</f>
        <v/>
      </c>
      <c r="C3831">
        <f>SUMPRODUCT(Calc!$K$3:$K$22*(Calc!$G$3:$G$22&lt;=A3831))</f>
        <v/>
      </c>
      <c r="D3831">
        <f>SUMPRODUCT(Calc!$K$3:$K$22*(Calc!$G$3:$G$22&gt;A3831)*(Calc!$G$3:$G$22&lt;B3831))</f>
        <v/>
      </c>
      <c r="E3831">
        <f>SUMPRODUCT(Calc!$K$3:$K$22*(Calc!$G$3:$G$22&gt;=B3831))</f>
        <v/>
      </c>
      <c r="F3831">
        <f>AND(k_n&gt;=5,B3831&gt;A3831+1E-9,C3831&gt;=2,D3831&gt;=1,E3831&gt;=2)</f>
        <v/>
      </c>
      <c r="G3831">
        <f>SUMPRODUCT(Calc!$K$3:$K$22*(Calc!$G$3:$G$22&gt;A3831)*(Calc!$G$3:$G$22-A3831))</f>
        <v/>
      </c>
      <c r="H3831">
        <f>SUMPRODUCT(Calc!$K$3:$K$22*(Calc!$G$3:$G$22&gt;B3831)*(Calc!$G$3:$G$22-B3831))</f>
        <v/>
      </c>
      <c r="I3831">
        <f>SUMPRODUCT(Calc!$K$3:$K$22*(Calc!$G$3:$G$22&gt;A3831)*(Calc!$G$3:$G$22-A3831)^2)</f>
        <v/>
      </c>
      <c r="J3831">
        <f>SUMPRODUCT(Calc!$K$3:$K$22*(Calc!$G$3:$G$22&gt;B3831)*(Calc!$G$3:$G$22-B3831)^2)</f>
        <v/>
      </c>
      <c r="K3831">
        <f>SUMPRODUCT(Calc!$K$3:$K$22*(Calc!$G$3:$G$22&gt;A3831)*(Calc!$G$3:$G$22-A3831)*(Calc!$G$3:$G$22&gt;B3831)*(Calc!$G$3:$G$22-B3831))</f>
        <v/>
      </c>
      <c r="L3831">
        <f>SUMPRODUCT(Calc!$K$3:$K$22*(Calc!$G$3:$G$22&gt;A3831)*(Calc!$G$3:$G$22-A3831)*Calc!$G$3:$G$22)</f>
        <v/>
      </c>
      <c r="M3831">
        <f>SUMPRODUCT(Calc!$K$3:$K$22*(Calc!$G$3:$G$22&gt;B3831)*(Calc!$G$3:$G$22-B3831)*Calc!$G$3:$G$22)</f>
        <v/>
      </c>
      <c r="N3831">
        <f>SUMPRODUCT(Calc!$K$3:$K$22*(Calc!$G$3:$G$22&gt;A3831)*(Calc!$G$3:$G$22-A3831)*Calc!$I$3:$I$22)</f>
        <v/>
      </c>
      <c r="O3831">
        <f>SUMPRODUCT(Calc!$K$3:$K$22*(Calc!$G$3:$G$22&gt;B3831)*(Calc!$G$3:$G$22-B3831)*Calc!$I$3:$I$22)</f>
        <v/>
      </c>
      <c r="P3831">
        <f>I3831-G3831^2/k_n</f>
        <v/>
      </c>
      <c r="Q3831">
        <f>J3831-H3831^2/k_n</f>
        <v/>
      </c>
      <c r="R3831">
        <f>K3831-G3831*H3831/k_n</f>
        <v/>
      </c>
      <c r="S3831">
        <f>L3831-LTP3!$D$3*G3831/k_n</f>
        <v/>
      </c>
      <c r="T3831">
        <f>M3831-LTP3!$D$3*H3831/k_n</f>
        <v/>
      </c>
      <c r="U3831">
        <f>N3831-G3831*LTP3!$D$4/k_n</f>
        <v/>
      </c>
      <c r="V3831">
        <f>O3831-H3831*LTP3!$D$4/k_n</f>
        <v/>
      </c>
      <c r="W3831">
        <f>((LTP3!$D$5)*((P3831)*(Q3831)-(R3831)*(R3831))-(S3831)*((S3831)*(Q3831)-(R3831)*(T3831))+(T3831)*((S3831)*(R3831)-(P3831)*(T3831)))</f>
        <v/>
      </c>
      <c r="X3831">
        <f>IF(ABS(W3831)&gt;1E-12,((LTP3!$D$6)*((P3831)*(Q3831)-(R3831)*(R3831))-(S3831)*((U3831)*(Q3831)-(R3831)*(V3831))+(T3831)*((U3831)*(R3831)-(P3831)*(V3831)))/W3831,0)</f>
        <v/>
      </c>
      <c r="Y3831">
        <f>IF(ABS(W3831)&gt;1E-12,((LTP3!$D$5)*((U3831)*(Q3831)-(R3831)*(V3831))-(LTP3!$D$6)*((S3831)*(Q3831)-(R3831)*(T3831))+(T3831)*((S3831)*(V3831)-(U3831)*(T3831)))/W3831,0)</f>
        <v/>
      </c>
      <c r="Z3831">
        <f>IF(ABS(W3831)&gt;1E-12,((LTP3!$D$5)*((P3831)*(V3831)-(U3831)*(R3831))-(S3831)*((S3831)*(V3831)-(U3831)*(T3831))+(LTP3!$D$6)*((S3831)*(R3831)-(P3831)*(T3831)))/W3831,0)</f>
        <v/>
      </c>
      <c r="AA3831">
        <f>LTP3!$D$7-X3831*LTP3!$D$6-Y3831*U3831-Z3831*V3831</f>
        <v/>
      </c>
      <c r="AB3831">
        <f>IF(AND(F3831,ABS(W3831)&gt;1E-12,Y3831&gt;0,Z3831&gt;0),AA3831,1E+300)</f>
        <v/>
      </c>
    </row>
    <row r="3832">
      <c r="A3832">
        <f>$I$3-$B$5+$B$5*4/10</f>
        <v/>
      </c>
      <c r="B3832">
        <f>$J$3-$B$5+$B$5*12/10</f>
        <v/>
      </c>
      <c r="C3832">
        <f>SUMPRODUCT(Calc!$K$3:$K$22*(Calc!$G$3:$G$22&lt;=A3832))</f>
        <v/>
      </c>
      <c r="D3832">
        <f>SUMPRODUCT(Calc!$K$3:$K$22*(Calc!$G$3:$G$22&gt;A3832)*(Calc!$G$3:$G$22&lt;B3832))</f>
        <v/>
      </c>
      <c r="E3832">
        <f>SUMPRODUCT(Calc!$K$3:$K$22*(Calc!$G$3:$G$22&gt;=B3832))</f>
        <v/>
      </c>
      <c r="F3832">
        <f>AND(k_n&gt;=5,B3832&gt;A3832+1E-9,C3832&gt;=2,D3832&gt;=1,E3832&gt;=2)</f>
        <v/>
      </c>
      <c r="G3832">
        <f>SUMPRODUCT(Calc!$K$3:$K$22*(Calc!$G$3:$G$22&gt;A3832)*(Calc!$G$3:$G$22-A3832))</f>
        <v/>
      </c>
      <c r="H3832">
        <f>SUMPRODUCT(Calc!$K$3:$K$22*(Calc!$G$3:$G$22&gt;B3832)*(Calc!$G$3:$G$22-B3832))</f>
        <v/>
      </c>
      <c r="I3832">
        <f>SUMPRODUCT(Calc!$K$3:$K$22*(Calc!$G$3:$G$22&gt;A3832)*(Calc!$G$3:$G$22-A3832)^2)</f>
        <v/>
      </c>
      <c r="J3832">
        <f>SUMPRODUCT(Calc!$K$3:$K$22*(Calc!$G$3:$G$22&gt;B3832)*(Calc!$G$3:$G$22-B3832)^2)</f>
        <v/>
      </c>
      <c r="K3832">
        <f>SUMPRODUCT(Calc!$K$3:$K$22*(Calc!$G$3:$G$22&gt;A3832)*(Calc!$G$3:$G$22-A3832)*(Calc!$G$3:$G$22&gt;B3832)*(Calc!$G$3:$G$22-B3832))</f>
        <v/>
      </c>
      <c r="L3832">
        <f>SUMPRODUCT(Calc!$K$3:$K$22*(Calc!$G$3:$G$22&gt;A3832)*(Calc!$G$3:$G$22-A3832)*Calc!$G$3:$G$22)</f>
        <v/>
      </c>
      <c r="M3832">
        <f>SUMPRODUCT(Calc!$K$3:$K$22*(Calc!$G$3:$G$22&gt;B3832)*(Calc!$G$3:$G$22-B3832)*Calc!$G$3:$G$22)</f>
        <v/>
      </c>
      <c r="N3832">
        <f>SUMPRODUCT(Calc!$K$3:$K$22*(Calc!$G$3:$G$22&gt;A3832)*(Calc!$G$3:$G$22-A3832)*Calc!$I$3:$I$22)</f>
        <v/>
      </c>
      <c r="O3832">
        <f>SUMPRODUCT(Calc!$K$3:$K$22*(Calc!$G$3:$G$22&gt;B3832)*(Calc!$G$3:$G$22-B3832)*Calc!$I$3:$I$22)</f>
        <v/>
      </c>
      <c r="P3832">
        <f>I3832-G3832^2/k_n</f>
        <v/>
      </c>
      <c r="Q3832">
        <f>J3832-H3832^2/k_n</f>
        <v/>
      </c>
      <c r="R3832">
        <f>K3832-G3832*H3832/k_n</f>
        <v/>
      </c>
      <c r="S3832">
        <f>L3832-LTP3!$D$3*G3832/k_n</f>
        <v/>
      </c>
      <c r="T3832">
        <f>M3832-LTP3!$D$3*H3832/k_n</f>
        <v/>
      </c>
      <c r="U3832">
        <f>N3832-G3832*LTP3!$D$4/k_n</f>
        <v/>
      </c>
      <c r="V3832">
        <f>O3832-H3832*LTP3!$D$4/k_n</f>
        <v/>
      </c>
      <c r="W3832">
        <f>((LTP3!$D$5)*((P3832)*(Q3832)-(R3832)*(R3832))-(S3832)*((S3832)*(Q3832)-(R3832)*(T3832))+(T3832)*((S3832)*(R3832)-(P3832)*(T3832)))</f>
        <v/>
      </c>
      <c r="X3832">
        <f>IF(ABS(W3832)&gt;1E-12,((LTP3!$D$6)*((P3832)*(Q3832)-(R3832)*(R3832))-(S3832)*((U3832)*(Q3832)-(R3832)*(V3832))+(T3832)*((U3832)*(R3832)-(P3832)*(V3832)))/W3832,0)</f>
        <v/>
      </c>
      <c r="Y3832">
        <f>IF(ABS(W3832)&gt;1E-12,((LTP3!$D$5)*((U3832)*(Q3832)-(R3832)*(V3832))-(LTP3!$D$6)*((S3832)*(Q3832)-(R3832)*(T3832))+(T3832)*((S3832)*(V3832)-(U3832)*(T3832)))/W3832,0)</f>
        <v/>
      </c>
      <c r="Z3832">
        <f>IF(ABS(W3832)&gt;1E-12,((LTP3!$D$5)*((P3832)*(V3832)-(U3832)*(R3832))-(S3832)*((S3832)*(V3832)-(U3832)*(T3832))+(LTP3!$D$6)*((S3832)*(R3832)-(P3832)*(T3832)))/W3832,0)</f>
        <v/>
      </c>
      <c r="AA3832">
        <f>LTP3!$D$7-X3832*LTP3!$D$6-Y3832*U3832-Z3832*V3832</f>
        <v/>
      </c>
      <c r="AB3832">
        <f>IF(AND(F3832,ABS(W3832)&gt;1E-12,Y3832&gt;0,Z3832&gt;0),AA3832,1E+300)</f>
        <v/>
      </c>
    </row>
    <row r="3833">
      <c r="A3833">
        <f>$I$3-$B$5+$B$5*4/10</f>
        <v/>
      </c>
      <c r="B3833">
        <f>$J$3-$B$5+$B$5*13/10</f>
        <v/>
      </c>
      <c r="C3833">
        <f>SUMPRODUCT(Calc!$K$3:$K$22*(Calc!$G$3:$G$22&lt;=A3833))</f>
        <v/>
      </c>
      <c r="D3833">
        <f>SUMPRODUCT(Calc!$K$3:$K$22*(Calc!$G$3:$G$22&gt;A3833)*(Calc!$G$3:$G$22&lt;B3833))</f>
        <v/>
      </c>
      <c r="E3833">
        <f>SUMPRODUCT(Calc!$K$3:$K$22*(Calc!$G$3:$G$22&gt;=B3833))</f>
        <v/>
      </c>
      <c r="F3833">
        <f>AND(k_n&gt;=5,B3833&gt;A3833+1E-9,C3833&gt;=2,D3833&gt;=1,E3833&gt;=2)</f>
        <v/>
      </c>
      <c r="G3833">
        <f>SUMPRODUCT(Calc!$K$3:$K$22*(Calc!$G$3:$G$22&gt;A3833)*(Calc!$G$3:$G$22-A3833))</f>
        <v/>
      </c>
      <c r="H3833">
        <f>SUMPRODUCT(Calc!$K$3:$K$22*(Calc!$G$3:$G$22&gt;B3833)*(Calc!$G$3:$G$22-B3833))</f>
        <v/>
      </c>
      <c r="I3833">
        <f>SUMPRODUCT(Calc!$K$3:$K$22*(Calc!$G$3:$G$22&gt;A3833)*(Calc!$G$3:$G$22-A3833)^2)</f>
        <v/>
      </c>
      <c r="J3833">
        <f>SUMPRODUCT(Calc!$K$3:$K$22*(Calc!$G$3:$G$22&gt;B3833)*(Calc!$G$3:$G$22-B3833)^2)</f>
        <v/>
      </c>
      <c r="K3833">
        <f>SUMPRODUCT(Calc!$K$3:$K$22*(Calc!$G$3:$G$22&gt;A3833)*(Calc!$G$3:$G$22-A3833)*(Calc!$G$3:$G$22&gt;B3833)*(Calc!$G$3:$G$22-B3833))</f>
        <v/>
      </c>
      <c r="L3833">
        <f>SUMPRODUCT(Calc!$K$3:$K$22*(Calc!$G$3:$G$22&gt;A3833)*(Calc!$G$3:$G$22-A3833)*Calc!$G$3:$G$22)</f>
        <v/>
      </c>
      <c r="M3833">
        <f>SUMPRODUCT(Calc!$K$3:$K$22*(Calc!$G$3:$G$22&gt;B3833)*(Calc!$G$3:$G$22-B3833)*Calc!$G$3:$G$22)</f>
        <v/>
      </c>
      <c r="N3833">
        <f>SUMPRODUCT(Calc!$K$3:$K$22*(Calc!$G$3:$G$22&gt;A3833)*(Calc!$G$3:$G$22-A3833)*Calc!$I$3:$I$22)</f>
        <v/>
      </c>
      <c r="O3833">
        <f>SUMPRODUCT(Calc!$K$3:$K$22*(Calc!$G$3:$G$22&gt;B3833)*(Calc!$G$3:$G$22-B3833)*Calc!$I$3:$I$22)</f>
        <v/>
      </c>
      <c r="P3833">
        <f>I3833-G3833^2/k_n</f>
        <v/>
      </c>
      <c r="Q3833">
        <f>J3833-H3833^2/k_n</f>
        <v/>
      </c>
      <c r="R3833">
        <f>K3833-G3833*H3833/k_n</f>
        <v/>
      </c>
      <c r="S3833">
        <f>L3833-LTP3!$D$3*G3833/k_n</f>
        <v/>
      </c>
      <c r="T3833">
        <f>M3833-LTP3!$D$3*H3833/k_n</f>
        <v/>
      </c>
      <c r="U3833">
        <f>N3833-G3833*LTP3!$D$4/k_n</f>
        <v/>
      </c>
      <c r="V3833">
        <f>O3833-H3833*LTP3!$D$4/k_n</f>
        <v/>
      </c>
      <c r="W3833">
        <f>((LTP3!$D$5)*((P3833)*(Q3833)-(R3833)*(R3833))-(S3833)*((S3833)*(Q3833)-(R3833)*(T3833))+(T3833)*((S3833)*(R3833)-(P3833)*(T3833)))</f>
        <v/>
      </c>
      <c r="X3833">
        <f>IF(ABS(W3833)&gt;1E-12,((LTP3!$D$6)*((P3833)*(Q3833)-(R3833)*(R3833))-(S3833)*((U3833)*(Q3833)-(R3833)*(V3833))+(T3833)*((U3833)*(R3833)-(P3833)*(V3833)))/W3833,0)</f>
        <v/>
      </c>
      <c r="Y3833">
        <f>IF(ABS(W3833)&gt;1E-12,((LTP3!$D$5)*((U3833)*(Q3833)-(R3833)*(V3833))-(LTP3!$D$6)*((S3833)*(Q3833)-(R3833)*(T3833))+(T3833)*((S3833)*(V3833)-(U3833)*(T3833)))/W3833,0)</f>
        <v/>
      </c>
      <c r="Z3833">
        <f>IF(ABS(W3833)&gt;1E-12,((LTP3!$D$5)*((P3833)*(V3833)-(U3833)*(R3833))-(S3833)*((S3833)*(V3833)-(U3833)*(T3833))+(LTP3!$D$6)*((S3833)*(R3833)-(P3833)*(T3833)))/W3833,0)</f>
        <v/>
      </c>
      <c r="AA3833">
        <f>LTP3!$D$7-X3833*LTP3!$D$6-Y3833*U3833-Z3833*V3833</f>
        <v/>
      </c>
      <c r="AB3833">
        <f>IF(AND(F3833,ABS(W3833)&gt;1E-12,Y3833&gt;0,Z3833&gt;0),AA3833,1E+300)</f>
        <v/>
      </c>
    </row>
    <row r="3834">
      <c r="A3834">
        <f>$I$3-$B$5+$B$5*4/10</f>
        <v/>
      </c>
      <c r="B3834">
        <f>$J$3-$B$5+$B$5*14/10</f>
        <v/>
      </c>
      <c r="C3834">
        <f>SUMPRODUCT(Calc!$K$3:$K$22*(Calc!$G$3:$G$22&lt;=A3834))</f>
        <v/>
      </c>
      <c r="D3834">
        <f>SUMPRODUCT(Calc!$K$3:$K$22*(Calc!$G$3:$G$22&gt;A3834)*(Calc!$G$3:$G$22&lt;B3834))</f>
        <v/>
      </c>
      <c r="E3834">
        <f>SUMPRODUCT(Calc!$K$3:$K$22*(Calc!$G$3:$G$22&gt;=B3834))</f>
        <v/>
      </c>
      <c r="F3834">
        <f>AND(k_n&gt;=5,B3834&gt;A3834+1E-9,C3834&gt;=2,D3834&gt;=1,E3834&gt;=2)</f>
        <v/>
      </c>
      <c r="G3834">
        <f>SUMPRODUCT(Calc!$K$3:$K$22*(Calc!$G$3:$G$22&gt;A3834)*(Calc!$G$3:$G$22-A3834))</f>
        <v/>
      </c>
      <c r="H3834">
        <f>SUMPRODUCT(Calc!$K$3:$K$22*(Calc!$G$3:$G$22&gt;B3834)*(Calc!$G$3:$G$22-B3834))</f>
        <v/>
      </c>
      <c r="I3834">
        <f>SUMPRODUCT(Calc!$K$3:$K$22*(Calc!$G$3:$G$22&gt;A3834)*(Calc!$G$3:$G$22-A3834)^2)</f>
        <v/>
      </c>
      <c r="J3834">
        <f>SUMPRODUCT(Calc!$K$3:$K$22*(Calc!$G$3:$G$22&gt;B3834)*(Calc!$G$3:$G$22-B3834)^2)</f>
        <v/>
      </c>
      <c r="K3834">
        <f>SUMPRODUCT(Calc!$K$3:$K$22*(Calc!$G$3:$G$22&gt;A3834)*(Calc!$G$3:$G$22-A3834)*(Calc!$G$3:$G$22&gt;B3834)*(Calc!$G$3:$G$22-B3834))</f>
        <v/>
      </c>
      <c r="L3834">
        <f>SUMPRODUCT(Calc!$K$3:$K$22*(Calc!$G$3:$G$22&gt;A3834)*(Calc!$G$3:$G$22-A3834)*Calc!$G$3:$G$22)</f>
        <v/>
      </c>
      <c r="M3834">
        <f>SUMPRODUCT(Calc!$K$3:$K$22*(Calc!$G$3:$G$22&gt;B3834)*(Calc!$G$3:$G$22-B3834)*Calc!$G$3:$G$22)</f>
        <v/>
      </c>
      <c r="N3834">
        <f>SUMPRODUCT(Calc!$K$3:$K$22*(Calc!$G$3:$G$22&gt;A3834)*(Calc!$G$3:$G$22-A3834)*Calc!$I$3:$I$22)</f>
        <v/>
      </c>
      <c r="O3834">
        <f>SUMPRODUCT(Calc!$K$3:$K$22*(Calc!$G$3:$G$22&gt;B3834)*(Calc!$G$3:$G$22-B3834)*Calc!$I$3:$I$22)</f>
        <v/>
      </c>
      <c r="P3834">
        <f>I3834-G3834^2/k_n</f>
        <v/>
      </c>
      <c r="Q3834">
        <f>J3834-H3834^2/k_n</f>
        <v/>
      </c>
      <c r="R3834">
        <f>K3834-G3834*H3834/k_n</f>
        <v/>
      </c>
      <c r="S3834">
        <f>L3834-LTP3!$D$3*G3834/k_n</f>
        <v/>
      </c>
      <c r="T3834">
        <f>M3834-LTP3!$D$3*H3834/k_n</f>
        <v/>
      </c>
      <c r="U3834">
        <f>N3834-G3834*LTP3!$D$4/k_n</f>
        <v/>
      </c>
      <c r="V3834">
        <f>O3834-H3834*LTP3!$D$4/k_n</f>
        <v/>
      </c>
      <c r="W3834">
        <f>((LTP3!$D$5)*((P3834)*(Q3834)-(R3834)*(R3834))-(S3834)*((S3834)*(Q3834)-(R3834)*(T3834))+(T3834)*((S3834)*(R3834)-(P3834)*(T3834)))</f>
        <v/>
      </c>
      <c r="X3834">
        <f>IF(ABS(W3834)&gt;1E-12,((LTP3!$D$6)*((P3834)*(Q3834)-(R3834)*(R3834))-(S3834)*((U3834)*(Q3834)-(R3834)*(V3834))+(T3834)*((U3834)*(R3834)-(P3834)*(V3834)))/W3834,0)</f>
        <v/>
      </c>
      <c r="Y3834">
        <f>IF(ABS(W3834)&gt;1E-12,((LTP3!$D$5)*((U3834)*(Q3834)-(R3834)*(V3834))-(LTP3!$D$6)*((S3834)*(Q3834)-(R3834)*(T3834))+(T3834)*((S3834)*(V3834)-(U3834)*(T3834)))/W3834,0)</f>
        <v/>
      </c>
      <c r="Z3834">
        <f>IF(ABS(W3834)&gt;1E-12,((LTP3!$D$5)*((P3834)*(V3834)-(U3834)*(R3834))-(S3834)*((S3834)*(V3834)-(U3834)*(T3834))+(LTP3!$D$6)*((S3834)*(R3834)-(P3834)*(T3834)))/W3834,0)</f>
        <v/>
      </c>
      <c r="AA3834">
        <f>LTP3!$D$7-X3834*LTP3!$D$6-Y3834*U3834-Z3834*V3834</f>
        <v/>
      </c>
      <c r="AB3834">
        <f>IF(AND(F3834,ABS(W3834)&gt;1E-12,Y3834&gt;0,Z3834&gt;0),AA3834,1E+300)</f>
        <v/>
      </c>
    </row>
    <row r="3835">
      <c r="A3835">
        <f>$I$3-$B$5+$B$5*4/10</f>
        <v/>
      </c>
      <c r="B3835">
        <f>$J$3-$B$5+$B$5*15/10</f>
        <v/>
      </c>
      <c r="C3835">
        <f>SUMPRODUCT(Calc!$K$3:$K$22*(Calc!$G$3:$G$22&lt;=A3835))</f>
        <v/>
      </c>
      <c r="D3835">
        <f>SUMPRODUCT(Calc!$K$3:$K$22*(Calc!$G$3:$G$22&gt;A3835)*(Calc!$G$3:$G$22&lt;B3835))</f>
        <v/>
      </c>
      <c r="E3835">
        <f>SUMPRODUCT(Calc!$K$3:$K$22*(Calc!$G$3:$G$22&gt;=B3835))</f>
        <v/>
      </c>
      <c r="F3835">
        <f>AND(k_n&gt;=5,B3835&gt;A3835+1E-9,C3835&gt;=2,D3835&gt;=1,E3835&gt;=2)</f>
        <v/>
      </c>
      <c r="G3835">
        <f>SUMPRODUCT(Calc!$K$3:$K$22*(Calc!$G$3:$G$22&gt;A3835)*(Calc!$G$3:$G$22-A3835))</f>
        <v/>
      </c>
      <c r="H3835">
        <f>SUMPRODUCT(Calc!$K$3:$K$22*(Calc!$G$3:$G$22&gt;B3835)*(Calc!$G$3:$G$22-B3835))</f>
        <v/>
      </c>
      <c r="I3835">
        <f>SUMPRODUCT(Calc!$K$3:$K$22*(Calc!$G$3:$G$22&gt;A3835)*(Calc!$G$3:$G$22-A3835)^2)</f>
        <v/>
      </c>
      <c r="J3835">
        <f>SUMPRODUCT(Calc!$K$3:$K$22*(Calc!$G$3:$G$22&gt;B3835)*(Calc!$G$3:$G$22-B3835)^2)</f>
        <v/>
      </c>
      <c r="K3835">
        <f>SUMPRODUCT(Calc!$K$3:$K$22*(Calc!$G$3:$G$22&gt;A3835)*(Calc!$G$3:$G$22-A3835)*(Calc!$G$3:$G$22&gt;B3835)*(Calc!$G$3:$G$22-B3835))</f>
        <v/>
      </c>
      <c r="L3835">
        <f>SUMPRODUCT(Calc!$K$3:$K$22*(Calc!$G$3:$G$22&gt;A3835)*(Calc!$G$3:$G$22-A3835)*Calc!$G$3:$G$22)</f>
        <v/>
      </c>
      <c r="M3835">
        <f>SUMPRODUCT(Calc!$K$3:$K$22*(Calc!$G$3:$G$22&gt;B3835)*(Calc!$G$3:$G$22-B3835)*Calc!$G$3:$G$22)</f>
        <v/>
      </c>
      <c r="N3835">
        <f>SUMPRODUCT(Calc!$K$3:$K$22*(Calc!$G$3:$G$22&gt;A3835)*(Calc!$G$3:$G$22-A3835)*Calc!$I$3:$I$22)</f>
        <v/>
      </c>
      <c r="O3835">
        <f>SUMPRODUCT(Calc!$K$3:$K$22*(Calc!$G$3:$G$22&gt;B3835)*(Calc!$G$3:$G$22-B3835)*Calc!$I$3:$I$22)</f>
        <v/>
      </c>
      <c r="P3835">
        <f>I3835-G3835^2/k_n</f>
        <v/>
      </c>
      <c r="Q3835">
        <f>J3835-H3835^2/k_n</f>
        <v/>
      </c>
      <c r="R3835">
        <f>K3835-G3835*H3835/k_n</f>
        <v/>
      </c>
      <c r="S3835">
        <f>L3835-LTP3!$D$3*G3835/k_n</f>
        <v/>
      </c>
      <c r="T3835">
        <f>M3835-LTP3!$D$3*H3835/k_n</f>
        <v/>
      </c>
      <c r="U3835">
        <f>N3835-G3835*LTP3!$D$4/k_n</f>
        <v/>
      </c>
      <c r="V3835">
        <f>O3835-H3835*LTP3!$D$4/k_n</f>
        <v/>
      </c>
      <c r="W3835">
        <f>((LTP3!$D$5)*((P3835)*(Q3835)-(R3835)*(R3835))-(S3835)*((S3835)*(Q3835)-(R3835)*(T3835))+(T3835)*((S3835)*(R3835)-(P3835)*(T3835)))</f>
        <v/>
      </c>
      <c r="X3835">
        <f>IF(ABS(W3835)&gt;1E-12,((LTP3!$D$6)*((P3835)*(Q3835)-(R3835)*(R3835))-(S3835)*((U3835)*(Q3835)-(R3835)*(V3835))+(T3835)*((U3835)*(R3835)-(P3835)*(V3835)))/W3835,0)</f>
        <v/>
      </c>
      <c r="Y3835">
        <f>IF(ABS(W3835)&gt;1E-12,((LTP3!$D$5)*((U3835)*(Q3835)-(R3835)*(V3835))-(LTP3!$D$6)*((S3835)*(Q3835)-(R3835)*(T3835))+(T3835)*((S3835)*(V3835)-(U3835)*(T3835)))/W3835,0)</f>
        <v/>
      </c>
      <c r="Z3835">
        <f>IF(ABS(W3835)&gt;1E-12,((LTP3!$D$5)*((P3835)*(V3835)-(U3835)*(R3835))-(S3835)*((S3835)*(V3835)-(U3835)*(T3835))+(LTP3!$D$6)*((S3835)*(R3835)-(P3835)*(T3835)))/W3835,0)</f>
        <v/>
      </c>
      <c r="AA3835">
        <f>LTP3!$D$7-X3835*LTP3!$D$6-Y3835*U3835-Z3835*V3835</f>
        <v/>
      </c>
      <c r="AB3835">
        <f>IF(AND(F3835,ABS(W3835)&gt;1E-12,Y3835&gt;0,Z3835&gt;0),AA3835,1E+300)</f>
        <v/>
      </c>
    </row>
    <row r="3836">
      <c r="A3836">
        <f>$I$3-$B$5+$B$5*4/10</f>
        <v/>
      </c>
      <c r="B3836">
        <f>$J$3-$B$5+$B$5*16/10</f>
        <v/>
      </c>
      <c r="C3836">
        <f>SUMPRODUCT(Calc!$K$3:$K$22*(Calc!$G$3:$G$22&lt;=A3836))</f>
        <v/>
      </c>
      <c r="D3836">
        <f>SUMPRODUCT(Calc!$K$3:$K$22*(Calc!$G$3:$G$22&gt;A3836)*(Calc!$G$3:$G$22&lt;B3836))</f>
        <v/>
      </c>
      <c r="E3836">
        <f>SUMPRODUCT(Calc!$K$3:$K$22*(Calc!$G$3:$G$22&gt;=B3836))</f>
        <v/>
      </c>
      <c r="F3836">
        <f>AND(k_n&gt;=5,B3836&gt;A3836+1E-9,C3836&gt;=2,D3836&gt;=1,E3836&gt;=2)</f>
        <v/>
      </c>
      <c r="G3836">
        <f>SUMPRODUCT(Calc!$K$3:$K$22*(Calc!$G$3:$G$22&gt;A3836)*(Calc!$G$3:$G$22-A3836))</f>
        <v/>
      </c>
      <c r="H3836">
        <f>SUMPRODUCT(Calc!$K$3:$K$22*(Calc!$G$3:$G$22&gt;B3836)*(Calc!$G$3:$G$22-B3836))</f>
        <v/>
      </c>
      <c r="I3836">
        <f>SUMPRODUCT(Calc!$K$3:$K$22*(Calc!$G$3:$G$22&gt;A3836)*(Calc!$G$3:$G$22-A3836)^2)</f>
        <v/>
      </c>
      <c r="J3836">
        <f>SUMPRODUCT(Calc!$K$3:$K$22*(Calc!$G$3:$G$22&gt;B3836)*(Calc!$G$3:$G$22-B3836)^2)</f>
        <v/>
      </c>
      <c r="K3836">
        <f>SUMPRODUCT(Calc!$K$3:$K$22*(Calc!$G$3:$G$22&gt;A3836)*(Calc!$G$3:$G$22-A3836)*(Calc!$G$3:$G$22&gt;B3836)*(Calc!$G$3:$G$22-B3836))</f>
        <v/>
      </c>
      <c r="L3836">
        <f>SUMPRODUCT(Calc!$K$3:$K$22*(Calc!$G$3:$G$22&gt;A3836)*(Calc!$G$3:$G$22-A3836)*Calc!$G$3:$G$22)</f>
        <v/>
      </c>
      <c r="M3836">
        <f>SUMPRODUCT(Calc!$K$3:$K$22*(Calc!$G$3:$G$22&gt;B3836)*(Calc!$G$3:$G$22-B3836)*Calc!$G$3:$G$22)</f>
        <v/>
      </c>
      <c r="N3836">
        <f>SUMPRODUCT(Calc!$K$3:$K$22*(Calc!$G$3:$G$22&gt;A3836)*(Calc!$G$3:$G$22-A3836)*Calc!$I$3:$I$22)</f>
        <v/>
      </c>
      <c r="O3836">
        <f>SUMPRODUCT(Calc!$K$3:$K$22*(Calc!$G$3:$G$22&gt;B3836)*(Calc!$G$3:$G$22-B3836)*Calc!$I$3:$I$22)</f>
        <v/>
      </c>
      <c r="P3836">
        <f>I3836-G3836^2/k_n</f>
        <v/>
      </c>
      <c r="Q3836">
        <f>J3836-H3836^2/k_n</f>
        <v/>
      </c>
      <c r="R3836">
        <f>K3836-G3836*H3836/k_n</f>
        <v/>
      </c>
      <c r="S3836">
        <f>L3836-LTP3!$D$3*G3836/k_n</f>
        <v/>
      </c>
      <c r="T3836">
        <f>M3836-LTP3!$D$3*H3836/k_n</f>
        <v/>
      </c>
      <c r="U3836">
        <f>N3836-G3836*LTP3!$D$4/k_n</f>
        <v/>
      </c>
      <c r="V3836">
        <f>O3836-H3836*LTP3!$D$4/k_n</f>
        <v/>
      </c>
      <c r="W3836">
        <f>((LTP3!$D$5)*((P3836)*(Q3836)-(R3836)*(R3836))-(S3836)*((S3836)*(Q3836)-(R3836)*(T3836))+(T3836)*((S3836)*(R3836)-(P3836)*(T3836)))</f>
        <v/>
      </c>
      <c r="X3836">
        <f>IF(ABS(W3836)&gt;1E-12,((LTP3!$D$6)*((P3836)*(Q3836)-(R3836)*(R3836))-(S3836)*((U3836)*(Q3836)-(R3836)*(V3836))+(T3836)*((U3836)*(R3836)-(P3836)*(V3836)))/W3836,0)</f>
        <v/>
      </c>
      <c r="Y3836">
        <f>IF(ABS(W3836)&gt;1E-12,((LTP3!$D$5)*((U3836)*(Q3836)-(R3836)*(V3836))-(LTP3!$D$6)*((S3836)*(Q3836)-(R3836)*(T3836))+(T3836)*((S3836)*(V3836)-(U3836)*(T3836)))/W3836,0)</f>
        <v/>
      </c>
      <c r="Z3836">
        <f>IF(ABS(W3836)&gt;1E-12,((LTP3!$D$5)*((P3836)*(V3836)-(U3836)*(R3836))-(S3836)*((S3836)*(V3836)-(U3836)*(T3836))+(LTP3!$D$6)*((S3836)*(R3836)-(P3836)*(T3836)))/W3836,0)</f>
        <v/>
      </c>
      <c r="AA3836">
        <f>LTP3!$D$7-X3836*LTP3!$D$6-Y3836*U3836-Z3836*V3836</f>
        <v/>
      </c>
      <c r="AB3836">
        <f>IF(AND(F3836,ABS(W3836)&gt;1E-12,Y3836&gt;0,Z3836&gt;0),AA3836,1E+300)</f>
        <v/>
      </c>
    </row>
    <row r="3837">
      <c r="A3837">
        <f>$I$3-$B$5+$B$5*4/10</f>
        <v/>
      </c>
      <c r="B3837">
        <f>$J$3-$B$5+$B$5*17/10</f>
        <v/>
      </c>
      <c r="C3837">
        <f>SUMPRODUCT(Calc!$K$3:$K$22*(Calc!$G$3:$G$22&lt;=A3837))</f>
        <v/>
      </c>
      <c r="D3837">
        <f>SUMPRODUCT(Calc!$K$3:$K$22*(Calc!$G$3:$G$22&gt;A3837)*(Calc!$G$3:$G$22&lt;B3837))</f>
        <v/>
      </c>
      <c r="E3837">
        <f>SUMPRODUCT(Calc!$K$3:$K$22*(Calc!$G$3:$G$22&gt;=B3837))</f>
        <v/>
      </c>
      <c r="F3837">
        <f>AND(k_n&gt;=5,B3837&gt;A3837+1E-9,C3837&gt;=2,D3837&gt;=1,E3837&gt;=2)</f>
        <v/>
      </c>
      <c r="G3837">
        <f>SUMPRODUCT(Calc!$K$3:$K$22*(Calc!$G$3:$G$22&gt;A3837)*(Calc!$G$3:$G$22-A3837))</f>
        <v/>
      </c>
      <c r="H3837">
        <f>SUMPRODUCT(Calc!$K$3:$K$22*(Calc!$G$3:$G$22&gt;B3837)*(Calc!$G$3:$G$22-B3837))</f>
        <v/>
      </c>
      <c r="I3837">
        <f>SUMPRODUCT(Calc!$K$3:$K$22*(Calc!$G$3:$G$22&gt;A3837)*(Calc!$G$3:$G$22-A3837)^2)</f>
        <v/>
      </c>
      <c r="J3837">
        <f>SUMPRODUCT(Calc!$K$3:$K$22*(Calc!$G$3:$G$22&gt;B3837)*(Calc!$G$3:$G$22-B3837)^2)</f>
        <v/>
      </c>
      <c r="K3837">
        <f>SUMPRODUCT(Calc!$K$3:$K$22*(Calc!$G$3:$G$22&gt;A3837)*(Calc!$G$3:$G$22-A3837)*(Calc!$G$3:$G$22&gt;B3837)*(Calc!$G$3:$G$22-B3837))</f>
        <v/>
      </c>
      <c r="L3837">
        <f>SUMPRODUCT(Calc!$K$3:$K$22*(Calc!$G$3:$G$22&gt;A3837)*(Calc!$G$3:$G$22-A3837)*Calc!$G$3:$G$22)</f>
        <v/>
      </c>
      <c r="M3837">
        <f>SUMPRODUCT(Calc!$K$3:$K$22*(Calc!$G$3:$G$22&gt;B3837)*(Calc!$G$3:$G$22-B3837)*Calc!$G$3:$G$22)</f>
        <v/>
      </c>
      <c r="N3837">
        <f>SUMPRODUCT(Calc!$K$3:$K$22*(Calc!$G$3:$G$22&gt;A3837)*(Calc!$G$3:$G$22-A3837)*Calc!$I$3:$I$22)</f>
        <v/>
      </c>
      <c r="O3837">
        <f>SUMPRODUCT(Calc!$K$3:$K$22*(Calc!$G$3:$G$22&gt;B3837)*(Calc!$G$3:$G$22-B3837)*Calc!$I$3:$I$22)</f>
        <v/>
      </c>
      <c r="P3837">
        <f>I3837-G3837^2/k_n</f>
        <v/>
      </c>
      <c r="Q3837">
        <f>J3837-H3837^2/k_n</f>
        <v/>
      </c>
      <c r="R3837">
        <f>K3837-G3837*H3837/k_n</f>
        <v/>
      </c>
      <c r="S3837">
        <f>L3837-LTP3!$D$3*G3837/k_n</f>
        <v/>
      </c>
      <c r="T3837">
        <f>M3837-LTP3!$D$3*H3837/k_n</f>
        <v/>
      </c>
      <c r="U3837">
        <f>N3837-G3837*LTP3!$D$4/k_n</f>
        <v/>
      </c>
      <c r="V3837">
        <f>O3837-H3837*LTP3!$D$4/k_n</f>
        <v/>
      </c>
      <c r="W3837">
        <f>((LTP3!$D$5)*((P3837)*(Q3837)-(R3837)*(R3837))-(S3837)*((S3837)*(Q3837)-(R3837)*(T3837))+(T3837)*((S3837)*(R3837)-(P3837)*(T3837)))</f>
        <v/>
      </c>
      <c r="X3837">
        <f>IF(ABS(W3837)&gt;1E-12,((LTP3!$D$6)*((P3837)*(Q3837)-(R3837)*(R3837))-(S3837)*((U3837)*(Q3837)-(R3837)*(V3837))+(T3837)*((U3837)*(R3837)-(P3837)*(V3837)))/W3837,0)</f>
        <v/>
      </c>
      <c r="Y3837">
        <f>IF(ABS(W3837)&gt;1E-12,((LTP3!$D$5)*((U3837)*(Q3837)-(R3837)*(V3837))-(LTP3!$D$6)*((S3837)*(Q3837)-(R3837)*(T3837))+(T3837)*((S3837)*(V3837)-(U3837)*(T3837)))/W3837,0)</f>
        <v/>
      </c>
      <c r="Z3837">
        <f>IF(ABS(W3837)&gt;1E-12,((LTP3!$D$5)*((P3837)*(V3837)-(U3837)*(R3837))-(S3837)*((S3837)*(V3837)-(U3837)*(T3837))+(LTP3!$D$6)*((S3837)*(R3837)-(P3837)*(T3837)))/W3837,0)</f>
        <v/>
      </c>
      <c r="AA3837">
        <f>LTP3!$D$7-X3837*LTP3!$D$6-Y3837*U3837-Z3837*V3837</f>
        <v/>
      </c>
      <c r="AB3837">
        <f>IF(AND(F3837,ABS(W3837)&gt;1E-12,Y3837&gt;0,Z3837&gt;0),AA3837,1E+300)</f>
        <v/>
      </c>
    </row>
    <row r="3838">
      <c r="A3838">
        <f>$I$3-$B$5+$B$5*4/10</f>
        <v/>
      </c>
      <c r="B3838">
        <f>$J$3-$B$5+$B$5*18/10</f>
        <v/>
      </c>
      <c r="C3838">
        <f>SUMPRODUCT(Calc!$K$3:$K$22*(Calc!$G$3:$G$22&lt;=A3838))</f>
        <v/>
      </c>
      <c r="D3838">
        <f>SUMPRODUCT(Calc!$K$3:$K$22*(Calc!$G$3:$G$22&gt;A3838)*(Calc!$G$3:$G$22&lt;B3838))</f>
        <v/>
      </c>
      <c r="E3838">
        <f>SUMPRODUCT(Calc!$K$3:$K$22*(Calc!$G$3:$G$22&gt;=B3838))</f>
        <v/>
      </c>
      <c r="F3838">
        <f>AND(k_n&gt;=5,B3838&gt;A3838+1E-9,C3838&gt;=2,D3838&gt;=1,E3838&gt;=2)</f>
        <v/>
      </c>
      <c r="G3838">
        <f>SUMPRODUCT(Calc!$K$3:$K$22*(Calc!$G$3:$G$22&gt;A3838)*(Calc!$G$3:$G$22-A3838))</f>
        <v/>
      </c>
      <c r="H3838">
        <f>SUMPRODUCT(Calc!$K$3:$K$22*(Calc!$G$3:$G$22&gt;B3838)*(Calc!$G$3:$G$22-B3838))</f>
        <v/>
      </c>
      <c r="I3838">
        <f>SUMPRODUCT(Calc!$K$3:$K$22*(Calc!$G$3:$G$22&gt;A3838)*(Calc!$G$3:$G$22-A3838)^2)</f>
        <v/>
      </c>
      <c r="J3838">
        <f>SUMPRODUCT(Calc!$K$3:$K$22*(Calc!$G$3:$G$22&gt;B3838)*(Calc!$G$3:$G$22-B3838)^2)</f>
        <v/>
      </c>
      <c r="K3838">
        <f>SUMPRODUCT(Calc!$K$3:$K$22*(Calc!$G$3:$G$22&gt;A3838)*(Calc!$G$3:$G$22-A3838)*(Calc!$G$3:$G$22&gt;B3838)*(Calc!$G$3:$G$22-B3838))</f>
        <v/>
      </c>
      <c r="L3838">
        <f>SUMPRODUCT(Calc!$K$3:$K$22*(Calc!$G$3:$G$22&gt;A3838)*(Calc!$G$3:$G$22-A3838)*Calc!$G$3:$G$22)</f>
        <v/>
      </c>
      <c r="M3838">
        <f>SUMPRODUCT(Calc!$K$3:$K$22*(Calc!$G$3:$G$22&gt;B3838)*(Calc!$G$3:$G$22-B3838)*Calc!$G$3:$G$22)</f>
        <v/>
      </c>
      <c r="N3838">
        <f>SUMPRODUCT(Calc!$K$3:$K$22*(Calc!$G$3:$G$22&gt;A3838)*(Calc!$G$3:$G$22-A3838)*Calc!$I$3:$I$22)</f>
        <v/>
      </c>
      <c r="O3838">
        <f>SUMPRODUCT(Calc!$K$3:$K$22*(Calc!$G$3:$G$22&gt;B3838)*(Calc!$G$3:$G$22-B3838)*Calc!$I$3:$I$22)</f>
        <v/>
      </c>
      <c r="P3838">
        <f>I3838-G3838^2/k_n</f>
        <v/>
      </c>
      <c r="Q3838">
        <f>J3838-H3838^2/k_n</f>
        <v/>
      </c>
      <c r="R3838">
        <f>K3838-G3838*H3838/k_n</f>
        <v/>
      </c>
      <c r="S3838">
        <f>L3838-LTP3!$D$3*G3838/k_n</f>
        <v/>
      </c>
      <c r="T3838">
        <f>M3838-LTP3!$D$3*H3838/k_n</f>
        <v/>
      </c>
      <c r="U3838">
        <f>N3838-G3838*LTP3!$D$4/k_n</f>
        <v/>
      </c>
      <c r="V3838">
        <f>O3838-H3838*LTP3!$D$4/k_n</f>
        <v/>
      </c>
      <c r="W3838">
        <f>((LTP3!$D$5)*((P3838)*(Q3838)-(R3838)*(R3838))-(S3838)*((S3838)*(Q3838)-(R3838)*(T3838))+(T3838)*((S3838)*(R3838)-(P3838)*(T3838)))</f>
        <v/>
      </c>
      <c r="X3838">
        <f>IF(ABS(W3838)&gt;1E-12,((LTP3!$D$6)*((P3838)*(Q3838)-(R3838)*(R3838))-(S3838)*((U3838)*(Q3838)-(R3838)*(V3838))+(T3838)*((U3838)*(R3838)-(P3838)*(V3838)))/W3838,0)</f>
        <v/>
      </c>
      <c r="Y3838">
        <f>IF(ABS(W3838)&gt;1E-12,((LTP3!$D$5)*((U3838)*(Q3838)-(R3838)*(V3838))-(LTP3!$D$6)*((S3838)*(Q3838)-(R3838)*(T3838))+(T3838)*((S3838)*(V3838)-(U3838)*(T3838)))/W3838,0)</f>
        <v/>
      </c>
      <c r="Z3838">
        <f>IF(ABS(W3838)&gt;1E-12,((LTP3!$D$5)*((P3838)*(V3838)-(U3838)*(R3838))-(S3838)*((S3838)*(V3838)-(U3838)*(T3838))+(LTP3!$D$6)*((S3838)*(R3838)-(P3838)*(T3838)))/W3838,0)</f>
        <v/>
      </c>
      <c r="AA3838">
        <f>LTP3!$D$7-X3838*LTP3!$D$6-Y3838*U3838-Z3838*V3838</f>
        <v/>
      </c>
      <c r="AB3838">
        <f>IF(AND(F3838,ABS(W3838)&gt;1E-12,Y3838&gt;0,Z3838&gt;0),AA3838,1E+300)</f>
        <v/>
      </c>
    </row>
    <row r="3839">
      <c r="A3839">
        <f>$I$3-$B$5+$B$5*4/10</f>
        <v/>
      </c>
      <c r="B3839">
        <f>$J$3-$B$5+$B$5*19/10</f>
        <v/>
      </c>
      <c r="C3839">
        <f>SUMPRODUCT(Calc!$K$3:$K$22*(Calc!$G$3:$G$22&lt;=A3839))</f>
        <v/>
      </c>
      <c r="D3839">
        <f>SUMPRODUCT(Calc!$K$3:$K$22*(Calc!$G$3:$G$22&gt;A3839)*(Calc!$G$3:$G$22&lt;B3839))</f>
        <v/>
      </c>
      <c r="E3839">
        <f>SUMPRODUCT(Calc!$K$3:$K$22*(Calc!$G$3:$G$22&gt;=B3839))</f>
        <v/>
      </c>
      <c r="F3839">
        <f>AND(k_n&gt;=5,B3839&gt;A3839+1E-9,C3839&gt;=2,D3839&gt;=1,E3839&gt;=2)</f>
        <v/>
      </c>
      <c r="G3839">
        <f>SUMPRODUCT(Calc!$K$3:$K$22*(Calc!$G$3:$G$22&gt;A3839)*(Calc!$G$3:$G$22-A3839))</f>
        <v/>
      </c>
      <c r="H3839">
        <f>SUMPRODUCT(Calc!$K$3:$K$22*(Calc!$G$3:$G$22&gt;B3839)*(Calc!$G$3:$G$22-B3839))</f>
        <v/>
      </c>
      <c r="I3839">
        <f>SUMPRODUCT(Calc!$K$3:$K$22*(Calc!$G$3:$G$22&gt;A3839)*(Calc!$G$3:$G$22-A3839)^2)</f>
        <v/>
      </c>
      <c r="J3839">
        <f>SUMPRODUCT(Calc!$K$3:$K$22*(Calc!$G$3:$G$22&gt;B3839)*(Calc!$G$3:$G$22-B3839)^2)</f>
        <v/>
      </c>
      <c r="K3839">
        <f>SUMPRODUCT(Calc!$K$3:$K$22*(Calc!$G$3:$G$22&gt;A3839)*(Calc!$G$3:$G$22-A3839)*(Calc!$G$3:$G$22&gt;B3839)*(Calc!$G$3:$G$22-B3839))</f>
        <v/>
      </c>
      <c r="L3839">
        <f>SUMPRODUCT(Calc!$K$3:$K$22*(Calc!$G$3:$G$22&gt;A3839)*(Calc!$G$3:$G$22-A3839)*Calc!$G$3:$G$22)</f>
        <v/>
      </c>
      <c r="M3839">
        <f>SUMPRODUCT(Calc!$K$3:$K$22*(Calc!$G$3:$G$22&gt;B3839)*(Calc!$G$3:$G$22-B3839)*Calc!$G$3:$G$22)</f>
        <v/>
      </c>
      <c r="N3839">
        <f>SUMPRODUCT(Calc!$K$3:$K$22*(Calc!$G$3:$G$22&gt;A3839)*(Calc!$G$3:$G$22-A3839)*Calc!$I$3:$I$22)</f>
        <v/>
      </c>
      <c r="O3839">
        <f>SUMPRODUCT(Calc!$K$3:$K$22*(Calc!$G$3:$G$22&gt;B3839)*(Calc!$G$3:$G$22-B3839)*Calc!$I$3:$I$22)</f>
        <v/>
      </c>
      <c r="P3839">
        <f>I3839-G3839^2/k_n</f>
        <v/>
      </c>
      <c r="Q3839">
        <f>J3839-H3839^2/k_n</f>
        <v/>
      </c>
      <c r="R3839">
        <f>K3839-G3839*H3839/k_n</f>
        <v/>
      </c>
      <c r="S3839">
        <f>L3839-LTP3!$D$3*G3839/k_n</f>
        <v/>
      </c>
      <c r="T3839">
        <f>M3839-LTP3!$D$3*H3839/k_n</f>
        <v/>
      </c>
      <c r="U3839">
        <f>N3839-G3839*LTP3!$D$4/k_n</f>
        <v/>
      </c>
      <c r="V3839">
        <f>O3839-H3839*LTP3!$D$4/k_n</f>
        <v/>
      </c>
      <c r="W3839">
        <f>((LTP3!$D$5)*((P3839)*(Q3839)-(R3839)*(R3839))-(S3839)*((S3839)*(Q3839)-(R3839)*(T3839))+(T3839)*((S3839)*(R3839)-(P3839)*(T3839)))</f>
        <v/>
      </c>
      <c r="X3839">
        <f>IF(ABS(W3839)&gt;1E-12,((LTP3!$D$6)*((P3839)*(Q3839)-(R3839)*(R3839))-(S3839)*((U3839)*(Q3839)-(R3839)*(V3839))+(T3839)*((U3839)*(R3839)-(P3839)*(V3839)))/W3839,0)</f>
        <v/>
      </c>
      <c r="Y3839">
        <f>IF(ABS(W3839)&gt;1E-12,((LTP3!$D$5)*((U3839)*(Q3839)-(R3839)*(V3839))-(LTP3!$D$6)*((S3839)*(Q3839)-(R3839)*(T3839))+(T3839)*((S3839)*(V3839)-(U3839)*(T3839)))/W3839,0)</f>
        <v/>
      </c>
      <c r="Z3839">
        <f>IF(ABS(W3839)&gt;1E-12,((LTP3!$D$5)*((P3839)*(V3839)-(U3839)*(R3839))-(S3839)*((S3839)*(V3839)-(U3839)*(T3839))+(LTP3!$D$6)*((S3839)*(R3839)-(P3839)*(T3839)))/W3839,0)</f>
        <v/>
      </c>
      <c r="AA3839">
        <f>LTP3!$D$7-X3839*LTP3!$D$6-Y3839*U3839-Z3839*V3839</f>
        <v/>
      </c>
      <c r="AB3839">
        <f>IF(AND(F3839,ABS(W3839)&gt;1E-12,Y3839&gt;0,Z3839&gt;0),AA3839,1E+300)</f>
        <v/>
      </c>
    </row>
    <row r="3840">
      <c r="A3840">
        <f>$I$3-$B$5+$B$5*4/10</f>
        <v/>
      </c>
      <c r="B3840">
        <f>$J$3-$B$5+$B$5*20/10</f>
        <v/>
      </c>
      <c r="C3840">
        <f>SUMPRODUCT(Calc!$K$3:$K$22*(Calc!$G$3:$G$22&lt;=A3840))</f>
        <v/>
      </c>
      <c r="D3840">
        <f>SUMPRODUCT(Calc!$K$3:$K$22*(Calc!$G$3:$G$22&gt;A3840)*(Calc!$G$3:$G$22&lt;B3840))</f>
        <v/>
      </c>
      <c r="E3840">
        <f>SUMPRODUCT(Calc!$K$3:$K$22*(Calc!$G$3:$G$22&gt;=B3840))</f>
        <v/>
      </c>
      <c r="F3840">
        <f>AND(k_n&gt;=5,B3840&gt;A3840+1E-9,C3840&gt;=2,D3840&gt;=1,E3840&gt;=2)</f>
        <v/>
      </c>
      <c r="G3840">
        <f>SUMPRODUCT(Calc!$K$3:$K$22*(Calc!$G$3:$G$22&gt;A3840)*(Calc!$G$3:$G$22-A3840))</f>
        <v/>
      </c>
      <c r="H3840">
        <f>SUMPRODUCT(Calc!$K$3:$K$22*(Calc!$G$3:$G$22&gt;B3840)*(Calc!$G$3:$G$22-B3840))</f>
        <v/>
      </c>
      <c r="I3840">
        <f>SUMPRODUCT(Calc!$K$3:$K$22*(Calc!$G$3:$G$22&gt;A3840)*(Calc!$G$3:$G$22-A3840)^2)</f>
        <v/>
      </c>
      <c r="J3840">
        <f>SUMPRODUCT(Calc!$K$3:$K$22*(Calc!$G$3:$G$22&gt;B3840)*(Calc!$G$3:$G$22-B3840)^2)</f>
        <v/>
      </c>
      <c r="K3840">
        <f>SUMPRODUCT(Calc!$K$3:$K$22*(Calc!$G$3:$G$22&gt;A3840)*(Calc!$G$3:$G$22-A3840)*(Calc!$G$3:$G$22&gt;B3840)*(Calc!$G$3:$G$22-B3840))</f>
        <v/>
      </c>
      <c r="L3840">
        <f>SUMPRODUCT(Calc!$K$3:$K$22*(Calc!$G$3:$G$22&gt;A3840)*(Calc!$G$3:$G$22-A3840)*Calc!$G$3:$G$22)</f>
        <v/>
      </c>
      <c r="M3840">
        <f>SUMPRODUCT(Calc!$K$3:$K$22*(Calc!$G$3:$G$22&gt;B3840)*(Calc!$G$3:$G$22-B3840)*Calc!$G$3:$G$22)</f>
        <v/>
      </c>
      <c r="N3840">
        <f>SUMPRODUCT(Calc!$K$3:$K$22*(Calc!$G$3:$G$22&gt;A3840)*(Calc!$G$3:$G$22-A3840)*Calc!$I$3:$I$22)</f>
        <v/>
      </c>
      <c r="O3840">
        <f>SUMPRODUCT(Calc!$K$3:$K$22*(Calc!$G$3:$G$22&gt;B3840)*(Calc!$G$3:$G$22-B3840)*Calc!$I$3:$I$22)</f>
        <v/>
      </c>
      <c r="P3840">
        <f>I3840-G3840^2/k_n</f>
        <v/>
      </c>
      <c r="Q3840">
        <f>J3840-H3840^2/k_n</f>
        <v/>
      </c>
      <c r="R3840">
        <f>K3840-G3840*H3840/k_n</f>
        <v/>
      </c>
      <c r="S3840">
        <f>L3840-LTP3!$D$3*G3840/k_n</f>
        <v/>
      </c>
      <c r="T3840">
        <f>M3840-LTP3!$D$3*H3840/k_n</f>
        <v/>
      </c>
      <c r="U3840">
        <f>N3840-G3840*LTP3!$D$4/k_n</f>
        <v/>
      </c>
      <c r="V3840">
        <f>O3840-H3840*LTP3!$D$4/k_n</f>
        <v/>
      </c>
      <c r="W3840">
        <f>((LTP3!$D$5)*((P3840)*(Q3840)-(R3840)*(R3840))-(S3840)*((S3840)*(Q3840)-(R3840)*(T3840))+(T3840)*((S3840)*(R3840)-(P3840)*(T3840)))</f>
        <v/>
      </c>
      <c r="X3840">
        <f>IF(ABS(W3840)&gt;1E-12,((LTP3!$D$6)*((P3840)*(Q3840)-(R3840)*(R3840))-(S3840)*((U3840)*(Q3840)-(R3840)*(V3840))+(T3840)*((U3840)*(R3840)-(P3840)*(V3840)))/W3840,0)</f>
        <v/>
      </c>
      <c r="Y3840">
        <f>IF(ABS(W3840)&gt;1E-12,((LTP3!$D$5)*((U3840)*(Q3840)-(R3840)*(V3840))-(LTP3!$D$6)*((S3840)*(Q3840)-(R3840)*(T3840))+(T3840)*((S3840)*(V3840)-(U3840)*(T3840)))/W3840,0)</f>
        <v/>
      </c>
      <c r="Z3840">
        <f>IF(ABS(W3840)&gt;1E-12,((LTP3!$D$5)*((P3840)*(V3840)-(U3840)*(R3840))-(S3840)*((S3840)*(V3840)-(U3840)*(T3840))+(LTP3!$D$6)*((S3840)*(R3840)-(P3840)*(T3840)))/W3840,0)</f>
        <v/>
      </c>
      <c r="AA3840">
        <f>LTP3!$D$7-X3840*LTP3!$D$6-Y3840*U3840-Z3840*V3840</f>
        <v/>
      </c>
      <c r="AB3840">
        <f>IF(AND(F3840,ABS(W3840)&gt;1E-12,Y3840&gt;0,Z3840&gt;0),AA3840,1E+300)</f>
        <v/>
      </c>
    </row>
    <row r="3841">
      <c r="A3841">
        <f>$I$3-$B$5+$B$5*5/10</f>
        <v/>
      </c>
      <c r="B3841">
        <f>$J$3-$B$5+$B$5*0/10</f>
        <v/>
      </c>
      <c r="C3841">
        <f>SUMPRODUCT(Calc!$K$3:$K$22*(Calc!$G$3:$G$22&lt;=A3841))</f>
        <v/>
      </c>
      <c r="D3841">
        <f>SUMPRODUCT(Calc!$K$3:$K$22*(Calc!$G$3:$G$22&gt;A3841)*(Calc!$G$3:$G$22&lt;B3841))</f>
        <v/>
      </c>
      <c r="E3841">
        <f>SUMPRODUCT(Calc!$K$3:$K$22*(Calc!$G$3:$G$22&gt;=B3841))</f>
        <v/>
      </c>
      <c r="F3841">
        <f>AND(k_n&gt;=5,B3841&gt;A3841+1E-9,C3841&gt;=2,D3841&gt;=1,E3841&gt;=2)</f>
        <v/>
      </c>
      <c r="G3841">
        <f>SUMPRODUCT(Calc!$K$3:$K$22*(Calc!$G$3:$G$22&gt;A3841)*(Calc!$G$3:$G$22-A3841))</f>
        <v/>
      </c>
      <c r="H3841">
        <f>SUMPRODUCT(Calc!$K$3:$K$22*(Calc!$G$3:$G$22&gt;B3841)*(Calc!$G$3:$G$22-B3841))</f>
        <v/>
      </c>
      <c r="I3841">
        <f>SUMPRODUCT(Calc!$K$3:$K$22*(Calc!$G$3:$G$22&gt;A3841)*(Calc!$G$3:$G$22-A3841)^2)</f>
        <v/>
      </c>
      <c r="J3841">
        <f>SUMPRODUCT(Calc!$K$3:$K$22*(Calc!$G$3:$G$22&gt;B3841)*(Calc!$G$3:$G$22-B3841)^2)</f>
        <v/>
      </c>
      <c r="K3841">
        <f>SUMPRODUCT(Calc!$K$3:$K$22*(Calc!$G$3:$G$22&gt;A3841)*(Calc!$G$3:$G$22-A3841)*(Calc!$G$3:$G$22&gt;B3841)*(Calc!$G$3:$G$22-B3841))</f>
        <v/>
      </c>
      <c r="L3841">
        <f>SUMPRODUCT(Calc!$K$3:$K$22*(Calc!$G$3:$G$22&gt;A3841)*(Calc!$G$3:$G$22-A3841)*Calc!$G$3:$G$22)</f>
        <v/>
      </c>
      <c r="M3841">
        <f>SUMPRODUCT(Calc!$K$3:$K$22*(Calc!$G$3:$G$22&gt;B3841)*(Calc!$G$3:$G$22-B3841)*Calc!$G$3:$G$22)</f>
        <v/>
      </c>
      <c r="N3841">
        <f>SUMPRODUCT(Calc!$K$3:$K$22*(Calc!$G$3:$G$22&gt;A3841)*(Calc!$G$3:$G$22-A3841)*Calc!$I$3:$I$22)</f>
        <v/>
      </c>
      <c r="O3841">
        <f>SUMPRODUCT(Calc!$K$3:$K$22*(Calc!$G$3:$G$22&gt;B3841)*(Calc!$G$3:$G$22-B3841)*Calc!$I$3:$I$22)</f>
        <v/>
      </c>
      <c r="P3841">
        <f>I3841-G3841^2/k_n</f>
        <v/>
      </c>
      <c r="Q3841">
        <f>J3841-H3841^2/k_n</f>
        <v/>
      </c>
      <c r="R3841">
        <f>K3841-G3841*H3841/k_n</f>
        <v/>
      </c>
      <c r="S3841">
        <f>L3841-LTP3!$D$3*G3841/k_n</f>
        <v/>
      </c>
      <c r="T3841">
        <f>M3841-LTP3!$D$3*H3841/k_n</f>
        <v/>
      </c>
      <c r="U3841">
        <f>N3841-G3841*LTP3!$D$4/k_n</f>
        <v/>
      </c>
      <c r="V3841">
        <f>O3841-H3841*LTP3!$D$4/k_n</f>
        <v/>
      </c>
      <c r="W3841">
        <f>((LTP3!$D$5)*((P3841)*(Q3841)-(R3841)*(R3841))-(S3841)*((S3841)*(Q3841)-(R3841)*(T3841))+(T3841)*((S3841)*(R3841)-(P3841)*(T3841)))</f>
        <v/>
      </c>
      <c r="X3841">
        <f>IF(ABS(W3841)&gt;1E-12,((LTP3!$D$6)*((P3841)*(Q3841)-(R3841)*(R3841))-(S3841)*((U3841)*(Q3841)-(R3841)*(V3841))+(T3841)*((U3841)*(R3841)-(P3841)*(V3841)))/W3841,0)</f>
        <v/>
      </c>
      <c r="Y3841">
        <f>IF(ABS(W3841)&gt;1E-12,((LTP3!$D$5)*((U3841)*(Q3841)-(R3841)*(V3841))-(LTP3!$D$6)*((S3841)*(Q3841)-(R3841)*(T3841))+(T3841)*((S3841)*(V3841)-(U3841)*(T3841)))/W3841,0)</f>
        <v/>
      </c>
      <c r="Z3841">
        <f>IF(ABS(W3841)&gt;1E-12,((LTP3!$D$5)*((P3841)*(V3841)-(U3841)*(R3841))-(S3841)*((S3841)*(V3841)-(U3841)*(T3841))+(LTP3!$D$6)*((S3841)*(R3841)-(P3841)*(T3841)))/W3841,0)</f>
        <v/>
      </c>
      <c r="AA3841">
        <f>LTP3!$D$7-X3841*LTP3!$D$6-Y3841*U3841-Z3841*V3841</f>
        <v/>
      </c>
      <c r="AB3841">
        <f>IF(AND(F3841,ABS(W3841)&gt;1E-12,Y3841&gt;0,Z3841&gt;0),AA3841,1E+300)</f>
        <v/>
      </c>
    </row>
    <row r="3842">
      <c r="A3842">
        <f>$I$3-$B$5+$B$5*5/10</f>
        <v/>
      </c>
      <c r="B3842">
        <f>$J$3-$B$5+$B$5*1/10</f>
        <v/>
      </c>
      <c r="C3842">
        <f>SUMPRODUCT(Calc!$K$3:$K$22*(Calc!$G$3:$G$22&lt;=A3842))</f>
        <v/>
      </c>
      <c r="D3842">
        <f>SUMPRODUCT(Calc!$K$3:$K$22*(Calc!$G$3:$G$22&gt;A3842)*(Calc!$G$3:$G$22&lt;B3842))</f>
        <v/>
      </c>
      <c r="E3842">
        <f>SUMPRODUCT(Calc!$K$3:$K$22*(Calc!$G$3:$G$22&gt;=B3842))</f>
        <v/>
      </c>
      <c r="F3842">
        <f>AND(k_n&gt;=5,B3842&gt;A3842+1E-9,C3842&gt;=2,D3842&gt;=1,E3842&gt;=2)</f>
        <v/>
      </c>
      <c r="G3842">
        <f>SUMPRODUCT(Calc!$K$3:$K$22*(Calc!$G$3:$G$22&gt;A3842)*(Calc!$G$3:$G$22-A3842))</f>
        <v/>
      </c>
      <c r="H3842">
        <f>SUMPRODUCT(Calc!$K$3:$K$22*(Calc!$G$3:$G$22&gt;B3842)*(Calc!$G$3:$G$22-B3842))</f>
        <v/>
      </c>
      <c r="I3842">
        <f>SUMPRODUCT(Calc!$K$3:$K$22*(Calc!$G$3:$G$22&gt;A3842)*(Calc!$G$3:$G$22-A3842)^2)</f>
        <v/>
      </c>
      <c r="J3842">
        <f>SUMPRODUCT(Calc!$K$3:$K$22*(Calc!$G$3:$G$22&gt;B3842)*(Calc!$G$3:$G$22-B3842)^2)</f>
        <v/>
      </c>
      <c r="K3842">
        <f>SUMPRODUCT(Calc!$K$3:$K$22*(Calc!$G$3:$G$22&gt;A3842)*(Calc!$G$3:$G$22-A3842)*(Calc!$G$3:$G$22&gt;B3842)*(Calc!$G$3:$G$22-B3842))</f>
        <v/>
      </c>
      <c r="L3842">
        <f>SUMPRODUCT(Calc!$K$3:$K$22*(Calc!$G$3:$G$22&gt;A3842)*(Calc!$G$3:$G$22-A3842)*Calc!$G$3:$G$22)</f>
        <v/>
      </c>
      <c r="M3842">
        <f>SUMPRODUCT(Calc!$K$3:$K$22*(Calc!$G$3:$G$22&gt;B3842)*(Calc!$G$3:$G$22-B3842)*Calc!$G$3:$G$22)</f>
        <v/>
      </c>
      <c r="N3842">
        <f>SUMPRODUCT(Calc!$K$3:$K$22*(Calc!$G$3:$G$22&gt;A3842)*(Calc!$G$3:$G$22-A3842)*Calc!$I$3:$I$22)</f>
        <v/>
      </c>
      <c r="O3842">
        <f>SUMPRODUCT(Calc!$K$3:$K$22*(Calc!$G$3:$G$22&gt;B3842)*(Calc!$G$3:$G$22-B3842)*Calc!$I$3:$I$22)</f>
        <v/>
      </c>
      <c r="P3842">
        <f>I3842-G3842^2/k_n</f>
        <v/>
      </c>
      <c r="Q3842">
        <f>J3842-H3842^2/k_n</f>
        <v/>
      </c>
      <c r="R3842">
        <f>K3842-G3842*H3842/k_n</f>
        <v/>
      </c>
      <c r="S3842">
        <f>L3842-LTP3!$D$3*G3842/k_n</f>
        <v/>
      </c>
      <c r="T3842">
        <f>M3842-LTP3!$D$3*H3842/k_n</f>
        <v/>
      </c>
      <c r="U3842">
        <f>N3842-G3842*LTP3!$D$4/k_n</f>
        <v/>
      </c>
      <c r="V3842">
        <f>O3842-H3842*LTP3!$D$4/k_n</f>
        <v/>
      </c>
      <c r="W3842">
        <f>((LTP3!$D$5)*((P3842)*(Q3842)-(R3842)*(R3842))-(S3842)*((S3842)*(Q3842)-(R3842)*(T3842))+(T3842)*((S3842)*(R3842)-(P3842)*(T3842)))</f>
        <v/>
      </c>
      <c r="X3842">
        <f>IF(ABS(W3842)&gt;1E-12,((LTP3!$D$6)*((P3842)*(Q3842)-(R3842)*(R3842))-(S3842)*((U3842)*(Q3842)-(R3842)*(V3842))+(T3842)*((U3842)*(R3842)-(P3842)*(V3842)))/W3842,0)</f>
        <v/>
      </c>
      <c r="Y3842">
        <f>IF(ABS(W3842)&gt;1E-12,((LTP3!$D$5)*((U3842)*(Q3842)-(R3842)*(V3842))-(LTP3!$D$6)*((S3842)*(Q3842)-(R3842)*(T3842))+(T3842)*((S3842)*(V3842)-(U3842)*(T3842)))/W3842,0)</f>
        <v/>
      </c>
      <c r="Z3842">
        <f>IF(ABS(W3842)&gt;1E-12,((LTP3!$D$5)*((P3842)*(V3842)-(U3842)*(R3842))-(S3842)*((S3842)*(V3842)-(U3842)*(T3842))+(LTP3!$D$6)*((S3842)*(R3842)-(P3842)*(T3842)))/W3842,0)</f>
        <v/>
      </c>
      <c r="AA3842">
        <f>LTP3!$D$7-X3842*LTP3!$D$6-Y3842*U3842-Z3842*V3842</f>
        <v/>
      </c>
      <c r="AB3842">
        <f>IF(AND(F3842,ABS(W3842)&gt;1E-12,Y3842&gt;0,Z3842&gt;0),AA3842,1E+300)</f>
        <v/>
      </c>
    </row>
    <row r="3843">
      <c r="A3843">
        <f>$I$3-$B$5+$B$5*5/10</f>
        <v/>
      </c>
      <c r="B3843">
        <f>$J$3-$B$5+$B$5*2/10</f>
        <v/>
      </c>
      <c r="C3843">
        <f>SUMPRODUCT(Calc!$K$3:$K$22*(Calc!$G$3:$G$22&lt;=A3843))</f>
        <v/>
      </c>
      <c r="D3843">
        <f>SUMPRODUCT(Calc!$K$3:$K$22*(Calc!$G$3:$G$22&gt;A3843)*(Calc!$G$3:$G$22&lt;B3843))</f>
        <v/>
      </c>
      <c r="E3843">
        <f>SUMPRODUCT(Calc!$K$3:$K$22*(Calc!$G$3:$G$22&gt;=B3843))</f>
        <v/>
      </c>
      <c r="F3843">
        <f>AND(k_n&gt;=5,B3843&gt;A3843+1E-9,C3843&gt;=2,D3843&gt;=1,E3843&gt;=2)</f>
        <v/>
      </c>
      <c r="G3843">
        <f>SUMPRODUCT(Calc!$K$3:$K$22*(Calc!$G$3:$G$22&gt;A3843)*(Calc!$G$3:$G$22-A3843))</f>
        <v/>
      </c>
      <c r="H3843">
        <f>SUMPRODUCT(Calc!$K$3:$K$22*(Calc!$G$3:$G$22&gt;B3843)*(Calc!$G$3:$G$22-B3843))</f>
        <v/>
      </c>
      <c r="I3843">
        <f>SUMPRODUCT(Calc!$K$3:$K$22*(Calc!$G$3:$G$22&gt;A3843)*(Calc!$G$3:$G$22-A3843)^2)</f>
        <v/>
      </c>
      <c r="J3843">
        <f>SUMPRODUCT(Calc!$K$3:$K$22*(Calc!$G$3:$G$22&gt;B3843)*(Calc!$G$3:$G$22-B3843)^2)</f>
        <v/>
      </c>
      <c r="K3843">
        <f>SUMPRODUCT(Calc!$K$3:$K$22*(Calc!$G$3:$G$22&gt;A3843)*(Calc!$G$3:$G$22-A3843)*(Calc!$G$3:$G$22&gt;B3843)*(Calc!$G$3:$G$22-B3843))</f>
        <v/>
      </c>
      <c r="L3843">
        <f>SUMPRODUCT(Calc!$K$3:$K$22*(Calc!$G$3:$G$22&gt;A3843)*(Calc!$G$3:$G$22-A3843)*Calc!$G$3:$G$22)</f>
        <v/>
      </c>
      <c r="M3843">
        <f>SUMPRODUCT(Calc!$K$3:$K$22*(Calc!$G$3:$G$22&gt;B3843)*(Calc!$G$3:$G$22-B3843)*Calc!$G$3:$G$22)</f>
        <v/>
      </c>
      <c r="N3843">
        <f>SUMPRODUCT(Calc!$K$3:$K$22*(Calc!$G$3:$G$22&gt;A3843)*(Calc!$G$3:$G$22-A3843)*Calc!$I$3:$I$22)</f>
        <v/>
      </c>
      <c r="O3843">
        <f>SUMPRODUCT(Calc!$K$3:$K$22*(Calc!$G$3:$G$22&gt;B3843)*(Calc!$G$3:$G$22-B3843)*Calc!$I$3:$I$22)</f>
        <v/>
      </c>
      <c r="P3843">
        <f>I3843-G3843^2/k_n</f>
        <v/>
      </c>
      <c r="Q3843">
        <f>J3843-H3843^2/k_n</f>
        <v/>
      </c>
      <c r="R3843">
        <f>K3843-G3843*H3843/k_n</f>
        <v/>
      </c>
      <c r="S3843">
        <f>L3843-LTP3!$D$3*G3843/k_n</f>
        <v/>
      </c>
      <c r="T3843">
        <f>M3843-LTP3!$D$3*H3843/k_n</f>
        <v/>
      </c>
      <c r="U3843">
        <f>N3843-G3843*LTP3!$D$4/k_n</f>
        <v/>
      </c>
      <c r="V3843">
        <f>O3843-H3843*LTP3!$D$4/k_n</f>
        <v/>
      </c>
      <c r="W3843">
        <f>((LTP3!$D$5)*((P3843)*(Q3843)-(R3843)*(R3843))-(S3843)*((S3843)*(Q3843)-(R3843)*(T3843))+(T3843)*((S3843)*(R3843)-(P3843)*(T3843)))</f>
        <v/>
      </c>
      <c r="X3843">
        <f>IF(ABS(W3843)&gt;1E-12,((LTP3!$D$6)*((P3843)*(Q3843)-(R3843)*(R3843))-(S3843)*((U3843)*(Q3843)-(R3843)*(V3843))+(T3843)*((U3843)*(R3843)-(P3843)*(V3843)))/W3843,0)</f>
        <v/>
      </c>
      <c r="Y3843">
        <f>IF(ABS(W3843)&gt;1E-12,((LTP3!$D$5)*((U3843)*(Q3843)-(R3843)*(V3843))-(LTP3!$D$6)*((S3843)*(Q3843)-(R3843)*(T3843))+(T3843)*((S3843)*(V3843)-(U3843)*(T3843)))/W3843,0)</f>
        <v/>
      </c>
      <c r="Z3843">
        <f>IF(ABS(W3843)&gt;1E-12,((LTP3!$D$5)*((P3843)*(V3843)-(U3843)*(R3843))-(S3843)*((S3843)*(V3843)-(U3843)*(T3843))+(LTP3!$D$6)*((S3843)*(R3843)-(P3843)*(T3843)))/W3843,0)</f>
        <v/>
      </c>
      <c r="AA3843">
        <f>LTP3!$D$7-X3843*LTP3!$D$6-Y3843*U3843-Z3843*V3843</f>
        <v/>
      </c>
      <c r="AB3843">
        <f>IF(AND(F3843,ABS(W3843)&gt;1E-12,Y3843&gt;0,Z3843&gt;0),AA3843,1E+300)</f>
        <v/>
      </c>
    </row>
    <row r="3844">
      <c r="A3844">
        <f>$I$3-$B$5+$B$5*5/10</f>
        <v/>
      </c>
      <c r="B3844">
        <f>$J$3-$B$5+$B$5*3/10</f>
        <v/>
      </c>
      <c r="C3844">
        <f>SUMPRODUCT(Calc!$K$3:$K$22*(Calc!$G$3:$G$22&lt;=A3844))</f>
        <v/>
      </c>
      <c r="D3844">
        <f>SUMPRODUCT(Calc!$K$3:$K$22*(Calc!$G$3:$G$22&gt;A3844)*(Calc!$G$3:$G$22&lt;B3844))</f>
        <v/>
      </c>
      <c r="E3844">
        <f>SUMPRODUCT(Calc!$K$3:$K$22*(Calc!$G$3:$G$22&gt;=B3844))</f>
        <v/>
      </c>
      <c r="F3844">
        <f>AND(k_n&gt;=5,B3844&gt;A3844+1E-9,C3844&gt;=2,D3844&gt;=1,E3844&gt;=2)</f>
        <v/>
      </c>
      <c r="G3844">
        <f>SUMPRODUCT(Calc!$K$3:$K$22*(Calc!$G$3:$G$22&gt;A3844)*(Calc!$G$3:$G$22-A3844))</f>
        <v/>
      </c>
      <c r="H3844">
        <f>SUMPRODUCT(Calc!$K$3:$K$22*(Calc!$G$3:$G$22&gt;B3844)*(Calc!$G$3:$G$22-B3844))</f>
        <v/>
      </c>
      <c r="I3844">
        <f>SUMPRODUCT(Calc!$K$3:$K$22*(Calc!$G$3:$G$22&gt;A3844)*(Calc!$G$3:$G$22-A3844)^2)</f>
        <v/>
      </c>
      <c r="J3844">
        <f>SUMPRODUCT(Calc!$K$3:$K$22*(Calc!$G$3:$G$22&gt;B3844)*(Calc!$G$3:$G$22-B3844)^2)</f>
        <v/>
      </c>
      <c r="K3844">
        <f>SUMPRODUCT(Calc!$K$3:$K$22*(Calc!$G$3:$G$22&gt;A3844)*(Calc!$G$3:$G$22-A3844)*(Calc!$G$3:$G$22&gt;B3844)*(Calc!$G$3:$G$22-B3844))</f>
        <v/>
      </c>
      <c r="L3844">
        <f>SUMPRODUCT(Calc!$K$3:$K$22*(Calc!$G$3:$G$22&gt;A3844)*(Calc!$G$3:$G$22-A3844)*Calc!$G$3:$G$22)</f>
        <v/>
      </c>
      <c r="M3844">
        <f>SUMPRODUCT(Calc!$K$3:$K$22*(Calc!$G$3:$G$22&gt;B3844)*(Calc!$G$3:$G$22-B3844)*Calc!$G$3:$G$22)</f>
        <v/>
      </c>
      <c r="N3844">
        <f>SUMPRODUCT(Calc!$K$3:$K$22*(Calc!$G$3:$G$22&gt;A3844)*(Calc!$G$3:$G$22-A3844)*Calc!$I$3:$I$22)</f>
        <v/>
      </c>
      <c r="O3844">
        <f>SUMPRODUCT(Calc!$K$3:$K$22*(Calc!$G$3:$G$22&gt;B3844)*(Calc!$G$3:$G$22-B3844)*Calc!$I$3:$I$22)</f>
        <v/>
      </c>
      <c r="P3844">
        <f>I3844-G3844^2/k_n</f>
        <v/>
      </c>
      <c r="Q3844">
        <f>J3844-H3844^2/k_n</f>
        <v/>
      </c>
      <c r="R3844">
        <f>K3844-G3844*H3844/k_n</f>
        <v/>
      </c>
      <c r="S3844">
        <f>L3844-LTP3!$D$3*G3844/k_n</f>
        <v/>
      </c>
      <c r="T3844">
        <f>M3844-LTP3!$D$3*H3844/k_n</f>
        <v/>
      </c>
      <c r="U3844">
        <f>N3844-G3844*LTP3!$D$4/k_n</f>
        <v/>
      </c>
      <c r="V3844">
        <f>O3844-H3844*LTP3!$D$4/k_n</f>
        <v/>
      </c>
      <c r="W3844">
        <f>((LTP3!$D$5)*((P3844)*(Q3844)-(R3844)*(R3844))-(S3844)*((S3844)*(Q3844)-(R3844)*(T3844))+(T3844)*((S3844)*(R3844)-(P3844)*(T3844)))</f>
        <v/>
      </c>
      <c r="X3844">
        <f>IF(ABS(W3844)&gt;1E-12,((LTP3!$D$6)*((P3844)*(Q3844)-(R3844)*(R3844))-(S3844)*((U3844)*(Q3844)-(R3844)*(V3844))+(T3844)*((U3844)*(R3844)-(P3844)*(V3844)))/W3844,0)</f>
        <v/>
      </c>
      <c r="Y3844">
        <f>IF(ABS(W3844)&gt;1E-12,((LTP3!$D$5)*((U3844)*(Q3844)-(R3844)*(V3844))-(LTP3!$D$6)*((S3844)*(Q3844)-(R3844)*(T3844))+(T3844)*((S3844)*(V3844)-(U3844)*(T3844)))/W3844,0)</f>
        <v/>
      </c>
      <c r="Z3844">
        <f>IF(ABS(W3844)&gt;1E-12,((LTP3!$D$5)*((P3844)*(V3844)-(U3844)*(R3844))-(S3844)*((S3844)*(V3844)-(U3844)*(T3844))+(LTP3!$D$6)*((S3844)*(R3844)-(P3844)*(T3844)))/W3844,0)</f>
        <v/>
      </c>
      <c r="AA3844">
        <f>LTP3!$D$7-X3844*LTP3!$D$6-Y3844*U3844-Z3844*V3844</f>
        <v/>
      </c>
      <c r="AB3844">
        <f>IF(AND(F3844,ABS(W3844)&gt;1E-12,Y3844&gt;0,Z3844&gt;0),AA3844,1E+300)</f>
        <v/>
      </c>
    </row>
    <row r="3845">
      <c r="A3845">
        <f>$I$3-$B$5+$B$5*5/10</f>
        <v/>
      </c>
      <c r="B3845">
        <f>$J$3-$B$5+$B$5*4/10</f>
        <v/>
      </c>
      <c r="C3845">
        <f>SUMPRODUCT(Calc!$K$3:$K$22*(Calc!$G$3:$G$22&lt;=A3845))</f>
        <v/>
      </c>
      <c r="D3845">
        <f>SUMPRODUCT(Calc!$K$3:$K$22*(Calc!$G$3:$G$22&gt;A3845)*(Calc!$G$3:$G$22&lt;B3845))</f>
        <v/>
      </c>
      <c r="E3845">
        <f>SUMPRODUCT(Calc!$K$3:$K$22*(Calc!$G$3:$G$22&gt;=B3845))</f>
        <v/>
      </c>
      <c r="F3845">
        <f>AND(k_n&gt;=5,B3845&gt;A3845+1E-9,C3845&gt;=2,D3845&gt;=1,E3845&gt;=2)</f>
        <v/>
      </c>
      <c r="G3845">
        <f>SUMPRODUCT(Calc!$K$3:$K$22*(Calc!$G$3:$G$22&gt;A3845)*(Calc!$G$3:$G$22-A3845))</f>
        <v/>
      </c>
      <c r="H3845">
        <f>SUMPRODUCT(Calc!$K$3:$K$22*(Calc!$G$3:$G$22&gt;B3845)*(Calc!$G$3:$G$22-B3845))</f>
        <v/>
      </c>
      <c r="I3845">
        <f>SUMPRODUCT(Calc!$K$3:$K$22*(Calc!$G$3:$G$22&gt;A3845)*(Calc!$G$3:$G$22-A3845)^2)</f>
        <v/>
      </c>
      <c r="J3845">
        <f>SUMPRODUCT(Calc!$K$3:$K$22*(Calc!$G$3:$G$22&gt;B3845)*(Calc!$G$3:$G$22-B3845)^2)</f>
        <v/>
      </c>
      <c r="K3845">
        <f>SUMPRODUCT(Calc!$K$3:$K$22*(Calc!$G$3:$G$22&gt;A3845)*(Calc!$G$3:$G$22-A3845)*(Calc!$G$3:$G$22&gt;B3845)*(Calc!$G$3:$G$22-B3845))</f>
        <v/>
      </c>
      <c r="L3845">
        <f>SUMPRODUCT(Calc!$K$3:$K$22*(Calc!$G$3:$G$22&gt;A3845)*(Calc!$G$3:$G$22-A3845)*Calc!$G$3:$G$22)</f>
        <v/>
      </c>
      <c r="M3845">
        <f>SUMPRODUCT(Calc!$K$3:$K$22*(Calc!$G$3:$G$22&gt;B3845)*(Calc!$G$3:$G$22-B3845)*Calc!$G$3:$G$22)</f>
        <v/>
      </c>
      <c r="N3845">
        <f>SUMPRODUCT(Calc!$K$3:$K$22*(Calc!$G$3:$G$22&gt;A3845)*(Calc!$G$3:$G$22-A3845)*Calc!$I$3:$I$22)</f>
        <v/>
      </c>
      <c r="O3845">
        <f>SUMPRODUCT(Calc!$K$3:$K$22*(Calc!$G$3:$G$22&gt;B3845)*(Calc!$G$3:$G$22-B3845)*Calc!$I$3:$I$22)</f>
        <v/>
      </c>
      <c r="P3845">
        <f>I3845-G3845^2/k_n</f>
        <v/>
      </c>
      <c r="Q3845">
        <f>J3845-H3845^2/k_n</f>
        <v/>
      </c>
      <c r="R3845">
        <f>K3845-G3845*H3845/k_n</f>
        <v/>
      </c>
      <c r="S3845">
        <f>L3845-LTP3!$D$3*G3845/k_n</f>
        <v/>
      </c>
      <c r="T3845">
        <f>M3845-LTP3!$D$3*H3845/k_n</f>
        <v/>
      </c>
      <c r="U3845">
        <f>N3845-G3845*LTP3!$D$4/k_n</f>
        <v/>
      </c>
      <c r="V3845">
        <f>O3845-H3845*LTP3!$D$4/k_n</f>
        <v/>
      </c>
      <c r="W3845">
        <f>((LTP3!$D$5)*((P3845)*(Q3845)-(R3845)*(R3845))-(S3845)*((S3845)*(Q3845)-(R3845)*(T3845))+(T3845)*((S3845)*(R3845)-(P3845)*(T3845)))</f>
        <v/>
      </c>
      <c r="X3845">
        <f>IF(ABS(W3845)&gt;1E-12,((LTP3!$D$6)*((P3845)*(Q3845)-(R3845)*(R3845))-(S3845)*((U3845)*(Q3845)-(R3845)*(V3845))+(T3845)*((U3845)*(R3845)-(P3845)*(V3845)))/W3845,0)</f>
        <v/>
      </c>
      <c r="Y3845">
        <f>IF(ABS(W3845)&gt;1E-12,((LTP3!$D$5)*((U3845)*(Q3845)-(R3845)*(V3845))-(LTP3!$D$6)*((S3845)*(Q3845)-(R3845)*(T3845))+(T3845)*((S3845)*(V3845)-(U3845)*(T3845)))/W3845,0)</f>
        <v/>
      </c>
      <c r="Z3845">
        <f>IF(ABS(W3845)&gt;1E-12,((LTP3!$D$5)*((P3845)*(V3845)-(U3845)*(R3845))-(S3845)*((S3845)*(V3845)-(U3845)*(T3845))+(LTP3!$D$6)*((S3845)*(R3845)-(P3845)*(T3845)))/W3845,0)</f>
        <v/>
      </c>
      <c r="AA3845">
        <f>LTP3!$D$7-X3845*LTP3!$D$6-Y3845*U3845-Z3845*V3845</f>
        <v/>
      </c>
      <c r="AB3845">
        <f>IF(AND(F3845,ABS(W3845)&gt;1E-12,Y3845&gt;0,Z3845&gt;0),AA3845,1E+300)</f>
        <v/>
      </c>
    </row>
    <row r="3846">
      <c r="A3846">
        <f>$I$3-$B$5+$B$5*5/10</f>
        <v/>
      </c>
      <c r="B3846">
        <f>$J$3-$B$5+$B$5*5/10</f>
        <v/>
      </c>
      <c r="C3846">
        <f>SUMPRODUCT(Calc!$K$3:$K$22*(Calc!$G$3:$G$22&lt;=A3846))</f>
        <v/>
      </c>
      <c r="D3846">
        <f>SUMPRODUCT(Calc!$K$3:$K$22*(Calc!$G$3:$G$22&gt;A3846)*(Calc!$G$3:$G$22&lt;B3846))</f>
        <v/>
      </c>
      <c r="E3846">
        <f>SUMPRODUCT(Calc!$K$3:$K$22*(Calc!$G$3:$G$22&gt;=B3846))</f>
        <v/>
      </c>
      <c r="F3846">
        <f>AND(k_n&gt;=5,B3846&gt;A3846+1E-9,C3846&gt;=2,D3846&gt;=1,E3846&gt;=2)</f>
        <v/>
      </c>
      <c r="G3846">
        <f>SUMPRODUCT(Calc!$K$3:$K$22*(Calc!$G$3:$G$22&gt;A3846)*(Calc!$G$3:$G$22-A3846))</f>
        <v/>
      </c>
      <c r="H3846">
        <f>SUMPRODUCT(Calc!$K$3:$K$22*(Calc!$G$3:$G$22&gt;B3846)*(Calc!$G$3:$G$22-B3846))</f>
        <v/>
      </c>
      <c r="I3846">
        <f>SUMPRODUCT(Calc!$K$3:$K$22*(Calc!$G$3:$G$22&gt;A3846)*(Calc!$G$3:$G$22-A3846)^2)</f>
        <v/>
      </c>
      <c r="J3846">
        <f>SUMPRODUCT(Calc!$K$3:$K$22*(Calc!$G$3:$G$22&gt;B3846)*(Calc!$G$3:$G$22-B3846)^2)</f>
        <v/>
      </c>
      <c r="K3846">
        <f>SUMPRODUCT(Calc!$K$3:$K$22*(Calc!$G$3:$G$22&gt;A3846)*(Calc!$G$3:$G$22-A3846)*(Calc!$G$3:$G$22&gt;B3846)*(Calc!$G$3:$G$22-B3846))</f>
        <v/>
      </c>
      <c r="L3846">
        <f>SUMPRODUCT(Calc!$K$3:$K$22*(Calc!$G$3:$G$22&gt;A3846)*(Calc!$G$3:$G$22-A3846)*Calc!$G$3:$G$22)</f>
        <v/>
      </c>
      <c r="M3846">
        <f>SUMPRODUCT(Calc!$K$3:$K$22*(Calc!$G$3:$G$22&gt;B3846)*(Calc!$G$3:$G$22-B3846)*Calc!$G$3:$G$22)</f>
        <v/>
      </c>
      <c r="N3846">
        <f>SUMPRODUCT(Calc!$K$3:$K$22*(Calc!$G$3:$G$22&gt;A3846)*(Calc!$G$3:$G$22-A3846)*Calc!$I$3:$I$22)</f>
        <v/>
      </c>
      <c r="O3846">
        <f>SUMPRODUCT(Calc!$K$3:$K$22*(Calc!$G$3:$G$22&gt;B3846)*(Calc!$G$3:$G$22-B3846)*Calc!$I$3:$I$22)</f>
        <v/>
      </c>
      <c r="P3846">
        <f>I3846-G3846^2/k_n</f>
        <v/>
      </c>
      <c r="Q3846">
        <f>J3846-H3846^2/k_n</f>
        <v/>
      </c>
      <c r="R3846">
        <f>K3846-G3846*H3846/k_n</f>
        <v/>
      </c>
      <c r="S3846">
        <f>L3846-LTP3!$D$3*G3846/k_n</f>
        <v/>
      </c>
      <c r="T3846">
        <f>M3846-LTP3!$D$3*H3846/k_n</f>
        <v/>
      </c>
      <c r="U3846">
        <f>N3846-G3846*LTP3!$D$4/k_n</f>
        <v/>
      </c>
      <c r="V3846">
        <f>O3846-H3846*LTP3!$D$4/k_n</f>
        <v/>
      </c>
      <c r="W3846">
        <f>((LTP3!$D$5)*((P3846)*(Q3846)-(R3846)*(R3846))-(S3846)*((S3846)*(Q3846)-(R3846)*(T3846))+(T3846)*((S3846)*(R3846)-(P3846)*(T3846)))</f>
        <v/>
      </c>
      <c r="X3846">
        <f>IF(ABS(W3846)&gt;1E-12,((LTP3!$D$6)*((P3846)*(Q3846)-(R3846)*(R3846))-(S3846)*((U3846)*(Q3846)-(R3846)*(V3846))+(T3846)*((U3846)*(R3846)-(P3846)*(V3846)))/W3846,0)</f>
        <v/>
      </c>
      <c r="Y3846">
        <f>IF(ABS(W3846)&gt;1E-12,((LTP3!$D$5)*((U3846)*(Q3846)-(R3846)*(V3846))-(LTP3!$D$6)*((S3846)*(Q3846)-(R3846)*(T3846))+(T3846)*((S3846)*(V3846)-(U3846)*(T3846)))/W3846,0)</f>
        <v/>
      </c>
      <c r="Z3846">
        <f>IF(ABS(W3846)&gt;1E-12,((LTP3!$D$5)*((P3846)*(V3846)-(U3846)*(R3846))-(S3846)*((S3846)*(V3846)-(U3846)*(T3846))+(LTP3!$D$6)*((S3846)*(R3846)-(P3846)*(T3846)))/W3846,0)</f>
        <v/>
      </c>
      <c r="AA3846">
        <f>LTP3!$D$7-X3846*LTP3!$D$6-Y3846*U3846-Z3846*V3846</f>
        <v/>
      </c>
      <c r="AB3846">
        <f>IF(AND(F3846,ABS(W3846)&gt;1E-12,Y3846&gt;0,Z3846&gt;0),AA3846,1E+300)</f>
        <v/>
      </c>
    </row>
    <row r="3847">
      <c r="A3847">
        <f>$I$3-$B$5+$B$5*5/10</f>
        <v/>
      </c>
      <c r="B3847">
        <f>$J$3-$B$5+$B$5*6/10</f>
        <v/>
      </c>
      <c r="C3847">
        <f>SUMPRODUCT(Calc!$K$3:$K$22*(Calc!$G$3:$G$22&lt;=A3847))</f>
        <v/>
      </c>
      <c r="D3847">
        <f>SUMPRODUCT(Calc!$K$3:$K$22*(Calc!$G$3:$G$22&gt;A3847)*(Calc!$G$3:$G$22&lt;B3847))</f>
        <v/>
      </c>
      <c r="E3847">
        <f>SUMPRODUCT(Calc!$K$3:$K$22*(Calc!$G$3:$G$22&gt;=B3847))</f>
        <v/>
      </c>
      <c r="F3847">
        <f>AND(k_n&gt;=5,B3847&gt;A3847+1E-9,C3847&gt;=2,D3847&gt;=1,E3847&gt;=2)</f>
        <v/>
      </c>
      <c r="G3847">
        <f>SUMPRODUCT(Calc!$K$3:$K$22*(Calc!$G$3:$G$22&gt;A3847)*(Calc!$G$3:$G$22-A3847))</f>
        <v/>
      </c>
      <c r="H3847">
        <f>SUMPRODUCT(Calc!$K$3:$K$22*(Calc!$G$3:$G$22&gt;B3847)*(Calc!$G$3:$G$22-B3847))</f>
        <v/>
      </c>
      <c r="I3847">
        <f>SUMPRODUCT(Calc!$K$3:$K$22*(Calc!$G$3:$G$22&gt;A3847)*(Calc!$G$3:$G$22-A3847)^2)</f>
        <v/>
      </c>
      <c r="J3847">
        <f>SUMPRODUCT(Calc!$K$3:$K$22*(Calc!$G$3:$G$22&gt;B3847)*(Calc!$G$3:$G$22-B3847)^2)</f>
        <v/>
      </c>
      <c r="K3847">
        <f>SUMPRODUCT(Calc!$K$3:$K$22*(Calc!$G$3:$G$22&gt;A3847)*(Calc!$G$3:$G$22-A3847)*(Calc!$G$3:$G$22&gt;B3847)*(Calc!$G$3:$G$22-B3847))</f>
        <v/>
      </c>
      <c r="L3847">
        <f>SUMPRODUCT(Calc!$K$3:$K$22*(Calc!$G$3:$G$22&gt;A3847)*(Calc!$G$3:$G$22-A3847)*Calc!$G$3:$G$22)</f>
        <v/>
      </c>
      <c r="M3847">
        <f>SUMPRODUCT(Calc!$K$3:$K$22*(Calc!$G$3:$G$22&gt;B3847)*(Calc!$G$3:$G$22-B3847)*Calc!$G$3:$G$22)</f>
        <v/>
      </c>
      <c r="N3847">
        <f>SUMPRODUCT(Calc!$K$3:$K$22*(Calc!$G$3:$G$22&gt;A3847)*(Calc!$G$3:$G$22-A3847)*Calc!$I$3:$I$22)</f>
        <v/>
      </c>
      <c r="O3847">
        <f>SUMPRODUCT(Calc!$K$3:$K$22*(Calc!$G$3:$G$22&gt;B3847)*(Calc!$G$3:$G$22-B3847)*Calc!$I$3:$I$22)</f>
        <v/>
      </c>
      <c r="P3847">
        <f>I3847-G3847^2/k_n</f>
        <v/>
      </c>
      <c r="Q3847">
        <f>J3847-H3847^2/k_n</f>
        <v/>
      </c>
      <c r="R3847">
        <f>K3847-G3847*H3847/k_n</f>
        <v/>
      </c>
      <c r="S3847">
        <f>L3847-LTP3!$D$3*G3847/k_n</f>
        <v/>
      </c>
      <c r="T3847">
        <f>M3847-LTP3!$D$3*H3847/k_n</f>
        <v/>
      </c>
      <c r="U3847">
        <f>N3847-G3847*LTP3!$D$4/k_n</f>
        <v/>
      </c>
      <c r="V3847">
        <f>O3847-H3847*LTP3!$D$4/k_n</f>
        <v/>
      </c>
      <c r="W3847">
        <f>((LTP3!$D$5)*((P3847)*(Q3847)-(R3847)*(R3847))-(S3847)*((S3847)*(Q3847)-(R3847)*(T3847))+(T3847)*((S3847)*(R3847)-(P3847)*(T3847)))</f>
        <v/>
      </c>
      <c r="X3847">
        <f>IF(ABS(W3847)&gt;1E-12,((LTP3!$D$6)*((P3847)*(Q3847)-(R3847)*(R3847))-(S3847)*((U3847)*(Q3847)-(R3847)*(V3847))+(T3847)*((U3847)*(R3847)-(P3847)*(V3847)))/W3847,0)</f>
        <v/>
      </c>
      <c r="Y3847">
        <f>IF(ABS(W3847)&gt;1E-12,((LTP3!$D$5)*((U3847)*(Q3847)-(R3847)*(V3847))-(LTP3!$D$6)*((S3847)*(Q3847)-(R3847)*(T3847))+(T3847)*((S3847)*(V3847)-(U3847)*(T3847)))/W3847,0)</f>
        <v/>
      </c>
      <c r="Z3847">
        <f>IF(ABS(W3847)&gt;1E-12,((LTP3!$D$5)*((P3847)*(V3847)-(U3847)*(R3847))-(S3847)*((S3847)*(V3847)-(U3847)*(T3847))+(LTP3!$D$6)*((S3847)*(R3847)-(P3847)*(T3847)))/W3847,0)</f>
        <v/>
      </c>
      <c r="AA3847">
        <f>LTP3!$D$7-X3847*LTP3!$D$6-Y3847*U3847-Z3847*V3847</f>
        <v/>
      </c>
      <c r="AB3847">
        <f>IF(AND(F3847,ABS(W3847)&gt;1E-12,Y3847&gt;0,Z3847&gt;0),AA3847,1E+300)</f>
        <v/>
      </c>
    </row>
    <row r="3848">
      <c r="A3848">
        <f>$I$3-$B$5+$B$5*5/10</f>
        <v/>
      </c>
      <c r="B3848">
        <f>$J$3-$B$5+$B$5*7/10</f>
        <v/>
      </c>
      <c r="C3848">
        <f>SUMPRODUCT(Calc!$K$3:$K$22*(Calc!$G$3:$G$22&lt;=A3848))</f>
        <v/>
      </c>
      <c r="D3848">
        <f>SUMPRODUCT(Calc!$K$3:$K$22*(Calc!$G$3:$G$22&gt;A3848)*(Calc!$G$3:$G$22&lt;B3848))</f>
        <v/>
      </c>
      <c r="E3848">
        <f>SUMPRODUCT(Calc!$K$3:$K$22*(Calc!$G$3:$G$22&gt;=B3848))</f>
        <v/>
      </c>
      <c r="F3848">
        <f>AND(k_n&gt;=5,B3848&gt;A3848+1E-9,C3848&gt;=2,D3848&gt;=1,E3848&gt;=2)</f>
        <v/>
      </c>
      <c r="G3848">
        <f>SUMPRODUCT(Calc!$K$3:$K$22*(Calc!$G$3:$G$22&gt;A3848)*(Calc!$G$3:$G$22-A3848))</f>
        <v/>
      </c>
      <c r="H3848">
        <f>SUMPRODUCT(Calc!$K$3:$K$22*(Calc!$G$3:$G$22&gt;B3848)*(Calc!$G$3:$G$22-B3848))</f>
        <v/>
      </c>
      <c r="I3848">
        <f>SUMPRODUCT(Calc!$K$3:$K$22*(Calc!$G$3:$G$22&gt;A3848)*(Calc!$G$3:$G$22-A3848)^2)</f>
        <v/>
      </c>
      <c r="J3848">
        <f>SUMPRODUCT(Calc!$K$3:$K$22*(Calc!$G$3:$G$22&gt;B3848)*(Calc!$G$3:$G$22-B3848)^2)</f>
        <v/>
      </c>
      <c r="K3848">
        <f>SUMPRODUCT(Calc!$K$3:$K$22*(Calc!$G$3:$G$22&gt;A3848)*(Calc!$G$3:$G$22-A3848)*(Calc!$G$3:$G$22&gt;B3848)*(Calc!$G$3:$G$22-B3848))</f>
        <v/>
      </c>
      <c r="L3848">
        <f>SUMPRODUCT(Calc!$K$3:$K$22*(Calc!$G$3:$G$22&gt;A3848)*(Calc!$G$3:$G$22-A3848)*Calc!$G$3:$G$22)</f>
        <v/>
      </c>
      <c r="M3848">
        <f>SUMPRODUCT(Calc!$K$3:$K$22*(Calc!$G$3:$G$22&gt;B3848)*(Calc!$G$3:$G$22-B3848)*Calc!$G$3:$G$22)</f>
        <v/>
      </c>
      <c r="N3848">
        <f>SUMPRODUCT(Calc!$K$3:$K$22*(Calc!$G$3:$G$22&gt;A3848)*(Calc!$G$3:$G$22-A3848)*Calc!$I$3:$I$22)</f>
        <v/>
      </c>
      <c r="O3848">
        <f>SUMPRODUCT(Calc!$K$3:$K$22*(Calc!$G$3:$G$22&gt;B3848)*(Calc!$G$3:$G$22-B3848)*Calc!$I$3:$I$22)</f>
        <v/>
      </c>
      <c r="P3848">
        <f>I3848-G3848^2/k_n</f>
        <v/>
      </c>
      <c r="Q3848">
        <f>J3848-H3848^2/k_n</f>
        <v/>
      </c>
      <c r="R3848">
        <f>K3848-G3848*H3848/k_n</f>
        <v/>
      </c>
      <c r="S3848">
        <f>L3848-LTP3!$D$3*G3848/k_n</f>
        <v/>
      </c>
      <c r="T3848">
        <f>M3848-LTP3!$D$3*H3848/k_n</f>
        <v/>
      </c>
      <c r="U3848">
        <f>N3848-G3848*LTP3!$D$4/k_n</f>
        <v/>
      </c>
      <c r="V3848">
        <f>O3848-H3848*LTP3!$D$4/k_n</f>
        <v/>
      </c>
      <c r="W3848">
        <f>((LTP3!$D$5)*((P3848)*(Q3848)-(R3848)*(R3848))-(S3848)*((S3848)*(Q3848)-(R3848)*(T3848))+(T3848)*((S3848)*(R3848)-(P3848)*(T3848)))</f>
        <v/>
      </c>
      <c r="X3848">
        <f>IF(ABS(W3848)&gt;1E-12,((LTP3!$D$6)*((P3848)*(Q3848)-(R3848)*(R3848))-(S3848)*((U3848)*(Q3848)-(R3848)*(V3848))+(T3848)*((U3848)*(R3848)-(P3848)*(V3848)))/W3848,0)</f>
        <v/>
      </c>
      <c r="Y3848">
        <f>IF(ABS(W3848)&gt;1E-12,((LTP3!$D$5)*((U3848)*(Q3848)-(R3848)*(V3848))-(LTP3!$D$6)*((S3848)*(Q3848)-(R3848)*(T3848))+(T3848)*((S3848)*(V3848)-(U3848)*(T3848)))/W3848,0)</f>
        <v/>
      </c>
      <c r="Z3848">
        <f>IF(ABS(W3848)&gt;1E-12,((LTP3!$D$5)*((P3848)*(V3848)-(U3848)*(R3848))-(S3848)*((S3848)*(V3848)-(U3848)*(T3848))+(LTP3!$D$6)*((S3848)*(R3848)-(P3848)*(T3848)))/W3848,0)</f>
        <v/>
      </c>
      <c r="AA3848">
        <f>LTP3!$D$7-X3848*LTP3!$D$6-Y3848*U3848-Z3848*V3848</f>
        <v/>
      </c>
      <c r="AB3848">
        <f>IF(AND(F3848,ABS(W3848)&gt;1E-12,Y3848&gt;0,Z3848&gt;0),AA3848,1E+300)</f>
        <v/>
      </c>
    </row>
    <row r="3849">
      <c r="A3849">
        <f>$I$3-$B$5+$B$5*5/10</f>
        <v/>
      </c>
      <c r="B3849">
        <f>$J$3-$B$5+$B$5*8/10</f>
        <v/>
      </c>
      <c r="C3849">
        <f>SUMPRODUCT(Calc!$K$3:$K$22*(Calc!$G$3:$G$22&lt;=A3849))</f>
        <v/>
      </c>
      <c r="D3849">
        <f>SUMPRODUCT(Calc!$K$3:$K$22*(Calc!$G$3:$G$22&gt;A3849)*(Calc!$G$3:$G$22&lt;B3849))</f>
        <v/>
      </c>
      <c r="E3849">
        <f>SUMPRODUCT(Calc!$K$3:$K$22*(Calc!$G$3:$G$22&gt;=B3849))</f>
        <v/>
      </c>
      <c r="F3849">
        <f>AND(k_n&gt;=5,B3849&gt;A3849+1E-9,C3849&gt;=2,D3849&gt;=1,E3849&gt;=2)</f>
        <v/>
      </c>
      <c r="G3849">
        <f>SUMPRODUCT(Calc!$K$3:$K$22*(Calc!$G$3:$G$22&gt;A3849)*(Calc!$G$3:$G$22-A3849))</f>
        <v/>
      </c>
      <c r="H3849">
        <f>SUMPRODUCT(Calc!$K$3:$K$22*(Calc!$G$3:$G$22&gt;B3849)*(Calc!$G$3:$G$22-B3849))</f>
        <v/>
      </c>
      <c r="I3849">
        <f>SUMPRODUCT(Calc!$K$3:$K$22*(Calc!$G$3:$G$22&gt;A3849)*(Calc!$G$3:$G$22-A3849)^2)</f>
        <v/>
      </c>
      <c r="J3849">
        <f>SUMPRODUCT(Calc!$K$3:$K$22*(Calc!$G$3:$G$22&gt;B3849)*(Calc!$G$3:$G$22-B3849)^2)</f>
        <v/>
      </c>
      <c r="K3849">
        <f>SUMPRODUCT(Calc!$K$3:$K$22*(Calc!$G$3:$G$22&gt;A3849)*(Calc!$G$3:$G$22-A3849)*(Calc!$G$3:$G$22&gt;B3849)*(Calc!$G$3:$G$22-B3849))</f>
        <v/>
      </c>
      <c r="L3849">
        <f>SUMPRODUCT(Calc!$K$3:$K$22*(Calc!$G$3:$G$22&gt;A3849)*(Calc!$G$3:$G$22-A3849)*Calc!$G$3:$G$22)</f>
        <v/>
      </c>
      <c r="M3849">
        <f>SUMPRODUCT(Calc!$K$3:$K$22*(Calc!$G$3:$G$22&gt;B3849)*(Calc!$G$3:$G$22-B3849)*Calc!$G$3:$G$22)</f>
        <v/>
      </c>
      <c r="N3849">
        <f>SUMPRODUCT(Calc!$K$3:$K$22*(Calc!$G$3:$G$22&gt;A3849)*(Calc!$G$3:$G$22-A3849)*Calc!$I$3:$I$22)</f>
        <v/>
      </c>
      <c r="O3849">
        <f>SUMPRODUCT(Calc!$K$3:$K$22*(Calc!$G$3:$G$22&gt;B3849)*(Calc!$G$3:$G$22-B3849)*Calc!$I$3:$I$22)</f>
        <v/>
      </c>
      <c r="P3849">
        <f>I3849-G3849^2/k_n</f>
        <v/>
      </c>
      <c r="Q3849">
        <f>J3849-H3849^2/k_n</f>
        <v/>
      </c>
      <c r="R3849">
        <f>K3849-G3849*H3849/k_n</f>
        <v/>
      </c>
      <c r="S3849">
        <f>L3849-LTP3!$D$3*G3849/k_n</f>
        <v/>
      </c>
      <c r="T3849">
        <f>M3849-LTP3!$D$3*H3849/k_n</f>
        <v/>
      </c>
      <c r="U3849">
        <f>N3849-G3849*LTP3!$D$4/k_n</f>
        <v/>
      </c>
      <c r="V3849">
        <f>O3849-H3849*LTP3!$D$4/k_n</f>
        <v/>
      </c>
      <c r="W3849">
        <f>((LTP3!$D$5)*((P3849)*(Q3849)-(R3849)*(R3849))-(S3849)*((S3849)*(Q3849)-(R3849)*(T3849))+(T3849)*((S3849)*(R3849)-(P3849)*(T3849)))</f>
        <v/>
      </c>
      <c r="X3849">
        <f>IF(ABS(W3849)&gt;1E-12,((LTP3!$D$6)*((P3849)*(Q3849)-(R3849)*(R3849))-(S3849)*((U3849)*(Q3849)-(R3849)*(V3849))+(T3849)*((U3849)*(R3849)-(P3849)*(V3849)))/W3849,0)</f>
        <v/>
      </c>
      <c r="Y3849">
        <f>IF(ABS(W3849)&gt;1E-12,((LTP3!$D$5)*((U3849)*(Q3849)-(R3849)*(V3849))-(LTP3!$D$6)*((S3849)*(Q3849)-(R3849)*(T3849))+(T3849)*((S3849)*(V3849)-(U3849)*(T3849)))/W3849,0)</f>
        <v/>
      </c>
      <c r="Z3849">
        <f>IF(ABS(W3849)&gt;1E-12,((LTP3!$D$5)*((P3849)*(V3849)-(U3849)*(R3849))-(S3849)*((S3849)*(V3849)-(U3849)*(T3849))+(LTP3!$D$6)*((S3849)*(R3849)-(P3849)*(T3849)))/W3849,0)</f>
        <v/>
      </c>
      <c r="AA3849">
        <f>LTP3!$D$7-X3849*LTP3!$D$6-Y3849*U3849-Z3849*V3849</f>
        <v/>
      </c>
      <c r="AB3849">
        <f>IF(AND(F3849,ABS(W3849)&gt;1E-12,Y3849&gt;0,Z3849&gt;0),AA3849,1E+300)</f>
        <v/>
      </c>
    </row>
    <row r="3850">
      <c r="A3850">
        <f>$I$3-$B$5+$B$5*5/10</f>
        <v/>
      </c>
      <c r="B3850">
        <f>$J$3-$B$5+$B$5*9/10</f>
        <v/>
      </c>
      <c r="C3850">
        <f>SUMPRODUCT(Calc!$K$3:$K$22*(Calc!$G$3:$G$22&lt;=A3850))</f>
        <v/>
      </c>
      <c r="D3850">
        <f>SUMPRODUCT(Calc!$K$3:$K$22*(Calc!$G$3:$G$22&gt;A3850)*(Calc!$G$3:$G$22&lt;B3850))</f>
        <v/>
      </c>
      <c r="E3850">
        <f>SUMPRODUCT(Calc!$K$3:$K$22*(Calc!$G$3:$G$22&gt;=B3850))</f>
        <v/>
      </c>
      <c r="F3850">
        <f>AND(k_n&gt;=5,B3850&gt;A3850+1E-9,C3850&gt;=2,D3850&gt;=1,E3850&gt;=2)</f>
        <v/>
      </c>
      <c r="G3850">
        <f>SUMPRODUCT(Calc!$K$3:$K$22*(Calc!$G$3:$G$22&gt;A3850)*(Calc!$G$3:$G$22-A3850))</f>
        <v/>
      </c>
      <c r="H3850">
        <f>SUMPRODUCT(Calc!$K$3:$K$22*(Calc!$G$3:$G$22&gt;B3850)*(Calc!$G$3:$G$22-B3850))</f>
        <v/>
      </c>
      <c r="I3850">
        <f>SUMPRODUCT(Calc!$K$3:$K$22*(Calc!$G$3:$G$22&gt;A3850)*(Calc!$G$3:$G$22-A3850)^2)</f>
        <v/>
      </c>
      <c r="J3850">
        <f>SUMPRODUCT(Calc!$K$3:$K$22*(Calc!$G$3:$G$22&gt;B3850)*(Calc!$G$3:$G$22-B3850)^2)</f>
        <v/>
      </c>
      <c r="K3850">
        <f>SUMPRODUCT(Calc!$K$3:$K$22*(Calc!$G$3:$G$22&gt;A3850)*(Calc!$G$3:$G$22-A3850)*(Calc!$G$3:$G$22&gt;B3850)*(Calc!$G$3:$G$22-B3850))</f>
        <v/>
      </c>
      <c r="L3850">
        <f>SUMPRODUCT(Calc!$K$3:$K$22*(Calc!$G$3:$G$22&gt;A3850)*(Calc!$G$3:$G$22-A3850)*Calc!$G$3:$G$22)</f>
        <v/>
      </c>
      <c r="M3850">
        <f>SUMPRODUCT(Calc!$K$3:$K$22*(Calc!$G$3:$G$22&gt;B3850)*(Calc!$G$3:$G$22-B3850)*Calc!$G$3:$G$22)</f>
        <v/>
      </c>
      <c r="N3850">
        <f>SUMPRODUCT(Calc!$K$3:$K$22*(Calc!$G$3:$G$22&gt;A3850)*(Calc!$G$3:$G$22-A3850)*Calc!$I$3:$I$22)</f>
        <v/>
      </c>
      <c r="O3850">
        <f>SUMPRODUCT(Calc!$K$3:$K$22*(Calc!$G$3:$G$22&gt;B3850)*(Calc!$G$3:$G$22-B3850)*Calc!$I$3:$I$22)</f>
        <v/>
      </c>
      <c r="P3850">
        <f>I3850-G3850^2/k_n</f>
        <v/>
      </c>
      <c r="Q3850">
        <f>J3850-H3850^2/k_n</f>
        <v/>
      </c>
      <c r="R3850">
        <f>K3850-G3850*H3850/k_n</f>
        <v/>
      </c>
      <c r="S3850">
        <f>L3850-LTP3!$D$3*G3850/k_n</f>
        <v/>
      </c>
      <c r="T3850">
        <f>M3850-LTP3!$D$3*H3850/k_n</f>
        <v/>
      </c>
      <c r="U3850">
        <f>N3850-G3850*LTP3!$D$4/k_n</f>
        <v/>
      </c>
      <c r="V3850">
        <f>O3850-H3850*LTP3!$D$4/k_n</f>
        <v/>
      </c>
      <c r="W3850">
        <f>((LTP3!$D$5)*((P3850)*(Q3850)-(R3850)*(R3850))-(S3850)*((S3850)*(Q3850)-(R3850)*(T3850))+(T3850)*((S3850)*(R3850)-(P3850)*(T3850)))</f>
        <v/>
      </c>
      <c r="X3850">
        <f>IF(ABS(W3850)&gt;1E-12,((LTP3!$D$6)*((P3850)*(Q3850)-(R3850)*(R3850))-(S3850)*((U3850)*(Q3850)-(R3850)*(V3850))+(T3850)*((U3850)*(R3850)-(P3850)*(V3850)))/W3850,0)</f>
        <v/>
      </c>
      <c r="Y3850">
        <f>IF(ABS(W3850)&gt;1E-12,((LTP3!$D$5)*((U3850)*(Q3850)-(R3850)*(V3850))-(LTP3!$D$6)*((S3850)*(Q3850)-(R3850)*(T3850))+(T3850)*((S3850)*(V3850)-(U3850)*(T3850)))/W3850,0)</f>
        <v/>
      </c>
      <c r="Z3850">
        <f>IF(ABS(W3850)&gt;1E-12,((LTP3!$D$5)*((P3850)*(V3850)-(U3850)*(R3850))-(S3850)*((S3850)*(V3850)-(U3850)*(T3850))+(LTP3!$D$6)*((S3850)*(R3850)-(P3850)*(T3850)))/W3850,0)</f>
        <v/>
      </c>
      <c r="AA3850">
        <f>LTP3!$D$7-X3850*LTP3!$D$6-Y3850*U3850-Z3850*V3850</f>
        <v/>
      </c>
      <c r="AB3850">
        <f>IF(AND(F3850,ABS(W3850)&gt;1E-12,Y3850&gt;0,Z3850&gt;0),AA3850,1E+300)</f>
        <v/>
      </c>
    </row>
    <row r="3851">
      <c r="A3851">
        <f>$I$3-$B$5+$B$5*5/10</f>
        <v/>
      </c>
      <c r="B3851">
        <f>$J$3-$B$5+$B$5*10/10</f>
        <v/>
      </c>
      <c r="C3851">
        <f>SUMPRODUCT(Calc!$K$3:$K$22*(Calc!$G$3:$G$22&lt;=A3851))</f>
        <v/>
      </c>
      <c r="D3851">
        <f>SUMPRODUCT(Calc!$K$3:$K$22*(Calc!$G$3:$G$22&gt;A3851)*(Calc!$G$3:$G$22&lt;B3851))</f>
        <v/>
      </c>
      <c r="E3851">
        <f>SUMPRODUCT(Calc!$K$3:$K$22*(Calc!$G$3:$G$22&gt;=B3851))</f>
        <v/>
      </c>
      <c r="F3851">
        <f>AND(k_n&gt;=5,B3851&gt;A3851+1E-9,C3851&gt;=2,D3851&gt;=1,E3851&gt;=2)</f>
        <v/>
      </c>
      <c r="G3851">
        <f>SUMPRODUCT(Calc!$K$3:$K$22*(Calc!$G$3:$G$22&gt;A3851)*(Calc!$G$3:$G$22-A3851))</f>
        <v/>
      </c>
      <c r="H3851">
        <f>SUMPRODUCT(Calc!$K$3:$K$22*(Calc!$G$3:$G$22&gt;B3851)*(Calc!$G$3:$G$22-B3851))</f>
        <v/>
      </c>
      <c r="I3851">
        <f>SUMPRODUCT(Calc!$K$3:$K$22*(Calc!$G$3:$G$22&gt;A3851)*(Calc!$G$3:$G$22-A3851)^2)</f>
        <v/>
      </c>
      <c r="J3851">
        <f>SUMPRODUCT(Calc!$K$3:$K$22*(Calc!$G$3:$G$22&gt;B3851)*(Calc!$G$3:$G$22-B3851)^2)</f>
        <v/>
      </c>
      <c r="K3851">
        <f>SUMPRODUCT(Calc!$K$3:$K$22*(Calc!$G$3:$G$22&gt;A3851)*(Calc!$G$3:$G$22-A3851)*(Calc!$G$3:$G$22&gt;B3851)*(Calc!$G$3:$G$22-B3851))</f>
        <v/>
      </c>
      <c r="L3851">
        <f>SUMPRODUCT(Calc!$K$3:$K$22*(Calc!$G$3:$G$22&gt;A3851)*(Calc!$G$3:$G$22-A3851)*Calc!$G$3:$G$22)</f>
        <v/>
      </c>
      <c r="M3851">
        <f>SUMPRODUCT(Calc!$K$3:$K$22*(Calc!$G$3:$G$22&gt;B3851)*(Calc!$G$3:$G$22-B3851)*Calc!$G$3:$G$22)</f>
        <v/>
      </c>
      <c r="N3851">
        <f>SUMPRODUCT(Calc!$K$3:$K$22*(Calc!$G$3:$G$22&gt;A3851)*(Calc!$G$3:$G$22-A3851)*Calc!$I$3:$I$22)</f>
        <v/>
      </c>
      <c r="O3851">
        <f>SUMPRODUCT(Calc!$K$3:$K$22*(Calc!$G$3:$G$22&gt;B3851)*(Calc!$G$3:$G$22-B3851)*Calc!$I$3:$I$22)</f>
        <v/>
      </c>
      <c r="P3851">
        <f>I3851-G3851^2/k_n</f>
        <v/>
      </c>
      <c r="Q3851">
        <f>J3851-H3851^2/k_n</f>
        <v/>
      </c>
      <c r="R3851">
        <f>K3851-G3851*H3851/k_n</f>
        <v/>
      </c>
      <c r="S3851">
        <f>L3851-LTP3!$D$3*G3851/k_n</f>
        <v/>
      </c>
      <c r="T3851">
        <f>M3851-LTP3!$D$3*H3851/k_n</f>
        <v/>
      </c>
      <c r="U3851">
        <f>N3851-G3851*LTP3!$D$4/k_n</f>
        <v/>
      </c>
      <c r="V3851">
        <f>O3851-H3851*LTP3!$D$4/k_n</f>
        <v/>
      </c>
      <c r="W3851">
        <f>((LTP3!$D$5)*((P3851)*(Q3851)-(R3851)*(R3851))-(S3851)*((S3851)*(Q3851)-(R3851)*(T3851))+(T3851)*((S3851)*(R3851)-(P3851)*(T3851)))</f>
        <v/>
      </c>
      <c r="X3851">
        <f>IF(ABS(W3851)&gt;1E-12,((LTP3!$D$6)*((P3851)*(Q3851)-(R3851)*(R3851))-(S3851)*((U3851)*(Q3851)-(R3851)*(V3851))+(T3851)*((U3851)*(R3851)-(P3851)*(V3851)))/W3851,0)</f>
        <v/>
      </c>
      <c r="Y3851">
        <f>IF(ABS(W3851)&gt;1E-12,((LTP3!$D$5)*((U3851)*(Q3851)-(R3851)*(V3851))-(LTP3!$D$6)*((S3851)*(Q3851)-(R3851)*(T3851))+(T3851)*((S3851)*(V3851)-(U3851)*(T3851)))/W3851,0)</f>
        <v/>
      </c>
      <c r="Z3851">
        <f>IF(ABS(W3851)&gt;1E-12,((LTP3!$D$5)*((P3851)*(V3851)-(U3851)*(R3851))-(S3851)*((S3851)*(V3851)-(U3851)*(T3851))+(LTP3!$D$6)*((S3851)*(R3851)-(P3851)*(T3851)))/W3851,0)</f>
        <v/>
      </c>
      <c r="AA3851">
        <f>LTP3!$D$7-X3851*LTP3!$D$6-Y3851*U3851-Z3851*V3851</f>
        <v/>
      </c>
      <c r="AB3851">
        <f>IF(AND(F3851,ABS(W3851)&gt;1E-12,Y3851&gt;0,Z3851&gt;0),AA3851,1E+300)</f>
        <v/>
      </c>
    </row>
    <row r="3852">
      <c r="A3852">
        <f>$I$3-$B$5+$B$5*5/10</f>
        <v/>
      </c>
      <c r="B3852">
        <f>$J$3-$B$5+$B$5*11/10</f>
        <v/>
      </c>
      <c r="C3852">
        <f>SUMPRODUCT(Calc!$K$3:$K$22*(Calc!$G$3:$G$22&lt;=A3852))</f>
        <v/>
      </c>
      <c r="D3852">
        <f>SUMPRODUCT(Calc!$K$3:$K$22*(Calc!$G$3:$G$22&gt;A3852)*(Calc!$G$3:$G$22&lt;B3852))</f>
        <v/>
      </c>
      <c r="E3852">
        <f>SUMPRODUCT(Calc!$K$3:$K$22*(Calc!$G$3:$G$22&gt;=B3852))</f>
        <v/>
      </c>
      <c r="F3852">
        <f>AND(k_n&gt;=5,B3852&gt;A3852+1E-9,C3852&gt;=2,D3852&gt;=1,E3852&gt;=2)</f>
        <v/>
      </c>
      <c r="G3852">
        <f>SUMPRODUCT(Calc!$K$3:$K$22*(Calc!$G$3:$G$22&gt;A3852)*(Calc!$G$3:$G$22-A3852))</f>
        <v/>
      </c>
      <c r="H3852">
        <f>SUMPRODUCT(Calc!$K$3:$K$22*(Calc!$G$3:$G$22&gt;B3852)*(Calc!$G$3:$G$22-B3852))</f>
        <v/>
      </c>
      <c r="I3852">
        <f>SUMPRODUCT(Calc!$K$3:$K$22*(Calc!$G$3:$G$22&gt;A3852)*(Calc!$G$3:$G$22-A3852)^2)</f>
        <v/>
      </c>
      <c r="J3852">
        <f>SUMPRODUCT(Calc!$K$3:$K$22*(Calc!$G$3:$G$22&gt;B3852)*(Calc!$G$3:$G$22-B3852)^2)</f>
        <v/>
      </c>
      <c r="K3852">
        <f>SUMPRODUCT(Calc!$K$3:$K$22*(Calc!$G$3:$G$22&gt;A3852)*(Calc!$G$3:$G$22-A3852)*(Calc!$G$3:$G$22&gt;B3852)*(Calc!$G$3:$G$22-B3852))</f>
        <v/>
      </c>
      <c r="L3852">
        <f>SUMPRODUCT(Calc!$K$3:$K$22*(Calc!$G$3:$G$22&gt;A3852)*(Calc!$G$3:$G$22-A3852)*Calc!$G$3:$G$22)</f>
        <v/>
      </c>
      <c r="M3852">
        <f>SUMPRODUCT(Calc!$K$3:$K$22*(Calc!$G$3:$G$22&gt;B3852)*(Calc!$G$3:$G$22-B3852)*Calc!$G$3:$G$22)</f>
        <v/>
      </c>
      <c r="N3852">
        <f>SUMPRODUCT(Calc!$K$3:$K$22*(Calc!$G$3:$G$22&gt;A3852)*(Calc!$G$3:$G$22-A3852)*Calc!$I$3:$I$22)</f>
        <v/>
      </c>
      <c r="O3852">
        <f>SUMPRODUCT(Calc!$K$3:$K$22*(Calc!$G$3:$G$22&gt;B3852)*(Calc!$G$3:$G$22-B3852)*Calc!$I$3:$I$22)</f>
        <v/>
      </c>
      <c r="P3852">
        <f>I3852-G3852^2/k_n</f>
        <v/>
      </c>
      <c r="Q3852">
        <f>J3852-H3852^2/k_n</f>
        <v/>
      </c>
      <c r="R3852">
        <f>K3852-G3852*H3852/k_n</f>
        <v/>
      </c>
      <c r="S3852">
        <f>L3852-LTP3!$D$3*G3852/k_n</f>
        <v/>
      </c>
      <c r="T3852">
        <f>M3852-LTP3!$D$3*H3852/k_n</f>
        <v/>
      </c>
      <c r="U3852">
        <f>N3852-G3852*LTP3!$D$4/k_n</f>
        <v/>
      </c>
      <c r="V3852">
        <f>O3852-H3852*LTP3!$D$4/k_n</f>
        <v/>
      </c>
      <c r="W3852">
        <f>((LTP3!$D$5)*((P3852)*(Q3852)-(R3852)*(R3852))-(S3852)*((S3852)*(Q3852)-(R3852)*(T3852))+(T3852)*((S3852)*(R3852)-(P3852)*(T3852)))</f>
        <v/>
      </c>
      <c r="X3852">
        <f>IF(ABS(W3852)&gt;1E-12,((LTP3!$D$6)*((P3852)*(Q3852)-(R3852)*(R3852))-(S3852)*((U3852)*(Q3852)-(R3852)*(V3852))+(T3852)*((U3852)*(R3852)-(P3852)*(V3852)))/W3852,0)</f>
        <v/>
      </c>
      <c r="Y3852">
        <f>IF(ABS(W3852)&gt;1E-12,((LTP3!$D$5)*((U3852)*(Q3852)-(R3852)*(V3852))-(LTP3!$D$6)*((S3852)*(Q3852)-(R3852)*(T3852))+(T3852)*((S3852)*(V3852)-(U3852)*(T3852)))/W3852,0)</f>
        <v/>
      </c>
      <c r="Z3852">
        <f>IF(ABS(W3852)&gt;1E-12,((LTP3!$D$5)*((P3852)*(V3852)-(U3852)*(R3852))-(S3852)*((S3852)*(V3852)-(U3852)*(T3852))+(LTP3!$D$6)*((S3852)*(R3852)-(P3852)*(T3852)))/W3852,0)</f>
        <v/>
      </c>
      <c r="AA3852">
        <f>LTP3!$D$7-X3852*LTP3!$D$6-Y3852*U3852-Z3852*V3852</f>
        <v/>
      </c>
      <c r="AB3852">
        <f>IF(AND(F3852,ABS(W3852)&gt;1E-12,Y3852&gt;0,Z3852&gt;0),AA3852,1E+300)</f>
        <v/>
      </c>
    </row>
    <row r="3853">
      <c r="A3853">
        <f>$I$3-$B$5+$B$5*5/10</f>
        <v/>
      </c>
      <c r="B3853">
        <f>$J$3-$B$5+$B$5*12/10</f>
        <v/>
      </c>
      <c r="C3853">
        <f>SUMPRODUCT(Calc!$K$3:$K$22*(Calc!$G$3:$G$22&lt;=A3853))</f>
        <v/>
      </c>
      <c r="D3853">
        <f>SUMPRODUCT(Calc!$K$3:$K$22*(Calc!$G$3:$G$22&gt;A3853)*(Calc!$G$3:$G$22&lt;B3853))</f>
        <v/>
      </c>
      <c r="E3853">
        <f>SUMPRODUCT(Calc!$K$3:$K$22*(Calc!$G$3:$G$22&gt;=B3853))</f>
        <v/>
      </c>
      <c r="F3853">
        <f>AND(k_n&gt;=5,B3853&gt;A3853+1E-9,C3853&gt;=2,D3853&gt;=1,E3853&gt;=2)</f>
        <v/>
      </c>
      <c r="G3853">
        <f>SUMPRODUCT(Calc!$K$3:$K$22*(Calc!$G$3:$G$22&gt;A3853)*(Calc!$G$3:$G$22-A3853))</f>
        <v/>
      </c>
      <c r="H3853">
        <f>SUMPRODUCT(Calc!$K$3:$K$22*(Calc!$G$3:$G$22&gt;B3853)*(Calc!$G$3:$G$22-B3853))</f>
        <v/>
      </c>
      <c r="I3853">
        <f>SUMPRODUCT(Calc!$K$3:$K$22*(Calc!$G$3:$G$22&gt;A3853)*(Calc!$G$3:$G$22-A3853)^2)</f>
        <v/>
      </c>
      <c r="J3853">
        <f>SUMPRODUCT(Calc!$K$3:$K$22*(Calc!$G$3:$G$22&gt;B3853)*(Calc!$G$3:$G$22-B3853)^2)</f>
        <v/>
      </c>
      <c r="K3853">
        <f>SUMPRODUCT(Calc!$K$3:$K$22*(Calc!$G$3:$G$22&gt;A3853)*(Calc!$G$3:$G$22-A3853)*(Calc!$G$3:$G$22&gt;B3853)*(Calc!$G$3:$G$22-B3853))</f>
        <v/>
      </c>
      <c r="L3853">
        <f>SUMPRODUCT(Calc!$K$3:$K$22*(Calc!$G$3:$G$22&gt;A3853)*(Calc!$G$3:$G$22-A3853)*Calc!$G$3:$G$22)</f>
        <v/>
      </c>
      <c r="M3853">
        <f>SUMPRODUCT(Calc!$K$3:$K$22*(Calc!$G$3:$G$22&gt;B3853)*(Calc!$G$3:$G$22-B3853)*Calc!$G$3:$G$22)</f>
        <v/>
      </c>
      <c r="N3853">
        <f>SUMPRODUCT(Calc!$K$3:$K$22*(Calc!$G$3:$G$22&gt;A3853)*(Calc!$G$3:$G$22-A3853)*Calc!$I$3:$I$22)</f>
        <v/>
      </c>
      <c r="O3853">
        <f>SUMPRODUCT(Calc!$K$3:$K$22*(Calc!$G$3:$G$22&gt;B3853)*(Calc!$G$3:$G$22-B3853)*Calc!$I$3:$I$22)</f>
        <v/>
      </c>
      <c r="P3853">
        <f>I3853-G3853^2/k_n</f>
        <v/>
      </c>
      <c r="Q3853">
        <f>J3853-H3853^2/k_n</f>
        <v/>
      </c>
      <c r="R3853">
        <f>K3853-G3853*H3853/k_n</f>
        <v/>
      </c>
      <c r="S3853">
        <f>L3853-LTP3!$D$3*G3853/k_n</f>
        <v/>
      </c>
      <c r="T3853">
        <f>M3853-LTP3!$D$3*H3853/k_n</f>
        <v/>
      </c>
      <c r="U3853">
        <f>N3853-G3853*LTP3!$D$4/k_n</f>
        <v/>
      </c>
      <c r="V3853">
        <f>O3853-H3853*LTP3!$D$4/k_n</f>
        <v/>
      </c>
      <c r="W3853">
        <f>((LTP3!$D$5)*((P3853)*(Q3853)-(R3853)*(R3853))-(S3853)*((S3853)*(Q3853)-(R3853)*(T3853))+(T3853)*((S3853)*(R3853)-(P3853)*(T3853)))</f>
        <v/>
      </c>
      <c r="X3853">
        <f>IF(ABS(W3853)&gt;1E-12,((LTP3!$D$6)*((P3853)*(Q3853)-(R3853)*(R3853))-(S3853)*((U3853)*(Q3853)-(R3853)*(V3853))+(T3853)*((U3853)*(R3853)-(P3853)*(V3853)))/W3853,0)</f>
        <v/>
      </c>
      <c r="Y3853">
        <f>IF(ABS(W3853)&gt;1E-12,((LTP3!$D$5)*((U3853)*(Q3853)-(R3853)*(V3853))-(LTP3!$D$6)*((S3853)*(Q3853)-(R3853)*(T3853))+(T3853)*((S3853)*(V3853)-(U3853)*(T3853)))/W3853,0)</f>
        <v/>
      </c>
      <c r="Z3853">
        <f>IF(ABS(W3853)&gt;1E-12,((LTP3!$D$5)*((P3853)*(V3853)-(U3853)*(R3853))-(S3853)*((S3853)*(V3853)-(U3853)*(T3853))+(LTP3!$D$6)*((S3853)*(R3853)-(P3853)*(T3853)))/W3853,0)</f>
        <v/>
      </c>
      <c r="AA3853">
        <f>LTP3!$D$7-X3853*LTP3!$D$6-Y3853*U3853-Z3853*V3853</f>
        <v/>
      </c>
      <c r="AB3853">
        <f>IF(AND(F3853,ABS(W3853)&gt;1E-12,Y3853&gt;0,Z3853&gt;0),AA3853,1E+300)</f>
        <v/>
      </c>
    </row>
    <row r="3854">
      <c r="A3854">
        <f>$I$3-$B$5+$B$5*5/10</f>
        <v/>
      </c>
      <c r="B3854">
        <f>$J$3-$B$5+$B$5*13/10</f>
        <v/>
      </c>
      <c r="C3854">
        <f>SUMPRODUCT(Calc!$K$3:$K$22*(Calc!$G$3:$G$22&lt;=A3854))</f>
        <v/>
      </c>
      <c r="D3854">
        <f>SUMPRODUCT(Calc!$K$3:$K$22*(Calc!$G$3:$G$22&gt;A3854)*(Calc!$G$3:$G$22&lt;B3854))</f>
        <v/>
      </c>
      <c r="E3854">
        <f>SUMPRODUCT(Calc!$K$3:$K$22*(Calc!$G$3:$G$22&gt;=B3854))</f>
        <v/>
      </c>
      <c r="F3854">
        <f>AND(k_n&gt;=5,B3854&gt;A3854+1E-9,C3854&gt;=2,D3854&gt;=1,E3854&gt;=2)</f>
        <v/>
      </c>
      <c r="G3854">
        <f>SUMPRODUCT(Calc!$K$3:$K$22*(Calc!$G$3:$G$22&gt;A3854)*(Calc!$G$3:$G$22-A3854))</f>
        <v/>
      </c>
      <c r="H3854">
        <f>SUMPRODUCT(Calc!$K$3:$K$22*(Calc!$G$3:$G$22&gt;B3854)*(Calc!$G$3:$G$22-B3854))</f>
        <v/>
      </c>
      <c r="I3854">
        <f>SUMPRODUCT(Calc!$K$3:$K$22*(Calc!$G$3:$G$22&gt;A3854)*(Calc!$G$3:$G$22-A3854)^2)</f>
        <v/>
      </c>
      <c r="J3854">
        <f>SUMPRODUCT(Calc!$K$3:$K$22*(Calc!$G$3:$G$22&gt;B3854)*(Calc!$G$3:$G$22-B3854)^2)</f>
        <v/>
      </c>
      <c r="K3854">
        <f>SUMPRODUCT(Calc!$K$3:$K$22*(Calc!$G$3:$G$22&gt;A3854)*(Calc!$G$3:$G$22-A3854)*(Calc!$G$3:$G$22&gt;B3854)*(Calc!$G$3:$G$22-B3854))</f>
        <v/>
      </c>
      <c r="L3854">
        <f>SUMPRODUCT(Calc!$K$3:$K$22*(Calc!$G$3:$G$22&gt;A3854)*(Calc!$G$3:$G$22-A3854)*Calc!$G$3:$G$22)</f>
        <v/>
      </c>
      <c r="M3854">
        <f>SUMPRODUCT(Calc!$K$3:$K$22*(Calc!$G$3:$G$22&gt;B3854)*(Calc!$G$3:$G$22-B3854)*Calc!$G$3:$G$22)</f>
        <v/>
      </c>
      <c r="N3854">
        <f>SUMPRODUCT(Calc!$K$3:$K$22*(Calc!$G$3:$G$22&gt;A3854)*(Calc!$G$3:$G$22-A3854)*Calc!$I$3:$I$22)</f>
        <v/>
      </c>
      <c r="O3854">
        <f>SUMPRODUCT(Calc!$K$3:$K$22*(Calc!$G$3:$G$22&gt;B3854)*(Calc!$G$3:$G$22-B3854)*Calc!$I$3:$I$22)</f>
        <v/>
      </c>
      <c r="P3854">
        <f>I3854-G3854^2/k_n</f>
        <v/>
      </c>
      <c r="Q3854">
        <f>J3854-H3854^2/k_n</f>
        <v/>
      </c>
      <c r="R3854">
        <f>K3854-G3854*H3854/k_n</f>
        <v/>
      </c>
      <c r="S3854">
        <f>L3854-LTP3!$D$3*G3854/k_n</f>
        <v/>
      </c>
      <c r="T3854">
        <f>M3854-LTP3!$D$3*H3854/k_n</f>
        <v/>
      </c>
      <c r="U3854">
        <f>N3854-G3854*LTP3!$D$4/k_n</f>
        <v/>
      </c>
      <c r="V3854">
        <f>O3854-H3854*LTP3!$D$4/k_n</f>
        <v/>
      </c>
      <c r="W3854">
        <f>((LTP3!$D$5)*((P3854)*(Q3854)-(R3854)*(R3854))-(S3854)*((S3854)*(Q3854)-(R3854)*(T3854))+(T3854)*((S3854)*(R3854)-(P3854)*(T3854)))</f>
        <v/>
      </c>
      <c r="X3854">
        <f>IF(ABS(W3854)&gt;1E-12,((LTP3!$D$6)*((P3854)*(Q3854)-(R3854)*(R3854))-(S3854)*((U3854)*(Q3854)-(R3854)*(V3854))+(T3854)*((U3854)*(R3854)-(P3854)*(V3854)))/W3854,0)</f>
        <v/>
      </c>
      <c r="Y3854">
        <f>IF(ABS(W3854)&gt;1E-12,((LTP3!$D$5)*((U3854)*(Q3854)-(R3854)*(V3854))-(LTP3!$D$6)*((S3854)*(Q3854)-(R3854)*(T3854))+(T3854)*((S3854)*(V3854)-(U3854)*(T3854)))/W3854,0)</f>
        <v/>
      </c>
      <c r="Z3854">
        <f>IF(ABS(W3854)&gt;1E-12,((LTP3!$D$5)*((P3854)*(V3854)-(U3854)*(R3854))-(S3854)*((S3854)*(V3854)-(U3854)*(T3854))+(LTP3!$D$6)*((S3854)*(R3854)-(P3854)*(T3854)))/W3854,0)</f>
        <v/>
      </c>
      <c r="AA3854">
        <f>LTP3!$D$7-X3854*LTP3!$D$6-Y3854*U3854-Z3854*V3854</f>
        <v/>
      </c>
      <c r="AB3854">
        <f>IF(AND(F3854,ABS(W3854)&gt;1E-12,Y3854&gt;0,Z3854&gt;0),AA3854,1E+300)</f>
        <v/>
      </c>
    </row>
    <row r="3855">
      <c r="A3855">
        <f>$I$3-$B$5+$B$5*5/10</f>
        <v/>
      </c>
      <c r="B3855">
        <f>$J$3-$B$5+$B$5*14/10</f>
        <v/>
      </c>
      <c r="C3855">
        <f>SUMPRODUCT(Calc!$K$3:$K$22*(Calc!$G$3:$G$22&lt;=A3855))</f>
        <v/>
      </c>
      <c r="D3855">
        <f>SUMPRODUCT(Calc!$K$3:$K$22*(Calc!$G$3:$G$22&gt;A3855)*(Calc!$G$3:$G$22&lt;B3855))</f>
        <v/>
      </c>
      <c r="E3855">
        <f>SUMPRODUCT(Calc!$K$3:$K$22*(Calc!$G$3:$G$22&gt;=B3855))</f>
        <v/>
      </c>
      <c r="F3855">
        <f>AND(k_n&gt;=5,B3855&gt;A3855+1E-9,C3855&gt;=2,D3855&gt;=1,E3855&gt;=2)</f>
        <v/>
      </c>
      <c r="G3855">
        <f>SUMPRODUCT(Calc!$K$3:$K$22*(Calc!$G$3:$G$22&gt;A3855)*(Calc!$G$3:$G$22-A3855))</f>
        <v/>
      </c>
      <c r="H3855">
        <f>SUMPRODUCT(Calc!$K$3:$K$22*(Calc!$G$3:$G$22&gt;B3855)*(Calc!$G$3:$G$22-B3855))</f>
        <v/>
      </c>
      <c r="I3855">
        <f>SUMPRODUCT(Calc!$K$3:$K$22*(Calc!$G$3:$G$22&gt;A3855)*(Calc!$G$3:$G$22-A3855)^2)</f>
        <v/>
      </c>
      <c r="J3855">
        <f>SUMPRODUCT(Calc!$K$3:$K$22*(Calc!$G$3:$G$22&gt;B3855)*(Calc!$G$3:$G$22-B3855)^2)</f>
        <v/>
      </c>
      <c r="K3855">
        <f>SUMPRODUCT(Calc!$K$3:$K$22*(Calc!$G$3:$G$22&gt;A3855)*(Calc!$G$3:$G$22-A3855)*(Calc!$G$3:$G$22&gt;B3855)*(Calc!$G$3:$G$22-B3855))</f>
        <v/>
      </c>
      <c r="L3855">
        <f>SUMPRODUCT(Calc!$K$3:$K$22*(Calc!$G$3:$G$22&gt;A3855)*(Calc!$G$3:$G$22-A3855)*Calc!$G$3:$G$22)</f>
        <v/>
      </c>
      <c r="M3855">
        <f>SUMPRODUCT(Calc!$K$3:$K$22*(Calc!$G$3:$G$22&gt;B3855)*(Calc!$G$3:$G$22-B3855)*Calc!$G$3:$G$22)</f>
        <v/>
      </c>
      <c r="N3855">
        <f>SUMPRODUCT(Calc!$K$3:$K$22*(Calc!$G$3:$G$22&gt;A3855)*(Calc!$G$3:$G$22-A3855)*Calc!$I$3:$I$22)</f>
        <v/>
      </c>
      <c r="O3855">
        <f>SUMPRODUCT(Calc!$K$3:$K$22*(Calc!$G$3:$G$22&gt;B3855)*(Calc!$G$3:$G$22-B3855)*Calc!$I$3:$I$22)</f>
        <v/>
      </c>
      <c r="P3855">
        <f>I3855-G3855^2/k_n</f>
        <v/>
      </c>
      <c r="Q3855">
        <f>J3855-H3855^2/k_n</f>
        <v/>
      </c>
      <c r="R3855">
        <f>K3855-G3855*H3855/k_n</f>
        <v/>
      </c>
      <c r="S3855">
        <f>L3855-LTP3!$D$3*G3855/k_n</f>
        <v/>
      </c>
      <c r="T3855">
        <f>M3855-LTP3!$D$3*H3855/k_n</f>
        <v/>
      </c>
      <c r="U3855">
        <f>N3855-G3855*LTP3!$D$4/k_n</f>
        <v/>
      </c>
      <c r="V3855">
        <f>O3855-H3855*LTP3!$D$4/k_n</f>
        <v/>
      </c>
      <c r="W3855">
        <f>((LTP3!$D$5)*((P3855)*(Q3855)-(R3855)*(R3855))-(S3855)*((S3855)*(Q3855)-(R3855)*(T3855))+(T3855)*((S3855)*(R3855)-(P3855)*(T3855)))</f>
        <v/>
      </c>
      <c r="X3855">
        <f>IF(ABS(W3855)&gt;1E-12,((LTP3!$D$6)*((P3855)*(Q3855)-(R3855)*(R3855))-(S3855)*((U3855)*(Q3855)-(R3855)*(V3855))+(T3855)*((U3855)*(R3855)-(P3855)*(V3855)))/W3855,0)</f>
        <v/>
      </c>
      <c r="Y3855">
        <f>IF(ABS(W3855)&gt;1E-12,((LTP3!$D$5)*((U3855)*(Q3855)-(R3855)*(V3855))-(LTP3!$D$6)*((S3855)*(Q3855)-(R3855)*(T3855))+(T3855)*((S3855)*(V3855)-(U3855)*(T3855)))/W3855,0)</f>
        <v/>
      </c>
      <c r="Z3855">
        <f>IF(ABS(W3855)&gt;1E-12,((LTP3!$D$5)*((P3855)*(V3855)-(U3855)*(R3855))-(S3855)*((S3855)*(V3855)-(U3855)*(T3855))+(LTP3!$D$6)*((S3855)*(R3855)-(P3855)*(T3855)))/W3855,0)</f>
        <v/>
      </c>
      <c r="AA3855">
        <f>LTP3!$D$7-X3855*LTP3!$D$6-Y3855*U3855-Z3855*V3855</f>
        <v/>
      </c>
      <c r="AB3855">
        <f>IF(AND(F3855,ABS(W3855)&gt;1E-12,Y3855&gt;0,Z3855&gt;0),AA3855,1E+300)</f>
        <v/>
      </c>
    </row>
    <row r="3856">
      <c r="A3856">
        <f>$I$3-$B$5+$B$5*5/10</f>
        <v/>
      </c>
      <c r="B3856">
        <f>$J$3-$B$5+$B$5*15/10</f>
        <v/>
      </c>
      <c r="C3856">
        <f>SUMPRODUCT(Calc!$K$3:$K$22*(Calc!$G$3:$G$22&lt;=A3856))</f>
        <v/>
      </c>
      <c r="D3856">
        <f>SUMPRODUCT(Calc!$K$3:$K$22*(Calc!$G$3:$G$22&gt;A3856)*(Calc!$G$3:$G$22&lt;B3856))</f>
        <v/>
      </c>
      <c r="E3856">
        <f>SUMPRODUCT(Calc!$K$3:$K$22*(Calc!$G$3:$G$22&gt;=B3856))</f>
        <v/>
      </c>
      <c r="F3856">
        <f>AND(k_n&gt;=5,B3856&gt;A3856+1E-9,C3856&gt;=2,D3856&gt;=1,E3856&gt;=2)</f>
        <v/>
      </c>
      <c r="G3856">
        <f>SUMPRODUCT(Calc!$K$3:$K$22*(Calc!$G$3:$G$22&gt;A3856)*(Calc!$G$3:$G$22-A3856))</f>
        <v/>
      </c>
      <c r="H3856">
        <f>SUMPRODUCT(Calc!$K$3:$K$22*(Calc!$G$3:$G$22&gt;B3856)*(Calc!$G$3:$G$22-B3856))</f>
        <v/>
      </c>
      <c r="I3856">
        <f>SUMPRODUCT(Calc!$K$3:$K$22*(Calc!$G$3:$G$22&gt;A3856)*(Calc!$G$3:$G$22-A3856)^2)</f>
        <v/>
      </c>
      <c r="J3856">
        <f>SUMPRODUCT(Calc!$K$3:$K$22*(Calc!$G$3:$G$22&gt;B3856)*(Calc!$G$3:$G$22-B3856)^2)</f>
        <v/>
      </c>
      <c r="K3856">
        <f>SUMPRODUCT(Calc!$K$3:$K$22*(Calc!$G$3:$G$22&gt;A3856)*(Calc!$G$3:$G$22-A3856)*(Calc!$G$3:$G$22&gt;B3856)*(Calc!$G$3:$G$22-B3856))</f>
        <v/>
      </c>
      <c r="L3856">
        <f>SUMPRODUCT(Calc!$K$3:$K$22*(Calc!$G$3:$G$22&gt;A3856)*(Calc!$G$3:$G$22-A3856)*Calc!$G$3:$G$22)</f>
        <v/>
      </c>
      <c r="M3856">
        <f>SUMPRODUCT(Calc!$K$3:$K$22*(Calc!$G$3:$G$22&gt;B3856)*(Calc!$G$3:$G$22-B3856)*Calc!$G$3:$G$22)</f>
        <v/>
      </c>
      <c r="N3856">
        <f>SUMPRODUCT(Calc!$K$3:$K$22*(Calc!$G$3:$G$22&gt;A3856)*(Calc!$G$3:$G$22-A3856)*Calc!$I$3:$I$22)</f>
        <v/>
      </c>
      <c r="O3856">
        <f>SUMPRODUCT(Calc!$K$3:$K$22*(Calc!$G$3:$G$22&gt;B3856)*(Calc!$G$3:$G$22-B3856)*Calc!$I$3:$I$22)</f>
        <v/>
      </c>
      <c r="P3856">
        <f>I3856-G3856^2/k_n</f>
        <v/>
      </c>
      <c r="Q3856">
        <f>J3856-H3856^2/k_n</f>
        <v/>
      </c>
      <c r="R3856">
        <f>K3856-G3856*H3856/k_n</f>
        <v/>
      </c>
      <c r="S3856">
        <f>L3856-LTP3!$D$3*G3856/k_n</f>
        <v/>
      </c>
      <c r="T3856">
        <f>M3856-LTP3!$D$3*H3856/k_n</f>
        <v/>
      </c>
      <c r="U3856">
        <f>N3856-G3856*LTP3!$D$4/k_n</f>
        <v/>
      </c>
      <c r="V3856">
        <f>O3856-H3856*LTP3!$D$4/k_n</f>
        <v/>
      </c>
      <c r="W3856">
        <f>((LTP3!$D$5)*((P3856)*(Q3856)-(R3856)*(R3856))-(S3856)*((S3856)*(Q3856)-(R3856)*(T3856))+(T3856)*((S3856)*(R3856)-(P3856)*(T3856)))</f>
        <v/>
      </c>
      <c r="X3856">
        <f>IF(ABS(W3856)&gt;1E-12,((LTP3!$D$6)*((P3856)*(Q3856)-(R3856)*(R3856))-(S3856)*((U3856)*(Q3856)-(R3856)*(V3856))+(T3856)*((U3856)*(R3856)-(P3856)*(V3856)))/W3856,0)</f>
        <v/>
      </c>
      <c r="Y3856">
        <f>IF(ABS(W3856)&gt;1E-12,((LTP3!$D$5)*((U3856)*(Q3856)-(R3856)*(V3856))-(LTP3!$D$6)*((S3856)*(Q3856)-(R3856)*(T3856))+(T3856)*((S3856)*(V3856)-(U3856)*(T3856)))/W3856,0)</f>
        <v/>
      </c>
      <c r="Z3856">
        <f>IF(ABS(W3856)&gt;1E-12,((LTP3!$D$5)*((P3856)*(V3856)-(U3856)*(R3856))-(S3856)*((S3856)*(V3856)-(U3856)*(T3856))+(LTP3!$D$6)*((S3856)*(R3856)-(P3856)*(T3856)))/W3856,0)</f>
        <v/>
      </c>
      <c r="AA3856">
        <f>LTP3!$D$7-X3856*LTP3!$D$6-Y3856*U3856-Z3856*V3856</f>
        <v/>
      </c>
      <c r="AB3856">
        <f>IF(AND(F3856,ABS(W3856)&gt;1E-12,Y3856&gt;0,Z3856&gt;0),AA3856,1E+300)</f>
        <v/>
      </c>
    </row>
    <row r="3857">
      <c r="A3857">
        <f>$I$3-$B$5+$B$5*5/10</f>
        <v/>
      </c>
      <c r="B3857">
        <f>$J$3-$B$5+$B$5*16/10</f>
        <v/>
      </c>
      <c r="C3857">
        <f>SUMPRODUCT(Calc!$K$3:$K$22*(Calc!$G$3:$G$22&lt;=A3857))</f>
        <v/>
      </c>
      <c r="D3857">
        <f>SUMPRODUCT(Calc!$K$3:$K$22*(Calc!$G$3:$G$22&gt;A3857)*(Calc!$G$3:$G$22&lt;B3857))</f>
        <v/>
      </c>
      <c r="E3857">
        <f>SUMPRODUCT(Calc!$K$3:$K$22*(Calc!$G$3:$G$22&gt;=B3857))</f>
        <v/>
      </c>
      <c r="F3857">
        <f>AND(k_n&gt;=5,B3857&gt;A3857+1E-9,C3857&gt;=2,D3857&gt;=1,E3857&gt;=2)</f>
        <v/>
      </c>
      <c r="G3857">
        <f>SUMPRODUCT(Calc!$K$3:$K$22*(Calc!$G$3:$G$22&gt;A3857)*(Calc!$G$3:$G$22-A3857))</f>
        <v/>
      </c>
      <c r="H3857">
        <f>SUMPRODUCT(Calc!$K$3:$K$22*(Calc!$G$3:$G$22&gt;B3857)*(Calc!$G$3:$G$22-B3857))</f>
        <v/>
      </c>
      <c r="I3857">
        <f>SUMPRODUCT(Calc!$K$3:$K$22*(Calc!$G$3:$G$22&gt;A3857)*(Calc!$G$3:$G$22-A3857)^2)</f>
        <v/>
      </c>
      <c r="J3857">
        <f>SUMPRODUCT(Calc!$K$3:$K$22*(Calc!$G$3:$G$22&gt;B3857)*(Calc!$G$3:$G$22-B3857)^2)</f>
        <v/>
      </c>
      <c r="K3857">
        <f>SUMPRODUCT(Calc!$K$3:$K$22*(Calc!$G$3:$G$22&gt;A3857)*(Calc!$G$3:$G$22-A3857)*(Calc!$G$3:$G$22&gt;B3857)*(Calc!$G$3:$G$22-B3857))</f>
        <v/>
      </c>
      <c r="L3857">
        <f>SUMPRODUCT(Calc!$K$3:$K$22*(Calc!$G$3:$G$22&gt;A3857)*(Calc!$G$3:$G$22-A3857)*Calc!$G$3:$G$22)</f>
        <v/>
      </c>
      <c r="M3857">
        <f>SUMPRODUCT(Calc!$K$3:$K$22*(Calc!$G$3:$G$22&gt;B3857)*(Calc!$G$3:$G$22-B3857)*Calc!$G$3:$G$22)</f>
        <v/>
      </c>
      <c r="N3857">
        <f>SUMPRODUCT(Calc!$K$3:$K$22*(Calc!$G$3:$G$22&gt;A3857)*(Calc!$G$3:$G$22-A3857)*Calc!$I$3:$I$22)</f>
        <v/>
      </c>
      <c r="O3857">
        <f>SUMPRODUCT(Calc!$K$3:$K$22*(Calc!$G$3:$G$22&gt;B3857)*(Calc!$G$3:$G$22-B3857)*Calc!$I$3:$I$22)</f>
        <v/>
      </c>
      <c r="P3857">
        <f>I3857-G3857^2/k_n</f>
        <v/>
      </c>
      <c r="Q3857">
        <f>J3857-H3857^2/k_n</f>
        <v/>
      </c>
      <c r="R3857">
        <f>K3857-G3857*H3857/k_n</f>
        <v/>
      </c>
      <c r="S3857">
        <f>L3857-LTP3!$D$3*G3857/k_n</f>
        <v/>
      </c>
      <c r="T3857">
        <f>M3857-LTP3!$D$3*H3857/k_n</f>
        <v/>
      </c>
      <c r="U3857">
        <f>N3857-G3857*LTP3!$D$4/k_n</f>
        <v/>
      </c>
      <c r="V3857">
        <f>O3857-H3857*LTP3!$D$4/k_n</f>
        <v/>
      </c>
      <c r="W3857">
        <f>((LTP3!$D$5)*((P3857)*(Q3857)-(R3857)*(R3857))-(S3857)*((S3857)*(Q3857)-(R3857)*(T3857))+(T3857)*((S3857)*(R3857)-(P3857)*(T3857)))</f>
        <v/>
      </c>
      <c r="X3857">
        <f>IF(ABS(W3857)&gt;1E-12,((LTP3!$D$6)*((P3857)*(Q3857)-(R3857)*(R3857))-(S3857)*((U3857)*(Q3857)-(R3857)*(V3857))+(T3857)*((U3857)*(R3857)-(P3857)*(V3857)))/W3857,0)</f>
        <v/>
      </c>
      <c r="Y3857">
        <f>IF(ABS(W3857)&gt;1E-12,((LTP3!$D$5)*((U3857)*(Q3857)-(R3857)*(V3857))-(LTP3!$D$6)*((S3857)*(Q3857)-(R3857)*(T3857))+(T3857)*((S3857)*(V3857)-(U3857)*(T3857)))/W3857,0)</f>
        <v/>
      </c>
      <c r="Z3857">
        <f>IF(ABS(W3857)&gt;1E-12,((LTP3!$D$5)*((P3857)*(V3857)-(U3857)*(R3857))-(S3857)*((S3857)*(V3857)-(U3857)*(T3857))+(LTP3!$D$6)*((S3857)*(R3857)-(P3857)*(T3857)))/W3857,0)</f>
        <v/>
      </c>
      <c r="AA3857">
        <f>LTP3!$D$7-X3857*LTP3!$D$6-Y3857*U3857-Z3857*V3857</f>
        <v/>
      </c>
      <c r="AB3857">
        <f>IF(AND(F3857,ABS(W3857)&gt;1E-12,Y3857&gt;0,Z3857&gt;0),AA3857,1E+300)</f>
        <v/>
      </c>
    </row>
    <row r="3858">
      <c r="A3858">
        <f>$I$3-$B$5+$B$5*5/10</f>
        <v/>
      </c>
      <c r="B3858">
        <f>$J$3-$B$5+$B$5*17/10</f>
        <v/>
      </c>
      <c r="C3858">
        <f>SUMPRODUCT(Calc!$K$3:$K$22*(Calc!$G$3:$G$22&lt;=A3858))</f>
        <v/>
      </c>
      <c r="D3858">
        <f>SUMPRODUCT(Calc!$K$3:$K$22*(Calc!$G$3:$G$22&gt;A3858)*(Calc!$G$3:$G$22&lt;B3858))</f>
        <v/>
      </c>
      <c r="E3858">
        <f>SUMPRODUCT(Calc!$K$3:$K$22*(Calc!$G$3:$G$22&gt;=B3858))</f>
        <v/>
      </c>
      <c r="F3858">
        <f>AND(k_n&gt;=5,B3858&gt;A3858+1E-9,C3858&gt;=2,D3858&gt;=1,E3858&gt;=2)</f>
        <v/>
      </c>
      <c r="G3858">
        <f>SUMPRODUCT(Calc!$K$3:$K$22*(Calc!$G$3:$G$22&gt;A3858)*(Calc!$G$3:$G$22-A3858))</f>
        <v/>
      </c>
      <c r="H3858">
        <f>SUMPRODUCT(Calc!$K$3:$K$22*(Calc!$G$3:$G$22&gt;B3858)*(Calc!$G$3:$G$22-B3858))</f>
        <v/>
      </c>
      <c r="I3858">
        <f>SUMPRODUCT(Calc!$K$3:$K$22*(Calc!$G$3:$G$22&gt;A3858)*(Calc!$G$3:$G$22-A3858)^2)</f>
        <v/>
      </c>
      <c r="J3858">
        <f>SUMPRODUCT(Calc!$K$3:$K$22*(Calc!$G$3:$G$22&gt;B3858)*(Calc!$G$3:$G$22-B3858)^2)</f>
        <v/>
      </c>
      <c r="K3858">
        <f>SUMPRODUCT(Calc!$K$3:$K$22*(Calc!$G$3:$G$22&gt;A3858)*(Calc!$G$3:$G$22-A3858)*(Calc!$G$3:$G$22&gt;B3858)*(Calc!$G$3:$G$22-B3858))</f>
        <v/>
      </c>
      <c r="L3858">
        <f>SUMPRODUCT(Calc!$K$3:$K$22*(Calc!$G$3:$G$22&gt;A3858)*(Calc!$G$3:$G$22-A3858)*Calc!$G$3:$G$22)</f>
        <v/>
      </c>
      <c r="M3858">
        <f>SUMPRODUCT(Calc!$K$3:$K$22*(Calc!$G$3:$G$22&gt;B3858)*(Calc!$G$3:$G$22-B3858)*Calc!$G$3:$G$22)</f>
        <v/>
      </c>
      <c r="N3858">
        <f>SUMPRODUCT(Calc!$K$3:$K$22*(Calc!$G$3:$G$22&gt;A3858)*(Calc!$G$3:$G$22-A3858)*Calc!$I$3:$I$22)</f>
        <v/>
      </c>
      <c r="O3858">
        <f>SUMPRODUCT(Calc!$K$3:$K$22*(Calc!$G$3:$G$22&gt;B3858)*(Calc!$G$3:$G$22-B3858)*Calc!$I$3:$I$22)</f>
        <v/>
      </c>
      <c r="P3858">
        <f>I3858-G3858^2/k_n</f>
        <v/>
      </c>
      <c r="Q3858">
        <f>J3858-H3858^2/k_n</f>
        <v/>
      </c>
      <c r="R3858">
        <f>K3858-G3858*H3858/k_n</f>
        <v/>
      </c>
      <c r="S3858">
        <f>L3858-LTP3!$D$3*G3858/k_n</f>
        <v/>
      </c>
      <c r="T3858">
        <f>M3858-LTP3!$D$3*H3858/k_n</f>
        <v/>
      </c>
      <c r="U3858">
        <f>N3858-G3858*LTP3!$D$4/k_n</f>
        <v/>
      </c>
      <c r="V3858">
        <f>O3858-H3858*LTP3!$D$4/k_n</f>
        <v/>
      </c>
      <c r="W3858">
        <f>((LTP3!$D$5)*((P3858)*(Q3858)-(R3858)*(R3858))-(S3858)*((S3858)*(Q3858)-(R3858)*(T3858))+(T3858)*((S3858)*(R3858)-(P3858)*(T3858)))</f>
        <v/>
      </c>
      <c r="X3858">
        <f>IF(ABS(W3858)&gt;1E-12,((LTP3!$D$6)*((P3858)*(Q3858)-(R3858)*(R3858))-(S3858)*((U3858)*(Q3858)-(R3858)*(V3858))+(T3858)*((U3858)*(R3858)-(P3858)*(V3858)))/W3858,0)</f>
        <v/>
      </c>
      <c r="Y3858">
        <f>IF(ABS(W3858)&gt;1E-12,((LTP3!$D$5)*((U3858)*(Q3858)-(R3858)*(V3858))-(LTP3!$D$6)*((S3858)*(Q3858)-(R3858)*(T3858))+(T3858)*((S3858)*(V3858)-(U3858)*(T3858)))/W3858,0)</f>
        <v/>
      </c>
      <c r="Z3858">
        <f>IF(ABS(W3858)&gt;1E-12,((LTP3!$D$5)*((P3858)*(V3858)-(U3858)*(R3858))-(S3858)*((S3858)*(V3858)-(U3858)*(T3858))+(LTP3!$D$6)*((S3858)*(R3858)-(P3858)*(T3858)))/W3858,0)</f>
        <v/>
      </c>
      <c r="AA3858">
        <f>LTP3!$D$7-X3858*LTP3!$D$6-Y3858*U3858-Z3858*V3858</f>
        <v/>
      </c>
      <c r="AB3858">
        <f>IF(AND(F3858,ABS(W3858)&gt;1E-12,Y3858&gt;0,Z3858&gt;0),AA3858,1E+300)</f>
        <v/>
      </c>
    </row>
    <row r="3859">
      <c r="A3859">
        <f>$I$3-$B$5+$B$5*5/10</f>
        <v/>
      </c>
      <c r="B3859">
        <f>$J$3-$B$5+$B$5*18/10</f>
        <v/>
      </c>
      <c r="C3859">
        <f>SUMPRODUCT(Calc!$K$3:$K$22*(Calc!$G$3:$G$22&lt;=A3859))</f>
        <v/>
      </c>
      <c r="D3859">
        <f>SUMPRODUCT(Calc!$K$3:$K$22*(Calc!$G$3:$G$22&gt;A3859)*(Calc!$G$3:$G$22&lt;B3859))</f>
        <v/>
      </c>
      <c r="E3859">
        <f>SUMPRODUCT(Calc!$K$3:$K$22*(Calc!$G$3:$G$22&gt;=B3859))</f>
        <v/>
      </c>
      <c r="F3859">
        <f>AND(k_n&gt;=5,B3859&gt;A3859+1E-9,C3859&gt;=2,D3859&gt;=1,E3859&gt;=2)</f>
        <v/>
      </c>
      <c r="G3859">
        <f>SUMPRODUCT(Calc!$K$3:$K$22*(Calc!$G$3:$G$22&gt;A3859)*(Calc!$G$3:$G$22-A3859))</f>
        <v/>
      </c>
      <c r="H3859">
        <f>SUMPRODUCT(Calc!$K$3:$K$22*(Calc!$G$3:$G$22&gt;B3859)*(Calc!$G$3:$G$22-B3859))</f>
        <v/>
      </c>
      <c r="I3859">
        <f>SUMPRODUCT(Calc!$K$3:$K$22*(Calc!$G$3:$G$22&gt;A3859)*(Calc!$G$3:$G$22-A3859)^2)</f>
        <v/>
      </c>
      <c r="J3859">
        <f>SUMPRODUCT(Calc!$K$3:$K$22*(Calc!$G$3:$G$22&gt;B3859)*(Calc!$G$3:$G$22-B3859)^2)</f>
        <v/>
      </c>
      <c r="K3859">
        <f>SUMPRODUCT(Calc!$K$3:$K$22*(Calc!$G$3:$G$22&gt;A3859)*(Calc!$G$3:$G$22-A3859)*(Calc!$G$3:$G$22&gt;B3859)*(Calc!$G$3:$G$22-B3859))</f>
        <v/>
      </c>
      <c r="L3859">
        <f>SUMPRODUCT(Calc!$K$3:$K$22*(Calc!$G$3:$G$22&gt;A3859)*(Calc!$G$3:$G$22-A3859)*Calc!$G$3:$G$22)</f>
        <v/>
      </c>
      <c r="M3859">
        <f>SUMPRODUCT(Calc!$K$3:$K$22*(Calc!$G$3:$G$22&gt;B3859)*(Calc!$G$3:$G$22-B3859)*Calc!$G$3:$G$22)</f>
        <v/>
      </c>
      <c r="N3859">
        <f>SUMPRODUCT(Calc!$K$3:$K$22*(Calc!$G$3:$G$22&gt;A3859)*(Calc!$G$3:$G$22-A3859)*Calc!$I$3:$I$22)</f>
        <v/>
      </c>
      <c r="O3859">
        <f>SUMPRODUCT(Calc!$K$3:$K$22*(Calc!$G$3:$G$22&gt;B3859)*(Calc!$G$3:$G$22-B3859)*Calc!$I$3:$I$22)</f>
        <v/>
      </c>
      <c r="P3859">
        <f>I3859-G3859^2/k_n</f>
        <v/>
      </c>
      <c r="Q3859">
        <f>J3859-H3859^2/k_n</f>
        <v/>
      </c>
      <c r="R3859">
        <f>K3859-G3859*H3859/k_n</f>
        <v/>
      </c>
      <c r="S3859">
        <f>L3859-LTP3!$D$3*G3859/k_n</f>
        <v/>
      </c>
      <c r="T3859">
        <f>M3859-LTP3!$D$3*H3859/k_n</f>
        <v/>
      </c>
      <c r="U3859">
        <f>N3859-G3859*LTP3!$D$4/k_n</f>
        <v/>
      </c>
      <c r="V3859">
        <f>O3859-H3859*LTP3!$D$4/k_n</f>
        <v/>
      </c>
      <c r="W3859">
        <f>((LTP3!$D$5)*((P3859)*(Q3859)-(R3859)*(R3859))-(S3859)*((S3859)*(Q3859)-(R3859)*(T3859))+(T3859)*((S3859)*(R3859)-(P3859)*(T3859)))</f>
        <v/>
      </c>
      <c r="X3859">
        <f>IF(ABS(W3859)&gt;1E-12,((LTP3!$D$6)*((P3859)*(Q3859)-(R3859)*(R3859))-(S3859)*((U3859)*(Q3859)-(R3859)*(V3859))+(T3859)*((U3859)*(R3859)-(P3859)*(V3859)))/W3859,0)</f>
        <v/>
      </c>
      <c r="Y3859">
        <f>IF(ABS(W3859)&gt;1E-12,((LTP3!$D$5)*((U3859)*(Q3859)-(R3859)*(V3859))-(LTP3!$D$6)*((S3859)*(Q3859)-(R3859)*(T3859))+(T3859)*((S3859)*(V3859)-(U3859)*(T3859)))/W3859,0)</f>
        <v/>
      </c>
      <c r="Z3859">
        <f>IF(ABS(W3859)&gt;1E-12,((LTP3!$D$5)*((P3859)*(V3859)-(U3859)*(R3859))-(S3859)*((S3859)*(V3859)-(U3859)*(T3859))+(LTP3!$D$6)*((S3859)*(R3859)-(P3859)*(T3859)))/W3859,0)</f>
        <v/>
      </c>
      <c r="AA3859">
        <f>LTP3!$D$7-X3859*LTP3!$D$6-Y3859*U3859-Z3859*V3859</f>
        <v/>
      </c>
      <c r="AB3859">
        <f>IF(AND(F3859,ABS(W3859)&gt;1E-12,Y3859&gt;0,Z3859&gt;0),AA3859,1E+300)</f>
        <v/>
      </c>
    </row>
    <row r="3860">
      <c r="A3860">
        <f>$I$3-$B$5+$B$5*5/10</f>
        <v/>
      </c>
      <c r="B3860">
        <f>$J$3-$B$5+$B$5*19/10</f>
        <v/>
      </c>
      <c r="C3860">
        <f>SUMPRODUCT(Calc!$K$3:$K$22*(Calc!$G$3:$G$22&lt;=A3860))</f>
        <v/>
      </c>
      <c r="D3860">
        <f>SUMPRODUCT(Calc!$K$3:$K$22*(Calc!$G$3:$G$22&gt;A3860)*(Calc!$G$3:$G$22&lt;B3860))</f>
        <v/>
      </c>
      <c r="E3860">
        <f>SUMPRODUCT(Calc!$K$3:$K$22*(Calc!$G$3:$G$22&gt;=B3860))</f>
        <v/>
      </c>
      <c r="F3860">
        <f>AND(k_n&gt;=5,B3860&gt;A3860+1E-9,C3860&gt;=2,D3860&gt;=1,E3860&gt;=2)</f>
        <v/>
      </c>
      <c r="G3860">
        <f>SUMPRODUCT(Calc!$K$3:$K$22*(Calc!$G$3:$G$22&gt;A3860)*(Calc!$G$3:$G$22-A3860))</f>
        <v/>
      </c>
      <c r="H3860">
        <f>SUMPRODUCT(Calc!$K$3:$K$22*(Calc!$G$3:$G$22&gt;B3860)*(Calc!$G$3:$G$22-B3860))</f>
        <v/>
      </c>
      <c r="I3860">
        <f>SUMPRODUCT(Calc!$K$3:$K$22*(Calc!$G$3:$G$22&gt;A3860)*(Calc!$G$3:$G$22-A3860)^2)</f>
        <v/>
      </c>
      <c r="J3860">
        <f>SUMPRODUCT(Calc!$K$3:$K$22*(Calc!$G$3:$G$22&gt;B3860)*(Calc!$G$3:$G$22-B3860)^2)</f>
        <v/>
      </c>
      <c r="K3860">
        <f>SUMPRODUCT(Calc!$K$3:$K$22*(Calc!$G$3:$G$22&gt;A3860)*(Calc!$G$3:$G$22-A3860)*(Calc!$G$3:$G$22&gt;B3860)*(Calc!$G$3:$G$22-B3860))</f>
        <v/>
      </c>
      <c r="L3860">
        <f>SUMPRODUCT(Calc!$K$3:$K$22*(Calc!$G$3:$G$22&gt;A3860)*(Calc!$G$3:$G$22-A3860)*Calc!$G$3:$G$22)</f>
        <v/>
      </c>
      <c r="M3860">
        <f>SUMPRODUCT(Calc!$K$3:$K$22*(Calc!$G$3:$G$22&gt;B3860)*(Calc!$G$3:$G$22-B3860)*Calc!$G$3:$G$22)</f>
        <v/>
      </c>
      <c r="N3860">
        <f>SUMPRODUCT(Calc!$K$3:$K$22*(Calc!$G$3:$G$22&gt;A3860)*(Calc!$G$3:$G$22-A3860)*Calc!$I$3:$I$22)</f>
        <v/>
      </c>
      <c r="O3860">
        <f>SUMPRODUCT(Calc!$K$3:$K$22*(Calc!$G$3:$G$22&gt;B3860)*(Calc!$G$3:$G$22-B3860)*Calc!$I$3:$I$22)</f>
        <v/>
      </c>
      <c r="P3860">
        <f>I3860-G3860^2/k_n</f>
        <v/>
      </c>
      <c r="Q3860">
        <f>J3860-H3860^2/k_n</f>
        <v/>
      </c>
      <c r="R3860">
        <f>K3860-G3860*H3860/k_n</f>
        <v/>
      </c>
      <c r="S3860">
        <f>L3860-LTP3!$D$3*G3860/k_n</f>
        <v/>
      </c>
      <c r="T3860">
        <f>M3860-LTP3!$D$3*H3860/k_n</f>
        <v/>
      </c>
      <c r="U3860">
        <f>N3860-G3860*LTP3!$D$4/k_n</f>
        <v/>
      </c>
      <c r="V3860">
        <f>O3860-H3860*LTP3!$D$4/k_n</f>
        <v/>
      </c>
      <c r="W3860">
        <f>((LTP3!$D$5)*((P3860)*(Q3860)-(R3860)*(R3860))-(S3860)*((S3860)*(Q3860)-(R3860)*(T3860))+(T3860)*((S3860)*(R3860)-(P3860)*(T3860)))</f>
        <v/>
      </c>
      <c r="X3860">
        <f>IF(ABS(W3860)&gt;1E-12,((LTP3!$D$6)*((P3860)*(Q3860)-(R3860)*(R3860))-(S3860)*((U3860)*(Q3860)-(R3860)*(V3860))+(T3860)*((U3860)*(R3860)-(P3860)*(V3860)))/W3860,0)</f>
        <v/>
      </c>
      <c r="Y3860">
        <f>IF(ABS(W3860)&gt;1E-12,((LTP3!$D$5)*((U3860)*(Q3860)-(R3860)*(V3860))-(LTP3!$D$6)*((S3860)*(Q3860)-(R3860)*(T3860))+(T3860)*((S3860)*(V3860)-(U3860)*(T3860)))/W3860,0)</f>
        <v/>
      </c>
      <c r="Z3860">
        <f>IF(ABS(W3860)&gt;1E-12,((LTP3!$D$5)*((P3860)*(V3860)-(U3860)*(R3860))-(S3860)*((S3860)*(V3860)-(U3860)*(T3860))+(LTP3!$D$6)*((S3860)*(R3860)-(P3860)*(T3860)))/W3860,0)</f>
        <v/>
      </c>
      <c r="AA3860">
        <f>LTP3!$D$7-X3860*LTP3!$D$6-Y3860*U3860-Z3860*V3860</f>
        <v/>
      </c>
      <c r="AB3860">
        <f>IF(AND(F3860,ABS(W3860)&gt;1E-12,Y3860&gt;0,Z3860&gt;0),AA3860,1E+300)</f>
        <v/>
      </c>
    </row>
    <row r="3861">
      <c r="A3861">
        <f>$I$3-$B$5+$B$5*5/10</f>
        <v/>
      </c>
      <c r="B3861">
        <f>$J$3-$B$5+$B$5*20/10</f>
        <v/>
      </c>
      <c r="C3861">
        <f>SUMPRODUCT(Calc!$K$3:$K$22*(Calc!$G$3:$G$22&lt;=A3861))</f>
        <v/>
      </c>
      <c r="D3861">
        <f>SUMPRODUCT(Calc!$K$3:$K$22*(Calc!$G$3:$G$22&gt;A3861)*(Calc!$G$3:$G$22&lt;B3861))</f>
        <v/>
      </c>
      <c r="E3861">
        <f>SUMPRODUCT(Calc!$K$3:$K$22*(Calc!$G$3:$G$22&gt;=B3861))</f>
        <v/>
      </c>
      <c r="F3861">
        <f>AND(k_n&gt;=5,B3861&gt;A3861+1E-9,C3861&gt;=2,D3861&gt;=1,E3861&gt;=2)</f>
        <v/>
      </c>
      <c r="G3861">
        <f>SUMPRODUCT(Calc!$K$3:$K$22*(Calc!$G$3:$G$22&gt;A3861)*(Calc!$G$3:$G$22-A3861))</f>
        <v/>
      </c>
      <c r="H3861">
        <f>SUMPRODUCT(Calc!$K$3:$K$22*(Calc!$G$3:$G$22&gt;B3861)*(Calc!$G$3:$G$22-B3861))</f>
        <v/>
      </c>
      <c r="I3861">
        <f>SUMPRODUCT(Calc!$K$3:$K$22*(Calc!$G$3:$G$22&gt;A3861)*(Calc!$G$3:$G$22-A3861)^2)</f>
        <v/>
      </c>
      <c r="J3861">
        <f>SUMPRODUCT(Calc!$K$3:$K$22*(Calc!$G$3:$G$22&gt;B3861)*(Calc!$G$3:$G$22-B3861)^2)</f>
        <v/>
      </c>
      <c r="K3861">
        <f>SUMPRODUCT(Calc!$K$3:$K$22*(Calc!$G$3:$G$22&gt;A3861)*(Calc!$G$3:$G$22-A3861)*(Calc!$G$3:$G$22&gt;B3861)*(Calc!$G$3:$G$22-B3861))</f>
        <v/>
      </c>
      <c r="L3861">
        <f>SUMPRODUCT(Calc!$K$3:$K$22*(Calc!$G$3:$G$22&gt;A3861)*(Calc!$G$3:$G$22-A3861)*Calc!$G$3:$G$22)</f>
        <v/>
      </c>
      <c r="M3861">
        <f>SUMPRODUCT(Calc!$K$3:$K$22*(Calc!$G$3:$G$22&gt;B3861)*(Calc!$G$3:$G$22-B3861)*Calc!$G$3:$G$22)</f>
        <v/>
      </c>
      <c r="N3861">
        <f>SUMPRODUCT(Calc!$K$3:$K$22*(Calc!$G$3:$G$22&gt;A3861)*(Calc!$G$3:$G$22-A3861)*Calc!$I$3:$I$22)</f>
        <v/>
      </c>
      <c r="O3861">
        <f>SUMPRODUCT(Calc!$K$3:$K$22*(Calc!$G$3:$G$22&gt;B3861)*(Calc!$G$3:$G$22-B3861)*Calc!$I$3:$I$22)</f>
        <v/>
      </c>
      <c r="P3861">
        <f>I3861-G3861^2/k_n</f>
        <v/>
      </c>
      <c r="Q3861">
        <f>J3861-H3861^2/k_n</f>
        <v/>
      </c>
      <c r="R3861">
        <f>K3861-G3861*H3861/k_n</f>
        <v/>
      </c>
      <c r="S3861">
        <f>L3861-LTP3!$D$3*G3861/k_n</f>
        <v/>
      </c>
      <c r="T3861">
        <f>M3861-LTP3!$D$3*H3861/k_n</f>
        <v/>
      </c>
      <c r="U3861">
        <f>N3861-G3861*LTP3!$D$4/k_n</f>
        <v/>
      </c>
      <c r="V3861">
        <f>O3861-H3861*LTP3!$D$4/k_n</f>
        <v/>
      </c>
      <c r="W3861">
        <f>((LTP3!$D$5)*((P3861)*(Q3861)-(R3861)*(R3861))-(S3861)*((S3861)*(Q3861)-(R3861)*(T3861))+(T3861)*((S3861)*(R3861)-(P3861)*(T3861)))</f>
        <v/>
      </c>
      <c r="X3861">
        <f>IF(ABS(W3861)&gt;1E-12,((LTP3!$D$6)*((P3861)*(Q3861)-(R3861)*(R3861))-(S3861)*((U3861)*(Q3861)-(R3861)*(V3861))+(T3861)*((U3861)*(R3861)-(P3861)*(V3861)))/W3861,0)</f>
        <v/>
      </c>
      <c r="Y3861">
        <f>IF(ABS(W3861)&gt;1E-12,((LTP3!$D$5)*((U3861)*(Q3861)-(R3861)*(V3861))-(LTP3!$D$6)*((S3861)*(Q3861)-(R3861)*(T3861))+(T3861)*((S3861)*(V3861)-(U3861)*(T3861)))/W3861,0)</f>
        <v/>
      </c>
      <c r="Z3861">
        <f>IF(ABS(W3861)&gt;1E-12,((LTP3!$D$5)*((P3861)*(V3861)-(U3861)*(R3861))-(S3861)*((S3861)*(V3861)-(U3861)*(T3861))+(LTP3!$D$6)*((S3861)*(R3861)-(P3861)*(T3861)))/W3861,0)</f>
        <v/>
      </c>
      <c r="AA3861">
        <f>LTP3!$D$7-X3861*LTP3!$D$6-Y3861*U3861-Z3861*V3861</f>
        <v/>
      </c>
      <c r="AB3861">
        <f>IF(AND(F3861,ABS(W3861)&gt;1E-12,Y3861&gt;0,Z3861&gt;0),AA3861,1E+300)</f>
        <v/>
      </c>
    </row>
    <row r="3862">
      <c r="A3862">
        <f>$I$3-$B$5+$B$5*6/10</f>
        <v/>
      </c>
      <c r="B3862">
        <f>$J$3-$B$5+$B$5*0/10</f>
        <v/>
      </c>
      <c r="C3862">
        <f>SUMPRODUCT(Calc!$K$3:$K$22*(Calc!$G$3:$G$22&lt;=A3862))</f>
        <v/>
      </c>
      <c r="D3862">
        <f>SUMPRODUCT(Calc!$K$3:$K$22*(Calc!$G$3:$G$22&gt;A3862)*(Calc!$G$3:$G$22&lt;B3862))</f>
        <v/>
      </c>
      <c r="E3862">
        <f>SUMPRODUCT(Calc!$K$3:$K$22*(Calc!$G$3:$G$22&gt;=B3862))</f>
        <v/>
      </c>
      <c r="F3862">
        <f>AND(k_n&gt;=5,B3862&gt;A3862+1E-9,C3862&gt;=2,D3862&gt;=1,E3862&gt;=2)</f>
        <v/>
      </c>
      <c r="G3862">
        <f>SUMPRODUCT(Calc!$K$3:$K$22*(Calc!$G$3:$G$22&gt;A3862)*(Calc!$G$3:$G$22-A3862))</f>
        <v/>
      </c>
      <c r="H3862">
        <f>SUMPRODUCT(Calc!$K$3:$K$22*(Calc!$G$3:$G$22&gt;B3862)*(Calc!$G$3:$G$22-B3862))</f>
        <v/>
      </c>
      <c r="I3862">
        <f>SUMPRODUCT(Calc!$K$3:$K$22*(Calc!$G$3:$G$22&gt;A3862)*(Calc!$G$3:$G$22-A3862)^2)</f>
        <v/>
      </c>
      <c r="J3862">
        <f>SUMPRODUCT(Calc!$K$3:$K$22*(Calc!$G$3:$G$22&gt;B3862)*(Calc!$G$3:$G$22-B3862)^2)</f>
        <v/>
      </c>
      <c r="K3862">
        <f>SUMPRODUCT(Calc!$K$3:$K$22*(Calc!$G$3:$G$22&gt;A3862)*(Calc!$G$3:$G$22-A3862)*(Calc!$G$3:$G$22&gt;B3862)*(Calc!$G$3:$G$22-B3862))</f>
        <v/>
      </c>
      <c r="L3862">
        <f>SUMPRODUCT(Calc!$K$3:$K$22*(Calc!$G$3:$G$22&gt;A3862)*(Calc!$G$3:$G$22-A3862)*Calc!$G$3:$G$22)</f>
        <v/>
      </c>
      <c r="M3862">
        <f>SUMPRODUCT(Calc!$K$3:$K$22*(Calc!$G$3:$G$22&gt;B3862)*(Calc!$G$3:$G$22-B3862)*Calc!$G$3:$G$22)</f>
        <v/>
      </c>
      <c r="N3862">
        <f>SUMPRODUCT(Calc!$K$3:$K$22*(Calc!$G$3:$G$22&gt;A3862)*(Calc!$G$3:$G$22-A3862)*Calc!$I$3:$I$22)</f>
        <v/>
      </c>
      <c r="O3862">
        <f>SUMPRODUCT(Calc!$K$3:$K$22*(Calc!$G$3:$G$22&gt;B3862)*(Calc!$G$3:$G$22-B3862)*Calc!$I$3:$I$22)</f>
        <v/>
      </c>
      <c r="P3862">
        <f>I3862-G3862^2/k_n</f>
        <v/>
      </c>
      <c r="Q3862">
        <f>J3862-H3862^2/k_n</f>
        <v/>
      </c>
      <c r="R3862">
        <f>K3862-G3862*H3862/k_n</f>
        <v/>
      </c>
      <c r="S3862">
        <f>L3862-LTP3!$D$3*G3862/k_n</f>
        <v/>
      </c>
      <c r="T3862">
        <f>M3862-LTP3!$D$3*H3862/k_n</f>
        <v/>
      </c>
      <c r="U3862">
        <f>N3862-G3862*LTP3!$D$4/k_n</f>
        <v/>
      </c>
      <c r="V3862">
        <f>O3862-H3862*LTP3!$D$4/k_n</f>
        <v/>
      </c>
      <c r="W3862">
        <f>((LTP3!$D$5)*((P3862)*(Q3862)-(R3862)*(R3862))-(S3862)*((S3862)*(Q3862)-(R3862)*(T3862))+(T3862)*((S3862)*(R3862)-(P3862)*(T3862)))</f>
        <v/>
      </c>
      <c r="X3862">
        <f>IF(ABS(W3862)&gt;1E-12,((LTP3!$D$6)*((P3862)*(Q3862)-(R3862)*(R3862))-(S3862)*((U3862)*(Q3862)-(R3862)*(V3862))+(T3862)*((U3862)*(R3862)-(P3862)*(V3862)))/W3862,0)</f>
        <v/>
      </c>
      <c r="Y3862">
        <f>IF(ABS(W3862)&gt;1E-12,((LTP3!$D$5)*((U3862)*(Q3862)-(R3862)*(V3862))-(LTP3!$D$6)*((S3862)*(Q3862)-(R3862)*(T3862))+(T3862)*((S3862)*(V3862)-(U3862)*(T3862)))/W3862,0)</f>
        <v/>
      </c>
      <c r="Z3862">
        <f>IF(ABS(W3862)&gt;1E-12,((LTP3!$D$5)*((P3862)*(V3862)-(U3862)*(R3862))-(S3862)*((S3862)*(V3862)-(U3862)*(T3862))+(LTP3!$D$6)*((S3862)*(R3862)-(P3862)*(T3862)))/W3862,0)</f>
        <v/>
      </c>
      <c r="AA3862">
        <f>LTP3!$D$7-X3862*LTP3!$D$6-Y3862*U3862-Z3862*V3862</f>
        <v/>
      </c>
      <c r="AB3862">
        <f>IF(AND(F3862,ABS(W3862)&gt;1E-12,Y3862&gt;0,Z3862&gt;0),AA3862,1E+300)</f>
        <v/>
      </c>
    </row>
    <row r="3863">
      <c r="A3863">
        <f>$I$3-$B$5+$B$5*6/10</f>
        <v/>
      </c>
      <c r="B3863">
        <f>$J$3-$B$5+$B$5*1/10</f>
        <v/>
      </c>
      <c r="C3863">
        <f>SUMPRODUCT(Calc!$K$3:$K$22*(Calc!$G$3:$G$22&lt;=A3863))</f>
        <v/>
      </c>
      <c r="D3863">
        <f>SUMPRODUCT(Calc!$K$3:$K$22*(Calc!$G$3:$G$22&gt;A3863)*(Calc!$G$3:$G$22&lt;B3863))</f>
        <v/>
      </c>
      <c r="E3863">
        <f>SUMPRODUCT(Calc!$K$3:$K$22*(Calc!$G$3:$G$22&gt;=B3863))</f>
        <v/>
      </c>
      <c r="F3863">
        <f>AND(k_n&gt;=5,B3863&gt;A3863+1E-9,C3863&gt;=2,D3863&gt;=1,E3863&gt;=2)</f>
        <v/>
      </c>
      <c r="G3863">
        <f>SUMPRODUCT(Calc!$K$3:$K$22*(Calc!$G$3:$G$22&gt;A3863)*(Calc!$G$3:$G$22-A3863))</f>
        <v/>
      </c>
      <c r="H3863">
        <f>SUMPRODUCT(Calc!$K$3:$K$22*(Calc!$G$3:$G$22&gt;B3863)*(Calc!$G$3:$G$22-B3863))</f>
        <v/>
      </c>
      <c r="I3863">
        <f>SUMPRODUCT(Calc!$K$3:$K$22*(Calc!$G$3:$G$22&gt;A3863)*(Calc!$G$3:$G$22-A3863)^2)</f>
        <v/>
      </c>
      <c r="J3863">
        <f>SUMPRODUCT(Calc!$K$3:$K$22*(Calc!$G$3:$G$22&gt;B3863)*(Calc!$G$3:$G$22-B3863)^2)</f>
        <v/>
      </c>
      <c r="K3863">
        <f>SUMPRODUCT(Calc!$K$3:$K$22*(Calc!$G$3:$G$22&gt;A3863)*(Calc!$G$3:$G$22-A3863)*(Calc!$G$3:$G$22&gt;B3863)*(Calc!$G$3:$G$22-B3863))</f>
        <v/>
      </c>
      <c r="L3863">
        <f>SUMPRODUCT(Calc!$K$3:$K$22*(Calc!$G$3:$G$22&gt;A3863)*(Calc!$G$3:$G$22-A3863)*Calc!$G$3:$G$22)</f>
        <v/>
      </c>
      <c r="M3863">
        <f>SUMPRODUCT(Calc!$K$3:$K$22*(Calc!$G$3:$G$22&gt;B3863)*(Calc!$G$3:$G$22-B3863)*Calc!$G$3:$G$22)</f>
        <v/>
      </c>
      <c r="N3863">
        <f>SUMPRODUCT(Calc!$K$3:$K$22*(Calc!$G$3:$G$22&gt;A3863)*(Calc!$G$3:$G$22-A3863)*Calc!$I$3:$I$22)</f>
        <v/>
      </c>
      <c r="O3863">
        <f>SUMPRODUCT(Calc!$K$3:$K$22*(Calc!$G$3:$G$22&gt;B3863)*(Calc!$G$3:$G$22-B3863)*Calc!$I$3:$I$22)</f>
        <v/>
      </c>
      <c r="P3863">
        <f>I3863-G3863^2/k_n</f>
        <v/>
      </c>
      <c r="Q3863">
        <f>J3863-H3863^2/k_n</f>
        <v/>
      </c>
      <c r="R3863">
        <f>K3863-G3863*H3863/k_n</f>
        <v/>
      </c>
      <c r="S3863">
        <f>L3863-LTP3!$D$3*G3863/k_n</f>
        <v/>
      </c>
      <c r="T3863">
        <f>M3863-LTP3!$D$3*H3863/k_n</f>
        <v/>
      </c>
      <c r="U3863">
        <f>N3863-G3863*LTP3!$D$4/k_n</f>
        <v/>
      </c>
      <c r="V3863">
        <f>O3863-H3863*LTP3!$D$4/k_n</f>
        <v/>
      </c>
      <c r="W3863">
        <f>((LTP3!$D$5)*((P3863)*(Q3863)-(R3863)*(R3863))-(S3863)*((S3863)*(Q3863)-(R3863)*(T3863))+(T3863)*((S3863)*(R3863)-(P3863)*(T3863)))</f>
        <v/>
      </c>
      <c r="X3863">
        <f>IF(ABS(W3863)&gt;1E-12,((LTP3!$D$6)*((P3863)*(Q3863)-(R3863)*(R3863))-(S3863)*((U3863)*(Q3863)-(R3863)*(V3863))+(T3863)*((U3863)*(R3863)-(P3863)*(V3863)))/W3863,0)</f>
        <v/>
      </c>
      <c r="Y3863">
        <f>IF(ABS(W3863)&gt;1E-12,((LTP3!$D$5)*((U3863)*(Q3863)-(R3863)*(V3863))-(LTP3!$D$6)*((S3863)*(Q3863)-(R3863)*(T3863))+(T3863)*((S3863)*(V3863)-(U3863)*(T3863)))/W3863,0)</f>
        <v/>
      </c>
      <c r="Z3863">
        <f>IF(ABS(W3863)&gt;1E-12,((LTP3!$D$5)*((P3863)*(V3863)-(U3863)*(R3863))-(S3863)*((S3863)*(V3863)-(U3863)*(T3863))+(LTP3!$D$6)*((S3863)*(R3863)-(P3863)*(T3863)))/W3863,0)</f>
        <v/>
      </c>
      <c r="AA3863">
        <f>LTP3!$D$7-X3863*LTP3!$D$6-Y3863*U3863-Z3863*V3863</f>
        <v/>
      </c>
      <c r="AB3863">
        <f>IF(AND(F3863,ABS(W3863)&gt;1E-12,Y3863&gt;0,Z3863&gt;0),AA3863,1E+300)</f>
        <v/>
      </c>
    </row>
    <row r="3864">
      <c r="A3864">
        <f>$I$3-$B$5+$B$5*6/10</f>
        <v/>
      </c>
      <c r="B3864">
        <f>$J$3-$B$5+$B$5*2/10</f>
        <v/>
      </c>
      <c r="C3864">
        <f>SUMPRODUCT(Calc!$K$3:$K$22*(Calc!$G$3:$G$22&lt;=A3864))</f>
        <v/>
      </c>
      <c r="D3864">
        <f>SUMPRODUCT(Calc!$K$3:$K$22*(Calc!$G$3:$G$22&gt;A3864)*(Calc!$G$3:$G$22&lt;B3864))</f>
        <v/>
      </c>
      <c r="E3864">
        <f>SUMPRODUCT(Calc!$K$3:$K$22*(Calc!$G$3:$G$22&gt;=B3864))</f>
        <v/>
      </c>
      <c r="F3864">
        <f>AND(k_n&gt;=5,B3864&gt;A3864+1E-9,C3864&gt;=2,D3864&gt;=1,E3864&gt;=2)</f>
        <v/>
      </c>
      <c r="G3864">
        <f>SUMPRODUCT(Calc!$K$3:$K$22*(Calc!$G$3:$G$22&gt;A3864)*(Calc!$G$3:$G$22-A3864))</f>
        <v/>
      </c>
      <c r="H3864">
        <f>SUMPRODUCT(Calc!$K$3:$K$22*(Calc!$G$3:$G$22&gt;B3864)*(Calc!$G$3:$G$22-B3864))</f>
        <v/>
      </c>
      <c r="I3864">
        <f>SUMPRODUCT(Calc!$K$3:$K$22*(Calc!$G$3:$G$22&gt;A3864)*(Calc!$G$3:$G$22-A3864)^2)</f>
        <v/>
      </c>
      <c r="J3864">
        <f>SUMPRODUCT(Calc!$K$3:$K$22*(Calc!$G$3:$G$22&gt;B3864)*(Calc!$G$3:$G$22-B3864)^2)</f>
        <v/>
      </c>
      <c r="K3864">
        <f>SUMPRODUCT(Calc!$K$3:$K$22*(Calc!$G$3:$G$22&gt;A3864)*(Calc!$G$3:$G$22-A3864)*(Calc!$G$3:$G$22&gt;B3864)*(Calc!$G$3:$G$22-B3864))</f>
        <v/>
      </c>
      <c r="L3864">
        <f>SUMPRODUCT(Calc!$K$3:$K$22*(Calc!$G$3:$G$22&gt;A3864)*(Calc!$G$3:$G$22-A3864)*Calc!$G$3:$G$22)</f>
        <v/>
      </c>
      <c r="M3864">
        <f>SUMPRODUCT(Calc!$K$3:$K$22*(Calc!$G$3:$G$22&gt;B3864)*(Calc!$G$3:$G$22-B3864)*Calc!$G$3:$G$22)</f>
        <v/>
      </c>
      <c r="N3864">
        <f>SUMPRODUCT(Calc!$K$3:$K$22*(Calc!$G$3:$G$22&gt;A3864)*(Calc!$G$3:$G$22-A3864)*Calc!$I$3:$I$22)</f>
        <v/>
      </c>
      <c r="O3864">
        <f>SUMPRODUCT(Calc!$K$3:$K$22*(Calc!$G$3:$G$22&gt;B3864)*(Calc!$G$3:$G$22-B3864)*Calc!$I$3:$I$22)</f>
        <v/>
      </c>
      <c r="P3864">
        <f>I3864-G3864^2/k_n</f>
        <v/>
      </c>
      <c r="Q3864">
        <f>J3864-H3864^2/k_n</f>
        <v/>
      </c>
      <c r="R3864">
        <f>K3864-G3864*H3864/k_n</f>
        <v/>
      </c>
      <c r="S3864">
        <f>L3864-LTP3!$D$3*G3864/k_n</f>
        <v/>
      </c>
      <c r="T3864">
        <f>M3864-LTP3!$D$3*H3864/k_n</f>
        <v/>
      </c>
      <c r="U3864">
        <f>N3864-G3864*LTP3!$D$4/k_n</f>
        <v/>
      </c>
      <c r="V3864">
        <f>O3864-H3864*LTP3!$D$4/k_n</f>
        <v/>
      </c>
      <c r="W3864">
        <f>((LTP3!$D$5)*((P3864)*(Q3864)-(R3864)*(R3864))-(S3864)*((S3864)*(Q3864)-(R3864)*(T3864))+(T3864)*((S3864)*(R3864)-(P3864)*(T3864)))</f>
        <v/>
      </c>
      <c r="X3864">
        <f>IF(ABS(W3864)&gt;1E-12,((LTP3!$D$6)*((P3864)*(Q3864)-(R3864)*(R3864))-(S3864)*((U3864)*(Q3864)-(R3864)*(V3864))+(T3864)*((U3864)*(R3864)-(P3864)*(V3864)))/W3864,0)</f>
        <v/>
      </c>
      <c r="Y3864">
        <f>IF(ABS(W3864)&gt;1E-12,((LTP3!$D$5)*((U3864)*(Q3864)-(R3864)*(V3864))-(LTP3!$D$6)*((S3864)*(Q3864)-(R3864)*(T3864))+(T3864)*((S3864)*(V3864)-(U3864)*(T3864)))/W3864,0)</f>
        <v/>
      </c>
      <c r="Z3864">
        <f>IF(ABS(W3864)&gt;1E-12,((LTP3!$D$5)*((P3864)*(V3864)-(U3864)*(R3864))-(S3864)*((S3864)*(V3864)-(U3864)*(T3864))+(LTP3!$D$6)*((S3864)*(R3864)-(P3864)*(T3864)))/W3864,0)</f>
        <v/>
      </c>
      <c r="AA3864">
        <f>LTP3!$D$7-X3864*LTP3!$D$6-Y3864*U3864-Z3864*V3864</f>
        <v/>
      </c>
      <c r="AB3864">
        <f>IF(AND(F3864,ABS(W3864)&gt;1E-12,Y3864&gt;0,Z3864&gt;0),AA3864,1E+300)</f>
        <v/>
      </c>
    </row>
    <row r="3865">
      <c r="A3865">
        <f>$I$3-$B$5+$B$5*6/10</f>
        <v/>
      </c>
      <c r="B3865">
        <f>$J$3-$B$5+$B$5*3/10</f>
        <v/>
      </c>
      <c r="C3865">
        <f>SUMPRODUCT(Calc!$K$3:$K$22*(Calc!$G$3:$G$22&lt;=A3865))</f>
        <v/>
      </c>
      <c r="D3865">
        <f>SUMPRODUCT(Calc!$K$3:$K$22*(Calc!$G$3:$G$22&gt;A3865)*(Calc!$G$3:$G$22&lt;B3865))</f>
        <v/>
      </c>
      <c r="E3865">
        <f>SUMPRODUCT(Calc!$K$3:$K$22*(Calc!$G$3:$G$22&gt;=B3865))</f>
        <v/>
      </c>
      <c r="F3865">
        <f>AND(k_n&gt;=5,B3865&gt;A3865+1E-9,C3865&gt;=2,D3865&gt;=1,E3865&gt;=2)</f>
        <v/>
      </c>
      <c r="G3865">
        <f>SUMPRODUCT(Calc!$K$3:$K$22*(Calc!$G$3:$G$22&gt;A3865)*(Calc!$G$3:$G$22-A3865))</f>
        <v/>
      </c>
      <c r="H3865">
        <f>SUMPRODUCT(Calc!$K$3:$K$22*(Calc!$G$3:$G$22&gt;B3865)*(Calc!$G$3:$G$22-B3865))</f>
        <v/>
      </c>
      <c r="I3865">
        <f>SUMPRODUCT(Calc!$K$3:$K$22*(Calc!$G$3:$G$22&gt;A3865)*(Calc!$G$3:$G$22-A3865)^2)</f>
        <v/>
      </c>
      <c r="J3865">
        <f>SUMPRODUCT(Calc!$K$3:$K$22*(Calc!$G$3:$G$22&gt;B3865)*(Calc!$G$3:$G$22-B3865)^2)</f>
        <v/>
      </c>
      <c r="K3865">
        <f>SUMPRODUCT(Calc!$K$3:$K$22*(Calc!$G$3:$G$22&gt;A3865)*(Calc!$G$3:$G$22-A3865)*(Calc!$G$3:$G$22&gt;B3865)*(Calc!$G$3:$G$22-B3865))</f>
        <v/>
      </c>
      <c r="L3865">
        <f>SUMPRODUCT(Calc!$K$3:$K$22*(Calc!$G$3:$G$22&gt;A3865)*(Calc!$G$3:$G$22-A3865)*Calc!$G$3:$G$22)</f>
        <v/>
      </c>
      <c r="M3865">
        <f>SUMPRODUCT(Calc!$K$3:$K$22*(Calc!$G$3:$G$22&gt;B3865)*(Calc!$G$3:$G$22-B3865)*Calc!$G$3:$G$22)</f>
        <v/>
      </c>
      <c r="N3865">
        <f>SUMPRODUCT(Calc!$K$3:$K$22*(Calc!$G$3:$G$22&gt;A3865)*(Calc!$G$3:$G$22-A3865)*Calc!$I$3:$I$22)</f>
        <v/>
      </c>
      <c r="O3865">
        <f>SUMPRODUCT(Calc!$K$3:$K$22*(Calc!$G$3:$G$22&gt;B3865)*(Calc!$G$3:$G$22-B3865)*Calc!$I$3:$I$22)</f>
        <v/>
      </c>
      <c r="P3865">
        <f>I3865-G3865^2/k_n</f>
        <v/>
      </c>
      <c r="Q3865">
        <f>J3865-H3865^2/k_n</f>
        <v/>
      </c>
      <c r="R3865">
        <f>K3865-G3865*H3865/k_n</f>
        <v/>
      </c>
      <c r="S3865">
        <f>L3865-LTP3!$D$3*G3865/k_n</f>
        <v/>
      </c>
      <c r="T3865">
        <f>M3865-LTP3!$D$3*H3865/k_n</f>
        <v/>
      </c>
      <c r="U3865">
        <f>N3865-G3865*LTP3!$D$4/k_n</f>
        <v/>
      </c>
      <c r="V3865">
        <f>O3865-H3865*LTP3!$D$4/k_n</f>
        <v/>
      </c>
      <c r="W3865">
        <f>((LTP3!$D$5)*((P3865)*(Q3865)-(R3865)*(R3865))-(S3865)*((S3865)*(Q3865)-(R3865)*(T3865))+(T3865)*((S3865)*(R3865)-(P3865)*(T3865)))</f>
        <v/>
      </c>
      <c r="X3865">
        <f>IF(ABS(W3865)&gt;1E-12,((LTP3!$D$6)*((P3865)*(Q3865)-(R3865)*(R3865))-(S3865)*((U3865)*(Q3865)-(R3865)*(V3865))+(T3865)*((U3865)*(R3865)-(P3865)*(V3865)))/W3865,0)</f>
        <v/>
      </c>
      <c r="Y3865">
        <f>IF(ABS(W3865)&gt;1E-12,((LTP3!$D$5)*((U3865)*(Q3865)-(R3865)*(V3865))-(LTP3!$D$6)*((S3865)*(Q3865)-(R3865)*(T3865))+(T3865)*((S3865)*(V3865)-(U3865)*(T3865)))/W3865,0)</f>
        <v/>
      </c>
      <c r="Z3865">
        <f>IF(ABS(W3865)&gt;1E-12,((LTP3!$D$5)*((P3865)*(V3865)-(U3865)*(R3865))-(S3865)*((S3865)*(V3865)-(U3865)*(T3865))+(LTP3!$D$6)*((S3865)*(R3865)-(P3865)*(T3865)))/W3865,0)</f>
        <v/>
      </c>
      <c r="AA3865">
        <f>LTP3!$D$7-X3865*LTP3!$D$6-Y3865*U3865-Z3865*V3865</f>
        <v/>
      </c>
      <c r="AB3865">
        <f>IF(AND(F3865,ABS(W3865)&gt;1E-12,Y3865&gt;0,Z3865&gt;0),AA3865,1E+300)</f>
        <v/>
      </c>
    </row>
    <row r="3866">
      <c r="A3866">
        <f>$I$3-$B$5+$B$5*6/10</f>
        <v/>
      </c>
      <c r="B3866">
        <f>$J$3-$B$5+$B$5*4/10</f>
        <v/>
      </c>
      <c r="C3866">
        <f>SUMPRODUCT(Calc!$K$3:$K$22*(Calc!$G$3:$G$22&lt;=A3866))</f>
        <v/>
      </c>
      <c r="D3866">
        <f>SUMPRODUCT(Calc!$K$3:$K$22*(Calc!$G$3:$G$22&gt;A3866)*(Calc!$G$3:$G$22&lt;B3866))</f>
        <v/>
      </c>
      <c r="E3866">
        <f>SUMPRODUCT(Calc!$K$3:$K$22*(Calc!$G$3:$G$22&gt;=B3866))</f>
        <v/>
      </c>
      <c r="F3866">
        <f>AND(k_n&gt;=5,B3866&gt;A3866+1E-9,C3866&gt;=2,D3866&gt;=1,E3866&gt;=2)</f>
        <v/>
      </c>
      <c r="G3866">
        <f>SUMPRODUCT(Calc!$K$3:$K$22*(Calc!$G$3:$G$22&gt;A3866)*(Calc!$G$3:$G$22-A3866))</f>
        <v/>
      </c>
      <c r="H3866">
        <f>SUMPRODUCT(Calc!$K$3:$K$22*(Calc!$G$3:$G$22&gt;B3866)*(Calc!$G$3:$G$22-B3866))</f>
        <v/>
      </c>
      <c r="I3866">
        <f>SUMPRODUCT(Calc!$K$3:$K$22*(Calc!$G$3:$G$22&gt;A3866)*(Calc!$G$3:$G$22-A3866)^2)</f>
        <v/>
      </c>
      <c r="J3866">
        <f>SUMPRODUCT(Calc!$K$3:$K$22*(Calc!$G$3:$G$22&gt;B3866)*(Calc!$G$3:$G$22-B3866)^2)</f>
        <v/>
      </c>
      <c r="K3866">
        <f>SUMPRODUCT(Calc!$K$3:$K$22*(Calc!$G$3:$G$22&gt;A3866)*(Calc!$G$3:$G$22-A3866)*(Calc!$G$3:$G$22&gt;B3866)*(Calc!$G$3:$G$22-B3866))</f>
        <v/>
      </c>
      <c r="L3866">
        <f>SUMPRODUCT(Calc!$K$3:$K$22*(Calc!$G$3:$G$22&gt;A3866)*(Calc!$G$3:$G$22-A3866)*Calc!$G$3:$G$22)</f>
        <v/>
      </c>
      <c r="M3866">
        <f>SUMPRODUCT(Calc!$K$3:$K$22*(Calc!$G$3:$G$22&gt;B3866)*(Calc!$G$3:$G$22-B3866)*Calc!$G$3:$G$22)</f>
        <v/>
      </c>
      <c r="N3866">
        <f>SUMPRODUCT(Calc!$K$3:$K$22*(Calc!$G$3:$G$22&gt;A3866)*(Calc!$G$3:$G$22-A3866)*Calc!$I$3:$I$22)</f>
        <v/>
      </c>
      <c r="O3866">
        <f>SUMPRODUCT(Calc!$K$3:$K$22*(Calc!$G$3:$G$22&gt;B3866)*(Calc!$G$3:$G$22-B3866)*Calc!$I$3:$I$22)</f>
        <v/>
      </c>
      <c r="P3866">
        <f>I3866-G3866^2/k_n</f>
        <v/>
      </c>
      <c r="Q3866">
        <f>J3866-H3866^2/k_n</f>
        <v/>
      </c>
      <c r="R3866">
        <f>K3866-G3866*H3866/k_n</f>
        <v/>
      </c>
      <c r="S3866">
        <f>L3866-LTP3!$D$3*G3866/k_n</f>
        <v/>
      </c>
      <c r="T3866">
        <f>M3866-LTP3!$D$3*H3866/k_n</f>
        <v/>
      </c>
      <c r="U3866">
        <f>N3866-G3866*LTP3!$D$4/k_n</f>
        <v/>
      </c>
      <c r="V3866">
        <f>O3866-H3866*LTP3!$D$4/k_n</f>
        <v/>
      </c>
      <c r="W3866">
        <f>((LTP3!$D$5)*((P3866)*(Q3866)-(R3866)*(R3866))-(S3866)*((S3866)*(Q3866)-(R3866)*(T3866))+(T3866)*((S3866)*(R3866)-(P3866)*(T3866)))</f>
        <v/>
      </c>
      <c r="X3866">
        <f>IF(ABS(W3866)&gt;1E-12,((LTP3!$D$6)*((P3866)*(Q3866)-(R3866)*(R3866))-(S3866)*((U3866)*(Q3866)-(R3866)*(V3866))+(T3866)*((U3866)*(R3866)-(P3866)*(V3866)))/W3866,0)</f>
        <v/>
      </c>
      <c r="Y3866">
        <f>IF(ABS(W3866)&gt;1E-12,((LTP3!$D$5)*((U3866)*(Q3866)-(R3866)*(V3866))-(LTP3!$D$6)*((S3866)*(Q3866)-(R3866)*(T3866))+(T3866)*((S3866)*(V3866)-(U3866)*(T3866)))/W3866,0)</f>
        <v/>
      </c>
      <c r="Z3866">
        <f>IF(ABS(W3866)&gt;1E-12,((LTP3!$D$5)*((P3866)*(V3866)-(U3866)*(R3866))-(S3866)*((S3866)*(V3866)-(U3866)*(T3866))+(LTP3!$D$6)*((S3866)*(R3866)-(P3866)*(T3866)))/W3866,0)</f>
        <v/>
      </c>
      <c r="AA3866">
        <f>LTP3!$D$7-X3866*LTP3!$D$6-Y3866*U3866-Z3866*V3866</f>
        <v/>
      </c>
      <c r="AB3866">
        <f>IF(AND(F3866,ABS(W3866)&gt;1E-12,Y3866&gt;0,Z3866&gt;0),AA3866,1E+300)</f>
        <v/>
      </c>
    </row>
    <row r="3867">
      <c r="A3867">
        <f>$I$3-$B$5+$B$5*6/10</f>
        <v/>
      </c>
      <c r="B3867">
        <f>$J$3-$B$5+$B$5*5/10</f>
        <v/>
      </c>
      <c r="C3867">
        <f>SUMPRODUCT(Calc!$K$3:$K$22*(Calc!$G$3:$G$22&lt;=A3867))</f>
        <v/>
      </c>
      <c r="D3867">
        <f>SUMPRODUCT(Calc!$K$3:$K$22*(Calc!$G$3:$G$22&gt;A3867)*(Calc!$G$3:$G$22&lt;B3867))</f>
        <v/>
      </c>
      <c r="E3867">
        <f>SUMPRODUCT(Calc!$K$3:$K$22*(Calc!$G$3:$G$22&gt;=B3867))</f>
        <v/>
      </c>
      <c r="F3867">
        <f>AND(k_n&gt;=5,B3867&gt;A3867+1E-9,C3867&gt;=2,D3867&gt;=1,E3867&gt;=2)</f>
        <v/>
      </c>
      <c r="G3867">
        <f>SUMPRODUCT(Calc!$K$3:$K$22*(Calc!$G$3:$G$22&gt;A3867)*(Calc!$G$3:$G$22-A3867))</f>
        <v/>
      </c>
      <c r="H3867">
        <f>SUMPRODUCT(Calc!$K$3:$K$22*(Calc!$G$3:$G$22&gt;B3867)*(Calc!$G$3:$G$22-B3867))</f>
        <v/>
      </c>
      <c r="I3867">
        <f>SUMPRODUCT(Calc!$K$3:$K$22*(Calc!$G$3:$G$22&gt;A3867)*(Calc!$G$3:$G$22-A3867)^2)</f>
        <v/>
      </c>
      <c r="J3867">
        <f>SUMPRODUCT(Calc!$K$3:$K$22*(Calc!$G$3:$G$22&gt;B3867)*(Calc!$G$3:$G$22-B3867)^2)</f>
        <v/>
      </c>
      <c r="K3867">
        <f>SUMPRODUCT(Calc!$K$3:$K$22*(Calc!$G$3:$G$22&gt;A3867)*(Calc!$G$3:$G$22-A3867)*(Calc!$G$3:$G$22&gt;B3867)*(Calc!$G$3:$G$22-B3867))</f>
        <v/>
      </c>
      <c r="L3867">
        <f>SUMPRODUCT(Calc!$K$3:$K$22*(Calc!$G$3:$G$22&gt;A3867)*(Calc!$G$3:$G$22-A3867)*Calc!$G$3:$G$22)</f>
        <v/>
      </c>
      <c r="M3867">
        <f>SUMPRODUCT(Calc!$K$3:$K$22*(Calc!$G$3:$G$22&gt;B3867)*(Calc!$G$3:$G$22-B3867)*Calc!$G$3:$G$22)</f>
        <v/>
      </c>
      <c r="N3867">
        <f>SUMPRODUCT(Calc!$K$3:$K$22*(Calc!$G$3:$G$22&gt;A3867)*(Calc!$G$3:$G$22-A3867)*Calc!$I$3:$I$22)</f>
        <v/>
      </c>
      <c r="O3867">
        <f>SUMPRODUCT(Calc!$K$3:$K$22*(Calc!$G$3:$G$22&gt;B3867)*(Calc!$G$3:$G$22-B3867)*Calc!$I$3:$I$22)</f>
        <v/>
      </c>
      <c r="P3867">
        <f>I3867-G3867^2/k_n</f>
        <v/>
      </c>
      <c r="Q3867">
        <f>J3867-H3867^2/k_n</f>
        <v/>
      </c>
      <c r="R3867">
        <f>K3867-G3867*H3867/k_n</f>
        <v/>
      </c>
      <c r="S3867">
        <f>L3867-LTP3!$D$3*G3867/k_n</f>
        <v/>
      </c>
      <c r="T3867">
        <f>M3867-LTP3!$D$3*H3867/k_n</f>
        <v/>
      </c>
      <c r="U3867">
        <f>N3867-G3867*LTP3!$D$4/k_n</f>
        <v/>
      </c>
      <c r="V3867">
        <f>O3867-H3867*LTP3!$D$4/k_n</f>
        <v/>
      </c>
      <c r="W3867">
        <f>((LTP3!$D$5)*((P3867)*(Q3867)-(R3867)*(R3867))-(S3867)*((S3867)*(Q3867)-(R3867)*(T3867))+(T3867)*((S3867)*(R3867)-(P3867)*(T3867)))</f>
        <v/>
      </c>
      <c r="X3867">
        <f>IF(ABS(W3867)&gt;1E-12,((LTP3!$D$6)*((P3867)*(Q3867)-(R3867)*(R3867))-(S3867)*((U3867)*(Q3867)-(R3867)*(V3867))+(T3867)*((U3867)*(R3867)-(P3867)*(V3867)))/W3867,0)</f>
        <v/>
      </c>
      <c r="Y3867">
        <f>IF(ABS(W3867)&gt;1E-12,((LTP3!$D$5)*((U3867)*(Q3867)-(R3867)*(V3867))-(LTP3!$D$6)*((S3867)*(Q3867)-(R3867)*(T3867))+(T3867)*((S3867)*(V3867)-(U3867)*(T3867)))/W3867,0)</f>
        <v/>
      </c>
      <c r="Z3867">
        <f>IF(ABS(W3867)&gt;1E-12,((LTP3!$D$5)*((P3867)*(V3867)-(U3867)*(R3867))-(S3867)*((S3867)*(V3867)-(U3867)*(T3867))+(LTP3!$D$6)*((S3867)*(R3867)-(P3867)*(T3867)))/W3867,0)</f>
        <v/>
      </c>
      <c r="AA3867">
        <f>LTP3!$D$7-X3867*LTP3!$D$6-Y3867*U3867-Z3867*V3867</f>
        <v/>
      </c>
      <c r="AB3867">
        <f>IF(AND(F3867,ABS(W3867)&gt;1E-12,Y3867&gt;0,Z3867&gt;0),AA3867,1E+300)</f>
        <v/>
      </c>
    </row>
    <row r="3868">
      <c r="A3868">
        <f>$I$3-$B$5+$B$5*6/10</f>
        <v/>
      </c>
      <c r="B3868">
        <f>$J$3-$B$5+$B$5*6/10</f>
        <v/>
      </c>
      <c r="C3868">
        <f>SUMPRODUCT(Calc!$K$3:$K$22*(Calc!$G$3:$G$22&lt;=A3868))</f>
        <v/>
      </c>
      <c r="D3868">
        <f>SUMPRODUCT(Calc!$K$3:$K$22*(Calc!$G$3:$G$22&gt;A3868)*(Calc!$G$3:$G$22&lt;B3868))</f>
        <v/>
      </c>
      <c r="E3868">
        <f>SUMPRODUCT(Calc!$K$3:$K$22*(Calc!$G$3:$G$22&gt;=B3868))</f>
        <v/>
      </c>
      <c r="F3868">
        <f>AND(k_n&gt;=5,B3868&gt;A3868+1E-9,C3868&gt;=2,D3868&gt;=1,E3868&gt;=2)</f>
        <v/>
      </c>
      <c r="G3868">
        <f>SUMPRODUCT(Calc!$K$3:$K$22*(Calc!$G$3:$G$22&gt;A3868)*(Calc!$G$3:$G$22-A3868))</f>
        <v/>
      </c>
      <c r="H3868">
        <f>SUMPRODUCT(Calc!$K$3:$K$22*(Calc!$G$3:$G$22&gt;B3868)*(Calc!$G$3:$G$22-B3868))</f>
        <v/>
      </c>
      <c r="I3868">
        <f>SUMPRODUCT(Calc!$K$3:$K$22*(Calc!$G$3:$G$22&gt;A3868)*(Calc!$G$3:$G$22-A3868)^2)</f>
        <v/>
      </c>
      <c r="J3868">
        <f>SUMPRODUCT(Calc!$K$3:$K$22*(Calc!$G$3:$G$22&gt;B3868)*(Calc!$G$3:$G$22-B3868)^2)</f>
        <v/>
      </c>
      <c r="K3868">
        <f>SUMPRODUCT(Calc!$K$3:$K$22*(Calc!$G$3:$G$22&gt;A3868)*(Calc!$G$3:$G$22-A3868)*(Calc!$G$3:$G$22&gt;B3868)*(Calc!$G$3:$G$22-B3868))</f>
        <v/>
      </c>
      <c r="L3868">
        <f>SUMPRODUCT(Calc!$K$3:$K$22*(Calc!$G$3:$G$22&gt;A3868)*(Calc!$G$3:$G$22-A3868)*Calc!$G$3:$G$22)</f>
        <v/>
      </c>
      <c r="M3868">
        <f>SUMPRODUCT(Calc!$K$3:$K$22*(Calc!$G$3:$G$22&gt;B3868)*(Calc!$G$3:$G$22-B3868)*Calc!$G$3:$G$22)</f>
        <v/>
      </c>
      <c r="N3868">
        <f>SUMPRODUCT(Calc!$K$3:$K$22*(Calc!$G$3:$G$22&gt;A3868)*(Calc!$G$3:$G$22-A3868)*Calc!$I$3:$I$22)</f>
        <v/>
      </c>
      <c r="O3868">
        <f>SUMPRODUCT(Calc!$K$3:$K$22*(Calc!$G$3:$G$22&gt;B3868)*(Calc!$G$3:$G$22-B3868)*Calc!$I$3:$I$22)</f>
        <v/>
      </c>
      <c r="P3868">
        <f>I3868-G3868^2/k_n</f>
        <v/>
      </c>
      <c r="Q3868">
        <f>J3868-H3868^2/k_n</f>
        <v/>
      </c>
      <c r="R3868">
        <f>K3868-G3868*H3868/k_n</f>
        <v/>
      </c>
      <c r="S3868">
        <f>L3868-LTP3!$D$3*G3868/k_n</f>
        <v/>
      </c>
      <c r="T3868">
        <f>M3868-LTP3!$D$3*H3868/k_n</f>
        <v/>
      </c>
      <c r="U3868">
        <f>N3868-G3868*LTP3!$D$4/k_n</f>
        <v/>
      </c>
      <c r="V3868">
        <f>O3868-H3868*LTP3!$D$4/k_n</f>
        <v/>
      </c>
      <c r="W3868">
        <f>((LTP3!$D$5)*((P3868)*(Q3868)-(R3868)*(R3868))-(S3868)*((S3868)*(Q3868)-(R3868)*(T3868))+(T3868)*((S3868)*(R3868)-(P3868)*(T3868)))</f>
        <v/>
      </c>
      <c r="X3868">
        <f>IF(ABS(W3868)&gt;1E-12,((LTP3!$D$6)*((P3868)*(Q3868)-(R3868)*(R3868))-(S3868)*((U3868)*(Q3868)-(R3868)*(V3868))+(T3868)*((U3868)*(R3868)-(P3868)*(V3868)))/W3868,0)</f>
        <v/>
      </c>
      <c r="Y3868">
        <f>IF(ABS(W3868)&gt;1E-12,((LTP3!$D$5)*((U3868)*(Q3868)-(R3868)*(V3868))-(LTP3!$D$6)*((S3868)*(Q3868)-(R3868)*(T3868))+(T3868)*((S3868)*(V3868)-(U3868)*(T3868)))/W3868,0)</f>
        <v/>
      </c>
      <c r="Z3868">
        <f>IF(ABS(W3868)&gt;1E-12,((LTP3!$D$5)*((P3868)*(V3868)-(U3868)*(R3868))-(S3868)*((S3868)*(V3868)-(U3868)*(T3868))+(LTP3!$D$6)*((S3868)*(R3868)-(P3868)*(T3868)))/W3868,0)</f>
        <v/>
      </c>
      <c r="AA3868">
        <f>LTP3!$D$7-X3868*LTP3!$D$6-Y3868*U3868-Z3868*V3868</f>
        <v/>
      </c>
      <c r="AB3868">
        <f>IF(AND(F3868,ABS(W3868)&gt;1E-12,Y3868&gt;0,Z3868&gt;0),AA3868,1E+300)</f>
        <v/>
      </c>
    </row>
    <row r="3869">
      <c r="A3869">
        <f>$I$3-$B$5+$B$5*6/10</f>
        <v/>
      </c>
      <c r="B3869">
        <f>$J$3-$B$5+$B$5*7/10</f>
        <v/>
      </c>
      <c r="C3869">
        <f>SUMPRODUCT(Calc!$K$3:$K$22*(Calc!$G$3:$G$22&lt;=A3869))</f>
        <v/>
      </c>
      <c r="D3869">
        <f>SUMPRODUCT(Calc!$K$3:$K$22*(Calc!$G$3:$G$22&gt;A3869)*(Calc!$G$3:$G$22&lt;B3869))</f>
        <v/>
      </c>
      <c r="E3869">
        <f>SUMPRODUCT(Calc!$K$3:$K$22*(Calc!$G$3:$G$22&gt;=B3869))</f>
        <v/>
      </c>
      <c r="F3869">
        <f>AND(k_n&gt;=5,B3869&gt;A3869+1E-9,C3869&gt;=2,D3869&gt;=1,E3869&gt;=2)</f>
        <v/>
      </c>
      <c r="G3869">
        <f>SUMPRODUCT(Calc!$K$3:$K$22*(Calc!$G$3:$G$22&gt;A3869)*(Calc!$G$3:$G$22-A3869))</f>
        <v/>
      </c>
      <c r="H3869">
        <f>SUMPRODUCT(Calc!$K$3:$K$22*(Calc!$G$3:$G$22&gt;B3869)*(Calc!$G$3:$G$22-B3869))</f>
        <v/>
      </c>
      <c r="I3869">
        <f>SUMPRODUCT(Calc!$K$3:$K$22*(Calc!$G$3:$G$22&gt;A3869)*(Calc!$G$3:$G$22-A3869)^2)</f>
        <v/>
      </c>
      <c r="J3869">
        <f>SUMPRODUCT(Calc!$K$3:$K$22*(Calc!$G$3:$G$22&gt;B3869)*(Calc!$G$3:$G$22-B3869)^2)</f>
        <v/>
      </c>
      <c r="K3869">
        <f>SUMPRODUCT(Calc!$K$3:$K$22*(Calc!$G$3:$G$22&gt;A3869)*(Calc!$G$3:$G$22-A3869)*(Calc!$G$3:$G$22&gt;B3869)*(Calc!$G$3:$G$22-B3869))</f>
        <v/>
      </c>
      <c r="L3869">
        <f>SUMPRODUCT(Calc!$K$3:$K$22*(Calc!$G$3:$G$22&gt;A3869)*(Calc!$G$3:$G$22-A3869)*Calc!$G$3:$G$22)</f>
        <v/>
      </c>
      <c r="M3869">
        <f>SUMPRODUCT(Calc!$K$3:$K$22*(Calc!$G$3:$G$22&gt;B3869)*(Calc!$G$3:$G$22-B3869)*Calc!$G$3:$G$22)</f>
        <v/>
      </c>
      <c r="N3869">
        <f>SUMPRODUCT(Calc!$K$3:$K$22*(Calc!$G$3:$G$22&gt;A3869)*(Calc!$G$3:$G$22-A3869)*Calc!$I$3:$I$22)</f>
        <v/>
      </c>
      <c r="O3869">
        <f>SUMPRODUCT(Calc!$K$3:$K$22*(Calc!$G$3:$G$22&gt;B3869)*(Calc!$G$3:$G$22-B3869)*Calc!$I$3:$I$22)</f>
        <v/>
      </c>
      <c r="P3869">
        <f>I3869-G3869^2/k_n</f>
        <v/>
      </c>
      <c r="Q3869">
        <f>J3869-H3869^2/k_n</f>
        <v/>
      </c>
      <c r="R3869">
        <f>K3869-G3869*H3869/k_n</f>
        <v/>
      </c>
      <c r="S3869">
        <f>L3869-LTP3!$D$3*G3869/k_n</f>
        <v/>
      </c>
      <c r="T3869">
        <f>M3869-LTP3!$D$3*H3869/k_n</f>
        <v/>
      </c>
      <c r="U3869">
        <f>N3869-G3869*LTP3!$D$4/k_n</f>
        <v/>
      </c>
      <c r="V3869">
        <f>O3869-H3869*LTP3!$D$4/k_n</f>
        <v/>
      </c>
      <c r="W3869">
        <f>((LTP3!$D$5)*((P3869)*(Q3869)-(R3869)*(R3869))-(S3869)*((S3869)*(Q3869)-(R3869)*(T3869))+(T3869)*((S3869)*(R3869)-(P3869)*(T3869)))</f>
        <v/>
      </c>
      <c r="X3869">
        <f>IF(ABS(W3869)&gt;1E-12,((LTP3!$D$6)*((P3869)*(Q3869)-(R3869)*(R3869))-(S3869)*((U3869)*(Q3869)-(R3869)*(V3869))+(T3869)*((U3869)*(R3869)-(P3869)*(V3869)))/W3869,0)</f>
        <v/>
      </c>
      <c r="Y3869">
        <f>IF(ABS(W3869)&gt;1E-12,((LTP3!$D$5)*((U3869)*(Q3869)-(R3869)*(V3869))-(LTP3!$D$6)*((S3869)*(Q3869)-(R3869)*(T3869))+(T3869)*((S3869)*(V3869)-(U3869)*(T3869)))/W3869,0)</f>
        <v/>
      </c>
      <c r="Z3869">
        <f>IF(ABS(W3869)&gt;1E-12,((LTP3!$D$5)*((P3869)*(V3869)-(U3869)*(R3869))-(S3869)*((S3869)*(V3869)-(U3869)*(T3869))+(LTP3!$D$6)*((S3869)*(R3869)-(P3869)*(T3869)))/W3869,0)</f>
        <v/>
      </c>
      <c r="AA3869">
        <f>LTP3!$D$7-X3869*LTP3!$D$6-Y3869*U3869-Z3869*V3869</f>
        <v/>
      </c>
      <c r="AB3869">
        <f>IF(AND(F3869,ABS(W3869)&gt;1E-12,Y3869&gt;0,Z3869&gt;0),AA3869,1E+300)</f>
        <v/>
      </c>
    </row>
    <row r="3870">
      <c r="A3870">
        <f>$I$3-$B$5+$B$5*6/10</f>
        <v/>
      </c>
      <c r="B3870">
        <f>$J$3-$B$5+$B$5*8/10</f>
        <v/>
      </c>
      <c r="C3870">
        <f>SUMPRODUCT(Calc!$K$3:$K$22*(Calc!$G$3:$G$22&lt;=A3870))</f>
        <v/>
      </c>
      <c r="D3870">
        <f>SUMPRODUCT(Calc!$K$3:$K$22*(Calc!$G$3:$G$22&gt;A3870)*(Calc!$G$3:$G$22&lt;B3870))</f>
        <v/>
      </c>
      <c r="E3870">
        <f>SUMPRODUCT(Calc!$K$3:$K$22*(Calc!$G$3:$G$22&gt;=B3870))</f>
        <v/>
      </c>
      <c r="F3870">
        <f>AND(k_n&gt;=5,B3870&gt;A3870+1E-9,C3870&gt;=2,D3870&gt;=1,E3870&gt;=2)</f>
        <v/>
      </c>
      <c r="G3870">
        <f>SUMPRODUCT(Calc!$K$3:$K$22*(Calc!$G$3:$G$22&gt;A3870)*(Calc!$G$3:$G$22-A3870))</f>
        <v/>
      </c>
      <c r="H3870">
        <f>SUMPRODUCT(Calc!$K$3:$K$22*(Calc!$G$3:$G$22&gt;B3870)*(Calc!$G$3:$G$22-B3870))</f>
        <v/>
      </c>
      <c r="I3870">
        <f>SUMPRODUCT(Calc!$K$3:$K$22*(Calc!$G$3:$G$22&gt;A3870)*(Calc!$G$3:$G$22-A3870)^2)</f>
        <v/>
      </c>
      <c r="J3870">
        <f>SUMPRODUCT(Calc!$K$3:$K$22*(Calc!$G$3:$G$22&gt;B3870)*(Calc!$G$3:$G$22-B3870)^2)</f>
        <v/>
      </c>
      <c r="K3870">
        <f>SUMPRODUCT(Calc!$K$3:$K$22*(Calc!$G$3:$G$22&gt;A3870)*(Calc!$G$3:$G$22-A3870)*(Calc!$G$3:$G$22&gt;B3870)*(Calc!$G$3:$G$22-B3870))</f>
        <v/>
      </c>
      <c r="L3870">
        <f>SUMPRODUCT(Calc!$K$3:$K$22*(Calc!$G$3:$G$22&gt;A3870)*(Calc!$G$3:$G$22-A3870)*Calc!$G$3:$G$22)</f>
        <v/>
      </c>
      <c r="M3870">
        <f>SUMPRODUCT(Calc!$K$3:$K$22*(Calc!$G$3:$G$22&gt;B3870)*(Calc!$G$3:$G$22-B3870)*Calc!$G$3:$G$22)</f>
        <v/>
      </c>
      <c r="N3870">
        <f>SUMPRODUCT(Calc!$K$3:$K$22*(Calc!$G$3:$G$22&gt;A3870)*(Calc!$G$3:$G$22-A3870)*Calc!$I$3:$I$22)</f>
        <v/>
      </c>
      <c r="O3870">
        <f>SUMPRODUCT(Calc!$K$3:$K$22*(Calc!$G$3:$G$22&gt;B3870)*(Calc!$G$3:$G$22-B3870)*Calc!$I$3:$I$22)</f>
        <v/>
      </c>
      <c r="P3870">
        <f>I3870-G3870^2/k_n</f>
        <v/>
      </c>
      <c r="Q3870">
        <f>J3870-H3870^2/k_n</f>
        <v/>
      </c>
      <c r="R3870">
        <f>K3870-G3870*H3870/k_n</f>
        <v/>
      </c>
      <c r="S3870">
        <f>L3870-LTP3!$D$3*G3870/k_n</f>
        <v/>
      </c>
      <c r="T3870">
        <f>M3870-LTP3!$D$3*H3870/k_n</f>
        <v/>
      </c>
      <c r="U3870">
        <f>N3870-G3870*LTP3!$D$4/k_n</f>
        <v/>
      </c>
      <c r="V3870">
        <f>O3870-H3870*LTP3!$D$4/k_n</f>
        <v/>
      </c>
      <c r="W3870">
        <f>((LTP3!$D$5)*((P3870)*(Q3870)-(R3870)*(R3870))-(S3870)*((S3870)*(Q3870)-(R3870)*(T3870))+(T3870)*((S3870)*(R3870)-(P3870)*(T3870)))</f>
        <v/>
      </c>
      <c r="X3870">
        <f>IF(ABS(W3870)&gt;1E-12,((LTP3!$D$6)*((P3870)*(Q3870)-(R3870)*(R3870))-(S3870)*((U3870)*(Q3870)-(R3870)*(V3870))+(T3870)*((U3870)*(R3870)-(P3870)*(V3870)))/W3870,0)</f>
        <v/>
      </c>
      <c r="Y3870">
        <f>IF(ABS(W3870)&gt;1E-12,((LTP3!$D$5)*((U3870)*(Q3870)-(R3870)*(V3870))-(LTP3!$D$6)*((S3870)*(Q3870)-(R3870)*(T3870))+(T3870)*((S3870)*(V3870)-(U3870)*(T3870)))/W3870,0)</f>
        <v/>
      </c>
      <c r="Z3870">
        <f>IF(ABS(W3870)&gt;1E-12,((LTP3!$D$5)*((P3870)*(V3870)-(U3870)*(R3870))-(S3870)*((S3870)*(V3870)-(U3870)*(T3870))+(LTP3!$D$6)*((S3870)*(R3870)-(P3870)*(T3870)))/W3870,0)</f>
        <v/>
      </c>
      <c r="AA3870">
        <f>LTP3!$D$7-X3870*LTP3!$D$6-Y3870*U3870-Z3870*V3870</f>
        <v/>
      </c>
      <c r="AB3870">
        <f>IF(AND(F3870,ABS(W3870)&gt;1E-12,Y3870&gt;0,Z3870&gt;0),AA3870,1E+300)</f>
        <v/>
      </c>
    </row>
    <row r="3871">
      <c r="A3871">
        <f>$I$3-$B$5+$B$5*6/10</f>
        <v/>
      </c>
      <c r="B3871">
        <f>$J$3-$B$5+$B$5*9/10</f>
        <v/>
      </c>
      <c r="C3871">
        <f>SUMPRODUCT(Calc!$K$3:$K$22*(Calc!$G$3:$G$22&lt;=A3871))</f>
        <v/>
      </c>
      <c r="D3871">
        <f>SUMPRODUCT(Calc!$K$3:$K$22*(Calc!$G$3:$G$22&gt;A3871)*(Calc!$G$3:$G$22&lt;B3871))</f>
        <v/>
      </c>
      <c r="E3871">
        <f>SUMPRODUCT(Calc!$K$3:$K$22*(Calc!$G$3:$G$22&gt;=B3871))</f>
        <v/>
      </c>
      <c r="F3871">
        <f>AND(k_n&gt;=5,B3871&gt;A3871+1E-9,C3871&gt;=2,D3871&gt;=1,E3871&gt;=2)</f>
        <v/>
      </c>
      <c r="G3871">
        <f>SUMPRODUCT(Calc!$K$3:$K$22*(Calc!$G$3:$G$22&gt;A3871)*(Calc!$G$3:$G$22-A3871))</f>
        <v/>
      </c>
      <c r="H3871">
        <f>SUMPRODUCT(Calc!$K$3:$K$22*(Calc!$G$3:$G$22&gt;B3871)*(Calc!$G$3:$G$22-B3871))</f>
        <v/>
      </c>
      <c r="I3871">
        <f>SUMPRODUCT(Calc!$K$3:$K$22*(Calc!$G$3:$G$22&gt;A3871)*(Calc!$G$3:$G$22-A3871)^2)</f>
        <v/>
      </c>
      <c r="J3871">
        <f>SUMPRODUCT(Calc!$K$3:$K$22*(Calc!$G$3:$G$22&gt;B3871)*(Calc!$G$3:$G$22-B3871)^2)</f>
        <v/>
      </c>
      <c r="K3871">
        <f>SUMPRODUCT(Calc!$K$3:$K$22*(Calc!$G$3:$G$22&gt;A3871)*(Calc!$G$3:$G$22-A3871)*(Calc!$G$3:$G$22&gt;B3871)*(Calc!$G$3:$G$22-B3871))</f>
        <v/>
      </c>
      <c r="L3871">
        <f>SUMPRODUCT(Calc!$K$3:$K$22*(Calc!$G$3:$G$22&gt;A3871)*(Calc!$G$3:$G$22-A3871)*Calc!$G$3:$G$22)</f>
        <v/>
      </c>
      <c r="M3871">
        <f>SUMPRODUCT(Calc!$K$3:$K$22*(Calc!$G$3:$G$22&gt;B3871)*(Calc!$G$3:$G$22-B3871)*Calc!$G$3:$G$22)</f>
        <v/>
      </c>
      <c r="N3871">
        <f>SUMPRODUCT(Calc!$K$3:$K$22*(Calc!$G$3:$G$22&gt;A3871)*(Calc!$G$3:$G$22-A3871)*Calc!$I$3:$I$22)</f>
        <v/>
      </c>
      <c r="O3871">
        <f>SUMPRODUCT(Calc!$K$3:$K$22*(Calc!$G$3:$G$22&gt;B3871)*(Calc!$G$3:$G$22-B3871)*Calc!$I$3:$I$22)</f>
        <v/>
      </c>
      <c r="P3871">
        <f>I3871-G3871^2/k_n</f>
        <v/>
      </c>
      <c r="Q3871">
        <f>J3871-H3871^2/k_n</f>
        <v/>
      </c>
      <c r="R3871">
        <f>K3871-G3871*H3871/k_n</f>
        <v/>
      </c>
      <c r="S3871">
        <f>L3871-LTP3!$D$3*G3871/k_n</f>
        <v/>
      </c>
      <c r="T3871">
        <f>M3871-LTP3!$D$3*H3871/k_n</f>
        <v/>
      </c>
      <c r="U3871">
        <f>N3871-G3871*LTP3!$D$4/k_n</f>
        <v/>
      </c>
      <c r="V3871">
        <f>O3871-H3871*LTP3!$D$4/k_n</f>
        <v/>
      </c>
      <c r="W3871">
        <f>((LTP3!$D$5)*((P3871)*(Q3871)-(R3871)*(R3871))-(S3871)*((S3871)*(Q3871)-(R3871)*(T3871))+(T3871)*((S3871)*(R3871)-(P3871)*(T3871)))</f>
        <v/>
      </c>
      <c r="X3871">
        <f>IF(ABS(W3871)&gt;1E-12,((LTP3!$D$6)*((P3871)*(Q3871)-(R3871)*(R3871))-(S3871)*((U3871)*(Q3871)-(R3871)*(V3871))+(T3871)*((U3871)*(R3871)-(P3871)*(V3871)))/W3871,0)</f>
        <v/>
      </c>
      <c r="Y3871">
        <f>IF(ABS(W3871)&gt;1E-12,((LTP3!$D$5)*((U3871)*(Q3871)-(R3871)*(V3871))-(LTP3!$D$6)*((S3871)*(Q3871)-(R3871)*(T3871))+(T3871)*((S3871)*(V3871)-(U3871)*(T3871)))/W3871,0)</f>
        <v/>
      </c>
      <c r="Z3871">
        <f>IF(ABS(W3871)&gt;1E-12,((LTP3!$D$5)*((P3871)*(V3871)-(U3871)*(R3871))-(S3871)*((S3871)*(V3871)-(U3871)*(T3871))+(LTP3!$D$6)*((S3871)*(R3871)-(P3871)*(T3871)))/W3871,0)</f>
        <v/>
      </c>
      <c r="AA3871">
        <f>LTP3!$D$7-X3871*LTP3!$D$6-Y3871*U3871-Z3871*V3871</f>
        <v/>
      </c>
      <c r="AB3871">
        <f>IF(AND(F3871,ABS(W3871)&gt;1E-12,Y3871&gt;0,Z3871&gt;0),AA3871,1E+300)</f>
        <v/>
      </c>
    </row>
    <row r="3872">
      <c r="A3872">
        <f>$I$3-$B$5+$B$5*6/10</f>
        <v/>
      </c>
      <c r="B3872">
        <f>$J$3-$B$5+$B$5*10/10</f>
        <v/>
      </c>
      <c r="C3872">
        <f>SUMPRODUCT(Calc!$K$3:$K$22*(Calc!$G$3:$G$22&lt;=A3872))</f>
        <v/>
      </c>
      <c r="D3872">
        <f>SUMPRODUCT(Calc!$K$3:$K$22*(Calc!$G$3:$G$22&gt;A3872)*(Calc!$G$3:$G$22&lt;B3872))</f>
        <v/>
      </c>
      <c r="E3872">
        <f>SUMPRODUCT(Calc!$K$3:$K$22*(Calc!$G$3:$G$22&gt;=B3872))</f>
        <v/>
      </c>
      <c r="F3872">
        <f>AND(k_n&gt;=5,B3872&gt;A3872+1E-9,C3872&gt;=2,D3872&gt;=1,E3872&gt;=2)</f>
        <v/>
      </c>
      <c r="G3872">
        <f>SUMPRODUCT(Calc!$K$3:$K$22*(Calc!$G$3:$G$22&gt;A3872)*(Calc!$G$3:$G$22-A3872))</f>
        <v/>
      </c>
      <c r="H3872">
        <f>SUMPRODUCT(Calc!$K$3:$K$22*(Calc!$G$3:$G$22&gt;B3872)*(Calc!$G$3:$G$22-B3872))</f>
        <v/>
      </c>
      <c r="I3872">
        <f>SUMPRODUCT(Calc!$K$3:$K$22*(Calc!$G$3:$G$22&gt;A3872)*(Calc!$G$3:$G$22-A3872)^2)</f>
        <v/>
      </c>
      <c r="J3872">
        <f>SUMPRODUCT(Calc!$K$3:$K$22*(Calc!$G$3:$G$22&gt;B3872)*(Calc!$G$3:$G$22-B3872)^2)</f>
        <v/>
      </c>
      <c r="K3872">
        <f>SUMPRODUCT(Calc!$K$3:$K$22*(Calc!$G$3:$G$22&gt;A3872)*(Calc!$G$3:$G$22-A3872)*(Calc!$G$3:$G$22&gt;B3872)*(Calc!$G$3:$G$22-B3872))</f>
        <v/>
      </c>
      <c r="L3872">
        <f>SUMPRODUCT(Calc!$K$3:$K$22*(Calc!$G$3:$G$22&gt;A3872)*(Calc!$G$3:$G$22-A3872)*Calc!$G$3:$G$22)</f>
        <v/>
      </c>
      <c r="M3872">
        <f>SUMPRODUCT(Calc!$K$3:$K$22*(Calc!$G$3:$G$22&gt;B3872)*(Calc!$G$3:$G$22-B3872)*Calc!$G$3:$G$22)</f>
        <v/>
      </c>
      <c r="N3872">
        <f>SUMPRODUCT(Calc!$K$3:$K$22*(Calc!$G$3:$G$22&gt;A3872)*(Calc!$G$3:$G$22-A3872)*Calc!$I$3:$I$22)</f>
        <v/>
      </c>
      <c r="O3872">
        <f>SUMPRODUCT(Calc!$K$3:$K$22*(Calc!$G$3:$G$22&gt;B3872)*(Calc!$G$3:$G$22-B3872)*Calc!$I$3:$I$22)</f>
        <v/>
      </c>
      <c r="P3872">
        <f>I3872-G3872^2/k_n</f>
        <v/>
      </c>
      <c r="Q3872">
        <f>J3872-H3872^2/k_n</f>
        <v/>
      </c>
      <c r="R3872">
        <f>K3872-G3872*H3872/k_n</f>
        <v/>
      </c>
      <c r="S3872">
        <f>L3872-LTP3!$D$3*G3872/k_n</f>
        <v/>
      </c>
      <c r="T3872">
        <f>M3872-LTP3!$D$3*H3872/k_n</f>
        <v/>
      </c>
      <c r="U3872">
        <f>N3872-G3872*LTP3!$D$4/k_n</f>
        <v/>
      </c>
      <c r="V3872">
        <f>O3872-H3872*LTP3!$D$4/k_n</f>
        <v/>
      </c>
      <c r="W3872">
        <f>((LTP3!$D$5)*((P3872)*(Q3872)-(R3872)*(R3872))-(S3872)*((S3872)*(Q3872)-(R3872)*(T3872))+(T3872)*((S3872)*(R3872)-(P3872)*(T3872)))</f>
        <v/>
      </c>
      <c r="X3872">
        <f>IF(ABS(W3872)&gt;1E-12,((LTP3!$D$6)*((P3872)*(Q3872)-(R3872)*(R3872))-(S3872)*((U3872)*(Q3872)-(R3872)*(V3872))+(T3872)*((U3872)*(R3872)-(P3872)*(V3872)))/W3872,0)</f>
        <v/>
      </c>
      <c r="Y3872">
        <f>IF(ABS(W3872)&gt;1E-12,((LTP3!$D$5)*((U3872)*(Q3872)-(R3872)*(V3872))-(LTP3!$D$6)*((S3872)*(Q3872)-(R3872)*(T3872))+(T3872)*((S3872)*(V3872)-(U3872)*(T3872)))/W3872,0)</f>
        <v/>
      </c>
      <c r="Z3872">
        <f>IF(ABS(W3872)&gt;1E-12,((LTP3!$D$5)*((P3872)*(V3872)-(U3872)*(R3872))-(S3872)*((S3872)*(V3872)-(U3872)*(T3872))+(LTP3!$D$6)*((S3872)*(R3872)-(P3872)*(T3872)))/W3872,0)</f>
        <v/>
      </c>
      <c r="AA3872">
        <f>LTP3!$D$7-X3872*LTP3!$D$6-Y3872*U3872-Z3872*V3872</f>
        <v/>
      </c>
      <c r="AB3872">
        <f>IF(AND(F3872,ABS(W3872)&gt;1E-12,Y3872&gt;0,Z3872&gt;0),AA3872,1E+300)</f>
        <v/>
      </c>
    </row>
    <row r="3873">
      <c r="A3873">
        <f>$I$3-$B$5+$B$5*6/10</f>
        <v/>
      </c>
      <c r="B3873">
        <f>$J$3-$B$5+$B$5*11/10</f>
        <v/>
      </c>
      <c r="C3873">
        <f>SUMPRODUCT(Calc!$K$3:$K$22*(Calc!$G$3:$G$22&lt;=A3873))</f>
        <v/>
      </c>
      <c r="D3873">
        <f>SUMPRODUCT(Calc!$K$3:$K$22*(Calc!$G$3:$G$22&gt;A3873)*(Calc!$G$3:$G$22&lt;B3873))</f>
        <v/>
      </c>
      <c r="E3873">
        <f>SUMPRODUCT(Calc!$K$3:$K$22*(Calc!$G$3:$G$22&gt;=B3873))</f>
        <v/>
      </c>
      <c r="F3873">
        <f>AND(k_n&gt;=5,B3873&gt;A3873+1E-9,C3873&gt;=2,D3873&gt;=1,E3873&gt;=2)</f>
        <v/>
      </c>
      <c r="G3873">
        <f>SUMPRODUCT(Calc!$K$3:$K$22*(Calc!$G$3:$G$22&gt;A3873)*(Calc!$G$3:$G$22-A3873))</f>
        <v/>
      </c>
      <c r="H3873">
        <f>SUMPRODUCT(Calc!$K$3:$K$22*(Calc!$G$3:$G$22&gt;B3873)*(Calc!$G$3:$G$22-B3873))</f>
        <v/>
      </c>
      <c r="I3873">
        <f>SUMPRODUCT(Calc!$K$3:$K$22*(Calc!$G$3:$G$22&gt;A3873)*(Calc!$G$3:$G$22-A3873)^2)</f>
        <v/>
      </c>
      <c r="J3873">
        <f>SUMPRODUCT(Calc!$K$3:$K$22*(Calc!$G$3:$G$22&gt;B3873)*(Calc!$G$3:$G$22-B3873)^2)</f>
        <v/>
      </c>
      <c r="K3873">
        <f>SUMPRODUCT(Calc!$K$3:$K$22*(Calc!$G$3:$G$22&gt;A3873)*(Calc!$G$3:$G$22-A3873)*(Calc!$G$3:$G$22&gt;B3873)*(Calc!$G$3:$G$22-B3873))</f>
        <v/>
      </c>
      <c r="L3873">
        <f>SUMPRODUCT(Calc!$K$3:$K$22*(Calc!$G$3:$G$22&gt;A3873)*(Calc!$G$3:$G$22-A3873)*Calc!$G$3:$G$22)</f>
        <v/>
      </c>
      <c r="M3873">
        <f>SUMPRODUCT(Calc!$K$3:$K$22*(Calc!$G$3:$G$22&gt;B3873)*(Calc!$G$3:$G$22-B3873)*Calc!$G$3:$G$22)</f>
        <v/>
      </c>
      <c r="N3873">
        <f>SUMPRODUCT(Calc!$K$3:$K$22*(Calc!$G$3:$G$22&gt;A3873)*(Calc!$G$3:$G$22-A3873)*Calc!$I$3:$I$22)</f>
        <v/>
      </c>
      <c r="O3873">
        <f>SUMPRODUCT(Calc!$K$3:$K$22*(Calc!$G$3:$G$22&gt;B3873)*(Calc!$G$3:$G$22-B3873)*Calc!$I$3:$I$22)</f>
        <v/>
      </c>
      <c r="P3873">
        <f>I3873-G3873^2/k_n</f>
        <v/>
      </c>
      <c r="Q3873">
        <f>J3873-H3873^2/k_n</f>
        <v/>
      </c>
      <c r="R3873">
        <f>K3873-G3873*H3873/k_n</f>
        <v/>
      </c>
      <c r="S3873">
        <f>L3873-LTP3!$D$3*G3873/k_n</f>
        <v/>
      </c>
      <c r="T3873">
        <f>M3873-LTP3!$D$3*H3873/k_n</f>
        <v/>
      </c>
      <c r="U3873">
        <f>N3873-G3873*LTP3!$D$4/k_n</f>
        <v/>
      </c>
      <c r="V3873">
        <f>O3873-H3873*LTP3!$D$4/k_n</f>
        <v/>
      </c>
      <c r="W3873">
        <f>((LTP3!$D$5)*((P3873)*(Q3873)-(R3873)*(R3873))-(S3873)*((S3873)*(Q3873)-(R3873)*(T3873))+(T3873)*((S3873)*(R3873)-(P3873)*(T3873)))</f>
        <v/>
      </c>
      <c r="X3873">
        <f>IF(ABS(W3873)&gt;1E-12,((LTP3!$D$6)*((P3873)*(Q3873)-(R3873)*(R3873))-(S3873)*((U3873)*(Q3873)-(R3873)*(V3873))+(T3873)*((U3873)*(R3873)-(P3873)*(V3873)))/W3873,0)</f>
        <v/>
      </c>
      <c r="Y3873">
        <f>IF(ABS(W3873)&gt;1E-12,((LTP3!$D$5)*((U3873)*(Q3873)-(R3873)*(V3873))-(LTP3!$D$6)*((S3873)*(Q3873)-(R3873)*(T3873))+(T3873)*((S3873)*(V3873)-(U3873)*(T3873)))/W3873,0)</f>
        <v/>
      </c>
      <c r="Z3873">
        <f>IF(ABS(W3873)&gt;1E-12,((LTP3!$D$5)*((P3873)*(V3873)-(U3873)*(R3873))-(S3873)*((S3873)*(V3873)-(U3873)*(T3873))+(LTP3!$D$6)*((S3873)*(R3873)-(P3873)*(T3873)))/W3873,0)</f>
        <v/>
      </c>
      <c r="AA3873">
        <f>LTP3!$D$7-X3873*LTP3!$D$6-Y3873*U3873-Z3873*V3873</f>
        <v/>
      </c>
      <c r="AB3873">
        <f>IF(AND(F3873,ABS(W3873)&gt;1E-12,Y3873&gt;0,Z3873&gt;0),AA3873,1E+300)</f>
        <v/>
      </c>
    </row>
    <row r="3874">
      <c r="A3874">
        <f>$I$3-$B$5+$B$5*6/10</f>
        <v/>
      </c>
      <c r="B3874">
        <f>$J$3-$B$5+$B$5*12/10</f>
        <v/>
      </c>
      <c r="C3874">
        <f>SUMPRODUCT(Calc!$K$3:$K$22*(Calc!$G$3:$G$22&lt;=A3874))</f>
        <v/>
      </c>
      <c r="D3874">
        <f>SUMPRODUCT(Calc!$K$3:$K$22*(Calc!$G$3:$G$22&gt;A3874)*(Calc!$G$3:$G$22&lt;B3874))</f>
        <v/>
      </c>
      <c r="E3874">
        <f>SUMPRODUCT(Calc!$K$3:$K$22*(Calc!$G$3:$G$22&gt;=B3874))</f>
        <v/>
      </c>
      <c r="F3874">
        <f>AND(k_n&gt;=5,B3874&gt;A3874+1E-9,C3874&gt;=2,D3874&gt;=1,E3874&gt;=2)</f>
        <v/>
      </c>
      <c r="G3874">
        <f>SUMPRODUCT(Calc!$K$3:$K$22*(Calc!$G$3:$G$22&gt;A3874)*(Calc!$G$3:$G$22-A3874))</f>
        <v/>
      </c>
      <c r="H3874">
        <f>SUMPRODUCT(Calc!$K$3:$K$22*(Calc!$G$3:$G$22&gt;B3874)*(Calc!$G$3:$G$22-B3874))</f>
        <v/>
      </c>
      <c r="I3874">
        <f>SUMPRODUCT(Calc!$K$3:$K$22*(Calc!$G$3:$G$22&gt;A3874)*(Calc!$G$3:$G$22-A3874)^2)</f>
        <v/>
      </c>
      <c r="J3874">
        <f>SUMPRODUCT(Calc!$K$3:$K$22*(Calc!$G$3:$G$22&gt;B3874)*(Calc!$G$3:$G$22-B3874)^2)</f>
        <v/>
      </c>
      <c r="K3874">
        <f>SUMPRODUCT(Calc!$K$3:$K$22*(Calc!$G$3:$G$22&gt;A3874)*(Calc!$G$3:$G$22-A3874)*(Calc!$G$3:$G$22&gt;B3874)*(Calc!$G$3:$G$22-B3874))</f>
        <v/>
      </c>
      <c r="L3874">
        <f>SUMPRODUCT(Calc!$K$3:$K$22*(Calc!$G$3:$G$22&gt;A3874)*(Calc!$G$3:$G$22-A3874)*Calc!$G$3:$G$22)</f>
        <v/>
      </c>
      <c r="M3874">
        <f>SUMPRODUCT(Calc!$K$3:$K$22*(Calc!$G$3:$G$22&gt;B3874)*(Calc!$G$3:$G$22-B3874)*Calc!$G$3:$G$22)</f>
        <v/>
      </c>
      <c r="N3874">
        <f>SUMPRODUCT(Calc!$K$3:$K$22*(Calc!$G$3:$G$22&gt;A3874)*(Calc!$G$3:$G$22-A3874)*Calc!$I$3:$I$22)</f>
        <v/>
      </c>
      <c r="O3874">
        <f>SUMPRODUCT(Calc!$K$3:$K$22*(Calc!$G$3:$G$22&gt;B3874)*(Calc!$G$3:$G$22-B3874)*Calc!$I$3:$I$22)</f>
        <v/>
      </c>
      <c r="P3874">
        <f>I3874-G3874^2/k_n</f>
        <v/>
      </c>
      <c r="Q3874">
        <f>J3874-H3874^2/k_n</f>
        <v/>
      </c>
      <c r="R3874">
        <f>K3874-G3874*H3874/k_n</f>
        <v/>
      </c>
      <c r="S3874">
        <f>L3874-LTP3!$D$3*G3874/k_n</f>
        <v/>
      </c>
      <c r="T3874">
        <f>M3874-LTP3!$D$3*H3874/k_n</f>
        <v/>
      </c>
      <c r="U3874">
        <f>N3874-G3874*LTP3!$D$4/k_n</f>
        <v/>
      </c>
      <c r="V3874">
        <f>O3874-H3874*LTP3!$D$4/k_n</f>
        <v/>
      </c>
      <c r="W3874">
        <f>((LTP3!$D$5)*((P3874)*(Q3874)-(R3874)*(R3874))-(S3874)*((S3874)*(Q3874)-(R3874)*(T3874))+(T3874)*((S3874)*(R3874)-(P3874)*(T3874)))</f>
        <v/>
      </c>
      <c r="X3874">
        <f>IF(ABS(W3874)&gt;1E-12,((LTP3!$D$6)*((P3874)*(Q3874)-(R3874)*(R3874))-(S3874)*((U3874)*(Q3874)-(R3874)*(V3874))+(T3874)*((U3874)*(R3874)-(P3874)*(V3874)))/W3874,0)</f>
        <v/>
      </c>
      <c r="Y3874">
        <f>IF(ABS(W3874)&gt;1E-12,((LTP3!$D$5)*((U3874)*(Q3874)-(R3874)*(V3874))-(LTP3!$D$6)*((S3874)*(Q3874)-(R3874)*(T3874))+(T3874)*((S3874)*(V3874)-(U3874)*(T3874)))/W3874,0)</f>
        <v/>
      </c>
      <c r="Z3874">
        <f>IF(ABS(W3874)&gt;1E-12,((LTP3!$D$5)*((P3874)*(V3874)-(U3874)*(R3874))-(S3874)*((S3874)*(V3874)-(U3874)*(T3874))+(LTP3!$D$6)*((S3874)*(R3874)-(P3874)*(T3874)))/W3874,0)</f>
        <v/>
      </c>
      <c r="AA3874">
        <f>LTP3!$D$7-X3874*LTP3!$D$6-Y3874*U3874-Z3874*V3874</f>
        <v/>
      </c>
      <c r="AB3874">
        <f>IF(AND(F3874,ABS(W3874)&gt;1E-12,Y3874&gt;0,Z3874&gt;0),AA3874,1E+300)</f>
        <v/>
      </c>
    </row>
    <row r="3875">
      <c r="A3875">
        <f>$I$3-$B$5+$B$5*6/10</f>
        <v/>
      </c>
      <c r="B3875">
        <f>$J$3-$B$5+$B$5*13/10</f>
        <v/>
      </c>
      <c r="C3875">
        <f>SUMPRODUCT(Calc!$K$3:$K$22*(Calc!$G$3:$G$22&lt;=A3875))</f>
        <v/>
      </c>
      <c r="D3875">
        <f>SUMPRODUCT(Calc!$K$3:$K$22*(Calc!$G$3:$G$22&gt;A3875)*(Calc!$G$3:$G$22&lt;B3875))</f>
        <v/>
      </c>
      <c r="E3875">
        <f>SUMPRODUCT(Calc!$K$3:$K$22*(Calc!$G$3:$G$22&gt;=B3875))</f>
        <v/>
      </c>
      <c r="F3875">
        <f>AND(k_n&gt;=5,B3875&gt;A3875+1E-9,C3875&gt;=2,D3875&gt;=1,E3875&gt;=2)</f>
        <v/>
      </c>
      <c r="G3875">
        <f>SUMPRODUCT(Calc!$K$3:$K$22*(Calc!$G$3:$G$22&gt;A3875)*(Calc!$G$3:$G$22-A3875))</f>
        <v/>
      </c>
      <c r="H3875">
        <f>SUMPRODUCT(Calc!$K$3:$K$22*(Calc!$G$3:$G$22&gt;B3875)*(Calc!$G$3:$G$22-B3875))</f>
        <v/>
      </c>
      <c r="I3875">
        <f>SUMPRODUCT(Calc!$K$3:$K$22*(Calc!$G$3:$G$22&gt;A3875)*(Calc!$G$3:$G$22-A3875)^2)</f>
        <v/>
      </c>
      <c r="J3875">
        <f>SUMPRODUCT(Calc!$K$3:$K$22*(Calc!$G$3:$G$22&gt;B3875)*(Calc!$G$3:$G$22-B3875)^2)</f>
        <v/>
      </c>
      <c r="K3875">
        <f>SUMPRODUCT(Calc!$K$3:$K$22*(Calc!$G$3:$G$22&gt;A3875)*(Calc!$G$3:$G$22-A3875)*(Calc!$G$3:$G$22&gt;B3875)*(Calc!$G$3:$G$22-B3875))</f>
        <v/>
      </c>
      <c r="L3875">
        <f>SUMPRODUCT(Calc!$K$3:$K$22*(Calc!$G$3:$G$22&gt;A3875)*(Calc!$G$3:$G$22-A3875)*Calc!$G$3:$G$22)</f>
        <v/>
      </c>
      <c r="M3875">
        <f>SUMPRODUCT(Calc!$K$3:$K$22*(Calc!$G$3:$G$22&gt;B3875)*(Calc!$G$3:$G$22-B3875)*Calc!$G$3:$G$22)</f>
        <v/>
      </c>
      <c r="N3875">
        <f>SUMPRODUCT(Calc!$K$3:$K$22*(Calc!$G$3:$G$22&gt;A3875)*(Calc!$G$3:$G$22-A3875)*Calc!$I$3:$I$22)</f>
        <v/>
      </c>
      <c r="O3875">
        <f>SUMPRODUCT(Calc!$K$3:$K$22*(Calc!$G$3:$G$22&gt;B3875)*(Calc!$G$3:$G$22-B3875)*Calc!$I$3:$I$22)</f>
        <v/>
      </c>
      <c r="P3875">
        <f>I3875-G3875^2/k_n</f>
        <v/>
      </c>
      <c r="Q3875">
        <f>J3875-H3875^2/k_n</f>
        <v/>
      </c>
      <c r="R3875">
        <f>K3875-G3875*H3875/k_n</f>
        <v/>
      </c>
      <c r="S3875">
        <f>L3875-LTP3!$D$3*G3875/k_n</f>
        <v/>
      </c>
      <c r="T3875">
        <f>M3875-LTP3!$D$3*H3875/k_n</f>
        <v/>
      </c>
      <c r="U3875">
        <f>N3875-G3875*LTP3!$D$4/k_n</f>
        <v/>
      </c>
      <c r="V3875">
        <f>O3875-H3875*LTP3!$D$4/k_n</f>
        <v/>
      </c>
      <c r="W3875">
        <f>((LTP3!$D$5)*((P3875)*(Q3875)-(R3875)*(R3875))-(S3875)*((S3875)*(Q3875)-(R3875)*(T3875))+(T3875)*((S3875)*(R3875)-(P3875)*(T3875)))</f>
        <v/>
      </c>
      <c r="X3875">
        <f>IF(ABS(W3875)&gt;1E-12,((LTP3!$D$6)*((P3875)*(Q3875)-(R3875)*(R3875))-(S3875)*((U3875)*(Q3875)-(R3875)*(V3875))+(T3875)*((U3875)*(R3875)-(P3875)*(V3875)))/W3875,0)</f>
        <v/>
      </c>
      <c r="Y3875">
        <f>IF(ABS(W3875)&gt;1E-12,((LTP3!$D$5)*((U3875)*(Q3875)-(R3875)*(V3875))-(LTP3!$D$6)*((S3875)*(Q3875)-(R3875)*(T3875))+(T3875)*((S3875)*(V3875)-(U3875)*(T3875)))/W3875,0)</f>
        <v/>
      </c>
      <c r="Z3875">
        <f>IF(ABS(W3875)&gt;1E-12,((LTP3!$D$5)*((P3875)*(V3875)-(U3875)*(R3875))-(S3875)*((S3875)*(V3875)-(U3875)*(T3875))+(LTP3!$D$6)*((S3875)*(R3875)-(P3875)*(T3875)))/W3875,0)</f>
        <v/>
      </c>
      <c r="AA3875">
        <f>LTP3!$D$7-X3875*LTP3!$D$6-Y3875*U3875-Z3875*V3875</f>
        <v/>
      </c>
      <c r="AB3875">
        <f>IF(AND(F3875,ABS(W3875)&gt;1E-12,Y3875&gt;0,Z3875&gt;0),AA3875,1E+300)</f>
        <v/>
      </c>
    </row>
    <row r="3876">
      <c r="A3876">
        <f>$I$3-$B$5+$B$5*6/10</f>
        <v/>
      </c>
      <c r="B3876">
        <f>$J$3-$B$5+$B$5*14/10</f>
        <v/>
      </c>
      <c r="C3876">
        <f>SUMPRODUCT(Calc!$K$3:$K$22*(Calc!$G$3:$G$22&lt;=A3876))</f>
        <v/>
      </c>
      <c r="D3876">
        <f>SUMPRODUCT(Calc!$K$3:$K$22*(Calc!$G$3:$G$22&gt;A3876)*(Calc!$G$3:$G$22&lt;B3876))</f>
        <v/>
      </c>
      <c r="E3876">
        <f>SUMPRODUCT(Calc!$K$3:$K$22*(Calc!$G$3:$G$22&gt;=B3876))</f>
        <v/>
      </c>
      <c r="F3876">
        <f>AND(k_n&gt;=5,B3876&gt;A3876+1E-9,C3876&gt;=2,D3876&gt;=1,E3876&gt;=2)</f>
        <v/>
      </c>
      <c r="G3876">
        <f>SUMPRODUCT(Calc!$K$3:$K$22*(Calc!$G$3:$G$22&gt;A3876)*(Calc!$G$3:$G$22-A3876))</f>
        <v/>
      </c>
      <c r="H3876">
        <f>SUMPRODUCT(Calc!$K$3:$K$22*(Calc!$G$3:$G$22&gt;B3876)*(Calc!$G$3:$G$22-B3876))</f>
        <v/>
      </c>
      <c r="I3876">
        <f>SUMPRODUCT(Calc!$K$3:$K$22*(Calc!$G$3:$G$22&gt;A3876)*(Calc!$G$3:$G$22-A3876)^2)</f>
        <v/>
      </c>
      <c r="J3876">
        <f>SUMPRODUCT(Calc!$K$3:$K$22*(Calc!$G$3:$G$22&gt;B3876)*(Calc!$G$3:$G$22-B3876)^2)</f>
        <v/>
      </c>
      <c r="K3876">
        <f>SUMPRODUCT(Calc!$K$3:$K$22*(Calc!$G$3:$G$22&gt;A3876)*(Calc!$G$3:$G$22-A3876)*(Calc!$G$3:$G$22&gt;B3876)*(Calc!$G$3:$G$22-B3876))</f>
        <v/>
      </c>
      <c r="L3876">
        <f>SUMPRODUCT(Calc!$K$3:$K$22*(Calc!$G$3:$G$22&gt;A3876)*(Calc!$G$3:$G$22-A3876)*Calc!$G$3:$G$22)</f>
        <v/>
      </c>
      <c r="M3876">
        <f>SUMPRODUCT(Calc!$K$3:$K$22*(Calc!$G$3:$G$22&gt;B3876)*(Calc!$G$3:$G$22-B3876)*Calc!$G$3:$G$22)</f>
        <v/>
      </c>
      <c r="N3876">
        <f>SUMPRODUCT(Calc!$K$3:$K$22*(Calc!$G$3:$G$22&gt;A3876)*(Calc!$G$3:$G$22-A3876)*Calc!$I$3:$I$22)</f>
        <v/>
      </c>
      <c r="O3876">
        <f>SUMPRODUCT(Calc!$K$3:$K$22*(Calc!$G$3:$G$22&gt;B3876)*(Calc!$G$3:$G$22-B3876)*Calc!$I$3:$I$22)</f>
        <v/>
      </c>
      <c r="P3876">
        <f>I3876-G3876^2/k_n</f>
        <v/>
      </c>
      <c r="Q3876">
        <f>J3876-H3876^2/k_n</f>
        <v/>
      </c>
      <c r="R3876">
        <f>K3876-G3876*H3876/k_n</f>
        <v/>
      </c>
      <c r="S3876">
        <f>L3876-LTP3!$D$3*G3876/k_n</f>
        <v/>
      </c>
      <c r="T3876">
        <f>M3876-LTP3!$D$3*H3876/k_n</f>
        <v/>
      </c>
      <c r="U3876">
        <f>N3876-G3876*LTP3!$D$4/k_n</f>
        <v/>
      </c>
      <c r="V3876">
        <f>O3876-H3876*LTP3!$D$4/k_n</f>
        <v/>
      </c>
      <c r="W3876">
        <f>((LTP3!$D$5)*((P3876)*(Q3876)-(R3876)*(R3876))-(S3876)*((S3876)*(Q3876)-(R3876)*(T3876))+(T3876)*((S3876)*(R3876)-(P3876)*(T3876)))</f>
        <v/>
      </c>
      <c r="X3876">
        <f>IF(ABS(W3876)&gt;1E-12,((LTP3!$D$6)*((P3876)*(Q3876)-(R3876)*(R3876))-(S3876)*((U3876)*(Q3876)-(R3876)*(V3876))+(T3876)*((U3876)*(R3876)-(P3876)*(V3876)))/W3876,0)</f>
        <v/>
      </c>
      <c r="Y3876">
        <f>IF(ABS(W3876)&gt;1E-12,((LTP3!$D$5)*((U3876)*(Q3876)-(R3876)*(V3876))-(LTP3!$D$6)*((S3876)*(Q3876)-(R3876)*(T3876))+(T3876)*((S3876)*(V3876)-(U3876)*(T3876)))/W3876,0)</f>
        <v/>
      </c>
      <c r="Z3876">
        <f>IF(ABS(W3876)&gt;1E-12,((LTP3!$D$5)*((P3876)*(V3876)-(U3876)*(R3876))-(S3876)*((S3876)*(V3876)-(U3876)*(T3876))+(LTP3!$D$6)*((S3876)*(R3876)-(P3876)*(T3876)))/W3876,0)</f>
        <v/>
      </c>
      <c r="AA3876">
        <f>LTP3!$D$7-X3876*LTP3!$D$6-Y3876*U3876-Z3876*V3876</f>
        <v/>
      </c>
      <c r="AB3876">
        <f>IF(AND(F3876,ABS(W3876)&gt;1E-12,Y3876&gt;0,Z3876&gt;0),AA3876,1E+300)</f>
        <v/>
      </c>
    </row>
    <row r="3877">
      <c r="A3877">
        <f>$I$3-$B$5+$B$5*6/10</f>
        <v/>
      </c>
      <c r="B3877">
        <f>$J$3-$B$5+$B$5*15/10</f>
        <v/>
      </c>
      <c r="C3877">
        <f>SUMPRODUCT(Calc!$K$3:$K$22*(Calc!$G$3:$G$22&lt;=A3877))</f>
        <v/>
      </c>
      <c r="D3877">
        <f>SUMPRODUCT(Calc!$K$3:$K$22*(Calc!$G$3:$G$22&gt;A3877)*(Calc!$G$3:$G$22&lt;B3877))</f>
        <v/>
      </c>
      <c r="E3877">
        <f>SUMPRODUCT(Calc!$K$3:$K$22*(Calc!$G$3:$G$22&gt;=B3877))</f>
        <v/>
      </c>
      <c r="F3877">
        <f>AND(k_n&gt;=5,B3877&gt;A3877+1E-9,C3877&gt;=2,D3877&gt;=1,E3877&gt;=2)</f>
        <v/>
      </c>
      <c r="G3877">
        <f>SUMPRODUCT(Calc!$K$3:$K$22*(Calc!$G$3:$G$22&gt;A3877)*(Calc!$G$3:$G$22-A3877))</f>
        <v/>
      </c>
      <c r="H3877">
        <f>SUMPRODUCT(Calc!$K$3:$K$22*(Calc!$G$3:$G$22&gt;B3877)*(Calc!$G$3:$G$22-B3877))</f>
        <v/>
      </c>
      <c r="I3877">
        <f>SUMPRODUCT(Calc!$K$3:$K$22*(Calc!$G$3:$G$22&gt;A3877)*(Calc!$G$3:$G$22-A3877)^2)</f>
        <v/>
      </c>
      <c r="J3877">
        <f>SUMPRODUCT(Calc!$K$3:$K$22*(Calc!$G$3:$G$22&gt;B3877)*(Calc!$G$3:$G$22-B3877)^2)</f>
        <v/>
      </c>
      <c r="K3877">
        <f>SUMPRODUCT(Calc!$K$3:$K$22*(Calc!$G$3:$G$22&gt;A3877)*(Calc!$G$3:$G$22-A3877)*(Calc!$G$3:$G$22&gt;B3877)*(Calc!$G$3:$G$22-B3877))</f>
        <v/>
      </c>
      <c r="L3877">
        <f>SUMPRODUCT(Calc!$K$3:$K$22*(Calc!$G$3:$G$22&gt;A3877)*(Calc!$G$3:$G$22-A3877)*Calc!$G$3:$G$22)</f>
        <v/>
      </c>
      <c r="M3877">
        <f>SUMPRODUCT(Calc!$K$3:$K$22*(Calc!$G$3:$G$22&gt;B3877)*(Calc!$G$3:$G$22-B3877)*Calc!$G$3:$G$22)</f>
        <v/>
      </c>
      <c r="N3877">
        <f>SUMPRODUCT(Calc!$K$3:$K$22*(Calc!$G$3:$G$22&gt;A3877)*(Calc!$G$3:$G$22-A3877)*Calc!$I$3:$I$22)</f>
        <v/>
      </c>
      <c r="O3877">
        <f>SUMPRODUCT(Calc!$K$3:$K$22*(Calc!$G$3:$G$22&gt;B3877)*(Calc!$G$3:$G$22-B3877)*Calc!$I$3:$I$22)</f>
        <v/>
      </c>
      <c r="P3877">
        <f>I3877-G3877^2/k_n</f>
        <v/>
      </c>
      <c r="Q3877">
        <f>J3877-H3877^2/k_n</f>
        <v/>
      </c>
      <c r="R3877">
        <f>K3877-G3877*H3877/k_n</f>
        <v/>
      </c>
      <c r="S3877">
        <f>L3877-LTP3!$D$3*G3877/k_n</f>
        <v/>
      </c>
      <c r="T3877">
        <f>M3877-LTP3!$D$3*H3877/k_n</f>
        <v/>
      </c>
      <c r="U3877">
        <f>N3877-G3877*LTP3!$D$4/k_n</f>
        <v/>
      </c>
      <c r="V3877">
        <f>O3877-H3877*LTP3!$D$4/k_n</f>
        <v/>
      </c>
      <c r="W3877">
        <f>((LTP3!$D$5)*((P3877)*(Q3877)-(R3877)*(R3877))-(S3877)*((S3877)*(Q3877)-(R3877)*(T3877))+(T3877)*((S3877)*(R3877)-(P3877)*(T3877)))</f>
        <v/>
      </c>
      <c r="X3877">
        <f>IF(ABS(W3877)&gt;1E-12,((LTP3!$D$6)*((P3877)*(Q3877)-(R3877)*(R3877))-(S3877)*((U3877)*(Q3877)-(R3877)*(V3877))+(T3877)*((U3877)*(R3877)-(P3877)*(V3877)))/W3877,0)</f>
        <v/>
      </c>
      <c r="Y3877">
        <f>IF(ABS(W3877)&gt;1E-12,((LTP3!$D$5)*((U3877)*(Q3877)-(R3877)*(V3877))-(LTP3!$D$6)*((S3877)*(Q3877)-(R3877)*(T3877))+(T3877)*((S3877)*(V3877)-(U3877)*(T3877)))/W3877,0)</f>
        <v/>
      </c>
      <c r="Z3877">
        <f>IF(ABS(W3877)&gt;1E-12,((LTP3!$D$5)*((P3877)*(V3877)-(U3877)*(R3877))-(S3877)*((S3877)*(V3877)-(U3877)*(T3877))+(LTP3!$D$6)*((S3877)*(R3877)-(P3877)*(T3877)))/W3877,0)</f>
        <v/>
      </c>
      <c r="AA3877">
        <f>LTP3!$D$7-X3877*LTP3!$D$6-Y3877*U3877-Z3877*V3877</f>
        <v/>
      </c>
      <c r="AB3877">
        <f>IF(AND(F3877,ABS(W3877)&gt;1E-12,Y3877&gt;0,Z3877&gt;0),AA3877,1E+300)</f>
        <v/>
      </c>
    </row>
    <row r="3878">
      <c r="A3878">
        <f>$I$3-$B$5+$B$5*6/10</f>
        <v/>
      </c>
      <c r="B3878">
        <f>$J$3-$B$5+$B$5*16/10</f>
        <v/>
      </c>
      <c r="C3878">
        <f>SUMPRODUCT(Calc!$K$3:$K$22*(Calc!$G$3:$G$22&lt;=A3878))</f>
        <v/>
      </c>
      <c r="D3878">
        <f>SUMPRODUCT(Calc!$K$3:$K$22*(Calc!$G$3:$G$22&gt;A3878)*(Calc!$G$3:$G$22&lt;B3878))</f>
        <v/>
      </c>
      <c r="E3878">
        <f>SUMPRODUCT(Calc!$K$3:$K$22*(Calc!$G$3:$G$22&gt;=B3878))</f>
        <v/>
      </c>
      <c r="F3878">
        <f>AND(k_n&gt;=5,B3878&gt;A3878+1E-9,C3878&gt;=2,D3878&gt;=1,E3878&gt;=2)</f>
        <v/>
      </c>
      <c r="G3878">
        <f>SUMPRODUCT(Calc!$K$3:$K$22*(Calc!$G$3:$G$22&gt;A3878)*(Calc!$G$3:$G$22-A3878))</f>
        <v/>
      </c>
      <c r="H3878">
        <f>SUMPRODUCT(Calc!$K$3:$K$22*(Calc!$G$3:$G$22&gt;B3878)*(Calc!$G$3:$G$22-B3878))</f>
        <v/>
      </c>
      <c r="I3878">
        <f>SUMPRODUCT(Calc!$K$3:$K$22*(Calc!$G$3:$G$22&gt;A3878)*(Calc!$G$3:$G$22-A3878)^2)</f>
        <v/>
      </c>
      <c r="J3878">
        <f>SUMPRODUCT(Calc!$K$3:$K$22*(Calc!$G$3:$G$22&gt;B3878)*(Calc!$G$3:$G$22-B3878)^2)</f>
        <v/>
      </c>
      <c r="K3878">
        <f>SUMPRODUCT(Calc!$K$3:$K$22*(Calc!$G$3:$G$22&gt;A3878)*(Calc!$G$3:$G$22-A3878)*(Calc!$G$3:$G$22&gt;B3878)*(Calc!$G$3:$G$22-B3878))</f>
        <v/>
      </c>
      <c r="L3878">
        <f>SUMPRODUCT(Calc!$K$3:$K$22*(Calc!$G$3:$G$22&gt;A3878)*(Calc!$G$3:$G$22-A3878)*Calc!$G$3:$G$22)</f>
        <v/>
      </c>
      <c r="M3878">
        <f>SUMPRODUCT(Calc!$K$3:$K$22*(Calc!$G$3:$G$22&gt;B3878)*(Calc!$G$3:$G$22-B3878)*Calc!$G$3:$G$22)</f>
        <v/>
      </c>
      <c r="N3878">
        <f>SUMPRODUCT(Calc!$K$3:$K$22*(Calc!$G$3:$G$22&gt;A3878)*(Calc!$G$3:$G$22-A3878)*Calc!$I$3:$I$22)</f>
        <v/>
      </c>
      <c r="O3878">
        <f>SUMPRODUCT(Calc!$K$3:$K$22*(Calc!$G$3:$G$22&gt;B3878)*(Calc!$G$3:$G$22-B3878)*Calc!$I$3:$I$22)</f>
        <v/>
      </c>
      <c r="P3878">
        <f>I3878-G3878^2/k_n</f>
        <v/>
      </c>
      <c r="Q3878">
        <f>J3878-H3878^2/k_n</f>
        <v/>
      </c>
      <c r="R3878">
        <f>K3878-G3878*H3878/k_n</f>
        <v/>
      </c>
      <c r="S3878">
        <f>L3878-LTP3!$D$3*G3878/k_n</f>
        <v/>
      </c>
      <c r="T3878">
        <f>M3878-LTP3!$D$3*H3878/k_n</f>
        <v/>
      </c>
      <c r="U3878">
        <f>N3878-G3878*LTP3!$D$4/k_n</f>
        <v/>
      </c>
      <c r="V3878">
        <f>O3878-H3878*LTP3!$D$4/k_n</f>
        <v/>
      </c>
      <c r="W3878">
        <f>((LTP3!$D$5)*((P3878)*(Q3878)-(R3878)*(R3878))-(S3878)*((S3878)*(Q3878)-(R3878)*(T3878))+(T3878)*((S3878)*(R3878)-(P3878)*(T3878)))</f>
        <v/>
      </c>
      <c r="X3878">
        <f>IF(ABS(W3878)&gt;1E-12,((LTP3!$D$6)*((P3878)*(Q3878)-(R3878)*(R3878))-(S3878)*((U3878)*(Q3878)-(R3878)*(V3878))+(T3878)*((U3878)*(R3878)-(P3878)*(V3878)))/W3878,0)</f>
        <v/>
      </c>
      <c r="Y3878">
        <f>IF(ABS(W3878)&gt;1E-12,((LTP3!$D$5)*((U3878)*(Q3878)-(R3878)*(V3878))-(LTP3!$D$6)*((S3878)*(Q3878)-(R3878)*(T3878))+(T3878)*((S3878)*(V3878)-(U3878)*(T3878)))/W3878,0)</f>
        <v/>
      </c>
      <c r="Z3878">
        <f>IF(ABS(W3878)&gt;1E-12,((LTP3!$D$5)*((P3878)*(V3878)-(U3878)*(R3878))-(S3878)*((S3878)*(V3878)-(U3878)*(T3878))+(LTP3!$D$6)*((S3878)*(R3878)-(P3878)*(T3878)))/W3878,0)</f>
        <v/>
      </c>
      <c r="AA3878">
        <f>LTP3!$D$7-X3878*LTP3!$D$6-Y3878*U3878-Z3878*V3878</f>
        <v/>
      </c>
      <c r="AB3878">
        <f>IF(AND(F3878,ABS(W3878)&gt;1E-12,Y3878&gt;0,Z3878&gt;0),AA3878,1E+300)</f>
        <v/>
      </c>
    </row>
    <row r="3879">
      <c r="A3879">
        <f>$I$3-$B$5+$B$5*6/10</f>
        <v/>
      </c>
      <c r="B3879">
        <f>$J$3-$B$5+$B$5*17/10</f>
        <v/>
      </c>
      <c r="C3879">
        <f>SUMPRODUCT(Calc!$K$3:$K$22*(Calc!$G$3:$G$22&lt;=A3879))</f>
        <v/>
      </c>
      <c r="D3879">
        <f>SUMPRODUCT(Calc!$K$3:$K$22*(Calc!$G$3:$G$22&gt;A3879)*(Calc!$G$3:$G$22&lt;B3879))</f>
        <v/>
      </c>
      <c r="E3879">
        <f>SUMPRODUCT(Calc!$K$3:$K$22*(Calc!$G$3:$G$22&gt;=B3879))</f>
        <v/>
      </c>
      <c r="F3879">
        <f>AND(k_n&gt;=5,B3879&gt;A3879+1E-9,C3879&gt;=2,D3879&gt;=1,E3879&gt;=2)</f>
        <v/>
      </c>
      <c r="G3879">
        <f>SUMPRODUCT(Calc!$K$3:$K$22*(Calc!$G$3:$G$22&gt;A3879)*(Calc!$G$3:$G$22-A3879))</f>
        <v/>
      </c>
      <c r="H3879">
        <f>SUMPRODUCT(Calc!$K$3:$K$22*(Calc!$G$3:$G$22&gt;B3879)*(Calc!$G$3:$G$22-B3879))</f>
        <v/>
      </c>
      <c r="I3879">
        <f>SUMPRODUCT(Calc!$K$3:$K$22*(Calc!$G$3:$G$22&gt;A3879)*(Calc!$G$3:$G$22-A3879)^2)</f>
        <v/>
      </c>
      <c r="J3879">
        <f>SUMPRODUCT(Calc!$K$3:$K$22*(Calc!$G$3:$G$22&gt;B3879)*(Calc!$G$3:$G$22-B3879)^2)</f>
        <v/>
      </c>
      <c r="K3879">
        <f>SUMPRODUCT(Calc!$K$3:$K$22*(Calc!$G$3:$G$22&gt;A3879)*(Calc!$G$3:$G$22-A3879)*(Calc!$G$3:$G$22&gt;B3879)*(Calc!$G$3:$G$22-B3879))</f>
        <v/>
      </c>
      <c r="L3879">
        <f>SUMPRODUCT(Calc!$K$3:$K$22*(Calc!$G$3:$G$22&gt;A3879)*(Calc!$G$3:$G$22-A3879)*Calc!$G$3:$G$22)</f>
        <v/>
      </c>
      <c r="M3879">
        <f>SUMPRODUCT(Calc!$K$3:$K$22*(Calc!$G$3:$G$22&gt;B3879)*(Calc!$G$3:$G$22-B3879)*Calc!$G$3:$G$22)</f>
        <v/>
      </c>
      <c r="N3879">
        <f>SUMPRODUCT(Calc!$K$3:$K$22*(Calc!$G$3:$G$22&gt;A3879)*(Calc!$G$3:$G$22-A3879)*Calc!$I$3:$I$22)</f>
        <v/>
      </c>
      <c r="O3879">
        <f>SUMPRODUCT(Calc!$K$3:$K$22*(Calc!$G$3:$G$22&gt;B3879)*(Calc!$G$3:$G$22-B3879)*Calc!$I$3:$I$22)</f>
        <v/>
      </c>
      <c r="P3879">
        <f>I3879-G3879^2/k_n</f>
        <v/>
      </c>
      <c r="Q3879">
        <f>J3879-H3879^2/k_n</f>
        <v/>
      </c>
      <c r="R3879">
        <f>K3879-G3879*H3879/k_n</f>
        <v/>
      </c>
      <c r="S3879">
        <f>L3879-LTP3!$D$3*G3879/k_n</f>
        <v/>
      </c>
      <c r="T3879">
        <f>M3879-LTP3!$D$3*H3879/k_n</f>
        <v/>
      </c>
      <c r="U3879">
        <f>N3879-G3879*LTP3!$D$4/k_n</f>
        <v/>
      </c>
      <c r="V3879">
        <f>O3879-H3879*LTP3!$D$4/k_n</f>
        <v/>
      </c>
      <c r="W3879">
        <f>((LTP3!$D$5)*((P3879)*(Q3879)-(R3879)*(R3879))-(S3879)*((S3879)*(Q3879)-(R3879)*(T3879))+(T3879)*((S3879)*(R3879)-(P3879)*(T3879)))</f>
        <v/>
      </c>
      <c r="X3879">
        <f>IF(ABS(W3879)&gt;1E-12,((LTP3!$D$6)*((P3879)*(Q3879)-(R3879)*(R3879))-(S3879)*((U3879)*(Q3879)-(R3879)*(V3879))+(T3879)*((U3879)*(R3879)-(P3879)*(V3879)))/W3879,0)</f>
        <v/>
      </c>
      <c r="Y3879">
        <f>IF(ABS(W3879)&gt;1E-12,((LTP3!$D$5)*((U3879)*(Q3879)-(R3879)*(V3879))-(LTP3!$D$6)*((S3879)*(Q3879)-(R3879)*(T3879))+(T3879)*((S3879)*(V3879)-(U3879)*(T3879)))/W3879,0)</f>
        <v/>
      </c>
      <c r="Z3879">
        <f>IF(ABS(W3879)&gt;1E-12,((LTP3!$D$5)*((P3879)*(V3879)-(U3879)*(R3879))-(S3879)*((S3879)*(V3879)-(U3879)*(T3879))+(LTP3!$D$6)*((S3879)*(R3879)-(P3879)*(T3879)))/W3879,0)</f>
        <v/>
      </c>
      <c r="AA3879">
        <f>LTP3!$D$7-X3879*LTP3!$D$6-Y3879*U3879-Z3879*V3879</f>
        <v/>
      </c>
      <c r="AB3879">
        <f>IF(AND(F3879,ABS(W3879)&gt;1E-12,Y3879&gt;0,Z3879&gt;0),AA3879,1E+300)</f>
        <v/>
      </c>
    </row>
    <row r="3880">
      <c r="A3880">
        <f>$I$3-$B$5+$B$5*6/10</f>
        <v/>
      </c>
      <c r="B3880">
        <f>$J$3-$B$5+$B$5*18/10</f>
        <v/>
      </c>
      <c r="C3880">
        <f>SUMPRODUCT(Calc!$K$3:$K$22*(Calc!$G$3:$G$22&lt;=A3880))</f>
        <v/>
      </c>
      <c r="D3880">
        <f>SUMPRODUCT(Calc!$K$3:$K$22*(Calc!$G$3:$G$22&gt;A3880)*(Calc!$G$3:$G$22&lt;B3880))</f>
        <v/>
      </c>
      <c r="E3880">
        <f>SUMPRODUCT(Calc!$K$3:$K$22*(Calc!$G$3:$G$22&gt;=B3880))</f>
        <v/>
      </c>
      <c r="F3880">
        <f>AND(k_n&gt;=5,B3880&gt;A3880+1E-9,C3880&gt;=2,D3880&gt;=1,E3880&gt;=2)</f>
        <v/>
      </c>
      <c r="G3880">
        <f>SUMPRODUCT(Calc!$K$3:$K$22*(Calc!$G$3:$G$22&gt;A3880)*(Calc!$G$3:$G$22-A3880))</f>
        <v/>
      </c>
      <c r="H3880">
        <f>SUMPRODUCT(Calc!$K$3:$K$22*(Calc!$G$3:$G$22&gt;B3880)*(Calc!$G$3:$G$22-B3880))</f>
        <v/>
      </c>
      <c r="I3880">
        <f>SUMPRODUCT(Calc!$K$3:$K$22*(Calc!$G$3:$G$22&gt;A3880)*(Calc!$G$3:$G$22-A3880)^2)</f>
        <v/>
      </c>
      <c r="J3880">
        <f>SUMPRODUCT(Calc!$K$3:$K$22*(Calc!$G$3:$G$22&gt;B3880)*(Calc!$G$3:$G$22-B3880)^2)</f>
        <v/>
      </c>
      <c r="K3880">
        <f>SUMPRODUCT(Calc!$K$3:$K$22*(Calc!$G$3:$G$22&gt;A3880)*(Calc!$G$3:$G$22-A3880)*(Calc!$G$3:$G$22&gt;B3880)*(Calc!$G$3:$G$22-B3880))</f>
        <v/>
      </c>
      <c r="L3880">
        <f>SUMPRODUCT(Calc!$K$3:$K$22*(Calc!$G$3:$G$22&gt;A3880)*(Calc!$G$3:$G$22-A3880)*Calc!$G$3:$G$22)</f>
        <v/>
      </c>
      <c r="M3880">
        <f>SUMPRODUCT(Calc!$K$3:$K$22*(Calc!$G$3:$G$22&gt;B3880)*(Calc!$G$3:$G$22-B3880)*Calc!$G$3:$G$22)</f>
        <v/>
      </c>
      <c r="N3880">
        <f>SUMPRODUCT(Calc!$K$3:$K$22*(Calc!$G$3:$G$22&gt;A3880)*(Calc!$G$3:$G$22-A3880)*Calc!$I$3:$I$22)</f>
        <v/>
      </c>
      <c r="O3880">
        <f>SUMPRODUCT(Calc!$K$3:$K$22*(Calc!$G$3:$G$22&gt;B3880)*(Calc!$G$3:$G$22-B3880)*Calc!$I$3:$I$22)</f>
        <v/>
      </c>
      <c r="P3880">
        <f>I3880-G3880^2/k_n</f>
        <v/>
      </c>
      <c r="Q3880">
        <f>J3880-H3880^2/k_n</f>
        <v/>
      </c>
      <c r="R3880">
        <f>K3880-G3880*H3880/k_n</f>
        <v/>
      </c>
      <c r="S3880">
        <f>L3880-LTP3!$D$3*G3880/k_n</f>
        <v/>
      </c>
      <c r="T3880">
        <f>M3880-LTP3!$D$3*H3880/k_n</f>
        <v/>
      </c>
      <c r="U3880">
        <f>N3880-G3880*LTP3!$D$4/k_n</f>
        <v/>
      </c>
      <c r="V3880">
        <f>O3880-H3880*LTP3!$D$4/k_n</f>
        <v/>
      </c>
      <c r="W3880">
        <f>((LTP3!$D$5)*((P3880)*(Q3880)-(R3880)*(R3880))-(S3880)*((S3880)*(Q3880)-(R3880)*(T3880))+(T3880)*((S3880)*(R3880)-(P3880)*(T3880)))</f>
        <v/>
      </c>
      <c r="X3880">
        <f>IF(ABS(W3880)&gt;1E-12,((LTP3!$D$6)*((P3880)*(Q3880)-(R3880)*(R3880))-(S3880)*((U3880)*(Q3880)-(R3880)*(V3880))+(T3880)*((U3880)*(R3880)-(P3880)*(V3880)))/W3880,0)</f>
        <v/>
      </c>
      <c r="Y3880">
        <f>IF(ABS(W3880)&gt;1E-12,((LTP3!$D$5)*((U3880)*(Q3880)-(R3880)*(V3880))-(LTP3!$D$6)*((S3880)*(Q3880)-(R3880)*(T3880))+(T3880)*((S3880)*(V3880)-(U3880)*(T3880)))/W3880,0)</f>
        <v/>
      </c>
      <c r="Z3880">
        <f>IF(ABS(W3880)&gt;1E-12,((LTP3!$D$5)*((P3880)*(V3880)-(U3880)*(R3880))-(S3880)*((S3880)*(V3880)-(U3880)*(T3880))+(LTP3!$D$6)*((S3880)*(R3880)-(P3880)*(T3880)))/W3880,0)</f>
        <v/>
      </c>
      <c r="AA3880">
        <f>LTP3!$D$7-X3880*LTP3!$D$6-Y3880*U3880-Z3880*V3880</f>
        <v/>
      </c>
      <c r="AB3880">
        <f>IF(AND(F3880,ABS(W3880)&gt;1E-12,Y3880&gt;0,Z3880&gt;0),AA3880,1E+300)</f>
        <v/>
      </c>
    </row>
    <row r="3881">
      <c r="A3881">
        <f>$I$3-$B$5+$B$5*6/10</f>
        <v/>
      </c>
      <c r="B3881">
        <f>$J$3-$B$5+$B$5*19/10</f>
        <v/>
      </c>
      <c r="C3881">
        <f>SUMPRODUCT(Calc!$K$3:$K$22*(Calc!$G$3:$G$22&lt;=A3881))</f>
        <v/>
      </c>
      <c r="D3881">
        <f>SUMPRODUCT(Calc!$K$3:$K$22*(Calc!$G$3:$G$22&gt;A3881)*(Calc!$G$3:$G$22&lt;B3881))</f>
        <v/>
      </c>
      <c r="E3881">
        <f>SUMPRODUCT(Calc!$K$3:$K$22*(Calc!$G$3:$G$22&gt;=B3881))</f>
        <v/>
      </c>
      <c r="F3881">
        <f>AND(k_n&gt;=5,B3881&gt;A3881+1E-9,C3881&gt;=2,D3881&gt;=1,E3881&gt;=2)</f>
        <v/>
      </c>
      <c r="G3881">
        <f>SUMPRODUCT(Calc!$K$3:$K$22*(Calc!$G$3:$G$22&gt;A3881)*(Calc!$G$3:$G$22-A3881))</f>
        <v/>
      </c>
      <c r="H3881">
        <f>SUMPRODUCT(Calc!$K$3:$K$22*(Calc!$G$3:$G$22&gt;B3881)*(Calc!$G$3:$G$22-B3881))</f>
        <v/>
      </c>
      <c r="I3881">
        <f>SUMPRODUCT(Calc!$K$3:$K$22*(Calc!$G$3:$G$22&gt;A3881)*(Calc!$G$3:$G$22-A3881)^2)</f>
        <v/>
      </c>
      <c r="J3881">
        <f>SUMPRODUCT(Calc!$K$3:$K$22*(Calc!$G$3:$G$22&gt;B3881)*(Calc!$G$3:$G$22-B3881)^2)</f>
        <v/>
      </c>
      <c r="K3881">
        <f>SUMPRODUCT(Calc!$K$3:$K$22*(Calc!$G$3:$G$22&gt;A3881)*(Calc!$G$3:$G$22-A3881)*(Calc!$G$3:$G$22&gt;B3881)*(Calc!$G$3:$G$22-B3881))</f>
        <v/>
      </c>
      <c r="L3881">
        <f>SUMPRODUCT(Calc!$K$3:$K$22*(Calc!$G$3:$G$22&gt;A3881)*(Calc!$G$3:$G$22-A3881)*Calc!$G$3:$G$22)</f>
        <v/>
      </c>
      <c r="M3881">
        <f>SUMPRODUCT(Calc!$K$3:$K$22*(Calc!$G$3:$G$22&gt;B3881)*(Calc!$G$3:$G$22-B3881)*Calc!$G$3:$G$22)</f>
        <v/>
      </c>
      <c r="N3881">
        <f>SUMPRODUCT(Calc!$K$3:$K$22*(Calc!$G$3:$G$22&gt;A3881)*(Calc!$G$3:$G$22-A3881)*Calc!$I$3:$I$22)</f>
        <v/>
      </c>
      <c r="O3881">
        <f>SUMPRODUCT(Calc!$K$3:$K$22*(Calc!$G$3:$G$22&gt;B3881)*(Calc!$G$3:$G$22-B3881)*Calc!$I$3:$I$22)</f>
        <v/>
      </c>
      <c r="P3881">
        <f>I3881-G3881^2/k_n</f>
        <v/>
      </c>
      <c r="Q3881">
        <f>J3881-H3881^2/k_n</f>
        <v/>
      </c>
      <c r="R3881">
        <f>K3881-G3881*H3881/k_n</f>
        <v/>
      </c>
      <c r="S3881">
        <f>L3881-LTP3!$D$3*G3881/k_n</f>
        <v/>
      </c>
      <c r="T3881">
        <f>M3881-LTP3!$D$3*H3881/k_n</f>
        <v/>
      </c>
      <c r="U3881">
        <f>N3881-G3881*LTP3!$D$4/k_n</f>
        <v/>
      </c>
      <c r="V3881">
        <f>O3881-H3881*LTP3!$D$4/k_n</f>
        <v/>
      </c>
      <c r="W3881">
        <f>((LTP3!$D$5)*((P3881)*(Q3881)-(R3881)*(R3881))-(S3881)*((S3881)*(Q3881)-(R3881)*(T3881))+(T3881)*((S3881)*(R3881)-(P3881)*(T3881)))</f>
        <v/>
      </c>
      <c r="X3881">
        <f>IF(ABS(W3881)&gt;1E-12,((LTP3!$D$6)*((P3881)*(Q3881)-(R3881)*(R3881))-(S3881)*((U3881)*(Q3881)-(R3881)*(V3881))+(T3881)*((U3881)*(R3881)-(P3881)*(V3881)))/W3881,0)</f>
        <v/>
      </c>
      <c r="Y3881">
        <f>IF(ABS(W3881)&gt;1E-12,((LTP3!$D$5)*((U3881)*(Q3881)-(R3881)*(V3881))-(LTP3!$D$6)*((S3881)*(Q3881)-(R3881)*(T3881))+(T3881)*((S3881)*(V3881)-(U3881)*(T3881)))/W3881,0)</f>
        <v/>
      </c>
      <c r="Z3881">
        <f>IF(ABS(W3881)&gt;1E-12,((LTP3!$D$5)*((P3881)*(V3881)-(U3881)*(R3881))-(S3881)*((S3881)*(V3881)-(U3881)*(T3881))+(LTP3!$D$6)*((S3881)*(R3881)-(P3881)*(T3881)))/W3881,0)</f>
        <v/>
      </c>
      <c r="AA3881">
        <f>LTP3!$D$7-X3881*LTP3!$D$6-Y3881*U3881-Z3881*V3881</f>
        <v/>
      </c>
      <c r="AB3881">
        <f>IF(AND(F3881,ABS(W3881)&gt;1E-12,Y3881&gt;0,Z3881&gt;0),AA3881,1E+300)</f>
        <v/>
      </c>
    </row>
    <row r="3882">
      <c r="A3882">
        <f>$I$3-$B$5+$B$5*6/10</f>
        <v/>
      </c>
      <c r="B3882">
        <f>$J$3-$B$5+$B$5*20/10</f>
        <v/>
      </c>
      <c r="C3882">
        <f>SUMPRODUCT(Calc!$K$3:$K$22*(Calc!$G$3:$G$22&lt;=A3882))</f>
        <v/>
      </c>
      <c r="D3882">
        <f>SUMPRODUCT(Calc!$K$3:$K$22*(Calc!$G$3:$G$22&gt;A3882)*(Calc!$G$3:$G$22&lt;B3882))</f>
        <v/>
      </c>
      <c r="E3882">
        <f>SUMPRODUCT(Calc!$K$3:$K$22*(Calc!$G$3:$G$22&gt;=B3882))</f>
        <v/>
      </c>
      <c r="F3882">
        <f>AND(k_n&gt;=5,B3882&gt;A3882+1E-9,C3882&gt;=2,D3882&gt;=1,E3882&gt;=2)</f>
        <v/>
      </c>
      <c r="G3882">
        <f>SUMPRODUCT(Calc!$K$3:$K$22*(Calc!$G$3:$G$22&gt;A3882)*(Calc!$G$3:$G$22-A3882))</f>
        <v/>
      </c>
      <c r="H3882">
        <f>SUMPRODUCT(Calc!$K$3:$K$22*(Calc!$G$3:$G$22&gt;B3882)*(Calc!$G$3:$G$22-B3882))</f>
        <v/>
      </c>
      <c r="I3882">
        <f>SUMPRODUCT(Calc!$K$3:$K$22*(Calc!$G$3:$G$22&gt;A3882)*(Calc!$G$3:$G$22-A3882)^2)</f>
        <v/>
      </c>
      <c r="J3882">
        <f>SUMPRODUCT(Calc!$K$3:$K$22*(Calc!$G$3:$G$22&gt;B3882)*(Calc!$G$3:$G$22-B3882)^2)</f>
        <v/>
      </c>
      <c r="K3882">
        <f>SUMPRODUCT(Calc!$K$3:$K$22*(Calc!$G$3:$G$22&gt;A3882)*(Calc!$G$3:$G$22-A3882)*(Calc!$G$3:$G$22&gt;B3882)*(Calc!$G$3:$G$22-B3882))</f>
        <v/>
      </c>
      <c r="L3882">
        <f>SUMPRODUCT(Calc!$K$3:$K$22*(Calc!$G$3:$G$22&gt;A3882)*(Calc!$G$3:$G$22-A3882)*Calc!$G$3:$G$22)</f>
        <v/>
      </c>
      <c r="M3882">
        <f>SUMPRODUCT(Calc!$K$3:$K$22*(Calc!$G$3:$G$22&gt;B3882)*(Calc!$G$3:$G$22-B3882)*Calc!$G$3:$G$22)</f>
        <v/>
      </c>
      <c r="N3882">
        <f>SUMPRODUCT(Calc!$K$3:$K$22*(Calc!$G$3:$G$22&gt;A3882)*(Calc!$G$3:$G$22-A3882)*Calc!$I$3:$I$22)</f>
        <v/>
      </c>
      <c r="O3882">
        <f>SUMPRODUCT(Calc!$K$3:$K$22*(Calc!$G$3:$G$22&gt;B3882)*(Calc!$G$3:$G$22-B3882)*Calc!$I$3:$I$22)</f>
        <v/>
      </c>
      <c r="P3882">
        <f>I3882-G3882^2/k_n</f>
        <v/>
      </c>
      <c r="Q3882">
        <f>J3882-H3882^2/k_n</f>
        <v/>
      </c>
      <c r="R3882">
        <f>K3882-G3882*H3882/k_n</f>
        <v/>
      </c>
      <c r="S3882">
        <f>L3882-LTP3!$D$3*G3882/k_n</f>
        <v/>
      </c>
      <c r="T3882">
        <f>M3882-LTP3!$D$3*H3882/k_n</f>
        <v/>
      </c>
      <c r="U3882">
        <f>N3882-G3882*LTP3!$D$4/k_n</f>
        <v/>
      </c>
      <c r="V3882">
        <f>O3882-H3882*LTP3!$D$4/k_n</f>
        <v/>
      </c>
      <c r="W3882">
        <f>((LTP3!$D$5)*((P3882)*(Q3882)-(R3882)*(R3882))-(S3882)*((S3882)*(Q3882)-(R3882)*(T3882))+(T3882)*((S3882)*(R3882)-(P3882)*(T3882)))</f>
        <v/>
      </c>
      <c r="X3882">
        <f>IF(ABS(W3882)&gt;1E-12,((LTP3!$D$6)*((P3882)*(Q3882)-(R3882)*(R3882))-(S3882)*((U3882)*(Q3882)-(R3882)*(V3882))+(T3882)*((U3882)*(R3882)-(P3882)*(V3882)))/W3882,0)</f>
        <v/>
      </c>
      <c r="Y3882">
        <f>IF(ABS(W3882)&gt;1E-12,((LTP3!$D$5)*((U3882)*(Q3882)-(R3882)*(V3882))-(LTP3!$D$6)*((S3882)*(Q3882)-(R3882)*(T3882))+(T3882)*((S3882)*(V3882)-(U3882)*(T3882)))/W3882,0)</f>
        <v/>
      </c>
      <c r="Z3882">
        <f>IF(ABS(W3882)&gt;1E-12,((LTP3!$D$5)*((P3882)*(V3882)-(U3882)*(R3882))-(S3882)*((S3882)*(V3882)-(U3882)*(T3882))+(LTP3!$D$6)*((S3882)*(R3882)-(P3882)*(T3882)))/W3882,0)</f>
        <v/>
      </c>
      <c r="AA3882">
        <f>LTP3!$D$7-X3882*LTP3!$D$6-Y3882*U3882-Z3882*V3882</f>
        <v/>
      </c>
      <c r="AB3882">
        <f>IF(AND(F3882,ABS(W3882)&gt;1E-12,Y3882&gt;0,Z3882&gt;0),AA3882,1E+300)</f>
        <v/>
      </c>
    </row>
    <row r="3883">
      <c r="A3883">
        <f>$I$3-$B$5+$B$5*7/10</f>
        <v/>
      </c>
      <c r="B3883">
        <f>$J$3-$B$5+$B$5*0/10</f>
        <v/>
      </c>
      <c r="C3883">
        <f>SUMPRODUCT(Calc!$K$3:$K$22*(Calc!$G$3:$G$22&lt;=A3883))</f>
        <v/>
      </c>
      <c r="D3883">
        <f>SUMPRODUCT(Calc!$K$3:$K$22*(Calc!$G$3:$G$22&gt;A3883)*(Calc!$G$3:$G$22&lt;B3883))</f>
        <v/>
      </c>
      <c r="E3883">
        <f>SUMPRODUCT(Calc!$K$3:$K$22*(Calc!$G$3:$G$22&gt;=B3883))</f>
        <v/>
      </c>
      <c r="F3883">
        <f>AND(k_n&gt;=5,B3883&gt;A3883+1E-9,C3883&gt;=2,D3883&gt;=1,E3883&gt;=2)</f>
        <v/>
      </c>
      <c r="G3883">
        <f>SUMPRODUCT(Calc!$K$3:$K$22*(Calc!$G$3:$G$22&gt;A3883)*(Calc!$G$3:$G$22-A3883))</f>
        <v/>
      </c>
      <c r="H3883">
        <f>SUMPRODUCT(Calc!$K$3:$K$22*(Calc!$G$3:$G$22&gt;B3883)*(Calc!$G$3:$G$22-B3883))</f>
        <v/>
      </c>
      <c r="I3883">
        <f>SUMPRODUCT(Calc!$K$3:$K$22*(Calc!$G$3:$G$22&gt;A3883)*(Calc!$G$3:$G$22-A3883)^2)</f>
        <v/>
      </c>
      <c r="J3883">
        <f>SUMPRODUCT(Calc!$K$3:$K$22*(Calc!$G$3:$G$22&gt;B3883)*(Calc!$G$3:$G$22-B3883)^2)</f>
        <v/>
      </c>
      <c r="K3883">
        <f>SUMPRODUCT(Calc!$K$3:$K$22*(Calc!$G$3:$G$22&gt;A3883)*(Calc!$G$3:$G$22-A3883)*(Calc!$G$3:$G$22&gt;B3883)*(Calc!$G$3:$G$22-B3883))</f>
        <v/>
      </c>
      <c r="L3883">
        <f>SUMPRODUCT(Calc!$K$3:$K$22*(Calc!$G$3:$G$22&gt;A3883)*(Calc!$G$3:$G$22-A3883)*Calc!$G$3:$G$22)</f>
        <v/>
      </c>
      <c r="M3883">
        <f>SUMPRODUCT(Calc!$K$3:$K$22*(Calc!$G$3:$G$22&gt;B3883)*(Calc!$G$3:$G$22-B3883)*Calc!$G$3:$G$22)</f>
        <v/>
      </c>
      <c r="N3883">
        <f>SUMPRODUCT(Calc!$K$3:$K$22*(Calc!$G$3:$G$22&gt;A3883)*(Calc!$G$3:$G$22-A3883)*Calc!$I$3:$I$22)</f>
        <v/>
      </c>
      <c r="O3883">
        <f>SUMPRODUCT(Calc!$K$3:$K$22*(Calc!$G$3:$G$22&gt;B3883)*(Calc!$G$3:$G$22-B3883)*Calc!$I$3:$I$22)</f>
        <v/>
      </c>
      <c r="P3883">
        <f>I3883-G3883^2/k_n</f>
        <v/>
      </c>
      <c r="Q3883">
        <f>J3883-H3883^2/k_n</f>
        <v/>
      </c>
      <c r="R3883">
        <f>K3883-G3883*H3883/k_n</f>
        <v/>
      </c>
      <c r="S3883">
        <f>L3883-LTP3!$D$3*G3883/k_n</f>
        <v/>
      </c>
      <c r="T3883">
        <f>M3883-LTP3!$D$3*H3883/k_n</f>
        <v/>
      </c>
      <c r="U3883">
        <f>N3883-G3883*LTP3!$D$4/k_n</f>
        <v/>
      </c>
      <c r="V3883">
        <f>O3883-H3883*LTP3!$D$4/k_n</f>
        <v/>
      </c>
      <c r="W3883">
        <f>((LTP3!$D$5)*((P3883)*(Q3883)-(R3883)*(R3883))-(S3883)*((S3883)*(Q3883)-(R3883)*(T3883))+(T3883)*((S3883)*(R3883)-(P3883)*(T3883)))</f>
        <v/>
      </c>
      <c r="X3883">
        <f>IF(ABS(W3883)&gt;1E-12,((LTP3!$D$6)*((P3883)*(Q3883)-(R3883)*(R3883))-(S3883)*((U3883)*(Q3883)-(R3883)*(V3883))+(T3883)*((U3883)*(R3883)-(P3883)*(V3883)))/W3883,0)</f>
        <v/>
      </c>
      <c r="Y3883">
        <f>IF(ABS(W3883)&gt;1E-12,((LTP3!$D$5)*((U3883)*(Q3883)-(R3883)*(V3883))-(LTP3!$D$6)*((S3883)*(Q3883)-(R3883)*(T3883))+(T3883)*((S3883)*(V3883)-(U3883)*(T3883)))/W3883,0)</f>
        <v/>
      </c>
      <c r="Z3883">
        <f>IF(ABS(W3883)&gt;1E-12,((LTP3!$D$5)*((P3883)*(V3883)-(U3883)*(R3883))-(S3883)*((S3883)*(V3883)-(U3883)*(T3883))+(LTP3!$D$6)*((S3883)*(R3883)-(P3883)*(T3883)))/W3883,0)</f>
        <v/>
      </c>
      <c r="AA3883">
        <f>LTP3!$D$7-X3883*LTP3!$D$6-Y3883*U3883-Z3883*V3883</f>
        <v/>
      </c>
      <c r="AB3883">
        <f>IF(AND(F3883,ABS(W3883)&gt;1E-12,Y3883&gt;0,Z3883&gt;0),AA3883,1E+300)</f>
        <v/>
      </c>
    </row>
    <row r="3884">
      <c r="A3884">
        <f>$I$3-$B$5+$B$5*7/10</f>
        <v/>
      </c>
      <c r="B3884">
        <f>$J$3-$B$5+$B$5*1/10</f>
        <v/>
      </c>
      <c r="C3884">
        <f>SUMPRODUCT(Calc!$K$3:$K$22*(Calc!$G$3:$G$22&lt;=A3884))</f>
        <v/>
      </c>
      <c r="D3884">
        <f>SUMPRODUCT(Calc!$K$3:$K$22*(Calc!$G$3:$G$22&gt;A3884)*(Calc!$G$3:$G$22&lt;B3884))</f>
        <v/>
      </c>
      <c r="E3884">
        <f>SUMPRODUCT(Calc!$K$3:$K$22*(Calc!$G$3:$G$22&gt;=B3884))</f>
        <v/>
      </c>
      <c r="F3884">
        <f>AND(k_n&gt;=5,B3884&gt;A3884+1E-9,C3884&gt;=2,D3884&gt;=1,E3884&gt;=2)</f>
        <v/>
      </c>
      <c r="G3884">
        <f>SUMPRODUCT(Calc!$K$3:$K$22*(Calc!$G$3:$G$22&gt;A3884)*(Calc!$G$3:$G$22-A3884))</f>
        <v/>
      </c>
      <c r="H3884">
        <f>SUMPRODUCT(Calc!$K$3:$K$22*(Calc!$G$3:$G$22&gt;B3884)*(Calc!$G$3:$G$22-B3884))</f>
        <v/>
      </c>
      <c r="I3884">
        <f>SUMPRODUCT(Calc!$K$3:$K$22*(Calc!$G$3:$G$22&gt;A3884)*(Calc!$G$3:$G$22-A3884)^2)</f>
        <v/>
      </c>
      <c r="J3884">
        <f>SUMPRODUCT(Calc!$K$3:$K$22*(Calc!$G$3:$G$22&gt;B3884)*(Calc!$G$3:$G$22-B3884)^2)</f>
        <v/>
      </c>
      <c r="K3884">
        <f>SUMPRODUCT(Calc!$K$3:$K$22*(Calc!$G$3:$G$22&gt;A3884)*(Calc!$G$3:$G$22-A3884)*(Calc!$G$3:$G$22&gt;B3884)*(Calc!$G$3:$G$22-B3884))</f>
        <v/>
      </c>
      <c r="L3884">
        <f>SUMPRODUCT(Calc!$K$3:$K$22*(Calc!$G$3:$G$22&gt;A3884)*(Calc!$G$3:$G$22-A3884)*Calc!$G$3:$G$22)</f>
        <v/>
      </c>
      <c r="M3884">
        <f>SUMPRODUCT(Calc!$K$3:$K$22*(Calc!$G$3:$G$22&gt;B3884)*(Calc!$G$3:$G$22-B3884)*Calc!$G$3:$G$22)</f>
        <v/>
      </c>
      <c r="N3884">
        <f>SUMPRODUCT(Calc!$K$3:$K$22*(Calc!$G$3:$G$22&gt;A3884)*(Calc!$G$3:$G$22-A3884)*Calc!$I$3:$I$22)</f>
        <v/>
      </c>
      <c r="O3884">
        <f>SUMPRODUCT(Calc!$K$3:$K$22*(Calc!$G$3:$G$22&gt;B3884)*(Calc!$G$3:$G$22-B3884)*Calc!$I$3:$I$22)</f>
        <v/>
      </c>
      <c r="P3884">
        <f>I3884-G3884^2/k_n</f>
        <v/>
      </c>
      <c r="Q3884">
        <f>J3884-H3884^2/k_n</f>
        <v/>
      </c>
      <c r="R3884">
        <f>K3884-G3884*H3884/k_n</f>
        <v/>
      </c>
      <c r="S3884">
        <f>L3884-LTP3!$D$3*G3884/k_n</f>
        <v/>
      </c>
      <c r="T3884">
        <f>M3884-LTP3!$D$3*H3884/k_n</f>
        <v/>
      </c>
      <c r="U3884">
        <f>N3884-G3884*LTP3!$D$4/k_n</f>
        <v/>
      </c>
      <c r="V3884">
        <f>O3884-H3884*LTP3!$D$4/k_n</f>
        <v/>
      </c>
      <c r="W3884">
        <f>((LTP3!$D$5)*((P3884)*(Q3884)-(R3884)*(R3884))-(S3884)*((S3884)*(Q3884)-(R3884)*(T3884))+(T3884)*((S3884)*(R3884)-(P3884)*(T3884)))</f>
        <v/>
      </c>
      <c r="X3884">
        <f>IF(ABS(W3884)&gt;1E-12,((LTP3!$D$6)*((P3884)*(Q3884)-(R3884)*(R3884))-(S3884)*((U3884)*(Q3884)-(R3884)*(V3884))+(T3884)*((U3884)*(R3884)-(P3884)*(V3884)))/W3884,0)</f>
        <v/>
      </c>
      <c r="Y3884">
        <f>IF(ABS(W3884)&gt;1E-12,((LTP3!$D$5)*((U3884)*(Q3884)-(R3884)*(V3884))-(LTP3!$D$6)*((S3884)*(Q3884)-(R3884)*(T3884))+(T3884)*((S3884)*(V3884)-(U3884)*(T3884)))/W3884,0)</f>
        <v/>
      </c>
      <c r="Z3884">
        <f>IF(ABS(W3884)&gt;1E-12,((LTP3!$D$5)*((P3884)*(V3884)-(U3884)*(R3884))-(S3884)*((S3884)*(V3884)-(U3884)*(T3884))+(LTP3!$D$6)*((S3884)*(R3884)-(P3884)*(T3884)))/W3884,0)</f>
        <v/>
      </c>
      <c r="AA3884">
        <f>LTP3!$D$7-X3884*LTP3!$D$6-Y3884*U3884-Z3884*V3884</f>
        <v/>
      </c>
      <c r="AB3884">
        <f>IF(AND(F3884,ABS(W3884)&gt;1E-12,Y3884&gt;0,Z3884&gt;0),AA3884,1E+300)</f>
        <v/>
      </c>
    </row>
    <row r="3885">
      <c r="A3885">
        <f>$I$3-$B$5+$B$5*7/10</f>
        <v/>
      </c>
      <c r="B3885">
        <f>$J$3-$B$5+$B$5*2/10</f>
        <v/>
      </c>
      <c r="C3885">
        <f>SUMPRODUCT(Calc!$K$3:$K$22*(Calc!$G$3:$G$22&lt;=A3885))</f>
        <v/>
      </c>
      <c r="D3885">
        <f>SUMPRODUCT(Calc!$K$3:$K$22*(Calc!$G$3:$G$22&gt;A3885)*(Calc!$G$3:$G$22&lt;B3885))</f>
        <v/>
      </c>
      <c r="E3885">
        <f>SUMPRODUCT(Calc!$K$3:$K$22*(Calc!$G$3:$G$22&gt;=B3885))</f>
        <v/>
      </c>
      <c r="F3885">
        <f>AND(k_n&gt;=5,B3885&gt;A3885+1E-9,C3885&gt;=2,D3885&gt;=1,E3885&gt;=2)</f>
        <v/>
      </c>
      <c r="G3885">
        <f>SUMPRODUCT(Calc!$K$3:$K$22*(Calc!$G$3:$G$22&gt;A3885)*(Calc!$G$3:$G$22-A3885))</f>
        <v/>
      </c>
      <c r="H3885">
        <f>SUMPRODUCT(Calc!$K$3:$K$22*(Calc!$G$3:$G$22&gt;B3885)*(Calc!$G$3:$G$22-B3885))</f>
        <v/>
      </c>
      <c r="I3885">
        <f>SUMPRODUCT(Calc!$K$3:$K$22*(Calc!$G$3:$G$22&gt;A3885)*(Calc!$G$3:$G$22-A3885)^2)</f>
        <v/>
      </c>
      <c r="J3885">
        <f>SUMPRODUCT(Calc!$K$3:$K$22*(Calc!$G$3:$G$22&gt;B3885)*(Calc!$G$3:$G$22-B3885)^2)</f>
        <v/>
      </c>
      <c r="K3885">
        <f>SUMPRODUCT(Calc!$K$3:$K$22*(Calc!$G$3:$G$22&gt;A3885)*(Calc!$G$3:$G$22-A3885)*(Calc!$G$3:$G$22&gt;B3885)*(Calc!$G$3:$G$22-B3885))</f>
        <v/>
      </c>
      <c r="L3885">
        <f>SUMPRODUCT(Calc!$K$3:$K$22*(Calc!$G$3:$G$22&gt;A3885)*(Calc!$G$3:$G$22-A3885)*Calc!$G$3:$G$22)</f>
        <v/>
      </c>
      <c r="M3885">
        <f>SUMPRODUCT(Calc!$K$3:$K$22*(Calc!$G$3:$G$22&gt;B3885)*(Calc!$G$3:$G$22-B3885)*Calc!$G$3:$G$22)</f>
        <v/>
      </c>
      <c r="N3885">
        <f>SUMPRODUCT(Calc!$K$3:$K$22*(Calc!$G$3:$G$22&gt;A3885)*(Calc!$G$3:$G$22-A3885)*Calc!$I$3:$I$22)</f>
        <v/>
      </c>
      <c r="O3885">
        <f>SUMPRODUCT(Calc!$K$3:$K$22*(Calc!$G$3:$G$22&gt;B3885)*(Calc!$G$3:$G$22-B3885)*Calc!$I$3:$I$22)</f>
        <v/>
      </c>
      <c r="P3885">
        <f>I3885-G3885^2/k_n</f>
        <v/>
      </c>
      <c r="Q3885">
        <f>J3885-H3885^2/k_n</f>
        <v/>
      </c>
      <c r="R3885">
        <f>K3885-G3885*H3885/k_n</f>
        <v/>
      </c>
      <c r="S3885">
        <f>L3885-LTP3!$D$3*G3885/k_n</f>
        <v/>
      </c>
      <c r="T3885">
        <f>M3885-LTP3!$D$3*H3885/k_n</f>
        <v/>
      </c>
      <c r="U3885">
        <f>N3885-G3885*LTP3!$D$4/k_n</f>
        <v/>
      </c>
      <c r="V3885">
        <f>O3885-H3885*LTP3!$D$4/k_n</f>
        <v/>
      </c>
      <c r="W3885">
        <f>((LTP3!$D$5)*((P3885)*(Q3885)-(R3885)*(R3885))-(S3885)*((S3885)*(Q3885)-(R3885)*(T3885))+(T3885)*((S3885)*(R3885)-(P3885)*(T3885)))</f>
        <v/>
      </c>
      <c r="X3885">
        <f>IF(ABS(W3885)&gt;1E-12,((LTP3!$D$6)*((P3885)*(Q3885)-(R3885)*(R3885))-(S3885)*((U3885)*(Q3885)-(R3885)*(V3885))+(T3885)*((U3885)*(R3885)-(P3885)*(V3885)))/W3885,0)</f>
        <v/>
      </c>
      <c r="Y3885">
        <f>IF(ABS(W3885)&gt;1E-12,((LTP3!$D$5)*((U3885)*(Q3885)-(R3885)*(V3885))-(LTP3!$D$6)*((S3885)*(Q3885)-(R3885)*(T3885))+(T3885)*((S3885)*(V3885)-(U3885)*(T3885)))/W3885,0)</f>
        <v/>
      </c>
      <c r="Z3885">
        <f>IF(ABS(W3885)&gt;1E-12,((LTP3!$D$5)*((P3885)*(V3885)-(U3885)*(R3885))-(S3885)*((S3885)*(V3885)-(U3885)*(T3885))+(LTP3!$D$6)*((S3885)*(R3885)-(P3885)*(T3885)))/W3885,0)</f>
        <v/>
      </c>
      <c r="AA3885">
        <f>LTP3!$D$7-X3885*LTP3!$D$6-Y3885*U3885-Z3885*V3885</f>
        <v/>
      </c>
      <c r="AB3885">
        <f>IF(AND(F3885,ABS(W3885)&gt;1E-12,Y3885&gt;0,Z3885&gt;0),AA3885,1E+300)</f>
        <v/>
      </c>
    </row>
    <row r="3886">
      <c r="A3886">
        <f>$I$3-$B$5+$B$5*7/10</f>
        <v/>
      </c>
      <c r="B3886">
        <f>$J$3-$B$5+$B$5*3/10</f>
        <v/>
      </c>
      <c r="C3886">
        <f>SUMPRODUCT(Calc!$K$3:$K$22*(Calc!$G$3:$G$22&lt;=A3886))</f>
        <v/>
      </c>
      <c r="D3886">
        <f>SUMPRODUCT(Calc!$K$3:$K$22*(Calc!$G$3:$G$22&gt;A3886)*(Calc!$G$3:$G$22&lt;B3886))</f>
        <v/>
      </c>
      <c r="E3886">
        <f>SUMPRODUCT(Calc!$K$3:$K$22*(Calc!$G$3:$G$22&gt;=B3886))</f>
        <v/>
      </c>
      <c r="F3886">
        <f>AND(k_n&gt;=5,B3886&gt;A3886+1E-9,C3886&gt;=2,D3886&gt;=1,E3886&gt;=2)</f>
        <v/>
      </c>
      <c r="G3886">
        <f>SUMPRODUCT(Calc!$K$3:$K$22*(Calc!$G$3:$G$22&gt;A3886)*(Calc!$G$3:$G$22-A3886))</f>
        <v/>
      </c>
      <c r="H3886">
        <f>SUMPRODUCT(Calc!$K$3:$K$22*(Calc!$G$3:$G$22&gt;B3886)*(Calc!$G$3:$G$22-B3886))</f>
        <v/>
      </c>
      <c r="I3886">
        <f>SUMPRODUCT(Calc!$K$3:$K$22*(Calc!$G$3:$G$22&gt;A3886)*(Calc!$G$3:$G$22-A3886)^2)</f>
        <v/>
      </c>
      <c r="J3886">
        <f>SUMPRODUCT(Calc!$K$3:$K$22*(Calc!$G$3:$G$22&gt;B3886)*(Calc!$G$3:$G$22-B3886)^2)</f>
        <v/>
      </c>
      <c r="K3886">
        <f>SUMPRODUCT(Calc!$K$3:$K$22*(Calc!$G$3:$G$22&gt;A3886)*(Calc!$G$3:$G$22-A3886)*(Calc!$G$3:$G$22&gt;B3886)*(Calc!$G$3:$G$22-B3886))</f>
        <v/>
      </c>
      <c r="L3886">
        <f>SUMPRODUCT(Calc!$K$3:$K$22*(Calc!$G$3:$G$22&gt;A3886)*(Calc!$G$3:$G$22-A3886)*Calc!$G$3:$G$22)</f>
        <v/>
      </c>
      <c r="M3886">
        <f>SUMPRODUCT(Calc!$K$3:$K$22*(Calc!$G$3:$G$22&gt;B3886)*(Calc!$G$3:$G$22-B3886)*Calc!$G$3:$G$22)</f>
        <v/>
      </c>
      <c r="N3886">
        <f>SUMPRODUCT(Calc!$K$3:$K$22*(Calc!$G$3:$G$22&gt;A3886)*(Calc!$G$3:$G$22-A3886)*Calc!$I$3:$I$22)</f>
        <v/>
      </c>
      <c r="O3886">
        <f>SUMPRODUCT(Calc!$K$3:$K$22*(Calc!$G$3:$G$22&gt;B3886)*(Calc!$G$3:$G$22-B3886)*Calc!$I$3:$I$22)</f>
        <v/>
      </c>
      <c r="P3886">
        <f>I3886-G3886^2/k_n</f>
        <v/>
      </c>
      <c r="Q3886">
        <f>J3886-H3886^2/k_n</f>
        <v/>
      </c>
      <c r="R3886">
        <f>K3886-G3886*H3886/k_n</f>
        <v/>
      </c>
      <c r="S3886">
        <f>L3886-LTP3!$D$3*G3886/k_n</f>
        <v/>
      </c>
      <c r="T3886">
        <f>M3886-LTP3!$D$3*H3886/k_n</f>
        <v/>
      </c>
      <c r="U3886">
        <f>N3886-G3886*LTP3!$D$4/k_n</f>
        <v/>
      </c>
      <c r="V3886">
        <f>O3886-H3886*LTP3!$D$4/k_n</f>
        <v/>
      </c>
      <c r="W3886">
        <f>((LTP3!$D$5)*((P3886)*(Q3886)-(R3886)*(R3886))-(S3886)*((S3886)*(Q3886)-(R3886)*(T3886))+(T3886)*((S3886)*(R3886)-(P3886)*(T3886)))</f>
        <v/>
      </c>
      <c r="X3886">
        <f>IF(ABS(W3886)&gt;1E-12,((LTP3!$D$6)*((P3886)*(Q3886)-(R3886)*(R3886))-(S3886)*((U3886)*(Q3886)-(R3886)*(V3886))+(T3886)*((U3886)*(R3886)-(P3886)*(V3886)))/W3886,0)</f>
        <v/>
      </c>
      <c r="Y3886">
        <f>IF(ABS(W3886)&gt;1E-12,((LTP3!$D$5)*((U3886)*(Q3886)-(R3886)*(V3886))-(LTP3!$D$6)*((S3886)*(Q3886)-(R3886)*(T3886))+(T3886)*((S3886)*(V3886)-(U3886)*(T3886)))/W3886,0)</f>
        <v/>
      </c>
      <c r="Z3886">
        <f>IF(ABS(W3886)&gt;1E-12,((LTP3!$D$5)*((P3886)*(V3886)-(U3886)*(R3886))-(S3886)*((S3886)*(V3886)-(U3886)*(T3886))+(LTP3!$D$6)*((S3886)*(R3886)-(P3886)*(T3886)))/W3886,0)</f>
        <v/>
      </c>
      <c r="AA3886">
        <f>LTP3!$D$7-X3886*LTP3!$D$6-Y3886*U3886-Z3886*V3886</f>
        <v/>
      </c>
      <c r="AB3886">
        <f>IF(AND(F3886,ABS(W3886)&gt;1E-12,Y3886&gt;0,Z3886&gt;0),AA3886,1E+300)</f>
        <v/>
      </c>
    </row>
    <row r="3887">
      <c r="A3887">
        <f>$I$3-$B$5+$B$5*7/10</f>
        <v/>
      </c>
      <c r="B3887">
        <f>$J$3-$B$5+$B$5*4/10</f>
        <v/>
      </c>
      <c r="C3887">
        <f>SUMPRODUCT(Calc!$K$3:$K$22*(Calc!$G$3:$G$22&lt;=A3887))</f>
        <v/>
      </c>
      <c r="D3887">
        <f>SUMPRODUCT(Calc!$K$3:$K$22*(Calc!$G$3:$G$22&gt;A3887)*(Calc!$G$3:$G$22&lt;B3887))</f>
        <v/>
      </c>
      <c r="E3887">
        <f>SUMPRODUCT(Calc!$K$3:$K$22*(Calc!$G$3:$G$22&gt;=B3887))</f>
        <v/>
      </c>
      <c r="F3887">
        <f>AND(k_n&gt;=5,B3887&gt;A3887+1E-9,C3887&gt;=2,D3887&gt;=1,E3887&gt;=2)</f>
        <v/>
      </c>
      <c r="G3887">
        <f>SUMPRODUCT(Calc!$K$3:$K$22*(Calc!$G$3:$G$22&gt;A3887)*(Calc!$G$3:$G$22-A3887))</f>
        <v/>
      </c>
      <c r="H3887">
        <f>SUMPRODUCT(Calc!$K$3:$K$22*(Calc!$G$3:$G$22&gt;B3887)*(Calc!$G$3:$G$22-B3887))</f>
        <v/>
      </c>
      <c r="I3887">
        <f>SUMPRODUCT(Calc!$K$3:$K$22*(Calc!$G$3:$G$22&gt;A3887)*(Calc!$G$3:$G$22-A3887)^2)</f>
        <v/>
      </c>
      <c r="J3887">
        <f>SUMPRODUCT(Calc!$K$3:$K$22*(Calc!$G$3:$G$22&gt;B3887)*(Calc!$G$3:$G$22-B3887)^2)</f>
        <v/>
      </c>
      <c r="K3887">
        <f>SUMPRODUCT(Calc!$K$3:$K$22*(Calc!$G$3:$G$22&gt;A3887)*(Calc!$G$3:$G$22-A3887)*(Calc!$G$3:$G$22&gt;B3887)*(Calc!$G$3:$G$22-B3887))</f>
        <v/>
      </c>
      <c r="L3887">
        <f>SUMPRODUCT(Calc!$K$3:$K$22*(Calc!$G$3:$G$22&gt;A3887)*(Calc!$G$3:$G$22-A3887)*Calc!$G$3:$G$22)</f>
        <v/>
      </c>
      <c r="M3887">
        <f>SUMPRODUCT(Calc!$K$3:$K$22*(Calc!$G$3:$G$22&gt;B3887)*(Calc!$G$3:$G$22-B3887)*Calc!$G$3:$G$22)</f>
        <v/>
      </c>
      <c r="N3887">
        <f>SUMPRODUCT(Calc!$K$3:$K$22*(Calc!$G$3:$G$22&gt;A3887)*(Calc!$G$3:$G$22-A3887)*Calc!$I$3:$I$22)</f>
        <v/>
      </c>
      <c r="O3887">
        <f>SUMPRODUCT(Calc!$K$3:$K$22*(Calc!$G$3:$G$22&gt;B3887)*(Calc!$G$3:$G$22-B3887)*Calc!$I$3:$I$22)</f>
        <v/>
      </c>
      <c r="P3887">
        <f>I3887-G3887^2/k_n</f>
        <v/>
      </c>
      <c r="Q3887">
        <f>J3887-H3887^2/k_n</f>
        <v/>
      </c>
      <c r="R3887">
        <f>K3887-G3887*H3887/k_n</f>
        <v/>
      </c>
      <c r="S3887">
        <f>L3887-LTP3!$D$3*G3887/k_n</f>
        <v/>
      </c>
      <c r="T3887">
        <f>M3887-LTP3!$D$3*H3887/k_n</f>
        <v/>
      </c>
      <c r="U3887">
        <f>N3887-G3887*LTP3!$D$4/k_n</f>
        <v/>
      </c>
      <c r="V3887">
        <f>O3887-H3887*LTP3!$D$4/k_n</f>
        <v/>
      </c>
      <c r="W3887">
        <f>((LTP3!$D$5)*((P3887)*(Q3887)-(R3887)*(R3887))-(S3887)*((S3887)*(Q3887)-(R3887)*(T3887))+(T3887)*((S3887)*(R3887)-(P3887)*(T3887)))</f>
        <v/>
      </c>
      <c r="X3887">
        <f>IF(ABS(W3887)&gt;1E-12,((LTP3!$D$6)*((P3887)*(Q3887)-(R3887)*(R3887))-(S3887)*((U3887)*(Q3887)-(R3887)*(V3887))+(T3887)*((U3887)*(R3887)-(P3887)*(V3887)))/W3887,0)</f>
        <v/>
      </c>
      <c r="Y3887">
        <f>IF(ABS(W3887)&gt;1E-12,((LTP3!$D$5)*((U3887)*(Q3887)-(R3887)*(V3887))-(LTP3!$D$6)*((S3887)*(Q3887)-(R3887)*(T3887))+(T3887)*((S3887)*(V3887)-(U3887)*(T3887)))/W3887,0)</f>
        <v/>
      </c>
      <c r="Z3887">
        <f>IF(ABS(W3887)&gt;1E-12,((LTP3!$D$5)*((P3887)*(V3887)-(U3887)*(R3887))-(S3887)*((S3887)*(V3887)-(U3887)*(T3887))+(LTP3!$D$6)*((S3887)*(R3887)-(P3887)*(T3887)))/W3887,0)</f>
        <v/>
      </c>
      <c r="AA3887">
        <f>LTP3!$D$7-X3887*LTP3!$D$6-Y3887*U3887-Z3887*V3887</f>
        <v/>
      </c>
      <c r="AB3887">
        <f>IF(AND(F3887,ABS(W3887)&gt;1E-12,Y3887&gt;0,Z3887&gt;0),AA3887,1E+300)</f>
        <v/>
      </c>
    </row>
    <row r="3888">
      <c r="A3888">
        <f>$I$3-$B$5+$B$5*7/10</f>
        <v/>
      </c>
      <c r="B3888">
        <f>$J$3-$B$5+$B$5*5/10</f>
        <v/>
      </c>
      <c r="C3888">
        <f>SUMPRODUCT(Calc!$K$3:$K$22*(Calc!$G$3:$G$22&lt;=A3888))</f>
        <v/>
      </c>
      <c r="D3888">
        <f>SUMPRODUCT(Calc!$K$3:$K$22*(Calc!$G$3:$G$22&gt;A3888)*(Calc!$G$3:$G$22&lt;B3888))</f>
        <v/>
      </c>
      <c r="E3888">
        <f>SUMPRODUCT(Calc!$K$3:$K$22*(Calc!$G$3:$G$22&gt;=B3888))</f>
        <v/>
      </c>
      <c r="F3888">
        <f>AND(k_n&gt;=5,B3888&gt;A3888+1E-9,C3888&gt;=2,D3888&gt;=1,E3888&gt;=2)</f>
        <v/>
      </c>
      <c r="G3888">
        <f>SUMPRODUCT(Calc!$K$3:$K$22*(Calc!$G$3:$G$22&gt;A3888)*(Calc!$G$3:$G$22-A3888))</f>
        <v/>
      </c>
      <c r="H3888">
        <f>SUMPRODUCT(Calc!$K$3:$K$22*(Calc!$G$3:$G$22&gt;B3888)*(Calc!$G$3:$G$22-B3888))</f>
        <v/>
      </c>
      <c r="I3888">
        <f>SUMPRODUCT(Calc!$K$3:$K$22*(Calc!$G$3:$G$22&gt;A3888)*(Calc!$G$3:$G$22-A3888)^2)</f>
        <v/>
      </c>
      <c r="J3888">
        <f>SUMPRODUCT(Calc!$K$3:$K$22*(Calc!$G$3:$G$22&gt;B3888)*(Calc!$G$3:$G$22-B3888)^2)</f>
        <v/>
      </c>
      <c r="K3888">
        <f>SUMPRODUCT(Calc!$K$3:$K$22*(Calc!$G$3:$G$22&gt;A3888)*(Calc!$G$3:$G$22-A3888)*(Calc!$G$3:$G$22&gt;B3888)*(Calc!$G$3:$G$22-B3888))</f>
        <v/>
      </c>
      <c r="L3888">
        <f>SUMPRODUCT(Calc!$K$3:$K$22*(Calc!$G$3:$G$22&gt;A3888)*(Calc!$G$3:$G$22-A3888)*Calc!$G$3:$G$22)</f>
        <v/>
      </c>
      <c r="M3888">
        <f>SUMPRODUCT(Calc!$K$3:$K$22*(Calc!$G$3:$G$22&gt;B3888)*(Calc!$G$3:$G$22-B3888)*Calc!$G$3:$G$22)</f>
        <v/>
      </c>
      <c r="N3888">
        <f>SUMPRODUCT(Calc!$K$3:$K$22*(Calc!$G$3:$G$22&gt;A3888)*(Calc!$G$3:$G$22-A3888)*Calc!$I$3:$I$22)</f>
        <v/>
      </c>
      <c r="O3888">
        <f>SUMPRODUCT(Calc!$K$3:$K$22*(Calc!$G$3:$G$22&gt;B3888)*(Calc!$G$3:$G$22-B3888)*Calc!$I$3:$I$22)</f>
        <v/>
      </c>
      <c r="P3888">
        <f>I3888-G3888^2/k_n</f>
        <v/>
      </c>
      <c r="Q3888">
        <f>J3888-H3888^2/k_n</f>
        <v/>
      </c>
      <c r="R3888">
        <f>K3888-G3888*H3888/k_n</f>
        <v/>
      </c>
      <c r="S3888">
        <f>L3888-LTP3!$D$3*G3888/k_n</f>
        <v/>
      </c>
      <c r="T3888">
        <f>M3888-LTP3!$D$3*H3888/k_n</f>
        <v/>
      </c>
      <c r="U3888">
        <f>N3888-G3888*LTP3!$D$4/k_n</f>
        <v/>
      </c>
      <c r="V3888">
        <f>O3888-H3888*LTP3!$D$4/k_n</f>
        <v/>
      </c>
      <c r="W3888">
        <f>((LTP3!$D$5)*((P3888)*(Q3888)-(R3888)*(R3888))-(S3888)*((S3888)*(Q3888)-(R3888)*(T3888))+(T3888)*((S3888)*(R3888)-(P3888)*(T3888)))</f>
        <v/>
      </c>
      <c r="X3888">
        <f>IF(ABS(W3888)&gt;1E-12,((LTP3!$D$6)*((P3888)*(Q3888)-(R3888)*(R3888))-(S3888)*((U3888)*(Q3888)-(R3888)*(V3888))+(T3888)*((U3888)*(R3888)-(P3888)*(V3888)))/W3888,0)</f>
        <v/>
      </c>
      <c r="Y3888">
        <f>IF(ABS(W3888)&gt;1E-12,((LTP3!$D$5)*((U3888)*(Q3888)-(R3888)*(V3888))-(LTP3!$D$6)*((S3888)*(Q3888)-(R3888)*(T3888))+(T3888)*((S3888)*(V3888)-(U3888)*(T3888)))/W3888,0)</f>
        <v/>
      </c>
      <c r="Z3888">
        <f>IF(ABS(W3888)&gt;1E-12,((LTP3!$D$5)*((P3888)*(V3888)-(U3888)*(R3888))-(S3888)*((S3888)*(V3888)-(U3888)*(T3888))+(LTP3!$D$6)*((S3888)*(R3888)-(P3888)*(T3888)))/W3888,0)</f>
        <v/>
      </c>
      <c r="AA3888">
        <f>LTP3!$D$7-X3888*LTP3!$D$6-Y3888*U3888-Z3888*V3888</f>
        <v/>
      </c>
      <c r="AB3888">
        <f>IF(AND(F3888,ABS(W3888)&gt;1E-12,Y3888&gt;0,Z3888&gt;0),AA3888,1E+300)</f>
        <v/>
      </c>
    </row>
    <row r="3889">
      <c r="A3889">
        <f>$I$3-$B$5+$B$5*7/10</f>
        <v/>
      </c>
      <c r="B3889">
        <f>$J$3-$B$5+$B$5*6/10</f>
        <v/>
      </c>
      <c r="C3889">
        <f>SUMPRODUCT(Calc!$K$3:$K$22*(Calc!$G$3:$G$22&lt;=A3889))</f>
        <v/>
      </c>
      <c r="D3889">
        <f>SUMPRODUCT(Calc!$K$3:$K$22*(Calc!$G$3:$G$22&gt;A3889)*(Calc!$G$3:$G$22&lt;B3889))</f>
        <v/>
      </c>
      <c r="E3889">
        <f>SUMPRODUCT(Calc!$K$3:$K$22*(Calc!$G$3:$G$22&gt;=B3889))</f>
        <v/>
      </c>
      <c r="F3889">
        <f>AND(k_n&gt;=5,B3889&gt;A3889+1E-9,C3889&gt;=2,D3889&gt;=1,E3889&gt;=2)</f>
        <v/>
      </c>
      <c r="G3889">
        <f>SUMPRODUCT(Calc!$K$3:$K$22*(Calc!$G$3:$G$22&gt;A3889)*(Calc!$G$3:$G$22-A3889))</f>
        <v/>
      </c>
      <c r="H3889">
        <f>SUMPRODUCT(Calc!$K$3:$K$22*(Calc!$G$3:$G$22&gt;B3889)*(Calc!$G$3:$G$22-B3889))</f>
        <v/>
      </c>
      <c r="I3889">
        <f>SUMPRODUCT(Calc!$K$3:$K$22*(Calc!$G$3:$G$22&gt;A3889)*(Calc!$G$3:$G$22-A3889)^2)</f>
        <v/>
      </c>
      <c r="J3889">
        <f>SUMPRODUCT(Calc!$K$3:$K$22*(Calc!$G$3:$G$22&gt;B3889)*(Calc!$G$3:$G$22-B3889)^2)</f>
        <v/>
      </c>
      <c r="K3889">
        <f>SUMPRODUCT(Calc!$K$3:$K$22*(Calc!$G$3:$G$22&gt;A3889)*(Calc!$G$3:$G$22-A3889)*(Calc!$G$3:$G$22&gt;B3889)*(Calc!$G$3:$G$22-B3889))</f>
        <v/>
      </c>
      <c r="L3889">
        <f>SUMPRODUCT(Calc!$K$3:$K$22*(Calc!$G$3:$G$22&gt;A3889)*(Calc!$G$3:$G$22-A3889)*Calc!$G$3:$G$22)</f>
        <v/>
      </c>
      <c r="M3889">
        <f>SUMPRODUCT(Calc!$K$3:$K$22*(Calc!$G$3:$G$22&gt;B3889)*(Calc!$G$3:$G$22-B3889)*Calc!$G$3:$G$22)</f>
        <v/>
      </c>
      <c r="N3889">
        <f>SUMPRODUCT(Calc!$K$3:$K$22*(Calc!$G$3:$G$22&gt;A3889)*(Calc!$G$3:$G$22-A3889)*Calc!$I$3:$I$22)</f>
        <v/>
      </c>
      <c r="O3889">
        <f>SUMPRODUCT(Calc!$K$3:$K$22*(Calc!$G$3:$G$22&gt;B3889)*(Calc!$G$3:$G$22-B3889)*Calc!$I$3:$I$22)</f>
        <v/>
      </c>
      <c r="P3889">
        <f>I3889-G3889^2/k_n</f>
        <v/>
      </c>
      <c r="Q3889">
        <f>J3889-H3889^2/k_n</f>
        <v/>
      </c>
      <c r="R3889">
        <f>K3889-G3889*H3889/k_n</f>
        <v/>
      </c>
      <c r="S3889">
        <f>L3889-LTP3!$D$3*G3889/k_n</f>
        <v/>
      </c>
      <c r="T3889">
        <f>M3889-LTP3!$D$3*H3889/k_n</f>
        <v/>
      </c>
      <c r="U3889">
        <f>N3889-G3889*LTP3!$D$4/k_n</f>
        <v/>
      </c>
      <c r="V3889">
        <f>O3889-H3889*LTP3!$D$4/k_n</f>
        <v/>
      </c>
      <c r="W3889">
        <f>((LTP3!$D$5)*((P3889)*(Q3889)-(R3889)*(R3889))-(S3889)*((S3889)*(Q3889)-(R3889)*(T3889))+(T3889)*((S3889)*(R3889)-(P3889)*(T3889)))</f>
        <v/>
      </c>
      <c r="X3889">
        <f>IF(ABS(W3889)&gt;1E-12,((LTP3!$D$6)*((P3889)*(Q3889)-(R3889)*(R3889))-(S3889)*((U3889)*(Q3889)-(R3889)*(V3889))+(T3889)*((U3889)*(R3889)-(P3889)*(V3889)))/W3889,0)</f>
        <v/>
      </c>
      <c r="Y3889">
        <f>IF(ABS(W3889)&gt;1E-12,((LTP3!$D$5)*((U3889)*(Q3889)-(R3889)*(V3889))-(LTP3!$D$6)*((S3889)*(Q3889)-(R3889)*(T3889))+(T3889)*((S3889)*(V3889)-(U3889)*(T3889)))/W3889,0)</f>
        <v/>
      </c>
      <c r="Z3889">
        <f>IF(ABS(W3889)&gt;1E-12,((LTP3!$D$5)*((P3889)*(V3889)-(U3889)*(R3889))-(S3889)*((S3889)*(V3889)-(U3889)*(T3889))+(LTP3!$D$6)*((S3889)*(R3889)-(P3889)*(T3889)))/W3889,0)</f>
        <v/>
      </c>
      <c r="AA3889">
        <f>LTP3!$D$7-X3889*LTP3!$D$6-Y3889*U3889-Z3889*V3889</f>
        <v/>
      </c>
      <c r="AB3889">
        <f>IF(AND(F3889,ABS(W3889)&gt;1E-12,Y3889&gt;0,Z3889&gt;0),AA3889,1E+300)</f>
        <v/>
      </c>
    </row>
    <row r="3890">
      <c r="A3890">
        <f>$I$3-$B$5+$B$5*7/10</f>
        <v/>
      </c>
      <c r="B3890">
        <f>$J$3-$B$5+$B$5*7/10</f>
        <v/>
      </c>
      <c r="C3890">
        <f>SUMPRODUCT(Calc!$K$3:$K$22*(Calc!$G$3:$G$22&lt;=A3890))</f>
        <v/>
      </c>
      <c r="D3890">
        <f>SUMPRODUCT(Calc!$K$3:$K$22*(Calc!$G$3:$G$22&gt;A3890)*(Calc!$G$3:$G$22&lt;B3890))</f>
        <v/>
      </c>
      <c r="E3890">
        <f>SUMPRODUCT(Calc!$K$3:$K$22*(Calc!$G$3:$G$22&gt;=B3890))</f>
        <v/>
      </c>
      <c r="F3890">
        <f>AND(k_n&gt;=5,B3890&gt;A3890+1E-9,C3890&gt;=2,D3890&gt;=1,E3890&gt;=2)</f>
        <v/>
      </c>
      <c r="G3890">
        <f>SUMPRODUCT(Calc!$K$3:$K$22*(Calc!$G$3:$G$22&gt;A3890)*(Calc!$G$3:$G$22-A3890))</f>
        <v/>
      </c>
      <c r="H3890">
        <f>SUMPRODUCT(Calc!$K$3:$K$22*(Calc!$G$3:$G$22&gt;B3890)*(Calc!$G$3:$G$22-B3890))</f>
        <v/>
      </c>
      <c r="I3890">
        <f>SUMPRODUCT(Calc!$K$3:$K$22*(Calc!$G$3:$G$22&gt;A3890)*(Calc!$G$3:$G$22-A3890)^2)</f>
        <v/>
      </c>
      <c r="J3890">
        <f>SUMPRODUCT(Calc!$K$3:$K$22*(Calc!$G$3:$G$22&gt;B3890)*(Calc!$G$3:$G$22-B3890)^2)</f>
        <v/>
      </c>
      <c r="K3890">
        <f>SUMPRODUCT(Calc!$K$3:$K$22*(Calc!$G$3:$G$22&gt;A3890)*(Calc!$G$3:$G$22-A3890)*(Calc!$G$3:$G$22&gt;B3890)*(Calc!$G$3:$G$22-B3890))</f>
        <v/>
      </c>
      <c r="L3890">
        <f>SUMPRODUCT(Calc!$K$3:$K$22*(Calc!$G$3:$G$22&gt;A3890)*(Calc!$G$3:$G$22-A3890)*Calc!$G$3:$G$22)</f>
        <v/>
      </c>
      <c r="M3890">
        <f>SUMPRODUCT(Calc!$K$3:$K$22*(Calc!$G$3:$G$22&gt;B3890)*(Calc!$G$3:$G$22-B3890)*Calc!$G$3:$G$22)</f>
        <v/>
      </c>
      <c r="N3890">
        <f>SUMPRODUCT(Calc!$K$3:$K$22*(Calc!$G$3:$G$22&gt;A3890)*(Calc!$G$3:$G$22-A3890)*Calc!$I$3:$I$22)</f>
        <v/>
      </c>
      <c r="O3890">
        <f>SUMPRODUCT(Calc!$K$3:$K$22*(Calc!$G$3:$G$22&gt;B3890)*(Calc!$G$3:$G$22-B3890)*Calc!$I$3:$I$22)</f>
        <v/>
      </c>
      <c r="P3890">
        <f>I3890-G3890^2/k_n</f>
        <v/>
      </c>
      <c r="Q3890">
        <f>J3890-H3890^2/k_n</f>
        <v/>
      </c>
      <c r="R3890">
        <f>K3890-G3890*H3890/k_n</f>
        <v/>
      </c>
      <c r="S3890">
        <f>L3890-LTP3!$D$3*G3890/k_n</f>
        <v/>
      </c>
      <c r="T3890">
        <f>M3890-LTP3!$D$3*H3890/k_n</f>
        <v/>
      </c>
      <c r="U3890">
        <f>N3890-G3890*LTP3!$D$4/k_n</f>
        <v/>
      </c>
      <c r="V3890">
        <f>O3890-H3890*LTP3!$D$4/k_n</f>
        <v/>
      </c>
      <c r="W3890">
        <f>((LTP3!$D$5)*((P3890)*(Q3890)-(R3890)*(R3890))-(S3890)*((S3890)*(Q3890)-(R3890)*(T3890))+(T3890)*((S3890)*(R3890)-(P3890)*(T3890)))</f>
        <v/>
      </c>
      <c r="X3890">
        <f>IF(ABS(W3890)&gt;1E-12,((LTP3!$D$6)*((P3890)*(Q3890)-(R3890)*(R3890))-(S3890)*((U3890)*(Q3890)-(R3890)*(V3890))+(T3890)*((U3890)*(R3890)-(P3890)*(V3890)))/W3890,0)</f>
        <v/>
      </c>
      <c r="Y3890">
        <f>IF(ABS(W3890)&gt;1E-12,((LTP3!$D$5)*((U3890)*(Q3890)-(R3890)*(V3890))-(LTP3!$D$6)*((S3890)*(Q3890)-(R3890)*(T3890))+(T3890)*((S3890)*(V3890)-(U3890)*(T3890)))/W3890,0)</f>
        <v/>
      </c>
      <c r="Z3890">
        <f>IF(ABS(W3890)&gt;1E-12,((LTP3!$D$5)*((P3890)*(V3890)-(U3890)*(R3890))-(S3890)*((S3890)*(V3890)-(U3890)*(T3890))+(LTP3!$D$6)*((S3890)*(R3890)-(P3890)*(T3890)))/W3890,0)</f>
        <v/>
      </c>
      <c r="AA3890">
        <f>LTP3!$D$7-X3890*LTP3!$D$6-Y3890*U3890-Z3890*V3890</f>
        <v/>
      </c>
      <c r="AB3890">
        <f>IF(AND(F3890,ABS(W3890)&gt;1E-12,Y3890&gt;0,Z3890&gt;0),AA3890,1E+300)</f>
        <v/>
      </c>
    </row>
    <row r="3891">
      <c r="A3891">
        <f>$I$3-$B$5+$B$5*7/10</f>
        <v/>
      </c>
      <c r="B3891">
        <f>$J$3-$B$5+$B$5*8/10</f>
        <v/>
      </c>
      <c r="C3891">
        <f>SUMPRODUCT(Calc!$K$3:$K$22*(Calc!$G$3:$G$22&lt;=A3891))</f>
        <v/>
      </c>
      <c r="D3891">
        <f>SUMPRODUCT(Calc!$K$3:$K$22*(Calc!$G$3:$G$22&gt;A3891)*(Calc!$G$3:$G$22&lt;B3891))</f>
        <v/>
      </c>
      <c r="E3891">
        <f>SUMPRODUCT(Calc!$K$3:$K$22*(Calc!$G$3:$G$22&gt;=B3891))</f>
        <v/>
      </c>
      <c r="F3891">
        <f>AND(k_n&gt;=5,B3891&gt;A3891+1E-9,C3891&gt;=2,D3891&gt;=1,E3891&gt;=2)</f>
        <v/>
      </c>
      <c r="G3891">
        <f>SUMPRODUCT(Calc!$K$3:$K$22*(Calc!$G$3:$G$22&gt;A3891)*(Calc!$G$3:$G$22-A3891))</f>
        <v/>
      </c>
      <c r="H3891">
        <f>SUMPRODUCT(Calc!$K$3:$K$22*(Calc!$G$3:$G$22&gt;B3891)*(Calc!$G$3:$G$22-B3891))</f>
        <v/>
      </c>
      <c r="I3891">
        <f>SUMPRODUCT(Calc!$K$3:$K$22*(Calc!$G$3:$G$22&gt;A3891)*(Calc!$G$3:$G$22-A3891)^2)</f>
        <v/>
      </c>
      <c r="J3891">
        <f>SUMPRODUCT(Calc!$K$3:$K$22*(Calc!$G$3:$G$22&gt;B3891)*(Calc!$G$3:$G$22-B3891)^2)</f>
        <v/>
      </c>
      <c r="K3891">
        <f>SUMPRODUCT(Calc!$K$3:$K$22*(Calc!$G$3:$G$22&gt;A3891)*(Calc!$G$3:$G$22-A3891)*(Calc!$G$3:$G$22&gt;B3891)*(Calc!$G$3:$G$22-B3891))</f>
        <v/>
      </c>
      <c r="L3891">
        <f>SUMPRODUCT(Calc!$K$3:$K$22*(Calc!$G$3:$G$22&gt;A3891)*(Calc!$G$3:$G$22-A3891)*Calc!$G$3:$G$22)</f>
        <v/>
      </c>
      <c r="M3891">
        <f>SUMPRODUCT(Calc!$K$3:$K$22*(Calc!$G$3:$G$22&gt;B3891)*(Calc!$G$3:$G$22-B3891)*Calc!$G$3:$G$22)</f>
        <v/>
      </c>
      <c r="N3891">
        <f>SUMPRODUCT(Calc!$K$3:$K$22*(Calc!$G$3:$G$22&gt;A3891)*(Calc!$G$3:$G$22-A3891)*Calc!$I$3:$I$22)</f>
        <v/>
      </c>
      <c r="O3891">
        <f>SUMPRODUCT(Calc!$K$3:$K$22*(Calc!$G$3:$G$22&gt;B3891)*(Calc!$G$3:$G$22-B3891)*Calc!$I$3:$I$22)</f>
        <v/>
      </c>
      <c r="P3891">
        <f>I3891-G3891^2/k_n</f>
        <v/>
      </c>
      <c r="Q3891">
        <f>J3891-H3891^2/k_n</f>
        <v/>
      </c>
      <c r="R3891">
        <f>K3891-G3891*H3891/k_n</f>
        <v/>
      </c>
      <c r="S3891">
        <f>L3891-LTP3!$D$3*G3891/k_n</f>
        <v/>
      </c>
      <c r="T3891">
        <f>M3891-LTP3!$D$3*H3891/k_n</f>
        <v/>
      </c>
      <c r="U3891">
        <f>N3891-G3891*LTP3!$D$4/k_n</f>
        <v/>
      </c>
      <c r="V3891">
        <f>O3891-H3891*LTP3!$D$4/k_n</f>
        <v/>
      </c>
      <c r="W3891">
        <f>((LTP3!$D$5)*((P3891)*(Q3891)-(R3891)*(R3891))-(S3891)*((S3891)*(Q3891)-(R3891)*(T3891))+(T3891)*((S3891)*(R3891)-(P3891)*(T3891)))</f>
        <v/>
      </c>
      <c r="X3891">
        <f>IF(ABS(W3891)&gt;1E-12,((LTP3!$D$6)*((P3891)*(Q3891)-(R3891)*(R3891))-(S3891)*((U3891)*(Q3891)-(R3891)*(V3891))+(T3891)*((U3891)*(R3891)-(P3891)*(V3891)))/W3891,0)</f>
        <v/>
      </c>
      <c r="Y3891">
        <f>IF(ABS(W3891)&gt;1E-12,((LTP3!$D$5)*((U3891)*(Q3891)-(R3891)*(V3891))-(LTP3!$D$6)*((S3891)*(Q3891)-(R3891)*(T3891))+(T3891)*((S3891)*(V3891)-(U3891)*(T3891)))/W3891,0)</f>
        <v/>
      </c>
      <c r="Z3891">
        <f>IF(ABS(W3891)&gt;1E-12,((LTP3!$D$5)*((P3891)*(V3891)-(U3891)*(R3891))-(S3891)*((S3891)*(V3891)-(U3891)*(T3891))+(LTP3!$D$6)*((S3891)*(R3891)-(P3891)*(T3891)))/W3891,0)</f>
        <v/>
      </c>
      <c r="AA3891">
        <f>LTP3!$D$7-X3891*LTP3!$D$6-Y3891*U3891-Z3891*V3891</f>
        <v/>
      </c>
      <c r="AB3891">
        <f>IF(AND(F3891,ABS(W3891)&gt;1E-12,Y3891&gt;0,Z3891&gt;0),AA3891,1E+300)</f>
        <v/>
      </c>
    </row>
    <row r="3892">
      <c r="A3892">
        <f>$I$3-$B$5+$B$5*7/10</f>
        <v/>
      </c>
      <c r="B3892">
        <f>$J$3-$B$5+$B$5*9/10</f>
        <v/>
      </c>
      <c r="C3892">
        <f>SUMPRODUCT(Calc!$K$3:$K$22*(Calc!$G$3:$G$22&lt;=A3892))</f>
        <v/>
      </c>
      <c r="D3892">
        <f>SUMPRODUCT(Calc!$K$3:$K$22*(Calc!$G$3:$G$22&gt;A3892)*(Calc!$G$3:$G$22&lt;B3892))</f>
        <v/>
      </c>
      <c r="E3892">
        <f>SUMPRODUCT(Calc!$K$3:$K$22*(Calc!$G$3:$G$22&gt;=B3892))</f>
        <v/>
      </c>
      <c r="F3892">
        <f>AND(k_n&gt;=5,B3892&gt;A3892+1E-9,C3892&gt;=2,D3892&gt;=1,E3892&gt;=2)</f>
        <v/>
      </c>
      <c r="G3892">
        <f>SUMPRODUCT(Calc!$K$3:$K$22*(Calc!$G$3:$G$22&gt;A3892)*(Calc!$G$3:$G$22-A3892))</f>
        <v/>
      </c>
      <c r="H3892">
        <f>SUMPRODUCT(Calc!$K$3:$K$22*(Calc!$G$3:$G$22&gt;B3892)*(Calc!$G$3:$G$22-B3892))</f>
        <v/>
      </c>
      <c r="I3892">
        <f>SUMPRODUCT(Calc!$K$3:$K$22*(Calc!$G$3:$G$22&gt;A3892)*(Calc!$G$3:$G$22-A3892)^2)</f>
        <v/>
      </c>
      <c r="J3892">
        <f>SUMPRODUCT(Calc!$K$3:$K$22*(Calc!$G$3:$G$22&gt;B3892)*(Calc!$G$3:$G$22-B3892)^2)</f>
        <v/>
      </c>
      <c r="K3892">
        <f>SUMPRODUCT(Calc!$K$3:$K$22*(Calc!$G$3:$G$22&gt;A3892)*(Calc!$G$3:$G$22-A3892)*(Calc!$G$3:$G$22&gt;B3892)*(Calc!$G$3:$G$22-B3892))</f>
        <v/>
      </c>
      <c r="L3892">
        <f>SUMPRODUCT(Calc!$K$3:$K$22*(Calc!$G$3:$G$22&gt;A3892)*(Calc!$G$3:$G$22-A3892)*Calc!$G$3:$G$22)</f>
        <v/>
      </c>
      <c r="M3892">
        <f>SUMPRODUCT(Calc!$K$3:$K$22*(Calc!$G$3:$G$22&gt;B3892)*(Calc!$G$3:$G$22-B3892)*Calc!$G$3:$G$22)</f>
        <v/>
      </c>
      <c r="N3892">
        <f>SUMPRODUCT(Calc!$K$3:$K$22*(Calc!$G$3:$G$22&gt;A3892)*(Calc!$G$3:$G$22-A3892)*Calc!$I$3:$I$22)</f>
        <v/>
      </c>
      <c r="O3892">
        <f>SUMPRODUCT(Calc!$K$3:$K$22*(Calc!$G$3:$G$22&gt;B3892)*(Calc!$G$3:$G$22-B3892)*Calc!$I$3:$I$22)</f>
        <v/>
      </c>
      <c r="P3892">
        <f>I3892-G3892^2/k_n</f>
        <v/>
      </c>
      <c r="Q3892">
        <f>J3892-H3892^2/k_n</f>
        <v/>
      </c>
      <c r="R3892">
        <f>K3892-G3892*H3892/k_n</f>
        <v/>
      </c>
      <c r="S3892">
        <f>L3892-LTP3!$D$3*G3892/k_n</f>
        <v/>
      </c>
      <c r="T3892">
        <f>M3892-LTP3!$D$3*H3892/k_n</f>
        <v/>
      </c>
      <c r="U3892">
        <f>N3892-G3892*LTP3!$D$4/k_n</f>
        <v/>
      </c>
      <c r="V3892">
        <f>O3892-H3892*LTP3!$D$4/k_n</f>
        <v/>
      </c>
      <c r="W3892">
        <f>((LTP3!$D$5)*((P3892)*(Q3892)-(R3892)*(R3892))-(S3892)*((S3892)*(Q3892)-(R3892)*(T3892))+(T3892)*((S3892)*(R3892)-(P3892)*(T3892)))</f>
        <v/>
      </c>
      <c r="X3892">
        <f>IF(ABS(W3892)&gt;1E-12,((LTP3!$D$6)*((P3892)*(Q3892)-(R3892)*(R3892))-(S3892)*((U3892)*(Q3892)-(R3892)*(V3892))+(T3892)*((U3892)*(R3892)-(P3892)*(V3892)))/W3892,0)</f>
        <v/>
      </c>
      <c r="Y3892">
        <f>IF(ABS(W3892)&gt;1E-12,((LTP3!$D$5)*((U3892)*(Q3892)-(R3892)*(V3892))-(LTP3!$D$6)*((S3892)*(Q3892)-(R3892)*(T3892))+(T3892)*((S3892)*(V3892)-(U3892)*(T3892)))/W3892,0)</f>
        <v/>
      </c>
      <c r="Z3892">
        <f>IF(ABS(W3892)&gt;1E-12,((LTP3!$D$5)*((P3892)*(V3892)-(U3892)*(R3892))-(S3892)*((S3892)*(V3892)-(U3892)*(T3892))+(LTP3!$D$6)*((S3892)*(R3892)-(P3892)*(T3892)))/W3892,0)</f>
        <v/>
      </c>
      <c r="AA3892">
        <f>LTP3!$D$7-X3892*LTP3!$D$6-Y3892*U3892-Z3892*V3892</f>
        <v/>
      </c>
      <c r="AB3892">
        <f>IF(AND(F3892,ABS(W3892)&gt;1E-12,Y3892&gt;0,Z3892&gt;0),AA3892,1E+300)</f>
        <v/>
      </c>
    </row>
    <row r="3893">
      <c r="A3893">
        <f>$I$3-$B$5+$B$5*7/10</f>
        <v/>
      </c>
      <c r="B3893">
        <f>$J$3-$B$5+$B$5*10/10</f>
        <v/>
      </c>
      <c r="C3893">
        <f>SUMPRODUCT(Calc!$K$3:$K$22*(Calc!$G$3:$G$22&lt;=A3893))</f>
        <v/>
      </c>
      <c r="D3893">
        <f>SUMPRODUCT(Calc!$K$3:$K$22*(Calc!$G$3:$G$22&gt;A3893)*(Calc!$G$3:$G$22&lt;B3893))</f>
        <v/>
      </c>
      <c r="E3893">
        <f>SUMPRODUCT(Calc!$K$3:$K$22*(Calc!$G$3:$G$22&gt;=B3893))</f>
        <v/>
      </c>
      <c r="F3893">
        <f>AND(k_n&gt;=5,B3893&gt;A3893+1E-9,C3893&gt;=2,D3893&gt;=1,E3893&gt;=2)</f>
        <v/>
      </c>
      <c r="G3893">
        <f>SUMPRODUCT(Calc!$K$3:$K$22*(Calc!$G$3:$G$22&gt;A3893)*(Calc!$G$3:$G$22-A3893))</f>
        <v/>
      </c>
      <c r="H3893">
        <f>SUMPRODUCT(Calc!$K$3:$K$22*(Calc!$G$3:$G$22&gt;B3893)*(Calc!$G$3:$G$22-B3893))</f>
        <v/>
      </c>
      <c r="I3893">
        <f>SUMPRODUCT(Calc!$K$3:$K$22*(Calc!$G$3:$G$22&gt;A3893)*(Calc!$G$3:$G$22-A3893)^2)</f>
        <v/>
      </c>
      <c r="J3893">
        <f>SUMPRODUCT(Calc!$K$3:$K$22*(Calc!$G$3:$G$22&gt;B3893)*(Calc!$G$3:$G$22-B3893)^2)</f>
        <v/>
      </c>
      <c r="K3893">
        <f>SUMPRODUCT(Calc!$K$3:$K$22*(Calc!$G$3:$G$22&gt;A3893)*(Calc!$G$3:$G$22-A3893)*(Calc!$G$3:$G$22&gt;B3893)*(Calc!$G$3:$G$22-B3893))</f>
        <v/>
      </c>
      <c r="L3893">
        <f>SUMPRODUCT(Calc!$K$3:$K$22*(Calc!$G$3:$G$22&gt;A3893)*(Calc!$G$3:$G$22-A3893)*Calc!$G$3:$G$22)</f>
        <v/>
      </c>
      <c r="M3893">
        <f>SUMPRODUCT(Calc!$K$3:$K$22*(Calc!$G$3:$G$22&gt;B3893)*(Calc!$G$3:$G$22-B3893)*Calc!$G$3:$G$22)</f>
        <v/>
      </c>
      <c r="N3893">
        <f>SUMPRODUCT(Calc!$K$3:$K$22*(Calc!$G$3:$G$22&gt;A3893)*(Calc!$G$3:$G$22-A3893)*Calc!$I$3:$I$22)</f>
        <v/>
      </c>
      <c r="O3893">
        <f>SUMPRODUCT(Calc!$K$3:$K$22*(Calc!$G$3:$G$22&gt;B3893)*(Calc!$G$3:$G$22-B3893)*Calc!$I$3:$I$22)</f>
        <v/>
      </c>
      <c r="P3893">
        <f>I3893-G3893^2/k_n</f>
        <v/>
      </c>
      <c r="Q3893">
        <f>J3893-H3893^2/k_n</f>
        <v/>
      </c>
      <c r="R3893">
        <f>K3893-G3893*H3893/k_n</f>
        <v/>
      </c>
      <c r="S3893">
        <f>L3893-LTP3!$D$3*G3893/k_n</f>
        <v/>
      </c>
      <c r="T3893">
        <f>M3893-LTP3!$D$3*H3893/k_n</f>
        <v/>
      </c>
      <c r="U3893">
        <f>N3893-G3893*LTP3!$D$4/k_n</f>
        <v/>
      </c>
      <c r="V3893">
        <f>O3893-H3893*LTP3!$D$4/k_n</f>
        <v/>
      </c>
      <c r="W3893">
        <f>((LTP3!$D$5)*((P3893)*(Q3893)-(R3893)*(R3893))-(S3893)*((S3893)*(Q3893)-(R3893)*(T3893))+(T3893)*((S3893)*(R3893)-(P3893)*(T3893)))</f>
        <v/>
      </c>
      <c r="X3893">
        <f>IF(ABS(W3893)&gt;1E-12,((LTP3!$D$6)*((P3893)*(Q3893)-(R3893)*(R3893))-(S3893)*((U3893)*(Q3893)-(R3893)*(V3893))+(T3893)*((U3893)*(R3893)-(P3893)*(V3893)))/W3893,0)</f>
        <v/>
      </c>
      <c r="Y3893">
        <f>IF(ABS(W3893)&gt;1E-12,((LTP3!$D$5)*((U3893)*(Q3893)-(R3893)*(V3893))-(LTP3!$D$6)*((S3893)*(Q3893)-(R3893)*(T3893))+(T3893)*((S3893)*(V3893)-(U3893)*(T3893)))/W3893,0)</f>
        <v/>
      </c>
      <c r="Z3893">
        <f>IF(ABS(W3893)&gt;1E-12,((LTP3!$D$5)*((P3893)*(V3893)-(U3893)*(R3893))-(S3893)*((S3893)*(V3893)-(U3893)*(T3893))+(LTP3!$D$6)*((S3893)*(R3893)-(P3893)*(T3893)))/W3893,0)</f>
        <v/>
      </c>
      <c r="AA3893">
        <f>LTP3!$D$7-X3893*LTP3!$D$6-Y3893*U3893-Z3893*V3893</f>
        <v/>
      </c>
      <c r="AB3893">
        <f>IF(AND(F3893,ABS(W3893)&gt;1E-12,Y3893&gt;0,Z3893&gt;0),AA3893,1E+300)</f>
        <v/>
      </c>
    </row>
    <row r="3894">
      <c r="A3894">
        <f>$I$3-$B$5+$B$5*7/10</f>
        <v/>
      </c>
      <c r="B3894">
        <f>$J$3-$B$5+$B$5*11/10</f>
        <v/>
      </c>
      <c r="C3894">
        <f>SUMPRODUCT(Calc!$K$3:$K$22*(Calc!$G$3:$G$22&lt;=A3894))</f>
        <v/>
      </c>
      <c r="D3894">
        <f>SUMPRODUCT(Calc!$K$3:$K$22*(Calc!$G$3:$G$22&gt;A3894)*(Calc!$G$3:$G$22&lt;B3894))</f>
        <v/>
      </c>
      <c r="E3894">
        <f>SUMPRODUCT(Calc!$K$3:$K$22*(Calc!$G$3:$G$22&gt;=B3894))</f>
        <v/>
      </c>
      <c r="F3894">
        <f>AND(k_n&gt;=5,B3894&gt;A3894+1E-9,C3894&gt;=2,D3894&gt;=1,E3894&gt;=2)</f>
        <v/>
      </c>
      <c r="G3894">
        <f>SUMPRODUCT(Calc!$K$3:$K$22*(Calc!$G$3:$G$22&gt;A3894)*(Calc!$G$3:$G$22-A3894))</f>
        <v/>
      </c>
      <c r="H3894">
        <f>SUMPRODUCT(Calc!$K$3:$K$22*(Calc!$G$3:$G$22&gt;B3894)*(Calc!$G$3:$G$22-B3894))</f>
        <v/>
      </c>
      <c r="I3894">
        <f>SUMPRODUCT(Calc!$K$3:$K$22*(Calc!$G$3:$G$22&gt;A3894)*(Calc!$G$3:$G$22-A3894)^2)</f>
        <v/>
      </c>
      <c r="J3894">
        <f>SUMPRODUCT(Calc!$K$3:$K$22*(Calc!$G$3:$G$22&gt;B3894)*(Calc!$G$3:$G$22-B3894)^2)</f>
        <v/>
      </c>
      <c r="K3894">
        <f>SUMPRODUCT(Calc!$K$3:$K$22*(Calc!$G$3:$G$22&gt;A3894)*(Calc!$G$3:$G$22-A3894)*(Calc!$G$3:$G$22&gt;B3894)*(Calc!$G$3:$G$22-B3894))</f>
        <v/>
      </c>
      <c r="L3894">
        <f>SUMPRODUCT(Calc!$K$3:$K$22*(Calc!$G$3:$G$22&gt;A3894)*(Calc!$G$3:$G$22-A3894)*Calc!$G$3:$G$22)</f>
        <v/>
      </c>
      <c r="M3894">
        <f>SUMPRODUCT(Calc!$K$3:$K$22*(Calc!$G$3:$G$22&gt;B3894)*(Calc!$G$3:$G$22-B3894)*Calc!$G$3:$G$22)</f>
        <v/>
      </c>
      <c r="N3894">
        <f>SUMPRODUCT(Calc!$K$3:$K$22*(Calc!$G$3:$G$22&gt;A3894)*(Calc!$G$3:$G$22-A3894)*Calc!$I$3:$I$22)</f>
        <v/>
      </c>
      <c r="O3894">
        <f>SUMPRODUCT(Calc!$K$3:$K$22*(Calc!$G$3:$G$22&gt;B3894)*(Calc!$G$3:$G$22-B3894)*Calc!$I$3:$I$22)</f>
        <v/>
      </c>
      <c r="P3894">
        <f>I3894-G3894^2/k_n</f>
        <v/>
      </c>
      <c r="Q3894">
        <f>J3894-H3894^2/k_n</f>
        <v/>
      </c>
      <c r="R3894">
        <f>K3894-G3894*H3894/k_n</f>
        <v/>
      </c>
      <c r="S3894">
        <f>L3894-LTP3!$D$3*G3894/k_n</f>
        <v/>
      </c>
      <c r="T3894">
        <f>M3894-LTP3!$D$3*H3894/k_n</f>
        <v/>
      </c>
      <c r="U3894">
        <f>N3894-G3894*LTP3!$D$4/k_n</f>
        <v/>
      </c>
      <c r="V3894">
        <f>O3894-H3894*LTP3!$D$4/k_n</f>
        <v/>
      </c>
      <c r="W3894">
        <f>((LTP3!$D$5)*((P3894)*(Q3894)-(R3894)*(R3894))-(S3894)*((S3894)*(Q3894)-(R3894)*(T3894))+(T3894)*((S3894)*(R3894)-(P3894)*(T3894)))</f>
        <v/>
      </c>
      <c r="X3894">
        <f>IF(ABS(W3894)&gt;1E-12,((LTP3!$D$6)*((P3894)*(Q3894)-(R3894)*(R3894))-(S3894)*((U3894)*(Q3894)-(R3894)*(V3894))+(T3894)*((U3894)*(R3894)-(P3894)*(V3894)))/W3894,0)</f>
        <v/>
      </c>
      <c r="Y3894">
        <f>IF(ABS(W3894)&gt;1E-12,((LTP3!$D$5)*((U3894)*(Q3894)-(R3894)*(V3894))-(LTP3!$D$6)*((S3894)*(Q3894)-(R3894)*(T3894))+(T3894)*((S3894)*(V3894)-(U3894)*(T3894)))/W3894,0)</f>
        <v/>
      </c>
      <c r="Z3894">
        <f>IF(ABS(W3894)&gt;1E-12,((LTP3!$D$5)*((P3894)*(V3894)-(U3894)*(R3894))-(S3894)*((S3894)*(V3894)-(U3894)*(T3894))+(LTP3!$D$6)*((S3894)*(R3894)-(P3894)*(T3894)))/W3894,0)</f>
        <v/>
      </c>
      <c r="AA3894">
        <f>LTP3!$D$7-X3894*LTP3!$D$6-Y3894*U3894-Z3894*V3894</f>
        <v/>
      </c>
      <c r="AB3894">
        <f>IF(AND(F3894,ABS(W3894)&gt;1E-12,Y3894&gt;0,Z3894&gt;0),AA3894,1E+300)</f>
        <v/>
      </c>
    </row>
    <row r="3895">
      <c r="A3895">
        <f>$I$3-$B$5+$B$5*7/10</f>
        <v/>
      </c>
      <c r="B3895">
        <f>$J$3-$B$5+$B$5*12/10</f>
        <v/>
      </c>
      <c r="C3895">
        <f>SUMPRODUCT(Calc!$K$3:$K$22*(Calc!$G$3:$G$22&lt;=A3895))</f>
        <v/>
      </c>
      <c r="D3895">
        <f>SUMPRODUCT(Calc!$K$3:$K$22*(Calc!$G$3:$G$22&gt;A3895)*(Calc!$G$3:$G$22&lt;B3895))</f>
        <v/>
      </c>
      <c r="E3895">
        <f>SUMPRODUCT(Calc!$K$3:$K$22*(Calc!$G$3:$G$22&gt;=B3895))</f>
        <v/>
      </c>
      <c r="F3895">
        <f>AND(k_n&gt;=5,B3895&gt;A3895+1E-9,C3895&gt;=2,D3895&gt;=1,E3895&gt;=2)</f>
        <v/>
      </c>
      <c r="G3895">
        <f>SUMPRODUCT(Calc!$K$3:$K$22*(Calc!$G$3:$G$22&gt;A3895)*(Calc!$G$3:$G$22-A3895))</f>
        <v/>
      </c>
      <c r="H3895">
        <f>SUMPRODUCT(Calc!$K$3:$K$22*(Calc!$G$3:$G$22&gt;B3895)*(Calc!$G$3:$G$22-B3895))</f>
        <v/>
      </c>
      <c r="I3895">
        <f>SUMPRODUCT(Calc!$K$3:$K$22*(Calc!$G$3:$G$22&gt;A3895)*(Calc!$G$3:$G$22-A3895)^2)</f>
        <v/>
      </c>
      <c r="J3895">
        <f>SUMPRODUCT(Calc!$K$3:$K$22*(Calc!$G$3:$G$22&gt;B3895)*(Calc!$G$3:$G$22-B3895)^2)</f>
        <v/>
      </c>
      <c r="K3895">
        <f>SUMPRODUCT(Calc!$K$3:$K$22*(Calc!$G$3:$G$22&gt;A3895)*(Calc!$G$3:$G$22-A3895)*(Calc!$G$3:$G$22&gt;B3895)*(Calc!$G$3:$G$22-B3895))</f>
        <v/>
      </c>
      <c r="L3895">
        <f>SUMPRODUCT(Calc!$K$3:$K$22*(Calc!$G$3:$G$22&gt;A3895)*(Calc!$G$3:$G$22-A3895)*Calc!$G$3:$G$22)</f>
        <v/>
      </c>
      <c r="M3895">
        <f>SUMPRODUCT(Calc!$K$3:$K$22*(Calc!$G$3:$G$22&gt;B3895)*(Calc!$G$3:$G$22-B3895)*Calc!$G$3:$G$22)</f>
        <v/>
      </c>
      <c r="N3895">
        <f>SUMPRODUCT(Calc!$K$3:$K$22*(Calc!$G$3:$G$22&gt;A3895)*(Calc!$G$3:$G$22-A3895)*Calc!$I$3:$I$22)</f>
        <v/>
      </c>
      <c r="O3895">
        <f>SUMPRODUCT(Calc!$K$3:$K$22*(Calc!$G$3:$G$22&gt;B3895)*(Calc!$G$3:$G$22-B3895)*Calc!$I$3:$I$22)</f>
        <v/>
      </c>
      <c r="P3895">
        <f>I3895-G3895^2/k_n</f>
        <v/>
      </c>
      <c r="Q3895">
        <f>J3895-H3895^2/k_n</f>
        <v/>
      </c>
      <c r="R3895">
        <f>K3895-G3895*H3895/k_n</f>
        <v/>
      </c>
      <c r="S3895">
        <f>L3895-LTP3!$D$3*G3895/k_n</f>
        <v/>
      </c>
      <c r="T3895">
        <f>M3895-LTP3!$D$3*H3895/k_n</f>
        <v/>
      </c>
      <c r="U3895">
        <f>N3895-G3895*LTP3!$D$4/k_n</f>
        <v/>
      </c>
      <c r="V3895">
        <f>O3895-H3895*LTP3!$D$4/k_n</f>
        <v/>
      </c>
      <c r="W3895">
        <f>((LTP3!$D$5)*((P3895)*(Q3895)-(R3895)*(R3895))-(S3895)*((S3895)*(Q3895)-(R3895)*(T3895))+(T3895)*((S3895)*(R3895)-(P3895)*(T3895)))</f>
        <v/>
      </c>
      <c r="X3895">
        <f>IF(ABS(W3895)&gt;1E-12,((LTP3!$D$6)*((P3895)*(Q3895)-(R3895)*(R3895))-(S3895)*((U3895)*(Q3895)-(R3895)*(V3895))+(T3895)*((U3895)*(R3895)-(P3895)*(V3895)))/W3895,0)</f>
        <v/>
      </c>
      <c r="Y3895">
        <f>IF(ABS(W3895)&gt;1E-12,((LTP3!$D$5)*((U3895)*(Q3895)-(R3895)*(V3895))-(LTP3!$D$6)*((S3895)*(Q3895)-(R3895)*(T3895))+(T3895)*((S3895)*(V3895)-(U3895)*(T3895)))/W3895,0)</f>
        <v/>
      </c>
      <c r="Z3895">
        <f>IF(ABS(W3895)&gt;1E-12,((LTP3!$D$5)*((P3895)*(V3895)-(U3895)*(R3895))-(S3895)*((S3895)*(V3895)-(U3895)*(T3895))+(LTP3!$D$6)*((S3895)*(R3895)-(P3895)*(T3895)))/W3895,0)</f>
        <v/>
      </c>
      <c r="AA3895">
        <f>LTP3!$D$7-X3895*LTP3!$D$6-Y3895*U3895-Z3895*V3895</f>
        <v/>
      </c>
      <c r="AB3895">
        <f>IF(AND(F3895,ABS(W3895)&gt;1E-12,Y3895&gt;0,Z3895&gt;0),AA3895,1E+300)</f>
        <v/>
      </c>
    </row>
    <row r="3896">
      <c r="A3896">
        <f>$I$3-$B$5+$B$5*7/10</f>
        <v/>
      </c>
      <c r="B3896">
        <f>$J$3-$B$5+$B$5*13/10</f>
        <v/>
      </c>
      <c r="C3896">
        <f>SUMPRODUCT(Calc!$K$3:$K$22*(Calc!$G$3:$G$22&lt;=A3896))</f>
        <v/>
      </c>
      <c r="D3896">
        <f>SUMPRODUCT(Calc!$K$3:$K$22*(Calc!$G$3:$G$22&gt;A3896)*(Calc!$G$3:$G$22&lt;B3896))</f>
        <v/>
      </c>
      <c r="E3896">
        <f>SUMPRODUCT(Calc!$K$3:$K$22*(Calc!$G$3:$G$22&gt;=B3896))</f>
        <v/>
      </c>
      <c r="F3896">
        <f>AND(k_n&gt;=5,B3896&gt;A3896+1E-9,C3896&gt;=2,D3896&gt;=1,E3896&gt;=2)</f>
        <v/>
      </c>
      <c r="G3896">
        <f>SUMPRODUCT(Calc!$K$3:$K$22*(Calc!$G$3:$G$22&gt;A3896)*(Calc!$G$3:$G$22-A3896))</f>
        <v/>
      </c>
      <c r="H3896">
        <f>SUMPRODUCT(Calc!$K$3:$K$22*(Calc!$G$3:$G$22&gt;B3896)*(Calc!$G$3:$G$22-B3896))</f>
        <v/>
      </c>
      <c r="I3896">
        <f>SUMPRODUCT(Calc!$K$3:$K$22*(Calc!$G$3:$G$22&gt;A3896)*(Calc!$G$3:$G$22-A3896)^2)</f>
        <v/>
      </c>
      <c r="J3896">
        <f>SUMPRODUCT(Calc!$K$3:$K$22*(Calc!$G$3:$G$22&gt;B3896)*(Calc!$G$3:$G$22-B3896)^2)</f>
        <v/>
      </c>
      <c r="K3896">
        <f>SUMPRODUCT(Calc!$K$3:$K$22*(Calc!$G$3:$G$22&gt;A3896)*(Calc!$G$3:$G$22-A3896)*(Calc!$G$3:$G$22&gt;B3896)*(Calc!$G$3:$G$22-B3896))</f>
        <v/>
      </c>
      <c r="L3896">
        <f>SUMPRODUCT(Calc!$K$3:$K$22*(Calc!$G$3:$G$22&gt;A3896)*(Calc!$G$3:$G$22-A3896)*Calc!$G$3:$G$22)</f>
        <v/>
      </c>
      <c r="M3896">
        <f>SUMPRODUCT(Calc!$K$3:$K$22*(Calc!$G$3:$G$22&gt;B3896)*(Calc!$G$3:$G$22-B3896)*Calc!$G$3:$G$22)</f>
        <v/>
      </c>
      <c r="N3896">
        <f>SUMPRODUCT(Calc!$K$3:$K$22*(Calc!$G$3:$G$22&gt;A3896)*(Calc!$G$3:$G$22-A3896)*Calc!$I$3:$I$22)</f>
        <v/>
      </c>
      <c r="O3896">
        <f>SUMPRODUCT(Calc!$K$3:$K$22*(Calc!$G$3:$G$22&gt;B3896)*(Calc!$G$3:$G$22-B3896)*Calc!$I$3:$I$22)</f>
        <v/>
      </c>
      <c r="P3896">
        <f>I3896-G3896^2/k_n</f>
        <v/>
      </c>
      <c r="Q3896">
        <f>J3896-H3896^2/k_n</f>
        <v/>
      </c>
      <c r="R3896">
        <f>K3896-G3896*H3896/k_n</f>
        <v/>
      </c>
      <c r="S3896">
        <f>L3896-LTP3!$D$3*G3896/k_n</f>
        <v/>
      </c>
      <c r="T3896">
        <f>M3896-LTP3!$D$3*H3896/k_n</f>
        <v/>
      </c>
      <c r="U3896">
        <f>N3896-G3896*LTP3!$D$4/k_n</f>
        <v/>
      </c>
      <c r="V3896">
        <f>O3896-H3896*LTP3!$D$4/k_n</f>
        <v/>
      </c>
      <c r="W3896">
        <f>((LTP3!$D$5)*((P3896)*(Q3896)-(R3896)*(R3896))-(S3896)*((S3896)*(Q3896)-(R3896)*(T3896))+(T3896)*((S3896)*(R3896)-(P3896)*(T3896)))</f>
        <v/>
      </c>
      <c r="X3896">
        <f>IF(ABS(W3896)&gt;1E-12,((LTP3!$D$6)*((P3896)*(Q3896)-(R3896)*(R3896))-(S3896)*((U3896)*(Q3896)-(R3896)*(V3896))+(T3896)*((U3896)*(R3896)-(P3896)*(V3896)))/W3896,0)</f>
        <v/>
      </c>
      <c r="Y3896">
        <f>IF(ABS(W3896)&gt;1E-12,((LTP3!$D$5)*((U3896)*(Q3896)-(R3896)*(V3896))-(LTP3!$D$6)*((S3896)*(Q3896)-(R3896)*(T3896))+(T3896)*((S3896)*(V3896)-(U3896)*(T3896)))/W3896,0)</f>
        <v/>
      </c>
      <c r="Z3896">
        <f>IF(ABS(W3896)&gt;1E-12,((LTP3!$D$5)*((P3896)*(V3896)-(U3896)*(R3896))-(S3896)*((S3896)*(V3896)-(U3896)*(T3896))+(LTP3!$D$6)*((S3896)*(R3896)-(P3896)*(T3896)))/W3896,0)</f>
        <v/>
      </c>
      <c r="AA3896">
        <f>LTP3!$D$7-X3896*LTP3!$D$6-Y3896*U3896-Z3896*V3896</f>
        <v/>
      </c>
      <c r="AB3896">
        <f>IF(AND(F3896,ABS(W3896)&gt;1E-12,Y3896&gt;0,Z3896&gt;0),AA3896,1E+300)</f>
        <v/>
      </c>
    </row>
    <row r="3897">
      <c r="A3897">
        <f>$I$3-$B$5+$B$5*7/10</f>
        <v/>
      </c>
      <c r="B3897">
        <f>$J$3-$B$5+$B$5*14/10</f>
        <v/>
      </c>
      <c r="C3897">
        <f>SUMPRODUCT(Calc!$K$3:$K$22*(Calc!$G$3:$G$22&lt;=A3897))</f>
        <v/>
      </c>
      <c r="D3897">
        <f>SUMPRODUCT(Calc!$K$3:$K$22*(Calc!$G$3:$G$22&gt;A3897)*(Calc!$G$3:$G$22&lt;B3897))</f>
        <v/>
      </c>
      <c r="E3897">
        <f>SUMPRODUCT(Calc!$K$3:$K$22*(Calc!$G$3:$G$22&gt;=B3897))</f>
        <v/>
      </c>
      <c r="F3897">
        <f>AND(k_n&gt;=5,B3897&gt;A3897+1E-9,C3897&gt;=2,D3897&gt;=1,E3897&gt;=2)</f>
        <v/>
      </c>
      <c r="G3897">
        <f>SUMPRODUCT(Calc!$K$3:$K$22*(Calc!$G$3:$G$22&gt;A3897)*(Calc!$G$3:$G$22-A3897))</f>
        <v/>
      </c>
      <c r="H3897">
        <f>SUMPRODUCT(Calc!$K$3:$K$22*(Calc!$G$3:$G$22&gt;B3897)*(Calc!$G$3:$G$22-B3897))</f>
        <v/>
      </c>
      <c r="I3897">
        <f>SUMPRODUCT(Calc!$K$3:$K$22*(Calc!$G$3:$G$22&gt;A3897)*(Calc!$G$3:$G$22-A3897)^2)</f>
        <v/>
      </c>
      <c r="J3897">
        <f>SUMPRODUCT(Calc!$K$3:$K$22*(Calc!$G$3:$G$22&gt;B3897)*(Calc!$G$3:$G$22-B3897)^2)</f>
        <v/>
      </c>
      <c r="K3897">
        <f>SUMPRODUCT(Calc!$K$3:$K$22*(Calc!$G$3:$G$22&gt;A3897)*(Calc!$G$3:$G$22-A3897)*(Calc!$G$3:$G$22&gt;B3897)*(Calc!$G$3:$G$22-B3897))</f>
        <v/>
      </c>
      <c r="L3897">
        <f>SUMPRODUCT(Calc!$K$3:$K$22*(Calc!$G$3:$G$22&gt;A3897)*(Calc!$G$3:$G$22-A3897)*Calc!$G$3:$G$22)</f>
        <v/>
      </c>
      <c r="M3897">
        <f>SUMPRODUCT(Calc!$K$3:$K$22*(Calc!$G$3:$G$22&gt;B3897)*(Calc!$G$3:$G$22-B3897)*Calc!$G$3:$G$22)</f>
        <v/>
      </c>
      <c r="N3897">
        <f>SUMPRODUCT(Calc!$K$3:$K$22*(Calc!$G$3:$G$22&gt;A3897)*(Calc!$G$3:$G$22-A3897)*Calc!$I$3:$I$22)</f>
        <v/>
      </c>
      <c r="O3897">
        <f>SUMPRODUCT(Calc!$K$3:$K$22*(Calc!$G$3:$G$22&gt;B3897)*(Calc!$G$3:$G$22-B3897)*Calc!$I$3:$I$22)</f>
        <v/>
      </c>
      <c r="P3897">
        <f>I3897-G3897^2/k_n</f>
        <v/>
      </c>
      <c r="Q3897">
        <f>J3897-H3897^2/k_n</f>
        <v/>
      </c>
      <c r="R3897">
        <f>K3897-G3897*H3897/k_n</f>
        <v/>
      </c>
      <c r="S3897">
        <f>L3897-LTP3!$D$3*G3897/k_n</f>
        <v/>
      </c>
      <c r="T3897">
        <f>M3897-LTP3!$D$3*H3897/k_n</f>
        <v/>
      </c>
      <c r="U3897">
        <f>N3897-G3897*LTP3!$D$4/k_n</f>
        <v/>
      </c>
      <c r="V3897">
        <f>O3897-H3897*LTP3!$D$4/k_n</f>
        <v/>
      </c>
      <c r="W3897">
        <f>((LTP3!$D$5)*((P3897)*(Q3897)-(R3897)*(R3897))-(S3897)*((S3897)*(Q3897)-(R3897)*(T3897))+(T3897)*((S3897)*(R3897)-(P3897)*(T3897)))</f>
        <v/>
      </c>
      <c r="X3897">
        <f>IF(ABS(W3897)&gt;1E-12,((LTP3!$D$6)*((P3897)*(Q3897)-(R3897)*(R3897))-(S3897)*((U3897)*(Q3897)-(R3897)*(V3897))+(T3897)*((U3897)*(R3897)-(P3897)*(V3897)))/W3897,0)</f>
        <v/>
      </c>
      <c r="Y3897">
        <f>IF(ABS(W3897)&gt;1E-12,((LTP3!$D$5)*((U3897)*(Q3897)-(R3897)*(V3897))-(LTP3!$D$6)*((S3897)*(Q3897)-(R3897)*(T3897))+(T3897)*((S3897)*(V3897)-(U3897)*(T3897)))/W3897,0)</f>
        <v/>
      </c>
      <c r="Z3897">
        <f>IF(ABS(W3897)&gt;1E-12,((LTP3!$D$5)*((P3897)*(V3897)-(U3897)*(R3897))-(S3897)*((S3897)*(V3897)-(U3897)*(T3897))+(LTP3!$D$6)*((S3897)*(R3897)-(P3897)*(T3897)))/W3897,0)</f>
        <v/>
      </c>
      <c r="AA3897">
        <f>LTP3!$D$7-X3897*LTP3!$D$6-Y3897*U3897-Z3897*V3897</f>
        <v/>
      </c>
      <c r="AB3897">
        <f>IF(AND(F3897,ABS(W3897)&gt;1E-12,Y3897&gt;0,Z3897&gt;0),AA3897,1E+300)</f>
        <v/>
      </c>
    </row>
    <row r="3898">
      <c r="A3898">
        <f>$I$3-$B$5+$B$5*7/10</f>
        <v/>
      </c>
      <c r="B3898">
        <f>$J$3-$B$5+$B$5*15/10</f>
        <v/>
      </c>
      <c r="C3898">
        <f>SUMPRODUCT(Calc!$K$3:$K$22*(Calc!$G$3:$G$22&lt;=A3898))</f>
        <v/>
      </c>
      <c r="D3898">
        <f>SUMPRODUCT(Calc!$K$3:$K$22*(Calc!$G$3:$G$22&gt;A3898)*(Calc!$G$3:$G$22&lt;B3898))</f>
        <v/>
      </c>
      <c r="E3898">
        <f>SUMPRODUCT(Calc!$K$3:$K$22*(Calc!$G$3:$G$22&gt;=B3898))</f>
        <v/>
      </c>
      <c r="F3898">
        <f>AND(k_n&gt;=5,B3898&gt;A3898+1E-9,C3898&gt;=2,D3898&gt;=1,E3898&gt;=2)</f>
        <v/>
      </c>
      <c r="G3898">
        <f>SUMPRODUCT(Calc!$K$3:$K$22*(Calc!$G$3:$G$22&gt;A3898)*(Calc!$G$3:$G$22-A3898))</f>
        <v/>
      </c>
      <c r="H3898">
        <f>SUMPRODUCT(Calc!$K$3:$K$22*(Calc!$G$3:$G$22&gt;B3898)*(Calc!$G$3:$G$22-B3898))</f>
        <v/>
      </c>
      <c r="I3898">
        <f>SUMPRODUCT(Calc!$K$3:$K$22*(Calc!$G$3:$G$22&gt;A3898)*(Calc!$G$3:$G$22-A3898)^2)</f>
        <v/>
      </c>
      <c r="J3898">
        <f>SUMPRODUCT(Calc!$K$3:$K$22*(Calc!$G$3:$G$22&gt;B3898)*(Calc!$G$3:$G$22-B3898)^2)</f>
        <v/>
      </c>
      <c r="K3898">
        <f>SUMPRODUCT(Calc!$K$3:$K$22*(Calc!$G$3:$G$22&gt;A3898)*(Calc!$G$3:$G$22-A3898)*(Calc!$G$3:$G$22&gt;B3898)*(Calc!$G$3:$G$22-B3898))</f>
        <v/>
      </c>
      <c r="L3898">
        <f>SUMPRODUCT(Calc!$K$3:$K$22*(Calc!$G$3:$G$22&gt;A3898)*(Calc!$G$3:$G$22-A3898)*Calc!$G$3:$G$22)</f>
        <v/>
      </c>
      <c r="M3898">
        <f>SUMPRODUCT(Calc!$K$3:$K$22*(Calc!$G$3:$G$22&gt;B3898)*(Calc!$G$3:$G$22-B3898)*Calc!$G$3:$G$22)</f>
        <v/>
      </c>
      <c r="N3898">
        <f>SUMPRODUCT(Calc!$K$3:$K$22*(Calc!$G$3:$G$22&gt;A3898)*(Calc!$G$3:$G$22-A3898)*Calc!$I$3:$I$22)</f>
        <v/>
      </c>
      <c r="O3898">
        <f>SUMPRODUCT(Calc!$K$3:$K$22*(Calc!$G$3:$G$22&gt;B3898)*(Calc!$G$3:$G$22-B3898)*Calc!$I$3:$I$22)</f>
        <v/>
      </c>
      <c r="P3898">
        <f>I3898-G3898^2/k_n</f>
        <v/>
      </c>
      <c r="Q3898">
        <f>J3898-H3898^2/k_n</f>
        <v/>
      </c>
      <c r="R3898">
        <f>K3898-G3898*H3898/k_n</f>
        <v/>
      </c>
      <c r="S3898">
        <f>L3898-LTP3!$D$3*G3898/k_n</f>
        <v/>
      </c>
      <c r="T3898">
        <f>M3898-LTP3!$D$3*H3898/k_n</f>
        <v/>
      </c>
      <c r="U3898">
        <f>N3898-G3898*LTP3!$D$4/k_n</f>
        <v/>
      </c>
      <c r="V3898">
        <f>O3898-H3898*LTP3!$D$4/k_n</f>
        <v/>
      </c>
      <c r="W3898">
        <f>((LTP3!$D$5)*((P3898)*(Q3898)-(R3898)*(R3898))-(S3898)*((S3898)*(Q3898)-(R3898)*(T3898))+(T3898)*((S3898)*(R3898)-(P3898)*(T3898)))</f>
        <v/>
      </c>
      <c r="X3898">
        <f>IF(ABS(W3898)&gt;1E-12,((LTP3!$D$6)*((P3898)*(Q3898)-(R3898)*(R3898))-(S3898)*((U3898)*(Q3898)-(R3898)*(V3898))+(T3898)*((U3898)*(R3898)-(P3898)*(V3898)))/W3898,0)</f>
        <v/>
      </c>
      <c r="Y3898">
        <f>IF(ABS(W3898)&gt;1E-12,((LTP3!$D$5)*((U3898)*(Q3898)-(R3898)*(V3898))-(LTP3!$D$6)*((S3898)*(Q3898)-(R3898)*(T3898))+(T3898)*((S3898)*(V3898)-(U3898)*(T3898)))/W3898,0)</f>
        <v/>
      </c>
      <c r="Z3898">
        <f>IF(ABS(W3898)&gt;1E-12,((LTP3!$D$5)*((P3898)*(V3898)-(U3898)*(R3898))-(S3898)*((S3898)*(V3898)-(U3898)*(T3898))+(LTP3!$D$6)*((S3898)*(R3898)-(P3898)*(T3898)))/W3898,0)</f>
        <v/>
      </c>
      <c r="AA3898">
        <f>LTP3!$D$7-X3898*LTP3!$D$6-Y3898*U3898-Z3898*V3898</f>
        <v/>
      </c>
      <c r="AB3898">
        <f>IF(AND(F3898,ABS(W3898)&gt;1E-12,Y3898&gt;0,Z3898&gt;0),AA3898,1E+300)</f>
        <v/>
      </c>
    </row>
    <row r="3899">
      <c r="A3899">
        <f>$I$3-$B$5+$B$5*7/10</f>
        <v/>
      </c>
      <c r="B3899">
        <f>$J$3-$B$5+$B$5*16/10</f>
        <v/>
      </c>
      <c r="C3899">
        <f>SUMPRODUCT(Calc!$K$3:$K$22*(Calc!$G$3:$G$22&lt;=A3899))</f>
        <v/>
      </c>
      <c r="D3899">
        <f>SUMPRODUCT(Calc!$K$3:$K$22*(Calc!$G$3:$G$22&gt;A3899)*(Calc!$G$3:$G$22&lt;B3899))</f>
        <v/>
      </c>
      <c r="E3899">
        <f>SUMPRODUCT(Calc!$K$3:$K$22*(Calc!$G$3:$G$22&gt;=B3899))</f>
        <v/>
      </c>
      <c r="F3899">
        <f>AND(k_n&gt;=5,B3899&gt;A3899+1E-9,C3899&gt;=2,D3899&gt;=1,E3899&gt;=2)</f>
        <v/>
      </c>
      <c r="G3899">
        <f>SUMPRODUCT(Calc!$K$3:$K$22*(Calc!$G$3:$G$22&gt;A3899)*(Calc!$G$3:$G$22-A3899))</f>
        <v/>
      </c>
      <c r="H3899">
        <f>SUMPRODUCT(Calc!$K$3:$K$22*(Calc!$G$3:$G$22&gt;B3899)*(Calc!$G$3:$G$22-B3899))</f>
        <v/>
      </c>
      <c r="I3899">
        <f>SUMPRODUCT(Calc!$K$3:$K$22*(Calc!$G$3:$G$22&gt;A3899)*(Calc!$G$3:$G$22-A3899)^2)</f>
        <v/>
      </c>
      <c r="J3899">
        <f>SUMPRODUCT(Calc!$K$3:$K$22*(Calc!$G$3:$G$22&gt;B3899)*(Calc!$G$3:$G$22-B3899)^2)</f>
        <v/>
      </c>
      <c r="K3899">
        <f>SUMPRODUCT(Calc!$K$3:$K$22*(Calc!$G$3:$G$22&gt;A3899)*(Calc!$G$3:$G$22-A3899)*(Calc!$G$3:$G$22&gt;B3899)*(Calc!$G$3:$G$22-B3899))</f>
        <v/>
      </c>
      <c r="L3899">
        <f>SUMPRODUCT(Calc!$K$3:$K$22*(Calc!$G$3:$G$22&gt;A3899)*(Calc!$G$3:$G$22-A3899)*Calc!$G$3:$G$22)</f>
        <v/>
      </c>
      <c r="M3899">
        <f>SUMPRODUCT(Calc!$K$3:$K$22*(Calc!$G$3:$G$22&gt;B3899)*(Calc!$G$3:$G$22-B3899)*Calc!$G$3:$G$22)</f>
        <v/>
      </c>
      <c r="N3899">
        <f>SUMPRODUCT(Calc!$K$3:$K$22*(Calc!$G$3:$G$22&gt;A3899)*(Calc!$G$3:$G$22-A3899)*Calc!$I$3:$I$22)</f>
        <v/>
      </c>
      <c r="O3899">
        <f>SUMPRODUCT(Calc!$K$3:$K$22*(Calc!$G$3:$G$22&gt;B3899)*(Calc!$G$3:$G$22-B3899)*Calc!$I$3:$I$22)</f>
        <v/>
      </c>
      <c r="P3899">
        <f>I3899-G3899^2/k_n</f>
        <v/>
      </c>
      <c r="Q3899">
        <f>J3899-H3899^2/k_n</f>
        <v/>
      </c>
      <c r="R3899">
        <f>K3899-G3899*H3899/k_n</f>
        <v/>
      </c>
      <c r="S3899">
        <f>L3899-LTP3!$D$3*G3899/k_n</f>
        <v/>
      </c>
      <c r="T3899">
        <f>M3899-LTP3!$D$3*H3899/k_n</f>
        <v/>
      </c>
      <c r="U3899">
        <f>N3899-G3899*LTP3!$D$4/k_n</f>
        <v/>
      </c>
      <c r="V3899">
        <f>O3899-H3899*LTP3!$D$4/k_n</f>
        <v/>
      </c>
      <c r="W3899">
        <f>((LTP3!$D$5)*((P3899)*(Q3899)-(R3899)*(R3899))-(S3899)*((S3899)*(Q3899)-(R3899)*(T3899))+(T3899)*((S3899)*(R3899)-(P3899)*(T3899)))</f>
        <v/>
      </c>
      <c r="X3899">
        <f>IF(ABS(W3899)&gt;1E-12,((LTP3!$D$6)*((P3899)*(Q3899)-(R3899)*(R3899))-(S3899)*((U3899)*(Q3899)-(R3899)*(V3899))+(T3899)*((U3899)*(R3899)-(P3899)*(V3899)))/W3899,0)</f>
        <v/>
      </c>
      <c r="Y3899">
        <f>IF(ABS(W3899)&gt;1E-12,((LTP3!$D$5)*((U3899)*(Q3899)-(R3899)*(V3899))-(LTP3!$D$6)*((S3899)*(Q3899)-(R3899)*(T3899))+(T3899)*((S3899)*(V3899)-(U3899)*(T3899)))/W3899,0)</f>
        <v/>
      </c>
      <c r="Z3899">
        <f>IF(ABS(W3899)&gt;1E-12,((LTP3!$D$5)*((P3899)*(V3899)-(U3899)*(R3899))-(S3899)*((S3899)*(V3899)-(U3899)*(T3899))+(LTP3!$D$6)*((S3899)*(R3899)-(P3899)*(T3899)))/W3899,0)</f>
        <v/>
      </c>
      <c r="AA3899">
        <f>LTP3!$D$7-X3899*LTP3!$D$6-Y3899*U3899-Z3899*V3899</f>
        <v/>
      </c>
      <c r="AB3899">
        <f>IF(AND(F3899,ABS(W3899)&gt;1E-12,Y3899&gt;0,Z3899&gt;0),AA3899,1E+300)</f>
        <v/>
      </c>
    </row>
    <row r="3900">
      <c r="A3900">
        <f>$I$3-$B$5+$B$5*7/10</f>
        <v/>
      </c>
      <c r="B3900">
        <f>$J$3-$B$5+$B$5*17/10</f>
        <v/>
      </c>
      <c r="C3900">
        <f>SUMPRODUCT(Calc!$K$3:$K$22*(Calc!$G$3:$G$22&lt;=A3900))</f>
        <v/>
      </c>
      <c r="D3900">
        <f>SUMPRODUCT(Calc!$K$3:$K$22*(Calc!$G$3:$G$22&gt;A3900)*(Calc!$G$3:$G$22&lt;B3900))</f>
        <v/>
      </c>
      <c r="E3900">
        <f>SUMPRODUCT(Calc!$K$3:$K$22*(Calc!$G$3:$G$22&gt;=B3900))</f>
        <v/>
      </c>
      <c r="F3900">
        <f>AND(k_n&gt;=5,B3900&gt;A3900+1E-9,C3900&gt;=2,D3900&gt;=1,E3900&gt;=2)</f>
        <v/>
      </c>
      <c r="G3900">
        <f>SUMPRODUCT(Calc!$K$3:$K$22*(Calc!$G$3:$G$22&gt;A3900)*(Calc!$G$3:$G$22-A3900))</f>
        <v/>
      </c>
      <c r="H3900">
        <f>SUMPRODUCT(Calc!$K$3:$K$22*(Calc!$G$3:$G$22&gt;B3900)*(Calc!$G$3:$G$22-B3900))</f>
        <v/>
      </c>
      <c r="I3900">
        <f>SUMPRODUCT(Calc!$K$3:$K$22*(Calc!$G$3:$G$22&gt;A3900)*(Calc!$G$3:$G$22-A3900)^2)</f>
        <v/>
      </c>
      <c r="J3900">
        <f>SUMPRODUCT(Calc!$K$3:$K$22*(Calc!$G$3:$G$22&gt;B3900)*(Calc!$G$3:$G$22-B3900)^2)</f>
        <v/>
      </c>
      <c r="K3900">
        <f>SUMPRODUCT(Calc!$K$3:$K$22*(Calc!$G$3:$G$22&gt;A3900)*(Calc!$G$3:$G$22-A3900)*(Calc!$G$3:$G$22&gt;B3900)*(Calc!$G$3:$G$22-B3900))</f>
        <v/>
      </c>
      <c r="L3900">
        <f>SUMPRODUCT(Calc!$K$3:$K$22*(Calc!$G$3:$G$22&gt;A3900)*(Calc!$G$3:$G$22-A3900)*Calc!$G$3:$G$22)</f>
        <v/>
      </c>
      <c r="M3900">
        <f>SUMPRODUCT(Calc!$K$3:$K$22*(Calc!$G$3:$G$22&gt;B3900)*(Calc!$G$3:$G$22-B3900)*Calc!$G$3:$G$22)</f>
        <v/>
      </c>
      <c r="N3900">
        <f>SUMPRODUCT(Calc!$K$3:$K$22*(Calc!$G$3:$G$22&gt;A3900)*(Calc!$G$3:$G$22-A3900)*Calc!$I$3:$I$22)</f>
        <v/>
      </c>
      <c r="O3900">
        <f>SUMPRODUCT(Calc!$K$3:$K$22*(Calc!$G$3:$G$22&gt;B3900)*(Calc!$G$3:$G$22-B3900)*Calc!$I$3:$I$22)</f>
        <v/>
      </c>
      <c r="P3900">
        <f>I3900-G3900^2/k_n</f>
        <v/>
      </c>
      <c r="Q3900">
        <f>J3900-H3900^2/k_n</f>
        <v/>
      </c>
      <c r="R3900">
        <f>K3900-G3900*H3900/k_n</f>
        <v/>
      </c>
      <c r="S3900">
        <f>L3900-LTP3!$D$3*G3900/k_n</f>
        <v/>
      </c>
      <c r="T3900">
        <f>M3900-LTP3!$D$3*H3900/k_n</f>
        <v/>
      </c>
      <c r="U3900">
        <f>N3900-G3900*LTP3!$D$4/k_n</f>
        <v/>
      </c>
      <c r="V3900">
        <f>O3900-H3900*LTP3!$D$4/k_n</f>
        <v/>
      </c>
      <c r="W3900">
        <f>((LTP3!$D$5)*((P3900)*(Q3900)-(R3900)*(R3900))-(S3900)*((S3900)*(Q3900)-(R3900)*(T3900))+(T3900)*((S3900)*(R3900)-(P3900)*(T3900)))</f>
        <v/>
      </c>
      <c r="X3900">
        <f>IF(ABS(W3900)&gt;1E-12,((LTP3!$D$6)*((P3900)*(Q3900)-(R3900)*(R3900))-(S3900)*((U3900)*(Q3900)-(R3900)*(V3900))+(T3900)*((U3900)*(R3900)-(P3900)*(V3900)))/W3900,0)</f>
        <v/>
      </c>
      <c r="Y3900">
        <f>IF(ABS(W3900)&gt;1E-12,((LTP3!$D$5)*((U3900)*(Q3900)-(R3900)*(V3900))-(LTP3!$D$6)*((S3900)*(Q3900)-(R3900)*(T3900))+(T3900)*((S3900)*(V3900)-(U3900)*(T3900)))/W3900,0)</f>
        <v/>
      </c>
      <c r="Z3900">
        <f>IF(ABS(W3900)&gt;1E-12,((LTP3!$D$5)*((P3900)*(V3900)-(U3900)*(R3900))-(S3900)*((S3900)*(V3900)-(U3900)*(T3900))+(LTP3!$D$6)*((S3900)*(R3900)-(P3900)*(T3900)))/W3900,0)</f>
        <v/>
      </c>
      <c r="AA3900">
        <f>LTP3!$D$7-X3900*LTP3!$D$6-Y3900*U3900-Z3900*V3900</f>
        <v/>
      </c>
      <c r="AB3900">
        <f>IF(AND(F3900,ABS(W3900)&gt;1E-12,Y3900&gt;0,Z3900&gt;0),AA3900,1E+300)</f>
        <v/>
      </c>
    </row>
    <row r="3901">
      <c r="A3901">
        <f>$I$3-$B$5+$B$5*7/10</f>
        <v/>
      </c>
      <c r="B3901">
        <f>$J$3-$B$5+$B$5*18/10</f>
        <v/>
      </c>
      <c r="C3901">
        <f>SUMPRODUCT(Calc!$K$3:$K$22*(Calc!$G$3:$G$22&lt;=A3901))</f>
        <v/>
      </c>
      <c r="D3901">
        <f>SUMPRODUCT(Calc!$K$3:$K$22*(Calc!$G$3:$G$22&gt;A3901)*(Calc!$G$3:$G$22&lt;B3901))</f>
        <v/>
      </c>
      <c r="E3901">
        <f>SUMPRODUCT(Calc!$K$3:$K$22*(Calc!$G$3:$G$22&gt;=B3901))</f>
        <v/>
      </c>
      <c r="F3901">
        <f>AND(k_n&gt;=5,B3901&gt;A3901+1E-9,C3901&gt;=2,D3901&gt;=1,E3901&gt;=2)</f>
        <v/>
      </c>
      <c r="G3901">
        <f>SUMPRODUCT(Calc!$K$3:$K$22*(Calc!$G$3:$G$22&gt;A3901)*(Calc!$G$3:$G$22-A3901))</f>
        <v/>
      </c>
      <c r="H3901">
        <f>SUMPRODUCT(Calc!$K$3:$K$22*(Calc!$G$3:$G$22&gt;B3901)*(Calc!$G$3:$G$22-B3901))</f>
        <v/>
      </c>
      <c r="I3901">
        <f>SUMPRODUCT(Calc!$K$3:$K$22*(Calc!$G$3:$G$22&gt;A3901)*(Calc!$G$3:$G$22-A3901)^2)</f>
        <v/>
      </c>
      <c r="J3901">
        <f>SUMPRODUCT(Calc!$K$3:$K$22*(Calc!$G$3:$G$22&gt;B3901)*(Calc!$G$3:$G$22-B3901)^2)</f>
        <v/>
      </c>
      <c r="K3901">
        <f>SUMPRODUCT(Calc!$K$3:$K$22*(Calc!$G$3:$G$22&gt;A3901)*(Calc!$G$3:$G$22-A3901)*(Calc!$G$3:$G$22&gt;B3901)*(Calc!$G$3:$G$22-B3901))</f>
        <v/>
      </c>
      <c r="L3901">
        <f>SUMPRODUCT(Calc!$K$3:$K$22*(Calc!$G$3:$G$22&gt;A3901)*(Calc!$G$3:$G$22-A3901)*Calc!$G$3:$G$22)</f>
        <v/>
      </c>
      <c r="M3901">
        <f>SUMPRODUCT(Calc!$K$3:$K$22*(Calc!$G$3:$G$22&gt;B3901)*(Calc!$G$3:$G$22-B3901)*Calc!$G$3:$G$22)</f>
        <v/>
      </c>
      <c r="N3901">
        <f>SUMPRODUCT(Calc!$K$3:$K$22*(Calc!$G$3:$G$22&gt;A3901)*(Calc!$G$3:$G$22-A3901)*Calc!$I$3:$I$22)</f>
        <v/>
      </c>
      <c r="O3901">
        <f>SUMPRODUCT(Calc!$K$3:$K$22*(Calc!$G$3:$G$22&gt;B3901)*(Calc!$G$3:$G$22-B3901)*Calc!$I$3:$I$22)</f>
        <v/>
      </c>
      <c r="P3901">
        <f>I3901-G3901^2/k_n</f>
        <v/>
      </c>
      <c r="Q3901">
        <f>J3901-H3901^2/k_n</f>
        <v/>
      </c>
      <c r="R3901">
        <f>K3901-G3901*H3901/k_n</f>
        <v/>
      </c>
      <c r="S3901">
        <f>L3901-LTP3!$D$3*G3901/k_n</f>
        <v/>
      </c>
      <c r="T3901">
        <f>M3901-LTP3!$D$3*H3901/k_n</f>
        <v/>
      </c>
      <c r="U3901">
        <f>N3901-G3901*LTP3!$D$4/k_n</f>
        <v/>
      </c>
      <c r="V3901">
        <f>O3901-H3901*LTP3!$D$4/k_n</f>
        <v/>
      </c>
      <c r="W3901">
        <f>((LTP3!$D$5)*((P3901)*(Q3901)-(R3901)*(R3901))-(S3901)*((S3901)*(Q3901)-(R3901)*(T3901))+(T3901)*((S3901)*(R3901)-(P3901)*(T3901)))</f>
        <v/>
      </c>
      <c r="X3901">
        <f>IF(ABS(W3901)&gt;1E-12,((LTP3!$D$6)*((P3901)*(Q3901)-(R3901)*(R3901))-(S3901)*((U3901)*(Q3901)-(R3901)*(V3901))+(T3901)*((U3901)*(R3901)-(P3901)*(V3901)))/W3901,0)</f>
        <v/>
      </c>
      <c r="Y3901">
        <f>IF(ABS(W3901)&gt;1E-12,((LTP3!$D$5)*((U3901)*(Q3901)-(R3901)*(V3901))-(LTP3!$D$6)*((S3901)*(Q3901)-(R3901)*(T3901))+(T3901)*((S3901)*(V3901)-(U3901)*(T3901)))/W3901,0)</f>
        <v/>
      </c>
      <c r="Z3901">
        <f>IF(ABS(W3901)&gt;1E-12,((LTP3!$D$5)*((P3901)*(V3901)-(U3901)*(R3901))-(S3901)*((S3901)*(V3901)-(U3901)*(T3901))+(LTP3!$D$6)*((S3901)*(R3901)-(P3901)*(T3901)))/W3901,0)</f>
        <v/>
      </c>
      <c r="AA3901">
        <f>LTP3!$D$7-X3901*LTP3!$D$6-Y3901*U3901-Z3901*V3901</f>
        <v/>
      </c>
      <c r="AB3901">
        <f>IF(AND(F3901,ABS(W3901)&gt;1E-12,Y3901&gt;0,Z3901&gt;0),AA3901,1E+300)</f>
        <v/>
      </c>
    </row>
    <row r="3902">
      <c r="A3902">
        <f>$I$3-$B$5+$B$5*7/10</f>
        <v/>
      </c>
      <c r="B3902">
        <f>$J$3-$B$5+$B$5*19/10</f>
        <v/>
      </c>
      <c r="C3902">
        <f>SUMPRODUCT(Calc!$K$3:$K$22*(Calc!$G$3:$G$22&lt;=A3902))</f>
        <v/>
      </c>
      <c r="D3902">
        <f>SUMPRODUCT(Calc!$K$3:$K$22*(Calc!$G$3:$G$22&gt;A3902)*(Calc!$G$3:$G$22&lt;B3902))</f>
        <v/>
      </c>
      <c r="E3902">
        <f>SUMPRODUCT(Calc!$K$3:$K$22*(Calc!$G$3:$G$22&gt;=B3902))</f>
        <v/>
      </c>
      <c r="F3902">
        <f>AND(k_n&gt;=5,B3902&gt;A3902+1E-9,C3902&gt;=2,D3902&gt;=1,E3902&gt;=2)</f>
        <v/>
      </c>
      <c r="G3902">
        <f>SUMPRODUCT(Calc!$K$3:$K$22*(Calc!$G$3:$G$22&gt;A3902)*(Calc!$G$3:$G$22-A3902))</f>
        <v/>
      </c>
      <c r="H3902">
        <f>SUMPRODUCT(Calc!$K$3:$K$22*(Calc!$G$3:$G$22&gt;B3902)*(Calc!$G$3:$G$22-B3902))</f>
        <v/>
      </c>
      <c r="I3902">
        <f>SUMPRODUCT(Calc!$K$3:$K$22*(Calc!$G$3:$G$22&gt;A3902)*(Calc!$G$3:$G$22-A3902)^2)</f>
        <v/>
      </c>
      <c r="J3902">
        <f>SUMPRODUCT(Calc!$K$3:$K$22*(Calc!$G$3:$G$22&gt;B3902)*(Calc!$G$3:$G$22-B3902)^2)</f>
        <v/>
      </c>
      <c r="K3902">
        <f>SUMPRODUCT(Calc!$K$3:$K$22*(Calc!$G$3:$G$22&gt;A3902)*(Calc!$G$3:$G$22-A3902)*(Calc!$G$3:$G$22&gt;B3902)*(Calc!$G$3:$G$22-B3902))</f>
        <v/>
      </c>
      <c r="L3902">
        <f>SUMPRODUCT(Calc!$K$3:$K$22*(Calc!$G$3:$G$22&gt;A3902)*(Calc!$G$3:$G$22-A3902)*Calc!$G$3:$G$22)</f>
        <v/>
      </c>
      <c r="M3902">
        <f>SUMPRODUCT(Calc!$K$3:$K$22*(Calc!$G$3:$G$22&gt;B3902)*(Calc!$G$3:$G$22-B3902)*Calc!$G$3:$G$22)</f>
        <v/>
      </c>
      <c r="N3902">
        <f>SUMPRODUCT(Calc!$K$3:$K$22*(Calc!$G$3:$G$22&gt;A3902)*(Calc!$G$3:$G$22-A3902)*Calc!$I$3:$I$22)</f>
        <v/>
      </c>
      <c r="O3902">
        <f>SUMPRODUCT(Calc!$K$3:$K$22*(Calc!$G$3:$G$22&gt;B3902)*(Calc!$G$3:$G$22-B3902)*Calc!$I$3:$I$22)</f>
        <v/>
      </c>
      <c r="P3902">
        <f>I3902-G3902^2/k_n</f>
        <v/>
      </c>
      <c r="Q3902">
        <f>J3902-H3902^2/k_n</f>
        <v/>
      </c>
      <c r="R3902">
        <f>K3902-G3902*H3902/k_n</f>
        <v/>
      </c>
      <c r="S3902">
        <f>L3902-LTP3!$D$3*G3902/k_n</f>
        <v/>
      </c>
      <c r="T3902">
        <f>M3902-LTP3!$D$3*H3902/k_n</f>
        <v/>
      </c>
      <c r="U3902">
        <f>N3902-G3902*LTP3!$D$4/k_n</f>
        <v/>
      </c>
      <c r="V3902">
        <f>O3902-H3902*LTP3!$D$4/k_n</f>
        <v/>
      </c>
      <c r="W3902">
        <f>((LTP3!$D$5)*((P3902)*(Q3902)-(R3902)*(R3902))-(S3902)*((S3902)*(Q3902)-(R3902)*(T3902))+(T3902)*((S3902)*(R3902)-(P3902)*(T3902)))</f>
        <v/>
      </c>
      <c r="X3902">
        <f>IF(ABS(W3902)&gt;1E-12,((LTP3!$D$6)*((P3902)*(Q3902)-(R3902)*(R3902))-(S3902)*((U3902)*(Q3902)-(R3902)*(V3902))+(T3902)*((U3902)*(R3902)-(P3902)*(V3902)))/W3902,0)</f>
        <v/>
      </c>
      <c r="Y3902">
        <f>IF(ABS(W3902)&gt;1E-12,((LTP3!$D$5)*((U3902)*(Q3902)-(R3902)*(V3902))-(LTP3!$D$6)*((S3902)*(Q3902)-(R3902)*(T3902))+(T3902)*((S3902)*(V3902)-(U3902)*(T3902)))/W3902,0)</f>
        <v/>
      </c>
      <c r="Z3902">
        <f>IF(ABS(W3902)&gt;1E-12,((LTP3!$D$5)*((P3902)*(V3902)-(U3902)*(R3902))-(S3902)*((S3902)*(V3902)-(U3902)*(T3902))+(LTP3!$D$6)*((S3902)*(R3902)-(P3902)*(T3902)))/W3902,0)</f>
        <v/>
      </c>
      <c r="AA3902">
        <f>LTP3!$D$7-X3902*LTP3!$D$6-Y3902*U3902-Z3902*V3902</f>
        <v/>
      </c>
      <c r="AB3902">
        <f>IF(AND(F3902,ABS(W3902)&gt;1E-12,Y3902&gt;0,Z3902&gt;0),AA3902,1E+300)</f>
        <v/>
      </c>
    </row>
    <row r="3903">
      <c r="A3903">
        <f>$I$3-$B$5+$B$5*7/10</f>
        <v/>
      </c>
      <c r="B3903">
        <f>$J$3-$B$5+$B$5*20/10</f>
        <v/>
      </c>
      <c r="C3903">
        <f>SUMPRODUCT(Calc!$K$3:$K$22*(Calc!$G$3:$G$22&lt;=A3903))</f>
        <v/>
      </c>
      <c r="D3903">
        <f>SUMPRODUCT(Calc!$K$3:$K$22*(Calc!$G$3:$G$22&gt;A3903)*(Calc!$G$3:$G$22&lt;B3903))</f>
        <v/>
      </c>
      <c r="E3903">
        <f>SUMPRODUCT(Calc!$K$3:$K$22*(Calc!$G$3:$G$22&gt;=B3903))</f>
        <v/>
      </c>
      <c r="F3903">
        <f>AND(k_n&gt;=5,B3903&gt;A3903+1E-9,C3903&gt;=2,D3903&gt;=1,E3903&gt;=2)</f>
        <v/>
      </c>
      <c r="G3903">
        <f>SUMPRODUCT(Calc!$K$3:$K$22*(Calc!$G$3:$G$22&gt;A3903)*(Calc!$G$3:$G$22-A3903))</f>
        <v/>
      </c>
      <c r="H3903">
        <f>SUMPRODUCT(Calc!$K$3:$K$22*(Calc!$G$3:$G$22&gt;B3903)*(Calc!$G$3:$G$22-B3903))</f>
        <v/>
      </c>
      <c r="I3903">
        <f>SUMPRODUCT(Calc!$K$3:$K$22*(Calc!$G$3:$G$22&gt;A3903)*(Calc!$G$3:$G$22-A3903)^2)</f>
        <v/>
      </c>
      <c r="J3903">
        <f>SUMPRODUCT(Calc!$K$3:$K$22*(Calc!$G$3:$G$22&gt;B3903)*(Calc!$G$3:$G$22-B3903)^2)</f>
        <v/>
      </c>
      <c r="K3903">
        <f>SUMPRODUCT(Calc!$K$3:$K$22*(Calc!$G$3:$G$22&gt;A3903)*(Calc!$G$3:$G$22-A3903)*(Calc!$G$3:$G$22&gt;B3903)*(Calc!$G$3:$G$22-B3903))</f>
        <v/>
      </c>
      <c r="L3903">
        <f>SUMPRODUCT(Calc!$K$3:$K$22*(Calc!$G$3:$G$22&gt;A3903)*(Calc!$G$3:$G$22-A3903)*Calc!$G$3:$G$22)</f>
        <v/>
      </c>
      <c r="M3903">
        <f>SUMPRODUCT(Calc!$K$3:$K$22*(Calc!$G$3:$G$22&gt;B3903)*(Calc!$G$3:$G$22-B3903)*Calc!$G$3:$G$22)</f>
        <v/>
      </c>
      <c r="N3903">
        <f>SUMPRODUCT(Calc!$K$3:$K$22*(Calc!$G$3:$G$22&gt;A3903)*(Calc!$G$3:$G$22-A3903)*Calc!$I$3:$I$22)</f>
        <v/>
      </c>
      <c r="O3903">
        <f>SUMPRODUCT(Calc!$K$3:$K$22*(Calc!$G$3:$G$22&gt;B3903)*(Calc!$G$3:$G$22-B3903)*Calc!$I$3:$I$22)</f>
        <v/>
      </c>
      <c r="P3903">
        <f>I3903-G3903^2/k_n</f>
        <v/>
      </c>
      <c r="Q3903">
        <f>J3903-H3903^2/k_n</f>
        <v/>
      </c>
      <c r="R3903">
        <f>K3903-G3903*H3903/k_n</f>
        <v/>
      </c>
      <c r="S3903">
        <f>L3903-LTP3!$D$3*G3903/k_n</f>
        <v/>
      </c>
      <c r="T3903">
        <f>M3903-LTP3!$D$3*H3903/k_n</f>
        <v/>
      </c>
      <c r="U3903">
        <f>N3903-G3903*LTP3!$D$4/k_n</f>
        <v/>
      </c>
      <c r="V3903">
        <f>O3903-H3903*LTP3!$D$4/k_n</f>
        <v/>
      </c>
      <c r="W3903">
        <f>((LTP3!$D$5)*((P3903)*(Q3903)-(R3903)*(R3903))-(S3903)*((S3903)*(Q3903)-(R3903)*(T3903))+(T3903)*((S3903)*(R3903)-(P3903)*(T3903)))</f>
        <v/>
      </c>
      <c r="X3903">
        <f>IF(ABS(W3903)&gt;1E-12,((LTP3!$D$6)*((P3903)*(Q3903)-(R3903)*(R3903))-(S3903)*((U3903)*(Q3903)-(R3903)*(V3903))+(T3903)*((U3903)*(R3903)-(P3903)*(V3903)))/W3903,0)</f>
        <v/>
      </c>
      <c r="Y3903">
        <f>IF(ABS(W3903)&gt;1E-12,((LTP3!$D$5)*((U3903)*(Q3903)-(R3903)*(V3903))-(LTP3!$D$6)*((S3903)*(Q3903)-(R3903)*(T3903))+(T3903)*((S3903)*(V3903)-(U3903)*(T3903)))/W3903,0)</f>
        <v/>
      </c>
      <c r="Z3903">
        <f>IF(ABS(W3903)&gt;1E-12,((LTP3!$D$5)*((P3903)*(V3903)-(U3903)*(R3903))-(S3903)*((S3903)*(V3903)-(U3903)*(T3903))+(LTP3!$D$6)*((S3903)*(R3903)-(P3903)*(T3903)))/W3903,0)</f>
        <v/>
      </c>
      <c r="AA3903">
        <f>LTP3!$D$7-X3903*LTP3!$D$6-Y3903*U3903-Z3903*V3903</f>
        <v/>
      </c>
      <c r="AB3903">
        <f>IF(AND(F3903,ABS(W3903)&gt;1E-12,Y3903&gt;0,Z3903&gt;0),AA3903,1E+300)</f>
        <v/>
      </c>
    </row>
    <row r="3904">
      <c r="A3904">
        <f>$I$3-$B$5+$B$5*8/10</f>
        <v/>
      </c>
      <c r="B3904">
        <f>$J$3-$B$5+$B$5*0/10</f>
        <v/>
      </c>
      <c r="C3904">
        <f>SUMPRODUCT(Calc!$K$3:$K$22*(Calc!$G$3:$G$22&lt;=A3904))</f>
        <v/>
      </c>
      <c r="D3904">
        <f>SUMPRODUCT(Calc!$K$3:$K$22*(Calc!$G$3:$G$22&gt;A3904)*(Calc!$G$3:$G$22&lt;B3904))</f>
        <v/>
      </c>
      <c r="E3904">
        <f>SUMPRODUCT(Calc!$K$3:$K$22*(Calc!$G$3:$G$22&gt;=B3904))</f>
        <v/>
      </c>
      <c r="F3904">
        <f>AND(k_n&gt;=5,B3904&gt;A3904+1E-9,C3904&gt;=2,D3904&gt;=1,E3904&gt;=2)</f>
        <v/>
      </c>
      <c r="G3904">
        <f>SUMPRODUCT(Calc!$K$3:$K$22*(Calc!$G$3:$G$22&gt;A3904)*(Calc!$G$3:$G$22-A3904))</f>
        <v/>
      </c>
      <c r="H3904">
        <f>SUMPRODUCT(Calc!$K$3:$K$22*(Calc!$G$3:$G$22&gt;B3904)*(Calc!$G$3:$G$22-B3904))</f>
        <v/>
      </c>
      <c r="I3904">
        <f>SUMPRODUCT(Calc!$K$3:$K$22*(Calc!$G$3:$G$22&gt;A3904)*(Calc!$G$3:$G$22-A3904)^2)</f>
        <v/>
      </c>
      <c r="J3904">
        <f>SUMPRODUCT(Calc!$K$3:$K$22*(Calc!$G$3:$G$22&gt;B3904)*(Calc!$G$3:$G$22-B3904)^2)</f>
        <v/>
      </c>
      <c r="K3904">
        <f>SUMPRODUCT(Calc!$K$3:$K$22*(Calc!$G$3:$G$22&gt;A3904)*(Calc!$G$3:$G$22-A3904)*(Calc!$G$3:$G$22&gt;B3904)*(Calc!$G$3:$G$22-B3904))</f>
        <v/>
      </c>
      <c r="L3904">
        <f>SUMPRODUCT(Calc!$K$3:$K$22*(Calc!$G$3:$G$22&gt;A3904)*(Calc!$G$3:$G$22-A3904)*Calc!$G$3:$G$22)</f>
        <v/>
      </c>
      <c r="M3904">
        <f>SUMPRODUCT(Calc!$K$3:$K$22*(Calc!$G$3:$G$22&gt;B3904)*(Calc!$G$3:$G$22-B3904)*Calc!$G$3:$G$22)</f>
        <v/>
      </c>
      <c r="N3904">
        <f>SUMPRODUCT(Calc!$K$3:$K$22*(Calc!$G$3:$G$22&gt;A3904)*(Calc!$G$3:$G$22-A3904)*Calc!$I$3:$I$22)</f>
        <v/>
      </c>
      <c r="O3904">
        <f>SUMPRODUCT(Calc!$K$3:$K$22*(Calc!$G$3:$G$22&gt;B3904)*(Calc!$G$3:$G$22-B3904)*Calc!$I$3:$I$22)</f>
        <v/>
      </c>
      <c r="P3904">
        <f>I3904-G3904^2/k_n</f>
        <v/>
      </c>
      <c r="Q3904">
        <f>J3904-H3904^2/k_n</f>
        <v/>
      </c>
      <c r="R3904">
        <f>K3904-G3904*H3904/k_n</f>
        <v/>
      </c>
      <c r="S3904">
        <f>L3904-LTP3!$D$3*G3904/k_n</f>
        <v/>
      </c>
      <c r="T3904">
        <f>M3904-LTP3!$D$3*H3904/k_n</f>
        <v/>
      </c>
      <c r="U3904">
        <f>N3904-G3904*LTP3!$D$4/k_n</f>
        <v/>
      </c>
      <c r="V3904">
        <f>O3904-H3904*LTP3!$D$4/k_n</f>
        <v/>
      </c>
      <c r="W3904">
        <f>((LTP3!$D$5)*((P3904)*(Q3904)-(R3904)*(R3904))-(S3904)*((S3904)*(Q3904)-(R3904)*(T3904))+(T3904)*((S3904)*(R3904)-(P3904)*(T3904)))</f>
        <v/>
      </c>
      <c r="X3904">
        <f>IF(ABS(W3904)&gt;1E-12,((LTP3!$D$6)*((P3904)*(Q3904)-(R3904)*(R3904))-(S3904)*((U3904)*(Q3904)-(R3904)*(V3904))+(T3904)*((U3904)*(R3904)-(P3904)*(V3904)))/W3904,0)</f>
        <v/>
      </c>
      <c r="Y3904">
        <f>IF(ABS(W3904)&gt;1E-12,((LTP3!$D$5)*((U3904)*(Q3904)-(R3904)*(V3904))-(LTP3!$D$6)*((S3904)*(Q3904)-(R3904)*(T3904))+(T3904)*((S3904)*(V3904)-(U3904)*(T3904)))/W3904,0)</f>
        <v/>
      </c>
      <c r="Z3904">
        <f>IF(ABS(W3904)&gt;1E-12,((LTP3!$D$5)*((P3904)*(V3904)-(U3904)*(R3904))-(S3904)*((S3904)*(V3904)-(U3904)*(T3904))+(LTP3!$D$6)*((S3904)*(R3904)-(P3904)*(T3904)))/W3904,0)</f>
        <v/>
      </c>
      <c r="AA3904">
        <f>LTP3!$D$7-X3904*LTP3!$D$6-Y3904*U3904-Z3904*V3904</f>
        <v/>
      </c>
      <c r="AB3904">
        <f>IF(AND(F3904,ABS(W3904)&gt;1E-12,Y3904&gt;0,Z3904&gt;0),AA3904,1E+300)</f>
        <v/>
      </c>
    </row>
    <row r="3905">
      <c r="A3905">
        <f>$I$3-$B$5+$B$5*8/10</f>
        <v/>
      </c>
      <c r="B3905">
        <f>$J$3-$B$5+$B$5*1/10</f>
        <v/>
      </c>
      <c r="C3905">
        <f>SUMPRODUCT(Calc!$K$3:$K$22*(Calc!$G$3:$G$22&lt;=A3905))</f>
        <v/>
      </c>
      <c r="D3905">
        <f>SUMPRODUCT(Calc!$K$3:$K$22*(Calc!$G$3:$G$22&gt;A3905)*(Calc!$G$3:$G$22&lt;B3905))</f>
        <v/>
      </c>
      <c r="E3905">
        <f>SUMPRODUCT(Calc!$K$3:$K$22*(Calc!$G$3:$G$22&gt;=B3905))</f>
        <v/>
      </c>
      <c r="F3905">
        <f>AND(k_n&gt;=5,B3905&gt;A3905+1E-9,C3905&gt;=2,D3905&gt;=1,E3905&gt;=2)</f>
        <v/>
      </c>
      <c r="G3905">
        <f>SUMPRODUCT(Calc!$K$3:$K$22*(Calc!$G$3:$G$22&gt;A3905)*(Calc!$G$3:$G$22-A3905))</f>
        <v/>
      </c>
      <c r="H3905">
        <f>SUMPRODUCT(Calc!$K$3:$K$22*(Calc!$G$3:$G$22&gt;B3905)*(Calc!$G$3:$G$22-B3905))</f>
        <v/>
      </c>
      <c r="I3905">
        <f>SUMPRODUCT(Calc!$K$3:$K$22*(Calc!$G$3:$G$22&gt;A3905)*(Calc!$G$3:$G$22-A3905)^2)</f>
        <v/>
      </c>
      <c r="J3905">
        <f>SUMPRODUCT(Calc!$K$3:$K$22*(Calc!$G$3:$G$22&gt;B3905)*(Calc!$G$3:$G$22-B3905)^2)</f>
        <v/>
      </c>
      <c r="K3905">
        <f>SUMPRODUCT(Calc!$K$3:$K$22*(Calc!$G$3:$G$22&gt;A3905)*(Calc!$G$3:$G$22-A3905)*(Calc!$G$3:$G$22&gt;B3905)*(Calc!$G$3:$G$22-B3905))</f>
        <v/>
      </c>
      <c r="L3905">
        <f>SUMPRODUCT(Calc!$K$3:$K$22*(Calc!$G$3:$G$22&gt;A3905)*(Calc!$G$3:$G$22-A3905)*Calc!$G$3:$G$22)</f>
        <v/>
      </c>
      <c r="M3905">
        <f>SUMPRODUCT(Calc!$K$3:$K$22*(Calc!$G$3:$G$22&gt;B3905)*(Calc!$G$3:$G$22-B3905)*Calc!$G$3:$G$22)</f>
        <v/>
      </c>
      <c r="N3905">
        <f>SUMPRODUCT(Calc!$K$3:$K$22*(Calc!$G$3:$G$22&gt;A3905)*(Calc!$G$3:$G$22-A3905)*Calc!$I$3:$I$22)</f>
        <v/>
      </c>
      <c r="O3905">
        <f>SUMPRODUCT(Calc!$K$3:$K$22*(Calc!$G$3:$G$22&gt;B3905)*(Calc!$G$3:$G$22-B3905)*Calc!$I$3:$I$22)</f>
        <v/>
      </c>
      <c r="P3905">
        <f>I3905-G3905^2/k_n</f>
        <v/>
      </c>
      <c r="Q3905">
        <f>J3905-H3905^2/k_n</f>
        <v/>
      </c>
      <c r="R3905">
        <f>K3905-G3905*H3905/k_n</f>
        <v/>
      </c>
      <c r="S3905">
        <f>L3905-LTP3!$D$3*G3905/k_n</f>
        <v/>
      </c>
      <c r="T3905">
        <f>M3905-LTP3!$D$3*H3905/k_n</f>
        <v/>
      </c>
      <c r="U3905">
        <f>N3905-G3905*LTP3!$D$4/k_n</f>
        <v/>
      </c>
      <c r="V3905">
        <f>O3905-H3905*LTP3!$D$4/k_n</f>
        <v/>
      </c>
      <c r="W3905">
        <f>((LTP3!$D$5)*((P3905)*(Q3905)-(R3905)*(R3905))-(S3905)*((S3905)*(Q3905)-(R3905)*(T3905))+(T3905)*((S3905)*(R3905)-(P3905)*(T3905)))</f>
        <v/>
      </c>
      <c r="X3905">
        <f>IF(ABS(W3905)&gt;1E-12,((LTP3!$D$6)*((P3905)*(Q3905)-(R3905)*(R3905))-(S3905)*((U3905)*(Q3905)-(R3905)*(V3905))+(T3905)*((U3905)*(R3905)-(P3905)*(V3905)))/W3905,0)</f>
        <v/>
      </c>
      <c r="Y3905">
        <f>IF(ABS(W3905)&gt;1E-12,((LTP3!$D$5)*((U3905)*(Q3905)-(R3905)*(V3905))-(LTP3!$D$6)*((S3905)*(Q3905)-(R3905)*(T3905))+(T3905)*((S3905)*(V3905)-(U3905)*(T3905)))/W3905,0)</f>
        <v/>
      </c>
      <c r="Z3905">
        <f>IF(ABS(W3905)&gt;1E-12,((LTP3!$D$5)*((P3905)*(V3905)-(U3905)*(R3905))-(S3905)*((S3905)*(V3905)-(U3905)*(T3905))+(LTP3!$D$6)*((S3905)*(R3905)-(P3905)*(T3905)))/W3905,0)</f>
        <v/>
      </c>
      <c r="AA3905">
        <f>LTP3!$D$7-X3905*LTP3!$D$6-Y3905*U3905-Z3905*V3905</f>
        <v/>
      </c>
      <c r="AB3905">
        <f>IF(AND(F3905,ABS(W3905)&gt;1E-12,Y3905&gt;0,Z3905&gt;0),AA3905,1E+300)</f>
        <v/>
      </c>
    </row>
    <row r="3906">
      <c r="A3906">
        <f>$I$3-$B$5+$B$5*8/10</f>
        <v/>
      </c>
      <c r="B3906">
        <f>$J$3-$B$5+$B$5*2/10</f>
        <v/>
      </c>
      <c r="C3906">
        <f>SUMPRODUCT(Calc!$K$3:$K$22*(Calc!$G$3:$G$22&lt;=A3906))</f>
        <v/>
      </c>
      <c r="D3906">
        <f>SUMPRODUCT(Calc!$K$3:$K$22*(Calc!$G$3:$G$22&gt;A3906)*(Calc!$G$3:$G$22&lt;B3906))</f>
        <v/>
      </c>
      <c r="E3906">
        <f>SUMPRODUCT(Calc!$K$3:$K$22*(Calc!$G$3:$G$22&gt;=B3906))</f>
        <v/>
      </c>
      <c r="F3906">
        <f>AND(k_n&gt;=5,B3906&gt;A3906+1E-9,C3906&gt;=2,D3906&gt;=1,E3906&gt;=2)</f>
        <v/>
      </c>
      <c r="G3906">
        <f>SUMPRODUCT(Calc!$K$3:$K$22*(Calc!$G$3:$G$22&gt;A3906)*(Calc!$G$3:$G$22-A3906))</f>
        <v/>
      </c>
      <c r="H3906">
        <f>SUMPRODUCT(Calc!$K$3:$K$22*(Calc!$G$3:$G$22&gt;B3906)*(Calc!$G$3:$G$22-B3906))</f>
        <v/>
      </c>
      <c r="I3906">
        <f>SUMPRODUCT(Calc!$K$3:$K$22*(Calc!$G$3:$G$22&gt;A3906)*(Calc!$G$3:$G$22-A3906)^2)</f>
        <v/>
      </c>
      <c r="J3906">
        <f>SUMPRODUCT(Calc!$K$3:$K$22*(Calc!$G$3:$G$22&gt;B3906)*(Calc!$G$3:$G$22-B3906)^2)</f>
        <v/>
      </c>
      <c r="K3906">
        <f>SUMPRODUCT(Calc!$K$3:$K$22*(Calc!$G$3:$G$22&gt;A3906)*(Calc!$G$3:$G$22-A3906)*(Calc!$G$3:$G$22&gt;B3906)*(Calc!$G$3:$G$22-B3906))</f>
        <v/>
      </c>
      <c r="L3906">
        <f>SUMPRODUCT(Calc!$K$3:$K$22*(Calc!$G$3:$G$22&gt;A3906)*(Calc!$G$3:$G$22-A3906)*Calc!$G$3:$G$22)</f>
        <v/>
      </c>
      <c r="M3906">
        <f>SUMPRODUCT(Calc!$K$3:$K$22*(Calc!$G$3:$G$22&gt;B3906)*(Calc!$G$3:$G$22-B3906)*Calc!$G$3:$G$22)</f>
        <v/>
      </c>
      <c r="N3906">
        <f>SUMPRODUCT(Calc!$K$3:$K$22*(Calc!$G$3:$G$22&gt;A3906)*(Calc!$G$3:$G$22-A3906)*Calc!$I$3:$I$22)</f>
        <v/>
      </c>
      <c r="O3906">
        <f>SUMPRODUCT(Calc!$K$3:$K$22*(Calc!$G$3:$G$22&gt;B3906)*(Calc!$G$3:$G$22-B3906)*Calc!$I$3:$I$22)</f>
        <v/>
      </c>
      <c r="P3906">
        <f>I3906-G3906^2/k_n</f>
        <v/>
      </c>
      <c r="Q3906">
        <f>J3906-H3906^2/k_n</f>
        <v/>
      </c>
      <c r="R3906">
        <f>K3906-G3906*H3906/k_n</f>
        <v/>
      </c>
      <c r="S3906">
        <f>L3906-LTP3!$D$3*G3906/k_n</f>
        <v/>
      </c>
      <c r="T3906">
        <f>M3906-LTP3!$D$3*H3906/k_n</f>
        <v/>
      </c>
      <c r="U3906">
        <f>N3906-G3906*LTP3!$D$4/k_n</f>
        <v/>
      </c>
      <c r="V3906">
        <f>O3906-H3906*LTP3!$D$4/k_n</f>
        <v/>
      </c>
      <c r="W3906">
        <f>((LTP3!$D$5)*((P3906)*(Q3906)-(R3906)*(R3906))-(S3906)*((S3906)*(Q3906)-(R3906)*(T3906))+(T3906)*((S3906)*(R3906)-(P3906)*(T3906)))</f>
        <v/>
      </c>
      <c r="X3906">
        <f>IF(ABS(W3906)&gt;1E-12,((LTP3!$D$6)*((P3906)*(Q3906)-(R3906)*(R3906))-(S3906)*((U3906)*(Q3906)-(R3906)*(V3906))+(T3906)*((U3906)*(R3906)-(P3906)*(V3906)))/W3906,0)</f>
        <v/>
      </c>
      <c r="Y3906">
        <f>IF(ABS(W3906)&gt;1E-12,((LTP3!$D$5)*((U3906)*(Q3906)-(R3906)*(V3906))-(LTP3!$D$6)*((S3906)*(Q3906)-(R3906)*(T3906))+(T3906)*((S3906)*(V3906)-(U3906)*(T3906)))/W3906,0)</f>
        <v/>
      </c>
      <c r="Z3906">
        <f>IF(ABS(W3906)&gt;1E-12,((LTP3!$D$5)*((P3906)*(V3906)-(U3906)*(R3906))-(S3906)*((S3906)*(V3906)-(U3906)*(T3906))+(LTP3!$D$6)*((S3906)*(R3906)-(P3906)*(T3906)))/W3906,0)</f>
        <v/>
      </c>
      <c r="AA3906">
        <f>LTP3!$D$7-X3906*LTP3!$D$6-Y3906*U3906-Z3906*V3906</f>
        <v/>
      </c>
      <c r="AB3906">
        <f>IF(AND(F3906,ABS(W3906)&gt;1E-12,Y3906&gt;0,Z3906&gt;0),AA3906,1E+300)</f>
        <v/>
      </c>
    </row>
    <row r="3907">
      <c r="A3907">
        <f>$I$3-$B$5+$B$5*8/10</f>
        <v/>
      </c>
      <c r="B3907">
        <f>$J$3-$B$5+$B$5*3/10</f>
        <v/>
      </c>
      <c r="C3907">
        <f>SUMPRODUCT(Calc!$K$3:$K$22*(Calc!$G$3:$G$22&lt;=A3907))</f>
        <v/>
      </c>
      <c r="D3907">
        <f>SUMPRODUCT(Calc!$K$3:$K$22*(Calc!$G$3:$G$22&gt;A3907)*(Calc!$G$3:$G$22&lt;B3907))</f>
        <v/>
      </c>
      <c r="E3907">
        <f>SUMPRODUCT(Calc!$K$3:$K$22*(Calc!$G$3:$G$22&gt;=B3907))</f>
        <v/>
      </c>
      <c r="F3907">
        <f>AND(k_n&gt;=5,B3907&gt;A3907+1E-9,C3907&gt;=2,D3907&gt;=1,E3907&gt;=2)</f>
        <v/>
      </c>
      <c r="G3907">
        <f>SUMPRODUCT(Calc!$K$3:$K$22*(Calc!$G$3:$G$22&gt;A3907)*(Calc!$G$3:$G$22-A3907))</f>
        <v/>
      </c>
      <c r="H3907">
        <f>SUMPRODUCT(Calc!$K$3:$K$22*(Calc!$G$3:$G$22&gt;B3907)*(Calc!$G$3:$G$22-B3907))</f>
        <v/>
      </c>
      <c r="I3907">
        <f>SUMPRODUCT(Calc!$K$3:$K$22*(Calc!$G$3:$G$22&gt;A3907)*(Calc!$G$3:$G$22-A3907)^2)</f>
        <v/>
      </c>
      <c r="J3907">
        <f>SUMPRODUCT(Calc!$K$3:$K$22*(Calc!$G$3:$G$22&gt;B3907)*(Calc!$G$3:$G$22-B3907)^2)</f>
        <v/>
      </c>
      <c r="K3907">
        <f>SUMPRODUCT(Calc!$K$3:$K$22*(Calc!$G$3:$G$22&gt;A3907)*(Calc!$G$3:$G$22-A3907)*(Calc!$G$3:$G$22&gt;B3907)*(Calc!$G$3:$G$22-B3907))</f>
        <v/>
      </c>
      <c r="L3907">
        <f>SUMPRODUCT(Calc!$K$3:$K$22*(Calc!$G$3:$G$22&gt;A3907)*(Calc!$G$3:$G$22-A3907)*Calc!$G$3:$G$22)</f>
        <v/>
      </c>
      <c r="M3907">
        <f>SUMPRODUCT(Calc!$K$3:$K$22*(Calc!$G$3:$G$22&gt;B3907)*(Calc!$G$3:$G$22-B3907)*Calc!$G$3:$G$22)</f>
        <v/>
      </c>
      <c r="N3907">
        <f>SUMPRODUCT(Calc!$K$3:$K$22*(Calc!$G$3:$G$22&gt;A3907)*(Calc!$G$3:$G$22-A3907)*Calc!$I$3:$I$22)</f>
        <v/>
      </c>
      <c r="O3907">
        <f>SUMPRODUCT(Calc!$K$3:$K$22*(Calc!$G$3:$G$22&gt;B3907)*(Calc!$G$3:$G$22-B3907)*Calc!$I$3:$I$22)</f>
        <v/>
      </c>
      <c r="P3907">
        <f>I3907-G3907^2/k_n</f>
        <v/>
      </c>
      <c r="Q3907">
        <f>J3907-H3907^2/k_n</f>
        <v/>
      </c>
      <c r="R3907">
        <f>K3907-G3907*H3907/k_n</f>
        <v/>
      </c>
      <c r="S3907">
        <f>L3907-LTP3!$D$3*G3907/k_n</f>
        <v/>
      </c>
      <c r="T3907">
        <f>M3907-LTP3!$D$3*H3907/k_n</f>
        <v/>
      </c>
      <c r="U3907">
        <f>N3907-G3907*LTP3!$D$4/k_n</f>
        <v/>
      </c>
      <c r="V3907">
        <f>O3907-H3907*LTP3!$D$4/k_n</f>
        <v/>
      </c>
      <c r="W3907">
        <f>((LTP3!$D$5)*((P3907)*(Q3907)-(R3907)*(R3907))-(S3907)*((S3907)*(Q3907)-(R3907)*(T3907))+(T3907)*((S3907)*(R3907)-(P3907)*(T3907)))</f>
        <v/>
      </c>
      <c r="X3907">
        <f>IF(ABS(W3907)&gt;1E-12,((LTP3!$D$6)*((P3907)*(Q3907)-(R3907)*(R3907))-(S3907)*((U3907)*(Q3907)-(R3907)*(V3907))+(T3907)*((U3907)*(R3907)-(P3907)*(V3907)))/W3907,0)</f>
        <v/>
      </c>
      <c r="Y3907">
        <f>IF(ABS(W3907)&gt;1E-12,((LTP3!$D$5)*((U3907)*(Q3907)-(R3907)*(V3907))-(LTP3!$D$6)*((S3907)*(Q3907)-(R3907)*(T3907))+(T3907)*((S3907)*(V3907)-(U3907)*(T3907)))/W3907,0)</f>
        <v/>
      </c>
      <c r="Z3907">
        <f>IF(ABS(W3907)&gt;1E-12,((LTP3!$D$5)*((P3907)*(V3907)-(U3907)*(R3907))-(S3907)*((S3907)*(V3907)-(U3907)*(T3907))+(LTP3!$D$6)*((S3907)*(R3907)-(P3907)*(T3907)))/W3907,0)</f>
        <v/>
      </c>
      <c r="AA3907">
        <f>LTP3!$D$7-X3907*LTP3!$D$6-Y3907*U3907-Z3907*V3907</f>
        <v/>
      </c>
      <c r="AB3907">
        <f>IF(AND(F3907,ABS(W3907)&gt;1E-12,Y3907&gt;0,Z3907&gt;0),AA3907,1E+300)</f>
        <v/>
      </c>
    </row>
    <row r="3908">
      <c r="A3908">
        <f>$I$3-$B$5+$B$5*8/10</f>
        <v/>
      </c>
      <c r="B3908">
        <f>$J$3-$B$5+$B$5*4/10</f>
        <v/>
      </c>
      <c r="C3908">
        <f>SUMPRODUCT(Calc!$K$3:$K$22*(Calc!$G$3:$G$22&lt;=A3908))</f>
        <v/>
      </c>
      <c r="D3908">
        <f>SUMPRODUCT(Calc!$K$3:$K$22*(Calc!$G$3:$G$22&gt;A3908)*(Calc!$G$3:$G$22&lt;B3908))</f>
        <v/>
      </c>
      <c r="E3908">
        <f>SUMPRODUCT(Calc!$K$3:$K$22*(Calc!$G$3:$G$22&gt;=B3908))</f>
        <v/>
      </c>
      <c r="F3908">
        <f>AND(k_n&gt;=5,B3908&gt;A3908+1E-9,C3908&gt;=2,D3908&gt;=1,E3908&gt;=2)</f>
        <v/>
      </c>
      <c r="G3908">
        <f>SUMPRODUCT(Calc!$K$3:$K$22*(Calc!$G$3:$G$22&gt;A3908)*(Calc!$G$3:$G$22-A3908))</f>
        <v/>
      </c>
      <c r="H3908">
        <f>SUMPRODUCT(Calc!$K$3:$K$22*(Calc!$G$3:$G$22&gt;B3908)*(Calc!$G$3:$G$22-B3908))</f>
        <v/>
      </c>
      <c r="I3908">
        <f>SUMPRODUCT(Calc!$K$3:$K$22*(Calc!$G$3:$G$22&gt;A3908)*(Calc!$G$3:$G$22-A3908)^2)</f>
        <v/>
      </c>
      <c r="J3908">
        <f>SUMPRODUCT(Calc!$K$3:$K$22*(Calc!$G$3:$G$22&gt;B3908)*(Calc!$G$3:$G$22-B3908)^2)</f>
        <v/>
      </c>
      <c r="K3908">
        <f>SUMPRODUCT(Calc!$K$3:$K$22*(Calc!$G$3:$G$22&gt;A3908)*(Calc!$G$3:$G$22-A3908)*(Calc!$G$3:$G$22&gt;B3908)*(Calc!$G$3:$G$22-B3908))</f>
        <v/>
      </c>
      <c r="L3908">
        <f>SUMPRODUCT(Calc!$K$3:$K$22*(Calc!$G$3:$G$22&gt;A3908)*(Calc!$G$3:$G$22-A3908)*Calc!$G$3:$G$22)</f>
        <v/>
      </c>
      <c r="M3908">
        <f>SUMPRODUCT(Calc!$K$3:$K$22*(Calc!$G$3:$G$22&gt;B3908)*(Calc!$G$3:$G$22-B3908)*Calc!$G$3:$G$22)</f>
        <v/>
      </c>
      <c r="N3908">
        <f>SUMPRODUCT(Calc!$K$3:$K$22*(Calc!$G$3:$G$22&gt;A3908)*(Calc!$G$3:$G$22-A3908)*Calc!$I$3:$I$22)</f>
        <v/>
      </c>
      <c r="O3908">
        <f>SUMPRODUCT(Calc!$K$3:$K$22*(Calc!$G$3:$G$22&gt;B3908)*(Calc!$G$3:$G$22-B3908)*Calc!$I$3:$I$22)</f>
        <v/>
      </c>
      <c r="P3908">
        <f>I3908-G3908^2/k_n</f>
        <v/>
      </c>
      <c r="Q3908">
        <f>J3908-H3908^2/k_n</f>
        <v/>
      </c>
      <c r="R3908">
        <f>K3908-G3908*H3908/k_n</f>
        <v/>
      </c>
      <c r="S3908">
        <f>L3908-LTP3!$D$3*G3908/k_n</f>
        <v/>
      </c>
      <c r="T3908">
        <f>M3908-LTP3!$D$3*H3908/k_n</f>
        <v/>
      </c>
      <c r="U3908">
        <f>N3908-G3908*LTP3!$D$4/k_n</f>
        <v/>
      </c>
      <c r="V3908">
        <f>O3908-H3908*LTP3!$D$4/k_n</f>
        <v/>
      </c>
      <c r="W3908">
        <f>((LTP3!$D$5)*((P3908)*(Q3908)-(R3908)*(R3908))-(S3908)*((S3908)*(Q3908)-(R3908)*(T3908))+(T3908)*((S3908)*(R3908)-(P3908)*(T3908)))</f>
        <v/>
      </c>
      <c r="X3908">
        <f>IF(ABS(W3908)&gt;1E-12,((LTP3!$D$6)*((P3908)*(Q3908)-(R3908)*(R3908))-(S3908)*((U3908)*(Q3908)-(R3908)*(V3908))+(T3908)*((U3908)*(R3908)-(P3908)*(V3908)))/W3908,0)</f>
        <v/>
      </c>
      <c r="Y3908">
        <f>IF(ABS(W3908)&gt;1E-12,((LTP3!$D$5)*((U3908)*(Q3908)-(R3908)*(V3908))-(LTP3!$D$6)*((S3908)*(Q3908)-(R3908)*(T3908))+(T3908)*((S3908)*(V3908)-(U3908)*(T3908)))/W3908,0)</f>
        <v/>
      </c>
      <c r="Z3908">
        <f>IF(ABS(W3908)&gt;1E-12,((LTP3!$D$5)*((P3908)*(V3908)-(U3908)*(R3908))-(S3908)*((S3908)*(V3908)-(U3908)*(T3908))+(LTP3!$D$6)*((S3908)*(R3908)-(P3908)*(T3908)))/W3908,0)</f>
        <v/>
      </c>
      <c r="AA3908">
        <f>LTP3!$D$7-X3908*LTP3!$D$6-Y3908*U3908-Z3908*V3908</f>
        <v/>
      </c>
      <c r="AB3908">
        <f>IF(AND(F3908,ABS(W3908)&gt;1E-12,Y3908&gt;0,Z3908&gt;0),AA3908,1E+300)</f>
        <v/>
      </c>
    </row>
    <row r="3909">
      <c r="A3909">
        <f>$I$3-$B$5+$B$5*8/10</f>
        <v/>
      </c>
      <c r="B3909">
        <f>$J$3-$B$5+$B$5*5/10</f>
        <v/>
      </c>
      <c r="C3909">
        <f>SUMPRODUCT(Calc!$K$3:$K$22*(Calc!$G$3:$G$22&lt;=A3909))</f>
        <v/>
      </c>
      <c r="D3909">
        <f>SUMPRODUCT(Calc!$K$3:$K$22*(Calc!$G$3:$G$22&gt;A3909)*(Calc!$G$3:$G$22&lt;B3909))</f>
        <v/>
      </c>
      <c r="E3909">
        <f>SUMPRODUCT(Calc!$K$3:$K$22*(Calc!$G$3:$G$22&gt;=B3909))</f>
        <v/>
      </c>
      <c r="F3909">
        <f>AND(k_n&gt;=5,B3909&gt;A3909+1E-9,C3909&gt;=2,D3909&gt;=1,E3909&gt;=2)</f>
        <v/>
      </c>
      <c r="G3909">
        <f>SUMPRODUCT(Calc!$K$3:$K$22*(Calc!$G$3:$G$22&gt;A3909)*(Calc!$G$3:$G$22-A3909))</f>
        <v/>
      </c>
      <c r="H3909">
        <f>SUMPRODUCT(Calc!$K$3:$K$22*(Calc!$G$3:$G$22&gt;B3909)*(Calc!$G$3:$G$22-B3909))</f>
        <v/>
      </c>
      <c r="I3909">
        <f>SUMPRODUCT(Calc!$K$3:$K$22*(Calc!$G$3:$G$22&gt;A3909)*(Calc!$G$3:$G$22-A3909)^2)</f>
        <v/>
      </c>
      <c r="J3909">
        <f>SUMPRODUCT(Calc!$K$3:$K$22*(Calc!$G$3:$G$22&gt;B3909)*(Calc!$G$3:$G$22-B3909)^2)</f>
        <v/>
      </c>
      <c r="K3909">
        <f>SUMPRODUCT(Calc!$K$3:$K$22*(Calc!$G$3:$G$22&gt;A3909)*(Calc!$G$3:$G$22-A3909)*(Calc!$G$3:$G$22&gt;B3909)*(Calc!$G$3:$G$22-B3909))</f>
        <v/>
      </c>
      <c r="L3909">
        <f>SUMPRODUCT(Calc!$K$3:$K$22*(Calc!$G$3:$G$22&gt;A3909)*(Calc!$G$3:$G$22-A3909)*Calc!$G$3:$G$22)</f>
        <v/>
      </c>
      <c r="M3909">
        <f>SUMPRODUCT(Calc!$K$3:$K$22*(Calc!$G$3:$G$22&gt;B3909)*(Calc!$G$3:$G$22-B3909)*Calc!$G$3:$G$22)</f>
        <v/>
      </c>
      <c r="N3909">
        <f>SUMPRODUCT(Calc!$K$3:$K$22*(Calc!$G$3:$G$22&gt;A3909)*(Calc!$G$3:$G$22-A3909)*Calc!$I$3:$I$22)</f>
        <v/>
      </c>
      <c r="O3909">
        <f>SUMPRODUCT(Calc!$K$3:$K$22*(Calc!$G$3:$G$22&gt;B3909)*(Calc!$G$3:$G$22-B3909)*Calc!$I$3:$I$22)</f>
        <v/>
      </c>
      <c r="P3909">
        <f>I3909-G3909^2/k_n</f>
        <v/>
      </c>
      <c r="Q3909">
        <f>J3909-H3909^2/k_n</f>
        <v/>
      </c>
      <c r="R3909">
        <f>K3909-G3909*H3909/k_n</f>
        <v/>
      </c>
      <c r="S3909">
        <f>L3909-LTP3!$D$3*G3909/k_n</f>
        <v/>
      </c>
      <c r="T3909">
        <f>M3909-LTP3!$D$3*H3909/k_n</f>
        <v/>
      </c>
      <c r="U3909">
        <f>N3909-G3909*LTP3!$D$4/k_n</f>
        <v/>
      </c>
      <c r="V3909">
        <f>O3909-H3909*LTP3!$D$4/k_n</f>
        <v/>
      </c>
      <c r="W3909">
        <f>((LTP3!$D$5)*((P3909)*(Q3909)-(R3909)*(R3909))-(S3909)*((S3909)*(Q3909)-(R3909)*(T3909))+(T3909)*((S3909)*(R3909)-(P3909)*(T3909)))</f>
        <v/>
      </c>
      <c r="X3909">
        <f>IF(ABS(W3909)&gt;1E-12,((LTP3!$D$6)*((P3909)*(Q3909)-(R3909)*(R3909))-(S3909)*((U3909)*(Q3909)-(R3909)*(V3909))+(T3909)*((U3909)*(R3909)-(P3909)*(V3909)))/W3909,0)</f>
        <v/>
      </c>
      <c r="Y3909">
        <f>IF(ABS(W3909)&gt;1E-12,((LTP3!$D$5)*((U3909)*(Q3909)-(R3909)*(V3909))-(LTP3!$D$6)*((S3909)*(Q3909)-(R3909)*(T3909))+(T3909)*((S3909)*(V3909)-(U3909)*(T3909)))/W3909,0)</f>
        <v/>
      </c>
      <c r="Z3909">
        <f>IF(ABS(W3909)&gt;1E-12,((LTP3!$D$5)*((P3909)*(V3909)-(U3909)*(R3909))-(S3909)*((S3909)*(V3909)-(U3909)*(T3909))+(LTP3!$D$6)*((S3909)*(R3909)-(P3909)*(T3909)))/W3909,0)</f>
        <v/>
      </c>
      <c r="AA3909">
        <f>LTP3!$D$7-X3909*LTP3!$D$6-Y3909*U3909-Z3909*V3909</f>
        <v/>
      </c>
      <c r="AB3909">
        <f>IF(AND(F3909,ABS(W3909)&gt;1E-12,Y3909&gt;0,Z3909&gt;0),AA3909,1E+300)</f>
        <v/>
      </c>
    </row>
    <row r="3910">
      <c r="A3910">
        <f>$I$3-$B$5+$B$5*8/10</f>
        <v/>
      </c>
      <c r="B3910">
        <f>$J$3-$B$5+$B$5*6/10</f>
        <v/>
      </c>
      <c r="C3910">
        <f>SUMPRODUCT(Calc!$K$3:$K$22*(Calc!$G$3:$G$22&lt;=A3910))</f>
        <v/>
      </c>
      <c r="D3910">
        <f>SUMPRODUCT(Calc!$K$3:$K$22*(Calc!$G$3:$G$22&gt;A3910)*(Calc!$G$3:$G$22&lt;B3910))</f>
        <v/>
      </c>
      <c r="E3910">
        <f>SUMPRODUCT(Calc!$K$3:$K$22*(Calc!$G$3:$G$22&gt;=B3910))</f>
        <v/>
      </c>
      <c r="F3910">
        <f>AND(k_n&gt;=5,B3910&gt;A3910+1E-9,C3910&gt;=2,D3910&gt;=1,E3910&gt;=2)</f>
        <v/>
      </c>
      <c r="G3910">
        <f>SUMPRODUCT(Calc!$K$3:$K$22*(Calc!$G$3:$G$22&gt;A3910)*(Calc!$G$3:$G$22-A3910))</f>
        <v/>
      </c>
      <c r="H3910">
        <f>SUMPRODUCT(Calc!$K$3:$K$22*(Calc!$G$3:$G$22&gt;B3910)*(Calc!$G$3:$G$22-B3910))</f>
        <v/>
      </c>
      <c r="I3910">
        <f>SUMPRODUCT(Calc!$K$3:$K$22*(Calc!$G$3:$G$22&gt;A3910)*(Calc!$G$3:$G$22-A3910)^2)</f>
        <v/>
      </c>
      <c r="J3910">
        <f>SUMPRODUCT(Calc!$K$3:$K$22*(Calc!$G$3:$G$22&gt;B3910)*(Calc!$G$3:$G$22-B3910)^2)</f>
        <v/>
      </c>
      <c r="K3910">
        <f>SUMPRODUCT(Calc!$K$3:$K$22*(Calc!$G$3:$G$22&gt;A3910)*(Calc!$G$3:$G$22-A3910)*(Calc!$G$3:$G$22&gt;B3910)*(Calc!$G$3:$G$22-B3910))</f>
        <v/>
      </c>
      <c r="L3910">
        <f>SUMPRODUCT(Calc!$K$3:$K$22*(Calc!$G$3:$G$22&gt;A3910)*(Calc!$G$3:$G$22-A3910)*Calc!$G$3:$G$22)</f>
        <v/>
      </c>
      <c r="M3910">
        <f>SUMPRODUCT(Calc!$K$3:$K$22*(Calc!$G$3:$G$22&gt;B3910)*(Calc!$G$3:$G$22-B3910)*Calc!$G$3:$G$22)</f>
        <v/>
      </c>
      <c r="N3910">
        <f>SUMPRODUCT(Calc!$K$3:$K$22*(Calc!$G$3:$G$22&gt;A3910)*(Calc!$G$3:$G$22-A3910)*Calc!$I$3:$I$22)</f>
        <v/>
      </c>
      <c r="O3910">
        <f>SUMPRODUCT(Calc!$K$3:$K$22*(Calc!$G$3:$G$22&gt;B3910)*(Calc!$G$3:$G$22-B3910)*Calc!$I$3:$I$22)</f>
        <v/>
      </c>
      <c r="P3910">
        <f>I3910-G3910^2/k_n</f>
        <v/>
      </c>
      <c r="Q3910">
        <f>J3910-H3910^2/k_n</f>
        <v/>
      </c>
      <c r="R3910">
        <f>K3910-G3910*H3910/k_n</f>
        <v/>
      </c>
      <c r="S3910">
        <f>L3910-LTP3!$D$3*G3910/k_n</f>
        <v/>
      </c>
      <c r="T3910">
        <f>M3910-LTP3!$D$3*H3910/k_n</f>
        <v/>
      </c>
      <c r="U3910">
        <f>N3910-G3910*LTP3!$D$4/k_n</f>
        <v/>
      </c>
      <c r="V3910">
        <f>O3910-H3910*LTP3!$D$4/k_n</f>
        <v/>
      </c>
      <c r="W3910">
        <f>((LTP3!$D$5)*((P3910)*(Q3910)-(R3910)*(R3910))-(S3910)*((S3910)*(Q3910)-(R3910)*(T3910))+(T3910)*((S3910)*(R3910)-(P3910)*(T3910)))</f>
        <v/>
      </c>
      <c r="X3910">
        <f>IF(ABS(W3910)&gt;1E-12,((LTP3!$D$6)*((P3910)*(Q3910)-(R3910)*(R3910))-(S3910)*((U3910)*(Q3910)-(R3910)*(V3910))+(T3910)*((U3910)*(R3910)-(P3910)*(V3910)))/W3910,0)</f>
        <v/>
      </c>
      <c r="Y3910">
        <f>IF(ABS(W3910)&gt;1E-12,((LTP3!$D$5)*((U3910)*(Q3910)-(R3910)*(V3910))-(LTP3!$D$6)*((S3910)*(Q3910)-(R3910)*(T3910))+(T3910)*((S3910)*(V3910)-(U3910)*(T3910)))/W3910,0)</f>
        <v/>
      </c>
      <c r="Z3910">
        <f>IF(ABS(W3910)&gt;1E-12,((LTP3!$D$5)*((P3910)*(V3910)-(U3910)*(R3910))-(S3910)*((S3910)*(V3910)-(U3910)*(T3910))+(LTP3!$D$6)*((S3910)*(R3910)-(P3910)*(T3910)))/W3910,0)</f>
        <v/>
      </c>
      <c r="AA3910">
        <f>LTP3!$D$7-X3910*LTP3!$D$6-Y3910*U3910-Z3910*V3910</f>
        <v/>
      </c>
      <c r="AB3910">
        <f>IF(AND(F3910,ABS(W3910)&gt;1E-12,Y3910&gt;0,Z3910&gt;0),AA3910,1E+300)</f>
        <v/>
      </c>
    </row>
    <row r="3911">
      <c r="A3911">
        <f>$I$3-$B$5+$B$5*8/10</f>
        <v/>
      </c>
      <c r="B3911">
        <f>$J$3-$B$5+$B$5*7/10</f>
        <v/>
      </c>
      <c r="C3911">
        <f>SUMPRODUCT(Calc!$K$3:$K$22*(Calc!$G$3:$G$22&lt;=A3911))</f>
        <v/>
      </c>
      <c r="D3911">
        <f>SUMPRODUCT(Calc!$K$3:$K$22*(Calc!$G$3:$G$22&gt;A3911)*(Calc!$G$3:$G$22&lt;B3911))</f>
        <v/>
      </c>
      <c r="E3911">
        <f>SUMPRODUCT(Calc!$K$3:$K$22*(Calc!$G$3:$G$22&gt;=B3911))</f>
        <v/>
      </c>
      <c r="F3911">
        <f>AND(k_n&gt;=5,B3911&gt;A3911+1E-9,C3911&gt;=2,D3911&gt;=1,E3911&gt;=2)</f>
        <v/>
      </c>
      <c r="G3911">
        <f>SUMPRODUCT(Calc!$K$3:$K$22*(Calc!$G$3:$G$22&gt;A3911)*(Calc!$G$3:$G$22-A3911))</f>
        <v/>
      </c>
      <c r="H3911">
        <f>SUMPRODUCT(Calc!$K$3:$K$22*(Calc!$G$3:$G$22&gt;B3911)*(Calc!$G$3:$G$22-B3911))</f>
        <v/>
      </c>
      <c r="I3911">
        <f>SUMPRODUCT(Calc!$K$3:$K$22*(Calc!$G$3:$G$22&gt;A3911)*(Calc!$G$3:$G$22-A3911)^2)</f>
        <v/>
      </c>
      <c r="J3911">
        <f>SUMPRODUCT(Calc!$K$3:$K$22*(Calc!$G$3:$G$22&gt;B3911)*(Calc!$G$3:$G$22-B3911)^2)</f>
        <v/>
      </c>
      <c r="K3911">
        <f>SUMPRODUCT(Calc!$K$3:$K$22*(Calc!$G$3:$G$22&gt;A3911)*(Calc!$G$3:$G$22-A3911)*(Calc!$G$3:$G$22&gt;B3911)*(Calc!$G$3:$G$22-B3911))</f>
        <v/>
      </c>
      <c r="L3911">
        <f>SUMPRODUCT(Calc!$K$3:$K$22*(Calc!$G$3:$G$22&gt;A3911)*(Calc!$G$3:$G$22-A3911)*Calc!$G$3:$G$22)</f>
        <v/>
      </c>
      <c r="M3911">
        <f>SUMPRODUCT(Calc!$K$3:$K$22*(Calc!$G$3:$G$22&gt;B3911)*(Calc!$G$3:$G$22-B3911)*Calc!$G$3:$G$22)</f>
        <v/>
      </c>
      <c r="N3911">
        <f>SUMPRODUCT(Calc!$K$3:$K$22*(Calc!$G$3:$G$22&gt;A3911)*(Calc!$G$3:$G$22-A3911)*Calc!$I$3:$I$22)</f>
        <v/>
      </c>
      <c r="O3911">
        <f>SUMPRODUCT(Calc!$K$3:$K$22*(Calc!$G$3:$G$22&gt;B3911)*(Calc!$G$3:$G$22-B3911)*Calc!$I$3:$I$22)</f>
        <v/>
      </c>
      <c r="P3911">
        <f>I3911-G3911^2/k_n</f>
        <v/>
      </c>
      <c r="Q3911">
        <f>J3911-H3911^2/k_n</f>
        <v/>
      </c>
      <c r="R3911">
        <f>K3911-G3911*H3911/k_n</f>
        <v/>
      </c>
      <c r="S3911">
        <f>L3911-LTP3!$D$3*G3911/k_n</f>
        <v/>
      </c>
      <c r="T3911">
        <f>M3911-LTP3!$D$3*H3911/k_n</f>
        <v/>
      </c>
      <c r="U3911">
        <f>N3911-G3911*LTP3!$D$4/k_n</f>
        <v/>
      </c>
      <c r="V3911">
        <f>O3911-H3911*LTP3!$D$4/k_n</f>
        <v/>
      </c>
      <c r="W3911">
        <f>((LTP3!$D$5)*((P3911)*(Q3911)-(R3911)*(R3911))-(S3911)*((S3911)*(Q3911)-(R3911)*(T3911))+(T3911)*((S3911)*(R3911)-(P3911)*(T3911)))</f>
        <v/>
      </c>
      <c r="X3911">
        <f>IF(ABS(W3911)&gt;1E-12,((LTP3!$D$6)*((P3911)*(Q3911)-(R3911)*(R3911))-(S3911)*((U3911)*(Q3911)-(R3911)*(V3911))+(T3911)*((U3911)*(R3911)-(P3911)*(V3911)))/W3911,0)</f>
        <v/>
      </c>
      <c r="Y3911">
        <f>IF(ABS(W3911)&gt;1E-12,((LTP3!$D$5)*((U3911)*(Q3911)-(R3911)*(V3911))-(LTP3!$D$6)*((S3911)*(Q3911)-(R3911)*(T3911))+(T3911)*((S3911)*(V3911)-(U3911)*(T3911)))/W3911,0)</f>
        <v/>
      </c>
      <c r="Z3911">
        <f>IF(ABS(W3911)&gt;1E-12,((LTP3!$D$5)*((P3911)*(V3911)-(U3911)*(R3911))-(S3911)*((S3911)*(V3911)-(U3911)*(T3911))+(LTP3!$D$6)*((S3911)*(R3911)-(P3911)*(T3911)))/W3911,0)</f>
        <v/>
      </c>
      <c r="AA3911">
        <f>LTP3!$D$7-X3911*LTP3!$D$6-Y3911*U3911-Z3911*V3911</f>
        <v/>
      </c>
      <c r="AB3911">
        <f>IF(AND(F3911,ABS(W3911)&gt;1E-12,Y3911&gt;0,Z3911&gt;0),AA3911,1E+300)</f>
        <v/>
      </c>
    </row>
    <row r="3912">
      <c r="A3912">
        <f>$I$3-$B$5+$B$5*8/10</f>
        <v/>
      </c>
      <c r="B3912">
        <f>$J$3-$B$5+$B$5*8/10</f>
        <v/>
      </c>
      <c r="C3912">
        <f>SUMPRODUCT(Calc!$K$3:$K$22*(Calc!$G$3:$G$22&lt;=A3912))</f>
        <v/>
      </c>
      <c r="D3912">
        <f>SUMPRODUCT(Calc!$K$3:$K$22*(Calc!$G$3:$G$22&gt;A3912)*(Calc!$G$3:$G$22&lt;B3912))</f>
        <v/>
      </c>
      <c r="E3912">
        <f>SUMPRODUCT(Calc!$K$3:$K$22*(Calc!$G$3:$G$22&gt;=B3912))</f>
        <v/>
      </c>
      <c r="F3912">
        <f>AND(k_n&gt;=5,B3912&gt;A3912+1E-9,C3912&gt;=2,D3912&gt;=1,E3912&gt;=2)</f>
        <v/>
      </c>
      <c r="G3912">
        <f>SUMPRODUCT(Calc!$K$3:$K$22*(Calc!$G$3:$G$22&gt;A3912)*(Calc!$G$3:$G$22-A3912))</f>
        <v/>
      </c>
      <c r="H3912">
        <f>SUMPRODUCT(Calc!$K$3:$K$22*(Calc!$G$3:$G$22&gt;B3912)*(Calc!$G$3:$G$22-B3912))</f>
        <v/>
      </c>
      <c r="I3912">
        <f>SUMPRODUCT(Calc!$K$3:$K$22*(Calc!$G$3:$G$22&gt;A3912)*(Calc!$G$3:$G$22-A3912)^2)</f>
        <v/>
      </c>
      <c r="J3912">
        <f>SUMPRODUCT(Calc!$K$3:$K$22*(Calc!$G$3:$G$22&gt;B3912)*(Calc!$G$3:$G$22-B3912)^2)</f>
        <v/>
      </c>
      <c r="K3912">
        <f>SUMPRODUCT(Calc!$K$3:$K$22*(Calc!$G$3:$G$22&gt;A3912)*(Calc!$G$3:$G$22-A3912)*(Calc!$G$3:$G$22&gt;B3912)*(Calc!$G$3:$G$22-B3912))</f>
        <v/>
      </c>
      <c r="L3912">
        <f>SUMPRODUCT(Calc!$K$3:$K$22*(Calc!$G$3:$G$22&gt;A3912)*(Calc!$G$3:$G$22-A3912)*Calc!$G$3:$G$22)</f>
        <v/>
      </c>
      <c r="M3912">
        <f>SUMPRODUCT(Calc!$K$3:$K$22*(Calc!$G$3:$G$22&gt;B3912)*(Calc!$G$3:$G$22-B3912)*Calc!$G$3:$G$22)</f>
        <v/>
      </c>
      <c r="N3912">
        <f>SUMPRODUCT(Calc!$K$3:$K$22*(Calc!$G$3:$G$22&gt;A3912)*(Calc!$G$3:$G$22-A3912)*Calc!$I$3:$I$22)</f>
        <v/>
      </c>
      <c r="O3912">
        <f>SUMPRODUCT(Calc!$K$3:$K$22*(Calc!$G$3:$G$22&gt;B3912)*(Calc!$G$3:$G$22-B3912)*Calc!$I$3:$I$22)</f>
        <v/>
      </c>
      <c r="P3912">
        <f>I3912-G3912^2/k_n</f>
        <v/>
      </c>
      <c r="Q3912">
        <f>J3912-H3912^2/k_n</f>
        <v/>
      </c>
      <c r="R3912">
        <f>K3912-G3912*H3912/k_n</f>
        <v/>
      </c>
      <c r="S3912">
        <f>L3912-LTP3!$D$3*G3912/k_n</f>
        <v/>
      </c>
      <c r="T3912">
        <f>M3912-LTP3!$D$3*H3912/k_n</f>
        <v/>
      </c>
      <c r="U3912">
        <f>N3912-G3912*LTP3!$D$4/k_n</f>
        <v/>
      </c>
      <c r="V3912">
        <f>O3912-H3912*LTP3!$D$4/k_n</f>
        <v/>
      </c>
      <c r="W3912">
        <f>((LTP3!$D$5)*((P3912)*(Q3912)-(R3912)*(R3912))-(S3912)*((S3912)*(Q3912)-(R3912)*(T3912))+(T3912)*((S3912)*(R3912)-(P3912)*(T3912)))</f>
        <v/>
      </c>
      <c r="X3912">
        <f>IF(ABS(W3912)&gt;1E-12,((LTP3!$D$6)*((P3912)*(Q3912)-(R3912)*(R3912))-(S3912)*((U3912)*(Q3912)-(R3912)*(V3912))+(T3912)*((U3912)*(R3912)-(P3912)*(V3912)))/W3912,0)</f>
        <v/>
      </c>
      <c r="Y3912">
        <f>IF(ABS(W3912)&gt;1E-12,((LTP3!$D$5)*((U3912)*(Q3912)-(R3912)*(V3912))-(LTP3!$D$6)*((S3912)*(Q3912)-(R3912)*(T3912))+(T3912)*((S3912)*(V3912)-(U3912)*(T3912)))/W3912,0)</f>
        <v/>
      </c>
      <c r="Z3912">
        <f>IF(ABS(W3912)&gt;1E-12,((LTP3!$D$5)*((P3912)*(V3912)-(U3912)*(R3912))-(S3912)*((S3912)*(V3912)-(U3912)*(T3912))+(LTP3!$D$6)*((S3912)*(R3912)-(P3912)*(T3912)))/W3912,0)</f>
        <v/>
      </c>
      <c r="AA3912">
        <f>LTP3!$D$7-X3912*LTP3!$D$6-Y3912*U3912-Z3912*V3912</f>
        <v/>
      </c>
      <c r="AB3912">
        <f>IF(AND(F3912,ABS(W3912)&gt;1E-12,Y3912&gt;0,Z3912&gt;0),AA3912,1E+300)</f>
        <v/>
      </c>
    </row>
    <row r="3913">
      <c r="A3913">
        <f>$I$3-$B$5+$B$5*8/10</f>
        <v/>
      </c>
      <c r="B3913">
        <f>$J$3-$B$5+$B$5*9/10</f>
        <v/>
      </c>
      <c r="C3913">
        <f>SUMPRODUCT(Calc!$K$3:$K$22*(Calc!$G$3:$G$22&lt;=A3913))</f>
        <v/>
      </c>
      <c r="D3913">
        <f>SUMPRODUCT(Calc!$K$3:$K$22*(Calc!$G$3:$G$22&gt;A3913)*(Calc!$G$3:$G$22&lt;B3913))</f>
        <v/>
      </c>
      <c r="E3913">
        <f>SUMPRODUCT(Calc!$K$3:$K$22*(Calc!$G$3:$G$22&gt;=B3913))</f>
        <v/>
      </c>
      <c r="F3913">
        <f>AND(k_n&gt;=5,B3913&gt;A3913+1E-9,C3913&gt;=2,D3913&gt;=1,E3913&gt;=2)</f>
        <v/>
      </c>
      <c r="G3913">
        <f>SUMPRODUCT(Calc!$K$3:$K$22*(Calc!$G$3:$G$22&gt;A3913)*(Calc!$G$3:$G$22-A3913))</f>
        <v/>
      </c>
      <c r="H3913">
        <f>SUMPRODUCT(Calc!$K$3:$K$22*(Calc!$G$3:$G$22&gt;B3913)*(Calc!$G$3:$G$22-B3913))</f>
        <v/>
      </c>
      <c r="I3913">
        <f>SUMPRODUCT(Calc!$K$3:$K$22*(Calc!$G$3:$G$22&gt;A3913)*(Calc!$G$3:$G$22-A3913)^2)</f>
        <v/>
      </c>
      <c r="J3913">
        <f>SUMPRODUCT(Calc!$K$3:$K$22*(Calc!$G$3:$G$22&gt;B3913)*(Calc!$G$3:$G$22-B3913)^2)</f>
        <v/>
      </c>
      <c r="K3913">
        <f>SUMPRODUCT(Calc!$K$3:$K$22*(Calc!$G$3:$G$22&gt;A3913)*(Calc!$G$3:$G$22-A3913)*(Calc!$G$3:$G$22&gt;B3913)*(Calc!$G$3:$G$22-B3913))</f>
        <v/>
      </c>
      <c r="L3913">
        <f>SUMPRODUCT(Calc!$K$3:$K$22*(Calc!$G$3:$G$22&gt;A3913)*(Calc!$G$3:$G$22-A3913)*Calc!$G$3:$G$22)</f>
        <v/>
      </c>
      <c r="M3913">
        <f>SUMPRODUCT(Calc!$K$3:$K$22*(Calc!$G$3:$G$22&gt;B3913)*(Calc!$G$3:$G$22-B3913)*Calc!$G$3:$G$22)</f>
        <v/>
      </c>
      <c r="N3913">
        <f>SUMPRODUCT(Calc!$K$3:$K$22*(Calc!$G$3:$G$22&gt;A3913)*(Calc!$G$3:$G$22-A3913)*Calc!$I$3:$I$22)</f>
        <v/>
      </c>
      <c r="O3913">
        <f>SUMPRODUCT(Calc!$K$3:$K$22*(Calc!$G$3:$G$22&gt;B3913)*(Calc!$G$3:$G$22-B3913)*Calc!$I$3:$I$22)</f>
        <v/>
      </c>
      <c r="P3913">
        <f>I3913-G3913^2/k_n</f>
        <v/>
      </c>
      <c r="Q3913">
        <f>J3913-H3913^2/k_n</f>
        <v/>
      </c>
      <c r="R3913">
        <f>K3913-G3913*H3913/k_n</f>
        <v/>
      </c>
      <c r="S3913">
        <f>L3913-LTP3!$D$3*G3913/k_n</f>
        <v/>
      </c>
      <c r="T3913">
        <f>M3913-LTP3!$D$3*H3913/k_n</f>
        <v/>
      </c>
      <c r="U3913">
        <f>N3913-G3913*LTP3!$D$4/k_n</f>
        <v/>
      </c>
      <c r="V3913">
        <f>O3913-H3913*LTP3!$D$4/k_n</f>
        <v/>
      </c>
      <c r="W3913">
        <f>((LTP3!$D$5)*((P3913)*(Q3913)-(R3913)*(R3913))-(S3913)*((S3913)*(Q3913)-(R3913)*(T3913))+(T3913)*((S3913)*(R3913)-(P3913)*(T3913)))</f>
        <v/>
      </c>
      <c r="X3913">
        <f>IF(ABS(W3913)&gt;1E-12,((LTP3!$D$6)*((P3913)*(Q3913)-(R3913)*(R3913))-(S3913)*((U3913)*(Q3913)-(R3913)*(V3913))+(T3913)*((U3913)*(R3913)-(P3913)*(V3913)))/W3913,0)</f>
        <v/>
      </c>
      <c r="Y3913">
        <f>IF(ABS(W3913)&gt;1E-12,((LTP3!$D$5)*((U3913)*(Q3913)-(R3913)*(V3913))-(LTP3!$D$6)*((S3913)*(Q3913)-(R3913)*(T3913))+(T3913)*((S3913)*(V3913)-(U3913)*(T3913)))/W3913,0)</f>
        <v/>
      </c>
      <c r="Z3913">
        <f>IF(ABS(W3913)&gt;1E-12,((LTP3!$D$5)*((P3913)*(V3913)-(U3913)*(R3913))-(S3913)*((S3913)*(V3913)-(U3913)*(T3913))+(LTP3!$D$6)*((S3913)*(R3913)-(P3913)*(T3913)))/W3913,0)</f>
        <v/>
      </c>
      <c r="AA3913">
        <f>LTP3!$D$7-X3913*LTP3!$D$6-Y3913*U3913-Z3913*V3913</f>
        <v/>
      </c>
      <c r="AB3913">
        <f>IF(AND(F3913,ABS(W3913)&gt;1E-12,Y3913&gt;0,Z3913&gt;0),AA3913,1E+300)</f>
        <v/>
      </c>
    </row>
    <row r="3914">
      <c r="A3914">
        <f>$I$3-$B$5+$B$5*8/10</f>
        <v/>
      </c>
      <c r="B3914">
        <f>$J$3-$B$5+$B$5*10/10</f>
        <v/>
      </c>
      <c r="C3914">
        <f>SUMPRODUCT(Calc!$K$3:$K$22*(Calc!$G$3:$G$22&lt;=A3914))</f>
        <v/>
      </c>
      <c r="D3914">
        <f>SUMPRODUCT(Calc!$K$3:$K$22*(Calc!$G$3:$G$22&gt;A3914)*(Calc!$G$3:$G$22&lt;B3914))</f>
        <v/>
      </c>
      <c r="E3914">
        <f>SUMPRODUCT(Calc!$K$3:$K$22*(Calc!$G$3:$G$22&gt;=B3914))</f>
        <v/>
      </c>
      <c r="F3914">
        <f>AND(k_n&gt;=5,B3914&gt;A3914+1E-9,C3914&gt;=2,D3914&gt;=1,E3914&gt;=2)</f>
        <v/>
      </c>
      <c r="G3914">
        <f>SUMPRODUCT(Calc!$K$3:$K$22*(Calc!$G$3:$G$22&gt;A3914)*(Calc!$G$3:$G$22-A3914))</f>
        <v/>
      </c>
      <c r="H3914">
        <f>SUMPRODUCT(Calc!$K$3:$K$22*(Calc!$G$3:$G$22&gt;B3914)*(Calc!$G$3:$G$22-B3914))</f>
        <v/>
      </c>
      <c r="I3914">
        <f>SUMPRODUCT(Calc!$K$3:$K$22*(Calc!$G$3:$G$22&gt;A3914)*(Calc!$G$3:$G$22-A3914)^2)</f>
        <v/>
      </c>
      <c r="J3914">
        <f>SUMPRODUCT(Calc!$K$3:$K$22*(Calc!$G$3:$G$22&gt;B3914)*(Calc!$G$3:$G$22-B3914)^2)</f>
        <v/>
      </c>
      <c r="K3914">
        <f>SUMPRODUCT(Calc!$K$3:$K$22*(Calc!$G$3:$G$22&gt;A3914)*(Calc!$G$3:$G$22-A3914)*(Calc!$G$3:$G$22&gt;B3914)*(Calc!$G$3:$G$22-B3914))</f>
        <v/>
      </c>
      <c r="L3914">
        <f>SUMPRODUCT(Calc!$K$3:$K$22*(Calc!$G$3:$G$22&gt;A3914)*(Calc!$G$3:$G$22-A3914)*Calc!$G$3:$G$22)</f>
        <v/>
      </c>
      <c r="M3914">
        <f>SUMPRODUCT(Calc!$K$3:$K$22*(Calc!$G$3:$G$22&gt;B3914)*(Calc!$G$3:$G$22-B3914)*Calc!$G$3:$G$22)</f>
        <v/>
      </c>
      <c r="N3914">
        <f>SUMPRODUCT(Calc!$K$3:$K$22*(Calc!$G$3:$G$22&gt;A3914)*(Calc!$G$3:$G$22-A3914)*Calc!$I$3:$I$22)</f>
        <v/>
      </c>
      <c r="O3914">
        <f>SUMPRODUCT(Calc!$K$3:$K$22*(Calc!$G$3:$G$22&gt;B3914)*(Calc!$G$3:$G$22-B3914)*Calc!$I$3:$I$22)</f>
        <v/>
      </c>
      <c r="P3914">
        <f>I3914-G3914^2/k_n</f>
        <v/>
      </c>
      <c r="Q3914">
        <f>J3914-H3914^2/k_n</f>
        <v/>
      </c>
      <c r="R3914">
        <f>K3914-G3914*H3914/k_n</f>
        <v/>
      </c>
      <c r="S3914">
        <f>L3914-LTP3!$D$3*G3914/k_n</f>
        <v/>
      </c>
      <c r="T3914">
        <f>M3914-LTP3!$D$3*H3914/k_n</f>
        <v/>
      </c>
      <c r="U3914">
        <f>N3914-G3914*LTP3!$D$4/k_n</f>
        <v/>
      </c>
      <c r="V3914">
        <f>O3914-H3914*LTP3!$D$4/k_n</f>
        <v/>
      </c>
      <c r="W3914">
        <f>((LTP3!$D$5)*((P3914)*(Q3914)-(R3914)*(R3914))-(S3914)*((S3914)*(Q3914)-(R3914)*(T3914))+(T3914)*((S3914)*(R3914)-(P3914)*(T3914)))</f>
        <v/>
      </c>
      <c r="X3914">
        <f>IF(ABS(W3914)&gt;1E-12,((LTP3!$D$6)*((P3914)*(Q3914)-(R3914)*(R3914))-(S3914)*((U3914)*(Q3914)-(R3914)*(V3914))+(T3914)*((U3914)*(R3914)-(P3914)*(V3914)))/W3914,0)</f>
        <v/>
      </c>
      <c r="Y3914">
        <f>IF(ABS(W3914)&gt;1E-12,((LTP3!$D$5)*((U3914)*(Q3914)-(R3914)*(V3914))-(LTP3!$D$6)*((S3914)*(Q3914)-(R3914)*(T3914))+(T3914)*((S3914)*(V3914)-(U3914)*(T3914)))/W3914,0)</f>
        <v/>
      </c>
      <c r="Z3914">
        <f>IF(ABS(W3914)&gt;1E-12,((LTP3!$D$5)*((P3914)*(V3914)-(U3914)*(R3914))-(S3914)*((S3914)*(V3914)-(U3914)*(T3914))+(LTP3!$D$6)*((S3914)*(R3914)-(P3914)*(T3914)))/W3914,0)</f>
        <v/>
      </c>
      <c r="AA3914">
        <f>LTP3!$D$7-X3914*LTP3!$D$6-Y3914*U3914-Z3914*V3914</f>
        <v/>
      </c>
      <c r="AB3914">
        <f>IF(AND(F3914,ABS(W3914)&gt;1E-12,Y3914&gt;0,Z3914&gt;0),AA3914,1E+300)</f>
        <v/>
      </c>
    </row>
    <row r="3915">
      <c r="A3915">
        <f>$I$3-$B$5+$B$5*8/10</f>
        <v/>
      </c>
      <c r="B3915">
        <f>$J$3-$B$5+$B$5*11/10</f>
        <v/>
      </c>
      <c r="C3915">
        <f>SUMPRODUCT(Calc!$K$3:$K$22*(Calc!$G$3:$G$22&lt;=A3915))</f>
        <v/>
      </c>
      <c r="D3915">
        <f>SUMPRODUCT(Calc!$K$3:$K$22*(Calc!$G$3:$G$22&gt;A3915)*(Calc!$G$3:$G$22&lt;B3915))</f>
        <v/>
      </c>
      <c r="E3915">
        <f>SUMPRODUCT(Calc!$K$3:$K$22*(Calc!$G$3:$G$22&gt;=B3915))</f>
        <v/>
      </c>
      <c r="F3915">
        <f>AND(k_n&gt;=5,B3915&gt;A3915+1E-9,C3915&gt;=2,D3915&gt;=1,E3915&gt;=2)</f>
        <v/>
      </c>
      <c r="G3915">
        <f>SUMPRODUCT(Calc!$K$3:$K$22*(Calc!$G$3:$G$22&gt;A3915)*(Calc!$G$3:$G$22-A3915))</f>
        <v/>
      </c>
      <c r="H3915">
        <f>SUMPRODUCT(Calc!$K$3:$K$22*(Calc!$G$3:$G$22&gt;B3915)*(Calc!$G$3:$G$22-B3915))</f>
        <v/>
      </c>
      <c r="I3915">
        <f>SUMPRODUCT(Calc!$K$3:$K$22*(Calc!$G$3:$G$22&gt;A3915)*(Calc!$G$3:$G$22-A3915)^2)</f>
        <v/>
      </c>
      <c r="J3915">
        <f>SUMPRODUCT(Calc!$K$3:$K$22*(Calc!$G$3:$G$22&gt;B3915)*(Calc!$G$3:$G$22-B3915)^2)</f>
        <v/>
      </c>
      <c r="K3915">
        <f>SUMPRODUCT(Calc!$K$3:$K$22*(Calc!$G$3:$G$22&gt;A3915)*(Calc!$G$3:$G$22-A3915)*(Calc!$G$3:$G$22&gt;B3915)*(Calc!$G$3:$G$22-B3915))</f>
        <v/>
      </c>
      <c r="L3915">
        <f>SUMPRODUCT(Calc!$K$3:$K$22*(Calc!$G$3:$G$22&gt;A3915)*(Calc!$G$3:$G$22-A3915)*Calc!$G$3:$G$22)</f>
        <v/>
      </c>
      <c r="M3915">
        <f>SUMPRODUCT(Calc!$K$3:$K$22*(Calc!$G$3:$G$22&gt;B3915)*(Calc!$G$3:$G$22-B3915)*Calc!$G$3:$G$22)</f>
        <v/>
      </c>
      <c r="N3915">
        <f>SUMPRODUCT(Calc!$K$3:$K$22*(Calc!$G$3:$G$22&gt;A3915)*(Calc!$G$3:$G$22-A3915)*Calc!$I$3:$I$22)</f>
        <v/>
      </c>
      <c r="O3915">
        <f>SUMPRODUCT(Calc!$K$3:$K$22*(Calc!$G$3:$G$22&gt;B3915)*(Calc!$G$3:$G$22-B3915)*Calc!$I$3:$I$22)</f>
        <v/>
      </c>
      <c r="P3915">
        <f>I3915-G3915^2/k_n</f>
        <v/>
      </c>
      <c r="Q3915">
        <f>J3915-H3915^2/k_n</f>
        <v/>
      </c>
      <c r="R3915">
        <f>K3915-G3915*H3915/k_n</f>
        <v/>
      </c>
      <c r="S3915">
        <f>L3915-LTP3!$D$3*G3915/k_n</f>
        <v/>
      </c>
      <c r="T3915">
        <f>M3915-LTP3!$D$3*H3915/k_n</f>
        <v/>
      </c>
      <c r="U3915">
        <f>N3915-G3915*LTP3!$D$4/k_n</f>
        <v/>
      </c>
      <c r="V3915">
        <f>O3915-H3915*LTP3!$D$4/k_n</f>
        <v/>
      </c>
      <c r="W3915">
        <f>((LTP3!$D$5)*((P3915)*(Q3915)-(R3915)*(R3915))-(S3915)*((S3915)*(Q3915)-(R3915)*(T3915))+(T3915)*((S3915)*(R3915)-(P3915)*(T3915)))</f>
        <v/>
      </c>
      <c r="X3915">
        <f>IF(ABS(W3915)&gt;1E-12,((LTP3!$D$6)*((P3915)*(Q3915)-(R3915)*(R3915))-(S3915)*((U3915)*(Q3915)-(R3915)*(V3915))+(T3915)*((U3915)*(R3915)-(P3915)*(V3915)))/W3915,0)</f>
        <v/>
      </c>
      <c r="Y3915">
        <f>IF(ABS(W3915)&gt;1E-12,((LTP3!$D$5)*((U3915)*(Q3915)-(R3915)*(V3915))-(LTP3!$D$6)*((S3915)*(Q3915)-(R3915)*(T3915))+(T3915)*((S3915)*(V3915)-(U3915)*(T3915)))/W3915,0)</f>
        <v/>
      </c>
      <c r="Z3915">
        <f>IF(ABS(W3915)&gt;1E-12,((LTP3!$D$5)*((P3915)*(V3915)-(U3915)*(R3915))-(S3915)*((S3915)*(V3915)-(U3915)*(T3915))+(LTP3!$D$6)*((S3915)*(R3915)-(P3915)*(T3915)))/W3915,0)</f>
        <v/>
      </c>
      <c r="AA3915">
        <f>LTP3!$D$7-X3915*LTP3!$D$6-Y3915*U3915-Z3915*V3915</f>
        <v/>
      </c>
      <c r="AB3915">
        <f>IF(AND(F3915,ABS(W3915)&gt;1E-12,Y3915&gt;0,Z3915&gt;0),AA3915,1E+300)</f>
        <v/>
      </c>
    </row>
    <row r="3916">
      <c r="A3916">
        <f>$I$3-$B$5+$B$5*8/10</f>
        <v/>
      </c>
      <c r="B3916">
        <f>$J$3-$B$5+$B$5*12/10</f>
        <v/>
      </c>
      <c r="C3916">
        <f>SUMPRODUCT(Calc!$K$3:$K$22*(Calc!$G$3:$G$22&lt;=A3916))</f>
        <v/>
      </c>
      <c r="D3916">
        <f>SUMPRODUCT(Calc!$K$3:$K$22*(Calc!$G$3:$G$22&gt;A3916)*(Calc!$G$3:$G$22&lt;B3916))</f>
        <v/>
      </c>
      <c r="E3916">
        <f>SUMPRODUCT(Calc!$K$3:$K$22*(Calc!$G$3:$G$22&gt;=B3916))</f>
        <v/>
      </c>
      <c r="F3916">
        <f>AND(k_n&gt;=5,B3916&gt;A3916+1E-9,C3916&gt;=2,D3916&gt;=1,E3916&gt;=2)</f>
        <v/>
      </c>
      <c r="G3916">
        <f>SUMPRODUCT(Calc!$K$3:$K$22*(Calc!$G$3:$G$22&gt;A3916)*(Calc!$G$3:$G$22-A3916))</f>
        <v/>
      </c>
      <c r="H3916">
        <f>SUMPRODUCT(Calc!$K$3:$K$22*(Calc!$G$3:$G$22&gt;B3916)*(Calc!$G$3:$G$22-B3916))</f>
        <v/>
      </c>
      <c r="I3916">
        <f>SUMPRODUCT(Calc!$K$3:$K$22*(Calc!$G$3:$G$22&gt;A3916)*(Calc!$G$3:$G$22-A3916)^2)</f>
        <v/>
      </c>
      <c r="J3916">
        <f>SUMPRODUCT(Calc!$K$3:$K$22*(Calc!$G$3:$G$22&gt;B3916)*(Calc!$G$3:$G$22-B3916)^2)</f>
        <v/>
      </c>
      <c r="K3916">
        <f>SUMPRODUCT(Calc!$K$3:$K$22*(Calc!$G$3:$G$22&gt;A3916)*(Calc!$G$3:$G$22-A3916)*(Calc!$G$3:$G$22&gt;B3916)*(Calc!$G$3:$G$22-B3916))</f>
        <v/>
      </c>
      <c r="L3916">
        <f>SUMPRODUCT(Calc!$K$3:$K$22*(Calc!$G$3:$G$22&gt;A3916)*(Calc!$G$3:$G$22-A3916)*Calc!$G$3:$G$22)</f>
        <v/>
      </c>
      <c r="M3916">
        <f>SUMPRODUCT(Calc!$K$3:$K$22*(Calc!$G$3:$G$22&gt;B3916)*(Calc!$G$3:$G$22-B3916)*Calc!$G$3:$G$22)</f>
        <v/>
      </c>
      <c r="N3916">
        <f>SUMPRODUCT(Calc!$K$3:$K$22*(Calc!$G$3:$G$22&gt;A3916)*(Calc!$G$3:$G$22-A3916)*Calc!$I$3:$I$22)</f>
        <v/>
      </c>
      <c r="O3916">
        <f>SUMPRODUCT(Calc!$K$3:$K$22*(Calc!$G$3:$G$22&gt;B3916)*(Calc!$G$3:$G$22-B3916)*Calc!$I$3:$I$22)</f>
        <v/>
      </c>
      <c r="P3916">
        <f>I3916-G3916^2/k_n</f>
        <v/>
      </c>
      <c r="Q3916">
        <f>J3916-H3916^2/k_n</f>
        <v/>
      </c>
      <c r="R3916">
        <f>K3916-G3916*H3916/k_n</f>
        <v/>
      </c>
      <c r="S3916">
        <f>L3916-LTP3!$D$3*G3916/k_n</f>
        <v/>
      </c>
      <c r="T3916">
        <f>M3916-LTP3!$D$3*H3916/k_n</f>
        <v/>
      </c>
      <c r="U3916">
        <f>N3916-G3916*LTP3!$D$4/k_n</f>
        <v/>
      </c>
      <c r="V3916">
        <f>O3916-H3916*LTP3!$D$4/k_n</f>
        <v/>
      </c>
      <c r="W3916">
        <f>((LTP3!$D$5)*((P3916)*(Q3916)-(R3916)*(R3916))-(S3916)*((S3916)*(Q3916)-(R3916)*(T3916))+(T3916)*((S3916)*(R3916)-(P3916)*(T3916)))</f>
        <v/>
      </c>
      <c r="X3916">
        <f>IF(ABS(W3916)&gt;1E-12,((LTP3!$D$6)*((P3916)*(Q3916)-(R3916)*(R3916))-(S3916)*((U3916)*(Q3916)-(R3916)*(V3916))+(T3916)*((U3916)*(R3916)-(P3916)*(V3916)))/W3916,0)</f>
        <v/>
      </c>
      <c r="Y3916">
        <f>IF(ABS(W3916)&gt;1E-12,((LTP3!$D$5)*((U3916)*(Q3916)-(R3916)*(V3916))-(LTP3!$D$6)*((S3916)*(Q3916)-(R3916)*(T3916))+(T3916)*((S3916)*(V3916)-(U3916)*(T3916)))/W3916,0)</f>
        <v/>
      </c>
      <c r="Z3916">
        <f>IF(ABS(W3916)&gt;1E-12,((LTP3!$D$5)*((P3916)*(V3916)-(U3916)*(R3916))-(S3916)*((S3916)*(V3916)-(U3916)*(T3916))+(LTP3!$D$6)*((S3916)*(R3916)-(P3916)*(T3916)))/W3916,0)</f>
        <v/>
      </c>
      <c r="AA3916">
        <f>LTP3!$D$7-X3916*LTP3!$D$6-Y3916*U3916-Z3916*V3916</f>
        <v/>
      </c>
      <c r="AB3916">
        <f>IF(AND(F3916,ABS(W3916)&gt;1E-12,Y3916&gt;0,Z3916&gt;0),AA3916,1E+300)</f>
        <v/>
      </c>
    </row>
    <row r="3917">
      <c r="A3917">
        <f>$I$3-$B$5+$B$5*8/10</f>
        <v/>
      </c>
      <c r="B3917">
        <f>$J$3-$B$5+$B$5*13/10</f>
        <v/>
      </c>
      <c r="C3917">
        <f>SUMPRODUCT(Calc!$K$3:$K$22*(Calc!$G$3:$G$22&lt;=A3917))</f>
        <v/>
      </c>
      <c r="D3917">
        <f>SUMPRODUCT(Calc!$K$3:$K$22*(Calc!$G$3:$G$22&gt;A3917)*(Calc!$G$3:$G$22&lt;B3917))</f>
        <v/>
      </c>
      <c r="E3917">
        <f>SUMPRODUCT(Calc!$K$3:$K$22*(Calc!$G$3:$G$22&gt;=B3917))</f>
        <v/>
      </c>
      <c r="F3917">
        <f>AND(k_n&gt;=5,B3917&gt;A3917+1E-9,C3917&gt;=2,D3917&gt;=1,E3917&gt;=2)</f>
        <v/>
      </c>
      <c r="G3917">
        <f>SUMPRODUCT(Calc!$K$3:$K$22*(Calc!$G$3:$G$22&gt;A3917)*(Calc!$G$3:$G$22-A3917))</f>
        <v/>
      </c>
      <c r="H3917">
        <f>SUMPRODUCT(Calc!$K$3:$K$22*(Calc!$G$3:$G$22&gt;B3917)*(Calc!$G$3:$G$22-B3917))</f>
        <v/>
      </c>
      <c r="I3917">
        <f>SUMPRODUCT(Calc!$K$3:$K$22*(Calc!$G$3:$G$22&gt;A3917)*(Calc!$G$3:$G$22-A3917)^2)</f>
        <v/>
      </c>
      <c r="J3917">
        <f>SUMPRODUCT(Calc!$K$3:$K$22*(Calc!$G$3:$G$22&gt;B3917)*(Calc!$G$3:$G$22-B3917)^2)</f>
        <v/>
      </c>
      <c r="K3917">
        <f>SUMPRODUCT(Calc!$K$3:$K$22*(Calc!$G$3:$G$22&gt;A3917)*(Calc!$G$3:$G$22-A3917)*(Calc!$G$3:$G$22&gt;B3917)*(Calc!$G$3:$G$22-B3917))</f>
        <v/>
      </c>
      <c r="L3917">
        <f>SUMPRODUCT(Calc!$K$3:$K$22*(Calc!$G$3:$G$22&gt;A3917)*(Calc!$G$3:$G$22-A3917)*Calc!$G$3:$G$22)</f>
        <v/>
      </c>
      <c r="M3917">
        <f>SUMPRODUCT(Calc!$K$3:$K$22*(Calc!$G$3:$G$22&gt;B3917)*(Calc!$G$3:$G$22-B3917)*Calc!$G$3:$G$22)</f>
        <v/>
      </c>
      <c r="N3917">
        <f>SUMPRODUCT(Calc!$K$3:$K$22*(Calc!$G$3:$G$22&gt;A3917)*(Calc!$G$3:$G$22-A3917)*Calc!$I$3:$I$22)</f>
        <v/>
      </c>
      <c r="O3917">
        <f>SUMPRODUCT(Calc!$K$3:$K$22*(Calc!$G$3:$G$22&gt;B3917)*(Calc!$G$3:$G$22-B3917)*Calc!$I$3:$I$22)</f>
        <v/>
      </c>
      <c r="P3917">
        <f>I3917-G3917^2/k_n</f>
        <v/>
      </c>
      <c r="Q3917">
        <f>J3917-H3917^2/k_n</f>
        <v/>
      </c>
      <c r="R3917">
        <f>K3917-G3917*H3917/k_n</f>
        <v/>
      </c>
      <c r="S3917">
        <f>L3917-LTP3!$D$3*G3917/k_n</f>
        <v/>
      </c>
      <c r="T3917">
        <f>M3917-LTP3!$D$3*H3917/k_n</f>
        <v/>
      </c>
      <c r="U3917">
        <f>N3917-G3917*LTP3!$D$4/k_n</f>
        <v/>
      </c>
      <c r="V3917">
        <f>O3917-H3917*LTP3!$D$4/k_n</f>
        <v/>
      </c>
      <c r="W3917">
        <f>((LTP3!$D$5)*((P3917)*(Q3917)-(R3917)*(R3917))-(S3917)*((S3917)*(Q3917)-(R3917)*(T3917))+(T3917)*((S3917)*(R3917)-(P3917)*(T3917)))</f>
        <v/>
      </c>
      <c r="X3917">
        <f>IF(ABS(W3917)&gt;1E-12,((LTP3!$D$6)*((P3917)*(Q3917)-(R3917)*(R3917))-(S3917)*((U3917)*(Q3917)-(R3917)*(V3917))+(T3917)*((U3917)*(R3917)-(P3917)*(V3917)))/W3917,0)</f>
        <v/>
      </c>
      <c r="Y3917">
        <f>IF(ABS(W3917)&gt;1E-12,((LTP3!$D$5)*((U3917)*(Q3917)-(R3917)*(V3917))-(LTP3!$D$6)*((S3917)*(Q3917)-(R3917)*(T3917))+(T3917)*((S3917)*(V3917)-(U3917)*(T3917)))/W3917,0)</f>
        <v/>
      </c>
      <c r="Z3917">
        <f>IF(ABS(W3917)&gt;1E-12,((LTP3!$D$5)*((P3917)*(V3917)-(U3917)*(R3917))-(S3917)*((S3917)*(V3917)-(U3917)*(T3917))+(LTP3!$D$6)*((S3917)*(R3917)-(P3917)*(T3917)))/W3917,0)</f>
        <v/>
      </c>
      <c r="AA3917">
        <f>LTP3!$D$7-X3917*LTP3!$D$6-Y3917*U3917-Z3917*V3917</f>
        <v/>
      </c>
      <c r="AB3917">
        <f>IF(AND(F3917,ABS(W3917)&gt;1E-12,Y3917&gt;0,Z3917&gt;0),AA3917,1E+300)</f>
        <v/>
      </c>
    </row>
    <row r="3918">
      <c r="A3918">
        <f>$I$3-$B$5+$B$5*8/10</f>
        <v/>
      </c>
      <c r="B3918">
        <f>$J$3-$B$5+$B$5*14/10</f>
        <v/>
      </c>
      <c r="C3918">
        <f>SUMPRODUCT(Calc!$K$3:$K$22*(Calc!$G$3:$G$22&lt;=A3918))</f>
        <v/>
      </c>
      <c r="D3918">
        <f>SUMPRODUCT(Calc!$K$3:$K$22*(Calc!$G$3:$G$22&gt;A3918)*(Calc!$G$3:$G$22&lt;B3918))</f>
        <v/>
      </c>
      <c r="E3918">
        <f>SUMPRODUCT(Calc!$K$3:$K$22*(Calc!$G$3:$G$22&gt;=B3918))</f>
        <v/>
      </c>
      <c r="F3918">
        <f>AND(k_n&gt;=5,B3918&gt;A3918+1E-9,C3918&gt;=2,D3918&gt;=1,E3918&gt;=2)</f>
        <v/>
      </c>
      <c r="G3918">
        <f>SUMPRODUCT(Calc!$K$3:$K$22*(Calc!$G$3:$G$22&gt;A3918)*(Calc!$G$3:$G$22-A3918))</f>
        <v/>
      </c>
      <c r="H3918">
        <f>SUMPRODUCT(Calc!$K$3:$K$22*(Calc!$G$3:$G$22&gt;B3918)*(Calc!$G$3:$G$22-B3918))</f>
        <v/>
      </c>
      <c r="I3918">
        <f>SUMPRODUCT(Calc!$K$3:$K$22*(Calc!$G$3:$G$22&gt;A3918)*(Calc!$G$3:$G$22-A3918)^2)</f>
        <v/>
      </c>
      <c r="J3918">
        <f>SUMPRODUCT(Calc!$K$3:$K$22*(Calc!$G$3:$G$22&gt;B3918)*(Calc!$G$3:$G$22-B3918)^2)</f>
        <v/>
      </c>
      <c r="K3918">
        <f>SUMPRODUCT(Calc!$K$3:$K$22*(Calc!$G$3:$G$22&gt;A3918)*(Calc!$G$3:$G$22-A3918)*(Calc!$G$3:$G$22&gt;B3918)*(Calc!$G$3:$G$22-B3918))</f>
        <v/>
      </c>
      <c r="L3918">
        <f>SUMPRODUCT(Calc!$K$3:$K$22*(Calc!$G$3:$G$22&gt;A3918)*(Calc!$G$3:$G$22-A3918)*Calc!$G$3:$G$22)</f>
        <v/>
      </c>
      <c r="M3918">
        <f>SUMPRODUCT(Calc!$K$3:$K$22*(Calc!$G$3:$G$22&gt;B3918)*(Calc!$G$3:$G$22-B3918)*Calc!$G$3:$G$22)</f>
        <v/>
      </c>
      <c r="N3918">
        <f>SUMPRODUCT(Calc!$K$3:$K$22*(Calc!$G$3:$G$22&gt;A3918)*(Calc!$G$3:$G$22-A3918)*Calc!$I$3:$I$22)</f>
        <v/>
      </c>
      <c r="O3918">
        <f>SUMPRODUCT(Calc!$K$3:$K$22*(Calc!$G$3:$G$22&gt;B3918)*(Calc!$G$3:$G$22-B3918)*Calc!$I$3:$I$22)</f>
        <v/>
      </c>
      <c r="P3918">
        <f>I3918-G3918^2/k_n</f>
        <v/>
      </c>
      <c r="Q3918">
        <f>J3918-H3918^2/k_n</f>
        <v/>
      </c>
      <c r="R3918">
        <f>K3918-G3918*H3918/k_n</f>
        <v/>
      </c>
      <c r="S3918">
        <f>L3918-LTP3!$D$3*G3918/k_n</f>
        <v/>
      </c>
      <c r="T3918">
        <f>M3918-LTP3!$D$3*H3918/k_n</f>
        <v/>
      </c>
      <c r="U3918">
        <f>N3918-G3918*LTP3!$D$4/k_n</f>
        <v/>
      </c>
      <c r="V3918">
        <f>O3918-H3918*LTP3!$D$4/k_n</f>
        <v/>
      </c>
      <c r="W3918">
        <f>((LTP3!$D$5)*((P3918)*(Q3918)-(R3918)*(R3918))-(S3918)*((S3918)*(Q3918)-(R3918)*(T3918))+(T3918)*((S3918)*(R3918)-(P3918)*(T3918)))</f>
        <v/>
      </c>
      <c r="X3918">
        <f>IF(ABS(W3918)&gt;1E-12,((LTP3!$D$6)*((P3918)*(Q3918)-(R3918)*(R3918))-(S3918)*((U3918)*(Q3918)-(R3918)*(V3918))+(T3918)*((U3918)*(R3918)-(P3918)*(V3918)))/W3918,0)</f>
        <v/>
      </c>
      <c r="Y3918">
        <f>IF(ABS(W3918)&gt;1E-12,((LTP3!$D$5)*((U3918)*(Q3918)-(R3918)*(V3918))-(LTP3!$D$6)*((S3918)*(Q3918)-(R3918)*(T3918))+(T3918)*((S3918)*(V3918)-(U3918)*(T3918)))/W3918,0)</f>
        <v/>
      </c>
      <c r="Z3918">
        <f>IF(ABS(W3918)&gt;1E-12,((LTP3!$D$5)*((P3918)*(V3918)-(U3918)*(R3918))-(S3918)*((S3918)*(V3918)-(U3918)*(T3918))+(LTP3!$D$6)*((S3918)*(R3918)-(P3918)*(T3918)))/W3918,0)</f>
        <v/>
      </c>
      <c r="AA3918">
        <f>LTP3!$D$7-X3918*LTP3!$D$6-Y3918*U3918-Z3918*V3918</f>
        <v/>
      </c>
      <c r="AB3918">
        <f>IF(AND(F3918,ABS(W3918)&gt;1E-12,Y3918&gt;0,Z3918&gt;0),AA3918,1E+300)</f>
        <v/>
      </c>
    </row>
    <row r="3919">
      <c r="A3919">
        <f>$I$3-$B$5+$B$5*8/10</f>
        <v/>
      </c>
      <c r="B3919">
        <f>$J$3-$B$5+$B$5*15/10</f>
        <v/>
      </c>
      <c r="C3919">
        <f>SUMPRODUCT(Calc!$K$3:$K$22*(Calc!$G$3:$G$22&lt;=A3919))</f>
        <v/>
      </c>
      <c r="D3919">
        <f>SUMPRODUCT(Calc!$K$3:$K$22*(Calc!$G$3:$G$22&gt;A3919)*(Calc!$G$3:$G$22&lt;B3919))</f>
        <v/>
      </c>
      <c r="E3919">
        <f>SUMPRODUCT(Calc!$K$3:$K$22*(Calc!$G$3:$G$22&gt;=B3919))</f>
        <v/>
      </c>
      <c r="F3919">
        <f>AND(k_n&gt;=5,B3919&gt;A3919+1E-9,C3919&gt;=2,D3919&gt;=1,E3919&gt;=2)</f>
        <v/>
      </c>
      <c r="G3919">
        <f>SUMPRODUCT(Calc!$K$3:$K$22*(Calc!$G$3:$G$22&gt;A3919)*(Calc!$G$3:$G$22-A3919))</f>
        <v/>
      </c>
      <c r="H3919">
        <f>SUMPRODUCT(Calc!$K$3:$K$22*(Calc!$G$3:$G$22&gt;B3919)*(Calc!$G$3:$G$22-B3919))</f>
        <v/>
      </c>
      <c r="I3919">
        <f>SUMPRODUCT(Calc!$K$3:$K$22*(Calc!$G$3:$G$22&gt;A3919)*(Calc!$G$3:$G$22-A3919)^2)</f>
        <v/>
      </c>
      <c r="J3919">
        <f>SUMPRODUCT(Calc!$K$3:$K$22*(Calc!$G$3:$G$22&gt;B3919)*(Calc!$G$3:$G$22-B3919)^2)</f>
        <v/>
      </c>
      <c r="K3919">
        <f>SUMPRODUCT(Calc!$K$3:$K$22*(Calc!$G$3:$G$22&gt;A3919)*(Calc!$G$3:$G$22-A3919)*(Calc!$G$3:$G$22&gt;B3919)*(Calc!$G$3:$G$22-B3919))</f>
        <v/>
      </c>
      <c r="L3919">
        <f>SUMPRODUCT(Calc!$K$3:$K$22*(Calc!$G$3:$G$22&gt;A3919)*(Calc!$G$3:$G$22-A3919)*Calc!$G$3:$G$22)</f>
        <v/>
      </c>
      <c r="M3919">
        <f>SUMPRODUCT(Calc!$K$3:$K$22*(Calc!$G$3:$G$22&gt;B3919)*(Calc!$G$3:$G$22-B3919)*Calc!$G$3:$G$22)</f>
        <v/>
      </c>
      <c r="N3919">
        <f>SUMPRODUCT(Calc!$K$3:$K$22*(Calc!$G$3:$G$22&gt;A3919)*(Calc!$G$3:$G$22-A3919)*Calc!$I$3:$I$22)</f>
        <v/>
      </c>
      <c r="O3919">
        <f>SUMPRODUCT(Calc!$K$3:$K$22*(Calc!$G$3:$G$22&gt;B3919)*(Calc!$G$3:$G$22-B3919)*Calc!$I$3:$I$22)</f>
        <v/>
      </c>
      <c r="P3919">
        <f>I3919-G3919^2/k_n</f>
        <v/>
      </c>
      <c r="Q3919">
        <f>J3919-H3919^2/k_n</f>
        <v/>
      </c>
      <c r="R3919">
        <f>K3919-G3919*H3919/k_n</f>
        <v/>
      </c>
      <c r="S3919">
        <f>L3919-LTP3!$D$3*G3919/k_n</f>
        <v/>
      </c>
      <c r="T3919">
        <f>M3919-LTP3!$D$3*H3919/k_n</f>
        <v/>
      </c>
      <c r="U3919">
        <f>N3919-G3919*LTP3!$D$4/k_n</f>
        <v/>
      </c>
      <c r="V3919">
        <f>O3919-H3919*LTP3!$D$4/k_n</f>
        <v/>
      </c>
      <c r="W3919">
        <f>((LTP3!$D$5)*((P3919)*(Q3919)-(R3919)*(R3919))-(S3919)*((S3919)*(Q3919)-(R3919)*(T3919))+(T3919)*((S3919)*(R3919)-(P3919)*(T3919)))</f>
        <v/>
      </c>
      <c r="X3919">
        <f>IF(ABS(W3919)&gt;1E-12,((LTP3!$D$6)*((P3919)*(Q3919)-(R3919)*(R3919))-(S3919)*((U3919)*(Q3919)-(R3919)*(V3919))+(T3919)*((U3919)*(R3919)-(P3919)*(V3919)))/W3919,0)</f>
        <v/>
      </c>
      <c r="Y3919">
        <f>IF(ABS(W3919)&gt;1E-12,((LTP3!$D$5)*((U3919)*(Q3919)-(R3919)*(V3919))-(LTP3!$D$6)*((S3919)*(Q3919)-(R3919)*(T3919))+(T3919)*((S3919)*(V3919)-(U3919)*(T3919)))/W3919,0)</f>
        <v/>
      </c>
      <c r="Z3919">
        <f>IF(ABS(W3919)&gt;1E-12,((LTP3!$D$5)*((P3919)*(V3919)-(U3919)*(R3919))-(S3919)*((S3919)*(V3919)-(U3919)*(T3919))+(LTP3!$D$6)*((S3919)*(R3919)-(P3919)*(T3919)))/W3919,0)</f>
        <v/>
      </c>
      <c r="AA3919">
        <f>LTP3!$D$7-X3919*LTP3!$D$6-Y3919*U3919-Z3919*V3919</f>
        <v/>
      </c>
      <c r="AB3919">
        <f>IF(AND(F3919,ABS(W3919)&gt;1E-12,Y3919&gt;0,Z3919&gt;0),AA3919,1E+300)</f>
        <v/>
      </c>
    </row>
    <row r="3920">
      <c r="A3920">
        <f>$I$3-$B$5+$B$5*8/10</f>
        <v/>
      </c>
      <c r="B3920">
        <f>$J$3-$B$5+$B$5*16/10</f>
        <v/>
      </c>
      <c r="C3920">
        <f>SUMPRODUCT(Calc!$K$3:$K$22*(Calc!$G$3:$G$22&lt;=A3920))</f>
        <v/>
      </c>
      <c r="D3920">
        <f>SUMPRODUCT(Calc!$K$3:$K$22*(Calc!$G$3:$G$22&gt;A3920)*(Calc!$G$3:$G$22&lt;B3920))</f>
        <v/>
      </c>
      <c r="E3920">
        <f>SUMPRODUCT(Calc!$K$3:$K$22*(Calc!$G$3:$G$22&gt;=B3920))</f>
        <v/>
      </c>
      <c r="F3920">
        <f>AND(k_n&gt;=5,B3920&gt;A3920+1E-9,C3920&gt;=2,D3920&gt;=1,E3920&gt;=2)</f>
        <v/>
      </c>
      <c r="G3920">
        <f>SUMPRODUCT(Calc!$K$3:$K$22*(Calc!$G$3:$G$22&gt;A3920)*(Calc!$G$3:$G$22-A3920))</f>
        <v/>
      </c>
      <c r="H3920">
        <f>SUMPRODUCT(Calc!$K$3:$K$22*(Calc!$G$3:$G$22&gt;B3920)*(Calc!$G$3:$G$22-B3920))</f>
        <v/>
      </c>
      <c r="I3920">
        <f>SUMPRODUCT(Calc!$K$3:$K$22*(Calc!$G$3:$G$22&gt;A3920)*(Calc!$G$3:$G$22-A3920)^2)</f>
        <v/>
      </c>
      <c r="J3920">
        <f>SUMPRODUCT(Calc!$K$3:$K$22*(Calc!$G$3:$G$22&gt;B3920)*(Calc!$G$3:$G$22-B3920)^2)</f>
        <v/>
      </c>
      <c r="K3920">
        <f>SUMPRODUCT(Calc!$K$3:$K$22*(Calc!$G$3:$G$22&gt;A3920)*(Calc!$G$3:$G$22-A3920)*(Calc!$G$3:$G$22&gt;B3920)*(Calc!$G$3:$G$22-B3920))</f>
        <v/>
      </c>
      <c r="L3920">
        <f>SUMPRODUCT(Calc!$K$3:$K$22*(Calc!$G$3:$G$22&gt;A3920)*(Calc!$G$3:$G$22-A3920)*Calc!$G$3:$G$22)</f>
        <v/>
      </c>
      <c r="M3920">
        <f>SUMPRODUCT(Calc!$K$3:$K$22*(Calc!$G$3:$G$22&gt;B3920)*(Calc!$G$3:$G$22-B3920)*Calc!$G$3:$G$22)</f>
        <v/>
      </c>
      <c r="N3920">
        <f>SUMPRODUCT(Calc!$K$3:$K$22*(Calc!$G$3:$G$22&gt;A3920)*(Calc!$G$3:$G$22-A3920)*Calc!$I$3:$I$22)</f>
        <v/>
      </c>
      <c r="O3920">
        <f>SUMPRODUCT(Calc!$K$3:$K$22*(Calc!$G$3:$G$22&gt;B3920)*(Calc!$G$3:$G$22-B3920)*Calc!$I$3:$I$22)</f>
        <v/>
      </c>
      <c r="P3920">
        <f>I3920-G3920^2/k_n</f>
        <v/>
      </c>
      <c r="Q3920">
        <f>J3920-H3920^2/k_n</f>
        <v/>
      </c>
      <c r="R3920">
        <f>K3920-G3920*H3920/k_n</f>
        <v/>
      </c>
      <c r="S3920">
        <f>L3920-LTP3!$D$3*G3920/k_n</f>
        <v/>
      </c>
      <c r="T3920">
        <f>M3920-LTP3!$D$3*H3920/k_n</f>
        <v/>
      </c>
      <c r="U3920">
        <f>N3920-G3920*LTP3!$D$4/k_n</f>
        <v/>
      </c>
      <c r="V3920">
        <f>O3920-H3920*LTP3!$D$4/k_n</f>
        <v/>
      </c>
      <c r="W3920">
        <f>((LTP3!$D$5)*((P3920)*(Q3920)-(R3920)*(R3920))-(S3920)*((S3920)*(Q3920)-(R3920)*(T3920))+(T3920)*((S3920)*(R3920)-(P3920)*(T3920)))</f>
        <v/>
      </c>
      <c r="X3920">
        <f>IF(ABS(W3920)&gt;1E-12,((LTP3!$D$6)*((P3920)*(Q3920)-(R3920)*(R3920))-(S3920)*((U3920)*(Q3920)-(R3920)*(V3920))+(T3920)*((U3920)*(R3920)-(P3920)*(V3920)))/W3920,0)</f>
        <v/>
      </c>
      <c r="Y3920">
        <f>IF(ABS(W3920)&gt;1E-12,((LTP3!$D$5)*((U3920)*(Q3920)-(R3920)*(V3920))-(LTP3!$D$6)*((S3920)*(Q3920)-(R3920)*(T3920))+(T3920)*((S3920)*(V3920)-(U3920)*(T3920)))/W3920,0)</f>
        <v/>
      </c>
      <c r="Z3920">
        <f>IF(ABS(W3920)&gt;1E-12,((LTP3!$D$5)*((P3920)*(V3920)-(U3920)*(R3920))-(S3920)*((S3920)*(V3920)-(U3920)*(T3920))+(LTP3!$D$6)*((S3920)*(R3920)-(P3920)*(T3920)))/W3920,0)</f>
        <v/>
      </c>
      <c r="AA3920">
        <f>LTP3!$D$7-X3920*LTP3!$D$6-Y3920*U3920-Z3920*V3920</f>
        <v/>
      </c>
      <c r="AB3920">
        <f>IF(AND(F3920,ABS(W3920)&gt;1E-12,Y3920&gt;0,Z3920&gt;0),AA3920,1E+300)</f>
        <v/>
      </c>
    </row>
    <row r="3921">
      <c r="A3921">
        <f>$I$3-$B$5+$B$5*8/10</f>
        <v/>
      </c>
      <c r="B3921">
        <f>$J$3-$B$5+$B$5*17/10</f>
        <v/>
      </c>
      <c r="C3921">
        <f>SUMPRODUCT(Calc!$K$3:$K$22*(Calc!$G$3:$G$22&lt;=A3921))</f>
        <v/>
      </c>
      <c r="D3921">
        <f>SUMPRODUCT(Calc!$K$3:$K$22*(Calc!$G$3:$G$22&gt;A3921)*(Calc!$G$3:$G$22&lt;B3921))</f>
        <v/>
      </c>
      <c r="E3921">
        <f>SUMPRODUCT(Calc!$K$3:$K$22*(Calc!$G$3:$G$22&gt;=B3921))</f>
        <v/>
      </c>
      <c r="F3921">
        <f>AND(k_n&gt;=5,B3921&gt;A3921+1E-9,C3921&gt;=2,D3921&gt;=1,E3921&gt;=2)</f>
        <v/>
      </c>
      <c r="G3921">
        <f>SUMPRODUCT(Calc!$K$3:$K$22*(Calc!$G$3:$G$22&gt;A3921)*(Calc!$G$3:$G$22-A3921))</f>
        <v/>
      </c>
      <c r="H3921">
        <f>SUMPRODUCT(Calc!$K$3:$K$22*(Calc!$G$3:$G$22&gt;B3921)*(Calc!$G$3:$G$22-B3921))</f>
        <v/>
      </c>
      <c r="I3921">
        <f>SUMPRODUCT(Calc!$K$3:$K$22*(Calc!$G$3:$G$22&gt;A3921)*(Calc!$G$3:$G$22-A3921)^2)</f>
        <v/>
      </c>
      <c r="J3921">
        <f>SUMPRODUCT(Calc!$K$3:$K$22*(Calc!$G$3:$G$22&gt;B3921)*(Calc!$G$3:$G$22-B3921)^2)</f>
        <v/>
      </c>
      <c r="K3921">
        <f>SUMPRODUCT(Calc!$K$3:$K$22*(Calc!$G$3:$G$22&gt;A3921)*(Calc!$G$3:$G$22-A3921)*(Calc!$G$3:$G$22&gt;B3921)*(Calc!$G$3:$G$22-B3921))</f>
        <v/>
      </c>
      <c r="L3921">
        <f>SUMPRODUCT(Calc!$K$3:$K$22*(Calc!$G$3:$G$22&gt;A3921)*(Calc!$G$3:$G$22-A3921)*Calc!$G$3:$G$22)</f>
        <v/>
      </c>
      <c r="M3921">
        <f>SUMPRODUCT(Calc!$K$3:$K$22*(Calc!$G$3:$G$22&gt;B3921)*(Calc!$G$3:$G$22-B3921)*Calc!$G$3:$G$22)</f>
        <v/>
      </c>
      <c r="N3921">
        <f>SUMPRODUCT(Calc!$K$3:$K$22*(Calc!$G$3:$G$22&gt;A3921)*(Calc!$G$3:$G$22-A3921)*Calc!$I$3:$I$22)</f>
        <v/>
      </c>
      <c r="O3921">
        <f>SUMPRODUCT(Calc!$K$3:$K$22*(Calc!$G$3:$G$22&gt;B3921)*(Calc!$G$3:$G$22-B3921)*Calc!$I$3:$I$22)</f>
        <v/>
      </c>
      <c r="P3921">
        <f>I3921-G3921^2/k_n</f>
        <v/>
      </c>
      <c r="Q3921">
        <f>J3921-H3921^2/k_n</f>
        <v/>
      </c>
      <c r="R3921">
        <f>K3921-G3921*H3921/k_n</f>
        <v/>
      </c>
      <c r="S3921">
        <f>L3921-LTP3!$D$3*G3921/k_n</f>
        <v/>
      </c>
      <c r="T3921">
        <f>M3921-LTP3!$D$3*H3921/k_n</f>
        <v/>
      </c>
      <c r="U3921">
        <f>N3921-G3921*LTP3!$D$4/k_n</f>
        <v/>
      </c>
      <c r="V3921">
        <f>O3921-H3921*LTP3!$D$4/k_n</f>
        <v/>
      </c>
      <c r="W3921">
        <f>((LTP3!$D$5)*((P3921)*(Q3921)-(R3921)*(R3921))-(S3921)*((S3921)*(Q3921)-(R3921)*(T3921))+(T3921)*((S3921)*(R3921)-(P3921)*(T3921)))</f>
        <v/>
      </c>
      <c r="X3921">
        <f>IF(ABS(W3921)&gt;1E-12,((LTP3!$D$6)*((P3921)*(Q3921)-(R3921)*(R3921))-(S3921)*((U3921)*(Q3921)-(R3921)*(V3921))+(T3921)*((U3921)*(R3921)-(P3921)*(V3921)))/W3921,0)</f>
        <v/>
      </c>
      <c r="Y3921">
        <f>IF(ABS(W3921)&gt;1E-12,((LTP3!$D$5)*((U3921)*(Q3921)-(R3921)*(V3921))-(LTP3!$D$6)*((S3921)*(Q3921)-(R3921)*(T3921))+(T3921)*((S3921)*(V3921)-(U3921)*(T3921)))/W3921,0)</f>
        <v/>
      </c>
      <c r="Z3921">
        <f>IF(ABS(W3921)&gt;1E-12,((LTP3!$D$5)*((P3921)*(V3921)-(U3921)*(R3921))-(S3921)*((S3921)*(V3921)-(U3921)*(T3921))+(LTP3!$D$6)*((S3921)*(R3921)-(P3921)*(T3921)))/W3921,0)</f>
        <v/>
      </c>
      <c r="AA3921">
        <f>LTP3!$D$7-X3921*LTP3!$D$6-Y3921*U3921-Z3921*V3921</f>
        <v/>
      </c>
      <c r="AB3921">
        <f>IF(AND(F3921,ABS(W3921)&gt;1E-12,Y3921&gt;0,Z3921&gt;0),AA3921,1E+300)</f>
        <v/>
      </c>
    </row>
    <row r="3922">
      <c r="A3922">
        <f>$I$3-$B$5+$B$5*8/10</f>
        <v/>
      </c>
      <c r="B3922">
        <f>$J$3-$B$5+$B$5*18/10</f>
        <v/>
      </c>
      <c r="C3922">
        <f>SUMPRODUCT(Calc!$K$3:$K$22*(Calc!$G$3:$G$22&lt;=A3922))</f>
        <v/>
      </c>
      <c r="D3922">
        <f>SUMPRODUCT(Calc!$K$3:$K$22*(Calc!$G$3:$G$22&gt;A3922)*(Calc!$G$3:$G$22&lt;B3922))</f>
        <v/>
      </c>
      <c r="E3922">
        <f>SUMPRODUCT(Calc!$K$3:$K$22*(Calc!$G$3:$G$22&gt;=B3922))</f>
        <v/>
      </c>
      <c r="F3922">
        <f>AND(k_n&gt;=5,B3922&gt;A3922+1E-9,C3922&gt;=2,D3922&gt;=1,E3922&gt;=2)</f>
        <v/>
      </c>
      <c r="G3922">
        <f>SUMPRODUCT(Calc!$K$3:$K$22*(Calc!$G$3:$G$22&gt;A3922)*(Calc!$G$3:$G$22-A3922))</f>
        <v/>
      </c>
      <c r="H3922">
        <f>SUMPRODUCT(Calc!$K$3:$K$22*(Calc!$G$3:$G$22&gt;B3922)*(Calc!$G$3:$G$22-B3922))</f>
        <v/>
      </c>
      <c r="I3922">
        <f>SUMPRODUCT(Calc!$K$3:$K$22*(Calc!$G$3:$G$22&gt;A3922)*(Calc!$G$3:$G$22-A3922)^2)</f>
        <v/>
      </c>
      <c r="J3922">
        <f>SUMPRODUCT(Calc!$K$3:$K$22*(Calc!$G$3:$G$22&gt;B3922)*(Calc!$G$3:$G$22-B3922)^2)</f>
        <v/>
      </c>
      <c r="K3922">
        <f>SUMPRODUCT(Calc!$K$3:$K$22*(Calc!$G$3:$G$22&gt;A3922)*(Calc!$G$3:$G$22-A3922)*(Calc!$G$3:$G$22&gt;B3922)*(Calc!$G$3:$G$22-B3922))</f>
        <v/>
      </c>
      <c r="L3922">
        <f>SUMPRODUCT(Calc!$K$3:$K$22*(Calc!$G$3:$G$22&gt;A3922)*(Calc!$G$3:$G$22-A3922)*Calc!$G$3:$G$22)</f>
        <v/>
      </c>
      <c r="M3922">
        <f>SUMPRODUCT(Calc!$K$3:$K$22*(Calc!$G$3:$G$22&gt;B3922)*(Calc!$G$3:$G$22-B3922)*Calc!$G$3:$G$22)</f>
        <v/>
      </c>
      <c r="N3922">
        <f>SUMPRODUCT(Calc!$K$3:$K$22*(Calc!$G$3:$G$22&gt;A3922)*(Calc!$G$3:$G$22-A3922)*Calc!$I$3:$I$22)</f>
        <v/>
      </c>
      <c r="O3922">
        <f>SUMPRODUCT(Calc!$K$3:$K$22*(Calc!$G$3:$G$22&gt;B3922)*(Calc!$G$3:$G$22-B3922)*Calc!$I$3:$I$22)</f>
        <v/>
      </c>
      <c r="P3922">
        <f>I3922-G3922^2/k_n</f>
        <v/>
      </c>
      <c r="Q3922">
        <f>J3922-H3922^2/k_n</f>
        <v/>
      </c>
      <c r="R3922">
        <f>K3922-G3922*H3922/k_n</f>
        <v/>
      </c>
      <c r="S3922">
        <f>L3922-LTP3!$D$3*G3922/k_n</f>
        <v/>
      </c>
      <c r="T3922">
        <f>M3922-LTP3!$D$3*H3922/k_n</f>
        <v/>
      </c>
      <c r="U3922">
        <f>N3922-G3922*LTP3!$D$4/k_n</f>
        <v/>
      </c>
      <c r="V3922">
        <f>O3922-H3922*LTP3!$D$4/k_n</f>
        <v/>
      </c>
      <c r="W3922">
        <f>((LTP3!$D$5)*((P3922)*(Q3922)-(R3922)*(R3922))-(S3922)*((S3922)*(Q3922)-(R3922)*(T3922))+(T3922)*((S3922)*(R3922)-(P3922)*(T3922)))</f>
        <v/>
      </c>
      <c r="X3922">
        <f>IF(ABS(W3922)&gt;1E-12,((LTP3!$D$6)*((P3922)*(Q3922)-(R3922)*(R3922))-(S3922)*((U3922)*(Q3922)-(R3922)*(V3922))+(T3922)*((U3922)*(R3922)-(P3922)*(V3922)))/W3922,0)</f>
        <v/>
      </c>
      <c r="Y3922">
        <f>IF(ABS(W3922)&gt;1E-12,((LTP3!$D$5)*((U3922)*(Q3922)-(R3922)*(V3922))-(LTP3!$D$6)*((S3922)*(Q3922)-(R3922)*(T3922))+(T3922)*((S3922)*(V3922)-(U3922)*(T3922)))/W3922,0)</f>
        <v/>
      </c>
      <c r="Z3922">
        <f>IF(ABS(W3922)&gt;1E-12,((LTP3!$D$5)*((P3922)*(V3922)-(U3922)*(R3922))-(S3922)*((S3922)*(V3922)-(U3922)*(T3922))+(LTP3!$D$6)*((S3922)*(R3922)-(P3922)*(T3922)))/W3922,0)</f>
        <v/>
      </c>
      <c r="AA3922">
        <f>LTP3!$D$7-X3922*LTP3!$D$6-Y3922*U3922-Z3922*V3922</f>
        <v/>
      </c>
      <c r="AB3922">
        <f>IF(AND(F3922,ABS(W3922)&gt;1E-12,Y3922&gt;0,Z3922&gt;0),AA3922,1E+300)</f>
        <v/>
      </c>
    </row>
    <row r="3923">
      <c r="A3923">
        <f>$I$3-$B$5+$B$5*8/10</f>
        <v/>
      </c>
      <c r="B3923">
        <f>$J$3-$B$5+$B$5*19/10</f>
        <v/>
      </c>
      <c r="C3923">
        <f>SUMPRODUCT(Calc!$K$3:$K$22*(Calc!$G$3:$G$22&lt;=A3923))</f>
        <v/>
      </c>
      <c r="D3923">
        <f>SUMPRODUCT(Calc!$K$3:$K$22*(Calc!$G$3:$G$22&gt;A3923)*(Calc!$G$3:$G$22&lt;B3923))</f>
        <v/>
      </c>
      <c r="E3923">
        <f>SUMPRODUCT(Calc!$K$3:$K$22*(Calc!$G$3:$G$22&gt;=B3923))</f>
        <v/>
      </c>
      <c r="F3923">
        <f>AND(k_n&gt;=5,B3923&gt;A3923+1E-9,C3923&gt;=2,D3923&gt;=1,E3923&gt;=2)</f>
        <v/>
      </c>
      <c r="G3923">
        <f>SUMPRODUCT(Calc!$K$3:$K$22*(Calc!$G$3:$G$22&gt;A3923)*(Calc!$G$3:$G$22-A3923))</f>
        <v/>
      </c>
      <c r="H3923">
        <f>SUMPRODUCT(Calc!$K$3:$K$22*(Calc!$G$3:$G$22&gt;B3923)*(Calc!$G$3:$G$22-B3923))</f>
        <v/>
      </c>
      <c r="I3923">
        <f>SUMPRODUCT(Calc!$K$3:$K$22*(Calc!$G$3:$G$22&gt;A3923)*(Calc!$G$3:$G$22-A3923)^2)</f>
        <v/>
      </c>
      <c r="J3923">
        <f>SUMPRODUCT(Calc!$K$3:$K$22*(Calc!$G$3:$G$22&gt;B3923)*(Calc!$G$3:$G$22-B3923)^2)</f>
        <v/>
      </c>
      <c r="K3923">
        <f>SUMPRODUCT(Calc!$K$3:$K$22*(Calc!$G$3:$G$22&gt;A3923)*(Calc!$G$3:$G$22-A3923)*(Calc!$G$3:$G$22&gt;B3923)*(Calc!$G$3:$G$22-B3923))</f>
        <v/>
      </c>
      <c r="L3923">
        <f>SUMPRODUCT(Calc!$K$3:$K$22*(Calc!$G$3:$G$22&gt;A3923)*(Calc!$G$3:$G$22-A3923)*Calc!$G$3:$G$22)</f>
        <v/>
      </c>
      <c r="M3923">
        <f>SUMPRODUCT(Calc!$K$3:$K$22*(Calc!$G$3:$G$22&gt;B3923)*(Calc!$G$3:$G$22-B3923)*Calc!$G$3:$G$22)</f>
        <v/>
      </c>
      <c r="N3923">
        <f>SUMPRODUCT(Calc!$K$3:$K$22*(Calc!$G$3:$G$22&gt;A3923)*(Calc!$G$3:$G$22-A3923)*Calc!$I$3:$I$22)</f>
        <v/>
      </c>
      <c r="O3923">
        <f>SUMPRODUCT(Calc!$K$3:$K$22*(Calc!$G$3:$G$22&gt;B3923)*(Calc!$G$3:$G$22-B3923)*Calc!$I$3:$I$22)</f>
        <v/>
      </c>
      <c r="P3923">
        <f>I3923-G3923^2/k_n</f>
        <v/>
      </c>
      <c r="Q3923">
        <f>J3923-H3923^2/k_n</f>
        <v/>
      </c>
      <c r="R3923">
        <f>K3923-G3923*H3923/k_n</f>
        <v/>
      </c>
      <c r="S3923">
        <f>L3923-LTP3!$D$3*G3923/k_n</f>
        <v/>
      </c>
      <c r="T3923">
        <f>M3923-LTP3!$D$3*H3923/k_n</f>
        <v/>
      </c>
      <c r="U3923">
        <f>N3923-G3923*LTP3!$D$4/k_n</f>
        <v/>
      </c>
      <c r="V3923">
        <f>O3923-H3923*LTP3!$D$4/k_n</f>
        <v/>
      </c>
      <c r="W3923">
        <f>((LTP3!$D$5)*((P3923)*(Q3923)-(R3923)*(R3923))-(S3923)*((S3923)*(Q3923)-(R3923)*(T3923))+(T3923)*((S3923)*(R3923)-(P3923)*(T3923)))</f>
        <v/>
      </c>
      <c r="X3923">
        <f>IF(ABS(W3923)&gt;1E-12,((LTP3!$D$6)*((P3923)*(Q3923)-(R3923)*(R3923))-(S3923)*((U3923)*(Q3923)-(R3923)*(V3923))+(T3923)*((U3923)*(R3923)-(P3923)*(V3923)))/W3923,0)</f>
        <v/>
      </c>
      <c r="Y3923">
        <f>IF(ABS(W3923)&gt;1E-12,((LTP3!$D$5)*((U3923)*(Q3923)-(R3923)*(V3923))-(LTP3!$D$6)*((S3923)*(Q3923)-(R3923)*(T3923))+(T3923)*((S3923)*(V3923)-(U3923)*(T3923)))/W3923,0)</f>
        <v/>
      </c>
      <c r="Z3923">
        <f>IF(ABS(W3923)&gt;1E-12,((LTP3!$D$5)*((P3923)*(V3923)-(U3923)*(R3923))-(S3923)*((S3923)*(V3923)-(U3923)*(T3923))+(LTP3!$D$6)*((S3923)*(R3923)-(P3923)*(T3923)))/W3923,0)</f>
        <v/>
      </c>
      <c r="AA3923">
        <f>LTP3!$D$7-X3923*LTP3!$D$6-Y3923*U3923-Z3923*V3923</f>
        <v/>
      </c>
      <c r="AB3923">
        <f>IF(AND(F3923,ABS(W3923)&gt;1E-12,Y3923&gt;0,Z3923&gt;0),AA3923,1E+300)</f>
        <v/>
      </c>
    </row>
    <row r="3924">
      <c r="A3924">
        <f>$I$3-$B$5+$B$5*8/10</f>
        <v/>
      </c>
      <c r="B3924">
        <f>$J$3-$B$5+$B$5*20/10</f>
        <v/>
      </c>
      <c r="C3924">
        <f>SUMPRODUCT(Calc!$K$3:$K$22*(Calc!$G$3:$G$22&lt;=A3924))</f>
        <v/>
      </c>
      <c r="D3924">
        <f>SUMPRODUCT(Calc!$K$3:$K$22*(Calc!$G$3:$G$22&gt;A3924)*(Calc!$G$3:$G$22&lt;B3924))</f>
        <v/>
      </c>
      <c r="E3924">
        <f>SUMPRODUCT(Calc!$K$3:$K$22*(Calc!$G$3:$G$22&gt;=B3924))</f>
        <v/>
      </c>
      <c r="F3924">
        <f>AND(k_n&gt;=5,B3924&gt;A3924+1E-9,C3924&gt;=2,D3924&gt;=1,E3924&gt;=2)</f>
        <v/>
      </c>
      <c r="G3924">
        <f>SUMPRODUCT(Calc!$K$3:$K$22*(Calc!$G$3:$G$22&gt;A3924)*(Calc!$G$3:$G$22-A3924))</f>
        <v/>
      </c>
      <c r="H3924">
        <f>SUMPRODUCT(Calc!$K$3:$K$22*(Calc!$G$3:$G$22&gt;B3924)*(Calc!$G$3:$G$22-B3924))</f>
        <v/>
      </c>
      <c r="I3924">
        <f>SUMPRODUCT(Calc!$K$3:$K$22*(Calc!$G$3:$G$22&gt;A3924)*(Calc!$G$3:$G$22-A3924)^2)</f>
        <v/>
      </c>
      <c r="J3924">
        <f>SUMPRODUCT(Calc!$K$3:$K$22*(Calc!$G$3:$G$22&gt;B3924)*(Calc!$G$3:$G$22-B3924)^2)</f>
        <v/>
      </c>
      <c r="K3924">
        <f>SUMPRODUCT(Calc!$K$3:$K$22*(Calc!$G$3:$G$22&gt;A3924)*(Calc!$G$3:$G$22-A3924)*(Calc!$G$3:$G$22&gt;B3924)*(Calc!$G$3:$G$22-B3924))</f>
        <v/>
      </c>
      <c r="L3924">
        <f>SUMPRODUCT(Calc!$K$3:$K$22*(Calc!$G$3:$G$22&gt;A3924)*(Calc!$G$3:$G$22-A3924)*Calc!$G$3:$G$22)</f>
        <v/>
      </c>
      <c r="M3924">
        <f>SUMPRODUCT(Calc!$K$3:$K$22*(Calc!$G$3:$G$22&gt;B3924)*(Calc!$G$3:$G$22-B3924)*Calc!$G$3:$G$22)</f>
        <v/>
      </c>
      <c r="N3924">
        <f>SUMPRODUCT(Calc!$K$3:$K$22*(Calc!$G$3:$G$22&gt;A3924)*(Calc!$G$3:$G$22-A3924)*Calc!$I$3:$I$22)</f>
        <v/>
      </c>
      <c r="O3924">
        <f>SUMPRODUCT(Calc!$K$3:$K$22*(Calc!$G$3:$G$22&gt;B3924)*(Calc!$G$3:$G$22-B3924)*Calc!$I$3:$I$22)</f>
        <v/>
      </c>
      <c r="P3924">
        <f>I3924-G3924^2/k_n</f>
        <v/>
      </c>
      <c r="Q3924">
        <f>J3924-H3924^2/k_n</f>
        <v/>
      </c>
      <c r="R3924">
        <f>K3924-G3924*H3924/k_n</f>
        <v/>
      </c>
      <c r="S3924">
        <f>L3924-LTP3!$D$3*G3924/k_n</f>
        <v/>
      </c>
      <c r="T3924">
        <f>M3924-LTP3!$D$3*H3924/k_n</f>
        <v/>
      </c>
      <c r="U3924">
        <f>N3924-G3924*LTP3!$D$4/k_n</f>
        <v/>
      </c>
      <c r="V3924">
        <f>O3924-H3924*LTP3!$D$4/k_n</f>
        <v/>
      </c>
      <c r="W3924">
        <f>((LTP3!$D$5)*((P3924)*(Q3924)-(R3924)*(R3924))-(S3924)*((S3924)*(Q3924)-(R3924)*(T3924))+(T3924)*((S3924)*(R3924)-(P3924)*(T3924)))</f>
        <v/>
      </c>
      <c r="X3924">
        <f>IF(ABS(W3924)&gt;1E-12,((LTP3!$D$6)*((P3924)*(Q3924)-(R3924)*(R3924))-(S3924)*((U3924)*(Q3924)-(R3924)*(V3924))+(T3924)*((U3924)*(R3924)-(P3924)*(V3924)))/W3924,0)</f>
        <v/>
      </c>
      <c r="Y3924">
        <f>IF(ABS(W3924)&gt;1E-12,((LTP3!$D$5)*((U3924)*(Q3924)-(R3924)*(V3924))-(LTP3!$D$6)*((S3924)*(Q3924)-(R3924)*(T3924))+(T3924)*((S3924)*(V3924)-(U3924)*(T3924)))/W3924,0)</f>
        <v/>
      </c>
      <c r="Z3924">
        <f>IF(ABS(W3924)&gt;1E-12,((LTP3!$D$5)*((P3924)*(V3924)-(U3924)*(R3924))-(S3924)*((S3924)*(V3924)-(U3924)*(T3924))+(LTP3!$D$6)*((S3924)*(R3924)-(P3924)*(T3924)))/W3924,0)</f>
        <v/>
      </c>
      <c r="AA3924">
        <f>LTP3!$D$7-X3924*LTP3!$D$6-Y3924*U3924-Z3924*V3924</f>
        <v/>
      </c>
      <c r="AB3924">
        <f>IF(AND(F3924,ABS(W3924)&gt;1E-12,Y3924&gt;0,Z3924&gt;0),AA3924,1E+300)</f>
        <v/>
      </c>
    </row>
    <row r="3925">
      <c r="A3925">
        <f>$I$3-$B$5+$B$5*9/10</f>
        <v/>
      </c>
      <c r="B3925">
        <f>$J$3-$B$5+$B$5*0/10</f>
        <v/>
      </c>
      <c r="C3925">
        <f>SUMPRODUCT(Calc!$K$3:$K$22*(Calc!$G$3:$G$22&lt;=A3925))</f>
        <v/>
      </c>
      <c r="D3925">
        <f>SUMPRODUCT(Calc!$K$3:$K$22*(Calc!$G$3:$G$22&gt;A3925)*(Calc!$G$3:$G$22&lt;B3925))</f>
        <v/>
      </c>
      <c r="E3925">
        <f>SUMPRODUCT(Calc!$K$3:$K$22*(Calc!$G$3:$G$22&gt;=B3925))</f>
        <v/>
      </c>
      <c r="F3925">
        <f>AND(k_n&gt;=5,B3925&gt;A3925+1E-9,C3925&gt;=2,D3925&gt;=1,E3925&gt;=2)</f>
        <v/>
      </c>
      <c r="G3925">
        <f>SUMPRODUCT(Calc!$K$3:$K$22*(Calc!$G$3:$G$22&gt;A3925)*(Calc!$G$3:$G$22-A3925))</f>
        <v/>
      </c>
      <c r="H3925">
        <f>SUMPRODUCT(Calc!$K$3:$K$22*(Calc!$G$3:$G$22&gt;B3925)*(Calc!$G$3:$G$22-B3925))</f>
        <v/>
      </c>
      <c r="I3925">
        <f>SUMPRODUCT(Calc!$K$3:$K$22*(Calc!$G$3:$G$22&gt;A3925)*(Calc!$G$3:$G$22-A3925)^2)</f>
        <v/>
      </c>
      <c r="J3925">
        <f>SUMPRODUCT(Calc!$K$3:$K$22*(Calc!$G$3:$G$22&gt;B3925)*(Calc!$G$3:$G$22-B3925)^2)</f>
        <v/>
      </c>
      <c r="K3925">
        <f>SUMPRODUCT(Calc!$K$3:$K$22*(Calc!$G$3:$G$22&gt;A3925)*(Calc!$G$3:$G$22-A3925)*(Calc!$G$3:$G$22&gt;B3925)*(Calc!$G$3:$G$22-B3925))</f>
        <v/>
      </c>
      <c r="L3925">
        <f>SUMPRODUCT(Calc!$K$3:$K$22*(Calc!$G$3:$G$22&gt;A3925)*(Calc!$G$3:$G$22-A3925)*Calc!$G$3:$G$22)</f>
        <v/>
      </c>
      <c r="M3925">
        <f>SUMPRODUCT(Calc!$K$3:$K$22*(Calc!$G$3:$G$22&gt;B3925)*(Calc!$G$3:$G$22-B3925)*Calc!$G$3:$G$22)</f>
        <v/>
      </c>
      <c r="N3925">
        <f>SUMPRODUCT(Calc!$K$3:$K$22*(Calc!$G$3:$G$22&gt;A3925)*(Calc!$G$3:$G$22-A3925)*Calc!$I$3:$I$22)</f>
        <v/>
      </c>
      <c r="O3925">
        <f>SUMPRODUCT(Calc!$K$3:$K$22*(Calc!$G$3:$G$22&gt;B3925)*(Calc!$G$3:$G$22-B3925)*Calc!$I$3:$I$22)</f>
        <v/>
      </c>
      <c r="P3925">
        <f>I3925-G3925^2/k_n</f>
        <v/>
      </c>
      <c r="Q3925">
        <f>J3925-H3925^2/k_n</f>
        <v/>
      </c>
      <c r="R3925">
        <f>K3925-G3925*H3925/k_n</f>
        <v/>
      </c>
      <c r="S3925">
        <f>L3925-LTP3!$D$3*G3925/k_n</f>
        <v/>
      </c>
      <c r="T3925">
        <f>M3925-LTP3!$D$3*H3925/k_n</f>
        <v/>
      </c>
      <c r="U3925">
        <f>N3925-G3925*LTP3!$D$4/k_n</f>
        <v/>
      </c>
      <c r="V3925">
        <f>O3925-H3925*LTP3!$D$4/k_n</f>
        <v/>
      </c>
      <c r="W3925">
        <f>((LTP3!$D$5)*((P3925)*(Q3925)-(R3925)*(R3925))-(S3925)*((S3925)*(Q3925)-(R3925)*(T3925))+(T3925)*((S3925)*(R3925)-(P3925)*(T3925)))</f>
        <v/>
      </c>
      <c r="X3925">
        <f>IF(ABS(W3925)&gt;1E-12,((LTP3!$D$6)*((P3925)*(Q3925)-(R3925)*(R3925))-(S3925)*((U3925)*(Q3925)-(R3925)*(V3925))+(T3925)*((U3925)*(R3925)-(P3925)*(V3925)))/W3925,0)</f>
        <v/>
      </c>
      <c r="Y3925">
        <f>IF(ABS(W3925)&gt;1E-12,((LTP3!$D$5)*((U3925)*(Q3925)-(R3925)*(V3925))-(LTP3!$D$6)*((S3925)*(Q3925)-(R3925)*(T3925))+(T3925)*((S3925)*(V3925)-(U3925)*(T3925)))/W3925,0)</f>
        <v/>
      </c>
      <c r="Z3925">
        <f>IF(ABS(W3925)&gt;1E-12,((LTP3!$D$5)*((P3925)*(V3925)-(U3925)*(R3925))-(S3925)*((S3925)*(V3925)-(U3925)*(T3925))+(LTP3!$D$6)*((S3925)*(R3925)-(P3925)*(T3925)))/W3925,0)</f>
        <v/>
      </c>
      <c r="AA3925">
        <f>LTP3!$D$7-X3925*LTP3!$D$6-Y3925*U3925-Z3925*V3925</f>
        <v/>
      </c>
      <c r="AB3925">
        <f>IF(AND(F3925,ABS(W3925)&gt;1E-12,Y3925&gt;0,Z3925&gt;0),AA3925,1E+300)</f>
        <v/>
      </c>
    </row>
    <row r="3926">
      <c r="A3926">
        <f>$I$3-$B$5+$B$5*9/10</f>
        <v/>
      </c>
      <c r="B3926">
        <f>$J$3-$B$5+$B$5*1/10</f>
        <v/>
      </c>
      <c r="C3926">
        <f>SUMPRODUCT(Calc!$K$3:$K$22*(Calc!$G$3:$G$22&lt;=A3926))</f>
        <v/>
      </c>
      <c r="D3926">
        <f>SUMPRODUCT(Calc!$K$3:$K$22*(Calc!$G$3:$G$22&gt;A3926)*(Calc!$G$3:$G$22&lt;B3926))</f>
        <v/>
      </c>
      <c r="E3926">
        <f>SUMPRODUCT(Calc!$K$3:$K$22*(Calc!$G$3:$G$22&gt;=B3926))</f>
        <v/>
      </c>
      <c r="F3926">
        <f>AND(k_n&gt;=5,B3926&gt;A3926+1E-9,C3926&gt;=2,D3926&gt;=1,E3926&gt;=2)</f>
        <v/>
      </c>
      <c r="G3926">
        <f>SUMPRODUCT(Calc!$K$3:$K$22*(Calc!$G$3:$G$22&gt;A3926)*(Calc!$G$3:$G$22-A3926))</f>
        <v/>
      </c>
      <c r="H3926">
        <f>SUMPRODUCT(Calc!$K$3:$K$22*(Calc!$G$3:$G$22&gt;B3926)*(Calc!$G$3:$G$22-B3926))</f>
        <v/>
      </c>
      <c r="I3926">
        <f>SUMPRODUCT(Calc!$K$3:$K$22*(Calc!$G$3:$G$22&gt;A3926)*(Calc!$G$3:$G$22-A3926)^2)</f>
        <v/>
      </c>
      <c r="J3926">
        <f>SUMPRODUCT(Calc!$K$3:$K$22*(Calc!$G$3:$G$22&gt;B3926)*(Calc!$G$3:$G$22-B3926)^2)</f>
        <v/>
      </c>
      <c r="K3926">
        <f>SUMPRODUCT(Calc!$K$3:$K$22*(Calc!$G$3:$G$22&gt;A3926)*(Calc!$G$3:$G$22-A3926)*(Calc!$G$3:$G$22&gt;B3926)*(Calc!$G$3:$G$22-B3926))</f>
        <v/>
      </c>
      <c r="L3926">
        <f>SUMPRODUCT(Calc!$K$3:$K$22*(Calc!$G$3:$G$22&gt;A3926)*(Calc!$G$3:$G$22-A3926)*Calc!$G$3:$G$22)</f>
        <v/>
      </c>
      <c r="M3926">
        <f>SUMPRODUCT(Calc!$K$3:$K$22*(Calc!$G$3:$G$22&gt;B3926)*(Calc!$G$3:$G$22-B3926)*Calc!$G$3:$G$22)</f>
        <v/>
      </c>
      <c r="N3926">
        <f>SUMPRODUCT(Calc!$K$3:$K$22*(Calc!$G$3:$G$22&gt;A3926)*(Calc!$G$3:$G$22-A3926)*Calc!$I$3:$I$22)</f>
        <v/>
      </c>
      <c r="O3926">
        <f>SUMPRODUCT(Calc!$K$3:$K$22*(Calc!$G$3:$G$22&gt;B3926)*(Calc!$G$3:$G$22-B3926)*Calc!$I$3:$I$22)</f>
        <v/>
      </c>
      <c r="P3926">
        <f>I3926-G3926^2/k_n</f>
        <v/>
      </c>
      <c r="Q3926">
        <f>J3926-H3926^2/k_n</f>
        <v/>
      </c>
      <c r="R3926">
        <f>K3926-G3926*H3926/k_n</f>
        <v/>
      </c>
      <c r="S3926">
        <f>L3926-LTP3!$D$3*G3926/k_n</f>
        <v/>
      </c>
      <c r="T3926">
        <f>M3926-LTP3!$D$3*H3926/k_n</f>
        <v/>
      </c>
      <c r="U3926">
        <f>N3926-G3926*LTP3!$D$4/k_n</f>
        <v/>
      </c>
      <c r="V3926">
        <f>O3926-H3926*LTP3!$D$4/k_n</f>
        <v/>
      </c>
      <c r="W3926">
        <f>((LTP3!$D$5)*((P3926)*(Q3926)-(R3926)*(R3926))-(S3926)*((S3926)*(Q3926)-(R3926)*(T3926))+(T3926)*((S3926)*(R3926)-(P3926)*(T3926)))</f>
        <v/>
      </c>
      <c r="X3926">
        <f>IF(ABS(W3926)&gt;1E-12,((LTP3!$D$6)*((P3926)*(Q3926)-(R3926)*(R3926))-(S3926)*((U3926)*(Q3926)-(R3926)*(V3926))+(T3926)*((U3926)*(R3926)-(P3926)*(V3926)))/W3926,0)</f>
        <v/>
      </c>
      <c r="Y3926">
        <f>IF(ABS(W3926)&gt;1E-12,((LTP3!$D$5)*((U3926)*(Q3926)-(R3926)*(V3926))-(LTP3!$D$6)*((S3926)*(Q3926)-(R3926)*(T3926))+(T3926)*((S3926)*(V3926)-(U3926)*(T3926)))/W3926,0)</f>
        <v/>
      </c>
      <c r="Z3926">
        <f>IF(ABS(W3926)&gt;1E-12,((LTP3!$D$5)*((P3926)*(V3926)-(U3926)*(R3926))-(S3926)*((S3926)*(V3926)-(U3926)*(T3926))+(LTP3!$D$6)*((S3926)*(R3926)-(P3926)*(T3926)))/W3926,0)</f>
        <v/>
      </c>
      <c r="AA3926">
        <f>LTP3!$D$7-X3926*LTP3!$D$6-Y3926*U3926-Z3926*V3926</f>
        <v/>
      </c>
      <c r="AB3926">
        <f>IF(AND(F3926,ABS(W3926)&gt;1E-12,Y3926&gt;0,Z3926&gt;0),AA3926,1E+300)</f>
        <v/>
      </c>
    </row>
    <row r="3927">
      <c r="A3927">
        <f>$I$3-$B$5+$B$5*9/10</f>
        <v/>
      </c>
      <c r="B3927">
        <f>$J$3-$B$5+$B$5*2/10</f>
        <v/>
      </c>
      <c r="C3927">
        <f>SUMPRODUCT(Calc!$K$3:$K$22*(Calc!$G$3:$G$22&lt;=A3927))</f>
        <v/>
      </c>
      <c r="D3927">
        <f>SUMPRODUCT(Calc!$K$3:$K$22*(Calc!$G$3:$G$22&gt;A3927)*(Calc!$G$3:$G$22&lt;B3927))</f>
        <v/>
      </c>
      <c r="E3927">
        <f>SUMPRODUCT(Calc!$K$3:$K$22*(Calc!$G$3:$G$22&gt;=B3927))</f>
        <v/>
      </c>
      <c r="F3927">
        <f>AND(k_n&gt;=5,B3927&gt;A3927+1E-9,C3927&gt;=2,D3927&gt;=1,E3927&gt;=2)</f>
        <v/>
      </c>
      <c r="G3927">
        <f>SUMPRODUCT(Calc!$K$3:$K$22*(Calc!$G$3:$G$22&gt;A3927)*(Calc!$G$3:$G$22-A3927))</f>
        <v/>
      </c>
      <c r="H3927">
        <f>SUMPRODUCT(Calc!$K$3:$K$22*(Calc!$G$3:$G$22&gt;B3927)*(Calc!$G$3:$G$22-B3927))</f>
        <v/>
      </c>
      <c r="I3927">
        <f>SUMPRODUCT(Calc!$K$3:$K$22*(Calc!$G$3:$G$22&gt;A3927)*(Calc!$G$3:$G$22-A3927)^2)</f>
        <v/>
      </c>
      <c r="J3927">
        <f>SUMPRODUCT(Calc!$K$3:$K$22*(Calc!$G$3:$G$22&gt;B3927)*(Calc!$G$3:$G$22-B3927)^2)</f>
        <v/>
      </c>
      <c r="K3927">
        <f>SUMPRODUCT(Calc!$K$3:$K$22*(Calc!$G$3:$G$22&gt;A3927)*(Calc!$G$3:$G$22-A3927)*(Calc!$G$3:$G$22&gt;B3927)*(Calc!$G$3:$G$22-B3927))</f>
        <v/>
      </c>
      <c r="L3927">
        <f>SUMPRODUCT(Calc!$K$3:$K$22*(Calc!$G$3:$G$22&gt;A3927)*(Calc!$G$3:$G$22-A3927)*Calc!$G$3:$G$22)</f>
        <v/>
      </c>
      <c r="M3927">
        <f>SUMPRODUCT(Calc!$K$3:$K$22*(Calc!$G$3:$G$22&gt;B3927)*(Calc!$G$3:$G$22-B3927)*Calc!$G$3:$G$22)</f>
        <v/>
      </c>
      <c r="N3927">
        <f>SUMPRODUCT(Calc!$K$3:$K$22*(Calc!$G$3:$G$22&gt;A3927)*(Calc!$G$3:$G$22-A3927)*Calc!$I$3:$I$22)</f>
        <v/>
      </c>
      <c r="O3927">
        <f>SUMPRODUCT(Calc!$K$3:$K$22*(Calc!$G$3:$G$22&gt;B3927)*(Calc!$G$3:$G$22-B3927)*Calc!$I$3:$I$22)</f>
        <v/>
      </c>
      <c r="P3927">
        <f>I3927-G3927^2/k_n</f>
        <v/>
      </c>
      <c r="Q3927">
        <f>J3927-H3927^2/k_n</f>
        <v/>
      </c>
      <c r="R3927">
        <f>K3927-G3927*H3927/k_n</f>
        <v/>
      </c>
      <c r="S3927">
        <f>L3927-LTP3!$D$3*G3927/k_n</f>
        <v/>
      </c>
      <c r="T3927">
        <f>M3927-LTP3!$D$3*H3927/k_n</f>
        <v/>
      </c>
      <c r="U3927">
        <f>N3927-G3927*LTP3!$D$4/k_n</f>
        <v/>
      </c>
      <c r="V3927">
        <f>O3927-H3927*LTP3!$D$4/k_n</f>
        <v/>
      </c>
      <c r="W3927">
        <f>((LTP3!$D$5)*((P3927)*(Q3927)-(R3927)*(R3927))-(S3927)*((S3927)*(Q3927)-(R3927)*(T3927))+(T3927)*((S3927)*(R3927)-(P3927)*(T3927)))</f>
        <v/>
      </c>
      <c r="X3927">
        <f>IF(ABS(W3927)&gt;1E-12,((LTP3!$D$6)*((P3927)*(Q3927)-(R3927)*(R3927))-(S3927)*((U3927)*(Q3927)-(R3927)*(V3927))+(T3927)*((U3927)*(R3927)-(P3927)*(V3927)))/W3927,0)</f>
        <v/>
      </c>
      <c r="Y3927">
        <f>IF(ABS(W3927)&gt;1E-12,((LTP3!$D$5)*((U3927)*(Q3927)-(R3927)*(V3927))-(LTP3!$D$6)*((S3927)*(Q3927)-(R3927)*(T3927))+(T3927)*((S3927)*(V3927)-(U3927)*(T3927)))/W3927,0)</f>
        <v/>
      </c>
      <c r="Z3927">
        <f>IF(ABS(W3927)&gt;1E-12,((LTP3!$D$5)*((P3927)*(V3927)-(U3927)*(R3927))-(S3927)*((S3927)*(V3927)-(U3927)*(T3927))+(LTP3!$D$6)*((S3927)*(R3927)-(P3927)*(T3927)))/W3927,0)</f>
        <v/>
      </c>
      <c r="AA3927">
        <f>LTP3!$D$7-X3927*LTP3!$D$6-Y3927*U3927-Z3927*V3927</f>
        <v/>
      </c>
      <c r="AB3927">
        <f>IF(AND(F3927,ABS(W3927)&gt;1E-12,Y3927&gt;0,Z3927&gt;0),AA3927,1E+300)</f>
        <v/>
      </c>
    </row>
    <row r="3928">
      <c r="A3928">
        <f>$I$3-$B$5+$B$5*9/10</f>
        <v/>
      </c>
      <c r="B3928">
        <f>$J$3-$B$5+$B$5*3/10</f>
        <v/>
      </c>
      <c r="C3928">
        <f>SUMPRODUCT(Calc!$K$3:$K$22*(Calc!$G$3:$G$22&lt;=A3928))</f>
        <v/>
      </c>
      <c r="D3928">
        <f>SUMPRODUCT(Calc!$K$3:$K$22*(Calc!$G$3:$G$22&gt;A3928)*(Calc!$G$3:$G$22&lt;B3928))</f>
        <v/>
      </c>
      <c r="E3928">
        <f>SUMPRODUCT(Calc!$K$3:$K$22*(Calc!$G$3:$G$22&gt;=B3928))</f>
        <v/>
      </c>
      <c r="F3928">
        <f>AND(k_n&gt;=5,B3928&gt;A3928+1E-9,C3928&gt;=2,D3928&gt;=1,E3928&gt;=2)</f>
        <v/>
      </c>
      <c r="G3928">
        <f>SUMPRODUCT(Calc!$K$3:$K$22*(Calc!$G$3:$G$22&gt;A3928)*(Calc!$G$3:$G$22-A3928))</f>
        <v/>
      </c>
      <c r="H3928">
        <f>SUMPRODUCT(Calc!$K$3:$K$22*(Calc!$G$3:$G$22&gt;B3928)*(Calc!$G$3:$G$22-B3928))</f>
        <v/>
      </c>
      <c r="I3928">
        <f>SUMPRODUCT(Calc!$K$3:$K$22*(Calc!$G$3:$G$22&gt;A3928)*(Calc!$G$3:$G$22-A3928)^2)</f>
        <v/>
      </c>
      <c r="J3928">
        <f>SUMPRODUCT(Calc!$K$3:$K$22*(Calc!$G$3:$G$22&gt;B3928)*(Calc!$G$3:$G$22-B3928)^2)</f>
        <v/>
      </c>
      <c r="K3928">
        <f>SUMPRODUCT(Calc!$K$3:$K$22*(Calc!$G$3:$G$22&gt;A3928)*(Calc!$G$3:$G$22-A3928)*(Calc!$G$3:$G$22&gt;B3928)*(Calc!$G$3:$G$22-B3928))</f>
        <v/>
      </c>
      <c r="L3928">
        <f>SUMPRODUCT(Calc!$K$3:$K$22*(Calc!$G$3:$G$22&gt;A3928)*(Calc!$G$3:$G$22-A3928)*Calc!$G$3:$G$22)</f>
        <v/>
      </c>
      <c r="M3928">
        <f>SUMPRODUCT(Calc!$K$3:$K$22*(Calc!$G$3:$G$22&gt;B3928)*(Calc!$G$3:$G$22-B3928)*Calc!$G$3:$G$22)</f>
        <v/>
      </c>
      <c r="N3928">
        <f>SUMPRODUCT(Calc!$K$3:$K$22*(Calc!$G$3:$G$22&gt;A3928)*(Calc!$G$3:$G$22-A3928)*Calc!$I$3:$I$22)</f>
        <v/>
      </c>
      <c r="O3928">
        <f>SUMPRODUCT(Calc!$K$3:$K$22*(Calc!$G$3:$G$22&gt;B3928)*(Calc!$G$3:$G$22-B3928)*Calc!$I$3:$I$22)</f>
        <v/>
      </c>
      <c r="P3928">
        <f>I3928-G3928^2/k_n</f>
        <v/>
      </c>
      <c r="Q3928">
        <f>J3928-H3928^2/k_n</f>
        <v/>
      </c>
      <c r="R3928">
        <f>K3928-G3928*H3928/k_n</f>
        <v/>
      </c>
      <c r="S3928">
        <f>L3928-LTP3!$D$3*G3928/k_n</f>
        <v/>
      </c>
      <c r="T3928">
        <f>M3928-LTP3!$D$3*H3928/k_n</f>
        <v/>
      </c>
      <c r="U3928">
        <f>N3928-G3928*LTP3!$D$4/k_n</f>
        <v/>
      </c>
      <c r="V3928">
        <f>O3928-H3928*LTP3!$D$4/k_n</f>
        <v/>
      </c>
      <c r="W3928">
        <f>((LTP3!$D$5)*((P3928)*(Q3928)-(R3928)*(R3928))-(S3928)*((S3928)*(Q3928)-(R3928)*(T3928))+(T3928)*((S3928)*(R3928)-(P3928)*(T3928)))</f>
        <v/>
      </c>
      <c r="X3928">
        <f>IF(ABS(W3928)&gt;1E-12,((LTP3!$D$6)*((P3928)*(Q3928)-(R3928)*(R3928))-(S3928)*((U3928)*(Q3928)-(R3928)*(V3928))+(T3928)*((U3928)*(R3928)-(P3928)*(V3928)))/W3928,0)</f>
        <v/>
      </c>
      <c r="Y3928">
        <f>IF(ABS(W3928)&gt;1E-12,((LTP3!$D$5)*((U3928)*(Q3928)-(R3928)*(V3928))-(LTP3!$D$6)*((S3928)*(Q3928)-(R3928)*(T3928))+(T3928)*((S3928)*(V3928)-(U3928)*(T3928)))/W3928,0)</f>
        <v/>
      </c>
      <c r="Z3928">
        <f>IF(ABS(W3928)&gt;1E-12,((LTP3!$D$5)*((P3928)*(V3928)-(U3928)*(R3928))-(S3928)*((S3928)*(V3928)-(U3928)*(T3928))+(LTP3!$D$6)*((S3928)*(R3928)-(P3928)*(T3928)))/W3928,0)</f>
        <v/>
      </c>
      <c r="AA3928">
        <f>LTP3!$D$7-X3928*LTP3!$D$6-Y3928*U3928-Z3928*V3928</f>
        <v/>
      </c>
      <c r="AB3928">
        <f>IF(AND(F3928,ABS(W3928)&gt;1E-12,Y3928&gt;0,Z3928&gt;0),AA3928,1E+300)</f>
        <v/>
      </c>
    </row>
    <row r="3929">
      <c r="A3929">
        <f>$I$3-$B$5+$B$5*9/10</f>
        <v/>
      </c>
      <c r="B3929">
        <f>$J$3-$B$5+$B$5*4/10</f>
        <v/>
      </c>
      <c r="C3929">
        <f>SUMPRODUCT(Calc!$K$3:$K$22*(Calc!$G$3:$G$22&lt;=A3929))</f>
        <v/>
      </c>
      <c r="D3929">
        <f>SUMPRODUCT(Calc!$K$3:$K$22*(Calc!$G$3:$G$22&gt;A3929)*(Calc!$G$3:$G$22&lt;B3929))</f>
        <v/>
      </c>
      <c r="E3929">
        <f>SUMPRODUCT(Calc!$K$3:$K$22*(Calc!$G$3:$G$22&gt;=B3929))</f>
        <v/>
      </c>
      <c r="F3929">
        <f>AND(k_n&gt;=5,B3929&gt;A3929+1E-9,C3929&gt;=2,D3929&gt;=1,E3929&gt;=2)</f>
        <v/>
      </c>
      <c r="G3929">
        <f>SUMPRODUCT(Calc!$K$3:$K$22*(Calc!$G$3:$G$22&gt;A3929)*(Calc!$G$3:$G$22-A3929))</f>
        <v/>
      </c>
      <c r="H3929">
        <f>SUMPRODUCT(Calc!$K$3:$K$22*(Calc!$G$3:$G$22&gt;B3929)*(Calc!$G$3:$G$22-B3929))</f>
        <v/>
      </c>
      <c r="I3929">
        <f>SUMPRODUCT(Calc!$K$3:$K$22*(Calc!$G$3:$G$22&gt;A3929)*(Calc!$G$3:$G$22-A3929)^2)</f>
        <v/>
      </c>
      <c r="J3929">
        <f>SUMPRODUCT(Calc!$K$3:$K$22*(Calc!$G$3:$G$22&gt;B3929)*(Calc!$G$3:$G$22-B3929)^2)</f>
        <v/>
      </c>
      <c r="K3929">
        <f>SUMPRODUCT(Calc!$K$3:$K$22*(Calc!$G$3:$G$22&gt;A3929)*(Calc!$G$3:$G$22-A3929)*(Calc!$G$3:$G$22&gt;B3929)*(Calc!$G$3:$G$22-B3929))</f>
        <v/>
      </c>
      <c r="L3929">
        <f>SUMPRODUCT(Calc!$K$3:$K$22*(Calc!$G$3:$G$22&gt;A3929)*(Calc!$G$3:$G$22-A3929)*Calc!$G$3:$G$22)</f>
        <v/>
      </c>
      <c r="M3929">
        <f>SUMPRODUCT(Calc!$K$3:$K$22*(Calc!$G$3:$G$22&gt;B3929)*(Calc!$G$3:$G$22-B3929)*Calc!$G$3:$G$22)</f>
        <v/>
      </c>
      <c r="N3929">
        <f>SUMPRODUCT(Calc!$K$3:$K$22*(Calc!$G$3:$G$22&gt;A3929)*(Calc!$G$3:$G$22-A3929)*Calc!$I$3:$I$22)</f>
        <v/>
      </c>
      <c r="O3929">
        <f>SUMPRODUCT(Calc!$K$3:$K$22*(Calc!$G$3:$G$22&gt;B3929)*(Calc!$G$3:$G$22-B3929)*Calc!$I$3:$I$22)</f>
        <v/>
      </c>
      <c r="P3929">
        <f>I3929-G3929^2/k_n</f>
        <v/>
      </c>
      <c r="Q3929">
        <f>J3929-H3929^2/k_n</f>
        <v/>
      </c>
      <c r="R3929">
        <f>K3929-G3929*H3929/k_n</f>
        <v/>
      </c>
      <c r="S3929">
        <f>L3929-LTP3!$D$3*G3929/k_n</f>
        <v/>
      </c>
      <c r="T3929">
        <f>M3929-LTP3!$D$3*H3929/k_n</f>
        <v/>
      </c>
      <c r="U3929">
        <f>N3929-G3929*LTP3!$D$4/k_n</f>
        <v/>
      </c>
      <c r="V3929">
        <f>O3929-H3929*LTP3!$D$4/k_n</f>
        <v/>
      </c>
      <c r="W3929">
        <f>((LTP3!$D$5)*((P3929)*(Q3929)-(R3929)*(R3929))-(S3929)*((S3929)*(Q3929)-(R3929)*(T3929))+(T3929)*((S3929)*(R3929)-(P3929)*(T3929)))</f>
        <v/>
      </c>
      <c r="X3929">
        <f>IF(ABS(W3929)&gt;1E-12,((LTP3!$D$6)*((P3929)*(Q3929)-(R3929)*(R3929))-(S3929)*((U3929)*(Q3929)-(R3929)*(V3929))+(T3929)*((U3929)*(R3929)-(P3929)*(V3929)))/W3929,0)</f>
        <v/>
      </c>
      <c r="Y3929">
        <f>IF(ABS(W3929)&gt;1E-12,((LTP3!$D$5)*((U3929)*(Q3929)-(R3929)*(V3929))-(LTP3!$D$6)*((S3929)*(Q3929)-(R3929)*(T3929))+(T3929)*((S3929)*(V3929)-(U3929)*(T3929)))/W3929,0)</f>
        <v/>
      </c>
      <c r="Z3929">
        <f>IF(ABS(W3929)&gt;1E-12,((LTP3!$D$5)*((P3929)*(V3929)-(U3929)*(R3929))-(S3929)*((S3929)*(V3929)-(U3929)*(T3929))+(LTP3!$D$6)*((S3929)*(R3929)-(P3929)*(T3929)))/W3929,0)</f>
        <v/>
      </c>
      <c r="AA3929">
        <f>LTP3!$D$7-X3929*LTP3!$D$6-Y3929*U3929-Z3929*V3929</f>
        <v/>
      </c>
      <c r="AB3929">
        <f>IF(AND(F3929,ABS(W3929)&gt;1E-12,Y3929&gt;0,Z3929&gt;0),AA3929,1E+300)</f>
        <v/>
      </c>
    </row>
    <row r="3930">
      <c r="A3930">
        <f>$I$3-$B$5+$B$5*9/10</f>
        <v/>
      </c>
      <c r="B3930">
        <f>$J$3-$B$5+$B$5*5/10</f>
        <v/>
      </c>
      <c r="C3930">
        <f>SUMPRODUCT(Calc!$K$3:$K$22*(Calc!$G$3:$G$22&lt;=A3930))</f>
        <v/>
      </c>
      <c r="D3930">
        <f>SUMPRODUCT(Calc!$K$3:$K$22*(Calc!$G$3:$G$22&gt;A3930)*(Calc!$G$3:$G$22&lt;B3930))</f>
        <v/>
      </c>
      <c r="E3930">
        <f>SUMPRODUCT(Calc!$K$3:$K$22*(Calc!$G$3:$G$22&gt;=B3930))</f>
        <v/>
      </c>
      <c r="F3930">
        <f>AND(k_n&gt;=5,B3930&gt;A3930+1E-9,C3930&gt;=2,D3930&gt;=1,E3930&gt;=2)</f>
        <v/>
      </c>
      <c r="G3930">
        <f>SUMPRODUCT(Calc!$K$3:$K$22*(Calc!$G$3:$G$22&gt;A3930)*(Calc!$G$3:$G$22-A3930))</f>
        <v/>
      </c>
      <c r="H3930">
        <f>SUMPRODUCT(Calc!$K$3:$K$22*(Calc!$G$3:$G$22&gt;B3930)*(Calc!$G$3:$G$22-B3930))</f>
        <v/>
      </c>
      <c r="I3930">
        <f>SUMPRODUCT(Calc!$K$3:$K$22*(Calc!$G$3:$G$22&gt;A3930)*(Calc!$G$3:$G$22-A3930)^2)</f>
        <v/>
      </c>
      <c r="J3930">
        <f>SUMPRODUCT(Calc!$K$3:$K$22*(Calc!$G$3:$G$22&gt;B3930)*(Calc!$G$3:$G$22-B3930)^2)</f>
        <v/>
      </c>
      <c r="K3930">
        <f>SUMPRODUCT(Calc!$K$3:$K$22*(Calc!$G$3:$G$22&gt;A3930)*(Calc!$G$3:$G$22-A3930)*(Calc!$G$3:$G$22&gt;B3930)*(Calc!$G$3:$G$22-B3930))</f>
        <v/>
      </c>
      <c r="L3930">
        <f>SUMPRODUCT(Calc!$K$3:$K$22*(Calc!$G$3:$G$22&gt;A3930)*(Calc!$G$3:$G$22-A3930)*Calc!$G$3:$G$22)</f>
        <v/>
      </c>
      <c r="M3930">
        <f>SUMPRODUCT(Calc!$K$3:$K$22*(Calc!$G$3:$G$22&gt;B3930)*(Calc!$G$3:$G$22-B3930)*Calc!$G$3:$G$22)</f>
        <v/>
      </c>
      <c r="N3930">
        <f>SUMPRODUCT(Calc!$K$3:$K$22*(Calc!$G$3:$G$22&gt;A3930)*(Calc!$G$3:$G$22-A3930)*Calc!$I$3:$I$22)</f>
        <v/>
      </c>
      <c r="O3930">
        <f>SUMPRODUCT(Calc!$K$3:$K$22*(Calc!$G$3:$G$22&gt;B3930)*(Calc!$G$3:$G$22-B3930)*Calc!$I$3:$I$22)</f>
        <v/>
      </c>
      <c r="P3930">
        <f>I3930-G3930^2/k_n</f>
        <v/>
      </c>
      <c r="Q3930">
        <f>J3930-H3930^2/k_n</f>
        <v/>
      </c>
      <c r="R3930">
        <f>K3930-G3930*H3930/k_n</f>
        <v/>
      </c>
      <c r="S3930">
        <f>L3930-LTP3!$D$3*G3930/k_n</f>
        <v/>
      </c>
      <c r="T3930">
        <f>M3930-LTP3!$D$3*H3930/k_n</f>
        <v/>
      </c>
      <c r="U3930">
        <f>N3930-G3930*LTP3!$D$4/k_n</f>
        <v/>
      </c>
      <c r="V3930">
        <f>O3930-H3930*LTP3!$D$4/k_n</f>
        <v/>
      </c>
      <c r="W3930">
        <f>((LTP3!$D$5)*((P3930)*(Q3930)-(R3930)*(R3930))-(S3930)*((S3930)*(Q3930)-(R3930)*(T3930))+(T3930)*((S3930)*(R3930)-(P3930)*(T3930)))</f>
        <v/>
      </c>
      <c r="X3930">
        <f>IF(ABS(W3930)&gt;1E-12,((LTP3!$D$6)*((P3930)*(Q3930)-(R3930)*(R3930))-(S3930)*((U3930)*(Q3930)-(R3930)*(V3930))+(T3930)*((U3930)*(R3930)-(P3930)*(V3930)))/W3930,0)</f>
        <v/>
      </c>
      <c r="Y3930">
        <f>IF(ABS(W3930)&gt;1E-12,((LTP3!$D$5)*((U3930)*(Q3930)-(R3930)*(V3930))-(LTP3!$D$6)*((S3930)*(Q3930)-(R3930)*(T3930))+(T3930)*((S3930)*(V3930)-(U3930)*(T3930)))/W3930,0)</f>
        <v/>
      </c>
      <c r="Z3930">
        <f>IF(ABS(W3930)&gt;1E-12,((LTP3!$D$5)*((P3930)*(V3930)-(U3930)*(R3930))-(S3930)*((S3930)*(V3930)-(U3930)*(T3930))+(LTP3!$D$6)*((S3930)*(R3930)-(P3930)*(T3930)))/W3930,0)</f>
        <v/>
      </c>
      <c r="AA3930">
        <f>LTP3!$D$7-X3930*LTP3!$D$6-Y3930*U3930-Z3930*V3930</f>
        <v/>
      </c>
      <c r="AB3930">
        <f>IF(AND(F3930,ABS(W3930)&gt;1E-12,Y3930&gt;0,Z3930&gt;0),AA3930,1E+300)</f>
        <v/>
      </c>
    </row>
    <row r="3931">
      <c r="A3931">
        <f>$I$3-$B$5+$B$5*9/10</f>
        <v/>
      </c>
      <c r="B3931">
        <f>$J$3-$B$5+$B$5*6/10</f>
        <v/>
      </c>
      <c r="C3931">
        <f>SUMPRODUCT(Calc!$K$3:$K$22*(Calc!$G$3:$G$22&lt;=A3931))</f>
        <v/>
      </c>
      <c r="D3931">
        <f>SUMPRODUCT(Calc!$K$3:$K$22*(Calc!$G$3:$G$22&gt;A3931)*(Calc!$G$3:$G$22&lt;B3931))</f>
        <v/>
      </c>
      <c r="E3931">
        <f>SUMPRODUCT(Calc!$K$3:$K$22*(Calc!$G$3:$G$22&gt;=B3931))</f>
        <v/>
      </c>
      <c r="F3931">
        <f>AND(k_n&gt;=5,B3931&gt;A3931+1E-9,C3931&gt;=2,D3931&gt;=1,E3931&gt;=2)</f>
        <v/>
      </c>
      <c r="G3931">
        <f>SUMPRODUCT(Calc!$K$3:$K$22*(Calc!$G$3:$G$22&gt;A3931)*(Calc!$G$3:$G$22-A3931))</f>
        <v/>
      </c>
      <c r="H3931">
        <f>SUMPRODUCT(Calc!$K$3:$K$22*(Calc!$G$3:$G$22&gt;B3931)*(Calc!$G$3:$G$22-B3931))</f>
        <v/>
      </c>
      <c r="I3931">
        <f>SUMPRODUCT(Calc!$K$3:$K$22*(Calc!$G$3:$G$22&gt;A3931)*(Calc!$G$3:$G$22-A3931)^2)</f>
        <v/>
      </c>
      <c r="J3931">
        <f>SUMPRODUCT(Calc!$K$3:$K$22*(Calc!$G$3:$G$22&gt;B3931)*(Calc!$G$3:$G$22-B3931)^2)</f>
        <v/>
      </c>
      <c r="K3931">
        <f>SUMPRODUCT(Calc!$K$3:$K$22*(Calc!$G$3:$G$22&gt;A3931)*(Calc!$G$3:$G$22-A3931)*(Calc!$G$3:$G$22&gt;B3931)*(Calc!$G$3:$G$22-B3931))</f>
        <v/>
      </c>
      <c r="L3931">
        <f>SUMPRODUCT(Calc!$K$3:$K$22*(Calc!$G$3:$G$22&gt;A3931)*(Calc!$G$3:$G$22-A3931)*Calc!$G$3:$G$22)</f>
        <v/>
      </c>
      <c r="M3931">
        <f>SUMPRODUCT(Calc!$K$3:$K$22*(Calc!$G$3:$G$22&gt;B3931)*(Calc!$G$3:$G$22-B3931)*Calc!$G$3:$G$22)</f>
        <v/>
      </c>
      <c r="N3931">
        <f>SUMPRODUCT(Calc!$K$3:$K$22*(Calc!$G$3:$G$22&gt;A3931)*(Calc!$G$3:$G$22-A3931)*Calc!$I$3:$I$22)</f>
        <v/>
      </c>
      <c r="O3931">
        <f>SUMPRODUCT(Calc!$K$3:$K$22*(Calc!$G$3:$G$22&gt;B3931)*(Calc!$G$3:$G$22-B3931)*Calc!$I$3:$I$22)</f>
        <v/>
      </c>
      <c r="P3931">
        <f>I3931-G3931^2/k_n</f>
        <v/>
      </c>
      <c r="Q3931">
        <f>J3931-H3931^2/k_n</f>
        <v/>
      </c>
      <c r="R3931">
        <f>K3931-G3931*H3931/k_n</f>
        <v/>
      </c>
      <c r="S3931">
        <f>L3931-LTP3!$D$3*G3931/k_n</f>
        <v/>
      </c>
      <c r="T3931">
        <f>M3931-LTP3!$D$3*H3931/k_n</f>
        <v/>
      </c>
      <c r="U3931">
        <f>N3931-G3931*LTP3!$D$4/k_n</f>
        <v/>
      </c>
      <c r="V3931">
        <f>O3931-H3931*LTP3!$D$4/k_n</f>
        <v/>
      </c>
      <c r="W3931">
        <f>((LTP3!$D$5)*((P3931)*(Q3931)-(R3931)*(R3931))-(S3931)*((S3931)*(Q3931)-(R3931)*(T3931))+(T3931)*((S3931)*(R3931)-(P3931)*(T3931)))</f>
        <v/>
      </c>
      <c r="X3931">
        <f>IF(ABS(W3931)&gt;1E-12,((LTP3!$D$6)*((P3931)*(Q3931)-(R3931)*(R3931))-(S3931)*((U3931)*(Q3931)-(R3931)*(V3931))+(T3931)*((U3931)*(R3931)-(P3931)*(V3931)))/W3931,0)</f>
        <v/>
      </c>
      <c r="Y3931">
        <f>IF(ABS(W3931)&gt;1E-12,((LTP3!$D$5)*((U3931)*(Q3931)-(R3931)*(V3931))-(LTP3!$D$6)*((S3931)*(Q3931)-(R3931)*(T3931))+(T3931)*((S3931)*(V3931)-(U3931)*(T3931)))/W3931,0)</f>
        <v/>
      </c>
      <c r="Z3931">
        <f>IF(ABS(W3931)&gt;1E-12,((LTP3!$D$5)*((P3931)*(V3931)-(U3931)*(R3931))-(S3931)*((S3931)*(V3931)-(U3931)*(T3931))+(LTP3!$D$6)*((S3931)*(R3931)-(P3931)*(T3931)))/W3931,0)</f>
        <v/>
      </c>
      <c r="AA3931">
        <f>LTP3!$D$7-X3931*LTP3!$D$6-Y3931*U3931-Z3931*V3931</f>
        <v/>
      </c>
      <c r="AB3931">
        <f>IF(AND(F3931,ABS(W3931)&gt;1E-12,Y3931&gt;0,Z3931&gt;0),AA3931,1E+300)</f>
        <v/>
      </c>
    </row>
    <row r="3932">
      <c r="A3932">
        <f>$I$3-$B$5+$B$5*9/10</f>
        <v/>
      </c>
      <c r="B3932">
        <f>$J$3-$B$5+$B$5*7/10</f>
        <v/>
      </c>
      <c r="C3932">
        <f>SUMPRODUCT(Calc!$K$3:$K$22*(Calc!$G$3:$G$22&lt;=A3932))</f>
        <v/>
      </c>
      <c r="D3932">
        <f>SUMPRODUCT(Calc!$K$3:$K$22*(Calc!$G$3:$G$22&gt;A3932)*(Calc!$G$3:$G$22&lt;B3932))</f>
        <v/>
      </c>
      <c r="E3932">
        <f>SUMPRODUCT(Calc!$K$3:$K$22*(Calc!$G$3:$G$22&gt;=B3932))</f>
        <v/>
      </c>
      <c r="F3932">
        <f>AND(k_n&gt;=5,B3932&gt;A3932+1E-9,C3932&gt;=2,D3932&gt;=1,E3932&gt;=2)</f>
        <v/>
      </c>
      <c r="G3932">
        <f>SUMPRODUCT(Calc!$K$3:$K$22*(Calc!$G$3:$G$22&gt;A3932)*(Calc!$G$3:$G$22-A3932))</f>
        <v/>
      </c>
      <c r="H3932">
        <f>SUMPRODUCT(Calc!$K$3:$K$22*(Calc!$G$3:$G$22&gt;B3932)*(Calc!$G$3:$G$22-B3932))</f>
        <v/>
      </c>
      <c r="I3932">
        <f>SUMPRODUCT(Calc!$K$3:$K$22*(Calc!$G$3:$G$22&gt;A3932)*(Calc!$G$3:$G$22-A3932)^2)</f>
        <v/>
      </c>
      <c r="J3932">
        <f>SUMPRODUCT(Calc!$K$3:$K$22*(Calc!$G$3:$G$22&gt;B3932)*(Calc!$G$3:$G$22-B3932)^2)</f>
        <v/>
      </c>
      <c r="K3932">
        <f>SUMPRODUCT(Calc!$K$3:$K$22*(Calc!$G$3:$G$22&gt;A3932)*(Calc!$G$3:$G$22-A3932)*(Calc!$G$3:$G$22&gt;B3932)*(Calc!$G$3:$G$22-B3932))</f>
        <v/>
      </c>
      <c r="L3932">
        <f>SUMPRODUCT(Calc!$K$3:$K$22*(Calc!$G$3:$G$22&gt;A3932)*(Calc!$G$3:$G$22-A3932)*Calc!$G$3:$G$22)</f>
        <v/>
      </c>
      <c r="M3932">
        <f>SUMPRODUCT(Calc!$K$3:$K$22*(Calc!$G$3:$G$22&gt;B3932)*(Calc!$G$3:$G$22-B3932)*Calc!$G$3:$G$22)</f>
        <v/>
      </c>
      <c r="N3932">
        <f>SUMPRODUCT(Calc!$K$3:$K$22*(Calc!$G$3:$G$22&gt;A3932)*(Calc!$G$3:$G$22-A3932)*Calc!$I$3:$I$22)</f>
        <v/>
      </c>
      <c r="O3932">
        <f>SUMPRODUCT(Calc!$K$3:$K$22*(Calc!$G$3:$G$22&gt;B3932)*(Calc!$G$3:$G$22-B3932)*Calc!$I$3:$I$22)</f>
        <v/>
      </c>
      <c r="P3932">
        <f>I3932-G3932^2/k_n</f>
        <v/>
      </c>
      <c r="Q3932">
        <f>J3932-H3932^2/k_n</f>
        <v/>
      </c>
      <c r="R3932">
        <f>K3932-G3932*H3932/k_n</f>
        <v/>
      </c>
      <c r="S3932">
        <f>L3932-LTP3!$D$3*G3932/k_n</f>
        <v/>
      </c>
      <c r="T3932">
        <f>M3932-LTP3!$D$3*H3932/k_n</f>
        <v/>
      </c>
      <c r="U3932">
        <f>N3932-G3932*LTP3!$D$4/k_n</f>
        <v/>
      </c>
      <c r="V3932">
        <f>O3932-H3932*LTP3!$D$4/k_n</f>
        <v/>
      </c>
      <c r="W3932">
        <f>((LTP3!$D$5)*((P3932)*(Q3932)-(R3932)*(R3932))-(S3932)*((S3932)*(Q3932)-(R3932)*(T3932))+(T3932)*((S3932)*(R3932)-(P3932)*(T3932)))</f>
        <v/>
      </c>
      <c r="X3932">
        <f>IF(ABS(W3932)&gt;1E-12,((LTP3!$D$6)*((P3932)*(Q3932)-(R3932)*(R3932))-(S3932)*((U3932)*(Q3932)-(R3932)*(V3932))+(T3932)*((U3932)*(R3932)-(P3932)*(V3932)))/W3932,0)</f>
        <v/>
      </c>
      <c r="Y3932">
        <f>IF(ABS(W3932)&gt;1E-12,((LTP3!$D$5)*((U3932)*(Q3932)-(R3932)*(V3932))-(LTP3!$D$6)*((S3932)*(Q3932)-(R3932)*(T3932))+(T3932)*((S3932)*(V3932)-(U3932)*(T3932)))/W3932,0)</f>
        <v/>
      </c>
      <c r="Z3932">
        <f>IF(ABS(W3932)&gt;1E-12,((LTP3!$D$5)*((P3932)*(V3932)-(U3932)*(R3932))-(S3932)*((S3932)*(V3932)-(U3932)*(T3932))+(LTP3!$D$6)*((S3932)*(R3932)-(P3932)*(T3932)))/W3932,0)</f>
        <v/>
      </c>
      <c r="AA3932">
        <f>LTP3!$D$7-X3932*LTP3!$D$6-Y3932*U3932-Z3932*V3932</f>
        <v/>
      </c>
      <c r="AB3932">
        <f>IF(AND(F3932,ABS(W3932)&gt;1E-12,Y3932&gt;0,Z3932&gt;0),AA3932,1E+300)</f>
        <v/>
      </c>
    </row>
    <row r="3933">
      <c r="A3933">
        <f>$I$3-$B$5+$B$5*9/10</f>
        <v/>
      </c>
      <c r="B3933">
        <f>$J$3-$B$5+$B$5*8/10</f>
        <v/>
      </c>
      <c r="C3933">
        <f>SUMPRODUCT(Calc!$K$3:$K$22*(Calc!$G$3:$G$22&lt;=A3933))</f>
        <v/>
      </c>
      <c r="D3933">
        <f>SUMPRODUCT(Calc!$K$3:$K$22*(Calc!$G$3:$G$22&gt;A3933)*(Calc!$G$3:$G$22&lt;B3933))</f>
        <v/>
      </c>
      <c r="E3933">
        <f>SUMPRODUCT(Calc!$K$3:$K$22*(Calc!$G$3:$G$22&gt;=B3933))</f>
        <v/>
      </c>
      <c r="F3933">
        <f>AND(k_n&gt;=5,B3933&gt;A3933+1E-9,C3933&gt;=2,D3933&gt;=1,E3933&gt;=2)</f>
        <v/>
      </c>
      <c r="G3933">
        <f>SUMPRODUCT(Calc!$K$3:$K$22*(Calc!$G$3:$G$22&gt;A3933)*(Calc!$G$3:$G$22-A3933))</f>
        <v/>
      </c>
      <c r="H3933">
        <f>SUMPRODUCT(Calc!$K$3:$K$22*(Calc!$G$3:$G$22&gt;B3933)*(Calc!$G$3:$G$22-B3933))</f>
        <v/>
      </c>
      <c r="I3933">
        <f>SUMPRODUCT(Calc!$K$3:$K$22*(Calc!$G$3:$G$22&gt;A3933)*(Calc!$G$3:$G$22-A3933)^2)</f>
        <v/>
      </c>
      <c r="J3933">
        <f>SUMPRODUCT(Calc!$K$3:$K$22*(Calc!$G$3:$G$22&gt;B3933)*(Calc!$G$3:$G$22-B3933)^2)</f>
        <v/>
      </c>
      <c r="K3933">
        <f>SUMPRODUCT(Calc!$K$3:$K$22*(Calc!$G$3:$G$22&gt;A3933)*(Calc!$G$3:$G$22-A3933)*(Calc!$G$3:$G$22&gt;B3933)*(Calc!$G$3:$G$22-B3933))</f>
        <v/>
      </c>
      <c r="L3933">
        <f>SUMPRODUCT(Calc!$K$3:$K$22*(Calc!$G$3:$G$22&gt;A3933)*(Calc!$G$3:$G$22-A3933)*Calc!$G$3:$G$22)</f>
        <v/>
      </c>
      <c r="M3933">
        <f>SUMPRODUCT(Calc!$K$3:$K$22*(Calc!$G$3:$G$22&gt;B3933)*(Calc!$G$3:$G$22-B3933)*Calc!$G$3:$G$22)</f>
        <v/>
      </c>
      <c r="N3933">
        <f>SUMPRODUCT(Calc!$K$3:$K$22*(Calc!$G$3:$G$22&gt;A3933)*(Calc!$G$3:$G$22-A3933)*Calc!$I$3:$I$22)</f>
        <v/>
      </c>
      <c r="O3933">
        <f>SUMPRODUCT(Calc!$K$3:$K$22*(Calc!$G$3:$G$22&gt;B3933)*(Calc!$G$3:$G$22-B3933)*Calc!$I$3:$I$22)</f>
        <v/>
      </c>
      <c r="P3933">
        <f>I3933-G3933^2/k_n</f>
        <v/>
      </c>
      <c r="Q3933">
        <f>J3933-H3933^2/k_n</f>
        <v/>
      </c>
      <c r="R3933">
        <f>K3933-G3933*H3933/k_n</f>
        <v/>
      </c>
      <c r="S3933">
        <f>L3933-LTP3!$D$3*G3933/k_n</f>
        <v/>
      </c>
      <c r="T3933">
        <f>M3933-LTP3!$D$3*H3933/k_n</f>
        <v/>
      </c>
      <c r="U3933">
        <f>N3933-G3933*LTP3!$D$4/k_n</f>
        <v/>
      </c>
      <c r="V3933">
        <f>O3933-H3933*LTP3!$D$4/k_n</f>
        <v/>
      </c>
      <c r="W3933">
        <f>((LTP3!$D$5)*((P3933)*(Q3933)-(R3933)*(R3933))-(S3933)*((S3933)*(Q3933)-(R3933)*(T3933))+(T3933)*((S3933)*(R3933)-(P3933)*(T3933)))</f>
        <v/>
      </c>
      <c r="X3933">
        <f>IF(ABS(W3933)&gt;1E-12,((LTP3!$D$6)*((P3933)*(Q3933)-(R3933)*(R3933))-(S3933)*((U3933)*(Q3933)-(R3933)*(V3933))+(T3933)*((U3933)*(R3933)-(P3933)*(V3933)))/W3933,0)</f>
        <v/>
      </c>
      <c r="Y3933">
        <f>IF(ABS(W3933)&gt;1E-12,((LTP3!$D$5)*((U3933)*(Q3933)-(R3933)*(V3933))-(LTP3!$D$6)*((S3933)*(Q3933)-(R3933)*(T3933))+(T3933)*((S3933)*(V3933)-(U3933)*(T3933)))/W3933,0)</f>
        <v/>
      </c>
      <c r="Z3933">
        <f>IF(ABS(W3933)&gt;1E-12,((LTP3!$D$5)*((P3933)*(V3933)-(U3933)*(R3933))-(S3933)*((S3933)*(V3933)-(U3933)*(T3933))+(LTP3!$D$6)*((S3933)*(R3933)-(P3933)*(T3933)))/W3933,0)</f>
        <v/>
      </c>
      <c r="AA3933">
        <f>LTP3!$D$7-X3933*LTP3!$D$6-Y3933*U3933-Z3933*V3933</f>
        <v/>
      </c>
      <c r="AB3933">
        <f>IF(AND(F3933,ABS(W3933)&gt;1E-12,Y3933&gt;0,Z3933&gt;0),AA3933,1E+300)</f>
        <v/>
      </c>
    </row>
    <row r="3934">
      <c r="A3934">
        <f>$I$3-$B$5+$B$5*9/10</f>
        <v/>
      </c>
      <c r="B3934">
        <f>$J$3-$B$5+$B$5*9/10</f>
        <v/>
      </c>
      <c r="C3934">
        <f>SUMPRODUCT(Calc!$K$3:$K$22*(Calc!$G$3:$G$22&lt;=A3934))</f>
        <v/>
      </c>
      <c r="D3934">
        <f>SUMPRODUCT(Calc!$K$3:$K$22*(Calc!$G$3:$G$22&gt;A3934)*(Calc!$G$3:$G$22&lt;B3934))</f>
        <v/>
      </c>
      <c r="E3934">
        <f>SUMPRODUCT(Calc!$K$3:$K$22*(Calc!$G$3:$G$22&gt;=B3934))</f>
        <v/>
      </c>
      <c r="F3934">
        <f>AND(k_n&gt;=5,B3934&gt;A3934+1E-9,C3934&gt;=2,D3934&gt;=1,E3934&gt;=2)</f>
        <v/>
      </c>
      <c r="G3934">
        <f>SUMPRODUCT(Calc!$K$3:$K$22*(Calc!$G$3:$G$22&gt;A3934)*(Calc!$G$3:$G$22-A3934))</f>
        <v/>
      </c>
      <c r="H3934">
        <f>SUMPRODUCT(Calc!$K$3:$K$22*(Calc!$G$3:$G$22&gt;B3934)*(Calc!$G$3:$G$22-B3934))</f>
        <v/>
      </c>
      <c r="I3934">
        <f>SUMPRODUCT(Calc!$K$3:$K$22*(Calc!$G$3:$G$22&gt;A3934)*(Calc!$G$3:$G$22-A3934)^2)</f>
        <v/>
      </c>
      <c r="J3934">
        <f>SUMPRODUCT(Calc!$K$3:$K$22*(Calc!$G$3:$G$22&gt;B3934)*(Calc!$G$3:$G$22-B3934)^2)</f>
        <v/>
      </c>
      <c r="K3934">
        <f>SUMPRODUCT(Calc!$K$3:$K$22*(Calc!$G$3:$G$22&gt;A3934)*(Calc!$G$3:$G$22-A3934)*(Calc!$G$3:$G$22&gt;B3934)*(Calc!$G$3:$G$22-B3934))</f>
        <v/>
      </c>
      <c r="L3934">
        <f>SUMPRODUCT(Calc!$K$3:$K$22*(Calc!$G$3:$G$22&gt;A3934)*(Calc!$G$3:$G$22-A3934)*Calc!$G$3:$G$22)</f>
        <v/>
      </c>
      <c r="M3934">
        <f>SUMPRODUCT(Calc!$K$3:$K$22*(Calc!$G$3:$G$22&gt;B3934)*(Calc!$G$3:$G$22-B3934)*Calc!$G$3:$G$22)</f>
        <v/>
      </c>
      <c r="N3934">
        <f>SUMPRODUCT(Calc!$K$3:$K$22*(Calc!$G$3:$G$22&gt;A3934)*(Calc!$G$3:$G$22-A3934)*Calc!$I$3:$I$22)</f>
        <v/>
      </c>
      <c r="O3934">
        <f>SUMPRODUCT(Calc!$K$3:$K$22*(Calc!$G$3:$G$22&gt;B3934)*(Calc!$G$3:$G$22-B3934)*Calc!$I$3:$I$22)</f>
        <v/>
      </c>
      <c r="P3934">
        <f>I3934-G3934^2/k_n</f>
        <v/>
      </c>
      <c r="Q3934">
        <f>J3934-H3934^2/k_n</f>
        <v/>
      </c>
      <c r="R3934">
        <f>K3934-G3934*H3934/k_n</f>
        <v/>
      </c>
      <c r="S3934">
        <f>L3934-LTP3!$D$3*G3934/k_n</f>
        <v/>
      </c>
      <c r="T3934">
        <f>M3934-LTP3!$D$3*H3934/k_n</f>
        <v/>
      </c>
      <c r="U3934">
        <f>N3934-G3934*LTP3!$D$4/k_n</f>
        <v/>
      </c>
      <c r="V3934">
        <f>O3934-H3934*LTP3!$D$4/k_n</f>
        <v/>
      </c>
      <c r="W3934">
        <f>((LTP3!$D$5)*((P3934)*(Q3934)-(R3934)*(R3934))-(S3934)*((S3934)*(Q3934)-(R3934)*(T3934))+(T3934)*((S3934)*(R3934)-(P3934)*(T3934)))</f>
        <v/>
      </c>
      <c r="X3934">
        <f>IF(ABS(W3934)&gt;1E-12,((LTP3!$D$6)*((P3934)*(Q3934)-(R3934)*(R3934))-(S3934)*((U3934)*(Q3934)-(R3934)*(V3934))+(T3934)*((U3934)*(R3934)-(P3934)*(V3934)))/W3934,0)</f>
        <v/>
      </c>
      <c r="Y3934">
        <f>IF(ABS(W3934)&gt;1E-12,((LTP3!$D$5)*((U3934)*(Q3934)-(R3934)*(V3934))-(LTP3!$D$6)*((S3934)*(Q3934)-(R3934)*(T3934))+(T3934)*((S3934)*(V3934)-(U3934)*(T3934)))/W3934,0)</f>
        <v/>
      </c>
      <c r="Z3934">
        <f>IF(ABS(W3934)&gt;1E-12,((LTP3!$D$5)*((P3934)*(V3934)-(U3934)*(R3934))-(S3934)*((S3934)*(V3934)-(U3934)*(T3934))+(LTP3!$D$6)*((S3934)*(R3934)-(P3934)*(T3934)))/W3934,0)</f>
        <v/>
      </c>
      <c r="AA3934">
        <f>LTP3!$D$7-X3934*LTP3!$D$6-Y3934*U3934-Z3934*V3934</f>
        <v/>
      </c>
      <c r="AB3934">
        <f>IF(AND(F3934,ABS(W3934)&gt;1E-12,Y3934&gt;0,Z3934&gt;0),AA3934,1E+300)</f>
        <v/>
      </c>
    </row>
    <row r="3935">
      <c r="A3935">
        <f>$I$3-$B$5+$B$5*9/10</f>
        <v/>
      </c>
      <c r="B3935">
        <f>$J$3-$B$5+$B$5*10/10</f>
        <v/>
      </c>
      <c r="C3935">
        <f>SUMPRODUCT(Calc!$K$3:$K$22*(Calc!$G$3:$G$22&lt;=A3935))</f>
        <v/>
      </c>
      <c r="D3935">
        <f>SUMPRODUCT(Calc!$K$3:$K$22*(Calc!$G$3:$G$22&gt;A3935)*(Calc!$G$3:$G$22&lt;B3935))</f>
        <v/>
      </c>
      <c r="E3935">
        <f>SUMPRODUCT(Calc!$K$3:$K$22*(Calc!$G$3:$G$22&gt;=B3935))</f>
        <v/>
      </c>
      <c r="F3935">
        <f>AND(k_n&gt;=5,B3935&gt;A3935+1E-9,C3935&gt;=2,D3935&gt;=1,E3935&gt;=2)</f>
        <v/>
      </c>
      <c r="G3935">
        <f>SUMPRODUCT(Calc!$K$3:$K$22*(Calc!$G$3:$G$22&gt;A3935)*(Calc!$G$3:$G$22-A3935))</f>
        <v/>
      </c>
      <c r="H3935">
        <f>SUMPRODUCT(Calc!$K$3:$K$22*(Calc!$G$3:$G$22&gt;B3935)*(Calc!$G$3:$G$22-B3935))</f>
        <v/>
      </c>
      <c r="I3935">
        <f>SUMPRODUCT(Calc!$K$3:$K$22*(Calc!$G$3:$G$22&gt;A3935)*(Calc!$G$3:$G$22-A3935)^2)</f>
        <v/>
      </c>
      <c r="J3935">
        <f>SUMPRODUCT(Calc!$K$3:$K$22*(Calc!$G$3:$G$22&gt;B3935)*(Calc!$G$3:$G$22-B3935)^2)</f>
        <v/>
      </c>
      <c r="K3935">
        <f>SUMPRODUCT(Calc!$K$3:$K$22*(Calc!$G$3:$G$22&gt;A3935)*(Calc!$G$3:$G$22-A3935)*(Calc!$G$3:$G$22&gt;B3935)*(Calc!$G$3:$G$22-B3935))</f>
        <v/>
      </c>
      <c r="L3935">
        <f>SUMPRODUCT(Calc!$K$3:$K$22*(Calc!$G$3:$G$22&gt;A3935)*(Calc!$G$3:$G$22-A3935)*Calc!$G$3:$G$22)</f>
        <v/>
      </c>
      <c r="M3935">
        <f>SUMPRODUCT(Calc!$K$3:$K$22*(Calc!$G$3:$G$22&gt;B3935)*(Calc!$G$3:$G$22-B3935)*Calc!$G$3:$G$22)</f>
        <v/>
      </c>
      <c r="N3935">
        <f>SUMPRODUCT(Calc!$K$3:$K$22*(Calc!$G$3:$G$22&gt;A3935)*(Calc!$G$3:$G$22-A3935)*Calc!$I$3:$I$22)</f>
        <v/>
      </c>
      <c r="O3935">
        <f>SUMPRODUCT(Calc!$K$3:$K$22*(Calc!$G$3:$G$22&gt;B3935)*(Calc!$G$3:$G$22-B3935)*Calc!$I$3:$I$22)</f>
        <v/>
      </c>
      <c r="P3935">
        <f>I3935-G3935^2/k_n</f>
        <v/>
      </c>
      <c r="Q3935">
        <f>J3935-H3935^2/k_n</f>
        <v/>
      </c>
      <c r="R3935">
        <f>K3935-G3935*H3935/k_n</f>
        <v/>
      </c>
      <c r="S3935">
        <f>L3935-LTP3!$D$3*G3935/k_n</f>
        <v/>
      </c>
      <c r="T3935">
        <f>M3935-LTP3!$D$3*H3935/k_n</f>
        <v/>
      </c>
      <c r="U3935">
        <f>N3935-G3935*LTP3!$D$4/k_n</f>
        <v/>
      </c>
      <c r="V3935">
        <f>O3935-H3935*LTP3!$D$4/k_n</f>
        <v/>
      </c>
      <c r="W3935">
        <f>((LTP3!$D$5)*((P3935)*(Q3935)-(R3935)*(R3935))-(S3935)*((S3935)*(Q3935)-(R3935)*(T3935))+(T3935)*((S3935)*(R3935)-(P3935)*(T3935)))</f>
        <v/>
      </c>
      <c r="X3935">
        <f>IF(ABS(W3935)&gt;1E-12,((LTP3!$D$6)*((P3935)*(Q3935)-(R3935)*(R3935))-(S3935)*((U3935)*(Q3935)-(R3935)*(V3935))+(T3935)*((U3935)*(R3935)-(P3935)*(V3935)))/W3935,0)</f>
        <v/>
      </c>
      <c r="Y3935">
        <f>IF(ABS(W3935)&gt;1E-12,((LTP3!$D$5)*((U3935)*(Q3935)-(R3935)*(V3935))-(LTP3!$D$6)*((S3935)*(Q3935)-(R3935)*(T3935))+(T3935)*((S3935)*(V3935)-(U3935)*(T3935)))/W3935,0)</f>
        <v/>
      </c>
      <c r="Z3935">
        <f>IF(ABS(W3935)&gt;1E-12,((LTP3!$D$5)*((P3935)*(V3935)-(U3935)*(R3935))-(S3935)*((S3935)*(V3935)-(U3935)*(T3935))+(LTP3!$D$6)*((S3935)*(R3935)-(P3935)*(T3935)))/W3935,0)</f>
        <v/>
      </c>
      <c r="AA3935">
        <f>LTP3!$D$7-X3935*LTP3!$D$6-Y3935*U3935-Z3935*V3935</f>
        <v/>
      </c>
      <c r="AB3935">
        <f>IF(AND(F3935,ABS(W3935)&gt;1E-12,Y3935&gt;0,Z3935&gt;0),AA3935,1E+300)</f>
        <v/>
      </c>
    </row>
    <row r="3936">
      <c r="A3936">
        <f>$I$3-$B$5+$B$5*9/10</f>
        <v/>
      </c>
      <c r="B3936">
        <f>$J$3-$B$5+$B$5*11/10</f>
        <v/>
      </c>
      <c r="C3936">
        <f>SUMPRODUCT(Calc!$K$3:$K$22*(Calc!$G$3:$G$22&lt;=A3936))</f>
        <v/>
      </c>
      <c r="D3936">
        <f>SUMPRODUCT(Calc!$K$3:$K$22*(Calc!$G$3:$G$22&gt;A3936)*(Calc!$G$3:$G$22&lt;B3936))</f>
        <v/>
      </c>
      <c r="E3936">
        <f>SUMPRODUCT(Calc!$K$3:$K$22*(Calc!$G$3:$G$22&gt;=B3936))</f>
        <v/>
      </c>
      <c r="F3936">
        <f>AND(k_n&gt;=5,B3936&gt;A3936+1E-9,C3936&gt;=2,D3936&gt;=1,E3936&gt;=2)</f>
        <v/>
      </c>
      <c r="G3936">
        <f>SUMPRODUCT(Calc!$K$3:$K$22*(Calc!$G$3:$G$22&gt;A3936)*(Calc!$G$3:$G$22-A3936))</f>
        <v/>
      </c>
      <c r="H3936">
        <f>SUMPRODUCT(Calc!$K$3:$K$22*(Calc!$G$3:$G$22&gt;B3936)*(Calc!$G$3:$G$22-B3936))</f>
        <v/>
      </c>
      <c r="I3936">
        <f>SUMPRODUCT(Calc!$K$3:$K$22*(Calc!$G$3:$G$22&gt;A3936)*(Calc!$G$3:$G$22-A3936)^2)</f>
        <v/>
      </c>
      <c r="J3936">
        <f>SUMPRODUCT(Calc!$K$3:$K$22*(Calc!$G$3:$G$22&gt;B3936)*(Calc!$G$3:$G$22-B3936)^2)</f>
        <v/>
      </c>
      <c r="K3936">
        <f>SUMPRODUCT(Calc!$K$3:$K$22*(Calc!$G$3:$G$22&gt;A3936)*(Calc!$G$3:$G$22-A3936)*(Calc!$G$3:$G$22&gt;B3936)*(Calc!$G$3:$G$22-B3936))</f>
        <v/>
      </c>
      <c r="L3936">
        <f>SUMPRODUCT(Calc!$K$3:$K$22*(Calc!$G$3:$G$22&gt;A3936)*(Calc!$G$3:$G$22-A3936)*Calc!$G$3:$G$22)</f>
        <v/>
      </c>
      <c r="M3936">
        <f>SUMPRODUCT(Calc!$K$3:$K$22*(Calc!$G$3:$G$22&gt;B3936)*(Calc!$G$3:$G$22-B3936)*Calc!$G$3:$G$22)</f>
        <v/>
      </c>
      <c r="N3936">
        <f>SUMPRODUCT(Calc!$K$3:$K$22*(Calc!$G$3:$G$22&gt;A3936)*(Calc!$G$3:$G$22-A3936)*Calc!$I$3:$I$22)</f>
        <v/>
      </c>
      <c r="O3936">
        <f>SUMPRODUCT(Calc!$K$3:$K$22*(Calc!$G$3:$G$22&gt;B3936)*(Calc!$G$3:$G$22-B3936)*Calc!$I$3:$I$22)</f>
        <v/>
      </c>
      <c r="P3936">
        <f>I3936-G3936^2/k_n</f>
        <v/>
      </c>
      <c r="Q3936">
        <f>J3936-H3936^2/k_n</f>
        <v/>
      </c>
      <c r="R3936">
        <f>K3936-G3936*H3936/k_n</f>
        <v/>
      </c>
      <c r="S3936">
        <f>L3936-LTP3!$D$3*G3936/k_n</f>
        <v/>
      </c>
      <c r="T3936">
        <f>M3936-LTP3!$D$3*H3936/k_n</f>
        <v/>
      </c>
      <c r="U3936">
        <f>N3936-G3936*LTP3!$D$4/k_n</f>
        <v/>
      </c>
      <c r="V3936">
        <f>O3936-H3936*LTP3!$D$4/k_n</f>
        <v/>
      </c>
      <c r="W3936">
        <f>((LTP3!$D$5)*((P3936)*(Q3936)-(R3936)*(R3936))-(S3936)*((S3936)*(Q3936)-(R3936)*(T3936))+(T3936)*((S3936)*(R3936)-(P3936)*(T3936)))</f>
        <v/>
      </c>
      <c r="X3936">
        <f>IF(ABS(W3936)&gt;1E-12,((LTP3!$D$6)*((P3936)*(Q3936)-(R3936)*(R3936))-(S3936)*((U3936)*(Q3936)-(R3936)*(V3936))+(T3936)*((U3936)*(R3936)-(P3936)*(V3936)))/W3936,0)</f>
        <v/>
      </c>
      <c r="Y3936">
        <f>IF(ABS(W3936)&gt;1E-12,((LTP3!$D$5)*((U3936)*(Q3936)-(R3936)*(V3936))-(LTP3!$D$6)*((S3936)*(Q3936)-(R3936)*(T3936))+(T3936)*((S3936)*(V3936)-(U3936)*(T3936)))/W3936,0)</f>
        <v/>
      </c>
      <c r="Z3936">
        <f>IF(ABS(W3936)&gt;1E-12,((LTP3!$D$5)*((P3936)*(V3936)-(U3936)*(R3936))-(S3936)*((S3936)*(V3936)-(U3936)*(T3936))+(LTP3!$D$6)*((S3936)*(R3936)-(P3936)*(T3936)))/W3936,0)</f>
        <v/>
      </c>
      <c r="AA3936">
        <f>LTP3!$D$7-X3936*LTP3!$D$6-Y3936*U3936-Z3936*V3936</f>
        <v/>
      </c>
      <c r="AB3936">
        <f>IF(AND(F3936,ABS(W3936)&gt;1E-12,Y3936&gt;0,Z3936&gt;0),AA3936,1E+300)</f>
        <v/>
      </c>
    </row>
    <row r="3937">
      <c r="A3937">
        <f>$I$3-$B$5+$B$5*9/10</f>
        <v/>
      </c>
      <c r="B3937">
        <f>$J$3-$B$5+$B$5*12/10</f>
        <v/>
      </c>
      <c r="C3937">
        <f>SUMPRODUCT(Calc!$K$3:$K$22*(Calc!$G$3:$G$22&lt;=A3937))</f>
        <v/>
      </c>
      <c r="D3937">
        <f>SUMPRODUCT(Calc!$K$3:$K$22*(Calc!$G$3:$G$22&gt;A3937)*(Calc!$G$3:$G$22&lt;B3937))</f>
        <v/>
      </c>
      <c r="E3937">
        <f>SUMPRODUCT(Calc!$K$3:$K$22*(Calc!$G$3:$G$22&gt;=B3937))</f>
        <v/>
      </c>
      <c r="F3937">
        <f>AND(k_n&gt;=5,B3937&gt;A3937+1E-9,C3937&gt;=2,D3937&gt;=1,E3937&gt;=2)</f>
        <v/>
      </c>
      <c r="G3937">
        <f>SUMPRODUCT(Calc!$K$3:$K$22*(Calc!$G$3:$G$22&gt;A3937)*(Calc!$G$3:$G$22-A3937))</f>
        <v/>
      </c>
      <c r="H3937">
        <f>SUMPRODUCT(Calc!$K$3:$K$22*(Calc!$G$3:$G$22&gt;B3937)*(Calc!$G$3:$G$22-B3937))</f>
        <v/>
      </c>
      <c r="I3937">
        <f>SUMPRODUCT(Calc!$K$3:$K$22*(Calc!$G$3:$G$22&gt;A3937)*(Calc!$G$3:$G$22-A3937)^2)</f>
        <v/>
      </c>
      <c r="J3937">
        <f>SUMPRODUCT(Calc!$K$3:$K$22*(Calc!$G$3:$G$22&gt;B3937)*(Calc!$G$3:$G$22-B3937)^2)</f>
        <v/>
      </c>
      <c r="K3937">
        <f>SUMPRODUCT(Calc!$K$3:$K$22*(Calc!$G$3:$G$22&gt;A3937)*(Calc!$G$3:$G$22-A3937)*(Calc!$G$3:$G$22&gt;B3937)*(Calc!$G$3:$G$22-B3937))</f>
        <v/>
      </c>
      <c r="L3937">
        <f>SUMPRODUCT(Calc!$K$3:$K$22*(Calc!$G$3:$G$22&gt;A3937)*(Calc!$G$3:$G$22-A3937)*Calc!$G$3:$G$22)</f>
        <v/>
      </c>
      <c r="M3937">
        <f>SUMPRODUCT(Calc!$K$3:$K$22*(Calc!$G$3:$G$22&gt;B3937)*(Calc!$G$3:$G$22-B3937)*Calc!$G$3:$G$22)</f>
        <v/>
      </c>
      <c r="N3937">
        <f>SUMPRODUCT(Calc!$K$3:$K$22*(Calc!$G$3:$G$22&gt;A3937)*(Calc!$G$3:$G$22-A3937)*Calc!$I$3:$I$22)</f>
        <v/>
      </c>
      <c r="O3937">
        <f>SUMPRODUCT(Calc!$K$3:$K$22*(Calc!$G$3:$G$22&gt;B3937)*(Calc!$G$3:$G$22-B3937)*Calc!$I$3:$I$22)</f>
        <v/>
      </c>
      <c r="P3937">
        <f>I3937-G3937^2/k_n</f>
        <v/>
      </c>
      <c r="Q3937">
        <f>J3937-H3937^2/k_n</f>
        <v/>
      </c>
      <c r="R3937">
        <f>K3937-G3937*H3937/k_n</f>
        <v/>
      </c>
      <c r="S3937">
        <f>L3937-LTP3!$D$3*G3937/k_n</f>
        <v/>
      </c>
      <c r="T3937">
        <f>M3937-LTP3!$D$3*H3937/k_n</f>
        <v/>
      </c>
      <c r="U3937">
        <f>N3937-G3937*LTP3!$D$4/k_n</f>
        <v/>
      </c>
      <c r="V3937">
        <f>O3937-H3937*LTP3!$D$4/k_n</f>
        <v/>
      </c>
      <c r="W3937">
        <f>((LTP3!$D$5)*((P3937)*(Q3937)-(R3937)*(R3937))-(S3937)*((S3937)*(Q3937)-(R3937)*(T3937))+(T3937)*((S3937)*(R3937)-(P3937)*(T3937)))</f>
        <v/>
      </c>
      <c r="X3937">
        <f>IF(ABS(W3937)&gt;1E-12,((LTP3!$D$6)*((P3937)*(Q3937)-(R3937)*(R3937))-(S3937)*((U3937)*(Q3937)-(R3937)*(V3937))+(T3937)*((U3937)*(R3937)-(P3937)*(V3937)))/W3937,0)</f>
        <v/>
      </c>
      <c r="Y3937">
        <f>IF(ABS(W3937)&gt;1E-12,((LTP3!$D$5)*((U3937)*(Q3937)-(R3937)*(V3937))-(LTP3!$D$6)*((S3937)*(Q3937)-(R3937)*(T3937))+(T3937)*((S3937)*(V3937)-(U3937)*(T3937)))/W3937,0)</f>
        <v/>
      </c>
      <c r="Z3937">
        <f>IF(ABS(W3937)&gt;1E-12,((LTP3!$D$5)*((P3937)*(V3937)-(U3937)*(R3937))-(S3937)*((S3937)*(V3937)-(U3937)*(T3937))+(LTP3!$D$6)*((S3937)*(R3937)-(P3937)*(T3937)))/W3937,0)</f>
        <v/>
      </c>
      <c r="AA3937">
        <f>LTP3!$D$7-X3937*LTP3!$D$6-Y3937*U3937-Z3937*V3937</f>
        <v/>
      </c>
      <c r="AB3937">
        <f>IF(AND(F3937,ABS(W3937)&gt;1E-12,Y3937&gt;0,Z3937&gt;0),AA3937,1E+300)</f>
        <v/>
      </c>
    </row>
    <row r="3938">
      <c r="A3938">
        <f>$I$3-$B$5+$B$5*9/10</f>
        <v/>
      </c>
      <c r="B3938">
        <f>$J$3-$B$5+$B$5*13/10</f>
        <v/>
      </c>
      <c r="C3938">
        <f>SUMPRODUCT(Calc!$K$3:$K$22*(Calc!$G$3:$G$22&lt;=A3938))</f>
        <v/>
      </c>
      <c r="D3938">
        <f>SUMPRODUCT(Calc!$K$3:$K$22*(Calc!$G$3:$G$22&gt;A3938)*(Calc!$G$3:$G$22&lt;B3938))</f>
        <v/>
      </c>
      <c r="E3938">
        <f>SUMPRODUCT(Calc!$K$3:$K$22*(Calc!$G$3:$G$22&gt;=B3938))</f>
        <v/>
      </c>
      <c r="F3938">
        <f>AND(k_n&gt;=5,B3938&gt;A3938+1E-9,C3938&gt;=2,D3938&gt;=1,E3938&gt;=2)</f>
        <v/>
      </c>
      <c r="G3938">
        <f>SUMPRODUCT(Calc!$K$3:$K$22*(Calc!$G$3:$G$22&gt;A3938)*(Calc!$G$3:$G$22-A3938))</f>
        <v/>
      </c>
      <c r="H3938">
        <f>SUMPRODUCT(Calc!$K$3:$K$22*(Calc!$G$3:$G$22&gt;B3938)*(Calc!$G$3:$G$22-B3938))</f>
        <v/>
      </c>
      <c r="I3938">
        <f>SUMPRODUCT(Calc!$K$3:$K$22*(Calc!$G$3:$G$22&gt;A3938)*(Calc!$G$3:$G$22-A3938)^2)</f>
        <v/>
      </c>
      <c r="J3938">
        <f>SUMPRODUCT(Calc!$K$3:$K$22*(Calc!$G$3:$G$22&gt;B3938)*(Calc!$G$3:$G$22-B3938)^2)</f>
        <v/>
      </c>
      <c r="K3938">
        <f>SUMPRODUCT(Calc!$K$3:$K$22*(Calc!$G$3:$G$22&gt;A3938)*(Calc!$G$3:$G$22-A3938)*(Calc!$G$3:$G$22&gt;B3938)*(Calc!$G$3:$G$22-B3938))</f>
        <v/>
      </c>
      <c r="L3938">
        <f>SUMPRODUCT(Calc!$K$3:$K$22*(Calc!$G$3:$G$22&gt;A3938)*(Calc!$G$3:$G$22-A3938)*Calc!$G$3:$G$22)</f>
        <v/>
      </c>
      <c r="M3938">
        <f>SUMPRODUCT(Calc!$K$3:$K$22*(Calc!$G$3:$G$22&gt;B3938)*(Calc!$G$3:$G$22-B3938)*Calc!$G$3:$G$22)</f>
        <v/>
      </c>
      <c r="N3938">
        <f>SUMPRODUCT(Calc!$K$3:$K$22*(Calc!$G$3:$G$22&gt;A3938)*(Calc!$G$3:$G$22-A3938)*Calc!$I$3:$I$22)</f>
        <v/>
      </c>
      <c r="O3938">
        <f>SUMPRODUCT(Calc!$K$3:$K$22*(Calc!$G$3:$G$22&gt;B3938)*(Calc!$G$3:$G$22-B3938)*Calc!$I$3:$I$22)</f>
        <v/>
      </c>
      <c r="P3938">
        <f>I3938-G3938^2/k_n</f>
        <v/>
      </c>
      <c r="Q3938">
        <f>J3938-H3938^2/k_n</f>
        <v/>
      </c>
      <c r="R3938">
        <f>K3938-G3938*H3938/k_n</f>
        <v/>
      </c>
      <c r="S3938">
        <f>L3938-LTP3!$D$3*G3938/k_n</f>
        <v/>
      </c>
      <c r="T3938">
        <f>M3938-LTP3!$D$3*H3938/k_n</f>
        <v/>
      </c>
      <c r="U3938">
        <f>N3938-G3938*LTP3!$D$4/k_n</f>
        <v/>
      </c>
      <c r="V3938">
        <f>O3938-H3938*LTP3!$D$4/k_n</f>
        <v/>
      </c>
      <c r="W3938">
        <f>((LTP3!$D$5)*((P3938)*(Q3938)-(R3938)*(R3938))-(S3938)*((S3938)*(Q3938)-(R3938)*(T3938))+(T3938)*((S3938)*(R3938)-(P3938)*(T3938)))</f>
        <v/>
      </c>
      <c r="X3938">
        <f>IF(ABS(W3938)&gt;1E-12,((LTP3!$D$6)*((P3938)*(Q3938)-(R3938)*(R3938))-(S3938)*((U3938)*(Q3938)-(R3938)*(V3938))+(T3938)*((U3938)*(R3938)-(P3938)*(V3938)))/W3938,0)</f>
        <v/>
      </c>
      <c r="Y3938">
        <f>IF(ABS(W3938)&gt;1E-12,((LTP3!$D$5)*((U3938)*(Q3938)-(R3938)*(V3938))-(LTP3!$D$6)*((S3938)*(Q3938)-(R3938)*(T3938))+(T3938)*((S3938)*(V3938)-(U3938)*(T3938)))/W3938,0)</f>
        <v/>
      </c>
      <c r="Z3938">
        <f>IF(ABS(W3938)&gt;1E-12,((LTP3!$D$5)*((P3938)*(V3938)-(U3938)*(R3938))-(S3938)*((S3938)*(V3938)-(U3938)*(T3938))+(LTP3!$D$6)*((S3938)*(R3938)-(P3938)*(T3938)))/W3938,0)</f>
        <v/>
      </c>
      <c r="AA3938">
        <f>LTP3!$D$7-X3938*LTP3!$D$6-Y3938*U3938-Z3938*V3938</f>
        <v/>
      </c>
      <c r="AB3938">
        <f>IF(AND(F3938,ABS(W3938)&gt;1E-12,Y3938&gt;0,Z3938&gt;0),AA3938,1E+300)</f>
        <v/>
      </c>
    </row>
    <row r="3939">
      <c r="A3939">
        <f>$I$3-$B$5+$B$5*9/10</f>
        <v/>
      </c>
      <c r="B3939">
        <f>$J$3-$B$5+$B$5*14/10</f>
        <v/>
      </c>
      <c r="C3939">
        <f>SUMPRODUCT(Calc!$K$3:$K$22*(Calc!$G$3:$G$22&lt;=A3939))</f>
        <v/>
      </c>
      <c r="D3939">
        <f>SUMPRODUCT(Calc!$K$3:$K$22*(Calc!$G$3:$G$22&gt;A3939)*(Calc!$G$3:$G$22&lt;B3939))</f>
        <v/>
      </c>
      <c r="E3939">
        <f>SUMPRODUCT(Calc!$K$3:$K$22*(Calc!$G$3:$G$22&gt;=B3939))</f>
        <v/>
      </c>
      <c r="F3939">
        <f>AND(k_n&gt;=5,B3939&gt;A3939+1E-9,C3939&gt;=2,D3939&gt;=1,E3939&gt;=2)</f>
        <v/>
      </c>
      <c r="G3939">
        <f>SUMPRODUCT(Calc!$K$3:$K$22*(Calc!$G$3:$G$22&gt;A3939)*(Calc!$G$3:$G$22-A3939))</f>
        <v/>
      </c>
      <c r="H3939">
        <f>SUMPRODUCT(Calc!$K$3:$K$22*(Calc!$G$3:$G$22&gt;B3939)*(Calc!$G$3:$G$22-B3939))</f>
        <v/>
      </c>
      <c r="I3939">
        <f>SUMPRODUCT(Calc!$K$3:$K$22*(Calc!$G$3:$G$22&gt;A3939)*(Calc!$G$3:$G$22-A3939)^2)</f>
        <v/>
      </c>
      <c r="J3939">
        <f>SUMPRODUCT(Calc!$K$3:$K$22*(Calc!$G$3:$G$22&gt;B3939)*(Calc!$G$3:$G$22-B3939)^2)</f>
        <v/>
      </c>
      <c r="K3939">
        <f>SUMPRODUCT(Calc!$K$3:$K$22*(Calc!$G$3:$G$22&gt;A3939)*(Calc!$G$3:$G$22-A3939)*(Calc!$G$3:$G$22&gt;B3939)*(Calc!$G$3:$G$22-B3939))</f>
        <v/>
      </c>
      <c r="L3939">
        <f>SUMPRODUCT(Calc!$K$3:$K$22*(Calc!$G$3:$G$22&gt;A3939)*(Calc!$G$3:$G$22-A3939)*Calc!$G$3:$G$22)</f>
        <v/>
      </c>
      <c r="M3939">
        <f>SUMPRODUCT(Calc!$K$3:$K$22*(Calc!$G$3:$G$22&gt;B3939)*(Calc!$G$3:$G$22-B3939)*Calc!$G$3:$G$22)</f>
        <v/>
      </c>
      <c r="N3939">
        <f>SUMPRODUCT(Calc!$K$3:$K$22*(Calc!$G$3:$G$22&gt;A3939)*(Calc!$G$3:$G$22-A3939)*Calc!$I$3:$I$22)</f>
        <v/>
      </c>
      <c r="O3939">
        <f>SUMPRODUCT(Calc!$K$3:$K$22*(Calc!$G$3:$G$22&gt;B3939)*(Calc!$G$3:$G$22-B3939)*Calc!$I$3:$I$22)</f>
        <v/>
      </c>
      <c r="P3939">
        <f>I3939-G3939^2/k_n</f>
        <v/>
      </c>
      <c r="Q3939">
        <f>J3939-H3939^2/k_n</f>
        <v/>
      </c>
      <c r="R3939">
        <f>K3939-G3939*H3939/k_n</f>
        <v/>
      </c>
      <c r="S3939">
        <f>L3939-LTP3!$D$3*G3939/k_n</f>
        <v/>
      </c>
      <c r="T3939">
        <f>M3939-LTP3!$D$3*H3939/k_n</f>
        <v/>
      </c>
      <c r="U3939">
        <f>N3939-G3939*LTP3!$D$4/k_n</f>
        <v/>
      </c>
      <c r="V3939">
        <f>O3939-H3939*LTP3!$D$4/k_n</f>
        <v/>
      </c>
      <c r="W3939">
        <f>((LTP3!$D$5)*((P3939)*(Q3939)-(R3939)*(R3939))-(S3939)*((S3939)*(Q3939)-(R3939)*(T3939))+(T3939)*((S3939)*(R3939)-(P3939)*(T3939)))</f>
        <v/>
      </c>
      <c r="X3939">
        <f>IF(ABS(W3939)&gt;1E-12,((LTP3!$D$6)*((P3939)*(Q3939)-(R3939)*(R3939))-(S3939)*((U3939)*(Q3939)-(R3939)*(V3939))+(T3939)*((U3939)*(R3939)-(P3939)*(V3939)))/W3939,0)</f>
        <v/>
      </c>
      <c r="Y3939">
        <f>IF(ABS(W3939)&gt;1E-12,((LTP3!$D$5)*((U3939)*(Q3939)-(R3939)*(V3939))-(LTP3!$D$6)*((S3939)*(Q3939)-(R3939)*(T3939))+(T3939)*((S3939)*(V3939)-(U3939)*(T3939)))/W3939,0)</f>
        <v/>
      </c>
      <c r="Z3939">
        <f>IF(ABS(W3939)&gt;1E-12,((LTP3!$D$5)*((P3939)*(V3939)-(U3939)*(R3939))-(S3939)*((S3939)*(V3939)-(U3939)*(T3939))+(LTP3!$D$6)*((S3939)*(R3939)-(P3939)*(T3939)))/W3939,0)</f>
        <v/>
      </c>
      <c r="AA3939">
        <f>LTP3!$D$7-X3939*LTP3!$D$6-Y3939*U3939-Z3939*V3939</f>
        <v/>
      </c>
      <c r="AB3939">
        <f>IF(AND(F3939,ABS(W3939)&gt;1E-12,Y3939&gt;0,Z3939&gt;0),AA3939,1E+300)</f>
        <v/>
      </c>
    </row>
    <row r="3940">
      <c r="A3940">
        <f>$I$3-$B$5+$B$5*9/10</f>
        <v/>
      </c>
      <c r="B3940">
        <f>$J$3-$B$5+$B$5*15/10</f>
        <v/>
      </c>
      <c r="C3940">
        <f>SUMPRODUCT(Calc!$K$3:$K$22*(Calc!$G$3:$G$22&lt;=A3940))</f>
        <v/>
      </c>
      <c r="D3940">
        <f>SUMPRODUCT(Calc!$K$3:$K$22*(Calc!$G$3:$G$22&gt;A3940)*(Calc!$G$3:$G$22&lt;B3940))</f>
        <v/>
      </c>
      <c r="E3940">
        <f>SUMPRODUCT(Calc!$K$3:$K$22*(Calc!$G$3:$G$22&gt;=B3940))</f>
        <v/>
      </c>
      <c r="F3940">
        <f>AND(k_n&gt;=5,B3940&gt;A3940+1E-9,C3940&gt;=2,D3940&gt;=1,E3940&gt;=2)</f>
        <v/>
      </c>
      <c r="G3940">
        <f>SUMPRODUCT(Calc!$K$3:$K$22*(Calc!$G$3:$G$22&gt;A3940)*(Calc!$G$3:$G$22-A3940))</f>
        <v/>
      </c>
      <c r="H3940">
        <f>SUMPRODUCT(Calc!$K$3:$K$22*(Calc!$G$3:$G$22&gt;B3940)*(Calc!$G$3:$G$22-B3940))</f>
        <v/>
      </c>
      <c r="I3940">
        <f>SUMPRODUCT(Calc!$K$3:$K$22*(Calc!$G$3:$G$22&gt;A3940)*(Calc!$G$3:$G$22-A3940)^2)</f>
        <v/>
      </c>
      <c r="J3940">
        <f>SUMPRODUCT(Calc!$K$3:$K$22*(Calc!$G$3:$G$22&gt;B3940)*(Calc!$G$3:$G$22-B3940)^2)</f>
        <v/>
      </c>
      <c r="K3940">
        <f>SUMPRODUCT(Calc!$K$3:$K$22*(Calc!$G$3:$G$22&gt;A3940)*(Calc!$G$3:$G$22-A3940)*(Calc!$G$3:$G$22&gt;B3940)*(Calc!$G$3:$G$22-B3940))</f>
        <v/>
      </c>
      <c r="L3940">
        <f>SUMPRODUCT(Calc!$K$3:$K$22*(Calc!$G$3:$G$22&gt;A3940)*(Calc!$G$3:$G$22-A3940)*Calc!$G$3:$G$22)</f>
        <v/>
      </c>
      <c r="M3940">
        <f>SUMPRODUCT(Calc!$K$3:$K$22*(Calc!$G$3:$G$22&gt;B3940)*(Calc!$G$3:$G$22-B3940)*Calc!$G$3:$G$22)</f>
        <v/>
      </c>
      <c r="N3940">
        <f>SUMPRODUCT(Calc!$K$3:$K$22*(Calc!$G$3:$G$22&gt;A3940)*(Calc!$G$3:$G$22-A3940)*Calc!$I$3:$I$22)</f>
        <v/>
      </c>
      <c r="O3940">
        <f>SUMPRODUCT(Calc!$K$3:$K$22*(Calc!$G$3:$G$22&gt;B3940)*(Calc!$G$3:$G$22-B3940)*Calc!$I$3:$I$22)</f>
        <v/>
      </c>
      <c r="P3940">
        <f>I3940-G3940^2/k_n</f>
        <v/>
      </c>
      <c r="Q3940">
        <f>J3940-H3940^2/k_n</f>
        <v/>
      </c>
      <c r="R3940">
        <f>K3940-G3940*H3940/k_n</f>
        <v/>
      </c>
      <c r="S3940">
        <f>L3940-LTP3!$D$3*G3940/k_n</f>
        <v/>
      </c>
      <c r="T3940">
        <f>M3940-LTP3!$D$3*H3940/k_n</f>
        <v/>
      </c>
      <c r="U3940">
        <f>N3940-G3940*LTP3!$D$4/k_n</f>
        <v/>
      </c>
      <c r="V3940">
        <f>O3940-H3940*LTP3!$D$4/k_n</f>
        <v/>
      </c>
      <c r="W3940">
        <f>((LTP3!$D$5)*((P3940)*(Q3940)-(R3940)*(R3940))-(S3940)*((S3940)*(Q3940)-(R3940)*(T3940))+(T3940)*((S3940)*(R3940)-(P3940)*(T3940)))</f>
        <v/>
      </c>
      <c r="X3940">
        <f>IF(ABS(W3940)&gt;1E-12,((LTP3!$D$6)*((P3940)*(Q3940)-(R3940)*(R3940))-(S3940)*((U3940)*(Q3940)-(R3940)*(V3940))+(T3940)*((U3940)*(R3940)-(P3940)*(V3940)))/W3940,0)</f>
        <v/>
      </c>
      <c r="Y3940">
        <f>IF(ABS(W3940)&gt;1E-12,((LTP3!$D$5)*((U3940)*(Q3940)-(R3940)*(V3940))-(LTP3!$D$6)*((S3940)*(Q3940)-(R3940)*(T3940))+(T3940)*((S3940)*(V3940)-(U3940)*(T3940)))/W3940,0)</f>
        <v/>
      </c>
      <c r="Z3940">
        <f>IF(ABS(W3940)&gt;1E-12,((LTP3!$D$5)*((P3940)*(V3940)-(U3940)*(R3940))-(S3940)*((S3940)*(V3940)-(U3940)*(T3940))+(LTP3!$D$6)*((S3940)*(R3940)-(P3940)*(T3940)))/W3940,0)</f>
        <v/>
      </c>
      <c r="AA3940">
        <f>LTP3!$D$7-X3940*LTP3!$D$6-Y3940*U3940-Z3940*V3940</f>
        <v/>
      </c>
      <c r="AB3940">
        <f>IF(AND(F3940,ABS(W3940)&gt;1E-12,Y3940&gt;0,Z3940&gt;0),AA3940,1E+300)</f>
        <v/>
      </c>
    </row>
    <row r="3941">
      <c r="A3941">
        <f>$I$3-$B$5+$B$5*9/10</f>
        <v/>
      </c>
      <c r="B3941">
        <f>$J$3-$B$5+$B$5*16/10</f>
        <v/>
      </c>
      <c r="C3941">
        <f>SUMPRODUCT(Calc!$K$3:$K$22*(Calc!$G$3:$G$22&lt;=A3941))</f>
        <v/>
      </c>
      <c r="D3941">
        <f>SUMPRODUCT(Calc!$K$3:$K$22*(Calc!$G$3:$G$22&gt;A3941)*(Calc!$G$3:$G$22&lt;B3941))</f>
        <v/>
      </c>
      <c r="E3941">
        <f>SUMPRODUCT(Calc!$K$3:$K$22*(Calc!$G$3:$G$22&gt;=B3941))</f>
        <v/>
      </c>
      <c r="F3941">
        <f>AND(k_n&gt;=5,B3941&gt;A3941+1E-9,C3941&gt;=2,D3941&gt;=1,E3941&gt;=2)</f>
        <v/>
      </c>
      <c r="G3941">
        <f>SUMPRODUCT(Calc!$K$3:$K$22*(Calc!$G$3:$G$22&gt;A3941)*(Calc!$G$3:$G$22-A3941))</f>
        <v/>
      </c>
      <c r="H3941">
        <f>SUMPRODUCT(Calc!$K$3:$K$22*(Calc!$G$3:$G$22&gt;B3941)*(Calc!$G$3:$G$22-B3941))</f>
        <v/>
      </c>
      <c r="I3941">
        <f>SUMPRODUCT(Calc!$K$3:$K$22*(Calc!$G$3:$G$22&gt;A3941)*(Calc!$G$3:$G$22-A3941)^2)</f>
        <v/>
      </c>
      <c r="J3941">
        <f>SUMPRODUCT(Calc!$K$3:$K$22*(Calc!$G$3:$G$22&gt;B3941)*(Calc!$G$3:$G$22-B3941)^2)</f>
        <v/>
      </c>
      <c r="K3941">
        <f>SUMPRODUCT(Calc!$K$3:$K$22*(Calc!$G$3:$G$22&gt;A3941)*(Calc!$G$3:$G$22-A3941)*(Calc!$G$3:$G$22&gt;B3941)*(Calc!$G$3:$G$22-B3941))</f>
        <v/>
      </c>
      <c r="L3941">
        <f>SUMPRODUCT(Calc!$K$3:$K$22*(Calc!$G$3:$G$22&gt;A3941)*(Calc!$G$3:$G$22-A3941)*Calc!$G$3:$G$22)</f>
        <v/>
      </c>
      <c r="M3941">
        <f>SUMPRODUCT(Calc!$K$3:$K$22*(Calc!$G$3:$G$22&gt;B3941)*(Calc!$G$3:$G$22-B3941)*Calc!$G$3:$G$22)</f>
        <v/>
      </c>
      <c r="N3941">
        <f>SUMPRODUCT(Calc!$K$3:$K$22*(Calc!$G$3:$G$22&gt;A3941)*(Calc!$G$3:$G$22-A3941)*Calc!$I$3:$I$22)</f>
        <v/>
      </c>
      <c r="O3941">
        <f>SUMPRODUCT(Calc!$K$3:$K$22*(Calc!$G$3:$G$22&gt;B3941)*(Calc!$G$3:$G$22-B3941)*Calc!$I$3:$I$22)</f>
        <v/>
      </c>
      <c r="P3941">
        <f>I3941-G3941^2/k_n</f>
        <v/>
      </c>
      <c r="Q3941">
        <f>J3941-H3941^2/k_n</f>
        <v/>
      </c>
      <c r="R3941">
        <f>K3941-G3941*H3941/k_n</f>
        <v/>
      </c>
      <c r="S3941">
        <f>L3941-LTP3!$D$3*G3941/k_n</f>
        <v/>
      </c>
      <c r="T3941">
        <f>M3941-LTP3!$D$3*H3941/k_n</f>
        <v/>
      </c>
      <c r="U3941">
        <f>N3941-G3941*LTP3!$D$4/k_n</f>
        <v/>
      </c>
      <c r="V3941">
        <f>O3941-H3941*LTP3!$D$4/k_n</f>
        <v/>
      </c>
      <c r="W3941">
        <f>((LTP3!$D$5)*((P3941)*(Q3941)-(R3941)*(R3941))-(S3941)*((S3941)*(Q3941)-(R3941)*(T3941))+(T3941)*((S3941)*(R3941)-(P3941)*(T3941)))</f>
        <v/>
      </c>
      <c r="X3941">
        <f>IF(ABS(W3941)&gt;1E-12,((LTP3!$D$6)*((P3941)*(Q3941)-(R3941)*(R3941))-(S3941)*((U3941)*(Q3941)-(R3941)*(V3941))+(T3941)*((U3941)*(R3941)-(P3941)*(V3941)))/W3941,0)</f>
        <v/>
      </c>
      <c r="Y3941">
        <f>IF(ABS(W3941)&gt;1E-12,((LTP3!$D$5)*((U3941)*(Q3941)-(R3941)*(V3941))-(LTP3!$D$6)*((S3941)*(Q3941)-(R3941)*(T3941))+(T3941)*((S3941)*(V3941)-(U3941)*(T3941)))/W3941,0)</f>
        <v/>
      </c>
      <c r="Z3941">
        <f>IF(ABS(W3941)&gt;1E-12,((LTP3!$D$5)*((P3941)*(V3941)-(U3941)*(R3941))-(S3941)*((S3941)*(V3941)-(U3941)*(T3941))+(LTP3!$D$6)*((S3941)*(R3941)-(P3941)*(T3941)))/W3941,0)</f>
        <v/>
      </c>
      <c r="AA3941">
        <f>LTP3!$D$7-X3941*LTP3!$D$6-Y3941*U3941-Z3941*V3941</f>
        <v/>
      </c>
      <c r="AB3941">
        <f>IF(AND(F3941,ABS(W3941)&gt;1E-12,Y3941&gt;0,Z3941&gt;0),AA3941,1E+300)</f>
        <v/>
      </c>
    </row>
    <row r="3942">
      <c r="A3942">
        <f>$I$3-$B$5+$B$5*9/10</f>
        <v/>
      </c>
      <c r="B3942">
        <f>$J$3-$B$5+$B$5*17/10</f>
        <v/>
      </c>
      <c r="C3942">
        <f>SUMPRODUCT(Calc!$K$3:$K$22*(Calc!$G$3:$G$22&lt;=A3942))</f>
        <v/>
      </c>
      <c r="D3942">
        <f>SUMPRODUCT(Calc!$K$3:$K$22*(Calc!$G$3:$G$22&gt;A3942)*(Calc!$G$3:$G$22&lt;B3942))</f>
        <v/>
      </c>
      <c r="E3942">
        <f>SUMPRODUCT(Calc!$K$3:$K$22*(Calc!$G$3:$G$22&gt;=B3942))</f>
        <v/>
      </c>
      <c r="F3942">
        <f>AND(k_n&gt;=5,B3942&gt;A3942+1E-9,C3942&gt;=2,D3942&gt;=1,E3942&gt;=2)</f>
        <v/>
      </c>
      <c r="G3942">
        <f>SUMPRODUCT(Calc!$K$3:$K$22*(Calc!$G$3:$G$22&gt;A3942)*(Calc!$G$3:$G$22-A3942))</f>
        <v/>
      </c>
      <c r="H3942">
        <f>SUMPRODUCT(Calc!$K$3:$K$22*(Calc!$G$3:$G$22&gt;B3942)*(Calc!$G$3:$G$22-B3942))</f>
        <v/>
      </c>
      <c r="I3942">
        <f>SUMPRODUCT(Calc!$K$3:$K$22*(Calc!$G$3:$G$22&gt;A3942)*(Calc!$G$3:$G$22-A3942)^2)</f>
        <v/>
      </c>
      <c r="J3942">
        <f>SUMPRODUCT(Calc!$K$3:$K$22*(Calc!$G$3:$G$22&gt;B3942)*(Calc!$G$3:$G$22-B3942)^2)</f>
        <v/>
      </c>
      <c r="K3942">
        <f>SUMPRODUCT(Calc!$K$3:$K$22*(Calc!$G$3:$G$22&gt;A3942)*(Calc!$G$3:$G$22-A3942)*(Calc!$G$3:$G$22&gt;B3942)*(Calc!$G$3:$G$22-B3942))</f>
        <v/>
      </c>
      <c r="L3942">
        <f>SUMPRODUCT(Calc!$K$3:$K$22*(Calc!$G$3:$G$22&gt;A3942)*(Calc!$G$3:$G$22-A3942)*Calc!$G$3:$G$22)</f>
        <v/>
      </c>
      <c r="M3942">
        <f>SUMPRODUCT(Calc!$K$3:$K$22*(Calc!$G$3:$G$22&gt;B3942)*(Calc!$G$3:$G$22-B3942)*Calc!$G$3:$G$22)</f>
        <v/>
      </c>
      <c r="N3942">
        <f>SUMPRODUCT(Calc!$K$3:$K$22*(Calc!$G$3:$G$22&gt;A3942)*(Calc!$G$3:$G$22-A3942)*Calc!$I$3:$I$22)</f>
        <v/>
      </c>
      <c r="O3942">
        <f>SUMPRODUCT(Calc!$K$3:$K$22*(Calc!$G$3:$G$22&gt;B3942)*(Calc!$G$3:$G$22-B3942)*Calc!$I$3:$I$22)</f>
        <v/>
      </c>
      <c r="P3942">
        <f>I3942-G3942^2/k_n</f>
        <v/>
      </c>
      <c r="Q3942">
        <f>J3942-H3942^2/k_n</f>
        <v/>
      </c>
      <c r="R3942">
        <f>K3942-G3942*H3942/k_n</f>
        <v/>
      </c>
      <c r="S3942">
        <f>L3942-LTP3!$D$3*G3942/k_n</f>
        <v/>
      </c>
      <c r="T3942">
        <f>M3942-LTP3!$D$3*H3942/k_n</f>
        <v/>
      </c>
      <c r="U3942">
        <f>N3942-G3942*LTP3!$D$4/k_n</f>
        <v/>
      </c>
      <c r="V3942">
        <f>O3942-H3942*LTP3!$D$4/k_n</f>
        <v/>
      </c>
      <c r="W3942">
        <f>((LTP3!$D$5)*((P3942)*(Q3942)-(R3942)*(R3942))-(S3942)*((S3942)*(Q3942)-(R3942)*(T3942))+(T3942)*((S3942)*(R3942)-(P3942)*(T3942)))</f>
        <v/>
      </c>
      <c r="X3942">
        <f>IF(ABS(W3942)&gt;1E-12,((LTP3!$D$6)*((P3942)*(Q3942)-(R3942)*(R3942))-(S3942)*((U3942)*(Q3942)-(R3942)*(V3942))+(T3942)*((U3942)*(R3942)-(P3942)*(V3942)))/W3942,0)</f>
        <v/>
      </c>
      <c r="Y3942">
        <f>IF(ABS(W3942)&gt;1E-12,((LTP3!$D$5)*((U3942)*(Q3942)-(R3942)*(V3942))-(LTP3!$D$6)*((S3942)*(Q3942)-(R3942)*(T3942))+(T3942)*((S3942)*(V3942)-(U3942)*(T3942)))/W3942,0)</f>
        <v/>
      </c>
      <c r="Z3942">
        <f>IF(ABS(W3942)&gt;1E-12,((LTP3!$D$5)*((P3942)*(V3942)-(U3942)*(R3942))-(S3942)*((S3942)*(V3942)-(U3942)*(T3942))+(LTP3!$D$6)*((S3942)*(R3942)-(P3942)*(T3942)))/W3942,0)</f>
        <v/>
      </c>
      <c r="AA3942">
        <f>LTP3!$D$7-X3942*LTP3!$D$6-Y3942*U3942-Z3942*V3942</f>
        <v/>
      </c>
      <c r="AB3942">
        <f>IF(AND(F3942,ABS(W3942)&gt;1E-12,Y3942&gt;0,Z3942&gt;0),AA3942,1E+300)</f>
        <v/>
      </c>
    </row>
    <row r="3943">
      <c r="A3943">
        <f>$I$3-$B$5+$B$5*9/10</f>
        <v/>
      </c>
      <c r="B3943">
        <f>$J$3-$B$5+$B$5*18/10</f>
        <v/>
      </c>
      <c r="C3943">
        <f>SUMPRODUCT(Calc!$K$3:$K$22*(Calc!$G$3:$G$22&lt;=A3943))</f>
        <v/>
      </c>
      <c r="D3943">
        <f>SUMPRODUCT(Calc!$K$3:$K$22*(Calc!$G$3:$G$22&gt;A3943)*(Calc!$G$3:$G$22&lt;B3943))</f>
        <v/>
      </c>
      <c r="E3943">
        <f>SUMPRODUCT(Calc!$K$3:$K$22*(Calc!$G$3:$G$22&gt;=B3943))</f>
        <v/>
      </c>
      <c r="F3943">
        <f>AND(k_n&gt;=5,B3943&gt;A3943+1E-9,C3943&gt;=2,D3943&gt;=1,E3943&gt;=2)</f>
        <v/>
      </c>
      <c r="G3943">
        <f>SUMPRODUCT(Calc!$K$3:$K$22*(Calc!$G$3:$G$22&gt;A3943)*(Calc!$G$3:$G$22-A3943))</f>
        <v/>
      </c>
      <c r="H3943">
        <f>SUMPRODUCT(Calc!$K$3:$K$22*(Calc!$G$3:$G$22&gt;B3943)*(Calc!$G$3:$G$22-B3943))</f>
        <v/>
      </c>
      <c r="I3943">
        <f>SUMPRODUCT(Calc!$K$3:$K$22*(Calc!$G$3:$G$22&gt;A3943)*(Calc!$G$3:$G$22-A3943)^2)</f>
        <v/>
      </c>
      <c r="J3943">
        <f>SUMPRODUCT(Calc!$K$3:$K$22*(Calc!$G$3:$G$22&gt;B3943)*(Calc!$G$3:$G$22-B3943)^2)</f>
        <v/>
      </c>
      <c r="K3943">
        <f>SUMPRODUCT(Calc!$K$3:$K$22*(Calc!$G$3:$G$22&gt;A3943)*(Calc!$G$3:$G$22-A3943)*(Calc!$G$3:$G$22&gt;B3943)*(Calc!$G$3:$G$22-B3943))</f>
        <v/>
      </c>
      <c r="L3943">
        <f>SUMPRODUCT(Calc!$K$3:$K$22*(Calc!$G$3:$G$22&gt;A3943)*(Calc!$G$3:$G$22-A3943)*Calc!$G$3:$G$22)</f>
        <v/>
      </c>
      <c r="M3943">
        <f>SUMPRODUCT(Calc!$K$3:$K$22*(Calc!$G$3:$G$22&gt;B3943)*(Calc!$G$3:$G$22-B3943)*Calc!$G$3:$G$22)</f>
        <v/>
      </c>
      <c r="N3943">
        <f>SUMPRODUCT(Calc!$K$3:$K$22*(Calc!$G$3:$G$22&gt;A3943)*(Calc!$G$3:$G$22-A3943)*Calc!$I$3:$I$22)</f>
        <v/>
      </c>
      <c r="O3943">
        <f>SUMPRODUCT(Calc!$K$3:$K$22*(Calc!$G$3:$G$22&gt;B3943)*(Calc!$G$3:$G$22-B3943)*Calc!$I$3:$I$22)</f>
        <v/>
      </c>
      <c r="P3943">
        <f>I3943-G3943^2/k_n</f>
        <v/>
      </c>
      <c r="Q3943">
        <f>J3943-H3943^2/k_n</f>
        <v/>
      </c>
      <c r="R3943">
        <f>K3943-G3943*H3943/k_n</f>
        <v/>
      </c>
      <c r="S3943">
        <f>L3943-LTP3!$D$3*G3943/k_n</f>
        <v/>
      </c>
      <c r="T3943">
        <f>M3943-LTP3!$D$3*H3943/k_n</f>
        <v/>
      </c>
      <c r="U3943">
        <f>N3943-G3943*LTP3!$D$4/k_n</f>
        <v/>
      </c>
      <c r="V3943">
        <f>O3943-H3943*LTP3!$D$4/k_n</f>
        <v/>
      </c>
      <c r="W3943">
        <f>((LTP3!$D$5)*((P3943)*(Q3943)-(R3943)*(R3943))-(S3943)*((S3943)*(Q3943)-(R3943)*(T3943))+(T3943)*((S3943)*(R3943)-(P3943)*(T3943)))</f>
        <v/>
      </c>
      <c r="X3943">
        <f>IF(ABS(W3943)&gt;1E-12,((LTP3!$D$6)*((P3943)*(Q3943)-(R3943)*(R3943))-(S3943)*((U3943)*(Q3943)-(R3943)*(V3943))+(T3943)*((U3943)*(R3943)-(P3943)*(V3943)))/W3943,0)</f>
        <v/>
      </c>
      <c r="Y3943">
        <f>IF(ABS(W3943)&gt;1E-12,((LTP3!$D$5)*((U3943)*(Q3943)-(R3943)*(V3943))-(LTP3!$D$6)*((S3943)*(Q3943)-(R3943)*(T3943))+(T3943)*((S3943)*(V3943)-(U3943)*(T3943)))/W3943,0)</f>
        <v/>
      </c>
      <c r="Z3943">
        <f>IF(ABS(W3943)&gt;1E-12,((LTP3!$D$5)*((P3943)*(V3943)-(U3943)*(R3943))-(S3943)*((S3943)*(V3943)-(U3943)*(T3943))+(LTP3!$D$6)*((S3943)*(R3943)-(P3943)*(T3943)))/W3943,0)</f>
        <v/>
      </c>
      <c r="AA3943">
        <f>LTP3!$D$7-X3943*LTP3!$D$6-Y3943*U3943-Z3943*V3943</f>
        <v/>
      </c>
      <c r="AB3943">
        <f>IF(AND(F3943,ABS(W3943)&gt;1E-12,Y3943&gt;0,Z3943&gt;0),AA3943,1E+300)</f>
        <v/>
      </c>
    </row>
    <row r="3944">
      <c r="A3944">
        <f>$I$3-$B$5+$B$5*9/10</f>
        <v/>
      </c>
      <c r="B3944">
        <f>$J$3-$B$5+$B$5*19/10</f>
        <v/>
      </c>
      <c r="C3944">
        <f>SUMPRODUCT(Calc!$K$3:$K$22*(Calc!$G$3:$G$22&lt;=A3944))</f>
        <v/>
      </c>
      <c r="D3944">
        <f>SUMPRODUCT(Calc!$K$3:$K$22*(Calc!$G$3:$G$22&gt;A3944)*(Calc!$G$3:$G$22&lt;B3944))</f>
        <v/>
      </c>
      <c r="E3944">
        <f>SUMPRODUCT(Calc!$K$3:$K$22*(Calc!$G$3:$G$22&gt;=B3944))</f>
        <v/>
      </c>
      <c r="F3944">
        <f>AND(k_n&gt;=5,B3944&gt;A3944+1E-9,C3944&gt;=2,D3944&gt;=1,E3944&gt;=2)</f>
        <v/>
      </c>
      <c r="G3944">
        <f>SUMPRODUCT(Calc!$K$3:$K$22*(Calc!$G$3:$G$22&gt;A3944)*(Calc!$G$3:$G$22-A3944))</f>
        <v/>
      </c>
      <c r="H3944">
        <f>SUMPRODUCT(Calc!$K$3:$K$22*(Calc!$G$3:$G$22&gt;B3944)*(Calc!$G$3:$G$22-B3944))</f>
        <v/>
      </c>
      <c r="I3944">
        <f>SUMPRODUCT(Calc!$K$3:$K$22*(Calc!$G$3:$G$22&gt;A3944)*(Calc!$G$3:$G$22-A3944)^2)</f>
        <v/>
      </c>
      <c r="J3944">
        <f>SUMPRODUCT(Calc!$K$3:$K$22*(Calc!$G$3:$G$22&gt;B3944)*(Calc!$G$3:$G$22-B3944)^2)</f>
        <v/>
      </c>
      <c r="K3944">
        <f>SUMPRODUCT(Calc!$K$3:$K$22*(Calc!$G$3:$G$22&gt;A3944)*(Calc!$G$3:$G$22-A3944)*(Calc!$G$3:$G$22&gt;B3944)*(Calc!$G$3:$G$22-B3944))</f>
        <v/>
      </c>
      <c r="L3944">
        <f>SUMPRODUCT(Calc!$K$3:$K$22*(Calc!$G$3:$G$22&gt;A3944)*(Calc!$G$3:$G$22-A3944)*Calc!$G$3:$G$22)</f>
        <v/>
      </c>
      <c r="M3944">
        <f>SUMPRODUCT(Calc!$K$3:$K$22*(Calc!$G$3:$G$22&gt;B3944)*(Calc!$G$3:$G$22-B3944)*Calc!$G$3:$G$22)</f>
        <v/>
      </c>
      <c r="N3944">
        <f>SUMPRODUCT(Calc!$K$3:$K$22*(Calc!$G$3:$G$22&gt;A3944)*(Calc!$G$3:$G$22-A3944)*Calc!$I$3:$I$22)</f>
        <v/>
      </c>
      <c r="O3944">
        <f>SUMPRODUCT(Calc!$K$3:$K$22*(Calc!$G$3:$G$22&gt;B3944)*(Calc!$G$3:$G$22-B3944)*Calc!$I$3:$I$22)</f>
        <v/>
      </c>
      <c r="P3944">
        <f>I3944-G3944^2/k_n</f>
        <v/>
      </c>
      <c r="Q3944">
        <f>J3944-H3944^2/k_n</f>
        <v/>
      </c>
      <c r="R3944">
        <f>K3944-G3944*H3944/k_n</f>
        <v/>
      </c>
      <c r="S3944">
        <f>L3944-LTP3!$D$3*G3944/k_n</f>
        <v/>
      </c>
      <c r="T3944">
        <f>M3944-LTP3!$D$3*H3944/k_n</f>
        <v/>
      </c>
      <c r="U3944">
        <f>N3944-G3944*LTP3!$D$4/k_n</f>
        <v/>
      </c>
      <c r="V3944">
        <f>O3944-H3944*LTP3!$D$4/k_n</f>
        <v/>
      </c>
      <c r="W3944">
        <f>((LTP3!$D$5)*((P3944)*(Q3944)-(R3944)*(R3944))-(S3944)*((S3944)*(Q3944)-(R3944)*(T3944))+(T3944)*((S3944)*(R3944)-(P3944)*(T3944)))</f>
        <v/>
      </c>
      <c r="X3944">
        <f>IF(ABS(W3944)&gt;1E-12,((LTP3!$D$6)*((P3944)*(Q3944)-(R3944)*(R3944))-(S3944)*((U3944)*(Q3944)-(R3944)*(V3944))+(T3944)*((U3944)*(R3944)-(P3944)*(V3944)))/W3944,0)</f>
        <v/>
      </c>
      <c r="Y3944">
        <f>IF(ABS(W3944)&gt;1E-12,((LTP3!$D$5)*((U3944)*(Q3944)-(R3944)*(V3944))-(LTP3!$D$6)*((S3944)*(Q3944)-(R3944)*(T3944))+(T3944)*((S3944)*(V3944)-(U3944)*(T3944)))/W3944,0)</f>
        <v/>
      </c>
      <c r="Z3944">
        <f>IF(ABS(W3944)&gt;1E-12,((LTP3!$D$5)*((P3944)*(V3944)-(U3944)*(R3944))-(S3944)*((S3944)*(V3944)-(U3944)*(T3944))+(LTP3!$D$6)*((S3944)*(R3944)-(P3944)*(T3944)))/W3944,0)</f>
        <v/>
      </c>
      <c r="AA3944">
        <f>LTP3!$D$7-X3944*LTP3!$D$6-Y3944*U3944-Z3944*V3944</f>
        <v/>
      </c>
      <c r="AB3944">
        <f>IF(AND(F3944,ABS(W3944)&gt;1E-12,Y3944&gt;0,Z3944&gt;0),AA3944,1E+300)</f>
        <v/>
      </c>
    </row>
    <row r="3945">
      <c r="A3945">
        <f>$I$3-$B$5+$B$5*9/10</f>
        <v/>
      </c>
      <c r="B3945">
        <f>$J$3-$B$5+$B$5*20/10</f>
        <v/>
      </c>
      <c r="C3945">
        <f>SUMPRODUCT(Calc!$K$3:$K$22*(Calc!$G$3:$G$22&lt;=A3945))</f>
        <v/>
      </c>
      <c r="D3945">
        <f>SUMPRODUCT(Calc!$K$3:$K$22*(Calc!$G$3:$G$22&gt;A3945)*(Calc!$G$3:$G$22&lt;B3945))</f>
        <v/>
      </c>
      <c r="E3945">
        <f>SUMPRODUCT(Calc!$K$3:$K$22*(Calc!$G$3:$G$22&gt;=B3945))</f>
        <v/>
      </c>
      <c r="F3945">
        <f>AND(k_n&gt;=5,B3945&gt;A3945+1E-9,C3945&gt;=2,D3945&gt;=1,E3945&gt;=2)</f>
        <v/>
      </c>
      <c r="G3945">
        <f>SUMPRODUCT(Calc!$K$3:$K$22*(Calc!$G$3:$G$22&gt;A3945)*(Calc!$G$3:$G$22-A3945))</f>
        <v/>
      </c>
      <c r="H3945">
        <f>SUMPRODUCT(Calc!$K$3:$K$22*(Calc!$G$3:$G$22&gt;B3945)*(Calc!$G$3:$G$22-B3945))</f>
        <v/>
      </c>
      <c r="I3945">
        <f>SUMPRODUCT(Calc!$K$3:$K$22*(Calc!$G$3:$G$22&gt;A3945)*(Calc!$G$3:$G$22-A3945)^2)</f>
        <v/>
      </c>
      <c r="J3945">
        <f>SUMPRODUCT(Calc!$K$3:$K$22*(Calc!$G$3:$G$22&gt;B3945)*(Calc!$G$3:$G$22-B3945)^2)</f>
        <v/>
      </c>
      <c r="K3945">
        <f>SUMPRODUCT(Calc!$K$3:$K$22*(Calc!$G$3:$G$22&gt;A3945)*(Calc!$G$3:$G$22-A3945)*(Calc!$G$3:$G$22&gt;B3945)*(Calc!$G$3:$G$22-B3945))</f>
        <v/>
      </c>
      <c r="L3945">
        <f>SUMPRODUCT(Calc!$K$3:$K$22*(Calc!$G$3:$G$22&gt;A3945)*(Calc!$G$3:$G$22-A3945)*Calc!$G$3:$G$22)</f>
        <v/>
      </c>
      <c r="M3945">
        <f>SUMPRODUCT(Calc!$K$3:$K$22*(Calc!$G$3:$G$22&gt;B3945)*(Calc!$G$3:$G$22-B3945)*Calc!$G$3:$G$22)</f>
        <v/>
      </c>
      <c r="N3945">
        <f>SUMPRODUCT(Calc!$K$3:$K$22*(Calc!$G$3:$G$22&gt;A3945)*(Calc!$G$3:$G$22-A3945)*Calc!$I$3:$I$22)</f>
        <v/>
      </c>
      <c r="O3945">
        <f>SUMPRODUCT(Calc!$K$3:$K$22*(Calc!$G$3:$G$22&gt;B3945)*(Calc!$G$3:$G$22-B3945)*Calc!$I$3:$I$22)</f>
        <v/>
      </c>
      <c r="P3945">
        <f>I3945-G3945^2/k_n</f>
        <v/>
      </c>
      <c r="Q3945">
        <f>J3945-H3945^2/k_n</f>
        <v/>
      </c>
      <c r="R3945">
        <f>K3945-G3945*H3945/k_n</f>
        <v/>
      </c>
      <c r="S3945">
        <f>L3945-LTP3!$D$3*G3945/k_n</f>
        <v/>
      </c>
      <c r="T3945">
        <f>M3945-LTP3!$D$3*H3945/k_n</f>
        <v/>
      </c>
      <c r="U3945">
        <f>N3945-G3945*LTP3!$D$4/k_n</f>
        <v/>
      </c>
      <c r="V3945">
        <f>O3945-H3945*LTP3!$D$4/k_n</f>
        <v/>
      </c>
      <c r="W3945">
        <f>((LTP3!$D$5)*((P3945)*(Q3945)-(R3945)*(R3945))-(S3945)*((S3945)*(Q3945)-(R3945)*(T3945))+(T3945)*((S3945)*(R3945)-(P3945)*(T3945)))</f>
        <v/>
      </c>
      <c r="X3945">
        <f>IF(ABS(W3945)&gt;1E-12,((LTP3!$D$6)*((P3945)*(Q3945)-(R3945)*(R3945))-(S3945)*((U3945)*(Q3945)-(R3945)*(V3945))+(T3945)*((U3945)*(R3945)-(P3945)*(V3945)))/W3945,0)</f>
        <v/>
      </c>
      <c r="Y3945">
        <f>IF(ABS(W3945)&gt;1E-12,((LTP3!$D$5)*((U3945)*(Q3945)-(R3945)*(V3945))-(LTP3!$D$6)*((S3945)*(Q3945)-(R3945)*(T3945))+(T3945)*((S3945)*(V3945)-(U3945)*(T3945)))/W3945,0)</f>
        <v/>
      </c>
      <c r="Z3945">
        <f>IF(ABS(W3945)&gt;1E-12,((LTP3!$D$5)*((P3945)*(V3945)-(U3945)*(R3945))-(S3945)*((S3945)*(V3945)-(U3945)*(T3945))+(LTP3!$D$6)*((S3945)*(R3945)-(P3945)*(T3945)))/W3945,0)</f>
        <v/>
      </c>
      <c r="AA3945">
        <f>LTP3!$D$7-X3945*LTP3!$D$6-Y3945*U3945-Z3945*V3945</f>
        <v/>
      </c>
      <c r="AB3945">
        <f>IF(AND(F3945,ABS(W3945)&gt;1E-12,Y3945&gt;0,Z3945&gt;0),AA3945,1E+300)</f>
        <v/>
      </c>
    </row>
    <row r="3946">
      <c r="A3946">
        <f>$I$3-$B$5+$B$5*10/10</f>
        <v/>
      </c>
      <c r="B3946">
        <f>$J$3-$B$5+$B$5*0/10</f>
        <v/>
      </c>
      <c r="C3946">
        <f>SUMPRODUCT(Calc!$K$3:$K$22*(Calc!$G$3:$G$22&lt;=A3946))</f>
        <v/>
      </c>
      <c r="D3946">
        <f>SUMPRODUCT(Calc!$K$3:$K$22*(Calc!$G$3:$G$22&gt;A3946)*(Calc!$G$3:$G$22&lt;B3946))</f>
        <v/>
      </c>
      <c r="E3946">
        <f>SUMPRODUCT(Calc!$K$3:$K$22*(Calc!$G$3:$G$22&gt;=B3946))</f>
        <v/>
      </c>
      <c r="F3946">
        <f>AND(k_n&gt;=5,B3946&gt;A3946+1E-9,C3946&gt;=2,D3946&gt;=1,E3946&gt;=2)</f>
        <v/>
      </c>
      <c r="G3946">
        <f>SUMPRODUCT(Calc!$K$3:$K$22*(Calc!$G$3:$G$22&gt;A3946)*(Calc!$G$3:$G$22-A3946))</f>
        <v/>
      </c>
      <c r="H3946">
        <f>SUMPRODUCT(Calc!$K$3:$K$22*(Calc!$G$3:$G$22&gt;B3946)*(Calc!$G$3:$G$22-B3946))</f>
        <v/>
      </c>
      <c r="I3946">
        <f>SUMPRODUCT(Calc!$K$3:$K$22*(Calc!$G$3:$G$22&gt;A3946)*(Calc!$G$3:$G$22-A3946)^2)</f>
        <v/>
      </c>
      <c r="J3946">
        <f>SUMPRODUCT(Calc!$K$3:$K$22*(Calc!$G$3:$G$22&gt;B3946)*(Calc!$G$3:$G$22-B3946)^2)</f>
        <v/>
      </c>
      <c r="K3946">
        <f>SUMPRODUCT(Calc!$K$3:$K$22*(Calc!$G$3:$G$22&gt;A3946)*(Calc!$G$3:$G$22-A3946)*(Calc!$G$3:$G$22&gt;B3946)*(Calc!$G$3:$G$22-B3946))</f>
        <v/>
      </c>
      <c r="L3946">
        <f>SUMPRODUCT(Calc!$K$3:$K$22*(Calc!$G$3:$G$22&gt;A3946)*(Calc!$G$3:$G$22-A3946)*Calc!$G$3:$G$22)</f>
        <v/>
      </c>
      <c r="M3946">
        <f>SUMPRODUCT(Calc!$K$3:$K$22*(Calc!$G$3:$G$22&gt;B3946)*(Calc!$G$3:$G$22-B3946)*Calc!$G$3:$G$22)</f>
        <v/>
      </c>
      <c r="N3946">
        <f>SUMPRODUCT(Calc!$K$3:$K$22*(Calc!$G$3:$G$22&gt;A3946)*(Calc!$G$3:$G$22-A3946)*Calc!$I$3:$I$22)</f>
        <v/>
      </c>
      <c r="O3946">
        <f>SUMPRODUCT(Calc!$K$3:$K$22*(Calc!$G$3:$G$22&gt;B3946)*(Calc!$G$3:$G$22-B3946)*Calc!$I$3:$I$22)</f>
        <v/>
      </c>
      <c r="P3946">
        <f>I3946-G3946^2/k_n</f>
        <v/>
      </c>
      <c r="Q3946">
        <f>J3946-H3946^2/k_n</f>
        <v/>
      </c>
      <c r="R3946">
        <f>K3946-G3946*H3946/k_n</f>
        <v/>
      </c>
      <c r="S3946">
        <f>L3946-LTP3!$D$3*G3946/k_n</f>
        <v/>
      </c>
      <c r="T3946">
        <f>M3946-LTP3!$D$3*H3946/k_n</f>
        <v/>
      </c>
      <c r="U3946">
        <f>N3946-G3946*LTP3!$D$4/k_n</f>
        <v/>
      </c>
      <c r="V3946">
        <f>O3946-H3946*LTP3!$D$4/k_n</f>
        <v/>
      </c>
      <c r="W3946">
        <f>((LTP3!$D$5)*((P3946)*(Q3946)-(R3946)*(R3946))-(S3946)*((S3946)*(Q3946)-(R3946)*(T3946))+(T3946)*((S3946)*(R3946)-(P3946)*(T3946)))</f>
        <v/>
      </c>
      <c r="X3946">
        <f>IF(ABS(W3946)&gt;1E-12,((LTP3!$D$6)*((P3946)*(Q3946)-(R3946)*(R3946))-(S3946)*((U3946)*(Q3946)-(R3946)*(V3946))+(T3946)*((U3946)*(R3946)-(P3946)*(V3946)))/W3946,0)</f>
        <v/>
      </c>
      <c r="Y3946">
        <f>IF(ABS(W3946)&gt;1E-12,((LTP3!$D$5)*((U3946)*(Q3946)-(R3946)*(V3946))-(LTP3!$D$6)*((S3946)*(Q3946)-(R3946)*(T3946))+(T3946)*((S3946)*(V3946)-(U3946)*(T3946)))/W3946,0)</f>
        <v/>
      </c>
      <c r="Z3946">
        <f>IF(ABS(W3946)&gt;1E-12,((LTP3!$D$5)*((P3946)*(V3946)-(U3946)*(R3946))-(S3946)*((S3946)*(V3946)-(U3946)*(T3946))+(LTP3!$D$6)*((S3946)*(R3946)-(P3946)*(T3946)))/W3946,0)</f>
        <v/>
      </c>
      <c r="AA3946">
        <f>LTP3!$D$7-X3946*LTP3!$D$6-Y3946*U3946-Z3946*V3946</f>
        <v/>
      </c>
      <c r="AB3946">
        <f>IF(AND(F3946,ABS(W3946)&gt;1E-12,Y3946&gt;0,Z3946&gt;0),AA3946,1E+300)</f>
        <v/>
      </c>
    </row>
    <row r="3947">
      <c r="A3947">
        <f>$I$3-$B$5+$B$5*10/10</f>
        <v/>
      </c>
      <c r="B3947">
        <f>$J$3-$B$5+$B$5*1/10</f>
        <v/>
      </c>
      <c r="C3947">
        <f>SUMPRODUCT(Calc!$K$3:$K$22*(Calc!$G$3:$G$22&lt;=A3947))</f>
        <v/>
      </c>
      <c r="D3947">
        <f>SUMPRODUCT(Calc!$K$3:$K$22*(Calc!$G$3:$G$22&gt;A3947)*(Calc!$G$3:$G$22&lt;B3947))</f>
        <v/>
      </c>
      <c r="E3947">
        <f>SUMPRODUCT(Calc!$K$3:$K$22*(Calc!$G$3:$G$22&gt;=B3947))</f>
        <v/>
      </c>
      <c r="F3947">
        <f>AND(k_n&gt;=5,B3947&gt;A3947+1E-9,C3947&gt;=2,D3947&gt;=1,E3947&gt;=2)</f>
        <v/>
      </c>
      <c r="G3947">
        <f>SUMPRODUCT(Calc!$K$3:$K$22*(Calc!$G$3:$G$22&gt;A3947)*(Calc!$G$3:$G$22-A3947))</f>
        <v/>
      </c>
      <c r="H3947">
        <f>SUMPRODUCT(Calc!$K$3:$K$22*(Calc!$G$3:$G$22&gt;B3947)*(Calc!$G$3:$G$22-B3947))</f>
        <v/>
      </c>
      <c r="I3947">
        <f>SUMPRODUCT(Calc!$K$3:$K$22*(Calc!$G$3:$G$22&gt;A3947)*(Calc!$G$3:$G$22-A3947)^2)</f>
        <v/>
      </c>
      <c r="J3947">
        <f>SUMPRODUCT(Calc!$K$3:$K$22*(Calc!$G$3:$G$22&gt;B3947)*(Calc!$G$3:$G$22-B3947)^2)</f>
        <v/>
      </c>
      <c r="K3947">
        <f>SUMPRODUCT(Calc!$K$3:$K$22*(Calc!$G$3:$G$22&gt;A3947)*(Calc!$G$3:$G$22-A3947)*(Calc!$G$3:$G$22&gt;B3947)*(Calc!$G$3:$G$22-B3947))</f>
        <v/>
      </c>
      <c r="L3947">
        <f>SUMPRODUCT(Calc!$K$3:$K$22*(Calc!$G$3:$G$22&gt;A3947)*(Calc!$G$3:$G$22-A3947)*Calc!$G$3:$G$22)</f>
        <v/>
      </c>
      <c r="M3947">
        <f>SUMPRODUCT(Calc!$K$3:$K$22*(Calc!$G$3:$G$22&gt;B3947)*(Calc!$G$3:$G$22-B3947)*Calc!$G$3:$G$22)</f>
        <v/>
      </c>
      <c r="N3947">
        <f>SUMPRODUCT(Calc!$K$3:$K$22*(Calc!$G$3:$G$22&gt;A3947)*(Calc!$G$3:$G$22-A3947)*Calc!$I$3:$I$22)</f>
        <v/>
      </c>
      <c r="O3947">
        <f>SUMPRODUCT(Calc!$K$3:$K$22*(Calc!$G$3:$G$22&gt;B3947)*(Calc!$G$3:$G$22-B3947)*Calc!$I$3:$I$22)</f>
        <v/>
      </c>
      <c r="P3947">
        <f>I3947-G3947^2/k_n</f>
        <v/>
      </c>
      <c r="Q3947">
        <f>J3947-H3947^2/k_n</f>
        <v/>
      </c>
      <c r="R3947">
        <f>K3947-G3947*H3947/k_n</f>
        <v/>
      </c>
      <c r="S3947">
        <f>L3947-LTP3!$D$3*G3947/k_n</f>
        <v/>
      </c>
      <c r="T3947">
        <f>M3947-LTP3!$D$3*H3947/k_n</f>
        <v/>
      </c>
      <c r="U3947">
        <f>N3947-G3947*LTP3!$D$4/k_n</f>
        <v/>
      </c>
      <c r="V3947">
        <f>O3947-H3947*LTP3!$D$4/k_n</f>
        <v/>
      </c>
      <c r="W3947">
        <f>((LTP3!$D$5)*((P3947)*(Q3947)-(R3947)*(R3947))-(S3947)*((S3947)*(Q3947)-(R3947)*(T3947))+(T3947)*((S3947)*(R3947)-(P3947)*(T3947)))</f>
        <v/>
      </c>
      <c r="X3947">
        <f>IF(ABS(W3947)&gt;1E-12,((LTP3!$D$6)*((P3947)*(Q3947)-(R3947)*(R3947))-(S3947)*((U3947)*(Q3947)-(R3947)*(V3947))+(T3947)*((U3947)*(R3947)-(P3947)*(V3947)))/W3947,0)</f>
        <v/>
      </c>
      <c r="Y3947">
        <f>IF(ABS(W3947)&gt;1E-12,((LTP3!$D$5)*((U3947)*(Q3947)-(R3947)*(V3947))-(LTP3!$D$6)*((S3947)*(Q3947)-(R3947)*(T3947))+(T3947)*((S3947)*(V3947)-(U3947)*(T3947)))/W3947,0)</f>
        <v/>
      </c>
      <c r="Z3947">
        <f>IF(ABS(W3947)&gt;1E-12,((LTP3!$D$5)*((P3947)*(V3947)-(U3947)*(R3947))-(S3947)*((S3947)*(V3947)-(U3947)*(T3947))+(LTP3!$D$6)*((S3947)*(R3947)-(P3947)*(T3947)))/W3947,0)</f>
        <v/>
      </c>
      <c r="AA3947">
        <f>LTP3!$D$7-X3947*LTP3!$D$6-Y3947*U3947-Z3947*V3947</f>
        <v/>
      </c>
      <c r="AB3947">
        <f>IF(AND(F3947,ABS(W3947)&gt;1E-12,Y3947&gt;0,Z3947&gt;0),AA3947,1E+300)</f>
        <v/>
      </c>
    </row>
    <row r="3948">
      <c r="A3948">
        <f>$I$3-$B$5+$B$5*10/10</f>
        <v/>
      </c>
      <c r="B3948">
        <f>$J$3-$B$5+$B$5*2/10</f>
        <v/>
      </c>
      <c r="C3948">
        <f>SUMPRODUCT(Calc!$K$3:$K$22*(Calc!$G$3:$G$22&lt;=A3948))</f>
        <v/>
      </c>
      <c r="D3948">
        <f>SUMPRODUCT(Calc!$K$3:$K$22*(Calc!$G$3:$G$22&gt;A3948)*(Calc!$G$3:$G$22&lt;B3948))</f>
        <v/>
      </c>
      <c r="E3948">
        <f>SUMPRODUCT(Calc!$K$3:$K$22*(Calc!$G$3:$G$22&gt;=B3948))</f>
        <v/>
      </c>
      <c r="F3948">
        <f>AND(k_n&gt;=5,B3948&gt;A3948+1E-9,C3948&gt;=2,D3948&gt;=1,E3948&gt;=2)</f>
        <v/>
      </c>
      <c r="G3948">
        <f>SUMPRODUCT(Calc!$K$3:$K$22*(Calc!$G$3:$G$22&gt;A3948)*(Calc!$G$3:$G$22-A3948))</f>
        <v/>
      </c>
      <c r="H3948">
        <f>SUMPRODUCT(Calc!$K$3:$K$22*(Calc!$G$3:$G$22&gt;B3948)*(Calc!$G$3:$G$22-B3948))</f>
        <v/>
      </c>
      <c r="I3948">
        <f>SUMPRODUCT(Calc!$K$3:$K$22*(Calc!$G$3:$G$22&gt;A3948)*(Calc!$G$3:$G$22-A3948)^2)</f>
        <v/>
      </c>
      <c r="J3948">
        <f>SUMPRODUCT(Calc!$K$3:$K$22*(Calc!$G$3:$G$22&gt;B3948)*(Calc!$G$3:$G$22-B3948)^2)</f>
        <v/>
      </c>
      <c r="K3948">
        <f>SUMPRODUCT(Calc!$K$3:$K$22*(Calc!$G$3:$G$22&gt;A3948)*(Calc!$G$3:$G$22-A3948)*(Calc!$G$3:$G$22&gt;B3948)*(Calc!$G$3:$G$22-B3948))</f>
        <v/>
      </c>
      <c r="L3948">
        <f>SUMPRODUCT(Calc!$K$3:$K$22*(Calc!$G$3:$G$22&gt;A3948)*(Calc!$G$3:$G$22-A3948)*Calc!$G$3:$G$22)</f>
        <v/>
      </c>
      <c r="M3948">
        <f>SUMPRODUCT(Calc!$K$3:$K$22*(Calc!$G$3:$G$22&gt;B3948)*(Calc!$G$3:$G$22-B3948)*Calc!$G$3:$G$22)</f>
        <v/>
      </c>
      <c r="N3948">
        <f>SUMPRODUCT(Calc!$K$3:$K$22*(Calc!$G$3:$G$22&gt;A3948)*(Calc!$G$3:$G$22-A3948)*Calc!$I$3:$I$22)</f>
        <v/>
      </c>
      <c r="O3948">
        <f>SUMPRODUCT(Calc!$K$3:$K$22*(Calc!$G$3:$G$22&gt;B3948)*(Calc!$G$3:$G$22-B3948)*Calc!$I$3:$I$22)</f>
        <v/>
      </c>
      <c r="P3948">
        <f>I3948-G3948^2/k_n</f>
        <v/>
      </c>
      <c r="Q3948">
        <f>J3948-H3948^2/k_n</f>
        <v/>
      </c>
      <c r="R3948">
        <f>K3948-G3948*H3948/k_n</f>
        <v/>
      </c>
      <c r="S3948">
        <f>L3948-LTP3!$D$3*G3948/k_n</f>
        <v/>
      </c>
      <c r="T3948">
        <f>M3948-LTP3!$D$3*H3948/k_n</f>
        <v/>
      </c>
      <c r="U3948">
        <f>N3948-G3948*LTP3!$D$4/k_n</f>
        <v/>
      </c>
      <c r="V3948">
        <f>O3948-H3948*LTP3!$D$4/k_n</f>
        <v/>
      </c>
      <c r="W3948">
        <f>((LTP3!$D$5)*((P3948)*(Q3948)-(R3948)*(R3948))-(S3948)*((S3948)*(Q3948)-(R3948)*(T3948))+(T3948)*((S3948)*(R3948)-(P3948)*(T3948)))</f>
        <v/>
      </c>
      <c r="X3948">
        <f>IF(ABS(W3948)&gt;1E-12,((LTP3!$D$6)*((P3948)*(Q3948)-(R3948)*(R3948))-(S3948)*((U3948)*(Q3948)-(R3948)*(V3948))+(T3948)*((U3948)*(R3948)-(P3948)*(V3948)))/W3948,0)</f>
        <v/>
      </c>
      <c r="Y3948">
        <f>IF(ABS(W3948)&gt;1E-12,((LTP3!$D$5)*((U3948)*(Q3948)-(R3948)*(V3948))-(LTP3!$D$6)*((S3948)*(Q3948)-(R3948)*(T3948))+(T3948)*((S3948)*(V3948)-(U3948)*(T3948)))/W3948,0)</f>
        <v/>
      </c>
      <c r="Z3948">
        <f>IF(ABS(W3948)&gt;1E-12,((LTP3!$D$5)*((P3948)*(V3948)-(U3948)*(R3948))-(S3948)*((S3948)*(V3948)-(U3948)*(T3948))+(LTP3!$D$6)*((S3948)*(R3948)-(P3948)*(T3948)))/W3948,0)</f>
        <v/>
      </c>
      <c r="AA3948">
        <f>LTP3!$D$7-X3948*LTP3!$D$6-Y3948*U3948-Z3948*V3948</f>
        <v/>
      </c>
      <c r="AB3948">
        <f>IF(AND(F3948,ABS(W3948)&gt;1E-12,Y3948&gt;0,Z3948&gt;0),AA3948,1E+300)</f>
        <v/>
      </c>
    </row>
    <row r="3949">
      <c r="A3949">
        <f>$I$3-$B$5+$B$5*10/10</f>
        <v/>
      </c>
      <c r="B3949">
        <f>$J$3-$B$5+$B$5*3/10</f>
        <v/>
      </c>
      <c r="C3949">
        <f>SUMPRODUCT(Calc!$K$3:$K$22*(Calc!$G$3:$G$22&lt;=A3949))</f>
        <v/>
      </c>
      <c r="D3949">
        <f>SUMPRODUCT(Calc!$K$3:$K$22*(Calc!$G$3:$G$22&gt;A3949)*(Calc!$G$3:$G$22&lt;B3949))</f>
        <v/>
      </c>
      <c r="E3949">
        <f>SUMPRODUCT(Calc!$K$3:$K$22*(Calc!$G$3:$G$22&gt;=B3949))</f>
        <v/>
      </c>
      <c r="F3949">
        <f>AND(k_n&gt;=5,B3949&gt;A3949+1E-9,C3949&gt;=2,D3949&gt;=1,E3949&gt;=2)</f>
        <v/>
      </c>
      <c r="G3949">
        <f>SUMPRODUCT(Calc!$K$3:$K$22*(Calc!$G$3:$G$22&gt;A3949)*(Calc!$G$3:$G$22-A3949))</f>
        <v/>
      </c>
      <c r="H3949">
        <f>SUMPRODUCT(Calc!$K$3:$K$22*(Calc!$G$3:$G$22&gt;B3949)*(Calc!$G$3:$G$22-B3949))</f>
        <v/>
      </c>
      <c r="I3949">
        <f>SUMPRODUCT(Calc!$K$3:$K$22*(Calc!$G$3:$G$22&gt;A3949)*(Calc!$G$3:$G$22-A3949)^2)</f>
        <v/>
      </c>
      <c r="J3949">
        <f>SUMPRODUCT(Calc!$K$3:$K$22*(Calc!$G$3:$G$22&gt;B3949)*(Calc!$G$3:$G$22-B3949)^2)</f>
        <v/>
      </c>
      <c r="K3949">
        <f>SUMPRODUCT(Calc!$K$3:$K$22*(Calc!$G$3:$G$22&gt;A3949)*(Calc!$G$3:$G$22-A3949)*(Calc!$G$3:$G$22&gt;B3949)*(Calc!$G$3:$G$22-B3949))</f>
        <v/>
      </c>
      <c r="L3949">
        <f>SUMPRODUCT(Calc!$K$3:$K$22*(Calc!$G$3:$G$22&gt;A3949)*(Calc!$G$3:$G$22-A3949)*Calc!$G$3:$G$22)</f>
        <v/>
      </c>
      <c r="M3949">
        <f>SUMPRODUCT(Calc!$K$3:$K$22*(Calc!$G$3:$G$22&gt;B3949)*(Calc!$G$3:$G$22-B3949)*Calc!$G$3:$G$22)</f>
        <v/>
      </c>
      <c r="N3949">
        <f>SUMPRODUCT(Calc!$K$3:$K$22*(Calc!$G$3:$G$22&gt;A3949)*(Calc!$G$3:$G$22-A3949)*Calc!$I$3:$I$22)</f>
        <v/>
      </c>
      <c r="O3949">
        <f>SUMPRODUCT(Calc!$K$3:$K$22*(Calc!$G$3:$G$22&gt;B3949)*(Calc!$G$3:$G$22-B3949)*Calc!$I$3:$I$22)</f>
        <v/>
      </c>
      <c r="P3949">
        <f>I3949-G3949^2/k_n</f>
        <v/>
      </c>
      <c r="Q3949">
        <f>J3949-H3949^2/k_n</f>
        <v/>
      </c>
      <c r="R3949">
        <f>K3949-G3949*H3949/k_n</f>
        <v/>
      </c>
      <c r="S3949">
        <f>L3949-LTP3!$D$3*G3949/k_n</f>
        <v/>
      </c>
      <c r="T3949">
        <f>M3949-LTP3!$D$3*H3949/k_n</f>
        <v/>
      </c>
      <c r="U3949">
        <f>N3949-G3949*LTP3!$D$4/k_n</f>
        <v/>
      </c>
      <c r="V3949">
        <f>O3949-H3949*LTP3!$D$4/k_n</f>
        <v/>
      </c>
      <c r="W3949">
        <f>((LTP3!$D$5)*((P3949)*(Q3949)-(R3949)*(R3949))-(S3949)*((S3949)*(Q3949)-(R3949)*(T3949))+(T3949)*((S3949)*(R3949)-(P3949)*(T3949)))</f>
        <v/>
      </c>
      <c r="X3949">
        <f>IF(ABS(W3949)&gt;1E-12,((LTP3!$D$6)*((P3949)*(Q3949)-(R3949)*(R3949))-(S3949)*((U3949)*(Q3949)-(R3949)*(V3949))+(T3949)*((U3949)*(R3949)-(P3949)*(V3949)))/W3949,0)</f>
        <v/>
      </c>
      <c r="Y3949">
        <f>IF(ABS(W3949)&gt;1E-12,((LTP3!$D$5)*((U3949)*(Q3949)-(R3949)*(V3949))-(LTP3!$D$6)*((S3949)*(Q3949)-(R3949)*(T3949))+(T3949)*((S3949)*(V3949)-(U3949)*(T3949)))/W3949,0)</f>
        <v/>
      </c>
      <c r="Z3949">
        <f>IF(ABS(W3949)&gt;1E-12,((LTP3!$D$5)*((P3949)*(V3949)-(U3949)*(R3949))-(S3949)*((S3949)*(V3949)-(U3949)*(T3949))+(LTP3!$D$6)*((S3949)*(R3949)-(P3949)*(T3949)))/W3949,0)</f>
        <v/>
      </c>
      <c r="AA3949">
        <f>LTP3!$D$7-X3949*LTP3!$D$6-Y3949*U3949-Z3949*V3949</f>
        <v/>
      </c>
      <c r="AB3949">
        <f>IF(AND(F3949,ABS(W3949)&gt;1E-12,Y3949&gt;0,Z3949&gt;0),AA3949,1E+300)</f>
        <v/>
      </c>
    </row>
    <row r="3950">
      <c r="A3950">
        <f>$I$3-$B$5+$B$5*10/10</f>
        <v/>
      </c>
      <c r="B3950">
        <f>$J$3-$B$5+$B$5*4/10</f>
        <v/>
      </c>
      <c r="C3950">
        <f>SUMPRODUCT(Calc!$K$3:$K$22*(Calc!$G$3:$G$22&lt;=A3950))</f>
        <v/>
      </c>
      <c r="D3950">
        <f>SUMPRODUCT(Calc!$K$3:$K$22*(Calc!$G$3:$G$22&gt;A3950)*(Calc!$G$3:$G$22&lt;B3950))</f>
        <v/>
      </c>
      <c r="E3950">
        <f>SUMPRODUCT(Calc!$K$3:$K$22*(Calc!$G$3:$G$22&gt;=B3950))</f>
        <v/>
      </c>
      <c r="F3950">
        <f>AND(k_n&gt;=5,B3950&gt;A3950+1E-9,C3950&gt;=2,D3950&gt;=1,E3950&gt;=2)</f>
        <v/>
      </c>
      <c r="G3950">
        <f>SUMPRODUCT(Calc!$K$3:$K$22*(Calc!$G$3:$G$22&gt;A3950)*(Calc!$G$3:$G$22-A3950))</f>
        <v/>
      </c>
      <c r="H3950">
        <f>SUMPRODUCT(Calc!$K$3:$K$22*(Calc!$G$3:$G$22&gt;B3950)*(Calc!$G$3:$G$22-B3950))</f>
        <v/>
      </c>
      <c r="I3950">
        <f>SUMPRODUCT(Calc!$K$3:$K$22*(Calc!$G$3:$G$22&gt;A3950)*(Calc!$G$3:$G$22-A3950)^2)</f>
        <v/>
      </c>
      <c r="J3950">
        <f>SUMPRODUCT(Calc!$K$3:$K$22*(Calc!$G$3:$G$22&gt;B3950)*(Calc!$G$3:$G$22-B3950)^2)</f>
        <v/>
      </c>
      <c r="K3950">
        <f>SUMPRODUCT(Calc!$K$3:$K$22*(Calc!$G$3:$G$22&gt;A3950)*(Calc!$G$3:$G$22-A3950)*(Calc!$G$3:$G$22&gt;B3950)*(Calc!$G$3:$G$22-B3950))</f>
        <v/>
      </c>
      <c r="L3950">
        <f>SUMPRODUCT(Calc!$K$3:$K$22*(Calc!$G$3:$G$22&gt;A3950)*(Calc!$G$3:$G$22-A3950)*Calc!$G$3:$G$22)</f>
        <v/>
      </c>
      <c r="M3950">
        <f>SUMPRODUCT(Calc!$K$3:$K$22*(Calc!$G$3:$G$22&gt;B3950)*(Calc!$G$3:$G$22-B3950)*Calc!$G$3:$G$22)</f>
        <v/>
      </c>
      <c r="N3950">
        <f>SUMPRODUCT(Calc!$K$3:$K$22*(Calc!$G$3:$G$22&gt;A3950)*(Calc!$G$3:$G$22-A3950)*Calc!$I$3:$I$22)</f>
        <v/>
      </c>
      <c r="O3950">
        <f>SUMPRODUCT(Calc!$K$3:$K$22*(Calc!$G$3:$G$22&gt;B3950)*(Calc!$G$3:$G$22-B3950)*Calc!$I$3:$I$22)</f>
        <v/>
      </c>
      <c r="P3950">
        <f>I3950-G3950^2/k_n</f>
        <v/>
      </c>
      <c r="Q3950">
        <f>J3950-H3950^2/k_n</f>
        <v/>
      </c>
      <c r="R3950">
        <f>K3950-G3950*H3950/k_n</f>
        <v/>
      </c>
      <c r="S3950">
        <f>L3950-LTP3!$D$3*G3950/k_n</f>
        <v/>
      </c>
      <c r="T3950">
        <f>M3950-LTP3!$D$3*H3950/k_n</f>
        <v/>
      </c>
      <c r="U3950">
        <f>N3950-G3950*LTP3!$D$4/k_n</f>
        <v/>
      </c>
      <c r="V3950">
        <f>O3950-H3950*LTP3!$D$4/k_n</f>
        <v/>
      </c>
      <c r="W3950">
        <f>((LTP3!$D$5)*((P3950)*(Q3950)-(R3950)*(R3950))-(S3950)*((S3950)*(Q3950)-(R3950)*(T3950))+(T3950)*((S3950)*(R3950)-(P3950)*(T3950)))</f>
        <v/>
      </c>
      <c r="X3950">
        <f>IF(ABS(W3950)&gt;1E-12,((LTP3!$D$6)*((P3950)*(Q3950)-(R3950)*(R3950))-(S3950)*((U3950)*(Q3950)-(R3950)*(V3950))+(T3950)*((U3950)*(R3950)-(P3950)*(V3950)))/W3950,0)</f>
        <v/>
      </c>
      <c r="Y3950">
        <f>IF(ABS(W3950)&gt;1E-12,((LTP3!$D$5)*((U3950)*(Q3950)-(R3950)*(V3950))-(LTP3!$D$6)*((S3950)*(Q3950)-(R3950)*(T3950))+(T3950)*((S3950)*(V3950)-(U3950)*(T3950)))/W3950,0)</f>
        <v/>
      </c>
      <c r="Z3950">
        <f>IF(ABS(W3950)&gt;1E-12,((LTP3!$D$5)*((P3950)*(V3950)-(U3950)*(R3950))-(S3950)*((S3950)*(V3950)-(U3950)*(T3950))+(LTP3!$D$6)*((S3950)*(R3950)-(P3950)*(T3950)))/W3950,0)</f>
        <v/>
      </c>
      <c r="AA3950">
        <f>LTP3!$D$7-X3950*LTP3!$D$6-Y3950*U3950-Z3950*V3950</f>
        <v/>
      </c>
      <c r="AB3950">
        <f>IF(AND(F3950,ABS(W3950)&gt;1E-12,Y3950&gt;0,Z3950&gt;0),AA3950,1E+300)</f>
        <v/>
      </c>
    </row>
    <row r="3951">
      <c r="A3951">
        <f>$I$3-$B$5+$B$5*10/10</f>
        <v/>
      </c>
      <c r="B3951">
        <f>$J$3-$B$5+$B$5*5/10</f>
        <v/>
      </c>
      <c r="C3951">
        <f>SUMPRODUCT(Calc!$K$3:$K$22*(Calc!$G$3:$G$22&lt;=A3951))</f>
        <v/>
      </c>
      <c r="D3951">
        <f>SUMPRODUCT(Calc!$K$3:$K$22*(Calc!$G$3:$G$22&gt;A3951)*(Calc!$G$3:$G$22&lt;B3951))</f>
        <v/>
      </c>
      <c r="E3951">
        <f>SUMPRODUCT(Calc!$K$3:$K$22*(Calc!$G$3:$G$22&gt;=B3951))</f>
        <v/>
      </c>
      <c r="F3951">
        <f>AND(k_n&gt;=5,B3951&gt;A3951+1E-9,C3951&gt;=2,D3951&gt;=1,E3951&gt;=2)</f>
        <v/>
      </c>
      <c r="G3951">
        <f>SUMPRODUCT(Calc!$K$3:$K$22*(Calc!$G$3:$G$22&gt;A3951)*(Calc!$G$3:$G$22-A3951))</f>
        <v/>
      </c>
      <c r="H3951">
        <f>SUMPRODUCT(Calc!$K$3:$K$22*(Calc!$G$3:$G$22&gt;B3951)*(Calc!$G$3:$G$22-B3951))</f>
        <v/>
      </c>
      <c r="I3951">
        <f>SUMPRODUCT(Calc!$K$3:$K$22*(Calc!$G$3:$G$22&gt;A3951)*(Calc!$G$3:$G$22-A3951)^2)</f>
        <v/>
      </c>
      <c r="J3951">
        <f>SUMPRODUCT(Calc!$K$3:$K$22*(Calc!$G$3:$G$22&gt;B3951)*(Calc!$G$3:$G$22-B3951)^2)</f>
        <v/>
      </c>
      <c r="K3951">
        <f>SUMPRODUCT(Calc!$K$3:$K$22*(Calc!$G$3:$G$22&gt;A3951)*(Calc!$G$3:$G$22-A3951)*(Calc!$G$3:$G$22&gt;B3951)*(Calc!$G$3:$G$22-B3951))</f>
        <v/>
      </c>
      <c r="L3951">
        <f>SUMPRODUCT(Calc!$K$3:$K$22*(Calc!$G$3:$G$22&gt;A3951)*(Calc!$G$3:$G$22-A3951)*Calc!$G$3:$G$22)</f>
        <v/>
      </c>
      <c r="M3951">
        <f>SUMPRODUCT(Calc!$K$3:$K$22*(Calc!$G$3:$G$22&gt;B3951)*(Calc!$G$3:$G$22-B3951)*Calc!$G$3:$G$22)</f>
        <v/>
      </c>
      <c r="N3951">
        <f>SUMPRODUCT(Calc!$K$3:$K$22*(Calc!$G$3:$G$22&gt;A3951)*(Calc!$G$3:$G$22-A3951)*Calc!$I$3:$I$22)</f>
        <v/>
      </c>
      <c r="O3951">
        <f>SUMPRODUCT(Calc!$K$3:$K$22*(Calc!$G$3:$G$22&gt;B3951)*(Calc!$G$3:$G$22-B3951)*Calc!$I$3:$I$22)</f>
        <v/>
      </c>
      <c r="P3951">
        <f>I3951-G3951^2/k_n</f>
        <v/>
      </c>
      <c r="Q3951">
        <f>J3951-H3951^2/k_n</f>
        <v/>
      </c>
      <c r="R3951">
        <f>K3951-G3951*H3951/k_n</f>
        <v/>
      </c>
      <c r="S3951">
        <f>L3951-LTP3!$D$3*G3951/k_n</f>
        <v/>
      </c>
      <c r="T3951">
        <f>M3951-LTP3!$D$3*H3951/k_n</f>
        <v/>
      </c>
      <c r="U3951">
        <f>N3951-G3951*LTP3!$D$4/k_n</f>
        <v/>
      </c>
      <c r="V3951">
        <f>O3951-H3951*LTP3!$D$4/k_n</f>
        <v/>
      </c>
      <c r="W3951">
        <f>((LTP3!$D$5)*((P3951)*(Q3951)-(R3951)*(R3951))-(S3951)*((S3951)*(Q3951)-(R3951)*(T3951))+(T3951)*((S3951)*(R3951)-(P3951)*(T3951)))</f>
        <v/>
      </c>
      <c r="X3951">
        <f>IF(ABS(W3951)&gt;1E-12,((LTP3!$D$6)*((P3951)*(Q3951)-(R3951)*(R3951))-(S3951)*((U3951)*(Q3951)-(R3951)*(V3951))+(T3951)*((U3951)*(R3951)-(P3951)*(V3951)))/W3951,0)</f>
        <v/>
      </c>
      <c r="Y3951">
        <f>IF(ABS(W3951)&gt;1E-12,((LTP3!$D$5)*((U3951)*(Q3951)-(R3951)*(V3951))-(LTP3!$D$6)*((S3951)*(Q3951)-(R3951)*(T3951))+(T3951)*((S3951)*(V3951)-(U3951)*(T3951)))/W3951,0)</f>
        <v/>
      </c>
      <c r="Z3951">
        <f>IF(ABS(W3951)&gt;1E-12,((LTP3!$D$5)*((P3951)*(V3951)-(U3951)*(R3951))-(S3951)*((S3951)*(V3951)-(U3951)*(T3951))+(LTP3!$D$6)*((S3951)*(R3951)-(P3951)*(T3951)))/W3951,0)</f>
        <v/>
      </c>
      <c r="AA3951">
        <f>LTP3!$D$7-X3951*LTP3!$D$6-Y3951*U3951-Z3951*V3951</f>
        <v/>
      </c>
      <c r="AB3951">
        <f>IF(AND(F3951,ABS(W3951)&gt;1E-12,Y3951&gt;0,Z3951&gt;0),AA3951,1E+300)</f>
        <v/>
      </c>
    </row>
    <row r="3952">
      <c r="A3952">
        <f>$I$3-$B$5+$B$5*10/10</f>
        <v/>
      </c>
      <c r="B3952">
        <f>$J$3-$B$5+$B$5*6/10</f>
        <v/>
      </c>
      <c r="C3952">
        <f>SUMPRODUCT(Calc!$K$3:$K$22*(Calc!$G$3:$G$22&lt;=A3952))</f>
        <v/>
      </c>
      <c r="D3952">
        <f>SUMPRODUCT(Calc!$K$3:$K$22*(Calc!$G$3:$G$22&gt;A3952)*(Calc!$G$3:$G$22&lt;B3952))</f>
        <v/>
      </c>
      <c r="E3952">
        <f>SUMPRODUCT(Calc!$K$3:$K$22*(Calc!$G$3:$G$22&gt;=B3952))</f>
        <v/>
      </c>
      <c r="F3952">
        <f>AND(k_n&gt;=5,B3952&gt;A3952+1E-9,C3952&gt;=2,D3952&gt;=1,E3952&gt;=2)</f>
        <v/>
      </c>
      <c r="G3952">
        <f>SUMPRODUCT(Calc!$K$3:$K$22*(Calc!$G$3:$G$22&gt;A3952)*(Calc!$G$3:$G$22-A3952))</f>
        <v/>
      </c>
      <c r="H3952">
        <f>SUMPRODUCT(Calc!$K$3:$K$22*(Calc!$G$3:$G$22&gt;B3952)*(Calc!$G$3:$G$22-B3952))</f>
        <v/>
      </c>
      <c r="I3952">
        <f>SUMPRODUCT(Calc!$K$3:$K$22*(Calc!$G$3:$G$22&gt;A3952)*(Calc!$G$3:$G$22-A3952)^2)</f>
        <v/>
      </c>
      <c r="J3952">
        <f>SUMPRODUCT(Calc!$K$3:$K$22*(Calc!$G$3:$G$22&gt;B3952)*(Calc!$G$3:$G$22-B3952)^2)</f>
        <v/>
      </c>
      <c r="K3952">
        <f>SUMPRODUCT(Calc!$K$3:$K$22*(Calc!$G$3:$G$22&gt;A3952)*(Calc!$G$3:$G$22-A3952)*(Calc!$G$3:$G$22&gt;B3952)*(Calc!$G$3:$G$22-B3952))</f>
        <v/>
      </c>
      <c r="L3952">
        <f>SUMPRODUCT(Calc!$K$3:$K$22*(Calc!$G$3:$G$22&gt;A3952)*(Calc!$G$3:$G$22-A3952)*Calc!$G$3:$G$22)</f>
        <v/>
      </c>
      <c r="M3952">
        <f>SUMPRODUCT(Calc!$K$3:$K$22*(Calc!$G$3:$G$22&gt;B3952)*(Calc!$G$3:$G$22-B3952)*Calc!$G$3:$G$22)</f>
        <v/>
      </c>
      <c r="N3952">
        <f>SUMPRODUCT(Calc!$K$3:$K$22*(Calc!$G$3:$G$22&gt;A3952)*(Calc!$G$3:$G$22-A3952)*Calc!$I$3:$I$22)</f>
        <v/>
      </c>
      <c r="O3952">
        <f>SUMPRODUCT(Calc!$K$3:$K$22*(Calc!$G$3:$G$22&gt;B3952)*(Calc!$G$3:$G$22-B3952)*Calc!$I$3:$I$22)</f>
        <v/>
      </c>
      <c r="P3952">
        <f>I3952-G3952^2/k_n</f>
        <v/>
      </c>
      <c r="Q3952">
        <f>J3952-H3952^2/k_n</f>
        <v/>
      </c>
      <c r="R3952">
        <f>K3952-G3952*H3952/k_n</f>
        <v/>
      </c>
      <c r="S3952">
        <f>L3952-LTP3!$D$3*G3952/k_n</f>
        <v/>
      </c>
      <c r="T3952">
        <f>M3952-LTP3!$D$3*H3952/k_n</f>
        <v/>
      </c>
      <c r="U3952">
        <f>N3952-G3952*LTP3!$D$4/k_n</f>
        <v/>
      </c>
      <c r="V3952">
        <f>O3952-H3952*LTP3!$D$4/k_n</f>
        <v/>
      </c>
      <c r="W3952">
        <f>((LTP3!$D$5)*((P3952)*(Q3952)-(R3952)*(R3952))-(S3952)*((S3952)*(Q3952)-(R3952)*(T3952))+(T3952)*((S3952)*(R3952)-(P3952)*(T3952)))</f>
        <v/>
      </c>
      <c r="X3952">
        <f>IF(ABS(W3952)&gt;1E-12,((LTP3!$D$6)*((P3952)*(Q3952)-(R3952)*(R3952))-(S3952)*((U3952)*(Q3952)-(R3952)*(V3952))+(T3952)*((U3952)*(R3952)-(P3952)*(V3952)))/W3952,0)</f>
        <v/>
      </c>
      <c r="Y3952">
        <f>IF(ABS(W3952)&gt;1E-12,((LTP3!$D$5)*((U3952)*(Q3952)-(R3952)*(V3952))-(LTP3!$D$6)*((S3952)*(Q3952)-(R3952)*(T3952))+(T3952)*((S3952)*(V3952)-(U3952)*(T3952)))/W3952,0)</f>
        <v/>
      </c>
      <c r="Z3952">
        <f>IF(ABS(W3952)&gt;1E-12,((LTP3!$D$5)*((P3952)*(V3952)-(U3952)*(R3952))-(S3952)*((S3952)*(V3952)-(U3952)*(T3952))+(LTP3!$D$6)*((S3952)*(R3952)-(P3952)*(T3952)))/W3952,0)</f>
        <v/>
      </c>
      <c r="AA3952">
        <f>LTP3!$D$7-X3952*LTP3!$D$6-Y3952*U3952-Z3952*V3952</f>
        <v/>
      </c>
      <c r="AB3952">
        <f>IF(AND(F3952,ABS(W3952)&gt;1E-12,Y3952&gt;0,Z3952&gt;0),AA3952,1E+300)</f>
        <v/>
      </c>
    </row>
    <row r="3953">
      <c r="A3953">
        <f>$I$3-$B$5+$B$5*10/10</f>
        <v/>
      </c>
      <c r="B3953">
        <f>$J$3-$B$5+$B$5*7/10</f>
        <v/>
      </c>
      <c r="C3953">
        <f>SUMPRODUCT(Calc!$K$3:$K$22*(Calc!$G$3:$G$22&lt;=A3953))</f>
        <v/>
      </c>
      <c r="D3953">
        <f>SUMPRODUCT(Calc!$K$3:$K$22*(Calc!$G$3:$G$22&gt;A3953)*(Calc!$G$3:$G$22&lt;B3953))</f>
        <v/>
      </c>
      <c r="E3953">
        <f>SUMPRODUCT(Calc!$K$3:$K$22*(Calc!$G$3:$G$22&gt;=B3953))</f>
        <v/>
      </c>
      <c r="F3953">
        <f>AND(k_n&gt;=5,B3953&gt;A3953+1E-9,C3953&gt;=2,D3953&gt;=1,E3953&gt;=2)</f>
        <v/>
      </c>
      <c r="G3953">
        <f>SUMPRODUCT(Calc!$K$3:$K$22*(Calc!$G$3:$G$22&gt;A3953)*(Calc!$G$3:$G$22-A3953))</f>
        <v/>
      </c>
      <c r="H3953">
        <f>SUMPRODUCT(Calc!$K$3:$K$22*(Calc!$G$3:$G$22&gt;B3953)*(Calc!$G$3:$G$22-B3953))</f>
        <v/>
      </c>
      <c r="I3953">
        <f>SUMPRODUCT(Calc!$K$3:$K$22*(Calc!$G$3:$G$22&gt;A3953)*(Calc!$G$3:$G$22-A3953)^2)</f>
        <v/>
      </c>
      <c r="J3953">
        <f>SUMPRODUCT(Calc!$K$3:$K$22*(Calc!$G$3:$G$22&gt;B3953)*(Calc!$G$3:$G$22-B3953)^2)</f>
        <v/>
      </c>
      <c r="K3953">
        <f>SUMPRODUCT(Calc!$K$3:$K$22*(Calc!$G$3:$G$22&gt;A3953)*(Calc!$G$3:$G$22-A3953)*(Calc!$G$3:$G$22&gt;B3953)*(Calc!$G$3:$G$22-B3953))</f>
        <v/>
      </c>
      <c r="L3953">
        <f>SUMPRODUCT(Calc!$K$3:$K$22*(Calc!$G$3:$G$22&gt;A3953)*(Calc!$G$3:$G$22-A3953)*Calc!$G$3:$G$22)</f>
        <v/>
      </c>
      <c r="M3953">
        <f>SUMPRODUCT(Calc!$K$3:$K$22*(Calc!$G$3:$G$22&gt;B3953)*(Calc!$G$3:$G$22-B3953)*Calc!$G$3:$G$22)</f>
        <v/>
      </c>
      <c r="N3953">
        <f>SUMPRODUCT(Calc!$K$3:$K$22*(Calc!$G$3:$G$22&gt;A3953)*(Calc!$G$3:$G$22-A3953)*Calc!$I$3:$I$22)</f>
        <v/>
      </c>
      <c r="O3953">
        <f>SUMPRODUCT(Calc!$K$3:$K$22*(Calc!$G$3:$G$22&gt;B3953)*(Calc!$G$3:$G$22-B3953)*Calc!$I$3:$I$22)</f>
        <v/>
      </c>
      <c r="P3953">
        <f>I3953-G3953^2/k_n</f>
        <v/>
      </c>
      <c r="Q3953">
        <f>J3953-H3953^2/k_n</f>
        <v/>
      </c>
      <c r="R3953">
        <f>K3953-G3953*H3953/k_n</f>
        <v/>
      </c>
      <c r="S3953">
        <f>L3953-LTP3!$D$3*G3953/k_n</f>
        <v/>
      </c>
      <c r="T3953">
        <f>M3953-LTP3!$D$3*H3953/k_n</f>
        <v/>
      </c>
      <c r="U3953">
        <f>N3953-G3953*LTP3!$D$4/k_n</f>
        <v/>
      </c>
      <c r="V3953">
        <f>O3953-H3953*LTP3!$D$4/k_n</f>
        <v/>
      </c>
      <c r="W3953">
        <f>((LTP3!$D$5)*((P3953)*(Q3953)-(R3953)*(R3953))-(S3953)*((S3953)*(Q3953)-(R3953)*(T3953))+(T3953)*((S3953)*(R3953)-(P3953)*(T3953)))</f>
        <v/>
      </c>
      <c r="X3953">
        <f>IF(ABS(W3953)&gt;1E-12,((LTP3!$D$6)*((P3953)*(Q3953)-(R3953)*(R3953))-(S3953)*((U3953)*(Q3953)-(R3953)*(V3953))+(T3953)*((U3953)*(R3953)-(P3953)*(V3953)))/W3953,0)</f>
        <v/>
      </c>
      <c r="Y3953">
        <f>IF(ABS(W3953)&gt;1E-12,((LTP3!$D$5)*((U3953)*(Q3953)-(R3953)*(V3953))-(LTP3!$D$6)*((S3953)*(Q3953)-(R3953)*(T3953))+(T3953)*((S3953)*(V3953)-(U3953)*(T3953)))/W3953,0)</f>
        <v/>
      </c>
      <c r="Z3953">
        <f>IF(ABS(W3953)&gt;1E-12,((LTP3!$D$5)*((P3953)*(V3953)-(U3953)*(R3953))-(S3953)*((S3953)*(V3953)-(U3953)*(T3953))+(LTP3!$D$6)*((S3953)*(R3953)-(P3953)*(T3953)))/W3953,0)</f>
        <v/>
      </c>
      <c r="AA3953">
        <f>LTP3!$D$7-X3953*LTP3!$D$6-Y3953*U3953-Z3953*V3953</f>
        <v/>
      </c>
      <c r="AB3953">
        <f>IF(AND(F3953,ABS(W3953)&gt;1E-12,Y3953&gt;0,Z3953&gt;0),AA3953,1E+300)</f>
        <v/>
      </c>
    </row>
    <row r="3954">
      <c r="A3954">
        <f>$I$3-$B$5+$B$5*10/10</f>
        <v/>
      </c>
      <c r="B3954">
        <f>$J$3-$B$5+$B$5*8/10</f>
        <v/>
      </c>
      <c r="C3954">
        <f>SUMPRODUCT(Calc!$K$3:$K$22*(Calc!$G$3:$G$22&lt;=A3954))</f>
        <v/>
      </c>
      <c r="D3954">
        <f>SUMPRODUCT(Calc!$K$3:$K$22*(Calc!$G$3:$G$22&gt;A3954)*(Calc!$G$3:$G$22&lt;B3954))</f>
        <v/>
      </c>
      <c r="E3954">
        <f>SUMPRODUCT(Calc!$K$3:$K$22*(Calc!$G$3:$G$22&gt;=B3954))</f>
        <v/>
      </c>
      <c r="F3954">
        <f>AND(k_n&gt;=5,B3954&gt;A3954+1E-9,C3954&gt;=2,D3954&gt;=1,E3954&gt;=2)</f>
        <v/>
      </c>
      <c r="G3954">
        <f>SUMPRODUCT(Calc!$K$3:$K$22*(Calc!$G$3:$G$22&gt;A3954)*(Calc!$G$3:$G$22-A3954))</f>
        <v/>
      </c>
      <c r="H3954">
        <f>SUMPRODUCT(Calc!$K$3:$K$22*(Calc!$G$3:$G$22&gt;B3954)*(Calc!$G$3:$G$22-B3954))</f>
        <v/>
      </c>
      <c r="I3954">
        <f>SUMPRODUCT(Calc!$K$3:$K$22*(Calc!$G$3:$G$22&gt;A3954)*(Calc!$G$3:$G$22-A3954)^2)</f>
        <v/>
      </c>
      <c r="J3954">
        <f>SUMPRODUCT(Calc!$K$3:$K$22*(Calc!$G$3:$G$22&gt;B3954)*(Calc!$G$3:$G$22-B3954)^2)</f>
        <v/>
      </c>
      <c r="K3954">
        <f>SUMPRODUCT(Calc!$K$3:$K$22*(Calc!$G$3:$G$22&gt;A3954)*(Calc!$G$3:$G$22-A3954)*(Calc!$G$3:$G$22&gt;B3954)*(Calc!$G$3:$G$22-B3954))</f>
        <v/>
      </c>
      <c r="L3954">
        <f>SUMPRODUCT(Calc!$K$3:$K$22*(Calc!$G$3:$G$22&gt;A3954)*(Calc!$G$3:$G$22-A3954)*Calc!$G$3:$G$22)</f>
        <v/>
      </c>
      <c r="M3954">
        <f>SUMPRODUCT(Calc!$K$3:$K$22*(Calc!$G$3:$G$22&gt;B3954)*(Calc!$G$3:$G$22-B3954)*Calc!$G$3:$G$22)</f>
        <v/>
      </c>
      <c r="N3954">
        <f>SUMPRODUCT(Calc!$K$3:$K$22*(Calc!$G$3:$G$22&gt;A3954)*(Calc!$G$3:$G$22-A3954)*Calc!$I$3:$I$22)</f>
        <v/>
      </c>
      <c r="O3954">
        <f>SUMPRODUCT(Calc!$K$3:$K$22*(Calc!$G$3:$G$22&gt;B3954)*(Calc!$G$3:$G$22-B3954)*Calc!$I$3:$I$22)</f>
        <v/>
      </c>
      <c r="P3954">
        <f>I3954-G3954^2/k_n</f>
        <v/>
      </c>
      <c r="Q3954">
        <f>J3954-H3954^2/k_n</f>
        <v/>
      </c>
      <c r="R3954">
        <f>K3954-G3954*H3954/k_n</f>
        <v/>
      </c>
      <c r="S3954">
        <f>L3954-LTP3!$D$3*G3954/k_n</f>
        <v/>
      </c>
      <c r="T3954">
        <f>M3954-LTP3!$D$3*H3954/k_n</f>
        <v/>
      </c>
      <c r="U3954">
        <f>N3954-G3954*LTP3!$D$4/k_n</f>
        <v/>
      </c>
      <c r="V3954">
        <f>O3954-H3954*LTP3!$D$4/k_n</f>
        <v/>
      </c>
      <c r="W3954">
        <f>((LTP3!$D$5)*((P3954)*(Q3954)-(R3954)*(R3954))-(S3954)*((S3954)*(Q3954)-(R3954)*(T3954))+(T3954)*((S3954)*(R3954)-(P3954)*(T3954)))</f>
        <v/>
      </c>
      <c r="X3954">
        <f>IF(ABS(W3954)&gt;1E-12,((LTP3!$D$6)*((P3954)*(Q3954)-(R3954)*(R3954))-(S3954)*((U3954)*(Q3954)-(R3954)*(V3954))+(T3954)*((U3954)*(R3954)-(P3954)*(V3954)))/W3954,0)</f>
        <v/>
      </c>
      <c r="Y3954">
        <f>IF(ABS(W3954)&gt;1E-12,((LTP3!$D$5)*((U3954)*(Q3954)-(R3954)*(V3954))-(LTP3!$D$6)*((S3954)*(Q3954)-(R3954)*(T3954))+(T3954)*((S3954)*(V3954)-(U3954)*(T3954)))/W3954,0)</f>
        <v/>
      </c>
      <c r="Z3954">
        <f>IF(ABS(W3954)&gt;1E-12,((LTP3!$D$5)*((P3954)*(V3954)-(U3954)*(R3954))-(S3954)*((S3954)*(V3954)-(U3954)*(T3954))+(LTP3!$D$6)*((S3954)*(R3954)-(P3954)*(T3954)))/W3954,0)</f>
        <v/>
      </c>
      <c r="AA3954">
        <f>LTP3!$D$7-X3954*LTP3!$D$6-Y3954*U3954-Z3954*V3954</f>
        <v/>
      </c>
      <c r="AB3954">
        <f>IF(AND(F3954,ABS(W3954)&gt;1E-12,Y3954&gt;0,Z3954&gt;0),AA3954,1E+300)</f>
        <v/>
      </c>
    </row>
    <row r="3955">
      <c r="A3955">
        <f>$I$3-$B$5+$B$5*10/10</f>
        <v/>
      </c>
      <c r="B3955">
        <f>$J$3-$B$5+$B$5*9/10</f>
        <v/>
      </c>
      <c r="C3955">
        <f>SUMPRODUCT(Calc!$K$3:$K$22*(Calc!$G$3:$G$22&lt;=A3955))</f>
        <v/>
      </c>
      <c r="D3955">
        <f>SUMPRODUCT(Calc!$K$3:$K$22*(Calc!$G$3:$G$22&gt;A3955)*(Calc!$G$3:$G$22&lt;B3955))</f>
        <v/>
      </c>
      <c r="E3955">
        <f>SUMPRODUCT(Calc!$K$3:$K$22*(Calc!$G$3:$G$22&gt;=B3955))</f>
        <v/>
      </c>
      <c r="F3955">
        <f>AND(k_n&gt;=5,B3955&gt;A3955+1E-9,C3955&gt;=2,D3955&gt;=1,E3955&gt;=2)</f>
        <v/>
      </c>
      <c r="G3955">
        <f>SUMPRODUCT(Calc!$K$3:$K$22*(Calc!$G$3:$G$22&gt;A3955)*(Calc!$G$3:$G$22-A3955))</f>
        <v/>
      </c>
      <c r="H3955">
        <f>SUMPRODUCT(Calc!$K$3:$K$22*(Calc!$G$3:$G$22&gt;B3955)*(Calc!$G$3:$G$22-B3955))</f>
        <v/>
      </c>
      <c r="I3955">
        <f>SUMPRODUCT(Calc!$K$3:$K$22*(Calc!$G$3:$G$22&gt;A3955)*(Calc!$G$3:$G$22-A3955)^2)</f>
        <v/>
      </c>
      <c r="J3955">
        <f>SUMPRODUCT(Calc!$K$3:$K$22*(Calc!$G$3:$G$22&gt;B3955)*(Calc!$G$3:$G$22-B3955)^2)</f>
        <v/>
      </c>
      <c r="K3955">
        <f>SUMPRODUCT(Calc!$K$3:$K$22*(Calc!$G$3:$G$22&gt;A3955)*(Calc!$G$3:$G$22-A3955)*(Calc!$G$3:$G$22&gt;B3955)*(Calc!$G$3:$G$22-B3955))</f>
        <v/>
      </c>
      <c r="L3955">
        <f>SUMPRODUCT(Calc!$K$3:$K$22*(Calc!$G$3:$G$22&gt;A3955)*(Calc!$G$3:$G$22-A3955)*Calc!$G$3:$G$22)</f>
        <v/>
      </c>
      <c r="M3955">
        <f>SUMPRODUCT(Calc!$K$3:$K$22*(Calc!$G$3:$G$22&gt;B3955)*(Calc!$G$3:$G$22-B3955)*Calc!$G$3:$G$22)</f>
        <v/>
      </c>
      <c r="N3955">
        <f>SUMPRODUCT(Calc!$K$3:$K$22*(Calc!$G$3:$G$22&gt;A3955)*(Calc!$G$3:$G$22-A3955)*Calc!$I$3:$I$22)</f>
        <v/>
      </c>
      <c r="O3955">
        <f>SUMPRODUCT(Calc!$K$3:$K$22*(Calc!$G$3:$G$22&gt;B3955)*(Calc!$G$3:$G$22-B3955)*Calc!$I$3:$I$22)</f>
        <v/>
      </c>
      <c r="P3955">
        <f>I3955-G3955^2/k_n</f>
        <v/>
      </c>
      <c r="Q3955">
        <f>J3955-H3955^2/k_n</f>
        <v/>
      </c>
      <c r="R3955">
        <f>K3955-G3955*H3955/k_n</f>
        <v/>
      </c>
      <c r="S3955">
        <f>L3955-LTP3!$D$3*G3955/k_n</f>
        <v/>
      </c>
      <c r="T3955">
        <f>M3955-LTP3!$D$3*H3955/k_n</f>
        <v/>
      </c>
      <c r="U3955">
        <f>N3955-G3955*LTP3!$D$4/k_n</f>
        <v/>
      </c>
      <c r="V3955">
        <f>O3955-H3955*LTP3!$D$4/k_n</f>
        <v/>
      </c>
      <c r="W3955">
        <f>((LTP3!$D$5)*((P3955)*(Q3955)-(R3955)*(R3955))-(S3955)*((S3955)*(Q3955)-(R3955)*(T3955))+(T3955)*((S3955)*(R3955)-(P3955)*(T3955)))</f>
        <v/>
      </c>
      <c r="X3955">
        <f>IF(ABS(W3955)&gt;1E-12,((LTP3!$D$6)*((P3955)*(Q3955)-(R3955)*(R3955))-(S3955)*((U3955)*(Q3955)-(R3955)*(V3955))+(T3955)*((U3955)*(R3955)-(P3955)*(V3955)))/W3955,0)</f>
        <v/>
      </c>
      <c r="Y3955">
        <f>IF(ABS(W3955)&gt;1E-12,((LTP3!$D$5)*((U3955)*(Q3955)-(R3955)*(V3955))-(LTP3!$D$6)*((S3955)*(Q3955)-(R3955)*(T3955))+(T3955)*((S3955)*(V3955)-(U3955)*(T3955)))/W3955,0)</f>
        <v/>
      </c>
      <c r="Z3955">
        <f>IF(ABS(W3955)&gt;1E-12,((LTP3!$D$5)*((P3955)*(V3955)-(U3955)*(R3955))-(S3955)*((S3955)*(V3955)-(U3955)*(T3955))+(LTP3!$D$6)*((S3955)*(R3955)-(P3955)*(T3955)))/W3955,0)</f>
        <v/>
      </c>
      <c r="AA3955">
        <f>LTP3!$D$7-X3955*LTP3!$D$6-Y3955*U3955-Z3955*V3955</f>
        <v/>
      </c>
      <c r="AB3955">
        <f>IF(AND(F3955,ABS(W3955)&gt;1E-12,Y3955&gt;0,Z3955&gt;0),AA3955,1E+300)</f>
        <v/>
      </c>
    </row>
    <row r="3956">
      <c r="A3956">
        <f>$I$3-$B$5+$B$5*10/10</f>
        <v/>
      </c>
      <c r="B3956">
        <f>$J$3-$B$5+$B$5*10/10</f>
        <v/>
      </c>
      <c r="C3956">
        <f>SUMPRODUCT(Calc!$K$3:$K$22*(Calc!$G$3:$G$22&lt;=A3956))</f>
        <v/>
      </c>
      <c r="D3956">
        <f>SUMPRODUCT(Calc!$K$3:$K$22*(Calc!$G$3:$G$22&gt;A3956)*(Calc!$G$3:$G$22&lt;B3956))</f>
        <v/>
      </c>
      <c r="E3956">
        <f>SUMPRODUCT(Calc!$K$3:$K$22*(Calc!$G$3:$G$22&gt;=B3956))</f>
        <v/>
      </c>
      <c r="F3956">
        <f>AND(k_n&gt;=5,B3956&gt;A3956+1E-9,C3956&gt;=2,D3956&gt;=1,E3956&gt;=2)</f>
        <v/>
      </c>
      <c r="G3956">
        <f>SUMPRODUCT(Calc!$K$3:$K$22*(Calc!$G$3:$G$22&gt;A3956)*(Calc!$G$3:$G$22-A3956))</f>
        <v/>
      </c>
      <c r="H3956">
        <f>SUMPRODUCT(Calc!$K$3:$K$22*(Calc!$G$3:$G$22&gt;B3956)*(Calc!$G$3:$G$22-B3956))</f>
        <v/>
      </c>
      <c r="I3956">
        <f>SUMPRODUCT(Calc!$K$3:$K$22*(Calc!$G$3:$G$22&gt;A3956)*(Calc!$G$3:$G$22-A3956)^2)</f>
        <v/>
      </c>
      <c r="J3956">
        <f>SUMPRODUCT(Calc!$K$3:$K$22*(Calc!$G$3:$G$22&gt;B3956)*(Calc!$G$3:$G$22-B3956)^2)</f>
        <v/>
      </c>
      <c r="K3956">
        <f>SUMPRODUCT(Calc!$K$3:$K$22*(Calc!$G$3:$G$22&gt;A3956)*(Calc!$G$3:$G$22-A3956)*(Calc!$G$3:$G$22&gt;B3956)*(Calc!$G$3:$G$22-B3956))</f>
        <v/>
      </c>
      <c r="L3956">
        <f>SUMPRODUCT(Calc!$K$3:$K$22*(Calc!$G$3:$G$22&gt;A3956)*(Calc!$G$3:$G$22-A3956)*Calc!$G$3:$G$22)</f>
        <v/>
      </c>
      <c r="M3956">
        <f>SUMPRODUCT(Calc!$K$3:$K$22*(Calc!$G$3:$G$22&gt;B3956)*(Calc!$G$3:$G$22-B3956)*Calc!$G$3:$G$22)</f>
        <v/>
      </c>
      <c r="N3956">
        <f>SUMPRODUCT(Calc!$K$3:$K$22*(Calc!$G$3:$G$22&gt;A3956)*(Calc!$G$3:$G$22-A3956)*Calc!$I$3:$I$22)</f>
        <v/>
      </c>
      <c r="O3956">
        <f>SUMPRODUCT(Calc!$K$3:$K$22*(Calc!$G$3:$G$22&gt;B3956)*(Calc!$G$3:$G$22-B3956)*Calc!$I$3:$I$22)</f>
        <v/>
      </c>
      <c r="P3956">
        <f>I3956-G3956^2/k_n</f>
        <v/>
      </c>
      <c r="Q3956">
        <f>J3956-H3956^2/k_n</f>
        <v/>
      </c>
      <c r="R3956">
        <f>K3956-G3956*H3956/k_n</f>
        <v/>
      </c>
      <c r="S3956">
        <f>L3956-LTP3!$D$3*G3956/k_n</f>
        <v/>
      </c>
      <c r="T3956">
        <f>M3956-LTP3!$D$3*H3956/k_n</f>
        <v/>
      </c>
      <c r="U3956">
        <f>N3956-G3956*LTP3!$D$4/k_n</f>
        <v/>
      </c>
      <c r="V3956">
        <f>O3956-H3956*LTP3!$D$4/k_n</f>
        <v/>
      </c>
      <c r="W3956">
        <f>((LTP3!$D$5)*((P3956)*(Q3956)-(R3956)*(R3956))-(S3956)*((S3956)*(Q3956)-(R3956)*(T3956))+(T3956)*((S3956)*(R3956)-(P3956)*(T3956)))</f>
        <v/>
      </c>
      <c r="X3956">
        <f>IF(ABS(W3956)&gt;1E-12,((LTP3!$D$6)*((P3956)*(Q3956)-(R3956)*(R3956))-(S3956)*((U3956)*(Q3956)-(R3956)*(V3956))+(T3956)*((U3956)*(R3956)-(P3956)*(V3956)))/W3956,0)</f>
        <v/>
      </c>
      <c r="Y3956">
        <f>IF(ABS(W3956)&gt;1E-12,((LTP3!$D$5)*((U3956)*(Q3956)-(R3956)*(V3956))-(LTP3!$D$6)*((S3956)*(Q3956)-(R3956)*(T3956))+(T3956)*((S3956)*(V3956)-(U3956)*(T3956)))/W3956,0)</f>
        <v/>
      </c>
      <c r="Z3956">
        <f>IF(ABS(W3956)&gt;1E-12,((LTP3!$D$5)*((P3956)*(V3956)-(U3956)*(R3956))-(S3956)*((S3956)*(V3956)-(U3956)*(T3956))+(LTP3!$D$6)*((S3956)*(R3956)-(P3956)*(T3956)))/W3956,0)</f>
        <v/>
      </c>
      <c r="AA3956">
        <f>LTP3!$D$7-X3956*LTP3!$D$6-Y3956*U3956-Z3956*V3956</f>
        <v/>
      </c>
      <c r="AB3956">
        <f>IF(AND(F3956,ABS(W3956)&gt;1E-12,Y3956&gt;0,Z3956&gt;0),AA3956,1E+300)</f>
        <v/>
      </c>
    </row>
    <row r="3957">
      <c r="A3957">
        <f>$I$3-$B$5+$B$5*10/10</f>
        <v/>
      </c>
      <c r="B3957">
        <f>$J$3-$B$5+$B$5*11/10</f>
        <v/>
      </c>
      <c r="C3957">
        <f>SUMPRODUCT(Calc!$K$3:$K$22*(Calc!$G$3:$G$22&lt;=A3957))</f>
        <v/>
      </c>
      <c r="D3957">
        <f>SUMPRODUCT(Calc!$K$3:$K$22*(Calc!$G$3:$G$22&gt;A3957)*(Calc!$G$3:$G$22&lt;B3957))</f>
        <v/>
      </c>
      <c r="E3957">
        <f>SUMPRODUCT(Calc!$K$3:$K$22*(Calc!$G$3:$G$22&gt;=B3957))</f>
        <v/>
      </c>
      <c r="F3957">
        <f>AND(k_n&gt;=5,B3957&gt;A3957+1E-9,C3957&gt;=2,D3957&gt;=1,E3957&gt;=2)</f>
        <v/>
      </c>
      <c r="G3957">
        <f>SUMPRODUCT(Calc!$K$3:$K$22*(Calc!$G$3:$G$22&gt;A3957)*(Calc!$G$3:$G$22-A3957))</f>
        <v/>
      </c>
      <c r="H3957">
        <f>SUMPRODUCT(Calc!$K$3:$K$22*(Calc!$G$3:$G$22&gt;B3957)*(Calc!$G$3:$G$22-B3957))</f>
        <v/>
      </c>
      <c r="I3957">
        <f>SUMPRODUCT(Calc!$K$3:$K$22*(Calc!$G$3:$G$22&gt;A3957)*(Calc!$G$3:$G$22-A3957)^2)</f>
        <v/>
      </c>
      <c r="J3957">
        <f>SUMPRODUCT(Calc!$K$3:$K$22*(Calc!$G$3:$G$22&gt;B3957)*(Calc!$G$3:$G$22-B3957)^2)</f>
        <v/>
      </c>
      <c r="K3957">
        <f>SUMPRODUCT(Calc!$K$3:$K$22*(Calc!$G$3:$G$22&gt;A3957)*(Calc!$G$3:$G$22-A3957)*(Calc!$G$3:$G$22&gt;B3957)*(Calc!$G$3:$G$22-B3957))</f>
        <v/>
      </c>
      <c r="L3957">
        <f>SUMPRODUCT(Calc!$K$3:$K$22*(Calc!$G$3:$G$22&gt;A3957)*(Calc!$G$3:$G$22-A3957)*Calc!$G$3:$G$22)</f>
        <v/>
      </c>
      <c r="M3957">
        <f>SUMPRODUCT(Calc!$K$3:$K$22*(Calc!$G$3:$G$22&gt;B3957)*(Calc!$G$3:$G$22-B3957)*Calc!$G$3:$G$22)</f>
        <v/>
      </c>
      <c r="N3957">
        <f>SUMPRODUCT(Calc!$K$3:$K$22*(Calc!$G$3:$G$22&gt;A3957)*(Calc!$G$3:$G$22-A3957)*Calc!$I$3:$I$22)</f>
        <v/>
      </c>
      <c r="O3957">
        <f>SUMPRODUCT(Calc!$K$3:$K$22*(Calc!$G$3:$G$22&gt;B3957)*(Calc!$G$3:$G$22-B3957)*Calc!$I$3:$I$22)</f>
        <v/>
      </c>
      <c r="P3957">
        <f>I3957-G3957^2/k_n</f>
        <v/>
      </c>
      <c r="Q3957">
        <f>J3957-H3957^2/k_n</f>
        <v/>
      </c>
      <c r="R3957">
        <f>K3957-G3957*H3957/k_n</f>
        <v/>
      </c>
      <c r="S3957">
        <f>L3957-LTP3!$D$3*G3957/k_n</f>
        <v/>
      </c>
      <c r="T3957">
        <f>M3957-LTP3!$D$3*H3957/k_n</f>
        <v/>
      </c>
      <c r="U3957">
        <f>N3957-G3957*LTP3!$D$4/k_n</f>
        <v/>
      </c>
      <c r="V3957">
        <f>O3957-H3957*LTP3!$D$4/k_n</f>
        <v/>
      </c>
      <c r="W3957">
        <f>((LTP3!$D$5)*((P3957)*(Q3957)-(R3957)*(R3957))-(S3957)*((S3957)*(Q3957)-(R3957)*(T3957))+(T3957)*((S3957)*(R3957)-(P3957)*(T3957)))</f>
        <v/>
      </c>
      <c r="X3957">
        <f>IF(ABS(W3957)&gt;1E-12,((LTP3!$D$6)*((P3957)*(Q3957)-(R3957)*(R3957))-(S3957)*((U3957)*(Q3957)-(R3957)*(V3957))+(T3957)*((U3957)*(R3957)-(P3957)*(V3957)))/W3957,0)</f>
        <v/>
      </c>
      <c r="Y3957">
        <f>IF(ABS(W3957)&gt;1E-12,((LTP3!$D$5)*((U3957)*(Q3957)-(R3957)*(V3957))-(LTP3!$D$6)*((S3957)*(Q3957)-(R3957)*(T3957))+(T3957)*((S3957)*(V3957)-(U3957)*(T3957)))/W3957,0)</f>
        <v/>
      </c>
      <c r="Z3957">
        <f>IF(ABS(W3957)&gt;1E-12,((LTP3!$D$5)*((P3957)*(V3957)-(U3957)*(R3957))-(S3957)*((S3957)*(V3957)-(U3957)*(T3957))+(LTP3!$D$6)*((S3957)*(R3957)-(P3957)*(T3957)))/W3957,0)</f>
        <v/>
      </c>
      <c r="AA3957">
        <f>LTP3!$D$7-X3957*LTP3!$D$6-Y3957*U3957-Z3957*V3957</f>
        <v/>
      </c>
      <c r="AB3957">
        <f>IF(AND(F3957,ABS(W3957)&gt;1E-12,Y3957&gt;0,Z3957&gt;0),AA3957,1E+300)</f>
        <v/>
      </c>
    </row>
    <row r="3958">
      <c r="A3958">
        <f>$I$3-$B$5+$B$5*10/10</f>
        <v/>
      </c>
      <c r="B3958">
        <f>$J$3-$B$5+$B$5*12/10</f>
        <v/>
      </c>
      <c r="C3958">
        <f>SUMPRODUCT(Calc!$K$3:$K$22*(Calc!$G$3:$G$22&lt;=A3958))</f>
        <v/>
      </c>
      <c r="D3958">
        <f>SUMPRODUCT(Calc!$K$3:$K$22*(Calc!$G$3:$G$22&gt;A3958)*(Calc!$G$3:$G$22&lt;B3958))</f>
        <v/>
      </c>
      <c r="E3958">
        <f>SUMPRODUCT(Calc!$K$3:$K$22*(Calc!$G$3:$G$22&gt;=B3958))</f>
        <v/>
      </c>
      <c r="F3958">
        <f>AND(k_n&gt;=5,B3958&gt;A3958+1E-9,C3958&gt;=2,D3958&gt;=1,E3958&gt;=2)</f>
        <v/>
      </c>
      <c r="G3958">
        <f>SUMPRODUCT(Calc!$K$3:$K$22*(Calc!$G$3:$G$22&gt;A3958)*(Calc!$G$3:$G$22-A3958))</f>
        <v/>
      </c>
      <c r="H3958">
        <f>SUMPRODUCT(Calc!$K$3:$K$22*(Calc!$G$3:$G$22&gt;B3958)*(Calc!$G$3:$G$22-B3958))</f>
        <v/>
      </c>
      <c r="I3958">
        <f>SUMPRODUCT(Calc!$K$3:$K$22*(Calc!$G$3:$G$22&gt;A3958)*(Calc!$G$3:$G$22-A3958)^2)</f>
        <v/>
      </c>
      <c r="J3958">
        <f>SUMPRODUCT(Calc!$K$3:$K$22*(Calc!$G$3:$G$22&gt;B3958)*(Calc!$G$3:$G$22-B3958)^2)</f>
        <v/>
      </c>
      <c r="K3958">
        <f>SUMPRODUCT(Calc!$K$3:$K$22*(Calc!$G$3:$G$22&gt;A3958)*(Calc!$G$3:$G$22-A3958)*(Calc!$G$3:$G$22&gt;B3958)*(Calc!$G$3:$G$22-B3958))</f>
        <v/>
      </c>
      <c r="L3958">
        <f>SUMPRODUCT(Calc!$K$3:$K$22*(Calc!$G$3:$G$22&gt;A3958)*(Calc!$G$3:$G$22-A3958)*Calc!$G$3:$G$22)</f>
        <v/>
      </c>
      <c r="M3958">
        <f>SUMPRODUCT(Calc!$K$3:$K$22*(Calc!$G$3:$G$22&gt;B3958)*(Calc!$G$3:$G$22-B3958)*Calc!$G$3:$G$22)</f>
        <v/>
      </c>
      <c r="N3958">
        <f>SUMPRODUCT(Calc!$K$3:$K$22*(Calc!$G$3:$G$22&gt;A3958)*(Calc!$G$3:$G$22-A3958)*Calc!$I$3:$I$22)</f>
        <v/>
      </c>
      <c r="O3958">
        <f>SUMPRODUCT(Calc!$K$3:$K$22*(Calc!$G$3:$G$22&gt;B3958)*(Calc!$G$3:$G$22-B3958)*Calc!$I$3:$I$22)</f>
        <v/>
      </c>
      <c r="P3958">
        <f>I3958-G3958^2/k_n</f>
        <v/>
      </c>
      <c r="Q3958">
        <f>J3958-H3958^2/k_n</f>
        <v/>
      </c>
      <c r="R3958">
        <f>K3958-G3958*H3958/k_n</f>
        <v/>
      </c>
      <c r="S3958">
        <f>L3958-LTP3!$D$3*G3958/k_n</f>
        <v/>
      </c>
      <c r="T3958">
        <f>M3958-LTP3!$D$3*H3958/k_n</f>
        <v/>
      </c>
      <c r="U3958">
        <f>N3958-G3958*LTP3!$D$4/k_n</f>
        <v/>
      </c>
      <c r="V3958">
        <f>O3958-H3958*LTP3!$D$4/k_n</f>
        <v/>
      </c>
      <c r="W3958">
        <f>((LTP3!$D$5)*((P3958)*(Q3958)-(R3958)*(R3958))-(S3958)*((S3958)*(Q3958)-(R3958)*(T3958))+(T3958)*((S3958)*(R3958)-(P3958)*(T3958)))</f>
        <v/>
      </c>
      <c r="X3958">
        <f>IF(ABS(W3958)&gt;1E-12,((LTP3!$D$6)*((P3958)*(Q3958)-(R3958)*(R3958))-(S3958)*((U3958)*(Q3958)-(R3958)*(V3958))+(T3958)*((U3958)*(R3958)-(P3958)*(V3958)))/W3958,0)</f>
        <v/>
      </c>
      <c r="Y3958">
        <f>IF(ABS(W3958)&gt;1E-12,((LTP3!$D$5)*((U3958)*(Q3958)-(R3958)*(V3958))-(LTP3!$D$6)*((S3958)*(Q3958)-(R3958)*(T3958))+(T3958)*((S3958)*(V3958)-(U3958)*(T3958)))/W3958,0)</f>
        <v/>
      </c>
      <c r="Z3958">
        <f>IF(ABS(W3958)&gt;1E-12,((LTP3!$D$5)*((P3958)*(V3958)-(U3958)*(R3958))-(S3958)*((S3958)*(V3958)-(U3958)*(T3958))+(LTP3!$D$6)*((S3958)*(R3958)-(P3958)*(T3958)))/W3958,0)</f>
        <v/>
      </c>
      <c r="AA3958">
        <f>LTP3!$D$7-X3958*LTP3!$D$6-Y3958*U3958-Z3958*V3958</f>
        <v/>
      </c>
      <c r="AB3958">
        <f>IF(AND(F3958,ABS(W3958)&gt;1E-12,Y3958&gt;0,Z3958&gt;0),AA3958,1E+300)</f>
        <v/>
      </c>
    </row>
    <row r="3959">
      <c r="A3959">
        <f>$I$3-$B$5+$B$5*10/10</f>
        <v/>
      </c>
      <c r="B3959">
        <f>$J$3-$B$5+$B$5*13/10</f>
        <v/>
      </c>
      <c r="C3959">
        <f>SUMPRODUCT(Calc!$K$3:$K$22*(Calc!$G$3:$G$22&lt;=A3959))</f>
        <v/>
      </c>
      <c r="D3959">
        <f>SUMPRODUCT(Calc!$K$3:$K$22*(Calc!$G$3:$G$22&gt;A3959)*(Calc!$G$3:$G$22&lt;B3959))</f>
        <v/>
      </c>
      <c r="E3959">
        <f>SUMPRODUCT(Calc!$K$3:$K$22*(Calc!$G$3:$G$22&gt;=B3959))</f>
        <v/>
      </c>
      <c r="F3959">
        <f>AND(k_n&gt;=5,B3959&gt;A3959+1E-9,C3959&gt;=2,D3959&gt;=1,E3959&gt;=2)</f>
        <v/>
      </c>
      <c r="G3959">
        <f>SUMPRODUCT(Calc!$K$3:$K$22*(Calc!$G$3:$G$22&gt;A3959)*(Calc!$G$3:$G$22-A3959))</f>
        <v/>
      </c>
      <c r="H3959">
        <f>SUMPRODUCT(Calc!$K$3:$K$22*(Calc!$G$3:$G$22&gt;B3959)*(Calc!$G$3:$G$22-B3959))</f>
        <v/>
      </c>
      <c r="I3959">
        <f>SUMPRODUCT(Calc!$K$3:$K$22*(Calc!$G$3:$G$22&gt;A3959)*(Calc!$G$3:$G$22-A3959)^2)</f>
        <v/>
      </c>
      <c r="J3959">
        <f>SUMPRODUCT(Calc!$K$3:$K$22*(Calc!$G$3:$G$22&gt;B3959)*(Calc!$G$3:$G$22-B3959)^2)</f>
        <v/>
      </c>
      <c r="K3959">
        <f>SUMPRODUCT(Calc!$K$3:$K$22*(Calc!$G$3:$G$22&gt;A3959)*(Calc!$G$3:$G$22-A3959)*(Calc!$G$3:$G$22&gt;B3959)*(Calc!$G$3:$G$22-B3959))</f>
        <v/>
      </c>
      <c r="L3959">
        <f>SUMPRODUCT(Calc!$K$3:$K$22*(Calc!$G$3:$G$22&gt;A3959)*(Calc!$G$3:$G$22-A3959)*Calc!$G$3:$G$22)</f>
        <v/>
      </c>
      <c r="M3959">
        <f>SUMPRODUCT(Calc!$K$3:$K$22*(Calc!$G$3:$G$22&gt;B3959)*(Calc!$G$3:$G$22-B3959)*Calc!$G$3:$G$22)</f>
        <v/>
      </c>
      <c r="N3959">
        <f>SUMPRODUCT(Calc!$K$3:$K$22*(Calc!$G$3:$G$22&gt;A3959)*(Calc!$G$3:$G$22-A3959)*Calc!$I$3:$I$22)</f>
        <v/>
      </c>
      <c r="O3959">
        <f>SUMPRODUCT(Calc!$K$3:$K$22*(Calc!$G$3:$G$22&gt;B3959)*(Calc!$G$3:$G$22-B3959)*Calc!$I$3:$I$22)</f>
        <v/>
      </c>
      <c r="P3959">
        <f>I3959-G3959^2/k_n</f>
        <v/>
      </c>
      <c r="Q3959">
        <f>J3959-H3959^2/k_n</f>
        <v/>
      </c>
      <c r="R3959">
        <f>K3959-G3959*H3959/k_n</f>
        <v/>
      </c>
      <c r="S3959">
        <f>L3959-LTP3!$D$3*G3959/k_n</f>
        <v/>
      </c>
      <c r="T3959">
        <f>M3959-LTP3!$D$3*H3959/k_n</f>
        <v/>
      </c>
      <c r="U3959">
        <f>N3959-G3959*LTP3!$D$4/k_n</f>
        <v/>
      </c>
      <c r="V3959">
        <f>O3959-H3959*LTP3!$D$4/k_n</f>
        <v/>
      </c>
      <c r="W3959">
        <f>((LTP3!$D$5)*((P3959)*(Q3959)-(R3959)*(R3959))-(S3959)*((S3959)*(Q3959)-(R3959)*(T3959))+(T3959)*((S3959)*(R3959)-(P3959)*(T3959)))</f>
        <v/>
      </c>
      <c r="X3959">
        <f>IF(ABS(W3959)&gt;1E-12,((LTP3!$D$6)*((P3959)*(Q3959)-(R3959)*(R3959))-(S3959)*((U3959)*(Q3959)-(R3959)*(V3959))+(T3959)*((U3959)*(R3959)-(P3959)*(V3959)))/W3959,0)</f>
        <v/>
      </c>
      <c r="Y3959">
        <f>IF(ABS(W3959)&gt;1E-12,((LTP3!$D$5)*((U3959)*(Q3959)-(R3959)*(V3959))-(LTP3!$D$6)*((S3959)*(Q3959)-(R3959)*(T3959))+(T3959)*((S3959)*(V3959)-(U3959)*(T3959)))/W3959,0)</f>
        <v/>
      </c>
      <c r="Z3959">
        <f>IF(ABS(W3959)&gt;1E-12,((LTP3!$D$5)*((P3959)*(V3959)-(U3959)*(R3959))-(S3959)*((S3959)*(V3959)-(U3959)*(T3959))+(LTP3!$D$6)*((S3959)*(R3959)-(P3959)*(T3959)))/W3959,0)</f>
        <v/>
      </c>
      <c r="AA3959">
        <f>LTP3!$D$7-X3959*LTP3!$D$6-Y3959*U3959-Z3959*V3959</f>
        <v/>
      </c>
      <c r="AB3959">
        <f>IF(AND(F3959,ABS(W3959)&gt;1E-12,Y3959&gt;0,Z3959&gt;0),AA3959,1E+300)</f>
        <v/>
      </c>
    </row>
    <row r="3960">
      <c r="A3960">
        <f>$I$3-$B$5+$B$5*10/10</f>
        <v/>
      </c>
      <c r="B3960">
        <f>$J$3-$B$5+$B$5*14/10</f>
        <v/>
      </c>
      <c r="C3960">
        <f>SUMPRODUCT(Calc!$K$3:$K$22*(Calc!$G$3:$G$22&lt;=A3960))</f>
        <v/>
      </c>
      <c r="D3960">
        <f>SUMPRODUCT(Calc!$K$3:$K$22*(Calc!$G$3:$G$22&gt;A3960)*(Calc!$G$3:$G$22&lt;B3960))</f>
        <v/>
      </c>
      <c r="E3960">
        <f>SUMPRODUCT(Calc!$K$3:$K$22*(Calc!$G$3:$G$22&gt;=B3960))</f>
        <v/>
      </c>
      <c r="F3960">
        <f>AND(k_n&gt;=5,B3960&gt;A3960+1E-9,C3960&gt;=2,D3960&gt;=1,E3960&gt;=2)</f>
        <v/>
      </c>
      <c r="G3960">
        <f>SUMPRODUCT(Calc!$K$3:$K$22*(Calc!$G$3:$G$22&gt;A3960)*(Calc!$G$3:$G$22-A3960))</f>
        <v/>
      </c>
      <c r="H3960">
        <f>SUMPRODUCT(Calc!$K$3:$K$22*(Calc!$G$3:$G$22&gt;B3960)*(Calc!$G$3:$G$22-B3960))</f>
        <v/>
      </c>
      <c r="I3960">
        <f>SUMPRODUCT(Calc!$K$3:$K$22*(Calc!$G$3:$G$22&gt;A3960)*(Calc!$G$3:$G$22-A3960)^2)</f>
        <v/>
      </c>
      <c r="J3960">
        <f>SUMPRODUCT(Calc!$K$3:$K$22*(Calc!$G$3:$G$22&gt;B3960)*(Calc!$G$3:$G$22-B3960)^2)</f>
        <v/>
      </c>
      <c r="K3960">
        <f>SUMPRODUCT(Calc!$K$3:$K$22*(Calc!$G$3:$G$22&gt;A3960)*(Calc!$G$3:$G$22-A3960)*(Calc!$G$3:$G$22&gt;B3960)*(Calc!$G$3:$G$22-B3960))</f>
        <v/>
      </c>
      <c r="L3960">
        <f>SUMPRODUCT(Calc!$K$3:$K$22*(Calc!$G$3:$G$22&gt;A3960)*(Calc!$G$3:$G$22-A3960)*Calc!$G$3:$G$22)</f>
        <v/>
      </c>
      <c r="M3960">
        <f>SUMPRODUCT(Calc!$K$3:$K$22*(Calc!$G$3:$G$22&gt;B3960)*(Calc!$G$3:$G$22-B3960)*Calc!$G$3:$G$22)</f>
        <v/>
      </c>
      <c r="N3960">
        <f>SUMPRODUCT(Calc!$K$3:$K$22*(Calc!$G$3:$G$22&gt;A3960)*(Calc!$G$3:$G$22-A3960)*Calc!$I$3:$I$22)</f>
        <v/>
      </c>
      <c r="O3960">
        <f>SUMPRODUCT(Calc!$K$3:$K$22*(Calc!$G$3:$G$22&gt;B3960)*(Calc!$G$3:$G$22-B3960)*Calc!$I$3:$I$22)</f>
        <v/>
      </c>
      <c r="P3960">
        <f>I3960-G3960^2/k_n</f>
        <v/>
      </c>
      <c r="Q3960">
        <f>J3960-H3960^2/k_n</f>
        <v/>
      </c>
      <c r="R3960">
        <f>K3960-G3960*H3960/k_n</f>
        <v/>
      </c>
      <c r="S3960">
        <f>L3960-LTP3!$D$3*G3960/k_n</f>
        <v/>
      </c>
      <c r="T3960">
        <f>M3960-LTP3!$D$3*H3960/k_n</f>
        <v/>
      </c>
      <c r="U3960">
        <f>N3960-G3960*LTP3!$D$4/k_n</f>
        <v/>
      </c>
      <c r="V3960">
        <f>O3960-H3960*LTP3!$D$4/k_n</f>
        <v/>
      </c>
      <c r="W3960">
        <f>((LTP3!$D$5)*((P3960)*(Q3960)-(R3960)*(R3960))-(S3960)*((S3960)*(Q3960)-(R3960)*(T3960))+(T3960)*((S3960)*(R3960)-(P3960)*(T3960)))</f>
        <v/>
      </c>
      <c r="X3960">
        <f>IF(ABS(W3960)&gt;1E-12,((LTP3!$D$6)*((P3960)*(Q3960)-(R3960)*(R3960))-(S3960)*((U3960)*(Q3960)-(R3960)*(V3960))+(T3960)*((U3960)*(R3960)-(P3960)*(V3960)))/W3960,0)</f>
        <v/>
      </c>
      <c r="Y3960">
        <f>IF(ABS(W3960)&gt;1E-12,((LTP3!$D$5)*((U3960)*(Q3960)-(R3960)*(V3960))-(LTP3!$D$6)*((S3960)*(Q3960)-(R3960)*(T3960))+(T3960)*((S3960)*(V3960)-(U3960)*(T3960)))/W3960,0)</f>
        <v/>
      </c>
      <c r="Z3960">
        <f>IF(ABS(W3960)&gt;1E-12,((LTP3!$D$5)*((P3960)*(V3960)-(U3960)*(R3960))-(S3960)*((S3960)*(V3960)-(U3960)*(T3960))+(LTP3!$D$6)*((S3960)*(R3960)-(P3960)*(T3960)))/W3960,0)</f>
        <v/>
      </c>
      <c r="AA3960">
        <f>LTP3!$D$7-X3960*LTP3!$D$6-Y3960*U3960-Z3960*V3960</f>
        <v/>
      </c>
      <c r="AB3960">
        <f>IF(AND(F3960,ABS(W3960)&gt;1E-12,Y3960&gt;0,Z3960&gt;0),AA3960,1E+300)</f>
        <v/>
      </c>
    </row>
    <row r="3961">
      <c r="A3961">
        <f>$I$3-$B$5+$B$5*10/10</f>
        <v/>
      </c>
      <c r="B3961">
        <f>$J$3-$B$5+$B$5*15/10</f>
        <v/>
      </c>
      <c r="C3961">
        <f>SUMPRODUCT(Calc!$K$3:$K$22*(Calc!$G$3:$G$22&lt;=A3961))</f>
        <v/>
      </c>
      <c r="D3961">
        <f>SUMPRODUCT(Calc!$K$3:$K$22*(Calc!$G$3:$G$22&gt;A3961)*(Calc!$G$3:$G$22&lt;B3961))</f>
        <v/>
      </c>
      <c r="E3961">
        <f>SUMPRODUCT(Calc!$K$3:$K$22*(Calc!$G$3:$G$22&gt;=B3961))</f>
        <v/>
      </c>
      <c r="F3961">
        <f>AND(k_n&gt;=5,B3961&gt;A3961+1E-9,C3961&gt;=2,D3961&gt;=1,E3961&gt;=2)</f>
        <v/>
      </c>
      <c r="G3961">
        <f>SUMPRODUCT(Calc!$K$3:$K$22*(Calc!$G$3:$G$22&gt;A3961)*(Calc!$G$3:$G$22-A3961))</f>
        <v/>
      </c>
      <c r="H3961">
        <f>SUMPRODUCT(Calc!$K$3:$K$22*(Calc!$G$3:$G$22&gt;B3961)*(Calc!$G$3:$G$22-B3961))</f>
        <v/>
      </c>
      <c r="I3961">
        <f>SUMPRODUCT(Calc!$K$3:$K$22*(Calc!$G$3:$G$22&gt;A3961)*(Calc!$G$3:$G$22-A3961)^2)</f>
        <v/>
      </c>
      <c r="J3961">
        <f>SUMPRODUCT(Calc!$K$3:$K$22*(Calc!$G$3:$G$22&gt;B3961)*(Calc!$G$3:$G$22-B3961)^2)</f>
        <v/>
      </c>
      <c r="K3961">
        <f>SUMPRODUCT(Calc!$K$3:$K$22*(Calc!$G$3:$G$22&gt;A3961)*(Calc!$G$3:$G$22-A3961)*(Calc!$G$3:$G$22&gt;B3961)*(Calc!$G$3:$G$22-B3961))</f>
        <v/>
      </c>
      <c r="L3961">
        <f>SUMPRODUCT(Calc!$K$3:$K$22*(Calc!$G$3:$G$22&gt;A3961)*(Calc!$G$3:$G$22-A3961)*Calc!$G$3:$G$22)</f>
        <v/>
      </c>
      <c r="M3961">
        <f>SUMPRODUCT(Calc!$K$3:$K$22*(Calc!$G$3:$G$22&gt;B3961)*(Calc!$G$3:$G$22-B3961)*Calc!$G$3:$G$22)</f>
        <v/>
      </c>
      <c r="N3961">
        <f>SUMPRODUCT(Calc!$K$3:$K$22*(Calc!$G$3:$G$22&gt;A3961)*(Calc!$G$3:$G$22-A3961)*Calc!$I$3:$I$22)</f>
        <v/>
      </c>
      <c r="O3961">
        <f>SUMPRODUCT(Calc!$K$3:$K$22*(Calc!$G$3:$G$22&gt;B3961)*(Calc!$G$3:$G$22-B3961)*Calc!$I$3:$I$22)</f>
        <v/>
      </c>
      <c r="P3961">
        <f>I3961-G3961^2/k_n</f>
        <v/>
      </c>
      <c r="Q3961">
        <f>J3961-H3961^2/k_n</f>
        <v/>
      </c>
      <c r="R3961">
        <f>K3961-G3961*H3961/k_n</f>
        <v/>
      </c>
      <c r="S3961">
        <f>L3961-LTP3!$D$3*G3961/k_n</f>
        <v/>
      </c>
      <c r="T3961">
        <f>M3961-LTP3!$D$3*H3961/k_n</f>
        <v/>
      </c>
      <c r="U3961">
        <f>N3961-G3961*LTP3!$D$4/k_n</f>
        <v/>
      </c>
      <c r="V3961">
        <f>O3961-H3961*LTP3!$D$4/k_n</f>
        <v/>
      </c>
      <c r="W3961">
        <f>((LTP3!$D$5)*((P3961)*(Q3961)-(R3961)*(R3961))-(S3961)*((S3961)*(Q3961)-(R3961)*(T3961))+(T3961)*((S3961)*(R3961)-(P3961)*(T3961)))</f>
        <v/>
      </c>
      <c r="X3961">
        <f>IF(ABS(W3961)&gt;1E-12,((LTP3!$D$6)*((P3961)*(Q3961)-(R3961)*(R3961))-(S3961)*((U3961)*(Q3961)-(R3961)*(V3961))+(T3961)*((U3961)*(R3961)-(P3961)*(V3961)))/W3961,0)</f>
        <v/>
      </c>
      <c r="Y3961">
        <f>IF(ABS(W3961)&gt;1E-12,((LTP3!$D$5)*((U3961)*(Q3961)-(R3961)*(V3961))-(LTP3!$D$6)*((S3961)*(Q3961)-(R3961)*(T3961))+(T3961)*((S3961)*(V3961)-(U3961)*(T3961)))/W3961,0)</f>
        <v/>
      </c>
      <c r="Z3961">
        <f>IF(ABS(W3961)&gt;1E-12,((LTP3!$D$5)*((P3961)*(V3961)-(U3961)*(R3961))-(S3961)*((S3961)*(V3961)-(U3961)*(T3961))+(LTP3!$D$6)*((S3961)*(R3961)-(P3961)*(T3961)))/W3961,0)</f>
        <v/>
      </c>
      <c r="AA3961">
        <f>LTP3!$D$7-X3961*LTP3!$D$6-Y3961*U3961-Z3961*V3961</f>
        <v/>
      </c>
      <c r="AB3961">
        <f>IF(AND(F3961,ABS(W3961)&gt;1E-12,Y3961&gt;0,Z3961&gt;0),AA3961,1E+300)</f>
        <v/>
      </c>
    </row>
    <row r="3962">
      <c r="A3962">
        <f>$I$3-$B$5+$B$5*10/10</f>
        <v/>
      </c>
      <c r="B3962">
        <f>$J$3-$B$5+$B$5*16/10</f>
        <v/>
      </c>
      <c r="C3962">
        <f>SUMPRODUCT(Calc!$K$3:$K$22*(Calc!$G$3:$G$22&lt;=A3962))</f>
        <v/>
      </c>
      <c r="D3962">
        <f>SUMPRODUCT(Calc!$K$3:$K$22*(Calc!$G$3:$G$22&gt;A3962)*(Calc!$G$3:$G$22&lt;B3962))</f>
        <v/>
      </c>
      <c r="E3962">
        <f>SUMPRODUCT(Calc!$K$3:$K$22*(Calc!$G$3:$G$22&gt;=B3962))</f>
        <v/>
      </c>
      <c r="F3962">
        <f>AND(k_n&gt;=5,B3962&gt;A3962+1E-9,C3962&gt;=2,D3962&gt;=1,E3962&gt;=2)</f>
        <v/>
      </c>
      <c r="G3962">
        <f>SUMPRODUCT(Calc!$K$3:$K$22*(Calc!$G$3:$G$22&gt;A3962)*(Calc!$G$3:$G$22-A3962))</f>
        <v/>
      </c>
      <c r="H3962">
        <f>SUMPRODUCT(Calc!$K$3:$K$22*(Calc!$G$3:$G$22&gt;B3962)*(Calc!$G$3:$G$22-B3962))</f>
        <v/>
      </c>
      <c r="I3962">
        <f>SUMPRODUCT(Calc!$K$3:$K$22*(Calc!$G$3:$G$22&gt;A3962)*(Calc!$G$3:$G$22-A3962)^2)</f>
        <v/>
      </c>
      <c r="J3962">
        <f>SUMPRODUCT(Calc!$K$3:$K$22*(Calc!$G$3:$G$22&gt;B3962)*(Calc!$G$3:$G$22-B3962)^2)</f>
        <v/>
      </c>
      <c r="K3962">
        <f>SUMPRODUCT(Calc!$K$3:$K$22*(Calc!$G$3:$G$22&gt;A3962)*(Calc!$G$3:$G$22-A3962)*(Calc!$G$3:$G$22&gt;B3962)*(Calc!$G$3:$G$22-B3962))</f>
        <v/>
      </c>
      <c r="L3962">
        <f>SUMPRODUCT(Calc!$K$3:$K$22*(Calc!$G$3:$G$22&gt;A3962)*(Calc!$G$3:$G$22-A3962)*Calc!$G$3:$G$22)</f>
        <v/>
      </c>
      <c r="M3962">
        <f>SUMPRODUCT(Calc!$K$3:$K$22*(Calc!$G$3:$G$22&gt;B3962)*(Calc!$G$3:$G$22-B3962)*Calc!$G$3:$G$22)</f>
        <v/>
      </c>
      <c r="N3962">
        <f>SUMPRODUCT(Calc!$K$3:$K$22*(Calc!$G$3:$G$22&gt;A3962)*(Calc!$G$3:$G$22-A3962)*Calc!$I$3:$I$22)</f>
        <v/>
      </c>
      <c r="O3962">
        <f>SUMPRODUCT(Calc!$K$3:$K$22*(Calc!$G$3:$G$22&gt;B3962)*(Calc!$G$3:$G$22-B3962)*Calc!$I$3:$I$22)</f>
        <v/>
      </c>
      <c r="P3962">
        <f>I3962-G3962^2/k_n</f>
        <v/>
      </c>
      <c r="Q3962">
        <f>J3962-H3962^2/k_n</f>
        <v/>
      </c>
      <c r="R3962">
        <f>K3962-G3962*H3962/k_n</f>
        <v/>
      </c>
      <c r="S3962">
        <f>L3962-LTP3!$D$3*G3962/k_n</f>
        <v/>
      </c>
      <c r="T3962">
        <f>M3962-LTP3!$D$3*H3962/k_n</f>
        <v/>
      </c>
      <c r="U3962">
        <f>N3962-G3962*LTP3!$D$4/k_n</f>
        <v/>
      </c>
      <c r="V3962">
        <f>O3962-H3962*LTP3!$D$4/k_n</f>
        <v/>
      </c>
      <c r="W3962">
        <f>((LTP3!$D$5)*((P3962)*(Q3962)-(R3962)*(R3962))-(S3962)*((S3962)*(Q3962)-(R3962)*(T3962))+(T3962)*((S3962)*(R3962)-(P3962)*(T3962)))</f>
        <v/>
      </c>
      <c r="X3962">
        <f>IF(ABS(W3962)&gt;1E-12,((LTP3!$D$6)*((P3962)*(Q3962)-(R3962)*(R3962))-(S3962)*((U3962)*(Q3962)-(R3962)*(V3962))+(T3962)*((U3962)*(R3962)-(P3962)*(V3962)))/W3962,0)</f>
        <v/>
      </c>
      <c r="Y3962">
        <f>IF(ABS(W3962)&gt;1E-12,((LTP3!$D$5)*((U3962)*(Q3962)-(R3962)*(V3962))-(LTP3!$D$6)*((S3962)*(Q3962)-(R3962)*(T3962))+(T3962)*((S3962)*(V3962)-(U3962)*(T3962)))/W3962,0)</f>
        <v/>
      </c>
      <c r="Z3962">
        <f>IF(ABS(W3962)&gt;1E-12,((LTP3!$D$5)*((P3962)*(V3962)-(U3962)*(R3962))-(S3962)*((S3962)*(V3962)-(U3962)*(T3962))+(LTP3!$D$6)*((S3962)*(R3962)-(P3962)*(T3962)))/W3962,0)</f>
        <v/>
      </c>
      <c r="AA3962">
        <f>LTP3!$D$7-X3962*LTP3!$D$6-Y3962*U3962-Z3962*V3962</f>
        <v/>
      </c>
      <c r="AB3962">
        <f>IF(AND(F3962,ABS(W3962)&gt;1E-12,Y3962&gt;0,Z3962&gt;0),AA3962,1E+300)</f>
        <v/>
      </c>
    </row>
    <row r="3963">
      <c r="A3963">
        <f>$I$3-$B$5+$B$5*10/10</f>
        <v/>
      </c>
      <c r="B3963">
        <f>$J$3-$B$5+$B$5*17/10</f>
        <v/>
      </c>
      <c r="C3963">
        <f>SUMPRODUCT(Calc!$K$3:$K$22*(Calc!$G$3:$G$22&lt;=A3963))</f>
        <v/>
      </c>
      <c r="D3963">
        <f>SUMPRODUCT(Calc!$K$3:$K$22*(Calc!$G$3:$G$22&gt;A3963)*(Calc!$G$3:$G$22&lt;B3963))</f>
        <v/>
      </c>
      <c r="E3963">
        <f>SUMPRODUCT(Calc!$K$3:$K$22*(Calc!$G$3:$G$22&gt;=B3963))</f>
        <v/>
      </c>
      <c r="F3963">
        <f>AND(k_n&gt;=5,B3963&gt;A3963+1E-9,C3963&gt;=2,D3963&gt;=1,E3963&gt;=2)</f>
        <v/>
      </c>
      <c r="G3963">
        <f>SUMPRODUCT(Calc!$K$3:$K$22*(Calc!$G$3:$G$22&gt;A3963)*(Calc!$G$3:$G$22-A3963))</f>
        <v/>
      </c>
      <c r="H3963">
        <f>SUMPRODUCT(Calc!$K$3:$K$22*(Calc!$G$3:$G$22&gt;B3963)*(Calc!$G$3:$G$22-B3963))</f>
        <v/>
      </c>
      <c r="I3963">
        <f>SUMPRODUCT(Calc!$K$3:$K$22*(Calc!$G$3:$G$22&gt;A3963)*(Calc!$G$3:$G$22-A3963)^2)</f>
        <v/>
      </c>
      <c r="J3963">
        <f>SUMPRODUCT(Calc!$K$3:$K$22*(Calc!$G$3:$G$22&gt;B3963)*(Calc!$G$3:$G$22-B3963)^2)</f>
        <v/>
      </c>
      <c r="K3963">
        <f>SUMPRODUCT(Calc!$K$3:$K$22*(Calc!$G$3:$G$22&gt;A3963)*(Calc!$G$3:$G$22-A3963)*(Calc!$G$3:$G$22&gt;B3963)*(Calc!$G$3:$G$22-B3963))</f>
        <v/>
      </c>
      <c r="L3963">
        <f>SUMPRODUCT(Calc!$K$3:$K$22*(Calc!$G$3:$G$22&gt;A3963)*(Calc!$G$3:$G$22-A3963)*Calc!$G$3:$G$22)</f>
        <v/>
      </c>
      <c r="M3963">
        <f>SUMPRODUCT(Calc!$K$3:$K$22*(Calc!$G$3:$G$22&gt;B3963)*(Calc!$G$3:$G$22-B3963)*Calc!$G$3:$G$22)</f>
        <v/>
      </c>
      <c r="N3963">
        <f>SUMPRODUCT(Calc!$K$3:$K$22*(Calc!$G$3:$G$22&gt;A3963)*(Calc!$G$3:$G$22-A3963)*Calc!$I$3:$I$22)</f>
        <v/>
      </c>
      <c r="O3963">
        <f>SUMPRODUCT(Calc!$K$3:$K$22*(Calc!$G$3:$G$22&gt;B3963)*(Calc!$G$3:$G$22-B3963)*Calc!$I$3:$I$22)</f>
        <v/>
      </c>
      <c r="P3963">
        <f>I3963-G3963^2/k_n</f>
        <v/>
      </c>
      <c r="Q3963">
        <f>J3963-H3963^2/k_n</f>
        <v/>
      </c>
      <c r="R3963">
        <f>K3963-G3963*H3963/k_n</f>
        <v/>
      </c>
      <c r="S3963">
        <f>L3963-LTP3!$D$3*G3963/k_n</f>
        <v/>
      </c>
      <c r="T3963">
        <f>M3963-LTP3!$D$3*H3963/k_n</f>
        <v/>
      </c>
      <c r="U3963">
        <f>N3963-G3963*LTP3!$D$4/k_n</f>
        <v/>
      </c>
      <c r="V3963">
        <f>O3963-H3963*LTP3!$D$4/k_n</f>
        <v/>
      </c>
      <c r="W3963">
        <f>((LTP3!$D$5)*((P3963)*(Q3963)-(R3963)*(R3963))-(S3963)*((S3963)*(Q3963)-(R3963)*(T3963))+(T3963)*((S3963)*(R3963)-(P3963)*(T3963)))</f>
        <v/>
      </c>
      <c r="X3963">
        <f>IF(ABS(W3963)&gt;1E-12,((LTP3!$D$6)*((P3963)*(Q3963)-(R3963)*(R3963))-(S3963)*((U3963)*(Q3963)-(R3963)*(V3963))+(T3963)*((U3963)*(R3963)-(P3963)*(V3963)))/W3963,0)</f>
        <v/>
      </c>
      <c r="Y3963">
        <f>IF(ABS(W3963)&gt;1E-12,((LTP3!$D$5)*((U3963)*(Q3963)-(R3963)*(V3963))-(LTP3!$D$6)*((S3963)*(Q3963)-(R3963)*(T3963))+(T3963)*((S3963)*(V3963)-(U3963)*(T3963)))/W3963,0)</f>
        <v/>
      </c>
      <c r="Z3963">
        <f>IF(ABS(W3963)&gt;1E-12,((LTP3!$D$5)*((P3963)*(V3963)-(U3963)*(R3963))-(S3963)*((S3963)*(V3963)-(U3963)*(T3963))+(LTP3!$D$6)*((S3963)*(R3963)-(P3963)*(T3963)))/W3963,0)</f>
        <v/>
      </c>
      <c r="AA3963">
        <f>LTP3!$D$7-X3963*LTP3!$D$6-Y3963*U3963-Z3963*V3963</f>
        <v/>
      </c>
      <c r="AB3963">
        <f>IF(AND(F3963,ABS(W3963)&gt;1E-12,Y3963&gt;0,Z3963&gt;0),AA3963,1E+300)</f>
        <v/>
      </c>
    </row>
    <row r="3964">
      <c r="A3964">
        <f>$I$3-$B$5+$B$5*10/10</f>
        <v/>
      </c>
      <c r="B3964">
        <f>$J$3-$B$5+$B$5*18/10</f>
        <v/>
      </c>
      <c r="C3964">
        <f>SUMPRODUCT(Calc!$K$3:$K$22*(Calc!$G$3:$G$22&lt;=A3964))</f>
        <v/>
      </c>
      <c r="D3964">
        <f>SUMPRODUCT(Calc!$K$3:$K$22*(Calc!$G$3:$G$22&gt;A3964)*(Calc!$G$3:$G$22&lt;B3964))</f>
        <v/>
      </c>
      <c r="E3964">
        <f>SUMPRODUCT(Calc!$K$3:$K$22*(Calc!$G$3:$G$22&gt;=B3964))</f>
        <v/>
      </c>
      <c r="F3964">
        <f>AND(k_n&gt;=5,B3964&gt;A3964+1E-9,C3964&gt;=2,D3964&gt;=1,E3964&gt;=2)</f>
        <v/>
      </c>
      <c r="G3964">
        <f>SUMPRODUCT(Calc!$K$3:$K$22*(Calc!$G$3:$G$22&gt;A3964)*(Calc!$G$3:$G$22-A3964))</f>
        <v/>
      </c>
      <c r="H3964">
        <f>SUMPRODUCT(Calc!$K$3:$K$22*(Calc!$G$3:$G$22&gt;B3964)*(Calc!$G$3:$G$22-B3964))</f>
        <v/>
      </c>
      <c r="I3964">
        <f>SUMPRODUCT(Calc!$K$3:$K$22*(Calc!$G$3:$G$22&gt;A3964)*(Calc!$G$3:$G$22-A3964)^2)</f>
        <v/>
      </c>
      <c r="J3964">
        <f>SUMPRODUCT(Calc!$K$3:$K$22*(Calc!$G$3:$G$22&gt;B3964)*(Calc!$G$3:$G$22-B3964)^2)</f>
        <v/>
      </c>
      <c r="K3964">
        <f>SUMPRODUCT(Calc!$K$3:$K$22*(Calc!$G$3:$G$22&gt;A3964)*(Calc!$G$3:$G$22-A3964)*(Calc!$G$3:$G$22&gt;B3964)*(Calc!$G$3:$G$22-B3964))</f>
        <v/>
      </c>
      <c r="L3964">
        <f>SUMPRODUCT(Calc!$K$3:$K$22*(Calc!$G$3:$G$22&gt;A3964)*(Calc!$G$3:$G$22-A3964)*Calc!$G$3:$G$22)</f>
        <v/>
      </c>
      <c r="M3964">
        <f>SUMPRODUCT(Calc!$K$3:$K$22*(Calc!$G$3:$G$22&gt;B3964)*(Calc!$G$3:$G$22-B3964)*Calc!$G$3:$G$22)</f>
        <v/>
      </c>
      <c r="N3964">
        <f>SUMPRODUCT(Calc!$K$3:$K$22*(Calc!$G$3:$G$22&gt;A3964)*(Calc!$G$3:$G$22-A3964)*Calc!$I$3:$I$22)</f>
        <v/>
      </c>
      <c r="O3964">
        <f>SUMPRODUCT(Calc!$K$3:$K$22*(Calc!$G$3:$G$22&gt;B3964)*(Calc!$G$3:$G$22-B3964)*Calc!$I$3:$I$22)</f>
        <v/>
      </c>
      <c r="P3964">
        <f>I3964-G3964^2/k_n</f>
        <v/>
      </c>
      <c r="Q3964">
        <f>J3964-H3964^2/k_n</f>
        <v/>
      </c>
      <c r="R3964">
        <f>K3964-G3964*H3964/k_n</f>
        <v/>
      </c>
      <c r="S3964">
        <f>L3964-LTP3!$D$3*G3964/k_n</f>
        <v/>
      </c>
      <c r="T3964">
        <f>M3964-LTP3!$D$3*H3964/k_n</f>
        <v/>
      </c>
      <c r="U3964">
        <f>N3964-G3964*LTP3!$D$4/k_n</f>
        <v/>
      </c>
      <c r="V3964">
        <f>O3964-H3964*LTP3!$D$4/k_n</f>
        <v/>
      </c>
      <c r="W3964">
        <f>((LTP3!$D$5)*((P3964)*(Q3964)-(R3964)*(R3964))-(S3964)*((S3964)*(Q3964)-(R3964)*(T3964))+(T3964)*((S3964)*(R3964)-(P3964)*(T3964)))</f>
        <v/>
      </c>
      <c r="X3964">
        <f>IF(ABS(W3964)&gt;1E-12,((LTP3!$D$6)*((P3964)*(Q3964)-(R3964)*(R3964))-(S3964)*((U3964)*(Q3964)-(R3964)*(V3964))+(T3964)*((U3964)*(R3964)-(P3964)*(V3964)))/W3964,0)</f>
        <v/>
      </c>
      <c r="Y3964">
        <f>IF(ABS(W3964)&gt;1E-12,((LTP3!$D$5)*((U3964)*(Q3964)-(R3964)*(V3964))-(LTP3!$D$6)*((S3964)*(Q3964)-(R3964)*(T3964))+(T3964)*((S3964)*(V3964)-(U3964)*(T3964)))/W3964,0)</f>
        <v/>
      </c>
      <c r="Z3964">
        <f>IF(ABS(W3964)&gt;1E-12,((LTP3!$D$5)*((P3964)*(V3964)-(U3964)*(R3964))-(S3964)*((S3964)*(V3964)-(U3964)*(T3964))+(LTP3!$D$6)*((S3964)*(R3964)-(P3964)*(T3964)))/W3964,0)</f>
        <v/>
      </c>
      <c r="AA3964">
        <f>LTP3!$D$7-X3964*LTP3!$D$6-Y3964*U3964-Z3964*V3964</f>
        <v/>
      </c>
      <c r="AB3964">
        <f>IF(AND(F3964,ABS(W3964)&gt;1E-12,Y3964&gt;0,Z3964&gt;0),AA3964,1E+300)</f>
        <v/>
      </c>
    </row>
    <row r="3965">
      <c r="A3965">
        <f>$I$3-$B$5+$B$5*10/10</f>
        <v/>
      </c>
      <c r="B3965">
        <f>$J$3-$B$5+$B$5*19/10</f>
        <v/>
      </c>
      <c r="C3965">
        <f>SUMPRODUCT(Calc!$K$3:$K$22*(Calc!$G$3:$G$22&lt;=A3965))</f>
        <v/>
      </c>
      <c r="D3965">
        <f>SUMPRODUCT(Calc!$K$3:$K$22*(Calc!$G$3:$G$22&gt;A3965)*(Calc!$G$3:$G$22&lt;B3965))</f>
        <v/>
      </c>
      <c r="E3965">
        <f>SUMPRODUCT(Calc!$K$3:$K$22*(Calc!$G$3:$G$22&gt;=B3965))</f>
        <v/>
      </c>
      <c r="F3965">
        <f>AND(k_n&gt;=5,B3965&gt;A3965+1E-9,C3965&gt;=2,D3965&gt;=1,E3965&gt;=2)</f>
        <v/>
      </c>
      <c r="G3965">
        <f>SUMPRODUCT(Calc!$K$3:$K$22*(Calc!$G$3:$G$22&gt;A3965)*(Calc!$G$3:$G$22-A3965))</f>
        <v/>
      </c>
      <c r="H3965">
        <f>SUMPRODUCT(Calc!$K$3:$K$22*(Calc!$G$3:$G$22&gt;B3965)*(Calc!$G$3:$G$22-B3965))</f>
        <v/>
      </c>
      <c r="I3965">
        <f>SUMPRODUCT(Calc!$K$3:$K$22*(Calc!$G$3:$G$22&gt;A3965)*(Calc!$G$3:$G$22-A3965)^2)</f>
        <v/>
      </c>
      <c r="J3965">
        <f>SUMPRODUCT(Calc!$K$3:$K$22*(Calc!$G$3:$G$22&gt;B3965)*(Calc!$G$3:$G$22-B3965)^2)</f>
        <v/>
      </c>
      <c r="K3965">
        <f>SUMPRODUCT(Calc!$K$3:$K$22*(Calc!$G$3:$G$22&gt;A3965)*(Calc!$G$3:$G$22-A3965)*(Calc!$G$3:$G$22&gt;B3965)*(Calc!$G$3:$G$22-B3965))</f>
        <v/>
      </c>
      <c r="L3965">
        <f>SUMPRODUCT(Calc!$K$3:$K$22*(Calc!$G$3:$G$22&gt;A3965)*(Calc!$G$3:$G$22-A3965)*Calc!$G$3:$G$22)</f>
        <v/>
      </c>
      <c r="M3965">
        <f>SUMPRODUCT(Calc!$K$3:$K$22*(Calc!$G$3:$G$22&gt;B3965)*(Calc!$G$3:$G$22-B3965)*Calc!$G$3:$G$22)</f>
        <v/>
      </c>
      <c r="N3965">
        <f>SUMPRODUCT(Calc!$K$3:$K$22*(Calc!$G$3:$G$22&gt;A3965)*(Calc!$G$3:$G$22-A3965)*Calc!$I$3:$I$22)</f>
        <v/>
      </c>
      <c r="O3965">
        <f>SUMPRODUCT(Calc!$K$3:$K$22*(Calc!$G$3:$G$22&gt;B3965)*(Calc!$G$3:$G$22-B3965)*Calc!$I$3:$I$22)</f>
        <v/>
      </c>
      <c r="P3965">
        <f>I3965-G3965^2/k_n</f>
        <v/>
      </c>
      <c r="Q3965">
        <f>J3965-H3965^2/k_n</f>
        <v/>
      </c>
      <c r="R3965">
        <f>K3965-G3965*H3965/k_n</f>
        <v/>
      </c>
      <c r="S3965">
        <f>L3965-LTP3!$D$3*G3965/k_n</f>
        <v/>
      </c>
      <c r="T3965">
        <f>M3965-LTP3!$D$3*H3965/k_n</f>
        <v/>
      </c>
      <c r="U3965">
        <f>N3965-G3965*LTP3!$D$4/k_n</f>
        <v/>
      </c>
      <c r="V3965">
        <f>O3965-H3965*LTP3!$D$4/k_n</f>
        <v/>
      </c>
      <c r="W3965">
        <f>((LTP3!$D$5)*((P3965)*(Q3965)-(R3965)*(R3965))-(S3965)*((S3965)*(Q3965)-(R3965)*(T3965))+(T3965)*((S3965)*(R3965)-(P3965)*(T3965)))</f>
        <v/>
      </c>
      <c r="X3965">
        <f>IF(ABS(W3965)&gt;1E-12,((LTP3!$D$6)*((P3965)*(Q3965)-(R3965)*(R3965))-(S3965)*((U3965)*(Q3965)-(R3965)*(V3965))+(T3965)*((U3965)*(R3965)-(P3965)*(V3965)))/W3965,0)</f>
        <v/>
      </c>
      <c r="Y3965">
        <f>IF(ABS(W3965)&gt;1E-12,((LTP3!$D$5)*((U3965)*(Q3965)-(R3965)*(V3965))-(LTP3!$D$6)*((S3965)*(Q3965)-(R3965)*(T3965))+(T3965)*((S3965)*(V3965)-(U3965)*(T3965)))/W3965,0)</f>
        <v/>
      </c>
      <c r="Z3965">
        <f>IF(ABS(W3965)&gt;1E-12,((LTP3!$D$5)*((P3965)*(V3965)-(U3965)*(R3965))-(S3965)*((S3965)*(V3965)-(U3965)*(T3965))+(LTP3!$D$6)*((S3965)*(R3965)-(P3965)*(T3965)))/W3965,0)</f>
        <v/>
      </c>
      <c r="AA3965">
        <f>LTP3!$D$7-X3965*LTP3!$D$6-Y3965*U3965-Z3965*V3965</f>
        <v/>
      </c>
      <c r="AB3965">
        <f>IF(AND(F3965,ABS(W3965)&gt;1E-12,Y3965&gt;0,Z3965&gt;0),AA3965,1E+300)</f>
        <v/>
      </c>
    </row>
    <row r="3966">
      <c r="A3966">
        <f>$I$3-$B$5+$B$5*10/10</f>
        <v/>
      </c>
      <c r="B3966">
        <f>$J$3-$B$5+$B$5*20/10</f>
        <v/>
      </c>
      <c r="C3966">
        <f>SUMPRODUCT(Calc!$K$3:$K$22*(Calc!$G$3:$G$22&lt;=A3966))</f>
        <v/>
      </c>
      <c r="D3966">
        <f>SUMPRODUCT(Calc!$K$3:$K$22*(Calc!$G$3:$G$22&gt;A3966)*(Calc!$G$3:$G$22&lt;B3966))</f>
        <v/>
      </c>
      <c r="E3966">
        <f>SUMPRODUCT(Calc!$K$3:$K$22*(Calc!$G$3:$G$22&gt;=B3966))</f>
        <v/>
      </c>
      <c r="F3966">
        <f>AND(k_n&gt;=5,B3966&gt;A3966+1E-9,C3966&gt;=2,D3966&gt;=1,E3966&gt;=2)</f>
        <v/>
      </c>
      <c r="G3966">
        <f>SUMPRODUCT(Calc!$K$3:$K$22*(Calc!$G$3:$G$22&gt;A3966)*(Calc!$G$3:$G$22-A3966))</f>
        <v/>
      </c>
      <c r="H3966">
        <f>SUMPRODUCT(Calc!$K$3:$K$22*(Calc!$G$3:$G$22&gt;B3966)*(Calc!$G$3:$G$22-B3966))</f>
        <v/>
      </c>
      <c r="I3966">
        <f>SUMPRODUCT(Calc!$K$3:$K$22*(Calc!$G$3:$G$22&gt;A3966)*(Calc!$G$3:$G$22-A3966)^2)</f>
        <v/>
      </c>
      <c r="J3966">
        <f>SUMPRODUCT(Calc!$K$3:$K$22*(Calc!$G$3:$G$22&gt;B3966)*(Calc!$G$3:$G$22-B3966)^2)</f>
        <v/>
      </c>
      <c r="K3966">
        <f>SUMPRODUCT(Calc!$K$3:$K$22*(Calc!$G$3:$G$22&gt;A3966)*(Calc!$G$3:$G$22-A3966)*(Calc!$G$3:$G$22&gt;B3966)*(Calc!$G$3:$G$22-B3966))</f>
        <v/>
      </c>
      <c r="L3966">
        <f>SUMPRODUCT(Calc!$K$3:$K$22*(Calc!$G$3:$G$22&gt;A3966)*(Calc!$G$3:$G$22-A3966)*Calc!$G$3:$G$22)</f>
        <v/>
      </c>
      <c r="M3966">
        <f>SUMPRODUCT(Calc!$K$3:$K$22*(Calc!$G$3:$G$22&gt;B3966)*(Calc!$G$3:$G$22-B3966)*Calc!$G$3:$G$22)</f>
        <v/>
      </c>
      <c r="N3966">
        <f>SUMPRODUCT(Calc!$K$3:$K$22*(Calc!$G$3:$G$22&gt;A3966)*(Calc!$G$3:$G$22-A3966)*Calc!$I$3:$I$22)</f>
        <v/>
      </c>
      <c r="O3966">
        <f>SUMPRODUCT(Calc!$K$3:$K$22*(Calc!$G$3:$G$22&gt;B3966)*(Calc!$G$3:$G$22-B3966)*Calc!$I$3:$I$22)</f>
        <v/>
      </c>
      <c r="P3966">
        <f>I3966-G3966^2/k_n</f>
        <v/>
      </c>
      <c r="Q3966">
        <f>J3966-H3966^2/k_n</f>
        <v/>
      </c>
      <c r="R3966">
        <f>K3966-G3966*H3966/k_n</f>
        <v/>
      </c>
      <c r="S3966">
        <f>L3966-LTP3!$D$3*G3966/k_n</f>
        <v/>
      </c>
      <c r="T3966">
        <f>M3966-LTP3!$D$3*H3966/k_n</f>
        <v/>
      </c>
      <c r="U3966">
        <f>N3966-G3966*LTP3!$D$4/k_n</f>
        <v/>
      </c>
      <c r="V3966">
        <f>O3966-H3966*LTP3!$D$4/k_n</f>
        <v/>
      </c>
      <c r="W3966">
        <f>((LTP3!$D$5)*((P3966)*(Q3966)-(R3966)*(R3966))-(S3966)*((S3966)*(Q3966)-(R3966)*(T3966))+(T3966)*((S3966)*(R3966)-(P3966)*(T3966)))</f>
        <v/>
      </c>
      <c r="X3966">
        <f>IF(ABS(W3966)&gt;1E-12,((LTP3!$D$6)*((P3966)*(Q3966)-(R3966)*(R3966))-(S3966)*((U3966)*(Q3966)-(R3966)*(V3966))+(T3966)*((U3966)*(R3966)-(P3966)*(V3966)))/W3966,0)</f>
        <v/>
      </c>
      <c r="Y3966">
        <f>IF(ABS(W3966)&gt;1E-12,((LTP3!$D$5)*((U3966)*(Q3966)-(R3966)*(V3966))-(LTP3!$D$6)*((S3966)*(Q3966)-(R3966)*(T3966))+(T3966)*((S3966)*(V3966)-(U3966)*(T3966)))/W3966,0)</f>
        <v/>
      </c>
      <c r="Z3966">
        <f>IF(ABS(W3966)&gt;1E-12,((LTP3!$D$5)*((P3966)*(V3966)-(U3966)*(R3966))-(S3966)*((S3966)*(V3966)-(U3966)*(T3966))+(LTP3!$D$6)*((S3966)*(R3966)-(P3966)*(T3966)))/W3966,0)</f>
        <v/>
      </c>
      <c r="AA3966">
        <f>LTP3!$D$7-X3966*LTP3!$D$6-Y3966*U3966-Z3966*V3966</f>
        <v/>
      </c>
      <c r="AB3966">
        <f>IF(AND(F3966,ABS(W3966)&gt;1E-12,Y3966&gt;0,Z3966&gt;0),AA3966,1E+300)</f>
        <v/>
      </c>
    </row>
    <row r="3967">
      <c r="A3967">
        <f>$I$3-$B$5+$B$5*11/10</f>
        <v/>
      </c>
      <c r="B3967">
        <f>$J$3-$B$5+$B$5*0/10</f>
        <v/>
      </c>
      <c r="C3967">
        <f>SUMPRODUCT(Calc!$K$3:$K$22*(Calc!$G$3:$G$22&lt;=A3967))</f>
        <v/>
      </c>
      <c r="D3967">
        <f>SUMPRODUCT(Calc!$K$3:$K$22*(Calc!$G$3:$G$22&gt;A3967)*(Calc!$G$3:$G$22&lt;B3967))</f>
        <v/>
      </c>
      <c r="E3967">
        <f>SUMPRODUCT(Calc!$K$3:$K$22*(Calc!$G$3:$G$22&gt;=B3967))</f>
        <v/>
      </c>
      <c r="F3967">
        <f>AND(k_n&gt;=5,B3967&gt;A3967+1E-9,C3967&gt;=2,D3967&gt;=1,E3967&gt;=2)</f>
        <v/>
      </c>
      <c r="G3967">
        <f>SUMPRODUCT(Calc!$K$3:$K$22*(Calc!$G$3:$G$22&gt;A3967)*(Calc!$G$3:$G$22-A3967))</f>
        <v/>
      </c>
      <c r="H3967">
        <f>SUMPRODUCT(Calc!$K$3:$K$22*(Calc!$G$3:$G$22&gt;B3967)*(Calc!$G$3:$G$22-B3967))</f>
        <v/>
      </c>
      <c r="I3967">
        <f>SUMPRODUCT(Calc!$K$3:$K$22*(Calc!$G$3:$G$22&gt;A3967)*(Calc!$G$3:$G$22-A3967)^2)</f>
        <v/>
      </c>
      <c r="J3967">
        <f>SUMPRODUCT(Calc!$K$3:$K$22*(Calc!$G$3:$G$22&gt;B3967)*(Calc!$G$3:$G$22-B3967)^2)</f>
        <v/>
      </c>
      <c r="K3967">
        <f>SUMPRODUCT(Calc!$K$3:$K$22*(Calc!$G$3:$G$22&gt;A3967)*(Calc!$G$3:$G$22-A3967)*(Calc!$G$3:$G$22&gt;B3967)*(Calc!$G$3:$G$22-B3967))</f>
        <v/>
      </c>
      <c r="L3967">
        <f>SUMPRODUCT(Calc!$K$3:$K$22*(Calc!$G$3:$G$22&gt;A3967)*(Calc!$G$3:$G$22-A3967)*Calc!$G$3:$G$22)</f>
        <v/>
      </c>
      <c r="M3967">
        <f>SUMPRODUCT(Calc!$K$3:$K$22*(Calc!$G$3:$G$22&gt;B3967)*(Calc!$G$3:$G$22-B3967)*Calc!$G$3:$G$22)</f>
        <v/>
      </c>
      <c r="N3967">
        <f>SUMPRODUCT(Calc!$K$3:$K$22*(Calc!$G$3:$G$22&gt;A3967)*(Calc!$G$3:$G$22-A3967)*Calc!$I$3:$I$22)</f>
        <v/>
      </c>
      <c r="O3967">
        <f>SUMPRODUCT(Calc!$K$3:$K$22*(Calc!$G$3:$G$22&gt;B3967)*(Calc!$G$3:$G$22-B3967)*Calc!$I$3:$I$22)</f>
        <v/>
      </c>
      <c r="P3967">
        <f>I3967-G3967^2/k_n</f>
        <v/>
      </c>
      <c r="Q3967">
        <f>J3967-H3967^2/k_n</f>
        <v/>
      </c>
      <c r="R3967">
        <f>K3967-G3967*H3967/k_n</f>
        <v/>
      </c>
      <c r="S3967">
        <f>L3967-LTP3!$D$3*G3967/k_n</f>
        <v/>
      </c>
      <c r="T3967">
        <f>M3967-LTP3!$D$3*H3967/k_n</f>
        <v/>
      </c>
      <c r="U3967">
        <f>N3967-G3967*LTP3!$D$4/k_n</f>
        <v/>
      </c>
      <c r="V3967">
        <f>O3967-H3967*LTP3!$D$4/k_n</f>
        <v/>
      </c>
      <c r="W3967">
        <f>((LTP3!$D$5)*((P3967)*(Q3967)-(R3967)*(R3967))-(S3967)*((S3967)*(Q3967)-(R3967)*(T3967))+(T3967)*((S3967)*(R3967)-(P3967)*(T3967)))</f>
        <v/>
      </c>
      <c r="X3967">
        <f>IF(ABS(W3967)&gt;1E-12,((LTP3!$D$6)*((P3967)*(Q3967)-(R3967)*(R3967))-(S3967)*((U3967)*(Q3967)-(R3967)*(V3967))+(T3967)*((U3967)*(R3967)-(P3967)*(V3967)))/W3967,0)</f>
        <v/>
      </c>
      <c r="Y3967">
        <f>IF(ABS(W3967)&gt;1E-12,((LTP3!$D$5)*((U3967)*(Q3967)-(R3967)*(V3967))-(LTP3!$D$6)*((S3967)*(Q3967)-(R3967)*(T3967))+(T3967)*((S3967)*(V3967)-(U3967)*(T3967)))/W3967,0)</f>
        <v/>
      </c>
      <c r="Z3967">
        <f>IF(ABS(W3967)&gt;1E-12,((LTP3!$D$5)*((P3967)*(V3967)-(U3967)*(R3967))-(S3967)*((S3967)*(V3967)-(U3967)*(T3967))+(LTP3!$D$6)*((S3967)*(R3967)-(P3967)*(T3967)))/W3967,0)</f>
        <v/>
      </c>
      <c r="AA3967">
        <f>LTP3!$D$7-X3967*LTP3!$D$6-Y3967*U3967-Z3967*V3967</f>
        <v/>
      </c>
      <c r="AB3967">
        <f>IF(AND(F3967,ABS(W3967)&gt;1E-12,Y3967&gt;0,Z3967&gt;0),AA3967,1E+300)</f>
        <v/>
      </c>
    </row>
    <row r="3968">
      <c r="A3968">
        <f>$I$3-$B$5+$B$5*11/10</f>
        <v/>
      </c>
      <c r="B3968">
        <f>$J$3-$B$5+$B$5*1/10</f>
        <v/>
      </c>
      <c r="C3968">
        <f>SUMPRODUCT(Calc!$K$3:$K$22*(Calc!$G$3:$G$22&lt;=A3968))</f>
        <v/>
      </c>
      <c r="D3968">
        <f>SUMPRODUCT(Calc!$K$3:$K$22*(Calc!$G$3:$G$22&gt;A3968)*(Calc!$G$3:$G$22&lt;B3968))</f>
        <v/>
      </c>
      <c r="E3968">
        <f>SUMPRODUCT(Calc!$K$3:$K$22*(Calc!$G$3:$G$22&gt;=B3968))</f>
        <v/>
      </c>
      <c r="F3968">
        <f>AND(k_n&gt;=5,B3968&gt;A3968+1E-9,C3968&gt;=2,D3968&gt;=1,E3968&gt;=2)</f>
        <v/>
      </c>
      <c r="G3968">
        <f>SUMPRODUCT(Calc!$K$3:$K$22*(Calc!$G$3:$G$22&gt;A3968)*(Calc!$G$3:$G$22-A3968))</f>
        <v/>
      </c>
      <c r="H3968">
        <f>SUMPRODUCT(Calc!$K$3:$K$22*(Calc!$G$3:$G$22&gt;B3968)*(Calc!$G$3:$G$22-B3968))</f>
        <v/>
      </c>
      <c r="I3968">
        <f>SUMPRODUCT(Calc!$K$3:$K$22*(Calc!$G$3:$G$22&gt;A3968)*(Calc!$G$3:$G$22-A3968)^2)</f>
        <v/>
      </c>
      <c r="J3968">
        <f>SUMPRODUCT(Calc!$K$3:$K$22*(Calc!$G$3:$G$22&gt;B3968)*(Calc!$G$3:$G$22-B3968)^2)</f>
        <v/>
      </c>
      <c r="K3968">
        <f>SUMPRODUCT(Calc!$K$3:$K$22*(Calc!$G$3:$G$22&gt;A3968)*(Calc!$G$3:$G$22-A3968)*(Calc!$G$3:$G$22&gt;B3968)*(Calc!$G$3:$G$22-B3968))</f>
        <v/>
      </c>
      <c r="L3968">
        <f>SUMPRODUCT(Calc!$K$3:$K$22*(Calc!$G$3:$G$22&gt;A3968)*(Calc!$G$3:$G$22-A3968)*Calc!$G$3:$G$22)</f>
        <v/>
      </c>
      <c r="M3968">
        <f>SUMPRODUCT(Calc!$K$3:$K$22*(Calc!$G$3:$G$22&gt;B3968)*(Calc!$G$3:$G$22-B3968)*Calc!$G$3:$G$22)</f>
        <v/>
      </c>
      <c r="N3968">
        <f>SUMPRODUCT(Calc!$K$3:$K$22*(Calc!$G$3:$G$22&gt;A3968)*(Calc!$G$3:$G$22-A3968)*Calc!$I$3:$I$22)</f>
        <v/>
      </c>
      <c r="O3968">
        <f>SUMPRODUCT(Calc!$K$3:$K$22*(Calc!$G$3:$G$22&gt;B3968)*(Calc!$G$3:$G$22-B3968)*Calc!$I$3:$I$22)</f>
        <v/>
      </c>
      <c r="P3968">
        <f>I3968-G3968^2/k_n</f>
        <v/>
      </c>
      <c r="Q3968">
        <f>J3968-H3968^2/k_n</f>
        <v/>
      </c>
      <c r="R3968">
        <f>K3968-G3968*H3968/k_n</f>
        <v/>
      </c>
      <c r="S3968">
        <f>L3968-LTP3!$D$3*G3968/k_n</f>
        <v/>
      </c>
      <c r="T3968">
        <f>M3968-LTP3!$D$3*H3968/k_n</f>
        <v/>
      </c>
      <c r="U3968">
        <f>N3968-G3968*LTP3!$D$4/k_n</f>
        <v/>
      </c>
      <c r="V3968">
        <f>O3968-H3968*LTP3!$D$4/k_n</f>
        <v/>
      </c>
      <c r="W3968">
        <f>((LTP3!$D$5)*((P3968)*(Q3968)-(R3968)*(R3968))-(S3968)*((S3968)*(Q3968)-(R3968)*(T3968))+(T3968)*((S3968)*(R3968)-(P3968)*(T3968)))</f>
        <v/>
      </c>
      <c r="X3968">
        <f>IF(ABS(W3968)&gt;1E-12,((LTP3!$D$6)*((P3968)*(Q3968)-(R3968)*(R3968))-(S3968)*((U3968)*(Q3968)-(R3968)*(V3968))+(T3968)*((U3968)*(R3968)-(P3968)*(V3968)))/W3968,0)</f>
        <v/>
      </c>
      <c r="Y3968">
        <f>IF(ABS(W3968)&gt;1E-12,((LTP3!$D$5)*((U3968)*(Q3968)-(R3968)*(V3968))-(LTP3!$D$6)*((S3968)*(Q3968)-(R3968)*(T3968))+(T3968)*((S3968)*(V3968)-(U3968)*(T3968)))/W3968,0)</f>
        <v/>
      </c>
      <c r="Z3968">
        <f>IF(ABS(W3968)&gt;1E-12,((LTP3!$D$5)*((P3968)*(V3968)-(U3968)*(R3968))-(S3968)*((S3968)*(V3968)-(U3968)*(T3968))+(LTP3!$D$6)*((S3968)*(R3968)-(P3968)*(T3968)))/W3968,0)</f>
        <v/>
      </c>
      <c r="AA3968">
        <f>LTP3!$D$7-X3968*LTP3!$D$6-Y3968*U3968-Z3968*V3968</f>
        <v/>
      </c>
      <c r="AB3968">
        <f>IF(AND(F3968,ABS(W3968)&gt;1E-12,Y3968&gt;0,Z3968&gt;0),AA3968,1E+300)</f>
        <v/>
      </c>
    </row>
    <row r="3969">
      <c r="A3969">
        <f>$I$3-$B$5+$B$5*11/10</f>
        <v/>
      </c>
      <c r="B3969">
        <f>$J$3-$B$5+$B$5*2/10</f>
        <v/>
      </c>
      <c r="C3969">
        <f>SUMPRODUCT(Calc!$K$3:$K$22*(Calc!$G$3:$G$22&lt;=A3969))</f>
        <v/>
      </c>
      <c r="D3969">
        <f>SUMPRODUCT(Calc!$K$3:$K$22*(Calc!$G$3:$G$22&gt;A3969)*(Calc!$G$3:$G$22&lt;B3969))</f>
        <v/>
      </c>
      <c r="E3969">
        <f>SUMPRODUCT(Calc!$K$3:$K$22*(Calc!$G$3:$G$22&gt;=B3969))</f>
        <v/>
      </c>
      <c r="F3969">
        <f>AND(k_n&gt;=5,B3969&gt;A3969+1E-9,C3969&gt;=2,D3969&gt;=1,E3969&gt;=2)</f>
        <v/>
      </c>
      <c r="G3969">
        <f>SUMPRODUCT(Calc!$K$3:$K$22*(Calc!$G$3:$G$22&gt;A3969)*(Calc!$G$3:$G$22-A3969))</f>
        <v/>
      </c>
      <c r="H3969">
        <f>SUMPRODUCT(Calc!$K$3:$K$22*(Calc!$G$3:$G$22&gt;B3969)*(Calc!$G$3:$G$22-B3969))</f>
        <v/>
      </c>
      <c r="I3969">
        <f>SUMPRODUCT(Calc!$K$3:$K$22*(Calc!$G$3:$G$22&gt;A3969)*(Calc!$G$3:$G$22-A3969)^2)</f>
        <v/>
      </c>
      <c r="J3969">
        <f>SUMPRODUCT(Calc!$K$3:$K$22*(Calc!$G$3:$G$22&gt;B3969)*(Calc!$G$3:$G$22-B3969)^2)</f>
        <v/>
      </c>
      <c r="K3969">
        <f>SUMPRODUCT(Calc!$K$3:$K$22*(Calc!$G$3:$G$22&gt;A3969)*(Calc!$G$3:$G$22-A3969)*(Calc!$G$3:$G$22&gt;B3969)*(Calc!$G$3:$G$22-B3969))</f>
        <v/>
      </c>
      <c r="L3969">
        <f>SUMPRODUCT(Calc!$K$3:$K$22*(Calc!$G$3:$G$22&gt;A3969)*(Calc!$G$3:$G$22-A3969)*Calc!$G$3:$G$22)</f>
        <v/>
      </c>
      <c r="M3969">
        <f>SUMPRODUCT(Calc!$K$3:$K$22*(Calc!$G$3:$G$22&gt;B3969)*(Calc!$G$3:$G$22-B3969)*Calc!$G$3:$G$22)</f>
        <v/>
      </c>
      <c r="N3969">
        <f>SUMPRODUCT(Calc!$K$3:$K$22*(Calc!$G$3:$G$22&gt;A3969)*(Calc!$G$3:$G$22-A3969)*Calc!$I$3:$I$22)</f>
        <v/>
      </c>
      <c r="O3969">
        <f>SUMPRODUCT(Calc!$K$3:$K$22*(Calc!$G$3:$G$22&gt;B3969)*(Calc!$G$3:$G$22-B3969)*Calc!$I$3:$I$22)</f>
        <v/>
      </c>
      <c r="P3969">
        <f>I3969-G3969^2/k_n</f>
        <v/>
      </c>
      <c r="Q3969">
        <f>J3969-H3969^2/k_n</f>
        <v/>
      </c>
      <c r="R3969">
        <f>K3969-G3969*H3969/k_n</f>
        <v/>
      </c>
      <c r="S3969">
        <f>L3969-LTP3!$D$3*G3969/k_n</f>
        <v/>
      </c>
      <c r="T3969">
        <f>M3969-LTP3!$D$3*H3969/k_n</f>
        <v/>
      </c>
      <c r="U3969">
        <f>N3969-G3969*LTP3!$D$4/k_n</f>
        <v/>
      </c>
      <c r="V3969">
        <f>O3969-H3969*LTP3!$D$4/k_n</f>
        <v/>
      </c>
      <c r="W3969">
        <f>((LTP3!$D$5)*((P3969)*(Q3969)-(R3969)*(R3969))-(S3969)*((S3969)*(Q3969)-(R3969)*(T3969))+(T3969)*((S3969)*(R3969)-(P3969)*(T3969)))</f>
        <v/>
      </c>
      <c r="X3969">
        <f>IF(ABS(W3969)&gt;1E-12,((LTP3!$D$6)*((P3969)*(Q3969)-(R3969)*(R3969))-(S3969)*((U3969)*(Q3969)-(R3969)*(V3969))+(T3969)*((U3969)*(R3969)-(P3969)*(V3969)))/W3969,0)</f>
        <v/>
      </c>
      <c r="Y3969">
        <f>IF(ABS(W3969)&gt;1E-12,((LTP3!$D$5)*((U3969)*(Q3969)-(R3969)*(V3969))-(LTP3!$D$6)*((S3969)*(Q3969)-(R3969)*(T3969))+(T3969)*((S3969)*(V3969)-(U3969)*(T3969)))/W3969,0)</f>
        <v/>
      </c>
      <c r="Z3969">
        <f>IF(ABS(W3969)&gt;1E-12,((LTP3!$D$5)*((P3969)*(V3969)-(U3969)*(R3969))-(S3969)*((S3969)*(V3969)-(U3969)*(T3969))+(LTP3!$D$6)*((S3969)*(R3969)-(P3969)*(T3969)))/W3969,0)</f>
        <v/>
      </c>
      <c r="AA3969">
        <f>LTP3!$D$7-X3969*LTP3!$D$6-Y3969*U3969-Z3969*V3969</f>
        <v/>
      </c>
      <c r="AB3969">
        <f>IF(AND(F3969,ABS(W3969)&gt;1E-12,Y3969&gt;0,Z3969&gt;0),AA3969,1E+300)</f>
        <v/>
      </c>
    </row>
    <row r="3970">
      <c r="A3970">
        <f>$I$3-$B$5+$B$5*11/10</f>
        <v/>
      </c>
      <c r="B3970">
        <f>$J$3-$B$5+$B$5*3/10</f>
        <v/>
      </c>
      <c r="C3970">
        <f>SUMPRODUCT(Calc!$K$3:$K$22*(Calc!$G$3:$G$22&lt;=A3970))</f>
        <v/>
      </c>
      <c r="D3970">
        <f>SUMPRODUCT(Calc!$K$3:$K$22*(Calc!$G$3:$G$22&gt;A3970)*(Calc!$G$3:$G$22&lt;B3970))</f>
        <v/>
      </c>
      <c r="E3970">
        <f>SUMPRODUCT(Calc!$K$3:$K$22*(Calc!$G$3:$G$22&gt;=B3970))</f>
        <v/>
      </c>
      <c r="F3970">
        <f>AND(k_n&gt;=5,B3970&gt;A3970+1E-9,C3970&gt;=2,D3970&gt;=1,E3970&gt;=2)</f>
        <v/>
      </c>
      <c r="G3970">
        <f>SUMPRODUCT(Calc!$K$3:$K$22*(Calc!$G$3:$G$22&gt;A3970)*(Calc!$G$3:$G$22-A3970))</f>
        <v/>
      </c>
      <c r="H3970">
        <f>SUMPRODUCT(Calc!$K$3:$K$22*(Calc!$G$3:$G$22&gt;B3970)*(Calc!$G$3:$G$22-B3970))</f>
        <v/>
      </c>
      <c r="I3970">
        <f>SUMPRODUCT(Calc!$K$3:$K$22*(Calc!$G$3:$G$22&gt;A3970)*(Calc!$G$3:$G$22-A3970)^2)</f>
        <v/>
      </c>
      <c r="J3970">
        <f>SUMPRODUCT(Calc!$K$3:$K$22*(Calc!$G$3:$G$22&gt;B3970)*(Calc!$G$3:$G$22-B3970)^2)</f>
        <v/>
      </c>
      <c r="K3970">
        <f>SUMPRODUCT(Calc!$K$3:$K$22*(Calc!$G$3:$G$22&gt;A3970)*(Calc!$G$3:$G$22-A3970)*(Calc!$G$3:$G$22&gt;B3970)*(Calc!$G$3:$G$22-B3970))</f>
        <v/>
      </c>
      <c r="L3970">
        <f>SUMPRODUCT(Calc!$K$3:$K$22*(Calc!$G$3:$G$22&gt;A3970)*(Calc!$G$3:$G$22-A3970)*Calc!$G$3:$G$22)</f>
        <v/>
      </c>
      <c r="M3970">
        <f>SUMPRODUCT(Calc!$K$3:$K$22*(Calc!$G$3:$G$22&gt;B3970)*(Calc!$G$3:$G$22-B3970)*Calc!$G$3:$G$22)</f>
        <v/>
      </c>
      <c r="N3970">
        <f>SUMPRODUCT(Calc!$K$3:$K$22*(Calc!$G$3:$G$22&gt;A3970)*(Calc!$G$3:$G$22-A3970)*Calc!$I$3:$I$22)</f>
        <v/>
      </c>
      <c r="O3970">
        <f>SUMPRODUCT(Calc!$K$3:$K$22*(Calc!$G$3:$G$22&gt;B3970)*(Calc!$G$3:$G$22-B3970)*Calc!$I$3:$I$22)</f>
        <v/>
      </c>
      <c r="P3970">
        <f>I3970-G3970^2/k_n</f>
        <v/>
      </c>
      <c r="Q3970">
        <f>J3970-H3970^2/k_n</f>
        <v/>
      </c>
      <c r="R3970">
        <f>K3970-G3970*H3970/k_n</f>
        <v/>
      </c>
      <c r="S3970">
        <f>L3970-LTP3!$D$3*G3970/k_n</f>
        <v/>
      </c>
      <c r="T3970">
        <f>M3970-LTP3!$D$3*H3970/k_n</f>
        <v/>
      </c>
      <c r="U3970">
        <f>N3970-G3970*LTP3!$D$4/k_n</f>
        <v/>
      </c>
      <c r="V3970">
        <f>O3970-H3970*LTP3!$D$4/k_n</f>
        <v/>
      </c>
      <c r="W3970">
        <f>((LTP3!$D$5)*((P3970)*(Q3970)-(R3970)*(R3970))-(S3970)*((S3970)*(Q3970)-(R3970)*(T3970))+(T3970)*((S3970)*(R3970)-(P3970)*(T3970)))</f>
        <v/>
      </c>
      <c r="X3970">
        <f>IF(ABS(W3970)&gt;1E-12,((LTP3!$D$6)*((P3970)*(Q3970)-(R3970)*(R3970))-(S3970)*((U3970)*(Q3970)-(R3970)*(V3970))+(T3970)*((U3970)*(R3970)-(P3970)*(V3970)))/W3970,0)</f>
        <v/>
      </c>
      <c r="Y3970">
        <f>IF(ABS(W3970)&gt;1E-12,((LTP3!$D$5)*((U3970)*(Q3970)-(R3970)*(V3970))-(LTP3!$D$6)*((S3970)*(Q3970)-(R3970)*(T3970))+(T3970)*((S3970)*(V3970)-(U3970)*(T3970)))/W3970,0)</f>
        <v/>
      </c>
      <c r="Z3970">
        <f>IF(ABS(W3970)&gt;1E-12,((LTP3!$D$5)*((P3970)*(V3970)-(U3970)*(R3970))-(S3970)*((S3970)*(V3970)-(U3970)*(T3970))+(LTP3!$D$6)*((S3970)*(R3970)-(P3970)*(T3970)))/W3970,0)</f>
        <v/>
      </c>
      <c r="AA3970">
        <f>LTP3!$D$7-X3970*LTP3!$D$6-Y3970*U3970-Z3970*V3970</f>
        <v/>
      </c>
      <c r="AB3970">
        <f>IF(AND(F3970,ABS(W3970)&gt;1E-12,Y3970&gt;0,Z3970&gt;0),AA3970,1E+300)</f>
        <v/>
      </c>
    </row>
    <row r="3971">
      <c r="A3971">
        <f>$I$3-$B$5+$B$5*11/10</f>
        <v/>
      </c>
      <c r="B3971">
        <f>$J$3-$B$5+$B$5*4/10</f>
        <v/>
      </c>
      <c r="C3971">
        <f>SUMPRODUCT(Calc!$K$3:$K$22*(Calc!$G$3:$G$22&lt;=A3971))</f>
        <v/>
      </c>
      <c r="D3971">
        <f>SUMPRODUCT(Calc!$K$3:$K$22*(Calc!$G$3:$G$22&gt;A3971)*(Calc!$G$3:$G$22&lt;B3971))</f>
        <v/>
      </c>
      <c r="E3971">
        <f>SUMPRODUCT(Calc!$K$3:$K$22*(Calc!$G$3:$G$22&gt;=B3971))</f>
        <v/>
      </c>
      <c r="F3971">
        <f>AND(k_n&gt;=5,B3971&gt;A3971+1E-9,C3971&gt;=2,D3971&gt;=1,E3971&gt;=2)</f>
        <v/>
      </c>
      <c r="G3971">
        <f>SUMPRODUCT(Calc!$K$3:$K$22*(Calc!$G$3:$G$22&gt;A3971)*(Calc!$G$3:$G$22-A3971))</f>
        <v/>
      </c>
      <c r="H3971">
        <f>SUMPRODUCT(Calc!$K$3:$K$22*(Calc!$G$3:$G$22&gt;B3971)*(Calc!$G$3:$G$22-B3971))</f>
        <v/>
      </c>
      <c r="I3971">
        <f>SUMPRODUCT(Calc!$K$3:$K$22*(Calc!$G$3:$G$22&gt;A3971)*(Calc!$G$3:$G$22-A3971)^2)</f>
        <v/>
      </c>
      <c r="J3971">
        <f>SUMPRODUCT(Calc!$K$3:$K$22*(Calc!$G$3:$G$22&gt;B3971)*(Calc!$G$3:$G$22-B3971)^2)</f>
        <v/>
      </c>
      <c r="K3971">
        <f>SUMPRODUCT(Calc!$K$3:$K$22*(Calc!$G$3:$G$22&gt;A3971)*(Calc!$G$3:$G$22-A3971)*(Calc!$G$3:$G$22&gt;B3971)*(Calc!$G$3:$G$22-B3971))</f>
        <v/>
      </c>
      <c r="L3971">
        <f>SUMPRODUCT(Calc!$K$3:$K$22*(Calc!$G$3:$G$22&gt;A3971)*(Calc!$G$3:$G$22-A3971)*Calc!$G$3:$G$22)</f>
        <v/>
      </c>
      <c r="M3971">
        <f>SUMPRODUCT(Calc!$K$3:$K$22*(Calc!$G$3:$G$22&gt;B3971)*(Calc!$G$3:$G$22-B3971)*Calc!$G$3:$G$22)</f>
        <v/>
      </c>
      <c r="N3971">
        <f>SUMPRODUCT(Calc!$K$3:$K$22*(Calc!$G$3:$G$22&gt;A3971)*(Calc!$G$3:$G$22-A3971)*Calc!$I$3:$I$22)</f>
        <v/>
      </c>
      <c r="O3971">
        <f>SUMPRODUCT(Calc!$K$3:$K$22*(Calc!$G$3:$G$22&gt;B3971)*(Calc!$G$3:$G$22-B3971)*Calc!$I$3:$I$22)</f>
        <v/>
      </c>
      <c r="P3971">
        <f>I3971-G3971^2/k_n</f>
        <v/>
      </c>
      <c r="Q3971">
        <f>J3971-H3971^2/k_n</f>
        <v/>
      </c>
      <c r="R3971">
        <f>K3971-G3971*H3971/k_n</f>
        <v/>
      </c>
      <c r="S3971">
        <f>L3971-LTP3!$D$3*G3971/k_n</f>
        <v/>
      </c>
      <c r="T3971">
        <f>M3971-LTP3!$D$3*H3971/k_n</f>
        <v/>
      </c>
      <c r="U3971">
        <f>N3971-G3971*LTP3!$D$4/k_n</f>
        <v/>
      </c>
      <c r="V3971">
        <f>O3971-H3971*LTP3!$D$4/k_n</f>
        <v/>
      </c>
      <c r="W3971">
        <f>((LTP3!$D$5)*((P3971)*(Q3971)-(R3971)*(R3971))-(S3971)*((S3971)*(Q3971)-(R3971)*(T3971))+(T3971)*((S3971)*(R3971)-(P3971)*(T3971)))</f>
        <v/>
      </c>
      <c r="X3971">
        <f>IF(ABS(W3971)&gt;1E-12,((LTP3!$D$6)*((P3971)*(Q3971)-(R3971)*(R3971))-(S3971)*((U3971)*(Q3971)-(R3971)*(V3971))+(T3971)*((U3971)*(R3971)-(P3971)*(V3971)))/W3971,0)</f>
        <v/>
      </c>
      <c r="Y3971">
        <f>IF(ABS(W3971)&gt;1E-12,((LTP3!$D$5)*((U3971)*(Q3971)-(R3971)*(V3971))-(LTP3!$D$6)*((S3971)*(Q3971)-(R3971)*(T3971))+(T3971)*((S3971)*(V3971)-(U3971)*(T3971)))/W3971,0)</f>
        <v/>
      </c>
      <c r="Z3971">
        <f>IF(ABS(W3971)&gt;1E-12,((LTP3!$D$5)*((P3971)*(V3971)-(U3971)*(R3971))-(S3971)*((S3971)*(V3971)-(U3971)*(T3971))+(LTP3!$D$6)*((S3971)*(R3971)-(P3971)*(T3971)))/W3971,0)</f>
        <v/>
      </c>
      <c r="AA3971">
        <f>LTP3!$D$7-X3971*LTP3!$D$6-Y3971*U3971-Z3971*V3971</f>
        <v/>
      </c>
      <c r="AB3971">
        <f>IF(AND(F3971,ABS(W3971)&gt;1E-12,Y3971&gt;0,Z3971&gt;0),AA3971,1E+300)</f>
        <v/>
      </c>
    </row>
    <row r="3972">
      <c r="A3972">
        <f>$I$3-$B$5+$B$5*11/10</f>
        <v/>
      </c>
      <c r="B3972">
        <f>$J$3-$B$5+$B$5*5/10</f>
        <v/>
      </c>
      <c r="C3972">
        <f>SUMPRODUCT(Calc!$K$3:$K$22*(Calc!$G$3:$G$22&lt;=A3972))</f>
        <v/>
      </c>
      <c r="D3972">
        <f>SUMPRODUCT(Calc!$K$3:$K$22*(Calc!$G$3:$G$22&gt;A3972)*(Calc!$G$3:$G$22&lt;B3972))</f>
        <v/>
      </c>
      <c r="E3972">
        <f>SUMPRODUCT(Calc!$K$3:$K$22*(Calc!$G$3:$G$22&gt;=B3972))</f>
        <v/>
      </c>
      <c r="F3972">
        <f>AND(k_n&gt;=5,B3972&gt;A3972+1E-9,C3972&gt;=2,D3972&gt;=1,E3972&gt;=2)</f>
        <v/>
      </c>
      <c r="G3972">
        <f>SUMPRODUCT(Calc!$K$3:$K$22*(Calc!$G$3:$G$22&gt;A3972)*(Calc!$G$3:$G$22-A3972))</f>
        <v/>
      </c>
      <c r="H3972">
        <f>SUMPRODUCT(Calc!$K$3:$K$22*(Calc!$G$3:$G$22&gt;B3972)*(Calc!$G$3:$G$22-B3972))</f>
        <v/>
      </c>
      <c r="I3972">
        <f>SUMPRODUCT(Calc!$K$3:$K$22*(Calc!$G$3:$G$22&gt;A3972)*(Calc!$G$3:$G$22-A3972)^2)</f>
        <v/>
      </c>
      <c r="J3972">
        <f>SUMPRODUCT(Calc!$K$3:$K$22*(Calc!$G$3:$G$22&gt;B3972)*(Calc!$G$3:$G$22-B3972)^2)</f>
        <v/>
      </c>
      <c r="K3972">
        <f>SUMPRODUCT(Calc!$K$3:$K$22*(Calc!$G$3:$G$22&gt;A3972)*(Calc!$G$3:$G$22-A3972)*(Calc!$G$3:$G$22&gt;B3972)*(Calc!$G$3:$G$22-B3972))</f>
        <v/>
      </c>
      <c r="L3972">
        <f>SUMPRODUCT(Calc!$K$3:$K$22*(Calc!$G$3:$G$22&gt;A3972)*(Calc!$G$3:$G$22-A3972)*Calc!$G$3:$G$22)</f>
        <v/>
      </c>
      <c r="M3972">
        <f>SUMPRODUCT(Calc!$K$3:$K$22*(Calc!$G$3:$G$22&gt;B3972)*(Calc!$G$3:$G$22-B3972)*Calc!$G$3:$G$22)</f>
        <v/>
      </c>
      <c r="N3972">
        <f>SUMPRODUCT(Calc!$K$3:$K$22*(Calc!$G$3:$G$22&gt;A3972)*(Calc!$G$3:$G$22-A3972)*Calc!$I$3:$I$22)</f>
        <v/>
      </c>
      <c r="O3972">
        <f>SUMPRODUCT(Calc!$K$3:$K$22*(Calc!$G$3:$G$22&gt;B3972)*(Calc!$G$3:$G$22-B3972)*Calc!$I$3:$I$22)</f>
        <v/>
      </c>
      <c r="P3972">
        <f>I3972-G3972^2/k_n</f>
        <v/>
      </c>
      <c r="Q3972">
        <f>J3972-H3972^2/k_n</f>
        <v/>
      </c>
      <c r="R3972">
        <f>K3972-G3972*H3972/k_n</f>
        <v/>
      </c>
      <c r="S3972">
        <f>L3972-LTP3!$D$3*G3972/k_n</f>
        <v/>
      </c>
      <c r="T3972">
        <f>M3972-LTP3!$D$3*H3972/k_n</f>
        <v/>
      </c>
      <c r="U3972">
        <f>N3972-G3972*LTP3!$D$4/k_n</f>
        <v/>
      </c>
      <c r="V3972">
        <f>O3972-H3972*LTP3!$D$4/k_n</f>
        <v/>
      </c>
      <c r="W3972">
        <f>((LTP3!$D$5)*((P3972)*(Q3972)-(R3972)*(R3972))-(S3972)*((S3972)*(Q3972)-(R3972)*(T3972))+(T3972)*((S3972)*(R3972)-(P3972)*(T3972)))</f>
        <v/>
      </c>
      <c r="X3972">
        <f>IF(ABS(W3972)&gt;1E-12,((LTP3!$D$6)*((P3972)*(Q3972)-(R3972)*(R3972))-(S3972)*((U3972)*(Q3972)-(R3972)*(V3972))+(T3972)*((U3972)*(R3972)-(P3972)*(V3972)))/W3972,0)</f>
        <v/>
      </c>
      <c r="Y3972">
        <f>IF(ABS(W3972)&gt;1E-12,((LTP3!$D$5)*((U3972)*(Q3972)-(R3972)*(V3972))-(LTP3!$D$6)*((S3972)*(Q3972)-(R3972)*(T3972))+(T3972)*((S3972)*(V3972)-(U3972)*(T3972)))/W3972,0)</f>
        <v/>
      </c>
      <c r="Z3972">
        <f>IF(ABS(W3972)&gt;1E-12,((LTP3!$D$5)*((P3972)*(V3972)-(U3972)*(R3972))-(S3972)*((S3972)*(V3972)-(U3972)*(T3972))+(LTP3!$D$6)*((S3972)*(R3972)-(P3972)*(T3972)))/W3972,0)</f>
        <v/>
      </c>
      <c r="AA3972">
        <f>LTP3!$D$7-X3972*LTP3!$D$6-Y3972*U3972-Z3972*V3972</f>
        <v/>
      </c>
      <c r="AB3972">
        <f>IF(AND(F3972,ABS(W3972)&gt;1E-12,Y3972&gt;0,Z3972&gt;0),AA3972,1E+300)</f>
        <v/>
      </c>
    </row>
    <row r="3973">
      <c r="A3973">
        <f>$I$3-$B$5+$B$5*11/10</f>
        <v/>
      </c>
      <c r="B3973">
        <f>$J$3-$B$5+$B$5*6/10</f>
        <v/>
      </c>
      <c r="C3973">
        <f>SUMPRODUCT(Calc!$K$3:$K$22*(Calc!$G$3:$G$22&lt;=A3973))</f>
        <v/>
      </c>
      <c r="D3973">
        <f>SUMPRODUCT(Calc!$K$3:$K$22*(Calc!$G$3:$G$22&gt;A3973)*(Calc!$G$3:$G$22&lt;B3973))</f>
        <v/>
      </c>
      <c r="E3973">
        <f>SUMPRODUCT(Calc!$K$3:$K$22*(Calc!$G$3:$G$22&gt;=B3973))</f>
        <v/>
      </c>
      <c r="F3973">
        <f>AND(k_n&gt;=5,B3973&gt;A3973+1E-9,C3973&gt;=2,D3973&gt;=1,E3973&gt;=2)</f>
        <v/>
      </c>
      <c r="G3973">
        <f>SUMPRODUCT(Calc!$K$3:$K$22*(Calc!$G$3:$G$22&gt;A3973)*(Calc!$G$3:$G$22-A3973))</f>
        <v/>
      </c>
      <c r="H3973">
        <f>SUMPRODUCT(Calc!$K$3:$K$22*(Calc!$G$3:$G$22&gt;B3973)*(Calc!$G$3:$G$22-B3973))</f>
        <v/>
      </c>
      <c r="I3973">
        <f>SUMPRODUCT(Calc!$K$3:$K$22*(Calc!$G$3:$G$22&gt;A3973)*(Calc!$G$3:$G$22-A3973)^2)</f>
        <v/>
      </c>
      <c r="J3973">
        <f>SUMPRODUCT(Calc!$K$3:$K$22*(Calc!$G$3:$G$22&gt;B3973)*(Calc!$G$3:$G$22-B3973)^2)</f>
        <v/>
      </c>
      <c r="K3973">
        <f>SUMPRODUCT(Calc!$K$3:$K$22*(Calc!$G$3:$G$22&gt;A3973)*(Calc!$G$3:$G$22-A3973)*(Calc!$G$3:$G$22&gt;B3973)*(Calc!$G$3:$G$22-B3973))</f>
        <v/>
      </c>
      <c r="L3973">
        <f>SUMPRODUCT(Calc!$K$3:$K$22*(Calc!$G$3:$G$22&gt;A3973)*(Calc!$G$3:$G$22-A3973)*Calc!$G$3:$G$22)</f>
        <v/>
      </c>
      <c r="M3973">
        <f>SUMPRODUCT(Calc!$K$3:$K$22*(Calc!$G$3:$G$22&gt;B3973)*(Calc!$G$3:$G$22-B3973)*Calc!$G$3:$G$22)</f>
        <v/>
      </c>
      <c r="N3973">
        <f>SUMPRODUCT(Calc!$K$3:$K$22*(Calc!$G$3:$G$22&gt;A3973)*(Calc!$G$3:$G$22-A3973)*Calc!$I$3:$I$22)</f>
        <v/>
      </c>
      <c r="O3973">
        <f>SUMPRODUCT(Calc!$K$3:$K$22*(Calc!$G$3:$G$22&gt;B3973)*(Calc!$G$3:$G$22-B3973)*Calc!$I$3:$I$22)</f>
        <v/>
      </c>
      <c r="P3973">
        <f>I3973-G3973^2/k_n</f>
        <v/>
      </c>
      <c r="Q3973">
        <f>J3973-H3973^2/k_n</f>
        <v/>
      </c>
      <c r="R3973">
        <f>K3973-G3973*H3973/k_n</f>
        <v/>
      </c>
      <c r="S3973">
        <f>L3973-LTP3!$D$3*G3973/k_n</f>
        <v/>
      </c>
      <c r="T3973">
        <f>M3973-LTP3!$D$3*H3973/k_n</f>
        <v/>
      </c>
      <c r="U3973">
        <f>N3973-G3973*LTP3!$D$4/k_n</f>
        <v/>
      </c>
      <c r="V3973">
        <f>O3973-H3973*LTP3!$D$4/k_n</f>
        <v/>
      </c>
      <c r="W3973">
        <f>((LTP3!$D$5)*((P3973)*(Q3973)-(R3973)*(R3973))-(S3973)*((S3973)*(Q3973)-(R3973)*(T3973))+(T3973)*((S3973)*(R3973)-(P3973)*(T3973)))</f>
        <v/>
      </c>
      <c r="X3973">
        <f>IF(ABS(W3973)&gt;1E-12,((LTP3!$D$6)*((P3973)*(Q3973)-(R3973)*(R3973))-(S3973)*((U3973)*(Q3973)-(R3973)*(V3973))+(T3973)*((U3973)*(R3973)-(P3973)*(V3973)))/W3973,0)</f>
        <v/>
      </c>
      <c r="Y3973">
        <f>IF(ABS(W3973)&gt;1E-12,((LTP3!$D$5)*((U3973)*(Q3973)-(R3973)*(V3973))-(LTP3!$D$6)*((S3973)*(Q3973)-(R3973)*(T3973))+(T3973)*((S3973)*(V3973)-(U3973)*(T3973)))/W3973,0)</f>
        <v/>
      </c>
      <c r="Z3973">
        <f>IF(ABS(W3973)&gt;1E-12,((LTP3!$D$5)*((P3973)*(V3973)-(U3973)*(R3973))-(S3973)*((S3973)*(V3973)-(U3973)*(T3973))+(LTP3!$D$6)*((S3973)*(R3973)-(P3973)*(T3973)))/W3973,0)</f>
        <v/>
      </c>
      <c r="AA3973">
        <f>LTP3!$D$7-X3973*LTP3!$D$6-Y3973*U3973-Z3973*V3973</f>
        <v/>
      </c>
      <c r="AB3973">
        <f>IF(AND(F3973,ABS(W3973)&gt;1E-12,Y3973&gt;0,Z3973&gt;0),AA3973,1E+300)</f>
        <v/>
      </c>
    </row>
    <row r="3974">
      <c r="A3974">
        <f>$I$3-$B$5+$B$5*11/10</f>
        <v/>
      </c>
      <c r="B3974">
        <f>$J$3-$B$5+$B$5*7/10</f>
        <v/>
      </c>
      <c r="C3974">
        <f>SUMPRODUCT(Calc!$K$3:$K$22*(Calc!$G$3:$G$22&lt;=A3974))</f>
        <v/>
      </c>
      <c r="D3974">
        <f>SUMPRODUCT(Calc!$K$3:$K$22*(Calc!$G$3:$G$22&gt;A3974)*(Calc!$G$3:$G$22&lt;B3974))</f>
        <v/>
      </c>
      <c r="E3974">
        <f>SUMPRODUCT(Calc!$K$3:$K$22*(Calc!$G$3:$G$22&gt;=B3974))</f>
        <v/>
      </c>
      <c r="F3974">
        <f>AND(k_n&gt;=5,B3974&gt;A3974+1E-9,C3974&gt;=2,D3974&gt;=1,E3974&gt;=2)</f>
        <v/>
      </c>
      <c r="G3974">
        <f>SUMPRODUCT(Calc!$K$3:$K$22*(Calc!$G$3:$G$22&gt;A3974)*(Calc!$G$3:$G$22-A3974))</f>
        <v/>
      </c>
      <c r="H3974">
        <f>SUMPRODUCT(Calc!$K$3:$K$22*(Calc!$G$3:$G$22&gt;B3974)*(Calc!$G$3:$G$22-B3974))</f>
        <v/>
      </c>
      <c r="I3974">
        <f>SUMPRODUCT(Calc!$K$3:$K$22*(Calc!$G$3:$G$22&gt;A3974)*(Calc!$G$3:$G$22-A3974)^2)</f>
        <v/>
      </c>
      <c r="J3974">
        <f>SUMPRODUCT(Calc!$K$3:$K$22*(Calc!$G$3:$G$22&gt;B3974)*(Calc!$G$3:$G$22-B3974)^2)</f>
        <v/>
      </c>
      <c r="K3974">
        <f>SUMPRODUCT(Calc!$K$3:$K$22*(Calc!$G$3:$G$22&gt;A3974)*(Calc!$G$3:$G$22-A3974)*(Calc!$G$3:$G$22&gt;B3974)*(Calc!$G$3:$G$22-B3974))</f>
        <v/>
      </c>
      <c r="L3974">
        <f>SUMPRODUCT(Calc!$K$3:$K$22*(Calc!$G$3:$G$22&gt;A3974)*(Calc!$G$3:$G$22-A3974)*Calc!$G$3:$G$22)</f>
        <v/>
      </c>
      <c r="M3974">
        <f>SUMPRODUCT(Calc!$K$3:$K$22*(Calc!$G$3:$G$22&gt;B3974)*(Calc!$G$3:$G$22-B3974)*Calc!$G$3:$G$22)</f>
        <v/>
      </c>
      <c r="N3974">
        <f>SUMPRODUCT(Calc!$K$3:$K$22*(Calc!$G$3:$G$22&gt;A3974)*(Calc!$G$3:$G$22-A3974)*Calc!$I$3:$I$22)</f>
        <v/>
      </c>
      <c r="O3974">
        <f>SUMPRODUCT(Calc!$K$3:$K$22*(Calc!$G$3:$G$22&gt;B3974)*(Calc!$G$3:$G$22-B3974)*Calc!$I$3:$I$22)</f>
        <v/>
      </c>
      <c r="P3974">
        <f>I3974-G3974^2/k_n</f>
        <v/>
      </c>
      <c r="Q3974">
        <f>J3974-H3974^2/k_n</f>
        <v/>
      </c>
      <c r="R3974">
        <f>K3974-G3974*H3974/k_n</f>
        <v/>
      </c>
      <c r="S3974">
        <f>L3974-LTP3!$D$3*G3974/k_n</f>
        <v/>
      </c>
      <c r="T3974">
        <f>M3974-LTP3!$D$3*H3974/k_n</f>
        <v/>
      </c>
      <c r="U3974">
        <f>N3974-G3974*LTP3!$D$4/k_n</f>
        <v/>
      </c>
      <c r="V3974">
        <f>O3974-H3974*LTP3!$D$4/k_n</f>
        <v/>
      </c>
      <c r="W3974">
        <f>((LTP3!$D$5)*((P3974)*(Q3974)-(R3974)*(R3974))-(S3974)*((S3974)*(Q3974)-(R3974)*(T3974))+(T3974)*((S3974)*(R3974)-(P3974)*(T3974)))</f>
        <v/>
      </c>
      <c r="X3974">
        <f>IF(ABS(W3974)&gt;1E-12,((LTP3!$D$6)*((P3974)*(Q3974)-(R3974)*(R3974))-(S3974)*((U3974)*(Q3974)-(R3974)*(V3974))+(T3974)*((U3974)*(R3974)-(P3974)*(V3974)))/W3974,0)</f>
        <v/>
      </c>
      <c r="Y3974">
        <f>IF(ABS(W3974)&gt;1E-12,((LTP3!$D$5)*((U3974)*(Q3974)-(R3974)*(V3974))-(LTP3!$D$6)*((S3974)*(Q3974)-(R3974)*(T3974))+(T3974)*((S3974)*(V3974)-(U3974)*(T3974)))/W3974,0)</f>
        <v/>
      </c>
      <c r="Z3974">
        <f>IF(ABS(W3974)&gt;1E-12,((LTP3!$D$5)*((P3974)*(V3974)-(U3974)*(R3974))-(S3974)*((S3974)*(V3974)-(U3974)*(T3974))+(LTP3!$D$6)*((S3974)*(R3974)-(P3974)*(T3974)))/W3974,0)</f>
        <v/>
      </c>
      <c r="AA3974">
        <f>LTP3!$D$7-X3974*LTP3!$D$6-Y3974*U3974-Z3974*V3974</f>
        <v/>
      </c>
      <c r="AB3974">
        <f>IF(AND(F3974,ABS(W3974)&gt;1E-12,Y3974&gt;0,Z3974&gt;0),AA3974,1E+300)</f>
        <v/>
      </c>
    </row>
    <row r="3975">
      <c r="A3975">
        <f>$I$3-$B$5+$B$5*11/10</f>
        <v/>
      </c>
      <c r="B3975">
        <f>$J$3-$B$5+$B$5*8/10</f>
        <v/>
      </c>
      <c r="C3975">
        <f>SUMPRODUCT(Calc!$K$3:$K$22*(Calc!$G$3:$G$22&lt;=A3975))</f>
        <v/>
      </c>
      <c r="D3975">
        <f>SUMPRODUCT(Calc!$K$3:$K$22*(Calc!$G$3:$G$22&gt;A3975)*(Calc!$G$3:$G$22&lt;B3975))</f>
        <v/>
      </c>
      <c r="E3975">
        <f>SUMPRODUCT(Calc!$K$3:$K$22*(Calc!$G$3:$G$22&gt;=B3975))</f>
        <v/>
      </c>
      <c r="F3975">
        <f>AND(k_n&gt;=5,B3975&gt;A3975+1E-9,C3975&gt;=2,D3975&gt;=1,E3975&gt;=2)</f>
        <v/>
      </c>
      <c r="G3975">
        <f>SUMPRODUCT(Calc!$K$3:$K$22*(Calc!$G$3:$G$22&gt;A3975)*(Calc!$G$3:$G$22-A3975))</f>
        <v/>
      </c>
      <c r="H3975">
        <f>SUMPRODUCT(Calc!$K$3:$K$22*(Calc!$G$3:$G$22&gt;B3975)*(Calc!$G$3:$G$22-B3975))</f>
        <v/>
      </c>
      <c r="I3975">
        <f>SUMPRODUCT(Calc!$K$3:$K$22*(Calc!$G$3:$G$22&gt;A3975)*(Calc!$G$3:$G$22-A3975)^2)</f>
        <v/>
      </c>
      <c r="J3975">
        <f>SUMPRODUCT(Calc!$K$3:$K$22*(Calc!$G$3:$G$22&gt;B3975)*(Calc!$G$3:$G$22-B3975)^2)</f>
        <v/>
      </c>
      <c r="K3975">
        <f>SUMPRODUCT(Calc!$K$3:$K$22*(Calc!$G$3:$G$22&gt;A3975)*(Calc!$G$3:$G$22-A3975)*(Calc!$G$3:$G$22&gt;B3975)*(Calc!$G$3:$G$22-B3975))</f>
        <v/>
      </c>
      <c r="L3975">
        <f>SUMPRODUCT(Calc!$K$3:$K$22*(Calc!$G$3:$G$22&gt;A3975)*(Calc!$G$3:$G$22-A3975)*Calc!$G$3:$G$22)</f>
        <v/>
      </c>
      <c r="M3975">
        <f>SUMPRODUCT(Calc!$K$3:$K$22*(Calc!$G$3:$G$22&gt;B3975)*(Calc!$G$3:$G$22-B3975)*Calc!$G$3:$G$22)</f>
        <v/>
      </c>
      <c r="N3975">
        <f>SUMPRODUCT(Calc!$K$3:$K$22*(Calc!$G$3:$G$22&gt;A3975)*(Calc!$G$3:$G$22-A3975)*Calc!$I$3:$I$22)</f>
        <v/>
      </c>
      <c r="O3975">
        <f>SUMPRODUCT(Calc!$K$3:$K$22*(Calc!$G$3:$G$22&gt;B3975)*(Calc!$G$3:$G$22-B3975)*Calc!$I$3:$I$22)</f>
        <v/>
      </c>
      <c r="P3975">
        <f>I3975-G3975^2/k_n</f>
        <v/>
      </c>
      <c r="Q3975">
        <f>J3975-H3975^2/k_n</f>
        <v/>
      </c>
      <c r="R3975">
        <f>K3975-G3975*H3975/k_n</f>
        <v/>
      </c>
      <c r="S3975">
        <f>L3975-LTP3!$D$3*G3975/k_n</f>
        <v/>
      </c>
      <c r="T3975">
        <f>M3975-LTP3!$D$3*H3975/k_n</f>
        <v/>
      </c>
      <c r="U3975">
        <f>N3975-G3975*LTP3!$D$4/k_n</f>
        <v/>
      </c>
      <c r="V3975">
        <f>O3975-H3975*LTP3!$D$4/k_n</f>
        <v/>
      </c>
      <c r="W3975">
        <f>((LTP3!$D$5)*((P3975)*(Q3975)-(R3975)*(R3975))-(S3975)*((S3975)*(Q3975)-(R3975)*(T3975))+(T3975)*((S3975)*(R3975)-(P3975)*(T3975)))</f>
        <v/>
      </c>
      <c r="X3975">
        <f>IF(ABS(W3975)&gt;1E-12,((LTP3!$D$6)*((P3975)*(Q3975)-(R3975)*(R3975))-(S3975)*((U3975)*(Q3975)-(R3975)*(V3975))+(T3975)*((U3975)*(R3975)-(P3975)*(V3975)))/W3975,0)</f>
        <v/>
      </c>
      <c r="Y3975">
        <f>IF(ABS(W3975)&gt;1E-12,((LTP3!$D$5)*((U3975)*(Q3975)-(R3975)*(V3975))-(LTP3!$D$6)*((S3975)*(Q3975)-(R3975)*(T3975))+(T3975)*((S3975)*(V3975)-(U3975)*(T3975)))/W3975,0)</f>
        <v/>
      </c>
      <c r="Z3975">
        <f>IF(ABS(W3975)&gt;1E-12,((LTP3!$D$5)*((P3975)*(V3975)-(U3975)*(R3975))-(S3975)*((S3975)*(V3975)-(U3975)*(T3975))+(LTP3!$D$6)*((S3975)*(R3975)-(P3975)*(T3975)))/W3975,0)</f>
        <v/>
      </c>
      <c r="AA3975">
        <f>LTP3!$D$7-X3975*LTP3!$D$6-Y3975*U3975-Z3975*V3975</f>
        <v/>
      </c>
      <c r="AB3975">
        <f>IF(AND(F3975,ABS(W3975)&gt;1E-12,Y3975&gt;0,Z3975&gt;0),AA3975,1E+300)</f>
        <v/>
      </c>
    </row>
    <row r="3976">
      <c r="A3976">
        <f>$I$3-$B$5+$B$5*11/10</f>
        <v/>
      </c>
      <c r="B3976">
        <f>$J$3-$B$5+$B$5*9/10</f>
        <v/>
      </c>
      <c r="C3976">
        <f>SUMPRODUCT(Calc!$K$3:$K$22*(Calc!$G$3:$G$22&lt;=A3976))</f>
        <v/>
      </c>
      <c r="D3976">
        <f>SUMPRODUCT(Calc!$K$3:$K$22*(Calc!$G$3:$G$22&gt;A3976)*(Calc!$G$3:$G$22&lt;B3976))</f>
        <v/>
      </c>
      <c r="E3976">
        <f>SUMPRODUCT(Calc!$K$3:$K$22*(Calc!$G$3:$G$22&gt;=B3976))</f>
        <v/>
      </c>
      <c r="F3976">
        <f>AND(k_n&gt;=5,B3976&gt;A3976+1E-9,C3976&gt;=2,D3976&gt;=1,E3976&gt;=2)</f>
        <v/>
      </c>
      <c r="G3976">
        <f>SUMPRODUCT(Calc!$K$3:$K$22*(Calc!$G$3:$G$22&gt;A3976)*(Calc!$G$3:$G$22-A3976))</f>
        <v/>
      </c>
      <c r="H3976">
        <f>SUMPRODUCT(Calc!$K$3:$K$22*(Calc!$G$3:$G$22&gt;B3976)*(Calc!$G$3:$G$22-B3976))</f>
        <v/>
      </c>
      <c r="I3976">
        <f>SUMPRODUCT(Calc!$K$3:$K$22*(Calc!$G$3:$G$22&gt;A3976)*(Calc!$G$3:$G$22-A3976)^2)</f>
        <v/>
      </c>
      <c r="J3976">
        <f>SUMPRODUCT(Calc!$K$3:$K$22*(Calc!$G$3:$G$22&gt;B3976)*(Calc!$G$3:$G$22-B3976)^2)</f>
        <v/>
      </c>
      <c r="K3976">
        <f>SUMPRODUCT(Calc!$K$3:$K$22*(Calc!$G$3:$G$22&gt;A3976)*(Calc!$G$3:$G$22-A3976)*(Calc!$G$3:$G$22&gt;B3976)*(Calc!$G$3:$G$22-B3976))</f>
        <v/>
      </c>
      <c r="L3976">
        <f>SUMPRODUCT(Calc!$K$3:$K$22*(Calc!$G$3:$G$22&gt;A3976)*(Calc!$G$3:$G$22-A3976)*Calc!$G$3:$G$22)</f>
        <v/>
      </c>
      <c r="M3976">
        <f>SUMPRODUCT(Calc!$K$3:$K$22*(Calc!$G$3:$G$22&gt;B3976)*(Calc!$G$3:$G$22-B3976)*Calc!$G$3:$G$22)</f>
        <v/>
      </c>
      <c r="N3976">
        <f>SUMPRODUCT(Calc!$K$3:$K$22*(Calc!$G$3:$G$22&gt;A3976)*(Calc!$G$3:$G$22-A3976)*Calc!$I$3:$I$22)</f>
        <v/>
      </c>
      <c r="O3976">
        <f>SUMPRODUCT(Calc!$K$3:$K$22*(Calc!$G$3:$G$22&gt;B3976)*(Calc!$G$3:$G$22-B3976)*Calc!$I$3:$I$22)</f>
        <v/>
      </c>
      <c r="P3976">
        <f>I3976-G3976^2/k_n</f>
        <v/>
      </c>
      <c r="Q3976">
        <f>J3976-H3976^2/k_n</f>
        <v/>
      </c>
      <c r="R3976">
        <f>K3976-G3976*H3976/k_n</f>
        <v/>
      </c>
      <c r="S3976">
        <f>L3976-LTP3!$D$3*G3976/k_n</f>
        <v/>
      </c>
      <c r="T3976">
        <f>M3976-LTP3!$D$3*H3976/k_n</f>
        <v/>
      </c>
      <c r="U3976">
        <f>N3976-G3976*LTP3!$D$4/k_n</f>
        <v/>
      </c>
      <c r="V3976">
        <f>O3976-H3976*LTP3!$D$4/k_n</f>
        <v/>
      </c>
      <c r="W3976">
        <f>((LTP3!$D$5)*((P3976)*(Q3976)-(R3976)*(R3976))-(S3976)*((S3976)*(Q3976)-(R3976)*(T3976))+(T3976)*((S3976)*(R3976)-(P3976)*(T3976)))</f>
        <v/>
      </c>
      <c r="X3976">
        <f>IF(ABS(W3976)&gt;1E-12,((LTP3!$D$6)*((P3976)*(Q3976)-(R3976)*(R3976))-(S3976)*((U3976)*(Q3976)-(R3976)*(V3976))+(T3976)*((U3976)*(R3976)-(P3976)*(V3976)))/W3976,0)</f>
        <v/>
      </c>
      <c r="Y3976">
        <f>IF(ABS(W3976)&gt;1E-12,((LTP3!$D$5)*((U3976)*(Q3976)-(R3976)*(V3976))-(LTP3!$D$6)*((S3976)*(Q3976)-(R3976)*(T3976))+(T3976)*((S3976)*(V3976)-(U3976)*(T3976)))/W3976,0)</f>
        <v/>
      </c>
      <c r="Z3976">
        <f>IF(ABS(W3976)&gt;1E-12,((LTP3!$D$5)*((P3976)*(V3976)-(U3976)*(R3976))-(S3976)*((S3976)*(V3976)-(U3976)*(T3976))+(LTP3!$D$6)*((S3976)*(R3976)-(P3976)*(T3976)))/W3976,0)</f>
        <v/>
      </c>
      <c r="AA3976">
        <f>LTP3!$D$7-X3976*LTP3!$D$6-Y3976*U3976-Z3976*V3976</f>
        <v/>
      </c>
      <c r="AB3976">
        <f>IF(AND(F3976,ABS(W3976)&gt;1E-12,Y3976&gt;0,Z3976&gt;0),AA3976,1E+300)</f>
        <v/>
      </c>
    </row>
    <row r="3977">
      <c r="A3977">
        <f>$I$3-$B$5+$B$5*11/10</f>
        <v/>
      </c>
      <c r="B3977">
        <f>$J$3-$B$5+$B$5*10/10</f>
        <v/>
      </c>
      <c r="C3977">
        <f>SUMPRODUCT(Calc!$K$3:$K$22*(Calc!$G$3:$G$22&lt;=A3977))</f>
        <v/>
      </c>
      <c r="D3977">
        <f>SUMPRODUCT(Calc!$K$3:$K$22*(Calc!$G$3:$G$22&gt;A3977)*(Calc!$G$3:$G$22&lt;B3977))</f>
        <v/>
      </c>
      <c r="E3977">
        <f>SUMPRODUCT(Calc!$K$3:$K$22*(Calc!$G$3:$G$22&gt;=B3977))</f>
        <v/>
      </c>
      <c r="F3977">
        <f>AND(k_n&gt;=5,B3977&gt;A3977+1E-9,C3977&gt;=2,D3977&gt;=1,E3977&gt;=2)</f>
        <v/>
      </c>
      <c r="G3977">
        <f>SUMPRODUCT(Calc!$K$3:$K$22*(Calc!$G$3:$G$22&gt;A3977)*(Calc!$G$3:$G$22-A3977))</f>
        <v/>
      </c>
      <c r="H3977">
        <f>SUMPRODUCT(Calc!$K$3:$K$22*(Calc!$G$3:$G$22&gt;B3977)*(Calc!$G$3:$G$22-B3977))</f>
        <v/>
      </c>
      <c r="I3977">
        <f>SUMPRODUCT(Calc!$K$3:$K$22*(Calc!$G$3:$G$22&gt;A3977)*(Calc!$G$3:$G$22-A3977)^2)</f>
        <v/>
      </c>
      <c r="J3977">
        <f>SUMPRODUCT(Calc!$K$3:$K$22*(Calc!$G$3:$G$22&gt;B3977)*(Calc!$G$3:$G$22-B3977)^2)</f>
        <v/>
      </c>
      <c r="K3977">
        <f>SUMPRODUCT(Calc!$K$3:$K$22*(Calc!$G$3:$G$22&gt;A3977)*(Calc!$G$3:$G$22-A3977)*(Calc!$G$3:$G$22&gt;B3977)*(Calc!$G$3:$G$22-B3977))</f>
        <v/>
      </c>
      <c r="L3977">
        <f>SUMPRODUCT(Calc!$K$3:$K$22*(Calc!$G$3:$G$22&gt;A3977)*(Calc!$G$3:$G$22-A3977)*Calc!$G$3:$G$22)</f>
        <v/>
      </c>
      <c r="M3977">
        <f>SUMPRODUCT(Calc!$K$3:$K$22*(Calc!$G$3:$G$22&gt;B3977)*(Calc!$G$3:$G$22-B3977)*Calc!$G$3:$G$22)</f>
        <v/>
      </c>
      <c r="N3977">
        <f>SUMPRODUCT(Calc!$K$3:$K$22*(Calc!$G$3:$G$22&gt;A3977)*(Calc!$G$3:$G$22-A3977)*Calc!$I$3:$I$22)</f>
        <v/>
      </c>
      <c r="O3977">
        <f>SUMPRODUCT(Calc!$K$3:$K$22*(Calc!$G$3:$G$22&gt;B3977)*(Calc!$G$3:$G$22-B3977)*Calc!$I$3:$I$22)</f>
        <v/>
      </c>
      <c r="P3977">
        <f>I3977-G3977^2/k_n</f>
        <v/>
      </c>
      <c r="Q3977">
        <f>J3977-H3977^2/k_n</f>
        <v/>
      </c>
      <c r="R3977">
        <f>K3977-G3977*H3977/k_n</f>
        <v/>
      </c>
      <c r="S3977">
        <f>L3977-LTP3!$D$3*G3977/k_n</f>
        <v/>
      </c>
      <c r="T3977">
        <f>M3977-LTP3!$D$3*H3977/k_n</f>
        <v/>
      </c>
      <c r="U3977">
        <f>N3977-G3977*LTP3!$D$4/k_n</f>
        <v/>
      </c>
      <c r="V3977">
        <f>O3977-H3977*LTP3!$D$4/k_n</f>
        <v/>
      </c>
      <c r="W3977">
        <f>((LTP3!$D$5)*((P3977)*(Q3977)-(R3977)*(R3977))-(S3977)*((S3977)*(Q3977)-(R3977)*(T3977))+(T3977)*((S3977)*(R3977)-(P3977)*(T3977)))</f>
        <v/>
      </c>
      <c r="X3977">
        <f>IF(ABS(W3977)&gt;1E-12,((LTP3!$D$6)*((P3977)*(Q3977)-(R3977)*(R3977))-(S3977)*((U3977)*(Q3977)-(R3977)*(V3977))+(T3977)*((U3977)*(R3977)-(P3977)*(V3977)))/W3977,0)</f>
        <v/>
      </c>
      <c r="Y3977">
        <f>IF(ABS(W3977)&gt;1E-12,((LTP3!$D$5)*((U3977)*(Q3977)-(R3977)*(V3977))-(LTP3!$D$6)*((S3977)*(Q3977)-(R3977)*(T3977))+(T3977)*((S3977)*(V3977)-(U3977)*(T3977)))/W3977,0)</f>
        <v/>
      </c>
      <c r="Z3977">
        <f>IF(ABS(W3977)&gt;1E-12,((LTP3!$D$5)*((P3977)*(V3977)-(U3977)*(R3977))-(S3977)*((S3977)*(V3977)-(U3977)*(T3977))+(LTP3!$D$6)*((S3977)*(R3977)-(P3977)*(T3977)))/W3977,0)</f>
        <v/>
      </c>
      <c r="AA3977">
        <f>LTP3!$D$7-X3977*LTP3!$D$6-Y3977*U3977-Z3977*V3977</f>
        <v/>
      </c>
      <c r="AB3977">
        <f>IF(AND(F3977,ABS(W3977)&gt;1E-12,Y3977&gt;0,Z3977&gt;0),AA3977,1E+300)</f>
        <v/>
      </c>
    </row>
    <row r="3978">
      <c r="A3978">
        <f>$I$3-$B$5+$B$5*11/10</f>
        <v/>
      </c>
      <c r="B3978">
        <f>$J$3-$B$5+$B$5*11/10</f>
        <v/>
      </c>
      <c r="C3978">
        <f>SUMPRODUCT(Calc!$K$3:$K$22*(Calc!$G$3:$G$22&lt;=A3978))</f>
        <v/>
      </c>
      <c r="D3978">
        <f>SUMPRODUCT(Calc!$K$3:$K$22*(Calc!$G$3:$G$22&gt;A3978)*(Calc!$G$3:$G$22&lt;B3978))</f>
        <v/>
      </c>
      <c r="E3978">
        <f>SUMPRODUCT(Calc!$K$3:$K$22*(Calc!$G$3:$G$22&gt;=B3978))</f>
        <v/>
      </c>
      <c r="F3978">
        <f>AND(k_n&gt;=5,B3978&gt;A3978+1E-9,C3978&gt;=2,D3978&gt;=1,E3978&gt;=2)</f>
        <v/>
      </c>
      <c r="G3978">
        <f>SUMPRODUCT(Calc!$K$3:$K$22*(Calc!$G$3:$G$22&gt;A3978)*(Calc!$G$3:$G$22-A3978))</f>
        <v/>
      </c>
      <c r="H3978">
        <f>SUMPRODUCT(Calc!$K$3:$K$22*(Calc!$G$3:$G$22&gt;B3978)*(Calc!$G$3:$G$22-B3978))</f>
        <v/>
      </c>
      <c r="I3978">
        <f>SUMPRODUCT(Calc!$K$3:$K$22*(Calc!$G$3:$G$22&gt;A3978)*(Calc!$G$3:$G$22-A3978)^2)</f>
        <v/>
      </c>
      <c r="J3978">
        <f>SUMPRODUCT(Calc!$K$3:$K$22*(Calc!$G$3:$G$22&gt;B3978)*(Calc!$G$3:$G$22-B3978)^2)</f>
        <v/>
      </c>
      <c r="K3978">
        <f>SUMPRODUCT(Calc!$K$3:$K$22*(Calc!$G$3:$G$22&gt;A3978)*(Calc!$G$3:$G$22-A3978)*(Calc!$G$3:$G$22&gt;B3978)*(Calc!$G$3:$G$22-B3978))</f>
        <v/>
      </c>
      <c r="L3978">
        <f>SUMPRODUCT(Calc!$K$3:$K$22*(Calc!$G$3:$G$22&gt;A3978)*(Calc!$G$3:$G$22-A3978)*Calc!$G$3:$G$22)</f>
        <v/>
      </c>
      <c r="M3978">
        <f>SUMPRODUCT(Calc!$K$3:$K$22*(Calc!$G$3:$G$22&gt;B3978)*(Calc!$G$3:$G$22-B3978)*Calc!$G$3:$G$22)</f>
        <v/>
      </c>
      <c r="N3978">
        <f>SUMPRODUCT(Calc!$K$3:$K$22*(Calc!$G$3:$G$22&gt;A3978)*(Calc!$G$3:$G$22-A3978)*Calc!$I$3:$I$22)</f>
        <v/>
      </c>
      <c r="O3978">
        <f>SUMPRODUCT(Calc!$K$3:$K$22*(Calc!$G$3:$G$22&gt;B3978)*(Calc!$G$3:$G$22-B3978)*Calc!$I$3:$I$22)</f>
        <v/>
      </c>
      <c r="P3978">
        <f>I3978-G3978^2/k_n</f>
        <v/>
      </c>
      <c r="Q3978">
        <f>J3978-H3978^2/k_n</f>
        <v/>
      </c>
      <c r="R3978">
        <f>K3978-G3978*H3978/k_n</f>
        <v/>
      </c>
      <c r="S3978">
        <f>L3978-LTP3!$D$3*G3978/k_n</f>
        <v/>
      </c>
      <c r="T3978">
        <f>M3978-LTP3!$D$3*H3978/k_n</f>
        <v/>
      </c>
      <c r="U3978">
        <f>N3978-G3978*LTP3!$D$4/k_n</f>
        <v/>
      </c>
      <c r="V3978">
        <f>O3978-H3978*LTP3!$D$4/k_n</f>
        <v/>
      </c>
      <c r="W3978">
        <f>((LTP3!$D$5)*((P3978)*(Q3978)-(R3978)*(R3978))-(S3978)*((S3978)*(Q3978)-(R3978)*(T3978))+(T3978)*((S3978)*(R3978)-(P3978)*(T3978)))</f>
        <v/>
      </c>
      <c r="X3978">
        <f>IF(ABS(W3978)&gt;1E-12,((LTP3!$D$6)*((P3978)*(Q3978)-(R3978)*(R3978))-(S3978)*((U3978)*(Q3978)-(R3978)*(V3978))+(T3978)*((U3978)*(R3978)-(P3978)*(V3978)))/W3978,0)</f>
        <v/>
      </c>
      <c r="Y3978">
        <f>IF(ABS(W3978)&gt;1E-12,((LTP3!$D$5)*((U3978)*(Q3978)-(R3978)*(V3978))-(LTP3!$D$6)*((S3978)*(Q3978)-(R3978)*(T3978))+(T3978)*((S3978)*(V3978)-(U3978)*(T3978)))/W3978,0)</f>
        <v/>
      </c>
      <c r="Z3978">
        <f>IF(ABS(W3978)&gt;1E-12,((LTP3!$D$5)*((P3978)*(V3978)-(U3978)*(R3978))-(S3978)*((S3978)*(V3978)-(U3978)*(T3978))+(LTP3!$D$6)*((S3978)*(R3978)-(P3978)*(T3978)))/W3978,0)</f>
        <v/>
      </c>
      <c r="AA3978">
        <f>LTP3!$D$7-X3978*LTP3!$D$6-Y3978*U3978-Z3978*V3978</f>
        <v/>
      </c>
      <c r="AB3978">
        <f>IF(AND(F3978,ABS(W3978)&gt;1E-12,Y3978&gt;0,Z3978&gt;0),AA3978,1E+300)</f>
        <v/>
      </c>
    </row>
    <row r="3979">
      <c r="A3979">
        <f>$I$3-$B$5+$B$5*11/10</f>
        <v/>
      </c>
      <c r="B3979">
        <f>$J$3-$B$5+$B$5*12/10</f>
        <v/>
      </c>
      <c r="C3979">
        <f>SUMPRODUCT(Calc!$K$3:$K$22*(Calc!$G$3:$G$22&lt;=A3979))</f>
        <v/>
      </c>
      <c r="D3979">
        <f>SUMPRODUCT(Calc!$K$3:$K$22*(Calc!$G$3:$G$22&gt;A3979)*(Calc!$G$3:$G$22&lt;B3979))</f>
        <v/>
      </c>
      <c r="E3979">
        <f>SUMPRODUCT(Calc!$K$3:$K$22*(Calc!$G$3:$G$22&gt;=B3979))</f>
        <v/>
      </c>
      <c r="F3979">
        <f>AND(k_n&gt;=5,B3979&gt;A3979+1E-9,C3979&gt;=2,D3979&gt;=1,E3979&gt;=2)</f>
        <v/>
      </c>
      <c r="G3979">
        <f>SUMPRODUCT(Calc!$K$3:$K$22*(Calc!$G$3:$G$22&gt;A3979)*(Calc!$G$3:$G$22-A3979))</f>
        <v/>
      </c>
      <c r="H3979">
        <f>SUMPRODUCT(Calc!$K$3:$K$22*(Calc!$G$3:$G$22&gt;B3979)*(Calc!$G$3:$G$22-B3979))</f>
        <v/>
      </c>
      <c r="I3979">
        <f>SUMPRODUCT(Calc!$K$3:$K$22*(Calc!$G$3:$G$22&gt;A3979)*(Calc!$G$3:$G$22-A3979)^2)</f>
        <v/>
      </c>
      <c r="J3979">
        <f>SUMPRODUCT(Calc!$K$3:$K$22*(Calc!$G$3:$G$22&gt;B3979)*(Calc!$G$3:$G$22-B3979)^2)</f>
        <v/>
      </c>
      <c r="K3979">
        <f>SUMPRODUCT(Calc!$K$3:$K$22*(Calc!$G$3:$G$22&gt;A3979)*(Calc!$G$3:$G$22-A3979)*(Calc!$G$3:$G$22&gt;B3979)*(Calc!$G$3:$G$22-B3979))</f>
        <v/>
      </c>
      <c r="L3979">
        <f>SUMPRODUCT(Calc!$K$3:$K$22*(Calc!$G$3:$G$22&gt;A3979)*(Calc!$G$3:$G$22-A3979)*Calc!$G$3:$G$22)</f>
        <v/>
      </c>
      <c r="M3979">
        <f>SUMPRODUCT(Calc!$K$3:$K$22*(Calc!$G$3:$G$22&gt;B3979)*(Calc!$G$3:$G$22-B3979)*Calc!$G$3:$G$22)</f>
        <v/>
      </c>
      <c r="N3979">
        <f>SUMPRODUCT(Calc!$K$3:$K$22*(Calc!$G$3:$G$22&gt;A3979)*(Calc!$G$3:$G$22-A3979)*Calc!$I$3:$I$22)</f>
        <v/>
      </c>
      <c r="O3979">
        <f>SUMPRODUCT(Calc!$K$3:$K$22*(Calc!$G$3:$G$22&gt;B3979)*(Calc!$G$3:$G$22-B3979)*Calc!$I$3:$I$22)</f>
        <v/>
      </c>
      <c r="P3979">
        <f>I3979-G3979^2/k_n</f>
        <v/>
      </c>
      <c r="Q3979">
        <f>J3979-H3979^2/k_n</f>
        <v/>
      </c>
      <c r="R3979">
        <f>K3979-G3979*H3979/k_n</f>
        <v/>
      </c>
      <c r="S3979">
        <f>L3979-LTP3!$D$3*G3979/k_n</f>
        <v/>
      </c>
      <c r="T3979">
        <f>M3979-LTP3!$D$3*H3979/k_n</f>
        <v/>
      </c>
      <c r="U3979">
        <f>N3979-G3979*LTP3!$D$4/k_n</f>
        <v/>
      </c>
      <c r="V3979">
        <f>O3979-H3979*LTP3!$D$4/k_n</f>
        <v/>
      </c>
      <c r="W3979">
        <f>((LTP3!$D$5)*((P3979)*(Q3979)-(R3979)*(R3979))-(S3979)*((S3979)*(Q3979)-(R3979)*(T3979))+(T3979)*((S3979)*(R3979)-(P3979)*(T3979)))</f>
        <v/>
      </c>
      <c r="X3979">
        <f>IF(ABS(W3979)&gt;1E-12,((LTP3!$D$6)*((P3979)*(Q3979)-(R3979)*(R3979))-(S3979)*((U3979)*(Q3979)-(R3979)*(V3979))+(T3979)*((U3979)*(R3979)-(P3979)*(V3979)))/W3979,0)</f>
        <v/>
      </c>
      <c r="Y3979">
        <f>IF(ABS(W3979)&gt;1E-12,((LTP3!$D$5)*((U3979)*(Q3979)-(R3979)*(V3979))-(LTP3!$D$6)*((S3979)*(Q3979)-(R3979)*(T3979))+(T3979)*((S3979)*(V3979)-(U3979)*(T3979)))/W3979,0)</f>
        <v/>
      </c>
      <c r="Z3979">
        <f>IF(ABS(W3979)&gt;1E-12,((LTP3!$D$5)*((P3979)*(V3979)-(U3979)*(R3979))-(S3979)*((S3979)*(V3979)-(U3979)*(T3979))+(LTP3!$D$6)*((S3979)*(R3979)-(P3979)*(T3979)))/W3979,0)</f>
        <v/>
      </c>
      <c r="AA3979">
        <f>LTP3!$D$7-X3979*LTP3!$D$6-Y3979*U3979-Z3979*V3979</f>
        <v/>
      </c>
      <c r="AB3979">
        <f>IF(AND(F3979,ABS(W3979)&gt;1E-12,Y3979&gt;0,Z3979&gt;0),AA3979,1E+300)</f>
        <v/>
      </c>
    </row>
    <row r="3980">
      <c r="A3980">
        <f>$I$3-$B$5+$B$5*11/10</f>
        <v/>
      </c>
      <c r="B3980">
        <f>$J$3-$B$5+$B$5*13/10</f>
        <v/>
      </c>
      <c r="C3980">
        <f>SUMPRODUCT(Calc!$K$3:$K$22*(Calc!$G$3:$G$22&lt;=A3980))</f>
        <v/>
      </c>
      <c r="D3980">
        <f>SUMPRODUCT(Calc!$K$3:$K$22*(Calc!$G$3:$G$22&gt;A3980)*(Calc!$G$3:$G$22&lt;B3980))</f>
        <v/>
      </c>
      <c r="E3980">
        <f>SUMPRODUCT(Calc!$K$3:$K$22*(Calc!$G$3:$G$22&gt;=B3980))</f>
        <v/>
      </c>
      <c r="F3980">
        <f>AND(k_n&gt;=5,B3980&gt;A3980+1E-9,C3980&gt;=2,D3980&gt;=1,E3980&gt;=2)</f>
        <v/>
      </c>
      <c r="G3980">
        <f>SUMPRODUCT(Calc!$K$3:$K$22*(Calc!$G$3:$G$22&gt;A3980)*(Calc!$G$3:$G$22-A3980))</f>
        <v/>
      </c>
      <c r="H3980">
        <f>SUMPRODUCT(Calc!$K$3:$K$22*(Calc!$G$3:$G$22&gt;B3980)*(Calc!$G$3:$G$22-B3980))</f>
        <v/>
      </c>
      <c r="I3980">
        <f>SUMPRODUCT(Calc!$K$3:$K$22*(Calc!$G$3:$G$22&gt;A3980)*(Calc!$G$3:$G$22-A3980)^2)</f>
        <v/>
      </c>
      <c r="J3980">
        <f>SUMPRODUCT(Calc!$K$3:$K$22*(Calc!$G$3:$G$22&gt;B3980)*(Calc!$G$3:$G$22-B3980)^2)</f>
        <v/>
      </c>
      <c r="K3980">
        <f>SUMPRODUCT(Calc!$K$3:$K$22*(Calc!$G$3:$G$22&gt;A3980)*(Calc!$G$3:$G$22-A3980)*(Calc!$G$3:$G$22&gt;B3980)*(Calc!$G$3:$G$22-B3980))</f>
        <v/>
      </c>
      <c r="L3980">
        <f>SUMPRODUCT(Calc!$K$3:$K$22*(Calc!$G$3:$G$22&gt;A3980)*(Calc!$G$3:$G$22-A3980)*Calc!$G$3:$G$22)</f>
        <v/>
      </c>
      <c r="M3980">
        <f>SUMPRODUCT(Calc!$K$3:$K$22*(Calc!$G$3:$G$22&gt;B3980)*(Calc!$G$3:$G$22-B3980)*Calc!$G$3:$G$22)</f>
        <v/>
      </c>
      <c r="N3980">
        <f>SUMPRODUCT(Calc!$K$3:$K$22*(Calc!$G$3:$G$22&gt;A3980)*(Calc!$G$3:$G$22-A3980)*Calc!$I$3:$I$22)</f>
        <v/>
      </c>
      <c r="O3980">
        <f>SUMPRODUCT(Calc!$K$3:$K$22*(Calc!$G$3:$G$22&gt;B3980)*(Calc!$G$3:$G$22-B3980)*Calc!$I$3:$I$22)</f>
        <v/>
      </c>
      <c r="P3980">
        <f>I3980-G3980^2/k_n</f>
        <v/>
      </c>
      <c r="Q3980">
        <f>J3980-H3980^2/k_n</f>
        <v/>
      </c>
      <c r="R3980">
        <f>K3980-G3980*H3980/k_n</f>
        <v/>
      </c>
      <c r="S3980">
        <f>L3980-LTP3!$D$3*G3980/k_n</f>
        <v/>
      </c>
      <c r="T3980">
        <f>M3980-LTP3!$D$3*H3980/k_n</f>
        <v/>
      </c>
      <c r="U3980">
        <f>N3980-G3980*LTP3!$D$4/k_n</f>
        <v/>
      </c>
      <c r="V3980">
        <f>O3980-H3980*LTP3!$D$4/k_n</f>
        <v/>
      </c>
      <c r="W3980">
        <f>((LTP3!$D$5)*((P3980)*(Q3980)-(R3980)*(R3980))-(S3980)*((S3980)*(Q3980)-(R3980)*(T3980))+(T3980)*((S3980)*(R3980)-(P3980)*(T3980)))</f>
        <v/>
      </c>
      <c r="X3980">
        <f>IF(ABS(W3980)&gt;1E-12,((LTP3!$D$6)*((P3980)*(Q3980)-(R3980)*(R3980))-(S3980)*((U3980)*(Q3980)-(R3980)*(V3980))+(T3980)*((U3980)*(R3980)-(P3980)*(V3980)))/W3980,0)</f>
        <v/>
      </c>
      <c r="Y3980">
        <f>IF(ABS(W3980)&gt;1E-12,((LTP3!$D$5)*((U3980)*(Q3980)-(R3980)*(V3980))-(LTP3!$D$6)*((S3980)*(Q3980)-(R3980)*(T3980))+(T3980)*((S3980)*(V3980)-(U3980)*(T3980)))/W3980,0)</f>
        <v/>
      </c>
      <c r="Z3980">
        <f>IF(ABS(W3980)&gt;1E-12,((LTP3!$D$5)*((P3980)*(V3980)-(U3980)*(R3980))-(S3980)*((S3980)*(V3980)-(U3980)*(T3980))+(LTP3!$D$6)*((S3980)*(R3980)-(P3980)*(T3980)))/W3980,0)</f>
        <v/>
      </c>
      <c r="AA3980">
        <f>LTP3!$D$7-X3980*LTP3!$D$6-Y3980*U3980-Z3980*V3980</f>
        <v/>
      </c>
      <c r="AB3980">
        <f>IF(AND(F3980,ABS(W3980)&gt;1E-12,Y3980&gt;0,Z3980&gt;0),AA3980,1E+300)</f>
        <v/>
      </c>
    </row>
    <row r="3981">
      <c r="A3981">
        <f>$I$3-$B$5+$B$5*11/10</f>
        <v/>
      </c>
      <c r="B3981">
        <f>$J$3-$B$5+$B$5*14/10</f>
        <v/>
      </c>
      <c r="C3981">
        <f>SUMPRODUCT(Calc!$K$3:$K$22*(Calc!$G$3:$G$22&lt;=A3981))</f>
        <v/>
      </c>
      <c r="D3981">
        <f>SUMPRODUCT(Calc!$K$3:$K$22*(Calc!$G$3:$G$22&gt;A3981)*(Calc!$G$3:$G$22&lt;B3981))</f>
        <v/>
      </c>
      <c r="E3981">
        <f>SUMPRODUCT(Calc!$K$3:$K$22*(Calc!$G$3:$G$22&gt;=B3981))</f>
        <v/>
      </c>
      <c r="F3981">
        <f>AND(k_n&gt;=5,B3981&gt;A3981+1E-9,C3981&gt;=2,D3981&gt;=1,E3981&gt;=2)</f>
        <v/>
      </c>
      <c r="G3981">
        <f>SUMPRODUCT(Calc!$K$3:$K$22*(Calc!$G$3:$G$22&gt;A3981)*(Calc!$G$3:$G$22-A3981))</f>
        <v/>
      </c>
      <c r="H3981">
        <f>SUMPRODUCT(Calc!$K$3:$K$22*(Calc!$G$3:$G$22&gt;B3981)*(Calc!$G$3:$G$22-B3981))</f>
        <v/>
      </c>
      <c r="I3981">
        <f>SUMPRODUCT(Calc!$K$3:$K$22*(Calc!$G$3:$G$22&gt;A3981)*(Calc!$G$3:$G$22-A3981)^2)</f>
        <v/>
      </c>
      <c r="J3981">
        <f>SUMPRODUCT(Calc!$K$3:$K$22*(Calc!$G$3:$G$22&gt;B3981)*(Calc!$G$3:$G$22-B3981)^2)</f>
        <v/>
      </c>
      <c r="K3981">
        <f>SUMPRODUCT(Calc!$K$3:$K$22*(Calc!$G$3:$G$22&gt;A3981)*(Calc!$G$3:$G$22-A3981)*(Calc!$G$3:$G$22&gt;B3981)*(Calc!$G$3:$G$22-B3981))</f>
        <v/>
      </c>
      <c r="L3981">
        <f>SUMPRODUCT(Calc!$K$3:$K$22*(Calc!$G$3:$G$22&gt;A3981)*(Calc!$G$3:$G$22-A3981)*Calc!$G$3:$G$22)</f>
        <v/>
      </c>
      <c r="M3981">
        <f>SUMPRODUCT(Calc!$K$3:$K$22*(Calc!$G$3:$G$22&gt;B3981)*(Calc!$G$3:$G$22-B3981)*Calc!$G$3:$G$22)</f>
        <v/>
      </c>
      <c r="N3981">
        <f>SUMPRODUCT(Calc!$K$3:$K$22*(Calc!$G$3:$G$22&gt;A3981)*(Calc!$G$3:$G$22-A3981)*Calc!$I$3:$I$22)</f>
        <v/>
      </c>
      <c r="O3981">
        <f>SUMPRODUCT(Calc!$K$3:$K$22*(Calc!$G$3:$G$22&gt;B3981)*(Calc!$G$3:$G$22-B3981)*Calc!$I$3:$I$22)</f>
        <v/>
      </c>
      <c r="P3981">
        <f>I3981-G3981^2/k_n</f>
        <v/>
      </c>
      <c r="Q3981">
        <f>J3981-H3981^2/k_n</f>
        <v/>
      </c>
      <c r="R3981">
        <f>K3981-G3981*H3981/k_n</f>
        <v/>
      </c>
      <c r="S3981">
        <f>L3981-LTP3!$D$3*G3981/k_n</f>
        <v/>
      </c>
      <c r="T3981">
        <f>M3981-LTP3!$D$3*H3981/k_n</f>
        <v/>
      </c>
      <c r="U3981">
        <f>N3981-G3981*LTP3!$D$4/k_n</f>
        <v/>
      </c>
      <c r="V3981">
        <f>O3981-H3981*LTP3!$D$4/k_n</f>
        <v/>
      </c>
      <c r="W3981">
        <f>((LTP3!$D$5)*((P3981)*(Q3981)-(R3981)*(R3981))-(S3981)*((S3981)*(Q3981)-(R3981)*(T3981))+(T3981)*((S3981)*(R3981)-(P3981)*(T3981)))</f>
        <v/>
      </c>
      <c r="X3981">
        <f>IF(ABS(W3981)&gt;1E-12,((LTP3!$D$6)*((P3981)*(Q3981)-(R3981)*(R3981))-(S3981)*((U3981)*(Q3981)-(R3981)*(V3981))+(T3981)*((U3981)*(R3981)-(P3981)*(V3981)))/W3981,0)</f>
        <v/>
      </c>
      <c r="Y3981">
        <f>IF(ABS(W3981)&gt;1E-12,((LTP3!$D$5)*((U3981)*(Q3981)-(R3981)*(V3981))-(LTP3!$D$6)*((S3981)*(Q3981)-(R3981)*(T3981))+(T3981)*((S3981)*(V3981)-(U3981)*(T3981)))/W3981,0)</f>
        <v/>
      </c>
      <c r="Z3981">
        <f>IF(ABS(W3981)&gt;1E-12,((LTP3!$D$5)*((P3981)*(V3981)-(U3981)*(R3981))-(S3981)*((S3981)*(V3981)-(U3981)*(T3981))+(LTP3!$D$6)*((S3981)*(R3981)-(P3981)*(T3981)))/W3981,0)</f>
        <v/>
      </c>
      <c r="AA3981">
        <f>LTP3!$D$7-X3981*LTP3!$D$6-Y3981*U3981-Z3981*V3981</f>
        <v/>
      </c>
      <c r="AB3981">
        <f>IF(AND(F3981,ABS(W3981)&gt;1E-12,Y3981&gt;0,Z3981&gt;0),AA3981,1E+300)</f>
        <v/>
      </c>
    </row>
    <row r="3982">
      <c r="A3982">
        <f>$I$3-$B$5+$B$5*11/10</f>
        <v/>
      </c>
      <c r="B3982">
        <f>$J$3-$B$5+$B$5*15/10</f>
        <v/>
      </c>
      <c r="C3982">
        <f>SUMPRODUCT(Calc!$K$3:$K$22*(Calc!$G$3:$G$22&lt;=A3982))</f>
        <v/>
      </c>
      <c r="D3982">
        <f>SUMPRODUCT(Calc!$K$3:$K$22*(Calc!$G$3:$G$22&gt;A3982)*(Calc!$G$3:$G$22&lt;B3982))</f>
        <v/>
      </c>
      <c r="E3982">
        <f>SUMPRODUCT(Calc!$K$3:$K$22*(Calc!$G$3:$G$22&gt;=B3982))</f>
        <v/>
      </c>
      <c r="F3982">
        <f>AND(k_n&gt;=5,B3982&gt;A3982+1E-9,C3982&gt;=2,D3982&gt;=1,E3982&gt;=2)</f>
        <v/>
      </c>
      <c r="G3982">
        <f>SUMPRODUCT(Calc!$K$3:$K$22*(Calc!$G$3:$G$22&gt;A3982)*(Calc!$G$3:$G$22-A3982))</f>
        <v/>
      </c>
      <c r="H3982">
        <f>SUMPRODUCT(Calc!$K$3:$K$22*(Calc!$G$3:$G$22&gt;B3982)*(Calc!$G$3:$G$22-B3982))</f>
        <v/>
      </c>
      <c r="I3982">
        <f>SUMPRODUCT(Calc!$K$3:$K$22*(Calc!$G$3:$G$22&gt;A3982)*(Calc!$G$3:$G$22-A3982)^2)</f>
        <v/>
      </c>
      <c r="J3982">
        <f>SUMPRODUCT(Calc!$K$3:$K$22*(Calc!$G$3:$G$22&gt;B3982)*(Calc!$G$3:$G$22-B3982)^2)</f>
        <v/>
      </c>
      <c r="K3982">
        <f>SUMPRODUCT(Calc!$K$3:$K$22*(Calc!$G$3:$G$22&gt;A3982)*(Calc!$G$3:$G$22-A3982)*(Calc!$G$3:$G$22&gt;B3982)*(Calc!$G$3:$G$22-B3982))</f>
        <v/>
      </c>
      <c r="L3982">
        <f>SUMPRODUCT(Calc!$K$3:$K$22*(Calc!$G$3:$G$22&gt;A3982)*(Calc!$G$3:$G$22-A3982)*Calc!$G$3:$G$22)</f>
        <v/>
      </c>
      <c r="M3982">
        <f>SUMPRODUCT(Calc!$K$3:$K$22*(Calc!$G$3:$G$22&gt;B3982)*(Calc!$G$3:$G$22-B3982)*Calc!$G$3:$G$22)</f>
        <v/>
      </c>
      <c r="N3982">
        <f>SUMPRODUCT(Calc!$K$3:$K$22*(Calc!$G$3:$G$22&gt;A3982)*(Calc!$G$3:$G$22-A3982)*Calc!$I$3:$I$22)</f>
        <v/>
      </c>
      <c r="O3982">
        <f>SUMPRODUCT(Calc!$K$3:$K$22*(Calc!$G$3:$G$22&gt;B3982)*(Calc!$G$3:$G$22-B3982)*Calc!$I$3:$I$22)</f>
        <v/>
      </c>
      <c r="P3982">
        <f>I3982-G3982^2/k_n</f>
        <v/>
      </c>
      <c r="Q3982">
        <f>J3982-H3982^2/k_n</f>
        <v/>
      </c>
      <c r="R3982">
        <f>K3982-G3982*H3982/k_n</f>
        <v/>
      </c>
      <c r="S3982">
        <f>L3982-LTP3!$D$3*G3982/k_n</f>
        <v/>
      </c>
      <c r="T3982">
        <f>M3982-LTP3!$D$3*H3982/k_n</f>
        <v/>
      </c>
      <c r="U3982">
        <f>N3982-G3982*LTP3!$D$4/k_n</f>
        <v/>
      </c>
      <c r="V3982">
        <f>O3982-H3982*LTP3!$D$4/k_n</f>
        <v/>
      </c>
      <c r="W3982">
        <f>((LTP3!$D$5)*((P3982)*(Q3982)-(R3982)*(R3982))-(S3982)*((S3982)*(Q3982)-(R3982)*(T3982))+(T3982)*((S3982)*(R3982)-(P3982)*(T3982)))</f>
        <v/>
      </c>
      <c r="X3982">
        <f>IF(ABS(W3982)&gt;1E-12,((LTP3!$D$6)*((P3982)*(Q3982)-(R3982)*(R3982))-(S3982)*((U3982)*(Q3982)-(R3982)*(V3982))+(T3982)*((U3982)*(R3982)-(P3982)*(V3982)))/W3982,0)</f>
        <v/>
      </c>
      <c r="Y3982">
        <f>IF(ABS(W3982)&gt;1E-12,((LTP3!$D$5)*((U3982)*(Q3982)-(R3982)*(V3982))-(LTP3!$D$6)*((S3982)*(Q3982)-(R3982)*(T3982))+(T3982)*((S3982)*(V3982)-(U3982)*(T3982)))/W3982,0)</f>
        <v/>
      </c>
      <c r="Z3982">
        <f>IF(ABS(W3982)&gt;1E-12,((LTP3!$D$5)*((P3982)*(V3982)-(U3982)*(R3982))-(S3982)*((S3982)*(V3982)-(U3982)*(T3982))+(LTP3!$D$6)*((S3982)*(R3982)-(P3982)*(T3982)))/W3982,0)</f>
        <v/>
      </c>
      <c r="AA3982">
        <f>LTP3!$D$7-X3982*LTP3!$D$6-Y3982*U3982-Z3982*V3982</f>
        <v/>
      </c>
      <c r="AB3982">
        <f>IF(AND(F3982,ABS(W3982)&gt;1E-12,Y3982&gt;0,Z3982&gt;0),AA3982,1E+300)</f>
        <v/>
      </c>
    </row>
    <row r="3983">
      <c r="A3983">
        <f>$I$3-$B$5+$B$5*11/10</f>
        <v/>
      </c>
      <c r="B3983">
        <f>$J$3-$B$5+$B$5*16/10</f>
        <v/>
      </c>
      <c r="C3983">
        <f>SUMPRODUCT(Calc!$K$3:$K$22*(Calc!$G$3:$G$22&lt;=A3983))</f>
        <v/>
      </c>
      <c r="D3983">
        <f>SUMPRODUCT(Calc!$K$3:$K$22*(Calc!$G$3:$G$22&gt;A3983)*(Calc!$G$3:$G$22&lt;B3983))</f>
        <v/>
      </c>
      <c r="E3983">
        <f>SUMPRODUCT(Calc!$K$3:$K$22*(Calc!$G$3:$G$22&gt;=B3983))</f>
        <v/>
      </c>
      <c r="F3983">
        <f>AND(k_n&gt;=5,B3983&gt;A3983+1E-9,C3983&gt;=2,D3983&gt;=1,E3983&gt;=2)</f>
        <v/>
      </c>
      <c r="G3983">
        <f>SUMPRODUCT(Calc!$K$3:$K$22*(Calc!$G$3:$G$22&gt;A3983)*(Calc!$G$3:$G$22-A3983))</f>
        <v/>
      </c>
      <c r="H3983">
        <f>SUMPRODUCT(Calc!$K$3:$K$22*(Calc!$G$3:$G$22&gt;B3983)*(Calc!$G$3:$G$22-B3983))</f>
        <v/>
      </c>
      <c r="I3983">
        <f>SUMPRODUCT(Calc!$K$3:$K$22*(Calc!$G$3:$G$22&gt;A3983)*(Calc!$G$3:$G$22-A3983)^2)</f>
        <v/>
      </c>
      <c r="J3983">
        <f>SUMPRODUCT(Calc!$K$3:$K$22*(Calc!$G$3:$G$22&gt;B3983)*(Calc!$G$3:$G$22-B3983)^2)</f>
        <v/>
      </c>
      <c r="K3983">
        <f>SUMPRODUCT(Calc!$K$3:$K$22*(Calc!$G$3:$G$22&gt;A3983)*(Calc!$G$3:$G$22-A3983)*(Calc!$G$3:$G$22&gt;B3983)*(Calc!$G$3:$G$22-B3983))</f>
        <v/>
      </c>
      <c r="L3983">
        <f>SUMPRODUCT(Calc!$K$3:$K$22*(Calc!$G$3:$G$22&gt;A3983)*(Calc!$G$3:$G$22-A3983)*Calc!$G$3:$G$22)</f>
        <v/>
      </c>
      <c r="M3983">
        <f>SUMPRODUCT(Calc!$K$3:$K$22*(Calc!$G$3:$G$22&gt;B3983)*(Calc!$G$3:$G$22-B3983)*Calc!$G$3:$G$22)</f>
        <v/>
      </c>
      <c r="N3983">
        <f>SUMPRODUCT(Calc!$K$3:$K$22*(Calc!$G$3:$G$22&gt;A3983)*(Calc!$G$3:$G$22-A3983)*Calc!$I$3:$I$22)</f>
        <v/>
      </c>
      <c r="O3983">
        <f>SUMPRODUCT(Calc!$K$3:$K$22*(Calc!$G$3:$G$22&gt;B3983)*(Calc!$G$3:$G$22-B3983)*Calc!$I$3:$I$22)</f>
        <v/>
      </c>
      <c r="P3983">
        <f>I3983-G3983^2/k_n</f>
        <v/>
      </c>
      <c r="Q3983">
        <f>J3983-H3983^2/k_n</f>
        <v/>
      </c>
      <c r="R3983">
        <f>K3983-G3983*H3983/k_n</f>
        <v/>
      </c>
      <c r="S3983">
        <f>L3983-LTP3!$D$3*G3983/k_n</f>
        <v/>
      </c>
      <c r="T3983">
        <f>M3983-LTP3!$D$3*H3983/k_n</f>
        <v/>
      </c>
      <c r="U3983">
        <f>N3983-G3983*LTP3!$D$4/k_n</f>
        <v/>
      </c>
      <c r="V3983">
        <f>O3983-H3983*LTP3!$D$4/k_n</f>
        <v/>
      </c>
      <c r="W3983">
        <f>((LTP3!$D$5)*((P3983)*(Q3983)-(R3983)*(R3983))-(S3983)*((S3983)*(Q3983)-(R3983)*(T3983))+(T3983)*((S3983)*(R3983)-(P3983)*(T3983)))</f>
        <v/>
      </c>
      <c r="X3983">
        <f>IF(ABS(W3983)&gt;1E-12,((LTP3!$D$6)*((P3983)*(Q3983)-(R3983)*(R3983))-(S3983)*((U3983)*(Q3983)-(R3983)*(V3983))+(T3983)*((U3983)*(R3983)-(P3983)*(V3983)))/W3983,0)</f>
        <v/>
      </c>
      <c r="Y3983">
        <f>IF(ABS(W3983)&gt;1E-12,((LTP3!$D$5)*((U3983)*(Q3983)-(R3983)*(V3983))-(LTP3!$D$6)*((S3983)*(Q3983)-(R3983)*(T3983))+(T3983)*((S3983)*(V3983)-(U3983)*(T3983)))/W3983,0)</f>
        <v/>
      </c>
      <c r="Z3983">
        <f>IF(ABS(W3983)&gt;1E-12,((LTP3!$D$5)*((P3983)*(V3983)-(U3983)*(R3983))-(S3983)*((S3983)*(V3983)-(U3983)*(T3983))+(LTP3!$D$6)*((S3983)*(R3983)-(P3983)*(T3983)))/W3983,0)</f>
        <v/>
      </c>
      <c r="AA3983">
        <f>LTP3!$D$7-X3983*LTP3!$D$6-Y3983*U3983-Z3983*V3983</f>
        <v/>
      </c>
      <c r="AB3983">
        <f>IF(AND(F3983,ABS(W3983)&gt;1E-12,Y3983&gt;0,Z3983&gt;0),AA3983,1E+300)</f>
        <v/>
      </c>
    </row>
    <row r="3984">
      <c r="A3984">
        <f>$I$3-$B$5+$B$5*11/10</f>
        <v/>
      </c>
      <c r="B3984">
        <f>$J$3-$B$5+$B$5*17/10</f>
        <v/>
      </c>
      <c r="C3984">
        <f>SUMPRODUCT(Calc!$K$3:$K$22*(Calc!$G$3:$G$22&lt;=A3984))</f>
        <v/>
      </c>
      <c r="D3984">
        <f>SUMPRODUCT(Calc!$K$3:$K$22*(Calc!$G$3:$G$22&gt;A3984)*(Calc!$G$3:$G$22&lt;B3984))</f>
        <v/>
      </c>
      <c r="E3984">
        <f>SUMPRODUCT(Calc!$K$3:$K$22*(Calc!$G$3:$G$22&gt;=B3984))</f>
        <v/>
      </c>
      <c r="F3984">
        <f>AND(k_n&gt;=5,B3984&gt;A3984+1E-9,C3984&gt;=2,D3984&gt;=1,E3984&gt;=2)</f>
        <v/>
      </c>
      <c r="G3984">
        <f>SUMPRODUCT(Calc!$K$3:$K$22*(Calc!$G$3:$G$22&gt;A3984)*(Calc!$G$3:$G$22-A3984))</f>
        <v/>
      </c>
      <c r="H3984">
        <f>SUMPRODUCT(Calc!$K$3:$K$22*(Calc!$G$3:$G$22&gt;B3984)*(Calc!$G$3:$G$22-B3984))</f>
        <v/>
      </c>
      <c r="I3984">
        <f>SUMPRODUCT(Calc!$K$3:$K$22*(Calc!$G$3:$G$22&gt;A3984)*(Calc!$G$3:$G$22-A3984)^2)</f>
        <v/>
      </c>
      <c r="J3984">
        <f>SUMPRODUCT(Calc!$K$3:$K$22*(Calc!$G$3:$G$22&gt;B3984)*(Calc!$G$3:$G$22-B3984)^2)</f>
        <v/>
      </c>
      <c r="K3984">
        <f>SUMPRODUCT(Calc!$K$3:$K$22*(Calc!$G$3:$G$22&gt;A3984)*(Calc!$G$3:$G$22-A3984)*(Calc!$G$3:$G$22&gt;B3984)*(Calc!$G$3:$G$22-B3984))</f>
        <v/>
      </c>
      <c r="L3984">
        <f>SUMPRODUCT(Calc!$K$3:$K$22*(Calc!$G$3:$G$22&gt;A3984)*(Calc!$G$3:$G$22-A3984)*Calc!$G$3:$G$22)</f>
        <v/>
      </c>
      <c r="M3984">
        <f>SUMPRODUCT(Calc!$K$3:$K$22*(Calc!$G$3:$G$22&gt;B3984)*(Calc!$G$3:$G$22-B3984)*Calc!$G$3:$G$22)</f>
        <v/>
      </c>
      <c r="N3984">
        <f>SUMPRODUCT(Calc!$K$3:$K$22*(Calc!$G$3:$G$22&gt;A3984)*(Calc!$G$3:$G$22-A3984)*Calc!$I$3:$I$22)</f>
        <v/>
      </c>
      <c r="O3984">
        <f>SUMPRODUCT(Calc!$K$3:$K$22*(Calc!$G$3:$G$22&gt;B3984)*(Calc!$G$3:$G$22-B3984)*Calc!$I$3:$I$22)</f>
        <v/>
      </c>
      <c r="P3984">
        <f>I3984-G3984^2/k_n</f>
        <v/>
      </c>
      <c r="Q3984">
        <f>J3984-H3984^2/k_n</f>
        <v/>
      </c>
      <c r="R3984">
        <f>K3984-G3984*H3984/k_n</f>
        <v/>
      </c>
      <c r="S3984">
        <f>L3984-LTP3!$D$3*G3984/k_n</f>
        <v/>
      </c>
      <c r="T3984">
        <f>M3984-LTP3!$D$3*H3984/k_n</f>
        <v/>
      </c>
      <c r="U3984">
        <f>N3984-G3984*LTP3!$D$4/k_n</f>
        <v/>
      </c>
      <c r="V3984">
        <f>O3984-H3984*LTP3!$D$4/k_n</f>
        <v/>
      </c>
      <c r="W3984">
        <f>((LTP3!$D$5)*((P3984)*(Q3984)-(R3984)*(R3984))-(S3984)*((S3984)*(Q3984)-(R3984)*(T3984))+(T3984)*((S3984)*(R3984)-(P3984)*(T3984)))</f>
        <v/>
      </c>
      <c r="X3984">
        <f>IF(ABS(W3984)&gt;1E-12,((LTP3!$D$6)*((P3984)*(Q3984)-(R3984)*(R3984))-(S3984)*((U3984)*(Q3984)-(R3984)*(V3984))+(T3984)*((U3984)*(R3984)-(P3984)*(V3984)))/W3984,0)</f>
        <v/>
      </c>
      <c r="Y3984">
        <f>IF(ABS(W3984)&gt;1E-12,((LTP3!$D$5)*((U3984)*(Q3984)-(R3984)*(V3984))-(LTP3!$D$6)*((S3984)*(Q3984)-(R3984)*(T3984))+(T3984)*((S3984)*(V3984)-(U3984)*(T3984)))/W3984,0)</f>
        <v/>
      </c>
      <c r="Z3984">
        <f>IF(ABS(W3984)&gt;1E-12,((LTP3!$D$5)*((P3984)*(V3984)-(U3984)*(R3984))-(S3984)*((S3984)*(V3984)-(U3984)*(T3984))+(LTP3!$D$6)*((S3984)*(R3984)-(P3984)*(T3984)))/W3984,0)</f>
        <v/>
      </c>
      <c r="AA3984">
        <f>LTP3!$D$7-X3984*LTP3!$D$6-Y3984*U3984-Z3984*V3984</f>
        <v/>
      </c>
      <c r="AB3984">
        <f>IF(AND(F3984,ABS(W3984)&gt;1E-12,Y3984&gt;0,Z3984&gt;0),AA3984,1E+300)</f>
        <v/>
      </c>
    </row>
    <row r="3985">
      <c r="A3985">
        <f>$I$3-$B$5+$B$5*11/10</f>
        <v/>
      </c>
      <c r="B3985">
        <f>$J$3-$B$5+$B$5*18/10</f>
        <v/>
      </c>
      <c r="C3985">
        <f>SUMPRODUCT(Calc!$K$3:$K$22*(Calc!$G$3:$G$22&lt;=A3985))</f>
        <v/>
      </c>
      <c r="D3985">
        <f>SUMPRODUCT(Calc!$K$3:$K$22*(Calc!$G$3:$G$22&gt;A3985)*(Calc!$G$3:$G$22&lt;B3985))</f>
        <v/>
      </c>
      <c r="E3985">
        <f>SUMPRODUCT(Calc!$K$3:$K$22*(Calc!$G$3:$G$22&gt;=B3985))</f>
        <v/>
      </c>
      <c r="F3985">
        <f>AND(k_n&gt;=5,B3985&gt;A3985+1E-9,C3985&gt;=2,D3985&gt;=1,E3985&gt;=2)</f>
        <v/>
      </c>
      <c r="G3985">
        <f>SUMPRODUCT(Calc!$K$3:$K$22*(Calc!$G$3:$G$22&gt;A3985)*(Calc!$G$3:$G$22-A3985))</f>
        <v/>
      </c>
      <c r="H3985">
        <f>SUMPRODUCT(Calc!$K$3:$K$22*(Calc!$G$3:$G$22&gt;B3985)*(Calc!$G$3:$G$22-B3985))</f>
        <v/>
      </c>
      <c r="I3985">
        <f>SUMPRODUCT(Calc!$K$3:$K$22*(Calc!$G$3:$G$22&gt;A3985)*(Calc!$G$3:$G$22-A3985)^2)</f>
        <v/>
      </c>
      <c r="J3985">
        <f>SUMPRODUCT(Calc!$K$3:$K$22*(Calc!$G$3:$G$22&gt;B3985)*(Calc!$G$3:$G$22-B3985)^2)</f>
        <v/>
      </c>
      <c r="K3985">
        <f>SUMPRODUCT(Calc!$K$3:$K$22*(Calc!$G$3:$G$22&gt;A3985)*(Calc!$G$3:$G$22-A3985)*(Calc!$G$3:$G$22&gt;B3985)*(Calc!$G$3:$G$22-B3985))</f>
        <v/>
      </c>
      <c r="L3985">
        <f>SUMPRODUCT(Calc!$K$3:$K$22*(Calc!$G$3:$G$22&gt;A3985)*(Calc!$G$3:$G$22-A3985)*Calc!$G$3:$G$22)</f>
        <v/>
      </c>
      <c r="M3985">
        <f>SUMPRODUCT(Calc!$K$3:$K$22*(Calc!$G$3:$G$22&gt;B3985)*(Calc!$G$3:$G$22-B3985)*Calc!$G$3:$G$22)</f>
        <v/>
      </c>
      <c r="N3985">
        <f>SUMPRODUCT(Calc!$K$3:$K$22*(Calc!$G$3:$G$22&gt;A3985)*(Calc!$G$3:$G$22-A3985)*Calc!$I$3:$I$22)</f>
        <v/>
      </c>
      <c r="O3985">
        <f>SUMPRODUCT(Calc!$K$3:$K$22*(Calc!$G$3:$G$22&gt;B3985)*(Calc!$G$3:$G$22-B3985)*Calc!$I$3:$I$22)</f>
        <v/>
      </c>
      <c r="P3985">
        <f>I3985-G3985^2/k_n</f>
        <v/>
      </c>
      <c r="Q3985">
        <f>J3985-H3985^2/k_n</f>
        <v/>
      </c>
      <c r="R3985">
        <f>K3985-G3985*H3985/k_n</f>
        <v/>
      </c>
      <c r="S3985">
        <f>L3985-LTP3!$D$3*G3985/k_n</f>
        <v/>
      </c>
      <c r="T3985">
        <f>M3985-LTP3!$D$3*H3985/k_n</f>
        <v/>
      </c>
      <c r="U3985">
        <f>N3985-G3985*LTP3!$D$4/k_n</f>
        <v/>
      </c>
      <c r="V3985">
        <f>O3985-H3985*LTP3!$D$4/k_n</f>
        <v/>
      </c>
      <c r="W3985">
        <f>((LTP3!$D$5)*((P3985)*(Q3985)-(R3985)*(R3985))-(S3985)*((S3985)*(Q3985)-(R3985)*(T3985))+(T3985)*((S3985)*(R3985)-(P3985)*(T3985)))</f>
        <v/>
      </c>
      <c r="X3985">
        <f>IF(ABS(W3985)&gt;1E-12,((LTP3!$D$6)*((P3985)*(Q3985)-(R3985)*(R3985))-(S3985)*((U3985)*(Q3985)-(R3985)*(V3985))+(T3985)*((U3985)*(R3985)-(P3985)*(V3985)))/W3985,0)</f>
        <v/>
      </c>
      <c r="Y3985">
        <f>IF(ABS(W3985)&gt;1E-12,((LTP3!$D$5)*((U3985)*(Q3985)-(R3985)*(V3985))-(LTP3!$D$6)*((S3985)*(Q3985)-(R3985)*(T3985))+(T3985)*((S3985)*(V3985)-(U3985)*(T3985)))/W3985,0)</f>
        <v/>
      </c>
      <c r="Z3985">
        <f>IF(ABS(W3985)&gt;1E-12,((LTP3!$D$5)*((P3985)*(V3985)-(U3985)*(R3985))-(S3985)*((S3985)*(V3985)-(U3985)*(T3985))+(LTP3!$D$6)*((S3985)*(R3985)-(P3985)*(T3985)))/W3985,0)</f>
        <v/>
      </c>
      <c r="AA3985">
        <f>LTP3!$D$7-X3985*LTP3!$D$6-Y3985*U3985-Z3985*V3985</f>
        <v/>
      </c>
      <c r="AB3985">
        <f>IF(AND(F3985,ABS(W3985)&gt;1E-12,Y3985&gt;0,Z3985&gt;0),AA3985,1E+300)</f>
        <v/>
      </c>
    </row>
    <row r="3986">
      <c r="A3986">
        <f>$I$3-$B$5+$B$5*11/10</f>
        <v/>
      </c>
      <c r="B3986">
        <f>$J$3-$B$5+$B$5*19/10</f>
        <v/>
      </c>
      <c r="C3986">
        <f>SUMPRODUCT(Calc!$K$3:$K$22*(Calc!$G$3:$G$22&lt;=A3986))</f>
        <v/>
      </c>
      <c r="D3986">
        <f>SUMPRODUCT(Calc!$K$3:$K$22*(Calc!$G$3:$G$22&gt;A3986)*(Calc!$G$3:$G$22&lt;B3986))</f>
        <v/>
      </c>
      <c r="E3986">
        <f>SUMPRODUCT(Calc!$K$3:$K$22*(Calc!$G$3:$G$22&gt;=B3986))</f>
        <v/>
      </c>
      <c r="F3986">
        <f>AND(k_n&gt;=5,B3986&gt;A3986+1E-9,C3986&gt;=2,D3986&gt;=1,E3986&gt;=2)</f>
        <v/>
      </c>
      <c r="G3986">
        <f>SUMPRODUCT(Calc!$K$3:$K$22*(Calc!$G$3:$G$22&gt;A3986)*(Calc!$G$3:$G$22-A3986))</f>
        <v/>
      </c>
      <c r="H3986">
        <f>SUMPRODUCT(Calc!$K$3:$K$22*(Calc!$G$3:$G$22&gt;B3986)*(Calc!$G$3:$G$22-B3986))</f>
        <v/>
      </c>
      <c r="I3986">
        <f>SUMPRODUCT(Calc!$K$3:$K$22*(Calc!$G$3:$G$22&gt;A3986)*(Calc!$G$3:$G$22-A3986)^2)</f>
        <v/>
      </c>
      <c r="J3986">
        <f>SUMPRODUCT(Calc!$K$3:$K$22*(Calc!$G$3:$G$22&gt;B3986)*(Calc!$G$3:$G$22-B3986)^2)</f>
        <v/>
      </c>
      <c r="K3986">
        <f>SUMPRODUCT(Calc!$K$3:$K$22*(Calc!$G$3:$G$22&gt;A3986)*(Calc!$G$3:$G$22-A3986)*(Calc!$G$3:$G$22&gt;B3986)*(Calc!$G$3:$G$22-B3986))</f>
        <v/>
      </c>
      <c r="L3986">
        <f>SUMPRODUCT(Calc!$K$3:$K$22*(Calc!$G$3:$G$22&gt;A3986)*(Calc!$G$3:$G$22-A3986)*Calc!$G$3:$G$22)</f>
        <v/>
      </c>
      <c r="M3986">
        <f>SUMPRODUCT(Calc!$K$3:$K$22*(Calc!$G$3:$G$22&gt;B3986)*(Calc!$G$3:$G$22-B3986)*Calc!$G$3:$G$22)</f>
        <v/>
      </c>
      <c r="N3986">
        <f>SUMPRODUCT(Calc!$K$3:$K$22*(Calc!$G$3:$G$22&gt;A3986)*(Calc!$G$3:$G$22-A3986)*Calc!$I$3:$I$22)</f>
        <v/>
      </c>
      <c r="O3986">
        <f>SUMPRODUCT(Calc!$K$3:$K$22*(Calc!$G$3:$G$22&gt;B3986)*(Calc!$G$3:$G$22-B3986)*Calc!$I$3:$I$22)</f>
        <v/>
      </c>
      <c r="P3986">
        <f>I3986-G3986^2/k_n</f>
        <v/>
      </c>
      <c r="Q3986">
        <f>J3986-H3986^2/k_n</f>
        <v/>
      </c>
      <c r="R3986">
        <f>K3986-G3986*H3986/k_n</f>
        <v/>
      </c>
      <c r="S3986">
        <f>L3986-LTP3!$D$3*G3986/k_n</f>
        <v/>
      </c>
      <c r="T3986">
        <f>M3986-LTP3!$D$3*H3986/k_n</f>
        <v/>
      </c>
      <c r="U3986">
        <f>N3986-G3986*LTP3!$D$4/k_n</f>
        <v/>
      </c>
      <c r="V3986">
        <f>O3986-H3986*LTP3!$D$4/k_n</f>
        <v/>
      </c>
      <c r="W3986">
        <f>((LTP3!$D$5)*((P3986)*(Q3986)-(R3986)*(R3986))-(S3986)*((S3986)*(Q3986)-(R3986)*(T3986))+(T3986)*((S3986)*(R3986)-(P3986)*(T3986)))</f>
        <v/>
      </c>
      <c r="X3986">
        <f>IF(ABS(W3986)&gt;1E-12,((LTP3!$D$6)*((P3986)*(Q3986)-(R3986)*(R3986))-(S3986)*((U3986)*(Q3986)-(R3986)*(V3986))+(T3986)*((U3986)*(R3986)-(P3986)*(V3986)))/W3986,0)</f>
        <v/>
      </c>
      <c r="Y3986">
        <f>IF(ABS(W3986)&gt;1E-12,((LTP3!$D$5)*((U3986)*(Q3986)-(R3986)*(V3986))-(LTP3!$D$6)*((S3986)*(Q3986)-(R3986)*(T3986))+(T3986)*((S3986)*(V3986)-(U3986)*(T3986)))/W3986,0)</f>
        <v/>
      </c>
      <c r="Z3986">
        <f>IF(ABS(W3986)&gt;1E-12,((LTP3!$D$5)*((P3986)*(V3986)-(U3986)*(R3986))-(S3986)*((S3986)*(V3986)-(U3986)*(T3986))+(LTP3!$D$6)*((S3986)*(R3986)-(P3986)*(T3986)))/W3986,0)</f>
        <v/>
      </c>
      <c r="AA3986">
        <f>LTP3!$D$7-X3986*LTP3!$D$6-Y3986*U3986-Z3986*V3986</f>
        <v/>
      </c>
      <c r="AB3986">
        <f>IF(AND(F3986,ABS(W3986)&gt;1E-12,Y3986&gt;0,Z3986&gt;0),AA3986,1E+300)</f>
        <v/>
      </c>
    </row>
    <row r="3987">
      <c r="A3987">
        <f>$I$3-$B$5+$B$5*11/10</f>
        <v/>
      </c>
      <c r="B3987">
        <f>$J$3-$B$5+$B$5*20/10</f>
        <v/>
      </c>
      <c r="C3987">
        <f>SUMPRODUCT(Calc!$K$3:$K$22*(Calc!$G$3:$G$22&lt;=A3987))</f>
        <v/>
      </c>
      <c r="D3987">
        <f>SUMPRODUCT(Calc!$K$3:$K$22*(Calc!$G$3:$G$22&gt;A3987)*(Calc!$G$3:$G$22&lt;B3987))</f>
        <v/>
      </c>
      <c r="E3987">
        <f>SUMPRODUCT(Calc!$K$3:$K$22*(Calc!$G$3:$G$22&gt;=B3987))</f>
        <v/>
      </c>
      <c r="F3987">
        <f>AND(k_n&gt;=5,B3987&gt;A3987+1E-9,C3987&gt;=2,D3987&gt;=1,E3987&gt;=2)</f>
        <v/>
      </c>
      <c r="G3987">
        <f>SUMPRODUCT(Calc!$K$3:$K$22*(Calc!$G$3:$G$22&gt;A3987)*(Calc!$G$3:$G$22-A3987))</f>
        <v/>
      </c>
      <c r="H3987">
        <f>SUMPRODUCT(Calc!$K$3:$K$22*(Calc!$G$3:$G$22&gt;B3987)*(Calc!$G$3:$G$22-B3987))</f>
        <v/>
      </c>
      <c r="I3987">
        <f>SUMPRODUCT(Calc!$K$3:$K$22*(Calc!$G$3:$G$22&gt;A3987)*(Calc!$G$3:$G$22-A3987)^2)</f>
        <v/>
      </c>
      <c r="J3987">
        <f>SUMPRODUCT(Calc!$K$3:$K$22*(Calc!$G$3:$G$22&gt;B3987)*(Calc!$G$3:$G$22-B3987)^2)</f>
        <v/>
      </c>
      <c r="K3987">
        <f>SUMPRODUCT(Calc!$K$3:$K$22*(Calc!$G$3:$G$22&gt;A3987)*(Calc!$G$3:$G$22-A3987)*(Calc!$G$3:$G$22&gt;B3987)*(Calc!$G$3:$G$22-B3987))</f>
        <v/>
      </c>
      <c r="L3987">
        <f>SUMPRODUCT(Calc!$K$3:$K$22*(Calc!$G$3:$G$22&gt;A3987)*(Calc!$G$3:$G$22-A3987)*Calc!$G$3:$G$22)</f>
        <v/>
      </c>
      <c r="M3987">
        <f>SUMPRODUCT(Calc!$K$3:$K$22*(Calc!$G$3:$G$22&gt;B3987)*(Calc!$G$3:$G$22-B3987)*Calc!$G$3:$G$22)</f>
        <v/>
      </c>
      <c r="N3987">
        <f>SUMPRODUCT(Calc!$K$3:$K$22*(Calc!$G$3:$G$22&gt;A3987)*(Calc!$G$3:$G$22-A3987)*Calc!$I$3:$I$22)</f>
        <v/>
      </c>
      <c r="O3987">
        <f>SUMPRODUCT(Calc!$K$3:$K$22*(Calc!$G$3:$G$22&gt;B3987)*(Calc!$G$3:$G$22-B3987)*Calc!$I$3:$I$22)</f>
        <v/>
      </c>
      <c r="P3987">
        <f>I3987-G3987^2/k_n</f>
        <v/>
      </c>
      <c r="Q3987">
        <f>J3987-H3987^2/k_n</f>
        <v/>
      </c>
      <c r="R3987">
        <f>K3987-G3987*H3987/k_n</f>
        <v/>
      </c>
      <c r="S3987">
        <f>L3987-LTP3!$D$3*G3987/k_n</f>
        <v/>
      </c>
      <c r="T3987">
        <f>M3987-LTP3!$D$3*H3987/k_n</f>
        <v/>
      </c>
      <c r="U3987">
        <f>N3987-G3987*LTP3!$D$4/k_n</f>
        <v/>
      </c>
      <c r="V3987">
        <f>O3987-H3987*LTP3!$D$4/k_n</f>
        <v/>
      </c>
      <c r="W3987">
        <f>((LTP3!$D$5)*((P3987)*(Q3987)-(R3987)*(R3987))-(S3987)*((S3987)*(Q3987)-(R3987)*(T3987))+(T3987)*((S3987)*(R3987)-(P3987)*(T3987)))</f>
        <v/>
      </c>
      <c r="X3987">
        <f>IF(ABS(W3987)&gt;1E-12,((LTP3!$D$6)*((P3987)*(Q3987)-(R3987)*(R3987))-(S3987)*((U3987)*(Q3987)-(R3987)*(V3987))+(T3987)*((U3987)*(R3987)-(P3987)*(V3987)))/W3987,0)</f>
        <v/>
      </c>
      <c r="Y3987">
        <f>IF(ABS(W3987)&gt;1E-12,((LTP3!$D$5)*((U3987)*(Q3987)-(R3987)*(V3987))-(LTP3!$D$6)*((S3987)*(Q3987)-(R3987)*(T3987))+(T3987)*((S3987)*(V3987)-(U3987)*(T3987)))/W3987,0)</f>
        <v/>
      </c>
      <c r="Z3987">
        <f>IF(ABS(W3987)&gt;1E-12,((LTP3!$D$5)*((P3987)*(V3987)-(U3987)*(R3987))-(S3987)*((S3987)*(V3987)-(U3987)*(T3987))+(LTP3!$D$6)*((S3987)*(R3987)-(P3987)*(T3987)))/W3987,0)</f>
        <v/>
      </c>
      <c r="AA3987">
        <f>LTP3!$D$7-X3987*LTP3!$D$6-Y3987*U3987-Z3987*V3987</f>
        <v/>
      </c>
      <c r="AB3987">
        <f>IF(AND(F3987,ABS(W3987)&gt;1E-12,Y3987&gt;0,Z3987&gt;0),AA3987,1E+300)</f>
        <v/>
      </c>
    </row>
    <row r="3988">
      <c r="A3988">
        <f>$I$3-$B$5+$B$5*12/10</f>
        <v/>
      </c>
      <c r="B3988">
        <f>$J$3-$B$5+$B$5*0/10</f>
        <v/>
      </c>
      <c r="C3988">
        <f>SUMPRODUCT(Calc!$K$3:$K$22*(Calc!$G$3:$G$22&lt;=A3988))</f>
        <v/>
      </c>
      <c r="D3988">
        <f>SUMPRODUCT(Calc!$K$3:$K$22*(Calc!$G$3:$G$22&gt;A3988)*(Calc!$G$3:$G$22&lt;B3988))</f>
        <v/>
      </c>
      <c r="E3988">
        <f>SUMPRODUCT(Calc!$K$3:$K$22*(Calc!$G$3:$G$22&gt;=B3988))</f>
        <v/>
      </c>
      <c r="F3988">
        <f>AND(k_n&gt;=5,B3988&gt;A3988+1E-9,C3988&gt;=2,D3988&gt;=1,E3988&gt;=2)</f>
        <v/>
      </c>
      <c r="G3988">
        <f>SUMPRODUCT(Calc!$K$3:$K$22*(Calc!$G$3:$G$22&gt;A3988)*(Calc!$G$3:$G$22-A3988))</f>
        <v/>
      </c>
      <c r="H3988">
        <f>SUMPRODUCT(Calc!$K$3:$K$22*(Calc!$G$3:$G$22&gt;B3988)*(Calc!$G$3:$G$22-B3988))</f>
        <v/>
      </c>
      <c r="I3988">
        <f>SUMPRODUCT(Calc!$K$3:$K$22*(Calc!$G$3:$G$22&gt;A3988)*(Calc!$G$3:$G$22-A3988)^2)</f>
        <v/>
      </c>
      <c r="J3988">
        <f>SUMPRODUCT(Calc!$K$3:$K$22*(Calc!$G$3:$G$22&gt;B3988)*(Calc!$G$3:$G$22-B3988)^2)</f>
        <v/>
      </c>
      <c r="K3988">
        <f>SUMPRODUCT(Calc!$K$3:$K$22*(Calc!$G$3:$G$22&gt;A3988)*(Calc!$G$3:$G$22-A3988)*(Calc!$G$3:$G$22&gt;B3988)*(Calc!$G$3:$G$22-B3988))</f>
        <v/>
      </c>
      <c r="L3988">
        <f>SUMPRODUCT(Calc!$K$3:$K$22*(Calc!$G$3:$G$22&gt;A3988)*(Calc!$G$3:$G$22-A3988)*Calc!$G$3:$G$22)</f>
        <v/>
      </c>
      <c r="M3988">
        <f>SUMPRODUCT(Calc!$K$3:$K$22*(Calc!$G$3:$G$22&gt;B3988)*(Calc!$G$3:$G$22-B3988)*Calc!$G$3:$G$22)</f>
        <v/>
      </c>
      <c r="N3988">
        <f>SUMPRODUCT(Calc!$K$3:$K$22*(Calc!$G$3:$G$22&gt;A3988)*(Calc!$G$3:$G$22-A3988)*Calc!$I$3:$I$22)</f>
        <v/>
      </c>
      <c r="O3988">
        <f>SUMPRODUCT(Calc!$K$3:$K$22*(Calc!$G$3:$G$22&gt;B3988)*(Calc!$G$3:$G$22-B3988)*Calc!$I$3:$I$22)</f>
        <v/>
      </c>
      <c r="P3988">
        <f>I3988-G3988^2/k_n</f>
        <v/>
      </c>
      <c r="Q3988">
        <f>J3988-H3988^2/k_n</f>
        <v/>
      </c>
      <c r="R3988">
        <f>K3988-G3988*H3988/k_n</f>
        <v/>
      </c>
      <c r="S3988">
        <f>L3988-LTP3!$D$3*G3988/k_n</f>
        <v/>
      </c>
      <c r="T3988">
        <f>M3988-LTP3!$D$3*H3988/k_n</f>
        <v/>
      </c>
      <c r="U3988">
        <f>N3988-G3988*LTP3!$D$4/k_n</f>
        <v/>
      </c>
      <c r="V3988">
        <f>O3988-H3988*LTP3!$D$4/k_n</f>
        <v/>
      </c>
      <c r="W3988">
        <f>((LTP3!$D$5)*((P3988)*(Q3988)-(R3988)*(R3988))-(S3988)*((S3988)*(Q3988)-(R3988)*(T3988))+(T3988)*((S3988)*(R3988)-(P3988)*(T3988)))</f>
        <v/>
      </c>
      <c r="X3988">
        <f>IF(ABS(W3988)&gt;1E-12,((LTP3!$D$6)*((P3988)*(Q3988)-(R3988)*(R3988))-(S3988)*((U3988)*(Q3988)-(R3988)*(V3988))+(T3988)*((U3988)*(R3988)-(P3988)*(V3988)))/W3988,0)</f>
        <v/>
      </c>
      <c r="Y3988">
        <f>IF(ABS(W3988)&gt;1E-12,((LTP3!$D$5)*((U3988)*(Q3988)-(R3988)*(V3988))-(LTP3!$D$6)*((S3988)*(Q3988)-(R3988)*(T3988))+(T3988)*((S3988)*(V3988)-(U3988)*(T3988)))/W3988,0)</f>
        <v/>
      </c>
      <c r="Z3988">
        <f>IF(ABS(W3988)&gt;1E-12,((LTP3!$D$5)*((P3988)*(V3988)-(U3988)*(R3988))-(S3988)*((S3988)*(V3988)-(U3988)*(T3988))+(LTP3!$D$6)*((S3988)*(R3988)-(P3988)*(T3988)))/W3988,0)</f>
        <v/>
      </c>
      <c r="AA3988">
        <f>LTP3!$D$7-X3988*LTP3!$D$6-Y3988*U3988-Z3988*V3988</f>
        <v/>
      </c>
      <c r="AB3988">
        <f>IF(AND(F3988,ABS(W3988)&gt;1E-12,Y3988&gt;0,Z3988&gt;0),AA3988,1E+300)</f>
        <v/>
      </c>
    </row>
    <row r="3989">
      <c r="A3989">
        <f>$I$3-$B$5+$B$5*12/10</f>
        <v/>
      </c>
      <c r="B3989">
        <f>$J$3-$B$5+$B$5*1/10</f>
        <v/>
      </c>
      <c r="C3989">
        <f>SUMPRODUCT(Calc!$K$3:$K$22*(Calc!$G$3:$G$22&lt;=A3989))</f>
        <v/>
      </c>
      <c r="D3989">
        <f>SUMPRODUCT(Calc!$K$3:$K$22*(Calc!$G$3:$G$22&gt;A3989)*(Calc!$G$3:$G$22&lt;B3989))</f>
        <v/>
      </c>
      <c r="E3989">
        <f>SUMPRODUCT(Calc!$K$3:$K$22*(Calc!$G$3:$G$22&gt;=B3989))</f>
        <v/>
      </c>
      <c r="F3989">
        <f>AND(k_n&gt;=5,B3989&gt;A3989+1E-9,C3989&gt;=2,D3989&gt;=1,E3989&gt;=2)</f>
        <v/>
      </c>
      <c r="G3989">
        <f>SUMPRODUCT(Calc!$K$3:$K$22*(Calc!$G$3:$G$22&gt;A3989)*(Calc!$G$3:$G$22-A3989))</f>
        <v/>
      </c>
      <c r="H3989">
        <f>SUMPRODUCT(Calc!$K$3:$K$22*(Calc!$G$3:$G$22&gt;B3989)*(Calc!$G$3:$G$22-B3989))</f>
        <v/>
      </c>
      <c r="I3989">
        <f>SUMPRODUCT(Calc!$K$3:$K$22*(Calc!$G$3:$G$22&gt;A3989)*(Calc!$G$3:$G$22-A3989)^2)</f>
        <v/>
      </c>
      <c r="J3989">
        <f>SUMPRODUCT(Calc!$K$3:$K$22*(Calc!$G$3:$G$22&gt;B3989)*(Calc!$G$3:$G$22-B3989)^2)</f>
        <v/>
      </c>
      <c r="K3989">
        <f>SUMPRODUCT(Calc!$K$3:$K$22*(Calc!$G$3:$G$22&gt;A3989)*(Calc!$G$3:$G$22-A3989)*(Calc!$G$3:$G$22&gt;B3989)*(Calc!$G$3:$G$22-B3989))</f>
        <v/>
      </c>
      <c r="L3989">
        <f>SUMPRODUCT(Calc!$K$3:$K$22*(Calc!$G$3:$G$22&gt;A3989)*(Calc!$G$3:$G$22-A3989)*Calc!$G$3:$G$22)</f>
        <v/>
      </c>
      <c r="M3989">
        <f>SUMPRODUCT(Calc!$K$3:$K$22*(Calc!$G$3:$G$22&gt;B3989)*(Calc!$G$3:$G$22-B3989)*Calc!$G$3:$G$22)</f>
        <v/>
      </c>
      <c r="N3989">
        <f>SUMPRODUCT(Calc!$K$3:$K$22*(Calc!$G$3:$G$22&gt;A3989)*(Calc!$G$3:$G$22-A3989)*Calc!$I$3:$I$22)</f>
        <v/>
      </c>
      <c r="O3989">
        <f>SUMPRODUCT(Calc!$K$3:$K$22*(Calc!$G$3:$G$22&gt;B3989)*(Calc!$G$3:$G$22-B3989)*Calc!$I$3:$I$22)</f>
        <v/>
      </c>
      <c r="P3989">
        <f>I3989-G3989^2/k_n</f>
        <v/>
      </c>
      <c r="Q3989">
        <f>J3989-H3989^2/k_n</f>
        <v/>
      </c>
      <c r="R3989">
        <f>K3989-G3989*H3989/k_n</f>
        <v/>
      </c>
      <c r="S3989">
        <f>L3989-LTP3!$D$3*G3989/k_n</f>
        <v/>
      </c>
      <c r="T3989">
        <f>M3989-LTP3!$D$3*H3989/k_n</f>
        <v/>
      </c>
      <c r="U3989">
        <f>N3989-G3989*LTP3!$D$4/k_n</f>
        <v/>
      </c>
      <c r="V3989">
        <f>O3989-H3989*LTP3!$D$4/k_n</f>
        <v/>
      </c>
      <c r="W3989">
        <f>((LTP3!$D$5)*((P3989)*(Q3989)-(R3989)*(R3989))-(S3989)*((S3989)*(Q3989)-(R3989)*(T3989))+(T3989)*((S3989)*(R3989)-(P3989)*(T3989)))</f>
        <v/>
      </c>
      <c r="X3989">
        <f>IF(ABS(W3989)&gt;1E-12,((LTP3!$D$6)*((P3989)*(Q3989)-(R3989)*(R3989))-(S3989)*((U3989)*(Q3989)-(R3989)*(V3989))+(T3989)*((U3989)*(R3989)-(P3989)*(V3989)))/W3989,0)</f>
        <v/>
      </c>
      <c r="Y3989">
        <f>IF(ABS(W3989)&gt;1E-12,((LTP3!$D$5)*((U3989)*(Q3989)-(R3989)*(V3989))-(LTP3!$D$6)*((S3989)*(Q3989)-(R3989)*(T3989))+(T3989)*((S3989)*(V3989)-(U3989)*(T3989)))/W3989,0)</f>
        <v/>
      </c>
      <c r="Z3989">
        <f>IF(ABS(W3989)&gt;1E-12,((LTP3!$D$5)*((P3989)*(V3989)-(U3989)*(R3989))-(S3989)*((S3989)*(V3989)-(U3989)*(T3989))+(LTP3!$D$6)*((S3989)*(R3989)-(P3989)*(T3989)))/W3989,0)</f>
        <v/>
      </c>
      <c r="AA3989">
        <f>LTP3!$D$7-X3989*LTP3!$D$6-Y3989*U3989-Z3989*V3989</f>
        <v/>
      </c>
      <c r="AB3989">
        <f>IF(AND(F3989,ABS(W3989)&gt;1E-12,Y3989&gt;0,Z3989&gt;0),AA3989,1E+300)</f>
        <v/>
      </c>
    </row>
    <row r="3990">
      <c r="A3990">
        <f>$I$3-$B$5+$B$5*12/10</f>
        <v/>
      </c>
      <c r="B3990">
        <f>$J$3-$B$5+$B$5*2/10</f>
        <v/>
      </c>
      <c r="C3990">
        <f>SUMPRODUCT(Calc!$K$3:$K$22*(Calc!$G$3:$G$22&lt;=A3990))</f>
        <v/>
      </c>
      <c r="D3990">
        <f>SUMPRODUCT(Calc!$K$3:$K$22*(Calc!$G$3:$G$22&gt;A3990)*(Calc!$G$3:$G$22&lt;B3990))</f>
        <v/>
      </c>
      <c r="E3990">
        <f>SUMPRODUCT(Calc!$K$3:$K$22*(Calc!$G$3:$G$22&gt;=B3990))</f>
        <v/>
      </c>
      <c r="F3990">
        <f>AND(k_n&gt;=5,B3990&gt;A3990+1E-9,C3990&gt;=2,D3990&gt;=1,E3990&gt;=2)</f>
        <v/>
      </c>
      <c r="G3990">
        <f>SUMPRODUCT(Calc!$K$3:$K$22*(Calc!$G$3:$G$22&gt;A3990)*(Calc!$G$3:$G$22-A3990))</f>
        <v/>
      </c>
      <c r="H3990">
        <f>SUMPRODUCT(Calc!$K$3:$K$22*(Calc!$G$3:$G$22&gt;B3990)*(Calc!$G$3:$G$22-B3990))</f>
        <v/>
      </c>
      <c r="I3990">
        <f>SUMPRODUCT(Calc!$K$3:$K$22*(Calc!$G$3:$G$22&gt;A3990)*(Calc!$G$3:$G$22-A3990)^2)</f>
        <v/>
      </c>
      <c r="J3990">
        <f>SUMPRODUCT(Calc!$K$3:$K$22*(Calc!$G$3:$G$22&gt;B3990)*(Calc!$G$3:$G$22-B3990)^2)</f>
        <v/>
      </c>
      <c r="K3990">
        <f>SUMPRODUCT(Calc!$K$3:$K$22*(Calc!$G$3:$G$22&gt;A3990)*(Calc!$G$3:$G$22-A3990)*(Calc!$G$3:$G$22&gt;B3990)*(Calc!$G$3:$G$22-B3990))</f>
        <v/>
      </c>
      <c r="L3990">
        <f>SUMPRODUCT(Calc!$K$3:$K$22*(Calc!$G$3:$G$22&gt;A3990)*(Calc!$G$3:$G$22-A3990)*Calc!$G$3:$G$22)</f>
        <v/>
      </c>
      <c r="M3990">
        <f>SUMPRODUCT(Calc!$K$3:$K$22*(Calc!$G$3:$G$22&gt;B3990)*(Calc!$G$3:$G$22-B3990)*Calc!$G$3:$G$22)</f>
        <v/>
      </c>
      <c r="N3990">
        <f>SUMPRODUCT(Calc!$K$3:$K$22*(Calc!$G$3:$G$22&gt;A3990)*(Calc!$G$3:$G$22-A3990)*Calc!$I$3:$I$22)</f>
        <v/>
      </c>
      <c r="O3990">
        <f>SUMPRODUCT(Calc!$K$3:$K$22*(Calc!$G$3:$G$22&gt;B3990)*(Calc!$G$3:$G$22-B3990)*Calc!$I$3:$I$22)</f>
        <v/>
      </c>
      <c r="P3990">
        <f>I3990-G3990^2/k_n</f>
        <v/>
      </c>
      <c r="Q3990">
        <f>J3990-H3990^2/k_n</f>
        <v/>
      </c>
      <c r="R3990">
        <f>K3990-G3990*H3990/k_n</f>
        <v/>
      </c>
      <c r="S3990">
        <f>L3990-LTP3!$D$3*G3990/k_n</f>
        <v/>
      </c>
      <c r="T3990">
        <f>M3990-LTP3!$D$3*H3990/k_n</f>
        <v/>
      </c>
      <c r="U3990">
        <f>N3990-G3990*LTP3!$D$4/k_n</f>
        <v/>
      </c>
      <c r="V3990">
        <f>O3990-H3990*LTP3!$D$4/k_n</f>
        <v/>
      </c>
      <c r="W3990">
        <f>((LTP3!$D$5)*((P3990)*(Q3990)-(R3990)*(R3990))-(S3990)*((S3990)*(Q3990)-(R3990)*(T3990))+(T3990)*((S3990)*(R3990)-(P3990)*(T3990)))</f>
        <v/>
      </c>
      <c r="X3990">
        <f>IF(ABS(W3990)&gt;1E-12,((LTP3!$D$6)*((P3990)*(Q3990)-(R3990)*(R3990))-(S3990)*((U3990)*(Q3990)-(R3990)*(V3990))+(T3990)*((U3990)*(R3990)-(P3990)*(V3990)))/W3990,0)</f>
        <v/>
      </c>
      <c r="Y3990">
        <f>IF(ABS(W3990)&gt;1E-12,((LTP3!$D$5)*((U3990)*(Q3990)-(R3990)*(V3990))-(LTP3!$D$6)*((S3990)*(Q3990)-(R3990)*(T3990))+(T3990)*((S3990)*(V3990)-(U3990)*(T3990)))/W3990,0)</f>
        <v/>
      </c>
      <c r="Z3990">
        <f>IF(ABS(W3990)&gt;1E-12,((LTP3!$D$5)*((P3990)*(V3990)-(U3990)*(R3990))-(S3990)*((S3990)*(V3990)-(U3990)*(T3990))+(LTP3!$D$6)*((S3990)*(R3990)-(P3990)*(T3990)))/W3990,0)</f>
        <v/>
      </c>
      <c r="AA3990">
        <f>LTP3!$D$7-X3990*LTP3!$D$6-Y3990*U3990-Z3990*V3990</f>
        <v/>
      </c>
      <c r="AB3990">
        <f>IF(AND(F3990,ABS(W3990)&gt;1E-12,Y3990&gt;0,Z3990&gt;0),AA3990,1E+300)</f>
        <v/>
      </c>
    </row>
    <row r="3991">
      <c r="A3991">
        <f>$I$3-$B$5+$B$5*12/10</f>
        <v/>
      </c>
      <c r="B3991">
        <f>$J$3-$B$5+$B$5*3/10</f>
        <v/>
      </c>
      <c r="C3991">
        <f>SUMPRODUCT(Calc!$K$3:$K$22*(Calc!$G$3:$G$22&lt;=A3991))</f>
        <v/>
      </c>
      <c r="D3991">
        <f>SUMPRODUCT(Calc!$K$3:$K$22*(Calc!$G$3:$G$22&gt;A3991)*(Calc!$G$3:$G$22&lt;B3991))</f>
        <v/>
      </c>
      <c r="E3991">
        <f>SUMPRODUCT(Calc!$K$3:$K$22*(Calc!$G$3:$G$22&gt;=B3991))</f>
        <v/>
      </c>
      <c r="F3991">
        <f>AND(k_n&gt;=5,B3991&gt;A3991+1E-9,C3991&gt;=2,D3991&gt;=1,E3991&gt;=2)</f>
        <v/>
      </c>
      <c r="G3991">
        <f>SUMPRODUCT(Calc!$K$3:$K$22*(Calc!$G$3:$G$22&gt;A3991)*(Calc!$G$3:$G$22-A3991))</f>
        <v/>
      </c>
      <c r="H3991">
        <f>SUMPRODUCT(Calc!$K$3:$K$22*(Calc!$G$3:$G$22&gt;B3991)*(Calc!$G$3:$G$22-B3991))</f>
        <v/>
      </c>
      <c r="I3991">
        <f>SUMPRODUCT(Calc!$K$3:$K$22*(Calc!$G$3:$G$22&gt;A3991)*(Calc!$G$3:$G$22-A3991)^2)</f>
        <v/>
      </c>
      <c r="J3991">
        <f>SUMPRODUCT(Calc!$K$3:$K$22*(Calc!$G$3:$G$22&gt;B3991)*(Calc!$G$3:$G$22-B3991)^2)</f>
        <v/>
      </c>
      <c r="K3991">
        <f>SUMPRODUCT(Calc!$K$3:$K$22*(Calc!$G$3:$G$22&gt;A3991)*(Calc!$G$3:$G$22-A3991)*(Calc!$G$3:$G$22&gt;B3991)*(Calc!$G$3:$G$22-B3991))</f>
        <v/>
      </c>
      <c r="L3991">
        <f>SUMPRODUCT(Calc!$K$3:$K$22*(Calc!$G$3:$G$22&gt;A3991)*(Calc!$G$3:$G$22-A3991)*Calc!$G$3:$G$22)</f>
        <v/>
      </c>
      <c r="M3991">
        <f>SUMPRODUCT(Calc!$K$3:$K$22*(Calc!$G$3:$G$22&gt;B3991)*(Calc!$G$3:$G$22-B3991)*Calc!$G$3:$G$22)</f>
        <v/>
      </c>
      <c r="N3991">
        <f>SUMPRODUCT(Calc!$K$3:$K$22*(Calc!$G$3:$G$22&gt;A3991)*(Calc!$G$3:$G$22-A3991)*Calc!$I$3:$I$22)</f>
        <v/>
      </c>
      <c r="O3991">
        <f>SUMPRODUCT(Calc!$K$3:$K$22*(Calc!$G$3:$G$22&gt;B3991)*(Calc!$G$3:$G$22-B3991)*Calc!$I$3:$I$22)</f>
        <v/>
      </c>
      <c r="P3991">
        <f>I3991-G3991^2/k_n</f>
        <v/>
      </c>
      <c r="Q3991">
        <f>J3991-H3991^2/k_n</f>
        <v/>
      </c>
      <c r="R3991">
        <f>K3991-G3991*H3991/k_n</f>
        <v/>
      </c>
      <c r="S3991">
        <f>L3991-LTP3!$D$3*G3991/k_n</f>
        <v/>
      </c>
      <c r="T3991">
        <f>M3991-LTP3!$D$3*H3991/k_n</f>
        <v/>
      </c>
      <c r="U3991">
        <f>N3991-G3991*LTP3!$D$4/k_n</f>
        <v/>
      </c>
      <c r="V3991">
        <f>O3991-H3991*LTP3!$D$4/k_n</f>
        <v/>
      </c>
      <c r="W3991">
        <f>((LTP3!$D$5)*((P3991)*(Q3991)-(R3991)*(R3991))-(S3991)*((S3991)*(Q3991)-(R3991)*(T3991))+(T3991)*((S3991)*(R3991)-(P3991)*(T3991)))</f>
        <v/>
      </c>
      <c r="X3991">
        <f>IF(ABS(W3991)&gt;1E-12,((LTP3!$D$6)*((P3991)*(Q3991)-(R3991)*(R3991))-(S3991)*((U3991)*(Q3991)-(R3991)*(V3991))+(T3991)*((U3991)*(R3991)-(P3991)*(V3991)))/W3991,0)</f>
        <v/>
      </c>
      <c r="Y3991">
        <f>IF(ABS(W3991)&gt;1E-12,((LTP3!$D$5)*((U3991)*(Q3991)-(R3991)*(V3991))-(LTP3!$D$6)*((S3991)*(Q3991)-(R3991)*(T3991))+(T3991)*((S3991)*(V3991)-(U3991)*(T3991)))/W3991,0)</f>
        <v/>
      </c>
      <c r="Z3991">
        <f>IF(ABS(W3991)&gt;1E-12,((LTP3!$D$5)*((P3991)*(V3991)-(U3991)*(R3991))-(S3991)*((S3991)*(V3991)-(U3991)*(T3991))+(LTP3!$D$6)*((S3991)*(R3991)-(P3991)*(T3991)))/W3991,0)</f>
        <v/>
      </c>
      <c r="AA3991">
        <f>LTP3!$D$7-X3991*LTP3!$D$6-Y3991*U3991-Z3991*V3991</f>
        <v/>
      </c>
      <c r="AB3991">
        <f>IF(AND(F3991,ABS(W3991)&gt;1E-12,Y3991&gt;0,Z3991&gt;0),AA3991,1E+300)</f>
        <v/>
      </c>
    </row>
    <row r="3992">
      <c r="A3992">
        <f>$I$3-$B$5+$B$5*12/10</f>
        <v/>
      </c>
      <c r="B3992">
        <f>$J$3-$B$5+$B$5*4/10</f>
        <v/>
      </c>
      <c r="C3992">
        <f>SUMPRODUCT(Calc!$K$3:$K$22*(Calc!$G$3:$G$22&lt;=A3992))</f>
        <v/>
      </c>
      <c r="D3992">
        <f>SUMPRODUCT(Calc!$K$3:$K$22*(Calc!$G$3:$G$22&gt;A3992)*(Calc!$G$3:$G$22&lt;B3992))</f>
        <v/>
      </c>
      <c r="E3992">
        <f>SUMPRODUCT(Calc!$K$3:$K$22*(Calc!$G$3:$G$22&gt;=B3992))</f>
        <v/>
      </c>
      <c r="F3992">
        <f>AND(k_n&gt;=5,B3992&gt;A3992+1E-9,C3992&gt;=2,D3992&gt;=1,E3992&gt;=2)</f>
        <v/>
      </c>
      <c r="G3992">
        <f>SUMPRODUCT(Calc!$K$3:$K$22*(Calc!$G$3:$G$22&gt;A3992)*(Calc!$G$3:$G$22-A3992))</f>
        <v/>
      </c>
      <c r="H3992">
        <f>SUMPRODUCT(Calc!$K$3:$K$22*(Calc!$G$3:$G$22&gt;B3992)*(Calc!$G$3:$G$22-B3992))</f>
        <v/>
      </c>
      <c r="I3992">
        <f>SUMPRODUCT(Calc!$K$3:$K$22*(Calc!$G$3:$G$22&gt;A3992)*(Calc!$G$3:$G$22-A3992)^2)</f>
        <v/>
      </c>
      <c r="J3992">
        <f>SUMPRODUCT(Calc!$K$3:$K$22*(Calc!$G$3:$G$22&gt;B3992)*(Calc!$G$3:$G$22-B3992)^2)</f>
        <v/>
      </c>
      <c r="K3992">
        <f>SUMPRODUCT(Calc!$K$3:$K$22*(Calc!$G$3:$G$22&gt;A3992)*(Calc!$G$3:$G$22-A3992)*(Calc!$G$3:$G$22&gt;B3992)*(Calc!$G$3:$G$22-B3992))</f>
        <v/>
      </c>
      <c r="L3992">
        <f>SUMPRODUCT(Calc!$K$3:$K$22*(Calc!$G$3:$G$22&gt;A3992)*(Calc!$G$3:$G$22-A3992)*Calc!$G$3:$G$22)</f>
        <v/>
      </c>
      <c r="M3992">
        <f>SUMPRODUCT(Calc!$K$3:$K$22*(Calc!$G$3:$G$22&gt;B3992)*(Calc!$G$3:$G$22-B3992)*Calc!$G$3:$G$22)</f>
        <v/>
      </c>
      <c r="N3992">
        <f>SUMPRODUCT(Calc!$K$3:$K$22*(Calc!$G$3:$G$22&gt;A3992)*(Calc!$G$3:$G$22-A3992)*Calc!$I$3:$I$22)</f>
        <v/>
      </c>
      <c r="O3992">
        <f>SUMPRODUCT(Calc!$K$3:$K$22*(Calc!$G$3:$G$22&gt;B3992)*(Calc!$G$3:$G$22-B3992)*Calc!$I$3:$I$22)</f>
        <v/>
      </c>
      <c r="P3992">
        <f>I3992-G3992^2/k_n</f>
        <v/>
      </c>
      <c r="Q3992">
        <f>J3992-H3992^2/k_n</f>
        <v/>
      </c>
      <c r="R3992">
        <f>K3992-G3992*H3992/k_n</f>
        <v/>
      </c>
      <c r="S3992">
        <f>L3992-LTP3!$D$3*G3992/k_n</f>
        <v/>
      </c>
      <c r="T3992">
        <f>M3992-LTP3!$D$3*H3992/k_n</f>
        <v/>
      </c>
      <c r="U3992">
        <f>N3992-G3992*LTP3!$D$4/k_n</f>
        <v/>
      </c>
      <c r="V3992">
        <f>O3992-H3992*LTP3!$D$4/k_n</f>
        <v/>
      </c>
      <c r="W3992">
        <f>((LTP3!$D$5)*((P3992)*(Q3992)-(R3992)*(R3992))-(S3992)*((S3992)*(Q3992)-(R3992)*(T3992))+(T3992)*((S3992)*(R3992)-(P3992)*(T3992)))</f>
        <v/>
      </c>
      <c r="X3992">
        <f>IF(ABS(W3992)&gt;1E-12,((LTP3!$D$6)*((P3992)*(Q3992)-(R3992)*(R3992))-(S3992)*((U3992)*(Q3992)-(R3992)*(V3992))+(T3992)*((U3992)*(R3992)-(P3992)*(V3992)))/W3992,0)</f>
        <v/>
      </c>
      <c r="Y3992">
        <f>IF(ABS(W3992)&gt;1E-12,((LTP3!$D$5)*((U3992)*(Q3992)-(R3992)*(V3992))-(LTP3!$D$6)*((S3992)*(Q3992)-(R3992)*(T3992))+(T3992)*((S3992)*(V3992)-(U3992)*(T3992)))/W3992,0)</f>
        <v/>
      </c>
      <c r="Z3992">
        <f>IF(ABS(W3992)&gt;1E-12,((LTP3!$D$5)*((P3992)*(V3992)-(U3992)*(R3992))-(S3992)*((S3992)*(V3992)-(U3992)*(T3992))+(LTP3!$D$6)*((S3992)*(R3992)-(P3992)*(T3992)))/W3992,0)</f>
        <v/>
      </c>
      <c r="AA3992">
        <f>LTP3!$D$7-X3992*LTP3!$D$6-Y3992*U3992-Z3992*V3992</f>
        <v/>
      </c>
      <c r="AB3992">
        <f>IF(AND(F3992,ABS(W3992)&gt;1E-12,Y3992&gt;0,Z3992&gt;0),AA3992,1E+300)</f>
        <v/>
      </c>
    </row>
    <row r="3993">
      <c r="A3993">
        <f>$I$3-$B$5+$B$5*12/10</f>
        <v/>
      </c>
      <c r="B3993">
        <f>$J$3-$B$5+$B$5*5/10</f>
        <v/>
      </c>
      <c r="C3993">
        <f>SUMPRODUCT(Calc!$K$3:$K$22*(Calc!$G$3:$G$22&lt;=A3993))</f>
        <v/>
      </c>
      <c r="D3993">
        <f>SUMPRODUCT(Calc!$K$3:$K$22*(Calc!$G$3:$G$22&gt;A3993)*(Calc!$G$3:$G$22&lt;B3993))</f>
        <v/>
      </c>
      <c r="E3993">
        <f>SUMPRODUCT(Calc!$K$3:$K$22*(Calc!$G$3:$G$22&gt;=B3993))</f>
        <v/>
      </c>
      <c r="F3993">
        <f>AND(k_n&gt;=5,B3993&gt;A3993+1E-9,C3993&gt;=2,D3993&gt;=1,E3993&gt;=2)</f>
        <v/>
      </c>
      <c r="G3993">
        <f>SUMPRODUCT(Calc!$K$3:$K$22*(Calc!$G$3:$G$22&gt;A3993)*(Calc!$G$3:$G$22-A3993))</f>
        <v/>
      </c>
      <c r="H3993">
        <f>SUMPRODUCT(Calc!$K$3:$K$22*(Calc!$G$3:$G$22&gt;B3993)*(Calc!$G$3:$G$22-B3993))</f>
        <v/>
      </c>
      <c r="I3993">
        <f>SUMPRODUCT(Calc!$K$3:$K$22*(Calc!$G$3:$G$22&gt;A3993)*(Calc!$G$3:$G$22-A3993)^2)</f>
        <v/>
      </c>
      <c r="J3993">
        <f>SUMPRODUCT(Calc!$K$3:$K$22*(Calc!$G$3:$G$22&gt;B3993)*(Calc!$G$3:$G$22-B3993)^2)</f>
        <v/>
      </c>
      <c r="K3993">
        <f>SUMPRODUCT(Calc!$K$3:$K$22*(Calc!$G$3:$G$22&gt;A3993)*(Calc!$G$3:$G$22-A3993)*(Calc!$G$3:$G$22&gt;B3993)*(Calc!$G$3:$G$22-B3993))</f>
        <v/>
      </c>
      <c r="L3993">
        <f>SUMPRODUCT(Calc!$K$3:$K$22*(Calc!$G$3:$G$22&gt;A3993)*(Calc!$G$3:$G$22-A3993)*Calc!$G$3:$G$22)</f>
        <v/>
      </c>
      <c r="M3993">
        <f>SUMPRODUCT(Calc!$K$3:$K$22*(Calc!$G$3:$G$22&gt;B3993)*(Calc!$G$3:$G$22-B3993)*Calc!$G$3:$G$22)</f>
        <v/>
      </c>
      <c r="N3993">
        <f>SUMPRODUCT(Calc!$K$3:$K$22*(Calc!$G$3:$G$22&gt;A3993)*(Calc!$G$3:$G$22-A3993)*Calc!$I$3:$I$22)</f>
        <v/>
      </c>
      <c r="O3993">
        <f>SUMPRODUCT(Calc!$K$3:$K$22*(Calc!$G$3:$G$22&gt;B3993)*(Calc!$G$3:$G$22-B3993)*Calc!$I$3:$I$22)</f>
        <v/>
      </c>
      <c r="P3993">
        <f>I3993-G3993^2/k_n</f>
        <v/>
      </c>
      <c r="Q3993">
        <f>J3993-H3993^2/k_n</f>
        <v/>
      </c>
      <c r="R3993">
        <f>K3993-G3993*H3993/k_n</f>
        <v/>
      </c>
      <c r="S3993">
        <f>L3993-LTP3!$D$3*G3993/k_n</f>
        <v/>
      </c>
      <c r="T3993">
        <f>M3993-LTP3!$D$3*H3993/k_n</f>
        <v/>
      </c>
      <c r="U3993">
        <f>N3993-G3993*LTP3!$D$4/k_n</f>
        <v/>
      </c>
      <c r="V3993">
        <f>O3993-H3993*LTP3!$D$4/k_n</f>
        <v/>
      </c>
      <c r="W3993">
        <f>((LTP3!$D$5)*((P3993)*(Q3993)-(R3993)*(R3993))-(S3993)*((S3993)*(Q3993)-(R3993)*(T3993))+(T3993)*((S3993)*(R3993)-(P3993)*(T3993)))</f>
        <v/>
      </c>
      <c r="X3993">
        <f>IF(ABS(W3993)&gt;1E-12,((LTP3!$D$6)*((P3993)*(Q3993)-(R3993)*(R3993))-(S3993)*((U3993)*(Q3993)-(R3993)*(V3993))+(T3993)*((U3993)*(R3993)-(P3993)*(V3993)))/W3993,0)</f>
        <v/>
      </c>
      <c r="Y3993">
        <f>IF(ABS(W3993)&gt;1E-12,((LTP3!$D$5)*((U3993)*(Q3993)-(R3993)*(V3993))-(LTP3!$D$6)*((S3993)*(Q3993)-(R3993)*(T3993))+(T3993)*((S3993)*(V3993)-(U3993)*(T3993)))/W3993,0)</f>
        <v/>
      </c>
      <c r="Z3993">
        <f>IF(ABS(W3993)&gt;1E-12,((LTP3!$D$5)*((P3993)*(V3993)-(U3993)*(R3993))-(S3993)*((S3993)*(V3993)-(U3993)*(T3993))+(LTP3!$D$6)*((S3993)*(R3993)-(P3993)*(T3993)))/W3993,0)</f>
        <v/>
      </c>
      <c r="AA3993">
        <f>LTP3!$D$7-X3993*LTP3!$D$6-Y3993*U3993-Z3993*V3993</f>
        <v/>
      </c>
      <c r="AB3993">
        <f>IF(AND(F3993,ABS(W3993)&gt;1E-12,Y3993&gt;0,Z3993&gt;0),AA3993,1E+300)</f>
        <v/>
      </c>
    </row>
    <row r="3994">
      <c r="A3994">
        <f>$I$3-$B$5+$B$5*12/10</f>
        <v/>
      </c>
      <c r="B3994">
        <f>$J$3-$B$5+$B$5*6/10</f>
        <v/>
      </c>
      <c r="C3994">
        <f>SUMPRODUCT(Calc!$K$3:$K$22*(Calc!$G$3:$G$22&lt;=A3994))</f>
        <v/>
      </c>
      <c r="D3994">
        <f>SUMPRODUCT(Calc!$K$3:$K$22*(Calc!$G$3:$G$22&gt;A3994)*(Calc!$G$3:$G$22&lt;B3994))</f>
        <v/>
      </c>
      <c r="E3994">
        <f>SUMPRODUCT(Calc!$K$3:$K$22*(Calc!$G$3:$G$22&gt;=B3994))</f>
        <v/>
      </c>
      <c r="F3994">
        <f>AND(k_n&gt;=5,B3994&gt;A3994+1E-9,C3994&gt;=2,D3994&gt;=1,E3994&gt;=2)</f>
        <v/>
      </c>
      <c r="G3994">
        <f>SUMPRODUCT(Calc!$K$3:$K$22*(Calc!$G$3:$G$22&gt;A3994)*(Calc!$G$3:$G$22-A3994))</f>
        <v/>
      </c>
      <c r="H3994">
        <f>SUMPRODUCT(Calc!$K$3:$K$22*(Calc!$G$3:$G$22&gt;B3994)*(Calc!$G$3:$G$22-B3994))</f>
        <v/>
      </c>
      <c r="I3994">
        <f>SUMPRODUCT(Calc!$K$3:$K$22*(Calc!$G$3:$G$22&gt;A3994)*(Calc!$G$3:$G$22-A3994)^2)</f>
        <v/>
      </c>
      <c r="J3994">
        <f>SUMPRODUCT(Calc!$K$3:$K$22*(Calc!$G$3:$G$22&gt;B3994)*(Calc!$G$3:$G$22-B3994)^2)</f>
        <v/>
      </c>
      <c r="K3994">
        <f>SUMPRODUCT(Calc!$K$3:$K$22*(Calc!$G$3:$G$22&gt;A3994)*(Calc!$G$3:$G$22-A3994)*(Calc!$G$3:$G$22&gt;B3994)*(Calc!$G$3:$G$22-B3994))</f>
        <v/>
      </c>
      <c r="L3994">
        <f>SUMPRODUCT(Calc!$K$3:$K$22*(Calc!$G$3:$G$22&gt;A3994)*(Calc!$G$3:$G$22-A3994)*Calc!$G$3:$G$22)</f>
        <v/>
      </c>
      <c r="M3994">
        <f>SUMPRODUCT(Calc!$K$3:$K$22*(Calc!$G$3:$G$22&gt;B3994)*(Calc!$G$3:$G$22-B3994)*Calc!$G$3:$G$22)</f>
        <v/>
      </c>
      <c r="N3994">
        <f>SUMPRODUCT(Calc!$K$3:$K$22*(Calc!$G$3:$G$22&gt;A3994)*(Calc!$G$3:$G$22-A3994)*Calc!$I$3:$I$22)</f>
        <v/>
      </c>
      <c r="O3994">
        <f>SUMPRODUCT(Calc!$K$3:$K$22*(Calc!$G$3:$G$22&gt;B3994)*(Calc!$G$3:$G$22-B3994)*Calc!$I$3:$I$22)</f>
        <v/>
      </c>
      <c r="P3994">
        <f>I3994-G3994^2/k_n</f>
        <v/>
      </c>
      <c r="Q3994">
        <f>J3994-H3994^2/k_n</f>
        <v/>
      </c>
      <c r="R3994">
        <f>K3994-G3994*H3994/k_n</f>
        <v/>
      </c>
      <c r="S3994">
        <f>L3994-LTP3!$D$3*G3994/k_n</f>
        <v/>
      </c>
      <c r="T3994">
        <f>M3994-LTP3!$D$3*H3994/k_n</f>
        <v/>
      </c>
      <c r="U3994">
        <f>N3994-G3994*LTP3!$D$4/k_n</f>
        <v/>
      </c>
      <c r="V3994">
        <f>O3994-H3994*LTP3!$D$4/k_n</f>
        <v/>
      </c>
      <c r="W3994">
        <f>((LTP3!$D$5)*((P3994)*(Q3994)-(R3994)*(R3994))-(S3994)*((S3994)*(Q3994)-(R3994)*(T3994))+(T3994)*((S3994)*(R3994)-(P3994)*(T3994)))</f>
        <v/>
      </c>
      <c r="X3994">
        <f>IF(ABS(W3994)&gt;1E-12,((LTP3!$D$6)*((P3994)*(Q3994)-(R3994)*(R3994))-(S3994)*((U3994)*(Q3994)-(R3994)*(V3994))+(T3994)*((U3994)*(R3994)-(P3994)*(V3994)))/W3994,0)</f>
        <v/>
      </c>
      <c r="Y3994">
        <f>IF(ABS(W3994)&gt;1E-12,((LTP3!$D$5)*((U3994)*(Q3994)-(R3994)*(V3994))-(LTP3!$D$6)*((S3994)*(Q3994)-(R3994)*(T3994))+(T3994)*((S3994)*(V3994)-(U3994)*(T3994)))/W3994,0)</f>
        <v/>
      </c>
      <c r="Z3994">
        <f>IF(ABS(W3994)&gt;1E-12,((LTP3!$D$5)*((P3994)*(V3994)-(U3994)*(R3994))-(S3994)*((S3994)*(V3994)-(U3994)*(T3994))+(LTP3!$D$6)*((S3994)*(R3994)-(P3994)*(T3994)))/W3994,0)</f>
        <v/>
      </c>
      <c r="AA3994">
        <f>LTP3!$D$7-X3994*LTP3!$D$6-Y3994*U3994-Z3994*V3994</f>
        <v/>
      </c>
      <c r="AB3994">
        <f>IF(AND(F3994,ABS(W3994)&gt;1E-12,Y3994&gt;0,Z3994&gt;0),AA3994,1E+300)</f>
        <v/>
      </c>
    </row>
    <row r="3995">
      <c r="A3995">
        <f>$I$3-$B$5+$B$5*12/10</f>
        <v/>
      </c>
      <c r="B3995">
        <f>$J$3-$B$5+$B$5*7/10</f>
        <v/>
      </c>
      <c r="C3995">
        <f>SUMPRODUCT(Calc!$K$3:$K$22*(Calc!$G$3:$G$22&lt;=A3995))</f>
        <v/>
      </c>
      <c r="D3995">
        <f>SUMPRODUCT(Calc!$K$3:$K$22*(Calc!$G$3:$G$22&gt;A3995)*(Calc!$G$3:$G$22&lt;B3995))</f>
        <v/>
      </c>
      <c r="E3995">
        <f>SUMPRODUCT(Calc!$K$3:$K$22*(Calc!$G$3:$G$22&gt;=B3995))</f>
        <v/>
      </c>
      <c r="F3995">
        <f>AND(k_n&gt;=5,B3995&gt;A3995+1E-9,C3995&gt;=2,D3995&gt;=1,E3995&gt;=2)</f>
        <v/>
      </c>
      <c r="G3995">
        <f>SUMPRODUCT(Calc!$K$3:$K$22*(Calc!$G$3:$G$22&gt;A3995)*(Calc!$G$3:$G$22-A3995))</f>
        <v/>
      </c>
      <c r="H3995">
        <f>SUMPRODUCT(Calc!$K$3:$K$22*(Calc!$G$3:$G$22&gt;B3995)*(Calc!$G$3:$G$22-B3995))</f>
        <v/>
      </c>
      <c r="I3995">
        <f>SUMPRODUCT(Calc!$K$3:$K$22*(Calc!$G$3:$G$22&gt;A3995)*(Calc!$G$3:$G$22-A3995)^2)</f>
        <v/>
      </c>
      <c r="J3995">
        <f>SUMPRODUCT(Calc!$K$3:$K$22*(Calc!$G$3:$G$22&gt;B3995)*(Calc!$G$3:$G$22-B3995)^2)</f>
        <v/>
      </c>
      <c r="K3995">
        <f>SUMPRODUCT(Calc!$K$3:$K$22*(Calc!$G$3:$G$22&gt;A3995)*(Calc!$G$3:$G$22-A3995)*(Calc!$G$3:$G$22&gt;B3995)*(Calc!$G$3:$G$22-B3995))</f>
        <v/>
      </c>
      <c r="L3995">
        <f>SUMPRODUCT(Calc!$K$3:$K$22*(Calc!$G$3:$G$22&gt;A3995)*(Calc!$G$3:$G$22-A3995)*Calc!$G$3:$G$22)</f>
        <v/>
      </c>
      <c r="M3995">
        <f>SUMPRODUCT(Calc!$K$3:$K$22*(Calc!$G$3:$G$22&gt;B3995)*(Calc!$G$3:$G$22-B3995)*Calc!$G$3:$G$22)</f>
        <v/>
      </c>
      <c r="N3995">
        <f>SUMPRODUCT(Calc!$K$3:$K$22*(Calc!$G$3:$G$22&gt;A3995)*(Calc!$G$3:$G$22-A3995)*Calc!$I$3:$I$22)</f>
        <v/>
      </c>
      <c r="O3995">
        <f>SUMPRODUCT(Calc!$K$3:$K$22*(Calc!$G$3:$G$22&gt;B3995)*(Calc!$G$3:$G$22-B3995)*Calc!$I$3:$I$22)</f>
        <v/>
      </c>
      <c r="P3995">
        <f>I3995-G3995^2/k_n</f>
        <v/>
      </c>
      <c r="Q3995">
        <f>J3995-H3995^2/k_n</f>
        <v/>
      </c>
      <c r="R3995">
        <f>K3995-G3995*H3995/k_n</f>
        <v/>
      </c>
      <c r="S3995">
        <f>L3995-LTP3!$D$3*G3995/k_n</f>
        <v/>
      </c>
      <c r="T3995">
        <f>M3995-LTP3!$D$3*H3995/k_n</f>
        <v/>
      </c>
      <c r="U3995">
        <f>N3995-G3995*LTP3!$D$4/k_n</f>
        <v/>
      </c>
      <c r="V3995">
        <f>O3995-H3995*LTP3!$D$4/k_n</f>
        <v/>
      </c>
      <c r="W3995">
        <f>((LTP3!$D$5)*((P3995)*(Q3995)-(R3995)*(R3995))-(S3995)*((S3995)*(Q3995)-(R3995)*(T3995))+(T3995)*((S3995)*(R3995)-(P3995)*(T3995)))</f>
        <v/>
      </c>
      <c r="X3995">
        <f>IF(ABS(W3995)&gt;1E-12,((LTP3!$D$6)*((P3995)*(Q3995)-(R3995)*(R3995))-(S3995)*((U3995)*(Q3995)-(R3995)*(V3995))+(T3995)*((U3995)*(R3995)-(P3995)*(V3995)))/W3995,0)</f>
        <v/>
      </c>
      <c r="Y3995">
        <f>IF(ABS(W3995)&gt;1E-12,((LTP3!$D$5)*((U3995)*(Q3995)-(R3995)*(V3995))-(LTP3!$D$6)*((S3995)*(Q3995)-(R3995)*(T3995))+(T3995)*((S3995)*(V3995)-(U3995)*(T3995)))/W3995,0)</f>
        <v/>
      </c>
      <c r="Z3995">
        <f>IF(ABS(W3995)&gt;1E-12,((LTP3!$D$5)*((P3995)*(V3995)-(U3995)*(R3995))-(S3995)*((S3995)*(V3995)-(U3995)*(T3995))+(LTP3!$D$6)*((S3995)*(R3995)-(P3995)*(T3995)))/W3995,0)</f>
        <v/>
      </c>
      <c r="AA3995">
        <f>LTP3!$D$7-X3995*LTP3!$D$6-Y3995*U3995-Z3995*V3995</f>
        <v/>
      </c>
      <c r="AB3995">
        <f>IF(AND(F3995,ABS(W3995)&gt;1E-12,Y3995&gt;0,Z3995&gt;0),AA3995,1E+300)</f>
        <v/>
      </c>
    </row>
    <row r="3996">
      <c r="A3996">
        <f>$I$3-$B$5+$B$5*12/10</f>
        <v/>
      </c>
      <c r="B3996">
        <f>$J$3-$B$5+$B$5*8/10</f>
        <v/>
      </c>
      <c r="C3996">
        <f>SUMPRODUCT(Calc!$K$3:$K$22*(Calc!$G$3:$G$22&lt;=A3996))</f>
        <v/>
      </c>
      <c r="D3996">
        <f>SUMPRODUCT(Calc!$K$3:$K$22*(Calc!$G$3:$G$22&gt;A3996)*(Calc!$G$3:$G$22&lt;B3996))</f>
        <v/>
      </c>
      <c r="E3996">
        <f>SUMPRODUCT(Calc!$K$3:$K$22*(Calc!$G$3:$G$22&gt;=B3996))</f>
        <v/>
      </c>
      <c r="F3996">
        <f>AND(k_n&gt;=5,B3996&gt;A3996+1E-9,C3996&gt;=2,D3996&gt;=1,E3996&gt;=2)</f>
        <v/>
      </c>
      <c r="G3996">
        <f>SUMPRODUCT(Calc!$K$3:$K$22*(Calc!$G$3:$G$22&gt;A3996)*(Calc!$G$3:$G$22-A3996))</f>
        <v/>
      </c>
      <c r="H3996">
        <f>SUMPRODUCT(Calc!$K$3:$K$22*(Calc!$G$3:$G$22&gt;B3996)*(Calc!$G$3:$G$22-B3996))</f>
        <v/>
      </c>
      <c r="I3996">
        <f>SUMPRODUCT(Calc!$K$3:$K$22*(Calc!$G$3:$G$22&gt;A3996)*(Calc!$G$3:$G$22-A3996)^2)</f>
        <v/>
      </c>
      <c r="J3996">
        <f>SUMPRODUCT(Calc!$K$3:$K$22*(Calc!$G$3:$G$22&gt;B3996)*(Calc!$G$3:$G$22-B3996)^2)</f>
        <v/>
      </c>
      <c r="K3996">
        <f>SUMPRODUCT(Calc!$K$3:$K$22*(Calc!$G$3:$G$22&gt;A3996)*(Calc!$G$3:$G$22-A3996)*(Calc!$G$3:$G$22&gt;B3996)*(Calc!$G$3:$G$22-B3996))</f>
        <v/>
      </c>
      <c r="L3996">
        <f>SUMPRODUCT(Calc!$K$3:$K$22*(Calc!$G$3:$G$22&gt;A3996)*(Calc!$G$3:$G$22-A3996)*Calc!$G$3:$G$22)</f>
        <v/>
      </c>
      <c r="M3996">
        <f>SUMPRODUCT(Calc!$K$3:$K$22*(Calc!$G$3:$G$22&gt;B3996)*(Calc!$G$3:$G$22-B3996)*Calc!$G$3:$G$22)</f>
        <v/>
      </c>
      <c r="N3996">
        <f>SUMPRODUCT(Calc!$K$3:$K$22*(Calc!$G$3:$G$22&gt;A3996)*(Calc!$G$3:$G$22-A3996)*Calc!$I$3:$I$22)</f>
        <v/>
      </c>
      <c r="O3996">
        <f>SUMPRODUCT(Calc!$K$3:$K$22*(Calc!$G$3:$G$22&gt;B3996)*(Calc!$G$3:$G$22-B3996)*Calc!$I$3:$I$22)</f>
        <v/>
      </c>
      <c r="P3996">
        <f>I3996-G3996^2/k_n</f>
        <v/>
      </c>
      <c r="Q3996">
        <f>J3996-H3996^2/k_n</f>
        <v/>
      </c>
      <c r="R3996">
        <f>K3996-G3996*H3996/k_n</f>
        <v/>
      </c>
      <c r="S3996">
        <f>L3996-LTP3!$D$3*G3996/k_n</f>
        <v/>
      </c>
      <c r="T3996">
        <f>M3996-LTP3!$D$3*H3996/k_n</f>
        <v/>
      </c>
      <c r="U3996">
        <f>N3996-G3996*LTP3!$D$4/k_n</f>
        <v/>
      </c>
      <c r="V3996">
        <f>O3996-H3996*LTP3!$D$4/k_n</f>
        <v/>
      </c>
      <c r="W3996">
        <f>((LTP3!$D$5)*((P3996)*(Q3996)-(R3996)*(R3996))-(S3996)*((S3996)*(Q3996)-(R3996)*(T3996))+(T3996)*((S3996)*(R3996)-(P3996)*(T3996)))</f>
        <v/>
      </c>
      <c r="X3996">
        <f>IF(ABS(W3996)&gt;1E-12,((LTP3!$D$6)*((P3996)*(Q3996)-(R3996)*(R3996))-(S3996)*((U3996)*(Q3996)-(R3996)*(V3996))+(T3996)*((U3996)*(R3996)-(P3996)*(V3996)))/W3996,0)</f>
        <v/>
      </c>
      <c r="Y3996">
        <f>IF(ABS(W3996)&gt;1E-12,((LTP3!$D$5)*((U3996)*(Q3996)-(R3996)*(V3996))-(LTP3!$D$6)*((S3996)*(Q3996)-(R3996)*(T3996))+(T3996)*((S3996)*(V3996)-(U3996)*(T3996)))/W3996,0)</f>
        <v/>
      </c>
      <c r="Z3996">
        <f>IF(ABS(W3996)&gt;1E-12,((LTP3!$D$5)*((P3996)*(V3996)-(U3996)*(R3996))-(S3996)*((S3996)*(V3996)-(U3996)*(T3996))+(LTP3!$D$6)*((S3996)*(R3996)-(P3996)*(T3996)))/W3996,0)</f>
        <v/>
      </c>
      <c r="AA3996">
        <f>LTP3!$D$7-X3996*LTP3!$D$6-Y3996*U3996-Z3996*V3996</f>
        <v/>
      </c>
      <c r="AB3996">
        <f>IF(AND(F3996,ABS(W3996)&gt;1E-12,Y3996&gt;0,Z3996&gt;0),AA3996,1E+300)</f>
        <v/>
      </c>
    </row>
    <row r="3997">
      <c r="A3997">
        <f>$I$3-$B$5+$B$5*12/10</f>
        <v/>
      </c>
      <c r="B3997">
        <f>$J$3-$B$5+$B$5*9/10</f>
        <v/>
      </c>
      <c r="C3997">
        <f>SUMPRODUCT(Calc!$K$3:$K$22*(Calc!$G$3:$G$22&lt;=A3997))</f>
        <v/>
      </c>
      <c r="D3997">
        <f>SUMPRODUCT(Calc!$K$3:$K$22*(Calc!$G$3:$G$22&gt;A3997)*(Calc!$G$3:$G$22&lt;B3997))</f>
        <v/>
      </c>
      <c r="E3997">
        <f>SUMPRODUCT(Calc!$K$3:$K$22*(Calc!$G$3:$G$22&gt;=B3997))</f>
        <v/>
      </c>
      <c r="F3997">
        <f>AND(k_n&gt;=5,B3997&gt;A3997+1E-9,C3997&gt;=2,D3997&gt;=1,E3997&gt;=2)</f>
        <v/>
      </c>
      <c r="G3997">
        <f>SUMPRODUCT(Calc!$K$3:$K$22*(Calc!$G$3:$G$22&gt;A3997)*(Calc!$G$3:$G$22-A3997))</f>
        <v/>
      </c>
      <c r="H3997">
        <f>SUMPRODUCT(Calc!$K$3:$K$22*(Calc!$G$3:$G$22&gt;B3997)*(Calc!$G$3:$G$22-B3997))</f>
        <v/>
      </c>
      <c r="I3997">
        <f>SUMPRODUCT(Calc!$K$3:$K$22*(Calc!$G$3:$G$22&gt;A3997)*(Calc!$G$3:$G$22-A3997)^2)</f>
        <v/>
      </c>
      <c r="J3997">
        <f>SUMPRODUCT(Calc!$K$3:$K$22*(Calc!$G$3:$G$22&gt;B3997)*(Calc!$G$3:$G$22-B3997)^2)</f>
        <v/>
      </c>
      <c r="K3997">
        <f>SUMPRODUCT(Calc!$K$3:$K$22*(Calc!$G$3:$G$22&gt;A3997)*(Calc!$G$3:$G$22-A3997)*(Calc!$G$3:$G$22&gt;B3997)*(Calc!$G$3:$G$22-B3997))</f>
        <v/>
      </c>
      <c r="L3997">
        <f>SUMPRODUCT(Calc!$K$3:$K$22*(Calc!$G$3:$G$22&gt;A3997)*(Calc!$G$3:$G$22-A3997)*Calc!$G$3:$G$22)</f>
        <v/>
      </c>
      <c r="M3997">
        <f>SUMPRODUCT(Calc!$K$3:$K$22*(Calc!$G$3:$G$22&gt;B3997)*(Calc!$G$3:$G$22-B3997)*Calc!$G$3:$G$22)</f>
        <v/>
      </c>
      <c r="N3997">
        <f>SUMPRODUCT(Calc!$K$3:$K$22*(Calc!$G$3:$G$22&gt;A3997)*(Calc!$G$3:$G$22-A3997)*Calc!$I$3:$I$22)</f>
        <v/>
      </c>
      <c r="O3997">
        <f>SUMPRODUCT(Calc!$K$3:$K$22*(Calc!$G$3:$G$22&gt;B3997)*(Calc!$G$3:$G$22-B3997)*Calc!$I$3:$I$22)</f>
        <v/>
      </c>
      <c r="P3997">
        <f>I3997-G3997^2/k_n</f>
        <v/>
      </c>
      <c r="Q3997">
        <f>J3997-H3997^2/k_n</f>
        <v/>
      </c>
      <c r="R3997">
        <f>K3997-G3997*H3997/k_n</f>
        <v/>
      </c>
      <c r="S3997">
        <f>L3997-LTP3!$D$3*G3997/k_n</f>
        <v/>
      </c>
      <c r="T3997">
        <f>M3997-LTP3!$D$3*H3997/k_n</f>
        <v/>
      </c>
      <c r="U3997">
        <f>N3997-G3997*LTP3!$D$4/k_n</f>
        <v/>
      </c>
      <c r="V3997">
        <f>O3997-H3997*LTP3!$D$4/k_n</f>
        <v/>
      </c>
      <c r="W3997">
        <f>((LTP3!$D$5)*((P3997)*(Q3997)-(R3997)*(R3997))-(S3997)*((S3997)*(Q3997)-(R3997)*(T3997))+(T3997)*((S3997)*(R3997)-(P3997)*(T3997)))</f>
        <v/>
      </c>
      <c r="X3997">
        <f>IF(ABS(W3997)&gt;1E-12,((LTP3!$D$6)*((P3997)*(Q3997)-(R3997)*(R3997))-(S3997)*((U3997)*(Q3997)-(R3997)*(V3997))+(T3997)*((U3997)*(R3997)-(P3997)*(V3997)))/W3997,0)</f>
        <v/>
      </c>
      <c r="Y3997">
        <f>IF(ABS(W3997)&gt;1E-12,((LTP3!$D$5)*((U3997)*(Q3997)-(R3997)*(V3997))-(LTP3!$D$6)*((S3997)*(Q3997)-(R3997)*(T3997))+(T3997)*((S3997)*(V3997)-(U3997)*(T3997)))/W3997,0)</f>
        <v/>
      </c>
      <c r="Z3997">
        <f>IF(ABS(W3997)&gt;1E-12,((LTP3!$D$5)*((P3997)*(V3997)-(U3997)*(R3997))-(S3997)*((S3997)*(V3997)-(U3997)*(T3997))+(LTP3!$D$6)*((S3997)*(R3997)-(P3997)*(T3997)))/W3997,0)</f>
        <v/>
      </c>
      <c r="AA3997">
        <f>LTP3!$D$7-X3997*LTP3!$D$6-Y3997*U3997-Z3997*V3997</f>
        <v/>
      </c>
      <c r="AB3997">
        <f>IF(AND(F3997,ABS(W3997)&gt;1E-12,Y3997&gt;0,Z3997&gt;0),AA3997,1E+300)</f>
        <v/>
      </c>
    </row>
    <row r="3998">
      <c r="A3998">
        <f>$I$3-$B$5+$B$5*12/10</f>
        <v/>
      </c>
      <c r="B3998">
        <f>$J$3-$B$5+$B$5*10/10</f>
        <v/>
      </c>
      <c r="C3998">
        <f>SUMPRODUCT(Calc!$K$3:$K$22*(Calc!$G$3:$G$22&lt;=A3998))</f>
        <v/>
      </c>
      <c r="D3998">
        <f>SUMPRODUCT(Calc!$K$3:$K$22*(Calc!$G$3:$G$22&gt;A3998)*(Calc!$G$3:$G$22&lt;B3998))</f>
        <v/>
      </c>
      <c r="E3998">
        <f>SUMPRODUCT(Calc!$K$3:$K$22*(Calc!$G$3:$G$22&gt;=B3998))</f>
        <v/>
      </c>
      <c r="F3998">
        <f>AND(k_n&gt;=5,B3998&gt;A3998+1E-9,C3998&gt;=2,D3998&gt;=1,E3998&gt;=2)</f>
        <v/>
      </c>
      <c r="G3998">
        <f>SUMPRODUCT(Calc!$K$3:$K$22*(Calc!$G$3:$G$22&gt;A3998)*(Calc!$G$3:$G$22-A3998))</f>
        <v/>
      </c>
      <c r="H3998">
        <f>SUMPRODUCT(Calc!$K$3:$K$22*(Calc!$G$3:$G$22&gt;B3998)*(Calc!$G$3:$G$22-B3998))</f>
        <v/>
      </c>
      <c r="I3998">
        <f>SUMPRODUCT(Calc!$K$3:$K$22*(Calc!$G$3:$G$22&gt;A3998)*(Calc!$G$3:$G$22-A3998)^2)</f>
        <v/>
      </c>
      <c r="J3998">
        <f>SUMPRODUCT(Calc!$K$3:$K$22*(Calc!$G$3:$G$22&gt;B3998)*(Calc!$G$3:$G$22-B3998)^2)</f>
        <v/>
      </c>
      <c r="K3998">
        <f>SUMPRODUCT(Calc!$K$3:$K$22*(Calc!$G$3:$G$22&gt;A3998)*(Calc!$G$3:$G$22-A3998)*(Calc!$G$3:$G$22&gt;B3998)*(Calc!$G$3:$G$22-B3998))</f>
        <v/>
      </c>
      <c r="L3998">
        <f>SUMPRODUCT(Calc!$K$3:$K$22*(Calc!$G$3:$G$22&gt;A3998)*(Calc!$G$3:$G$22-A3998)*Calc!$G$3:$G$22)</f>
        <v/>
      </c>
      <c r="M3998">
        <f>SUMPRODUCT(Calc!$K$3:$K$22*(Calc!$G$3:$G$22&gt;B3998)*(Calc!$G$3:$G$22-B3998)*Calc!$G$3:$G$22)</f>
        <v/>
      </c>
      <c r="N3998">
        <f>SUMPRODUCT(Calc!$K$3:$K$22*(Calc!$G$3:$G$22&gt;A3998)*(Calc!$G$3:$G$22-A3998)*Calc!$I$3:$I$22)</f>
        <v/>
      </c>
      <c r="O3998">
        <f>SUMPRODUCT(Calc!$K$3:$K$22*(Calc!$G$3:$G$22&gt;B3998)*(Calc!$G$3:$G$22-B3998)*Calc!$I$3:$I$22)</f>
        <v/>
      </c>
      <c r="P3998">
        <f>I3998-G3998^2/k_n</f>
        <v/>
      </c>
      <c r="Q3998">
        <f>J3998-H3998^2/k_n</f>
        <v/>
      </c>
      <c r="R3998">
        <f>K3998-G3998*H3998/k_n</f>
        <v/>
      </c>
      <c r="S3998">
        <f>L3998-LTP3!$D$3*G3998/k_n</f>
        <v/>
      </c>
      <c r="T3998">
        <f>M3998-LTP3!$D$3*H3998/k_n</f>
        <v/>
      </c>
      <c r="U3998">
        <f>N3998-G3998*LTP3!$D$4/k_n</f>
        <v/>
      </c>
      <c r="V3998">
        <f>O3998-H3998*LTP3!$D$4/k_n</f>
        <v/>
      </c>
      <c r="W3998">
        <f>((LTP3!$D$5)*((P3998)*(Q3998)-(R3998)*(R3998))-(S3998)*((S3998)*(Q3998)-(R3998)*(T3998))+(T3998)*((S3998)*(R3998)-(P3998)*(T3998)))</f>
        <v/>
      </c>
      <c r="X3998">
        <f>IF(ABS(W3998)&gt;1E-12,((LTP3!$D$6)*((P3998)*(Q3998)-(R3998)*(R3998))-(S3998)*((U3998)*(Q3998)-(R3998)*(V3998))+(T3998)*((U3998)*(R3998)-(P3998)*(V3998)))/W3998,0)</f>
        <v/>
      </c>
      <c r="Y3998">
        <f>IF(ABS(W3998)&gt;1E-12,((LTP3!$D$5)*((U3998)*(Q3998)-(R3998)*(V3998))-(LTP3!$D$6)*((S3998)*(Q3998)-(R3998)*(T3998))+(T3998)*((S3998)*(V3998)-(U3998)*(T3998)))/W3998,0)</f>
        <v/>
      </c>
      <c r="Z3998">
        <f>IF(ABS(W3998)&gt;1E-12,((LTP3!$D$5)*((P3998)*(V3998)-(U3998)*(R3998))-(S3998)*((S3998)*(V3998)-(U3998)*(T3998))+(LTP3!$D$6)*((S3998)*(R3998)-(P3998)*(T3998)))/W3998,0)</f>
        <v/>
      </c>
      <c r="AA3998">
        <f>LTP3!$D$7-X3998*LTP3!$D$6-Y3998*U3998-Z3998*V3998</f>
        <v/>
      </c>
      <c r="AB3998">
        <f>IF(AND(F3998,ABS(W3998)&gt;1E-12,Y3998&gt;0,Z3998&gt;0),AA3998,1E+300)</f>
        <v/>
      </c>
    </row>
    <row r="3999">
      <c r="A3999">
        <f>$I$3-$B$5+$B$5*12/10</f>
        <v/>
      </c>
      <c r="B3999">
        <f>$J$3-$B$5+$B$5*11/10</f>
        <v/>
      </c>
      <c r="C3999">
        <f>SUMPRODUCT(Calc!$K$3:$K$22*(Calc!$G$3:$G$22&lt;=A3999))</f>
        <v/>
      </c>
      <c r="D3999">
        <f>SUMPRODUCT(Calc!$K$3:$K$22*(Calc!$G$3:$G$22&gt;A3999)*(Calc!$G$3:$G$22&lt;B3999))</f>
        <v/>
      </c>
      <c r="E3999">
        <f>SUMPRODUCT(Calc!$K$3:$K$22*(Calc!$G$3:$G$22&gt;=B3999))</f>
        <v/>
      </c>
      <c r="F3999">
        <f>AND(k_n&gt;=5,B3999&gt;A3999+1E-9,C3999&gt;=2,D3999&gt;=1,E3999&gt;=2)</f>
        <v/>
      </c>
      <c r="G3999">
        <f>SUMPRODUCT(Calc!$K$3:$K$22*(Calc!$G$3:$G$22&gt;A3999)*(Calc!$G$3:$G$22-A3999))</f>
        <v/>
      </c>
      <c r="H3999">
        <f>SUMPRODUCT(Calc!$K$3:$K$22*(Calc!$G$3:$G$22&gt;B3999)*(Calc!$G$3:$G$22-B3999))</f>
        <v/>
      </c>
      <c r="I3999">
        <f>SUMPRODUCT(Calc!$K$3:$K$22*(Calc!$G$3:$G$22&gt;A3999)*(Calc!$G$3:$G$22-A3999)^2)</f>
        <v/>
      </c>
      <c r="J3999">
        <f>SUMPRODUCT(Calc!$K$3:$K$22*(Calc!$G$3:$G$22&gt;B3999)*(Calc!$G$3:$G$22-B3999)^2)</f>
        <v/>
      </c>
      <c r="K3999">
        <f>SUMPRODUCT(Calc!$K$3:$K$22*(Calc!$G$3:$G$22&gt;A3999)*(Calc!$G$3:$G$22-A3999)*(Calc!$G$3:$G$22&gt;B3999)*(Calc!$G$3:$G$22-B3999))</f>
        <v/>
      </c>
      <c r="L3999">
        <f>SUMPRODUCT(Calc!$K$3:$K$22*(Calc!$G$3:$G$22&gt;A3999)*(Calc!$G$3:$G$22-A3999)*Calc!$G$3:$G$22)</f>
        <v/>
      </c>
      <c r="M3999">
        <f>SUMPRODUCT(Calc!$K$3:$K$22*(Calc!$G$3:$G$22&gt;B3999)*(Calc!$G$3:$G$22-B3999)*Calc!$G$3:$G$22)</f>
        <v/>
      </c>
      <c r="N3999">
        <f>SUMPRODUCT(Calc!$K$3:$K$22*(Calc!$G$3:$G$22&gt;A3999)*(Calc!$G$3:$G$22-A3999)*Calc!$I$3:$I$22)</f>
        <v/>
      </c>
      <c r="O3999">
        <f>SUMPRODUCT(Calc!$K$3:$K$22*(Calc!$G$3:$G$22&gt;B3999)*(Calc!$G$3:$G$22-B3999)*Calc!$I$3:$I$22)</f>
        <v/>
      </c>
      <c r="P3999">
        <f>I3999-G3999^2/k_n</f>
        <v/>
      </c>
      <c r="Q3999">
        <f>J3999-H3999^2/k_n</f>
        <v/>
      </c>
      <c r="R3999">
        <f>K3999-G3999*H3999/k_n</f>
        <v/>
      </c>
      <c r="S3999">
        <f>L3999-LTP3!$D$3*G3999/k_n</f>
        <v/>
      </c>
      <c r="T3999">
        <f>M3999-LTP3!$D$3*H3999/k_n</f>
        <v/>
      </c>
      <c r="U3999">
        <f>N3999-G3999*LTP3!$D$4/k_n</f>
        <v/>
      </c>
      <c r="V3999">
        <f>O3999-H3999*LTP3!$D$4/k_n</f>
        <v/>
      </c>
      <c r="W3999">
        <f>((LTP3!$D$5)*((P3999)*(Q3999)-(R3999)*(R3999))-(S3999)*((S3999)*(Q3999)-(R3999)*(T3999))+(T3999)*((S3999)*(R3999)-(P3999)*(T3999)))</f>
        <v/>
      </c>
      <c r="X3999">
        <f>IF(ABS(W3999)&gt;1E-12,((LTP3!$D$6)*((P3999)*(Q3999)-(R3999)*(R3999))-(S3999)*((U3999)*(Q3999)-(R3999)*(V3999))+(T3999)*((U3999)*(R3999)-(P3999)*(V3999)))/W3999,0)</f>
        <v/>
      </c>
      <c r="Y3999">
        <f>IF(ABS(W3999)&gt;1E-12,((LTP3!$D$5)*((U3999)*(Q3999)-(R3999)*(V3999))-(LTP3!$D$6)*((S3999)*(Q3999)-(R3999)*(T3999))+(T3999)*((S3999)*(V3999)-(U3999)*(T3999)))/W3999,0)</f>
        <v/>
      </c>
      <c r="Z3999">
        <f>IF(ABS(W3999)&gt;1E-12,((LTP3!$D$5)*((P3999)*(V3999)-(U3999)*(R3999))-(S3999)*((S3999)*(V3999)-(U3999)*(T3999))+(LTP3!$D$6)*((S3999)*(R3999)-(P3999)*(T3999)))/W3999,0)</f>
        <v/>
      </c>
      <c r="AA3999">
        <f>LTP3!$D$7-X3999*LTP3!$D$6-Y3999*U3999-Z3999*V3999</f>
        <v/>
      </c>
      <c r="AB3999">
        <f>IF(AND(F3999,ABS(W3999)&gt;1E-12,Y3999&gt;0,Z3999&gt;0),AA3999,1E+300)</f>
        <v/>
      </c>
    </row>
    <row r="4000">
      <c r="A4000">
        <f>$I$3-$B$5+$B$5*12/10</f>
        <v/>
      </c>
      <c r="B4000">
        <f>$J$3-$B$5+$B$5*12/10</f>
        <v/>
      </c>
      <c r="C4000">
        <f>SUMPRODUCT(Calc!$K$3:$K$22*(Calc!$G$3:$G$22&lt;=A4000))</f>
        <v/>
      </c>
      <c r="D4000">
        <f>SUMPRODUCT(Calc!$K$3:$K$22*(Calc!$G$3:$G$22&gt;A4000)*(Calc!$G$3:$G$22&lt;B4000))</f>
        <v/>
      </c>
      <c r="E4000">
        <f>SUMPRODUCT(Calc!$K$3:$K$22*(Calc!$G$3:$G$22&gt;=B4000))</f>
        <v/>
      </c>
      <c r="F4000">
        <f>AND(k_n&gt;=5,B4000&gt;A4000+1E-9,C4000&gt;=2,D4000&gt;=1,E4000&gt;=2)</f>
        <v/>
      </c>
      <c r="G4000">
        <f>SUMPRODUCT(Calc!$K$3:$K$22*(Calc!$G$3:$G$22&gt;A4000)*(Calc!$G$3:$G$22-A4000))</f>
        <v/>
      </c>
      <c r="H4000">
        <f>SUMPRODUCT(Calc!$K$3:$K$22*(Calc!$G$3:$G$22&gt;B4000)*(Calc!$G$3:$G$22-B4000))</f>
        <v/>
      </c>
      <c r="I4000">
        <f>SUMPRODUCT(Calc!$K$3:$K$22*(Calc!$G$3:$G$22&gt;A4000)*(Calc!$G$3:$G$22-A4000)^2)</f>
        <v/>
      </c>
      <c r="J4000">
        <f>SUMPRODUCT(Calc!$K$3:$K$22*(Calc!$G$3:$G$22&gt;B4000)*(Calc!$G$3:$G$22-B4000)^2)</f>
        <v/>
      </c>
      <c r="K4000">
        <f>SUMPRODUCT(Calc!$K$3:$K$22*(Calc!$G$3:$G$22&gt;A4000)*(Calc!$G$3:$G$22-A4000)*(Calc!$G$3:$G$22&gt;B4000)*(Calc!$G$3:$G$22-B4000))</f>
        <v/>
      </c>
      <c r="L4000">
        <f>SUMPRODUCT(Calc!$K$3:$K$22*(Calc!$G$3:$G$22&gt;A4000)*(Calc!$G$3:$G$22-A4000)*Calc!$G$3:$G$22)</f>
        <v/>
      </c>
      <c r="M4000">
        <f>SUMPRODUCT(Calc!$K$3:$K$22*(Calc!$G$3:$G$22&gt;B4000)*(Calc!$G$3:$G$22-B4000)*Calc!$G$3:$G$22)</f>
        <v/>
      </c>
      <c r="N4000">
        <f>SUMPRODUCT(Calc!$K$3:$K$22*(Calc!$G$3:$G$22&gt;A4000)*(Calc!$G$3:$G$22-A4000)*Calc!$I$3:$I$22)</f>
        <v/>
      </c>
      <c r="O4000">
        <f>SUMPRODUCT(Calc!$K$3:$K$22*(Calc!$G$3:$G$22&gt;B4000)*(Calc!$G$3:$G$22-B4000)*Calc!$I$3:$I$22)</f>
        <v/>
      </c>
      <c r="P4000">
        <f>I4000-G4000^2/k_n</f>
        <v/>
      </c>
      <c r="Q4000">
        <f>J4000-H4000^2/k_n</f>
        <v/>
      </c>
      <c r="R4000">
        <f>K4000-G4000*H4000/k_n</f>
        <v/>
      </c>
      <c r="S4000">
        <f>L4000-LTP3!$D$3*G4000/k_n</f>
        <v/>
      </c>
      <c r="T4000">
        <f>M4000-LTP3!$D$3*H4000/k_n</f>
        <v/>
      </c>
      <c r="U4000">
        <f>N4000-G4000*LTP3!$D$4/k_n</f>
        <v/>
      </c>
      <c r="V4000">
        <f>O4000-H4000*LTP3!$D$4/k_n</f>
        <v/>
      </c>
      <c r="W4000">
        <f>((LTP3!$D$5)*((P4000)*(Q4000)-(R4000)*(R4000))-(S4000)*((S4000)*(Q4000)-(R4000)*(T4000))+(T4000)*((S4000)*(R4000)-(P4000)*(T4000)))</f>
        <v/>
      </c>
      <c r="X4000">
        <f>IF(ABS(W4000)&gt;1E-12,((LTP3!$D$6)*((P4000)*(Q4000)-(R4000)*(R4000))-(S4000)*((U4000)*(Q4000)-(R4000)*(V4000))+(T4000)*((U4000)*(R4000)-(P4000)*(V4000)))/W4000,0)</f>
        <v/>
      </c>
      <c r="Y4000">
        <f>IF(ABS(W4000)&gt;1E-12,((LTP3!$D$5)*((U4000)*(Q4000)-(R4000)*(V4000))-(LTP3!$D$6)*((S4000)*(Q4000)-(R4000)*(T4000))+(T4000)*((S4000)*(V4000)-(U4000)*(T4000)))/W4000,0)</f>
        <v/>
      </c>
      <c r="Z4000">
        <f>IF(ABS(W4000)&gt;1E-12,((LTP3!$D$5)*((P4000)*(V4000)-(U4000)*(R4000))-(S4000)*((S4000)*(V4000)-(U4000)*(T4000))+(LTP3!$D$6)*((S4000)*(R4000)-(P4000)*(T4000)))/W4000,0)</f>
        <v/>
      </c>
      <c r="AA4000">
        <f>LTP3!$D$7-X4000*LTP3!$D$6-Y4000*U4000-Z4000*V4000</f>
        <v/>
      </c>
      <c r="AB4000">
        <f>IF(AND(F4000,ABS(W4000)&gt;1E-12,Y4000&gt;0,Z4000&gt;0),AA4000,1E+300)</f>
        <v/>
      </c>
    </row>
    <row r="4001">
      <c r="A4001">
        <f>$I$3-$B$5+$B$5*12/10</f>
        <v/>
      </c>
      <c r="B4001">
        <f>$J$3-$B$5+$B$5*13/10</f>
        <v/>
      </c>
      <c r="C4001">
        <f>SUMPRODUCT(Calc!$K$3:$K$22*(Calc!$G$3:$G$22&lt;=A4001))</f>
        <v/>
      </c>
      <c r="D4001">
        <f>SUMPRODUCT(Calc!$K$3:$K$22*(Calc!$G$3:$G$22&gt;A4001)*(Calc!$G$3:$G$22&lt;B4001))</f>
        <v/>
      </c>
      <c r="E4001">
        <f>SUMPRODUCT(Calc!$K$3:$K$22*(Calc!$G$3:$G$22&gt;=B4001))</f>
        <v/>
      </c>
      <c r="F4001">
        <f>AND(k_n&gt;=5,B4001&gt;A4001+1E-9,C4001&gt;=2,D4001&gt;=1,E4001&gt;=2)</f>
        <v/>
      </c>
      <c r="G4001">
        <f>SUMPRODUCT(Calc!$K$3:$K$22*(Calc!$G$3:$G$22&gt;A4001)*(Calc!$G$3:$G$22-A4001))</f>
        <v/>
      </c>
      <c r="H4001">
        <f>SUMPRODUCT(Calc!$K$3:$K$22*(Calc!$G$3:$G$22&gt;B4001)*(Calc!$G$3:$G$22-B4001))</f>
        <v/>
      </c>
      <c r="I4001">
        <f>SUMPRODUCT(Calc!$K$3:$K$22*(Calc!$G$3:$G$22&gt;A4001)*(Calc!$G$3:$G$22-A4001)^2)</f>
        <v/>
      </c>
      <c r="J4001">
        <f>SUMPRODUCT(Calc!$K$3:$K$22*(Calc!$G$3:$G$22&gt;B4001)*(Calc!$G$3:$G$22-B4001)^2)</f>
        <v/>
      </c>
      <c r="K4001">
        <f>SUMPRODUCT(Calc!$K$3:$K$22*(Calc!$G$3:$G$22&gt;A4001)*(Calc!$G$3:$G$22-A4001)*(Calc!$G$3:$G$22&gt;B4001)*(Calc!$G$3:$G$22-B4001))</f>
        <v/>
      </c>
      <c r="L4001">
        <f>SUMPRODUCT(Calc!$K$3:$K$22*(Calc!$G$3:$G$22&gt;A4001)*(Calc!$G$3:$G$22-A4001)*Calc!$G$3:$G$22)</f>
        <v/>
      </c>
      <c r="M4001">
        <f>SUMPRODUCT(Calc!$K$3:$K$22*(Calc!$G$3:$G$22&gt;B4001)*(Calc!$G$3:$G$22-B4001)*Calc!$G$3:$G$22)</f>
        <v/>
      </c>
      <c r="N4001">
        <f>SUMPRODUCT(Calc!$K$3:$K$22*(Calc!$G$3:$G$22&gt;A4001)*(Calc!$G$3:$G$22-A4001)*Calc!$I$3:$I$22)</f>
        <v/>
      </c>
      <c r="O4001">
        <f>SUMPRODUCT(Calc!$K$3:$K$22*(Calc!$G$3:$G$22&gt;B4001)*(Calc!$G$3:$G$22-B4001)*Calc!$I$3:$I$22)</f>
        <v/>
      </c>
      <c r="P4001">
        <f>I4001-G4001^2/k_n</f>
        <v/>
      </c>
      <c r="Q4001">
        <f>J4001-H4001^2/k_n</f>
        <v/>
      </c>
      <c r="R4001">
        <f>K4001-G4001*H4001/k_n</f>
        <v/>
      </c>
      <c r="S4001">
        <f>L4001-LTP3!$D$3*G4001/k_n</f>
        <v/>
      </c>
      <c r="T4001">
        <f>M4001-LTP3!$D$3*H4001/k_n</f>
        <v/>
      </c>
      <c r="U4001">
        <f>N4001-G4001*LTP3!$D$4/k_n</f>
        <v/>
      </c>
      <c r="V4001">
        <f>O4001-H4001*LTP3!$D$4/k_n</f>
        <v/>
      </c>
      <c r="W4001">
        <f>((LTP3!$D$5)*((P4001)*(Q4001)-(R4001)*(R4001))-(S4001)*((S4001)*(Q4001)-(R4001)*(T4001))+(T4001)*((S4001)*(R4001)-(P4001)*(T4001)))</f>
        <v/>
      </c>
      <c r="X4001">
        <f>IF(ABS(W4001)&gt;1E-12,((LTP3!$D$6)*((P4001)*(Q4001)-(R4001)*(R4001))-(S4001)*((U4001)*(Q4001)-(R4001)*(V4001))+(T4001)*((U4001)*(R4001)-(P4001)*(V4001)))/W4001,0)</f>
        <v/>
      </c>
      <c r="Y4001">
        <f>IF(ABS(W4001)&gt;1E-12,((LTP3!$D$5)*((U4001)*(Q4001)-(R4001)*(V4001))-(LTP3!$D$6)*((S4001)*(Q4001)-(R4001)*(T4001))+(T4001)*((S4001)*(V4001)-(U4001)*(T4001)))/W4001,0)</f>
        <v/>
      </c>
      <c r="Z4001">
        <f>IF(ABS(W4001)&gt;1E-12,((LTP3!$D$5)*((P4001)*(V4001)-(U4001)*(R4001))-(S4001)*((S4001)*(V4001)-(U4001)*(T4001))+(LTP3!$D$6)*((S4001)*(R4001)-(P4001)*(T4001)))/W4001,0)</f>
        <v/>
      </c>
      <c r="AA4001">
        <f>LTP3!$D$7-X4001*LTP3!$D$6-Y4001*U4001-Z4001*V4001</f>
        <v/>
      </c>
      <c r="AB4001">
        <f>IF(AND(F4001,ABS(W4001)&gt;1E-12,Y4001&gt;0,Z4001&gt;0),AA4001,1E+300)</f>
        <v/>
      </c>
    </row>
    <row r="4002">
      <c r="A4002">
        <f>$I$3-$B$5+$B$5*12/10</f>
        <v/>
      </c>
      <c r="B4002">
        <f>$J$3-$B$5+$B$5*14/10</f>
        <v/>
      </c>
      <c r="C4002">
        <f>SUMPRODUCT(Calc!$K$3:$K$22*(Calc!$G$3:$G$22&lt;=A4002))</f>
        <v/>
      </c>
      <c r="D4002">
        <f>SUMPRODUCT(Calc!$K$3:$K$22*(Calc!$G$3:$G$22&gt;A4002)*(Calc!$G$3:$G$22&lt;B4002))</f>
        <v/>
      </c>
      <c r="E4002">
        <f>SUMPRODUCT(Calc!$K$3:$K$22*(Calc!$G$3:$G$22&gt;=B4002))</f>
        <v/>
      </c>
      <c r="F4002">
        <f>AND(k_n&gt;=5,B4002&gt;A4002+1E-9,C4002&gt;=2,D4002&gt;=1,E4002&gt;=2)</f>
        <v/>
      </c>
      <c r="G4002">
        <f>SUMPRODUCT(Calc!$K$3:$K$22*(Calc!$G$3:$G$22&gt;A4002)*(Calc!$G$3:$G$22-A4002))</f>
        <v/>
      </c>
      <c r="H4002">
        <f>SUMPRODUCT(Calc!$K$3:$K$22*(Calc!$G$3:$G$22&gt;B4002)*(Calc!$G$3:$G$22-B4002))</f>
        <v/>
      </c>
      <c r="I4002">
        <f>SUMPRODUCT(Calc!$K$3:$K$22*(Calc!$G$3:$G$22&gt;A4002)*(Calc!$G$3:$G$22-A4002)^2)</f>
        <v/>
      </c>
      <c r="J4002">
        <f>SUMPRODUCT(Calc!$K$3:$K$22*(Calc!$G$3:$G$22&gt;B4002)*(Calc!$G$3:$G$22-B4002)^2)</f>
        <v/>
      </c>
      <c r="K4002">
        <f>SUMPRODUCT(Calc!$K$3:$K$22*(Calc!$G$3:$G$22&gt;A4002)*(Calc!$G$3:$G$22-A4002)*(Calc!$G$3:$G$22&gt;B4002)*(Calc!$G$3:$G$22-B4002))</f>
        <v/>
      </c>
      <c r="L4002">
        <f>SUMPRODUCT(Calc!$K$3:$K$22*(Calc!$G$3:$G$22&gt;A4002)*(Calc!$G$3:$G$22-A4002)*Calc!$G$3:$G$22)</f>
        <v/>
      </c>
      <c r="M4002">
        <f>SUMPRODUCT(Calc!$K$3:$K$22*(Calc!$G$3:$G$22&gt;B4002)*(Calc!$G$3:$G$22-B4002)*Calc!$G$3:$G$22)</f>
        <v/>
      </c>
      <c r="N4002">
        <f>SUMPRODUCT(Calc!$K$3:$K$22*(Calc!$G$3:$G$22&gt;A4002)*(Calc!$G$3:$G$22-A4002)*Calc!$I$3:$I$22)</f>
        <v/>
      </c>
      <c r="O4002">
        <f>SUMPRODUCT(Calc!$K$3:$K$22*(Calc!$G$3:$G$22&gt;B4002)*(Calc!$G$3:$G$22-B4002)*Calc!$I$3:$I$22)</f>
        <v/>
      </c>
      <c r="P4002">
        <f>I4002-G4002^2/k_n</f>
        <v/>
      </c>
      <c r="Q4002">
        <f>J4002-H4002^2/k_n</f>
        <v/>
      </c>
      <c r="R4002">
        <f>K4002-G4002*H4002/k_n</f>
        <v/>
      </c>
      <c r="S4002">
        <f>L4002-LTP3!$D$3*G4002/k_n</f>
        <v/>
      </c>
      <c r="T4002">
        <f>M4002-LTP3!$D$3*H4002/k_n</f>
        <v/>
      </c>
      <c r="U4002">
        <f>N4002-G4002*LTP3!$D$4/k_n</f>
        <v/>
      </c>
      <c r="V4002">
        <f>O4002-H4002*LTP3!$D$4/k_n</f>
        <v/>
      </c>
      <c r="W4002">
        <f>((LTP3!$D$5)*((P4002)*(Q4002)-(R4002)*(R4002))-(S4002)*((S4002)*(Q4002)-(R4002)*(T4002))+(T4002)*((S4002)*(R4002)-(P4002)*(T4002)))</f>
        <v/>
      </c>
      <c r="X4002">
        <f>IF(ABS(W4002)&gt;1E-12,((LTP3!$D$6)*((P4002)*(Q4002)-(R4002)*(R4002))-(S4002)*((U4002)*(Q4002)-(R4002)*(V4002))+(T4002)*((U4002)*(R4002)-(P4002)*(V4002)))/W4002,0)</f>
        <v/>
      </c>
      <c r="Y4002">
        <f>IF(ABS(W4002)&gt;1E-12,((LTP3!$D$5)*((U4002)*(Q4002)-(R4002)*(V4002))-(LTP3!$D$6)*((S4002)*(Q4002)-(R4002)*(T4002))+(T4002)*((S4002)*(V4002)-(U4002)*(T4002)))/W4002,0)</f>
        <v/>
      </c>
      <c r="Z4002">
        <f>IF(ABS(W4002)&gt;1E-12,((LTP3!$D$5)*((P4002)*(V4002)-(U4002)*(R4002))-(S4002)*((S4002)*(V4002)-(U4002)*(T4002))+(LTP3!$D$6)*((S4002)*(R4002)-(P4002)*(T4002)))/W4002,0)</f>
        <v/>
      </c>
      <c r="AA4002">
        <f>LTP3!$D$7-X4002*LTP3!$D$6-Y4002*U4002-Z4002*V4002</f>
        <v/>
      </c>
      <c r="AB4002">
        <f>IF(AND(F4002,ABS(W4002)&gt;1E-12,Y4002&gt;0,Z4002&gt;0),AA4002,1E+300)</f>
        <v/>
      </c>
    </row>
    <row r="4003">
      <c r="A4003">
        <f>$I$3-$B$5+$B$5*12/10</f>
        <v/>
      </c>
      <c r="B4003">
        <f>$J$3-$B$5+$B$5*15/10</f>
        <v/>
      </c>
      <c r="C4003">
        <f>SUMPRODUCT(Calc!$K$3:$K$22*(Calc!$G$3:$G$22&lt;=A4003))</f>
        <v/>
      </c>
      <c r="D4003">
        <f>SUMPRODUCT(Calc!$K$3:$K$22*(Calc!$G$3:$G$22&gt;A4003)*(Calc!$G$3:$G$22&lt;B4003))</f>
        <v/>
      </c>
      <c r="E4003">
        <f>SUMPRODUCT(Calc!$K$3:$K$22*(Calc!$G$3:$G$22&gt;=B4003))</f>
        <v/>
      </c>
      <c r="F4003">
        <f>AND(k_n&gt;=5,B4003&gt;A4003+1E-9,C4003&gt;=2,D4003&gt;=1,E4003&gt;=2)</f>
        <v/>
      </c>
      <c r="G4003">
        <f>SUMPRODUCT(Calc!$K$3:$K$22*(Calc!$G$3:$G$22&gt;A4003)*(Calc!$G$3:$G$22-A4003))</f>
        <v/>
      </c>
      <c r="H4003">
        <f>SUMPRODUCT(Calc!$K$3:$K$22*(Calc!$G$3:$G$22&gt;B4003)*(Calc!$G$3:$G$22-B4003))</f>
        <v/>
      </c>
      <c r="I4003">
        <f>SUMPRODUCT(Calc!$K$3:$K$22*(Calc!$G$3:$G$22&gt;A4003)*(Calc!$G$3:$G$22-A4003)^2)</f>
        <v/>
      </c>
      <c r="J4003">
        <f>SUMPRODUCT(Calc!$K$3:$K$22*(Calc!$G$3:$G$22&gt;B4003)*(Calc!$G$3:$G$22-B4003)^2)</f>
        <v/>
      </c>
      <c r="K4003">
        <f>SUMPRODUCT(Calc!$K$3:$K$22*(Calc!$G$3:$G$22&gt;A4003)*(Calc!$G$3:$G$22-A4003)*(Calc!$G$3:$G$22&gt;B4003)*(Calc!$G$3:$G$22-B4003))</f>
        <v/>
      </c>
      <c r="L4003">
        <f>SUMPRODUCT(Calc!$K$3:$K$22*(Calc!$G$3:$G$22&gt;A4003)*(Calc!$G$3:$G$22-A4003)*Calc!$G$3:$G$22)</f>
        <v/>
      </c>
      <c r="M4003">
        <f>SUMPRODUCT(Calc!$K$3:$K$22*(Calc!$G$3:$G$22&gt;B4003)*(Calc!$G$3:$G$22-B4003)*Calc!$G$3:$G$22)</f>
        <v/>
      </c>
      <c r="N4003">
        <f>SUMPRODUCT(Calc!$K$3:$K$22*(Calc!$G$3:$G$22&gt;A4003)*(Calc!$G$3:$G$22-A4003)*Calc!$I$3:$I$22)</f>
        <v/>
      </c>
      <c r="O4003">
        <f>SUMPRODUCT(Calc!$K$3:$K$22*(Calc!$G$3:$G$22&gt;B4003)*(Calc!$G$3:$G$22-B4003)*Calc!$I$3:$I$22)</f>
        <v/>
      </c>
      <c r="P4003">
        <f>I4003-G4003^2/k_n</f>
        <v/>
      </c>
      <c r="Q4003">
        <f>J4003-H4003^2/k_n</f>
        <v/>
      </c>
      <c r="R4003">
        <f>K4003-G4003*H4003/k_n</f>
        <v/>
      </c>
      <c r="S4003">
        <f>L4003-LTP3!$D$3*G4003/k_n</f>
        <v/>
      </c>
      <c r="T4003">
        <f>M4003-LTP3!$D$3*H4003/k_n</f>
        <v/>
      </c>
      <c r="U4003">
        <f>N4003-G4003*LTP3!$D$4/k_n</f>
        <v/>
      </c>
      <c r="V4003">
        <f>O4003-H4003*LTP3!$D$4/k_n</f>
        <v/>
      </c>
      <c r="W4003">
        <f>((LTP3!$D$5)*((P4003)*(Q4003)-(R4003)*(R4003))-(S4003)*((S4003)*(Q4003)-(R4003)*(T4003))+(T4003)*((S4003)*(R4003)-(P4003)*(T4003)))</f>
        <v/>
      </c>
      <c r="X4003">
        <f>IF(ABS(W4003)&gt;1E-12,((LTP3!$D$6)*((P4003)*(Q4003)-(R4003)*(R4003))-(S4003)*((U4003)*(Q4003)-(R4003)*(V4003))+(T4003)*((U4003)*(R4003)-(P4003)*(V4003)))/W4003,0)</f>
        <v/>
      </c>
      <c r="Y4003">
        <f>IF(ABS(W4003)&gt;1E-12,((LTP3!$D$5)*((U4003)*(Q4003)-(R4003)*(V4003))-(LTP3!$D$6)*((S4003)*(Q4003)-(R4003)*(T4003))+(T4003)*((S4003)*(V4003)-(U4003)*(T4003)))/W4003,0)</f>
        <v/>
      </c>
      <c r="Z4003">
        <f>IF(ABS(W4003)&gt;1E-12,((LTP3!$D$5)*((P4003)*(V4003)-(U4003)*(R4003))-(S4003)*((S4003)*(V4003)-(U4003)*(T4003))+(LTP3!$D$6)*((S4003)*(R4003)-(P4003)*(T4003)))/W4003,0)</f>
        <v/>
      </c>
      <c r="AA4003">
        <f>LTP3!$D$7-X4003*LTP3!$D$6-Y4003*U4003-Z4003*V4003</f>
        <v/>
      </c>
      <c r="AB4003">
        <f>IF(AND(F4003,ABS(W4003)&gt;1E-12,Y4003&gt;0,Z4003&gt;0),AA4003,1E+300)</f>
        <v/>
      </c>
    </row>
    <row r="4004">
      <c r="A4004">
        <f>$I$3-$B$5+$B$5*12/10</f>
        <v/>
      </c>
      <c r="B4004">
        <f>$J$3-$B$5+$B$5*16/10</f>
        <v/>
      </c>
      <c r="C4004">
        <f>SUMPRODUCT(Calc!$K$3:$K$22*(Calc!$G$3:$G$22&lt;=A4004))</f>
        <v/>
      </c>
      <c r="D4004">
        <f>SUMPRODUCT(Calc!$K$3:$K$22*(Calc!$G$3:$G$22&gt;A4004)*(Calc!$G$3:$G$22&lt;B4004))</f>
        <v/>
      </c>
      <c r="E4004">
        <f>SUMPRODUCT(Calc!$K$3:$K$22*(Calc!$G$3:$G$22&gt;=B4004))</f>
        <v/>
      </c>
      <c r="F4004">
        <f>AND(k_n&gt;=5,B4004&gt;A4004+1E-9,C4004&gt;=2,D4004&gt;=1,E4004&gt;=2)</f>
        <v/>
      </c>
      <c r="G4004">
        <f>SUMPRODUCT(Calc!$K$3:$K$22*(Calc!$G$3:$G$22&gt;A4004)*(Calc!$G$3:$G$22-A4004))</f>
        <v/>
      </c>
      <c r="H4004">
        <f>SUMPRODUCT(Calc!$K$3:$K$22*(Calc!$G$3:$G$22&gt;B4004)*(Calc!$G$3:$G$22-B4004))</f>
        <v/>
      </c>
      <c r="I4004">
        <f>SUMPRODUCT(Calc!$K$3:$K$22*(Calc!$G$3:$G$22&gt;A4004)*(Calc!$G$3:$G$22-A4004)^2)</f>
        <v/>
      </c>
      <c r="J4004">
        <f>SUMPRODUCT(Calc!$K$3:$K$22*(Calc!$G$3:$G$22&gt;B4004)*(Calc!$G$3:$G$22-B4004)^2)</f>
        <v/>
      </c>
      <c r="K4004">
        <f>SUMPRODUCT(Calc!$K$3:$K$22*(Calc!$G$3:$G$22&gt;A4004)*(Calc!$G$3:$G$22-A4004)*(Calc!$G$3:$G$22&gt;B4004)*(Calc!$G$3:$G$22-B4004))</f>
        <v/>
      </c>
      <c r="L4004">
        <f>SUMPRODUCT(Calc!$K$3:$K$22*(Calc!$G$3:$G$22&gt;A4004)*(Calc!$G$3:$G$22-A4004)*Calc!$G$3:$G$22)</f>
        <v/>
      </c>
      <c r="M4004">
        <f>SUMPRODUCT(Calc!$K$3:$K$22*(Calc!$G$3:$G$22&gt;B4004)*(Calc!$G$3:$G$22-B4004)*Calc!$G$3:$G$22)</f>
        <v/>
      </c>
      <c r="N4004">
        <f>SUMPRODUCT(Calc!$K$3:$K$22*(Calc!$G$3:$G$22&gt;A4004)*(Calc!$G$3:$G$22-A4004)*Calc!$I$3:$I$22)</f>
        <v/>
      </c>
      <c r="O4004">
        <f>SUMPRODUCT(Calc!$K$3:$K$22*(Calc!$G$3:$G$22&gt;B4004)*(Calc!$G$3:$G$22-B4004)*Calc!$I$3:$I$22)</f>
        <v/>
      </c>
      <c r="P4004">
        <f>I4004-G4004^2/k_n</f>
        <v/>
      </c>
      <c r="Q4004">
        <f>J4004-H4004^2/k_n</f>
        <v/>
      </c>
      <c r="R4004">
        <f>K4004-G4004*H4004/k_n</f>
        <v/>
      </c>
      <c r="S4004">
        <f>L4004-LTP3!$D$3*G4004/k_n</f>
        <v/>
      </c>
      <c r="T4004">
        <f>M4004-LTP3!$D$3*H4004/k_n</f>
        <v/>
      </c>
      <c r="U4004">
        <f>N4004-G4004*LTP3!$D$4/k_n</f>
        <v/>
      </c>
      <c r="V4004">
        <f>O4004-H4004*LTP3!$D$4/k_n</f>
        <v/>
      </c>
      <c r="W4004">
        <f>((LTP3!$D$5)*((P4004)*(Q4004)-(R4004)*(R4004))-(S4004)*((S4004)*(Q4004)-(R4004)*(T4004))+(T4004)*((S4004)*(R4004)-(P4004)*(T4004)))</f>
        <v/>
      </c>
      <c r="X4004">
        <f>IF(ABS(W4004)&gt;1E-12,((LTP3!$D$6)*((P4004)*(Q4004)-(R4004)*(R4004))-(S4004)*((U4004)*(Q4004)-(R4004)*(V4004))+(T4004)*((U4004)*(R4004)-(P4004)*(V4004)))/W4004,0)</f>
        <v/>
      </c>
      <c r="Y4004">
        <f>IF(ABS(W4004)&gt;1E-12,((LTP3!$D$5)*((U4004)*(Q4004)-(R4004)*(V4004))-(LTP3!$D$6)*((S4004)*(Q4004)-(R4004)*(T4004))+(T4004)*((S4004)*(V4004)-(U4004)*(T4004)))/W4004,0)</f>
        <v/>
      </c>
      <c r="Z4004">
        <f>IF(ABS(W4004)&gt;1E-12,((LTP3!$D$5)*((P4004)*(V4004)-(U4004)*(R4004))-(S4004)*((S4004)*(V4004)-(U4004)*(T4004))+(LTP3!$D$6)*((S4004)*(R4004)-(P4004)*(T4004)))/W4004,0)</f>
        <v/>
      </c>
      <c r="AA4004">
        <f>LTP3!$D$7-X4004*LTP3!$D$6-Y4004*U4004-Z4004*V4004</f>
        <v/>
      </c>
      <c r="AB4004">
        <f>IF(AND(F4004,ABS(W4004)&gt;1E-12,Y4004&gt;0,Z4004&gt;0),AA4004,1E+300)</f>
        <v/>
      </c>
    </row>
    <row r="4005">
      <c r="A4005">
        <f>$I$3-$B$5+$B$5*12/10</f>
        <v/>
      </c>
      <c r="B4005">
        <f>$J$3-$B$5+$B$5*17/10</f>
        <v/>
      </c>
      <c r="C4005">
        <f>SUMPRODUCT(Calc!$K$3:$K$22*(Calc!$G$3:$G$22&lt;=A4005))</f>
        <v/>
      </c>
      <c r="D4005">
        <f>SUMPRODUCT(Calc!$K$3:$K$22*(Calc!$G$3:$G$22&gt;A4005)*(Calc!$G$3:$G$22&lt;B4005))</f>
        <v/>
      </c>
      <c r="E4005">
        <f>SUMPRODUCT(Calc!$K$3:$K$22*(Calc!$G$3:$G$22&gt;=B4005))</f>
        <v/>
      </c>
      <c r="F4005">
        <f>AND(k_n&gt;=5,B4005&gt;A4005+1E-9,C4005&gt;=2,D4005&gt;=1,E4005&gt;=2)</f>
        <v/>
      </c>
      <c r="G4005">
        <f>SUMPRODUCT(Calc!$K$3:$K$22*(Calc!$G$3:$G$22&gt;A4005)*(Calc!$G$3:$G$22-A4005))</f>
        <v/>
      </c>
      <c r="H4005">
        <f>SUMPRODUCT(Calc!$K$3:$K$22*(Calc!$G$3:$G$22&gt;B4005)*(Calc!$G$3:$G$22-B4005))</f>
        <v/>
      </c>
      <c r="I4005">
        <f>SUMPRODUCT(Calc!$K$3:$K$22*(Calc!$G$3:$G$22&gt;A4005)*(Calc!$G$3:$G$22-A4005)^2)</f>
        <v/>
      </c>
      <c r="J4005">
        <f>SUMPRODUCT(Calc!$K$3:$K$22*(Calc!$G$3:$G$22&gt;B4005)*(Calc!$G$3:$G$22-B4005)^2)</f>
        <v/>
      </c>
      <c r="K4005">
        <f>SUMPRODUCT(Calc!$K$3:$K$22*(Calc!$G$3:$G$22&gt;A4005)*(Calc!$G$3:$G$22-A4005)*(Calc!$G$3:$G$22&gt;B4005)*(Calc!$G$3:$G$22-B4005))</f>
        <v/>
      </c>
      <c r="L4005">
        <f>SUMPRODUCT(Calc!$K$3:$K$22*(Calc!$G$3:$G$22&gt;A4005)*(Calc!$G$3:$G$22-A4005)*Calc!$G$3:$G$22)</f>
        <v/>
      </c>
      <c r="M4005">
        <f>SUMPRODUCT(Calc!$K$3:$K$22*(Calc!$G$3:$G$22&gt;B4005)*(Calc!$G$3:$G$22-B4005)*Calc!$G$3:$G$22)</f>
        <v/>
      </c>
      <c r="N4005">
        <f>SUMPRODUCT(Calc!$K$3:$K$22*(Calc!$G$3:$G$22&gt;A4005)*(Calc!$G$3:$G$22-A4005)*Calc!$I$3:$I$22)</f>
        <v/>
      </c>
      <c r="O4005">
        <f>SUMPRODUCT(Calc!$K$3:$K$22*(Calc!$G$3:$G$22&gt;B4005)*(Calc!$G$3:$G$22-B4005)*Calc!$I$3:$I$22)</f>
        <v/>
      </c>
      <c r="P4005">
        <f>I4005-G4005^2/k_n</f>
        <v/>
      </c>
      <c r="Q4005">
        <f>J4005-H4005^2/k_n</f>
        <v/>
      </c>
      <c r="R4005">
        <f>K4005-G4005*H4005/k_n</f>
        <v/>
      </c>
      <c r="S4005">
        <f>L4005-LTP3!$D$3*G4005/k_n</f>
        <v/>
      </c>
      <c r="T4005">
        <f>M4005-LTP3!$D$3*H4005/k_n</f>
        <v/>
      </c>
      <c r="U4005">
        <f>N4005-G4005*LTP3!$D$4/k_n</f>
        <v/>
      </c>
      <c r="V4005">
        <f>O4005-H4005*LTP3!$D$4/k_n</f>
        <v/>
      </c>
      <c r="W4005">
        <f>((LTP3!$D$5)*((P4005)*(Q4005)-(R4005)*(R4005))-(S4005)*((S4005)*(Q4005)-(R4005)*(T4005))+(T4005)*((S4005)*(R4005)-(P4005)*(T4005)))</f>
        <v/>
      </c>
      <c r="X4005">
        <f>IF(ABS(W4005)&gt;1E-12,((LTP3!$D$6)*((P4005)*(Q4005)-(R4005)*(R4005))-(S4005)*((U4005)*(Q4005)-(R4005)*(V4005))+(T4005)*((U4005)*(R4005)-(P4005)*(V4005)))/W4005,0)</f>
        <v/>
      </c>
      <c r="Y4005">
        <f>IF(ABS(W4005)&gt;1E-12,((LTP3!$D$5)*((U4005)*(Q4005)-(R4005)*(V4005))-(LTP3!$D$6)*((S4005)*(Q4005)-(R4005)*(T4005))+(T4005)*((S4005)*(V4005)-(U4005)*(T4005)))/W4005,0)</f>
        <v/>
      </c>
      <c r="Z4005">
        <f>IF(ABS(W4005)&gt;1E-12,((LTP3!$D$5)*((P4005)*(V4005)-(U4005)*(R4005))-(S4005)*((S4005)*(V4005)-(U4005)*(T4005))+(LTP3!$D$6)*((S4005)*(R4005)-(P4005)*(T4005)))/W4005,0)</f>
        <v/>
      </c>
      <c r="AA4005">
        <f>LTP3!$D$7-X4005*LTP3!$D$6-Y4005*U4005-Z4005*V4005</f>
        <v/>
      </c>
      <c r="AB4005">
        <f>IF(AND(F4005,ABS(W4005)&gt;1E-12,Y4005&gt;0,Z4005&gt;0),AA4005,1E+300)</f>
        <v/>
      </c>
    </row>
    <row r="4006">
      <c r="A4006">
        <f>$I$3-$B$5+$B$5*12/10</f>
        <v/>
      </c>
      <c r="B4006">
        <f>$J$3-$B$5+$B$5*18/10</f>
        <v/>
      </c>
      <c r="C4006">
        <f>SUMPRODUCT(Calc!$K$3:$K$22*(Calc!$G$3:$G$22&lt;=A4006))</f>
        <v/>
      </c>
      <c r="D4006">
        <f>SUMPRODUCT(Calc!$K$3:$K$22*(Calc!$G$3:$G$22&gt;A4006)*(Calc!$G$3:$G$22&lt;B4006))</f>
        <v/>
      </c>
      <c r="E4006">
        <f>SUMPRODUCT(Calc!$K$3:$K$22*(Calc!$G$3:$G$22&gt;=B4006))</f>
        <v/>
      </c>
      <c r="F4006">
        <f>AND(k_n&gt;=5,B4006&gt;A4006+1E-9,C4006&gt;=2,D4006&gt;=1,E4006&gt;=2)</f>
        <v/>
      </c>
      <c r="G4006">
        <f>SUMPRODUCT(Calc!$K$3:$K$22*(Calc!$G$3:$G$22&gt;A4006)*(Calc!$G$3:$G$22-A4006))</f>
        <v/>
      </c>
      <c r="H4006">
        <f>SUMPRODUCT(Calc!$K$3:$K$22*(Calc!$G$3:$G$22&gt;B4006)*(Calc!$G$3:$G$22-B4006))</f>
        <v/>
      </c>
      <c r="I4006">
        <f>SUMPRODUCT(Calc!$K$3:$K$22*(Calc!$G$3:$G$22&gt;A4006)*(Calc!$G$3:$G$22-A4006)^2)</f>
        <v/>
      </c>
      <c r="J4006">
        <f>SUMPRODUCT(Calc!$K$3:$K$22*(Calc!$G$3:$G$22&gt;B4006)*(Calc!$G$3:$G$22-B4006)^2)</f>
        <v/>
      </c>
      <c r="K4006">
        <f>SUMPRODUCT(Calc!$K$3:$K$22*(Calc!$G$3:$G$22&gt;A4006)*(Calc!$G$3:$G$22-A4006)*(Calc!$G$3:$G$22&gt;B4006)*(Calc!$G$3:$G$22-B4006))</f>
        <v/>
      </c>
      <c r="L4006">
        <f>SUMPRODUCT(Calc!$K$3:$K$22*(Calc!$G$3:$G$22&gt;A4006)*(Calc!$G$3:$G$22-A4006)*Calc!$G$3:$G$22)</f>
        <v/>
      </c>
      <c r="M4006">
        <f>SUMPRODUCT(Calc!$K$3:$K$22*(Calc!$G$3:$G$22&gt;B4006)*(Calc!$G$3:$G$22-B4006)*Calc!$G$3:$G$22)</f>
        <v/>
      </c>
      <c r="N4006">
        <f>SUMPRODUCT(Calc!$K$3:$K$22*(Calc!$G$3:$G$22&gt;A4006)*(Calc!$G$3:$G$22-A4006)*Calc!$I$3:$I$22)</f>
        <v/>
      </c>
      <c r="O4006">
        <f>SUMPRODUCT(Calc!$K$3:$K$22*(Calc!$G$3:$G$22&gt;B4006)*(Calc!$G$3:$G$22-B4006)*Calc!$I$3:$I$22)</f>
        <v/>
      </c>
      <c r="P4006">
        <f>I4006-G4006^2/k_n</f>
        <v/>
      </c>
      <c r="Q4006">
        <f>J4006-H4006^2/k_n</f>
        <v/>
      </c>
      <c r="R4006">
        <f>K4006-G4006*H4006/k_n</f>
        <v/>
      </c>
      <c r="S4006">
        <f>L4006-LTP3!$D$3*G4006/k_n</f>
        <v/>
      </c>
      <c r="T4006">
        <f>M4006-LTP3!$D$3*H4006/k_n</f>
        <v/>
      </c>
      <c r="U4006">
        <f>N4006-G4006*LTP3!$D$4/k_n</f>
        <v/>
      </c>
      <c r="V4006">
        <f>O4006-H4006*LTP3!$D$4/k_n</f>
        <v/>
      </c>
      <c r="W4006">
        <f>((LTP3!$D$5)*((P4006)*(Q4006)-(R4006)*(R4006))-(S4006)*((S4006)*(Q4006)-(R4006)*(T4006))+(T4006)*((S4006)*(R4006)-(P4006)*(T4006)))</f>
        <v/>
      </c>
      <c r="X4006">
        <f>IF(ABS(W4006)&gt;1E-12,((LTP3!$D$6)*((P4006)*(Q4006)-(R4006)*(R4006))-(S4006)*((U4006)*(Q4006)-(R4006)*(V4006))+(T4006)*((U4006)*(R4006)-(P4006)*(V4006)))/W4006,0)</f>
        <v/>
      </c>
      <c r="Y4006">
        <f>IF(ABS(W4006)&gt;1E-12,((LTP3!$D$5)*((U4006)*(Q4006)-(R4006)*(V4006))-(LTP3!$D$6)*((S4006)*(Q4006)-(R4006)*(T4006))+(T4006)*((S4006)*(V4006)-(U4006)*(T4006)))/W4006,0)</f>
        <v/>
      </c>
      <c r="Z4006">
        <f>IF(ABS(W4006)&gt;1E-12,((LTP3!$D$5)*((P4006)*(V4006)-(U4006)*(R4006))-(S4006)*((S4006)*(V4006)-(U4006)*(T4006))+(LTP3!$D$6)*((S4006)*(R4006)-(P4006)*(T4006)))/W4006,0)</f>
        <v/>
      </c>
      <c r="AA4006">
        <f>LTP3!$D$7-X4006*LTP3!$D$6-Y4006*U4006-Z4006*V4006</f>
        <v/>
      </c>
      <c r="AB4006">
        <f>IF(AND(F4006,ABS(W4006)&gt;1E-12,Y4006&gt;0,Z4006&gt;0),AA4006,1E+300)</f>
        <v/>
      </c>
    </row>
    <row r="4007">
      <c r="A4007">
        <f>$I$3-$B$5+$B$5*12/10</f>
        <v/>
      </c>
      <c r="B4007">
        <f>$J$3-$B$5+$B$5*19/10</f>
        <v/>
      </c>
      <c r="C4007">
        <f>SUMPRODUCT(Calc!$K$3:$K$22*(Calc!$G$3:$G$22&lt;=A4007))</f>
        <v/>
      </c>
      <c r="D4007">
        <f>SUMPRODUCT(Calc!$K$3:$K$22*(Calc!$G$3:$G$22&gt;A4007)*(Calc!$G$3:$G$22&lt;B4007))</f>
        <v/>
      </c>
      <c r="E4007">
        <f>SUMPRODUCT(Calc!$K$3:$K$22*(Calc!$G$3:$G$22&gt;=B4007))</f>
        <v/>
      </c>
      <c r="F4007">
        <f>AND(k_n&gt;=5,B4007&gt;A4007+1E-9,C4007&gt;=2,D4007&gt;=1,E4007&gt;=2)</f>
        <v/>
      </c>
      <c r="G4007">
        <f>SUMPRODUCT(Calc!$K$3:$K$22*(Calc!$G$3:$G$22&gt;A4007)*(Calc!$G$3:$G$22-A4007))</f>
        <v/>
      </c>
      <c r="H4007">
        <f>SUMPRODUCT(Calc!$K$3:$K$22*(Calc!$G$3:$G$22&gt;B4007)*(Calc!$G$3:$G$22-B4007))</f>
        <v/>
      </c>
      <c r="I4007">
        <f>SUMPRODUCT(Calc!$K$3:$K$22*(Calc!$G$3:$G$22&gt;A4007)*(Calc!$G$3:$G$22-A4007)^2)</f>
        <v/>
      </c>
      <c r="J4007">
        <f>SUMPRODUCT(Calc!$K$3:$K$22*(Calc!$G$3:$G$22&gt;B4007)*(Calc!$G$3:$G$22-B4007)^2)</f>
        <v/>
      </c>
      <c r="K4007">
        <f>SUMPRODUCT(Calc!$K$3:$K$22*(Calc!$G$3:$G$22&gt;A4007)*(Calc!$G$3:$G$22-A4007)*(Calc!$G$3:$G$22&gt;B4007)*(Calc!$G$3:$G$22-B4007))</f>
        <v/>
      </c>
      <c r="L4007">
        <f>SUMPRODUCT(Calc!$K$3:$K$22*(Calc!$G$3:$G$22&gt;A4007)*(Calc!$G$3:$G$22-A4007)*Calc!$G$3:$G$22)</f>
        <v/>
      </c>
      <c r="M4007">
        <f>SUMPRODUCT(Calc!$K$3:$K$22*(Calc!$G$3:$G$22&gt;B4007)*(Calc!$G$3:$G$22-B4007)*Calc!$G$3:$G$22)</f>
        <v/>
      </c>
      <c r="N4007">
        <f>SUMPRODUCT(Calc!$K$3:$K$22*(Calc!$G$3:$G$22&gt;A4007)*(Calc!$G$3:$G$22-A4007)*Calc!$I$3:$I$22)</f>
        <v/>
      </c>
      <c r="O4007">
        <f>SUMPRODUCT(Calc!$K$3:$K$22*(Calc!$G$3:$G$22&gt;B4007)*(Calc!$G$3:$G$22-B4007)*Calc!$I$3:$I$22)</f>
        <v/>
      </c>
      <c r="P4007">
        <f>I4007-G4007^2/k_n</f>
        <v/>
      </c>
      <c r="Q4007">
        <f>J4007-H4007^2/k_n</f>
        <v/>
      </c>
      <c r="R4007">
        <f>K4007-G4007*H4007/k_n</f>
        <v/>
      </c>
      <c r="S4007">
        <f>L4007-LTP3!$D$3*G4007/k_n</f>
        <v/>
      </c>
      <c r="T4007">
        <f>M4007-LTP3!$D$3*H4007/k_n</f>
        <v/>
      </c>
      <c r="U4007">
        <f>N4007-G4007*LTP3!$D$4/k_n</f>
        <v/>
      </c>
      <c r="V4007">
        <f>O4007-H4007*LTP3!$D$4/k_n</f>
        <v/>
      </c>
      <c r="W4007">
        <f>((LTP3!$D$5)*((P4007)*(Q4007)-(R4007)*(R4007))-(S4007)*((S4007)*(Q4007)-(R4007)*(T4007))+(T4007)*((S4007)*(R4007)-(P4007)*(T4007)))</f>
        <v/>
      </c>
      <c r="X4007">
        <f>IF(ABS(W4007)&gt;1E-12,((LTP3!$D$6)*((P4007)*(Q4007)-(R4007)*(R4007))-(S4007)*((U4007)*(Q4007)-(R4007)*(V4007))+(T4007)*((U4007)*(R4007)-(P4007)*(V4007)))/W4007,0)</f>
        <v/>
      </c>
      <c r="Y4007">
        <f>IF(ABS(W4007)&gt;1E-12,((LTP3!$D$5)*((U4007)*(Q4007)-(R4007)*(V4007))-(LTP3!$D$6)*((S4007)*(Q4007)-(R4007)*(T4007))+(T4007)*((S4007)*(V4007)-(U4007)*(T4007)))/W4007,0)</f>
        <v/>
      </c>
      <c r="Z4007">
        <f>IF(ABS(W4007)&gt;1E-12,((LTP3!$D$5)*((P4007)*(V4007)-(U4007)*(R4007))-(S4007)*((S4007)*(V4007)-(U4007)*(T4007))+(LTP3!$D$6)*((S4007)*(R4007)-(P4007)*(T4007)))/W4007,0)</f>
        <v/>
      </c>
      <c r="AA4007">
        <f>LTP3!$D$7-X4007*LTP3!$D$6-Y4007*U4007-Z4007*V4007</f>
        <v/>
      </c>
      <c r="AB4007">
        <f>IF(AND(F4007,ABS(W4007)&gt;1E-12,Y4007&gt;0,Z4007&gt;0),AA4007,1E+300)</f>
        <v/>
      </c>
    </row>
    <row r="4008">
      <c r="A4008">
        <f>$I$3-$B$5+$B$5*12/10</f>
        <v/>
      </c>
      <c r="B4008">
        <f>$J$3-$B$5+$B$5*20/10</f>
        <v/>
      </c>
      <c r="C4008">
        <f>SUMPRODUCT(Calc!$K$3:$K$22*(Calc!$G$3:$G$22&lt;=A4008))</f>
        <v/>
      </c>
      <c r="D4008">
        <f>SUMPRODUCT(Calc!$K$3:$K$22*(Calc!$G$3:$G$22&gt;A4008)*(Calc!$G$3:$G$22&lt;B4008))</f>
        <v/>
      </c>
      <c r="E4008">
        <f>SUMPRODUCT(Calc!$K$3:$K$22*(Calc!$G$3:$G$22&gt;=B4008))</f>
        <v/>
      </c>
      <c r="F4008">
        <f>AND(k_n&gt;=5,B4008&gt;A4008+1E-9,C4008&gt;=2,D4008&gt;=1,E4008&gt;=2)</f>
        <v/>
      </c>
      <c r="G4008">
        <f>SUMPRODUCT(Calc!$K$3:$K$22*(Calc!$G$3:$G$22&gt;A4008)*(Calc!$G$3:$G$22-A4008))</f>
        <v/>
      </c>
      <c r="H4008">
        <f>SUMPRODUCT(Calc!$K$3:$K$22*(Calc!$G$3:$G$22&gt;B4008)*(Calc!$G$3:$G$22-B4008))</f>
        <v/>
      </c>
      <c r="I4008">
        <f>SUMPRODUCT(Calc!$K$3:$K$22*(Calc!$G$3:$G$22&gt;A4008)*(Calc!$G$3:$G$22-A4008)^2)</f>
        <v/>
      </c>
      <c r="J4008">
        <f>SUMPRODUCT(Calc!$K$3:$K$22*(Calc!$G$3:$G$22&gt;B4008)*(Calc!$G$3:$G$22-B4008)^2)</f>
        <v/>
      </c>
      <c r="K4008">
        <f>SUMPRODUCT(Calc!$K$3:$K$22*(Calc!$G$3:$G$22&gt;A4008)*(Calc!$G$3:$G$22-A4008)*(Calc!$G$3:$G$22&gt;B4008)*(Calc!$G$3:$G$22-B4008))</f>
        <v/>
      </c>
      <c r="L4008">
        <f>SUMPRODUCT(Calc!$K$3:$K$22*(Calc!$G$3:$G$22&gt;A4008)*(Calc!$G$3:$G$22-A4008)*Calc!$G$3:$G$22)</f>
        <v/>
      </c>
      <c r="M4008">
        <f>SUMPRODUCT(Calc!$K$3:$K$22*(Calc!$G$3:$G$22&gt;B4008)*(Calc!$G$3:$G$22-B4008)*Calc!$G$3:$G$22)</f>
        <v/>
      </c>
      <c r="N4008">
        <f>SUMPRODUCT(Calc!$K$3:$K$22*(Calc!$G$3:$G$22&gt;A4008)*(Calc!$G$3:$G$22-A4008)*Calc!$I$3:$I$22)</f>
        <v/>
      </c>
      <c r="O4008">
        <f>SUMPRODUCT(Calc!$K$3:$K$22*(Calc!$G$3:$G$22&gt;B4008)*(Calc!$G$3:$G$22-B4008)*Calc!$I$3:$I$22)</f>
        <v/>
      </c>
      <c r="P4008">
        <f>I4008-G4008^2/k_n</f>
        <v/>
      </c>
      <c r="Q4008">
        <f>J4008-H4008^2/k_n</f>
        <v/>
      </c>
      <c r="R4008">
        <f>K4008-G4008*H4008/k_n</f>
        <v/>
      </c>
      <c r="S4008">
        <f>L4008-LTP3!$D$3*G4008/k_n</f>
        <v/>
      </c>
      <c r="T4008">
        <f>M4008-LTP3!$D$3*H4008/k_n</f>
        <v/>
      </c>
      <c r="U4008">
        <f>N4008-G4008*LTP3!$D$4/k_n</f>
        <v/>
      </c>
      <c r="V4008">
        <f>O4008-H4008*LTP3!$D$4/k_n</f>
        <v/>
      </c>
      <c r="W4008">
        <f>((LTP3!$D$5)*((P4008)*(Q4008)-(R4008)*(R4008))-(S4008)*((S4008)*(Q4008)-(R4008)*(T4008))+(T4008)*((S4008)*(R4008)-(P4008)*(T4008)))</f>
        <v/>
      </c>
      <c r="X4008">
        <f>IF(ABS(W4008)&gt;1E-12,((LTP3!$D$6)*((P4008)*(Q4008)-(R4008)*(R4008))-(S4008)*((U4008)*(Q4008)-(R4008)*(V4008))+(T4008)*((U4008)*(R4008)-(P4008)*(V4008)))/W4008,0)</f>
        <v/>
      </c>
      <c r="Y4008">
        <f>IF(ABS(W4008)&gt;1E-12,((LTP3!$D$5)*((U4008)*(Q4008)-(R4008)*(V4008))-(LTP3!$D$6)*((S4008)*(Q4008)-(R4008)*(T4008))+(T4008)*((S4008)*(V4008)-(U4008)*(T4008)))/W4008,0)</f>
        <v/>
      </c>
      <c r="Z4008">
        <f>IF(ABS(W4008)&gt;1E-12,((LTP3!$D$5)*((P4008)*(V4008)-(U4008)*(R4008))-(S4008)*((S4008)*(V4008)-(U4008)*(T4008))+(LTP3!$D$6)*((S4008)*(R4008)-(P4008)*(T4008)))/W4008,0)</f>
        <v/>
      </c>
      <c r="AA4008">
        <f>LTP3!$D$7-X4008*LTP3!$D$6-Y4008*U4008-Z4008*V4008</f>
        <v/>
      </c>
      <c r="AB4008">
        <f>IF(AND(F4008,ABS(W4008)&gt;1E-12,Y4008&gt;0,Z4008&gt;0),AA4008,1E+300)</f>
        <v/>
      </c>
    </row>
    <row r="4009">
      <c r="A4009">
        <f>$I$3-$B$5+$B$5*13/10</f>
        <v/>
      </c>
      <c r="B4009">
        <f>$J$3-$B$5+$B$5*0/10</f>
        <v/>
      </c>
      <c r="C4009">
        <f>SUMPRODUCT(Calc!$K$3:$K$22*(Calc!$G$3:$G$22&lt;=A4009))</f>
        <v/>
      </c>
      <c r="D4009">
        <f>SUMPRODUCT(Calc!$K$3:$K$22*(Calc!$G$3:$G$22&gt;A4009)*(Calc!$G$3:$G$22&lt;B4009))</f>
        <v/>
      </c>
      <c r="E4009">
        <f>SUMPRODUCT(Calc!$K$3:$K$22*(Calc!$G$3:$G$22&gt;=B4009))</f>
        <v/>
      </c>
      <c r="F4009">
        <f>AND(k_n&gt;=5,B4009&gt;A4009+1E-9,C4009&gt;=2,D4009&gt;=1,E4009&gt;=2)</f>
        <v/>
      </c>
      <c r="G4009">
        <f>SUMPRODUCT(Calc!$K$3:$K$22*(Calc!$G$3:$G$22&gt;A4009)*(Calc!$G$3:$G$22-A4009))</f>
        <v/>
      </c>
      <c r="H4009">
        <f>SUMPRODUCT(Calc!$K$3:$K$22*(Calc!$G$3:$G$22&gt;B4009)*(Calc!$G$3:$G$22-B4009))</f>
        <v/>
      </c>
      <c r="I4009">
        <f>SUMPRODUCT(Calc!$K$3:$K$22*(Calc!$G$3:$G$22&gt;A4009)*(Calc!$G$3:$G$22-A4009)^2)</f>
        <v/>
      </c>
      <c r="J4009">
        <f>SUMPRODUCT(Calc!$K$3:$K$22*(Calc!$G$3:$G$22&gt;B4009)*(Calc!$G$3:$G$22-B4009)^2)</f>
        <v/>
      </c>
      <c r="K4009">
        <f>SUMPRODUCT(Calc!$K$3:$K$22*(Calc!$G$3:$G$22&gt;A4009)*(Calc!$G$3:$G$22-A4009)*(Calc!$G$3:$G$22&gt;B4009)*(Calc!$G$3:$G$22-B4009))</f>
        <v/>
      </c>
      <c r="L4009">
        <f>SUMPRODUCT(Calc!$K$3:$K$22*(Calc!$G$3:$G$22&gt;A4009)*(Calc!$G$3:$G$22-A4009)*Calc!$G$3:$G$22)</f>
        <v/>
      </c>
      <c r="M4009">
        <f>SUMPRODUCT(Calc!$K$3:$K$22*(Calc!$G$3:$G$22&gt;B4009)*(Calc!$G$3:$G$22-B4009)*Calc!$G$3:$G$22)</f>
        <v/>
      </c>
      <c r="N4009">
        <f>SUMPRODUCT(Calc!$K$3:$K$22*(Calc!$G$3:$G$22&gt;A4009)*(Calc!$G$3:$G$22-A4009)*Calc!$I$3:$I$22)</f>
        <v/>
      </c>
      <c r="O4009">
        <f>SUMPRODUCT(Calc!$K$3:$K$22*(Calc!$G$3:$G$22&gt;B4009)*(Calc!$G$3:$G$22-B4009)*Calc!$I$3:$I$22)</f>
        <v/>
      </c>
      <c r="P4009">
        <f>I4009-G4009^2/k_n</f>
        <v/>
      </c>
      <c r="Q4009">
        <f>J4009-H4009^2/k_n</f>
        <v/>
      </c>
      <c r="R4009">
        <f>K4009-G4009*H4009/k_n</f>
        <v/>
      </c>
      <c r="S4009">
        <f>L4009-LTP3!$D$3*G4009/k_n</f>
        <v/>
      </c>
      <c r="T4009">
        <f>M4009-LTP3!$D$3*H4009/k_n</f>
        <v/>
      </c>
      <c r="U4009">
        <f>N4009-G4009*LTP3!$D$4/k_n</f>
        <v/>
      </c>
      <c r="V4009">
        <f>O4009-H4009*LTP3!$D$4/k_n</f>
        <v/>
      </c>
      <c r="W4009">
        <f>((LTP3!$D$5)*((P4009)*(Q4009)-(R4009)*(R4009))-(S4009)*((S4009)*(Q4009)-(R4009)*(T4009))+(T4009)*((S4009)*(R4009)-(P4009)*(T4009)))</f>
        <v/>
      </c>
      <c r="X4009">
        <f>IF(ABS(W4009)&gt;1E-12,((LTP3!$D$6)*((P4009)*(Q4009)-(R4009)*(R4009))-(S4009)*((U4009)*(Q4009)-(R4009)*(V4009))+(T4009)*((U4009)*(R4009)-(P4009)*(V4009)))/W4009,0)</f>
        <v/>
      </c>
      <c r="Y4009">
        <f>IF(ABS(W4009)&gt;1E-12,((LTP3!$D$5)*((U4009)*(Q4009)-(R4009)*(V4009))-(LTP3!$D$6)*((S4009)*(Q4009)-(R4009)*(T4009))+(T4009)*((S4009)*(V4009)-(U4009)*(T4009)))/W4009,0)</f>
        <v/>
      </c>
      <c r="Z4009">
        <f>IF(ABS(W4009)&gt;1E-12,((LTP3!$D$5)*((P4009)*(V4009)-(U4009)*(R4009))-(S4009)*((S4009)*(V4009)-(U4009)*(T4009))+(LTP3!$D$6)*((S4009)*(R4009)-(P4009)*(T4009)))/W4009,0)</f>
        <v/>
      </c>
      <c r="AA4009">
        <f>LTP3!$D$7-X4009*LTP3!$D$6-Y4009*U4009-Z4009*V4009</f>
        <v/>
      </c>
      <c r="AB4009">
        <f>IF(AND(F4009,ABS(W4009)&gt;1E-12,Y4009&gt;0,Z4009&gt;0),AA4009,1E+300)</f>
        <v/>
      </c>
    </row>
    <row r="4010">
      <c r="A4010">
        <f>$I$3-$B$5+$B$5*13/10</f>
        <v/>
      </c>
      <c r="B4010">
        <f>$J$3-$B$5+$B$5*1/10</f>
        <v/>
      </c>
      <c r="C4010">
        <f>SUMPRODUCT(Calc!$K$3:$K$22*(Calc!$G$3:$G$22&lt;=A4010))</f>
        <v/>
      </c>
      <c r="D4010">
        <f>SUMPRODUCT(Calc!$K$3:$K$22*(Calc!$G$3:$G$22&gt;A4010)*(Calc!$G$3:$G$22&lt;B4010))</f>
        <v/>
      </c>
      <c r="E4010">
        <f>SUMPRODUCT(Calc!$K$3:$K$22*(Calc!$G$3:$G$22&gt;=B4010))</f>
        <v/>
      </c>
      <c r="F4010">
        <f>AND(k_n&gt;=5,B4010&gt;A4010+1E-9,C4010&gt;=2,D4010&gt;=1,E4010&gt;=2)</f>
        <v/>
      </c>
      <c r="G4010">
        <f>SUMPRODUCT(Calc!$K$3:$K$22*(Calc!$G$3:$G$22&gt;A4010)*(Calc!$G$3:$G$22-A4010))</f>
        <v/>
      </c>
      <c r="H4010">
        <f>SUMPRODUCT(Calc!$K$3:$K$22*(Calc!$G$3:$G$22&gt;B4010)*(Calc!$G$3:$G$22-B4010))</f>
        <v/>
      </c>
      <c r="I4010">
        <f>SUMPRODUCT(Calc!$K$3:$K$22*(Calc!$G$3:$G$22&gt;A4010)*(Calc!$G$3:$G$22-A4010)^2)</f>
        <v/>
      </c>
      <c r="J4010">
        <f>SUMPRODUCT(Calc!$K$3:$K$22*(Calc!$G$3:$G$22&gt;B4010)*(Calc!$G$3:$G$22-B4010)^2)</f>
        <v/>
      </c>
      <c r="K4010">
        <f>SUMPRODUCT(Calc!$K$3:$K$22*(Calc!$G$3:$G$22&gt;A4010)*(Calc!$G$3:$G$22-A4010)*(Calc!$G$3:$G$22&gt;B4010)*(Calc!$G$3:$G$22-B4010))</f>
        <v/>
      </c>
      <c r="L4010">
        <f>SUMPRODUCT(Calc!$K$3:$K$22*(Calc!$G$3:$G$22&gt;A4010)*(Calc!$G$3:$G$22-A4010)*Calc!$G$3:$G$22)</f>
        <v/>
      </c>
      <c r="M4010">
        <f>SUMPRODUCT(Calc!$K$3:$K$22*(Calc!$G$3:$G$22&gt;B4010)*(Calc!$G$3:$G$22-B4010)*Calc!$G$3:$G$22)</f>
        <v/>
      </c>
      <c r="N4010">
        <f>SUMPRODUCT(Calc!$K$3:$K$22*(Calc!$G$3:$G$22&gt;A4010)*(Calc!$G$3:$G$22-A4010)*Calc!$I$3:$I$22)</f>
        <v/>
      </c>
      <c r="O4010">
        <f>SUMPRODUCT(Calc!$K$3:$K$22*(Calc!$G$3:$G$22&gt;B4010)*(Calc!$G$3:$G$22-B4010)*Calc!$I$3:$I$22)</f>
        <v/>
      </c>
      <c r="P4010">
        <f>I4010-G4010^2/k_n</f>
        <v/>
      </c>
      <c r="Q4010">
        <f>J4010-H4010^2/k_n</f>
        <v/>
      </c>
      <c r="R4010">
        <f>K4010-G4010*H4010/k_n</f>
        <v/>
      </c>
      <c r="S4010">
        <f>L4010-LTP3!$D$3*G4010/k_n</f>
        <v/>
      </c>
      <c r="T4010">
        <f>M4010-LTP3!$D$3*H4010/k_n</f>
        <v/>
      </c>
      <c r="U4010">
        <f>N4010-G4010*LTP3!$D$4/k_n</f>
        <v/>
      </c>
      <c r="V4010">
        <f>O4010-H4010*LTP3!$D$4/k_n</f>
        <v/>
      </c>
      <c r="W4010">
        <f>((LTP3!$D$5)*((P4010)*(Q4010)-(R4010)*(R4010))-(S4010)*((S4010)*(Q4010)-(R4010)*(T4010))+(T4010)*((S4010)*(R4010)-(P4010)*(T4010)))</f>
        <v/>
      </c>
      <c r="X4010">
        <f>IF(ABS(W4010)&gt;1E-12,((LTP3!$D$6)*((P4010)*(Q4010)-(R4010)*(R4010))-(S4010)*((U4010)*(Q4010)-(R4010)*(V4010))+(T4010)*((U4010)*(R4010)-(P4010)*(V4010)))/W4010,0)</f>
        <v/>
      </c>
      <c r="Y4010">
        <f>IF(ABS(W4010)&gt;1E-12,((LTP3!$D$5)*((U4010)*(Q4010)-(R4010)*(V4010))-(LTP3!$D$6)*((S4010)*(Q4010)-(R4010)*(T4010))+(T4010)*((S4010)*(V4010)-(U4010)*(T4010)))/W4010,0)</f>
        <v/>
      </c>
      <c r="Z4010">
        <f>IF(ABS(W4010)&gt;1E-12,((LTP3!$D$5)*((P4010)*(V4010)-(U4010)*(R4010))-(S4010)*((S4010)*(V4010)-(U4010)*(T4010))+(LTP3!$D$6)*((S4010)*(R4010)-(P4010)*(T4010)))/W4010,0)</f>
        <v/>
      </c>
      <c r="AA4010">
        <f>LTP3!$D$7-X4010*LTP3!$D$6-Y4010*U4010-Z4010*V4010</f>
        <v/>
      </c>
      <c r="AB4010">
        <f>IF(AND(F4010,ABS(W4010)&gt;1E-12,Y4010&gt;0,Z4010&gt;0),AA4010,1E+300)</f>
        <v/>
      </c>
    </row>
    <row r="4011">
      <c r="A4011">
        <f>$I$3-$B$5+$B$5*13/10</f>
        <v/>
      </c>
      <c r="B4011">
        <f>$J$3-$B$5+$B$5*2/10</f>
        <v/>
      </c>
      <c r="C4011">
        <f>SUMPRODUCT(Calc!$K$3:$K$22*(Calc!$G$3:$G$22&lt;=A4011))</f>
        <v/>
      </c>
      <c r="D4011">
        <f>SUMPRODUCT(Calc!$K$3:$K$22*(Calc!$G$3:$G$22&gt;A4011)*(Calc!$G$3:$G$22&lt;B4011))</f>
        <v/>
      </c>
      <c r="E4011">
        <f>SUMPRODUCT(Calc!$K$3:$K$22*(Calc!$G$3:$G$22&gt;=B4011))</f>
        <v/>
      </c>
      <c r="F4011">
        <f>AND(k_n&gt;=5,B4011&gt;A4011+1E-9,C4011&gt;=2,D4011&gt;=1,E4011&gt;=2)</f>
        <v/>
      </c>
      <c r="G4011">
        <f>SUMPRODUCT(Calc!$K$3:$K$22*(Calc!$G$3:$G$22&gt;A4011)*(Calc!$G$3:$G$22-A4011))</f>
        <v/>
      </c>
      <c r="H4011">
        <f>SUMPRODUCT(Calc!$K$3:$K$22*(Calc!$G$3:$G$22&gt;B4011)*(Calc!$G$3:$G$22-B4011))</f>
        <v/>
      </c>
      <c r="I4011">
        <f>SUMPRODUCT(Calc!$K$3:$K$22*(Calc!$G$3:$G$22&gt;A4011)*(Calc!$G$3:$G$22-A4011)^2)</f>
        <v/>
      </c>
      <c r="J4011">
        <f>SUMPRODUCT(Calc!$K$3:$K$22*(Calc!$G$3:$G$22&gt;B4011)*(Calc!$G$3:$G$22-B4011)^2)</f>
        <v/>
      </c>
      <c r="K4011">
        <f>SUMPRODUCT(Calc!$K$3:$K$22*(Calc!$G$3:$G$22&gt;A4011)*(Calc!$G$3:$G$22-A4011)*(Calc!$G$3:$G$22&gt;B4011)*(Calc!$G$3:$G$22-B4011))</f>
        <v/>
      </c>
      <c r="L4011">
        <f>SUMPRODUCT(Calc!$K$3:$K$22*(Calc!$G$3:$G$22&gt;A4011)*(Calc!$G$3:$G$22-A4011)*Calc!$G$3:$G$22)</f>
        <v/>
      </c>
      <c r="M4011">
        <f>SUMPRODUCT(Calc!$K$3:$K$22*(Calc!$G$3:$G$22&gt;B4011)*(Calc!$G$3:$G$22-B4011)*Calc!$G$3:$G$22)</f>
        <v/>
      </c>
      <c r="N4011">
        <f>SUMPRODUCT(Calc!$K$3:$K$22*(Calc!$G$3:$G$22&gt;A4011)*(Calc!$G$3:$G$22-A4011)*Calc!$I$3:$I$22)</f>
        <v/>
      </c>
      <c r="O4011">
        <f>SUMPRODUCT(Calc!$K$3:$K$22*(Calc!$G$3:$G$22&gt;B4011)*(Calc!$G$3:$G$22-B4011)*Calc!$I$3:$I$22)</f>
        <v/>
      </c>
      <c r="P4011">
        <f>I4011-G4011^2/k_n</f>
        <v/>
      </c>
      <c r="Q4011">
        <f>J4011-H4011^2/k_n</f>
        <v/>
      </c>
      <c r="R4011">
        <f>K4011-G4011*H4011/k_n</f>
        <v/>
      </c>
      <c r="S4011">
        <f>L4011-LTP3!$D$3*G4011/k_n</f>
        <v/>
      </c>
      <c r="T4011">
        <f>M4011-LTP3!$D$3*H4011/k_n</f>
        <v/>
      </c>
      <c r="U4011">
        <f>N4011-G4011*LTP3!$D$4/k_n</f>
        <v/>
      </c>
      <c r="V4011">
        <f>O4011-H4011*LTP3!$D$4/k_n</f>
        <v/>
      </c>
      <c r="W4011">
        <f>((LTP3!$D$5)*((P4011)*(Q4011)-(R4011)*(R4011))-(S4011)*((S4011)*(Q4011)-(R4011)*(T4011))+(T4011)*((S4011)*(R4011)-(P4011)*(T4011)))</f>
        <v/>
      </c>
      <c r="X4011">
        <f>IF(ABS(W4011)&gt;1E-12,((LTP3!$D$6)*((P4011)*(Q4011)-(R4011)*(R4011))-(S4011)*((U4011)*(Q4011)-(R4011)*(V4011))+(T4011)*((U4011)*(R4011)-(P4011)*(V4011)))/W4011,0)</f>
        <v/>
      </c>
      <c r="Y4011">
        <f>IF(ABS(W4011)&gt;1E-12,((LTP3!$D$5)*((U4011)*(Q4011)-(R4011)*(V4011))-(LTP3!$D$6)*((S4011)*(Q4011)-(R4011)*(T4011))+(T4011)*((S4011)*(V4011)-(U4011)*(T4011)))/W4011,0)</f>
        <v/>
      </c>
      <c r="Z4011">
        <f>IF(ABS(W4011)&gt;1E-12,((LTP3!$D$5)*((P4011)*(V4011)-(U4011)*(R4011))-(S4011)*((S4011)*(V4011)-(U4011)*(T4011))+(LTP3!$D$6)*((S4011)*(R4011)-(P4011)*(T4011)))/W4011,0)</f>
        <v/>
      </c>
      <c r="AA4011">
        <f>LTP3!$D$7-X4011*LTP3!$D$6-Y4011*U4011-Z4011*V4011</f>
        <v/>
      </c>
      <c r="AB4011">
        <f>IF(AND(F4011,ABS(W4011)&gt;1E-12,Y4011&gt;0,Z4011&gt;0),AA4011,1E+300)</f>
        <v/>
      </c>
    </row>
    <row r="4012">
      <c r="A4012">
        <f>$I$3-$B$5+$B$5*13/10</f>
        <v/>
      </c>
      <c r="B4012">
        <f>$J$3-$B$5+$B$5*3/10</f>
        <v/>
      </c>
      <c r="C4012">
        <f>SUMPRODUCT(Calc!$K$3:$K$22*(Calc!$G$3:$G$22&lt;=A4012))</f>
        <v/>
      </c>
      <c r="D4012">
        <f>SUMPRODUCT(Calc!$K$3:$K$22*(Calc!$G$3:$G$22&gt;A4012)*(Calc!$G$3:$G$22&lt;B4012))</f>
        <v/>
      </c>
      <c r="E4012">
        <f>SUMPRODUCT(Calc!$K$3:$K$22*(Calc!$G$3:$G$22&gt;=B4012))</f>
        <v/>
      </c>
      <c r="F4012">
        <f>AND(k_n&gt;=5,B4012&gt;A4012+1E-9,C4012&gt;=2,D4012&gt;=1,E4012&gt;=2)</f>
        <v/>
      </c>
      <c r="G4012">
        <f>SUMPRODUCT(Calc!$K$3:$K$22*(Calc!$G$3:$G$22&gt;A4012)*(Calc!$G$3:$G$22-A4012))</f>
        <v/>
      </c>
      <c r="H4012">
        <f>SUMPRODUCT(Calc!$K$3:$K$22*(Calc!$G$3:$G$22&gt;B4012)*(Calc!$G$3:$G$22-B4012))</f>
        <v/>
      </c>
      <c r="I4012">
        <f>SUMPRODUCT(Calc!$K$3:$K$22*(Calc!$G$3:$G$22&gt;A4012)*(Calc!$G$3:$G$22-A4012)^2)</f>
        <v/>
      </c>
      <c r="J4012">
        <f>SUMPRODUCT(Calc!$K$3:$K$22*(Calc!$G$3:$G$22&gt;B4012)*(Calc!$G$3:$G$22-B4012)^2)</f>
        <v/>
      </c>
      <c r="K4012">
        <f>SUMPRODUCT(Calc!$K$3:$K$22*(Calc!$G$3:$G$22&gt;A4012)*(Calc!$G$3:$G$22-A4012)*(Calc!$G$3:$G$22&gt;B4012)*(Calc!$G$3:$G$22-B4012))</f>
        <v/>
      </c>
      <c r="L4012">
        <f>SUMPRODUCT(Calc!$K$3:$K$22*(Calc!$G$3:$G$22&gt;A4012)*(Calc!$G$3:$G$22-A4012)*Calc!$G$3:$G$22)</f>
        <v/>
      </c>
      <c r="M4012">
        <f>SUMPRODUCT(Calc!$K$3:$K$22*(Calc!$G$3:$G$22&gt;B4012)*(Calc!$G$3:$G$22-B4012)*Calc!$G$3:$G$22)</f>
        <v/>
      </c>
      <c r="N4012">
        <f>SUMPRODUCT(Calc!$K$3:$K$22*(Calc!$G$3:$G$22&gt;A4012)*(Calc!$G$3:$G$22-A4012)*Calc!$I$3:$I$22)</f>
        <v/>
      </c>
      <c r="O4012">
        <f>SUMPRODUCT(Calc!$K$3:$K$22*(Calc!$G$3:$G$22&gt;B4012)*(Calc!$G$3:$G$22-B4012)*Calc!$I$3:$I$22)</f>
        <v/>
      </c>
      <c r="P4012">
        <f>I4012-G4012^2/k_n</f>
        <v/>
      </c>
      <c r="Q4012">
        <f>J4012-H4012^2/k_n</f>
        <v/>
      </c>
      <c r="R4012">
        <f>K4012-G4012*H4012/k_n</f>
        <v/>
      </c>
      <c r="S4012">
        <f>L4012-LTP3!$D$3*G4012/k_n</f>
        <v/>
      </c>
      <c r="T4012">
        <f>M4012-LTP3!$D$3*H4012/k_n</f>
        <v/>
      </c>
      <c r="U4012">
        <f>N4012-G4012*LTP3!$D$4/k_n</f>
        <v/>
      </c>
      <c r="V4012">
        <f>O4012-H4012*LTP3!$D$4/k_n</f>
        <v/>
      </c>
      <c r="W4012">
        <f>((LTP3!$D$5)*((P4012)*(Q4012)-(R4012)*(R4012))-(S4012)*((S4012)*(Q4012)-(R4012)*(T4012))+(T4012)*((S4012)*(R4012)-(P4012)*(T4012)))</f>
        <v/>
      </c>
      <c r="X4012">
        <f>IF(ABS(W4012)&gt;1E-12,((LTP3!$D$6)*((P4012)*(Q4012)-(R4012)*(R4012))-(S4012)*((U4012)*(Q4012)-(R4012)*(V4012))+(T4012)*((U4012)*(R4012)-(P4012)*(V4012)))/W4012,0)</f>
        <v/>
      </c>
      <c r="Y4012">
        <f>IF(ABS(W4012)&gt;1E-12,((LTP3!$D$5)*((U4012)*(Q4012)-(R4012)*(V4012))-(LTP3!$D$6)*((S4012)*(Q4012)-(R4012)*(T4012))+(T4012)*((S4012)*(V4012)-(U4012)*(T4012)))/W4012,0)</f>
        <v/>
      </c>
      <c r="Z4012">
        <f>IF(ABS(W4012)&gt;1E-12,((LTP3!$D$5)*((P4012)*(V4012)-(U4012)*(R4012))-(S4012)*((S4012)*(V4012)-(U4012)*(T4012))+(LTP3!$D$6)*((S4012)*(R4012)-(P4012)*(T4012)))/W4012,0)</f>
        <v/>
      </c>
      <c r="AA4012">
        <f>LTP3!$D$7-X4012*LTP3!$D$6-Y4012*U4012-Z4012*V4012</f>
        <v/>
      </c>
      <c r="AB4012">
        <f>IF(AND(F4012,ABS(W4012)&gt;1E-12,Y4012&gt;0,Z4012&gt;0),AA4012,1E+300)</f>
        <v/>
      </c>
    </row>
    <row r="4013">
      <c r="A4013">
        <f>$I$3-$B$5+$B$5*13/10</f>
        <v/>
      </c>
      <c r="B4013">
        <f>$J$3-$B$5+$B$5*4/10</f>
        <v/>
      </c>
      <c r="C4013">
        <f>SUMPRODUCT(Calc!$K$3:$K$22*(Calc!$G$3:$G$22&lt;=A4013))</f>
        <v/>
      </c>
      <c r="D4013">
        <f>SUMPRODUCT(Calc!$K$3:$K$22*(Calc!$G$3:$G$22&gt;A4013)*(Calc!$G$3:$G$22&lt;B4013))</f>
        <v/>
      </c>
      <c r="E4013">
        <f>SUMPRODUCT(Calc!$K$3:$K$22*(Calc!$G$3:$G$22&gt;=B4013))</f>
        <v/>
      </c>
      <c r="F4013">
        <f>AND(k_n&gt;=5,B4013&gt;A4013+1E-9,C4013&gt;=2,D4013&gt;=1,E4013&gt;=2)</f>
        <v/>
      </c>
      <c r="G4013">
        <f>SUMPRODUCT(Calc!$K$3:$K$22*(Calc!$G$3:$G$22&gt;A4013)*(Calc!$G$3:$G$22-A4013))</f>
        <v/>
      </c>
      <c r="H4013">
        <f>SUMPRODUCT(Calc!$K$3:$K$22*(Calc!$G$3:$G$22&gt;B4013)*(Calc!$G$3:$G$22-B4013))</f>
        <v/>
      </c>
      <c r="I4013">
        <f>SUMPRODUCT(Calc!$K$3:$K$22*(Calc!$G$3:$G$22&gt;A4013)*(Calc!$G$3:$G$22-A4013)^2)</f>
        <v/>
      </c>
      <c r="J4013">
        <f>SUMPRODUCT(Calc!$K$3:$K$22*(Calc!$G$3:$G$22&gt;B4013)*(Calc!$G$3:$G$22-B4013)^2)</f>
        <v/>
      </c>
      <c r="K4013">
        <f>SUMPRODUCT(Calc!$K$3:$K$22*(Calc!$G$3:$G$22&gt;A4013)*(Calc!$G$3:$G$22-A4013)*(Calc!$G$3:$G$22&gt;B4013)*(Calc!$G$3:$G$22-B4013))</f>
        <v/>
      </c>
      <c r="L4013">
        <f>SUMPRODUCT(Calc!$K$3:$K$22*(Calc!$G$3:$G$22&gt;A4013)*(Calc!$G$3:$G$22-A4013)*Calc!$G$3:$G$22)</f>
        <v/>
      </c>
      <c r="M4013">
        <f>SUMPRODUCT(Calc!$K$3:$K$22*(Calc!$G$3:$G$22&gt;B4013)*(Calc!$G$3:$G$22-B4013)*Calc!$G$3:$G$22)</f>
        <v/>
      </c>
      <c r="N4013">
        <f>SUMPRODUCT(Calc!$K$3:$K$22*(Calc!$G$3:$G$22&gt;A4013)*(Calc!$G$3:$G$22-A4013)*Calc!$I$3:$I$22)</f>
        <v/>
      </c>
      <c r="O4013">
        <f>SUMPRODUCT(Calc!$K$3:$K$22*(Calc!$G$3:$G$22&gt;B4013)*(Calc!$G$3:$G$22-B4013)*Calc!$I$3:$I$22)</f>
        <v/>
      </c>
      <c r="P4013">
        <f>I4013-G4013^2/k_n</f>
        <v/>
      </c>
      <c r="Q4013">
        <f>J4013-H4013^2/k_n</f>
        <v/>
      </c>
      <c r="R4013">
        <f>K4013-G4013*H4013/k_n</f>
        <v/>
      </c>
      <c r="S4013">
        <f>L4013-LTP3!$D$3*G4013/k_n</f>
        <v/>
      </c>
      <c r="T4013">
        <f>M4013-LTP3!$D$3*H4013/k_n</f>
        <v/>
      </c>
      <c r="U4013">
        <f>N4013-G4013*LTP3!$D$4/k_n</f>
        <v/>
      </c>
      <c r="V4013">
        <f>O4013-H4013*LTP3!$D$4/k_n</f>
        <v/>
      </c>
      <c r="W4013">
        <f>((LTP3!$D$5)*((P4013)*(Q4013)-(R4013)*(R4013))-(S4013)*((S4013)*(Q4013)-(R4013)*(T4013))+(T4013)*((S4013)*(R4013)-(P4013)*(T4013)))</f>
        <v/>
      </c>
      <c r="X4013">
        <f>IF(ABS(W4013)&gt;1E-12,((LTP3!$D$6)*((P4013)*(Q4013)-(R4013)*(R4013))-(S4013)*((U4013)*(Q4013)-(R4013)*(V4013))+(T4013)*((U4013)*(R4013)-(P4013)*(V4013)))/W4013,0)</f>
        <v/>
      </c>
      <c r="Y4013">
        <f>IF(ABS(W4013)&gt;1E-12,((LTP3!$D$5)*((U4013)*(Q4013)-(R4013)*(V4013))-(LTP3!$D$6)*((S4013)*(Q4013)-(R4013)*(T4013))+(T4013)*((S4013)*(V4013)-(U4013)*(T4013)))/W4013,0)</f>
        <v/>
      </c>
      <c r="Z4013">
        <f>IF(ABS(W4013)&gt;1E-12,((LTP3!$D$5)*((P4013)*(V4013)-(U4013)*(R4013))-(S4013)*((S4013)*(V4013)-(U4013)*(T4013))+(LTP3!$D$6)*((S4013)*(R4013)-(P4013)*(T4013)))/W4013,0)</f>
        <v/>
      </c>
      <c r="AA4013">
        <f>LTP3!$D$7-X4013*LTP3!$D$6-Y4013*U4013-Z4013*V4013</f>
        <v/>
      </c>
      <c r="AB4013">
        <f>IF(AND(F4013,ABS(W4013)&gt;1E-12,Y4013&gt;0,Z4013&gt;0),AA4013,1E+300)</f>
        <v/>
      </c>
    </row>
    <row r="4014">
      <c r="A4014">
        <f>$I$3-$B$5+$B$5*13/10</f>
        <v/>
      </c>
      <c r="B4014">
        <f>$J$3-$B$5+$B$5*5/10</f>
        <v/>
      </c>
      <c r="C4014">
        <f>SUMPRODUCT(Calc!$K$3:$K$22*(Calc!$G$3:$G$22&lt;=A4014))</f>
        <v/>
      </c>
      <c r="D4014">
        <f>SUMPRODUCT(Calc!$K$3:$K$22*(Calc!$G$3:$G$22&gt;A4014)*(Calc!$G$3:$G$22&lt;B4014))</f>
        <v/>
      </c>
      <c r="E4014">
        <f>SUMPRODUCT(Calc!$K$3:$K$22*(Calc!$G$3:$G$22&gt;=B4014))</f>
        <v/>
      </c>
      <c r="F4014">
        <f>AND(k_n&gt;=5,B4014&gt;A4014+1E-9,C4014&gt;=2,D4014&gt;=1,E4014&gt;=2)</f>
        <v/>
      </c>
      <c r="G4014">
        <f>SUMPRODUCT(Calc!$K$3:$K$22*(Calc!$G$3:$G$22&gt;A4014)*(Calc!$G$3:$G$22-A4014))</f>
        <v/>
      </c>
      <c r="H4014">
        <f>SUMPRODUCT(Calc!$K$3:$K$22*(Calc!$G$3:$G$22&gt;B4014)*(Calc!$G$3:$G$22-B4014))</f>
        <v/>
      </c>
      <c r="I4014">
        <f>SUMPRODUCT(Calc!$K$3:$K$22*(Calc!$G$3:$G$22&gt;A4014)*(Calc!$G$3:$G$22-A4014)^2)</f>
        <v/>
      </c>
      <c r="J4014">
        <f>SUMPRODUCT(Calc!$K$3:$K$22*(Calc!$G$3:$G$22&gt;B4014)*(Calc!$G$3:$G$22-B4014)^2)</f>
        <v/>
      </c>
      <c r="K4014">
        <f>SUMPRODUCT(Calc!$K$3:$K$22*(Calc!$G$3:$G$22&gt;A4014)*(Calc!$G$3:$G$22-A4014)*(Calc!$G$3:$G$22&gt;B4014)*(Calc!$G$3:$G$22-B4014))</f>
        <v/>
      </c>
      <c r="L4014">
        <f>SUMPRODUCT(Calc!$K$3:$K$22*(Calc!$G$3:$G$22&gt;A4014)*(Calc!$G$3:$G$22-A4014)*Calc!$G$3:$G$22)</f>
        <v/>
      </c>
      <c r="M4014">
        <f>SUMPRODUCT(Calc!$K$3:$K$22*(Calc!$G$3:$G$22&gt;B4014)*(Calc!$G$3:$G$22-B4014)*Calc!$G$3:$G$22)</f>
        <v/>
      </c>
      <c r="N4014">
        <f>SUMPRODUCT(Calc!$K$3:$K$22*(Calc!$G$3:$G$22&gt;A4014)*(Calc!$G$3:$G$22-A4014)*Calc!$I$3:$I$22)</f>
        <v/>
      </c>
      <c r="O4014">
        <f>SUMPRODUCT(Calc!$K$3:$K$22*(Calc!$G$3:$G$22&gt;B4014)*(Calc!$G$3:$G$22-B4014)*Calc!$I$3:$I$22)</f>
        <v/>
      </c>
      <c r="P4014">
        <f>I4014-G4014^2/k_n</f>
        <v/>
      </c>
      <c r="Q4014">
        <f>J4014-H4014^2/k_n</f>
        <v/>
      </c>
      <c r="R4014">
        <f>K4014-G4014*H4014/k_n</f>
        <v/>
      </c>
      <c r="S4014">
        <f>L4014-LTP3!$D$3*G4014/k_n</f>
        <v/>
      </c>
      <c r="T4014">
        <f>M4014-LTP3!$D$3*H4014/k_n</f>
        <v/>
      </c>
      <c r="U4014">
        <f>N4014-G4014*LTP3!$D$4/k_n</f>
        <v/>
      </c>
      <c r="V4014">
        <f>O4014-H4014*LTP3!$D$4/k_n</f>
        <v/>
      </c>
      <c r="W4014">
        <f>((LTP3!$D$5)*((P4014)*(Q4014)-(R4014)*(R4014))-(S4014)*((S4014)*(Q4014)-(R4014)*(T4014))+(T4014)*((S4014)*(R4014)-(P4014)*(T4014)))</f>
        <v/>
      </c>
      <c r="X4014">
        <f>IF(ABS(W4014)&gt;1E-12,((LTP3!$D$6)*((P4014)*(Q4014)-(R4014)*(R4014))-(S4014)*((U4014)*(Q4014)-(R4014)*(V4014))+(T4014)*((U4014)*(R4014)-(P4014)*(V4014)))/W4014,0)</f>
        <v/>
      </c>
      <c r="Y4014">
        <f>IF(ABS(W4014)&gt;1E-12,((LTP3!$D$5)*((U4014)*(Q4014)-(R4014)*(V4014))-(LTP3!$D$6)*((S4014)*(Q4014)-(R4014)*(T4014))+(T4014)*((S4014)*(V4014)-(U4014)*(T4014)))/W4014,0)</f>
        <v/>
      </c>
      <c r="Z4014">
        <f>IF(ABS(W4014)&gt;1E-12,((LTP3!$D$5)*((P4014)*(V4014)-(U4014)*(R4014))-(S4014)*((S4014)*(V4014)-(U4014)*(T4014))+(LTP3!$D$6)*((S4014)*(R4014)-(P4014)*(T4014)))/W4014,0)</f>
        <v/>
      </c>
      <c r="AA4014">
        <f>LTP3!$D$7-X4014*LTP3!$D$6-Y4014*U4014-Z4014*V4014</f>
        <v/>
      </c>
      <c r="AB4014">
        <f>IF(AND(F4014,ABS(W4014)&gt;1E-12,Y4014&gt;0,Z4014&gt;0),AA4014,1E+300)</f>
        <v/>
      </c>
    </row>
    <row r="4015">
      <c r="A4015">
        <f>$I$3-$B$5+$B$5*13/10</f>
        <v/>
      </c>
      <c r="B4015">
        <f>$J$3-$B$5+$B$5*6/10</f>
        <v/>
      </c>
      <c r="C4015">
        <f>SUMPRODUCT(Calc!$K$3:$K$22*(Calc!$G$3:$G$22&lt;=A4015))</f>
        <v/>
      </c>
      <c r="D4015">
        <f>SUMPRODUCT(Calc!$K$3:$K$22*(Calc!$G$3:$G$22&gt;A4015)*(Calc!$G$3:$G$22&lt;B4015))</f>
        <v/>
      </c>
      <c r="E4015">
        <f>SUMPRODUCT(Calc!$K$3:$K$22*(Calc!$G$3:$G$22&gt;=B4015))</f>
        <v/>
      </c>
      <c r="F4015">
        <f>AND(k_n&gt;=5,B4015&gt;A4015+1E-9,C4015&gt;=2,D4015&gt;=1,E4015&gt;=2)</f>
        <v/>
      </c>
      <c r="G4015">
        <f>SUMPRODUCT(Calc!$K$3:$K$22*(Calc!$G$3:$G$22&gt;A4015)*(Calc!$G$3:$G$22-A4015))</f>
        <v/>
      </c>
      <c r="H4015">
        <f>SUMPRODUCT(Calc!$K$3:$K$22*(Calc!$G$3:$G$22&gt;B4015)*(Calc!$G$3:$G$22-B4015))</f>
        <v/>
      </c>
      <c r="I4015">
        <f>SUMPRODUCT(Calc!$K$3:$K$22*(Calc!$G$3:$G$22&gt;A4015)*(Calc!$G$3:$G$22-A4015)^2)</f>
        <v/>
      </c>
      <c r="J4015">
        <f>SUMPRODUCT(Calc!$K$3:$K$22*(Calc!$G$3:$G$22&gt;B4015)*(Calc!$G$3:$G$22-B4015)^2)</f>
        <v/>
      </c>
      <c r="K4015">
        <f>SUMPRODUCT(Calc!$K$3:$K$22*(Calc!$G$3:$G$22&gt;A4015)*(Calc!$G$3:$G$22-A4015)*(Calc!$G$3:$G$22&gt;B4015)*(Calc!$G$3:$G$22-B4015))</f>
        <v/>
      </c>
      <c r="L4015">
        <f>SUMPRODUCT(Calc!$K$3:$K$22*(Calc!$G$3:$G$22&gt;A4015)*(Calc!$G$3:$G$22-A4015)*Calc!$G$3:$G$22)</f>
        <v/>
      </c>
      <c r="M4015">
        <f>SUMPRODUCT(Calc!$K$3:$K$22*(Calc!$G$3:$G$22&gt;B4015)*(Calc!$G$3:$G$22-B4015)*Calc!$G$3:$G$22)</f>
        <v/>
      </c>
      <c r="N4015">
        <f>SUMPRODUCT(Calc!$K$3:$K$22*(Calc!$G$3:$G$22&gt;A4015)*(Calc!$G$3:$G$22-A4015)*Calc!$I$3:$I$22)</f>
        <v/>
      </c>
      <c r="O4015">
        <f>SUMPRODUCT(Calc!$K$3:$K$22*(Calc!$G$3:$G$22&gt;B4015)*(Calc!$G$3:$G$22-B4015)*Calc!$I$3:$I$22)</f>
        <v/>
      </c>
      <c r="P4015">
        <f>I4015-G4015^2/k_n</f>
        <v/>
      </c>
      <c r="Q4015">
        <f>J4015-H4015^2/k_n</f>
        <v/>
      </c>
      <c r="R4015">
        <f>K4015-G4015*H4015/k_n</f>
        <v/>
      </c>
      <c r="S4015">
        <f>L4015-LTP3!$D$3*G4015/k_n</f>
        <v/>
      </c>
      <c r="T4015">
        <f>M4015-LTP3!$D$3*H4015/k_n</f>
        <v/>
      </c>
      <c r="U4015">
        <f>N4015-G4015*LTP3!$D$4/k_n</f>
        <v/>
      </c>
      <c r="V4015">
        <f>O4015-H4015*LTP3!$D$4/k_n</f>
        <v/>
      </c>
      <c r="W4015">
        <f>((LTP3!$D$5)*((P4015)*(Q4015)-(R4015)*(R4015))-(S4015)*((S4015)*(Q4015)-(R4015)*(T4015))+(T4015)*((S4015)*(R4015)-(P4015)*(T4015)))</f>
        <v/>
      </c>
      <c r="X4015">
        <f>IF(ABS(W4015)&gt;1E-12,((LTP3!$D$6)*((P4015)*(Q4015)-(R4015)*(R4015))-(S4015)*((U4015)*(Q4015)-(R4015)*(V4015))+(T4015)*((U4015)*(R4015)-(P4015)*(V4015)))/W4015,0)</f>
        <v/>
      </c>
      <c r="Y4015">
        <f>IF(ABS(W4015)&gt;1E-12,((LTP3!$D$5)*((U4015)*(Q4015)-(R4015)*(V4015))-(LTP3!$D$6)*((S4015)*(Q4015)-(R4015)*(T4015))+(T4015)*((S4015)*(V4015)-(U4015)*(T4015)))/W4015,0)</f>
        <v/>
      </c>
      <c r="Z4015">
        <f>IF(ABS(W4015)&gt;1E-12,((LTP3!$D$5)*((P4015)*(V4015)-(U4015)*(R4015))-(S4015)*((S4015)*(V4015)-(U4015)*(T4015))+(LTP3!$D$6)*((S4015)*(R4015)-(P4015)*(T4015)))/W4015,0)</f>
        <v/>
      </c>
      <c r="AA4015">
        <f>LTP3!$D$7-X4015*LTP3!$D$6-Y4015*U4015-Z4015*V4015</f>
        <v/>
      </c>
      <c r="AB4015">
        <f>IF(AND(F4015,ABS(W4015)&gt;1E-12,Y4015&gt;0,Z4015&gt;0),AA4015,1E+300)</f>
        <v/>
      </c>
    </row>
    <row r="4016">
      <c r="A4016">
        <f>$I$3-$B$5+$B$5*13/10</f>
        <v/>
      </c>
      <c r="B4016">
        <f>$J$3-$B$5+$B$5*7/10</f>
        <v/>
      </c>
      <c r="C4016">
        <f>SUMPRODUCT(Calc!$K$3:$K$22*(Calc!$G$3:$G$22&lt;=A4016))</f>
        <v/>
      </c>
      <c r="D4016">
        <f>SUMPRODUCT(Calc!$K$3:$K$22*(Calc!$G$3:$G$22&gt;A4016)*(Calc!$G$3:$G$22&lt;B4016))</f>
        <v/>
      </c>
      <c r="E4016">
        <f>SUMPRODUCT(Calc!$K$3:$K$22*(Calc!$G$3:$G$22&gt;=B4016))</f>
        <v/>
      </c>
      <c r="F4016">
        <f>AND(k_n&gt;=5,B4016&gt;A4016+1E-9,C4016&gt;=2,D4016&gt;=1,E4016&gt;=2)</f>
        <v/>
      </c>
      <c r="G4016">
        <f>SUMPRODUCT(Calc!$K$3:$K$22*(Calc!$G$3:$G$22&gt;A4016)*(Calc!$G$3:$G$22-A4016))</f>
        <v/>
      </c>
      <c r="H4016">
        <f>SUMPRODUCT(Calc!$K$3:$K$22*(Calc!$G$3:$G$22&gt;B4016)*(Calc!$G$3:$G$22-B4016))</f>
        <v/>
      </c>
      <c r="I4016">
        <f>SUMPRODUCT(Calc!$K$3:$K$22*(Calc!$G$3:$G$22&gt;A4016)*(Calc!$G$3:$G$22-A4016)^2)</f>
        <v/>
      </c>
      <c r="J4016">
        <f>SUMPRODUCT(Calc!$K$3:$K$22*(Calc!$G$3:$G$22&gt;B4016)*(Calc!$G$3:$G$22-B4016)^2)</f>
        <v/>
      </c>
      <c r="K4016">
        <f>SUMPRODUCT(Calc!$K$3:$K$22*(Calc!$G$3:$G$22&gt;A4016)*(Calc!$G$3:$G$22-A4016)*(Calc!$G$3:$G$22&gt;B4016)*(Calc!$G$3:$G$22-B4016))</f>
        <v/>
      </c>
      <c r="L4016">
        <f>SUMPRODUCT(Calc!$K$3:$K$22*(Calc!$G$3:$G$22&gt;A4016)*(Calc!$G$3:$G$22-A4016)*Calc!$G$3:$G$22)</f>
        <v/>
      </c>
      <c r="M4016">
        <f>SUMPRODUCT(Calc!$K$3:$K$22*(Calc!$G$3:$G$22&gt;B4016)*(Calc!$G$3:$G$22-B4016)*Calc!$G$3:$G$22)</f>
        <v/>
      </c>
      <c r="N4016">
        <f>SUMPRODUCT(Calc!$K$3:$K$22*(Calc!$G$3:$G$22&gt;A4016)*(Calc!$G$3:$G$22-A4016)*Calc!$I$3:$I$22)</f>
        <v/>
      </c>
      <c r="O4016">
        <f>SUMPRODUCT(Calc!$K$3:$K$22*(Calc!$G$3:$G$22&gt;B4016)*(Calc!$G$3:$G$22-B4016)*Calc!$I$3:$I$22)</f>
        <v/>
      </c>
      <c r="P4016">
        <f>I4016-G4016^2/k_n</f>
        <v/>
      </c>
      <c r="Q4016">
        <f>J4016-H4016^2/k_n</f>
        <v/>
      </c>
      <c r="R4016">
        <f>K4016-G4016*H4016/k_n</f>
        <v/>
      </c>
      <c r="S4016">
        <f>L4016-LTP3!$D$3*G4016/k_n</f>
        <v/>
      </c>
      <c r="T4016">
        <f>M4016-LTP3!$D$3*H4016/k_n</f>
        <v/>
      </c>
      <c r="U4016">
        <f>N4016-G4016*LTP3!$D$4/k_n</f>
        <v/>
      </c>
      <c r="V4016">
        <f>O4016-H4016*LTP3!$D$4/k_n</f>
        <v/>
      </c>
      <c r="W4016">
        <f>((LTP3!$D$5)*((P4016)*(Q4016)-(R4016)*(R4016))-(S4016)*((S4016)*(Q4016)-(R4016)*(T4016))+(T4016)*((S4016)*(R4016)-(P4016)*(T4016)))</f>
        <v/>
      </c>
      <c r="X4016">
        <f>IF(ABS(W4016)&gt;1E-12,((LTP3!$D$6)*((P4016)*(Q4016)-(R4016)*(R4016))-(S4016)*((U4016)*(Q4016)-(R4016)*(V4016))+(T4016)*((U4016)*(R4016)-(P4016)*(V4016)))/W4016,0)</f>
        <v/>
      </c>
      <c r="Y4016">
        <f>IF(ABS(W4016)&gt;1E-12,((LTP3!$D$5)*((U4016)*(Q4016)-(R4016)*(V4016))-(LTP3!$D$6)*((S4016)*(Q4016)-(R4016)*(T4016))+(T4016)*((S4016)*(V4016)-(U4016)*(T4016)))/W4016,0)</f>
        <v/>
      </c>
      <c r="Z4016">
        <f>IF(ABS(W4016)&gt;1E-12,((LTP3!$D$5)*((P4016)*(V4016)-(U4016)*(R4016))-(S4016)*((S4016)*(V4016)-(U4016)*(T4016))+(LTP3!$D$6)*((S4016)*(R4016)-(P4016)*(T4016)))/W4016,0)</f>
        <v/>
      </c>
      <c r="AA4016">
        <f>LTP3!$D$7-X4016*LTP3!$D$6-Y4016*U4016-Z4016*V4016</f>
        <v/>
      </c>
      <c r="AB4016">
        <f>IF(AND(F4016,ABS(W4016)&gt;1E-12,Y4016&gt;0,Z4016&gt;0),AA4016,1E+300)</f>
        <v/>
      </c>
    </row>
    <row r="4017">
      <c r="A4017">
        <f>$I$3-$B$5+$B$5*13/10</f>
        <v/>
      </c>
      <c r="B4017">
        <f>$J$3-$B$5+$B$5*8/10</f>
        <v/>
      </c>
      <c r="C4017">
        <f>SUMPRODUCT(Calc!$K$3:$K$22*(Calc!$G$3:$G$22&lt;=A4017))</f>
        <v/>
      </c>
      <c r="D4017">
        <f>SUMPRODUCT(Calc!$K$3:$K$22*(Calc!$G$3:$G$22&gt;A4017)*(Calc!$G$3:$G$22&lt;B4017))</f>
        <v/>
      </c>
      <c r="E4017">
        <f>SUMPRODUCT(Calc!$K$3:$K$22*(Calc!$G$3:$G$22&gt;=B4017))</f>
        <v/>
      </c>
      <c r="F4017">
        <f>AND(k_n&gt;=5,B4017&gt;A4017+1E-9,C4017&gt;=2,D4017&gt;=1,E4017&gt;=2)</f>
        <v/>
      </c>
      <c r="G4017">
        <f>SUMPRODUCT(Calc!$K$3:$K$22*(Calc!$G$3:$G$22&gt;A4017)*(Calc!$G$3:$G$22-A4017))</f>
        <v/>
      </c>
      <c r="H4017">
        <f>SUMPRODUCT(Calc!$K$3:$K$22*(Calc!$G$3:$G$22&gt;B4017)*(Calc!$G$3:$G$22-B4017))</f>
        <v/>
      </c>
      <c r="I4017">
        <f>SUMPRODUCT(Calc!$K$3:$K$22*(Calc!$G$3:$G$22&gt;A4017)*(Calc!$G$3:$G$22-A4017)^2)</f>
        <v/>
      </c>
      <c r="J4017">
        <f>SUMPRODUCT(Calc!$K$3:$K$22*(Calc!$G$3:$G$22&gt;B4017)*(Calc!$G$3:$G$22-B4017)^2)</f>
        <v/>
      </c>
      <c r="K4017">
        <f>SUMPRODUCT(Calc!$K$3:$K$22*(Calc!$G$3:$G$22&gt;A4017)*(Calc!$G$3:$G$22-A4017)*(Calc!$G$3:$G$22&gt;B4017)*(Calc!$G$3:$G$22-B4017))</f>
        <v/>
      </c>
      <c r="L4017">
        <f>SUMPRODUCT(Calc!$K$3:$K$22*(Calc!$G$3:$G$22&gt;A4017)*(Calc!$G$3:$G$22-A4017)*Calc!$G$3:$G$22)</f>
        <v/>
      </c>
      <c r="M4017">
        <f>SUMPRODUCT(Calc!$K$3:$K$22*(Calc!$G$3:$G$22&gt;B4017)*(Calc!$G$3:$G$22-B4017)*Calc!$G$3:$G$22)</f>
        <v/>
      </c>
      <c r="N4017">
        <f>SUMPRODUCT(Calc!$K$3:$K$22*(Calc!$G$3:$G$22&gt;A4017)*(Calc!$G$3:$G$22-A4017)*Calc!$I$3:$I$22)</f>
        <v/>
      </c>
      <c r="O4017">
        <f>SUMPRODUCT(Calc!$K$3:$K$22*(Calc!$G$3:$G$22&gt;B4017)*(Calc!$G$3:$G$22-B4017)*Calc!$I$3:$I$22)</f>
        <v/>
      </c>
      <c r="P4017">
        <f>I4017-G4017^2/k_n</f>
        <v/>
      </c>
      <c r="Q4017">
        <f>J4017-H4017^2/k_n</f>
        <v/>
      </c>
      <c r="R4017">
        <f>K4017-G4017*H4017/k_n</f>
        <v/>
      </c>
      <c r="S4017">
        <f>L4017-LTP3!$D$3*G4017/k_n</f>
        <v/>
      </c>
      <c r="T4017">
        <f>M4017-LTP3!$D$3*H4017/k_n</f>
        <v/>
      </c>
      <c r="U4017">
        <f>N4017-G4017*LTP3!$D$4/k_n</f>
        <v/>
      </c>
      <c r="V4017">
        <f>O4017-H4017*LTP3!$D$4/k_n</f>
        <v/>
      </c>
      <c r="W4017">
        <f>((LTP3!$D$5)*((P4017)*(Q4017)-(R4017)*(R4017))-(S4017)*((S4017)*(Q4017)-(R4017)*(T4017))+(T4017)*((S4017)*(R4017)-(P4017)*(T4017)))</f>
        <v/>
      </c>
      <c r="X4017">
        <f>IF(ABS(W4017)&gt;1E-12,((LTP3!$D$6)*((P4017)*(Q4017)-(R4017)*(R4017))-(S4017)*((U4017)*(Q4017)-(R4017)*(V4017))+(T4017)*((U4017)*(R4017)-(P4017)*(V4017)))/W4017,0)</f>
        <v/>
      </c>
      <c r="Y4017">
        <f>IF(ABS(W4017)&gt;1E-12,((LTP3!$D$5)*((U4017)*(Q4017)-(R4017)*(V4017))-(LTP3!$D$6)*((S4017)*(Q4017)-(R4017)*(T4017))+(T4017)*((S4017)*(V4017)-(U4017)*(T4017)))/W4017,0)</f>
        <v/>
      </c>
      <c r="Z4017">
        <f>IF(ABS(W4017)&gt;1E-12,((LTP3!$D$5)*((P4017)*(V4017)-(U4017)*(R4017))-(S4017)*((S4017)*(V4017)-(U4017)*(T4017))+(LTP3!$D$6)*((S4017)*(R4017)-(P4017)*(T4017)))/W4017,0)</f>
        <v/>
      </c>
      <c r="AA4017">
        <f>LTP3!$D$7-X4017*LTP3!$D$6-Y4017*U4017-Z4017*V4017</f>
        <v/>
      </c>
      <c r="AB4017">
        <f>IF(AND(F4017,ABS(W4017)&gt;1E-12,Y4017&gt;0,Z4017&gt;0),AA4017,1E+300)</f>
        <v/>
      </c>
    </row>
    <row r="4018">
      <c r="A4018">
        <f>$I$3-$B$5+$B$5*13/10</f>
        <v/>
      </c>
      <c r="B4018">
        <f>$J$3-$B$5+$B$5*9/10</f>
        <v/>
      </c>
      <c r="C4018">
        <f>SUMPRODUCT(Calc!$K$3:$K$22*(Calc!$G$3:$G$22&lt;=A4018))</f>
        <v/>
      </c>
      <c r="D4018">
        <f>SUMPRODUCT(Calc!$K$3:$K$22*(Calc!$G$3:$G$22&gt;A4018)*(Calc!$G$3:$G$22&lt;B4018))</f>
        <v/>
      </c>
      <c r="E4018">
        <f>SUMPRODUCT(Calc!$K$3:$K$22*(Calc!$G$3:$G$22&gt;=B4018))</f>
        <v/>
      </c>
      <c r="F4018">
        <f>AND(k_n&gt;=5,B4018&gt;A4018+1E-9,C4018&gt;=2,D4018&gt;=1,E4018&gt;=2)</f>
        <v/>
      </c>
      <c r="G4018">
        <f>SUMPRODUCT(Calc!$K$3:$K$22*(Calc!$G$3:$G$22&gt;A4018)*(Calc!$G$3:$G$22-A4018))</f>
        <v/>
      </c>
      <c r="H4018">
        <f>SUMPRODUCT(Calc!$K$3:$K$22*(Calc!$G$3:$G$22&gt;B4018)*(Calc!$G$3:$G$22-B4018))</f>
        <v/>
      </c>
      <c r="I4018">
        <f>SUMPRODUCT(Calc!$K$3:$K$22*(Calc!$G$3:$G$22&gt;A4018)*(Calc!$G$3:$G$22-A4018)^2)</f>
        <v/>
      </c>
      <c r="J4018">
        <f>SUMPRODUCT(Calc!$K$3:$K$22*(Calc!$G$3:$G$22&gt;B4018)*(Calc!$G$3:$G$22-B4018)^2)</f>
        <v/>
      </c>
      <c r="K4018">
        <f>SUMPRODUCT(Calc!$K$3:$K$22*(Calc!$G$3:$G$22&gt;A4018)*(Calc!$G$3:$G$22-A4018)*(Calc!$G$3:$G$22&gt;B4018)*(Calc!$G$3:$G$22-B4018))</f>
        <v/>
      </c>
      <c r="L4018">
        <f>SUMPRODUCT(Calc!$K$3:$K$22*(Calc!$G$3:$G$22&gt;A4018)*(Calc!$G$3:$G$22-A4018)*Calc!$G$3:$G$22)</f>
        <v/>
      </c>
      <c r="M4018">
        <f>SUMPRODUCT(Calc!$K$3:$K$22*(Calc!$G$3:$G$22&gt;B4018)*(Calc!$G$3:$G$22-B4018)*Calc!$G$3:$G$22)</f>
        <v/>
      </c>
      <c r="N4018">
        <f>SUMPRODUCT(Calc!$K$3:$K$22*(Calc!$G$3:$G$22&gt;A4018)*(Calc!$G$3:$G$22-A4018)*Calc!$I$3:$I$22)</f>
        <v/>
      </c>
      <c r="O4018">
        <f>SUMPRODUCT(Calc!$K$3:$K$22*(Calc!$G$3:$G$22&gt;B4018)*(Calc!$G$3:$G$22-B4018)*Calc!$I$3:$I$22)</f>
        <v/>
      </c>
      <c r="P4018">
        <f>I4018-G4018^2/k_n</f>
        <v/>
      </c>
      <c r="Q4018">
        <f>J4018-H4018^2/k_n</f>
        <v/>
      </c>
      <c r="R4018">
        <f>K4018-G4018*H4018/k_n</f>
        <v/>
      </c>
      <c r="S4018">
        <f>L4018-LTP3!$D$3*G4018/k_n</f>
        <v/>
      </c>
      <c r="T4018">
        <f>M4018-LTP3!$D$3*H4018/k_n</f>
        <v/>
      </c>
      <c r="U4018">
        <f>N4018-G4018*LTP3!$D$4/k_n</f>
        <v/>
      </c>
      <c r="V4018">
        <f>O4018-H4018*LTP3!$D$4/k_n</f>
        <v/>
      </c>
      <c r="W4018">
        <f>((LTP3!$D$5)*((P4018)*(Q4018)-(R4018)*(R4018))-(S4018)*((S4018)*(Q4018)-(R4018)*(T4018))+(T4018)*((S4018)*(R4018)-(P4018)*(T4018)))</f>
        <v/>
      </c>
      <c r="X4018">
        <f>IF(ABS(W4018)&gt;1E-12,((LTP3!$D$6)*((P4018)*(Q4018)-(R4018)*(R4018))-(S4018)*((U4018)*(Q4018)-(R4018)*(V4018))+(T4018)*((U4018)*(R4018)-(P4018)*(V4018)))/W4018,0)</f>
        <v/>
      </c>
      <c r="Y4018">
        <f>IF(ABS(W4018)&gt;1E-12,((LTP3!$D$5)*((U4018)*(Q4018)-(R4018)*(V4018))-(LTP3!$D$6)*((S4018)*(Q4018)-(R4018)*(T4018))+(T4018)*((S4018)*(V4018)-(U4018)*(T4018)))/W4018,0)</f>
        <v/>
      </c>
      <c r="Z4018">
        <f>IF(ABS(W4018)&gt;1E-12,((LTP3!$D$5)*((P4018)*(V4018)-(U4018)*(R4018))-(S4018)*((S4018)*(V4018)-(U4018)*(T4018))+(LTP3!$D$6)*((S4018)*(R4018)-(P4018)*(T4018)))/W4018,0)</f>
        <v/>
      </c>
      <c r="AA4018">
        <f>LTP3!$D$7-X4018*LTP3!$D$6-Y4018*U4018-Z4018*V4018</f>
        <v/>
      </c>
      <c r="AB4018">
        <f>IF(AND(F4018,ABS(W4018)&gt;1E-12,Y4018&gt;0,Z4018&gt;0),AA4018,1E+300)</f>
        <v/>
      </c>
    </row>
    <row r="4019">
      <c r="A4019">
        <f>$I$3-$B$5+$B$5*13/10</f>
        <v/>
      </c>
      <c r="B4019">
        <f>$J$3-$B$5+$B$5*10/10</f>
        <v/>
      </c>
      <c r="C4019">
        <f>SUMPRODUCT(Calc!$K$3:$K$22*(Calc!$G$3:$G$22&lt;=A4019))</f>
        <v/>
      </c>
      <c r="D4019">
        <f>SUMPRODUCT(Calc!$K$3:$K$22*(Calc!$G$3:$G$22&gt;A4019)*(Calc!$G$3:$G$22&lt;B4019))</f>
        <v/>
      </c>
      <c r="E4019">
        <f>SUMPRODUCT(Calc!$K$3:$K$22*(Calc!$G$3:$G$22&gt;=B4019))</f>
        <v/>
      </c>
      <c r="F4019">
        <f>AND(k_n&gt;=5,B4019&gt;A4019+1E-9,C4019&gt;=2,D4019&gt;=1,E4019&gt;=2)</f>
        <v/>
      </c>
      <c r="G4019">
        <f>SUMPRODUCT(Calc!$K$3:$K$22*(Calc!$G$3:$G$22&gt;A4019)*(Calc!$G$3:$G$22-A4019))</f>
        <v/>
      </c>
      <c r="H4019">
        <f>SUMPRODUCT(Calc!$K$3:$K$22*(Calc!$G$3:$G$22&gt;B4019)*(Calc!$G$3:$G$22-B4019))</f>
        <v/>
      </c>
      <c r="I4019">
        <f>SUMPRODUCT(Calc!$K$3:$K$22*(Calc!$G$3:$G$22&gt;A4019)*(Calc!$G$3:$G$22-A4019)^2)</f>
        <v/>
      </c>
      <c r="J4019">
        <f>SUMPRODUCT(Calc!$K$3:$K$22*(Calc!$G$3:$G$22&gt;B4019)*(Calc!$G$3:$G$22-B4019)^2)</f>
        <v/>
      </c>
      <c r="K4019">
        <f>SUMPRODUCT(Calc!$K$3:$K$22*(Calc!$G$3:$G$22&gt;A4019)*(Calc!$G$3:$G$22-A4019)*(Calc!$G$3:$G$22&gt;B4019)*(Calc!$G$3:$G$22-B4019))</f>
        <v/>
      </c>
      <c r="L4019">
        <f>SUMPRODUCT(Calc!$K$3:$K$22*(Calc!$G$3:$G$22&gt;A4019)*(Calc!$G$3:$G$22-A4019)*Calc!$G$3:$G$22)</f>
        <v/>
      </c>
      <c r="M4019">
        <f>SUMPRODUCT(Calc!$K$3:$K$22*(Calc!$G$3:$G$22&gt;B4019)*(Calc!$G$3:$G$22-B4019)*Calc!$G$3:$G$22)</f>
        <v/>
      </c>
      <c r="N4019">
        <f>SUMPRODUCT(Calc!$K$3:$K$22*(Calc!$G$3:$G$22&gt;A4019)*(Calc!$G$3:$G$22-A4019)*Calc!$I$3:$I$22)</f>
        <v/>
      </c>
      <c r="O4019">
        <f>SUMPRODUCT(Calc!$K$3:$K$22*(Calc!$G$3:$G$22&gt;B4019)*(Calc!$G$3:$G$22-B4019)*Calc!$I$3:$I$22)</f>
        <v/>
      </c>
      <c r="P4019">
        <f>I4019-G4019^2/k_n</f>
        <v/>
      </c>
      <c r="Q4019">
        <f>J4019-H4019^2/k_n</f>
        <v/>
      </c>
      <c r="R4019">
        <f>K4019-G4019*H4019/k_n</f>
        <v/>
      </c>
      <c r="S4019">
        <f>L4019-LTP3!$D$3*G4019/k_n</f>
        <v/>
      </c>
      <c r="T4019">
        <f>M4019-LTP3!$D$3*H4019/k_n</f>
        <v/>
      </c>
      <c r="U4019">
        <f>N4019-G4019*LTP3!$D$4/k_n</f>
        <v/>
      </c>
      <c r="V4019">
        <f>O4019-H4019*LTP3!$D$4/k_n</f>
        <v/>
      </c>
      <c r="W4019">
        <f>((LTP3!$D$5)*((P4019)*(Q4019)-(R4019)*(R4019))-(S4019)*((S4019)*(Q4019)-(R4019)*(T4019))+(T4019)*((S4019)*(R4019)-(P4019)*(T4019)))</f>
        <v/>
      </c>
      <c r="X4019">
        <f>IF(ABS(W4019)&gt;1E-12,((LTP3!$D$6)*((P4019)*(Q4019)-(R4019)*(R4019))-(S4019)*((U4019)*(Q4019)-(R4019)*(V4019))+(T4019)*((U4019)*(R4019)-(P4019)*(V4019)))/W4019,0)</f>
        <v/>
      </c>
      <c r="Y4019">
        <f>IF(ABS(W4019)&gt;1E-12,((LTP3!$D$5)*((U4019)*(Q4019)-(R4019)*(V4019))-(LTP3!$D$6)*((S4019)*(Q4019)-(R4019)*(T4019))+(T4019)*((S4019)*(V4019)-(U4019)*(T4019)))/W4019,0)</f>
        <v/>
      </c>
      <c r="Z4019">
        <f>IF(ABS(W4019)&gt;1E-12,((LTP3!$D$5)*((P4019)*(V4019)-(U4019)*(R4019))-(S4019)*((S4019)*(V4019)-(U4019)*(T4019))+(LTP3!$D$6)*((S4019)*(R4019)-(P4019)*(T4019)))/W4019,0)</f>
        <v/>
      </c>
      <c r="AA4019">
        <f>LTP3!$D$7-X4019*LTP3!$D$6-Y4019*U4019-Z4019*V4019</f>
        <v/>
      </c>
      <c r="AB4019">
        <f>IF(AND(F4019,ABS(W4019)&gt;1E-12,Y4019&gt;0,Z4019&gt;0),AA4019,1E+300)</f>
        <v/>
      </c>
    </row>
    <row r="4020">
      <c r="A4020">
        <f>$I$3-$B$5+$B$5*13/10</f>
        <v/>
      </c>
      <c r="B4020">
        <f>$J$3-$B$5+$B$5*11/10</f>
        <v/>
      </c>
      <c r="C4020">
        <f>SUMPRODUCT(Calc!$K$3:$K$22*(Calc!$G$3:$G$22&lt;=A4020))</f>
        <v/>
      </c>
      <c r="D4020">
        <f>SUMPRODUCT(Calc!$K$3:$K$22*(Calc!$G$3:$G$22&gt;A4020)*(Calc!$G$3:$G$22&lt;B4020))</f>
        <v/>
      </c>
      <c r="E4020">
        <f>SUMPRODUCT(Calc!$K$3:$K$22*(Calc!$G$3:$G$22&gt;=B4020))</f>
        <v/>
      </c>
      <c r="F4020">
        <f>AND(k_n&gt;=5,B4020&gt;A4020+1E-9,C4020&gt;=2,D4020&gt;=1,E4020&gt;=2)</f>
        <v/>
      </c>
      <c r="G4020">
        <f>SUMPRODUCT(Calc!$K$3:$K$22*(Calc!$G$3:$G$22&gt;A4020)*(Calc!$G$3:$G$22-A4020))</f>
        <v/>
      </c>
      <c r="H4020">
        <f>SUMPRODUCT(Calc!$K$3:$K$22*(Calc!$G$3:$G$22&gt;B4020)*(Calc!$G$3:$G$22-B4020))</f>
        <v/>
      </c>
      <c r="I4020">
        <f>SUMPRODUCT(Calc!$K$3:$K$22*(Calc!$G$3:$G$22&gt;A4020)*(Calc!$G$3:$G$22-A4020)^2)</f>
        <v/>
      </c>
      <c r="J4020">
        <f>SUMPRODUCT(Calc!$K$3:$K$22*(Calc!$G$3:$G$22&gt;B4020)*(Calc!$G$3:$G$22-B4020)^2)</f>
        <v/>
      </c>
      <c r="K4020">
        <f>SUMPRODUCT(Calc!$K$3:$K$22*(Calc!$G$3:$G$22&gt;A4020)*(Calc!$G$3:$G$22-A4020)*(Calc!$G$3:$G$22&gt;B4020)*(Calc!$G$3:$G$22-B4020))</f>
        <v/>
      </c>
      <c r="L4020">
        <f>SUMPRODUCT(Calc!$K$3:$K$22*(Calc!$G$3:$G$22&gt;A4020)*(Calc!$G$3:$G$22-A4020)*Calc!$G$3:$G$22)</f>
        <v/>
      </c>
      <c r="M4020">
        <f>SUMPRODUCT(Calc!$K$3:$K$22*(Calc!$G$3:$G$22&gt;B4020)*(Calc!$G$3:$G$22-B4020)*Calc!$G$3:$G$22)</f>
        <v/>
      </c>
      <c r="N4020">
        <f>SUMPRODUCT(Calc!$K$3:$K$22*(Calc!$G$3:$G$22&gt;A4020)*(Calc!$G$3:$G$22-A4020)*Calc!$I$3:$I$22)</f>
        <v/>
      </c>
      <c r="O4020">
        <f>SUMPRODUCT(Calc!$K$3:$K$22*(Calc!$G$3:$G$22&gt;B4020)*(Calc!$G$3:$G$22-B4020)*Calc!$I$3:$I$22)</f>
        <v/>
      </c>
      <c r="P4020">
        <f>I4020-G4020^2/k_n</f>
        <v/>
      </c>
      <c r="Q4020">
        <f>J4020-H4020^2/k_n</f>
        <v/>
      </c>
      <c r="R4020">
        <f>K4020-G4020*H4020/k_n</f>
        <v/>
      </c>
      <c r="S4020">
        <f>L4020-LTP3!$D$3*G4020/k_n</f>
        <v/>
      </c>
      <c r="T4020">
        <f>M4020-LTP3!$D$3*H4020/k_n</f>
        <v/>
      </c>
      <c r="U4020">
        <f>N4020-G4020*LTP3!$D$4/k_n</f>
        <v/>
      </c>
      <c r="V4020">
        <f>O4020-H4020*LTP3!$D$4/k_n</f>
        <v/>
      </c>
      <c r="W4020">
        <f>((LTP3!$D$5)*((P4020)*(Q4020)-(R4020)*(R4020))-(S4020)*((S4020)*(Q4020)-(R4020)*(T4020))+(T4020)*((S4020)*(R4020)-(P4020)*(T4020)))</f>
        <v/>
      </c>
      <c r="X4020">
        <f>IF(ABS(W4020)&gt;1E-12,((LTP3!$D$6)*((P4020)*(Q4020)-(R4020)*(R4020))-(S4020)*((U4020)*(Q4020)-(R4020)*(V4020))+(T4020)*((U4020)*(R4020)-(P4020)*(V4020)))/W4020,0)</f>
        <v/>
      </c>
      <c r="Y4020">
        <f>IF(ABS(W4020)&gt;1E-12,((LTP3!$D$5)*((U4020)*(Q4020)-(R4020)*(V4020))-(LTP3!$D$6)*((S4020)*(Q4020)-(R4020)*(T4020))+(T4020)*((S4020)*(V4020)-(U4020)*(T4020)))/W4020,0)</f>
        <v/>
      </c>
      <c r="Z4020">
        <f>IF(ABS(W4020)&gt;1E-12,((LTP3!$D$5)*((P4020)*(V4020)-(U4020)*(R4020))-(S4020)*((S4020)*(V4020)-(U4020)*(T4020))+(LTP3!$D$6)*((S4020)*(R4020)-(P4020)*(T4020)))/W4020,0)</f>
        <v/>
      </c>
      <c r="AA4020">
        <f>LTP3!$D$7-X4020*LTP3!$D$6-Y4020*U4020-Z4020*V4020</f>
        <v/>
      </c>
      <c r="AB4020">
        <f>IF(AND(F4020,ABS(W4020)&gt;1E-12,Y4020&gt;0,Z4020&gt;0),AA4020,1E+300)</f>
        <v/>
      </c>
    </row>
    <row r="4021">
      <c r="A4021">
        <f>$I$3-$B$5+$B$5*13/10</f>
        <v/>
      </c>
      <c r="B4021">
        <f>$J$3-$B$5+$B$5*12/10</f>
        <v/>
      </c>
      <c r="C4021">
        <f>SUMPRODUCT(Calc!$K$3:$K$22*(Calc!$G$3:$G$22&lt;=A4021))</f>
        <v/>
      </c>
      <c r="D4021">
        <f>SUMPRODUCT(Calc!$K$3:$K$22*(Calc!$G$3:$G$22&gt;A4021)*(Calc!$G$3:$G$22&lt;B4021))</f>
        <v/>
      </c>
      <c r="E4021">
        <f>SUMPRODUCT(Calc!$K$3:$K$22*(Calc!$G$3:$G$22&gt;=B4021))</f>
        <v/>
      </c>
      <c r="F4021">
        <f>AND(k_n&gt;=5,B4021&gt;A4021+1E-9,C4021&gt;=2,D4021&gt;=1,E4021&gt;=2)</f>
        <v/>
      </c>
      <c r="G4021">
        <f>SUMPRODUCT(Calc!$K$3:$K$22*(Calc!$G$3:$G$22&gt;A4021)*(Calc!$G$3:$G$22-A4021))</f>
        <v/>
      </c>
      <c r="H4021">
        <f>SUMPRODUCT(Calc!$K$3:$K$22*(Calc!$G$3:$G$22&gt;B4021)*(Calc!$G$3:$G$22-B4021))</f>
        <v/>
      </c>
      <c r="I4021">
        <f>SUMPRODUCT(Calc!$K$3:$K$22*(Calc!$G$3:$G$22&gt;A4021)*(Calc!$G$3:$G$22-A4021)^2)</f>
        <v/>
      </c>
      <c r="J4021">
        <f>SUMPRODUCT(Calc!$K$3:$K$22*(Calc!$G$3:$G$22&gt;B4021)*(Calc!$G$3:$G$22-B4021)^2)</f>
        <v/>
      </c>
      <c r="K4021">
        <f>SUMPRODUCT(Calc!$K$3:$K$22*(Calc!$G$3:$G$22&gt;A4021)*(Calc!$G$3:$G$22-A4021)*(Calc!$G$3:$G$22&gt;B4021)*(Calc!$G$3:$G$22-B4021))</f>
        <v/>
      </c>
      <c r="L4021">
        <f>SUMPRODUCT(Calc!$K$3:$K$22*(Calc!$G$3:$G$22&gt;A4021)*(Calc!$G$3:$G$22-A4021)*Calc!$G$3:$G$22)</f>
        <v/>
      </c>
      <c r="M4021">
        <f>SUMPRODUCT(Calc!$K$3:$K$22*(Calc!$G$3:$G$22&gt;B4021)*(Calc!$G$3:$G$22-B4021)*Calc!$G$3:$G$22)</f>
        <v/>
      </c>
      <c r="N4021">
        <f>SUMPRODUCT(Calc!$K$3:$K$22*(Calc!$G$3:$G$22&gt;A4021)*(Calc!$G$3:$G$22-A4021)*Calc!$I$3:$I$22)</f>
        <v/>
      </c>
      <c r="O4021">
        <f>SUMPRODUCT(Calc!$K$3:$K$22*(Calc!$G$3:$G$22&gt;B4021)*(Calc!$G$3:$G$22-B4021)*Calc!$I$3:$I$22)</f>
        <v/>
      </c>
      <c r="P4021">
        <f>I4021-G4021^2/k_n</f>
        <v/>
      </c>
      <c r="Q4021">
        <f>J4021-H4021^2/k_n</f>
        <v/>
      </c>
      <c r="R4021">
        <f>K4021-G4021*H4021/k_n</f>
        <v/>
      </c>
      <c r="S4021">
        <f>L4021-LTP3!$D$3*G4021/k_n</f>
        <v/>
      </c>
      <c r="T4021">
        <f>M4021-LTP3!$D$3*H4021/k_n</f>
        <v/>
      </c>
      <c r="U4021">
        <f>N4021-G4021*LTP3!$D$4/k_n</f>
        <v/>
      </c>
      <c r="V4021">
        <f>O4021-H4021*LTP3!$D$4/k_n</f>
        <v/>
      </c>
      <c r="W4021">
        <f>((LTP3!$D$5)*((P4021)*(Q4021)-(R4021)*(R4021))-(S4021)*((S4021)*(Q4021)-(R4021)*(T4021))+(T4021)*((S4021)*(R4021)-(P4021)*(T4021)))</f>
        <v/>
      </c>
      <c r="X4021">
        <f>IF(ABS(W4021)&gt;1E-12,((LTP3!$D$6)*((P4021)*(Q4021)-(R4021)*(R4021))-(S4021)*((U4021)*(Q4021)-(R4021)*(V4021))+(T4021)*((U4021)*(R4021)-(P4021)*(V4021)))/W4021,0)</f>
        <v/>
      </c>
      <c r="Y4021">
        <f>IF(ABS(W4021)&gt;1E-12,((LTP3!$D$5)*((U4021)*(Q4021)-(R4021)*(V4021))-(LTP3!$D$6)*((S4021)*(Q4021)-(R4021)*(T4021))+(T4021)*((S4021)*(V4021)-(U4021)*(T4021)))/W4021,0)</f>
        <v/>
      </c>
      <c r="Z4021">
        <f>IF(ABS(W4021)&gt;1E-12,((LTP3!$D$5)*((P4021)*(V4021)-(U4021)*(R4021))-(S4021)*((S4021)*(V4021)-(U4021)*(T4021))+(LTP3!$D$6)*((S4021)*(R4021)-(P4021)*(T4021)))/W4021,0)</f>
        <v/>
      </c>
      <c r="AA4021">
        <f>LTP3!$D$7-X4021*LTP3!$D$6-Y4021*U4021-Z4021*V4021</f>
        <v/>
      </c>
      <c r="AB4021">
        <f>IF(AND(F4021,ABS(W4021)&gt;1E-12,Y4021&gt;0,Z4021&gt;0),AA4021,1E+300)</f>
        <v/>
      </c>
    </row>
    <row r="4022">
      <c r="A4022">
        <f>$I$3-$B$5+$B$5*13/10</f>
        <v/>
      </c>
      <c r="B4022">
        <f>$J$3-$B$5+$B$5*13/10</f>
        <v/>
      </c>
      <c r="C4022">
        <f>SUMPRODUCT(Calc!$K$3:$K$22*(Calc!$G$3:$G$22&lt;=A4022))</f>
        <v/>
      </c>
      <c r="D4022">
        <f>SUMPRODUCT(Calc!$K$3:$K$22*(Calc!$G$3:$G$22&gt;A4022)*(Calc!$G$3:$G$22&lt;B4022))</f>
        <v/>
      </c>
      <c r="E4022">
        <f>SUMPRODUCT(Calc!$K$3:$K$22*(Calc!$G$3:$G$22&gt;=B4022))</f>
        <v/>
      </c>
      <c r="F4022">
        <f>AND(k_n&gt;=5,B4022&gt;A4022+1E-9,C4022&gt;=2,D4022&gt;=1,E4022&gt;=2)</f>
        <v/>
      </c>
      <c r="G4022">
        <f>SUMPRODUCT(Calc!$K$3:$K$22*(Calc!$G$3:$G$22&gt;A4022)*(Calc!$G$3:$G$22-A4022))</f>
        <v/>
      </c>
      <c r="H4022">
        <f>SUMPRODUCT(Calc!$K$3:$K$22*(Calc!$G$3:$G$22&gt;B4022)*(Calc!$G$3:$G$22-B4022))</f>
        <v/>
      </c>
      <c r="I4022">
        <f>SUMPRODUCT(Calc!$K$3:$K$22*(Calc!$G$3:$G$22&gt;A4022)*(Calc!$G$3:$G$22-A4022)^2)</f>
        <v/>
      </c>
      <c r="J4022">
        <f>SUMPRODUCT(Calc!$K$3:$K$22*(Calc!$G$3:$G$22&gt;B4022)*(Calc!$G$3:$G$22-B4022)^2)</f>
        <v/>
      </c>
      <c r="K4022">
        <f>SUMPRODUCT(Calc!$K$3:$K$22*(Calc!$G$3:$G$22&gt;A4022)*(Calc!$G$3:$G$22-A4022)*(Calc!$G$3:$G$22&gt;B4022)*(Calc!$G$3:$G$22-B4022))</f>
        <v/>
      </c>
      <c r="L4022">
        <f>SUMPRODUCT(Calc!$K$3:$K$22*(Calc!$G$3:$G$22&gt;A4022)*(Calc!$G$3:$G$22-A4022)*Calc!$G$3:$G$22)</f>
        <v/>
      </c>
      <c r="M4022">
        <f>SUMPRODUCT(Calc!$K$3:$K$22*(Calc!$G$3:$G$22&gt;B4022)*(Calc!$G$3:$G$22-B4022)*Calc!$G$3:$G$22)</f>
        <v/>
      </c>
      <c r="N4022">
        <f>SUMPRODUCT(Calc!$K$3:$K$22*(Calc!$G$3:$G$22&gt;A4022)*(Calc!$G$3:$G$22-A4022)*Calc!$I$3:$I$22)</f>
        <v/>
      </c>
      <c r="O4022">
        <f>SUMPRODUCT(Calc!$K$3:$K$22*(Calc!$G$3:$G$22&gt;B4022)*(Calc!$G$3:$G$22-B4022)*Calc!$I$3:$I$22)</f>
        <v/>
      </c>
      <c r="P4022">
        <f>I4022-G4022^2/k_n</f>
        <v/>
      </c>
      <c r="Q4022">
        <f>J4022-H4022^2/k_n</f>
        <v/>
      </c>
      <c r="R4022">
        <f>K4022-G4022*H4022/k_n</f>
        <v/>
      </c>
      <c r="S4022">
        <f>L4022-LTP3!$D$3*G4022/k_n</f>
        <v/>
      </c>
      <c r="T4022">
        <f>M4022-LTP3!$D$3*H4022/k_n</f>
        <v/>
      </c>
      <c r="U4022">
        <f>N4022-G4022*LTP3!$D$4/k_n</f>
        <v/>
      </c>
      <c r="V4022">
        <f>O4022-H4022*LTP3!$D$4/k_n</f>
        <v/>
      </c>
      <c r="W4022">
        <f>((LTP3!$D$5)*((P4022)*(Q4022)-(R4022)*(R4022))-(S4022)*((S4022)*(Q4022)-(R4022)*(T4022))+(T4022)*((S4022)*(R4022)-(P4022)*(T4022)))</f>
        <v/>
      </c>
      <c r="X4022">
        <f>IF(ABS(W4022)&gt;1E-12,((LTP3!$D$6)*((P4022)*(Q4022)-(R4022)*(R4022))-(S4022)*((U4022)*(Q4022)-(R4022)*(V4022))+(T4022)*((U4022)*(R4022)-(P4022)*(V4022)))/W4022,0)</f>
        <v/>
      </c>
      <c r="Y4022">
        <f>IF(ABS(W4022)&gt;1E-12,((LTP3!$D$5)*((U4022)*(Q4022)-(R4022)*(V4022))-(LTP3!$D$6)*((S4022)*(Q4022)-(R4022)*(T4022))+(T4022)*((S4022)*(V4022)-(U4022)*(T4022)))/W4022,0)</f>
        <v/>
      </c>
      <c r="Z4022">
        <f>IF(ABS(W4022)&gt;1E-12,((LTP3!$D$5)*((P4022)*(V4022)-(U4022)*(R4022))-(S4022)*((S4022)*(V4022)-(U4022)*(T4022))+(LTP3!$D$6)*((S4022)*(R4022)-(P4022)*(T4022)))/W4022,0)</f>
        <v/>
      </c>
      <c r="AA4022">
        <f>LTP3!$D$7-X4022*LTP3!$D$6-Y4022*U4022-Z4022*V4022</f>
        <v/>
      </c>
      <c r="AB4022">
        <f>IF(AND(F4022,ABS(W4022)&gt;1E-12,Y4022&gt;0,Z4022&gt;0),AA4022,1E+300)</f>
        <v/>
      </c>
    </row>
    <row r="4023">
      <c r="A4023">
        <f>$I$3-$B$5+$B$5*13/10</f>
        <v/>
      </c>
      <c r="B4023">
        <f>$J$3-$B$5+$B$5*14/10</f>
        <v/>
      </c>
      <c r="C4023">
        <f>SUMPRODUCT(Calc!$K$3:$K$22*(Calc!$G$3:$G$22&lt;=A4023))</f>
        <v/>
      </c>
      <c r="D4023">
        <f>SUMPRODUCT(Calc!$K$3:$K$22*(Calc!$G$3:$G$22&gt;A4023)*(Calc!$G$3:$G$22&lt;B4023))</f>
        <v/>
      </c>
      <c r="E4023">
        <f>SUMPRODUCT(Calc!$K$3:$K$22*(Calc!$G$3:$G$22&gt;=B4023))</f>
        <v/>
      </c>
      <c r="F4023">
        <f>AND(k_n&gt;=5,B4023&gt;A4023+1E-9,C4023&gt;=2,D4023&gt;=1,E4023&gt;=2)</f>
        <v/>
      </c>
      <c r="G4023">
        <f>SUMPRODUCT(Calc!$K$3:$K$22*(Calc!$G$3:$G$22&gt;A4023)*(Calc!$G$3:$G$22-A4023))</f>
        <v/>
      </c>
      <c r="H4023">
        <f>SUMPRODUCT(Calc!$K$3:$K$22*(Calc!$G$3:$G$22&gt;B4023)*(Calc!$G$3:$G$22-B4023))</f>
        <v/>
      </c>
      <c r="I4023">
        <f>SUMPRODUCT(Calc!$K$3:$K$22*(Calc!$G$3:$G$22&gt;A4023)*(Calc!$G$3:$G$22-A4023)^2)</f>
        <v/>
      </c>
      <c r="J4023">
        <f>SUMPRODUCT(Calc!$K$3:$K$22*(Calc!$G$3:$G$22&gt;B4023)*(Calc!$G$3:$G$22-B4023)^2)</f>
        <v/>
      </c>
      <c r="K4023">
        <f>SUMPRODUCT(Calc!$K$3:$K$22*(Calc!$G$3:$G$22&gt;A4023)*(Calc!$G$3:$G$22-A4023)*(Calc!$G$3:$G$22&gt;B4023)*(Calc!$G$3:$G$22-B4023))</f>
        <v/>
      </c>
      <c r="L4023">
        <f>SUMPRODUCT(Calc!$K$3:$K$22*(Calc!$G$3:$G$22&gt;A4023)*(Calc!$G$3:$G$22-A4023)*Calc!$G$3:$G$22)</f>
        <v/>
      </c>
      <c r="M4023">
        <f>SUMPRODUCT(Calc!$K$3:$K$22*(Calc!$G$3:$G$22&gt;B4023)*(Calc!$G$3:$G$22-B4023)*Calc!$G$3:$G$22)</f>
        <v/>
      </c>
      <c r="N4023">
        <f>SUMPRODUCT(Calc!$K$3:$K$22*(Calc!$G$3:$G$22&gt;A4023)*(Calc!$G$3:$G$22-A4023)*Calc!$I$3:$I$22)</f>
        <v/>
      </c>
      <c r="O4023">
        <f>SUMPRODUCT(Calc!$K$3:$K$22*(Calc!$G$3:$G$22&gt;B4023)*(Calc!$G$3:$G$22-B4023)*Calc!$I$3:$I$22)</f>
        <v/>
      </c>
      <c r="P4023">
        <f>I4023-G4023^2/k_n</f>
        <v/>
      </c>
      <c r="Q4023">
        <f>J4023-H4023^2/k_n</f>
        <v/>
      </c>
      <c r="R4023">
        <f>K4023-G4023*H4023/k_n</f>
        <v/>
      </c>
      <c r="S4023">
        <f>L4023-LTP3!$D$3*G4023/k_n</f>
        <v/>
      </c>
      <c r="T4023">
        <f>M4023-LTP3!$D$3*H4023/k_n</f>
        <v/>
      </c>
      <c r="U4023">
        <f>N4023-G4023*LTP3!$D$4/k_n</f>
        <v/>
      </c>
      <c r="V4023">
        <f>O4023-H4023*LTP3!$D$4/k_n</f>
        <v/>
      </c>
      <c r="W4023">
        <f>((LTP3!$D$5)*((P4023)*(Q4023)-(R4023)*(R4023))-(S4023)*((S4023)*(Q4023)-(R4023)*(T4023))+(T4023)*((S4023)*(R4023)-(P4023)*(T4023)))</f>
        <v/>
      </c>
      <c r="X4023">
        <f>IF(ABS(W4023)&gt;1E-12,((LTP3!$D$6)*((P4023)*(Q4023)-(R4023)*(R4023))-(S4023)*((U4023)*(Q4023)-(R4023)*(V4023))+(T4023)*((U4023)*(R4023)-(P4023)*(V4023)))/W4023,0)</f>
        <v/>
      </c>
      <c r="Y4023">
        <f>IF(ABS(W4023)&gt;1E-12,((LTP3!$D$5)*((U4023)*(Q4023)-(R4023)*(V4023))-(LTP3!$D$6)*((S4023)*(Q4023)-(R4023)*(T4023))+(T4023)*((S4023)*(V4023)-(U4023)*(T4023)))/W4023,0)</f>
        <v/>
      </c>
      <c r="Z4023">
        <f>IF(ABS(W4023)&gt;1E-12,((LTP3!$D$5)*((P4023)*(V4023)-(U4023)*(R4023))-(S4023)*((S4023)*(V4023)-(U4023)*(T4023))+(LTP3!$D$6)*((S4023)*(R4023)-(P4023)*(T4023)))/W4023,0)</f>
        <v/>
      </c>
      <c r="AA4023">
        <f>LTP3!$D$7-X4023*LTP3!$D$6-Y4023*U4023-Z4023*V4023</f>
        <v/>
      </c>
      <c r="AB4023">
        <f>IF(AND(F4023,ABS(W4023)&gt;1E-12,Y4023&gt;0,Z4023&gt;0),AA4023,1E+300)</f>
        <v/>
      </c>
    </row>
    <row r="4024">
      <c r="A4024">
        <f>$I$3-$B$5+$B$5*13/10</f>
        <v/>
      </c>
      <c r="B4024">
        <f>$J$3-$B$5+$B$5*15/10</f>
        <v/>
      </c>
      <c r="C4024">
        <f>SUMPRODUCT(Calc!$K$3:$K$22*(Calc!$G$3:$G$22&lt;=A4024))</f>
        <v/>
      </c>
      <c r="D4024">
        <f>SUMPRODUCT(Calc!$K$3:$K$22*(Calc!$G$3:$G$22&gt;A4024)*(Calc!$G$3:$G$22&lt;B4024))</f>
        <v/>
      </c>
      <c r="E4024">
        <f>SUMPRODUCT(Calc!$K$3:$K$22*(Calc!$G$3:$G$22&gt;=B4024))</f>
        <v/>
      </c>
      <c r="F4024">
        <f>AND(k_n&gt;=5,B4024&gt;A4024+1E-9,C4024&gt;=2,D4024&gt;=1,E4024&gt;=2)</f>
        <v/>
      </c>
      <c r="G4024">
        <f>SUMPRODUCT(Calc!$K$3:$K$22*(Calc!$G$3:$G$22&gt;A4024)*(Calc!$G$3:$G$22-A4024))</f>
        <v/>
      </c>
      <c r="H4024">
        <f>SUMPRODUCT(Calc!$K$3:$K$22*(Calc!$G$3:$G$22&gt;B4024)*(Calc!$G$3:$G$22-B4024))</f>
        <v/>
      </c>
      <c r="I4024">
        <f>SUMPRODUCT(Calc!$K$3:$K$22*(Calc!$G$3:$G$22&gt;A4024)*(Calc!$G$3:$G$22-A4024)^2)</f>
        <v/>
      </c>
      <c r="J4024">
        <f>SUMPRODUCT(Calc!$K$3:$K$22*(Calc!$G$3:$G$22&gt;B4024)*(Calc!$G$3:$G$22-B4024)^2)</f>
        <v/>
      </c>
      <c r="K4024">
        <f>SUMPRODUCT(Calc!$K$3:$K$22*(Calc!$G$3:$G$22&gt;A4024)*(Calc!$G$3:$G$22-A4024)*(Calc!$G$3:$G$22&gt;B4024)*(Calc!$G$3:$G$22-B4024))</f>
        <v/>
      </c>
      <c r="L4024">
        <f>SUMPRODUCT(Calc!$K$3:$K$22*(Calc!$G$3:$G$22&gt;A4024)*(Calc!$G$3:$G$22-A4024)*Calc!$G$3:$G$22)</f>
        <v/>
      </c>
      <c r="M4024">
        <f>SUMPRODUCT(Calc!$K$3:$K$22*(Calc!$G$3:$G$22&gt;B4024)*(Calc!$G$3:$G$22-B4024)*Calc!$G$3:$G$22)</f>
        <v/>
      </c>
      <c r="N4024">
        <f>SUMPRODUCT(Calc!$K$3:$K$22*(Calc!$G$3:$G$22&gt;A4024)*(Calc!$G$3:$G$22-A4024)*Calc!$I$3:$I$22)</f>
        <v/>
      </c>
      <c r="O4024">
        <f>SUMPRODUCT(Calc!$K$3:$K$22*(Calc!$G$3:$G$22&gt;B4024)*(Calc!$G$3:$G$22-B4024)*Calc!$I$3:$I$22)</f>
        <v/>
      </c>
      <c r="P4024">
        <f>I4024-G4024^2/k_n</f>
        <v/>
      </c>
      <c r="Q4024">
        <f>J4024-H4024^2/k_n</f>
        <v/>
      </c>
      <c r="R4024">
        <f>K4024-G4024*H4024/k_n</f>
        <v/>
      </c>
      <c r="S4024">
        <f>L4024-LTP3!$D$3*G4024/k_n</f>
        <v/>
      </c>
      <c r="T4024">
        <f>M4024-LTP3!$D$3*H4024/k_n</f>
        <v/>
      </c>
      <c r="U4024">
        <f>N4024-G4024*LTP3!$D$4/k_n</f>
        <v/>
      </c>
      <c r="V4024">
        <f>O4024-H4024*LTP3!$D$4/k_n</f>
        <v/>
      </c>
      <c r="W4024">
        <f>((LTP3!$D$5)*((P4024)*(Q4024)-(R4024)*(R4024))-(S4024)*((S4024)*(Q4024)-(R4024)*(T4024))+(T4024)*((S4024)*(R4024)-(P4024)*(T4024)))</f>
        <v/>
      </c>
      <c r="X4024">
        <f>IF(ABS(W4024)&gt;1E-12,((LTP3!$D$6)*((P4024)*(Q4024)-(R4024)*(R4024))-(S4024)*((U4024)*(Q4024)-(R4024)*(V4024))+(T4024)*((U4024)*(R4024)-(P4024)*(V4024)))/W4024,0)</f>
        <v/>
      </c>
      <c r="Y4024">
        <f>IF(ABS(W4024)&gt;1E-12,((LTP3!$D$5)*((U4024)*(Q4024)-(R4024)*(V4024))-(LTP3!$D$6)*((S4024)*(Q4024)-(R4024)*(T4024))+(T4024)*((S4024)*(V4024)-(U4024)*(T4024)))/W4024,0)</f>
        <v/>
      </c>
      <c r="Z4024">
        <f>IF(ABS(W4024)&gt;1E-12,((LTP3!$D$5)*((P4024)*(V4024)-(U4024)*(R4024))-(S4024)*((S4024)*(V4024)-(U4024)*(T4024))+(LTP3!$D$6)*((S4024)*(R4024)-(P4024)*(T4024)))/W4024,0)</f>
        <v/>
      </c>
      <c r="AA4024">
        <f>LTP3!$D$7-X4024*LTP3!$D$6-Y4024*U4024-Z4024*V4024</f>
        <v/>
      </c>
      <c r="AB4024">
        <f>IF(AND(F4024,ABS(W4024)&gt;1E-12,Y4024&gt;0,Z4024&gt;0),AA4024,1E+300)</f>
        <v/>
      </c>
    </row>
    <row r="4025">
      <c r="A4025">
        <f>$I$3-$B$5+$B$5*13/10</f>
        <v/>
      </c>
      <c r="B4025">
        <f>$J$3-$B$5+$B$5*16/10</f>
        <v/>
      </c>
      <c r="C4025">
        <f>SUMPRODUCT(Calc!$K$3:$K$22*(Calc!$G$3:$G$22&lt;=A4025))</f>
        <v/>
      </c>
      <c r="D4025">
        <f>SUMPRODUCT(Calc!$K$3:$K$22*(Calc!$G$3:$G$22&gt;A4025)*(Calc!$G$3:$G$22&lt;B4025))</f>
        <v/>
      </c>
      <c r="E4025">
        <f>SUMPRODUCT(Calc!$K$3:$K$22*(Calc!$G$3:$G$22&gt;=B4025))</f>
        <v/>
      </c>
      <c r="F4025">
        <f>AND(k_n&gt;=5,B4025&gt;A4025+1E-9,C4025&gt;=2,D4025&gt;=1,E4025&gt;=2)</f>
        <v/>
      </c>
      <c r="G4025">
        <f>SUMPRODUCT(Calc!$K$3:$K$22*(Calc!$G$3:$G$22&gt;A4025)*(Calc!$G$3:$G$22-A4025))</f>
        <v/>
      </c>
      <c r="H4025">
        <f>SUMPRODUCT(Calc!$K$3:$K$22*(Calc!$G$3:$G$22&gt;B4025)*(Calc!$G$3:$G$22-B4025))</f>
        <v/>
      </c>
      <c r="I4025">
        <f>SUMPRODUCT(Calc!$K$3:$K$22*(Calc!$G$3:$G$22&gt;A4025)*(Calc!$G$3:$G$22-A4025)^2)</f>
        <v/>
      </c>
      <c r="J4025">
        <f>SUMPRODUCT(Calc!$K$3:$K$22*(Calc!$G$3:$G$22&gt;B4025)*(Calc!$G$3:$G$22-B4025)^2)</f>
        <v/>
      </c>
      <c r="K4025">
        <f>SUMPRODUCT(Calc!$K$3:$K$22*(Calc!$G$3:$G$22&gt;A4025)*(Calc!$G$3:$G$22-A4025)*(Calc!$G$3:$G$22&gt;B4025)*(Calc!$G$3:$G$22-B4025))</f>
        <v/>
      </c>
      <c r="L4025">
        <f>SUMPRODUCT(Calc!$K$3:$K$22*(Calc!$G$3:$G$22&gt;A4025)*(Calc!$G$3:$G$22-A4025)*Calc!$G$3:$G$22)</f>
        <v/>
      </c>
      <c r="M4025">
        <f>SUMPRODUCT(Calc!$K$3:$K$22*(Calc!$G$3:$G$22&gt;B4025)*(Calc!$G$3:$G$22-B4025)*Calc!$G$3:$G$22)</f>
        <v/>
      </c>
      <c r="N4025">
        <f>SUMPRODUCT(Calc!$K$3:$K$22*(Calc!$G$3:$G$22&gt;A4025)*(Calc!$G$3:$G$22-A4025)*Calc!$I$3:$I$22)</f>
        <v/>
      </c>
      <c r="O4025">
        <f>SUMPRODUCT(Calc!$K$3:$K$22*(Calc!$G$3:$G$22&gt;B4025)*(Calc!$G$3:$G$22-B4025)*Calc!$I$3:$I$22)</f>
        <v/>
      </c>
      <c r="P4025">
        <f>I4025-G4025^2/k_n</f>
        <v/>
      </c>
      <c r="Q4025">
        <f>J4025-H4025^2/k_n</f>
        <v/>
      </c>
      <c r="R4025">
        <f>K4025-G4025*H4025/k_n</f>
        <v/>
      </c>
      <c r="S4025">
        <f>L4025-LTP3!$D$3*G4025/k_n</f>
        <v/>
      </c>
      <c r="T4025">
        <f>M4025-LTP3!$D$3*H4025/k_n</f>
        <v/>
      </c>
      <c r="U4025">
        <f>N4025-G4025*LTP3!$D$4/k_n</f>
        <v/>
      </c>
      <c r="V4025">
        <f>O4025-H4025*LTP3!$D$4/k_n</f>
        <v/>
      </c>
      <c r="W4025">
        <f>((LTP3!$D$5)*((P4025)*(Q4025)-(R4025)*(R4025))-(S4025)*((S4025)*(Q4025)-(R4025)*(T4025))+(T4025)*((S4025)*(R4025)-(P4025)*(T4025)))</f>
        <v/>
      </c>
      <c r="X4025">
        <f>IF(ABS(W4025)&gt;1E-12,((LTP3!$D$6)*((P4025)*(Q4025)-(R4025)*(R4025))-(S4025)*((U4025)*(Q4025)-(R4025)*(V4025))+(T4025)*((U4025)*(R4025)-(P4025)*(V4025)))/W4025,0)</f>
        <v/>
      </c>
      <c r="Y4025">
        <f>IF(ABS(W4025)&gt;1E-12,((LTP3!$D$5)*((U4025)*(Q4025)-(R4025)*(V4025))-(LTP3!$D$6)*((S4025)*(Q4025)-(R4025)*(T4025))+(T4025)*((S4025)*(V4025)-(U4025)*(T4025)))/W4025,0)</f>
        <v/>
      </c>
      <c r="Z4025">
        <f>IF(ABS(W4025)&gt;1E-12,((LTP3!$D$5)*((P4025)*(V4025)-(U4025)*(R4025))-(S4025)*((S4025)*(V4025)-(U4025)*(T4025))+(LTP3!$D$6)*((S4025)*(R4025)-(P4025)*(T4025)))/W4025,0)</f>
        <v/>
      </c>
      <c r="AA4025">
        <f>LTP3!$D$7-X4025*LTP3!$D$6-Y4025*U4025-Z4025*V4025</f>
        <v/>
      </c>
      <c r="AB4025">
        <f>IF(AND(F4025,ABS(W4025)&gt;1E-12,Y4025&gt;0,Z4025&gt;0),AA4025,1E+300)</f>
        <v/>
      </c>
    </row>
    <row r="4026">
      <c r="A4026">
        <f>$I$3-$B$5+$B$5*13/10</f>
        <v/>
      </c>
      <c r="B4026">
        <f>$J$3-$B$5+$B$5*17/10</f>
        <v/>
      </c>
      <c r="C4026">
        <f>SUMPRODUCT(Calc!$K$3:$K$22*(Calc!$G$3:$G$22&lt;=A4026))</f>
        <v/>
      </c>
      <c r="D4026">
        <f>SUMPRODUCT(Calc!$K$3:$K$22*(Calc!$G$3:$G$22&gt;A4026)*(Calc!$G$3:$G$22&lt;B4026))</f>
        <v/>
      </c>
      <c r="E4026">
        <f>SUMPRODUCT(Calc!$K$3:$K$22*(Calc!$G$3:$G$22&gt;=B4026))</f>
        <v/>
      </c>
      <c r="F4026">
        <f>AND(k_n&gt;=5,B4026&gt;A4026+1E-9,C4026&gt;=2,D4026&gt;=1,E4026&gt;=2)</f>
        <v/>
      </c>
      <c r="G4026">
        <f>SUMPRODUCT(Calc!$K$3:$K$22*(Calc!$G$3:$G$22&gt;A4026)*(Calc!$G$3:$G$22-A4026))</f>
        <v/>
      </c>
      <c r="H4026">
        <f>SUMPRODUCT(Calc!$K$3:$K$22*(Calc!$G$3:$G$22&gt;B4026)*(Calc!$G$3:$G$22-B4026))</f>
        <v/>
      </c>
      <c r="I4026">
        <f>SUMPRODUCT(Calc!$K$3:$K$22*(Calc!$G$3:$G$22&gt;A4026)*(Calc!$G$3:$G$22-A4026)^2)</f>
        <v/>
      </c>
      <c r="J4026">
        <f>SUMPRODUCT(Calc!$K$3:$K$22*(Calc!$G$3:$G$22&gt;B4026)*(Calc!$G$3:$G$22-B4026)^2)</f>
        <v/>
      </c>
      <c r="K4026">
        <f>SUMPRODUCT(Calc!$K$3:$K$22*(Calc!$G$3:$G$22&gt;A4026)*(Calc!$G$3:$G$22-A4026)*(Calc!$G$3:$G$22&gt;B4026)*(Calc!$G$3:$G$22-B4026))</f>
        <v/>
      </c>
      <c r="L4026">
        <f>SUMPRODUCT(Calc!$K$3:$K$22*(Calc!$G$3:$G$22&gt;A4026)*(Calc!$G$3:$G$22-A4026)*Calc!$G$3:$G$22)</f>
        <v/>
      </c>
      <c r="M4026">
        <f>SUMPRODUCT(Calc!$K$3:$K$22*(Calc!$G$3:$G$22&gt;B4026)*(Calc!$G$3:$G$22-B4026)*Calc!$G$3:$G$22)</f>
        <v/>
      </c>
      <c r="N4026">
        <f>SUMPRODUCT(Calc!$K$3:$K$22*(Calc!$G$3:$G$22&gt;A4026)*(Calc!$G$3:$G$22-A4026)*Calc!$I$3:$I$22)</f>
        <v/>
      </c>
      <c r="O4026">
        <f>SUMPRODUCT(Calc!$K$3:$K$22*(Calc!$G$3:$G$22&gt;B4026)*(Calc!$G$3:$G$22-B4026)*Calc!$I$3:$I$22)</f>
        <v/>
      </c>
      <c r="P4026">
        <f>I4026-G4026^2/k_n</f>
        <v/>
      </c>
      <c r="Q4026">
        <f>J4026-H4026^2/k_n</f>
        <v/>
      </c>
      <c r="R4026">
        <f>K4026-G4026*H4026/k_n</f>
        <v/>
      </c>
      <c r="S4026">
        <f>L4026-LTP3!$D$3*G4026/k_n</f>
        <v/>
      </c>
      <c r="T4026">
        <f>M4026-LTP3!$D$3*H4026/k_n</f>
        <v/>
      </c>
      <c r="U4026">
        <f>N4026-G4026*LTP3!$D$4/k_n</f>
        <v/>
      </c>
      <c r="V4026">
        <f>O4026-H4026*LTP3!$D$4/k_n</f>
        <v/>
      </c>
      <c r="W4026">
        <f>((LTP3!$D$5)*((P4026)*(Q4026)-(R4026)*(R4026))-(S4026)*((S4026)*(Q4026)-(R4026)*(T4026))+(T4026)*((S4026)*(R4026)-(P4026)*(T4026)))</f>
        <v/>
      </c>
      <c r="X4026">
        <f>IF(ABS(W4026)&gt;1E-12,((LTP3!$D$6)*((P4026)*(Q4026)-(R4026)*(R4026))-(S4026)*((U4026)*(Q4026)-(R4026)*(V4026))+(T4026)*((U4026)*(R4026)-(P4026)*(V4026)))/W4026,0)</f>
        <v/>
      </c>
      <c r="Y4026">
        <f>IF(ABS(W4026)&gt;1E-12,((LTP3!$D$5)*((U4026)*(Q4026)-(R4026)*(V4026))-(LTP3!$D$6)*((S4026)*(Q4026)-(R4026)*(T4026))+(T4026)*((S4026)*(V4026)-(U4026)*(T4026)))/W4026,0)</f>
        <v/>
      </c>
      <c r="Z4026">
        <f>IF(ABS(W4026)&gt;1E-12,((LTP3!$D$5)*((P4026)*(V4026)-(U4026)*(R4026))-(S4026)*((S4026)*(V4026)-(U4026)*(T4026))+(LTP3!$D$6)*((S4026)*(R4026)-(P4026)*(T4026)))/W4026,0)</f>
        <v/>
      </c>
      <c r="AA4026">
        <f>LTP3!$D$7-X4026*LTP3!$D$6-Y4026*U4026-Z4026*V4026</f>
        <v/>
      </c>
      <c r="AB4026">
        <f>IF(AND(F4026,ABS(W4026)&gt;1E-12,Y4026&gt;0,Z4026&gt;0),AA4026,1E+300)</f>
        <v/>
      </c>
    </row>
    <row r="4027">
      <c r="A4027">
        <f>$I$3-$B$5+$B$5*13/10</f>
        <v/>
      </c>
      <c r="B4027">
        <f>$J$3-$B$5+$B$5*18/10</f>
        <v/>
      </c>
      <c r="C4027">
        <f>SUMPRODUCT(Calc!$K$3:$K$22*(Calc!$G$3:$G$22&lt;=A4027))</f>
        <v/>
      </c>
      <c r="D4027">
        <f>SUMPRODUCT(Calc!$K$3:$K$22*(Calc!$G$3:$G$22&gt;A4027)*(Calc!$G$3:$G$22&lt;B4027))</f>
        <v/>
      </c>
      <c r="E4027">
        <f>SUMPRODUCT(Calc!$K$3:$K$22*(Calc!$G$3:$G$22&gt;=B4027))</f>
        <v/>
      </c>
      <c r="F4027">
        <f>AND(k_n&gt;=5,B4027&gt;A4027+1E-9,C4027&gt;=2,D4027&gt;=1,E4027&gt;=2)</f>
        <v/>
      </c>
      <c r="G4027">
        <f>SUMPRODUCT(Calc!$K$3:$K$22*(Calc!$G$3:$G$22&gt;A4027)*(Calc!$G$3:$G$22-A4027))</f>
        <v/>
      </c>
      <c r="H4027">
        <f>SUMPRODUCT(Calc!$K$3:$K$22*(Calc!$G$3:$G$22&gt;B4027)*(Calc!$G$3:$G$22-B4027))</f>
        <v/>
      </c>
      <c r="I4027">
        <f>SUMPRODUCT(Calc!$K$3:$K$22*(Calc!$G$3:$G$22&gt;A4027)*(Calc!$G$3:$G$22-A4027)^2)</f>
        <v/>
      </c>
      <c r="J4027">
        <f>SUMPRODUCT(Calc!$K$3:$K$22*(Calc!$G$3:$G$22&gt;B4027)*(Calc!$G$3:$G$22-B4027)^2)</f>
        <v/>
      </c>
      <c r="K4027">
        <f>SUMPRODUCT(Calc!$K$3:$K$22*(Calc!$G$3:$G$22&gt;A4027)*(Calc!$G$3:$G$22-A4027)*(Calc!$G$3:$G$22&gt;B4027)*(Calc!$G$3:$G$22-B4027))</f>
        <v/>
      </c>
      <c r="L4027">
        <f>SUMPRODUCT(Calc!$K$3:$K$22*(Calc!$G$3:$G$22&gt;A4027)*(Calc!$G$3:$G$22-A4027)*Calc!$G$3:$G$22)</f>
        <v/>
      </c>
      <c r="M4027">
        <f>SUMPRODUCT(Calc!$K$3:$K$22*(Calc!$G$3:$G$22&gt;B4027)*(Calc!$G$3:$G$22-B4027)*Calc!$G$3:$G$22)</f>
        <v/>
      </c>
      <c r="N4027">
        <f>SUMPRODUCT(Calc!$K$3:$K$22*(Calc!$G$3:$G$22&gt;A4027)*(Calc!$G$3:$G$22-A4027)*Calc!$I$3:$I$22)</f>
        <v/>
      </c>
      <c r="O4027">
        <f>SUMPRODUCT(Calc!$K$3:$K$22*(Calc!$G$3:$G$22&gt;B4027)*(Calc!$G$3:$G$22-B4027)*Calc!$I$3:$I$22)</f>
        <v/>
      </c>
      <c r="P4027">
        <f>I4027-G4027^2/k_n</f>
        <v/>
      </c>
      <c r="Q4027">
        <f>J4027-H4027^2/k_n</f>
        <v/>
      </c>
      <c r="R4027">
        <f>K4027-G4027*H4027/k_n</f>
        <v/>
      </c>
      <c r="S4027">
        <f>L4027-LTP3!$D$3*G4027/k_n</f>
        <v/>
      </c>
      <c r="T4027">
        <f>M4027-LTP3!$D$3*H4027/k_n</f>
        <v/>
      </c>
      <c r="U4027">
        <f>N4027-G4027*LTP3!$D$4/k_n</f>
        <v/>
      </c>
      <c r="V4027">
        <f>O4027-H4027*LTP3!$D$4/k_n</f>
        <v/>
      </c>
      <c r="W4027">
        <f>((LTP3!$D$5)*((P4027)*(Q4027)-(R4027)*(R4027))-(S4027)*((S4027)*(Q4027)-(R4027)*(T4027))+(T4027)*((S4027)*(R4027)-(P4027)*(T4027)))</f>
        <v/>
      </c>
      <c r="X4027">
        <f>IF(ABS(W4027)&gt;1E-12,((LTP3!$D$6)*((P4027)*(Q4027)-(R4027)*(R4027))-(S4027)*((U4027)*(Q4027)-(R4027)*(V4027))+(T4027)*((U4027)*(R4027)-(P4027)*(V4027)))/W4027,0)</f>
        <v/>
      </c>
      <c r="Y4027">
        <f>IF(ABS(W4027)&gt;1E-12,((LTP3!$D$5)*((U4027)*(Q4027)-(R4027)*(V4027))-(LTP3!$D$6)*((S4027)*(Q4027)-(R4027)*(T4027))+(T4027)*((S4027)*(V4027)-(U4027)*(T4027)))/W4027,0)</f>
        <v/>
      </c>
      <c r="Z4027">
        <f>IF(ABS(W4027)&gt;1E-12,((LTP3!$D$5)*((P4027)*(V4027)-(U4027)*(R4027))-(S4027)*((S4027)*(V4027)-(U4027)*(T4027))+(LTP3!$D$6)*((S4027)*(R4027)-(P4027)*(T4027)))/W4027,0)</f>
        <v/>
      </c>
      <c r="AA4027">
        <f>LTP3!$D$7-X4027*LTP3!$D$6-Y4027*U4027-Z4027*V4027</f>
        <v/>
      </c>
      <c r="AB4027">
        <f>IF(AND(F4027,ABS(W4027)&gt;1E-12,Y4027&gt;0,Z4027&gt;0),AA4027,1E+300)</f>
        <v/>
      </c>
    </row>
    <row r="4028">
      <c r="A4028">
        <f>$I$3-$B$5+$B$5*13/10</f>
        <v/>
      </c>
      <c r="B4028">
        <f>$J$3-$B$5+$B$5*19/10</f>
        <v/>
      </c>
      <c r="C4028">
        <f>SUMPRODUCT(Calc!$K$3:$K$22*(Calc!$G$3:$G$22&lt;=A4028))</f>
        <v/>
      </c>
      <c r="D4028">
        <f>SUMPRODUCT(Calc!$K$3:$K$22*(Calc!$G$3:$G$22&gt;A4028)*(Calc!$G$3:$G$22&lt;B4028))</f>
        <v/>
      </c>
      <c r="E4028">
        <f>SUMPRODUCT(Calc!$K$3:$K$22*(Calc!$G$3:$G$22&gt;=B4028))</f>
        <v/>
      </c>
      <c r="F4028">
        <f>AND(k_n&gt;=5,B4028&gt;A4028+1E-9,C4028&gt;=2,D4028&gt;=1,E4028&gt;=2)</f>
        <v/>
      </c>
      <c r="G4028">
        <f>SUMPRODUCT(Calc!$K$3:$K$22*(Calc!$G$3:$G$22&gt;A4028)*(Calc!$G$3:$G$22-A4028))</f>
        <v/>
      </c>
      <c r="H4028">
        <f>SUMPRODUCT(Calc!$K$3:$K$22*(Calc!$G$3:$G$22&gt;B4028)*(Calc!$G$3:$G$22-B4028))</f>
        <v/>
      </c>
      <c r="I4028">
        <f>SUMPRODUCT(Calc!$K$3:$K$22*(Calc!$G$3:$G$22&gt;A4028)*(Calc!$G$3:$G$22-A4028)^2)</f>
        <v/>
      </c>
      <c r="J4028">
        <f>SUMPRODUCT(Calc!$K$3:$K$22*(Calc!$G$3:$G$22&gt;B4028)*(Calc!$G$3:$G$22-B4028)^2)</f>
        <v/>
      </c>
      <c r="K4028">
        <f>SUMPRODUCT(Calc!$K$3:$K$22*(Calc!$G$3:$G$22&gt;A4028)*(Calc!$G$3:$G$22-A4028)*(Calc!$G$3:$G$22&gt;B4028)*(Calc!$G$3:$G$22-B4028))</f>
        <v/>
      </c>
      <c r="L4028">
        <f>SUMPRODUCT(Calc!$K$3:$K$22*(Calc!$G$3:$G$22&gt;A4028)*(Calc!$G$3:$G$22-A4028)*Calc!$G$3:$G$22)</f>
        <v/>
      </c>
      <c r="M4028">
        <f>SUMPRODUCT(Calc!$K$3:$K$22*(Calc!$G$3:$G$22&gt;B4028)*(Calc!$G$3:$G$22-B4028)*Calc!$G$3:$G$22)</f>
        <v/>
      </c>
      <c r="N4028">
        <f>SUMPRODUCT(Calc!$K$3:$K$22*(Calc!$G$3:$G$22&gt;A4028)*(Calc!$G$3:$G$22-A4028)*Calc!$I$3:$I$22)</f>
        <v/>
      </c>
      <c r="O4028">
        <f>SUMPRODUCT(Calc!$K$3:$K$22*(Calc!$G$3:$G$22&gt;B4028)*(Calc!$G$3:$G$22-B4028)*Calc!$I$3:$I$22)</f>
        <v/>
      </c>
      <c r="P4028">
        <f>I4028-G4028^2/k_n</f>
        <v/>
      </c>
      <c r="Q4028">
        <f>J4028-H4028^2/k_n</f>
        <v/>
      </c>
      <c r="R4028">
        <f>K4028-G4028*H4028/k_n</f>
        <v/>
      </c>
      <c r="S4028">
        <f>L4028-LTP3!$D$3*G4028/k_n</f>
        <v/>
      </c>
      <c r="T4028">
        <f>M4028-LTP3!$D$3*H4028/k_n</f>
        <v/>
      </c>
      <c r="U4028">
        <f>N4028-G4028*LTP3!$D$4/k_n</f>
        <v/>
      </c>
      <c r="V4028">
        <f>O4028-H4028*LTP3!$D$4/k_n</f>
        <v/>
      </c>
      <c r="W4028">
        <f>((LTP3!$D$5)*((P4028)*(Q4028)-(R4028)*(R4028))-(S4028)*((S4028)*(Q4028)-(R4028)*(T4028))+(T4028)*((S4028)*(R4028)-(P4028)*(T4028)))</f>
        <v/>
      </c>
      <c r="X4028">
        <f>IF(ABS(W4028)&gt;1E-12,((LTP3!$D$6)*((P4028)*(Q4028)-(R4028)*(R4028))-(S4028)*((U4028)*(Q4028)-(R4028)*(V4028))+(T4028)*((U4028)*(R4028)-(P4028)*(V4028)))/W4028,0)</f>
        <v/>
      </c>
      <c r="Y4028">
        <f>IF(ABS(W4028)&gt;1E-12,((LTP3!$D$5)*((U4028)*(Q4028)-(R4028)*(V4028))-(LTP3!$D$6)*((S4028)*(Q4028)-(R4028)*(T4028))+(T4028)*((S4028)*(V4028)-(U4028)*(T4028)))/W4028,0)</f>
        <v/>
      </c>
      <c r="Z4028">
        <f>IF(ABS(W4028)&gt;1E-12,((LTP3!$D$5)*((P4028)*(V4028)-(U4028)*(R4028))-(S4028)*((S4028)*(V4028)-(U4028)*(T4028))+(LTP3!$D$6)*((S4028)*(R4028)-(P4028)*(T4028)))/W4028,0)</f>
        <v/>
      </c>
      <c r="AA4028">
        <f>LTP3!$D$7-X4028*LTP3!$D$6-Y4028*U4028-Z4028*V4028</f>
        <v/>
      </c>
      <c r="AB4028">
        <f>IF(AND(F4028,ABS(W4028)&gt;1E-12,Y4028&gt;0,Z4028&gt;0),AA4028,1E+300)</f>
        <v/>
      </c>
    </row>
    <row r="4029">
      <c r="A4029">
        <f>$I$3-$B$5+$B$5*13/10</f>
        <v/>
      </c>
      <c r="B4029">
        <f>$J$3-$B$5+$B$5*20/10</f>
        <v/>
      </c>
      <c r="C4029">
        <f>SUMPRODUCT(Calc!$K$3:$K$22*(Calc!$G$3:$G$22&lt;=A4029))</f>
        <v/>
      </c>
      <c r="D4029">
        <f>SUMPRODUCT(Calc!$K$3:$K$22*(Calc!$G$3:$G$22&gt;A4029)*(Calc!$G$3:$G$22&lt;B4029))</f>
        <v/>
      </c>
      <c r="E4029">
        <f>SUMPRODUCT(Calc!$K$3:$K$22*(Calc!$G$3:$G$22&gt;=B4029))</f>
        <v/>
      </c>
      <c r="F4029">
        <f>AND(k_n&gt;=5,B4029&gt;A4029+1E-9,C4029&gt;=2,D4029&gt;=1,E4029&gt;=2)</f>
        <v/>
      </c>
      <c r="G4029">
        <f>SUMPRODUCT(Calc!$K$3:$K$22*(Calc!$G$3:$G$22&gt;A4029)*(Calc!$G$3:$G$22-A4029))</f>
        <v/>
      </c>
      <c r="H4029">
        <f>SUMPRODUCT(Calc!$K$3:$K$22*(Calc!$G$3:$G$22&gt;B4029)*(Calc!$G$3:$G$22-B4029))</f>
        <v/>
      </c>
      <c r="I4029">
        <f>SUMPRODUCT(Calc!$K$3:$K$22*(Calc!$G$3:$G$22&gt;A4029)*(Calc!$G$3:$G$22-A4029)^2)</f>
        <v/>
      </c>
      <c r="J4029">
        <f>SUMPRODUCT(Calc!$K$3:$K$22*(Calc!$G$3:$G$22&gt;B4029)*(Calc!$G$3:$G$22-B4029)^2)</f>
        <v/>
      </c>
      <c r="K4029">
        <f>SUMPRODUCT(Calc!$K$3:$K$22*(Calc!$G$3:$G$22&gt;A4029)*(Calc!$G$3:$G$22-A4029)*(Calc!$G$3:$G$22&gt;B4029)*(Calc!$G$3:$G$22-B4029))</f>
        <v/>
      </c>
      <c r="L4029">
        <f>SUMPRODUCT(Calc!$K$3:$K$22*(Calc!$G$3:$G$22&gt;A4029)*(Calc!$G$3:$G$22-A4029)*Calc!$G$3:$G$22)</f>
        <v/>
      </c>
      <c r="M4029">
        <f>SUMPRODUCT(Calc!$K$3:$K$22*(Calc!$G$3:$G$22&gt;B4029)*(Calc!$G$3:$G$22-B4029)*Calc!$G$3:$G$22)</f>
        <v/>
      </c>
      <c r="N4029">
        <f>SUMPRODUCT(Calc!$K$3:$K$22*(Calc!$G$3:$G$22&gt;A4029)*(Calc!$G$3:$G$22-A4029)*Calc!$I$3:$I$22)</f>
        <v/>
      </c>
      <c r="O4029">
        <f>SUMPRODUCT(Calc!$K$3:$K$22*(Calc!$G$3:$G$22&gt;B4029)*(Calc!$G$3:$G$22-B4029)*Calc!$I$3:$I$22)</f>
        <v/>
      </c>
      <c r="P4029">
        <f>I4029-G4029^2/k_n</f>
        <v/>
      </c>
      <c r="Q4029">
        <f>J4029-H4029^2/k_n</f>
        <v/>
      </c>
      <c r="R4029">
        <f>K4029-G4029*H4029/k_n</f>
        <v/>
      </c>
      <c r="S4029">
        <f>L4029-LTP3!$D$3*G4029/k_n</f>
        <v/>
      </c>
      <c r="T4029">
        <f>M4029-LTP3!$D$3*H4029/k_n</f>
        <v/>
      </c>
      <c r="U4029">
        <f>N4029-G4029*LTP3!$D$4/k_n</f>
        <v/>
      </c>
      <c r="V4029">
        <f>O4029-H4029*LTP3!$D$4/k_n</f>
        <v/>
      </c>
      <c r="W4029">
        <f>((LTP3!$D$5)*((P4029)*(Q4029)-(R4029)*(R4029))-(S4029)*((S4029)*(Q4029)-(R4029)*(T4029))+(T4029)*((S4029)*(R4029)-(P4029)*(T4029)))</f>
        <v/>
      </c>
      <c r="X4029">
        <f>IF(ABS(W4029)&gt;1E-12,((LTP3!$D$6)*((P4029)*(Q4029)-(R4029)*(R4029))-(S4029)*((U4029)*(Q4029)-(R4029)*(V4029))+(T4029)*((U4029)*(R4029)-(P4029)*(V4029)))/W4029,0)</f>
        <v/>
      </c>
      <c r="Y4029">
        <f>IF(ABS(W4029)&gt;1E-12,((LTP3!$D$5)*((U4029)*(Q4029)-(R4029)*(V4029))-(LTP3!$D$6)*((S4029)*(Q4029)-(R4029)*(T4029))+(T4029)*((S4029)*(V4029)-(U4029)*(T4029)))/W4029,0)</f>
        <v/>
      </c>
      <c r="Z4029">
        <f>IF(ABS(W4029)&gt;1E-12,((LTP3!$D$5)*((P4029)*(V4029)-(U4029)*(R4029))-(S4029)*((S4029)*(V4029)-(U4029)*(T4029))+(LTP3!$D$6)*((S4029)*(R4029)-(P4029)*(T4029)))/W4029,0)</f>
        <v/>
      </c>
      <c r="AA4029">
        <f>LTP3!$D$7-X4029*LTP3!$D$6-Y4029*U4029-Z4029*V4029</f>
        <v/>
      </c>
      <c r="AB4029">
        <f>IF(AND(F4029,ABS(W4029)&gt;1E-12,Y4029&gt;0,Z4029&gt;0),AA4029,1E+300)</f>
        <v/>
      </c>
    </row>
    <row r="4030">
      <c r="A4030">
        <f>$I$3-$B$5+$B$5*14/10</f>
        <v/>
      </c>
      <c r="B4030">
        <f>$J$3-$B$5+$B$5*0/10</f>
        <v/>
      </c>
      <c r="C4030">
        <f>SUMPRODUCT(Calc!$K$3:$K$22*(Calc!$G$3:$G$22&lt;=A4030))</f>
        <v/>
      </c>
      <c r="D4030">
        <f>SUMPRODUCT(Calc!$K$3:$K$22*(Calc!$G$3:$G$22&gt;A4030)*(Calc!$G$3:$G$22&lt;B4030))</f>
        <v/>
      </c>
      <c r="E4030">
        <f>SUMPRODUCT(Calc!$K$3:$K$22*(Calc!$G$3:$G$22&gt;=B4030))</f>
        <v/>
      </c>
      <c r="F4030">
        <f>AND(k_n&gt;=5,B4030&gt;A4030+1E-9,C4030&gt;=2,D4030&gt;=1,E4030&gt;=2)</f>
        <v/>
      </c>
      <c r="G4030">
        <f>SUMPRODUCT(Calc!$K$3:$K$22*(Calc!$G$3:$G$22&gt;A4030)*(Calc!$G$3:$G$22-A4030))</f>
        <v/>
      </c>
      <c r="H4030">
        <f>SUMPRODUCT(Calc!$K$3:$K$22*(Calc!$G$3:$G$22&gt;B4030)*(Calc!$G$3:$G$22-B4030))</f>
        <v/>
      </c>
      <c r="I4030">
        <f>SUMPRODUCT(Calc!$K$3:$K$22*(Calc!$G$3:$G$22&gt;A4030)*(Calc!$G$3:$G$22-A4030)^2)</f>
        <v/>
      </c>
      <c r="J4030">
        <f>SUMPRODUCT(Calc!$K$3:$K$22*(Calc!$G$3:$G$22&gt;B4030)*(Calc!$G$3:$G$22-B4030)^2)</f>
        <v/>
      </c>
      <c r="K4030">
        <f>SUMPRODUCT(Calc!$K$3:$K$22*(Calc!$G$3:$G$22&gt;A4030)*(Calc!$G$3:$G$22-A4030)*(Calc!$G$3:$G$22&gt;B4030)*(Calc!$G$3:$G$22-B4030))</f>
        <v/>
      </c>
      <c r="L4030">
        <f>SUMPRODUCT(Calc!$K$3:$K$22*(Calc!$G$3:$G$22&gt;A4030)*(Calc!$G$3:$G$22-A4030)*Calc!$G$3:$G$22)</f>
        <v/>
      </c>
      <c r="M4030">
        <f>SUMPRODUCT(Calc!$K$3:$K$22*(Calc!$G$3:$G$22&gt;B4030)*(Calc!$G$3:$G$22-B4030)*Calc!$G$3:$G$22)</f>
        <v/>
      </c>
      <c r="N4030">
        <f>SUMPRODUCT(Calc!$K$3:$K$22*(Calc!$G$3:$G$22&gt;A4030)*(Calc!$G$3:$G$22-A4030)*Calc!$I$3:$I$22)</f>
        <v/>
      </c>
      <c r="O4030">
        <f>SUMPRODUCT(Calc!$K$3:$K$22*(Calc!$G$3:$G$22&gt;B4030)*(Calc!$G$3:$G$22-B4030)*Calc!$I$3:$I$22)</f>
        <v/>
      </c>
      <c r="P4030">
        <f>I4030-G4030^2/k_n</f>
        <v/>
      </c>
      <c r="Q4030">
        <f>J4030-H4030^2/k_n</f>
        <v/>
      </c>
      <c r="R4030">
        <f>K4030-G4030*H4030/k_n</f>
        <v/>
      </c>
      <c r="S4030">
        <f>L4030-LTP3!$D$3*G4030/k_n</f>
        <v/>
      </c>
      <c r="T4030">
        <f>M4030-LTP3!$D$3*H4030/k_n</f>
        <v/>
      </c>
      <c r="U4030">
        <f>N4030-G4030*LTP3!$D$4/k_n</f>
        <v/>
      </c>
      <c r="V4030">
        <f>O4030-H4030*LTP3!$D$4/k_n</f>
        <v/>
      </c>
      <c r="W4030">
        <f>((LTP3!$D$5)*((P4030)*(Q4030)-(R4030)*(R4030))-(S4030)*((S4030)*(Q4030)-(R4030)*(T4030))+(T4030)*((S4030)*(R4030)-(P4030)*(T4030)))</f>
        <v/>
      </c>
      <c r="X4030">
        <f>IF(ABS(W4030)&gt;1E-12,((LTP3!$D$6)*((P4030)*(Q4030)-(R4030)*(R4030))-(S4030)*((U4030)*(Q4030)-(R4030)*(V4030))+(T4030)*((U4030)*(R4030)-(P4030)*(V4030)))/W4030,0)</f>
        <v/>
      </c>
      <c r="Y4030">
        <f>IF(ABS(W4030)&gt;1E-12,((LTP3!$D$5)*((U4030)*(Q4030)-(R4030)*(V4030))-(LTP3!$D$6)*((S4030)*(Q4030)-(R4030)*(T4030))+(T4030)*((S4030)*(V4030)-(U4030)*(T4030)))/W4030,0)</f>
        <v/>
      </c>
      <c r="Z4030">
        <f>IF(ABS(W4030)&gt;1E-12,((LTP3!$D$5)*((P4030)*(V4030)-(U4030)*(R4030))-(S4030)*((S4030)*(V4030)-(U4030)*(T4030))+(LTP3!$D$6)*((S4030)*(R4030)-(P4030)*(T4030)))/W4030,0)</f>
        <v/>
      </c>
      <c r="AA4030">
        <f>LTP3!$D$7-X4030*LTP3!$D$6-Y4030*U4030-Z4030*V4030</f>
        <v/>
      </c>
      <c r="AB4030">
        <f>IF(AND(F4030,ABS(W4030)&gt;1E-12,Y4030&gt;0,Z4030&gt;0),AA4030,1E+300)</f>
        <v/>
      </c>
    </row>
    <row r="4031">
      <c r="A4031">
        <f>$I$3-$B$5+$B$5*14/10</f>
        <v/>
      </c>
      <c r="B4031">
        <f>$J$3-$B$5+$B$5*1/10</f>
        <v/>
      </c>
      <c r="C4031">
        <f>SUMPRODUCT(Calc!$K$3:$K$22*(Calc!$G$3:$G$22&lt;=A4031))</f>
        <v/>
      </c>
      <c r="D4031">
        <f>SUMPRODUCT(Calc!$K$3:$K$22*(Calc!$G$3:$G$22&gt;A4031)*(Calc!$G$3:$G$22&lt;B4031))</f>
        <v/>
      </c>
      <c r="E4031">
        <f>SUMPRODUCT(Calc!$K$3:$K$22*(Calc!$G$3:$G$22&gt;=B4031))</f>
        <v/>
      </c>
      <c r="F4031">
        <f>AND(k_n&gt;=5,B4031&gt;A4031+1E-9,C4031&gt;=2,D4031&gt;=1,E4031&gt;=2)</f>
        <v/>
      </c>
      <c r="G4031">
        <f>SUMPRODUCT(Calc!$K$3:$K$22*(Calc!$G$3:$G$22&gt;A4031)*(Calc!$G$3:$G$22-A4031))</f>
        <v/>
      </c>
      <c r="H4031">
        <f>SUMPRODUCT(Calc!$K$3:$K$22*(Calc!$G$3:$G$22&gt;B4031)*(Calc!$G$3:$G$22-B4031))</f>
        <v/>
      </c>
      <c r="I4031">
        <f>SUMPRODUCT(Calc!$K$3:$K$22*(Calc!$G$3:$G$22&gt;A4031)*(Calc!$G$3:$G$22-A4031)^2)</f>
        <v/>
      </c>
      <c r="J4031">
        <f>SUMPRODUCT(Calc!$K$3:$K$22*(Calc!$G$3:$G$22&gt;B4031)*(Calc!$G$3:$G$22-B4031)^2)</f>
        <v/>
      </c>
      <c r="K4031">
        <f>SUMPRODUCT(Calc!$K$3:$K$22*(Calc!$G$3:$G$22&gt;A4031)*(Calc!$G$3:$G$22-A4031)*(Calc!$G$3:$G$22&gt;B4031)*(Calc!$G$3:$G$22-B4031))</f>
        <v/>
      </c>
      <c r="L4031">
        <f>SUMPRODUCT(Calc!$K$3:$K$22*(Calc!$G$3:$G$22&gt;A4031)*(Calc!$G$3:$G$22-A4031)*Calc!$G$3:$G$22)</f>
        <v/>
      </c>
      <c r="M4031">
        <f>SUMPRODUCT(Calc!$K$3:$K$22*(Calc!$G$3:$G$22&gt;B4031)*(Calc!$G$3:$G$22-B4031)*Calc!$G$3:$G$22)</f>
        <v/>
      </c>
      <c r="N4031">
        <f>SUMPRODUCT(Calc!$K$3:$K$22*(Calc!$G$3:$G$22&gt;A4031)*(Calc!$G$3:$G$22-A4031)*Calc!$I$3:$I$22)</f>
        <v/>
      </c>
      <c r="O4031">
        <f>SUMPRODUCT(Calc!$K$3:$K$22*(Calc!$G$3:$G$22&gt;B4031)*(Calc!$G$3:$G$22-B4031)*Calc!$I$3:$I$22)</f>
        <v/>
      </c>
      <c r="P4031">
        <f>I4031-G4031^2/k_n</f>
        <v/>
      </c>
      <c r="Q4031">
        <f>J4031-H4031^2/k_n</f>
        <v/>
      </c>
      <c r="R4031">
        <f>K4031-G4031*H4031/k_n</f>
        <v/>
      </c>
      <c r="S4031">
        <f>L4031-LTP3!$D$3*G4031/k_n</f>
        <v/>
      </c>
      <c r="T4031">
        <f>M4031-LTP3!$D$3*H4031/k_n</f>
        <v/>
      </c>
      <c r="U4031">
        <f>N4031-G4031*LTP3!$D$4/k_n</f>
        <v/>
      </c>
      <c r="V4031">
        <f>O4031-H4031*LTP3!$D$4/k_n</f>
        <v/>
      </c>
      <c r="W4031">
        <f>((LTP3!$D$5)*((P4031)*(Q4031)-(R4031)*(R4031))-(S4031)*((S4031)*(Q4031)-(R4031)*(T4031))+(T4031)*((S4031)*(R4031)-(P4031)*(T4031)))</f>
        <v/>
      </c>
      <c r="X4031">
        <f>IF(ABS(W4031)&gt;1E-12,((LTP3!$D$6)*((P4031)*(Q4031)-(R4031)*(R4031))-(S4031)*((U4031)*(Q4031)-(R4031)*(V4031))+(T4031)*((U4031)*(R4031)-(P4031)*(V4031)))/W4031,0)</f>
        <v/>
      </c>
      <c r="Y4031">
        <f>IF(ABS(W4031)&gt;1E-12,((LTP3!$D$5)*((U4031)*(Q4031)-(R4031)*(V4031))-(LTP3!$D$6)*((S4031)*(Q4031)-(R4031)*(T4031))+(T4031)*((S4031)*(V4031)-(U4031)*(T4031)))/W4031,0)</f>
        <v/>
      </c>
      <c r="Z4031">
        <f>IF(ABS(W4031)&gt;1E-12,((LTP3!$D$5)*((P4031)*(V4031)-(U4031)*(R4031))-(S4031)*((S4031)*(V4031)-(U4031)*(T4031))+(LTP3!$D$6)*((S4031)*(R4031)-(P4031)*(T4031)))/W4031,0)</f>
        <v/>
      </c>
      <c r="AA4031">
        <f>LTP3!$D$7-X4031*LTP3!$D$6-Y4031*U4031-Z4031*V4031</f>
        <v/>
      </c>
      <c r="AB4031">
        <f>IF(AND(F4031,ABS(W4031)&gt;1E-12,Y4031&gt;0,Z4031&gt;0),AA4031,1E+300)</f>
        <v/>
      </c>
    </row>
    <row r="4032">
      <c r="A4032">
        <f>$I$3-$B$5+$B$5*14/10</f>
        <v/>
      </c>
      <c r="B4032">
        <f>$J$3-$B$5+$B$5*2/10</f>
        <v/>
      </c>
      <c r="C4032">
        <f>SUMPRODUCT(Calc!$K$3:$K$22*(Calc!$G$3:$G$22&lt;=A4032))</f>
        <v/>
      </c>
      <c r="D4032">
        <f>SUMPRODUCT(Calc!$K$3:$K$22*(Calc!$G$3:$G$22&gt;A4032)*(Calc!$G$3:$G$22&lt;B4032))</f>
        <v/>
      </c>
      <c r="E4032">
        <f>SUMPRODUCT(Calc!$K$3:$K$22*(Calc!$G$3:$G$22&gt;=B4032))</f>
        <v/>
      </c>
      <c r="F4032">
        <f>AND(k_n&gt;=5,B4032&gt;A4032+1E-9,C4032&gt;=2,D4032&gt;=1,E4032&gt;=2)</f>
        <v/>
      </c>
      <c r="G4032">
        <f>SUMPRODUCT(Calc!$K$3:$K$22*(Calc!$G$3:$G$22&gt;A4032)*(Calc!$G$3:$G$22-A4032))</f>
        <v/>
      </c>
      <c r="H4032">
        <f>SUMPRODUCT(Calc!$K$3:$K$22*(Calc!$G$3:$G$22&gt;B4032)*(Calc!$G$3:$G$22-B4032))</f>
        <v/>
      </c>
      <c r="I4032">
        <f>SUMPRODUCT(Calc!$K$3:$K$22*(Calc!$G$3:$G$22&gt;A4032)*(Calc!$G$3:$G$22-A4032)^2)</f>
        <v/>
      </c>
      <c r="J4032">
        <f>SUMPRODUCT(Calc!$K$3:$K$22*(Calc!$G$3:$G$22&gt;B4032)*(Calc!$G$3:$G$22-B4032)^2)</f>
        <v/>
      </c>
      <c r="K4032">
        <f>SUMPRODUCT(Calc!$K$3:$K$22*(Calc!$G$3:$G$22&gt;A4032)*(Calc!$G$3:$G$22-A4032)*(Calc!$G$3:$G$22&gt;B4032)*(Calc!$G$3:$G$22-B4032))</f>
        <v/>
      </c>
      <c r="L4032">
        <f>SUMPRODUCT(Calc!$K$3:$K$22*(Calc!$G$3:$G$22&gt;A4032)*(Calc!$G$3:$G$22-A4032)*Calc!$G$3:$G$22)</f>
        <v/>
      </c>
      <c r="M4032">
        <f>SUMPRODUCT(Calc!$K$3:$K$22*(Calc!$G$3:$G$22&gt;B4032)*(Calc!$G$3:$G$22-B4032)*Calc!$G$3:$G$22)</f>
        <v/>
      </c>
      <c r="N4032">
        <f>SUMPRODUCT(Calc!$K$3:$K$22*(Calc!$G$3:$G$22&gt;A4032)*(Calc!$G$3:$G$22-A4032)*Calc!$I$3:$I$22)</f>
        <v/>
      </c>
      <c r="O4032">
        <f>SUMPRODUCT(Calc!$K$3:$K$22*(Calc!$G$3:$G$22&gt;B4032)*(Calc!$G$3:$G$22-B4032)*Calc!$I$3:$I$22)</f>
        <v/>
      </c>
      <c r="P4032">
        <f>I4032-G4032^2/k_n</f>
        <v/>
      </c>
      <c r="Q4032">
        <f>J4032-H4032^2/k_n</f>
        <v/>
      </c>
      <c r="R4032">
        <f>K4032-G4032*H4032/k_n</f>
        <v/>
      </c>
      <c r="S4032">
        <f>L4032-LTP3!$D$3*G4032/k_n</f>
        <v/>
      </c>
      <c r="T4032">
        <f>M4032-LTP3!$D$3*H4032/k_n</f>
        <v/>
      </c>
      <c r="U4032">
        <f>N4032-G4032*LTP3!$D$4/k_n</f>
        <v/>
      </c>
      <c r="V4032">
        <f>O4032-H4032*LTP3!$D$4/k_n</f>
        <v/>
      </c>
      <c r="W4032">
        <f>((LTP3!$D$5)*((P4032)*(Q4032)-(R4032)*(R4032))-(S4032)*((S4032)*(Q4032)-(R4032)*(T4032))+(T4032)*((S4032)*(R4032)-(P4032)*(T4032)))</f>
        <v/>
      </c>
      <c r="X4032">
        <f>IF(ABS(W4032)&gt;1E-12,((LTP3!$D$6)*((P4032)*(Q4032)-(R4032)*(R4032))-(S4032)*((U4032)*(Q4032)-(R4032)*(V4032))+(T4032)*((U4032)*(R4032)-(P4032)*(V4032)))/W4032,0)</f>
        <v/>
      </c>
      <c r="Y4032">
        <f>IF(ABS(W4032)&gt;1E-12,((LTP3!$D$5)*((U4032)*(Q4032)-(R4032)*(V4032))-(LTP3!$D$6)*((S4032)*(Q4032)-(R4032)*(T4032))+(T4032)*((S4032)*(V4032)-(U4032)*(T4032)))/W4032,0)</f>
        <v/>
      </c>
      <c r="Z4032">
        <f>IF(ABS(W4032)&gt;1E-12,((LTP3!$D$5)*((P4032)*(V4032)-(U4032)*(R4032))-(S4032)*((S4032)*(V4032)-(U4032)*(T4032))+(LTP3!$D$6)*((S4032)*(R4032)-(P4032)*(T4032)))/W4032,0)</f>
        <v/>
      </c>
      <c r="AA4032">
        <f>LTP3!$D$7-X4032*LTP3!$D$6-Y4032*U4032-Z4032*V4032</f>
        <v/>
      </c>
      <c r="AB4032">
        <f>IF(AND(F4032,ABS(W4032)&gt;1E-12,Y4032&gt;0,Z4032&gt;0),AA4032,1E+300)</f>
        <v/>
      </c>
    </row>
    <row r="4033">
      <c r="A4033">
        <f>$I$3-$B$5+$B$5*14/10</f>
        <v/>
      </c>
      <c r="B4033">
        <f>$J$3-$B$5+$B$5*3/10</f>
        <v/>
      </c>
      <c r="C4033">
        <f>SUMPRODUCT(Calc!$K$3:$K$22*(Calc!$G$3:$G$22&lt;=A4033))</f>
        <v/>
      </c>
      <c r="D4033">
        <f>SUMPRODUCT(Calc!$K$3:$K$22*(Calc!$G$3:$G$22&gt;A4033)*(Calc!$G$3:$G$22&lt;B4033))</f>
        <v/>
      </c>
      <c r="E4033">
        <f>SUMPRODUCT(Calc!$K$3:$K$22*(Calc!$G$3:$G$22&gt;=B4033))</f>
        <v/>
      </c>
      <c r="F4033">
        <f>AND(k_n&gt;=5,B4033&gt;A4033+1E-9,C4033&gt;=2,D4033&gt;=1,E4033&gt;=2)</f>
        <v/>
      </c>
      <c r="G4033">
        <f>SUMPRODUCT(Calc!$K$3:$K$22*(Calc!$G$3:$G$22&gt;A4033)*(Calc!$G$3:$G$22-A4033))</f>
        <v/>
      </c>
      <c r="H4033">
        <f>SUMPRODUCT(Calc!$K$3:$K$22*(Calc!$G$3:$G$22&gt;B4033)*(Calc!$G$3:$G$22-B4033))</f>
        <v/>
      </c>
      <c r="I4033">
        <f>SUMPRODUCT(Calc!$K$3:$K$22*(Calc!$G$3:$G$22&gt;A4033)*(Calc!$G$3:$G$22-A4033)^2)</f>
        <v/>
      </c>
      <c r="J4033">
        <f>SUMPRODUCT(Calc!$K$3:$K$22*(Calc!$G$3:$G$22&gt;B4033)*(Calc!$G$3:$G$22-B4033)^2)</f>
        <v/>
      </c>
      <c r="K4033">
        <f>SUMPRODUCT(Calc!$K$3:$K$22*(Calc!$G$3:$G$22&gt;A4033)*(Calc!$G$3:$G$22-A4033)*(Calc!$G$3:$G$22&gt;B4033)*(Calc!$G$3:$G$22-B4033))</f>
        <v/>
      </c>
      <c r="L4033">
        <f>SUMPRODUCT(Calc!$K$3:$K$22*(Calc!$G$3:$G$22&gt;A4033)*(Calc!$G$3:$G$22-A4033)*Calc!$G$3:$G$22)</f>
        <v/>
      </c>
      <c r="M4033">
        <f>SUMPRODUCT(Calc!$K$3:$K$22*(Calc!$G$3:$G$22&gt;B4033)*(Calc!$G$3:$G$22-B4033)*Calc!$G$3:$G$22)</f>
        <v/>
      </c>
      <c r="N4033">
        <f>SUMPRODUCT(Calc!$K$3:$K$22*(Calc!$G$3:$G$22&gt;A4033)*(Calc!$G$3:$G$22-A4033)*Calc!$I$3:$I$22)</f>
        <v/>
      </c>
      <c r="O4033">
        <f>SUMPRODUCT(Calc!$K$3:$K$22*(Calc!$G$3:$G$22&gt;B4033)*(Calc!$G$3:$G$22-B4033)*Calc!$I$3:$I$22)</f>
        <v/>
      </c>
      <c r="P4033">
        <f>I4033-G4033^2/k_n</f>
        <v/>
      </c>
      <c r="Q4033">
        <f>J4033-H4033^2/k_n</f>
        <v/>
      </c>
      <c r="R4033">
        <f>K4033-G4033*H4033/k_n</f>
        <v/>
      </c>
      <c r="S4033">
        <f>L4033-LTP3!$D$3*G4033/k_n</f>
        <v/>
      </c>
      <c r="T4033">
        <f>M4033-LTP3!$D$3*H4033/k_n</f>
        <v/>
      </c>
      <c r="U4033">
        <f>N4033-G4033*LTP3!$D$4/k_n</f>
        <v/>
      </c>
      <c r="V4033">
        <f>O4033-H4033*LTP3!$D$4/k_n</f>
        <v/>
      </c>
      <c r="W4033">
        <f>((LTP3!$D$5)*((P4033)*(Q4033)-(R4033)*(R4033))-(S4033)*((S4033)*(Q4033)-(R4033)*(T4033))+(T4033)*((S4033)*(R4033)-(P4033)*(T4033)))</f>
        <v/>
      </c>
      <c r="X4033">
        <f>IF(ABS(W4033)&gt;1E-12,((LTP3!$D$6)*((P4033)*(Q4033)-(R4033)*(R4033))-(S4033)*((U4033)*(Q4033)-(R4033)*(V4033))+(T4033)*((U4033)*(R4033)-(P4033)*(V4033)))/W4033,0)</f>
        <v/>
      </c>
      <c r="Y4033">
        <f>IF(ABS(W4033)&gt;1E-12,((LTP3!$D$5)*((U4033)*(Q4033)-(R4033)*(V4033))-(LTP3!$D$6)*((S4033)*(Q4033)-(R4033)*(T4033))+(T4033)*((S4033)*(V4033)-(U4033)*(T4033)))/W4033,0)</f>
        <v/>
      </c>
      <c r="Z4033">
        <f>IF(ABS(W4033)&gt;1E-12,((LTP3!$D$5)*((P4033)*(V4033)-(U4033)*(R4033))-(S4033)*((S4033)*(V4033)-(U4033)*(T4033))+(LTP3!$D$6)*((S4033)*(R4033)-(P4033)*(T4033)))/W4033,0)</f>
        <v/>
      </c>
      <c r="AA4033">
        <f>LTP3!$D$7-X4033*LTP3!$D$6-Y4033*U4033-Z4033*V4033</f>
        <v/>
      </c>
      <c r="AB4033">
        <f>IF(AND(F4033,ABS(W4033)&gt;1E-12,Y4033&gt;0,Z4033&gt;0),AA4033,1E+300)</f>
        <v/>
      </c>
    </row>
    <row r="4034">
      <c r="A4034">
        <f>$I$3-$B$5+$B$5*14/10</f>
        <v/>
      </c>
      <c r="B4034">
        <f>$J$3-$B$5+$B$5*4/10</f>
        <v/>
      </c>
      <c r="C4034">
        <f>SUMPRODUCT(Calc!$K$3:$K$22*(Calc!$G$3:$G$22&lt;=A4034))</f>
        <v/>
      </c>
      <c r="D4034">
        <f>SUMPRODUCT(Calc!$K$3:$K$22*(Calc!$G$3:$G$22&gt;A4034)*(Calc!$G$3:$G$22&lt;B4034))</f>
        <v/>
      </c>
      <c r="E4034">
        <f>SUMPRODUCT(Calc!$K$3:$K$22*(Calc!$G$3:$G$22&gt;=B4034))</f>
        <v/>
      </c>
      <c r="F4034">
        <f>AND(k_n&gt;=5,B4034&gt;A4034+1E-9,C4034&gt;=2,D4034&gt;=1,E4034&gt;=2)</f>
        <v/>
      </c>
      <c r="G4034">
        <f>SUMPRODUCT(Calc!$K$3:$K$22*(Calc!$G$3:$G$22&gt;A4034)*(Calc!$G$3:$G$22-A4034))</f>
        <v/>
      </c>
      <c r="H4034">
        <f>SUMPRODUCT(Calc!$K$3:$K$22*(Calc!$G$3:$G$22&gt;B4034)*(Calc!$G$3:$G$22-B4034))</f>
        <v/>
      </c>
      <c r="I4034">
        <f>SUMPRODUCT(Calc!$K$3:$K$22*(Calc!$G$3:$G$22&gt;A4034)*(Calc!$G$3:$G$22-A4034)^2)</f>
        <v/>
      </c>
      <c r="J4034">
        <f>SUMPRODUCT(Calc!$K$3:$K$22*(Calc!$G$3:$G$22&gt;B4034)*(Calc!$G$3:$G$22-B4034)^2)</f>
        <v/>
      </c>
      <c r="K4034">
        <f>SUMPRODUCT(Calc!$K$3:$K$22*(Calc!$G$3:$G$22&gt;A4034)*(Calc!$G$3:$G$22-A4034)*(Calc!$G$3:$G$22&gt;B4034)*(Calc!$G$3:$G$22-B4034))</f>
        <v/>
      </c>
      <c r="L4034">
        <f>SUMPRODUCT(Calc!$K$3:$K$22*(Calc!$G$3:$G$22&gt;A4034)*(Calc!$G$3:$G$22-A4034)*Calc!$G$3:$G$22)</f>
        <v/>
      </c>
      <c r="M4034">
        <f>SUMPRODUCT(Calc!$K$3:$K$22*(Calc!$G$3:$G$22&gt;B4034)*(Calc!$G$3:$G$22-B4034)*Calc!$G$3:$G$22)</f>
        <v/>
      </c>
      <c r="N4034">
        <f>SUMPRODUCT(Calc!$K$3:$K$22*(Calc!$G$3:$G$22&gt;A4034)*(Calc!$G$3:$G$22-A4034)*Calc!$I$3:$I$22)</f>
        <v/>
      </c>
      <c r="O4034">
        <f>SUMPRODUCT(Calc!$K$3:$K$22*(Calc!$G$3:$G$22&gt;B4034)*(Calc!$G$3:$G$22-B4034)*Calc!$I$3:$I$22)</f>
        <v/>
      </c>
      <c r="P4034">
        <f>I4034-G4034^2/k_n</f>
        <v/>
      </c>
      <c r="Q4034">
        <f>J4034-H4034^2/k_n</f>
        <v/>
      </c>
      <c r="R4034">
        <f>K4034-G4034*H4034/k_n</f>
        <v/>
      </c>
      <c r="S4034">
        <f>L4034-LTP3!$D$3*G4034/k_n</f>
        <v/>
      </c>
      <c r="T4034">
        <f>M4034-LTP3!$D$3*H4034/k_n</f>
        <v/>
      </c>
      <c r="U4034">
        <f>N4034-G4034*LTP3!$D$4/k_n</f>
        <v/>
      </c>
      <c r="V4034">
        <f>O4034-H4034*LTP3!$D$4/k_n</f>
        <v/>
      </c>
      <c r="W4034">
        <f>((LTP3!$D$5)*((P4034)*(Q4034)-(R4034)*(R4034))-(S4034)*((S4034)*(Q4034)-(R4034)*(T4034))+(T4034)*((S4034)*(R4034)-(P4034)*(T4034)))</f>
        <v/>
      </c>
      <c r="X4034">
        <f>IF(ABS(W4034)&gt;1E-12,((LTP3!$D$6)*((P4034)*(Q4034)-(R4034)*(R4034))-(S4034)*((U4034)*(Q4034)-(R4034)*(V4034))+(T4034)*((U4034)*(R4034)-(P4034)*(V4034)))/W4034,0)</f>
        <v/>
      </c>
      <c r="Y4034">
        <f>IF(ABS(W4034)&gt;1E-12,((LTP3!$D$5)*((U4034)*(Q4034)-(R4034)*(V4034))-(LTP3!$D$6)*((S4034)*(Q4034)-(R4034)*(T4034))+(T4034)*((S4034)*(V4034)-(U4034)*(T4034)))/W4034,0)</f>
        <v/>
      </c>
      <c r="Z4034">
        <f>IF(ABS(W4034)&gt;1E-12,((LTP3!$D$5)*((P4034)*(V4034)-(U4034)*(R4034))-(S4034)*((S4034)*(V4034)-(U4034)*(T4034))+(LTP3!$D$6)*((S4034)*(R4034)-(P4034)*(T4034)))/W4034,0)</f>
        <v/>
      </c>
      <c r="AA4034">
        <f>LTP3!$D$7-X4034*LTP3!$D$6-Y4034*U4034-Z4034*V4034</f>
        <v/>
      </c>
      <c r="AB4034">
        <f>IF(AND(F4034,ABS(W4034)&gt;1E-12,Y4034&gt;0,Z4034&gt;0),AA4034,1E+300)</f>
        <v/>
      </c>
    </row>
    <row r="4035">
      <c r="A4035">
        <f>$I$3-$B$5+$B$5*14/10</f>
        <v/>
      </c>
      <c r="B4035">
        <f>$J$3-$B$5+$B$5*5/10</f>
        <v/>
      </c>
      <c r="C4035">
        <f>SUMPRODUCT(Calc!$K$3:$K$22*(Calc!$G$3:$G$22&lt;=A4035))</f>
        <v/>
      </c>
      <c r="D4035">
        <f>SUMPRODUCT(Calc!$K$3:$K$22*(Calc!$G$3:$G$22&gt;A4035)*(Calc!$G$3:$G$22&lt;B4035))</f>
        <v/>
      </c>
      <c r="E4035">
        <f>SUMPRODUCT(Calc!$K$3:$K$22*(Calc!$G$3:$G$22&gt;=B4035))</f>
        <v/>
      </c>
      <c r="F4035">
        <f>AND(k_n&gt;=5,B4035&gt;A4035+1E-9,C4035&gt;=2,D4035&gt;=1,E4035&gt;=2)</f>
        <v/>
      </c>
      <c r="G4035">
        <f>SUMPRODUCT(Calc!$K$3:$K$22*(Calc!$G$3:$G$22&gt;A4035)*(Calc!$G$3:$G$22-A4035))</f>
        <v/>
      </c>
      <c r="H4035">
        <f>SUMPRODUCT(Calc!$K$3:$K$22*(Calc!$G$3:$G$22&gt;B4035)*(Calc!$G$3:$G$22-B4035))</f>
        <v/>
      </c>
      <c r="I4035">
        <f>SUMPRODUCT(Calc!$K$3:$K$22*(Calc!$G$3:$G$22&gt;A4035)*(Calc!$G$3:$G$22-A4035)^2)</f>
        <v/>
      </c>
      <c r="J4035">
        <f>SUMPRODUCT(Calc!$K$3:$K$22*(Calc!$G$3:$G$22&gt;B4035)*(Calc!$G$3:$G$22-B4035)^2)</f>
        <v/>
      </c>
      <c r="K4035">
        <f>SUMPRODUCT(Calc!$K$3:$K$22*(Calc!$G$3:$G$22&gt;A4035)*(Calc!$G$3:$G$22-A4035)*(Calc!$G$3:$G$22&gt;B4035)*(Calc!$G$3:$G$22-B4035))</f>
        <v/>
      </c>
      <c r="L4035">
        <f>SUMPRODUCT(Calc!$K$3:$K$22*(Calc!$G$3:$G$22&gt;A4035)*(Calc!$G$3:$G$22-A4035)*Calc!$G$3:$G$22)</f>
        <v/>
      </c>
      <c r="M4035">
        <f>SUMPRODUCT(Calc!$K$3:$K$22*(Calc!$G$3:$G$22&gt;B4035)*(Calc!$G$3:$G$22-B4035)*Calc!$G$3:$G$22)</f>
        <v/>
      </c>
      <c r="N4035">
        <f>SUMPRODUCT(Calc!$K$3:$K$22*(Calc!$G$3:$G$22&gt;A4035)*(Calc!$G$3:$G$22-A4035)*Calc!$I$3:$I$22)</f>
        <v/>
      </c>
      <c r="O4035">
        <f>SUMPRODUCT(Calc!$K$3:$K$22*(Calc!$G$3:$G$22&gt;B4035)*(Calc!$G$3:$G$22-B4035)*Calc!$I$3:$I$22)</f>
        <v/>
      </c>
      <c r="P4035">
        <f>I4035-G4035^2/k_n</f>
        <v/>
      </c>
      <c r="Q4035">
        <f>J4035-H4035^2/k_n</f>
        <v/>
      </c>
      <c r="R4035">
        <f>K4035-G4035*H4035/k_n</f>
        <v/>
      </c>
      <c r="S4035">
        <f>L4035-LTP3!$D$3*G4035/k_n</f>
        <v/>
      </c>
      <c r="T4035">
        <f>M4035-LTP3!$D$3*H4035/k_n</f>
        <v/>
      </c>
      <c r="U4035">
        <f>N4035-G4035*LTP3!$D$4/k_n</f>
        <v/>
      </c>
      <c r="V4035">
        <f>O4035-H4035*LTP3!$D$4/k_n</f>
        <v/>
      </c>
      <c r="W4035">
        <f>((LTP3!$D$5)*((P4035)*(Q4035)-(R4035)*(R4035))-(S4035)*((S4035)*(Q4035)-(R4035)*(T4035))+(T4035)*((S4035)*(R4035)-(P4035)*(T4035)))</f>
        <v/>
      </c>
      <c r="X4035">
        <f>IF(ABS(W4035)&gt;1E-12,((LTP3!$D$6)*((P4035)*(Q4035)-(R4035)*(R4035))-(S4035)*((U4035)*(Q4035)-(R4035)*(V4035))+(T4035)*((U4035)*(R4035)-(P4035)*(V4035)))/W4035,0)</f>
        <v/>
      </c>
      <c r="Y4035">
        <f>IF(ABS(W4035)&gt;1E-12,((LTP3!$D$5)*((U4035)*(Q4035)-(R4035)*(V4035))-(LTP3!$D$6)*((S4035)*(Q4035)-(R4035)*(T4035))+(T4035)*((S4035)*(V4035)-(U4035)*(T4035)))/W4035,0)</f>
        <v/>
      </c>
      <c r="Z4035">
        <f>IF(ABS(W4035)&gt;1E-12,((LTP3!$D$5)*((P4035)*(V4035)-(U4035)*(R4035))-(S4035)*((S4035)*(V4035)-(U4035)*(T4035))+(LTP3!$D$6)*((S4035)*(R4035)-(P4035)*(T4035)))/W4035,0)</f>
        <v/>
      </c>
      <c r="AA4035">
        <f>LTP3!$D$7-X4035*LTP3!$D$6-Y4035*U4035-Z4035*V4035</f>
        <v/>
      </c>
      <c r="AB4035">
        <f>IF(AND(F4035,ABS(W4035)&gt;1E-12,Y4035&gt;0,Z4035&gt;0),AA4035,1E+300)</f>
        <v/>
      </c>
    </row>
    <row r="4036">
      <c r="A4036">
        <f>$I$3-$B$5+$B$5*14/10</f>
        <v/>
      </c>
      <c r="B4036">
        <f>$J$3-$B$5+$B$5*6/10</f>
        <v/>
      </c>
      <c r="C4036">
        <f>SUMPRODUCT(Calc!$K$3:$K$22*(Calc!$G$3:$G$22&lt;=A4036))</f>
        <v/>
      </c>
      <c r="D4036">
        <f>SUMPRODUCT(Calc!$K$3:$K$22*(Calc!$G$3:$G$22&gt;A4036)*(Calc!$G$3:$G$22&lt;B4036))</f>
        <v/>
      </c>
      <c r="E4036">
        <f>SUMPRODUCT(Calc!$K$3:$K$22*(Calc!$G$3:$G$22&gt;=B4036))</f>
        <v/>
      </c>
      <c r="F4036">
        <f>AND(k_n&gt;=5,B4036&gt;A4036+1E-9,C4036&gt;=2,D4036&gt;=1,E4036&gt;=2)</f>
        <v/>
      </c>
      <c r="G4036">
        <f>SUMPRODUCT(Calc!$K$3:$K$22*(Calc!$G$3:$G$22&gt;A4036)*(Calc!$G$3:$G$22-A4036))</f>
        <v/>
      </c>
      <c r="H4036">
        <f>SUMPRODUCT(Calc!$K$3:$K$22*(Calc!$G$3:$G$22&gt;B4036)*(Calc!$G$3:$G$22-B4036))</f>
        <v/>
      </c>
      <c r="I4036">
        <f>SUMPRODUCT(Calc!$K$3:$K$22*(Calc!$G$3:$G$22&gt;A4036)*(Calc!$G$3:$G$22-A4036)^2)</f>
        <v/>
      </c>
      <c r="J4036">
        <f>SUMPRODUCT(Calc!$K$3:$K$22*(Calc!$G$3:$G$22&gt;B4036)*(Calc!$G$3:$G$22-B4036)^2)</f>
        <v/>
      </c>
      <c r="K4036">
        <f>SUMPRODUCT(Calc!$K$3:$K$22*(Calc!$G$3:$G$22&gt;A4036)*(Calc!$G$3:$G$22-A4036)*(Calc!$G$3:$G$22&gt;B4036)*(Calc!$G$3:$G$22-B4036))</f>
        <v/>
      </c>
      <c r="L4036">
        <f>SUMPRODUCT(Calc!$K$3:$K$22*(Calc!$G$3:$G$22&gt;A4036)*(Calc!$G$3:$G$22-A4036)*Calc!$G$3:$G$22)</f>
        <v/>
      </c>
      <c r="M4036">
        <f>SUMPRODUCT(Calc!$K$3:$K$22*(Calc!$G$3:$G$22&gt;B4036)*(Calc!$G$3:$G$22-B4036)*Calc!$G$3:$G$22)</f>
        <v/>
      </c>
      <c r="N4036">
        <f>SUMPRODUCT(Calc!$K$3:$K$22*(Calc!$G$3:$G$22&gt;A4036)*(Calc!$G$3:$G$22-A4036)*Calc!$I$3:$I$22)</f>
        <v/>
      </c>
      <c r="O4036">
        <f>SUMPRODUCT(Calc!$K$3:$K$22*(Calc!$G$3:$G$22&gt;B4036)*(Calc!$G$3:$G$22-B4036)*Calc!$I$3:$I$22)</f>
        <v/>
      </c>
      <c r="P4036">
        <f>I4036-G4036^2/k_n</f>
        <v/>
      </c>
      <c r="Q4036">
        <f>J4036-H4036^2/k_n</f>
        <v/>
      </c>
      <c r="R4036">
        <f>K4036-G4036*H4036/k_n</f>
        <v/>
      </c>
      <c r="S4036">
        <f>L4036-LTP3!$D$3*G4036/k_n</f>
        <v/>
      </c>
      <c r="T4036">
        <f>M4036-LTP3!$D$3*H4036/k_n</f>
        <v/>
      </c>
      <c r="U4036">
        <f>N4036-G4036*LTP3!$D$4/k_n</f>
        <v/>
      </c>
      <c r="V4036">
        <f>O4036-H4036*LTP3!$D$4/k_n</f>
        <v/>
      </c>
      <c r="W4036">
        <f>((LTP3!$D$5)*((P4036)*(Q4036)-(R4036)*(R4036))-(S4036)*((S4036)*(Q4036)-(R4036)*(T4036))+(T4036)*((S4036)*(R4036)-(P4036)*(T4036)))</f>
        <v/>
      </c>
      <c r="X4036">
        <f>IF(ABS(W4036)&gt;1E-12,((LTP3!$D$6)*((P4036)*(Q4036)-(R4036)*(R4036))-(S4036)*((U4036)*(Q4036)-(R4036)*(V4036))+(T4036)*((U4036)*(R4036)-(P4036)*(V4036)))/W4036,0)</f>
        <v/>
      </c>
      <c r="Y4036">
        <f>IF(ABS(W4036)&gt;1E-12,((LTP3!$D$5)*((U4036)*(Q4036)-(R4036)*(V4036))-(LTP3!$D$6)*((S4036)*(Q4036)-(R4036)*(T4036))+(T4036)*((S4036)*(V4036)-(U4036)*(T4036)))/W4036,0)</f>
        <v/>
      </c>
      <c r="Z4036">
        <f>IF(ABS(W4036)&gt;1E-12,((LTP3!$D$5)*((P4036)*(V4036)-(U4036)*(R4036))-(S4036)*((S4036)*(V4036)-(U4036)*(T4036))+(LTP3!$D$6)*((S4036)*(R4036)-(P4036)*(T4036)))/W4036,0)</f>
        <v/>
      </c>
      <c r="AA4036">
        <f>LTP3!$D$7-X4036*LTP3!$D$6-Y4036*U4036-Z4036*V4036</f>
        <v/>
      </c>
      <c r="AB4036">
        <f>IF(AND(F4036,ABS(W4036)&gt;1E-12,Y4036&gt;0,Z4036&gt;0),AA4036,1E+300)</f>
        <v/>
      </c>
    </row>
    <row r="4037">
      <c r="A4037">
        <f>$I$3-$B$5+$B$5*14/10</f>
        <v/>
      </c>
      <c r="B4037">
        <f>$J$3-$B$5+$B$5*7/10</f>
        <v/>
      </c>
      <c r="C4037">
        <f>SUMPRODUCT(Calc!$K$3:$K$22*(Calc!$G$3:$G$22&lt;=A4037))</f>
        <v/>
      </c>
      <c r="D4037">
        <f>SUMPRODUCT(Calc!$K$3:$K$22*(Calc!$G$3:$G$22&gt;A4037)*(Calc!$G$3:$G$22&lt;B4037))</f>
        <v/>
      </c>
      <c r="E4037">
        <f>SUMPRODUCT(Calc!$K$3:$K$22*(Calc!$G$3:$G$22&gt;=B4037))</f>
        <v/>
      </c>
      <c r="F4037">
        <f>AND(k_n&gt;=5,B4037&gt;A4037+1E-9,C4037&gt;=2,D4037&gt;=1,E4037&gt;=2)</f>
        <v/>
      </c>
      <c r="G4037">
        <f>SUMPRODUCT(Calc!$K$3:$K$22*(Calc!$G$3:$G$22&gt;A4037)*(Calc!$G$3:$G$22-A4037))</f>
        <v/>
      </c>
      <c r="H4037">
        <f>SUMPRODUCT(Calc!$K$3:$K$22*(Calc!$G$3:$G$22&gt;B4037)*(Calc!$G$3:$G$22-B4037))</f>
        <v/>
      </c>
      <c r="I4037">
        <f>SUMPRODUCT(Calc!$K$3:$K$22*(Calc!$G$3:$G$22&gt;A4037)*(Calc!$G$3:$G$22-A4037)^2)</f>
        <v/>
      </c>
      <c r="J4037">
        <f>SUMPRODUCT(Calc!$K$3:$K$22*(Calc!$G$3:$G$22&gt;B4037)*(Calc!$G$3:$G$22-B4037)^2)</f>
        <v/>
      </c>
      <c r="K4037">
        <f>SUMPRODUCT(Calc!$K$3:$K$22*(Calc!$G$3:$G$22&gt;A4037)*(Calc!$G$3:$G$22-A4037)*(Calc!$G$3:$G$22&gt;B4037)*(Calc!$G$3:$G$22-B4037))</f>
        <v/>
      </c>
      <c r="L4037">
        <f>SUMPRODUCT(Calc!$K$3:$K$22*(Calc!$G$3:$G$22&gt;A4037)*(Calc!$G$3:$G$22-A4037)*Calc!$G$3:$G$22)</f>
        <v/>
      </c>
      <c r="M4037">
        <f>SUMPRODUCT(Calc!$K$3:$K$22*(Calc!$G$3:$G$22&gt;B4037)*(Calc!$G$3:$G$22-B4037)*Calc!$G$3:$G$22)</f>
        <v/>
      </c>
      <c r="N4037">
        <f>SUMPRODUCT(Calc!$K$3:$K$22*(Calc!$G$3:$G$22&gt;A4037)*(Calc!$G$3:$G$22-A4037)*Calc!$I$3:$I$22)</f>
        <v/>
      </c>
      <c r="O4037">
        <f>SUMPRODUCT(Calc!$K$3:$K$22*(Calc!$G$3:$G$22&gt;B4037)*(Calc!$G$3:$G$22-B4037)*Calc!$I$3:$I$22)</f>
        <v/>
      </c>
      <c r="P4037">
        <f>I4037-G4037^2/k_n</f>
        <v/>
      </c>
      <c r="Q4037">
        <f>J4037-H4037^2/k_n</f>
        <v/>
      </c>
      <c r="R4037">
        <f>K4037-G4037*H4037/k_n</f>
        <v/>
      </c>
      <c r="S4037">
        <f>L4037-LTP3!$D$3*G4037/k_n</f>
        <v/>
      </c>
      <c r="T4037">
        <f>M4037-LTP3!$D$3*H4037/k_n</f>
        <v/>
      </c>
      <c r="U4037">
        <f>N4037-G4037*LTP3!$D$4/k_n</f>
        <v/>
      </c>
      <c r="V4037">
        <f>O4037-H4037*LTP3!$D$4/k_n</f>
        <v/>
      </c>
      <c r="W4037">
        <f>((LTP3!$D$5)*((P4037)*(Q4037)-(R4037)*(R4037))-(S4037)*((S4037)*(Q4037)-(R4037)*(T4037))+(T4037)*((S4037)*(R4037)-(P4037)*(T4037)))</f>
        <v/>
      </c>
      <c r="X4037">
        <f>IF(ABS(W4037)&gt;1E-12,((LTP3!$D$6)*((P4037)*(Q4037)-(R4037)*(R4037))-(S4037)*((U4037)*(Q4037)-(R4037)*(V4037))+(T4037)*((U4037)*(R4037)-(P4037)*(V4037)))/W4037,0)</f>
        <v/>
      </c>
      <c r="Y4037">
        <f>IF(ABS(W4037)&gt;1E-12,((LTP3!$D$5)*((U4037)*(Q4037)-(R4037)*(V4037))-(LTP3!$D$6)*((S4037)*(Q4037)-(R4037)*(T4037))+(T4037)*((S4037)*(V4037)-(U4037)*(T4037)))/W4037,0)</f>
        <v/>
      </c>
      <c r="Z4037">
        <f>IF(ABS(W4037)&gt;1E-12,((LTP3!$D$5)*((P4037)*(V4037)-(U4037)*(R4037))-(S4037)*((S4037)*(V4037)-(U4037)*(T4037))+(LTP3!$D$6)*((S4037)*(R4037)-(P4037)*(T4037)))/W4037,0)</f>
        <v/>
      </c>
      <c r="AA4037">
        <f>LTP3!$D$7-X4037*LTP3!$D$6-Y4037*U4037-Z4037*V4037</f>
        <v/>
      </c>
      <c r="AB4037">
        <f>IF(AND(F4037,ABS(W4037)&gt;1E-12,Y4037&gt;0,Z4037&gt;0),AA4037,1E+300)</f>
        <v/>
      </c>
    </row>
    <row r="4038">
      <c r="A4038">
        <f>$I$3-$B$5+$B$5*14/10</f>
        <v/>
      </c>
      <c r="B4038">
        <f>$J$3-$B$5+$B$5*8/10</f>
        <v/>
      </c>
      <c r="C4038">
        <f>SUMPRODUCT(Calc!$K$3:$K$22*(Calc!$G$3:$G$22&lt;=A4038))</f>
        <v/>
      </c>
      <c r="D4038">
        <f>SUMPRODUCT(Calc!$K$3:$K$22*(Calc!$G$3:$G$22&gt;A4038)*(Calc!$G$3:$G$22&lt;B4038))</f>
        <v/>
      </c>
      <c r="E4038">
        <f>SUMPRODUCT(Calc!$K$3:$K$22*(Calc!$G$3:$G$22&gt;=B4038))</f>
        <v/>
      </c>
      <c r="F4038">
        <f>AND(k_n&gt;=5,B4038&gt;A4038+1E-9,C4038&gt;=2,D4038&gt;=1,E4038&gt;=2)</f>
        <v/>
      </c>
      <c r="G4038">
        <f>SUMPRODUCT(Calc!$K$3:$K$22*(Calc!$G$3:$G$22&gt;A4038)*(Calc!$G$3:$G$22-A4038))</f>
        <v/>
      </c>
      <c r="H4038">
        <f>SUMPRODUCT(Calc!$K$3:$K$22*(Calc!$G$3:$G$22&gt;B4038)*(Calc!$G$3:$G$22-B4038))</f>
        <v/>
      </c>
      <c r="I4038">
        <f>SUMPRODUCT(Calc!$K$3:$K$22*(Calc!$G$3:$G$22&gt;A4038)*(Calc!$G$3:$G$22-A4038)^2)</f>
        <v/>
      </c>
      <c r="J4038">
        <f>SUMPRODUCT(Calc!$K$3:$K$22*(Calc!$G$3:$G$22&gt;B4038)*(Calc!$G$3:$G$22-B4038)^2)</f>
        <v/>
      </c>
      <c r="K4038">
        <f>SUMPRODUCT(Calc!$K$3:$K$22*(Calc!$G$3:$G$22&gt;A4038)*(Calc!$G$3:$G$22-A4038)*(Calc!$G$3:$G$22&gt;B4038)*(Calc!$G$3:$G$22-B4038))</f>
        <v/>
      </c>
      <c r="L4038">
        <f>SUMPRODUCT(Calc!$K$3:$K$22*(Calc!$G$3:$G$22&gt;A4038)*(Calc!$G$3:$G$22-A4038)*Calc!$G$3:$G$22)</f>
        <v/>
      </c>
      <c r="M4038">
        <f>SUMPRODUCT(Calc!$K$3:$K$22*(Calc!$G$3:$G$22&gt;B4038)*(Calc!$G$3:$G$22-B4038)*Calc!$G$3:$G$22)</f>
        <v/>
      </c>
      <c r="N4038">
        <f>SUMPRODUCT(Calc!$K$3:$K$22*(Calc!$G$3:$G$22&gt;A4038)*(Calc!$G$3:$G$22-A4038)*Calc!$I$3:$I$22)</f>
        <v/>
      </c>
      <c r="O4038">
        <f>SUMPRODUCT(Calc!$K$3:$K$22*(Calc!$G$3:$G$22&gt;B4038)*(Calc!$G$3:$G$22-B4038)*Calc!$I$3:$I$22)</f>
        <v/>
      </c>
      <c r="P4038">
        <f>I4038-G4038^2/k_n</f>
        <v/>
      </c>
      <c r="Q4038">
        <f>J4038-H4038^2/k_n</f>
        <v/>
      </c>
      <c r="R4038">
        <f>K4038-G4038*H4038/k_n</f>
        <v/>
      </c>
      <c r="S4038">
        <f>L4038-LTP3!$D$3*G4038/k_n</f>
        <v/>
      </c>
      <c r="T4038">
        <f>M4038-LTP3!$D$3*H4038/k_n</f>
        <v/>
      </c>
      <c r="U4038">
        <f>N4038-G4038*LTP3!$D$4/k_n</f>
        <v/>
      </c>
      <c r="V4038">
        <f>O4038-H4038*LTP3!$D$4/k_n</f>
        <v/>
      </c>
      <c r="W4038">
        <f>((LTP3!$D$5)*((P4038)*(Q4038)-(R4038)*(R4038))-(S4038)*((S4038)*(Q4038)-(R4038)*(T4038))+(T4038)*((S4038)*(R4038)-(P4038)*(T4038)))</f>
        <v/>
      </c>
      <c r="X4038">
        <f>IF(ABS(W4038)&gt;1E-12,((LTP3!$D$6)*((P4038)*(Q4038)-(R4038)*(R4038))-(S4038)*((U4038)*(Q4038)-(R4038)*(V4038))+(T4038)*((U4038)*(R4038)-(P4038)*(V4038)))/W4038,0)</f>
        <v/>
      </c>
      <c r="Y4038">
        <f>IF(ABS(W4038)&gt;1E-12,((LTP3!$D$5)*((U4038)*(Q4038)-(R4038)*(V4038))-(LTP3!$D$6)*((S4038)*(Q4038)-(R4038)*(T4038))+(T4038)*((S4038)*(V4038)-(U4038)*(T4038)))/W4038,0)</f>
        <v/>
      </c>
      <c r="Z4038">
        <f>IF(ABS(W4038)&gt;1E-12,((LTP3!$D$5)*((P4038)*(V4038)-(U4038)*(R4038))-(S4038)*((S4038)*(V4038)-(U4038)*(T4038))+(LTP3!$D$6)*((S4038)*(R4038)-(P4038)*(T4038)))/W4038,0)</f>
        <v/>
      </c>
      <c r="AA4038">
        <f>LTP3!$D$7-X4038*LTP3!$D$6-Y4038*U4038-Z4038*V4038</f>
        <v/>
      </c>
      <c r="AB4038">
        <f>IF(AND(F4038,ABS(W4038)&gt;1E-12,Y4038&gt;0,Z4038&gt;0),AA4038,1E+300)</f>
        <v/>
      </c>
    </row>
    <row r="4039">
      <c r="A4039">
        <f>$I$3-$B$5+$B$5*14/10</f>
        <v/>
      </c>
      <c r="B4039">
        <f>$J$3-$B$5+$B$5*9/10</f>
        <v/>
      </c>
      <c r="C4039">
        <f>SUMPRODUCT(Calc!$K$3:$K$22*(Calc!$G$3:$G$22&lt;=A4039))</f>
        <v/>
      </c>
      <c r="D4039">
        <f>SUMPRODUCT(Calc!$K$3:$K$22*(Calc!$G$3:$G$22&gt;A4039)*(Calc!$G$3:$G$22&lt;B4039))</f>
        <v/>
      </c>
      <c r="E4039">
        <f>SUMPRODUCT(Calc!$K$3:$K$22*(Calc!$G$3:$G$22&gt;=B4039))</f>
        <v/>
      </c>
      <c r="F4039">
        <f>AND(k_n&gt;=5,B4039&gt;A4039+1E-9,C4039&gt;=2,D4039&gt;=1,E4039&gt;=2)</f>
        <v/>
      </c>
      <c r="G4039">
        <f>SUMPRODUCT(Calc!$K$3:$K$22*(Calc!$G$3:$G$22&gt;A4039)*(Calc!$G$3:$G$22-A4039))</f>
        <v/>
      </c>
      <c r="H4039">
        <f>SUMPRODUCT(Calc!$K$3:$K$22*(Calc!$G$3:$G$22&gt;B4039)*(Calc!$G$3:$G$22-B4039))</f>
        <v/>
      </c>
      <c r="I4039">
        <f>SUMPRODUCT(Calc!$K$3:$K$22*(Calc!$G$3:$G$22&gt;A4039)*(Calc!$G$3:$G$22-A4039)^2)</f>
        <v/>
      </c>
      <c r="J4039">
        <f>SUMPRODUCT(Calc!$K$3:$K$22*(Calc!$G$3:$G$22&gt;B4039)*(Calc!$G$3:$G$22-B4039)^2)</f>
        <v/>
      </c>
      <c r="K4039">
        <f>SUMPRODUCT(Calc!$K$3:$K$22*(Calc!$G$3:$G$22&gt;A4039)*(Calc!$G$3:$G$22-A4039)*(Calc!$G$3:$G$22&gt;B4039)*(Calc!$G$3:$G$22-B4039))</f>
        <v/>
      </c>
      <c r="L4039">
        <f>SUMPRODUCT(Calc!$K$3:$K$22*(Calc!$G$3:$G$22&gt;A4039)*(Calc!$G$3:$G$22-A4039)*Calc!$G$3:$G$22)</f>
        <v/>
      </c>
      <c r="M4039">
        <f>SUMPRODUCT(Calc!$K$3:$K$22*(Calc!$G$3:$G$22&gt;B4039)*(Calc!$G$3:$G$22-B4039)*Calc!$G$3:$G$22)</f>
        <v/>
      </c>
      <c r="N4039">
        <f>SUMPRODUCT(Calc!$K$3:$K$22*(Calc!$G$3:$G$22&gt;A4039)*(Calc!$G$3:$G$22-A4039)*Calc!$I$3:$I$22)</f>
        <v/>
      </c>
      <c r="O4039">
        <f>SUMPRODUCT(Calc!$K$3:$K$22*(Calc!$G$3:$G$22&gt;B4039)*(Calc!$G$3:$G$22-B4039)*Calc!$I$3:$I$22)</f>
        <v/>
      </c>
      <c r="P4039">
        <f>I4039-G4039^2/k_n</f>
        <v/>
      </c>
      <c r="Q4039">
        <f>J4039-H4039^2/k_n</f>
        <v/>
      </c>
      <c r="R4039">
        <f>K4039-G4039*H4039/k_n</f>
        <v/>
      </c>
      <c r="S4039">
        <f>L4039-LTP3!$D$3*G4039/k_n</f>
        <v/>
      </c>
      <c r="T4039">
        <f>M4039-LTP3!$D$3*H4039/k_n</f>
        <v/>
      </c>
      <c r="U4039">
        <f>N4039-G4039*LTP3!$D$4/k_n</f>
        <v/>
      </c>
      <c r="V4039">
        <f>O4039-H4039*LTP3!$D$4/k_n</f>
        <v/>
      </c>
      <c r="W4039">
        <f>((LTP3!$D$5)*((P4039)*(Q4039)-(R4039)*(R4039))-(S4039)*((S4039)*(Q4039)-(R4039)*(T4039))+(T4039)*((S4039)*(R4039)-(P4039)*(T4039)))</f>
        <v/>
      </c>
      <c r="X4039">
        <f>IF(ABS(W4039)&gt;1E-12,((LTP3!$D$6)*((P4039)*(Q4039)-(R4039)*(R4039))-(S4039)*((U4039)*(Q4039)-(R4039)*(V4039))+(T4039)*((U4039)*(R4039)-(P4039)*(V4039)))/W4039,0)</f>
        <v/>
      </c>
      <c r="Y4039">
        <f>IF(ABS(W4039)&gt;1E-12,((LTP3!$D$5)*((U4039)*(Q4039)-(R4039)*(V4039))-(LTP3!$D$6)*((S4039)*(Q4039)-(R4039)*(T4039))+(T4039)*((S4039)*(V4039)-(U4039)*(T4039)))/W4039,0)</f>
        <v/>
      </c>
      <c r="Z4039">
        <f>IF(ABS(W4039)&gt;1E-12,((LTP3!$D$5)*((P4039)*(V4039)-(U4039)*(R4039))-(S4039)*((S4039)*(V4039)-(U4039)*(T4039))+(LTP3!$D$6)*((S4039)*(R4039)-(P4039)*(T4039)))/W4039,0)</f>
        <v/>
      </c>
      <c r="AA4039">
        <f>LTP3!$D$7-X4039*LTP3!$D$6-Y4039*U4039-Z4039*V4039</f>
        <v/>
      </c>
      <c r="AB4039">
        <f>IF(AND(F4039,ABS(W4039)&gt;1E-12,Y4039&gt;0,Z4039&gt;0),AA4039,1E+300)</f>
        <v/>
      </c>
    </row>
    <row r="4040">
      <c r="A4040">
        <f>$I$3-$B$5+$B$5*14/10</f>
        <v/>
      </c>
      <c r="B4040">
        <f>$J$3-$B$5+$B$5*10/10</f>
        <v/>
      </c>
      <c r="C4040">
        <f>SUMPRODUCT(Calc!$K$3:$K$22*(Calc!$G$3:$G$22&lt;=A4040))</f>
        <v/>
      </c>
      <c r="D4040">
        <f>SUMPRODUCT(Calc!$K$3:$K$22*(Calc!$G$3:$G$22&gt;A4040)*(Calc!$G$3:$G$22&lt;B4040))</f>
        <v/>
      </c>
      <c r="E4040">
        <f>SUMPRODUCT(Calc!$K$3:$K$22*(Calc!$G$3:$G$22&gt;=B4040))</f>
        <v/>
      </c>
      <c r="F4040">
        <f>AND(k_n&gt;=5,B4040&gt;A4040+1E-9,C4040&gt;=2,D4040&gt;=1,E4040&gt;=2)</f>
        <v/>
      </c>
      <c r="G4040">
        <f>SUMPRODUCT(Calc!$K$3:$K$22*(Calc!$G$3:$G$22&gt;A4040)*(Calc!$G$3:$G$22-A4040))</f>
        <v/>
      </c>
      <c r="H4040">
        <f>SUMPRODUCT(Calc!$K$3:$K$22*(Calc!$G$3:$G$22&gt;B4040)*(Calc!$G$3:$G$22-B4040))</f>
        <v/>
      </c>
      <c r="I4040">
        <f>SUMPRODUCT(Calc!$K$3:$K$22*(Calc!$G$3:$G$22&gt;A4040)*(Calc!$G$3:$G$22-A4040)^2)</f>
        <v/>
      </c>
      <c r="J4040">
        <f>SUMPRODUCT(Calc!$K$3:$K$22*(Calc!$G$3:$G$22&gt;B4040)*(Calc!$G$3:$G$22-B4040)^2)</f>
        <v/>
      </c>
      <c r="K4040">
        <f>SUMPRODUCT(Calc!$K$3:$K$22*(Calc!$G$3:$G$22&gt;A4040)*(Calc!$G$3:$G$22-A4040)*(Calc!$G$3:$G$22&gt;B4040)*(Calc!$G$3:$G$22-B4040))</f>
        <v/>
      </c>
      <c r="L4040">
        <f>SUMPRODUCT(Calc!$K$3:$K$22*(Calc!$G$3:$G$22&gt;A4040)*(Calc!$G$3:$G$22-A4040)*Calc!$G$3:$G$22)</f>
        <v/>
      </c>
      <c r="M4040">
        <f>SUMPRODUCT(Calc!$K$3:$K$22*(Calc!$G$3:$G$22&gt;B4040)*(Calc!$G$3:$G$22-B4040)*Calc!$G$3:$G$22)</f>
        <v/>
      </c>
      <c r="N4040">
        <f>SUMPRODUCT(Calc!$K$3:$K$22*(Calc!$G$3:$G$22&gt;A4040)*(Calc!$G$3:$G$22-A4040)*Calc!$I$3:$I$22)</f>
        <v/>
      </c>
      <c r="O4040">
        <f>SUMPRODUCT(Calc!$K$3:$K$22*(Calc!$G$3:$G$22&gt;B4040)*(Calc!$G$3:$G$22-B4040)*Calc!$I$3:$I$22)</f>
        <v/>
      </c>
      <c r="P4040">
        <f>I4040-G4040^2/k_n</f>
        <v/>
      </c>
      <c r="Q4040">
        <f>J4040-H4040^2/k_n</f>
        <v/>
      </c>
      <c r="R4040">
        <f>K4040-G4040*H4040/k_n</f>
        <v/>
      </c>
      <c r="S4040">
        <f>L4040-LTP3!$D$3*G4040/k_n</f>
        <v/>
      </c>
      <c r="T4040">
        <f>M4040-LTP3!$D$3*H4040/k_n</f>
        <v/>
      </c>
      <c r="U4040">
        <f>N4040-G4040*LTP3!$D$4/k_n</f>
        <v/>
      </c>
      <c r="V4040">
        <f>O4040-H4040*LTP3!$D$4/k_n</f>
        <v/>
      </c>
      <c r="W4040">
        <f>((LTP3!$D$5)*((P4040)*(Q4040)-(R4040)*(R4040))-(S4040)*((S4040)*(Q4040)-(R4040)*(T4040))+(T4040)*((S4040)*(R4040)-(P4040)*(T4040)))</f>
        <v/>
      </c>
      <c r="X4040">
        <f>IF(ABS(W4040)&gt;1E-12,((LTP3!$D$6)*((P4040)*(Q4040)-(R4040)*(R4040))-(S4040)*((U4040)*(Q4040)-(R4040)*(V4040))+(T4040)*((U4040)*(R4040)-(P4040)*(V4040)))/W4040,0)</f>
        <v/>
      </c>
      <c r="Y4040">
        <f>IF(ABS(W4040)&gt;1E-12,((LTP3!$D$5)*((U4040)*(Q4040)-(R4040)*(V4040))-(LTP3!$D$6)*((S4040)*(Q4040)-(R4040)*(T4040))+(T4040)*((S4040)*(V4040)-(U4040)*(T4040)))/W4040,0)</f>
        <v/>
      </c>
      <c r="Z4040">
        <f>IF(ABS(W4040)&gt;1E-12,((LTP3!$D$5)*((P4040)*(V4040)-(U4040)*(R4040))-(S4040)*((S4040)*(V4040)-(U4040)*(T4040))+(LTP3!$D$6)*((S4040)*(R4040)-(P4040)*(T4040)))/W4040,0)</f>
        <v/>
      </c>
      <c r="AA4040">
        <f>LTP3!$D$7-X4040*LTP3!$D$6-Y4040*U4040-Z4040*V4040</f>
        <v/>
      </c>
      <c r="AB4040">
        <f>IF(AND(F4040,ABS(W4040)&gt;1E-12,Y4040&gt;0,Z4040&gt;0),AA4040,1E+300)</f>
        <v/>
      </c>
    </row>
    <row r="4041">
      <c r="A4041">
        <f>$I$3-$B$5+$B$5*14/10</f>
        <v/>
      </c>
      <c r="B4041">
        <f>$J$3-$B$5+$B$5*11/10</f>
        <v/>
      </c>
      <c r="C4041">
        <f>SUMPRODUCT(Calc!$K$3:$K$22*(Calc!$G$3:$G$22&lt;=A4041))</f>
        <v/>
      </c>
      <c r="D4041">
        <f>SUMPRODUCT(Calc!$K$3:$K$22*(Calc!$G$3:$G$22&gt;A4041)*(Calc!$G$3:$G$22&lt;B4041))</f>
        <v/>
      </c>
      <c r="E4041">
        <f>SUMPRODUCT(Calc!$K$3:$K$22*(Calc!$G$3:$G$22&gt;=B4041))</f>
        <v/>
      </c>
      <c r="F4041">
        <f>AND(k_n&gt;=5,B4041&gt;A4041+1E-9,C4041&gt;=2,D4041&gt;=1,E4041&gt;=2)</f>
        <v/>
      </c>
      <c r="G4041">
        <f>SUMPRODUCT(Calc!$K$3:$K$22*(Calc!$G$3:$G$22&gt;A4041)*(Calc!$G$3:$G$22-A4041))</f>
        <v/>
      </c>
      <c r="H4041">
        <f>SUMPRODUCT(Calc!$K$3:$K$22*(Calc!$G$3:$G$22&gt;B4041)*(Calc!$G$3:$G$22-B4041))</f>
        <v/>
      </c>
      <c r="I4041">
        <f>SUMPRODUCT(Calc!$K$3:$K$22*(Calc!$G$3:$G$22&gt;A4041)*(Calc!$G$3:$G$22-A4041)^2)</f>
        <v/>
      </c>
      <c r="J4041">
        <f>SUMPRODUCT(Calc!$K$3:$K$22*(Calc!$G$3:$G$22&gt;B4041)*(Calc!$G$3:$G$22-B4041)^2)</f>
        <v/>
      </c>
      <c r="K4041">
        <f>SUMPRODUCT(Calc!$K$3:$K$22*(Calc!$G$3:$G$22&gt;A4041)*(Calc!$G$3:$G$22-A4041)*(Calc!$G$3:$G$22&gt;B4041)*(Calc!$G$3:$G$22-B4041))</f>
        <v/>
      </c>
      <c r="L4041">
        <f>SUMPRODUCT(Calc!$K$3:$K$22*(Calc!$G$3:$G$22&gt;A4041)*(Calc!$G$3:$G$22-A4041)*Calc!$G$3:$G$22)</f>
        <v/>
      </c>
      <c r="M4041">
        <f>SUMPRODUCT(Calc!$K$3:$K$22*(Calc!$G$3:$G$22&gt;B4041)*(Calc!$G$3:$G$22-B4041)*Calc!$G$3:$G$22)</f>
        <v/>
      </c>
      <c r="N4041">
        <f>SUMPRODUCT(Calc!$K$3:$K$22*(Calc!$G$3:$G$22&gt;A4041)*(Calc!$G$3:$G$22-A4041)*Calc!$I$3:$I$22)</f>
        <v/>
      </c>
      <c r="O4041">
        <f>SUMPRODUCT(Calc!$K$3:$K$22*(Calc!$G$3:$G$22&gt;B4041)*(Calc!$G$3:$G$22-B4041)*Calc!$I$3:$I$22)</f>
        <v/>
      </c>
      <c r="P4041">
        <f>I4041-G4041^2/k_n</f>
        <v/>
      </c>
      <c r="Q4041">
        <f>J4041-H4041^2/k_n</f>
        <v/>
      </c>
      <c r="R4041">
        <f>K4041-G4041*H4041/k_n</f>
        <v/>
      </c>
      <c r="S4041">
        <f>L4041-LTP3!$D$3*G4041/k_n</f>
        <v/>
      </c>
      <c r="T4041">
        <f>M4041-LTP3!$D$3*H4041/k_n</f>
        <v/>
      </c>
      <c r="U4041">
        <f>N4041-G4041*LTP3!$D$4/k_n</f>
        <v/>
      </c>
      <c r="V4041">
        <f>O4041-H4041*LTP3!$D$4/k_n</f>
        <v/>
      </c>
      <c r="W4041">
        <f>((LTP3!$D$5)*((P4041)*(Q4041)-(R4041)*(R4041))-(S4041)*((S4041)*(Q4041)-(R4041)*(T4041))+(T4041)*((S4041)*(R4041)-(P4041)*(T4041)))</f>
        <v/>
      </c>
      <c r="X4041">
        <f>IF(ABS(W4041)&gt;1E-12,((LTP3!$D$6)*((P4041)*(Q4041)-(R4041)*(R4041))-(S4041)*((U4041)*(Q4041)-(R4041)*(V4041))+(T4041)*((U4041)*(R4041)-(P4041)*(V4041)))/W4041,0)</f>
        <v/>
      </c>
      <c r="Y4041">
        <f>IF(ABS(W4041)&gt;1E-12,((LTP3!$D$5)*((U4041)*(Q4041)-(R4041)*(V4041))-(LTP3!$D$6)*((S4041)*(Q4041)-(R4041)*(T4041))+(T4041)*((S4041)*(V4041)-(U4041)*(T4041)))/W4041,0)</f>
        <v/>
      </c>
      <c r="Z4041">
        <f>IF(ABS(W4041)&gt;1E-12,((LTP3!$D$5)*((P4041)*(V4041)-(U4041)*(R4041))-(S4041)*((S4041)*(V4041)-(U4041)*(T4041))+(LTP3!$D$6)*((S4041)*(R4041)-(P4041)*(T4041)))/W4041,0)</f>
        <v/>
      </c>
      <c r="AA4041">
        <f>LTP3!$D$7-X4041*LTP3!$D$6-Y4041*U4041-Z4041*V4041</f>
        <v/>
      </c>
      <c r="AB4041">
        <f>IF(AND(F4041,ABS(W4041)&gt;1E-12,Y4041&gt;0,Z4041&gt;0),AA4041,1E+300)</f>
        <v/>
      </c>
    </row>
    <row r="4042">
      <c r="A4042">
        <f>$I$3-$B$5+$B$5*14/10</f>
        <v/>
      </c>
      <c r="B4042">
        <f>$J$3-$B$5+$B$5*12/10</f>
        <v/>
      </c>
      <c r="C4042">
        <f>SUMPRODUCT(Calc!$K$3:$K$22*(Calc!$G$3:$G$22&lt;=A4042))</f>
        <v/>
      </c>
      <c r="D4042">
        <f>SUMPRODUCT(Calc!$K$3:$K$22*(Calc!$G$3:$G$22&gt;A4042)*(Calc!$G$3:$G$22&lt;B4042))</f>
        <v/>
      </c>
      <c r="E4042">
        <f>SUMPRODUCT(Calc!$K$3:$K$22*(Calc!$G$3:$G$22&gt;=B4042))</f>
        <v/>
      </c>
      <c r="F4042">
        <f>AND(k_n&gt;=5,B4042&gt;A4042+1E-9,C4042&gt;=2,D4042&gt;=1,E4042&gt;=2)</f>
        <v/>
      </c>
      <c r="G4042">
        <f>SUMPRODUCT(Calc!$K$3:$K$22*(Calc!$G$3:$G$22&gt;A4042)*(Calc!$G$3:$G$22-A4042))</f>
        <v/>
      </c>
      <c r="H4042">
        <f>SUMPRODUCT(Calc!$K$3:$K$22*(Calc!$G$3:$G$22&gt;B4042)*(Calc!$G$3:$G$22-B4042))</f>
        <v/>
      </c>
      <c r="I4042">
        <f>SUMPRODUCT(Calc!$K$3:$K$22*(Calc!$G$3:$G$22&gt;A4042)*(Calc!$G$3:$G$22-A4042)^2)</f>
        <v/>
      </c>
      <c r="J4042">
        <f>SUMPRODUCT(Calc!$K$3:$K$22*(Calc!$G$3:$G$22&gt;B4042)*(Calc!$G$3:$G$22-B4042)^2)</f>
        <v/>
      </c>
      <c r="K4042">
        <f>SUMPRODUCT(Calc!$K$3:$K$22*(Calc!$G$3:$G$22&gt;A4042)*(Calc!$G$3:$G$22-A4042)*(Calc!$G$3:$G$22&gt;B4042)*(Calc!$G$3:$G$22-B4042))</f>
        <v/>
      </c>
      <c r="L4042">
        <f>SUMPRODUCT(Calc!$K$3:$K$22*(Calc!$G$3:$G$22&gt;A4042)*(Calc!$G$3:$G$22-A4042)*Calc!$G$3:$G$22)</f>
        <v/>
      </c>
      <c r="M4042">
        <f>SUMPRODUCT(Calc!$K$3:$K$22*(Calc!$G$3:$G$22&gt;B4042)*(Calc!$G$3:$G$22-B4042)*Calc!$G$3:$G$22)</f>
        <v/>
      </c>
      <c r="N4042">
        <f>SUMPRODUCT(Calc!$K$3:$K$22*(Calc!$G$3:$G$22&gt;A4042)*(Calc!$G$3:$G$22-A4042)*Calc!$I$3:$I$22)</f>
        <v/>
      </c>
      <c r="O4042">
        <f>SUMPRODUCT(Calc!$K$3:$K$22*(Calc!$G$3:$G$22&gt;B4042)*(Calc!$G$3:$G$22-B4042)*Calc!$I$3:$I$22)</f>
        <v/>
      </c>
      <c r="P4042">
        <f>I4042-G4042^2/k_n</f>
        <v/>
      </c>
      <c r="Q4042">
        <f>J4042-H4042^2/k_n</f>
        <v/>
      </c>
      <c r="R4042">
        <f>K4042-G4042*H4042/k_n</f>
        <v/>
      </c>
      <c r="S4042">
        <f>L4042-LTP3!$D$3*G4042/k_n</f>
        <v/>
      </c>
      <c r="T4042">
        <f>M4042-LTP3!$D$3*H4042/k_n</f>
        <v/>
      </c>
      <c r="U4042">
        <f>N4042-G4042*LTP3!$D$4/k_n</f>
        <v/>
      </c>
      <c r="V4042">
        <f>O4042-H4042*LTP3!$D$4/k_n</f>
        <v/>
      </c>
      <c r="W4042">
        <f>((LTP3!$D$5)*((P4042)*(Q4042)-(R4042)*(R4042))-(S4042)*((S4042)*(Q4042)-(R4042)*(T4042))+(T4042)*((S4042)*(R4042)-(P4042)*(T4042)))</f>
        <v/>
      </c>
      <c r="X4042">
        <f>IF(ABS(W4042)&gt;1E-12,((LTP3!$D$6)*((P4042)*(Q4042)-(R4042)*(R4042))-(S4042)*((U4042)*(Q4042)-(R4042)*(V4042))+(T4042)*((U4042)*(R4042)-(P4042)*(V4042)))/W4042,0)</f>
        <v/>
      </c>
      <c r="Y4042">
        <f>IF(ABS(W4042)&gt;1E-12,((LTP3!$D$5)*((U4042)*(Q4042)-(R4042)*(V4042))-(LTP3!$D$6)*((S4042)*(Q4042)-(R4042)*(T4042))+(T4042)*((S4042)*(V4042)-(U4042)*(T4042)))/W4042,0)</f>
        <v/>
      </c>
      <c r="Z4042">
        <f>IF(ABS(W4042)&gt;1E-12,((LTP3!$D$5)*((P4042)*(V4042)-(U4042)*(R4042))-(S4042)*((S4042)*(V4042)-(U4042)*(T4042))+(LTP3!$D$6)*((S4042)*(R4042)-(P4042)*(T4042)))/W4042,0)</f>
        <v/>
      </c>
      <c r="AA4042">
        <f>LTP3!$D$7-X4042*LTP3!$D$6-Y4042*U4042-Z4042*V4042</f>
        <v/>
      </c>
      <c r="AB4042">
        <f>IF(AND(F4042,ABS(W4042)&gt;1E-12,Y4042&gt;0,Z4042&gt;0),AA4042,1E+300)</f>
        <v/>
      </c>
    </row>
    <row r="4043">
      <c r="A4043">
        <f>$I$3-$B$5+$B$5*14/10</f>
        <v/>
      </c>
      <c r="B4043">
        <f>$J$3-$B$5+$B$5*13/10</f>
        <v/>
      </c>
      <c r="C4043">
        <f>SUMPRODUCT(Calc!$K$3:$K$22*(Calc!$G$3:$G$22&lt;=A4043))</f>
        <v/>
      </c>
      <c r="D4043">
        <f>SUMPRODUCT(Calc!$K$3:$K$22*(Calc!$G$3:$G$22&gt;A4043)*(Calc!$G$3:$G$22&lt;B4043))</f>
        <v/>
      </c>
      <c r="E4043">
        <f>SUMPRODUCT(Calc!$K$3:$K$22*(Calc!$G$3:$G$22&gt;=B4043))</f>
        <v/>
      </c>
      <c r="F4043">
        <f>AND(k_n&gt;=5,B4043&gt;A4043+1E-9,C4043&gt;=2,D4043&gt;=1,E4043&gt;=2)</f>
        <v/>
      </c>
      <c r="G4043">
        <f>SUMPRODUCT(Calc!$K$3:$K$22*(Calc!$G$3:$G$22&gt;A4043)*(Calc!$G$3:$G$22-A4043))</f>
        <v/>
      </c>
      <c r="H4043">
        <f>SUMPRODUCT(Calc!$K$3:$K$22*(Calc!$G$3:$G$22&gt;B4043)*(Calc!$G$3:$G$22-B4043))</f>
        <v/>
      </c>
      <c r="I4043">
        <f>SUMPRODUCT(Calc!$K$3:$K$22*(Calc!$G$3:$G$22&gt;A4043)*(Calc!$G$3:$G$22-A4043)^2)</f>
        <v/>
      </c>
      <c r="J4043">
        <f>SUMPRODUCT(Calc!$K$3:$K$22*(Calc!$G$3:$G$22&gt;B4043)*(Calc!$G$3:$G$22-B4043)^2)</f>
        <v/>
      </c>
      <c r="K4043">
        <f>SUMPRODUCT(Calc!$K$3:$K$22*(Calc!$G$3:$G$22&gt;A4043)*(Calc!$G$3:$G$22-A4043)*(Calc!$G$3:$G$22&gt;B4043)*(Calc!$G$3:$G$22-B4043))</f>
        <v/>
      </c>
      <c r="L4043">
        <f>SUMPRODUCT(Calc!$K$3:$K$22*(Calc!$G$3:$G$22&gt;A4043)*(Calc!$G$3:$G$22-A4043)*Calc!$G$3:$G$22)</f>
        <v/>
      </c>
      <c r="M4043">
        <f>SUMPRODUCT(Calc!$K$3:$K$22*(Calc!$G$3:$G$22&gt;B4043)*(Calc!$G$3:$G$22-B4043)*Calc!$G$3:$G$22)</f>
        <v/>
      </c>
      <c r="N4043">
        <f>SUMPRODUCT(Calc!$K$3:$K$22*(Calc!$G$3:$G$22&gt;A4043)*(Calc!$G$3:$G$22-A4043)*Calc!$I$3:$I$22)</f>
        <v/>
      </c>
      <c r="O4043">
        <f>SUMPRODUCT(Calc!$K$3:$K$22*(Calc!$G$3:$G$22&gt;B4043)*(Calc!$G$3:$G$22-B4043)*Calc!$I$3:$I$22)</f>
        <v/>
      </c>
      <c r="P4043">
        <f>I4043-G4043^2/k_n</f>
        <v/>
      </c>
      <c r="Q4043">
        <f>J4043-H4043^2/k_n</f>
        <v/>
      </c>
      <c r="R4043">
        <f>K4043-G4043*H4043/k_n</f>
        <v/>
      </c>
      <c r="S4043">
        <f>L4043-LTP3!$D$3*G4043/k_n</f>
        <v/>
      </c>
      <c r="T4043">
        <f>M4043-LTP3!$D$3*H4043/k_n</f>
        <v/>
      </c>
      <c r="U4043">
        <f>N4043-G4043*LTP3!$D$4/k_n</f>
        <v/>
      </c>
      <c r="V4043">
        <f>O4043-H4043*LTP3!$D$4/k_n</f>
        <v/>
      </c>
      <c r="W4043">
        <f>((LTP3!$D$5)*((P4043)*(Q4043)-(R4043)*(R4043))-(S4043)*((S4043)*(Q4043)-(R4043)*(T4043))+(T4043)*((S4043)*(R4043)-(P4043)*(T4043)))</f>
        <v/>
      </c>
      <c r="X4043">
        <f>IF(ABS(W4043)&gt;1E-12,((LTP3!$D$6)*((P4043)*(Q4043)-(R4043)*(R4043))-(S4043)*((U4043)*(Q4043)-(R4043)*(V4043))+(T4043)*((U4043)*(R4043)-(P4043)*(V4043)))/W4043,0)</f>
        <v/>
      </c>
      <c r="Y4043">
        <f>IF(ABS(W4043)&gt;1E-12,((LTP3!$D$5)*((U4043)*(Q4043)-(R4043)*(V4043))-(LTP3!$D$6)*((S4043)*(Q4043)-(R4043)*(T4043))+(T4043)*((S4043)*(V4043)-(U4043)*(T4043)))/W4043,0)</f>
        <v/>
      </c>
      <c r="Z4043">
        <f>IF(ABS(W4043)&gt;1E-12,((LTP3!$D$5)*((P4043)*(V4043)-(U4043)*(R4043))-(S4043)*((S4043)*(V4043)-(U4043)*(T4043))+(LTP3!$D$6)*((S4043)*(R4043)-(P4043)*(T4043)))/W4043,0)</f>
        <v/>
      </c>
      <c r="AA4043">
        <f>LTP3!$D$7-X4043*LTP3!$D$6-Y4043*U4043-Z4043*V4043</f>
        <v/>
      </c>
      <c r="AB4043">
        <f>IF(AND(F4043,ABS(W4043)&gt;1E-12,Y4043&gt;0,Z4043&gt;0),AA4043,1E+300)</f>
        <v/>
      </c>
    </row>
    <row r="4044">
      <c r="A4044">
        <f>$I$3-$B$5+$B$5*14/10</f>
        <v/>
      </c>
      <c r="B4044">
        <f>$J$3-$B$5+$B$5*14/10</f>
        <v/>
      </c>
      <c r="C4044">
        <f>SUMPRODUCT(Calc!$K$3:$K$22*(Calc!$G$3:$G$22&lt;=A4044))</f>
        <v/>
      </c>
      <c r="D4044">
        <f>SUMPRODUCT(Calc!$K$3:$K$22*(Calc!$G$3:$G$22&gt;A4044)*(Calc!$G$3:$G$22&lt;B4044))</f>
        <v/>
      </c>
      <c r="E4044">
        <f>SUMPRODUCT(Calc!$K$3:$K$22*(Calc!$G$3:$G$22&gt;=B4044))</f>
        <v/>
      </c>
      <c r="F4044">
        <f>AND(k_n&gt;=5,B4044&gt;A4044+1E-9,C4044&gt;=2,D4044&gt;=1,E4044&gt;=2)</f>
        <v/>
      </c>
      <c r="G4044">
        <f>SUMPRODUCT(Calc!$K$3:$K$22*(Calc!$G$3:$G$22&gt;A4044)*(Calc!$G$3:$G$22-A4044))</f>
        <v/>
      </c>
      <c r="H4044">
        <f>SUMPRODUCT(Calc!$K$3:$K$22*(Calc!$G$3:$G$22&gt;B4044)*(Calc!$G$3:$G$22-B4044))</f>
        <v/>
      </c>
      <c r="I4044">
        <f>SUMPRODUCT(Calc!$K$3:$K$22*(Calc!$G$3:$G$22&gt;A4044)*(Calc!$G$3:$G$22-A4044)^2)</f>
        <v/>
      </c>
      <c r="J4044">
        <f>SUMPRODUCT(Calc!$K$3:$K$22*(Calc!$G$3:$G$22&gt;B4044)*(Calc!$G$3:$G$22-B4044)^2)</f>
        <v/>
      </c>
      <c r="K4044">
        <f>SUMPRODUCT(Calc!$K$3:$K$22*(Calc!$G$3:$G$22&gt;A4044)*(Calc!$G$3:$G$22-A4044)*(Calc!$G$3:$G$22&gt;B4044)*(Calc!$G$3:$G$22-B4044))</f>
        <v/>
      </c>
      <c r="L4044">
        <f>SUMPRODUCT(Calc!$K$3:$K$22*(Calc!$G$3:$G$22&gt;A4044)*(Calc!$G$3:$G$22-A4044)*Calc!$G$3:$G$22)</f>
        <v/>
      </c>
      <c r="M4044">
        <f>SUMPRODUCT(Calc!$K$3:$K$22*(Calc!$G$3:$G$22&gt;B4044)*(Calc!$G$3:$G$22-B4044)*Calc!$G$3:$G$22)</f>
        <v/>
      </c>
      <c r="N4044">
        <f>SUMPRODUCT(Calc!$K$3:$K$22*(Calc!$G$3:$G$22&gt;A4044)*(Calc!$G$3:$G$22-A4044)*Calc!$I$3:$I$22)</f>
        <v/>
      </c>
      <c r="O4044">
        <f>SUMPRODUCT(Calc!$K$3:$K$22*(Calc!$G$3:$G$22&gt;B4044)*(Calc!$G$3:$G$22-B4044)*Calc!$I$3:$I$22)</f>
        <v/>
      </c>
      <c r="P4044">
        <f>I4044-G4044^2/k_n</f>
        <v/>
      </c>
      <c r="Q4044">
        <f>J4044-H4044^2/k_n</f>
        <v/>
      </c>
      <c r="R4044">
        <f>K4044-G4044*H4044/k_n</f>
        <v/>
      </c>
      <c r="S4044">
        <f>L4044-LTP3!$D$3*G4044/k_n</f>
        <v/>
      </c>
      <c r="T4044">
        <f>M4044-LTP3!$D$3*H4044/k_n</f>
        <v/>
      </c>
      <c r="U4044">
        <f>N4044-G4044*LTP3!$D$4/k_n</f>
        <v/>
      </c>
      <c r="V4044">
        <f>O4044-H4044*LTP3!$D$4/k_n</f>
        <v/>
      </c>
      <c r="W4044">
        <f>((LTP3!$D$5)*((P4044)*(Q4044)-(R4044)*(R4044))-(S4044)*((S4044)*(Q4044)-(R4044)*(T4044))+(T4044)*((S4044)*(R4044)-(P4044)*(T4044)))</f>
        <v/>
      </c>
      <c r="X4044">
        <f>IF(ABS(W4044)&gt;1E-12,((LTP3!$D$6)*((P4044)*(Q4044)-(R4044)*(R4044))-(S4044)*((U4044)*(Q4044)-(R4044)*(V4044))+(T4044)*((U4044)*(R4044)-(P4044)*(V4044)))/W4044,0)</f>
        <v/>
      </c>
      <c r="Y4044">
        <f>IF(ABS(W4044)&gt;1E-12,((LTP3!$D$5)*((U4044)*(Q4044)-(R4044)*(V4044))-(LTP3!$D$6)*((S4044)*(Q4044)-(R4044)*(T4044))+(T4044)*((S4044)*(V4044)-(U4044)*(T4044)))/W4044,0)</f>
        <v/>
      </c>
      <c r="Z4044">
        <f>IF(ABS(W4044)&gt;1E-12,((LTP3!$D$5)*((P4044)*(V4044)-(U4044)*(R4044))-(S4044)*((S4044)*(V4044)-(U4044)*(T4044))+(LTP3!$D$6)*((S4044)*(R4044)-(P4044)*(T4044)))/W4044,0)</f>
        <v/>
      </c>
      <c r="AA4044">
        <f>LTP3!$D$7-X4044*LTP3!$D$6-Y4044*U4044-Z4044*V4044</f>
        <v/>
      </c>
      <c r="AB4044">
        <f>IF(AND(F4044,ABS(W4044)&gt;1E-12,Y4044&gt;0,Z4044&gt;0),AA4044,1E+300)</f>
        <v/>
      </c>
    </row>
    <row r="4045">
      <c r="A4045">
        <f>$I$3-$B$5+$B$5*14/10</f>
        <v/>
      </c>
      <c r="B4045">
        <f>$J$3-$B$5+$B$5*15/10</f>
        <v/>
      </c>
      <c r="C4045">
        <f>SUMPRODUCT(Calc!$K$3:$K$22*(Calc!$G$3:$G$22&lt;=A4045))</f>
        <v/>
      </c>
      <c r="D4045">
        <f>SUMPRODUCT(Calc!$K$3:$K$22*(Calc!$G$3:$G$22&gt;A4045)*(Calc!$G$3:$G$22&lt;B4045))</f>
        <v/>
      </c>
      <c r="E4045">
        <f>SUMPRODUCT(Calc!$K$3:$K$22*(Calc!$G$3:$G$22&gt;=B4045))</f>
        <v/>
      </c>
      <c r="F4045">
        <f>AND(k_n&gt;=5,B4045&gt;A4045+1E-9,C4045&gt;=2,D4045&gt;=1,E4045&gt;=2)</f>
        <v/>
      </c>
      <c r="G4045">
        <f>SUMPRODUCT(Calc!$K$3:$K$22*(Calc!$G$3:$G$22&gt;A4045)*(Calc!$G$3:$G$22-A4045))</f>
        <v/>
      </c>
      <c r="H4045">
        <f>SUMPRODUCT(Calc!$K$3:$K$22*(Calc!$G$3:$G$22&gt;B4045)*(Calc!$G$3:$G$22-B4045))</f>
        <v/>
      </c>
      <c r="I4045">
        <f>SUMPRODUCT(Calc!$K$3:$K$22*(Calc!$G$3:$G$22&gt;A4045)*(Calc!$G$3:$G$22-A4045)^2)</f>
        <v/>
      </c>
      <c r="J4045">
        <f>SUMPRODUCT(Calc!$K$3:$K$22*(Calc!$G$3:$G$22&gt;B4045)*(Calc!$G$3:$G$22-B4045)^2)</f>
        <v/>
      </c>
      <c r="K4045">
        <f>SUMPRODUCT(Calc!$K$3:$K$22*(Calc!$G$3:$G$22&gt;A4045)*(Calc!$G$3:$G$22-A4045)*(Calc!$G$3:$G$22&gt;B4045)*(Calc!$G$3:$G$22-B4045))</f>
        <v/>
      </c>
      <c r="L4045">
        <f>SUMPRODUCT(Calc!$K$3:$K$22*(Calc!$G$3:$G$22&gt;A4045)*(Calc!$G$3:$G$22-A4045)*Calc!$G$3:$G$22)</f>
        <v/>
      </c>
      <c r="M4045">
        <f>SUMPRODUCT(Calc!$K$3:$K$22*(Calc!$G$3:$G$22&gt;B4045)*(Calc!$G$3:$G$22-B4045)*Calc!$G$3:$G$22)</f>
        <v/>
      </c>
      <c r="N4045">
        <f>SUMPRODUCT(Calc!$K$3:$K$22*(Calc!$G$3:$G$22&gt;A4045)*(Calc!$G$3:$G$22-A4045)*Calc!$I$3:$I$22)</f>
        <v/>
      </c>
      <c r="O4045">
        <f>SUMPRODUCT(Calc!$K$3:$K$22*(Calc!$G$3:$G$22&gt;B4045)*(Calc!$G$3:$G$22-B4045)*Calc!$I$3:$I$22)</f>
        <v/>
      </c>
      <c r="P4045">
        <f>I4045-G4045^2/k_n</f>
        <v/>
      </c>
      <c r="Q4045">
        <f>J4045-H4045^2/k_n</f>
        <v/>
      </c>
      <c r="R4045">
        <f>K4045-G4045*H4045/k_n</f>
        <v/>
      </c>
      <c r="S4045">
        <f>L4045-LTP3!$D$3*G4045/k_n</f>
        <v/>
      </c>
      <c r="T4045">
        <f>M4045-LTP3!$D$3*H4045/k_n</f>
        <v/>
      </c>
      <c r="U4045">
        <f>N4045-G4045*LTP3!$D$4/k_n</f>
        <v/>
      </c>
      <c r="V4045">
        <f>O4045-H4045*LTP3!$D$4/k_n</f>
        <v/>
      </c>
      <c r="W4045">
        <f>((LTP3!$D$5)*((P4045)*(Q4045)-(R4045)*(R4045))-(S4045)*((S4045)*(Q4045)-(R4045)*(T4045))+(T4045)*((S4045)*(R4045)-(P4045)*(T4045)))</f>
        <v/>
      </c>
      <c r="X4045">
        <f>IF(ABS(W4045)&gt;1E-12,((LTP3!$D$6)*((P4045)*(Q4045)-(R4045)*(R4045))-(S4045)*((U4045)*(Q4045)-(R4045)*(V4045))+(T4045)*((U4045)*(R4045)-(P4045)*(V4045)))/W4045,0)</f>
        <v/>
      </c>
      <c r="Y4045">
        <f>IF(ABS(W4045)&gt;1E-12,((LTP3!$D$5)*((U4045)*(Q4045)-(R4045)*(V4045))-(LTP3!$D$6)*((S4045)*(Q4045)-(R4045)*(T4045))+(T4045)*((S4045)*(V4045)-(U4045)*(T4045)))/W4045,0)</f>
        <v/>
      </c>
      <c r="Z4045">
        <f>IF(ABS(W4045)&gt;1E-12,((LTP3!$D$5)*((P4045)*(V4045)-(U4045)*(R4045))-(S4045)*((S4045)*(V4045)-(U4045)*(T4045))+(LTP3!$D$6)*((S4045)*(R4045)-(P4045)*(T4045)))/W4045,0)</f>
        <v/>
      </c>
      <c r="AA4045">
        <f>LTP3!$D$7-X4045*LTP3!$D$6-Y4045*U4045-Z4045*V4045</f>
        <v/>
      </c>
      <c r="AB4045">
        <f>IF(AND(F4045,ABS(W4045)&gt;1E-12,Y4045&gt;0,Z4045&gt;0),AA4045,1E+300)</f>
        <v/>
      </c>
    </row>
    <row r="4046">
      <c r="A4046">
        <f>$I$3-$B$5+$B$5*14/10</f>
        <v/>
      </c>
      <c r="B4046">
        <f>$J$3-$B$5+$B$5*16/10</f>
        <v/>
      </c>
      <c r="C4046">
        <f>SUMPRODUCT(Calc!$K$3:$K$22*(Calc!$G$3:$G$22&lt;=A4046))</f>
        <v/>
      </c>
      <c r="D4046">
        <f>SUMPRODUCT(Calc!$K$3:$K$22*(Calc!$G$3:$G$22&gt;A4046)*(Calc!$G$3:$G$22&lt;B4046))</f>
        <v/>
      </c>
      <c r="E4046">
        <f>SUMPRODUCT(Calc!$K$3:$K$22*(Calc!$G$3:$G$22&gt;=B4046))</f>
        <v/>
      </c>
      <c r="F4046">
        <f>AND(k_n&gt;=5,B4046&gt;A4046+1E-9,C4046&gt;=2,D4046&gt;=1,E4046&gt;=2)</f>
        <v/>
      </c>
      <c r="G4046">
        <f>SUMPRODUCT(Calc!$K$3:$K$22*(Calc!$G$3:$G$22&gt;A4046)*(Calc!$G$3:$G$22-A4046))</f>
        <v/>
      </c>
      <c r="H4046">
        <f>SUMPRODUCT(Calc!$K$3:$K$22*(Calc!$G$3:$G$22&gt;B4046)*(Calc!$G$3:$G$22-B4046))</f>
        <v/>
      </c>
      <c r="I4046">
        <f>SUMPRODUCT(Calc!$K$3:$K$22*(Calc!$G$3:$G$22&gt;A4046)*(Calc!$G$3:$G$22-A4046)^2)</f>
        <v/>
      </c>
      <c r="J4046">
        <f>SUMPRODUCT(Calc!$K$3:$K$22*(Calc!$G$3:$G$22&gt;B4046)*(Calc!$G$3:$G$22-B4046)^2)</f>
        <v/>
      </c>
      <c r="K4046">
        <f>SUMPRODUCT(Calc!$K$3:$K$22*(Calc!$G$3:$G$22&gt;A4046)*(Calc!$G$3:$G$22-A4046)*(Calc!$G$3:$G$22&gt;B4046)*(Calc!$G$3:$G$22-B4046))</f>
        <v/>
      </c>
      <c r="L4046">
        <f>SUMPRODUCT(Calc!$K$3:$K$22*(Calc!$G$3:$G$22&gt;A4046)*(Calc!$G$3:$G$22-A4046)*Calc!$G$3:$G$22)</f>
        <v/>
      </c>
      <c r="M4046">
        <f>SUMPRODUCT(Calc!$K$3:$K$22*(Calc!$G$3:$G$22&gt;B4046)*(Calc!$G$3:$G$22-B4046)*Calc!$G$3:$G$22)</f>
        <v/>
      </c>
      <c r="N4046">
        <f>SUMPRODUCT(Calc!$K$3:$K$22*(Calc!$G$3:$G$22&gt;A4046)*(Calc!$G$3:$G$22-A4046)*Calc!$I$3:$I$22)</f>
        <v/>
      </c>
      <c r="O4046">
        <f>SUMPRODUCT(Calc!$K$3:$K$22*(Calc!$G$3:$G$22&gt;B4046)*(Calc!$G$3:$G$22-B4046)*Calc!$I$3:$I$22)</f>
        <v/>
      </c>
      <c r="P4046">
        <f>I4046-G4046^2/k_n</f>
        <v/>
      </c>
      <c r="Q4046">
        <f>J4046-H4046^2/k_n</f>
        <v/>
      </c>
      <c r="R4046">
        <f>K4046-G4046*H4046/k_n</f>
        <v/>
      </c>
      <c r="S4046">
        <f>L4046-LTP3!$D$3*G4046/k_n</f>
        <v/>
      </c>
      <c r="T4046">
        <f>M4046-LTP3!$D$3*H4046/k_n</f>
        <v/>
      </c>
      <c r="U4046">
        <f>N4046-G4046*LTP3!$D$4/k_n</f>
        <v/>
      </c>
      <c r="V4046">
        <f>O4046-H4046*LTP3!$D$4/k_n</f>
        <v/>
      </c>
      <c r="W4046">
        <f>((LTP3!$D$5)*((P4046)*(Q4046)-(R4046)*(R4046))-(S4046)*((S4046)*(Q4046)-(R4046)*(T4046))+(T4046)*((S4046)*(R4046)-(P4046)*(T4046)))</f>
        <v/>
      </c>
      <c r="X4046">
        <f>IF(ABS(W4046)&gt;1E-12,((LTP3!$D$6)*((P4046)*(Q4046)-(R4046)*(R4046))-(S4046)*((U4046)*(Q4046)-(R4046)*(V4046))+(T4046)*((U4046)*(R4046)-(P4046)*(V4046)))/W4046,0)</f>
        <v/>
      </c>
      <c r="Y4046">
        <f>IF(ABS(W4046)&gt;1E-12,((LTP3!$D$5)*((U4046)*(Q4046)-(R4046)*(V4046))-(LTP3!$D$6)*((S4046)*(Q4046)-(R4046)*(T4046))+(T4046)*((S4046)*(V4046)-(U4046)*(T4046)))/W4046,0)</f>
        <v/>
      </c>
      <c r="Z4046">
        <f>IF(ABS(W4046)&gt;1E-12,((LTP3!$D$5)*((P4046)*(V4046)-(U4046)*(R4046))-(S4046)*((S4046)*(V4046)-(U4046)*(T4046))+(LTP3!$D$6)*((S4046)*(R4046)-(P4046)*(T4046)))/W4046,0)</f>
        <v/>
      </c>
      <c r="AA4046">
        <f>LTP3!$D$7-X4046*LTP3!$D$6-Y4046*U4046-Z4046*V4046</f>
        <v/>
      </c>
      <c r="AB4046">
        <f>IF(AND(F4046,ABS(W4046)&gt;1E-12,Y4046&gt;0,Z4046&gt;0),AA4046,1E+300)</f>
        <v/>
      </c>
    </row>
    <row r="4047">
      <c r="A4047">
        <f>$I$3-$B$5+$B$5*14/10</f>
        <v/>
      </c>
      <c r="B4047">
        <f>$J$3-$B$5+$B$5*17/10</f>
        <v/>
      </c>
      <c r="C4047">
        <f>SUMPRODUCT(Calc!$K$3:$K$22*(Calc!$G$3:$G$22&lt;=A4047))</f>
        <v/>
      </c>
      <c r="D4047">
        <f>SUMPRODUCT(Calc!$K$3:$K$22*(Calc!$G$3:$G$22&gt;A4047)*(Calc!$G$3:$G$22&lt;B4047))</f>
        <v/>
      </c>
      <c r="E4047">
        <f>SUMPRODUCT(Calc!$K$3:$K$22*(Calc!$G$3:$G$22&gt;=B4047))</f>
        <v/>
      </c>
      <c r="F4047">
        <f>AND(k_n&gt;=5,B4047&gt;A4047+1E-9,C4047&gt;=2,D4047&gt;=1,E4047&gt;=2)</f>
        <v/>
      </c>
      <c r="G4047">
        <f>SUMPRODUCT(Calc!$K$3:$K$22*(Calc!$G$3:$G$22&gt;A4047)*(Calc!$G$3:$G$22-A4047))</f>
        <v/>
      </c>
      <c r="H4047">
        <f>SUMPRODUCT(Calc!$K$3:$K$22*(Calc!$G$3:$G$22&gt;B4047)*(Calc!$G$3:$G$22-B4047))</f>
        <v/>
      </c>
      <c r="I4047">
        <f>SUMPRODUCT(Calc!$K$3:$K$22*(Calc!$G$3:$G$22&gt;A4047)*(Calc!$G$3:$G$22-A4047)^2)</f>
        <v/>
      </c>
      <c r="J4047">
        <f>SUMPRODUCT(Calc!$K$3:$K$22*(Calc!$G$3:$G$22&gt;B4047)*(Calc!$G$3:$G$22-B4047)^2)</f>
        <v/>
      </c>
      <c r="K4047">
        <f>SUMPRODUCT(Calc!$K$3:$K$22*(Calc!$G$3:$G$22&gt;A4047)*(Calc!$G$3:$G$22-A4047)*(Calc!$G$3:$G$22&gt;B4047)*(Calc!$G$3:$G$22-B4047))</f>
        <v/>
      </c>
      <c r="L4047">
        <f>SUMPRODUCT(Calc!$K$3:$K$22*(Calc!$G$3:$G$22&gt;A4047)*(Calc!$G$3:$G$22-A4047)*Calc!$G$3:$G$22)</f>
        <v/>
      </c>
      <c r="M4047">
        <f>SUMPRODUCT(Calc!$K$3:$K$22*(Calc!$G$3:$G$22&gt;B4047)*(Calc!$G$3:$G$22-B4047)*Calc!$G$3:$G$22)</f>
        <v/>
      </c>
      <c r="N4047">
        <f>SUMPRODUCT(Calc!$K$3:$K$22*(Calc!$G$3:$G$22&gt;A4047)*(Calc!$G$3:$G$22-A4047)*Calc!$I$3:$I$22)</f>
        <v/>
      </c>
      <c r="O4047">
        <f>SUMPRODUCT(Calc!$K$3:$K$22*(Calc!$G$3:$G$22&gt;B4047)*(Calc!$G$3:$G$22-B4047)*Calc!$I$3:$I$22)</f>
        <v/>
      </c>
      <c r="P4047">
        <f>I4047-G4047^2/k_n</f>
        <v/>
      </c>
      <c r="Q4047">
        <f>J4047-H4047^2/k_n</f>
        <v/>
      </c>
      <c r="R4047">
        <f>K4047-G4047*H4047/k_n</f>
        <v/>
      </c>
      <c r="S4047">
        <f>L4047-LTP3!$D$3*G4047/k_n</f>
        <v/>
      </c>
      <c r="T4047">
        <f>M4047-LTP3!$D$3*H4047/k_n</f>
        <v/>
      </c>
      <c r="U4047">
        <f>N4047-G4047*LTP3!$D$4/k_n</f>
        <v/>
      </c>
      <c r="V4047">
        <f>O4047-H4047*LTP3!$D$4/k_n</f>
        <v/>
      </c>
      <c r="W4047">
        <f>((LTP3!$D$5)*((P4047)*(Q4047)-(R4047)*(R4047))-(S4047)*((S4047)*(Q4047)-(R4047)*(T4047))+(T4047)*((S4047)*(R4047)-(P4047)*(T4047)))</f>
        <v/>
      </c>
      <c r="X4047">
        <f>IF(ABS(W4047)&gt;1E-12,((LTP3!$D$6)*((P4047)*(Q4047)-(R4047)*(R4047))-(S4047)*((U4047)*(Q4047)-(R4047)*(V4047))+(T4047)*((U4047)*(R4047)-(P4047)*(V4047)))/W4047,0)</f>
        <v/>
      </c>
      <c r="Y4047">
        <f>IF(ABS(W4047)&gt;1E-12,((LTP3!$D$5)*((U4047)*(Q4047)-(R4047)*(V4047))-(LTP3!$D$6)*((S4047)*(Q4047)-(R4047)*(T4047))+(T4047)*((S4047)*(V4047)-(U4047)*(T4047)))/W4047,0)</f>
        <v/>
      </c>
      <c r="Z4047">
        <f>IF(ABS(W4047)&gt;1E-12,((LTP3!$D$5)*((P4047)*(V4047)-(U4047)*(R4047))-(S4047)*((S4047)*(V4047)-(U4047)*(T4047))+(LTP3!$D$6)*((S4047)*(R4047)-(P4047)*(T4047)))/W4047,0)</f>
        <v/>
      </c>
      <c r="AA4047">
        <f>LTP3!$D$7-X4047*LTP3!$D$6-Y4047*U4047-Z4047*V4047</f>
        <v/>
      </c>
      <c r="AB4047">
        <f>IF(AND(F4047,ABS(W4047)&gt;1E-12,Y4047&gt;0,Z4047&gt;0),AA4047,1E+300)</f>
        <v/>
      </c>
    </row>
    <row r="4048">
      <c r="A4048">
        <f>$I$3-$B$5+$B$5*14/10</f>
        <v/>
      </c>
      <c r="B4048">
        <f>$J$3-$B$5+$B$5*18/10</f>
        <v/>
      </c>
      <c r="C4048">
        <f>SUMPRODUCT(Calc!$K$3:$K$22*(Calc!$G$3:$G$22&lt;=A4048))</f>
        <v/>
      </c>
      <c r="D4048">
        <f>SUMPRODUCT(Calc!$K$3:$K$22*(Calc!$G$3:$G$22&gt;A4048)*(Calc!$G$3:$G$22&lt;B4048))</f>
        <v/>
      </c>
      <c r="E4048">
        <f>SUMPRODUCT(Calc!$K$3:$K$22*(Calc!$G$3:$G$22&gt;=B4048))</f>
        <v/>
      </c>
      <c r="F4048">
        <f>AND(k_n&gt;=5,B4048&gt;A4048+1E-9,C4048&gt;=2,D4048&gt;=1,E4048&gt;=2)</f>
        <v/>
      </c>
      <c r="G4048">
        <f>SUMPRODUCT(Calc!$K$3:$K$22*(Calc!$G$3:$G$22&gt;A4048)*(Calc!$G$3:$G$22-A4048))</f>
        <v/>
      </c>
      <c r="H4048">
        <f>SUMPRODUCT(Calc!$K$3:$K$22*(Calc!$G$3:$G$22&gt;B4048)*(Calc!$G$3:$G$22-B4048))</f>
        <v/>
      </c>
      <c r="I4048">
        <f>SUMPRODUCT(Calc!$K$3:$K$22*(Calc!$G$3:$G$22&gt;A4048)*(Calc!$G$3:$G$22-A4048)^2)</f>
        <v/>
      </c>
      <c r="J4048">
        <f>SUMPRODUCT(Calc!$K$3:$K$22*(Calc!$G$3:$G$22&gt;B4048)*(Calc!$G$3:$G$22-B4048)^2)</f>
        <v/>
      </c>
      <c r="K4048">
        <f>SUMPRODUCT(Calc!$K$3:$K$22*(Calc!$G$3:$G$22&gt;A4048)*(Calc!$G$3:$G$22-A4048)*(Calc!$G$3:$G$22&gt;B4048)*(Calc!$G$3:$G$22-B4048))</f>
        <v/>
      </c>
      <c r="L4048">
        <f>SUMPRODUCT(Calc!$K$3:$K$22*(Calc!$G$3:$G$22&gt;A4048)*(Calc!$G$3:$G$22-A4048)*Calc!$G$3:$G$22)</f>
        <v/>
      </c>
      <c r="M4048">
        <f>SUMPRODUCT(Calc!$K$3:$K$22*(Calc!$G$3:$G$22&gt;B4048)*(Calc!$G$3:$G$22-B4048)*Calc!$G$3:$G$22)</f>
        <v/>
      </c>
      <c r="N4048">
        <f>SUMPRODUCT(Calc!$K$3:$K$22*(Calc!$G$3:$G$22&gt;A4048)*(Calc!$G$3:$G$22-A4048)*Calc!$I$3:$I$22)</f>
        <v/>
      </c>
      <c r="O4048">
        <f>SUMPRODUCT(Calc!$K$3:$K$22*(Calc!$G$3:$G$22&gt;B4048)*(Calc!$G$3:$G$22-B4048)*Calc!$I$3:$I$22)</f>
        <v/>
      </c>
      <c r="P4048">
        <f>I4048-G4048^2/k_n</f>
        <v/>
      </c>
      <c r="Q4048">
        <f>J4048-H4048^2/k_n</f>
        <v/>
      </c>
      <c r="R4048">
        <f>K4048-G4048*H4048/k_n</f>
        <v/>
      </c>
      <c r="S4048">
        <f>L4048-LTP3!$D$3*G4048/k_n</f>
        <v/>
      </c>
      <c r="T4048">
        <f>M4048-LTP3!$D$3*H4048/k_n</f>
        <v/>
      </c>
      <c r="U4048">
        <f>N4048-G4048*LTP3!$D$4/k_n</f>
        <v/>
      </c>
      <c r="V4048">
        <f>O4048-H4048*LTP3!$D$4/k_n</f>
        <v/>
      </c>
      <c r="W4048">
        <f>((LTP3!$D$5)*((P4048)*(Q4048)-(R4048)*(R4048))-(S4048)*((S4048)*(Q4048)-(R4048)*(T4048))+(T4048)*((S4048)*(R4048)-(P4048)*(T4048)))</f>
        <v/>
      </c>
      <c r="X4048">
        <f>IF(ABS(W4048)&gt;1E-12,((LTP3!$D$6)*((P4048)*(Q4048)-(R4048)*(R4048))-(S4048)*((U4048)*(Q4048)-(R4048)*(V4048))+(T4048)*((U4048)*(R4048)-(P4048)*(V4048)))/W4048,0)</f>
        <v/>
      </c>
      <c r="Y4048">
        <f>IF(ABS(W4048)&gt;1E-12,((LTP3!$D$5)*((U4048)*(Q4048)-(R4048)*(V4048))-(LTP3!$D$6)*((S4048)*(Q4048)-(R4048)*(T4048))+(T4048)*((S4048)*(V4048)-(U4048)*(T4048)))/W4048,0)</f>
        <v/>
      </c>
      <c r="Z4048">
        <f>IF(ABS(W4048)&gt;1E-12,((LTP3!$D$5)*((P4048)*(V4048)-(U4048)*(R4048))-(S4048)*((S4048)*(V4048)-(U4048)*(T4048))+(LTP3!$D$6)*((S4048)*(R4048)-(P4048)*(T4048)))/W4048,0)</f>
        <v/>
      </c>
      <c r="AA4048">
        <f>LTP3!$D$7-X4048*LTP3!$D$6-Y4048*U4048-Z4048*V4048</f>
        <v/>
      </c>
      <c r="AB4048">
        <f>IF(AND(F4048,ABS(W4048)&gt;1E-12,Y4048&gt;0,Z4048&gt;0),AA4048,1E+300)</f>
        <v/>
      </c>
    </row>
    <row r="4049">
      <c r="A4049">
        <f>$I$3-$B$5+$B$5*14/10</f>
        <v/>
      </c>
      <c r="B4049">
        <f>$J$3-$B$5+$B$5*19/10</f>
        <v/>
      </c>
      <c r="C4049">
        <f>SUMPRODUCT(Calc!$K$3:$K$22*(Calc!$G$3:$G$22&lt;=A4049))</f>
        <v/>
      </c>
      <c r="D4049">
        <f>SUMPRODUCT(Calc!$K$3:$K$22*(Calc!$G$3:$G$22&gt;A4049)*(Calc!$G$3:$G$22&lt;B4049))</f>
        <v/>
      </c>
      <c r="E4049">
        <f>SUMPRODUCT(Calc!$K$3:$K$22*(Calc!$G$3:$G$22&gt;=B4049))</f>
        <v/>
      </c>
      <c r="F4049">
        <f>AND(k_n&gt;=5,B4049&gt;A4049+1E-9,C4049&gt;=2,D4049&gt;=1,E4049&gt;=2)</f>
        <v/>
      </c>
      <c r="G4049">
        <f>SUMPRODUCT(Calc!$K$3:$K$22*(Calc!$G$3:$G$22&gt;A4049)*(Calc!$G$3:$G$22-A4049))</f>
        <v/>
      </c>
      <c r="H4049">
        <f>SUMPRODUCT(Calc!$K$3:$K$22*(Calc!$G$3:$G$22&gt;B4049)*(Calc!$G$3:$G$22-B4049))</f>
        <v/>
      </c>
      <c r="I4049">
        <f>SUMPRODUCT(Calc!$K$3:$K$22*(Calc!$G$3:$G$22&gt;A4049)*(Calc!$G$3:$G$22-A4049)^2)</f>
        <v/>
      </c>
      <c r="J4049">
        <f>SUMPRODUCT(Calc!$K$3:$K$22*(Calc!$G$3:$G$22&gt;B4049)*(Calc!$G$3:$G$22-B4049)^2)</f>
        <v/>
      </c>
      <c r="K4049">
        <f>SUMPRODUCT(Calc!$K$3:$K$22*(Calc!$G$3:$G$22&gt;A4049)*(Calc!$G$3:$G$22-A4049)*(Calc!$G$3:$G$22&gt;B4049)*(Calc!$G$3:$G$22-B4049))</f>
        <v/>
      </c>
      <c r="L4049">
        <f>SUMPRODUCT(Calc!$K$3:$K$22*(Calc!$G$3:$G$22&gt;A4049)*(Calc!$G$3:$G$22-A4049)*Calc!$G$3:$G$22)</f>
        <v/>
      </c>
      <c r="M4049">
        <f>SUMPRODUCT(Calc!$K$3:$K$22*(Calc!$G$3:$G$22&gt;B4049)*(Calc!$G$3:$G$22-B4049)*Calc!$G$3:$G$22)</f>
        <v/>
      </c>
      <c r="N4049">
        <f>SUMPRODUCT(Calc!$K$3:$K$22*(Calc!$G$3:$G$22&gt;A4049)*(Calc!$G$3:$G$22-A4049)*Calc!$I$3:$I$22)</f>
        <v/>
      </c>
      <c r="O4049">
        <f>SUMPRODUCT(Calc!$K$3:$K$22*(Calc!$G$3:$G$22&gt;B4049)*(Calc!$G$3:$G$22-B4049)*Calc!$I$3:$I$22)</f>
        <v/>
      </c>
      <c r="P4049">
        <f>I4049-G4049^2/k_n</f>
        <v/>
      </c>
      <c r="Q4049">
        <f>J4049-H4049^2/k_n</f>
        <v/>
      </c>
      <c r="R4049">
        <f>K4049-G4049*H4049/k_n</f>
        <v/>
      </c>
      <c r="S4049">
        <f>L4049-LTP3!$D$3*G4049/k_n</f>
        <v/>
      </c>
      <c r="T4049">
        <f>M4049-LTP3!$D$3*H4049/k_n</f>
        <v/>
      </c>
      <c r="U4049">
        <f>N4049-G4049*LTP3!$D$4/k_n</f>
        <v/>
      </c>
      <c r="V4049">
        <f>O4049-H4049*LTP3!$D$4/k_n</f>
        <v/>
      </c>
      <c r="W4049">
        <f>((LTP3!$D$5)*((P4049)*(Q4049)-(R4049)*(R4049))-(S4049)*((S4049)*(Q4049)-(R4049)*(T4049))+(T4049)*((S4049)*(R4049)-(P4049)*(T4049)))</f>
        <v/>
      </c>
      <c r="X4049">
        <f>IF(ABS(W4049)&gt;1E-12,((LTP3!$D$6)*((P4049)*(Q4049)-(R4049)*(R4049))-(S4049)*((U4049)*(Q4049)-(R4049)*(V4049))+(T4049)*((U4049)*(R4049)-(P4049)*(V4049)))/W4049,0)</f>
        <v/>
      </c>
      <c r="Y4049">
        <f>IF(ABS(W4049)&gt;1E-12,((LTP3!$D$5)*((U4049)*(Q4049)-(R4049)*(V4049))-(LTP3!$D$6)*((S4049)*(Q4049)-(R4049)*(T4049))+(T4049)*((S4049)*(V4049)-(U4049)*(T4049)))/W4049,0)</f>
        <v/>
      </c>
      <c r="Z4049">
        <f>IF(ABS(W4049)&gt;1E-12,((LTP3!$D$5)*((P4049)*(V4049)-(U4049)*(R4049))-(S4049)*((S4049)*(V4049)-(U4049)*(T4049))+(LTP3!$D$6)*((S4049)*(R4049)-(P4049)*(T4049)))/W4049,0)</f>
        <v/>
      </c>
      <c r="AA4049">
        <f>LTP3!$D$7-X4049*LTP3!$D$6-Y4049*U4049-Z4049*V4049</f>
        <v/>
      </c>
      <c r="AB4049">
        <f>IF(AND(F4049,ABS(W4049)&gt;1E-12,Y4049&gt;0,Z4049&gt;0),AA4049,1E+300)</f>
        <v/>
      </c>
    </row>
    <row r="4050">
      <c r="A4050">
        <f>$I$3-$B$5+$B$5*14/10</f>
        <v/>
      </c>
      <c r="B4050">
        <f>$J$3-$B$5+$B$5*20/10</f>
        <v/>
      </c>
      <c r="C4050">
        <f>SUMPRODUCT(Calc!$K$3:$K$22*(Calc!$G$3:$G$22&lt;=A4050))</f>
        <v/>
      </c>
      <c r="D4050">
        <f>SUMPRODUCT(Calc!$K$3:$K$22*(Calc!$G$3:$G$22&gt;A4050)*(Calc!$G$3:$G$22&lt;B4050))</f>
        <v/>
      </c>
      <c r="E4050">
        <f>SUMPRODUCT(Calc!$K$3:$K$22*(Calc!$G$3:$G$22&gt;=B4050))</f>
        <v/>
      </c>
      <c r="F4050">
        <f>AND(k_n&gt;=5,B4050&gt;A4050+1E-9,C4050&gt;=2,D4050&gt;=1,E4050&gt;=2)</f>
        <v/>
      </c>
      <c r="G4050">
        <f>SUMPRODUCT(Calc!$K$3:$K$22*(Calc!$G$3:$G$22&gt;A4050)*(Calc!$G$3:$G$22-A4050))</f>
        <v/>
      </c>
      <c r="H4050">
        <f>SUMPRODUCT(Calc!$K$3:$K$22*(Calc!$G$3:$G$22&gt;B4050)*(Calc!$G$3:$G$22-B4050))</f>
        <v/>
      </c>
      <c r="I4050">
        <f>SUMPRODUCT(Calc!$K$3:$K$22*(Calc!$G$3:$G$22&gt;A4050)*(Calc!$G$3:$G$22-A4050)^2)</f>
        <v/>
      </c>
      <c r="J4050">
        <f>SUMPRODUCT(Calc!$K$3:$K$22*(Calc!$G$3:$G$22&gt;B4050)*(Calc!$G$3:$G$22-B4050)^2)</f>
        <v/>
      </c>
      <c r="K4050">
        <f>SUMPRODUCT(Calc!$K$3:$K$22*(Calc!$G$3:$G$22&gt;A4050)*(Calc!$G$3:$G$22-A4050)*(Calc!$G$3:$G$22&gt;B4050)*(Calc!$G$3:$G$22-B4050))</f>
        <v/>
      </c>
      <c r="L4050">
        <f>SUMPRODUCT(Calc!$K$3:$K$22*(Calc!$G$3:$G$22&gt;A4050)*(Calc!$G$3:$G$22-A4050)*Calc!$G$3:$G$22)</f>
        <v/>
      </c>
      <c r="M4050">
        <f>SUMPRODUCT(Calc!$K$3:$K$22*(Calc!$G$3:$G$22&gt;B4050)*(Calc!$G$3:$G$22-B4050)*Calc!$G$3:$G$22)</f>
        <v/>
      </c>
      <c r="N4050">
        <f>SUMPRODUCT(Calc!$K$3:$K$22*(Calc!$G$3:$G$22&gt;A4050)*(Calc!$G$3:$G$22-A4050)*Calc!$I$3:$I$22)</f>
        <v/>
      </c>
      <c r="O4050">
        <f>SUMPRODUCT(Calc!$K$3:$K$22*(Calc!$G$3:$G$22&gt;B4050)*(Calc!$G$3:$G$22-B4050)*Calc!$I$3:$I$22)</f>
        <v/>
      </c>
      <c r="P4050">
        <f>I4050-G4050^2/k_n</f>
        <v/>
      </c>
      <c r="Q4050">
        <f>J4050-H4050^2/k_n</f>
        <v/>
      </c>
      <c r="R4050">
        <f>K4050-G4050*H4050/k_n</f>
        <v/>
      </c>
      <c r="S4050">
        <f>L4050-LTP3!$D$3*G4050/k_n</f>
        <v/>
      </c>
      <c r="T4050">
        <f>M4050-LTP3!$D$3*H4050/k_n</f>
        <v/>
      </c>
      <c r="U4050">
        <f>N4050-G4050*LTP3!$D$4/k_n</f>
        <v/>
      </c>
      <c r="V4050">
        <f>O4050-H4050*LTP3!$D$4/k_n</f>
        <v/>
      </c>
      <c r="W4050">
        <f>((LTP3!$D$5)*((P4050)*(Q4050)-(R4050)*(R4050))-(S4050)*((S4050)*(Q4050)-(R4050)*(T4050))+(T4050)*((S4050)*(R4050)-(P4050)*(T4050)))</f>
        <v/>
      </c>
      <c r="X4050">
        <f>IF(ABS(W4050)&gt;1E-12,((LTP3!$D$6)*((P4050)*(Q4050)-(R4050)*(R4050))-(S4050)*((U4050)*(Q4050)-(R4050)*(V4050))+(T4050)*((U4050)*(R4050)-(P4050)*(V4050)))/W4050,0)</f>
        <v/>
      </c>
      <c r="Y4050">
        <f>IF(ABS(W4050)&gt;1E-12,((LTP3!$D$5)*((U4050)*(Q4050)-(R4050)*(V4050))-(LTP3!$D$6)*((S4050)*(Q4050)-(R4050)*(T4050))+(T4050)*((S4050)*(V4050)-(U4050)*(T4050)))/W4050,0)</f>
        <v/>
      </c>
      <c r="Z4050">
        <f>IF(ABS(W4050)&gt;1E-12,((LTP3!$D$5)*((P4050)*(V4050)-(U4050)*(R4050))-(S4050)*((S4050)*(V4050)-(U4050)*(T4050))+(LTP3!$D$6)*((S4050)*(R4050)-(P4050)*(T4050)))/W4050,0)</f>
        <v/>
      </c>
      <c r="AA4050">
        <f>LTP3!$D$7-X4050*LTP3!$D$6-Y4050*U4050-Z4050*V4050</f>
        <v/>
      </c>
      <c r="AB4050">
        <f>IF(AND(F4050,ABS(W4050)&gt;1E-12,Y4050&gt;0,Z4050&gt;0),AA4050,1E+300)</f>
        <v/>
      </c>
    </row>
    <row r="4051">
      <c r="A4051">
        <f>$I$3-$B$5+$B$5*15/10</f>
        <v/>
      </c>
      <c r="B4051">
        <f>$J$3-$B$5+$B$5*0/10</f>
        <v/>
      </c>
      <c r="C4051">
        <f>SUMPRODUCT(Calc!$K$3:$K$22*(Calc!$G$3:$G$22&lt;=A4051))</f>
        <v/>
      </c>
      <c r="D4051">
        <f>SUMPRODUCT(Calc!$K$3:$K$22*(Calc!$G$3:$G$22&gt;A4051)*(Calc!$G$3:$G$22&lt;B4051))</f>
        <v/>
      </c>
      <c r="E4051">
        <f>SUMPRODUCT(Calc!$K$3:$K$22*(Calc!$G$3:$G$22&gt;=B4051))</f>
        <v/>
      </c>
      <c r="F4051">
        <f>AND(k_n&gt;=5,B4051&gt;A4051+1E-9,C4051&gt;=2,D4051&gt;=1,E4051&gt;=2)</f>
        <v/>
      </c>
      <c r="G4051">
        <f>SUMPRODUCT(Calc!$K$3:$K$22*(Calc!$G$3:$G$22&gt;A4051)*(Calc!$G$3:$G$22-A4051))</f>
        <v/>
      </c>
      <c r="H4051">
        <f>SUMPRODUCT(Calc!$K$3:$K$22*(Calc!$G$3:$G$22&gt;B4051)*(Calc!$G$3:$G$22-B4051))</f>
        <v/>
      </c>
      <c r="I4051">
        <f>SUMPRODUCT(Calc!$K$3:$K$22*(Calc!$G$3:$G$22&gt;A4051)*(Calc!$G$3:$G$22-A4051)^2)</f>
        <v/>
      </c>
      <c r="J4051">
        <f>SUMPRODUCT(Calc!$K$3:$K$22*(Calc!$G$3:$G$22&gt;B4051)*(Calc!$G$3:$G$22-B4051)^2)</f>
        <v/>
      </c>
      <c r="K4051">
        <f>SUMPRODUCT(Calc!$K$3:$K$22*(Calc!$G$3:$G$22&gt;A4051)*(Calc!$G$3:$G$22-A4051)*(Calc!$G$3:$G$22&gt;B4051)*(Calc!$G$3:$G$22-B4051))</f>
        <v/>
      </c>
      <c r="L4051">
        <f>SUMPRODUCT(Calc!$K$3:$K$22*(Calc!$G$3:$G$22&gt;A4051)*(Calc!$G$3:$G$22-A4051)*Calc!$G$3:$G$22)</f>
        <v/>
      </c>
      <c r="M4051">
        <f>SUMPRODUCT(Calc!$K$3:$K$22*(Calc!$G$3:$G$22&gt;B4051)*(Calc!$G$3:$G$22-B4051)*Calc!$G$3:$G$22)</f>
        <v/>
      </c>
      <c r="N4051">
        <f>SUMPRODUCT(Calc!$K$3:$K$22*(Calc!$G$3:$G$22&gt;A4051)*(Calc!$G$3:$G$22-A4051)*Calc!$I$3:$I$22)</f>
        <v/>
      </c>
      <c r="O4051">
        <f>SUMPRODUCT(Calc!$K$3:$K$22*(Calc!$G$3:$G$22&gt;B4051)*(Calc!$G$3:$G$22-B4051)*Calc!$I$3:$I$22)</f>
        <v/>
      </c>
      <c r="P4051">
        <f>I4051-G4051^2/k_n</f>
        <v/>
      </c>
      <c r="Q4051">
        <f>J4051-H4051^2/k_n</f>
        <v/>
      </c>
      <c r="R4051">
        <f>K4051-G4051*H4051/k_n</f>
        <v/>
      </c>
      <c r="S4051">
        <f>L4051-LTP3!$D$3*G4051/k_n</f>
        <v/>
      </c>
      <c r="T4051">
        <f>M4051-LTP3!$D$3*H4051/k_n</f>
        <v/>
      </c>
      <c r="U4051">
        <f>N4051-G4051*LTP3!$D$4/k_n</f>
        <v/>
      </c>
      <c r="V4051">
        <f>O4051-H4051*LTP3!$D$4/k_n</f>
        <v/>
      </c>
      <c r="W4051">
        <f>((LTP3!$D$5)*((P4051)*(Q4051)-(R4051)*(R4051))-(S4051)*((S4051)*(Q4051)-(R4051)*(T4051))+(T4051)*((S4051)*(R4051)-(P4051)*(T4051)))</f>
        <v/>
      </c>
      <c r="X4051">
        <f>IF(ABS(W4051)&gt;1E-12,((LTP3!$D$6)*((P4051)*(Q4051)-(R4051)*(R4051))-(S4051)*((U4051)*(Q4051)-(R4051)*(V4051))+(T4051)*((U4051)*(R4051)-(P4051)*(V4051)))/W4051,0)</f>
        <v/>
      </c>
      <c r="Y4051">
        <f>IF(ABS(W4051)&gt;1E-12,((LTP3!$D$5)*((U4051)*(Q4051)-(R4051)*(V4051))-(LTP3!$D$6)*((S4051)*(Q4051)-(R4051)*(T4051))+(T4051)*((S4051)*(V4051)-(U4051)*(T4051)))/W4051,0)</f>
        <v/>
      </c>
      <c r="Z4051">
        <f>IF(ABS(W4051)&gt;1E-12,((LTP3!$D$5)*((P4051)*(V4051)-(U4051)*(R4051))-(S4051)*((S4051)*(V4051)-(U4051)*(T4051))+(LTP3!$D$6)*((S4051)*(R4051)-(P4051)*(T4051)))/W4051,0)</f>
        <v/>
      </c>
      <c r="AA4051">
        <f>LTP3!$D$7-X4051*LTP3!$D$6-Y4051*U4051-Z4051*V4051</f>
        <v/>
      </c>
      <c r="AB4051">
        <f>IF(AND(F4051,ABS(W4051)&gt;1E-12,Y4051&gt;0,Z4051&gt;0),AA4051,1E+300)</f>
        <v/>
      </c>
    </row>
    <row r="4052">
      <c r="A4052">
        <f>$I$3-$B$5+$B$5*15/10</f>
        <v/>
      </c>
      <c r="B4052">
        <f>$J$3-$B$5+$B$5*1/10</f>
        <v/>
      </c>
      <c r="C4052">
        <f>SUMPRODUCT(Calc!$K$3:$K$22*(Calc!$G$3:$G$22&lt;=A4052))</f>
        <v/>
      </c>
      <c r="D4052">
        <f>SUMPRODUCT(Calc!$K$3:$K$22*(Calc!$G$3:$G$22&gt;A4052)*(Calc!$G$3:$G$22&lt;B4052))</f>
        <v/>
      </c>
      <c r="E4052">
        <f>SUMPRODUCT(Calc!$K$3:$K$22*(Calc!$G$3:$G$22&gt;=B4052))</f>
        <v/>
      </c>
      <c r="F4052">
        <f>AND(k_n&gt;=5,B4052&gt;A4052+1E-9,C4052&gt;=2,D4052&gt;=1,E4052&gt;=2)</f>
        <v/>
      </c>
      <c r="G4052">
        <f>SUMPRODUCT(Calc!$K$3:$K$22*(Calc!$G$3:$G$22&gt;A4052)*(Calc!$G$3:$G$22-A4052))</f>
        <v/>
      </c>
      <c r="H4052">
        <f>SUMPRODUCT(Calc!$K$3:$K$22*(Calc!$G$3:$G$22&gt;B4052)*(Calc!$G$3:$G$22-B4052))</f>
        <v/>
      </c>
      <c r="I4052">
        <f>SUMPRODUCT(Calc!$K$3:$K$22*(Calc!$G$3:$G$22&gt;A4052)*(Calc!$G$3:$G$22-A4052)^2)</f>
        <v/>
      </c>
      <c r="J4052">
        <f>SUMPRODUCT(Calc!$K$3:$K$22*(Calc!$G$3:$G$22&gt;B4052)*(Calc!$G$3:$G$22-B4052)^2)</f>
        <v/>
      </c>
      <c r="K4052">
        <f>SUMPRODUCT(Calc!$K$3:$K$22*(Calc!$G$3:$G$22&gt;A4052)*(Calc!$G$3:$G$22-A4052)*(Calc!$G$3:$G$22&gt;B4052)*(Calc!$G$3:$G$22-B4052))</f>
        <v/>
      </c>
      <c r="L4052">
        <f>SUMPRODUCT(Calc!$K$3:$K$22*(Calc!$G$3:$G$22&gt;A4052)*(Calc!$G$3:$G$22-A4052)*Calc!$G$3:$G$22)</f>
        <v/>
      </c>
      <c r="M4052">
        <f>SUMPRODUCT(Calc!$K$3:$K$22*(Calc!$G$3:$G$22&gt;B4052)*(Calc!$G$3:$G$22-B4052)*Calc!$G$3:$G$22)</f>
        <v/>
      </c>
      <c r="N4052">
        <f>SUMPRODUCT(Calc!$K$3:$K$22*(Calc!$G$3:$G$22&gt;A4052)*(Calc!$G$3:$G$22-A4052)*Calc!$I$3:$I$22)</f>
        <v/>
      </c>
      <c r="O4052">
        <f>SUMPRODUCT(Calc!$K$3:$K$22*(Calc!$G$3:$G$22&gt;B4052)*(Calc!$G$3:$G$22-B4052)*Calc!$I$3:$I$22)</f>
        <v/>
      </c>
      <c r="P4052">
        <f>I4052-G4052^2/k_n</f>
        <v/>
      </c>
      <c r="Q4052">
        <f>J4052-H4052^2/k_n</f>
        <v/>
      </c>
      <c r="R4052">
        <f>K4052-G4052*H4052/k_n</f>
        <v/>
      </c>
      <c r="S4052">
        <f>L4052-LTP3!$D$3*G4052/k_n</f>
        <v/>
      </c>
      <c r="T4052">
        <f>M4052-LTP3!$D$3*H4052/k_n</f>
        <v/>
      </c>
      <c r="U4052">
        <f>N4052-G4052*LTP3!$D$4/k_n</f>
        <v/>
      </c>
      <c r="V4052">
        <f>O4052-H4052*LTP3!$D$4/k_n</f>
        <v/>
      </c>
      <c r="W4052">
        <f>((LTP3!$D$5)*((P4052)*(Q4052)-(R4052)*(R4052))-(S4052)*((S4052)*(Q4052)-(R4052)*(T4052))+(T4052)*((S4052)*(R4052)-(P4052)*(T4052)))</f>
        <v/>
      </c>
      <c r="X4052">
        <f>IF(ABS(W4052)&gt;1E-12,((LTP3!$D$6)*((P4052)*(Q4052)-(R4052)*(R4052))-(S4052)*((U4052)*(Q4052)-(R4052)*(V4052))+(T4052)*((U4052)*(R4052)-(P4052)*(V4052)))/W4052,0)</f>
        <v/>
      </c>
      <c r="Y4052">
        <f>IF(ABS(W4052)&gt;1E-12,((LTP3!$D$5)*((U4052)*(Q4052)-(R4052)*(V4052))-(LTP3!$D$6)*((S4052)*(Q4052)-(R4052)*(T4052))+(T4052)*((S4052)*(V4052)-(U4052)*(T4052)))/W4052,0)</f>
        <v/>
      </c>
      <c r="Z4052">
        <f>IF(ABS(W4052)&gt;1E-12,((LTP3!$D$5)*((P4052)*(V4052)-(U4052)*(R4052))-(S4052)*((S4052)*(V4052)-(U4052)*(T4052))+(LTP3!$D$6)*((S4052)*(R4052)-(P4052)*(T4052)))/W4052,0)</f>
        <v/>
      </c>
      <c r="AA4052">
        <f>LTP3!$D$7-X4052*LTP3!$D$6-Y4052*U4052-Z4052*V4052</f>
        <v/>
      </c>
      <c r="AB4052">
        <f>IF(AND(F4052,ABS(W4052)&gt;1E-12,Y4052&gt;0,Z4052&gt;0),AA4052,1E+300)</f>
        <v/>
      </c>
    </row>
    <row r="4053">
      <c r="A4053">
        <f>$I$3-$B$5+$B$5*15/10</f>
        <v/>
      </c>
      <c r="B4053">
        <f>$J$3-$B$5+$B$5*2/10</f>
        <v/>
      </c>
      <c r="C4053">
        <f>SUMPRODUCT(Calc!$K$3:$K$22*(Calc!$G$3:$G$22&lt;=A4053))</f>
        <v/>
      </c>
      <c r="D4053">
        <f>SUMPRODUCT(Calc!$K$3:$K$22*(Calc!$G$3:$G$22&gt;A4053)*(Calc!$G$3:$G$22&lt;B4053))</f>
        <v/>
      </c>
      <c r="E4053">
        <f>SUMPRODUCT(Calc!$K$3:$K$22*(Calc!$G$3:$G$22&gt;=B4053))</f>
        <v/>
      </c>
      <c r="F4053">
        <f>AND(k_n&gt;=5,B4053&gt;A4053+1E-9,C4053&gt;=2,D4053&gt;=1,E4053&gt;=2)</f>
        <v/>
      </c>
      <c r="G4053">
        <f>SUMPRODUCT(Calc!$K$3:$K$22*(Calc!$G$3:$G$22&gt;A4053)*(Calc!$G$3:$G$22-A4053))</f>
        <v/>
      </c>
      <c r="H4053">
        <f>SUMPRODUCT(Calc!$K$3:$K$22*(Calc!$G$3:$G$22&gt;B4053)*(Calc!$G$3:$G$22-B4053))</f>
        <v/>
      </c>
      <c r="I4053">
        <f>SUMPRODUCT(Calc!$K$3:$K$22*(Calc!$G$3:$G$22&gt;A4053)*(Calc!$G$3:$G$22-A4053)^2)</f>
        <v/>
      </c>
      <c r="J4053">
        <f>SUMPRODUCT(Calc!$K$3:$K$22*(Calc!$G$3:$G$22&gt;B4053)*(Calc!$G$3:$G$22-B4053)^2)</f>
        <v/>
      </c>
      <c r="K4053">
        <f>SUMPRODUCT(Calc!$K$3:$K$22*(Calc!$G$3:$G$22&gt;A4053)*(Calc!$G$3:$G$22-A4053)*(Calc!$G$3:$G$22&gt;B4053)*(Calc!$G$3:$G$22-B4053))</f>
        <v/>
      </c>
      <c r="L4053">
        <f>SUMPRODUCT(Calc!$K$3:$K$22*(Calc!$G$3:$G$22&gt;A4053)*(Calc!$G$3:$G$22-A4053)*Calc!$G$3:$G$22)</f>
        <v/>
      </c>
      <c r="M4053">
        <f>SUMPRODUCT(Calc!$K$3:$K$22*(Calc!$G$3:$G$22&gt;B4053)*(Calc!$G$3:$G$22-B4053)*Calc!$G$3:$G$22)</f>
        <v/>
      </c>
      <c r="N4053">
        <f>SUMPRODUCT(Calc!$K$3:$K$22*(Calc!$G$3:$G$22&gt;A4053)*(Calc!$G$3:$G$22-A4053)*Calc!$I$3:$I$22)</f>
        <v/>
      </c>
      <c r="O4053">
        <f>SUMPRODUCT(Calc!$K$3:$K$22*(Calc!$G$3:$G$22&gt;B4053)*(Calc!$G$3:$G$22-B4053)*Calc!$I$3:$I$22)</f>
        <v/>
      </c>
      <c r="P4053">
        <f>I4053-G4053^2/k_n</f>
        <v/>
      </c>
      <c r="Q4053">
        <f>J4053-H4053^2/k_n</f>
        <v/>
      </c>
      <c r="R4053">
        <f>K4053-G4053*H4053/k_n</f>
        <v/>
      </c>
      <c r="S4053">
        <f>L4053-LTP3!$D$3*G4053/k_n</f>
        <v/>
      </c>
      <c r="T4053">
        <f>M4053-LTP3!$D$3*H4053/k_n</f>
        <v/>
      </c>
      <c r="U4053">
        <f>N4053-G4053*LTP3!$D$4/k_n</f>
        <v/>
      </c>
      <c r="V4053">
        <f>O4053-H4053*LTP3!$D$4/k_n</f>
        <v/>
      </c>
      <c r="W4053">
        <f>((LTP3!$D$5)*((P4053)*(Q4053)-(R4053)*(R4053))-(S4053)*((S4053)*(Q4053)-(R4053)*(T4053))+(T4053)*((S4053)*(R4053)-(P4053)*(T4053)))</f>
        <v/>
      </c>
      <c r="X4053">
        <f>IF(ABS(W4053)&gt;1E-12,((LTP3!$D$6)*((P4053)*(Q4053)-(R4053)*(R4053))-(S4053)*((U4053)*(Q4053)-(R4053)*(V4053))+(T4053)*((U4053)*(R4053)-(P4053)*(V4053)))/W4053,0)</f>
        <v/>
      </c>
      <c r="Y4053">
        <f>IF(ABS(W4053)&gt;1E-12,((LTP3!$D$5)*((U4053)*(Q4053)-(R4053)*(V4053))-(LTP3!$D$6)*((S4053)*(Q4053)-(R4053)*(T4053))+(T4053)*((S4053)*(V4053)-(U4053)*(T4053)))/W4053,0)</f>
        <v/>
      </c>
      <c r="Z4053">
        <f>IF(ABS(W4053)&gt;1E-12,((LTP3!$D$5)*((P4053)*(V4053)-(U4053)*(R4053))-(S4053)*((S4053)*(V4053)-(U4053)*(T4053))+(LTP3!$D$6)*((S4053)*(R4053)-(P4053)*(T4053)))/W4053,0)</f>
        <v/>
      </c>
      <c r="AA4053">
        <f>LTP3!$D$7-X4053*LTP3!$D$6-Y4053*U4053-Z4053*V4053</f>
        <v/>
      </c>
      <c r="AB4053">
        <f>IF(AND(F4053,ABS(W4053)&gt;1E-12,Y4053&gt;0,Z4053&gt;0),AA4053,1E+300)</f>
        <v/>
      </c>
    </row>
    <row r="4054">
      <c r="A4054">
        <f>$I$3-$B$5+$B$5*15/10</f>
        <v/>
      </c>
      <c r="B4054">
        <f>$J$3-$B$5+$B$5*3/10</f>
        <v/>
      </c>
      <c r="C4054">
        <f>SUMPRODUCT(Calc!$K$3:$K$22*(Calc!$G$3:$G$22&lt;=A4054))</f>
        <v/>
      </c>
      <c r="D4054">
        <f>SUMPRODUCT(Calc!$K$3:$K$22*(Calc!$G$3:$G$22&gt;A4054)*(Calc!$G$3:$G$22&lt;B4054))</f>
        <v/>
      </c>
      <c r="E4054">
        <f>SUMPRODUCT(Calc!$K$3:$K$22*(Calc!$G$3:$G$22&gt;=B4054))</f>
        <v/>
      </c>
      <c r="F4054">
        <f>AND(k_n&gt;=5,B4054&gt;A4054+1E-9,C4054&gt;=2,D4054&gt;=1,E4054&gt;=2)</f>
        <v/>
      </c>
      <c r="G4054">
        <f>SUMPRODUCT(Calc!$K$3:$K$22*(Calc!$G$3:$G$22&gt;A4054)*(Calc!$G$3:$G$22-A4054))</f>
        <v/>
      </c>
      <c r="H4054">
        <f>SUMPRODUCT(Calc!$K$3:$K$22*(Calc!$G$3:$G$22&gt;B4054)*(Calc!$G$3:$G$22-B4054))</f>
        <v/>
      </c>
      <c r="I4054">
        <f>SUMPRODUCT(Calc!$K$3:$K$22*(Calc!$G$3:$G$22&gt;A4054)*(Calc!$G$3:$G$22-A4054)^2)</f>
        <v/>
      </c>
      <c r="J4054">
        <f>SUMPRODUCT(Calc!$K$3:$K$22*(Calc!$G$3:$G$22&gt;B4054)*(Calc!$G$3:$G$22-B4054)^2)</f>
        <v/>
      </c>
      <c r="K4054">
        <f>SUMPRODUCT(Calc!$K$3:$K$22*(Calc!$G$3:$G$22&gt;A4054)*(Calc!$G$3:$G$22-A4054)*(Calc!$G$3:$G$22&gt;B4054)*(Calc!$G$3:$G$22-B4054))</f>
        <v/>
      </c>
      <c r="L4054">
        <f>SUMPRODUCT(Calc!$K$3:$K$22*(Calc!$G$3:$G$22&gt;A4054)*(Calc!$G$3:$G$22-A4054)*Calc!$G$3:$G$22)</f>
        <v/>
      </c>
      <c r="M4054">
        <f>SUMPRODUCT(Calc!$K$3:$K$22*(Calc!$G$3:$G$22&gt;B4054)*(Calc!$G$3:$G$22-B4054)*Calc!$G$3:$G$22)</f>
        <v/>
      </c>
      <c r="N4054">
        <f>SUMPRODUCT(Calc!$K$3:$K$22*(Calc!$G$3:$G$22&gt;A4054)*(Calc!$G$3:$G$22-A4054)*Calc!$I$3:$I$22)</f>
        <v/>
      </c>
      <c r="O4054">
        <f>SUMPRODUCT(Calc!$K$3:$K$22*(Calc!$G$3:$G$22&gt;B4054)*(Calc!$G$3:$G$22-B4054)*Calc!$I$3:$I$22)</f>
        <v/>
      </c>
      <c r="P4054">
        <f>I4054-G4054^2/k_n</f>
        <v/>
      </c>
      <c r="Q4054">
        <f>J4054-H4054^2/k_n</f>
        <v/>
      </c>
      <c r="R4054">
        <f>K4054-G4054*H4054/k_n</f>
        <v/>
      </c>
      <c r="S4054">
        <f>L4054-LTP3!$D$3*G4054/k_n</f>
        <v/>
      </c>
      <c r="T4054">
        <f>M4054-LTP3!$D$3*H4054/k_n</f>
        <v/>
      </c>
      <c r="U4054">
        <f>N4054-G4054*LTP3!$D$4/k_n</f>
        <v/>
      </c>
      <c r="V4054">
        <f>O4054-H4054*LTP3!$D$4/k_n</f>
        <v/>
      </c>
      <c r="W4054">
        <f>((LTP3!$D$5)*((P4054)*(Q4054)-(R4054)*(R4054))-(S4054)*((S4054)*(Q4054)-(R4054)*(T4054))+(T4054)*((S4054)*(R4054)-(P4054)*(T4054)))</f>
        <v/>
      </c>
      <c r="X4054">
        <f>IF(ABS(W4054)&gt;1E-12,((LTP3!$D$6)*((P4054)*(Q4054)-(R4054)*(R4054))-(S4054)*((U4054)*(Q4054)-(R4054)*(V4054))+(T4054)*((U4054)*(R4054)-(P4054)*(V4054)))/W4054,0)</f>
        <v/>
      </c>
      <c r="Y4054">
        <f>IF(ABS(W4054)&gt;1E-12,((LTP3!$D$5)*((U4054)*(Q4054)-(R4054)*(V4054))-(LTP3!$D$6)*((S4054)*(Q4054)-(R4054)*(T4054))+(T4054)*((S4054)*(V4054)-(U4054)*(T4054)))/W4054,0)</f>
        <v/>
      </c>
      <c r="Z4054">
        <f>IF(ABS(W4054)&gt;1E-12,((LTP3!$D$5)*((P4054)*(V4054)-(U4054)*(R4054))-(S4054)*((S4054)*(V4054)-(U4054)*(T4054))+(LTP3!$D$6)*((S4054)*(R4054)-(P4054)*(T4054)))/W4054,0)</f>
        <v/>
      </c>
      <c r="AA4054">
        <f>LTP3!$D$7-X4054*LTP3!$D$6-Y4054*U4054-Z4054*V4054</f>
        <v/>
      </c>
      <c r="AB4054">
        <f>IF(AND(F4054,ABS(W4054)&gt;1E-12,Y4054&gt;0,Z4054&gt;0),AA4054,1E+300)</f>
        <v/>
      </c>
    </row>
    <row r="4055">
      <c r="A4055">
        <f>$I$3-$B$5+$B$5*15/10</f>
        <v/>
      </c>
      <c r="B4055">
        <f>$J$3-$B$5+$B$5*4/10</f>
        <v/>
      </c>
      <c r="C4055">
        <f>SUMPRODUCT(Calc!$K$3:$K$22*(Calc!$G$3:$G$22&lt;=A4055))</f>
        <v/>
      </c>
      <c r="D4055">
        <f>SUMPRODUCT(Calc!$K$3:$K$22*(Calc!$G$3:$G$22&gt;A4055)*(Calc!$G$3:$G$22&lt;B4055))</f>
        <v/>
      </c>
      <c r="E4055">
        <f>SUMPRODUCT(Calc!$K$3:$K$22*(Calc!$G$3:$G$22&gt;=B4055))</f>
        <v/>
      </c>
      <c r="F4055">
        <f>AND(k_n&gt;=5,B4055&gt;A4055+1E-9,C4055&gt;=2,D4055&gt;=1,E4055&gt;=2)</f>
        <v/>
      </c>
      <c r="G4055">
        <f>SUMPRODUCT(Calc!$K$3:$K$22*(Calc!$G$3:$G$22&gt;A4055)*(Calc!$G$3:$G$22-A4055))</f>
        <v/>
      </c>
      <c r="H4055">
        <f>SUMPRODUCT(Calc!$K$3:$K$22*(Calc!$G$3:$G$22&gt;B4055)*(Calc!$G$3:$G$22-B4055))</f>
        <v/>
      </c>
      <c r="I4055">
        <f>SUMPRODUCT(Calc!$K$3:$K$22*(Calc!$G$3:$G$22&gt;A4055)*(Calc!$G$3:$G$22-A4055)^2)</f>
        <v/>
      </c>
      <c r="J4055">
        <f>SUMPRODUCT(Calc!$K$3:$K$22*(Calc!$G$3:$G$22&gt;B4055)*(Calc!$G$3:$G$22-B4055)^2)</f>
        <v/>
      </c>
      <c r="K4055">
        <f>SUMPRODUCT(Calc!$K$3:$K$22*(Calc!$G$3:$G$22&gt;A4055)*(Calc!$G$3:$G$22-A4055)*(Calc!$G$3:$G$22&gt;B4055)*(Calc!$G$3:$G$22-B4055))</f>
        <v/>
      </c>
      <c r="L4055">
        <f>SUMPRODUCT(Calc!$K$3:$K$22*(Calc!$G$3:$G$22&gt;A4055)*(Calc!$G$3:$G$22-A4055)*Calc!$G$3:$G$22)</f>
        <v/>
      </c>
      <c r="M4055">
        <f>SUMPRODUCT(Calc!$K$3:$K$22*(Calc!$G$3:$G$22&gt;B4055)*(Calc!$G$3:$G$22-B4055)*Calc!$G$3:$G$22)</f>
        <v/>
      </c>
      <c r="N4055">
        <f>SUMPRODUCT(Calc!$K$3:$K$22*(Calc!$G$3:$G$22&gt;A4055)*(Calc!$G$3:$G$22-A4055)*Calc!$I$3:$I$22)</f>
        <v/>
      </c>
      <c r="O4055">
        <f>SUMPRODUCT(Calc!$K$3:$K$22*(Calc!$G$3:$G$22&gt;B4055)*(Calc!$G$3:$G$22-B4055)*Calc!$I$3:$I$22)</f>
        <v/>
      </c>
      <c r="P4055">
        <f>I4055-G4055^2/k_n</f>
        <v/>
      </c>
      <c r="Q4055">
        <f>J4055-H4055^2/k_n</f>
        <v/>
      </c>
      <c r="R4055">
        <f>K4055-G4055*H4055/k_n</f>
        <v/>
      </c>
      <c r="S4055">
        <f>L4055-LTP3!$D$3*G4055/k_n</f>
        <v/>
      </c>
      <c r="T4055">
        <f>M4055-LTP3!$D$3*H4055/k_n</f>
        <v/>
      </c>
      <c r="U4055">
        <f>N4055-G4055*LTP3!$D$4/k_n</f>
        <v/>
      </c>
      <c r="V4055">
        <f>O4055-H4055*LTP3!$D$4/k_n</f>
        <v/>
      </c>
      <c r="W4055">
        <f>((LTP3!$D$5)*((P4055)*(Q4055)-(R4055)*(R4055))-(S4055)*((S4055)*(Q4055)-(R4055)*(T4055))+(T4055)*((S4055)*(R4055)-(P4055)*(T4055)))</f>
        <v/>
      </c>
      <c r="X4055">
        <f>IF(ABS(W4055)&gt;1E-12,((LTP3!$D$6)*((P4055)*(Q4055)-(R4055)*(R4055))-(S4055)*((U4055)*(Q4055)-(R4055)*(V4055))+(T4055)*((U4055)*(R4055)-(P4055)*(V4055)))/W4055,0)</f>
        <v/>
      </c>
      <c r="Y4055">
        <f>IF(ABS(W4055)&gt;1E-12,((LTP3!$D$5)*((U4055)*(Q4055)-(R4055)*(V4055))-(LTP3!$D$6)*((S4055)*(Q4055)-(R4055)*(T4055))+(T4055)*((S4055)*(V4055)-(U4055)*(T4055)))/W4055,0)</f>
        <v/>
      </c>
      <c r="Z4055">
        <f>IF(ABS(W4055)&gt;1E-12,((LTP3!$D$5)*((P4055)*(V4055)-(U4055)*(R4055))-(S4055)*((S4055)*(V4055)-(U4055)*(T4055))+(LTP3!$D$6)*((S4055)*(R4055)-(P4055)*(T4055)))/W4055,0)</f>
        <v/>
      </c>
      <c r="AA4055">
        <f>LTP3!$D$7-X4055*LTP3!$D$6-Y4055*U4055-Z4055*V4055</f>
        <v/>
      </c>
      <c r="AB4055">
        <f>IF(AND(F4055,ABS(W4055)&gt;1E-12,Y4055&gt;0,Z4055&gt;0),AA4055,1E+300)</f>
        <v/>
      </c>
    </row>
    <row r="4056">
      <c r="A4056">
        <f>$I$3-$B$5+$B$5*15/10</f>
        <v/>
      </c>
      <c r="B4056">
        <f>$J$3-$B$5+$B$5*5/10</f>
        <v/>
      </c>
      <c r="C4056">
        <f>SUMPRODUCT(Calc!$K$3:$K$22*(Calc!$G$3:$G$22&lt;=A4056))</f>
        <v/>
      </c>
      <c r="D4056">
        <f>SUMPRODUCT(Calc!$K$3:$K$22*(Calc!$G$3:$G$22&gt;A4056)*(Calc!$G$3:$G$22&lt;B4056))</f>
        <v/>
      </c>
      <c r="E4056">
        <f>SUMPRODUCT(Calc!$K$3:$K$22*(Calc!$G$3:$G$22&gt;=B4056))</f>
        <v/>
      </c>
      <c r="F4056">
        <f>AND(k_n&gt;=5,B4056&gt;A4056+1E-9,C4056&gt;=2,D4056&gt;=1,E4056&gt;=2)</f>
        <v/>
      </c>
      <c r="G4056">
        <f>SUMPRODUCT(Calc!$K$3:$K$22*(Calc!$G$3:$G$22&gt;A4056)*(Calc!$G$3:$G$22-A4056))</f>
        <v/>
      </c>
      <c r="H4056">
        <f>SUMPRODUCT(Calc!$K$3:$K$22*(Calc!$G$3:$G$22&gt;B4056)*(Calc!$G$3:$G$22-B4056))</f>
        <v/>
      </c>
      <c r="I4056">
        <f>SUMPRODUCT(Calc!$K$3:$K$22*(Calc!$G$3:$G$22&gt;A4056)*(Calc!$G$3:$G$22-A4056)^2)</f>
        <v/>
      </c>
      <c r="J4056">
        <f>SUMPRODUCT(Calc!$K$3:$K$22*(Calc!$G$3:$G$22&gt;B4056)*(Calc!$G$3:$G$22-B4056)^2)</f>
        <v/>
      </c>
      <c r="K4056">
        <f>SUMPRODUCT(Calc!$K$3:$K$22*(Calc!$G$3:$G$22&gt;A4056)*(Calc!$G$3:$G$22-A4056)*(Calc!$G$3:$G$22&gt;B4056)*(Calc!$G$3:$G$22-B4056))</f>
        <v/>
      </c>
      <c r="L4056">
        <f>SUMPRODUCT(Calc!$K$3:$K$22*(Calc!$G$3:$G$22&gt;A4056)*(Calc!$G$3:$G$22-A4056)*Calc!$G$3:$G$22)</f>
        <v/>
      </c>
      <c r="M4056">
        <f>SUMPRODUCT(Calc!$K$3:$K$22*(Calc!$G$3:$G$22&gt;B4056)*(Calc!$G$3:$G$22-B4056)*Calc!$G$3:$G$22)</f>
        <v/>
      </c>
      <c r="N4056">
        <f>SUMPRODUCT(Calc!$K$3:$K$22*(Calc!$G$3:$G$22&gt;A4056)*(Calc!$G$3:$G$22-A4056)*Calc!$I$3:$I$22)</f>
        <v/>
      </c>
      <c r="O4056">
        <f>SUMPRODUCT(Calc!$K$3:$K$22*(Calc!$G$3:$G$22&gt;B4056)*(Calc!$G$3:$G$22-B4056)*Calc!$I$3:$I$22)</f>
        <v/>
      </c>
      <c r="P4056">
        <f>I4056-G4056^2/k_n</f>
        <v/>
      </c>
      <c r="Q4056">
        <f>J4056-H4056^2/k_n</f>
        <v/>
      </c>
      <c r="R4056">
        <f>K4056-G4056*H4056/k_n</f>
        <v/>
      </c>
      <c r="S4056">
        <f>L4056-LTP3!$D$3*G4056/k_n</f>
        <v/>
      </c>
      <c r="T4056">
        <f>M4056-LTP3!$D$3*H4056/k_n</f>
        <v/>
      </c>
      <c r="U4056">
        <f>N4056-G4056*LTP3!$D$4/k_n</f>
        <v/>
      </c>
      <c r="V4056">
        <f>O4056-H4056*LTP3!$D$4/k_n</f>
        <v/>
      </c>
      <c r="W4056">
        <f>((LTP3!$D$5)*((P4056)*(Q4056)-(R4056)*(R4056))-(S4056)*((S4056)*(Q4056)-(R4056)*(T4056))+(T4056)*((S4056)*(R4056)-(P4056)*(T4056)))</f>
        <v/>
      </c>
      <c r="X4056">
        <f>IF(ABS(W4056)&gt;1E-12,((LTP3!$D$6)*((P4056)*(Q4056)-(R4056)*(R4056))-(S4056)*((U4056)*(Q4056)-(R4056)*(V4056))+(T4056)*((U4056)*(R4056)-(P4056)*(V4056)))/W4056,0)</f>
        <v/>
      </c>
      <c r="Y4056">
        <f>IF(ABS(W4056)&gt;1E-12,((LTP3!$D$5)*((U4056)*(Q4056)-(R4056)*(V4056))-(LTP3!$D$6)*((S4056)*(Q4056)-(R4056)*(T4056))+(T4056)*((S4056)*(V4056)-(U4056)*(T4056)))/W4056,0)</f>
        <v/>
      </c>
      <c r="Z4056">
        <f>IF(ABS(W4056)&gt;1E-12,((LTP3!$D$5)*((P4056)*(V4056)-(U4056)*(R4056))-(S4056)*((S4056)*(V4056)-(U4056)*(T4056))+(LTP3!$D$6)*((S4056)*(R4056)-(P4056)*(T4056)))/W4056,0)</f>
        <v/>
      </c>
      <c r="AA4056">
        <f>LTP3!$D$7-X4056*LTP3!$D$6-Y4056*U4056-Z4056*V4056</f>
        <v/>
      </c>
      <c r="AB4056">
        <f>IF(AND(F4056,ABS(W4056)&gt;1E-12,Y4056&gt;0,Z4056&gt;0),AA4056,1E+300)</f>
        <v/>
      </c>
    </row>
    <row r="4057">
      <c r="A4057">
        <f>$I$3-$B$5+$B$5*15/10</f>
        <v/>
      </c>
      <c r="B4057">
        <f>$J$3-$B$5+$B$5*6/10</f>
        <v/>
      </c>
      <c r="C4057">
        <f>SUMPRODUCT(Calc!$K$3:$K$22*(Calc!$G$3:$G$22&lt;=A4057))</f>
        <v/>
      </c>
      <c r="D4057">
        <f>SUMPRODUCT(Calc!$K$3:$K$22*(Calc!$G$3:$G$22&gt;A4057)*(Calc!$G$3:$G$22&lt;B4057))</f>
        <v/>
      </c>
      <c r="E4057">
        <f>SUMPRODUCT(Calc!$K$3:$K$22*(Calc!$G$3:$G$22&gt;=B4057))</f>
        <v/>
      </c>
      <c r="F4057">
        <f>AND(k_n&gt;=5,B4057&gt;A4057+1E-9,C4057&gt;=2,D4057&gt;=1,E4057&gt;=2)</f>
        <v/>
      </c>
      <c r="G4057">
        <f>SUMPRODUCT(Calc!$K$3:$K$22*(Calc!$G$3:$G$22&gt;A4057)*(Calc!$G$3:$G$22-A4057))</f>
        <v/>
      </c>
      <c r="H4057">
        <f>SUMPRODUCT(Calc!$K$3:$K$22*(Calc!$G$3:$G$22&gt;B4057)*(Calc!$G$3:$G$22-B4057))</f>
        <v/>
      </c>
      <c r="I4057">
        <f>SUMPRODUCT(Calc!$K$3:$K$22*(Calc!$G$3:$G$22&gt;A4057)*(Calc!$G$3:$G$22-A4057)^2)</f>
        <v/>
      </c>
      <c r="J4057">
        <f>SUMPRODUCT(Calc!$K$3:$K$22*(Calc!$G$3:$G$22&gt;B4057)*(Calc!$G$3:$G$22-B4057)^2)</f>
        <v/>
      </c>
      <c r="K4057">
        <f>SUMPRODUCT(Calc!$K$3:$K$22*(Calc!$G$3:$G$22&gt;A4057)*(Calc!$G$3:$G$22-A4057)*(Calc!$G$3:$G$22&gt;B4057)*(Calc!$G$3:$G$22-B4057))</f>
        <v/>
      </c>
      <c r="L4057">
        <f>SUMPRODUCT(Calc!$K$3:$K$22*(Calc!$G$3:$G$22&gt;A4057)*(Calc!$G$3:$G$22-A4057)*Calc!$G$3:$G$22)</f>
        <v/>
      </c>
      <c r="M4057">
        <f>SUMPRODUCT(Calc!$K$3:$K$22*(Calc!$G$3:$G$22&gt;B4057)*(Calc!$G$3:$G$22-B4057)*Calc!$G$3:$G$22)</f>
        <v/>
      </c>
      <c r="N4057">
        <f>SUMPRODUCT(Calc!$K$3:$K$22*(Calc!$G$3:$G$22&gt;A4057)*(Calc!$G$3:$G$22-A4057)*Calc!$I$3:$I$22)</f>
        <v/>
      </c>
      <c r="O4057">
        <f>SUMPRODUCT(Calc!$K$3:$K$22*(Calc!$G$3:$G$22&gt;B4057)*(Calc!$G$3:$G$22-B4057)*Calc!$I$3:$I$22)</f>
        <v/>
      </c>
      <c r="P4057">
        <f>I4057-G4057^2/k_n</f>
        <v/>
      </c>
      <c r="Q4057">
        <f>J4057-H4057^2/k_n</f>
        <v/>
      </c>
      <c r="R4057">
        <f>K4057-G4057*H4057/k_n</f>
        <v/>
      </c>
      <c r="S4057">
        <f>L4057-LTP3!$D$3*G4057/k_n</f>
        <v/>
      </c>
      <c r="T4057">
        <f>M4057-LTP3!$D$3*H4057/k_n</f>
        <v/>
      </c>
      <c r="U4057">
        <f>N4057-G4057*LTP3!$D$4/k_n</f>
        <v/>
      </c>
      <c r="V4057">
        <f>O4057-H4057*LTP3!$D$4/k_n</f>
        <v/>
      </c>
      <c r="W4057">
        <f>((LTP3!$D$5)*((P4057)*(Q4057)-(R4057)*(R4057))-(S4057)*((S4057)*(Q4057)-(R4057)*(T4057))+(T4057)*((S4057)*(R4057)-(P4057)*(T4057)))</f>
        <v/>
      </c>
      <c r="X4057">
        <f>IF(ABS(W4057)&gt;1E-12,((LTP3!$D$6)*((P4057)*(Q4057)-(R4057)*(R4057))-(S4057)*((U4057)*(Q4057)-(R4057)*(V4057))+(T4057)*((U4057)*(R4057)-(P4057)*(V4057)))/W4057,0)</f>
        <v/>
      </c>
      <c r="Y4057">
        <f>IF(ABS(W4057)&gt;1E-12,((LTP3!$D$5)*((U4057)*(Q4057)-(R4057)*(V4057))-(LTP3!$D$6)*((S4057)*(Q4057)-(R4057)*(T4057))+(T4057)*((S4057)*(V4057)-(U4057)*(T4057)))/W4057,0)</f>
        <v/>
      </c>
      <c r="Z4057">
        <f>IF(ABS(W4057)&gt;1E-12,((LTP3!$D$5)*((P4057)*(V4057)-(U4057)*(R4057))-(S4057)*((S4057)*(V4057)-(U4057)*(T4057))+(LTP3!$D$6)*((S4057)*(R4057)-(P4057)*(T4057)))/W4057,0)</f>
        <v/>
      </c>
      <c r="AA4057">
        <f>LTP3!$D$7-X4057*LTP3!$D$6-Y4057*U4057-Z4057*V4057</f>
        <v/>
      </c>
      <c r="AB4057">
        <f>IF(AND(F4057,ABS(W4057)&gt;1E-12,Y4057&gt;0,Z4057&gt;0),AA4057,1E+300)</f>
        <v/>
      </c>
    </row>
    <row r="4058">
      <c r="A4058">
        <f>$I$3-$B$5+$B$5*15/10</f>
        <v/>
      </c>
      <c r="B4058">
        <f>$J$3-$B$5+$B$5*7/10</f>
        <v/>
      </c>
      <c r="C4058">
        <f>SUMPRODUCT(Calc!$K$3:$K$22*(Calc!$G$3:$G$22&lt;=A4058))</f>
        <v/>
      </c>
      <c r="D4058">
        <f>SUMPRODUCT(Calc!$K$3:$K$22*(Calc!$G$3:$G$22&gt;A4058)*(Calc!$G$3:$G$22&lt;B4058))</f>
        <v/>
      </c>
      <c r="E4058">
        <f>SUMPRODUCT(Calc!$K$3:$K$22*(Calc!$G$3:$G$22&gt;=B4058))</f>
        <v/>
      </c>
      <c r="F4058">
        <f>AND(k_n&gt;=5,B4058&gt;A4058+1E-9,C4058&gt;=2,D4058&gt;=1,E4058&gt;=2)</f>
        <v/>
      </c>
      <c r="G4058">
        <f>SUMPRODUCT(Calc!$K$3:$K$22*(Calc!$G$3:$G$22&gt;A4058)*(Calc!$G$3:$G$22-A4058))</f>
        <v/>
      </c>
      <c r="H4058">
        <f>SUMPRODUCT(Calc!$K$3:$K$22*(Calc!$G$3:$G$22&gt;B4058)*(Calc!$G$3:$G$22-B4058))</f>
        <v/>
      </c>
      <c r="I4058">
        <f>SUMPRODUCT(Calc!$K$3:$K$22*(Calc!$G$3:$G$22&gt;A4058)*(Calc!$G$3:$G$22-A4058)^2)</f>
        <v/>
      </c>
      <c r="J4058">
        <f>SUMPRODUCT(Calc!$K$3:$K$22*(Calc!$G$3:$G$22&gt;B4058)*(Calc!$G$3:$G$22-B4058)^2)</f>
        <v/>
      </c>
      <c r="K4058">
        <f>SUMPRODUCT(Calc!$K$3:$K$22*(Calc!$G$3:$G$22&gt;A4058)*(Calc!$G$3:$G$22-A4058)*(Calc!$G$3:$G$22&gt;B4058)*(Calc!$G$3:$G$22-B4058))</f>
        <v/>
      </c>
      <c r="L4058">
        <f>SUMPRODUCT(Calc!$K$3:$K$22*(Calc!$G$3:$G$22&gt;A4058)*(Calc!$G$3:$G$22-A4058)*Calc!$G$3:$G$22)</f>
        <v/>
      </c>
      <c r="M4058">
        <f>SUMPRODUCT(Calc!$K$3:$K$22*(Calc!$G$3:$G$22&gt;B4058)*(Calc!$G$3:$G$22-B4058)*Calc!$G$3:$G$22)</f>
        <v/>
      </c>
      <c r="N4058">
        <f>SUMPRODUCT(Calc!$K$3:$K$22*(Calc!$G$3:$G$22&gt;A4058)*(Calc!$G$3:$G$22-A4058)*Calc!$I$3:$I$22)</f>
        <v/>
      </c>
      <c r="O4058">
        <f>SUMPRODUCT(Calc!$K$3:$K$22*(Calc!$G$3:$G$22&gt;B4058)*(Calc!$G$3:$G$22-B4058)*Calc!$I$3:$I$22)</f>
        <v/>
      </c>
      <c r="P4058">
        <f>I4058-G4058^2/k_n</f>
        <v/>
      </c>
      <c r="Q4058">
        <f>J4058-H4058^2/k_n</f>
        <v/>
      </c>
      <c r="R4058">
        <f>K4058-G4058*H4058/k_n</f>
        <v/>
      </c>
      <c r="S4058">
        <f>L4058-LTP3!$D$3*G4058/k_n</f>
        <v/>
      </c>
      <c r="T4058">
        <f>M4058-LTP3!$D$3*H4058/k_n</f>
        <v/>
      </c>
      <c r="U4058">
        <f>N4058-G4058*LTP3!$D$4/k_n</f>
        <v/>
      </c>
      <c r="V4058">
        <f>O4058-H4058*LTP3!$D$4/k_n</f>
        <v/>
      </c>
      <c r="W4058">
        <f>((LTP3!$D$5)*((P4058)*(Q4058)-(R4058)*(R4058))-(S4058)*((S4058)*(Q4058)-(R4058)*(T4058))+(T4058)*((S4058)*(R4058)-(P4058)*(T4058)))</f>
        <v/>
      </c>
      <c r="X4058">
        <f>IF(ABS(W4058)&gt;1E-12,((LTP3!$D$6)*((P4058)*(Q4058)-(R4058)*(R4058))-(S4058)*((U4058)*(Q4058)-(R4058)*(V4058))+(T4058)*((U4058)*(R4058)-(P4058)*(V4058)))/W4058,0)</f>
        <v/>
      </c>
      <c r="Y4058">
        <f>IF(ABS(W4058)&gt;1E-12,((LTP3!$D$5)*((U4058)*(Q4058)-(R4058)*(V4058))-(LTP3!$D$6)*((S4058)*(Q4058)-(R4058)*(T4058))+(T4058)*((S4058)*(V4058)-(U4058)*(T4058)))/W4058,0)</f>
        <v/>
      </c>
      <c r="Z4058">
        <f>IF(ABS(W4058)&gt;1E-12,((LTP3!$D$5)*((P4058)*(V4058)-(U4058)*(R4058))-(S4058)*((S4058)*(V4058)-(U4058)*(T4058))+(LTP3!$D$6)*((S4058)*(R4058)-(P4058)*(T4058)))/W4058,0)</f>
        <v/>
      </c>
      <c r="AA4058">
        <f>LTP3!$D$7-X4058*LTP3!$D$6-Y4058*U4058-Z4058*V4058</f>
        <v/>
      </c>
      <c r="AB4058">
        <f>IF(AND(F4058,ABS(W4058)&gt;1E-12,Y4058&gt;0,Z4058&gt;0),AA4058,1E+300)</f>
        <v/>
      </c>
    </row>
    <row r="4059">
      <c r="A4059">
        <f>$I$3-$B$5+$B$5*15/10</f>
        <v/>
      </c>
      <c r="B4059">
        <f>$J$3-$B$5+$B$5*8/10</f>
        <v/>
      </c>
      <c r="C4059">
        <f>SUMPRODUCT(Calc!$K$3:$K$22*(Calc!$G$3:$G$22&lt;=A4059))</f>
        <v/>
      </c>
      <c r="D4059">
        <f>SUMPRODUCT(Calc!$K$3:$K$22*(Calc!$G$3:$G$22&gt;A4059)*(Calc!$G$3:$G$22&lt;B4059))</f>
        <v/>
      </c>
      <c r="E4059">
        <f>SUMPRODUCT(Calc!$K$3:$K$22*(Calc!$G$3:$G$22&gt;=B4059))</f>
        <v/>
      </c>
      <c r="F4059">
        <f>AND(k_n&gt;=5,B4059&gt;A4059+1E-9,C4059&gt;=2,D4059&gt;=1,E4059&gt;=2)</f>
        <v/>
      </c>
      <c r="G4059">
        <f>SUMPRODUCT(Calc!$K$3:$K$22*(Calc!$G$3:$G$22&gt;A4059)*(Calc!$G$3:$G$22-A4059))</f>
        <v/>
      </c>
      <c r="H4059">
        <f>SUMPRODUCT(Calc!$K$3:$K$22*(Calc!$G$3:$G$22&gt;B4059)*(Calc!$G$3:$G$22-B4059))</f>
        <v/>
      </c>
      <c r="I4059">
        <f>SUMPRODUCT(Calc!$K$3:$K$22*(Calc!$G$3:$G$22&gt;A4059)*(Calc!$G$3:$G$22-A4059)^2)</f>
        <v/>
      </c>
      <c r="J4059">
        <f>SUMPRODUCT(Calc!$K$3:$K$22*(Calc!$G$3:$G$22&gt;B4059)*(Calc!$G$3:$G$22-B4059)^2)</f>
        <v/>
      </c>
      <c r="K4059">
        <f>SUMPRODUCT(Calc!$K$3:$K$22*(Calc!$G$3:$G$22&gt;A4059)*(Calc!$G$3:$G$22-A4059)*(Calc!$G$3:$G$22&gt;B4059)*(Calc!$G$3:$G$22-B4059))</f>
        <v/>
      </c>
      <c r="L4059">
        <f>SUMPRODUCT(Calc!$K$3:$K$22*(Calc!$G$3:$G$22&gt;A4059)*(Calc!$G$3:$G$22-A4059)*Calc!$G$3:$G$22)</f>
        <v/>
      </c>
      <c r="M4059">
        <f>SUMPRODUCT(Calc!$K$3:$K$22*(Calc!$G$3:$G$22&gt;B4059)*(Calc!$G$3:$G$22-B4059)*Calc!$G$3:$G$22)</f>
        <v/>
      </c>
      <c r="N4059">
        <f>SUMPRODUCT(Calc!$K$3:$K$22*(Calc!$G$3:$G$22&gt;A4059)*(Calc!$G$3:$G$22-A4059)*Calc!$I$3:$I$22)</f>
        <v/>
      </c>
      <c r="O4059">
        <f>SUMPRODUCT(Calc!$K$3:$K$22*(Calc!$G$3:$G$22&gt;B4059)*(Calc!$G$3:$G$22-B4059)*Calc!$I$3:$I$22)</f>
        <v/>
      </c>
      <c r="P4059">
        <f>I4059-G4059^2/k_n</f>
        <v/>
      </c>
      <c r="Q4059">
        <f>J4059-H4059^2/k_n</f>
        <v/>
      </c>
      <c r="R4059">
        <f>K4059-G4059*H4059/k_n</f>
        <v/>
      </c>
      <c r="S4059">
        <f>L4059-LTP3!$D$3*G4059/k_n</f>
        <v/>
      </c>
      <c r="T4059">
        <f>M4059-LTP3!$D$3*H4059/k_n</f>
        <v/>
      </c>
      <c r="U4059">
        <f>N4059-G4059*LTP3!$D$4/k_n</f>
        <v/>
      </c>
      <c r="V4059">
        <f>O4059-H4059*LTP3!$D$4/k_n</f>
        <v/>
      </c>
      <c r="W4059">
        <f>((LTP3!$D$5)*((P4059)*(Q4059)-(R4059)*(R4059))-(S4059)*((S4059)*(Q4059)-(R4059)*(T4059))+(T4059)*((S4059)*(R4059)-(P4059)*(T4059)))</f>
        <v/>
      </c>
      <c r="X4059">
        <f>IF(ABS(W4059)&gt;1E-12,((LTP3!$D$6)*((P4059)*(Q4059)-(R4059)*(R4059))-(S4059)*((U4059)*(Q4059)-(R4059)*(V4059))+(T4059)*((U4059)*(R4059)-(P4059)*(V4059)))/W4059,0)</f>
        <v/>
      </c>
      <c r="Y4059">
        <f>IF(ABS(W4059)&gt;1E-12,((LTP3!$D$5)*((U4059)*(Q4059)-(R4059)*(V4059))-(LTP3!$D$6)*((S4059)*(Q4059)-(R4059)*(T4059))+(T4059)*((S4059)*(V4059)-(U4059)*(T4059)))/W4059,0)</f>
        <v/>
      </c>
      <c r="Z4059">
        <f>IF(ABS(W4059)&gt;1E-12,((LTP3!$D$5)*((P4059)*(V4059)-(U4059)*(R4059))-(S4059)*((S4059)*(V4059)-(U4059)*(T4059))+(LTP3!$D$6)*((S4059)*(R4059)-(P4059)*(T4059)))/W4059,0)</f>
        <v/>
      </c>
      <c r="AA4059">
        <f>LTP3!$D$7-X4059*LTP3!$D$6-Y4059*U4059-Z4059*V4059</f>
        <v/>
      </c>
      <c r="AB4059">
        <f>IF(AND(F4059,ABS(W4059)&gt;1E-12,Y4059&gt;0,Z4059&gt;0),AA4059,1E+300)</f>
        <v/>
      </c>
    </row>
    <row r="4060">
      <c r="A4060">
        <f>$I$3-$B$5+$B$5*15/10</f>
        <v/>
      </c>
      <c r="B4060">
        <f>$J$3-$B$5+$B$5*9/10</f>
        <v/>
      </c>
      <c r="C4060">
        <f>SUMPRODUCT(Calc!$K$3:$K$22*(Calc!$G$3:$G$22&lt;=A4060))</f>
        <v/>
      </c>
      <c r="D4060">
        <f>SUMPRODUCT(Calc!$K$3:$K$22*(Calc!$G$3:$G$22&gt;A4060)*(Calc!$G$3:$G$22&lt;B4060))</f>
        <v/>
      </c>
      <c r="E4060">
        <f>SUMPRODUCT(Calc!$K$3:$K$22*(Calc!$G$3:$G$22&gt;=B4060))</f>
        <v/>
      </c>
      <c r="F4060">
        <f>AND(k_n&gt;=5,B4060&gt;A4060+1E-9,C4060&gt;=2,D4060&gt;=1,E4060&gt;=2)</f>
        <v/>
      </c>
      <c r="G4060">
        <f>SUMPRODUCT(Calc!$K$3:$K$22*(Calc!$G$3:$G$22&gt;A4060)*(Calc!$G$3:$G$22-A4060))</f>
        <v/>
      </c>
      <c r="H4060">
        <f>SUMPRODUCT(Calc!$K$3:$K$22*(Calc!$G$3:$G$22&gt;B4060)*(Calc!$G$3:$G$22-B4060))</f>
        <v/>
      </c>
      <c r="I4060">
        <f>SUMPRODUCT(Calc!$K$3:$K$22*(Calc!$G$3:$G$22&gt;A4060)*(Calc!$G$3:$G$22-A4060)^2)</f>
        <v/>
      </c>
      <c r="J4060">
        <f>SUMPRODUCT(Calc!$K$3:$K$22*(Calc!$G$3:$G$22&gt;B4060)*(Calc!$G$3:$G$22-B4060)^2)</f>
        <v/>
      </c>
      <c r="K4060">
        <f>SUMPRODUCT(Calc!$K$3:$K$22*(Calc!$G$3:$G$22&gt;A4060)*(Calc!$G$3:$G$22-A4060)*(Calc!$G$3:$G$22&gt;B4060)*(Calc!$G$3:$G$22-B4060))</f>
        <v/>
      </c>
      <c r="L4060">
        <f>SUMPRODUCT(Calc!$K$3:$K$22*(Calc!$G$3:$G$22&gt;A4060)*(Calc!$G$3:$G$22-A4060)*Calc!$G$3:$G$22)</f>
        <v/>
      </c>
      <c r="M4060">
        <f>SUMPRODUCT(Calc!$K$3:$K$22*(Calc!$G$3:$G$22&gt;B4060)*(Calc!$G$3:$G$22-B4060)*Calc!$G$3:$G$22)</f>
        <v/>
      </c>
      <c r="N4060">
        <f>SUMPRODUCT(Calc!$K$3:$K$22*(Calc!$G$3:$G$22&gt;A4060)*(Calc!$G$3:$G$22-A4060)*Calc!$I$3:$I$22)</f>
        <v/>
      </c>
      <c r="O4060">
        <f>SUMPRODUCT(Calc!$K$3:$K$22*(Calc!$G$3:$G$22&gt;B4060)*(Calc!$G$3:$G$22-B4060)*Calc!$I$3:$I$22)</f>
        <v/>
      </c>
      <c r="P4060">
        <f>I4060-G4060^2/k_n</f>
        <v/>
      </c>
      <c r="Q4060">
        <f>J4060-H4060^2/k_n</f>
        <v/>
      </c>
      <c r="R4060">
        <f>K4060-G4060*H4060/k_n</f>
        <v/>
      </c>
      <c r="S4060">
        <f>L4060-LTP3!$D$3*G4060/k_n</f>
        <v/>
      </c>
      <c r="T4060">
        <f>M4060-LTP3!$D$3*H4060/k_n</f>
        <v/>
      </c>
      <c r="U4060">
        <f>N4060-G4060*LTP3!$D$4/k_n</f>
        <v/>
      </c>
      <c r="V4060">
        <f>O4060-H4060*LTP3!$D$4/k_n</f>
        <v/>
      </c>
      <c r="W4060">
        <f>((LTP3!$D$5)*((P4060)*(Q4060)-(R4060)*(R4060))-(S4060)*((S4060)*(Q4060)-(R4060)*(T4060))+(T4060)*((S4060)*(R4060)-(P4060)*(T4060)))</f>
        <v/>
      </c>
      <c r="X4060">
        <f>IF(ABS(W4060)&gt;1E-12,((LTP3!$D$6)*((P4060)*(Q4060)-(R4060)*(R4060))-(S4060)*((U4060)*(Q4060)-(R4060)*(V4060))+(T4060)*((U4060)*(R4060)-(P4060)*(V4060)))/W4060,0)</f>
        <v/>
      </c>
      <c r="Y4060">
        <f>IF(ABS(W4060)&gt;1E-12,((LTP3!$D$5)*((U4060)*(Q4060)-(R4060)*(V4060))-(LTP3!$D$6)*((S4060)*(Q4060)-(R4060)*(T4060))+(T4060)*((S4060)*(V4060)-(U4060)*(T4060)))/W4060,0)</f>
        <v/>
      </c>
      <c r="Z4060">
        <f>IF(ABS(W4060)&gt;1E-12,((LTP3!$D$5)*((P4060)*(V4060)-(U4060)*(R4060))-(S4060)*((S4060)*(V4060)-(U4060)*(T4060))+(LTP3!$D$6)*((S4060)*(R4060)-(P4060)*(T4060)))/W4060,0)</f>
        <v/>
      </c>
      <c r="AA4060">
        <f>LTP3!$D$7-X4060*LTP3!$D$6-Y4060*U4060-Z4060*V4060</f>
        <v/>
      </c>
      <c r="AB4060">
        <f>IF(AND(F4060,ABS(W4060)&gt;1E-12,Y4060&gt;0,Z4060&gt;0),AA4060,1E+300)</f>
        <v/>
      </c>
    </row>
    <row r="4061">
      <c r="A4061">
        <f>$I$3-$B$5+$B$5*15/10</f>
        <v/>
      </c>
      <c r="B4061">
        <f>$J$3-$B$5+$B$5*10/10</f>
        <v/>
      </c>
      <c r="C4061">
        <f>SUMPRODUCT(Calc!$K$3:$K$22*(Calc!$G$3:$G$22&lt;=A4061))</f>
        <v/>
      </c>
      <c r="D4061">
        <f>SUMPRODUCT(Calc!$K$3:$K$22*(Calc!$G$3:$G$22&gt;A4061)*(Calc!$G$3:$G$22&lt;B4061))</f>
        <v/>
      </c>
      <c r="E4061">
        <f>SUMPRODUCT(Calc!$K$3:$K$22*(Calc!$G$3:$G$22&gt;=B4061))</f>
        <v/>
      </c>
      <c r="F4061">
        <f>AND(k_n&gt;=5,B4061&gt;A4061+1E-9,C4061&gt;=2,D4061&gt;=1,E4061&gt;=2)</f>
        <v/>
      </c>
      <c r="G4061">
        <f>SUMPRODUCT(Calc!$K$3:$K$22*(Calc!$G$3:$G$22&gt;A4061)*(Calc!$G$3:$G$22-A4061))</f>
        <v/>
      </c>
      <c r="H4061">
        <f>SUMPRODUCT(Calc!$K$3:$K$22*(Calc!$G$3:$G$22&gt;B4061)*(Calc!$G$3:$G$22-B4061))</f>
        <v/>
      </c>
      <c r="I4061">
        <f>SUMPRODUCT(Calc!$K$3:$K$22*(Calc!$G$3:$G$22&gt;A4061)*(Calc!$G$3:$G$22-A4061)^2)</f>
        <v/>
      </c>
      <c r="J4061">
        <f>SUMPRODUCT(Calc!$K$3:$K$22*(Calc!$G$3:$G$22&gt;B4061)*(Calc!$G$3:$G$22-B4061)^2)</f>
        <v/>
      </c>
      <c r="K4061">
        <f>SUMPRODUCT(Calc!$K$3:$K$22*(Calc!$G$3:$G$22&gt;A4061)*(Calc!$G$3:$G$22-A4061)*(Calc!$G$3:$G$22&gt;B4061)*(Calc!$G$3:$G$22-B4061))</f>
        <v/>
      </c>
      <c r="L4061">
        <f>SUMPRODUCT(Calc!$K$3:$K$22*(Calc!$G$3:$G$22&gt;A4061)*(Calc!$G$3:$G$22-A4061)*Calc!$G$3:$G$22)</f>
        <v/>
      </c>
      <c r="M4061">
        <f>SUMPRODUCT(Calc!$K$3:$K$22*(Calc!$G$3:$G$22&gt;B4061)*(Calc!$G$3:$G$22-B4061)*Calc!$G$3:$G$22)</f>
        <v/>
      </c>
      <c r="N4061">
        <f>SUMPRODUCT(Calc!$K$3:$K$22*(Calc!$G$3:$G$22&gt;A4061)*(Calc!$G$3:$G$22-A4061)*Calc!$I$3:$I$22)</f>
        <v/>
      </c>
      <c r="O4061">
        <f>SUMPRODUCT(Calc!$K$3:$K$22*(Calc!$G$3:$G$22&gt;B4061)*(Calc!$G$3:$G$22-B4061)*Calc!$I$3:$I$22)</f>
        <v/>
      </c>
      <c r="P4061">
        <f>I4061-G4061^2/k_n</f>
        <v/>
      </c>
      <c r="Q4061">
        <f>J4061-H4061^2/k_n</f>
        <v/>
      </c>
      <c r="R4061">
        <f>K4061-G4061*H4061/k_n</f>
        <v/>
      </c>
      <c r="S4061">
        <f>L4061-LTP3!$D$3*G4061/k_n</f>
        <v/>
      </c>
      <c r="T4061">
        <f>M4061-LTP3!$D$3*H4061/k_n</f>
        <v/>
      </c>
      <c r="U4061">
        <f>N4061-G4061*LTP3!$D$4/k_n</f>
        <v/>
      </c>
      <c r="V4061">
        <f>O4061-H4061*LTP3!$D$4/k_n</f>
        <v/>
      </c>
      <c r="W4061">
        <f>((LTP3!$D$5)*((P4061)*(Q4061)-(R4061)*(R4061))-(S4061)*((S4061)*(Q4061)-(R4061)*(T4061))+(T4061)*((S4061)*(R4061)-(P4061)*(T4061)))</f>
        <v/>
      </c>
      <c r="X4061">
        <f>IF(ABS(W4061)&gt;1E-12,((LTP3!$D$6)*((P4061)*(Q4061)-(R4061)*(R4061))-(S4061)*((U4061)*(Q4061)-(R4061)*(V4061))+(T4061)*((U4061)*(R4061)-(P4061)*(V4061)))/W4061,0)</f>
        <v/>
      </c>
      <c r="Y4061">
        <f>IF(ABS(W4061)&gt;1E-12,((LTP3!$D$5)*((U4061)*(Q4061)-(R4061)*(V4061))-(LTP3!$D$6)*((S4061)*(Q4061)-(R4061)*(T4061))+(T4061)*((S4061)*(V4061)-(U4061)*(T4061)))/W4061,0)</f>
        <v/>
      </c>
      <c r="Z4061">
        <f>IF(ABS(W4061)&gt;1E-12,((LTP3!$D$5)*((P4061)*(V4061)-(U4061)*(R4061))-(S4061)*((S4061)*(V4061)-(U4061)*(T4061))+(LTP3!$D$6)*((S4061)*(R4061)-(P4061)*(T4061)))/W4061,0)</f>
        <v/>
      </c>
      <c r="AA4061">
        <f>LTP3!$D$7-X4061*LTP3!$D$6-Y4061*U4061-Z4061*V4061</f>
        <v/>
      </c>
      <c r="AB4061">
        <f>IF(AND(F4061,ABS(W4061)&gt;1E-12,Y4061&gt;0,Z4061&gt;0),AA4061,1E+300)</f>
        <v/>
      </c>
    </row>
    <row r="4062">
      <c r="A4062">
        <f>$I$3-$B$5+$B$5*15/10</f>
        <v/>
      </c>
      <c r="B4062">
        <f>$J$3-$B$5+$B$5*11/10</f>
        <v/>
      </c>
      <c r="C4062">
        <f>SUMPRODUCT(Calc!$K$3:$K$22*(Calc!$G$3:$G$22&lt;=A4062))</f>
        <v/>
      </c>
      <c r="D4062">
        <f>SUMPRODUCT(Calc!$K$3:$K$22*(Calc!$G$3:$G$22&gt;A4062)*(Calc!$G$3:$G$22&lt;B4062))</f>
        <v/>
      </c>
      <c r="E4062">
        <f>SUMPRODUCT(Calc!$K$3:$K$22*(Calc!$G$3:$G$22&gt;=B4062))</f>
        <v/>
      </c>
      <c r="F4062">
        <f>AND(k_n&gt;=5,B4062&gt;A4062+1E-9,C4062&gt;=2,D4062&gt;=1,E4062&gt;=2)</f>
        <v/>
      </c>
      <c r="G4062">
        <f>SUMPRODUCT(Calc!$K$3:$K$22*(Calc!$G$3:$G$22&gt;A4062)*(Calc!$G$3:$G$22-A4062))</f>
        <v/>
      </c>
      <c r="H4062">
        <f>SUMPRODUCT(Calc!$K$3:$K$22*(Calc!$G$3:$G$22&gt;B4062)*(Calc!$G$3:$G$22-B4062))</f>
        <v/>
      </c>
      <c r="I4062">
        <f>SUMPRODUCT(Calc!$K$3:$K$22*(Calc!$G$3:$G$22&gt;A4062)*(Calc!$G$3:$G$22-A4062)^2)</f>
        <v/>
      </c>
      <c r="J4062">
        <f>SUMPRODUCT(Calc!$K$3:$K$22*(Calc!$G$3:$G$22&gt;B4062)*(Calc!$G$3:$G$22-B4062)^2)</f>
        <v/>
      </c>
      <c r="K4062">
        <f>SUMPRODUCT(Calc!$K$3:$K$22*(Calc!$G$3:$G$22&gt;A4062)*(Calc!$G$3:$G$22-A4062)*(Calc!$G$3:$G$22&gt;B4062)*(Calc!$G$3:$G$22-B4062))</f>
        <v/>
      </c>
      <c r="L4062">
        <f>SUMPRODUCT(Calc!$K$3:$K$22*(Calc!$G$3:$G$22&gt;A4062)*(Calc!$G$3:$G$22-A4062)*Calc!$G$3:$G$22)</f>
        <v/>
      </c>
      <c r="M4062">
        <f>SUMPRODUCT(Calc!$K$3:$K$22*(Calc!$G$3:$G$22&gt;B4062)*(Calc!$G$3:$G$22-B4062)*Calc!$G$3:$G$22)</f>
        <v/>
      </c>
      <c r="N4062">
        <f>SUMPRODUCT(Calc!$K$3:$K$22*(Calc!$G$3:$G$22&gt;A4062)*(Calc!$G$3:$G$22-A4062)*Calc!$I$3:$I$22)</f>
        <v/>
      </c>
      <c r="O4062">
        <f>SUMPRODUCT(Calc!$K$3:$K$22*(Calc!$G$3:$G$22&gt;B4062)*(Calc!$G$3:$G$22-B4062)*Calc!$I$3:$I$22)</f>
        <v/>
      </c>
      <c r="P4062">
        <f>I4062-G4062^2/k_n</f>
        <v/>
      </c>
      <c r="Q4062">
        <f>J4062-H4062^2/k_n</f>
        <v/>
      </c>
      <c r="R4062">
        <f>K4062-G4062*H4062/k_n</f>
        <v/>
      </c>
      <c r="S4062">
        <f>L4062-LTP3!$D$3*G4062/k_n</f>
        <v/>
      </c>
      <c r="T4062">
        <f>M4062-LTP3!$D$3*H4062/k_n</f>
        <v/>
      </c>
      <c r="U4062">
        <f>N4062-G4062*LTP3!$D$4/k_n</f>
        <v/>
      </c>
      <c r="V4062">
        <f>O4062-H4062*LTP3!$D$4/k_n</f>
        <v/>
      </c>
      <c r="W4062">
        <f>((LTP3!$D$5)*((P4062)*(Q4062)-(R4062)*(R4062))-(S4062)*((S4062)*(Q4062)-(R4062)*(T4062))+(T4062)*((S4062)*(R4062)-(P4062)*(T4062)))</f>
        <v/>
      </c>
      <c r="X4062">
        <f>IF(ABS(W4062)&gt;1E-12,((LTP3!$D$6)*((P4062)*(Q4062)-(R4062)*(R4062))-(S4062)*((U4062)*(Q4062)-(R4062)*(V4062))+(T4062)*((U4062)*(R4062)-(P4062)*(V4062)))/W4062,0)</f>
        <v/>
      </c>
      <c r="Y4062">
        <f>IF(ABS(W4062)&gt;1E-12,((LTP3!$D$5)*((U4062)*(Q4062)-(R4062)*(V4062))-(LTP3!$D$6)*((S4062)*(Q4062)-(R4062)*(T4062))+(T4062)*((S4062)*(V4062)-(U4062)*(T4062)))/W4062,0)</f>
        <v/>
      </c>
      <c r="Z4062">
        <f>IF(ABS(W4062)&gt;1E-12,((LTP3!$D$5)*((P4062)*(V4062)-(U4062)*(R4062))-(S4062)*((S4062)*(V4062)-(U4062)*(T4062))+(LTP3!$D$6)*((S4062)*(R4062)-(P4062)*(T4062)))/W4062,0)</f>
        <v/>
      </c>
      <c r="AA4062">
        <f>LTP3!$D$7-X4062*LTP3!$D$6-Y4062*U4062-Z4062*V4062</f>
        <v/>
      </c>
      <c r="AB4062">
        <f>IF(AND(F4062,ABS(W4062)&gt;1E-12,Y4062&gt;0,Z4062&gt;0),AA4062,1E+300)</f>
        <v/>
      </c>
    </row>
    <row r="4063">
      <c r="A4063">
        <f>$I$3-$B$5+$B$5*15/10</f>
        <v/>
      </c>
      <c r="B4063">
        <f>$J$3-$B$5+$B$5*12/10</f>
        <v/>
      </c>
      <c r="C4063">
        <f>SUMPRODUCT(Calc!$K$3:$K$22*(Calc!$G$3:$G$22&lt;=A4063))</f>
        <v/>
      </c>
      <c r="D4063">
        <f>SUMPRODUCT(Calc!$K$3:$K$22*(Calc!$G$3:$G$22&gt;A4063)*(Calc!$G$3:$G$22&lt;B4063))</f>
        <v/>
      </c>
      <c r="E4063">
        <f>SUMPRODUCT(Calc!$K$3:$K$22*(Calc!$G$3:$G$22&gt;=B4063))</f>
        <v/>
      </c>
      <c r="F4063">
        <f>AND(k_n&gt;=5,B4063&gt;A4063+1E-9,C4063&gt;=2,D4063&gt;=1,E4063&gt;=2)</f>
        <v/>
      </c>
      <c r="G4063">
        <f>SUMPRODUCT(Calc!$K$3:$K$22*(Calc!$G$3:$G$22&gt;A4063)*(Calc!$G$3:$G$22-A4063))</f>
        <v/>
      </c>
      <c r="H4063">
        <f>SUMPRODUCT(Calc!$K$3:$K$22*(Calc!$G$3:$G$22&gt;B4063)*(Calc!$G$3:$G$22-B4063))</f>
        <v/>
      </c>
      <c r="I4063">
        <f>SUMPRODUCT(Calc!$K$3:$K$22*(Calc!$G$3:$G$22&gt;A4063)*(Calc!$G$3:$G$22-A4063)^2)</f>
        <v/>
      </c>
      <c r="J4063">
        <f>SUMPRODUCT(Calc!$K$3:$K$22*(Calc!$G$3:$G$22&gt;B4063)*(Calc!$G$3:$G$22-B4063)^2)</f>
        <v/>
      </c>
      <c r="K4063">
        <f>SUMPRODUCT(Calc!$K$3:$K$22*(Calc!$G$3:$G$22&gt;A4063)*(Calc!$G$3:$G$22-A4063)*(Calc!$G$3:$G$22&gt;B4063)*(Calc!$G$3:$G$22-B4063))</f>
        <v/>
      </c>
      <c r="L4063">
        <f>SUMPRODUCT(Calc!$K$3:$K$22*(Calc!$G$3:$G$22&gt;A4063)*(Calc!$G$3:$G$22-A4063)*Calc!$G$3:$G$22)</f>
        <v/>
      </c>
      <c r="M4063">
        <f>SUMPRODUCT(Calc!$K$3:$K$22*(Calc!$G$3:$G$22&gt;B4063)*(Calc!$G$3:$G$22-B4063)*Calc!$G$3:$G$22)</f>
        <v/>
      </c>
      <c r="N4063">
        <f>SUMPRODUCT(Calc!$K$3:$K$22*(Calc!$G$3:$G$22&gt;A4063)*(Calc!$G$3:$G$22-A4063)*Calc!$I$3:$I$22)</f>
        <v/>
      </c>
      <c r="O4063">
        <f>SUMPRODUCT(Calc!$K$3:$K$22*(Calc!$G$3:$G$22&gt;B4063)*(Calc!$G$3:$G$22-B4063)*Calc!$I$3:$I$22)</f>
        <v/>
      </c>
      <c r="P4063">
        <f>I4063-G4063^2/k_n</f>
        <v/>
      </c>
      <c r="Q4063">
        <f>J4063-H4063^2/k_n</f>
        <v/>
      </c>
      <c r="R4063">
        <f>K4063-G4063*H4063/k_n</f>
        <v/>
      </c>
      <c r="S4063">
        <f>L4063-LTP3!$D$3*G4063/k_n</f>
        <v/>
      </c>
      <c r="T4063">
        <f>M4063-LTP3!$D$3*H4063/k_n</f>
        <v/>
      </c>
      <c r="U4063">
        <f>N4063-G4063*LTP3!$D$4/k_n</f>
        <v/>
      </c>
      <c r="V4063">
        <f>O4063-H4063*LTP3!$D$4/k_n</f>
        <v/>
      </c>
      <c r="W4063">
        <f>((LTP3!$D$5)*((P4063)*(Q4063)-(R4063)*(R4063))-(S4063)*((S4063)*(Q4063)-(R4063)*(T4063))+(T4063)*((S4063)*(R4063)-(P4063)*(T4063)))</f>
        <v/>
      </c>
      <c r="X4063">
        <f>IF(ABS(W4063)&gt;1E-12,((LTP3!$D$6)*((P4063)*(Q4063)-(R4063)*(R4063))-(S4063)*((U4063)*(Q4063)-(R4063)*(V4063))+(T4063)*((U4063)*(R4063)-(P4063)*(V4063)))/W4063,0)</f>
        <v/>
      </c>
      <c r="Y4063">
        <f>IF(ABS(W4063)&gt;1E-12,((LTP3!$D$5)*((U4063)*(Q4063)-(R4063)*(V4063))-(LTP3!$D$6)*((S4063)*(Q4063)-(R4063)*(T4063))+(T4063)*((S4063)*(V4063)-(U4063)*(T4063)))/W4063,0)</f>
        <v/>
      </c>
      <c r="Z4063">
        <f>IF(ABS(W4063)&gt;1E-12,((LTP3!$D$5)*((P4063)*(V4063)-(U4063)*(R4063))-(S4063)*((S4063)*(V4063)-(U4063)*(T4063))+(LTP3!$D$6)*((S4063)*(R4063)-(P4063)*(T4063)))/W4063,0)</f>
        <v/>
      </c>
      <c r="AA4063">
        <f>LTP3!$D$7-X4063*LTP3!$D$6-Y4063*U4063-Z4063*V4063</f>
        <v/>
      </c>
      <c r="AB4063">
        <f>IF(AND(F4063,ABS(W4063)&gt;1E-12,Y4063&gt;0,Z4063&gt;0),AA4063,1E+300)</f>
        <v/>
      </c>
    </row>
    <row r="4064">
      <c r="A4064">
        <f>$I$3-$B$5+$B$5*15/10</f>
        <v/>
      </c>
      <c r="B4064">
        <f>$J$3-$B$5+$B$5*13/10</f>
        <v/>
      </c>
      <c r="C4064">
        <f>SUMPRODUCT(Calc!$K$3:$K$22*(Calc!$G$3:$G$22&lt;=A4064))</f>
        <v/>
      </c>
      <c r="D4064">
        <f>SUMPRODUCT(Calc!$K$3:$K$22*(Calc!$G$3:$G$22&gt;A4064)*(Calc!$G$3:$G$22&lt;B4064))</f>
        <v/>
      </c>
      <c r="E4064">
        <f>SUMPRODUCT(Calc!$K$3:$K$22*(Calc!$G$3:$G$22&gt;=B4064))</f>
        <v/>
      </c>
      <c r="F4064">
        <f>AND(k_n&gt;=5,B4064&gt;A4064+1E-9,C4064&gt;=2,D4064&gt;=1,E4064&gt;=2)</f>
        <v/>
      </c>
      <c r="G4064">
        <f>SUMPRODUCT(Calc!$K$3:$K$22*(Calc!$G$3:$G$22&gt;A4064)*(Calc!$G$3:$G$22-A4064))</f>
        <v/>
      </c>
      <c r="H4064">
        <f>SUMPRODUCT(Calc!$K$3:$K$22*(Calc!$G$3:$G$22&gt;B4064)*(Calc!$G$3:$G$22-B4064))</f>
        <v/>
      </c>
      <c r="I4064">
        <f>SUMPRODUCT(Calc!$K$3:$K$22*(Calc!$G$3:$G$22&gt;A4064)*(Calc!$G$3:$G$22-A4064)^2)</f>
        <v/>
      </c>
      <c r="J4064">
        <f>SUMPRODUCT(Calc!$K$3:$K$22*(Calc!$G$3:$G$22&gt;B4064)*(Calc!$G$3:$G$22-B4064)^2)</f>
        <v/>
      </c>
      <c r="K4064">
        <f>SUMPRODUCT(Calc!$K$3:$K$22*(Calc!$G$3:$G$22&gt;A4064)*(Calc!$G$3:$G$22-A4064)*(Calc!$G$3:$G$22&gt;B4064)*(Calc!$G$3:$G$22-B4064))</f>
        <v/>
      </c>
      <c r="L4064">
        <f>SUMPRODUCT(Calc!$K$3:$K$22*(Calc!$G$3:$G$22&gt;A4064)*(Calc!$G$3:$G$22-A4064)*Calc!$G$3:$G$22)</f>
        <v/>
      </c>
      <c r="M4064">
        <f>SUMPRODUCT(Calc!$K$3:$K$22*(Calc!$G$3:$G$22&gt;B4064)*(Calc!$G$3:$G$22-B4064)*Calc!$G$3:$G$22)</f>
        <v/>
      </c>
      <c r="N4064">
        <f>SUMPRODUCT(Calc!$K$3:$K$22*(Calc!$G$3:$G$22&gt;A4064)*(Calc!$G$3:$G$22-A4064)*Calc!$I$3:$I$22)</f>
        <v/>
      </c>
      <c r="O4064">
        <f>SUMPRODUCT(Calc!$K$3:$K$22*(Calc!$G$3:$G$22&gt;B4064)*(Calc!$G$3:$G$22-B4064)*Calc!$I$3:$I$22)</f>
        <v/>
      </c>
      <c r="P4064">
        <f>I4064-G4064^2/k_n</f>
        <v/>
      </c>
      <c r="Q4064">
        <f>J4064-H4064^2/k_n</f>
        <v/>
      </c>
      <c r="R4064">
        <f>K4064-G4064*H4064/k_n</f>
        <v/>
      </c>
      <c r="S4064">
        <f>L4064-LTP3!$D$3*G4064/k_n</f>
        <v/>
      </c>
      <c r="T4064">
        <f>M4064-LTP3!$D$3*H4064/k_n</f>
        <v/>
      </c>
      <c r="U4064">
        <f>N4064-G4064*LTP3!$D$4/k_n</f>
        <v/>
      </c>
      <c r="V4064">
        <f>O4064-H4064*LTP3!$D$4/k_n</f>
        <v/>
      </c>
      <c r="W4064">
        <f>((LTP3!$D$5)*((P4064)*(Q4064)-(R4064)*(R4064))-(S4064)*((S4064)*(Q4064)-(R4064)*(T4064))+(T4064)*((S4064)*(R4064)-(P4064)*(T4064)))</f>
        <v/>
      </c>
      <c r="X4064">
        <f>IF(ABS(W4064)&gt;1E-12,((LTP3!$D$6)*((P4064)*(Q4064)-(R4064)*(R4064))-(S4064)*((U4064)*(Q4064)-(R4064)*(V4064))+(T4064)*((U4064)*(R4064)-(P4064)*(V4064)))/W4064,0)</f>
        <v/>
      </c>
      <c r="Y4064">
        <f>IF(ABS(W4064)&gt;1E-12,((LTP3!$D$5)*((U4064)*(Q4064)-(R4064)*(V4064))-(LTP3!$D$6)*((S4064)*(Q4064)-(R4064)*(T4064))+(T4064)*((S4064)*(V4064)-(U4064)*(T4064)))/W4064,0)</f>
        <v/>
      </c>
      <c r="Z4064">
        <f>IF(ABS(W4064)&gt;1E-12,((LTP3!$D$5)*((P4064)*(V4064)-(U4064)*(R4064))-(S4064)*((S4064)*(V4064)-(U4064)*(T4064))+(LTP3!$D$6)*((S4064)*(R4064)-(P4064)*(T4064)))/W4064,0)</f>
        <v/>
      </c>
      <c r="AA4064">
        <f>LTP3!$D$7-X4064*LTP3!$D$6-Y4064*U4064-Z4064*V4064</f>
        <v/>
      </c>
      <c r="AB4064">
        <f>IF(AND(F4064,ABS(W4064)&gt;1E-12,Y4064&gt;0,Z4064&gt;0),AA4064,1E+300)</f>
        <v/>
      </c>
    </row>
    <row r="4065">
      <c r="A4065">
        <f>$I$3-$B$5+$B$5*15/10</f>
        <v/>
      </c>
      <c r="B4065">
        <f>$J$3-$B$5+$B$5*14/10</f>
        <v/>
      </c>
      <c r="C4065">
        <f>SUMPRODUCT(Calc!$K$3:$K$22*(Calc!$G$3:$G$22&lt;=A4065))</f>
        <v/>
      </c>
      <c r="D4065">
        <f>SUMPRODUCT(Calc!$K$3:$K$22*(Calc!$G$3:$G$22&gt;A4065)*(Calc!$G$3:$G$22&lt;B4065))</f>
        <v/>
      </c>
      <c r="E4065">
        <f>SUMPRODUCT(Calc!$K$3:$K$22*(Calc!$G$3:$G$22&gt;=B4065))</f>
        <v/>
      </c>
      <c r="F4065">
        <f>AND(k_n&gt;=5,B4065&gt;A4065+1E-9,C4065&gt;=2,D4065&gt;=1,E4065&gt;=2)</f>
        <v/>
      </c>
      <c r="G4065">
        <f>SUMPRODUCT(Calc!$K$3:$K$22*(Calc!$G$3:$G$22&gt;A4065)*(Calc!$G$3:$G$22-A4065))</f>
        <v/>
      </c>
      <c r="H4065">
        <f>SUMPRODUCT(Calc!$K$3:$K$22*(Calc!$G$3:$G$22&gt;B4065)*(Calc!$G$3:$G$22-B4065))</f>
        <v/>
      </c>
      <c r="I4065">
        <f>SUMPRODUCT(Calc!$K$3:$K$22*(Calc!$G$3:$G$22&gt;A4065)*(Calc!$G$3:$G$22-A4065)^2)</f>
        <v/>
      </c>
      <c r="J4065">
        <f>SUMPRODUCT(Calc!$K$3:$K$22*(Calc!$G$3:$G$22&gt;B4065)*(Calc!$G$3:$G$22-B4065)^2)</f>
        <v/>
      </c>
      <c r="K4065">
        <f>SUMPRODUCT(Calc!$K$3:$K$22*(Calc!$G$3:$G$22&gt;A4065)*(Calc!$G$3:$G$22-A4065)*(Calc!$G$3:$G$22&gt;B4065)*(Calc!$G$3:$G$22-B4065))</f>
        <v/>
      </c>
      <c r="L4065">
        <f>SUMPRODUCT(Calc!$K$3:$K$22*(Calc!$G$3:$G$22&gt;A4065)*(Calc!$G$3:$G$22-A4065)*Calc!$G$3:$G$22)</f>
        <v/>
      </c>
      <c r="M4065">
        <f>SUMPRODUCT(Calc!$K$3:$K$22*(Calc!$G$3:$G$22&gt;B4065)*(Calc!$G$3:$G$22-B4065)*Calc!$G$3:$G$22)</f>
        <v/>
      </c>
      <c r="N4065">
        <f>SUMPRODUCT(Calc!$K$3:$K$22*(Calc!$G$3:$G$22&gt;A4065)*(Calc!$G$3:$G$22-A4065)*Calc!$I$3:$I$22)</f>
        <v/>
      </c>
      <c r="O4065">
        <f>SUMPRODUCT(Calc!$K$3:$K$22*(Calc!$G$3:$G$22&gt;B4065)*(Calc!$G$3:$G$22-B4065)*Calc!$I$3:$I$22)</f>
        <v/>
      </c>
      <c r="P4065">
        <f>I4065-G4065^2/k_n</f>
        <v/>
      </c>
      <c r="Q4065">
        <f>J4065-H4065^2/k_n</f>
        <v/>
      </c>
      <c r="R4065">
        <f>K4065-G4065*H4065/k_n</f>
        <v/>
      </c>
      <c r="S4065">
        <f>L4065-LTP3!$D$3*G4065/k_n</f>
        <v/>
      </c>
      <c r="T4065">
        <f>M4065-LTP3!$D$3*H4065/k_n</f>
        <v/>
      </c>
      <c r="U4065">
        <f>N4065-G4065*LTP3!$D$4/k_n</f>
        <v/>
      </c>
      <c r="V4065">
        <f>O4065-H4065*LTP3!$D$4/k_n</f>
        <v/>
      </c>
      <c r="W4065">
        <f>((LTP3!$D$5)*((P4065)*(Q4065)-(R4065)*(R4065))-(S4065)*((S4065)*(Q4065)-(R4065)*(T4065))+(T4065)*((S4065)*(R4065)-(P4065)*(T4065)))</f>
        <v/>
      </c>
      <c r="X4065">
        <f>IF(ABS(W4065)&gt;1E-12,((LTP3!$D$6)*((P4065)*(Q4065)-(R4065)*(R4065))-(S4065)*((U4065)*(Q4065)-(R4065)*(V4065))+(T4065)*((U4065)*(R4065)-(P4065)*(V4065)))/W4065,0)</f>
        <v/>
      </c>
      <c r="Y4065">
        <f>IF(ABS(W4065)&gt;1E-12,((LTP3!$D$5)*((U4065)*(Q4065)-(R4065)*(V4065))-(LTP3!$D$6)*((S4065)*(Q4065)-(R4065)*(T4065))+(T4065)*((S4065)*(V4065)-(U4065)*(T4065)))/W4065,0)</f>
        <v/>
      </c>
      <c r="Z4065">
        <f>IF(ABS(W4065)&gt;1E-12,((LTP3!$D$5)*((P4065)*(V4065)-(U4065)*(R4065))-(S4065)*((S4065)*(V4065)-(U4065)*(T4065))+(LTP3!$D$6)*((S4065)*(R4065)-(P4065)*(T4065)))/W4065,0)</f>
        <v/>
      </c>
      <c r="AA4065">
        <f>LTP3!$D$7-X4065*LTP3!$D$6-Y4065*U4065-Z4065*V4065</f>
        <v/>
      </c>
      <c r="AB4065">
        <f>IF(AND(F4065,ABS(W4065)&gt;1E-12,Y4065&gt;0,Z4065&gt;0),AA4065,1E+300)</f>
        <v/>
      </c>
    </row>
    <row r="4066">
      <c r="A4066">
        <f>$I$3-$B$5+$B$5*15/10</f>
        <v/>
      </c>
      <c r="B4066">
        <f>$J$3-$B$5+$B$5*15/10</f>
        <v/>
      </c>
      <c r="C4066">
        <f>SUMPRODUCT(Calc!$K$3:$K$22*(Calc!$G$3:$G$22&lt;=A4066))</f>
        <v/>
      </c>
      <c r="D4066">
        <f>SUMPRODUCT(Calc!$K$3:$K$22*(Calc!$G$3:$G$22&gt;A4066)*(Calc!$G$3:$G$22&lt;B4066))</f>
        <v/>
      </c>
      <c r="E4066">
        <f>SUMPRODUCT(Calc!$K$3:$K$22*(Calc!$G$3:$G$22&gt;=B4066))</f>
        <v/>
      </c>
      <c r="F4066">
        <f>AND(k_n&gt;=5,B4066&gt;A4066+1E-9,C4066&gt;=2,D4066&gt;=1,E4066&gt;=2)</f>
        <v/>
      </c>
      <c r="G4066">
        <f>SUMPRODUCT(Calc!$K$3:$K$22*(Calc!$G$3:$G$22&gt;A4066)*(Calc!$G$3:$G$22-A4066))</f>
        <v/>
      </c>
      <c r="H4066">
        <f>SUMPRODUCT(Calc!$K$3:$K$22*(Calc!$G$3:$G$22&gt;B4066)*(Calc!$G$3:$G$22-B4066))</f>
        <v/>
      </c>
      <c r="I4066">
        <f>SUMPRODUCT(Calc!$K$3:$K$22*(Calc!$G$3:$G$22&gt;A4066)*(Calc!$G$3:$G$22-A4066)^2)</f>
        <v/>
      </c>
      <c r="J4066">
        <f>SUMPRODUCT(Calc!$K$3:$K$22*(Calc!$G$3:$G$22&gt;B4066)*(Calc!$G$3:$G$22-B4066)^2)</f>
        <v/>
      </c>
      <c r="K4066">
        <f>SUMPRODUCT(Calc!$K$3:$K$22*(Calc!$G$3:$G$22&gt;A4066)*(Calc!$G$3:$G$22-A4066)*(Calc!$G$3:$G$22&gt;B4066)*(Calc!$G$3:$G$22-B4066))</f>
        <v/>
      </c>
      <c r="L4066">
        <f>SUMPRODUCT(Calc!$K$3:$K$22*(Calc!$G$3:$G$22&gt;A4066)*(Calc!$G$3:$G$22-A4066)*Calc!$G$3:$G$22)</f>
        <v/>
      </c>
      <c r="M4066">
        <f>SUMPRODUCT(Calc!$K$3:$K$22*(Calc!$G$3:$G$22&gt;B4066)*(Calc!$G$3:$G$22-B4066)*Calc!$G$3:$G$22)</f>
        <v/>
      </c>
      <c r="N4066">
        <f>SUMPRODUCT(Calc!$K$3:$K$22*(Calc!$G$3:$G$22&gt;A4066)*(Calc!$G$3:$G$22-A4066)*Calc!$I$3:$I$22)</f>
        <v/>
      </c>
      <c r="O4066">
        <f>SUMPRODUCT(Calc!$K$3:$K$22*(Calc!$G$3:$G$22&gt;B4066)*(Calc!$G$3:$G$22-B4066)*Calc!$I$3:$I$22)</f>
        <v/>
      </c>
      <c r="P4066">
        <f>I4066-G4066^2/k_n</f>
        <v/>
      </c>
      <c r="Q4066">
        <f>J4066-H4066^2/k_n</f>
        <v/>
      </c>
      <c r="R4066">
        <f>K4066-G4066*H4066/k_n</f>
        <v/>
      </c>
      <c r="S4066">
        <f>L4066-LTP3!$D$3*G4066/k_n</f>
        <v/>
      </c>
      <c r="T4066">
        <f>M4066-LTP3!$D$3*H4066/k_n</f>
        <v/>
      </c>
      <c r="U4066">
        <f>N4066-G4066*LTP3!$D$4/k_n</f>
        <v/>
      </c>
      <c r="V4066">
        <f>O4066-H4066*LTP3!$D$4/k_n</f>
        <v/>
      </c>
      <c r="W4066">
        <f>((LTP3!$D$5)*((P4066)*(Q4066)-(R4066)*(R4066))-(S4066)*((S4066)*(Q4066)-(R4066)*(T4066))+(T4066)*((S4066)*(R4066)-(P4066)*(T4066)))</f>
        <v/>
      </c>
      <c r="X4066">
        <f>IF(ABS(W4066)&gt;1E-12,((LTP3!$D$6)*((P4066)*(Q4066)-(R4066)*(R4066))-(S4066)*((U4066)*(Q4066)-(R4066)*(V4066))+(T4066)*((U4066)*(R4066)-(P4066)*(V4066)))/W4066,0)</f>
        <v/>
      </c>
      <c r="Y4066">
        <f>IF(ABS(W4066)&gt;1E-12,((LTP3!$D$5)*((U4066)*(Q4066)-(R4066)*(V4066))-(LTP3!$D$6)*((S4066)*(Q4066)-(R4066)*(T4066))+(T4066)*((S4066)*(V4066)-(U4066)*(T4066)))/W4066,0)</f>
        <v/>
      </c>
      <c r="Z4066">
        <f>IF(ABS(W4066)&gt;1E-12,((LTP3!$D$5)*((P4066)*(V4066)-(U4066)*(R4066))-(S4066)*((S4066)*(V4066)-(U4066)*(T4066))+(LTP3!$D$6)*((S4066)*(R4066)-(P4066)*(T4066)))/W4066,0)</f>
        <v/>
      </c>
      <c r="AA4066">
        <f>LTP3!$D$7-X4066*LTP3!$D$6-Y4066*U4066-Z4066*V4066</f>
        <v/>
      </c>
      <c r="AB4066">
        <f>IF(AND(F4066,ABS(W4066)&gt;1E-12,Y4066&gt;0,Z4066&gt;0),AA4066,1E+300)</f>
        <v/>
      </c>
    </row>
    <row r="4067">
      <c r="A4067">
        <f>$I$3-$B$5+$B$5*15/10</f>
        <v/>
      </c>
      <c r="B4067">
        <f>$J$3-$B$5+$B$5*16/10</f>
        <v/>
      </c>
      <c r="C4067">
        <f>SUMPRODUCT(Calc!$K$3:$K$22*(Calc!$G$3:$G$22&lt;=A4067))</f>
        <v/>
      </c>
      <c r="D4067">
        <f>SUMPRODUCT(Calc!$K$3:$K$22*(Calc!$G$3:$G$22&gt;A4067)*(Calc!$G$3:$G$22&lt;B4067))</f>
        <v/>
      </c>
      <c r="E4067">
        <f>SUMPRODUCT(Calc!$K$3:$K$22*(Calc!$G$3:$G$22&gt;=B4067))</f>
        <v/>
      </c>
      <c r="F4067">
        <f>AND(k_n&gt;=5,B4067&gt;A4067+1E-9,C4067&gt;=2,D4067&gt;=1,E4067&gt;=2)</f>
        <v/>
      </c>
      <c r="G4067">
        <f>SUMPRODUCT(Calc!$K$3:$K$22*(Calc!$G$3:$G$22&gt;A4067)*(Calc!$G$3:$G$22-A4067))</f>
        <v/>
      </c>
      <c r="H4067">
        <f>SUMPRODUCT(Calc!$K$3:$K$22*(Calc!$G$3:$G$22&gt;B4067)*(Calc!$G$3:$G$22-B4067))</f>
        <v/>
      </c>
      <c r="I4067">
        <f>SUMPRODUCT(Calc!$K$3:$K$22*(Calc!$G$3:$G$22&gt;A4067)*(Calc!$G$3:$G$22-A4067)^2)</f>
        <v/>
      </c>
      <c r="J4067">
        <f>SUMPRODUCT(Calc!$K$3:$K$22*(Calc!$G$3:$G$22&gt;B4067)*(Calc!$G$3:$G$22-B4067)^2)</f>
        <v/>
      </c>
      <c r="K4067">
        <f>SUMPRODUCT(Calc!$K$3:$K$22*(Calc!$G$3:$G$22&gt;A4067)*(Calc!$G$3:$G$22-A4067)*(Calc!$G$3:$G$22&gt;B4067)*(Calc!$G$3:$G$22-B4067))</f>
        <v/>
      </c>
      <c r="L4067">
        <f>SUMPRODUCT(Calc!$K$3:$K$22*(Calc!$G$3:$G$22&gt;A4067)*(Calc!$G$3:$G$22-A4067)*Calc!$G$3:$G$22)</f>
        <v/>
      </c>
      <c r="M4067">
        <f>SUMPRODUCT(Calc!$K$3:$K$22*(Calc!$G$3:$G$22&gt;B4067)*(Calc!$G$3:$G$22-B4067)*Calc!$G$3:$G$22)</f>
        <v/>
      </c>
      <c r="N4067">
        <f>SUMPRODUCT(Calc!$K$3:$K$22*(Calc!$G$3:$G$22&gt;A4067)*(Calc!$G$3:$G$22-A4067)*Calc!$I$3:$I$22)</f>
        <v/>
      </c>
      <c r="O4067">
        <f>SUMPRODUCT(Calc!$K$3:$K$22*(Calc!$G$3:$G$22&gt;B4067)*(Calc!$G$3:$G$22-B4067)*Calc!$I$3:$I$22)</f>
        <v/>
      </c>
      <c r="P4067">
        <f>I4067-G4067^2/k_n</f>
        <v/>
      </c>
      <c r="Q4067">
        <f>J4067-H4067^2/k_n</f>
        <v/>
      </c>
      <c r="R4067">
        <f>K4067-G4067*H4067/k_n</f>
        <v/>
      </c>
      <c r="S4067">
        <f>L4067-LTP3!$D$3*G4067/k_n</f>
        <v/>
      </c>
      <c r="T4067">
        <f>M4067-LTP3!$D$3*H4067/k_n</f>
        <v/>
      </c>
      <c r="U4067">
        <f>N4067-G4067*LTP3!$D$4/k_n</f>
        <v/>
      </c>
      <c r="V4067">
        <f>O4067-H4067*LTP3!$D$4/k_n</f>
        <v/>
      </c>
      <c r="W4067">
        <f>((LTP3!$D$5)*((P4067)*(Q4067)-(R4067)*(R4067))-(S4067)*((S4067)*(Q4067)-(R4067)*(T4067))+(T4067)*((S4067)*(R4067)-(P4067)*(T4067)))</f>
        <v/>
      </c>
      <c r="X4067">
        <f>IF(ABS(W4067)&gt;1E-12,((LTP3!$D$6)*((P4067)*(Q4067)-(R4067)*(R4067))-(S4067)*((U4067)*(Q4067)-(R4067)*(V4067))+(T4067)*((U4067)*(R4067)-(P4067)*(V4067)))/W4067,0)</f>
        <v/>
      </c>
      <c r="Y4067">
        <f>IF(ABS(W4067)&gt;1E-12,((LTP3!$D$5)*((U4067)*(Q4067)-(R4067)*(V4067))-(LTP3!$D$6)*((S4067)*(Q4067)-(R4067)*(T4067))+(T4067)*((S4067)*(V4067)-(U4067)*(T4067)))/W4067,0)</f>
        <v/>
      </c>
      <c r="Z4067">
        <f>IF(ABS(W4067)&gt;1E-12,((LTP3!$D$5)*((P4067)*(V4067)-(U4067)*(R4067))-(S4067)*((S4067)*(V4067)-(U4067)*(T4067))+(LTP3!$D$6)*((S4067)*(R4067)-(P4067)*(T4067)))/W4067,0)</f>
        <v/>
      </c>
      <c r="AA4067">
        <f>LTP3!$D$7-X4067*LTP3!$D$6-Y4067*U4067-Z4067*V4067</f>
        <v/>
      </c>
      <c r="AB4067">
        <f>IF(AND(F4067,ABS(W4067)&gt;1E-12,Y4067&gt;0,Z4067&gt;0),AA4067,1E+300)</f>
        <v/>
      </c>
    </row>
    <row r="4068">
      <c r="A4068">
        <f>$I$3-$B$5+$B$5*15/10</f>
        <v/>
      </c>
      <c r="B4068">
        <f>$J$3-$B$5+$B$5*17/10</f>
        <v/>
      </c>
      <c r="C4068">
        <f>SUMPRODUCT(Calc!$K$3:$K$22*(Calc!$G$3:$G$22&lt;=A4068))</f>
        <v/>
      </c>
      <c r="D4068">
        <f>SUMPRODUCT(Calc!$K$3:$K$22*(Calc!$G$3:$G$22&gt;A4068)*(Calc!$G$3:$G$22&lt;B4068))</f>
        <v/>
      </c>
      <c r="E4068">
        <f>SUMPRODUCT(Calc!$K$3:$K$22*(Calc!$G$3:$G$22&gt;=B4068))</f>
        <v/>
      </c>
      <c r="F4068">
        <f>AND(k_n&gt;=5,B4068&gt;A4068+1E-9,C4068&gt;=2,D4068&gt;=1,E4068&gt;=2)</f>
        <v/>
      </c>
      <c r="G4068">
        <f>SUMPRODUCT(Calc!$K$3:$K$22*(Calc!$G$3:$G$22&gt;A4068)*(Calc!$G$3:$G$22-A4068))</f>
        <v/>
      </c>
      <c r="H4068">
        <f>SUMPRODUCT(Calc!$K$3:$K$22*(Calc!$G$3:$G$22&gt;B4068)*(Calc!$G$3:$G$22-B4068))</f>
        <v/>
      </c>
      <c r="I4068">
        <f>SUMPRODUCT(Calc!$K$3:$K$22*(Calc!$G$3:$G$22&gt;A4068)*(Calc!$G$3:$G$22-A4068)^2)</f>
        <v/>
      </c>
      <c r="J4068">
        <f>SUMPRODUCT(Calc!$K$3:$K$22*(Calc!$G$3:$G$22&gt;B4068)*(Calc!$G$3:$G$22-B4068)^2)</f>
        <v/>
      </c>
      <c r="K4068">
        <f>SUMPRODUCT(Calc!$K$3:$K$22*(Calc!$G$3:$G$22&gt;A4068)*(Calc!$G$3:$G$22-A4068)*(Calc!$G$3:$G$22&gt;B4068)*(Calc!$G$3:$G$22-B4068))</f>
        <v/>
      </c>
      <c r="L4068">
        <f>SUMPRODUCT(Calc!$K$3:$K$22*(Calc!$G$3:$G$22&gt;A4068)*(Calc!$G$3:$G$22-A4068)*Calc!$G$3:$G$22)</f>
        <v/>
      </c>
      <c r="M4068">
        <f>SUMPRODUCT(Calc!$K$3:$K$22*(Calc!$G$3:$G$22&gt;B4068)*(Calc!$G$3:$G$22-B4068)*Calc!$G$3:$G$22)</f>
        <v/>
      </c>
      <c r="N4068">
        <f>SUMPRODUCT(Calc!$K$3:$K$22*(Calc!$G$3:$G$22&gt;A4068)*(Calc!$G$3:$G$22-A4068)*Calc!$I$3:$I$22)</f>
        <v/>
      </c>
      <c r="O4068">
        <f>SUMPRODUCT(Calc!$K$3:$K$22*(Calc!$G$3:$G$22&gt;B4068)*(Calc!$G$3:$G$22-B4068)*Calc!$I$3:$I$22)</f>
        <v/>
      </c>
      <c r="P4068">
        <f>I4068-G4068^2/k_n</f>
        <v/>
      </c>
      <c r="Q4068">
        <f>J4068-H4068^2/k_n</f>
        <v/>
      </c>
      <c r="R4068">
        <f>K4068-G4068*H4068/k_n</f>
        <v/>
      </c>
      <c r="S4068">
        <f>L4068-LTP3!$D$3*G4068/k_n</f>
        <v/>
      </c>
      <c r="T4068">
        <f>M4068-LTP3!$D$3*H4068/k_n</f>
        <v/>
      </c>
      <c r="U4068">
        <f>N4068-G4068*LTP3!$D$4/k_n</f>
        <v/>
      </c>
      <c r="V4068">
        <f>O4068-H4068*LTP3!$D$4/k_n</f>
        <v/>
      </c>
      <c r="W4068">
        <f>((LTP3!$D$5)*((P4068)*(Q4068)-(R4068)*(R4068))-(S4068)*((S4068)*(Q4068)-(R4068)*(T4068))+(T4068)*((S4068)*(R4068)-(P4068)*(T4068)))</f>
        <v/>
      </c>
      <c r="X4068">
        <f>IF(ABS(W4068)&gt;1E-12,((LTP3!$D$6)*((P4068)*(Q4068)-(R4068)*(R4068))-(S4068)*((U4068)*(Q4068)-(R4068)*(V4068))+(T4068)*((U4068)*(R4068)-(P4068)*(V4068)))/W4068,0)</f>
        <v/>
      </c>
      <c r="Y4068">
        <f>IF(ABS(W4068)&gt;1E-12,((LTP3!$D$5)*((U4068)*(Q4068)-(R4068)*(V4068))-(LTP3!$D$6)*((S4068)*(Q4068)-(R4068)*(T4068))+(T4068)*((S4068)*(V4068)-(U4068)*(T4068)))/W4068,0)</f>
        <v/>
      </c>
      <c r="Z4068">
        <f>IF(ABS(W4068)&gt;1E-12,((LTP3!$D$5)*((P4068)*(V4068)-(U4068)*(R4068))-(S4068)*((S4068)*(V4068)-(U4068)*(T4068))+(LTP3!$D$6)*((S4068)*(R4068)-(P4068)*(T4068)))/W4068,0)</f>
        <v/>
      </c>
      <c r="AA4068">
        <f>LTP3!$D$7-X4068*LTP3!$D$6-Y4068*U4068-Z4068*V4068</f>
        <v/>
      </c>
      <c r="AB4068">
        <f>IF(AND(F4068,ABS(W4068)&gt;1E-12,Y4068&gt;0,Z4068&gt;0),AA4068,1E+300)</f>
        <v/>
      </c>
    </row>
    <row r="4069">
      <c r="A4069">
        <f>$I$3-$B$5+$B$5*15/10</f>
        <v/>
      </c>
      <c r="B4069">
        <f>$J$3-$B$5+$B$5*18/10</f>
        <v/>
      </c>
      <c r="C4069">
        <f>SUMPRODUCT(Calc!$K$3:$K$22*(Calc!$G$3:$G$22&lt;=A4069))</f>
        <v/>
      </c>
      <c r="D4069">
        <f>SUMPRODUCT(Calc!$K$3:$K$22*(Calc!$G$3:$G$22&gt;A4069)*(Calc!$G$3:$G$22&lt;B4069))</f>
        <v/>
      </c>
      <c r="E4069">
        <f>SUMPRODUCT(Calc!$K$3:$K$22*(Calc!$G$3:$G$22&gt;=B4069))</f>
        <v/>
      </c>
      <c r="F4069">
        <f>AND(k_n&gt;=5,B4069&gt;A4069+1E-9,C4069&gt;=2,D4069&gt;=1,E4069&gt;=2)</f>
        <v/>
      </c>
      <c r="G4069">
        <f>SUMPRODUCT(Calc!$K$3:$K$22*(Calc!$G$3:$G$22&gt;A4069)*(Calc!$G$3:$G$22-A4069))</f>
        <v/>
      </c>
      <c r="H4069">
        <f>SUMPRODUCT(Calc!$K$3:$K$22*(Calc!$G$3:$G$22&gt;B4069)*(Calc!$G$3:$G$22-B4069))</f>
        <v/>
      </c>
      <c r="I4069">
        <f>SUMPRODUCT(Calc!$K$3:$K$22*(Calc!$G$3:$G$22&gt;A4069)*(Calc!$G$3:$G$22-A4069)^2)</f>
        <v/>
      </c>
      <c r="J4069">
        <f>SUMPRODUCT(Calc!$K$3:$K$22*(Calc!$G$3:$G$22&gt;B4069)*(Calc!$G$3:$G$22-B4069)^2)</f>
        <v/>
      </c>
      <c r="K4069">
        <f>SUMPRODUCT(Calc!$K$3:$K$22*(Calc!$G$3:$G$22&gt;A4069)*(Calc!$G$3:$G$22-A4069)*(Calc!$G$3:$G$22&gt;B4069)*(Calc!$G$3:$G$22-B4069))</f>
        <v/>
      </c>
      <c r="L4069">
        <f>SUMPRODUCT(Calc!$K$3:$K$22*(Calc!$G$3:$G$22&gt;A4069)*(Calc!$G$3:$G$22-A4069)*Calc!$G$3:$G$22)</f>
        <v/>
      </c>
      <c r="M4069">
        <f>SUMPRODUCT(Calc!$K$3:$K$22*(Calc!$G$3:$G$22&gt;B4069)*(Calc!$G$3:$G$22-B4069)*Calc!$G$3:$G$22)</f>
        <v/>
      </c>
      <c r="N4069">
        <f>SUMPRODUCT(Calc!$K$3:$K$22*(Calc!$G$3:$G$22&gt;A4069)*(Calc!$G$3:$G$22-A4069)*Calc!$I$3:$I$22)</f>
        <v/>
      </c>
      <c r="O4069">
        <f>SUMPRODUCT(Calc!$K$3:$K$22*(Calc!$G$3:$G$22&gt;B4069)*(Calc!$G$3:$G$22-B4069)*Calc!$I$3:$I$22)</f>
        <v/>
      </c>
      <c r="P4069">
        <f>I4069-G4069^2/k_n</f>
        <v/>
      </c>
      <c r="Q4069">
        <f>J4069-H4069^2/k_n</f>
        <v/>
      </c>
      <c r="R4069">
        <f>K4069-G4069*H4069/k_n</f>
        <v/>
      </c>
      <c r="S4069">
        <f>L4069-LTP3!$D$3*G4069/k_n</f>
        <v/>
      </c>
      <c r="T4069">
        <f>M4069-LTP3!$D$3*H4069/k_n</f>
        <v/>
      </c>
      <c r="U4069">
        <f>N4069-G4069*LTP3!$D$4/k_n</f>
        <v/>
      </c>
      <c r="V4069">
        <f>O4069-H4069*LTP3!$D$4/k_n</f>
        <v/>
      </c>
      <c r="W4069">
        <f>((LTP3!$D$5)*((P4069)*(Q4069)-(R4069)*(R4069))-(S4069)*((S4069)*(Q4069)-(R4069)*(T4069))+(T4069)*((S4069)*(R4069)-(P4069)*(T4069)))</f>
        <v/>
      </c>
      <c r="X4069">
        <f>IF(ABS(W4069)&gt;1E-12,((LTP3!$D$6)*((P4069)*(Q4069)-(R4069)*(R4069))-(S4069)*((U4069)*(Q4069)-(R4069)*(V4069))+(T4069)*((U4069)*(R4069)-(P4069)*(V4069)))/W4069,0)</f>
        <v/>
      </c>
      <c r="Y4069">
        <f>IF(ABS(W4069)&gt;1E-12,((LTP3!$D$5)*((U4069)*(Q4069)-(R4069)*(V4069))-(LTP3!$D$6)*((S4069)*(Q4069)-(R4069)*(T4069))+(T4069)*((S4069)*(V4069)-(U4069)*(T4069)))/W4069,0)</f>
        <v/>
      </c>
      <c r="Z4069">
        <f>IF(ABS(W4069)&gt;1E-12,((LTP3!$D$5)*((P4069)*(V4069)-(U4069)*(R4069))-(S4069)*((S4069)*(V4069)-(U4069)*(T4069))+(LTP3!$D$6)*((S4069)*(R4069)-(P4069)*(T4069)))/W4069,0)</f>
        <v/>
      </c>
      <c r="AA4069">
        <f>LTP3!$D$7-X4069*LTP3!$D$6-Y4069*U4069-Z4069*V4069</f>
        <v/>
      </c>
      <c r="AB4069">
        <f>IF(AND(F4069,ABS(W4069)&gt;1E-12,Y4069&gt;0,Z4069&gt;0),AA4069,1E+300)</f>
        <v/>
      </c>
    </row>
    <row r="4070">
      <c r="A4070">
        <f>$I$3-$B$5+$B$5*15/10</f>
        <v/>
      </c>
      <c r="B4070">
        <f>$J$3-$B$5+$B$5*19/10</f>
        <v/>
      </c>
      <c r="C4070">
        <f>SUMPRODUCT(Calc!$K$3:$K$22*(Calc!$G$3:$G$22&lt;=A4070))</f>
        <v/>
      </c>
      <c r="D4070">
        <f>SUMPRODUCT(Calc!$K$3:$K$22*(Calc!$G$3:$G$22&gt;A4070)*(Calc!$G$3:$G$22&lt;B4070))</f>
        <v/>
      </c>
      <c r="E4070">
        <f>SUMPRODUCT(Calc!$K$3:$K$22*(Calc!$G$3:$G$22&gt;=B4070))</f>
        <v/>
      </c>
      <c r="F4070">
        <f>AND(k_n&gt;=5,B4070&gt;A4070+1E-9,C4070&gt;=2,D4070&gt;=1,E4070&gt;=2)</f>
        <v/>
      </c>
      <c r="G4070">
        <f>SUMPRODUCT(Calc!$K$3:$K$22*(Calc!$G$3:$G$22&gt;A4070)*(Calc!$G$3:$G$22-A4070))</f>
        <v/>
      </c>
      <c r="H4070">
        <f>SUMPRODUCT(Calc!$K$3:$K$22*(Calc!$G$3:$G$22&gt;B4070)*(Calc!$G$3:$G$22-B4070))</f>
        <v/>
      </c>
      <c r="I4070">
        <f>SUMPRODUCT(Calc!$K$3:$K$22*(Calc!$G$3:$G$22&gt;A4070)*(Calc!$G$3:$G$22-A4070)^2)</f>
        <v/>
      </c>
      <c r="J4070">
        <f>SUMPRODUCT(Calc!$K$3:$K$22*(Calc!$G$3:$G$22&gt;B4070)*(Calc!$G$3:$G$22-B4070)^2)</f>
        <v/>
      </c>
      <c r="K4070">
        <f>SUMPRODUCT(Calc!$K$3:$K$22*(Calc!$G$3:$G$22&gt;A4070)*(Calc!$G$3:$G$22-A4070)*(Calc!$G$3:$G$22&gt;B4070)*(Calc!$G$3:$G$22-B4070))</f>
        <v/>
      </c>
      <c r="L4070">
        <f>SUMPRODUCT(Calc!$K$3:$K$22*(Calc!$G$3:$G$22&gt;A4070)*(Calc!$G$3:$G$22-A4070)*Calc!$G$3:$G$22)</f>
        <v/>
      </c>
      <c r="M4070">
        <f>SUMPRODUCT(Calc!$K$3:$K$22*(Calc!$G$3:$G$22&gt;B4070)*(Calc!$G$3:$G$22-B4070)*Calc!$G$3:$G$22)</f>
        <v/>
      </c>
      <c r="N4070">
        <f>SUMPRODUCT(Calc!$K$3:$K$22*(Calc!$G$3:$G$22&gt;A4070)*(Calc!$G$3:$G$22-A4070)*Calc!$I$3:$I$22)</f>
        <v/>
      </c>
      <c r="O4070">
        <f>SUMPRODUCT(Calc!$K$3:$K$22*(Calc!$G$3:$G$22&gt;B4070)*(Calc!$G$3:$G$22-B4070)*Calc!$I$3:$I$22)</f>
        <v/>
      </c>
      <c r="P4070">
        <f>I4070-G4070^2/k_n</f>
        <v/>
      </c>
      <c r="Q4070">
        <f>J4070-H4070^2/k_n</f>
        <v/>
      </c>
      <c r="R4070">
        <f>K4070-G4070*H4070/k_n</f>
        <v/>
      </c>
      <c r="S4070">
        <f>L4070-LTP3!$D$3*G4070/k_n</f>
        <v/>
      </c>
      <c r="T4070">
        <f>M4070-LTP3!$D$3*H4070/k_n</f>
        <v/>
      </c>
      <c r="U4070">
        <f>N4070-G4070*LTP3!$D$4/k_n</f>
        <v/>
      </c>
      <c r="V4070">
        <f>O4070-H4070*LTP3!$D$4/k_n</f>
        <v/>
      </c>
      <c r="W4070">
        <f>((LTP3!$D$5)*((P4070)*(Q4070)-(R4070)*(R4070))-(S4070)*((S4070)*(Q4070)-(R4070)*(T4070))+(T4070)*((S4070)*(R4070)-(P4070)*(T4070)))</f>
        <v/>
      </c>
      <c r="X4070">
        <f>IF(ABS(W4070)&gt;1E-12,((LTP3!$D$6)*((P4070)*(Q4070)-(R4070)*(R4070))-(S4070)*((U4070)*(Q4070)-(R4070)*(V4070))+(T4070)*((U4070)*(R4070)-(P4070)*(V4070)))/W4070,0)</f>
        <v/>
      </c>
      <c r="Y4070">
        <f>IF(ABS(W4070)&gt;1E-12,((LTP3!$D$5)*((U4070)*(Q4070)-(R4070)*(V4070))-(LTP3!$D$6)*((S4070)*(Q4070)-(R4070)*(T4070))+(T4070)*((S4070)*(V4070)-(U4070)*(T4070)))/W4070,0)</f>
        <v/>
      </c>
      <c r="Z4070">
        <f>IF(ABS(W4070)&gt;1E-12,((LTP3!$D$5)*((P4070)*(V4070)-(U4070)*(R4070))-(S4070)*((S4070)*(V4070)-(U4070)*(T4070))+(LTP3!$D$6)*((S4070)*(R4070)-(P4070)*(T4070)))/W4070,0)</f>
        <v/>
      </c>
      <c r="AA4070">
        <f>LTP3!$D$7-X4070*LTP3!$D$6-Y4070*U4070-Z4070*V4070</f>
        <v/>
      </c>
      <c r="AB4070">
        <f>IF(AND(F4070,ABS(W4070)&gt;1E-12,Y4070&gt;0,Z4070&gt;0),AA4070,1E+300)</f>
        <v/>
      </c>
    </row>
    <row r="4071">
      <c r="A4071">
        <f>$I$3-$B$5+$B$5*15/10</f>
        <v/>
      </c>
      <c r="B4071">
        <f>$J$3-$B$5+$B$5*20/10</f>
        <v/>
      </c>
      <c r="C4071">
        <f>SUMPRODUCT(Calc!$K$3:$K$22*(Calc!$G$3:$G$22&lt;=A4071))</f>
        <v/>
      </c>
      <c r="D4071">
        <f>SUMPRODUCT(Calc!$K$3:$K$22*(Calc!$G$3:$G$22&gt;A4071)*(Calc!$G$3:$G$22&lt;B4071))</f>
        <v/>
      </c>
      <c r="E4071">
        <f>SUMPRODUCT(Calc!$K$3:$K$22*(Calc!$G$3:$G$22&gt;=B4071))</f>
        <v/>
      </c>
      <c r="F4071">
        <f>AND(k_n&gt;=5,B4071&gt;A4071+1E-9,C4071&gt;=2,D4071&gt;=1,E4071&gt;=2)</f>
        <v/>
      </c>
      <c r="G4071">
        <f>SUMPRODUCT(Calc!$K$3:$K$22*(Calc!$G$3:$G$22&gt;A4071)*(Calc!$G$3:$G$22-A4071))</f>
        <v/>
      </c>
      <c r="H4071">
        <f>SUMPRODUCT(Calc!$K$3:$K$22*(Calc!$G$3:$G$22&gt;B4071)*(Calc!$G$3:$G$22-B4071))</f>
        <v/>
      </c>
      <c r="I4071">
        <f>SUMPRODUCT(Calc!$K$3:$K$22*(Calc!$G$3:$G$22&gt;A4071)*(Calc!$G$3:$G$22-A4071)^2)</f>
        <v/>
      </c>
      <c r="J4071">
        <f>SUMPRODUCT(Calc!$K$3:$K$22*(Calc!$G$3:$G$22&gt;B4071)*(Calc!$G$3:$G$22-B4071)^2)</f>
        <v/>
      </c>
      <c r="K4071">
        <f>SUMPRODUCT(Calc!$K$3:$K$22*(Calc!$G$3:$G$22&gt;A4071)*(Calc!$G$3:$G$22-A4071)*(Calc!$G$3:$G$22&gt;B4071)*(Calc!$G$3:$G$22-B4071))</f>
        <v/>
      </c>
      <c r="L4071">
        <f>SUMPRODUCT(Calc!$K$3:$K$22*(Calc!$G$3:$G$22&gt;A4071)*(Calc!$G$3:$G$22-A4071)*Calc!$G$3:$G$22)</f>
        <v/>
      </c>
      <c r="M4071">
        <f>SUMPRODUCT(Calc!$K$3:$K$22*(Calc!$G$3:$G$22&gt;B4071)*(Calc!$G$3:$G$22-B4071)*Calc!$G$3:$G$22)</f>
        <v/>
      </c>
      <c r="N4071">
        <f>SUMPRODUCT(Calc!$K$3:$K$22*(Calc!$G$3:$G$22&gt;A4071)*(Calc!$G$3:$G$22-A4071)*Calc!$I$3:$I$22)</f>
        <v/>
      </c>
      <c r="O4071">
        <f>SUMPRODUCT(Calc!$K$3:$K$22*(Calc!$G$3:$G$22&gt;B4071)*(Calc!$G$3:$G$22-B4071)*Calc!$I$3:$I$22)</f>
        <v/>
      </c>
      <c r="P4071">
        <f>I4071-G4071^2/k_n</f>
        <v/>
      </c>
      <c r="Q4071">
        <f>J4071-H4071^2/k_n</f>
        <v/>
      </c>
      <c r="R4071">
        <f>K4071-G4071*H4071/k_n</f>
        <v/>
      </c>
      <c r="S4071">
        <f>L4071-LTP3!$D$3*G4071/k_n</f>
        <v/>
      </c>
      <c r="T4071">
        <f>M4071-LTP3!$D$3*H4071/k_n</f>
        <v/>
      </c>
      <c r="U4071">
        <f>N4071-G4071*LTP3!$D$4/k_n</f>
        <v/>
      </c>
      <c r="V4071">
        <f>O4071-H4071*LTP3!$D$4/k_n</f>
        <v/>
      </c>
      <c r="W4071">
        <f>((LTP3!$D$5)*((P4071)*(Q4071)-(R4071)*(R4071))-(S4071)*((S4071)*(Q4071)-(R4071)*(T4071))+(T4071)*((S4071)*(R4071)-(P4071)*(T4071)))</f>
        <v/>
      </c>
      <c r="X4071">
        <f>IF(ABS(W4071)&gt;1E-12,((LTP3!$D$6)*((P4071)*(Q4071)-(R4071)*(R4071))-(S4071)*((U4071)*(Q4071)-(R4071)*(V4071))+(T4071)*((U4071)*(R4071)-(P4071)*(V4071)))/W4071,0)</f>
        <v/>
      </c>
      <c r="Y4071">
        <f>IF(ABS(W4071)&gt;1E-12,((LTP3!$D$5)*((U4071)*(Q4071)-(R4071)*(V4071))-(LTP3!$D$6)*((S4071)*(Q4071)-(R4071)*(T4071))+(T4071)*((S4071)*(V4071)-(U4071)*(T4071)))/W4071,0)</f>
        <v/>
      </c>
      <c r="Z4071">
        <f>IF(ABS(W4071)&gt;1E-12,((LTP3!$D$5)*((P4071)*(V4071)-(U4071)*(R4071))-(S4071)*((S4071)*(V4071)-(U4071)*(T4071))+(LTP3!$D$6)*((S4071)*(R4071)-(P4071)*(T4071)))/W4071,0)</f>
        <v/>
      </c>
      <c r="AA4071">
        <f>LTP3!$D$7-X4071*LTP3!$D$6-Y4071*U4071-Z4071*V4071</f>
        <v/>
      </c>
      <c r="AB4071">
        <f>IF(AND(F4071,ABS(W4071)&gt;1E-12,Y4071&gt;0,Z4071&gt;0),AA4071,1E+300)</f>
        <v/>
      </c>
    </row>
    <row r="4072">
      <c r="A4072">
        <f>$I$3-$B$5+$B$5*16/10</f>
        <v/>
      </c>
      <c r="B4072">
        <f>$J$3-$B$5+$B$5*0/10</f>
        <v/>
      </c>
      <c r="C4072">
        <f>SUMPRODUCT(Calc!$K$3:$K$22*(Calc!$G$3:$G$22&lt;=A4072))</f>
        <v/>
      </c>
      <c r="D4072">
        <f>SUMPRODUCT(Calc!$K$3:$K$22*(Calc!$G$3:$G$22&gt;A4072)*(Calc!$G$3:$G$22&lt;B4072))</f>
        <v/>
      </c>
      <c r="E4072">
        <f>SUMPRODUCT(Calc!$K$3:$K$22*(Calc!$G$3:$G$22&gt;=B4072))</f>
        <v/>
      </c>
      <c r="F4072">
        <f>AND(k_n&gt;=5,B4072&gt;A4072+1E-9,C4072&gt;=2,D4072&gt;=1,E4072&gt;=2)</f>
        <v/>
      </c>
      <c r="G4072">
        <f>SUMPRODUCT(Calc!$K$3:$K$22*(Calc!$G$3:$G$22&gt;A4072)*(Calc!$G$3:$G$22-A4072))</f>
        <v/>
      </c>
      <c r="H4072">
        <f>SUMPRODUCT(Calc!$K$3:$K$22*(Calc!$G$3:$G$22&gt;B4072)*(Calc!$G$3:$G$22-B4072))</f>
        <v/>
      </c>
      <c r="I4072">
        <f>SUMPRODUCT(Calc!$K$3:$K$22*(Calc!$G$3:$G$22&gt;A4072)*(Calc!$G$3:$G$22-A4072)^2)</f>
        <v/>
      </c>
      <c r="J4072">
        <f>SUMPRODUCT(Calc!$K$3:$K$22*(Calc!$G$3:$G$22&gt;B4072)*(Calc!$G$3:$G$22-B4072)^2)</f>
        <v/>
      </c>
      <c r="K4072">
        <f>SUMPRODUCT(Calc!$K$3:$K$22*(Calc!$G$3:$G$22&gt;A4072)*(Calc!$G$3:$G$22-A4072)*(Calc!$G$3:$G$22&gt;B4072)*(Calc!$G$3:$G$22-B4072))</f>
        <v/>
      </c>
      <c r="L4072">
        <f>SUMPRODUCT(Calc!$K$3:$K$22*(Calc!$G$3:$G$22&gt;A4072)*(Calc!$G$3:$G$22-A4072)*Calc!$G$3:$G$22)</f>
        <v/>
      </c>
      <c r="M4072">
        <f>SUMPRODUCT(Calc!$K$3:$K$22*(Calc!$G$3:$G$22&gt;B4072)*(Calc!$G$3:$G$22-B4072)*Calc!$G$3:$G$22)</f>
        <v/>
      </c>
      <c r="N4072">
        <f>SUMPRODUCT(Calc!$K$3:$K$22*(Calc!$G$3:$G$22&gt;A4072)*(Calc!$G$3:$G$22-A4072)*Calc!$I$3:$I$22)</f>
        <v/>
      </c>
      <c r="O4072">
        <f>SUMPRODUCT(Calc!$K$3:$K$22*(Calc!$G$3:$G$22&gt;B4072)*(Calc!$G$3:$G$22-B4072)*Calc!$I$3:$I$22)</f>
        <v/>
      </c>
      <c r="P4072">
        <f>I4072-G4072^2/k_n</f>
        <v/>
      </c>
      <c r="Q4072">
        <f>J4072-H4072^2/k_n</f>
        <v/>
      </c>
      <c r="R4072">
        <f>K4072-G4072*H4072/k_n</f>
        <v/>
      </c>
      <c r="S4072">
        <f>L4072-LTP3!$D$3*G4072/k_n</f>
        <v/>
      </c>
      <c r="T4072">
        <f>M4072-LTP3!$D$3*H4072/k_n</f>
        <v/>
      </c>
      <c r="U4072">
        <f>N4072-G4072*LTP3!$D$4/k_n</f>
        <v/>
      </c>
      <c r="V4072">
        <f>O4072-H4072*LTP3!$D$4/k_n</f>
        <v/>
      </c>
      <c r="W4072">
        <f>((LTP3!$D$5)*((P4072)*(Q4072)-(R4072)*(R4072))-(S4072)*((S4072)*(Q4072)-(R4072)*(T4072))+(T4072)*((S4072)*(R4072)-(P4072)*(T4072)))</f>
        <v/>
      </c>
      <c r="X4072">
        <f>IF(ABS(W4072)&gt;1E-12,((LTP3!$D$6)*((P4072)*(Q4072)-(R4072)*(R4072))-(S4072)*((U4072)*(Q4072)-(R4072)*(V4072))+(T4072)*((U4072)*(R4072)-(P4072)*(V4072)))/W4072,0)</f>
        <v/>
      </c>
      <c r="Y4072">
        <f>IF(ABS(W4072)&gt;1E-12,((LTP3!$D$5)*((U4072)*(Q4072)-(R4072)*(V4072))-(LTP3!$D$6)*((S4072)*(Q4072)-(R4072)*(T4072))+(T4072)*((S4072)*(V4072)-(U4072)*(T4072)))/W4072,0)</f>
        <v/>
      </c>
      <c r="Z4072">
        <f>IF(ABS(W4072)&gt;1E-12,((LTP3!$D$5)*((P4072)*(V4072)-(U4072)*(R4072))-(S4072)*((S4072)*(V4072)-(U4072)*(T4072))+(LTP3!$D$6)*((S4072)*(R4072)-(P4072)*(T4072)))/W4072,0)</f>
        <v/>
      </c>
      <c r="AA4072">
        <f>LTP3!$D$7-X4072*LTP3!$D$6-Y4072*U4072-Z4072*V4072</f>
        <v/>
      </c>
      <c r="AB4072">
        <f>IF(AND(F4072,ABS(W4072)&gt;1E-12,Y4072&gt;0,Z4072&gt;0),AA4072,1E+300)</f>
        <v/>
      </c>
    </row>
    <row r="4073">
      <c r="A4073">
        <f>$I$3-$B$5+$B$5*16/10</f>
        <v/>
      </c>
      <c r="B4073">
        <f>$J$3-$B$5+$B$5*1/10</f>
        <v/>
      </c>
      <c r="C4073">
        <f>SUMPRODUCT(Calc!$K$3:$K$22*(Calc!$G$3:$G$22&lt;=A4073))</f>
        <v/>
      </c>
      <c r="D4073">
        <f>SUMPRODUCT(Calc!$K$3:$K$22*(Calc!$G$3:$G$22&gt;A4073)*(Calc!$G$3:$G$22&lt;B4073))</f>
        <v/>
      </c>
      <c r="E4073">
        <f>SUMPRODUCT(Calc!$K$3:$K$22*(Calc!$G$3:$G$22&gt;=B4073))</f>
        <v/>
      </c>
      <c r="F4073">
        <f>AND(k_n&gt;=5,B4073&gt;A4073+1E-9,C4073&gt;=2,D4073&gt;=1,E4073&gt;=2)</f>
        <v/>
      </c>
      <c r="G4073">
        <f>SUMPRODUCT(Calc!$K$3:$K$22*(Calc!$G$3:$G$22&gt;A4073)*(Calc!$G$3:$G$22-A4073))</f>
        <v/>
      </c>
      <c r="H4073">
        <f>SUMPRODUCT(Calc!$K$3:$K$22*(Calc!$G$3:$G$22&gt;B4073)*(Calc!$G$3:$G$22-B4073))</f>
        <v/>
      </c>
      <c r="I4073">
        <f>SUMPRODUCT(Calc!$K$3:$K$22*(Calc!$G$3:$G$22&gt;A4073)*(Calc!$G$3:$G$22-A4073)^2)</f>
        <v/>
      </c>
      <c r="J4073">
        <f>SUMPRODUCT(Calc!$K$3:$K$22*(Calc!$G$3:$G$22&gt;B4073)*(Calc!$G$3:$G$22-B4073)^2)</f>
        <v/>
      </c>
      <c r="K4073">
        <f>SUMPRODUCT(Calc!$K$3:$K$22*(Calc!$G$3:$G$22&gt;A4073)*(Calc!$G$3:$G$22-A4073)*(Calc!$G$3:$G$22&gt;B4073)*(Calc!$G$3:$G$22-B4073))</f>
        <v/>
      </c>
      <c r="L4073">
        <f>SUMPRODUCT(Calc!$K$3:$K$22*(Calc!$G$3:$G$22&gt;A4073)*(Calc!$G$3:$G$22-A4073)*Calc!$G$3:$G$22)</f>
        <v/>
      </c>
      <c r="M4073">
        <f>SUMPRODUCT(Calc!$K$3:$K$22*(Calc!$G$3:$G$22&gt;B4073)*(Calc!$G$3:$G$22-B4073)*Calc!$G$3:$G$22)</f>
        <v/>
      </c>
      <c r="N4073">
        <f>SUMPRODUCT(Calc!$K$3:$K$22*(Calc!$G$3:$G$22&gt;A4073)*(Calc!$G$3:$G$22-A4073)*Calc!$I$3:$I$22)</f>
        <v/>
      </c>
      <c r="O4073">
        <f>SUMPRODUCT(Calc!$K$3:$K$22*(Calc!$G$3:$G$22&gt;B4073)*(Calc!$G$3:$G$22-B4073)*Calc!$I$3:$I$22)</f>
        <v/>
      </c>
      <c r="P4073">
        <f>I4073-G4073^2/k_n</f>
        <v/>
      </c>
      <c r="Q4073">
        <f>J4073-H4073^2/k_n</f>
        <v/>
      </c>
      <c r="R4073">
        <f>K4073-G4073*H4073/k_n</f>
        <v/>
      </c>
      <c r="S4073">
        <f>L4073-LTP3!$D$3*G4073/k_n</f>
        <v/>
      </c>
      <c r="T4073">
        <f>M4073-LTP3!$D$3*H4073/k_n</f>
        <v/>
      </c>
      <c r="U4073">
        <f>N4073-G4073*LTP3!$D$4/k_n</f>
        <v/>
      </c>
      <c r="V4073">
        <f>O4073-H4073*LTP3!$D$4/k_n</f>
        <v/>
      </c>
      <c r="W4073">
        <f>((LTP3!$D$5)*((P4073)*(Q4073)-(R4073)*(R4073))-(S4073)*((S4073)*(Q4073)-(R4073)*(T4073))+(T4073)*((S4073)*(R4073)-(P4073)*(T4073)))</f>
        <v/>
      </c>
      <c r="X4073">
        <f>IF(ABS(W4073)&gt;1E-12,((LTP3!$D$6)*((P4073)*(Q4073)-(R4073)*(R4073))-(S4073)*((U4073)*(Q4073)-(R4073)*(V4073))+(T4073)*((U4073)*(R4073)-(P4073)*(V4073)))/W4073,0)</f>
        <v/>
      </c>
      <c r="Y4073">
        <f>IF(ABS(W4073)&gt;1E-12,((LTP3!$D$5)*((U4073)*(Q4073)-(R4073)*(V4073))-(LTP3!$D$6)*((S4073)*(Q4073)-(R4073)*(T4073))+(T4073)*((S4073)*(V4073)-(U4073)*(T4073)))/W4073,0)</f>
        <v/>
      </c>
      <c r="Z4073">
        <f>IF(ABS(W4073)&gt;1E-12,((LTP3!$D$5)*((P4073)*(V4073)-(U4073)*(R4073))-(S4073)*((S4073)*(V4073)-(U4073)*(T4073))+(LTP3!$D$6)*((S4073)*(R4073)-(P4073)*(T4073)))/W4073,0)</f>
        <v/>
      </c>
      <c r="AA4073">
        <f>LTP3!$D$7-X4073*LTP3!$D$6-Y4073*U4073-Z4073*V4073</f>
        <v/>
      </c>
      <c r="AB4073">
        <f>IF(AND(F4073,ABS(W4073)&gt;1E-12,Y4073&gt;0,Z4073&gt;0),AA4073,1E+300)</f>
        <v/>
      </c>
    </row>
    <row r="4074">
      <c r="A4074">
        <f>$I$3-$B$5+$B$5*16/10</f>
        <v/>
      </c>
      <c r="B4074">
        <f>$J$3-$B$5+$B$5*2/10</f>
        <v/>
      </c>
      <c r="C4074">
        <f>SUMPRODUCT(Calc!$K$3:$K$22*(Calc!$G$3:$G$22&lt;=A4074))</f>
        <v/>
      </c>
      <c r="D4074">
        <f>SUMPRODUCT(Calc!$K$3:$K$22*(Calc!$G$3:$G$22&gt;A4074)*(Calc!$G$3:$G$22&lt;B4074))</f>
        <v/>
      </c>
      <c r="E4074">
        <f>SUMPRODUCT(Calc!$K$3:$K$22*(Calc!$G$3:$G$22&gt;=B4074))</f>
        <v/>
      </c>
      <c r="F4074">
        <f>AND(k_n&gt;=5,B4074&gt;A4074+1E-9,C4074&gt;=2,D4074&gt;=1,E4074&gt;=2)</f>
        <v/>
      </c>
      <c r="G4074">
        <f>SUMPRODUCT(Calc!$K$3:$K$22*(Calc!$G$3:$G$22&gt;A4074)*(Calc!$G$3:$G$22-A4074))</f>
        <v/>
      </c>
      <c r="H4074">
        <f>SUMPRODUCT(Calc!$K$3:$K$22*(Calc!$G$3:$G$22&gt;B4074)*(Calc!$G$3:$G$22-B4074))</f>
        <v/>
      </c>
      <c r="I4074">
        <f>SUMPRODUCT(Calc!$K$3:$K$22*(Calc!$G$3:$G$22&gt;A4074)*(Calc!$G$3:$G$22-A4074)^2)</f>
        <v/>
      </c>
      <c r="J4074">
        <f>SUMPRODUCT(Calc!$K$3:$K$22*(Calc!$G$3:$G$22&gt;B4074)*(Calc!$G$3:$G$22-B4074)^2)</f>
        <v/>
      </c>
      <c r="K4074">
        <f>SUMPRODUCT(Calc!$K$3:$K$22*(Calc!$G$3:$G$22&gt;A4074)*(Calc!$G$3:$G$22-A4074)*(Calc!$G$3:$G$22&gt;B4074)*(Calc!$G$3:$G$22-B4074))</f>
        <v/>
      </c>
      <c r="L4074">
        <f>SUMPRODUCT(Calc!$K$3:$K$22*(Calc!$G$3:$G$22&gt;A4074)*(Calc!$G$3:$G$22-A4074)*Calc!$G$3:$G$22)</f>
        <v/>
      </c>
      <c r="M4074">
        <f>SUMPRODUCT(Calc!$K$3:$K$22*(Calc!$G$3:$G$22&gt;B4074)*(Calc!$G$3:$G$22-B4074)*Calc!$G$3:$G$22)</f>
        <v/>
      </c>
      <c r="N4074">
        <f>SUMPRODUCT(Calc!$K$3:$K$22*(Calc!$G$3:$G$22&gt;A4074)*(Calc!$G$3:$G$22-A4074)*Calc!$I$3:$I$22)</f>
        <v/>
      </c>
      <c r="O4074">
        <f>SUMPRODUCT(Calc!$K$3:$K$22*(Calc!$G$3:$G$22&gt;B4074)*(Calc!$G$3:$G$22-B4074)*Calc!$I$3:$I$22)</f>
        <v/>
      </c>
      <c r="P4074">
        <f>I4074-G4074^2/k_n</f>
        <v/>
      </c>
      <c r="Q4074">
        <f>J4074-H4074^2/k_n</f>
        <v/>
      </c>
      <c r="R4074">
        <f>K4074-G4074*H4074/k_n</f>
        <v/>
      </c>
      <c r="S4074">
        <f>L4074-LTP3!$D$3*G4074/k_n</f>
        <v/>
      </c>
      <c r="T4074">
        <f>M4074-LTP3!$D$3*H4074/k_n</f>
        <v/>
      </c>
      <c r="U4074">
        <f>N4074-G4074*LTP3!$D$4/k_n</f>
        <v/>
      </c>
      <c r="V4074">
        <f>O4074-H4074*LTP3!$D$4/k_n</f>
        <v/>
      </c>
      <c r="W4074">
        <f>((LTP3!$D$5)*((P4074)*(Q4074)-(R4074)*(R4074))-(S4074)*((S4074)*(Q4074)-(R4074)*(T4074))+(T4074)*((S4074)*(R4074)-(P4074)*(T4074)))</f>
        <v/>
      </c>
      <c r="X4074">
        <f>IF(ABS(W4074)&gt;1E-12,((LTP3!$D$6)*((P4074)*(Q4074)-(R4074)*(R4074))-(S4074)*((U4074)*(Q4074)-(R4074)*(V4074))+(T4074)*((U4074)*(R4074)-(P4074)*(V4074)))/W4074,0)</f>
        <v/>
      </c>
      <c r="Y4074">
        <f>IF(ABS(W4074)&gt;1E-12,((LTP3!$D$5)*((U4074)*(Q4074)-(R4074)*(V4074))-(LTP3!$D$6)*((S4074)*(Q4074)-(R4074)*(T4074))+(T4074)*((S4074)*(V4074)-(U4074)*(T4074)))/W4074,0)</f>
        <v/>
      </c>
      <c r="Z4074">
        <f>IF(ABS(W4074)&gt;1E-12,((LTP3!$D$5)*((P4074)*(V4074)-(U4074)*(R4074))-(S4074)*((S4074)*(V4074)-(U4074)*(T4074))+(LTP3!$D$6)*((S4074)*(R4074)-(P4074)*(T4074)))/W4074,0)</f>
        <v/>
      </c>
      <c r="AA4074">
        <f>LTP3!$D$7-X4074*LTP3!$D$6-Y4074*U4074-Z4074*V4074</f>
        <v/>
      </c>
      <c r="AB4074">
        <f>IF(AND(F4074,ABS(W4074)&gt;1E-12,Y4074&gt;0,Z4074&gt;0),AA4074,1E+300)</f>
        <v/>
      </c>
    </row>
    <row r="4075">
      <c r="A4075">
        <f>$I$3-$B$5+$B$5*16/10</f>
        <v/>
      </c>
      <c r="B4075">
        <f>$J$3-$B$5+$B$5*3/10</f>
        <v/>
      </c>
      <c r="C4075">
        <f>SUMPRODUCT(Calc!$K$3:$K$22*(Calc!$G$3:$G$22&lt;=A4075))</f>
        <v/>
      </c>
      <c r="D4075">
        <f>SUMPRODUCT(Calc!$K$3:$K$22*(Calc!$G$3:$G$22&gt;A4075)*(Calc!$G$3:$G$22&lt;B4075))</f>
        <v/>
      </c>
      <c r="E4075">
        <f>SUMPRODUCT(Calc!$K$3:$K$22*(Calc!$G$3:$G$22&gt;=B4075))</f>
        <v/>
      </c>
      <c r="F4075">
        <f>AND(k_n&gt;=5,B4075&gt;A4075+1E-9,C4075&gt;=2,D4075&gt;=1,E4075&gt;=2)</f>
        <v/>
      </c>
      <c r="G4075">
        <f>SUMPRODUCT(Calc!$K$3:$K$22*(Calc!$G$3:$G$22&gt;A4075)*(Calc!$G$3:$G$22-A4075))</f>
        <v/>
      </c>
      <c r="H4075">
        <f>SUMPRODUCT(Calc!$K$3:$K$22*(Calc!$G$3:$G$22&gt;B4075)*(Calc!$G$3:$G$22-B4075))</f>
        <v/>
      </c>
      <c r="I4075">
        <f>SUMPRODUCT(Calc!$K$3:$K$22*(Calc!$G$3:$G$22&gt;A4075)*(Calc!$G$3:$G$22-A4075)^2)</f>
        <v/>
      </c>
      <c r="J4075">
        <f>SUMPRODUCT(Calc!$K$3:$K$22*(Calc!$G$3:$G$22&gt;B4075)*(Calc!$G$3:$G$22-B4075)^2)</f>
        <v/>
      </c>
      <c r="K4075">
        <f>SUMPRODUCT(Calc!$K$3:$K$22*(Calc!$G$3:$G$22&gt;A4075)*(Calc!$G$3:$G$22-A4075)*(Calc!$G$3:$G$22&gt;B4075)*(Calc!$G$3:$G$22-B4075))</f>
        <v/>
      </c>
      <c r="L4075">
        <f>SUMPRODUCT(Calc!$K$3:$K$22*(Calc!$G$3:$G$22&gt;A4075)*(Calc!$G$3:$G$22-A4075)*Calc!$G$3:$G$22)</f>
        <v/>
      </c>
      <c r="M4075">
        <f>SUMPRODUCT(Calc!$K$3:$K$22*(Calc!$G$3:$G$22&gt;B4075)*(Calc!$G$3:$G$22-B4075)*Calc!$G$3:$G$22)</f>
        <v/>
      </c>
      <c r="N4075">
        <f>SUMPRODUCT(Calc!$K$3:$K$22*(Calc!$G$3:$G$22&gt;A4075)*(Calc!$G$3:$G$22-A4075)*Calc!$I$3:$I$22)</f>
        <v/>
      </c>
      <c r="O4075">
        <f>SUMPRODUCT(Calc!$K$3:$K$22*(Calc!$G$3:$G$22&gt;B4075)*(Calc!$G$3:$G$22-B4075)*Calc!$I$3:$I$22)</f>
        <v/>
      </c>
      <c r="P4075">
        <f>I4075-G4075^2/k_n</f>
        <v/>
      </c>
      <c r="Q4075">
        <f>J4075-H4075^2/k_n</f>
        <v/>
      </c>
      <c r="R4075">
        <f>K4075-G4075*H4075/k_n</f>
        <v/>
      </c>
      <c r="S4075">
        <f>L4075-LTP3!$D$3*G4075/k_n</f>
        <v/>
      </c>
      <c r="T4075">
        <f>M4075-LTP3!$D$3*H4075/k_n</f>
        <v/>
      </c>
      <c r="U4075">
        <f>N4075-G4075*LTP3!$D$4/k_n</f>
        <v/>
      </c>
      <c r="V4075">
        <f>O4075-H4075*LTP3!$D$4/k_n</f>
        <v/>
      </c>
      <c r="W4075">
        <f>((LTP3!$D$5)*((P4075)*(Q4075)-(R4075)*(R4075))-(S4075)*((S4075)*(Q4075)-(R4075)*(T4075))+(T4075)*((S4075)*(R4075)-(P4075)*(T4075)))</f>
        <v/>
      </c>
      <c r="X4075">
        <f>IF(ABS(W4075)&gt;1E-12,((LTP3!$D$6)*((P4075)*(Q4075)-(R4075)*(R4075))-(S4075)*((U4075)*(Q4075)-(R4075)*(V4075))+(T4075)*((U4075)*(R4075)-(P4075)*(V4075)))/W4075,0)</f>
        <v/>
      </c>
      <c r="Y4075">
        <f>IF(ABS(W4075)&gt;1E-12,((LTP3!$D$5)*((U4075)*(Q4075)-(R4075)*(V4075))-(LTP3!$D$6)*((S4075)*(Q4075)-(R4075)*(T4075))+(T4075)*((S4075)*(V4075)-(U4075)*(T4075)))/W4075,0)</f>
        <v/>
      </c>
      <c r="Z4075">
        <f>IF(ABS(W4075)&gt;1E-12,((LTP3!$D$5)*((P4075)*(V4075)-(U4075)*(R4075))-(S4075)*((S4075)*(V4075)-(U4075)*(T4075))+(LTP3!$D$6)*((S4075)*(R4075)-(P4075)*(T4075)))/W4075,0)</f>
        <v/>
      </c>
      <c r="AA4075">
        <f>LTP3!$D$7-X4075*LTP3!$D$6-Y4075*U4075-Z4075*V4075</f>
        <v/>
      </c>
      <c r="AB4075">
        <f>IF(AND(F4075,ABS(W4075)&gt;1E-12,Y4075&gt;0,Z4075&gt;0),AA4075,1E+300)</f>
        <v/>
      </c>
    </row>
    <row r="4076">
      <c r="A4076">
        <f>$I$3-$B$5+$B$5*16/10</f>
        <v/>
      </c>
      <c r="B4076">
        <f>$J$3-$B$5+$B$5*4/10</f>
        <v/>
      </c>
      <c r="C4076">
        <f>SUMPRODUCT(Calc!$K$3:$K$22*(Calc!$G$3:$G$22&lt;=A4076))</f>
        <v/>
      </c>
      <c r="D4076">
        <f>SUMPRODUCT(Calc!$K$3:$K$22*(Calc!$G$3:$G$22&gt;A4076)*(Calc!$G$3:$G$22&lt;B4076))</f>
        <v/>
      </c>
      <c r="E4076">
        <f>SUMPRODUCT(Calc!$K$3:$K$22*(Calc!$G$3:$G$22&gt;=B4076))</f>
        <v/>
      </c>
      <c r="F4076">
        <f>AND(k_n&gt;=5,B4076&gt;A4076+1E-9,C4076&gt;=2,D4076&gt;=1,E4076&gt;=2)</f>
        <v/>
      </c>
      <c r="G4076">
        <f>SUMPRODUCT(Calc!$K$3:$K$22*(Calc!$G$3:$G$22&gt;A4076)*(Calc!$G$3:$G$22-A4076))</f>
        <v/>
      </c>
      <c r="H4076">
        <f>SUMPRODUCT(Calc!$K$3:$K$22*(Calc!$G$3:$G$22&gt;B4076)*(Calc!$G$3:$G$22-B4076))</f>
        <v/>
      </c>
      <c r="I4076">
        <f>SUMPRODUCT(Calc!$K$3:$K$22*(Calc!$G$3:$G$22&gt;A4076)*(Calc!$G$3:$G$22-A4076)^2)</f>
        <v/>
      </c>
      <c r="J4076">
        <f>SUMPRODUCT(Calc!$K$3:$K$22*(Calc!$G$3:$G$22&gt;B4076)*(Calc!$G$3:$G$22-B4076)^2)</f>
        <v/>
      </c>
      <c r="K4076">
        <f>SUMPRODUCT(Calc!$K$3:$K$22*(Calc!$G$3:$G$22&gt;A4076)*(Calc!$G$3:$G$22-A4076)*(Calc!$G$3:$G$22&gt;B4076)*(Calc!$G$3:$G$22-B4076))</f>
        <v/>
      </c>
      <c r="L4076">
        <f>SUMPRODUCT(Calc!$K$3:$K$22*(Calc!$G$3:$G$22&gt;A4076)*(Calc!$G$3:$G$22-A4076)*Calc!$G$3:$G$22)</f>
        <v/>
      </c>
      <c r="M4076">
        <f>SUMPRODUCT(Calc!$K$3:$K$22*(Calc!$G$3:$G$22&gt;B4076)*(Calc!$G$3:$G$22-B4076)*Calc!$G$3:$G$22)</f>
        <v/>
      </c>
      <c r="N4076">
        <f>SUMPRODUCT(Calc!$K$3:$K$22*(Calc!$G$3:$G$22&gt;A4076)*(Calc!$G$3:$G$22-A4076)*Calc!$I$3:$I$22)</f>
        <v/>
      </c>
      <c r="O4076">
        <f>SUMPRODUCT(Calc!$K$3:$K$22*(Calc!$G$3:$G$22&gt;B4076)*(Calc!$G$3:$G$22-B4076)*Calc!$I$3:$I$22)</f>
        <v/>
      </c>
      <c r="P4076">
        <f>I4076-G4076^2/k_n</f>
        <v/>
      </c>
      <c r="Q4076">
        <f>J4076-H4076^2/k_n</f>
        <v/>
      </c>
      <c r="R4076">
        <f>K4076-G4076*H4076/k_n</f>
        <v/>
      </c>
      <c r="S4076">
        <f>L4076-LTP3!$D$3*G4076/k_n</f>
        <v/>
      </c>
      <c r="T4076">
        <f>M4076-LTP3!$D$3*H4076/k_n</f>
        <v/>
      </c>
      <c r="U4076">
        <f>N4076-G4076*LTP3!$D$4/k_n</f>
        <v/>
      </c>
      <c r="V4076">
        <f>O4076-H4076*LTP3!$D$4/k_n</f>
        <v/>
      </c>
      <c r="W4076">
        <f>((LTP3!$D$5)*((P4076)*(Q4076)-(R4076)*(R4076))-(S4076)*((S4076)*(Q4076)-(R4076)*(T4076))+(T4076)*((S4076)*(R4076)-(P4076)*(T4076)))</f>
        <v/>
      </c>
      <c r="X4076">
        <f>IF(ABS(W4076)&gt;1E-12,((LTP3!$D$6)*((P4076)*(Q4076)-(R4076)*(R4076))-(S4076)*((U4076)*(Q4076)-(R4076)*(V4076))+(T4076)*((U4076)*(R4076)-(P4076)*(V4076)))/W4076,0)</f>
        <v/>
      </c>
      <c r="Y4076">
        <f>IF(ABS(W4076)&gt;1E-12,((LTP3!$D$5)*((U4076)*(Q4076)-(R4076)*(V4076))-(LTP3!$D$6)*((S4076)*(Q4076)-(R4076)*(T4076))+(T4076)*((S4076)*(V4076)-(U4076)*(T4076)))/W4076,0)</f>
        <v/>
      </c>
      <c r="Z4076">
        <f>IF(ABS(W4076)&gt;1E-12,((LTP3!$D$5)*((P4076)*(V4076)-(U4076)*(R4076))-(S4076)*((S4076)*(V4076)-(U4076)*(T4076))+(LTP3!$D$6)*((S4076)*(R4076)-(P4076)*(T4076)))/W4076,0)</f>
        <v/>
      </c>
      <c r="AA4076">
        <f>LTP3!$D$7-X4076*LTP3!$D$6-Y4076*U4076-Z4076*V4076</f>
        <v/>
      </c>
      <c r="AB4076">
        <f>IF(AND(F4076,ABS(W4076)&gt;1E-12,Y4076&gt;0,Z4076&gt;0),AA4076,1E+300)</f>
        <v/>
      </c>
    </row>
    <row r="4077">
      <c r="A4077">
        <f>$I$3-$B$5+$B$5*16/10</f>
        <v/>
      </c>
      <c r="B4077">
        <f>$J$3-$B$5+$B$5*5/10</f>
        <v/>
      </c>
      <c r="C4077">
        <f>SUMPRODUCT(Calc!$K$3:$K$22*(Calc!$G$3:$G$22&lt;=A4077))</f>
        <v/>
      </c>
      <c r="D4077">
        <f>SUMPRODUCT(Calc!$K$3:$K$22*(Calc!$G$3:$G$22&gt;A4077)*(Calc!$G$3:$G$22&lt;B4077))</f>
        <v/>
      </c>
      <c r="E4077">
        <f>SUMPRODUCT(Calc!$K$3:$K$22*(Calc!$G$3:$G$22&gt;=B4077))</f>
        <v/>
      </c>
      <c r="F4077">
        <f>AND(k_n&gt;=5,B4077&gt;A4077+1E-9,C4077&gt;=2,D4077&gt;=1,E4077&gt;=2)</f>
        <v/>
      </c>
      <c r="G4077">
        <f>SUMPRODUCT(Calc!$K$3:$K$22*(Calc!$G$3:$G$22&gt;A4077)*(Calc!$G$3:$G$22-A4077))</f>
        <v/>
      </c>
      <c r="H4077">
        <f>SUMPRODUCT(Calc!$K$3:$K$22*(Calc!$G$3:$G$22&gt;B4077)*(Calc!$G$3:$G$22-B4077))</f>
        <v/>
      </c>
      <c r="I4077">
        <f>SUMPRODUCT(Calc!$K$3:$K$22*(Calc!$G$3:$G$22&gt;A4077)*(Calc!$G$3:$G$22-A4077)^2)</f>
        <v/>
      </c>
      <c r="J4077">
        <f>SUMPRODUCT(Calc!$K$3:$K$22*(Calc!$G$3:$G$22&gt;B4077)*(Calc!$G$3:$G$22-B4077)^2)</f>
        <v/>
      </c>
      <c r="K4077">
        <f>SUMPRODUCT(Calc!$K$3:$K$22*(Calc!$G$3:$G$22&gt;A4077)*(Calc!$G$3:$G$22-A4077)*(Calc!$G$3:$G$22&gt;B4077)*(Calc!$G$3:$G$22-B4077))</f>
        <v/>
      </c>
      <c r="L4077">
        <f>SUMPRODUCT(Calc!$K$3:$K$22*(Calc!$G$3:$G$22&gt;A4077)*(Calc!$G$3:$G$22-A4077)*Calc!$G$3:$G$22)</f>
        <v/>
      </c>
      <c r="M4077">
        <f>SUMPRODUCT(Calc!$K$3:$K$22*(Calc!$G$3:$G$22&gt;B4077)*(Calc!$G$3:$G$22-B4077)*Calc!$G$3:$G$22)</f>
        <v/>
      </c>
      <c r="N4077">
        <f>SUMPRODUCT(Calc!$K$3:$K$22*(Calc!$G$3:$G$22&gt;A4077)*(Calc!$G$3:$G$22-A4077)*Calc!$I$3:$I$22)</f>
        <v/>
      </c>
      <c r="O4077">
        <f>SUMPRODUCT(Calc!$K$3:$K$22*(Calc!$G$3:$G$22&gt;B4077)*(Calc!$G$3:$G$22-B4077)*Calc!$I$3:$I$22)</f>
        <v/>
      </c>
      <c r="P4077">
        <f>I4077-G4077^2/k_n</f>
        <v/>
      </c>
      <c r="Q4077">
        <f>J4077-H4077^2/k_n</f>
        <v/>
      </c>
      <c r="R4077">
        <f>K4077-G4077*H4077/k_n</f>
        <v/>
      </c>
      <c r="S4077">
        <f>L4077-LTP3!$D$3*G4077/k_n</f>
        <v/>
      </c>
      <c r="T4077">
        <f>M4077-LTP3!$D$3*H4077/k_n</f>
        <v/>
      </c>
      <c r="U4077">
        <f>N4077-G4077*LTP3!$D$4/k_n</f>
        <v/>
      </c>
      <c r="V4077">
        <f>O4077-H4077*LTP3!$D$4/k_n</f>
        <v/>
      </c>
      <c r="W4077">
        <f>((LTP3!$D$5)*((P4077)*(Q4077)-(R4077)*(R4077))-(S4077)*((S4077)*(Q4077)-(R4077)*(T4077))+(T4077)*((S4077)*(R4077)-(P4077)*(T4077)))</f>
        <v/>
      </c>
      <c r="X4077">
        <f>IF(ABS(W4077)&gt;1E-12,((LTP3!$D$6)*((P4077)*(Q4077)-(R4077)*(R4077))-(S4077)*((U4077)*(Q4077)-(R4077)*(V4077))+(T4077)*((U4077)*(R4077)-(P4077)*(V4077)))/W4077,0)</f>
        <v/>
      </c>
      <c r="Y4077">
        <f>IF(ABS(W4077)&gt;1E-12,((LTP3!$D$5)*((U4077)*(Q4077)-(R4077)*(V4077))-(LTP3!$D$6)*((S4077)*(Q4077)-(R4077)*(T4077))+(T4077)*((S4077)*(V4077)-(U4077)*(T4077)))/W4077,0)</f>
        <v/>
      </c>
      <c r="Z4077">
        <f>IF(ABS(W4077)&gt;1E-12,((LTP3!$D$5)*((P4077)*(V4077)-(U4077)*(R4077))-(S4077)*((S4077)*(V4077)-(U4077)*(T4077))+(LTP3!$D$6)*((S4077)*(R4077)-(P4077)*(T4077)))/W4077,0)</f>
        <v/>
      </c>
      <c r="AA4077">
        <f>LTP3!$D$7-X4077*LTP3!$D$6-Y4077*U4077-Z4077*V4077</f>
        <v/>
      </c>
      <c r="AB4077">
        <f>IF(AND(F4077,ABS(W4077)&gt;1E-12,Y4077&gt;0,Z4077&gt;0),AA4077,1E+300)</f>
        <v/>
      </c>
    </row>
    <row r="4078">
      <c r="A4078">
        <f>$I$3-$B$5+$B$5*16/10</f>
        <v/>
      </c>
      <c r="B4078">
        <f>$J$3-$B$5+$B$5*6/10</f>
        <v/>
      </c>
      <c r="C4078">
        <f>SUMPRODUCT(Calc!$K$3:$K$22*(Calc!$G$3:$G$22&lt;=A4078))</f>
        <v/>
      </c>
      <c r="D4078">
        <f>SUMPRODUCT(Calc!$K$3:$K$22*(Calc!$G$3:$G$22&gt;A4078)*(Calc!$G$3:$G$22&lt;B4078))</f>
        <v/>
      </c>
      <c r="E4078">
        <f>SUMPRODUCT(Calc!$K$3:$K$22*(Calc!$G$3:$G$22&gt;=B4078))</f>
        <v/>
      </c>
      <c r="F4078">
        <f>AND(k_n&gt;=5,B4078&gt;A4078+1E-9,C4078&gt;=2,D4078&gt;=1,E4078&gt;=2)</f>
        <v/>
      </c>
      <c r="G4078">
        <f>SUMPRODUCT(Calc!$K$3:$K$22*(Calc!$G$3:$G$22&gt;A4078)*(Calc!$G$3:$G$22-A4078))</f>
        <v/>
      </c>
      <c r="H4078">
        <f>SUMPRODUCT(Calc!$K$3:$K$22*(Calc!$G$3:$G$22&gt;B4078)*(Calc!$G$3:$G$22-B4078))</f>
        <v/>
      </c>
      <c r="I4078">
        <f>SUMPRODUCT(Calc!$K$3:$K$22*(Calc!$G$3:$G$22&gt;A4078)*(Calc!$G$3:$G$22-A4078)^2)</f>
        <v/>
      </c>
      <c r="J4078">
        <f>SUMPRODUCT(Calc!$K$3:$K$22*(Calc!$G$3:$G$22&gt;B4078)*(Calc!$G$3:$G$22-B4078)^2)</f>
        <v/>
      </c>
      <c r="K4078">
        <f>SUMPRODUCT(Calc!$K$3:$K$22*(Calc!$G$3:$G$22&gt;A4078)*(Calc!$G$3:$G$22-A4078)*(Calc!$G$3:$G$22&gt;B4078)*(Calc!$G$3:$G$22-B4078))</f>
        <v/>
      </c>
      <c r="L4078">
        <f>SUMPRODUCT(Calc!$K$3:$K$22*(Calc!$G$3:$G$22&gt;A4078)*(Calc!$G$3:$G$22-A4078)*Calc!$G$3:$G$22)</f>
        <v/>
      </c>
      <c r="M4078">
        <f>SUMPRODUCT(Calc!$K$3:$K$22*(Calc!$G$3:$G$22&gt;B4078)*(Calc!$G$3:$G$22-B4078)*Calc!$G$3:$G$22)</f>
        <v/>
      </c>
      <c r="N4078">
        <f>SUMPRODUCT(Calc!$K$3:$K$22*(Calc!$G$3:$G$22&gt;A4078)*(Calc!$G$3:$G$22-A4078)*Calc!$I$3:$I$22)</f>
        <v/>
      </c>
      <c r="O4078">
        <f>SUMPRODUCT(Calc!$K$3:$K$22*(Calc!$G$3:$G$22&gt;B4078)*(Calc!$G$3:$G$22-B4078)*Calc!$I$3:$I$22)</f>
        <v/>
      </c>
      <c r="P4078">
        <f>I4078-G4078^2/k_n</f>
        <v/>
      </c>
      <c r="Q4078">
        <f>J4078-H4078^2/k_n</f>
        <v/>
      </c>
      <c r="R4078">
        <f>K4078-G4078*H4078/k_n</f>
        <v/>
      </c>
      <c r="S4078">
        <f>L4078-LTP3!$D$3*G4078/k_n</f>
        <v/>
      </c>
      <c r="T4078">
        <f>M4078-LTP3!$D$3*H4078/k_n</f>
        <v/>
      </c>
      <c r="U4078">
        <f>N4078-G4078*LTP3!$D$4/k_n</f>
        <v/>
      </c>
      <c r="V4078">
        <f>O4078-H4078*LTP3!$D$4/k_n</f>
        <v/>
      </c>
      <c r="W4078">
        <f>((LTP3!$D$5)*((P4078)*(Q4078)-(R4078)*(R4078))-(S4078)*((S4078)*(Q4078)-(R4078)*(T4078))+(T4078)*((S4078)*(R4078)-(P4078)*(T4078)))</f>
        <v/>
      </c>
      <c r="X4078">
        <f>IF(ABS(W4078)&gt;1E-12,((LTP3!$D$6)*((P4078)*(Q4078)-(R4078)*(R4078))-(S4078)*((U4078)*(Q4078)-(R4078)*(V4078))+(T4078)*((U4078)*(R4078)-(P4078)*(V4078)))/W4078,0)</f>
        <v/>
      </c>
      <c r="Y4078">
        <f>IF(ABS(W4078)&gt;1E-12,((LTP3!$D$5)*((U4078)*(Q4078)-(R4078)*(V4078))-(LTP3!$D$6)*((S4078)*(Q4078)-(R4078)*(T4078))+(T4078)*((S4078)*(V4078)-(U4078)*(T4078)))/W4078,0)</f>
        <v/>
      </c>
      <c r="Z4078">
        <f>IF(ABS(W4078)&gt;1E-12,((LTP3!$D$5)*((P4078)*(V4078)-(U4078)*(R4078))-(S4078)*((S4078)*(V4078)-(U4078)*(T4078))+(LTP3!$D$6)*((S4078)*(R4078)-(P4078)*(T4078)))/W4078,0)</f>
        <v/>
      </c>
      <c r="AA4078">
        <f>LTP3!$D$7-X4078*LTP3!$D$6-Y4078*U4078-Z4078*V4078</f>
        <v/>
      </c>
      <c r="AB4078">
        <f>IF(AND(F4078,ABS(W4078)&gt;1E-12,Y4078&gt;0,Z4078&gt;0),AA4078,1E+300)</f>
        <v/>
      </c>
    </row>
    <row r="4079">
      <c r="A4079">
        <f>$I$3-$B$5+$B$5*16/10</f>
        <v/>
      </c>
      <c r="B4079">
        <f>$J$3-$B$5+$B$5*7/10</f>
        <v/>
      </c>
      <c r="C4079">
        <f>SUMPRODUCT(Calc!$K$3:$K$22*(Calc!$G$3:$G$22&lt;=A4079))</f>
        <v/>
      </c>
      <c r="D4079">
        <f>SUMPRODUCT(Calc!$K$3:$K$22*(Calc!$G$3:$G$22&gt;A4079)*(Calc!$G$3:$G$22&lt;B4079))</f>
        <v/>
      </c>
      <c r="E4079">
        <f>SUMPRODUCT(Calc!$K$3:$K$22*(Calc!$G$3:$G$22&gt;=B4079))</f>
        <v/>
      </c>
      <c r="F4079">
        <f>AND(k_n&gt;=5,B4079&gt;A4079+1E-9,C4079&gt;=2,D4079&gt;=1,E4079&gt;=2)</f>
        <v/>
      </c>
      <c r="G4079">
        <f>SUMPRODUCT(Calc!$K$3:$K$22*(Calc!$G$3:$G$22&gt;A4079)*(Calc!$G$3:$G$22-A4079))</f>
        <v/>
      </c>
      <c r="H4079">
        <f>SUMPRODUCT(Calc!$K$3:$K$22*(Calc!$G$3:$G$22&gt;B4079)*(Calc!$G$3:$G$22-B4079))</f>
        <v/>
      </c>
      <c r="I4079">
        <f>SUMPRODUCT(Calc!$K$3:$K$22*(Calc!$G$3:$G$22&gt;A4079)*(Calc!$G$3:$G$22-A4079)^2)</f>
        <v/>
      </c>
      <c r="J4079">
        <f>SUMPRODUCT(Calc!$K$3:$K$22*(Calc!$G$3:$G$22&gt;B4079)*(Calc!$G$3:$G$22-B4079)^2)</f>
        <v/>
      </c>
      <c r="K4079">
        <f>SUMPRODUCT(Calc!$K$3:$K$22*(Calc!$G$3:$G$22&gt;A4079)*(Calc!$G$3:$G$22-A4079)*(Calc!$G$3:$G$22&gt;B4079)*(Calc!$G$3:$G$22-B4079))</f>
        <v/>
      </c>
      <c r="L4079">
        <f>SUMPRODUCT(Calc!$K$3:$K$22*(Calc!$G$3:$G$22&gt;A4079)*(Calc!$G$3:$G$22-A4079)*Calc!$G$3:$G$22)</f>
        <v/>
      </c>
      <c r="M4079">
        <f>SUMPRODUCT(Calc!$K$3:$K$22*(Calc!$G$3:$G$22&gt;B4079)*(Calc!$G$3:$G$22-B4079)*Calc!$G$3:$G$22)</f>
        <v/>
      </c>
      <c r="N4079">
        <f>SUMPRODUCT(Calc!$K$3:$K$22*(Calc!$G$3:$G$22&gt;A4079)*(Calc!$G$3:$G$22-A4079)*Calc!$I$3:$I$22)</f>
        <v/>
      </c>
      <c r="O4079">
        <f>SUMPRODUCT(Calc!$K$3:$K$22*(Calc!$G$3:$G$22&gt;B4079)*(Calc!$G$3:$G$22-B4079)*Calc!$I$3:$I$22)</f>
        <v/>
      </c>
      <c r="P4079">
        <f>I4079-G4079^2/k_n</f>
        <v/>
      </c>
      <c r="Q4079">
        <f>J4079-H4079^2/k_n</f>
        <v/>
      </c>
      <c r="R4079">
        <f>K4079-G4079*H4079/k_n</f>
        <v/>
      </c>
      <c r="S4079">
        <f>L4079-LTP3!$D$3*G4079/k_n</f>
        <v/>
      </c>
      <c r="T4079">
        <f>M4079-LTP3!$D$3*H4079/k_n</f>
        <v/>
      </c>
      <c r="U4079">
        <f>N4079-G4079*LTP3!$D$4/k_n</f>
        <v/>
      </c>
      <c r="V4079">
        <f>O4079-H4079*LTP3!$D$4/k_n</f>
        <v/>
      </c>
      <c r="W4079">
        <f>((LTP3!$D$5)*((P4079)*(Q4079)-(R4079)*(R4079))-(S4079)*((S4079)*(Q4079)-(R4079)*(T4079))+(T4079)*((S4079)*(R4079)-(P4079)*(T4079)))</f>
        <v/>
      </c>
      <c r="X4079">
        <f>IF(ABS(W4079)&gt;1E-12,((LTP3!$D$6)*((P4079)*(Q4079)-(R4079)*(R4079))-(S4079)*((U4079)*(Q4079)-(R4079)*(V4079))+(T4079)*((U4079)*(R4079)-(P4079)*(V4079)))/W4079,0)</f>
        <v/>
      </c>
      <c r="Y4079">
        <f>IF(ABS(W4079)&gt;1E-12,((LTP3!$D$5)*((U4079)*(Q4079)-(R4079)*(V4079))-(LTP3!$D$6)*((S4079)*(Q4079)-(R4079)*(T4079))+(T4079)*((S4079)*(V4079)-(U4079)*(T4079)))/W4079,0)</f>
        <v/>
      </c>
      <c r="Z4079">
        <f>IF(ABS(W4079)&gt;1E-12,((LTP3!$D$5)*((P4079)*(V4079)-(U4079)*(R4079))-(S4079)*((S4079)*(V4079)-(U4079)*(T4079))+(LTP3!$D$6)*((S4079)*(R4079)-(P4079)*(T4079)))/W4079,0)</f>
        <v/>
      </c>
      <c r="AA4079">
        <f>LTP3!$D$7-X4079*LTP3!$D$6-Y4079*U4079-Z4079*V4079</f>
        <v/>
      </c>
      <c r="AB4079">
        <f>IF(AND(F4079,ABS(W4079)&gt;1E-12,Y4079&gt;0,Z4079&gt;0),AA4079,1E+300)</f>
        <v/>
      </c>
    </row>
    <row r="4080">
      <c r="A4080">
        <f>$I$3-$B$5+$B$5*16/10</f>
        <v/>
      </c>
      <c r="B4080">
        <f>$J$3-$B$5+$B$5*8/10</f>
        <v/>
      </c>
      <c r="C4080">
        <f>SUMPRODUCT(Calc!$K$3:$K$22*(Calc!$G$3:$G$22&lt;=A4080))</f>
        <v/>
      </c>
      <c r="D4080">
        <f>SUMPRODUCT(Calc!$K$3:$K$22*(Calc!$G$3:$G$22&gt;A4080)*(Calc!$G$3:$G$22&lt;B4080))</f>
        <v/>
      </c>
      <c r="E4080">
        <f>SUMPRODUCT(Calc!$K$3:$K$22*(Calc!$G$3:$G$22&gt;=B4080))</f>
        <v/>
      </c>
      <c r="F4080">
        <f>AND(k_n&gt;=5,B4080&gt;A4080+1E-9,C4080&gt;=2,D4080&gt;=1,E4080&gt;=2)</f>
        <v/>
      </c>
      <c r="G4080">
        <f>SUMPRODUCT(Calc!$K$3:$K$22*(Calc!$G$3:$G$22&gt;A4080)*(Calc!$G$3:$G$22-A4080))</f>
        <v/>
      </c>
      <c r="H4080">
        <f>SUMPRODUCT(Calc!$K$3:$K$22*(Calc!$G$3:$G$22&gt;B4080)*(Calc!$G$3:$G$22-B4080))</f>
        <v/>
      </c>
      <c r="I4080">
        <f>SUMPRODUCT(Calc!$K$3:$K$22*(Calc!$G$3:$G$22&gt;A4080)*(Calc!$G$3:$G$22-A4080)^2)</f>
        <v/>
      </c>
      <c r="J4080">
        <f>SUMPRODUCT(Calc!$K$3:$K$22*(Calc!$G$3:$G$22&gt;B4080)*(Calc!$G$3:$G$22-B4080)^2)</f>
        <v/>
      </c>
      <c r="K4080">
        <f>SUMPRODUCT(Calc!$K$3:$K$22*(Calc!$G$3:$G$22&gt;A4080)*(Calc!$G$3:$G$22-A4080)*(Calc!$G$3:$G$22&gt;B4080)*(Calc!$G$3:$G$22-B4080))</f>
        <v/>
      </c>
      <c r="L4080">
        <f>SUMPRODUCT(Calc!$K$3:$K$22*(Calc!$G$3:$G$22&gt;A4080)*(Calc!$G$3:$G$22-A4080)*Calc!$G$3:$G$22)</f>
        <v/>
      </c>
      <c r="M4080">
        <f>SUMPRODUCT(Calc!$K$3:$K$22*(Calc!$G$3:$G$22&gt;B4080)*(Calc!$G$3:$G$22-B4080)*Calc!$G$3:$G$22)</f>
        <v/>
      </c>
      <c r="N4080">
        <f>SUMPRODUCT(Calc!$K$3:$K$22*(Calc!$G$3:$G$22&gt;A4080)*(Calc!$G$3:$G$22-A4080)*Calc!$I$3:$I$22)</f>
        <v/>
      </c>
      <c r="O4080">
        <f>SUMPRODUCT(Calc!$K$3:$K$22*(Calc!$G$3:$G$22&gt;B4080)*(Calc!$G$3:$G$22-B4080)*Calc!$I$3:$I$22)</f>
        <v/>
      </c>
      <c r="P4080">
        <f>I4080-G4080^2/k_n</f>
        <v/>
      </c>
      <c r="Q4080">
        <f>J4080-H4080^2/k_n</f>
        <v/>
      </c>
      <c r="R4080">
        <f>K4080-G4080*H4080/k_n</f>
        <v/>
      </c>
      <c r="S4080">
        <f>L4080-LTP3!$D$3*G4080/k_n</f>
        <v/>
      </c>
      <c r="T4080">
        <f>M4080-LTP3!$D$3*H4080/k_n</f>
        <v/>
      </c>
      <c r="U4080">
        <f>N4080-G4080*LTP3!$D$4/k_n</f>
        <v/>
      </c>
      <c r="V4080">
        <f>O4080-H4080*LTP3!$D$4/k_n</f>
        <v/>
      </c>
      <c r="W4080">
        <f>((LTP3!$D$5)*((P4080)*(Q4080)-(R4080)*(R4080))-(S4080)*((S4080)*(Q4080)-(R4080)*(T4080))+(T4080)*((S4080)*(R4080)-(P4080)*(T4080)))</f>
        <v/>
      </c>
      <c r="X4080">
        <f>IF(ABS(W4080)&gt;1E-12,((LTP3!$D$6)*((P4080)*(Q4080)-(R4080)*(R4080))-(S4080)*((U4080)*(Q4080)-(R4080)*(V4080))+(T4080)*((U4080)*(R4080)-(P4080)*(V4080)))/W4080,0)</f>
        <v/>
      </c>
      <c r="Y4080">
        <f>IF(ABS(W4080)&gt;1E-12,((LTP3!$D$5)*((U4080)*(Q4080)-(R4080)*(V4080))-(LTP3!$D$6)*((S4080)*(Q4080)-(R4080)*(T4080))+(T4080)*((S4080)*(V4080)-(U4080)*(T4080)))/W4080,0)</f>
        <v/>
      </c>
      <c r="Z4080">
        <f>IF(ABS(W4080)&gt;1E-12,((LTP3!$D$5)*((P4080)*(V4080)-(U4080)*(R4080))-(S4080)*((S4080)*(V4080)-(U4080)*(T4080))+(LTP3!$D$6)*((S4080)*(R4080)-(P4080)*(T4080)))/W4080,0)</f>
        <v/>
      </c>
      <c r="AA4080">
        <f>LTP3!$D$7-X4080*LTP3!$D$6-Y4080*U4080-Z4080*V4080</f>
        <v/>
      </c>
      <c r="AB4080">
        <f>IF(AND(F4080,ABS(W4080)&gt;1E-12,Y4080&gt;0,Z4080&gt;0),AA4080,1E+300)</f>
        <v/>
      </c>
    </row>
    <row r="4081">
      <c r="A4081">
        <f>$I$3-$B$5+$B$5*16/10</f>
        <v/>
      </c>
      <c r="B4081">
        <f>$J$3-$B$5+$B$5*9/10</f>
        <v/>
      </c>
      <c r="C4081">
        <f>SUMPRODUCT(Calc!$K$3:$K$22*(Calc!$G$3:$G$22&lt;=A4081))</f>
        <v/>
      </c>
      <c r="D4081">
        <f>SUMPRODUCT(Calc!$K$3:$K$22*(Calc!$G$3:$G$22&gt;A4081)*(Calc!$G$3:$G$22&lt;B4081))</f>
        <v/>
      </c>
      <c r="E4081">
        <f>SUMPRODUCT(Calc!$K$3:$K$22*(Calc!$G$3:$G$22&gt;=B4081))</f>
        <v/>
      </c>
      <c r="F4081">
        <f>AND(k_n&gt;=5,B4081&gt;A4081+1E-9,C4081&gt;=2,D4081&gt;=1,E4081&gt;=2)</f>
        <v/>
      </c>
      <c r="G4081">
        <f>SUMPRODUCT(Calc!$K$3:$K$22*(Calc!$G$3:$G$22&gt;A4081)*(Calc!$G$3:$G$22-A4081))</f>
        <v/>
      </c>
      <c r="H4081">
        <f>SUMPRODUCT(Calc!$K$3:$K$22*(Calc!$G$3:$G$22&gt;B4081)*(Calc!$G$3:$G$22-B4081))</f>
        <v/>
      </c>
      <c r="I4081">
        <f>SUMPRODUCT(Calc!$K$3:$K$22*(Calc!$G$3:$G$22&gt;A4081)*(Calc!$G$3:$G$22-A4081)^2)</f>
        <v/>
      </c>
      <c r="J4081">
        <f>SUMPRODUCT(Calc!$K$3:$K$22*(Calc!$G$3:$G$22&gt;B4081)*(Calc!$G$3:$G$22-B4081)^2)</f>
        <v/>
      </c>
      <c r="K4081">
        <f>SUMPRODUCT(Calc!$K$3:$K$22*(Calc!$G$3:$G$22&gt;A4081)*(Calc!$G$3:$G$22-A4081)*(Calc!$G$3:$G$22&gt;B4081)*(Calc!$G$3:$G$22-B4081))</f>
        <v/>
      </c>
      <c r="L4081">
        <f>SUMPRODUCT(Calc!$K$3:$K$22*(Calc!$G$3:$G$22&gt;A4081)*(Calc!$G$3:$G$22-A4081)*Calc!$G$3:$G$22)</f>
        <v/>
      </c>
      <c r="M4081">
        <f>SUMPRODUCT(Calc!$K$3:$K$22*(Calc!$G$3:$G$22&gt;B4081)*(Calc!$G$3:$G$22-B4081)*Calc!$G$3:$G$22)</f>
        <v/>
      </c>
      <c r="N4081">
        <f>SUMPRODUCT(Calc!$K$3:$K$22*(Calc!$G$3:$G$22&gt;A4081)*(Calc!$G$3:$G$22-A4081)*Calc!$I$3:$I$22)</f>
        <v/>
      </c>
      <c r="O4081">
        <f>SUMPRODUCT(Calc!$K$3:$K$22*(Calc!$G$3:$G$22&gt;B4081)*(Calc!$G$3:$G$22-B4081)*Calc!$I$3:$I$22)</f>
        <v/>
      </c>
      <c r="P4081">
        <f>I4081-G4081^2/k_n</f>
        <v/>
      </c>
      <c r="Q4081">
        <f>J4081-H4081^2/k_n</f>
        <v/>
      </c>
      <c r="R4081">
        <f>K4081-G4081*H4081/k_n</f>
        <v/>
      </c>
      <c r="S4081">
        <f>L4081-LTP3!$D$3*G4081/k_n</f>
        <v/>
      </c>
      <c r="T4081">
        <f>M4081-LTP3!$D$3*H4081/k_n</f>
        <v/>
      </c>
      <c r="U4081">
        <f>N4081-G4081*LTP3!$D$4/k_n</f>
        <v/>
      </c>
      <c r="V4081">
        <f>O4081-H4081*LTP3!$D$4/k_n</f>
        <v/>
      </c>
      <c r="W4081">
        <f>((LTP3!$D$5)*((P4081)*(Q4081)-(R4081)*(R4081))-(S4081)*((S4081)*(Q4081)-(R4081)*(T4081))+(T4081)*((S4081)*(R4081)-(P4081)*(T4081)))</f>
        <v/>
      </c>
      <c r="X4081">
        <f>IF(ABS(W4081)&gt;1E-12,((LTP3!$D$6)*((P4081)*(Q4081)-(R4081)*(R4081))-(S4081)*((U4081)*(Q4081)-(R4081)*(V4081))+(T4081)*((U4081)*(R4081)-(P4081)*(V4081)))/W4081,0)</f>
        <v/>
      </c>
      <c r="Y4081">
        <f>IF(ABS(W4081)&gt;1E-12,((LTP3!$D$5)*((U4081)*(Q4081)-(R4081)*(V4081))-(LTP3!$D$6)*((S4081)*(Q4081)-(R4081)*(T4081))+(T4081)*((S4081)*(V4081)-(U4081)*(T4081)))/W4081,0)</f>
        <v/>
      </c>
      <c r="Z4081">
        <f>IF(ABS(W4081)&gt;1E-12,((LTP3!$D$5)*((P4081)*(V4081)-(U4081)*(R4081))-(S4081)*((S4081)*(V4081)-(U4081)*(T4081))+(LTP3!$D$6)*((S4081)*(R4081)-(P4081)*(T4081)))/W4081,0)</f>
        <v/>
      </c>
      <c r="AA4081">
        <f>LTP3!$D$7-X4081*LTP3!$D$6-Y4081*U4081-Z4081*V4081</f>
        <v/>
      </c>
      <c r="AB4081">
        <f>IF(AND(F4081,ABS(W4081)&gt;1E-12,Y4081&gt;0,Z4081&gt;0),AA4081,1E+300)</f>
        <v/>
      </c>
    </row>
    <row r="4082">
      <c r="A4082">
        <f>$I$3-$B$5+$B$5*16/10</f>
        <v/>
      </c>
      <c r="B4082">
        <f>$J$3-$B$5+$B$5*10/10</f>
        <v/>
      </c>
      <c r="C4082">
        <f>SUMPRODUCT(Calc!$K$3:$K$22*(Calc!$G$3:$G$22&lt;=A4082))</f>
        <v/>
      </c>
      <c r="D4082">
        <f>SUMPRODUCT(Calc!$K$3:$K$22*(Calc!$G$3:$G$22&gt;A4082)*(Calc!$G$3:$G$22&lt;B4082))</f>
        <v/>
      </c>
      <c r="E4082">
        <f>SUMPRODUCT(Calc!$K$3:$K$22*(Calc!$G$3:$G$22&gt;=B4082))</f>
        <v/>
      </c>
      <c r="F4082">
        <f>AND(k_n&gt;=5,B4082&gt;A4082+1E-9,C4082&gt;=2,D4082&gt;=1,E4082&gt;=2)</f>
        <v/>
      </c>
      <c r="G4082">
        <f>SUMPRODUCT(Calc!$K$3:$K$22*(Calc!$G$3:$G$22&gt;A4082)*(Calc!$G$3:$G$22-A4082))</f>
        <v/>
      </c>
      <c r="H4082">
        <f>SUMPRODUCT(Calc!$K$3:$K$22*(Calc!$G$3:$G$22&gt;B4082)*(Calc!$G$3:$G$22-B4082))</f>
        <v/>
      </c>
      <c r="I4082">
        <f>SUMPRODUCT(Calc!$K$3:$K$22*(Calc!$G$3:$G$22&gt;A4082)*(Calc!$G$3:$G$22-A4082)^2)</f>
        <v/>
      </c>
      <c r="J4082">
        <f>SUMPRODUCT(Calc!$K$3:$K$22*(Calc!$G$3:$G$22&gt;B4082)*(Calc!$G$3:$G$22-B4082)^2)</f>
        <v/>
      </c>
      <c r="K4082">
        <f>SUMPRODUCT(Calc!$K$3:$K$22*(Calc!$G$3:$G$22&gt;A4082)*(Calc!$G$3:$G$22-A4082)*(Calc!$G$3:$G$22&gt;B4082)*(Calc!$G$3:$G$22-B4082))</f>
        <v/>
      </c>
      <c r="L4082">
        <f>SUMPRODUCT(Calc!$K$3:$K$22*(Calc!$G$3:$G$22&gt;A4082)*(Calc!$G$3:$G$22-A4082)*Calc!$G$3:$G$22)</f>
        <v/>
      </c>
      <c r="M4082">
        <f>SUMPRODUCT(Calc!$K$3:$K$22*(Calc!$G$3:$G$22&gt;B4082)*(Calc!$G$3:$G$22-B4082)*Calc!$G$3:$G$22)</f>
        <v/>
      </c>
      <c r="N4082">
        <f>SUMPRODUCT(Calc!$K$3:$K$22*(Calc!$G$3:$G$22&gt;A4082)*(Calc!$G$3:$G$22-A4082)*Calc!$I$3:$I$22)</f>
        <v/>
      </c>
      <c r="O4082">
        <f>SUMPRODUCT(Calc!$K$3:$K$22*(Calc!$G$3:$G$22&gt;B4082)*(Calc!$G$3:$G$22-B4082)*Calc!$I$3:$I$22)</f>
        <v/>
      </c>
      <c r="P4082">
        <f>I4082-G4082^2/k_n</f>
        <v/>
      </c>
      <c r="Q4082">
        <f>J4082-H4082^2/k_n</f>
        <v/>
      </c>
      <c r="R4082">
        <f>K4082-G4082*H4082/k_n</f>
        <v/>
      </c>
      <c r="S4082">
        <f>L4082-LTP3!$D$3*G4082/k_n</f>
        <v/>
      </c>
      <c r="T4082">
        <f>M4082-LTP3!$D$3*H4082/k_n</f>
        <v/>
      </c>
      <c r="U4082">
        <f>N4082-G4082*LTP3!$D$4/k_n</f>
        <v/>
      </c>
      <c r="V4082">
        <f>O4082-H4082*LTP3!$D$4/k_n</f>
        <v/>
      </c>
      <c r="W4082">
        <f>((LTP3!$D$5)*((P4082)*(Q4082)-(R4082)*(R4082))-(S4082)*((S4082)*(Q4082)-(R4082)*(T4082))+(T4082)*((S4082)*(R4082)-(P4082)*(T4082)))</f>
        <v/>
      </c>
      <c r="X4082">
        <f>IF(ABS(W4082)&gt;1E-12,((LTP3!$D$6)*((P4082)*(Q4082)-(R4082)*(R4082))-(S4082)*((U4082)*(Q4082)-(R4082)*(V4082))+(T4082)*((U4082)*(R4082)-(P4082)*(V4082)))/W4082,0)</f>
        <v/>
      </c>
      <c r="Y4082">
        <f>IF(ABS(W4082)&gt;1E-12,((LTP3!$D$5)*((U4082)*(Q4082)-(R4082)*(V4082))-(LTP3!$D$6)*((S4082)*(Q4082)-(R4082)*(T4082))+(T4082)*((S4082)*(V4082)-(U4082)*(T4082)))/W4082,0)</f>
        <v/>
      </c>
      <c r="Z4082">
        <f>IF(ABS(W4082)&gt;1E-12,((LTP3!$D$5)*((P4082)*(V4082)-(U4082)*(R4082))-(S4082)*((S4082)*(V4082)-(U4082)*(T4082))+(LTP3!$D$6)*((S4082)*(R4082)-(P4082)*(T4082)))/W4082,0)</f>
        <v/>
      </c>
      <c r="AA4082">
        <f>LTP3!$D$7-X4082*LTP3!$D$6-Y4082*U4082-Z4082*V4082</f>
        <v/>
      </c>
      <c r="AB4082">
        <f>IF(AND(F4082,ABS(W4082)&gt;1E-12,Y4082&gt;0,Z4082&gt;0),AA4082,1E+300)</f>
        <v/>
      </c>
    </row>
    <row r="4083">
      <c r="A4083">
        <f>$I$3-$B$5+$B$5*16/10</f>
        <v/>
      </c>
      <c r="B4083">
        <f>$J$3-$B$5+$B$5*11/10</f>
        <v/>
      </c>
      <c r="C4083">
        <f>SUMPRODUCT(Calc!$K$3:$K$22*(Calc!$G$3:$G$22&lt;=A4083))</f>
        <v/>
      </c>
      <c r="D4083">
        <f>SUMPRODUCT(Calc!$K$3:$K$22*(Calc!$G$3:$G$22&gt;A4083)*(Calc!$G$3:$G$22&lt;B4083))</f>
        <v/>
      </c>
      <c r="E4083">
        <f>SUMPRODUCT(Calc!$K$3:$K$22*(Calc!$G$3:$G$22&gt;=B4083))</f>
        <v/>
      </c>
      <c r="F4083">
        <f>AND(k_n&gt;=5,B4083&gt;A4083+1E-9,C4083&gt;=2,D4083&gt;=1,E4083&gt;=2)</f>
        <v/>
      </c>
      <c r="G4083">
        <f>SUMPRODUCT(Calc!$K$3:$K$22*(Calc!$G$3:$G$22&gt;A4083)*(Calc!$G$3:$G$22-A4083))</f>
        <v/>
      </c>
      <c r="H4083">
        <f>SUMPRODUCT(Calc!$K$3:$K$22*(Calc!$G$3:$G$22&gt;B4083)*(Calc!$G$3:$G$22-B4083))</f>
        <v/>
      </c>
      <c r="I4083">
        <f>SUMPRODUCT(Calc!$K$3:$K$22*(Calc!$G$3:$G$22&gt;A4083)*(Calc!$G$3:$G$22-A4083)^2)</f>
        <v/>
      </c>
      <c r="J4083">
        <f>SUMPRODUCT(Calc!$K$3:$K$22*(Calc!$G$3:$G$22&gt;B4083)*(Calc!$G$3:$G$22-B4083)^2)</f>
        <v/>
      </c>
      <c r="K4083">
        <f>SUMPRODUCT(Calc!$K$3:$K$22*(Calc!$G$3:$G$22&gt;A4083)*(Calc!$G$3:$G$22-A4083)*(Calc!$G$3:$G$22&gt;B4083)*(Calc!$G$3:$G$22-B4083))</f>
        <v/>
      </c>
      <c r="L4083">
        <f>SUMPRODUCT(Calc!$K$3:$K$22*(Calc!$G$3:$G$22&gt;A4083)*(Calc!$G$3:$G$22-A4083)*Calc!$G$3:$G$22)</f>
        <v/>
      </c>
      <c r="M4083">
        <f>SUMPRODUCT(Calc!$K$3:$K$22*(Calc!$G$3:$G$22&gt;B4083)*(Calc!$G$3:$G$22-B4083)*Calc!$G$3:$G$22)</f>
        <v/>
      </c>
      <c r="N4083">
        <f>SUMPRODUCT(Calc!$K$3:$K$22*(Calc!$G$3:$G$22&gt;A4083)*(Calc!$G$3:$G$22-A4083)*Calc!$I$3:$I$22)</f>
        <v/>
      </c>
      <c r="O4083">
        <f>SUMPRODUCT(Calc!$K$3:$K$22*(Calc!$G$3:$G$22&gt;B4083)*(Calc!$G$3:$G$22-B4083)*Calc!$I$3:$I$22)</f>
        <v/>
      </c>
      <c r="P4083">
        <f>I4083-G4083^2/k_n</f>
        <v/>
      </c>
      <c r="Q4083">
        <f>J4083-H4083^2/k_n</f>
        <v/>
      </c>
      <c r="R4083">
        <f>K4083-G4083*H4083/k_n</f>
        <v/>
      </c>
      <c r="S4083">
        <f>L4083-LTP3!$D$3*G4083/k_n</f>
        <v/>
      </c>
      <c r="T4083">
        <f>M4083-LTP3!$D$3*H4083/k_n</f>
        <v/>
      </c>
      <c r="U4083">
        <f>N4083-G4083*LTP3!$D$4/k_n</f>
        <v/>
      </c>
      <c r="V4083">
        <f>O4083-H4083*LTP3!$D$4/k_n</f>
        <v/>
      </c>
      <c r="W4083">
        <f>((LTP3!$D$5)*((P4083)*(Q4083)-(R4083)*(R4083))-(S4083)*((S4083)*(Q4083)-(R4083)*(T4083))+(T4083)*((S4083)*(R4083)-(P4083)*(T4083)))</f>
        <v/>
      </c>
      <c r="X4083">
        <f>IF(ABS(W4083)&gt;1E-12,((LTP3!$D$6)*((P4083)*(Q4083)-(R4083)*(R4083))-(S4083)*((U4083)*(Q4083)-(R4083)*(V4083))+(T4083)*((U4083)*(R4083)-(P4083)*(V4083)))/W4083,0)</f>
        <v/>
      </c>
      <c r="Y4083">
        <f>IF(ABS(W4083)&gt;1E-12,((LTP3!$D$5)*((U4083)*(Q4083)-(R4083)*(V4083))-(LTP3!$D$6)*((S4083)*(Q4083)-(R4083)*(T4083))+(T4083)*((S4083)*(V4083)-(U4083)*(T4083)))/W4083,0)</f>
        <v/>
      </c>
      <c r="Z4083">
        <f>IF(ABS(W4083)&gt;1E-12,((LTP3!$D$5)*((P4083)*(V4083)-(U4083)*(R4083))-(S4083)*((S4083)*(V4083)-(U4083)*(T4083))+(LTP3!$D$6)*((S4083)*(R4083)-(P4083)*(T4083)))/W4083,0)</f>
        <v/>
      </c>
      <c r="AA4083">
        <f>LTP3!$D$7-X4083*LTP3!$D$6-Y4083*U4083-Z4083*V4083</f>
        <v/>
      </c>
      <c r="AB4083">
        <f>IF(AND(F4083,ABS(W4083)&gt;1E-12,Y4083&gt;0,Z4083&gt;0),AA4083,1E+300)</f>
        <v/>
      </c>
    </row>
    <row r="4084">
      <c r="A4084">
        <f>$I$3-$B$5+$B$5*16/10</f>
        <v/>
      </c>
      <c r="B4084">
        <f>$J$3-$B$5+$B$5*12/10</f>
        <v/>
      </c>
      <c r="C4084">
        <f>SUMPRODUCT(Calc!$K$3:$K$22*(Calc!$G$3:$G$22&lt;=A4084))</f>
        <v/>
      </c>
      <c r="D4084">
        <f>SUMPRODUCT(Calc!$K$3:$K$22*(Calc!$G$3:$G$22&gt;A4084)*(Calc!$G$3:$G$22&lt;B4084))</f>
        <v/>
      </c>
      <c r="E4084">
        <f>SUMPRODUCT(Calc!$K$3:$K$22*(Calc!$G$3:$G$22&gt;=B4084))</f>
        <v/>
      </c>
      <c r="F4084">
        <f>AND(k_n&gt;=5,B4084&gt;A4084+1E-9,C4084&gt;=2,D4084&gt;=1,E4084&gt;=2)</f>
        <v/>
      </c>
      <c r="G4084">
        <f>SUMPRODUCT(Calc!$K$3:$K$22*(Calc!$G$3:$G$22&gt;A4084)*(Calc!$G$3:$G$22-A4084))</f>
        <v/>
      </c>
      <c r="H4084">
        <f>SUMPRODUCT(Calc!$K$3:$K$22*(Calc!$G$3:$G$22&gt;B4084)*(Calc!$G$3:$G$22-B4084))</f>
        <v/>
      </c>
      <c r="I4084">
        <f>SUMPRODUCT(Calc!$K$3:$K$22*(Calc!$G$3:$G$22&gt;A4084)*(Calc!$G$3:$G$22-A4084)^2)</f>
        <v/>
      </c>
      <c r="J4084">
        <f>SUMPRODUCT(Calc!$K$3:$K$22*(Calc!$G$3:$G$22&gt;B4084)*(Calc!$G$3:$G$22-B4084)^2)</f>
        <v/>
      </c>
      <c r="K4084">
        <f>SUMPRODUCT(Calc!$K$3:$K$22*(Calc!$G$3:$G$22&gt;A4084)*(Calc!$G$3:$G$22-A4084)*(Calc!$G$3:$G$22&gt;B4084)*(Calc!$G$3:$G$22-B4084))</f>
        <v/>
      </c>
      <c r="L4084">
        <f>SUMPRODUCT(Calc!$K$3:$K$22*(Calc!$G$3:$G$22&gt;A4084)*(Calc!$G$3:$G$22-A4084)*Calc!$G$3:$G$22)</f>
        <v/>
      </c>
      <c r="M4084">
        <f>SUMPRODUCT(Calc!$K$3:$K$22*(Calc!$G$3:$G$22&gt;B4084)*(Calc!$G$3:$G$22-B4084)*Calc!$G$3:$G$22)</f>
        <v/>
      </c>
      <c r="N4084">
        <f>SUMPRODUCT(Calc!$K$3:$K$22*(Calc!$G$3:$G$22&gt;A4084)*(Calc!$G$3:$G$22-A4084)*Calc!$I$3:$I$22)</f>
        <v/>
      </c>
      <c r="O4084">
        <f>SUMPRODUCT(Calc!$K$3:$K$22*(Calc!$G$3:$G$22&gt;B4084)*(Calc!$G$3:$G$22-B4084)*Calc!$I$3:$I$22)</f>
        <v/>
      </c>
      <c r="P4084">
        <f>I4084-G4084^2/k_n</f>
        <v/>
      </c>
      <c r="Q4084">
        <f>J4084-H4084^2/k_n</f>
        <v/>
      </c>
      <c r="R4084">
        <f>K4084-G4084*H4084/k_n</f>
        <v/>
      </c>
      <c r="S4084">
        <f>L4084-LTP3!$D$3*G4084/k_n</f>
        <v/>
      </c>
      <c r="T4084">
        <f>M4084-LTP3!$D$3*H4084/k_n</f>
        <v/>
      </c>
      <c r="U4084">
        <f>N4084-G4084*LTP3!$D$4/k_n</f>
        <v/>
      </c>
      <c r="V4084">
        <f>O4084-H4084*LTP3!$D$4/k_n</f>
        <v/>
      </c>
      <c r="W4084">
        <f>((LTP3!$D$5)*((P4084)*(Q4084)-(R4084)*(R4084))-(S4084)*((S4084)*(Q4084)-(R4084)*(T4084))+(T4084)*((S4084)*(R4084)-(P4084)*(T4084)))</f>
        <v/>
      </c>
      <c r="X4084">
        <f>IF(ABS(W4084)&gt;1E-12,((LTP3!$D$6)*((P4084)*(Q4084)-(R4084)*(R4084))-(S4084)*((U4084)*(Q4084)-(R4084)*(V4084))+(T4084)*((U4084)*(R4084)-(P4084)*(V4084)))/W4084,0)</f>
        <v/>
      </c>
      <c r="Y4084">
        <f>IF(ABS(W4084)&gt;1E-12,((LTP3!$D$5)*((U4084)*(Q4084)-(R4084)*(V4084))-(LTP3!$D$6)*((S4084)*(Q4084)-(R4084)*(T4084))+(T4084)*((S4084)*(V4084)-(U4084)*(T4084)))/W4084,0)</f>
        <v/>
      </c>
      <c r="Z4084">
        <f>IF(ABS(W4084)&gt;1E-12,((LTP3!$D$5)*((P4084)*(V4084)-(U4084)*(R4084))-(S4084)*((S4084)*(V4084)-(U4084)*(T4084))+(LTP3!$D$6)*((S4084)*(R4084)-(P4084)*(T4084)))/W4084,0)</f>
        <v/>
      </c>
      <c r="AA4084">
        <f>LTP3!$D$7-X4084*LTP3!$D$6-Y4084*U4084-Z4084*V4084</f>
        <v/>
      </c>
      <c r="AB4084">
        <f>IF(AND(F4084,ABS(W4084)&gt;1E-12,Y4084&gt;0,Z4084&gt;0),AA4084,1E+300)</f>
        <v/>
      </c>
    </row>
    <row r="4085">
      <c r="A4085">
        <f>$I$3-$B$5+$B$5*16/10</f>
        <v/>
      </c>
      <c r="B4085">
        <f>$J$3-$B$5+$B$5*13/10</f>
        <v/>
      </c>
      <c r="C4085">
        <f>SUMPRODUCT(Calc!$K$3:$K$22*(Calc!$G$3:$G$22&lt;=A4085))</f>
        <v/>
      </c>
      <c r="D4085">
        <f>SUMPRODUCT(Calc!$K$3:$K$22*(Calc!$G$3:$G$22&gt;A4085)*(Calc!$G$3:$G$22&lt;B4085))</f>
        <v/>
      </c>
      <c r="E4085">
        <f>SUMPRODUCT(Calc!$K$3:$K$22*(Calc!$G$3:$G$22&gt;=B4085))</f>
        <v/>
      </c>
      <c r="F4085">
        <f>AND(k_n&gt;=5,B4085&gt;A4085+1E-9,C4085&gt;=2,D4085&gt;=1,E4085&gt;=2)</f>
        <v/>
      </c>
      <c r="G4085">
        <f>SUMPRODUCT(Calc!$K$3:$K$22*(Calc!$G$3:$G$22&gt;A4085)*(Calc!$G$3:$G$22-A4085))</f>
        <v/>
      </c>
      <c r="H4085">
        <f>SUMPRODUCT(Calc!$K$3:$K$22*(Calc!$G$3:$G$22&gt;B4085)*(Calc!$G$3:$G$22-B4085))</f>
        <v/>
      </c>
      <c r="I4085">
        <f>SUMPRODUCT(Calc!$K$3:$K$22*(Calc!$G$3:$G$22&gt;A4085)*(Calc!$G$3:$G$22-A4085)^2)</f>
        <v/>
      </c>
      <c r="J4085">
        <f>SUMPRODUCT(Calc!$K$3:$K$22*(Calc!$G$3:$G$22&gt;B4085)*(Calc!$G$3:$G$22-B4085)^2)</f>
        <v/>
      </c>
      <c r="K4085">
        <f>SUMPRODUCT(Calc!$K$3:$K$22*(Calc!$G$3:$G$22&gt;A4085)*(Calc!$G$3:$G$22-A4085)*(Calc!$G$3:$G$22&gt;B4085)*(Calc!$G$3:$G$22-B4085))</f>
        <v/>
      </c>
      <c r="L4085">
        <f>SUMPRODUCT(Calc!$K$3:$K$22*(Calc!$G$3:$G$22&gt;A4085)*(Calc!$G$3:$G$22-A4085)*Calc!$G$3:$G$22)</f>
        <v/>
      </c>
      <c r="M4085">
        <f>SUMPRODUCT(Calc!$K$3:$K$22*(Calc!$G$3:$G$22&gt;B4085)*(Calc!$G$3:$G$22-B4085)*Calc!$G$3:$G$22)</f>
        <v/>
      </c>
      <c r="N4085">
        <f>SUMPRODUCT(Calc!$K$3:$K$22*(Calc!$G$3:$G$22&gt;A4085)*(Calc!$G$3:$G$22-A4085)*Calc!$I$3:$I$22)</f>
        <v/>
      </c>
      <c r="O4085">
        <f>SUMPRODUCT(Calc!$K$3:$K$22*(Calc!$G$3:$G$22&gt;B4085)*(Calc!$G$3:$G$22-B4085)*Calc!$I$3:$I$22)</f>
        <v/>
      </c>
      <c r="P4085">
        <f>I4085-G4085^2/k_n</f>
        <v/>
      </c>
      <c r="Q4085">
        <f>J4085-H4085^2/k_n</f>
        <v/>
      </c>
      <c r="R4085">
        <f>K4085-G4085*H4085/k_n</f>
        <v/>
      </c>
      <c r="S4085">
        <f>L4085-LTP3!$D$3*G4085/k_n</f>
        <v/>
      </c>
      <c r="T4085">
        <f>M4085-LTP3!$D$3*H4085/k_n</f>
        <v/>
      </c>
      <c r="U4085">
        <f>N4085-G4085*LTP3!$D$4/k_n</f>
        <v/>
      </c>
      <c r="V4085">
        <f>O4085-H4085*LTP3!$D$4/k_n</f>
        <v/>
      </c>
      <c r="W4085">
        <f>((LTP3!$D$5)*((P4085)*(Q4085)-(R4085)*(R4085))-(S4085)*((S4085)*(Q4085)-(R4085)*(T4085))+(T4085)*((S4085)*(R4085)-(P4085)*(T4085)))</f>
        <v/>
      </c>
      <c r="X4085">
        <f>IF(ABS(W4085)&gt;1E-12,((LTP3!$D$6)*((P4085)*(Q4085)-(R4085)*(R4085))-(S4085)*((U4085)*(Q4085)-(R4085)*(V4085))+(T4085)*((U4085)*(R4085)-(P4085)*(V4085)))/W4085,0)</f>
        <v/>
      </c>
      <c r="Y4085">
        <f>IF(ABS(W4085)&gt;1E-12,((LTP3!$D$5)*((U4085)*(Q4085)-(R4085)*(V4085))-(LTP3!$D$6)*((S4085)*(Q4085)-(R4085)*(T4085))+(T4085)*((S4085)*(V4085)-(U4085)*(T4085)))/W4085,0)</f>
        <v/>
      </c>
      <c r="Z4085">
        <f>IF(ABS(W4085)&gt;1E-12,((LTP3!$D$5)*((P4085)*(V4085)-(U4085)*(R4085))-(S4085)*((S4085)*(V4085)-(U4085)*(T4085))+(LTP3!$D$6)*((S4085)*(R4085)-(P4085)*(T4085)))/W4085,0)</f>
        <v/>
      </c>
      <c r="AA4085">
        <f>LTP3!$D$7-X4085*LTP3!$D$6-Y4085*U4085-Z4085*V4085</f>
        <v/>
      </c>
      <c r="AB4085">
        <f>IF(AND(F4085,ABS(W4085)&gt;1E-12,Y4085&gt;0,Z4085&gt;0),AA4085,1E+300)</f>
        <v/>
      </c>
    </row>
    <row r="4086">
      <c r="A4086">
        <f>$I$3-$B$5+$B$5*16/10</f>
        <v/>
      </c>
      <c r="B4086">
        <f>$J$3-$B$5+$B$5*14/10</f>
        <v/>
      </c>
      <c r="C4086">
        <f>SUMPRODUCT(Calc!$K$3:$K$22*(Calc!$G$3:$G$22&lt;=A4086))</f>
        <v/>
      </c>
      <c r="D4086">
        <f>SUMPRODUCT(Calc!$K$3:$K$22*(Calc!$G$3:$G$22&gt;A4086)*(Calc!$G$3:$G$22&lt;B4086))</f>
        <v/>
      </c>
      <c r="E4086">
        <f>SUMPRODUCT(Calc!$K$3:$K$22*(Calc!$G$3:$G$22&gt;=B4086))</f>
        <v/>
      </c>
      <c r="F4086">
        <f>AND(k_n&gt;=5,B4086&gt;A4086+1E-9,C4086&gt;=2,D4086&gt;=1,E4086&gt;=2)</f>
        <v/>
      </c>
      <c r="G4086">
        <f>SUMPRODUCT(Calc!$K$3:$K$22*(Calc!$G$3:$G$22&gt;A4086)*(Calc!$G$3:$G$22-A4086))</f>
        <v/>
      </c>
      <c r="H4086">
        <f>SUMPRODUCT(Calc!$K$3:$K$22*(Calc!$G$3:$G$22&gt;B4086)*(Calc!$G$3:$G$22-B4086))</f>
        <v/>
      </c>
      <c r="I4086">
        <f>SUMPRODUCT(Calc!$K$3:$K$22*(Calc!$G$3:$G$22&gt;A4086)*(Calc!$G$3:$G$22-A4086)^2)</f>
        <v/>
      </c>
      <c r="J4086">
        <f>SUMPRODUCT(Calc!$K$3:$K$22*(Calc!$G$3:$G$22&gt;B4086)*(Calc!$G$3:$G$22-B4086)^2)</f>
        <v/>
      </c>
      <c r="K4086">
        <f>SUMPRODUCT(Calc!$K$3:$K$22*(Calc!$G$3:$G$22&gt;A4086)*(Calc!$G$3:$G$22-A4086)*(Calc!$G$3:$G$22&gt;B4086)*(Calc!$G$3:$G$22-B4086))</f>
        <v/>
      </c>
      <c r="L4086">
        <f>SUMPRODUCT(Calc!$K$3:$K$22*(Calc!$G$3:$G$22&gt;A4086)*(Calc!$G$3:$G$22-A4086)*Calc!$G$3:$G$22)</f>
        <v/>
      </c>
      <c r="M4086">
        <f>SUMPRODUCT(Calc!$K$3:$K$22*(Calc!$G$3:$G$22&gt;B4086)*(Calc!$G$3:$G$22-B4086)*Calc!$G$3:$G$22)</f>
        <v/>
      </c>
      <c r="N4086">
        <f>SUMPRODUCT(Calc!$K$3:$K$22*(Calc!$G$3:$G$22&gt;A4086)*(Calc!$G$3:$G$22-A4086)*Calc!$I$3:$I$22)</f>
        <v/>
      </c>
      <c r="O4086">
        <f>SUMPRODUCT(Calc!$K$3:$K$22*(Calc!$G$3:$G$22&gt;B4086)*(Calc!$G$3:$G$22-B4086)*Calc!$I$3:$I$22)</f>
        <v/>
      </c>
      <c r="P4086">
        <f>I4086-G4086^2/k_n</f>
        <v/>
      </c>
      <c r="Q4086">
        <f>J4086-H4086^2/k_n</f>
        <v/>
      </c>
      <c r="R4086">
        <f>K4086-G4086*H4086/k_n</f>
        <v/>
      </c>
      <c r="S4086">
        <f>L4086-LTP3!$D$3*G4086/k_n</f>
        <v/>
      </c>
      <c r="T4086">
        <f>M4086-LTP3!$D$3*H4086/k_n</f>
        <v/>
      </c>
      <c r="U4086">
        <f>N4086-G4086*LTP3!$D$4/k_n</f>
        <v/>
      </c>
      <c r="V4086">
        <f>O4086-H4086*LTP3!$D$4/k_n</f>
        <v/>
      </c>
      <c r="W4086">
        <f>((LTP3!$D$5)*((P4086)*(Q4086)-(R4086)*(R4086))-(S4086)*((S4086)*(Q4086)-(R4086)*(T4086))+(T4086)*((S4086)*(R4086)-(P4086)*(T4086)))</f>
        <v/>
      </c>
      <c r="X4086">
        <f>IF(ABS(W4086)&gt;1E-12,((LTP3!$D$6)*((P4086)*(Q4086)-(R4086)*(R4086))-(S4086)*((U4086)*(Q4086)-(R4086)*(V4086))+(T4086)*((U4086)*(R4086)-(P4086)*(V4086)))/W4086,0)</f>
        <v/>
      </c>
      <c r="Y4086">
        <f>IF(ABS(W4086)&gt;1E-12,((LTP3!$D$5)*((U4086)*(Q4086)-(R4086)*(V4086))-(LTP3!$D$6)*((S4086)*(Q4086)-(R4086)*(T4086))+(T4086)*((S4086)*(V4086)-(U4086)*(T4086)))/W4086,0)</f>
        <v/>
      </c>
      <c r="Z4086">
        <f>IF(ABS(W4086)&gt;1E-12,((LTP3!$D$5)*((P4086)*(V4086)-(U4086)*(R4086))-(S4086)*((S4086)*(V4086)-(U4086)*(T4086))+(LTP3!$D$6)*((S4086)*(R4086)-(P4086)*(T4086)))/W4086,0)</f>
        <v/>
      </c>
      <c r="AA4086">
        <f>LTP3!$D$7-X4086*LTP3!$D$6-Y4086*U4086-Z4086*V4086</f>
        <v/>
      </c>
      <c r="AB4086">
        <f>IF(AND(F4086,ABS(W4086)&gt;1E-12,Y4086&gt;0,Z4086&gt;0),AA4086,1E+300)</f>
        <v/>
      </c>
    </row>
    <row r="4087">
      <c r="A4087">
        <f>$I$3-$B$5+$B$5*16/10</f>
        <v/>
      </c>
      <c r="B4087">
        <f>$J$3-$B$5+$B$5*15/10</f>
        <v/>
      </c>
      <c r="C4087">
        <f>SUMPRODUCT(Calc!$K$3:$K$22*(Calc!$G$3:$G$22&lt;=A4087))</f>
        <v/>
      </c>
      <c r="D4087">
        <f>SUMPRODUCT(Calc!$K$3:$K$22*(Calc!$G$3:$G$22&gt;A4087)*(Calc!$G$3:$G$22&lt;B4087))</f>
        <v/>
      </c>
      <c r="E4087">
        <f>SUMPRODUCT(Calc!$K$3:$K$22*(Calc!$G$3:$G$22&gt;=B4087))</f>
        <v/>
      </c>
      <c r="F4087">
        <f>AND(k_n&gt;=5,B4087&gt;A4087+1E-9,C4087&gt;=2,D4087&gt;=1,E4087&gt;=2)</f>
        <v/>
      </c>
      <c r="G4087">
        <f>SUMPRODUCT(Calc!$K$3:$K$22*(Calc!$G$3:$G$22&gt;A4087)*(Calc!$G$3:$G$22-A4087))</f>
        <v/>
      </c>
      <c r="H4087">
        <f>SUMPRODUCT(Calc!$K$3:$K$22*(Calc!$G$3:$G$22&gt;B4087)*(Calc!$G$3:$G$22-B4087))</f>
        <v/>
      </c>
      <c r="I4087">
        <f>SUMPRODUCT(Calc!$K$3:$K$22*(Calc!$G$3:$G$22&gt;A4087)*(Calc!$G$3:$G$22-A4087)^2)</f>
        <v/>
      </c>
      <c r="J4087">
        <f>SUMPRODUCT(Calc!$K$3:$K$22*(Calc!$G$3:$G$22&gt;B4087)*(Calc!$G$3:$G$22-B4087)^2)</f>
        <v/>
      </c>
      <c r="K4087">
        <f>SUMPRODUCT(Calc!$K$3:$K$22*(Calc!$G$3:$G$22&gt;A4087)*(Calc!$G$3:$G$22-A4087)*(Calc!$G$3:$G$22&gt;B4087)*(Calc!$G$3:$G$22-B4087))</f>
        <v/>
      </c>
      <c r="L4087">
        <f>SUMPRODUCT(Calc!$K$3:$K$22*(Calc!$G$3:$G$22&gt;A4087)*(Calc!$G$3:$G$22-A4087)*Calc!$G$3:$G$22)</f>
        <v/>
      </c>
      <c r="M4087">
        <f>SUMPRODUCT(Calc!$K$3:$K$22*(Calc!$G$3:$G$22&gt;B4087)*(Calc!$G$3:$G$22-B4087)*Calc!$G$3:$G$22)</f>
        <v/>
      </c>
      <c r="N4087">
        <f>SUMPRODUCT(Calc!$K$3:$K$22*(Calc!$G$3:$G$22&gt;A4087)*(Calc!$G$3:$G$22-A4087)*Calc!$I$3:$I$22)</f>
        <v/>
      </c>
      <c r="O4087">
        <f>SUMPRODUCT(Calc!$K$3:$K$22*(Calc!$G$3:$G$22&gt;B4087)*(Calc!$G$3:$G$22-B4087)*Calc!$I$3:$I$22)</f>
        <v/>
      </c>
      <c r="P4087">
        <f>I4087-G4087^2/k_n</f>
        <v/>
      </c>
      <c r="Q4087">
        <f>J4087-H4087^2/k_n</f>
        <v/>
      </c>
      <c r="R4087">
        <f>K4087-G4087*H4087/k_n</f>
        <v/>
      </c>
      <c r="S4087">
        <f>L4087-LTP3!$D$3*G4087/k_n</f>
        <v/>
      </c>
      <c r="T4087">
        <f>M4087-LTP3!$D$3*H4087/k_n</f>
        <v/>
      </c>
      <c r="U4087">
        <f>N4087-G4087*LTP3!$D$4/k_n</f>
        <v/>
      </c>
      <c r="V4087">
        <f>O4087-H4087*LTP3!$D$4/k_n</f>
        <v/>
      </c>
      <c r="W4087">
        <f>((LTP3!$D$5)*((P4087)*(Q4087)-(R4087)*(R4087))-(S4087)*((S4087)*(Q4087)-(R4087)*(T4087))+(T4087)*((S4087)*(R4087)-(P4087)*(T4087)))</f>
        <v/>
      </c>
      <c r="X4087">
        <f>IF(ABS(W4087)&gt;1E-12,((LTP3!$D$6)*((P4087)*(Q4087)-(R4087)*(R4087))-(S4087)*((U4087)*(Q4087)-(R4087)*(V4087))+(T4087)*((U4087)*(R4087)-(P4087)*(V4087)))/W4087,0)</f>
        <v/>
      </c>
      <c r="Y4087">
        <f>IF(ABS(W4087)&gt;1E-12,((LTP3!$D$5)*((U4087)*(Q4087)-(R4087)*(V4087))-(LTP3!$D$6)*((S4087)*(Q4087)-(R4087)*(T4087))+(T4087)*((S4087)*(V4087)-(U4087)*(T4087)))/W4087,0)</f>
        <v/>
      </c>
      <c r="Z4087">
        <f>IF(ABS(W4087)&gt;1E-12,((LTP3!$D$5)*((P4087)*(V4087)-(U4087)*(R4087))-(S4087)*((S4087)*(V4087)-(U4087)*(T4087))+(LTP3!$D$6)*((S4087)*(R4087)-(P4087)*(T4087)))/W4087,0)</f>
        <v/>
      </c>
      <c r="AA4087">
        <f>LTP3!$D$7-X4087*LTP3!$D$6-Y4087*U4087-Z4087*V4087</f>
        <v/>
      </c>
      <c r="AB4087">
        <f>IF(AND(F4087,ABS(W4087)&gt;1E-12,Y4087&gt;0,Z4087&gt;0),AA4087,1E+300)</f>
        <v/>
      </c>
    </row>
    <row r="4088">
      <c r="A4088">
        <f>$I$3-$B$5+$B$5*16/10</f>
        <v/>
      </c>
      <c r="B4088">
        <f>$J$3-$B$5+$B$5*16/10</f>
        <v/>
      </c>
      <c r="C4088">
        <f>SUMPRODUCT(Calc!$K$3:$K$22*(Calc!$G$3:$G$22&lt;=A4088))</f>
        <v/>
      </c>
      <c r="D4088">
        <f>SUMPRODUCT(Calc!$K$3:$K$22*(Calc!$G$3:$G$22&gt;A4088)*(Calc!$G$3:$G$22&lt;B4088))</f>
        <v/>
      </c>
      <c r="E4088">
        <f>SUMPRODUCT(Calc!$K$3:$K$22*(Calc!$G$3:$G$22&gt;=B4088))</f>
        <v/>
      </c>
      <c r="F4088">
        <f>AND(k_n&gt;=5,B4088&gt;A4088+1E-9,C4088&gt;=2,D4088&gt;=1,E4088&gt;=2)</f>
        <v/>
      </c>
      <c r="G4088">
        <f>SUMPRODUCT(Calc!$K$3:$K$22*(Calc!$G$3:$G$22&gt;A4088)*(Calc!$G$3:$G$22-A4088))</f>
        <v/>
      </c>
      <c r="H4088">
        <f>SUMPRODUCT(Calc!$K$3:$K$22*(Calc!$G$3:$G$22&gt;B4088)*(Calc!$G$3:$G$22-B4088))</f>
        <v/>
      </c>
      <c r="I4088">
        <f>SUMPRODUCT(Calc!$K$3:$K$22*(Calc!$G$3:$G$22&gt;A4088)*(Calc!$G$3:$G$22-A4088)^2)</f>
        <v/>
      </c>
      <c r="J4088">
        <f>SUMPRODUCT(Calc!$K$3:$K$22*(Calc!$G$3:$G$22&gt;B4088)*(Calc!$G$3:$G$22-B4088)^2)</f>
        <v/>
      </c>
      <c r="K4088">
        <f>SUMPRODUCT(Calc!$K$3:$K$22*(Calc!$G$3:$G$22&gt;A4088)*(Calc!$G$3:$G$22-A4088)*(Calc!$G$3:$G$22&gt;B4088)*(Calc!$G$3:$G$22-B4088))</f>
        <v/>
      </c>
      <c r="L4088">
        <f>SUMPRODUCT(Calc!$K$3:$K$22*(Calc!$G$3:$G$22&gt;A4088)*(Calc!$G$3:$G$22-A4088)*Calc!$G$3:$G$22)</f>
        <v/>
      </c>
      <c r="M4088">
        <f>SUMPRODUCT(Calc!$K$3:$K$22*(Calc!$G$3:$G$22&gt;B4088)*(Calc!$G$3:$G$22-B4088)*Calc!$G$3:$G$22)</f>
        <v/>
      </c>
      <c r="N4088">
        <f>SUMPRODUCT(Calc!$K$3:$K$22*(Calc!$G$3:$G$22&gt;A4088)*(Calc!$G$3:$G$22-A4088)*Calc!$I$3:$I$22)</f>
        <v/>
      </c>
      <c r="O4088">
        <f>SUMPRODUCT(Calc!$K$3:$K$22*(Calc!$G$3:$G$22&gt;B4088)*(Calc!$G$3:$G$22-B4088)*Calc!$I$3:$I$22)</f>
        <v/>
      </c>
      <c r="P4088">
        <f>I4088-G4088^2/k_n</f>
        <v/>
      </c>
      <c r="Q4088">
        <f>J4088-H4088^2/k_n</f>
        <v/>
      </c>
      <c r="R4088">
        <f>K4088-G4088*H4088/k_n</f>
        <v/>
      </c>
      <c r="S4088">
        <f>L4088-LTP3!$D$3*G4088/k_n</f>
        <v/>
      </c>
      <c r="T4088">
        <f>M4088-LTP3!$D$3*H4088/k_n</f>
        <v/>
      </c>
      <c r="U4088">
        <f>N4088-G4088*LTP3!$D$4/k_n</f>
        <v/>
      </c>
      <c r="V4088">
        <f>O4088-H4088*LTP3!$D$4/k_n</f>
        <v/>
      </c>
      <c r="W4088">
        <f>((LTP3!$D$5)*((P4088)*(Q4088)-(R4088)*(R4088))-(S4088)*((S4088)*(Q4088)-(R4088)*(T4088))+(T4088)*((S4088)*(R4088)-(P4088)*(T4088)))</f>
        <v/>
      </c>
      <c r="X4088">
        <f>IF(ABS(W4088)&gt;1E-12,((LTP3!$D$6)*((P4088)*(Q4088)-(R4088)*(R4088))-(S4088)*((U4088)*(Q4088)-(R4088)*(V4088))+(T4088)*((U4088)*(R4088)-(P4088)*(V4088)))/W4088,0)</f>
        <v/>
      </c>
      <c r="Y4088">
        <f>IF(ABS(W4088)&gt;1E-12,((LTP3!$D$5)*((U4088)*(Q4088)-(R4088)*(V4088))-(LTP3!$D$6)*((S4088)*(Q4088)-(R4088)*(T4088))+(T4088)*((S4088)*(V4088)-(U4088)*(T4088)))/W4088,0)</f>
        <v/>
      </c>
      <c r="Z4088">
        <f>IF(ABS(W4088)&gt;1E-12,((LTP3!$D$5)*((P4088)*(V4088)-(U4088)*(R4088))-(S4088)*((S4088)*(V4088)-(U4088)*(T4088))+(LTP3!$D$6)*((S4088)*(R4088)-(P4088)*(T4088)))/W4088,0)</f>
        <v/>
      </c>
      <c r="AA4088">
        <f>LTP3!$D$7-X4088*LTP3!$D$6-Y4088*U4088-Z4088*V4088</f>
        <v/>
      </c>
      <c r="AB4088">
        <f>IF(AND(F4088,ABS(W4088)&gt;1E-12,Y4088&gt;0,Z4088&gt;0),AA4088,1E+300)</f>
        <v/>
      </c>
    </row>
    <row r="4089">
      <c r="A4089">
        <f>$I$3-$B$5+$B$5*16/10</f>
        <v/>
      </c>
      <c r="B4089">
        <f>$J$3-$B$5+$B$5*17/10</f>
        <v/>
      </c>
      <c r="C4089">
        <f>SUMPRODUCT(Calc!$K$3:$K$22*(Calc!$G$3:$G$22&lt;=A4089))</f>
        <v/>
      </c>
      <c r="D4089">
        <f>SUMPRODUCT(Calc!$K$3:$K$22*(Calc!$G$3:$G$22&gt;A4089)*(Calc!$G$3:$G$22&lt;B4089))</f>
        <v/>
      </c>
      <c r="E4089">
        <f>SUMPRODUCT(Calc!$K$3:$K$22*(Calc!$G$3:$G$22&gt;=B4089))</f>
        <v/>
      </c>
      <c r="F4089">
        <f>AND(k_n&gt;=5,B4089&gt;A4089+1E-9,C4089&gt;=2,D4089&gt;=1,E4089&gt;=2)</f>
        <v/>
      </c>
      <c r="G4089">
        <f>SUMPRODUCT(Calc!$K$3:$K$22*(Calc!$G$3:$G$22&gt;A4089)*(Calc!$G$3:$G$22-A4089))</f>
        <v/>
      </c>
      <c r="H4089">
        <f>SUMPRODUCT(Calc!$K$3:$K$22*(Calc!$G$3:$G$22&gt;B4089)*(Calc!$G$3:$G$22-B4089))</f>
        <v/>
      </c>
      <c r="I4089">
        <f>SUMPRODUCT(Calc!$K$3:$K$22*(Calc!$G$3:$G$22&gt;A4089)*(Calc!$G$3:$G$22-A4089)^2)</f>
        <v/>
      </c>
      <c r="J4089">
        <f>SUMPRODUCT(Calc!$K$3:$K$22*(Calc!$G$3:$G$22&gt;B4089)*(Calc!$G$3:$G$22-B4089)^2)</f>
        <v/>
      </c>
      <c r="K4089">
        <f>SUMPRODUCT(Calc!$K$3:$K$22*(Calc!$G$3:$G$22&gt;A4089)*(Calc!$G$3:$G$22-A4089)*(Calc!$G$3:$G$22&gt;B4089)*(Calc!$G$3:$G$22-B4089))</f>
        <v/>
      </c>
      <c r="L4089">
        <f>SUMPRODUCT(Calc!$K$3:$K$22*(Calc!$G$3:$G$22&gt;A4089)*(Calc!$G$3:$G$22-A4089)*Calc!$G$3:$G$22)</f>
        <v/>
      </c>
      <c r="M4089">
        <f>SUMPRODUCT(Calc!$K$3:$K$22*(Calc!$G$3:$G$22&gt;B4089)*(Calc!$G$3:$G$22-B4089)*Calc!$G$3:$G$22)</f>
        <v/>
      </c>
      <c r="N4089">
        <f>SUMPRODUCT(Calc!$K$3:$K$22*(Calc!$G$3:$G$22&gt;A4089)*(Calc!$G$3:$G$22-A4089)*Calc!$I$3:$I$22)</f>
        <v/>
      </c>
      <c r="O4089">
        <f>SUMPRODUCT(Calc!$K$3:$K$22*(Calc!$G$3:$G$22&gt;B4089)*(Calc!$G$3:$G$22-B4089)*Calc!$I$3:$I$22)</f>
        <v/>
      </c>
      <c r="P4089">
        <f>I4089-G4089^2/k_n</f>
        <v/>
      </c>
      <c r="Q4089">
        <f>J4089-H4089^2/k_n</f>
        <v/>
      </c>
      <c r="R4089">
        <f>K4089-G4089*H4089/k_n</f>
        <v/>
      </c>
      <c r="S4089">
        <f>L4089-LTP3!$D$3*G4089/k_n</f>
        <v/>
      </c>
      <c r="T4089">
        <f>M4089-LTP3!$D$3*H4089/k_n</f>
        <v/>
      </c>
      <c r="U4089">
        <f>N4089-G4089*LTP3!$D$4/k_n</f>
        <v/>
      </c>
      <c r="V4089">
        <f>O4089-H4089*LTP3!$D$4/k_n</f>
        <v/>
      </c>
      <c r="W4089">
        <f>((LTP3!$D$5)*((P4089)*(Q4089)-(R4089)*(R4089))-(S4089)*((S4089)*(Q4089)-(R4089)*(T4089))+(T4089)*((S4089)*(R4089)-(P4089)*(T4089)))</f>
        <v/>
      </c>
      <c r="X4089">
        <f>IF(ABS(W4089)&gt;1E-12,((LTP3!$D$6)*((P4089)*(Q4089)-(R4089)*(R4089))-(S4089)*((U4089)*(Q4089)-(R4089)*(V4089))+(T4089)*((U4089)*(R4089)-(P4089)*(V4089)))/W4089,0)</f>
        <v/>
      </c>
      <c r="Y4089">
        <f>IF(ABS(W4089)&gt;1E-12,((LTP3!$D$5)*((U4089)*(Q4089)-(R4089)*(V4089))-(LTP3!$D$6)*((S4089)*(Q4089)-(R4089)*(T4089))+(T4089)*((S4089)*(V4089)-(U4089)*(T4089)))/W4089,0)</f>
        <v/>
      </c>
      <c r="Z4089">
        <f>IF(ABS(W4089)&gt;1E-12,((LTP3!$D$5)*((P4089)*(V4089)-(U4089)*(R4089))-(S4089)*((S4089)*(V4089)-(U4089)*(T4089))+(LTP3!$D$6)*((S4089)*(R4089)-(P4089)*(T4089)))/W4089,0)</f>
        <v/>
      </c>
      <c r="AA4089">
        <f>LTP3!$D$7-X4089*LTP3!$D$6-Y4089*U4089-Z4089*V4089</f>
        <v/>
      </c>
      <c r="AB4089">
        <f>IF(AND(F4089,ABS(W4089)&gt;1E-12,Y4089&gt;0,Z4089&gt;0),AA4089,1E+300)</f>
        <v/>
      </c>
    </row>
    <row r="4090">
      <c r="A4090">
        <f>$I$3-$B$5+$B$5*16/10</f>
        <v/>
      </c>
      <c r="B4090">
        <f>$J$3-$B$5+$B$5*18/10</f>
        <v/>
      </c>
      <c r="C4090">
        <f>SUMPRODUCT(Calc!$K$3:$K$22*(Calc!$G$3:$G$22&lt;=A4090))</f>
        <v/>
      </c>
      <c r="D4090">
        <f>SUMPRODUCT(Calc!$K$3:$K$22*(Calc!$G$3:$G$22&gt;A4090)*(Calc!$G$3:$G$22&lt;B4090))</f>
        <v/>
      </c>
      <c r="E4090">
        <f>SUMPRODUCT(Calc!$K$3:$K$22*(Calc!$G$3:$G$22&gt;=B4090))</f>
        <v/>
      </c>
      <c r="F4090">
        <f>AND(k_n&gt;=5,B4090&gt;A4090+1E-9,C4090&gt;=2,D4090&gt;=1,E4090&gt;=2)</f>
        <v/>
      </c>
      <c r="G4090">
        <f>SUMPRODUCT(Calc!$K$3:$K$22*(Calc!$G$3:$G$22&gt;A4090)*(Calc!$G$3:$G$22-A4090))</f>
        <v/>
      </c>
      <c r="H4090">
        <f>SUMPRODUCT(Calc!$K$3:$K$22*(Calc!$G$3:$G$22&gt;B4090)*(Calc!$G$3:$G$22-B4090))</f>
        <v/>
      </c>
      <c r="I4090">
        <f>SUMPRODUCT(Calc!$K$3:$K$22*(Calc!$G$3:$G$22&gt;A4090)*(Calc!$G$3:$G$22-A4090)^2)</f>
        <v/>
      </c>
      <c r="J4090">
        <f>SUMPRODUCT(Calc!$K$3:$K$22*(Calc!$G$3:$G$22&gt;B4090)*(Calc!$G$3:$G$22-B4090)^2)</f>
        <v/>
      </c>
      <c r="K4090">
        <f>SUMPRODUCT(Calc!$K$3:$K$22*(Calc!$G$3:$G$22&gt;A4090)*(Calc!$G$3:$G$22-A4090)*(Calc!$G$3:$G$22&gt;B4090)*(Calc!$G$3:$G$22-B4090))</f>
        <v/>
      </c>
      <c r="L4090">
        <f>SUMPRODUCT(Calc!$K$3:$K$22*(Calc!$G$3:$G$22&gt;A4090)*(Calc!$G$3:$G$22-A4090)*Calc!$G$3:$G$22)</f>
        <v/>
      </c>
      <c r="M4090">
        <f>SUMPRODUCT(Calc!$K$3:$K$22*(Calc!$G$3:$G$22&gt;B4090)*(Calc!$G$3:$G$22-B4090)*Calc!$G$3:$G$22)</f>
        <v/>
      </c>
      <c r="N4090">
        <f>SUMPRODUCT(Calc!$K$3:$K$22*(Calc!$G$3:$G$22&gt;A4090)*(Calc!$G$3:$G$22-A4090)*Calc!$I$3:$I$22)</f>
        <v/>
      </c>
      <c r="O4090">
        <f>SUMPRODUCT(Calc!$K$3:$K$22*(Calc!$G$3:$G$22&gt;B4090)*(Calc!$G$3:$G$22-B4090)*Calc!$I$3:$I$22)</f>
        <v/>
      </c>
      <c r="P4090">
        <f>I4090-G4090^2/k_n</f>
        <v/>
      </c>
      <c r="Q4090">
        <f>J4090-H4090^2/k_n</f>
        <v/>
      </c>
      <c r="R4090">
        <f>K4090-G4090*H4090/k_n</f>
        <v/>
      </c>
      <c r="S4090">
        <f>L4090-LTP3!$D$3*G4090/k_n</f>
        <v/>
      </c>
      <c r="T4090">
        <f>M4090-LTP3!$D$3*H4090/k_n</f>
        <v/>
      </c>
      <c r="U4090">
        <f>N4090-G4090*LTP3!$D$4/k_n</f>
        <v/>
      </c>
      <c r="V4090">
        <f>O4090-H4090*LTP3!$D$4/k_n</f>
        <v/>
      </c>
      <c r="W4090">
        <f>((LTP3!$D$5)*((P4090)*(Q4090)-(R4090)*(R4090))-(S4090)*((S4090)*(Q4090)-(R4090)*(T4090))+(T4090)*((S4090)*(R4090)-(P4090)*(T4090)))</f>
        <v/>
      </c>
      <c r="X4090">
        <f>IF(ABS(W4090)&gt;1E-12,((LTP3!$D$6)*((P4090)*(Q4090)-(R4090)*(R4090))-(S4090)*((U4090)*(Q4090)-(R4090)*(V4090))+(T4090)*((U4090)*(R4090)-(P4090)*(V4090)))/W4090,0)</f>
        <v/>
      </c>
      <c r="Y4090">
        <f>IF(ABS(W4090)&gt;1E-12,((LTP3!$D$5)*((U4090)*(Q4090)-(R4090)*(V4090))-(LTP3!$D$6)*((S4090)*(Q4090)-(R4090)*(T4090))+(T4090)*((S4090)*(V4090)-(U4090)*(T4090)))/W4090,0)</f>
        <v/>
      </c>
      <c r="Z4090">
        <f>IF(ABS(W4090)&gt;1E-12,((LTP3!$D$5)*((P4090)*(V4090)-(U4090)*(R4090))-(S4090)*((S4090)*(V4090)-(U4090)*(T4090))+(LTP3!$D$6)*((S4090)*(R4090)-(P4090)*(T4090)))/W4090,0)</f>
        <v/>
      </c>
      <c r="AA4090">
        <f>LTP3!$D$7-X4090*LTP3!$D$6-Y4090*U4090-Z4090*V4090</f>
        <v/>
      </c>
      <c r="AB4090">
        <f>IF(AND(F4090,ABS(W4090)&gt;1E-12,Y4090&gt;0,Z4090&gt;0),AA4090,1E+300)</f>
        <v/>
      </c>
    </row>
    <row r="4091">
      <c r="A4091">
        <f>$I$3-$B$5+$B$5*16/10</f>
        <v/>
      </c>
      <c r="B4091">
        <f>$J$3-$B$5+$B$5*19/10</f>
        <v/>
      </c>
      <c r="C4091">
        <f>SUMPRODUCT(Calc!$K$3:$K$22*(Calc!$G$3:$G$22&lt;=A4091))</f>
        <v/>
      </c>
      <c r="D4091">
        <f>SUMPRODUCT(Calc!$K$3:$K$22*(Calc!$G$3:$G$22&gt;A4091)*(Calc!$G$3:$G$22&lt;B4091))</f>
        <v/>
      </c>
      <c r="E4091">
        <f>SUMPRODUCT(Calc!$K$3:$K$22*(Calc!$G$3:$G$22&gt;=B4091))</f>
        <v/>
      </c>
      <c r="F4091">
        <f>AND(k_n&gt;=5,B4091&gt;A4091+1E-9,C4091&gt;=2,D4091&gt;=1,E4091&gt;=2)</f>
        <v/>
      </c>
      <c r="G4091">
        <f>SUMPRODUCT(Calc!$K$3:$K$22*(Calc!$G$3:$G$22&gt;A4091)*(Calc!$G$3:$G$22-A4091))</f>
        <v/>
      </c>
      <c r="H4091">
        <f>SUMPRODUCT(Calc!$K$3:$K$22*(Calc!$G$3:$G$22&gt;B4091)*(Calc!$G$3:$G$22-B4091))</f>
        <v/>
      </c>
      <c r="I4091">
        <f>SUMPRODUCT(Calc!$K$3:$K$22*(Calc!$G$3:$G$22&gt;A4091)*(Calc!$G$3:$G$22-A4091)^2)</f>
        <v/>
      </c>
      <c r="J4091">
        <f>SUMPRODUCT(Calc!$K$3:$K$22*(Calc!$G$3:$G$22&gt;B4091)*(Calc!$G$3:$G$22-B4091)^2)</f>
        <v/>
      </c>
      <c r="K4091">
        <f>SUMPRODUCT(Calc!$K$3:$K$22*(Calc!$G$3:$G$22&gt;A4091)*(Calc!$G$3:$G$22-A4091)*(Calc!$G$3:$G$22&gt;B4091)*(Calc!$G$3:$G$22-B4091))</f>
        <v/>
      </c>
      <c r="L4091">
        <f>SUMPRODUCT(Calc!$K$3:$K$22*(Calc!$G$3:$G$22&gt;A4091)*(Calc!$G$3:$G$22-A4091)*Calc!$G$3:$G$22)</f>
        <v/>
      </c>
      <c r="M4091">
        <f>SUMPRODUCT(Calc!$K$3:$K$22*(Calc!$G$3:$G$22&gt;B4091)*(Calc!$G$3:$G$22-B4091)*Calc!$G$3:$G$22)</f>
        <v/>
      </c>
      <c r="N4091">
        <f>SUMPRODUCT(Calc!$K$3:$K$22*(Calc!$G$3:$G$22&gt;A4091)*(Calc!$G$3:$G$22-A4091)*Calc!$I$3:$I$22)</f>
        <v/>
      </c>
      <c r="O4091">
        <f>SUMPRODUCT(Calc!$K$3:$K$22*(Calc!$G$3:$G$22&gt;B4091)*(Calc!$G$3:$G$22-B4091)*Calc!$I$3:$I$22)</f>
        <v/>
      </c>
      <c r="P4091">
        <f>I4091-G4091^2/k_n</f>
        <v/>
      </c>
      <c r="Q4091">
        <f>J4091-H4091^2/k_n</f>
        <v/>
      </c>
      <c r="R4091">
        <f>K4091-G4091*H4091/k_n</f>
        <v/>
      </c>
      <c r="S4091">
        <f>L4091-LTP3!$D$3*G4091/k_n</f>
        <v/>
      </c>
      <c r="T4091">
        <f>M4091-LTP3!$D$3*H4091/k_n</f>
        <v/>
      </c>
      <c r="U4091">
        <f>N4091-G4091*LTP3!$D$4/k_n</f>
        <v/>
      </c>
      <c r="V4091">
        <f>O4091-H4091*LTP3!$D$4/k_n</f>
        <v/>
      </c>
      <c r="W4091">
        <f>((LTP3!$D$5)*((P4091)*(Q4091)-(R4091)*(R4091))-(S4091)*((S4091)*(Q4091)-(R4091)*(T4091))+(T4091)*((S4091)*(R4091)-(P4091)*(T4091)))</f>
        <v/>
      </c>
      <c r="X4091">
        <f>IF(ABS(W4091)&gt;1E-12,((LTP3!$D$6)*((P4091)*(Q4091)-(R4091)*(R4091))-(S4091)*((U4091)*(Q4091)-(R4091)*(V4091))+(T4091)*((U4091)*(R4091)-(P4091)*(V4091)))/W4091,0)</f>
        <v/>
      </c>
      <c r="Y4091">
        <f>IF(ABS(W4091)&gt;1E-12,((LTP3!$D$5)*((U4091)*(Q4091)-(R4091)*(V4091))-(LTP3!$D$6)*((S4091)*(Q4091)-(R4091)*(T4091))+(T4091)*((S4091)*(V4091)-(U4091)*(T4091)))/W4091,0)</f>
        <v/>
      </c>
      <c r="Z4091">
        <f>IF(ABS(W4091)&gt;1E-12,((LTP3!$D$5)*((P4091)*(V4091)-(U4091)*(R4091))-(S4091)*((S4091)*(V4091)-(U4091)*(T4091))+(LTP3!$D$6)*((S4091)*(R4091)-(P4091)*(T4091)))/W4091,0)</f>
        <v/>
      </c>
      <c r="AA4091">
        <f>LTP3!$D$7-X4091*LTP3!$D$6-Y4091*U4091-Z4091*V4091</f>
        <v/>
      </c>
      <c r="AB4091">
        <f>IF(AND(F4091,ABS(W4091)&gt;1E-12,Y4091&gt;0,Z4091&gt;0),AA4091,1E+300)</f>
        <v/>
      </c>
    </row>
    <row r="4092">
      <c r="A4092">
        <f>$I$3-$B$5+$B$5*16/10</f>
        <v/>
      </c>
      <c r="B4092">
        <f>$J$3-$B$5+$B$5*20/10</f>
        <v/>
      </c>
      <c r="C4092">
        <f>SUMPRODUCT(Calc!$K$3:$K$22*(Calc!$G$3:$G$22&lt;=A4092))</f>
        <v/>
      </c>
      <c r="D4092">
        <f>SUMPRODUCT(Calc!$K$3:$K$22*(Calc!$G$3:$G$22&gt;A4092)*(Calc!$G$3:$G$22&lt;B4092))</f>
        <v/>
      </c>
      <c r="E4092">
        <f>SUMPRODUCT(Calc!$K$3:$K$22*(Calc!$G$3:$G$22&gt;=B4092))</f>
        <v/>
      </c>
      <c r="F4092">
        <f>AND(k_n&gt;=5,B4092&gt;A4092+1E-9,C4092&gt;=2,D4092&gt;=1,E4092&gt;=2)</f>
        <v/>
      </c>
      <c r="G4092">
        <f>SUMPRODUCT(Calc!$K$3:$K$22*(Calc!$G$3:$G$22&gt;A4092)*(Calc!$G$3:$G$22-A4092))</f>
        <v/>
      </c>
      <c r="H4092">
        <f>SUMPRODUCT(Calc!$K$3:$K$22*(Calc!$G$3:$G$22&gt;B4092)*(Calc!$G$3:$G$22-B4092))</f>
        <v/>
      </c>
      <c r="I4092">
        <f>SUMPRODUCT(Calc!$K$3:$K$22*(Calc!$G$3:$G$22&gt;A4092)*(Calc!$G$3:$G$22-A4092)^2)</f>
        <v/>
      </c>
      <c r="J4092">
        <f>SUMPRODUCT(Calc!$K$3:$K$22*(Calc!$G$3:$G$22&gt;B4092)*(Calc!$G$3:$G$22-B4092)^2)</f>
        <v/>
      </c>
      <c r="K4092">
        <f>SUMPRODUCT(Calc!$K$3:$K$22*(Calc!$G$3:$G$22&gt;A4092)*(Calc!$G$3:$G$22-A4092)*(Calc!$G$3:$G$22&gt;B4092)*(Calc!$G$3:$G$22-B4092))</f>
        <v/>
      </c>
      <c r="L4092">
        <f>SUMPRODUCT(Calc!$K$3:$K$22*(Calc!$G$3:$G$22&gt;A4092)*(Calc!$G$3:$G$22-A4092)*Calc!$G$3:$G$22)</f>
        <v/>
      </c>
      <c r="M4092">
        <f>SUMPRODUCT(Calc!$K$3:$K$22*(Calc!$G$3:$G$22&gt;B4092)*(Calc!$G$3:$G$22-B4092)*Calc!$G$3:$G$22)</f>
        <v/>
      </c>
      <c r="N4092">
        <f>SUMPRODUCT(Calc!$K$3:$K$22*(Calc!$G$3:$G$22&gt;A4092)*(Calc!$G$3:$G$22-A4092)*Calc!$I$3:$I$22)</f>
        <v/>
      </c>
      <c r="O4092">
        <f>SUMPRODUCT(Calc!$K$3:$K$22*(Calc!$G$3:$G$22&gt;B4092)*(Calc!$G$3:$G$22-B4092)*Calc!$I$3:$I$22)</f>
        <v/>
      </c>
      <c r="P4092">
        <f>I4092-G4092^2/k_n</f>
        <v/>
      </c>
      <c r="Q4092">
        <f>J4092-H4092^2/k_n</f>
        <v/>
      </c>
      <c r="R4092">
        <f>K4092-G4092*H4092/k_n</f>
        <v/>
      </c>
      <c r="S4092">
        <f>L4092-LTP3!$D$3*G4092/k_n</f>
        <v/>
      </c>
      <c r="T4092">
        <f>M4092-LTP3!$D$3*H4092/k_n</f>
        <v/>
      </c>
      <c r="U4092">
        <f>N4092-G4092*LTP3!$D$4/k_n</f>
        <v/>
      </c>
      <c r="V4092">
        <f>O4092-H4092*LTP3!$D$4/k_n</f>
        <v/>
      </c>
      <c r="W4092">
        <f>((LTP3!$D$5)*((P4092)*(Q4092)-(R4092)*(R4092))-(S4092)*((S4092)*(Q4092)-(R4092)*(T4092))+(T4092)*((S4092)*(R4092)-(P4092)*(T4092)))</f>
        <v/>
      </c>
      <c r="X4092">
        <f>IF(ABS(W4092)&gt;1E-12,((LTP3!$D$6)*((P4092)*(Q4092)-(R4092)*(R4092))-(S4092)*((U4092)*(Q4092)-(R4092)*(V4092))+(T4092)*((U4092)*(R4092)-(P4092)*(V4092)))/W4092,0)</f>
        <v/>
      </c>
      <c r="Y4092">
        <f>IF(ABS(W4092)&gt;1E-12,((LTP3!$D$5)*((U4092)*(Q4092)-(R4092)*(V4092))-(LTP3!$D$6)*((S4092)*(Q4092)-(R4092)*(T4092))+(T4092)*((S4092)*(V4092)-(U4092)*(T4092)))/W4092,0)</f>
        <v/>
      </c>
      <c r="Z4092">
        <f>IF(ABS(W4092)&gt;1E-12,((LTP3!$D$5)*((P4092)*(V4092)-(U4092)*(R4092))-(S4092)*((S4092)*(V4092)-(U4092)*(T4092))+(LTP3!$D$6)*((S4092)*(R4092)-(P4092)*(T4092)))/W4092,0)</f>
        <v/>
      </c>
      <c r="AA4092">
        <f>LTP3!$D$7-X4092*LTP3!$D$6-Y4092*U4092-Z4092*V4092</f>
        <v/>
      </c>
      <c r="AB4092">
        <f>IF(AND(F4092,ABS(W4092)&gt;1E-12,Y4092&gt;0,Z4092&gt;0),AA4092,1E+300)</f>
        <v/>
      </c>
    </row>
    <row r="4093">
      <c r="A4093">
        <f>$I$3-$B$5+$B$5*17/10</f>
        <v/>
      </c>
      <c r="B4093">
        <f>$J$3-$B$5+$B$5*0/10</f>
        <v/>
      </c>
      <c r="C4093">
        <f>SUMPRODUCT(Calc!$K$3:$K$22*(Calc!$G$3:$G$22&lt;=A4093))</f>
        <v/>
      </c>
      <c r="D4093">
        <f>SUMPRODUCT(Calc!$K$3:$K$22*(Calc!$G$3:$G$22&gt;A4093)*(Calc!$G$3:$G$22&lt;B4093))</f>
        <v/>
      </c>
      <c r="E4093">
        <f>SUMPRODUCT(Calc!$K$3:$K$22*(Calc!$G$3:$G$22&gt;=B4093))</f>
        <v/>
      </c>
      <c r="F4093">
        <f>AND(k_n&gt;=5,B4093&gt;A4093+1E-9,C4093&gt;=2,D4093&gt;=1,E4093&gt;=2)</f>
        <v/>
      </c>
      <c r="G4093">
        <f>SUMPRODUCT(Calc!$K$3:$K$22*(Calc!$G$3:$G$22&gt;A4093)*(Calc!$G$3:$G$22-A4093))</f>
        <v/>
      </c>
      <c r="H4093">
        <f>SUMPRODUCT(Calc!$K$3:$K$22*(Calc!$G$3:$G$22&gt;B4093)*(Calc!$G$3:$G$22-B4093))</f>
        <v/>
      </c>
      <c r="I4093">
        <f>SUMPRODUCT(Calc!$K$3:$K$22*(Calc!$G$3:$G$22&gt;A4093)*(Calc!$G$3:$G$22-A4093)^2)</f>
        <v/>
      </c>
      <c r="J4093">
        <f>SUMPRODUCT(Calc!$K$3:$K$22*(Calc!$G$3:$G$22&gt;B4093)*(Calc!$G$3:$G$22-B4093)^2)</f>
        <v/>
      </c>
      <c r="K4093">
        <f>SUMPRODUCT(Calc!$K$3:$K$22*(Calc!$G$3:$G$22&gt;A4093)*(Calc!$G$3:$G$22-A4093)*(Calc!$G$3:$G$22&gt;B4093)*(Calc!$G$3:$G$22-B4093))</f>
        <v/>
      </c>
      <c r="L4093">
        <f>SUMPRODUCT(Calc!$K$3:$K$22*(Calc!$G$3:$G$22&gt;A4093)*(Calc!$G$3:$G$22-A4093)*Calc!$G$3:$G$22)</f>
        <v/>
      </c>
      <c r="M4093">
        <f>SUMPRODUCT(Calc!$K$3:$K$22*(Calc!$G$3:$G$22&gt;B4093)*(Calc!$G$3:$G$22-B4093)*Calc!$G$3:$G$22)</f>
        <v/>
      </c>
      <c r="N4093">
        <f>SUMPRODUCT(Calc!$K$3:$K$22*(Calc!$G$3:$G$22&gt;A4093)*(Calc!$G$3:$G$22-A4093)*Calc!$I$3:$I$22)</f>
        <v/>
      </c>
      <c r="O4093">
        <f>SUMPRODUCT(Calc!$K$3:$K$22*(Calc!$G$3:$G$22&gt;B4093)*(Calc!$G$3:$G$22-B4093)*Calc!$I$3:$I$22)</f>
        <v/>
      </c>
      <c r="P4093">
        <f>I4093-G4093^2/k_n</f>
        <v/>
      </c>
      <c r="Q4093">
        <f>J4093-H4093^2/k_n</f>
        <v/>
      </c>
      <c r="R4093">
        <f>K4093-G4093*H4093/k_n</f>
        <v/>
      </c>
      <c r="S4093">
        <f>L4093-LTP3!$D$3*G4093/k_n</f>
        <v/>
      </c>
      <c r="T4093">
        <f>M4093-LTP3!$D$3*H4093/k_n</f>
        <v/>
      </c>
      <c r="U4093">
        <f>N4093-G4093*LTP3!$D$4/k_n</f>
        <v/>
      </c>
      <c r="V4093">
        <f>O4093-H4093*LTP3!$D$4/k_n</f>
        <v/>
      </c>
      <c r="W4093">
        <f>((LTP3!$D$5)*((P4093)*(Q4093)-(R4093)*(R4093))-(S4093)*((S4093)*(Q4093)-(R4093)*(T4093))+(T4093)*((S4093)*(R4093)-(P4093)*(T4093)))</f>
        <v/>
      </c>
      <c r="X4093">
        <f>IF(ABS(W4093)&gt;1E-12,((LTP3!$D$6)*((P4093)*(Q4093)-(R4093)*(R4093))-(S4093)*((U4093)*(Q4093)-(R4093)*(V4093))+(T4093)*((U4093)*(R4093)-(P4093)*(V4093)))/W4093,0)</f>
        <v/>
      </c>
      <c r="Y4093">
        <f>IF(ABS(W4093)&gt;1E-12,((LTP3!$D$5)*((U4093)*(Q4093)-(R4093)*(V4093))-(LTP3!$D$6)*((S4093)*(Q4093)-(R4093)*(T4093))+(T4093)*((S4093)*(V4093)-(U4093)*(T4093)))/W4093,0)</f>
        <v/>
      </c>
      <c r="Z4093">
        <f>IF(ABS(W4093)&gt;1E-12,((LTP3!$D$5)*((P4093)*(V4093)-(U4093)*(R4093))-(S4093)*((S4093)*(V4093)-(U4093)*(T4093))+(LTP3!$D$6)*((S4093)*(R4093)-(P4093)*(T4093)))/W4093,0)</f>
        <v/>
      </c>
      <c r="AA4093">
        <f>LTP3!$D$7-X4093*LTP3!$D$6-Y4093*U4093-Z4093*V4093</f>
        <v/>
      </c>
      <c r="AB4093">
        <f>IF(AND(F4093,ABS(W4093)&gt;1E-12,Y4093&gt;0,Z4093&gt;0),AA4093,1E+300)</f>
        <v/>
      </c>
    </row>
    <row r="4094">
      <c r="A4094">
        <f>$I$3-$B$5+$B$5*17/10</f>
        <v/>
      </c>
      <c r="B4094">
        <f>$J$3-$B$5+$B$5*1/10</f>
        <v/>
      </c>
      <c r="C4094">
        <f>SUMPRODUCT(Calc!$K$3:$K$22*(Calc!$G$3:$G$22&lt;=A4094))</f>
        <v/>
      </c>
      <c r="D4094">
        <f>SUMPRODUCT(Calc!$K$3:$K$22*(Calc!$G$3:$G$22&gt;A4094)*(Calc!$G$3:$G$22&lt;B4094))</f>
        <v/>
      </c>
      <c r="E4094">
        <f>SUMPRODUCT(Calc!$K$3:$K$22*(Calc!$G$3:$G$22&gt;=B4094))</f>
        <v/>
      </c>
      <c r="F4094">
        <f>AND(k_n&gt;=5,B4094&gt;A4094+1E-9,C4094&gt;=2,D4094&gt;=1,E4094&gt;=2)</f>
        <v/>
      </c>
      <c r="G4094">
        <f>SUMPRODUCT(Calc!$K$3:$K$22*(Calc!$G$3:$G$22&gt;A4094)*(Calc!$G$3:$G$22-A4094))</f>
        <v/>
      </c>
      <c r="H4094">
        <f>SUMPRODUCT(Calc!$K$3:$K$22*(Calc!$G$3:$G$22&gt;B4094)*(Calc!$G$3:$G$22-B4094))</f>
        <v/>
      </c>
      <c r="I4094">
        <f>SUMPRODUCT(Calc!$K$3:$K$22*(Calc!$G$3:$G$22&gt;A4094)*(Calc!$G$3:$G$22-A4094)^2)</f>
        <v/>
      </c>
      <c r="J4094">
        <f>SUMPRODUCT(Calc!$K$3:$K$22*(Calc!$G$3:$G$22&gt;B4094)*(Calc!$G$3:$G$22-B4094)^2)</f>
        <v/>
      </c>
      <c r="K4094">
        <f>SUMPRODUCT(Calc!$K$3:$K$22*(Calc!$G$3:$G$22&gt;A4094)*(Calc!$G$3:$G$22-A4094)*(Calc!$G$3:$G$22&gt;B4094)*(Calc!$G$3:$G$22-B4094))</f>
        <v/>
      </c>
      <c r="L4094">
        <f>SUMPRODUCT(Calc!$K$3:$K$22*(Calc!$G$3:$G$22&gt;A4094)*(Calc!$G$3:$G$22-A4094)*Calc!$G$3:$G$22)</f>
        <v/>
      </c>
      <c r="M4094">
        <f>SUMPRODUCT(Calc!$K$3:$K$22*(Calc!$G$3:$G$22&gt;B4094)*(Calc!$G$3:$G$22-B4094)*Calc!$G$3:$G$22)</f>
        <v/>
      </c>
      <c r="N4094">
        <f>SUMPRODUCT(Calc!$K$3:$K$22*(Calc!$G$3:$G$22&gt;A4094)*(Calc!$G$3:$G$22-A4094)*Calc!$I$3:$I$22)</f>
        <v/>
      </c>
      <c r="O4094">
        <f>SUMPRODUCT(Calc!$K$3:$K$22*(Calc!$G$3:$G$22&gt;B4094)*(Calc!$G$3:$G$22-B4094)*Calc!$I$3:$I$22)</f>
        <v/>
      </c>
      <c r="P4094">
        <f>I4094-G4094^2/k_n</f>
        <v/>
      </c>
      <c r="Q4094">
        <f>J4094-H4094^2/k_n</f>
        <v/>
      </c>
      <c r="R4094">
        <f>K4094-G4094*H4094/k_n</f>
        <v/>
      </c>
      <c r="S4094">
        <f>L4094-LTP3!$D$3*G4094/k_n</f>
        <v/>
      </c>
      <c r="T4094">
        <f>M4094-LTP3!$D$3*H4094/k_n</f>
        <v/>
      </c>
      <c r="U4094">
        <f>N4094-G4094*LTP3!$D$4/k_n</f>
        <v/>
      </c>
      <c r="V4094">
        <f>O4094-H4094*LTP3!$D$4/k_n</f>
        <v/>
      </c>
      <c r="W4094">
        <f>((LTP3!$D$5)*((P4094)*(Q4094)-(R4094)*(R4094))-(S4094)*((S4094)*(Q4094)-(R4094)*(T4094))+(T4094)*((S4094)*(R4094)-(P4094)*(T4094)))</f>
        <v/>
      </c>
      <c r="X4094">
        <f>IF(ABS(W4094)&gt;1E-12,((LTP3!$D$6)*((P4094)*(Q4094)-(R4094)*(R4094))-(S4094)*((U4094)*(Q4094)-(R4094)*(V4094))+(T4094)*((U4094)*(R4094)-(P4094)*(V4094)))/W4094,0)</f>
        <v/>
      </c>
      <c r="Y4094">
        <f>IF(ABS(W4094)&gt;1E-12,((LTP3!$D$5)*((U4094)*(Q4094)-(R4094)*(V4094))-(LTP3!$D$6)*((S4094)*(Q4094)-(R4094)*(T4094))+(T4094)*((S4094)*(V4094)-(U4094)*(T4094)))/W4094,0)</f>
        <v/>
      </c>
      <c r="Z4094">
        <f>IF(ABS(W4094)&gt;1E-12,((LTP3!$D$5)*((P4094)*(V4094)-(U4094)*(R4094))-(S4094)*((S4094)*(V4094)-(U4094)*(T4094))+(LTP3!$D$6)*((S4094)*(R4094)-(P4094)*(T4094)))/W4094,0)</f>
        <v/>
      </c>
      <c r="AA4094">
        <f>LTP3!$D$7-X4094*LTP3!$D$6-Y4094*U4094-Z4094*V4094</f>
        <v/>
      </c>
      <c r="AB4094">
        <f>IF(AND(F4094,ABS(W4094)&gt;1E-12,Y4094&gt;0,Z4094&gt;0),AA4094,1E+300)</f>
        <v/>
      </c>
    </row>
    <row r="4095">
      <c r="A4095">
        <f>$I$3-$B$5+$B$5*17/10</f>
        <v/>
      </c>
      <c r="B4095">
        <f>$J$3-$B$5+$B$5*2/10</f>
        <v/>
      </c>
      <c r="C4095">
        <f>SUMPRODUCT(Calc!$K$3:$K$22*(Calc!$G$3:$G$22&lt;=A4095))</f>
        <v/>
      </c>
      <c r="D4095">
        <f>SUMPRODUCT(Calc!$K$3:$K$22*(Calc!$G$3:$G$22&gt;A4095)*(Calc!$G$3:$G$22&lt;B4095))</f>
        <v/>
      </c>
      <c r="E4095">
        <f>SUMPRODUCT(Calc!$K$3:$K$22*(Calc!$G$3:$G$22&gt;=B4095))</f>
        <v/>
      </c>
      <c r="F4095">
        <f>AND(k_n&gt;=5,B4095&gt;A4095+1E-9,C4095&gt;=2,D4095&gt;=1,E4095&gt;=2)</f>
        <v/>
      </c>
      <c r="G4095">
        <f>SUMPRODUCT(Calc!$K$3:$K$22*(Calc!$G$3:$G$22&gt;A4095)*(Calc!$G$3:$G$22-A4095))</f>
        <v/>
      </c>
      <c r="H4095">
        <f>SUMPRODUCT(Calc!$K$3:$K$22*(Calc!$G$3:$G$22&gt;B4095)*(Calc!$G$3:$G$22-B4095))</f>
        <v/>
      </c>
      <c r="I4095">
        <f>SUMPRODUCT(Calc!$K$3:$K$22*(Calc!$G$3:$G$22&gt;A4095)*(Calc!$G$3:$G$22-A4095)^2)</f>
        <v/>
      </c>
      <c r="J4095">
        <f>SUMPRODUCT(Calc!$K$3:$K$22*(Calc!$G$3:$G$22&gt;B4095)*(Calc!$G$3:$G$22-B4095)^2)</f>
        <v/>
      </c>
      <c r="K4095">
        <f>SUMPRODUCT(Calc!$K$3:$K$22*(Calc!$G$3:$G$22&gt;A4095)*(Calc!$G$3:$G$22-A4095)*(Calc!$G$3:$G$22&gt;B4095)*(Calc!$G$3:$G$22-B4095))</f>
        <v/>
      </c>
      <c r="L4095">
        <f>SUMPRODUCT(Calc!$K$3:$K$22*(Calc!$G$3:$G$22&gt;A4095)*(Calc!$G$3:$G$22-A4095)*Calc!$G$3:$G$22)</f>
        <v/>
      </c>
      <c r="M4095">
        <f>SUMPRODUCT(Calc!$K$3:$K$22*(Calc!$G$3:$G$22&gt;B4095)*(Calc!$G$3:$G$22-B4095)*Calc!$G$3:$G$22)</f>
        <v/>
      </c>
      <c r="N4095">
        <f>SUMPRODUCT(Calc!$K$3:$K$22*(Calc!$G$3:$G$22&gt;A4095)*(Calc!$G$3:$G$22-A4095)*Calc!$I$3:$I$22)</f>
        <v/>
      </c>
      <c r="O4095">
        <f>SUMPRODUCT(Calc!$K$3:$K$22*(Calc!$G$3:$G$22&gt;B4095)*(Calc!$G$3:$G$22-B4095)*Calc!$I$3:$I$22)</f>
        <v/>
      </c>
      <c r="P4095">
        <f>I4095-G4095^2/k_n</f>
        <v/>
      </c>
      <c r="Q4095">
        <f>J4095-H4095^2/k_n</f>
        <v/>
      </c>
      <c r="R4095">
        <f>K4095-G4095*H4095/k_n</f>
        <v/>
      </c>
      <c r="S4095">
        <f>L4095-LTP3!$D$3*G4095/k_n</f>
        <v/>
      </c>
      <c r="T4095">
        <f>M4095-LTP3!$D$3*H4095/k_n</f>
        <v/>
      </c>
      <c r="U4095">
        <f>N4095-G4095*LTP3!$D$4/k_n</f>
        <v/>
      </c>
      <c r="V4095">
        <f>O4095-H4095*LTP3!$D$4/k_n</f>
        <v/>
      </c>
      <c r="W4095">
        <f>((LTP3!$D$5)*((P4095)*(Q4095)-(R4095)*(R4095))-(S4095)*((S4095)*(Q4095)-(R4095)*(T4095))+(T4095)*((S4095)*(R4095)-(P4095)*(T4095)))</f>
        <v/>
      </c>
      <c r="X4095">
        <f>IF(ABS(W4095)&gt;1E-12,((LTP3!$D$6)*((P4095)*(Q4095)-(R4095)*(R4095))-(S4095)*((U4095)*(Q4095)-(R4095)*(V4095))+(T4095)*((U4095)*(R4095)-(P4095)*(V4095)))/W4095,0)</f>
        <v/>
      </c>
      <c r="Y4095">
        <f>IF(ABS(W4095)&gt;1E-12,((LTP3!$D$5)*((U4095)*(Q4095)-(R4095)*(V4095))-(LTP3!$D$6)*((S4095)*(Q4095)-(R4095)*(T4095))+(T4095)*((S4095)*(V4095)-(U4095)*(T4095)))/W4095,0)</f>
        <v/>
      </c>
      <c r="Z4095">
        <f>IF(ABS(W4095)&gt;1E-12,((LTP3!$D$5)*((P4095)*(V4095)-(U4095)*(R4095))-(S4095)*((S4095)*(V4095)-(U4095)*(T4095))+(LTP3!$D$6)*((S4095)*(R4095)-(P4095)*(T4095)))/W4095,0)</f>
        <v/>
      </c>
      <c r="AA4095">
        <f>LTP3!$D$7-X4095*LTP3!$D$6-Y4095*U4095-Z4095*V4095</f>
        <v/>
      </c>
      <c r="AB4095">
        <f>IF(AND(F4095,ABS(W4095)&gt;1E-12,Y4095&gt;0,Z4095&gt;0),AA4095,1E+300)</f>
        <v/>
      </c>
    </row>
    <row r="4096">
      <c r="A4096">
        <f>$I$3-$B$5+$B$5*17/10</f>
        <v/>
      </c>
      <c r="B4096">
        <f>$J$3-$B$5+$B$5*3/10</f>
        <v/>
      </c>
      <c r="C4096">
        <f>SUMPRODUCT(Calc!$K$3:$K$22*(Calc!$G$3:$G$22&lt;=A4096))</f>
        <v/>
      </c>
      <c r="D4096">
        <f>SUMPRODUCT(Calc!$K$3:$K$22*(Calc!$G$3:$G$22&gt;A4096)*(Calc!$G$3:$G$22&lt;B4096))</f>
        <v/>
      </c>
      <c r="E4096">
        <f>SUMPRODUCT(Calc!$K$3:$K$22*(Calc!$G$3:$G$22&gt;=B4096))</f>
        <v/>
      </c>
      <c r="F4096">
        <f>AND(k_n&gt;=5,B4096&gt;A4096+1E-9,C4096&gt;=2,D4096&gt;=1,E4096&gt;=2)</f>
        <v/>
      </c>
      <c r="G4096">
        <f>SUMPRODUCT(Calc!$K$3:$K$22*(Calc!$G$3:$G$22&gt;A4096)*(Calc!$G$3:$G$22-A4096))</f>
        <v/>
      </c>
      <c r="H4096">
        <f>SUMPRODUCT(Calc!$K$3:$K$22*(Calc!$G$3:$G$22&gt;B4096)*(Calc!$G$3:$G$22-B4096))</f>
        <v/>
      </c>
      <c r="I4096">
        <f>SUMPRODUCT(Calc!$K$3:$K$22*(Calc!$G$3:$G$22&gt;A4096)*(Calc!$G$3:$G$22-A4096)^2)</f>
        <v/>
      </c>
      <c r="J4096">
        <f>SUMPRODUCT(Calc!$K$3:$K$22*(Calc!$G$3:$G$22&gt;B4096)*(Calc!$G$3:$G$22-B4096)^2)</f>
        <v/>
      </c>
      <c r="K4096">
        <f>SUMPRODUCT(Calc!$K$3:$K$22*(Calc!$G$3:$G$22&gt;A4096)*(Calc!$G$3:$G$22-A4096)*(Calc!$G$3:$G$22&gt;B4096)*(Calc!$G$3:$G$22-B4096))</f>
        <v/>
      </c>
      <c r="L4096">
        <f>SUMPRODUCT(Calc!$K$3:$K$22*(Calc!$G$3:$G$22&gt;A4096)*(Calc!$G$3:$G$22-A4096)*Calc!$G$3:$G$22)</f>
        <v/>
      </c>
      <c r="M4096">
        <f>SUMPRODUCT(Calc!$K$3:$K$22*(Calc!$G$3:$G$22&gt;B4096)*(Calc!$G$3:$G$22-B4096)*Calc!$G$3:$G$22)</f>
        <v/>
      </c>
      <c r="N4096">
        <f>SUMPRODUCT(Calc!$K$3:$K$22*(Calc!$G$3:$G$22&gt;A4096)*(Calc!$G$3:$G$22-A4096)*Calc!$I$3:$I$22)</f>
        <v/>
      </c>
      <c r="O4096">
        <f>SUMPRODUCT(Calc!$K$3:$K$22*(Calc!$G$3:$G$22&gt;B4096)*(Calc!$G$3:$G$22-B4096)*Calc!$I$3:$I$22)</f>
        <v/>
      </c>
      <c r="P4096">
        <f>I4096-G4096^2/k_n</f>
        <v/>
      </c>
      <c r="Q4096">
        <f>J4096-H4096^2/k_n</f>
        <v/>
      </c>
      <c r="R4096">
        <f>K4096-G4096*H4096/k_n</f>
        <v/>
      </c>
      <c r="S4096">
        <f>L4096-LTP3!$D$3*G4096/k_n</f>
        <v/>
      </c>
      <c r="T4096">
        <f>M4096-LTP3!$D$3*H4096/k_n</f>
        <v/>
      </c>
      <c r="U4096">
        <f>N4096-G4096*LTP3!$D$4/k_n</f>
        <v/>
      </c>
      <c r="V4096">
        <f>O4096-H4096*LTP3!$D$4/k_n</f>
        <v/>
      </c>
      <c r="W4096">
        <f>((LTP3!$D$5)*((P4096)*(Q4096)-(R4096)*(R4096))-(S4096)*((S4096)*(Q4096)-(R4096)*(T4096))+(T4096)*((S4096)*(R4096)-(P4096)*(T4096)))</f>
        <v/>
      </c>
      <c r="X4096">
        <f>IF(ABS(W4096)&gt;1E-12,((LTP3!$D$6)*((P4096)*(Q4096)-(R4096)*(R4096))-(S4096)*((U4096)*(Q4096)-(R4096)*(V4096))+(T4096)*((U4096)*(R4096)-(P4096)*(V4096)))/W4096,0)</f>
        <v/>
      </c>
      <c r="Y4096">
        <f>IF(ABS(W4096)&gt;1E-12,((LTP3!$D$5)*((U4096)*(Q4096)-(R4096)*(V4096))-(LTP3!$D$6)*((S4096)*(Q4096)-(R4096)*(T4096))+(T4096)*((S4096)*(V4096)-(U4096)*(T4096)))/W4096,0)</f>
        <v/>
      </c>
      <c r="Z4096">
        <f>IF(ABS(W4096)&gt;1E-12,((LTP3!$D$5)*((P4096)*(V4096)-(U4096)*(R4096))-(S4096)*((S4096)*(V4096)-(U4096)*(T4096))+(LTP3!$D$6)*((S4096)*(R4096)-(P4096)*(T4096)))/W4096,0)</f>
        <v/>
      </c>
      <c r="AA4096">
        <f>LTP3!$D$7-X4096*LTP3!$D$6-Y4096*U4096-Z4096*V4096</f>
        <v/>
      </c>
      <c r="AB4096">
        <f>IF(AND(F4096,ABS(W4096)&gt;1E-12,Y4096&gt;0,Z4096&gt;0),AA4096,1E+300)</f>
        <v/>
      </c>
    </row>
    <row r="4097">
      <c r="A4097">
        <f>$I$3-$B$5+$B$5*17/10</f>
        <v/>
      </c>
      <c r="B4097">
        <f>$J$3-$B$5+$B$5*4/10</f>
        <v/>
      </c>
      <c r="C4097">
        <f>SUMPRODUCT(Calc!$K$3:$K$22*(Calc!$G$3:$G$22&lt;=A4097))</f>
        <v/>
      </c>
      <c r="D4097">
        <f>SUMPRODUCT(Calc!$K$3:$K$22*(Calc!$G$3:$G$22&gt;A4097)*(Calc!$G$3:$G$22&lt;B4097))</f>
        <v/>
      </c>
      <c r="E4097">
        <f>SUMPRODUCT(Calc!$K$3:$K$22*(Calc!$G$3:$G$22&gt;=B4097))</f>
        <v/>
      </c>
      <c r="F4097">
        <f>AND(k_n&gt;=5,B4097&gt;A4097+1E-9,C4097&gt;=2,D4097&gt;=1,E4097&gt;=2)</f>
        <v/>
      </c>
      <c r="G4097">
        <f>SUMPRODUCT(Calc!$K$3:$K$22*(Calc!$G$3:$G$22&gt;A4097)*(Calc!$G$3:$G$22-A4097))</f>
        <v/>
      </c>
      <c r="H4097">
        <f>SUMPRODUCT(Calc!$K$3:$K$22*(Calc!$G$3:$G$22&gt;B4097)*(Calc!$G$3:$G$22-B4097))</f>
        <v/>
      </c>
      <c r="I4097">
        <f>SUMPRODUCT(Calc!$K$3:$K$22*(Calc!$G$3:$G$22&gt;A4097)*(Calc!$G$3:$G$22-A4097)^2)</f>
        <v/>
      </c>
      <c r="J4097">
        <f>SUMPRODUCT(Calc!$K$3:$K$22*(Calc!$G$3:$G$22&gt;B4097)*(Calc!$G$3:$G$22-B4097)^2)</f>
        <v/>
      </c>
      <c r="K4097">
        <f>SUMPRODUCT(Calc!$K$3:$K$22*(Calc!$G$3:$G$22&gt;A4097)*(Calc!$G$3:$G$22-A4097)*(Calc!$G$3:$G$22&gt;B4097)*(Calc!$G$3:$G$22-B4097))</f>
        <v/>
      </c>
      <c r="L4097">
        <f>SUMPRODUCT(Calc!$K$3:$K$22*(Calc!$G$3:$G$22&gt;A4097)*(Calc!$G$3:$G$22-A4097)*Calc!$G$3:$G$22)</f>
        <v/>
      </c>
      <c r="M4097">
        <f>SUMPRODUCT(Calc!$K$3:$K$22*(Calc!$G$3:$G$22&gt;B4097)*(Calc!$G$3:$G$22-B4097)*Calc!$G$3:$G$22)</f>
        <v/>
      </c>
      <c r="N4097">
        <f>SUMPRODUCT(Calc!$K$3:$K$22*(Calc!$G$3:$G$22&gt;A4097)*(Calc!$G$3:$G$22-A4097)*Calc!$I$3:$I$22)</f>
        <v/>
      </c>
      <c r="O4097">
        <f>SUMPRODUCT(Calc!$K$3:$K$22*(Calc!$G$3:$G$22&gt;B4097)*(Calc!$G$3:$G$22-B4097)*Calc!$I$3:$I$22)</f>
        <v/>
      </c>
      <c r="P4097">
        <f>I4097-G4097^2/k_n</f>
        <v/>
      </c>
      <c r="Q4097">
        <f>J4097-H4097^2/k_n</f>
        <v/>
      </c>
      <c r="R4097">
        <f>K4097-G4097*H4097/k_n</f>
        <v/>
      </c>
      <c r="S4097">
        <f>L4097-LTP3!$D$3*G4097/k_n</f>
        <v/>
      </c>
      <c r="T4097">
        <f>M4097-LTP3!$D$3*H4097/k_n</f>
        <v/>
      </c>
      <c r="U4097">
        <f>N4097-G4097*LTP3!$D$4/k_n</f>
        <v/>
      </c>
      <c r="V4097">
        <f>O4097-H4097*LTP3!$D$4/k_n</f>
        <v/>
      </c>
      <c r="W4097">
        <f>((LTP3!$D$5)*((P4097)*(Q4097)-(R4097)*(R4097))-(S4097)*((S4097)*(Q4097)-(R4097)*(T4097))+(T4097)*((S4097)*(R4097)-(P4097)*(T4097)))</f>
        <v/>
      </c>
      <c r="X4097">
        <f>IF(ABS(W4097)&gt;1E-12,((LTP3!$D$6)*((P4097)*(Q4097)-(R4097)*(R4097))-(S4097)*((U4097)*(Q4097)-(R4097)*(V4097))+(T4097)*((U4097)*(R4097)-(P4097)*(V4097)))/W4097,0)</f>
        <v/>
      </c>
      <c r="Y4097">
        <f>IF(ABS(W4097)&gt;1E-12,((LTP3!$D$5)*((U4097)*(Q4097)-(R4097)*(V4097))-(LTP3!$D$6)*((S4097)*(Q4097)-(R4097)*(T4097))+(T4097)*((S4097)*(V4097)-(U4097)*(T4097)))/W4097,0)</f>
        <v/>
      </c>
      <c r="Z4097">
        <f>IF(ABS(W4097)&gt;1E-12,((LTP3!$D$5)*((P4097)*(V4097)-(U4097)*(R4097))-(S4097)*((S4097)*(V4097)-(U4097)*(T4097))+(LTP3!$D$6)*((S4097)*(R4097)-(P4097)*(T4097)))/W4097,0)</f>
        <v/>
      </c>
      <c r="AA4097">
        <f>LTP3!$D$7-X4097*LTP3!$D$6-Y4097*U4097-Z4097*V4097</f>
        <v/>
      </c>
      <c r="AB4097">
        <f>IF(AND(F4097,ABS(W4097)&gt;1E-12,Y4097&gt;0,Z4097&gt;0),AA4097,1E+300)</f>
        <v/>
      </c>
    </row>
    <row r="4098">
      <c r="A4098">
        <f>$I$3-$B$5+$B$5*17/10</f>
        <v/>
      </c>
      <c r="B4098">
        <f>$J$3-$B$5+$B$5*5/10</f>
        <v/>
      </c>
      <c r="C4098">
        <f>SUMPRODUCT(Calc!$K$3:$K$22*(Calc!$G$3:$G$22&lt;=A4098))</f>
        <v/>
      </c>
      <c r="D4098">
        <f>SUMPRODUCT(Calc!$K$3:$K$22*(Calc!$G$3:$G$22&gt;A4098)*(Calc!$G$3:$G$22&lt;B4098))</f>
        <v/>
      </c>
      <c r="E4098">
        <f>SUMPRODUCT(Calc!$K$3:$K$22*(Calc!$G$3:$G$22&gt;=B4098))</f>
        <v/>
      </c>
      <c r="F4098">
        <f>AND(k_n&gt;=5,B4098&gt;A4098+1E-9,C4098&gt;=2,D4098&gt;=1,E4098&gt;=2)</f>
        <v/>
      </c>
      <c r="G4098">
        <f>SUMPRODUCT(Calc!$K$3:$K$22*(Calc!$G$3:$G$22&gt;A4098)*(Calc!$G$3:$G$22-A4098))</f>
        <v/>
      </c>
      <c r="H4098">
        <f>SUMPRODUCT(Calc!$K$3:$K$22*(Calc!$G$3:$G$22&gt;B4098)*(Calc!$G$3:$G$22-B4098))</f>
        <v/>
      </c>
      <c r="I4098">
        <f>SUMPRODUCT(Calc!$K$3:$K$22*(Calc!$G$3:$G$22&gt;A4098)*(Calc!$G$3:$G$22-A4098)^2)</f>
        <v/>
      </c>
      <c r="J4098">
        <f>SUMPRODUCT(Calc!$K$3:$K$22*(Calc!$G$3:$G$22&gt;B4098)*(Calc!$G$3:$G$22-B4098)^2)</f>
        <v/>
      </c>
      <c r="K4098">
        <f>SUMPRODUCT(Calc!$K$3:$K$22*(Calc!$G$3:$G$22&gt;A4098)*(Calc!$G$3:$G$22-A4098)*(Calc!$G$3:$G$22&gt;B4098)*(Calc!$G$3:$G$22-B4098))</f>
        <v/>
      </c>
      <c r="L4098">
        <f>SUMPRODUCT(Calc!$K$3:$K$22*(Calc!$G$3:$G$22&gt;A4098)*(Calc!$G$3:$G$22-A4098)*Calc!$G$3:$G$22)</f>
        <v/>
      </c>
      <c r="M4098">
        <f>SUMPRODUCT(Calc!$K$3:$K$22*(Calc!$G$3:$G$22&gt;B4098)*(Calc!$G$3:$G$22-B4098)*Calc!$G$3:$G$22)</f>
        <v/>
      </c>
      <c r="N4098">
        <f>SUMPRODUCT(Calc!$K$3:$K$22*(Calc!$G$3:$G$22&gt;A4098)*(Calc!$G$3:$G$22-A4098)*Calc!$I$3:$I$22)</f>
        <v/>
      </c>
      <c r="O4098">
        <f>SUMPRODUCT(Calc!$K$3:$K$22*(Calc!$G$3:$G$22&gt;B4098)*(Calc!$G$3:$G$22-B4098)*Calc!$I$3:$I$22)</f>
        <v/>
      </c>
      <c r="P4098">
        <f>I4098-G4098^2/k_n</f>
        <v/>
      </c>
      <c r="Q4098">
        <f>J4098-H4098^2/k_n</f>
        <v/>
      </c>
      <c r="R4098">
        <f>K4098-G4098*H4098/k_n</f>
        <v/>
      </c>
      <c r="S4098">
        <f>L4098-LTP3!$D$3*G4098/k_n</f>
        <v/>
      </c>
      <c r="T4098">
        <f>M4098-LTP3!$D$3*H4098/k_n</f>
        <v/>
      </c>
      <c r="U4098">
        <f>N4098-G4098*LTP3!$D$4/k_n</f>
        <v/>
      </c>
      <c r="V4098">
        <f>O4098-H4098*LTP3!$D$4/k_n</f>
        <v/>
      </c>
      <c r="W4098">
        <f>((LTP3!$D$5)*((P4098)*(Q4098)-(R4098)*(R4098))-(S4098)*((S4098)*(Q4098)-(R4098)*(T4098))+(T4098)*((S4098)*(R4098)-(P4098)*(T4098)))</f>
        <v/>
      </c>
      <c r="X4098">
        <f>IF(ABS(W4098)&gt;1E-12,((LTP3!$D$6)*((P4098)*(Q4098)-(R4098)*(R4098))-(S4098)*((U4098)*(Q4098)-(R4098)*(V4098))+(T4098)*((U4098)*(R4098)-(P4098)*(V4098)))/W4098,0)</f>
        <v/>
      </c>
      <c r="Y4098">
        <f>IF(ABS(W4098)&gt;1E-12,((LTP3!$D$5)*((U4098)*(Q4098)-(R4098)*(V4098))-(LTP3!$D$6)*((S4098)*(Q4098)-(R4098)*(T4098))+(T4098)*((S4098)*(V4098)-(U4098)*(T4098)))/W4098,0)</f>
        <v/>
      </c>
      <c r="Z4098">
        <f>IF(ABS(W4098)&gt;1E-12,((LTP3!$D$5)*((P4098)*(V4098)-(U4098)*(R4098))-(S4098)*((S4098)*(V4098)-(U4098)*(T4098))+(LTP3!$D$6)*((S4098)*(R4098)-(P4098)*(T4098)))/W4098,0)</f>
        <v/>
      </c>
      <c r="AA4098">
        <f>LTP3!$D$7-X4098*LTP3!$D$6-Y4098*U4098-Z4098*V4098</f>
        <v/>
      </c>
      <c r="AB4098">
        <f>IF(AND(F4098,ABS(W4098)&gt;1E-12,Y4098&gt;0,Z4098&gt;0),AA4098,1E+300)</f>
        <v/>
      </c>
    </row>
    <row r="4099">
      <c r="A4099">
        <f>$I$3-$B$5+$B$5*17/10</f>
        <v/>
      </c>
      <c r="B4099">
        <f>$J$3-$B$5+$B$5*6/10</f>
        <v/>
      </c>
      <c r="C4099">
        <f>SUMPRODUCT(Calc!$K$3:$K$22*(Calc!$G$3:$G$22&lt;=A4099))</f>
        <v/>
      </c>
      <c r="D4099">
        <f>SUMPRODUCT(Calc!$K$3:$K$22*(Calc!$G$3:$G$22&gt;A4099)*(Calc!$G$3:$G$22&lt;B4099))</f>
        <v/>
      </c>
      <c r="E4099">
        <f>SUMPRODUCT(Calc!$K$3:$K$22*(Calc!$G$3:$G$22&gt;=B4099))</f>
        <v/>
      </c>
      <c r="F4099">
        <f>AND(k_n&gt;=5,B4099&gt;A4099+1E-9,C4099&gt;=2,D4099&gt;=1,E4099&gt;=2)</f>
        <v/>
      </c>
      <c r="G4099">
        <f>SUMPRODUCT(Calc!$K$3:$K$22*(Calc!$G$3:$G$22&gt;A4099)*(Calc!$G$3:$G$22-A4099))</f>
        <v/>
      </c>
      <c r="H4099">
        <f>SUMPRODUCT(Calc!$K$3:$K$22*(Calc!$G$3:$G$22&gt;B4099)*(Calc!$G$3:$G$22-B4099))</f>
        <v/>
      </c>
      <c r="I4099">
        <f>SUMPRODUCT(Calc!$K$3:$K$22*(Calc!$G$3:$G$22&gt;A4099)*(Calc!$G$3:$G$22-A4099)^2)</f>
        <v/>
      </c>
      <c r="J4099">
        <f>SUMPRODUCT(Calc!$K$3:$K$22*(Calc!$G$3:$G$22&gt;B4099)*(Calc!$G$3:$G$22-B4099)^2)</f>
        <v/>
      </c>
      <c r="K4099">
        <f>SUMPRODUCT(Calc!$K$3:$K$22*(Calc!$G$3:$G$22&gt;A4099)*(Calc!$G$3:$G$22-A4099)*(Calc!$G$3:$G$22&gt;B4099)*(Calc!$G$3:$G$22-B4099))</f>
        <v/>
      </c>
      <c r="L4099">
        <f>SUMPRODUCT(Calc!$K$3:$K$22*(Calc!$G$3:$G$22&gt;A4099)*(Calc!$G$3:$G$22-A4099)*Calc!$G$3:$G$22)</f>
        <v/>
      </c>
      <c r="M4099">
        <f>SUMPRODUCT(Calc!$K$3:$K$22*(Calc!$G$3:$G$22&gt;B4099)*(Calc!$G$3:$G$22-B4099)*Calc!$G$3:$G$22)</f>
        <v/>
      </c>
      <c r="N4099">
        <f>SUMPRODUCT(Calc!$K$3:$K$22*(Calc!$G$3:$G$22&gt;A4099)*(Calc!$G$3:$G$22-A4099)*Calc!$I$3:$I$22)</f>
        <v/>
      </c>
      <c r="O4099">
        <f>SUMPRODUCT(Calc!$K$3:$K$22*(Calc!$G$3:$G$22&gt;B4099)*(Calc!$G$3:$G$22-B4099)*Calc!$I$3:$I$22)</f>
        <v/>
      </c>
      <c r="P4099">
        <f>I4099-G4099^2/k_n</f>
        <v/>
      </c>
      <c r="Q4099">
        <f>J4099-H4099^2/k_n</f>
        <v/>
      </c>
      <c r="R4099">
        <f>K4099-G4099*H4099/k_n</f>
        <v/>
      </c>
      <c r="S4099">
        <f>L4099-LTP3!$D$3*G4099/k_n</f>
        <v/>
      </c>
      <c r="T4099">
        <f>M4099-LTP3!$D$3*H4099/k_n</f>
        <v/>
      </c>
      <c r="U4099">
        <f>N4099-G4099*LTP3!$D$4/k_n</f>
        <v/>
      </c>
      <c r="V4099">
        <f>O4099-H4099*LTP3!$D$4/k_n</f>
        <v/>
      </c>
      <c r="W4099">
        <f>((LTP3!$D$5)*((P4099)*(Q4099)-(R4099)*(R4099))-(S4099)*((S4099)*(Q4099)-(R4099)*(T4099))+(T4099)*((S4099)*(R4099)-(P4099)*(T4099)))</f>
        <v/>
      </c>
      <c r="X4099">
        <f>IF(ABS(W4099)&gt;1E-12,((LTP3!$D$6)*((P4099)*(Q4099)-(R4099)*(R4099))-(S4099)*((U4099)*(Q4099)-(R4099)*(V4099))+(T4099)*((U4099)*(R4099)-(P4099)*(V4099)))/W4099,0)</f>
        <v/>
      </c>
      <c r="Y4099">
        <f>IF(ABS(W4099)&gt;1E-12,((LTP3!$D$5)*((U4099)*(Q4099)-(R4099)*(V4099))-(LTP3!$D$6)*((S4099)*(Q4099)-(R4099)*(T4099))+(T4099)*((S4099)*(V4099)-(U4099)*(T4099)))/W4099,0)</f>
        <v/>
      </c>
      <c r="Z4099">
        <f>IF(ABS(W4099)&gt;1E-12,((LTP3!$D$5)*((P4099)*(V4099)-(U4099)*(R4099))-(S4099)*((S4099)*(V4099)-(U4099)*(T4099))+(LTP3!$D$6)*((S4099)*(R4099)-(P4099)*(T4099)))/W4099,0)</f>
        <v/>
      </c>
      <c r="AA4099">
        <f>LTP3!$D$7-X4099*LTP3!$D$6-Y4099*U4099-Z4099*V4099</f>
        <v/>
      </c>
      <c r="AB4099">
        <f>IF(AND(F4099,ABS(W4099)&gt;1E-12,Y4099&gt;0,Z4099&gt;0),AA4099,1E+300)</f>
        <v/>
      </c>
    </row>
    <row r="4100">
      <c r="A4100">
        <f>$I$3-$B$5+$B$5*17/10</f>
        <v/>
      </c>
      <c r="B4100">
        <f>$J$3-$B$5+$B$5*7/10</f>
        <v/>
      </c>
      <c r="C4100">
        <f>SUMPRODUCT(Calc!$K$3:$K$22*(Calc!$G$3:$G$22&lt;=A4100))</f>
        <v/>
      </c>
      <c r="D4100">
        <f>SUMPRODUCT(Calc!$K$3:$K$22*(Calc!$G$3:$G$22&gt;A4100)*(Calc!$G$3:$G$22&lt;B4100))</f>
        <v/>
      </c>
      <c r="E4100">
        <f>SUMPRODUCT(Calc!$K$3:$K$22*(Calc!$G$3:$G$22&gt;=B4100))</f>
        <v/>
      </c>
      <c r="F4100">
        <f>AND(k_n&gt;=5,B4100&gt;A4100+1E-9,C4100&gt;=2,D4100&gt;=1,E4100&gt;=2)</f>
        <v/>
      </c>
      <c r="G4100">
        <f>SUMPRODUCT(Calc!$K$3:$K$22*(Calc!$G$3:$G$22&gt;A4100)*(Calc!$G$3:$G$22-A4100))</f>
        <v/>
      </c>
      <c r="H4100">
        <f>SUMPRODUCT(Calc!$K$3:$K$22*(Calc!$G$3:$G$22&gt;B4100)*(Calc!$G$3:$G$22-B4100))</f>
        <v/>
      </c>
      <c r="I4100">
        <f>SUMPRODUCT(Calc!$K$3:$K$22*(Calc!$G$3:$G$22&gt;A4100)*(Calc!$G$3:$G$22-A4100)^2)</f>
        <v/>
      </c>
      <c r="J4100">
        <f>SUMPRODUCT(Calc!$K$3:$K$22*(Calc!$G$3:$G$22&gt;B4100)*(Calc!$G$3:$G$22-B4100)^2)</f>
        <v/>
      </c>
      <c r="K4100">
        <f>SUMPRODUCT(Calc!$K$3:$K$22*(Calc!$G$3:$G$22&gt;A4100)*(Calc!$G$3:$G$22-A4100)*(Calc!$G$3:$G$22&gt;B4100)*(Calc!$G$3:$G$22-B4100))</f>
        <v/>
      </c>
      <c r="L4100">
        <f>SUMPRODUCT(Calc!$K$3:$K$22*(Calc!$G$3:$G$22&gt;A4100)*(Calc!$G$3:$G$22-A4100)*Calc!$G$3:$G$22)</f>
        <v/>
      </c>
      <c r="M4100">
        <f>SUMPRODUCT(Calc!$K$3:$K$22*(Calc!$G$3:$G$22&gt;B4100)*(Calc!$G$3:$G$22-B4100)*Calc!$G$3:$G$22)</f>
        <v/>
      </c>
      <c r="N4100">
        <f>SUMPRODUCT(Calc!$K$3:$K$22*(Calc!$G$3:$G$22&gt;A4100)*(Calc!$G$3:$G$22-A4100)*Calc!$I$3:$I$22)</f>
        <v/>
      </c>
      <c r="O4100">
        <f>SUMPRODUCT(Calc!$K$3:$K$22*(Calc!$G$3:$G$22&gt;B4100)*(Calc!$G$3:$G$22-B4100)*Calc!$I$3:$I$22)</f>
        <v/>
      </c>
      <c r="P4100">
        <f>I4100-G4100^2/k_n</f>
        <v/>
      </c>
      <c r="Q4100">
        <f>J4100-H4100^2/k_n</f>
        <v/>
      </c>
      <c r="R4100">
        <f>K4100-G4100*H4100/k_n</f>
        <v/>
      </c>
      <c r="S4100">
        <f>L4100-LTP3!$D$3*G4100/k_n</f>
        <v/>
      </c>
      <c r="T4100">
        <f>M4100-LTP3!$D$3*H4100/k_n</f>
        <v/>
      </c>
      <c r="U4100">
        <f>N4100-G4100*LTP3!$D$4/k_n</f>
        <v/>
      </c>
      <c r="V4100">
        <f>O4100-H4100*LTP3!$D$4/k_n</f>
        <v/>
      </c>
      <c r="W4100">
        <f>((LTP3!$D$5)*((P4100)*(Q4100)-(R4100)*(R4100))-(S4100)*((S4100)*(Q4100)-(R4100)*(T4100))+(T4100)*((S4100)*(R4100)-(P4100)*(T4100)))</f>
        <v/>
      </c>
      <c r="X4100">
        <f>IF(ABS(W4100)&gt;1E-12,((LTP3!$D$6)*((P4100)*(Q4100)-(R4100)*(R4100))-(S4100)*((U4100)*(Q4100)-(R4100)*(V4100))+(T4100)*((U4100)*(R4100)-(P4100)*(V4100)))/W4100,0)</f>
        <v/>
      </c>
      <c r="Y4100">
        <f>IF(ABS(W4100)&gt;1E-12,((LTP3!$D$5)*((U4100)*(Q4100)-(R4100)*(V4100))-(LTP3!$D$6)*((S4100)*(Q4100)-(R4100)*(T4100))+(T4100)*((S4100)*(V4100)-(U4100)*(T4100)))/W4100,0)</f>
        <v/>
      </c>
      <c r="Z4100">
        <f>IF(ABS(W4100)&gt;1E-12,((LTP3!$D$5)*((P4100)*(V4100)-(U4100)*(R4100))-(S4100)*((S4100)*(V4100)-(U4100)*(T4100))+(LTP3!$D$6)*((S4100)*(R4100)-(P4100)*(T4100)))/W4100,0)</f>
        <v/>
      </c>
      <c r="AA4100">
        <f>LTP3!$D$7-X4100*LTP3!$D$6-Y4100*U4100-Z4100*V4100</f>
        <v/>
      </c>
      <c r="AB4100">
        <f>IF(AND(F4100,ABS(W4100)&gt;1E-12,Y4100&gt;0,Z4100&gt;0),AA4100,1E+300)</f>
        <v/>
      </c>
    </row>
    <row r="4101">
      <c r="A4101">
        <f>$I$3-$B$5+$B$5*17/10</f>
        <v/>
      </c>
      <c r="B4101">
        <f>$J$3-$B$5+$B$5*8/10</f>
        <v/>
      </c>
      <c r="C4101">
        <f>SUMPRODUCT(Calc!$K$3:$K$22*(Calc!$G$3:$G$22&lt;=A4101))</f>
        <v/>
      </c>
      <c r="D4101">
        <f>SUMPRODUCT(Calc!$K$3:$K$22*(Calc!$G$3:$G$22&gt;A4101)*(Calc!$G$3:$G$22&lt;B4101))</f>
        <v/>
      </c>
      <c r="E4101">
        <f>SUMPRODUCT(Calc!$K$3:$K$22*(Calc!$G$3:$G$22&gt;=B4101))</f>
        <v/>
      </c>
      <c r="F4101">
        <f>AND(k_n&gt;=5,B4101&gt;A4101+1E-9,C4101&gt;=2,D4101&gt;=1,E4101&gt;=2)</f>
        <v/>
      </c>
      <c r="G4101">
        <f>SUMPRODUCT(Calc!$K$3:$K$22*(Calc!$G$3:$G$22&gt;A4101)*(Calc!$G$3:$G$22-A4101))</f>
        <v/>
      </c>
      <c r="H4101">
        <f>SUMPRODUCT(Calc!$K$3:$K$22*(Calc!$G$3:$G$22&gt;B4101)*(Calc!$G$3:$G$22-B4101))</f>
        <v/>
      </c>
      <c r="I4101">
        <f>SUMPRODUCT(Calc!$K$3:$K$22*(Calc!$G$3:$G$22&gt;A4101)*(Calc!$G$3:$G$22-A4101)^2)</f>
        <v/>
      </c>
      <c r="J4101">
        <f>SUMPRODUCT(Calc!$K$3:$K$22*(Calc!$G$3:$G$22&gt;B4101)*(Calc!$G$3:$G$22-B4101)^2)</f>
        <v/>
      </c>
      <c r="K4101">
        <f>SUMPRODUCT(Calc!$K$3:$K$22*(Calc!$G$3:$G$22&gt;A4101)*(Calc!$G$3:$G$22-A4101)*(Calc!$G$3:$G$22&gt;B4101)*(Calc!$G$3:$G$22-B4101))</f>
        <v/>
      </c>
      <c r="L4101">
        <f>SUMPRODUCT(Calc!$K$3:$K$22*(Calc!$G$3:$G$22&gt;A4101)*(Calc!$G$3:$G$22-A4101)*Calc!$G$3:$G$22)</f>
        <v/>
      </c>
      <c r="M4101">
        <f>SUMPRODUCT(Calc!$K$3:$K$22*(Calc!$G$3:$G$22&gt;B4101)*(Calc!$G$3:$G$22-B4101)*Calc!$G$3:$G$22)</f>
        <v/>
      </c>
      <c r="N4101">
        <f>SUMPRODUCT(Calc!$K$3:$K$22*(Calc!$G$3:$G$22&gt;A4101)*(Calc!$G$3:$G$22-A4101)*Calc!$I$3:$I$22)</f>
        <v/>
      </c>
      <c r="O4101">
        <f>SUMPRODUCT(Calc!$K$3:$K$22*(Calc!$G$3:$G$22&gt;B4101)*(Calc!$G$3:$G$22-B4101)*Calc!$I$3:$I$22)</f>
        <v/>
      </c>
      <c r="P4101">
        <f>I4101-G4101^2/k_n</f>
        <v/>
      </c>
      <c r="Q4101">
        <f>J4101-H4101^2/k_n</f>
        <v/>
      </c>
      <c r="R4101">
        <f>K4101-G4101*H4101/k_n</f>
        <v/>
      </c>
      <c r="S4101">
        <f>L4101-LTP3!$D$3*G4101/k_n</f>
        <v/>
      </c>
      <c r="T4101">
        <f>M4101-LTP3!$D$3*H4101/k_n</f>
        <v/>
      </c>
      <c r="U4101">
        <f>N4101-G4101*LTP3!$D$4/k_n</f>
        <v/>
      </c>
      <c r="V4101">
        <f>O4101-H4101*LTP3!$D$4/k_n</f>
        <v/>
      </c>
      <c r="W4101">
        <f>((LTP3!$D$5)*((P4101)*(Q4101)-(R4101)*(R4101))-(S4101)*((S4101)*(Q4101)-(R4101)*(T4101))+(T4101)*((S4101)*(R4101)-(P4101)*(T4101)))</f>
        <v/>
      </c>
      <c r="X4101">
        <f>IF(ABS(W4101)&gt;1E-12,((LTP3!$D$6)*((P4101)*(Q4101)-(R4101)*(R4101))-(S4101)*((U4101)*(Q4101)-(R4101)*(V4101))+(T4101)*((U4101)*(R4101)-(P4101)*(V4101)))/W4101,0)</f>
        <v/>
      </c>
      <c r="Y4101">
        <f>IF(ABS(W4101)&gt;1E-12,((LTP3!$D$5)*((U4101)*(Q4101)-(R4101)*(V4101))-(LTP3!$D$6)*((S4101)*(Q4101)-(R4101)*(T4101))+(T4101)*((S4101)*(V4101)-(U4101)*(T4101)))/W4101,0)</f>
        <v/>
      </c>
      <c r="Z4101">
        <f>IF(ABS(W4101)&gt;1E-12,((LTP3!$D$5)*((P4101)*(V4101)-(U4101)*(R4101))-(S4101)*((S4101)*(V4101)-(U4101)*(T4101))+(LTP3!$D$6)*((S4101)*(R4101)-(P4101)*(T4101)))/W4101,0)</f>
        <v/>
      </c>
      <c r="AA4101">
        <f>LTP3!$D$7-X4101*LTP3!$D$6-Y4101*U4101-Z4101*V4101</f>
        <v/>
      </c>
      <c r="AB4101">
        <f>IF(AND(F4101,ABS(W4101)&gt;1E-12,Y4101&gt;0,Z4101&gt;0),AA4101,1E+300)</f>
        <v/>
      </c>
    </row>
    <row r="4102">
      <c r="A4102">
        <f>$I$3-$B$5+$B$5*17/10</f>
        <v/>
      </c>
      <c r="B4102">
        <f>$J$3-$B$5+$B$5*9/10</f>
        <v/>
      </c>
      <c r="C4102">
        <f>SUMPRODUCT(Calc!$K$3:$K$22*(Calc!$G$3:$G$22&lt;=A4102))</f>
        <v/>
      </c>
      <c r="D4102">
        <f>SUMPRODUCT(Calc!$K$3:$K$22*(Calc!$G$3:$G$22&gt;A4102)*(Calc!$G$3:$G$22&lt;B4102))</f>
        <v/>
      </c>
      <c r="E4102">
        <f>SUMPRODUCT(Calc!$K$3:$K$22*(Calc!$G$3:$G$22&gt;=B4102))</f>
        <v/>
      </c>
      <c r="F4102">
        <f>AND(k_n&gt;=5,B4102&gt;A4102+1E-9,C4102&gt;=2,D4102&gt;=1,E4102&gt;=2)</f>
        <v/>
      </c>
      <c r="G4102">
        <f>SUMPRODUCT(Calc!$K$3:$K$22*(Calc!$G$3:$G$22&gt;A4102)*(Calc!$G$3:$G$22-A4102))</f>
        <v/>
      </c>
      <c r="H4102">
        <f>SUMPRODUCT(Calc!$K$3:$K$22*(Calc!$G$3:$G$22&gt;B4102)*(Calc!$G$3:$G$22-B4102))</f>
        <v/>
      </c>
      <c r="I4102">
        <f>SUMPRODUCT(Calc!$K$3:$K$22*(Calc!$G$3:$G$22&gt;A4102)*(Calc!$G$3:$G$22-A4102)^2)</f>
        <v/>
      </c>
      <c r="J4102">
        <f>SUMPRODUCT(Calc!$K$3:$K$22*(Calc!$G$3:$G$22&gt;B4102)*(Calc!$G$3:$G$22-B4102)^2)</f>
        <v/>
      </c>
      <c r="K4102">
        <f>SUMPRODUCT(Calc!$K$3:$K$22*(Calc!$G$3:$G$22&gt;A4102)*(Calc!$G$3:$G$22-A4102)*(Calc!$G$3:$G$22&gt;B4102)*(Calc!$G$3:$G$22-B4102))</f>
        <v/>
      </c>
      <c r="L4102">
        <f>SUMPRODUCT(Calc!$K$3:$K$22*(Calc!$G$3:$G$22&gt;A4102)*(Calc!$G$3:$G$22-A4102)*Calc!$G$3:$G$22)</f>
        <v/>
      </c>
      <c r="M4102">
        <f>SUMPRODUCT(Calc!$K$3:$K$22*(Calc!$G$3:$G$22&gt;B4102)*(Calc!$G$3:$G$22-B4102)*Calc!$G$3:$G$22)</f>
        <v/>
      </c>
      <c r="N4102">
        <f>SUMPRODUCT(Calc!$K$3:$K$22*(Calc!$G$3:$G$22&gt;A4102)*(Calc!$G$3:$G$22-A4102)*Calc!$I$3:$I$22)</f>
        <v/>
      </c>
      <c r="O4102">
        <f>SUMPRODUCT(Calc!$K$3:$K$22*(Calc!$G$3:$G$22&gt;B4102)*(Calc!$G$3:$G$22-B4102)*Calc!$I$3:$I$22)</f>
        <v/>
      </c>
      <c r="P4102">
        <f>I4102-G4102^2/k_n</f>
        <v/>
      </c>
      <c r="Q4102">
        <f>J4102-H4102^2/k_n</f>
        <v/>
      </c>
      <c r="R4102">
        <f>K4102-G4102*H4102/k_n</f>
        <v/>
      </c>
      <c r="S4102">
        <f>L4102-LTP3!$D$3*G4102/k_n</f>
        <v/>
      </c>
      <c r="T4102">
        <f>M4102-LTP3!$D$3*H4102/k_n</f>
        <v/>
      </c>
      <c r="U4102">
        <f>N4102-G4102*LTP3!$D$4/k_n</f>
        <v/>
      </c>
      <c r="V4102">
        <f>O4102-H4102*LTP3!$D$4/k_n</f>
        <v/>
      </c>
      <c r="W4102">
        <f>((LTP3!$D$5)*((P4102)*(Q4102)-(R4102)*(R4102))-(S4102)*((S4102)*(Q4102)-(R4102)*(T4102))+(T4102)*((S4102)*(R4102)-(P4102)*(T4102)))</f>
        <v/>
      </c>
      <c r="X4102">
        <f>IF(ABS(W4102)&gt;1E-12,((LTP3!$D$6)*((P4102)*(Q4102)-(R4102)*(R4102))-(S4102)*((U4102)*(Q4102)-(R4102)*(V4102))+(T4102)*((U4102)*(R4102)-(P4102)*(V4102)))/W4102,0)</f>
        <v/>
      </c>
      <c r="Y4102">
        <f>IF(ABS(W4102)&gt;1E-12,((LTP3!$D$5)*((U4102)*(Q4102)-(R4102)*(V4102))-(LTP3!$D$6)*((S4102)*(Q4102)-(R4102)*(T4102))+(T4102)*((S4102)*(V4102)-(U4102)*(T4102)))/W4102,0)</f>
        <v/>
      </c>
      <c r="Z4102">
        <f>IF(ABS(W4102)&gt;1E-12,((LTP3!$D$5)*((P4102)*(V4102)-(U4102)*(R4102))-(S4102)*((S4102)*(V4102)-(U4102)*(T4102))+(LTP3!$D$6)*((S4102)*(R4102)-(P4102)*(T4102)))/W4102,0)</f>
        <v/>
      </c>
      <c r="AA4102">
        <f>LTP3!$D$7-X4102*LTP3!$D$6-Y4102*U4102-Z4102*V4102</f>
        <v/>
      </c>
      <c r="AB4102">
        <f>IF(AND(F4102,ABS(W4102)&gt;1E-12,Y4102&gt;0,Z4102&gt;0),AA4102,1E+300)</f>
        <v/>
      </c>
    </row>
    <row r="4103">
      <c r="A4103">
        <f>$I$3-$B$5+$B$5*17/10</f>
        <v/>
      </c>
      <c r="B4103">
        <f>$J$3-$B$5+$B$5*10/10</f>
        <v/>
      </c>
      <c r="C4103">
        <f>SUMPRODUCT(Calc!$K$3:$K$22*(Calc!$G$3:$G$22&lt;=A4103))</f>
        <v/>
      </c>
      <c r="D4103">
        <f>SUMPRODUCT(Calc!$K$3:$K$22*(Calc!$G$3:$G$22&gt;A4103)*(Calc!$G$3:$G$22&lt;B4103))</f>
        <v/>
      </c>
      <c r="E4103">
        <f>SUMPRODUCT(Calc!$K$3:$K$22*(Calc!$G$3:$G$22&gt;=B4103))</f>
        <v/>
      </c>
      <c r="F4103">
        <f>AND(k_n&gt;=5,B4103&gt;A4103+1E-9,C4103&gt;=2,D4103&gt;=1,E4103&gt;=2)</f>
        <v/>
      </c>
      <c r="G4103">
        <f>SUMPRODUCT(Calc!$K$3:$K$22*(Calc!$G$3:$G$22&gt;A4103)*(Calc!$G$3:$G$22-A4103))</f>
        <v/>
      </c>
      <c r="H4103">
        <f>SUMPRODUCT(Calc!$K$3:$K$22*(Calc!$G$3:$G$22&gt;B4103)*(Calc!$G$3:$G$22-B4103))</f>
        <v/>
      </c>
      <c r="I4103">
        <f>SUMPRODUCT(Calc!$K$3:$K$22*(Calc!$G$3:$G$22&gt;A4103)*(Calc!$G$3:$G$22-A4103)^2)</f>
        <v/>
      </c>
      <c r="J4103">
        <f>SUMPRODUCT(Calc!$K$3:$K$22*(Calc!$G$3:$G$22&gt;B4103)*(Calc!$G$3:$G$22-B4103)^2)</f>
        <v/>
      </c>
      <c r="K4103">
        <f>SUMPRODUCT(Calc!$K$3:$K$22*(Calc!$G$3:$G$22&gt;A4103)*(Calc!$G$3:$G$22-A4103)*(Calc!$G$3:$G$22&gt;B4103)*(Calc!$G$3:$G$22-B4103))</f>
        <v/>
      </c>
      <c r="L4103">
        <f>SUMPRODUCT(Calc!$K$3:$K$22*(Calc!$G$3:$G$22&gt;A4103)*(Calc!$G$3:$G$22-A4103)*Calc!$G$3:$G$22)</f>
        <v/>
      </c>
      <c r="M4103">
        <f>SUMPRODUCT(Calc!$K$3:$K$22*(Calc!$G$3:$G$22&gt;B4103)*(Calc!$G$3:$G$22-B4103)*Calc!$G$3:$G$22)</f>
        <v/>
      </c>
      <c r="N4103">
        <f>SUMPRODUCT(Calc!$K$3:$K$22*(Calc!$G$3:$G$22&gt;A4103)*(Calc!$G$3:$G$22-A4103)*Calc!$I$3:$I$22)</f>
        <v/>
      </c>
      <c r="O4103">
        <f>SUMPRODUCT(Calc!$K$3:$K$22*(Calc!$G$3:$G$22&gt;B4103)*(Calc!$G$3:$G$22-B4103)*Calc!$I$3:$I$22)</f>
        <v/>
      </c>
      <c r="P4103">
        <f>I4103-G4103^2/k_n</f>
        <v/>
      </c>
      <c r="Q4103">
        <f>J4103-H4103^2/k_n</f>
        <v/>
      </c>
      <c r="R4103">
        <f>K4103-G4103*H4103/k_n</f>
        <v/>
      </c>
      <c r="S4103">
        <f>L4103-LTP3!$D$3*G4103/k_n</f>
        <v/>
      </c>
      <c r="T4103">
        <f>M4103-LTP3!$D$3*H4103/k_n</f>
        <v/>
      </c>
      <c r="U4103">
        <f>N4103-G4103*LTP3!$D$4/k_n</f>
        <v/>
      </c>
      <c r="V4103">
        <f>O4103-H4103*LTP3!$D$4/k_n</f>
        <v/>
      </c>
      <c r="W4103">
        <f>((LTP3!$D$5)*((P4103)*(Q4103)-(R4103)*(R4103))-(S4103)*((S4103)*(Q4103)-(R4103)*(T4103))+(T4103)*((S4103)*(R4103)-(P4103)*(T4103)))</f>
        <v/>
      </c>
      <c r="X4103">
        <f>IF(ABS(W4103)&gt;1E-12,((LTP3!$D$6)*((P4103)*(Q4103)-(R4103)*(R4103))-(S4103)*((U4103)*(Q4103)-(R4103)*(V4103))+(T4103)*((U4103)*(R4103)-(P4103)*(V4103)))/W4103,0)</f>
        <v/>
      </c>
      <c r="Y4103">
        <f>IF(ABS(W4103)&gt;1E-12,((LTP3!$D$5)*((U4103)*(Q4103)-(R4103)*(V4103))-(LTP3!$D$6)*((S4103)*(Q4103)-(R4103)*(T4103))+(T4103)*((S4103)*(V4103)-(U4103)*(T4103)))/W4103,0)</f>
        <v/>
      </c>
      <c r="Z4103">
        <f>IF(ABS(W4103)&gt;1E-12,((LTP3!$D$5)*((P4103)*(V4103)-(U4103)*(R4103))-(S4103)*((S4103)*(V4103)-(U4103)*(T4103))+(LTP3!$D$6)*((S4103)*(R4103)-(P4103)*(T4103)))/W4103,0)</f>
        <v/>
      </c>
      <c r="AA4103">
        <f>LTP3!$D$7-X4103*LTP3!$D$6-Y4103*U4103-Z4103*V4103</f>
        <v/>
      </c>
      <c r="AB4103">
        <f>IF(AND(F4103,ABS(W4103)&gt;1E-12,Y4103&gt;0,Z4103&gt;0),AA4103,1E+300)</f>
        <v/>
      </c>
    </row>
    <row r="4104">
      <c r="A4104">
        <f>$I$3-$B$5+$B$5*17/10</f>
        <v/>
      </c>
      <c r="B4104">
        <f>$J$3-$B$5+$B$5*11/10</f>
        <v/>
      </c>
      <c r="C4104">
        <f>SUMPRODUCT(Calc!$K$3:$K$22*(Calc!$G$3:$G$22&lt;=A4104))</f>
        <v/>
      </c>
      <c r="D4104">
        <f>SUMPRODUCT(Calc!$K$3:$K$22*(Calc!$G$3:$G$22&gt;A4104)*(Calc!$G$3:$G$22&lt;B4104))</f>
        <v/>
      </c>
      <c r="E4104">
        <f>SUMPRODUCT(Calc!$K$3:$K$22*(Calc!$G$3:$G$22&gt;=B4104))</f>
        <v/>
      </c>
      <c r="F4104">
        <f>AND(k_n&gt;=5,B4104&gt;A4104+1E-9,C4104&gt;=2,D4104&gt;=1,E4104&gt;=2)</f>
        <v/>
      </c>
      <c r="G4104">
        <f>SUMPRODUCT(Calc!$K$3:$K$22*(Calc!$G$3:$G$22&gt;A4104)*(Calc!$G$3:$G$22-A4104))</f>
        <v/>
      </c>
      <c r="H4104">
        <f>SUMPRODUCT(Calc!$K$3:$K$22*(Calc!$G$3:$G$22&gt;B4104)*(Calc!$G$3:$G$22-B4104))</f>
        <v/>
      </c>
      <c r="I4104">
        <f>SUMPRODUCT(Calc!$K$3:$K$22*(Calc!$G$3:$G$22&gt;A4104)*(Calc!$G$3:$G$22-A4104)^2)</f>
        <v/>
      </c>
      <c r="J4104">
        <f>SUMPRODUCT(Calc!$K$3:$K$22*(Calc!$G$3:$G$22&gt;B4104)*(Calc!$G$3:$G$22-B4104)^2)</f>
        <v/>
      </c>
      <c r="K4104">
        <f>SUMPRODUCT(Calc!$K$3:$K$22*(Calc!$G$3:$G$22&gt;A4104)*(Calc!$G$3:$G$22-A4104)*(Calc!$G$3:$G$22&gt;B4104)*(Calc!$G$3:$G$22-B4104))</f>
        <v/>
      </c>
      <c r="L4104">
        <f>SUMPRODUCT(Calc!$K$3:$K$22*(Calc!$G$3:$G$22&gt;A4104)*(Calc!$G$3:$G$22-A4104)*Calc!$G$3:$G$22)</f>
        <v/>
      </c>
      <c r="M4104">
        <f>SUMPRODUCT(Calc!$K$3:$K$22*(Calc!$G$3:$G$22&gt;B4104)*(Calc!$G$3:$G$22-B4104)*Calc!$G$3:$G$22)</f>
        <v/>
      </c>
      <c r="N4104">
        <f>SUMPRODUCT(Calc!$K$3:$K$22*(Calc!$G$3:$G$22&gt;A4104)*(Calc!$G$3:$G$22-A4104)*Calc!$I$3:$I$22)</f>
        <v/>
      </c>
      <c r="O4104">
        <f>SUMPRODUCT(Calc!$K$3:$K$22*(Calc!$G$3:$G$22&gt;B4104)*(Calc!$G$3:$G$22-B4104)*Calc!$I$3:$I$22)</f>
        <v/>
      </c>
      <c r="P4104">
        <f>I4104-G4104^2/k_n</f>
        <v/>
      </c>
      <c r="Q4104">
        <f>J4104-H4104^2/k_n</f>
        <v/>
      </c>
      <c r="R4104">
        <f>K4104-G4104*H4104/k_n</f>
        <v/>
      </c>
      <c r="S4104">
        <f>L4104-LTP3!$D$3*G4104/k_n</f>
        <v/>
      </c>
      <c r="T4104">
        <f>M4104-LTP3!$D$3*H4104/k_n</f>
        <v/>
      </c>
      <c r="U4104">
        <f>N4104-G4104*LTP3!$D$4/k_n</f>
        <v/>
      </c>
      <c r="V4104">
        <f>O4104-H4104*LTP3!$D$4/k_n</f>
        <v/>
      </c>
      <c r="W4104">
        <f>((LTP3!$D$5)*((P4104)*(Q4104)-(R4104)*(R4104))-(S4104)*((S4104)*(Q4104)-(R4104)*(T4104))+(T4104)*((S4104)*(R4104)-(P4104)*(T4104)))</f>
        <v/>
      </c>
      <c r="X4104">
        <f>IF(ABS(W4104)&gt;1E-12,((LTP3!$D$6)*((P4104)*(Q4104)-(R4104)*(R4104))-(S4104)*((U4104)*(Q4104)-(R4104)*(V4104))+(T4104)*((U4104)*(R4104)-(P4104)*(V4104)))/W4104,0)</f>
        <v/>
      </c>
      <c r="Y4104">
        <f>IF(ABS(W4104)&gt;1E-12,((LTP3!$D$5)*((U4104)*(Q4104)-(R4104)*(V4104))-(LTP3!$D$6)*((S4104)*(Q4104)-(R4104)*(T4104))+(T4104)*((S4104)*(V4104)-(U4104)*(T4104)))/W4104,0)</f>
        <v/>
      </c>
      <c r="Z4104">
        <f>IF(ABS(W4104)&gt;1E-12,((LTP3!$D$5)*((P4104)*(V4104)-(U4104)*(R4104))-(S4104)*((S4104)*(V4104)-(U4104)*(T4104))+(LTP3!$D$6)*((S4104)*(R4104)-(P4104)*(T4104)))/W4104,0)</f>
        <v/>
      </c>
      <c r="AA4104">
        <f>LTP3!$D$7-X4104*LTP3!$D$6-Y4104*U4104-Z4104*V4104</f>
        <v/>
      </c>
      <c r="AB4104">
        <f>IF(AND(F4104,ABS(W4104)&gt;1E-12,Y4104&gt;0,Z4104&gt;0),AA4104,1E+300)</f>
        <v/>
      </c>
    </row>
    <row r="4105">
      <c r="A4105">
        <f>$I$3-$B$5+$B$5*17/10</f>
        <v/>
      </c>
      <c r="B4105">
        <f>$J$3-$B$5+$B$5*12/10</f>
        <v/>
      </c>
      <c r="C4105">
        <f>SUMPRODUCT(Calc!$K$3:$K$22*(Calc!$G$3:$G$22&lt;=A4105))</f>
        <v/>
      </c>
      <c r="D4105">
        <f>SUMPRODUCT(Calc!$K$3:$K$22*(Calc!$G$3:$G$22&gt;A4105)*(Calc!$G$3:$G$22&lt;B4105))</f>
        <v/>
      </c>
      <c r="E4105">
        <f>SUMPRODUCT(Calc!$K$3:$K$22*(Calc!$G$3:$G$22&gt;=B4105))</f>
        <v/>
      </c>
      <c r="F4105">
        <f>AND(k_n&gt;=5,B4105&gt;A4105+1E-9,C4105&gt;=2,D4105&gt;=1,E4105&gt;=2)</f>
        <v/>
      </c>
      <c r="G4105">
        <f>SUMPRODUCT(Calc!$K$3:$K$22*(Calc!$G$3:$G$22&gt;A4105)*(Calc!$G$3:$G$22-A4105))</f>
        <v/>
      </c>
      <c r="H4105">
        <f>SUMPRODUCT(Calc!$K$3:$K$22*(Calc!$G$3:$G$22&gt;B4105)*(Calc!$G$3:$G$22-B4105))</f>
        <v/>
      </c>
      <c r="I4105">
        <f>SUMPRODUCT(Calc!$K$3:$K$22*(Calc!$G$3:$G$22&gt;A4105)*(Calc!$G$3:$G$22-A4105)^2)</f>
        <v/>
      </c>
      <c r="J4105">
        <f>SUMPRODUCT(Calc!$K$3:$K$22*(Calc!$G$3:$G$22&gt;B4105)*(Calc!$G$3:$G$22-B4105)^2)</f>
        <v/>
      </c>
      <c r="K4105">
        <f>SUMPRODUCT(Calc!$K$3:$K$22*(Calc!$G$3:$G$22&gt;A4105)*(Calc!$G$3:$G$22-A4105)*(Calc!$G$3:$G$22&gt;B4105)*(Calc!$G$3:$G$22-B4105))</f>
        <v/>
      </c>
      <c r="L4105">
        <f>SUMPRODUCT(Calc!$K$3:$K$22*(Calc!$G$3:$G$22&gt;A4105)*(Calc!$G$3:$G$22-A4105)*Calc!$G$3:$G$22)</f>
        <v/>
      </c>
      <c r="M4105">
        <f>SUMPRODUCT(Calc!$K$3:$K$22*(Calc!$G$3:$G$22&gt;B4105)*(Calc!$G$3:$G$22-B4105)*Calc!$G$3:$G$22)</f>
        <v/>
      </c>
      <c r="N4105">
        <f>SUMPRODUCT(Calc!$K$3:$K$22*(Calc!$G$3:$G$22&gt;A4105)*(Calc!$G$3:$G$22-A4105)*Calc!$I$3:$I$22)</f>
        <v/>
      </c>
      <c r="O4105">
        <f>SUMPRODUCT(Calc!$K$3:$K$22*(Calc!$G$3:$G$22&gt;B4105)*(Calc!$G$3:$G$22-B4105)*Calc!$I$3:$I$22)</f>
        <v/>
      </c>
      <c r="P4105">
        <f>I4105-G4105^2/k_n</f>
        <v/>
      </c>
      <c r="Q4105">
        <f>J4105-H4105^2/k_n</f>
        <v/>
      </c>
      <c r="R4105">
        <f>K4105-G4105*H4105/k_n</f>
        <v/>
      </c>
      <c r="S4105">
        <f>L4105-LTP3!$D$3*G4105/k_n</f>
        <v/>
      </c>
      <c r="T4105">
        <f>M4105-LTP3!$D$3*H4105/k_n</f>
        <v/>
      </c>
      <c r="U4105">
        <f>N4105-G4105*LTP3!$D$4/k_n</f>
        <v/>
      </c>
      <c r="V4105">
        <f>O4105-H4105*LTP3!$D$4/k_n</f>
        <v/>
      </c>
      <c r="W4105">
        <f>((LTP3!$D$5)*((P4105)*(Q4105)-(R4105)*(R4105))-(S4105)*((S4105)*(Q4105)-(R4105)*(T4105))+(T4105)*((S4105)*(R4105)-(P4105)*(T4105)))</f>
        <v/>
      </c>
      <c r="X4105">
        <f>IF(ABS(W4105)&gt;1E-12,((LTP3!$D$6)*((P4105)*(Q4105)-(R4105)*(R4105))-(S4105)*((U4105)*(Q4105)-(R4105)*(V4105))+(T4105)*((U4105)*(R4105)-(P4105)*(V4105)))/W4105,0)</f>
        <v/>
      </c>
      <c r="Y4105">
        <f>IF(ABS(W4105)&gt;1E-12,((LTP3!$D$5)*((U4105)*(Q4105)-(R4105)*(V4105))-(LTP3!$D$6)*((S4105)*(Q4105)-(R4105)*(T4105))+(T4105)*((S4105)*(V4105)-(U4105)*(T4105)))/W4105,0)</f>
        <v/>
      </c>
      <c r="Z4105">
        <f>IF(ABS(W4105)&gt;1E-12,((LTP3!$D$5)*((P4105)*(V4105)-(U4105)*(R4105))-(S4105)*((S4105)*(V4105)-(U4105)*(T4105))+(LTP3!$D$6)*((S4105)*(R4105)-(P4105)*(T4105)))/W4105,0)</f>
        <v/>
      </c>
      <c r="AA4105">
        <f>LTP3!$D$7-X4105*LTP3!$D$6-Y4105*U4105-Z4105*V4105</f>
        <v/>
      </c>
      <c r="AB4105">
        <f>IF(AND(F4105,ABS(W4105)&gt;1E-12,Y4105&gt;0,Z4105&gt;0),AA4105,1E+300)</f>
        <v/>
      </c>
    </row>
    <row r="4106">
      <c r="A4106">
        <f>$I$3-$B$5+$B$5*17/10</f>
        <v/>
      </c>
      <c r="B4106">
        <f>$J$3-$B$5+$B$5*13/10</f>
        <v/>
      </c>
      <c r="C4106">
        <f>SUMPRODUCT(Calc!$K$3:$K$22*(Calc!$G$3:$G$22&lt;=A4106))</f>
        <v/>
      </c>
      <c r="D4106">
        <f>SUMPRODUCT(Calc!$K$3:$K$22*(Calc!$G$3:$G$22&gt;A4106)*(Calc!$G$3:$G$22&lt;B4106))</f>
        <v/>
      </c>
      <c r="E4106">
        <f>SUMPRODUCT(Calc!$K$3:$K$22*(Calc!$G$3:$G$22&gt;=B4106))</f>
        <v/>
      </c>
      <c r="F4106">
        <f>AND(k_n&gt;=5,B4106&gt;A4106+1E-9,C4106&gt;=2,D4106&gt;=1,E4106&gt;=2)</f>
        <v/>
      </c>
      <c r="G4106">
        <f>SUMPRODUCT(Calc!$K$3:$K$22*(Calc!$G$3:$G$22&gt;A4106)*(Calc!$G$3:$G$22-A4106))</f>
        <v/>
      </c>
      <c r="H4106">
        <f>SUMPRODUCT(Calc!$K$3:$K$22*(Calc!$G$3:$G$22&gt;B4106)*(Calc!$G$3:$G$22-B4106))</f>
        <v/>
      </c>
      <c r="I4106">
        <f>SUMPRODUCT(Calc!$K$3:$K$22*(Calc!$G$3:$G$22&gt;A4106)*(Calc!$G$3:$G$22-A4106)^2)</f>
        <v/>
      </c>
      <c r="J4106">
        <f>SUMPRODUCT(Calc!$K$3:$K$22*(Calc!$G$3:$G$22&gt;B4106)*(Calc!$G$3:$G$22-B4106)^2)</f>
        <v/>
      </c>
      <c r="K4106">
        <f>SUMPRODUCT(Calc!$K$3:$K$22*(Calc!$G$3:$G$22&gt;A4106)*(Calc!$G$3:$G$22-A4106)*(Calc!$G$3:$G$22&gt;B4106)*(Calc!$G$3:$G$22-B4106))</f>
        <v/>
      </c>
      <c r="L4106">
        <f>SUMPRODUCT(Calc!$K$3:$K$22*(Calc!$G$3:$G$22&gt;A4106)*(Calc!$G$3:$G$22-A4106)*Calc!$G$3:$G$22)</f>
        <v/>
      </c>
      <c r="M4106">
        <f>SUMPRODUCT(Calc!$K$3:$K$22*(Calc!$G$3:$G$22&gt;B4106)*(Calc!$G$3:$G$22-B4106)*Calc!$G$3:$G$22)</f>
        <v/>
      </c>
      <c r="N4106">
        <f>SUMPRODUCT(Calc!$K$3:$K$22*(Calc!$G$3:$G$22&gt;A4106)*(Calc!$G$3:$G$22-A4106)*Calc!$I$3:$I$22)</f>
        <v/>
      </c>
      <c r="O4106">
        <f>SUMPRODUCT(Calc!$K$3:$K$22*(Calc!$G$3:$G$22&gt;B4106)*(Calc!$G$3:$G$22-B4106)*Calc!$I$3:$I$22)</f>
        <v/>
      </c>
      <c r="P4106">
        <f>I4106-G4106^2/k_n</f>
        <v/>
      </c>
      <c r="Q4106">
        <f>J4106-H4106^2/k_n</f>
        <v/>
      </c>
      <c r="R4106">
        <f>K4106-G4106*H4106/k_n</f>
        <v/>
      </c>
      <c r="S4106">
        <f>L4106-LTP3!$D$3*G4106/k_n</f>
        <v/>
      </c>
      <c r="T4106">
        <f>M4106-LTP3!$D$3*H4106/k_n</f>
        <v/>
      </c>
      <c r="U4106">
        <f>N4106-G4106*LTP3!$D$4/k_n</f>
        <v/>
      </c>
      <c r="V4106">
        <f>O4106-H4106*LTP3!$D$4/k_n</f>
        <v/>
      </c>
      <c r="W4106">
        <f>((LTP3!$D$5)*((P4106)*(Q4106)-(R4106)*(R4106))-(S4106)*((S4106)*(Q4106)-(R4106)*(T4106))+(T4106)*((S4106)*(R4106)-(P4106)*(T4106)))</f>
        <v/>
      </c>
      <c r="X4106">
        <f>IF(ABS(W4106)&gt;1E-12,((LTP3!$D$6)*((P4106)*(Q4106)-(R4106)*(R4106))-(S4106)*((U4106)*(Q4106)-(R4106)*(V4106))+(T4106)*((U4106)*(R4106)-(P4106)*(V4106)))/W4106,0)</f>
        <v/>
      </c>
      <c r="Y4106">
        <f>IF(ABS(W4106)&gt;1E-12,((LTP3!$D$5)*((U4106)*(Q4106)-(R4106)*(V4106))-(LTP3!$D$6)*((S4106)*(Q4106)-(R4106)*(T4106))+(T4106)*((S4106)*(V4106)-(U4106)*(T4106)))/W4106,0)</f>
        <v/>
      </c>
      <c r="Z4106">
        <f>IF(ABS(W4106)&gt;1E-12,((LTP3!$D$5)*((P4106)*(V4106)-(U4106)*(R4106))-(S4106)*((S4106)*(V4106)-(U4106)*(T4106))+(LTP3!$D$6)*((S4106)*(R4106)-(P4106)*(T4106)))/W4106,0)</f>
        <v/>
      </c>
      <c r="AA4106">
        <f>LTP3!$D$7-X4106*LTP3!$D$6-Y4106*U4106-Z4106*V4106</f>
        <v/>
      </c>
      <c r="AB4106">
        <f>IF(AND(F4106,ABS(W4106)&gt;1E-12,Y4106&gt;0,Z4106&gt;0),AA4106,1E+300)</f>
        <v/>
      </c>
    </row>
    <row r="4107">
      <c r="A4107">
        <f>$I$3-$B$5+$B$5*17/10</f>
        <v/>
      </c>
      <c r="B4107">
        <f>$J$3-$B$5+$B$5*14/10</f>
        <v/>
      </c>
      <c r="C4107">
        <f>SUMPRODUCT(Calc!$K$3:$K$22*(Calc!$G$3:$G$22&lt;=A4107))</f>
        <v/>
      </c>
      <c r="D4107">
        <f>SUMPRODUCT(Calc!$K$3:$K$22*(Calc!$G$3:$G$22&gt;A4107)*(Calc!$G$3:$G$22&lt;B4107))</f>
        <v/>
      </c>
      <c r="E4107">
        <f>SUMPRODUCT(Calc!$K$3:$K$22*(Calc!$G$3:$G$22&gt;=B4107))</f>
        <v/>
      </c>
      <c r="F4107">
        <f>AND(k_n&gt;=5,B4107&gt;A4107+1E-9,C4107&gt;=2,D4107&gt;=1,E4107&gt;=2)</f>
        <v/>
      </c>
      <c r="G4107">
        <f>SUMPRODUCT(Calc!$K$3:$K$22*(Calc!$G$3:$G$22&gt;A4107)*(Calc!$G$3:$G$22-A4107))</f>
        <v/>
      </c>
      <c r="H4107">
        <f>SUMPRODUCT(Calc!$K$3:$K$22*(Calc!$G$3:$G$22&gt;B4107)*(Calc!$G$3:$G$22-B4107))</f>
        <v/>
      </c>
      <c r="I4107">
        <f>SUMPRODUCT(Calc!$K$3:$K$22*(Calc!$G$3:$G$22&gt;A4107)*(Calc!$G$3:$G$22-A4107)^2)</f>
        <v/>
      </c>
      <c r="J4107">
        <f>SUMPRODUCT(Calc!$K$3:$K$22*(Calc!$G$3:$G$22&gt;B4107)*(Calc!$G$3:$G$22-B4107)^2)</f>
        <v/>
      </c>
      <c r="K4107">
        <f>SUMPRODUCT(Calc!$K$3:$K$22*(Calc!$G$3:$G$22&gt;A4107)*(Calc!$G$3:$G$22-A4107)*(Calc!$G$3:$G$22&gt;B4107)*(Calc!$G$3:$G$22-B4107))</f>
        <v/>
      </c>
      <c r="L4107">
        <f>SUMPRODUCT(Calc!$K$3:$K$22*(Calc!$G$3:$G$22&gt;A4107)*(Calc!$G$3:$G$22-A4107)*Calc!$G$3:$G$22)</f>
        <v/>
      </c>
      <c r="M4107">
        <f>SUMPRODUCT(Calc!$K$3:$K$22*(Calc!$G$3:$G$22&gt;B4107)*(Calc!$G$3:$G$22-B4107)*Calc!$G$3:$G$22)</f>
        <v/>
      </c>
      <c r="N4107">
        <f>SUMPRODUCT(Calc!$K$3:$K$22*(Calc!$G$3:$G$22&gt;A4107)*(Calc!$G$3:$G$22-A4107)*Calc!$I$3:$I$22)</f>
        <v/>
      </c>
      <c r="O4107">
        <f>SUMPRODUCT(Calc!$K$3:$K$22*(Calc!$G$3:$G$22&gt;B4107)*(Calc!$G$3:$G$22-B4107)*Calc!$I$3:$I$22)</f>
        <v/>
      </c>
      <c r="P4107">
        <f>I4107-G4107^2/k_n</f>
        <v/>
      </c>
      <c r="Q4107">
        <f>J4107-H4107^2/k_n</f>
        <v/>
      </c>
      <c r="R4107">
        <f>K4107-G4107*H4107/k_n</f>
        <v/>
      </c>
      <c r="S4107">
        <f>L4107-LTP3!$D$3*G4107/k_n</f>
        <v/>
      </c>
      <c r="T4107">
        <f>M4107-LTP3!$D$3*H4107/k_n</f>
        <v/>
      </c>
      <c r="U4107">
        <f>N4107-G4107*LTP3!$D$4/k_n</f>
        <v/>
      </c>
      <c r="V4107">
        <f>O4107-H4107*LTP3!$D$4/k_n</f>
        <v/>
      </c>
      <c r="W4107">
        <f>((LTP3!$D$5)*((P4107)*(Q4107)-(R4107)*(R4107))-(S4107)*((S4107)*(Q4107)-(R4107)*(T4107))+(T4107)*((S4107)*(R4107)-(P4107)*(T4107)))</f>
        <v/>
      </c>
      <c r="X4107">
        <f>IF(ABS(W4107)&gt;1E-12,((LTP3!$D$6)*((P4107)*(Q4107)-(R4107)*(R4107))-(S4107)*((U4107)*(Q4107)-(R4107)*(V4107))+(T4107)*((U4107)*(R4107)-(P4107)*(V4107)))/W4107,0)</f>
        <v/>
      </c>
      <c r="Y4107">
        <f>IF(ABS(W4107)&gt;1E-12,((LTP3!$D$5)*((U4107)*(Q4107)-(R4107)*(V4107))-(LTP3!$D$6)*((S4107)*(Q4107)-(R4107)*(T4107))+(T4107)*((S4107)*(V4107)-(U4107)*(T4107)))/W4107,0)</f>
        <v/>
      </c>
      <c r="Z4107">
        <f>IF(ABS(W4107)&gt;1E-12,((LTP3!$D$5)*((P4107)*(V4107)-(U4107)*(R4107))-(S4107)*((S4107)*(V4107)-(U4107)*(T4107))+(LTP3!$D$6)*((S4107)*(R4107)-(P4107)*(T4107)))/W4107,0)</f>
        <v/>
      </c>
      <c r="AA4107">
        <f>LTP3!$D$7-X4107*LTP3!$D$6-Y4107*U4107-Z4107*V4107</f>
        <v/>
      </c>
      <c r="AB4107">
        <f>IF(AND(F4107,ABS(W4107)&gt;1E-12,Y4107&gt;0,Z4107&gt;0),AA4107,1E+300)</f>
        <v/>
      </c>
    </row>
    <row r="4108">
      <c r="A4108">
        <f>$I$3-$B$5+$B$5*17/10</f>
        <v/>
      </c>
      <c r="B4108">
        <f>$J$3-$B$5+$B$5*15/10</f>
        <v/>
      </c>
      <c r="C4108">
        <f>SUMPRODUCT(Calc!$K$3:$K$22*(Calc!$G$3:$G$22&lt;=A4108))</f>
        <v/>
      </c>
      <c r="D4108">
        <f>SUMPRODUCT(Calc!$K$3:$K$22*(Calc!$G$3:$G$22&gt;A4108)*(Calc!$G$3:$G$22&lt;B4108))</f>
        <v/>
      </c>
      <c r="E4108">
        <f>SUMPRODUCT(Calc!$K$3:$K$22*(Calc!$G$3:$G$22&gt;=B4108))</f>
        <v/>
      </c>
      <c r="F4108">
        <f>AND(k_n&gt;=5,B4108&gt;A4108+1E-9,C4108&gt;=2,D4108&gt;=1,E4108&gt;=2)</f>
        <v/>
      </c>
      <c r="G4108">
        <f>SUMPRODUCT(Calc!$K$3:$K$22*(Calc!$G$3:$G$22&gt;A4108)*(Calc!$G$3:$G$22-A4108))</f>
        <v/>
      </c>
      <c r="H4108">
        <f>SUMPRODUCT(Calc!$K$3:$K$22*(Calc!$G$3:$G$22&gt;B4108)*(Calc!$G$3:$G$22-B4108))</f>
        <v/>
      </c>
      <c r="I4108">
        <f>SUMPRODUCT(Calc!$K$3:$K$22*(Calc!$G$3:$G$22&gt;A4108)*(Calc!$G$3:$G$22-A4108)^2)</f>
        <v/>
      </c>
      <c r="J4108">
        <f>SUMPRODUCT(Calc!$K$3:$K$22*(Calc!$G$3:$G$22&gt;B4108)*(Calc!$G$3:$G$22-B4108)^2)</f>
        <v/>
      </c>
      <c r="K4108">
        <f>SUMPRODUCT(Calc!$K$3:$K$22*(Calc!$G$3:$G$22&gt;A4108)*(Calc!$G$3:$G$22-A4108)*(Calc!$G$3:$G$22&gt;B4108)*(Calc!$G$3:$G$22-B4108))</f>
        <v/>
      </c>
      <c r="L4108">
        <f>SUMPRODUCT(Calc!$K$3:$K$22*(Calc!$G$3:$G$22&gt;A4108)*(Calc!$G$3:$G$22-A4108)*Calc!$G$3:$G$22)</f>
        <v/>
      </c>
      <c r="M4108">
        <f>SUMPRODUCT(Calc!$K$3:$K$22*(Calc!$G$3:$G$22&gt;B4108)*(Calc!$G$3:$G$22-B4108)*Calc!$G$3:$G$22)</f>
        <v/>
      </c>
      <c r="N4108">
        <f>SUMPRODUCT(Calc!$K$3:$K$22*(Calc!$G$3:$G$22&gt;A4108)*(Calc!$G$3:$G$22-A4108)*Calc!$I$3:$I$22)</f>
        <v/>
      </c>
      <c r="O4108">
        <f>SUMPRODUCT(Calc!$K$3:$K$22*(Calc!$G$3:$G$22&gt;B4108)*(Calc!$G$3:$G$22-B4108)*Calc!$I$3:$I$22)</f>
        <v/>
      </c>
      <c r="P4108">
        <f>I4108-G4108^2/k_n</f>
        <v/>
      </c>
      <c r="Q4108">
        <f>J4108-H4108^2/k_n</f>
        <v/>
      </c>
      <c r="R4108">
        <f>K4108-G4108*H4108/k_n</f>
        <v/>
      </c>
      <c r="S4108">
        <f>L4108-LTP3!$D$3*G4108/k_n</f>
        <v/>
      </c>
      <c r="T4108">
        <f>M4108-LTP3!$D$3*H4108/k_n</f>
        <v/>
      </c>
      <c r="U4108">
        <f>N4108-G4108*LTP3!$D$4/k_n</f>
        <v/>
      </c>
      <c r="V4108">
        <f>O4108-H4108*LTP3!$D$4/k_n</f>
        <v/>
      </c>
      <c r="W4108">
        <f>((LTP3!$D$5)*((P4108)*(Q4108)-(R4108)*(R4108))-(S4108)*((S4108)*(Q4108)-(R4108)*(T4108))+(T4108)*((S4108)*(R4108)-(P4108)*(T4108)))</f>
        <v/>
      </c>
      <c r="X4108">
        <f>IF(ABS(W4108)&gt;1E-12,((LTP3!$D$6)*((P4108)*(Q4108)-(R4108)*(R4108))-(S4108)*((U4108)*(Q4108)-(R4108)*(V4108))+(T4108)*((U4108)*(R4108)-(P4108)*(V4108)))/W4108,0)</f>
        <v/>
      </c>
      <c r="Y4108">
        <f>IF(ABS(W4108)&gt;1E-12,((LTP3!$D$5)*((U4108)*(Q4108)-(R4108)*(V4108))-(LTP3!$D$6)*((S4108)*(Q4108)-(R4108)*(T4108))+(T4108)*((S4108)*(V4108)-(U4108)*(T4108)))/W4108,0)</f>
        <v/>
      </c>
      <c r="Z4108">
        <f>IF(ABS(W4108)&gt;1E-12,((LTP3!$D$5)*((P4108)*(V4108)-(U4108)*(R4108))-(S4108)*((S4108)*(V4108)-(U4108)*(T4108))+(LTP3!$D$6)*((S4108)*(R4108)-(P4108)*(T4108)))/W4108,0)</f>
        <v/>
      </c>
      <c r="AA4108">
        <f>LTP3!$D$7-X4108*LTP3!$D$6-Y4108*U4108-Z4108*V4108</f>
        <v/>
      </c>
      <c r="AB4108">
        <f>IF(AND(F4108,ABS(W4108)&gt;1E-12,Y4108&gt;0,Z4108&gt;0),AA4108,1E+300)</f>
        <v/>
      </c>
    </row>
    <row r="4109">
      <c r="A4109">
        <f>$I$3-$B$5+$B$5*17/10</f>
        <v/>
      </c>
      <c r="B4109">
        <f>$J$3-$B$5+$B$5*16/10</f>
        <v/>
      </c>
      <c r="C4109">
        <f>SUMPRODUCT(Calc!$K$3:$K$22*(Calc!$G$3:$G$22&lt;=A4109))</f>
        <v/>
      </c>
      <c r="D4109">
        <f>SUMPRODUCT(Calc!$K$3:$K$22*(Calc!$G$3:$G$22&gt;A4109)*(Calc!$G$3:$G$22&lt;B4109))</f>
        <v/>
      </c>
      <c r="E4109">
        <f>SUMPRODUCT(Calc!$K$3:$K$22*(Calc!$G$3:$G$22&gt;=B4109))</f>
        <v/>
      </c>
      <c r="F4109">
        <f>AND(k_n&gt;=5,B4109&gt;A4109+1E-9,C4109&gt;=2,D4109&gt;=1,E4109&gt;=2)</f>
        <v/>
      </c>
      <c r="G4109">
        <f>SUMPRODUCT(Calc!$K$3:$K$22*(Calc!$G$3:$G$22&gt;A4109)*(Calc!$G$3:$G$22-A4109))</f>
        <v/>
      </c>
      <c r="H4109">
        <f>SUMPRODUCT(Calc!$K$3:$K$22*(Calc!$G$3:$G$22&gt;B4109)*(Calc!$G$3:$G$22-B4109))</f>
        <v/>
      </c>
      <c r="I4109">
        <f>SUMPRODUCT(Calc!$K$3:$K$22*(Calc!$G$3:$G$22&gt;A4109)*(Calc!$G$3:$G$22-A4109)^2)</f>
        <v/>
      </c>
      <c r="J4109">
        <f>SUMPRODUCT(Calc!$K$3:$K$22*(Calc!$G$3:$G$22&gt;B4109)*(Calc!$G$3:$G$22-B4109)^2)</f>
        <v/>
      </c>
      <c r="K4109">
        <f>SUMPRODUCT(Calc!$K$3:$K$22*(Calc!$G$3:$G$22&gt;A4109)*(Calc!$G$3:$G$22-A4109)*(Calc!$G$3:$G$22&gt;B4109)*(Calc!$G$3:$G$22-B4109))</f>
        <v/>
      </c>
      <c r="L4109">
        <f>SUMPRODUCT(Calc!$K$3:$K$22*(Calc!$G$3:$G$22&gt;A4109)*(Calc!$G$3:$G$22-A4109)*Calc!$G$3:$G$22)</f>
        <v/>
      </c>
      <c r="M4109">
        <f>SUMPRODUCT(Calc!$K$3:$K$22*(Calc!$G$3:$G$22&gt;B4109)*(Calc!$G$3:$G$22-B4109)*Calc!$G$3:$G$22)</f>
        <v/>
      </c>
      <c r="N4109">
        <f>SUMPRODUCT(Calc!$K$3:$K$22*(Calc!$G$3:$G$22&gt;A4109)*(Calc!$G$3:$G$22-A4109)*Calc!$I$3:$I$22)</f>
        <v/>
      </c>
      <c r="O4109">
        <f>SUMPRODUCT(Calc!$K$3:$K$22*(Calc!$G$3:$G$22&gt;B4109)*(Calc!$G$3:$G$22-B4109)*Calc!$I$3:$I$22)</f>
        <v/>
      </c>
      <c r="P4109">
        <f>I4109-G4109^2/k_n</f>
        <v/>
      </c>
      <c r="Q4109">
        <f>J4109-H4109^2/k_n</f>
        <v/>
      </c>
      <c r="R4109">
        <f>K4109-G4109*H4109/k_n</f>
        <v/>
      </c>
      <c r="S4109">
        <f>L4109-LTP3!$D$3*G4109/k_n</f>
        <v/>
      </c>
      <c r="T4109">
        <f>M4109-LTP3!$D$3*H4109/k_n</f>
        <v/>
      </c>
      <c r="U4109">
        <f>N4109-G4109*LTP3!$D$4/k_n</f>
        <v/>
      </c>
      <c r="V4109">
        <f>O4109-H4109*LTP3!$D$4/k_n</f>
        <v/>
      </c>
      <c r="W4109">
        <f>((LTP3!$D$5)*((P4109)*(Q4109)-(R4109)*(R4109))-(S4109)*((S4109)*(Q4109)-(R4109)*(T4109))+(T4109)*((S4109)*(R4109)-(P4109)*(T4109)))</f>
        <v/>
      </c>
      <c r="X4109">
        <f>IF(ABS(W4109)&gt;1E-12,((LTP3!$D$6)*((P4109)*(Q4109)-(R4109)*(R4109))-(S4109)*((U4109)*(Q4109)-(R4109)*(V4109))+(T4109)*((U4109)*(R4109)-(P4109)*(V4109)))/W4109,0)</f>
        <v/>
      </c>
      <c r="Y4109">
        <f>IF(ABS(W4109)&gt;1E-12,((LTP3!$D$5)*((U4109)*(Q4109)-(R4109)*(V4109))-(LTP3!$D$6)*((S4109)*(Q4109)-(R4109)*(T4109))+(T4109)*((S4109)*(V4109)-(U4109)*(T4109)))/W4109,0)</f>
        <v/>
      </c>
      <c r="Z4109">
        <f>IF(ABS(W4109)&gt;1E-12,((LTP3!$D$5)*((P4109)*(V4109)-(U4109)*(R4109))-(S4109)*((S4109)*(V4109)-(U4109)*(T4109))+(LTP3!$D$6)*((S4109)*(R4109)-(P4109)*(T4109)))/W4109,0)</f>
        <v/>
      </c>
      <c r="AA4109">
        <f>LTP3!$D$7-X4109*LTP3!$D$6-Y4109*U4109-Z4109*V4109</f>
        <v/>
      </c>
      <c r="AB4109">
        <f>IF(AND(F4109,ABS(W4109)&gt;1E-12,Y4109&gt;0,Z4109&gt;0),AA4109,1E+300)</f>
        <v/>
      </c>
    </row>
    <row r="4110">
      <c r="A4110">
        <f>$I$3-$B$5+$B$5*17/10</f>
        <v/>
      </c>
      <c r="B4110">
        <f>$J$3-$B$5+$B$5*17/10</f>
        <v/>
      </c>
      <c r="C4110">
        <f>SUMPRODUCT(Calc!$K$3:$K$22*(Calc!$G$3:$G$22&lt;=A4110))</f>
        <v/>
      </c>
      <c r="D4110">
        <f>SUMPRODUCT(Calc!$K$3:$K$22*(Calc!$G$3:$G$22&gt;A4110)*(Calc!$G$3:$G$22&lt;B4110))</f>
        <v/>
      </c>
      <c r="E4110">
        <f>SUMPRODUCT(Calc!$K$3:$K$22*(Calc!$G$3:$G$22&gt;=B4110))</f>
        <v/>
      </c>
      <c r="F4110">
        <f>AND(k_n&gt;=5,B4110&gt;A4110+1E-9,C4110&gt;=2,D4110&gt;=1,E4110&gt;=2)</f>
        <v/>
      </c>
      <c r="G4110">
        <f>SUMPRODUCT(Calc!$K$3:$K$22*(Calc!$G$3:$G$22&gt;A4110)*(Calc!$G$3:$G$22-A4110))</f>
        <v/>
      </c>
      <c r="H4110">
        <f>SUMPRODUCT(Calc!$K$3:$K$22*(Calc!$G$3:$G$22&gt;B4110)*(Calc!$G$3:$G$22-B4110))</f>
        <v/>
      </c>
      <c r="I4110">
        <f>SUMPRODUCT(Calc!$K$3:$K$22*(Calc!$G$3:$G$22&gt;A4110)*(Calc!$G$3:$G$22-A4110)^2)</f>
        <v/>
      </c>
      <c r="J4110">
        <f>SUMPRODUCT(Calc!$K$3:$K$22*(Calc!$G$3:$G$22&gt;B4110)*(Calc!$G$3:$G$22-B4110)^2)</f>
        <v/>
      </c>
      <c r="K4110">
        <f>SUMPRODUCT(Calc!$K$3:$K$22*(Calc!$G$3:$G$22&gt;A4110)*(Calc!$G$3:$G$22-A4110)*(Calc!$G$3:$G$22&gt;B4110)*(Calc!$G$3:$G$22-B4110))</f>
        <v/>
      </c>
      <c r="L4110">
        <f>SUMPRODUCT(Calc!$K$3:$K$22*(Calc!$G$3:$G$22&gt;A4110)*(Calc!$G$3:$G$22-A4110)*Calc!$G$3:$G$22)</f>
        <v/>
      </c>
      <c r="M4110">
        <f>SUMPRODUCT(Calc!$K$3:$K$22*(Calc!$G$3:$G$22&gt;B4110)*(Calc!$G$3:$G$22-B4110)*Calc!$G$3:$G$22)</f>
        <v/>
      </c>
      <c r="N4110">
        <f>SUMPRODUCT(Calc!$K$3:$K$22*(Calc!$G$3:$G$22&gt;A4110)*(Calc!$G$3:$G$22-A4110)*Calc!$I$3:$I$22)</f>
        <v/>
      </c>
      <c r="O4110">
        <f>SUMPRODUCT(Calc!$K$3:$K$22*(Calc!$G$3:$G$22&gt;B4110)*(Calc!$G$3:$G$22-B4110)*Calc!$I$3:$I$22)</f>
        <v/>
      </c>
      <c r="P4110">
        <f>I4110-G4110^2/k_n</f>
        <v/>
      </c>
      <c r="Q4110">
        <f>J4110-H4110^2/k_n</f>
        <v/>
      </c>
      <c r="R4110">
        <f>K4110-G4110*H4110/k_n</f>
        <v/>
      </c>
      <c r="S4110">
        <f>L4110-LTP3!$D$3*G4110/k_n</f>
        <v/>
      </c>
      <c r="T4110">
        <f>M4110-LTP3!$D$3*H4110/k_n</f>
        <v/>
      </c>
      <c r="U4110">
        <f>N4110-G4110*LTP3!$D$4/k_n</f>
        <v/>
      </c>
      <c r="V4110">
        <f>O4110-H4110*LTP3!$D$4/k_n</f>
        <v/>
      </c>
      <c r="W4110">
        <f>((LTP3!$D$5)*((P4110)*(Q4110)-(R4110)*(R4110))-(S4110)*((S4110)*(Q4110)-(R4110)*(T4110))+(T4110)*((S4110)*(R4110)-(P4110)*(T4110)))</f>
        <v/>
      </c>
      <c r="X4110">
        <f>IF(ABS(W4110)&gt;1E-12,((LTP3!$D$6)*((P4110)*(Q4110)-(R4110)*(R4110))-(S4110)*((U4110)*(Q4110)-(R4110)*(V4110))+(T4110)*((U4110)*(R4110)-(P4110)*(V4110)))/W4110,0)</f>
        <v/>
      </c>
      <c r="Y4110">
        <f>IF(ABS(W4110)&gt;1E-12,((LTP3!$D$5)*((U4110)*(Q4110)-(R4110)*(V4110))-(LTP3!$D$6)*((S4110)*(Q4110)-(R4110)*(T4110))+(T4110)*((S4110)*(V4110)-(U4110)*(T4110)))/W4110,0)</f>
        <v/>
      </c>
      <c r="Z4110">
        <f>IF(ABS(W4110)&gt;1E-12,((LTP3!$D$5)*((P4110)*(V4110)-(U4110)*(R4110))-(S4110)*((S4110)*(V4110)-(U4110)*(T4110))+(LTP3!$D$6)*((S4110)*(R4110)-(P4110)*(T4110)))/W4110,0)</f>
        <v/>
      </c>
      <c r="AA4110">
        <f>LTP3!$D$7-X4110*LTP3!$D$6-Y4110*U4110-Z4110*V4110</f>
        <v/>
      </c>
      <c r="AB4110">
        <f>IF(AND(F4110,ABS(W4110)&gt;1E-12,Y4110&gt;0,Z4110&gt;0),AA4110,1E+300)</f>
        <v/>
      </c>
    </row>
    <row r="4111">
      <c r="A4111">
        <f>$I$3-$B$5+$B$5*17/10</f>
        <v/>
      </c>
      <c r="B4111">
        <f>$J$3-$B$5+$B$5*18/10</f>
        <v/>
      </c>
      <c r="C4111">
        <f>SUMPRODUCT(Calc!$K$3:$K$22*(Calc!$G$3:$G$22&lt;=A4111))</f>
        <v/>
      </c>
      <c r="D4111">
        <f>SUMPRODUCT(Calc!$K$3:$K$22*(Calc!$G$3:$G$22&gt;A4111)*(Calc!$G$3:$G$22&lt;B4111))</f>
        <v/>
      </c>
      <c r="E4111">
        <f>SUMPRODUCT(Calc!$K$3:$K$22*(Calc!$G$3:$G$22&gt;=B4111))</f>
        <v/>
      </c>
      <c r="F4111">
        <f>AND(k_n&gt;=5,B4111&gt;A4111+1E-9,C4111&gt;=2,D4111&gt;=1,E4111&gt;=2)</f>
        <v/>
      </c>
      <c r="G4111">
        <f>SUMPRODUCT(Calc!$K$3:$K$22*(Calc!$G$3:$G$22&gt;A4111)*(Calc!$G$3:$G$22-A4111))</f>
        <v/>
      </c>
      <c r="H4111">
        <f>SUMPRODUCT(Calc!$K$3:$K$22*(Calc!$G$3:$G$22&gt;B4111)*(Calc!$G$3:$G$22-B4111))</f>
        <v/>
      </c>
      <c r="I4111">
        <f>SUMPRODUCT(Calc!$K$3:$K$22*(Calc!$G$3:$G$22&gt;A4111)*(Calc!$G$3:$G$22-A4111)^2)</f>
        <v/>
      </c>
      <c r="J4111">
        <f>SUMPRODUCT(Calc!$K$3:$K$22*(Calc!$G$3:$G$22&gt;B4111)*(Calc!$G$3:$G$22-B4111)^2)</f>
        <v/>
      </c>
      <c r="K4111">
        <f>SUMPRODUCT(Calc!$K$3:$K$22*(Calc!$G$3:$G$22&gt;A4111)*(Calc!$G$3:$G$22-A4111)*(Calc!$G$3:$G$22&gt;B4111)*(Calc!$G$3:$G$22-B4111))</f>
        <v/>
      </c>
      <c r="L4111">
        <f>SUMPRODUCT(Calc!$K$3:$K$22*(Calc!$G$3:$G$22&gt;A4111)*(Calc!$G$3:$G$22-A4111)*Calc!$G$3:$G$22)</f>
        <v/>
      </c>
      <c r="M4111">
        <f>SUMPRODUCT(Calc!$K$3:$K$22*(Calc!$G$3:$G$22&gt;B4111)*(Calc!$G$3:$G$22-B4111)*Calc!$G$3:$G$22)</f>
        <v/>
      </c>
      <c r="N4111">
        <f>SUMPRODUCT(Calc!$K$3:$K$22*(Calc!$G$3:$G$22&gt;A4111)*(Calc!$G$3:$G$22-A4111)*Calc!$I$3:$I$22)</f>
        <v/>
      </c>
      <c r="O4111">
        <f>SUMPRODUCT(Calc!$K$3:$K$22*(Calc!$G$3:$G$22&gt;B4111)*(Calc!$G$3:$G$22-B4111)*Calc!$I$3:$I$22)</f>
        <v/>
      </c>
      <c r="P4111">
        <f>I4111-G4111^2/k_n</f>
        <v/>
      </c>
      <c r="Q4111">
        <f>J4111-H4111^2/k_n</f>
        <v/>
      </c>
      <c r="R4111">
        <f>K4111-G4111*H4111/k_n</f>
        <v/>
      </c>
      <c r="S4111">
        <f>L4111-LTP3!$D$3*G4111/k_n</f>
        <v/>
      </c>
      <c r="T4111">
        <f>M4111-LTP3!$D$3*H4111/k_n</f>
        <v/>
      </c>
      <c r="U4111">
        <f>N4111-G4111*LTP3!$D$4/k_n</f>
        <v/>
      </c>
      <c r="V4111">
        <f>O4111-H4111*LTP3!$D$4/k_n</f>
        <v/>
      </c>
      <c r="W4111">
        <f>((LTP3!$D$5)*((P4111)*(Q4111)-(R4111)*(R4111))-(S4111)*((S4111)*(Q4111)-(R4111)*(T4111))+(T4111)*((S4111)*(R4111)-(P4111)*(T4111)))</f>
        <v/>
      </c>
      <c r="X4111">
        <f>IF(ABS(W4111)&gt;1E-12,((LTP3!$D$6)*((P4111)*(Q4111)-(R4111)*(R4111))-(S4111)*((U4111)*(Q4111)-(R4111)*(V4111))+(T4111)*((U4111)*(R4111)-(P4111)*(V4111)))/W4111,0)</f>
        <v/>
      </c>
      <c r="Y4111">
        <f>IF(ABS(W4111)&gt;1E-12,((LTP3!$D$5)*((U4111)*(Q4111)-(R4111)*(V4111))-(LTP3!$D$6)*((S4111)*(Q4111)-(R4111)*(T4111))+(T4111)*((S4111)*(V4111)-(U4111)*(T4111)))/W4111,0)</f>
        <v/>
      </c>
      <c r="Z4111">
        <f>IF(ABS(W4111)&gt;1E-12,((LTP3!$D$5)*((P4111)*(V4111)-(U4111)*(R4111))-(S4111)*((S4111)*(V4111)-(U4111)*(T4111))+(LTP3!$D$6)*((S4111)*(R4111)-(P4111)*(T4111)))/W4111,0)</f>
        <v/>
      </c>
      <c r="AA4111">
        <f>LTP3!$D$7-X4111*LTP3!$D$6-Y4111*U4111-Z4111*V4111</f>
        <v/>
      </c>
      <c r="AB4111">
        <f>IF(AND(F4111,ABS(W4111)&gt;1E-12,Y4111&gt;0,Z4111&gt;0),AA4111,1E+300)</f>
        <v/>
      </c>
    </row>
    <row r="4112">
      <c r="A4112">
        <f>$I$3-$B$5+$B$5*17/10</f>
        <v/>
      </c>
      <c r="B4112">
        <f>$J$3-$B$5+$B$5*19/10</f>
        <v/>
      </c>
      <c r="C4112">
        <f>SUMPRODUCT(Calc!$K$3:$K$22*(Calc!$G$3:$G$22&lt;=A4112))</f>
        <v/>
      </c>
      <c r="D4112">
        <f>SUMPRODUCT(Calc!$K$3:$K$22*(Calc!$G$3:$G$22&gt;A4112)*(Calc!$G$3:$G$22&lt;B4112))</f>
        <v/>
      </c>
      <c r="E4112">
        <f>SUMPRODUCT(Calc!$K$3:$K$22*(Calc!$G$3:$G$22&gt;=B4112))</f>
        <v/>
      </c>
      <c r="F4112">
        <f>AND(k_n&gt;=5,B4112&gt;A4112+1E-9,C4112&gt;=2,D4112&gt;=1,E4112&gt;=2)</f>
        <v/>
      </c>
      <c r="G4112">
        <f>SUMPRODUCT(Calc!$K$3:$K$22*(Calc!$G$3:$G$22&gt;A4112)*(Calc!$G$3:$G$22-A4112))</f>
        <v/>
      </c>
      <c r="H4112">
        <f>SUMPRODUCT(Calc!$K$3:$K$22*(Calc!$G$3:$G$22&gt;B4112)*(Calc!$G$3:$G$22-B4112))</f>
        <v/>
      </c>
      <c r="I4112">
        <f>SUMPRODUCT(Calc!$K$3:$K$22*(Calc!$G$3:$G$22&gt;A4112)*(Calc!$G$3:$G$22-A4112)^2)</f>
        <v/>
      </c>
      <c r="J4112">
        <f>SUMPRODUCT(Calc!$K$3:$K$22*(Calc!$G$3:$G$22&gt;B4112)*(Calc!$G$3:$G$22-B4112)^2)</f>
        <v/>
      </c>
      <c r="K4112">
        <f>SUMPRODUCT(Calc!$K$3:$K$22*(Calc!$G$3:$G$22&gt;A4112)*(Calc!$G$3:$G$22-A4112)*(Calc!$G$3:$G$22&gt;B4112)*(Calc!$G$3:$G$22-B4112))</f>
        <v/>
      </c>
      <c r="L4112">
        <f>SUMPRODUCT(Calc!$K$3:$K$22*(Calc!$G$3:$G$22&gt;A4112)*(Calc!$G$3:$G$22-A4112)*Calc!$G$3:$G$22)</f>
        <v/>
      </c>
      <c r="M4112">
        <f>SUMPRODUCT(Calc!$K$3:$K$22*(Calc!$G$3:$G$22&gt;B4112)*(Calc!$G$3:$G$22-B4112)*Calc!$G$3:$G$22)</f>
        <v/>
      </c>
      <c r="N4112">
        <f>SUMPRODUCT(Calc!$K$3:$K$22*(Calc!$G$3:$G$22&gt;A4112)*(Calc!$G$3:$G$22-A4112)*Calc!$I$3:$I$22)</f>
        <v/>
      </c>
      <c r="O4112">
        <f>SUMPRODUCT(Calc!$K$3:$K$22*(Calc!$G$3:$G$22&gt;B4112)*(Calc!$G$3:$G$22-B4112)*Calc!$I$3:$I$22)</f>
        <v/>
      </c>
      <c r="P4112">
        <f>I4112-G4112^2/k_n</f>
        <v/>
      </c>
      <c r="Q4112">
        <f>J4112-H4112^2/k_n</f>
        <v/>
      </c>
      <c r="R4112">
        <f>K4112-G4112*H4112/k_n</f>
        <v/>
      </c>
      <c r="S4112">
        <f>L4112-LTP3!$D$3*G4112/k_n</f>
        <v/>
      </c>
      <c r="T4112">
        <f>M4112-LTP3!$D$3*H4112/k_n</f>
        <v/>
      </c>
      <c r="U4112">
        <f>N4112-G4112*LTP3!$D$4/k_n</f>
        <v/>
      </c>
      <c r="V4112">
        <f>O4112-H4112*LTP3!$D$4/k_n</f>
        <v/>
      </c>
      <c r="W4112">
        <f>((LTP3!$D$5)*((P4112)*(Q4112)-(R4112)*(R4112))-(S4112)*((S4112)*(Q4112)-(R4112)*(T4112))+(T4112)*((S4112)*(R4112)-(P4112)*(T4112)))</f>
        <v/>
      </c>
      <c r="X4112">
        <f>IF(ABS(W4112)&gt;1E-12,((LTP3!$D$6)*((P4112)*(Q4112)-(R4112)*(R4112))-(S4112)*((U4112)*(Q4112)-(R4112)*(V4112))+(T4112)*((U4112)*(R4112)-(P4112)*(V4112)))/W4112,0)</f>
        <v/>
      </c>
      <c r="Y4112">
        <f>IF(ABS(W4112)&gt;1E-12,((LTP3!$D$5)*((U4112)*(Q4112)-(R4112)*(V4112))-(LTP3!$D$6)*((S4112)*(Q4112)-(R4112)*(T4112))+(T4112)*((S4112)*(V4112)-(U4112)*(T4112)))/W4112,0)</f>
        <v/>
      </c>
      <c r="Z4112">
        <f>IF(ABS(W4112)&gt;1E-12,((LTP3!$D$5)*((P4112)*(V4112)-(U4112)*(R4112))-(S4112)*((S4112)*(V4112)-(U4112)*(T4112))+(LTP3!$D$6)*((S4112)*(R4112)-(P4112)*(T4112)))/W4112,0)</f>
        <v/>
      </c>
      <c r="AA4112">
        <f>LTP3!$D$7-X4112*LTP3!$D$6-Y4112*U4112-Z4112*V4112</f>
        <v/>
      </c>
      <c r="AB4112">
        <f>IF(AND(F4112,ABS(W4112)&gt;1E-12,Y4112&gt;0,Z4112&gt;0),AA4112,1E+300)</f>
        <v/>
      </c>
    </row>
    <row r="4113">
      <c r="A4113">
        <f>$I$3-$B$5+$B$5*17/10</f>
        <v/>
      </c>
      <c r="B4113">
        <f>$J$3-$B$5+$B$5*20/10</f>
        <v/>
      </c>
      <c r="C4113">
        <f>SUMPRODUCT(Calc!$K$3:$K$22*(Calc!$G$3:$G$22&lt;=A4113))</f>
        <v/>
      </c>
      <c r="D4113">
        <f>SUMPRODUCT(Calc!$K$3:$K$22*(Calc!$G$3:$G$22&gt;A4113)*(Calc!$G$3:$G$22&lt;B4113))</f>
        <v/>
      </c>
      <c r="E4113">
        <f>SUMPRODUCT(Calc!$K$3:$K$22*(Calc!$G$3:$G$22&gt;=B4113))</f>
        <v/>
      </c>
      <c r="F4113">
        <f>AND(k_n&gt;=5,B4113&gt;A4113+1E-9,C4113&gt;=2,D4113&gt;=1,E4113&gt;=2)</f>
        <v/>
      </c>
      <c r="G4113">
        <f>SUMPRODUCT(Calc!$K$3:$K$22*(Calc!$G$3:$G$22&gt;A4113)*(Calc!$G$3:$G$22-A4113))</f>
        <v/>
      </c>
      <c r="H4113">
        <f>SUMPRODUCT(Calc!$K$3:$K$22*(Calc!$G$3:$G$22&gt;B4113)*(Calc!$G$3:$G$22-B4113))</f>
        <v/>
      </c>
      <c r="I4113">
        <f>SUMPRODUCT(Calc!$K$3:$K$22*(Calc!$G$3:$G$22&gt;A4113)*(Calc!$G$3:$G$22-A4113)^2)</f>
        <v/>
      </c>
      <c r="J4113">
        <f>SUMPRODUCT(Calc!$K$3:$K$22*(Calc!$G$3:$G$22&gt;B4113)*(Calc!$G$3:$G$22-B4113)^2)</f>
        <v/>
      </c>
      <c r="K4113">
        <f>SUMPRODUCT(Calc!$K$3:$K$22*(Calc!$G$3:$G$22&gt;A4113)*(Calc!$G$3:$G$22-A4113)*(Calc!$G$3:$G$22&gt;B4113)*(Calc!$G$3:$G$22-B4113))</f>
        <v/>
      </c>
      <c r="L4113">
        <f>SUMPRODUCT(Calc!$K$3:$K$22*(Calc!$G$3:$G$22&gt;A4113)*(Calc!$G$3:$G$22-A4113)*Calc!$G$3:$G$22)</f>
        <v/>
      </c>
      <c r="M4113">
        <f>SUMPRODUCT(Calc!$K$3:$K$22*(Calc!$G$3:$G$22&gt;B4113)*(Calc!$G$3:$G$22-B4113)*Calc!$G$3:$G$22)</f>
        <v/>
      </c>
      <c r="N4113">
        <f>SUMPRODUCT(Calc!$K$3:$K$22*(Calc!$G$3:$G$22&gt;A4113)*(Calc!$G$3:$G$22-A4113)*Calc!$I$3:$I$22)</f>
        <v/>
      </c>
      <c r="O4113">
        <f>SUMPRODUCT(Calc!$K$3:$K$22*(Calc!$G$3:$G$22&gt;B4113)*(Calc!$G$3:$G$22-B4113)*Calc!$I$3:$I$22)</f>
        <v/>
      </c>
      <c r="P4113">
        <f>I4113-G4113^2/k_n</f>
        <v/>
      </c>
      <c r="Q4113">
        <f>J4113-H4113^2/k_n</f>
        <v/>
      </c>
      <c r="R4113">
        <f>K4113-G4113*H4113/k_n</f>
        <v/>
      </c>
      <c r="S4113">
        <f>L4113-LTP3!$D$3*G4113/k_n</f>
        <v/>
      </c>
      <c r="T4113">
        <f>M4113-LTP3!$D$3*H4113/k_n</f>
        <v/>
      </c>
      <c r="U4113">
        <f>N4113-G4113*LTP3!$D$4/k_n</f>
        <v/>
      </c>
      <c r="V4113">
        <f>O4113-H4113*LTP3!$D$4/k_n</f>
        <v/>
      </c>
      <c r="W4113">
        <f>((LTP3!$D$5)*((P4113)*(Q4113)-(R4113)*(R4113))-(S4113)*((S4113)*(Q4113)-(R4113)*(T4113))+(T4113)*((S4113)*(R4113)-(P4113)*(T4113)))</f>
        <v/>
      </c>
      <c r="X4113">
        <f>IF(ABS(W4113)&gt;1E-12,((LTP3!$D$6)*((P4113)*(Q4113)-(R4113)*(R4113))-(S4113)*((U4113)*(Q4113)-(R4113)*(V4113))+(T4113)*((U4113)*(R4113)-(P4113)*(V4113)))/W4113,0)</f>
        <v/>
      </c>
      <c r="Y4113">
        <f>IF(ABS(W4113)&gt;1E-12,((LTP3!$D$5)*((U4113)*(Q4113)-(R4113)*(V4113))-(LTP3!$D$6)*((S4113)*(Q4113)-(R4113)*(T4113))+(T4113)*((S4113)*(V4113)-(U4113)*(T4113)))/W4113,0)</f>
        <v/>
      </c>
      <c r="Z4113">
        <f>IF(ABS(W4113)&gt;1E-12,((LTP3!$D$5)*((P4113)*(V4113)-(U4113)*(R4113))-(S4113)*((S4113)*(V4113)-(U4113)*(T4113))+(LTP3!$D$6)*((S4113)*(R4113)-(P4113)*(T4113)))/W4113,0)</f>
        <v/>
      </c>
      <c r="AA4113">
        <f>LTP3!$D$7-X4113*LTP3!$D$6-Y4113*U4113-Z4113*V4113</f>
        <v/>
      </c>
      <c r="AB4113">
        <f>IF(AND(F4113,ABS(W4113)&gt;1E-12,Y4113&gt;0,Z4113&gt;0),AA4113,1E+300)</f>
        <v/>
      </c>
    </row>
    <row r="4114">
      <c r="A4114">
        <f>$I$3-$B$5+$B$5*18/10</f>
        <v/>
      </c>
      <c r="B4114">
        <f>$J$3-$B$5+$B$5*0/10</f>
        <v/>
      </c>
      <c r="C4114">
        <f>SUMPRODUCT(Calc!$K$3:$K$22*(Calc!$G$3:$G$22&lt;=A4114))</f>
        <v/>
      </c>
      <c r="D4114">
        <f>SUMPRODUCT(Calc!$K$3:$K$22*(Calc!$G$3:$G$22&gt;A4114)*(Calc!$G$3:$G$22&lt;B4114))</f>
        <v/>
      </c>
      <c r="E4114">
        <f>SUMPRODUCT(Calc!$K$3:$K$22*(Calc!$G$3:$G$22&gt;=B4114))</f>
        <v/>
      </c>
      <c r="F4114">
        <f>AND(k_n&gt;=5,B4114&gt;A4114+1E-9,C4114&gt;=2,D4114&gt;=1,E4114&gt;=2)</f>
        <v/>
      </c>
      <c r="G4114">
        <f>SUMPRODUCT(Calc!$K$3:$K$22*(Calc!$G$3:$G$22&gt;A4114)*(Calc!$G$3:$G$22-A4114))</f>
        <v/>
      </c>
      <c r="H4114">
        <f>SUMPRODUCT(Calc!$K$3:$K$22*(Calc!$G$3:$G$22&gt;B4114)*(Calc!$G$3:$G$22-B4114))</f>
        <v/>
      </c>
      <c r="I4114">
        <f>SUMPRODUCT(Calc!$K$3:$K$22*(Calc!$G$3:$G$22&gt;A4114)*(Calc!$G$3:$G$22-A4114)^2)</f>
        <v/>
      </c>
      <c r="J4114">
        <f>SUMPRODUCT(Calc!$K$3:$K$22*(Calc!$G$3:$G$22&gt;B4114)*(Calc!$G$3:$G$22-B4114)^2)</f>
        <v/>
      </c>
      <c r="K4114">
        <f>SUMPRODUCT(Calc!$K$3:$K$22*(Calc!$G$3:$G$22&gt;A4114)*(Calc!$G$3:$G$22-A4114)*(Calc!$G$3:$G$22&gt;B4114)*(Calc!$G$3:$G$22-B4114))</f>
        <v/>
      </c>
      <c r="L4114">
        <f>SUMPRODUCT(Calc!$K$3:$K$22*(Calc!$G$3:$G$22&gt;A4114)*(Calc!$G$3:$G$22-A4114)*Calc!$G$3:$G$22)</f>
        <v/>
      </c>
      <c r="M4114">
        <f>SUMPRODUCT(Calc!$K$3:$K$22*(Calc!$G$3:$G$22&gt;B4114)*(Calc!$G$3:$G$22-B4114)*Calc!$G$3:$G$22)</f>
        <v/>
      </c>
      <c r="N4114">
        <f>SUMPRODUCT(Calc!$K$3:$K$22*(Calc!$G$3:$G$22&gt;A4114)*(Calc!$G$3:$G$22-A4114)*Calc!$I$3:$I$22)</f>
        <v/>
      </c>
      <c r="O4114">
        <f>SUMPRODUCT(Calc!$K$3:$K$22*(Calc!$G$3:$G$22&gt;B4114)*(Calc!$G$3:$G$22-B4114)*Calc!$I$3:$I$22)</f>
        <v/>
      </c>
      <c r="P4114">
        <f>I4114-G4114^2/k_n</f>
        <v/>
      </c>
      <c r="Q4114">
        <f>J4114-H4114^2/k_n</f>
        <v/>
      </c>
      <c r="R4114">
        <f>K4114-G4114*H4114/k_n</f>
        <v/>
      </c>
      <c r="S4114">
        <f>L4114-LTP3!$D$3*G4114/k_n</f>
        <v/>
      </c>
      <c r="T4114">
        <f>M4114-LTP3!$D$3*H4114/k_n</f>
        <v/>
      </c>
      <c r="U4114">
        <f>N4114-G4114*LTP3!$D$4/k_n</f>
        <v/>
      </c>
      <c r="V4114">
        <f>O4114-H4114*LTP3!$D$4/k_n</f>
        <v/>
      </c>
      <c r="W4114">
        <f>((LTP3!$D$5)*((P4114)*(Q4114)-(R4114)*(R4114))-(S4114)*((S4114)*(Q4114)-(R4114)*(T4114))+(T4114)*((S4114)*(R4114)-(P4114)*(T4114)))</f>
        <v/>
      </c>
      <c r="X4114">
        <f>IF(ABS(W4114)&gt;1E-12,((LTP3!$D$6)*((P4114)*(Q4114)-(R4114)*(R4114))-(S4114)*((U4114)*(Q4114)-(R4114)*(V4114))+(T4114)*((U4114)*(R4114)-(P4114)*(V4114)))/W4114,0)</f>
        <v/>
      </c>
      <c r="Y4114">
        <f>IF(ABS(W4114)&gt;1E-12,((LTP3!$D$5)*((U4114)*(Q4114)-(R4114)*(V4114))-(LTP3!$D$6)*((S4114)*(Q4114)-(R4114)*(T4114))+(T4114)*((S4114)*(V4114)-(U4114)*(T4114)))/W4114,0)</f>
        <v/>
      </c>
      <c r="Z4114">
        <f>IF(ABS(W4114)&gt;1E-12,((LTP3!$D$5)*((P4114)*(V4114)-(U4114)*(R4114))-(S4114)*((S4114)*(V4114)-(U4114)*(T4114))+(LTP3!$D$6)*((S4114)*(R4114)-(P4114)*(T4114)))/W4114,0)</f>
        <v/>
      </c>
      <c r="AA4114">
        <f>LTP3!$D$7-X4114*LTP3!$D$6-Y4114*U4114-Z4114*V4114</f>
        <v/>
      </c>
      <c r="AB4114">
        <f>IF(AND(F4114,ABS(W4114)&gt;1E-12,Y4114&gt;0,Z4114&gt;0),AA4114,1E+300)</f>
        <v/>
      </c>
    </row>
    <row r="4115">
      <c r="A4115">
        <f>$I$3-$B$5+$B$5*18/10</f>
        <v/>
      </c>
      <c r="B4115">
        <f>$J$3-$B$5+$B$5*1/10</f>
        <v/>
      </c>
      <c r="C4115">
        <f>SUMPRODUCT(Calc!$K$3:$K$22*(Calc!$G$3:$G$22&lt;=A4115))</f>
        <v/>
      </c>
      <c r="D4115">
        <f>SUMPRODUCT(Calc!$K$3:$K$22*(Calc!$G$3:$G$22&gt;A4115)*(Calc!$G$3:$G$22&lt;B4115))</f>
        <v/>
      </c>
      <c r="E4115">
        <f>SUMPRODUCT(Calc!$K$3:$K$22*(Calc!$G$3:$G$22&gt;=B4115))</f>
        <v/>
      </c>
      <c r="F4115">
        <f>AND(k_n&gt;=5,B4115&gt;A4115+1E-9,C4115&gt;=2,D4115&gt;=1,E4115&gt;=2)</f>
        <v/>
      </c>
      <c r="G4115">
        <f>SUMPRODUCT(Calc!$K$3:$K$22*(Calc!$G$3:$G$22&gt;A4115)*(Calc!$G$3:$G$22-A4115))</f>
        <v/>
      </c>
      <c r="H4115">
        <f>SUMPRODUCT(Calc!$K$3:$K$22*(Calc!$G$3:$G$22&gt;B4115)*(Calc!$G$3:$G$22-B4115))</f>
        <v/>
      </c>
      <c r="I4115">
        <f>SUMPRODUCT(Calc!$K$3:$K$22*(Calc!$G$3:$G$22&gt;A4115)*(Calc!$G$3:$G$22-A4115)^2)</f>
        <v/>
      </c>
      <c r="J4115">
        <f>SUMPRODUCT(Calc!$K$3:$K$22*(Calc!$G$3:$G$22&gt;B4115)*(Calc!$G$3:$G$22-B4115)^2)</f>
        <v/>
      </c>
      <c r="K4115">
        <f>SUMPRODUCT(Calc!$K$3:$K$22*(Calc!$G$3:$G$22&gt;A4115)*(Calc!$G$3:$G$22-A4115)*(Calc!$G$3:$G$22&gt;B4115)*(Calc!$G$3:$G$22-B4115))</f>
        <v/>
      </c>
      <c r="L4115">
        <f>SUMPRODUCT(Calc!$K$3:$K$22*(Calc!$G$3:$G$22&gt;A4115)*(Calc!$G$3:$G$22-A4115)*Calc!$G$3:$G$22)</f>
        <v/>
      </c>
      <c r="M4115">
        <f>SUMPRODUCT(Calc!$K$3:$K$22*(Calc!$G$3:$G$22&gt;B4115)*(Calc!$G$3:$G$22-B4115)*Calc!$G$3:$G$22)</f>
        <v/>
      </c>
      <c r="N4115">
        <f>SUMPRODUCT(Calc!$K$3:$K$22*(Calc!$G$3:$G$22&gt;A4115)*(Calc!$G$3:$G$22-A4115)*Calc!$I$3:$I$22)</f>
        <v/>
      </c>
      <c r="O4115">
        <f>SUMPRODUCT(Calc!$K$3:$K$22*(Calc!$G$3:$G$22&gt;B4115)*(Calc!$G$3:$G$22-B4115)*Calc!$I$3:$I$22)</f>
        <v/>
      </c>
      <c r="P4115">
        <f>I4115-G4115^2/k_n</f>
        <v/>
      </c>
      <c r="Q4115">
        <f>J4115-H4115^2/k_n</f>
        <v/>
      </c>
      <c r="R4115">
        <f>K4115-G4115*H4115/k_n</f>
        <v/>
      </c>
      <c r="S4115">
        <f>L4115-LTP3!$D$3*G4115/k_n</f>
        <v/>
      </c>
      <c r="T4115">
        <f>M4115-LTP3!$D$3*H4115/k_n</f>
        <v/>
      </c>
      <c r="U4115">
        <f>N4115-G4115*LTP3!$D$4/k_n</f>
        <v/>
      </c>
      <c r="V4115">
        <f>O4115-H4115*LTP3!$D$4/k_n</f>
        <v/>
      </c>
      <c r="W4115">
        <f>((LTP3!$D$5)*((P4115)*(Q4115)-(R4115)*(R4115))-(S4115)*((S4115)*(Q4115)-(R4115)*(T4115))+(T4115)*((S4115)*(R4115)-(P4115)*(T4115)))</f>
        <v/>
      </c>
      <c r="X4115">
        <f>IF(ABS(W4115)&gt;1E-12,((LTP3!$D$6)*((P4115)*(Q4115)-(R4115)*(R4115))-(S4115)*((U4115)*(Q4115)-(R4115)*(V4115))+(T4115)*((U4115)*(R4115)-(P4115)*(V4115)))/W4115,0)</f>
        <v/>
      </c>
      <c r="Y4115">
        <f>IF(ABS(W4115)&gt;1E-12,((LTP3!$D$5)*((U4115)*(Q4115)-(R4115)*(V4115))-(LTP3!$D$6)*((S4115)*(Q4115)-(R4115)*(T4115))+(T4115)*((S4115)*(V4115)-(U4115)*(T4115)))/W4115,0)</f>
        <v/>
      </c>
      <c r="Z4115">
        <f>IF(ABS(W4115)&gt;1E-12,((LTP3!$D$5)*((P4115)*(V4115)-(U4115)*(R4115))-(S4115)*((S4115)*(V4115)-(U4115)*(T4115))+(LTP3!$D$6)*((S4115)*(R4115)-(P4115)*(T4115)))/W4115,0)</f>
        <v/>
      </c>
      <c r="AA4115">
        <f>LTP3!$D$7-X4115*LTP3!$D$6-Y4115*U4115-Z4115*V4115</f>
        <v/>
      </c>
      <c r="AB4115">
        <f>IF(AND(F4115,ABS(W4115)&gt;1E-12,Y4115&gt;0,Z4115&gt;0),AA4115,1E+300)</f>
        <v/>
      </c>
    </row>
    <row r="4116">
      <c r="A4116">
        <f>$I$3-$B$5+$B$5*18/10</f>
        <v/>
      </c>
      <c r="B4116">
        <f>$J$3-$B$5+$B$5*2/10</f>
        <v/>
      </c>
      <c r="C4116">
        <f>SUMPRODUCT(Calc!$K$3:$K$22*(Calc!$G$3:$G$22&lt;=A4116))</f>
        <v/>
      </c>
      <c r="D4116">
        <f>SUMPRODUCT(Calc!$K$3:$K$22*(Calc!$G$3:$G$22&gt;A4116)*(Calc!$G$3:$G$22&lt;B4116))</f>
        <v/>
      </c>
      <c r="E4116">
        <f>SUMPRODUCT(Calc!$K$3:$K$22*(Calc!$G$3:$G$22&gt;=B4116))</f>
        <v/>
      </c>
      <c r="F4116">
        <f>AND(k_n&gt;=5,B4116&gt;A4116+1E-9,C4116&gt;=2,D4116&gt;=1,E4116&gt;=2)</f>
        <v/>
      </c>
      <c r="G4116">
        <f>SUMPRODUCT(Calc!$K$3:$K$22*(Calc!$G$3:$G$22&gt;A4116)*(Calc!$G$3:$G$22-A4116))</f>
        <v/>
      </c>
      <c r="H4116">
        <f>SUMPRODUCT(Calc!$K$3:$K$22*(Calc!$G$3:$G$22&gt;B4116)*(Calc!$G$3:$G$22-B4116))</f>
        <v/>
      </c>
      <c r="I4116">
        <f>SUMPRODUCT(Calc!$K$3:$K$22*(Calc!$G$3:$G$22&gt;A4116)*(Calc!$G$3:$G$22-A4116)^2)</f>
        <v/>
      </c>
      <c r="J4116">
        <f>SUMPRODUCT(Calc!$K$3:$K$22*(Calc!$G$3:$G$22&gt;B4116)*(Calc!$G$3:$G$22-B4116)^2)</f>
        <v/>
      </c>
      <c r="K4116">
        <f>SUMPRODUCT(Calc!$K$3:$K$22*(Calc!$G$3:$G$22&gt;A4116)*(Calc!$G$3:$G$22-A4116)*(Calc!$G$3:$G$22&gt;B4116)*(Calc!$G$3:$G$22-B4116))</f>
        <v/>
      </c>
      <c r="L4116">
        <f>SUMPRODUCT(Calc!$K$3:$K$22*(Calc!$G$3:$G$22&gt;A4116)*(Calc!$G$3:$G$22-A4116)*Calc!$G$3:$G$22)</f>
        <v/>
      </c>
      <c r="M4116">
        <f>SUMPRODUCT(Calc!$K$3:$K$22*(Calc!$G$3:$G$22&gt;B4116)*(Calc!$G$3:$G$22-B4116)*Calc!$G$3:$G$22)</f>
        <v/>
      </c>
      <c r="N4116">
        <f>SUMPRODUCT(Calc!$K$3:$K$22*(Calc!$G$3:$G$22&gt;A4116)*(Calc!$G$3:$G$22-A4116)*Calc!$I$3:$I$22)</f>
        <v/>
      </c>
      <c r="O4116">
        <f>SUMPRODUCT(Calc!$K$3:$K$22*(Calc!$G$3:$G$22&gt;B4116)*(Calc!$G$3:$G$22-B4116)*Calc!$I$3:$I$22)</f>
        <v/>
      </c>
      <c r="P4116">
        <f>I4116-G4116^2/k_n</f>
        <v/>
      </c>
      <c r="Q4116">
        <f>J4116-H4116^2/k_n</f>
        <v/>
      </c>
      <c r="R4116">
        <f>K4116-G4116*H4116/k_n</f>
        <v/>
      </c>
      <c r="S4116">
        <f>L4116-LTP3!$D$3*G4116/k_n</f>
        <v/>
      </c>
      <c r="T4116">
        <f>M4116-LTP3!$D$3*H4116/k_n</f>
        <v/>
      </c>
      <c r="U4116">
        <f>N4116-G4116*LTP3!$D$4/k_n</f>
        <v/>
      </c>
      <c r="V4116">
        <f>O4116-H4116*LTP3!$D$4/k_n</f>
        <v/>
      </c>
      <c r="W4116">
        <f>((LTP3!$D$5)*((P4116)*(Q4116)-(R4116)*(R4116))-(S4116)*((S4116)*(Q4116)-(R4116)*(T4116))+(T4116)*((S4116)*(R4116)-(P4116)*(T4116)))</f>
        <v/>
      </c>
      <c r="X4116">
        <f>IF(ABS(W4116)&gt;1E-12,((LTP3!$D$6)*((P4116)*(Q4116)-(R4116)*(R4116))-(S4116)*((U4116)*(Q4116)-(R4116)*(V4116))+(T4116)*((U4116)*(R4116)-(P4116)*(V4116)))/W4116,0)</f>
        <v/>
      </c>
      <c r="Y4116">
        <f>IF(ABS(W4116)&gt;1E-12,((LTP3!$D$5)*((U4116)*(Q4116)-(R4116)*(V4116))-(LTP3!$D$6)*((S4116)*(Q4116)-(R4116)*(T4116))+(T4116)*((S4116)*(V4116)-(U4116)*(T4116)))/W4116,0)</f>
        <v/>
      </c>
      <c r="Z4116">
        <f>IF(ABS(W4116)&gt;1E-12,((LTP3!$D$5)*((P4116)*(V4116)-(U4116)*(R4116))-(S4116)*((S4116)*(V4116)-(U4116)*(T4116))+(LTP3!$D$6)*((S4116)*(R4116)-(P4116)*(T4116)))/W4116,0)</f>
        <v/>
      </c>
      <c r="AA4116">
        <f>LTP3!$D$7-X4116*LTP3!$D$6-Y4116*U4116-Z4116*V4116</f>
        <v/>
      </c>
      <c r="AB4116">
        <f>IF(AND(F4116,ABS(W4116)&gt;1E-12,Y4116&gt;0,Z4116&gt;0),AA4116,1E+300)</f>
        <v/>
      </c>
    </row>
    <row r="4117">
      <c r="A4117">
        <f>$I$3-$B$5+$B$5*18/10</f>
        <v/>
      </c>
      <c r="B4117">
        <f>$J$3-$B$5+$B$5*3/10</f>
        <v/>
      </c>
      <c r="C4117">
        <f>SUMPRODUCT(Calc!$K$3:$K$22*(Calc!$G$3:$G$22&lt;=A4117))</f>
        <v/>
      </c>
      <c r="D4117">
        <f>SUMPRODUCT(Calc!$K$3:$K$22*(Calc!$G$3:$G$22&gt;A4117)*(Calc!$G$3:$G$22&lt;B4117))</f>
        <v/>
      </c>
      <c r="E4117">
        <f>SUMPRODUCT(Calc!$K$3:$K$22*(Calc!$G$3:$G$22&gt;=B4117))</f>
        <v/>
      </c>
      <c r="F4117">
        <f>AND(k_n&gt;=5,B4117&gt;A4117+1E-9,C4117&gt;=2,D4117&gt;=1,E4117&gt;=2)</f>
        <v/>
      </c>
      <c r="G4117">
        <f>SUMPRODUCT(Calc!$K$3:$K$22*(Calc!$G$3:$G$22&gt;A4117)*(Calc!$G$3:$G$22-A4117))</f>
        <v/>
      </c>
      <c r="H4117">
        <f>SUMPRODUCT(Calc!$K$3:$K$22*(Calc!$G$3:$G$22&gt;B4117)*(Calc!$G$3:$G$22-B4117))</f>
        <v/>
      </c>
      <c r="I4117">
        <f>SUMPRODUCT(Calc!$K$3:$K$22*(Calc!$G$3:$G$22&gt;A4117)*(Calc!$G$3:$G$22-A4117)^2)</f>
        <v/>
      </c>
      <c r="J4117">
        <f>SUMPRODUCT(Calc!$K$3:$K$22*(Calc!$G$3:$G$22&gt;B4117)*(Calc!$G$3:$G$22-B4117)^2)</f>
        <v/>
      </c>
      <c r="K4117">
        <f>SUMPRODUCT(Calc!$K$3:$K$22*(Calc!$G$3:$G$22&gt;A4117)*(Calc!$G$3:$G$22-A4117)*(Calc!$G$3:$G$22&gt;B4117)*(Calc!$G$3:$G$22-B4117))</f>
        <v/>
      </c>
      <c r="L4117">
        <f>SUMPRODUCT(Calc!$K$3:$K$22*(Calc!$G$3:$G$22&gt;A4117)*(Calc!$G$3:$G$22-A4117)*Calc!$G$3:$G$22)</f>
        <v/>
      </c>
      <c r="M4117">
        <f>SUMPRODUCT(Calc!$K$3:$K$22*(Calc!$G$3:$G$22&gt;B4117)*(Calc!$G$3:$G$22-B4117)*Calc!$G$3:$G$22)</f>
        <v/>
      </c>
      <c r="N4117">
        <f>SUMPRODUCT(Calc!$K$3:$K$22*(Calc!$G$3:$G$22&gt;A4117)*(Calc!$G$3:$G$22-A4117)*Calc!$I$3:$I$22)</f>
        <v/>
      </c>
      <c r="O4117">
        <f>SUMPRODUCT(Calc!$K$3:$K$22*(Calc!$G$3:$G$22&gt;B4117)*(Calc!$G$3:$G$22-B4117)*Calc!$I$3:$I$22)</f>
        <v/>
      </c>
      <c r="P4117">
        <f>I4117-G4117^2/k_n</f>
        <v/>
      </c>
      <c r="Q4117">
        <f>J4117-H4117^2/k_n</f>
        <v/>
      </c>
      <c r="R4117">
        <f>K4117-G4117*H4117/k_n</f>
        <v/>
      </c>
      <c r="S4117">
        <f>L4117-LTP3!$D$3*G4117/k_n</f>
        <v/>
      </c>
      <c r="T4117">
        <f>M4117-LTP3!$D$3*H4117/k_n</f>
        <v/>
      </c>
      <c r="U4117">
        <f>N4117-G4117*LTP3!$D$4/k_n</f>
        <v/>
      </c>
      <c r="V4117">
        <f>O4117-H4117*LTP3!$D$4/k_n</f>
        <v/>
      </c>
      <c r="W4117">
        <f>((LTP3!$D$5)*((P4117)*(Q4117)-(R4117)*(R4117))-(S4117)*((S4117)*(Q4117)-(R4117)*(T4117))+(T4117)*((S4117)*(R4117)-(P4117)*(T4117)))</f>
        <v/>
      </c>
      <c r="X4117">
        <f>IF(ABS(W4117)&gt;1E-12,((LTP3!$D$6)*((P4117)*(Q4117)-(R4117)*(R4117))-(S4117)*((U4117)*(Q4117)-(R4117)*(V4117))+(T4117)*((U4117)*(R4117)-(P4117)*(V4117)))/W4117,0)</f>
        <v/>
      </c>
      <c r="Y4117">
        <f>IF(ABS(W4117)&gt;1E-12,((LTP3!$D$5)*((U4117)*(Q4117)-(R4117)*(V4117))-(LTP3!$D$6)*((S4117)*(Q4117)-(R4117)*(T4117))+(T4117)*((S4117)*(V4117)-(U4117)*(T4117)))/W4117,0)</f>
        <v/>
      </c>
      <c r="Z4117">
        <f>IF(ABS(W4117)&gt;1E-12,((LTP3!$D$5)*((P4117)*(V4117)-(U4117)*(R4117))-(S4117)*((S4117)*(V4117)-(U4117)*(T4117))+(LTP3!$D$6)*((S4117)*(R4117)-(P4117)*(T4117)))/W4117,0)</f>
        <v/>
      </c>
      <c r="AA4117">
        <f>LTP3!$D$7-X4117*LTP3!$D$6-Y4117*U4117-Z4117*V4117</f>
        <v/>
      </c>
      <c r="AB4117">
        <f>IF(AND(F4117,ABS(W4117)&gt;1E-12,Y4117&gt;0,Z4117&gt;0),AA4117,1E+300)</f>
        <v/>
      </c>
    </row>
    <row r="4118">
      <c r="A4118">
        <f>$I$3-$B$5+$B$5*18/10</f>
        <v/>
      </c>
      <c r="B4118">
        <f>$J$3-$B$5+$B$5*4/10</f>
        <v/>
      </c>
      <c r="C4118">
        <f>SUMPRODUCT(Calc!$K$3:$K$22*(Calc!$G$3:$G$22&lt;=A4118))</f>
        <v/>
      </c>
      <c r="D4118">
        <f>SUMPRODUCT(Calc!$K$3:$K$22*(Calc!$G$3:$G$22&gt;A4118)*(Calc!$G$3:$G$22&lt;B4118))</f>
        <v/>
      </c>
      <c r="E4118">
        <f>SUMPRODUCT(Calc!$K$3:$K$22*(Calc!$G$3:$G$22&gt;=B4118))</f>
        <v/>
      </c>
      <c r="F4118">
        <f>AND(k_n&gt;=5,B4118&gt;A4118+1E-9,C4118&gt;=2,D4118&gt;=1,E4118&gt;=2)</f>
        <v/>
      </c>
      <c r="G4118">
        <f>SUMPRODUCT(Calc!$K$3:$K$22*(Calc!$G$3:$G$22&gt;A4118)*(Calc!$G$3:$G$22-A4118))</f>
        <v/>
      </c>
      <c r="H4118">
        <f>SUMPRODUCT(Calc!$K$3:$K$22*(Calc!$G$3:$G$22&gt;B4118)*(Calc!$G$3:$G$22-B4118))</f>
        <v/>
      </c>
      <c r="I4118">
        <f>SUMPRODUCT(Calc!$K$3:$K$22*(Calc!$G$3:$G$22&gt;A4118)*(Calc!$G$3:$G$22-A4118)^2)</f>
        <v/>
      </c>
      <c r="J4118">
        <f>SUMPRODUCT(Calc!$K$3:$K$22*(Calc!$G$3:$G$22&gt;B4118)*(Calc!$G$3:$G$22-B4118)^2)</f>
        <v/>
      </c>
      <c r="K4118">
        <f>SUMPRODUCT(Calc!$K$3:$K$22*(Calc!$G$3:$G$22&gt;A4118)*(Calc!$G$3:$G$22-A4118)*(Calc!$G$3:$G$22&gt;B4118)*(Calc!$G$3:$G$22-B4118))</f>
        <v/>
      </c>
      <c r="L4118">
        <f>SUMPRODUCT(Calc!$K$3:$K$22*(Calc!$G$3:$G$22&gt;A4118)*(Calc!$G$3:$G$22-A4118)*Calc!$G$3:$G$22)</f>
        <v/>
      </c>
      <c r="M4118">
        <f>SUMPRODUCT(Calc!$K$3:$K$22*(Calc!$G$3:$G$22&gt;B4118)*(Calc!$G$3:$G$22-B4118)*Calc!$G$3:$G$22)</f>
        <v/>
      </c>
      <c r="N4118">
        <f>SUMPRODUCT(Calc!$K$3:$K$22*(Calc!$G$3:$G$22&gt;A4118)*(Calc!$G$3:$G$22-A4118)*Calc!$I$3:$I$22)</f>
        <v/>
      </c>
      <c r="O4118">
        <f>SUMPRODUCT(Calc!$K$3:$K$22*(Calc!$G$3:$G$22&gt;B4118)*(Calc!$G$3:$G$22-B4118)*Calc!$I$3:$I$22)</f>
        <v/>
      </c>
      <c r="P4118">
        <f>I4118-G4118^2/k_n</f>
        <v/>
      </c>
      <c r="Q4118">
        <f>J4118-H4118^2/k_n</f>
        <v/>
      </c>
      <c r="R4118">
        <f>K4118-G4118*H4118/k_n</f>
        <v/>
      </c>
      <c r="S4118">
        <f>L4118-LTP3!$D$3*G4118/k_n</f>
        <v/>
      </c>
      <c r="T4118">
        <f>M4118-LTP3!$D$3*H4118/k_n</f>
        <v/>
      </c>
      <c r="U4118">
        <f>N4118-G4118*LTP3!$D$4/k_n</f>
        <v/>
      </c>
      <c r="V4118">
        <f>O4118-H4118*LTP3!$D$4/k_n</f>
        <v/>
      </c>
      <c r="W4118">
        <f>((LTP3!$D$5)*((P4118)*(Q4118)-(R4118)*(R4118))-(S4118)*((S4118)*(Q4118)-(R4118)*(T4118))+(T4118)*((S4118)*(R4118)-(P4118)*(T4118)))</f>
        <v/>
      </c>
      <c r="X4118">
        <f>IF(ABS(W4118)&gt;1E-12,((LTP3!$D$6)*((P4118)*(Q4118)-(R4118)*(R4118))-(S4118)*((U4118)*(Q4118)-(R4118)*(V4118))+(T4118)*((U4118)*(R4118)-(P4118)*(V4118)))/W4118,0)</f>
        <v/>
      </c>
      <c r="Y4118">
        <f>IF(ABS(W4118)&gt;1E-12,((LTP3!$D$5)*((U4118)*(Q4118)-(R4118)*(V4118))-(LTP3!$D$6)*((S4118)*(Q4118)-(R4118)*(T4118))+(T4118)*((S4118)*(V4118)-(U4118)*(T4118)))/W4118,0)</f>
        <v/>
      </c>
      <c r="Z4118">
        <f>IF(ABS(W4118)&gt;1E-12,((LTP3!$D$5)*((P4118)*(V4118)-(U4118)*(R4118))-(S4118)*((S4118)*(V4118)-(U4118)*(T4118))+(LTP3!$D$6)*((S4118)*(R4118)-(P4118)*(T4118)))/W4118,0)</f>
        <v/>
      </c>
      <c r="AA4118">
        <f>LTP3!$D$7-X4118*LTP3!$D$6-Y4118*U4118-Z4118*V4118</f>
        <v/>
      </c>
      <c r="AB4118">
        <f>IF(AND(F4118,ABS(W4118)&gt;1E-12,Y4118&gt;0,Z4118&gt;0),AA4118,1E+300)</f>
        <v/>
      </c>
    </row>
    <row r="4119">
      <c r="A4119">
        <f>$I$3-$B$5+$B$5*18/10</f>
        <v/>
      </c>
      <c r="B4119">
        <f>$J$3-$B$5+$B$5*5/10</f>
        <v/>
      </c>
      <c r="C4119">
        <f>SUMPRODUCT(Calc!$K$3:$K$22*(Calc!$G$3:$G$22&lt;=A4119))</f>
        <v/>
      </c>
      <c r="D4119">
        <f>SUMPRODUCT(Calc!$K$3:$K$22*(Calc!$G$3:$G$22&gt;A4119)*(Calc!$G$3:$G$22&lt;B4119))</f>
        <v/>
      </c>
      <c r="E4119">
        <f>SUMPRODUCT(Calc!$K$3:$K$22*(Calc!$G$3:$G$22&gt;=B4119))</f>
        <v/>
      </c>
      <c r="F4119">
        <f>AND(k_n&gt;=5,B4119&gt;A4119+1E-9,C4119&gt;=2,D4119&gt;=1,E4119&gt;=2)</f>
        <v/>
      </c>
      <c r="G4119">
        <f>SUMPRODUCT(Calc!$K$3:$K$22*(Calc!$G$3:$G$22&gt;A4119)*(Calc!$G$3:$G$22-A4119))</f>
        <v/>
      </c>
      <c r="H4119">
        <f>SUMPRODUCT(Calc!$K$3:$K$22*(Calc!$G$3:$G$22&gt;B4119)*(Calc!$G$3:$G$22-B4119))</f>
        <v/>
      </c>
      <c r="I4119">
        <f>SUMPRODUCT(Calc!$K$3:$K$22*(Calc!$G$3:$G$22&gt;A4119)*(Calc!$G$3:$G$22-A4119)^2)</f>
        <v/>
      </c>
      <c r="J4119">
        <f>SUMPRODUCT(Calc!$K$3:$K$22*(Calc!$G$3:$G$22&gt;B4119)*(Calc!$G$3:$G$22-B4119)^2)</f>
        <v/>
      </c>
      <c r="K4119">
        <f>SUMPRODUCT(Calc!$K$3:$K$22*(Calc!$G$3:$G$22&gt;A4119)*(Calc!$G$3:$G$22-A4119)*(Calc!$G$3:$G$22&gt;B4119)*(Calc!$G$3:$G$22-B4119))</f>
        <v/>
      </c>
      <c r="L4119">
        <f>SUMPRODUCT(Calc!$K$3:$K$22*(Calc!$G$3:$G$22&gt;A4119)*(Calc!$G$3:$G$22-A4119)*Calc!$G$3:$G$22)</f>
        <v/>
      </c>
      <c r="M4119">
        <f>SUMPRODUCT(Calc!$K$3:$K$22*(Calc!$G$3:$G$22&gt;B4119)*(Calc!$G$3:$G$22-B4119)*Calc!$G$3:$G$22)</f>
        <v/>
      </c>
      <c r="N4119">
        <f>SUMPRODUCT(Calc!$K$3:$K$22*(Calc!$G$3:$G$22&gt;A4119)*(Calc!$G$3:$G$22-A4119)*Calc!$I$3:$I$22)</f>
        <v/>
      </c>
      <c r="O4119">
        <f>SUMPRODUCT(Calc!$K$3:$K$22*(Calc!$G$3:$G$22&gt;B4119)*(Calc!$G$3:$G$22-B4119)*Calc!$I$3:$I$22)</f>
        <v/>
      </c>
      <c r="P4119">
        <f>I4119-G4119^2/k_n</f>
        <v/>
      </c>
      <c r="Q4119">
        <f>J4119-H4119^2/k_n</f>
        <v/>
      </c>
      <c r="R4119">
        <f>K4119-G4119*H4119/k_n</f>
        <v/>
      </c>
      <c r="S4119">
        <f>L4119-LTP3!$D$3*G4119/k_n</f>
        <v/>
      </c>
      <c r="T4119">
        <f>M4119-LTP3!$D$3*H4119/k_n</f>
        <v/>
      </c>
      <c r="U4119">
        <f>N4119-G4119*LTP3!$D$4/k_n</f>
        <v/>
      </c>
      <c r="V4119">
        <f>O4119-H4119*LTP3!$D$4/k_n</f>
        <v/>
      </c>
      <c r="W4119">
        <f>((LTP3!$D$5)*((P4119)*(Q4119)-(R4119)*(R4119))-(S4119)*((S4119)*(Q4119)-(R4119)*(T4119))+(T4119)*((S4119)*(R4119)-(P4119)*(T4119)))</f>
        <v/>
      </c>
      <c r="X4119">
        <f>IF(ABS(W4119)&gt;1E-12,((LTP3!$D$6)*((P4119)*(Q4119)-(R4119)*(R4119))-(S4119)*((U4119)*(Q4119)-(R4119)*(V4119))+(T4119)*((U4119)*(R4119)-(P4119)*(V4119)))/W4119,0)</f>
        <v/>
      </c>
      <c r="Y4119">
        <f>IF(ABS(W4119)&gt;1E-12,((LTP3!$D$5)*((U4119)*(Q4119)-(R4119)*(V4119))-(LTP3!$D$6)*((S4119)*(Q4119)-(R4119)*(T4119))+(T4119)*((S4119)*(V4119)-(U4119)*(T4119)))/W4119,0)</f>
        <v/>
      </c>
      <c r="Z4119">
        <f>IF(ABS(W4119)&gt;1E-12,((LTP3!$D$5)*((P4119)*(V4119)-(U4119)*(R4119))-(S4119)*((S4119)*(V4119)-(U4119)*(T4119))+(LTP3!$D$6)*((S4119)*(R4119)-(P4119)*(T4119)))/W4119,0)</f>
        <v/>
      </c>
      <c r="AA4119">
        <f>LTP3!$D$7-X4119*LTP3!$D$6-Y4119*U4119-Z4119*V4119</f>
        <v/>
      </c>
      <c r="AB4119">
        <f>IF(AND(F4119,ABS(W4119)&gt;1E-12,Y4119&gt;0,Z4119&gt;0),AA4119,1E+300)</f>
        <v/>
      </c>
    </row>
    <row r="4120">
      <c r="A4120">
        <f>$I$3-$B$5+$B$5*18/10</f>
        <v/>
      </c>
      <c r="B4120">
        <f>$J$3-$B$5+$B$5*6/10</f>
        <v/>
      </c>
      <c r="C4120">
        <f>SUMPRODUCT(Calc!$K$3:$K$22*(Calc!$G$3:$G$22&lt;=A4120))</f>
        <v/>
      </c>
      <c r="D4120">
        <f>SUMPRODUCT(Calc!$K$3:$K$22*(Calc!$G$3:$G$22&gt;A4120)*(Calc!$G$3:$G$22&lt;B4120))</f>
        <v/>
      </c>
      <c r="E4120">
        <f>SUMPRODUCT(Calc!$K$3:$K$22*(Calc!$G$3:$G$22&gt;=B4120))</f>
        <v/>
      </c>
      <c r="F4120">
        <f>AND(k_n&gt;=5,B4120&gt;A4120+1E-9,C4120&gt;=2,D4120&gt;=1,E4120&gt;=2)</f>
        <v/>
      </c>
      <c r="G4120">
        <f>SUMPRODUCT(Calc!$K$3:$K$22*(Calc!$G$3:$G$22&gt;A4120)*(Calc!$G$3:$G$22-A4120))</f>
        <v/>
      </c>
      <c r="H4120">
        <f>SUMPRODUCT(Calc!$K$3:$K$22*(Calc!$G$3:$G$22&gt;B4120)*(Calc!$G$3:$G$22-B4120))</f>
        <v/>
      </c>
      <c r="I4120">
        <f>SUMPRODUCT(Calc!$K$3:$K$22*(Calc!$G$3:$G$22&gt;A4120)*(Calc!$G$3:$G$22-A4120)^2)</f>
        <v/>
      </c>
      <c r="J4120">
        <f>SUMPRODUCT(Calc!$K$3:$K$22*(Calc!$G$3:$G$22&gt;B4120)*(Calc!$G$3:$G$22-B4120)^2)</f>
        <v/>
      </c>
      <c r="K4120">
        <f>SUMPRODUCT(Calc!$K$3:$K$22*(Calc!$G$3:$G$22&gt;A4120)*(Calc!$G$3:$G$22-A4120)*(Calc!$G$3:$G$22&gt;B4120)*(Calc!$G$3:$G$22-B4120))</f>
        <v/>
      </c>
      <c r="L4120">
        <f>SUMPRODUCT(Calc!$K$3:$K$22*(Calc!$G$3:$G$22&gt;A4120)*(Calc!$G$3:$G$22-A4120)*Calc!$G$3:$G$22)</f>
        <v/>
      </c>
      <c r="M4120">
        <f>SUMPRODUCT(Calc!$K$3:$K$22*(Calc!$G$3:$G$22&gt;B4120)*(Calc!$G$3:$G$22-B4120)*Calc!$G$3:$G$22)</f>
        <v/>
      </c>
      <c r="N4120">
        <f>SUMPRODUCT(Calc!$K$3:$K$22*(Calc!$G$3:$G$22&gt;A4120)*(Calc!$G$3:$G$22-A4120)*Calc!$I$3:$I$22)</f>
        <v/>
      </c>
      <c r="O4120">
        <f>SUMPRODUCT(Calc!$K$3:$K$22*(Calc!$G$3:$G$22&gt;B4120)*(Calc!$G$3:$G$22-B4120)*Calc!$I$3:$I$22)</f>
        <v/>
      </c>
      <c r="P4120">
        <f>I4120-G4120^2/k_n</f>
        <v/>
      </c>
      <c r="Q4120">
        <f>J4120-H4120^2/k_n</f>
        <v/>
      </c>
      <c r="R4120">
        <f>K4120-G4120*H4120/k_n</f>
        <v/>
      </c>
      <c r="S4120">
        <f>L4120-LTP3!$D$3*G4120/k_n</f>
        <v/>
      </c>
      <c r="T4120">
        <f>M4120-LTP3!$D$3*H4120/k_n</f>
        <v/>
      </c>
      <c r="U4120">
        <f>N4120-G4120*LTP3!$D$4/k_n</f>
        <v/>
      </c>
      <c r="V4120">
        <f>O4120-H4120*LTP3!$D$4/k_n</f>
        <v/>
      </c>
      <c r="W4120">
        <f>((LTP3!$D$5)*((P4120)*(Q4120)-(R4120)*(R4120))-(S4120)*((S4120)*(Q4120)-(R4120)*(T4120))+(T4120)*((S4120)*(R4120)-(P4120)*(T4120)))</f>
        <v/>
      </c>
      <c r="X4120">
        <f>IF(ABS(W4120)&gt;1E-12,((LTP3!$D$6)*((P4120)*(Q4120)-(R4120)*(R4120))-(S4120)*((U4120)*(Q4120)-(R4120)*(V4120))+(T4120)*((U4120)*(R4120)-(P4120)*(V4120)))/W4120,0)</f>
        <v/>
      </c>
      <c r="Y4120">
        <f>IF(ABS(W4120)&gt;1E-12,((LTP3!$D$5)*((U4120)*(Q4120)-(R4120)*(V4120))-(LTP3!$D$6)*((S4120)*(Q4120)-(R4120)*(T4120))+(T4120)*((S4120)*(V4120)-(U4120)*(T4120)))/W4120,0)</f>
        <v/>
      </c>
      <c r="Z4120">
        <f>IF(ABS(W4120)&gt;1E-12,((LTP3!$D$5)*((P4120)*(V4120)-(U4120)*(R4120))-(S4120)*((S4120)*(V4120)-(U4120)*(T4120))+(LTP3!$D$6)*((S4120)*(R4120)-(P4120)*(T4120)))/W4120,0)</f>
        <v/>
      </c>
      <c r="AA4120">
        <f>LTP3!$D$7-X4120*LTP3!$D$6-Y4120*U4120-Z4120*V4120</f>
        <v/>
      </c>
      <c r="AB4120">
        <f>IF(AND(F4120,ABS(W4120)&gt;1E-12,Y4120&gt;0,Z4120&gt;0),AA4120,1E+300)</f>
        <v/>
      </c>
    </row>
    <row r="4121">
      <c r="A4121">
        <f>$I$3-$B$5+$B$5*18/10</f>
        <v/>
      </c>
      <c r="B4121">
        <f>$J$3-$B$5+$B$5*7/10</f>
        <v/>
      </c>
      <c r="C4121">
        <f>SUMPRODUCT(Calc!$K$3:$K$22*(Calc!$G$3:$G$22&lt;=A4121))</f>
        <v/>
      </c>
      <c r="D4121">
        <f>SUMPRODUCT(Calc!$K$3:$K$22*(Calc!$G$3:$G$22&gt;A4121)*(Calc!$G$3:$G$22&lt;B4121))</f>
        <v/>
      </c>
      <c r="E4121">
        <f>SUMPRODUCT(Calc!$K$3:$K$22*(Calc!$G$3:$G$22&gt;=B4121))</f>
        <v/>
      </c>
      <c r="F4121">
        <f>AND(k_n&gt;=5,B4121&gt;A4121+1E-9,C4121&gt;=2,D4121&gt;=1,E4121&gt;=2)</f>
        <v/>
      </c>
      <c r="G4121">
        <f>SUMPRODUCT(Calc!$K$3:$K$22*(Calc!$G$3:$G$22&gt;A4121)*(Calc!$G$3:$G$22-A4121))</f>
        <v/>
      </c>
      <c r="H4121">
        <f>SUMPRODUCT(Calc!$K$3:$K$22*(Calc!$G$3:$G$22&gt;B4121)*(Calc!$G$3:$G$22-B4121))</f>
        <v/>
      </c>
      <c r="I4121">
        <f>SUMPRODUCT(Calc!$K$3:$K$22*(Calc!$G$3:$G$22&gt;A4121)*(Calc!$G$3:$G$22-A4121)^2)</f>
        <v/>
      </c>
      <c r="J4121">
        <f>SUMPRODUCT(Calc!$K$3:$K$22*(Calc!$G$3:$G$22&gt;B4121)*(Calc!$G$3:$G$22-B4121)^2)</f>
        <v/>
      </c>
      <c r="K4121">
        <f>SUMPRODUCT(Calc!$K$3:$K$22*(Calc!$G$3:$G$22&gt;A4121)*(Calc!$G$3:$G$22-A4121)*(Calc!$G$3:$G$22&gt;B4121)*(Calc!$G$3:$G$22-B4121))</f>
        <v/>
      </c>
      <c r="L4121">
        <f>SUMPRODUCT(Calc!$K$3:$K$22*(Calc!$G$3:$G$22&gt;A4121)*(Calc!$G$3:$G$22-A4121)*Calc!$G$3:$G$22)</f>
        <v/>
      </c>
      <c r="M4121">
        <f>SUMPRODUCT(Calc!$K$3:$K$22*(Calc!$G$3:$G$22&gt;B4121)*(Calc!$G$3:$G$22-B4121)*Calc!$G$3:$G$22)</f>
        <v/>
      </c>
      <c r="N4121">
        <f>SUMPRODUCT(Calc!$K$3:$K$22*(Calc!$G$3:$G$22&gt;A4121)*(Calc!$G$3:$G$22-A4121)*Calc!$I$3:$I$22)</f>
        <v/>
      </c>
      <c r="O4121">
        <f>SUMPRODUCT(Calc!$K$3:$K$22*(Calc!$G$3:$G$22&gt;B4121)*(Calc!$G$3:$G$22-B4121)*Calc!$I$3:$I$22)</f>
        <v/>
      </c>
      <c r="P4121">
        <f>I4121-G4121^2/k_n</f>
        <v/>
      </c>
      <c r="Q4121">
        <f>J4121-H4121^2/k_n</f>
        <v/>
      </c>
      <c r="R4121">
        <f>K4121-G4121*H4121/k_n</f>
        <v/>
      </c>
      <c r="S4121">
        <f>L4121-LTP3!$D$3*G4121/k_n</f>
        <v/>
      </c>
      <c r="T4121">
        <f>M4121-LTP3!$D$3*H4121/k_n</f>
        <v/>
      </c>
      <c r="U4121">
        <f>N4121-G4121*LTP3!$D$4/k_n</f>
        <v/>
      </c>
      <c r="V4121">
        <f>O4121-H4121*LTP3!$D$4/k_n</f>
        <v/>
      </c>
      <c r="W4121">
        <f>((LTP3!$D$5)*((P4121)*(Q4121)-(R4121)*(R4121))-(S4121)*((S4121)*(Q4121)-(R4121)*(T4121))+(T4121)*((S4121)*(R4121)-(P4121)*(T4121)))</f>
        <v/>
      </c>
      <c r="X4121">
        <f>IF(ABS(W4121)&gt;1E-12,((LTP3!$D$6)*((P4121)*(Q4121)-(R4121)*(R4121))-(S4121)*((U4121)*(Q4121)-(R4121)*(V4121))+(T4121)*((U4121)*(R4121)-(P4121)*(V4121)))/W4121,0)</f>
        <v/>
      </c>
      <c r="Y4121">
        <f>IF(ABS(W4121)&gt;1E-12,((LTP3!$D$5)*((U4121)*(Q4121)-(R4121)*(V4121))-(LTP3!$D$6)*((S4121)*(Q4121)-(R4121)*(T4121))+(T4121)*((S4121)*(V4121)-(U4121)*(T4121)))/W4121,0)</f>
        <v/>
      </c>
      <c r="Z4121">
        <f>IF(ABS(W4121)&gt;1E-12,((LTP3!$D$5)*((P4121)*(V4121)-(U4121)*(R4121))-(S4121)*((S4121)*(V4121)-(U4121)*(T4121))+(LTP3!$D$6)*((S4121)*(R4121)-(P4121)*(T4121)))/W4121,0)</f>
        <v/>
      </c>
      <c r="AA4121">
        <f>LTP3!$D$7-X4121*LTP3!$D$6-Y4121*U4121-Z4121*V4121</f>
        <v/>
      </c>
      <c r="AB4121">
        <f>IF(AND(F4121,ABS(W4121)&gt;1E-12,Y4121&gt;0,Z4121&gt;0),AA4121,1E+300)</f>
        <v/>
      </c>
    </row>
    <row r="4122">
      <c r="A4122">
        <f>$I$3-$B$5+$B$5*18/10</f>
        <v/>
      </c>
      <c r="B4122">
        <f>$J$3-$B$5+$B$5*8/10</f>
        <v/>
      </c>
      <c r="C4122">
        <f>SUMPRODUCT(Calc!$K$3:$K$22*(Calc!$G$3:$G$22&lt;=A4122))</f>
        <v/>
      </c>
      <c r="D4122">
        <f>SUMPRODUCT(Calc!$K$3:$K$22*(Calc!$G$3:$G$22&gt;A4122)*(Calc!$G$3:$G$22&lt;B4122))</f>
        <v/>
      </c>
      <c r="E4122">
        <f>SUMPRODUCT(Calc!$K$3:$K$22*(Calc!$G$3:$G$22&gt;=B4122))</f>
        <v/>
      </c>
      <c r="F4122">
        <f>AND(k_n&gt;=5,B4122&gt;A4122+1E-9,C4122&gt;=2,D4122&gt;=1,E4122&gt;=2)</f>
        <v/>
      </c>
      <c r="G4122">
        <f>SUMPRODUCT(Calc!$K$3:$K$22*(Calc!$G$3:$G$22&gt;A4122)*(Calc!$G$3:$G$22-A4122))</f>
        <v/>
      </c>
      <c r="H4122">
        <f>SUMPRODUCT(Calc!$K$3:$K$22*(Calc!$G$3:$G$22&gt;B4122)*(Calc!$G$3:$G$22-B4122))</f>
        <v/>
      </c>
      <c r="I4122">
        <f>SUMPRODUCT(Calc!$K$3:$K$22*(Calc!$G$3:$G$22&gt;A4122)*(Calc!$G$3:$G$22-A4122)^2)</f>
        <v/>
      </c>
      <c r="J4122">
        <f>SUMPRODUCT(Calc!$K$3:$K$22*(Calc!$G$3:$G$22&gt;B4122)*(Calc!$G$3:$G$22-B4122)^2)</f>
        <v/>
      </c>
      <c r="K4122">
        <f>SUMPRODUCT(Calc!$K$3:$K$22*(Calc!$G$3:$G$22&gt;A4122)*(Calc!$G$3:$G$22-A4122)*(Calc!$G$3:$G$22&gt;B4122)*(Calc!$G$3:$G$22-B4122))</f>
        <v/>
      </c>
      <c r="L4122">
        <f>SUMPRODUCT(Calc!$K$3:$K$22*(Calc!$G$3:$G$22&gt;A4122)*(Calc!$G$3:$G$22-A4122)*Calc!$G$3:$G$22)</f>
        <v/>
      </c>
      <c r="M4122">
        <f>SUMPRODUCT(Calc!$K$3:$K$22*(Calc!$G$3:$G$22&gt;B4122)*(Calc!$G$3:$G$22-B4122)*Calc!$G$3:$G$22)</f>
        <v/>
      </c>
      <c r="N4122">
        <f>SUMPRODUCT(Calc!$K$3:$K$22*(Calc!$G$3:$G$22&gt;A4122)*(Calc!$G$3:$G$22-A4122)*Calc!$I$3:$I$22)</f>
        <v/>
      </c>
      <c r="O4122">
        <f>SUMPRODUCT(Calc!$K$3:$K$22*(Calc!$G$3:$G$22&gt;B4122)*(Calc!$G$3:$G$22-B4122)*Calc!$I$3:$I$22)</f>
        <v/>
      </c>
      <c r="P4122">
        <f>I4122-G4122^2/k_n</f>
        <v/>
      </c>
      <c r="Q4122">
        <f>J4122-H4122^2/k_n</f>
        <v/>
      </c>
      <c r="R4122">
        <f>K4122-G4122*H4122/k_n</f>
        <v/>
      </c>
      <c r="S4122">
        <f>L4122-LTP3!$D$3*G4122/k_n</f>
        <v/>
      </c>
      <c r="T4122">
        <f>M4122-LTP3!$D$3*H4122/k_n</f>
        <v/>
      </c>
      <c r="U4122">
        <f>N4122-G4122*LTP3!$D$4/k_n</f>
        <v/>
      </c>
      <c r="V4122">
        <f>O4122-H4122*LTP3!$D$4/k_n</f>
        <v/>
      </c>
      <c r="W4122">
        <f>((LTP3!$D$5)*((P4122)*(Q4122)-(R4122)*(R4122))-(S4122)*((S4122)*(Q4122)-(R4122)*(T4122))+(T4122)*((S4122)*(R4122)-(P4122)*(T4122)))</f>
        <v/>
      </c>
      <c r="X4122">
        <f>IF(ABS(W4122)&gt;1E-12,((LTP3!$D$6)*((P4122)*(Q4122)-(R4122)*(R4122))-(S4122)*((U4122)*(Q4122)-(R4122)*(V4122))+(T4122)*((U4122)*(R4122)-(P4122)*(V4122)))/W4122,0)</f>
        <v/>
      </c>
      <c r="Y4122">
        <f>IF(ABS(W4122)&gt;1E-12,((LTP3!$D$5)*((U4122)*(Q4122)-(R4122)*(V4122))-(LTP3!$D$6)*((S4122)*(Q4122)-(R4122)*(T4122))+(T4122)*((S4122)*(V4122)-(U4122)*(T4122)))/W4122,0)</f>
        <v/>
      </c>
      <c r="Z4122">
        <f>IF(ABS(W4122)&gt;1E-12,((LTP3!$D$5)*((P4122)*(V4122)-(U4122)*(R4122))-(S4122)*((S4122)*(V4122)-(U4122)*(T4122))+(LTP3!$D$6)*((S4122)*(R4122)-(P4122)*(T4122)))/W4122,0)</f>
        <v/>
      </c>
      <c r="AA4122">
        <f>LTP3!$D$7-X4122*LTP3!$D$6-Y4122*U4122-Z4122*V4122</f>
        <v/>
      </c>
      <c r="AB4122">
        <f>IF(AND(F4122,ABS(W4122)&gt;1E-12,Y4122&gt;0,Z4122&gt;0),AA4122,1E+300)</f>
        <v/>
      </c>
    </row>
    <row r="4123">
      <c r="A4123">
        <f>$I$3-$B$5+$B$5*18/10</f>
        <v/>
      </c>
      <c r="B4123">
        <f>$J$3-$B$5+$B$5*9/10</f>
        <v/>
      </c>
      <c r="C4123">
        <f>SUMPRODUCT(Calc!$K$3:$K$22*(Calc!$G$3:$G$22&lt;=A4123))</f>
        <v/>
      </c>
      <c r="D4123">
        <f>SUMPRODUCT(Calc!$K$3:$K$22*(Calc!$G$3:$G$22&gt;A4123)*(Calc!$G$3:$G$22&lt;B4123))</f>
        <v/>
      </c>
      <c r="E4123">
        <f>SUMPRODUCT(Calc!$K$3:$K$22*(Calc!$G$3:$G$22&gt;=B4123))</f>
        <v/>
      </c>
      <c r="F4123">
        <f>AND(k_n&gt;=5,B4123&gt;A4123+1E-9,C4123&gt;=2,D4123&gt;=1,E4123&gt;=2)</f>
        <v/>
      </c>
      <c r="G4123">
        <f>SUMPRODUCT(Calc!$K$3:$K$22*(Calc!$G$3:$G$22&gt;A4123)*(Calc!$G$3:$G$22-A4123))</f>
        <v/>
      </c>
      <c r="H4123">
        <f>SUMPRODUCT(Calc!$K$3:$K$22*(Calc!$G$3:$G$22&gt;B4123)*(Calc!$G$3:$G$22-B4123))</f>
        <v/>
      </c>
      <c r="I4123">
        <f>SUMPRODUCT(Calc!$K$3:$K$22*(Calc!$G$3:$G$22&gt;A4123)*(Calc!$G$3:$G$22-A4123)^2)</f>
        <v/>
      </c>
      <c r="J4123">
        <f>SUMPRODUCT(Calc!$K$3:$K$22*(Calc!$G$3:$G$22&gt;B4123)*(Calc!$G$3:$G$22-B4123)^2)</f>
        <v/>
      </c>
      <c r="K4123">
        <f>SUMPRODUCT(Calc!$K$3:$K$22*(Calc!$G$3:$G$22&gt;A4123)*(Calc!$G$3:$G$22-A4123)*(Calc!$G$3:$G$22&gt;B4123)*(Calc!$G$3:$G$22-B4123))</f>
        <v/>
      </c>
      <c r="L4123">
        <f>SUMPRODUCT(Calc!$K$3:$K$22*(Calc!$G$3:$G$22&gt;A4123)*(Calc!$G$3:$G$22-A4123)*Calc!$G$3:$G$22)</f>
        <v/>
      </c>
      <c r="M4123">
        <f>SUMPRODUCT(Calc!$K$3:$K$22*(Calc!$G$3:$G$22&gt;B4123)*(Calc!$G$3:$G$22-B4123)*Calc!$G$3:$G$22)</f>
        <v/>
      </c>
      <c r="N4123">
        <f>SUMPRODUCT(Calc!$K$3:$K$22*(Calc!$G$3:$G$22&gt;A4123)*(Calc!$G$3:$G$22-A4123)*Calc!$I$3:$I$22)</f>
        <v/>
      </c>
      <c r="O4123">
        <f>SUMPRODUCT(Calc!$K$3:$K$22*(Calc!$G$3:$G$22&gt;B4123)*(Calc!$G$3:$G$22-B4123)*Calc!$I$3:$I$22)</f>
        <v/>
      </c>
      <c r="P4123">
        <f>I4123-G4123^2/k_n</f>
        <v/>
      </c>
      <c r="Q4123">
        <f>J4123-H4123^2/k_n</f>
        <v/>
      </c>
      <c r="R4123">
        <f>K4123-G4123*H4123/k_n</f>
        <v/>
      </c>
      <c r="S4123">
        <f>L4123-LTP3!$D$3*G4123/k_n</f>
        <v/>
      </c>
      <c r="T4123">
        <f>M4123-LTP3!$D$3*H4123/k_n</f>
        <v/>
      </c>
      <c r="U4123">
        <f>N4123-G4123*LTP3!$D$4/k_n</f>
        <v/>
      </c>
      <c r="V4123">
        <f>O4123-H4123*LTP3!$D$4/k_n</f>
        <v/>
      </c>
      <c r="W4123">
        <f>((LTP3!$D$5)*((P4123)*(Q4123)-(R4123)*(R4123))-(S4123)*((S4123)*(Q4123)-(R4123)*(T4123))+(T4123)*((S4123)*(R4123)-(P4123)*(T4123)))</f>
        <v/>
      </c>
      <c r="X4123">
        <f>IF(ABS(W4123)&gt;1E-12,((LTP3!$D$6)*((P4123)*(Q4123)-(R4123)*(R4123))-(S4123)*((U4123)*(Q4123)-(R4123)*(V4123))+(T4123)*((U4123)*(R4123)-(P4123)*(V4123)))/W4123,0)</f>
        <v/>
      </c>
      <c r="Y4123">
        <f>IF(ABS(W4123)&gt;1E-12,((LTP3!$D$5)*((U4123)*(Q4123)-(R4123)*(V4123))-(LTP3!$D$6)*((S4123)*(Q4123)-(R4123)*(T4123))+(T4123)*((S4123)*(V4123)-(U4123)*(T4123)))/W4123,0)</f>
        <v/>
      </c>
      <c r="Z4123">
        <f>IF(ABS(W4123)&gt;1E-12,((LTP3!$D$5)*((P4123)*(V4123)-(U4123)*(R4123))-(S4123)*((S4123)*(V4123)-(U4123)*(T4123))+(LTP3!$D$6)*((S4123)*(R4123)-(P4123)*(T4123)))/W4123,0)</f>
        <v/>
      </c>
      <c r="AA4123">
        <f>LTP3!$D$7-X4123*LTP3!$D$6-Y4123*U4123-Z4123*V4123</f>
        <v/>
      </c>
      <c r="AB4123">
        <f>IF(AND(F4123,ABS(W4123)&gt;1E-12,Y4123&gt;0,Z4123&gt;0),AA4123,1E+300)</f>
        <v/>
      </c>
    </row>
    <row r="4124">
      <c r="A4124">
        <f>$I$3-$B$5+$B$5*18/10</f>
        <v/>
      </c>
      <c r="B4124">
        <f>$J$3-$B$5+$B$5*10/10</f>
        <v/>
      </c>
      <c r="C4124">
        <f>SUMPRODUCT(Calc!$K$3:$K$22*(Calc!$G$3:$G$22&lt;=A4124))</f>
        <v/>
      </c>
      <c r="D4124">
        <f>SUMPRODUCT(Calc!$K$3:$K$22*(Calc!$G$3:$G$22&gt;A4124)*(Calc!$G$3:$G$22&lt;B4124))</f>
        <v/>
      </c>
      <c r="E4124">
        <f>SUMPRODUCT(Calc!$K$3:$K$22*(Calc!$G$3:$G$22&gt;=B4124))</f>
        <v/>
      </c>
      <c r="F4124">
        <f>AND(k_n&gt;=5,B4124&gt;A4124+1E-9,C4124&gt;=2,D4124&gt;=1,E4124&gt;=2)</f>
        <v/>
      </c>
      <c r="G4124">
        <f>SUMPRODUCT(Calc!$K$3:$K$22*(Calc!$G$3:$G$22&gt;A4124)*(Calc!$G$3:$G$22-A4124))</f>
        <v/>
      </c>
      <c r="H4124">
        <f>SUMPRODUCT(Calc!$K$3:$K$22*(Calc!$G$3:$G$22&gt;B4124)*(Calc!$G$3:$G$22-B4124))</f>
        <v/>
      </c>
      <c r="I4124">
        <f>SUMPRODUCT(Calc!$K$3:$K$22*(Calc!$G$3:$G$22&gt;A4124)*(Calc!$G$3:$G$22-A4124)^2)</f>
        <v/>
      </c>
      <c r="J4124">
        <f>SUMPRODUCT(Calc!$K$3:$K$22*(Calc!$G$3:$G$22&gt;B4124)*(Calc!$G$3:$G$22-B4124)^2)</f>
        <v/>
      </c>
      <c r="K4124">
        <f>SUMPRODUCT(Calc!$K$3:$K$22*(Calc!$G$3:$G$22&gt;A4124)*(Calc!$G$3:$G$22-A4124)*(Calc!$G$3:$G$22&gt;B4124)*(Calc!$G$3:$G$22-B4124))</f>
        <v/>
      </c>
      <c r="L4124">
        <f>SUMPRODUCT(Calc!$K$3:$K$22*(Calc!$G$3:$G$22&gt;A4124)*(Calc!$G$3:$G$22-A4124)*Calc!$G$3:$G$22)</f>
        <v/>
      </c>
      <c r="M4124">
        <f>SUMPRODUCT(Calc!$K$3:$K$22*(Calc!$G$3:$G$22&gt;B4124)*(Calc!$G$3:$G$22-B4124)*Calc!$G$3:$G$22)</f>
        <v/>
      </c>
      <c r="N4124">
        <f>SUMPRODUCT(Calc!$K$3:$K$22*(Calc!$G$3:$G$22&gt;A4124)*(Calc!$G$3:$G$22-A4124)*Calc!$I$3:$I$22)</f>
        <v/>
      </c>
      <c r="O4124">
        <f>SUMPRODUCT(Calc!$K$3:$K$22*(Calc!$G$3:$G$22&gt;B4124)*(Calc!$G$3:$G$22-B4124)*Calc!$I$3:$I$22)</f>
        <v/>
      </c>
      <c r="P4124">
        <f>I4124-G4124^2/k_n</f>
        <v/>
      </c>
      <c r="Q4124">
        <f>J4124-H4124^2/k_n</f>
        <v/>
      </c>
      <c r="R4124">
        <f>K4124-G4124*H4124/k_n</f>
        <v/>
      </c>
      <c r="S4124">
        <f>L4124-LTP3!$D$3*G4124/k_n</f>
        <v/>
      </c>
      <c r="T4124">
        <f>M4124-LTP3!$D$3*H4124/k_n</f>
        <v/>
      </c>
      <c r="U4124">
        <f>N4124-G4124*LTP3!$D$4/k_n</f>
        <v/>
      </c>
      <c r="V4124">
        <f>O4124-H4124*LTP3!$D$4/k_n</f>
        <v/>
      </c>
      <c r="W4124">
        <f>((LTP3!$D$5)*((P4124)*(Q4124)-(R4124)*(R4124))-(S4124)*((S4124)*(Q4124)-(R4124)*(T4124))+(T4124)*((S4124)*(R4124)-(P4124)*(T4124)))</f>
        <v/>
      </c>
      <c r="X4124">
        <f>IF(ABS(W4124)&gt;1E-12,((LTP3!$D$6)*((P4124)*(Q4124)-(R4124)*(R4124))-(S4124)*((U4124)*(Q4124)-(R4124)*(V4124))+(T4124)*((U4124)*(R4124)-(P4124)*(V4124)))/W4124,0)</f>
        <v/>
      </c>
      <c r="Y4124">
        <f>IF(ABS(W4124)&gt;1E-12,((LTP3!$D$5)*((U4124)*(Q4124)-(R4124)*(V4124))-(LTP3!$D$6)*((S4124)*(Q4124)-(R4124)*(T4124))+(T4124)*((S4124)*(V4124)-(U4124)*(T4124)))/W4124,0)</f>
        <v/>
      </c>
      <c r="Z4124">
        <f>IF(ABS(W4124)&gt;1E-12,((LTP3!$D$5)*((P4124)*(V4124)-(U4124)*(R4124))-(S4124)*((S4124)*(V4124)-(U4124)*(T4124))+(LTP3!$D$6)*((S4124)*(R4124)-(P4124)*(T4124)))/W4124,0)</f>
        <v/>
      </c>
      <c r="AA4124">
        <f>LTP3!$D$7-X4124*LTP3!$D$6-Y4124*U4124-Z4124*V4124</f>
        <v/>
      </c>
      <c r="AB4124">
        <f>IF(AND(F4124,ABS(W4124)&gt;1E-12,Y4124&gt;0,Z4124&gt;0),AA4124,1E+300)</f>
        <v/>
      </c>
    </row>
    <row r="4125">
      <c r="A4125">
        <f>$I$3-$B$5+$B$5*18/10</f>
        <v/>
      </c>
      <c r="B4125">
        <f>$J$3-$B$5+$B$5*11/10</f>
        <v/>
      </c>
      <c r="C4125">
        <f>SUMPRODUCT(Calc!$K$3:$K$22*(Calc!$G$3:$G$22&lt;=A4125))</f>
        <v/>
      </c>
      <c r="D4125">
        <f>SUMPRODUCT(Calc!$K$3:$K$22*(Calc!$G$3:$G$22&gt;A4125)*(Calc!$G$3:$G$22&lt;B4125))</f>
        <v/>
      </c>
      <c r="E4125">
        <f>SUMPRODUCT(Calc!$K$3:$K$22*(Calc!$G$3:$G$22&gt;=B4125))</f>
        <v/>
      </c>
      <c r="F4125">
        <f>AND(k_n&gt;=5,B4125&gt;A4125+1E-9,C4125&gt;=2,D4125&gt;=1,E4125&gt;=2)</f>
        <v/>
      </c>
      <c r="G4125">
        <f>SUMPRODUCT(Calc!$K$3:$K$22*(Calc!$G$3:$G$22&gt;A4125)*(Calc!$G$3:$G$22-A4125))</f>
        <v/>
      </c>
      <c r="H4125">
        <f>SUMPRODUCT(Calc!$K$3:$K$22*(Calc!$G$3:$G$22&gt;B4125)*(Calc!$G$3:$G$22-B4125))</f>
        <v/>
      </c>
      <c r="I4125">
        <f>SUMPRODUCT(Calc!$K$3:$K$22*(Calc!$G$3:$G$22&gt;A4125)*(Calc!$G$3:$G$22-A4125)^2)</f>
        <v/>
      </c>
      <c r="J4125">
        <f>SUMPRODUCT(Calc!$K$3:$K$22*(Calc!$G$3:$G$22&gt;B4125)*(Calc!$G$3:$G$22-B4125)^2)</f>
        <v/>
      </c>
      <c r="K4125">
        <f>SUMPRODUCT(Calc!$K$3:$K$22*(Calc!$G$3:$G$22&gt;A4125)*(Calc!$G$3:$G$22-A4125)*(Calc!$G$3:$G$22&gt;B4125)*(Calc!$G$3:$G$22-B4125))</f>
        <v/>
      </c>
      <c r="L4125">
        <f>SUMPRODUCT(Calc!$K$3:$K$22*(Calc!$G$3:$G$22&gt;A4125)*(Calc!$G$3:$G$22-A4125)*Calc!$G$3:$G$22)</f>
        <v/>
      </c>
      <c r="M4125">
        <f>SUMPRODUCT(Calc!$K$3:$K$22*(Calc!$G$3:$G$22&gt;B4125)*(Calc!$G$3:$G$22-B4125)*Calc!$G$3:$G$22)</f>
        <v/>
      </c>
      <c r="N4125">
        <f>SUMPRODUCT(Calc!$K$3:$K$22*(Calc!$G$3:$G$22&gt;A4125)*(Calc!$G$3:$G$22-A4125)*Calc!$I$3:$I$22)</f>
        <v/>
      </c>
      <c r="O4125">
        <f>SUMPRODUCT(Calc!$K$3:$K$22*(Calc!$G$3:$G$22&gt;B4125)*(Calc!$G$3:$G$22-B4125)*Calc!$I$3:$I$22)</f>
        <v/>
      </c>
      <c r="P4125">
        <f>I4125-G4125^2/k_n</f>
        <v/>
      </c>
      <c r="Q4125">
        <f>J4125-H4125^2/k_n</f>
        <v/>
      </c>
      <c r="R4125">
        <f>K4125-G4125*H4125/k_n</f>
        <v/>
      </c>
      <c r="S4125">
        <f>L4125-LTP3!$D$3*G4125/k_n</f>
        <v/>
      </c>
      <c r="T4125">
        <f>M4125-LTP3!$D$3*H4125/k_n</f>
        <v/>
      </c>
      <c r="U4125">
        <f>N4125-G4125*LTP3!$D$4/k_n</f>
        <v/>
      </c>
      <c r="V4125">
        <f>O4125-H4125*LTP3!$D$4/k_n</f>
        <v/>
      </c>
      <c r="W4125">
        <f>((LTP3!$D$5)*((P4125)*(Q4125)-(R4125)*(R4125))-(S4125)*((S4125)*(Q4125)-(R4125)*(T4125))+(T4125)*((S4125)*(R4125)-(P4125)*(T4125)))</f>
        <v/>
      </c>
      <c r="X4125">
        <f>IF(ABS(W4125)&gt;1E-12,((LTP3!$D$6)*((P4125)*(Q4125)-(R4125)*(R4125))-(S4125)*((U4125)*(Q4125)-(R4125)*(V4125))+(T4125)*((U4125)*(R4125)-(P4125)*(V4125)))/W4125,0)</f>
        <v/>
      </c>
      <c r="Y4125">
        <f>IF(ABS(W4125)&gt;1E-12,((LTP3!$D$5)*((U4125)*(Q4125)-(R4125)*(V4125))-(LTP3!$D$6)*((S4125)*(Q4125)-(R4125)*(T4125))+(T4125)*((S4125)*(V4125)-(U4125)*(T4125)))/W4125,0)</f>
        <v/>
      </c>
      <c r="Z4125">
        <f>IF(ABS(W4125)&gt;1E-12,((LTP3!$D$5)*((P4125)*(V4125)-(U4125)*(R4125))-(S4125)*((S4125)*(V4125)-(U4125)*(T4125))+(LTP3!$D$6)*((S4125)*(R4125)-(P4125)*(T4125)))/W4125,0)</f>
        <v/>
      </c>
      <c r="AA4125">
        <f>LTP3!$D$7-X4125*LTP3!$D$6-Y4125*U4125-Z4125*V4125</f>
        <v/>
      </c>
      <c r="AB4125">
        <f>IF(AND(F4125,ABS(W4125)&gt;1E-12,Y4125&gt;0,Z4125&gt;0),AA4125,1E+300)</f>
        <v/>
      </c>
    </row>
    <row r="4126">
      <c r="A4126">
        <f>$I$3-$B$5+$B$5*18/10</f>
        <v/>
      </c>
      <c r="B4126">
        <f>$J$3-$B$5+$B$5*12/10</f>
        <v/>
      </c>
      <c r="C4126">
        <f>SUMPRODUCT(Calc!$K$3:$K$22*(Calc!$G$3:$G$22&lt;=A4126))</f>
        <v/>
      </c>
      <c r="D4126">
        <f>SUMPRODUCT(Calc!$K$3:$K$22*(Calc!$G$3:$G$22&gt;A4126)*(Calc!$G$3:$G$22&lt;B4126))</f>
        <v/>
      </c>
      <c r="E4126">
        <f>SUMPRODUCT(Calc!$K$3:$K$22*(Calc!$G$3:$G$22&gt;=B4126))</f>
        <v/>
      </c>
      <c r="F4126">
        <f>AND(k_n&gt;=5,B4126&gt;A4126+1E-9,C4126&gt;=2,D4126&gt;=1,E4126&gt;=2)</f>
        <v/>
      </c>
      <c r="G4126">
        <f>SUMPRODUCT(Calc!$K$3:$K$22*(Calc!$G$3:$G$22&gt;A4126)*(Calc!$G$3:$G$22-A4126))</f>
        <v/>
      </c>
      <c r="H4126">
        <f>SUMPRODUCT(Calc!$K$3:$K$22*(Calc!$G$3:$G$22&gt;B4126)*(Calc!$G$3:$G$22-B4126))</f>
        <v/>
      </c>
      <c r="I4126">
        <f>SUMPRODUCT(Calc!$K$3:$K$22*(Calc!$G$3:$G$22&gt;A4126)*(Calc!$G$3:$G$22-A4126)^2)</f>
        <v/>
      </c>
      <c r="J4126">
        <f>SUMPRODUCT(Calc!$K$3:$K$22*(Calc!$G$3:$G$22&gt;B4126)*(Calc!$G$3:$G$22-B4126)^2)</f>
        <v/>
      </c>
      <c r="K4126">
        <f>SUMPRODUCT(Calc!$K$3:$K$22*(Calc!$G$3:$G$22&gt;A4126)*(Calc!$G$3:$G$22-A4126)*(Calc!$G$3:$G$22&gt;B4126)*(Calc!$G$3:$G$22-B4126))</f>
        <v/>
      </c>
      <c r="L4126">
        <f>SUMPRODUCT(Calc!$K$3:$K$22*(Calc!$G$3:$G$22&gt;A4126)*(Calc!$G$3:$G$22-A4126)*Calc!$G$3:$G$22)</f>
        <v/>
      </c>
      <c r="M4126">
        <f>SUMPRODUCT(Calc!$K$3:$K$22*(Calc!$G$3:$G$22&gt;B4126)*(Calc!$G$3:$G$22-B4126)*Calc!$G$3:$G$22)</f>
        <v/>
      </c>
      <c r="N4126">
        <f>SUMPRODUCT(Calc!$K$3:$K$22*(Calc!$G$3:$G$22&gt;A4126)*(Calc!$G$3:$G$22-A4126)*Calc!$I$3:$I$22)</f>
        <v/>
      </c>
      <c r="O4126">
        <f>SUMPRODUCT(Calc!$K$3:$K$22*(Calc!$G$3:$G$22&gt;B4126)*(Calc!$G$3:$G$22-B4126)*Calc!$I$3:$I$22)</f>
        <v/>
      </c>
      <c r="P4126">
        <f>I4126-G4126^2/k_n</f>
        <v/>
      </c>
      <c r="Q4126">
        <f>J4126-H4126^2/k_n</f>
        <v/>
      </c>
      <c r="R4126">
        <f>K4126-G4126*H4126/k_n</f>
        <v/>
      </c>
      <c r="S4126">
        <f>L4126-LTP3!$D$3*G4126/k_n</f>
        <v/>
      </c>
      <c r="T4126">
        <f>M4126-LTP3!$D$3*H4126/k_n</f>
        <v/>
      </c>
      <c r="U4126">
        <f>N4126-G4126*LTP3!$D$4/k_n</f>
        <v/>
      </c>
      <c r="V4126">
        <f>O4126-H4126*LTP3!$D$4/k_n</f>
        <v/>
      </c>
      <c r="W4126">
        <f>((LTP3!$D$5)*((P4126)*(Q4126)-(R4126)*(R4126))-(S4126)*((S4126)*(Q4126)-(R4126)*(T4126))+(T4126)*((S4126)*(R4126)-(P4126)*(T4126)))</f>
        <v/>
      </c>
      <c r="X4126">
        <f>IF(ABS(W4126)&gt;1E-12,((LTP3!$D$6)*((P4126)*(Q4126)-(R4126)*(R4126))-(S4126)*((U4126)*(Q4126)-(R4126)*(V4126))+(T4126)*((U4126)*(R4126)-(P4126)*(V4126)))/W4126,0)</f>
        <v/>
      </c>
      <c r="Y4126">
        <f>IF(ABS(W4126)&gt;1E-12,((LTP3!$D$5)*((U4126)*(Q4126)-(R4126)*(V4126))-(LTP3!$D$6)*((S4126)*(Q4126)-(R4126)*(T4126))+(T4126)*((S4126)*(V4126)-(U4126)*(T4126)))/W4126,0)</f>
        <v/>
      </c>
      <c r="Z4126">
        <f>IF(ABS(W4126)&gt;1E-12,((LTP3!$D$5)*((P4126)*(V4126)-(U4126)*(R4126))-(S4126)*((S4126)*(V4126)-(U4126)*(T4126))+(LTP3!$D$6)*((S4126)*(R4126)-(P4126)*(T4126)))/W4126,0)</f>
        <v/>
      </c>
      <c r="AA4126">
        <f>LTP3!$D$7-X4126*LTP3!$D$6-Y4126*U4126-Z4126*V4126</f>
        <v/>
      </c>
      <c r="AB4126">
        <f>IF(AND(F4126,ABS(W4126)&gt;1E-12,Y4126&gt;0,Z4126&gt;0),AA4126,1E+300)</f>
        <v/>
      </c>
    </row>
    <row r="4127">
      <c r="A4127">
        <f>$I$3-$B$5+$B$5*18/10</f>
        <v/>
      </c>
      <c r="B4127">
        <f>$J$3-$B$5+$B$5*13/10</f>
        <v/>
      </c>
      <c r="C4127">
        <f>SUMPRODUCT(Calc!$K$3:$K$22*(Calc!$G$3:$G$22&lt;=A4127))</f>
        <v/>
      </c>
      <c r="D4127">
        <f>SUMPRODUCT(Calc!$K$3:$K$22*(Calc!$G$3:$G$22&gt;A4127)*(Calc!$G$3:$G$22&lt;B4127))</f>
        <v/>
      </c>
      <c r="E4127">
        <f>SUMPRODUCT(Calc!$K$3:$K$22*(Calc!$G$3:$G$22&gt;=B4127))</f>
        <v/>
      </c>
      <c r="F4127">
        <f>AND(k_n&gt;=5,B4127&gt;A4127+1E-9,C4127&gt;=2,D4127&gt;=1,E4127&gt;=2)</f>
        <v/>
      </c>
      <c r="G4127">
        <f>SUMPRODUCT(Calc!$K$3:$K$22*(Calc!$G$3:$G$22&gt;A4127)*(Calc!$G$3:$G$22-A4127))</f>
        <v/>
      </c>
      <c r="H4127">
        <f>SUMPRODUCT(Calc!$K$3:$K$22*(Calc!$G$3:$G$22&gt;B4127)*(Calc!$G$3:$G$22-B4127))</f>
        <v/>
      </c>
      <c r="I4127">
        <f>SUMPRODUCT(Calc!$K$3:$K$22*(Calc!$G$3:$G$22&gt;A4127)*(Calc!$G$3:$G$22-A4127)^2)</f>
        <v/>
      </c>
      <c r="J4127">
        <f>SUMPRODUCT(Calc!$K$3:$K$22*(Calc!$G$3:$G$22&gt;B4127)*(Calc!$G$3:$G$22-B4127)^2)</f>
        <v/>
      </c>
      <c r="K4127">
        <f>SUMPRODUCT(Calc!$K$3:$K$22*(Calc!$G$3:$G$22&gt;A4127)*(Calc!$G$3:$G$22-A4127)*(Calc!$G$3:$G$22&gt;B4127)*(Calc!$G$3:$G$22-B4127))</f>
        <v/>
      </c>
      <c r="L4127">
        <f>SUMPRODUCT(Calc!$K$3:$K$22*(Calc!$G$3:$G$22&gt;A4127)*(Calc!$G$3:$G$22-A4127)*Calc!$G$3:$G$22)</f>
        <v/>
      </c>
      <c r="M4127">
        <f>SUMPRODUCT(Calc!$K$3:$K$22*(Calc!$G$3:$G$22&gt;B4127)*(Calc!$G$3:$G$22-B4127)*Calc!$G$3:$G$22)</f>
        <v/>
      </c>
      <c r="N4127">
        <f>SUMPRODUCT(Calc!$K$3:$K$22*(Calc!$G$3:$G$22&gt;A4127)*(Calc!$G$3:$G$22-A4127)*Calc!$I$3:$I$22)</f>
        <v/>
      </c>
      <c r="O4127">
        <f>SUMPRODUCT(Calc!$K$3:$K$22*(Calc!$G$3:$G$22&gt;B4127)*(Calc!$G$3:$G$22-B4127)*Calc!$I$3:$I$22)</f>
        <v/>
      </c>
      <c r="P4127">
        <f>I4127-G4127^2/k_n</f>
        <v/>
      </c>
      <c r="Q4127">
        <f>J4127-H4127^2/k_n</f>
        <v/>
      </c>
      <c r="R4127">
        <f>K4127-G4127*H4127/k_n</f>
        <v/>
      </c>
      <c r="S4127">
        <f>L4127-LTP3!$D$3*G4127/k_n</f>
        <v/>
      </c>
      <c r="T4127">
        <f>M4127-LTP3!$D$3*H4127/k_n</f>
        <v/>
      </c>
      <c r="U4127">
        <f>N4127-G4127*LTP3!$D$4/k_n</f>
        <v/>
      </c>
      <c r="V4127">
        <f>O4127-H4127*LTP3!$D$4/k_n</f>
        <v/>
      </c>
      <c r="W4127">
        <f>((LTP3!$D$5)*((P4127)*(Q4127)-(R4127)*(R4127))-(S4127)*((S4127)*(Q4127)-(R4127)*(T4127))+(T4127)*((S4127)*(R4127)-(P4127)*(T4127)))</f>
        <v/>
      </c>
      <c r="X4127">
        <f>IF(ABS(W4127)&gt;1E-12,((LTP3!$D$6)*((P4127)*(Q4127)-(R4127)*(R4127))-(S4127)*((U4127)*(Q4127)-(R4127)*(V4127))+(T4127)*((U4127)*(R4127)-(P4127)*(V4127)))/W4127,0)</f>
        <v/>
      </c>
      <c r="Y4127">
        <f>IF(ABS(W4127)&gt;1E-12,((LTP3!$D$5)*((U4127)*(Q4127)-(R4127)*(V4127))-(LTP3!$D$6)*((S4127)*(Q4127)-(R4127)*(T4127))+(T4127)*((S4127)*(V4127)-(U4127)*(T4127)))/W4127,0)</f>
        <v/>
      </c>
      <c r="Z4127">
        <f>IF(ABS(W4127)&gt;1E-12,((LTP3!$D$5)*((P4127)*(V4127)-(U4127)*(R4127))-(S4127)*((S4127)*(V4127)-(U4127)*(T4127))+(LTP3!$D$6)*((S4127)*(R4127)-(P4127)*(T4127)))/W4127,0)</f>
        <v/>
      </c>
      <c r="AA4127">
        <f>LTP3!$D$7-X4127*LTP3!$D$6-Y4127*U4127-Z4127*V4127</f>
        <v/>
      </c>
      <c r="AB4127">
        <f>IF(AND(F4127,ABS(W4127)&gt;1E-12,Y4127&gt;0,Z4127&gt;0),AA4127,1E+300)</f>
        <v/>
      </c>
    </row>
    <row r="4128">
      <c r="A4128">
        <f>$I$3-$B$5+$B$5*18/10</f>
        <v/>
      </c>
      <c r="B4128">
        <f>$J$3-$B$5+$B$5*14/10</f>
        <v/>
      </c>
      <c r="C4128">
        <f>SUMPRODUCT(Calc!$K$3:$K$22*(Calc!$G$3:$G$22&lt;=A4128))</f>
        <v/>
      </c>
      <c r="D4128">
        <f>SUMPRODUCT(Calc!$K$3:$K$22*(Calc!$G$3:$G$22&gt;A4128)*(Calc!$G$3:$G$22&lt;B4128))</f>
        <v/>
      </c>
      <c r="E4128">
        <f>SUMPRODUCT(Calc!$K$3:$K$22*(Calc!$G$3:$G$22&gt;=B4128))</f>
        <v/>
      </c>
      <c r="F4128">
        <f>AND(k_n&gt;=5,B4128&gt;A4128+1E-9,C4128&gt;=2,D4128&gt;=1,E4128&gt;=2)</f>
        <v/>
      </c>
      <c r="G4128">
        <f>SUMPRODUCT(Calc!$K$3:$K$22*(Calc!$G$3:$G$22&gt;A4128)*(Calc!$G$3:$G$22-A4128))</f>
        <v/>
      </c>
      <c r="H4128">
        <f>SUMPRODUCT(Calc!$K$3:$K$22*(Calc!$G$3:$G$22&gt;B4128)*(Calc!$G$3:$G$22-B4128))</f>
        <v/>
      </c>
      <c r="I4128">
        <f>SUMPRODUCT(Calc!$K$3:$K$22*(Calc!$G$3:$G$22&gt;A4128)*(Calc!$G$3:$G$22-A4128)^2)</f>
        <v/>
      </c>
      <c r="J4128">
        <f>SUMPRODUCT(Calc!$K$3:$K$22*(Calc!$G$3:$G$22&gt;B4128)*(Calc!$G$3:$G$22-B4128)^2)</f>
        <v/>
      </c>
      <c r="K4128">
        <f>SUMPRODUCT(Calc!$K$3:$K$22*(Calc!$G$3:$G$22&gt;A4128)*(Calc!$G$3:$G$22-A4128)*(Calc!$G$3:$G$22&gt;B4128)*(Calc!$G$3:$G$22-B4128))</f>
        <v/>
      </c>
      <c r="L4128">
        <f>SUMPRODUCT(Calc!$K$3:$K$22*(Calc!$G$3:$G$22&gt;A4128)*(Calc!$G$3:$G$22-A4128)*Calc!$G$3:$G$22)</f>
        <v/>
      </c>
      <c r="M4128">
        <f>SUMPRODUCT(Calc!$K$3:$K$22*(Calc!$G$3:$G$22&gt;B4128)*(Calc!$G$3:$G$22-B4128)*Calc!$G$3:$G$22)</f>
        <v/>
      </c>
      <c r="N4128">
        <f>SUMPRODUCT(Calc!$K$3:$K$22*(Calc!$G$3:$G$22&gt;A4128)*(Calc!$G$3:$G$22-A4128)*Calc!$I$3:$I$22)</f>
        <v/>
      </c>
      <c r="O4128">
        <f>SUMPRODUCT(Calc!$K$3:$K$22*(Calc!$G$3:$G$22&gt;B4128)*(Calc!$G$3:$G$22-B4128)*Calc!$I$3:$I$22)</f>
        <v/>
      </c>
      <c r="P4128">
        <f>I4128-G4128^2/k_n</f>
        <v/>
      </c>
      <c r="Q4128">
        <f>J4128-H4128^2/k_n</f>
        <v/>
      </c>
      <c r="R4128">
        <f>K4128-G4128*H4128/k_n</f>
        <v/>
      </c>
      <c r="S4128">
        <f>L4128-LTP3!$D$3*G4128/k_n</f>
        <v/>
      </c>
      <c r="T4128">
        <f>M4128-LTP3!$D$3*H4128/k_n</f>
        <v/>
      </c>
      <c r="U4128">
        <f>N4128-G4128*LTP3!$D$4/k_n</f>
        <v/>
      </c>
      <c r="V4128">
        <f>O4128-H4128*LTP3!$D$4/k_n</f>
        <v/>
      </c>
      <c r="W4128">
        <f>((LTP3!$D$5)*((P4128)*(Q4128)-(R4128)*(R4128))-(S4128)*((S4128)*(Q4128)-(R4128)*(T4128))+(T4128)*((S4128)*(R4128)-(P4128)*(T4128)))</f>
        <v/>
      </c>
      <c r="X4128">
        <f>IF(ABS(W4128)&gt;1E-12,((LTP3!$D$6)*((P4128)*(Q4128)-(R4128)*(R4128))-(S4128)*((U4128)*(Q4128)-(R4128)*(V4128))+(T4128)*((U4128)*(R4128)-(P4128)*(V4128)))/W4128,0)</f>
        <v/>
      </c>
      <c r="Y4128">
        <f>IF(ABS(W4128)&gt;1E-12,((LTP3!$D$5)*((U4128)*(Q4128)-(R4128)*(V4128))-(LTP3!$D$6)*((S4128)*(Q4128)-(R4128)*(T4128))+(T4128)*((S4128)*(V4128)-(U4128)*(T4128)))/W4128,0)</f>
        <v/>
      </c>
      <c r="Z4128">
        <f>IF(ABS(W4128)&gt;1E-12,((LTP3!$D$5)*((P4128)*(V4128)-(U4128)*(R4128))-(S4128)*((S4128)*(V4128)-(U4128)*(T4128))+(LTP3!$D$6)*((S4128)*(R4128)-(P4128)*(T4128)))/W4128,0)</f>
        <v/>
      </c>
      <c r="AA4128">
        <f>LTP3!$D$7-X4128*LTP3!$D$6-Y4128*U4128-Z4128*V4128</f>
        <v/>
      </c>
      <c r="AB4128">
        <f>IF(AND(F4128,ABS(W4128)&gt;1E-12,Y4128&gt;0,Z4128&gt;0),AA4128,1E+300)</f>
        <v/>
      </c>
    </row>
    <row r="4129">
      <c r="A4129">
        <f>$I$3-$B$5+$B$5*18/10</f>
        <v/>
      </c>
      <c r="B4129">
        <f>$J$3-$B$5+$B$5*15/10</f>
        <v/>
      </c>
      <c r="C4129">
        <f>SUMPRODUCT(Calc!$K$3:$K$22*(Calc!$G$3:$G$22&lt;=A4129))</f>
        <v/>
      </c>
      <c r="D4129">
        <f>SUMPRODUCT(Calc!$K$3:$K$22*(Calc!$G$3:$G$22&gt;A4129)*(Calc!$G$3:$G$22&lt;B4129))</f>
        <v/>
      </c>
      <c r="E4129">
        <f>SUMPRODUCT(Calc!$K$3:$K$22*(Calc!$G$3:$G$22&gt;=B4129))</f>
        <v/>
      </c>
      <c r="F4129">
        <f>AND(k_n&gt;=5,B4129&gt;A4129+1E-9,C4129&gt;=2,D4129&gt;=1,E4129&gt;=2)</f>
        <v/>
      </c>
      <c r="G4129">
        <f>SUMPRODUCT(Calc!$K$3:$K$22*(Calc!$G$3:$G$22&gt;A4129)*(Calc!$G$3:$G$22-A4129))</f>
        <v/>
      </c>
      <c r="H4129">
        <f>SUMPRODUCT(Calc!$K$3:$K$22*(Calc!$G$3:$G$22&gt;B4129)*(Calc!$G$3:$G$22-B4129))</f>
        <v/>
      </c>
      <c r="I4129">
        <f>SUMPRODUCT(Calc!$K$3:$K$22*(Calc!$G$3:$G$22&gt;A4129)*(Calc!$G$3:$G$22-A4129)^2)</f>
        <v/>
      </c>
      <c r="J4129">
        <f>SUMPRODUCT(Calc!$K$3:$K$22*(Calc!$G$3:$G$22&gt;B4129)*(Calc!$G$3:$G$22-B4129)^2)</f>
        <v/>
      </c>
      <c r="K4129">
        <f>SUMPRODUCT(Calc!$K$3:$K$22*(Calc!$G$3:$G$22&gt;A4129)*(Calc!$G$3:$G$22-A4129)*(Calc!$G$3:$G$22&gt;B4129)*(Calc!$G$3:$G$22-B4129))</f>
        <v/>
      </c>
      <c r="L4129">
        <f>SUMPRODUCT(Calc!$K$3:$K$22*(Calc!$G$3:$G$22&gt;A4129)*(Calc!$G$3:$G$22-A4129)*Calc!$G$3:$G$22)</f>
        <v/>
      </c>
      <c r="M4129">
        <f>SUMPRODUCT(Calc!$K$3:$K$22*(Calc!$G$3:$G$22&gt;B4129)*(Calc!$G$3:$G$22-B4129)*Calc!$G$3:$G$22)</f>
        <v/>
      </c>
      <c r="N4129">
        <f>SUMPRODUCT(Calc!$K$3:$K$22*(Calc!$G$3:$G$22&gt;A4129)*(Calc!$G$3:$G$22-A4129)*Calc!$I$3:$I$22)</f>
        <v/>
      </c>
      <c r="O4129">
        <f>SUMPRODUCT(Calc!$K$3:$K$22*(Calc!$G$3:$G$22&gt;B4129)*(Calc!$G$3:$G$22-B4129)*Calc!$I$3:$I$22)</f>
        <v/>
      </c>
      <c r="P4129">
        <f>I4129-G4129^2/k_n</f>
        <v/>
      </c>
      <c r="Q4129">
        <f>J4129-H4129^2/k_n</f>
        <v/>
      </c>
      <c r="R4129">
        <f>K4129-G4129*H4129/k_n</f>
        <v/>
      </c>
      <c r="S4129">
        <f>L4129-LTP3!$D$3*G4129/k_n</f>
        <v/>
      </c>
      <c r="T4129">
        <f>M4129-LTP3!$D$3*H4129/k_n</f>
        <v/>
      </c>
      <c r="U4129">
        <f>N4129-G4129*LTP3!$D$4/k_n</f>
        <v/>
      </c>
      <c r="V4129">
        <f>O4129-H4129*LTP3!$D$4/k_n</f>
        <v/>
      </c>
      <c r="W4129">
        <f>((LTP3!$D$5)*((P4129)*(Q4129)-(R4129)*(R4129))-(S4129)*((S4129)*(Q4129)-(R4129)*(T4129))+(T4129)*((S4129)*(R4129)-(P4129)*(T4129)))</f>
        <v/>
      </c>
      <c r="X4129">
        <f>IF(ABS(W4129)&gt;1E-12,((LTP3!$D$6)*((P4129)*(Q4129)-(R4129)*(R4129))-(S4129)*((U4129)*(Q4129)-(R4129)*(V4129))+(T4129)*((U4129)*(R4129)-(P4129)*(V4129)))/W4129,0)</f>
        <v/>
      </c>
      <c r="Y4129">
        <f>IF(ABS(W4129)&gt;1E-12,((LTP3!$D$5)*((U4129)*(Q4129)-(R4129)*(V4129))-(LTP3!$D$6)*((S4129)*(Q4129)-(R4129)*(T4129))+(T4129)*((S4129)*(V4129)-(U4129)*(T4129)))/W4129,0)</f>
        <v/>
      </c>
      <c r="Z4129">
        <f>IF(ABS(W4129)&gt;1E-12,((LTP3!$D$5)*((P4129)*(V4129)-(U4129)*(R4129))-(S4129)*((S4129)*(V4129)-(U4129)*(T4129))+(LTP3!$D$6)*((S4129)*(R4129)-(P4129)*(T4129)))/W4129,0)</f>
        <v/>
      </c>
      <c r="AA4129">
        <f>LTP3!$D$7-X4129*LTP3!$D$6-Y4129*U4129-Z4129*V4129</f>
        <v/>
      </c>
      <c r="AB4129">
        <f>IF(AND(F4129,ABS(W4129)&gt;1E-12,Y4129&gt;0,Z4129&gt;0),AA4129,1E+300)</f>
        <v/>
      </c>
    </row>
    <row r="4130">
      <c r="A4130">
        <f>$I$3-$B$5+$B$5*18/10</f>
        <v/>
      </c>
      <c r="B4130">
        <f>$J$3-$B$5+$B$5*16/10</f>
        <v/>
      </c>
      <c r="C4130">
        <f>SUMPRODUCT(Calc!$K$3:$K$22*(Calc!$G$3:$G$22&lt;=A4130))</f>
        <v/>
      </c>
      <c r="D4130">
        <f>SUMPRODUCT(Calc!$K$3:$K$22*(Calc!$G$3:$G$22&gt;A4130)*(Calc!$G$3:$G$22&lt;B4130))</f>
        <v/>
      </c>
      <c r="E4130">
        <f>SUMPRODUCT(Calc!$K$3:$K$22*(Calc!$G$3:$G$22&gt;=B4130))</f>
        <v/>
      </c>
      <c r="F4130">
        <f>AND(k_n&gt;=5,B4130&gt;A4130+1E-9,C4130&gt;=2,D4130&gt;=1,E4130&gt;=2)</f>
        <v/>
      </c>
      <c r="G4130">
        <f>SUMPRODUCT(Calc!$K$3:$K$22*(Calc!$G$3:$G$22&gt;A4130)*(Calc!$G$3:$G$22-A4130))</f>
        <v/>
      </c>
      <c r="H4130">
        <f>SUMPRODUCT(Calc!$K$3:$K$22*(Calc!$G$3:$G$22&gt;B4130)*(Calc!$G$3:$G$22-B4130))</f>
        <v/>
      </c>
      <c r="I4130">
        <f>SUMPRODUCT(Calc!$K$3:$K$22*(Calc!$G$3:$G$22&gt;A4130)*(Calc!$G$3:$G$22-A4130)^2)</f>
        <v/>
      </c>
      <c r="J4130">
        <f>SUMPRODUCT(Calc!$K$3:$K$22*(Calc!$G$3:$G$22&gt;B4130)*(Calc!$G$3:$G$22-B4130)^2)</f>
        <v/>
      </c>
      <c r="K4130">
        <f>SUMPRODUCT(Calc!$K$3:$K$22*(Calc!$G$3:$G$22&gt;A4130)*(Calc!$G$3:$G$22-A4130)*(Calc!$G$3:$G$22&gt;B4130)*(Calc!$G$3:$G$22-B4130))</f>
        <v/>
      </c>
      <c r="L4130">
        <f>SUMPRODUCT(Calc!$K$3:$K$22*(Calc!$G$3:$G$22&gt;A4130)*(Calc!$G$3:$G$22-A4130)*Calc!$G$3:$G$22)</f>
        <v/>
      </c>
      <c r="M4130">
        <f>SUMPRODUCT(Calc!$K$3:$K$22*(Calc!$G$3:$G$22&gt;B4130)*(Calc!$G$3:$G$22-B4130)*Calc!$G$3:$G$22)</f>
        <v/>
      </c>
      <c r="N4130">
        <f>SUMPRODUCT(Calc!$K$3:$K$22*(Calc!$G$3:$G$22&gt;A4130)*(Calc!$G$3:$G$22-A4130)*Calc!$I$3:$I$22)</f>
        <v/>
      </c>
      <c r="O4130">
        <f>SUMPRODUCT(Calc!$K$3:$K$22*(Calc!$G$3:$G$22&gt;B4130)*(Calc!$G$3:$G$22-B4130)*Calc!$I$3:$I$22)</f>
        <v/>
      </c>
      <c r="P4130">
        <f>I4130-G4130^2/k_n</f>
        <v/>
      </c>
      <c r="Q4130">
        <f>J4130-H4130^2/k_n</f>
        <v/>
      </c>
      <c r="R4130">
        <f>K4130-G4130*H4130/k_n</f>
        <v/>
      </c>
      <c r="S4130">
        <f>L4130-LTP3!$D$3*G4130/k_n</f>
        <v/>
      </c>
      <c r="T4130">
        <f>M4130-LTP3!$D$3*H4130/k_n</f>
        <v/>
      </c>
      <c r="U4130">
        <f>N4130-G4130*LTP3!$D$4/k_n</f>
        <v/>
      </c>
      <c r="V4130">
        <f>O4130-H4130*LTP3!$D$4/k_n</f>
        <v/>
      </c>
      <c r="W4130">
        <f>((LTP3!$D$5)*((P4130)*(Q4130)-(R4130)*(R4130))-(S4130)*((S4130)*(Q4130)-(R4130)*(T4130))+(T4130)*((S4130)*(R4130)-(P4130)*(T4130)))</f>
        <v/>
      </c>
      <c r="X4130">
        <f>IF(ABS(W4130)&gt;1E-12,((LTP3!$D$6)*((P4130)*(Q4130)-(R4130)*(R4130))-(S4130)*((U4130)*(Q4130)-(R4130)*(V4130))+(T4130)*((U4130)*(R4130)-(P4130)*(V4130)))/W4130,0)</f>
        <v/>
      </c>
      <c r="Y4130">
        <f>IF(ABS(W4130)&gt;1E-12,((LTP3!$D$5)*((U4130)*(Q4130)-(R4130)*(V4130))-(LTP3!$D$6)*((S4130)*(Q4130)-(R4130)*(T4130))+(T4130)*((S4130)*(V4130)-(U4130)*(T4130)))/W4130,0)</f>
        <v/>
      </c>
      <c r="Z4130">
        <f>IF(ABS(W4130)&gt;1E-12,((LTP3!$D$5)*((P4130)*(V4130)-(U4130)*(R4130))-(S4130)*((S4130)*(V4130)-(U4130)*(T4130))+(LTP3!$D$6)*((S4130)*(R4130)-(P4130)*(T4130)))/W4130,0)</f>
        <v/>
      </c>
      <c r="AA4130">
        <f>LTP3!$D$7-X4130*LTP3!$D$6-Y4130*U4130-Z4130*V4130</f>
        <v/>
      </c>
      <c r="AB4130">
        <f>IF(AND(F4130,ABS(W4130)&gt;1E-12,Y4130&gt;0,Z4130&gt;0),AA4130,1E+300)</f>
        <v/>
      </c>
    </row>
    <row r="4131">
      <c r="A4131">
        <f>$I$3-$B$5+$B$5*18/10</f>
        <v/>
      </c>
      <c r="B4131">
        <f>$J$3-$B$5+$B$5*17/10</f>
        <v/>
      </c>
      <c r="C4131">
        <f>SUMPRODUCT(Calc!$K$3:$K$22*(Calc!$G$3:$G$22&lt;=A4131))</f>
        <v/>
      </c>
      <c r="D4131">
        <f>SUMPRODUCT(Calc!$K$3:$K$22*(Calc!$G$3:$G$22&gt;A4131)*(Calc!$G$3:$G$22&lt;B4131))</f>
        <v/>
      </c>
      <c r="E4131">
        <f>SUMPRODUCT(Calc!$K$3:$K$22*(Calc!$G$3:$G$22&gt;=B4131))</f>
        <v/>
      </c>
      <c r="F4131">
        <f>AND(k_n&gt;=5,B4131&gt;A4131+1E-9,C4131&gt;=2,D4131&gt;=1,E4131&gt;=2)</f>
        <v/>
      </c>
      <c r="G4131">
        <f>SUMPRODUCT(Calc!$K$3:$K$22*(Calc!$G$3:$G$22&gt;A4131)*(Calc!$G$3:$G$22-A4131))</f>
        <v/>
      </c>
      <c r="H4131">
        <f>SUMPRODUCT(Calc!$K$3:$K$22*(Calc!$G$3:$G$22&gt;B4131)*(Calc!$G$3:$G$22-B4131))</f>
        <v/>
      </c>
      <c r="I4131">
        <f>SUMPRODUCT(Calc!$K$3:$K$22*(Calc!$G$3:$G$22&gt;A4131)*(Calc!$G$3:$G$22-A4131)^2)</f>
        <v/>
      </c>
      <c r="J4131">
        <f>SUMPRODUCT(Calc!$K$3:$K$22*(Calc!$G$3:$G$22&gt;B4131)*(Calc!$G$3:$G$22-B4131)^2)</f>
        <v/>
      </c>
      <c r="K4131">
        <f>SUMPRODUCT(Calc!$K$3:$K$22*(Calc!$G$3:$G$22&gt;A4131)*(Calc!$G$3:$G$22-A4131)*(Calc!$G$3:$G$22&gt;B4131)*(Calc!$G$3:$G$22-B4131))</f>
        <v/>
      </c>
      <c r="L4131">
        <f>SUMPRODUCT(Calc!$K$3:$K$22*(Calc!$G$3:$G$22&gt;A4131)*(Calc!$G$3:$G$22-A4131)*Calc!$G$3:$G$22)</f>
        <v/>
      </c>
      <c r="M4131">
        <f>SUMPRODUCT(Calc!$K$3:$K$22*(Calc!$G$3:$G$22&gt;B4131)*(Calc!$G$3:$G$22-B4131)*Calc!$G$3:$G$22)</f>
        <v/>
      </c>
      <c r="N4131">
        <f>SUMPRODUCT(Calc!$K$3:$K$22*(Calc!$G$3:$G$22&gt;A4131)*(Calc!$G$3:$G$22-A4131)*Calc!$I$3:$I$22)</f>
        <v/>
      </c>
      <c r="O4131">
        <f>SUMPRODUCT(Calc!$K$3:$K$22*(Calc!$G$3:$G$22&gt;B4131)*(Calc!$G$3:$G$22-B4131)*Calc!$I$3:$I$22)</f>
        <v/>
      </c>
      <c r="P4131">
        <f>I4131-G4131^2/k_n</f>
        <v/>
      </c>
      <c r="Q4131">
        <f>J4131-H4131^2/k_n</f>
        <v/>
      </c>
      <c r="R4131">
        <f>K4131-G4131*H4131/k_n</f>
        <v/>
      </c>
      <c r="S4131">
        <f>L4131-LTP3!$D$3*G4131/k_n</f>
        <v/>
      </c>
      <c r="T4131">
        <f>M4131-LTP3!$D$3*H4131/k_n</f>
        <v/>
      </c>
      <c r="U4131">
        <f>N4131-G4131*LTP3!$D$4/k_n</f>
        <v/>
      </c>
      <c r="V4131">
        <f>O4131-H4131*LTP3!$D$4/k_n</f>
        <v/>
      </c>
      <c r="W4131">
        <f>((LTP3!$D$5)*((P4131)*(Q4131)-(R4131)*(R4131))-(S4131)*((S4131)*(Q4131)-(R4131)*(T4131))+(T4131)*((S4131)*(R4131)-(P4131)*(T4131)))</f>
        <v/>
      </c>
      <c r="X4131">
        <f>IF(ABS(W4131)&gt;1E-12,((LTP3!$D$6)*((P4131)*(Q4131)-(R4131)*(R4131))-(S4131)*((U4131)*(Q4131)-(R4131)*(V4131))+(T4131)*((U4131)*(R4131)-(P4131)*(V4131)))/W4131,0)</f>
        <v/>
      </c>
      <c r="Y4131">
        <f>IF(ABS(W4131)&gt;1E-12,((LTP3!$D$5)*((U4131)*(Q4131)-(R4131)*(V4131))-(LTP3!$D$6)*((S4131)*(Q4131)-(R4131)*(T4131))+(T4131)*((S4131)*(V4131)-(U4131)*(T4131)))/W4131,0)</f>
        <v/>
      </c>
      <c r="Z4131">
        <f>IF(ABS(W4131)&gt;1E-12,((LTP3!$D$5)*((P4131)*(V4131)-(U4131)*(R4131))-(S4131)*((S4131)*(V4131)-(U4131)*(T4131))+(LTP3!$D$6)*((S4131)*(R4131)-(P4131)*(T4131)))/W4131,0)</f>
        <v/>
      </c>
      <c r="AA4131">
        <f>LTP3!$D$7-X4131*LTP3!$D$6-Y4131*U4131-Z4131*V4131</f>
        <v/>
      </c>
      <c r="AB4131">
        <f>IF(AND(F4131,ABS(W4131)&gt;1E-12,Y4131&gt;0,Z4131&gt;0),AA4131,1E+300)</f>
        <v/>
      </c>
    </row>
    <row r="4132">
      <c r="A4132">
        <f>$I$3-$B$5+$B$5*18/10</f>
        <v/>
      </c>
      <c r="B4132">
        <f>$J$3-$B$5+$B$5*18/10</f>
        <v/>
      </c>
      <c r="C4132">
        <f>SUMPRODUCT(Calc!$K$3:$K$22*(Calc!$G$3:$G$22&lt;=A4132))</f>
        <v/>
      </c>
      <c r="D4132">
        <f>SUMPRODUCT(Calc!$K$3:$K$22*(Calc!$G$3:$G$22&gt;A4132)*(Calc!$G$3:$G$22&lt;B4132))</f>
        <v/>
      </c>
      <c r="E4132">
        <f>SUMPRODUCT(Calc!$K$3:$K$22*(Calc!$G$3:$G$22&gt;=B4132))</f>
        <v/>
      </c>
      <c r="F4132">
        <f>AND(k_n&gt;=5,B4132&gt;A4132+1E-9,C4132&gt;=2,D4132&gt;=1,E4132&gt;=2)</f>
        <v/>
      </c>
      <c r="G4132">
        <f>SUMPRODUCT(Calc!$K$3:$K$22*(Calc!$G$3:$G$22&gt;A4132)*(Calc!$G$3:$G$22-A4132))</f>
        <v/>
      </c>
      <c r="H4132">
        <f>SUMPRODUCT(Calc!$K$3:$K$22*(Calc!$G$3:$G$22&gt;B4132)*(Calc!$G$3:$G$22-B4132))</f>
        <v/>
      </c>
      <c r="I4132">
        <f>SUMPRODUCT(Calc!$K$3:$K$22*(Calc!$G$3:$G$22&gt;A4132)*(Calc!$G$3:$G$22-A4132)^2)</f>
        <v/>
      </c>
      <c r="J4132">
        <f>SUMPRODUCT(Calc!$K$3:$K$22*(Calc!$G$3:$G$22&gt;B4132)*(Calc!$G$3:$G$22-B4132)^2)</f>
        <v/>
      </c>
      <c r="K4132">
        <f>SUMPRODUCT(Calc!$K$3:$K$22*(Calc!$G$3:$G$22&gt;A4132)*(Calc!$G$3:$G$22-A4132)*(Calc!$G$3:$G$22&gt;B4132)*(Calc!$G$3:$G$22-B4132))</f>
        <v/>
      </c>
      <c r="L4132">
        <f>SUMPRODUCT(Calc!$K$3:$K$22*(Calc!$G$3:$G$22&gt;A4132)*(Calc!$G$3:$G$22-A4132)*Calc!$G$3:$G$22)</f>
        <v/>
      </c>
      <c r="M4132">
        <f>SUMPRODUCT(Calc!$K$3:$K$22*(Calc!$G$3:$G$22&gt;B4132)*(Calc!$G$3:$G$22-B4132)*Calc!$G$3:$G$22)</f>
        <v/>
      </c>
      <c r="N4132">
        <f>SUMPRODUCT(Calc!$K$3:$K$22*(Calc!$G$3:$G$22&gt;A4132)*(Calc!$G$3:$G$22-A4132)*Calc!$I$3:$I$22)</f>
        <v/>
      </c>
      <c r="O4132">
        <f>SUMPRODUCT(Calc!$K$3:$K$22*(Calc!$G$3:$G$22&gt;B4132)*(Calc!$G$3:$G$22-B4132)*Calc!$I$3:$I$22)</f>
        <v/>
      </c>
      <c r="P4132">
        <f>I4132-G4132^2/k_n</f>
        <v/>
      </c>
      <c r="Q4132">
        <f>J4132-H4132^2/k_n</f>
        <v/>
      </c>
      <c r="R4132">
        <f>K4132-G4132*H4132/k_n</f>
        <v/>
      </c>
      <c r="S4132">
        <f>L4132-LTP3!$D$3*G4132/k_n</f>
        <v/>
      </c>
      <c r="T4132">
        <f>M4132-LTP3!$D$3*H4132/k_n</f>
        <v/>
      </c>
      <c r="U4132">
        <f>N4132-G4132*LTP3!$D$4/k_n</f>
        <v/>
      </c>
      <c r="V4132">
        <f>O4132-H4132*LTP3!$D$4/k_n</f>
        <v/>
      </c>
      <c r="W4132">
        <f>((LTP3!$D$5)*((P4132)*(Q4132)-(R4132)*(R4132))-(S4132)*((S4132)*(Q4132)-(R4132)*(T4132))+(T4132)*((S4132)*(R4132)-(P4132)*(T4132)))</f>
        <v/>
      </c>
      <c r="X4132">
        <f>IF(ABS(W4132)&gt;1E-12,((LTP3!$D$6)*((P4132)*(Q4132)-(R4132)*(R4132))-(S4132)*((U4132)*(Q4132)-(R4132)*(V4132))+(T4132)*((U4132)*(R4132)-(P4132)*(V4132)))/W4132,0)</f>
        <v/>
      </c>
      <c r="Y4132">
        <f>IF(ABS(W4132)&gt;1E-12,((LTP3!$D$5)*((U4132)*(Q4132)-(R4132)*(V4132))-(LTP3!$D$6)*((S4132)*(Q4132)-(R4132)*(T4132))+(T4132)*((S4132)*(V4132)-(U4132)*(T4132)))/W4132,0)</f>
        <v/>
      </c>
      <c r="Z4132">
        <f>IF(ABS(W4132)&gt;1E-12,((LTP3!$D$5)*((P4132)*(V4132)-(U4132)*(R4132))-(S4132)*((S4132)*(V4132)-(U4132)*(T4132))+(LTP3!$D$6)*((S4132)*(R4132)-(P4132)*(T4132)))/W4132,0)</f>
        <v/>
      </c>
      <c r="AA4132">
        <f>LTP3!$D$7-X4132*LTP3!$D$6-Y4132*U4132-Z4132*V4132</f>
        <v/>
      </c>
      <c r="AB4132">
        <f>IF(AND(F4132,ABS(W4132)&gt;1E-12,Y4132&gt;0,Z4132&gt;0),AA4132,1E+300)</f>
        <v/>
      </c>
    </row>
    <row r="4133">
      <c r="A4133">
        <f>$I$3-$B$5+$B$5*18/10</f>
        <v/>
      </c>
      <c r="B4133">
        <f>$J$3-$B$5+$B$5*19/10</f>
        <v/>
      </c>
      <c r="C4133">
        <f>SUMPRODUCT(Calc!$K$3:$K$22*(Calc!$G$3:$G$22&lt;=A4133))</f>
        <v/>
      </c>
      <c r="D4133">
        <f>SUMPRODUCT(Calc!$K$3:$K$22*(Calc!$G$3:$G$22&gt;A4133)*(Calc!$G$3:$G$22&lt;B4133))</f>
        <v/>
      </c>
      <c r="E4133">
        <f>SUMPRODUCT(Calc!$K$3:$K$22*(Calc!$G$3:$G$22&gt;=B4133))</f>
        <v/>
      </c>
      <c r="F4133">
        <f>AND(k_n&gt;=5,B4133&gt;A4133+1E-9,C4133&gt;=2,D4133&gt;=1,E4133&gt;=2)</f>
        <v/>
      </c>
      <c r="G4133">
        <f>SUMPRODUCT(Calc!$K$3:$K$22*(Calc!$G$3:$G$22&gt;A4133)*(Calc!$G$3:$G$22-A4133))</f>
        <v/>
      </c>
      <c r="H4133">
        <f>SUMPRODUCT(Calc!$K$3:$K$22*(Calc!$G$3:$G$22&gt;B4133)*(Calc!$G$3:$G$22-B4133))</f>
        <v/>
      </c>
      <c r="I4133">
        <f>SUMPRODUCT(Calc!$K$3:$K$22*(Calc!$G$3:$G$22&gt;A4133)*(Calc!$G$3:$G$22-A4133)^2)</f>
        <v/>
      </c>
      <c r="J4133">
        <f>SUMPRODUCT(Calc!$K$3:$K$22*(Calc!$G$3:$G$22&gt;B4133)*(Calc!$G$3:$G$22-B4133)^2)</f>
        <v/>
      </c>
      <c r="K4133">
        <f>SUMPRODUCT(Calc!$K$3:$K$22*(Calc!$G$3:$G$22&gt;A4133)*(Calc!$G$3:$G$22-A4133)*(Calc!$G$3:$G$22&gt;B4133)*(Calc!$G$3:$G$22-B4133))</f>
        <v/>
      </c>
      <c r="L4133">
        <f>SUMPRODUCT(Calc!$K$3:$K$22*(Calc!$G$3:$G$22&gt;A4133)*(Calc!$G$3:$G$22-A4133)*Calc!$G$3:$G$22)</f>
        <v/>
      </c>
      <c r="M4133">
        <f>SUMPRODUCT(Calc!$K$3:$K$22*(Calc!$G$3:$G$22&gt;B4133)*(Calc!$G$3:$G$22-B4133)*Calc!$G$3:$G$22)</f>
        <v/>
      </c>
      <c r="N4133">
        <f>SUMPRODUCT(Calc!$K$3:$K$22*(Calc!$G$3:$G$22&gt;A4133)*(Calc!$G$3:$G$22-A4133)*Calc!$I$3:$I$22)</f>
        <v/>
      </c>
      <c r="O4133">
        <f>SUMPRODUCT(Calc!$K$3:$K$22*(Calc!$G$3:$G$22&gt;B4133)*(Calc!$G$3:$G$22-B4133)*Calc!$I$3:$I$22)</f>
        <v/>
      </c>
      <c r="P4133">
        <f>I4133-G4133^2/k_n</f>
        <v/>
      </c>
      <c r="Q4133">
        <f>J4133-H4133^2/k_n</f>
        <v/>
      </c>
      <c r="R4133">
        <f>K4133-G4133*H4133/k_n</f>
        <v/>
      </c>
      <c r="S4133">
        <f>L4133-LTP3!$D$3*G4133/k_n</f>
        <v/>
      </c>
      <c r="T4133">
        <f>M4133-LTP3!$D$3*H4133/k_n</f>
        <v/>
      </c>
      <c r="U4133">
        <f>N4133-G4133*LTP3!$D$4/k_n</f>
        <v/>
      </c>
      <c r="V4133">
        <f>O4133-H4133*LTP3!$D$4/k_n</f>
        <v/>
      </c>
      <c r="W4133">
        <f>((LTP3!$D$5)*((P4133)*(Q4133)-(R4133)*(R4133))-(S4133)*((S4133)*(Q4133)-(R4133)*(T4133))+(T4133)*((S4133)*(R4133)-(P4133)*(T4133)))</f>
        <v/>
      </c>
      <c r="X4133">
        <f>IF(ABS(W4133)&gt;1E-12,((LTP3!$D$6)*((P4133)*(Q4133)-(R4133)*(R4133))-(S4133)*((U4133)*(Q4133)-(R4133)*(V4133))+(T4133)*((U4133)*(R4133)-(P4133)*(V4133)))/W4133,0)</f>
        <v/>
      </c>
      <c r="Y4133">
        <f>IF(ABS(W4133)&gt;1E-12,((LTP3!$D$5)*((U4133)*(Q4133)-(R4133)*(V4133))-(LTP3!$D$6)*((S4133)*(Q4133)-(R4133)*(T4133))+(T4133)*((S4133)*(V4133)-(U4133)*(T4133)))/W4133,0)</f>
        <v/>
      </c>
      <c r="Z4133">
        <f>IF(ABS(W4133)&gt;1E-12,((LTP3!$D$5)*((P4133)*(V4133)-(U4133)*(R4133))-(S4133)*((S4133)*(V4133)-(U4133)*(T4133))+(LTP3!$D$6)*((S4133)*(R4133)-(P4133)*(T4133)))/W4133,0)</f>
        <v/>
      </c>
      <c r="AA4133">
        <f>LTP3!$D$7-X4133*LTP3!$D$6-Y4133*U4133-Z4133*V4133</f>
        <v/>
      </c>
      <c r="AB4133">
        <f>IF(AND(F4133,ABS(W4133)&gt;1E-12,Y4133&gt;0,Z4133&gt;0),AA4133,1E+300)</f>
        <v/>
      </c>
    </row>
    <row r="4134">
      <c r="A4134">
        <f>$I$3-$B$5+$B$5*18/10</f>
        <v/>
      </c>
      <c r="B4134">
        <f>$J$3-$B$5+$B$5*20/10</f>
        <v/>
      </c>
      <c r="C4134">
        <f>SUMPRODUCT(Calc!$K$3:$K$22*(Calc!$G$3:$G$22&lt;=A4134))</f>
        <v/>
      </c>
      <c r="D4134">
        <f>SUMPRODUCT(Calc!$K$3:$K$22*(Calc!$G$3:$G$22&gt;A4134)*(Calc!$G$3:$G$22&lt;B4134))</f>
        <v/>
      </c>
      <c r="E4134">
        <f>SUMPRODUCT(Calc!$K$3:$K$22*(Calc!$G$3:$G$22&gt;=B4134))</f>
        <v/>
      </c>
      <c r="F4134">
        <f>AND(k_n&gt;=5,B4134&gt;A4134+1E-9,C4134&gt;=2,D4134&gt;=1,E4134&gt;=2)</f>
        <v/>
      </c>
      <c r="G4134">
        <f>SUMPRODUCT(Calc!$K$3:$K$22*(Calc!$G$3:$G$22&gt;A4134)*(Calc!$G$3:$G$22-A4134))</f>
        <v/>
      </c>
      <c r="H4134">
        <f>SUMPRODUCT(Calc!$K$3:$K$22*(Calc!$G$3:$G$22&gt;B4134)*(Calc!$G$3:$G$22-B4134))</f>
        <v/>
      </c>
      <c r="I4134">
        <f>SUMPRODUCT(Calc!$K$3:$K$22*(Calc!$G$3:$G$22&gt;A4134)*(Calc!$G$3:$G$22-A4134)^2)</f>
        <v/>
      </c>
      <c r="J4134">
        <f>SUMPRODUCT(Calc!$K$3:$K$22*(Calc!$G$3:$G$22&gt;B4134)*(Calc!$G$3:$G$22-B4134)^2)</f>
        <v/>
      </c>
      <c r="K4134">
        <f>SUMPRODUCT(Calc!$K$3:$K$22*(Calc!$G$3:$G$22&gt;A4134)*(Calc!$G$3:$G$22-A4134)*(Calc!$G$3:$G$22&gt;B4134)*(Calc!$G$3:$G$22-B4134))</f>
        <v/>
      </c>
      <c r="L4134">
        <f>SUMPRODUCT(Calc!$K$3:$K$22*(Calc!$G$3:$G$22&gt;A4134)*(Calc!$G$3:$G$22-A4134)*Calc!$G$3:$G$22)</f>
        <v/>
      </c>
      <c r="M4134">
        <f>SUMPRODUCT(Calc!$K$3:$K$22*(Calc!$G$3:$G$22&gt;B4134)*(Calc!$G$3:$G$22-B4134)*Calc!$G$3:$G$22)</f>
        <v/>
      </c>
      <c r="N4134">
        <f>SUMPRODUCT(Calc!$K$3:$K$22*(Calc!$G$3:$G$22&gt;A4134)*(Calc!$G$3:$G$22-A4134)*Calc!$I$3:$I$22)</f>
        <v/>
      </c>
      <c r="O4134">
        <f>SUMPRODUCT(Calc!$K$3:$K$22*(Calc!$G$3:$G$22&gt;B4134)*(Calc!$G$3:$G$22-B4134)*Calc!$I$3:$I$22)</f>
        <v/>
      </c>
      <c r="P4134">
        <f>I4134-G4134^2/k_n</f>
        <v/>
      </c>
      <c r="Q4134">
        <f>J4134-H4134^2/k_n</f>
        <v/>
      </c>
      <c r="R4134">
        <f>K4134-G4134*H4134/k_n</f>
        <v/>
      </c>
      <c r="S4134">
        <f>L4134-LTP3!$D$3*G4134/k_n</f>
        <v/>
      </c>
      <c r="T4134">
        <f>M4134-LTP3!$D$3*H4134/k_n</f>
        <v/>
      </c>
      <c r="U4134">
        <f>N4134-G4134*LTP3!$D$4/k_n</f>
        <v/>
      </c>
      <c r="V4134">
        <f>O4134-H4134*LTP3!$D$4/k_n</f>
        <v/>
      </c>
      <c r="W4134">
        <f>((LTP3!$D$5)*((P4134)*(Q4134)-(R4134)*(R4134))-(S4134)*((S4134)*(Q4134)-(R4134)*(T4134))+(T4134)*((S4134)*(R4134)-(P4134)*(T4134)))</f>
        <v/>
      </c>
      <c r="X4134">
        <f>IF(ABS(W4134)&gt;1E-12,((LTP3!$D$6)*((P4134)*(Q4134)-(R4134)*(R4134))-(S4134)*((U4134)*(Q4134)-(R4134)*(V4134))+(T4134)*((U4134)*(R4134)-(P4134)*(V4134)))/W4134,0)</f>
        <v/>
      </c>
      <c r="Y4134">
        <f>IF(ABS(W4134)&gt;1E-12,((LTP3!$D$5)*((U4134)*(Q4134)-(R4134)*(V4134))-(LTP3!$D$6)*((S4134)*(Q4134)-(R4134)*(T4134))+(T4134)*((S4134)*(V4134)-(U4134)*(T4134)))/W4134,0)</f>
        <v/>
      </c>
      <c r="Z4134">
        <f>IF(ABS(W4134)&gt;1E-12,((LTP3!$D$5)*((P4134)*(V4134)-(U4134)*(R4134))-(S4134)*((S4134)*(V4134)-(U4134)*(T4134))+(LTP3!$D$6)*((S4134)*(R4134)-(P4134)*(T4134)))/W4134,0)</f>
        <v/>
      </c>
      <c r="AA4134">
        <f>LTP3!$D$7-X4134*LTP3!$D$6-Y4134*U4134-Z4134*V4134</f>
        <v/>
      </c>
      <c r="AB4134">
        <f>IF(AND(F4134,ABS(W4134)&gt;1E-12,Y4134&gt;0,Z4134&gt;0),AA4134,1E+300)</f>
        <v/>
      </c>
    </row>
    <row r="4135">
      <c r="A4135">
        <f>$I$3-$B$5+$B$5*19/10</f>
        <v/>
      </c>
      <c r="B4135">
        <f>$J$3-$B$5+$B$5*0/10</f>
        <v/>
      </c>
      <c r="C4135">
        <f>SUMPRODUCT(Calc!$K$3:$K$22*(Calc!$G$3:$G$22&lt;=A4135))</f>
        <v/>
      </c>
      <c r="D4135">
        <f>SUMPRODUCT(Calc!$K$3:$K$22*(Calc!$G$3:$G$22&gt;A4135)*(Calc!$G$3:$G$22&lt;B4135))</f>
        <v/>
      </c>
      <c r="E4135">
        <f>SUMPRODUCT(Calc!$K$3:$K$22*(Calc!$G$3:$G$22&gt;=B4135))</f>
        <v/>
      </c>
      <c r="F4135">
        <f>AND(k_n&gt;=5,B4135&gt;A4135+1E-9,C4135&gt;=2,D4135&gt;=1,E4135&gt;=2)</f>
        <v/>
      </c>
      <c r="G4135">
        <f>SUMPRODUCT(Calc!$K$3:$K$22*(Calc!$G$3:$G$22&gt;A4135)*(Calc!$G$3:$G$22-A4135))</f>
        <v/>
      </c>
      <c r="H4135">
        <f>SUMPRODUCT(Calc!$K$3:$K$22*(Calc!$G$3:$G$22&gt;B4135)*(Calc!$G$3:$G$22-B4135))</f>
        <v/>
      </c>
      <c r="I4135">
        <f>SUMPRODUCT(Calc!$K$3:$K$22*(Calc!$G$3:$G$22&gt;A4135)*(Calc!$G$3:$G$22-A4135)^2)</f>
        <v/>
      </c>
      <c r="J4135">
        <f>SUMPRODUCT(Calc!$K$3:$K$22*(Calc!$G$3:$G$22&gt;B4135)*(Calc!$G$3:$G$22-B4135)^2)</f>
        <v/>
      </c>
      <c r="K4135">
        <f>SUMPRODUCT(Calc!$K$3:$K$22*(Calc!$G$3:$G$22&gt;A4135)*(Calc!$G$3:$G$22-A4135)*(Calc!$G$3:$G$22&gt;B4135)*(Calc!$G$3:$G$22-B4135))</f>
        <v/>
      </c>
      <c r="L4135">
        <f>SUMPRODUCT(Calc!$K$3:$K$22*(Calc!$G$3:$G$22&gt;A4135)*(Calc!$G$3:$G$22-A4135)*Calc!$G$3:$G$22)</f>
        <v/>
      </c>
      <c r="M4135">
        <f>SUMPRODUCT(Calc!$K$3:$K$22*(Calc!$G$3:$G$22&gt;B4135)*(Calc!$G$3:$G$22-B4135)*Calc!$G$3:$G$22)</f>
        <v/>
      </c>
      <c r="N4135">
        <f>SUMPRODUCT(Calc!$K$3:$K$22*(Calc!$G$3:$G$22&gt;A4135)*(Calc!$G$3:$G$22-A4135)*Calc!$I$3:$I$22)</f>
        <v/>
      </c>
      <c r="O4135">
        <f>SUMPRODUCT(Calc!$K$3:$K$22*(Calc!$G$3:$G$22&gt;B4135)*(Calc!$G$3:$G$22-B4135)*Calc!$I$3:$I$22)</f>
        <v/>
      </c>
      <c r="P4135">
        <f>I4135-G4135^2/k_n</f>
        <v/>
      </c>
      <c r="Q4135">
        <f>J4135-H4135^2/k_n</f>
        <v/>
      </c>
      <c r="R4135">
        <f>K4135-G4135*H4135/k_n</f>
        <v/>
      </c>
      <c r="S4135">
        <f>L4135-LTP3!$D$3*G4135/k_n</f>
        <v/>
      </c>
      <c r="T4135">
        <f>M4135-LTP3!$D$3*H4135/k_n</f>
        <v/>
      </c>
      <c r="U4135">
        <f>N4135-G4135*LTP3!$D$4/k_n</f>
        <v/>
      </c>
      <c r="V4135">
        <f>O4135-H4135*LTP3!$D$4/k_n</f>
        <v/>
      </c>
      <c r="W4135">
        <f>((LTP3!$D$5)*((P4135)*(Q4135)-(R4135)*(R4135))-(S4135)*((S4135)*(Q4135)-(R4135)*(T4135))+(T4135)*((S4135)*(R4135)-(P4135)*(T4135)))</f>
        <v/>
      </c>
      <c r="X4135">
        <f>IF(ABS(W4135)&gt;1E-12,((LTP3!$D$6)*((P4135)*(Q4135)-(R4135)*(R4135))-(S4135)*((U4135)*(Q4135)-(R4135)*(V4135))+(T4135)*((U4135)*(R4135)-(P4135)*(V4135)))/W4135,0)</f>
        <v/>
      </c>
      <c r="Y4135">
        <f>IF(ABS(W4135)&gt;1E-12,((LTP3!$D$5)*((U4135)*(Q4135)-(R4135)*(V4135))-(LTP3!$D$6)*((S4135)*(Q4135)-(R4135)*(T4135))+(T4135)*((S4135)*(V4135)-(U4135)*(T4135)))/W4135,0)</f>
        <v/>
      </c>
      <c r="Z4135">
        <f>IF(ABS(W4135)&gt;1E-12,((LTP3!$D$5)*((P4135)*(V4135)-(U4135)*(R4135))-(S4135)*((S4135)*(V4135)-(U4135)*(T4135))+(LTP3!$D$6)*((S4135)*(R4135)-(P4135)*(T4135)))/W4135,0)</f>
        <v/>
      </c>
      <c r="AA4135">
        <f>LTP3!$D$7-X4135*LTP3!$D$6-Y4135*U4135-Z4135*V4135</f>
        <v/>
      </c>
      <c r="AB4135">
        <f>IF(AND(F4135,ABS(W4135)&gt;1E-12,Y4135&gt;0,Z4135&gt;0),AA4135,1E+300)</f>
        <v/>
      </c>
    </row>
    <row r="4136">
      <c r="A4136">
        <f>$I$3-$B$5+$B$5*19/10</f>
        <v/>
      </c>
      <c r="B4136">
        <f>$J$3-$B$5+$B$5*1/10</f>
        <v/>
      </c>
      <c r="C4136">
        <f>SUMPRODUCT(Calc!$K$3:$K$22*(Calc!$G$3:$G$22&lt;=A4136))</f>
        <v/>
      </c>
      <c r="D4136">
        <f>SUMPRODUCT(Calc!$K$3:$K$22*(Calc!$G$3:$G$22&gt;A4136)*(Calc!$G$3:$G$22&lt;B4136))</f>
        <v/>
      </c>
      <c r="E4136">
        <f>SUMPRODUCT(Calc!$K$3:$K$22*(Calc!$G$3:$G$22&gt;=B4136))</f>
        <v/>
      </c>
      <c r="F4136">
        <f>AND(k_n&gt;=5,B4136&gt;A4136+1E-9,C4136&gt;=2,D4136&gt;=1,E4136&gt;=2)</f>
        <v/>
      </c>
      <c r="G4136">
        <f>SUMPRODUCT(Calc!$K$3:$K$22*(Calc!$G$3:$G$22&gt;A4136)*(Calc!$G$3:$G$22-A4136))</f>
        <v/>
      </c>
      <c r="H4136">
        <f>SUMPRODUCT(Calc!$K$3:$K$22*(Calc!$G$3:$G$22&gt;B4136)*(Calc!$G$3:$G$22-B4136))</f>
        <v/>
      </c>
      <c r="I4136">
        <f>SUMPRODUCT(Calc!$K$3:$K$22*(Calc!$G$3:$G$22&gt;A4136)*(Calc!$G$3:$G$22-A4136)^2)</f>
        <v/>
      </c>
      <c r="J4136">
        <f>SUMPRODUCT(Calc!$K$3:$K$22*(Calc!$G$3:$G$22&gt;B4136)*(Calc!$G$3:$G$22-B4136)^2)</f>
        <v/>
      </c>
      <c r="K4136">
        <f>SUMPRODUCT(Calc!$K$3:$K$22*(Calc!$G$3:$G$22&gt;A4136)*(Calc!$G$3:$G$22-A4136)*(Calc!$G$3:$G$22&gt;B4136)*(Calc!$G$3:$G$22-B4136))</f>
        <v/>
      </c>
      <c r="L4136">
        <f>SUMPRODUCT(Calc!$K$3:$K$22*(Calc!$G$3:$G$22&gt;A4136)*(Calc!$G$3:$G$22-A4136)*Calc!$G$3:$G$22)</f>
        <v/>
      </c>
      <c r="M4136">
        <f>SUMPRODUCT(Calc!$K$3:$K$22*(Calc!$G$3:$G$22&gt;B4136)*(Calc!$G$3:$G$22-B4136)*Calc!$G$3:$G$22)</f>
        <v/>
      </c>
      <c r="N4136">
        <f>SUMPRODUCT(Calc!$K$3:$K$22*(Calc!$G$3:$G$22&gt;A4136)*(Calc!$G$3:$G$22-A4136)*Calc!$I$3:$I$22)</f>
        <v/>
      </c>
      <c r="O4136">
        <f>SUMPRODUCT(Calc!$K$3:$K$22*(Calc!$G$3:$G$22&gt;B4136)*(Calc!$G$3:$G$22-B4136)*Calc!$I$3:$I$22)</f>
        <v/>
      </c>
      <c r="P4136">
        <f>I4136-G4136^2/k_n</f>
        <v/>
      </c>
      <c r="Q4136">
        <f>J4136-H4136^2/k_n</f>
        <v/>
      </c>
      <c r="R4136">
        <f>K4136-G4136*H4136/k_n</f>
        <v/>
      </c>
      <c r="S4136">
        <f>L4136-LTP3!$D$3*G4136/k_n</f>
        <v/>
      </c>
      <c r="T4136">
        <f>M4136-LTP3!$D$3*H4136/k_n</f>
        <v/>
      </c>
      <c r="U4136">
        <f>N4136-G4136*LTP3!$D$4/k_n</f>
        <v/>
      </c>
      <c r="V4136">
        <f>O4136-H4136*LTP3!$D$4/k_n</f>
        <v/>
      </c>
      <c r="W4136">
        <f>((LTP3!$D$5)*((P4136)*(Q4136)-(R4136)*(R4136))-(S4136)*((S4136)*(Q4136)-(R4136)*(T4136))+(T4136)*((S4136)*(R4136)-(P4136)*(T4136)))</f>
        <v/>
      </c>
      <c r="X4136">
        <f>IF(ABS(W4136)&gt;1E-12,((LTP3!$D$6)*((P4136)*(Q4136)-(R4136)*(R4136))-(S4136)*((U4136)*(Q4136)-(R4136)*(V4136))+(T4136)*((U4136)*(R4136)-(P4136)*(V4136)))/W4136,0)</f>
        <v/>
      </c>
      <c r="Y4136">
        <f>IF(ABS(W4136)&gt;1E-12,((LTP3!$D$5)*((U4136)*(Q4136)-(R4136)*(V4136))-(LTP3!$D$6)*((S4136)*(Q4136)-(R4136)*(T4136))+(T4136)*((S4136)*(V4136)-(U4136)*(T4136)))/W4136,0)</f>
        <v/>
      </c>
      <c r="Z4136">
        <f>IF(ABS(W4136)&gt;1E-12,((LTP3!$D$5)*((P4136)*(V4136)-(U4136)*(R4136))-(S4136)*((S4136)*(V4136)-(U4136)*(T4136))+(LTP3!$D$6)*((S4136)*(R4136)-(P4136)*(T4136)))/W4136,0)</f>
        <v/>
      </c>
      <c r="AA4136">
        <f>LTP3!$D$7-X4136*LTP3!$D$6-Y4136*U4136-Z4136*V4136</f>
        <v/>
      </c>
      <c r="AB4136">
        <f>IF(AND(F4136,ABS(W4136)&gt;1E-12,Y4136&gt;0,Z4136&gt;0),AA4136,1E+300)</f>
        <v/>
      </c>
    </row>
    <row r="4137">
      <c r="A4137">
        <f>$I$3-$B$5+$B$5*19/10</f>
        <v/>
      </c>
      <c r="B4137">
        <f>$J$3-$B$5+$B$5*2/10</f>
        <v/>
      </c>
      <c r="C4137">
        <f>SUMPRODUCT(Calc!$K$3:$K$22*(Calc!$G$3:$G$22&lt;=A4137))</f>
        <v/>
      </c>
      <c r="D4137">
        <f>SUMPRODUCT(Calc!$K$3:$K$22*(Calc!$G$3:$G$22&gt;A4137)*(Calc!$G$3:$G$22&lt;B4137))</f>
        <v/>
      </c>
      <c r="E4137">
        <f>SUMPRODUCT(Calc!$K$3:$K$22*(Calc!$G$3:$G$22&gt;=B4137))</f>
        <v/>
      </c>
      <c r="F4137">
        <f>AND(k_n&gt;=5,B4137&gt;A4137+1E-9,C4137&gt;=2,D4137&gt;=1,E4137&gt;=2)</f>
        <v/>
      </c>
      <c r="G4137">
        <f>SUMPRODUCT(Calc!$K$3:$K$22*(Calc!$G$3:$G$22&gt;A4137)*(Calc!$G$3:$G$22-A4137))</f>
        <v/>
      </c>
      <c r="H4137">
        <f>SUMPRODUCT(Calc!$K$3:$K$22*(Calc!$G$3:$G$22&gt;B4137)*(Calc!$G$3:$G$22-B4137))</f>
        <v/>
      </c>
      <c r="I4137">
        <f>SUMPRODUCT(Calc!$K$3:$K$22*(Calc!$G$3:$G$22&gt;A4137)*(Calc!$G$3:$G$22-A4137)^2)</f>
        <v/>
      </c>
      <c r="J4137">
        <f>SUMPRODUCT(Calc!$K$3:$K$22*(Calc!$G$3:$G$22&gt;B4137)*(Calc!$G$3:$G$22-B4137)^2)</f>
        <v/>
      </c>
      <c r="K4137">
        <f>SUMPRODUCT(Calc!$K$3:$K$22*(Calc!$G$3:$G$22&gt;A4137)*(Calc!$G$3:$G$22-A4137)*(Calc!$G$3:$G$22&gt;B4137)*(Calc!$G$3:$G$22-B4137))</f>
        <v/>
      </c>
      <c r="L4137">
        <f>SUMPRODUCT(Calc!$K$3:$K$22*(Calc!$G$3:$G$22&gt;A4137)*(Calc!$G$3:$G$22-A4137)*Calc!$G$3:$G$22)</f>
        <v/>
      </c>
      <c r="M4137">
        <f>SUMPRODUCT(Calc!$K$3:$K$22*(Calc!$G$3:$G$22&gt;B4137)*(Calc!$G$3:$G$22-B4137)*Calc!$G$3:$G$22)</f>
        <v/>
      </c>
      <c r="N4137">
        <f>SUMPRODUCT(Calc!$K$3:$K$22*(Calc!$G$3:$G$22&gt;A4137)*(Calc!$G$3:$G$22-A4137)*Calc!$I$3:$I$22)</f>
        <v/>
      </c>
      <c r="O4137">
        <f>SUMPRODUCT(Calc!$K$3:$K$22*(Calc!$G$3:$G$22&gt;B4137)*(Calc!$G$3:$G$22-B4137)*Calc!$I$3:$I$22)</f>
        <v/>
      </c>
      <c r="P4137">
        <f>I4137-G4137^2/k_n</f>
        <v/>
      </c>
      <c r="Q4137">
        <f>J4137-H4137^2/k_n</f>
        <v/>
      </c>
      <c r="R4137">
        <f>K4137-G4137*H4137/k_n</f>
        <v/>
      </c>
      <c r="S4137">
        <f>L4137-LTP3!$D$3*G4137/k_n</f>
        <v/>
      </c>
      <c r="T4137">
        <f>M4137-LTP3!$D$3*H4137/k_n</f>
        <v/>
      </c>
      <c r="U4137">
        <f>N4137-G4137*LTP3!$D$4/k_n</f>
        <v/>
      </c>
      <c r="V4137">
        <f>O4137-H4137*LTP3!$D$4/k_n</f>
        <v/>
      </c>
      <c r="W4137">
        <f>((LTP3!$D$5)*((P4137)*(Q4137)-(R4137)*(R4137))-(S4137)*((S4137)*(Q4137)-(R4137)*(T4137))+(T4137)*((S4137)*(R4137)-(P4137)*(T4137)))</f>
        <v/>
      </c>
      <c r="X4137">
        <f>IF(ABS(W4137)&gt;1E-12,((LTP3!$D$6)*((P4137)*(Q4137)-(R4137)*(R4137))-(S4137)*((U4137)*(Q4137)-(R4137)*(V4137))+(T4137)*((U4137)*(R4137)-(P4137)*(V4137)))/W4137,0)</f>
        <v/>
      </c>
      <c r="Y4137">
        <f>IF(ABS(W4137)&gt;1E-12,((LTP3!$D$5)*((U4137)*(Q4137)-(R4137)*(V4137))-(LTP3!$D$6)*((S4137)*(Q4137)-(R4137)*(T4137))+(T4137)*((S4137)*(V4137)-(U4137)*(T4137)))/W4137,0)</f>
        <v/>
      </c>
      <c r="Z4137">
        <f>IF(ABS(W4137)&gt;1E-12,((LTP3!$D$5)*((P4137)*(V4137)-(U4137)*(R4137))-(S4137)*((S4137)*(V4137)-(U4137)*(T4137))+(LTP3!$D$6)*((S4137)*(R4137)-(P4137)*(T4137)))/W4137,0)</f>
        <v/>
      </c>
      <c r="AA4137">
        <f>LTP3!$D$7-X4137*LTP3!$D$6-Y4137*U4137-Z4137*V4137</f>
        <v/>
      </c>
      <c r="AB4137">
        <f>IF(AND(F4137,ABS(W4137)&gt;1E-12,Y4137&gt;0,Z4137&gt;0),AA4137,1E+300)</f>
        <v/>
      </c>
    </row>
    <row r="4138">
      <c r="A4138">
        <f>$I$3-$B$5+$B$5*19/10</f>
        <v/>
      </c>
      <c r="B4138">
        <f>$J$3-$B$5+$B$5*3/10</f>
        <v/>
      </c>
      <c r="C4138">
        <f>SUMPRODUCT(Calc!$K$3:$K$22*(Calc!$G$3:$G$22&lt;=A4138))</f>
        <v/>
      </c>
      <c r="D4138">
        <f>SUMPRODUCT(Calc!$K$3:$K$22*(Calc!$G$3:$G$22&gt;A4138)*(Calc!$G$3:$G$22&lt;B4138))</f>
        <v/>
      </c>
      <c r="E4138">
        <f>SUMPRODUCT(Calc!$K$3:$K$22*(Calc!$G$3:$G$22&gt;=B4138))</f>
        <v/>
      </c>
      <c r="F4138">
        <f>AND(k_n&gt;=5,B4138&gt;A4138+1E-9,C4138&gt;=2,D4138&gt;=1,E4138&gt;=2)</f>
        <v/>
      </c>
      <c r="G4138">
        <f>SUMPRODUCT(Calc!$K$3:$K$22*(Calc!$G$3:$G$22&gt;A4138)*(Calc!$G$3:$G$22-A4138))</f>
        <v/>
      </c>
      <c r="H4138">
        <f>SUMPRODUCT(Calc!$K$3:$K$22*(Calc!$G$3:$G$22&gt;B4138)*(Calc!$G$3:$G$22-B4138))</f>
        <v/>
      </c>
      <c r="I4138">
        <f>SUMPRODUCT(Calc!$K$3:$K$22*(Calc!$G$3:$G$22&gt;A4138)*(Calc!$G$3:$G$22-A4138)^2)</f>
        <v/>
      </c>
      <c r="J4138">
        <f>SUMPRODUCT(Calc!$K$3:$K$22*(Calc!$G$3:$G$22&gt;B4138)*(Calc!$G$3:$G$22-B4138)^2)</f>
        <v/>
      </c>
      <c r="K4138">
        <f>SUMPRODUCT(Calc!$K$3:$K$22*(Calc!$G$3:$G$22&gt;A4138)*(Calc!$G$3:$G$22-A4138)*(Calc!$G$3:$G$22&gt;B4138)*(Calc!$G$3:$G$22-B4138))</f>
        <v/>
      </c>
      <c r="L4138">
        <f>SUMPRODUCT(Calc!$K$3:$K$22*(Calc!$G$3:$G$22&gt;A4138)*(Calc!$G$3:$G$22-A4138)*Calc!$G$3:$G$22)</f>
        <v/>
      </c>
      <c r="M4138">
        <f>SUMPRODUCT(Calc!$K$3:$K$22*(Calc!$G$3:$G$22&gt;B4138)*(Calc!$G$3:$G$22-B4138)*Calc!$G$3:$G$22)</f>
        <v/>
      </c>
      <c r="N4138">
        <f>SUMPRODUCT(Calc!$K$3:$K$22*(Calc!$G$3:$G$22&gt;A4138)*(Calc!$G$3:$G$22-A4138)*Calc!$I$3:$I$22)</f>
        <v/>
      </c>
      <c r="O4138">
        <f>SUMPRODUCT(Calc!$K$3:$K$22*(Calc!$G$3:$G$22&gt;B4138)*(Calc!$G$3:$G$22-B4138)*Calc!$I$3:$I$22)</f>
        <v/>
      </c>
      <c r="P4138">
        <f>I4138-G4138^2/k_n</f>
        <v/>
      </c>
      <c r="Q4138">
        <f>J4138-H4138^2/k_n</f>
        <v/>
      </c>
      <c r="R4138">
        <f>K4138-G4138*H4138/k_n</f>
        <v/>
      </c>
      <c r="S4138">
        <f>L4138-LTP3!$D$3*G4138/k_n</f>
        <v/>
      </c>
      <c r="T4138">
        <f>M4138-LTP3!$D$3*H4138/k_n</f>
        <v/>
      </c>
      <c r="U4138">
        <f>N4138-G4138*LTP3!$D$4/k_n</f>
        <v/>
      </c>
      <c r="V4138">
        <f>O4138-H4138*LTP3!$D$4/k_n</f>
        <v/>
      </c>
      <c r="W4138">
        <f>((LTP3!$D$5)*((P4138)*(Q4138)-(R4138)*(R4138))-(S4138)*((S4138)*(Q4138)-(R4138)*(T4138))+(T4138)*((S4138)*(R4138)-(P4138)*(T4138)))</f>
        <v/>
      </c>
      <c r="X4138">
        <f>IF(ABS(W4138)&gt;1E-12,((LTP3!$D$6)*((P4138)*(Q4138)-(R4138)*(R4138))-(S4138)*((U4138)*(Q4138)-(R4138)*(V4138))+(T4138)*((U4138)*(R4138)-(P4138)*(V4138)))/W4138,0)</f>
        <v/>
      </c>
      <c r="Y4138">
        <f>IF(ABS(W4138)&gt;1E-12,((LTP3!$D$5)*((U4138)*(Q4138)-(R4138)*(V4138))-(LTP3!$D$6)*((S4138)*(Q4138)-(R4138)*(T4138))+(T4138)*((S4138)*(V4138)-(U4138)*(T4138)))/W4138,0)</f>
        <v/>
      </c>
      <c r="Z4138">
        <f>IF(ABS(W4138)&gt;1E-12,((LTP3!$D$5)*((P4138)*(V4138)-(U4138)*(R4138))-(S4138)*((S4138)*(V4138)-(U4138)*(T4138))+(LTP3!$D$6)*((S4138)*(R4138)-(P4138)*(T4138)))/W4138,0)</f>
        <v/>
      </c>
      <c r="AA4138">
        <f>LTP3!$D$7-X4138*LTP3!$D$6-Y4138*U4138-Z4138*V4138</f>
        <v/>
      </c>
      <c r="AB4138">
        <f>IF(AND(F4138,ABS(W4138)&gt;1E-12,Y4138&gt;0,Z4138&gt;0),AA4138,1E+300)</f>
        <v/>
      </c>
    </row>
    <row r="4139">
      <c r="A4139">
        <f>$I$3-$B$5+$B$5*19/10</f>
        <v/>
      </c>
      <c r="B4139">
        <f>$J$3-$B$5+$B$5*4/10</f>
        <v/>
      </c>
      <c r="C4139">
        <f>SUMPRODUCT(Calc!$K$3:$K$22*(Calc!$G$3:$G$22&lt;=A4139))</f>
        <v/>
      </c>
      <c r="D4139">
        <f>SUMPRODUCT(Calc!$K$3:$K$22*(Calc!$G$3:$G$22&gt;A4139)*(Calc!$G$3:$G$22&lt;B4139))</f>
        <v/>
      </c>
      <c r="E4139">
        <f>SUMPRODUCT(Calc!$K$3:$K$22*(Calc!$G$3:$G$22&gt;=B4139))</f>
        <v/>
      </c>
      <c r="F4139">
        <f>AND(k_n&gt;=5,B4139&gt;A4139+1E-9,C4139&gt;=2,D4139&gt;=1,E4139&gt;=2)</f>
        <v/>
      </c>
      <c r="G4139">
        <f>SUMPRODUCT(Calc!$K$3:$K$22*(Calc!$G$3:$G$22&gt;A4139)*(Calc!$G$3:$G$22-A4139))</f>
        <v/>
      </c>
      <c r="H4139">
        <f>SUMPRODUCT(Calc!$K$3:$K$22*(Calc!$G$3:$G$22&gt;B4139)*(Calc!$G$3:$G$22-B4139))</f>
        <v/>
      </c>
      <c r="I4139">
        <f>SUMPRODUCT(Calc!$K$3:$K$22*(Calc!$G$3:$G$22&gt;A4139)*(Calc!$G$3:$G$22-A4139)^2)</f>
        <v/>
      </c>
      <c r="J4139">
        <f>SUMPRODUCT(Calc!$K$3:$K$22*(Calc!$G$3:$G$22&gt;B4139)*(Calc!$G$3:$G$22-B4139)^2)</f>
        <v/>
      </c>
      <c r="K4139">
        <f>SUMPRODUCT(Calc!$K$3:$K$22*(Calc!$G$3:$G$22&gt;A4139)*(Calc!$G$3:$G$22-A4139)*(Calc!$G$3:$G$22&gt;B4139)*(Calc!$G$3:$G$22-B4139))</f>
        <v/>
      </c>
      <c r="L4139">
        <f>SUMPRODUCT(Calc!$K$3:$K$22*(Calc!$G$3:$G$22&gt;A4139)*(Calc!$G$3:$G$22-A4139)*Calc!$G$3:$G$22)</f>
        <v/>
      </c>
      <c r="M4139">
        <f>SUMPRODUCT(Calc!$K$3:$K$22*(Calc!$G$3:$G$22&gt;B4139)*(Calc!$G$3:$G$22-B4139)*Calc!$G$3:$G$22)</f>
        <v/>
      </c>
      <c r="N4139">
        <f>SUMPRODUCT(Calc!$K$3:$K$22*(Calc!$G$3:$G$22&gt;A4139)*(Calc!$G$3:$G$22-A4139)*Calc!$I$3:$I$22)</f>
        <v/>
      </c>
      <c r="O4139">
        <f>SUMPRODUCT(Calc!$K$3:$K$22*(Calc!$G$3:$G$22&gt;B4139)*(Calc!$G$3:$G$22-B4139)*Calc!$I$3:$I$22)</f>
        <v/>
      </c>
      <c r="P4139">
        <f>I4139-G4139^2/k_n</f>
        <v/>
      </c>
      <c r="Q4139">
        <f>J4139-H4139^2/k_n</f>
        <v/>
      </c>
      <c r="R4139">
        <f>K4139-G4139*H4139/k_n</f>
        <v/>
      </c>
      <c r="S4139">
        <f>L4139-LTP3!$D$3*G4139/k_n</f>
        <v/>
      </c>
      <c r="T4139">
        <f>M4139-LTP3!$D$3*H4139/k_n</f>
        <v/>
      </c>
      <c r="U4139">
        <f>N4139-G4139*LTP3!$D$4/k_n</f>
        <v/>
      </c>
      <c r="V4139">
        <f>O4139-H4139*LTP3!$D$4/k_n</f>
        <v/>
      </c>
      <c r="W4139">
        <f>((LTP3!$D$5)*((P4139)*(Q4139)-(R4139)*(R4139))-(S4139)*((S4139)*(Q4139)-(R4139)*(T4139))+(T4139)*((S4139)*(R4139)-(P4139)*(T4139)))</f>
        <v/>
      </c>
      <c r="X4139">
        <f>IF(ABS(W4139)&gt;1E-12,((LTP3!$D$6)*((P4139)*(Q4139)-(R4139)*(R4139))-(S4139)*((U4139)*(Q4139)-(R4139)*(V4139))+(T4139)*((U4139)*(R4139)-(P4139)*(V4139)))/W4139,0)</f>
        <v/>
      </c>
      <c r="Y4139">
        <f>IF(ABS(W4139)&gt;1E-12,((LTP3!$D$5)*((U4139)*(Q4139)-(R4139)*(V4139))-(LTP3!$D$6)*((S4139)*(Q4139)-(R4139)*(T4139))+(T4139)*((S4139)*(V4139)-(U4139)*(T4139)))/W4139,0)</f>
        <v/>
      </c>
      <c r="Z4139">
        <f>IF(ABS(W4139)&gt;1E-12,((LTP3!$D$5)*((P4139)*(V4139)-(U4139)*(R4139))-(S4139)*((S4139)*(V4139)-(U4139)*(T4139))+(LTP3!$D$6)*((S4139)*(R4139)-(P4139)*(T4139)))/W4139,0)</f>
        <v/>
      </c>
      <c r="AA4139">
        <f>LTP3!$D$7-X4139*LTP3!$D$6-Y4139*U4139-Z4139*V4139</f>
        <v/>
      </c>
      <c r="AB4139">
        <f>IF(AND(F4139,ABS(W4139)&gt;1E-12,Y4139&gt;0,Z4139&gt;0),AA4139,1E+300)</f>
        <v/>
      </c>
    </row>
    <row r="4140">
      <c r="A4140">
        <f>$I$3-$B$5+$B$5*19/10</f>
        <v/>
      </c>
      <c r="B4140">
        <f>$J$3-$B$5+$B$5*5/10</f>
        <v/>
      </c>
      <c r="C4140">
        <f>SUMPRODUCT(Calc!$K$3:$K$22*(Calc!$G$3:$G$22&lt;=A4140))</f>
        <v/>
      </c>
      <c r="D4140">
        <f>SUMPRODUCT(Calc!$K$3:$K$22*(Calc!$G$3:$G$22&gt;A4140)*(Calc!$G$3:$G$22&lt;B4140))</f>
        <v/>
      </c>
      <c r="E4140">
        <f>SUMPRODUCT(Calc!$K$3:$K$22*(Calc!$G$3:$G$22&gt;=B4140))</f>
        <v/>
      </c>
      <c r="F4140">
        <f>AND(k_n&gt;=5,B4140&gt;A4140+1E-9,C4140&gt;=2,D4140&gt;=1,E4140&gt;=2)</f>
        <v/>
      </c>
      <c r="G4140">
        <f>SUMPRODUCT(Calc!$K$3:$K$22*(Calc!$G$3:$G$22&gt;A4140)*(Calc!$G$3:$G$22-A4140))</f>
        <v/>
      </c>
      <c r="H4140">
        <f>SUMPRODUCT(Calc!$K$3:$K$22*(Calc!$G$3:$G$22&gt;B4140)*(Calc!$G$3:$G$22-B4140))</f>
        <v/>
      </c>
      <c r="I4140">
        <f>SUMPRODUCT(Calc!$K$3:$K$22*(Calc!$G$3:$G$22&gt;A4140)*(Calc!$G$3:$G$22-A4140)^2)</f>
        <v/>
      </c>
      <c r="J4140">
        <f>SUMPRODUCT(Calc!$K$3:$K$22*(Calc!$G$3:$G$22&gt;B4140)*(Calc!$G$3:$G$22-B4140)^2)</f>
        <v/>
      </c>
      <c r="K4140">
        <f>SUMPRODUCT(Calc!$K$3:$K$22*(Calc!$G$3:$G$22&gt;A4140)*(Calc!$G$3:$G$22-A4140)*(Calc!$G$3:$G$22&gt;B4140)*(Calc!$G$3:$G$22-B4140))</f>
        <v/>
      </c>
      <c r="L4140">
        <f>SUMPRODUCT(Calc!$K$3:$K$22*(Calc!$G$3:$G$22&gt;A4140)*(Calc!$G$3:$G$22-A4140)*Calc!$G$3:$G$22)</f>
        <v/>
      </c>
      <c r="M4140">
        <f>SUMPRODUCT(Calc!$K$3:$K$22*(Calc!$G$3:$G$22&gt;B4140)*(Calc!$G$3:$G$22-B4140)*Calc!$G$3:$G$22)</f>
        <v/>
      </c>
      <c r="N4140">
        <f>SUMPRODUCT(Calc!$K$3:$K$22*(Calc!$G$3:$G$22&gt;A4140)*(Calc!$G$3:$G$22-A4140)*Calc!$I$3:$I$22)</f>
        <v/>
      </c>
      <c r="O4140">
        <f>SUMPRODUCT(Calc!$K$3:$K$22*(Calc!$G$3:$G$22&gt;B4140)*(Calc!$G$3:$G$22-B4140)*Calc!$I$3:$I$22)</f>
        <v/>
      </c>
      <c r="P4140">
        <f>I4140-G4140^2/k_n</f>
        <v/>
      </c>
      <c r="Q4140">
        <f>J4140-H4140^2/k_n</f>
        <v/>
      </c>
      <c r="R4140">
        <f>K4140-G4140*H4140/k_n</f>
        <v/>
      </c>
      <c r="S4140">
        <f>L4140-LTP3!$D$3*G4140/k_n</f>
        <v/>
      </c>
      <c r="T4140">
        <f>M4140-LTP3!$D$3*H4140/k_n</f>
        <v/>
      </c>
      <c r="U4140">
        <f>N4140-G4140*LTP3!$D$4/k_n</f>
        <v/>
      </c>
      <c r="V4140">
        <f>O4140-H4140*LTP3!$D$4/k_n</f>
        <v/>
      </c>
      <c r="W4140">
        <f>((LTP3!$D$5)*((P4140)*(Q4140)-(R4140)*(R4140))-(S4140)*((S4140)*(Q4140)-(R4140)*(T4140))+(T4140)*((S4140)*(R4140)-(P4140)*(T4140)))</f>
        <v/>
      </c>
      <c r="X4140">
        <f>IF(ABS(W4140)&gt;1E-12,((LTP3!$D$6)*((P4140)*(Q4140)-(R4140)*(R4140))-(S4140)*((U4140)*(Q4140)-(R4140)*(V4140))+(T4140)*((U4140)*(R4140)-(P4140)*(V4140)))/W4140,0)</f>
        <v/>
      </c>
      <c r="Y4140">
        <f>IF(ABS(W4140)&gt;1E-12,((LTP3!$D$5)*((U4140)*(Q4140)-(R4140)*(V4140))-(LTP3!$D$6)*((S4140)*(Q4140)-(R4140)*(T4140))+(T4140)*((S4140)*(V4140)-(U4140)*(T4140)))/W4140,0)</f>
        <v/>
      </c>
      <c r="Z4140">
        <f>IF(ABS(W4140)&gt;1E-12,((LTP3!$D$5)*((P4140)*(V4140)-(U4140)*(R4140))-(S4140)*((S4140)*(V4140)-(U4140)*(T4140))+(LTP3!$D$6)*((S4140)*(R4140)-(P4140)*(T4140)))/W4140,0)</f>
        <v/>
      </c>
      <c r="AA4140">
        <f>LTP3!$D$7-X4140*LTP3!$D$6-Y4140*U4140-Z4140*V4140</f>
        <v/>
      </c>
      <c r="AB4140">
        <f>IF(AND(F4140,ABS(W4140)&gt;1E-12,Y4140&gt;0,Z4140&gt;0),AA4140,1E+300)</f>
        <v/>
      </c>
    </row>
    <row r="4141">
      <c r="A4141">
        <f>$I$3-$B$5+$B$5*19/10</f>
        <v/>
      </c>
      <c r="B4141">
        <f>$J$3-$B$5+$B$5*6/10</f>
        <v/>
      </c>
      <c r="C4141">
        <f>SUMPRODUCT(Calc!$K$3:$K$22*(Calc!$G$3:$G$22&lt;=A4141))</f>
        <v/>
      </c>
      <c r="D4141">
        <f>SUMPRODUCT(Calc!$K$3:$K$22*(Calc!$G$3:$G$22&gt;A4141)*(Calc!$G$3:$G$22&lt;B4141))</f>
        <v/>
      </c>
      <c r="E4141">
        <f>SUMPRODUCT(Calc!$K$3:$K$22*(Calc!$G$3:$G$22&gt;=B4141))</f>
        <v/>
      </c>
      <c r="F4141">
        <f>AND(k_n&gt;=5,B4141&gt;A4141+1E-9,C4141&gt;=2,D4141&gt;=1,E4141&gt;=2)</f>
        <v/>
      </c>
      <c r="G4141">
        <f>SUMPRODUCT(Calc!$K$3:$K$22*(Calc!$G$3:$G$22&gt;A4141)*(Calc!$G$3:$G$22-A4141))</f>
        <v/>
      </c>
      <c r="H4141">
        <f>SUMPRODUCT(Calc!$K$3:$K$22*(Calc!$G$3:$G$22&gt;B4141)*(Calc!$G$3:$G$22-B4141))</f>
        <v/>
      </c>
      <c r="I4141">
        <f>SUMPRODUCT(Calc!$K$3:$K$22*(Calc!$G$3:$G$22&gt;A4141)*(Calc!$G$3:$G$22-A4141)^2)</f>
        <v/>
      </c>
      <c r="J4141">
        <f>SUMPRODUCT(Calc!$K$3:$K$22*(Calc!$G$3:$G$22&gt;B4141)*(Calc!$G$3:$G$22-B4141)^2)</f>
        <v/>
      </c>
      <c r="K4141">
        <f>SUMPRODUCT(Calc!$K$3:$K$22*(Calc!$G$3:$G$22&gt;A4141)*(Calc!$G$3:$G$22-A4141)*(Calc!$G$3:$G$22&gt;B4141)*(Calc!$G$3:$G$22-B4141))</f>
        <v/>
      </c>
      <c r="L4141">
        <f>SUMPRODUCT(Calc!$K$3:$K$22*(Calc!$G$3:$G$22&gt;A4141)*(Calc!$G$3:$G$22-A4141)*Calc!$G$3:$G$22)</f>
        <v/>
      </c>
      <c r="M4141">
        <f>SUMPRODUCT(Calc!$K$3:$K$22*(Calc!$G$3:$G$22&gt;B4141)*(Calc!$G$3:$G$22-B4141)*Calc!$G$3:$G$22)</f>
        <v/>
      </c>
      <c r="N4141">
        <f>SUMPRODUCT(Calc!$K$3:$K$22*(Calc!$G$3:$G$22&gt;A4141)*(Calc!$G$3:$G$22-A4141)*Calc!$I$3:$I$22)</f>
        <v/>
      </c>
      <c r="O4141">
        <f>SUMPRODUCT(Calc!$K$3:$K$22*(Calc!$G$3:$G$22&gt;B4141)*(Calc!$G$3:$G$22-B4141)*Calc!$I$3:$I$22)</f>
        <v/>
      </c>
      <c r="P4141">
        <f>I4141-G4141^2/k_n</f>
        <v/>
      </c>
      <c r="Q4141">
        <f>J4141-H4141^2/k_n</f>
        <v/>
      </c>
      <c r="R4141">
        <f>K4141-G4141*H4141/k_n</f>
        <v/>
      </c>
      <c r="S4141">
        <f>L4141-LTP3!$D$3*G4141/k_n</f>
        <v/>
      </c>
      <c r="T4141">
        <f>M4141-LTP3!$D$3*H4141/k_n</f>
        <v/>
      </c>
      <c r="U4141">
        <f>N4141-G4141*LTP3!$D$4/k_n</f>
        <v/>
      </c>
      <c r="V4141">
        <f>O4141-H4141*LTP3!$D$4/k_n</f>
        <v/>
      </c>
      <c r="W4141">
        <f>((LTP3!$D$5)*((P4141)*(Q4141)-(R4141)*(R4141))-(S4141)*((S4141)*(Q4141)-(R4141)*(T4141))+(T4141)*((S4141)*(R4141)-(P4141)*(T4141)))</f>
        <v/>
      </c>
      <c r="X4141">
        <f>IF(ABS(W4141)&gt;1E-12,((LTP3!$D$6)*((P4141)*(Q4141)-(R4141)*(R4141))-(S4141)*((U4141)*(Q4141)-(R4141)*(V4141))+(T4141)*((U4141)*(R4141)-(P4141)*(V4141)))/W4141,0)</f>
        <v/>
      </c>
      <c r="Y4141">
        <f>IF(ABS(W4141)&gt;1E-12,((LTP3!$D$5)*((U4141)*(Q4141)-(R4141)*(V4141))-(LTP3!$D$6)*((S4141)*(Q4141)-(R4141)*(T4141))+(T4141)*((S4141)*(V4141)-(U4141)*(T4141)))/W4141,0)</f>
        <v/>
      </c>
      <c r="Z4141">
        <f>IF(ABS(W4141)&gt;1E-12,((LTP3!$D$5)*((P4141)*(V4141)-(U4141)*(R4141))-(S4141)*((S4141)*(V4141)-(U4141)*(T4141))+(LTP3!$D$6)*((S4141)*(R4141)-(P4141)*(T4141)))/W4141,0)</f>
        <v/>
      </c>
      <c r="AA4141">
        <f>LTP3!$D$7-X4141*LTP3!$D$6-Y4141*U4141-Z4141*V4141</f>
        <v/>
      </c>
      <c r="AB4141">
        <f>IF(AND(F4141,ABS(W4141)&gt;1E-12,Y4141&gt;0,Z4141&gt;0),AA4141,1E+300)</f>
        <v/>
      </c>
    </row>
    <row r="4142">
      <c r="A4142">
        <f>$I$3-$B$5+$B$5*19/10</f>
        <v/>
      </c>
      <c r="B4142">
        <f>$J$3-$B$5+$B$5*7/10</f>
        <v/>
      </c>
      <c r="C4142">
        <f>SUMPRODUCT(Calc!$K$3:$K$22*(Calc!$G$3:$G$22&lt;=A4142))</f>
        <v/>
      </c>
      <c r="D4142">
        <f>SUMPRODUCT(Calc!$K$3:$K$22*(Calc!$G$3:$G$22&gt;A4142)*(Calc!$G$3:$G$22&lt;B4142))</f>
        <v/>
      </c>
      <c r="E4142">
        <f>SUMPRODUCT(Calc!$K$3:$K$22*(Calc!$G$3:$G$22&gt;=B4142))</f>
        <v/>
      </c>
      <c r="F4142">
        <f>AND(k_n&gt;=5,B4142&gt;A4142+1E-9,C4142&gt;=2,D4142&gt;=1,E4142&gt;=2)</f>
        <v/>
      </c>
      <c r="G4142">
        <f>SUMPRODUCT(Calc!$K$3:$K$22*(Calc!$G$3:$G$22&gt;A4142)*(Calc!$G$3:$G$22-A4142))</f>
        <v/>
      </c>
      <c r="H4142">
        <f>SUMPRODUCT(Calc!$K$3:$K$22*(Calc!$G$3:$G$22&gt;B4142)*(Calc!$G$3:$G$22-B4142))</f>
        <v/>
      </c>
      <c r="I4142">
        <f>SUMPRODUCT(Calc!$K$3:$K$22*(Calc!$G$3:$G$22&gt;A4142)*(Calc!$G$3:$G$22-A4142)^2)</f>
        <v/>
      </c>
      <c r="J4142">
        <f>SUMPRODUCT(Calc!$K$3:$K$22*(Calc!$G$3:$G$22&gt;B4142)*(Calc!$G$3:$G$22-B4142)^2)</f>
        <v/>
      </c>
      <c r="K4142">
        <f>SUMPRODUCT(Calc!$K$3:$K$22*(Calc!$G$3:$G$22&gt;A4142)*(Calc!$G$3:$G$22-A4142)*(Calc!$G$3:$G$22&gt;B4142)*(Calc!$G$3:$G$22-B4142))</f>
        <v/>
      </c>
      <c r="L4142">
        <f>SUMPRODUCT(Calc!$K$3:$K$22*(Calc!$G$3:$G$22&gt;A4142)*(Calc!$G$3:$G$22-A4142)*Calc!$G$3:$G$22)</f>
        <v/>
      </c>
      <c r="M4142">
        <f>SUMPRODUCT(Calc!$K$3:$K$22*(Calc!$G$3:$G$22&gt;B4142)*(Calc!$G$3:$G$22-B4142)*Calc!$G$3:$G$22)</f>
        <v/>
      </c>
      <c r="N4142">
        <f>SUMPRODUCT(Calc!$K$3:$K$22*(Calc!$G$3:$G$22&gt;A4142)*(Calc!$G$3:$G$22-A4142)*Calc!$I$3:$I$22)</f>
        <v/>
      </c>
      <c r="O4142">
        <f>SUMPRODUCT(Calc!$K$3:$K$22*(Calc!$G$3:$G$22&gt;B4142)*(Calc!$G$3:$G$22-B4142)*Calc!$I$3:$I$22)</f>
        <v/>
      </c>
      <c r="P4142">
        <f>I4142-G4142^2/k_n</f>
        <v/>
      </c>
      <c r="Q4142">
        <f>J4142-H4142^2/k_n</f>
        <v/>
      </c>
      <c r="R4142">
        <f>K4142-G4142*H4142/k_n</f>
        <v/>
      </c>
      <c r="S4142">
        <f>L4142-LTP3!$D$3*G4142/k_n</f>
        <v/>
      </c>
      <c r="T4142">
        <f>M4142-LTP3!$D$3*H4142/k_n</f>
        <v/>
      </c>
      <c r="U4142">
        <f>N4142-G4142*LTP3!$D$4/k_n</f>
        <v/>
      </c>
      <c r="V4142">
        <f>O4142-H4142*LTP3!$D$4/k_n</f>
        <v/>
      </c>
      <c r="W4142">
        <f>((LTP3!$D$5)*((P4142)*(Q4142)-(R4142)*(R4142))-(S4142)*((S4142)*(Q4142)-(R4142)*(T4142))+(T4142)*((S4142)*(R4142)-(P4142)*(T4142)))</f>
        <v/>
      </c>
      <c r="X4142">
        <f>IF(ABS(W4142)&gt;1E-12,((LTP3!$D$6)*((P4142)*(Q4142)-(R4142)*(R4142))-(S4142)*((U4142)*(Q4142)-(R4142)*(V4142))+(T4142)*((U4142)*(R4142)-(P4142)*(V4142)))/W4142,0)</f>
        <v/>
      </c>
      <c r="Y4142">
        <f>IF(ABS(W4142)&gt;1E-12,((LTP3!$D$5)*((U4142)*(Q4142)-(R4142)*(V4142))-(LTP3!$D$6)*((S4142)*(Q4142)-(R4142)*(T4142))+(T4142)*((S4142)*(V4142)-(U4142)*(T4142)))/W4142,0)</f>
        <v/>
      </c>
      <c r="Z4142">
        <f>IF(ABS(W4142)&gt;1E-12,((LTP3!$D$5)*((P4142)*(V4142)-(U4142)*(R4142))-(S4142)*((S4142)*(V4142)-(U4142)*(T4142))+(LTP3!$D$6)*((S4142)*(R4142)-(P4142)*(T4142)))/W4142,0)</f>
        <v/>
      </c>
      <c r="AA4142">
        <f>LTP3!$D$7-X4142*LTP3!$D$6-Y4142*U4142-Z4142*V4142</f>
        <v/>
      </c>
      <c r="AB4142">
        <f>IF(AND(F4142,ABS(W4142)&gt;1E-12,Y4142&gt;0,Z4142&gt;0),AA4142,1E+300)</f>
        <v/>
      </c>
    </row>
    <row r="4143">
      <c r="A4143">
        <f>$I$3-$B$5+$B$5*19/10</f>
        <v/>
      </c>
      <c r="B4143">
        <f>$J$3-$B$5+$B$5*8/10</f>
        <v/>
      </c>
      <c r="C4143">
        <f>SUMPRODUCT(Calc!$K$3:$K$22*(Calc!$G$3:$G$22&lt;=A4143))</f>
        <v/>
      </c>
      <c r="D4143">
        <f>SUMPRODUCT(Calc!$K$3:$K$22*(Calc!$G$3:$G$22&gt;A4143)*(Calc!$G$3:$G$22&lt;B4143))</f>
        <v/>
      </c>
      <c r="E4143">
        <f>SUMPRODUCT(Calc!$K$3:$K$22*(Calc!$G$3:$G$22&gt;=B4143))</f>
        <v/>
      </c>
      <c r="F4143">
        <f>AND(k_n&gt;=5,B4143&gt;A4143+1E-9,C4143&gt;=2,D4143&gt;=1,E4143&gt;=2)</f>
        <v/>
      </c>
      <c r="G4143">
        <f>SUMPRODUCT(Calc!$K$3:$K$22*(Calc!$G$3:$G$22&gt;A4143)*(Calc!$G$3:$G$22-A4143))</f>
        <v/>
      </c>
      <c r="H4143">
        <f>SUMPRODUCT(Calc!$K$3:$K$22*(Calc!$G$3:$G$22&gt;B4143)*(Calc!$G$3:$G$22-B4143))</f>
        <v/>
      </c>
      <c r="I4143">
        <f>SUMPRODUCT(Calc!$K$3:$K$22*(Calc!$G$3:$G$22&gt;A4143)*(Calc!$G$3:$G$22-A4143)^2)</f>
        <v/>
      </c>
      <c r="J4143">
        <f>SUMPRODUCT(Calc!$K$3:$K$22*(Calc!$G$3:$G$22&gt;B4143)*(Calc!$G$3:$G$22-B4143)^2)</f>
        <v/>
      </c>
      <c r="K4143">
        <f>SUMPRODUCT(Calc!$K$3:$K$22*(Calc!$G$3:$G$22&gt;A4143)*(Calc!$G$3:$G$22-A4143)*(Calc!$G$3:$G$22&gt;B4143)*(Calc!$G$3:$G$22-B4143))</f>
        <v/>
      </c>
      <c r="L4143">
        <f>SUMPRODUCT(Calc!$K$3:$K$22*(Calc!$G$3:$G$22&gt;A4143)*(Calc!$G$3:$G$22-A4143)*Calc!$G$3:$G$22)</f>
        <v/>
      </c>
      <c r="M4143">
        <f>SUMPRODUCT(Calc!$K$3:$K$22*(Calc!$G$3:$G$22&gt;B4143)*(Calc!$G$3:$G$22-B4143)*Calc!$G$3:$G$22)</f>
        <v/>
      </c>
      <c r="N4143">
        <f>SUMPRODUCT(Calc!$K$3:$K$22*(Calc!$G$3:$G$22&gt;A4143)*(Calc!$G$3:$G$22-A4143)*Calc!$I$3:$I$22)</f>
        <v/>
      </c>
      <c r="O4143">
        <f>SUMPRODUCT(Calc!$K$3:$K$22*(Calc!$G$3:$G$22&gt;B4143)*(Calc!$G$3:$G$22-B4143)*Calc!$I$3:$I$22)</f>
        <v/>
      </c>
      <c r="P4143">
        <f>I4143-G4143^2/k_n</f>
        <v/>
      </c>
      <c r="Q4143">
        <f>J4143-H4143^2/k_n</f>
        <v/>
      </c>
      <c r="R4143">
        <f>K4143-G4143*H4143/k_n</f>
        <v/>
      </c>
      <c r="S4143">
        <f>L4143-LTP3!$D$3*G4143/k_n</f>
        <v/>
      </c>
      <c r="T4143">
        <f>M4143-LTP3!$D$3*H4143/k_n</f>
        <v/>
      </c>
      <c r="U4143">
        <f>N4143-G4143*LTP3!$D$4/k_n</f>
        <v/>
      </c>
      <c r="V4143">
        <f>O4143-H4143*LTP3!$D$4/k_n</f>
        <v/>
      </c>
      <c r="W4143">
        <f>((LTP3!$D$5)*((P4143)*(Q4143)-(R4143)*(R4143))-(S4143)*((S4143)*(Q4143)-(R4143)*(T4143))+(T4143)*((S4143)*(R4143)-(P4143)*(T4143)))</f>
        <v/>
      </c>
      <c r="X4143">
        <f>IF(ABS(W4143)&gt;1E-12,((LTP3!$D$6)*((P4143)*(Q4143)-(R4143)*(R4143))-(S4143)*((U4143)*(Q4143)-(R4143)*(V4143))+(T4143)*((U4143)*(R4143)-(P4143)*(V4143)))/W4143,0)</f>
        <v/>
      </c>
      <c r="Y4143">
        <f>IF(ABS(W4143)&gt;1E-12,((LTP3!$D$5)*((U4143)*(Q4143)-(R4143)*(V4143))-(LTP3!$D$6)*((S4143)*(Q4143)-(R4143)*(T4143))+(T4143)*((S4143)*(V4143)-(U4143)*(T4143)))/W4143,0)</f>
        <v/>
      </c>
      <c r="Z4143">
        <f>IF(ABS(W4143)&gt;1E-12,((LTP3!$D$5)*((P4143)*(V4143)-(U4143)*(R4143))-(S4143)*((S4143)*(V4143)-(U4143)*(T4143))+(LTP3!$D$6)*((S4143)*(R4143)-(P4143)*(T4143)))/W4143,0)</f>
        <v/>
      </c>
      <c r="AA4143">
        <f>LTP3!$D$7-X4143*LTP3!$D$6-Y4143*U4143-Z4143*V4143</f>
        <v/>
      </c>
      <c r="AB4143">
        <f>IF(AND(F4143,ABS(W4143)&gt;1E-12,Y4143&gt;0,Z4143&gt;0),AA4143,1E+300)</f>
        <v/>
      </c>
    </row>
    <row r="4144">
      <c r="A4144">
        <f>$I$3-$B$5+$B$5*19/10</f>
        <v/>
      </c>
      <c r="B4144">
        <f>$J$3-$B$5+$B$5*9/10</f>
        <v/>
      </c>
      <c r="C4144">
        <f>SUMPRODUCT(Calc!$K$3:$K$22*(Calc!$G$3:$G$22&lt;=A4144))</f>
        <v/>
      </c>
      <c r="D4144">
        <f>SUMPRODUCT(Calc!$K$3:$K$22*(Calc!$G$3:$G$22&gt;A4144)*(Calc!$G$3:$G$22&lt;B4144))</f>
        <v/>
      </c>
      <c r="E4144">
        <f>SUMPRODUCT(Calc!$K$3:$K$22*(Calc!$G$3:$G$22&gt;=B4144))</f>
        <v/>
      </c>
      <c r="F4144">
        <f>AND(k_n&gt;=5,B4144&gt;A4144+1E-9,C4144&gt;=2,D4144&gt;=1,E4144&gt;=2)</f>
        <v/>
      </c>
      <c r="G4144">
        <f>SUMPRODUCT(Calc!$K$3:$K$22*(Calc!$G$3:$G$22&gt;A4144)*(Calc!$G$3:$G$22-A4144))</f>
        <v/>
      </c>
      <c r="H4144">
        <f>SUMPRODUCT(Calc!$K$3:$K$22*(Calc!$G$3:$G$22&gt;B4144)*(Calc!$G$3:$G$22-B4144))</f>
        <v/>
      </c>
      <c r="I4144">
        <f>SUMPRODUCT(Calc!$K$3:$K$22*(Calc!$G$3:$G$22&gt;A4144)*(Calc!$G$3:$G$22-A4144)^2)</f>
        <v/>
      </c>
      <c r="J4144">
        <f>SUMPRODUCT(Calc!$K$3:$K$22*(Calc!$G$3:$G$22&gt;B4144)*(Calc!$G$3:$G$22-B4144)^2)</f>
        <v/>
      </c>
      <c r="K4144">
        <f>SUMPRODUCT(Calc!$K$3:$K$22*(Calc!$G$3:$G$22&gt;A4144)*(Calc!$G$3:$G$22-A4144)*(Calc!$G$3:$G$22&gt;B4144)*(Calc!$G$3:$G$22-B4144))</f>
        <v/>
      </c>
      <c r="L4144">
        <f>SUMPRODUCT(Calc!$K$3:$K$22*(Calc!$G$3:$G$22&gt;A4144)*(Calc!$G$3:$G$22-A4144)*Calc!$G$3:$G$22)</f>
        <v/>
      </c>
      <c r="M4144">
        <f>SUMPRODUCT(Calc!$K$3:$K$22*(Calc!$G$3:$G$22&gt;B4144)*(Calc!$G$3:$G$22-B4144)*Calc!$G$3:$G$22)</f>
        <v/>
      </c>
      <c r="N4144">
        <f>SUMPRODUCT(Calc!$K$3:$K$22*(Calc!$G$3:$G$22&gt;A4144)*(Calc!$G$3:$G$22-A4144)*Calc!$I$3:$I$22)</f>
        <v/>
      </c>
      <c r="O4144">
        <f>SUMPRODUCT(Calc!$K$3:$K$22*(Calc!$G$3:$G$22&gt;B4144)*(Calc!$G$3:$G$22-B4144)*Calc!$I$3:$I$22)</f>
        <v/>
      </c>
      <c r="P4144">
        <f>I4144-G4144^2/k_n</f>
        <v/>
      </c>
      <c r="Q4144">
        <f>J4144-H4144^2/k_n</f>
        <v/>
      </c>
      <c r="R4144">
        <f>K4144-G4144*H4144/k_n</f>
        <v/>
      </c>
      <c r="S4144">
        <f>L4144-LTP3!$D$3*G4144/k_n</f>
        <v/>
      </c>
      <c r="T4144">
        <f>M4144-LTP3!$D$3*H4144/k_n</f>
        <v/>
      </c>
      <c r="U4144">
        <f>N4144-G4144*LTP3!$D$4/k_n</f>
        <v/>
      </c>
      <c r="V4144">
        <f>O4144-H4144*LTP3!$D$4/k_n</f>
        <v/>
      </c>
      <c r="W4144">
        <f>((LTP3!$D$5)*((P4144)*(Q4144)-(R4144)*(R4144))-(S4144)*((S4144)*(Q4144)-(R4144)*(T4144))+(T4144)*((S4144)*(R4144)-(P4144)*(T4144)))</f>
        <v/>
      </c>
      <c r="X4144">
        <f>IF(ABS(W4144)&gt;1E-12,((LTP3!$D$6)*((P4144)*(Q4144)-(R4144)*(R4144))-(S4144)*((U4144)*(Q4144)-(R4144)*(V4144))+(T4144)*((U4144)*(R4144)-(P4144)*(V4144)))/W4144,0)</f>
        <v/>
      </c>
      <c r="Y4144">
        <f>IF(ABS(W4144)&gt;1E-12,((LTP3!$D$5)*((U4144)*(Q4144)-(R4144)*(V4144))-(LTP3!$D$6)*((S4144)*(Q4144)-(R4144)*(T4144))+(T4144)*((S4144)*(V4144)-(U4144)*(T4144)))/W4144,0)</f>
        <v/>
      </c>
      <c r="Z4144">
        <f>IF(ABS(W4144)&gt;1E-12,((LTP3!$D$5)*((P4144)*(V4144)-(U4144)*(R4144))-(S4144)*((S4144)*(V4144)-(U4144)*(T4144))+(LTP3!$D$6)*((S4144)*(R4144)-(P4144)*(T4144)))/W4144,0)</f>
        <v/>
      </c>
      <c r="AA4144">
        <f>LTP3!$D$7-X4144*LTP3!$D$6-Y4144*U4144-Z4144*V4144</f>
        <v/>
      </c>
      <c r="AB4144">
        <f>IF(AND(F4144,ABS(W4144)&gt;1E-12,Y4144&gt;0,Z4144&gt;0),AA4144,1E+300)</f>
        <v/>
      </c>
    </row>
    <row r="4145">
      <c r="A4145">
        <f>$I$3-$B$5+$B$5*19/10</f>
        <v/>
      </c>
      <c r="B4145">
        <f>$J$3-$B$5+$B$5*10/10</f>
        <v/>
      </c>
      <c r="C4145">
        <f>SUMPRODUCT(Calc!$K$3:$K$22*(Calc!$G$3:$G$22&lt;=A4145))</f>
        <v/>
      </c>
      <c r="D4145">
        <f>SUMPRODUCT(Calc!$K$3:$K$22*(Calc!$G$3:$G$22&gt;A4145)*(Calc!$G$3:$G$22&lt;B4145))</f>
        <v/>
      </c>
      <c r="E4145">
        <f>SUMPRODUCT(Calc!$K$3:$K$22*(Calc!$G$3:$G$22&gt;=B4145))</f>
        <v/>
      </c>
      <c r="F4145">
        <f>AND(k_n&gt;=5,B4145&gt;A4145+1E-9,C4145&gt;=2,D4145&gt;=1,E4145&gt;=2)</f>
        <v/>
      </c>
      <c r="G4145">
        <f>SUMPRODUCT(Calc!$K$3:$K$22*(Calc!$G$3:$G$22&gt;A4145)*(Calc!$G$3:$G$22-A4145))</f>
        <v/>
      </c>
      <c r="H4145">
        <f>SUMPRODUCT(Calc!$K$3:$K$22*(Calc!$G$3:$G$22&gt;B4145)*(Calc!$G$3:$G$22-B4145))</f>
        <v/>
      </c>
      <c r="I4145">
        <f>SUMPRODUCT(Calc!$K$3:$K$22*(Calc!$G$3:$G$22&gt;A4145)*(Calc!$G$3:$G$22-A4145)^2)</f>
        <v/>
      </c>
      <c r="J4145">
        <f>SUMPRODUCT(Calc!$K$3:$K$22*(Calc!$G$3:$G$22&gt;B4145)*(Calc!$G$3:$G$22-B4145)^2)</f>
        <v/>
      </c>
      <c r="K4145">
        <f>SUMPRODUCT(Calc!$K$3:$K$22*(Calc!$G$3:$G$22&gt;A4145)*(Calc!$G$3:$G$22-A4145)*(Calc!$G$3:$G$22&gt;B4145)*(Calc!$G$3:$G$22-B4145))</f>
        <v/>
      </c>
      <c r="L4145">
        <f>SUMPRODUCT(Calc!$K$3:$K$22*(Calc!$G$3:$G$22&gt;A4145)*(Calc!$G$3:$G$22-A4145)*Calc!$G$3:$G$22)</f>
        <v/>
      </c>
      <c r="M4145">
        <f>SUMPRODUCT(Calc!$K$3:$K$22*(Calc!$G$3:$G$22&gt;B4145)*(Calc!$G$3:$G$22-B4145)*Calc!$G$3:$G$22)</f>
        <v/>
      </c>
      <c r="N4145">
        <f>SUMPRODUCT(Calc!$K$3:$K$22*(Calc!$G$3:$G$22&gt;A4145)*(Calc!$G$3:$G$22-A4145)*Calc!$I$3:$I$22)</f>
        <v/>
      </c>
      <c r="O4145">
        <f>SUMPRODUCT(Calc!$K$3:$K$22*(Calc!$G$3:$G$22&gt;B4145)*(Calc!$G$3:$G$22-B4145)*Calc!$I$3:$I$22)</f>
        <v/>
      </c>
      <c r="P4145">
        <f>I4145-G4145^2/k_n</f>
        <v/>
      </c>
      <c r="Q4145">
        <f>J4145-H4145^2/k_n</f>
        <v/>
      </c>
      <c r="R4145">
        <f>K4145-G4145*H4145/k_n</f>
        <v/>
      </c>
      <c r="S4145">
        <f>L4145-LTP3!$D$3*G4145/k_n</f>
        <v/>
      </c>
      <c r="T4145">
        <f>M4145-LTP3!$D$3*H4145/k_n</f>
        <v/>
      </c>
      <c r="U4145">
        <f>N4145-G4145*LTP3!$D$4/k_n</f>
        <v/>
      </c>
      <c r="V4145">
        <f>O4145-H4145*LTP3!$D$4/k_n</f>
        <v/>
      </c>
      <c r="W4145">
        <f>((LTP3!$D$5)*((P4145)*(Q4145)-(R4145)*(R4145))-(S4145)*((S4145)*(Q4145)-(R4145)*(T4145))+(T4145)*((S4145)*(R4145)-(P4145)*(T4145)))</f>
        <v/>
      </c>
      <c r="X4145">
        <f>IF(ABS(W4145)&gt;1E-12,((LTP3!$D$6)*((P4145)*(Q4145)-(R4145)*(R4145))-(S4145)*((U4145)*(Q4145)-(R4145)*(V4145))+(T4145)*((U4145)*(R4145)-(P4145)*(V4145)))/W4145,0)</f>
        <v/>
      </c>
      <c r="Y4145">
        <f>IF(ABS(W4145)&gt;1E-12,((LTP3!$D$5)*((U4145)*(Q4145)-(R4145)*(V4145))-(LTP3!$D$6)*((S4145)*(Q4145)-(R4145)*(T4145))+(T4145)*((S4145)*(V4145)-(U4145)*(T4145)))/W4145,0)</f>
        <v/>
      </c>
      <c r="Z4145">
        <f>IF(ABS(W4145)&gt;1E-12,((LTP3!$D$5)*((P4145)*(V4145)-(U4145)*(R4145))-(S4145)*((S4145)*(V4145)-(U4145)*(T4145))+(LTP3!$D$6)*((S4145)*(R4145)-(P4145)*(T4145)))/W4145,0)</f>
        <v/>
      </c>
      <c r="AA4145">
        <f>LTP3!$D$7-X4145*LTP3!$D$6-Y4145*U4145-Z4145*V4145</f>
        <v/>
      </c>
      <c r="AB4145">
        <f>IF(AND(F4145,ABS(W4145)&gt;1E-12,Y4145&gt;0,Z4145&gt;0),AA4145,1E+300)</f>
        <v/>
      </c>
    </row>
    <row r="4146">
      <c r="A4146">
        <f>$I$3-$B$5+$B$5*19/10</f>
        <v/>
      </c>
      <c r="B4146">
        <f>$J$3-$B$5+$B$5*11/10</f>
        <v/>
      </c>
      <c r="C4146">
        <f>SUMPRODUCT(Calc!$K$3:$K$22*(Calc!$G$3:$G$22&lt;=A4146))</f>
        <v/>
      </c>
      <c r="D4146">
        <f>SUMPRODUCT(Calc!$K$3:$K$22*(Calc!$G$3:$G$22&gt;A4146)*(Calc!$G$3:$G$22&lt;B4146))</f>
        <v/>
      </c>
      <c r="E4146">
        <f>SUMPRODUCT(Calc!$K$3:$K$22*(Calc!$G$3:$G$22&gt;=B4146))</f>
        <v/>
      </c>
      <c r="F4146">
        <f>AND(k_n&gt;=5,B4146&gt;A4146+1E-9,C4146&gt;=2,D4146&gt;=1,E4146&gt;=2)</f>
        <v/>
      </c>
      <c r="G4146">
        <f>SUMPRODUCT(Calc!$K$3:$K$22*(Calc!$G$3:$G$22&gt;A4146)*(Calc!$G$3:$G$22-A4146))</f>
        <v/>
      </c>
      <c r="H4146">
        <f>SUMPRODUCT(Calc!$K$3:$K$22*(Calc!$G$3:$G$22&gt;B4146)*(Calc!$G$3:$G$22-B4146))</f>
        <v/>
      </c>
      <c r="I4146">
        <f>SUMPRODUCT(Calc!$K$3:$K$22*(Calc!$G$3:$G$22&gt;A4146)*(Calc!$G$3:$G$22-A4146)^2)</f>
        <v/>
      </c>
      <c r="J4146">
        <f>SUMPRODUCT(Calc!$K$3:$K$22*(Calc!$G$3:$G$22&gt;B4146)*(Calc!$G$3:$G$22-B4146)^2)</f>
        <v/>
      </c>
      <c r="K4146">
        <f>SUMPRODUCT(Calc!$K$3:$K$22*(Calc!$G$3:$G$22&gt;A4146)*(Calc!$G$3:$G$22-A4146)*(Calc!$G$3:$G$22&gt;B4146)*(Calc!$G$3:$G$22-B4146))</f>
        <v/>
      </c>
      <c r="L4146">
        <f>SUMPRODUCT(Calc!$K$3:$K$22*(Calc!$G$3:$G$22&gt;A4146)*(Calc!$G$3:$G$22-A4146)*Calc!$G$3:$G$22)</f>
        <v/>
      </c>
      <c r="M4146">
        <f>SUMPRODUCT(Calc!$K$3:$K$22*(Calc!$G$3:$G$22&gt;B4146)*(Calc!$G$3:$G$22-B4146)*Calc!$G$3:$G$22)</f>
        <v/>
      </c>
      <c r="N4146">
        <f>SUMPRODUCT(Calc!$K$3:$K$22*(Calc!$G$3:$G$22&gt;A4146)*(Calc!$G$3:$G$22-A4146)*Calc!$I$3:$I$22)</f>
        <v/>
      </c>
      <c r="O4146">
        <f>SUMPRODUCT(Calc!$K$3:$K$22*(Calc!$G$3:$G$22&gt;B4146)*(Calc!$G$3:$G$22-B4146)*Calc!$I$3:$I$22)</f>
        <v/>
      </c>
      <c r="P4146">
        <f>I4146-G4146^2/k_n</f>
        <v/>
      </c>
      <c r="Q4146">
        <f>J4146-H4146^2/k_n</f>
        <v/>
      </c>
      <c r="R4146">
        <f>K4146-G4146*H4146/k_n</f>
        <v/>
      </c>
      <c r="S4146">
        <f>L4146-LTP3!$D$3*G4146/k_n</f>
        <v/>
      </c>
      <c r="T4146">
        <f>M4146-LTP3!$D$3*H4146/k_n</f>
        <v/>
      </c>
      <c r="U4146">
        <f>N4146-G4146*LTP3!$D$4/k_n</f>
        <v/>
      </c>
      <c r="V4146">
        <f>O4146-H4146*LTP3!$D$4/k_n</f>
        <v/>
      </c>
      <c r="W4146">
        <f>((LTP3!$D$5)*((P4146)*(Q4146)-(R4146)*(R4146))-(S4146)*((S4146)*(Q4146)-(R4146)*(T4146))+(T4146)*((S4146)*(R4146)-(P4146)*(T4146)))</f>
        <v/>
      </c>
      <c r="X4146">
        <f>IF(ABS(W4146)&gt;1E-12,((LTP3!$D$6)*((P4146)*(Q4146)-(R4146)*(R4146))-(S4146)*((U4146)*(Q4146)-(R4146)*(V4146))+(T4146)*((U4146)*(R4146)-(P4146)*(V4146)))/W4146,0)</f>
        <v/>
      </c>
      <c r="Y4146">
        <f>IF(ABS(W4146)&gt;1E-12,((LTP3!$D$5)*((U4146)*(Q4146)-(R4146)*(V4146))-(LTP3!$D$6)*((S4146)*(Q4146)-(R4146)*(T4146))+(T4146)*((S4146)*(V4146)-(U4146)*(T4146)))/W4146,0)</f>
        <v/>
      </c>
      <c r="Z4146">
        <f>IF(ABS(W4146)&gt;1E-12,((LTP3!$D$5)*((P4146)*(V4146)-(U4146)*(R4146))-(S4146)*((S4146)*(V4146)-(U4146)*(T4146))+(LTP3!$D$6)*((S4146)*(R4146)-(P4146)*(T4146)))/W4146,0)</f>
        <v/>
      </c>
      <c r="AA4146">
        <f>LTP3!$D$7-X4146*LTP3!$D$6-Y4146*U4146-Z4146*V4146</f>
        <v/>
      </c>
      <c r="AB4146">
        <f>IF(AND(F4146,ABS(W4146)&gt;1E-12,Y4146&gt;0,Z4146&gt;0),AA4146,1E+300)</f>
        <v/>
      </c>
    </row>
    <row r="4147">
      <c r="A4147">
        <f>$I$3-$B$5+$B$5*19/10</f>
        <v/>
      </c>
      <c r="B4147">
        <f>$J$3-$B$5+$B$5*12/10</f>
        <v/>
      </c>
      <c r="C4147">
        <f>SUMPRODUCT(Calc!$K$3:$K$22*(Calc!$G$3:$G$22&lt;=A4147))</f>
        <v/>
      </c>
      <c r="D4147">
        <f>SUMPRODUCT(Calc!$K$3:$K$22*(Calc!$G$3:$G$22&gt;A4147)*(Calc!$G$3:$G$22&lt;B4147))</f>
        <v/>
      </c>
      <c r="E4147">
        <f>SUMPRODUCT(Calc!$K$3:$K$22*(Calc!$G$3:$G$22&gt;=B4147))</f>
        <v/>
      </c>
      <c r="F4147">
        <f>AND(k_n&gt;=5,B4147&gt;A4147+1E-9,C4147&gt;=2,D4147&gt;=1,E4147&gt;=2)</f>
        <v/>
      </c>
      <c r="G4147">
        <f>SUMPRODUCT(Calc!$K$3:$K$22*(Calc!$G$3:$G$22&gt;A4147)*(Calc!$G$3:$G$22-A4147))</f>
        <v/>
      </c>
      <c r="H4147">
        <f>SUMPRODUCT(Calc!$K$3:$K$22*(Calc!$G$3:$G$22&gt;B4147)*(Calc!$G$3:$G$22-B4147))</f>
        <v/>
      </c>
      <c r="I4147">
        <f>SUMPRODUCT(Calc!$K$3:$K$22*(Calc!$G$3:$G$22&gt;A4147)*(Calc!$G$3:$G$22-A4147)^2)</f>
        <v/>
      </c>
      <c r="J4147">
        <f>SUMPRODUCT(Calc!$K$3:$K$22*(Calc!$G$3:$G$22&gt;B4147)*(Calc!$G$3:$G$22-B4147)^2)</f>
        <v/>
      </c>
      <c r="K4147">
        <f>SUMPRODUCT(Calc!$K$3:$K$22*(Calc!$G$3:$G$22&gt;A4147)*(Calc!$G$3:$G$22-A4147)*(Calc!$G$3:$G$22&gt;B4147)*(Calc!$G$3:$G$22-B4147))</f>
        <v/>
      </c>
      <c r="L4147">
        <f>SUMPRODUCT(Calc!$K$3:$K$22*(Calc!$G$3:$G$22&gt;A4147)*(Calc!$G$3:$G$22-A4147)*Calc!$G$3:$G$22)</f>
        <v/>
      </c>
      <c r="M4147">
        <f>SUMPRODUCT(Calc!$K$3:$K$22*(Calc!$G$3:$G$22&gt;B4147)*(Calc!$G$3:$G$22-B4147)*Calc!$G$3:$G$22)</f>
        <v/>
      </c>
      <c r="N4147">
        <f>SUMPRODUCT(Calc!$K$3:$K$22*(Calc!$G$3:$G$22&gt;A4147)*(Calc!$G$3:$G$22-A4147)*Calc!$I$3:$I$22)</f>
        <v/>
      </c>
      <c r="O4147">
        <f>SUMPRODUCT(Calc!$K$3:$K$22*(Calc!$G$3:$G$22&gt;B4147)*(Calc!$G$3:$G$22-B4147)*Calc!$I$3:$I$22)</f>
        <v/>
      </c>
      <c r="P4147">
        <f>I4147-G4147^2/k_n</f>
        <v/>
      </c>
      <c r="Q4147">
        <f>J4147-H4147^2/k_n</f>
        <v/>
      </c>
      <c r="R4147">
        <f>K4147-G4147*H4147/k_n</f>
        <v/>
      </c>
      <c r="S4147">
        <f>L4147-LTP3!$D$3*G4147/k_n</f>
        <v/>
      </c>
      <c r="T4147">
        <f>M4147-LTP3!$D$3*H4147/k_n</f>
        <v/>
      </c>
      <c r="U4147">
        <f>N4147-G4147*LTP3!$D$4/k_n</f>
        <v/>
      </c>
      <c r="V4147">
        <f>O4147-H4147*LTP3!$D$4/k_n</f>
        <v/>
      </c>
      <c r="W4147">
        <f>((LTP3!$D$5)*((P4147)*(Q4147)-(R4147)*(R4147))-(S4147)*((S4147)*(Q4147)-(R4147)*(T4147))+(T4147)*((S4147)*(R4147)-(P4147)*(T4147)))</f>
        <v/>
      </c>
      <c r="X4147">
        <f>IF(ABS(W4147)&gt;1E-12,((LTP3!$D$6)*((P4147)*(Q4147)-(R4147)*(R4147))-(S4147)*((U4147)*(Q4147)-(R4147)*(V4147))+(T4147)*((U4147)*(R4147)-(P4147)*(V4147)))/W4147,0)</f>
        <v/>
      </c>
      <c r="Y4147">
        <f>IF(ABS(W4147)&gt;1E-12,((LTP3!$D$5)*((U4147)*(Q4147)-(R4147)*(V4147))-(LTP3!$D$6)*((S4147)*(Q4147)-(R4147)*(T4147))+(T4147)*((S4147)*(V4147)-(U4147)*(T4147)))/W4147,0)</f>
        <v/>
      </c>
      <c r="Z4147">
        <f>IF(ABS(W4147)&gt;1E-12,((LTP3!$D$5)*((P4147)*(V4147)-(U4147)*(R4147))-(S4147)*((S4147)*(V4147)-(U4147)*(T4147))+(LTP3!$D$6)*((S4147)*(R4147)-(P4147)*(T4147)))/W4147,0)</f>
        <v/>
      </c>
      <c r="AA4147">
        <f>LTP3!$D$7-X4147*LTP3!$D$6-Y4147*U4147-Z4147*V4147</f>
        <v/>
      </c>
      <c r="AB4147">
        <f>IF(AND(F4147,ABS(W4147)&gt;1E-12,Y4147&gt;0,Z4147&gt;0),AA4147,1E+300)</f>
        <v/>
      </c>
    </row>
    <row r="4148">
      <c r="A4148">
        <f>$I$3-$B$5+$B$5*19/10</f>
        <v/>
      </c>
      <c r="B4148">
        <f>$J$3-$B$5+$B$5*13/10</f>
        <v/>
      </c>
      <c r="C4148">
        <f>SUMPRODUCT(Calc!$K$3:$K$22*(Calc!$G$3:$G$22&lt;=A4148))</f>
        <v/>
      </c>
      <c r="D4148">
        <f>SUMPRODUCT(Calc!$K$3:$K$22*(Calc!$G$3:$G$22&gt;A4148)*(Calc!$G$3:$G$22&lt;B4148))</f>
        <v/>
      </c>
      <c r="E4148">
        <f>SUMPRODUCT(Calc!$K$3:$K$22*(Calc!$G$3:$G$22&gt;=B4148))</f>
        <v/>
      </c>
      <c r="F4148">
        <f>AND(k_n&gt;=5,B4148&gt;A4148+1E-9,C4148&gt;=2,D4148&gt;=1,E4148&gt;=2)</f>
        <v/>
      </c>
      <c r="G4148">
        <f>SUMPRODUCT(Calc!$K$3:$K$22*(Calc!$G$3:$G$22&gt;A4148)*(Calc!$G$3:$G$22-A4148))</f>
        <v/>
      </c>
      <c r="H4148">
        <f>SUMPRODUCT(Calc!$K$3:$K$22*(Calc!$G$3:$G$22&gt;B4148)*(Calc!$G$3:$G$22-B4148))</f>
        <v/>
      </c>
      <c r="I4148">
        <f>SUMPRODUCT(Calc!$K$3:$K$22*(Calc!$G$3:$G$22&gt;A4148)*(Calc!$G$3:$G$22-A4148)^2)</f>
        <v/>
      </c>
      <c r="J4148">
        <f>SUMPRODUCT(Calc!$K$3:$K$22*(Calc!$G$3:$G$22&gt;B4148)*(Calc!$G$3:$G$22-B4148)^2)</f>
        <v/>
      </c>
      <c r="K4148">
        <f>SUMPRODUCT(Calc!$K$3:$K$22*(Calc!$G$3:$G$22&gt;A4148)*(Calc!$G$3:$G$22-A4148)*(Calc!$G$3:$G$22&gt;B4148)*(Calc!$G$3:$G$22-B4148))</f>
        <v/>
      </c>
      <c r="L4148">
        <f>SUMPRODUCT(Calc!$K$3:$K$22*(Calc!$G$3:$G$22&gt;A4148)*(Calc!$G$3:$G$22-A4148)*Calc!$G$3:$G$22)</f>
        <v/>
      </c>
      <c r="M4148">
        <f>SUMPRODUCT(Calc!$K$3:$K$22*(Calc!$G$3:$G$22&gt;B4148)*(Calc!$G$3:$G$22-B4148)*Calc!$G$3:$G$22)</f>
        <v/>
      </c>
      <c r="N4148">
        <f>SUMPRODUCT(Calc!$K$3:$K$22*(Calc!$G$3:$G$22&gt;A4148)*(Calc!$G$3:$G$22-A4148)*Calc!$I$3:$I$22)</f>
        <v/>
      </c>
      <c r="O4148">
        <f>SUMPRODUCT(Calc!$K$3:$K$22*(Calc!$G$3:$G$22&gt;B4148)*(Calc!$G$3:$G$22-B4148)*Calc!$I$3:$I$22)</f>
        <v/>
      </c>
      <c r="P4148">
        <f>I4148-G4148^2/k_n</f>
        <v/>
      </c>
      <c r="Q4148">
        <f>J4148-H4148^2/k_n</f>
        <v/>
      </c>
      <c r="R4148">
        <f>K4148-G4148*H4148/k_n</f>
        <v/>
      </c>
      <c r="S4148">
        <f>L4148-LTP3!$D$3*G4148/k_n</f>
        <v/>
      </c>
      <c r="T4148">
        <f>M4148-LTP3!$D$3*H4148/k_n</f>
        <v/>
      </c>
      <c r="U4148">
        <f>N4148-G4148*LTP3!$D$4/k_n</f>
        <v/>
      </c>
      <c r="V4148">
        <f>O4148-H4148*LTP3!$D$4/k_n</f>
        <v/>
      </c>
      <c r="W4148">
        <f>((LTP3!$D$5)*((P4148)*(Q4148)-(R4148)*(R4148))-(S4148)*((S4148)*(Q4148)-(R4148)*(T4148))+(T4148)*((S4148)*(R4148)-(P4148)*(T4148)))</f>
        <v/>
      </c>
      <c r="X4148">
        <f>IF(ABS(W4148)&gt;1E-12,((LTP3!$D$6)*((P4148)*(Q4148)-(R4148)*(R4148))-(S4148)*((U4148)*(Q4148)-(R4148)*(V4148))+(T4148)*((U4148)*(R4148)-(P4148)*(V4148)))/W4148,0)</f>
        <v/>
      </c>
      <c r="Y4148">
        <f>IF(ABS(W4148)&gt;1E-12,((LTP3!$D$5)*((U4148)*(Q4148)-(R4148)*(V4148))-(LTP3!$D$6)*((S4148)*(Q4148)-(R4148)*(T4148))+(T4148)*((S4148)*(V4148)-(U4148)*(T4148)))/W4148,0)</f>
        <v/>
      </c>
      <c r="Z4148">
        <f>IF(ABS(W4148)&gt;1E-12,((LTP3!$D$5)*((P4148)*(V4148)-(U4148)*(R4148))-(S4148)*((S4148)*(V4148)-(U4148)*(T4148))+(LTP3!$D$6)*((S4148)*(R4148)-(P4148)*(T4148)))/W4148,0)</f>
        <v/>
      </c>
      <c r="AA4148">
        <f>LTP3!$D$7-X4148*LTP3!$D$6-Y4148*U4148-Z4148*V4148</f>
        <v/>
      </c>
      <c r="AB4148">
        <f>IF(AND(F4148,ABS(W4148)&gt;1E-12,Y4148&gt;0,Z4148&gt;0),AA4148,1E+300)</f>
        <v/>
      </c>
    </row>
    <row r="4149">
      <c r="A4149">
        <f>$I$3-$B$5+$B$5*19/10</f>
        <v/>
      </c>
      <c r="B4149">
        <f>$J$3-$B$5+$B$5*14/10</f>
        <v/>
      </c>
      <c r="C4149">
        <f>SUMPRODUCT(Calc!$K$3:$K$22*(Calc!$G$3:$G$22&lt;=A4149))</f>
        <v/>
      </c>
      <c r="D4149">
        <f>SUMPRODUCT(Calc!$K$3:$K$22*(Calc!$G$3:$G$22&gt;A4149)*(Calc!$G$3:$G$22&lt;B4149))</f>
        <v/>
      </c>
      <c r="E4149">
        <f>SUMPRODUCT(Calc!$K$3:$K$22*(Calc!$G$3:$G$22&gt;=B4149))</f>
        <v/>
      </c>
      <c r="F4149">
        <f>AND(k_n&gt;=5,B4149&gt;A4149+1E-9,C4149&gt;=2,D4149&gt;=1,E4149&gt;=2)</f>
        <v/>
      </c>
      <c r="G4149">
        <f>SUMPRODUCT(Calc!$K$3:$K$22*(Calc!$G$3:$G$22&gt;A4149)*(Calc!$G$3:$G$22-A4149))</f>
        <v/>
      </c>
      <c r="H4149">
        <f>SUMPRODUCT(Calc!$K$3:$K$22*(Calc!$G$3:$G$22&gt;B4149)*(Calc!$G$3:$G$22-B4149))</f>
        <v/>
      </c>
      <c r="I4149">
        <f>SUMPRODUCT(Calc!$K$3:$K$22*(Calc!$G$3:$G$22&gt;A4149)*(Calc!$G$3:$G$22-A4149)^2)</f>
        <v/>
      </c>
      <c r="J4149">
        <f>SUMPRODUCT(Calc!$K$3:$K$22*(Calc!$G$3:$G$22&gt;B4149)*(Calc!$G$3:$G$22-B4149)^2)</f>
        <v/>
      </c>
      <c r="K4149">
        <f>SUMPRODUCT(Calc!$K$3:$K$22*(Calc!$G$3:$G$22&gt;A4149)*(Calc!$G$3:$G$22-A4149)*(Calc!$G$3:$G$22&gt;B4149)*(Calc!$G$3:$G$22-B4149))</f>
        <v/>
      </c>
      <c r="L4149">
        <f>SUMPRODUCT(Calc!$K$3:$K$22*(Calc!$G$3:$G$22&gt;A4149)*(Calc!$G$3:$G$22-A4149)*Calc!$G$3:$G$22)</f>
        <v/>
      </c>
      <c r="M4149">
        <f>SUMPRODUCT(Calc!$K$3:$K$22*(Calc!$G$3:$G$22&gt;B4149)*(Calc!$G$3:$G$22-B4149)*Calc!$G$3:$G$22)</f>
        <v/>
      </c>
      <c r="N4149">
        <f>SUMPRODUCT(Calc!$K$3:$K$22*(Calc!$G$3:$G$22&gt;A4149)*(Calc!$G$3:$G$22-A4149)*Calc!$I$3:$I$22)</f>
        <v/>
      </c>
      <c r="O4149">
        <f>SUMPRODUCT(Calc!$K$3:$K$22*(Calc!$G$3:$G$22&gt;B4149)*(Calc!$G$3:$G$22-B4149)*Calc!$I$3:$I$22)</f>
        <v/>
      </c>
      <c r="P4149">
        <f>I4149-G4149^2/k_n</f>
        <v/>
      </c>
      <c r="Q4149">
        <f>J4149-H4149^2/k_n</f>
        <v/>
      </c>
      <c r="R4149">
        <f>K4149-G4149*H4149/k_n</f>
        <v/>
      </c>
      <c r="S4149">
        <f>L4149-LTP3!$D$3*G4149/k_n</f>
        <v/>
      </c>
      <c r="T4149">
        <f>M4149-LTP3!$D$3*H4149/k_n</f>
        <v/>
      </c>
      <c r="U4149">
        <f>N4149-G4149*LTP3!$D$4/k_n</f>
        <v/>
      </c>
      <c r="V4149">
        <f>O4149-H4149*LTP3!$D$4/k_n</f>
        <v/>
      </c>
      <c r="W4149">
        <f>((LTP3!$D$5)*((P4149)*(Q4149)-(R4149)*(R4149))-(S4149)*((S4149)*(Q4149)-(R4149)*(T4149))+(T4149)*((S4149)*(R4149)-(P4149)*(T4149)))</f>
        <v/>
      </c>
      <c r="X4149">
        <f>IF(ABS(W4149)&gt;1E-12,((LTP3!$D$6)*((P4149)*(Q4149)-(R4149)*(R4149))-(S4149)*((U4149)*(Q4149)-(R4149)*(V4149))+(T4149)*((U4149)*(R4149)-(P4149)*(V4149)))/W4149,0)</f>
        <v/>
      </c>
      <c r="Y4149">
        <f>IF(ABS(W4149)&gt;1E-12,((LTP3!$D$5)*((U4149)*(Q4149)-(R4149)*(V4149))-(LTP3!$D$6)*((S4149)*(Q4149)-(R4149)*(T4149))+(T4149)*((S4149)*(V4149)-(U4149)*(T4149)))/W4149,0)</f>
        <v/>
      </c>
      <c r="Z4149">
        <f>IF(ABS(W4149)&gt;1E-12,((LTP3!$D$5)*((P4149)*(V4149)-(U4149)*(R4149))-(S4149)*((S4149)*(V4149)-(U4149)*(T4149))+(LTP3!$D$6)*((S4149)*(R4149)-(P4149)*(T4149)))/W4149,0)</f>
        <v/>
      </c>
      <c r="AA4149">
        <f>LTP3!$D$7-X4149*LTP3!$D$6-Y4149*U4149-Z4149*V4149</f>
        <v/>
      </c>
      <c r="AB4149">
        <f>IF(AND(F4149,ABS(W4149)&gt;1E-12,Y4149&gt;0,Z4149&gt;0),AA4149,1E+300)</f>
        <v/>
      </c>
    </row>
    <row r="4150">
      <c r="A4150">
        <f>$I$3-$B$5+$B$5*19/10</f>
        <v/>
      </c>
      <c r="B4150">
        <f>$J$3-$B$5+$B$5*15/10</f>
        <v/>
      </c>
      <c r="C4150">
        <f>SUMPRODUCT(Calc!$K$3:$K$22*(Calc!$G$3:$G$22&lt;=A4150))</f>
        <v/>
      </c>
      <c r="D4150">
        <f>SUMPRODUCT(Calc!$K$3:$K$22*(Calc!$G$3:$G$22&gt;A4150)*(Calc!$G$3:$G$22&lt;B4150))</f>
        <v/>
      </c>
      <c r="E4150">
        <f>SUMPRODUCT(Calc!$K$3:$K$22*(Calc!$G$3:$G$22&gt;=B4150))</f>
        <v/>
      </c>
      <c r="F4150">
        <f>AND(k_n&gt;=5,B4150&gt;A4150+1E-9,C4150&gt;=2,D4150&gt;=1,E4150&gt;=2)</f>
        <v/>
      </c>
      <c r="G4150">
        <f>SUMPRODUCT(Calc!$K$3:$K$22*(Calc!$G$3:$G$22&gt;A4150)*(Calc!$G$3:$G$22-A4150))</f>
        <v/>
      </c>
      <c r="H4150">
        <f>SUMPRODUCT(Calc!$K$3:$K$22*(Calc!$G$3:$G$22&gt;B4150)*(Calc!$G$3:$G$22-B4150))</f>
        <v/>
      </c>
      <c r="I4150">
        <f>SUMPRODUCT(Calc!$K$3:$K$22*(Calc!$G$3:$G$22&gt;A4150)*(Calc!$G$3:$G$22-A4150)^2)</f>
        <v/>
      </c>
      <c r="J4150">
        <f>SUMPRODUCT(Calc!$K$3:$K$22*(Calc!$G$3:$G$22&gt;B4150)*(Calc!$G$3:$G$22-B4150)^2)</f>
        <v/>
      </c>
      <c r="K4150">
        <f>SUMPRODUCT(Calc!$K$3:$K$22*(Calc!$G$3:$G$22&gt;A4150)*(Calc!$G$3:$G$22-A4150)*(Calc!$G$3:$G$22&gt;B4150)*(Calc!$G$3:$G$22-B4150))</f>
        <v/>
      </c>
      <c r="L4150">
        <f>SUMPRODUCT(Calc!$K$3:$K$22*(Calc!$G$3:$G$22&gt;A4150)*(Calc!$G$3:$G$22-A4150)*Calc!$G$3:$G$22)</f>
        <v/>
      </c>
      <c r="M4150">
        <f>SUMPRODUCT(Calc!$K$3:$K$22*(Calc!$G$3:$G$22&gt;B4150)*(Calc!$G$3:$G$22-B4150)*Calc!$G$3:$G$22)</f>
        <v/>
      </c>
      <c r="N4150">
        <f>SUMPRODUCT(Calc!$K$3:$K$22*(Calc!$G$3:$G$22&gt;A4150)*(Calc!$G$3:$G$22-A4150)*Calc!$I$3:$I$22)</f>
        <v/>
      </c>
      <c r="O4150">
        <f>SUMPRODUCT(Calc!$K$3:$K$22*(Calc!$G$3:$G$22&gt;B4150)*(Calc!$G$3:$G$22-B4150)*Calc!$I$3:$I$22)</f>
        <v/>
      </c>
      <c r="P4150">
        <f>I4150-G4150^2/k_n</f>
        <v/>
      </c>
      <c r="Q4150">
        <f>J4150-H4150^2/k_n</f>
        <v/>
      </c>
      <c r="R4150">
        <f>K4150-G4150*H4150/k_n</f>
        <v/>
      </c>
      <c r="S4150">
        <f>L4150-LTP3!$D$3*G4150/k_n</f>
        <v/>
      </c>
      <c r="T4150">
        <f>M4150-LTP3!$D$3*H4150/k_n</f>
        <v/>
      </c>
      <c r="U4150">
        <f>N4150-G4150*LTP3!$D$4/k_n</f>
        <v/>
      </c>
      <c r="V4150">
        <f>O4150-H4150*LTP3!$D$4/k_n</f>
        <v/>
      </c>
      <c r="W4150">
        <f>((LTP3!$D$5)*((P4150)*(Q4150)-(R4150)*(R4150))-(S4150)*((S4150)*(Q4150)-(R4150)*(T4150))+(T4150)*((S4150)*(R4150)-(P4150)*(T4150)))</f>
        <v/>
      </c>
      <c r="X4150">
        <f>IF(ABS(W4150)&gt;1E-12,((LTP3!$D$6)*((P4150)*(Q4150)-(R4150)*(R4150))-(S4150)*((U4150)*(Q4150)-(R4150)*(V4150))+(T4150)*((U4150)*(R4150)-(P4150)*(V4150)))/W4150,0)</f>
        <v/>
      </c>
      <c r="Y4150">
        <f>IF(ABS(W4150)&gt;1E-12,((LTP3!$D$5)*((U4150)*(Q4150)-(R4150)*(V4150))-(LTP3!$D$6)*((S4150)*(Q4150)-(R4150)*(T4150))+(T4150)*((S4150)*(V4150)-(U4150)*(T4150)))/W4150,0)</f>
        <v/>
      </c>
      <c r="Z4150">
        <f>IF(ABS(W4150)&gt;1E-12,((LTP3!$D$5)*((P4150)*(V4150)-(U4150)*(R4150))-(S4150)*((S4150)*(V4150)-(U4150)*(T4150))+(LTP3!$D$6)*((S4150)*(R4150)-(P4150)*(T4150)))/W4150,0)</f>
        <v/>
      </c>
      <c r="AA4150">
        <f>LTP3!$D$7-X4150*LTP3!$D$6-Y4150*U4150-Z4150*V4150</f>
        <v/>
      </c>
      <c r="AB4150">
        <f>IF(AND(F4150,ABS(W4150)&gt;1E-12,Y4150&gt;0,Z4150&gt;0),AA4150,1E+300)</f>
        <v/>
      </c>
    </row>
    <row r="4151">
      <c r="A4151">
        <f>$I$3-$B$5+$B$5*19/10</f>
        <v/>
      </c>
      <c r="B4151">
        <f>$J$3-$B$5+$B$5*16/10</f>
        <v/>
      </c>
      <c r="C4151">
        <f>SUMPRODUCT(Calc!$K$3:$K$22*(Calc!$G$3:$G$22&lt;=A4151))</f>
        <v/>
      </c>
      <c r="D4151">
        <f>SUMPRODUCT(Calc!$K$3:$K$22*(Calc!$G$3:$G$22&gt;A4151)*(Calc!$G$3:$G$22&lt;B4151))</f>
        <v/>
      </c>
      <c r="E4151">
        <f>SUMPRODUCT(Calc!$K$3:$K$22*(Calc!$G$3:$G$22&gt;=B4151))</f>
        <v/>
      </c>
      <c r="F4151">
        <f>AND(k_n&gt;=5,B4151&gt;A4151+1E-9,C4151&gt;=2,D4151&gt;=1,E4151&gt;=2)</f>
        <v/>
      </c>
      <c r="G4151">
        <f>SUMPRODUCT(Calc!$K$3:$K$22*(Calc!$G$3:$G$22&gt;A4151)*(Calc!$G$3:$G$22-A4151))</f>
        <v/>
      </c>
      <c r="H4151">
        <f>SUMPRODUCT(Calc!$K$3:$K$22*(Calc!$G$3:$G$22&gt;B4151)*(Calc!$G$3:$G$22-B4151))</f>
        <v/>
      </c>
      <c r="I4151">
        <f>SUMPRODUCT(Calc!$K$3:$K$22*(Calc!$G$3:$G$22&gt;A4151)*(Calc!$G$3:$G$22-A4151)^2)</f>
        <v/>
      </c>
      <c r="J4151">
        <f>SUMPRODUCT(Calc!$K$3:$K$22*(Calc!$G$3:$G$22&gt;B4151)*(Calc!$G$3:$G$22-B4151)^2)</f>
        <v/>
      </c>
      <c r="K4151">
        <f>SUMPRODUCT(Calc!$K$3:$K$22*(Calc!$G$3:$G$22&gt;A4151)*(Calc!$G$3:$G$22-A4151)*(Calc!$G$3:$G$22&gt;B4151)*(Calc!$G$3:$G$22-B4151))</f>
        <v/>
      </c>
      <c r="L4151">
        <f>SUMPRODUCT(Calc!$K$3:$K$22*(Calc!$G$3:$G$22&gt;A4151)*(Calc!$G$3:$G$22-A4151)*Calc!$G$3:$G$22)</f>
        <v/>
      </c>
      <c r="M4151">
        <f>SUMPRODUCT(Calc!$K$3:$K$22*(Calc!$G$3:$G$22&gt;B4151)*(Calc!$G$3:$G$22-B4151)*Calc!$G$3:$G$22)</f>
        <v/>
      </c>
      <c r="N4151">
        <f>SUMPRODUCT(Calc!$K$3:$K$22*(Calc!$G$3:$G$22&gt;A4151)*(Calc!$G$3:$G$22-A4151)*Calc!$I$3:$I$22)</f>
        <v/>
      </c>
      <c r="O4151">
        <f>SUMPRODUCT(Calc!$K$3:$K$22*(Calc!$G$3:$G$22&gt;B4151)*(Calc!$G$3:$G$22-B4151)*Calc!$I$3:$I$22)</f>
        <v/>
      </c>
      <c r="P4151">
        <f>I4151-G4151^2/k_n</f>
        <v/>
      </c>
      <c r="Q4151">
        <f>J4151-H4151^2/k_n</f>
        <v/>
      </c>
      <c r="R4151">
        <f>K4151-G4151*H4151/k_n</f>
        <v/>
      </c>
      <c r="S4151">
        <f>L4151-LTP3!$D$3*G4151/k_n</f>
        <v/>
      </c>
      <c r="T4151">
        <f>M4151-LTP3!$D$3*H4151/k_n</f>
        <v/>
      </c>
      <c r="U4151">
        <f>N4151-G4151*LTP3!$D$4/k_n</f>
        <v/>
      </c>
      <c r="V4151">
        <f>O4151-H4151*LTP3!$D$4/k_n</f>
        <v/>
      </c>
      <c r="W4151">
        <f>((LTP3!$D$5)*((P4151)*(Q4151)-(R4151)*(R4151))-(S4151)*((S4151)*(Q4151)-(R4151)*(T4151))+(T4151)*((S4151)*(R4151)-(P4151)*(T4151)))</f>
        <v/>
      </c>
      <c r="X4151">
        <f>IF(ABS(W4151)&gt;1E-12,((LTP3!$D$6)*((P4151)*(Q4151)-(R4151)*(R4151))-(S4151)*((U4151)*(Q4151)-(R4151)*(V4151))+(T4151)*((U4151)*(R4151)-(P4151)*(V4151)))/W4151,0)</f>
        <v/>
      </c>
      <c r="Y4151">
        <f>IF(ABS(W4151)&gt;1E-12,((LTP3!$D$5)*((U4151)*(Q4151)-(R4151)*(V4151))-(LTP3!$D$6)*((S4151)*(Q4151)-(R4151)*(T4151))+(T4151)*((S4151)*(V4151)-(U4151)*(T4151)))/W4151,0)</f>
        <v/>
      </c>
      <c r="Z4151">
        <f>IF(ABS(W4151)&gt;1E-12,((LTP3!$D$5)*((P4151)*(V4151)-(U4151)*(R4151))-(S4151)*((S4151)*(V4151)-(U4151)*(T4151))+(LTP3!$D$6)*((S4151)*(R4151)-(P4151)*(T4151)))/W4151,0)</f>
        <v/>
      </c>
      <c r="AA4151">
        <f>LTP3!$D$7-X4151*LTP3!$D$6-Y4151*U4151-Z4151*V4151</f>
        <v/>
      </c>
      <c r="AB4151">
        <f>IF(AND(F4151,ABS(W4151)&gt;1E-12,Y4151&gt;0,Z4151&gt;0),AA4151,1E+300)</f>
        <v/>
      </c>
    </row>
    <row r="4152">
      <c r="A4152">
        <f>$I$3-$B$5+$B$5*19/10</f>
        <v/>
      </c>
      <c r="B4152">
        <f>$J$3-$B$5+$B$5*17/10</f>
        <v/>
      </c>
      <c r="C4152">
        <f>SUMPRODUCT(Calc!$K$3:$K$22*(Calc!$G$3:$G$22&lt;=A4152))</f>
        <v/>
      </c>
      <c r="D4152">
        <f>SUMPRODUCT(Calc!$K$3:$K$22*(Calc!$G$3:$G$22&gt;A4152)*(Calc!$G$3:$G$22&lt;B4152))</f>
        <v/>
      </c>
      <c r="E4152">
        <f>SUMPRODUCT(Calc!$K$3:$K$22*(Calc!$G$3:$G$22&gt;=B4152))</f>
        <v/>
      </c>
      <c r="F4152">
        <f>AND(k_n&gt;=5,B4152&gt;A4152+1E-9,C4152&gt;=2,D4152&gt;=1,E4152&gt;=2)</f>
        <v/>
      </c>
      <c r="G4152">
        <f>SUMPRODUCT(Calc!$K$3:$K$22*(Calc!$G$3:$G$22&gt;A4152)*(Calc!$G$3:$G$22-A4152))</f>
        <v/>
      </c>
      <c r="H4152">
        <f>SUMPRODUCT(Calc!$K$3:$K$22*(Calc!$G$3:$G$22&gt;B4152)*(Calc!$G$3:$G$22-B4152))</f>
        <v/>
      </c>
      <c r="I4152">
        <f>SUMPRODUCT(Calc!$K$3:$K$22*(Calc!$G$3:$G$22&gt;A4152)*(Calc!$G$3:$G$22-A4152)^2)</f>
        <v/>
      </c>
      <c r="J4152">
        <f>SUMPRODUCT(Calc!$K$3:$K$22*(Calc!$G$3:$G$22&gt;B4152)*(Calc!$G$3:$G$22-B4152)^2)</f>
        <v/>
      </c>
      <c r="K4152">
        <f>SUMPRODUCT(Calc!$K$3:$K$22*(Calc!$G$3:$G$22&gt;A4152)*(Calc!$G$3:$G$22-A4152)*(Calc!$G$3:$G$22&gt;B4152)*(Calc!$G$3:$G$22-B4152))</f>
        <v/>
      </c>
      <c r="L4152">
        <f>SUMPRODUCT(Calc!$K$3:$K$22*(Calc!$G$3:$G$22&gt;A4152)*(Calc!$G$3:$G$22-A4152)*Calc!$G$3:$G$22)</f>
        <v/>
      </c>
      <c r="M4152">
        <f>SUMPRODUCT(Calc!$K$3:$K$22*(Calc!$G$3:$G$22&gt;B4152)*(Calc!$G$3:$G$22-B4152)*Calc!$G$3:$G$22)</f>
        <v/>
      </c>
      <c r="N4152">
        <f>SUMPRODUCT(Calc!$K$3:$K$22*(Calc!$G$3:$G$22&gt;A4152)*(Calc!$G$3:$G$22-A4152)*Calc!$I$3:$I$22)</f>
        <v/>
      </c>
      <c r="O4152">
        <f>SUMPRODUCT(Calc!$K$3:$K$22*(Calc!$G$3:$G$22&gt;B4152)*(Calc!$G$3:$G$22-B4152)*Calc!$I$3:$I$22)</f>
        <v/>
      </c>
      <c r="P4152">
        <f>I4152-G4152^2/k_n</f>
        <v/>
      </c>
      <c r="Q4152">
        <f>J4152-H4152^2/k_n</f>
        <v/>
      </c>
      <c r="R4152">
        <f>K4152-G4152*H4152/k_n</f>
        <v/>
      </c>
      <c r="S4152">
        <f>L4152-LTP3!$D$3*G4152/k_n</f>
        <v/>
      </c>
      <c r="T4152">
        <f>M4152-LTP3!$D$3*H4152/k_n</f>
        <v/>
      </c>
      <c r="U4152">
        <f>N4152-G4152*LTP3!$D$4/k_n</f>
        <v/>
      </c>
      <c r="V4152">
        <f>O4152-H4152*LTP3!$D$4/k_n</f>
        <v/>
      </c>
      <c r="W4152">
        <f>((LTP3!$D$5)*((P4152)*(Q4152)-(R4152)*(R4152))-(S4152)*((S4152)*(Q4152)-(R4152)*(T4152))+(T4152)*((S4152)*(R4152)-(P4152)*(T4152)))</f>
        <v/>
      </c>
      <c r="X4152">
        <f>IF(ABS(W4152)&gt;1E-12,((LTP3!$D$6)*((P4152)*(Q4152)-(R4152)*(R4152))-(S4152)*((U4152)*(Q4152)-(R4152)*(V4152))+(T4152)*((U4152)*(R4152)-(P4152)*(V4152)))/W4152,0)</f>
        <v/>
      </c>
      <c r="Y4152">
        <f>IF(ABS(W4152)&gt;1E-12,((LTP3!$D$5)*((U4152)*(Q4152)-(R4152)*(V4152))-(LTP3!$D$6)*((S4152)*(Q4152)-(R4152)*(T4152))+(T4152)*((S4152)*(V4152)-(U4152)*(T4152)))/W4152,0)</f>
        <v/>
      </c>
      <c r="Z4152">
        <f>IF(ABS(W4152)&gt;1E-12,((LTP3!$D$5)*((P4152)*(V4152)-(U4152)*(R4152))-(S4152)*((S4152)*(V4152)-(U4152)*(T4152))+(LTP3!$D$6)*((S4152)*(R4152)-(P4152)*(T4152)))/W4152,0)</f>
        <v/>
      </c>
      <c r="AA4152">
        <f>LTP3!$D$7-X4152*LTP3!$D$6-Y4152*U4152-Z4152*V4152</f>
        <v/>
      </c>
      <c r="AB4152">
        <f>IF(AND(F4152,ABS(W4152)&gt;1E-12,Y4152&gt;0,Z4152&gt;0),AA4152,1E+300)</f>
        <v/>
      </c>
    </row>
    <row r="4153">
      <c r="A4153">
        <f>$I$3-$B$5+$B$5*19/10</f>
        <v/>
      </c>
      <c r="B4153">
        <f>$J$3-$B$5+$B$5*18/10</f>
        <v/>
      </c>
      <c r="C4153">
        <f>SUMPRODUCT(Calc!$K$3:$K$22*(Calc!$G$3:$G$22&lt;=A4153))</f>
        <v/>
      </c>
      <c r="D4153">
        <f>SUMPRODUCT(Calc!$K$3:$K$22*(Calc!$G$3:$G$22&gt;A4153)*(Calc!$G$3:$G$22&lt;B4153))</f>
        <v/>
      </c>
      <c r="E4153">
        <f>SUMPRODUCT(Calc!$K$3:$K$22*(Calc!$G$3:$G$22&gt;=B4153))</f>
        <v/>
      </c>
      <c r="F4153">
        <f>AND(k_n&gt;=5,B4153&gt;A4153+1E-9,C4153&gt;=2,D4153&gt;=1,E4153&gt;=2)</f>
        <v/>
      </c>
      <c r="G4153">
        <f>SUMPRODUCT(Calc!$K$3:$K$22*(Calc!$G$3:$G$22&gt;A4153)*(Calc!$G$3:$G$22-A4153))</f>
        <v/>
      </c>
      <c r="H4153">
        <f>SUMPRODUCT(Calc!$K$3:$K$22*(Calc!$G$3:$G$22&gt;B4153)*(Calc!$G$3:$G$22-B4153))</f>
        <v/>
      </c>
      <c r="I4153">
        <f>SUMPRODUCT(Calc!$K$3:$K$22*(Calc!$G$3:$G$22&gt;A4153)*(Calc!$G$3:$G$22-A4153)^2)</f>
        <v/>
      </c>
      <c r="J4153">
        <f>SUMPRODUCT(Calc!$K$3:$K$22*(Calc!$G$3:$G$22&gt;B4153)*(Calc!$G$3:$G$22-B4153)^2)</f>
        <v/>
      </c>
      <c r="K4153">
        <f>SUMPRODUCT(Calc!$K$3:$K$22*(Calc!$G$3:$G$22&gt;A4153)*(Calc!$G$3:$G$22-A4153)*(Calc!$G$3:$G$22&gt;B4153)*(Calc!$G$3:$G$22-B4153))</f>
        <v/>
      </c>
      <c r="L4153">
        <f>SUMPRODUCT(Calc!$K$3:$K$22*(Calc!$G$3:$G$22&gt;A4153)*(Calc!$G$3:$G$22-A4153)*Calc!$G$3:$G$22)</f>
        <v/>
      </c>
      <c r="M4153">
        <f>SUMPRODUCT(Calc!$K$3:$K$22*(Calc!$G$3:$G$22&gt;B4153)*(Calc!$G$3:$G$22-B4153)*Calc!$G$3:$G$22)</f>
        <v/>
      </c>
      <c r="N4153">
        <f>SUMPRODUCT(Calc!$K$3:$K$22*(Calc!$G$3:$G$22&gt;A4153)*(Calc!$G$3:$G$22-A4153)*Calc!$I$3:$I$22)</f>
        <v/>
      </c>
      <c r="O4153">
        <f>SUMPRODUCT(Calc!$K$3:$K$22*(Calc!$G$3:$G$22&gt;B4153)*(Calc!$G$3:$G$22-B4153)*Calc!$I$3:$I$22)</f>
        <v/>
      </c>
      <c r="P4153">
        <f>I4153-G4153^2/k_n</f>
        <v/>
      </c>
      <c r="Q4153">
        <f>J4153-H4153^2/k_n</f>
        <v/>
      </c>
      <c r="R4153">
        <f>K4153-G4153*H4153/k_n</f>
        <v/>
      </c>
      <c r="S4153">
        <f>L4153-LTP3!$D$3*G4153/k_n</f>
        <v/>
      </c>
      <c r="T4153">
        <f>M4153-LTP3!$D$3*H4153/k_n</f>
        <v/>
      </c>
      <c r="U4153">
        <f>N4153-G4153*LTP3!$D$4/k_n</f>
        <v/>
      </c>
      <c r="V4153">
        <f>O4153-H4153*LTP3!$D$4/k_n</f>
        <v/>
      </c>
      <c r="W4153">
        <f>((LTP3!$D$5)*((P4153)*(Q4153)-(R4153)*(R4153))-(S4153)*((S4153)*(Q4153)-(R4153)*(T4153))+(T4153)*((S4153)*(R4153)-(P4153)*(T4153)))</f>
        <v/>
      </c>
      <c r="X4153">
        <f>IF(ABS(W4153)&gt;1E-12,((LTP3!$D$6)*((P4153)*(Q4153)-(R4153)*(R4153))-(S4153)*((U4153)*(Q4153)-(R4153)*(V4153))+(T4153)*((U4153)*(R4153)-(P4153)*(V4153)))/W4153,0)</f>
        <v/>
      </c>
      <c r="Y4153">
        <f>IF(ABS(W4153)&gt;1E-12,((LTP3!$D$5)*((U4153)*(Q4153)-(R4153)*(V4153))-(LTP3!$D$6)*((S4153)*(Q4153)-(R4153)*(T4153))+(T4153)*((S4153)*(V4153)-(U4153)*(T4153)))/W4153,0)</f>
        <v/>
      </c>
      <c r="Z4153">
        <f>IF(ABS(W4153)&gt;1E-12,((LTP3!$D$5)*((P4153)*(V4153)-(U4153)*(R4153))-(S4153)*((S4153)*(V4153)-(U4153)*(T4153))+(LTP3!$D$6)*((S4153)*(R4153)-(P4153)*(T4153)))/W4153,0)</f>
        <v/>
      </c>
      <c r="AA4153">
        <f>LTP3!$D$7-X4153*LTP3!$D$6-Y4153*U4153-Z4153*V4153</f>
        <v/>
      </c>
      <c r="AB4153">
        <f>IF(AND(F4153,ABS(W4153)&gt;1E-12,Y4153&gt;0,Z4153&gt;0),AA4153,1E+300)</f>
        <v/>
      </c>
    </row>
    <row r="4154">
      <c r="A4154">
        <f>$I$3-$B$5+$B$5*19/10</f>
        <v/>
      </c>
      <c r="B4154">
        <f>$J$3-$B$5+$B$5*19/10</f>
        <v/>
      </c>
      <c r="C4154">
        <f>SUMPRODUCT(Calc!$K$3:$K$22*(Calc!$G$3:$G$22&lt;=A4154))</f>
        <v/>
      </c>
      <c r="D4154">
        <f>SUMPRODUCT(Calc!$K$3:$K$22*(Calc!$G$3:$G$22&gt;A4154)*(Calc!$G$3:$G$22&lt;B4154))</f>
        <v/>
      </c>
      <c r="E4154">
        <f>SUMPRODUCT(Calc!$K$3:$K$22*(Calc!$G$3:$G$22&gt;=B4154))</f>
        <v/>
      </c>
      <c r="F4154">
        <f>AND(k_n&gt;=5,B4154&gt;A4154+1E-9,C4154&gt;=2,D4154&gt;=1,E4154&gt;=2)</f>
        <v/>
      </c>
      <c r="G4154">
        <f>SUMPRODUCT(Calc!$K$3:$K$22*(Calc!$G$3:$G$22&gt;A4154)*(Calc!$G$3:$G$22-A4154))</f>
        <v/>
      </c>
      <c r="H4154">
        <f>SUMPRODUCT(Calc!$K$3:$K$22*(Calc!$G$3:$G$22&gt;B4154)*(Calc!$G$3:$G$22-B4154))</f>
        <v/>
      </c>
      <c r="I4154">
        <f>SUMPRODUCT(Calc!$K$3:$K$22*(Calc!$G$3:$G$22&gt;A4154)*(Calc!$G$3:$G$22-A4154)^2)</f>
        <v/>
      </c>
      <c r="J4154">
        <f>SUMPRODUCT(Calc!$K$3:$K$22*(Calc!$G$3:$G$22&gt;B4154)*(Calc!$G$3:$G$22-B4154)^2)</f>
        <v/>
      </c>
      <c r="K4154">
        <f>SUMPRODUCT(Calc!$K$3:$K$22*(Calc!$G$3:$G$22&gt;A4154)*(Calc!$G$3:$G$22-A4154)*(Calc!$G$3:$G$22&gt;B4154)*(Calc!$G$3:$G$22-B4154))</f>
        <v/>
      </c>
      <c r="L4154">
        <f>SUMPRODUCT(Calc!$K$3:$K$22*(Calc!$G$3:$G$22&gt;A4154)*(Calc!$G$3:$G$22-A4154)*Calc!$G$3:$G$22)</f>
        <v/>
      </c>
      <c r="M4154">
        <f>SUMPRODUCT(Calc!$K$3:$K$22*(Calc!$G$3:$G$22&gt;B4154)*(Calc!$G$3:$G$22-B4154)*Calc!$G$3:$G$22)</f>
        <v/>
      </c>
      <c r="N4154">
        <f>SUMPRODUCT(Calc!$K$3:$K$22*(Calc!$G$3:$G$22&gt;A4154)*(Calc!$G$3:$G$22-A4154)*Calc!$I$3:$I$22)</f>
        <v/>
      </c>
      <c r="O4154">
        <f>SUMPRODUCT(Calc!$K$3:$K$22*(Calc!$G$3:$G$22&gt;B4154)*(Calc!$G$3:$G$22-B4154)*Calc!$I$3:$I$22)</f>
        <v/>
      </c>
      <c r="P4154">
        <f>I4154-G4154^2/k_n</f>
        <v/>
      </c>
      <c r="Q4154">
        <f>J4154-H4154^2/k_n</f>
        <v/>
      </c>
      <c r="R4154">
        <f>K4154-G4154*H4154/k_n</f>
        <v/>
      </c>
      <c r="S4154">
        <f>L4154-LTP3!$D$3*G4154/k_n</f>
        <v/>
      </c>
      <c r="T4154">
        <f>M4154-LTP3!$D$3*H4154/k_n</f>
        <v/>
      </c>
      <c r="U4154">
        <f>N4154-G4154*LTP3!$D$4/k_n</f>
        <v/>
      </c>
      <c r="V4154">
        <f>O4154-H4154*LTP3!$D$4/k_n</f>
        <v/>
      </c>
      <c r="W4154">
        <f>((LTP3!$D$5)*((P4154)*(Q4154)-(R4154)*(R4154))-(S4154)*((S4154)*(Q4154)-(R4154)*(T4154))+(T4154)*((S4154)*(R4154)-(P4154)*(T4154)))</f>
        <v/>
      </c>
      <c r="X4154">
        <f>IF(ABS(W4154)&gt;1E-12,((LTP3!$D$6)*((P4154)*(Q4154)-(R4154)*(R4154))-(S4154)*((U4154)*(Q4154)-(R4154)*(V4154))+(T4154)*((U4154)*(R4154)-(P4154)*(V4154)))/W4154,0)</f>
        <v/>
      </c>
      <c r="Y4154">
        <f>IF(ABS(W4154)&gt;1E-12,((LTP3!$D$5)*((U4154)*(Q4154)-(R4154)*(V4154))-(LTP3!$D$6)*((S4154)*(Q4154)-(R4154)*(T4154))+(T4154)*((S4154)*(V4154)-(U4154)*(T4154)))/W4154,0)</f>
        <v/>
      </c>
      <c r="Z4154">
        <f>IF(ABS(W4154)&gt;1E-12,((LTP3!$D$5)*((P4154)*(V4154)-(U4154)*(R4154))-(S4154)*((S4154)*(V4154)-(U4154)*(T4154))+(LTP3!$D$6)*((S4154)*(R4154)-(P4154)*(T4154)))/W4154,0)</f>
        <v/>
      </c>
      <c r="AA4154">
        <f>LTP3!$D$7-X4154*LTP3!$D$6-Y4154*U4154-Z4154*V4154</f>
        <v/>
      </c>
      <c r="AB4154">
        <f>IF(AND(F4154,ABS(W4154)&gt;1E-12,Y4154&gt;0,Z4154&gt;0),AA4154,1E+300)</f>
        <v/>
      </c>
    </row>
    <row r="4155">
      <c r="A4155">
        <f>$I$3-$B$5+$B$5*19/10</f>
        <v/>
      </c>
      <c r="B4155">
        <f>$J$3-$B$5+$B$5*20/10</f>
        <v/>
      </c>
      <c r="C4155">
        <f>SUMPRODUCT(Calc!$K$3:$K$22*(Calc!$G$3:$G$22&lt;=A4155))</f>
        <v/>
      </c>
      <c r="D4155">
        <f>SUMPRODUCT(Calc!$K$3:$K$22*(Calc!$G$3:$G$22&gt;A4155)*(Calc!$G$3:$G$22&lt;B4155))</f>
        <v/>
      </c>
      <c r="E4155">
        <f>SUMPRODUCT(Calc!$K$3:$K$22*(Calc!$G$3:$G$22&gt;=B4155))</f>
        <v/>
      </c>
      <c r="F4155">
        <f>AND(k_n&gt;=5,B4155&gt;A4155+1E-9,C4155&gt;=2,D4155&gt;=1,E4155&gt;=2)</f>
        <v/>
      </c>
      <c r="G4155">
        <f>SUMPRODUCT(Calc!$K$3:$K$22*(Calc!$G$3:$G$22&gt;A4155)*(Calc!$G$3:$G$22-A4155))</f>
        <v/>
      </c>
      <c r="H4155">
        <f>SUMPRODUCT(Calc!$K$3:$K$22*(Calc!$G$3:$G$22&gt;B4155)*(Calc!$G$3:$G$22-B4155))</f>
        <v/>
      </c>
      <c r="I4155">
        <f>SUMPRODUCT(Calc!$K$3:$K$22*(Calc!$G$3:$G$22&gt;A4155)*(Calc!$G$3:$G$22-A4155)^2)</f>
        <v/>
      </c>
      <c r="J4155">
        <f>SUMPRODUCT(Calc!$K$3:$K$22*(Calc!$G$3:$G$22&gt;B4155)*(Calc!$G$3:$G$22-B4155)^2)</f>
        <v/>
      </c>
      <c r="K4155">
        <f>SUMPRODUCT(Calc!$K$3:$K$22*(Calc!$G$3:$G$22&gt;A4155)*(Calc!$G$3:$G$22-A4155)*(Calc!$G$3:$G$22&gt;B4155)*(Calc!$G$3:$G$22-B4155))</f>
        <v/>
      </c>
      <c r="L4155">
        <f>SUMPRODUCT(Calc!$K$3:$K$22*(Calc!$G$3:$G$22&gt;A4155)*(Calc!$G$3:$G$22-A4155)*Calc!$G$3:$G$22)</f>
        <v/>
      </c>
      <c r="M4155">
        <f>SUMPRODUCT(Calc!$K$3:$K$22*(Calc!$G$3:$G$22&gt;B4155)*(Calc!$G$3:$G$22-B4155)*Calc!$G$3:$G$22)</f>
        <v/>
      </c>
      <c r="N4155">
        <f>SUMPRODUCT(Calc!$K$3:$K$22*(Calc!$G$3:$G$22&gt;A4155)*(Calc!$G$3:$G$22-A4155)*Calc!$I$3:$I$22)</f>
        <v/>
      </c>
      <c r="O4155">
        <f>SUMPRODUCT(Calc!$K$3:$K$22*(Calc!$G$3:$G$22&gt;B4155)*(Calc!$G$3:$G$22-B4155)*Calc!$I$3:$I$22)</f>
        <v/>
      </c>
      <c r="P4155">
        <f>I4155-G4155^2/k_n</f>
        <v/>
      </c>
      <c r="Q4155">
        <f>J4155-H4155^2/k_n</f>
        <v/>
      </c>
      <c r="R4155">
        <f>K4155-G4155*H4155/k_n</f>
        <v/>
      </c>
      <c r="S4155">
        <f>L4155-LTP3!$D$3*G4155/k_n</f>
        <v/>
      </c>
      <c r="T4155">
        <f>M4155-LTP3!$D$3*H4155/k_n</f>
        <v/>
      </c>
      <c r="U4155">
        <f>N4155-G4155*LTP3!$D$4/k_n</f>
        <v/>
      </c>
      <c r="V4155">
        <f>O4155-H4155*LTP3!$D$4/k_n</f>
        <v/>
      </c>
      <c r="W4155">
        <f>((LTP3!$D$5)*((P4155)*(Q4155)-(R4155)*(R4155))-(S4155)*((S4155)*(Q4155)-(R4155)*(T4155))+(T4155)*((S4155)*(R4155)-(P4155)*(T4155)))</f>
        <v/>
      </c>
      <c r="X4155">
        <f>IF(ABS(W4155)&gt;1E-12,((LTP3!$D$6)*((P4155)*(Q4155)-(R4155)*(R4155))-(S4155)*((U4155)*(Q4155)-(R4155)*(V4155))+(T4155)*((U4155)*(R4155)-(P4155)*(V4155)))/W4155,0)</f>
        <v/>
      </c>
      <c r="Y4155">
        <f>IF(ABS(W4155)&gt;1E-12,((LTP3!$D$5)*((U4155)*(Q4155)-(R4155)*(V4155))-(LTP3!$D$6)*((S4155)*(Q4155)-(R4155)*(T4155))+(T4155)*((S4155)*(V4155)-(U4155)*(T4155)))/W4155,0)</f>
        <v/>
      </c>
      <c r="Z4155">
        <f>IF(ABS(W4155)&gt;1E-12,((LTP3!$D$5)*((P4155)*(V4155)-(U4155)*(R4155))-(S4155)*((S4155)*(V4155)-(U4155)*(T4155))+(LTP3!$D$6)*((S4155)*(R4155)-(P4155)*(T4155)))/W4155,0)</f>
        <v/>
      </c>
      <c r="AA4155">
        <f>LTP3!$D$7-X4155*LTP3!$D$6-Y4155*U4155-Z4155*V4155</f>
        <v/>
      </c>
      <c r="AB4155">
        <f>IF(AND(F4155,ABS(W4155)&gt;1E-12,Y4155&gt;0,Z4155&gt;0),AA4155,1E+300)</f>
        <v/>
      </c>
    </row>
    <row r="4156">
      <c r="A4156">
        <f>$I$3-$B$5+$B$5*20/10</f>
        <v/>
      </c>
      <c r="B4156">
        <f>$J$3-$B$5+$B$5*0/10</f>
        <v/>
      </c>
      <c r="C4156">
        <f>SUMPRODUCT(Calc!$K$3:$K$22*(Calc!$G$3:$G$22&lt;=A4156))</f>
        <v/>
      </c>
      <c r="D4156">
        <f>SUMPRODUCT(Calc!$K$3:$K$22*(Calc!$G$3:$G$22&gt;A4156)*(Calc!$G$3:$G$22&lt;B4156))</f>
        <v/>
      </c>
      <c r="E4156">
        <f>SUMPRODUCT(Calc!$K$3:$K$22*(Calc!$G$3:$G$22&gt;=B4156))</f>
        <v/>
      </c>
      <c r="F4156">
        <f>AND(k_n&gt;=5,B4156&gt;A4156+1E-9,C4156&gt;=2,D4156&gt;=1,E4156&gt;=2)</f>
        <v/>
      </c>
      <c r="G4156">
        <f>SUMPRODUCT(Calc!$K$3:$K$22*(Calc!$G$3:$G$22&gt;A4156)*(Calc!$G$3:$G$22-A4156))</f>
        <v/>
      </c>
      <c r="H4156">
        <f>SUMPRODUCT(Calc!$K$3:$K$22*(Calc!$G$3:$G$22&gt;B4156)*(Calc!$G$3:$G$22-B4156))</f>
        <v/>
      </c>
      <c r="I4156">
        <f>SUMPRODUCT(Calc!$K$3:$K$22*(Calc!$G$3:$G$22&gt;A4156)*(Calc!$G$3:$G$22-A4156)^2)</f>
        <v/>
      </c>
      <c r="J4156">
        <f>SUMPRODUCT(Calc!$K$3:$K$22*(Calc!$G$3:$G$22&gt;B4156)*(Calc!$G$3:$G$22-B4156)^2)</f>
        <v/>
      </c>
      <c r="K4156">
        <f>SUMPRODUCT(Calc!$K$3:$K$22*(Calc!$G$3:$G$22&gt;A4156)*(Calc!$G$3:$G$22-A4156)*(Calc!$G$3:$G$22&gt;B4156)*(Calc!$G$3:$G$22-B4156))</f>
        <v/>
      </c>
      <c r="L4156">
        <f>SUMPRODUCT(Calc!$K$3:$K$22*(Calc!$G$3:$G$22&gt;A4156)*(Calc!$G$3:$G$22-A4156)*Calc!$G$3:$G$22)</f>
        <v/>
      </c>
      <c r="M4156">
        <f>SUMPRODUCT(Calc!$K$3:$K$22*(Calc!$G$3:$G$22&gt;B4156)*(Calc!$G$3:$G$22-B4156)*Calc!$G$3:$G$22)</f>
        <v/>
      </c>
      <c r="N4156">
        <f>SUMPRODUCT(Calc!$K$3:$K$22*(Calc!$G$3:$G$22&gt;A4156)*(Calc!$G$3:$G$22-A4156)*Calc!$I$3:$I$22)</f>
        <v/>
      </c>
      <c r="O4156">
        <f>SUMPRODUCT(Calc!$K$3:$K$22*(Calc!$G$3:$G$22&gt;B4156)*(Calc!$G$3:$G$22-B4156)*Calc!$I$3:$I$22)</f>
        <v/>
      </c>
      <c r="P4156">
        <f>I4156-G4156^2/k_n</f>
        <v/>
      </c>
      <c r="Q4156">
        <f>J4156-H4156^2/k_n</f>
        <v/>
      </c>
      <c r="R4156">
        <f>K4156-G4156*H4156/k_n</f>
        <v/>
      </c>
      <c r="S4156">
        <f>L4156-LTP3!$D$3*G4156/k_n</f>
        <v/>
      </c>
      <c r="T4156">
        <f>M4156-LTP3!$D$3*H4156/k_n</f>
        <v/>
      </c>
      <c r="U4156">
        <f>N4156-G4156*LTP3!$D$4/k_n</f>
        <v/>
      </c>
      <c r="V4156">
        <f>O4156-H4156*LTP3!$D$4/k_n</f>
        <v/>
      </c>
      <c r="W4156">
        <f>((LTP3!$D$5)*((P4156)*(Q4156)-(R4156)*(R4156))-(S4156)*((S4156)*(Q4156)-(R4156)*(T4156))+(T4156)*((S4156)*(R4156)-(P4156)*(T4156)))</f>
        <v/>
      </c>
      <c r="X4156">
        <f>IF(ABS(W4156)&gt;1E-12,((LTP3!$D$6)*((P4156)*(Q4156)-(R4156)*(R4156))-(S4156)*((U4156)*(Q4156)-(R4156)*(V4156))+(T4156)*((U4156)*(R4156)-(P4156)*(V4156)))/W4156,0)</f>
        <v/>
      </c>
      <c r="Y4156">
        <f>IF(ABS(W4156)&gt;1E-12,((LTP3!$D$5)*((U4156)*(Q4156)-(R4156)*(V4156))-(LTP3!$D$6)*((S4156)*(Q4156)-(R4156)*(T4156))+(T4156)*((S4156)*(V4156)-(U4156)*(T4156)))/W4156,0)</f>
        <v/>
      </c>
      <c r="Z4156">
        <f>IF(ABS(W4156)&gt;1E-12,((LTP3!$D$5)*((P4156)*(V4156)-(U4156)*(R4156))-(S4156)*((S4156)*(V4156)-(U4156)*(T4156))+(LTP3!$D$6)*((S4156)*(R4156)-(P4156)*(T4156)))/W4156,0)</f>
        <v/>
      </c>
      <c r="AA4156">
        <f>LTP3!$D$7-X4156*LTP3!$D$6-Y4156*U4156-Z4156*V4156</f>
        <v/>
      </c>
      <c r="AB4156">
        <f>IF(AND(F4156,ABS(W4156)&gt;1E-12,Y4156&gt;0,Z4156&gt;0),AA4156,1E+300)</f>
        <v/>
      </c>
    </row>
    <row r="4157">
      <c r="A4157">
        <f>$I$3-$B$5+$B$5*20/10</f>
        <v/>
      </c>
      <c r="B4157">
        <f>$J$3-$B$5+$B$5*1/10</f>
        <v/>
      </c>
      <c r="C4157">
        <f>SUMPRODUCT(Calc!$K$3:$K$22*(Calc!$G$3:$G$22&lt;=A4157))</f>
        <v/>
      </c>
      <c r="D4157">
        <f>SUMPRODUCT(Calc!$K$3:$K$22*(Calc!$G$3:$G$22&gt;A4157)*(Calc!$G$3:$G$22&lt;B4157))</f>
        <v/>
      </c>
      <c r="E4157">
        <f>SUMPRODUCT(Calc!$K$3:$K$22*(Calc!$G$3:$G$22&gt;=B4157))</f>
        <v/>
      </c>
      <c r="F4157">
        <f>AND(k_n&gt;=5,B4157&gt;A4157+1E-9,C4157&gt;=2,D4157&gt;=1,E4157&gt;=2)</f>
        <v/>
      </c>
      <c r="G4157">
        <f>SUMPRODUCT(Calc!$K$3:$K$22*(Calc!$G$3:$G$22&gt;A4157)*(Calc!$G$3:$G$22-A4157))</f>
        <v/>
      </c>
      <c r="H4157">
        <f>SUMPRODUCT(Calc!$K$3:$K$22*(Calc!$G$3:$G$22&gt;B4157)*(Calc!$G$3:$G$22-B4157))</f>
        <v/>
      </c>
      <c r="I4157">
        <f>SUMPRODUCT(Calc!$K$3:$K$22*(Calc!$G$3:$G$22&gt;A4157)*(Calc!$G$3:$G$22-A4157)^2)</f>
        <v/>
      </c>
      <c r="J4157">
        <f>SUMPRODUCT(Calc!$K$3:$K$22*(Calc!$G$3:$G$22&gt;B4157)*(Calc!$G$3:$G$22-B4157)^2)</f>
        <v/>
      </c>
      <c r="K4157">
        <f>SUMPRODUCT(Calc!$K$3:$K$22*(Calc!$G$3:$G$22&gt;A4157)*(Calc!$G$3:$G$22-A4157)*(Calc!$G$3:$G$22&gt;B4157)*(Calc!$G$3:$G$22-B4157))</f>
        <v/>
      </c>
      <c r="L4157">
        <f>SUMPRODUCT(Calc!$K$3:$K$22*(Calc!$G$3:$G$22&gt;A4157)*(Calc!$G$3:$G$22-A4157)*Calc!$G$3:$G$22)</f>
        <v/>
      </c>
      <c r="M4157">
        <f>SUMPRODUCT(Calc!$K$3:$K$22*(Calc!$G$3:$G$22&gt;B4157)*(Calc!$G$3:$G$22-B4157)*Calc!$G$3:$G$22)</f>
        <v/>
      </c>
      <c r="N4157">
        <f>SUMPRODUCT(Calc!$K$3:$K$22*(Calc!$G$3:$G$22&gt;A4157)*(Calc!$G$3:$G$22-A4157)*Calc!$I$3:$I$22)</f>
        <v/>
      </c>
      <c r="O4157">
        <f>SUMPRODUCT(Calc!$K$3:$K$22*(Calc!$G$3:$G$22&gt;B4157)*(Calc!$G$3:$G$22-B4157)*Calc!$I$3:$I$22)</f>
        <v/>
      </c>
      <c r="P4157">
        <f>I4157-G4157^2/k_n</f>
        <v/>
      </c>
      <c r="Q4157">
        <f>J4157-H4157^2/k_n</f>
        <v/>
      </c>
      <c r="R4157">
        <f>K4157-G4157*H4157/k_n</f>
        <v/>
      </c>
      <c r="S4157">
        <f>L4157-LTP3!$D$3*G4157/k_n</f>
        <v/>
      </c>
      <c r="T4157">
        <f>M4157-LTP3!$D$3*H4157/k_n</f>
        <v/>
      </c>
      <c r="U4157">
        <f>N4157-G4157*LTP3!$D$4/k_n</f>
        <v/>
      </c>
      <c r="V4157">
        <f>O4157-H4157*LTP3!$D$4/k_n</f>
        <v/>
      </c>
      <c r="W4157">
        <f>((LTP3!$D$5)*((P4157)*(Q4157)-(R4157)*(R4157))-(S4157)*((S4157)*(Q4157)-(R4157)*(T4157))+(T4157)*((S4157)*(R4157)-(P4157)*(T4157)))</f>
        <v/>
      </c>
      <c r="X4157">
        <f>IF(ABS(W4157)&gt;1E-12,((LTP3!$D$6)*((P4157)*(Q4157)-(R4157)*(R4157))-(S4157)*((U4157)*(Q4157)-(R4157)*(V4157))+(T4157)*((U4157)*(R4157)-(P4157)*(V4157)))/W4157,0)</f>
        <v/>
      </c>
      <c r="Y4157">
        <f>IF(ABS(W4157)&gt;1E-12,((LTP3!$D$5)*((U4157)*(Q4157)-(R4157)*(V4157))-(LTP3!$D$6)*((S4157)*(Q4157)-(R4157)*(T4157))+(T4157)*((S4157)*(V4157)-(U4157)*(T4157)))/W4157,0)</f>
        <v/>
      </c>
      <c r="Z4157">
        <f>IF(ABS(W4157)&gt;1E-12,((LTP3!$D$5)*((P4157)*(V4157)-(U4157)*(R4157))-(S4157)*((S4157)*(V4157)-(U4157)*(T4157))+(LTP3!$D$6)*((S4157)*(R4157)-(P4157)*(T4157)))/W4157,0)</f>
        <v/>
      </c>
      <c r="AA4157">
        <f>LTP3!$D$7-X4157*LTP3!$D$6-Y4157*U4157-Z4157*V4157</f>
        <v/>
      </c>
      <c r="AB4157">
        <f>IF(AND(F4157,ABS(W4157)&gt;1E-12,Y4157&gt;0,Z4157&gt;0),AA4157,1E+300)</f>
        <v/>
      </c>
    </row>
    <row r="4158">
      <c r="A4158">
        <f>$I$3-$B$5+$B$5*20/10</f>
        <v/>
      </c>
      <c r="B4158">
        <f>$J$3-$B$5+$B$5*2/10</f>
        <v/>
      </c>
      <c r="C4158">
        <f>SUMPRODUCT(Calc!$K$3:$K$22*(Calc!$G$3:$G$22&lt;=A4158))</f>
        <v/>
      </c>
      <c r="D4158">
        <f>SUMPRODUCT(Calc!$K$3:$K$22*(Calc!$G$3:$G$22&gt;A4158)*(Calc!$G$3:$G$22&lt;B4158))</f>
        <v/>
      </c>
      <c r="E4158">
        <f>SUMPRODUCT(Calc!$K$3:$K$22*(Calc!$G$3:$G$22&gt;=B4158))</f>
        <v/>
      </c>
      <c r="F4158">
        <f>AND(k_n&gt;=5,B4158&gt;A4158+1E-9,C4158&gt;=2,D4158&gt;=1,E4158&gt;=2)</f>
        <v/>
      </c>
      <c r="G4158">
        <f>SUMPRODUCT(Calc!$K$3:$K$22*(Calc!$G$3:$G$22&gt;A4158)*(Calc!$G$3:$G$22-A4158))</f>
        <v/>
      </c>
      <c r="H4158">
        <f>SUMPRODUCT(Calc!$K$3:$K$22*(Calc!$G$3:$G$22&gt;B4158)*(Calc!$G$3:$G$22-B4158))</f>
        <v/>
      </c>
      <c r="I4158">
        <f>SUMPRODUCT(Calc!$K$3:$K$22*(Calc!$G$3:$G$22&gt;A4158)*(Calc!$G$3:$G$22-A4158)^2)</f>
        <v/>
      </c>
      <c r="J4158">
        <f>SUMPRODUCT(Calc!$K$3:$K$22*(Calc!$G$3:$G$22&gt;B4158)*(Calc!$G$3:$G$22-B4158)^2)</f>
        <v/>
      </c>
      <c r="K4158">
        <f>SUMPRODUCT(Calc!$K$3:$K$22*(Calc!$G$3:$G$22&gt;A4158)*(Calc!$G$3:$G$22-A4158)*(Calc!$G$3:$G$22&gt;B4158)*(Calc!$G$3:$G$22-B4158))</f>
        <v/>
      </c>
      <c r="L4158">
        <f>SUMPRODUCT(Calc!$K$3:$K$22*(Calc!$G$3:$G$22&gt;A4158)*(Calc!$G$3:$G$22-A4158)*Calc!$G$3:$G$22)</f>
        <v/>
      </c>
      <c r="M4158">
        <f>SUMPRODUCT(Calc!$K$3:$K$22*(Calc!$G$3:$G$22&gt;B4158)*(Calc!$G$3:$G$22-B4158)*Calc!$G$3:$G$22)</f>
        <v/>
      </c>
      <c r="N4158">
        <f>SUMPRODUCT(Calc!$K$3:$K$22*(Calc!$G$3:$G$22&gt;A4158)*(Calc!$G$3:$G$22-A4158)*Calc!$I$3:$I$22)</f>
        <v/>
      </c>
      <c r="O4158">
        <f>SUMPRODUCT(Calc!$K$3:$K$22*(Calc!$G$3:$G$22&gt;B4158)*(Calc!$G$3:$G$22-B4158)*Calc!$I$3:$I$22)</f>
        <v/>
      </c>
      <c r="P4158">
        <f>I4158-G4158^2/k_n</f>
        <v/>
      </c>
      <c r="Q4158">
        <f>J4158-H4158^2/k_n</f>
        <v/>
      </c>
      <c r="R4158">
        <f>K4158-G4158*H4158/k_n</f>
        <v/>
      </c>
      <c r="S4158">
        <f>L4158-LTP3!$D$3*G4158/k_n</f>
        <v/>
      </c>
      <c r="T4158">
        <f>M4158-LTP3!$D$3*H4158/k_n</f>
        <v/>
      </c>
      <c r="U4158">
        <f>N4158-G4158*LTP3!$D$4/k_n</f>
        <v/>
      </c>
      <c r="V4158">
        <f>O4158-H4158*LTP3!$D$4/k_n</f>
        <v/>
      </c>
      <c r="W4158">
        <f>((LTP3!$D$5)*((P4158)*(Q4158)-(R4158)*(R4158))-(S4158)*((S4158)*(Q4158)-(R4158)*(T4158))+(T4158)*((S4158)*(R4158)-(P4158)*(T4158)))</f>
        <v/>
      </c>
      <c r="X4158">
        <f>IF(ABS(W4158)&gt;1E-12,((LTP3!$D$6)*((P4158)*(Q4158)-(R4158)*(R4158))-(S4158)*((U4158)*(Q4158)-(R4158)*(V4158))+(T4158)*((U4158)*(R4158)-(P4158)*(V4158)))/W4158,0)</f>
        <v/>
      </c>
      <c r="Y4158">
        <f>IF(ABS(W4158)&gt;1E-12,((LTP3!$D$5)*((U4158)*(Q4158)-(R4158)*(V4158))-(LTP3!$D$6)*((S4158)*(Q4158)-(R4158)*(T4158))+(T4158)*((S4158)*(V4158)-(U4158)*(T4158)))/W4158,0)</f>
        <v/>
      </c>
      <c r="Z4158">
        <f>IF(ABS(W4158)&gt;1E-12,((LTP3!$D$5)*((P4158)*(V4158)-(U4158)*(R4158))-(S4158)*((S4158)*(V4158)-(U4158)*(T4158))+(LTP3!$D$6)*((S4158)*(R4158)-(P4158)*(T4158)))/W4158,0)</f>
        <v/>
      </c>
      <c r="AA4158">
        <f>LTP3!$D$7-X4158*LTP3!$D$6-Y4158*U4158-Z4158*V4158</f>
        <v/>
      </c>
      <c r="AB4158">
        <f>IF(AND(F4158,ABS(W4158)&gt;1E-12,Y4158&gt;0,Z4158&gt;0),AA4158,1E+300)</f>
        <v/>
      </c>
    </row>
    <row r="4159">
      <c r="A4159">
        <f>$I$3-$B$5+$B$5*20/10</f>
        <v/>
      </c>
      <c r="B4159">
        <f>$J$3-$B$5+$B$5*3/10</f>
        <v/>
      </c>
      <c r="C4159">
        <f>SUMPRODUCT(Calc!$K$3:$K$22*(Calc!$G$3:$G$22&lt;=A4159))</f>
        <v/>
      </c>
      <c r="D4159">
        <f>SUMPRODUCT(Calc!$K$3:$K$22*(Calc!$G$3:$G$22&gt;A4159)*(Calc!$G$3:$G$22&lt;B4159))</f>
        <v/>
      </c>
      <c r="E4159">
        <f>SUMPRODUCT(Calc!$K$3:$K$22*(Calc!$G$3:$G$22&gt;=B4159))</f>
        <v/>
      </c>
      <c r="F4159">
        <f>AND(k_n&gt;=5,B4159&gt;A4159+1E-9,C4159&gt;=2,D4159&gt;=1,E4159&gt;=2)</f>
        <v/>
      </c>
      <c r="G4159">
        <f>SUMPRODUCT(Calc!$K$3:$K$22*(Calc!$G$3:$G$22&gt;A4159)*(Calc!$G$3:$G$22-A4159))</f>
        <v/>
      </c>
      <c r="H4159">
        <f>SUMPRODUCT(Calc!$K$3:$K$22*(Calc!$G$3:$G$22&gt;B4159)*(Calc!$G$3:$G$22-B4159))</f>
        <v/>
      </c>
      <c r="I4159">
        <f>SUMPRODUCT(Calc!$K$3:$K$22*(Calc!$G$3:$G$22&gt;A4159)*(Calc!$G$3:$G$22-A4159)^2)</f>
        <v/>
      </c>
      <c r="J4159">
        <f>SUMPRODUCT(Calc!$K$3:$K$22*(Calc!$G$3:$G$22&gt;B4159)*(Calc!$G$3:$G$22-B4159)^2)</f>
        <v/>
      </c>
      <c r="K4159">
        <f>SUMPRODUCT(Calc!$K$3:$K$22*(Calc!$G$3:$G$22&gt;A4159)*(Calc!$G$3:$G$22-A4159)*(Calc!$G$3:$G$22&gt;B4159)*(Calc!$G$3:$G$22-B4159))</f>
        <v/>
      </c>
      <c r="L4159">
        <f>SUMPRODUCT(Calc!$K$3:$K$22*(Calc!$G$3:$G$22&gt;A4159)*(Calc!$G$3:$G$22-A4159)*Calc!$G$3:$G$22)</f>
        <v/>
      </c>
      <c r="M4159">
        <f>SUMPRODUCT(Calc!$K$3:$K$22*(Calc!$G$3:$G$22&gt;B4159)*(Calc!$G$3:$G$22-B4159)*Calc!$G$3:$G$22)</f>
        <v/>
      </c>
      <c r="N4159">
        <f>SUMPRODUCT(Calc!$K$3:$K$22*(Calc!$G$3:$G$22&gt;A4159)*(Calc!$G$3:$G$22-A4159)*Calc!$I$3:$I$22)</f>
        <v/>
      </c>
      <c r="O4159">
        <f>SUMPRODUCT(Calc!$K$3:$K$22*(Calc!$G$3:$G$22&gt;B4159)*(Calc!$G$3:$G$22-B4159)*Calc!$I$3:$I$22)</f>
        <v/>
      </c>
      <c r="P4159">
        <f>I4159-G4159^2/k_n</f>
        <v/>
      </c>
      <c r="Q4159">
        <f>J4159-H4159^2/k_n</f>
        <v/>
      </c>
      <c r="R4159">
        <f>K4159-G4159*H4159/k_n</f>
        <v/>
      </c>
      <c r="S4159">
        <f>L4159-LTP3!$D$3*G4159/k_n</f>
        <v/>
      </c>
      <c r="T4159">
        <f>M4159-LTP3!$D$3*H4159/k_n</f>
        <v/>
      </c>
      <c r="U4159">
        <f>N4159-G4159*LTP3!$D$4/k_n</f>
        <v/>
      </c>
      <c r="V4159">
        <f>O4159-H4159*LTP3!$D$4/k_n</f>
        <v/>
      </c>
      <c r="W4159">
        <f>((LTP3!$D$5)*((P4159)*(Q4159)-(R4159)*(R4159))-(S4159)*((S4159)*(Q4159)-(R4159)*(T4159))+(T4159)*((S4159)*(R4159)-(P4159)*(T4159)))</f>
        <v/>
      </c>
      <c r="X4159">
        <f>IF(ABS(W4159)&gt;1E-12,((LTP3!$D$6)*((P4159)*(Q4159)-(R4159)*(R4159))-(S4159)*((U4159)*(Q4159)-(R4159)*(V4159))+(T4159)*((U4159)*(R4159)-(P4159)*(V4159)))/W4159,0)</f>
        <v/>
      </c>
      <c r="Y4159">
        <f>IF(ABS(W4159)&gt;1E-12,((LTP3!$D$5)*((U4159)*(Q4159)-(R4159)*(V4159))-(LTP3!$D$6)*((S4159)*(Q4159)-(R4159)*(T4159))+(T4159)*((S4159)*(V4159)-(U4159)*(T4159)))/W4159,0)</f>
        <v/>
      </c>
      <c r="Z4159">
        <f>IF(ABS(W4159)&gt;1E-12,((LTP3!$D$5)*((P4159)*(V4159)-(U4159)*(R4159))-(S4159)*((S4159)*(V4159)-(U4159)*(T4159))+(LTP3!$D$6)*((S4159)*(R4159)-(P4159)*(T4159)))/W4159,0)</f>
        <v/>
      </c>
      <c r="AA4159">
        <f>LTP3!$D$7-X4159*LTP3!$D$6-Y4159*U4159-Z4159*V4159</f>
        <v/>
      </c>
      <c r="AB4159">
        <f>IF(AND(F4159,ABS(W4159)&gt;1E-12,Y4159&gt;0,Z4159&gt;0),AA4159,1E+300)</f>
        <v/>
      </c>
    </row>
    <row r="4160">
      <c r="A4160">
        <f>$I$3-$B$5+$B$5*20/10</f>
        <v/>
      </c>
      <c r="B4160">
        <f>$J$3-$B$5+$B$5*4/10</f>
        <v/>
      </c>
      <c r="C4160">
        <f>SUMPRODUCT(Calc!$K$3:$K$22*(Calc!$G$3:$G$22&lt;=A4160))</f>
        <v/>
      </c>
      <c r="D4160">
        <f>SUMPRODUCT(Calc!$K$3:$K$22*(Calc!$G$3:$G$22&gt;A4160)*(Calc!$G$3:$G$22&lt;B4160))</f>
        <v/>
      </c>
      <c r="E4160">
        <f>SUMPRODUCT(Calc!$K$3:$K$22*(Calc!$G$3:$G$22&gt;=B4160))</f>
        <v/>
      </c>
      <c r="F4160">
        <f>AND(k_n&gt;=5,B4160&gt;A4160+1E-9,C4160&gt;=2,D4160&gt;=1,E4160&gt;=2)</f>
        <v/>
      </c>
      <c r="G4160">
        <f>SUMPRODUCT(Calc!$K$3:$K$22*(Calc!$G$3:$G$22&gt;A4160)*(Calc!$G$3:$G$22-A4160))</f>
        <v/>
      </c>
      <c r="H4160">
        <f>SUMPRODUCT(Calc!$K$3:$K$22*(Calc!$G$3:$G$22&gt;B4160)*(Calc!$G$3:$G$22-B4160))</f>
        <v/>
      </c>
      <c r="I4160">
        <f>SUMPRODUCT(Calc!$K$3:$K$22*(Calc!$G$3:$G$22&gt;A4160)*(Calc!$G$3:$G$22-A4160)^2)</f>
        <v/>
      </c>
      <c r="J4160">
        <f>SUMPRODUCT(Calc!$K$3:$K$22*(Calc!$G$3:$G$22&gt;B4160)*(Calc!$G$3:$G$22-B4160)^2)</f>
        <v/>
      </c>
      <c r="K4160">
        <f>SUMPRODUCT(Calc!$K$3:$K$22*(Calc!$G$3:$G$22&gt;A4160)*(Calc!$G$3:$G$22-A4160)*(Calc!$G$3:$G$22&gt;B4160)*(Calc!$G$3:$G$22-B4160))</f>
        <v/>
      </c>
      <c r="L4160">
        <f>SUMPRODUCT(Calc!$K$3:$K$22*(Calc!$G$3:$G$22&gt;A4160)*(Calc!$G$3:$G$22-A4160)*Calc!$G$3:$G$22)</f>
        <v/>
      </c>
      <c r="M4160">
        <f>SUMPRODUCT(Calc!$K$3:$K$22*(Calc!$G$3:$G$22&gt;B4160)*(Calc!$G$3:$G$22-B4160)*Calc!$G$3:$G$22)</f>
        <v/>
      </c>
      <c r="N4160">
        <f>SUMPRODUCT(Calc!$K$3:$K$22*(Calc!$G$3:$G$22&gt;A4160)*(Calc!$G$3:$G$22-A4160)*Calc!$I$3:$I$22)</f>
        <v/>
      </c>
      <c r="O4160">
        <f>SUMPRODUCT(Calc!$K$3:$K$22*(Calc!$G$3:$G$22&gt;B4160)*(Calc!$G$3:$G$22-B4160)*Calc!$I$3:$I$22)</f>
        <v/>
      </c>
      <c r="P4160">
        <f>I4160-G4160^2/k_n</f>
        <v/>
      </c>
      <c r="Q4160">
        <f>J4160-H4160^2/k_n</f>
        <v/>
      </c>
      <c r="R4160">
        <f>K4160-G4160*H4160/k_n</f>
        <v/>
      </c>
      <c r="S4160">
        <f>L4160-LTP3!$D$3*G4160/k_n</f>
        <v/>
      </c>
      <c r="T4160">
        <f>M4160-LTP3!$D$3*H4160/k_n</f>
        <v/>
      </c>
      <c r="U4160">
        <f>N4160-G4160*LTP3!$D$4/k_n</f>
        <v/>
      </c>
      <c r="V4160">
        <f>O4160-H4160*LTP3!$D$4/k_n</f>
        <v/>
      </c>
      <c r="W4160">
        <f>((LTP3!$D$5)*((P4160)*(Q4160)-(R4160)*(R4160))-(S4160)*((S4160)*(Q4160)-(R4160)*(T4160))+(T4160)*((S4160)*(R4160)-(P4160)*(T4160)))</f>
        <v/>
      </c>
      <c r="X4160">
        <f>IF(ABS(W4160)&gt;1E-12,((LTP3!$D$6)*((P4160)*(Q4160)-(R4160)*(R4160))-(S4160)*((U4160)*(Q4160)-(R4160)*(V4160))+(T4160)*((U4160)*(R4160)-(P4160)*(V4160)))/W4160,0)</f>
        <v/>
      </c>
      <c r="Y4160">
        <f>IF(ABS(W4160)&gt;1E-12,((LTP3!$D$5)*((U4160)*(Q4160)-(R4160)*(V4160))-(LTP3!$D$6)*((S4160)*(Q4160)-(R4160)*(T4160))+(T4160)*((S4160)*(V4160)-(U4160)*(T4160)))/W4160,0)</f>
        <v/>
      </c>
      <c r="Z4160">
        <f>IF(ABS(W4160)&gt;1E-12,((LTP3!$D$5)*((P4160)*(V4160)-(U4160)*(R4160))-(S4160)*((S4160)*(V4160)-(U4160)*(T4160))+(LTP3!$D$6)*((S4160)*(R4160)-(P4160)*(T4160)))/W4160,0)</f>
        <v/>
      </c>
      <c r="AA4160">
        <f>LTP3!$D$7-X4160*LTP3!$D$6-Y4160*U4160-Z4160*V4160</f>
        <v/>
      </c>
      <c r="AB4160">
        <f>IF(AND(F4160,ABS(W4160)&gt;1E-12,Y4160&gt;0,Z4160&gt;0),AA4160,1E+300)</f>
        <v/>
      </c>
    </row>
    <row r="4161">
      <c r="A4161">
        <f>$I$3-$B$5+$B$5*20/10</f>
        <v/>
      </c>
      <c r="B4161">
        <f>$J$3-$B$5+$B$5*5/10</f>
        <v/>
      </c>
      <c r="C4161">
        <f>SUMPRODUCT(Calc!$K$3:$K$22*(Calc!$G$3:$G$22&lt;=A4161))</f>
        <v/>
      </c>
      <c r="D4161">
        <f>SUMPRODUCT(Calc!$K$3:$K$22*(Calc!$G$3:$G$22&gt;A4161)*(Calc!$G$3:$G$22&lt;B4161))</f>
        <v/>
      </c>
      <c r="E4161">
        <f>SUMPRODUCT(Calc!$K$3:$K$22*(Calc!$G$3:$G$22&gt;=B4161))</f>
        <v/>
      </c>
      <c r="F4161">
        <f>AND(k_n&gt;=5,B4161&gt;A4161+1E-9,C4161&gt;=2,D4161&gt;=1,E4161&gt;=2)</f>
        <v/>
      </c>
      <c r="G4161">
        <f>SUMPRODUCT(Calc!$K$3:$K$22*(Calc!$G$3:$G$22&gt;A4161)*(Calc!$G$3:$G$22-A4161))</f>
        <v/>
      </c>
      <c r="H4161">
        <f>SUMPRODUCT(Calc!$K$3:$K$22*(Calc!$G$3:$G$22&gt;B4161)*(Calc!$G$3:$G$22-B4161))</f>
        <v/>
      </c>
      <c r="I4161">
        <f>SUMPRODUCT(Calc!$K$3:$K$22*(Calc!$G$3:$G$22&gt;A4161)*(Calc!$G$3:$G$22-A4161)^2)</f>
        <v/>
      </c>
      <c r="J4161">
        <f>SUMPRODUCT(Calc!$K$3:$K$22*(Calc!$G$3:$G$22&gt;B4161)*(Calc!$G$3:$G$22-B4161)^2)</f>
        <v/>
      </c>
      <c r="K4161">
        <f>SUMPRODUCT(Calc!$K$3:$K$22*(Calc!$G$3:$G$22&gt;A4161)*(Calc!$G$3:$G$22-A4161)*(Calc!$G$3:$G$22&gt;B4161)*(Calc!$G$3:$G$22-B4161))</f>
        <v/>
      </c>
      <c r="L4161">
        <f>SUMPRODUCT(Calc!$K$3:$K$22*(Calc!$G$3:$G$22&gt;A4161)*(Calc!$G$3:$G$22-A4161)*Calc!$G$3:$G$22)</f>
        <v/>
      </c>
      <c r="M4161">
        <f>SUMPRODUCT(Calc!$K$3:$K$22*(Calc!$G$3:$G$22&gt;B4161)*(Calc!$G$3:$G$22-B4161)*Calc!$G$3:$G$22)</f>
        <v/>
      </c>
      <c r="N4161">
        <f>SUMPRODUCT(Calc!$K$3:$K$22*(Calc!$G$3:$G$22&gt;A4161)*(Calc!$G$3:$G$22-A4161)*Calc!$I$3:$I$22)</f>
        <v/>
      </c>
      <c r="O4161">
        <f>SUMPRODUCT(Calc!$K$3:$K$22*(Calc!$G$3:$G$22&gt;B4161)*(Calc!$G$3:$G$22-B4161)*Calc!$I$3:$I$22)</f>
        <v/>
      </c>
      <c r="P4161">
        <f>I4161-G4161^2/k_n</f>
        <v/>
      </c>
      <c r="Q4161">
        <f>J4161-H4161^2/k_n</f>
        <v/>
      </c>
      <c r="R4161">
        <f>K4161-G4161*H4161/k_n</f>
        <v/>
      </c>
      <c r="S4161">
        <f>L4161-LTP3!$D$3*G4161/k_n</f>
        <v/>
      </c>
      <c r="T4161">
        <f>M4161-LTP3!$D$3*H4161/k_n</f>
        <v/>
      </c>
      <c r="U4161">
        <f>N4161-G4161*LTP3!$D$4/k_n</f>
        <v/>
      </c>
      <c r="V4161">
        <f>O4161-H4161*LTP3!$D$4/k_n</f>
        <v/>
      </c>
      <c r="W4161">
        <f>((LTP3!$D$5)*((P4161)*(Q4161)-(R4161)*(R4161))-(S4161)*((S4161)*(Q4161)-(R4161)*(T4161))+(T4161)*((S4161)*(R4161)-(P4161)*(T4161)))</f>
        <v/>
      </c>
      <c r="X4161">
        <f>IF(ABS(W4161)&gt;1E-12,((LTP3!$D$6)*((P4161)*(Q4161)-(R4161)*(R4161))-(S4161)*((U4161)*(Q4161)-(R4161)*(V4161))+(T4161)*((U4161)*(R4161)-(P4161)*(V4161)))/W4161,0)</f>
        <v/>
      </c>
      <c r="Y4161">
        <f>IF(ABS(W4161)&gt;1E-12,((LTP3!$D$5)*((U4161)*(Q4161)-(R4161)*(V4161))-(LTP3!$D$6)*((S4161)*(Q4161)-(R4161)*(T4161))+(T4161)*((S4161)*(V4161)-(U4161)*(T4161)))/W4161,0)</f>
        <v/>
      </c>
      <c r="Z4161">
        <f>IF(ABS(W4161)&gt;1E-12,((LTP3!$D$5)*((P4161)*(V4161)-(U4161)*(R4161))-(S4161)*((S4161)*(V4161)-(U4161)*(T4161))+(LTP3!$D$6)*((S4161)*(R4161)-(P4161)*(T4161)))/W4161,0)</f>
        <v/>
      </c>
      <c r="AA4161">
        <f>LTP3!$D$7-X4161*LTP3!$D$6-Y4161*U4161-Z4161*V4161</f>
        <v/>
      </c>
      <c r="AB4161">
        <f>IF(AND(F4161,ABS(W4161)&gt;1E-12,Y4161&gt;0,Z4161&gt;0),AA4161,1E+300)</f>
        <v/>
      </c>
    </row>
    <row r="4162">
      <c r="A4162">
        <f>$I$3-$B$5+$B$5*20/10</f>
        <v/>
      </c>
      <c r="B4162">
        <f>$J$3-$B$5+$B$5*6/10</f>
        <v/>
      </c>
      <c r="C4162">
        <f>SUMPRODUCT(Calc!$K$3:$K$22*(Calc!$G$3:$G$22&lt;=A4162))</f>
        <v/>
      </c>
      <c r="D4162">
        <f>SUMPRODUCT(Calc!$K$3:$K$22*(Calc!$G$3:$G$22&gt;A4162)*(Calc!$G$3:$G$22&lt;B4162))</f>
        <v/>
      </c>
      <c r="E4162">
        <f>SUMPRODUCT(Calc!$K$3:$K$22*(Calc!$G$3:$G$22&gt;=B4162))</f>
        <v/>
      </c>
      <c r="F4162">
        <f>AND(k_n&gt;=5,B4162&gt;A4162+1E-9,C4162&gt;=2,D4162&gt;=1,E4162&gt;=2)</f>
        <v/>
      </c>
      <c r="G4162">
        <f>SUMPRODUCT(Calc!$K$3:$K$22*(Calc!$G$3:$G$22&gt;A4162)*(Calc!$G$3:$G$22-A4162))</f>
        <v/>
      </c>
      <c r="H4162">
        <f>SUMPRODUCT(Calc!$K$3:$K$22*(Calc!$G$3:$G$22&gt;B4162)*(Calc!$G$3:$G$22-B4162))</f>
        <v/>
      </c>
      <c r="I4162">
        <f>SUMPRODUCT(Calc!$K$3:$K$22*(Calc!$G$3:$G$22&gt;A4162)*(Calc!$G$3:$G$22-A4162)^2)</f>
        <v/>
      </c>
      <c r="J4162">
        <f>SUMPRODUCT(Calc!$K$3:$K$22*(Calc!$G$3:$G$22&gt;B4162)*(Calc!$G$3:$G$22-B4162)^2)</f>
        <v/>
      </c>
      <c r="K4162">
        <f>SUMPRODUCT(Calc!$K$3:$K$22*(Calc!$G$3:$G$22&gt;A4162)*(Calc!$G$3:$G$22-A4162)*(Calc!$G$3:$G$22&gt;B4162)*(Calc!$G$3:$G$22-B4162))</f>
        <v/>
      </c>
      <c r="L4162">
        <f>SUMPRODUCT(Calc!$K$3:$K$22*(Calc!$G$3:$G$22&gt;A4162)*(Calc!$G$3:$G$22-A4162)*Calc!$G$3:$G$22)</f>
        <v/>
      </c>
      <c r="M4162">
        <f>SUMPRODUCT(Calc!$K$3:$K$22*(Calc!$G$3:$G$22&gt;B4162)*(Calc!$G$3:$G$22-B4162)*Calc!$G$3:$G$22)</f>
        <v/>
      </c>
      <c r="N4162">
        <f>SUMPRODUCT(Calc!$K$3:$K$22*(Calc!$G$3:$G$22&gt;A4162)*(Calc!$G$3:$G$22-A4162)*Calc!$I$3:$I$22)</f>
        <v/>
      </c>
      <c r="O4162">
        <f>SUMPRODUCT(Calc!$K$3:$K$22*(Calc!$G$3:$G$22&gt;B4162)*(Calc!$G$3:$G$22-B4162)*Calc!$I$3:$I$22)</f>
        <v/>
      </c>
      <c r="P4162">
        <f>I4162-G4162^2/k_n</f>
        <v/>
      </c>
      <c r="Q4162">
        <f>J4162-H4162^2/k_n</f>
        <v/>
      </c>
      <c r="R4162">
        <f>K4162-G4162*H4162/k_n</f>
        <v/>
      </c>
      <c r="S4162">
        <f>L4162-LTP3!$D$3*G4162/k_n</f>
        <v/>
      </c>
      <c r="T4162">
        <f>M4162-LTP3!$D$3*H4162/k_n</f>
        <v/>
      </c>
      <c r="U4162">
        <f>N4162-G4162*LTP3!$D$4/k_n</f>
        <v/>
      </c>
      <c r="V4162">
        <f>O4162-H4162*LTP3!$D$4/k_n</f>
        <v/>
      </c>
      <c r="W4162">
        <f>((LTP3!$D$5)*((P4162)*(Q4162)-(R4162)*(R4162))-(S4162)*((S4162)*(Q4162)-(R4162)*(T4162))+(T4162)*((S4162)*(R4162)-(P4162)*(T4162)))</f>
        <v/>
      </c>
      <c r="X4162">
        <f>IF(ABS(W4162)&gt;1E-12,((LTP3!$D$6)*((P4162)*(Q4162)-(R4162)*(R4162))-(S4162)*((U4162)*(Q4162)-(R4162)*(V4162))+(T4162)*((U4162)*(R4162)-(P4162)*(V4162)))/W4162,0)</f>
        <v/>
      </c>
      <c r="Y4162">
        <f>IF(ABS(W4162)&gt;1E-12,((LTP3!$D$5)*((U4162)*(Q4162)-(R4162)*(V4162))-(LTP3!$D$6)*((S4162)*(Q4162)-(R4162)*(T4162))+(T4162)*((S4162)*(V4162)-(U4162)*(T4162)))/W4162,0)</f>
        <v/>
      </c>
      <c r="Z4162">
        <f>IF(ABS(W4162)&gt;1E-12,((LTP3!$D$5)*((P4162)*(V4162)-(U4162)*(R4162))-(S4162)*((S4162)*(V4162)-(U4162)*(T4162))+(LTP3!$D$6)*((S4162)*(R4162)-(P4162)*(T4162)))/W4162,0)</f>
        <v/>
      </c>
      <c r="AA4162">
        <f>LTP3!$D$7-X4162*LTP3!$D$6-Y4162*U4162-Z4162*V4162</f>
        <v/>
      </c>
      <c r="AB4162">
        <f>IF(AND(F4162,ABS(W4162)&gt;1E-12,Y4162&gt;0,Z4162&gt;0),AA4162,1E+300)</f>
        <v/>
      </c>
    </row>
    <row r="4163">
      <c r="A4163">
        <f>$I$3-$B$5+$B$5*20/10</f>
        <v/>
      </c>
      <c r="B4163">
        <f>$J$3-$B$5+$B$5*7/10</f>
        <v/>
      </c>
      <c r="C4163">
        <f>SUMPRODUCT(Calc!$K$3:$K$22*(Calc!$G$3:$G$22&lt;=A4163))</f>
        <v/>
      </c>
      <c r="D4163">
        <f>SUMPRODUCT(Calc!$K$3:$K$22*(Calc!$G$3:$G$22&gt;A4163)*(Calc!$G$3:$G$22&lt;B4163))</f>
        <v/>
      </c>
      <c r="E4163">
        <f>SUMPRODUCT(Calc!$K$3:$K$22*(Calc!$G$3:$G$22&gt;=B4163))</f>
        <v/>
      </c>
      <c r="F4163">
        <f>AND(k_n&gt;=5,B4163&gt;A4163+1E-9,C4163&gt;=2,D4163&gt;=1,E4163&gt;=2)</f>
        <v/>
      </c>
      <c r="G4163">
        <f>SUMPRODUCT(Calc!$K$3:$K$22*(Calc!$G$3:$G$22&gt;A4163)*(Calc!$G$3:$G$22-A4163))</f>
        <v/>
      </c>
      <c r="H4163">
        <f>SUMPRODUCT(Calc!$K$3:$K$22*(Calc!$G$3:$G$22&gt;B4163)*(Calc!$G$3:$G$22-B4163))</f>
        <v/>
      </c>
      <c r="I4163">
        <f>SUMPRODUCT(Calc!$K$3:$K$22*(Calc!$G$3:$G$22&gt;A4163)*(Calc!$G$3:$G$22-A4163)^2)</f>
        <v/>
      </c>
      <c r="J4163">
        <f>SUMPRODUCT(Calc!$K$3:$K$22*(Calc!$G$3:$G$22&gt;B4163)*(Calc!$G$3:$G$22-B4163)^2)</f>
        <v/>
      </c>
      <c r="K4163">
        <f>SUMPRODUCT(Calc!$K$3:$K$22*(Calc!$G$3:$G$22&gt;A4163)*(Calc!$G$3:$G$22-A4163)*(Calc!$G$3:$G$22&gt;B4163)*(Calc!$G$3:$G$22-B4163))</f>
        <v/>
      </c>
      <c r="L4163">
        <f>SUMPRODUCT(Calc!$K$3:$K$22*(Calc!$G$3:$G$22&gt;A4163)*(Calc!$G$3:$G$22-A4163)*Calc!$G$3:$G$22)</f>
        <v/>
      </c>
      <c r="M4163">
        <f>SUMPRODUCT(Calc!$K$3:$K$22*(Calc!$G$3:$G$22&gt;B4163)*(Calc!$G$3:$G$22-B4163)*Calc!$G$3:$G$22)</f>
        <v/>
      </c>
      <c r="N4163">
        <f>SUMPRODUCT(Calc!$K$3:$K$22*(Calc!$G$3:$G$22&gt;A4163)*(Calc!$G$3:$G$22-A4163)*Calc!$I$3:$I$22)</f>
        <v/>
      </c>
      <c r="O4163">
        <f>SUMPRODUCT(Calc!$K$3:$K$22*(Calc!$G$3:$G$22&gt;B4163)*(Calc!$G$3:$G$22-B4163)*Calc!$I$3:$I$22)</f>
        <v/>
      </c>
      <c r="P4163">
        <f>I4163-G4163^2/k_n</f>
        <v/>
      </c>
      <c r="Q4163">
        <f>J4163-H4163^2/k_n</f>
        <v/>
      </c>
      <c r="R4163">
        <f>K4163-G4163*H4163/k_n</f>
        <v/>
      </c>
      <c r="S4163">
        <f>L4163-LTP3!$D$3*G4163/k_n</f>
        <v/>
      </c>
      <c r="T4163">
        <f>M4163-LTP3!$D$3*H4163/k_n</f>
        <v/>
      </c>
      <c r="U4163">
        <f>N4163-G4163*LTP3!$D$4/k_n</f>
        <v/>
      </c>
      <c r="V4163">
        <f>O4163-H4163*LTP3!$D$4/k_n</f>
        <v/>
      </c>
      <c r="W4163">
        <f>((LTP3!$D$5)*((P4163)*(Q4163)-(R4163)*(R4163))-(S4163)*((S4163)*(Q4163)-(R4163)*(T4163))+(T4163)*((S4163)*(R4163)-(P4163)*(T4163)))</f>
        <v/>
      </c>
      <c r="X4163">
        <f>IF(ABS(W4163)&gt;1E-12,((LTP3!$D$6)*((P4163)*(Q4163)-(R4163)*(R4163))-(S4163)*((U4163)*(Q4163)-(R4163)*(V4163))+(T4163)*((U4163)*(R4163)-(P4163)*(V4163)))/W4163,0)</f>
        <v/>
      </c>
      <c r="Y4163">
        <f>IF(ABS(W4163)&gt;1E-12,((LTP3!$D$5)*((U4163)*(Q4163)-(R4163)*(V4163))-(LTP3!$D$6)*((S4163)*(Q4163)-(R4163)*(T4163))+(T4163)*((S4163)*(V4163)-(U4163)*(T4163)))/W4163,0)</f>
        <v/>
      </c>
      <c r="Z4163">
        <f>IF(ABS(W4163)&gt;1E-12,((LTP3!$D$5)*((P4163)*(V4163)-(U4163)*(R4163))-(S4163)*((S4163)*(V4163)-(U4163)*(T4163))+(LTP3!$D$6)*((S4163)*(R4163)-(P4163)*(T4163)))/W4163,0)</f>
        <v/>
      </c>
      <c r="AA4163">
        <f>LTP3!$D$7-X4163*LTP3!$D$6-Y4163*U4163-Z4163*V4163</f>
        <v/>
      </c>
      <c r="AB4163">
        <f>IF(AND(F4163,ABS(W4163)&gt;1E-12,Y4163&gt;0,Z4163&gt;0),AA4163,1E+300)</f>
        <v/>
      </c>
    </row>
    <row r="4164">
      <c r="A4164">
        <f>$I$3-$B$5+$B$5*20/10</f>
        <v/>
      </c>
      <c r="B4164">
        <f>$J$3-$B$5+$B$5*8/10</f>
        <v/>
      </c>
      <c r="C4164">
        <f>SUMPRODUCT(Calc!$K$3:$K$22*(Calc!$G$3:$G$22&lt;=A4164))</f>
        <v/>
      </c>
      <c r="D4164">
        <f>SUMPRODUCT(Calc!$K$3:$K$22*(Calc!$G$3:$G$22&gt;A4164)*(Calc!$G$3:$G$22&lt;B4164))</f>
        <v/>
      </c>
      <c r="E4164">
        <f>SUMPRODUCT(Calc!$K$3:$K$22*(Calc!$G$3:$G$22&gt;=B4164))</f>
        <v/>
      </c>
      <c r="F4164">
        <f>AND(k_n&gt;=5,B4164&gt;A4164+1E-9,C4164&gt;=2,D4164&gt;=1,E4164&gt;=2)</f>
        <v/>
      </c>
      <c r="G4164">
        <f>SUMPRODUCT(Calc!$K$3:$K$22*(Calc!$G$3:$G$22&gt;A4164)*(Calc!$G$3:$G$22-A4164))</f>
        <v/>
      </c>
      <c r="H4164">
        <f>SUMPRODUCT(Calc!$K$3:$K$22*(Calc!$G$3:$G$22&gt;B4164)*(Calc!$G$3:$G$22-B4164))</f>
        <v/>
      </c>
      <c r="I4164">
        <f>SUMPRODUCT(Calc!$K$3:$K$22*(Calc!$G$3:$G$22&gt;A4164)*(Calc!$G$3:$G$22-A4164)^2)</f>
        <v/>
      </c>
      <c r="J4164">
        <f>SUMPRODUCT(Calc!$K$3:$K$22*(Calc!$G$3:$G$22&gt;B4164)*(Calc!$G$3:$G$22-B4164)^2)</f>
        <v/>
      </c>
      <c r="K4164">
        <f>SUMPRODUCT(Calc!$K$3:$K$22*(Calc!$G$3:$G$22&gt;A4164)*(Calc!$G$3:$G$22-A4164)*(Calc!$G$3:$G$22&gt;B4164)*(Calc!$G$3:$G$22-B4164))</f>
        <v/>
      </c>
      <c r="L4164">
        <f>SUMPRODUCT(Calc!$K$3:$K$22*(Calc!$G$3:$G$22&gt;A4164)*(Calc!$G$3:$G$22-A4164)*Calc!$G$3:$G$22)</f>
        <v/>
      </c>
      <c r="M4164">
        <f>SUMPRODUCT(Calc!$K$3:$K$22*(Calc!$G$3:$G$22&gt;B4164)*(Calc!$G$3:$G$22-B4164)*Calc!$G$3:$G$22)</f>
        <v/>
      </c>
      <c r="N4164">
        <f>SUMPRODUCT(Calc!$K$3:$K$22*(Calc!$G$3:$G$22&gt;A4164)*(Calc!$G$3:$G$22-A4164)*Calc!$I$3:$I$22)</f>
        <v/>
      </c>
      <c r="O4164">
        <f>SUMPRODUCT(Calc!$K$3:$K$22*(Calc!$G$3:$G$22&gt;B4164)*(Calc!$G$3:$G$22-B4164)*Calc!$I$3:$I$22)</f>
        <v/>
      </c>
      <c r="P4164">
        <f>I4164-G4164^2/k_n</f>
        <v/>
      </c>
      <c r="Q4164">
        <f>J4164-H4164^2/k_n</f>
        <v/>
      </c>
      <c r="R4164">
        <f>K4164-G4164*H4164/k_n</f>
        <v/>
      </c>
      <c r="S4164">
        <f>L4164-LTP3!$D$3*G4164/k_n</f>
        <v/>
      </c>
      <c r="T4164">
        <f>M4164-LTP3!$D$3*H4164/k_n</f>
        <v/>
      </c>
      <c r="U4164">
        <f>N4164-G4164*LTP3!$D$4/k_n</f>
        <v/>
      </c>
      <c r="V4164">
        <f>O4164-H4164*LTP3!$D$4/k_n</f>
        <v/>
      </c>
      <c r="W4164">
        <f>((LTP3!$D$5)*((P4164)*(Q4164)-(R4164)*(R4164))-(S4164)*((S4164)*(Q4164)-(R4164)*(T4164))+(T4164)*((S4164)*(R4164)-(P4164)*(T4164)))</f>
        <v/>
      </c>
      <c r="X4164">
        <f>IF(ABS(W4164)&gt;1E-12,((LTP3!$D$6)*((P4164)*(Q4164)-(R4164)*(R4164))-(S4164)*((U4164)*(Q4164)-(R4164)*(V4164))+(T4164)*((U4164)*(R4164)-(P4164)*(V4164)))/W4164,0)</f>
        <v/>
      </c>
      <c r="Y4164">
        <f>IF(ABS(W4164)&gt;1E-12,((LTP3!$D$5)*((U4164)*(Q4164)-(R4164)*(V4164))-(LTP3!$D$6)*((S4164)*(Q4164)-(R4164)*(T4164))+(T4164)*((S4164)*(V4164)-(U4164)*(T4164)))/W4164,0)</f>
        <v/>
      </c>
      <c r="Z4164">
        <f>IF(ABS(W4164)&gt;1E-12,((LTP3!$D$5)*((P4164)*(V4164)-(U4164)*(R4164))-(S4164)*((S4164)*(V4164)-(U4164)*(T4164))+(LTP3!$D$6)*((S4164)*(R4164)-(P4164)*(T4164)))/W4164,0)</f>
        <v/>
      </c>
      <c r="AA4164">
        <f>LTP3!$D$7-X4164*LTP3!$D$6-Y4164*U4164-Z4164*V4164</f>
        <v/>
      </c>
      <c r="AB4164">
        <f>IF(AND(F4164,ABS(W4164)&gt;1E-12,Y4164&gt;0,Z4164&gt;0),AA4164,1E+300)</f>
        <v/>
      </c>
    </row>
    <row r="4165">
      <c r="A4165">
        <f>$I$3-$B$5+$B$5*20/10</f>
        <v/>
      </c>
      <c r="B4165">
        <f>$J$3-$B$5+$B$5*9/10</f>
        <v/>
      </c>
      <c r="C4165">
        <f>SUMPRODUCT(Calc!$K$3:$K$22*(Calc!$G$3:$G$22&lt;=A4165))</f>
        <v/>
      </c>
      <c r="D4165">
        <f>SUMPRODUCT(Calc!$K$3:$K$22*(Calc!$G$3:$G$22&gt;A4165)*(Calc!$G$3:$G$22&lt;B4165))</f>
        <v/>
      </c>
      <c r="E4165">
        <f>SUMPRODUCT(Calc!$K$3:$K$22*(Calc!$G$3:$G$22&gt;=B4165))</f>
        <v/>
      </c>
      <c r="F4165">
        <f>AND(k_n&gt;=5,B4165&gt;A4165+1E-9,C4165&gt;=2,D4165&gt;=1,E4165&gt;=2)</f>
        <v/>
      </c>
      <c r="G4165">
        <f>SUMPRODUCT(Calc!$K$3:$K$22*(Calc!$G$3:$G$22&gt;A4165)*(Calc!$G$3:$G$22-A4165))</f>
        <v/>
      </c>
      <c r="H4165">
        <f>SUMPRODUCT(Calc!$K$3:$K$22*(Calc!$G$3:$G$22&gt;B4165)*(Calc!$G$3:$G$22-B4165))</f>
        <v/>
      </c>
      <c r="I4165">
        <f>SUMPRODUCT(Calc!$K$3:$K$22*(Calc!$G$3:$G$22&gt;A4165)*(Calc!$G$3:$G$22-A4165)^2)</f>
        <v/>
      </c>
      <c r="J4165">
        <f>SUMPRODUCT(Calc!$K$3:$K$22*(Calc!$G$3:$G$22&gt;B4165)*(Calc!$G$3:$G$22-B4165)^2)</f>
        <v/>
      </c>
      <c r="K4165">
        <f>SUMPRODUCT(Calc!$K$3:$K$22*(Calc!$G$3:$G$22&gt;A4165)*(Calc!$G$3:$G$22-A4165)*(Calc!$G$3:$G$22&gt;B4165)*(Calc!$G$3:$G$22-B4165))</f>
        <v/>
      </c>
      <c r="L4165">
        <f>SUMPRODUCT(Calc!$K$3:$K$22*(Calc!$G$3:$G$22&gt;A4165)*(Calc!$G$3:$G$22-A4165)*Calc!$G$3:$G$22)</f>
        <v/>
      </c>
      <c r="M4165">
        <f>SUMPRODUCT(Calc!$K$3:$K$22*(Calc!$G$3:$G$22&gt;B4165)*(Calc!$G$3:$G$22-B4165)*Calc!$G$3:$G$22)</f>
        <v/>
      </c>
      <c r="N4165">
        <f>SUMPRODUCT(Calc!$K$3:$K$22*(Calc!$G$3:$G$22&gt;A4165)*(Calc!$G$3:$G$22-A4165)*Calc!$I$3:$I$22)</f>
        <v/>
      </c>
      <c r="O4165">
        <f>SUMPRODUCT(Calc!$K$3:$K$22*(Calc!$G$3:$G$22&gt;B4165)*(Calc!$G$3:$G$22-B4165)*Calc!$I$3:$I$22)</f>
        <v/>
      </c>
      <c r="P4165">
        <f>I4165-G4165^2/k_n</f>
        <v/>
      </c>
      <c r="Q4165">
        <f>J4165-H4165^2/k_n</f>
        <v/>
      </c>
      <c r="R4165">
        <f>K4165-G4165*H4165/k_n</f>
        <v/>
      </c>
      <c r="S4165">
        <f>L4165-LTP3!$D$3*G4165/k_n</f>
        <v/>
      </c>
      <c r="T4165">
        <f>M4165-LTP3!$D$3*H4165/k_n</f>
        <v/>
      </c>
      <c r="U4165">
        <f>N4165-G4165*LTP3!$D$4/k_n</f>
        <v/>
      </c>
      <c r="V4165">
        <f>O4165-H4165*LTP3!$D$4/k_n</f>
        <v/>
      </c>
      <c r="W4165">
        <f>((LTP3!$D$5)*((P4165)*(Q4165)-(R4165)*(R4165))-(S4165)*((S4165)*(Q4165)-(R4165)*(T4165))+(T4165)*((S4165)*(R4165)-(P4165)*(T4165)))</f>
        <v/>
      </c>
      <c r="X4165">
        <f>IF(ABS(W4165)&gt;1E-12,((LTP3!$D$6)*((P4165)*(Q4165)-(R4165)*(R4165))-(S4165)*((U4165)*(Q4165)-(R4165)*(V4165))+(T4165)*((U4165)*(R4165)-(P4165)*(V4165)))/W4165,0)</f>
        <v/>
      </c>
      <c r="Y4165">
        <f>IF(ABS(W4165)&gt;1E-12,((LTP3!$D$5)*((U4165)*(Q4165)-(R4165)*(V4165))-(LTP3!$D$6)*((S4165)*(Q4165)-(R4165)*(T4165))+(T4165)*((S4165)*(V4165)-(U4165)*(T4165)))/W4165,0)</f>
        <v/>
      </c>
      <c r="Z4165">
        <f>IF(ABS(W4165)&gt;1E-12,((LTP3!$D$5)*((P4165)*(V4165)-(U4165)*(R4165))-(S4165)*((S4165)*(V4165)-(U4165)*(T4165))+(LTP3!$D$6)*((S4165)*(R4165)-(P4165)*(T4165)))/W4165,0)</f>
        <v/>
      </c>
      <c r="AA4165">
        <f>LTP3!$D$7-X4165*LTP3!$D$6-Y4165*U4165-Z4165*V4165</f>
        <v/>
      </c>
      <c r="AB4165">
        <f>IF(AND(F4165,ABS(W4165)&gt;1E-12,Y4165&gt;0,Z4165&gt;0),AA4165,1E+300)</f>
        <v/>
      </c>
    </row>
    <row r="4166">
      <c r="A4166">
        <f>$I$3-$B$5+$B$5*20/10</f>
        <v/>
      </c>
      <c r="B4166">
        <f>$J$3-$B$5+$B$5*10/10</f>
        <v/>
      </c>
      <c r="C4166">
        <f>SUMPRODUCT(Calc!$K$3:$K$22*(Calc!$G$3:$G$22&lt;=A4166))</f>
        <v/>
      </c>
      <c r="D4166">
        <f>SUMPRODUCT(Calc!$K$3:$K$22*(Calc!$G$3:$G$22&gt;A4166)*(Calc!$G$3:$G$22&lt;B4166))</f>
        <v/>
      </c>
      <c r="E4166">
        <f>SUMPRODUCT(Calc!$K$3:$K$22*(Calc!$G$3:$G$22&gt;=B4166))</f>
        <v/>
      </c>
      <c r="F4166">
        <f>AND(k_n&gt;=5,B4166&gt;A4166+1E-9,C4166&gt;=2,D4166&gt;=1,E4166&gt;=2)</f>
        <v/>
      </c>
      <c r="G4166">
        <f>SUMPRODUCT(Calc!$K$3:$K$22*(Calc!$G$3:$G$22&gt;A4166)*(Calc!$G$3:$G$22-A4166))</f>
        <v/>
      </c>
      <c r="H4166">
        <f>SUMPRODUCT(Calc!$K$3:$K$22*(Calc!$G$3:$G$22&gt;B4166)*(Calc!$G$3:$G$22-B4166))</f>
        <v/>
      </c>
      <c r="I4166">
        <f>SUMPRODUCT(Calc!$K$3:$K$22*(Calc!$G$3:$G$22&gt;A4166)*(Calc!$G$3:$G$22-A4166)^2)</f>
        <v/>
      </c>
      <c r="J4166">
        <f>SUMPRODUCT(Calc!$K$3:$K$22*(Calc!$G$3:$G$22&gt;B4166)*(Calc!$G$3:$G$22-B4166)^2)</f>
        <v/>
      </c>
      <c r="K4166">
        <f>SUMPRODUCT(Calc!$K$3:$K$22*(Calc!$G$3:$G$22&gt;A4166)*(Calc!$G$3:$G$22-A4166)*(Calc!$G$3:$G$22&gt;B4166)*(Calc!$G$3:$G$22-B4166))</f>
        <v/>
      </c>
      <c r="L4166">
        <f>SUMPRODUCT(Calc!$K$3:$K$22*(Calc!$G$3:$G$22&gt;A4166)*(Calc!$G$3:$G$22-A4166)*Calc!$G$3:$G$22)</f>
        <v/>
      </c>
      <c r="M4166">
        <f>SUMPRODUCT(Calc!$K$3:$K$22*(Calc!$G$3:$G$22&gt;B4166)*(Calc!$G$3:$G$22-B4166)*Calc!$G$3:$G$22)</f>
        <v/>
      </c>
      <c r="N4166">
        <f>SUMPRODUCT(Calc!$K$3:$K$22*(Calc!$G$3:$G$22&gt;A4166)*(Calc!$G$3:$G$22-A4166)*Calc!$I$3:$I$22)</f>
        <v/>
      </c>
      <c r="O4166">
        <f>SUMPRODUCT(Calc!$K$3:$K$22*(Calc!$G$3:$G$22&gt;B4166)*(Calc!$G$3:$G$22-B4166)*Calc!$I$3:$I$22)</f>
        <v/>
      </c>
      <c r="P4166">
        <f>I4166-G4166^2/k_n</f>
        <v/>
      </c>
      <c r="Q4166">
        <f>J4166-H4166^2/k_n</f>
        <v/>
      </c>
      <c r="R4166">
        <f>K4166-G4166*H4166/k_n</f>
        <v/>
      </c>
      <c r="S4166">
        <f>L4166-LTP3!$D$3*G4166/k_n</f>
        <v/>
      </c>
      <c r="T4166">
        <f>M4166-LTP3!$D$3*H4166/k_n</f>
        <v/>
      </c>
      <c r="U4166">
        <f>N4166-G4166*LTP3!$D$4/k_n</f>
        <v/>
      </c>
      <c r="V4166">
        <f>O4166-H4166*LTP3!$D$4/k_n</f>
        <v/>
      </c>
      <c r="W4166">
        <f>((LTP3!$D$5)*((P4166)*(Q4166)-(R4166)*(R4166))-(S4166)*((S4166)*(Q4166)-(R4166)*(T4166))+(T4166)*((S4166)*(R4166)-(P4166)*(T4166)))</f>
        <v/>
      </c>
      <c r="X4166">
        <f>IF(ABS(W4166)&gt;1E-12,((LTP3!$D$6)*((P4166)*(Q4166)-(R4166)*(R4166))-(S4166)*((U4166)*(Q4166)-(R4166)*(V4166))+(T4166)*((U4166)*(R4166)-(P4166)*(V4166)))/W4166,0)</f>
        <v/>
      </c>
      <c r="Y4166">
        <f>IF(ABS(W4166)&gt;1E-12,((LTP3!$D$5)*((U4166)*(Q4166)-(R4166)*(V4166))-(LTP3!$D$6)*((S4166)*(Q4166)-(R4166)*(T4166))+(T4166)*((S4166)*(V4166)-(U4166)*(T4166)))/W4166,0)</f>
        <v/>
      </c>
      <c r="Z4166">
        <f>IF(ABS(W4166)&gt;1E-12,((LTP3!$D$5)*((P4166)*(V4166)-(U4166)*(R4166))-(S4166)*((S4166)*(V4166)-(U4166)*(T4166))+(LTP3!$D$6)*((S4166)*(R4166)-(P4166)*(T4166)))/W4166,0)</f>
        <v/>
      </c>
      <c r="AA4166">
        <f>LTP3!$D$7-X4166*LTP3!$D$6-Y4166*U4166-Z4166*V4166</f>
        <v/>
      </c>
      <c r="AB4166">
        <f>IF(AND(F4166,ABS(W4166)&gt;1E-12,Y4166&gt;0,Z4166&gt;0),AA4166,1E+300)</f>
        <v/>
      </c>
    </row>
    <row r="4167">
      <c r="A4167">
        <f>$I$3-$B$5+$B$5*20/10</f>
        <v/>
      </c>
      <c r="B4167">
        <f>$J$3-$B$5+$B$5*11/10</f>
        <v/>
      </c>
      <c r="C4167">
        <f>SUMPRODUCT(Calc!$K$3:$K$22*(Calc!$G$3:$G$22&lt;=A4167))</f>
        <v/>
      </c>
      <c r="D4167">
        <f>SUMPRODUCT(Calc!$K$3:$K$22*(Calc!$G$3:$G$22&gt;A4167)*(Calc!$G$3:$G$22&lt;B4167))</f>
        <v/>
      </c>
      <c r="E4167">
        <f>SUMPRODUCT(Calc!$K$3:$K$22*(Calc!$G$3:$G$22&gt;=B4167))</f>
        <v/>
      </c>
      <c r="F4167">
        <f>AND(k_n&gt;=5,B4167&gt;A4167+1E-9,C4167&gt;=2,D4167&gt;=1,E4167&gt;=2)</f>
        <v/>
      </c>
      <c r="G4167">
        <f>SUMPRODUCT(Calc!$K$3:$K$22*(Calc!$G$3:$G$22&gt;A4167)*(Calc!$G$3:$G$22-A4167))</f>
        <v/>
      </c>
      <c r="H4167">
        <f>SUMPRODUCT(Calc!$K$3:$K$22*(Calc!$G$3:$G$22&gt;B4167)*(Calc!$G$3:$G$22-B4167))</f>
        <v/>
      </c>
      <c r="I4167">
        <f>SUMPRODUCT(Calc!$K$3:$K$22*(Calc!$G$3:$G$22&gt;A4167)*(Calc!$G$3:$G$22-A4167)^2)</f>
        <v/>
      </c>
      <c r="J4167">
        <f>SUMPRODUCT(Calc!$K$3:$K$22*(Calc!$G$3:$G$22&gt;B4167)*(Calc!$G$3:$G$22-B4167)^2)</f>
        <v/>
      </c>
      <c r="K4167">
        <f>SUMPRODUCT(Calc!$K$3:$K$22*(Calc!$G$3:$G$22&gt;A4167)*(Calc!$G$3:$G$22-A4167)*(Calc!$G$3:$G$22&gt;B4167)*(Calc!$G$3:$G$22-B4167))</f>
        <v/>
      </c>
      <c r="L4167">
        <f>SUMPRODUCT(Calc!$K$3:$K$22*(Calc!$G$3:$G$22&gt;A4167)*(Calc!$G$3:$G$22-A4167)*Calc!$G$3:$G$22)</f>
        <v/>
      </c>
      <c r="M4167">
        <f>SUMPRODUCT(Calc!$K$3:$K$22*(Calc!$G$3:$G$22&gt;B4167)*(Calc!$G$3:$G$22-B4167)*Calc!$G$3:$G$22)</f>
        <v/>
      </c>
      <c r="N4167">
        <f>SUMPRODUCT(Calc!$K$3:$K$22*(Calc!$G$3:$G$22&gt;A4167)*(Calc!$G$3:$G$22-A4167)*Calc!$I$3:$I$22)</f>
        <v/>
      </c>
      <c r="O4167">
        <f>SUMPRODUCT(Calc!$K$3:$K$22*(Calc!$G$3:$G$22&gt;B4167)*(Calc!$G$3:$G$22-B4167)*Calc!$I$3:$I$22)</f>
        <v/>
      </c>
      <c r="P4167">
        <f>I4167-G4167^2/k_n</f>
        <v/>
      </c>
      <c r="Q4167">
        <f>J4167-H4167^2/k_n</f>
        <v/>
      </c>
      <c r="R4167">
        <f>K4167-G4167*H4167/k_n</f>
        <v/>
      </c>
      <c r="S4167">
        <f>L4167-LTP3!$D$3*G4167/k_n</f>
        <v/>
      </c>
      <c r="T4167">
        <f>M4167-LTP3!$D$3*H4167/k_n</f>
        <v/>
      </c>
      <c r="U4167">
        <f>N4167-G4167*LTP3!$D$4/k_n</f>
        <v/>
      </c>
      <c r="V4167">
        <f>O4167-H4167*LTP3!$D$4/k_n</f>
        <v/>
      </c>
      <c r="W4167">
        <f>((LTP3!$D$5)*((P4167)*(Q4167)-(R4167)*(R4167))-(S4167)*((S4167)*(Q4167)-(R4167)*(T4167))+(T4167)*((S4167)*(R4167)-(P4167)*(T4167)))</f>
        <v/>
      </c>
      <c r="X4167">
        <f>IF(ABS(W4167)&gt;1E-12,((LTP3!$D$6)*((P4167)*(Q4167)-(R4167)*(R4167))-(S4167)*((U4167)*(Q4167)-(R4167)*(V4167))+(T4167)*((U4167)*(R4167)-(P4167)*(V4167)))/W4167,0)</f>
        <v/>
      </c>
      <c r="Y4167">
        <f>IF(ABS(W4167)&gt;1E-12,((LTP3!$D$5)*((U4167)*(Q4167)-(R4167)*(V4167))-(LTP3!$D$6)*((S4167)*(Q4167)-(R4167)*(T4167))+(T4167)*((S4167)*(V4167)-(U4167)*(T4167)))/W4167,0)</f>
        <v/>
      </c>
      <c r="Z4167">
        <f>IF(ABS(W4167)&gt;1E-12,((LTP3!$D$5)*((P4167)*(V4167)-(U4167)*(R4167))-(S4167)*((S4167)*(V4167)-(U4167)*(T4167))+(LTP3!$D$6)*((S4167)*(R4167)-(P4167)*(T4167)))/W4167,0)</f>
        <v/>
      </c>
      <c r="AA4167">
        <f>LTP3!$D$7-X4167*LTP3!$D$6-Y4167*U4167-Z4167*V4167</f>
        <v/>
      </c>
      <c r="AB4167">
        <f>IF(AND(F4167,ABS(W4167)&gt;1E-12,Y4167&gt;0,Z4167&gt;0),AA4167,1E+300)</f>
        <v/>
      </c>
    </row>
    <row r="4168">
      <c r="A4168">
        <f>$I$3-$B$5+$B$5*20/10</f>
        <v/>
      </c>
      <c r="B4168">
        <f>$J$3-$B$5+$B$5*12/10</f>
        <v/>
      </c>
      <c r="C4168">
        <f>SUMPRODUCT(Calc!$K$3:$K$22*(Calc!$G$3:$G$22&lt;=A4168))</f>
        <v/>
      </c>
      <c r="D4168">
        <f>SUMPRODUCT(Calc!$K$3:$K$22*(Calc!$G$3:$G$22&gt;A4168)*(Calc!$G$3:$G$22&lt;B4168))</f>
        <v/>
      </c>
      <c r="E4168">
        <f>SUMPRODUCT(Calc!$K$3:$K$22*(Calc!$G$3:$G$22&gt;=B4168))</f>
        <v/>
      </c>
      <c r="F4168">
        <f>AND(k_n&gt;=5,B4168&gt;A4168+1E-9,C4168&gt;=2,D4168&gt;=1,E4168&gt;=2)</f>
        <v/>
      </c>
      <c r="G4168">
        <f>SUMPRODUCT(Calc!$K$3:$K$22*(Calc!$G$3:$G$22&gt;A4168)*(Calc!$G$3:$G$22-A4168))</f>
        <v/>
      </c>
      <c r="H4168">
        <f>SUMPRODUCT(Calc!$K$3:$K$22*(Calc!$G$3:$G$22&gt;B4168)*(Calc!$G$3:$G$22-B4168))</f>
        <v/>
      </c>
      <c r="I4168">
        <f>SUMPRODUCT(Calc!$K$3:$K$22*(Calc!$G$3:$G$22&gt;A4168)*(Calc!$G$3:$G$22-A4168)^2)</f>
        <v/>
      </c>
      <c r="J4168">
        <f>SUMPRODUCT(Calc!$K$3:$K$22*(Calc!$G$3:$G$22&gt;B4168)*(Calc!$G$3:$G$22-B4168)^2)</f>
        <v/>
      </c>
      <c r="K4168">
        <f>SUMPRODUCT(Calc!$K$3:$K$22*(Calc!$G$3:$G$22&gt;A4168)*(Calc!$G$3:$G$22-A4168)*(Calc!$G$3:$G$22&gt;B4168)*(Calc!$G$3:$G$22-B4168))</f>
        <v/>
      </c>
      <c r="L4168">
        <f>SUMPRODUCT(Calc!$K$3:$K$22*(Calc!$G$3:$G$22&gt;A4168)*(Calc!$G$3:$G$22-A4168)*Calc!$G$3:$G$22)</f>
        <v/>
      </c>
      <c r="M4168">
        <f>SUMPRODUCT(Calc!$K$3:$K$22*(Calc!$G$3:$G$22&gt;B4168)*(Calc!$G$3:$G$22-B4168)*Calc!$G$3:$G$22)</f>
        <v/>
      </c>
      <c r="N4168">
        <f>SUMPRODUCT(Calc!$K$3:$K$22*(Calc!$G$3:$G$22&gt;A4168)*(Calc!$G$3:$G$22-A4168)*Calc!$I$3:$I$22)</f>
        <v/>
      </c>
      <c r="O4168">
        <f>SUMPRODUCT(Calc!$K$3:$K$22*(Calc!$G$3:$G$22&gt;B4168)*(Calc!$G$3:$G$22-B4168)*Calc!$I$3:$I$22)</f>
        <v/>
      </c>
      <c r="P4168">
        <f>I4168-G4168^2/k_n</f>
        <v/>
      </c>
      <c r="Q4168">
        <f>J4168-H4168^2/k_n</f>
        <v/>
      </c>
      <c r="R4168">
        <f>K4168-G4168*H4168/k_n</f>
        <v/>
      </c>
      <c r="S4168">
        <f>L4168-LTP3!$D$3*G4168/k_n</f>
        <v/>
      </c>
      <c r="T4168">
        <f>M4168-LTP3!$D$3*H4168/k_n</f>
        <v/>
      </c>
      <c r="U4168">
        <f>N4168-G4168*LTP3!$D$4/k_n</f>
        <v/>
      </c>
      <c r="V4168">
        <f>O4168-H4168*LTP3!$D$4/k_n</f>
        <v/>
      </c>
      <c r="W4168">
        <f>((LTP3!$D$5)*((P4168)*(Q4168)-(R4168)*(R4168))-(S4168)*((S4168)*(Q4168)-(R4168)*(T4168))+(T4168)*((S4168)*(R4168)-(P4168)*(T4168)))</f>
        <v/>
      </c>
      <c r="X4168">
        <f>IF(ABS(W4168)&gt;1E-12,((LTP3!$D$6)*((P4168)*(Q4168)-(R4168)*(R4168))-(S4168)*((U4168)*(Q4168)-(R4168)*(V4168))+(T4168)*((U4168)*(R4168)-(P4168)*(V4168)))/W4168,0)</f>
        <v/>
      </c>
      <c r="Y4168">
        <f>IF(ABS(W4168)&gt;1E-12,((LTP3!$D$5)*((U4168)*(Q4168)-(R4168)*(V4168))-(LTP3!$D$6)*((S4168)*(Q4168)-(R4168)*(T4168))+(T4168)*((S4168)*(V4168)-(U4168)*(T4168)))/W4168,0)</f>
        <v/>
      </c>
      <c r="Z4168">
        <f>IF(ABS(W4168)&gt;1E-12,((LTP3!$D$5)*((P4168)*(V4168)-(U4168)*(R4168))-(S4168)*((S4168)*(V4168)-(U4168)*(T4168))+(LTP3!$D$6)*((S4168)*(R4168)-(P4168)*(T4168)))/W4168,0)</f>
        <v/>
      </c>
      <c r="AA4168">
        <f>LTP3!$D$7-X4168*LTP3!$D$6-Y4168*U4168-Z4168*V4168</f>
        <v/>
      </c>
      <c r="AB4168">
        <f>IF(AND(F4168,ABS(W4168)&gt;1E-12,Y4168&gt;0,Z4168&gt;0),AA4168,1E+300)</f>
        <v/>
      </c>
    </row>
    <row r="4169">
      <c r="A4169">
        <f>$I$3-$B$5+$B$5*20/10</f>
        <v/>
      </c>
      <c r="B4169">
        <f>$J$3-$B$5+$B$5*13/10</f>
        <v/>
      </c>
      <c r="C4169">
        <f>SUMPRODUCT(Calc!$K$3:$K$22*(Calc!$G$3:$G$22&lt;=A4169))</f>
        <v/>
      </c>
      <c r="D4169">
        <f>SUMPRODUCT(Calc!$K$3:$K$22*(Calc!$G$3:$G$22&gt;A4169)*(Calc!$G$3:$G$22&lt;B4169))</f>
        <v/>
      </c>
      <c r="E4169">
        <f>SUMPRODUCT(Calc!$K$3:$K$22*(Calc!$G$3:$G$22&gt;=B4169))</f>
        <v/>
      </c>
      <c r="F4169">
        <f>AND(k_n&gt;=5,B4169&gt;A4169+1E-9,C4169&gt;=2,D4169&gt;=1,E4169&gt;=2)</f>
        <v/>
      </c>
      <c r="G4169">
        <f>SUMPRODUCT(Calc!$K$3:$K$22*(Calc!$G$3:$G$22&gt;A4169)*(Calc!$G$3:$G$22-A4169))</f>
        <v/>
      </c>
      <c r="H4169">
        <f>SUMPRODUCT(Calc!$K$3:$K$22*(Calc!$G$3:$G$22&gt;B4169)*(Calc!$G$3:$G$22-B4169))</f>
        <v/>
      </c>
      <c r="I4169">
        <f>SUMPRODUCT(Calc!$K$3:$K$22*(Calc!$G$3:$G$22&gt;A4169)*(Calc!$G$3:$G$22-A4169)^2)</f>
        <v/>
      </c>
      <c r="J4169">
        <f>SUMPRODUCT(Calc!$K$3:$K$22*(Calc!$G$3:$G$22&gt;B4169)*(Calc!$G$3:$G$22-B4169)^2)</f>
        <v/>
      </c>
      <c r="K4169">
        <f>SUMPRODUCT(Calc!$K$3:$K$22*(Calc!$G$3:$G$22&gt;A4169)*(Calc!$G$3:$G$22-A4169)*(Calc!$G$3:$G$22&gt;B4169)*(Calc!$G$3:$G$22-B4169))</f>
        <v/>
      </c>
      <c r="L4169">
        <f>SUMPRODUCT(Calc!$K$3:$K$22*(Calc!$G$3:$G$22&gt;A4169)*(Calc!$G$3:$G$22-A4169)*Calc!$G$3:$G$22)</f>
        <v/>
      </c>
      <c r="M4169">
        <f>SUMPRODUCT(Calc!$K$3:$K$22*(Calc!$G$3:$G$22&gt;B4169)*(Calc!$G$3:$G$22-B4169)*Calc!$G$3:$G$22)</f>
        <v/>
      </c>
      <c r="N4169">
        <f>SUMPRODUCT(Calc!$K$3:$K$22*(Calc!$G$3:$G$22&gt;A4169)*(Calc!$G$3:$G$22-A4169)*Calc!$I$3:$I$22)</f>
        <v/>
      </c>
      <c r="O4169">
        <f>SUMPRODUCT(Calc!$K$3:$K$22*(Calc!$G$3:$G$22&gt;B4169)*(Calc!$G$3:$G$22-B4169)*Calc!$I$3:$I$22)</f>
        <v/>
      </c>
      <c r="P4169">
        <f>I4169-G4169^2/k_n</f>
        <v/>
      </c>
      <c r="Q4169">
        <f>J4169-H4169^2/k_n</f>
        <v/>
      </c>
      <c r="R4169">
        <f>K4169-G4169*H4169/k_n</f>
        <v/>
      </c>
      <c r="S4169">
        <f>L4169-LTP3!$D$3*G4169/k_n</f>
        <v/>
      </c>
      <c r="T4169">
        <f>M4169-LTP3!$D$3*H4169/k_n</f>
        <v/>
      </c>
      <c r="U4169">
        <f>N4169-G4169*LTP3!$D$4/k_n</f>
        <v/>
      </c>
      <c r="V4169">
        <f>O4169-H4169*LTP3!$D$4/k_n</f>
        <v/>
      </c>
      <c r="W4169">
        <f>((LTP3!$D$5)*((P4169)*(Q4169)-(R4169)*(R4169))-(S4169)*((S4169)*(Q4169)-(R4169)*(T4169))+(T4169)*((S4169)*(R4169)-(P4169)*(T4169)))</f>
        <v/>
      </c>
      <c r="X4169">
        <f>IF(ABS(W4169)&gt;1E-12,((LTP3!$D$6)*((P4169)*(Q4169)-(R4169)*(R4169))-(S4169)*((U4169)*(Q4169)-(R4169)*(V4169))+(T4169)*((U4169)*(R4169)-(P4169)*(V4169)))/W4169,0)</f>
        <v/>
      </c>
      <c r="Y4169">
        <f>IF(ABS(W4169)&gt;1E-12,((LTP3!$D$5)*((U4169)*(Q4169)-(R4169)*(V4169))-(LTP3!$D$6)*((S4169)*(Q4169)-(R4169)*(T4169))+(T4169)*((S4169)*(V4169)-(U4169)*(T4169)))/W4169,0)</f>
        <v/>
      </c>
      <c r="Z4169">
        <f>IF(ABS(W4169)&gt;1E-12,((LTP3!$D$5)*((P4169)*(V4169)-(U4169)*(R4169))-(S4169)*((S4169)*(V4169)-(U4169)*(T4169))+(LTP3!$D$6)*((S4169)*(R4169)-(P4169)*(T4169)))/W4169,0)</f>
        <v/>
      </c>
      <c r="AA4169">
        <f>LTP3!$D$7-X4169*LTP3!$D$6-Y4169*U4169-Z4169*V4169</f>
        <v/>
      </c>
      <c r="AB4169">
        <f>IF(AND(F4169,ABS(W4169)&gt;1E-12,Y4169&gt;0,Z4169&gt;0),AA4169,1E+300)</f>
        <v/>
      </c>
    </row>
    <row r="4170">
      <c r="A4170">
        <f>$I$3-$B$5+$B$5*20/10</f>
        <v/>
      </c>
      <c r="B4170">
        <f>$J$3-$B$5+$B$5*14/10</f>
        <v/>
      </c>
      <c r="C4170">
        <f>SUMPRODUCT(Calc!$K$3:$K$22*(Calc!$G$3:$G$22&lt;=A4170))</f>
        <v/>
      </c>
      <c r="D4170">
        <f>SUMPRODUCT(Calc!$K$3:$K$22*(Calc!$G$3:$G$22&gt;A4170)*(Calc!$G$3:$G$22&lt;B4170))</f>
        <v/>
      </c>
      <c r="E4170">
        <f>SUMPRODUCT(Calc!$K$3:$K$22*(Calc!$G$3:$G$22&gt;=B4170))</f>
        <v/>
      </c>
      <c r="F4170">
        <f>AND(k_n&gt;=5,B4170&gt;A4170+1E-9,C4170&gt;=2,D4170&gt;=1,E4170&gt;=2)</f>
        <v/>
      </c>
      <c r="G4170">
        <f>SUMPRODUCT(Calc!$K$3:$K$22*(Calc!$G$3:$G$22&gt;A4170)*(Calc!$G$3:$G$22-A4170))</f>
        <v/>
      </c>
      <c r="H4170">
        <f>SUMPRODUCT(Calc!$K$3:$K$22*(Calc!$G$3:$G$22&gt;B4170)*(Calc!$G$3:$G$22-B4170))</f>
        <v/>
      </c>
      <c r="I4170">
        <f>SUMPRODUCT(Calc!$K$3:$K$22*(Calc!$G$3:$G$22&gt;A4170)*(Calc!$G$3:$G$22-A4170)^2)</f>
        <v/>
      </c>
      <c r="J4170">
        <f>SUMPRODUCT(Calc!$K$3:$K$22*(Calc!$G$3:$G$22&gt;B4170)*(Calc!$G$3:$G$22-B4170)^2)</f>
        <v/>
      </c>
      <c r="K4170">
        <f>SUMPRODUCT(Calc!$K$3:$K$22*(Calc!$G$3:$G$22&gt;A4170)*(Calc!$G$3:$G$22-A4170)*(Calc!$G$3:$G$22&gt;B4170)*(Calc!$G$3:$G$22-B4170))</f>
        <v/>
      </c>
      <c r="L4170">
        <f>SUMPRODUCT(Calc!$K$3:$K$22*(Calc!$G$3:$G$22&gt;A4170)*(Calc!$G$3:$G$22-A4170)*Calc!$G$3:$G$22)</f>
        <v/>
      </c>
      <c r="M4170">
        <f>SUMPRODUCT(Calc!$K$3:$K$22*(Calc!$G$3:$G$22&gt;B4170)*(Calc!$G$3:$G$22-B4170)*Calc!$G$3:$G$22)</f>
        <v/>
      </c>
      <c r="N4170">
        <f>SUMPRODUCT(Calc!$K$3:$K$22*(Calc!$G$3:$G$22&gt;A4170)*(Calc!$G$3:$G$22-A4170)*Calc!$I$3:$I$22)</f>
        <v/>
      </c>
      <c r="O4170">
        <f>SUMPRODUCT(Calc!$K$3:$K$22*(Calc!$G$3:$G$22&gt;B4170)*(Calc!$G$3:$G$22-B4170)*Calc!$I$3:$I$22)</f>
        <v/>
      </c>
      <c r="P4170">
        <f>I4170-G4170^2/k_n</f>
        <v/>
      </c>
      <c r="Q4170">
        <f>J4170-H4170^2/k_n</f>
        <v/>
      </c>
      <c r="R4170">
        <f>K4170-G4170*H4170/k_n</f>
        <v/>
      </c>
      <c r="S4170">
        <f>L4170-LTP3!$D$3*G4170/k_n</f>
        <v/>
      </c>
      <c r="T4170">
        <f>M4170-LTP3!$D$3*H4170/k_n</f>
        <v/>
      </c>
      <c r="U4170">
        <f>N4170-G4170*LTP3!$D$4/k_n</f>
        <v/>
      </c>
      <c r="V4170">
        <f>O4170-H4170*LTP3!$D$4/k_n</f>
        <v/>
      </c>
      <c r="W4170">
        <f>((LTP3!$D$5)*((P4170)*(Q4170)-(R4170)*(R4170))-(S4170)*((S4170)*(Q4170)-(R4170)*(T4170))+(T4170)*((S4170)*(R4170)-(P4170)*(T4170)))</f>
        <v/>
      </c>
      <c r="X4170">
        <f>IF(ABS(W4170)&gt;1E-12,((LTP3!$D$6)*((P4170)*(Q4170)-(R4170)*(R4170))-(S4170)*((U4170)*(Q4170)-(R4170)*(V4170))+(T4170)*((U4170)*(R4170)-(P4170)*(V4170)))/W4170,0)</f>
        <v/>
      </c>
      <c r="Y4170">
        <f>IF(ABS(W4170)&gt;1E-12,((LTP3!$D$5)*((U4170)*(Q4170)-(R4170)*(V4170))-(LTP3!$D$6)*((S4170)*(Q4170)-(R4170)*(T4170))+(T4170)*((S4170)*(V4170)-(U4170)*(T4170)))/W4170,0)</f>
        <v/>
      </c>
      <c r="Z4170">
        <f>IF(ABS(W4170)&gt;1E-12,((LTP3!$D$5)*((P4170)*(V4170)-(U4170)*(R4170))-(S4170)*((S4170)*(V4170)-(U4170)*(T4170))+(LTP3!$D$6)*((S4170)*(R4170)-(P4170)*(T4170)))/W4170,0)</f>
        <v/>
      </c>
      <c r="AA4170">
        <f>LTP3!$D$7-X4170*LTP3!$D$6-Y4170*U4170-Z4170*V4170</f>
        <v/>
      </c>
      <c r="AB4170">
        <f>IF(AND(F4170,ABS(W4170)&gt;1E-12,Y4170&gt;0,Z4170&gt;0),AA4170,1E+300)</f>
        <v/>
      </c>
    </row>
    <row r="4171">
      <c r="A4171">
        <f>$I$3-$B$5+$B$5*20/10</f>
        <v/>
      </c>
      <c r="B4171">
        <f>$J$3-$B$5+$B$5*15/10</f>
        <v/>
      </c>
      <c r="C4171">
        <f>SUMPRODUCT(Calc!$K$3:$K$22*(Calc!$G$3:$G$22&lt;=A4171))</f>
        <v/>
      </c>
      <c r="D4171">
        <f>SUMPRODUCT(Calc!$K$3:$K$22*(Calc!$G$3:$G$22&gt;A4171)*(Calc!$G$3:$G$22&lt;B4171))</f>
        <v/>
      </c>
      <c r="E4171">
        <f>SUMPRODUCT(Calc!$K$3:$K$22*(Calc!$G$3:$G$22&gt;=B4171))</f>
        <v/>
      </c>
      <c r="F4171">
        <f>AND(k_n&gt;=5,B4171&gt;A4171+1E-9,C4171&gt;=2,D4171&gt;=1,E4171&gt;=2)</f>
        <v/>
      </c>
      <c r="G4171">
        <f>SUMPRODUCT(Calc!$K$3:$K$22*(Calc!$G$3:$G$22&gt;A4171)*(Calc!$G$3:$G$22-A4171))</f>
        <v/>
      </c>
      <c r="H4171">
        <f>SUMPRODUCT(Calc!$K$3:$K$22*(Calc!$G$3:$G$22&gt;B4171)*(Calc!$G$3:$G$22-B4171))</f>
        <v/>
      </c>
      <c r="I4171">
        <f>SUMPRODUCT(Calc!$K$3:$K$22*(Calc!$G$3:$G$22&gt;A4171)*(Calc!$G$3:$G$22-A4171)^2)</f>
        <v/>
      </c>
      <c r="J4171">
        <f>SUMPRODUCT(Calc!$K$3:$K$22*(Calc!$G$3:$G$22&gt;B4171)*(Calc!$G$3:$G$22-B4171)^2)</f>
        <v/>
      </c>
      <c r="K4171">
        <f>SUMPRODUCT(Calc!$K$3:$K$22*(Calc!$G$3:$G$22&gt;A4171)*(Calc!$G$3:$G$22-A4171)*(Calc!$G$3:$G$22&gt;B4171)*(Calc!$G$3:$G$22-B4171))</f>
        <v/>
      </c>
      <c r="L4171">
        <f>SUMPRODUCT(Calc!$K$3:$K$22*(Calc!$G$3:$G$22&gt;A4171)*(Calc!$G$3:$G$22-A4171)*Calc!$G$3:$G$22)</f>
        <v/>
      </c>
      <c r="M4171">
        <f>SUMPRODUCT(Calc!$K$3:$K$22*(Calc!$G$3:$G$22&gt;B4171)*(Calc!$G$3:$G$22-B4171)*Calc!$G$3:$G$22)</f>
        <v/>
      </c>
      <c r="N4171">
        <f>SUMPRODUCT(Calc!$K$3:$K$22*(Calc!$G$3:$G$22&gt;A4171)*(Calc!$G$3:$G$22-A4171)*Calc!$I$3:$I$22)</f>
        <v/>
      </c>
      <c r="O4171">
        <f>SUMPRODUCT(Calc!$K$3:$K$22*(Calc!$G$3:$G$22&gt;B4171)*(Calc!$G$3:$G$22-B4171)*Calc!$I$3:$I$22)</f>
        <v/>
      </c>
      <c r="P4171">
        <f>I4171-G4171^2/k_n</f>
        <v/>
      </c>
      <c r="Q4171">
        <f>J4171-H4171^2/k_n</f>
        <v/>
      </c>
      <c r="R4171">
        <f>K4171-G4171*H4171/k_n</f>
        <v/>
      </c>
      <c r="S4171">
        <f>L4171-LTP3!$D$3*G4171/k_n</f>
        <v/>
      </c>
      <c r="T4171">
        <f>M4171-LTP3!$D$3*H4171/k_n</f>
        <v/>
      </c>
      <c r="U4171">
        <f>N4171-G4171*LTP3!$D$4/k_n</f>
        <v/>
      </c>
      <c r="V4171">
        <f>O4171-H4171*LTP3!$D$4/k_n</f>
        <v/>
      </c>
      <c r="W4171">
        <f>((LTP3!$D$5)*((P4171)*(Q4171)-(R4171)*(R4171))-(S4171)*((S4171)*(Q4171)-(R4171)*(T4171))+(T4171)*((S4171)*(R4171)-(P4171)*(T4171)))</f>
        <v/>
      </c>
      <c r="X4171">
        <f>IF(ABS(W4171)&gt;1E-12,((LTP3!$D$6)*((P4171)*(Q4171)-(R4171)*(R4171))-(S4171)*((U4171)*(Q4171)-(R4171)*(V4171))+(T4171)*((U4171)*(R4171)-(P4171)*(V4171)))/W4171,0)</f>
        <v/>
      </c>
      <c r="Y4171">
        <f>IF(ABS(W4171)&gt;1E-12,((LTP3!$D$5)*((U4171)*(Q4171)-(R4171)*(V4171))-(LTP3!$D$6)*((S4171)*(Q4171)-(R4171)*(T4171))+(T4171)*((S4171)*(V4171)-(U4171)*(T4171)))/W4171,0)</f>
        <v/>
      </c>
      <c r="Z4171">
        <f>IF(ABS(W4171)&gt;1E-12,((LTP3!$D$5)*((P4171)*(V4171)-(U4171)*(R4171))-(S4171)*((S4171)*(V4171)-(U4171)*(T4171))+(LTP3!$D$6)*((S4171)*(R4171)-(P4171)*(T4171)))/W4171,0)</f>
        <v/>
      </c>
      <c r="AA4171">
        <f>LTP3!$D$7-X4171*LTP3!$D$6-Y4171*U4171-Z4171*V4171</f>
        <v/>
      </c>
      <c r="AB4171">
        <f>IF(AND(F4171,ABS(W4171)&gt;1E-12,Y4171&gt;0,Z4171&gt;0),AA4171,1E+300)</f>
        <v/>
      </c>
    </row>
    <row r="4172">
      <c r="A4172">
        <f>$I$3-$B$5+$B$5*20/10</f>
        <v/>
      </c>
      <c r="B4172">
        <f>$J$3-$B$5+$B$5*16/10</f>
        <v/>
      </c>
      <c r="C4172">
        <f>SUMPRODUCT(Calc!$K$3:$K$22*(Calc!$G$3:$G$22&lt;=A4172))</f>
        <v/>
      </c>
      <c r="D4172">
        <f>SUMPRODUCT(Calc!$K$3:$K$22*(Calc!$G$3:$G$22&gt;A4172)*(Calc!$G$3:$G$22&lt;B4172))</f>
        <v/>
      </c>
      <c r="E4172">
        <f>SUMPRODUCT(Calc!$K$3:$K$22*(Calc!$G$3:$G$22&gt;=B4172))</f>
        <v/>
      </c>
      <c r="F4172">
        <f>AND(k_n&gt;=5,B4172&gt;A4172+1E-9,C4172&gt;=2,D4172&gt;=1,E4172&gt;=2)</f>
        <v/>
      </c>
      <c r="G4172">
        <f>SUMPRODUCT(Calc!$K$3:$K$22*(Calc!$G$3:$G$22&gt;A4172)*(Calc!$G$3:$G$22-A4172))</f>
        <v/>
      </c>
      <c r="H4172">
        <f>SUMPRODUCT(Calc!$K$3:$K$22*(Calc!$G$3:$G$22&gt;B4172)*(Calc!$G$3:$G$22-B4172))</f>
        <v/>
      </c>
      <c r="I4172">
        <f>SUMPRODUCT(Calc!$K$3:$K$22*(Calc!$G$3:$G$22&gt;A4172)*(Calc!$G$3:$G$22-A4172)^2)</f>
        <v/>
      </c>
      <c r="J4172">
        <f>SUMPRODUCT(Calc!$K$3:$K$22*(Calc!$G$3:$G$22&gt;B4172)*(Calc!$G$3:$G$22-B4172)^2)</f>
        <v/>
      </c>
      <c r="K4172">
        <f>SUMPRODUCT(Calc!$K$3:$K$22*(Calc!$G$3:$G$22&gt;A4172)*(Calc!$G$3:$G$22-A4172)*(Calc!$G$3:$G$22&gt;B4172)*(Calc!$G$3:$G$22-B4172))</f>
        <v/>
      </c>
      <c r="L4172">
        <f>SUMPRODUCT(Calc!$K$3:$K$22*(Calc!$G$3:$G$22&gt;A4172)*(Calc!$G$3:$G$22-A4172)*Calc!$G$3:$G$22)</f>
        <v/>
      </c>
      <c r="M4172">
        <f>SUMPRODUCT(Calc!$K$3:$K$22*(Calc!$G$3:$G$22&gt;B4172)*(Calc!$G$3:$G$22-B4172)*Calc!$G$3:$G$22)</f>
        <v/>
      </c>
      <c r="N4172">
        <f>SUMPRODUCT(Calc!$K$3:$K$22*(Calc!$G$3:$G$22&gt;A4172)*(Calc!$G$3:$G$22-A4172)*Calc!$I$3:$I$22)</f>
        <v/>
      </c>
      <c r="O4172">
        <f>SUMPRODUCT(Calc!$K$3:$K$22*(Calc!$G$3:$G$22&gt;B4172)*(Calc!$G$3:$G$22-B4172)*Calc!$I$3:$I$22)</f>
        <v/>
      </c>
      <c r="P4172">
        <f>I4172-G4172^2/k_n</f>
        <v/>
      </c>
      <c r="Q4172">
        <f>J4172-H4172^2/k_n</f>
        <v/>
      </c>
      <c r="R4172">
        <f>K4172-G4172*H4172/k_n</f>
        <v/>
      </c>
      <c r="S4172">
        <f>L4172-LTP3!$D$3*G4172/k_n</f>
        <v/>
      </c>
      <c r="T4172">
        <f>M4172-LTP3!$D$3*H4172/k_n</f>
        <v/>
      </c>
      <c r="U4172">
        <f>N4172-G4172*LTP3!$D$4/k_n</f>
        <v/>
      </c>
      <c r="V4172">
        <f>O4172-H4172*LTP3!$D$4/k_n</f>
        <v/>
      </c>
      <c r="W4172">
        <f>((LTP3!$D$5)*((P4172)*(Q4172)-(R4172)*(R4172))-(S4172)*((S4172)*(Q4172)-(R4172)*(T4172))+(T4172)*((S4172)*(R4172)-(P4172)*(T4172)))</f>
        <v/>
      </c>
      <c r="X4172">
        <f>IF(ABS(W4172)&gt;1E-12,((LTP3!$D$6)*((P4172)*(Q4172)-(R4172)*(R4172))-(S4172)*((U4172)*(Q4172)-(R4172)*(V4172))+(T4172)*((U4172)*(R4172)-(P4172)*(V4172)))/W4172,0)</f>
        <v/>
      </c>
      <c r="Y4172">
        <f>IF(ABS(W4172)&gt;1E-12,((LTP3!$D$5)*((U4172)*(Q4172)-(R4172)*(V4172))-(LTP3!$D$6)*((S4172)*(Q4172)-(R4172)*(T4172))+(T4172)*((S4172)*(V4172)-(U4172)*(T4172)))/W4172,0)</f>
        <v/>
      </c>
      <c r="Z4172">
        <f>IF(ABS(W4172)&gt;1E-12,((LTP3!$D$5)*((P4172)*(V4172)-(U4172)*(R4172))-(S4172)*((S4172)*(V4172)-(U4172)*(T4172))+(LTP3!$D$6)*((S4172)*(R4172)-(P4172)*(T4172)))/W4172,0)</f>
        <v/>
      </c>
      <c r="AA4172">
        <f>LTP3!$D$7-X4172*LTP3!$D$6-Y4172*U4172-Z4172*V4172</f>
        <v/>
      </c>
      <c r="AB4172">
        <f>IF(AND(F4172,ABS(W4172)&gt;1E-12,Y4172&gt;0,Z4172&gt;0),AA4172,1E+300)</f>
        <v/>
      </c>
    </row>
    <row r="4173">
      <c r="A4173">
        <f>$I$3-$B$5+$B$5*20/10</f>
        <v/>
      </c>
      <c r="B4173">
        <f>$J$3-$B$5+$B$5*17/10</f>
        <v/>
      </c>
      <c r="C4173">
        <f>SUMPRODUCT(Calc!$K$3:$K$22*(Calc!$G$3:$G$22&lt;=A4173))</f>
        <v/>
      </c>
      <c r="D4173">
        <f>SUMPRODUCT(Calc!$K$3:$K$22*(Calc!$G$3:$G$22&gt;A4173)*(Calc!$G$3:$G$22&lt;B4173))</f>
        <v/>
      </c>
      <c r="E4173">
        <f>SUMPRODUCT(Calc!$K$3:$K$22*(Calc!$G$3:$G$22&gt;=B4173))</f>
        <v/>
      </c>
      <c r="F4173">
        <f>AND(k_n&gt;=5,B4173&gt;A4173+1E-9,C4173&gt;=2,D4173&gt;=1,E4173&gt;=2)</f>
        <v/>
      </c>
      <c r="G4173">
        <f>SUMPRODUCT(Calc!$K$3:$K$22*(Calc!$G$3:$G$22&gt;A4173)*(Calc!$G$3:$G$22-A4173))</f>
        <v/>
      </c>
      <c r="H4173">
        <f>SUMPRODUCT(Calc!$K$3:$K$22*(Calc!$G$3:$G$22&gt;B4173)*(Calc!$G$3:$G$22-B4173))</f>
        <v/>
      </c>
      <c r="I4173">
        <f>SUMPRODUCT(Calc!$K$3:$K$22*(Calc!$G$3:$G$22&gt;A4173)*(Calc!$G$3:$G$22-A4173)^2)</f>
        <v/>
      </c>
      <c r="J4173">
        <f>SUMPRODUCT(Calc!$K$3:$K$22*(Calc!$G$3:$G$22&gt;B4173)*(Calc!$G$3:$G$22-B4173)^2)</f>
        <v/>
      </c>
      <c r="K4173">
        <f>SUMPRODUCT(Calc!$K$3:$K$22*(Calc!$G$3:$G$22&gt;A4173)*(Calc!$G$3:$G$22-A4173)*(Calc!$G$3:$G$22&gt;B4173)*(Calc!$G$3:$G$22-B4173))</f>
        <v/>
      </c>
      <c r="L4173">
        <f>SUMPRODUCT(Calc!$K$3:$K$22*(Calc!$G$3:$G$22&gt;A4173)*(Calc!$G$3:$G$22-A4173)*Calc!$G$3:$G$22)</f>
        <v/>
      </c>
      <c r="M4173">
        <f>SUMPRODUCT(Calc!$K$3:$K$22*(Calc!$G$3:$G$22&gt;B4173)*(Calc!$G$3:$G$22-B4173)*Calc!$G$3:$G$22)</f>
        <v/>
      </c>
      <c r="N4173">
        <f>SUMPRODUCT(Calc!$K$3:$K$22*(Calc!$G$3:$G$22&gt;A4173)*(Calc!$G$3:$G$22-A4173)*Calc!$I$3:$I$22)</f>
        <v/>
      </c>
      <c r="O4173">
        <f>SUMPRODUCT(Calc!$K$3:$K$22*(Calc!$G$3:$G$22&gt;B4173)*(Calc!$G$3:$G$22-B4173)*Calc!$I$3:$I$22)</f>
        <v/>
      </c>
      <c r="P4173">
        <f>I4173-G4173^2/k_n</f>
        <v/>
      </c>
      <c r="Q4173">
        <f>J4173-H4173^2/k_n</f>
        <v/>
      </c>
      <c r="R4173">
        <f>K4173-G4173*H4173/k_n</f>
        <v/>
      </c>
      <c r="S4173">
        <f>L4173-LTP3!$D$3*G4173/k_n</f>
        <v/>
      </c>
      <c r="T4173">
        <f>M4173-LTP3!$D$3*H4173/k_n</f>
        <v/>
      </c>
      <c r="U4173">
        <f>N4173-G4173*LTP3!$D$4/k_n</f>
        <v/>
      </c>
      <c r="V4173">
        <f>O4173-H4173*LTP3!$D$4/k_n</f>
        <v/>
      </c>
      <c r="W4173">
        <f>((LTP3!$D$5)*((P4173)*(Q4173)-(R4173)*(R4173))-(S4173)*((S4173)*(Q4173)-(R4173)*(T4173))+(T4173)*((S4173)*(R4173)-(P4173)*(T4173)))</f>
        <v/>
      </c>
      <c r="X4173">
        <f>IF(ABS(W4173)&gt;1E-12,((LTP3!$D$6)*((P4173)*(Q4173)-(R4173)*(R4173))-(S4173)*((U4173)*(Q4173)-(R4173)*(V4173))+(T4173)*((U4173)*(R4173)-(P4173)*(V4173)))/W4173,0)</f>
        <v/>
      </c>
      <c r="Y4173">
        <f>IF(ABS(W4173)&gt;1E-12,((LTP3!$D$5)*((U4173)*(Q4173)-(R4173)*(V4173))-(LTP3!$D$6)*((S4173)*(Q4173)-(R4173)*(T4173))+(T4173)*((S4173)*(V4173)-(U4173)*(T4173)))/W4173,0)</f>
        <v/>
      </c>
      <c r="Z4173">
        <f>IF(ABS(W4173)&gt;1E-12,((LTP3!$D$5)*((P4173)*(V4173)-(U4173)*(R4173))-(S4173)*((S4173)*(V4173)-(U4173)*(T4173))+(LTP3!$D$6)*((S4173)*(R4173)-(P4173)*(T4173)))/W4173,0)</f>
        <v/>
      </c>
      <c r="AA4173">
        <f>LTP3!$D$7-X4173*LTP3!$D$6-Y4173*U4173-Z4173*V4173</f>
        <v/>
      </c>
      <c r="AB4173">
        <f>IF(AND(F4173,ABS(W4173)&gt;1E-12,Y4173&gt;0,Z4173&gt;0),AA4173,1E+300)</f>
        <v/>
      </c>
    </row>
    <row r="4174">
      <c r="A4174">
        <f>$I$3-$B$5+$B$5*20/10</f>
        <v/>
      </c>
      <c r="B4174">
        <f>$J$3-$B$5+$B$5*18/10</f>
        <v/>
      </c>
      <c r="C4174">
        <f>SUMPRODUCT(Calc!$K$3:$K$22*(Calc!$G$3:$G$22&lt;=A4174))</f>
        <v/>
      </c>
      <c r="D4174">
        <f>SUMPRODUCT(Calc!$K$3:$K$22*(Calc!$G$3:$G$22&gt;A4174)*(Calc!$G$3:$G$22&lt;B4174))</f>
        <v/>
      </c>
      <c r="E4174">
        <f>SUMPRODUCT(Calc!$K$3:$K$22*(Calc!$G$3:$G$22&gt;=B4174))</f>
        <v/>
      </c>
      <c r="F4174">
        <f>AND(k_n&gt;=5,B4174&gt;A4174+1E-9,C4174&gt;=2,D4174&gt;=1,E4174&gt;=2)</f>
        <v/>
      </c>
      <c r="G4174">
        <f>SUMPRODUCT(Calc!$K$3:$K$22*(Calc!$G$3:$G$22&gt;A4174)*(Calc!$G$3:$G$22-A4174))</f>
        <v/>
      </c>
      <c r="H4174">
        <f>SUMPRODUCT(Calc!$K$3:$K$22*(Calc!$G$3:$G$22&gt;B4174)*(Calc!$G$3:$G$22-B4174))</f>
        <v/>
      </c>
      <c r="I4174">
        <f>SUMPRODUCT(Calc!$K$3:$K$22*(Calc!$G$3:$G$22&gt;A4174)*(Calc!$G$3:$G$22-A4174)^2)</f>
        <v/>
      </c>
      <c r="J4174">
        <f>SUMPRODUCT(Calc!$K$3:$K$22*(Calc!$G$3:$G$22&gt;B4174)*(Calc!$G$3:$G$22-B4174)^2)</f>
        <v/>
      </c>
      <c r="K4174">
        <f>SUMPRODUCT(Calc!$K$3:$K$22*(Calc!$G$3:$G$22&gt;A4174)*(Calc!$G$3:$G$22-A4174)*(Calc!$G$3:$G$22&gt;B4174)*(Calc!$G$3:$G$22-B4174))</f>
        <v/>
      </c>
      <c r="L4174">
        <f>SUMPRODUCT(Calc!$K$3:$K$22*(Calc!$G$3:$G$22&gt;A4174)*(Calc!$G$3:$G$22-A4174)*Calc!$G$3:$G$22)</f>
        <v/>
      </c>
      <c r="M4174">
        <f>SUMPRODUCT(Calc!$K$3:$K$22*(Calc!$G$3:$G$22&gt;B4174)*(Calc!$G$3:$G$22-B4174)*Calc!$G$3:$G$22)</f>
        <v/>
      </c>
      <c r="N4174">
        <f>SUMPRODUCT(Calc!$K$3:$K$22*(Calc!$G$3:$G$22&gt;A4174)*(Calc!$G$3:$G$22-A4174)*Calc!$I$3:$I$22)</f>
        <v/>
      </c>
      <c r="O4174">
        <f>SUMPRODUCT(Calc!$K$3:$K$22*(Calc!$G$3:$G$22&gt;B4174)*(Calc!$G$3:$G$22-B4174)*Calc!$I$3:$I$22)</f>
        <v/>
      </c>
      <c r="P4174">
        <f>I4174-G4174^2/k_n</f>
        <v/>
      </c>
      <c r="Q4174">
        <f>J4174-H4174^2/k_n</f>
        <v/>
      </c>
      <c r="R4174">
        <f>K4174-G4174*H4174/k_n</f>
        <v/>
      </c>
      <c r="S4174">
        <f>L4174-LTP3!$D$3*G4174/k_n</f>
        <v/>
      </c>
      <c r="T4174">
        <f>M4174-LTP3!$D$3*H4174/k_n</f>
        <v/>
      </c>
      <c r="U4174">
        <f>N4174-G4174*LTP3!$D$4/k_n</f>
        <v/>
      </c>
      <c r="V4174">
        <f>O4174-H4174*LTP3!$D$4/k_n</f>
        <v/>
      </c>
      <c r="W4174">
        <f>((LTP3!$D$5)*((P4174)*(Q4174)-(R4174)*(R4174))-(S4174)*((S4174)*(Q4174)-(R4174)*(T4174))+(T4174)*((S4174)*(R4174)-(P4174)*(T4174)))</f>
        <v/>
      </c>
      <c r="X4174">
        <f>IF(ABS(W4174)&gt;1E-12,((LTP3!$D$6)*((P4174)*(Q4174)-(R4174)*(R4174))-(S4174)*((U4174)*(Q4174)-(R4174)*(V4174))+(T4174)*((U4174)*(R4174)-(P4174)*(V4174)))/W4174,0)</f>
        <v/>
      </c>
      <c r="Y4174">
        <f>IF(ABS(W4174)&gt;1E-12,((LTP3!$D$5)*((U4174)*(Q4174)-(R4174)*(V4174))-(LTP3!$D$6)*((S4174)*(Q4174)-(R4174)*(T4174))+(T4174)*((S4174)*(V4174)-(U4174)*(T4174)))/W4174,0)</f>
        <v/>
      </c>
      <c r="Z4174">
        <f>IF(ABS(W4174)&gt;1E-12,((LTP3!$D$5)*((P4174)*(V4174)-(U4174)*(R4174))-(S4174)*((S4174)*(V4174)-(U4174)*(T4174))+(LTP3!$D$6)*((S4174)*(R4174)-(P4174)*(T4174)))/W4174,0)</f>
        <v/>
      </c>
      <c r="AA4174">
        <f>LTP3!$D$7-X4174*LTP3!$D$6-Y4174*U4174-Z4174*V4174</f>
        <v/>
      </c>
      <c r="AB4174">
        <f>IF(AND(F4174,ABS(W4174)&gt;1E-12,Y4174&gt;0,Z4174&gt;0),AA4174,1E+300)</f>
        <v/>
      </c>
    </row>
    <row r="4175">
      <c r="A4175">
        <f>$I$3-$B$5+$B$5*20/10</f>
        <v/>
      </c>
      <c r="B4175">
        <f>$J$3-$B$5+$B$5*19/10</f>
        <v/>
      </c>
      <c r="C4175">
        <f>SUMPRODUCT(Calc!$K$3:$K$22*(Calc!$G$3:$G$22&lt;=A4175))</f>
        <v/>
      </c>
      <c r="D4175">
        <f>SUMPRODUCT(Calc!$K$3:$K$22*(Calc!$G$3:$G$22&gt;A4175)*(Calc!$G$3:$G$22&lt;B4175))</f>
        <v/>
      </c>
      <c r="E4175">
        <f>SUMPRODUCT(Calc!$K$3:$K$22*(Calc!$G$3:$G$22&gt;=B4175))</f>
        <v/>
      </c>
      <c r="F4175">
        <f>AND(k_n&gt;=5,B4175&gt;A4175+1E-9,C4175&gt;=2,D4175&gt;=1,E4175&gt;=2)</f>
        <v/>
      </c>
      <c r="G4175">
        <f>SUMPRODUCT(Calc!$K$3:$K$22*(Calc!$G$3:$G$22&gt;A4175)*(Calc!$G$3:$G$22-A4175))</f>
        <v/>
      </c>
      <c r="H4175">
        <f>SUMPRODUCT(Calc!$K$3:$K$22*(Calc!$G$3:$G$22&gt;B4175)*(Calc!$G$3:$G$22-B4175))</f>
        <v/>
      </c>
      <c r="I4175">
        <f>SUMPRODUCT(Calc!$K$3:$K$22*(Calc!$G$3:$G$22&gt;A4175)*(Calc!$G$3:$G$22-A4175)^2)</f>
        <v/>
      </c>
      <c r="J4175">
        <f>SUMPRODUCT(Calc!$K$3:$K$22*(Calc!$G$3:$G$22&gt;B4175)*(Calc!$G$3:$G$22-B4175)^2)</f>
        <v/>
      </c>
      <c r="K4175">
        <f>SUMPRODUCT(Calc!$K$3:$K$22*(Calc!$G$3:$G$22&gt;A4175)*(Calc!$G$3:$G$22-A4175)*(Calc!$G$3:$G$22&gt;B4175)*(Calc!$G$3:$G$22-B4175))</f>
        <v/>
      </c>
      <c r="L4175">
        <f>SUMPRODUCT(Calc!$K$3:$K$22*(Calc!$G$3:$G$22&gt;A4175)*(Calc!$G$3:$G$22-A4175)*Calc!$G$3:$G$22)</f>
        <v/>
      </c>
      <c r="M4175">
        <f>SUMPRODUCT(Calc!$K$3:$K$22*(Calc!$G$3:$G$22&gt;B4175)*(Calc!$G$3:$G$22-B4175)*Calc!$G$3:$G$22)</f>
        <v/>
      </c>
      <c r="N4175">
        <f>SUMPRODUCT(Calc!$K$3:$K$22*(Calc!$G$3:$G$22&gt;A4175)*(Calc!$G$3:$G$22-A4175)*Calc!$I$3:$I$22)</f>
        <v/>
      </c>
      <c r="O4175">
        <f>SUMPRODUCT(Calc!$K$3:$K$22*(Calc!$G$3:$G$22&gt;B4175)*(Calc!$G$3:$G$22-B4175)*Calc!$I$3:$I$22)</f>
        <v/>
      </c>
      <c r="P4175">
        <f>I4175-G4175^2/k_n</f>
        <v/>
      </c>
      <c r="Q4175">
        <f>J4175-H4175^2/k_n</f>
        <v/>
      </c>
      <c r="R4175">
        <f>K4175-G4175*H4175/k_n</f>
        <v/>
      </c>
      <c r="S4175">
        <f>L4175-LTP3!$D$3*G4175/k_n</f>
        <v/>
      </c>
      <c r="T4175">
        <f>M4175-LTP3!$D$3*H4175/k_n</f>
        <v/>
      </c>
      <c r="U4175">
        <f>N4175-G4175*LTP3!$D$4/k_n</f>
        <v/>
      </c>
      <c r="V4175">
        <f>O4175-H4175*LTP3!$D$4/k_n</f>
        <v/>
      </c>
      <c r="W4175">
        <f>((LTP3!$D$5)*((P4175)*(Q4175)-(R4175)*(R4175))-(S4175)*((S4175)*(Q4175)-(R4175)*(T4175))+(T4175)*((S4175)*(R4175)-(P4175)*(T4175)))</f>
        <v/>
      </c>
      <c r="X4175">
        <f>IF(ABS(W4175)&gt;1E-12,((LTP3!$D$6)*((P4175)*(Q4175)-(R4175)*(R4175))-(S4175)*((U4175)*(Q4175)-(R4175)*(V4175))+(T4175)*((U4175)*(R4175)-(P4175)*(V4175)))/W4175,0)</f>
        <v/>
      </c>
      <c r="Y4175">
        <f>IF(ABS(W4175)&gt;1E-12,((LTP3!$D$5)*((U4175)*(Q4175)-(R4175)*(V4175))-(LTP3!$D$6)*((S4175)*(Q4175)-(R4175)*(T4175))+(T4175)*((S4175)*(V4175)-(U4175)*(T4175)))/W4175,0)</f>
        <v/>
      </c>
      <c r="Z4175">
        <f>IF(ABS(W4175)&gt;1E-12,((LTP3!$D$5)*((P4175)*(V4175)-(U4175)*(R4175))-(S4175)*((S4175)*(V4175)-(U4175)*(T4175))+(LTP3!$D$6)*((S4175)*(R4175)-(P4175)*(T4175)))/W4175,0)</f>
        <v/>
      </c>
      <c r="AA4175">
        <f>LTP3!$D$7-X4175*LTP3!$D$6-Y4175*U4175-Z4175*V4175</f>
        <v/>
      </c>
      <c r="AB4175">
        <f>IF(AND(F4175,ABS(W4175)&gt;1E-12,Y4175&gt;0,Z4175&gt;0),AA4175,1E+300)</f>
        <v/>
      </c>
    </row>
    <row r="4176">
      <c r="A4176">
        <f>$I$3-$B$5+$B$5*20/10</f>
        <v/>
      </c>
      <c r="B4176">
        <f>$J$3-$B$5+$B$5*20/10</f>
        <v/>
      </c>
      <c r="C4176">
        <f>SUMPRODUCT(Calc!$K$3:$K$22*(Calc!$G$3:$G$22&lt;=A4176))</f>
        <v/>
      </c>
      <c r="D4176">
        <f>SUMPRODUCT(Calc!$K$3:$K$22*(Calc!$G$3:$G$22&gt;A4176)*(Calc!$G$3:$G$22&lt;B4176))</f>
        <v/>
      </c>
      <c r="E4176">
        <f>SUMPRODUCT(Calc!$K$3:$K$22*(Calc!$G$3:$G$22&gt;=B4176))</f>
        <v/>
      </c>
      <c r="F4176">
        <f>AND(k_n&gt;=5,B4176&gt;A4176+1E-9,C4176&gt;=2,D4176&gt;=1,E4176&gt;=2)</f>
        <v/>
      </c>
      <c r="G4176">
        <f>SUMPRODUCT(Calc!$K$3:$K$22*(Calc!$G$3:$G$22&gt;A4176)*(Calc!$G$3:$G$22-A4176))</f>
        <v/>
      </c>
      <c r="H4176">
        <f>SUMPRODUCT(Calc!$K$3:$K$22*(Calc!$G$3:$G$22&gt;B4176)*(Calc!$G$3:$G$22-B4176))</f>
        <v/>
      </c>
      <c r="I4176">
        <f>SUMPRODUCT(Calc!$K$3:$K$22*(Calc!$G$3:$G$22&gt;A4176)*(Calc!$G$3:$G$22-A4176)^2)</f>
        <v/>
      </c>
      <c r="J4176">
        <f>SUMPRODUCT(Calc!$K$3:$K$22*(Calc!$G$3:$G$22&gt;B4176)*(Calc!$G$3:$G$22-B4176)^2)</f>
        <v/>
      </c>
      <c r="K4176">
        <f>SUMPRODUCT(Calc!$K$3:$K$22*(Calc!$G$3:$G$22&gt;A4176)*(Calc!$G$3:$G$22-A4176)*(Calc!$G$3:$G$22&gt;B4176)*(Calc!$G$3:$G$22-B4176))</f>
        <v/>
      </c>
      <c r="L4176">
        <f>SUMPRODUCT(Calc!$K$3:$K$22*(Calc!$G$3:$G$22&gt;A4176)*(Calc!$G$3:$G$22-A4176)*Calc!$G$3:$G$22)</f>
        <v/>
      </c>
      <c r="M4176">
        <f>SUMPRODUCT(Calc!$K$3:$K$22*(Calc!$G$3:$G$22&gt;B4176)*(Calc!$G$3:$G$22-B4176)*Calc!$G$3:$G$22)</f>
        <v/>
      </c>
      <c r="N4176">
        <f>SUMPRODUCT(Calc!$K$3:$K$22*(Calc!$G$3:$G$22&gt;A4176)*(Calc!$G$3:$G$22-A4176)*Calc!$I$3:$I$22)</f>
        <v/>
      </c>
      <c r="O4176">
        <f>SUMPRODUCT(Calc!$K$3:$K$22*(Calc!$G$3:$G$22&gt;B4176)*(Calc!$G$3:$G$22-B4176)*Calc!$I$3:$I$22)</f>
        <v/>
      </c>
      <c r="P4176">
        <f>I4176-G4176^2/k_n</f>
        <v/>
      </c>
      <c r="Q4176">
        <f>J4176-H4176^2/k_n</f>
        <v/>
      </c>
      <c r="R4176">
        <f>K4176-G4176*H4176/k_n</f>
        <v/>
      </c>
      <c r="S4176">
        <f>L4176-LTP3!$D$3*G4176/k_n</f>
        <v/>
      </c>
      <c r="T4176">
        <f>M4176-LTP3!$D$3*H4176/k_n</f>
        <v/>
      </c>
      <c r="U4176">
        <f>N4176-G4176*LTP3!$D$4/k_n</f>
        <v/>
      </c>
      <c r="V4176">
        <f>O4176-H4176*LTP3!$D$4/k_n</f>
        <v/>
      </c>
      <c r="W4176">
        <f>((LTP3!$D$5)*((P4176)*(Q4176)-(R4176)*(R4176))-(S4176)*((S4176)*(Q4176)-(R4176)*(T4176))+(T4176)*((S4176)*(R4176)-(P4176)*(T4176)))</f>
        <v/>
      </c>
      <c r="X4176">
        <f>IF(ABS(W4176)&gt;1E-12,((LTP3!$D$6)*((P4176)*(Q4176)-(R4176)*(R4176))-(S4176)*((U4176)*(Q4176)-(R4176)*(V4176))+(T4176)*((U4176)*(R4176)-(P4176)*(V4176)))/W4176,0)</f>
        <v/>
      </c>
      <c r="Y4176">
        <f>IF(ABS(W4176)&gt;1E-12,((LTP3!$D$5)*((U4176)*(Q4176)-(R4176)*(V4176))-(LTP3!$D$6)*((S4176)*(Q4176)-(R4176)*(T4176))+(T4176)*((S4176)*(V4176)-(U4176)*(T4176)))/W4176,0)</f>
        <v/>
      </c>
      <c r="Z4176">
        <f>IF(ABS(W4176)&gt;1E-12,((LTP3!$D$5)*((P4176)*(V4176)-(U4176)*(R4176))-(S4176)*((S4176)*(V4176)-(U4176)*(T4176))+(LTP3!$D$6)*((S4176)*(R4176)-(P4176)*(T4176)))/W4176,0)</f>
        <v/>
      </c>
      <c r="AA4176">
        <f>LTP3!$D$7-X4176*LTP3!$D$6-Y4176*U4176-Z4176*V4176</f>
        <v/>
      </c>
      <c r="AB4176">
        <f>IF(AND(F4176,ABS(W4176)&gt;1E-12,Y4176&gt;0,Z4176&gt;0),AA4176,1E+300)</f>
        <v/>
      </c>
    </row>
    <row r="4178">
      <c r="A4178" s="57" t="inlineStr">
        <is>
          <t>Verfeinerung 2</t>
        </is>
      </c>
    </row>
    <row r="4179">
      <c r="A4179" s="57" t="inlineStr">
        <is>
          <t>k1</t>
        </is>
      </c>
      <c r="B4179" s="57" t="inlineStr">
        <is>
          <t>k2</t>
        </is>
      </c>
      <c r="C4179" s="57" t="inlineStr">
        <is>
          <t>a</t>
        </is>
      </c>
      <c r="D4179" s="57" t="inlineStr">
        <is>
          <t>mid</t>
        </is>
      </c>
      <c r="E4179" s="57" t="inlineStr">
        <is>
          <t>c</t>
        </is>
      </c>
      <c r="F4179" s="57" t="inlineStr">
        <is>
          <t>ok</t>
        </is>
      </c>
      <c r="G4179" s="57" t="inlineStr">
        <is>
          <t>S1</t>
        </is>
      </c>
      <c r="H4179" s="57" t="inlineStr">
        <is>
          <t>S2</t>
        </is>
      </c>
      <c r="I4179" s="57" t="inlineStr">
        <is>
          <t>S11</t>
        </is>
      </c>
      <c r="J4179" s="57" t="inlineStr">
        <is>
          <t>S22</t>
        </is>
      </c>
      <c r="K4179" s="57" t="inlineStr">
        <is>
          <t>S12</t>
        </is>
      </c>
      <c r="L4179" s="57" t="inlineStr">
        <is>
          <t>Sx1</t>
        </is>
      </c>
      <c r="M4179" s="57" t="inlineStr">
        <is>
          <t>Sx2</t>
        </is>
      </c>
      <c r="N4179" s="57" t="inlineStr">
        <is>
          <t>S1y</t>
        </is>
      </c>
      <c r="O4179" s="57" t="inlineStr">
        <is>
          <t>S2y</t>
        </is>
      </c>
      <c r="P4179" s="57" t="inlineStr">
        <is>
          <t>C11</t>
        </is>
      </c>
      <c r="Q4179" s="57" t="inlineStr">
        <is>
          <t>C22</t>
        </is>
      </c>
      <c r="R4179" s="57" t="inlineStr">
        <is>
          <t>C12</t>
        </is>
      </c>
      <c r="S4179" s="57" t="inlineStr">
        <is>
          <t>Cx1</t>
        </is>
      </c>
      <c r="T4179" s="57" t="inlineStr">
        <is>
          <t>Cx2</t>
        </is>
      </c>
      <c r="U4179" s="57" t="inlineStr">
        <is>
          <t>C1y</t>
        </is>
      </c>
      <c r="V4179" s="57" t="inlineStr">
        <is>
          <t>C2y</t>
        </is>
      </c>
      <c r="W4179" s="57" t="inlineStr">
        <is>
          <t>det</t>
        </is>
      </c>
      <c r="X4179" s="57" t="inlineStr">
        <is>
          <t>bx</t>
        </is>
      </c>
      <c r="Y4179" s="57" t="inlineStr">
        <is>
          <t>b1</t>
        </is>
      </c>
      <c r="Z4179" s="57" t="inlineStr">
        <is>
          <t>b2</t>
        </is>
      </c>
      <c r="AA4179" s="57" t="inlineStr">
        <is>
          <t>SSE</t>
        </is>
      </c>
      <c r="AB4179" s="57" t="inlineStr">
        <is>
          <t>Score</t>
        </is>
      </c>
    </row>
    <row r="4180">
      <c r="A4180">
        <f>$I$4-$B$5/10+$B$5*0/100</f>
        <v/>
      </c>
      <c r="B4180">
        <f>$J$4-$B$5/10+$B$5*0/100</f>
        <v/>
      </c>
      <c r="C4180">
        <f>SUMPRODUCT(Calc!$K$3:$K$22*(Calc!$G$3:$G$22&lt;=A4180))</f>
        <v/>
      </c>
      <c r="D4180">
        <f>SUMPRODUCT(Calc!$K$3:$K$22*(Calc!$G$3:$G$22&gt;A4180)*(Calc!$G$3:$G$22&lt;B4180))</f>
        <v/>
      </c>
      <c r="E4180">
        <f>SUMPRODUCT(Calc!$K$3:$K$22*(Calc!$G$3:$G$22&gt;=B4180))</f>
        <v/>
      </c>
      <c r="F4180">
        <f>AND(k_n&gt;=5,B4180&gt;A4180+1E-9,C4180&gt;=2,D4180&gt;=1,E4180&gt;=2)</f>
        <v/>
      </c>
      <c r="G4180">
        <f>SUMPRODUCT(Calc!$K$3:$K$22*(Calc!$G$3:$G$22&gt;A4180)*(Calc!$G$3:$G$22-A4180))</f>
        <v/>
      </c>
      <c r="H4180">
        <f>SUMPRODUCT(Calc!$K$3:$K$22*(Calc!$G$3:$G$22&gt;B4180)*(Calc!$G$3:$G$22-B4180))</f>
        <v/>
      </c>
      <c r="I4180">
        <f>SUMPRODUCT(Calc!$K$3:$K$22*(Calc!$G$3:$G$22&gt;A4180)*(Calc!$G$3:$G$22-A4180)^2)</f>
        <v/>
      </c>
      <c r="J4180">
        <f>SUMPRODUCT(Calc!$K$3:$K$22*(Calc!$G$3:$G$22&gt;B4180)*(Calc!$G$3:$G$22-B4180)^2)</f>
        <v/>
      </c>
      <c r="K4180">
        <f>SUMPRODUCT(Calc!$K$3:$K$22*(Calc!$G$3:$G$22&gt;A4180)*(Calc!$G$3:$G$22-A4180)*(Calc!$G$3:$G$22&gt;B4180)*(Calc!$G$3:$G$22-B4180))</f>
        <v/>
      </c>
      <c r="L4180">
        <f>SUMPRODUCT(Calc!$K$3:$K$22*(Calc!$G$3:$G$22&gt;A4180)*(Calc!$G$3:$G$22-A4180)*Calc!$G$3:$G$22)</f>
        <v/>
      </c>
      <c r="M4180">
        <f>SUMPRODUCT(Calc!$K$3:$K$22*(Calc!$G$3:$G$22&gt;B4180)*(Calc!$G$3:$G$22-B4180)*Calc!$G$3:$G$22)</f>
        <v/>
      </c>
      <c r="N4180">
        <f>SUMPRODUCT(Calc!$K$3:$K$22*(Calc!$G$3:$G$22&gt;A4180)*(Calc!$G$3:$G$22-A4180)*Calc!$I$3:$I$22)</f>
        <v/>
      </c>
      <c r="O4180">
        <f>SUMPRODUCT(Calc!$K$3:$K$22*(Calc!$G$3:$G$22&gt;B4180)*(Calc!$G$3:$G$22-B4180)*Calc!$I$3:$I$22)</f>
        <v/>
      </c>
      <c r="P4180">
        <f>I4180-G4180^2/k_n</f>
        <v/>
      </c>
      <c r="Q4180">
        <f>J4180-H4180^2/k_n</f>
        <v/>
      </c>
      <c r="R4180">
        <f>K4180-G4180*H4180/k_n</f>
        <v/>
      </c>
      <c r="S4180">
        <f>L4180-LTP3!$D$3*G4180/k_n</f>
        <v/>
      </c>
      <c r="T4180">
        <f>M4180-LTP3!$D$3*H4180/k_n</f>
        <v/>
      </c>
      <c r="U4180">
        <f>N4180-G4180*LTP3!$D$4/k_n</f>
        <v/>
      </c>
      <c r="V4180">
        <f>O4180-H4180*LTP3!$D$4/k_n</f>
        <v/>
      </c>
      <c r="W4180">
        <f>((LTP3!$D$5)*((P4180)*(Q4180)-(R4180)*(R4180))-(S4180)*((S4180)*(Q4180)-(R4180)*(T4180))+(T4180)*((S4180)*(R4180)-(P4180)*(T4180)))</f>
        <v/>
      </c>
      <c r="X4180">
        <f>IF(ABS(W4180)&gt;1E-12,((LTP3!$D$6)*((P4180)*(Q4180)-(R4180)*(R4180))-(S4180)*((U4180)*(Q4180)-(R4180)*(V4180))+(T4180)*((U4180)*(R4180)-(P4180)*(V4180)))/W4180,0)</f>
        <v/>
      </c>
      <c r="Y4180">
        <f>IF(ABS(W4180)&gt;1E-12,((LTP3!$D$5)*((U4180)*(Q4180)-(R4180)*(V4180))-(LTP3!$D$6)*((S4180)*(Q4180)-(R4180)*(T4180))+(T4180)*((S4180)*(V4180)-(U4180)*(T4180)))/W4180,0)</f>
        <v/>
      </c>
      <c r="Z4180">
        <f>IF(ABS(W4180)&gt;1E-12,((LTP3!$D$5)*((P4180)*(V4180)-(U4180)*(R4180))-(S4180)*((S4180)*(V4180)-(U4180)*(T4180))+(LTP3!$D$6)*((S4180)*(R4180)-(P4180)*(T4180)))/W4180,0)</f>
        <v/>
      </c>
      <c r="AA4180">
        <f>LTP3!$D$7-X4180*LTP3!$D$6-Y4180*U4180-Z4180*V4180</f>
        <v/>
      </c>
      <c r="AB4180">
        <f>IF(AND(F4180,ABS(W4180)&gt;1E-12,Y4180&gt;0,Z4180&gt;0),AA4180,1E+300)</f>
        <v/>
      </c>
    </row>
    <row r="4181">
      <c r="A4181">
        <f>$I$4-$B$5/10+$B$5*0/100</f>
        <v/>
      </c>
      <c r="B4181">
        <f>$J$4-$B$5/10+$B$5*1/100</f>
        <v/>
      </c>
      <c r="C4181">
        <f>SUMPRODUCT(Calc!$K$3:$K$22*(Calc!$G$3:$G$22&lt;=A4181))</f>
        <v/>
      </c>
      <c r="D4181">
        <f>SUMPRODUCT(Calc!$K$3:$K$22*(Calc!$G$3:$G$22&gt;A4181)*(Calc!$G$3:$G$22&lt;B4181))</f>
        <v/>
      </c>
      <c r="E4181">
        <f>SUMPRODUCT(Calc!$K$3:$K$22*(Calc!$G$3:$G$22&gt;=B4181))</f>
        <v/>
      </c>
      <c r="F4181">
        <f>AND(k_n&gt;=5,B4181&gt;A4181+1E-9,C4181&gt;=2,D4181&gt;=1,E4181&gt;=2)</f>
        <v/>
      </c>
      <c r="G4181">
        <f>SUMPRODUCT(Calc!$K$3:$K$22*(Calc!$G$3:$G$22&gt;A4181)*(Calc!$G$3:$G$22-A4181))</f>
        <v/>
      </c>
      <c r="H4181">
        <f>SUMPRODUCT(Calc!$K$3:$K$22*(Calc!$G$3:$G$22&gt;B4181)*(Calc!$G$3:$G$22-B4181))</f>
        <v/>
      </c>
      <c r="I4181">
        <f>SUMPRODUCT(Calc!$K$3:$K$22*(Calc!$G$3:$G$22&gt;A4181)*(Calc!$G$3:$G$22-A4181)^2)</f>
        <v/>
      </c>
      <c r="J4181">
        <f>SUMPRODUCT(Calc!$K$3:$K$22*(Calc!$G$3:$G$22&gt;B4181)*(Calc!$G$3:$G$22-B4181)^2)</f>
        <v/>
      </c>
      <c r="K4181">
        <f>SUMPRODUCT(Calc!$K$3:$K$22*(Calc!$G$3:$G$22&gt;A4181)*(Calc!$G$3:$G$22-A4181)*(Calc!$G$3:$G$22&gt;B4181)*(Calc!$G$3:$G$22-B4181))</f>
        <v/>
      </c>
      <c r="L4181">
        <f>SUMPRODUCT(Calc!$K$3:$K$22*(Calc!$G$3:$G$22&gt;A4181)*(Calc!$G$3:$G$22-A4181)*Calc!$G$3:$G$22)</f>
        <v/>
      </c>
      <c r="M4181">
        <f>SUMPRODUCT(Calc!$K$3:$K$22*(Calc!$G$3:$G$22&gt;B4181)*(Calc!$G$3:$G$22-B4181)*Calc!$G$3:$G$22)</f>
        <v/>
      </c>
      <c r="N4181">
        <f>SUMPRODUCT(Calc!$K$3:$K$22*(Calc!$G$3:$G$22&gt;A4181)*(Calc!$G$3:$G$22-A4181)*Calc!$I$3:$I$22)</f>
        <v/>
      </c>
      <c r="O4181">
        <f>SUMPRODUCT(Calc!$K$3:$K$22*(Calc!$G$3:$G$22&gt;B4181)*(Calc!$G$3:$G$22-B4181)*Calc!$I$3:$I$22)</f>
        <v/>
      </c>
      <c r="P4181">
        <f>I4181-G4181^2/k_n</f>
        <v/>
      </c>
      <c r="Q4181">
        <f>J4181-H4181^2/k_n</f>
        <v/>
      </c>
      <c r="R4181">
        <f>K4181-G4181*H4181/k_n</f>
        <v/>
      </c>
      <c r="S4181">
        <f>L4181-LTP3!$D$3*G4181/k_n</f>
        <v/>
      </c>
      <c r="T4181">
        <f>M4181-LTP3!$D$3*H4181/k_n</f>
        <v/>
      </c>
      <c r="U4181">
        <f>N4181-G4181*LTP3!$D$4/k_n</f>
        <v/>
      </c>
      <c r="V4181">
        <f>O4181-H4181*LTP3!$D$4/k_n</f>
        <v/>
      </c>
      <c r="W4181">
        <f>((LTP3!$D$5)*((P4181)*(Q4181)-(R4181)*(R4181))-(S4181)*((S4181)*(Q4181)-(R4181)*(T4181))+(T4181)*((S4181)*(R4181)-(P4181)*(T4181)))</f>
        <v/>
      </c>
      <c r="X4181">
        <f>IF(ABS(W4181)&gt;1E-12,((LTP3!$D$6)*((P4181)*(Q4181)-(R4181)*(R4181))-(S4181)*((U4181)*(Q4181)-(R4181)*(V4181))+(T4181)*((U4181)*(R4181)-(P4181)*(V4181)))/W4181,0)</f>
        <v/>
      </c>
      <c r="Y4181">
        <f>IF(ABS(W4181)&gt;1E-12,((LTP3!$D$5)*((U4181)*(Q4181)-(R4181)*(V4181))-(LTP3!$D$6)*((S4181)*(Q4181)-(R4181)*(T4181))+(T4181)*((S4181)*(V4181)-(U4181)*(T4181)))/W4181,0)</f>
        <v/>
      </c>
      <c r="Z4181">
        <f>IF(ABS(W4181)&gt;1E-12,((LTP3!$D$5)*((P4181)*(V4181)-(U4181)*(R4181))-(S4181)*((S4181)*(V4181)-(U4181)*(T4181))+(LTP3!$D$6)*((S4181)*(R4181)-(P4181)*(T4181)))/W4181,0)</f>
        <v/>
      </c>
      <c r="AA4181">
        <f>LTP3!$D$7-X4181*LTP3!$D$6-Y4181*U4181-Z4181*V4181</f>
        <v/>
      </c>
      <c r="AB4181">
        <f>IF(AND(F4181,ABS(W4181)&gt;1E-12,Y4181&gt;0,Z4181&gt;0),AA4181,1E+300)</f>
        <v/>
      </c>
    </row>
    <row r="4182">
      <c r="A4182">
        <f>$I$4-$B$5/10+$B$5*0/100</f>
        <v/>
      </c>
      <c r="B4182">
        <f>$J$4-$B$5/10+$B$5*2/100</f>
        <v/>
      </c>
      <c r="C4182">
        <f>SUMPRODUCT(Calc!$K$3:$K$22*(Calc!$G$3:$G$22&lt;=A4182))</f>
        <v/>
      </c>
      <c r="D4182">
        <f>SUMPRODUCT(Calc!$K$3:$K$22*(Calc!$G$3:$G$22&gt;A4182)*(Calc!$G$3:$G$22&lt;B4182))</f>
        <v/>
      </c>
      <c r="E4182">
        <f>SUMPRODUCT(Calc!$K$3:$K$22*(Calc!$G$3:$G$22&gt;=B4182))</f>
        <v/>
      </c>
      <c r="F4182">
        <f>AND(k_n&gt;=5,B4182&gt;A4182+1E-9,C4182&gt;=2,D4182&gt;=1,E4182&gt;=2)</f>
        <v/>
      </c>
      <c r="G4182">
        <f>SUMPRODUCT(Calc!$K$3:$K$22*(Calc!$G$3:$G$22&gt;A4182)*(Calc!$G$3:$G$22-A4182))</f>
        <v/>
      </c>
      <c r="H4182">
        <f>SUMPRODUCT(Calc!$K$3:$K$22*(Calc!$G$3:$G$22&gt;B4182)*(Calc!$G$3:$G$22-B4182))</f>
        <v/>
      </c>
      <c r="I4182">
        <f>SUMPRODUCT(Calc!$K$3:$K$22*(Calc!$G$3:$G$22&gt;A4182)*(Calc!$G$3:$G$22-A4182)^2)</f>
        <v/>
      </c>
      <c r="J4182">
        <f>SUMPRODUCT(Calc!$K$3:$K$22*(Calc!$G$3:$G$22&gt;B4182)*(Calc!$G$3:$G$22-B4182)^2)</f>
        <v/>
      </c>
      <c r="K4182">
        <f>SUMPRODUCT(Calc!$K$3:$K$22*(Calc!$G$3:$G$22&gt;A4182)*(Calc!$G$3:$G$22-A4182)*(Calc!$G$3:$G$22&gt;B4182)*(Calc!$G$3:$G$22-B4182))</f>
        <v/>
      </c>
      <c r="L4182">
        <f>SUMPRODUCT(Calc!$K$3:$K$22*(Calc!$G$3:$G$22&gt;A4182)*(Calc!$G$3:$G$22-A4182)*Calc!$G$3:$G$22)</f>
        <v/>
      </c>
      <c r="M4182">
        <f>SUMPRODUCT(Calc!$K$3:$K$22*(Calc!$G$3:$G$22&gt;B4182)*(Calc!$G$3:$G$22-B4182)*Calc!$G$3:$G$22)</f>
        <v/>
      </c>
      <c r="N4182">
        <f>SUMPRODUCT(Calc!$K$3:$K$22*(Calc!$G$3:$G$22&gt;A4182)*(Calc!$G$3:$G$22-A4182)*Calc!$I$3:$I$22)</f>
        <v/>
      </c>
      <c r="O4182">
        <f>SUMPRODUCT(Calc!$K$3:$K$22*(Calc!$G$3:$G$22&gt;B4182)*(Calc!$G$3:$G$22-B4182)*Calc!$I$3:$I$22)</f>
        <v/>
      </c>
      <c r="P4182">
        <f>I4182-G4182^2/k_n</f>
        <v/>
      </c>
      <c r="Q4182">
        <f>J4182-H4182^2/k_n</f>
        <v/>
      </c>
      <c r="R4182">
        <f>K4182-G4182*H4182/k_n</f>
        <v/>
      </c>
      <c r="S4182">
        <f>L4182-LTP3!$D$3*G4182/k_n</f>
        <v/>
      </c>
      <c r="T4182">
        <f>M4182-LTP3!$D$3*H4182/k_n</f>
        <v/>
      </c>
      <c r="U4182">
        <f>N4182-G4182*LTP3!$D$4/k_n</f>
        <v/>
      </c>
      <c r="V4182">
        <f>O4182-H4182*LTP3!$D$4/k_n</f>
        <v/>
      </c>
      <c r="W4182">
        <f>((LTP3!$D$5)*((P4182)*(Q4182)-(R4182)*(R4182))-(S4182)*((S4182)*(Q4182)-(R4182)*(T4182))+(T4182)*((S4182)*(R4182)-(P4182)*(T4182)))</f>
        <v/>
      </c>
      <c r="X4182">
        <f>IF(ABS(W4182)&gt;1E-12,((LTP3!$D$6)*((P4182)*(Q4182)-(R4182)*(R4182))-(S4182)*((U4182)*(Q4182)-(R4182)*(V4182))+(T4182)*((U4182)*(R4182)-(P4182)*(V4182)))/W4182,0)</f>
        <v/>
      </c>
      <c r="Y4182">
        <f>IF(ABS(W4182)&gt;1E-12,((LTP3!$D$5)*((U4182)*(Q4182)-(R4182)*(V4182))-(LTP3!$D$6)*((S4182)*(Q4182)-(R4182)*(T4182))+(T4182)*((S4182)*(V4182)-(U4182)*(T4182)))/W4182,0)</f>
        <v/>
      </c>
      <c r="Z4182">
        <f>IF(ABS(W4182)&gt;1E-12,((LTP3!$D$5)*((P4182)*(V4182)-(U4182)*(R4182))-(S4182)*((S4182)*(V4182)-(U4182)*(T4182))+(LTP3!$D$6)*((S4182)*(R4182)-(P4182)*(T4182)))/W4182,0)</f>
        <v/>
      </c>
      <c r="AA4182">
        <f>LTP3!$D$7-X4182*LTP3!$D$6-Y4182*U4182-Z4182*V4182</f>
        <v/>
      </c>
      <c r="AB4182">
        <f>IF(AND(F4182,ABS(W4182)&gt;1E-12,Y4182&gt;0,Z4182&gt;0),AA4182,1E+300)</f>
        <v/>
      </c>
    </row>
    <row r="4183">
      <c r="A4183">
        <f>$I$4-$B$5/10+$B$5*0/100</f>
        <v/>
      </c>
      <c r="B4183">
        <f>$J$4-$B$5/10+$B$5*3/100</f>
        <v/>
      </c>
      <c r="C4183">
        <f>SUMPRODUCT(Calc!$K$3:$K$22*(Calc!$G$3:$G$22&lt;=A4183))</f>
        <v/>
      </c>
      <c r="D4183">
        <f>SUMPRODUCT(Calc!$K$3:$K$22*(Calc!$G$3:$G$22&gt;A4183)*(Calc!$G$3:$G$22&lt;B4183))</f>
        <v/>
      </c>
      <c r="E4183">
        <f>SUMPRODUCT(Calc!$K$3:$K$22*(Calc!$G$3:$G$22&gt;=B4183))</f>
        <v/>
      </c>
      <c r="F4183">
        <f>AND(k_n&gt;=5,B4183&gt;A4183+1E-9,C4183&gt;=2,D4183&gt;=1,E4183&gt;=2)</f>
        <v/>
      </c>
      <c r="G4183">
        <f>SUMPRODUCT(Calc!$K$3:$K$22*(Calc!$G$3:$G$22&gt;A4183)*(Calc!$G$3:$G$22-A4183))</f>
        <v/>
      </c>
      <c r="H4183">
        <f>SUMPRODUCT(Calc!$K$3:$K$22*(Calc!$G$3:$G$22&gt;B4183)*(Calc!$G$3:$G$22-B4183))</f>
        <v/>
      </c>
      <c r="I4183">
        <f>SUMPRODUCT(Calc!$K$3:$K$22*(Calc!$G$3:$G$22&gt;A4183)*(Calc!$G$3:$G$22-A4183)^2)</f>
        <v/>
      </c>
      <c r="J4183">
        <f>SUMPRODUCT(Calc!$K$3:$K$22*(Calc!$G$3:$G$22&gt;B4183)*(Calc!$G$3:$G$22-B4183)^2)</f>
        <v/>
      </c>
      <c r="K4183">
        <f>SUMPRODUCT(Calc!$K$3:$K$22*(Calc!$G$3:$G$22&gt;A4183)*(Calc!$G$3:$G$22-A4183)*(Calc!$G$3:$G$22&gt;B4183)*(Calc!$G$3:$G$22-B4183))</f>
        <v/>
      </c>
      <c r="L4183">
        <f>SUMPRODUCT(Calc!$K$3:$K$22*(Calc!$G$3:$G$22&gt;A4183)*(Calc!$G$3:$G$22-A4183)*Calc!$G$3:$G$22)</f>
        <v/>
      </c>
      <c r="M4183">
        <f>SUMPRODUCT(Calc!$K$3:$K$22*(Calc!$G$3:$G$22&gt;B4183)*(Calc!$G$3:$G$22-B4183)*Calc!$G$3:$G$22)</f>
        <v/>
      </c>
      <c r="N4183">
        <f>SUMPRODUCT(Calc!$K$3:$K$22*(Calc!$G$3:$G$22&gt;A4183)*(Calc!$G$3:$G$22-A4183)*Calc!$I$3:$I$22)</f>
        <v/>
      </c>
      <c r="O4183">
        <f>SUMPRODUCT(Calc!$K$3:$K$22*(Calc!$G$3:$G$22&gt;B4183)*(Calc!$G$3:$G$22-B4183)*Calc!$I$3:$I$22)</f>
        <v/>
      </c>
      <c r="P4183">
        <f>I4183-G4183^2/k_n</f>
        <v/>
      </c>
      <c r="Q4183">
        <f>J4183-H4183^2/k_n</f>
        <v/>
      </c>
      <c r="R4183">
        <f>K4183-G4183*H4183/k_n</f>
        <v/>
      </c>
      <c r="S4183">
        <f>L4183-LTP3!$D$3*G4183/k_n</f>
        <v/>
      </c>
      <c r="T4183">
        <f>M4183-LTP3!$D$3*H4183/k_n</f>
        <v/>
      </c>
      <c r="U4183">
        <f>N4183-G4183*LTP3!$D$4/k_n</f>
        <v/>
      </c>
      <c r="V4183">
        <f>O4183-H4183*LTP3!$D$4/k_n</f>
        <v/>
      </c>
      <c r="W4183">
        <f>((LTP3!$D$5)*((P4183)*(Q4183)-(R4183)*(R4183))-(S4183)*((S4183)*(Q4183)-(R4183)*(T4183))+(T4183)*((S4183)*(R4183)-(P4183)*(T4183)))</f>
        <v/>
      </c>
      <c r="X4183">
        <f>IF(ABS(W4183)&gt;1E-12,((LTP3!$D$6)*((P4183)*(Q4183)-(R4183)*(R4183))-(S4183)*((U4183)*(Q4183)-(R4183)*(V4183))+(T4183)*((U4183)*(R4183)-(P4183)*(V4183)))/W4183,0)</f>
        <v/>
      </c>
      <c r="Y4183">
        <f>IF(ABS(W4183)&gt;1E-12,((LTP3!$D$5)*((U4183)*(Q4183)-(R4183)*(V4183))-(LTP3!$D$6)*((S4183)*(Q4183)-(R4183)*(T4183))+(T4183)*((S4183)*(V4183)-(U4183)*(T4183)))/W4183,0)</f>
        <v/>
      </c>
      <c r="Z4183">
        <f>IF(ABS(W4183)&gt;1E-12,((LTP3!$D$5)*((P4183)*(V4183)-(U4183)*(R4183))-(S4183)*((S4183)*(V4183)-(U4183)*(T4183))+(LTP3!$D$6)*((S4183)*(R4183)-(P4183)*(T4183)))/W4183,0)</f>
        <v/>
      </c>
      <c r="AA4183">
        <f>LTP3!$D$7-X4183*LTP3!$D$6-Y4183*U4183-Z4183*V4183</f>
        <v/>
      </c>
      <c r="AB4183">
        <f>IF(AND(F4183,ABS(W4183)&gt;1E-12,Y4183&gt;0,Z4183&gt;0),AA4183,1E+300)</f>
        <v/>
      </c>
    </row>
    <row r="4184">
      <c r="A4184">
        <f>$I$4-$B$5/10+$B$5*0/100</f>
        <v/>
      </c>
      <c r="B4184">
        <f>$J$4-$B$5/10+$B$5*4/100</f>
        <v/>
      </c>
      <c r="C4184">
        <f>SUMPRODUCT(Calc!$K$3:$K$22*(Calc!$G$3:$G$22&lt;=A4184))</f>
        <v/>
      </c>
      <c r="D4184">
        <f>SUMPRODUCT(Calc!$K$3:$K$22*(Calc!$G$3:$G$22&gt;A4184)*(Calc!$G$3:$G$22&lt;B4184))</f>
        <v/>
      </c>
      <c r="E4184">
        <f>SUMPRODUCT(Calc!$K$3:$K$22*(Calc!$G$3:$G$22&gt;=B4184))</f>
        <v/>
      </c>
      <c r="F4184">
        <f>AND(k_n&gt;=5,B4184&gt;A4184+1E-9,C4184&gt;=2,D4184&gt;=1,E4184&gt;=2)</f>
        <v/>
      </c>
      <c r="G4184">
        <f>SUMPRODUCT(Calc!$K$3:$K$22*(Calc!$G$3:$G$22&gt;A4184)*(Calc!$G$3:$G$22-A4184))</f>
        <v/>
      </c>
      <c r="H4184">
        <f>SUMPRODUCT(Calc!$K$3:$K$22*(Calc!$G$3:$G$22&gt;B4184)*(Calc!$G$3:$G$22-B4184))</f>
        <v/>
      </c>
      <c r="I4184">
        <f>SUMPRODUCT(Calc!$K$3:$K$22*(Calc!$G$3:$G$22&gt;A4184)*(Calc!$G$3:$G$22-A4184)^2)</f>
        <v/>
      </c>
      <c r="J4184">
        <f>SUMPRODUCT(Calc!$K$3:$K$22*(Calc!$G$3:$G$22&gt;B4184)*(Calc!$G$3:$G$22-B4184)^2)</f>
        <v/>
      </c>
      <c r="K4184">
        <f>SUMPRODUCT(Calc!$K$3:$K$22*(Calc!$G$3:$G$22&gt;A4184)*(Calc!$G$3:$G$22-A4184)*(Calc!$G$3:$G$22&gt;B4184)*(Calc!$G$3:$G$22-B4184))</f>
        <v/>
      </c>
      <c r="L4184">
        <f>SUMPRODUCT(Calc!$K$3:$K$22*(Calc!$G$3:$G$22&gt;A4184)*(Calc!$G$3:$G$22-A4184)*Calc!$G$3:$G$22)</f>
        <v/>
      </c>
      <c r="M4184">
        <f>SUMPRODUCT(Calc!$K$3:$K$22*(Calc!$G$3:$G$22&gt;B4184)*(Calc!$G$3:$G$22-B4184)*Calc!$G$3:$G$22)</f>
        <v/>
      </c>
      <c r="N4184">
        <f>SUMPRODUCT(Calc!$K$3:$K$22*(Calc!$G$3:$G$22&gt;A4184)*(Calc!$G$3:$G$22-A4184)*Calc!$I$3:$I$22)</f>
        <v/>
      </c>
      <c r="O4184">
        <f>SUMPRODUCT(Calc!$K$3:$K$22*(Calc!$G$3:$G$22&gt;B4184)*(Calc!$G$3:$G$22-B4184)*Calc!$I$3:$I$22)</f>
        <v/>
      </c>
      <c r="P4184">
        <f>I4184-G4184^2/k_n</f>
        <v/>
      </c>
      <c r="Q4184">
        <f>J4184-H4184^2/k_n</f>
        <v/>
      </c>
      <c r="R4184">
        <f>K4184-G4184*H4184/k_n</f>
        <v/>
      </c>
      <c r="S4184">
        <f>L4184-LTP3!$D$3*G4184/k_n</f>
        <v/>
      </c>
      <c r="T4184">
        <f>M4184-LTP3!$D$3*H4184/k_n</f>
        <v/>
      </c>
      <c r="U4184">
        <f>N4184-G4184*LTP3!$D$4/k_n</f>
        <v/>
      </c>
      <c r="V4184">
        <f>O4184-H4184*LTP3!$D$4/k_n</f>
        <v/>
      </c>
      <c r="W4184">
        <f>((LTP3!$D$5)*((P4184)*(Q4184)-(R4184)*(R4184))-(S4184)*((S4184)*(Q4184)-(R4184)*(T4184))+(T4184)*((S4184)*(R4184)-(P4184)*(T4184)))</f>
        <v/>
      </c>
      <c r="X4184">
        <f>IF(ABS(W4184)&gt;1E-12,((LTP3!$D$6)*((P4184)*(Q4184)-(R4184)*(R4184))-(S4184)*((U4184)*(Q4184)-(R4184)*(V4184))+(T4184)*((U4184)*(R4184)-(P4184)*(V4184)))/W4184,0)</f>
        <v/>
      </c>
      <c r="Y4184">
        <f>IF(ABS(W4184)&gt;1E-12,((LTP3!$D$5)*((U4184)*(Q4184)-(R4184)*(V4184))-(LTP3!$D$6)*((S4184)*(Q4184)-(R4184)*(T4184))+(T4184)*((S4184)*(V4184)-(U4184)*(T4184)))/W4184,0)</f>
        <v/>
      </c>
      <c r="Z4184">
        <f>IF(ABS(W4184)&gt;1E-12,((LTP3!$D$5)*((P4184)*(V4184)-(U4184)*(R4184))-(S4184)*((S4184)*(V4184)-(U4184)*(T4184))+(LTP3!$D$6)*((S4184)*(R4184)-(P4184)*(T4184)))/W4184,0)</f>
        <v/>
      </c>
      <c r="AA4184">
        <f>LTP3!$D$7-X4184*LTP3!$D$6-Y4184*U4184-Z4184*V4184</f>
        <v/>
      </c>
      <c r="AB4184">
        <f>IF(AND(F4184,ABS(W4184)&gt;1E-12,Y4184&gt;0,Z4184&gt;0),AA4184,1E+300)</f>
        <v/>
      </c>
    </row>
    <row r="4185">
      <c r="A4185">
        <f>$I$4-$B$5/10+$B$5*0/100</f>
        <v/>
      </c>
      <c r="B4185">
        <f>$J$4-$B$5/10+$B$5*5/100</f>
        <v/>
      </c>
      <c r="C4185">
        <f>SUMPRODUCT(Calc!$K$3:$K$22*(Calc!$G$3:$G$22&lt;=A4185))</f>
        <v/>
      </c>
      <c r="D4185">
        <f>SUMPRODUCT(Calc!$K$3:$K$22*(Calc!$G$3:$G$22&gt;A4185)*(Calc!$G$3:$G$22&lt;B4185))</f>
        <v/>
      </c>
      <c r="E4185">
        <f>SUMPRODUCT(Calc!$K$3:$K$22*(Calc!$G$3:$G$22&gt;=B4185))</f>
        <v/>
      </c>
      <c r="F4185">
        <f>AND(k_n&gt;=5,B4185&gt;A4185+1E-9,C4185&gt;=2,D4185&gt;=1,E4185&gt;=2)</f>
        <v/>
      </c>
      <c r="G4185">
        <f>SUMPRODUCT(Calc!$K$3:$K$22*(Calc!$G$3:$G$22&gt;A4185)*(Calc!$G$3:$G$22-A4185))</f>
        <v/>
      </c>
      <c r="H4185">
        <f>SUMPRODUCT(Calc!$K$3:$K$22*(Calc!$G$3:$G$22&gt;B4185)*(Calc!$G$3:$G$22-B4185))</f>
        <v/>
      </c>
      <c r="I4185">
        <f>SUMPRODUCT(Calc!$K$3:$K$22*(Calc!$G$3:$G$22&gt;A4185)*(Calc!$G$3:$G$22-A4185)^2)</f>
        <v/>
      </c>
      <c r="J4185">
        <f>SUMPRODUCT(Calc!$K$3:$K$22*(Calc!$G$3:$G$22&gt;B4185)*(Calc!$G$3:$G$22-B4185)^2)</f>
        <v/>
      </c>
      <c r="K4185">
        <f>SUMPRODUCT(Calc!$K$3:$K$22*(Calc!$G$3:$G$22&gt;A4185)*(Calc!$G$3:$G$22-A4185)*(Calc!$G$3:$G$22&gt;B4185)*(Calc!$G$3:$G$22-B4185))</f>
        <v/>
      </c>
      <c r="L4185">
        <f>SUMPRODUCT(Calc!$K$3:$K$22*(Calc!$G$3:$G$22&gt;A4185)*(Calc!$G$3:$G$22-A4185)*Calc!$G$3:$G$22)</f>
        <v/>
      </c>
      <c r="M4185">
        <f>SUMPRODUCT(Calc!$K$3:$K$22*(Calc!$G$3:$G$22&gt;B4185)*(Calc!$G$3:$G$22-B4185)*Calc!$G$3:$G$22)</f>
        <v/>
      </c>
      <c r="N4185">
        <f>SUMPRODUCT(Calc!$K$3:$K$22*(Calc!$G$3:$G$22&gt;A4185)*(Calc!$G$3:$G$22-A4185)*Calc!$I$3:$I$22)</f>
        <v/>
      </c>
      <c r="O4185">
        <f>SUMPRODUCT(Calc!$K$3:$K$22*(Calc!$G$3:$G$22&gt;B4185)*(Calc!$G$3:$G$22-B4185)*Calc!$I$3:$I$22)</f>
        <v/>
      </c>
      <c r="P4185">
        <f>I4185-G4185^2/k_n</f>
        <v/>
      </c>
      <c r="Q4185">
        <f>J4185-H4185^2/k_n</f>
        <v/>
      </c>
      <c r="R4185">
        <f>K4185-G4185*H4185/k_n</f>
        <v/>
      </c>
      <c r="S4185">
        <f>L4185-LTP3!$D$3*G4185/k_n</f>
        <v/>
      </c>
      <c r="T4185">
        <f>M4185-LTP3!$D$3*H4185/k_n</f>
        <v/>
      </c>
      <c r="U4185">
        <f>N4185-G4185*LTP3!$D$4/k_n</f>
        <v/>
      </c>
      <c r="V4185">
        <f>O4185-H4185*LTP3!$D$4/k_n</f>
        <v/>
      </c>
      <c r="W4185">
        <f>((LTP3!$D$5)*((P4185)*(Q4185)-(R4185)*(R4185))-(S4185)*((S4185)*(Q4185)-(R4185)*(T4185))+(T4185)*((S4185)*(R4185)-(P4185)*(T4185)))</f>
        <v/>
      </c>
      <c r="X4185">
        <f>IF(ABS(W4185)&gt;1E-12,((LTP3!$D$6)*((P4185)*(Q4185)-(R4185)*(R4185))-(S4185)*((U4185)*(Q4185)-(R4185)*(V4185))+(T4185)*((U4185)*(R4185)-(P4185)*(V4185)))/W4185,0)</f>
        <v/>
      </c>
      <c r="Y4185">
        <f>IF(ABS(W4185)&gt;1E-12,((LTP3!$D$5)*((U4185)*(Q4185)-(R4185)*(V4185))-(LTP3!$D$6)*((S4185)*(Q4185)-(R4185)*(T4185))+(T4185)*((S4185)*(V4185)-(U4185)*(T4185)))/W4185,0)</f>
        <v/>
      </c>
      <c r="Z4185">
        <f>IF(ABS(W4185)&gt;1E-12,((LTP3!$D$5)*((P4185)*(V4185)-(U4185)*(R4185))-(S4185)*((S4185)*(V4185)-(U4185)*(T4185))+(LTP3!$D$6)*((S4185)*(R4185)-(P4185)*(T4185)))/W4185,0)</f>
        <v/>
      </c>
      <c r="AA4185">
        <f>LTP3!$D$7-X4185*LTP3!$D$6-Y4185*U4185-Z4185*V4185</f>
        <v/>
      </c>
      <c r="AB4185">
        <f>IF(AND(F4185,ABS(W4185)&gt;1E-12,Y4185&gt;0,Z4185&gt;0),AA4185,1E+300)</f>
        <v/>
      </c>
    </row>
    <row r="4186">
      <c r="A4186">
        <f>$I$4-$B$5/10+$B$5*0/100</f>
        <v/>
      </c>
      <c r="B4186">
        <f>$J$4-$B$5/10+$B$5*6/100</f>
        <v/>
      </c>
      <c r="C4186">
        <f>SUMPRODUCT(Calc!$K$3:$K$22*(Calc!$G$3:$G$22&lt;=A4186))</f>
        <v/>
      </c>
      <c r="D4186">
        <f>SUMPRODUCT(Calc!$K$3:$K$22*(Calc!$G$3:$G$22&gt;A4186)*(Calc!$G$3:$G$22&lt;B4186))</f>
        <v/>
      </c>
      <c r="E4186">
        <f>SUMPRODUCT(Calc!$K$3:$K$22*(Calc!$G$3:$G$22&gt;=B4186))</f>
        <v/>
      </c>
      <c r="F4186">
        <f>AND(k_n&gt;=5,B4186&gt;A4186+1E-9,C4186&gt;=2,D4186&gt;=1,E4186&gt;=2)</f>
        <v/>
      </c>
      <c r="G4186">
        <f>SUMPRODUCT(Calc!$K$3:$K$22*(Calc!$G$3:$G$22&gt;A4186)*(Calc!$G$3:$G$22-A4186))</f>
        <v/>
      </c>
      <c r="H4186">
        <f>SUMPRODUCT(Calc!$K$3:$K$22*(Calc!$G$3:$G$22&gt;B4186)*(Calc!$G$3:$G$22-B4186))</f>
        <v/>
      </c>
      <c r="I4186">
        <f>SUMPRODUCT(Calc!$K$3:$K$22*(Calc!$G$3:$G$22&gt;A4186)*(Calc!$G$3:$G$22-A4186)^2)</f>
        <v/>
      </c>
      <c r="J4186">
        <f>SUMPRODUCT(Calc!$K$3:$K$22*(Calc!$G$3:$G$22&gt;B4186)*(Calc!$G$3:$G$22-B4186)^2)</f>
        <v/>
      </c>
      <c r="K4186">
        <f>SUMPRODUCT(Calc!$K$3:$K$22*(Calc!$G$3:$G$22&gt;A4186)*(Calc!$G$3:$G$22-A4186)*(Calc!$G$3:$G$22&gt;B4186)*(Calc!$G$3:$G$22-B4186))</f>
        <v/>
      </c>
      <c r="L4186">
        <f>SUMPRODUCT(Calc!$K$3:$K$22*(Calc!$G$3:$G$22&gt;A4186)*(Calc!$G$3:$G$22-A4186)*Calc!$G$3:$G$22)</f>
        <v/>
      </c>
      <c r="M4186">
        <f>SUMPRODUCT(Calc!$K$3:$K$22*(Calc!$G$3:$G$22&gt;B4186)*(Calc!$G$3:$G$22-B4186)*Calc!$G$3:$G$22)</f>
        <v/>
      </c>
      <c r="N4186">
        <f>SUMPRODUCT(Calc!$K$3:$K$22*(Calc!$G$3:$G$22&gt;A4186)*(Calc!$G$3:$G$22-A4186)*Calc!$I$3:$I$22)</f>
        <v/>
      </c>
      <c r="O4186">
        <f>SUMPRODUCT(Calc!$K$3:$K$22*(Calc!$G$3:$G$22&gt;B4186)*(Calc!$G$3:$G$22-B4186)*Calc!$I$3:$I$22)</f>
        <v/>
      </c>
      <c r="P4186">
        <f>I4186-G4186^2/k_n</f>
        <v/>
      </c>
      <c r="Q4186">
        <f>J4186-H4186^2/k_n</f>
        <v/>
      </c>
      <c r="R4186">
        <f>K4186-G4186*H4186/k_n</f>
        <v/>
      </c>
      <c r="S4186">
        <f>L4186-LTP3!$D$3*G4186/k_n</f>
        <v/>
      </c>
      <c r="T4186">
        <f>M4186-LTP3!$D$3*H4186/k_n</f>
        <v/>
      </c>
      <c r="U4186">
        <f>N4186-G4186*LTP3!$D$4/k_n</f>
        <v/>
      </c>
      <c r="V4186">
        <f>O4186-H4186*LTP3!$D$4/k_n</f>
        <v/>
      </c>
      <c r="W4186">
        <f>((LTP3!$D$5)*((P4186)*(Q4186)-(R4186)*(R4186))-(S4186)*((S4186)*(Q4186)-(R4186)*(T4186))+(T4186)*((S4186)*(R4186)-(P4186)*(T4186)))</f>
        <v/>
      </c>
      <c r="X4186">
        <f>IF(ABS(W4186)&gt;1E-12,((LTP3!$D$6)*((P4186)*(Q4186)-(R4186)*(R4186))-(S4186)*((U4186)*(Q4186)-(R4186)*(V4186))+(T4186)*((U4186)*(R4186)-(P4186)*(V4186)))/W4186,0)</f>
        <v/>
      </c>
      <c r="Y4186">
        <f>IF(ABS(W4186)&gt;1E-12,((LTP3!$D$5)*((U4186)*(Q4186)-(R4186)*(V4186))-(LTP3!$D$6)*((S4186)*(Q4186)-(R4186)*(T4186))+(T4186)*((S4186)*(V4186)-(U4186)*(T4186)))/W4186,0)</f>
        <v/>
      </c>
      <c r="Z4186">
        <f>IF(ABS(W4186)&gt;1E-12,((LTP3!$D$5)*((P4186)*(V4186)-(U4186)*(R4186))-(S4186)*((S4186)*(V4186)-(U4186)*(T4186))+(LTP3!$D$6)*((S4186)*(R4186)-(P4186)*(T4186)))/W4186,0)</f>
        <v/>
      </c>
      <c r="AA4186">
        <f>LTP3!$D$7-X4186*LTP3!$D$6-Y4186*U4186-Z4186*V4186</f>
        <v/>
      </c>
      <c r="AB4186">
        <f>IF(AND(F4186,ABS(W4186)&gt;1E-12,Y4186&gt;0,Z4186&gt;0),AA4186,1E+300)</f>
        <v/>
      </c>
    </row>
    <row r="4187">
      <c r="A4187">
        <f>$I$4-$B$5/10+$B$5*0/100</f>
        <v/>
      </c>
      <c r="B4187">
        <f>$J$4-$B$5/10+$B$5*7/100</f>
        <v/>
      </c>
      <c r="C4187">
        <f>SUMPRODUCT(Calc!$K$3:$K$22*(Calc!$G$3:$G$22&lt;=A4187))</f>
        <v/>
      </c>
      <c r="D4187">
        <f>SUMPRODUCT(Calc!$K$3:$K$22*(Calc!$G$3:$G$22&gt;A4187)*(Calc!$G$3:$G$22&lt;B4187))</f>
        <v/>
      </c>
      <c r="E4187">
        <f>SUMPRODUCT(Calc!$K$3:$K$22*(Calc!$G$3:$G$22&gt;=B4187))</f>
        <v/>
      </c>
      <c r="F4187">
        <f>AND(k_n&gt;=5,B4187&gt;A4187+1E-9,C4187&gt;=2,D4187&gt;=1,E4187&gt;=2)</f>
        <v/>
      </c>
      <c r="G4187">
        <f>SUMPRODUCT(Calc!$K$3:$K$22*(Calc!$G$3:$G$22&gt;A4187)*(Calc!$G$3:$G$22-A4187))</f>
        <v/>
      </c>
      <c r="H4187">
        <f>SUMPRODUCT(Calc!$K$3:$K$22*(Calc!$G$3:$G$22&gt;B4187)*(Calc!$G$3:$G$22-B4187))</f>
        <v/>
      </c>
      <c r="I4187">
        <f>SUMPRODUCT(Calc!$K$3:$K$22*(Calc!$G$3:$G$22&gt;A4187)*(Calc!$G$3:$G$22-A4187)^2)</f>
        <v/>
      </c>
      <c r="J4187">
        <f>SUMPRODUCT(Calc!$K$3:$K$22*(Calc!$G$3:$G$22&gt;B4187)*(Calc!$G$3:$G$22-B4187)^2)</f>
        <v/>
      </c>
      <c r="K4187">
        <f>SUMPRODUCT(Calc!$K$3:$K$22*(Calc!$G$3:$G$22&gt;A4187)*(Calc!$G$3:$G$22-A4187)*(Calc!$G$3:$G$22&gt;B4187)*(Calc!$G$3:$G$22-B4187))</f>
        <v/>
      </c>
      <c r="L4187">
        <f>SUMPRODUCT(Calc!$K$3:$K$22*(Calc!$G$3:$G$22&gt;A4187)*(Calc!$G$3:$G$22-A4187)*Calc!$G$3:$G$22)</f>
        <v/>
      </c>
      <c r="M4187">
        <f>SUMPRODUCT(Calc!$K$3:$K$22*(Calc!$G$3:$G$22&gt;B4187)*(Calc!$G$3:$G$22-B4187)*Calc!$G$3:$G$22)</f>
        <v/>
      </c>
      <c r="N4187">
        <f>SUMPRODUCT(Calc!$K$3:$K$22*(Calc!$G$3:$G$22&gt;A4187)*(Calc!$G$3:$G$22-A4187)*Calc!$I$3:$I$22)</f>
        <v/>
      </c>
      <c r="O4187">
        <f>SUMPRODUCT(Calc!$K$3:$K$22*(Calc!$G$3:$G$22&gt;B4187)*(Calc!$G$3:$G$22-B4187)*Calc!$I$3:$I$22)</f>
        <v/>
      </c>
      <c r="P4187">
        <f>I4187-G4187^2/k_n</f>
        <v/>
      </c>
      <c r="Q4187">
        <f>J4187-H4187^2/k_n</f>
        <v/>
      </c>
      <c r="R4187">
        <f>K4187-G4187*H4187/k_n</f>
        <v/>
      </c>
      <c r="S4187">
        <f>L4187-LTP3!$D$3*G4187/k_n</f>
        <v/>
      </c>
      <c r="T4187">
        <f>M4187-LTP3!$D$3*H4187/k_n</f>
        <v/>
      </c>
      <c r="U4187">
        <f>N4187-G4187*LTP3!$D$4/k_n</f>
        <v/>
      </c>
      <c r="V4187">
        <f>O4187-H4187*LTP3!$D$4/k_n</f>
        <v/>
      </c>
      <c r="W4187">
        <f>((LTP3!$D$5)*((P4187)*(Q4187)-(R4187)*(R4187))-(S4187)*((S4187)*(Q4187)-(R4187)*(T4187))+(T4187)*((S4187)*(R4187)-(P4187)*(T4187)))</f>
        <v/>
      </c>
      <c r="X4187">
        <f>IF(ABS(W4187)&gt;1E-12,((LTP3!$D$6)*((P4187)*(Q4187)-(R4187)*(R4187))-(S4187)*((U4187)*(Q4187)-(R4187)*(V4187))+(T4187)*((U4187)*(R4187)-(P4187)*(V4187)))/W4187,0)</f>
        <v/>
      </c>
      <c r="Y4187">
        <f>IF(ABS(W4187)&gt;1E-12,((LTP3!$D$5)*((U4187)*(Q4187)-(R4187)*(V4187))-(LTP3!$D$6)*((S4187)*(Q4187)-(R4187)*(T4187))+(T4187)*((S4187)*(V4187)-(U4187)*(T4187)))/W4187,0)</f>
        <v/>
      </c>
      <c r="Z4187">
        <f>IF(ABS(W4187)&gt;1E-12,((LTP3!$D$5)*((P4187)*(V4187)-(U4187)*(R4187))-(S4187)*((S4187)*(V4187)-(U4187)*(T4187))+(LTP3!$D$6)*((S4187)*(R4187)-(P4187)*(T4187)))/W4187,0)</f>
        <v/>
      </c>
      <c r="AA4187">
        <f>LTP3!$D$7-X4187*LTP3!$D$6-Y4187*U4187-Z4187*V4187</f>
        <v/>
      </c>
      <c r="AB4187">
        <f>IF(AND(F4187,ABS(W4187)&gt;1E-12,Y4187&gt;0,Z4187&gt;0),AA4187,1E+300)</f>
        <v/>
      </c>
    </row>
    <row r="4188">
      <c r="A4188">
        <f>$I$4-$B$5/10+$B$5*0/100</f>
        <v/>
      </c>
      <c r="B4188">
        <f>$J$4-$B$5/10+$B$5*8/100</f>
        <v/>
      </c>
      <c r="C4188">
        <f>SUMPRODUCT(Calc!$K$3:$K$22*(Calc!$G$3:$G$22&lt;=A4188))</f>
        <v/>
      </c>
      <c r="D4188">
        <f>SUMPRODUCT(Calc!$K$3:$K$22*(Calc!$G$3:$G$22&gt;A4188)*(Calc!$G$3:$G$22&lt;B4188))</f>
        <v/>
      </c>
      <c r="E4188">
        <f>SUMPRODUCT(Calc!$K$3:$K$22*(Calc!$G$3:$G$22&gt;=B4188))</f>
        <v/>
      </c>
      <c r="F4188">
        <f>AND(k_n&gt;=5,B4188&gt;A4188+1E-9,C4188&gt;=2,D4188&gt;=1,E4188&gt;=2)</f>
        <v/>
      </c>
      <c r="G4188">
        <f>SUMPRODUCT(Calc!$K$3:$K$22*(Calc!$G$3:$G$22&gt;A4188)*(Calc!$G$3:$G$22-A4188))</f>
        <v/>
      </c>
      <c r="H4188">
        <f>SUMPRODUCT(Calc!$K$3:$K$22*(Calc!$G$3:$G$22&gt;B4188)*(Calc!$G$3:$G$22-B4188))</f>
        <v/>
      </c>
      <c r="I4188">
        <f>SUMPRODUCT(Calc!$K$3:$K$22*(Calc!$G$3:$G$22&gt;A4188)*(Calc!$G$3:$G$22-A4188)^2)</f>
        <v/>
      </c>
      <c r="J4188">
        <f>SUMPRODUCT(Calc!$K$3:$K$22*(Calc!$G$3:$G$22&gt;B4188)*(Calc!$G$3:$G$22-B4188)^2)</f>
        <v/>
      </c>
      <c r="K4188">
        <f>SUMPRODUCT(Calc!$K$3:$K$22*(Calc!$G$3:$G$22&gt;A4188)*(Calc!$G$3:$G$22-A4188)*(Calc!$G$3:$G$22&gt;B4188)*(Calc!$G$3:$G$22-B4188))</f>
        <v/>
      </c>
      <c r="L4188">
        <f>SUMPRODUCT(Calc!$K$3:$K$22*(Calc!$G$3:$G$22&gt;A4188)*(Calc!$G$3:$G$22-A4188)*Calc!$G$3:$G$22)</f>
        <v/>
      </c>
      <c r="M4188">
        <f>SUMPRODUCT(Calc!$K$3:$K$22*(Calc!$G$3:$G$22&gt;B4188)*(Calc!$G$3:$G$22-B4188)*Calc!$G$3:$G$22)</f>
        <v/>
      </c>
      <c r="N4188">
        <f>SUMPRODUCT(Calc!$K$3:$K$22*(Calc!$G$3:$G$22&gt;A4188)*(Calc!$G$3:$G$22-A4188)*Calc!$I$3:$I$22)</f>
        <v/>
      </c>
      <c r="O4188">
        <f>SUMPRODUCT(Calc!$K$3:$K$22*(Calc!$G$3:$G$22&gt;B4188)*(Calc!$G$3:$G$22-B4188)*Calc!$I$3:$I$22)</f>
        <v/>
      </c>
      <c r="P4188">
        <f>I4188-G4188^2/k_n</f>
        <v/>
      </c>
      <c r="Q4188">
        <f>J4188-H4188^2/k_n</f>
        <v/>
      </c>
      <c r="R4188">
        <f>K4188-G4188*H4188/k_n</f>
        <v/>
      </c>
      <c r="S4188">
        <f>L4188-LTP3!$D$3*G4188/k_n</f>
        <v/>
      </c>
      <c r="T4188">
        <f>M4188-LTP3!$D$3*H4188/k_n</f>
        <v/>
      </c>
      <c r="U4188">
        <f>N4188-G4188*LTP3!$D$4/k_n</f>
        <v/>
      </c>
      <c r="V4188">
        <f>O4188-H4188*LTP3!$D$4/k_n</f>
        <v/>
      </c>
      <c r="W4188">
        <f>((LTP3!$D$5)*((P4188)*(Q4188)-(R4188)*(R4188))-(S4188)*((S4188)*(Q4188)-(R4188)*(T4188))+(T4188)*((S4188)*(R4188)-(P4188)*(T4188)))</f>
        <v/>
      </c>
      <c r="X4188">
        <f>IF(ABS(W4188)&gt;1E-12,((LTP3!$D$6)*((P4188)*(Q4188)-(R4188)*(R4188))-(S4188)*((U4188)*(Q4188)-(R4188)*(V4188))+(T4188)*((U4188)*(R4188)-(P4188)*(V4188)))/W4188,0)</f>
        <v/>
      </c>
      <c r="Y4188">
        <f>IF(ABS(W4188)&gt;1E-12,((LTP3!$D$5)*((U4188)*(Q4188)-(R4188)*(V4188))-(LTP3!$D$6)*((S4188)*(Q4188)-(R4188)*(T4188))+(T4188)*((S4188)*(V4188)-(U4188)*(T4188)))/W4188,0)</f>
        <v/>
      </c>
      <c r="Z4188">
        <f>IF(ABS(W4188)&gt;1E-12,((LTP3!$D$5)*((P4188)*(V4188)-(U4188)*(R4188))-(S4188)*((S4188)*(V4188)-(U4188)*(T4188))+(LTP3!$D$6)*((S4188)*(R4188)-(P4188)*(T4188)))/W4188,0)</f>
        <v/>
      </c>
      <c r="AA4188">
        <f>LTP3!$D$7-X4188*LTP3!$D$6-Y4188*U4188-Z4188*V4188</f>
        <v/>
      </c>
      <c r="AB4188">
        <f>IF(AND(F4188,ABS(W4188)&gt;1E-12,Y4188&gt;0,Z4188&gt;0),AA4188,1E+300)</f>
        <v/>
      </c>
    </row>
    <row r="4189">
      <c r="A4189">
        <f>$I$4-$B$5/10+$B$5*0/100</f>
        <v/>
      </c>
      <c r="B4189">
        <f>$J$4-$B$5/10+$B$5*9/100</f>
        <v/>
      </c>
      <c r="C4189">
        <f>SUMPRODUCT(Calc!$K$3:$K$22*(Calc!$G$3:$G$22&lt;=A4189))</f>
        <v/>
      </c>
      <c r="D4189">
        <f>SUMPRODUCT(Calc!$K$3:$K$22*(Calc!$G$3:$G$22&gt;A4189)*(Calc!$G$3:$G$22&lt;B4189))</f>
        <v/>
      </c>
      <c r="E4189">
        <f>SUMPRODUCT(Calc!$K$3:$K$22*(Calc!$G$3:$G$22&gt;=B4189))</f>
        <v/>
      </c>
      <c r="F4189">
        <f>AND(k_n&gt;=5,B4189&gt;A4189+1E-9,C4189&gt;=2,D4189&gt;=1,E4189&gt;=2)</f>
        <v/>
      </c>
      <c r="G4189">
        <f>SUMPRODUCT(Calc!$K$3:$K$22*(Calc!$G$3:$G$22&gt;A4189)*(Calc!$G$3:$G$22-A4189))</f>
        <v/>
      </c>
      <c r="H4189">
        <f>SUMPRODUCT(Calc!$K$3:$K$22*(Calc!$G$3:$G$22&gt;B4189)*(Calc!$G$3:$G$22-B4189))</f>
        <v/>
      </c>
      <c r="I4189">
        <f>SUMPRODUCT(Calc!$K$3:$K$22*(Calc!$G$3:$G$22&gt;A4189)*(Calc!$G$3:$G$22-A4189)^2)</f>
        <v/>
      </c>
      <c r="J4189">
        <f>SUMPRODUCT(Calc!$K$3:$K$22*(Calc!$G$3:$G$22&gt;B4189)*(Calc!$G$3:$G$22-B4189)^2)</f>
        <v/>
      </c>
      <c r="K4189">
        <f>SUMPRODUCT(Calc!$K$3:$K$22*(Calc!$G$3:$G$22&gt;A4189)*(Calc!$G$3:$G$22-A4189)*(Calc!$G$3:$G$22&gt;B4189)*(Calc!$G$3:$G$22-B4189))</f>
        <v/>
      </c>
      <c r="L4189">
        <f>SUMPRODUCT(Calc!$K$3:$K$22*(Calc!$G$3:$G$22&gt;A4189)*(Calc!$G$3:$G$22-A4189)*Calc!$G$3:$G$22)</f>
        <v/>
      </c>
      <c r="M4189">
        <f>SUMPRODUCT(Calc!$K$3:$K$22*(Calc!$G$3:$G$22&gt;B4189)*(Calc!$G$3:$G$22-B4189)*Calc!$G$3:$G$22)</f>
        <v/>
      </c>
      <c r="N4189">
        <f>SUMPRODUCT(Calc!$K$3:$K$22*(Calc!$G$3:$G$22&gt;A4189)*(Calc!$G$3:$G$22-A4189)*Calc!$I$3:$I$22)</f>
        <v/>
      </c>
      <c r="O4189">
        <f>SUMPRODUCT(Calc!$K$3:$K$22*(Calc!$G$3:$G$22&gt;B4189)*(Calc!$G$3:$G$22-B4189)*Calc!$I$3:$I$22)</f>
        <v/>
      </c>
      <c r="P4189">
        <f>I4189-G4189^2/k_n</f>
        <v/>
      </c>
      <c r="Q4189">
        <f>J4189-H4189^2/k_n</f>
        <v/>
      </c>
      <c r="R4189">
        <f>K4189-G4189*H4189/k_n</f>
        <v/>
      </c>
      <c r="S4189">
        <f>L4189-LTP3!$D$3*G4189/k_n</f>
        <v/>
      </c>
      <c r="T4189">
        <f>M4189-LTP3!$D$3*H4189/k_n</f>
        <v/>
      </c>
      <c r="U4189">
        <f>N4189-G4189*LTP3!$D$4/k_n</f>
        <v/>
      </c>
      <c r="V4189">
        <f>O4189-H4189*LTP3!$D$4/k_n</f>
        <v/>
      </c>
      <c r="W4189">
        <f>((LTP3!$D$5)*((P4189)*(Q4189)-(R4189)*(R4189))-(S4189)*((S4189)*(Q4189)-(R4189)*(T4189))+(T4189)*((S4189)*(R4189)-(P4189)*(T4189)))</f>
        <v/>
      </c>
      <c r="X4189">
        <f>IF(ABS(W4189)&gt;1E-12,((LTP3!$D$6)*((P4189)*(Q4189)-(R4189)*(R4189))-(S4189)*((U4189)*(Q4189)-(R4189)*(V4189))+(T4189)*((U4189)*(R4189)-(P4189)*(V4189)))/W4189,0)</f>
        <v/>
      </c>
      <c r="Y4189">
        <f>IF(ABS(W4189)&gt;1E-12,((LTP3!$D$5)*((U4189)*(Q4189)-(R4189)*(V4189))-(LTP3!$D$6)*((S4189)*(Q4189)-(R4189)*(T4189))+(T4189)*((S4189)*(V4189)-(U4189)*(T4189)))/W4189,0)</f>
        <v/>
      </c>
      <c r="Z4189">
        <f>IF(ABS(W4189)&gt;1E-12,((LTP3!$D$5)*((P4189)*(V4189)-(U4189)*(R4189))-(S4189)*((S4189)*(V4189)-(U4189)*(T4189))+(LTP3!$D$6)*((S4189)*(R4189)-(P4189)*(T4189)))/W4189,0)</f>
        <v/>
      </c>
      <c r="AA4189">
        <f>LTP3!$D$7-X4189*LTP3!$D$6-Y4189*U4189-Z4189*V4189</f>
        <v/>
      </c>
      <c r="AB4189">
        <f>IF(AND(F4189,ABS(W4189)&gt;1E-12,Y4189&gt;0,Z4189&gt;0),AA4189,1E+300)</f>
        <v/>
      </c>
    </row>
    <row r="4190">
      <c r="A4190">
        <f>$I$4-$B$5/10+$B$5*0/100</f>
        <v/>
      </c>
      <c r="B4190">
        <f>$J$4-$B$5/10+$B$5*10/100</f>
        <v/>
      </c>
      <c r="C4190">
        <f>SUMPRODUCT(Calc!$K$3:$K$22*(Calc!$G$3:$G$22&lt;=A4190))</f>
        <v/>
      </c>
      <c r="D4190">
        <f>SUMPRODUCT(Calc!$K$3:$K$22*(Calc!$G$3:$G$22&gt;A4190)*(Calc!$G$3:$G$22&lt;B4190))</f>
        <v/>
      </c>
      <c r="E4190">
        <f>SUMPRODUCT(Calc!$K$3:$K$22*(Calc!$G$3:$G$22&gt;=B4190))</f>
        <v/>
      </c>
      <c r="F4190">
        <f>AND(k_n&gt;=5,B4190&gt;A4190+1E-9,C4190&gt;=2,D4190&gt;=1,E4190&gt;=2)</f>
        <v/>
      </c>
      <c r="G4190">
        <f>SUMPRODUCT(Calc!$K$3:$K$22*(Calc!$G$3:$G$22&gt;A4190)*(Calc!$G$3:$G$22-A4190))</f>
        <v/>
      </c>
      <c r="H4190">
        <f>SUMPRODUCT(Calc!$K$3:$K$22*(Calc!$G$3:$G$22&gt;B4190)*(Calc!$G$3:$G$22-B4190))</f>
        <v/>
      </c>
      <c r="I4190">
        <f>SUMPRODUCT(Calc!$K$3:$K$22*(Calc!$G$3:$G$22&gt;A4190)*(Calc!$G$3:$G$22-A4190)^2)</f>
        <v/>
      </c>
      <c r="J4190">
        <f>SUMPRODUCT(Calc!$K$3:$K$22*(Calc!$G$3:$G$22&gt;B4190)*(Calc!$G$3:$G$22-B4190)^2)</f>
        <v/>
      </c>
      <c r="K4190">
        <f>SUMPRODUCT(Calc!$K$3:$K$22*(Calc!$G$3:$G$22&gt;A4190)*(Calc!$G$3:$G$22-A4190)*(Calc!$G$3:$G$22&gt;B4190)*(Calc!$G$3:$G$22-B4190))</f>
        <v/>
      </c>
      <c r="L4190">
        <f>SUMPRODUCT(Calc!$K$3:$K$22*(Calc!$G$3:$G$22&gt;A4190)*(Calc!$G$3:$G$22-A4190)*Calc!$G$3:$G$22)</f>
        <v/>
      </c>
      <c r="M4190">
        <f>SUMPRODUCT(Calc!$K$3:$K$22*(Calc!$G$3:$G$22&gt;B4190)*(Calc!$G$3:$G$22-B4190)*Calc!$G$3:$G$22)</f>
        <v/>
      </c>
      <c r="N4190">
        <f>SUMPRODUCT(Calc!$K$3:$K$22*(Calc!$G$3:$G$22&gt;A4190)*(Calc!$G$3:$G$22-A4190)*Calc!$I$3:$I$22)</f>
        <v/>
      </c>
      <c r="O4190">
        <f>SUMPRODUCT(Calc!$K$3:$K$22*(Calc!$G$3:$G$22&gt;B4190)*(Calc!$G$3:$G$22-B4190)*Calc!$I$3:$I$22)</f>
        <v/>
      </c>
      <c r="P4190">
        <f>I4190-G4190^2/k_n</f>
        <v/>
      </c>
      <c r="Q4190">
        <f>J4190-H4190^2/k_n</f>
        <v/>
      </c>
      <c r="R4190">
        <f>K4190-G4190*H4190/k_n</f>
        <v/>
      </c>
      <c r="S4190">
        <f>L4190-LTP3!$D$3*G4190/k_n</f>
        <v/>
      </c>
      <c r="T4190">
        <f>M4190-LTP3!$D$3*H4190/k_n</f>
        <v/>
      </c>
      <c r="U4190">
        <f>N4190-G4190*LTP3!$D$4/k_n</f>
        <v/>
      </c>
      <c r="V4190">
        <f>O4190-H4190*LTP3!$D$4/k_n</f>
        <v/>
      </c>
      <c r="W4190">
        <f>((LTP3!$D$5)*((P4190)*(Q4190)-(R4190)*(R4190))-(S4190)*((S4190)*(Q4190)-(R4190)*(T4190))+(T4190)*((S4190)*(R4190)-(P4190)*(T4190)))</f>
        <v/>
      </c>
      <c r="X4190">
        <f>IF(ABS(W4190)&gt;1E-12,((LTP3!$D$6)*((P4190)*(Q4190)-(R4190)*(R4190))-(S4190)*((U4190)*(Q4190)-(R4190)*(V4190))+(T4190)*((U4190)*(R4190)-(P4190)*(V4190)))/W4190,0)</f>
        <v/>
      </c>
      <c r="Y4190">
        <f>IF(ABS(W4190)&gt;1E-12,((LTP3!$D$5)*((U4190)*(Q4190)-(R4190)*(V4190))-(LTP3!$D$6)*((S4190)*(Q4190)-(R4190)*(T4190))+(T4190)*((S4190)*(V4190)-(U4190)*(T4190)))/W4190,0)</f>
        <v/>
      </c>
      <c r="Z4190">
        <f>IF(ABS(W4190)&gt;1E-12,((LTP3!$D$5)*((P4190)*(V4190)-(U4190)*(R4190))-(S4190)*((S4190)*(V4190)-(U4190)*(T4190))+(LTP3!$D$6)*((S4190)*(R4190)-(P4190)*(T4190)))/W4190,0)</f>
        <v/>
      </c>
      <c r="AA4190">
        <f>LTP3!$D$7-X4190*LTP3!$D$6-Y4190*U4190-Z4190*V4190</f>
        <v/>
      </c>
      <c r="AB4190">
        <f>IF(AND(F4190,ABS(W4190)&gt;1E-12,Y4190&gt;0,Z4190&gt;0),AA4190,1E+300)</f>
        <v/>
      </c>
    </row>
    <row r="4191">
      <c r="A4191">
        <f>$I$4-$B$5/10+$B$5*0/100</f>
        <v/>
      </c>
      <c r="B4191">
        <f>$J$4-$B$5/10+$B$5*11/100</f>
        <v/>
      </c>
      <c r="C4191">
        <f>SUMPRODUCT(Calc!$K$3:$K$22*(Calc!$G$3:$G$22&lt;=A4191))</f>
        <v/>
      </c>
      <c r="D4191">
        <f>SUMPRODUCT(Calc!$K$3:$K$22*(Calc!$G$3:$G$22&gt;A4191)*(Calc!$G$3:$G$22&lt;B4191))</f>
        <v/>
      </c>
      <c r="E4191">
        <f>SUMPRODUCT(Calc!$K$3:$K$22*(Calc!$G$3:$G$22&gt;=B4191))</f>
        <v/>
      </c>
      <c r="F4191">
        <f>AND(k_n&gt;=5,B4191&gt;A4191+1E-9,C4191&gt;=2,D4191&gt;=1,E4191&gt;=2)</f>
        <v/>
      </c>
      <c r="G4191">
        <f>SUMPRODUCT(Calc!$K$3:$K$22*(Calc!$G$3:$G$22&gt;A4191)*(Calc!$G$3:$G$22-A4191))</f>
        <v/>
      </c>
      <c r="H4191">
        <f>SUMPRODUCT(Calc!$K$3:$K$22*(Calc!$G$3:$G$22&gt;B4191)*(Calc!$G$3:$G$22-B4191))</f>
        <v/>
      </c>
      <c r="I4191">
        <f>SUMPRODUCT(Calc!$K$3:$K$22*(Calc!$G$3:$G$22&gt;A4191)*(Calc!$G$3:$G$22-A4191)^2)</f>
        <v/>
      </c>
      <c r="J4191">
        <f>SUMPRODUCT(Calc!$K$3:$K$22*(Calc!$G$3:$G$22&gt;B4191)*(Calc!$G$3:$G$22-B4191)^2)</f>
        <v/>
      </c>
      <c r="K4191">
        <f>SUMPRODUCT(Calc!$K$3:$K$22*(Calc!$G$3:$G$22&gt;A4191)*(Calc!$G$3:$G$22-A4191)*(Calc!$G$3:$G$22&gt;B4191)*(Calc!$G$3:$G$22-B4191))</f>
        <v/>
      </c>
      <c r="L4191">
        <f>SUMPRODUCT(Calc!$K$3:$K$22*(Calc!$G$3:$G$22&gt;A4191)*(Calc!$G$3:$G$22-A4191)*Calc!$G$3:$G$22)</f>
        <v/>
      </c>
      <c r="M4191">
        <f>SUMPRODUCT(Calc!$K$3:$K$22*(Calc!$G$3:$G$22&gt;B4191)*(Calc!$G$3:$G$22-B4191)*Calc!$G$3:$G$22)</f>
        <v/>
      </c>
      <c r="N4191">
        <f>SUMPRODUCT(Calc!$K$3:$K$22*(Calc!$G$3:$G$22&gt;A4191)*(Calc!$G$3:$G$22-A4191)*Calc!$I$3:$I$22)</f>
        <v/>
      </c>
      <c r="O4191">
        <f>SUMPRODUCT(Calc!$K$3:$K$22*(Calc!$G$3:$G$22&gt;B4191)*(Calc!$G$3:$G$22-B4191)*Calc!$I$3:$I$22)</f>
        <v/>
      </c>
      <c r="P4191">
        <f>I4191-G4191^2/k_n</f>
        <v/>
      </c>
      <c r="Q4191">
        <f>J4191-H4191^2/k_n</f>
        <v/>
      </c>
      <c r="R4191">
        <f>K4191-G4191*H4191/k_n</f>
        <v/>
      </c>
      <c r="S4191">
        <f>L4191-LTP3!$D$3*G4191/k_n</f>
        <v/>
      </c>
      <c r="T4191">
        <f>M4191-LTP3!$D$3*H4191/k_n</f>
        <v/>
      </c>
      <c r="U4191">
        <f>N4191-G4191*LTP3!$D$4/k_n</f>
        <v/>
      </c>
      <c r="V4191">
        <f>O4191-H4191*LTP3!$D$4/k_n</f>
        <v/>
      </c>
      <c r="W4191">
        <f>((LTP3!$D$5)*((P4191)*(Q4191)-(R4191)*(R4191))-(S4191)*((S4191)*(Q4191)-(R4191)*(T4191))+(T4191)*((S4191)*(R4191)-(P4191)*(T4191)))</f>
        <v/>
      </c>
      <c r="X4191">
        <f>IF(ABS(W4191)&gt;1E-12,((LTP3!$D$6)*((P4191)*(Q4191)-(R4191)*(R4191))-(S4191)*((U4191)*(Q4191)-(R4191)*(V4191))+(T4191)*((U4191)*(R4191)-(P4191)*(V4191)))/W4191,0)</f>
        <v/>
      </c>
      <c r="Y4191">
        <f>IF(ABS(W4191)&gt;1E-12,((LTP3!$D$5)*((U4191)*(Q4191)-(R4191)*(V4191))-(LTP3!$D$6)*((S4191)*(Q4191)-(R4191)*(T4191))+(T4191)*((S4191)*(V4191)-(U4191)*(T4191)))/W4191,0)</f>
        <v/>
      </c>
      <c r="Z4191">
        <f>IF(ABS(W4191)&gt;1E-12,((LTP3!$D$5)*((P4191)*(V4191)-(U4191)*(R4191))-(S4191)*((S4191)*(V4191)-(U4191)*(T4191))+(LTP3!$D$6)*((S4191)*(R4191)-(P4191)*(T4191)))/W4191,0)</f>
        <v/>
      </c>
      <c r="AA4191">
        <f>LTP3!$D$7-X4191*LTP3!$D$6-Y4191*U4191-Z4191*V4191</f>
        <v/>
      </c>
      <c r="AB4191">
        <f>IF(AND(F4191,ABS(W4191)&gt;1E-12,Y4191&gt;0,Z4191&gt;0),AA4191,1E+300)</f>
        <v/>
      </c>
    </row>
    <row r="4192">
      <c r="A4192">
        <f>$I$4-$B$5/10+$B$5*0/100</f>
        <v/>
      </c>
      <c r="B4192">
        <f>$J$4-$B$5/10+$B$5*12/100</f>
        <v/>
      </c>
      <c r="C4192">
        <f>SUMPRODUCT(Calc!$K$3:$K$22*(Calc!$G$3:$G$22&lt;=A4192))</f>
        <v/>
      </c>
      <c r="D4192">
        <f>SUMPRODUCT(Calc!$K$3:$K$22*(Calc!$G$3:$G$22&gt;A4192)*(Calc!$G$3:$G$22&lt;B4192))</f>
        <v/>
      </c>
      <c r="E4192">
        <f>SUMPRODUCT(Calc!$K$3:$K$22*(Calc!$G$3:$G$22&gt;=B4192))</f>
        <v/>
      </c>
      <c r="F4192">
        <f>AND(k_n&gt;=5,B4192&gt;A4192+1E-9,C4192&gt;=2,D4192&gt;=1,E4192&gt;=2)</f>
        <v/>
      </c>
      <c r="G4192">
        <f>SUMPRODUCT(Calc!$K$3:$K$22*(Calc!$G$3:$G$22&gt;A4192)*(Calc!$G$3:$G$22-A4192))</f>
        <v/>
      </c>
      <c r="H4192">
        <f>SUMPRODUCT(Calc!$K$3:$K$22*(Calc!$G$3:$G$22&gt;B4192)*(Calc!$G$3:$G$22-B4192))</f>
        <v/>
      </c>
      <c r="I4192">
        <f>SUMPRODUCT(Calc!$K$3:$K$22*(Calc!$G$3:$G$22&gt;A4192)*(Calc!$G$3:$G$22-A4192)^2)</f>
        <v/>
      </c>
      <c r="J4192">
        <f>SUMPRODUCT(Calc!$K$3:$K$22*(Calc!$G$3:$G$22&gt;B4192)*(Calc!$G$3:$G$22-B4192)^2)</f>
        <v/>
      </c>
      <c r="K4192">
        <f>SUMPRODUCT(Calc!$K$3:$K$22*(Calc!$G$3:$G$22&gt;A4192)*(Calc!$G$3:$G$22-A4192)*(Calc!$G$3:$G$22&gt;B4192)*(Calc!$G$3:$G$22-B4192))</f>
        <v/>
      </c>
      <c r="L4192">
        <f>SUMPRODUCT(Calc!$K$3:$K$22*(Calc!$G$3:$G$22&gt;A4192)*(Calc!$G$3:$G$22-A4192)*Calc!$G$3:$G$22)</f>
        <v/>
      </c>
      <c r="M4192">
        <f>SUMPRODUCT(Calc!$K$3:$K$22*(Calc!$G$3:$G$22&gt;B4192)*(Calc!$G$3:$G$22-B4192)*Calc!$G$3:$G$22)</f>
        <v/>
      </c>
      <c r="N4192">
        <f>SUMPRODUCT(Calc!$K$3:$K$22*(Calc!$G$3:$G$22&gt;A4192)*(Calc!$G$3:$G$22-A4192)*Calc!$I$3:$I$22)</f>
        <v/>
      </c>
      <c r="O4192">
        <f>SUMPRODUCT(Calc!$K$3:$K$22*(Calc!$G$3:$G$22&gt;B4192)*(Calc!$G$3:$G$22-B4192)*Calc!$I$3:$I$22)</f>
        <v/>
      </c>
      <c r="P4192">
        <f>I4192-G4192^2/k_n</f>
        <v/>
      </c>
      <c r="Q4192">
        <f>J4192-H4192^2/k_n</f>
        <v/>
      </c>
      <c r="R4192">
        <f>K4192-G4192*H4192/k_n</f>
        <v/>
      </c>
      <c r="S4192">
        <f>L4192-LTP3!$D$3*G4192/k_n</f>
        <v/>
      </c>
      <c r="T4192">
        <f>M4192-LTP3!$D$3*H4192/k_n</f>
        <v/>
      </c>
      <c r="U4192">
        <f>N4192-G4192*LTP3!$D$4/k_n</f>
        <v/>
      </c>
      <c r="V4192">
        <f>O4192-H4192*LTP3!$D$4/k_n</f>
        <v/>
      </c>
      <c r="W4192">
        <f>((LTP3!$D$5)*((P4192)*(Q4192)-(R4192)*(R4192))-(S4192)*((S4192)*(Q4192)-(R4192)*(T4192))+(T4192)*((S4192)*(R4192)-(P4192)*(T4192)))</f>
        <v/>
      </c>
      <c r="X4192">
        <f>IF(ABS(W4192)&gt;1E-12,((LTP3!$D$6)*((P4192)*(Q4192)-(R4192)*(R4192))-(S4192)*((U4192)*(Q4192)-(R4192)*(V4192))+(T4192)*((U4192)*(R4192)-(P4192)*(V4192)))/W4192,0)</f>
        <v/>
      </c>
      <c r="Y4192">
        <f>IF(ABS(W4192)&gt;1E-12,((LTP3!$D$5)*((U4192)*(Q4192)-(R4192)*(V4192))-(LTP3!$D$6)*((S4192)*(Q4192)-(R4192)*(T4192))+(T4192)*((S4192)*(V4192)-(U4192)*(T4192)))/W4192,0)</f>
        <v/>
      </c>
      <c r="Z4192">
        <f>IF(ABS(W4192)&gt;1E-12,((LTP3!$D$5)*((P4192)*(V4192)-(U4192)*(R4192))-(S4192)*((S4192)*(V4192)-(U4192)*(T4192))+(LTP3!$D$6)*((S4192)*(R4192)-(P4192)*(T4192)))/W4192,0)</f>
        <v/>
      </c>
      <c r="AA4192">
        <f>LTP3!$D$7-X4192*LTP3!$D$6-Y4192*U4192-Z4192*V4192</f>
        <v/>
      </c>
      <c r="AB4192">
        <f>IF(AND(F4192,ABS(W4192)&gt;1E-12,Y4192&gt;0,Z4192&gt;0),AA4192,1E+300)</f>
        <v/>
      </c>
    </row>
    <row r="4193">
      <c r="A4193">
        <f>$I$4-$B$5/10+$B$5*0/100</f>
        <v/>
      </c>
      <c r="B4193">
        <f>$J$4-$B$5/10+$B$5*13/100</f>
        <v/>
      </c>
      <c r="C4193">
        <f>SUMPRODUCT(Calc!$K$3:$K$22*(Calc!$G$3:$G$22&lt;=A4193))</f>
        <v/>
      </c>
      <c r="D4193">
        <f>SUMPRODUCT(Calc!$K$3:$K$22*(Calc!$G$3:$G$22&gt;A4193)*(Calc!$G$3:$G$22&lt;B4193))</f>
        <v/>
      </c>
      <c r="E4193">
        <f>SUMPRODUCT(Calc!$K$3:$K$22*(Calc!$G$3:$G$22&gt;=B4193))</f>
        <v/>
      </c>
      <c r="F4193">
        <f>AND(k_n&gt;=5,B4193&gt;A4193+1E-9,C4193&gt;=2,D4193&gt;=1,E4193&gt;=2)</f>
        <v/>
      </c>
      <c r="G4193">
        <f>SUMPRODUCT(Calc!$K$3:$K$22*(Calc!$G$3:$G$22&gt;A4193)*(Calc!$G$3:$G$22-A4193))</f>
        <v/>
      </c>
      <c r="H4193">
        <f>SUMPRODUCT(Calc!$K$3:$K$22*(Calc!$G$3:$G$22&gt;B4193)*(Calc!$G$3:$G$22-B4193))</f>
        <v/>
      </c>
      <c r="I4193">
        <f>SUMPRODUCT(Calc!$K$3:$K$22*(Calc!$G$3:$G$22&gt;A4193)*(Calc!$G$3:$G$22-A4193)^2)</f>
        <v/>
      </c>
      <c r="J4193">
        <f>SUMPRODUCT(Calc!$K$3:$K$22*(Calc!$G$3:$G$22&gt;B4193)*(Calc!$G$3:$G$22-B4193)^2)</f>
        <v/>
      </c>
      <c r="K4193">
        <f>SUMPRODUCT(Calc!$K$3:$K$22*(Calc!$G$3:$G$22&gt;A4193)*(Calc!$G$3:$G$22-A4193)*(Calc!$G$3:$G$22&gt;B4193)*(Calc!$G$3:$G$22-B4193))</f>
        <v/>
      </c>
      <c r="L4193">
        <f>SUMPRODUCT(Calc!$K$3:$K$22*(Calc!$G$3:$G$22&gt;A4193)*(Calc!$G$3:$G$22-A4193)*Calc!$G$3:$G$22)</f>
        <v/>
      </c>
      <c r="M4193">
        <f>SUMPRODUCT(Calc!$K$3:$K$22*(Calc!$G$3:$G$22&gt;B4193)*(Calc!$G$3:$G$22-B4193)*Calc!$G$3:$G$22)</f>
        <v/>
      </c>
      <c r="N4193">
        <f>SUMPRODUCT(Calc!$K$3:$K$22*(Calc!$G$3:$G$22&gt;A4193)*(Calc!$G$3:$G$22-A4193)*Calc!$I$3:$I$22)</f>
        <v/>
      </c>
      <c r="O4193">
        <f>SUMPRODUCT(Calc!$K$3:$K$22*(Calc!$G$3:$G$22&gt;B4193)*(Calc!$G$3:$G$22-B4193)*Calc!$I$3:$I$22)</f>
        <v/>
      </c>
      <c r="P4193">
        <f>I4193-G4193^2/k_n</f>
        <v/>
      </c>
      <c r="Q4193">
        <f>J4193-H4193^2/k_n</f>
        <v/>
      </c>
      <c r="R4193">
        <f>K4193-G4193*H4193/k_n</f>
        <v/>
      </c>
      <c r="S4193">
        <f>L4193-LTP3!$D$3*G4193/k_n</f>
        <v/>
      </c>
      <c r="T4193">
        <f>M4193-LTP3!$D$3*H4193/k_n</f>
        <v/>
      </c>
      <c r="U4193">
        <f>N4193-G4193*LTP3!$D$4/k_n</f>
        <v/>
      </c>
      <c r="V4193">
        <f>O4193-H4193*LTP3!$D$4/k_n</f>
        <v/>
      </c>
      <c r="W4193">
        <f>((LTP3!$D$5)*((P4193)*(Q4193)-(R4193)*(R4193))-(S4193)*((S4193)*(Q4193)-(R4193)*(T4193))+(T4193)*((S4193)*(R4193)-(P4193)*(T4193)))</f>
        <v/>
      </c>
      <c r="X4193">
        <f>IF(ABS(W4193)&gt;1E-12,((LTP3!$D$6)*((P4193)*(Q4193)-(R4193)*(R4193))-(S4193)*((U4193)*(Q4193)-(R4193)*(V4193))+(T4193)*((U4193)*(R4193)-(P4193)*(V4193)))/W4193,0)</f>
        <v/>
      </c>
      <c r="Y4193">
        <f>IF(ABS(W4193)&gt;1E-12,((LTP3!$D$5)*((U4193)*(Q4193)-(R4193)*(V4193))-(LTP3!$D$6)*((S4193)*(Q4193)-(R4193)*(T4193))+(T4193)*((S4193)*(V4193)-(U4193)*(T4193)))/W4193,0)</f>
        <v/>
      </c>
      <c r="Z4193">
        <f>IF(ABS(W4193)&gt;1E-12,((LTP3!$D$5)*((P4193)*(V4193)-(U4193)*(R4193))-(S4193)*((S4193)*(V4193)-(U4193)*(T4193))+(LTP3!$D$6)*((S4193)*(R4193)-(P4193)*(T4193)))/W4193,0)</f>
        <v/>
      </c>
      <c r="AA4193">
        <f>LTP3!$D$7-X4193*LTP3!$D$6-Y4193*U4193-Z4193*V4193</f>
        <v/>
      </c>
      <c r="AB4193">
        <f>IF(AND(F4193,ABS(W4193)&gt;1E-12,Y4193&gt;0,Z4193&gt;0),AA4193,1E+300)</f>
        <v/>
      </c>
    </row>
    <row r="4194">
      <c r="A4194">
        <f>$I$4-$B$5/10+$B$5*0/100</f>
        <v/>
      </c>
      <c r="B4194">
        <f>$J$4-$B$5/10+$B$5*14/100</f>
        <v/>
      </c>
      <c r="C4194">
        <f>SUMPRODUCT(Calc!$K$3:$K$22*(Calc!$G$3:$G$22&lt;=A4194))</f>
        <v/>
      </c>
      <c r="D4194">
        <f>SUMPRODUCT(Calc!$K$3:$K$22*(Calc!$G$3:$G$22&gt;A4194)*(Calc!$G$3:$G$22&lt;B4194))</f>
        <v/>
      </c>
      <c r="E4194">
        <f>SUMPRODUCT(Calc!$K$3:$K$22*(Calc!$G$3:$G$22&gt;=B4194))</f>
        <v/>
      </c>
      <c r="F4194">
        <f>AND(k_n&gt;=5,B4194&gt;A4194+1E-9,C4194&gt;=2,D4194&gt;=1,E4194&gt;=2)</f>
        <v/>
      </c>
      <c r="G4194">
        <f>SUMPRODUCT(Calc!$K$3:$K$22*(Calc!$G$3:$G$22&gt;A4194)*(Calc!$G$3:$G$22-A4194))</f>
        <v/>
      </c>
      <c r="H4194">
        <f>SUMPRODUCT(Calc!$K$3:$K$22*(Calc!$G$3:$G$22&gt;B4194)*(Calc!$G$3:$G$22-B4194))</f>
        <v/>
      </c>
      <c r="I4194">
        <f>SUMPRODUCT(Calc!$K$3:$K$22*(Calc!$G$3:$G$22&gt;A4194)*(Calc!$G$3:$G$22-A4194)^2)</f>
        <v/>
      </c>
      <c r="J4194">
        <f>SUMPRODUCT(Calc!$K$3:$K$22*(Calc!$G$3:$G$22&gt;B4194)*(Calc!$G$3:$G$22-B4194)^2)</f>
        <v/>
      </c>
      <c r="K4194">
        <f>SUMPRODUCT(Calc!$K$3:$K$22*(Calc!$G$3:$G$22&gt;A4194)*(Calc!$G$3:$G$22-A4194)*(Calc!$G$3:$G$22&gt;B4194)*(Calc!$G$3:$G$22-B4194))</f>
        <v/>
      </c>
      <c r="L4194">
        <f>SUMPRODUCT(Calc!$K$3:$K$22*(Calc!$G$3:$G$22&gt;A4194)*(Calc!$G$3:$G$22-A4194)*Calc!$G$3:$G$22)</f>
        <v/>
      </c>
      <c r="M4194">
        <f>SUMPRODUCT(Calc!$K$3:$K$22*(Calc!$G$3:$G$22&gt;B4194)*(Calc!$G$3:$G$22-B4194)*Calc!$G$3:$G$22)</f>
        <v/>
      </c>
      <c r="N4194">
        <f>SUMPRODUCT(Calc!$K$3:$K$22*(Calc!$G$3:$G$22&gt;A4194)*(Calc!$G$3:$G$22-A4194)*Calc!$I$3:$I$22)</f>
        <v/>
      </c>
      <c r="O4194">
        <f>SUMPRODUCT(Calc!$K$3:$K$22*(Calc!$G$3:$G$22&gt;B4194)*(Calc!$G$3:$G$22-B4194)*Calc!$I$3:$I$22)</f>
        <v/>
      </c>
      <c r="P4194">
        <f>I4194-G4194^2/k_n</f>
        <v/>
      </c>
      <c r="Q4194">
        <f>J4194-H4194^2/k_n</f>
        <v/>
      </c>
      <c r="R4194">
        <f>K4194-G4194*H4194/k_n</f>
        <v/>
      </c>
      <c r="S4194">
        <f>L4194-LTP3!$D$3*G4194/k_n</f>
        <v/>
      </c>
      <c r="T4194">
        <f>M4194-LTP3!$D$3*H4194/k_n</f>
        <v/>
      </c>
      <c r="U4194">
        <f>N4194-G4194*LTP3!$D$4/k_n</f>
        <v/>
      </c>
      <c r="V4194">
        <f>O4194-H4194*LTP3!$D$4/k_n</f>
        <v/>
      </c>
      <c r="W4194">
        <f>((LTP3!$D$5)*((P4194)*(Q4194)-(R4194)*(R4194))-(S4194)*((S4194)*(Q4194)-(R4194)*(T4194))+(T4194)*((S4194)*(R4194)-(P4194)*(T4194)))</f>
        <v/>
      </c>
      <c r="X4194">
        <f>IF(ABS(W4194)&gt;1E-12,((LTP3!$D$6)*((P4194)*(Q4194)-(R4194)*(R4194))-(S4194)*((U4194)*(Q4194)-(R4194)*(V4194))+(T4194)*((U4194)*(R4194)-(P4194)*(V4194)))/W4194,0)</f>
        <v/>
      </c>
      <c r="Y4194">
        <f>IF(ABS(W4194)&gt;1E-12,((LTP3!$D$5)*((U4194)*(Q4194)-(R4194)*(V4194))-(LTP3!$D$6)*((S4194)*(Q4194)-(R4194)*(T4194))+(T4194)*((S4194)*(V4194)-(U4194)*(T4194)))/W4194,0)</f>
        <v/>
      </c>
      <c r="Z4194">
        <f>IF(ABS(W4194)&gt;1E-12,((LTP3!$D$5)*((P4194)*(V4194)-(U4194)*(R4194))-(S4194)*((S4194)*(V4194)-(U4194)*(T4194))+(LTP3!$D$6)*((S4194)*(R4194)-(P4194)*(T4194)))/W4194,0)</f>
        <v/>
      </c>
      <c r="AA4194">
        <f>LTP3!$D$7-X4194*LTP3!$D$6-Y4194*U4194-Z4194*V4194</f>
        <v/>
      </c>
      <c r="AB4194">
        <f>IF(AND(F4194,ABS(W4194)&gt;1E-12,Y4194&gt;0,Z4194&gt;0),AA4194,1E+300)</f>
        <v/>
      </c>
    </row>
    <row r="4195">
      <c r="A4195">
        <f>$I$4-$B$5/10+$B$5*0/100</f>
        <v/>
      </c>
      <c r="B4195">
        <f>$J$4-$B$5/10+$B$5*15/100</f>
        <v/>
      </c>
      <c r="C4195">
        <f>SUMPRODUCT(Calc!$K$3:$K$22*(Calc!$G$3:$G$22&lt;=A4195))</f>
        <v/>
      </c>
      <c r="D4195">
        <f>SUMPRODUCT(Calc!$K$3:$K$22*(Calc!$G$3:$G$22&gt;A4195)*(Calc!$G$3:$G$22&lt;B4195))</f>
        <v/>
      </c>
      <c r="E4195">
        <f>SUMPRODUCT(Calc!$K$3:$K$22*(Calc!$G$3:$G$22&gt;=B4195))</f>
        <v/>
      </c>
      <c r="F4195">
        <f>AND(k_n&gt;=5,B4195&gt;A4195+1E-9,C4195&gt;=2,D4195&gt;=1,E4195&gt;=2)</f>
        <v/>
      </c>
      <c r="G4195">
        <f>SUMPRODUCT(Calc!$K$3:$K$22*(Calc!$G$3:$G$22&gt;A4195)*(Calc!$G$3:$G$22-A4195))</f>
        <v/>
      </c>
      <c r="H4195">
        <f>SUMPRODUCT(Calc!$K$3:$K$22*(Calc!$G$3:$G$22&gt;B4195)*(Calc!$G$3:$G$22-B4195))</f>
        <v/>
      </c>
      <c r="I4195">
        <f>SUMPRODUCT(Calc!$K$3:$K$22*(Calc!$G$3:$G$22&gt;A4195)*(Calc!$G$3:$G$22-A4195)^2)</f>
        <v/>
      </c>
      <c r="J4195">
        <f>SUMPRODUCT(Calc!$K$3:$K$22*(Calc!$G$3:$G$22&gt;B4195)*(Calc!$G$3:$G$22-B4195)^2)</f>
        <v/>
      </c>
      <c r="K4195">
        <f>SUMPRODUCT(Calc!$K$3:$K$22*(Calc!$G$3:$G$22&gt;A4195)*(Calc!$G$3:$G$22-A4195)*(Calc!$G$3:$G$22&gt;B4195)*(Calc!$G$3:$G$22-B4195))</f>
        <v/>
      </c>
      <c r="L4195">
        <f>SUMPRODUCT(Calc!$K$3:$K$22*(Calc!$G$3:$G$22&gt;A4195)*(Calc!$G$3:$G$22-A4195)*Calc!$G$3:$G$22)</f>
        <v/>
      </c>
      <c r="M4195">
        <f>SUMPRODUCT(Calc!$K$3:$K$22*(Calc!$G$3:$G$22&gt;B4195)*(Calc!$G$3:$G$22-B4195)*Calc!$G$3:$G$22)</f>
        <v/>
      </c>
      <c r="N4195">
        <f>SUMPRODUCT(Calc!$K$3:$K$22*(Calc!$G$3:$G$22&gt;A4195)*(Calc!$G$3:$G$22-A4195)*Calc!$I$3:$I$22)</f>
        <v/>
      </c>
      <c r="O4195">
        <f>SUMPRODUCT(Calc!$K$3:$K$22*(Calc!$G$3:$G$22&gt;B4195)*(Calc!$G$3:$G$22-B4195)*Calc!$I$3:$I$22)</f>
        <v/>
      </c>
      <c r="P4195">
        <f>I4195-G4195^2/k_n</f>
        <v/>
      </c>
      <c r="Q4195">
        <f>J4195-H4195^2/k_n</f>
        <v/>
      </c>
      <c r="R4195">
        <f>K4195-G4195*H4195/k_n</f>
        <v/>
      </c>
      <c r="S4195">
        <f>L4195-LTP3!$D$3*G4195/k_n</f>
        <v/>
      </c>
      <c r="T4195">
        <f>M4195-LTP3!$D$3*H4195/k_n</f>
        <v/>
      </c>
      <c r="U4195">
        <f>N4195-G4195*LTP3!$D$4/k_n</f>
        <v/>
      </c>
      <c r="V4195">
        <f>O4195-H4195*LTP3!$D$4/k_n</f>
        <v/>
      </c>
      <c r="W4195">
        <f>((LTP3!$D$5)*((P4195)*(Q4195)-(R4195)*(R4195))-(S4195)*((S4195)*(Q4195)-(R4195)*(T4195))+(T4195)*((S4195)*(R4195)-(P4195)*(T4195)))</f>
        <v/>
      </c>
      <c r="X4195">
        <f>IF(ABS(W4195)&gt;1E-12,((LTP3!$D$6)*((P4195)*(Q4195)-(R4195)*(R4195))-(S4195)*((U4195)*(Q4195)-(R4195)*(V4195))+(T4195)*((U4195)*(R4195)-(P4195)*(V4195)))/W4195,0)</f>
        <v/>
      </c>
      <c r="Y4195">
        <f>IF(ABS(W4195)&gt;1E-12,((LTP3!$D$5)*((U4195)*(Q4195)-(R4195)*(V4195))-(LTP3!$D$6)*((S4195)*(Q4195)-(R4195)*(T4195))+(T4195)*((S4195)*(V4195)-(U4195)*(T4195)))/W4195,0)</f>
        <v/>
      </c>
      <c r="Z4195">
        <f>IF(ABS(W4195)&gt;1E-12,((LTP3!$D$5)*((P4195)*(V4195)-(U4195)*(R4195))-(S4195)*((S4195)*(V4195)-(U4195)*(T4195))+(LTP3!$D$6)*((S4195)*(R4195)-(P4195)*(T4195)))/W4195,0)</f>
        <v/>
      </c>
      <c r="AA4195">
        <f>LTP3!$D$7-X4195*LTP3!$D$6-Y4195*U4195-Z4195*V4195</f>
        <v/>
      </c>
      <c r="AB4195">
        <f>IF(AND(F4195,ABS(W4195)&gt;1E-12,Y4195&gt;0,Z4195&gt;0),AA4195,1E+300)</f>
        <v/>
      </c>
    </row>
    <row r="4196">
      <c r="A4196">
        <f>$I$4-$B$5/10+$B$5*0/100</f>
        <v/>
      </c>
      <c r="B4196">
        <f>$J$4-$B$5/10+$B$5*16/100</f>
        <v/>
      </c>
      <c r="C4196">
        <f>SUMPRODUCT(Calc!$K$3:$K$22*(Calc!$G$3:$G$22&lt;=A4196))</f>
        <v/>
      </c>
      <c r="D4196">
        <f>SUMPRODUCT(Calc!$K$3:$K$22*(Calc!$G$3:$G$22&gt;A4196)*(Calc!$G$3:$G$22&lt;B4196))</f>
        <v/>
      </c>
      <c r="E4196">
        <f>SUMPRODUCT(Calc!$K$3:$K$22*(Calc!$G$3:$G$22&gt;=B4196))</f>
        <v/>
      </c>
      <c r="F4196">
        <f>AND(k_n&gt;=5,B4196&gt;A4196+1E-9,C4196&gt;=2,D4196&gt;=1,E4196&gt;=2)</f>
        <v/>
      </c>
      <c r="G4196">
        <f>SUMPRODUCT(Calc!$K$3:$K$22*(Calc!$G$3:$G$22&gt;A4196)*(Calc!$G$3:$G$22-A4196))</f>
        <v/>
      </c>
      <c r="H4196">
        <f>SUMPRODUCT(Calc!$K$3:$K$22*(Calc!$G$3:$G$22&gt;B4196)*(Calc!$G$3:$G$22-B4196))</f>
        <v/>
      </c>
      <c r="I4196">
        <f>SUMPRODUCT(Calc!$K$3:$K$22*(Calc!$G$3:$G$22&gt;A4196)*(Calc!$G$3:$G$22-A4196)^2)</f>
        <v/>
      </c>
      <c r="J4196">
        <f>SUMPRODUCT(Calc!$K$3:$K$22*(Calc!$G$3:$G$22&gt;B4196)*(Calc!$G$3:$G$22-B4196)^2)</f>
        <v/>
      </c>
      <c r="K4196">
        <f>SUMPRODUCT(Calc!$K$3:$K$22*(Calc!$G$3:$G$22&gt;A4196)*(Calc!$G$3:$G$22-A4196)*(Calc!$G$3:$G$22&gt;B4196)*(Calc!$G$3:$G$22-B4196))</f>
        <v/>
      </c>
      <c r="L4196">
        <f>SUMPRODUCT(Calc!$K$3:$K$22*(Calc!$G$3:$G$22&gt;A4196)*(Calc!$G$3:$G$22-A4196)*Calc!$G$3:$G$22)</f>
        <v/>
      </c>
      <c r="M4196">
        <f>SUMPRODUCT(Calc!$K$3:$K$22*(Calc!$G$3:$G$22&gt;B4196)*(Calc!$G$3:$G$22-B4196)*Calc!$G$3:$G$22)</f>
        <v/>
      </c>
      <c r="N4196">
        <f>SUMPRODUCT(Calc!$K$3:$K$22*(Calc!$G$3:$G$22&gt;A4196)*(Calc!$G$3:$G$22-A4196)*Calc!$I$3:$I$22)</f>
        <v/>
      </c>
      <c r="O4196">
        <f>SUMPRODUCT(Calc!$K$3:$K$22*(Calc!$G$3:$G$22&gt;B4196)*(Calc!$G$3:$G$22-B4196)*Calc!$I$3:$I$22)</f>
        <v/>
      </c>
      <c r="P4196">
        <f>I4196-G4196^2/k_n</f>
        <v/>
      </c>
      <c r="Q4196">
        <f>J4196-H4196^2/k_n</f>
        <v/>
      </c>
      <c r="R4196">
        <f>K4196-G4196*H4196/k_n</f>
        <v/>
      </c>
      <c r="S4196">
        <f>L4196-LTP3!$D$3*G4196/k_n</f>
        <v/>
      </c>
      <c r="T4196">
        <f>M4196-LTP3!$D$3*H4196/k_n</f>
        <v/>
      </c>
      <c r="U4196">
        <f>N4196-G4196*LTP3!$D$4/k_n</f>
        <v/>
      </c>
      <c r="V4196">
        <f>O4196-H4196*LTP3!$D$4/k_n</f>
        <v/>
      </c>
      <c r="W4196">
        <f>((LTP3!$D$5)*((P4196)*(Q4196)-(R4196)*(R4196))-(S4196)*((S4196)*(Q4196)-(R4196)*(T4196))+(T4196)*((S4196)*(R4196)-(P4196)*(T4196)))</f>
        <v/>
      </c>
      <c r="X4196">
        <f>IF(ABS(W4196)&gt;1E-12,((LTP3!$D$6)*((P4196)*(Q4196)-(R4196)*(R4196))-(S4196)*((U4196)*(Q4196)-(R4196)*(V4196))+(T4196)*((U4196)*(R4196)-(P4196)*(V4196)))/W4196,0)</f>
        <v/>
      </c>
      <c r="Y4196">
        <f>IF(ABS(W4196)&gt;1E-12,((LTP3!$D$5)*((U4196)*(Q4196)-(R4196)*(V4196))-(LTP3!$D$6)*((S4196)*(Q4196)-(R4196)*(T4196))+(T4196)*((S4196)*(V4196)-(U4196)*(T4196)))/W4196,0)</f>
        <v/>
      </c>
      <c r="Z4196">
        <f>IF(ABS(W4196)&gt;1E-12,((LTP3!$D$5)*((P4196)*(V4196)-(U4196)*(R4196))-(S4196)*((S4196)*(V4196)-(U4196)*(T4196))+(LTP3!$D$6)*((S4196)*(R4196)-(P4196)*(T4196)))/W4196,0)</f>
        <v/>
      </c>
      <c r="AA4196">
        <f>LTP3!$D$7-X4196*LTP3!$D$6-Y4196*U4196-Z4196*V4196</f>
        <v/>
      </c>
      <c r="AB4196">
        <f>IF(AND(F4196,ABS(W4196)&gt;1E-12,Y4196&gt;0,Z4196&gt;0),AA4196,1E+300)</f>
        <v/>
      </c>
    </row>
    <row r="4197">
      <c r="A4197">
        <f>$I$4-$B$5/10+$B$5*0/100</f>
        <v/>
      </c>
      <c r="B4197">
        <f>$J$4-$B$5/10+$B$5*17/100</f>
        <v/>
      </c>
      <c r="C4197">
        <f>SUMPRODUCT(Calc!$K$3:$K$22*(Calc!$G$3:$G$22&lt;=A4197))</f>
        <v/>
      </c>
      <c r="D4197">
        <f>SUMPRODUCT(Calc!$K$3:$K$22*(Calc!$G$3:$G$22&gt;A4197)*(Calc!$G$3:$G$22&lt;B4197))</f>
        <v/>
      </c>
      <c r="E4197">
        <f>SUMPRODUCT(Calc!$K$3:$K$22*(Calc!$G$3:$G$22&gt;=B4197))</f>
        <v/>
      </c>
      <c r="F4197">
        <f>AND(k_n&gt;=5,B4197&gt;A4197+1E-9,C4197&gt;=2,D4197&gt;=1,E4197&gt;=2)</f>
        <v/>
      </c>
      <c r="G4197">
        <f>SUMPRODUCT(Calc!$K$3:$K$22*(Calc!$G$3:$G$22&gt;A4197)*(Calc!$G$3:$G$22-A4197))</f>
        <v/>
      </c>
      <c r="H4197">
        <f>SUMPRODUCT(Calc!$K$3:$K$22*(Calc!$G$3:$G$22&gt;B4197)*(Calc!$G$3:$G$22-B4197))</f>
        <v/>
      </c>
      <c r="I4197">
        <f>SUMPRODUCT(Calc!$K$3:$K$22*(Calc!$G$3:$G$22&gt;A4197)*(Calc!$G$3:$G$22-A4197)^2)</f>
        <v/>
      </c>
      <c r="J4197">
        <f>SUMPRODUCT(Calc!$K$3:$K$22*(Calc!$G$3:$G$22&gt;B4197)*(Calc!$G$3:$G$22-B4197)^2)</f>
        <v/>
      </c>
      <c r="K4197">
        <f>SUMPRODUCT(Calc!$K$3:$K$22*(Calc!$G$3:$G$22&gt;A4197)*(Calc!$G$3:$G$22-A4197)*(Calc!$G$3:$G$22&gt;B4197)*(Calc!$G$3:$G$22-B4197))</f>
        <v/>
      </c>
      <c r="L4197">
        <f>SUMPRODUCT(Calc!$K$3:$K$22*(Calc!$G$3:$G$22&gt;A4197)*(Calc!$G$3:$G$22-A4197)*Calc!$G$3:$G$22)</f>
        <v/>
      </c>
      <c r="M4197">
        <f>SUMPRODUCT(Calc!$K$3:$K$22*(Calc!$G$3:$G$22&gt;B4197)*(Calc!$G$3:$G$22-B4197)*Calc!$G$3:$G$22)</f>
        <v/>
      </c>
      <c r="N4197">
        <f>SUMPRODUCT(Calc!$K$3:$K$22*(Calc!$G$3:$G$22&gt;A4197)*(Calc!$G$3:$G$22-A4197)*Calc!$I$3:$I$22)</f>
        <v/>
      </c>
      <c r="O4197">
        <f>SUMPRODUCT(Calc!$K$3:$K$22*(Calc!$G$3:$G$22&gt;B4197)*(Calc!$G$3:$G$22-B4197)*Calc!$I$3:$I$22)</f>
        <v/>
      </c>
      <c r="P4197">
        <f>I4197-G4197^2/k_n</f>
        <v/>
      </c>
      <c r="Q4197">
        <f>J4197-H4197^2/k_n</f>
        <v/>
      </c>
      <c r="R4197">
        <f>K4197-G4197*H4197/k_n</f>
        <v/>
      </c>
      <c r="S4197">
        <f>L4197-LTP3!$D$3*G4197/k_n</f>
        <v/>
      </c>
      <c r="T4197">
        <f>M4197-LTP3!$D$3*H4197/k_n</f>
        <v/>
      </c>
      <c r="U4197">
        <f>N4197-G4197*LTP3!$D$4/k_n</f>
        <v/>
      </c>
      <c r="V4197">
        <f>O4197-H4197*LTP3!$D$4/k_n</f>
        <v/>
      </c>
      <c r="W4197">
        <f>((LTP3!$D$5)*((P4197)*(Q4197)-(R4197)*(R4197))-(S4197)*((S4197)*(Q4197)-(R4197)*(T4197))+(T4197)*((S4197)*(R4197)-(P4197)*(T4197)))</f>
        <v/>
      </c>
      <c r="X4197">
        <f>IF(ABS(W4197)&gt;1E-12,((LTP3!$D$6)*((P4197)*(Q4197)-(R4197)*(R4197))-(S4197)*((U4197)*(Q4197)-(R4197)*(V4197))+(T4197)*((U4197)*(R4197)-(P4197)*(V4197)))/W4197,0)</f>
        <v/>
      </c>
      <c r="Y4197">
        <f>IF(ABS(W4197)&gt;1E-12,((LTP3!$D$5)*((U4197)*(Q4197)-(R4197)*(V4197))-(LTP3!$D$6)*((S4197)*(Q4197)-(R4197)*(T4197))+(T4197)*((S4197)*(V4197)-(U4197)*(T4197)))/W4197,0)</f>
        <v/>
      </c>
      <c r="Z4197">
        <f>IF(ABS(W4197)&gt;1E-12,((LTP3!$D$5)*((P4197)*(V4197)-(U4197)*(R4197))-(S4197)*((S4197)*(V4197)-(U4197)*(T4197))+(LTP3!$D$6)*((S4197)*(R4197)-(P4197)*(T4197)))/W4197,0)</f>
        <v/>
      </c>
      <c r="AA4197">
        <f>LTP3!$D$7-X4197*LTP3!$D$6-Y4197*U4197-Z4197*V4197</f>
        <v/>
      </c>
      <c r="AB4197">
        <f>IF(AND(F4197,ABS(W4197)&gt;1E-12,Y4197&gt;0,Z4197&gt;0),AA4197,1E+300)</f>
        <v/>
      </c>
    </row>
    <row r="4198">
      <c r="A4198">
        <f>$I$4-$B$5/10+$B$5*0/100</f>
        <v/>
      </c>
      <c r="B4198">
        <f>$J$4-$B$5/10+$B$5*18/100</f>
        <v/>
      </c>
      <c r="C4198">
        <f>SUMPRODUCT(Calc!$K$3:$K$22*(Calc!$G$3:$G$22&lt;=A4198))</f>
        <v/>
      </c>
      <c r="D4198">
        <f>SUMPRODUCT(Calc!$K$3:$K$22*(Calc!$G$3:$G$22&gt;A4198)*(Calc!$G$3:$G$22&lt;B4198))</f>
        <v/>
      </c>
      <c r="E4198">
        <f>SUMPRODUCT(Calc!$K$3:$K$22*(Calc!$G$3:$G$22&gt;=B4198))</f>
        <v/>
      </c>
      <c r="F4198">
        <f>AND(k_n&gt;=5,B4198&gt;A4198+1E-9,C4198&gt;=2,D4198&gt;=1,E4198&gt;=2)</f>
        <v/>
      </c>
      <c r="G4198">
        <f>SUMPRODUCT(Calc!$K$3:$K$22*(Calc!$G$3:$G$22&gt;A4198)*(Calc!$G$3:$G$22-A4198))</f>
        <v/>
      </c>
      <c r="H4198">
        <f>SUMPRODUCT(Calc!$K$3:$K$22*(Calc!$G$3:$G$22&gt;B4198)*(Calc!$G$3:$G$22-B4198))</f>
        <v/>
      </c>
      <c r="I4198">
        <f>SUMPRODUCT(Calc!$K$3:$K$22*(Calc!$G$3:$G$22&gt;A4198)*(Calc!$G$3:$G$22-A4198)^2)</f>
        <v/>
      </c>
      <c r="J4198">
        <f>SUMPRODUCT(Calc!$K$3:$K$22*(Calc!$G$3:$G$22&gt;B4198)*(Calc!$G$3:$G$22-B4198)^2)</f>
        <v/>
      </c>
      <c r="K4198">
        <f>SUMPRODUCT(Calc!$K$3:$K$22*(Calc!$G$3:$G$22&gt;A4198)*(Calc!$G$3:$G$22-A4198)*(Calc!$G$3:$G$22&gt;B4198)*(Calc!$G$3:$G$22-B4198))</f>
        <v/>
      </c>
      <c r="L4198">
        <f>SUMPRODUCT(Calc!$K$3:$K$22*(Calc!$G$3:$G$22&gt;A4198)*(Calc!$G$3:$G$22-A4198)*Calc!$G$3:$G$22)</f>
        <v/>
      </c>
      <c r="M4198">
        <f>SUMPRODUCT(Calc!$K$3:$K$22*(Calc!$G$3:$G$22&gt;B4198)*(Calc!$G$3:$G$22-B4198)*Calc!$G$3:$G$22)</f>
        <v/>
      </c>
      <c r="N4198">
        <f>SUMPRODUCT(Calc!$K$3:$K$22*(Calc!$G$3:$G$22&gt;A4198)*(Calc!$G$3:$G$22-A4198)*Calc!$I$3:$I$22)</f>
        <v/>
      </c>
      <c r="O4198">
        <f>SUMPRODUCT(Calc!$K$3:$K$22*(Calc!$G$3:$G$22&gt;B4198)*(Calc!$G$3:$G$22-B4198)*Calc!$I$3:$I$22)</f>
        <v/>
      </c>
      <c r="P4198">
        <f>I4198-G4198^2/k_n</f>
        <v/>
      </c>
      <c r="Q4198">
        <f>J4198-H4198^2/k_n</f>
        <v/>
      </c>
      <c r="R4198">
        <f>K4198-G4198*H4198/k_n</f>
        <v/>
      </c>
      <c r="S4198">
        <f>L4198-LTP3!$D$3*G4198/k_n</f>
        <v/>
      </c>
      <c r="T4198">
        <f>M4198-LTP3!$D$3*H4198/k_n</f>
        <v/>
      </c>
      <c r="U4198">
        <f>N4198-G4198*LTP3!$D$4/k_n</f>
        <v/>
      </c>
      <c r="V4198">
        <f>O4198-H4198*LTP3!$D$4/k_n</f>
        <v/>
      </c>
      <c r="W4198">
        <f>((LTP3!$D$5)*((P4198)*(Q4198)-(R4198)*(R4198))-(S4198)*((S4198)*(Q4198)-(R4198)*(T4198))+(T4198)*((S4198)*(R4198)-(P4198)*(T4198)))</f>
        <v/>
      </c>
      <c r="X4198">
        <f>IF(ABS(W4198)&gt;1E-12,((LTP3!$D$6)*((P4198)*(Q4198)-(R4198)*(R4198))-(S4198)*((U4198)*(Q4198)-(R4198)*(V4198))+(T4198)*((U4198)*(R4198)-(P4198)*(V4198)))/W4198,0)</f>
        <v/>
      </c>
      <c r="Y4198">
        <f>IF(ABS(W4198)&gt;1E-12,((LTP3!$D$5)*((U4198)*(Q4198)-(R4198)*(V4198))-(LTP3!$D$6)*((S4198)*(Q4198)-(R4198)*(T4198))+(T4198)*((S4198)*(V4198)-(U4198)*(T4198)))/W4198,0)</f>
        <v/>
      </c>
      <c r="Z4198">
        <f>IF(ABS(W4198)&gt;1E-12,((LTP3!$D$5)*((P4198)*(V4198)-(U4198)*(R4198))-(S4198)*((S4198)*(V4198)-(U4198)*(T4198))+(LTP3!$D$6)*((S4198)*(R4198)-(P4198)*(T4198)))/W4198,0)</f>
        <v/>
      </c>
      <c r="AA4198">
        <f>LTP3!$D$7-X4198*LTP3!$D$6-Y4198*U4198-Z4198*V4198</f>
        <v/>
      </c>
      <c r="AB4198">
        <f>IF(AND(F4198,ABS(W4198)&gt;1E-12,Y4198&gt;0,Z4198&gt;0),AA4198,1E+300)</f>
        <v/>
      </c>
    </row>
    <row r="4199">
      <c r="A4199">
        <f>$I$4-$B$5/10+$B$5*0/100</f>
        <v/>
      </c>
      <c r="B4199">
        <f>$J$4-$B$5/10+$B$5*19/100</f>
        <v/>
      </c>
      <c r="C4199">
        <f>SUMPRODUCT(Calc!$K$3:$K$22*(Calc!$G$3:$G$22&lt;=A4199))</f>
        <v/>
      </c>
      <c r="D4199">
        <f>SUMPRODUCT(Calc!$K$3:$K$22*(Calc!$G$3:$G$22&gt;A4199)*(Calc!$G$3:$G$22&lt;B4199))</f>
        <v/>
      </c>
      <c r="E4199">
        <f>SUMPRODUCT(Calc!$K$3:$K$22*(Calc!$G$3:$G$22&gt;=B4199))</f>
        <v/>
      </c>
      <c r="F4199">
        <f>AND(k_n&gt;=5,B4199&gt;A4199+1E-9,C4199&gt;=2,D4199&gt;=1,E4199&gt;=2)</f>
        <v/>
      </c>
      <c r="G4199">
        <f>SUMPRODUCT(Calc!$K$3:$K$22*(Calc!$G$3:$G$22&gt;A4199)*(Calc!$G$3:$G$22-A4199))</f>
        <v/>
      </c>
      <c r="H4199">
        <f>SUMPRODUCT(Calc!$K$3:$K$22*(Calc!$G$3:$G$22&gt;B4199)*(Calc!$G$3:$G$22-B4199))</f>
        <v/>
      </c>
      <c r="I4199">
        <f>SUMPRODUCT(Calc!$K$3:$K$22*(Calc!$G$3:$G$22&gt;A4199)*(Calc!$G$3:$G$22-A4199)^2)</f>
        <v/>
      </c>
      <c r="J4199">
        <f>SUMPRODUCT(Calc!$K$3:$K$22*(Calc!$G$3:$G$22&gt;B4199)*(Calc!$G$3:$G$22-B4199)^2)</f>
        <v/>
      </c>
      <c r="K4199">
        <f>SUMPRODUCT(Calc!$K$3:$K$22*(Calc!$G$3:$G$22&gt;A4199)*(Calc!$G$3:$G$22-A4199)*(Calc!$G$3:$G$22&gt;B4199)*(Calc!$G$3:$G$22-B4199))</f>
        <v/>
      </c>
      <c r="L4199">
        <f>SUMPRODUCT(Calc!$K$3:$K$22*(Calc!$G$3:$G$22&gt;A4199)*(Calc!$G$3:$G$22-A4199)*Calc!$G$3:$G$22)</f>
        <v/>
      </c>
      <c r="M4199">
        <f>SUMPRODUCT(Calc!$K$3:$K$22*(Calc!$G$3:$G$22&gt;B4199)*(Calc!$G$3:$G$22-B4199)*Calc!$G$3:$G$22)</f>
        <v/>
      </c>
      <c r="N4199">
        <f>SUMPRODUCT(Calc!$K$3:$K$22*(Calc!$G$3:$G$22&gt;A4199)*(Calc!$G$3:$G$22-A4199)*Calc!$I$3:$I$22)</f>
        <v/>
      </c>
      <c r="O4199">
        <f>SUMPRODUCT(Calc!$K$3:$K$22*(Calc!$G$3:$G$22&gt;B4199)*(Calc!$G$3:$G$22-B4199)*Calc!$I$3:$I$22)</f>
        <v/>
      </c>
      <c r="P4199">
        <f>I4199-G4199^2/k_n</f>
        <v/>
      </c>
      <c r="Q4199">
        <f>J4199-H4199^2/k_n</f>
        <v/>
      </c>
      <c r="R4199">
        <f>K4199-G4199*H4199/k_n</f>
        <v/>
      </c>
      <c r="S4199">
        <f>L4199-LTP3!$D$3*G4199/k_n</f>
        <v/>
      </c>
      <c r="T4199">
        <f>M4199-LTP3!$D$3*H4199/k_n</f>
        <v/>
      </c>
      <c r="U4199">
        <f>N4199-G4199*LTP3!$D$4/k_n</f>
        <v/>
      </c>
      <c r="V4199">
        <f>O4199-H4199*LTP3!$D$4/k_n</f>
        <v/>
      </c>
      <c r="W4199">
        <f>((LTP3!$D$5)*((P4199)*(Q4199)-(R4199)*(R4199))-(S4199)*((S4199)*(Q4199)-(R4199)*(T4199))+(T4199)*((S4199)*(R4199)-(P4199)*(T4199)))</f>
        <v/>
      </c>
      <c r="X4199">
        <f>IF(ABS(W4199)&gt;1E-12,((LTP3!$D$6)*((P4199)*(Q4199)-(R4199)*(R4199))-(S4199)*((U4199)*(Q4199)-(R4199)*(V4199))+(T4199)*((U4199)*(R4199)-(P4199)*(V4199)))/W4199,0)</f>
        <v/>
      </c>
      <c r="Y4199">
        <f>IF(ABS(W4199)&gt;1E-12,((LTP3!$D$5)*((U4199)*(Q4199)-(R4199)*(V4199))-(LTP3!$D$6)*((S4199)*(Q4199)-(R4199)*(T4199))+(T4199)*((S4199)*(V4199)-(U4199)*(T4199)))/W4199,0)</f>
        <v/>
      </c>
      <c r="Z4199">
        <f>IF(ABS(W4199)&gt;1E-12,((LTP3!$D$5)*((P4199)*(V4199)-(U4199)*(R4199))-(S4199)*((S4199)*(V4199)-(U4199)*(T4199))+(LTP3!$D$6)*((S4199)*(R4199)-(P4199)*(T4199)))/W4199,0)</f>
        <v/>
      </c>
      <c r="AA4199">
        <f>LTP3!$D$7-X4199*LTP3!$D$6-Y4199*U4199-Z4199*V4199</f>
        <v/>
      </c>
      <c r="AB4199">
        <f>IF(AND(F4199,ABS(W4199)&gt;1E-12,Y4199&gt;0,Z4199&gt;0),AA4199,1E+300)</f>
        <v/>
      </c>
    </row>
    <row r="4200">
      <c r="A4200">
        <f>$I$4-$B$5/10+$B$5*0/100</f>
        <v/>
      </c>
      <c r="B4200">
        <f>$J$4-$B$5/10+$B$5*20/100</f>
        <v/>
      </c>
      <c r="C4200">
        <f>SUMPRODUCT(Calc!$K$3:$K$22*(Calc!$G$3:$G$22&lt;=A4200))</f>
        <v/>
      </c>
      <c r="D4200">
        <f>SUMPRODUCT(Calc!$K$3:$K$22*(Calc!$G$3:$G$22&gt;A4200)*(Calc!$G$3:$G$22&lt;B4200))</f>
        <v/>
      </c>
      <c r="E4200">
        <f>SUMPRODUCT(Calc!$K$3:$K$22*(Calc!$G$3:$G$22&gt;=B4200))</f>
        <v/>
      </c>
      <c r="F4200">
        <f>AND(k_n&gt;=5,B4200&gt;A4200+1E-9,C4200&gt;=2,D4200&gt;=1,E4200&gt;=2)</f>
        <v/>
      </c>
      <c r="G4200">
        <f>SUMPRODUCT(Calc!$K$3:$K$22*(Calc!$G$3:$G$22&gt;A4200)*(Calc!$G$3:$G$22-A4200))</f>
        <v/>
      </c>
      <c r="H4200">
        <f>SUMPRODUCT(Calc!$K$3:$K$22*(Calc!$G$3:$G$22&gt;B4200)*(Calc!$G$3:$G$22-B4200))</f>
        <v/>
      </c>
      <c r="I4200">
        <f>SUMPRODUCT(Calc!$K$3:$K$22*(Calc!$G$3:$G$22&gt;A4200)*(Calc!$G$3:$G$22-A4200)^2)</f>
        <v/>
      </c>
      <c r="J4200">
        <f>SUMPRODUCT(Calc!$K$3:$K$22*(Calc!$G$3:$G$22&gt;B4200)*(Calc!$G$3:$G$22-B4200)^2)</f>
        <v/>
      </c>
      <c r="K4200">
        <f>SUMPRODUCT(Calc!$K$3:$K$22*(Calc!$G$3:$G$22&gt;A4200)*(Calc!$G$3:$G$22-A4200)*(Calc!$G$3:$G$22&gt;B4200)*(Calc!$G$3:$G$22-B4200))</f>
        <v/>
      </c>
      <c r="L4200">
        <f>SUMPRODUCT(Calc!$K$3:$K$22*(Calc!$G$3:$G$22&gt;A4200)*(Calc!$G$3:$G$22-A4200)*Calc!$G$3:$G$22)</f>
        <v/>
      </c>
      <c r="M4200">
        <f>SUMPRODUCT(Calc!$K$3:$K$22*(Calc!$G$3:$G$22&gt;B4200)*(Calc!$G$3:$G$22-B4200)*Calc!$G$3:$G$22)</f>
        <v/>
      </c>
      <c r="N4200">
        <f>SUMPRODUCT(Calc!$K$3:$K$22*(Calc!$G$3:$G$22&gt;A4200)*(Calc!$G$3:$G$22-A4200)*Calc!$I$3:$I$22)</f>
        <v/>
      </c>
      <c r="O4200">
        <f>SUMPRODUCT(Calc!$K$3:$K$22*(Calc!$G$3:$G$22&gt;B4200)*(Calc!$G$3:$G$22-B4200)*Calc!$I$3:$I$22)</f>
        <v/>
      </c>
      <c r="P4200">
        <f>I4200-G4200^2/k_n</f>
        <v/>
      </c>
      <c r="Q4200">
        <f>J4200-H4200^2/k_n</f>
        <v/>
      </c>
      <c r="R4200">
        <f>K4200-G4200*H4200/k_n</f>
        <v/>
      </c>
      <c r="S4200">
        <f>L4200-LTP3!$D$3*G4200/k_n</f>
        <v/>
      </c>
      <c r="T4200">
        <f>M4200-LTP3!$D$3*H4200/k_n</f>
        <v/>
      </c>
      <c r="U4200">
        <f>N4200-G4200*LTP3!$D$4/k_n</f>
        <v/>
      </c>
      <c r="V4200">
        <f>O4200-H4200*LTP3!$D$4/k_n</f>
        <v/>
      </c>
      <c r="W4200">
        <f>((LTP3!$D$5)*((P4200)*(Q4200)-(R4200)*(R4200))-(S4200)*((S4200)*(Q4200)-(R4200)*(T4200))+(T4200)*((S4200)*(R4200)-(P4200)*(T4200)))</f>
        <v/>
      </c>
      <c r="X4200">
        <f>IF(ABS(W4200)&gt;1E-12,((LTP3!$D$6)*((P4200)*(Q4200)-(R4200)*(R4200))-(S4200)*((U4200)*(Q4200)-(R4200)*(V4200))+(T4200)*((U4200)*(R4200)-(P4200)*(V4200)))/W4200,0)</f>
        <v/>
      </c>
      <c r="Y4200">
        <f>IF(ABS(W4200)&gt;1E-12,((LTP3!$D$5)*((U4200)*(Q4200)-(R4200)*(V4200))-(LTP3!$D$6)*((S4200)*(Q4200)-(R4200)*(T4200))+(T4200)*((S4200)*(V4200)-(U4200)*(T4200)))/W4200,0)</f>
        <v/>
      </c>
      <c r="Z4200">
        <f>IF(ABS(W4200)&gt;1E-12,((LTP3!$D$5)*((P4200)*(V4200)-(U4200)*(R4200))-(S4200)*((S4200)*(V4200)-(U4200)*(T4200))+(LTP3!$D$6)*((S4200)*(R4200)-(P4200)*(T4200)))/W4200,0)</f>
        <v/>
      </c>
      <c r="AA4200">
        <f>LTP3!$D$7-X4200*LTP3!$D$6-Y4200*U4200-Z4200*V4200</f>
        <v/>
      </c>
      <c r="AB4200">
        <f>IF(AND(F4200,ABS(W4200)&gt;1E-12,Y4200&gt;0,Z4200&gt;0),AA4200,1E+300)</f>
        <v/>
      </c>
    </row>
    <row r="4201">
      <c r="A4201">
        <f>$I$4-$B$5/10+$B$5*1/100</f>
        <v/>
      </c>
      <c r="B4201">
        <f>$J$4-$B$5/10+$B$5*0/100</f>
        <v/>
      </c>
      <c r="C4201">
        <f>SUMPRODUCT(Calc!$K$3:$K$22*(Calc!$G$3:$G$22&lt;=A4201))</f>
        <v/>
      </c>
      <c r="D4201">
        <f>SUMPRODUCT(Calc!$K$3:$K$22*(Calc!$G$3:$G$22&gt;A4201)*(Calc!$G$3:$G$22&lt;B4201))</f>
        <v/>
      </c>
      <c r="E4201">
        <f>SUMPRODUCT(Calc!$K$3:$K$22*(Calc!$G$3:$G$22&gt;=B4201))</f>
        <v/>
      </c>
      <c r="F4201">
        <f>AND(k_n&gt;=5,B4201&gt;A4201+1E-9,C4201&gt;=2,D4201&gt;=1,E4201&gt;=2)</f>
        <v/>
      </c>
      <c r="G4201">
        <f>SUMPRODUCT(Calc!$K$3:$K$22*(Calc!$G$3:$G$22&gt;A4201)*(Calc!$G$3:$G$22-A4201))</f>
        <v/>
      </c>
      <c r="H4201">
        <f>SUMPRODUCT(Calc!$K$3:$K$22*(Calc!$G$3:$G$22&gt;B4201)*(Calc!$G$3:$G$22-B4201))</f>
        <v/>
      </c>
      <c r="I4201">
        <f>SUMPRODUCT(Calc!$K$3:$K$22*(Calc!$G$3:$G$22&gt;A4201)*(Calc!$G$3:$G$22-A4201)^2)</f>
        <v/>
      </c>
      <c r="J4201">
        <f>SUMPRODUCT(Calc!$K$3:$K$22*(Calc!$G$3:$G$22&gt;B4201)*(Calc!$G$3:$G$22-B4201)^2)</f>
        <v/>
      </c>
      <c r="K4201">
        <f>SUMPRODUCT(Calc!$K$3:$K$22*(Calc!$G$3:$G$22&gt;A4201)*(Calc!$G$3:$G$22-A4201)*(Calc!$G$3:$G$22&gt;B4201)*(Calc!$G$3:$G$22-B4201))</f>
        <v/>
      </c>
      <c r="L4201">
        <f>SUMPRODUCT(Calc!$K$3:$K$22*(Calc!$G$3:$G$22&gt;A4201)*(Calc!$G$3:$G$22-A4201)*Calc!$G$3:$G$22)</f>
        <v/>
      </c>
      <c r="M4201">
        <f>SUMPRODUCT(Calc!$K$3:$K$22*(Calc!$G$3:$G$22&gt;B4201)*(Calc!$G$3:$G$22-B4201)*Calc!$G$3:$G$22)</f>
        <v/>
      </c>
      <c r="N4201">
        <f>SUMPRODUCT(Calc!$K$3:$K$22*(Calc!$G$3:$G$22&gt;A4201)*(Calc!$G$3:$G$22-A4201)*Calc!$I$3:$I$22)</f>
        <v/>
      </c>
      <c r="O4201">
        <f>SUMPRODUCT(Calc!$K$3:$K$22*(Calc!$G$3:$G$22&gt;B4201)*(Calc!$G$3:$G$22-B4201)*Calc!$I$3:$I$22)</f>
        <v/>
      </c>
      <c r="P4201">
        <f>I4201-G4201^2/k_n</f>
        <v/>
      </c>
      <c r="Q4201">
        <f>J4201-H4201^2/k_n</f>
        <v/>
      </c>
      <c r="R4201">
        <f>K4201-G4201*H4201/k_n</f>
        <v/>
      </c>
      <c r="S4201">
        <f>L4201-LTP3!$D$3*G4201/k_n</f>
        <v/>
      </c>
      <c r="T4201">
        <f>M4201-LTP3!$D$3*H4201/k_n</f>
        <v/>
      </c>
      <c r="U4201">
        <f>N4201-G4201*LTP3!$D$4/k_n</f>
        <v/>
      </c>
      <c r="V4201">
        <f>O4201-H4201*LTP3!$D$4/k_n</f>
        <v/>
      </c>
      <c r="W4201">
        <f>((LTP3!$D$5)*((P4201)*(Q4201)-(R4201)*(R4201))-(S4201)*((S4201)*(Q4201)-(R4201)*(T4201))+(T4201)*((S4201)*(R4201)-(P4201)*(T4201)))</f>
        <v/>
      </c>
      <c r="X4201">
        <f>IF(ABS(W4201)&gt;1E-12,((LTP3!$D$6)*((P4201)*(Q4201)-(R4201)*(R4201))-(S4201)*((U4201)*(Q4201)-(R4201)*(V4201))+(T4201)*((U4201)*(R4201)-(P4201)*(V4201)))/W4201,0)</f>
        <v/>
      </c>
      <c r="Y4201">
        <f>IF(ABS(W4201)&gt;1E-12,((LTP3!$D$5)*((U4201)*(Q4201)-(R4201)*(V4201))-(LTP3!$D$6)*((S4201)*(Q4201)-(R4201)*(T4201))+(T4201)*((S4201)*(V4201)-(U4201)*(T4201)))/W4201,0)</f>
        <v/>
      </c>
      <c r="Z4201">
        <f>IF(ABS(W4201)&gt;1E-12,((LTP3!$D$5)*((P4201)*(V4201)-(U4201)*(R4201))-(S4201)*((S4201)*(V4201)-(U4201)*(T4201))+(LTP3!$D$6)*((S4201)*(R4201)-(P4201)*(T4201)))/W4201,0)</f>
        <v/>
      </c>
      <c r="AA4201">
        <f>LTP3!$D$7-X4201*LTP3!$D$6-Y4201*U4201-Z4201*V4201</f>
        <v/>
      </c>
      <c r="AB4201">
        <f>IF(AND(F4201,ABS(W4201)&gt;1E-12,Y4201&gt;0,Z4201&gt;0),AA4201,1E+300)</f>
        <v/>
      </c>
    </row>
    <row r="4202">
      <c r="A4202">
        <f>$I$4-$B$5/10+$B$5*1/100</f>
        <v/>
      </c>
      <c r="B4202">
        <f>$J$4-$B$5/10+$B$5*1/100</f>
        <v/>
      </c>
      <c r="C4202">
        <f>SUMPRODUCT(Calc!$K$3:$K$22*(Calc!$G$3:$G$22&lt;=A4202))</f>
        <v/>
      </c>
      <c r="D4202">
        <f>SUMPRODUCT(Calc!$K$3:$K$22*(Calc!$G$3:$G$22&gt;A4202)*(Calc!$G$3:$G$22&lt;B4202))</f>
        <v/>
      </c>
      <c r="E4202">
        <f>SUMPRODUCT(Calc!$K$3:$K$22*(Calc!$G$3:$G$22&gt;=B4202))</f>
        <v/>
      </c>
      <c r="F4202">
        <f>AND(k_n&gt;=5,B4202&gt;A4202+1E-9,C4202&gt;=2,D4202&gt;=1,E4202&gt;=2)</f>
        <v/>
      </c>
      <c r="G4202">
        <f>SUMPRODUCT(Calc!$K$3:$K$22*(Calc!$G$3:$G$22&gt;A4202)*(Calc!$G$3:$G$22-A4202))</f>
        <v/>
      </c>
      <c r="H4202">
        <f>SUMPRODUCT(Calc!$K$3:$K$22*(Calc!$G$3:$G$22&gt;B4202)*(Calc!$G$3:$G$22-B4202))</f>
        <v/>
      </c>
      <c r="I4202">
        <f>SUMPRODUCT(Calc!$K$3:$K$22*(Calc!$G$3:$G$22&gt;A4202)*(Calc!$G$3:$G$22-A4202)^2)</f>
        <v/>
      </c>
      <c r="J4202">
        <f>SUMPRODUCT(Calc!$K$3:$K$22*(Calc!$G$3:$G$22&gt;B4202)*(Calc!$G$3:$G$22-B4202)^2)</f>
        <v/>
      </c>
      <c r="K4202">
        <f>SUMPRODUCT(Calc!$K$3:$K$22*(Calc!$G$3:$G$22&gt;A4202)*(Calc!$G$3:$G$22-A4202)*(Calc!$G$3:$G$22&gt;B4202)*(Calc!$G$3:$G$22-B4202))</f>
        <v/>
      </c>
      <c r="L4202">
        <f>SUMPRODUCT(Calc!$K$3:$K$22*(Calc!$G$3:$G$22&gt;A4202)*(Calc!$G$3:$G$22-A4202)*Calc!$G$3:$G$22)</f>
        <v/>
      </c>
      <c r="M4202">
        <f>SUMPRODUCT(Calc!$K$3:$K$22*(Calc!$G$3:$G$22&gt;B4202)*(Calc!$G$3:$G$22-B4202)*Calc!$G$3:$G$22)</f>
        <v/>
      </c>
      <c r="N4202">
        <f>SUMPRODUCT(Calc!$K$3:$K$22*(Calc!$G$3:$G$22&gt;A4202)*(Calc!$G$3:$G$22-A4202)*Calc!$I$3:$I$22)</f>
        <v/>
      </c>
      <c r="O4202">
        <f>SUMPRODUCT(Calc!$K$3:$K$22*(Calc!$G$3:$G$22&gt;B4202)*(Calc!$G$3:$G$22-B4202)*Calc!$I$3:$I$22)</f>
        <v/>
      </c>
      <c r="P4202">
        <f>I4202-G4202^2/k_n</f>
        <v/>
      </c>
      <c r="Q4202">
        <f>J4202-H4202^2/k_n</f>
        <v/>
      </c>
      <c r="R4202">
        <f>K4202-G4202*H4202/k_n</f>
        <v/>
      </c>
      <c r="S4202">
        <f>L4202-LTP3!$D$3*G4202/k_n</f>
        <v/>
      </c>
      <c r="T4202">
        <f>M4202-LTP3!$D$3*H4202/k_n</f>
        <v/>
      </c>
      <c r="U4202">
        <f>N4202-G4202*LTP3!$D$4/k_n</f>
        <v/>
      </c>
      <c r="V4202">
        <f>O4202-H4202*LTP3!$D$4/k_n</f>
        <v/>
      </c>
      <c r="W4202">
        <f>((LTP3!$D$5)*((P4202)*(Q4202)-(R4202)*(R4202))-(S4202)*((S4202)*(Q4202)-(R4202)*(T4202))+(T4202)*((S4202)*(R4202)-(P4202)*(T4202)))</f>
        <v/>
      </c>
      <c r="X4202">
        <f>IF(ABS(W4202)&gt;1E-12,((LTP3!$D$6)*((P4202)*(Q4202)-(R4202)*(R4202))-(S4202)*((U4202)*(Q4202)-(R4202)*(V4202))+(T4202)*((U4202)*(R4202)-(P4202)*(V4202)))/W4202,0)</f>
        <v/>
      </c>
      <c r="Y4202">
        <f>IF(ABS(W4202)&gt;1E-12,((LTP3!$D$5)*((U4202)*(Q4202)-(R4202)*(V4202))-(LTP3!$D$6)*((S4202)*(Q4202)-(R4202)*(T4202))+(T4202)*((S4202)*(V4202)-(U4202)*(T4202)))/W4202,0)</f>
        <v/>
      </c>
      <c r="Z4202">
        <f>IF(ABS(W4202)&gt;1E-12,((LTP3!$D$5)*((P4202)*(V4202)-(U4202)*(R4202))-(S4202)*((S4202)*(V4202)-(U4202)*(T4202))+(LTP3!$D$6)*((S4202)*(R4202)-(P4202)*(T4202)))/W4202,0)</f>
        <v/>
      </c>
      <c r="AA4202">
        <f>LTP3!$D$7-X4202*LTP3!$D$6-Y4202*U4202-Z4202*V4202</f>
        <v/>
      </c>
      <c r="AB4202">
        <f>IF(AND(F4202,ABS(W4202)&gt;1E-12,Y4202&gt;0,Z4202&gt;0),AA4202,1E+300)</f>
        <v/>
      </c>
    </row>
    <row r="4203">
      <c r="A4203">
        <f>$I$4-$B$5/10+$B$5*1/100</f>
        <v/>
      </c>
      <c r="B4203">
        <f>$J$4-$B$5/10+$B$5*2/100</f>
        <v/>
      </c>
      <c r="C4203">
        <f>SUMPRODUCT(Calc!$K$3:$K$22*(Calc!$G$3:$G$22&lt;=A4203))</f>
        <v/>
      </c>
      <c r="D4203">
        <f>SUMPRODUCT(Calc!$K$3:$K$22*(Calc!$G$3:$G$22&gt;A4203)*(Calc!$G$3:$G$22&lt;B4203))</f>
        <v/>
      </c>
      <c r="E4203">
        <f>SUMPRODUCT(Calc!$K$3:$K$22*(Calc!$G$3:$G$22&gt;=B4203))</f>
        <v/>
      </c>
      <c r="F4203">
        <f>AND(k_n&gt;=5,B4203&gt;A4203+1E-9,C4203&gt;=2,D4203&gt;=1,E4203&gt;=2)</f>
        <v/>
      </c>
      <c r="G4203">
        <f>SUMPRODUCT(Calc!$K$3:$K$22*(Calc!$G$3:$G$22&gt;A4203)*(Calc!$G$3:$G$22-A4203))</f>
        <v/>
      </c>
      <c r="H4203">
        <f>SUMPRODUCT(Calc!$K$3:$K$22*(Calc!$G$3:$G$22&gt;B4203)*(Calc!$G$3:$G$22-B4203))</f>
        <v/>
      </c>
      <c r="I4203">
        <f>SUMPRODUCT(Calc!$K$3:$K$22*(Calc!$G$3:$G$22&gt;A4203)*(Calc!$G$3:$G$22-A4203)^2)</f>
        <v/>
      </c>
      <c r="J4203">
        <f>SUMPRODUCT(Calc!$K$3:$K$22*(Calc!$G$3:$G$22&gt;B4203)*(Calc!$G$3:$G$22-B4203)^2)</f>
        <v/>
      </c>
      <c r="K4203">
        <f>SUMPRODUCT(Calc!$K$3:$K$22*(Calc!$G$3:$G$22&gt;A4203)*(Calc!$G$3:$G$22-A4203)*(Calc!$G$3:$G$22&gt;B4203)*(Calc!$G$3:$G$22-B4203))</f>
        <v/>
      </c>
      <c r="L4203">
        <f>SUMPRODUCT(Calc!$K$3:$K$22*(Calc!$G$3:$G$22&gt;A4203)*(Calc!$G$3:$G$22-A4203)*Calc!$G$3:$G$22)</f>
        <v/>
      </c>
      <c r="M4203">
        <f>SUMPRODUCT(Calc!$K$3:$K$22*(Calc!$G$3:$G$22&gt;B4203)*(Calc!$G$3:$G$22-B4203)*Calc!$G$3:$G$22)</f>
        <v/>
      </c>
      <c r="N4203">
        <f>SUMPRODUCT(Calc!$K$3:$K$22*(Calc!$G$3:$G$22&gt;A4203)*(Calc!$G$3:$G$22-A4203)*Calc!$I$3:$I$22)</f>
        <v/>
      </c>
      <c r="O4203">
        <f>SUMPRODUCT(Calc!$K$3:$K$22*(Calc!$G$3:$G$22&gt;B4203)*(Calc!$G$3:$G$22-B4203)*Calc!$I$3:$I$22)</f>
        <v/>
      </c>
      <c r="P4203">
        <f>I4203-G4203^2/k_n</f>
        <v/>
      </c>
      <c r="Q4203">
        <f>J4203-H4203^2/k_n</f>
        <v/>
      </c>
      <c r="R4203">
        <f>K4203-G4203*H4203/k_n</f>
        <v/>
      </c>
      <c r="S4203">
        <f>L4203-LTP3!$D$3*G4203/k_n</f>
        <v/>
      </c>
      <c r="T4203">
        <f>M4203-LTP3!$D$3*H4203/k_n</f>
        <v/>
      </c>
      <c r="U4203">
        <f>N4203-G4203*LTP3!$D$4/k_n</f>
        <v/>
      </c>
      <c r="V4203">
        <f>O4203-H4203*LTP3!$D$4/k_n</f>
        <v/>
      </c>
      <c r="W4203">
        <f>((LTP3!$D$5)*((P4203)*(Q4203)-(R4203)*(R4203))-(S4203)*((S4203)*(Q4203)-(R4203)*(T4203))+(T4203)*((S4203)*(R4203)-(P4203)*(T4203)))</f>
        <v/>
      </c>
      <c r="X4203">
        <f>IF(ABS(W4203)&gt;1E-12,((LTP3!$D$6)*((P4203)*(Q4203)-(R4203)*(R4203))-(S4203)*((U4203)*(Q4203)-(R4203)*(V4203))+(T4203)*((U4203)*(R4203)-(P4203)*(V4203)))/W4203,0)</f>
        <v/>
      </c>
      <c r="Y4203">
        <f>IF(ABS(W4203)&gt;1E-12,((LTP3!$D$5)*((U4203)*(Q4203)-(R4203)*(V4203))-(LTP3!$D$6)*((S4203)*(Q4203)-(R4203)*(T4203))+(T4203)*((S4203)*(V4203)-(U4203)*(T4203)))/W4203,0)</f>
        <v/>
      </c>
      <c r="Z4203">
        <f>IF(ABS(W4203)&gt;1E-12,((LTP3!$D$5)*((P4203)*(V4203)-(U4203)*(R4203))-(S4203)*((S4203)*(V4203)-(U4203)*(T4203))+(LTP3!$D$6)*((S4203)*(R4203)-(P4203)*(T4203)))/W4203,0)</f>
        <v/>
      </c>
      <c r="AA4203">
        <f>LTP3!$D$7-X4203*LTP3!$D$6-Y4203*U4203-Z4203*V4203</f>
        <v/>
      </c>
      <c r="AB4203">
        <f>IF(AND(F4203,ABS(W4203)&gt;1E-12,Y4203&gt;0,Z4203&gt;0),AA4203,1E+300)</f>
        <v/>
      </c>
    </row>
    <row r="4204">
      <c r="A4204">
        <f>$I$4-$B$5/10+$B$5*1/100</f>
        <v/>
      </c>
      <c r="B4204">
        <f>$J$4-$B$5/10+$B$5*3/100</f>
        <v/>
      </c>
      <c r="C4204">
        <f>SUMPRODUCT(Calc!$K$3:$K$22*(Calc!$G$3:$G$22&lt;=A4204))</f>
        <v/>
      </c>
      <c r="D4204">
        <f>SUMPRODUCT(Calc!$K$3:$K$22*(Calc!$G$3:$G$22&gt;A4204)*(Calc!$G$3:$G$22&lt;B4204))</f>
        <v/>
      </c>
      <c r="E4204">
        <f>SUMPRODUCT(Calc!$K$3:$K$22*(Calc!$G$3:$G$22&gt;=B4204))</f>
        <v/>
      </c>
      <c r="F4204">
        <f>AND(k_n&gt;=5,B4204&gt;A4204+1E-9,C4204&gt;=2,D4204&gt;=1,E4204&gt;=2)</f>
        <v/>
      </c>
      <c r="G4204">
        <f>SUMPRODUCT(Calc!$K$3:$K$22*(Calc!$G$3:$G$22&gt;A4204)*(Calc!$G$3:$G$22-A4204))</f>
        <v/>
      </c>
      <c r="H4204">
        <f>SUMPRODUCT(Calc!$K$3:$K$22*(Calc!$G$3:$G$22&gt;B4204)*(Calc!$G$3:$G$22-B4204))</f>
        <v/>
      </c>
      <c r="I4204">
        <f>SUMPRODUCT(Calc!$K$3:$K$22*(Calc!$G$3:$G$22&gt;A4204)*(Calc!$G$3:$G$22-A4204)^2)</f>
        <v/>
      </c>
      <c r="J4204">
        <f>SUMPRODUCT(Calc!$K$3:$K$22*(Calc!$G$3:$G$22&gt;B4204)*(Calc!$G$3:$G$22-B4204)^2)</f>
        <v/>
      </c>
      <c r="K4204">
        <f>SUMPRODUCT(Calc!$K$3:$K$22*(Calc!$G$3:$G$22&gt;A4204)*(Calc!$G$3:$G$22-A4204)*(Calc!$G$3:$G$22&gt;B4204)*(Calc!$G$3:$G$22-B4204))</f>
        <v/>
      </c>
      <c r="L4204">
        <f>SUMPRODUCT(Calc!$K$3:$K$22*(Calc!$G$3:$G$22&gt;A4204)*(Calc!$G$3:$G$22-A4204)*Calc!$G$3:$G$22)</f>
        <v/>
      </c>
      <c r="M4204">
        <f>SUMPRODUCT(Calc!$K$3:$K$22*(Calc!$G$3:$G$22&gt;B4204)*(Calc!$G$3:$G$22-B4204)*Calc!$G$3:$G$22)</f>
        <v/>
      </c>
      <c r="N4204">
        <f>SUMPRODUCT(Calc!$K$3:$K$22*(Calc!$G$3:$G$22&gt;A4204)*(Calc!$G$3:$G$22-A4204)*Calc!$I$3:$I$22)</f>
        <v/>
      </c>
      <c r="O4204">
        <f>SUMPRODUCT(Calc!$K$3:$K$22*(Calc!$G$3:$G$22&gt;B4204)*(Calc!$G$3:$G$22-B4204)*Calc!$I$3:$I$22)</f>
        <v/>
      </c>
      <c r="P4204">
        <f>I4204-G4204^2/k_n</f>
        <v/>
      </c>
      <c r="Q4204">
        <f>J4204-H4204^2/k_n</f>
        <v/>
      </c>
      <c r="R4204">
        <f>K4204-G4204*H4204/k_n</f>
        <v/>
      </c>
      <c r="S4204">
        <f>L4204-LTP3!$D$3*G4204/k_n</f>
        <v/>
      </c>
      <c r="T4204">
        <f>M4204-LTP3!$D$3*H4204/k_n</f>
        <v/>
      </c>
      <c r="U4204">
        <f>N4204-G4204*LTP3!$D$4/k_n</f>
        <v/>
      </c>
      <c r="V4204">
        <f>O4204-H4204*LTP3!$D$4/k_n</f>
        <v/>
      </c>
      <c r="W4204">
        <f>((LTP3!$D$5)*((P4204)*(Q4204)-(R4204)*(R4204))-(S4204)*((S4204)*(Q4204)-(R4204)*(T4204))+(T4204)*((S4204)*(R4204)-(P4204)*(T4204)))</f>
        <v/>
      </c>
      <c r="X4204">
        <f>IF(ABS(W4204)&gt;1E-12,((LTP3!$D$6)*((P4204)*(Q4204)-(R4204)*(R4204))-(S4204)*((U4204)*(Q4204)-(R4204)*(V4204))+(T4204)*((U4204)*(R4204)-(P4204)*(V4204)))/W4204,0)</f>
        <v/>
      </c>
      <c r="Y4204">
        <f>IF(ABS(W4204)&gt;1E-12,((LTP3!$D$5)*((U4204)*(Q4204)-(R4204)*(V4204))-(LTP3!$D$6)*((S4204)*(Q4204)-(R4204)*(T4204))+(T4204)*((S4204)*(V4204)-(U4204)*(T4204)))/W4204,0)</f>
        <v/>
      </c>
      <c r="Z4204">
        <f>IF(ABS(W4204)&gt;1E-12,((LTP3!$D$5)*((P4204)*(V4204)-(U4204)*(R4204))-(S4204)*((S4204)*(V4204)-(U4204)*(T4204))+(LTP3!$D$6)*((S4204)*(R4204)-(P4204)*(T4204)))/W4204,0)</f>
        <v/>
      </c>
      <c r="AA4204">
        <f>LTP3!$D$7-X4204*LTP3!$D$6-Y4204*U4204-Z4204*V4204</f>
        <v/>
      </c>
      <c r="AB4204">
        <f>IF(AND(F4204,ABS(W4204)&gt;1E-12,Y4204&gt;0,Z4204&gt;0),AA4204,1E+300)</f>
        <v/>
      </c>
    </row>
    <row r="4205">
      <c r="A4205">
        <f>$I$4-$B$5/10+$B$5*1/100</f>
        <v/>
      </c>
      <c r="B4205">
        <f>$J$4-$B$5/10+$B$5*4/100</f>
        <v/>
      </c>
      <c r="C4205">
        <f>SUMPRODUCT(Calc!$K$3:$K$22*(Calc!$G$3:$G$22&lt;=A4205))</f>
        <v/>
      </c>
      <c r="D4205">
        <f>SUMPRODUCT(Calc!$K$3:$K$22*(Calc!$G$3:$G$22&gt;A4205)*(Calc!$G$3:$G$22&lt;B4205))</f>
        <v/>
      </c>
      <c r="E4205">
        <f>SUMPRODUCT(Calc!$K$3:$K$22*(Calc!$G$3:$G$22&gt;=B4205))</f>
        <v/>
      </c>
      <c r="F4205">
        <f>AND(k_n&gt;=5,B4205&gt;A4205+1E-9,C4205&gt;=2,D4205&gt;=1,E4205&gt;=2)</f>
        <v/>
      </c>
      <c r="G4205">
        <f>SUMPRODUCT(Calc!$K$3:$K$22*(Calc!$G$3:$G$22&gt;A4205)*(Calc!$G$3:$G$22-A4205))</f>
        <v/>
      </c>
      <c r="H4205">
        <f>SUMPRODUCT(Calc!$K$3:$K$22*(Calc!$G$3:$G$22&gt;B4205)*(Calc!$G$3:$G$22-B4205))</f>
        <v/>
      </c>
      <c r="I4205">
        <f>SUMPRODUCT(Calc!$K$3:$K$22*(Calc!$G$3:$G$22&gt;A4205)*(Calc!$G$3:$G$22-A4205)^2)</f>
        <v/>
      </c>
      <c r="J4205">
        <f>SUMPRODUCT(Calc!$K$3:$K$22*(Calc!$G$3:$G$22&gt;B4205)*(Calc!$G$3:$G$22-B4205)^2)</f>
        <v/>
      </c>
      <c r="K4205">
        <f>SUMPRODUCT(Calc!$K$3:$K$22*(Calc!$G$3:$G$22&gt;A4205)*(Calc!$G$3:$G$22-A4205)*(Calc!$G$3:$G$22&gt;B4205)*(Calc!$G$3:$G$22-B4205))</f>
        <v/>
      </c>
      <c r="L4205">
        <f>SUMPRODUCT(Calc!$K$3:$K$22*(Calc!$G$3:$G$22&gt;A4205)*(Calc!$G$3:$G$22-A4205)*Calc!$G$3:$G$22)</f>
        <v/>
      </c>
      <c r="M4205">
        <f>SUMPRODUCT(Calc!$K$3:$K$22*(Calc!$G$3:$G$22&gt;B4205)*(Calc!$G$3:$G$22-B4205)*Calc!$G$3:$G$22)</f>
        <v/>
      </c>
      <c r="N4205">
        <f>SUMPRODUCT(Calc!$K$3:$K$22*(Calc!$G$3:$G$22&gt;A4205)*(Calc!$G$3:$G$22-A4205)*Calc!$I$3:$I$22)</f>
        <v/>
      </c>
      <c r="O4205">
        <f>SUMPRODUCT(Calc!$K$3:$K$22*(Calc!$G$3:$G$22&gt;B4205)*(Calc!$G$3:$G$22-B4205)*Calc!$I$3:$I$22)</f>
        <v/>
      </c>
      <c r="P4205">
        <f>I4205-G4205^2/k_n</f>
        <v/>
      </c>
      <c r="Q4205">
        <f>J4205-H4205^2/k_n</f>
        <v/>
      </c>
      <c r="R4205">
        <f>K4205-G4205*H4205/k_n</f>
        <v/>
      </c>
      <c r="S4205">
        <f>L4205-LTP3!$D$3*G4205/k_n</f>
        <v/>
      </c>
      <c r="T4205">
        <f>M4205-LTP3!$D$3*H4205/k_n</f>
        <v/>
      </c>
      <c r="U4205">
        <f>N4205-G4205*LTP3!$D$4/k_n</f>
        <v/>
      </c>
      <c r="V4205">
        <f>O4205-H4205*LTP3!$D$4/k_n</f>
        <v/>
      </c>
      <c r="W4205">
        <f>((LTP3!$D$5)*((P4205)*(Q4205)-(R4205)*(R4205))-(S4205)*((S4205)*(Q4205)-(R4205)*(T4205))+(T4205)*((S4205)*(R4205)-(P4205)*(T4205)))</f>
        <v/>
      </c>
      <c r="X4205">
        <f>IF(ABS(W4205)&gt;1E-12,((LTP3!$D$6)*((P4205)*(Q4205)-(R4205)*(R4205))-(S4205)*((U4205)*(Q4205)-(R4205)*(V4205))+(T4205)*((U4205)*(R4205)-(P4205)*(V4205)))/W4205,0)</f>
        <v/>
      </c>
      <c r="Y4205">
        <f>IF(ABS(W4205)&gt;1E-12,((LTP3!$D$5)*((U4205)*(Q4205)-(R4205)*(V4205))-(LTP3!$D$6)*((S4205)*(Q4205)-(R4205)*(T4205))+(T4205)*((S4205)*(V4205)-(U4205)*(T4205)))/W4205,0)</f>
        <v/>
      </c>
      <c r="Z4205">
        <f>IF(ABS(W4205)&gt;1E-12,((LTP3!$D$5)*((P4205)*(V4205)-(U4205)*(R4205))-(S4205)*((S4205)*(V4205)-(U4205)*(T4205))+(LTP3!$D$6)*((S4205)*(R4205)-(P4205)*(T4205)))/W4205,0)</f>
        <v/>
      </c>
      <c r="AA4205">
        <f>LTP3!$D$7-X4205*LTP3!$D$6-Y4205*U4205-Z4205*V4205</f>
        <v/>
      </c>
      <c r="AB4205">
        <f>IF(AND(F4205,ABS(W4205)&gt;1E-12,Y4205&gt;0,Z4205&gt;0),AA4205,1E+300)</f>
        <v/>
      </c>
    </row>
    <row r="4206">
      <c r="A4206">
        <f>$I$4-$B$5/10+$B$5*1/100</f>
        <v/>
      </c>
      <c r="B4206">
        <f>$J$4-$B$5/10+$B$5*5/100</f>
        <v/>
      </c>
      <c r="C4206">
        <f>SUMPRODUCT(Calc!$K$3:$K$22*(Calc!$G$3:$G$22&lt;=A4206))</f>
        <v/>
      </c>
      <c r="D4206">
        <f>SUMPRODUCT(Calc!$K$3:$K$22*(Calc!$G$3:$G$22&gt;A4206)*(Calc!$G$3:$G$22&lt;B4206))</f>
        <v/>
      </c>
      <c r="E4206">
        <f>SUMPRODUCT(Calc!$K$3:$K$22*(Calc!$G$3:$G$22&gt;=B4206))</f>
        <v/>
      </c>
      <c r="F4206">
        <f>AND(k_n&gt;=5,B4206&gt;A4206+1E-9,C4206&gt;=2,D4206&gt;=1,E4206&gt;=2)</f>
        <v/>
      </c>
      <c r="G4206">
        <f>SUMPRODUCT(Calc!$K$3:$K$22*(Calc!$G$3:$G$22&gt;A4206)*(Calc!$G$3:$G$22-A4206))</f>
        <v/>
      </c>
      <c r="H4206">
        <f>SUMPRODUCT(Calc!$K$3:$K$22*(Calc!$G$3:$G$22&gt;B4206)*(Calc!$G$3:$G$22-B4206))</f>
        <v/>
      </c>
      <c r="I4206">
        <f>SUMPRODUCT(Calc!$K$3:$K$22*(Calc!$G$3:$G$22&gt;A4206)*(Calc!$G$3:$G$22-A4206)^2)</f>
        <v/>
      </c>
      <c r="J4206">
        <f>SUMPRODUCT(Calc!$K$3:$K$22*(Calc!$G$3:$G$22&gt;B4206)*(Calc!$G$3:$G$22-B4206)^2)</f>
        <v/>
      </c>
      <c r="K4206">
        <f>SUMPRODUCT(Calc!$K$3:$K$22*(Calc!$G$3:$G$22&gt;A4206)*(Calc!$G$3:$G$22-A4206)*(Calc!$G$3:$G$22&gt;B4206)*(Calc!$G$3:$G$22-B4206))</f>
        <v/>
      </c>
      <c r="L4206">
        <f>SUMPRODUCT(Calc!$K$3:$K$22*(Calc!$G$3:$G$22&gt;A4206)*(Calc!$G$3:$G$22-A4206)*Calc!$G$3:$G$22)</f>
        <v/>
      </c>
      <c r="M4206">
        <f>SUMPRODUCT(Calc!$K$3:$K$22*(Calc!$G$3:$G$22&gt;B4206)*(Calc!$G$3:$G$22-B4206)*Calc!$G$3:$G$22)</f>
        <v/>
      </c>
      <c r="N4206">
        <f>SUMPRODUCT(Calc!$K$3:$K$22*(Calc!$G$3:$G$22&gt;A4206)*(Calc!$G$3:$G$22-A4206)*Calc!$I$3:$I$22)</f>
        <v/>
      </c>
      <c r="O4206">
        <f>SUMPRODUCT(Calc!$K$3:$K$22*(Calc!$G$3:$G$22&gt;B4206)*(Calc!$G$3:$G$22-B4206)*Calc!$I$3:$I$22)</f>
        <v/>
      </c>
      <c r="P4206">
        <f>I4206-G4206^2/k_n</f>
        <v/>
      </c>
      <c r="Q4206">
        <f>J4206-H4206^2/k_n</f>
        <v/>
      </c>
      <c r="R4206">
        <f>K4206-G4206*H4206/k_n</f>
        <v/>
      </c>
      <c r="S4206">
        <f>L4206-LTP3!$D$3*G4206/k_n</f>
        <v/>
      </c>
      <c r="T4206">
        <f>M4206-LTP3!$D$3*H4206/k_n</f>
        <v/>
      </c>
      <c r="U4206">
        <f>N4206-G4206*LTP3!$D$4/k_n</f>
        <v/>
      </c>
      <c r="V4206">
        <f>O4206-H4206*LTP3!$D$4/k_n</f>
        <v/>
      </c>
      <c r="W4206">
        <f>((LTP3!$D$5)*((P4206)*(Q4206)-(R4206)*(R4206))-(S4206)*((S4206)*(Q4206)-(R4206)*(T4206))+(T4206)*((S4206)*(R4206)-(P4206)*(T4206)))</f>
        <v/>
      </c>
      <c r="X4206">
        <f>IF(ABS(W4206)&gt;1E-12,((LTP3!$D$6)*((P4206)*(Q4206)-(R4206)*(R4206))-(S4206)*((U4206)*(Q4206)-(R4206)*(V4206))+(T4206)*((U4206)*(R4206)-(P4206)*(V4206)))/W4206,0)</f>
        <v/>
      </c>
      <c r="Y4206">
        <f>IF(ABS(W4206)&gt;1E-12,((LTP3!$D$5)*((U4206)*(Q4206)-(R4206)*(V4206))-(LTP3!$D$6)*((S4206)*(Q4206)-(R4206)*(T4206))+(T4206)*((S4206)*(V4206)-(U4206)*(T4206)))/W4206,0)</f>
        <v/>
      </c>
      <c r="Z4206">
        <f>IF(ABS(W4206)&gt;1E-12,((LTP3!$D$5)*((P4206)*(V4206)-(U4206)*(R4206))-(S4206)*((S4206)*(V4206)-(U4206)*(T4206))+(LTP3!$D$6)*((S4206)*(R4206)-(P4206)*(T4206)))/W4206,0)</f>
        <v/>
      </c>
      <c r="AA4206">
        <f>LTP3!$D$7-X4206*LTP3!$D$6-Y4206*U4206-Z4206*V4206</f>
        <v/>
      </c>
      <c r="AB4206">
        <f>IF(AND(F4206,ABS(W4206)&gt;1E-12,Y4206&gt;0,Z4206&gt;0),AA4206,1E+300)</f>
        <v/>
      </c>
    </row>
    <row r="4207">
      <c r="A4207">
        <f>$I$4-$B$5/10+$B$5*1/100</f>
        <v/>
      </c>
      <c r="B4207">
        <f>$J$4-$B$5/10+$B$5*6/100</f>
        <v/>
      </c>
      <c r="C4207">
        <f>SUMPRODUCT(Calc!$K$3:$K$22*(Calc!$G$3:$G$22&lt;=A4207))</f>
        <v/>
      </c>
      <c r="D4207">
        <f>SUMPRODUCT(Calc!$K$3:$K$22*(Calc!$G$3:$G$22&gt;A4207)*(Calc!$G$3:$G$22&lt;B4207))</f>
        <v/>
      </c>
      <c r="E4207">
        <f>SUMPRODUCT(Calc!$K$3:$K$22*(Calc!$G$3:$G$22&gt;=B4207))</f>
        <v/>
      </c>
      <c r="F4207">
        <f>AND(k_n&gt;=5,B4207&gt;A4207+1E-9,C4207&gt;=2,D4207&gt;=1,E4207&gt;=2)</f>
        <v/>
      </c>
      <c r="G4207">
        <f>SUMPRODUCT(Calc!$K$3:$K$22*(Calc!$G$3:$G$22&gt;A4207)*(Calc!$G$3:$G$22-A4207))</f>
        <v/>
      </c>
      <c r="H4207">
        <f>SUMPRODUCT(Calc!$K$3:$K$22*(Calc!$G$3:$G$22&gt;B4207)*(Calc!$G$3:$G$22-B4207))</f>
        <v/>
      </c>
      <c r="I4207">
        <f>SUMPRODUCT(Calc!$K$3:$K$22*(Calc!$G$3:$G$22&gt;A4207)*(Calc!$G$3:$G$22-A4207)^2)</f>
        <v/>
      </c>
      <c r="J4207">
        <f>SUMPRODUCT(Calc!$K$3:$K$22*(Calc!$G$3:$G$22&gt;B4207)*(Calc!$G$3:$G$22-B4207)^2)</f>
        <v/>
      </c>
      <c r="K4207">
        <f>SUMPRODUCT(Calc!$K$3:$K$22*(Calc!$G$3:$G$22&gt;A4207)*(Calc!$G$3:$G$22-A4207)*(Calc!$G$3:$G$22&gt;B4207)*(Calc!$G$3:$G$22-B4207))</f>
        <v/>
      </c>
      <c r="L4207">
        <f>SUMPRODUCT(Calc!$K$3:$K$22*(Calc!$G$3:$G$22&gt;A4207)*(Calc!$G$3:$G$22-A4207)*Calc!$G$3:$G$22)</f>
        <v/>
      </c>
      <c r="M4207">
        <f>SUMPRODUCT(Calc!$K$3:$K$22*(Calc!$G$3:$G$22&gt;B4207)*(Calc!$G$3:$G$22-B4207)*Calc!$G$3:$G$22)</f>
        <v/>
      </c>
      <c r="N4207">
        <f>SUMPRODUCT(Calc!$K$3:$K$22*(Calc!$G$3:$G$22&gt;A4207)*(Calc!$G$3:$G$22-A4207)*Calc!$I$3:$I$22)</f>
        <v/>
      </c>
      <c r="O4207">
        <f>SUMPRODUCT(Calc!$K$3:$K$22*(Calc!$G$3:$G$22&gt;B4207)*(Calc!$G$3:$G$22-B4207)*Calc!$I$3:$I$22)</f>
        <v/>
      </c>
      <c r="P4207">
        <f>I4207-G4207^2/k_n</f>
        <v/>
      </c>
      <c r="Q4207">
        <f>J4207-H4207^2/k_n</f>
        <v/>
      </c>
      <c r="R4207">
        <f>K4207-G4207*H4207/k_n</f>
        <v/>
      </c>
      <c r="S4207">
        <f>L4207-LTP3!$D$3*G4207/k_n</f>
        <v/>
      </c>
      <c r="T4207">
        <f>M4207-LTP3!$D$3*H4207/k_n</f>
        <v/>
      </c>
      <c r="U4207">
        <f>N4207-G4207*LTP3!$D$4/k_n</f>
        <v/>
      </c>
      <c r="V4207">
        <f>O4207-H4207*LTP3!$D$4/k_n</f>
        <v/>
      </c>
      <c r="W4207">
        <f>((LTP3!$D$5)*((P4207)*(Q4207)-(R4207)*(R4207))-(S4207)*((S4207)*(Q4207)-(R4207)*(T4207))+(T4207)*((S4207)*(R4207)-(P4207)*(T4207)))</f>
        <v/>
      </c>
      <c r="X4207">
        <f>IF(ABS(W4207)&gt;1E-12,((LTP3!$D$6)*((P4207)*(Q4207)-(R4207)*(R4207))-(S4207)*((U4207)*(Q4207)-(R4207)*(V4207))+(T4207)*((U4207)*(R4207)-(P4207)*(V4207)))/W4207,0)</f>
        <v/>
      </c>
      <c r="Y4207">
        <f>IF(ABS(W4207)&gt;1E-12,((LTP3!$D$5)*((U4207)*(Q4207)-(R4207)*(V4207))-(LTP3!$D$6)*((S4207)*(Q4207)-(R4207)*(T4207))+(T4207)*((S4207)*(V4207)-(U4207)*(T4207)))/W4207,0)</f>
        <v/>
      </c>
      <c r="Z4207">
        <f>IF(ABS(W4207)&gt;1E-12,((LTP3!$D$5)*((P4207)*(V4207)-(U4207)*(R4207))-(S4207)*((S4207)*(V4207)-(U4207)*(T4207))+(LTP3!$D$6)*((S4207)*(R4207)-(P4207)*(T4207)))/W4207,0)</f>
        <v/>
      </c>
      <c r="AA4207">
        <f>LTP3!$D$7-X4207*LTP3!$D$6-Y4207*U4207-Z4207*V4207</f>
        <v/>
      </c>
      <c r="AB4207">
        <f>IF(AND(F4207,ABS(W4207)&gt;1E-12,Y4207&gt;0,Z4207&gt;0),AA4207,1E+300)</f>
        <v/>
      </c>
    </row>
    <row r="4208">
      <c r="A4208">
        <f>$I$4-$B$5/10+$B$5*1/100</f>
        <v/>
      </c>
      <c r="B4208">
        <f>$J$4-$B$5/10+$B$5*7/100</f>
        <v/>
      </c>
      <c r="C4208">
        <f>SUMPRODUCT(Calc!$K$3:$K$22*(Calc!$G$3:$G$22&lt;=A4208))</f>
        <v/>
      </c>
      <c r="D4208">
        <f>SUMPRODUCT(Calc!$K$3:$K$22*(Calc!$G$3:$G$22&gt;A4208)*(Calc!$G$3:$G$22&lt;B4208))</f>
        <v/>
      </c>
      <c r="E4208">
        <f>SUMPRODUCT(Calc!$K$3:$K$22*(Calc!$G$3:$G$22&gt;=B4208))</f>
        <v/>
      </c>
      <c r="F4208">
        <f>AND(k_n&gt;=5,B4208&gt;A4208+1E-9,C4208&gt;=2,D4208&gt;=1,E4208&gt;=2)</f>
        <v/>
      </c>
      <c r="G4208">
        <f>SUMPRODUCT(Calc!$K$3:$K$22*(Calc!$G$3:$G$22&gt;A4208)*(Calc!$G$3:$G$22-A4208))</f>
        <v/>
      </c>
      <c r="H4208">
        <f>SUMPRODUCT(Calc!$K$3:$K$22*(Calc!$G$3:$G$22&gt;B4208)*(Calc!$G$3:$G$22-B4208))</f>
        <v/>
      </c>
      <c r="I4208">
        <f>SUMPRODUCT(Calc!$K$3:$K$22*(Calc!$G$3:$G$22&gt;A4208)*(Calc!$G$3:$G$22-A4208)^2)</f>
        <v/>
      </c>
      <c r="J4208">
        <f>SUMPRODUCT(Calc!$K$3:$K$22*(Calc!$G$3:$G$22&gt;B4208)*(Calc!$G$3:$G$22-B4208)^2)</f>
        <v/>
      </c>
      <c r="K4208">
        <f>SUMPRODUCT(Calc!$K$3:$K$22*(Calc!$G$3:$G$22&gt;A4208)*(Calc!$G$3:$G$22-A4208)*(Calc!$G$3:$G$22&gt;B4208)*(Calc!$G$3:$G$22-B4208))</f>
        <v/>
      </c>
      <c r="L4208">
        <f>SUMPRODUCT(Calc!$K$3:$K$22*(Calc!$G$3:$G$22&gt;A4208)*(Calc!$G$3:$G$22-A4208)*Calc!$G$3:$G$22)</f>
        <v/>
      </c>
      <c r="M4208">
        <f>SUMPRODUCT(Calc!$K$3:$K$22*(Calc!$G$3:$G$22&gt;B4208)*(Calc!$G$3:$G$22-B4208)*Calc!$G$3:$G$22)</f>
        <v/>
      </c>
      <c r="N4208">
        <f>SUMPRODUCT(Calc!$K$3:$K$22*(Calc!$G$3:$G$22&gt;A4208)*(Calc!$G$3:$G$22-A4208)*Calc!$I$3:$I$22)</f>
        <v/>
      </c>
      <c r="O4208">
        <f>SUMPRODUCT(Calc!$K$3:$K$22*(Calc!$G$3:$G$22&gt;B4208)*(Calc!$G$3:$G$22-B4208)*Calc!$I$3:$I$22)</f>
        <v/>
      </c>
      <c r="P4208">
        <f>I4208-G4208^2/k_n</f>
        <v/>
      </c>
      <c r="Q4208">
        <f>J4208-H4208^2/k_n</f>
        <v/>
      </c>
      <c r="R4208">
        <f>K4208-G4208*H4208/k_n</f>
        <v/>
      </c>
      <c r="S4208">
        <f>L4208-LTP3!$D$3*G4208/k_n</f>
        <v/>
      </c>
      <c r="T4208">
        <f>M4208-LTP3!$D$3*H4208/k_n</f>
        <v/>
      </c>
      <c r="U4208">
        <f>N4208-G4208*LTP3!$D$4/k_n</f>
        <v/>
      </c>
      <c r="V4208">
        <f>O4208-H4208*LTP3!$D$4/k_n</f>
        <v/>
      </c>
      <c r="W4208">
        <f>((LTP3!$D$5)*((P4208)*(Q4208)-(R4208)*(R4208))-(S4208)*((S4208)*(Q4208)-(R4208)*(T4208))+(T4208)*((S4208)*(R4208)-(P4208)*(T4208)))</f>
        <v/>
      </c>
      <c r="X4208">
        <f>IF(ABS(W4208)&gt;1E-12,((LTP3!$D$6)*((P4208)*(Q4208)-(R4208)*(R4208))-(S4208)*((U4208)*(Q4208)-(R4208)*(V4208))+(T4208)*((U4208)*(R4208)-(P4208)*(V4208)))/W4208,0)</f>
        <v/>
      </c>
      <c r="Y4208">
        <f>IF(ABS(W4208)&gt;1E-12,((LTP3!$D$5)*((U4208)*(Q4208)-(R4208)*(V4208))-(LTP3!$D$6)*((S4208)*(Q4208)-(R4208)*(T4208))+(T4208)*((S4208)*(V4208)-(U4208)*(T4208)))/W4208,0)</f>
        <v/>
      </c>
      <c r="Z4208">
        <f>IF(ABS(W4208)&gt;1E-12,((LTP3!$D$5)*((P4208)*(V4208)-(U4208)*(R4208))-(S4208)*((S4208)*(V4208)-(U4208)*(T4208))+(LTP3!$D$6)*((S4208)*(R4208)-(P4208)*(T4208)))/W4208,0)</f>
        <v/>
      </c>
      <c r="AA4208">
        <f>LTP3!$D$7-X4208*LTP3!$D$6-Y4208*U4208-Z4208*V4208</f>
        <v/>
      </c>
      <c r="AB4208">
        <f>IF(AND(F4208,ABS(W4208)&gt;1E-12,Y4208&gt;0,Z4208&gt;0),AA4208,1E+300)</f>
        <v/>
      </c>
    </row>
    <row r="4209">
      <c r="A4209">
        <f>$I$4-$B$5/10+$B$5*1/100</f>
        <v/>
      </c>
      <c r="B4209">
        <f>$J$4-$B$5/10+$B$5*8/100</f>
        <v/>
      </c>
      <c r="C4209">
        <f>SUMPRODUCT(Calc!$K$3:$K$22*(Calc!$G$3:$G$22&lt;=A4209))</f>
        <v/>
      </c>
      <c r="D4209">
        <f>SUMPRODUCT(Calc!$K$3:$K$22*(Calc!$G$3:$G$22&gt;A4209)*(Calc!$G$3:$G$22&lt;B4209))</f>
        <v/>
      </c>
      <c r="E4209">
        <f>SUMPRODUCT(Calc!$K$3:$K$22*(Calc!$G$3:$G$22&gt;=B4209))</f>
        <v/>
      </c>
      <c r="F4209">
        <f>AND(k_n&gt;=5,B4209&gt;A4209+1E-9,C4209&gt;=2,D4209&gt;=1,E4209&gt;=2)</f>
        <v/>
      </c>
      <c r="G4209">
        <f>SUMPRODUCT(Calc!$K$3:$K$22*(Calc!$G$3:$G$22&gt;A4209)*(Calc!$G$3:$G$22-A4209))</f>
        <v/>
      </c>
      <c r="H4209">
        <f>SUMPRODUCT(Calc!$K$3:$K$22*(Calc!$G$3:$G$22&gt;B4209)*(Calc!$G$3:$G$22-B4209))</f>
        <v/>
      </c>
      <c r="I4209">
        <f>SUMPRODUCT(Calc!$K$3:$K$22*(Calc!$G$3:$G$22&gt;A4209)*(Calc!$G$3:$G$22-A4209)^2)</f>
        <v/>
      </c>
      <c r="J4209">
        <f>SUMPRODUCT(Calc!$K$3:$K$22*(Calc!$G$3:$G$22&gt;B4209)*(Calc!$G$3:$G$22-B4209)^2)</f>
        <v/>
      </c>
      <c r="K4209">
        <f>SUMPRODUCT(Calc!$K$3:$K$22*(Calc!$G$3:$G$22&gt;A4209)*(Calc!$G$3:$G$22-A4209)*(Calc!$G$3:$G$22&gt;B4209)*(Calc!$G$3:$G$22-B4209))</f>
        <v/>
      </c>
      <c r="L4209">
        <f>SUMPRODUCT(Calc!$K$3:$K$22*(Calc!$G$3:$G$22&gt;A4209)*(Calc!$G$3:$G$22-A4209)*Calc!$G$3:$G$22)</f>
        <v/>
      </c>
      <c r="M4209">
        <f>SUMPRODUCT(Calc!$K$3:$K$22*(Calc!$G$3:$G$22&gt;B4209)*(Calc!$G$3:$G$22-B4209)*Calc!$G$3:$G$22)</f>
        <v/>
      </c>
      <c r="N4209">
        <f>SUMPRODUCT(Calc!$K$3:$K$22*(Calc!$G$3:$G$22&gt;A4209)*(Calc!$G$3:$G$22-A4209)*Calc!$I$3:$I$22)</f>
        <v/>
      </c>
      <c r="O4209">
        <f>SUMPRODUCT(Calc!$K$3:$K$22*(Calc!$G$3:$G$22&gt;B4209)*(Calc!$G$3:$G$22-B4209)*Calc!$I$3:$I$22)</f>
        <v/>
      </c>
      <c r="P4209">
        <f>I4209-G4209^2/k_n</f>
        <v/>
      </c>
      <c r="Q4209">
        <f>J4209-H4209^2/k_n</f>
        <v/>
      </c>
      <c r="R4209">
        <f>K4209-G4209*H4209/k_n</f>
        <v/>
      </c>
      <c r="S4209">
        <f>L4209-LTP3!$D$3*G4209/k_n</f>
        <v/>
      </c>
      <c r="T4209">
        <f>M4209-LTP3!$D$3*H4209/k_n</f>
        <v/>
      </c>
      <c r="U4209">
        <f>N4209-G4209*LTP3!$D$4/k_n</f>
        <v/>
      </c>
      <c r="V4209">
        <f>O4209-H4209*LTP3!$D$4/k_n</f>
        <v/>
      </c>
      <c r="W4209">
        <f>((LTP3!$D$5)*((P4209)*(Q4209)-(R4209)*(R4209))-(S4209)*((S4209)*(Q4209)-(R4209)*(T4209))+(T4209)*((S4209)*(R4209)-(P4209)*(T4209)))</f>
        <v/>
      </c>
      <c r="X4209">
        <f>IF(ABS(W4209)&gt;1E-12,((LTP3!$D$6)*((P4209)*(Q4209)-(R4209)*(R4209))-(S4209)*((U4209)*(Q4209)-(R4209)*(V4209))+(T4209)*((U4209)*(R4209)-(P4209)*(V4209)))/W4209,0)</f>
        <v/>
      </c>
      <c r="Y4209">
        <f>IF(ABS(W4209)&gt;1E-12,((LTP3!$D$5)*((U4209)*(Q4209)-(R4209)*(V4209))-(LTP3!$D$6)*((S4209)*(Q4209)-(R4209)*(T4209))+(T4209)*((S4209)*(V4209)-(U4209)*(T4209)))/W4209,0)</f>
        <v/>
      </c>
      <c r="Z4209">
        <f>IF(ABS(W4209)&gt;1E-12,((LTP3!$D$5)*((P4209)*(V4209)-(U4209)*(R4209))-(S4209)*((S4209)*(V4209)-(U4209)*(T4209))+(LTP3!$D$6)*((S4209)*(R4209)-(P4209)*(T4209)))/W4209,0)</f>
        <v/>
      </c>
      <c r="AA4209">
        <f>LTP3!$D$7-X4209*LTP3!$D$6-Y4209*U4209-Z4209*V4209</f>
        <v/>
      </c>
      <c r="AB4209">
        <f>IF(AND(F4209,ABS(W4209)&gt;1E-12,Y4209&gt;0,Z4209&gt;0),AA4209,1E+300)</f>
        <v/>
      </c>
    </row>
    <row r="4210">
      <c r="A4210">
        <f>$I$4-$B$5/10+$B$5*1/100</f>
        <v/>
      </c>
      <c r="B4210">
        <f>$J$4-$B$5/10+$B$5*9/100</f>
        <v/>
      </c>
      <c r="C4210">
        <f>SUMPRODUCT(Calc!$K$3:$K$22*(Calc!$G$3:$G$22&lt;=A4210))</f>
        <v/>
      </c>
      <c r="D4210">
        <f>SUMPRODUCT(Calc!$K$3:$K$22*(Calc!$G$3:$G$22&gt;A4210)*(Calc!$G$3:$G$22&lt;B4210))</f>
        <v/>
      </c>
      <c r="E4210">
        <f>SUMPRODUCT(Calc!$K$3:$K$22*(Calc!$G$3:$G$22&gt;=B4210))</f>
        <v/>
      </c>
      <c r="F4210">
        <f>AND(k_n&gt;=5,B4210&gt;A4210+1E-9,C4210&gt;=2,D4210&gt;=1,E4210&gt;=2)</f>
        <v/>
      </c>
      <c r="G4210">
        <f>SUMPRODUCT(Calc!$K$3:$K$22*(Calc!$G$3:$G$22&gt;A4210)*(Calc!$G$3:$G$22-A4210))</f>
        <v/>
      </c>
      <c r="H4210">
        <f>SUMPRODUCT(Calc!$K$3:$K$22*(Calc!$G$3:$G$22&gt;B4210)*(Calc!$G$3:$G$22-B4210))</f>
        <v/>
      </c>
      <c r="I4210">
        <f>SUMPRODUCT(Calc!$K$3:$K$22*(Calc!$G$3:$G$22&gt;A4210)*(Calc!$G$3:$G$22-A4210)^2)</f>
        <v/>
      </c>
      <c r="J4210">
        <f>SUMPRODUCT(Calc!$K$3:$K$22*(Calc!$G$3:$G$22&gt;B4210)*(Calc!$G$3:$G$22-B4210)^2)</f>
        <v/>
      </c>
      <c r="K4210">
        <f>SUMPRODUCT(Calc!$K$3:$K$22*(Calc!$G$3:$G$22&gt;A4210)*(Calc!$G$3:$G$22-A4210)*(Calc!$G$3:$G$22&gt;B4210)*(Calc!$G$3:$G$22-B4210))</f>
        <v/>
      </c>
      <c r="L4210">
        <f>SUMPRODUCT(Calc!$K$3:$K$22*(Calc!$G$3:$G$22&gt;A4210)*(Calc!$G$3:$G$22-A4210)*Calc!$G$3:$G$22)</f>
        <v/>
      </c>
      <c r="M4210">
        <f>SUMPRODUCT(Calc!$K$3:$K$22*(Calc!$G$3:$G$22&gt;B4210)*(Calc!$G$3:$G$22-B4210)*Calc!$G$3:$G$22)</f>
        <v/>
      </c>
      <c r="N4210">
        <f>SUMPRODUCT(Calc!$K$3:$K$22*(Calc!$G$3:$G$22&gt;A4210)*(Calc!$G$3:$G$22-A4210)*Calc!$I$3:$I$22)</f>
        <v/>
      </c>
      <c r="O4210">
        <f>SUMPRODUCT(Calc!$K$3:$K$22*(Calc!$G$3:$G$22&gt;B4210)*(Calc!$G$3:$G$22-B4210)*Calc!$I$3:$I$22)</f>
        <v/>
      </c>
      <c r="P4210">
        <f>I4210-G4210^2/k_n</f>
        <v/>
      </c>
      <c r="Q4210">
        <f>J4210-H4210^2/k_n</f>
        <v/>
      </c>
      <c r="R4210">
        <f>K4210-G4210*H4210/k_n</f>
        <v/>
      </c>
      <c r="S4210">
        <f>L4210-LTP3!$D$3*G4210/k_n</f>
        <v/>
      </c>
      <c r="T4210">
        <f>M4210-LTP3!$D$3*H4210/k_n</f>
        <v/>
      </c>
      <c r="U4210">
        <f>N4210-G4210*LTP3!$D$4/k_n</f>
        <v/>
      </c>
      <c r="V4210">
        <f>O4210-H4210*LTP3!$D$4/k_n</f>
        <v/>
      </c>
      <c r="W4210">
        <f>((LTP3!$D$5)*((P4210)*(Q4210)-(R4210)*(R4210))-(S4210)*((S4210)*(Q4210)-(R4210)*(T4210))+(T4210)*((S4210)*(R4210)-(P4210)*(T4210)))</f>
        <v/>
      </c>
      <c r="X4210">
        <f>IF(ABS(W4210)&gt;1E-12,((LTP3!$D$6)*((P4210)*(Q4210)-(R4210)*(R4210))-(S4210)*((U4210)*(Q4210)-(R4210)*(V4210))+(T4210)*((U4210)*(R4210)-(P4210)*(V4210)))/W4210,0)</f>
        <v/>
      </c>
      <c r="Y4210">
        <f>IF(ABS(W4210)&gt;1E-12,((LTP3!$D$5)*((U4210)*(Q4210)-(R4210)*(V4210))-(LTP3!$D$6)*((S4210)*(Q4210)-(R4210)*(T4210))+(T4210)*((S4210)*(V4210)-(U4210)*(T4210)))/W4210,0)</f>
        <v/>
      </c>
      <c r="Z4210">
        <f>IF(ABS(W4210)&gt;1E-12,((LTP3!$D$5)*((P4210)*(V4210)-(U4210)*(R4210))-(S4210)*((S4210)*(V4210)-(U4210)*(T4210))+(LTP3!$D$6)*((S4210)*(R4210)-(P4210)*(T4210)))/W4210,0)</f>
        <v/>
      </c>
      <c r="AA4210">
        <f>LTP3!$D$7-X4210*LTP3!$D$6-Y4210*U4210-Z4210*V4210</f>
        <v/>
      </c>
      <c r="AB4210">
        <f>IF(AND(F4210,ABS(W4210)&gt;1E-12,Y4210&gt;0,Z4210&gt;0),AA4210,1E+300)</f>
        <v/>
      </c>
    </row>
    <row r="4211">
      <c r="A4211">
        <f>$I$4-$B$5/10+$B$5*1/100</f>
        <v/>
      </c>
      <c r="B4211">
        <f>$J$4-$B$5/10+$B$5*10/100</f>
        <v/>
      </c>
      <c r="C4211">
        <f>SUMPRODUCT(Calc!$K$3:$K$22*(Calc!$G$3:$G$22&lt;=A4211))</f>
        <v/>
      </c>
      <c r="D4211">
        <f>SUMPRODUCT(Calc!$K$3:$K$22*(Calc!$G$3:$G$22&gt;A4211)*(Calc!$G$3:$G$22&lt;B4211))</f>
        <v/>
      </c>
      <c r="E4211">
        <f>SUMPRODUCT(Calc!$K$3:$K$22*(Calc!$G$3:$G$22&gt;=B4211))</f>
        <v/>
      </c>
      <c r="F4211">
        <f>AND(k_n&gt;=5,B4211&gt;A4211+1E-9,C4211&gt;=2,D4211&gt;=1,E4211&gt;=2)</f>
        <v/>
      </c>
      <c r="G4211">
        <f>SUMPRODUCT(Calc!$K$3:$K$22*(Calc!$G$3:$G$22&gt;A4211)*(Calc!$G$3:$G$22-A4211))</f>
        <v/>
      </c>
      <c r="H4211">
        <f>SUMPRODUCT(Calc!$K$3:$K$22*(Calc!$G$3:$G$22&gt;B4211)*(Calc!$G$3:$G$22-B4211))</f>
        <v/>
      </c>
      <c r="I4211">
        <f>SUMPRODUCT(Calc!$K$3:$K$22*(Calc!$G$3:$G$22&gt;A4211)*(Calc!$G$3:$G$22-A4211)^2)</f>
        <v/>
      </c>
      <c r="J4211">
        <f>SUMPRODUCT(Calc!$K$3:$K$22*(Calc!$G$3:$G$22&gt;B4211)*(Calc!$G$3:$G$22-B4211)^2)</f>
        <v/>
      </c>
      <c r="K4211">
        <f>SUMPRODUCT(Calc!$K$3:$K$22*(Calc!$G$3:$G$22&gt;A4211)*(Calc!$G$3:$G$22-A4211)*(Calc!$G$3:$G$22&gt;B4211)*(Calc!$G$3:$G$22-B4211))</f>
        <v/>
      </c>
      <c r="L4211">
        <f>SUMPRODUCT(Calc!$K$3:$K$22*(Calc!$G$3:$G$22&gt;A4211)*(Calc!$G$3:$G$22-A4211)*Calc!$G$3:$G$22)</f>
        <v/>
      </c>
      <c r="M4211">
        <f>SUMPRODUCT(Calc!$K$3:$K$22*(Calc!$G$3:$G$22&gt;B4211)*(Calc!$G$3:$G$22-B4211)*Calc!$G$3:$G$22)</f>
        <v/>
      </c>
      <c r="N4211">
        <f>SUMPRODUCT(Calc!$K$3:$K$22*(Calc!$G$3:$G$22&gt;A4211)*(Calc!$G$3:$G$22-A4211)*Calc!$I$3:$I$22)</f>
        <v/>
      </c>
      <c r="O4211">
        <f>SUMPRODUCT(Calc!$K$3:$K$22*(Calc!$G$3:$G$22&gt;B4211)*(Calc!$G$3:$G$22-B4211)*Calc!$I$3:$I$22)</f>
        <v/>
      </c>
      <c r="P4211">
        <f>I4211-G4211^2/k_n</f>
        <v/>
      </c>
      <c r="Q4211">
        <f>J4211-H4211^2/k_n</f>
        <v/>
      </c>
      <c r="R4211">
        <f>K4211-G4211*H4211/k_n</f>
        <v/>
      </c>
      <c r="S4211">
        <f>L4211-LTP3!$D$3*G4211/k_n</f>
        <v/>
      </c>
      <c r="T4211">
        <f>M4211-LTP3!$D$3*H4211/k_n</f>
        <v/>
      </c>
      <c r="U4211">
        <f>N4211-G4211*LTP3!$D$4/k_n</f>
        <v/>
      </c>
      <c r="V4211">
        <f>O4211-H4211*LTP3!$D$4/k_n</f>
        <v/>
      </c>
      <c r="W4211">
        <f>((LTP3!$D$5)*((P4211)*(Q4211)-(R4211)*(R4211))-(S4211)*((S4211)*(Q4211)-(R4211)*(T4211))+(T4211)*((S4211)*(R4211)-(P4211)*(T4211)))</f>
        <v/>
      </c>
      <c r="X4211">
        <f>IF(ABS(W4211)&gt;1E-12,((LTP3!$D$6)*((P4211)*(Q4211)-(R4211)*(R4211))-(S4211)*((U4211)*(Q4211)-(R4211)*(V4211))+(T4211)*((U4211)*(R4211)-(P4211)*(V4211)))/W4211,0)</f>
        <v/>
      </c>
      <c r="Y4211">
        <f>IF(ABS(W4211)&gt;1E-12,((LTP3!$D$5)*((U4211)*(Q4211)-(R4211)*(V4211))-(LTP3!$D$6)*((S4211)*(Q4211)-(R4211)*(T4211))+(T4211)*((S4211)*(V4211)-(U4211)*(T4211)))/W4211,0)</f>
        <v/>
      </c>
      <c r="Z4211">
        <f>IF(ABS(W4211)&gt;1E-12,((LTP3!$D$5)*((P4211)*(V4211)-(U4211)*(R4211))-(S4211)*((S4211)*(V4211)-(U4211)*(T4211))+(LTP3!$D$6)*((S4211)*(R4211)-(P4211)*(T4211)))/W4211,0)</f>
        <v/>
      </c>
      <c r="AA4211">
        <f>LTP3!$D$7-X4211*LTP3!$D$6-Y4211*U4211-Z4211*V4211</f>
        <v/>
      </c>
      <c r="AB4211">
        <f>IF(AND(F4211,ABS(W4211)&gt;1E-12,Y4211&gt;0,Z4211&gt;0),AA4211,1E+300)</f>
        <v/>
      </c>
    </row>
    <row r="4212">
      <c r="A4212">
        <f>$I$4-$B$5/10+$B$5*1/100</f>
        <v/>
      </c>
      <c r="B4212">
        <f>$J$4-$B$5/10+$B$5*11/100</f>
        <v/>
      </c>
      <c r="C4212">
        <f>SUMPRODUCT(Calc!$K$3:$K$22*(Calc!$G$3:$G$22&lt;=A4212))</f>
        <v/>
      </c>
      <c r="D4212">
        <f>SUMPRODUCT(Calc!$K$3:$K$22*(Calc!$G$3:$G$22&gt;A4212)*(Calc!$G$3:$G$22&lt;B4212))</f>
        <v/>
      </c>
      <c r="E4212">
        <f>SUMPRODUCT(Calc!$K$3:$K$22*(Calc!$G$3:$G$22&gt;=B4212))</f>
        <v/>
      </c>
      <c r="F4212">
        <f>AND(k_n&gt;=5,B4212&gt;A4212+1E-9,C4212&gt;=2,D4212&gt;=1,E4212&gt;=2)</f>
        <v/>
      </c>
      <c r="G4212">
        <f>SUMPRODUCT(Calc!$K$3:$K$22*(Calc!$G$3:$G$22&gt;A4212)*(Calc!$G$3:$G$22-A4212))</f>
        <v/>
      </c>
      <c r="H4212">
        <f>SUMPRODUCT(Calc!$K$3:$K$22*(Calc!$G$3:$G$22&gt;B4212)*(Calc!$G$3:$G$22-B4212))</f>
        <v/>
      </c>
      <c r="I4212">
        <f>SUMPRODUCT(Calc!$K$3:$K$22*(Calc!$G$3:$G$22&gt;A4212)*(Calc!$G$3:$G$22-A4212)^2)</f>
        <v/>
      </c>
      <c r="J4212">
        <f>SUMPRODUCT(Calc!$K$3:$K$22*(Calc!$G$3:$G$22&gt;B4212)*(Calc!$G$3:$G$22-B4212)^2)</f>
        <v/>
      </c>
      <c r="K4212">
        <f>SUMPRODUCT(Calc!$K$3:$K$22*(Calc!$G$3:$G$22&gt;A4212)*(Calc!$G$3:$G$22-A4212)*(Calc!$G$3:$G$22&gt;B4212)*(Calc!$G$3:$G$22-B4212))</f>
        <v/>
      </c>
      <c r="L4212">
        <f>SUMPRODUCT(Calc!$K$3:$K$22*(Calc!$G$3:$G$22&gt;A4212)*(Calc!$G$3:$G$22-A4212)*Calc!$G$3:$G$22)</f>
        <v/>
      </c>
      <c r="M4212">
        <f>SUMPRODUCT(Calc!$K$3:$K$22*(Calc!$G$3:$G$22&gt;B4212)*(Calc!$G$3:$G$22-B4212)*Calc!$G$3:$G$22)</f>
        <v/>
      </c>
      <c r="N4212">
        <f>SUMPRODUCT(Calc!$K$3:$K$22*(Calc!$G$3:$G$22&gt;A4212)*(Calc!$G$3:$G$22-A4212)*Calc!$I$3:$I$22)</f>
        <v/>
      </c>
      <c r="O4212">
        <f>SUMPRODUCT(Calc!$K$3:$K$22*(Calc!$G$3:$G$22&gt;B4212)*(Calc!$G$3:$G$22-B4212)*Calc!$I$3:$I$22)</f>
        <v/>
      </c>
      <c r="P4212">
        <f>I4212-G4212^2/k_n</f>
        <v/>
      </c>
      <c r="Q4212">
        <f>J4212-H4212^2/k_n</f>
        <v/>
      </c>
      <c r="R4212">
        <f>K4212-G4212*H4212/k_n</f>
        <v/>
      </c>
      <c r="S4212">
        <f>L4212-LTP3!$D$3*G4212/k_n</f>
        <v/>
      </c>
      <c r="T4212">
        <f>M4212-LTP3!$D$3*H4212/k_n</f>
        <v/>
      </c>
      <c r="U4212">
        <f>N4212-G4212*LTP3!$D$4/k_n</f>
        <v/>
      </c>
      <c r="V4212">
        <f>O4212-H4212*LTP3!$D$4/k_n</f>
        <v/>
      </c>
      <c r="W4212">
        <f>((LTP3!$D$5)*((P4212)*(Q4212)-(R4212)*(R4212))-(S4212)*((S4212)*(Q4212)-(R4212)*(T4212))+(T4212)*((S4212)*(R4212)-(P4212)*(T4212)))</f>
        <v/>
      </c>
      <c r="X4212">
        <f>IF(ABS(W4212)&gt;1E-12,((LTP3!$D$6)*((P4212)*(Q4212)-(R4212)*(R4212))-(S4212)*((U4212)*(Q4212)-(R4212)*(V4212))+(T4212)*((U4212)*(R4212)-(P4212)*(V4212)))/W4212,0)</f>
        <v/>
      </c>
      <c r="Y4212">
        <f>IF(ABS(W4212)&gt;1E-12,((LTP3!$D$5)*((U4212)*(Q4212)-(R4212)*(V4212))-(LTP3!$D$6)*((S4212)*(Q4212)-(R4212)*(T4212))+(T4212)*((S4212)*(V4212)-(U4212)*(T4212)))/W4212,0)</f>
        <v/>
      </c>
      <c r="Z4212">
        <f>IF(ABS(W4212)&gt;1E-12,((LTP3!$D$5)*((P4212)*(V4212)-(U4212)*(R4212))-(S4212)*((S4212)*(V4212)-(U4212)*(T4212))+(LTP3!$D$6)*((S4212)*(R4212)-(P4212)*(T4212)))/W4212,0)</f>
        <v/>
      </c>
      <c r="AA4212">
        <f>LTP3!$D$7-X4212*LTP3!$D$6-Y4212*U4212-Z4212*V4212</f>
        <v/>
      </c>
      <c r="AB4212">
        <f>IF(AND(F4212,ABS(W4212)&gt;1E-12,Y4212&gt;0,Z4212&gt;0),AA4212,1E+300)</f>
        <v/>
      </c>
    </row>
    <row r="4213">
      <c r="A4213">
        <f>$I$4-$B$5/10+$B$5*1/100</f>
        <v/>
      </c>
      <c r="B4213">
        <f>$J$4-$B$5/10+$B$5*12/100</f>
        <v/>
      </c>
      <c r="C4213">
        <f>SUMPRODUCT(Calc!$K$3:$K$22*(Calc!$G$3:$G$22&lt;=A4213))</f>
        <v/>
      </c>
      <c r="D4213">
        <f>SUMPRODUCT(Calc!$K$3:$K$22*(Calc!$G$3:$G$22&gt;A4213)*(Calc!$G$3:$G$22&lt;B4213))</f>
        <v/>
      </c>
      <c r="E4213">
        <f>SUMPRODUCT(Calc!$K$3:$K$22*(Calc!$G$3:$G$22&gt;=B4213))</f>
        <v/>
      </c>
      <c r="F4213">
        <f>AND(k_n&gt;=5,B4213&gt;A4213+1E-9,C4213&gt;=2,D4213&gt;=1,E4213&gt;=2)</f>
        <v/>
      </c>
      <c r="G4213">
        <f>SUMPRODUCT(Calc!$K$3:$K$22*(Calc!$G$3:$G$22&gt;A4213)*(Calc!$G$3:$G$22-A4213))</f>
        <v/>
      </c>
      <c r="H4213">
        <f>SUMPRODUCT(Calc!$K$3:$K$22*(Calc!$G$3:$G$22&gt;B4213)*(Calc!$G$3:$G$22-B4213))</f>
        <v/>
      </c>
      <c r="I4213">
        <f>SUMPRODUCT(Calc!$K$3:$K$22*(Calc!$G$3:$G$22&gt;A4213)*(Calc!$G$3:$G$22-A4213)^2)</f>
        <v/>
      </c>
      <c r="J4213">
        <f>SUMPRODUCT(Calc!$K$3:$K$22*(Calc!$G$3:$G$22&gt;B4213)*(Calc!$G$3:$G$22-B4213)^2)</f>
        <v/>
      </c>
      <c r="K4213">
        <f>SUMPRODUCT(Calc!$K$3:$K$22*(Calc!$G$3:$G$22&gt;A4213)*(Calc!$G$3:$G$22-A4213)*(Calc!$G$3:$G$22&gt;B4213)*(Calc!$G$3:$G$22-B4213))</f>
        <v/>
      </c>
      <c r="L4213">
        <f>SUMPRODUCT(Calc!$K$3:$K$22*(Calc!$G$3:$G$22&gt;A4213)*(Calc!$G$3:$G$22-A4213)*Calc!$G$3:$G$22)</f>
        <v/>
      </c>
      <c r="M4213">
        <f>SUMPRODUCT(Calc!$K$3:$K$22*(Calc!$G$3:$G$22&gt;B4213)*(Calc!$G$3:$G$22-B4213)*Calc!$G$3:$G$22)</f>
        <v/>
      </c>
      <c r="N4213">
        <f>SUMPRODUCT(Calc!$K$3:$K$22*(Calc!$G$3:$G$22&gt;A4213)*(Calc!$G$3:$G$22-A4213)*Calc!$I$3:$I$22)</f>
        <v/>
      </c>
      <c r="O4213">
        <f>SUMPRODUCT(Calc!$K$3:$K$22*(Calc!$G$3:$G$22&gt;B4213)*(Calc!$G$3:$G$22-B4213)*Calc!$I$3:$I$22)</f>
        <v/>
      </c>
      <c r="P4213">
        <f>I4213-G4213^2/k_n</f>
        <v/>
      </c>
      <c r="Q4213">
        <f>J4213-H4213^2/k_n</f>
        <v/>
      </c>
      <c r="R4213">
        <f>K4213-G4213*H4213/k_n</f>
        <v/>
      </c>
      <c r="S4213">
        <f>L4213-LTP3!$D$3*G4213/k_n</f>
        <v/>
      </c>
      <c r="T4213">
        <f>M4213-LTP3!$D$3*H4213/k_n</f>
        <v/>
      </c>
      <c r="U4213">
        <f>N4213-G4213*LTP3!$D$4/k_n</f>
        <v/>
      </c>
      <c r="V4213">
        <f>O4213-H4213*LTP3!$D$4/k_n</f>
        <v/>
      </c>
      <c r="W4213">
        <f>((LTP3!$D$5)*((P4213)*(Q4213)-(R4213)*(R4213))-(S4213)*((S4213)*(Q4213)-(R4213)*(T4213))+(T4213)*((S4213)*(R4213)-(P4213)*(T4213)))</f>
        <v/>
      </c>
      <c r="X4213">
        <f>IF(ABS(W4213)&gt;1E-12,((LTP3!$D$6)*((P4213)*(Q4213)-(R4213)*(R4213))-(S4213)*((U4213)*(Q4213)-(R4213)*(V4213))+(T4213)*((U4213)*(R4213)-(P4213)*(V4213)))/W4213,0)</f>
        <v/>
      </c>
      <c r="Y4213">
        <f>IF(ABS(W4213)&gt;1E-12,((LTP3!$D$5)*((U4213)*(Q4213)-(R4213)*(V4213))-(LTP3!$D$6)*((S4213)*(Q4213)-(R4213)*(T4213))+(T4213)*((S4213)*(V4213)-(U4213)*(T4213)))/W4213,0)</f>
        <v/>
      </c>
      <c r="Z4213">
        <f>IF(ABS(W4213)&gt;1E-12,((LTP3!$D$5)*((P4213)*(V4213)-(U4213)*(R4213))-(S4213)*((S4213)*(V4213)-(U4213)*(T4213))+(LTP3!$D$6)*((S4213)*(R4213)-(P4213)*(T4213)))/W4213,0)</f>
        <v/>
      </c>
      <c r="AA4213">
        <f>LTP3!$D$7-X4213*LTP3!$D$6-Y4213*U4213-Z4213*V4213</f>
        <v/>
      </c>
      <c r="AB4213">
        <f>IF(AND(F4213,ABS(W4213)&gt;1E-12,Y4213&gt;0,Z4213&gt;0),AA4213,1E+300)</f>
        <v/>
      </c>
    </row>
    <row r="4214">
      <c r="A4214">
        <f>$I$4-$B$5/10+$B$5*1/100</f>
        <v/>
      </c>
      <c r="B4214">
        <f>$J$4-$B$5/10+$B$5*13/100</f>
        <v/>
      </c>
      <c r="C4214">
        <f>SUMPRODUCT(Calc!$K$3:$K$22*(Calc!$G$3:$G$22&lt;=A4214))</f>
        <v/>
      </c>
      <c r="D4214">
        <f>SUMPRODUCT(Calc!$K$3:$K$22*(Calc!$G$3:$G$22&gt;A4214)*(Calc!$G$3:$G$22&lt;B4214))</f>
        <v/>
      </c>
      <c r="E4214">
        <f>SUMPRODUCT(Calc!$K$3:$K$22*(Calc!$G$3:$G$22&gt;=B4214))</f>
        <v/>
      </c>
      <c r="F4214">
        <f>AND(k_n&gt;=5,B4214&gt;A4214+1E-9,C4214&gt;=2,D4214&gt;=1,E4214&gt;=2)</f>
        <v/>
      </c>
      <c r="G4214">
        <f>SUMPRODUCT(Calc!$K$3:$K$22*(Calc!$G$3:$G$22&gt;A4214)*(Calc!$G$3:$G$22-A4214))</f>
        <v/>
      </c>
      <c r="H4214">
        <f>SUMPRODUCT(Calc!$K$3:$K$22*(Calc!$G$3:$G$22&gt;B4214)*(Calc!$G$3:$G$22-B4214))</f>
        <v/>
      </c>
      <c r="I4214">
        <f>SUMPRODUCT(Calc!$K$3:$K$22*(Calc!$G$3:$G$22&gt;A4214)*(Calc!$G$3:$G$22-A4214)^2)</f>
        <v/>
      </c>
      <c r="J4214">
        <f>SUMPRODUCT(Calc!$K$3:$K$22*(Calc!$G$3:$G$22&gt;B4214)*(Calc!$G$3:$G$22-B4214)^2)</f>
        <v/>
      </c>
      <c r="K4214">
        <f>SUMPRODUCT(Calc!$K$3:$K$22*(Calc!$G$3:$G$22&gt;A4214)*(Calc!$G$3:$G$22-A4214)*(Calc!$G$3:$G$22&gt;B4214)*(Calc!$G$3:$G$22-B4214))</f>
        <v/>
      </c>
      <c r="L4214">
        <f>SUMPRODUCT(Calc!$K$3:$K$22*(Calc!$G$3:$G$22&gt;A4214)*(Calc!$G$3:$G$22-A4214)*Calc!$G$3:$G$22)</f>
        <v/>
      </c>
      <c r="M4214">
        <f>SUMPRODUCT(Calc!$K$3:$K$22*(Calc!$G$3:$G$22&gt;B4214)*(Calc!$G$3:$G$22-B4214)*Calc!$G$3:$G$22)</f>
        <v/>
      </c>
      <c r="N4214">
        <f>SUMPRODUCT(Calc!$K$3:$K$22*(Calc!$G$3:$G$22&gt;A4214)*(Calc!$G$3:$G$22-A4214)*Calc!$I$3:$I$22)</f>
        <v/>
      </c>
      <c r="O4214">
        <f>SUMPRODUCT(Calc!$K$3:$K$22*(Calc!$G$3:$G$22&gt;B4214)*(Calc!$G$3:$G$22-B4214)*Calc!$I$3:$I$22)</f>
        <v/>
      </c>
      <c r="P4214">
        <f>I4214-G4214^2/k_n</f>
        <v/>
      </c>
      <c r="Q4214">
        <f>J4214-H4214^2/k_n</f>
        <v/>
      </c>
      <c r="R4214">
        <f>K4214-G4214*H4214/k_n</f>
        <v/>
      </c>
      <c r="S4214">
        <f>L4214-LTP3!$D$3*G4214/k_n</f>
        <v/>
      </c>
      <c r="T4214">
        <f>M4214-LTP3!$D$3*H4214/k_n</f>
        <v/>
      </c>
      <c r="U4214">
        <f>N4214-G4214*LTP3!$D$4/k_n</f>
        <v/>
      </c>
      <c r="V4214">
        <f>O4214-H4214*LTP3!$D$4/k_n</f>
        <v/>
      </c>
      <c r="W4214">
        <f>((LTP3!$D$5)*((P4214)*(Q4214)-(R4214)*(R4214))-(S4214)*((S4214)*(Q4214)-(R4214)*(T4214))+(T4214)*((S4214)*(R4214)-(P4214)*(T4214)))</f>
        <v/>
      </c>
      <c r="X4214">
        <f>IF(ABS(W4214)&gt;1E-12,((LTP3!$D$6)*((P4214)*(Q4214)-(R4214)*(R4214))-(S4214)*((U4214)*(Q4214)-(R4214)*(V4214))+(T4214)*((U4214)*(R4214)-(P4214)*(V4214)))/W4214,0)</f>
        <v/>
      </c>
      <c r="Y4214">
        <f>IF(ABS(W4214)&gt;1E-12,((LTP3!$D$5)*((U4214)*(Q4214)-(R4214)*(V4214))-(LTP3!$D$6)*((S4214)*(Q4214)-(R4214)*(T4214))+(T4214)*((S4214)*(V4214)-(U4214)*(T4214)))/W4214,0)</f>
        <v/>
      </c>
      <c r="Z4214">
        <f>IF(ABS(W4214)&gt;1E-12,((LTP3!$D$5)*((P4214)*(V4214)-(U4214)*(R4214))-(S4214)*((S4214)*(V4214)-(U4214)*(T4214))+(LTP3!$D$6)*((S4214)*(R4214)-(P4214)*(T4214)))/W4214,0)</f>
        <v/>
      </c>
      <c r="AA4214">
        <f>LTP3!$D$7-X4214*LTP3!$D$6-Y4214*U4214-Z4214*V4214</f>
        <v/>
      </c>
      <c r="AB4214">
        <f>IF(AND(F4214,ABS(W4214)&gt;1E-12,Y4214&gt;0,Z4214&gt;0),AA4214,1E+300)</f>
        <v/>
      </c>
    </row>
    <row r="4215">
      <c r="A4215">
        <f>$I$4-$B$5/10+$B$5*1/100</f>
        <v/>
      </c>
      <c r="B4215">
        <f>$J$4-$B$5/10+$B$5*14/100</f>
        <v/>
      </c>
      <c r="C4215">
        <f>SUMPRODUCT(Calc!$K$3:$K$22*(Calc!$G$3:$G$22&lt;=A4215))</f>
        <v/>
      </c>
      <c r="D4215">
        <f>SUMPRODUCT(Calc!$K$3:$K$22*(Calc!$G$3:$G$22&gt;A4215)*(Calc!$G$3:$G$22&lt;B4215))</f>
        <v/>
      </c>
      <c r="E4215">
        <f>SUMPRODUCT(Calc!$K$3:$K$22*(Calc!$G$3:$G$22&gt;=B4215))</f>
        <v/>
      </c>
      <c r="F4215">
        <f>AND(k_n&gt;=5,B4215&gt;A4215+1E-9,C4215&gt;=2,D4215&gt;=1,E4215&gt;=2)</f>
        <v/>
      </c>
      <c r="G4215">
        <f>SUMPRODUCT(Calc!$K$3:$K$22*(Calc!$G$3:$G$22&gt;A4215)*(Calc!$G$3:$G$22-A4215))</f>
        <v/>
      </c>
      <c r="H4215">
        <f>SUMPRODUCT(Calc!$K$3:$K$22*(Calc!$G$3:$G$22&gt;B4215)*(Calc!$G$3:$G$22-B4215))</f>
        <v/>
      </c>
      <c r="I4215">
        <f>SUMPRODUCT(Calc!$K$3:$K$22*(Calc!$G$3:$G$22&gt;A4215)*(Calc!$G$3:$G$22-A4215)^2)</f>
        <v/>
      </c>
      <c r="J4215">
        <f>SUMPRODUCT(Calc!$K$3:$K$22*(Calc!$G$3:$G$22&gt;B4215)*(Calc!$G$3:$G$22-B4215)^2)</f>
        <v/>
      </c>
      <c r="K4215">
        <f>SUMPRODUCT(Calc!$K$3:$K$22*(Calc!$G$3:$G$22&gt;A4215)*(Calc!$G$3:$G$22-A4215)*(Calc!$G$3:$G$22&gt;B4215)*(Calc!$G$3:$G$22-B4215))</f>
        <v/>
      </c>
      <c r="L4215">
        <f>SUMPRODUCT(Calc!$K$3:$K$22*(Calc!$G$3:$G$22&gt;A4215)*(Calc!$G$3:$G$22-A4215)*Calc!$G$3:$G$22)</f>
        <v/>
      </c>
      <c r="M4215">
        <f>SUMPRODUCT(Calc!$K$3:$K$22*(Calc!$G$3:$G$22&gt;B4215)*(Calc!$G$3:$G$22-B4215)*Calc!$G$3:$G$22)</f>
        <v/>
      </c>
      <c r="N4215">
        <f>SUMPRODUCT(Calc!$K$3:$K$22*(Calc!$G$3:$G$22&gt;A4215)*(Calc!$G$3:$G$22-A4215)*Calc!$I$3:$I$22)</f>
        <v/>
      </c>
      <c r="O4215">
        <f>SUMPRODUCT(Calc!$K$3:$K$22*(Calc!$G$3:$G$22&gt;B4215)*(Calc!$G$3:$G$22-B4215)*Calc!$I$3:$I$22)</f>
        <v/>
      </c>
      <c r="P4215">
        <f>I4215-G4215^2/k_n</f>
        <v/>
      </c>
      <c r="Q4215">
        <f>J4215-H4215^2/k_n</f>
        <v/>
      </c>
      <c r="R4215">
        <f>K4215-G4215*H4215/k_n</f>
        <v/>
      </c>
      <c r="S4215">
        <f>L4215-LTP3!$D$3*G4215/k_n</f>
        <v/>
      </c>
      <c r="T4215">
        <f>M4215-LTP3!$D$3*H4215/k_n</f>
        <v/>
      </c>
      <c r="U4215">
        <f>N4215-G4215*LTP3!$D$4/k_n</f>
        <v/>
      </c>
      <c r="V4215">
        <f>O4215-H4215*LTP3!$D$4/k_n</f>
        <v/>
      </c>
      <c r="W4215">
        <f>((LTP3!$D$5)*((P4215)*(Q4215)-(R4215)*(R4215))-(S4215)*((S4215)*(Q4215)-(R4215)*(T4215))+(T4215)*((S4215)*(R4215)-(P4215)*(T4215)))</f>
        <v/>
      </c>
      <c r="X4215">
        <f>IF(ABS(W4215)&gt;1E-12,((LTP3!$D$6)*((P4215)*(Q4215)-(R4215)*(R4215))-(S4215)*((U4215)*(Q4215)-(R4215)*(V4215))+(T4215)*((U4215)*(R4215)-(P4215)*(V4215)))/W4215,0)</f>
        <v/>
      </c>
      <c r="Y4215">
        <f>IF(ABS(W4215)&gt;1E-12,((LTP3!$D$5)*((U4215)*(Q4215)-(R4215)*(V4215))-(LTP3!$D$6)*((S4215)*(Q4215)-(R4215)*(T4215))+(T4215)*((S4215)*(V4215)-(U4215)*(T4215)))/W4215,0)</f>
        <v/>
      </c>
      <c r="Z4215">
        <f>IF(ABS(W4215)&gt;1E-12,((LTP3!$D$5)*((P4215)*(V4215)-(U4215)*(R4215))-(S4215)*((S4215)*(V4215)-(U4215)*(T4215))+(LTP3!$D$6)*((S4215)*(R4215)-(P4215)*(T4215)))/W4215,0)</f>
        <v/>
      </c>
      <c r="AA4215">
        <f>LTP3!$D$7-X4215*LTP3!$D$6-Y4215*U4215-Z4215*V4215</f>
        <v/>
      </c>
      <c r="AB4215">
        <f>IF(AND(F4215,ABS(W4215)&gt;1E-12,Y4215&gt;0,Z4215&gt;0),AA4215,1E+300)</f>
        <v/>
      </c>
    </row>
    <row r="4216">
      <c r="A4216">
        <f>$I$4-$B$5/10+$B$5*1/100</f>
        <v/>
      </c>
      <c r="B4216">
        <f>$J$4-$B$5/10+$B$5*15/100</f>
        <v/>
      </c>
      <c r="C4216">
        <f>SUMPRODUCT(Calc!$K$3:$K$22*(Calc!$G$3:$G$22&lt;=A4216))</f>
        <v/>
      </c>
      <c r="D4216">
        <f>SUMPRODUCT(Calc!$K$3:$K$22*(Calc!$G$3:$G$22&gt;A4216)*(Calc!$G$3:$G$22&lt;B4216))</f>
        <v/>
      </c>
      <c r="E4216">
        <f>SUMPRODUCT(Calc!$K$3:$K$22*(Calc!$G$3:$G$22&gt;=B4216))</f>
        <v/>
      </c>
      <c r="F4216">
        <f>AND(k_n&gt;=5,B4216&gt;A4216+1E-9,C4216&gt;=2,D4216&gt;=1,E4216&gt;=2)</f>
        <v/>
      </c>
      <c r="G4216">
        <f>SUMPRODUCT(Calc!$K$3:$K$22*(Calc!$G$3:$G$22&gt;A4216)*(Calc!$G$3:$G$22-A4216))</f>
        <v/>
      </c>
      <c r="H4216">
        <f>SUMPRODUCT(Calc!$K$3:$K$22*(Calc!$G$3:$G$22&gt;B4216)*(Calc!$G$3:$G$22-B4216))</f>
        <v/>
      </c>
      <c r="I4216">
        <f>SUMPRODUCT(Calc!$K$3:$K$22*(Calc!$G$3:$G$22&gt;A4216)*(Calc!$G$3:$G$22-A4216)^2)</f>
        <v/>
      </c>
      <c r="J4216">
        <f>SUMPRODUCT(Calc!$K$3:$K$22*(Calc!$G$3:$G$22&gt;B4216)*(Calc!$G$3:$G$22-B4216)^2)</f>
        <v/>
      </c>
      <c r="K4216">
        <f>SUMPRODUCT(Calc!$K$3:$K$22*(Calc!$G$3:$G$22&gt;A4216)*(Calc!$G$3:$G$22-A4216)*(Calc!$G$3:$G$22&gt;B4216)*(Calc!$G$3:$G$22-B4216))</f>
        <v/>
      </c>
      <c r="L4216">
        <f>SUMPRODUCT(Calc!$K$3:$K$22*(Calc!$G$3:$G$22&gt;A4216)*(Calc!$G$3:$G$22-A4216)*Calc!$G$3:$G$22)</f>
        <v/>
      </c>
      <c r="M4216">
        <f>SUMPRODUCT(Calc!$K$3:$K$22*(Calc!$G$3:$G$22&gt;B4216)*(Calc!$G$3:$G$22-B4216)*Calc!$G$3:$G$22)</f>
        <v/>
      </c>
      <c r="N4216">
        <f>SUMPRODUCT(Calc!$K$3:$K$22*(Calc!$G$3:$G$22&gt;A4216)*(Calc!$G$3:$G$22-A4216)*Calc!$I$3:$I$22)</f>
        <v/>
      </c>
      <c r="O4216">
        <f>SUMPRODUCT(Calc!$K$3:$K$22*(Calc!$G$3:$G$22&gt;B4216)*(Calc!$G$3:$G$22-B4216)*Calc!$I$3:$I$22)</f>
        <v/>
      </c>
      <c r="P4216">
        <f>I4216-G4216^2/k_n</f>
        <v/>
      </c>
      <c r="Q4216">
        <f>J4216-H4216^2/k_n</f>
        <v/>
      </c>
      <c r="R4216">
        <f>K4216-G4216*H4216/k_n</f>
        <v/>
      </c>
      <c r="S4216">
        <f>L4216-LTP3!$D$3*G4216/k_n</f>
        <v/>
      </c>
      <c r="T4216">
        <f>M4216-LTP3!$D$3*H4216/k_n</f>
        <v/>
      </c>
      <c r="U4216">
        <f>N4216-G4216*LTP3!$D$4/k_n</f>
        <v/>
      </c>
      <c r="V4216">
        <f>O4216-H4216*LTP3!$D$4/k_n</f>
        <v/>
      </c>
      <c r="W4216">
        <f>((LTP3!$D$5)*((P4216)*(Q4216)-(R4216)*(R4216))-(S4216)*((S4216)*(Q4216)-(R4216)*(T4216))+(T4216)*((S4216)*(R4216)-(P4216)*(T4216)))</f>
        <v/>
      </c>
      <c r="X4216">
        <f>IF(ABS(W4216)&gt;1E-12,((LTP3!$D$6)*((P4216)*(Q4216)-(R4216)*(R4216))-(S4216)*((U4216)*(Q4216)-(R4216)*(V4216))+(T4216)*((U4216)*(R4216)-(P4216)*(V4216)))/W4216,0)</f>
        <v/>
      </c>
      <c r="Y4216">
        <f>IF(ABS(W4216)&gt;1E-12,((LTP3!$D$5)*((U4216)*(Q4216)-(R4216)*(V4216))-(LTP3!$D$6)*((S4216)*(Q4216)-(R4216)*(T4216))+(T4216)*((S4216)*(V4216)-(U4216)*(T4216)))/W4216,0)</f>
        <v/>
      </c>
      <c r="Z4216">
        <f>IF(ABS(W4216)&gt;1E-12,((LTP3!$D$5)*((P4216)*(V4216)-(U4216)*(R4216))-(S4216)*((S4216)*(V4216)-(U4216)*(T4216))+(LTP3!$D$6)*((S4216)*(R4216)-(P4216)*(T4216)))/W4216,0)</f>
        <v/>
      </c>
      <c r="AA4216">
        <f>LTP3!$D$7-X4216*LTP3!$D$6-Y4216*U4216-Z4216*V4216</f>
        <v/>
      </c>
      <c r="AB4216">
        <f>IF(AND(F4216,ABS(W4216)&gt;1E-12,Y4216&gt;0,Z4216&gt;0),AA4216,1E+300)</f>
        <v/>
      </c>
    </row>
    <row r="4217">
      <c r="A4217">
        <f>$I$4-$B$5/10+$B$5*1/100</f>
        <v/>
      </c>
      <c r="B4217">
        <f>$J$4-$B$5/10+$B$5*16/100</f>
        <v/>
      </c>
      <c r="C4217">
        <f>SUMPRODUCT(Calc!$K$3:$K$22*(Calc!$G$3:$G$22&lt;=A4217))</f>
        <v/>
      </c>
      <c r="D4217">
        <f>SUMPRODUCT(Calc!$K$3:$K$22*(Calc!$G$3:$G$22&gt;A4217)*(Calc!$G$3:$G$22&lt;B4217))</f>
        <v/>
      </c>
      <c r="E4217">
        <f>SUMPRODUCT(Calc!$K$3:$K$22*(Calc!$G$3:$G$22&gt;=B4217))</f>
        <v/>
      </c>
      <c r="F4217">
        <f>AND(k_n&gt;=5,B4217&gt;A4217+1E-9,C4217&gt;=2,D4217&gt;=1,E4217&gt;=2)</f>
        <v/>
      </c>
      <c r="G4217">
        <f>SUMPRODUCT(Calc!$K$3:$K$22*(Calc!$G$3:$G$22&gt;A4217)*(Calc!$G$3:$G$22-A4217))</f>
        <v/>
      </c>
      <c r="H4217">
        <f>SUMPRODUCT(Calc!$K$3:$K$22*(Calc!$G$3:$G$22&gt;B4217)*(Calc!$G$3:$G$22-B4217))</f>
        <v/>
      </c>
      <c r="I4217">
        <f>SUMPRODUCT(Calc!$K$3:$K$22*(Calc!$G$3:$G$22&gt;A4217)*(Calc!$G$3:$G$22-A4217)^2)</f>
        <v/>
      </c>
      <c r="J4217">
        <f>SUMPRODUCT(Calc!$K$3:$K$22*(Calc!$G$3:$G$22&gt;B4217)*(Calc!$G$3:$G$22-B4217)^2)</f>
        <v/>
      </c>
      <c r="K4217">
        <f>SUMPRODUCT(Calc!$K$3:$K$22*(Calc!$G$3:$G$22&gt;A4217)*(Calc!$G$3:$G$22-A4217)*(Calc!$G$3:$G$22&gt;B4217)*(Calc!$G$3:$G$22-B4217))</f>
        <v/>
      </c>
      <c r="L4217">
        <f>SUMPRODUCT(Calc!$K$3:$K$22*(Calc!$G$3:$G$22&gt;A4217)*(Calc!$G$3:$G$22-A4217)*Calc!$G$3:$G$22)</f>
        <v/>
      </c>
      <c r="M4217">
        <f>SUMPRODUCT(Calc!$K$3:$K$22*(Calc!$G$3:$G$22&gt;B4217)*(Calc!$G$3:$G$22-B4217)*Calc!$G$3:$G$22)</f>
        <v/>
      </c>
      <c r="N4217">
        <f>SUMPRODUCT(Calc!$K$3:$K$22*(Calc!$G$3:$G$22&gt;A4217)*(Calc!$G$3:$G$22-A4217)*Calc!$I$3:$I$22)</f>
        <v/>
      </c>
      <c r="O4217">
        <f>SUMPRODUCT(Calc!$K$3:$K$22*(Calc!$G$3:$G$22&gt;B4217)*(Calc!$G$3:$G$22-B4217)*Calc!$I$3:$I$22)</f>
        <v/>
      </c>
      <c r="P4217">
        <f>I4217-G4217^2/k_n</f>
        <v/>
      </c>
      <c r="Q4217">
        <f>J4217-H4217^2/k_n</f>
        <v/>
      </c>
      <c r="R4217">
        <f>K4217-G4217*H4217/k_n</f>
        <v/>
      </c>
      <c r="S4217">
        <f>L4217-LTP3!$D$3*G4217/k_n</f>
        <v/>
      </c>
      <c r="T4217">
        <f>M4217-LTP3!$D$3*H4217/k_n</f>
        <v/>
      </c>
      <c r="U4217">
        <f>N4217-G4217*LTP3!$D$4/k_n</f>
        <v/>
      </c>
      <c r="V4217">
        <f>O4217-H4217*LTP3!$D$4/k_n</f>
        <v/>
      </c>
      <c r="W4217">
        <f>((LTP3!$D$5)*((P4217)*(Q4217)-(R4217)*(R4217))-(S4217)*((S4217)*(Q4217)-(R4217)*(T4217))+(T4217)*((S4217)*(R4217)-(P4217)*(T4217)))</f>
        <v/>
      </c>
      <c r="X4217">
        <f>IF(ABS(W4217)&gt;1E-12,((LTP3!$D$6)*((P4217)*(Q4217)-(R4217)*(R4217))-(S4217)*((U4217)*(Q4217)-(R4217)*(V4217))+(T4217)*((U4217)*(R4217)-(P4217)*(V4217)))/W4217,0)</f>
        <v/>
      </c>
      <c r="Y4217">
        <f>IF(ABS(W4217)&gt;1E-12,((LTP3!$D$5)*((U4217)*(Q4217)-(R4217)*(V4217))-(LTP3!$D$6)*((S4217)*(Q4217)-(R4217)*(T4217))+(T4217)*((S4217)*(V4217)-(U4217)*(T4217)))/W4217,0)</f>
        <v/>
      </c>
      <c r="Z4217">
        <f>IF(ABS(W4217)&gt;1E-12,((LTP3!$D$5)*((P4217)*(V4217)-(U4217)*(R4217))-(S4217)*((S4217)*(V4217)-(U4217)*(T4217))+(LTP3!$D$6)*((S4217)*(R4217)-(P4217)*(T4217)))/W4217,0)</f>
        <v/>
      </c>
      <c r="AA4217">
        <f>LTP3!$D$7-X4217*LTP3!$D$6-Y4217*U4217-Z4217*V4217</f>
        <v/>
      </c>
      <c r="AB4217">
        <f>IF(AND(F4217,ABS(W4217)&gt;1E-12,Y4217&gt;0,Z4217&gt;0),AA4217,1E+300)</f>
        <v/>
      </c>
    </row>
    <row r="4218">
      <c r="A4218">
        <f>$I$4-$B$5/10+$B$5*1/100</f>
        <v/>
      </c>
      <c r="B4218">
        <f>$J$4-$B$5/10+$B$5*17/100</f>
        <v/>
      </c>
      <c r="C4218">
        <f>SUMPRODUCT(Calc!$K$3:$K$22*(Calc!$G$3:$G$22&lt;=A4218))</f>
        <v/>
      </c>
      <c r="D4218">
        <f>SUMPRODUCT(Calc!$K$3:$K$22*(Calc!$G$3:$G$22&gt;A4218)*(Calc!$G$3:$G$22&lt;B4218))</f>
        <v/>
      </c>
      <c r="E4218">
        <f>SUMPRODUCT(Calc!$K$3:$K$22*(Calc!$G$3:$G$22&gt;=B4218))</f>
        <v/>
      </c>
      <c r="F4218">
        <f>AND(k_n&gt;=5,B4218&gt;A4218+1E-9,C4218&gt;=2,D4218&gt;=1,E4218&gt;=2)</f>
        <v/>
      </c>
      <c r="G4218">
        <f>SUMPRODUCT(Calc!$K$3:$K$22*(Calc!$G$3:$G$22&gt;A4218)*(Calc!$G$3:$G$22-A4218))</f>
        <v/>
      </c>
      <c r="H4218">
        <f>SUMPRODUCT(Calc!$K$3:$K$22*(Calc!$G$3:$G$22&gt;B4218)*(Calc!$G$3:$G$22-B4218))</f>
        <v/>
      </c>
      <c r="I4218">
        <f>SUMPRODUCT(Calc!$K$3:$K$22*(Calc!$G$3:$G$22&gt;A4218)*(Calc!$G$3:$G$22-A4218)^2)</f>
        <v/>
      </c>
      <c r="J4218">
        <f>SUMPRODUCT(Calc!$K$3:$K$22*(Calc!$G$3:$G$22&gt;B4218)*(Calc!$G$3:$G$22-B4218)^2)</f>
        <v/>
      </c>
      <c r="K4218">
        <f>SUMPRODUCT(Calc!$K$3:$K$22*(Calc!$G$3:$G$22&gt;A4218)*(Calc!$G$3:$G$22-A4218)*(Calc!$G$3:$G$22&gt;B4218)*(Calc!$G$3:$G$22-B4218))</f>
        <v/>
      </c>
      <c r="L4218">
        <f>SUMPRODUCT(Calc!$K$3:$K$22*(Calc!$G$3:$G$22&gt;A4218)*(Calc!$G$3:$G$22-A4218)*Calc!$G$3:$G$22)</f>
        <v/>
      </c>
      <c r="M4218">
        <f>SUMPRODUCT(Calc!$K$3:$K$22*(Calc!$G$3:$G$22&gt;B4218)*(Calc!$G$3:$G$22-B4218)*Calc!$G$3:$G$22)</f>
        <v/>
      </c>
      <c r="N4218">
        <f>SUMPRODUCT(Calc!$K$3:$K$22*(Calc!$G$3:$G$22&gt;A4218)*(Calc!$G$3:$G$22-A4218)*Calc!$I$3:$I$22)</f>
        <v/>
      </c>
      <c r="O4218">
        <f>SUMPRODUCT(Calc!$K$3:$K$22*(Calc!$G$3:$G$22&gt;B4218)*(Calc!$G$3:$G$22-B4218)*Calc!$I$3:$I$22)</f>
        <v/>
      </c>
      <c r="P4218">
        <f>I4218-G4218^2/k_n</f>
        <v/>
      </c>
      <c r="Q4218">
        <f>J4218-H4218^2/k_n</f>
        <v/>
      </c>
      <c r="R4218">
        <f>K4218-G4218*H4218/k_n</f>
        <v/>
      </c>
      <c r="S4218">
        <f>L4218-LTP3!$D$3*G4218/k_n</f>
        <v/>
      </c>
      <c r="T4218">
        <f>M4218-LTP3!$D$3*H4218/k_n</f>
        <v/>
      </c>
      <c r="U4218">
        <f>N4218-G4218*LTP3!$D$4/k_n</f>
        <v/>
      </c>
      <c r="V4218">
        <f>O4218-H4218*LTP3!$D$4/k_n</f>
        <v/>
      </c>
      <c r="W4218">
        <f>((LTP3!$D$5)*((P4218)*(Q4218)-(R4218)*(R4218))-(S4218)*((S4218)*(Q4218)-(R4218)*(T4218))+(T4218)*((S4218)*(R4218)-(P4218)*(T4218)))</f>
        <v/>
      </c>
      <c r="X4218">
        <f>IF(ABS(W4218)&gt;1E-12,((LTP3!$D$6)*((P4218)*(Q4218)-(R4218)*(R4218))-(S4218)*((U4218)*(Q4218)-(R4218)*(V4218))+(T4218)*((U4218)*(R4218)-(P4218)*(V4218)))/W4218,0)</f>
        <v/>
      </c>
      <c r="Y4218">
        <f>IF(ABS(W4218)&gt;1E-12,((LTP3!$D$5)*((U4218)*(Q4218)-(R4218)*(V4218))-(LTP3!$D$6)*((S4218)*(Q4218)-(R4218)*(T4218))+(T4218)*((S4218)*(V4218)-(U4218)*(T4218)))/W4218,0)</f>
        <v/>
      </c>
      <c r="Z4218">
        <f>IF(ABS(W4218)&gt;1E-12,((LTP3!$D$5)*((P4218)*(V4218)-(U4218)*(R4218))-(S4218)*((S4218)*(V4218)-(U4218)*(T4218))+(LTP3!$D$6)*((S4218)*(R4218)-(P4218)*(T4218)))/W4218,0)</f>
        <v/>
      </c>
      <c r="AA4218">
        <f>LTP3!$D$7-X4218*LTP3!$D$6-Y4218*U4218-Z4218*V4218</f>
        <v/>
      </c>
      <c r="AB4218">
        <f>IF(AND(F4218,ABS(W4218)&gt;1E-12,Y4218&gt;0,Z4218&gt;0),AA4218,1E+300)</f>
        <v/>
      </c>
    </row>
    <row r="4219">
      <c r="A4219">
        <f>$I$4-$B$5/10+$B$5*1/100</f>
        <v/>
      </c>
      <c r="B4219">
        <f>$J$4-$B$5/10+$B$5*18/100</f>
        <v/>
      </c>
      <c r="C4219">
        <f>SUMPRODUCT(Calc!$K$3:$K$22*(Calc!$G$3:$G$22&lt;=A4219))</f>
        <v/>
      </c>
      <c r="D4219">
        <f>SUMPRODUCT(Calc!$K$3:$K$22*(Calc!$G$3:$G$22&gt;A4219)*(Calc!$G$3:$G$22&lt;B4219))</f>
        <v/>
      </c>
      <c r="E4219">
        <f>SUMPRODUCT(Calc!$K$3:$K$22*(Calc!$G$3:$G$22&gt;=B4219))</f>
        <v/>
      </c>
      <c r="F4219">
        <f>AND(k_n&gt;=5,B4219&gt;A4219+1E-9,C4219&gt;=2,D4219&gt;=1,E4219&gt;=2)</f>
        <v/>
      </c>
      <c r="G4219">
        <f>SUMPRODUCT(Calc!$K$3:$K$22*(Calc!$G$3:$G$22&gt;A4219)*(Calc!$G$3:$G$22-A4219))</f>
        <v/>
      </c>
      <c r="H4219">
        <f>SUMPRODUCT(Calc!$K$3:$K$22*(Calc!$G$3:$G$22&gt;B4219)*(Calc!$G$3:$G$22-B4219))</f>
        <v/>
      </c>
      <c r="I4219">
        <f>SUMPRODUCT(Calc!$K$3:$K$22*(Calc!$G$3:$G$22&gt;A4219)*(Calc!$G$3:$G$22-A4219)^2)</f>
        <v/>
      </c>
      <c r="J4219">
        <f>SUMPRODUCT(Calc!$K$3:$K$22*(Calc!$G$3:$G$22&gt;B4219)*(Calc!$G$3:$G$22-B4219)^2)</f>
        <v/>
      </c>
      <c r="K4219">
        <f>SUMPRODUCT(Calc!$K$3:$K$22*(Calc!$G$3:$G$22&gt;A4219)*(Calc!$G$3:$G$22-A4219)*(Calc!$G$3:$G$22&gt;B4219)*(Calc!$G$3:$G$22-B4219))</f>
        <v/>
      </c>
      <c r="L4219">
        <f>SUMPRODUCT(Calc!$K$3:$K$22*(Calc!$G$3:$G$22&gt;A4219)*(Calc!$G$3:$G$22-A4219)*Calc!$G$3:$G$22)</f>
        <v/>
      </c>
      <c r="M4219">
        <f>SUMPRODUCT(Calc!$K$3:$K$22*(Calc!$G$3:$G$22&gt;B4219)*(Calc!$G$3:$G$22-B4219)*Calc!$G$3:$G$22)</f>
        <v/>
      </c>
      <c r="N4219">
        <f>SUMPRODUCT(Calc!$K$3:$K$22*(Calc!$G$3:$G$22&gt;A4219)*(Calc!$G$3:$G$22-A4219)*Calc!$I$3:$I$22)</f>
        <v/>
      </c>
      <c r="O4219">
        <f>SUMPRODUCT(Calc!$K$3:$K$22*(Calc!$G$3:$G$22&gt;B4219)*(Calc!$G$3:$G$22-B4219)*Calc!$I$3:$I$22)</f>
        <v/>
      </c>
      <c r="P4219">
        <f>I4219-G4219^2/k_n</f>
        <v/>
      </c>
      <c r="Q4219">
        <f>J4219-H4219^2/k_n</f>
        <v/>
      </c>
      <c r="R4219">
        <f>K4219-G4219*H4219/k_n</f>
        <v/>
      </c>
      <c r="S4219">
        <f>L4219-LTP3!$D$3*G4219/k_n</f>
        <v/>
      </c>
      <c r="T4219">
        <f>M4219-LTP3!$D$3*H4219/k_n</f>
        <v/>
      </c>
      <c r="U4219">
        <f>N4219-G4219*LTP3!$D$4/k_n</f>
        <v/>
      </c>
      <c r="V4219">
        <f>O4219-H4219*LTP3!$D$4/k_n</f>
        <v/>
      </c>
      <c r="W4219">
        <f>((LTP3!$D$5)*((P4219)*(Q4219)-(R4219)*(R4219))-(S4219)*((S4219)*(Q4219)-(R4219)*(T4219))+(T4219)*((S4219)*(R4219)-(P4219)*(T4219)))</f>
        <v/>
      </c>
      <c r="X4219">
        <f>IF(ABS(W4219)&gt;1E-12,((LTP3!$D$6)*((P4219)*(Q4219)-(R4219)*(R4219))-(S4219)*((U4219)*(Q4219)-(R4219)*(V4219))+(T4219)*((U4219)*(R4219)-(P4219)*(V4219)))/W4219,0)</f>
        <v/>
      </c>
      <c r="Y4219">
        <f>IF(ABS(W4219)&gt;1E-12,((LTP3!$D$5)*((U4219)*(Q4219)-(R4219)*(V4219))-(LTP3!$D$6)*((S4219)*(Q4219)-(R4219)*(T4219))+(T4219)*((S4219)*(V4219)-(U4219)*(T4219)))/W4219,0)</f>
        <v/>
      </c>
      <c r="Z4219">
        <f>IF(ABS(W4219)&gt;1E-12,((LTP3!$D$5)*((P4219)*(V4219)-(U4219)*(R4219))-(S4219)*((S4219)*(V4219)-(U4219)*(T4219))+(LTP3!$D$6)*((S4219)*(R4219)-(P4219)*(T4219)))/W4219,0)</f>
        <v/>
      </c>
      <c r="AA4219">
        <f>LTP3!$D$7-X4219*LTP3!$D$6-Y4219*U4219-Z4219*V4219</f>
        <v/>
      </c>
      <c r="AB4219">
        <f>IF(AND(F4219,ABS(W4219)&gt;1E-12,Y4219&gt;0,Z4219&gt;0),AA4219,1E+300)</f>
        <v/>
      </c>
    </row>
    <row r="4220">
      <c r="A4220">
        <f>$I$4-$B$5/10+$B$5*1/100</f>
        <v/>
      </c>
      <c r="B4220">
        <f>$J$4-$B$5/10+$B$5*19/100</f>
        <v/>
      </c>
      <c r="C4220">
        <f>SUMPRODUCT(Calc!$K$3:$K$22*(Calc!$G$3:$G$22&lt;=A4220))</f>
        <v/>
      </c>
      <c r="D4220">
        <f>SUMPRODUCT(Calc!$K$3:$K$22*(Calc!$G$3:$G$22&gt;A4220)*(Calc!$G$3:$G$22&lt;B4220))</f>
        <v/>
      </c>
      <c r="E4220">
        <f>SUMPRODUCT(Calc!$K$3:$K$22*(Calc!$G$3:$G$22&gt;=B4220))</f>
        <v/>
      </c>
      <c r="F4220">
        <f>AND(k_n&gt;=5,B4220&gt;A4220+1E-9,C4220&gt;=2,D4220&gt;=1,E4220&gt;=2)</f>
        <v/>
      </c>
      <c r="G4220">
        <f>SUMPRODUCT(Calc!$K$3:$K$22*(Calc!$G$3:$G$22&gt;A4220)*(Calc!$G$3:$G$22-A4220))</f>
        <v/>
      </c>
      <c r="H4220">
        <f>SUMPRODUCT(Calc!$K$3:$K$22*(Calc!$G$3:$G$22&gt;B4220)*(Calc!$G$3:$G$22-B4220))</f>
        <v/>
      </c>
      <c r="I4220">
        <f>SUMPRODUCT(Calc!$K$3:$K$22*(Calc!$G$3:$G$22&gt;A4220)*(Calc!$G$3:$G$22-A4220)^2)</f>
        <v/>
      </c>
      <c r="J4220">
        <f>SUMPRODUCT(Calc!$K$3:$K$22*(Calc!$G$3:$G$22&gt;B4220)*(Calc!$G$3:$G$22-B4220)^2)</f>
        <v/>
      </c>
      <c r="K4220">
        <f>SUMPRODUCT(Calc!$K$3:$K$22*(Calc!$G$3:$G$22&gt;A4220)*(Calc!$G$3:$G$22-A4220)*(Calc!$G$3:$G$22&gt;B4220)*(Calc!$G$3:$G$22-B4220))</f>
        <v/>
      </c>
      <c r="L4220">
        <f>SUMPRODUCT(Calc!$K$3:$K$22*(Calc!$G$3:$G$22&gt;A4220)*(Calc!$G$3:$G$22-A4220)*Calc!$G$3:$G$22)</f>
        <v/>
      </c>
      <c r="M4220">
        <f>SUMPRODUCT(Calc!$K$3:$K$22*(Calc!$G$3:$G$22&gt;B4220)*(Calc!$G$3:$G$22-B4220)*Calc!$G$3:$G$22)</f>
        <v/>
      </c>
      <c r="N4220">
        <f>SUMPRODUCT(Calc!$K$3:$K$22*(Calc!$G$3:$G$22&gt;A4220)*(Calc!$G$3:$G$22-A4220)*Calc!$I$3:$I$22)</f>
        <v/>
      </c>
      <c r="O4220">
        <f>SUMPRODUCT(Calc!$K$3:$K$22*(Calc!$G$3:$G$22&gt;B4220)*(Calc!$G$3:$G$22-B4220)*Calc!$I$3:$I$22)</f>
        <v/>
      </c>
      <c r="P4220">
        <f>I4220-G4220^2/k_n</f>
        <v/>
      </c>
      <c r="Q4220">
        <f>J4220-H4220^2/k_n</f>
        <v/>
      </c>
      <c r="R4220">
        <f>K4220-G4220*H4220/k_n</f>
        <v/>
      </c>
      <c r="S4220">
        <f>L4220-LTP3!$D$3*G4220/k_n</f>
        <v/>
      </c>
      <c r="T4220">
        <f>M4220-LTP3!$D$3*H4220/k_n</f>
        <v/>
      </c>
      <c r="U4220">
        <f>N4220-G4220*LTP3!$D$4/k_n</f>
        <v/>
      </c>
      <c r="V4220">
        <f>O4220-H4220*LTP3!$D$4/k_n</f>
        <v/>
      </c>
      <c r="W4220">
        <f>((LTP3!$D$5)*((P4220)*(Q4220)-(R4220)*(R4220))-(S4220)*((S4220)*(Q4220)-(R4220)*(T4220))+(T4220)*((S4220)*(R4220)-(P4220)*(T4220)))</f>
        <v/>
      </c>
      <c r="X4220">
        <f>IF(ABS(W4220)&gt;1E-12,((LTP3!$D$6)*((P4220)*(Q4220)-(R4220)*(R4220))-(S4220)*((U4220)*(Q4220)-(R4220)*(V4220))+(T4220)*((U4220)*(R4220)-(P4220)*(V4220)))/W4220,0)</f>
        <v/>
      </c>
      <c r="Y4220">
        <f>IF(ABS(W4220)&gt;1E-12,((LTP3!$D$5)*((U4220)*(Q4220)-(R4220)*(V4220))-(LTP3!$D$6)*((S4220)*(Q4220)-(R4220)*(T4220))+(T4220)*((S4220)*(V4220)-(U4220)*(T4220)))/W4220,0)</f>
        <v/>
      </c>
      <c r="Z4220">
        <f>IF(ABS(W4220)&gt;1E-12,((LTP3!$D$5)*((P4220)*(V4220)-(U4220)*(R4220))-(S4220)*((S4220)*(V4220)-(U4220)*(T4220))+(LTP3!$D$6)*((S4220)*(R4220)-(P4220)*(T4220)))/W4220,0)</f>
        <v/>
      </c>
      <c r="AA4220">
        <f>LTP3!$D$7-X4220*LTP3!$D$6-Y4220*U4220-Z4220*V4220</f>
        <v/>
      </c>
      <c r="AB4220">
        <f>IF(AND(F4220,ABS(W4220)&gt;1E-12,Y4220&gt;0,Z4220&gt;0),AA4220,1E+300)</f>
        <v/>
      </c>
    </row>
    <row r="4221">
      <c r="A4221">
        <f>$I$4-$B$5/10+$B$5*1/100</f>
        <v/>
      </c>
      <c r="B4221">
        <f>$J$4-$B$5/10+$B$5*20/100</f>
        <v/>
      </c>
      <c r="C4221">
        <f>SUMPRODUCT(Calc!$K$3:$K$22*(Calc!$G$3:$G$22&lt;=A4221))</f>
        <v/>
      </c>
      <c r="D4221">
        <f>SUMPRODUCT(Calc!$K$3:$K$22*(Calc!$G$3:$G$22&gt;A4221)*(Calc!$G$3:$G$22&lt;B4221))</f>
        <v/>
      </c>
      <c r="E4221">
        <f>SUMPRODUCT(Calc!$K$3:$K$22*(Calc!$G$3:$G$22&gt;=B4221))</f>
        <v/>
      </c>
      <c r="F4221">
        <f>AND(k_n&gt;=5,B4221&gt;A4221+1E-9,C4221&gt;=2,D4221&gt;=1,E4221&gt;=2)</f>
        <v/>
      </c>
      <c r="G4221">
        <f>SUMPRODUCT(Calc!$K$3:$K$22*(Calc!$G$3:$G$22&gt;A4221)*(Calc!$G$3:$G$22-A4221))</f>
        <v/>
      </c>
      <c r="H4221">
        <f>SUMPRODUCT(Calc!$K$3:$K$22*(Calc!$G$3:$G$22&gt;B4221)*(Calc!$G$3:$G$22-B4221))</f>
        <v/>
      </c>
      <c r="I4221">
        <f>SUMPRODUCT(Calc!$K$3:$K$22*(Calc!$G$3:$G$22&gt;A4221)*(Calc!$G$3:$G$22-A4221)^2)</f>
        <v/>
      </c>
      <c r="J4221">
        <f>SUMPRODUCT(Calc!$K$3:$K$22*(Calc!$G$3:$G$22&gt;B4221)*(Calc!$G$3:$G$22-B4221)^2)</f>
        <v/>
      </c>
      <c r="K4221">
        <f>SUMPRODUCT(Calc!$K$3:$K$22*(Calc!$G$3:$G$22&gt;A4221)*(Calc!$G$3:$G$22-A4221)*(Calc!$G$3:$G$22&gt;B4221)*(Calc!$G$3:$G$22-B4221))</f>
        <v/>
      </c>
      <c r="L4221">
        <f>SUMPRODUCT(Calc!$K$3:$K$22*(Calc!$G$3:$G$22&gt;A4221)*(Calc!$G$3:$G$22-A4221)*Calc!$G$3:$G$22)</f>
        <v/>
      </c>
      <c r="M4221">
        <f>SUMPRODUCT(Calc!$K$3:$K$22*(Calc!$G$3:$G$22&gt;B4221)*(Calc!$G$3:$G$22-B4221)*Calc!$G$3:$G$22)</f>
        <v/>
      </c>
      <c r="N4221">
        <f>SUMPRODUCT(Calc!$K$3:$K$22*(Calc!$G$3:$G$22&gt;A4221)*(Calc!$G$3:$G$22-A4221)*Calc!$I$3:$I$22)</f>
        <v/>
      </c>
      <c r="O4221">
        <f>SUMPRODUCT(Calc!$K$3:$K$22*(Calc!$G$3:$G$22&gt;B4221)*(Calc!$G$3:$G$22-B4221)*Calc!$I$3:$I$22)</f>
        <v/>
      </c>
      <c r="P4221">
        <f>I4221-G4221^2/k_n</f>
        <v/>
      </c>
      <c r="Q4221">
        <f>J4221-H4221^2/k_n</f>
        <v/>
      </c>
      <c r="R4221">
        <f>K4221-G4221*H4221/k_n</f>
        <v/>
      </c>
      <c r="S4221">
        <f>L4221-LTP3!$D$3*G4221/k_n</f>
        <v/>
      </c>
      <c r="T4221">
        <f>M4221-LTP3!$D$3*H4221/k_n</f>
        <v/>
      </c>
      <c r="U4221">
        <f>N4221-G4221*LTP3!$D$4/k_n</f>
        <v/>
      </c>
      <c r="V4221">
        <f>O4221-H4221*LTP3!$D$4/k_n</f>
        <v/>
      </c>
      <c r="W4221">
        <f>((LTP3!$D$5)*((P4221)*(Q4221)-(R4221)*(R4221))-(S4221)*((S4221)*(Q4221)-(R4221)*(T4221))+(T4221)*((S4221)*(R4221)-(P4221)*(T4221)))</f>
        <v/>
      </c>
      <c r="X4221">
        <f>IF(ABS(W4221)&gt;1E-12,((LTP3!$D$6)*((P4221)*(Q4221)-(R4221)*(R4221))-(S4221)*((U4221)*(Q4221)-(R4221)*(V4221))+(T4221)*((U4221)*(R4221)-(P4221)*(V4221)))/W4221,0)</f>
        <v/>
      </c>
      <c r="Y4221">
        <f>IF(ABS(W4221)&gt;1E-12,((LTP3!$D$5)*((U4221)*(Q4221)-(R4221)*(V4221))-(LTP3!$D$6)*((S4221)*(Q4221)-(R4221)*(T4221))+(T4221)*((S4221)*(V4221)-(U4221)*(T4221)))/W4221,0)</f>
        <v/>
      </c>
      <c r="Z4221">
        <f>IF(ABS(W4221)&gt;1E-12,((LTP3!$D$5)*((P4221)*(V4221)-(U4221)*(R4221))-(S4221)*((S4221)*(V4221)-(U4221)*(T4221))+(LTP3!$D$6)*((S4221)*(R4221)-(P4221)*(T4221)))/W4221,0)</f>
        <v/>
      </c>
      <c r="AA4221">
        <f>LTP3!$D$7-X4221*LTP3!$D$6-Y4221*U4221-Z4221*V4221</f>
        <v/>
      </c>
      <c r="AB4221">
        <f>IF(AND(F4221,ABS(W4221)&gt;1E-12,Y4221&gt;0,Z4221&gt;0),AA4221,1E+300)</f>
        <v/>
      </c>
    </row>
    <row r="4222">
      <c r="A4222">
        <f>$I$4-$B$5/10+$B$5*2/100</f>
        <v/>
      </c>
      <c r="B4222">
        <f>$J$4-$B$5/10+$B$5*0/100</f>
        <v/>
      </c>
      <c r="C4222">
        <f>SUMPRODUCT(Calc!$K$3:$K$22*(Calc!$G$3:$G$22&lt;=A4222))</f>
        <v/>
      </c>
      <c r="D4222">
        <f>SUMPRODUCT(Calc!$K$3:$K$22*(Calc!$G$3:$G$22&gt;A4222)*(Calc!$G$3:$G$22&lt;B4222))</f>
        <v/>
      </c>
      <c r="E4222">
        <f>SUMPRODUCT(Calc!$K$3:$K$22*(Calc!$G$3:$G$22&gt;=B4222))</f>
        <v/>
      </c>
      <c r="F4222">
        <f>AND(k_n&gt;=5,B4222&gt;A4222+1E-9,C4222&gt;=2,D4222&gt;=1,E4222&gt;=2)</f>
        <v/>
      </c>
      <c r="G4222">
        <f>SUMPRODUCT(Calc!$K$3:$K$22*(Calc!$G$3:$G$22&gt;A4222)*(Calc!$G$3:$G$22-A4222))</f>
        <v/>
      </c>
      <c r="H4222">
        <f>SUMPRODUCT(Calc!$K$3:$K$22*(Calc!$G$3:$G$22&gt;B4222)*(Calc!$G$3:$G$22-B4222))</f>
        <v/>
      </c>
      <c r="I4222">
        <f>SUMPRODUCT(Calc!$K$3:$K$22*(Calc!$G$3:$G$22&gt;A4222)*(Calc!$G$3:$G$22-A4222)^2)</f>
        <v/>
      </c>
      <c r="J4222">
        <f>SUMPRODUCT(Calc!$K$3:$K$22*(Calc!$G$3:$G$22&gt;B4222)*(Calc!$G$3:$G$22-B4222)^2)</f>
        <v/>
      </c>
      <c r="K4222">
        <f>SUMPRODUCT(Calc!$K$3:$K$22*(Calc!$G$3:$G$22&gt;A4222)*(Calc!$G$3:$G$22-A4222)*(Calc!$G$3:$G$22&gt;B4222)*(Calc!$G$3:$G$22-B4222))</f>
        <v/>
      </c>
      <c r="L4222">
        <f>SUMPRODUCT(Calc!$K$3:$K$22*(Calc!$G$3:$G$22&gt;A4222)*(Calc!$G$3:$G$22-A4222)*Calc!$G$3:$G$22)</f>
        <v/>
      </c>
      <c r="M4222">
        <f>SUMPRODUCT(Calc!$K$3:$K$22*(Calc!$G$3:$G$22&gt;B4222)*(Calc!$G$3:$G$22-B4222)*Calc!$G$3:$G$22)</f>
        <v/>
      </c>
      <c r="N4222">
        <f>SUMPRODUCT(Calc!$K$3:$K$22*(Calc!$G$3:$G$22&gt;A4222)*(Calc!$G$3:$G$22-A4222)*Calc!$I$3:$I$22)</f>
        <v/>
      </c>
      <c r="O4222">
        <f>SUMPRODUCT(Calc!$K$3:$K$22*(Calc!$G$3:$G$22&gt;B4222)*(Calc!$G$3:$G$22-B4222)*Calc!$I$3:$I$22)</f>
        <v/>
      </c>
      <c r="P4222">
        <f>I4222-G4222^2/k_n</f>
        <v/>
      </c>
      <c r="Q4222">
        <f>J4222-H4222^2/k_n</f>
        <v/>
      </c>
      <c r="R4222">
        <f>K4222-G4222*H4222/k_n</f>
        <v/>
      </c>
      <c r="S4222">
        <f>L4222-LTP3!$D$3*G4222/k_n</f>
        <v/>
      </c>
      <c r="T4222">
        <f>M4222-LTP3!$D$3*H4222/k_n</f>
        <v/>
      </c>
      <c r="U4222">
        <f>N4222-G4222*LTP3!$D$4/k_n</f>
        <v/>
      </c>
      <c r="V4222">
        <f>O4222-H4222*LTP3!$D$4/k_n</f>
        <v/>
      </c>
      <c r="W4222">
        <f>((LTP3!$D$5)*((P4222)*(Q4222)-(R4222)*(R4222))-(S4222)*((S4222)*(Q4222)-(R4222)*(T4222))+(T4222)*((S4222)*(R4222)-(P4222)*(T4222)))</f>
        <v/>
      </c>
      <c r="X4222">
        <f>IF(ABS(W4222)&gt;1E-12,((LTP3!$D$6)*((P4222)*(Q4222)-(R4222)*(R4222))-(S4222)*((U4222)*(Q4222)-(R4222)*(V4222))+(T4222)*((U4222)*(R4222)-(P4222)*(V4222)))/W4222,0)</f>
        <v/>
      </c>
      <c r="Y4222">
        <f>IF(ABS(W4222)&gt;1E-12,((LTP3!$D$5)*((U4222)*(Q4222)-(R4222)*(V4222))-(LTP3!$D$6)*((S4222)*(Q4222)-(R4222)*(T4222))+(T4222)*((S4222)*(V4222)-(U4222)*(T4222)))/W4222,0)</f>
        <v/>
      </c>
      <c r="Z4222">
        <f>IF(ABS(W4222)&gt;1E-12,((LTP3!$D$5)*((P4222)*(V4222)-(U4222)*(R4222))-(S4222)*((S4222)*(V4222)-(U4222)*(T4222))+(LTP3!$D$6)*((S4222)*(R4222)-(P4222)*(T4222)))/W4222,0)</f>
        <v/>
      </c>
      <c r="AA4222">
        <f>LTP3!$D$7-X4222*LTP3!$D$6-Y4222*U4222-Z4222*V4222</f>
        <v/>
      </c>
      <c r="AB4222">
        <f>IF(AND(F4222,ABS(W4222)&gt;1E-12,Y4222&gt;0,Z4222&gt;0),AA4222,1E+300)</f>
        <v/>
      </c>
    </row>
    <row r="4223">
      <c r="A4223">
        <f>$I$4-$B$5/10+$B$5*2/100</f>
        <v/>
      </c>
      <c r="B4223">
        <f>$J$4-$B$5/10+$B$5*1/100</f>
        <v/>
      </c>
      <c r="C4223">
        <f>SUMPRODUCT(Calc!$K$3:$K$22*(Calc!$G$3:$G$22&lt;=A4223))</f>
        <v/>
      </c>
      <c r="D4223">
        <f>SUMPRODUCT(Calc!$K$3:$K$22*(Calc!$G$3:$G$22&gt;A4223)*(Calc!$G$3:$G$22&lt;B4223))</f>
        <v/>
      </c>
      <c r="E4223">
        <f>SUMPRODUCT(Calc!$K$3:$K$22*(Calc!$G$3:$G$22&gt;=B4223))</f>
        <v/>
      </c>
      <c r="F4223">
        <f>AND(k_n&gt;=5,B4223&gt;A4223+1E-9,C4223&gt;=2,D4223&gt;=1,E4223&gt;=2)</f>
        <v/>
      </c>
      <c r="G4223">
        <f>SUMPRODUCT(Calc!$K$3:$K$22*(Calc!$G$3:$G$22&gt;A4223)*(Calc!$G$3:$G$22-A4223))</f>
        <v/>
      </c>
      <c r="H4223">
        <f>SUMPRODUCT(Calc!$K$3:$K$22*(Calc!$G$3:$G$22&gt;B4223)*(Calc!$G$3:$G$22-B4223))</f>
        <v/>
      </c>
      <c r="I4223">
        <f>SUMPRODUCT(Calc!$K$3:$K$22*(Calc!$G$3:$G$22&gt;A4223)*(Calc!$G$3:$G$22-A4223)^2)</f>
        <v/>
      </c>
      <c r="J4223">
        <f>SUMPRODUCT(Calc!$K$3:$K$22*(Calc!$G$3:$G$22&gt;B4223)*(Calc!$G$3:$G$22-B4223)^2)</f>
        <v/>
      </c>
      <c r="K4223">
        <f>SUMPRODUCT(Calc!$K$3:$K$22*(Calc!$G$3:$G$22&gt;A4223)*(Calc!$G$3:$G$22-A4223)*(Calc!$G$3:$G$22&gt;B4223)*(Calc!$G$3:$G$22-B4223))</f>
        <v/>
      </c>
      <c r="L4223">
        <f>SUMPRODUCT(Calc!$K$3:$K$22*(Calc!$G$3:$G$22&gt;A4223)*(Calc!$G$3:$G$22-A4223)*Calc!$G$3:$G$22)</f>
        <v/>
      </c>
      <c r="M4223">
        <f>SUMPRODUCT(Calc!$K$3:$K$22*(Calc!$G$3:$G$22&gt;B4223)*(Calc!$G$3:$G$22-B4223)*Calc!$G$3:$G$22)</f>
        <v/>
      </c>
      <c r="N4223">
        <f>SUMPRODUCT(Calc!$K$3:$K$22*(Calc!$G$3:$G$22&gt;A4223)*(Calc!$G$3:$G$22-A4223)*Calc!$I$3:$I$22)</f>
        <v/>
      </c>
      <c r="O4223">
        <f>SUMPRODUCT(Calc!$K$3:$K$22*(Calc!$G$3:$G$22&gt;B4223)*(Calc!$G$3:$G$22-B4223)*Calc!$I$3:$I$22)</f>
        <v/>
      </c>
      <c r="P4223">
        <f>I4223-G4223^2/k_n</f>
        <v/>
      </c>
      <c r="Q4223">
        <f>J4223-H4223^2/k_n</f>
        <v/>
      </c>
      <c r="R4223">
        <f>K4223-G4223*H4223/k_n</f>
        <v/>
      </c>
      <c r="S4223">
        <f>L4223-LTP3!$D$3*G4223/k_n</f>
        <v/>
      </c>
      <c r="T4223">
        <f>M4223-LTP3!$D$3*H4223/k_n</f>
        <v/>
      </c>
      <c r="U4223">
        <f>N4223-G4223*LTP3!$D$4/k_n</f>
        <v/>
      </c>
      <c r="V4223">
        <f>O4223-H4223*LTP3!$D$4/k_n</f>
        <v/>
      </c>
      <c r="W4223">
        <f>((LTP3!$D$5)*((P4223)*(Q4223)-(R4223)*(R4223))-(S4223)*((S4223)*(Q4223)-(R4223)*(T4223))+(T4223)*((S4223)*(R4223)-(P4223)*(T4223)))</f>
        <v/>
      </c>
      <c r="X4223">
        <f>IF(ABS(W4223)&gt;1E-12,((LTP3!$D$6)*((P4223)*(Q4223)-(R4223)*(R4223))-(S4223)*((U4223)*(Q4223)-(R4223)*(V4223))+(T4223)*((U4223)*(R4223)-(P4223)*(V4223)))/W4223,0)</f>
        <v/>
      </c>
      <c r="Y4223">
        <f>IF(ABS(W4223)&gt;1E-12,((LTP3!$D$5)*((U4223)*(Q4223)-(R4223)*(V4223))-(LTP3!$D$6)*((S4223)*(Q4223)-(R4223)*(T4223))+(T4223)*((S4223)*(V4223)-(U4223)*(T4223)))/W4223,0)</f>
        <v/>
      </c>
      <c r="Z4223">
        <f>IF(ABS(W4223)&gt;1E-12,((LTP3!$D$5)*((P4223)*(V4223)-(U4223)*(R4223))-(S4223)*((S4223)*(V4223)-(U4223)*(T4223))+(LTP3!$D$6)*((S4223)*(R4223)-(P4223)*(T4223)))/W4223,0)</f>
        <v/>
      </c>
      <c r="AA4223">
        <f>LTP3!$D$7-X4223*LTP3!$D$6-Y4223*U4223-Z4223*V4223</f>
        <v/>
      </c>
      <c r="AB4223">
        <f>IF(AND(F4223,ABS(W4223)&gt;1E-12,Y4223&gt;0,Z4223&gt;0),AA4223,1E+300)</f>
        <v/>
      </c>
    </row>
    <row r="4224">
      <c r="A4224">
        <f>$I$4-$B$5/10+$B$5*2/100</f>
        <v/>
      </c>
      <c r="B4224">
        <f>$J$4-$B$5/10+$B$5*2/100</f>
        <v/>
      </c>
      <c r="C4224">
        <f>SUMPRODUCT(Calc!$K$3:$K$22*(Calc!$G$3:$G$22&lt;=A4224))</f>
        <v/>
      </c>
      <c r="D4224">
        <f>SUMPRODUCT(Calc!$K$3:$K$22*(Calc!$G$3:$G$22&gt;A4224)*(Calc!$G$3:$G$22&lt;B4224))</f>
        <v/>
      </c>
      <c r="E4224">
        <f>SUMPRODUCT(Calc!$K$3:$K$22*(Calc!$G$3:$G$22&gt;=B4224))</f>
        <v/>
      </c>
      <c r="F4224">
        <f>AND(k_n&gt;=5,B4224&gt;A4224+1E-9,C4224&gt;=2,D4224&gt;=1,E4224&gt;=2)</f>
        <v/>
      </c>
      <c r="G4224">
        <f>SUMPRODUCT(Calc!$K$3:$K$22*(Calc!$G$3:$G$22&gt;A4224)*(Calc!$G$3:$G$22-A4224))</f>
        <v/>
      </c>
      <c r="H4224">
        <f>SUMPRODUCT(Calc!$K$3:$K$22*(Calc!$G$3:$G$22&gt;B4224)*(Calc!$G$3:$G$22-B4224))</f>
        <v/>
      </c>
      <c r="I4224">
        <f>SUMPRODUCT(Calc!$K$3:$K$22*(Calc!$G$3:$G$22&gt;A4224)*(Calc!$G$3:$G$22-A4224)^2)</f>
        <v/>
      </c>
      <c r="J4224">
        <f>SUMPRODUCT(Calc!$K$3:$K$22*(Calc!$G$3:$G$22&gt;B4224)*(Calc!$G$3:$G$22-B4224)^2)</f>
        <v/>
      </c>
      <c r="K4224">
        <f>SUMPRODUCT(Calc!$K$3:$K$22*(Calc!$G$3:$G$22&gt;A4224)*(Calc!$G$3:$G$22-A4224)*(Calc!$G$3:$G$22&gt;B4224)*(Calc!$G$3:$G$22-B4224))</f>
        <v/>
      </c>
      <c r="L4224">
        <f>SUMPRODUCT(Calc!$K$3:$K$22*(Calc!$G$3:$G$22&gt;A4224)*(Calc!$G$3:$G$22-A4224)*Calc!$G$3:$G$22)</f>
        <v/>
      </c>
      <c r="M4224">
        <f>SUMPRODUCT(Calc!$K$3:$K$22*(Calc!$G$3:$G$22&gt;B4224)*(Calc!$G$3:$G$22-B4224)*Calc!$G$3:$G$22)</f>
        <v/>
      </c>
      <c r="N4224">
        <f>SUMPRODUCT(Calc!$K$3:$K$22*(Calc!$G$3:$G$22&gt;A4224)*(Calc!$G$3:$G$22-A4224)*Calc!$I$3:$I$22)</f>
        <v/>
      </c>
      <c r="O4224">
        <f>SUMPRODUCT(Calc!$K$3:$K$22*(Calc!$G$3:$G$22&gt;B4224)*(Calc!$G$3:$G$22-B4224)*Calc!$I$3:$I$22)</f>
        <v/>
      </c>
      <c r="P4224">
        <f>I4224-G4224^2/k_n</f>
        <v/>
      </c>
      <c r="Q4224">
        <f>J4224-H4224^2/k_n</f>
        <v/>
      </c>
      <c r="R4224">
        <f>K4224-G4224*H4224/k_n</f>
        <v/>
      </c>
      <c r="S4224">
        <f>L4224-LTP3!$D$3*G4224/k_n</f>
        <v/>
      </c>
      <c r="T4224">
        <f>M4224-LTP3!$D$3*H4224/k_n</f>
        <v/>
      </c>
      <c r="U4224">
        <f>N4224-G4224*LTP3!$D$4/k_n</f>
        <v/>
      </c>
      <c r="V4224">
        <f>O4224-H4224*LTP3!$D$4/k_n</f>
        <v/>
      </c>
      <c r="W4224">
        <f>((LTP3!$D$5)*((P4224)*(Q4224)-(R4224)*(R4224))-(S4224)*((S4224)*(Q4224)-(R4224)*(T4224))+(T4224)*((S4224)*(R4224)-(P4224)*(T4224)))</f>
        <v/>
      </c>
      <c r="X4224">
        <f>IF(ABS(W4224)&gt;1E-12,((LTP3!$D$6)*((P4224)*(Q4224)-(R4224)*(R4224))-(S4224)*((U4224)*(Q4224)-(R4224)*(V4224))+(T4224)*((U4224)*(R4224)-(P4224)*(V4224)))/W4224,0)</f>
        <v/>
      </c>
      <c r="Y4224">
        <f>IF(ABS(W4224)&gt;1E-12,((LTP3!$D$5)*((U4224)*(Q4224)-(R4224)*(V4224))-(LTP3!$D$6)*((S4224)*(Q4224)-(R4224)*(T4224))+(T4224)*((S4224)*(V4224)-(U4224)*(T4224)))/W4224,0)</f>
        <v/>
      </c>
      <c r="Z4224">
        <f>IF(ABS(W4224)&gt;1E-12,((LTP3!$D$5)*((P4224)*(V4224)-(U4224)*(R4224))-(S4224)*((S4224)*(V4224)-(U4224)*(T4224))+(LTP3!$D$6)*((S4224)*(R4224)-(P4224)*(T4224)))/W4224,0)</f>
        <v/>
      </c>
      <c r="AA4224">
        <f>LTP3!$D$7-X4224*LTP3!$D$6-Y4224*U4224-Z4224*V4224</f>
        <v/>
      </c>
      <c r="AB4224">
        <f>IF(AND(F4224,ABS(W4224)&gt;1E-12,Y4224&gt;0,Z4224&gt;0),AA4224,1E+300)</f>
        <v/>
      </c>
    </row>
    <row r="4225">
      <c r="A4225">
        <f>$I$4-$B$5/10+$B$5*2/100</f>
        <v/>
      </c>
      <c r="B4225">
        <f>$J$4-$B$5/10+$B$5*3/100</f>
        <v/>
      </c>
      <c r="C4225">
        <f>SUMPRODUCT(Calc!$K$3:$K$22*(Calc!$G$3:$G$22&lt;=A4225))</f>
        <v/>
      </c>
      <c r="D4225">
        <f>SUMPRODUCT(Calc!$K$3:$K$22*(Calc!$G$3:$G$22&gt;A4225)*(Calc!$G$3:$G$22&lt;B4225))</f>
        <v/>
      </c>
      <c r="E4225">
        <f>SUMPRODUCT(Calc!$K$3:$K$22*(Calc!$G$3:$G$22&gt;=B4225))</f>
        <v/>
      </c>
      <c r="F4225">
        <f>AND(k_n&gt;=5,B4225&gt;A4225+1E-9,C4225&gt;=2,D4225&gt;=1,E4225&gt;=2)</f>
        <v/>
      </c>
      <c r="G4225">
        <f>SUMPRODUCT(Calc!$K$3:$K$22*(Calc!$G$3:$G$22&gt;A4225)*(Calc!$G$3:$G$22-A4225))</f>
        <v/>
      </c>
      <c r="H4225">
        <f>SUMPRODUCT(Calc!$K$3:$K$22*(Calc!$G$3:$G$22&gt;B4225)*(Calc!$G$3:$G$22-B4225))</f>
        <v/>
      </c>
      <c r="I4225">
        <f>SUMPRODUCT(Calc!$K$3:$K$22*(Calc!$G$3:$G$22&gt;A4225)*(Calc!$G$3:$G$22-A4225)^2)</f>
        <v/>
      </c>
      <c r="J4225">
        <f>SUMPRODUCT(Calc!$K$3:$K$22*(Calc!$G$3:$G$22&gt;B4225)*(Calc!$G$3:$G$22-B4225)^2)</f>
        <v/>
      </c>
      <c r="K4225">
        <f>SUMPRODUCT(Calc!$K$3:$K$22*(Calc!$G$3:$G$22&gt;A4225)*(Calc!$G$3:$G$22-A4225)*(Calc!$G$3:$G$22&gt;B4225)*(Calc!$G$3:$G$22-B4225))</f>
        <v/>
      </c>
      <c r="L4225">
        <f>SUMPRODUCT(Calc!$K$3:$K$22*(Calc!$G$3:$G$22&gt;A4225)*(Calc!$G$3:$G$22-A4225)*Calc!$G$3:$G$22)</f>
        <v/>
      </c>
      <c r="M4225">
        <f>SUMPRODUCT(Calc!$K$3:$K$22*(Calc!$G$3:$G$22&gt;B4225)*(Calc!$G$3:$G$22-B4225)*Calc!$G$3:$G$22)</f>
        <v/>
      </c>
      <c r="N4225">
        <f>SUMPRODUCT(Calc!$K$3:$K$22*(Calc!$G$3:$G$22&gt;A4225)*(Calc!$G$3:$G$22-A4225)*Calc!$I$3:$I$22)</f>
        <v/>
      </c>
      <c r="O4225">
        <f>SUMPRODUCT(Calc!$K$3:$K$22*(Calc!$G$3:$G$22&gt;B4225)*(Calc!$G$3:$G$22-B4225)*Calc!$I$3:$I$22)</f>
        <v/>
      </c>
      <c r="P4225">
        <f>I4225-G4225^2/k_n</f>
        <v/>
      </c>
      <c r="Q4225">
        <f>J4225-H4225^2/k_n</f>
        <v/>
      </c>
      <c r="R4225">
        <f>K4225-G4225*H4225/k_n</f>
        <v/>
      </c>
      <c r="S4225">
        <f>L4225-LTP3!$D$3*G4225/k_n</f>
        <v/>
      </c>
      <c r="T4225">
        <f>M4225-LTP3!$D$3*H4225/k_n</f>
        <v/>
      </c>
      <c r="U4225">
        <f>N4225-G4225*LTP3!$D$4/k_n</f>
        <v/>
      </c>
      <c r="V4225">
        <f>O4225-H4225*LTP3!$D$4/k_n</f>
        <v/>
      </c>
      <c r="W4225">
        <f>((LTP3!$D$5)*((P4225)*(Q4225)-(R4225)*(R4225))-(S4225)*((S4225)*(Q4225)-(R4225)*(T4225))+(T4225)*((S4225)*(R4225)-(P4225)*(T4225)))</f>
        <v/>
      </c>
      <c r="X4225">
        <f>IF(ABS(W4225)&gt;1E-12,((LTP3!$D$6)*((P4225)*(Q4225)-(R4225)*(R4225))-(S4225)*((U4225)*(Q4225)-(R4225)*(V4225))+(T4225)*((U4225)*(R4225)-(P4225)*(V4225)))/W4225,0)</f>
        <v/>
      </c>
      <c r="Y4225">
        <f>IF(ABS(W4225)&gt;1E-12,((LTP3!$D$5)*((U4225)*(Q4225)-(R4225)*(V4225))-(LTP3!$D$6)*((S4225)*(Q4225)-(R4225)*(T4225))+(T4225)*((S4225)*(V4225)-(U4225)*(T4225)))/W4225,0)</f>
        <v/>
      </c>
      <c r="Z4225">
        <f>IF(ABS(W4225)&gt;1E-12,((LTP3!$D$5)*((P4225)*(V4225)-(U4225)*(R4225))-(S4225)*((S4225)*(V4225)-(U4225)*(T4225))+(LTP3!$D$6)*((S4225)*(R4225)-(P4225)*(T4225)))/W4225,0)</f>
        <v/>
      </c>
      <c r="AA4225">
        <f>LTP3!$D$7-X4225*LTP3!$D$6-Y4225*U4225-Z4225*V4225</f>
        <v/>
      </c>
      <c r="AB4225">
        <f>IF(AND(F4225,ABS(W4225)&gt;1E-12,Y4225&gt;0,Z4225&gt;0),AA4225,1E+300)</f>
        <v/>
      </c>
    </row>
    <row r="4226">
      <c r="A4226">
        <f>$I$4-$B$5/10+$B$5*2/100</f>
        <v/>
      </c>
      <c r="B4226">
        <f>$J$4-$B$5/10+$B$5*4/100</f>
        <v/>
      </c>
      <c r="C4226">
        <f>SUMPRODUCT(Calc!$K$3:$K$22*(Calc!$G$3:$G$22&lt;=A4226))</f>
        <v/>
      </c>
      <c r="D4226">
        <f>SUMPRODUCT(Calc!$K$3:$K$22*(Calc!$G$3:$G$22&gt;A4226)*(Calc!$G$3:$G$22&lt;B4226))</f>
        <v/>
      </c>
      <c r="E4226">
        <f>SUMPRODUCT(Calc!$K$3:$K$22*(Calc!$G$3:$G$22&gt;=B4226))</f>
        <v/>
      </c>
      <c r="F4226">
        <f>AND(k_n&gt;=5,B4226&gt;A4226+1E-9,C4226&gt;=2,D4226&gt;=1,E4226&gt;=2)</f>
        <v/>
      </c>
      <c r="G4226">
        <f>SUMPRODUCT(Calc!$K$3:$K$22*(Calc!$G$3:$G$22&gt;A4226)*(Calc!$G$3:$G$22-A4226))</f>
        <v/>
      </c>
      <c r="H4226">
        <f>SUMPRODUCT(Calc!$K$3:$K$22*(Calc!$G$3:$G$22&gt;B4226)*(Calc!$G$3:$G$22-B4226))</f>
        <v/>
      </c>
      <c r="I4226">
        <f>SUMPRODUCT(Calc!$K$3:$K$22*(Calc!$G$3:$G$22&gt;A4226)*(Calc!$G$3:$G$22-A4226)^2)</f>
        <v/>
      </c>
      <c r="J4226">
        <f>SUMPRODUCT(Calc!$K$3:$K$22*(Calc!$G$3:$G$22&gt;B4226)*(Calc!$G$3:$G$22-B4226)^2)</f>
        <v/>
      </c>
      <c r="K4226">
        <f>SUMPRODUCT(Calc!$K$3:$K$22*(Calc!$G$3:$G$22&gt;A4226)*(Calc!$G$3:$G$22-A4226)*(Calc!$G$3:$G$22&gt;B4226)*(Calc!$G$3:$G$22-B4226))</f>
        <v/>
      </c>
      <c r="L4226">
        <f>SUMPRODUCT(Calc!$K$3:$K$22*(Calc!$G$3:$G$22&gt;A4226)*(Calc!$G$3:$G$22-A4226)*Calc!$G$3:$G$22)</f>
        <v/>
      </c>
      <c r="M4226">
        <f>SUMPRODUCT(Calc!$K$3:$K$22*(Calc!$G$3:$G$22&gt;B4226)*(Calc!$G$3:$G$22-B4226)*Calc!$G$3:$G$22)</f>
        <v/>
      </c>
      <c r="N4226">
        <f>SUMPRODUCT(Calc!$K$3:$K$22*(Calc!$G$3:$G$22&gt;A4226)*(Calc!$G$3:$G$22-A4226)*Calc!$I$3:$I$22)</f>
        <v/>
      </c>
      <c r="O4226">
        <f>SUMPRODUCT(Calc!$K$3:$K$22*(Calc!$G$3:$G$22&gt;B4226)*(Calc!$G$3:$G$22-B4226)*Calc!$I$3:$I$22)</f>
        <v/>
      </c>
      <c r="P4226">
        <f>I4226-G4226^2/k_n</f>
        <v/>
      </c>
      <c r="Q4226">
        <f>J4226-H4226^2/k_n</f>
        <v/>
      </c>
      <c r="R4226">
        <f>K4226-G4226*H4226/k_n</f>
        <v/>
      </c>
      <c r="S4226">
        <f>L4226-LTP3!$D$3*G4226/k_n</f>
        <v/>
      </c>
      <c r="T4226">
        <f>M4226-LTP3!$D$3*H4226/k_n</f>
        <v/>
      </c>
      <c r="U4226">
        <f>N4226-G4226*LTP3!$D$4/k_n</f>
        <v/>
      </c>
      <c r="V4226">
        <f>O4226-H4226*LTP3!$D$4/k_n</f>
        <v/>
      </c>
      <c r="W4226">
        <f>((LTP3!$D$5)*((P4226)*(Q4226)-(R4226)*(R4226))-(S4226)*((S4226)*(Q4226)-(R4226)*(T4226))+(T4226)*((S4226)*(R4226)-(P4226)*(T4226)))</f>
        <v/>
      </c>
      <c r="X4226">
        <f>IF(ABS(W4226)&gt;1E-12,((LTP3!$D$6)*((P4226)*(Q4226)-(R4226)*(R4226))-(S4226)*((U4226)*(Q4226)-(R4226)*(V4226))+(T4226)*((U4226)*(R4226)-(P4226)*(V4226)))/W4226,0)</f>
        <v/>
      </c>
      <c r="Y4226">
        <f>IF(ABS(W4226)&gt;1E-12,((LTP3!$D$5)*((U4226)*(Q4226)-(R4226)*(V4226))-(LTP3!$D$6)*((S4226)*(Q4226)-(R4226)*(T4226))+(T4226)*((S4226)*(V4226)-(U4226)*(T4226)))/W4226,0)</f>
        <v/>
      </c>
      <c r="Z4226">
        <f>IF(ABS(W4226)&gt;1E-12,((LTP3!$D$5)*((P4226)*(V4226)-(U4226)*(R4226))-(S4226)*((S4226)*(V4226)-(U4226)*(T4226))+(LTP3!$D$6)*((S4226)*(R4226)-(P4226)*(T4226)))/W4226,0)</f>
        <v/>
      </c>
      <c r="AA4226">
        <f>LTP3!$D$7-X4226*LTP3!$D$6-Y4226*U4226-Z4226*V4226</f>
        <v/>
      </c>
      <c r="AB4226">
        <f>IF(AND(F4226,ABS(W4226)&gt;1E-12,Y4226&gt;0,Z4226&gt;0),AA4226,1E+300)</f>
        <v/>
      </c>
    </row>
    <row r="4227">
      <c r="A4227">
        <f>$I$4-$B$5/10+$B$5*2/100</f>
        <v/>
      </c>
      <c r="B4227">
        <f>$J$4-$B$5/10+$B$5*5/100</f>
        <v/>
      </c>
      <c r="C4227">
        <f>SUMPRODUCT(Calc!$K$3:$K$22*(Calc!$G$3:$G$22&lt;=A4227))</f>
        <v/>
      </c>
      <c r="D4227">
        <f>SUMPRODUCT(Calc!$K$3:$K$22*(Calc!$G$3:$G$22&gt;A4227)*(Calc!$G$3:$G$22&lt;B4227))</f>
        <v/>
      </c>
      <c r="E4227">
        <f>SUMPRODUCT(Calc!$K$3:$K$22*(Calc!$G$3:$G$22&gt;=B4227))</f>
        <v/>
      </c>
      <c r="F4227">
        <f>AND(k_n&gt;=5,B4227&gt;A4227+1E-9,C4227&gt;=2,D4227&gt;=1,E4227&gt;=2)</f>
        <v/>
      </c>
      <c r="G4227">
        <f>SUMPRODUCT(Calc!$K$3:$K$22*(Calc!$G$3:$G$22&gt;A4227)*(Calc!$G$3:$G$22-A4227))</f>
        <v/>
      </c>
      <c r="H4227">
        <f>SUMPRODUCT(Calc!$K$3:$K$22*(Calc!$G$3:$G$22&gt;B4227)*(Calc!$G$3:$G$22-B4227))</f>
        <v/>
      </c>
      <c r="I4227">
        <f>SUMPRODUCT(Calc!$K$3:$K$22*(Calc!$G$3:$G$22&gt;A4227)*(Calc!$G$3:$G$22-A4227)^2)</f>
        <v/>
      </c>
      <c r="J4227">
        <f>SUMPRODUCT(Calc!$K$3:$K$22*(Calc!$G$3:$G$22&gt;B4227)*(Calc!$G$3:$G$22-B4227)^2)</f>
        <v/>
      </c>
      <c r="K4227">
        <f>SUMPRODUCT(Calc!$K$3:$K$22*(Calc!$G$3:$G$22&gt;A4227)*(Calc!$G$3:$G$22-A4227)*(Calc!$G$3:$G$22&gt;B4227)*(Calc!$G$3:$G$22-B4227))</f>
        <v/>
      </c>
      <c r="L4227">
        <f>SUMPRODUCT(Calc!$K$3:$K$22*(Calc!$G$3:$G$22&gt;A4227)*(Calc!$G$3:$G$22-A4227)*Calc!$G$3:$G$22)</f>
        <v/>
      </c>
      <c r="M4227">
        <f>SUMPRODUCT(Calc!$K$3:$K$22*(Calc!$G$3:$G$22&gt;B4227)*(Calc!$G$3:$G$22-B4227)*Calc!$G$3:$G$22)</f>
        <v/>
      </c>
      <c r="N4227">
        <f>SUMPRODUCT(Calc!$K$3:$K$22*(Calc!$G$3:$G$22&gt;A4227)*(Calc!$G$3:$G$22-A4227)*Calc!$I$3:$I$22)</f>
        <v/>
      </c>
      <c r="O4227">
        <f>SUMPRODUCT(Calc!$K$3:$K$22*(Calc!$G$3:$G$22&gt;B4227)*(Calc!$G$3:$G$22-B4227)*Calc!$I$3:$I$22)</f>
        <v/>
      </c>
      <c r="P4227">
        <f>I4227-G4227^2/k_n</f>
        <v/>
      </c>
      <c r="Q4227">
        <f>J4227-H4227^2/k_n</f>
        <v/>
      </c>
      <c r="R4227">
        <f>K4227-G4227*H4227/k_n</f>
        <v/>
      </c>
      <c r="S4227">
        <f>L4227-LTP3!$D$3*G4227/k_n</f>
        <v/>
      </c>
      <c r="T4227">
        <f>M4227-LTP3!$D$3*H4227/k_n</f>
        <v/>
      </c>
      <c r="U4227">
        <f>N4227-G4227*LTP3!$D$4/k_n</f>
        <v/>
      </c>
      <c r="V4227">
        <f>O4227-H4227*LTP3!$D$4/k_n</f>
        <v/>
      </c>
      <c r="W4227">
        <f>((LTP3!$D$5)*((P4227)*(Q4227)-(R4227)*(R4227))-(S4227)*((S4227)*(Q4227)-(R4227)*(T4227))+(T4227)*((S4227)*(R4227)-(P4227)*(T4227)))</f>
        <v/>
      </c>
      <c r="X4227">
        <f>IF(ABS(W4227)&gt;1E-12,((LTP3!$D$6)*((P4227)*(Q4227)-(R4227)*(R4227))-(S4227)*((U4227)*(Q4227)-(R4227)*(V4227))+(T4227)*((U4227)*(R4227)-(P4227)*(V4227)))/W4227,0)</f>
        <v/>
      </c>
      <c r="Y4227">
        <f>IF(ABS(W4227)&gt;1E-12,((LTP3!$D$5)*((U4227)*(Q4227)-(R4227)*(V4227))-(LTP3!$D$6)*((S4227)*(Q4227)-(R4227)*(T4227))+(T4227)*((S4227)*(V4227)-(U4227)*(T4227)))/W4227,0)</f>
        <v/>
      </c>
      <c r="Z4227">
        <f>IF(ABS(W4227)&gt;1E-12,((LTP3!$D$5)*((P4227)*(V4227)-(U4227)*(R4227))-(S4227)*((S4227)*(V4227)-(U4227)*(T4227))+(LTP3!$D$6)*((S4227)*(R4227)-(P4227)*(T4227)))/W4227,0)</f>
        <v/>
      </c>
      <c r="AA4227">
        <f>LTP3!$D$7-X4227*LTP3!$D$6-Y4227*U4227-Z4227*V4227</f>
        <v/>
      </c>
      <c r="AB4227">
        <f>IF(AND(F4227,ABS(W4227)&gt;1E-12,Y4227&gt;0,Z4227&gt;0),AA4227,1E+300)</f>
        <v/>
      </c>
    </row>
    <row r="4228">
      <c r="A4228">
        <f>$I$4-$B$5/10+$B$5*2/100</f>
        <v/>
      </c>
      <c r="B4228">
        <f>$J$4-$B$5/10+$B$5*6/100</f>
        <v/>
      </c>
      <c r="C4228">
        <f>SUMPRODUCT(Calc!$K$3:$K$22*(Calc!$G$3:$G$22&lt;=A4228))</f>
        <v/>
      </c>
      <c r="D4228">
        <f>SUMPRODUCT(Calc!$K$3:$K$22*(Calc!$G$3:$G$22&gt;A4228)*(Calc!$G$3:$G$22&lt;B4228))</f>
        <v/>
      </c>
      <c r="E4228">
        <f>SUMPRODUCT(Calc!$K$3:$K$22*(Calc!$G$3:$G$22&gt;=B4228))</f>
        <v/>
      </c>
      <c r="F4228">
        <f>AND(k_n&gt;=5,B4228&gt;A4228+1E-9,C4228&gt;=2,D4228&gt;=1,E4228&gt;=2)</f>
        <v/>
      </c>
      <c r="G4228">
        <f>SUMPRODUCT(Calc!$K$3:$K$22*(Calc!$G$3:$G$22&gt;A4228)*(Calc!$G$3:$G$22-A4228))</f>
        <v/>
      </c>
      <c r="H4228">
        <f>SUMPRODUCT(Calc!$K$3:$K$22*(Calc!$G$3:$G$22&gt;B4228)*(Calc!$G$3:$G$22-B4228))</f>
        <v/>
      </c>
      <c r="I4228">
        <f>SUMPRODUCT(Calc!$K$3:$K$22*(Calc!$G$3:$G$22&gt;A4228)*(Calc!$G$3:$G$22-A4228)^2)</f>
        <v/>
      </c>
      <c r="J4228">
        <f>SUMPRODUCT(Calc!$K$3:$K$22*(Calc!$G$3:$G$22&gt;B4228)*(Calc!$G$3:$G$22-B4228)^2)</f>
        <v/>
      </c>
      <c r="K4228">
        <f>SUMPRODUCT(Calc!$K$3:$K$22*(Calc!$G$3:$G$22&gt;A4228)*(Calc!$G$3:$G$22-A4228)*(Calc!$G$3:$G$22&gt;B4228)*(Calc!$G$3:$G$22-B4228))</f>
        <v/>
      </c>
      <c r="L4228">
        <f>SUMPRODUCT(Calc!$K$3:$K$22*(Calc!$G$3:$G$22&gt;A4228)*(Calc!$G$3:$G$22-A4228)*Calc!$G$3:$G$22)</f>
        <v/>
      </c>
      <c r="M4228">
        <f>SUMPRODUCT(Calc!$K$3:$K$22*(Calc!$G$3:$G$22&gt;B4228)*(Calc!$G$3:$G$22-B4228)*Calc!$G$3:$G$22)</f>
        <v/>
      </c>
      <c r="N4228">
        <f>SUMPRODUCT(Calc!$K$3:$K$22*(Calc!$G$3:$G$22&gt;A4228)*(Calc!$G$3:$G$22-A4228)*Calc!$I$3:$I$22)</f>
        <v/>
      </c>
      <c r="O4228">
        <f>SUMPRODUCT(Calc!$K$3:$K$22*(Calc!$G$3:$G$22&gt;B4228)*(Calc!$G$3:$G$22-B4228)*Calc!$I$3:$I$22)</f>
        <v/>
      </c>
      <c r="P4228">
        <f>I4228-G4228^2/k_n</f>
        <v/>
      </c>
      <c r="Q4228">
        <f>J4228-H4228^2/k_n</f>
        <v/>
      </c>
      <c r="R4228">
        <f>K4228-G4228*H4228/k_n</f>
        <v/>
      </c>
      <c r="S4228">
        <f>L4228-LTP3!$D$3*G4228/k_n</f>
        <v/>
      </c>
      <c r="T4228">
        <f>M4228-LTP3!$D$3*H4228/k_n</f>
        <v/>
      </c>
      <c r="U4228">
        <f>N4228-G4228*LTP3!$D$4/k_n</f>
        <v/>
      </c>
      <c r="V4228">
        <f>O4228-H4228*LTP3!$D$4/k_n</f>
        <v/>
      </c>
      <c r="W4228">
        <f>((LTP3!$D$5)*((P4228)*(Q4228)-(R4228)*(R4228))-(S4228)*((S4228)*(Q4228)-(R4228)*(T4228))+(T4228)*((S4228)*(R4228)-(P4228)*(T4228)))</f>
        <v/>
      </c>
      <c r="X4228">
        <f>IF(ABS(W4228)&gt;1E-12,((LTP3!$D$6)*((P4228)*(Q4228)-(R4228)*(R4228))-(S4228)*((U4228)*(Q4228)-(R4228)*(V4228))+(T4228)*((U4228)*(R4228)-(P4228)*(V4228)))/W4228,0)</f>
        <v/>
      </c>
      <c r="Y4228">
        <f>IF(ABS(W4228)&gt;1E-12,((LTP3!$D$5)*((U4228)*(Q4228)-(R4228)*(V4228))-(LTP3!$D$6)*((S4228)*(Q4228)-(R4228)*(T4228))+(T4228)*((S4228)*(V4228)-(U4228)*(T4228)))/W4228,0)</f>
        <v/>
      </c>
      <c r="Z4228">
        <f>IF(ABS(W4228)&gt;1E-12,((LTP3!$D$5)*((P4228)*(V4228)-(U4228)*(R4228))-(S4228)*((S4228)*(V4228)-(U4228)*(T4228))+(LTP3!$D$6)*((S4228)*(R4228)-(P4228)*(T4228)))/W4228,0)</f>
        <v/>
      </c>
      <c r="AA4228">
        <f>LTP3!$D$7-X4228*LTP3!$D$6-Y4228*U4228-Z4228*V4228</f>
        <v/>
      </c>
      <c r="AB4228">
        <f>IF(AND(F4228,ABS(W4228)&gt;1E-12,Y4228&gt;0,Z4228&gt;0),AA4228,1E+300)</f>
        <v/>
      </c>
    </row>
    <row r="4229">
      <c r="A4229">
        <f>$I$4-$B$5/10+$B$5*2/100</f>
        <v/>
      </c>
      <c r="B4229">
        <f>$J$4-$B$5/10+$B$5*7/100</f>
        <v/>
      </c>
      <c r="C4229">
        <f>SUMPRODUCT(Calc!$K$3:$K$22*(Calc!$G$3:$G$22&lt;=A4229))</f>
        <v/>
      </c>
      <c r="D4229">
        <f>SUMPRODUCT(Calc!$K$3:$K$22*(Calc!$G$3:$G$22&gt;A4229)*(Calc!$G$3:$G$22&lt;B4229))</f>
        <v/>
      </c>
      <c r="E4229">
        <f>SUMPRODUCT(Calc!$K$3:$K$22*(Calc!$G$3:$G$22&gt;=B4229))</f>
        <v/>
      </c>
      <c r="F4229">
        <f>AND(k_n&gt;=5,B4229&gt;A4229+1E-9,C4229&gt;=2,D4229&gt;=1,E4229&gt;=2)</f>
        <v/>
      </c>
      <c r="G4229">
        <f>SUMPRODUCT(Calc!$K$3:$K$22*(Calc!$G$3:$G$22&gt;A4229)*(Calc!$G$3:$G$22-A4229))</f>
        <v/>
      </c>
      <c r="H4229">
        <f>SUMPRODUCT(Calc!$K$3:$K$22*(Calc!$G$3:$G$22&gt;B4229)*(Calc!$G$3:$G$22-B4229))</f>
        <v/>
      </c>
      <c r="I4229">
        <f>SUMPRODUCT(Calc!$K$3:$K$22*(Calc!$G$3:$G$22&gt;A4229)*(Calc!$G$3:$G$22-A4229)^2)</f>
        <v/>
      </c>
      <c r="J4229">
        <f>SUMPRODUCT(Calc!$K$3:$K$22*(Calc!$G$3:$G$22&gt;B4229)*(Calc!$G$3:$G$22-B4229)^2)</f>
        <v/>
      </c>
      <c r="K4229">
        <f>SUMPRODUCT(Calc!$K$3:$K$22*(Calc!$G$3:$G$22&gt;A4229)*(Calc!$G$3:$G$22-A4229)*(Calc!$G$3:$G$22&gt;B4229)*(Calc!$G$3:$G$22-B4229))</f>
        <v/>
      </c>
      <c r="L4229">
        <f>SUMPRODUCT(Calc!$K$3:$K$22*(Calc!$G$3:$G$22&gt;A4229)*(Calc!$G$3:$G$22-A4229)*Calc!$G$3:$G$22)</f>
        <v/>
      </c>
      <c r="M4229">
        <f>SUMPRODUCT(Calc!$K$3:$K$22*(Calc!$G$3:$G$22&gt;B4229)*(Calc!$G$3:$G$22-B4229)*Calc!$G$3:$G$22)</f>
        <v/>
      </c>
      <c r="N4229">
        <f>SUMPRODUCT(Calc!$K$3:$K$22*(Calc!$G$3:$G$22&gt;A4229)*(Calc!$G$3:$G$22-A4229)*Calc!$I$3:$I$22)</f>
        <v/>
      </c>
      <c r="O4229">
        <f>SUMPRODUCT(Calc!$K$3:$K$22*(Calc!$G$3:$G$22&gt;B4229)*(Calc!$G$3:$G$22-B4229)*Calc!$I$3:$I$22)</f>
        <v/>
      </c>
      <c r="P4229">
        <f>I4229-G4229^2/k_n</f>
        <v/>
      </c>
      <c r="Q4229">
        <f>J4229-H4229^2/k_n</f>
        <v/>
      </c>
      <c r="R4229">
        <f>K4229-G4229*H4229/k_n</f>
        <v/>
      </c>
      <c r="S4229">
        <f>L4229-LTP3!$D$3*G4229/k_n</f>
        <v/>
      </c>
      <c r="T4229">
        <f>M4229-LTP3!$D$3*H4229/k_n</f>
        <v/>
      </c>
      <c r="U4229">
        <f>N4229-G4229*LTP3!$D$4/k_n</f>
        <v/>
      </c>
      <c r="V4229">
        <f>O4229-H4229*LTP3!$D$4/k_n</f>
        <v/>
      </c>
      <c r="W4229">
        <f>((LTP3!$D$5)*((P4229)*(Q4229)-(R4229)*(R4229))-(S4229)*((S4229)*(Q4229)-(R4229)*(T4229))+(T4229)*((S4229)*(R4229)-(P4229)*(T4229)))</f>
        <v/>
      </c>
      <c r="X4229">
        <f>IF(ABS(W4229)&gt;1E-12,((LTP3!$D$6)*((P4229)*(Q4229)-(R4229)*(R4229))-(S4229)*((U4229)*(Q4229)-(R4229)*(V4229))+(T4229)*((U4229)*(R4229)-(P4229)*(V4229)))/W4229,0)</f>
        <v/>
      </c>
      <c r="Y4229">
        <f>IF(ABS(W4229)&gt;1E-12,((LTP3!$D$5)*((U4229)*(Q4229)-(R4229)*(V4229))-(LTP3!$D$6)*((S4229)*(Q4229)-(R4229)*(T4229))+(T4229)*((S4229)*(V4229)-(U4229)*(T4229)))/W4229,0)</f>
        <v/>
      </c>
      <c r="Z4229">
        <f>IF(ABS(W4229)&gt;1E-12,((LTP3!$D$5)*((P4229)*(V4229)-(U4229)*(R4229))-(S4229)*((S4229)*(V4229)-(U4229)*(T4229))+(LTP3!$D$6)*((S4229)*(R4229)-(P4229)*(T4229)))/W4229,0)</f>
        <v/>
      </c>
      <c r="AA4229">
        <f>LTP3!$D$7-X4229*LTP3!$D$6-Y4229*U4229-Z4229*V4229</f>
        <v/>
      </c>
      <c r="AB4229">
        <f>IF(AND(F4229,ABS(W4229)&gt;1E-12,Y4229&gt;0,Z4229&gt;0),AA4229,1E+300)</f>
        <v/>
      </c>
    </row>
    <row r="4230">
      <c r="A4230">
        <f>$I$4-$B$5/10+$B$5*2/100</f>
        <v/>
      </c>
      <c r="B4230">
        <f>$J$4-$B$5/10+$B$5*8/100</f>
        <v/>
      </c>
      <c r="C4230">
        <f>SUMPRODUCT(Calc!$K$3:$K$22*(Calc!$G$3:$G$22&lt;=A4230))</f>
        <v/>
      </c>
      <c r="D4230">
        <f>SUMPRODUCT(Calc!$K$3:$K$22*(Calc!$G$3:$G$22&gt;A4230)*(Calc!$G$3:$G$22&lt;B4230))</f>
        <v/>
      </c>
      <c r="E4230">
        <f>SUMPRODUCT(Calc!$K$3:$K$22*(Calc!$G$3:$G$22&gt;=B4230))</f>
        <v/>
      </c>
      <c r="F4230">
        <f>AND(k_n&gt;=5,B4230&gt;A4230+1E-9,C4230&gt;=2,D4230&gt;=1,E4230&gt;=2)</f>
        <v/>
      </c>
      <c r="G4230">
        <f>SUMPRODUCT(Calc!$K$3:$K$22*(Calc!$G$3:$G$22&gt;A4230)*(Calc!$G$3:$G$22-A4230))</f>
        <v/>
      </c>
      <c r="H4230">
        <f>SUMPRODUCT(Calc!$K$3:$K$22*(Calc!$G$3:$G$22&gt;B4230)*(Calc!$G$3:$G$22-B4230))</f>
        <v/>
      </c>
      <c r="I4230">
        <f>SUMPRODUCT(Calc!$K$3:$K$22*(Calc!$G$3:$G$22&gt;A4230)*(Calc!$G$3:$G$22-A4230)^2)</f>
        <v/>
      </c>
      <c r="J4230">
        <f>SUMPRODUCT(Calc!$K$3:$K$22*(Calc!$G$3:$G$22&gt;B4230)*(Calc!$G$3:$G$22-B4230)^2)</f>
        <v/>
      </c>
      <c r="K4230">
        <f>SUMPRODUCT(Calc!$K$3:$K$22*(Calc!$G$3:$G$22&gt;A4230)*(Calc!$G$3:$G$22-A4230)*(Calc!$G$3:$G$22&gt;B4230)*(Calc!$G$3:$G$22-B4230))</f>
        <v/>
      </c>
      <c r="L4230">
        <f>SUMPRODUCT(Calc!$K$3:$K$22*(Calc!$G$3:$G$22&gt;A4230)*(Calc!$G$3:$G$22-A4230)*Calc!$G$3:$G$22)</f>
        <v/>
      </c>
      <c r="M4230">
        <f>SUMPRODUCT(Calc!$K$3:$K$22*(Calc!$G$3:$G$22&gt;B4230)*(Calc!$G$3:$G$22-B4230)*Calc!$G$3:$G$22)</f>
        <v/>
      </c>
      <c r="N4230">
        <f>SUMPRODUCT(Calc!$K$3:$K$22*(Calc!$G$3:$G$22&gt;A4230)*(Calc!$G$3:$G$22-A4230)*Calc!$I$3:$I$22)</f>
        <v/>
      </c>
      <c r="O4230">
        <f>SUMPRODUCT(Calc!$K$3:$K$22*(Calc!$G$3:$G$22&gt;B4230)*(Calc!$G$3:$G$22-B4230)*Calc!$I$3:$I$22)</f>
        <v/>
      </c>
      <c r="P4230">
        <f>I4230-G4230^2/k_n</f>
        <v/>
      </c>
      <c r="Q4230">
        <f>J4230-H4230^2/k_n</f>
        <v/>
      </c>
      <c r="R4230">
        <f>K4230-G4230*H4230/k_n</f>
        <v/>
      </c>
      <c r="S4230">
        <f>L4230-LTP3!$D$3*G4230/k_n</f>
        <v/>
      </c>
      <c r="T4230">
        <f>M4230-LTP3!$D$3*H4230/k_n</f>
        <v/>
      </c>
      <c r="U4230">
        <f>N4230-G4230*LTP3!$D$4/k_n</f>
        <v/>
      </c>
      <c r="V4230">
        <f>O4230-H4230*LTP3!$D$4/k_n</f>
        <v/>
      </c>
      <c r="W4230">
        <f>((LTP3!$D$5)*((P4230)*(Q4230)-(R4230)*(R4230))-(S4230)*((S4230)*(Q4230)-(R4230)*(T4230))+(T4230)*((S4230)*(R4230)-(P4230)*(T4230)))</f>
        <v/>
      </c>
      <c r="X4230">
        <f>IF(ABS(W4230)&gt;1E-12,((LTP3!$D$6)*((P4230)*(Q4230)-(R4230)*(R4230))-(S4230)*((U4230)*(Q4230)-(R4230)*(V4230))+(T4230)*((U4230)*(R4230)-(P4230)*(V4230)))/W4230,0)</f>
        <v/>
      </c>
      <c r="Y4230">
        <f>IF(ABS(W4230)&gt;1E-12,((LTP3!$D$5)*((U4230)*(Q4230)-(R4230)*(V4230))-(LTP3!$D$6)*((S4230)*(Q4230)-(R4230)*(T4230))+(T4230)*((S4230)*(V4230)-(U4230)*(T4230)))/W4230,0)</f>
        <v/>
      </c>
      <c r="Z4230">
        <f>IF(ABS(W4230)&gt;1E-12,((LTP3!$D$5)*((P4230)*(V4230)-(U4230)*(R4230))-(S4230)*((S4230)*(V4230)-(U4230)*(T4230))+(LTP3!$D$6)*((S4230)*(R4230)-(P4230)*(T4230)))/W4230,0)</f>
        <v/>
      </c>
      <c r="AA4230">
        <f>LTP3!$D$7-X4230*LTP3!$D$6-Y4230*U4230-Z4230*V4230</f>
        <v/>
      </c>
      <c r="AB4230">
        <f>IF(AND(F4230,ABS(W4230)&gt;1E-12,Y4230&gt;0,Z4230&gt;0),AA4230,1E+300)</f>
        <v/>
      </c>
    </row>
    <row r="4231">
      <c r="A4231">
        <f>$I$4-$B$5/10+$B$5*2/100</f>
        <v/>
      </c>
      <c r="B4231">
        <f>$J$4-$B$5/10+$B$5*9/100</f>
        <v/>
      </c>
      <c r="C4231">
        <f>SUMPRODUCT(Calc!$K$3:$K$22*(Calc!$G$3:$G$22&lt;=A4231))</f>
        <v/>
      </c>
      <c r="D4231">
        <f>SUMPRODUCT(Calc!$K$3:$K$22*(Calc!$G$3:$G$22&gt;A4231)*(Calc!$G$3:$G$22&lt;B4231))</f>
        <v/>
      </c>
      <c r="E4231">
        <f>SUMPRODUCT(Calc!$K$3:$K$22*(Calc!$G$3:$G$22&gt;=B4231))</f>
        <v/>
      </c>
      <c r="F4231">
        <f>AND(k_n&gt;=5,B4231&gt;A4231+1E-9,C4231&gt;=2,D4231&gt;=1,E4231&gt;=2)</f>
        <v/>
      </c>
      <c r="G4231">
        <f>SUMPRODUCT(Calc!$K$3:$K$22*(Calc!$G$3:$G$22&gt;A4231)*(Calc!$G$3:$G$22-A4231))</f>
        <v/>
      </c>
      <c r="H4231">
        <f>SUMPRODUCT(Calc!$K$3:$K$22*(Calc!$G$3:$G$22&gt;B4231)*(Calc!$G$3:$G$22-B4231))</f>
        <v/>
      </c>
      <c r="I4231">
        <f>SUMPRODUCT(Calc!$K$3:$K$22*(Calc!$G$3:$G$22&gt;A4231)*(Calc!$G$3:$G$22-A4231)^2)</f>
        <v/>
      </c>
      <c r="J4231">
        <f>SUMPRODUCT(Calc!$K$3:$K$22*(Calc!$G$3:$G$22&gt;B4231)*(Calc!$G$3:$G$22-B4231)^2)</f>
        <v/>
      </c>
      <c r="K4231">
        <f>SUMPRODUCT(Calc!$K$3:$K$22*(Calc!$G$3:$G$22&gt;A4231)*(Calc!$G$3:$G$22-A4231)*(Calc!$G$3:$G$22&gt;B4231)*(Calc!$G$3:$G$22-B4231))</f>
        <v/>
      </c>
      <c r="L4231">
        <f>SUMPRODUCT(Calc!$K$3:$K$22*(Calc!$G$3:$G$22&gt;A4231)*(Calc!$G$3:$G$22-A4231)*Calc!$G$3:$G$22)</f>
        <v/>
      </c>
      <c r="M4231">
        <f>SUMPRODUCT(Calc!$K$3:$K$22*(Calc!$G$3:$G$22&gt;B4231)*(Calc!$G$3:$G$22-B4231)*Calc!$G$3:$G$22)</f>
        <v/>
      </c>
      <c r="N4231">
        <f>SUMPRODUCT(Calc!$K$3:$K$22*(Calc!$G$3:$G$22&gt;A4231)*(Calc!$G$3:$G$22-A4231)*Calc!$I$3:$I$22)</f>
        <v/>
      </c>
      <c r="O4231">
        <f>SUMPRODUCT(Calc!$K$3:$K$22*(Calc!$G$3:$G$22&gt;B4231)*(Calc!$G$3:$G$22-B4231)*Calc!$I$3:$I$22)</f>
        <v/>
      </c>
      <c r="P4231">
        <f>I4231-G4231^2/k_n</f>
        <v/>
      </c>
      <c r="Q4231">
        <f>J4231-H4231^2/k_n</f>
        <v/>
      </c>
      <c r="R4231">
        <f>K4231-G4231*H4231/k_n</f>
        <v/>
      </c>
      <c r="S4231">
        <f>L4231-LTP3!$D$3*G4231/k_n</f>
        <v/>
      </c>
      <c r="T4231">
        <f>M4231-LTP3!$D$3*H4231/k_n</f>
        <v/>
      </c>
      <c r="U4231">
        <f>N4231-G4231*LTP3!$D$4/k_n</f>
        <v/>
      </c>
      <c r="V4231">
        <f>O4231-H4231*LTP3!$D$4/k_n</f>
        <v/>
      </c>
      <c r="W4231">
        <f>((LTP3!$D$5)*((P4231)*(Q4231)-(R4231)*(R4231))-(S4231)*((S4231)*(Q4231)-(R4231)*(T4231))+(T4231)*((S4231)*(R4231)-(P4231)*(T4231)))</f>
        <v/>
      </c>
      <c r="X4231">
        <f>IF(ABS(W4231)&gt;1E-12,((LTP3!$D$6)*((P4231)*(Q4231)-(R4231)*(R4231))-(S4231)*((U4231)*(Q4231)-(R4231)*(V4231))+(T4231)*((U4231)*(R4231)-(P4231)*(V4231)))/W4231,0)</f>
        <v/>
      </c>
      <c r="Y4231">
        <f>IF(ABS(W4231)&gt;1E-12,((LTP3!$D$5)*((U4231)*(Q4231)-(R4231)*(V4231))-(LTP3!$D$6)*((S4231)*(Q4231)-(R4231)*(T4231))+(T4231)*((S4231)*(V4231)-(U4231)*(T4231)))/W4231,0)</f>
        <v/>
      </c>
      <c r="Z4231">
        <f>IF(ABS(W4231)&gt;1E-12,((LTP3!$D$5)*((P4231)*(V4231)-(U4231)*(R4231))-(S4231)*((S4231)*(V4231)-(U4231)*(T4231))+(LTP3!$D$6)*((S4231)*(R4231)-(P4231)*(T4231)))/W4231,0)</f>
        <v/>
      </c>
      <c r="AA4231">
        <f>LTP3!$D$7-X4231*LTP3!$D$6-Y4231*U4231-Z4231*V4231</f>
        <v/>
      </c>
      <c r="AB4231">
        <f>IF(AND(F4231,ABS(W4231)&gt;1E-12,Y4231&gt;0,Z4231&gt;0),AA4231,1E+300)</f>
        <v/>
      </c>
    </row>
    <row r="4232">
      <c r="A4232">
        <f>$I$4-$B$5/10+$B$5*2/100</f>
        <v/>
      </c>
      <c r="B4232">
        <f>$J$4-$B$5/10+$B$5*10/100</f>
        <v/>
      </c>
      <c r="C4232">
        <f>SUMPRODUCT(Calc!$K$3:$K$22*(Calc!$G$3:$G$22&lt;=A4232))</f>
        <v/>
      </c>
      <c r="D4232">
        <f>SUMPRODUCT(Calc!$K$3:$K$22*(Calc!$G$3:$G$22&gt;A4232)*(Calc!$G$3:$G$22&lt;B4232))</f>
        <v/>
      </c>
      <c r="E4232">
        <f>SUMPRODUCT(Calc!$K$3:$K$22*(Calc!$G$3:$G$22&gt;=B4232))</f>
        <v/>
      </c>
      <c r="F4232">
        <f>AND(k_n&gt;=5,B4232&gt;A4232+1E-9,C4232&gt;=2,D4232&gt;=1,E4232&gt;=2)</f>
        <v/>
      </c>
      <c r="G4232">
        <f>SUMPRODUCT(Calc!$K$3:$K$22*(Calc!$G$3:$G$22&gt;A4232)*(Calc!$G$3:$G$22-A4232))</f>
        <v/>
      </c>
      <c r="H4232">
        <f>SUMPRODUCT(Calc!$K$3:$K$22*(Calc!$G$3:$G$22&gt;B4232)*(Calc!$G$3:$G$22-B4232))</f>
        <v/>
      </c>
      <c r="I4232">
        <f>SUMPRODUCT(Calc!$K$3:$K$22*(Calc!$G$3:$G$22&gt;A4232)*(Calc!$G$3:$G$22-A4232)^2)</f>
        <v/>
      </c>
      <c r="J4232">
        <f>SUMPRODUCT(Calc!$K$3:$K$22*(Calc!$G$3:$G$22&gt;B4232)*(Calc!$G$3:$G$22-B4232)^2)</f>
        <v/>
      </c>
      <c r="K4232">
        <f>SUMPRODUCT(Calc!$K$3:$K$22*(Calc!$G$3:$G$22&gt;A4232)*(Calc!$G$3:$G$22-A4232)*(Calc!$G$3:$G$22&gt;B4232)*(Calc!$G$3:$G$22-B4232))</f>
        <v/>
      </c>
      <c r="L4232">
        <f>SUMPRODUCT(Calc!$K$3:$K$22*(Calc!$G$3:$G$22&gt;A4232)*(Calc!$G$3:$G$22-A4232)*Calc!$G$3:$G$22)</f>
        <v/>
      </c>
      <c r="M4232">
        <f>SUMPRODUCT(Calc!$K$3:$K$22*(Calc!$G$3:$G$22&gt;B4232)*(Calc!$G$3:$G$22-B4232)*Calc!$G$3:$G$22)</f>
        <v/>
      </c>
      <c r="N4232">
        <f>SUMPRODUCT(Calc!$K$3:$K$22*(Calc!$G$3:$G$22&gt;A4232)*(Calc!$G$3:$G$22-A4232)*Calc!$I$3:$I$22)</f>
        <v/>
      </c>
      <c r="O4232">
        <f>SUMPRODUCT(Calc!$K$3:$K$22*(Calc!$G$3:$G$22&gt;B4232)*(Calc!$G$3:$G$22-B4232)*Calc!$I$3:$I$22)</f>
        <v/>
      </c>
      <c r="P4232">
        <f>I4232-G4232^2/k_n</f>
        <v/>
      </c>
      <c r="Q4232">
        <f>J4232-H4232^2/k_n</f>
        <v/>
      </c>
      <c r="R4232">
        <f>K4232-G4232*H4232/k_n</f>
        <v/>
      </c>
      <c r="S4232">
        <f>L4232-LTP3!$D$3*G4232/k_n</f>
        <v/>
      </c>
      <c r="T4232">
        <f>M4232-LTP3!$D$3*H4232/k_n</f>
        <v/>
      </c>
      <c r="U4232">
        <f>N4232-G4232*LTP3!$D$4/k_n</f>
        <v/>
      </c>
      <c r="V4232">
        <f>O4232-H4232*LTP3!$D$4/k_n</f>
        <v/>
      </c>
      <c r="W4232">
        <f>((LTP3!$D$5)*((P4232)*(Q4232)-(R4232)*(R4232))-(S4232)*((S4232)*(Q4232)-(R4232)*(T4232))+(T4232)*((S4232)*(R4232)-(P4232)*(T4232)))</f>
        <v/>
      </c>
      <c r="X4232">
        <f>IF(ABS(W4232)&gt;1E-12,((LTP3!$D$6)*((P4232)*(Q4232)-(R4232)*(R4232))-(S4232)*((U4232)*(Q4232)-(R4232)*(V4232))+(T4232)*((U4232)*(R4232)-(P4232)*(V4232)))/W4232,0)</f>
        <v/>
      </c>
      <c r="Y4232">
        <f>IF(ABS(W4232)&gt;1E-12,((LTP3!$D$5)*((U4232)*(Q4232)-(R4232)*(V4232))-(LTP3!$D$6)*((S4232)*(Q4232)-(R4232)*(T4232))+(T4232)*((S4232)*(V4232)-(U4232)*(T4232)))/W4232,0)</f>
        <v/>
      </c>
      <c r="Z4232">
        <f>IF(ABS(W4232)&gt;1E-12,((LTP3!$D$5)*((P4232)*(V4232)-(U4232)*(R4232))-(S4232)*((S4232)*(V4232)-(U4232)*(T4232))+(LTP3!$D$6)*((S4232)*(R4232)-(P4232)*(T4232)))/W4232,0)</f>
        <v/>
      </c>
      <c r="AA4232">
        <f>LTP3!$D$7-X4232*LTP3!$D$6-Y4232*U4232-Z4232*V4232</f>
        <v/>
      </c>
      <c r="AB4232">
        <f>IF(AND(F4232,ABS(W4232)&gt;1E-12,Y4232&gt;0,Z4232&gt;0),AA4232,1E+300)</f>
        <v/>
      </c>
    </row>
    <row r="4233">
      <c r="A4233">
        <f>$I$4-$B$5/10+$B$5*2/100</f>
        <v/>
      </c>
      <c r="B4233">
        <f>$J$4-$B$5/10+$B$5*11/100</f>
        <v/>
      </c>
      <c r="C4233">
        <f>SUMPRODUCT(Calc!$K$3:$K$22*(Calc!$G$3:$G$22&lt;=A4233))</f>
        <v/>
      </c>
      <c r="D4233">
        <f>SUMPRODUCT(Calc!$K$3:$K$22*(Calc!$G$3:$G$22&gt;A4233)*(Calc!$G$3:$G$22&lt;B4233))</f>
        <v/>
      </c>
      <c r="E4233">
        <f>SUMPRODUCT(Calc!$K$3:$K$22*(Calc!$G$3:$G$22&gt;=B4233))</f>
        <v/>
      </c>
      <c r="F4233">
        <f>AND(k_n&gt;=5,B4233&gt;A4233+1E-9,C4233&gt;=2,D4233&gt;=1,E4233&gt;=2)</f>
        <v/>
      </c>
      <c r="G4233">
        <f>SUMPRODUCT(Calc!$K$3:$K$22*(Calc!$G$3:$G$22&gt;A4233)*(Calc!$G$3:$G$22-A4233))</f>
        <v/>
      </c>
      <c r="H4233">
        <f>SUMPRODUCT(Calc!$K$3:$K$22*(Calc!$G$3:$G$22&gt;B4233)*(Calc!$G$3:$G$22-B4233))</f>
        <v/>
      </c>
      <c r="I4233">
        <f>SUMPRODUCT(Calc!$K$3:$K$22*(Calc!$G$3:$G$22&gt;A4233)*(Calc!$G$3:$G$22-A4233)^2)</f>
        <v/>
      </c>
      <c r="J4233">
        <f>SUMPRODUCT(Calc!$K$3:$K$22*(Calc!$G$3:$G$22&gt;B4233)*(Calc!$G$3:$G$22-B4233)^2)</f>
        <v/>
      </c>
      <c r="K4233">
        <f>SUMPRODUCT(Calc!$K$3:$K$22*(Calc!$G$3:$G$22&gt;A4233)*(Calc!$G$3:$G$22-A4233)*(Calc!$G$3:$G$22&gt;B4233)*(Calc!$G$3:$G$22-B4233))</f>
        <v/>
      </c>
      <c r="L4233">
        <f>SUMPRODUCT(Calc!$K$3:$K$22*(Calc!$G$3:$G$22&gt;A4233)*(Calc!$G$3:$G$22-A4233)*Calc!$G$3:$G$22)</f>
        <v/>
      </c>
      <c r="M4233">
        <f>SUMPRODUCT(Calc!$K$3:$K$22*(Calc!$G$3:$G$22&gt;B4233)*(Calc!$G$3:$G$22-B4233)*Calc!$G$3:$G$22)</f>
        <v/>
      </c>
      <c r="N4233">
        <f>SUMPRODUCT(Calc!$K$3:$K$22*(Calc!$G$3:$G$22&gt;A4233)*(Calc!$G$3:$G$22-A4233)*Calc!$I$3:$I$22)</f>
        <v/>
      </c>
      <c r="O4233">
        <f>SUMPRODUCT(Calc!$K$3:$K$22*(Calc!$G$3:$G$22&gt;B4233)*(Calc!$G$3:$G$22-B4233)*Calc!$I$3:$I$22)</f>
        <v/>
      </c>
      <c r="P4233">
        <f>I4233-G4233^2/k_n</f>
        <v/>
      </c>
      <c r="Q4233">
        <f>J4233-H4233^2/k_n</f>
        <v/>
      </c>
      <c r="R4233">
        <f>K4233-G4233*H4233/k_n</f>
        <v/>
      </c>
      <c r="S4233">
        <f>L4233-LTP3!$D$3*G4233/k_n</f>
        <v/>
      </c>
      <c r="T4233">
        <f>M4233-LTP3!$D$3*H4233/k_n</f>
        <v/>
      </c>
      <c r="U4233">
        <f>N4233-G4233*LTP3!$D$4/k_n</f>
        <v/>
      </c>
      <c r="V4233">
        <f>O4233-H4233*LTP3!$D$4/k_n</f>
        <v/>
      </c>
      <c r="W4233">
        <f>((LTP3!$D$5)*((P4233)*(Q4233)-(R4233)*(R4233))-(S4233)*((S4233)*(Q4233)-(R4233)*(T4233))+(T4233)*((S4233)*(R4233)-(P4233)*(T4233)))</f>
        <v/>
      </c>
      <c r="X4233">
        <f>IF(ABS(W4233)&gt;1E-12,((LTP3!$D$6)*((P4233)*(Q4233)-(R4233)*(R4233))-(S4233)*((U4233)*(Q4233)-(R4233)*(V4233))+(T4233)*((U4233)*(R4233)-(P4233)*(V4233)))/W4233,0)</f>
        <v/>
      </c>
      <c r="Y4233">
        <f>IF(ABS(W4233)&gt;1E-12,((LTP3!$D$5)*((U4233)*(Q4233)-(R4233)*(V4233))-(LTP3!$D$6)*((S4233)*(Q4233)-(R4233)*(T4233))+(T4233)*((S4233)*(V4233)-(U4233)*(T4233)))/W4233,0)</f>
        <v/>
      </c>
      <c r="Z4233">
        <f>IF(ABS(W4233)&gt;1E-12,((LTP3!$D$5)*((P4233)*(V4233)-(U4233)*(R4233))-(S4233)*((S4233)*(V4233)-(U4233)*(T4233))+(LTP3!$D$6)*((S4233)*(R4233)-(P4233)*(T4233)))/W4233,0)</f>
        <v/>
      </c>
      <c r="AA4233">
        <f>LTP3!$D$7-X4233*LTP3!$D$6-Y4233*U4233-Z4233*V4233</f>
        <v/>
      </c>
      <c r="AB4233">
        <f>IF(AND(F4233,ABS(W4233)&gt;1E-12,Y4233&gt;0,Z4233&gt;0),AA4233,1E+300)</f>
        <v/>
      </c>
    </row>
    <row r="4234">
      <c r="A4234">
        <f>$I$4-$B$5/10+$B$5*2/100</f>
        <v/>
      </c>
      <c r="B4234">
        <f>$J$4-$B$5/10+$B$5*12/100</f>
        <v/>
      </c>
      <c r="C4234">
        <f>SUMPRODUCT(Calc!$K$3:$K$22*(Calc!$G$3:$G$22&lt;=A4234))</f>
        <v/>
      </c>
      <c r="D4234">
        <f>SUMPRODUCT(Calc!$K$3:$K$22*(Calc!$G$3:$G$22&gt;A4234)*(Calc!$G$3:$G$22&lt;B4234))</f>
        <v/>
      </c>
      <c r="E4234">
        <f>SUMPRODUCT(Calc!$K$3:$K$22*(Calc!$G$3:$G$22&gt;=B4234))</f>
        <v/>
      </c>
      <c r="F4234">
        <f>AND(k_n&gt;=5,B4234&gt;A4234+1E-9,C4234&gt;=2,D4234&gt;=1,E4234&gt;=2)</f>
        <v/>
      </c>
      <c r="G4234">
        <f>SUMPRODUCT(Calc!$K$3:$K$22*(Calc!$G$3:$G$22&gt;A4234)*(Calc!$G$3:$G$22-A4234))</f>
        <v/>
      </c>
      <c r="H4234">
        <f>SUMPRODUCT(Calc!$K$3:$K$22*(Calc!$G$3:$G$22&gt;B4234)*(Calc!$G$3:$G$22-B4234))</f>
        <v/>
      </c>
      <c r="I4234">
        <f>SUMPRODUCT(Calc!$K$3:$K$22*(Calc!$G$3:$G$22&gt;A4234)*(Calc!$G$3:$G$22-A4234)^2)</f>
        <v/>
      </c>
      <c r="J4234">
        <f>SUMPRODUCT(Calc!$K$3:$K$22*(Calc!$G$3:$G$22&gt;B4234)*(Calc!$G$3:$G$22-B4234)^2)</f>
        <v/>
      </c>
      <c r="K4234">
        <f>SUMPRODUCT(Calc!$K$3:$K$22*(Calc!$G$3:$G$22&gt;A4234)*(Calc!$G$3:$G$22-A4234)*(Calc!$G$3:$G$22&gt;B4234)*(Calc!$G$3:$G$22-B4234))</f>
        <v/>
      </c>
      <c r="L4234">
        <f>SUMPRODUCT(Calc!$K$3:$K$22*(Calc!$G$3:$G$22&gt;A4234)*(Calc!$G$3:$G$22-A4234)*Calc!$G$3:$G$22)</f>
        <v/>
      </c>
      <c r="M4234">
        <f>SUMPRODUCT(Calc!$K$3:$K$22*(Calc!$G$3:$G$22&gt;B4234)*(Calc!$G$3:$G$22-B4234)*Calc!$G$3:$G$22)</f>
        <v/>
      </c>
      <c r="N4234">
        <f>SUMPRODUCT(Calc!$K$3:$K$22*(Calc!$G$3:$G$22&gt;A4234)*(Calc!$G$3:$G$22-A4234)*Calc!$I$3:$I$22)</f>
        <v/>
      </c>
      <c r="O4234">
        <f>SUMPRODUCT(Calc!$K$3:$K$22*(Calc!$G$3:$G$22&gt;B4234)*(Calc!$G$3:$G$22-B4234)*Calc!$I$3:$I$22)</f>
        <v/>
      </c>
      <c r="P4234">
        <f>I4234-G4234^2/k_n</f>
        <v/>
      </c>
      <c r="Q4234">
        <f>J4234-H4234^2/k_n</f>
        <v/>
      </c>
      <c r="R4234">
        <f>K4234-G4234*H4234/k_n</f>
        <v/>
      </c>
      <c r="S4234">
        <f>L4234-LTP3!$D$3*G4234/k_n</f>
        <v/>
      </c>
      <c r="T4234">
        <f>M4234-LTP3!$D$3*H4234/k_n</f>
        <v/>
      </c>
      <c r="U4234">
        <f>N4234-G4234*LTP3!$D$4/k_n</f>
        <v/>
      </c>
      <c r="V4234">
        <f>O4234-H4234*LTP3!$D$4/k_n</f>
        <v/>
      </c>
      <c r="W4234">
        <f>((LTP3!$D$5)*((P4234)*(Q4234)-(R4234)*(R4234))-(S4234)*((S4234)*(Q4234)-(R4234)*(T4234))+(T4234)*((S4234)*(R4234)-(P4234)*(T4234)))</f>
        <v/>
      </c>
      <c r="X4234">
        <f>IF(ABS(W4234)&gt;1E-12,((LTP3!$D$6)*((P4234)*(Q4234)-(R4234)*(R4234))-(S4234)*((U4234)*(Q4234)-(R4234)*(V4234))+(T4234)*((U4234)*(R4234)-(P4234)*(V4234)))/W4234,0)</f>
        <v/>
      </c>
      <c r="Y4234">
        <f>IF(ABS(W4234)&gt;1E-12,((LTP3!$D$5)*((U4234)*(Q4234)-(R4234)*(V4234))-(LTP3!$D$6)*((S4234)*(Q4234)-(R4234)*(T4234))+(T4234)*((S4234)*(V4234)-(U4234)*(T4234)))/W4234,0)</f>
        <v/>
      </c>
      <c r="Z4234">
        <f>IF(ABS(W4234)&gt;1E-12,((LTP3!$D$5)*((P4234)*(V4234)-(U4234)*(R4234))-(S4234)*((S4234)*(V4234)-(U4234)*(T4234))+(LTP3!$D$6)*((S4234)*(R4234)-(P4234)*(T4234)))/W4234,0)</f>
        <v/>
      </c>
      <c r="AA4234">
        <f>LTP3!$D$7-X4234*LTP3!$D$6-Y4234*U4234-Z4234*V4234</f>
        <v/>
      </c>
      <c r="AB4234">
        <f>IF(AND(F4234,ABS(W4234)&gt;1E-12,Y4234&gt;0,Z4234&gt;0),AA4234,1E+300)</f>
        <v/>
      </c>
    </row>
    <row r="4235">
      <c r="A4235">
        <f>$I$4-$B$5/10+$B$5*2/100</f>
        <v/>
      </c>
      <c r="B4235">
        <f>$J$4-$B$5/10+$B$5*13/100</f>
        <v/>
      </c>
      <c r="C4235">
        <f>SUMPRODUCT(Calc!$K$3:$K$22*(Calc!$G$3:$G$22&lt;=A4235))</f>
        <v/>
      </c>
      <c r="D4235">
        <f>SUMPRODUCT(Calc!$K$3:$K$22*(Calc!$G$3:$G$22&gt;A4235)*(Calc!$G$3:$G$22&lt;B4235))</f>
        <v/>
      </c>
      <c r="E4235">
        <f>SUMPRODUCT(Calc!$K$3:$K$22*(Calc!$G$3:$G$22&gt;=B4235))</f>
        <v/>
      </c>
      <c r="F4235">
        <f>AND(k_n&gt;=5,B4235&gt;A4235+1E-9,C4235&gt;=2,D4235&gt;=1,E4235&gt;=2)</f>
        <v/>
      </c>
      <c r="G4235">
        <f>SUMPRODUCT(Calc!$K$3:$K$22*(Calc!$G$3:$G$22&gt;A4235)*(Calc!$G$3:$G$22-A4235))</f>
        <v/>
      </c>
      <c r="H4235">
        <f>SUMPRODUCT(Calc!$K$3:$K$22*(Calc!$G$3:$G$22&gt;B4235)*(Calc!$G$3:$G$22-B4235))</f>
        <v/>
      </c>
      <c r="I4235">
        <f>SUMPRODUCT(Calc!$K$3:$K$22*(Calc!$G$3:$G$22&gt;A4235)*(Calc!$G$3:$G$22-A4235)^2)</f>
        <v/>
      </c>
      <c r="J4235">
        <f>SUMPRODUCT(Calc!$K$3:$K$22*(Calc!$G$3:$G$22&gt;B4235)*(Calc!$G$3:$G$22-B4235)^2)</f>
        <v/>
      </c>
      <c r="K4235">
        <f>SUMPRODUCT(Calc!$K$3:$K$22*(Calc!$G$3:$G$22&gt;A4235)*(Calc!$G$3:$G$22-A4235)*(Calc!$G$3:$G$22&gt;B4235)*(Calc!$G$3:$G$22-B4235))</f>
        <v/>
      </c>
      <c r="L4235">
        <f>SUMPRODUCT(Calc!$K$3:$K$22*(Calc!$G$3:$G$22&gt;A4235)*(Calc!$G$3:$G$22-A4235)*Calc!$G$3:$G$22)</f>
        <v/>
      </c>
      <c r="M4235">
        <f>SUMPRODUCT(Calc!$K$3:$K$22*(Calc!$G$3:$G$22&gt;B4235)*(Calc!$G$3:$G$22-B4235)*Calc!$G$3:$G$22)</f>
        <v/>
      </c>
      <c r="N4235">
        <f>SUMPRODUCT(Calc!$K$3:$K$22*(Calc!$G$3:$G$22&gt;A4235)*(Calc!$G$3:$G$22-A4235)*Calc!$I$3:$I$22)</f>
        <v/>
      </c>
      <c r="O4235">
        <f>SUMPRODUCT(Calc!$K$3:$K$22*(Calc!$G$3:$G$22&gt;B4235)*(Calc!$G$3:$G$22-B4235)*Calc!$I$3:$I$22)</f>
        <v/>
      </c>
      <c r="P4235">
        <f>I4235-G4235^2/k_n</f>
        <v/>
      </c>
      <c r="Q4235">
        <f>J4235-H4235^2/k_n</f>
        <v/>
      </c>
      <c r="R4235">
        <f>K4235-G4235*H4235/k_n</f>
        <v/>
      </c>
      <c r="S4235">
        <f>L4235-LTP3!$D$3*G4235/k_n</f>
        <v/>
      </c>
      <c r="T4235">
        <f>M4235-LTP3!$D$3*H4235/k_n</f>
        <v/>
      </c>
      <c r="U4235">
        <f>N4235-G4235*LTP3!$D$4/k_n</f>
        <v/>
      </c>
      <c r="V4235">
        <f>O4235-H4235*LTP3!$D$4/k_n</f>
        <v/>
      </c>
      <c r="W4235">
        <f>((LTP3!$D$5)*((P4235)*(Q4235)-(R4235)*(R4235))-(S4235)*((S4235)*(Q4235)-(R4235)*(T4235))+(T4235)*((S4235)*(R4235)-(P4235)*(T4235)))</f>
        <v/>
      </c>
      <c r="X4235">
        <f>IF(ABS(W4235)&gt;1E-12,((LTP3!$D$6)*((P4235)*(Q4235)-(R4235)*(R4235))-(S4235)*((U4235)*(Q4235)-(R4235)*(V4235))+(T4235)*((U4235)*(R4235)-(P4235)*(V4235)))/W4235,0)</f>
        <v/>
      </c>
      <c r="Y4235">
        <f>IF(ABS(W4235)&gt;1E-12,((LTP3!$D$5)*((U4235)*(Q4235)-(R4235)*(V4235))-(LTP3!$D$6)*((S4235)*(Q4235)-(R4235)*(T4235))+(T4235)*((S4235)*(V4235)-(U4235)*(T4235)))/W4235,0)</f>
        <v/>
      </c>
      <c r="Z4235">
        <f>IF(ABS(W4235)&gt;1E-12,((LTP3!$D$5)*((P4235)*(V4235)-(U4235)*(R4235))-(S4235)*((S4235)*(V4235)-(U4235)*(T4235))+(LTP3!$D$6)*((S4235)*(R4235)-(P4235)*(T4235)))/W4235,0)</f>
        <v/>
      </c>
      <c r="AA4235">
        <f>LTP3!$D$7-X4235*LTP3!$D$6-Y4235*U4235-Z4235*V4235</f>
        <v/>
      </c>
      <c r="AB4235">
        <f>IF(AND(F4235,ABS(W4235)&gt;1E-12,Y4235&gt;0,Z4235&gt;0),AA4235,1E+300)</f>
        <v/>
      </c>
    </row>
    <row r="4236">
      <c r="A4236">
        <f>$I$4-$B$5/10+$B$5*2/100</f>
        <v/>
      </c>
      <c r="B4236">
        <f>$J$4-$B$5/10+$B$5*14/100</f>
        <v/>
      </c>
      <c r="C4236">
        <f>SUMPRODUCT(Calc!$K$3:$K$22*(Calc!$G$3:$G$22&lt;=A4236))</f>
        <v/>
      </c>
      <c r="D4236">
        <f>SUMPRODUCT(Calc!$K$3:$K$22*(Calc!$G$3:$G$22&gt;A4236)*(Calc!$G$3:$G$22&lt;B4236))</f>
        <v/>
      </c>
      <c r="E4236">
        <f>SUMPRODUCT(Calc!$K$3:$K$22*(Calc!$G$3:$G$22&gt;=B4236))</f>
        <v/>
      </c>
      <c r="F4236">
        <f>AND(k_n&gt;=5,B4236&gt;A4236+1E-9,C4236&gt;=2,D4236&gt;=1,E4236&gt;=2)</f>
        <v/>
      </c>
      <c r="G4236">
        <f>SUMPRODUCT(Calc!$K$3:$K$22*(Calc!$G$3:$G$22&gt;A4236)*(Calc!$G$3:$G$22-A4236))</f>
        <v/>
      </c>
      <c r="H4236">
        <f>SUMPRODUCT(Calc!$K$3:$K$22*(Calc!$G$3:$G$22&gt;B4236)*(Calc!$G$3:$G$22-B4236))</f>
        <v/>
      </c>
      <c r="I4236">
        <f>SUMPRODUCT(Calc!$K$3:$K$22*(Calc!$G$3:$G$22&gt;A4236)*(Calc!$G$3:$G$22-A4236)^2)</f>
        <v/>
      </c>
      <c r="J4236">
        <f>SUMPRODUCT(Calc!$K$3:$K$22*(Calc!$G$3:$G$22&gt;B4236)*(Calc!$G$3:$G$22-B4236)^2)</f>
        <v/>
      </c>
      <c r="K4236">
        <f>SUMPRODUCT(Calc!$K$3:$K$22*(Calc!$G$3:$G$22&gt;A4236)*(Calc!$G$3:$G$22-A4236)*(Calc!$G$3:$G$22&gt;B4236)*(Calc!$G$3:$G$22-B4236))</f>
        <v/>
      </c>
      <c r="L4236">
        <f>SUMPRODUCT(Calc!$K$3:$K$22*(Calc!$G$3:$G$22&gt;A4236)*(Calc!$G$3:$G$22-A4236)*Calc!$G$3:$G$22)</f>
        <v/>
      </c>
      <c r="M4236">
        <f>SUMPRODUCT(Calc!$K$3:$K$22*(Calc!$G$3:$G$22&gt;B4236)*(Calc!$G$3:$G$22-B4236)*Calc!$G$3:$G$22)</f>
        <v/>
      </c>
      <c r="N4236">
        <f>SUMPRODUCT(Calc!$K$3:$K$22*(Calc!$G$3:$G$22&gt;A4236)*(Calc!$G$3:$G$22-A4236)*Calc!$I$3:$I$22)</f>
        <v/>
      </c>
      <c r="O4236">
        <f>SUMPRODUCT(Calc!$K$3:$K$22*(Calc!$G$3:$G$22&gt;B4236)*(Calc!$G$3:$G$22-B4236)*Calc!$I$3:$I$22)</f>
        <v/>
      </c>
      <c r="P4236">
        <f>I4236-G4236^2/k_n</f>
        <v/>
      </c>
      <c r="Q4236">
        <f>J4236-H4236^2/k_n</f>
        <v/>
      </c>
      <c r="R4236">
        <f>K4236-G4236*H4236/k_n</f>
        <v/>
      </c>
      <c r="S4236">
        <f>L4236-LTP3!$D$3*G4236/k_n</f>
        <v/>
      </c>
      <c r="T4236">
        <f>M4236-LTP3!$D$3*H4236/k_n</f>
        <v/>
      </c>
      <c r="U4236">
        <f>N4236-G4236*LTP3!$D$4/k_n</f>
        <v/>
      </c>
      <c r="V4236">
        <f>O4236-H4236*LTP3!$D$4/k_n</f>
        <v/>
      </c>
      <c r="W4236">
        <f>((LTP3!$D$5)*((P4236)*(Q4236)-(R4236)*(R4236))-(S4236)*((S4236)*(Q4236)-(R4236)*(T4236))+(T4236)*((S4236)*(R4236)-(P4236)*(T4236)))</f>
        <v/>
      </c>
      <c r="X4236">
        <f>IF(ABS(W4236)&gt;1E-12,((LTP3!$D$6)*((P4236)*(Q4236)-(R4236)*(R4236))-(S4236)*((U4236)*(Q4236)-(R4236)*(V4236))+(T4236)*((U4236)*(R4236)-(P4236)*(V4236)))/W4236,0)</f>
        <v/>
      </c>
      <c r="Y4236">
        <f>IF(ABS(W4236)&gt;1E-12,((LTP3!$D$5)*((U4236)*(Q4236)-(R4236)*(V4236))-(LTP3!$D$6)*((S4236)*(Q4236)-(R4236)*(T4236))+(T4236)*((S4236)*(V4236)-(U4236)*(T4236)))/W4236,0)</f>
        <v/>
      </c>
      <c r="Z4236">
        <f>IF(ABS(W4236)&gt;1E-12,((LTP3!$D$5)*((P4236)*(V4236)-(U4236)*(R4236))-(S4236)*((S4236)*(V4236)-(U4236)*(T4236))+(LTP3!$D$6)*((S4236)*(R4236)-(P4236)*(T4236)))/W4236,0)</f>
        <v/>
      </c>
      <c r="AA4236">
        <f>LTP3!$D$7-X4236*LTP3!$D$6-Y4236*U4236-Z4236*V4236</f>
        <v/>
      </c>
      <c r="AB4236">
        <f>IF(AND(F4236,ABS(W4236)&gt;1E-12,Y4236&gt;0,Z4236&gt;0),AA4236,1E+300)</f>
        <v/>
      </c>
    </row>
    <row r="4237">
      <c r="A4237">
        <f>$I$4-$B$5/10+$B$5*2/100</f>
        <v/>
      </c>
      <c r="B4237">
        <f>$J$4-$B$5/10+$B$5*15/100</f>
        <v/>
      </c>
      <c r="C4237">
        <f>SUMPRODUCT(Calc!$K$3:$K$22*(Calc!$G$3:$G$22&lt;=A4237))</f>
        <v/>
      </c>
      <c r="D4237">
        <f>SUMPRODUCT(Calc!$K$3:$K$22*(Calc!$G$3:$G$22&gt;A4237)*(Calc!$G$3:$G$22&lt;B4237))</f>
        <v/>
      </c>
      <c r="E4237">
        <f>SUMPRODUCT(Calc!$K$3:$K$22*(Calc!$G$3:$G$22&gt;=B4237))</f>
        <v/>
      </c>
      <c r="F4237">
        <f>AND(k_n&gt;=5,B4237&gt;A4237+1E-9,C4237&gt;=2,D4237&gt;=1,E4237&gt;=2)</f>
        <v/>
      </c>
      <c r="G4237">
        <f>SUMPRODUCT(Calc!$K$3:$K$22*(Calc!$G$3:$G$22&gt;A4237)*(Calc!$G$3:$G$22-A4237))</f>
        <v/>
      </c>
      <c r="H4237">
        <f>SUMPRODUCT(Calc!$K$3:$K$22*(Calc!$G$3:$G$22&gt;B4237)*(Calc!$G$3:$G$22-B4237))</f>
        <v/>
      </c>
      <c r="I4237">
        <f>SUMPRODUCT(Calc!$K$3:$K$22*(Calc!$G$3:$G$22&gt;A4237)*(Calc!$G$3:$G$22-A4237)^2)</f>
        <v/>
      </c>
      <c r="J4237">
        <f>SUMPRODUCT(Calc!$K$3:$K$22*(Calc!$G$3:$G$22&gt;B4237)*(Calc!$G$3:$G$22-B4237)^2)</f>
        <v/>
      </c>
      <c r="K4237">
        <f>SUMPRODUCT(Calc!$K$3:$K$22*(Calc!$G$3:$G$22&gt;A4237)*(Calc!$G$3:$G$22-A4237)*(Calc!$G$3:$G$22&gt;B4237)*(Calc!$G$3:$G$22-B4237))</f>
        <v/>
      </c>
      <c r="L4237">
        <f>SUMPRODUCT(Calc!$K$3:$K$22*(Calc!$G$3:$G$22&gt;A4237)*(Calc!$G$3:$G$22-A4237)*Calc!$G$3:$G$22)</f>
        <v/>
      </c>
      <c r="M4237">
        <f>SUMPRODUCT(Calc!$K$3:$K$22*(Calc!$G$3:$G$22&gt;B4237)*(Calc!$G$3:$G$22-B4237)*Calc!$G$3:$G$22)</f>
        <v/>
      </c>
      <c r="N4237">
        <f>SUMPRODUCT(Calc!$K$3:$K$22*(Calc!$G$3:$G$22&gt;A4237)*(Calc!$G$3:$G$22-A4237)*Calc!$I$3:$I$22)</f>
        <v/>
      </c>
      <c r="O4237">
        <f>SUMPRODUCT(Calc!$K$3:$K$22*(Calc!$G$3:$G$22&gt;B4237)*(Calc!$G$3:$G$22-B4237)*Calc!$I$3:$I$22)</f>
        <v/>
      </c>
      <c r="P4237">
        <f>I4237-G4237^2/k_n</f>
        <v/>
      </c>
      <c r="Q4237">
        <f>J4237-H4237^2/k_n</f>
        <v/>
      </c>
      <c r="R4237">
        <f>K4237-G4237*H4237/k_n</f>
        <v/>
      </c>
      <c r="S4237">
        <f>L4237-LTP3!$D$3*G4237/k_n</f>
        <v/>
      </c>
      <c r="T4237">
        <f>M4237-LTP3!$D$3*H4237/k_n</f>
        <v/>
      </c>
      <c r="U4237">
        <f>N4237-G4237*LTP3!$D$4/k_n</f>
        <v/>
      </c>
      <c r="V4237">
        <f>O4237-H4237*LTP3!$D$4/k_n</f>
        <v/>
      </c>
      <c r="W4237">
        <f>((LTP3!$D$5)*((P4237)*(Q4237)-(R4237)*(R4237))-(S4237)*((S4237)*(Q4237)-(R4237)*(T4237))+(T4237)*((S4237)*(R4237)-(P4237)*(T4237)))</f>
        <v/>
      </c>
      <c r="X4237">
        <f>IF(ABS(W4237)&gt;1E-12,((LTP3!$D$6)*((P4237)*(Q4237)-(R4237)*(R4237))-(S4237)*((U4237)*(Q4237)-(R4237)*(V4237))+(T4237)*((U4237)*(R4237)-(P4237)*(V4237)))/W4237,0)</f>
        <v/>
      </c>
      <c r="Y4237">
        <f>IF(ABS(W4237)&gt;1E-12,((LTP3!$D$5)*((U4237)*(Q4237)-(R4237)*(V4237))-(LTP3!$D$6)*((S4237)*(Q4237)-(R4237)*(T4237))+(T4237)*((S4237)*(V4237)-(U4237)*(T4237)))/W4237,0)</f>
        <v/>
      </c>
      <c r="Z4237">
        <f>IF(ABS(W4237)&gt;1E-12,((LTP3!$D$5)*((P4237)*(V4237)-(U4237)*(R4237))-(S4237)*((S4237)*(V4237)-(U4237)*(T4237))+(LTP3!$D$6)*((S4237)*(R4237)-(P4237)*(T4237)))/W4237,0)</f>
        <v/>
      </c>
      <c r="AA4237">
        <f>LTP3!$D$7-X4237*LTP3!$D$6-Y4237*U4237-Z4237*V4237</f>
        <v/>
      </c>
      <c r="AB4237">
        <f>IF(AND(F4237,ABS(W4237)&gt;1E-12,Y4237&gt;0,Z4237&gt;0),AA4237,1E+300)</f>
        <v/>
      </c>
    </row>
    <row r="4238">
      <c r="A4238">
        <f>$I$4-$B$5/10+$B$5*2/100</f>
        <v/>
      </c>
      <c r="B4238">
        <f>$J$4-$B$5/10+$B$5*16/100</f>
        <v/>
      </c>
      <c r="C4238">
        <f>SUMPRODUCT(Calc!$K$3:$K$22*(Calc!$G$3:$G$22&lt;=A4238))</f>
        <v/>
      </c>
      <c r="D4238">
        <f>SUMPRODUCT(Calc!$K$3:$K$22*(Calc!$G$3:$G$22&gt;A4238)*(Calc!$G$3:$G$22&lt;B4238))</f>
        <v/>
      </c>
      <c r="E4238">
        <f>SUMPRODUCT(Calc!$K$3:$K$22*(Calc!$G$3:$G$22&gt;=B4238))</f>
        <v/>
      </c>
      <c r="F4238">
        <f>AND(k_n&gt;=5,B4238&gt;A4238+1E-9,C4238&gt;=2,D4238&gt;=1,E4238&gt;=2)</f>
        <v/>
      </c>
      <c r="G4238">
        <f>SUMPRODUCT(Calc!$K$3:$K$22*(Calc!$G$3:$G$22&gt;A4238)*(Calc!$G$3:$G$22-A4238))</f>
        <v/>
      </c>
      <c r="H4238">
        <f>SUMPRODUCT(Calc!$K$3:$K$22*(Calc!$G$3:$G$22&gt;B4238)*(Calc!$G$3:$G$22-B4238))</f>
        <v/>
      </c>
      <c r="I4238">
        <f>SUMPRODUCT(Calc!$K$3:$K$22*(Calc!$G$3:$G$22&gt;A4238)*(Calc!$G$3:$G$22-A4238)^2)</f>
        <v/>
      </c>
      <c r="J4238">
        <f>SUMPRODUCT(Calc!$K$3:$K$22*(Calc!$G$3:$G$22&gt;B4238)*(Calc!$G$3:$G$22-B4238)^2)</f>
        <v/>
      </c>
      <c r="K4238">
        <f>SUMPRODUCT(Calc!$K$3:$K$22*(Calc!$G$3:$G$22&gt;A4238)*(Calc!$G$3:$G$22-A4238)*(Calc!$G$3:$G$22&gt;B4238)*(Calc!$G$3:$G$22-B4238))</f>
        <v/>
      </c>
      <c r="L4238">
        <f>SUMPRODUCT(Calc!$K$3:$K$22*(Calc!$G$3:$G$22&gt;A4238)*(Calc!$G$3:$G$22-A4238)*Calc!$G$3:$G$22)</f>
        <v/>
      </c>
      <c r="M4238">
        <f>SUMPRODUCT(Calc!$K$3:$K$22*(Calc!$G$3:$G$22&gt;B4238)*(Calc!$G$3:$G$22-B4238)*Calc!$G$3:$G$22)</f>
        <v/>
      </c>
      <c r="N4238">
        <f>SUMPRODUCT(Calc!$K$3:$K$22*(Calc!$G$3:$G$22&gt;A4238)*(Calc!$G$3:$G$22-A4238)*Calc!$I$3:$I$22)</f>
        <v/>
      </c>
      <c r="O4238">
        <f>SUMPRODUCT(Calc!$K$3:$K$22*(Calc!$G$3:$G$22&gt;B4238)*(Calc!$G$3:$G$22-B4238)*Calc!$I$3:$I$22)</f>
        <v/>
      </c>
      <c r="P4238">
        <f>I4238-G4238^2/k_n</f>
        <v/>
      </c>
      <c r="Q4238">
        <f>J4238-H4238^2/k_n</f>
        <v/>
      </c>
      <c r="R4238">
        <f>K4238-G4238*H4238/k_n</f>
        <v/>
      </c>
      <c r="S4238">
        <f>L4238-LTP3!$D$3*G4238/k_n</f>
        <v/>
      </c>
      <c r="T4238">
        <f>M4238-LTP3!$D$3*H4238/k_n</f>
        <v/>
      </c>
      <c r="U4238">
        <f>N4238-G4238*LTP3!$D$4/k_n</f>
        <v/>
      </c>
      <c r="V4238">
        <f>O4238-H4238*LTP3!$D$4/k_n</f>
        <v/>
      </c>
      <c r="W4238">
        <f>((LTP3!$D$5)*((P4238)*(Q4238)-(R4238)*(R4238))-(S4238)*((S4238)*(Q4238)-(R4238)*(T4238))+(T4238)*((S4238)*(R4238)-(P4238)*(T4238)))</f>
        <v/>
      </c>
      <c r="X4238">
        <f>IF(ABS(W4238)&gt;1E-12,((LTP3!$D$6)*((P4238)*(Q4238)-(R4238)*(R4238))-(S4238)*((U4238)*(Q4238)-(R4238)*(V4238))+(T4238)*((U4238)*(R4238)-(P4238)*(V4238)))/W4238,0)</f>
        <v/>
      </c>
      <c r="Y4238">
        <f>IF(ABS(W4238)&gt;1E-12,((LTP3!$D$5)*((U4238)*(Q4238)-(R4238)*(V4238))-(LTP3!$D$6)*((S4238)*(Q4238)-(R4238)*(T4238))+(T4238)*((S4238)*(V4238)-(U4238)*(T4238)))/W4238,0)</f>
        <v/>
      </c>
      <c r="Z4238">
        <f>IF(ABS(W4238)&gt;1E-12,((LTP3!$D$5)*((P4238)*(V4238)-(U4238)*(R4238))-(S4238)*((S4238)*(V4238)-(U4238)*(T4238))+(LTP3!$D$6)*((S4238)*(R4238)-(P4238)*(T4238)))/W4238,0)</f>
        <v/>
      </c>
      <c r="AA4238">
        <f>LTP3!$D$7-X4238*LTP3!$D$6-Y4238*U4238-Z4238*V4238</f>
        <v/>
      </c>
      <c r="AB4238">
        <f>IF(AND(F4238,ABS(W4238)&gt;1E-12,Y4238&gt;0,Z4238&gt;0),AA4238,1E+300)</f>
        <v/>
      </c>
    </row>
    <row r="4239">
      <c r="A4239">
        <f>$I$4-$B$5/10+$B$5*2/100</f>
        <v/>
      </c>
      <c r="B4239">
        <f>$J$4-$B$5/10+$B$5*17/100</f>
        <v/>
      </c>
      <c r="C4239">
        <f>SUMPRODUCT(Calc!$K$3:$K$22*(Calc!$G$3:$G$22&lt;=A4239))</f>
        <v/>
      </c>
      <c r="D4239">
        <f>SUMPRODUCT(Calc!$K$3:$K$22*(Calc!$G$3:$G$22&gt;A4239)*(Calc!$G$3:$G$22&lt;B4239))</f>
        <v/>
      </c>
      <c r="E4239">
        <f>SUMPRODUCT(Calc!$K$3:$K$22*(Calc!$G$3:$G$22&gt;=B4239))</f>
        <v/>
      </c>
      <c r="F4239">
        <f>AND(k_n&gt;=5,B4239&gt;A4239+1E-9,C4239&gt;=2,D4239&gt;=1,E4239&gt;=2)</f>
        <v/>
      </c>
      <c r="G4239">
        <f>SUMPRODUCT(Calc!$K$3:$K$22*(Calc!$G$3:$G$22&gt;A4239)*(Calc!$G$3:$G$22-A4239))</f>
        <v/>
      </c>
      <c r="H4239">
        <f>SUMPRODUCT(Calc!$K$3:$K$22*(Calc!$G$3:$G$22&gt;B4239)*(Calc!$G$3:$G$22-B4239))</f>
        <v/>
      </c>
      <c r="I4239">
        <f>SUMPRODUCT(Calc!$K$3:$K$22*(Calc!$G$3:$G$22&gt;A4239)*(Calc!$G$3:$G$22-A4239)^2)</f>
        <v/>
      </c>
      <c r="J4239">
        <f>SUMPRODUCT(Calc!$K$3:$K$22*(Calc!$G$3:$G$22&gt;B4239)*(Calc!$G$3:$G$22-B4239)^2)</f>
        <v/>
      </c>
      <c r="K4239">
        <f>SUMPRODUCT(Calc!$K$3:$K$22*(Calc!$G$3:$G$22&gt;A4239)*(Calc!$G$3:$G$22-A4239)*(Calc!$G$3:$G$22&gt;B4239)*(Calc!$G$3:$G$22-B4239))</f>
        <v/>
      </c>
      <c r="L4239">
        <f>SUMPRODUCT(Calc!$K$3:$K$22*(Calc!$G$3:$G$22&gt;A4239)*(Calc!$G$3:$G$22-A4239)*Calc!$G$3:$G$22)</f>
        <v/>
      </c>
      <c r="M4239">
        <f>SUMPRODUCT(Calc!$K$3:$K$22*(Calc!$G$3:$G$22&gt;B4239)*(Calc!$G$3:$G$22-B4239)*Calc!$G$3:$G$22)</f>
        <v/>
      </c>
      <c r="N4239">
        <f>SUMPRODUCT(Calc!$K$3:$K$22*(Calc!$G$3:$G$22&gt;A4239)*(Calc!$G$3:$G$22-A4239)*Calc!$I$3:$I$22)</f>
        <v/>
      </c>
      <c r="O4239">
        <f>SUMPRODUCT(Calc!$K$3:$K$22*(Calc!$G$3:$G$22&gt;B4239)*(Calc!$G$3:$G$22-B4239)*Calc!$I$3:$I$22)</f>
        <v/>
      </c>
      <c r="P4239">
        <f>I4239-G4239^2/k_n</f>
        <v/>
      </c>
      <c r="Q4239">
        <f>J4239-H4239^2/k_n</f>
        <v/>
      </c>
      <c r="R4239">
        <f>K4239-G4239*H4239/k_n</f>
        <v/>
      </c>
      <c r="S4239">
        <f>L4239-LTP3!$D$3*G4239/k_n</f>
        <v/>
      </c>
      <c r="T4239">
        <f>M4239-LTP3!$D$3*H4239/k_n</f>
        <v/>
      </c>
      <c r="U4239">
        <f>N4239-G4239*LTP3!$D$4/k_n</f>
        <v/>
      </c>
      <c r="V4239">
        <f>O4239-H4239*LTP3!$D$4/k_n</f>
        <v/>
      </c>
      <c r="W4239">
        <f>((LTP3!$D$5)*((P4239)*(Q4239)-(R4239)*(R4239))-(S4239)*((S4239)*(Q4239)-(R4239)*(T4239))+(T4239)*((S4239)*(R4239)-(P4239)*(T4239)))</f>
        <v/>
      </c>
      <c r="X4239">
        <f>IF(ABS(W4239)&gt;1E-12,((LTP3!$D$6)*((P4239)*(Q4239)-(R4239)*(R4239))-(S4239)*((U4239)*(Q4239)-(R4239)*(V4239))+(T4239)*((U4239)*(R4239)-(P4239)*(V4239)))/W4239,0)</f>
        <v/>
      </c>
      <c r="Y4239">
        <f>IF(ABS(W4239)&gt;1E-12,((LTP3!$D$5)*((U4239)*(Q4239)-(R4239)*(V4239))-(LTP3!$D$6)*((S4239)*(Q4239)-(R4239)*(T4239))+(T4239)*((S4239)*(V4239)-(U4239)*(T4239)))/W4239,0)</f>
        <v/>
      </c>
      <c r="Z4239">
        <f>IF(ABS(W4239)&gt;1E-12,((LTP3!$D$5)*((P4239)*(V4239)-(U4239)*(R4239))-(S4239)*((S4239)*(V4239)-(U4239)*(T4239))+(LTP3!$D$6)*((S4239)*(R4239)-(P4239)*(T4239)))/W4239,0)</f>
        <v/>
      </c>
      <c r="AA4239">
        <f>LTP3!$D$7-X4239*LTP3!$D$6-Y4239*U4239-Z4239*V4239</f>
        <v/>
      </c>
      <c r="AB4239">
        <f>IF(AND(F4239,ABS(W4239)&gt;1E-12,Y4239&gt;0,Z4239&gt;0),AA4239,1E+300)</f>
        <v/>
      </c>
    </row>
    <row r="4240">
      <c r="A4240">
        <f>$I$4-$B$5/10+$B$5*2/100</f>
        <v/>
      </c>
      <c r="B4240">
        <f>$J$4-$B$5/10+$B$5*18/100</f>
        <v/>
      </c>
      <c r="C4240">
        <f>SUMPRODUCT(Calc!$K$3:$K$22*(Calc!$G$3:$G$22&lt;=A4240))</f>
        <v/>
      </c>
      <c r="D4240">
        <f>SUMPRODUCT(Calc!$K$3:$K$22*(Calc!$G$3:$G$22&gt;A4240)*(Calc!$G$3:$G$22&lt;B4240))</f>
        <v/>
      </c>
      <c r="E4240">
        <f>SUMPRODUCT(Calc!$K$3:$K$22*(Calc!$G$3:$G$22&gt;=B4240))</f>
        <v/>
      </c>
      <c r="F4240">
        <f>AND(k_n&gt;=5,B4240&gt;A4240+1E-9,C4240&gt;=2,D4240&gt;=1,E4240&gt;=2)</f>
        <v/>
      </c>
      <c r="G4240">
        <f>SUMPRODUCT(Calc!$K$3:$K$22*(Calc!$G$3:$G$22&gt;A4240)*(Calc!$G$3:$G$22-A4240))</f>
        <v/>
      </c>
      <c r="H4240">
        <f>SUMPRODUCT(Calc!$K$3:$K$22*(Calc!$G$3:$G$22&gt;B4240)*(Calc!$G$3:$G$22-B4240))</f>
        <v/>
      </c>
      <c r="I4240">
        <f>SUMPRODUCT(Calc!$K$3:$K$22*(Calc!$G$3:$G$22&gt;A4240)*(Calc!$G$3:$G$22-A4240)^2)</f>
        <v/>
      </c>
      <c r="J4240">
        <f>SUMPRODUCT(Calc!$K$3:$K$22*(Calc!$G$3:$G$22&gt;B4240)*(Calc!$G$3:$G$22-B4240)^2)</f>
        <v/>
      </c>
      <c r="K4240">
        <f>SUMPRODUCT(Calc!$K$3:$K$22*(Calc!$G$3:$G$22&gt;A4240)*(Calc!$G$3:$G$22-A4240)*(Calc!$G$3:$G$22&gt;B4240)*(Calc!$G$3:$G$22-B4240))</f>
        <v/>
      </c>
      <c r="L4240">
        <f>SUMPRODUCT(Calc!$K$3:$K$22*(Calc!$G$3:$G$22&gt;A4240)*(Calc!$G$3:$G$22-A4240)*Calc!$G$3:$G$22)</f>
        <v/>
      </c>
      <c r="M4240">
        <f>SUMPRODUCT(Calc!$K$3:$K$22*(Calc!$G$3:$G$22&gt;B4240)*(Calc!$G$3:$G$22-B4240)*Calc!$G$3:$G$22)</f>
        <v/>
      </c>
      <c r="N4240">
        <f>SUMPRODUCT(Calc!$K$3:$K$22*(Calc!$G$3:$G$22&gt;A4240)*(Calc!$G$3:$G$22-A4240)*Calc!$I$3:$I$22)</f>
        <v/>
      </c>
      <c r="O4240">
        <f>SUMPRODUCT(Calc!$K$3:$K$22*(Calc!$G$3:$G$22&gt;B4240)*(Calc!$G$3:$G$22-B4240)*Calc!$I$3:$I$22)</f>
        <v/>
      </c>
      <c r="P4240">
        <f>I4240-G4240^2/k_n</f>
        <v/>
      </c>
      <c r="Q4240">
        <f>J4240-H4240^2/k_n</f>
        <v/>
      </c>
      <c r="R4240">
        <f>K4240-G4240*H4240/k_n</f>
        <v/>
      </c>
      <c r="S4240">
        <f>L4240-LTP3!$D$3*G4240/k_n</f>
        <v/>
      </c>
      <c r="T4240">
        <f>M4240-LTP3!$D$3*H4240/k_n</f>
        <v/>
      </c>
      <c r="U4240">
        <f>N4240-G4240*LTP3!$D$4/k_n</f>
        <v/>
      </c>
      <c r="V4240">
        <f>O4240-H4240*LTP3!$D$4/k_n</f>
        <v/>
      </c>
      <c r="W4240">
        <f>((LTP3!$D$5)*((P4240)*(Q4240)-(R4240)*(R4240))-(S4240)*((S4240)*(Q4240)-(R4240)*(T4240))+(T4240)*((S4240)*(R4240)-(P4240)*(T4240)))</f>
        <v/>
      </c>
      <c r="X4240">
        <f>IF(ABS(W4240)&gt;1E-12,((LTP3!$D$6)*((P4240)*(Q4240)-(R4240)*(R4240))-(S4240)*((U4240)*(Q4240)-(R4240)*(V4240))+(T4240)*((U4240)*(R4240)-(P4240)*(V4240)))/W4240,0)</f>
        <v/>
      </c>
      <c r="Y4240">
        <f>IF(ABS(W4240)&gt;1E-12,((LTP3!$D$5)*((U4240)*(Q4240)-(R4240)*(V4240))-(LTP3!$D$6)*((S4240)*(Q4240)-(R4240)*(T4240))+(T4240)*((S4240)*(V4240)-(U4240)*(T4240)))/W4240,0)</f>
        <v/>
      </c>
      <c r="Z4240">
        <f>IF(ABS(W4240)&gt;1E-12,((LTP3!$D$5)*((P4240)*(V4240)-(U4240)*(R4240))-(S4240)*((S4240)*(V4240)-(U4240)*(T4240))+(LTP3!$D$6)*((S4240)*(R4240)-(P4240)*(T4240)))/W4240,0)</f>
        <v/>
      </c>
      <c r="AA4240">
        <f>LTP3!$D$7-X4240*LTP3!$D$6-Y4240*U4240-Z4240*V4240</f>
        <v/>
      </c>
      <c r="AB4240">
        <f>IF(AND(F4240,ABS(W4240)&gt;1E-12,Y4240&gt;0,Z4240&gt;0),AA4240,1E+300)</f>
        <v/>
      </c>
    </row>
    <row r="4241">
      <c r="A4241">
        <f>$I$4-$B$5/10+$B$5*2/100</f>
        <v/>
      </c>
      <c r="B4241">
        <f>$J$4-$B$5/10+$B$5*19/100</f>
        <v/>
      </c>
      <c r="C4241">
        <f>SUMPRODUCT(Calc!$K$3:$K$22*(Calc!$G$3:$G$22&lt;=A4241))</f>
        <v/>
      </c>
      <c r="D4241">
        <f>SUMPRODUCT(Calc!$K$3:$K$22*(Calc!$G$3:$G$22&gt;A4241)*(Calc!$G$3:$G$22&lt;B4241))</f>
        <v/>
      </c>
      <c r="E4241">
        <f>SUMPRODUCT(Calc!$K$3:$K$22*(Calc!$G$3:$G$22&gt;=B4241))</f>
        <v/>
      </c>
      <c r="F4241">
        <f>AND(k_n&gt;=5,B4241&gt;A4241+1E-9,C4241&gt;=2,D4241&gt;=1,E4241&gt;=2)</f>
        <v/>
      </c>
      <c r="G4241">
        <f>SUMPRODUCT(Calc!$K$3:$K$22*(Calc!$G$3:$G$22&gt;A4241)*(Calc!$G$3:$G$22-A4241))</f>
        <v/>
      </c>
      <c r="H4241">
        <f>SUMPRODUCT(Calc!$K$3:$K$22*(Calc!$G$3:$G$22&gt;B4241)*(Calc!$G$3:$G$22-B4241))</f>
        <v/>
      </c>
      <c r="I4241">
        <f>SUMPRODUCT(Calc!$K$3:$K$22*(Calc!$G$3:$G$22&gt;A4241)*(Calc!$G$3:$G$22-A4241)^2)</f>
        <v/>
      </c>
      <c r="J4241">
        <f>SUMPRODUCT(Calc!$K$3:$K$22*(Calc!$G$3:$G$22&gt;B4241)*(Calc!$G$3:$G$22-B4241)^2)</f>
        <v/>
      </c>
      <c r="K4241">
        <f>SUMPRODUCT(Calc!$K$3:$K$22*(Calc!$G$3:$G$22&gt;A4241)*(Calc!$G$3:$G$22-A4241)*(Calc!$G$3:$G$22&gt;B4241)*(Calc!$G$3:$G$22-B4241))</f>
        <v/>
      </c>
      <c r="L4241">
        <f>SUMPRODUCT(Calc!$K$3:$K$22*(Calc!$G$3:$G$22&gt;A4241)*(Calc!$G$3:$G$22-A4241)*Calc!$G$3:$G$22)</f>
        <v/>
      </c>
      <c r="M4241">
        <f>SUMPRODUCT(Calc!$K$3:$K$22*(Calc!$G$3:$G$22&gt;B4241)*(Calc!$G$3:$G$22-B4241)*Calc!$G$3:$G$22)</f>
        <v/>
      </c>
      <c r="N4241">
        <f>SUMPRODUCT(Calc!$K$3:$K$22*(Calc!$G$3:$G$22&gt;A4241)*(Calc!$G$3:$G$22-A4241)*Calc!$I$3:$I$22)</f>
        <v/>
      </c>
      <c r="O4241">
        <f>SUMPRODUCT(Calc!$K$3:$K$22*(Calc!$G$3:$G$22&gt;B4241)*(Calc!$G$3:$G$22-B4241)*Calc!$I$3:$I$22)</f>
        <v/>
      </c>
      <c r="P4241">
        <f>I4241-G4241^2/k_n</f>
        <v/>
      </c>
      <c r="Q4241">
        <f>J4241-H4241^2/k_n</f>
        <v/>
      </c>
      <c r="R4241">
        <f>K4241-G4241*H4241/k_n</f>
        <v/>
      </c>
      <c r="S4241">
        <f>L4241-LTP3!$D$3*G4241/k_n</f>
        <v/>
      </c>
      <c r="T4241">
        <f>M4241-LTP3!$D$3*H4241/k_n</f>
        <v/>
      </c>
      <c r="U4241">
        <f>N4241-G4241*LTP3!$D$4/k_n</f>
        <v/>
      </c>
      <c r="V4241">
        <f>O4241-H4241*LTP3!$D$4/k_n</f>
        <v/>
      </c>
      <c r="W4241">
        <f>((LTP3!$D$5)*((P4241)*(Q4241)-(R4241)*(R4241))-(S4241)*((S4241)*(Q4241)-(R4241)*(T4241))+(T4241)*((S4241)*(R4241)-(P4241)*(T4241)))</f>
        <v/>
      </c>
      <c r="X4241">
        <f>IF(ABS(W4241)&gt;1E-12,((LTP3!$D$6)*((P4241)*(Q4241)-(R4241)*(R4241))-(S4241)*((U4241)*(Q4241)-(R4241)*(V4241))+(T4241)*((U4241)*(R4241)-(P4241)*(V4241)))/W4241,0)</f>
        <v/>
      </c>
      <c r="Y4241">
        <f>IF(ABS(W4241)&gt;1E-12,((LTP3!$D$5)*((U4241)*(Q4241)-(R4241)*(V4241))-(LTP3!$D$6)*((S4241)*(Q4241)-(R4241)*(T4241))+(T4241)*((S4241)*(V4241)-(U4241)*(T4241)))/W4241,0)</f>
        <v/>
      </c>
      <c r="Z4241">
        <f>IF(ABS(W4241)&gt;1E-12,((LTP3!$D$5)*((P4241)*(V4241)-(U4241)*(R4241))-(S4241)*((S4241)*(V4241)-(U4241)*(T4241))+(LTP3!$D$6)*((S4241)*(R4241)-(P4241)*(T4241)))/W4241,0)</f>
        <v/>
      </c>
      <c r="AA4241">
        <f>LTP3!$D$7-X4241*LTP3!$D$6-Y4241*U4241-Z4241*V4241</f>
        <v/>
      </c>
      <c r="AB4241">
        <f>IF(AND(F4241,ABS(W4241)&gt;1E-12,Y4241&gt;0,Z4241&gt;0),AA4241,1E+300)</f>
        <v/>
      </c>
    </row>
    <row r="4242">
      <c r="A4242">
        <f>$I$4-$B$5/10+$B$5*2/100</f>
        <v/>
      </c>
      <c r="B4242">
        <f>$J$4-$B$5/10+$B$5*20/100</f>
        <v/>
      </c>
      <c r="C4242">
        <f>SUMPRODUCT(Calc!$K$3:$K$22*(Calc!$G$3:$G$22&lt;=A4242))</f>
        <v/>
      </c>
      <c r="D4242">
        <f>SUMPRODUCT(Calc!$K$3:$K$22*(Calc!$G$3:$G$22&gt;A4242)*(Calc!$G$3:$G$22&lt;B4242))</f>
        <v/>
      </c>
      <c r="E4242">
        <f>SUMPRODUCT(Calc!$K$3:$K$22*(Calc!$G$3:$G$22&gt;=B4242))</f>
        <v/>
      </c>
      <c r="F4242">
        <f>AND(k_n&gt;=5,B4242&gt;A4242+1E-9,C4242&gt;=2,D4242&gt;=1,E4242&gt;=2)</f>
        <v/>
      </c>
      <c r="G4242">
        <f>SUMPRODUCT(Calc!$K$3:$K$22*(Calc!$G$3:$G$22&gt;A4242)*(Calc!$G$3:$G$22-A4242))</f>
        <v/>
      </c>
      <c r="H4242">
        <f>SUMPRODUCT(Calc!$K$3:$K$22*(Calc!$G$3:$G$22&gt;B4242)*(Calc!$G$3:$G$22-B4242))</f>
        <v/>
      </c>
      <c r="I4242">
        <f>SUMPRODUCT(Calc!$K$3:$K$22*(Calc!$G$3:$G$22&gt;A4242)*(Calc!$G$3:$G$22-A4242)^2)</f>
        <v/>
      </c>
      <c r="J4242">
        <f>SUMPRODUCT(Calc!$K$3:$K$22*(Calc!$G$3:$G$22&gt;B4242)*(Calc!$G$3:$G$22-B4242)^2)</f>
        <v/>
      </c>
      <c r="K4242">
        <f>SUMPRODUCT(Calc!$K$3:$K$22*(Calc!$G$3:$G$22&gt;A4242)*(Calc!$G$3:$G$22-A4242)*(Calc!$G$3:$G$22&gt;B4242)*(Calc!$G$3:$G$22-B4242))</f>
        <v/>
      </c>
      <c r="L4242">
        <f>SUMPRODUCT(Calc!$K$3:$K$22*(Calc!$G$3:$G$22&gt;A4242)*(Calc!$G$3:$G$22-A4242)*Calc!$G$3:$G$22)</f>
        <v/>
      </c>
      <c r="M4242">
        <f>SUMPRODUCT(Calc!$K$3:$K$22*(Calc!$G$3:$G$22&gt;B4242)*(Calc!$G$3:$G$22-B4242)*Calc!$G$3:$G$22)</f>
        <v/>
      </c>
      <c r="N4242">
        <f>SUMPRODUCT(Calc!$K$3:$K$22*(Calc!$G$3:$G$22&gt;A4242)*(Calc!$G$3:$G$22-A4242)*Calc!$I$3:$I$22)</f>
        <v/>
      </c>
      <c r="O4242">
        <f>SUMPRODUCT(Calc!$K$3:$K$22*(Calc!$G$3:$G$22&gt;B4242)*(Calc!$G$3:$G$22-B4242)*Calc!$I$3:$I$22)</f>
        <v/>
      </c>
      <c r="P4242">
        <f>I4242-G4242^2/k_n</f>
        <v/>
      </c>
      <c r="Q4242">
        <f>J4242-H4242^2/k_n</f>
        <v/>
      </c>
      <c r="R4242">
        <f>K4242-G4242*H4242/k_n</f>
        <v/>
      </c>
      <c r="S4242">
        <f>L4242-LTP3!$D$3*G4242/k_n</f>
        <v/>
      </c>
      <c r="T4242">
        <f>M4242-LTP3!$D$3*H4242/k_n</f>
        <v/>
      </c>
      <c r="U4242">
        <f>N4242-G4242*LTP3!$D$4/k_n</f>
        <v/>
      </c>
      <c r="V4242">
        <f>O4242-H4242*LTP3!$D$4/k_n</f>
        <v/>
      </c>
      <c r="W4242">
        <f>((LTP3!$D$5)*((P4242)*(Q4242)-(R4242)*(R4242))-(S4242)*((S4242)*(Q4242)-(R4242)*(T4242))+(T4242)*((S4242)*(R4242)-(P4242)*(T4242)))</f>
        <v/>
      </c>
      <c r="X4242">
        <f>IF(ABS(W4242)&gt;1E-12,((LTP3!$D$6)*((P4242)*(Q4242)-(R4242)*(R4242))-(S4242)*((U4242)*(Q4242)-(R4242)*(V4242))+(T4242)*((U4242)*(R4242)-(P4242)*(V4242)))/W4242,0)</f>
        <v/>
      </c>
      <c r="Y4242">
        <f>IF(ABS(W4242)&gt;1E-12,((LTP3!$D$5)*((U4242)*(Q4242)-(R4242)*(V4242))-(LTP3!$D$6)*((S4242)*(Q4242)-(R4242)*(T4242))+(T4242)*((S4242)*(V4242)-(U4242)*(T4242)))/W4242,0)</f>
        <v/>
      </c>
      <c r="Z4242">
        <f>IF(ABS(W4242)&gt;1E-12,((LTP3!$D$5)*((P4242)*(V4242)-(U4242)*(R4242))-(S4242)*((S4242)*(V4242)-(U4242)*(T4242))+(LTP3!$D$6)*((S4242)*(R4242)-(P4242)*(T4242)))/W4242,0)</f>
        <v/>
      </c>
      <c r="AA4242">
        <f>LTP3!$D$7-X4242*LTP3!$D$6-Y4242*U4242-Z4242*V4242</f>
        <v/>
      </c>
      <c r="AB4242">
        <f>IF(AND(F4242,ABS(W4242)&gt;1E-12,Y4242&gt;0,Z4242&gt;0),AA4242,1E+300)</f>
        <v/>
      </c>
    </row>
    <row r="4243">
      <c r="A4243">
        <f>$I$4-$B$5/10+$B$5*3/100</f>
        <v/>
      </c>
      <c r="B4243">
        <f>$J$4-$B$5/10+$B$5*0/100</f>
        <v/>
      </c>
      <c r="C4243">
        <f>SUMPRODUCT(Calc!$K$3:$K$22*(Calc!$G$3:$G$22&lt;=A4243))</f>
        <v/>
      </c>
      <c r="D4243">
        <f>SUMPRODUCT(Calc!$K$3:$K$22*(Calc!$G$3:$G$22&gt;A4243)*(Calc!$G$3:$G$22&lt;B4243))</f>
        <v/>
      </c>
      <c r="E4243">
        <f>SUMPRODUCT(Calc!$K$3:$K$22*(Calc!$G$3:$G$22&gt;=B4243))</f>
        <v/>
      </c>
      <c r="F4243">
        <f>AND(k_n&gt;=5,B4243&gt;A4243+1E-9,C4243&gt;=2,D4243&gt;=1,E4243&gt;=2)</f>
        <v/>
      </c>
      <c r="G4243">
        <f>SUMPRODUCT(Calc!$K$3:$K$22*(Calc!$G$3:$G$22&gt;A4243)*(Calc!$G$3:$G$22-A4243))</f>
        <v/>
      </c>
      <c r="H4243">
        <f>SUMPRODUCT(Calc!$K$3:$K$22*(Calc!$G$3:$G$22&gt;B4243)*(Calc!$G$3:$G$22-B4243))</f>
        <v/>
      </c>
      <c r="I4243">
        <f>SUMPRODUCT(Calc!$K$3:$K$22*(Calc!$G$3:$G$22&gt;A4243)*(Calc!$G$3:$G$22-A4243)^2)</f>
        <v/>
      </c>
      <c r="J4243">
        <f>SUMPRODUCT(Calc!$K$3:$K$22*(Calc!$G$3:$G$22&gt;B4243)*(Calc!$G$3:$G$22-B4243)^2)</f>
        <v/>
      </c>
      <c r="K4243">
        <f>SUMPRODUCT(Calc!$K$3:$K$22*(Calc!$G$3:$G$22&gt;A4243)*(Calc!$G$3:$G$22-A4243)*(Calc!$G$3:$G$22&gt;B4243)*(Calc!$G$3:$G$22-B4243))</f>
        <v/>
      </c>
      <c r="L4243">
        <f>SUMPRODUCT(Calc!$K$3:$K$22*(Calc!$G$3:$G$22&gt;A4243)*(Calc!$G$3:$G$22-A4243)*Calc!$G$3:$G$22)</f>
        <v/>
      </c>
      <c r="M4243">
        <f>SUMPRODUCT(Calc!$K$3:$K$22*(Calc!$G$3:$G$22&gt;B4243)*(Calc!$G$3:$G$22-B4243)*Calc!$G$3:$G$22)</f>
        <v/>
      </c>
      <c r="N4243">
        <f>SUMPRODUCT(Calc!$K$3:$K$22*(Calc!$G$3:$G$22&gt;A4243)*(Calc!$G$3:$G$22-A4243)*Calc!$I$3:$I$22)</f>
        <v/>
      </c>
      <c r="O4243">
        <f>SUMPRODUCT(Calc!$K$3:$K$22*(Calc!$G$3:$G$22&gt;B4243)*(Calc!$G$3:$G$22-B4243)*Calc!$I$3:$I$22)</f>
        <v/>
      </c>
      <c r="P4243">
        <f>I4243-G4243^2/k_n</f>
        <v/>
      </c>
      <c r="Q4243">
        <f>J4243-H4243^2/k_n</f>
        <v/>
      </c>
      <c r="R4243">
        <f>K4243-G4243*H4243/k_n</f>
        <v/>
      </c>
      <c r="S4243">
        <f>L4243-LTP3!$D$3*G4243/k_n</f>
        <v/>
      </c>
      <c r="T4243">
        <f>M4243-LTP3!$D$3*H4243/k_n</f>
        <v/>
      </c>
      <c r="U4243">
        <f>N4243-G4243*LTP3!$D$4/k_n</f>
        <v/>
      </c>
      <c r="V4243">
        <f>O4243-H4243*LTP3!$D$4/k_n</f>
        <v/>
      </c>
      <c r="W4243">
        <f>((LTP3!$D$5)*((P4243)*(Q4243)-(R4243)*(R4243))-(S4243)*((S4243)*(Q4243)-(R4243)*(T4243))+(T4243)*((S4243)*(R4243)-(P4243)*(T4243)))</f>
        <v/>
      </c>
      <c r="X4243">
        <f>IF(ABS(W4243)&gt;1E-12,((LTP3!$D$6)*((P4243)*(Q4243)-(R4243)*(R4243))-(S4243)*((U4243)*(Q4243)-(R4243)*(V4243))+(T4243)*((U4243)*(R4243)-(P4243)*(V4243)))/W4243,0)</f>
        <v/>
      </c>
      <c r="Y4243">
        <f>IF(ABS(W4243)&gt;1E-12,((LTP3!$D$5)*((U4243)*(Q4243)-(R4243)*(V4243))-(LTP3!$D$6)*((S4243)*(Q4243)-(R4243)*(T4243))+(T4243)*((S4243)*(V4243)-(U4243)*(T4243)))/W4243,0)</f>
        <v/>
      </c>
      <c r="Z4243">
        <f>IF(ABS(W4243)&gt;1E-12,((LTP3!$D$5)*((P4243)*(V4243)-(U4243)*(R4243))-(S4243)*((S4243)*(V4243)-(U4243)*(T4243))+(LTP3!$D$6)*((S4243)*(R4243)-(P4243)*(T4243)))/W4243,0)</f>
        <v/>
      </c>
      <c r="AA4243">
        <f>LTP3!$D$7-X4243*LTP3!$D$6-Y4243*U4243-Z4243*V4243</f>
        <v/>
      </c>
      <c r="AB4243">
        <f>IF(AND(F4243,ABS(W4243)&gt;1E-12,Y4243&gt;0,Z4243&gt;0),AA4243,1E+300)</f>
        <v/>
      </c>
    </row>
    <row r="4244">
      <c r="A4244">
        <f>$I$4-$B$5/10+$B$5*3/100</f>
        <v/>
      </c>
      <c r="B4244">
        <f>$J$4-$B$5/10+$B$5*1/100</f>
        <v/>
      </c>
      <c r="C4244">
        <f>SUMPRODUCT(Calc!$K$3:$K$22*(Calc!$G$3:$G$22&lt;=A4244))</f>
        <v/>
      </c>
      <c r="D4244">
        <f>SUMPRODUCT(Calc!$K$3:$K$22*(Calc!$G$3:$G$22&gt;A4244)*(Calc!$G$3:$G$22&lt;B4244))</f>
        <v/>
      </c>
      <c r="E4244">
        <f>SUMPRODUCT(Calc!$K$3:$K$22*(Calc!$G$3:$G$22&gt;=B4244))</f>
        <v/>
      </c>
      <c r="F4244">
        <f>AND(k_n&gt;=5,B4244&gt;A4244+1E-9,C4244&gt;=2,D4244&gt;=1,E4244&gt;=2)</f>
        <v/>
      </c>
      <c r="G4244">
        <f>SUMPRODUCT(Calc!$K$3:$K$22*(Calc!$G$3:$G$22&gt;A4244)*(Calc!$G$3:$G$22-A4244))</f>
        <v/>
      </c>
      <c r="H4244">
        <f>SUMPRODUCT(Calc!$K$3:$K$22*(Calc!$G$3:$G$22&gt;B4244)*(Calc!$G$3:$G$22-B4244))</f>
        <v/>
      </c>
      <c r="I4244">
        <f>SUMPRODUCT(Calc!$K$3:$K$22*(Calc!$G$3:$G$22&gt;A4244)*(Calc!$G$3:$G$22-A4244)^2)</f>
        <v/>
      </c>
      <c r="J4244">
        <f>SUMPRODUCT(Calc!$K$3:$K$22*(Calc!$G$3:$G$22&gt;B4244)*(Calc!$G$3:$G$22-B4244)^2)</f>
        <v/>
      </c>
      <c r="K4244">
        <f>SUMPRODUCT(Calc!$K$3:$K$22*(Calc!$G$3:$G$22&gt;A4244)*(Calc!$G$3:$G$22-A4244)*(Calc!$G$3:$G$22&gt;B4244)*(Calc!$G$3:$G$22-B4244))</f>
        <v/>
      </c>
      <c r="L4244">
        <f>SUMPRODUCT(Calc!$K$3:$K$22*(Calc!$G$3:$G$22&gt;A4244)*(Calc!$G$3:$G$22-A4244)*Calc!$G$3:$G$22)</f>
        <v/>
      </c>
      <c r="M4244">
        <f>SUMPRODUCT(Calc!$K$3:$K$22*(Calc!$G$3:$G$22&gt;B4244)*(Calc!$G$3:$G$22-B4244)*Calc!$G$3:$G$22)</f>
        <v/>
      </c>
      <c r="N4244">
        <f>SUMPRODUCT(Calc!$K$3:$K$22*(Calc!$G$3:$G$22&gt;A4244)*(Calc!$G$3:$G$22-A4244)*Calc!$I$3:$I$22)</f>
        <v/>
      </c>
      <c r="O4244">
        <f>SUMPRODUCT(Calc!$K$3:$K$22*(Calc!$G$3:$G$22&gt;B4244)*(Calc!$G$3:$G$22-B4244)*Calc!$I$3:$I$22)</f>
        <v/>
      </c>
      <c r="P4244">
        <f>I4244-G4244^2/k_n</f>
        <v/>
      </c>
      <c r="Q4244">
        <f>J4244-H4244^2/k_n</f>
        <v/>
      </c>
      <c r="R4244">
        <f>K4244-G4244*H4244/k_n</f>
        <v/>
      </c>
      <c r="S4244">
        <f>L4244-LTP3!$D$3*G4244/k_n</f>
        <v/>
      </c>
      <c r="T4244">
        <f>M4244-LTP3!$D$3*H4244/k_n</f>
        <v/>
      </c>
      <c r="U4244">
        <f>N4244-G4244*LTP3!$D$4/k_n</f>
        <v/>
      </c>
      <c r="V4244">
        <f>O4244-H4244*LTP3!$D$4/k_n</f>
        <v/>
      </c>
      <c r="W4244">
        <f>((LTP3!$D$5)*((P4244)*(Q4244)-(R4244)*(R4244))-(S4244)*((S4244)*(Q4244)-(R4244)*(T4244))+(T4244)*((S4244)*(R4244)-(P4244)*(T4244)))</f>
        <v/>
      </c>
      <c r="X4244">
        <f>IF(ABS(W4244)&gt;1E-12,((LTP3!$D$6)*((P4244)*(Q4244)-(R4244)*(R4244))-(S4244)*((U4244)*(Q4244)-(R4244)*(V4244))+(T4244)*((U4244)*(R4244)-(P4244)*(V4244)))/W4244,0)</f>
        <v/>
      </c>
      <c r="Y4244">
        <f>IF(ABS(W4244)&gt;1E-12,((LTP3!$D$5)*((U4244)*(Q4244)-(R4244)*(V4244))-(LTP3!$D$6)*((S4244)*(Q4244)-(R4244)*(T4244))+(T4244)*((S4244)*(V4244)-(U4244)*(T4244)))/W4244,0)</f>
        <v/>
      </c>
      <c r="Z4244">
        <f>IF(ABS(W4244)&gt;1E-12,((LTP3!$D$5)*((P4244)*(V4244)-(U4244)*(R4244))-(S4244)*((S4244)*(V4244)-(U4244)*(T4244))+(LTP3!$D$6)*((S4244)*(R4244)-(P4244)*(T4244)))/W4244,0)</f>
        <v/>
      </c>
      <c r="AA4244">
        <f>LTP3!$D$7-X4244*LTP3!$D$6-Y4244*U4244-Z4244*V4244</f>
        <v/>
      </c>
      <c r="AB4244">
        <f>IF(AND(F4244,ABS(W4244)&gt;1E-12,Y4244&gt;0,Z4244&gt;0),AA4244,1E+300)</f>
        <v/>
      </c>
    </row>
    <row r="4245">
      <c r="A4245">
        <f>$I$4-$B$5/10+$B$5*3/100</f>
        <v/>
      </c>
      <c r="B4245">
        <f>$J$4-$B$5/10+$B$5*2/100</f>
        <v/>
      </c>
      <c r="C4245">
        <f>SUMPRODUCT(Calc!$K$3:$K$22*(Calc!$G$3:$G$22&lt;=A4245))</f>
        <v/>
      </c>
      <c r="D4245">
        <f>SUMPRODUCT(Calc!$K$3:$K$22*(Calc!$G$3:$G$22&gt;A4245)*(Calc!$G$3:$G$22&lt;B4245))</f>
        <v/>
      </c>
      <c r="E4245">
        <f>SUMPRODUCT(Calc!$K$3:$K$22*(Calc!$G$3:$G$22&gt;=B4245))</f>
        <v/>
      </c>
      <c r="F4245">
        <f>AND(k_n&gt;=5,B4245&gt;A4245+1E-9,C4245&gt;=2,D4245&gt;=1,E4245&gt;=2)</f>
        <v/>
      </c>
      <c r="G4245">
        <f>SUMPRODUCT(Calc!$K$3:$K$22*(Calc!$G$3:$G$22&gt;A4245)*(Calc!$G$3:$G$22-A4245))</f>
        <v/>
      </c>
      <c r="H4245">
        <f>SUMPRODUCT(Calc!$K$3:$K$22*(Calc!$G$3:$G$22&gt;B4245)*(Calc!$G$3:$G$22-B4245))</f>
        <v/>
      </c>
      <c r="I4245">
        <f>SUMPRODUCT(Calc!$K$3:$K$22*(Calc!$G$3:$G$22&gt;A4245)*(Calc!$G$3:$G$22-A4245)^2)</f>
        <v/>
      </c>
      <c r="J4245">
        <f>SUMPRODUCT(Calc!$K$3:$K$22*(Calc!$G$3:$G$22&gt;B4245)*(Calc!$G$3:$G$22-B4245)^2)</f>
        <v/>
      </c>
      <c r="K4245">
        <f>SUMPRODUCT(Calc!$K$3:$K$22*(Calc!$G$3:$G$22&gt;A4245)*(Calc!$G$3:$G$22-A4245)*(Calc!$G$3:$G$22&gt;B4245)*(Calc!$G$3:$G$22-B4245))</f>
        <v/>
      </c>
      <c r="L4245">
        <f>SUMPRODUCT(Calc!$K$3:$K$22*(Calc!$G$3:$G$22&gt;A4245)*(Calc!$G$3:$G$22-A4245)*Calc!$G$3:$G$22)</f>
        <v/>
      </c>
      <c r="M4245">
        <f>SUMPRODUCT(Calc!$K$3:$K$22*(Calc!$G$3:$G$22&gt;B4245)*(Calc!$G$3:$G$22-B4245)*Calc!$G$3:$G$22)</f>
        <v/>
      </c>
      <c r="N4245">
        <f>SUMPRODUCT(Calc!$K$3:$K$22*(Calc!$G$3:$G$22&gt;A4245)*(Calc!$G$3:$G$22-A4245)*Calc!$I$3:$I$22)</f>
        <v/>
      </c>
      <c r="O4245">
        <f>SUMPRODUCT(Calc!$K$3:$K$22*(Calc!$G$3:$G$22&gt;B4245)*(Calc!$G$3:$G$22-B4245)*Calc!$I$3:$I$22)</f>
        <v/>
      </c>
      <c r="P4245">
        <f>I4245-G4245^2/k_n</f>
        <v/>
      </c>
      <c r="Q4245">
        <f>J4245-H4245^2/k_n</f>
        <v/>
      </c>
      <c r="R4245">
        <f>K4245-G4245*H4245/k_n</f>
        <v/>
      </c>
      <c r="S4245">
        <f>L4245-LTP3!$D$3*G4245/k_n</f>
        <v/>
      </c>
      <c r="T4245">
        <f>M4245-LTP3!$D$3*H4245/k_n</f>
        <v/>
      </c>
      <c r="U4245">
        <f>N4245-G4245*LTP3!$D$4/k_n</f>
        <v/>
      </c>
      <c r="V4245">
        <f>O4245-H4245*LTP3!$D$4/k_n</f>
        <v/>
      </c>
      <c r="W4245">
        <f>((LTP3!$D$5)*((P4245)*(Q4245)-(R4245)*(R4245))-(S4245)*((S4245)*(Q4245)-(R4245)*(T4245))+(T4245)*((S4245)*(R4245)-(P4245)*(T4245)))</f>
        <v/>
      </c>
      <c r="X4245">
        <f>IF(ABS(W4245)&gt;1E-12,((LTP3!$D$6)*((P4245)*(Q4245)-(R4245)*(R4245))-(S4245)*((U4245)*(Q4245)-(R4245)*(V4245))+(T4245)*((U4245)*(R4245)-(P4245)*(V4245)))/W4245,0)</f>
        <v/>
      </c>
      <c r="Y4245">
        <f>IF(ABS(W4245)&gt;1E-12,((LTP3!$D$5)*((U4245)*(Q4245)-(R4245)*(V4245))-(LTP3!$D$6)*((S4245)*(Q4245)-(R4245)*(T4245))+(T4245)*((S4245)*(V4245)-(U4245)*(T4245)))/W4245,0)</f>
        <v/>
      </c>
      <c r="Z4245">
        <f>IF(ABS(W4245)&gt;1E-12,((LTP3!$D$5)*((P4245)*(V4245)-(U4245)*(R4245))-(S4245)*((S4245)*(V4245)-(U4245)*(T4245))+(LTP3!$D$6)*((S4245)*(R4245)-(P4245)*(T4245)))/W4245,0)</f>
        <v/>
      </c>
      <c r="AA4245">
        <f>LTP3!$D$7-X4245*LTP3!$D$6-Y4245*U4245-Z4245*V4245</f>
        <v/>
      </c>
      <c r="AB4245">
        <f>IF(AND(F4245,ABS(W4245)&gt;1E-12,Y4245&gt;0,Z4245&gt;0),AA4245,1E+300)</f>
        <v/>
      </c>
    </row>
    <row r="4246">
      <c r="A4246">
        <f>$I$4-$B$5/10+$B$5*3/100</f>
        <v/>
      </c>
      <c r="B4246">
        <f>$J$4-$B$5/10+$B$5*3/100</f>
        <v/>
      </c>
      <c r="C4246">
        <f>SUMPRODUCT(Calc!$K$3:$K$22*(Calc!$G$3:$G$22&lt;=A4246))</f>
        <v/>
      </c>
      <c r="D4246">
        <f>SUMPRODUCT(Calc!$K$3:$K$22*(Calc!$G$3:$G$22&gt;A4246)*(Calc!$G$3:$G$22&lt;B4246))</f>
        <v/>
      </c>
      <c r="E4246">
        <f>SUMPRODUCT(Calc!$K$3:$K$22*(Calc!$G$3:$G$22&gt;=B4246))</f>
        <v/>
      </c>
      <c r="F4246">
        <f>AND(k_n&gt;=5,B4246&gt;A4246+1E-9,C4246&gt;=2,D4246&gt;=1,E4246&gt;=2)</f>
        <v/>
      </c>
      <c r="G4246">
        <f>SUMPRODUCT(Calc!$K$3:$K$22*(Calc!$G$3:$G$22&gt;A4246)*(Calc!$G$3:$G$22-A4246))</f>
        <v/>
      </c>
      <c r="H4246">
        <f>SUMPRODUCT(Calc!$K$3:$K$22*(Calc!$G$3:$G$22&gt;B4246)*(Calc!$G$3:$G$22-B4246))</f>
        <v/>
      </c>
      <c r="I4246">
        <f>SUMPRODUCT(Calc!$K$3:$K$22*(Calc!$G$3:$G$22&gt;A4246)*(Calc!$G$3:$G$22-A4246)^2)</f>
        <v/>
      </c>
      <c r="J4246">
        <f>SUMPRODUCT(Calc!$K$3:$K$22*(Calc!$G$3:$G$22&gt;B4246)*(Calc!$G$3:$G$22-B4246)^2)</f>
        <v/>
      </c>
      <c r="K4246">
        <f>SUMPRODUCT(Calc!$K$3:$K$22*(Calc!$G$3:$G$22&gt;A4246)*(Calc!$G$3:$G$22-A4246)*(Calc!$G$3:$G$22&gt;B4246)*(Calc!$G$3:$G$22-B4246))</f>
        <v/>
      </c>
      <c r="L4246">
        <f>SUMPRODUCT(Calc!$K$3:$K$22*(Calc!$G$3:$G$22&gt;A4246)*(Calc!$G$3:$G$22-A4246)*Calc!$G$3:$G$22)</f>
        <v/>
      </c>
      <c r="M4246">
        <f>SUMPRODUCT(Calc!$K$3:$K$22*(Calc!$G$3:$G$22&gt;B4246)*(Calc!$G$3:$G$22-B4246)*Calc!$G$3:$G$22)</f>
        <v/>
      </c>
      <c r="N4246">
        <f>SUMPRODUCT(Calc!$K$3:$K$22*(Calc!$G$3:$G$22&gt;A4246)*(Calc!$G$3:$G$22-A4246)*Calc!$I$3:$I$22)</f>
        <v/>
      </c>
      <c r="O4246">
        <f>SUMPRODUCT(Calc!$K$3:$K$22*(Calc!$G$3:$G$22&gt;B4246)*(Calc!$G$3:$G$22-B4246)*Calc!$I$3:$I$22)</f>
        <v/>
      </c>
      <c r="P4246">
        <f>I4246-G4246^2/k_n</f>
        <v/>
      </c>
      <c r="Q4246">
        <f>J4246-H4246^2/k_n</f>
        <v/>
      </c>
      <c r="R4246">
        <f>K4246-G4246*H4246/k_n</f>
        <v/>
      </c>
      <c r="S4246">
        <f>L4246-LTP3!$D$3*G4246/k_n</f>
        <v/>
      </c>
      <c r="T4246">
        <f>M4246-LTP3!$D$3*H4246/k_n</f>
        <v/>
      </c>
      <c r="U4246">
        <f>N4246-G4246*LTP3!$D$4/k_n</f>
        <v/>
      </c>
      <c r="V4246">
        <f>O4246-H4246*LTP3!$D$4/k_n</f>
        <v/>
      </c>
      <c r="W4246">
        <f>((LTP3!$D$5)*((P4246)*(Q4246)-(R4246)*(R4246))-(S4246)*((S4246)*(Q4246)-(R4246)*(T4246))+(T4246)*((S4246)*(R4246)-(P4246)*(T4246)))</f>
        <v/>
      </c>
      <c r="X4246">
        <f>IF(ABS(W4246)&gt;1E-12,((LTP3!$D$6)*((P4246)*(Q4246)-(R4246)*(R4246))-(S4246)*((U4246)*(Q4246)-(R4246)*(V4246))+(T4246)*((U4246)*(R4246)-(P4246)*(V4246)))/W4246,0)</f>
        <v/>
      </c>
      <c r="Y4246">
        <f>IF(ABS(W4246)&gt;1E-12,((LTP3!$D$5)*((U4246)*(Q4246)-(R4246)*(V4246))-(LTP3!$D$6)*((S4246)*(Q4246)-(R4246)*(T4246))+(T4246)*((S4246)*(V4246)-(U4246)*(T4246)))/W4246,0)</f>
        <v/>
      </c>
      <c r="Z4246">
        <f>IF(ABS(W4246)&gt;1E-12,((LTP3!$D$5)*((P4246)*(V4246)-(U4246)*(R4246))-(S4246)*((S4246)*(V4246)-(U4246)*(T4246))+(LTP3!$D$6)*((S4246)*(R4246)-(P4246)*(T4246)))/W4246,0)</f>
        <v/>
      </c>
      <c r="AA4246">
        <f>LTP3!$D$7-X4246*LTP3!$D$6-Y4246*U4246-Z4246*V4246</f>
        <v/>
      </c>
      <c r="AB4246">
        <f>IF(AND(F4246,ABS(W4246)&gt;1E-12,Y4246&gt;0,Z4246&gt;0),AA4246,1E+300)</f>
        <v/>
      </c>
    </row>
    <row r="4247">
      <c r="A4247">
        <f>$I$4-$B$5/10+$B$5*3/100</f>
        <v/>
      </c>
      <c r="B4247">
        <f>$J$4-$B$5/10+$B$5*4/100</f>
        <v/>
      </c>
      <c r="C4247">
        <f>SUMPRODUCT(Calc!$K$3:$K$22*(Calc!$G$3:$G$22&lt;=A4247))</f>
        <v/>
      </c>
      <c r="D4247">
        <f>SUMPRODUCT(Calc!$K$3:$K$22*(Calc!$G$3:$G$22&gt;A4247)*(Calc!$G$3:$G$22&lt;B4247))</f>
        <v/>
      </c>
      <c r="E4247">
        <f>SUMPRODUCT(Calc!$K$3:$K$22*(Calc!$G$3:$G$22&gt;=B4247))</f>
        <v/>
      </c>
      <c r="F4247">
        <f>AND(k_n&gt;=5,B4247&gt;A4247+1E-9,C4247&gt;=2,D4247&gt;=1,E4247&gt;=2)</f>
        <v/>
      </c>
      <c r="G4247">
        <f>SUMPRODUCT(Calc!$K$3:$K$22*(Calc!$G$3:$G$22&gt;A4247)*(Calc!$G$3:$G$22-A4247))</f>
        <v/>
      </c>
      <c r="H4247">
        <f>SUMPRODUCT(Calc!$K$3:$K$22*(Calc!$G$3:$G$22&gt;B4247)*(Calc!$G$3:$G$22-B4247))</f>
        <v/>
      </c>
      <c r="I4247">
        <f>SUMPRODUCT(Calc!$K$3:$K$22*(Calc!$G$3:$G$22&gt;A4247)*(Calc!$G$3:$G$22-A4247)^2)</f>
        <v/>
      </c>
      <c r="J4247">
        <f>SUMPRODUCT(Calc!$K$3:$K$22*(Calc!$G$3:$G$22&gt;B4247)*(Calc!$G$3:$G$22-B4247)^2)</f>
        <v/>
      </c>
      <c r="K4247">
        <f>SUMPRODUCT(Calc!$K$3:$K$22*(Calc!$G$3:$G$22&gt;A4247)*(Calc!$G$3:$G$22-A4247)*(Calc!$G$3:$G$22&gt;B4247)*(Calc!$G$3:$G$22-B4247))</f>
        <v/>
      </c>
      <c r="L4247">
        <f>SUMPRODUCT(Calc!$K$3:$K$22*(Calc!$G$3:$G$22&gt;A4247)*(Calc!$G$3:$G$22-A4247)*Calc!$G$3:$G$22)</f>
        <v/>
      </c>
      <c r="M4247">
        <f>SUMPRODUCT(Calc!$K$3:$K$22*(Calc!$G$3:$G$22&gt;B4247)*(Calc!$G$3:$G$22-B4247)*Calc!$G$3:$G$22)</f>
        <v/>
      </c>
      <c r="N4247">
        <f>SUMPRODUCT(Calc!$K$3:$K$22*(Calc!$G$3:$G$22&gt;A4247)*(Calc!$G$3:$G$22-A4247)*Calc!$I$3:$I$22)</f>
        <v/>
      </c>
      <c r="O4247">
        <f>SUMPRODUCT(Calc!$K$3:$K$22*(Calc!$G$3:$G$22&gt;B4247)*(Calc!$G$3:$G$22-B4247)*Calc!$I$3:$I$22)</f>
        <v/>
      </c>
      <c r="P4247">
        <f>I4247-G4247^2/k_n</f>
        <v/>
      </c>
      <c r="Q4247">
        <f>J4247-H4247^2/k_n</f>
        <v/>
      </c>
      <c r="R4247">
        <f>K4247-G4247*H4247/k_n</f>
        <v/>
      </c>
      <c r="S4247">
        <f>L4247-LTP3!$D$3*G4247/k_n</f>
        <v/>
      </c>
      <c r="T4247">
        <f>M4247-LTP3!$D$3*H4247/k_n</f>
        <v/>
      </c>
      <c r="U4247">
        <f>N4247-G4247*LTP3!$D$4/k_n</f>
        <v/>
      </c>
      <c r="V4247">
        <f>O4247-H4247*LTP3!$D$4/k_n</f>
        <v/>
      </c>
      <c r="W4247">
        <f>((LTP3!$D$5)*((P4247)*(Q4247)-(R4247)*(R4247))-(S4247)*((S4247)*(Q4247)-(R4247)*(T4247))+(T4247)*((S4247)*(R4247)-(P4247)*(T4247)))</f>
        <v/>
      </c>
      <c r="X4247">
        <f>IF(ABS(W4247)&gt;1E-12,((LTP3!$D$6)*((P4247)*(Q4247)-(R4247)*(R4247))-(S4247)*((U4247)*(Q4247)-(R4247)*(V4247))+(T4247)*((U4247)*(R4247)-(P4247)*(V4247)))/W4247,0)</f>
        <v/>
      </c>
      <c r="Y4247">
        <f>IF(ABS(W4247)&gt;1E-12,((LTP3!$D$5)*((U4247)*(Q4247)-(R4247)*(V4247))-(LTP3!$D$6)*((S4247)*(Q4247)-(R4247)*(T4247))+(T4247)*((S4247)*(V4247)-(U4247)*(T4247)))/W4247,0)</f>
        <v/>
      </c>
      <c r="Z4247">
        <f>IF(ABS(W4247)&gt;1E-12,((LTP3!$D$5)*((P4247)*(V4247)-(U4247)*(R4247))-(S4247)*((S4247)*(V4247)-(U4247)*(T4247))+(LTP3!$D$6)*((S4247)*(R4247)-(P4247)*(T4247)))/W4247,0)</f>
        <v/>
      </c>
      <c r="AA4247">
        <f>LTP3!$D$7-X4247*LTP3!$D$6-Y4247*U4247-Z4247*V4247</f>
        <v/>
      </c>
      <c r="AB4247">
        <f>IF(AND(F4247,ABS(W4247)&gt;1E-12,Y4247&gt;0,Z4247&gt;0),AA4247,1E+300)</f>
        <v/>
      </c>
    </row>
    <row r="4248">
      <c r="A4248">
        <f>$I$4-$B$5/10+$B$5*3/100</f>
        <v/>
      </c>
      <c r="B4248">
        <f>$J$4-$B$5/10+$B$5*5/100</f>
        <v/>
      </c>
      <c r="C4248">
        <f>SUMPRODUCT(Calc!$K$3:$K$22*(Calc!$G$3:$G$22&lt;=A4248))</f>
        <v/>
      </c>
      <c r="D4248">
        <f>SUMPRODUCT(Calc!$K$3:$K$22*(Calc!$G$3:$G$22&gt;A4248)*(Calc!$G$3:$G$22&lt;B4248))</f>
        <v/>
      </c>
      <c r="E4248">
        <f>SUMPRODUCT(Calc!$K$3:$K$22*(Calc!$G$3:$G$22&gt;=B4248))</f>
        <v/>
      </c>
      <c r="F4248">
        <f>AND(k_n&gt;=5,B4248&gt;A4248+1E-9,C4248&gt;=2,D4248&gt;=1,E4248&gt;=2)</f>
        <v/>
      </c>
      <c r="G4248">
        <f>SUMPRODUCT(Calc!$K$3:$K$22*(Calc!$G$3:$G$22&gt;A4248)*(Calc!$G$3:$G$22-A4248))</f>
        <v/>
      </c>
      <c r="H4248">
        <f>SUMPRODUCT(Calc!$K$3:$K$22*(Calc!$G$3:$G$22&gt;B4248)*(Calc!$G$3:$G$22-B4248))</f>
        <v/>
      </c>
      <c r="I4248">
        <f>SUMPRODUCT(Calc!$K$3:$K$22*(Calc!$G$3:$G$22&gt;A4248)*(Calc!$G$3:$G$22-A4248)^2)</f>
        <v/>
      </c>
      <c r="J4248">
        <f>SUMPRODUCT(Calc!$K$3:$K$22*(Calc!$G$3:$G$22&gt;B4248)*(Calc!$G$3:$G$22-B4248)^2)</f>
        <v/>
      </c>
      <c r="K4248">
        <f>SUMPRODUCT(Calc!$K$3:$K$22*(Calc!$G$3:$G$22&gt;A4248)*(Calc!$G$3:$G$22-A4248)*(Calc!$G$3:$G$22&gt;B4248)*(Calc!$G$3:$G$22-B4248))</f>
        <v/>
      </c>
      <c r="L4248">
        <f>SUMPRODUCT(Calc!$K$3:$K$22*(Calc!$G$3:$G$22&gt;A4248)*(Calc!$G$3:$G$22-A4248)*Calc!$G$3:$G$22)</f>
        <v/>
      </c>
      <c r="M4248">
        <f>SUMPRODUCT(Calc!$K$3:$K$22*(Calc!$G$3:$G$22&gt;B4248)*(Calc!$G$3:$G$22-B4248)*Calc!$G$3:$G$22)</f>
        <v/>
      </c>
      <c r="N4248">
        <f>SUMPRODUCT(Calc!$K$3:$K$22*(Calc!$G$3:$G$22&gt;A4248)*(Calc!$G$3:$G$22-A4248)*Calc!$I$3:$I$22)</f>
        <v/>
      </c>
      <c r="O4248">
        <f>SUMPRODUCT(Calc!$K$3:$K$22*(Calc!$G$3:$G$22&gt;B4248)*(Calc!$G$3:$G$22-B4248)*Calc!$I$3:$I$22)</f>
        <v/>
      </c>
      <c r="P4248">
        <f>I4248-G4248^2/k_n</f>
        <v/>
      </c>
      <c r="Q4248">
        <f>J4248-H4248^2/k_n</f>
        <v/>
      </c>
      <c r="R4248">
        <f>K4248-G4248*H4248/k_n</f>
        <v/>
      </c>
      <c r="S4248">
        <f>L4248-LTP3!$D$3*G4248/k_n</f>
        <v/>
      </c>
      <c r="T4248">
        <f>M4248-LTP3!$D$3*H4248/k_n</f>
        <v/>
      </c>
      <c r="U4248">
        <f>N4248-G4248*LTP3!$D$4/k_n</f>
        <v/>
      </c>
      <c r="V4248">
        <f>O4248-H4248*LTP3!$D$4/k_n</f>
        <v/>
      </c>
      <c r="W4248">
        <f>((LTP3!$D$5)*((P4248)*(Q4248)-(R4248)*(R4248))-(S4248)*((S4248)*(Q4248)-(R4248)*(T4248))+(T4248)*((S4248)*(R4248)-(P4248)*(T4248)))</f>
        <v/>
      </c>
      <c r="X4248">
        <f>IF(ABS(W4248)&gt;1E-12,((LTP3!$D$6)*((P4248)*(Q4248)-(R4248)*(R4248))-(S4248)*((U4248)*(Q4248)-(R4248)*(V4248))+(T4248)*((U4248)*(R4248)-(P4248)*(V4248)))/W4248,0)</f>
        <v/>
      </c>
      <c r="Y4248">
        <f>IF(ABS(W4248)&gt;1E-12,((LTP3!$D$5)*((U4248)*(Q4248)-(R4248)*(V4248))-(LTP3!$D$6)*((S4248)*(Q4248)-(R4248)*(T4248))+(T4248)*((S4248)*(V4248)-(U4248)*(T4248)))/W4248,0)</f>
        <v/>
      </c>
      <c r="Z4248">
        <f>IF(ABS(W4248)&gt;1E-12,((LTP3!$D$5)*((P4248)*(V4248)-(U4248)*(R4248))-(S4248)*((S4248)*(V4248)-(U4248)*(T4248))+(LTP3!$D$6)*((S4248)*(R4248)-(P4248)*(T4248)))/W4248,0)</f>
        <v/>
      </c>
      <c r="AA4248">
        <f>LTP3!$D$7-X4248*LTP3!$D$6-Y4248*U4248-Z4248*V4248</f>
        <v/>
      </c>
      <c r="AB4248">
        <f>IF(AND(F4248,ABS(W4248)&gt;1E-12,Y4248&gt;0,Z4248&gt;0),AA4248,1E+300)</f>
        <v/>
      </c>
    </row>
    <row r="4249">
      <c r="A4249">
        <f>$I$4-$B$5/10+$B$5*3/100</f>
        <v/>
      </c>
      <c r="B4249">
        <f>$J$4-$B$5/10+$B$5*6/100</f>
        <v/>
      </c>
      <c r="C4249">
        <f>SUMPRODUCT(Calc!$K$3:$K$22*(Calc!$G$3:$G$22&lt;=A4249))</f>
        <v/>
      </c>
      <c r="D4249">
        <f>SUMPRODUCT(Calc!$K$3:$K$22*(Calc!$G$3:$G$22&gt;A4249)*(Calc!$G$3:$G$22&lt;B4249))</f>
        <v/>
      </c>
      <c r="E4249">
        <f>SUMPRODUCT(Calc!$K$3:$K$22*(Calc!$G$3:$G$22&gt;=B4249))</f>
        <v/>
      </c>
      <c r="F4249">
        <f>AND(k_n&gt;=5,B4249&gt;A4249+1E-9,C4249&gt;=2,D4249&gt;=1,E4249&gt;=2)</f>
        <v/>
      </c>
      <c r="G4249">
        <f>SUMPRODUCT(Calc!$K$3:$K$22*(Calc!$G$3:$G$22&gt;A4249)*(Calc!$G$3:$G$22-A4249))</f>
        <v/>
      </c>
      <c r="H4249">
        <f>SUMPRODUCT(Calc!$K$3:$K$22*(Calc!$G$3:$G$22&gt;B4249)*(Calc!$G$3:$G$22-B4249))</f>
        <v/>
      </c>
      <c r="I4249">
        <f>SUMPRODUCT(Calc!$K$3:$K$22*(Calc!$G$3:$G$22&gt;A4249)*(Calc!$G$3:$G$22-A4249)^2)</f>
        <v/>
      </c>
      <c r="J4249">
        <f>SUMPRODUCT(Calc!$K$3:$K$22*(Calc!$G$3:$G$22&gt;B4249)*(Calc!$G$3:$G$22-B4249)^2)</f>
        <v/>
      </c>
      <c r="K4249">
        <f>SUMPRODUCT(Calc!$K$3:$K$22*(Calc!$G$3:$G$22&gt;A4249)*(Calc!$G$3:$G$22-A4249)*(Calc!$G$3:$G$22&gt;B4249)*(Calc!$G$3:$G$22-B4249))</f>
        <v/>
      </c>
      <c r="L4249">
        <f>SUMPRODUCT(Calc!$K$3:$K$22*(Calc!$G$3:$G$22&gt;A4249)*(Calc!$G$3:$G$22-A4249)*Calc!$G$3:$G$22)</f>
        <v/>
      </c>
      <c r="M4249">
        <f>SUMPRODUCT(Calc!$K$3:$K$22*(Calc!$G$3:$G$22&gt;B4249)*(Calc!$G$3:$G$22-B4249)*Calc!$G$3:$G$22)</f>
        <v/>
      </c>
      <c r="N4249">
        <f>SUMPRODUCT(Calc!$K$3:$K$22*(Calc!$G$3:$G$22&gt;A4249)*(Calc!$G$3:$G$22-A4249)*Calc!$I$3:$I$22)</f>
        <v/>
      </c>
      <c r="O4249">
        <f>SUMPRODUCT(Calc!$K$3:$K$22*(Calc!$G$3:$G$22&gt;B4249)*(Calc!$G$3:$G$22-B4249)*Calc!$I$3:$I$22)</f>
        <v/>
      </c>
      <c r="P4249">
        <f>I4249-G4249^2/k_n</f>
        <v/>
      </c>
      <c r="Q4249">
        <f>J4249-H4249^2/k_n</f>
        <v/>
      </c>
      <c r="R4249">
        <f>K4249-G4249*H4249/k_n</f>
        <v/>
      </c>
      <c r="S4249">
        <f>L4249-LTP3!$D$3*G4249/k_n</f>
        <v/>
      </c>
      <c r="T4249">
        <f>M4249-LTP3!$D$3*H4249/k_n</f>
        <v/>
      </c>
      <c r="U4249">
        <f>N4249-G4249*LTP3!$D$4/k_n</f>
        <v/>
      </c>
      <c r="V4249">
        <f>O4249-H4249*LTP3!$D$4/k_n</f>
        <v/>
      </c>
      <c r="W4249">
        <f>((LTP3!$D$5)*((P4249)*(Q4249)-(R4249)*(R4249))-(S4249)*((S4249)*(Q4249)-(R4249)*(T4249))+(T4249)*((S4249)*(R4249)-(P4249)*(T4249)))</f>
        <v/>
      </c>
      <c r="X4249">
        <f>IF(ABS(W4249)&gt;1E-12,((LTP3!$D$6)*((P4249)*(Q4249)-(R4249)*(R4249))-(S4249)*((U4249)*(Q4249)-(R4249)*(V4249))+(T4249)*((U4249)*(R4249)-(P4249)*(V4249)))/W4249,0)</f>
        <v/>
      </c>
      <c r="Y4249">
        <f>IF(ABS(W4249)&gt;1E-12,((LTP3!$D$5)*((U4249)*(Q4249)-(R4249)*(V4249))-(LTP3!$D$6)*((S4249)*(Q4249)-(R4249)*(T4249))+(T4249)*((S4249)*(V4249)-(U4249)*(T4249)))/W4249,0)</f>
        <v/>
      </c>
      <c r="Z4249">
        <f>IF(ABS(W4249)&gt;1E-12,((LTP3!$D$5)*((P4249)*(V4249)-(U4249)*(R4249))-(S4249)*((S4249)*(V4249)-(U4249)*(T4249))+(LTP3!$D$6)*((S4249)*(R4249)-(P4249)*(T4249)))/W4249,0)</f>
        <v/>
      </c>
      <c r="AA4249">
        <f>LTP3!$D$7-X4249*LTP3!$D$6-Y4249*U4249-Z4249*V4249</f>
        <v/>
      </c>
      <c r="AB4249">
        <f>IF(AND(F4249,ABS(W4249)&gt;1E-12,Y4249&gt;0,Z4249&gt;0),AA4249,1E+300)</f>
        <v/>
      </c>
    </row>
    <row r="4250">
      <c r="A4250">
        <f>$I$4-$B$5/10+$B$5*3/100</f>
        <v/>
      </c>
      <c r="B4250">
        <f>$J$4-$B$5/10+$B$5*7/100</f>
        <v/>
      </c>
      <c r="C4250">
        <f>SUMPRODUCT(Calc!$K$3:$K$22*(Calc!$G$3:$G$22&lt;=A4250))</f>
        <v/>
      </c>
      <c r="D4250">
        <f>SUMPRODUCT(Calc!$K$3:$K$22*(Calc!$G$3:$G$22&gt;A4250)*(Calc!$G$3:$G$22&lt;B4250))</f>
        <v/>
      </c>
      <c r="E4250">
        <f>SUMPRODUCT(Calc!$K$3:$K$22*(Calc!$G$3:$G$22&gt;=B4250))</f>
        <v/>
      </c>
      <c r="F4250">
        <f>AND(k_n&gt;=5,B4250&gt;A4250+1E-9,C4250&gt;=2,D4250&gt;=1,E4250&gt;=2)</f>
        <v/>
      </c>
      <c r="G4250">
        <f>SUMPRODUCT(Calc!$K$3:$K$22*(Calc!$G$3:$G$22&gt;A4250)*(Calc!$G$3:$G$22-A4250))</f>
        <v/>
      </c>
      <c r="H4250">
        <f>SUMPRODUCT(Calc!$K$3:$K$22*(Calc!$G$3:$G$22&gt;B4250)*(Calc!$G$3:$G$22-B4250))</f>
        <v/>
      </c>
      <c r="I4250">
        <f>SUMPRODUCT(Calc!$K$3:$K$22*(Calc!$G$3:$G$22&gt;A4250)*(Calc!$G$3:$G$22-A4250)^2)</f>
        <v/>
      </c>
      <c r="J4250">
        <f>SUMPRODUCT(Calc!$K$3:$K$22*(Calc!$G$3:$G$22&gt;B4250)*(Calc!$G$3:$G$22-B4250)^2)</f>
        <v/>
      </c>
      <c r="K4250">
        <f>SUMPRODUCT(Calc!$K$3:$K$22*(Calc!$G$3:$G$22&gt;A4250)*(Calc!$G$3:$G$22-A4250)*(Calc!$G$3:$G$22&gt;B4250)*(Calc!$G$3:$G$22-B4250))</f>
        <v/>
      </c>
      <c r="L4250">
        <f>SUMPRODUCT(Calc!$K$3:$K$22*(Calc!$G$3:$G$22&gt;A4250)*(Calc!$G$3:$G$22-A4250)*Calc!$G$3:$G$22)</f>
        <v/>
      </c>
      <c r="M4250">
        <f>SUMPRODUCT(Calc!$K$3:$K$22*(Calc!$G$3:$G$22&gt;B4250)*(Calc!$G$3:$G$22-B4250)*Calc!$G$3:$G$22)</f>
        <v/>
      </c>
      <c r="N4250">
        <f>SUMPRODUCT(Calc!$K$3:$K$22*(Calc!$G$3:$G$22&gt;A4250)*(Calc!$G$3:$G$22-A4250)*Calc!$I$3:$I$22)</f>
        <v/>
      </c>
      <c r="O4250">
        <f>SUMPRODUCT(Calc!$K$3:$K$22*(Calc!$G$3:$G$22&gt;B4250)*(Calc!$G$3:$G$22-B4250)*Calc!$I$3:$I$22)</f>
        <v/>
      </c>
      <c r="P4250">
        <f>I4250-G4250^2/k_n</f>
        <v/>
      </c>
      <c r="Q4250">
        <f>J4250-H4250^2/k_n</f>
        <v/>
      </c>
      <c r="R4250">
        <f>K4250-G4250*H4250/k_n</f>
        <v/>
      </c>
      <c r="S4250">
        <f>L4250-LTP3!$D$3*G4250/k_n</f>
        <v/>
      </c>
      <c r="T4250">
        <f>M4250-LTP3!$D$3*H4250/k_n</f>
        <v/>
      </c>
      <c r="U4250">
        <f>N4250-G4250*LTP3!$D$4/k_n</f>
        <v/>
      </c>
      <c r="V4250">
        <f>O4250-H4250*LTP3!$D$4/k_n</f>
        <v/>
      </c>
      <c r="W4250">
        <f>((LTP3!$D$5)*((P4250)*(Q4250)-(R4250)*(R4250))-(S4250)*((S4250)*(Q4250)-(R4250)*(T4250))+(T4250)*((S4250)*(R4250)-(P4250)*(T4250)))</f>
        <v/>
      </c>
      <c r="X4250">
        <f>IF(ABS(W4250)&gt;1E-12,((LTP3!$D$6)*((P4250)*(Q4250)-(R4250)*(R4250))-(S4250)*((U4250)*(Q4250)-(R4250)*(V4250))+(T4250)*((U4250)*(R4250)-(P4250)*(V4250)))/W4250,0)</f>
        <v/>
      </c>
      <c r="Y4250">
        <f>IF(ABS(W4250)&gt;1E-12,((LTP3!$D$5)*((U4250)*(Q4250)-(R4250)*(V4250))-(LTP3!$D$6)*((S4250)*(Q4250)-(R4250)*(T4250))+(T4250)*((S4250)*(V4250)-(U4250)*(T4250)))/W4250,0)</f>
        <v/>
      </c>
      <c r="Z4250">
        <f>IF(ABS(W4250)&gt;1E-12,((LTP3!$D$5)*((P4250)*(V4250)-(U4250)*(R4250))-(S4250)*((S4250)*(V4250)-(U4250)*(T4250))+(LTP3!$D$6)*((S4250)*(R4250)-(P4250)*(T4250)))/W4250,0)</f>
        <v/>
      </c>
      <c r="AA4250">
        <f>LTP3!$D$7-X4250*LTP3!$D$6-Y4250*U4250-Z4250*V4250</f>
        <v/>
      </c>
      <c r="AB4250">
        <f>IF(AND(F4250,ABS(W4250)&gt;1E-12,Y4250&gt;0,Z4250&gt;0),AA4250,1E+300)</f>
        <v/>
      </c>
    </row>
    <row r="4251">
      <c r="A4251">
        <f>$I$4-$B$5/10+$B$5*3/100</f>
        <v/>
      </c>
      <c r="B4251">
        <f>$J$4-$B$5/10+$B$5*8/100</f>
        <v/>
      </c>
      <c r="C4251">
        <f>SUMPRODUCT(Calc!$K$3:$K$22*(Calc!$G$3:$G$22&lt;=A4251))</f>
        <v/>
      </c>
      <c r="D4251">
        <f>SUMPRODUCT(Calc!$K$3:$K$22*(Calc!$G$3:$G$22&gt;A4251)*(Calc!$G$3:$G$22&lt;B4251))</f>
        <v/>
      </c>
      <c r="E4251">
        <f>SUMPRODUCT(Calc!$K$3:$K$22*(Calc!$G$3:$G$22&gt;=B4251))</f>
        <v/>
      </c>
      <c r="F4251">
        <f>AND(k_n&gt;=5,B4251&gt;A4251+1E-9,C4251&gt;=2,D4251&gt;=1,E4251&gt;=2)</f>
        <v/>
      </c>
      <c r="G4251">
        <f>SUMPRODUCT(Calc!$K$3:$K$22*(Calc!$G$3:$G$22&gt;A4251)*(Calc!$G$3:$G$22-A4251))</f>
        <v/>
      </c>
      <c r="H4251">
        <f>SUMPRODUCT(Calc!$K$3:$K$22*(Calc!$G$3:$G$22&gt;B4251)*(Calc!$G$3:$G$22-B4251))</f>
        <v/>
      </c>
      <c r="I4251">
        <f>SUMPRODUCT(Calc!$K$3:$K$22*(Calc!$G$3:$G$22&gt;A4251)*(Calc!$G$3:$G$22-A4251)^2)</f>
        <v/>
      </c>
      <c r="J4251">
        <f>SUMPRODUCT(Calc!$K$3:$K$22*(Calc!$G$3:$G$22&gt;B4251)*(Calc!$G$3:$G$22-B4251)^2)</f>
        <v/>
      </c>
      <c r="K4251">
        <f>SUMPRODUCT(Calc!$K$3:$K$22*(Calc!$G$3:$G$22&gt;A4251)*(Calc!$G$3:$G$22-A4251)*(Calc!$G$3:$G$22&gt;B4251)*(Calc!$G$3:$G$22-B4251))</f>
        <v/>
      </c>
      <c r="L4251">
        <f>SUMPRODUCT(Calc!$K$3:$K$22*(Calc!$G$3:$G$22&gt;A4251)*(Calc!$G$3:$G$22-A4251)*Calc!$G$3:$G$22)</f>
        <v/>
      </c>
      <c r="M4251">
        <f>SUMPRODUCT(Calc!$K$3:$K$22*(Calc!$G$3:$G$22&gt;B4251)*(Calc!$G$3:$G$22-B4251)*Calc!$G$3:$G$22)</f>
        <v/>
      </c>
      <c r="N4251">
        <f>SUMPRODUCT(Calc!$K$3:$K$22*(Calc!$G$3:$G$22&gt;A4251)*(Calc!$G$3:$G$22-A4251)*Calc!$I$3:$I$22)</f>
        <v/>
      </c>
      <c r="O4251">
        <f>SUMPRODUCT(Calc!$K$3:$K$22*(Calc!$G$3:$G$22&gt;B4251)*(Calc!$G$3:$G$22-B4251)*Calc!$I$3:$I$22)</f>
        <v/>
      </c>
      <c r="P4251">
        <f>I4251-G4251^2/k_n</f>
        <v/>
      </c>
      <c r="Q4251">
        <f>J4251-H4251^2/k_n</f>
        <v/>
      </c>
      <c r="R4251">
        <f>K4251-G4251*H4251/k_n</f>
        <v/>
      </c>
      <c r="S4251">
        <f>L4251-LTP3!$D$3*G4251/k_n</f>
        <v/>
      </c>
      <c r="T4251">
        <f>M4251-LTP3!$D$3*H4251/k_n</f>
        <v/>
      </c>
      <c r="U4251">
        <f>N4251-G4251*LTP3!$D$4/k_n</f>
        <v/>
      </c>
      <c r="V4251">
        <f>O4251-H4251*LTP3!$D$4/k_n</f>
        <v/>
      </c>
      <c r="W4251">
        <f>((LTP3!$D$5)*((P4251)*(Q4251)-(R4251)*(R4251))-(S4251)*((S4251)*(Q4251)-(R4251)*(T4251))+(T4251)*((S4251)*(R4251)-(P4251)*(T4251)))</f>
        <v/>
      </c>
      <c r="X4251">
        <f>IF(ABS(W4251)&gt;1E-12,((LTP3!$D$6)*((P4251)*(Q4251)-(R4251)*(R4251))-(S4251)*((U4251)*(Q4251)-(R4251)*(V4251))+(T4251)*((U4251)*(R4251)-(P4251)*(V4251)))/W4251,0)</f>
        <v/>
      </c>
      <c r="Y4251">
        <f>IF(ABS(W4251)&gt;1E-12,((LTP3!$D$5)*((U4251)*(Q4251)-(R4251)*(V4251))-(LTP3!$D$6)*((S4251)*(Q4251)-(R4251)*(T4251))+(T4251)*((S4251)*(V4251)-(U4251)*(T4251)))/W4251,0)</f>
        <v/>
      </c>
      <c r="Z4251">
        <f>IF(ABS(W4251)&gt;1E-12,((LTP3!$D$5)*((P4251)*(V4251)-(U4251)*(R4251))-(S4251)*((S4251)*(V4251)-(U4251)*(T4251))+(LTP3!$D$6)*((S4251)*(R4251)-(P4251)*(T4251)))/W4251,0)</f>
        <v/>
      </c>
      <c r="AA4251">
        <f>LTP3!$D$7-X4251*LTP3!$D$6-Y4251*U4251-Z4251*V4251</f>
        <v/>
      </c>
      <c r="AB4251">
        <f>IF(AND(F4251,ABS(W4251)&gt;1E-12,Y4251&gt;0,Z4251&gt;0),AA4251,1E+300)</f>
        <v/>
      </c>
    </row>
    <row r="4252">
      <c r="A4252">
        <f>$I$4-$B$5/10+$B$5*3/100</f>
        <v/>
      </c>
      <c r="B4252">
        <f>$J$4-$B$5/10+$B$5*9/100</f>
        <v/>
      </c>
      <c r="C4252">
        <f>SUMPRODUCT(Calc!$K$3:$K$22*(Calc!$G$3:$G$22&lt;=A4252))</f>
        <v/>
      </c>
      <c r="D4252">
        <f>SUMPRODUCT(Calc!$K$3:$K$22*(Calc!$G$3:$G$22&gt;A4252)*(Calc!$G$3:$G$22&lt;B4252))</f>
        <v/>
      </c>
      <c r="E4252">
        <f>SUMPRODUCT(Calc!$K$3:$K$22*(Calc!$G$3:$G$22&gt;=B4252))</f>
        <v/>
      </c>
      <c r="F4252">
        <f>AND(k_n&gt;=5,B4252&gt;A4252+1E-9,C4252&gt;=2,D4252&gt;=1,E4252&gt;=2)</f>
        <v/>
      </c>
      <c r="G4252">
        <f>SUMPRODUCT(Calc!$K$3:$K$22*(Calc!$G$3:$G$22&gt;A4252)*(Calc!$G$3:$G$22-A4252))</f>
        <v/>
      </c>
      <c r="H4252">
        <f>SUMPRODUCT(Calc!$K$3:$K$22*(Calc!$G$3:$G$22&gt;B4252)*(Calc!$G$3:$G$22-B4252))</f>
        <v/>
      </c>
      <c r="I4252">
        <f>SUMPRODUCT(Calc!$K$3:$K$22*(Calc!$G$3:$G$22&gt;A4252)*(Calc!$G$3:$G$22-A4252)^2)</f>
        <v/>
      </c>
      <c r="J4252">
        <f>SUMPRODUCT(Calc!$K$3:$K$22*(Calc!$G$3:$G$22&gt;B4252)*(Calc!$G$3:$G$22-B4252)^2)</f>
        <v/>
      </c>
      <c r="K4252">
        <f>SUMPRODUCT(Calc!$K$3:$K$22*(Calc!$G$3:$G$22&gt;A4252)*(Calc!$G$3:$G$22-A4252)*(Calc!$G$3:$G$22&gt;B4252)*(Calc!$G$3:$G$22-B4252))</f>
        <v/>
      </c>
      <c r="L4252">
        <f>SUMPRODUCT(Calc!$K$3:$K$22*(Calc!$G$3:$G$22&gt;A4252)*(Calc!$G$3:$G$22-A4252)*Calc!$G$3:$G$22)</f>
        <v/>
      </c>
      <c r="M4252">
        <f>SUMPRODUCT(Calc!$K$3:$K$22*(Calc!$G$3:$G$22&gt;B4252)*(Calc!$G$3:$G$22-B4252)*Calc!$G$3:$G$22)</f>
        <v/>
      </c>
      <c r="N4252">
        <f>SUMPRODUCT(Calc!$K$3:$K$22*(Calc!$G$3:$G$22&gt;A4252)*(Calc!$G$3:$G$22-A4252)*Calc!$I$3:$I$22)</f>
        <v/>
      </c>
      <c r="O4252">
        <f>SUMPRODUCT(Calc!$K$3:$K$22*(Calc!$G$3:$G$22&gt;B4252)*(Calc!$G$3:$G$22-B4252)*Calc!$I$3:$I$22)</f>
        <v/>
      </c>
      <c r="P4252">
        <f>I4252-G4252^2/k_n</f>
        <v/>
      </c>
      <c r="Q4252">
        <f>J4252-H4252^2/k_n</f>
        <v/>
      </c>
      <c r="R4252">
        <f>K4252-G4252*H4252/k_n</f>
        <v/>
      </c>
      <c r="S4252">
        <f>L4252-LTP3!$D$3*G4252/k_n</f>
        <v/>
      </c>
      <c r="T4252">
        <f>M4252-LTP3!$D$3*H4252/k_n</f>
        <v/>
      </c>
      <c r="U4252">
        <f>N4252-G4252*LTP3!$D$4/k_n</f>
        <v/>
      </c>
      <c r="V4252">
        <f>O4252-H4252*LTP3!$D$4/k_n</f>
        <v/>
      </c>
      <c r="W4252">
        <f>((LTP3!$D$5)*((P4252)*(Q4252)-(R4252)*(R4252))-(S4252)*((S4252)*(Q4252)-(R4252)*(T4252))+(T4252)*((S4252)*(R4252)-(P4252)*(T4252)))</f>
        <v/>
      </c>
      <c r="X4252">
        <f>IF(ABS(W4252)&gt;1E-12,((LTP3!$D$6)*((P4252)*(Q4252)-(R4252)*(R4252))-(S4252)*((U4252)*(Q4252)-(R4252)*(V4252))+(T4252)*((U4252)*(R4252)-(P4252)*(V4252)))/W4252,0)</f>
        <v/>
      </c>
      <c r="Y4252">
        <f>IF(ABS(W4252)&gt;1E-12,((LTP3!$D$5)*((U4252)*(Q4252)-(R4252)*(V4252))-(LTP3!$D$6)*((S4252)*(Q4252)-(R4252)*(T4252))+(T4252)*((S4252)*(V4252)-(U4252)*(T4252)))/W4252,0)</f>
        <v/>
      </c>
      <c r="Z4252">
        <f>IF(ABS(W4252)&gt;1E-12,((LTP3!$D$5)*((P4252)*(V4252)-(U4252)*(R4252))-(S4252)*((S4252)*(V4252)-(U4252)*(T4252))+(LTP3!$D$6)*((S4252)*(R4252)-(P4252)*(T4252)))/W4252,0)</f>
        <v/>
      </c>
      <c r="AA4252">
        <f>LTP3!$D$7-X4252*LTP3!$D$6-Y4252*U4252-Z4252*V4252</f>
        <v/>
      </c>
      <c r="AB4252">
        <f>IF(AND(F4252,ABS(W4252)&gt;1E-12,Y4252&gt;0,Z4252&gt;0),AA4252,1E+300)</f>
        <v/>
      </c>
    </row>
    <row r="4253">
      <c r="A4253">
        <f>$I$4-$B$5/10+$B$5*3/100</f>
        <v/>
      </c>
      <c r="B4253">
        <f>$J$4-$B$5/10+$B$5*10/100</f>
        <v/>
      </c>
      <c r="C4253">
        <f>SUMPRODUCT(Calc!$K$3:$K$22*(Calc!$G$3:$G$22&lt;=A4253))</f>
        <v/>
      </c>
      <c r="D4253">
        <f>SUMPRODUCT(Calc!$K$3:$K$22*(Calc!$G$3:$G$22&gt;A4253)*(Calc!$G$3:$G$22&lt;B4253))</f>
        <v/>
      </c>
      <c r="E4253">
        <f>SUMPRODUCT(Calc!$K$3:$K$22*(Calc!$G$3:$G$22&gt;=B4253))</f>
        <v/>
      </c>
      <c r="F4253">
        <f>AND(k_n&gt;=5,B4253&gt;A4253+1E-9,C4253&gt;=2,D4253&gt;=1,E4253&gt;=2)</f>
        <v/>
      </c>
      <c r="G4253">
        <f>SUMPRODUCT(Calc!$K$3:$K$22*(Calc!$G$3:$G$22&gt;A4253)*(Calc!$G$3:$G$22-A4253))</f>
        <v/>
      </c>
      <c r="H4253">
        <f>SUMPRODUCT(Calc!$K$3:$K$22*(Calc!$G$3:$G$22&gt;B4253)*(Calc!$G$3:$G$22-B4253))</f>
        <v/>
      </c>
      <c r="I4253">
        <f>SUMPRODUCT(Calc!$K$3:$K$22*(Calc!$G$3:$G$22&gt;A4253)*(Calc!$G$3:$G$22-A4253)^2)</f>
        <v/>
      </c>
      <c r="J4253">
        <f>SUMPRODUCT(Calc!$K$3:$K$22*(Calc!$G$3:$G$22&gt;B4253)*(Calc!$G$3:$G$22-B4253)^2)</f>
        <v/>
      </c>
      <c r="K4253">
        <f>SUMPRODUCT(Calc!$K$3:$K$22*(Calc!$G$3:$G$22&gt;A4253)*(Calc!$G$3:$G$22-A4253)*(Calc!$G$3:$G$22&gt;B4253)*(Calc!$G$3:$G$22-B4253))</f>
        <v/>
      </c>
      <c r="L4253">
        <f>SUMPRODUCT(Calc!$K$3:$K$22*(Calc!$G$3:$G$22&gt;A4253)*(Calc!$G$3:$G$22-A4253)*Calc!$G$3:$G$22)</f>
        <v/>
      </c>
      <c r="M4253">
        <f>SUMPRODUCT(Calc!$K$3:$K$22*(Calc!$G$3:$G$22&gt;B4253)*(Calc!$G$3:$G$22-B4253)*Calc!$G$3:$G$22)</f>
        <v/>
      </c>
      <c r="N4253">
        <f>SUMPRODUCT(Calc!$K$3:$K$22*(Calc!$G$3:$G$22&gt;A4253)*(Calc!$G$3:$G$22-A4253)*Calc!$I$3:$I$22)</f>
        <v/>
      </c>
      <c r="O4253">
        <f>SUMPRODUCT(Calc!$K$3:$K$22*(Calc!$G$3:$G$22&gt;B4253)*(Calc!$G$3:$G$22-B4253)*Calc!$I$3:$I$22)</f>
        <v/>
      </c>
      <c r="P4253">
        <f>I4253-G4253^2/k_n</f>
        <v/>
      </c>
      <c r="Q4253">
        <f>J4253-H4253^2/k_n</f>
        <v/>
      </c>
      <c r="R4253">
        <f>K4253-G4253*H4253/k_n</f>
        <v/>
      </c>
      <c r="S4253">
        <f>L4253-LTP3!$D$3*G4253/k_n</f>
        <v/>
      </c>
      <c r="T4253">
        <f>M4253-LTP3!$D$3*H4253/k_n</f>
        <v/>
      </c>
      <c r="U4253">
        <f>N4253-G4253*LTP3!$D$4/k_n</f>
        <v/>
      </c>
      <c r="V4253">
        <f>O4253-H4253*LTP3!$D$4/k_n</f>
        <v/>
      </c>
      <c r="W4253">
        <f>((LTP3!$D$5)*((P4253)*(Q4253)-(R4253)*(R4253))-(S4253)*((S4253)*(Q4253)-(R4253)*(T4253))+(T4253)*((S4253)*(R4253)-(P4253)*(T4253)))</f>
        <v/>
      </c>
      <c r="X4253">
        <f>IF(ABS(W4253)&gt;1E-12,((LTP3!$D$6)*((P4253)*(Q4253)-(R4253)*(R4253))-(S4253)*((U4253)*(Q4253)-(R4253)*(V4253))+(T4253)*((U4253)*(R4253)-(P4253)*(V4253)))/W4253,0)</f>
        <v/>
      </c>
      <c r="Y4253">
        <f>IF(ABS(W4253)&gt;1E-12,((LTP3!$D$5)*((U4253)*(Q4253)-(R4253)*(V4253))-(LTP3!$D$6)*((S4253)*(Q4253)-(R4253)*(T4253))+(T4253)*((S4253)*(V4253)-(U4253)*(T4253)))/W4253,0)</f>
        <v/>
      </c>
      <c r="Z4253">
        <f>IF(ABS(W4253)&gt;1E-12,((LTP3!$D$5)*((P4253)*(V4253)-(U4253)*(R4253))-(S4253)*((S4253)*(V4253)-(U4253)*(T4253))+(LTP3!$D$6)*((S4253)*(R4253)-(P4253)*(T4253)))/W4253,0)</f>
        <v/>
      </c>
      <c r="AA4253">
        <f>LTP3!$D$7-X4253*LTP3!$D$6-Y4253*U4253-Z4253*V4253</f>
        <v/>
      </c>
      <c r="AB4253">
        <f>IF(AND(F4253,ABS(W4253)&gt;1E-12,Y4253&gt;0,Z4253&gt;0),AA4253,1E+300)</f>
        <v/>
      </c>
    </row>
    <row r="4254">
      <c r="A4254">
        <f>$I$4-$B$5/10+$B$5*3/100</f>
        <v/>
      </c>
      <c r="B4254">
        <f>$J$4-$B$5/10+$B$5*11/100</f>
        <v/>
      </c>
      <c r="C4254">
        <f>SUMPRODUCT(Calc!$K$3:$K$22*(Calc!$G$3:$G$22&lt;=A4254))</f>
        <v/>
      </c>
      <c r="D4254">
        <f>SUMPRODUCT(Calc!$K$3:$K$22*(Calc!$G$3:$G$22&gt;A4254)*(Calc!$G$3:$G$22&lt;B4254))</f>
        <v/>
      </c>
      <c r="E4254">
        <f>SUMPRODUCT(Calc!$K$3:$K$22*(Calc!$G$3:$G$22&gt;=B4254))</f>
        <v/>
      </c>
      <c r="F4254">
        <f>AND(k_n&gt;=5,B4254&gt;A4254+1E-9,C4254&gt;=2,D4254&gt;=1,E4254&gt;=2)</f>
        <v/>
      </c>
      <c r="G4254">
        <f>SUMPRODUCT(Calc!$K$3:$K$22*(Calc!$G$3:$G$22&gt;A4254)*(Calc!$G$3:$G$22-A4254))</f>
        <v/>
      </c>
      <c r="H4254">
        <f>SUMPRODUCT(Calc!$K$3:$K$22*(Calc!$G$3:$G$22&gt;B4254)*(Calc!$G$3:$G$22-B4254))</f>
        <v/>
      </c>
      <c r="I4254">
        <f>SUMPRODUCT(Calc!$K$3:$K$22*(Calc!$G$3:$G$22&gt;A4254)*(Calc!$G$3:$G$22-A4254)^2)</f>
        <v/>
      </c>
      <c r="J4254">
        <f>SUMPRODUCT(Calc!$K$3:$K$22*(Calc!$G$3:$G$22&gt;B4254)*(Calc!$G$3:$G$22-B4254)^2)</f>
        <v/>
      </c>
      <c r="K4254">
        <f>SUMPRODUCT(Calc!$K$3:$K$22*(Calc!$G$3:$G$22&gt;A4254)*(Calc!$G$3:$G$22-A4254)*(Calc!$G$3:$G$22&gt;B4254)*(Calc!$G$3:$G$22-B4254))</f>
        <v/>
      </c>
      <c r="L4254">
        <f>SUMPRODUCT(Calc!$K$3:$K$22*(Calc!$G$3:$G$22&gt;A4254)*(Calc!$G$3:$G$22-A4254)*Calc!$G$3:$G$22)</f>
        <v/>
      </c>
      <c r="M4254">
        <f>SUMPRODUCT(Calc!$K$3:$K$22*(Calc!$G$3:$G$22&gt;B4254)*(Calc!$G$3:$G$22-B4254)*Calc!$G$3:$G$22)</f>
        <v/>
      </c>
      <c r="N4254">
        <f>SUMPRODUCT(Calc!$K$3:$K$22*(Calc!$G$3:$G$22&gt;A4254)*(Calc!$G$3:$G$22-A4254)*Calc!$I$3:$I$22)</f>
        <v/>
      </c>
      <c r="O4254">
        <f>SUMPRODUCT(Calc!$K$3:$K$22*(Calc!$G$3:$G$22&gt;B4254)*(Calc!$G$3:$G$22-B4254)*Calc!$I$3:$I$22)</f>
        <v/>
      </c>
      <c r="P4254">
        <f>I4254-G4254^2/k_n</f>
        <v/>
      </c>
      <c r="Q4254">
        <f>J4254-H4254^2/k_n</f>
        <v/>
      </c>
      <c r="R4254">
        <f>K4254-G4254*H4254/k_n</f>
        <v/>
      </c>
      <c r="S4254">
        <f>L4254-LTP3!$D$3*G4254/k_n</f>
        <v/>
      </c>
      <c r="T4254">
        <f>M4254-LTP3!$D$3*H4254/k_n</f>
        <v/>
      </c>
      <c r="U4254">
        <f>N4254-G4254*LTP3!$D$4/k_n</f>
        <v/>
      </c>
      <c r="V4254">
        <f>O4254-H4254*LTP3!$D$4/k_n</f>
        <v/>
      </c>
      <c r="W4254">
        <f>((LTP3!$D$5)*((P4254)*(Q4254)-(R4254)*(R4254))-(S4254)*((S4254)*(Q4254)-(R4254)*(T4254))+(T4254)*((S4254)*(R4254)-(P4254)*(T4254)))</f>
        <v/>
      </c>
      <c r="X4254">
        <f>IF(ABS(W4254)&gt;1E-12,((LTP3!$D$6)*((P4254)*(Q4254)-(R4254)*(R4254))-(S4254)*((U4254)*(Q4254)-(R4254)*(V4254))+(T4254)*((U4254)*(R4254)-(P4254)*(V4254)))/W4254,0)</f>
        <v/>
      </c>
      <c r="Y4254">
        <f>IF(ABS(W4254)&gt;1E-12,((LTP3!$D$5)*((U4254)*(Q4254)-(R4254)*(V4254))-(LTP3!$D$6)*((S4254)*(Q4254)-(R4254)*(T4254))+(T4254)*((S4254)*(V4254)-(U4254)*(T4254)))/W4254,0)</f>
        <v/>
      </c>
      <c r="Z4254">
        <f>IF(ABS(W4254)&gt;1E-12,((LTP3!$D$5)*((P4254)*(V4254)-(U4254)*(R4254))-(S4254)*((S4254)*(V4254)-(U4254)*(T4254))+(LTP3!$D$6)*((S4254)*(R4254)-(P4254)*(T4254)))/W4254,0)</f>
        <v/>
      </c>
      <c r="AA4254">
        <f>LTP3!$D$7-X4254*LTP3!$D$6-Y4254*U4254-Z4254*V4254</f>
        <v/>
      </c>
      <c r="AB4254">
        <f>IF(AND(F4254,ABS(W4254)&gt;1E-12,Y4254&gt;0,Z4254&gt;0),AA4254,1E+300)</f>
        <v/>
      </c>
    </row>
    <row r="4255">
      <c r="A4255">
        <f>$I$4-$B$5/10+$B$5*3/100</f>
        <v/>
      </c>
      <c r="B4255">
        <f>$J$4-$B$5/10+$B$5*12/100</f>
        <v/>
      </c>
      <c r="C4255">
        <f>SUMPRODUCT(Calc!$K$3:$K$22*(Calc!$G$3:$G$22&lt;=A4255))</f>
        <v/>
      </c>
      <c r="D4255">
        <f>SUMPRODUCT(Calc!$K$3:$K$22*(Calc!$G$3:$G$22&gt;A4255)*(Calc!$G$3:$G$22&lt;B4255))</f>
        <v/>
      </c>
      <c r="E4255">
        <f>SUMPRODUCT(Calc!$K$3:$K$22*(Calc!$G$3:$G$22&gt;=B4255))</f>
        <v/>
      </c>
      <c r="F4255">
        <f>AND(k_n&gt;=5,B4255&gt;A4255+1E-9,C4255&gt;=2,D4255&gt;=1,E4255&gt;=2)</f>
        <v/>
      </c>
      <c r="G4255">
        <f>SUMPRODUCT(Calc!$K$3:$K$22*(Calc!$G$3:$G$22&gt;A4255)*(Calc!$G$3:$G$22-A4255))</f>
        <v/>
      </c>
      <c r="H4255">
        <f>SUMPRODUCT(Calc!$K$3:$K$22*(Calc!$G$3:$G$22&gt;B4255)*(Calc!$G$3:$G$22-B4255))</f>
        <v/>
      </c>
      <c r="I4255">
        <f>SUMPRODUCT(Calc!$K$3:$K$22*(Calc!$G$3:$G$22&gt;A4255)*(Calc!$G$3:$G$22-A4255)^2)</f>
        <v/>
      </c>
      <c r="J4255">
        <f>SUMPRODUCT(Calc!$K$3:$K$22*(Calc!$G$3:$G$22&gt;B4255)*(Calc!$G$3:$G$22-B4255)^2)</f>
        <v/>
      </c>
      <c r="K4255">
        <f>SUMPRODUCT(Calc!$K$3:$K$22*(Calc!$G$3:$G$22&gt;A4255)*(Calc!$G$3:$G$22-A4255)*(Calc!$G$3:$G$22&gt;B4255)*(Calc!$G$3:$G$22-B4255))</f>
        <v/>
      </c>
      <c r="L4255">
        <f>SUMPRODUCT(Calc!$K$3:$K$22*(Calc!$G$3:$G$22&gt;A4255)*(Calc!$G$3:$G$22-A4255)*Calc!$G$3:$G$22)</f>
        <v/>
      </c>
      <c r="M4255">
        <f>SUMPRODUCT(Calc!$K$3:$K$22*(Calc!$G$3:$G$22&gt;B4255)*(Calc!$G$3:$G$22-B4255)*Calc!$G$3:$G$22)</f>
        <v/>
      </c>
      <c r="N4255">
        <f>SUMPRODUCT(Calc!$K$3:$K$22*(Calc!$G$3:$G$22&gt;A4255)*(Calc!$G$3:$G$22-A4255)*Calc!$I$3:$I$22)</f>
        <v/>
      </c>
      <c r="O4255">
        <f>SUMPRODUCT(Calc!$K$3:$K$22*(Calc!$G$3:$G$22&gt;B4255)*(Calc!$G$3:$G$22-B4255)*Calc!$I$3:$I$22)</f>
        <v/>
      </c>
      <c r="P4255">
        <f>I4255-G4255^2/k_n</f>
        <v/>
      </c>
      <c r="Q4255">
        <f>J4255-H4255^2/k_n</f>
        <v/>
      </c>
      <c r="R4255">
        <f>K4255-G4255*H4255/k_n</f>
        <v/>
      </c>
      <c r="S4255">
        <f>L4255-LTP3!$D$3*G4255/k_n</f>
        <v/>
      </c>
      <c r="T4255">
        <f>M4255-LTP3!$D$3*H4255/k_n</f>
        <v/>
      </c>
      <c r="U4255">
        <f>N4255-G4255*LTP3!$D$4/k_n</f>
        <v/>
      </c>
      <c r="V4255">
        <f>O4255-H4255*LTP3!$D$4/k_n</f>
        <v/>
      </c>
      <c r="W4255">
        <f>((LTP3!$D$5)*((P4255)*(Q4255)-(R4255)*(R4255))-(S4255)*((S4255)*(Q4255)-(R4255)*(T4255))+(T4255)*((S4255)*(R4255)-(P4255)*(T4255)))</f>
        <v/>
      </c>
      <c r="X4255">
        <f>IF(ABS(W4255)&gt;1E-12,((LTP3!$D$6)*((P4255)*(Q4255)-(R4255)*(R4255))-(S4255)*((U4255)*(Q4255)-(R4255)*(V4255))+(T4255)*((U4255)*(R4255)-(P4255)*(V4255)))/W4255,0)</f>
        <v/>
      </c>
      <c r="Y4255">
        <f>IF(ABS(W4255)&gt;1E-12,((LTP3!$D$5)*((U4255)*(Q4255)-(R4255)*(V4255))-(LTP3!$D$6)*((S4255)*(Q4255)-(R4255)*(T4255))+(T4255)*((S4255)*(V4255)-(U4255)*(T4255)))/W4255,0)</f>
        <v/>
      </c>
      <c r="Z4255">
        <f>IF(ABS(W4255)&gt;1E-12,((LTP3!$D$5)*((P4255)*(V4255)-(U4255)*(R4255))-(S4255)*((S4255)*(V4255)-(U4255)*(T4255))+(LTP3!$D$6)*((S4255)*(R4255)-(P4255)*(T4255)))/W4255,0)</f>
        <v/>
      </c>
      <c r="AA4255">
        <f>LTP3!$D$7-X4255*LTP3!$D$6-Y4255*U4255-Z4255*V4255</f>
        <v/>
      </c>
      <c r="AB4255">
        <f>IF(AND(F4255,ABS(W4255)&gt;1E-12,Y4255&gt;0,Z4255&gt;0),AA4255,1E+300)</f>
        <v/>
      </c>
    </row>
    <row r="4256">
      <c r="A4256">
        <f>$I$4-$B$5/10+$B$5*3/100</f>
        <v/>
      </c>
      <c r="B4256">
        <f>$J$4-$B$5/10+$B$5*13/100</f>
        <v/>
      </c>
      <c r="C4256">
        <f>SUMPRODUCT(Calc!$K$3:$K$22*(Calc!$G$3:$G$22&lt;=A4256))</f>
        <v/>
      </c>
      <c r="D4256">
        <f>SUMPRODUCT(Calc!$K$3:$K$22*(Calc!$G$3:$G$22&gt;A4256)*(Calc!$G$3:$G$22&lt;B4256))</f>
        <v/>
      </c>
      <c r="E4256">
        <f>SUMPRODUCT(Calc!$K$3:$K$22*(Calc!$G$3:$G$22&gt;=B4256))</f>
        <v/>
      </c>
      <c r="F4256">
        <f>AND(k_n&gt;=5,B4256&gt;A4256+1E-9,C4256&gt;=2,D4256&gt;=1,E4256&gt;=2)</f>
        <v/>
      </c>
      <c r="G4256">
        <f>SUMPRODUCT(Calc!$K$3:$K$22*(Calc!$G$3:$G$22&gt;A4256)*(Calc!$G$3:$G$22-A4256))</f>
        <v/>
      </c>
      <c r="H4256">
        <f>SUMPRODUCT(Calc!$K$3:$K$22*(Calc!$G$3:$G$22&gt;B4256)*(Calc!$G$3:$G$22-B4256))</f>
        <v/>
      </c>
      <c r="I4256">
        <f>SUMPRODUCT(Calc!$K$3:$K$22*(Calc!$G$3:$G$22&gt;A4256)*(Calc!$G$3:$G$22-A4256)^2)</f>
        <v/>
      </c>
      <c r="J4256">
        <f>SUMPRODUCT(Calc!$K$3:$K$22*(Calc!$G$3:$G$22&gt;B4256)*(Calc!$G$3:$G$22-B4256)^2)</f>
        <v/>
      </c>
      <c r="K4256">
        <f>SUMPRODUCT(Calc!$K$3:$K$22*(Calc!$G$3:$G$22&gt;A4256)*(Calc!$G$3:$G$22-A4256)*(Calc!$G$3:$G$22&gt;B4256)*(Calc!$G$3:$G$22-B4256))</f>
        <v/>
      </c>
      <c r="L4256">
        <f>SUMPRODUCT(Calc!$K$3:$K$22*(Calc!$G$3:$G$22&gt;A4256)*(Calc!$G$3:$G$22-A4256)*Calc!$G$3:$G$22)</f>
        <v/>
      </c>
      <c r="M4256">
        <f>SUMPRODUCT(Calc!$K$3:$K$22*(Calc!$G$3:$G$22&gt;B4256)*(Calc!$G$3:$G$22-B4256)*Calc!$G$3:$G$22)</f>
        <v/>
      </c>
      <c r="N4256">
        <f>SUMPRODUCT(Calc!$K$3:$K$22*(Calc!$G$3:$G$22&gt;A4256)*(Calc!$G$3:$G$22-A4256)*Calc!$I$3:$I$22)</f>
        <v/>
      </c>
      <c r="O4256">
        <f>SUMPRODUCT(Calc!$K$3:$K$22*(Calc!$G$3:$G$22&gt;B4256)*(Calc!$G$3:$G$22-B4256)*Calc!$I$3:$I$22)</f>
        <v/>
      </c>
      <c r="P4256">
        <f>I4256-G4256^2/k_n</f>
        <v/>
      </c>
      <c r="Q4256">
        <f>J4256-H4256^2/k_n</f>
        <v/>
      </c>
      <c r="R4256">
        <f>K4256-G4256*H4256/k_n</f>
        <v/>
      </c>
      <c r="S4256">
        <f>L4256-LTP3!$D$3*G4256/k_n</f>
        <v/>
      </c>
      <c r="T4256">
        <f>M4256-LTP3!$D$3*H4256/k_n</f>
        <v/>
      </c>
      <c r="U4256">
        <f>N4256-G4256*LTP3!$D$4/k_n</f>
        <v/>
      </c>
      <c r="V4256">
        <f>O4256-H4256*LTP3!$D$4/k_n</f>
        <v/>
      </c>
      <c r="W4256">
        <f>((LTP3!$D$5)*((P4256)*(Q4256)-(R4256)*(R4256))-(S4256)*((S4256)*(Q4256)-(R4256)*(T4256))+(T4256)*((S4256)*(R4256)-(P4256)*(T4256)))</f>
        <v/>
      </c>
      <c r="X4256">
        <f>IF(ABS(W4256)&gt;1E-12,((LTP3!$D$6)*((P4256)*(Q4256)-(R4256)*(R4256))-(S4256)*((U4256)*(Q4256)-(R4256)*(V4256))+(T4256)*((U4256)*(R4256)-(P4256)*(V4256)))/W4256,0)</f>
        <v/>
      </c>
      <c r="Y4256">
        <f>IF(ABS(W4256)&gt;1E-12,((LTP3!$D$5)*((U4256)*(Q4256)-(R4256)*(V4256))-(LTP3!$D$6)*((S4256)*(Q4256)-(R4256)*(T4256))+(T4256)*((S4256)*(V4256)-(U4256)*(T4256)))/W4256,0)</f>
        <v/>
      </c>
      <c r="Z4256">
        <f>IF(ABS(W4256)&gt;1E-12,((LTP3!$D$5)*((P4256)*(V4256)-(U4256)*(R4256))-(S4256)*((S4256)*(V4256)-(U4256)*(T4256))+(LTP3!$D$6)*((S4256)*(R4256)-(P4256)*(T4256)))/W4256,0)</f>
        <v/>
      </c>
      <c r="AA4256">
        <f>LTP3!$D$7-X4256*LTP3!$D$6-Y4256*U4256-Z4256*V4256</f>
        <v/>
      </c>
      <c r="AB4256">
        <f>IF(AND(F4256,ABS(W4256)&gt;1E-12,Y4256&gt;0,Z4256&gt;0),AA4256,1E+300)</f>
        <v/>
      </c>
    </row>
    <row r="4257">
      <c r="A4257">
        <f>$I$4-$B$5/10+$B$5*3/100</f>
        <v/>
      </c>
      <c r="B4257">
        <f>$J$4-$B$5/10+$B$5*14/100</f>
        <v/>
      </c>
      <c r="C4257">
        <f>SUMPRODUCT(Calc!$K$3:$K$22*(Calc!$G$3:$G$22&lt;=A4257))</f>
        <v/>
      </c>
      <c r="D4257">
        <f>SUMPRODUCT(Calc!$K$3:$K$22*(Calc!$G$3:$G$22&gt;A4257)*(Calc!$G$3:$G$22&lt;B4257))</f>
        <v/>
      </c>
      <c r="E4257">
        <f>SUMPRODUCT(Calc!$K$3:$K$22*(Calc!$G$3:$G$22&gt;=B4257))</f>
        <v/>
      </c>
      <c r="F4257">
        <f>AND(k_n&gt;=5,B4257&gt;A4257+1E-9,C4257&gt;=2,D4257&gt;=1,E4257&gt;=2)</f>
        <v/>
      </c>
      <c r="G4257">
        <f>SUMPRODUCT(Calc!$K$3:$K$22*(Calc!$G$3:$G$22&gt;A4257)*(Calc!$G$3:$G$22-A4257))</f>
        <v/>
      </c>
      <c r="H4257">
        <f>SUMPRODUCT(Calc!$K$3:$K$22*(Calc!$G$3:$G$22&gt;B4257)*(Calc!$G$3:$G$22-B4257))</f>
        <v/>
      </c>
      <c r="I4257">
        <f>SUMPRODUCT(Calc!$K$3:$K$22*(Calc!$G$3:$G$22&gt;A4257)*(Calc!$G$3:$G$22-A4257)^2)</f>
        <v/>
      </c>
      <c r="J4257">
        <f>SUMPRODUCT(Calc!$K$3:$K$22*(Calc!$G$3:$G$22&gt;B4257)*(Calc!$G$3:$G$22-B4257)^2)</f>
        <v/>
      </c>
      <c r="K4257">
        <f>SUMPRODUCT(Calc!$K$3:$K$22*(Calc!$G$3:$G$22&gt;A4257)*(Calc!$G$3:$G$22-A4257)*(Calc!$G$3:$G$22&gt;B4257)*(Calc!$G$3:$G$22-B4257))</f>
        <v/>
      </c>
      <c r="L4257">
        <f>SUMPRODUCT(Calc!$K$3:$K$22*(Calc!$G$3:$G$22&gt;A4257)*(Calc!$G$3:$G$22-A4257)*Calc!$G$3:$G$22)</f>
        <v/>
      </c>
      <c r="M4257">
        <f>SUMPRODUCT(Calc!$K$3:$K$22*(Calc!$G$3:$G$22&gt;B4257)*(Calc!$G$3:$G$22-B4257)*Calc!$G$3:$G$22)</f>
        <v/>
      </c>
      <c r="N4257">
        <f>SUMPRODUCT(Calc!$K$3:$K$22*(Calc!$G$3:$G$22&gt;A4257)*(Calc!$G$3:$G$22-A4257)*Calc!$I$3:$I$22)</f>
        <v/>
      </c>
      <c r="O4257">
        <f>SUMPRODUCT(Calc!$K$3:$K$22*(Calc!$G$3:$G$22&gt;B4257)*(Calc!$G$3:$G$22-B4257)*Calc!$I$3:$I$22)</f>
        <v/>
      </c>
      <c r="P4257">
        <f>I4257-G4257^2/k_n</f>
        <v/>
      </c>
      <c r="Q4257">
        <f>J4257-H4257^2/k_n</f>
        <v/>
      </c>
      <c r="R4257">
        <f>K4257-G4257*H4257/k_n</f>
        <v/>
      </c>
      <c r="S4257">
        <f>L4257-LTP3!$D$3*G4257/k_n</f>
        <v/>
      </c>
      <c r="T4257">
        <f>M4257-LTP3!$D$3*H4257/k_n</f>
        <v/>
      </c>
      <c r="U4257">
        <f>N4257-G4257*LTP3!$D$4/k_n</f>
        <v/>
      </c>
      <c r="V4257">
        <f>O4257-H4257*LTP3!$D$4/k_n</f>
        <v/>
      </c>
      <c r="W4257">
        <f>((LTP3!$D$5)*((P4257)*(Q4257)-(R4257)*(R4257))-(S4257)*((S4257)*(Q4257)-(R4257)*(T4257))+(T4257)*((S4257)*(R4257)-(P4257)*(T4257)))</f>
        <v/>
      </c>
      <c r="X4257">
        <f>IF(ABS(W4257)&gt;1E-12,((LTP3!$D$6)*((P4257)*(Q4257)-(R4257)*(R4257))-(S4257)*((U4257)*(Q4257)-(R4257)*(V4257))+(T4257)*((U4257)*(R4257)-(P4257)*(V4257)))/W4257,0)</f>
        <v/>
      </c>
      <c r="Y4257">
        <f>IF(ABS(W4257)&gt;1E-12,((LTP3!$D$5)*((U4257)*(Q4257)-(R4257)*(V4257))-(LTP3!$D$6)*((S4257)*(Q4257)-(R4257)*(T4257))+(T4257)*((S4257)*(V4257)-(U4257)*(T4257)))/W4257,0)</f>
        <v/>
      </c>
      <c r="Z4257">
        <f>IF(ABS(W4257)&gt;1E-12,((LTP3!$D$5)*((P4257)*(V4257)-(U4257)*(R4257))-(S4257)*((S4257)*(V4257)-(U4257)*(T4257))+(LTP3!$D$6)*((S4257)*(R4257)-(P4257)*(T4257)))/W4257,0)</f>
        <v/>
      </c>
      <c r="AA4257">
        <f>LTP3!$D$7-X4257*LTP3!$D$6-Y4257*U4257-Z4257*V4257</f>
        <v/>
      </c>
      <c r="AB4257">
        <f>IF(AND(F4257,ABS(W4257)&gt;1E-12,Y4257&gt;0,Z4257&gt;0),AA4257,1E+300)</f>
        <v/>
      </c>
    </row>
    <row r="4258">
      <c r="A4258">
        <f>$I$4-$B$5/10+$B$5*3/100</f>
        <v/>
      </c>
      <c r="B4258">
        <f>$J$4-$B$5/10+$B$5*15/100</f>
        <v/>
      </c>
      <c r="C4258">
        <f>SUMPRODUCT(Calc!$K$3:$K$22*(Calc!$G$3:$G$22&lt;=A4258))</f>
        <v/>
      </c>
      <c r="D4258">
        <f>SUMPRODUCT(Calc!$K$3:$K$22*(Calc!$G$3:$G$22&gt;A4258)*(Calc!$G$3:$G$22&lt;B4258))</f>
        <v/>
      </c>
      <c r="E4258">
        <f>SUMPRODUCT(Calc!$K$3:$K$22*(Calc!$G$3:$G$22&gt;=B4258))</f>
        <v/>
      </c>
      <c r="F4258">
        <f>AND(k_n&gt;=5,B4258&gt;A4258+1E-9,C4258&gt;=2,D4258&gt;=1,E4258&gt;=2)</f>
        <v/>
      </c>
      <c r="G4258">
        <f>SUMPRODUCT(Calc!$K$3:$K$22*(Calc!$G$3:$G$22&gt;A4258)*(Calc!$G$3:$G$22-A4258))</f>
        <v/>
      </c>
      <c r="H4258">
        <f>SUMPRODUCT(Calc!$K$3:$K$22*(Calc!$G$3:$G$22&gt;B4258)*(Calc!$G$3:$G$22-B4258))</f>
        <v/>
      </c>
      <c r="I4258">
        <f>SUMPRODUCT(Calc!$K$3:$K$22*(Calc!$G$3:$G$22&gt;A4258)*(Calc!$G$3:$G$22-A4258)^2)</f>
        <v/>
      </c>
      <c r="J4258">
        <f>SUMPRODUCT(Calc!$K$3:$K$22*(Calc!$G$3:$G$22&gt;B4258)*(Calc!$G$3:$G$22-B4258)^2)</f>
        <v/>
      </c>
      <c r="K4258">
        <f>SUMPRODUCT(Calc!$K$3:$K$22*(Calc!$G$3:$G$22&gt;A4258)*(Calc!$G$3:$G$22-A4258)*(Calc!$G$3:$G$22&gt;B4258)*(Calc!$G$3:$G$22-B4258))</f>
        <v/>
      </c>
      <c r="L4258">
        <f>SUMPRODUCT(Calc!$K$3:$K$22*(Calc!$G$3:$G$22&gt;A4258)*(Calc!$G$3:$G$22-A4258)*Calc!$G$3:$G$22)</f>
        <v/>
      </c>
      <c r="M4258">
        <f>SUMPRODUCT(Calc!$K$3:$K$22*(Calc!$G$3:$G$22&gt;B4258)*(Calc!$G$3:$G$22-B4258)*Calc!$G$3:$G$22)</f>
        <v/>
      </c>
      <c r="N4258">
        <f>SUMPRODUCT(Calc!$K$3:$K$22*(Calc!$G$3:$G$22&gt;A4258)*(Calc!$G$3:$G$22-A4258)*Calc!$I$3:$I$22)</f>
        <v/>
      </c>
      <c r="O4258">
        <f>SUMPRODUCT(Calc!$K$3:$K$22*(Calc!$G$3:$G$22&gt;B4258)*(Calc!$G$3:$G$22-B4258)*Calc!$I$3:$I$22)</f>
        <v/>
      </c>
      <c r="P4258">
        <f>I4258-G4258^2/k_n</f>
        <v/>
      </c>
      <c r="Q4258">
        <f>J4258-H4258^2/k_n</f>
        <v/>
      </c>
      <c r="R4258">
        <f>K4258-G4258*H4258/k_n</f>
        <v/>
      </c>
      <c r="S4258">
        <f>L4258-LTP3!$D$3*G4258/k_n</f>
        <v/>
      </c>
      <c r="T4258">
        <f>M4258-LTP3!$D$3*H4258/k_n</f>
        <v/>
      </c>
      <c r="U4258">
        <f>N4258-G4258*LTP3!$D$4/k_n</f>
        <v/>
      </c>
      <c r="V4258">
        <f>O4258-H4258*LTP3!$D$4/k_n</f>
        <v/>
      </c>
      <c r="W4258">
        <f>((LTP3!$D$5)*((P4258)*(Q4258)-(R4258)*(R4258))-(S4258)*((S4258)*(Q4258)-(R4258)*(T4258))+(T4258)*((S4258)*(R4258)-(P4258)*(T4258)))</f>
        <v/>
      </c>
      <c r="X4258">
        <f>IF(ABS(W4258)&gt;1E-12,((LTP3!$D$6)*((P4258)*(Q4258)-(R4258)*(R4258))-(S4258)*((U4258)*(Q4258)-(R4258)*(V4258))+(T4258)*((U4258)*(R4258)-(P4258)*(V4258)))/W4258,0)</f>
        <v/>
      </c>
      <c r="Y4258">
        <f>IF(ABS(W4258)&gt;1E-12,((LTP3!$D$5)*((U4258)*(Q4258)-(R4258)*(V4258))-(LTP3!$D$6)*((S4258)*(Q4258)-(R4258)*(T4258))+(T4258)*((S4258)*(V4258)-(U4258)*(T4258)))/W4258,0)</f>
        <v/>
      </c>
      <c r="Z4258">
        <f>IF(ABS(W4258)&gt;1E-12,((LTP3!$D$5)*((P4258)*(V4258)-(U4258)*(R4258))-(S4258)*((S4258)*(V4258)-(U4258)*(T4258))+(LTP3!$D$6)*((S4258)*(R4258)-(P4258)*(T4258)))/W4258,0)</f>
        <v/>
      </c>
      <c r="AA4258">
        <f>LTP3!$D$7-X4258*LTP3!$D$6-Y4258*U4258-Z4258*V4258</f>
        <v/>
      </c>
      <c r="AB4258">
        <f>IF(AND(F4258,ABS(W4258)&gt;1E-12,Y4258&gt;0,Z4258&gt;0),AA4258,1E+300)</f>
        <v/>
      </c>
    </row>
    <row r="4259">
      <c r="A4259">
        <f>$I$4-$B$5/10+$B$5*3/100</f>
        <v/>
      </c>
      <c r="B4259">
        <f>$J$4-$B$5/10+$B$5*16/100</f>
        <v/>
      </c>
      <c r="C4259">
        <f>SUMPRODUCT(Calc!$K$3:$K$22*(Calc!$G$3:$G$22&lt;=A4259))</f>
        <v/>
      </c>
      <c r="D4259">
        <f>SUMPRODUCT(Calc!$K$3:$K$22*(Calc!$G$3:$G$22&gt;A4259)*(Calc!$G$3:$G$22&lt;B4259))</f>
        <v/>
      </c>
      <c r="E4259">
        <f>SUMPRODUCT(Calc!$K$3:$K$22*(Calc!$G$3:$G$22&gt;=B4259))</f>
        <v/>
      </c>
      <c r="F4259">
        <f>AND(k_n&gt;=5,B4259&gt;A4259+1E-9,C4259&gt;=2,D4259&gt;=1,E4259&gt;=2)</f>
        <v/>
      </c>
      <c r="G4259">
        <f>SUMPRODUCT(Calc!$K$3:$K$22*(Calc!$G$3:$G$22&gt;A4259)*(Calc!$G$3:$G$22-A4259))</f>
        <v/>
      </c>
      <c r="H4259">
        <f>SUMPRODUCT(Calc!$K$3:$K$22*(Calc!$G$3:$G$22&gt;B4259)*(Calc!$G$3:$G$22-B4259))</f>
        <v/>
      </c>
      <c r="I4259">
        <f>SUMPRODUCT(Calc!$K$3:$K$22*(Calc!$G$3:$G$22&gt;A4259)*(Calc!$G$3:$G$22-A4259)^2)</f>
        <v/>
      </c>
      <c r="J4259">
        <f>SUMPRODUCT(Calc!$K$3:$K$22*(Calc!$G$3:$G$22&gt;B4259)*(Calc!$G$3:$G$22-B4259)^2)</f>
        <v/>
      </c>
      <c r="K4259">
        <f>SUMPRODUCT(Calc!$K$3:$K$22*(Calc!$G$3:$G$22&gt;A4259)*(Calc!$G$3:$G$22-A4259)*(Calc!$G$3:$G$22&gt;B4259)*(Calc!$G$3:$G$22-B4259))</f>
        <v/>
      </c>
      <c r="L4259">
        <f>SUMPRODUCT(Calc!$K$3:$K$22*(Calc!$G$3:$G$22&gt;A4259)*(Calc!$G$3:$G$22-A4259)*Calc!$G$3:$G$22)</f>
        <v/>
      </c>
      <c r="M4259">
        <f>SUMPRODUCT(Calc!$K$3:$K$22*(Calc!$G$3:$G$22&gt;B4259)*(Calc!$G$3:$G$22-B4259)*Calc!$G$3:$G$22)</f>
        <v/>
      </c>
      <c r="N4259">
        <f>SUMPRODUCT(Calc!$K$3:$K$22*(Calc!$G$3:$G$22&gt;A4259)*(Calc!$G$3:$G$22-A4259)*Calc!$I$3:$I$22)</f>
        <v/>
      </c>
      <c r="O4259">
        <f>SUMPRODUCT(Calc!$K$3:$K$22*(Calc!$G$3:$G$22&gt;B4259)*(Calc!$G$3:$G$22-B4259)*Calc!$I$3:$I$22)</f>
        <v/>
      </c>
      <c r="P4259">
        <f>I4259-G4259^2/k_n</f>
        <v/>
      </c>
      <c r="Q4259">
        <f>J4259-H4259^2/k_n</f>
        <v/>
      </c>
      <c r="R4259">
        <f>K4259-G4259*H4259/k_n</f>
        <v/>
      </c>
      <c r="S4259">
        <f>L4259-LTP3!$D$3*G4259/k_n</f>
        <v/>
      </c>
      <c r="T4259">
        <f>M4259-LTP3!$D$3*H4259/k_n</f>
        <v/>
      </c>
      <c r="U4259">
        <f>N4259-G4259*LTP3!$D$4/k_n</f>
        <v/>
      </c>
      <c r="V4259">
        <f>O4259-H4259*LTP3!$D$4/k_n</f>
        <v/>
      </c>
      <c r="W4259">
        <f>((LTP3!$D$5)*((P4259)*(Q4259)-(R4259)*(R4259))-(S4259)*((S4259)*(Q4259)-(R4259)*(T4259))+(T4259)*((S4259)*(R4259)-(P4259)*(T4259)))</f>
        <v/>
      </c>
      <c r="X4259">
        <f>IF(ABS(W4259)&gt;1E-12,((LTP3!$D$6)*((P4259)*(Q4259)-(R4259)*(R4259))-(S4259)*((U4259)*(Q4259)-(R4259)*(V4259))+(T4259)*((U4259)*(R4259)-(P4259)*(V4259)))/W4259,0)</f>
        <v/>
      </c>
      <c r="Y4259">
        <f>IF(ABS(W4259)&gt;1E-12,((LTP3!$D$5)*((U4259)*(Q4259)-(R4259)*(V4259))-(LTP3!$D$6)*((S4259)*(Q4259)-(R4259)*(T4259))+(T4259)*((S4259)*(V4259)-(U4259)*(T4259)))/W4259,0)</f>
        <v/>
      </c>
      <c r="Z4259">
        <f>IF(ABS(W4259)&gt;1E-12,((LTP3!$D$5)*((P4259)*(V4259)-(U4259)*(R4259))-(S4259)*((S4259)*(V4259)-(U4259)*(T4259))+(LTP3!$D$6)*((S4259)*(R4259)-(P4259)*(T4259)))/W4259,0)</f>
        <v/>
      </c>
      <c r="AA4259">
        <f>LTP3!$D$7-X4259*LTP3!$D$6-Y4259*U4259-Z4259*V4259</f>
        <v/>
      </c>
      <c r="AB4259">
        <f>IF(AND(F4259,ABS(W4259)&gt;1E-12,Y4259&gt;0,Z4259&gt;0),AA4259,1E+300)</f>
        <v/>
      </c>
    </row>
    <row r="4260">
      <c r="A4260">
        <f>$I$4-$B$5/10+$B$5*3/100</f>
        <v/>
      </c>
      <c r="B4260">
        <f>$J$4-$B$5/10+$B$5*17/100</f>
        <v/>
      </c>
      <c r="C4260">
        <f>SUMPRODUCT(Calc!$K$3:$K$22*(Calc!$G$3:$G$22&lt;=A4260))</f>
        <v/>
      </c>
      <c r="D4260">
        <f>SUMPRODUCT(Calc!$K$3:$K$22*(Calc!$G$3:$G$22&gt;A4260)*(Calc!$G$3:$G$22&lt;B4260))</f>
        <v/>
      </c>
      <c r="E4260">
        <f>SUMPRODUCT(Calc!$K$3:$K$22*(Calc!$G$3:$G$22&gt;=B4260))</f>
        <v/>
      </c>
      <c r="F4260">
        <f>AND(k_n&gt;=5,B4260&gt;A4260+1E-9,C4260&gt;=2,D4260&gt;=1,E4260&gt;=2)</f>
        <v/>
      </c>
      <c r="G4260">
        <f>SUMPRODUCT(Calc!$K$3:$K$22*(Calc!$G$3:$G$22&gt;A4260)*(Calc!$G$3:$G$22-A4260))</f>
        <v/>
      </c>
      <c r="H4260">
        <f>SUMPRODUCT(Calc!$K$3:$K$22*(Calc!$G$3:$G$22&gt;B4260)*(Calc!$G$3:$G$22-B4260))</f>
        <v/>
      </c>
      <c r="I4260">
        <f>SUMPRODUCT(Calc!$K$3:$K$22*(Calc!$G$3:$G$22&gt;A4260)*(Calc!$G$3:$G$22-A4260)^2)</f>
        <v/>
      </c>
      <c r="J4260">
        <f>SUMPRODUCT(Calc!$K$3:$K$22*(Calc!$G$3:$G$22&gt;B4260)*(Calc!$G$3:$G$22-B4260)^2)</f>
        <v/>
      </c>
      <c r="K4260">
        <f>SUMPRODUCT(Calc!$K$3:$K$22*(Calc!$G$3:$G$22&gt;A4260)*(Calc!$G$3:$G$22-A4260)*(Calc!$G$3:$G$22&gt;B4260)*(Calc!$G$3:$G$22-B4260))</f>
        <v/>
      </c>
      <c r="L4260">
        <f>SUMPRODUCT(Calc!$K$3:$K$22*(Calc!$G$3:$G$22&gt;A4260)*(Calc!$G$3:$G$22-A4260)*Calc!$G$3:$G$22)</f>
        <v/>
      </c>
      <c r="M4260">
        <f>SUMPRODUCT(Calc!$K$3:$K$22*(Calc!$G$3:$G$22&gt;B4260)*(Calc!$G$3:$G$22-B4260)*Calc!$G$3:$G$22)</f>
        <v/>
      </c>
      <c r="N4260">
        <f>SUMPRODUCT(Calc!$K$3:$K$22*(Calc!$G$3:$G$22&gt;A4260)*(Calc!$G$3:$G$22-A4260)*Calc!$I$3:$I$22)</f>
        <v/>
      </c>
      <c r="O4260">
        <f>SUMPRODUCT(Calc!$K$3:$K$22*(Calc!$G$3:$G$22&gt;B4260)*(Calc!$G$3:$G$22-B4260)*Calc!$I$3:$I$22)</f>
        <v/>
      </c>
      <c r="P4260">
        <f>I4260-G4260^2/k_n</f>
        <v/>
      </c>
      <c r="Q4260">
        <f>J4260-H4260^2/k_n</f>
        <v/>
      </c>
      <c r="R4260">
        <f>K4260-G4260*H4260/k_n</f>
        <v/>
      </c>
      <c r="S4260">
        <f>L4260-LTP3!$D$3*G4260/k_n</f>
        <v/>
      </c>
      <c r="T4260">
        <f>M4260-LTP3!$D$3*H4260/k_n</f>
        <v/>
      </c>
      <c r="U4260">
        <f>N4260-G4260*LTP3!$D$4/k_n</f>
        <v/>
      </c>
      <c r="V4260">
        <f>O4260-H4260*LTP3!$D$4/k_n</f>
        <v/>
      </c>
      <c r="W4260">
        <f>((LTP3!$D$5)*((P4260)*(Q4260)-(R4260)*(R4260))-(S4260)*((S4260)*(Q4260)-(R4260)*(T4260))+(T4260)*((S4260)*(R4260)-(P4260)*(T4260)))</f>
        <v/>
      </c>
      <c r="X4260">
        <f>IF(ABS(W4260)&gt;1E-12,((LTP3!$D$6)*((P4260)*(Q4260)-(R4260)*(R4260))-(S4260)*((U4260)*(Q4260)-(R4260)*(V4260))+(T4260)*((U4260)*(R4260)-(P4260)*(V4260)))/W4260,0)</f>
        <v/>
      </c>
      <c r="Y4260">
        <f>IF(ABS(W4260)&gt;1E-12,((LTP3!$D$5)*((U4260)*(Q4260)-(R4260)*(V4260))-(LTP3!$D$6)*((S4260)*(Q4260)-(R4260)*(T4260))+(T4260)*((S4260)*(V4260)-(U4260)*(T4260)))/W4260,0)</f>
        <v/>
      </c>
      <c r="Z4260">
        <f>IF(ABS(W4260)&gt;1E-12,((LTP3!$D$5)*((P4260)*(V4260)-(U4260)*(R4260))-(S4260)*((S4260)*(V4260)-(U4260)*(T4260))+(LTP3!$D$6)*((S4260)*(R4260)-(P4260)*(T4260)))/W4260,0)</f>
        <v/>
      </c>
      <c r="AA4260">
        <f>LTP3!$D$7-X4260*LTP3!$D$6-Y4260*U4260-Z4260*V4260</f>
        <v/>
      </c>
      <c r="AB4260">
        <f>IF(AND(F4260,ABS(W4260)&gt;1E-12,Y4260&gt;0,Z4260&gt;0),AA4260,1E+300)</f>
        <v/>
      </c>
    </row>
    <row r="4261">
      <c r="A4261">
        <f>$I$4-$B$5/10+$B$5*3/100</f>
        <v/>
      </c>
      <c r="B4261">
        <f>$J$4-$B$5/10+$B$5*18/100</f>
        <v/>
      </c>
      <c r="C4261">
        <f>SUMPRODUCT(Calc!$K$3:$K$22*(Calc!$G$3:$G$22&lt;=A4261))</f>
        <v/>
      </c>
      <c r="D4261">
        <f>SUMPRODUCT(Calc!$K$3:$K$22*(Calc!$G$3:$G$22&gt;A4261)*(Calc!$G$3:$G$22&lt;B4261))</f>
        <v/>
      </c>
      <c r="E4261">
        <f>SUMPRODUCT(Calc!$K$3:$K$22*(Calc!$G$3:$G$22&gt;=B4261))</f>
        <v/>
      </c>
      <c r="F4261">
        <f>AND(k_n&gt;=5,B4261&gt;A4261+1E-9,C4261&gt;=2,D4261&gt;=1,E4261&gt;=2)</f>
        <v/>
      </c>
      <c r="G4261">
        <f>SUMPRODUCT(Calc!$K$3:$K$22*(Calc!$G$3:$G$22&gt;A4261)*(Calc!$G$3:$G$22-A4261))</f>
        <v/>
      </c>
      <c r="H4261">
        <f>SUMPRODUCT(Calc!$K$3:$K$22*(Calc!$G$3:$G$22&gt;B4261)*(Calc!$G$3:$G$22-B4261))</f>
        <v/>
      </c>
      <c r="I4261">
        <f>SUMPRODUCT(Calc!$K$3:$K$22*(Calc!$G$3:$G$22&gt;A4261)*(Calc!$G$3:$G$22-A4261)^2)</f>
        <v/>
      </c>
      <c r="J4261">
        <f>SUMPRODUCT(Calc!$K$3:$K$22*(Calc!$G$3:$G$22&gt;B4261)*(Calc!$G$3:$G$22-B4261)^2)</f>
        <v/>
      </c>
      <c r="K4261">
        <f>SUMPRODUCT(Calc!$K$3:$K$22*(Calc!$G$3:$G$22&gt;A4261)*(Calc!$G$3:$G$22-A4261)*(Calc!$G$3:$G$22&gt;B4261)*(Calc!$G$3:$G$22-B4261))</f>
        <v/>
      </c>
      <c r="L4261">
        <f>SUMPRODUCT(Calc!$K$3:$K$22*(Calc!$G$3:$G$22&gt;A4261)*(Calc!$G$3:$G$22-A4261)*Calc!$G$3:$G$22)</f>
        <v/>
      </c>
      <c r="M4261">
        <f>SUMPRODUCT(Calc!$K$3:$K$22*(Calc!$G$3:$G$22&gt;B4261)*(Calc!$G$3:$G$22-B4261)*Calc!$G$3:$G$22)</f>
        <v/>
      </c>
      <c r="N4261">
        <f>SUMPRODUCT(Calc!$K$3:$K$22*(Calc!$G$3:$G$22&gt;A4261)*(Calc!$G$3:$G$22-A4261)*Calc!$I$3:$I$22)</f>
        <v/>
      </c>
      <c r="O4261">
        <f>SUMPRODUCT(Calc!$K$3:$K$22*(Calc!$G$3:$G$22&gt;B4261)*(Calc!$G$3:$G$22-B4261)*Calc!$I$3:$I$22)</f>
        <v/>
      </c>
      <c r="P4261">
        <f>I4261-G4261^2/k_n</f>
        <v/>
      </c>
      <c r="Q4261">
        <f>J4261-H4261^2/k_n</f>
        <v/>
      </c>
      <c r="R4261">
        <f>K4261-G4261*H4261/k_n</f>
        <v/>
      </c>
      <c r="S4261">
        <f>L4261-LTP3!$D$3*G4261/k_n</f>
        <v/>
      </c>
      <c r="T4261">
        <f>M4261-LTP3!$D$3*H4261/k_n</f>
        <v/>
      </c>
      <c r="U4261">
        <f>N4261-G4261*LTP3!$D$4/k_n</f>
        <v/>
      </c>
      <c r="V4261">
        <f>O4261-H4261*LTP3!$D$4/k_n</f>
        <v/>
      </c>
      <c r="W4261">
        <f>((LTP3!$D$5)*((P4261)*(Q4261)-(R4261)*(R4261))-(S4261)*((S4261)*(Q4261)-(R4261)*(T4261))+(T4261)*((S4261)*(R4261)-(P4261)*(T4261)))</f>
        <v/>
      </c>
      <c r="X4261">
        <f>IF(ABS(W4261)&gt;1E-12,((LTP3!$D$6)*((P4261)*(Q4261)-(R4261)*(R4261))-(S4261)*((U4261)*(Q4261)-(R4261)*(V4261))+(T4261)*((U4261)*(R4261)-(P4261)*(V4261)))/W4261,0)</f>
        <v/>
      </c>
      <c r="Y4261">
        <f>IF(ABS(W4261)&gt;1E-12,((LTP3!$D$5)*((U4261)*(Q4261)-(R4261)*(V4261))-(LTP3!$D$6)*((S4261)*(Q4261)-(R4261)*(T4261))+(T4261)*((S4261)*(V4261)-(U4261)*(T4261)))/W4261,0)</f>
        <v/>
      </c>
      <c r="Z4261">
        <f>IF(ABS(W4261)&gt;1E-12,((LTP3!$D$5)*((P4261)*(V4261)-(U4261)*(R4261))-(S4261)*((S4261)*(V4261)-(U4261)*(T4261))+(LTP3!$D$6)*((S4261)*(R4261)-(P4261)*(T4261)))/W4261,0)</f>
        <v/>
      </c>
      <c r="AA4261">
        <f>LTP3!$D$7-X4261*LTP3!$D$6-Y4261*U4261-Z4261*V4261</f>
        <v/>
      </c>
      <c r="AB4261">
        <f>IF(AND(F4261,ABS(W4261)&gt;1E-12,Y4261&gt;0,Z4261&gt;0),AA4261,1E+300)</f>
        <v/>
      </c>
    </row>
    <row r="4262">
      <c r="A4262">
        <f>$I$4-$B$5/10+$B$5*3/100</f>
        <v/>
      </c>
      <c r="B4262">
        <f>$J$4-$B$5/10+$B$5*19/100</f>
        <v/>
      </c>
      <c r="C4262">
        <f>SUMPRODUCT(Calc!$K$3:$K$22*(Calc!$G$3:$G$22&lt;=A4262))</f>
        <v/>
      </c>
      <c r="D4262">
        <f>SUMPRODUCT(Calc!$K$3:$K$22*(Calc!$G$3:$G$22&gt;A4262)*(Calc!$G$3:$G$22&lt;B4262))</f>
        <v/>
      </c>
      <c r="E4262">
        <f>SUMPRODUCT(Calc!$K$3:$K$22*(Calc!$G$3:$G$22&gt;=B4262))</f>
        <v/>
      </c>
      <c r="F4262">
        <f>AND(k_n&gt;=5,B4262&gt;A4262+1E-9,C4262&gt;=2,D4262&gt;=1,E4262&gt;=2)</f>
        <v/>
      </c>
      <c r="G4262">
        <f>SUMPRODUCT(Calc!$K$3:$K$22*(Calc!$G$3:$G$22&gt;A4262)*(Calc!$G$3:$G$22-A4262))</f>
        <v/>
      </c>
      <c r="H4262">
        <f>SUMPRODUCT(Calc!$K$3:$K$22*(Calc!$G$3:$G$22&gt;B4262)*(Calc!$G$3:$G$22-B4262))</f>
        <v/>
      </c>
      <c r="I4262">
        <f>SUMPRODUCT(Calc!$K$3:$K$22*(Calc!$G$3:$G$22&gt;A4262)*(Calc!$G$3:$G$22-A4262)^2)</f>
        <v/>
      </c>
      <c r="J4262">
        <f>SUMPRODUCT(Calc!$K$3:$K$22*(Calc!$G$3:$G$22&gt;B4262)*(Calc!$G$3:$G$22-B4262)^2)</f>
        <v/>
      </c>
      <c r="K4262">
        <f>SUMPRODUCT(Calc!$K$3:$K$22*(Calc!$G$3:$G$22&gt;A4262)*(Calc!$G$3:$G$22-A4262)*(Calc!$G$3:$G$22&gt;B4262)*(Calc!$G$3:$G$22-B4262))</f>
        <v/>
      </c>
      <c r="L4262">
        <f>SUMPRODUCT(Calc!$K$3:$K$22*(Calc!$G$3:$G$22&gt;A4262)*(Calc!$G$3:$G$22-A4262)*Calc!$G$3:$G$22)</f>
        <v/>
      </c>
      <c r="M4262">
        <f>SUMPRODUCT(Calc!$K$3:$K$22*(Calc!$G$3:$G$22&gt;B4262)*(Calc!$G$3:$G$22-B4262)*Calc!$G$3:$G$22)</f>
        <v/>
      </c>
      <c r="N4262">
        <f>SUMPRODUCT(Calc!$K$3:$K$22*(Calc!$G$3:$G$22&gt;A4262)*(Calc!$G$3:$G$22-A4262)*Calc!$I$3:$I$22)</f>
        <v/>
      </c>
      <c r="O4262">
        <f>SUMPRODUCT(Calc!$K$3:$K$22*(Calc!$G$3:$G$22&gt;B4262)*(Calc!$G$3:$G$22-B4262)*Calc!$I$3:$I$22)</f>
        <v/>
      </c>
      <c r="P4262">
        <f>I4262-G4262^2/k_n</f>
        <v/>
      </c>
      <c r="Q4262">
        <f>J4262-H4262^2/k_n</f>
        <v/>
      </c>
      <c r="R4262">
        <f>K4262-G4262*H4262/k_n</f>
        <v/>
      </c>
      <c r="S4262">
        <f>L4262-LTP3!$D$3*G4262/k_n</f>
        <v/>
      </c>
      <c r="T4262">
        <f>M4262-LTP3!$D$3*H4262/k_n</f>
        <v/>
      </c>
      <c r="U4262">
        <f>N4262-G4262*LTP3!$D$4/k_n</f>
        <v/>
      </c>
      <c r="V4262">
        <f>O4262-H4262*LTP3!$D$4/k_n</f>
        <v/>
      </c>
      <c r="W4262">
        <f>((LTP3!$D$5)*((P4262)*(Q4262)-(R4262)*(R4262))-(S4262)*((S4262)*(Q4262)-(R4262)*(T4262))+(T4262)*((S4262)*(R4262)-(P4262)*(T4262)))</f>
        <v/>
      </c>
      <c r="X4262">
        <f>IF(ABS(W4262)&gt;1E-12,((LTP3!$D$6)*((P4262)*(Q4262)-(R4262)*(R4262))-(S4262)*((U4262)*(Q4262)-(R4262)*(V4262))+(T4262)*((U4262)*(R4262)-(P4262)*(V4262)))/W4262,0)</f>
        <v/>
      </c>
      <c r="Y4262">
        <f>IF(ABS(W4262)&gt;1E-12,((LTP3!$D$5)*((U4262)*(Q4262)-(R4262)*(V4262))-(LTP3!$D$6)*((S4262)*(Q4262)-(R4262)*(T4262))+(T4262)*((S4262)*(V4262)-(U4262)*(T4262)))/W4262,0)</f>
        <v/>
      </c>
      <c r="Z4262">
        <f>IF(ABS(W4262)&gt;1E-12,((LTP3!$D$5)*((P4262)*(V4262)-(U4262)*(R4262))-(S4262)*((S4262)*(V4262)-(U4262)*(T4262))+(LTP3!$D$6)*((S4262)*(R4262)-(P4262)*(T4262)))/W4262,0)</f>
        <v/>
      </c>
      <c r="AA4262">
        <f>LTP3!$D$7-X4262*LTP3!$D$6-Y4262*U4262-Z4262*V4262</f>
        <v/>
      </c>
      <c r="AB4262">
        <f>IF(AND(F4262,ABS(W4262)&gt;1E-12,Y4262&gt;0,Z4262&gt;0),AA4262,1E+300)</f>
        <v/>
      </c>
    </row>
    <row r="4263">
      <c r="A4263">
        <f>$I$4-$B$5/10+$B$5*3/100</f>
        <v/>
      </c>
      <c r="B4263">
        <f>$J$4-$B$5/10+$B$5*20/100</f>
        <v/>
      </c>
      <c r="C4263">
        <f>SUMPRODUCT(Calc!$K$3:$K$22*(Calc!$G$3:$G$22&lt;=A4263))</f>
        <v/>
      </c>
      <c r="D4263">
        <f>SUMPRODUCT(Calc!$K$3:$K$22*(Calc!$G$3:$G$22&gt;A4263)*(Calc!$G$3:$G$22&lt;B4263))</f>
        <v/>
      </c>
      <c r="E4263">
        <f>SUMPRODUCT(Calc!$K$3:$K$22*(Calc!$G$3:$G$22&gt;=B4263))</f>
        <v/>
      </c>
      <c r="F4263">
        <f>AND(k_n&gt;=5,B4263&gt;A4263+1E-9,C4263&gt;=2,D4263&gt;=1,E4263&gt;=2)</f>
        <v/>
      </c>
      <c r="G4263">
        <f>SUMPRODUCT(Calc!$K$3:$K$22*(Calc!$G$3:$G$22&gt;A4263)*(Calc!$G$3:$G$22-A4263))</f>
        <v/>
      </c>
      <c r="H4263">
        <f>SUMPRODUCT(Calc!$K$3:$K$22*(Calc!$G$3:$G$22&gt;B4263)*(Calc!$G$3:$G$22-B4263))</f>
        <v/>
      </c>
      <c r="I4263">
        <f>SUMPRODUCT(Calc!$K$3:$K$22*(Calc!$G$3:$G$22&gt;A4263)*(Calc!$G$3:$G$22-A4263)^2)</f>
        <v/>
      </c>
      <c r="J4263">
        <f>SUMPRODUCT(Calc!$K$3:$K$22*(Calc!$G$3:$G$22&gt;B4263)*(Calc!$G$3:$G$22-B4263)^2)</f>
        <v/>
      </c>
      <c r="K4263">
        <f>SUMPRODUCT(Calc!$K$3:$K$22*(Calc!$G$3:$G$22&gt;A4263)*(Calc!$G$3:$G$22-A4263)*(Calc!$G$3:$G$22&gt;B4263)*(Calc!$G$3:$G$22-B4263))</f>
        <v/>
      </c>
      <c r="L4263">
        <f>SUMPRODUCT(Calc!$K$3:$K$22*(Calc!$G$3:$G$22&gt;A4263)*(Calc!$G$3:$G$22-A4263)*Calc!$G$3:$G$22)</f>
        <v/>
      </c>
      <c r="M4263">
        <f>SUMPRODUCT(Calc!$K$3:$K$22*(Calc!$G$3:$G$22&gt;B4263)*(Calc!$G$3:$G$22-B4263)*Calc!$G$3:$G$22)</f>
        <v/>
      </c>
      <c r="N4263">
        <f>SUMPRODUCT(Calc!$K$3:$K$22*(Calc!$G$3:$G$22&gt;A4263)*(Calc!$G$3:$G$22-A4263)*Calc!$I$3:$I$22)</f>
        <v/>
      </c>
      <c r="O4263">
        <f>SUMPRODUCT(Calc!$K$3:$K$22*(Calc!$G$3:$G$22&gt;B4263)*(Calc!$G$3:$G$22-B4263)*Calc!$I$3:$I$22)</f>
        <v/>
      </c>
      <c r="P4263">
        <f>I4263-G4263^2/k_n</f>
        <v/>
      </c>
      <c r="Q4263">
        <f>J4263-H4263^2/k_n</f>
        <v/>
      </c>
      <c r="R4263">
        <f>K4263-G4263*H4263/k_n</f>
        <v/>
      </c>
      <c r="S4263">
        <f>L4263-LTP3!$D$3*G4263/k_n</f>
        <v/>
      </c>
      <c r="T4263">
        <f>M4263-LTP3!$D$3*H4263/k_n</f>
        <v/>
      </c>
      <c r="U4263">
        <f>N4263-G4263*LTP3!$D$4/k_n</f>
        <v/>
      </c>
      <c r="V4263">
        <f>O4263-H4263*LTP3!$D$4/k_n</f>
        <v/>
      </c>
      <c r="W4263">
        <f>((LTP3!$D$5)*((P4263)*(Q4263)-(R4263)*(R4263))-(S4263)*((S4263)*(Q4263)-(R4263)*(T4263))+(T4263)*((S4263)*(R4263)-(P4263)*(T4263)))</f>
        <v/>
      </c>
      <c r="X4263">
        <f>IF(ABS(W4263)&gt;1E-12,((LTP3!$D$6)*((P4263)*(Q4263)-(R4263)*(R4263))-(S4263)*((U4263)*(Q4263)-(R4263)*(V4263))+(T4263)*((U4263)*(R4263)-(P4263)*(V4263)))/W4263,0)</f>
        <v/>
      </c>
      <c r="Y4263">
        <f>IF(ABS(W4263)&gt;1E-12,((LTP3!$D$5)*((U4263)*(Q4263)-(R4263)*(V4263))-(LTP3!$D$6)*((S4263)*(Q4263)-(R4263)*(T4263))+(T4263)*((S4263)*(V4263)-(U4263)*(T4263)))/W4263,0)</f>
        <v/>
      </c>
      <c r="Z4263">
        <f>IF(ABS(W4263)&gt;1E-12,((LTP3!$D$5)*((P4263)*(V4263)-(U4263)*(R4263))-(S4263)*((S4263)*(V4263)-(U4263)*(T4263))+(LTP3!$D$6)*((S4263)*(R4263)-(P4263)*(T4263)))/W4263,0)</f>
        <v/>
      </c>
      <c r="AA4263">
        <f>LTP3!$D$7-X4263*LTP3!$D$6-Y4263*U4263-Z4263*V4263</f>
        <v/>
      </c>
      <c r="AB4263">
        <f>IF(AND(F4263,ABS(W4263)&gt;1E-12,Y4263&gt;0,Z4263&gt;0),AA4263,1E+300)</f>
        <v/>
      </c>
    </row>
    <row r="4264">
      <c r="A4264">
        <f>$I$4-$B$5/10+$B$5*4/100</f>
        <v/>
      </c>
      <c r="B4264">
        <f>$J$4-$B$5/10+$B$5*0/100</f>
        <v/>
      </c>
      <c r="C4264">
        <f>SUMPRODUCT(Calc!$K$3:$K$22*(Calc!$G$3:$G$22&lt;=A4264))</f>
        <v/>
      </c>
      <c r="D4264">
        <f>SUMPRODUCT(Calc!$K$3:$K$22*(Calc!$G$3:$G$22&gt;A4264)*(Calc!$G$3:$G$22&lt;B4264))</f>
        <v/>
      </c>
      <c r="E4264">
        <f>SUMPRODUCT(Calc!$K$3:$K$22*(Calc!$G$3:$G$22&gt;=B4264))</f>
        <v/>
      </c>
      <c r="F4264">
        <f>AND(k_n&gt;=5,B4264&gt;A4264+1E-9,C4264&gt;=2,D4264&gt;=1,E4264&gt;=2)</f>
        <v/>
      </c>
      <c r="G4264">
        <f>SUMPRODUCT(Calc!$K$3:$K$22*(Calc!$G$3:$G$22&gt;A4264)*(Calc!$G$3:$G$22-A4264))</f>
        <v/>
      </c>
      <c r="H4264">
        <f>SUMPRODUCT(Calc!$K$3:$K$22*(Calc!$G$3:$G$22&gt;B4264)*(Calc!$G$3:$G$22-B4264))</f>
        <v/>
      </c>
      <c r="I4264">
        <f>SUMPRODUCT(Calc!$K$3:$K$22*(Calc!$G$3:$G$22&gt;A4264)*(Calc!$G$3:$G$22-A4264)^2)</f>
        <v/>
      </c>
      <c r="J4264">
        <f>SUMPRODUCT(Calc!$K$3:$K$22*(Calc!$G$3:$G$22&gt;B4264)*(Calc!$G$3:$G$22-B4264)^2)</f>
        <v/>
      </c>
      <c r="K4264">
        <f>SUMPRODUCT(Calc!$K$3:$K$22*(Calc!$G$3:$G$22&gt;A4264)*(Calc!$G$3:$G$22-A4264)*(Calc!$G$3:$G$22&gt;B4264)*(Calc!$G$3:$G$22-B4264))</f>
        <v/>
      </c>
      <c r="L4264">
        <f>SUMPRODUCT(Calc!$K$3:$K$22*(Calc!$G$3:$G$22&gt;A4264)*(Calc!$G$3:$G$22-A4264)*Calc!$G$3:$G$22)</f>
        <v/>
      </c>
      <c r="M4264">
        <f>SUMPRODUCT(Calc!$K$3:$K$22*(Calc!$G$3:$G$22&gt;B4264)*(Calc!$G$3:$G$22-B4264)*Calc!$G$3:$G$22)</f>
        <v/>
      </c>
      <c r="N4264">
        <f>SUMPRODUCT(Calc!$K$3:$K$22*(Calc!$G$3:$G$22&gt;A4264)*(Calc!$G$3:$G$22-A4264)*Calc!$I$3:$I$22)</f>
        <v/>
      </c>
      <c r="O4264">
        <f>SUMPRODUCT(Calc!$K$3:$K$22*(Calc!$G$3:$G$22&gt;B4264)*(Calc!$G$3:$G$22-B4264)*Calc!$I$3:$I$22)</f>
        <v/>
      </c>
      <c r="P4264">
        <f>I4264-G4264^2/k_n</f>
        <v/>
      </c>
      <c r="Q4264">
        <f>J4264-H4264^2/k_n</f>
        <v/>
      </c>
      <c r="R4264">
        <f>K4264-G4264*H4264/k_n</f>
        <v/>
      </c>
      <c r="S4264">
        <f>L4264-LTP3!$D$3*G4264/k_n</f>
        <v/>
      </c>
      <c r="T4264">
        <f>M4264-LTP3!$D$3*H4264/k_n</f>
        <v/>
      </c>
      <c r="U4264">
        <f>N4264-G4264*LTP3!$D$4/k_n</f>
        <v/>
      </c>
      <c r="V4264">
        <f>O4264-H4264*LTP3!$D$4/k_n</f>
        <v/>
      </c>
      <c r="W4264">
        <f>((LTP3!$D$5)*((P4264)*(Q4264)-(R4264)*(R4264))-(S4264)*((S4264)*(Q4264)-(R4264)*(T4264))+(T4264)*((S4264)*(R4264)-(P4264)*(T4264)))</f>
        <v/>
      </c>
      <c r="X4264">
        <f>IF(ABS(W4264)&gt;1E-12,((LTP3!$D$6)*((P4264)*(Q4264)-(R4264)*(R4264))-(S4264)*((U4264)*(Q4264)-(R4264)*(V4264))+(T4264)*((U4264)*(R4264)-(P4264)*(V4264)))/W4264,0)</f>
        <v/>
      </c>
      <c r="Y4264">
        <f>IF(ABS(W4264)&gt;1E-12,((LTP3!$D$5)*((U4264)*(Q4264)-(R4264)*(V4264))-(LTP3!$D$6)*((S4264)*(Q4264)-(R4264)*(T4264))+(T4264)*((S4264)*(V4264)-(U4264)*(T4264)))/W4264,0)</f>
        <v/>
      </c>
      <c r="Z4264">
        <f>IF(ABS(W4264)&gt;1E-12,((LTP3!$D$5)*((P4264)*(V4264)-(U4264)*(R4264))-(S4264)*((S4264)*(V4264)-(U4264)*(T4264))+(LTP3!$D$6)*((S4264)*(R4264)-(P4264)*(T4264)))/W4264,0)</f>
        <v/>
      </c>
      <c r="AA4264">
        <f>LTP3!$D$7-X4264*LTP3!$D$6-Y4264*U4264-Z4264*V4264</f>
        <v/>
      </c>
      <c r="AB4264">
        <f>IF(AND(F4264,ABS(W4264)&gt;1E-12,Y4264&gt;0,Z4264&gt;0),AA4264,1E+300)</f>
        <v/>
      </c>
    </row>
    <row r="4265">
      <c r="A4265">
        <f>$I$4-$B$5/10+$B$5*4/100</f>
        <v/>
      </c>
      <c r="B4265">
        <f>$J$4-$B$5/10+$B$5*1/100</f>
        <v/>
      </c>
      <c r="C4265">
        <f>SUMPRODUCT(Calc!$K$3:$K$22*(Calc!$G$3:$G$22&lt;=A4265))</f>
        <v/>
      </c>
      <c r="D4265">
        <f>SUMPRODUCT(Calc!$K$3:$K$22*(Calc!$G$3:$G$22&gt;A4265)*(Calc!$G$3:$G$22&lt;B4265))</f>
        <v/>
      </c>
      <c r="E4265">
        <f>SUMPRODUCT(Calc!$K$3:$K$22*(Calc!$G$3:$G$22&gt;=B4265))</f>
        <v/>
      </c>
      <c r="F4265">
        <f>AND(k_n&gt;=5,B4265&gt;A4265+1E-9,C4265&gt;=2,D4265&gt;=1,E4265&gt;=2)</f>
        <v/>
      </c>
      <c r="G4265">
        <f>SUMPRODUCT(Calc!$K$3:$K$22*(Calc!$G$3:$G$22&gt;A4265)*(Calc!$G$3:$G$22-A4265))</f>
        <v/>
      </c>
      <c r="H4265">
        <f>SUMPRODUCT(Calc!$K$3:$K$22*(Calc!$G$3:$G$22&gt;B4265)*(Calc!$G$3:$G$22-B4265))</f>
        <v/>
      </c>
      <c r="I4265">
        <f>SUMPRODUCT(Calc!$K$3:$K$22*(Calc!$G$3:$G$22&gt;A4265)*(Calc!$G$3:$G$22-A4265)^2)</f>
        <v/>
      </c>
      <c r="J4265">
        <f>SUMPRODUCT(Calc!$K$3:$K$22*(Calc!$G$3:$G$22&gt;B4265)*(Calc!$G$3:$G$22-B4265)^2)</f>
        <v/>
      </c>
      <c r="K4265">
        <f>SUMPRODUCT(Calc!$K$3:$K$22*(Calc!$G$3:$G$22&gt;A4265)*(Calc!$G$3:$G$22-A4265)*(Calc!$G$3:$G$22&gt;B4265)*(Calc!$G$3:$G$22-B4265))</f>
        <v/>
      </c>
      <c r="L4265">
        <f>SUMPRODUCT(Calc!$K$3:$K$22*(Calc!$G$3:$G$22&gt;A4265)*(Calc!$G$3:$G$22-A4265)*Calc!$G$3:$G$22)</f>
        <v/>
      </c>
      <c r="M4265">
        <f>SUMPRODUCT(Calc!$K$3:$K$22*(Calc!$G$3:$G$22&gt;B4265)*(Calc!$G$3:$G$22-B4265)*Calc!$G$3:$G$22)</f>
        <v/>
      </c>
      <c r="N4265">
        <f>SUMPRODUCT(Calc!$K$3:$K$22*(Calc!$G$3:$G$22&gt;A4265)*(Calc!$G$3:$G$22-A4265)*Calc!$I$3:$I$22)</f>
        <v/>
      </c>
      <c r="O4265">
        <f>SUMPRODUCT(Calc!$K$3:$K$22*(Calc!$G$3:$G$22&gt;B4265)*(Calc!$G$3:$G$22-B4265)*Calc!$I$3:$I$22)</f>
        <v/>
      </c>
      <c r="P4265">
        <f>I4265-G4265^2/k_n</f>
        <v/>
      </c>
      <c r="Q4265">
        <f>J4265-H4265^2/k_n</f>
        <v/>
      </c>
      <c r="R4265">
        <f>K4265-G4265*H4265/k_n</f>
        <v/>
      </c>
      <c r="S4265">
        <f>L4265-LTP3!$D$3*G4265/k_n</f>
        <v/>
      </c>
      <c r="T4265">
        <f>M4265-LTP3!$D$3*H4265/k_n</f>
        <v/>
      </c>
      <c r="U4265">
        <f>N4265-G4265*LTP3!$D$4/k_n</f>
        <v/>
      </c>
      <c r="V4265">
        <f>O4265-H4265*LTP3!$D$4/k_n</f>
        <v/>
      </c>
      <c r="W4265">
        <f>((LTP3!$D$5)*((P4265)*(Q4265)-(R4265)*(R4265))-(S4265)*((S4265)*(Q4265)-(R4265)*(T4265))+(T4265)*((S4265)*(R4265)-(P4265)*(T4265)))</f>
        <v/>
      </c>
      <c r="X4265">
        <f>IF(ABS(W4265)&gt;1E-12,((LTP3!$D$6)*((P4265)*(Q4265)-(R4265)*(R4265))-(S4265)*((U4265)*(Q4265)-(R4265)*(V4265))+(T4265)*((U4265)*(R4265)-(P4265)*(V4265)))/W4265,0)</f>
        <v/>
      </c>
      <c r="Y4265">
        <f>IF(ABS(W4265)&gt;1E-12,((LTP3!$D$5)*((U4265)*(Q4265)-(R4265)*(V4265))-(LTP3!$D$6)*((S4265)*(Q4265)-(R4265)*(T4265))+(T4265)*((S4265)*(V4265)-(U4265)*(T4265)))/W4265,0)</f>
        <v/>
      </c>
      <c r="Z4265">
        <f>IF(ABS(W4265)&gt;1E-12,((LTP3!$D$5)*((P4265)*(V4265)-(U4265)*(R4265))-(S4265)*((S4265)*(V4265)-(U4265)*(T4265))+(LTP3!$D$6)*((S4265)*(R4265)-(P4265)*(T4265)))/W4265,0)</f>
        <v/>
      </c>
      <c r="AA4265">
        <f>LTP3!$D$7-X4265*LTP3!$D$6-Y4265*U4265-Z4265*V4265</f>
        <v/>
      </c>
      <c r="AB4265">
        <f>IF(AND(F4265,ABS(W4265)&gt;1E-12,Y4265&gt;0,Z4265&gt;0),AA4265,1E+300)</f>
        <v/>
      </c>
    </row>
    <row r="4266">
      <c r="A4266">
        <f>$I$4-$B$5/10+$B$5*4/100</f>
        <v/>
      </c>
      <c r="B4266">
        <f>$J$4-$B$5/10+$B$5*2/100</f>
        <v/>
      </c>
      <c r="C4266">
        <f>SUMPRODUCT(Calc!$K$3:$K$22*(Calc!$G$3:$G$22&lt;=A4266))</f>
        <v/>
      </c>
      <c r="D4266">
        <f>SUMPRODUCT(Calc!$K$3:$K$22*(Calc!$G$3:$G$22&gt;A4266)*(Calc!$G$3:$G$22&lt;B4266))</f>
        <v/>
      </c>
      <c r="E4266">
        <f>SUMPRODUCT(Calc!$K$3:$K$22*(Calc!$G$3:$G$22&gt;=B4266))</f>
        <v/>
      </c>
      <c r="F4266">
        <f>AND(k_n&gt;=5,B4266&gt;A4266+1E-9,C4266&gt;=2,D4266&gt;=1,E4266&gt;=2)</f>
        <v/>
      </c>
      <c r="G4266">
        <f>SUMPRODUCT(Calc!$K$3:$K$22*(Calc!$G$3:$G$22&gt;A4266)*(Calc!$G$3:$G$22-A4266))</f>
        <v/>
      </c>
      <c r="H4266">
        <f>SUMPRODUCT(Calc!$K$3:$K$22*(Calc!$G$3:$G$22&gt;B4266)*(Calc!$G$3:$G$22-B4266))</f>
        <v/>
      </c>
      <c r="I4266">
        <f>SUMPRODUCT(Calc!$K$3:$K$22*(Calc!$G$3:$G$22&gt;A4266)*(Calc!$G$3:$G$22-A4266)^2)</f>
        <v/>
      </c>
      <c r="J4266">
        <f>SUMPRODUCT(Calc!$K$3:$K$22*(Calc!$G$3:$G$22&gt;B4266)*(Calc!$G$3:$G$22-B4266)^2)</f>
        <v/>
      </c>
      <c r="K4266">
        <f>SUMPRODUCT(Calc!$K$3:$K$22*(Calc!$G$3:$G$22&gt;A4266)*(Calc!$G$3:$G$22-A4266)*(Calc!$G$3:$G$22&gt;B4266)*(Calc!$G$3:$G$22-B4266))</f>
        <v/>
      </c>
      <c r="L4266">
        <f>SUMPRODUCT(Calc!$K$3:$K$22*(Calc!$G$3:$G$22&gt;A4266)*(Calc!$G$3:$G$22-A4266)*Calc!$G$3:$G$22)</f>
        <v/>
      </c>
      <c r="M4266">
        <f>SUMPRODUCT(Calc!$K$3:$K$22*(Calc!$G$3:$G$22&gt;B4266)*(Calc!$G$3:$G$22-B4266)*Calc!$G$3:$G$22)</f>
        <v/>
      </c>
      <c r="N4266">
        <f>SUMPRODUCT(Calc!$K$3:$K$22*(Calc!$G$3:$G$22&gt;A4266)*(Calc!$G$3:$G$22-A4266)*Calc!$I$3:$I$22)</f>
        <v/>
      </c>
      <c r="O4266">
        <f>SUMPRODUCT(Calc!$K$3:$K$22*(Calc!$G$3:$G$22&gt;B4266)*(Calc!$G$3:$G$22-B4266)*Calc!$I$3:$I$22)</f>
        <v/>
      </c>
      <c r="P4266">
        <f>I4266-G4266^2/k_n</f>
        <v/>
      </c>
      <c r="Q4266">
        <f>J4266-H4266^2/k_n</f>
        <v/>
      </c>
      <c r="R4266">
        <f>K4266-G4266*H4266/k_n</f>
        <v/>
      </c>
      <c r="S4266">
        <f>L4266-LTP3!$D$3*G4266/k_n</f>
        <v/>
      </c>
      <c r="T4266">
        <f>M4266-LTP3!$D$3*H4266/k_n</f>
        <v/>
      </c>
      <c r="U4266">
        <f>N4266-G4266*LTP3!$D$4/k_n</f>
        <v/>
      </c>
      <c r="V4266">
        <f>O4266-H4266*LTP3!$D$4/k_n</f>
        <v/>
      </c>
      <c r="W4266">
        <f>((LTP3!$D$5)*((P4266)*(Q4266)-(R4266)*(R4266))-(S4266)*((S4266)*(Q4266)-(R4266)*(T4266))+(T4266)*((S4266)*(R4266)-(P4266)*(T4266)))</f>
        <v/>
      </c>
      <c r="X4266">
        <f>IF(ABS(W4266)&gt;1E-12,((LTP3!$D$6)*((P4266)*(Q4266)-(R4266)*(R4266))-(S4266)*((U4266)*(Q4266)-(R4266)*(V4266))+(T4266)*((U4266)*(R4266)-(P4266)*(V4266)))/W4266,0)</f>
        <v/>
      </c>
      <c r="Y4266">
        <f>IF(ABS(W4266)&gt;1E-12,((LTP3!$D$5)*((U4266)*(Q4266)-(R4266)*(V4266))-(LTP3!$D$6)*((S4266)*(Q4266)-(R4266)*(T4266))+(T4266)*((S4266)*(V4266)-(U4266)*(T4266)))/W4266,0)</f>
        <v/>
      </c>
      <c r="Z4266">
        <f>IF(ABS(W4266)&gt;1E-12,((LTP3!$D$5)*((P4266)*(V4266)-(U4266)*(R4266))-(S4266)*((S4266)*(V4266)-(U4266)*(T4266))+(LTP3!$D$6)*((S4266)*(R4266)-(P4266)*(T4266)))/W4266,0)</f>
        <v/>
      </c>
      <c r="AA4266">
        <f>LTP3!$D$7-X4266*LTP3!$D$6-Y4266*U4266-Z4266*V4266</f>
        <v/>
      </c>
      <c r="AB4266">
        <f>IF(AND(F4266,ABS(W4266)&gt;1E-12,Y4266&gt;0,Z4266&gt;0),AA4266,1E+300)</f>
        <v/>
      </c>
    </row>
    <row r="4267">
      <c r="A4267">
        <f>$I$4-$B$5/10+$B$5*4/100</f>
        <v/>
      </c>
      <c r="B4267">
        <f>$J$4-$B$5/10+$B$5*3/100</f>
        <v/>
      </c>
      <c r="C4267">
        <f>SUMPRODUCT(Calc!$K$3:$K$22*(Calc!$G$3:$G$22&lt;=A4267))</f>
        <v/>
      </c>
      <c r="D4267">
        <f>SUMPRODUCT(Calc!$K$3:$K$22*(Calc!$G$3:$G$22&gt;A4267)*(Calc!$G$3:$G$22&lt;B4267))</f>
        <v/>
      </c>
      <c r="E4267">
        <f>SUMPRODUCT(Calc!$K$3:$K$22*(Calc!$G$3:$G$22&gt;=B4267))</f>
        <v/>
      </c>
      <c r="F4267">
        <f>AND(k_n&gt;=5,B4267&gt;A4267+1E-9,C4267&gt;=2,D4267&gt;=1,E4267&gt;=2)</f>
        <v/>
      </c>
      <c r="G4267">
        <f>SUMPRODUCT(Calc!$K$3:$K$22*(Calc!$G$3:$G$22&gt;A4267)*(Calc!$G$3:$G$22-A4267))</f>
        <v/>
      </c>
      <c r="H4267">
        <f>SUMPRODUCT(Calc!$K$3:$K$22*(Calc!$G$3:$G$22&gt;B4267)*(Calc!$G$3:$G$22-B4267))</f>
        <v/>
      </c>
      <c r="I4267">
        <f>SUMPRODUCT(Calc!$K$3:$K$22*(Calc!$G$3:$G$22&gt;A4267)*(Calc!$G$3:$G$22-A4267)^2)</f>
        <v/>
      </c>
      <c r="J4267">
        <f>SUMPRODUCT(Calc!$K$3:$K$22*(Calc!$G$3:$G$22&gt;B4267)*(Calc!$G$3:$G$22-B4267)^2)</f>
        <v/>
      </c>
      <c r="K4267">
        <f>SUMPRODUCT(Calc!$K$3:$K$22*(Calc!$G$3:$G$22&gt;A4267)*(Calc!$G$3:$G$22-A4267)*(Calc!$G$3:$G$22&gt;B4267)*(Calc!$G$3:$G$22-B4267))</f>
        <v/>
      </c>
      <c r="L4267">
        <f>SUMPRODUCT(Calc!$K$3:$K$22*(Calc!$G$3:$G$22&gt;A4267)*(Calc!$G$3:$G$22-A4267)*Calc!$G$3:$G$22)</f>
        <v/>
      </c>
      <c r="M4267">
        <f>SUMPRODUCT(Calc!$K$3:$K$22*(Calc!$G$3:$G$22&gt;B4267)*(Calc!$G$3:$G$22-B4267)*Calc!$G$3:$G$22)</f>
        <v/>
      </c>
      <c r="N4267">
        <f>SUMPRODUCT(Calc!$K$3:$K$22*(Calc!$G$3:$G$22&gt;A4267)*(Calc!$G$3:$G$22-A4267)*Calc!$I$3:$I$22)</f>
        <v/>
      </c>
      <c r="O4267">
        <f>SUMPRODUCT(Calc!$K$3:$K$22*(Calc!$G$3:$G$22&gt;B4267)*(Calc!$G$3:$G$22-B4267)*Calc!$I$3:$I$22)</f>
        <v/>
      </c>
      <c r="P4267">
        <f>I4267-G4267^2/k_n</f>
        <v/>
      </c>
      <c r="Q4267">
        <f>J4267-H4267^2/k_n</f>
        <v/>
      </c>
      <c r="R4267">
        <f>K4267-G4267*H4267/k_n</f>
        <v/>
      </c>
      <c r="S4267">
        <f>L4267-LTP3!$D$3*G4267/k_n</f>
        <v/>
      </c>
      <c r="T4267">
        <f>M4267-LTP3!$D$3*H4267/k_n</f>
        <v/>
      </c>
      <c r="U4267">
        <f>N4267-G4267*LTP3!$D$4/k_n</f>
        <v/>
      </c>
      <c r="V4267">
        <f>O4267-H4267*LTP3!$D$4/k_n</f>
        <v/>
      </c>
      <c r="W4267">
        <f>((LTP3!$D$5)*((P4267)*(Q4267)-(R4267)*(R4267))-(S4267)*((S4267)*(Q4267)-(R4267)*(T4267))+(T4267)*((S4267)*(R4267)-(P4267)*(T4267)))</f>
        <v/>
      </c>
      <c r="X4267">
        <f>IF(ABS(W4267)&gt;1E-12,((LTP3!$D$6)*((P4267)*(Q4267)-(R4267)*(R4267))-(S4267)*((U4267)*(Q4267)-(R4267)*(V4267))+(T4267)*((U4267)*(R4267)-(P4267)*(V4267)))/W4267,0)</f>
        <v/>
      </c>
      <c r="Y4267">
        <f>IF(ABS(W4267)&gt;1E-12,((LTP3!$D$5)*((U4267)*(Q4267)-(R4267)*(V4267))-(LTP3!$D$6)*((S4267)*(Q4267)-(R4267)*(T4267))+(T4267)*((S4267)*(V4267)-(U4267)*(T4267)))/W4267,0)</f>
        <v/>
      </c>
      <c r="Z4267">
        <f>IF(ABS(W4267)&gt;1E-12,((LTP3!$D$5)*((P4267)*(V4267)-(U4267)*(R4267))-(S4267)*((S4267)*(V4267)-(U4267)*(T4267))+(LTP3!$D$6)*((S4267)*(R4267)-(P4267)*(T4267)))/W4267,0)</f>
        <v/>
      </c>
      <c r="AA4267">
        <f>LTP3!$D$7-X4267*LTP3!$D$6-Y4267*U4267-Z4267*V4267</f>
        <v/>
      </c>
      <c r="AB4267">
        <f>IF(AND(F4267,ABS(W4267)&gt;1E-12,Y4267&gt;0,Z4267&gt;0),AA4267,1E+300)</f>
        <v/>
      </c>
    </row>
    <row r="4268">
      <c r="A4268">
        <f>$I$4-$B$5/10+$B$5*4/100</f>
        <v/>
      </c>
      <c r="B4268">
        <f>$J$4-$B$5/10+$B$5*4/100</f>
        <v/>
      </c>
      <c r="C4268">
        <f>SUMPRODUCT(Calc!$K$3:$K$22*(Calc!$G$3:$G$22&lt;=A4268))</f>
        <v/>
      </c>
      <c r="D4268">
        <f>SUMPRODUCT(Calc!$K$3:$K$22*(Calc!$G$3:$G$22&gt;A4268)*(Calc!$G$3:$G$22&lt;B4268))</f>
        <v/>
      </c>
      <c r="E4268">
        <f>SUMPRODUCT(Calc!$K$3:$K$22*(Calc!$G$3:$G$22&gt;=B4268))</f>
        <v/>
      </c>
      <c r="F4268">
        <f>AND(k_n&gt;=5,B4268&gt;A4268+1E-9,C4268&gt;=2,D4268&gt;=1,E4268&gt;=2)</f>
        <v/>
      </c>
      <c r="G4268">
        <f>SUMPRODUCT(Calc!$K$3:$K$22*(Calc!$G$3:$G$22&gt;A4268)*(Calc!$G$3:$G$22-A4268))</f>
        <v/>
      </c>
      <c r="H4268">
        <f>SUMPRODUCT(Calc!$K$3:$K$22*(Calc!$G$3:$G$22&gt;B4268)*(Calc!$G$3:$G$22-B4268))</f>
        <v/>
      </c>
      <c r="I4268">
        <f>SUMPRODUCT(Calc!$K$3:$K$22*(Calc!$G$3:$G$22&gt;A4268)*(Calc!$G$3:$G$22-A4268)^2)</f>
        <v/>
      </c>
      <c r="J4268">
        <f>SUMPRODUCT(Calc!$K$3:$K$22*(Calc!$G$3:$G$22&gt;B4268)*(Calc!$G$3:$G$22-B4268)^2)</f>
        <v/>
      </c>
      <c r="K4268">
        <f>SUMPRODUCT(Calc!$K$3:$K$22*(Calc!$G$3:$G$22&gt;A4268)*(Calc!$G$3:$G$22-A4268)*(Calc!$G$3:$G$22&gt;B4268)*(Calc!$G$3:$G$22-B4268))</f>
        <v/>
      </c>
      <c r="L4268">
        <f>SUMPRODUCT(Calc!$K$3:$K$22*(Calc!$G$3:$G$22&gt;A4268)*(Calc!$G$3:$G$22-A4268)*Calc!$G$3:$G$22)</f>
        <v/>
      </c>
      <c r="M4268">
        <f>SUMPRODUCT(Calc!$K$3:$K$22*(Calc!$G$3:$G$22&gt;B4268)*(Calc!$G$3:$G$22-B4268)*Calc!$G$3:$G$22)</f>
        <v/>
      </c>
      <c r="N4268">
        <f>SUMPRODUCT(Calc!$K$3:$K$22*(Calc!$G$3:$G$22&gt;A4268)*(Calc!$G$3:$G$22-A4268)*Calc!$I$3:$I$22)</f>
        <v/>
      </c>
      <c r="O4268">
        <f>SUMPRODUCT(Calc!$K$3:$K$22*(Calc!$G$3:$G$22&gt;B4268)*(Calc!$G$3:$G$22-B4268)*Calc!$I$3:$I$22)</f>
        <v/>
      </c>
      <c r="P4268">
        <f>I4268-G4268^2/k_n</f>
        <v/>
      </c>
      <c r="Q4268">
        <f>J4268-H4268^2/k_n</f>
        <v/>
      </c>
      <c r="R4268">
        <f>K4268-G4268*H4268/k_n</f>
        <v/>
      </c>
      <c r="S4268">
        <f>L4268-LTP3!$D$3*G4268/k_n</f>
        <v/>
      </c>
      <c r="T4268">
        <f>M4268-LTP3!$D$3*H4268/k_n</f>
        <v/>
      </c>
      <c r="U4268">
        <f>N4268-G4268*LTP3!$D$4/k_n</f>
        <v/>
      </c>
      <c r="V4268">
        <f>O4268-H4268*LTP3!$D$4/k_n</f>
        <v/>
      </c>
      <c r="W4268">
        <f>((LTP3!$D$5)*((P4268)*(Q4268)-(R4268)*(R4268))-(S4268)*((S4268)*(Q4268)-(R4268)*(T4268))+(T4268)*((S4268)*(R4268)-(P4268)*(T4268)))</f>
        <v/>
      </c>
      <c r="X4268">
        <f>IF(ABS(W4268)&gt;1E-12,((LTP3!$D$6)*((P4268)*(Q4268)-(R4268)*(R4268))-(S4268)*((U4268)*(Q4268)-(R4268)*(V4268))+(T4268)*((U4268)*(R4268)-(P4268)*(V4268)))/W4268,0)</f>
        <v/>
      </c>
      <c r="Y4268">
        <f>IF(ABS(W4268)&gt;1E-12,((LTP3!$D$5)*((U4268)*(Q4268)-(R4268)*(V4268))-(LTP3!$D$6)*((S4268)*(Q4268)-(R4268)*(T4268))+(T4268)*((S4268)*(V4268)-(U4268)*(T4268)))/W4268,0)</f>
        <v/>
      </c>
      <c r="Z4268">
        <f>IF(ABS(W4268)&gt;1E-12,((LTP3!$D$5)*((P4268)*(V4268)-(U4268)*(R4268))-(S4268)*((S4268)*(V4268)-(U4268)*(T4268))+(LTP3!$D$6)*((S4268)*(R4268)-(P4268)*(T4268)))/W4268,0)</f>
        <v/>
      </c>
      <c r="AA4268">
        <f>LTP3!$D$7-X4268*LTP3!$D$6-Y4268*U4268-Z4268*V4268</f>
        <v/>
      </c>
      <c r="AB4268">
        <f>IF(AND(F4268,ABS(W4268)&gt;1E-12,Y4268&gt;0,Z4268&gt;0),AA4268,1E+300)</f>
        <v/>
      </c>
    </row>
    <row r="4269">
      <c r="A4269">
        <f>$I$4-$B$5/10+$B$5*4/100</f>
        <v/>
      </c>
      <c r="B4269">
        <f>$J$4-$B$5/10+$B$5*5/100</f>
        <v/>
      </c>
      <c r="C4269">
        <f>SUMPRODUCT(Calc!$K$3:$K$22*(Calc!$G$3:$G$22&lt;=A4269))</f>
        <v/>
      </c>
      <c r="D4269">
        <f>SUMPRODUCT(Calc!$K$3:$K$22*(Calc!$G$3:$G$22&gt;A4269)*(Calc!$G$3:$G$22&lt;B4269))</f>
        <v/>
      </c>
      <c r="E4269">
        <f>SUMPRODUCT(Calc!$K$3:$K$22*(Calc!$G$3:$G$22&gt;=B4269))</f>
        <v/>
      </c>
      <c r="F4269">
        <f>AND(k_n&gt;=5,B4269&gt;A4269+1E-9,C4269&gt;=2,D4269&gt;=1,E4269&gt;=2)</f>
        <v/>
      </c>
      <c r="G4269">
        <f>SUMPRODUCT(Calc!$K$3:$K$22*(Calc!$G$3:$G$22&gt;A4269)*(Calc!$G$3:$G$22-A4269))</f>
        <v/>
      </c>
      <c r="H4269">
        <f>SUMPRODUCT(Calc!$K$3:$K$22*(Calc!$G$3:$G$22&gt;B4269)*(Calc!$G$3:$G$22-B4269))</f>
        <v/>
      </c>
      <c r="I4269">
        <f>SUMPRODUCT(Calc!$K$3:$K$22*(Calc!$G$3:$G$22&gt;A4269)*(Calc!$G$3:$G$22-A4269)^2)</f>
        <v/>
      </c>
      <c r="J4269">
        <f>SUMPRODUCT(Calc!$K$3:$K$22*(Calc!$G$3:$G$22&gt;B4269)*(Calc!$G$3:$G$22-B4269)^2)</f>
        <v/>
      </c>
      <c r="K4269">
        <f>SUMPRODUCT(Calc!$K$3:$K$22*(Calc!$G$3:$G$22&gt;A4269)*(Calc!$G$3:$G$22-A4269)*(Calc!$G$3:$G$22&gt;B4269)*(Calc!$G$3:$G$22-B4269))</f>
        <v/>
      </c>
      <c r="L4269">
        <f>SUMPRODUCT(Calc!$K$3:$K$22*(Calc!$G$3:$G$22&gt;A4269)*(Calc!$G$3:$G$22-A4269)*Calc!$G$3:$G$22)</f>
        <v/>
      </c>
      <c r="M4269">
        <f>SUMPRODUCT(Calc!$K$3:$K$22*(Calc!$G$3:$G$22&gt;B4269)*(Calc!$G$3:$G$22-B4269)*Calc!$G$3:$G$22)</f>
        <v/>
      </c>
      <c r="N4269">
        <f>SUMPRODUCT(Calc!$K$3:$K$22*(Calc!$G$3:$G$22&gt;A4269)*(Calc!$G$3:$G$22-A4269)*Calc!$I$3:$I$22)</f>
        <v/>
      </c>
      <c r="O4269">
        <f>SUMPRODUCT(Calc!$K$3:$K$22*(Calc!$G$3:$G$22&gt;B4269)*(Calc!$G$3:$G$22-B4269)*Calc!$I$3:$I$22)</f>
        <v/>
      </c>
      <c r="P4269">
        <f>I4269-G4269^2/k_n</f>
        <v/>
      </c>
      <c r="Q4269">
        <f>J4269-H4269^2/k_n</f>
        <v/>
      </c>
      <c r="R4269">
        <f>K4269-G4269*H4269/k_n</f>
        <v/>
      </c>
      <c r="S4269">
        <f>L4269-LTP3!$D$3*G4269/k_n</f>
        <v/>
      </c>
      <c r="T4269">
        <f>M4269-LTP3!$D$3*H4269/k_n</f>
        <v/>
      </c>
      <c r="U4269">
        <f>N4269-G4269*LTP3!$D$4/k_n</f>
        <v/>
      </c>
      <c r="V4269">
        <f>O4269-H4269*LTP3!$D$4/k_n</f>
        <v/>
      </c>
      <c r="W4269">
        <f>((LTP3!$D$5)*((P4269)*(Q4269)-(R4269)*(R4269))-(S4269)*((S4269)*(Q4269)-(R4269)*(T4269))+(T4269)*((S4269)*(R4269)-(P4269)*(T4269)))</f>
        <v/>
      </c>
      <c r="X4269">
        <f>IF(ABS(W4269)&gt;1E-12,((LTP3!$D$6)*((P4269)*(Q4269)-(R4269)*(R4269))-(S4269)*((U4269)*(Q4269)-(R4269)*(V4269))+(T4269)*((U4269)*(R4269)-(P4269)*(V4269)))/W4269,0)</f>
        <v/>
      </c>
      <c r="Y4269">
        <f>IF(ABS(W4269)&gt;1E-12,((LTP3!$D$5)*((U4269)*(Q4269)-(R4269)*(V4269))-(LTP3!$D$6)*((S4269)*(Q4269)-(R4269)*(T4269))+(T4269)*((S4269)*(V4269)-(U4269)*(T4269)))/W4269,0)</f>
        <v/>
      </c>
      <c r="Z4269">
        <f>IF(ABS(W4269)&gt;1E-12,((LTP3!$D$5)*((P4269)*(V4269)-(U4269)*(R4269))-(S4269)*((S4269)*(V4269)-(U4269)*(T4269))+(LTP3!$D$6)*((S4269)*(R4269)-(P4269)*(T4269)))/W4269,0)</f>
        <v/>
      </c>
      <c r="AA4269">
        <f>LTP3!$D$7-X4269*LTP3!$D$6-Y4269*U4269-Z4269*V4269</f>
        <v/>
      </c>
      <c r="AB4269">
        <f>IF(AND(F4269,ABS(W4269)&gt;1E-12,Y4269&gt;0,Z4269&gt;0),AA4269,1E+300)</f>
        <v/>
      </c>
    </row>
    <row r="4270">
      <c r="A4270">
        <f>$I$4-$B$5/10+$B$5*4/100</f>
        <v/>
      </c>
      <c r="B4270">
        <f>$J$4-$B$5/10+$B$5*6/100</f>
        <v/>
      </c>
      <c r="C4270">
        <f>SUMPRODUCT(Calc!$K$3:$K$22*(Calc!$G$3:$G$22&lt;=A4270))</f>
        <v/>
      </c>
      <c r="D4270">
        <f>SUMPRODUCT(Calc!$K$3:$K$22*(Calc!$G$3:$G$22&gt;A4270)*(Calc!$G$3:$G$22&lt;B4270))</f>
        <v/>
      </c>
      <c r="E4270">
        <f>SUMPRODUCT(Calc!$K$3:$K$22*(Calc!$G$3:$G$22&gt;=B4270))</f>
        <v/>
      </c>
      <c r="F4270">
        <f>AND(k_n&gt;=5,B4270&gt;A4270+1E-9,C4270&gt;=2,D4270&gt;=1,E4270&gt;=2)</f>
        <v/>
      </c>
      <c r="G4270">
        <f>SUMPRODUCT(Calc!$K$3:$K$22*(Calc!$G$3:$G$22&gt;A4270)*(Calc!$G$3:$G$22-A4270))</f>
        <v/>
      </c>
      <c r="H4270">
        <f>SUMPRODUCT(Calc!$K$3:$K$22*(Calc!$G$3:$G$22&gt;B4270)*(Calc!$G$3:$G$22-B4270))</f>
        <v/>
      </c>
      <c r="I4270">
        <f>SUMPRODUCT(Calc!$K$3:$K$22*(Calc!$G$3:$G$22&gt;A4270)*(Calc!$G$3:$G$22-A4270)^2)</f>
        <v/>
      </c>
      <c r="J4270">
        <f>SUMPRODUCT(Calc!$K$3:$K$22*(Calc!$G$3:$G$22&gt;B4270)*(Calc!$G$3:$G$22-B4270)^2)</f>
        <v/>
      </c>
      <c r="K4270">
        <f>SUMPRODUCT(Calc!$K$3:$K$22*(Calc!$G$3:$G$22&gt;A4270)*(Calc!$G$3:$G$22-A4270)*(Calc!$G$3:$G$22&gt;B4270)*(Calc!$G$3:$G$22-B4270))</f>
        <v/>
      </c>
      <c r="L4270">
        <f>SUMPRODUCT(Calc!$K$3:$K$22*(Calc!$G$3:$G$22&gt;A4270)*(Calc!$G$3:$G$22-A4270)*Calc!$G$3:$G$22)</f>
        <v/>
      </c>
      <c r="M4270">
        <f>SUMPRODUCT(Calc!$K$3:$K$22*(Calc!$G$3:$G$22&gt;B4270)*(Calc!$G$3:$G$22-B4270)*Calc!$G$3:$G$22)</f>
        <v/>
      </c>
      <c r="N4270">
        <f>SUMPRODUCT(Calc!$K$3:$K$22*(Calc!$G$3:$G$22&gt;A4270)*(Calc!$G$3:$G$22-A4270)*Calc!$I$3:$I$22)</f>
        <v/>
      </c>
      <c r="O4270">
        <f>SUMPRODUCT(Calc!$K$3:$K$22*(Calc!$G$3:$G$22&gt;B4270)*(Calc!$G$3:$G$22-B4270)*Calc!$I$3:$I$22)</f>
        <v/>
      </c>
      <c r="P4270">
        <f>I4270-G4270^2/k_n</f>
        <v/>
      </c>
      <c r="Q4270">
        <f>J4270-H4270^2/k_n</f>
        <v/>
      </c>
      <c r="R4270">
        <f>K4270-G4270*H4270/k_n</f>
        <v/>
      </c>
      <c r="S4270">
        <f>L4270-LTP3!$D$3*G4270/k_n</f>
        <v/>
      </c>
      <c r="T4270">
        <f>M4270-LTP3!$D$3*H4270/k_n</f>
        <v/>
      </c>
      <c r="U4270">
        <f>N4270-G4270*LTP3!$D$4/k_n</f>
        <v/>
      </c>
      <c r="V4270">
        <f>O4270-H4270*LTP3!$D$4/k_n</f>
        <v/>
      </c>
      <c r="W4270">
        <f>((LTP3!$D$5)*((P4270)*(Q4270)-(R4270)*(R4270))-(S4270)*((S4270)*(Q4270)-(R4270)*(T4270))+(T4270)*((S4270)*(R4270)-(P4270)*(T4270)))</f>
        <v/>
      </c>
      <c r="X4270">
        <f>IF(ABS(W4270)&gt;1E-12,((LTP3!$D$6)*((P4270)*(Q4270)-(R4270)*(R4270))-(S4270)*((U4270)*(Q4270)-(R4270)*(V4270))+(T4270)*((U4270)*(R4270)-(P4270)*(V4270)))/W4270,0)</f>
        <v/>
      </c>
      <c r="Y4270">
        <f>IF(ABS(W4270)&gt;1E-12,((LTP3!$D$5)*((U4270)*(Q4270)-(R4270)*(V4270))-(LTP3!$D$6)*((S4270)*(Q4270)-(R4270)*(T4270))+(T4270)*((S4270)*(V4270)-(U4270)*(T4270)))/W4270,0)</f>
        <v/>
      </c>
      <c r="Z4270">
        <f>IF(ABS(W4270)&gt;1E-12,((LTP3!$D$5)*((P4270)*(V4270)-(U4270)*(R4270))-(S4270)*((S4270)*(V4270)-(U4270)*(T4270))+(LTP3!$D$6)*((S4270)*(R4270)-(P4270)*(T4270)))/W4270,0)</f>
        <v/>
      </c>
      <c r="AA4270">
        <f>LTP3!$D$7-X4270*LTP3!$D$6-Y4270*U4270-Z4270*V4270</f>
        <v/>
      </c>
      <c r="AB4270">
        <f>IF(AND(F4270,ABS(W4270)&gt;1E-12,Y4270&gt;0,Z4270&gt;0),AA4270,1E+300)</f>
        <v/>
      </c>
    </row>
    <row r="4271">
      <c r="A4271">
        <f>$I$4-$B$5/10+$B$5*4/100</f>
        <v/>
      </c>
      <c r="B4271">
        <f>$J$4-$B$5/10+$B$5*7/100</f>
        <v/>
      </c>
      <c r="C4271">
        <f>SUMPRODUCT(Calc!$K$3:$K$22*(Calc!$G$3:$G$22&lt;=A4271))</f>
        <v/>
      </c>
      <c r="D4271">
        <f>SUMPRODUCT(Calc!$K$3:$K$22*(Calc!$G$3:$G$22&gt;A4271)*(Calc!$G$3:$G$22&lt;B4271))</f>
        <v/>
      </c>
      <c r="E4271">
        <f>SUMPRODUCT(Calc!$K$3:$K$22*(Calc!$G$3:$G$22&gt;=B4271))</f>
        <v/>
      </c>
      <c r="F4271">
        <f>AND(k_n&gt;=5,B4271&gt;A4271+1E-9,C4271&gt;=2,D4271&gt;=1,E4271&gt;=2)</f>
        <v/>
      </c>
      <c r="G4271">
        <f>SUMPRODUCT(Calc!$K$3:$K$22*(Calc!$G$3:$G$22&gt;A4271)*(Calc!$G$3:$G$22-A4271))</f>
        <v/>
      </c>
      <c r="H4271">
        <f>SUMPRODUCT(Calc!$K$3:$K$22*(Calc!$G$3:$G$22&gt;B4271)*(Calc!$G$3:$G$22-B4271))</f>
        <v/>
      </c>
      <c r="I4271">
        <f>SUMPRODUCT(Calc!$K$3:$K$22*(Calc!$G$3:$G$22&gt;A4271)*(Calc!$G$3:$G$22-A4271)^2)</f>
        <v/>
      </c>
      <c r="J4271">
        <f>SUMPRODUCT(Calc!$K$3:$K$22*(Calc!$G$3:$G$22&gt;B4271)*(Calc!$G$3:$G$22-B4271)^2)</f>
        <v/>
      </c>
      <c r="K4271">
        <f>SUMPRODUCT(Calc!$K$3:$K$22*(Calc!$G$3:$G$22&gt;A4271)*(Calc!$G$3:$G$22-A4271)*(Calc!$G$3:$G$22&gt;B4271)*(Calc!$G$3:$G$22-B4271))</f>
        <v/>
      </c>
      <c r="L4271">
        <f>SUMPRODUCT(Calc!$K$3:$K$22*(Calc!$G$3:$G$22&gt;A4271)*(Calc!$G$3:$G$22-A4271)*Calc!$G$3:$G$22)</f>
        <v/>
      </c>
      <c r="M4271">
        <f>SUMPRODUCT(Calc!$K$3:$K$22*(Calc!$G$3:$G$22&gt;B4271)*(Calc!$G$3:$G$22-B4271)*Calc!$G$3:$G$22)</f>
        <v/>
      </c>
      <c r="N4271">
        <f>SUMPRODUCT(Calc!$K$3:$K$22*(Calc!$G$3:$G$22&gt;A4271)*(Calc!$G$3:$G$22-A4271)*Calc!$I$3:$I$22)</f>
        <v/>
      </c>
      <c r="O4271">
        <f>SUMPRODUCT(Calc!$K$3:$K$22*(Calc!$G$3:$G$22&gt;B4271)*(Calc!$G$3:$G$22-B4271)*Calc!$I$3:$I$22)</f>
        <v/>
      </c>
      <c r="P4271">
        <f>I4271-G4271^2/k_n</f>
        <v/>
      </c>
      <c r="Q4271">
        <f>J4271-H4271^2/k_n</f>
        <v/>
      </c>
      <c r="R4271">
        <f>K4271-G4271*H4271/k_n</f>
        <v/>
      </c>
      <c r="S4271">
        <f>L4271-LTP3!$D$3*G4271/k_n</f>
        <v/>
      </c>
      <c r="T4271">
        <f>M4271-LTP3!$D$3*H4271/k_n</f>
        <v/>
      </c>
      <c r="U4271">
        <f>N4271-G4271*LTP3!$D$4/k_n</f>
        <v/>
      </c>
      <c r="V4271">
        <f>O4271-H4271*LTP3!$D$4/k_n</f>
        <v/>
      </c>
      <c r="W4271">
        <f>((LTP3!$D$5)*((P4271)*(Q4271)-(R4271)*(R4271))-(S4271)*((S4271)*(Q4271)-(R4271)*(T4271))+(T4271)*((S4271)*(R4271)-(P4271)*(T4271)))</f>
        <v/>
      </c>
      <c r="X4271">
        <f>IF(ABS(W4271)&gt;1E-12,((LTP3!$D$6)*((P4271)*(Q4271)-(R4271)*(R4271))-(S4271)*((U4271)*(Q4271)-(R4271)*(V4271))+(T4271)*((U4271)*(R4271)-(P4271)*(V4271)))/W4271,0)</f>
        <v/>
      </c>
      <c r="Y4271">
        <f>IF(ABS(W4271)&gt;1E-12,((LTP3!$D$5)*((U4271)*(Q4271)-(R4271)*(V4271))-(LTP3!$D$6)*((S4271)*(Q4271)-(R4271)*(T4271))+(T4271)*((S4271)*(V4271)-(U4271)*(T4271)))/W4271,0)</f>
        <v/>
      </c>
      <c r="Z4271">
        <f>IF(ABS(W4271)&gt;1E-12,((LTP3!$D$5)*((P4271)*(V4271)-(U4271)*(R4271))-(S4271)*((S4271)*(V4271)-(U4271)*(T4271))+(LTP3!$D$6)*((S4271)*(R4271)-(P4271)*(T4271)))/W4271,0)</f>
        <v/>
      </c>
      <c r="AA4271">
        <f>LTP3!$D$7-X4271*LTP3!$D$6-Y4271*U4271-Z4271*V4271</f>
        <v/>
      </c>
      <c r="AB4271">
        <f>IF(AND(F4271,ABS(W4271)&gt;1E-12,Y4271&gt;0,Z4271&gt;0),AA4271,1E+300)</f>
        <v/>
      </c>
    </row>
    <row r="4272">
      <c r="A4272">
        <f>$I$4-$B$5/10+$B$5*4/100</f>
        <v/>
      </c>
      <c r="B4272">
        <f>$J$4-$B$5/10+$B$5*8/100</f>
        <v/>
      </c>
      <c r="C4272">
        <f>SUMPRODUCT(Calc!$K$3:$K$22*(Calc!$G$3:$G$22&lt;=A4272))</f>
        <v/>
      </c>
      <c r="D4272">
        <f>SUMPRODUCT(Calc!$K$3:$K$22*(Calc!$G$3:$G$22&gt;A4272)*(Calc!$G$3:$G$22&lt;B4272))</f>
        <v/>
      </c>
      <c r="E4272">
        <f>SUMPRODUCT(Calc!$K$3:$K$22*(Calc!$G$3:$G$22&gt;=B4272))</f>
        <v/>
      </c>
      <c r="F4272">
        <f>AND(k_n&gt;=5,B4272&gt;A4272+1E-9,C4272&gt;=2,D4272&gt;=1,E4272&gt;=2)</f>
        <v/>
      </c>
      <c r="G4272">
        <f>SUMPRODUCT(Calc!$K$3:$K$22*(Calc!$G$3:$G$22&gt;A4272)*(Calc!$G$3:$G$22-A4272))</f>
        <v/>
      </c>
      <c r="H4272">
        <f>SUMPRODUCT(Calc!$K$3:$K$22*(Calc!$G$3:$G$22&gt;B4272)*(Calc!$G$3:$G$22-B4272))</f>
        <v/>
      </c>
      <c r="I4272">
        <f>SUMPRODUCT(Calc!$K$3:$K$22*(Calc!$G$3:$G$22&gt;A4272)*(Calc!$G$3:$G$22-A4272)^2)</f>
        <v/>
      </c>
      <c r="J4272">
        <f>SUMPRODUCT(Calc!$K$3:$K$22*(Calc!$G$3:$G$22&gt;B4272)*(Calc!$G$3:$G$22-B4272)^2)</f>
        <v/>
      </c>
      <c r="K4272">
        <f>SUMPRODUCT(Calc!$K$3:$K$22*(Calc!$G$3:$G$22&gt;A4272)*(Calc!$G$3:$G$22-A4272)*(Calc!$G$3:$G$22&gt;B4272)*(Calc!$G$3:$G$22-B4272))</f>
        <v/>
      </c>
      <c r="L4272">
        <f>SUMPRODUCT(Calc!$K$3:$K$22*(Calc!$G$3:$G$22&gt;A4272)*(Calc!$G$3:$G$22-A4272)*Calc!$G$3:$G$22)</f>
        <v/>
      </c>
      <c r="M4272">
        <f>SUMPRODUCT(Calc!$K$3:$K$22*(Calc!$G$3:$G$22&gt;B4272)*(Calc!$G$3:$G$22-B4272)*Calc!$G$3:$G$22)</f>
        <v/>
      </c>
      <c r="N4272">
        <f>SUMPRODUCT(Calc!$K$3:$K$22*(Calc!$G$3:$G$22&gt;A4272)*(Calc!$G$3:$G$22-A4272)*Calc!$I$3:$I$22)</f>
        <v/>
      </c>
      <c r="O4272">
        <f>SUMPRODUCT(Calc!$K$3:$K$22*(Calc!$G$3:$G$22&gt;B4272)*(Calc!$G$3:$G$22-B4272)*Calc!$I$3:$I$22)</f>
        <v/>
      </c>
      <c r="P4272">
        <f>I4272-G4272^2/k_n</f>
        <v/>
      </c>
      <c r="Q4272">
        <f>J4272-H4272^2/k_n</f>
        <v/>
      </c>
      <c r="R4272">
        <f>K4272-G4272*H4272/k_n</f>
        <v/>
      </c>
      <c r="S4272">
        <f>L4272-LTP3!$D$3*G4272/k_n</f>
        <v/>
      </c>
      <c r="T4272">
        <f>M4272-LTP3!$D$3*H4272/k_n</f>
        <v/>
      </c>
      <c r="U4272">
        <f>N4272-G4272*LTP3!$D$4/k_n</f>
        <v/>
      </c>
      <c r="V4272">
        <f>O4272-H4272*LTP3!$D$4/k_n</f>
        <v/>
      </c>
      <c r="W4272">
        <f>((LTP3!$D$5)*((P4272)*(Q4272)-(R4272)*(R4272))-(S4272)*((S4272)*(Q4272)-(R4272)*(T4272))+(T4272)*((S4272)*(R4272)-(P4272)*(T4272)))</f>
        <v/>
      </c>
      <c r="X4272">
        <f>IF(ABS(W4272)&gt;1E-12,((LTP3!$D$6)*((P4272)*(Q4272)-(R4272)*(R4272))-(S4272)*((U4272)*(Q4272)-(R4272)*(V4272))+(T4272)*((U4272)*(R4272)-(P4272)*(V4272)))/W4272,0)</f>
        <v/>
      </c>
      <c r="Y4272">
        <f>IF(ABS(W4272)&gt;1E-12,((LTP3!$D$5)*((U4272)*(Q4272)-(R4272)*(V4272))-(LTP3!$D$6)*((S4272)*(Q4272)-(R4272)*(T4272))+(T4272)*((S4272)*(V4272)-(U4272)*(T4272)))/W4272,0)</f>
        <v/>
      </c>
      <c r="Z4272">
        <f>IF(ABS(W4272)&gt;1E-12,((LTP3!$D$5)*((P4272)*(V4272)-(U4272)*(R4272))-(S4272)*((S4272)*(V4272)-(U4272)*(T4272))+(LTP3!$D$6)*((S4272)*(R4272)-(P4272)*(T4272)))/W4272,0)</f>
        <v/>
      </c>
      <c r="AA4272">
        <f>LTP3!$D$7-X4272*LTP3!$D$6-Y4272*U4272-Z4272*V4272</f>
        <v/>
      </c>
      <c r="AB4272">
        <f>IF(AND(F4272,ABS(W4272)&gt;1E-12,Y4272&gt;0,Z4272&gt;0),AA4272,1E+300)</f>
        <v/>
      </c>
    </row>
    <row r="4273">
      <c r="A4273">
        <f>$I$4-$B$5/10+$B$5*4/100</f>
        <v/>
      </c>
      <c r="B4273">
        <f>$J$4-$B$5/10+$B$5*9/100</f>
        <v/>
      </c>
      <c r="C4273">
        <f>SUMPRODUCT(Calc!$K$3:$K$22*(Calc!$G$3:$G$22&lt;=A4273))</f>
        <v/>
      </c>
      <c r="D4273">
        <f>SUMPRODUCT(Calc!$K$3:$K$22*(Calc!$G$3:$G$22&gt;A4273)*(Calc!$G$3:$G$22&lt;B4273))</f>
        <v/>
      </c>
      <c r="E4273">
        <f>SUMPRODUCT(Calc!$K$3:$K$22*(Calc!$G$3:$G$22&gt;=B4273))</f>
        <v/>
      </c>
      <c r="F4273">
        <f>AND(k_n&gt;=5,B4273&gt;A4273+1E-9,C4273&gt;=2,D4273&gt;=1,E4273&gt;=2)</f>
        <v/>
      </c>
      <c r="G4273">
        <f>SUMPRODUCT(Calc!$K$3:$K$22*(Calc!$G$3:$G$22&gt;A4273)*(Calc!$G$3:$G$22-A4273))</f>
        <v/>
      </c>
      <c r="H4273">
        <f>SUMPRODUCT(Calc!$K$3:$K$22*(Calc!$G$3:$G$22&gt;B4273)*(Calc!$G$3:$G$22-B4273))</f>
        <v/>
      </c>
      <c r="I4273">
        <f>SUMPRODUCT(Calc!$K$3:$K$22*(Calc!$G$3:$G$22&gt;A4273)*(Calc!$G$3:$G$22-A4273)^2)</f>
        <v/>
      </c>
      <c r="J4273">
        <f>SUMPRODUCT(Calc!$K$3:$K$22*(Calc!$G$3:$G$22&gt;B4273)*(Calc!$G$3:$G$22-B4273)^2)</f>
        <v/>
      </c>
      <c r="K4273">
        <f>SUMPRODUCT(Calc!$K$3:$K$22*(Calc!$G$3:$G$22&gt;A4273)*(Calc!$G$3:$G$22-A4273)*(Calc!$G$3:$G$22&gt;B4273)*(Calc!$G$3:$G$22-B4273))</f>
        <v/>
      </c>
      <c r="L4273">
        <f>SUMPRODUCT(Calc!$K$3:$K$22*(Calc!$G$3:$G$22&gt;A4273)*(Calc!$G$3:$G$22-A4273)*Calc!$G$3:$G$22)</f>
        <v/>
      </c>
      <c r="M4273">
        <f>SUMPRODUCT(Calc!$K$3:$K$22*(Calc!$G$3:$G$22&gt;B4273)*(Calc!$G$3:$G$22-B4273)*Calc!$G$3:$G$22)</f>
        <v/>
      </c>
      <c r="N4273">
        <f>SUMPRODUCT(Calc!$K$3:$K$22*(Calc!$G$3:$G$22&gt;A4273)*(Calc!$G$3:$G$22-A4273)*Calc!$I$3:$I$22)</f>
        <v/>
      </c>
      <c r="O4273">
        <f>SUMPRODUCT(Calc!$K$3:$K$22*(Calc!$G$3:$G$22&gt;B4273)*(Calc!$G$3:$G$22-B4273)*Calc!$I$3:$I$22)</f>
        <v/>
      </c>
      <c r="P4273">
        <f>I4273-G4273^2/k_n</f>
        <v/>
      </c>
      <c r="Q4273">
        <f>J4273-H4273^2/k_n</f>
        <v/>
      </c>
      <c r="R4273">
        <f>K4273-G4273*H4273/k_n</f>
        <v/>
      </c>
      <c r="S4273">
        <f>L4273-LTP3!$D$3*G4273/k_n</f>
        <v/>
      </c>
      <c r="T4273">
        <f>M4273-LTP3!$D$3*H4273/k_n</f>
        <v/>
      </c>
      <c r="U4273">
        <f>N4273-G4273*LTP3!$D$4/k_n</f>
        <v/>
      </c>
      <c r="V4273">
        <f>O4273-H4273*LTP3!$D$4/k_n</f>
        <v/>
      </c>
      <c r="W4273">
        <f>((LTP3!$D$5)*((P4273)*(Q4273)-(R4273)*(R4273))-(S4273)*((S4273)*(Q4273)-(R4273)*(T4273))+(T4273)*((S4273)*(R4273)-(P4273)*(T4273)))</f>
        <v/>
      </c>
      <c r="X4273">
        <f>IF(ABS(W4273)&gt;1E-12,((LTP3!$D$6)*((P4273)*(Q4273)-(R4273)*(R4273))-(S4273)*((U4273)*(Q4273)-(R4273)*(V4273))+(T4273)*((U4273)*(R4273)-(P4273)*(V4273)))/W4273,0)</f>
        <v/>
      </c>
      <c r="Y4273">
        <f>IF(ABS(W4273)&gt;1E-12,((LTP3!$D$5)*((U4273)*(Q4273)-(R4273)*(V4273))-(LTP3!$D$6)*((S4273)*(Q4273)-(R4273)*(T4273))+(T4273)*((S4273)*(V4273)-(U4273)*(T4273)))/W4273,0)</f>
        <v/>
      </c>
      <c r="Z4273">
        <f>IF(ABS(W4273)&gt;1E-12,((LTP3!$D$5)*((P4273)*(V4273)-(U4273)*(R4273))-(S4273)*((S4273)*(V4273)-(U4273)*(T4273))+(LTP3!$D$6)*((S4273)*(R4273)-(P4273)*(T4273)))/W4273,0)</f>
        <v/>
      </c>
      <c r="AA4273">
        <f>LTP3!$D$7-X4273*LTP3!$D$6-Y4273*U4273-Z4273*V4273</f>
        <v/>
      </c>
      <c r="AB4273">
        <f>IF(AND(F4273,ABS(W4273)&gt;1E-12,Y4273&gt;0,Z4273&gt;0),AA4273,1E+300)</f>
        <v/>
      </c>
    </row>
    <row r="4274">
      <c r="A4274">
        <f>$I$4-$B$5/10+$B$5*4/100</f>
        <v/>
      </c>
      <c r="B4274">
        <f>$J$4-$B$5/10+$B$5*10/100</f>
        <v/>
      </c>
      <c r="C4274">
        <f>SUMPRODUCT(Calc!$K$3:$K$22*(Calc!$G$3:$G$22&lt;=A4274))</f>
        <v/>
      </c>
      <c r="D4274">
        <f>SUMPRODUCT(Calc!$K$3:$K$22*(Calc!$G$3:$G$22&gt;A4274)*(Calc!$G$3:$G$22&lt;B4274))</f>
        <v/>
      </c>
      <c r="E4274">
        <f>SUMPRODUCT(Calc!$K$3:$K$22*(Calc!$G$3:$G$22&gt;=B4274))</f>
        <v/>
      </c>
      <c r="F4274">
        <f>AND(k_n&gt;=5,B4274&gt;A4274+1E-9,C4274&gt;=2,D4274&gt;=1,E4274&gt;=2)</f>
        <v/>
      </c>
      <c r="G4274">
        <f>SUMPRODUCT(Calc!$K$3:$K$22*(Calc!$G$3:$G$22&gt;A4274)*(Calc!$G$3:$G$22-A4274))</f>
        <v/>
      </c>
      <c r="H4274">
        <f>SUMPRODUCT(Calc!$K$3:$K$22*(Calc!$G$3:$G$22&gt;B4274)*(Calc!$G$3:$G$22-B4274))</f>
        <v/>
      </c>
      <c r="I4274">
        <f>SUMPRODUCT(Calc!$K$3:$K$22*(Calc!$G$3:$G$22&gt;A4274)*(Calc!$G$3:$G$22-A4274)^2)</f>
        <v/>
      </c>
      <c r="J4274">
        <f>SUMPRODUCT(Calc!$K$3:$K$22*(Calc!$G$3:$G$22&gt;B4274)*(Calc!$G$3:$G$22-B4274)^2)</f>
        <v/>
      </c>
      <c r="K4274">
        <f>SUMPRODUCT(Calc!$K$3:$K$22*(Calc!$G$3:$G$22&gt;A4274)*(Calc!$G$3:$G$22-A4274)*(Calc!$G$3:$G$22&gt;B4274)*(Calc!$G$3:$G$22-B4274))</f>
        <v/>
      </c>
      <c r="L4274">
        <f>SUMPRODUCT(Calc!$K$3:$K$22*(Calc!$G$3:$G$22&gt;A4274)*(Calc!$G$3:$G$22-A4274)*Calc!$G$3:$G$22)</f>
        <v/>
      </c>
      <c r="M4274">
        <f>SUMPRODUCT(Calc!$K$3:$K$22*(Calc!$G$3:$G$22&gt;B4274)*(Calc!$G$3:$G$22-B4274)*Calc!$G$3:$G$22)</f>
        <v/>
      </c>
      <c r="N4274">
        <f>SUMPRODUCT(Calc!$K$3:$K$22*(Calc!$G$3:$G$22&gt;A4274)*(Calc!$G$3:$G$22-A4274)*Calc!$I$3:$I$22)</f>
        <v/>
      </c>
      <c r="O4274">
        <f>SUMPRODUCT(Calc!$K$3:$K$22*(Calc!$G$3:$G$22&gt;B4274)*(Calc!$G$3:$G$22-B4274)*Calc!$I$3:$I$22)</f>
        <v/>
      </c>
      <c r="P4274">
        <f>I4274-G4274^2/k_n</f>
        <v/>
      </c>
      <c r="Q4274">
        <f>J4274-H4274^2/k_n</f>
        <v/>
      </c>
      <c r="R4274">
        <f>K4274-G4274*H4274/k_n</f>
        <v/>
      </c>
      <c r="S4274">
        <f>L4274-LTP3!$D$3*G4274/k_n</f>
        <v/>
      </c>
      <c r="T4274">
        <f>M4274-LTP3!$D$3*H4274/k_n</f>
        <v/>
      </c>
      <c r="U4274">
        <f>N4274-G4274*LTP3!$D$4/k_n</f>
        <v/>
      </c>
      <c r="V4274">
        <f>O4274-H4274*LTP3!$D$4/k_n</f>
        <v/>
      </c>
      <c r="W4274">
        <f>((LTP3!$D$5)*((P4274)*(Q4274)-(R4274)*(R4274))-(S4274)*((S4274)*(Q4274)-(R4274)*(T4274))+(T4274)*((S4274)*(R4274)-(P4274)*(T4274)))</f>
        <v/>
      </c>
      <c r="X4274">
        <f>IF(ABS(W4274)&gt;1E-12,((LTP3!$D$6)*((P4274)*(Q4274)-(R4274)*(R4274))-(S4274)*((U4274)*(Q4274)-(R4274)*(V4274))+(T4274)*((U4274)*(R4274)-(P4274)*(V4274)))/W4274,0)</f>
        <v/>
      </c>
      <c r="Y4274">
        <f>IF(ABS(W4274)&gt;1E-12,((LTP3!$D$5)*((U4274)*(Q4274)-(R4274)*(V4274))-(LTP3!$D$6)*((S4274)*(Q4274)-(R4274)*(T4274))+(T4274)*((S4274)*(V4274)-(U4274)*(T4274)))/W4274,0)</f>
        <v/>
      </c>
      <c r="Z4274">
        <f>IF(ABS(W4274)&gt;1E-12,((LTP3!$D$5)*((P4274)*(V4274)-(U4274)*(R4274))-(S4274)*((S4274)*(V4274)-(U4274)*(T4274))+(LTP3!$D$6)*((S4274)*(R4274)-(P4274)*(T4274)))/W4274,0)</f>
        <v/>
      </c>
      <c r="AA4274">
        <f>LTP3!$D$7-X4274*LTP3!$D$6-Y4274*U4274-Z4274*V4274</f>
        <v/>
      </c>
      <c r="AB4274">
        <f>IF(AND(F4274,ABS(W4274)&gt;1E-12,Y4274&gt;0,Z4274&gt;0),AA4274,1E+300)</f>
        <v/>
      </c>
    </row>
    <row r="4275">
      <c r="A4275">
        <f>$I$4-$B$5/10+$B$5*4/100</f>
        <v/>
      </c>
      <c r="B4275">
        <f>$J$4-$B$5/10+$B$5*11/100</f>
        <v/>
      </c>
      <c r="C4275">
        <f>SUMPRODUCT(Calc!$K$3:$K$22*(Calc!$G$3:$G$22&lt;=A4275))</f>
        <v/>
      </c>
      <c r="D4275">
        <f>SUMPRODUCT(Calc!$K$3:$K$22*(Calc!$G$3:$G$22&gt;A4275)*(Calc!$G$3:$G$22&lt;B4275))</f>
        <v/>
      </c>
      <c r="E4275">
        <f>SUMPRODUCT(Calc!$K$3:$K$22*(Calc!$G$3:$G$22&gt;=B4275))</f>
        <v/>
      </c>
      <c r="F4275">
        <f>AND(k_n&gt;=5,B4275&gt;A4275+1E-9,C4275&gt;=2,D4275&gt;=1,E4275&gt;=2)</f>
        <v/>
      </c>
      <c r="G4275">
        <f>SUMPRODUCT(Calc!$K$3:$K$22*(Calc!$G$3:$G$22&gt;A4275)*(Calc!$G$3:$G$22-A4275))</f>
        <v/>
      </c>
      <c r="H4275">
        <f>SUMPRODUCT(Calc!$K$3:$K$22*(Calc!$G$3:$G$22&gt;B4275)*(Calc!$G$3:$G$22-B4275))</f>
        <v/>
      </c>
      <c r="I4275">
        <f>SUMPRODUCT(Calc!$K$3:$K$22*(Calc!$G$3:$G$22&gt;A4275)*(Calc!$G$3:$G$22-A4275)^2)</f>
        <v/>
      </c>
      <c r="J4275">
        <f>SUMPRODUCT(Calc!$K$3:$K$22*(Calc!$G$3:$G$22&gt;B4275)*(Calc!$G$3:$G$22-B4275)^2)</f>
        <v/>
      </c>
      <c r="K4275">
        <f>SUMPRODUCT(Calc!$K$3:$K$22*(Calc!$G$3:$G$22&gt;A4275)*(Calc!$G$3:$G$22-A4275)*(Calc!$G$3:$G$22&gt;B4275)*(Calc!$G$3:$G$22-B4275))</f>
        <v/>
      </c>
      <c r="L4275">
        <f>SUMPRODUCT(Calc!$K$3:$K$22*(Calc!$G$3:$G$22&gt;A4275)*(Calc!$G$3:$G$22-A4275)*Calc!$G$3:$G$22)</f>
        <v/>
      </c>
      <c r="M4275">
        <f>SUMPRODUCT(Calc!$K$3:$K$22*(Calc!$G$3:$G$22&gt;B4275)*(Calc!$G$3:$G$22-B4275)*Calc!$G$3:$G$22)</f>
        <v/>
      </c>
      <c r="N4275">
        <f>SUMPRODUCT(Calc!$K$3:$K$22*(Calc!$G$3:$G$22&gt;A4275)*(Calc!$G$3:$G$22-A4275)*Calc!$I$3:$I$22)</f>
        <v/>
      </c>
      <c r="O4275">
        <f>SUMPRODUCT(Calc!$K$3:$K$22*(Calc!$G$3:$G$22&gt;B4275)*(Calc!$G$3:$G$22-B4275)*Calc!$I$3:$I$22)</f>
        <v/>
      </c>
      <c r="P4275">
        <f>I4275-G4275^2/k_n</f>
        <v/>
      </c>
      <c r="Q4275">
        <f>J4275-H4275^2/k_n</f>
        <v/>
      </c>
      <c r="R4275">
        <f>K4275-G4275*H4275/k_n</f>
        <v/>
      </c>
      <c r="S4275">
        <f>L4275-LTP3!$D$3*G4275/k_n</f>
        <v/>
      </c>
      <c r="T4275">
        <f>M4275-LTP3!$D$3*H4275/k_n</f>
        <v/>
      </c>
      <c r="U4275">
        <f>N4275-G4275*LTP3!$D$4/k_n</f>
        <v/>
      </c>
      <c r="V4275">
        <f>O4275-H4275*LTP3!$D$4/k_n</f>
        <v/>
      </c>
      <c r="W4275">
        <f>((LTP3!$D$5)*((P4275)*(Q4275)-(R4275)*(R4275))-(S4275)*((S4275)*(Q4275)-(R4275)*(T4275))+(T4275)*((S4275)*(R4275)-(P4275)*(T4275)))</f>
        <v/>
      </c>
      <c r="X4275">
        <f>IF(ABS(W4275)&gt;1E-12,((LTP3!$D$6)*((P4275)*(Q4275)-(R4275)*(R4275))-(S4275)*((U4275)*(Q4275)-(R4275)*(V4275))+(T4275)*((U4275)*(R4275)-(P4275)*(V4275)))/W4275,0)</f>
        <v/>
      </c>
      <c r="Y4275">
        <f>IF(ABS(W4275)&gt;1E-12,((LTP3!$D$5)*((U4275)*(Q4275)-(R4275)*(V4275))-(LTP3!$D$6)*((S4275)*(Q4275)-(R4275)*(T4275))+(T4275)*((S4275)*(V4275)-(U4275)*(T4275)))/W4275,0)</f>
        <v/>
      </c>
      <c r="Z4275">
        <f>IF(ABS(W4275)&gt;1E-12,((LTP3!$D$5)*((P4275)*(V4275)-(U4275)*(R4275))-(S4275)*((S4275)*(V4275)-(U4275)*(T4275))+(LTP3!$D$6)*((S4275)*(R4275)-(P4275)*(T4275)))/W4275,0)</f>
        <v/>
      </c>
      <c r="AA4275">
        <f>LTP3!$D$7-X4275*LTP3!$D$6-Y4275*U4275-Z4275*V4275</f>
        <v/>
      </c>
      <c r="AB4275">
        <f>IF(AND(F4275,ABS(W4275)&gt;1E-12,Y4275&gt;0,Z4275&gt;0),AA4275,1E+300)</f>
        <v/>
      </c>
    </row>
    <row r="4276">
      <c r="A4276">
        <f>$I$4-$B$5/10+$B$5*4/100</f>
        <v/>
      </c>
      <c r="B4276">
        <f>$J$4-$B$5/10+$B$5*12/100</f>
        <v/>
      </c>
      <c r="C4276">
        <f>SUMPRODUCT(Calc!$K$3:$K$22*(Calc!$G$3:$G$22&lt;=A4276))</f>
        <v/>
      </c>
      <c r="D4276">
        <f>SUMPRODUCT(Calc!$K$3:$K$22*(Calc!$G$3:$G$22&gt;A4276)*(Calc!$G$3:$G$22&lt;B4276))</f>
        <v/>
      </c>
      <c r="E4276">
        <f>SUMPRODUCT(Calc!$K$3:$K$22*(Calc!$G$3:$G$22&gt;=B4276))</f>
        <v/>
      </c>
      <c r="F4276">
        <f>AND(k_n&gt;=5,B4276&gt;A4276+1E-9,C4276&gt;=2,D4276&gt;=1,E4276&gt;=2)</f>
        <v/>
      </c>
      <c r="G4276">
        <f>SUMPRODUCT(Calc!$K$3:$K$22*(Calc!$G$3:$G$22&gt;A4276)*(Calc!$G$3:$G$22-A4276))</f>
        <v/>
      </c>
      <c r="H4276">
        <f>SUMPRODUCT(Calc!$K$3:$K$22*(Calc!$G$3:$G$22&gt;B4276)*(Calc!$G$3:$G$22-B4276))</f>
        <v/>
      </c>
      <c r="I4276">
        <f>SUMPRODUCT(Calc!$K$3:$K$22*(Calc!$G$3:$G$22&gt;A4276)*(Calc!$G$3:$G$22-A4276)^2)</f>
        <v/>
      </c>
      <c r="J4276">
        <f>SUMPRODUCT(Calc!$K$3:$K$22*(Calc!$G$3:$G$22&gt;B4276)*(Calc!$G$3:$G$22-B4276)^2)</f>
        <v/>
      </c>
      <c r="K4276">
        <f>SUMPRODUCT(Calc!$K$3:$K$22*(Calc!$G$3:$G$22&gt;A4276)*(Calc!$G$3:$G$22-A4276)*(Calc!$G$3:$G$22&gt;B4276)*(Calc!$G$3:$G$22-B4276))</f>
        <v/>
      </c>
      <c r="L4276">
        <f>SUMPRODUCT(Calc!$K$3:$K$22*(Calc!$G$3:$G$22&gt;A4276)*(Calc!$G$3:$G$22-A4276)*Calc!$G$3:$G$22)</f>
        <v/>
      </c>
      <c r="M4276">
        <f>SUMPRODUCT(Calc!$K$3:$K$22*(Calc!$G$3:$G$22&gt;B4276)*(Calc!$G$3:$G$22-B4276)*Calc!$G$3:$G$22)</f>
        <v/>
      </c>
      <c r="N4276">
        <f>SUMPRODUCT(Calc!$K$3:$K$22*(Calc!$G$3:$G$22&gt;A4276)*(Calc!$G$3:$G$22-A4276)*Calc!$I$3:$I$22)</f>
        <v/>
      </c>
      <c r="O4276">
        <f>SUMPRODUCT(Calc!$K$3:$K$22*(Calc!$G$3:$G$22&gt;B4276)*(Calc!$G$3:$G$22-B4276)*Calc!$I$3:$I$22)</f>
        <v/>
      </c>
      <c r="P4276">
        <f>I4276-G4276^2/k_n</f>
        <v/>
      </c>
      <c r="Q4276">
        <f>J4276-H4276^2/k_n</f>
        <v/>
      </c>
      <c r="R4276">
        <f>K4276-G4276*H4276/k_n</f>
        <v/>
      </c>
      <c r="S4276">
        <f>L4276-LTP3!$D$3*G4276/k_n</f>
        <v/>
      </c>
      <c r="T4276">
        <f>M4276-LTP3!$D$3*H4276/k_n</f>
        <v/>
      </c>
      <c r="U4276">
        <f>N4276-G4276*LTP3!$D$4/k_n</f>
        <v/>
      </c>
      <c r="V4276">
        <f>O4276-H4276*LTP3!$D$4/k_n</f>
        <v/>
      </c>
      <c r="W4276">
        <f>((LTP3!$D$5)*((P4276)*(Q4276)-(R4276)*(R4276))-(S4276)*((S4276)*(Q4276)-(R4276)*(T4276))+(T4276)*((S4276)*(R4276)-(P4276)*(T4276)))</f>
        <v/>
      </c>
      <c r="X4276">
        <f>IF(ABS(W4276)&gt;1E-12,((LTP3!$D$6)*((P4276)*(Q4276)-(R4276)*(R4276))-(S4276)*((U4276)*(Q4276)-(R4276)*(V4276))+(T4276)*((U4276)*(R4276)-(P4276)*(V4276)))/W4276,0)</f>
        <v/>
      </c>
      <c r="Y4276">
        <f>IF(ABS(W4276)&gt;1E-12,((LTP3!$D$5)*((U4276)*(Q4276)-(R4276)*(V4276))-(LTP3!$D$6)*((S4276)*(Q4276)-(R4276)*(T4276))+(T4276)*((S4276)*(V4276)-(U4276)*(T4276)))/W4276,0)</f>
        <v/>
      </c>
      <c r="Z4276">
        <f>IF(ABS(W4276)&gt;1E-12,((LTP3!$D$5)*((P4276)*(V4276)-(U4276)*(R4276))-(S4276)*((S4276)*(V4276)-(U4276)*(T4276))+(LTP3!$D$6)*((S4276)*(R4276)-(P4276)*(T4276)))/W4276,0)</f>
        <v/>
      </c>
      <c r="AA4276">
        <f>LTP3!$D$7-X4276*LTP3!$D$6-Y4276*U4276-Z4276*V4276</f>
        <v/>
      </c>
      <c r="AB4276">
        <f>IF(AND(F4276,ABS(W4276)&gt;1E-12,Y4276&gt;0,Z4276&gt;0),AA4276,1E+300)</f>
        <v/>
      </c>
    </row>
    <row r="4277">
      <c r="A4277">
        <f>$I$4-$B$5/10+$B$5*4/100</f>
        <v/>
      </c>
      <c r="B4277">
        <f>$J$4-$B$5/10+$B$5*13/100</f>
        <v/>
      </c>
      <c r="C4277">
        <f>SUMPRODUCT(Calc!$K$3:$K$22*(Calc!$G$3:$G$22&lt;=A4277))</f>
        <v/>
      </c>
      <c r="D4277">
        <f>SUMPRODUCT(Calc!$K$3:$K$22*(Calc!$G$3:$G$22&gt;A4277)*(Calc!$G$3:$G$22&lt;B4277))</f>
        <v/>
      </c>
      <c r="E4277">
        <f>SUMPRODUCT(Calc!$K$3:$K$22*(Calc!$G$3:$G$22&gt;=B4277))</f>
        <v/>
      </c>
      <c r="F4277">
        <f>AND(k_n&gt;=5,B4277&gt;A4277+1E-9,C4277&gt;=2,D4277&gt;=1,E4277&gt;=2)</f>
        <v/>
      </c>
      <c r="G4277">
        <f>SUMPRODUCT(Calc!$K$3:$K$22*(Calc!$G$3:$G$22&gt;A4277)*(Calc!$G$3:$G$22-A4277))</f>
        <v/>
      </c>
      <c r="H4277">
        <f>SUMPRODUCT(Calc!$K$3:$K$22*(Calc!$G$3:$G$22&gt;B4277)*(Calc!$G$3:$G$22-B4277))</f>
        <v/>
      </c>
      <c r="I4277">
        <f>SUMPRODUCT(Calc!$K$3:$K$22*(Calc!$G$3:$G$22&gt;A4277)*(Calc!$G$3:$G$22-A4277)^2)</f>
        <v/>
      </c>
      <c r="J4277">
        <f>SUMPRODUCT(Calc!$K$3:$K$22*(Calc!$G$3:$G$22&gt;B4277)*(Calc!$G$3:$G$22-B4277)^2)</f>
        <v/>
      </c>
      <c r="K4277">
        <f>SUMPRODUCT(Calc!$K$3:$K$22*(Calc!$G$3:$G$22&gt;A4277)*(Calc!$G$3:$G$22-A4277)*(Calc!$G$3:$G$22&gt;B4277)*(Calc!$G$3:$G$22-B4277))</f>
        <v/>
      </c>
      <c r="L4277">
        <f>SUMPRODUCT(Calc!$K$3:$K$22*(Calc!$G$3:$G$22&gt;A4277)*(Calc!$G$3:$G$22-A4277)*Calc!$G$3:$G$22)</f>
        <v/>
      </c>
      <c r="M4277">
        <f>SUMPRODUCT(Calc!$K$3:$K$22*(Calc!$G$3:$G$22&gt;B4277)*(Calc!$G$3:$G$22-B4277)*Calc!$G$3:$G$22)</f>
        <v/>
      </c>
      <c r="N4277">
        <f>SUMPRODUCT(Calc!$K$3:$K$22*(Calc!$G$3:$G$22&gt;A4277)*(Calc!$G$3:$G$22-A4277)*Calc!$I$3:$I$22)</f>
        <v/>
      </c>
      <c r="O4277">
        <f>SUMPRODUCT(Calc!$K$3:$K$22*(Calc!$G$3:$G$22&gt;B4277)*(Calc!$G$3:$G$22-B4277)*Calc!$I$3:$I$22)</f>
        <v/>
      </c>
      <c r="P4277">
        <f>I4277-G4277^2/k_n</f>
        <v/>
      </c>
      <c r="Q4277">
        <f>J4277-H4277^2/k_n</f>
        <v/>
      </c>
      <c r="R4277">
        <f>K4277-G4277*H4277/k_n</f>
        <v/>
      </c>
      <c r="S4277">
        <f>L4277-LTP3!$D$3*G4277/k_n</f>
        <v/>
      </c>
      <c r="T4277">
        <f>M4277-LTP3!$D$3*H4277/k_n</f>
        <v/>
      </c>
      <c r="U4277">
        <f>N4277-G4277*LTP3!$D$4/k_n</f>
        <v/>
      </c>
      <c r="V4277">
        <f>O4277-H4277*LTP3!$D$4/k_n</f>
        <v/>
      </c>
      <c r="W4277">
        <f>((LTP3!$D$5)*((P4277)*(Q4277)-(R4277)*(R4277))-(S4277)*((S4277)*(Q4277)-(R4277)*(T4277))+(T4277)*((S4277)*(R4277)-(P4277)*(T4277)))</f>
        <v/>
      </c>
      <c r="X4277">
        <f>IF(ABS(W4277)&gt;1E-12,((LTP3!$D$6)*((P4277)*(Q4277)-(R4277)*(R4277))-(S4277)*((U4277)*(Q4277)-(R4277)*(V4277))+(T4277)*((U4277)*(R4277)-(P4277)*(V4277)))/W4277,0)</f>
        <v/>
      </c>
      <c r="Y4277">
        <f>IF(ABS(W4277)&gt;1E-12,((LTP3!$D$5)*((U4277)*(Q4277)-(R4277)*(V4277))-(LTP3!$D$6)*((S4277)*(Q4277)-(R4277)*(T4277))+(T4277)*((S4277)*(V4277)-(U4277)*(T4277)))/W4277,0)</f>
        <v/>
      </c>
      <c r="Z4277">
        <f>IF(ABS(W4277)&gt;1E-12,((LTP3!$D$5)*((P4277)*(V4277)-(U4277)*(R4277))-(S4277)*((S4277)*(V4277)-(U4277)*(T4277))+(LTP3!$D$6)*((S4277)*(R4277)-(P4277)*(T4277)))/W4277,0)</f>
        <v/>
      </c>
      <c r="AA4277">
        <f>LTP3!$D$7-X4277*LTP3!$D$6-Y4277*U4277-Z4277*V4277</f>
        <v/>
      </c>
      <c r="AB4277">
        <f>IF(AND(F4277,ABS(W4277)&gt;1E-12,Y4277&gt;0,Z4277&gt;0),AA4277,1E+300)</f>
        <v/>
      </c>
    </row>
    <row r="4278">
      <c r="A4278">
        <f>$I$4-$B$5/10+$B$5*4/100</f>
        <v/>
      </c>
      <c r="B4278">
        <f>$J$4-$B$5/10+$B$5*14/100</f>
        <v/>
      </c>
      <c r="C4278">
        <f>SUMPRODUCT(Calc!$K$3:$K$22*(Calc!$G$3:$G$22&lt;=A4278))</f>
        <v/>
      </c>
      <c r="D4278">
        <f>SUMPRODUCT(Calc!$K$3:$K$22*(Calc!$G$3:$G$22&gt;A4278)*(Calc!$G$3:$G$22&lt;B4278))</f>
        <v/>
      </c>
      <c r="E4278">
        <f>SUMPRODUCT(Calc!$K$3:$K$22*(Calc!$G$3:$G$22&gt;=B4278))</f>
        <v/>
      </c>
      <c r="F4278">
        <f>AND(k_n&gt;=5,B4278&gt;A4278+1E-9,C4278&gt;=2,D4278&gt;=1,E4278&gt;=2)</f>
        <v/>
      </c>
      <c r="G4278">
        <f>SUMPRODUCT(Calc!$K$3:$K$22*(Calc!$G$3:$G$22&gt;A4278)*(Calc!$G$3:$G$22-A4278))</f>
        <v/>
      </c>
      <c r="H4278">
        <f>SUMPRODUCT(Calc!$K$3:$K$22*(Calc!$G$3:$G$22&gt;B4278)*(Calc!$G$3:$G$22-B4278))</f>
        <v/>
      </c>
      <c r="I4278">
        <f>SUMPRODUCT(Calc!$K$3:$K$22*(Calc!$G$3:$G$22&gt;A4278)*(Calc!$G$3:$G$22-A4278)^2)</f>
        <v/>
      </c>
      <c r="J4278">
        <f>SUMPRODUCT(Calc!$K$3:$K$22*(Calc!$G$3:$G$22&gt;B4278)*(Calc!$G$3:$G$22-B4278)^2)</f>
        <v/>
      </c>
      <c r="K4278">
        <f>SUMPRODUCT(Calc!$K$3:$K$22*(Calc!$G$3:$G$22&gt;A4278)*(Calc!$G$3:$G$22-A4278)*(Calc!$G$3:$G$22&gt;B4278)*(Calc!$G$3:$G$22-B4278))</f>
        <v/>
      </c>
      <c r="L4278">
        <f>SUMPRODUCT(Calc!$K$3:$K$22*(Calc!$G$3:$G$22&gt;A4278)*(Calc!$G$3:$G$22-A4278)*Calc!$G$3:$G$22)</f>
        <v/>
      </c>
      <c r="M4278">
        <f>SUMPRODUCT(Calc!$K$3:$K$22*(Calc!$G$3:$G$22&gt;B4278)*(Calc!$G$3:$G$22-B4278)*Calc!$G$3:$G$22)</f>
        <v/>
      </c>
      <c r="N4278">
        <f>SUMPRODUCT(Calc!$K$3:$K$22*(Calc!$G$3:$G$22&gt;A4278)*(Calc!$G$3:$G$22-A4278)*Calc!$I$3:$I$22)</f>
        <v/>
      </c>
      <c r="O4278">
        <f>SUMPRODUCT(Calc!$K$3:$K$22*(Calc!$G$3:$G$22&gt;B4278)*(Calc!$G$3:$G$22-B4278)*Calc!$I$3:$I$22)</f>
        <v/>
      </c>
      <c r="P4278">
        <f>I4278-G4278^2/k_n</f>
        <v/>
      </c>
      <c r="Q4278">
        <f>J4278-H4278^2/k_n</f>
        <v/>
      </c>
      <c r="R4278">
        <f>K4278-G4278*H4278/k_n</f>
        <v/>
      </c>
      <c r="S4278">
        <f>L4278-LTP3!$D$3*G4278/k_n</f>
        <v/>
      </c>
      <c r="T4278">
        <f>M4278-LTP3!$D$3*H4278/k_n</f>
        <v/>
      </c>
      <c r="U4278">
        <f>N4278-G4278*LTP3!$D$4/k_n</f>
        <v/>
      </c>
      <c r="V4278">
        <f>O4278-H4278*LTP3!$D$4/k_n</f>
        <v/>
      </c>
      <c r="W4278">
        <f>((LTP3!$D$5)*((P4278)*(Q4278)-(R4278)*(R4278))-(S4278)*((S4278)*(Q4278)-(R4278)*(T4278))+(T4278)*((S4278)*(R4278)-(P4278)*(T4278)))</f>
        <v/>
      </c>
      <c r="X4278">
        <f>IF(ABS(W4278)&gt;1E-12,((LTP3!$D$6)*((P4278)*(Q4278)-(R4278)*(R4278))-(S4278)*((U4278)*(Q4278)-(R4278)*(V4278))+(T4278)*((U4278)*(R4278)-(P4278)*(V4278)))/W4278,0)</f>
        <v/>
      </c>
      <c r="Y4278">
        <f>IF(ABS(W4278)&gt;1E-12,((LTP3!$D$5)*((U4278)*(Q4278)-(R4278)*(V4278))-(LTP3!$D$6)*((S4278)*(Q4278)-(R4278)*(T4278))+(T4278)*((S4278)*(V4278)-(U4278)*(T4278)))/W4278,0)</f>
        <v/>
      </c>
      <c r="Z4278">
        <f>IF(ABS(W4278)&gt;1E-12,((LTP3!$D$5)*((P4278)*(V4278)-(U4278)*(R4278))-(S4278)*((S4278)*(V4278)-(U4278)*(T4278))+(LTP3!$D$6)*((S4278)*(R4278)-(P4278)*(T4278)))/W4278,0)</f>
        <v/>
      </c>
      <c r="AA4278">
        <f>LTP3!$D$7-X4278*LTP3!$D$6-Y4278*U4278-Z4278*V4278</f>
        <v/>
      </c>
      <c r="AB4278">
        <f>IF(AND(F4278,ABS(W4278)&gt;1E-12,Y4278&gt;0,Z4278&gt;0),AA4278,1E+300)</f>
        <v/>
      </c>
    </row>
    <row r="4279">
      <c r="A4279">
        <f>$I$4-$B$5/10+$B$5*4/100</f>
        <v/>
      </c>
      <c r="B4279">
        <f>$J$4-$B$5/10+$B$5*15/100</f>
        <v/>
      </c>
      <c r="C4279">
        <f>SUMPRODUCT(Calc!$K$3:$K$22*(Calc!$G$3:$G$22&lt;=A4279))</f>
        <v/>
      </c>
      <c r="D4279">
        <f>SUMPRODUCT(Calc!$K$3:$K$22*(Calc!$G$3:$G$22&gt;A4279)*(Calc!$G$3:$G$22&lt;B4279))</f>
        <v/>
      </c>
      <c r="E4279">
        <f>SUMPRODUCT(Calc!$K$3:$K$22*(Calc!$G$3:$G$22&gt;=B4279))</f>
        <v/>
      </c>
      <c r="F4279">
        <f>AND(k_n&gt;=5,B4279&gt;A4279+1E-9,C4279&gt;=2,D4279&gt;=1,E4279&gt;=2)</f>
        <v/>
      </c>
      <c r="G4279">
        <f>SUMPRODUCT(Calc!$K$3:$K$22*(Calc!$G$3:$G$22&gt;A4279)*(Calc!$G$3:$G$22-A4279))</f>
        <v/>
      </c>
      <c r="H4279">
        <f>SUMPRODUCT(Calc!$K$3:$K$22*(Calc!$G$3:$G$22&gt;B4279)*(Calc!$G$3:$G$22-B4279))</f>
        <v/>
      </c>
      <c r="I4279">
        <f>SUMPRODUCT(Calc!$K$3:$K$22*(Calc!$G$3:$G$22&gt;A4279)*(Calc!$G$3:$G$22-A4279)^2)</f>
        <v/>
      </c>
      <c r="J4279">
        <f>SUMPRODUCT(Calc!$K$3:$K$22*(Calc!$G$3:$G$22&gt;B4279)*(Calc!$G$3:$G$22-B4279)^2)</f>
        <v/>
      </c>
      <c r="K4279">
        <f>SUMPRODUCT(Calc!$K$3:$K$22*(Calc!$G$3:$G$22&gt;A4279)*(Calc!$G$3:$G$22-A4279)*(Calc!$G$3:$G$22&gt;B4279)*(Calc!$G$3:$G$22-B4279))</f>
        <v/>
      </c>
      <c r="L4279">
        <f>SUMPRODUCT(Calc!$K$3:$K$22*(Calc!$G$3:$G$22&gt;A4279)*(Calc!$G$3:$G$22-A4279)*Calc!$G$3:$G$22)</f>
        <v/>
      </c>
      <c r="M4279">
        <f>SUMPRODUCT(Calc!$K$3:$K$22*(Calc!$G$3:$G$22&gt;B4279)*(Calc!$G$3:$G$22-B4279)*Calc!$G$3:$G$22)</f>
        <v/>
      </c>
      <c r="N4279">
        <f>SUMPRODUCT(Calc!$K$3:$K$22*(Calc!$G$3:$G$22&gt;A4279)*(Calc!$G$3:$G$22-A4279)*Calc!$I$3:$I$22)</f>
        <v/>
      </c>
      <c r="O4279">
        <f>SUMPRODUCT(Calc!$K$3:$K$22*(Calc!$G$3:$G$22&gt;B4279)*(Calc!$G$3:$G$22-B4279)*Calc!$I$3:$I$22)</f>
        <v/>
      </c>
      <c r="P4279">
        <f>I4279-G4279^2/k_n</f>
        <v/>
      </c>
      <c r="Q4279">
        <f>J4279-H4279^2/k_n</f>
        <v/>
      </c>
      <c r="R4279">
        <f>K4279-G4279*H4279/k_n</f>
        <v/>
      </c>
      <c r="S4279">
        <f>L4279-LTP3!$D$3*G4279/k_n</f>
        <v/>
      </c>
      <c r="T4279">
        <f>M4279-LTP3!$D$3*H4279/k_n</f>
        <v/>
      </c>
      <c r="U4279">
        <f>N4279-G4279*LTP3!$D$4/k_n</f>
        <v/>
      </c>
      <c r="V4279">
        <f>O4279-H4279*LTP3!$D$4/k_n</f>
        <v/>
      </c>
      <c r="W4279">
        <f>((LTP3!$D$5)*((P4279)*(Q4279)-(R4279)*(R4279))-(S4279)*((S4279)*(Q4279)-(R4279)*(T4279))+(T4279)*((S4279)*(R4279)-(P4279)*(T4279)))</f>
        <v/>
      </c>
      <c r="X4279">
        <f>IF(ABS(W4279)&gt;1E-12,((LTP3!$D$6)*((P4279)*(Q4279)-(R4279)*(R4279))-(S4279)*((U4279)*(Q4279)-(R4279)*(V4279))+(T4279)*((U4279)*(R4279)-(P4279)*(V4279)))/W4279,0)</f>
        <v/>
      </c>
      <c r="Y4279">
        <f>IF(ABS(W4279)&gt;1E-12,((LTP3!$D$5)*((U4279)*(Q4279)-(R4279)*(V4279))-(LTP3!$D$6)*((S4279)*(Q4279)-(R4279)*(T4279))+(T4279)*((S4279)*(V4279)-(U4279)*(T4279)))/W4279,0)</f>
        <v/>
      </c>
      <c r="Z4279">
        <f>IF(ABS(W4279)&gt;1E-12,((LTP3!$D$5)*((P4279)*(V4279)-(U4279)*(R4279))-(S4279)*((S4279)*(V4279)-(U4279)*(T4279))+(LTP3!$D$6)*((S4279)*(R4279)-(P4279)*(T4279)))/W4279,0)</f>
        <v/>
      </c>
      <c r="AA4279">
        <f>LTP3!$D$7-X4279*LTP3!$D$6-Y4279*U4279-Z4279*V4279</f>
        <v/>
      </c>
      <c r="AB4279">
        <f>IF(AND(F4279,ABS(W4279)&gt;1E-12,Y4279&gt;0,Z4279&gt;0),AA4279,1E+300)</f>
        <v/>
      </c>
    </row>
    <row r="4280">
      <c r="A4280">
        <f>$I$4-$B$5/10+$B$5*4/100</f>
        <v/>
      </c>
      <c r="B4280">
        <f>$J$4-$B$5/10+$B$5*16/100</f>
        <v/>
      </c>
      <c r="C4280">
        <f>SUMPRODUCT(Calc!$K$3:$K$22*(Calc!$G$3:$G$22&lt;=A4280))</f>
        <v/>
      </c>
      <c r="D4280">
        <f>SUMPRODUCT(Calc!$K$3:$K$22*(Calc!$G$3:$G$22&gt;A4280)*(Calc!$G$3:$G$22&lt;B4280))</f>
        <v/>
      </c>
      <c r="E4280">
        <f>SUMPRODUCT(Calc!$K$3:$K$22*(Calc!$G$3:$G$22&gt;=B4280))</f>
        <v/>
      </c>
      <c r="F4280">
        <f>AND(k_n&gt;=5,B4280&gt;A4280+1E-9,C4280&gt;=2,D4280&gt;=1,E4280&gt;=2)</f>
        <v/>
      </c>
      <c r="G4280">
        <f>SUMPRODUCT(Calc!$K$3:$K$22*(Calc!$G$3:$G$22&gt;A4280)*(Calc!$G$3:$G$22-A4280))</f>
        <v/>
      </c>
      <c r="H4280">
        <f>SUMPRODUCT(Calc!$K$3:$K$22*(Calc!$G$3:$G$22&gt;B4280)*(Calc!$G$3:$G$22-B4280))</f>
        <v/>
      </c>
      <c r="I4280">
        <f>SUMPRODUCT(Calc!$K$3:$K$22*(Calc!$G$3:$G$22&gt;A4280)*(Calc!$G$3:$G$22-A4280)^2)</f>
        <v/>
      </c>
      <c r="J4280">
        <f>SUMPRODUCT(Calc!$K$3:$K$22*(Calc!$G$3:$G$22&gt;B4280)*(Calc!$G$3:$G$22-B4280)^2)</f>
        <v/>
      </c>
      <c r="K4280">
        <f>SUMPRODUCT(Calc!$K$3:$K$22*(Calc!$G$3:$G$22&gt;A4280)*(Calc!$G$3:$G$22-A4280)*(Calc!$G$3:$G$22&gt;B4280)*(Calc!$G$3:$G$22-B4280))</f>
        <v/>
      </c>
      <c r="L4280">
        <f>SUMPRODUCT(Calc!$K$3:$K$22*(Calc!$G$3:$G$22&gt;A4280)*(Calc!$G$3:$G$22-A4280)*Calc!$G$3:$G$22)</f>
        <v/>
      </c>
      <c r="M4280">
        <f>SUMPRODUCT(Calc!$K$3:$K$22*(Calc!$G$3:$G$22&gt;B4280)*(Calc!$G$3:$G$22-B4280)*Calc!$G$3:$G$22)</f>
        <v/>
      </c>
      <c r="N4280">
        <f>SUMPRODUCT(Calc!$K$3:$K$22*(Calc!$G$3:$G$22&gt;A4280)*(Calc!$G$3:$G$22-A4280)*Calc!$I$3:$I$22)</f>
        <v/>
      </c>
      <c r="O4280">
        <f>SUMPRODUCT(Calc!$K$3:$K$22*(Calc!$G$3:$G$22&gt;B4280)*(Calc!$G$3:$G$22-B4280)*Calc!$I$3:$I$22)</f>
        <v/>
      </c>
      <c r="P4280">
        <f>I4280-G4280^2/k_n</f>
        <v/>
      </c>
      <c r="Q4280">
        <f>J4280-H4280^2/k_n</f>
        <v/>
      </c>
      <c r="R4280">
        <f>K4280-G4280*H4280/k_n</f>
        <v/>
      </c>
      <c r="S4280">
        <f>L4280-LTP3!$D$3*G4280/k_n</f>
        <v/>
      </c>
      <c r="T4280">
        <f>M4280-LTP3!$D$3*H4280/k_n</f>
        <v/>
      </c>
      <c r="U4280">
        <f>N4280-G4280*LTP3!$D$4/k_n</f>
        <v/>
      </c>
      <c r="V4280">
        <f>O4280-H4280*LTP3!$D$4/k_n</f>
        <v/>
      </c>
      <c r="W4280">
        <f>((LTP3!$D$5)*((P4280)*(Q4280)-(R4280)*(R4280))-(S4280)*((S4280)*(Q4280)-(R4280)*(T4280))+(T4280)*((S4280)*(R4280)-(P4280)*(T4280)))</f>
        <v/>
      </c>
      <c r="X4280">
        <f>IF(ABS(W4280)&gt;1E-12,((LTP3!$D$6)*((P4280)*(Q4280)-(R4280)*(R4280))-(S4280)*((U4280)*(Q4280)-(R4280)*(V4280))+(T4280)*((U4280)*(R4280)-(P4280)*(V4280)))/W4280,0)</f>
        <v/>
      </c>
      <c r="Y4280">
        <f>IF(ABS(W4280)&gt;1E-12,((LTP3!$D$5)*((U4280)*(Q4280)-(R4280)*(V4280))-(LTP3!$D$6)*((S4280)*(Q4280)-(R4280)*(T4280))+(T4280)*((S4280)*(V4280)-(U4280)*(T4280)))/W4280,0)</f>
        <v/>
      </c>
      <c r="Z4280">
        <f>IF(ABS(W4280)&gt;1E-12,((LTP3!$D$5)*((P4280)*(V4280)-(U4280)*(R4280))-(S4280)*((S4280)*(V4280)-(U4280)*(T4280))+(LTP3!$D$6)*((S4280)*(R4280)-(P4280)*(T4280)))/W4280,0)</f>
        <v/>
      </c>
      <c r="AA4280">
        <f>LTP3!$D$7-X4280*LTP3!$D$6-Y4280*U4280-Z4280*V4280</f>
        <v/>
      </c>
      <c r="AB4280">
        <f>IF(AND(F4280,ABS(W4280)&gt;1E-12,Y4280&gt;0,Z4280&gt;0),AA4280,1E+300)</f>
        <v/>
      </c>
    </row>
    <row r="4281">
      <c r="A4281">
        <f>$I$4-$B$5/10+$B$5*4/100</f>
        <v/>
      </c>
      <c r="B4281">
        <f>$J$4-$B$5/10+$B$5*17/100</f>
        <v/>
      </c>
      <c r="C4281">
        <f>SUMPRODUCT(Calc!$K$3:$K$22*(Calc!$G$3:$G$22&lt;=A4281))</f>
        <v/>
      </c>
      <c r="D4281">
        <f>SUMPRODUCT(Calc!$K$3:$K$22*(Calc!$G$3:$G$22&gt;A4281)*(Calc!$G$3:$G$22&lt;B4281))</f>
        <v/>
      </c>
      <c r="E4281">
        <f>SUMPRODUCT(Calc!$K$3:$K$22*(Calc!$G$3:$G$22&gt;=B4281))</f>
        <v/>
      </c>
      <c r="F4281">
        <f>AND(k_n&gt;=5,B4281&gt;A4281+1E-9,C4281&gt;=2,D4281&gt;=1,E4281&gt;=2)</f>
        <v/>
      </c>
      <c r="G4281">
        <f>SUMPRODUCT(Calc!$K$3:$K$22*(Calc!$G$3:$G$22&gt;A4281)*(Calc!$G$3:$G$22-A4281))</f>
        <v/>
      </c>
      <c r="H4281">
        <f>SUMPRODUCT(Calc!$K$3:$K$22*(Calc!$G$3:$G$22&gt;B4281)*(Calc!$G$3:$G$22-B4281))</f>
        <v/>
      </c>
      <c r="I4281">
        <f>SUMPRODUCT(Calc!$K$3:$K$22*(Calc!$G$3:$G$22&gt;A4281)*(Calc!$G$3:$G$22-A4281)^2)</f>
        <v/>
      </c>
      <c r="J4281">
        <f>SUMPRODUCT(Calc!$K$3:$K$22*(Calc!$G$3:$G$22&gt;B4281)*(Calc!$G$3:$G$22-B4281)^2)</f>
        <v/>
      </c>
      <c r="K4281">
        <f>SUMPRODUCT(Calc!$K$3:$K$22*(Calc!$G$3:$G$22&gt;A4281)*(Calc!$G$3:$G$22-A4281)*(Calc!$G$3:$G$22&gt;B4281)*(Calc!$G$3:$G$22-B4281))</f>
        <v/>
      </c>
      <c r="L4281">
        <f>SUMPRODUCT(Calc!$K$3:$K$22*(Calc!$G$3:$G$22&gt;A4281)*(Calc!$G$3:$G$22-A4281)*Calc!$G$3:$G$22)</f>
        <v/>
      </c>
      <c r="M4281">
        <f>SUMPRODUCT(Calc!$K$3:$K$22*(Calc!$G$3:$G$22&gt;B4281)*(Calc!$G$3:$G$22-B4281)*Calc!$G$3:$G$22)</f>
        <v/>
      </c>
      <c r="N4281">
        <f>SUMPRODUCT(Calc!$K$3:$K$22*(Calc!$G$3:$G$22&gt;A4281)*(Calc!$G$3:$G$22-A4281)*Calc!$I$3:$I$22)</f>
        <v/>
      </c>
      <c r="O4281">
        <f>SUMPRODUCT(Calc!$K$3:$K$22*(Calc!$G$3:$G$22&gt;B4281)*(Calc!$G$3:$G$22-B4281)*Calc!$I$3:$I$22)</f>
        <v/>
      </c>
      <c r="P4281">
        <f>I4281-G4281^2/k_n</f>
        <v/>
      </c>
      <c r="Q4281">
        <f>J4281-H4281^2/k_n</f>
        <v/>
      </c>
      <c r="R4281">
        <f>K4281-G4281*H4281/k_n</f>
        <v/>
      </c>
      <c r="S4281">
        <f>L4281-LTP3!$D$3*G4281/k_n</f>
        <v/>
      </c>
      <c r="T4281">
        <f>M4281-LTP3!$D$3*H4281/k_n</f>
        <v/>
      </c>
      <c r="U4281">
        <f>N4281-G4281*LTP3!$D$4/k_n</f>
        <v/>
      </c>
      <c r="V4281">
        <f>O4281-H4281*LTP3!$D$4/k_n</f>
        <v/>
      </c>
      <c r="W4281">
        <f>((LTP3!$D$5)*((P4281)*(Q4281)-(R4281)*(R4281))-(S4281)*((S4281)*(Q4281)-(R4281)*(T4281))+(T4281)*((S4281)*(R4281)-(P4281)*(T4281)))</f>
        <v/>
      </c>
      <c r="X4281">
        <f>IF(ABS(W4281)&gt;1E-12,((LTP3!$D$6)*((P4281)*(Q4281)-(R4281)*(R4281))-(S4281)*((U4281)*(Q4281)-(R4281)*(V4281))+(T4281)*((U4281)*(R4281)-(P4281)*(V4281)))/W4281,0)</f>
        <v/>
      </c>
      <c r="Y4281">
        <f>IF(ABS(W4281)&gt;1E-12,((LTP3!$D$5)*((U4281)*(Q4281)-(R4281)*(V4281))-(LTP3!$D$6)*((S4281)*(Q4281)-(R4281)*(T4281))+(T4281)*((S4281)*(V4281)-(U4281)*(T4281)))/W4281,0)</f>
        <v/>
      </c>
      <c r="Z4281">
        <f>IF(ABS(W4281)&gt;1E-12,((LTP3!$D$5)*((P4281)*(V4281)-(U4281)*(R4281))-(S4281)*((S4281)*(V4281)-(U4281)*(T4281))+(LTP3!$D$6)*((S4281)*(R4281)-(P4281)*(T4281)))/W4281,0)</f>
        <v/>
      </c>
      <c r="AA4281">
        <f>LTP3!$D$7-X4281*LTP3!$D$6-Y4281*U4281-Z4281*V4281</f>
        <v/>
      </c>
      <c r="AB4281">
        <f>IF(AND(F4281,ABS(W4281)&gt;1E-12,Y4281&gt;0,Z4281&gt;0),AA4281,1E+300)</f>
        <v/>
      </c>
    </row>
    <row r="4282">
      <c r="A4282">
        <f>$I$4-$B$5/10+$B$5*4/100</f>
        <v/>
      </c>
      <c r="B4282">
        <f>$J$4-$B$5/10+$B$5*18/100</f>
        <v/>
      </c>
      <c r="C4282">
        <f>SUMPRODUCT(Calc!$K$3:$K$22*(Calc!$G$3:$G$22&lt;=A4282))</f>
        <v/>
      </c>
      <c r="D4282">
        <f>SUMPRODUCT(Calc!$K$3:$K$22*(Calc!$G$3:$G$22&gt;A4282)*(Calc!$G$3:$G$22&lt;B4282))</f>
        <v/>
      </c>
      <c r="E4282">
        <f>SUMPRODUCT(Calc!$K$3:$K$22*(Calc!$G$3:$G$22&gt;=B4282))</f>
        <v/>
      </c>
      <c r="F4282">
        <f>AND(k_n&gt;=5,B4282&gt;A4282+1E-9,C4282&gt;=2,D4282&gt;=1,E4282&gt;=2)</f>
        <v/>
      </c>
      <c r="G4282">
        <f>SUMPRODUCT(Calc!$K$3:$K$22*(Calc!$G$3:$G$22&gt;A4282)*(Calc!$G$3:$G$22-A4282))</f>
        <v/>
      </c>
      <c r="H4282">
        <f>SUMPRODUCT(Calc!$K$3:$K$22*(Calc!$G$3:$G$22&gt;B4282)*(Calc!$G$3:$G$22-B4282))</f>
        <v/>
      </c>
      <c r="I4282">
        <f>SUMPRODUCT(Calc!$K$3:$K$22*(Calc!$G$3:$G$22&gt;A4282)*(Calc!$G$3:$G$22-A4282)^2)</f>
        <v/>
      </c>
      <c r="J4282">
        <f>SUMPRODUCT(Calc!$K$3:$K$22*(Calc!$G$3:$G$22&gt;B4282)*(Calc!$G$3:$G$22-B4282)^2)</f>
        <v/>
      </c>
      <c r="K4282">
        <f>SUMPRODUCT(Calc!$K$3:$K$22*(Calc!$G$3:$G$22&gt;A4282)*(Calc!$G$3:$G$22-A4282)*(Calc!$G$3:$G$22&gt;B4282)*(Calc!$G$3:$G$22-B4282))</f>
        <v/>
      </c>
      <c r="L4282">
        <f>SUMPRODUCT(Calc!$K$3:$K$22*(Calc!$G$3:$G$22&gt;A4282)*(Calc!$G$3:$G$22-A4282)*Calc!$G$3:$G$22)</f>
        <v/>
      </c>
      <c r="M4282">
        <f>SUMPRODUCT(Calc!$K$3:$K$22*(Calc!$G$3:$G$22&gt;B4282)*(Calc!$G$3:$G$22-B4282)*Calc!$G$3:$G$22)</f>
        <v/>
      </c>
      <c r="N4282">
        <f>SUMPRODUCT(Calc!$K$3:$K$22*(Calc!$G$3:$G$22&gt;A4282)*(Calc!$G$3:$G$22-A4282)*Calc!$I$3:$I$22)</f>
        <v/>
      </c>
      <c r="O4282">
        <f>SUMPRODUCT(Calc!$K$3:$K$22*(Calc!$G$3:$G$22&gt;B4282)*(Calc!$G$3:$G$22-B4282)*Calc!$I$3:$I$22)</f>
        <v/>
      </c>
      <c r="P4282">
        <f>I4282-G4282^2/k_n</f>
        <v/>
      </c>
      <c r="Q4282">
        <f>J4282-H4282^2/k_n</f>
        <v/>
      </c>
      <c r="R4282">
        <f>K4282-G4282*H4282/k_n</f>
        <v/>
      </c>
      <c r="S4282">
        <f>L4282-LTP3!$D$3*G4282/k_n</f>
        <v/>
      </c>
      <c r="T4282">
        <f>M4282-LTP3!$D$3*H4282/k_n</f>
        <v/>
      </c>
      <c r="U4282">
        <f>N4282-G4282*LTP3!$D$4/k_n</f>
        <v/>
      </c>
      <c r="V4282">
        <f>O4282-H4282*LTP3!$D$4/k_n</f>
        <v/>
      </c>
      <c r="W4282">
        <f>((LTP3!$D$5)*((P4282)*(Q4282)-(R4282)*(R4282))-(S4282)*((S4282)*(Q4282)-(R4282)*(T4282))+(T4282)*((S4282)*(R4282)-(P4282)*(T4282)))</f>
        <v/>
      </c>
      <c r="X4282">
        <f>IF(ABS(W4282)&gt;1E-12,((LTP3!$D$6)*((P4282)*(Q4282)-(R4282)*(R4282))-(S4282)*((U4282)*(Q4282)-(R4282)*(V4282))+(T4282)*((U4282)*(R4282)-(P4282)*(V4282)))/W4282,0)</f>
        <v/>
      </c>
      <c r="Y4282">
        <f>IF(ABS(W4282)&gt;1E-12,((LTP3!$D$5)*((U4282)*(Q4282)-(R4282)*(V4282))-(LTP3!$D$6)*((S4282)*(Q4282)-(R4282)*(T4282))+(T4282)*((S4282)*(V4282)-(U4282)*(T4282)))/W4282,0)</f>
        <v/>
      </c>
      <c r="Z4282">
        <f>IF(ABS(W4282)&gt;1E-12,((LTP3!$D$5)*((P4282)*(V4282)-(U4282)*(R4282))-(S4282)*((S4282)*(V4282)-(U4282)*(T4282))+(LTP3!$D$6)*((S4282)*(R4282)-(P4282)*(T4282)))/W4282,0)</f>
        <v/>
      </c>
      <c r="AA4282">
        <f>LTP3!$D$7-X4282*LTP3!$D$6-Y4282*U4282-Z4282*V4282</f>
        <v/>
      </c>
      <c r="AB4282">
        <f>IF(AND(F4282,ABS(W4282)&gt;1E-12,Y4282&gt;0,Z4282&gt;0),AA4282,1E+300)</f>
        <v/>
      </c>
    </row>
    <row r="4283">
      <c r="A4283">
        <f>$I$4-$B$5/10+$B$5*4/100</f>
        <v/>
      </c>
      <c r="B4283">
        <f>$J$4-$B$5/10+$B$5*19/100</f>
        <v/>
      </c>
      <c r="C4283">
        <f>SUMPRODUCT(Calc!$K$3:$K$22*(Calc!$G$3:$G$22&lt;=A4283))</f>
        <v/>
      </c>
      <c r="D4283">
        <f>SUMPRODUCT(Calc!$K$3:$K$22*(Calc!$G$3:$G$22&gt;A4283)*(Calc!$G$3:$G$22&lt;B4283))</f>
        <v/>
      </c>
      <c r="E4283">
        <f>SUMPRODUCT(Calc!$K$3:$K$22*(Calc!$G$3:$G$22&gt;=B4283))</f>
        <v/>
      </c>
      <c r="F4283">
        <f>AND(k_n&gt;=5,B4283&gt;A4283+1E-9,C4283&gt;=2,D4283&gt;=1,E4283&gt;=2)</f>
        <v/>
      </c>
      <c r="G4283">
        <f>SUMPRODUCT(Calc!$K$3:$K$22*(Calc!$G$3:$G$22&gt;A4283)*(Calc!$G$3:$G$22-A4283))</f>
        <v/>
      </c>
      <c r="H4283">
        <f>SUMPRODUCT(Calc!$K$3:$K$22*(Calc!$G$3:$G$22&gt;B4283)*(Calc!$G$3:$G$22-B4283))</f>
        <v/>
      </c>
      <c r="I4283">
        <f>SUMPRODUCT(Calc!$K$3:$K$22*(Calc!$G$3:$G$22&gt;A4283)*(Calc!$G$3:$G$22-A4283)^2)</f>
        <v/>
      </c>
      <c r="J4283">
        <f>SUMPRODUCT(Calc!$K$3:$K$22*(Calc!$G$3:$G$22&gt;B4283)*(Calc!$G$3:$G$22-B4283)^2)</f>
        <v/>
      </c>
      <c r="K4283">
        <f>SUMPRODUCT(Calc!$K$3:$K$22*(Calc!$G$3:$G$22&gt;A4283)*(Calc!$G$3:$G$22-A4283)*(Calc!$G$3:$G$22&gt;B4283)*(Calc!$G$3:$G$22-B4283))</f>
        <v/>
      </c>
      <c r="L4283">
        <f>SUMPRODUCT(Calc!$K$3:$K$22*(Calc!$G$3:$G$22&gt;A4283)*(Calc!$G$3:$G$22-A4283)*Calc!$G$3:$G$22)</f>
        <v/>
      </c>
      <c r="M4283">
        <f>SUMPRODUCT(Calc!$K$3:$K$22*(Calc!$G$3:$G$22&gt;B4283)*(Calc!$G$3:$G$22-B4283)*Calc!$G$3:$G$22)</f>
        <v/>
      </c>
      <c r="N4283">
        <f>SUMPRODUCT(Calc!$K$3:$K$22*(Calc!$G$3:$G$22&gt;A4283)*(Calc!$G$3:$G$22-A4283)*Calc!$I$3:$I$22)</f>
        <v/>
      </c>
      <c r="O4283">
        <f>SUMPRODUCT(Calc!$K$3:$K$22*(Calc!$G$3:$G$22&gt;B4283)*(Calc!$G$3:$G$22-B4283)*Calc!$I$3:$I$22)</f>
        <v/>
      </c>
      <c r="P4283">
        <f>I4283-G4283^2/k_n</f>
        <v/>
      </c>
      <c r="Q4283">
        <f>J4283-H4283^2/k_n</f>
        <v/>
      </c>
      <c r="R4283">
        <f>K4283-G4283*H4283/k_n</f>
        <v/>
      </c>
      <c r="S4283">
        <f>L4283-LTP3!$D$3*G4283/k_n</f>
        <v/>
      </c>
      <c r="T4283">
        <f>M4283-LTP3!$D$3*H4283/k_n</f>
        <v/>
      </c>
      <c r="U4283">
        <f>N4283-G4283*LTP3!$D$4/k_n</f>
        <v/>
      </c>
      <c r="V4283">
        <f>O4283-H4283*LTP3!$D$4/k_n</f>
        <v/>
      </c>
      <c r="W4283">
        <f>((LTP3!$D$5)*((P4283)*(Q4283)-(R4283)*(R4283))-(S4283)*((S4283)*(Q4283)-(R4283)*(T4283))+(T4283)*((S4283)*(R4283)-(P4283)*(T4283)))</f>
        <v/>
      </c>
      <c r="X4283">
        <f>IF(ABS(W4283)&gt;1E-12,((LTP3!$D$6)*((P4283)*(Q4283)-(R4283)*(R4283))-(S4283)*((U4283)*(Q4283)-(R4283)*(V4283))+(T4283)*((U4283)*(R4283)-(P4283)*(V4283)))/W4283,0)</f>
        <v/>
      </c>
      <c r="Y4283">
        <f>IF(ABS(W4283)&gt;1E-12,((LTP3!$D$5)*((U4283)*(Q4283)-(R4283)*(V4283))-(LTP3!$D$6)*((S4283)*(Q4283)-(R4283)*(T4283))+(T4283)*((S4283)*(V4283)-(U4283)*(T4283)))/W4283,0)</f>
        <v/>
      </c>
      <c r="Z4283">
        <f>IF(ABS(W4283)&gt;1E-12,((LTP3!$D$5)*((P4283)*(V4283)-(U4283)*(R4283))-(S4283)*((S4283)*(V4283)-(U4283)*(T4283))+(LTP3!$D$6)*((S4283)*(R4283)-(P4283)*(T4283)))/W4283,0)</f>
        <v/>
      </c>
      <c r="AA4283">
        <f>LTP3!$D$7-X4283*LTP3!$D$6-Y4283*U4283-Z4283*V4283</f>
        <v/>
      </c>
      <c r="AB4283">
        <f>IF(AND(F4283,ABS(W4283)&gt;1E-12,Y4283&gt;0,Z4283&gt;0),AA4283,1E+300)</f>
        <v/>
      </c>
    </row>
    <row r="4284">
      <c r="A4284">
        <f>$I$4-$B$5/10+$B$5*4/100</f>
        <v/>
      </c>
      <c r="B4284">
        <f>$J$4-$B$5/10+$B$5*20/100</f>
        <v/>
      </c>
      <c r="C4284">
        <f>SUMPRODUCT(Calc!$K$3:$K$22*(Calc!$G$3:$G$22&lt;=A4284))</f>
        <v/>
      </c>
      <c r="D4284">
        <f>SUMPRODUCT(Calc!$K$3:$K$22*(Calc!$G$3:$G$22&gt;A4284)*(Calc!$G$3:$G$22&lt;B4284))</f>
        <v/>
      </c>
      <c r="E4284">
        <f>SUMPRODUCT(Calc!$K$3:$K$22*(Calc!$G$3:$G$22&gt;=B4284))</f>
        <v/>
      </c>
      <c r="F4284">
        <f>AND(k_n&gt;=5,B4284&gt;A4284+1E-9,C4284&gt;=2,D4284&gt;=1,E4284&gt;=2)</f>
        <v/>
      </c>
      <c r="G4284">
        <f>SUMPRODUCT(Calc!$K$3:$K$22*(Calc!$G$3:$G$22&gt;A4284)*(Calc!$G$3:$G$22-A4284))</f>
        <v/>
      </c>
      <c r="H4284">
        <f>SUMPRODUCT(Calc!$K$3:$K$22*(Calc!$G$3:$G$22&gt;B4284)*(Calc!$G$3:$G$22-B4284))</f>
        <v/>
      </c>
      <c r="I4284">
        <f>SUMPRODUCT(Calc!$K$3:$K$22*(Calc!$G$3:$G$22&gt;A4284)*(Calc!$G$3:$G$22-A4284)^2)</f>
        <v/>
      </c>
      <c r="J4284">
        <f>SUMPRODUCT(Calc!$K$3:$K$22*(Calc!$G$3:$G$22&gt;B4284)*(Calc!$G$3:$G$22-B4284)^2)</f>
        <v/>
      </c>
      <c r="K4284">
        <f>SUMPRODUCT(Calc!$K$3:$K$22*(Calc!$G$3:$G$22&gt;A4284)*(Calc!$G$3:$G$22-A4284)*(Calc!$G$3:$G$22&gt;B4284)*(Calc!$G$3:$G$22-B4284))</f>
        <v/>
      </c>
      <c r="L4284">
        <f>SUMPRODUCT(Calc!$K$3:$K$22*(Calc!$G$3:$G$22&gt;A4284)*(Calc!$G$3:$G$22-A4284)*Calc!$G$3:$G$22)</f>
        <v/>
      </c>
      <c r="M4284">
        <f>SUMPRODUCT(Calc!$K$3:$K$22*(Calc!$G$3:$G$22&gt;B4284)*(Calc!$G$3:$G$22-B4284)*Calc!$G$3:$G$22)</f>
        <v/>
      </c>
      <c r="N4284">
        <f>SUMPRODUCT(Calc!$K$3:$K$22*(Calc!$G$3:$G$22&gt;A4284)*(Calc!$G$3:$G$22-A4284)*Calc!$I$3:$I$22)</f>
        <v/>
      </c>
      <c r="O4284">
        <f>SUMPRODUCT(Calc!$K$3:$K$22*(Calc!$G$3:$G$22&gt;B4284)*(Calc!$G$3:$G$22-B4284)*Calc!$I$3:$I$22)</f>
        <v/>
      </c>
      <c r="P4284">
        <f>I4284-G4284^2/k_n</f>
        <v/>
      </c>
      <c r="Q4284">
        <f>J4284-H4284^2/k_n</f>
        <v/>
      </c>
      <c r="R4284">
        <f>K4284-G4284*H4284/k_n</f>
        <v/>
      </c>
      <c r="S4284">
        <f>L4284-LTP3!$D$3*G4284/k_n</f>
        <v/>
      </c>
      <c r="T4284">
        <f>M4284-LTP3!$D$3*H4284/k_n</f>
        <v/>
      </c>
      <c r="U4284">
        <f>N4284-G4284*LTP3!$D$4/k_n</f>
        <v/>
      </c>
      <c r="V4284">
        <f>O4284-H4284*LTP3!$D$4/k_n</f>
        <v/>
      </c>
      <c r="W4284">
        <f>((LTP3!$D$5)*((P4284)*(Q4284)-(R4284)*(R4284))-(S4284)*((S4284)*(Q4284)-(R4284)*(T4284))+(T4284)*((S4284)*(R4284)-(P4284)*(T4284)))</f>
        <v/>
      </c>
      <c r="X4284">
        <f>IF(ABS(W4284)&gt;1E-12,((LTP3!$D$6)*((P4284)*(Q4284)-(R4284)*(R4284))-(S4284)*((U4284)*(Q4284)-(R4284)*(V4284))+(T4284)*((U4284)*(R4284)-(P4284)*(V4284)))/W4284,0)</f>
        <v/>
      </c>
      <c r="Y4284">
        <f>IF(ABS(W4284)&gt;1E-12,((LTP3!$D$5)*((U4284)*(Q4284)-(R4284)*(V4284))-(LTP3!$D$6)*((S4284)*(Q4284)-(R4284)*(T4284))+(T4284)*((S4284)*(V4284)-(U4284)*(T4284)))/W4284,0)</f>
        <v/>
      </c>
      <c r="Z4284">
        <f>IF(ABS(W4284)&gt;1E-12,((LTP3!$D$5)*((P4284)*(V4284)-(U4284)*(R4284))-(S4284)*((S4284)*(V4284)-(U4284)*(T4284))+(LTP3!$D$6)*((S4284)*(R4284)-(P4284)*(T4284)))/W4284,0)</f>
        <v/>
      </c>
      <c r="AA4284">
        <f>LTP3!$D$7-X4284*LTP3!$D$6-Y4284*U4284-Z4284*V4284</f>
        <v/>
      </c>
      <c r="AB4284">
        <f>IF(AND(F4284,ABS(W4284)&gt;1E-12,Y4284&gt;0,Z4284&gt;0),AA4284,1E+300)</f>
        <v/>
      </c>
    </row>
    <row r="4285">
      <c r="A4285">
        <f>$I$4-$B$5/10+$B$5*5/100</f>
        <v/>
      </c>
      <c r="B4285">
        <f>$J$4-$B$5/10+$B$5*0/100</f>
        <v/>
      </c>
      <c r="C4285">
        <f>SUMPRODUCT(Calc!$K$3:$K$22*(Calc!$G$3:$G$22&lt;=A4285))</f>
        <v/>
      </c>
      <c r="D4285">
        <f>SUMPRODUCT(Calc!$K$3:$K$22*(Calc!$G$3:$G$22&gt;A4285)*(Calc!$G$3:$G$22&lt;B4285))</f>
        <v/>
      </c>
      <c r="E4285">
        <f>SUMPRODUCT(Calc!$K$3:$K$22*(Calc!$G$3:$G$22&gt;=B4285))</f>
        <v/>
      </c>
      <c r="F4285">
        <f>AND(k_n&gt;=5,B4285&gt;A4285+1E-9,C4285&gt;=2,D4285&gt;=1,E4285&gt;=2)</f>
        <v/>
      </c>
      <c r="G4285">
        <f>SUMPRODUCT(Calc!$K$3:$K$22*(Calc!$G$3:$G$22&gt;A4285)*(Calc!$G$3:$G$22-A4285))</f>
        <v/>
      </c>
      <c r="H4285">
        <f>SUMPRODUCT(Calc!$K$3:$K$22*(Calc!$G$3:$G$22&gt;B4285)*(Calc!$G$3:$G$22-B4285))</f>
        <v/>
      </c>
      <c r="I4285">
        <f>SUMPRODUCT(Calc!$K$3:$K$22*(Calc!$G$3:$G$22&gt;A4285)*(Calc!$G$3:$G$22-A4285)^2)</f>
        <v/>
      </c>
      <c r="J4285">
        <f>SUMPRODUCT(Calc!$K$3:$K$22*(Calc!$G$3:$G$22&gt;B4285)*(Calc!$G$3:$G$22-B4285)^2)</f>
        <v/>
      </c>
      <c r="K4285">
        <f>SUMPRODUCT(Calc!$K$3:$K$22*(Calc!$G$3:$G$22&gt;A4285)*(Calc!$G$3:$G$22-A4285)*(Calc!$G$3:$G$22&gt;B4285)*(Calc!$G$3:$G$22-B4285))</f>
        <v/>
      </c>
      <c r="L4285">
        <f>SUMPRODUCT(Calc!$K$3:$K$22*(Calc!$G$3:$G$22&gt;A4285)*(Calc!$G$3:$G$22-A4285)*Calc!$G$3:$G$22)</f>
        <v/>
      </c>
      <c r="M4285">
        <f>SUMPRODUCT(Calc!$K$3:$K$22*(Calc!$G$3:$G$22&gt;B4285)*(Calc!$G$3:$G$22-B4285)*Calc!$G$3:$G$22)</f>
        <v/>
      </c>
      <c r="N4285">
        <f>SUMPRODUCT(Calc!$K$3:$K$22*(Calc!$G$3:$G$22&gt;A4285)*(Calc!$G$3:$G$22-A4285)*Calc!$I$3:$I$22)</f>
        <v/>
      </c>
      <c r="O4285">
        <f>SUMPRODUCT(Calc!$K$3:$K$22*(Calc!$G$3:$G$22&gt;B4285)*(Calc!$G$3:$G$22-B4285)*Calc!$I$3:$I$22)</f>
        <v/>
      </c>
      <c r="P4285">
        <f>I4285-G4285^2/k_n</f>
        <v/>
      </c>
      <c r="Q4285">
        <f>J4285-H4285^2/k_n</f>
        <v/>
      </c>
      <c r="R4285">
        <f>K4285-G4285*H4285/k_n</f>
        <v/>
      </c>
      <c r="S4285">
        <f>L4285-LTP3!$D$3*G4285/k_n</f>
        <v/>
      </c>
      <c r="T4285">
        <f>M4285-LTP3!$D$3*H4285/k_n</f>
        <v/>
      </c>
      <c r="U4285">
        <f>N4285-G4285*LTP3!$D$4/k_n</f>
        <v/>
      </c>
      <c r="V4285">
        <f>O4285-H4285*LTP3!$D$4/k_n</f>
        <v/>
      </c>
      <c r="W4285">
        <f>((LTP3!$D$5)*((P4285)*(Q4285)-(R4285)*(R4285))-(S4285)*((S4285)*(Q4285)-(R4285)*(T4285))+(T4285)*((S4285)*(R4285)-(P4285)*(T4285)))</f>
        <v/>
      </c>
      <c r="X4285">
        <f>IF(ABS(W4285)&gt;1E-12,((LTP3!$D$6)*((P4285)*(Q4285)-(R4285)*(R4285))-(S4285)*((U4285)*(Q4285)-(R4285)*(V4285))+(T4285)*((U4285)*(R4285)-(P4285)*(V4285)))/W4285,0)</f>
        <v/>
      </c>
      <c r="Y4285">
        <f>IF(ABS(W4285)&gt;1E-12,((LTP3!$D$5)*((U4285)*(Q4285)-(R4285)*(V4285))-(LTP3!$D$6)*((S4285)*(Q4285)-(R4285)*(T4285))+(T4285)*((S4285)*(V4285)-(U4285)*(T4285)))/W4285,0)</f>
        <v/>
      </c>
      <c r="Z4285">
        <f>IF(ABS(W4285)&gt;1E-12,((LTP3!$D$5)*((P4285)*(V4285)-(U4285)*(R4285))-(S4285)*((S4285)*(V4285)-(U4285)*(T4285))+(LTP3!$D$6)*((S4285)*(R4285)-(P4285)*(T4285)))/W4285,0)</f>
        <v/>
      </c>
      <c r="AA4285">
        <f>LTP3!$D$7-X4285*LTP3!$D$6-Y4285*U4285-Z4285*V4285</f>
        <v/>
      </c>
      <c r="AB4285">
        <f>IF(AND(F4285,ABS(W4285)&gt;1E-12,Y4285&gt;0,Z4285&gt;0),AA4285,1E+300)</f>
        <v/>
      </c>
    </row>
    <row r="4286">
      <c r="A4286">
        <f>$I$4-$B$5/10+$B$5*5/100</f>
        <v/>
      </c>
      <c r="B4286">
        <f>$J$4-$B$5/10+$B$5*1/100</f>
        <v/>
      </c>
      <c r="C4286">
        <f>SUMPRODUCT(Calc!$K$3:$K$22*(Calc!$G$3:$G$22&lt;=A4286))</f>
        <v/>
      </c>
      <c r="D4286">
        <f>SUMPRODUCT(Calc!$K$3:$K$22*(Calc!$G$3:$G$22&gt;A4286)*(Calc!$G$3:$G$22&lt;B4286))</f>
        <v/>
      </c>
      <c r="E4286">
        <f>SUMPRODUCT(Calc!$K$3:$K$22*(Calc!$G$3:$G$22&gt;=B4286))</f>
        <v/>
      </c>
      <c r="F4286">
        <f>AND(k_n&gt;=5,B4286&gt;A4286+1E-9,C4286&gt;=2,D4286&gt;=1,E4286&gt;=2)</f>
        <v/>
      </c>
      <c r="G4286">
        <f>SUMPRODUCT(Calc!$K$3:$K$22*(Calc!$G$3:$G$22&gt;A4286)*(Calc!$G$3:$G$22-A4286))</f>
        <v/>
      </c>
      <c r="H4286">
        <f>SUMPRODUCT(Calc!$K$3:$K$22*(Calc!$G$3:$G$22&gt;B4286)*(Calc!$G$3:$G$22-B4286))</f>
        <v/>
      </c>
      <c r="I4286">
        <f>SUMPRODUCT(Calc!$K$3:$K$22*(Calc!$G$3:$G$22&gt;A4286)*(Calc!$G$3:$G$22-A4286)^2)</f>
        <v/>
      </c>
      <c r="J4286">
        <f>SUMPRODUCT(Calc!$K$3:$K$22*(Calc!$G$3:$G$22&gt;B4286)*(Calc!$G$3:$G$22-B4286)^2)</f>
        <v/>
      </c>
      <c r="K4286">
        <f>SUMPRODUCT(Calc!$K$3:$K$22*(Calc!$G$3:$G$22&gt;A4286)*(Calc!$G$3:$G$22-A4286)*(Calc!$G$3:$G$22&gt;B4286)*(Calc!$G$3:$G$22-B4286))</f>
        <v/>
      </c>
      <c r="L4286">
        <f>SUMPRODUCT(Calc!$K$3:$K$22*(Calc!$G$3:$G$22&gt;A4286)*(Calc!$G$3:$G$22-A4286)*Calc!$G$3:$G$22)</f>
        <v/>
      </c>
      <c r="M4286">
        <f>SUMPRODUCT(Calc!$K$3:$K$22*(Calc!$G$3:$G$22&gt;B4286)*(Calc!$G$3:$G$22-B4286)*Calc!$G$3:$G$22)</f>
        <v/>
      </c>
      <c r="N4286">
        <f>SUMPRODUCT(Calc!$K$3:$K$22*(Calc!$G$3:$G$22&gt;A4286)*(Calc!$G$3:$G$22-A4286)*Calc!$I$3:$I$22)</f>
        <v/>
      </c>
      <c r="O4286">
        <f>SUMPRODUCT(Calc!$K$3:$K$22*(Calc!$G$3:$G$22&gt;B4286)*(Calc!$G$3:$G$22-B4286)*Calc!$I$3:$I$22)</f>
        <v/>
      </c>
      <c r="P4286">
        <f>I4286-G4286^2/k_n</f>
        <v/>
      </c>
      <c r="Q4286">
        <f>J4286-H4286^2/k_n</f>
        <v/>
      </c>
      <c r="R4286">
        <f>K4286-G4286*H4286/k_n</f>
        <v/>
      </c>
      <c r="S4286">
        <f>L4286-LTP3!$D$3*G4286/k_n</f>
        <v/>
      </c>
      <c r="T4286">
        <f>M4286-LTP3!$D$3*H4286/k_n</f>
        <v/>
      </c>
      <c r="U4286">
        <f>N4286-G4286*LTP3!$D$4/k_n</f>
        <v/>
      </c>
      <c r="V4286">
        <f>O4286-H4286*LTP3!$D$4/k_n</f>
        <v/>
      </c>
      <c r="W4286">
        <f>((LTP3!$D$5)*((P4286)*(Q4286)-(R4286)*(R4286))-(S4286)*((S4286)*(Q4286)-(R4286)*(T4286))+(T4286)*((S4286)*(R4286)-(P4286)*(T4286)))</f>
        <v/>
      </c>
      <c r="X4286">
        <f>IF(ABS(W4286)&gt;1E-12,((LTP3!$D$6)*((P4286)*(Q4286)-(R4286)*(R4286))-(S4286)*((U4286)*(Q4286)-(R4286)*(V4286))+(T4286)*((U4286)*(R4286)-(P4286)*(V4286)))/W4286,0)</f>
        <v/>
      </c>
      <c r="Y4286">
        <f>IF(ABS(W4286)&gt;1E-12,((LTP3!$D$5)*((U4286)*(Q4286)-(R4286)*(V4286))-(LTP3!$D$6)*((S4286)*(Q4286)-(R4286)*(T4286))+(T4286)*((S4286)*(V4286)-(U4286)*(T4286)))/W4286,0)</f>
        <v/>
      </c>
      <c r="Z4286">
        <f>IF(ABS(W4286)&gt;1E-12,((LTP3!$D$5)*((P4286)*(V4286)-(U4286)*(R4286))-(S4286)*((S4286)*(V4286)-(U4286)*(T4286))+(LTP3!$D$6)*((S4286)*(R4286)-(P4286)*(T4286)))/W4286,0)</f>
        <v/>
      </c>
      <c r="AA4286">
        <f>LTP3!$D$7-X4286*LTP3!$D$6-Y4286*U4286-Z4286*V4286</f>
        <v/>
      </c>
      <c r="AB4286">
        <f>IF(AND(F4286,ABS(W4286)&gt;1E-12,Y4286&gt;0,Z4286&gt;0),AA4286,1E+300)</f>
        <v/>
      </c>
    </row>
    <row r="4287">
      <c r="A4287">
        <f>$I$4-$B$5/10+$B$5*5/100</f>
        <v/>
      </c>
      <c r="B4287">
        <f>$J$4-$B$5/10+$B$5*2/100</f>
        <v/>
      </c>
      <c r="C4287">
        <f>SUMPRODUCT(Calc!$K$3:$K$22*(Calc!$G$3:$G$22&lt;=A4287))</f>
        <v/>
      </c>
      <c r="D4287">
        <f>SUMPRODUCT(Calc!$K$3:$K$22*(Calc!$G$3:$G$22&gt;A4287)*(Calc!$G$3:$G$22&lt;B4287))</f>
        <v/>
      </c>
      <c r="E4287">
        <f>SUMPRODUCT(Calc!$K$3:$K$22*(Calc!$G$3:$G$22&gt;=B4287))</f>
        <v/>
      </c>
      <c r="F4287">
        <f>AND(k_n&gt;=5,B4287&gt;A4287+1E-9,C4287&gt;=2,D4287&gt;=1,E4287&gt;=2)</f>
        <v/>
      </c>
      <c r="G4287">
        <f>SUMPRODUCT(Calc!$K$3:$K$22*(Calc!$G$3:$G$22&gt;A4287)*(Calc!$G$3:$G$22-A4287))</f>
        <v/>
      </c>
      <c r="H4287">
        <f>SUMPRODUCT(Calc!$K$3:$K$22*(Calc!$G$3:$G$22&gt;B4287)*(Calc!$G$3:$G$22-B4287))</f>
        <v/>
      </c>
      <c r="I4287">
        <f>SUMPRODUCT(Calc!$K$3:$K$22*(Calc!$G$3:$G$22&gt;A4287)*(Calc!$G$3:$G$22-A4287)^2)</f>
        <v/>
      </c>
      <c r="J4287">
        <f>SUMPRODUCT(Calc!$K$3:$K$22*(Calc!$G$3:$G$22&gt;B4287)*(Calc!$G$3:$G$22-B4287)^2)</f>
        <v/>
      </c>
      <c r="K4287">
        <f>SUMPRODUCT(Calc!$K$3:$K$22*(Calc!$G$3:$G$22&gt;A4287)*(Calc!$G$3:$G$22-A4287)*(Calc!$G$3:$G$22&gt;B4287)*(Calc!$G$3:$G$22-B4287))</f>
        <v/>
      </c>
      <c r="L4287">
        <f>SUMPRODUCT(Calc!$K$3:$K$22*(Calc!$G$3:$G$22&gt;A4287)*(Calc!$G$3:$G$22-A4287)*Calc!$G$3:$G$22)</f>
        <v/>
      </c>
      <c r="M4287">
        <f>SUMPRODUCT(Calc!$K$3:$K$22*(Calc!$G$3:$G$22&gt;B4287)*(Calc!$G$3:$G$22-B4287)*Calc!$G$3:$G$22)</f>
        <v/>
      </c>
      <c r="N4287">
        <f>SUMPRODUCT(Calc!$K$3:$K$22*(Calc!$G$3:$G$22&gt;A4287)*(Calc!$G$3:$G$22-A4287)*Calc!$I$3:$I$22)</f>
        <v/>
      </c>
      <c r="O4287">
        <f>SUMPRODUCT(Calc!$K$3:$K$22*(Calc!$G$3:$G$22&gt;B4287)*(Calc!$G$3:$G$22-B4287)*Calc!$I$3:$I$22)</f>
        <v/>
      </c>
      <c r="P4287">
        <f>I4287-G4287^2/k_n</f>
        <v/>
      </c>
      <c r="Q4287">
        <f>J4287-H4287^2/k_n</f>
        <v/>
      </c>
      <c r="R4287">
        <f>K4287-G4287*H4287/k_n</f>
        <v/>
      </c>
      <c r="S4287">
        <f>L4287-LTP3!$D$3*G4287/k_n</f>
        <v/>
      </c>
      <c r="T4287">
        <f>M4287-LTP3!$D$3*H4287/k_n</f>
        <v/>
      </c>
      <c r="U4287">
        <f>N4287-G4287*LTP3!$D$4/k_n</f>
        <v/>
      </c>
      <c r="V4287">
        <f>O4287-H4287*LTP3!$D$4/k_n</f>
        <v/>
      </c>
      <c r="W4287">
        <f>((LTP3!$D$5)*((P4287)*(Q4287)-(R4287)*(R4287))-(S4287)*((S4287)*(Q4287)-(R4287)*(T4287))+(T4287)*((S4287)*(R4287)-(P4287)*(T4287)))</f>
        <v/>
      </c>
      <c r="X4287">
        <f>IF(ABS(W4287)&gt;1E-12,((LTP3!$D$6)*((P4287)*(Q4287)-(R4287)*(R4287))-(S4287)*((U4287)*(Q4287)-(R4287)*(V4287))+(T4287)*((U4287)*(R4287)-(P4287)*(V4287)))/W4287,0)</f>
        <v/>
      </c>
      <c r="Y4287">
        <f>IF(ABS(W4287)&gt;1E-12,((LTP3!$D$5)*((U4287)*(Q4287)-(R4287)*(V4287))-(LTP3!$D$6)*((S4287)*(Q4287)-(R4287)*(T4287))+(T4287)*((S4287)*(V4287)-(U4287)*(T4287)))/W4287,0)</f>
        <v/>
      </c>
      <c r="Z4287">
        <f>IF(ABS(W4287)&gt;1E-12,((LTP3!$D$5)*((P4287)*(V4287)-(U4287)*(R4287))-(S4287)*((S4287)*(V4287)-(U4287)*(T4287))+(LTP3!$D$6)*((S4287)*(R4287)-(P4287)*(T4287)))/W4287,0)</f>
        <v/>
      </c>
      <c r="AA4287">
        <f>LTP3!$D$7-X4287*LTP3!$D$6-Y4287*U4287-Z4287*V4287</f>
        <v/>
      </c>
      <c r="AB4287">
        <f>IF(AND(F4287,ABS(W4287)&gt;1E-12,Y4287&gt;0,Z4287&gt;0),AA4287,1E+300)</f>
        <v/>
      </c>
    </row>
    <row r="4288">
      <c r="A4288">
        <f>$I$4-$B$5/10+$B$5*5/100</f>
        <v/>
      </c>
      <c r="B4288">
        <f>$J$4-$B$5/10+$B$5*3/100</f>
        <v/>
      </c>
      <c r="C4288">
        <f>SUMPRODUCT(Calc!$K$3:$K$22*(Calc!$G$3:$G$22&lt;=A4288))</f>
        <v/>
      </c>
      <c r="D4288">
        <f>SUMPRODUCT(Calc!$K$3:$K$22*(Calc!$G$3:$G$22&gt;A4288)*(Calc!$G$3:$G$22&lt;B4288))</f>
        <v/>
      </c>
      <c r="E4288">
        <f>SUMPRODUCT(Calc!$K$3:$K$22*(Calc!$G$3:$G$22&gt;=B4288))</f>
        <v/>
      </c>
      <c r="F4288">
        <f>AND(k_n&gt;=5,B4288&gt;A4288+1E-9,C4288&gt;=2,D4288&gt;=1,E4288&gt;=2)</f>
        <v/>
      </c>
      <c r="G4288">
        <f>SUMPRODUCT(Calc!$K$3:$K$22*(Calc!$G$3:$G$22&gt;A4288)*(Calc!$G$3:$G$22-A4288))</f>
        <v/>
      </c>
      <c r="H4288">
        <f>SUMPRODUCT(Calc!$K$3:$K$22*(Calc!$G$3:$G$22&gt;B4288)*(Calc!$G$3:$G$22-B4288))</f>
        <v/>
      </c>
      <c r="I4288">
        <f>SUMPRODUCT(Calc!$K$3:$K$22*(Calc!$G$3:$G$22&gt;A4288)*(Calc!$G$3:$G$22-A4288)^2)</f>
        <v/>
      </c>
      <c r="J4288">
        <f>SUMPRODUCT(Calc!$K$3:$K$22*(Calc!$G$3:$G$22&gt;B4288)*(Calc!$G$3:$G$22-B4288)^2)</f>
        <v/>
      </c>
      <c r="K4288">
        <f>SUMPRODUCT(Calc!$K$3:$K$22*(Calc!$G$3:$G$22&gt;A4288)*(Calc!$G$3:$G$22-A4288)*(Calc!$G$3:$G$22&gt;B4288)*(Calc!$G$3:$G$22-B4288))</f>
        <v/>
      </c>
      <c r="L4288">
        <f>SUMPRODUCT(Calc!$K$3:$K$22*(Calc!$G$3:$G$22&gt;A4288)*(Calc!$G$3:$G$22-A4288)*Calc!$G$3:$G$22)</f>
        <v/>
      </c>
      <c r="M4288">
        <f>SUMPRODUCT(Calc!$K$3:$K$22*(Calc!$G$3:$G$22&gt;B4288)*(Calc!$G$3:$G$22-B4288)*Calc!$G$3:$G$22)</f>
        <v/>
      </c>
      <c r="N4288">
        <f>SUMPRODUCT(Calc!$K$3:$K$22*(Calc!$G$3:$G$22&gt;A4288)*(Calc!$G$3:$G$22-A4288)*Calc!$I$3:$I$22)</f>
        <v/>
      </c>
      <c r="O4288">
        <f>SUMPRODUCT(Calc!$K$3:$K$22*(Calc!$G$3:$G$22&gt;B4288)*(Calc!$G$3:$G$22-B4288)*Calc!$I$3:$I$22)</f>
        <v/>
      </c>
      <c r="P4288">
        <f>I4288-G4288^2/k_n</f>
        <v/>
      </c>
      <c r="Q4288">
        <f>J4288-H4288^2/k_n</f>
        <v/>
      </c>
      <c r="R4288">
        <f>K4288-G4288*H4288/k_n</f>
        <v/>
      </c>
      <c r="S4288">
        <f>L4288-LTP3!$D$3*G4288/k_n</f>
        <v/>
      </c>
      <c r="T4288">
        <f>M4288-LTP3!$D$3*H4288/k_n</f>
        <v/>
      </c>
      <c r="U4288">
        <f>N4288-G4288*LTP3!$D$4/k_n</f>
        <v/>
      </c>
      <c r="V4288">
        <f>O4288-H4288*LTP3!$D$4/k_n</f>
        <v/>
      </c>
      <c r="W4288">
        <f>((LTP3!$D$5)*((P4288)*(Q4288)-(R4288)*(R4288))-(S4288)*((S4288)*(Q4288)-(R4288)*(T4288))+(T4288)*((S4288)*(R4288)-(P4288)*(T4288)))</f>
        <v/>
      </c>
      <c r="X4288">
        <f>IF(ABS(W4288)&gt;1E-12,((LTP3!$D$6)*((P4288)*(Q4288)-(R4288)*(R4288))-(S4288)*((U4288)*(Q4288)-(R4288)*(V4288))+(T4288)*((U4288)*(R4288)-(P4288)*(V4288)))/W4288,0)</f>
        <v/>
      </c>
      <c r="Y4288">
        <f>IF(ABS(W4288)&gt;1E-12,((LTP3!$D$5)*((U4288)*(Q4288)-(R4288)*(V4288))-(LTP3!$D$6)*((S4288)*(Q4288)-(R4288)*(T4288))+(T4288)*((S4288)*(V4288)-(U4288)*(T4288)))/W4288,0)</f>
        <v/>
      </c>
      <c r="Z4288">
        <f>IF(ABS(W4288)&gt;1E-12,((LTP3!$D$5)*((P4288)*(V4288)-(U4288)*(R4288))-(S4288)*((S4288)*(V4288)-(U4288)*(T4288))+(LTP3!$D$6)*((S4288)*(R4288)-(P4288)*(T4288)))/W4288,0)</f>
        <v/>
      </c>
      <c r="AA4288">
        <f>LTP3!$D$7-X4288*LTP3!$D$6-Y4288*U4288-Z4288*V4288</f>
        <v/>
      </c>
      <c r="AB4288">
        <f>IF(AND(F4288,ABS(W4288)&gt;1E-12,Y4288&gt;0,Z4288&gt;0),AA4288,1E+300)</f>
        <v/>
      </c>
    </row>
    <row r="4289">
      <c r="A4289">
        <f>$I$4-$B$5/10+$B$5*5/100</f>
        <v/>
      </c>
      <c r="B4289">
        <f>$J$4-$B$5/10+$B$5*4/100</f>
        <v/>
      </c>
      <c r="C4289">
        <f>SUMPRODUCT(Calc!$K$3:$K$22*(Calc!$G$3:$G$22&lt;=A4289))</f>
        <v/>
      </c>
      <c r="D4289">
        <f>SUMPRODUCT(Calc!$K$3:$K$22*(Calc!$G$3:$G$22&gt;A4289)*(Calc!$G$3:$G$22&lt;B4289))</f>
        <v/>
      </c>
      <c r="E4289">
        <f>SUMPRODUCT(Calc!$K$3:$K$22*(Calc!$G$3:$G$22&gt;=B4289))</f>
        <v/>
      </c>
      <c r="F4289">
        <f>AND(k_n&gt;=5,B4289&gt;A4289+1E-9,C4289&gt;=2,D4289&gt;=1,E4289&gt;=2)</f>
        <v/>
      </c>
      <c r="G4289">
        <f>SUMPRODUCT(Calc!$K$3:$K$22*(Calc!$G$3:$G$22&gt;A4289)*(Calc!$G$3:$G$22-A4289))</f>
        <v/>
      </c>
      <c r="H4289">
        <f>SUMPRODUCT(Calc!$K$3:$K$22*(Calc!$G$3:$G$22&gt;B4289)*(Calc!$G$3:$G$22-B4289))</f>
        <v/>
      </c>
      <c r="I4289">
        <f>SUMPRODUCT(Calc!$K$3:$K$22*(Calc!$G$3:$G$22&gt;A4289)*(Calc!$G$3:$G$22-A4289)^2)</f>
        <v/>
      </c>
      <c r="J4289">
        <f>SUMPRODUCT(Calc!$K$3:$K$22*(Calc!$G$3:$G$22&gt;B4289)*(Calc!$G$3:$G$22-B4289)^2)</f>
        <v/>
      </c>
      <c r="K4289">
        <f>SUMPRODUCT(Calc!$K$3:$K$22*(Calc!$G$3:$G$22&gt;A4289)*(Calc!$G$3:$G$22-A4289)*(Calc!$G$3:$G$22&gt;B4289)*(Calc!$G$3:$G$22-B4289))</f>
        <v/>
      </c>
      <c r="L4289">
        <f>SUMPRODUCT(Calc!$K$3:$K$22*(Calc!$G$3:$G$22&gt;A4289)*(Calc!$G$3:$G$22-A4289)*Calc!$G$3:$G$22)</f>
        <v/>
      </c>
      <c r="M4289">
        <f>SUMPRODUCT(Calc!$K$3:$K$22*(Calc!$G$3:$G$22&gt;B4289)*(Calc!$G$3:$G$22-B4289)*Calc!$G$3:$G$22)</f>
        <v/>
      </c>
      <c r="N4289">
        <f>SUMPRODUCT(Calc!$K$3:$K$22*(Calc!$G$3:$G$22&gt;A4289)*(Calc!$G$3:$G$22-A4289)*Calc!$I$3:$I$22)</f>
        <v/>
      </c>
      <c r="O4289">
        <f>SUMPRODUCT(Calc!$K$3:$K$22*(Calc!$G$3:$G$22&gt;B4289)*(Calc!$G$3:$G$22-B4289)*Calc!$I$3:$I$22)</f>
        <v/>
      </c>
      <c r="P4289">
        <f>I4289-G4289^2/k_n</f>
        <v/>
      </c>
      <c r="Q4289">
        <f>J4289-H4289^2/k_n</f>
        <v/>
      </c>
      <c r="R4289">
        <f>K4289-G4289*H4289/k_n</f>
        <v/>
      </c>
      <c r="S4289">
        <f>L4289-LTP3!$D$3*G4289/k_n</f>
        <v/>
      </c>
      <c r="T4289">
        <f>M4289-LTP3!$D$3*H4289/k_n</f>
        <v/>
      </c>
      <c r="U4289">
        <f>N4289-G4289*LTP3!$D$4/k_n</f>
        <v/>
      </c>
      <c r="V4289">
        <f>O4289-H4289*LTP3!$D$4/k_n</f>
        <v/>
      </c>
      <c r="W4289">
        <f>((LTP3!$D$5)*((P4289)*(Q4289)-(R4289)*(R4289))-(S4289)*((S4289)*(Q4289)-(R4289)*(T4289))+(T4289)*((S4289)*(R4289)-(P4289)*(T4289)))</f>
        <v/>
      </c>
      <c r="X4289">
        <f>IF(ABS(W4289)&gt;1E-12,((LTP3!$D$6)*((P4289)*(Q4289)-(R4289)*(R4289))-(S4289)*((U4289)*(Q4289)-(R4289)*(V4289))+(T4289)*((U4289)*(R4289)-(P4289)*(V4289)))/W4289,0)</f>
        <v/>
      </c>
      <c r="Y4289">
        <f>IF(ABS(W4289)&gt;1E-12,((LTP3!$D$5)*((U4289)*(Q4289)-(R4289)*(V4289))-(LTP3!$D$6)*((S4289)*(Q4289)-(R4289)*(T4289))+(T4289)*((S4289)*(V4289)-(U4289)*(T4289)))/W4289,0)</f>
        <v/>
      </c>
      <c r="Z4289">
        <f>IF(ABS(W4289)&gt;1E-12,((LTP3!$D$5)*((P4289)*(V4289)-(U4289)*(R4289))-(S4289)*((S4289)*(V4289)-(U4289)*(T4289))+(LTP3!$D$6)*((S4289)*(R4289)-(P4289)*(T4289)))/W4289,0)</f>
        <v/>
      </c>
      <c r="AA4289">
        <f>LTP3!$D$7-X4289*LTP3!$D$6-Y4289*U4289-Z4289*V4289</f>
        <v/>
      </c>
      <c r="AB4289">
        <f>IF(AND(F4289,ABS(W4289)&gt;1E-12,Y4289&gt;0,Z4289&gt;0),AA4289,1E+300)</f>
        <v/>
      </c>
    </row>
    <row r="4290">
      <c r="A4290">
        <f>$I$4-$B$5/10+$B$5*5/100</f>
        <v/>
      </c>
      <c r="B4290">
        <f>$J$4-$B$5/10+$B$5*5/100</f>
        <v/>
      </c>
      <c r="C4290">
        <f>SUMPRODUCT(Calc!$K$3:$K$22*(Calc!$G$3:$G$22&lt;=A4290))</f>
        <v/>
      </c>
      <c r="D4290">
        <f>SUMPRODUCT(Calc!$K$3:$K$22*(Calc!$G$3:$G$22&gt;A4290)*(Calc!$G$3:$G$22&lt;B4290))</f>
        <v/>
      </c>
      <c r="E4290">
        <f>SUMPRODUCT(Calc!$K$3:$K$22*(Calc!$G$3:$G$22&gt;=B4290))</f>
        <v/>
      </c>
      <c r="F4290">
        <f>AND(k_n&gt;=5,B4290&gt;A4290+1E-9,C4290&gt;=2,D4290&gt;=1,E4290&gt;=2)</f>
        <v/>
      </c>
      <c r="G4290">
        <f>SUMPRODUCT(Calc!$K$3:$K$22*(Calc!$G$3:$G$22&gt;A4290)*(Calc!$G$3:$G$22-A4290))</f>
        <v/>
      </c>
      <c r="H4290">
        <f>SUMPRODUCT(Calc!$K$3:$K$22*(Calc!$G$3:$G$22&gt;B4290)*(Calc!$G$3:$G$22-B4290))</f>
        <v/>
      </c>
      <c r="I4290">
        <f>SUMPRODUCT(Calc!$K$3:$K$22*(Calc!$G$3:$G$22&gt;A4290)*(Calc!$G$3:$G$22-A4290)^2)</f>
        <v/>
      </c>
      <c r="J4290">
        <f>SUMPRODUCT(Calc!$K$3:$K$22*(Calc!$G$3:$G$22&gt;B4290)*(Calc!$G$3:$G$22-B4290)^2)</f>
        <v/>
      </c>
      <c r="K4290">
        <f>SUMPRODUCT(Calc!$K$3:$K$22*(Calc!$G$3:$G$22&gt;A4290)*(Calc!$G$3:$G$22-A4290)*(Calc!$G$3:$G$22&gt;B4290)*(Calc!$G$3:$G$22-B4290))</f>
        <v/>
      </c>
      <c r="L4290">
        <f>SUMPRODUCT(Calc!$K$3:$K$22*(Calc!$G$3:$G$22&gt;A4290)*(Calc!$G$3:$G$22-A4290)*Calc!$G$3:$G$22)</f>
        <v/>
      </c>
      <c r="M4290">
        <f>SUMPRODUCT(Calc!$K$3:$K$22*(Calc!$G$3:$G$22&gt;B4290)*(Calc!$G$3:$G$22-B4290)*Calc!$G$3:$G$22)</f>
        <v/>
      </c>
      <c r="N4290">
        <f>SUMPRODUCT(Calc!$K$3:$K$22*(Calc!$G$3:$G$22&gt;A4290)*(Calc!$G$3:$G$22-A4290)*Calc!$I$3:$I$22)</f>
        <v/>
      </c>
      <c r="O4290">
        <f>SUMPRODUCT(Calc!$K$3:$K$22*(Calc!$G$3:$G$22&gt;B4290)*(Calc!$G$3:$G$22-B4290)*Calc!$I$3:$I$22)</f>
        <v/>
      </c>
      <c r="P4290">
        <f>I4290-G4290^2/k_n</f>
        <v/>
      </c>
      <c r="Q4290">
        <f>J4290-H4290^2/k_n</f>
        <v/>
      </c>
      <c r="R4290">
        <f>K4290-G4290*H4290/k_n</f>
        <v/>
      </c>
      <c r="S4290">
        <f>L4290-LTP3!$D$3*G4290/k_n</f>
        <v/>
      </c>
      <c r="T4290">
        <f>M4290-LTP3!$D$3*H4290/k_n</f>
        <v/>
      </c>
      <c r="U4290">
        <f>N4290-G4290*LTP3!$D$4/k_n</f>
        <v/>
      </c>
      <c r="V4290">
        <f>O4290-H4290*LTP3!$D$4/k_n</f>
        <v/>
      </c>
      <c r="W4290">
        <f>((LTP3!$D$5)*((P4290)*(Q4290)-(R4290)*(R4290))-(S4290)*((S4290)*(Q4290)-(R4290)*(T4290))+(T4290)*((S4290)*(R4290)-(P4290)*(T4290)))</f>
        <v/>
      </c>
      <c r="X4290">
        <f>IF(ABS(W4290)&gt;1E-12,((LTP3!$D$6)*((P4290)*(Q4290)-(R4290)*(R4290))-(S4290)*((U4290)*(Q4290)-(R4290)*(V4290))+(T4290)*((U4290)*(R4290)-(P4290)*(V4290)))/W4290,0)</f>
        <v/>
      </c>
      <c r="Y4290">
        <f>IF(ABS(W4290)&gt;1E-12,((LTP3!$D$5)*((U4290)*(Q4290)-(R4290)*(V4290))-(LTP3!$D$6)*((S4290)*(Q4290)-(R4290)*(T4290))+(T4290)*((S4290)*(V4290)-(U4290)*(T4290)))/W4290,0)</f>
        <v/>
      </c>
      <c r="Z4290">
        <f>IF(ABS(W4290)&gt;1E-12,((LTP3!$D$5)*((P4290)*(V4290)-(U4290)*(R4290))-(S4290)*((S4290)*(V4290)-(U4290)*(T4290))+(LTP3!$D$6)*((S4290)*(R4290)-(P4290)*(T4290)))/W4290,0)</f>
        <v/>
      </c>
      <c r="AA4290">
        <f>LTP3!$D$7-X4290*LTP3!$D$6-Y4290*U4290-Z4290*V4290</f>
        <v/>
      </c>
      <c r="AB4290">
        <f>IF(AND(F4290,ABS(W4290)&gt;1E-12,Y4290&gt;0,Z4290&gt;0),AA4290,1E+300)</f>
        <v/>
      </c>
    </row>
    <row r="4291">
      <c r="A4291">
        <f>$I$4-$B$5/10+$B$5*5/100</f>
        <v/>
      </c>
      <c r="B4291">
        <f>$J$4-$B$5/10+$B$5*6/100</f>
        <v/>
      </c>
      <c r="C4291">
        <f>SUMPRODUCT(Calc!$K$3:$K$22*(Calc!$G$3:$G$22&lt;=A4291))</f>
        <v/>
      </c>
      <c r="D4291">
        <f>SUMPRODUCT(Calc!$K$3:$K$22*(Calc!$G$3:$G$22&gt;A4291)*(Calc!$G$3:$G$22&lt;B4291))</f>
        <v/>
      </c>
      <c r="E4291">
        <f>SUMPRODUCT(Calc!$K$3:$K$22*(Calc!$G$3:$G$22&gt;=B4291))</f>
        <v/>
      </c>
      <c r="F4291">
        <f>AND(k_n&gt;=5,B4291&gt;A4291+1E-9,C4291&gt;=2,D4291&gt;=1,E4291&gt;=2)</f>
        <v/>
      </c>
      <c r="G4291">
        <f>SUMPRODUCT(Calc!$K$3:$K$22*(Calc!$G$3:$G$22&gt;A4291)*(Calc!$G$3:$G$22-A4291))</f>
        <v/>
      </c>
      <c r="H4291">
        <f>SUMPRODUCT(Calc!$K$3:$K$22*(Calc!$G$3:$G$22&gt;B4291)*(Calc!$G$3:$G$22-B4291))</f>
        <v/>
      </c>
      <c r="I4291">
        <f>SUMPRODUCT(Calc!$K$3:$K$22*(Calc!$G$3:$G$22&gt;A4291)*(Calc!$G$3:$G$22-A4291)^2)</f>
        <v/>
      </c>
      <c r="J4291">
        <f>SUMPRODUCT(Calc!$K$3:$K$22*(Calc!$G$3:$G$22&gt;B4291)*(Calc!$G$3:$G$22-B4291)^2)</f>
        <v/>
      </c>
      <c r="K4291">
        <f>SUMPRODUCT(Calc!$K$3:$K$22*(Calc!$G$3:$G$22&gt;A4291)*(Calc!$G$3:$G$22-A4291)*(Calc!$G$3:$G$22&gt;B4291)*(Calc!$G$3:$G$22-B4291))</f>
        <v/>
      </c>
      <c r="L4291">
        <f>SUMPRODUCT(Calc!$K$3:$K$22*(Calc!$G$3:$G$22&gt;A4291)*(Calc!$G$3:$G$22-A4291)*Calc!$G$3:$G$22)</f>
        <v/>
      </c>
      <c r="M4291">
        <f>SUMPRODUCT(Calc!$K$3:$K$22*(Calc!$G$3:$G$22&gt;B4291)*(Calc!$G$3:$G$22-B4291)*Calc!$G$3:$G$22)</f>
        <v/>
      </c>
      <c r="N4291">
        <f>SUMPRODUCT(Calc!$K$3:$K$22*(Calc!$G$3:$G$22&gt;A4291)*(Calc!$G$3:$G$22-A4291)*Calc!$I$3:$I$22)</f>
        <v/>
      </c>
      <c r="O4291">
        <f>SUMPRODUCT(Calc!$K$3:$K$22*(Calc!$G$3:$G$22&gt;B4291)*(Calc!$G$3:$G$22-B4291)*Calc!$I$3:$I$22)</f>
        <v/>
      </c>
      <c r="P4291">
        <f>I4291-G4291^2/k_n</f>
        <v/>
      </c>
      <c r="Q4291">
        <f>J4291-H4291^2/k_n</f>
        <v/>
      </c>
      <c r="R4291">
        <f>K4291-G4291*H4291/k_n</f>
        <v/>
      </c>
      <c r="S4291">
        <f>L4291-LTP3!$D$3*G4291/k_n</f>
        <v/>
      </c>
      <c r="T4291">
        <f>M4291-LTP3!$D$3*H4291/k_n</f>
        <v/>
      </c>
      <c r="U4291">
        <f>N4291-G4291*LTP3!$D$4/k_n</f>
        <v/>
      </c>
      <c r="V4291">
        <f>O4291-H4291*LTP3!$D$4/k_n</f>
        <v/>
      </c>
      <c r="W4291">
        <f>((LTP3!$D$5)*((P4291)*(Q4291)-(R4291)*(R4291))-(S4291)*((S4291)*(Q4291)-(R4291)*(T4291))+(T4291)*((S4291)*(R4291)-(P4291)*(T4291)))</f>
        <v/>
      </c>
      <c r="X4291">
        <f>IF(ABS(W4291)&gt;1E-12,((LTP3!$D$6)*((P4291)*(Q4291)-(R4291)*(R4291))-(S4291)*((U4291)*(Q4291)-(R4291)*(V4291))+(T4291)*((U4291)*(R4291)-(P4291)*(V4291)))/W4291,0)</f>
        <v/>
      </c>
      <c r="Y4291">
        <f>IF(ABS(W4291)&gt;1E-12,((LTP3!$D$5)*((U4291)*(Q4291)-(R4291)*(V4291))-(LTP3!$D$6)*((S4291)*(Q4291)-(R4291)*(T4291))+(T4291)*((S4291)*(V4291)-(U4291)*(T4291)))/W4291,0)</f>
        <v/>
      </c>
      <c r="Z4291">
        <f>IF(ABS(W4291)&gt;1E-12,((LTP3!$D$5)*((P4291)*(V4291)-(U4291)*(R4291))-(S4291)*((S4291)*(V4291)-(U4291)*(T4291))+(LTP3!$D$6)*((S4291)*(R4291)-(P4291)*(T4291)))/W4291,0)</f>
        <v/>
      </c>
      <c r="AA4291">
        <f>LTP3!$D$7-X4291*LTP3!$D$6-Y4291*U4291-Z4291*V4291</f>
        <v/>
      </c>
      <c r="AB4291">
        <f>IF(AND(F4291,ABS(W4291)&gt;1E-12,Y4291&gt;0,Z4291&gt;0),AA4291,1E+300)</f>
        <v/>
      </c>
    </row>
    <row r="4292">
      <c r="A4292">
        <f>$I$4-$B$5/10+$B$5*5/100</f>
        <v/>
      </c>
      <c r="B4292">
        <f>$J$4-$B$5/10+$B$5*7/100</f>
        <v/>
      </c>
      <c r="C4292">
        <f>SUMPRODUCT(Calc!$K$3:$K$22*(Calc!$G$3:$G$22&lt;=A4292))</f>
        <v/>
      </c>
      <c r="D4292">
        <f>SUMPRODUCT(Calc!$K$3:$K$22*(Calc!$G$3:$G$22&gt;A4292)*(Calc!$G$3:$G$22&lt;B4292))</f>
        <v/>
      </c>
      <c r="E4292">
        <f>SUMPRODUCT(Calc!$K$3:$K$22*(Calc!$G$3:$G$22&gt;=B4292))</f>
        <v/>
      </c>
      <c r="F4292">
        <f>AND(k_n&gt;=5,B4292&gt;A4292+1E-9,C4292&gt;=2,D4292&gt;=1,E4292&gt;=2)</f>
        <v/>
      </c>
      <c r="G4292">
        <f>SUMPRODUCT(Calc!$K$3:$K$22*(Calc!$G$3:$G$22&gt;A4292)*(Calc!$G$3:$G$22-A4292))</f>
        <v/>
      </c>
      <c r="H4292">
        <f>SUMPRODUCT(Calc!$K$3:$K$22*(Calc!$G$3:$G$22&gt;B4292)*(Calc!$G$3:$G$22-B4292))</f>
        <v/>
      </c>
      <c r="I4292">
        <f>SUMPRODUCT(Calc!$K$3:$K$22*(Calc!$G$3:$G$22&gt;A4292)*(Calc!$G$3:$G$22-A4292)^2)</f>
        <v/>
      </c>
      <c r="J4292">
        <f>SUMPRODUCT(Calc!$K$3:$K$22*(Calc!$G$3:$G$22&gt;B4292)*(Calc!$G$3:$G$22-B4292)^2)</f>
        <v/>
      </c>
      <c r="K4292">
        <f>SUMPRODUCT(Calc!$K$3:$K$22*(Calc!$G$3:$G$22&gt;A4292)*(Calc!$G$3:$G$22-A4292)*(Calc!$G$3:$G$22&gt;B4292)*(Calc!$G$3:$G$22-B4292))</f>
        <v/>
      </c>
      <c r="L4292">
        <f>SUMPRODUCT(Calc!$K$3:$K$22*(Calc!$G$3:$G$22&gt;A4292)*(Calc!$G$3:$G$22-A4292)*Calc!$G$3:$G$22)</f>
        <v/>
      </c>
      <c r="M4292">
        <f>SUMPRODUCT(Calc!$K$3:$K$22*(Calc!$G$3:$G$22&gt;B4292)*(Calc!$G$3:$G$22-B4292)*Calc!$G$3:$G$22)</f>
        <v/>
      </c>
      <c r="N4292">
        <f>SUMPRODUCT(Calc!$K$3:$K$22*(Calc!$G$3:$G$22&gt;A4292)*(Calc!$G$3:$G$22-A4292)*Calc!$I$3:$I$22)</f>
        <v/>
      </c>
      <c r="O4292">
        <f>SUMPRODUCT(Calc!$K$3:$K$22*(Calc!$G$3:$G$22&gt;B4292)*(Calc!$G$3:$G$22-B4292)*Calc!$I$3:$I$22)</f>
        <v/>
      </c>
      <c r="P4292">
        <f>I4292-G4292^2/k_n</f>
        <v/>
      </c>
      <c r="Q4292">
        <f>J4292-H4292^2/k_n</f>
        <v/>
      </c>
      <c r="R4292">
        <f>K4292-G4292*H4292/k_n</f>
        <v/>
      </c>
      <c r="S4292">
        <f>L4292-LTP3!$D$3*G4292/k_n</f>
        <v/>
      </c>
      <c r="T4292">
        <f>M4292-LTP3!$D$3*H4292/k_n</f>
        <v/>
      </c>
      <c r="U4292">
        <f>N4292-G4292*LTP3!$D$4/k_n</f>
        <v/>
      </c>
      <c r="V4292">
        <f>O4292-H4292*LTP3!$D$4/k_n</f>
        <v/>
      </c>
      <c r="W4292">
        <f>((LTP3!$D$5)*((P4292)*(Q4292)-(R4292)*(R4292))-(S4292)*((S4292)*(Q4292)-(R4292)*(T4292))+(T4292)*((S4292)*(R4292)-(P4292)*(T4292)))</f>
        <v/>
      </c>
      <c r="X4292">
        <f>IF(ABS(W4292)&gt;1E-12,((LTP3!$D$6)*((P4292)*(Q4292)-(R4292)*(R4292))-(S4292)*((U4292)*(Q4292)-(R4292)*(V4292))+(T4292)*((U4292)*(R4292)-(P4292)*(V4292)))/W4292,0)</f>
        <v/>
      </c>
      <c r="Y4292">
        <f>IF(ABS(W4292)&gt;1E-12,((LTP3!$D$5)*((U4292)*(Q4292)-(R4292)*(V4292))-(LTP3!$D$6)*((S4292)*(Q4292)-(R4292)*(T4292))+(T4292)*((S4292)*(V4292)-(U4292)*(T4292)))/W4292,0)</f>
        <v/>
      </c>
      <c r="Z4292">
        <f>IF(ABS(W4292)&gt;1E-12,((LTP3!$D$5)*((P4292)*(V4292)-(U4292)*(R4292))-(S4292)*((S4292)*(V4292)-(U4292)*(T4292))+(LTP3!$D$6)*((S4292)*(R4292)-(P4292)*(T4292)))/W4292,0)</f>
        <v/>
      </c>
      <c r="AA4292">
        <f>LTP3!$D$7-X4292*LTP3!$D$6-Y4292*U4292-Z4292*V4292</f>
        <v/>
      </c>
      <c r="AB4292">
        <f>IF(AND(F4292,ABS(W4292)&gt;1E-12,Y4292&gt;0,Z4292&gt;0),AA4292,1E+300)</f>
        <v/>
      </c>
    </row>
    <row r="4293">
      <c r="A4293">
        <f>$I$4-$B$5/10+$B$5*5/100</f>
        <v/>
      </c>
      <c r="B4293">
        <f>$J$4-$B$5/10+$B$5*8/100</f>
        <v/>
      </c>
      <c r="C4293">
        <f>SUMPRODUCT(Calc!$K$3:$K$22*(Calc!$G$3:$G$22&lt;=A4293))</f>
        <v/>
      </c>
      <c r="D4293">
        <f>SUMPRODUCT(Calc!$K$3:$K$22*(Calc!$G$3:$G$22&gt;A4293)*(Calc!$G$3:$G$22&lt;B4293))</f>
        <v/>
      </c>
      <c r="E4293">
        <f>SUMPRODUCT(Calc!$K$3:$K$22*(Calc!$G$3:$G$22&gt;=B4293))</f>
        <v/>
      </c>
      <c r="F4293">
        <f>AND(k_n&gt;=5,B4293&gt;A4293+1E-9,C4293&gt;=2,D4293&gt;=1,E4293&gt;=2)</f>
        <v/>
      </c>
      <c r="G4293">
        <f>SUMPRODUCT(Calc!$K$3:$K$22*(Calc!$G$3:$G$22&gt;A4293)*(Calc!$G$3:$G$22-A4293))</f>
        <v/>
      </c>
      <c r="H4293">
        <f>SUMPRODUCT(Calc!$K$3:$K$22*(Calc!$G$3:$G$22&gt;B4293)*(Calc!$G$3:$G$22-B4293))</f>
        <v/>
      </c>
      <c r="I4293">
        <f>SUMPRODUCT(Calc!$K$3:$K$22*(Calc!$G$3:$G$22&gt;A4293)*(Calc!$G$3:$G$22-A4293)^2)</f>
        <v/>
      </c>
      <c r="J4293">
        <f>SUMPRODUCT(Calc!$K$3:$K$22*(Calc!$G$3:$G$22&gt;B4293)*(Calc!$G$3:$G$22-B4293)^2)</f>
        <v/>
      </c>
      <c r="K4293">
        <f>SUMPRODUCT(Calc!$K$3:$K$22*(Calc!$G$3:$G$22&gt;A4293)*(Calc!$G$3:$G$22-A4293)*(Calc!$G$3:$G$22&gt;B4293)*(Calc!$G$3:$G$22-B4293))</f>
        <v/>
      </c>
      <c r="L4293">
        <f>SUMPRODUCT(Calc!$K$3:$K$22*(Calc!$G$3:$G$22&gt;A4293)*(Calc!$G$3:$G$22-A4293)*Calc!$G$3:$G$22)</f>
        <v/>
      </c>
      <c r="M4293">
        <f>SUMPRODUCT(Calc!$K$3:$K$22*(Calc!$G$3:$G$22&gt;B4293)*(Calc!$G$3:$G$22-B4293)*Calc!$G$3:$G$22)</f>
        <v/>
      </c>
      <c r="N4293">
        <f>SUMPRODUCT(Calc!$K$3:$K$22*(Calc!$G$3:$G$22&gt;A4293)*(Calc!$G$3:$G$22-A4293)*Calc!$I$3:$I$22)</f>
        <v/>
      </c>
      <c r="O4293">
        <f>SUMPRODUCT(Calc!$K$3:$K$22*(Calc!$G$3:$G$22&gt;B4293)*(Calc!$G$3:$G$22-B4293)*Calc!$I$3:$I$22)</f>
        <v/>
      </c>
      <c r="P4293">
        <f>I4293-G4293^2/k_n</f>
        <v/>
      </c>
      <c r="Q4293">
        <f>J4293-H4293^2/k_n</f>
        <v/>
      </c>
      <c r="R4293">
        <f>K4293-G4293*H4293/k_n</f>
        <v/>
      </c>
      <c r="S4293">
        <f>L4293-LTP3!$D$3*G4293/k_n</f>
        <v/>
      </c>
      <c r="T4293">
        <f>M4293-LTP3!$D$3*H4293/k_n</f>
        <v/>
      </c>
      <c r="U4293">
        <f>N4293-G4293*LTP3!$D$4/k_n</f>
        <v/>
      </c>
      <c r="V4293">
        <f>O4293-H4293*LTP3!$D$4/k_n</f>
        <v/>
      </c>
      <c r="W4293">
        <f>((LTP3!$D$5)*((P4293)*(Q4293)-(R4293)*(R4293))-(S4293)*((S4293)*(Q4293)-(R4293)*(T4293))+(T4293)*((S4293)*(R4293)-(P4293)*(T4293)))</f>
        <v/>
      </c>
      <c r="X4293">
        <f>IF(ABS(W4293)&gt;1E-12,((LTP3!$D$6)*((P4293)*(Q4293)-(R4293)*(R4293))-(S4293)*((U4293)*(Q4293)-(R4293)*(V4293))+(T4293)*((U4293)*(R4293)-(P4293)*(V4293)))/W4293,0)</f>
        <v/>
      </c>
      <c r="Y4293">
        <f>IF(ABS(W4293)&gt;1E-12,((LTP3!$D$5)*((U4293)*(Q4293)-(R4293)*(V4293))-(LTP3!$D$6)*((S4293)*(Q4293)-(R4293)*(T4293))+(T4293)*((S4293)*(V4293)-(U4293)*(T4293)))/W4293,0)</f>
        <v/>
      </c>
      <c r="Z4293">
        <f>IF(ABS(W4293)&gt;1E-12,((LTP3!$D$5)*((P4293)*(V4293)-(U4293)*(R4293))-(S4293)*((S4293)*(V4293)-(U4293)*(T4293))+(LTP3!$D$6)*((S4293)*(R4293)-(P4293)*(T4293)))/W4293,0)</f>
        <v/>
      </c>
      <c r="AA4293">
        <f>LTP3!$D$7-X4293*LTP3!$D$6-Y4293*U4293-Z4293*V4293</f>
        <v/>
      </c>
      <c r="AB4293">
        <f>IF(AND(F4293,ABS(W4293)&gt;1E-12,Y4293&gt;0,Z4293&gt;0),AA4293,1E+300)</f>
        <v/>
      </c>
    </row>
    <row r="4294">
      <c r="A4294">
        <f>$I$4-$B$5/10+$B$5*5/100</f>
        <v/>
      </c>
      <c r="B4294">
        <f>$J$4-$B$5/10+$B$5*9/100</f>
        <v/>
      </c>
      <c r="C4294">
        <f>SUMPRODUCT(Calc!$K$3:$K$22*(Calc!$G$3:$G$22&lt;=A4294))</f>
        <v/>
      </c>
      <c r="D4294">
        <f>SUMPRODUCT(Calc!$K$3:$K$22*(Calc!$G$3:$G$22&gt;A4294)*(Calc!$G$3:$G$22&lt;B4294))</f>
        <v/>
      </c>
      <c r="E4294">
        <f>SUMPRODUCT(Calc!$K$3:$K$22*(Calc!$G$3:$G$22&gt;=B4294))</f>
        <v/>
      </c>
      <c r="F4294">
        <f>AND(k_n&gt;=5,B4294&gt;A4294+1E-9,C4294&gt;=2,D4294&gt;=1,E4294&gt;=2)</f>
        <v/>
      </c>
      <c r="G4294">
        <f>SUMPRODUCT(Calc!$K$3:$K$22*(Calc!$G$3:$G$22&gt;A4294)*(Calc!$G$3:$G$22-A4294))</f>
        <v/>
      </c>
      <c r="H4294">
        <f>SUMPRODUCT(Calc!$K$3:$K$22*(Calc!$G$3:$G$22&gt;B4294)*(Calc!$G$3:$G$22-B4294))</f>
        <v/>
      </c>
      <c r="I4294">
        <f>SUMPRODUCT(Calc!$K$3:$K$22*(Calc!$G$3:$G$22&gt;A4294)*(Calc!$G$3:$G$22-A4294)^2)</f>
        <v/>
      </c>
      <c r="J4294">
        <f>SUMPRODUCT(Calc!$K$3:$K$22*(Calc!$G$3:$G$22&gt;B4294)*(Calc!$G$3:$G$22-B4294)^2)</f>
        <v/>
      </c>
      <c r="K4294">
        <f>SUMPRODUCT(Calc!$K$3:$K$22*(Calc!$G$3:$G$22&gt;A4294)*(Calc!$G$3:$G$22-A4294)*(Calc!$G$3:$G$22&gt;B4294)*(Calc!$G$3:$G$22-B4294))</f>
        <v/>
      </c>
      <c r="L4294">
        <f>SUMPRODUCT(Calc!$K$3:$K$22*(Calc!$G$3:$G$22&gt;A4294)*(Calc!$G$3:$G$22-A4294)*Calc!$G$3:$G$22)</f>
        <v/>
      </c>
      <c r="M4294">
        <f>SUMPRODUCT(Calc!$K$3:$K$22*(Calc!$G$3:$G$22&gt;B4294)*(Calc!$G$3:$G$22-B4294)*Calc!$G$3:$G$22)</f>
        <v/>
      </c>
      <c r="N4294">
        <f>SUMPRODUCT(Calc!$K$3:$K$22*(Calc!$G$3:$G$22&gt;A4294)*(Calc!$G$3:$G$22-A4294)*Calc!$I$3:$I$22)</f>
        <v/>
      </c>
      <c r="O4294">
        <f>SUMPRODUCT(Calc!$K$3:$K$22*(Calc!$G$3:$G$22&gt;B4294)*(Calc!$G$3:$G$22-B4294)*Calc!$I$3:$I$22)</f>
        <v/>
      </c>
      <c r="P4294">
        <f>I4294-G4294^2/k_n</f>
        <v/>
      </c>
      <c r="Q4294">
        <f>J4294-H4294^2/k_n</f>
        <v/>
      </c>
      <c r="R4294">
        <f>K4294-G4294*H4294/k_n</f>
        <v/>
      </c>
      <c r="S4294">
        <f>L4294-LTP3!$D$3*G4294/k_n</f>
        <v/>
      </c>
      <c r="T4294">
        <f>M4294-LTP3!$D$3*H4294/k_n</f>
        <v/>
      </c>
      <c r="U4294">
        <f>N4294-G4294*LTP3!$D$4/k_n</f>
        <v/>
      </c>
      <c r="V4294">
        <f>O4294-H4294*LTP3!$D$4/k_n</f>
        <v/>
      </c>
      <c r="W4294">
        <f>((LTP3!$D$5)*((P4294)*(Q4294)-(R4294)*(R4294))-(S4294)*((S4294)*(Q4294)-(R4294)*(T4294))+(T4294)*((S4294)*(R4294)-(P4294)*(T4294)))</f>
        <v/>
      </c>
      <c r="X4294">
        <f>IF(ABS(W4294)&gt;1E-12,((LTP3!$D$6)*((P4294)*(Q4294)-(R4294)*(R4294))-(S4294)*((U4294)*(Q4294)-(R4294)*(V4294))+(T4294)*((U4294)*(R4294)-(P4294)*(V4294)))/W4294,0)</f>
        <v/>
      </c>
      <c r="Y4294">
        <f>IF(ABS(W4294)&gt;1E-12,((LTP3!$D$5)*((U4294)*(Q4294)-(R4294)*(V4294))-(LTP3!$D$6)*((S4294)*(Q4294)-(R4294)*(T4294))+(T4294)*((S4294)*(V4294)-(U4294)*(T4294)))/W4294,0)</f>
        <v/>
      </c>
      <c r="Z4294">
        <f>IF(ABS(W4294)&gt;1E-12,((LTP3!$D$5)*((P4294)*(V4294)-(U4294)*(R4294))-(S4294)*((S4294)*(V4294)-(U4294)*(T4294))+(LTP3!$D$6)*((S4294)*(R4294)-(P4294)*(T4294)))/W4294,0)</f>
        <v/>
      </c>
      <c r="AA4294">
        <f>LTP3!$D$7-X4294*LTP3!$D$6-Y4294*U4294-Z4294*V4294</f>
        <v/>
      </c>
      <c r="AB4294">
        <f>IF(AND(F4294,ABS(W4294)&gt;1E-12,Y4294&gt;0,Z4294&gt;0),AA4294,1E+300)</f>
        <v/>
      </c>
    </row>
    <row r="4295">
      <c r="A4295">
        <f>$I$4-$B$5/10+$B$5*5/100</f>
        <v/>
      </c>
      <c r="B4295">
        <f>$J$4-$B$5/10+$B$5*10/100</f>
        <v/>
      </c>
      <c r="C4295">
        <f>SUMPRODUCT(Calc!$K$3:$K$22*(Calc!$G$3:$G$22&lt;=A4295))</f>
        <v/>
      </c>
      <c r="D4295">
        <f>SUMPRODUCT(Calc!$K$3:$K$22*(Calc!$G$3:$G$22&gt;A4295)*(Calc!$G$3:$G$22&lt;B4295))</f>
        <v/>
      </c>
      <c r="E4295">
        <f>SUMPRODUCT(Calc!$K$3:$K$22*(Calc!$G$3:$G$22&gt;=B4295))</f>
        <v/>
      </c>
      <c r="F4295">
        <f>AND(k_n&gt;=5,B4295&gt;A4295+1E-9,C4295&gt;=2,D4295&gt;=1,E4295&gt;=2)</f>
        <v/>
      </c>
      <c r="G4295">
        <f>SUMPRODUCT(Calc!$K$3:$K$22*(Calc!$G$3:$G$22&gt;A4295)*(Calc!$G$3:$G$22-A4295))</f>
        <v/>
      </c>
      <c r="H4295">
        <f>SUMPRODUCT(Calc!$K$3:$K$22*(Calc!$G$3:$G$22&gt;B4295)*(Calc!$G$3:$G$22-B4295))</f>
        <v/>
      </c>
      <c r="I4295">
        <f>SUMPRODUCT(Calc!$K$3:$K$22*(Calc!$G$3:$G$22&gt;A4295)*(Calc!$G$3:$G$22-A4295)^2)</f>
        <v/>
      </c>
      <c r="J4295">
        <f>SUMPRODUCT(Calc!$K$3:$K$22*(Calc!$G$3:$G$22&gt;B4295)*(Calc!$G$3:$G$22-B4295)^2)</f>
        <v/>
      </c>
      <c r="K4295">
        <f>SUMPRODUCT(Calc!$K$3:$K$22*(Calc!$G$3:$G$22&gt;A4295)*(Calc!$G$3:$G$22-A4295)*(Calc!$G$3:$G$22&gt;B4295)*(Calc!$G$3:$G$22-B4295))</f>
        <v/>
      </c>
      <c r="L4295">
        <f>SUMPRODUCT(Calc!$K$3:$K$22*(Calc!$G$3:$G$22&gt;A4295)*(Calc!$G$3:$G$22-A4295)*Calc!$G$3:$G$22)</f>
        <v/>
      </c>
      <c r="M4295">
        <f>SUMPRODUCT(Calc!$K$3:$K$22*(Calc!$G$3:$G$22&gt;B4295)*(Calc!$G$3:$G$22-B4295)*Calc!$G$3:$G$22)</f>
        <v/>
      </c>
      <c r="N4295">
        <f>SUMPRODUCT(Calc!$K$3:$K$22*(Calc!$G$3:$G$22&gt;A4295)*(Calc!$G$3:$G$22-A4295)*Calc!$I$3:$I$22)</f>
        <v/>
      </c>
      <c r="O4295">
        <f>SUMPRODUCT(Calc!$K$3:$K$22*(Calc!$G$3:$G$22&gt;B4295)*(Calc!$G$3:$G$22-B4295)*Calc!$I$3:$I$22)</f>
        <v/>
      </c>
      <c r="P4295">
        <f>I4295-G4295^2/k_n</f>
        <v/>
      </c>
      <c r="Q4295">
        <f>J4295-H4295^2/k_n</f>
        <v/>
      </c>
      <c r="R4295">
        <f>K4295-G4295*H4295/k_n</f>
        <v/>
      </c>
      <c r="S4295">
        <f>L4295-LTP3!$D$3*G4295/k_n</f>
        <v/>
      </c>
      <c r="T4295">
        <f>M4295-LTP3!$D$3*H4295/k_n</f>
        <v/>
      </c>
      <c r="U4295">
        <f>N4295-G4295*LTP3!$D$4/k_n</f>
        <v/>
      </c>
      <c r="V4295">
        <f>O4295-H4295*LTP3!$D$4/k_n</f>
        <v/>
      </c>
      <c r="W4295">
        <f>((LTP3!$D$5)*((P4295)*(Q4295)-(R4295)*(R4295))-(S4295)*((S4295)*(Q4295)-(R4295)*(T4295))+(T4295)*((S4295)*(R4295)-(P4295)*(T4295)))</f>
        <v/>
      </c>
      <c r="X4295">
        <f>IF(ABS(W4295)&gt;1E-12,((LTP3!$D$6)*((P4295)*(Q4295)-(R4295)*(R4295))-(S4295)*((U4295)*(Q4295)-(R4295)*(V4295))+(T4295)*((U4295)*(R4295)-(P4295)*(V4295)))/W4295,0)</f>
        <v/>
      </c>
      <c r="Y4295">
        <f>IF(ABS(W4295)&gt;1E-12,((LTP3!$D$5)*((U4295)*(Q4295)-(R4295)*(V4295))-(LTP3!$D$6)*((S4295)*(Q4295)-(R4295)*(T4295))+(T4295)*((S4295)*(V4295)-(U4295)*(T4295)))/W4295,0)</f>
        <v/>
      </c>
      <c r="Z4295">
        <f>IF(ABS(W4295)&gt;1E-12,((LTP3!$D$5)*((P4295)*(V4295)-(U4295)*(R4295))-(S4295)*((S4295)*(V4295)-(U4295)*(T4295))+(LTP3!$D$6)*((S4295)*(R4295)-(P4295)*(T4295)))/W4295,0)</f>
        <v/>
      </c>
      <c r="AA4295">
        <f>LTP3!$D$7-X4295*LTP3!$D$6-Y4295*U4295-Z4295*V4295</f>
        <v/>
      </c>
      <c r="AB4295">
        <f>IF(AND(F4295,ABS(W4295)&gt;1E-12,Y4295&gt;0,Z4295&gt;0),AA4295,1E+300)</f>
        <v/>
      </c>
    </row>
    <row r="4296">
      <c r="A4296">
        <f>$I$4-$B$5/10+$B$5*5/100</f>
        <v/>
      </c>
      <c r="B4296">
        <f>$J$4-$B$5/10+$B$5*11/100</f>
        <v/>
      </c>
      <c r="C4296">
        <f>SUMPRODUCT(Calc!$K$3:$K$22*(Calc!$G$3:$G$22&lt;=A4296))</f>
        <v/>
      </c>
      <c r="D4296">
        <f>SUMPRODUCT(Calc!$K$3:$K$22*(Calc!$G$3:$G$22&gt;A4296)*(Calc!$G$3:$G$22&lt;B4296))</f>
        <v/>
      </c>
      <c r="E4296">
        <f>SUMPRODUCT(Calc!$K$3:$K$22*(Calc!$G$3:$G$22&gt;=B4296))</f>
        <v/>
      </c>
      <c r="F4296">
        <f>AND(k_n&gt;=5,B4296&gt;A4296+1E-9,C4296&gt;=2,D4296&gt;=1,E4296&gt;=2)</f>
        <v/>
      </c>
      <c r="G4296">
        <f>SUMPRODUCT(Calc!$K$3:$K$22*(Calc!$G$3:$G$22&gt;A4296)*(Calc!$G$3:$G$22-A4296))</f>
        <v/>
      </c>
      <c r="H4296">
        <f>SUMPRODUCT(Calc!$K$3:$K$22*(Calc!$G$3:$G$22&gt;B4296)*(Calc!$G$3:$G$22-B4296))</f>
        <v/>
      </c>
      <c r="I4296">
        <f>SUMPRODUCT(Calc!$K$3:$K$22*(Calc!$G$3:$G$22&gt;A4296)*(Calc!$G$3:$G$22-A4296)^2)</f>
        <v/>
      </c>
      <c r="J4296">
        <f>SUMPRODUCT(Calc!$K$3:$K$22*(Calc!$G$3:$G$22&gt;B4296)*(Calc!$G$3:$G$22-B4296)^2)</f>
        <v/>
      </c>
      <c r="K4296">
        <f>SUMPRODUCT(Calc!$K$3:$K$22*(Calc!$G$3:$G$22&gt;A4296)*(Calc!$G$3:$G$22-A4296)*(Calc!$G$3:$G$22&gt;B4296)*(Calc!$G$3:$G$22-B4296))</f>
        <v/>
      </c>
      <c r="L4296">
        <f>SUMPRODUCT(Calc!$K$3:$K$22*(Calc!$G$3:$G$22&gt;A4296)*(Calc!$G$3:$G$22-A4296)*Calc!$G$3:$G$22)</f>
        <v/>
      </c>
      <c r="M4296">
        <f>SUMPRODUCT(Calc!$K$3:$K$22*(Calc!$G$3:$G$22&gt;B4296)*(Calc!$G$3:$G$22-B4296)*Calc!$G$3:$G$22)</f>
        <v/>
      </c>
      <c r="N4296">
        <f>SUMPRODUCT(Calc!$K$3:$K$22*(Calc!$G$3:$G$22&gt;A4296)*(Calc!$G$3:$G$22-A4296)*Calc!$I$3:$I$22)</f>
        <v/>
      </c>
      <c r="O4296">
        <f>SUMPRODUCT(Calc!$K$3:$K$22*(Calc!$G$3:$G$22&gt;B4296)*(Calc!$G$3:$G$22-B4296)*Calc!$I$3:$I$22)</f>
        <v/>
      </c>
      <c r="P4296">
        <f>I4296-G4296^2/k_n</f>
        <v/>
      </c>
      <c r="Q4296">
        <f>J4296-H4296^2/k_n</f>
        <v/>
      </c>
      <c r="R4296">
        <f>K4296-G4296*H4296/k_n</f>
        <v/>
      </c>
      <c r="S4296">
        <f>L4296-LTP3!$D$3*G4296/k_n</f>
        <v/>
      </c>
      <c r="T4296">
        <f>M4296-LTP3!$D$3*H4296/k_n</f>
        <v/>
      </c>
      <c r="U4296">
        <f>N4296-G4296*LTP3!$D$4/k_n</f>
        <v/>
      </c>
      <c r="V4296">
        <f>O4296-H4296*LTP3!$D$4/k_n</f>
        <v/>
      </c>
      <c r="W4296">
        <f>((LTP3!$D$5)*((P4296)*(Q4296)-(R4296)*(R4296))-(S4296)*((S4296)*(Q4296)-(R4296)*(T4296))+(T4296)*((S4296)*(R4296)-(P4296)*(T4296)))</f>
        <v/>
      </c>
      <c r="X4296">
        <f>IF(ABS(W4296)&gt;1E-12,((LTP3!$D$6)*((P4296)*(Q4296)-(R4296)*(R4296))-(S4296)*((U4296)*(Q4296)-(R4296)*(V4296))+(T4296)*((U4296)*(R4296)-(P4296)*(V4296)))/W4296,0)</f>
        <v/>
      </c>
      <c r="Y4296">
        <f>IF(ABS(W4296)&gt;1E-12,((LTP3!$D$5)*((U4296)*(Q4296)-(R4296)*(V4296))-(LTP3!$D$6)*((S4296)*(Q4296)-(R4296)*(T4296))+(T4296)*((S4296)*(V4296)-(U4296)*(T4296)))/W4296,0)</f>
        <v/>
      </c>
      <c r="Z4296">
        <f>IF(ABS(W4296)&gt;1E-12,((LTP3!$D$5)*((P4296)*(V4296)-(U4296)*(R4296))-(S4296)*((S4296)*(V4296)-(U4296)*(T4296))+(LTP3!$D$6)*((S4296)*(R4296)-(P4296)*(T4296)))/W4296,0)</f>
        <v/>
      </c>
      <c r="AA4296">
        <f>LTP3!$D$7-X4296*LTP3!$D$6-Y4296*U4296-Z4296*V4296</f>
        <v/>
      </c>
      <c r="AB4296">
        <f>IF(AND(F4296,ABS(W4296)&gt;1E-12,Y4296&gt;0,Z4296&gt;0),AA4296,1E+300)</f>
        <v/>
      </c>
    </row>
    <row r="4297">
      <c r="A4297">
        <f>$I$4-$B$5/10+$B$5*5/100</f>
        <v/>
      </c>
      <c r="B4297">
        <f>$J$4-$B$5/10+$B$5*12/100</f>
        <v/>
      </c>
      <c r="C4297">
        <f>SUMPRODUCT(Calc!$K$3:$K$22*(Calc!$G$3:$G$22&lt;=A4297))</f>
        <v/>
      </c>
      <c r="D4297">
        <f>SUMPRODUCT(Calc!$K$3:$K$22*(Calc!$G$3:$G$22&gt;A4297)*(Calc!$G$3:$G$22&lt;B4297))</f>
        <v/>
      </c>
      <c r="E4297">
        <f>SUMPRODUCT(Calc!$K$3:$K$22*(Calc!$G$3:$G$22&gt;=B4297))</f>
        <v/>
      </c>
      <c r="F4297">
        <f>AND(k_n&gt;=5,B4297&gt;A4297+1E-9,C4297&gt;=2,D4297&gt;=1,E4297&gt;=2)</f>
        <v/>
      </c>
      <c r="G4297">
        <f>SUMPRODUCT(Calc!$K$3:$K$22*(Calc!$G$3:$G$22&gt;A4297)*(Calc!$G$3:$G$22-A4297))</f>
        <v/>
      </c>
      <c r="H4297">
        <f>SUMPRODUCT(Calc!$K$3:$K$22*(Calc!$G$3:$G$22&gt;B4297)*(Calc!$G$3:$G$22-B4297))</f>
        <v/>
      </c>
      <c r="I4297">
        <f>SUMPRODUCT(Calc!$K$3:$K$22*(Calc!$G$3:$G$22&gt;A4297)*(Calc!$G$3:$G$22-A4297)^2)</f>
        <v/>
      </c>
      <c r="J4297">
        <f>SUMPRODUCT(Calc!$K$3:$K$22*(Calc!$G$3:$G$22&gt;B4297)*(Calc!$G$3:$G$22-B4297)^2)</f>
        <v/>
      </c>
      <c r="K4297">
        <f>SUMPRODUCT(Calc!$K$3:$K$22*(Calc!$G$3:$G$22&gt;A4297)*(Calc!$G$3:$G$22-A4297)*(Calc!$G$3:$G$22&gt;B4297)*(Calc!$G$3:$G$22-B4297))</f>
        <v/>
      </c>
      <c r="L4297">
        <f>SUMPRODUCT(Calc!$K$3:$K$22*(Calc!$G$3:$G$22&gt;A4297)*(Calc!$G$3:$G$22-A4297)*Calc!$G$3:$G$22)</f>
        <v/>
      </c>
      <c r="M4297">
        <f>SUMPRODUCT(Calc!$K$3:$K$22*(Calc!$G$3:$G$22&gt;B4297)*(Calc!$G$3:$G$22-B4297)*Calc!$G$3:$G$22)</f>
        <v/>
      </c>
      <c r="N4297">
        <f>SUMPRODUCT(Calc!$K$3:$K$22*(Calc!$G$3:$G$22&gt;A4297)*(Calc!$G$3:$G$22-A4297)*Calc!$I$3:$I$22)</f>
        <v/>
      </c>
      <c r="O4297">
        <f>SUMPRODUCT(Calc!$K$3:$K$22*(Calc!$G$3:$G$22&gt;B4297)*(Calc!$G$3:$G$22-B4297)*Calc!$I$3:$I$22)</f>
        <v/>
      </c>
      <c r="P4297">
        <f>I4297-G4297^2/k_n</f>
        <v/>
      </c>
      <c r="Q4297">
        <f>J4297-H4297^2/k_n</f>
        <v/>
      </c>
      <c r="R4297">
        <f>K4297-G4297*H4297/k_n</f>
        <v/>
      </c>
      <c r="S4297">
        <f>L4297-LTP3!$D$3*G4297/k_n</f>
        <v/>
      </c>
      <c r="T4297">
        <f>M4297-LTP3!$D$3*H4297/k_n</f>
        <v/>
      </c>
      <c r="U4297">
        <f>N4297-G4297*LTP3!$D$4/k_n</f>
        <v/>
      </c>
      <c r="V4297">
        <f>O4297-H4297*LTP3!$D$4/k_n</f>
        <v/>
      </c>
      <c r="W4297">
        <f>((LTP3!$D$5)*((P4297)*(Q4297)-(R4297)*(R4297))-(S4297)*((S4297)*(Q4297)-(R4297)*(T4297))+(T4297)*((S4297)*(R4297)-(P4297)*(T4297)))</f>
        <v/>
      </c>
      <c r="X4297">
        <f>IF(ABS(W4297)&gt;1E-12,((LTP3!$D$6)*((P4297)*(Q4297)-(R4297)*(R4297))-(S4297)*((U4297)*(Q4297)-(R4297)*(V4297))+(T4297)*((U4297)*(R4297)-(P4297)*(V4297)))/W4297,0)</f>
        <v/>
      </c>
      <c r="Y4297">
        <f>IF(ABS(W4297)&gt;1E-12,((LTP3!$D$5)*((U4297)*(Q4297)-(R4297)*(V4297))-(LTP3!$D$6)*((S4297)*(Q4297)-(R4297)*(T4297))+(T4297)*((S4297)*(V4297)-(U4297)*(T4297)))/W4297,0)</f>
        <v/>
      </c>
      <c r="Z4297">
        <f>IF(ABS(W4297)&gt;1E-12,((LTP3!$D$5)*((P4297)*(V4297)-(U4297)*(R4297))-(S4297)*((S4297)*(V4297)-(U4297)*(T4297))+(LTP3!$D$6)*((S4297)*(R4297)-(P4297)*(T4297)))/W4297,0)</f>
        <v/>
      </c>
      <c r="AA4297">
        <f>LTP3!$D$7-X4297*LTP3!$D$6-Y4297*U4297-Z4297*V4297</f>
        <v/>
      </c>
      <c r="AB4297">
        <f>IF(AND(F4297,ABS(W4297)&gt;1E-12,Y4297&gt;0,Z4297&gt;0),AA4297,1E+300)</f>
        <v/>
      </c>
    </row>
    <row r="4298">
      <c r="A4298">
        <f>$I$4-$B$5/10+$B$5*5/100</f>
        <v/>
      </c>
      <c r="B4298">
        <f>$J$4-$B$5/10+$B$5*13/100</f>
        <v/>
      </c>
      <c r="C4298">
        <f>SUMPRODUCT(Calc!$K$3:$K$22*(Calc!$G$3:$G$22&lt;=A4298))</f>
        <v/>
      </c>
      <c r="D4298">
        <f>SUMPRODUCT(Calc!$K$3:$K$22*(Calc!$G$3:$G$22&gt;A4298)*(Calc!$G$3:$G$22&lt;B4298))</f>
        <v/>
      </c>
      <c r="E4298">
        <f>SUMPRODUCT(Calc!$K$3:$K$22*(Calc!$G$3:$G$22&gt;=B4298))</f>
        <v/>
      </c>
      <c r="F4298">
        <f>AND(k_n&gt;=5,B4298&gt;A4298+1E-9,C4298&gt;=2,D4298&gt;=1,E4298&gt;=2)</f>
        <v/>
      </c>
      <c r="G4298">
        <f>SUMPRODUCT(Calc!$K$3:$K$22*(Calc!$G$3:$G$22&gt;A4298)*(Calc!$G$3:$G$22-A4298))</f>
        <v/>
      </c>
      <c r="H4298">
        <f>SUMPRODUCT(Calc!$K$3:$K$22*(Calc!$G$3:$G$22&gt;B4298)*(Calc!$G$3:$G$22-B4298))</f>
        <v/>
      </c>
      <c r="I4298">
        <f>SUMPRODUCT(Calc!$K$3:$K$22*(Calc!$G$3:$G$22&gt;A4298)*(Calc!$G$3:$G$22-A4298)^2)</f>
        <v/>
      </c>
      <c r="J4298">
        <f>SUMPRODUCT(Calc!$K$3:$K$22*(Calc!$G$3:$G$22&gt;B4298)*(Calc!$G$3:$G$22-B4298)^2)</f>
        <v/>
      </c>
      <c r="K4298">
        <f>SUMPRODUCT(Calc!$K$3:$K$22*(Calc!$G$3:$G$22&gt;A4298)*(Calc!$G$3:$G$22-A4298)*(Calc!$G$3:$G$22&gt;B4298)*(Calc!$G$3:$G$22-B4298))</f>
        <v/>
      </c>
      <c r="L4298">
        <f>SUMPRODUCT(Calc!$K$3:$K$22*(Calc!$G$3:$G$22&gt;A4298)*(Calc!$G$3:$G$22-A4298)*Calc!$G$3:$G$22)</f>
        <v/>
      </c>
      <c r="M4298">
        <f>SUMPRODUCT(Calc!$K$3:$K$22*(Calc!$G$3:$G$22&gt;B4298)*(Calc!$G$3:$G$22-B4298)*Calc!$G$3:$G$22)</f>
        <v/>
      </c>
      <c r="N4298">
        <f>SUMPRODUCT(Calc!$K$3:$K$22*(Calc!$G$3:$G$22&gt;A4298)*(Calc!$G$3:$G$22-A4298)*Calc!$I$3:$I$22)</f>
        <v/>
      </c>
      <c r="O4298">
        <f>SUMPRODUCT(Calc!$K$3:$K$22*(Calc!$G$3:$G$22&gt;B4298)*(Calc!$G$3:$G$22-B4298)*Calc!$I$3:$I$22)</f>
        <v/>
      </c>
      <c r="P4298">
        <f>I4298-G4298^2/k_n</f>
        <v/>
      </c>
      <c r="Q4298">
        <f>J4298-H4298^2/k_n</f>
        <v/>
      </c>
      <c r="R4298">
        <f>K4298-G4298*H4298/k_n</f>
        <v/>
      </c>
      <c r="S4298">
        <f>L4298-LTP3!$D$3*G4298/k_n</f>
        <v/>
      </c>
      <c r="T4298">
        <f>M4298-LTP3!$D$3*H4298/k_n</f>
        <v/>
      </c>
      <c r="U4298">
        <f>N4298-G4298*LTP3!$D$4/k_n</f>
        <v/>
      </c>
      <c r="V4298">
        <f>O4298-H4298*LTP3!$D$4/k_n</f>
        <v/>
      </c>
      <c r="W4298">
        <f>((LTP3!$D$5)*((P4298)*(Q4298)-(R4298)*(R4298))-(S4298)*((S4298)*(Q4298)-(R4298)*(T4298))+(T4298)*((S4298)*(R4298)-(P4298)*(T4298)))</f>
        <v/>
      </c>
      <c r="X4298">
        <f>IF(ABS(W4298)&gt;1E-12,((LTP3!$D$6)*((P4298)*(Q4298)-(R4298)*(R4298))-(S4298)*((U4298)*(Q4298)-(R4298)*(V4298))+(T4298)*((U4298)*(R4298)-(P4298)*(V4298)))/W4298,0)</f>
        <v/>
      </c>
      <c r="Y4298">
        <f>IF(ABS(W4298)&gt;1E-12,((LTP3!$D$5)*((U4298)*(Q4298)-(R4298)*(V4298))-(LTP3!$D$6)*((S4298)*(Q4298)-(R4298)*(T4298))+(T4298)*((S4298)*(V4298)-(U4298)*(T4298)))/W4298,0)</f>
        <v/>
      </c>
      <c r="Z4298">
        <f>IF(ABS(W4298)&gt;1E-12,((LTP3!$D$5)*((P4298)*(V4298)-(U4298)*(R4298))-(S4298)*((S4298)*(V4298)-(U4298)*(T4298))+(LTP3!$D$6)*((S4298)*(R4298)-(P4298)*(T4298)))/W4298,0)</f>
        <v/>
      </c>
      <c r="AA4298">
        <f>LTP3!$D$7-X4298*LTP3!$D$6-Y4298*U4298-Z4298*V4298</f>
        <v/>
      </c>
      <c r="AB4298">
        <f>IF(AND(F4298,ABS(W4298)&gt;1E-12,Y4298&gt;0,Z4298&gt;0),AA4298,1E+300)</f>
        <v/>
      </c>
    </row>
    <row r="4299">
      <c r="A4299">
        <f>$I$4-$B$5/10+$B$5*5/100</f>
        <v/>
      </c>
      <c r="B4299">
        <f>$J$4-$B$5/10+$B$5*14/100</f>
        <v/>
      </c>
      <c r="C4299">
        <f>SUMPRODUCT(Calc!$K$3:$K$22*(Calc!$G$3:$G$22&lt;=A4299))</f>
        <v/>
      </c>
      <c r="D4299">
        <f>SUMPRODUCT(Calc!$K$3:$K$22*(Calc!$G$3:$G$22&gt;A4299)*(Calc!$G$3:$G$22&lt;B4299))</f>
        <v/>
      </c>
      <c r="E4299">
        <f>SUMPRODUCT(Calc!$K$3:$K$22*(Calc!$G$3:$G$22&gt;=B4299))</f>
        <v/>
      </c>
      <c r="F4299">
        <f>AND(k_n&gt;=5,B4299&gt;A4299+1E-9,C4299&gt;=2,D4299&gt;=1,E4299&gt;=2)</f>
        <v/>
      </c>
      <c r="G4299">
        <f>SUMPRODUCT(Calc!$K$3:$K$22*(Calc!$G$3:$G$22&gt;A4299)*(Calc!$G$3:$G$22-A4299))</f>
        <v/>
      </c>
      <c r="H4299">
        <f>SUMPRODUCT(Calc!$K$3:$K$22*(Calc!$G$3:$G$22&gt;B4299)*(Calc!$G$3:$G$22-B4299))</f>
        <v/>
      </c>
      <c r="I4299">
        <f>SUMPRODUCT(Calc!$K$3:$K$22*(Calc!$G$3:$G$22&gt;A4299)*(Calc!$G$3:$G$22-A4299)^2)</f>
        <v/>
      </c>
      <c r="J4299">
        <f>SUMPRODUCT(Calc!$K$3:$K$22*(Calc!$G$3:$G$22&gt;B4299)*(Calc!$G$3:$G$22-B4299)^2)</f>
        <v/>
      </c>
      <c r="K4299">
        <f>SUMPRODUCT(Calc!$K$3:$K$22*(Calc!$G$3:$G$22&gt;A4299)*(Calc!$G$3:$G$22-A4299)*(Calc!$G$3:$G$22&gt;B4299)*(Calc!$G$3:$G$22-B4299))</f>
        <v/>
      </c>
      <c r="L4299">
        <f>SUMPRODUCT(Calc!$K$3:$K$22*(Calc!$G$3:$G$22&gt;A4299)*(Calc!$G$3:$G$22-A4299)*Calc!$G$3:$G$22)</f>
        <v/>
      </c>
      <c r="M4299">
        <f>SUMPRODUCT(Calc!$K$3:$K$22*(Calc!$G$3:$G$22&gt;B4299)*(Calc!$G$3:$G$22-B4299)*Calc!$G$3:$G$22)</f>
        <v/>
      </c>
      <c r="N4299">
        <f>SUMPRODUCT(Calc!$K$3:$K$22*(Calc!$G$3:$G$22&gt;A4299)*(Calc!$G$3:$G$22-A4299)*Calc!$I$3:$I$22)</f>
        <v/>
      </c>
      <c r="O4299">
        <f>SUMPRODUCT(Calc!$K$3:$K$22*(Calc!$G$3:$G$22&gt;B4299)*(Calc!$G$3:$G$22-B4299)*Calc!$I$3:$I$22)</f>
        <v/>
      </c>
      <c r="P4299">
        <f>I4299-G4299^2/k_n</f>
        <v/>
      </c>
      <c r="Q4299">
        <f>J4299-H4299^2/k_n</f>
        <v/>
      </c>
      <c r="R4299">
        <f>K4299-G4299*H4299/k_n</f>
        <v/>
      </c>
      <c r="S4299">
        <f>L4299-LTP3!$D$3*G4299/k_n</f>
        <v/>
      </c>
      <c r="T4299">
        <f>M4299-LTP3!$D$3*H4299/k_n</f>
        <v/>
      </c>
      <c r="U4299">
        <f>N4299-G4299*LTP3!$D$4/k_n</f>
        <v/>
      </c>
      <c r="V4299">
        <f>O4299-H4299*LTP3!$D$4/k_n</f>
        <v/>
      </c>
      <c r="W4299">
        <f>((LTP3!$D$5)*((P4299)*(Q4299)-(R4299)*(R4299))-(S4299)*((S4299)*(Q4299)-(R4299)*(T4299))+(T4299)*((S4299)*(R4299)-(P4299)*(T4299)))</f>
        <v/>
      </c>
      <c r="X4299">
        <f>IF(ABS(W4299)&gt;1E-12,((LTP3!$D$6)*((P4299)*(Q4299)-(R4299)*(R4299))-(S4299)*((U4299)*(Q4299)-(R4299)*(V4299))+(T4299)*((U4299)*(R4299)-(P4299)*(V4299)))/W4299,0)</f>
        <v/>
      </c>
      <c r="Y4299">
        <f>IF(ABS(W4299)&gt;1E-12,((LTP3!$D$5)*((U4299)*(Q4299)-(R4299)*(V4299))-(LTP3!$D$6)*((S4299)*(Q4299)-(R4299)*(T4299))+(T4299)*((S4299)*(V4299)-(U4299)*(T4299)))/W4299,0)</f>
        <v/>
      </c>
      <c r="Z4299">
        <f>IF(ABS(W4299)&gt;1E-12,((LTP3!$D$5)*((P4299)*(V4299)-(U4299)*(R4299))-(S4299)*((S4299)*(V4299)-(U4299)*(T4299))+(LTP3!$D$6)*((S4299)*(R4299)-(P4299)*(T4299)))/W4299,0)</f>
        <v/>
      </c>
      <c r="AA4299">
        <f>LTP3!$D$7-X4299*LTP3!$D$6-Y4299*U4299-Z4299*V4299</f>
        <v/>
      </c>
      <c r="AB4299">
        <f>IF(AND(F4299,ABS(W4299)&gt;1E-12,Y4299&gt;0,Z4299&gt;0),AA4299,1E+300)</f>
        <v/>
      </c>
    </row>
    <row r="4300">
      <c r="A4300">
        <f>$I$4-$B$5/10+$B$5*5/100</f>
        <v/>
      </c>
      <c r="B4300">
        <f>$J$4-$B$5/10+$B$5*15/100</f>
        <v/>
      </c>
      <c r="C4300">
        <f>SUMPRODUCT(Calc!$K$3:$K$22*(Calc!$G$3:$G$22&lt;=A4300))</f>
        <v/>
      </c>
      <c r="D4300">
        <f>SUMPRODUCT(Calc!$K$3:$K$22*(Calc!$G$3:$G$22&gt;A4300)*(Calc!$G$3:$G$22&lt;B4300))</f>
        <v/>
      </c>
      <c r="E4300">
        <f>SUMPRODUCT(Calc!$K$3:$K$22*(Calc!$G$3:$G$22&gt;=B4300))</f>
        <v/>
      </c>
      <c r="F4300">
        <f>AND(k_n&gt;=5,B4300&gt;A4300+1E-9,C4300&gt;=2,D4300&gt;=1,E4300&gt;=2)</f>
        <v/>
      </c>
      <c r="G4300">
        <f>SUMPRODUCT(Calc!$K$3:$K$22*(Calc!$G$3:$G$22&gt;A4300)*(Calc!$G$3:$G$22-A4300))</f>
        <v/>
      </c>
      <c r="H4300">
        <f>SUMPRODUCT(Calc!$K$3:$K$22*(Calc!$G$3:$G$22&gt;B4300)*(Calc!$G$3:$G$22-B4300))</f>
        <v/>
      </c>
      <c r="I4300">
        <f>SUMPRODUCT(Calc!$K$3:$K$22*(Calc!$G$3:$G$22&gt;A4300)*(Calc!$G$3:$G$22-A4300)^2)</f>
        <v/>
      </c>
      <c r="J4300">
        <f>SUMPRODUCT(Calc!$K$3:$K$22*(Calc!$G$3:$G$22&gt;B4300)*(Calc!$G$3:$G$22-B4300)^2)</f>
        <v/>
      </c>
      <c r="K4300">
        <f>SUMPRODUCT(Calc!$K$3:$K$22*(Calc!$G$3:$G$22&gt;A4300)*(Calc!$G$3:$G$22-A4300)*(Calc!$G$3:$G$22&gt;B4300)*(Calc!$G$3:$G$22-B4300))</f>
        <v/>
      </c>
      <c r="L4300">
        <f>SUMPRODUCT(Calc!$K$3:$K$22*(Calc!$G$3:$G$22&gt;A4300)*(Calc!$G$3:$G$22-A4300)*Calc!$G$3:$G$22)</f>
        <v/>
      </c>
      <c r="M4300">
        <f>SUMPRODUCT(Calc!$K$3:$K$22*(Calc!$G$3:$G$22&gt;B4300)*(Calc!$G$3:$G$22-B4300)*Calc!$G$3:$G$22)</f>
        <v/>
      </c>
      <c r="N4300">
        <f>SUMPRODUCT(Calc!$K$3:$K$22*(Calc!$G$3:$G$22&gt;A4300)*(Calc!$G$3:$G$22-A4300)*Calc!$I$3:$I$22)</f>
        <v/>
      </c>
      <c r="O4300">
        <f>SUMPRODUCT(Calc!$K$3:$K$22*(Calc!$G$3:$G$22&gt;B4300)*(Calc!$G$3:$G$22-B4300)*Calc!$I$3:$I$22)</f>
        <v/>
      </c>
      <c r="P4300">
        <f>I4300-G4300^2/k_n</f>
        <v/>
      </c>
      <c r="Q4300">
        <f>J4300-H4300^2/k_n</f>
        <v/>
      </c>
      <c r="R4300">
        <f>K4300-G4300*H4300/k_n</f>
        <v/>
      </c>
      <c r="S4300">
        <f>L4300-LTP3!$D$3*G4300/k_n</f>
        <v/>
      </c>
      <c r="T4300">
        <f>M4300-LTP3!$D$3*H4300/k_n</f>
        <v/>
      </c>
      <c r="U4300">
        <f>N4300-G4300*LTP3!$D$4/k_n</f>
        <v/>
      </c>
      <c r="V4300">
        <f>O4300-H4300*LTP3!$D$4/k_n</f>
        <v/>
      </c>
      <c r="W4300">
        <f>((LTP3!$D$5)*((P4300)*(Q4300)-(R4300)*(R4300))-(S4300)*((S4300)*(Q4300)-(R4300)*(T4300))+(T4300)*((S4300)*(R4300)-(P4300)*(T4300)))</f>
        <v/>
      </c>
      <c r="X4300">
        <f>IF(ABS(W4300)&gt;1E-12,((LTP3!$D$6)*((P4300)*(Q4300)-(R4300)*(R4300))-(S4300)*((U4300)*(Q4300)-(R4300)*(V4300))+(T4300)*((U4300)*(R4300)-(P4300)*(V4300)))/W4300,0)</f>
        <v/>
      </c>
      <c r="Y4300">
        <f>IF(ABS(W4300)&gt;1E-12,((LTP3!$D$5)*((U4300)*(Q4300)-(R4300)*(V4300))-(LTP3!$D$6)*((S4300)*(Q4300)-(R4300)*(T4300))+(T4300)*((S4300)*(V4300)-(U4300)*(T4300)))/W4300,0)</f>
        <v/>
      </c>
      <c r="Z4300">
        <f>IF(ABS(W4300)&gt;1E-12,((LTP3!$D$5)*((P4300)*(V4300)-(U4300)*(R4300))-(S4300)*((S4300)*(V4300)-(U4300)*(T4300))+(LTP3!$D$6)*((S4300)*(R4300)-(P4300)*(T4300)))/W4300,0)</f>
        <v/>
      </c>
      <c r="AA4300">
        <f>LTP3!$D$7-X4300*LTP3!$D$6-Y4300*U4300-Z4300*V4300</f>
        <v/>
      </c>
      <c r="AB4300">
        <f>IF(AND(F4300,ABS(W4300)&gt;1E-12,Y4300&gt;0,Z4300&gt;0),AA4300,1E+300)</f>
        <v/>
      </c>
    </row>
    <row r="4301">
      <c r="A4301">
        <f>$I$4-$B$5/10+$B$5*5/100</f>
        <v/>
      </c>
      <c r="B4301">
        <f>$J$4-$B$5/10+$B$5*16/100</f>
        <v/>
      </c>
      <c r="C4301">
        <f>SUMPRODUCT(Calc!$K$3:$K$22*(Calc!$G$3:$G$22&lt;=A4301))</f>
        <v/>
      </c>
      <c r="D4301">
        <f>SUMPRODUCT(Calc!$K$3:$K$22*(Calc!$G$3:$G$22&gt;A4301)*(Calc!$G$3:$G$22&lt;B4301))</f>
        <v/>
      </c>
      <c r="E4301">
        <f>SUMPRODUCT(Calc!$K$3:$K$22*(Calc!$G$3:$G$22&gt;=B4301))</f>
        <v/>
      </c>
      <c r="F4301">
        <f>AND(k_n&gt;=5,B4301&gt;A4301+1E-9,C4301&gt;=2,D4301&gt;=1,E4301&gt;=2)</f>
        <v/>
      </c>
      <c r="G4301">
        <f>SUMPRODUCT(Calc!$K$3:$K$22*(Calc!$G$3:$G$22&gt;A4301)*(Calc!$G$3:$G$22-A4301))</f>
        <v/>
      </c>
      <c r="H4301">
        <f>SUMPRODUCT(Calc!$K$3:$K$22*(Calc!$G$3:$G$22&gt;B4301)*(Calc!$G$3:$G$22-B4301))</f>
        <v/>
      </c>
      <c r="I4301">
        <f>SUMPRODUCT(Calc!$K$3:$K$22*(Calc!$G$3:$G$22&gt;A4301)*(Calc!$G$3:$G$22-A4301)^2)</f>
        <v/>
      </c>
      <c r="J4301">
        <f>SUMPRODUCT(Calc!$K$3:$K$22*(Calc!$G$3:$G$22&gt;B4301)*(Calc!$G$3:$G$22-B4301)^2)</f>
        <v/>
      </c>
      <c r="K4301">
        <f>SUMPRODUCT(Calc!$K$3:$K$22*(Calc!$G$3:$G$22&gt;A4301)*(Calc!$G$3:$G$22-A4301)*(Calc!$G$3:$G$22&gt;B4301)*(Calc!$G$3:$G$22-B4301))</f>
        <v/>
      </c>
      <c r="L4301">
        <f>SUMPRODUCT(Calc!$K$3:$K$22*(Calc!$G$3:$G$22&gt;A4301)*(Calc!$G$3:$G$22-A4301)*Calc!$G$3:$G$22)</f>
        <v/>
      </c>
      <c r="M4301">
        <f>SUMPRODUCT(Calc!$K$3:$K$22*(Calc!$G$3:$G$22&gt;B4301)*(Calc!$G$3:$G$22-B4301)*Calc!$G$3:$G$22)</f>
        <v/>
      </c>
      <c r="N4301">
        <f>SUMPRODUCT(Calc!$K$3:$K$22*(Calc!$G$3:$G$22&gt;A4301)*(Calc!$G$3:$G$22-A4301)*Calc!$I$3:$I$22)</f>
        <v/>
      </c>
      <c r="O4301">
        <f>SUMPRODUCT(Calc!$K$3:$K$22*(Calc!$G$3:$G$22&gt;B4301)*(Calc!$G$3:$G$22-B4301)*Calc!$I$3:$I$22)</f>
        <v/>
      </c>
      <c r="P4301">
        <f>I4301-G4301^2/k_n</f>
        <v/>
      </c>
      <c r="Q4301">
        <f>J4301-H4301^2/k_n</f>
        <v/>
      </c>
      <c r="R4301">
        <f>K4301-G4301*H4301/k_n</f>
        <v/>
      </c>
      <c r="S4301">
        <f>L4301-LTP3!$D$3*G4301/k_n</f>
        <v/>
      </c>
      <c r="T4301">
        <f>M4301-LTP3!$D$3*H4301/k_n</f>
        <v/>
      </c>
      <c r="U4301">
        <f>N4301-G4301*LTP3!$D$4/k_n</f>
        <v/>
      </c>
      <c r="V4301">
        <f>O4301-H4301*LTP3!$D$4/k_n</f>
        <v/>
      </c>
      <c r="W4301">
        <f>((LTP3!$D$5)*((P4301)*(Q4301)-(R4301)*(R4301))-(S4301)*((S4301)*(Q4301)-(R4301)*(T4301))+(T4301)*((S4301)*(R4301)-(P4301)*(T4301)))</f>
        <v/>
      </c>
      <c r="X4301">
        <f>IF(ABS(W4301)&gt;1E-12,((LTP3!$D$6)*((P4301)*(Q4301)-(R4301)*(R4301))-(S4301)*((U4301)*(Q4301)-(R4301)*(V4301))+(T4301)*((U4301)*(R4301)-(P4301)*(V4301)))/W4301,0)</f>
        <v/>
      </c>
      <c r="Y4301">
        <f>IF(ABS(W4301)&gt;1E-12,((LTP3!$D$5)*((U4301)*(Q4301)-(R4301)*(V4301))-(LTP3!$D$6)*((S4301)*(Q4301)-(R4301)*(T4301))+(T4301)*((S4301)*(V4301)-(U4301)*(T4301)))/W4301,0)</f>
        <v/>
      </c>
      <c r="Z4301">
        <f>IF(ABS(W4301)&gt;1E-12,((LTP3!$D$5)*((P4301)*(V4301)-(U4301)*(R4301))-(S4301)*((S4301)*(V4301)-(U4301)*(T4301))+(LTP3!$D$6)*((S4301)*(R4301)-(P4301)*(T4301)))/W4301,0)</f>
        <v/>
      </c>
      <c r="AA4301">
        <f>LTP3!$D$7-X4301*LTP3!$D$6-Y4301*U4301-Z4301*V4301</f>
        <v/>
      </c>
      <c r="AB4301">
        <f>IF(AND(F4301,ABS(W4301)&gt;1E-12,Y4301&gt;0,Z4301&gt;0),AA4301,1E+300)</f>
        <v/>
      </c>
    </row>
    <row r="4302">
      <c r="A4302">
        <f>$I$4-$B$5/10+$B$5*5/100</f>
        <v/>
      </c>
      <c r="B4302">
        <f>$J$4-$B$5/10+$B$5*17/100</f>
        <v/>
      </c>
      <c r="C4302">
        <f>SUMPRODUCT(Calc!$K$3:$K$22*(Calc!$G$3:$G$22&lt;=A4302))</f>
        <v/>
      </c>
      <c r="D4302">
        <f>SUMPRODUCT(Calc!$K$3:$K$22*(Calc!$G$3:$G$22&gt;A4302)*(Calc!$G$3:$G$22&lt;B4302))</f>
        <v/>
      </c>
      <c r="E4302">
        <f>SUMPRODUCT(Calc!$K$3:$K$22*(Calc!$G$3:$G$22&gt;=B4302))</f>
        <v/>
      </c>
      <c r="F4302">
        <f>AND(k_n&gt;=5,B4302&gt;A4302+1E-9,C4302&gt;=2,D4302&gt;=1,E4302&gt;=2)</f>
        <v/>
      </c>
      <c r="G4302">
        <f>SUMPRODUCT(Calc!$K$3:$K$22*(Calc!$G$3:$G$22&gt;A4302)*(Calc!$G$3:$G$22-A4302))</f>
        <v/>
      </c>
      <c r="H4302">
        <f>SUMPRODUCT(Calc!$K$3:$K$22*(Calc!$G$3:$G$22&gt;B4302)*(Calc!$G$3:$G$22-B4302))</f>
        <v/>
      </c>
      <c r="I4302">
        <f>SUMPRODUCT(Calc!$K$3:$K$22*(Calc!$G$3:$G$22&gt;A4302)*(Calc!$G$3:$G$22-A4302)^2)</f>
        <v/>
      </c>
      <c r="J4302">
        <f>SUMPRODUCT(Calc!$K$3:$K$22*(Calc!$G$3:$G$22&gt;B4302)*(Calc!$G$3:$G$22-B4302)^2)</f>
        <v/>
      </c>
      <c r="K4302">
        <f>SUMPRODUCT(Calc!$K$3:$K$22*(Calc!$G$3:$G$22&gt;A4302)*(Calc!$G$3:$G$22-A4302)*(Calc!$G$3:$G$22&gt;B4302)*(Calc!$G$3:$G$22-B4302))</f>
        <v/>
      </c>
      <c r="L4302">
        <f>SUMPRODUCT(Calc!$K$3:$K$22*(Calc!$G$3:$G$22&gt;A4302)*(Calc!$G$3:$G$22-A4302)*Calc!$G$3:$G$22)</f>
        <v/>
      </c>
      <c r="M4302">
        <f>SUMPRODUCT(Calc!$K$3:$K$22*(Calc!$G$3:$G$22&gt;B4302)*(Calc!$G$3:$G$22-B4302)*Calc!$G$3:$G$22)</f>
        <v/>
      </c>
      <c r="N4302">
        <f>SUMPRODUCT(Calc!$K$3:$K$22*(Calc!$G$3:$G$22&gt;A4302)*(Calc!$G$3:$G$22-A4302)*Calc!$I$3:$I$22)</f>
        <v/>
      </c>
      <c r="O4302">
        <f>SUMPRODUCT(Calc!$K$3:$K$22*(Calc!$G$3:$G$22&gt;B4302)*(Calc!$G$3:$G$22-B4302)*Calc!$I$3:$I$22)</f>
        <v/>
      </c>
      <c r="P4302">
        <f>I4302-G4302^2/k_n</f>
        <v/>
      </c>
      <c r="Q4302">
        <f>J4302-H4302^2/k_n</f>
        <v/>
      </c>
      <c r="R4302">
        <f>K4302-G4302*H4302/k_n</f>
        <v/>
      </c>
      <c r="S4302">
        <f>L4302-LTP3!$D$3*G4302/k_n</f>
        <v/>
      </c>
      <c r="T4302">
        <f>M4302-LTP3!$D$3*H4302/k_n</f>
        <v/>
      </c>
      <c r="U4302">
        <f>N4302-G4302*LTP3!$D$4/k_n</f>
        <v/>
      </c>
      <c r="V4302">
        <f>O4302-H4302*LTP3!$D$4/k_n</f>
        <v/>
      </c>
      <c r="W4302">
        <f>((LTP3!$D$5)*((P4302)*(Q4302)-(R4302)*(R4302))-(S4302)*((S4302)*(Q4302)-(R4302)*(T4302))+(T4302)*((S4302)*(R4302)-(P4302)*(T4302)))</f>
        <v/>
      </c>
      <c r="X4302">
        <f>IF(ABS(W4302)&gt;1E-12,((LTP3!$D$6)*((P4302)*(Q4302)-(R4302)*(R4302))-(S4302)*((U4302)*(Q4302)-(R4302)*(V4302))+(T4302)*((U4302)*(R4302)-(P4302)*(V4302)))/W4302,0)</f>
        <v/>
      </c>
      <c r="Y4302">
        <f>IF(ABS(W4302)&gt;1E-12,((LTP3!$D$5)*((U4302)*(Q4302)-(R4302)*(V4302))-(LTP3!$D$6)*((S4302)*(Q4302)-(R4302)*(T4302))+(T4302)*((S4302)*(V4302)-(U4302)*(T4302)))/W4302,0)</f>
        <v/>
      </c>
      <c r="Z4302">
        <f>IF(ABS(W4302)&gt;1E-12,((LTP3!$D$5)*((P4302)*(V4302)-(U4302)*(R4302))-(S4302)*((S4302)*(V4302)-(U4302)*(T4302))+(LTP3!$D$6)*((S4302)*(R4302)-(P4302)*(T4302)))/W4302,0)</f>
        <v/>
      </c>
      <c r="AA4302">
        <f>LTP3!$D$7-X4302*LTP3!$D$6-Y4302*U4302-Z4302*V4302</f>
        <v/>
      </c>
      <c r="AB4302">
        <f>IF(AND(F4302,ABS(W4302)&gt;1E-12,Y4302&gt;0,Z4302&gt;0),AA4302,1E+300)</f>
        <v/>
      </c>
    </row>
    <row r="4303">
      <c r="A4303">
        <f>$I$4-$B$5/10+$B$5*5/100</f>
        <v/>
      </c>
      <c r="B4303">
        <f>$J$4-$B$5/10+$B$5*18/100</f>
        <v/>
      </c>
      <c r="C4303">
        <f>SUMPRODUCT(Calc!$K$3:$K$22*(Calc!$G$3:$G$22&lt;=A4303))</f>
        <v/>
      </c>
      <c r="D4303">
        <f>SUMPRODUCT(Calc!$K$3:$K$22*(Calc!$G$3:$G$22&gt;A4303)*(Calc!$G$3:$G$22&lt;B4303))</f>
        <v/>
      </c>
      <c r="E4303">
        <f>SUMPRODUCT(Calc!$K$3:$K$22*(Calc!$G$3:$G$22&gt;=B4303))</f>
        <v/>
      </c>
      <c r="F4303">
        <f>AND(k_n&gt;=5,B4303&gt;A4303+1E-9,C4303&gt;=2,D4303&gt;=1,E4303&gt;=2)</f>
        <v/>
      </c>
      <c r="G4303">
        <f>SUMPRODUCT(Calc!$K$3:$K$22*(Calc!$G$3:$G$22&gt;A4303)*(Calc!$G$3:$G$22-A4303))</f>
        <v/>
      </c>
      <c r="H4303">
        <f>SUMPRODUCT(Calc!$K$3:$K$22*(Calc!$G$3:$G$22&gt;B4303)*(Calc!$G$3:$G$22-B4303))</f>
        <v/>
      </c>
      <c r="I4303">
        <f>SUMPRODUCT(Calc!$K$3:$K$22*(Calc!$G$3:$G$22&gt;A4303)*(Calc!$G$3:$G$22-A4303)^2)</f>
        <v/>
      </c>
      <c r="J4303">
        <f>SUMPRODUCT(Calc!$K$3:$K$22*(Calc!$G$3:$G$22&gt;B4303)*(Calc!$G$3:$G$22-B4303)^2)</f>
        <v/>
      </c>
      <c r="K4303">
        <f>SUMPRODUCT(Calc!$K$3:$K$22*(Calc!$G$3:$G$22&gt;A4303)*(Calc!$G$3:$G$22-A4303)*(Calc!$G$3:$G$22&gt;B4303)*(Calc!$G$3:$G$22-B4303))</f>
        <v/>
      </c>
      <c r="L4303">
        <f>SUMPRODUCT(Calc!$K$3:$K$22*(Calc!$G$3:$G$22&gt;A4303)*(Calc!$G$3:$G$22-A4303)*Calc!$G$3:$G$22)</f>
        <v/>
      </c>
      <c r="M4303">
        <f>SUMPRODUCT(Calc!$K$3:$K$22*(Calc!$G$3:$G$22&gt;B4303)*(Calc!$G$3:$G$22-B4303)*Calc!$G$3:$G$22)</f>
        <v/>
      </c>
      <c r="N4303">
        <f>SUMPRODUCT(Calc!$K$3:$K$22*(Calc!$G$3:$G$22&gt;A4303)*(Calc!$G$3:$G$22-A4303)*Calc!$I$3:$I$22)</f>
        <v/>
      </c>
      <c r="O4303">
        <f>SUMPRODUCT(Calc!$K$3:$K$22*(Calc!$G$3:$G$22&gt;B4303)*(Calc!$G$3:$G$22-B4303)*Calc!$I$3:$I$22)</f>
        <v/>
      </c>
      <c r="P4303">
        <f>I4303-G4303^2/k_n</f>
        <v/>
      </c>
      <c r="Q4303">
        <f>J4303-H4303^2/k_n</f>
        <v/>
      </c>
      <c r="R4303">
        <f>K4303-G4303*H4303/k_n</f>
        <v/>
      </c>
      <c r="S4303">
        <f>L4303-LTP3!$D$3*G4303/k_n</f>
        <v/>
      </c>
      <c r="T4303">
        <f>M4303-LTP3!$D$3*H4303/k_n</f>
        <v/>
      </c>
      <c r="U4303">
        <f>N4303-G4303*LTP3!$D$4/k_n</f>
        <v/>
      </c>
      <c r="V4303">
        <f>O4303-H4303*LTP3!$D$4/k_n</f>
        <v/>
      </c>
      <c r="W4303">
        <f>((LTP3!$D$5)*((P4303)*(Q4303)-(R4303)*(R4303))-(S4303)*((S4303)*(Q4303)-(R4303)*(T4303))+(T4303)*((S4303)*(R4303)-(P4303)*(T4303)))</f>
        <v/>
      </c>
      <c r="X4303">
        <f>IF(ABS(W4303)&gt;1E-12,((LTP3!$D$6)*((P4303)*(Q4303)-(R4303)*(R4303))-(S4303)*((U4303)*(Q4303)-(R4303)*(V4303))+(T4303)*((U4303)*(R4303)-(P4303)*(V4303)))/W4303,0)</f>
        <v/>
      </c>
      <c r="Y4303">
        <f>IF(ABS(W4303)&gt;1E-12,((LTP3!$D$5)*((U4303)*(Q4303)-(R4303)*(V4303))-(LTP3!$D$6)*((S4303)*(Q4303)-(R4303)*(T4303))+(T4303)*((S4303)*(V4303)-(U4303)*(T4303)))/W4303,0)</f>
        <v/>
      </c>
      <c r="Z4303">
        <f>IF(ABS(W4303)&gt;1E-12,((LTP3!$D$5)*((P4303)*(V4303)-(U4303)*(R4303))-(S4303)*((S4303)*(V4303)-(U4303)*(T4303))+(LTP3!$D$6)*((S4303)*(R4303)-(P4303)*(T4303)))/W4303,0)</f>
        <v/>
      </c>
      <c r="AA4303">
        <f>LTP3!$D$7-X4303*LTP3!$D$6-Y4303*U4303-Z4303*V4303</f>
        <v/>
      </c>
      <c r="AB4303">
        <f>IF(AND(F4303,ABS(W4303)&gt;1E-12,Y4303&gt;0,Z4303&gt;0),AA4303,1E+300)</f>
        <v/>
      </c>
    </row>
    <row r="4304">
      <c r="A4304">
        <f>$I$4-$B$5/10+$B$5*5/100</f>
        <v/>
      </c>
      <c r="B4304">
        <f>$J$4-$B$5/10+$B$5*19/100</f>
        <v/>
      </c>
      <c r="C4304">
        <f>SUMPRODUCT(Calc!$K$3:$K$22*(Calc!$G$3:$G$22&lt;=A4304))</f>
        <v/>
      </c>
      <c r="D4304">
        <f>SUMPRODUCT(Calc!$K$3:$K$22*(Calc!$G$3:$G$22&gt;A4304)*(Calc!$G$3:$G$22&lt;B4304))</f>
        <v/>
      </c>
      <c r="E4304">
        <f>SUMPRODUCT(Calc!$K$3:$K$22*(Calc!$G$3:$G$22&gt;=B4304))</f>
        <v/>
      </c>
      <c r="F4304">
        <f>AND(k_n&gt;=5,B4304&gt;A4304+1E-9,C4304&gt;=2,D4304&gt;=1,E4304&gt;=2)</f>
        <v/>
      </c>
      <c r="G4304">
        <f>SUMPRODUCT(Calc!$K$3:$K$22*(Calc!$G$3:$G$22&gt;A4304)*(Calc!$G$3:$G$22-A4304))</f>
        <v/>
      </c>
      <c r="H4304">
        <f>SUMPRODUCT(Calc!$K$3:$K$22*(Calc!$G$3:$G$22&gt;B4304)*(Calc!$G$3:$G$22-B4304))</f>
        <v/>
      </c>
      <c r="I4304">
        <f>SUMPRODUCT(Calc!$K$3:$K$22*(Calc!$G$3:$G$22&gt;A4304)*(Calc!$G$3:$G$22-A4304)^2)</f>
        <v/>
      </c>
      <c r="J4304">
        <f>SUMPRODUCT(Calc!$K$3:$K$22*(Calc!$G$3:$G$22&gt;B4304)*(Calc!$G$3:$G$22-B4304)^2)</f>
        <v/>
      </c>
      <c r="K4304">
        <f>SUMPRODUCT(Calc!$K$3:$K$22*(Calc!$G$3:$G$22&gt;A4304)*(Calc!$G$3:$G$22-A4304)*(Calc!$G$3:$G$22&gt;B4304)*(Calc!$G$3:$G$22-B4304))</f>
        <v/>
      </c>
      <c r="L4304">
        <f>SUMPRODUCT(Calc!$K$3:$K$22*(Calc!$G$3:$G$22&gt;A4304)*(Calc!$G$3:$G$22-A4304)*Calc!$G$3:$G$22)</f>
        <v/>
      </c>
      <c r="M4304">
        <f>SUMPRODUCT(Calc!$K$3:$K$22*(Calc!$G$3:$G$22&gt;B4304)*(Calc!$G$3:$G$22-B4304)*Calc!$G$3:$G$22)</f>
        <v/>
      </c>
      <c r="N4304">
        <f>SUMPRODUCT(Calc!$K$3:$K$22*(Calc!$G$3:$G$22&gt;A4304)*(Calc!$G$3:$G$22-A4304)*Calc!$I$3:$I$22)</f>
        <v/>
      </c>
      <c r="O4304">
        <f>SUMPRODUCT(Calc!$K$3:$K$22*(Calc!$G$3:$G$22&gt;B4304)*(Calc!$G$3:$G$22-B4304)*Calc!$I$3:$I$22)</f>
        <v/>
      </c>
      <c r="P4304">
        <f>I4304-G4304^2/k_n</f>
        <v/>
      </c>
      <c r="Q4304">
        <f>J4304-H4304^2/k_n</f>
        <v/>
      </c>
      <c r="R4304">
        <f>K4304-G4304*H4304/k_n</f>
        <v/>
      </c>
      <c r="S4304">
        <f>L4304-LTP3!$D$3*G4304/k_n</f>
        <v/>
      </c>
      <c r="T4304">
        <f>M4304-LTP3!$D$3*H4304/k_n</f>
        <v/>
      </c>
      <c r="U4304">
        <f>N4304-G4304*LTP3!$D$4/k_n</f>
        <v/>
      </c>
      <c r="V4304">
        <f>O4304-H4304*LTP3!$D$4/k_n</f>
        <v/>
      </c>
      <c r="W4304">
        <f>((LTP3!$D$5)*((P4304)*(Q4304)-(R4304)*(R4304))-(S4304)*((S4304)*(Q4304)-(R4304)*(T4304))+(T4304)*((S4304)*(R4304)-(P4304)*(T4304)))</f>
        <v/>
      </c>
      <c r="X4304">
        <f>IF(ABS(W4304)&gt;1E-12,((LTP3!$D$6)*((P4304)*(Q4304)-(R4304)*(R4304))-(S4304)*((U4304)*(Q4304)-(R4304)*(V4304))+(T4304)*((U4304)*(R4304)-(P4304)*(V4304)))/W4304,0)</f>
        <v/>
      </c>
      <c r="Y4304">
        <f>IF(ABS(W4304)&gt;1E-12,((LTP3!$D$5)*((U4304)*(Q4304)-(R4304)*(V4304))-(LTP3!$D$6)*((S4304)*(Q4304)-(R4304)*(T4304))+(T4304)*((S4304)*(V4304)-(U4304)*(T4304)))/W4304,0)</f>
        <v/>
      </c>
      <c r="Z4304">
        <f>IF(ABS(W4304)&gt;1E-12,((LTP3!$D$5)*((P4304)*(V4304)-(U4304)*(R4304))-(S4304)*((S4304)*(V4304)-(U4304)*(T4304))+(LTP3!$D$6)*((S4304)*(R4304)-(P4304)*(T4304)))/W4304,0)</f>
        <v/>
      </c>
      <c r="AA4304">
        <f>LTP3!$D$7-X4304*LTP3!$D$6-Y4304*U4304-Z4304*V4304</f>
        <v/>
      </c>
      <c r="AB4304">
        <f>IF(AND(F4304,ABS(W4304)&gt;1E-12,Y4304&gt;0,Z4304&gt;0),AA4304,1E+300)</f>
        <v/>
      </c>
    </row>
    <row r="4305">
      <c r="A4305">
        <f>$I$4-$B$5/10+$B$5*5/100</f>
        <v/>
      </c>
      <c r="B4305">
        <f>$J$4-$B$5/10+$B$5*20/100</f>
        <v/>
      </c>
      <c r="C4305">
        <f>SUMPRODUCT(Calc!$K$3:$K$22*(Calc!$G$3:$G$22&lt;=A4305))</f>
        <v/>
      </c>
      <c r="D4305">
        <f>SUMPRODUCT(Calc!$K$3:$K$22*(Calc!$G$3:$G$22&gt;A4305)*(Calc!$G$3:$G$22&lt;B4305))</f>
        <v/>
      </c>
      <c r="E4305">
        <f>SUMPRODUCT(Calc!$K$3:$K$22*(Calc!$G$3:$G$22&gt;=B4305))</f>
        <v/>
      </c>
      <c r="F4305">
        <f>AND(k_n&gt;=5,B4305&gt;A4305+1E-9,C4305&gt;=2,D4305&gt;=1,E4305&gt;=2)</f>
        <v/>
      </c>
      <c r="G4305">
        <f>SUMPRODUCT(Calc!$K$3:$K$22*(Calc!$G$3:$G$22&gt;A4305)*(Calc!$G$3:$G$22-A4305))</f>
        <v/>
      </c>
      <c r="H4305">
        <f>SUMPRODUCT(Calc!$K$3:$K$22*(Calc!$G$3:$G$22&gt;B4305)*(Calc!$G$3:$G$22-B4305))</f>
        <v/>
      </c>
      <c r="I4305">
        <f>SUMPRODUCT(Calc!$K$3:$K$22*(Calc!$G$3:$G$22&gt;A4305)*(Calc!$G$3:$G$22-A4305)^2)</f>
        <v/>
      </c>
      <c r="J4305">
        <f>SUMPRODUCT(Calc!$K$3:$K$22*(Calc!$G$3:$G$22&gt;B4305)*(Calc!$G$3:$G$22-B4305)^2)</f>
        <v/>
      </c>
      <c r="K4305">
        <f>SUMPRODUCT(Calc!$K$3:$K$22*(Calc!$G$3:$G$22&gt;A4305)*(Calc!$G$3:$G$22-A4305)*(Calc!$G$3:$G$22&gt;B4305)*(Calc!$G$3:$G$22-B4305))</f>
        <v/>
      </c>
      <c r="L4305">
        <f>SUMPRODUCT(Calc!$K$3:$K$22*(Calc!$G$3:$G$22&gt;A4305)*(Calc!$G$3:$G$22-A4305)*Calc!$G$3:$G$22)</f>
        <v/>
      </c>
      <c r="M4305">
        <f>SUMPRODUCT(Calc!$K$3:$K$22*(Calc!$G$3:$G$22&gt;B4305)*(Calc!$G$3:$G$22-B4305)*Calc!$G$3:$G$22)</f>
        <v/>
      </c>
      <c r="N4305">
        <f>SUMPRODUCT(Calc!$K$3:$K$22*(Calc!$G$3:$G$22&gt;A4305)*(Calc!$G$3:$G$22-A4305)*Calc!$I$3:$I$22)</f>
        <v/>
      </c>
      <c r="O4305">
        <f>SUMPRODUCT(Calc!$K$3:$K$22*(Calc!$G$3:$G$22&gt;B4305)*(Calc!$G$3:$G$22-B4305)*Calc!$I$3:$I$22)</f>
        <v/>
      </c>
      <c r="P4305">
        <f>I4305-G4305^2/k_n</f>
        <v/>
      </c>
      <c r="Q4305">
        <f>J4305-H4305^2/k_n</f>
        <v/>
      </c>
      <c r="R4305">
        <f>K4305-G4305*H4305/k_n</f>
        <v/>
      </c>
      <c r="S4305">
        <f>L4305-LTP3!$D$3*G4305/k_n</f>
        <v/>
      </c>
      <c r="T4305">
        <f>M4305-LTP3!$D$3*H4305/k_n</f>
        <v/>
      </c>
      <c r="U4305">
        <f>N4305-G4305*LTP3!$D$4/k_n</f>
        <v/>
      </c>
      <c r="V4305">
        <f>O4305-H4305*LTP3!$D$4/k_n</f>
        <v/>
      </c>
      <c r="W4305">
        <f>((LTP3!$D$5)*((P4305)*(Q4305)-(R4305)*(R4305))-(S4305)*((S4305)*(Q4305)-(R4305)*(T4305))+(T4305)*((S4305)*(R4305)-(P4305)*(T4305)))</f>
        <v/>
      </c>
      <c r="X4305">
        <f>IF(ABS(W4305)&gt;1E-12,((LTP3!$D$6)*((P4305)*(Q4305)-(R4305)*(R4305))-(S4305)*((U4305)*(Q4305)-(R4305)*(V4305))+(T4305)*((U4305)*(R4305)-(P4305)*(V4305)))/W4305,0)</f>
        <v/>
      </c>
      <c r="Y4305">
        <f>IF(ABS(W4305)&gt;1E-12,((LTP3!$D$5)*((U4305)*(Q4305)-(R4305)*(V4305))-(LTP3!$D$6)*((S4305)*(Q4305)-(R4305)*(T4305))+(T4305)*((S4305)*(V4305)-(U4305)*(T4305)))/W4305,0)</f>
        <v/>
      </c>
      <c r="Z4305">
        <f>IF(ABS(W4305)&gt;1E-12,((LTP3!$D$5)*((P4305)*(V4305)-(U4305)*(R4305))-(S4305)*((S4305)*(V4305)-(U4305)*(T4305))+(LTP3!$D$6)*((S4305)*(R4305)-(P4305)*(T4305)))/W4305,0)</f>
        <v/>
      </c>
      <c r="AA4305">
        <f>LTP3!$D$7-X4305*LTP3!$D$6-Y4305*U4305-Z4305*V4305</f>
        <v/>
      </c>
      <c r="AB4305">
        <f>IF(AND(F4305,ABS(W4305)&gt;1E-12,Y4305&gt;0,Z4305&gt;0),AA4305,1E+300)</f>
        <v/>
      </c>
    </row>
    <row r="4306">
      <c r="A4306">
        <f>$I$4-$B$5/10+$B$5*6/100</f>
        <v/>
      </c>
      <c r="B4306">
        <f>$J$4-$B$5/10+$B$5*0/100</f>
        <v/>
      </c>
      <c r="C4306">
        <f>SUMPRODUCT(Calc!$K$3:$K$22*(Calc!$G$3:$G$22&lt;=A4306))</f>
        <v/>
      </c>
      <c r="D4306">
        <f>SUMPRODUCT(Calc!$K$3:$K$22*(Calc!$G$3:$G$22&gt;A4306)*(Calc!$G$3:$G$22&lt;B4306))</f>
        <v/>
      </c>
      <c r="E4306">
        <f>SUMPRODUCT(Calc!$K$3:$K$22*(Calc!$G$3:$G$22&gt;=B4306))</f>
        <v/>
      </c>
      <c r="F4306">
        <f>AND(k_n&gt;=5,B4306&gt;A4306+1E-9,C4306&gt;=2,D4306&gt;=1,E4306&gt;=2)</f>
        <v/>
      </c>
      <c r="G4306">
        <f>SUMPRODUCT(Calc!$K$3:$K$22*(Calc!$G$3:$G$22&gt;A4306)*(Calc!$G$3:$G$22-A4306))</f>
        <v/>
      </c>
      <c r="H4306">
        <f>SUMPRODUCT(Calc!$K$3:$K$22*(Calc!$G$3:$G$22&gt;B4306)*(Calc!$G$3:$G$22-B4306))</f>
        <v/>
      </c>
      <c r="I4306">
        <f>SUMPRODUCT(Calc!$K$3:$K$22*(Calc!$G$3:$G$22&gt;A4306)*(Calc!$G$3:$G$22-A4306)^2)</f>
        <v/>
      </c>
      <c r="J4306">
        <f>SUMPRODUCT(Calc!$K$3:$K$22*(Calc!$G$3:$G$22&gt;B4306)*(Calc!$G$3:$G$22-B4306)^2)</f>
        <v/>
      </c>
      <c r="K4306">
        <f>SUMPRODUCT(Calc!$K$3:$K$22*(Calc!$G$3:$G$22&gt;A4306)*(Calc!$G$3:$G$22-A4306)*(Calc!$G$3:$G$22&gt;B4306)*(Calc!$G$3:$G$22-B4306))</f>
        <v/>
      </c>
      <c r="L4306">
        <f>SUMPRODUCT(Calc!$K$3:$K$22*(Calc!$G$3:$G$22&gt;A4306)*(Calc!$G$3:$G$22-A4306)*Calc!$G$3:$G$22)</f>
        <v/>
      </c>
      <c r="M4306">
        <f>SUMPRODUCT(Calc!$K$3:$K$22*(Calc!$G$3:$G$22&gt;B4306)*(Calc!$G$3:$G$22-B4306)*Calc!$G$3:$G$22)</f>
        <v/>
      </c>
      <c r="N4306">
        <f>SUMPRODUCT(Calc!$K$3:$K$22*(Calc!$G$3:$G$22&gt;A4306)*(Calc!$G$3:$G$22-A4306)*Calc!$I$3:$I$22)</f>
        <v/>
      </c>
      <c r="O4306">
        <f>SUMPRODUCT(Calc!$K$3:$K$22*(Calc!$G$3:$G$22&gt;B4306)*(Calc!$G$3:$G$22-B4306)*Calc!$I$3:$I$22)</f>
        <v/>
      </c>
      <c r="P4306">
        <f>I4306-G4306^2/k_n</f>
        <v/>
      </c>
      <c r="Q4306">
        <f>J4306-H4306^2/k_n</f>
        <v/>
      </c>
      <c r="R4306">
        <f>K4306-G4306*H4306/k_n</f>
        <v/>
      </c>
      <c r="S4306">
        <f>L4306-LTP3!$D$3*G4306/k_n</f>
        <v/>
      </c>
      <c r="T4306">
        <f>M4306-LTP3!$D$3*H4306/k_n</f>
        <v/>
      </c>
      <c r="U4306">
        <f>N4306-G4306*LTP3!$D$4/k_n</f>
        <v/>
      </c>
      <c r="V4306">
        <f>O4306-H4306*LTP3!$D$4/k_n</f>
        <v/>
      </c>
      <c r="W4306">
        <f>((LTP3!$D$5)*((P4306)*(Q4306)-(R4306)*(R4306))-(S4306)*((S4306)*(Q4306)-(R4306)*(T4306))+(T4306)*((S4306)*(R4306)-(P4306)*(T4306)))</f>
        <v/>
      </c>
      <c r="X4306">
        <f>IF(ABS(W4306)&gt;1E-12,((LTP3!$D$6)*((P4306)*(Q4306)-(R4306)*(R4306))-(S4306)*((U4306)*(Q4306)-(R4306)*(V4306))+(T4306)*((U4306)*(R4306)-(P4306)*(V4306)))/W4306,0)</f>
        <v/>
      </c>
      <c r="Y4306">
        <f>IF(ABS(W4306)&gt;1E-12,((LTP3!$D$5)*((U4306)*(Q4306)-(R4306)*(V4306))-(LTP3!$D$6)*((S4306)*(Q4306)-(R4306)*(T4306))+(T4306)*((S4306)*(V4306)-(U4306)*(T4306)))/W4306,0)</f>
        <v/>
      </c>
      <c r="Z4306">
        <f>IF(ABS(W4306)&gt;1E-12,((LTP3!$D$5)*((P4306)*(V4306)-(U4306)*(R4306))-(S4306)*((S4306)*(V4306)-(U4306)*(T4306))+(LTP3!$D$6)*((S4306)*(R4306)-(P4306)*(T4306)))/W4306,0)</f>
        <v/>
      </c>
      <c r="AA4306">
        <f>LTP3!$D$7-X4306*LTP3!$D$6-Y4306*U4306-Z4306*V4306</f>
        <v/>
      </c>
      <c r="AB4306">
        <f>IF(AND(F4306,ABS(W4306)&gt;1E-12,Y4306&gt;0,Z4306&gt;0),AA4306,1E+300)</f>
        <v/>
      </c>
    </row>
    <row r="4307">
      <c r="A4307">
        <f>$I$4-$B$5/10+$B$5*6/100</f>
        <v/>
      </c>
      <c r="B4307">
        <f>$J$4-$B$5/10+$B$5*1/100</f>
        <v/>
      </c>
      <c r="C4307">
        <f>SUMPRODUCT(Calc!$K$3:$K$22*(Calc!$G$3:$G$22&lt;=A4307))</f>
        <v/>
      </c>
      <c r="D4307">
        <f>SUMPRODUCT(Calc!$K$3:$K$22*(Calc!$G$3:$G$22&gt;A4307)*(Calc!$G$3:$G$22&lt;B4307))</f>
        <v/>
      </c>
      <c r="E4307">
        <f>SUMPRODUCT(Calc!$K$3:$K$22*(Calc!$G$3:$G$22&gt;=B4307))</f>
        <v/>
      </c>
      <c r="F4307">
        <f>AND(k_n&gt;=5,B4307&gt;A4307+1E-9,C4307&gt;=2,D4307&gt;=1,E4307&gt;=2)</f>
        <v/>
      </c>
      <c r="G4307">
        <f>SUMPRODUCT(Calc!$K$3:$K$22*(Calc!$G$3:$G$22&gt;A4307)*(Calc!$G$3:$G$22-A4307))</f>
        <v/>
      </c>
      <c r="H4307">
        <f>SUMPRODUCT(Calc!$K$3:$K$22*(Calc!$G$3:$G$22&gt;B4307)*(Calc!$G$3:$G$22-B4307))</f>
        <v/>
      </c>
      <c r="I4307">
        <f>SUMPRODUCT(Calc!$K$3:$K$22*(Calc!$G$3:$G$22&gt;A4307)*(Calc!$G$3:$G$22-A4307)^2)</f>
        <v/>
      </c>
      <c r="J4307">
        <f>SUMPRODUCT(Calc!$K$3:$K$22*(Calc!$G$3:$G$22&gt;B4307)*(Calc!$G$3:$G$22-B4307)^2)</f>
        <v/>
      </c>
      <c r="K4307">
        <f>SUMPRODUCT(Calc!$K$3:$K$22*(Calc!$G$3:$G$22&gt;A4307)*(Calc!$G$3:$G$22-A4307)*(Calc!$G$3:$G$22&gt;B4307)*(Calc!$G$3:$G$22-B4307))</f>
        <v/>
      </c>
      <c r="L4307">
        <f>SUMPRODUCT(Calc!$K$3:$K$22*(Calc!$G$3:$G$22&gt;A4307)*(Calc!$G$3:$G$22-A4307)*Calc!$G$3:$G$22)</f>
        <v/>
      </c>
      <c r="M4307">
        <f>SUMPRODUCT(Calc!$K$3:$K$22*(Calc!$G$3:$G$22&gt;B4307)*(Calc!$G$3:$G$22-B4307)*Calc!$G$3:$G$22)</f>
        <v/>
      </c>
      <c r="N4307">
        <f>SUMPRODUCT(Calc!$K$3:$K$22*(Calc!$G$3:$G$22&gt;A4307)*(Calc!$G$3:$G$22-A4307)*Calc!$I$3:$I$22)</f>
        <v/>
      </c>
      <c r="O4307">
        <f>SUMPRODUCT(Calc!$K$3:$K$22*(Calc!$G$3:$G$22&gt;B4307)*(Calc!$G$3:$G$22-B4307)*Calc!$I$3:$I$22)</f>
        <v/>
      </c>
      <c r="P4307">
        <f>I4307-G4307^2/k_n</f>
        <v/>
      </c>
      <c r="Q4307">
        <f>J4307-H4307^2/k_n</f>
        <v/>
      </c>
      <c r="R4307">
        <f>K4307-G4307*H4307/k_n</f>
        <v/>
      </c>
      <c r="S4307">
        <f>L4307-LTP3!$D$3*G4307/k_n</f>
        <v/>
      </c>
      <c r="T4307">
        <f>M4307-LTP3!$D$3*H4307/k_n</f>
        <v/>
      </c>
      <c r="U4307">
        <f>N4307-G4307*LTP3!$D$4/k_n</f>
        <v/>
      </c>
      <c r="V4307">
        <f>O4307-H4307*LTP3!$D$4/k_n</f>
        <v/>
      </c>
      <c r="W4307">
        <f>((LTP3!$D$5)*((P4307)*(Q4307)-(R4307)*(R4307))-(S4307)*((S4307)*(Q4307)-(R4307)*(T4307))+(T4307)*((S4307)*(R4307)-(P4307)*(T4307)))</f>
        <v/>
      </c>
      <c r="X4307">
        <f>IF(ABS(W4307)&gt;1E-12,((LTP3!$D$6)*((P4307)*(Q4307)-(R4307)*(R4307))-(S4307)*((U4307)*(Q4307)-(R4307)*(V4307))+(T4307)*((U4307)*(R4307)-(P4307)*(V4307)))/W4307,0)</f>
        <v/>
      </c>
      <c r="Y4307">
        <f>IF(ABS(W4307)&gt;1E-12,((LTP3!$D$5)*((U4307)*(Q4307)-(R4307)*(V4307))-(LTP3!$D$6)*((S4307)*(Q4307)-(R4307)*(T4307))+(T4307)*((S4307)*(V4307)-(U4307)*(T4307)))/W4307,0)</f>
        <v/>
      </c>
      <c r="Z4307">
        <f>IF(ABS(W4307)&gt;1E-12,((LTP3!$D$5)*((P4307)*(V4307)-(U4307)*(R4307))-(S4307)*((S4307)*(V4307)-(U4307)*(T4307))+(LTP3!$D$6)*((S4307)*(R4307)-(P4307)*(T4307)))/W4307,0)</f>
        <v/>
      </c>
      <c r="AA4307">
        <f>LTP3!$D$7-X4307*LTP3!$D$6-Y4307*U4307-Z4307*V4307</f>
        <v/>
      </c>
      <c r="AB4307">
        <f>IF(AND(F4307,ABS(W4307)&gt;1E-12,Y4307&gt;0,Z4307&gt;0),AA4307,1E+300)</f>
        <v/>
      </c>
    </row>
    <row r="4308">
      <c r="A4308">
        <f>$I$4-$B$5/10+$B$5*6/100</f>
        <v/>
      </c>
      <c r="B4308">
        <f>$J$4-$B$5/10+$B$5*2/100</f>
        <v/>
      </c>
      <c r="C4308">
        <f>SUMPRODUCT(Calc!$K$3:$K$22*(Calc!$G$3:$G$22&lt;=A4308))</f>
        <v/>
      </c>
      <c r="D4308">
        <f>SUMPRODUCT(Calc!$K$3:$K$22*(Calc!$G$3:$G$22&gt;A4308)*(Calc!$G$3:$G$22&lt;B4308))</f>
        <v/>
      </c>
      <c r="E4308">
        <f>SUMPRODUCT(Calc!$K$3:$K$22*(Calc!$G$3:$G$22&gt;=B4308))</f>
        <v/>
      </c>
      <c r="F4308">
        <f>AND(k_n&gt;=5,B4308&gt;A4308+1E-9,C4308&gt;=2,D4308&gt;=1,E4308&gt;=2)</f>
        <v/>
      </c>
      <c r="G4308">
        <f>SUMPRODUCT(Calc!$K$3:$K$22*(Calc!$G$3:$G$22&gt;A4308)*(Calc!$G$3:$G$22-A4308))</f>
        <v/>
      </c>
      <c r="H4308">
        <f>SUMPRODUCT(Calc!$K$3:$K$22*(Calc!$G$3:$G$22&gt;B4308)*(Calc!$G$3:$G$22-B4308))</f>
        <v/>
      </c>
      <c r="I4308">
        <f>SUMPRODUCT(Calc!$K$3:$K$22*(Calc!$G$3:$G$22&gt;A4308)*(Calc!$G$3:$G$22-A4308)^2)</f>
        <v/>
      </c>
      <c r="J4308">
        <f>SUMPRODUCT(Calc!$K$3:$K$22*(Calc!$G$3:$G$22&gt;B4308)*(Calc!$G$3:$G$22-B4308)^2)</f>
        <v/>
      </c>
      <c r="K4308">
        <f>SUMPRODUCT(Calc!$K$3:$K$22*(Calc!$G$3:$G$22&gt;A4308)*(Calc!$G$3:$G$22-A4308)*(Calc!$G$3:$G$22&gt;B4308)*(Calc!$G$3:$G$22-B4308))</f>
        <v/>
      </c>
      <c r="L4308">
        <f>SUMPRODUCT(Calc!$K$3:$K$22*(Calc!$G$3:$G$22&gt;A4308)*(Calc!$G$3:$G$22-A4308)*Calc!$G$3:$G$22)</f>
        <v/>
      </c>
      <c r="M4308">
        <f>SUMPRODUCT(Calc!$K$3:$K$22*(Calc!$G$3:$G$22&gt;B4308)*(Calc!$G$3:$G$22-B4308)*Calc!$G$3:$G$22)</f>
        <v/>
      </c>
      <c r="N4308">
        <f>SUMPRODUCT(Calc!$K$3:$K$22*(Calc!$G$3:$G$22&gt;A4308)*(Calc!$G$3:$G$22-A4308)*Calc!$I$3:$I$22)</f>
        <v/>
      </c>
      <c r="O4308">
        <f>SUMPRODUCT(Calc!$K$3:$K$22*(Calc!$G$3:$G$22&gt;B4308)*(Calc!$G$3:$G$22-B4308)*Calc!$I$3:$I$22)</f>
        <v/>
      </c>
      <c r="P4308">
        <f>I4308-G4308^2/k_n</f>
        <v/>
      </c>
      <c r="Q4308">
        <f>J4308-H4308^2/k_n</f>
        <v/>
      </c>
      <c r="R4308">
        <f>K4308-G4308*H4308/k_n</f>
        <v/>
      </c>
      <c r="S4308">
        <f>L4308-LTP3!$D$3*G4308/k_n</f>
        <v/>
      </c>
      <c r="T4308">
        <f>M4308-LTP3!$D$3*H4308/k_n</f>
        <v/>
      </c>
      <c r="U4308">
        <f>N4308-G4308*LTP3!$D$4/k_n</f>
        <v/>
      </c>
      <c r="V4308">
        <f>O4308-H4308*LTP3!$D$4/k_n</f>
        <v/>
      </c>
      <c r="W4308">
        <f>((LTP3!$D$5)*((P4308)*(Q4308)-(R4308)*(R4308))-(S4308)*((S4308)*(Q4308)-(R4308)*(T4308))+(T4308)*((S4308)*(R4308)-(P4308)*(T4308)))</f>
        <v/>
      </c>
      <c r="X4308">
        <f>IF(ABS(W4308)&gt;1E-12,((LTP3!$D$6)*((P4308)*(Q4308)-(R4308)*(R4308))-(S4308)*((U4308)*(Q4308)-(R4308)*(V4308))+(T4308)*((U4308)*(R4308)-(P4308)*(V4308)))/W4308,0)</f>
        <v/>
      </c>
      <c r="Y4308">
        <f>IF(ABS(W4308)&gt;1E-12,((LTP3!$D$5)*((U4308)*(Q4308)-(R4308)*(V4308))-(LTP3!$D$6)*((S4308)*(Q4308)-(R4308)*(T4308))+(T4308)*((S4308)*(V4308)-(U4308)*(T4308)))/W4308,0)</f>
        <v/>
      </c>
      <c r="Z4308">
        <f>IF(ABS(W4308)&gt;1E-12,((LTP3!$D$5)*((P4308)*(V4308)-(U4308)*(R4308))-(S4308)*((S4308)*(V4308)-(U4308)*(T4308))+(LTP3!$D$6)*((S4308)*(R4308)-(P4308)*(T4308)))/W4308,0)</f>
        <v/>
      </c>
      <c r="AA4308">
        <f>LTP3!$D$7-X4308*LTP3!$D$6-Y4308*U4308-Z4308*V4308</f>
        <v/>
      </c>
      <c r="AB4308">
        <f>IF(AND(F4308,ABS(W4308)&gt;1E-12,Y4308&gt;0,Z4308&gt;0),AA4308,1E+300)</f>
        <v/>
      </c>
    </row>
    <row r="4309">
      <c r="A4309">
        <f>$I$4-$B$5/10+$B$5*6/100</f>
        <v/>
      </c>
      <c r="B4309">
        <f>$J$4-$B$5/10+$B$5*3/100</f>
        <v/>
      </c>
      <c r="C4309">
        <f>SUMPRODUCT(Calc!$K$3:$K$22*(Calc!$G$3:$G$22&lt;=A4309))</f>
        <v/>
      </c>
      <c r="D4309">
        <f>SUMPRODUCT(Calc!$K$3:$K$22*(Calc!$G$3:$G$22&gt;A4309)*(Calc!$G$3:$G$22&lt;B4309))</f>
        <v/>
      </c>
      <c r="E4309">
        <f>SUMPRODUCT(Calc!$K$3:$K$22*(Calc!$G$3:$G$22&gt;=B4309))</f>
        <v/>
      </c>
      <c r="F4309">
        <f>AND(k_n&gt;=5,B4309&gt;A4309+1E-9,C4309&gt;=2,D4309&gt;=1,E4309&gt;=2)</f>
        <v/>
      </c>
      <c r="G4309">
        <f>SUMPRODUCT(Calc!$K$3:$K$22*(Calc!$G$3:$G$22&gt;A4309)*(Calc!$G$3:$G$22-A4309))</f>
        <v/>
      </c>
      <c r="H4309">
        <f>SUMPRODUCT(Calc!$K$3:$K$22*(Calc!$G$3:$G$22&gt;B4309)*(Calc!$G$3:$G$22-B4309))</f>
        <v/>
      </c>
      <c r="I4309">
        <f>SUMPRODUCT(Calc!$K$3:$K$22*(Calc!$G$3:$G$22&gt;A4309)*(Calc!$G$3:$G$22-A4309)^2)</f>
        <v/>
      </c>
      <c r="J4309">
        <f>SUMPRODUCT(Calc!$K$3:$K$22*(Calc!$G$3:$G$22&gt;B4309)*(Calc!$G$3:$G$22-B4309)^2)</f>
        <v/>
      </c>
      <c r="K4309">
        <f>SUMPRODUCT(Calc!$K$3:$K$22*(Calc!$G$3:$G$22&gt;A4309)*(Calc!$G$3:$G$22-A4309)*(Calc!$G$3:$G$22&gt;B4309)*(Calc!$G$3:$G$22-B4309))</f>
        <v/>
      </c>
      <c r="L4309">
        <f>SUMPRODUCT(Calc!$K$3:$K$22*(Calc!$G$3:$G$22&gt;A4309)*(Calc!$G$3:$G$22-A4309)*Calc!$G$3:$G$22)</f>
        <v/>
      </c>
      <c r="M4309">
        <f>SUMPRODUCT(Calc!$K$3:$K$22*(Calc!$G$3:$G$22&gt;B4309)*(Calc!$G$3:$G$22-B4309)*Calc!$G$3:$G$22)</f>
        <v/>
      </c>
      <c r="N4309">
        <f>SUMPRODUCT(Calc!$K$3:$K$22*(Calc!$G$3:$G$22&gt;A4309)*(Calc!$G$3:$G$22-A4309)*Calc!$I$3:$I$22)</f>
        <v/>
      </c>
      <c r="O4309">
        <f>SUMPRODUCT(Calc!$K$3:$K$22*(Calc!$G$3:$G$22&gt;B4309)*(Calc!$G$3:$G$22-B4309)*Calc!$I$3:$I$22)</f>
        <v/>
      </c>
      <c r="P4309">
        <f>I4309-G4309^2/k_n</f>
        <v/>
      </c>
      <c r="Q4309">
        <f>J4309-H4309^2/k_n</f>
        <v/>
      </c>
      <c r="R4309">
        <f>K4309-G4309*H4309/k_n</f>
        <v/>
      </c>
      <c r="S4309">
        <f>L4309-LTP3!$D$3*G4309/k_n</f>
        <v/>
      </c>
      <c r="T4309">
        <f>M4309-LTP3!$D$3*H4309/k_n</f>
        <v/>
      </c>
      <c r="U4309">
        <f>N4309-G4309*LTP3!$D$4/k_n</f>
        <v/>
      </c>
      <c r="V4309">
        <f>O4309-H4309*LTP3!$D$4/k_n</f>
        <v/>
      </c>
      <c r="W4309">
        <f>((LTP3!$D$5)*((P4309)*(Q4309)-(R4309)*(R4309))-(S4309)*((S4309)*(Q4309)-(R4309)*(T4309))+(T4309)*((S4309)*(R4309)-(P4309)*(T4309)))</f>
        <v/>
      </c>
      <c r="X4309">
        <f>IF(ABS(W4309)&gt;1E-12,((LTP3!$D$6)*((P4309)*(Q4309)-(R4309)*(R4309))-(S4309)*((U4309)*(Q4309)-(R4309)*(V4309))+(T4309)*((U4309)*(R4309)-(P4309)*(V4309)))/W4309,0)</f>
        <v/>
      </c>
      <c r="Y4309">
        <f>IF(ABS(W4309)&gt;1E-12,((LTP3!$D$5)*((U4309)*(Q4309)-(R4309)*(V4309))-(LTP3!$D$6)*((S4309)*(Q4309)-(R4309)*(T4309))+(T4309)*((S4309)*(V4309)-(U4309)*(T4309)))/W4309,0)</f>
        <v/>
      </c>
      <c r="Z4309">
        <f>IF(ABS(W4309)&gt;1E-12,((LTP3!$D$5)*((P4309)*(V4309)-(U4309)*(R4309))-(S4309)*((S4309)*(V4309)-(U4309)*(T4309))+(LTP3!$D$6)*((S4309)*(R4309)-(P4309)*(T4309)))/W4309,0)</f>
        <v/>
      </c>
      <c r="AA4309">
        <f>LTP3!$D$7-X4309*LTP3!$D$6-Y4309*U4309-Z4309*V4309</f>
        <v/>
      </c>
      <c r="AB4309">
        <f>IF(AND(F4309,ABS(W4309)&gt;1E-12,Y4309&gt;0,Z4309&gt;0),AA4309,1E+300)</f>
        <v/>
      </c>
    </row>
    <row r="4310">
      <c r="A4310">
        <f>$I$4-$B$5/10+$B$5*6/100</f>
        <v/>
      </c>
      <c r="B4310">
        <f>$J$4-$B$5/10+$B$5*4/100</f>
        <v/>
      </c>
      <c r="C4310">
        <f>SUMPRODUCT(Calc!$K$3:$K$22*(Calc!$G$3:$G$22&lt;=A4310))</f>
        <v/>
      </c>
      <c r="D4310">
        <f>SUMPRODUCT(Calc!$K$3:$K$22*(Calc!$G$3:$G$22&gt;A4310)*(Calc!$G$3:$G$22&lt;B4310))</f>
        <v/>
      </c>
      <c r="E4310">
        <f>SUMPRODUCT(Calc!$K$3:$K$22*(Calc!$G$3:$G$22&gt;=B4310))</f>
        <v/>
      </c>
      <c r="F4310">
        <f>AND(k_n&gt;=5,B4310&gt;A4310+1E-9,C4310&gt;=2,D4310&gt;=1,E4310&gt;=2)</f>
        <v/>
      </c>
      <c r="G4310">
        <f>SUMPRODUCT(Calc!$K$3:$K$22*(Calc!$G$3:$G$22&gt;A4310)*(Calc!$G$3:$G$22-A4310))</f>
        <v/>
      </c>
      <c r="H4310">
        <f>SUMPRODUCT(Calc!$K$3:$K$22*(Calc!$G$3:$G$22&gt;B4310)*(Calc!$G$3:$G$22-B4310))</f>
        <v/>
      </c>
      <c r="I4310">
        <f>SUMPRODUCT(Calc!$K$3:$K$22*(Calc!$G$3:$G$22&gt;A4310)*(Calc!$G$3:$G$22-A4310)^2)</f>
        <v/>
      </c>
      <c r="J4310">
        <f>SUMPRODUCT(Calc!$K$3:$K$22*(Calc!$G$3:$G$22&gt;B4310)*(Calc!$G$3:$G$22-B4310)^2)</f>
        <v/>
      </c>
      <c r="K4310">
        <f>SUMPRODUCT(Calc!$K$3:$K$22*(Calc!$G$3:$G$22&gt;A4310)*(Calc!$G$3:$G$22-A4310)*(Calc!$G$3:$G$22&gt;B4310)*(Calc!$G$3:$G$22-B4310))</f>
        <v/>
      </c>
      <c r="L4310">
        <f>SUMPRODUCT(Calc!$K$3:$K$22*(Calc!$G$3:$G$22&gt;A4310)*(Calc!$G$3:$G$22-A4310)*Calc!$G$3:$G$22)</f>
        <v/>
      </c>
      <c r="M4310">
        <f>SUMPRODUCT(Calc!$K$3:$K$22*(Calc!$G$3:$G$22&gt;B4310)*(Calc!$G$3:$G$22-B4310)*Calc!$G$3:$G$22)</f>
        <v/>
      </c>
      <c r="N4310">
        <f>SUMPRODUCT(Calc!$K$3:$K$22*(Calc!$G$3:$G$22&gt;A4310)*(Calc!$G$3:$G$22-A4310)*Calc!$I$3:$I$22)</f>
        <v/>
      </c>
      <c r="O4310">
        <f>SUMPRODUCT(Calc!$K$3:$K$22*(Calc!$G$3:$G$22&gt;B4310)*(Calc!$G$3:$G$22-B4310)*Calc!$I$3:$I$22)</f>
        <v/>
      </c>
      <c r="P4310">
        <f>I4310-G4310^2/k_n</f>
        <v/>
      </c>
      <c r="Q4310">
        <f>J4310-H4310^2/k_n</f>
        <v/>
      </c>
      <c r="R4310">
        <f>K4310-G4310*H4310/k_n</f>
        <v/>
      </c>
      <c r="S4310">
        <f>L4310-LTP3!$D$3*G4310/k_n</f>
        <v/>
      </c>
      <c r="T4310">
        <f>M4310-LTP3!$D$3*H4310/k_n</f>
        <v/>
      </c>
      <c r="U4310">
        <f>N4310-G4310*LTP3!$D$4/k_n</f>
        <v/>
      </c>
      <c r="V4310">
        <f>O4310-H4310*LTP3!$D$4/k_n</f>
        <v/>
      </c>
      <c r="W4310">
        <f>((LTP3!$D$5)*((P4310)*(Q4310)-(R4310)*(R4310))-(S4310)*((S4310)*(Q4310)-(R4310)*(T4310))+(T4310)*((S4310)*(R4310)-(P4310)*(T4310)))</f>
        <v/>
      </c>
      <c r="X4310">
        <f>IF(ABS(W4310)&gt;1E-12,((LTP3!$D$6)*((P4310)*(Q4310)-(R4310)*(R4310))-(S4310)*((U4310)*(Q4310)-(R4310)*(V4310))+(T4310)*((U4310)*(R4310)-(P4310)*(V4310)))/W4310,0)</f>
        <v/>
      </c>
      <c r="Y4310">
        <f>IF(ABS(W4310)&gt;1E-12,((LTP3!$D$5)*((U4310)*(Q4310)-(R4310)*(V4310))-(LTP3!$D$6)*((S4310)*(Q4310)-(R4310)*(T4310))+(T4310)*((S4310)*(V4310)-(U4310)*(T4310)))/W4310,0)</f>
        <v/>
      </c>
      <c r="Z4310">
        <f>IF(ABS(W4310)&gt;1E-12,((LTP3!$D$5)*((P4310)*(V4310)-(U4310)*(R4310))-(S4310)*((S4310)*(V4310)-(U4310)*(T4310))+(LTP3!$D$6)*((S4310)*(R4310)-(P4310)*(T4310)))/W4310,0)</f>
        <v/>
      </c>
      <c r="AA4310">
        <f>LTP3!$D$7-X4310*LTP3!$D$6-Y4310*U4310-Z4310*V4310</f>
        <v/>
      </c>
      <c r="AB4310">
        <f>IF(AND(F4310,ABS(W4310)&gt;1E-12,Y4310&gt;0,Z4310&gt;0),AA4310,1E+300)</f>
        <v/>
      </c>
    </row>
    <row r="4311">
      <c r="A4311">
        <f>$I$4-$B$5/10+$B$5*6/100</f>
        <v/>
      </c>
      <c r="B4311">
        <f>$J$4-$B$5/10+$B$5*5/100</f>
        <v/>
      </c>
      <c r="C4311">
        <f>SUMPRODUCT(Calc!$K$3:$K$22*(Calc!$G$3:$G$22&lt;=A4311))</f>
        <v/>
      </c>
      <c r="D4311">
        <f>SUMPRODUCT(Calc!$K$3:$K$22*(Calc!$G$3:$G$22&gt;A4311)*(Calc!$G$3:$G$22&lt;B4311))</f>
        <v/>
      </c>
      <c r="E4311">
        <f>SUMPRODUCT(Calc!$K$3:$K$22*(Calc!$G$3:$G$22&gt;=B4311))</f>
        <v/>
      </c>
      <c r="F4311">
        <f>AND(k_n&gt;=5,B4311&gt;A4311+1E-9,C4311&gt;=2,D4311&gt;=1,E4311&gt;=2)</f>
        <v/>
      </c>
      <c r="G4311">
        <f>SUMPRODUCT(Calc!$K$3:$K$22*(Calc!$G$3:$G$22&gt;A4311)*(Calc!$G$3:$G$22-A4311))</f>
        <v/>
      </c>
      <c r="H4311">
        <f>SUMPRODUCT(Calc!$K$3:$K$22*(Calc!$G$3:$G$22&gt;B4311)*(Calc!$G$3:$G$22-B4311))</f>
        <v/>
      </c>
      <c r="I4311">
        <f>SUMPRODUCT(Calc!$K$3:$K$22*(Calc!$G$3:$G$22&gt;A4311)*(Calc!$G$3:$G$22-A4311)^2)</f>
        <v/>
      </c>
      <c r="J4311">
        <f>SUMPRODUCT(Calc!$K$3:$K$22*(Calc!$G$3:$G$22&gt;B4311)*(Calc!$G$3:$G$22-B4311)^2)</f>
        <v/>
      </c>
      <c r="K4311">
        <f>SUMPRODUCT(Calc!$K$3:$K$22*(Calc!$G$3:$G$22&gt;A4311)*(Calc!$G$3:$G$22-A4311)*(Calc!$G$3:$G$22&gt;B4311)*(Calc!$G$3:$G$22-B4311))</f>
        <v/>
      </c>
      <c r="L4311">
        <f>SUMPRODUCT(Calc!$K$3:$K$22*(Calc!$G$3:$G$22&gt;A4311)*(Calc!$G$3:$G$22-A4311)*Calc!$G$3:$G$22)</f>
        <v/>
      </c>
      <c r="M4311">
        <f>SUMPRODUCT(Calc!$K$3:$K$22*(Calc!$G$3:$G$22&gt;B4311)*(Calc!$G$3:$G$22-B4311)*Calc!$G$3:$G$22)</f>
        <v/>
      </c>
      <c r="N4311">
        <f>SUMPRODUCT(Calc!$K$3:$K$22*(Calc!$G$3:$G$22&gt;A4311)*(Calc!$G$3:$G$22-A4311)*Calc!$I$3:$I$22)</f>
        <v/>
      </c>
      <c r="O4311">
        <f>SUMPRODUCT(Calc!$K$3:$K$22*(Calc!$G$3:$G$22&gt;B4311)*(Calc!$G$3:$G$22-B4311)*Calc!$I$3:$I$22)</f>
        <v/>
      </c>
      <c r="P4311">
        <f>I4311-G4311^2/k_n</f>
        <v/>
      </c>
      <c r="Q4311">
        <f>J4311-H4311^2/k_n</f>
        <v/>
      </c>
      <c r="R4311">
        <f>K4311-G4311*H4311/k_n</f>
        <v/>
      </c>
      <c r="S4311">
        <f>L4311-LTP3!$D$3*G4311/k_n</f>
        <v/>
      </c>
      <c r="T4311">
        <f>M4311-LTP3!$D$3*H4311/k_n</f>
        <v/>
      </c>
      <c r="U4311">
        <f>N4311-G4311*LTP3!$D$4/k_n</f>
        <v/>
      </c>
      <c r="V4311">
        <f>O4311-H4311*LTP3!$D$4/k_n</f>
        <v/>
      </c>
      <c r="W4311">
        <f>((LTP3!$D$5)*((P4311)*(Q4311)-(R4311)*(R4311))-(S4311)*((S4311)*(Q4311)-(R4311)*(T4311))+(T4311)*((S4311)*(R4311)-(P4311)*(T4311)))</f>
        <v/>
      </c>
      <c r="X4311">
        <f>IF(ABS(W4311)&gt;1E-12,((LTP3!$D$6)*((P4311)*(Q4311)-(R4311)*(R4311))-(S4311)*((U4311)*(Q4311)-(R4311)*(V4311))+(T4311)*((U4311)*(R4311)-(P4311)*(V4311)))/W4311,0)</f>
        <v/>
      </c>
      <c r="Y4311">
        <f>IF(ABS(W4311)&gt;1E-12,((LTP3!$D$5)*((U4311)*(Q4311)-(R4311)*(V4311))-(LTP3!$D$6)*((S4311)*(Q4311)-(R4311)*(T4311))+(T4311)*((S4311)*(V4311)-(U4311)*(T4311)))/W4311,0)</f>
        <v/>
      </c>
      <c r="Z4311">
        <f>IF(ABS(W4311)&gt;1E-12,((LTP3!$D$5)*((P4311)*(V4311)-(U4311)*(R4311))-(S4311)*((S4311)*(V4311)-(U4311)*(T4311))+(LTP3!$D$6)*((S4311)*(R4311)-(P4311)*(T4311)))/W4311,0)</f>
        <v/>
      </c>
      <c r="AA4311">
        <f>LTP3!$D$7-X4311*LTP3!$D$6-Y4311*U4311-Z4311*V4311</f>
        <v/>
      </c>
      <c r="AB4311">
        <f>IF(AND(F4311,ABS(W4311)&gt;1E-12,Y4311&gt;0,Z4311&gt;0),AA4311,1E+300)</f>
        <v/>
      </c>
    </row>
    <row r="4312">
      <c r="A4312">
        <f>$I$4-$B$5/10+$B$5*6/100</f>
        <v/>
      </c>
      <c r="B4312">
        <f>$J$4-$B$5/10+$B$5*6/100</f>
        <v/>
      </c>
      <c r="C4312">
        <f>SUMPRODUCT(Calc!$K$3:$K$22*(Calc!$G$3:$G$22&lt;=A4312))</f>
        <v/>
      </c>
      <c r="D4312">
        <f>SUMPRODUCT(Calc!$K$3:$K$22*(Calc!$G$3:$G$22&gt;A4312)*(Calc!$G$3:$G$22&lt;B4312))</f>
        <v/>
      </c>
      <c r="E4312">
        <f>SUMPRODUCT(Calc!$K$3:$K$22*(Calc!$G$3:$G$22&gt;=B4312))</f>
        <v/>
      </c>
      <c r="F4312">
        <f>AND(k_n&gt;=5,B4312&gt;A4312+1E-9,C4312&gt;=2,D4312&gt;=1,E4312&gt;=2)</f>
        <v/>
      </c>
      <c r="G4312">
        <f>SUMPRODUCT(Calc!$K$3:$K$22*(Calc!$G$3:$G$22&gt;A4312)*(Calc!$G$3:$G$22-A4312))</f>
        <v/>
      </c>
      <c r="H4312">
        <f>SUMPRODUCT(Calc!$K$3:$K$22*(Calc!$G$3:$G$22&gt;B4312)*(Calc!$G$3:$G$22-B4312))</f>
        <v/>
      </c>
      <c r="I4312">
        <f>SUMPRODUCT(Calc!$K$3:$K$22*(Calc!$G$3:$G$22&gt;A4312)*(Calc!$G$3:$G$22-A4312)^2)</f>
        <v/>
      </c>
      <c r="J4312">
        <f>SUMPRODUCT(Calc!$K$3:$K$22*(Calc!$G$3:$G$22&gt;B4312)*(Calc!$G$3:$G$22-B4312)^2)</f>
        <v/>
      </c>
      <c r="K4312">
        <f>SUMPRODUCT(Calc!$K$3:$K$22*(Calc!$G$3:$G$22&gt;A4312)*(Calc!$G$3:$G$22-A4312)*(Calc!$G$3:$G$22&gt;B4312)*(Calc!$G$3:$G$22-B4312))</f>
        <v/>
      </c>
      <c r="L4312">
        <f>SUMPRODUCT(Calc!$K$3:$K$22*(Calc!$G$3:$G$22&gt;A4312)*(Calc!$G$3:$G$22-A4312)*Calc!$G$3:$G$22)</f>
        <v/>
      </c>
      <c r="M4312">
        <f>SUMPRODUCT(Calc!$K$3:$K$22*(Calc!$G$3:$G$22&gt;B4312)*(Calc!$G$3:$G$22-B4312)*Calc!$G$3:$G$22)</f>
        <v/>
      </c>
      <c r="N4312">
        <f>SUMPRODUCT(Calc!$K$3:$K$22*(Calc!$G$3:$G$22&gt;A4312)*(Calc!$G$3:$G$22-A4312)*Calc!$I$3:$I$22)</f>
        <v/>
      </c>
      <c r="O4312">
        <f>SUMPRODUCT(Calc!$K$3:$K$22*(Calc!$G$3:$G$22&gt;B4312)*(Calc!$G$3:$G$22-B4312)*Calc!$I$3:$I$22)</f>
        <v/>
      </c>
      <c r="P4312">
        <f>I4312-G4312^2/k_n</f>
        <v/>
      </c>
      <c r="Q4312">
        <f>J4312-H4312^2/k_n</f>
        <v/>
      </c>
      <c r="R4312">
        <f>K4312-G4312*H4312/k_n</f>
        <v/>
      </c>
      <c r="S4312">
        <f>L4312-LTP3!$D$3*G4312/k_n</f>
        <v/>
      </c>
      <c r="T4312">
        <f>M4312-LTP3!$D$3*H4312/k_n</f>
        <v/>
      </c>
      <c r="U4312">
        <f>N4312-G4312*LTP3!$D$4/k_n</f>
        <v/>
      </c>
      <c r="V4312">
        <f>O4312-H4312*LTP3!$D$4/k_n</f>
        <v/>
      </c>
      <c r="W4312">
        <f>((LTP3!$D$5)*((P4312)*(Q4312)-(R4312)*(R4312))-(S4312)*((S4312)*(Q4312)-(R4312)*(T4312))+(T4312)*((S4312)*(R4312)-(P4312)*(T4312)))</f>
        <v/>
      </c>
      <c r="X4312">
        <f>IF(ABS(W4312)&gt;1E-12,((LTP3!$D$6)*((P4312)*(Q4312)-(R4312)*(R4312))-(S4312)*((U4312)*(Q4312)-(R4312)*(V4312))+(T4312)*((U4312)*(R4312)-(P4312)*(V4312)))/W4312,0)</f>
        <v/>
      </c>
      <c r="Y4312">
        <f>IF(ABS(W4312)&gt;1E-12,((LTP3!$D$5)*((U4312)*(Q4312)-(R4312)*(V4312))-(LTP3!$D$6)*((S4312)*(Q4312)-(R4312)*(T4312))+(T4312)*((S4312)*(V4312)-(U4312)*(T4312)))/W4312,0)</f>
        <v/>
      </c>
      <c r="Z4312">
        <f>IF(ABS(W4312)&gt;1E-12,((LTP3!$D$5)*((P4312)*(V4312)-(U4312)*(R4312))-(S4312)*((S4312)*(V4312)-(U4312)*(T4312))+(LTP3!$D$6)*((S4312)*(R4312)-(P4312)*(T4312)))/W4312,0)</f>
        <v/>
      </c>
      <c r="AA4312">
        <f>LTP3!$D$7-X4312*LTP3!$D$6-Y4312*U4312-Z4312*V4312</f>
        <v/>
      </c>
      <c r="AB4312">
        <f>IF(AND(F4312,ABS(W4312)&gt;1E-12,Y4312&gt;0,Z4312&gt;0),AA4312,1E+300)</f>
        <v/>
      </c>
    </row>
    <row r="4313">
      <c r="A4313">
        <f>$I$4-$B$5/10+$B$5*6/100</f>
        <v/>
      </c>
      <c r="B4313">
        <f>$J$4-$B$5/10+$B$5*7/100</f>
        <v/>
      </c>
      <c r="C4313">
        <f>SUMPRODUCT(Calc!$K$3:$K$22*(Calc!$G$3:$G$22&lt;=A4313))</f>
        <v/>
      </c>
      <c r="D4313">
        <f>SUMPRODUCT(Calc!$K$3:$K$22*(Calc!$G$3:$G$22&gt;A4313)*(Calc!$G$3:$G$22&lt;B4313))</f>
        <v/>
      </c>
      <c r="E4313">
        <f>SUMPRODUCT(Calc!$K$3:$K$22*(Calc!$G$3:$G$22&gt;=B4313))</f>
        <v/>
      </c>
      <c r="F4313">
        <f>AND(k_n&gt;=5,B4313&gt;A4313+1E-9,C4313&gt;=2,D4313&gt;=1,E4313&gt;=2)</f>
        <v/>
      </c>
      <c r="G4313">
        <f>SUMPRODUCT(Calc!$K$3:$K$22*(Calc!$G$3:$G$22&gt;A4313)*(Calc!$G$3:$G$22-A4313))</f>
        <v/>
      </c>
      <c r="H4313">
        <f>SUMPRODUCT(Calc!$K$3:$K$22*(Calc!$G$3:$G$22&gt;B4313)*(Calc!$G$3:$G$22-B4313))</f>
        <v/>
      </c>
      <c r="I4313">
        <f>SUMPRODUCT(Calc!$K$3:$K$22*(Calc!$G$3:$G$22&gt;A4313)*(Calc!$G$3:$G$22-A4313)^2)</f>
        <v/>
      </c>
      <c r="J4313">
        <f>SUMPRODUCT(Calc!$K$3:$K$22*(Calc!$G$3:$G$22&gt;B4313)*(Calc!$G$3:$G$22-B4313)^2)</f>
        <v/>
      </c>
      <c r="K4313">
        <f>SUMPRODUCT(Calc!$K$3:$K$22*(Calc!$G$3:$G$22&gt;A4313)*(Calc!$G$3:$G$22-A4313)*(Calc!$G$3:$G$22&gt;B4313)*(Calc!$G$3:$G$22-B4313))</f>
        <v/>
      </c>
      <c r="L4313">
        <f>SUMPRODUCT(Calc!$K$3:$K$22*(Calc!$G$3:$G$22&gt;A4313)*(Calc!$G$3:$G$22-A4313)*Calc!$G$3:$G$22)</f>
        <v/>
      </c>
      <c r="M4313">
        <f>SUMPRODUCT(Calc!$K$3:$K$22*(Calc!$G$3:$G$22&gt;B4313)*(Calc!$G$3:$G$22-B4313)*Calc!$G$3:$G$22)</f>
        <v/>
      </c>
      <c r="N4313">
        <f>SUMPRODUCT(Calc!$K$3:$K$22*(Calc!$G$3:$G$22&gt;A4313)*(Calc!$G$3:$G$22-A4313)*Calc!$I$3:$I$22)</f>
        <v/>
      </c>
      <c r="O4313">
        <f>SUMPRODUCT(Calc!$K$3:$K$22*(Calc!$G$3:$G$22&gt;B4313)*(Calc!$G$3:$G$22-B4313)*Calc!$I$3:$I$22)</f>
        <v/>
      </c>
      <c r="P4313">
        <f>I4313-G4313^2/k_n</f>
        <v/>
      </c>
      <c r="Q4313">
        <f>J4313-H4313^2/k_n</f>
        <v/>
      </c>
      <c r="R4313">
        <f>K4313-G4313*H4313/k_n</f>
        <v/>
      </c>
      <c r="S4313">
        <f>L4313-LTP3!$D$3*G4313/k_n</f>
        <v/>
      </c>
      <c r="T4313">
        <f>M4313-LTP3!$D$3*H4313/k_n</f>
        <v/>
      </c>
      <c r="U4313">
        <f>N4313-G4313*LTP3!$D$4/k_n</f>
        <v/>
      </c>
      <c r="V4313">
        <f>O4313-H4313*LTP3!$D$4/k_n</f>
        <v/>
      </c>
      <c r="W4313">
        <f>((LTP3!$D$5)*((P4313)*(Q4313)-(R4313)*(R4313))-(S4313)*((S4313)*(Q4313)-(R4313)*(T4313))+(T4313)*((S4313)*(R4313)-(P4313)*(T4313)))</f>
        <v/>
      </c>
      <c r="X4313">
        <f>IF(ABS(W4313)&gt;1E-12,((LTP3!$D$6)*((P4313)*(Q4313)-(R4313)*(R4313))-(S4313)*((U4313)*(Q4313)-(R4313)*(V4313))+(T4313)*((U4313)*(R4313)-(P4313)*(V4313)))/W4313,0)</f>
        <v/>
      </c>
      <c r="Y4313">
        <f>IF(ABS(W4313)&gt;1E-12,((LTP3!$D$5)*((U4313)*(Q4313)-(R4313)*(V4313))-(LTP3!$D$6)*((S4313)*(Q4313)-(R4313)*(T4313))+(T4313)*((S4313)*(V4313)-(U4313)*(T4313)))/W4313,0)</f>
        <v/>
      </c>
      <c r="Z4313">
        <f>IF(ABS(W4313)&gt;1E-12,((LTP3!$D$5)*((P4313)*(V4313)-(U4313)*(R4313))-(S4313)*((S4313)*(V4313)-(U4313)*(T4313))+(LTP3!$D$6)*((S4313)*(R4313)-(P4313)*(T4313)))/W4313,0)</f>
        <v/>
      </c>
      <c r="AA4313">
        <f>LTP3!$D$7-X4313*LTP3!$D$6-Y4313*U4313-Z4313*V4313</f>
        <v/>
      </c>
      <c r="AB4313">
        <f>IF(AND(F4313,ABS(W4313)&gt;1E-12,Y4313&gt;0,Z4313&gt;0),AA4313,1E+300)</f>
        <v/>
      </c>
    </row>
    <row r="4314">
      <c r="A4314">
        <f>$I$4-$B$5/10+$B$5*6/100</f>
        <v/>
      </c>
      <c r="B4314">
        <f>$J$4-$B$5/10+$B$5*8/100</f>
        <v/>
      </c>
      <c r="C4314">
        <f>SUMPRODUCT(Calc!$K$3:$K$22*(Calc!$G$3:$G$22&lt;=A4314))</f>
        <v/>
      </c>
      <c r="D4314">
        <f>SUMPRODUCT(Calc!$K$3:$K$22*(Calc!$G$3:$G$22&gt;A4314)*(Calc!$G$3:$G$22&lt;B4314))</f>
        <v/>
      </c>
      <c r="E4314">
        <f>SUMPRODUCT(Calc!$K$3:$K$22*(Calc!$G$3:$G$22&gt;=B4314))</f>
        <v/>
      </c>
      <c r="F4314">
        <f>AND(k_n&gt;=5,B4314&gt;A4314+1E-9,C4314&gt;=2,D4314&gt;=1,E4314&gt;=2)</f>
        <v/>
      </c>
      <c r="G4314">
        <f>SUMPRODUCT(Calc!$K$3:$K$22*(Calc!$G$3:$G$22&gt;A4314)*(Calc!$G$3:$G$22-A4314))</f>
        <v/>
      </c>
      <c r="H4314">
        <f>SUMPRODUCT(Calc!$K$3:$K$22*(Calc!$G$3:$G$22&gt;B4314)*(Calc!$G$3:$G$22-B4314))</f>
        <v/>
      </c>
      <c r="I4314">
        <f>SUMPRODUCT(Calc!$K$3:$K$22*(Calc!$G$3:$G$22&gt;A4314)*(Calc!$G$3:$G$22-A4314)^2)</f>
        <v/>
      </c>
      <c r="J4314">
        <f>SUMPRODUCT(Calc!$K$3:$K$22*(Calc!$G$3:$G$22&gt;B4314)*(Calc!$G$3:$G$22-B4314)^2)</f>
        <v/>
      </c>
      <c r="K4314">
        <f>SUMPRODUCT(Calc!$K$3:$K$22*(Calc!$G$3:$G$22&gt;A4314)*(Calc!$G$3:$G$22-A4314)*(Calc!$G$3:$G$22&gt;B4314)*(Calc!$G$3:$G$22-B4314))</f>
        <v/>
      </c>
      <c r="L4314">
        <f>SUMPRODUCT(Calc!$K$3:$K$22*(Calc!$G$3:$G$22&gt;A4314)*(Calc!$G$3:$G$22-A4314)*Calc!$G$3:$G$22)</f>
        <v/>
      </c>
      <c r="M4314">
        <f>SUMPRODUCT(Calc!$K$3:$K$22*(Calc!$G$3:$G$22&gt;B4314)*(Calc!$G$3:$G$22-B4314)*Calc!$G$3:$G$22)</f>
        <v/>
      </c>
      <c r="N4314">
        <f>SUMPRODUCT(Calc!$K$3:$K$22*(Calc!$G$3:$G$22&gt;A4314)*(Calc!$G$3:$G$22-A4314)*Calc!$I$3:$I$22)</f>
        <v/>
      </c>
      <c r="O4314">
        <f>SUMPRODUCT(Calc!$K$3:$K$22*(Calc!$G$3:$G$22&gt;B4314)*(Calc!$G$3:$G$22-B4314)*Calc!$I$3:$I$22)</f>
        <v/>
      </c>
      <c r="P4314">
        <f>I4314-G4314^2/k_n</f>
        <v/>
      </c>
      <c r="Q4314">
        <f>J4314-H4314^2/k_n</f>
        <v/>
      </c>
      <c r="R4314">
        <f>K4314-G4314*H4314/k_n</f>
        <v/>
      </c>
      <c r="S4314">
        <f>L4314-LTP3!$D$3*G4314/k_n</f>
        <v/>
      </c>
      <c r="T4314">
        <f>M4314-LTP3!$D$3*H4314/k_n</f>
        <v/>
      </c>
      <c r="U4314">
        <f>N4314-G4314*LTP3!$D$4/k_n</f>
        <v/>
      </c>
      <c r="V4314">
        <f>O4314-H4314*LTP3!$D$4/k_n</f>
        <v/>
      </c>
      <c r="W4314">
        <f>((LTP3!$D$5)*((P4314)*(Q4314)-(R4314)*(R4314))-(S4314)*((S4314)*(Q4314)-(R4314)*(T4314))+(T4314)*((S4314)*(R4314)-(P4314)*(T4314)))</f>
        <v/>
      </c>
      <c r="X4314">
        <f>IF(ABS(W4314)&gt;1E-12,((LTP3!$D$6)*((P4314)*(Q4314)-(R4314)*(R4314))-(S4314)*((U4314)*(Q4314)-(R4314)*(V4314))+(T4314)*((U4314)*(R4314)-(P4314)*(V4314)))/W4314,0)</f>
        <v/>
      </c>
      <c r="Y4314">
        <f>IF(ABS(W4314)&gt;1E-12,((LTP3!$D$5)*((U4314)*(Q4314)-(R4314)*(V4314))-(LTP3!$D$6)*((S4314)*(Q4314)-(R4314)*(T4314))+(T4314)*((S4314)*(V4314)-(U4314)*(T4314)))/W4314,0)</f>
        <v/>
      </c>
      <c r="Z4314">
        <f>IF(ABS(W4314)&gt;1E-12,((LTP3!$D$5)*((P4314)*(V4314)-(U4314)*(R4314))-(S4314)*((S4314)*(V4314)-(U4314)*(T4314))+(LTP3!$D$6)*((S4314)*(R4314)-(P4314)*(T4314)))/W4314,0)</f>
        <v/>
      </c>
      <c r="AA4314">
        <f>LTP3!$D$7-X4314*LTP3!$D$6-Y4314*U4314-Z4314*V4314</f>
        <v/>
      </c>
      <c r="AB4314">
        <f>IF(AND(F4314,ABS(W4314)&gt;1E-12,Y4314&gt;0,Z4314&gt;0),AA4314,1E+300)</f>
        <v/>
      </c>
    </row>
    <row r="4315">
      <c r="A4315">
        <f>$I$4-$B$5/10+$B$5*6/100</f>
        <v/>
      </c>
      <c r="B4315">
        <f>$J$4-$B$5/10+$B$5*9/100</f>
        <v/>
      </c>
      <c r="C4315">
        <f>SUMPRODUCT(Calc!$K$3:$K$22*(Calc!$G$3:$G$22&lt;=A4315))</f>
        <v/>
      </c>
      <c r="D4315">
        <f>SUMPRODUCT(Calc!$K$3:$K$22*(Calc!$G$3:$G$22&gt;A4315)*(Calc!$G$3:$G$22&lt;B4315))</f>
        <v/>
      </c>
      <c r="E4315">
        <f>SUMPRODUCT(Calc!$K$3:$K$22*(Calc!$G$3:$G$22&gt;=B4315))</f>
        <v/>
      </c>
      <c r="F4315">
        <f>AND(k_n&gt;=5,B4315&gt;A4315+1E-9,C4315&gt;=2,D4315&gt;=1,E4315&gt;=2)</f>
        <v/>
      </c>
      <c r="G4315">
        <f>SUMPRODUCT(Calc!$K$3:$K$22*(Calc!$G$3:$G$22&gt;A4315)*(Calc!$G$3:$G$22-A4315))</f>
        <v/>
      </c>
      <c r="H4315">
        <f>SUMPRODUCT(Calc!$K$3:$K$22*(Calc!$G$3:$G$22&gt;B4315)*(Calc!$G$3:$G$22-B4315))</f>
        <v/>
      </c>
      <c r="I4315">
        <f>SUMPRODUCT(Calc!$K$3:$K$22*(Calc!$G$3:$G$22&gt;A4315)*(Calc!$G$3:$G$22-A4315)^2)</f>
        <v/>
      </c>
      <c r="J4315">
        <f>SUMPRODUCT(Calc!$K$3:$K$22*(Calc!$G$3:$G$22&gt;B4315)*(Calc!$G$3:$G$22-B4315)^2)</f>
        <v/>
      </c>
      <c r="K4315">
        <f>SUMPRODUCT(Calc!$K$3:$K$22*(Calc!$G$3:$G$22&gt;A4315)*(Calc!$G$3:$G$22-A4315)*(Calc!$G$3:$G$22&gt;B4315)*(Calc!$G$3:$G$22-B4315))</f>
        <v/>
      </c>
      <c r="L4315">
        <f>SUMPRODUCT(Calc!$K$3:$K$22*(Calc!$G$3:$G$22&gt;A4315)*(Calc!$G$3:$G$22-A4315)*Calc!$G$3:$G$22)</f>
        <v/>
      </c>
      <c r="M4315">
        <f>SUMPRODUCT(Calc!$K$3:$K$22*(Calc!$G$3:$G$22&gt;B4315)*(Calc!$G$3:$G$22-B4315)*Calc!$G$3:$G$22)</f>
        <v/>
      </c>
      <c r="N4315">
        <f>SUMPRODUCT(Calc!$K$3:$K$22*(Calc!$G$3:$G$22&gt;A4315)*(Calc!$G$3:$G$22-A4315)*Calc!$I$3:$I$22)</f>
        <v/>
      </c>
      <c r="O4315">
        <f>SUMPRODUCT(Calc!$K$3:$K$22*(Calc!$G$3:$G$22&gt;B4315)*(Calc!$G$3:$G$22-B4315)*Calc!$I$3:$I$22)</f>
        <v/>
      </c>
      <c r="P4315">
        <f>I4315-G4315^2/k_n</f>
        <v/>
      </c>
      <c r="Q4315">
        <f>J4315-H4315^2/k_n</f>
        <v/>
      </c>
      <c r="R4315">
        <f>K4315-G4315*H4315/k_n</f>
        <v/>
      </c>
      <c r="S4315">
        <f>L4315-LTP3!$D$3*G4315/k_n</f>
        <v/>
      </c>
      <c r="T4315">
        <f>M4315-LTP3!$D$3*H4315/k_n</f>
        <v/>
      </c>
      <c r="U4315">
        <f>N4315-G4315*LTP3!$D$4/k_n</f>
        <v/>
      </c>
      <c r="V4315">
        <f>O4315-H4315*LTP3!$D$4/k_n</f>
        <v/>
      </c>
      <c r="W4315">
        <f>((LTP3!$D$5)*((P4315)*(Q4315)-(R4315)*(R4315))-(S4315)*((S4315)*(Q4315)-(R4315)*(T4315))+(T4315)*((S4315)*(R4315)-(P4315)*(T4315)))</f>
        <v/>
      </c>
      <c r="X4315">
        <f>IF(ABS(W4315)&gt;1E-12,((LTP3!$D$6)*((P4315)*(Q4315)-(R4315)*(R4315))-(S4315)*((U4315)*(Q4315)-(R4315)*(V4315))+(T4315)*((U4315)*(R4315)-(P4315)*(V4315)))/W4315,0)</f>
        <v/>
      </c>
      <c r="Y4315">
        <f>IF(ABS(W4315)&gt;1E-12,((LTP3!$D$5)*((U4315)*(Q4315)-(R4315)*(V4315))-(LTP3!$D$6)*((S4315)*(Q4315)-(R4315)*(T4315))+(T4315)*((S4315)*(V4315)-(U4315)*(T4315)))/W4315,0)</f>
        <v/>
      </c>
      <c r="Z4315">
        <f>IF(ABS(W4315)&gt;1E-12,((LTP3!$D$5)*((P4315)*(V4315)-(U4315)*(R4315))-(S4315)*((S4315)*(V4315)-(U4315)*(T4315))+(LTP3!$D$6)*((S4315)*(R4315)-(P4315)*(T4315)))/W4315,0)</f>
        <v/>
      </c>
      <c r="AA4315">
        <f>LTP3!$D$7-X4315*LTP3!$D$6-Y4315*U4315-Z4315*V4315</f>
        <v/>
      </c>
      <c r="AB4315">
        <f>IF(AND(F4315,ABS(W4315)&gt;1E-12,Y4315&gt;0,Z4315&gt;0),AA4315,1E+300)</f>
        <v/>
      </c>
    </row>
    <row r="4316">
      <c r="A4316">
        <f>$I$4-$B$5/10+$B$5*6/100</f>
        <v/>
      </c>
      <c r="B4316">
        <f>$J$4-$B$5/10+$B$5*10/100</f>
        <v/>
      </c>
      <c r="C4316">
        <f>SUMPRODUCT(Calc!$K$3:$K$22*(Calc!$G$3:$G$22&lt;=A4316))</f>
        <v/>
      </c>
      <c r="D4316">
        <f>SUMPRODUCT(Calc!$K$3:$K$22*(Calc!$G$3:$G$22&gt;A4316)*(Calc!$G$3:$G$22&lt;B4316))</f>
        <v/>
      </c>
      <c r="E4316">
        <f>SUMPRODUCT(Calc!$K$3:$K$22*(Calc!$G$3:$G$22&gt;=B4316))</f>
        <v/>
      </c>
      <c r="F4316">
        <f>AND(k_n&gt;=5,B4316&gt;A4316+1E-9,C4316&gt;=2,D4316&gt;=1,E4316&gt;=2)</f>
        <v/>
      </c>
      <c r="G4316">
        <f>SUMPRODUCT(Calc!$K$3:$K$22*(Calc!$G$3:$G$22&gt;A4316)*(Calc!$G$3:$G$22-A4316))</f>
        <v/>
      </c>
      <c r="H4316">
        <f>SUMPRODUCT(Calc!$K$3:$K$22*(Calc!$G$3:$G$22&gt;B4316)*(Calc!$G$3:$G$22-B4316))</f>
        <v/>
      </c>
      <c r="I4316">
        <f>SUMPRODUCT(Calc!$K$3:$K$22*(Calc!$G$3:$G$22&gt;A4316)*(Calc!$G$3:$G$22-A4316)^2)</f>
        <v/>
      </c>
      <c r="J4316">
        <f>SUMPRODUCT(Calc!$K$3:$K$22*(Calc!$G$3:$G$22&gt;B4316)*(Calc!$G$3:$G$22-B4316)^2)</f>
        <v/>
      </c>
      <c r="K4316">
        <f>SUMPRODUCT(Calc!$K$3:$K$22*(Calc!$G$3:$G$22&gt;A4316)*(Calc!$G$3:$G$22-A4316)*(Calc!$G$3:$G$22&gt;B4316)*(Calc!$G$3:$G$22-B4316))</f>
        <v/>
      </c>
      <c r="L4316">
        <f>SUMPRODUCT(Calc!$K$3:$K$22*(Calc!$G$3:$G$22&gt;A4316)*(Calc!$G$3:$G$22-A4316)*Calc!$G$3:$G$22)</f>
        <v/>
      </c>
      <c r="M4316">
        <f>SUMPRODUCT(Calc!$K$3:$K$22*(Calc!$G$3:$G$22&gt;B4316)*(Calc!$G$3:$G$22-B4316)*Calc!$G$3:$G$22)</f>
        <v/>
      </c>
      <c r="N4316">
        <f>SUMPRODUCT(Calc!$K$3:$K$22*(Calc!$G$3:$G$22&gt;A4316)*(Calc!$G$3:$G$22-A4316)*Calc!$I$3:$I$22)</f>
        <v/>
      </c>
      <c r="O4316">
        <f>SUMPRODUCT(Calc!$K$3:$K$22*(Calc!$G$3:$G$22&gt;B4316)*(Calc!$G$3:$G$22-B4316)*Calc!$I$3:$I$22)</f>
        <v/>
      </c>
      <c r="P4316">
        <f>I4316-G4316^2/k_n</f>
        <v/>
      </c>
      <c r="Q4316">
        <f>J4316-H4316^2/k_n</f>
        <v/>
      </c>
      <c r="R4316">
        <f>K4316-G4316*H4316/k_n</f>
        <v/>
      </c>
      <c r="S4316">
        <f>L4316-LTP3!$D$3*G4316/k_n</f>
        <v/>
      </c>
      <c r="T4316">
        <f>M4316-LTP3!$D$3*H4316/k_n</f>
        <v/>
      </c>
      <c r="U4316">
        <f>N4316-G4316*LTP3!$D$4/k_n</f>
        <v/>
      </c>
      <c r="V4316">
        <f>O4316-H4316*LTP3!$D$4/k_n</f>
        <v/>
      </c>
      <c r="W4316">
        <f>((LTP3!$D$5)*((P4316)*(Q4316)-(R4316)*(R4316))-(S4316)*((S4316)*(Q4316)-(R4316)*(T4316))+(T4316)*((S4316)*(R4316)-(P4316)*(T4316)))</f>
        <v/>
      </c>
      <c r="X4316">
        <f>IF(ABS(W4316)&gt;1E-12,((LTP3!$D$6)*((P4316)*(Q4316)-(R4316)*(R4316))-(S4316)*((U4316)*(Q4316)-(R4316)*(V4316))+(T4316)*((U4316)*(R4316)-(P4316)*(V4316)))/W4316,0)</f>
        <v/>
      </c>
      <c r="Y4316">
        <f>IF(ABS(W4316)&gt;1E-12,((LTP3!$D$5)*((U4316)*(Q4316)-(R4316)*(V4316))-(LTP3!$D$6)*((S4316)*(Q4316)-(R4316)*(T4316))+(T4316)*((S4316)*(V4316)-(U4316)*(T4316)))/W4316,0)</f>
        <v/>
      </c>
      <c r="Z4316">
        <f>IF(ABS(W4316)&gt;1E-12,((LTP3!$D$5)*((P4316)*(V4316)-(U4316)*(R4316))-(S4316)*((S4316)*(V4316)-(U4316)*(T4316))+(LTP3!$D$6)*((S4316)*(R4316)-(P4316)*(T4316)))/W4316,0)</f>
        <v/>
      </c>
      <c r="AA4316">
        <f>LTP3!$D$7-X4316*LTP3!$D$6-Y4316*U4316-Z4316*V4316</f>
        <v/>
      </c>
      <c r="AB4316">
        <f>IF(AND(F4316,ABS(W4316)&gt;1E-12,Y4316&gt;0,Z4316&gt;0),AA4316,1E+300)</f>
        <v/>
      </c>
    </row>
    <row r="4317">
      <c r="A4317">
        <f>$I$4-$B$5/10+$B$5*6/100</f>
        <v/>
      </c>
      <c r="B4317">
        <f>$J$4-$B$5/10+$B$5*11/100</f>
        <v/>
      </c>
      <c r="C4317">
        <f>SUMPRODUCT(Calc!$K$3:$K$22*(Calc!$G$3:$G$22&lt;=A4317))</f>
        <v/>
      </c>
      <c r="D4317">
        <f>SUMPRODUCT(Calc!$K$3:$K$22*(Calc!$G$3:$G$22&gt;A4317)*(Calc!$G$3:$G$22&lt;B4317))</f>
        <v/>
      </c>
      <c r="E4317">
        <f>SUMPRODUCT(Calc!$K$3:$K$22*(Calc!$G$3:$G$22&gt;=B4317))</f>
        <v/>
      </c>
      <c r="F4317">
        <f>AND(k_n&gt;=5,B4317&gt;A4317+1E-9,C4317&gt;=2,D4317&gt;=1,E4317&gt;=2)</f>
        <v/>
      </c>
      <c r="G4317">
        <f>SUMPRODUCT(Calc!$K$3:$K$22*(Calc!$G$3:$G$22&gt;A4317)*(Calc!$G$3:$G$22-A4317))</f>
        <v/>
      </c>
      <c r="H4317">
        <f>SUMPRODUCT(Calc!$K$3:$K$22*(Calc!$G$3:$G$22&gt;B4317)*(Calc!$G$3:$G$22-B4317))</f>
        <v/>
      </c>
      <c r="I4317">
        <f>SUMPRODUCT(Calc!$K$3:$K$22*(Calc!$G$3:$G$22&gt;A4317)*(Calc!$G$3:$G$22-A4317)^2)</f>
        <v/>
      </c>
      <c r="J4317">
        <f>SUMPRODUCT(Calc!$K$3:$K$22*(Calc!$G$3:$G$22&gt;B4317)*(Calc!$G$3:$G$22-B4317)^2)</f>
        <v/>
      </c>
      <c r="K4317">
        <f>SUMPRODUCT(Calc!$K$3:$K$22*(Calc!$G$3:$G$22&gt;A4317)*(Calc!$G$3:$G$22-A4317)*(Calc!$G$3:$G$22&gt;B4317)*(Calc!$G$3:$G$22-B4317))</f>
        <v/>
      </c>
      <c r="L4317">
        <f>SUMPRODUCT(Calc!$K$3:$K$22*(Calc!$G$3:$G$22&gt;A4317)*(Calc!$G$3:$G$22-A4317)*Calc!$G$3:$G$22)</f>
        <v/>
      </c>
      <c r="M4317">
        <f>SUMPRODUCT(Calc!$K$3:$K$22*(Calc!$G$3:$G$22&gt;B4317)*(Calc!$G$3:$G$22-B4317)*Calc!$G$3:$G$22)</f>
        <v/>
      </c>
      <c r="N4317">
        <f>SUMPRODUCT(Calc!$K$3:$K$22*(Calc!$G$3:$G$22&gt;A4317)*(Calc!$G$3:$G$22-A4317)*Calc!$I$3:$I$22)</f>
        <v/>
      </c>
      <c r="O4317">
        <f>SUMPRODUCT(Calc!$K$3:$K$22*(Calc!$G$3:$G$22&gt;B4317)*(Calc!$G$3:$G$22-B4317)*Calc!$I$3:$I$22)</f>
        <v/>
      </c>
      <c r="P4317">
        <f>I4317-G4317^2/k_n</f>
        <v/>
      </c>
      <c r="Q4317">
        <f>J4317-H4317^2/k_n</f>
        <v/>
      </c>
      <c r="R4317">
        <f>K4317-G4317*H4317/k_n</f>
        <v/>
      </c>
      <c r="S4317">
        <f>L4317-LTP3!$D$3*G4317/k_n</f>
        <v/>
      </c>
      <c r="T4317">
        <f>M4317-LTP3!$D$3*H4317/k_n</f>
        <v/>
      </c>
      <c r="U4317">
        <f>N4317-G4317*LTP3!$D$4/k_n</f>
        <v/>
      </c>
      <c r="V4317">
        <f>O4317-H4317*LTP3!$D$4/k_n</f>
        <v/>
      </c>
      <c r="W4317">
        <f>((LTP3!$D$5)*((P4317)*(Q4317)-(R4317)*(R4317))-(S4317)*((S4317)*(Q4317)-(R4317)*(T4317))+(T4317)*((S4317)*(R4317)-(P4317)*(T4317)))</f>
        <v/>
      </c>
      <c r="X4317">
        <f>IF(ABS(W4317)&gt;1E-12,((LTP3!$D$6)*((P4317)*(Q4317)-(R4317)*(R4317))-(S4317)*((U4317)*(Q4317)-(R4317)*(V4317))+(T4317)*((U4317)*(R4317)-(P4317)*(V4317)))/W4317,0)</f>
        <v/>
      </c>
      <c r="Y4317">
        <f>IF(ABS(W4317)&gt;1E-12,((LTP3!$D$5)*((U4317)*(Q4317)-(R4317)*(V4317))-(LTP3!$D$6)*((S4317)*(Q4317)-(R4317)*(T4317))+(T4317)*((S4317)*(V4317)-(U4317)*(T4317)))/W4317,0)</f>
        <v/>
      </c>
      <c r="Z4317">
        <f>IF(ABS(W4317)&gt;1E-12,((LTP3!$D$5)*((P4317)*(V4317)-(U4317)*(R4317))-(S4317)*((S4317)*(V4317)-(U4317)*(T4317))+(LTP3!$D$6)*((S4317)*(R4317)-(P4317)*(T4317)))/W4317,0)</f>
        <v/>
      </c>
      <c r="AA4317">
        <f>LTP3!$D$7-X4317*LTP3!$D$6-Y4317*U4317-Z4317*V4317</f>
        <v/>
      </c>
      <c r="AB4317">
        <f>IF(AND(F4317,ABS(W4317)&gt;1E-12,Y4317&gt;0,Z4317&gt;0),AA4317,1E+300)</f>
        <v/>
      </c>
    </row>
    <row r="4318">
      <c r="A4318">
        <f>$I$4-$B$5/10+$B$5*6/100</f>
        <v/>
      </c>
      <c r="B4318">
        <f>$J$4-$B$5/10+$B$5*12/100</f>
        <v/>
      </c>
      <c r="C4318">
        <f>SUMPRODUCT(Calc!$K$3:$K$22*(Calc!$G$3:$G$22&lt;=A4318))</f>
        <v/>
      </c>
      <c r="D4318">
        <f>SUMPRODUCT(Calc!$K$3:$K$22*(Calc!$G$3:$G$22&gt;A4318)*(Calc!$G$3:$G$22&lt;B4318))</f>
        <v/>
      </c>
      <c r="E4318">
        <f>SUMPRODUCT(Calc!$K$3:$K$22*(Calc!$G$3:$G$22&gt;=B4318))</f>
        <v/>
      </c>
      <c r="F4318">
        <f>AND(k_n&gt;=5,B4318&gt;A4318+1E-9,C4318&gt;=2,D4318&gt;=1,E4318&gt;=2)</f>
        <v/>
      </c>
      <c r="G4318">
        <f>SUMPRODUCT(Calc!$K$3:$K$22*(Calc!$G$3:$G$22&gt;A4318)*(Calc!$G$3:$G$22-A4318))</f>
        <v/>
      </c>
      <c r="H4318">
        <f>SUMPRODUCT(Calc!$K$3:$K$22*(Calc!$G$3:$G$22&gt;B4318)*(Calc!$G$3:$G$22-B4318))</f>
        <v/>
      </c>
      <c r="I4318">
        <f>SUMPRODUCT(Calc!$K$3:$K$22*(Calc!$G$3:$G$22&gt;A4318)*(Calc!$G$3:$G$22-A4318)^2)</f>
        <v/>
      </c>
      <c r="J4318">
        <f>SUMPRODUCT(Calc!$K$3:$K$22*(Calc!$G$3:$G$22&gt;B4318)*(Calc!$G$3:$G$22-B4318)^2)</f>
        <v/>
      </c>
      <c r="K4318">
        <f>SUMPRODUCT(Calc!$K$3:$K$22*(Calc!$G$3:$G$22&gt;A4318)*(Calc!$G$3:$G$22-A4318)*(Calc!$G$3:$G$22&gt;B4318)*(Calc!$G$3:$G$22-B4318))</f>
        <v/>
      </c>
      <c r="L4318">
        <f>SUMPRODUCT(Calc!$K$3:$K$22*(Calc!$G$3:$G$22&gt;A4318)*(Calc!$G$3:$G$22-A4318)*Calc!$G$3:$G$22)</f>
        <v/>
      </c>
      <c r="M4318">
        <f>SUMPRODUCT(Calc!$K$3:$K$22*(Calc!$G$3:$G$22&gt;B4318)*(Calc!$G$3:$G$22-B4318)*Calc!$G$3:$G$22)</f>
        <v/>
      </c>
      <c r="N4318">
        <f>SUMPRODUCT(Calc!$K$3:$K$22*(Calc!$G$3:$G$22&gt;A4318)*(Calc!$G$3:$G$22-A4318)*Calc!$I$3:$I$22)</f>
        <v/>
      </c>
      <c r="O4318">
        <f>SUMPRODUCT(Calc!$K$3:$K$22*(Calc!$G$3:$G$22&gt;B4318)*(Calc!$G$3:$G$22-B4318)*Calc!$I$3:$I$22)</f>
        <v/>
      </c>
      <c r="P4318">
        <f>I4318-G4318^2/k_n</f>
        <v/>
      </c>
      <c r="Q4318">
        <f>J4318-H4318^2/k_n</f>
        <v/>
      </c>
      <c r="R4318">
        <f>K4318-G4318*H4318/k_n</f>
        <v/>
      </c>
      <c r="S4318">
        <f>L4318-LTP3!$D$3*G4318/k_n</f>
        <v/>
      </c>
      <c r="T4318">
        <f>M4318-LTP3!$D$3*H4318/k_n</f>
        <v/>
      </c>
      <c r="U4318">
        <f>N4318-G4318*LTP3!$D$4/k_n</f>
        <v/>
      </c>
      <c r="V4318">
        <f>O4318-H4318*LTP3!$D$4/k_n</f>
        <v/>
      </c>
      <c r="W4318">
        <f>((LTP3!$D$5)*((P4318)*(Q4318)-(R4318)*(R4318))-(S4318)*((S4318)*(Q4318)-(R4318)*(T4318))+(T4318)*((S4318)*(R4318)-(P4318)*(T4318)))</f>
        <v/>
      </c>
      <c r="X4318">
        <f>IF(ABS(W4318)&gt;1E-12,((LTP3!$D$6)*((P4318)*(Q4318)-(R4318)*(R4318))-(S4318)*((U4318)*(Q4318)-(R4318)*(V4318))+(T4318)*((U4318)*(R4318)-(P4318)*(V4318)))/W4318,0)</f>
        <v/>
      </c>
      <c r="Y4318">
        <f>IF(ABS(W4318)&gt;1E-12,((LTP3!$D$5)*((U4318)*(Q4318)-(R4318)*(V4318))-(LTP3!$D$6)*((S4318)*(Q4318)-(R4318)*(T4318))+(T4318)*((S4318)*(V4318)-(U4318)*(T4318)))/W4318,0)</f>
        <v/>
      </c>
      <c r="Z4318">
        <f>IF(ABS(W4318)&gt;1E-12,((LTP3!$D$5)*((P4318)*(V4318)-(U4318)*(R4318))-(S4318)*((S4318)*(V4318)-(U4318)*(T4318))+(LTP3!$D$6)*((S4318)*(R4318)-(P4318)*(T4318)))/W4318,0)</f>
        <v/>
      </c>
      <c r="AA4318">
        <f>LTP3!$D$7-X4318*LTP3!$D$6-Y4318*U4318-Z4318*V4318</f>
        <v/>
      </c>
      <c r="AB4318">
        <f>IF(AND(F4318,ABS(W4318)&gt;1E-12,Y4318&gt;0,Z4318&gt;0),AA4318,1E+300)</f>
        <v/>
      </c>
    </row>
    <row r="4319">
      <c r="A4319">
        <f>$I$4-$B$5/10+$B$5*6/100</f>
        <v/>
      </c>
      <c r="B4319">
        <f>$J$4-$B$5/10+$B$5*13/100</f>
        <v/>
      </c>
      <c r="C4319">
        <f>SUMPRODUCT(Calc!$K$3:$K$22*(Calc!$G$3:$G$22&lt;=A4319))</f>
        <v/>
      </c>
      <c r="D4319">
        <f>SUMPRODUCT(Calc!$K$3:$K$22*(Calc!$G$3:$G$22&gt;A4319)*(Calc!$G$3:$G$22&lt;B4319))</f>
        <v/>
      </c>
      <c r="E4319">
        <f>SUMPRODUCT(Calc!$K$3:$K$22*(Calc!$G$3:$G$22&gt;=B4319))</f>
        <v/>
      </c>
      <c r="F4319">
        <f>AND(k_n&gt;=5,B4319&gt;A4319+1E-9,C4319&gt;=2,D4319&gt;=1,E4319&gt;=2)</f>
        <v/>
      </c>
      <c r="G4319">
        <f>SUMPRODUCT(Calc!$K$3:$K$22*(Calc!$G$3:$G$22&gt;A4319)*(Calc!$G$3:$G$22-A4319))</f>
        <v/>
      </c>
      <c r="H4319">
        <f>SUMPRODUCT(Calc!$K$3:$K$22*(Calc!$G$3:$G$22&gt;B4319)*(Calc!$G$3:$G$22-B4319))</f>
        <v/>
      </c>
      <c r="I4319">
        <f>SUMPRODUCT(Calc!$K$3:$K$22*(Calc!$G$3:$G$22&gt;A4319)*(Calc!$G$3:$G$22-A4319)^2)</f>
        <v/>
      </c>
      <c r="J4319">
        <f>SUMPRODUCT(Calc!$K$3:$K$22*(Calc!$G$3:$G$22&gt;B4319)*(Calc!$G$3:$G$22-B4319)^2)</f>
        <v/>
      </c>
      <c r="K4319">
        <f>SUMPRODUCT(Calc!$K$3:$K$22*(Calc!$G$3:$G$22&gt;A4319)*(Calc!$G$3:$G$22-A4319)*(Calc!$G$3:$G$22&gt;B4319)*(Calc!$G$3:$G$22-B4319))</f>
        <v/>
      </c>
      <c r="L4319">
        <f>SUMPRODUCT(Calc!$K$3:$K$22*(Calc!$G$3:$G$22&gt;A4319)*(Calc!$G$3:$G$22-A4319)*Calc!$G$3:$G$22)</f>
        <v/>
      </c>
      <c r="M4319">
        <f>SUMPRODUCT(Calc!$K$3:$K$22*(Calc!$G$3:$G$22&gt;B4319)*(Calc!$G$3:$G$22-B4319)*Calc!$G$3:$G$22)</f>
        <v/>
      </c>
      <c r="N4319">
        <f>SUMPRODUCT(Calc!$K$3:$K$22*(Calc!$G$3:$G$22&gt;A4319)*(Calc!$G$3:$G$22-A4319)*Calc!$I$3:$I$22)</f>
        <v/>
      </c>
      <c r="O4319">
        <f>SUMPRODUCT(Calc!$K$3:$K$22*(Calc!$G$3:$G$22&gt;B4319)*(Calc!$G$3:$G$22-B4319)*Calc!$I$3:$I$22)</f>
        <v/>
      </c>
      <c r="P4319">
        <f>I4319-G4319^2/k_n</f>
        <v/>
      </c>
      <c r="Q4319">
        <f>J4319-H4319^2/k_n</f>
        <v/>
      </c>
      <c r="R4319">
        <f>K4319-G4319*H4319/k_n</f>
        <v/>
      </c>
      <c r="S4319">
        <f>L4319-LTP3!$D$3*G4319/k_n</f>
        <v/>
      </c>
      <c r="T4319">
        <f>M4319-LTP3!$D$3*H4319/k_n</f>
        <v/>
      </c>
      <c r="U4319">
        <f>N4319-G4319*LTP3!$D$4/k_n</f>
        <v/>
      </c>
      <c r="V4319">
        <f>O4319-H4319*LTP3!$D$4/k_n</f>
        <v/>
      </c>
      <c r="W4319">
        <f>((LTP3!$D$5)*((P4319)*(Q4319)-(R4319)*(R4319))-(S4319)*((S4319)*(Q4319)-(R4319)*(T4319))+(T4319)*((S4319)*(R4319)-(P4319)*(T4319)))</f>
        <v/>
      </c>
      <c r="X4319">
        <f>IF(ABS(W4319)&gt;1E-12,((LTP3!$D$6)*((P4319)*(Q4319)-(R4319)*(R4319))-(S4319)*((U4319)*(Q4319)-(R4319)*(V4319))+(T4319)*((U4319)*(R4319)-(P4319)*(V4319)))/W4319,0)</f>
        <v/>
      </c>
      <c r="Y4319">
        <f>IF(ABS(W4319)&gt;1E-12,((LTP3!$D$5)*((U4319)*(Q4319)-(R4319)*(V4319))-(LTP3!$D$6)*((S4319)*(Q4319)-(R4319)*(T4319))+(T4319)*((S4319)*(V4319)-(U4319)*(T4319)))/W4319,0)</f>
        <v/>
      </c>
      <c r="Z4319">
        <f>IF(ABS(W4319)&gt;1E-12,((LTP3!$D$5)*((P4319)*(V4319)-(U4319)*(R4319))-(S4319)*((S4319)*(V4319)-(U4319)*(T4319))+(LTP3!$D$6)*((S4319)*(R4319)-(P4319)*(T4319)))/W4319,0)</f>
        <v/>
      </c>
      <c r="AA4319">
        <f>LTP3!$D$7-X4319*LTP3!$D$6-Y4319*U4319-Z4319*V4319</f>
        <v/>
      </c>
      <c r="AB4319">
        <f>IF(AND(F4319,ABS(W4319)&gt;1E-12,Y4319&gt;0,Z4319&gt;0),AA4319,1E+300)</f>
        <v/>
      </c>
    </row>
    <row r="4320">
      <c r="A4320">
        <f>$I$4-$B$5/10+$B$5*6/100</f>
        <v/>
      </c>
      <c r="B4320">
        <f>$J$4-$B$5/10+$B$5*14/100</f>
        <v/>
      </c>
      <c r="C4320">
        <f>SUMPRODUCT(Calc!$K$3:$K$22*(Calc!$G$3:$G$22&lt;=A4320))</f>
        <v/>
      </c>
      <c r="D4320">
        <f>SUMPRODUCT(Calc!$K$3:$K$22*(Calc!$G$3:$G$22&gt;A4320)*(Calc!$G$3:$G$22&lt;B4320))</f>
        <v/>
      </c>
      <c r="E4320">
        <f>SUMPRODUCT(Calc!$K$3:$K$22*(Calc!$G$3:$G$22&gt;=B4320))</f>
        <v/>
      </c>
      <c r="F4320">
        <f>AND(k_n&gt;=5,B4320&gt;A4320+1E-9,C4320&gt;=2,D4320&gt;=1,E4320&gt;=2)</f>
        <v/>
      </c>
      <c r="G4320">
        <f>SUMPRODUCT(Calc!$K$3:$K$22*(Calc!$G$3:$G$22&gt;A4320)*(Calc!$G$3:$G$22-A4320))</f>
        <v/>
      </c>
      <c r="H4320">
        <f>SUMPRODUCT(Calc!$K$3:$K$22*(Calc!$G$3:$G$22&gt;B4320)*(Calc!$G$3:$G$22-B4320))</f>
        <v/>
      </c>
      <c r="I4320">
        <f>SUMPRODUCT(Calc!$K$3:$K$22*(Calc!$G$3:$G$22&gt;A4320)*(Calc!$G$3:$G$22-A4320)^2)</f>
        <v/>
      </c>
      <c r="J4320">
        <f>SUMPRODUCT(Calc!$K$3:$K$22*(Calc!$G$3:$G$22&gt;B4320)*(Calc!$G$3:$G$22-B4320)^2)</f>
        <v/>
      </c>
      <c r="K4320">
        <f>SUMPRODUCT(Calc!$K$3:$K$22*(Calc!$G$3:$G$22&gt;A4320)*(Calc!$G$3:$G$22-A4320)*(Calc!$G$3:$G$22&gt;B4320)*(Calc!$G$3:$G$22-B4320))</f>
        <v/>
      </c>
      <c r="L4320">
        <f>SUMPRODUCT(Calc!$K$3:$K$22*(Calc!$G$3:$G$22&gt;A4320)*(Calc!$G$3:$G$22-A4320)*Calc!$G$3:$G$22)</f>
        <v/>
      </c>
      <c r="M4320">
        <f>SUMPRODUCT(Calc!$K$3:$K$22*(Calc!$G$3:$G$22&gt;B4320)*(Calc!$G$3:$G$22-B4320)*Calc!$G$3:$G$22)</f>
        <v/>
      </c>
      <c r="N4320">
        <f>SUMPRODUCT(Calc!$K$3:$K$22*(Calc!$G$3:$G$22&gt;A4320)*(Calc!$G$3:$G$22-A4320)*Calc!$I$3:$I$22)</f>
        <v/>
      </c>
      <c r="O4320">
        <f>SUMPRODUCT(Calc!$K$3:$K$22*(Calc!$G$3:$G$22&gt;B4320)*(Calc!$G$3:$G$22-B4320)*Calc!$I$3:$I$22)</f>
        <v/>
      </c>
      <c r="P4320">
        <f>I4320-G4320^2/k_n</f>
        <v/>
      </c>
      <c r="Q4320">
        <f>J4320-H4320^2/k_n</f>
        <v/>
      </c>
      <c r="R4320">
        <f>K4320-G4320*H4320/k_n</f>
        <v/>
      </c>
      <c r="S4320">
        <f>L4320-LTP3!$D$3*G4320/k_n</f>
        <v/>
      </c>
      <c r="T4320">
        <f>M4320-LTP3!$D$3*H4320/k_n</f>
        <v/>
      </c>
      <c r="U4320">
        <f>N4320-G4320*LTP3!$D$4/k_n</f>
        <v/>
      </c>
      <c r="V4320">
        <f>O4320-H4320*LTP3!$D$4/k_n</f>
        <v/>
      </c>
      <c r="W4320">
        <f>((LTP3!$D$5)*((P4320)*(Q4320)-(R4320)*(R4320))-(S4320)*((S4320)*(Q4320)-(R4320)*(T4320))+(T4320)*((S4320)*(R4320)-(P4320)*(T4320)))</f>
        <v/>
      </c>
      <c r="X4320">
        <f>IF(ABS(W4320)&gt;1E-12,((LTP3!$D$6)*((P4320)*(Q4320)-(R4320)*(R4320))-(S4320)*((U4320)*(Q4320)-(R4320)*(V4320))+(T4320)*((U4320)*(R4320)-(P4320)*(V4320)))/W4320,0)</f>
        <v/>
      </c>
      <c r="Y4320">
        <f>IF(ABS(W4320)&gt;1E-12,((LTP3!$D$5)*((U4320)*(Q4320)-(R4320)*(V4320))-(LTP3!$D$6)*((S4320)*(Q4320)-(R4320)*(T4320))+(T4320)*((S4320)*(V4320)-(U4320)*(T4320)))/W4320,0)</f>
        <v/>
      </c>
      <c r="Z4320">
        <f>IF(ABS(W4320)&gt;1E-12,((LTP3!$D$5)*((P4320)*(V4320)-(U4320)*(R4320))-(S4320)*((S4320)*(V4320)-(U4320)*(T4320))+(LTP3!$D$6)*((S4320)*(R4320)-(P4320)*(T4320)))/W4320,0)</f>
        <v/>
      </c>
      <c r="AA4320">
        <f>LTP3!$D$7-X4320*LTP3!$D$6-Y4320*U4320-Z4320*V4320</f>
        <v/>
      </c>
      <c r="AB4320">
        <f>IF(AND(F4320,ABS(W4320)&gt;1E-12,Y4320&gt;0,Z4320&gt;0),AA4320,1E+300)</f>
        <v/>
      </c>
    </row>
    <row r="4321">
      <c r="A4321">
        <f>$I$4-$B$5/10+$B$5*6/100</f>
        <v/>
      </c>
      <c r="B4321">
        <f>$J$4-$B$5/10+$B$5*15/100</f>
        <v/>
      </c>
      <c r="C4321">
        <f>SUMPRODUCT(Calc!$K$3:$K$22*(Calc!$G$3:$G$22&lt;=A4321))</f>
        <v/>
      </c>
      <c r="D4321">
        <f>SUMPRODUCT(Calc!$K$3:$K$22*(Calc!$G$3:$G$22&gt;A4321)*(Calc!$G$3:$G$22&lt;B4321))</f>
        <v/>
      </c>
      <c r="E4321">
        <f>SUMPRODUCT(Calc!$K$3:$K$22*(Calc!$G$3:$G$22&gt;=B4321))</f>
        <v/>
      </c>
      <c r="F4321">
        <f>AND(k_n&gt;=5,B4321&gt;A4321+1E-9,C4321&gt;=2,D4321&gt;=1,E4321&gt;=2)</f>
        <v/>
      </c>
      <c r="G4321">
        <f>SUMPRODUCT(Calc!$K$3:$K$22*(Calc!$G$3:$G$22&gt;A4321)*(Calc!$G$3:$G$22-A4321))</f>
        <v/>
      </c>
      <c r="H4321">
        <f>SUMPRODUCT(Calc!$K$3:$K$22*(Calc!$G$3:$G$22&gt;B4321)*(Calc!$G$3:$G$22-B4321))</f>
        <v/>
      </c>
      <c r="I4321">
        <f>SUMPRODUCT(Calc!$K$3:$K$22*(Calc!$G$3:$G$22&gt;A4321)*(Calc!$G$3:$G$22-A4321)^2)</f>
        <v/>
      </c>
      <c r="J4321">
        <f>SUMPRODUCT(Calc!$K$3:$K$22*(Calc!$G$3:$G$22&gt;B4321)*(Calc!$G$3:$G$22-B4321)^2)</f>
        <v/>
      </c>
      <c r="K4321">
        <f>SUMPRODUCT(Calc!$K$3:$K$22*(Calc!$G$3:$G$22&gt;A4321)*(Calc!$G$3:$G$22-A4321)*(Calc!$G$3:$G$22&gt;B4321)*(Calc!$G$3:$G$22-B4321))</f>
        <v/>
      </c>
      <c r="L4321">
        <f>SUMPRODUCT(Calc!$K$3:$K$22*(Calc!$G$3:$G$22&gt;A4321)*(Calc!$G$3:$G$22-A4321)*Calc!$G$3:$G$22)</f>
        <v/>
      </c>
      <c r="M4321">
        <f>SUMPRODUCT(Calc!$K$3:$K$22*(Calc!$G$3:$G$22&gt;B4321)*(Calc!$G$3:$G$22-B4321)*Calc!$G$3:$G$22)</f>
        <v/>
      </c>
      <c r="N4321">
        <f>SUMPRODUCT(Calc!$K$3:$K$22*(Calc!$G$3:$G$22&gt;A4321)*(Calc!$G$3:$G$22-A4321)*Calc!$I$3:$I$22)</f>
        <v/>
      </c>
      <c r="O4321">
        <f>SUMPRODUCT(Calc!$K$3:$K$22*(Calc!$G$3:$G$22&gt;B4321)*(Calc!$G$3:$G$22-B4321)*Calc!$I$3:$I$22)</f>
        <v/>
      </c>
      <c r="P4321">
        <f>I4321-G4321^2/k_n</f>
        <v/>
      </c>
      <c r="Q4321">
        <f>J4321-H4321^2/k_n</f>
        <v/>
      </c>
      <c r="R4321">
        <f>K4321-G4321*H4321/k_n</f>
        <v/>
      </c>
      <c r="S4321">
        <f>L4321-LTP3!$D$3*G4321/k_n</f>
        <v/>
      </c>
      <c r="T4321">
        <f>M4321-LTP3!$D$3*H4321/k_n</f>
        <v/>
      </c>
      <c r="U4321">
        <f>N4321-G4321*LTP3!$D$4/k_n</f>
        <v/>
      </c>
      <c r="V4321">
        <f>O4321-H4321*LTP3!$D$4/k_n</f>
        <v/>
      </c>
      <c r="W4321">
        <f>((LTP3!$D$5)*((P4321)*(Q4321)-(R4321)*(R4321))-(S4321)*((S4321)*(Q4321)-(R4321)*(T4321))+(T4321)*((S4321)*(R4321)-(P4321)*(T4321)))</f>
        <v/>
      </c>
      <c r="X4321">
        <f>IF(ABS(W4321)&gt;1E-12,((LTP3!$D$6)*((P4321)*(Q4321)-(R4321)*(R4321))-(S4321)*((U4321)*(Q4321)-(R4321)*(V4321))+(T4321)*((U4321)*(R4321)-(P4321)*(V4321)))/W4321,0)</f>
        <v/>
      </c>
      <c r="Y4321">
        <f>IF(ABS(W4321)&gt;1E-12,((LTP3!$D$5)*((U4321)*(Q4321)-(R4321)*(V4321))-(LTP3!$D$6)*((S4321)*(Q4321)-(R4321)*(T4321))+(T4321)*((S4321)*(V4321)-(U4321)*(T4321)))/W4321,0)</f>
        <v/>
      </c>
      <c r="Z4321">
        <f>IF(ABS(W4321)&gt;1E-12,((LTP3!$D$5)*((P4321)*(V4321)-(U4321)*(R4321))-(S4321)*((S4321)*(V4321)-(U4321)*(T4321))+(LTP3!$D$6)*((S4321)*(R4321)-(P4321)*(T4321)))/W4321,0)</f>
        <v/>
      </c>
      <c r="AA4321">
        <f>LTP3!$D$7-X4321*LTP3!$D$6-Y4321*U4321-Z4321*V4321</f>
        <v/>
      </c>
      <c r="AB4321">
        <f>IF(AND(F4321,ABS(W4321)&gt;1E-12,Y4321&gt;0,Z4321&gt;0),AA4321,1E+300)</f>
        <v/>
      </c>
    </row>
    <row r="4322">
      <c r="A4322">
        <f>$I$4-$B$5/10+$B$5*6/100</f>
        <v/>
      </c>
      <c r="B4322">
        <f>$J$4-$B$5/10+$B$5*16/100</f>
        <v/>
      </c>
      <c r="C4322">
        <f>SUMPRODUCT(Calc!$K$3:$K$22*(Calc!$G$3:$G$22&lt;=A4322))</f>
        <v/>
      </c>
      <c r="D4322">
        <f>SUMPRODUCT(Calc!$K$3:$K$22*(Calc!$G$3:$G$22&gt;A4322)*(Calc!$G$3:$G$22&lt;B4322))</f>
        <v/>
      </c>
      <c r="E4322">
        <f>SUMPRODUCT(Calc!$K$3:$K$22*(Calc!$G$3:$G$22&gt;=B4322))</f>
        <v/>
      </c>
      <c r="F4322">
        <f>AND(k_n&gt;=5,B4322&gt;A4322+1E-9,C4322&gt;=2,D4322&gt;=1,E4322&gt;=2)</f>
        <v/>
      </c>
      <c r="G4322">
        <f>SUMPRODUCT(Calc!$K$3:$K$22*(Calc!$G$3:$G$22&gt;A4322)*(Calc!$G$3:$G$22-A4322))</f>
        <v/>
      </c>
      <c r="H4322">
        <f>SUMPRODUCT(Calc!$K$3:$K$22*(Calc!$G$3:$G$22&gt;B4322)*(Calc!$G$3:$G$22-B4322))</f>
        <v/>
      </c>
      <c r="I4322">
        <f>SUMPRODUCT(Calc!$K$3:$K$22*(Calc!$G$3:$G$22&gt;A4322)*(Calc!$G$3:$G$22-A4322)^2)</f>
        <v/>
      </c>
      <c r="J4322">
        <f>SUMPRODUCT(Calc!$K$3:$K$22*(Calc!$G$3:$G$22&gt;B4322)*(Calc!$G$3:$G$22-B4322)^2)</f>
        <v/>
      </c>
      <c r="K4322">
        <f>SUMPRODUCT(Calc!$K$3:$K$22*(Calc!$G$3:$G$22&gt;A4322)*(Calc!$G$3:$G$22-A4322)*(Calc!$G$3:$G$22&gt;B4322)*(Calc!$G$3:$G$22-B4322))</f>
        <v/>
      </c>
      <c r="L4322">
        <f>SUMPRODUCT(Calc!$K$3:$K$22*(Calc!$G$3:$G$22&gt;A4322)*(Calc!$G$3:$G$22-A4322)*Calc!$G$3:$G$22)</f>
        <v/>
      </c>
      <c r="M4322">
        <f>SUMPRODUCT(Calc!$K$3:$K$22*(Calc!$G$3:$G$22&gt;B4322)*(Calc!$G$3:$G$22-B4322)*Calc!$G$3:$G$22)</f>
        <v/>
      </c>
      <c r="N4322">
        <f>SUMPRODUCT(Calc!$K$3:$K$22*(Calc!$G$3:$G$22&gt;A4322)*(Calc!$G$3:$G$22-A4322)*Calc!$I$3:$I$22)</f>
        <v/>
      </c>
      <c r="O4322">
        <f>SUMPRODUCT(Calc!$K$3:$K$22*(Calc!$G$3:$G$22&gt;B4322)*(Calc!$G$3:$G$22-B4322)*Calc!$I$3:$I$22)</f>
        <v/>
      </c>
      <c r="P4322">
        <f>I4322-G4322^2/k_n</f>
        <v/>
      </c>
      <c r="Q4322">
        <f>J4322-H4322^2/k_n</f>
        <v/>
      </c>
      <c r="R4322">
        <f>K4322-G4322*H4322/k_n</f>
        <v/>
      </c>
      <c r="S4322">
        <f>L4322-LTP3!$D$3*G4322/k_n</f>
        <v/>
      </c>
      <c r="T4322">
        <f>M4322-LTP3!$D$3*H4322/k_n</f>
        <v/>
      </c>
      <c r="U4322">
        <f>N4322-G4322*LTP3!$D$4/k_n</f>
        <v/>
      </c>
      <c r="V4322">
        <f>O4322-H4322*LTP3!$D$4/k_n</f>
        <v/>
      </c>
      <c r="W4322">
        <f>((LTP3!$D$5)*((P4322)*(Q4322)-(R4322)*(R4322))-(S4322)*((S4322)*(Q4322)-(R4322)*(T4322))+(T4322)*((S4322)*(R4322)-(P4322)*(T4322)))</f>
        <v/>
      </c>
      <c r="X4322">
        <f>IF(ABS(W4322)&gt;1E-12,((LTP3!$D$6)*((P4322)*(Q4322)-(R4322)*(R4322))-(S4322)*((U4322)*(Q4322)-(R4322)*(V4322))+(T4322)*((U4322)*(R4322)-(P4322)*(V4322)))/W4322,0)</f>
        <v/>
      </c>
      <c r="Y4322">
        <f>IF(ABS(W4322)&gt;1E-12,((LTP3!$D$5)*((U4322)*(Q4322)-(R4322)*(V4322))-(LTP3!$D$6)*((S4322)*(Q4322)-(R4322)*(T4322))+(T4322)*((S4322)*(V4322)-(U4322)*(T4322)))/W4322,0)</f>
        <v/>
      </c>
      <c r="Z4322">
        <f>IF(ABS(W4322)&gt;1E-12,((LTP3!$D$5)*((P4322)*(V4322)-(U4322)*(R4322))-(S4322)*((S4322)*(V4322)-(U4322)*(T4322))+(LTP3!$D$6)*((S4322)*(R4322)-(P4322)*(T4322)))/W4322,0)</f>
        <v/>
      </c>
      <c r="AA4322">
        <f>LTP3!$D$7-X4322*LTP3!$D$6-Y4322*U4322-Z4322*V4322</f>
        <v/>
      </c>
      <c r="AB4322">
        <f>IF(AND(F4322,ABS(W4322)&gt;1E-12,Y4322&gt;0,Z4322&gt;0),AA4322,1E+300)</f>
        <v/>
      </c>
    </row>
    <row r="4323">
      <c r="A4323">
        <f>$I$4-$B$5/10+$B$5*6/100</f>
        <v/>
      </c>
      <c r="B4323">
        <f>$J$4-$B$5/10+$B$5*17/100</f>
        <v/>
      </c>
      <c r="C4323">
        <f>SUMPRODUCT(Calc!$K$3:$K$22*(Calc!$G$3:$G$22&lt;=A4323))</f>
        <v/>
      </c>
      <c r="D4323">
        <f>SUMPRODUCT(Calc!$K$3:$K$22*(Calc!$G$3:$G$22&gt;A4323)*(Calc!$G$3:$G$22&lt;B4323))</f>
        <v/>
      </c>
      <c r="E4323">
        <f>SUMPRODUCT(Calc!$K$3:$K$22*(Calc!$G$3:$G$22&gt;=B4323))</f>
        <v/>
      </c>
      <c r="F4323">
        <f>AND(k_n&gt;=5,B4323&gt;A4323+1E-9,C4323&gt;=2,D4323&gt;=1,E4323&gt;=2)</f>
        <v/>
      </c>
      <c r="G4323">
        <f>SUMPRODUCT(Calc!$K$3:$K$22*(Calc!$G$3:$G$22&gt;A4323)*(Calc!$G$3:$G$22-A4323))</f>
        <v/>
      </c>
      <c r="H4323">
        <f>SUMPRODUCT(Calc!$K$3:$K$22*(Calc!$G$3:$G$22&gt;B4323)*(Calc!$G$3:$G$22-B4323))</f>
        <v/>
      </c>
      <c r="I4323">
        <f>SUMPRODUCT(Calc!$K$3:$K$22*(Calc!$G$3:$G$22&gt;A4323)*(Calc!$G$3:$G$22-A4323)^2)</f>
        <v/>
      </c>
      <c r="J4323">
        <f>SUMPRODUCT(Calc!$K$3:$K$22*(Calc!$G$3:$G$22&gt;B4323)*(Calc!$G$3:$G$22-B4323)^2)</f>
        <v/>
      </c>
      <c r="K4323">
        <f>SUMPRODUCT(Calc!$K$3:$K$22*(Calc!$G$3:$G$22&gt;A4323)*(Calc!$G$3:$G$22-A4323)*(Calc!$G$3:$G$22&gt;B4323)*(Calc!$G$3:$G$22-B4323))</f>
        <v/>
      </c>
      <c r="L4323">
        <f>SUMPRODUCT(Calc!$K$3:$K$22*(Calc!$G$3:$G$22&gt;A4323)*(Calc!$G$3:$G$22-A4323)*Calc!$G$3:$G$22)</f>
        <v/>
      </c>
      <c r="M4323">
        <f>SUMPRODUCT(Calc!$K$3:$K$22*(Calc!$G$3:$G$22&gt;B4323)*(Calc!$G$3:$G$22-B4323)*Calc!$G$3:$G$22)</f>
        <v/>
      </c>
      <c r="N4323">
        <f>SUMPRODUCT(Calc!$K$3:$K$22*(Calc!$G$3:$G$22&gt;A4323)*(Calc!$G$3:$G$22-A4323)*Calc!$I$3:$I$22)</f>
        <v/>
      </c>
      <c r="O4323">
        <f>SUMPRODUCT(Calc!$K$3:$K$22*(Calc!$G$3:$G$22&gt;B4323)*(Calc!$G$3:$G$22-B4323)*Calc!$I$3:$I$22)</f>
        <v/>
      </c>
      <c r="P4323">
        <f>I4323-G4323^2/k_n</f>
        <v/>
      </c>
      <c r="Q4323">
        <f>J4323-H4323^2/k_n</f>
        <v/>
      </c>
      <c r="R4323">
        <f>K4323-G4323*H4323/k_n</f>
        <v/>
      </c>
      <c r="S4323">
        <f>L4323-LTP3!$D$3*G4323/k_n</f>
        <v/>
      </c>
      <c r="T4323">
        <f>M4323-LTP3!$D$3*H4323/k_n</f>
        <v/>
      </c>
      <c r="U4323">
        <f>N4323-G4323*LTP3!$D$4/k_n</f>
        <v/>
      </c>
      <c r="V4323">
        <f>O4323-H4323*LTP3!$D$4/k_n</f>
        <v/>
      </c>
      <c r="W4323">
        <f>((LTP3!$D$5)*((P4323)*(Q4323)-(R4323)*(R4323))-(S4323)*((S4323)*(Q4323)-(R4323)*(T4323))+(T4323)*((S4323)*(R4323)-(P4323)*(T4323)))</f>
        <v/>
      </c>
      <c r="X4323">
        <f>IF(ABS(W4323)&gt;1E-12,((LTP3!$D$6)*((P4323)*(Q4323)-(R4323)*(R4323))-(S4323)*((U4323)*(Q4323)-(R4323)*(V4323))+(T4323)*((U4323)*(R4323)-(P4323)*(V4323)))/W4323,0)</f>
        <v/>
      </c>
      <c r="Y4323">
        <f>IF(ABS(W4323)&gt;1E-12,((LTP3!$D$5)*((U4323)*(Q4323)-(R4323)*(V4323))-(LTP3!$D$6)*((S4323)*(Q4323)-(R4323)*(T4323))+(T4323)*((S4323)*(V4323)-(U4323)*(T4323)))/W4323,0)</f>
        <v/>
      </c>
      <c r="Z4323">
        <f>IF(ABS(W4323)&gt;1E-12,((LTP3!$D$5)*((P4323)*(V4323)-(U4323)*(R4323))-(S4323)*((S4323)*(V4323)-(U4323)*(T4323))+(LTP3!$D$6)*((S4323)*(R4323)-(P4323)*(T4323)))/W4323,0)</f>
        <v/>
      </c>
      <c r="AA4323">
        <f>LTP3!$D$7-X4323*LTP3!$D$6-Y4323*U4323-Z4323*V4323</f>
        <v/>
      </c>
      <c r="AB4323">
        <f>IF(AND(F4323,ABS(W4323)&gt;1E-12,Y4323&gt;0,Z4323&gt;0),AA4323,1E+300)</f>
        <v/>
      </c>
    </row>
    <row r="4324">
      <c r="A4324">
        <f>$I$4-$B$5/10+$B$5*6/100</f>
        <v/>
      </c>
      <c r="B4324">
        <f>$J$4-$B$5/10+$B$5*18/100</f>
        <v/>
      </c>
      <c r="C4324">
        <f>SUMPRODUCT(Calc!$K$3:$K$22*(Calc!$G$3:$G$22&lt;=A4324))</f>
        <v/>
      </c>
      <c r="D4324">
        <f>SUMPRODUCT(Calc!$K$3:$K$22*(Calc!$G$3:$G$22&gt;A4324)*(Calc!$G$3:$G$22&lt;B4324))</f>
        <v/>
      </c>
      <c r="E4324">
        <f>SUMPRODUCT(Calc!$K$3:$K$22*(Calc!$G$3:$G$22&gt;=B4324))</f>
        <v/>
      </c>
      <c r="F4324">
        <f>AND(k_n&gt;=5,B4324&gt;A4324+1E-9,C4324&gt;=2,D4324&gt;=1,E4324&gt;=2)</f>
        <v/>
      </c>
      <c r="G4324">
        <f>SUMPRODUCT(Calc!$K$3:$K$22*(Calc!$G$3:$G$22&gt;A4324)*(Calc!$G$3:$G$22-A4324))</f>
        <v/>
      </c>
      <c r="H4324">
        <f>SUMPRODUCT(Calc!$K$3:$K$22*(Calc!$G$3:$G$22&gt;B4324)*(Calc!$G$3:$G$22-B4324))</f>
        <v/>
      </c>
      <c r="I4324">
        <f>SUMPRODUCT(Calc!$K$3:$K$22*(Calc!$G$3:$G$22&gt;A4324)*(Calc!$G$3:$G$22-A4324)^2)</f>
        <v/>
      </c>
      <c r="J4324">
        <f>SUMPRODUCT(Calc!$K$3:$K$22*(Calc!$G$3:$G$22&gt;B4324)*(Calc!$G$3:$G$22-B4324)^2)</f>
        <v/>
      </c>
      <c r="K4324">
        <f>SUMPRODUCT(Calc!$K$3:$K$22*(Calc!$G$3:$G$22&gt;A4324)*(Calc!$G$3:$G$22-A4324)*(Calc!$G$3:$G$22&gt;B4324)*(Calc!$G$3:$G$22-B4324))</f>
        <v/>
      </c>
      <c r="L4324">
        <f>SUMPRODUCT(Calc!$K$3:$K$22*(Calc!$G$3:$G$22&gt;A4324)*(Calc!$G$3:$G$22-A4324)*Calc!$G$3:$G$22)</f>
        <v/>
      </c>
      <c r="M4324">
        <f>SUMPRODUCT(Calc!$K$3:$K$22*(Calc!$G$3:$G$22&gt;B4324)*(Calc!$G$3:$G$22-B4324)*Calc!$G$3:$G$22)</f>
        <v/>
      </c>
      <c r="N4324">
        <f>SUMPRODUCT(Calc!$K$3:$K$22*(Calc!$G$3:$G$22&gt;A4324)*(Calc!$G$3:$G$22-A4324)*Calc!$I$3:$I$22)</f>
        <v/>
      </c>
      <c r="O4324">
        <f>SUMPRODUCT(Calc!$K$3:$K$22*(Calc!$G$3:$G$22&gt;B4324)*(Calc!$G$3:$G$22-B4324)*Calc!$I$3:$I$22)</f>
        <v/>
      </c>
      <c r="P4324">
        <f>I4324-G4324^2/k_n</f>
        <v/>
      </c>
      <c r="Q4324">
        <f>J4324-H4324^2/k_n</f>
        <v/>
      </c>
      <c r="R4324">
        <f>K4324-G4324*H4324/k_n</f>
        <v/>
      </c>
      <c r="S4324">
        <f>L4324-LTP3!$D$3*G4324/k_n</f>
        <v/>
      </c>
      <c r="T4324">
        <f>M4324-LTP3!$D$3*H4324/k_n</f>
        <v/>
      </c>
      <c r="U4324">
        <f>N4324-G4324*LTP3!$D$4/k_n</f>
        <v/>
      </c>
      <c r="V4324">
        <f>O4324-H4324*LTP3!$D$4/k_n</f>
        <v/>
      </c>
      <c r="W4324">
        <f>((LTP3!$D$5)*((P4324)*(Q4324)-(R4324)*(R4324))-(S4324)*((S4324)*(Q4324)-(R4324)*(T4324))+(T4324)*((S4324)*(R4324)-(P4324)*(T4324)))</f>
        <v/>
      </c>
      <c r="X4324">
        <f>IF(ABS(W4324)&gt;1E-12,((LTP3!$D$6)*((P4324)*(Q4324)-(R4324)*(R4324))-(S4324)*((U4324)*(Q4324)-(R4324)*(V4324))+(T4324)*((U4324)*(R4324)-(P4324)*(V4324)))/W4324,0)</f>
        <v/>
      </c>
      <c r="Y4324">
        <f>IF(ABS(W4324)&gt;1E-12,((LTP3!$D$5)*((U4324)*(Q4324)-(R4324)*(V4324))-(LTP3!$D$6)*((S4324)*(Q4324)-(R4324)*(T4324))+(T4324)*((S4324)*(V4324)-(U4324)*(T4324)))/W4324,0)</f>
        <v/>
      </c>
      <c r="Z4324">
        <f>IF(ABS(W4324)&gt;1E-12,((LTP3!$D$5)*((P4324)*(V4324)-(U4324)*(R4324))-(S4324)*((S4324)*(V4324)-(U4324)*(T4324))+(LTP3!$D$6)*((S4324)*(R4324)-(P4324)*(T4324)))/W4324,0)</f>
        <v/>
      </c>
      <c r="AA4324">
        <f>LTP3!$D$7-X4324*LTP3!$D$6-Y4324*U4324-Z4324*V4324</f>
        <v/>
      </c>
      <c r="AB4324">
        <f>IF(AND(F4324,ABS(W4324)&gt;1E-12,Y4324&gt;0,Z4324&gt;0),AA4324,1E+300)</f>
        <v/>
      </c>
    </row>
    <row r="4325">
      <c r="A4325">
        <f>$I$4-$B$5/10+$B$5*6/100</f>
        <v/>
      </c>
      <c r="B4325">
        <f>$J$4-$B$5/10+$B$5*19/100</f>
        <v/>
      </c>
      <c r="C4325">
        <f>SUMPRODUCT(Calc!$K$3:$K$22*(Calc!$G$3:$G$22&lt;=A4325))</f>
        <v/>
      </c>
      <c r="D4325">
        <f>SUMPRODUCT(Calc!$K$3:$K$22*(Calc!$G$3:$G$22&gt;A4325)*(Calc!$G$3:$G$22&lt;B4325))</f>
        <v/>
      </c>
      <c r="E4325">
        <f>SUMPRODUCT(Calc!$K$3:$K$22*(Calc!$G$3:$G$22&gt;=B4325))</f>
        <v/>
      </c>
      <c r="F4325">
        <f>AND(k_n&gt;=5,B4325&gt;A4325+1E-9,C4325&gt;=2,D4325&gt;=1,E4325&gt;=2)</f>
        <v/>
      </c>
      <c r="G4325">
        <f>SUMPRODUCT(Calc!$K$3:$K$22*(Calc!$G$3:$G$22&gt;A4325)*(Calc!$G$3:$G$22-A4325))</f>
        <v/>
      </c>
      <c r="H4325">
        <f>SUMPRODUCT(Calc!$K$3:$K$22*(Calc!$G$3:$G$22&gt;B4325)*(Calc!$G$3:$G$22-B4325))</f>
        <v/>
      </c>
      <c r="I4325">
        <f>SUMPRODUCT(Calc!$K$3:$K$22*(Calc!$G$3:$G$22&gt;A4325)*(Calc!$G$3:$G$22-A4325)^2)</f>
        <v/>
      </c>
      <c r="J4325">
        <f>SUMPRODUCT(Calc!$K$3:$K$22*(Calc!$G$3:$G$22&gt;B4325)*(Calc!$G$3:$G$22-B4325)^2)</f>
        <v/>
      </c>
      <c r="K4325">
        <f>SUMPRODUCT(Calc!$K$3:$K$22*(Calc!$G$3:$G$22&gt;A4325)*(Calc!$G$3:$G$22-A4325)*(Calc!$G$3:$G$22&gt;B4325)*(Calc!$G$3:$G$22-B4325))</f>
        <v/>
      </c>
      <c r="L4325">
        <f>SUMPRODUCT(Calc!$K$3:$K$22*(Calc!$G$3:$G$22&gt;A4325)*(Calc!$G$3:$G$22-A4325)*Calc!$G$3:$G$22)</f>
        <v/>
      </c>
      <c r="M4325">
        <f>SUMPRODUCT(Calc!$K$3:$K$22*(Calc!$G$3:$G$22&gt;B4325)*(Calc!$G$3:$G$22-B4325)*Calc!$G$3:$G$22)</f>
        <v/>
      </c>
      <c r="N4325">
        <f>SUMPRODUCT(Calc!$K$3:$K$22*(Calc!$G$3:$G$22&gt;A4325)*(Calc!$G$3:$G$22-A4325)*Calc!$I$3:$I$22)</f>
        <v/>
      </c>
      <c r="O4325">
        <f>SUMPRODUCT(Calc!$K$3:$K$22*(Calc!$G$3:$G$22&gt;B4325)*(Calc!$G$3:$G$22-B4325)*Calc!$I$3:$I$22)</f>
        <v/>
      </c>
      <c r="P4325">
        <f>I4325-G4325^2/k_n</f>
        <v/>
      </c>
      <c r="Q4325">
        <f>J4325-H4325^2/k_n</f>
        <v/>
      </c>
      <c r="R4325">
        <f>K4325-G4325*H4325/k_n</f>
        <v/>
      </c>
      <c r="S4325">
        <f>L4325-LTP3!$D$3*G4325/k_n</f>
        <v/>
      </c>
      <c r="T4325">
        <f>M4325-LTP3!$D$3*H4325/k_n</f>
        <v/>
      </c>
      <c r="U4325">
        <f>N4325-G4325*LTP3!$D$4/k_n</f>
        <v/>
      </c>
      <c r="V4325">
        <f>O4325-H4325*LTP3!$D$4/k_n</f>
        <v/>
      </c>
      <c r="W4325">
        <f>((LTP3!$D$5)*((P4325)*(Q4325)-(R4325)*(R4325))-(S4325)*((S4325)*(Q4325)-(R4325)*(T4325))+(T4325)*((S4325)*(R4325)-(P4325)*(T4325)))</f>
        <v/>
      </c>
      <c r="X4325">
        <f>IF(ABS(W4325)&gt;1E-12,((LTP3!$D$6)*((P4325)*(Q4325)-(R4325)*(R4325))-(S4325)*((U4325)*(Q4325)-(R4325)*(V4325))+(T4325)*((U4325)*(R4325)-(P4325)*(V4325)))/W4325,0)</f>
        <v/>
      </c>
      <c r="Y4325">
        <f>IF(ABS(W4325)&gt;1E-12,((LTP3!$D$5)*((U4325)*(Q4325)-(R4325)*(V4325))-(LTP3!$D$6)*((S4325)*(Q4325)-(R4325)*(T4325))+(T4325)*((S4325)*(V4325)-(U4325)*(T4325)))/W4325,0)</f>
        <v/>
      </c>
      <c r="Z4325">
        <f>IF(ABS(W4325)&gt;1E-12,((LTP3!$D$5)*((P4325)*(V4325)-(U4325)*(R4325))-(S4325)*((S4325)*(V4325)-(U4325)*(T4325))+(LTP3!$D$6)*((S4325)*(R4325)-(P4325)*(T4325)))/W4325,0)</f>
        <v/>
      </c>
      <c r="AA4325">
        <f>LTP3!$D$7-X4325*LTP3!$D$6-Y4325*U4325-Z4325*V4325</f>
        <v/>
      </c>
      <c r="AB4325">
        <f>IF(AND(F4325,ABS(W4325)&gt;1E-12,Y4325&gt;0,Z4325&gt;0),AA4325,1E+300)</f>
        <v/>
      </c>
    </row>
    <row r="4326">
      <c r="A4326">
        <f>$I$4-$B$5/10+$B$5*6/100</f>
        <v/>
      </c>
      <c r="B4326">
        <f>$J$4-$B$5/10+$B$5*20/100</f>
        <v/>
      </c>
      <c r="C4326">
        <f>SUMPRODUCT(Calc!$K$3:$K$22*(Calc!$G$3:$G$22&lt;=A4326))</f>
        <v/>
      </c>
      <c r="D4326">
        <f>SUMPRODUCT(Calc!$K$3:$K$22*(Calc!$G$3:$G$22&gt;A4326)*(Calc!$G$3:$G$22&lt;B4326))</f>
        <v/>
      </c>
      <c r="E4326">
        <f>SUMPRODUCT(Calc!$K$3:$K$22*(Calc!$G$3:$G$22&gt;=B4326))</f>
        <v/>
      </c>
      <c r="F4326">
        <f>AND(k_n&gt;=5,B4326&gt;A4326+1E-9,C4326&gt;=2,D4326&gt;=1,E4326&gt;=2)</f>
        <v/>
      </c>
      <c r="G4326">
        <f>SUMPRODUCT(Calc!$K$3:$K$22*(Calc!$G$3:$G$22&gt;A4326)*(Calc!$G$3:$G$22-A4326))</f>
        <v/>
      </c>
      <c r="H4326">
        <f>SUMPRODUCT(Calc!$K$3:$K$22*(Calc!$G$3:$G$22&gt;B4326)*(Calc!$G$3:$G$22-B4326))</f>
        <v/>
      </c>
      <c r="I4326">
        <f>SUMPRODUCT(Calc!$K$3:$K$22*(Calc!$G$3:$G$22&gt;A4326)*(Calc!$G$3:$G$22-A4326)^2)</f>
        <v/>
      </c>
      <c r="J4326">
        <f>SUMPRODUCT(Calc!$K$3:$K$22*(Calc!$G$3:$G$22&gt;B4326)*(Calc!$G$3:$G$22-B4326)^2)</f>
        <v/>
      </c>
      <c r="K4326">
        <f>SUMPRODUCT(Calc!$K$3:$K$22*(Calc!$G$3:$G$22&gt;A4326)*(Calc!$G$3:$G$22-A4326)*(Calc!$G$3:$G$22&gt;B4326)*(Calc!$G$3:$G$22-B4326))</f>
        <v/>
      </c>
      <c r="L4326">
        <f>SUMPRODUCT(Calc!$K$3:$K$22*(Calc!$G$3:$G$22&gt;A4326)*(Calc!$G$3:$G$22-A4326)*Calc!$G$3:$G$22)</f>
        <v/>
      </c>
      <c r="M4326">
        <f>SUMPRODUCT(Calc!$K$3:$K$22*(Calc!$G$3:$G$22&gt;B4326)*(Calc!$G$3:$G$22-B4326)*Calc!$G$3:$G$22)</f>
        <v/>
      </c>
      <c r="N4326">
        <f>SUMPRODUCT(Calc!$K$3:$K$22*(Calc!$G$3:$G$22&gt;A4326)*(Calc!$G$3:$G$22-A4326)*Calc!$I$3:$I$22)</f>
        <v/>
      </c>
      <c r="O4326">
        <f>SUMPRODUCT(Calc!$K$3:$K$22*(Calc!$G$3:$G$22&gt;B4326)*(Calc!$G$3:$G$22-B4326)*Calc!$I$3:$I$22)</f>
        <v/>
      </c>
      <c r="P4326">
        <f>I4326-G4326^2/k_n</f>
        <v/>
      </c>
      <c r="Q4326">
        <f>J4326-H4326^2/k_n</f>
        <v/>
      </c>
      <c r="R4326">
        <f>K4326-G4326*H4326/k_n</f>
        <v/>
      </c>
      <c r="S4326">
        <f>L4326-LTP3!$D$3*G4326/k_n</f>
        <v/>
      </c>
      <c r="T4326">
        <f>M4326-LTP3!$D$3*H4326/k_n</f>
        <v/>
      </c>
      <c r="U4326">
        <f>N4326-G4326*LTP3!$D$4/k_n</f>
        <v/>
      </c>
      <c r="V4326">
        <f>O4326-H4326*LTP3!$D$4/k_n</f>
        <v/>
      </c>
      <c r="W4326">
        <f>((LTP3!$D$5)*((P4326)*(Q4326)-(R4326)*(R4326))-(S4326)*((S4326)*(Q4326)-(R4326)*(T4326))+(T4326)*((S4326)*(R4326)-(P4326)*(T4326)))</f>
        <v/>
      </c>
      <c r="X4326">
        <f>IF(ABS(W4326)&gt;1E-12,((LTP3!$D$6)*((P4326)*(Q4326)-(R4326)*(R4326))-(S4326)*((U4326)*(Q4326)-(R4326)*(V4326))+(T4326)*((U4326)*(R4326)-(P4326)*(V4326)))/W4326,0)</f>
        <v/>
      </c>
      <c r="Y4326">
        <f>IF(ABS(W4326)&gt;1E-12,((LTP3!$D$5)*((U4326)*(Q4326)-(R4326)*(V4326))-(LTP3!$D$6)*((S4326)*(Q4326)-(R4326)*(T4326))+(T4326)*((S4326)*(V4326)-(U4326)*(T4326)))/W4326,0)</f>
        <v/>
      </c>
      <c r="Z4326">
        <f>IF(ABS(W4326)&gt;1E-12,((LTP3!$D$5)*((P4326)*(V4326)-(U4326)*(R4326))-(S4326)*((S4326)*(V4326)-(U4326)*(T4326))+(LTP3!$D$6)*((S4326)*(R4326)-(P4326)*(T4326)))/W4326,0)</f>
        <v/>
      </c>
      <c r="AA4326">
        <f>LTP3!$D$7-X4326*LTP3!$D$6-Y4326*U4326-Z4326*V4326</f>
        <v/>
      </c>
      <c r="AB4326">
        <f>IF(AND(F4326,ABS(W4326)&gt;1E-12,Y4326&gt;0,Z4326&gt;0),AA4326,1E+300)</f>
        <v/>
      </c>
    </row>
    <row r="4327">
      <c r="A4327">
        <f>$I$4-$B$5/10+$B$5*7/100</f>
        <v/>
      </c>
      <c r="B4327">
        <f>$J$4-$B$5/10+$B$5*0/100</f>
        <v/>
      </c>
      <c r="C4327">
        <f>SUMPRODUCT(Calc!$K$3:$K$22*(Calc!$G$3:$G$22&lt;=A4327))</f>
        <v/>
      </c>
      <c r="D4327">
        <f>SUMPRODUCT(Calc!$K$3:$K$22*(Calc!$G$3:$G$22&gt;A4327)*(Calc!$G$3:$G$22&lt;B4327))</f>
        <v/>
      </c>
      <c r="E4327">
        <f>SUMPRODUCT(Calc!$K$3:$K$22*(Calc!$G$3:$G$22&gt;=B4327))</f>
        <v/>
      </c>
      <c r="F4327">
        <f>AND(k_n&gt;=5,B4327&gt;A4327+1E-9,C4327&gt;=2,D4327&gt;=1,E4327&gt;=2)</f>
        <v/>
      </c>
      <c r="G4327">
        <f>SUMPRODUCT(Calc!$K$3:$K$22*(Calc!$G$3:$G$22&gt;A4327)*(Calc!$G$3:$G$22-A4327))</f>
        <v/>
      </c>
      <c r="H4327">
        <f>SUMPRODUCT(Calc!$K$3:$K$22*(Calc!$G$3:$G$22&gt;B4327)*(Calc!$G$3:$G$22-B4327))</f>
        <v/>
      </c>
      <c r="I4327">
        <f>SUMPRODUCT(Calc!$K$3:$K$22*(Calc!$G$3:$G$22&gt;A4327)*(Calc!$G$3:$G$22-A4327)^2)</f>
        <v/>
      </c>
      <c r="J4327">
        <f>SUMPRODUCT(Calc!$K$3:$K$22*(Calc!$G$3:$G$22&gt;B4327)*(Calc!$G$3:$G$22-B4327)^2)</f>
        <v/>
      </c>
      <c r="K4327">
        <f>SUMPRODUCT(Calc!$K$3:$K$22*(Calc!$G$3:$G$22&gt;A4327)*(Calc!$G$3:$G$22-A4327)*(Calc!$G$3:$G$22&gt;B4327)*(Calc!$G$3:$G$22-B4327))</f>
        <v/>
      </c>
      <c r="L4327">
        <f>SUMPRODUCT(Calc!$K$3:$K$22*(Calc!$G$3:$G$22&gt;A4327)*(Calc!$G$3:$G$22-A4327)*Calc!$G$3:$G$22)</f>
        <v/>
      </c>
      <c r="M4327">
        <f>SUMPRODUCT(Calc!$K$3:$K$22*(Calc!$G$3:$G$22&gt;B4327)*(Calc!$G$3:$G$22-B4327)*Calc!$G$3:$G$22)</f>
        <v/>
      </c>
      <c r="N4327">
        <f>SUMPRODUCT(Calc!$K$3:$K$22*(Calc!$G$3:$G$22&gt;A4327)*(Calc!$G$3:$G$22-A4327)*Calc!$I$3:$I$22)</f>
        <v/>
      </c>
      <c r="O4327">
        <f>SUMPRODUCT(Calc!$K$3:$K$22*(Calc!$G$3:$G$22&gt;B4327)*(Calc!$G$3:$G$22-B4327)*Calc!$I$3:$I$22)</f>
        <v/>
      </c>
      <c r="P4327">
        <f>I4327-G4327^2/k_n</f>
        <v/>
      </c>
      <c r="Q4327">
        <f>J4327-H4327^2/k_n</f>
        <v/>
      </c>
      <c r="R4327">
        <f>K4327-G4327*H4327/k_n</f>
        <v/>
      </c>
      <c r="S4327">
        <f>L4327-LTP3!$D$3*G4327/k_n</f>
        <v/>
      </c>
      <c r="T4327">
        <f>M4327-LTP3!$D$3*H4327/k_n</f>
        <v/>
      </c>
      <c r="U4327">
        <f>N4327-G4327*LTP3!$D$4/k_n</f>
        <v/>
      </c>
      <c r="V4327">
        <f>O4327-H4327*LTP3!$D$4/k_n</f>
        <v/>
      </c>
      <c r="W4327">
        <f>((LTP3!$D$5)*((P4327)*(Q4327)-(R4327)*(R4327))-(S4327)*((S4327)*(Q4327)-(R4327)*(T4327))+(T4327)*((S4327)*(R4327)-(P4327)*(T4327)))</f>
        <v/>
      </c>
      <c r="X4327">
        <f>IF(ABS(W4327)&gt;1E-12,((LTP3!$D$6)*((P4327)*(Q4327)-(R4327)*(R4327))-(S4327)*((U4327)*(Q4327)-(R4327)*(V4327))+(T4327)*((U4327)*(R4327)-(P4327)*(V4327)))/W4327,0)</f>
        <v/>
      </c>
      <c r="Y4327">
        <f>IF(ABS(W4327)&gt;1E-12,((LTP3!$D$5)*((U4327)*(Q4327)-(R4327)*(V4327))-(LTP3!$D$6)*((S4327)*(Q4327)-(R4327)*(T4327))+(T4327)*((S4327)*(V4327)-(U4327)*(T4327)))/W4327,0)</f>
        <v/>
      </c>
      <c r="Z4327">
        <f>IF(ABS(W4327)&gt;1E-12,((LTP3!$D$5)*((P4327)*(V4327)-(U4327)*(R4327))-(S4327)*((S4327)*(V4327)-(U4327)*(T4327))+(LTP3!$D$6)*((S4327)*(R4327)-(P4327)*(T4327)))/W4327,0)</f>
        <v/>
      </c>
      <c r="AA4327">
        <f>LTP3!$D$7-X4327*LTP3!$D$6-Y4327*U4327-Z4327*V4327</f>
        <v/>
      </c>
      <c r="AB4327">
        <f>IF(AND(F4327,ABS(W4327)&gt;1E-12,Y4327&gt;0,Z4327&gt;0),AA4327,1E+300)</f>
        <v/>
      </c>
    </row>
    <row r="4328">
      <c r="A4328">
        <f>$I$4-$B$5/10+$B$5*7/100</f>
        <v/>
      </c>
      <c r="B4328">
        <f>$J$4-$B$5/10+$B$5*1/100</f>
        <v/>
      </c>
      <c r="C4328">
        <f>SUMPRODUCT(Calc!$K$3:$K$22*(Calc!$G$3:$G$22&lt;=A4328))</f>
        <v/>
      </c>
      <c r="D4328">
        <f>SUMPRODUCT(Calc!$K$3:$K$22*(Calc!$G$3:$G$22&gt;A4328)*(Calc!$G$3:$G$22&lt;B4328))</f>
        <v/>
      </c>
      <c r="E4328">
        <f>SUMPRODUCT(Calc!$K$3:$K$22*(Calc!$G$3:$G$22&gt;=B4328))</f>
        <v/>
      </c>
      <c r="F4328">
        <f>AND(k_n&gt;=5,B4328&gt;A4328+1E-9,C4328&gt;=2,D4328&gt;=1,E4328&gt;=2)</f>
        <v/>
      </c>
      <c r="G4328">
        <f>SUMPRODUCT(Calc!$K$3:$K$22*(Calc!$G$3:$G$22&gt;A4328)*(Calc!$G$3:$G$22-A4328))</f>
        <v/>
      </c>
      <c r="H4328">
        <f>SUMPRODUCT(Calc!$K$3:$K$22*(Calc!$G$3:$G$22&gt;B4328)*(Calc!$G$3:$G$22-B4328))</f>
        <v/>
      </c>
      <c r="I4328">
        <f>SUMPRODUCT(Calc!$K$3:$K$22*(Calc!$G$3:$G$22&gt;A4328)*(Calc!$G$3:$G$22-A4328)^2)</f>
        <v/>
      </c>
      <c r="J4328">
        <f>SUMPRODUCT(Calc!$K$3:$K$22*(Calc!$G$3:$G$22&gt;B4328)*(Calc!$G$3:$G$22-B4328)^2)</f>
        <v/>
      </c>
      <c r="K4328">
        <f>SUMPRODUCT(Calc!$K$3:$K$22*(Calc!$G$3:$G$22&gt;A4328)*(Calc!$G$3:$G$22-A4328)*(Calc!$G$3:$G$22&gt;B4328)*(Calc!$G$3:$G$22-B4328))</f>
        <v/>
      </c>
      <c r="L4328">
        <f>SUMPRODUCT(Calc!$K$3:$K$22*(Calc!$G$3:$G$22&gt;A4328)*(Calc!$G$3:$G$22-A4328)*Calc!$G$3:$G$22)</f>
        <v/>
      </c>
      <c r="M4328">
        <f>SUMPRODUCT(Calc!$K$3:$K$22*(Calc!$G$3:$G$22&gt;B4328)*(Calc!$G$3:$G$22-B4328)*Calc!$G$3:$G$22)</f>
        <v/>
      </c>
      <c r="N4328">
        <f>SUMPRODUCT(Calc!$K$3:$K$22*(Calc!$G$3:$G$22&gt;A4328)*(Calc!$G$3:$G$22-A4328)*Calc!$I$3:$I$22)</f>
        <v/>
      </c>
      <c r="O4328">
        <f>SUMPRODUCT(Calc!$K$3:$K$22*(Calc!$G$3:$G$22&gt;B4328)*(Calc!$G$3:$G$22-B4328)*Calc!$I$3:$I$22)</f>
        <v/>
      </c>
      <c r="P4328">
        <f>I4328-G4328^2/k_n</f>
        <v/>
      </c>
      <c r="Q4328">
        <f>J4328-H4328^2/k_n</f>
        <v/>
      </c>
      <c r="R4328">
        <f>K4328-G4328*H4328/k_n</f>
        <v/>
      </c>
      <c r="S4328">
        <f>L4328-LTP3!$D$3*G4328/k_n</f>
        <v/>
      </c>
      <c r="T4328">
        <f>M4328-LTP3!$D$3*H4328/k_n</f>
        <v/>
      </c>
      <c r="U4328">
        <f>N4328-G4328*LTP3!$D$4/k_n</f>
        <v/>
      </c>
      <c r="V4328">
        <f>O4328-H4328*LTP3!$D$4/k_n</f>
        <v/>
      </c>
      <c r="W4328">
        <f>((LTP3!$D$5)*((P4328)*(Q4328)-(R4328)*(R4328))-(S4328)*((S4328)*(Q4328)-(R4328)*(T4328))+(T4328)*((S4328)*(R4328)-(P4328)*(T4328)))</f>
        <v/>
      </c>
      <c r="X4328">
        <f>IF(ABS(W4328)&gt;1E-12,((LTP3!$D$6)*((P4328)*(Q4328)-(R4328)*(R4328))-(S4328)*((U4328)*(Q4328)-(R4328)*(V4328))+(T4328)*((U4328)*(R4328)-(P4328)*(V4328)))/W4328,0)</f>
        <v/>
      </c>
      <c r="Y4328">
        <f>IF(ABS(W4328)&gt;1E-12,((LTP3!$D$5)*((U4328)*(Q4328)-(R4328)*(V4328))-(LTP3!$D$6)*((S4328)*(Q4328)-(R4328)*(T4328))+(T4328)*((S4328)*(V4328)-(U4328)*(T4328)))/W4328,0)</f>
        <v/>
      </c>
      <c r="Z4328">
        <f>IF(ABS(W4328)&gt;1E-12,((LTP3!$D$5)*((P4328)*(V4328)-(U4328)*(R4328))-(S4328)*((S4328)*(V4328)-(U4328)*(T4328))+(LTP3!$D$6)*((S4328)*(R4328)-(P4328)*(T4328)))/W4328,0)</f>
        <v/>
      </c>
      <c r="AA4328">
        <f>LTP3!$D$7-X4328*LTP3!$D$6-Y4328*U4328-Z4328*V4328</f>
        <v/>
      </c>
      <c r="AB4328">
        <f>IF(AND(F4328,ABS(W4328)&gt;1E-12,Y4328&gt;0,Z4328&gt;0),AA4328,1E+300)</f>
        <v/>
      </c>
    </row>
    <row r="4329">
      <c r="A4329">
        <f>$I$4-$B$5/10+$B$5*7/100</f>
        <v/>
      </c>
      <c r="B4329">
        <f>$J$4-$B$5/10+$B$5*2/100</f>
        <v/>
      </c>
      <c r="C4329">
        <f>SUMPRODUCT(Calc!$K$3:$K$22*(Calc!$G$3:$G$22&lt;=A4329))</f>
        <v/>
      </c>
      <c r="D4329">
        <f>SUMPRODUCT(Calc!$K$3:$K$22*(Calc!$G$3:$G$22&gt;A4329)*(Calc!$G$3:$G$22&lt;B4329))</f>
        <v/>
      </c>
      <c r="E4329">
        <f>SUMPRODUCT(Calc!$K$3:$K$22*(Calc!$G$3:$G$22&gt;=B4329))</f>
        <v/>
      </c>
      <c r="F4329">
        <f>AND(k_n&gt;=5,B4329&gt;A4329+1E-9,C4329&gt;=2,D4329&gt;=1,E4329&gt;=2)</f>
        <v/>
      </c>
      <c r="G4329">
        <f>SUMPRODUCT(Calc!$K$3:$K$22*(Calc!$G$3:$G$22&gt;A4329)*(Calc!$G$3:$G$22-A4329))</f>
        <v/>
      </c>
      <c r="H4329">
        <f>SUMPRODUCT(Calc!$K$3:$K$22*(Calc!$G$3:$G$22&gt;B4329)*(Calc!$G$3:$G$22-B4329))</f>
        <v/>
      </c>
      <c r="I4329">
        <f>SUMPRODUCT(Calc!$K$3:$K$22*(Calc!$G$3:$G$22&gt;A4329)*(Calc!$G$3:$G$22-A4329)^2)</f>
        <v/>
      </c>
      <c r="J4329">
        <f>SUMPRODUCT(Calc!$K$3:$K$22*(Calc!$G$3:$G$22&gt;B4329)*(Calc!$G$3:$G$22-B4329)^2)</f>
        <v/>
      </c>
      <c r="K4329">
        <f>SUMPRODUCT(Calc!$K$3:$K$22*(Calc!$G$3:$G$22&gt;A4329)*(Calc!$G$3:$G$22-A4329)*(Calc!$G$3:$G$22&gt;B4329)*(Calc!$G$3:$G$22-B4329))</f>
        <v/>
      </c>
      <c r="L4329">
        <f>SUMPRODUCT(Calc!$K$3:$K$22*(Calc!$G$3:$G$22&gt;A4329)*(Calc!$G$3:$G$22-A4329)*Calc!$G$3:$G$22)</f>
        <v/>
      </c>
      <c r="M4329">
        <f>SUMPRODUCT(Calc!$K$3:$K$22*(Calc!$G$3:$G$22&gt;B4329)*(Calc!$G$3:$G$22-B4329)*Calc!$G$3:$G$22)</f>
        <v/>
      </c>
      <c r="N4329">
        <f>SUMPRODUCT(Calc!$K$3:$K$22*(Calc!$G$3:$G$22&gt;A4329)*(Calc!$G$3:$G$22-A4329)*Calc!$I$3:$I$22)</f>
        <v/>
      </c>
      <c r="O4329">
        <f>SUMPRODUCT(Calc!$K$3:$K$22*(Calc!$G$3:$G$22&gt;B4329)*(Calc!$G$3:$G$22-B4329)*Calc!$I$3:$I$22)</f>
        <v/>
      </c>
      <c r="P4329">
        <f>I4329-G4329^2/k_n</f>
        <v/>
      </c>
      <c r="Q4329">
        <f>J4329-H4329^2/k_n</f>
        <v/>
      </c>
      <c r="R4329">
        <f>K4329-G4329*H4329/k_n</f>
        <v/>
      </c>
      <c r="S4329">
        <f>L4329-LTP3!$D$3*G4329/k_n</f>
        <v/>
      </c>
      <c r="T4329">
        <f>M4329-LTP3!$D$3*H4329/k_n</f>
        <v/>
      </c>
      <c r="U4329">
        <f>N4329-G4329*LTP3!$D$4/k_n</f>
        <v/>
      </c>
      <c r="V4329">
        <f>O4329-H4329*LTP3!$D$4/k_n</f>
        <v/>
      </c>
      <c r="W4329">
        <f>((LTP3!$D$5)*((P4329)*(Q4329)-(R4329)*(R4329))-(S4329)*((S4329)*(Q4329)-(R4329)*(T4329))+(T4329)*((S4329)*(R4329)-(P4329)*(T4329)))</f>
        <v/>
      </c>
      <c r="X4329">
        <f>IF(ABS(W4329)&gt;1E-12,((LTP3!$D$6)*((P4329)*(Q4329)-(R4329)*(R4329))-(S4329)*((U4329)*(Q4329)-(R4329)*(V4329))+(T4329)*((U4329)*(R4329)-(P4329)*(V4329)))/W4329,0)</f>
        <v/>
      </c>
      <c r="Y4329">
        <f>IF(ABS(W4329)&gt;1E-12,((LTP3!$D$5)*((U4329)*(Q4329)-(R4329)*(V4329))-(LTP3!$D$6)*((S4329)*(Q4329)-(R4329)*(T4329))+(T4329)*((S4329)*(V4329)-(U4329)*(T4329)))/W4329,0)</f>
        <v/>
      </c>
      <c r="Z4329">
        <f>IF(ABS(W4329)&gt;1E-12,((LTP3!$D$5)*((P4329)*(V4329)-(U4329)*(R4329))-(S4329)*((S4329)*(V4329)-(U4329)*(T4329))+(LTP3!$D$6)*((S4329)*(R4329)-(P4329)*(T4329)))/W4329,0)</f>
        <v/>
      </c>
      <c r="AA4329">
        <f>LTP3!$D$7-X4329*LTP3!$D$6-Y4329*U4329-Z4329*V4329</f>
        <v/>
      </c>
      <c r="AB4329">
        <f>IF(AND(F4329,ABS(W4329)&gt;1E-12,Y4329&gt;0,Z4329&gt;0),AA4329,1E+300)</f>
        <v/>
      </c>
    </row>
    <row r="4330">
      <c r="A4330">
        <f>$I$4-$B$5/10+$B$5*7/100</f>
        <v/>
      </c>
      <c r="B4330">
        <f>$J$4-$B$5/10+$B$5*3/100</f>
        <v/>
      </c>
      <c r="C4330">
        <f>SUMPRODUCT(Calc!$K$3:$K$22*(Calc!$G$3:$G$22&lt;=A4330))</f>
        <v/>
      </c>
      <c r="D4330">
        <f>SUMPRODUCT(Calc!$K$3:$K$22*(Calc!$G$3:$G$22&gt;A4330)*(Calc!$G$3:$G$22&lt;B4330))</f>
        <v/>
      </c>
      <c r="E4330">
        <f>SUMPRODUCT(Calc!$K$3:$K$22*(Calc!$G$3:$G$22&gt;=B4330))</f>
        <v/>
      </c>
      <c r="F4330">
        <f>AND(k_n&gt;=5,B4330&gt;A4330+1E-9,C4330&gt;=2,D4330&gt;=1,E4330&gt;=2)</f>
        <v/>
      </c>
      <c r="G4330">
        <f>SUMPRODUCT(Calc!$K$3:$K$22*(Calc!$G$3:$G$22&gt;A4330)*(Calc!$G$3:$G$22-A4330))</f>
        <v/>
      </c>
      <c r="H4330">
        <f>SUMPRODUCT(Calc!$K$3:$K$22*(Calc!$G$3:$G$22&gt;B4330)*(Calc!$G$3:$G$22-B4330))</f>
        <v/>
      </c>
      <c r="I4330">
        <f>SUMPRODUCT(Calc!$K$3:$K$22*(Calc!$G$3:$G$22&gt;A4330)*(Calc!$G$3:$G$22-A4330)^2)</f>
        <v/>
      </c>
      <c r="J4330">
        <f>SUMPRODUCT(Calc!$K$3:$K$22*(Calc!$G$3:$G$22&gt;B4330)*(Calc!$G$3:$G$22-B4330)^2)</f>
        <v/>
      </c>
      <c r="K4330">
        <f>SUMPRODUCT(Calc!$K$3:$K$22*(Calc!$G$3:$G$22&gt;A4330)*(Calc!$G$3:$G$22-A4330)*(Calc!$G$3:$G$22&gt;B4330)*(Calc!$G$3:$G$22-B4330))</f>
        <v/>
      </c>
      <c r="L4330">
        <f>SUMPRODUCT(Calc!$K$3:$K$22*(Calc!$G$3:$G$22&gt;A4330)*(Calc!$G$3:$G$22-A4330)*Calc!$G$3:$G$22)</f>
        <v/>
      </c>
      <c r="M4330">
        <f>SUMPRODUCT(Calc!$K$3:$K$22*(Calc!$G$3:$G$22&gt;B4330)*(Calc!$G$3:$G$22-B4330)*Calc!$G$3:$G$22)</f>
        <v/>
      </c>
      <c r="N4330">
        <f>SUMPRODUCT(Calc!$K$3:$K$22*(Calc!$G$3:$G$22&gt;A4330)*(Calc!$G$3:$G$22-A4330)*Calc!$I$3:$I$22)</f>
        <v/>
      </c>
      <c r="O4330">
        <f>SUMPRODUCT(Calc!$K$3:$K$22*(Calc!$G$3:$G$22&gt;B4330)*(Calc!$G$3:$G$22-B4330)*Calc!$I$3:$I$22)</f>
        <v/>
      </c>
      <c r="P4330">
        <f>I4330-G4330^2/k_n</f>
        <v/>
      </c>
      <c r="Q4330">
        <f>J4330-H4330^2/k_n</f>
        <v/>
      </c>
      <c r="R4330">
        <f>K4330-G4330*H4330/k_n</f>
        <v/>
      </c>
      <c r="S4330">
        <f>L4330-LTP3!$D$3*G4330/k_n</f>
        <v/>
      </c>
      <c r="T4330">
        <f>M4330-LTP3!$D$3*H4330/k_n</f>
        <v/>
      </c>
      <c r="U4330">
        <f>N4330-G4330*LTP3!$D$4/k_n</f>
        <v/>
      </c>
      <c r="V4330">
        <f>O4330-H4330*LTP3!$D$4/k_n</f>
        <v/>
      </c>
      <c r="W4330">
        <f>((LTP3!$D$5)*((P4330)*(Q4330)-(R4330)*(R4330))-(S4330)*((S4330)*(Q4330)-(R4330)*(T4330))+(T4330)*((S4330)*(R4330)-(P4330)*(T4330)))</f>
        <v/>
      </c>
      <c r="X4330">
        <f>IF(ABS(W4330)&gt;1E-12,((LTP3!$D$6)*((P4330)*(Q4330)-(R4330)*(R4330))-(S4330)*((U4330)*(Q4330)-(R4330)*(V4330))+(T4330)*((U4330)*(R4330)-(P4330)*(V4330)))/W4330,0)</f>
        <v/>
      </c>
      <c r="Y4330">
        <f>IF(ABS(W4330)&gt;1E-12,((LTP3!$D$5)*((U4330)*(Q4330)-(R4330)*(V4330))-(LTP3!$D$6)*((S4330)*(Q4330)-(R4330)*(T4330))+(T4330)*((S4330)*(V4330)-(U4330)*(T4330)))/W4330,0)</f>
        <v/>
      </c>
      <c r="Z4330">
        <f>IF(ABS(W4330)&gt;1E-12,((LTP3!$D$5)*((P4330)*(V4330)-(U4330)*(R4330))-(S4330)*((S4330)*(V4330)-(U4330)*(T4330))+(LTP3!$D$6)*((S4330)*(R4330)-(P4330)*(T4330)))/W4330,0)</f>
        <v/>
      </c>
      <c r="AA4330">
        <f>LTP3!$D$7-X4330*LTP3!$D$6-Y4330*U4330-Z4330*V4330</f>
        <v/>
      </c>
      <c r="AB4330">
        <f>IF(AND(F4330,ABS(W4330)&gt;1E-12,Y4330&gt;0,Z4330&gt;0),AA4330,1E+300)</f>
        <v/>
      </c>
    </row>
    <row r="4331">
      <c r="A4331">
        <f>$I$4-$B$5/10+$B$5*7/100</f>
        <v/>
      </c>
      <c r="B4331">
        <f>$J$4-$B$5/10+$B$5*4/100</f>
        <v/>
      </c>
      <c r="C4331">
        <f>SUMPRODUCT(Calc!$K$3:$K$22*(Calc!$G$3:$G$22&lt;=A4331))</f>
        <v/>
      </c>
      <c r="D4331">
        <f>SUMPRODUCT(Calc!$K$3:$K$22*(Calc!$G$3:$G$22&gt;A4331)*(Calc!$G$3:$G$22&lt;B4331))</f>
        <v/>
      </c>
      <c r="E4331">
        <f>SUMPRODUCT(Calc!$K$3:$K$22*(Calc!$G$3:$G$22&gt;=B4331))</f>
        <v/>
      </c>
      <c r="F4331">
        <f>AND(k_n&gt;=5,B4331&gt;A4331+1E-9,C4331&gt;=2,D4331&gt;=1,E4331&gt;=2)</f>
        <v/>
      </c>
      <c r="G4331">
        <f>SUMPRODUCT(Calc!$K$3:$K$22*(Calc!$G$3:$G$22&gt;A4331)*(Calc!$G$3:$G$22-A4331))</f>
        <v/>
      </c>
      <c r="H4331">
        <f>SUMPRODUCT(Calc!$K$3:$K$22*(Calc!$G$3:$G$22&gt;B4331)*(Calc!$G$3:$G$22-B4331))</f>
        <v/>
      </c>
      <c r="I4331">
        <f>SUMPRODUCT(Calc!$K$3:$K$22*(Calc!$G$3:$G$22&gt;A4331)*(Calc!$G$3:$G$22-A4331)^2)</f>
        <v/>
      </c>
      <c r="J4331">
        <f>SUMPRODUCT(Calc!$K$3:$K$22*(Calc!$G$3:$G$22&gt;B4331)*(Calc!$G$3:$G$22-B4331)^2)</f>
        <v/>
      </c>
      <c r="K4331">
        <f>SUMPRODUCT(Calc!$K$3:$K$22*(Calc!$G$3:$G$22&gt;A4331)*(Calc!$G$3:$G$22-A4331)*(Calc!$G$3:$G$22&gt;B4331)*(Calc!$G$3:$G$22-B4331))</f>
        <v/>
      </c>
      <c r="L4331">
        <f>SUMPRODUCT(Calc!$K$3:$K$22*(Calc!$G$3:$G$22&gt;A4331)*(Calc!$G$3:$G$22-A4331)*Calc!$G$3:$G$22)</f>
        <v/>
      </c>
      <c r="M4331">
        <f>SUMPRODUCT(Calc!$K$3:$K$22*(Calc!$G$3:$G$22&gt;B4331)*(Calc!$G$3:$G$22-B4331)*Calc!$G$3:$G$22)</f>
        <v/>
      </c>
      <c r="N4331">
        <f>SUMPRODUCT(Calc!$K$3:$K$22*(Calc!$G$3:$G$22&gt;A4331)*(Calc!$G$3:$G$22-A4331)*Calc!$I$3:$I$22)</f>
        <v/>
      </c>
      <c r="O4331">
        <f>SUMPRODUCT(Calc!$K$3:$K$22*(Calc!$G$3:$G$22&gt;B4331)*(Calc!$G$3:$G$22-B4331)*Calc!$I$3:$I$22)</f>
        <v/>
      </c>
      <c r="P4331">
        <f>I4331-G4331^2/k_n</f>
        <v/>
      </c>
      <c r="Q4331">
        <f>J4331-H4331^2/k_n</f>
        <v/>
      </c>
      <c r="R4331">
        <f>K4331-G4331*H4331/k_n</f>
        <v/>
      </c>
      <c r="S4331">
        <f>L4331-LTP3!$D$3*G4331/k_n</f>
        <v/>
      </c>
      <c r="T4331">
        <f>M4331-LTP3!$D$3*H4331/k_n</f>
        <v/>
      </c>
      <c r="U4331">
        <f>N4331-G4331*LTP3!$D$4/k_n</f>
        <v/>
      </c>
      <c r="V4331">
        <f>O4331-H4331*LTP3!$D$4/k_n</f>
        <v/>
      </c>
      <c r="W4331">
        <f>((LTP3!$D$5)*((P4331)*(Q4331)-(R4331)*(R4331))-(S4331)*((S4331)*(Q4331)-(R4331)*(T4331))+(T4331)*((S4331)*(R4331)-(P4331)*(T4331)))</f>
        <v/>
      </c>
      <c r="X4331">
        <f>IF(ABS(W4331)&gt;1E-12,((LTP3!$D$6)*((P4331)*(Q4331)-(R4331)*(R4331))-(S4331)*((U4331)*(Q4331)-(R4331)*(V4331))+(T4331)*((U4331)*(R4331)-(P4331)*(V4331)))/W4331,0)</f>
        <v/>
      </c>
      <c r="Y4331">
        <f>IF(ABS(W4331)&gt;1E-12,((LTP3!$D$5)*((U4331)*(Q4331)-(R4331)*(V4331))-(LTP3!$D$6)*((S4331)*(Q4331)-(R4331)*(T4331))+(T4331)*((S4331)*(V4331)-(U4331)*(T4331)))/W4331,0)</f>
        <v/>
      </c>
      <c r="Z4331">
        <f>IF(ABS(W4331)&gt;1E-12,((LTP3!$D$5)*((P4331)*(V4331)-(U4331)*(R4331))-(S4331)*((S4331)*(V4331)-(U4331)*(T4331))+(LTP3!$D$6)*((S4331)*(R4331)-(P4331)*(T4331)))/W4331,0)</f>
        <v/>
      </c>
      <c r="AA4331">
        <f>LTP3!$D$7-X4331*LTP3!$D$6-Y4331*U4331-Z4331*V4331</f>
        <v/>
      </c>
      <c r="AB4331">
        <f>IF(AND(F4331,ABS(W4331)&gt;1E-12,Y4331&gt;0,Z4331&gt;0),AA4331,1E+300)</f>
        <v/>
      </c>
    </row>
    <row r="4332">
      <c r="A4332">
        <f>$I$4-$B$5/10+$B$5*7/100</f>
        <v/>
      </c>
      <c r="B4332">
        <f>$J$4-$B$5/10+$B$5*5/100</f>
        <v/>
      </c>
      <c r="C4332">
        <f>SUMPRODUCT(Calc!$K$3:$K$22*(Calc!$G$3:$G$22&lt;=A4332))</f>
        <v/>
      </c>
      <c r="D4332">
        <f>SUMPRODUCT(Calc!$K$3:$K$22*(Calc!$G$3:$G$22&gt;A4332)*(Calc!$G$3:$G$22&lt;B4332))</f>
        <v/>
      </c>
      <c r="E4332">
        <f>SUMPRODUCT(Calc!$K$3:$K$22*(Calc!$G$3:$G$22&gt;=B4332))</f>
        <v/>
      </c>
      <c r="F4332">
        <f>AND(k_n&gt;=5,B4332&gt;A4332+1E-9,C4332&gt;=2,D4332&gt;=1,E4332&gt;=2)</f>
        <v/>
      </c>
      <c r="G4332">
        <f>SUMPRODUCT(Calc!$K$3:$K$22*(Calc!$G$3:$G$22&gt;A4332)*(Calc!$G$3:$G$22-A4332))</f>
        <v/>
      </c>
      <c r="H4332">
        <f>SUMPRODUCT(Calc!$K$3:$K$22*(Calc!$G$3:$G$22&gt;B4332)*(Calc!$G$3:$G$22-B4332))</f>
        <v/>
      </c>
      <c r="I4332">
        <f>SUMPRODUCT(Calc!$K$3:$K$22*(Calc!$G$3:$G$22&gt;A4332)*(Calc!$G$3:$G$22-A4332)^2)</f>
        <v/>
      </c>
      <c r="J4332">
        <f>SUMPRODUCT(Calc!$K$3:$K$22*(Calc!$G$3:$G$22&gt;B4332)*(Calc!$G$3:$G$22-B4332)^2)</f>
        <v/>
      </c>
      <c r="K4332">
        <f>SUMPRODUCT(Calc!$K$3:$K$22*(Calc!$G$3:$G$22&gt;A4332)*(Calc!$G$3:$G$22-A4332)*(Calc!$G$3:$G$22&gt;B4332)*(Calc!$G$3:$G$22-B4332))</f>
        <v/>
      </c>
      <c r="L4332">
        <f>SUMPRODUCT(Calc!$K$3:$K$22*(Calc!$G$3:$G$22&gt;A4332)*(Calc!$G$3:$G$22-A4332)*Calc!$G$3:$G$22)</f>
        <v/>
      </c>
      <c r="M4332">
        <f>SUMPRODUCT(Calc!$K$3:$K$22*(Calc!$G$3:$G$22&gt;B4332)*(Calc!$G$3:$G$22-B4332)*Calc!$G$3:$G$22)</f>
        <v/>
      </c>
      <c r="N4332">
        <f>SUMPRODUCT(Calc!$K$3:$K$22*(Calc!$G$3:$G$22&gt;A4332)*(Calc!$G$3:$G$22-A4332)*Calc!$I$3:$I$22)</f>
        <v/>
      </c>
      <c r="O4332">
        <f>SUMPRODUCT(Calc!$K$3:$K$22*(Calc!$G$3:$G$22&gt;B4332)*(Calc!$G$3:$G$22-B4332)*Calc!$I$3:$I$22)</f>
        <v/>
      </c>
      <c r="P4332">
        <f>I4332-G4332^2/k_n</f>
        <v/>
      </c>
      <c r="Q4332">
        <f>J4332-H4332^2/k_n</f>
        <v/>
      </c>
      <c r="R4332">
        <f>K4332-G4332*H4332/k_n</f>
        <v/>
      </c>
      <c r="S4332">
        <f>L4332-LTP3!$D$3*G4332/k_n</f>
        <v/>
      </c>
      <c r="T4332">
        <f>M4332-LTP3!$D$3*H4332/k_n</f>
        <v/>
      </c>
      <c r="U4332">
        <f>N4332-G4332*LTP3!$D$4/k_n</f>
        <v/>
      </c>
      <c r="V4332">
        <f>O4332-H4332*LTP3!$D$4/k_n</f>
        <v/>
      </c>
      <c r="W4332">
        <f>((LTP3!$D$5)*((P4332)*(Q4332)-(R4332)*(R4332))-(S4332)*((S4332)*(Q4332)-(R4332)*(T4332))+(T4332)*((S4332)*(R4332)-(P4332)*(T4332)))</f>
        <v/>
      </c>
      <c r="X4332">
        <f>IF(ABS(W4332)&gt;1E-12,((LTP3!$D$6)*((P4332)*(Q4332)-(R4332)*(R4332))-(S4332)*((U4332)*(Q4332)-(R4332)*(V4332))+(T4332)*((U4332)*(R4332)-(P4332)*(V4332)))/W4332,0)</f>
        <v/>
      </c>
      <c r="Y4332">
        <f>IF(ABS(W4332)&gt;1E-12,((LTP3!$D$5)*((U4332)*(Q4332)-(R4332)*(V4332))-(LTP3!$D$6)*((S4332)*(Q4332)-(R4332)*(T4332))+(T4332)*((S4332)*(V4332)-(U4332)*(T4332)))/W4332,0)</f>
        <v/>
      </c>
      <c r="Z4332">
        <f>IF(ABS(W4332)&gt;1E-12,((LTP3!$D$5)*((P4332)*(V4332)-(U4332)*(R4332))-(S4332)*((S4332)*(V4332)-(U4332)*(T4332))+(LTP3!$D$6)*((S4332)*(R4332)-(P4332)*(T4332)))/W4332,0)</f>
        <v/>
      </c>
      <c r="AA4332">
        <f>LTP3!$D$7-X4332*LTP3!$D$6-Y4332*U4332-Z4332*V4332</f>
        <v/>
      </c>
      <c r="AB4332">
        <f>IF(AND(F4332,ABS(W4332)&gt;1E-12,Y4332&gt;0,Z4332&gt;0),AA4332,1E+300)</f>
        <v/>
      </c>
    </row>
    <row r="4333">
      <c r="A4333">
        <f>$I$4-$B$5/10+$B$5*7/100</f>
        <v/>
      </c>
      <c r="B4333">
        <f>$J$4-$B$5/10+$B$5*6/100</f>
        <v/>
      </c>
      <c r="C4333">
        <f>SUMPRODUCT(Calc!$K$3:$K$22*(Calc!$G$3:$G$22&lt;=A4333))</f>
        <v/>
      </c>
      <c r="D4333">
        <f>SUMPRODUCT(Calc!$K$3:$K$22*(Calc!$G$3:$G$22&gt;A4333)*(Calc!$G$3:$G$22&lt;B4333))</f>
        <v/>
      </c>
      <c r="E4333">
        <f>SUMPRODUCT(Calc!$K$3:$K$22*(Calc!$G$3:$G$22&gt;=B4333))</f>
        <v/>
      </c>
      <c r="F4333">
        <f>AND(k_n&gt;=5,B4333&gt;A4333+1E-9,C4333&gt;=2,D4333&gt;=1,E4333&gt;=2)</f>
        <v/>
      </c>
      <c r="G4333">
        <f>SUMPRODUCT(Calc!$K$3:$K$22*(Calc!$G$3:$G$22&gt;A4333)*(Calc!$G$3:$G$22-A4333))</f>
        <v/>
      </c>
      <c r="H4333">
        <f>SUMPRODUCT(Calc!$K$3:$K$22*(Calc!$G$3:$G$22&gt;B4333)*(Calc!$G$3:$G$22-B4333))</f>
        <v/>
      </c>
      <c r="I4333">
        <f>SUMPRODUCT(Calc!$K$3:$K$22*(Calc!$G$3:$G$22&gt;A4333)*(Calc!$G$3:$G$22-A4333)^2)</f>
        <v/>
      </c>
      <c r="J4333">
        <f>SUMPRODUCT(Calc!$K$3:$K$22*(Calc!$G$3:$G$22&gt;B4333)*(Calc!$G$3:$G$22-B4333)^2)</f>
        <v/>
      </c>
      <c r="K4333">
        <f>SUMPRODUCT(Calc!$K$3:$K$22*(Calc!$G$3:$G$22&gt;A4333)*(Calc!$G$3:$G$22-A4333)*(Calc!$G$3:$G$22&gt;B4333)*(Calc!$G$3:$G$22-B4333))</f>
        <v/>
      </c>
      <c r="L4333">
        <f>SUMPRODUCT(Calc!$K$3:$K$22*(Calc!$G$3:$G$22&gt;A4333)*(Calc!$G$3:$G$22-A4333)*Calc!$G$3:$G$22)</f>
        <v/>
      </c>
      <c r="M4333">
        <f>SUMPRODUCT(Calc!$K$3:$K$22*(Calc!$G$3:$G$22&gt;B4333)*(Calc!$G$3:$G$22-B4333)*Calc!$G$3:$G$22)</f>
        <v/>
      </c>
      <c r="N4333">
        <f>SUMPRODUCT(Calc!$K$3:$K$22*(Calc!$G$3:$G$22&gt;A4333)*(Calc!$G$3:$G$22-A4333)*Calc!$I$3:$I$22)</f>
        <v/>
      </c>
      <c r="O4333">
        <f>SUMPRODUCT(Calc!$K$3:$K$22*(Calc!$G$3:$G$22&gt;B4333)*(Calc!$G$3:$G$22-B4333)*Calc!$I$3:$I$22)</f>
        <v/>
      </c>
      <c r="P4333">
        <f>I4333-G4333^2/k_n</f>
        <v/>
      </c>
      <c r="Q4333">
        <f>J4333-H4333^2/k_n</f>
        <v/>
      </c>
      <c r="R4333">
        <f>K4333-G4333*H4333/k_n</f>
        <v/>
      </c>
      <c r="S4333">
        <f>L4333-LTP3!$D$3*G4333/k_n</f>
        <v/>
      </c>
      <c r="T4333">
        <f>M4333-LTP3!$D$3*H4333/k_n</f>
        <v/>
      </c>
      <c r="U4333">
        <f>N4333-G4333*LTP3!$D$4/k_n</f>
        <v/>
      </c>
      <c r="V4333">
        <f>O4333-H4333*LTP3!$D$4/k_n</f>
        <v/>
      </c>
      <c r="W4333">
        <f>((LTP3!$D$5)*((P4333)*(Q4333)-(R4333)*(R4333))-(S4333)*((S4333)*(Q4333)-(R4333)*(T4333))+(T4333)*((S4333)*(R4333)-(P4333)*(T4333)))</f>
        <v/>
      </c>
      <c r="X4333">
        <f>IF(ABS(W4333)&gt;1E-12,((LTP3!$D$6)*((P4333)*(Q4333)-(R4333)*(R4333))-(S4333)*((U4333)*(Q4333)-(R4333)*(V4333))+(T4333)*((U4333)*(R4333)-(P4333)*(V4333)))/W4333,0)</f>
        <v/>
      </c>
      <c r="Y4333">
        <f>IF(ABS(W4333)&gt;1E-12,((LTP3!$D$5)*((U4333)*(Q4333)-(R4333)*(V4333))-(LTP3!$D$6)*((S4333)*(Q4333)-(R4333)*(T4333))+(T4333)*((S4333)*(V4333)-(U4333)*(T4333)))/W4333,0)</f>
        <v/>
      </c>
      <c r="Z4333">
        <f>IF(ABS(W4333)&gt;1E-12,((LTP3!$D$5)*((P4333)*(V4333)-(U4333)*(R4333))-(S4333)*((S4333)*(V4333)-(U4333)*(T4333))+(LTP3!$D$6)*((S4333)*(R4333)-(P4333)*(T4333)))/W4333,0)</f>
        <v/>
      </c>
      <c r="AA4333">
        <f>LTP3!$D$7-X4333*LTP3!$D$6-Y4333*U4333-Z4333*V4333</f>
        <v/>
      </c>
      <c r="AB4333">
        <f>IF(AND(F4333,ABS(W4333)&gt;1E-12,Y4333&gt;0,Z4333&gt;0),AA4333,1E+300)</f>
        <v/>
      </c>
    </row>
    <row r="4334">
      <c r="A4334">
        <f>$I$4-$B$5/10+$B$5*7/100</f>
        <v/>
      </c>
      <c r="B4334">
        <f>$J$4-$B$5/10+$B$5*7/100</f>
        <v/>
      </c>
      <c r="C4334">
        <f>SUMPRODUCT(Calc!$K$3:$K$22*(Calc!$G$3:$G$22&lt;=A4334))</f>
        <v/>
      </c>
      <c r="D4334">
        <f>SUMPRODUCT(Calc!$K$3:$K$22*(Calc!$G$3:$G$22&gt;A4334)*(Calc!$G$3:$G$22&lt;B4334))</f>
        <v/>
      </c>
      <c r="E4334">
        <f>SUMPRODUCT(Calc!$K$3:$K$22*(Calc!$G$3:$G$22&gt;=B4334))</f>
        <v/>
      </c>
      <c r="F4334">
        <f>AND(k_n&gt;=5,B4334&gt;A4334+1E-9,C4334&gt;=2,D4334&gt;=1,E4334&gt;=2)</f>
        <v/>
      </c>
      <c r="G4334">
        <f>SUMPRODUCT(Calc!$K$3:$K$22*(Calc!$G$3:$G$22&gt;A4334)*(Calc!$G$3:$G$22-A4334))</f>
        <v/>
      </c>
      <c r="H4334">
        <f>SUMPRODUCT(Calc!$K$3:$K$22*(Calc!$G$3:$G$22&gt;B4334)*(Calc!$G$3:$G$22-B4334))</f>
        <v/>
      </c>
      <c r="I4334">
        <f>SUMPRODUCT(Calc!$K$3:$K$22*(Calc!$G$3:$G$22&gt;A4334)*(Calc!$G$3:$G$22-A4334)^2)</f>
        <v/>
      </c>
      <c r="J4334">
        <f>SUMPRODUCT(Calc!$K$3:$K$22*(Calc!$G$3:$G$22&gt;B4334)*(Calc!$G$3:$G$22-B4334)^2)</f>
        <v/>
      </c>
      <c r="K4334">
        <f>SUMPRODUCT(Calc!$K$3:$K$22*(Calc!$G$3:$G$22&gt;A4334)*(Calc!$G$3:$G$22-A4334)*(Calc!$G$3:$G$22&gt;B4334)*(Calc!$G$3:$G$22-B4334))</f>
        <v/>
      </c>
      <c r="L4334">
        <f>SUMPRODUCT(Calc!$K$3:$K$22*(Calc!$G$3:$G$22&gt;A4334)*(Calc!$G$3:$G$22-A4334)*Calc!$G$3:$G$22)</f>
        <v/>
      </c>
      <c r="M4334">
        <f>SUMPRODUCT(Calc!$K$3:$K$22*(Calc!$G$3:$G$22&gt;B4334)*(Calc!$G$3:$G$22-B4334)*Calc!$G$3:$G$22)</f>
        <v/>
      </c>
      <c r="N4334">
        <f>SUMPRODUCT(Calc!$K$3:$K$22*(Calc!$G$3:$G$22&gt;A4334)*(Calc!$G$3:$G$22-A4334)*Calc!$I$3:$I$22)</f>
        <v/>
      </c>
      <c r="O4334">
        <f>SUMPRODUCT(Calc!$K$3:$K$22*(Calc!$G$3:$G$22&gt;B4334)*(Calc!$G$3:$G$22-B4334)*Calc!$I$3:$I$22)</f>
        <v/>
      </c>
      <c r="P4334">
        <f>I4334-G4334^2/k_n</f>
        <v/>
      </c>
      <c r="Q4334">
        <f>J4334-H4334^2/k_n</f>
        <v/>
      </c>
      <c r="R4334">
        <f>K4334-G4334*H4334/k_n</f>
        <v/>
      </c>
      <c r="S4334">
        <f>L4334-LTP3!$D$3*G4334/k_n</f>
        <v/>
      </c>
      <c r="T4334">
        <f>M4334-LTP3!$D$3*H4334/k_n</f>
        <v/>
      </c>
      <c r="U4334">
        <f>N4334-G4334*LTP3!$D$4/k_n</f>
        <v/>
      </c>
      <c r="V4334">
        <f>O4334-H4334*LTP3!$D$4/k_n</f>
        <v/>
      </c>
      <c r="W4334">
        <f>((LTP3!$D$5)*((P4334)*(Q4334)-(R4334)*(R4334))-(S4334)*((S4334)*(Q4334)-(R4334)*(T4334))+(T4334)*((S4334)*(R4334)-(P4334)*(T4334)))</f>
        <v/>
      </c>
      <c r="X4334">
        <f>IF(ABS(W4334)&gt;1E-12,((LTP3!$D$6)*((P4334)*(Q4334)-(R4334)*(R4334))-(S4334)*((U4334)*(Q4334)-(R4334)*(V4334))+(T4334)*((U4334)*(R4334)-(P4334)*(V4334)))/W4334,0)</f>
        <v/>
      </c>
      <c r="Y4334">
        <f>IF(ABS(W4334)&gt;1E-12,((LTP3!$D$5)*((U4334)*(Q4334)-(R4334)*(V4334))-(LTP3!$D$6)*((S4334)*(Q4334)-(R4334)*(T4334))+(T4334)*((S4334)*(V4334)-(U4334)*(T4334)))/W4334,0)</f>
        <v/>
      </c>
      <c r="Z4334">
        <f>IF(ABS(W4334)&gt;1E-12,((LTP3!$D$5)*((P4334)*(V4334)-(U4334)*(R4334))-(S4334)*((S4334)*(V4334)-(U4334)*(T4334))+(LTP3!$D$6)*((S4334)*(R4334)-(P4334)*(T4334)))/W4334,0)</f>
        <v/>
      </c>
      <c r="AA4334">
        <f>LTP3!$D$7-X4334*LTP3!$D$6-Y4334*U4334-Z4334*V4334</f>
        <v/>
      </c>
      <c r="AB4334">
        <f>IF(AND(F4334,ABS(W4334)&gt;1E-12,Y4334&gt;0,Z4334&gt;0),AA4334,1E+300)</f>
        <v/>
      </c>
    </row>
    <row r="4335">
      <c r="A4335">
        <f>$I$4-$B$5/10+$B$5*7/100</f>
        <v/>
      </c>
      <c r="B4335">
        <f>$J$4-$B$5/10+$B$5*8/100</f>
        <v/>
      </c>
      <c r="C4335">
        <f>SUMPRODUCT(Calc!$K$3:$K$22*(Calc!$G$3:$G$22&lt;=A4335))</f>
        <v/>
      </c>
      <c r="D4335">
        <f>SUMPRODUCT(Calc!$K$3:$K$22*(Calc!$G$3:$G$22&gt;A4335)*(Calc!$G$3:$G$22&lt;B4335))</f>
        <v/>
      </c>
      <c r="E4335">
        <f>SUMPRODUCT(Calc!$K$3:$K$22*(Calc!$G$3:$G$22&gt;=B4335))</f>
        <v/>
      </c>
      <c r="F4335">
        <f>AND(k_n&gt;=5,B4335&gt;A4335+1E-9,C4335&gt;=2,D4335&gt;=1,E4335&gt;=2)</f>
        <v/>
      </c>
      <c r="G4335">
        <f>SUMPRODUCT(Calc!$K$3:$K$22*(Calc!$G$3:$G$22&gt;A4335)*(Calc!$G$3:$G$22-A4335))</f>
        <v/>
      </c>
      <c r="H4335">
        <f>SUMPRODUCT(Calc!$K$3:$K$22*(Calc!$G$3:$G$22&gt;B4335)*(Calc!$G$3:$G$22-B4335))</f>
        <v/>
      </c>
      <c r="I4335">
        <f>SUMPRODUCT(Calc!$K$3:$K$22*(Calc!$G$3:$G$22&gt;A4335)*(Calc!$G$3:$G$22-A4335)^2)</f>
        <v/>
      </c>
      <c r="J4335">
        <f>SUMPRODUCT(Calc!$K$3:$K$22*(Calc!$G$3:$G$22&gt;B4335)*(Calc!$G$3:$G$22-B4335)^2)</f>
        <v/>
      </c>
      <c r="K4335">
        <f>SUMPRODUCT(Calc!$K$3:$K$22*(Calc!$G$3:$G$22&gt;A4335)*(Calc!$G$3:$G$22-A4335)*(Calc!$G$3:$G$22&gt;B4335)*(Calc!$G$3:$G$22-B4335))</f>
        <v/>
      </c>
      <c r="L4335">
        <f>SUMPRODUCT(Calc!$K$3:$K$22*(Calc!$G$3:$G$22&gt;A4335)*(Calc!$G$3:$G$22-A4335)*Calc!$G$3:$G$22)</f>
        <v/>
      </c>
      <c r="M4335">
        <f>SUMPRODUCT(Calc!$K$3:$K$22*(Calc!$G$3:$G$22&gt;B4335)*(Calc!$G$3:$G$22-B4335)*Calc!$G$3:$G$22)</f>
        <v/>
      </c>
      <c r="N4335">
        <f>SUMPRODUCT(Calc!$K$3:$K$22*(Calc!$G$3:$G$22&gt;A4335)*(Calc!$G$3:$G$22-A4335)*Calc!$I$3:$I$22)</f>
        <v/>
      </c>
      <c r="O4335">
        <f>SUMPRODUCT(Calc!$K$3:$K$22*(Calc!$G$3:$G$22&gt;B4335)*(Calc!$G$3:$G$22-B4335)*Calc!$I$3:$I$22)</f>
        <v/>
      </c>
      <c r="P4335">
        <f>I4335-G4335^2/k_n</f>
        <v/>
      </c>
      <c r="Q4335">
        <f>J4335-H4335^2/k_n</f>
        <v/>
      </c>
      <c r="R4335">
        <f>K4335-G4335*H4335/k_n</f>
        <v/>
      </c>
      <c r="S4335">
        <f>L4335-LTP3!$D$3*G4335/k_n</f>
        <v/>
      </c>
      <c r="T4335">
        <f>M4335-LTP3!$D$3*H4335/k_n</f>
        <v/>
      </c>
      <c r="U4335">
        <f>N4335-G4335*LTP3!$D$4/k_n</f>
        <v/>
      </c>
      <c r="V4335">
        <f>O4335-H4335*LTP3!$D$4/k_n</f>
        <v/>
      </c>
      <c r="W4335">
        <f>((LTP3!$D$5)*((P4335)*(Q4335)-(R4335)*(R4335))-(S4335)*((S4335)*(Q4335)-(R4335)*(T4335))+(T4335)*((S4335)*(R4335)-(P4335)*(T4335)))</f>
        <v/>
      </c>
      <c r="X4335">
        <f>IF(ABS(W4335)&gt;1E-12,((LTP3!$D$6)*((P4335)*(Q4335)-(R4335)*(R4335))-(S4335)*((U4335)*(Q4335)-(R4335)*(V4335))+(T4335)*((U4335)*(R4335)-(P4335)*(V4335)))/W4335,0)</f>
        <v/>
      </c>
      <c r="Y4335">
        <f>IF(ABS(W4335)&gt;1E-12,((LTP3!$D$5)*((U4335)*(Q4335)-(R4335)*(V4335))-(LTP3!$D$6)*((S4335)*(Q4335)-(R4335)*(T4335))+(T4335)*((S4335)*(V4335)-(U4335)*(T4335)))/W4335,0)</f>
        <v/>
      </c>
      <c r="Z4335">
        <f>IF(ABS(W4335)&gt;1E-12,((LTP3!$D$5)*((P4335)*(V4335)-(U4335)*(R4335))-(S4335)*((S4335)*(V4335)-(U4335)*(T4335))+(LTP3!$D$6)*((S4335)*(R4335)-(P4335)*(T4335)))/W4335,0)</f>
        <v/>
      </c>
      <c r="AA4335">
        <f>LTP3!$D$7-X4335*LTP3!$D$6-Y4335*U4335-Z4335*V4335</f>
        <v/>
      </c>
      <c r="AB4335">
        <f>IF(AND(F4335,ABS(W4335)&gt;1E-12,Y4335&gt;0,Z4335&gt;0),AA4335,1E+300)</f>
        <v/>
      </c>
    </row>
    <row r="4336">
      <c r="A4336">
        <f>$I$4-$B$5/10+$B$5*7/100</f>
        <v/>
      </c>
      <c r="B4336">
        <f>$J$4-$B$5/10+$B$5*9/100</f>
        <v/>
      </c>
      <c r="C4336">
        <f>SUMPRODUCT(Calc!$K$3:$K$22*(Calc!$G$3:$G$22&lt;=A4336))</f>
        <v/>
      </c>
      <c r="D4336">
        <f>SUMPRODUCT(Calc!$K$3:$K$22*(Calc!$G$3:$G$22&gt;A4336)*(Calc!$G$3:$G$22&lt;B4336))</f>
        <v/>
      </c>
      <c r="E4336">
        <f>SUMPRODUCT(Calc!$K$3:$K$22*(Calc!$G$3:$G$22&gt;=B4336))</f>
        <v/>
      </c>
      <c r="F4336">
        <f>AND(k_n&gt;=5,B4336&gt;A4336+1E-9,C4336&gt;=2,D4336&gt;=1,E4336&gt;=2)</f>
        <v/>
      </c>
      <c r="G4336">
        <f>SUMPRODUCT(Calc!$K$3:$K$22*(Calc!$G$3:$G$22&gt;A4336)*(Calc!$G$3:$G$22-A4336))</f>
        <v/>
      </c>
      <c r="H4336">
        <f>SUMPRODUCT(Calc!$K$3:$K$22*(Calc!$G$3:$G$22&gt;B4336)*(Calc!$G$3:$G$22-B4336))</f>
        <v/>
      </c>
      <c r="I4336">
        <f>SUMPRODUCT(Calc!$K$3:$K$22*(Calc!$G$3:$G$22&gt;A4336)*(Calc!$G$3:$G$22-A4336)^2)</f>
        <v/>
      </c>
      <c r="J4336">
        <f>SUMPRODUCT(Calc!$K$3:$K$22*(Calc!$G$3:$G$22&gt;B4336)*(Calc!$G$3:$G$22-B4336)^2)</f>
        <v/>
      </c>
      <c r="K4336">
        <f>SUMPRODUCT(Calc!$K$3:$K$22*(Calc!$G$3:$G$22&gt;A4336)*(Calc!$G$3:$G$22-A4336)*(Calc!$G$3:$G$22&gt;B4336)*(Calc!$G$3:$G$22-B4336))</f>
        <v/>
      </c>
      <c r="L4336">
        <f>SUMPRODUCT(Calc!$K$3:$K$22*(Calc!$G$3:$G$22&gt;A4336)*(Calc!$G$3:$G$22-A4336)*Calc!$G$3:$G$22)</f>
        <v/>
      </c>
      <c r="M4336">
        <f>SUMPRODUCT(Calc!$K$3:$K$22*(Calc!$G$3:$G$22&gt;B4336)*(Calc!$G$3:$G$22-B4336)*Calc!$G$3:$G$22)</f>
        <v/>
      </c>
      <c r="N4336">
        <f>SUMPRODUCT(Calc!$K$3:$K$22*(Calc!$G$3:$G$22&gt;A4336)*(Calc!$G$3:$G$22-A4336)*Calc!$I$3:$I$22)</f>
        <v/>
      </c>
      <c r="O4336">
        <f>SUMPRODUCT(Calc!$K$3:$K$22*(Calc!$G$3:$G$22&gt;B4336)*(Calc!$G$3:$G$22-B4336)*Calc!$I$3:$I$22)</f>
        <v/>
      </c>
      <c r="P4336">
        <f>I4336-G4336^2/k_n</f>
        <v/>
      </c>
      <c r="Q4336">
        <f>J4336-H4336^2/k_n</f>
        <v/>
      </c>
      <c r="R4336">
        <f>K4336-G4336*H4336/k_n</f>
        <v/>
      </c>
      <c r="S4336">
        <f>L4336-LTP3!$D$3*G4336/k_n</f>
        <v/>
      </c>
      <c r="T4336">
        <f>M4336-LTP3!$D$3*H4336/k_n</f>
        <v/>
      </c>
      <c r="U4336">
        <f>N4336-G4336*LTP3!$D$4/k_n</f>
        <v/>
      </c>
      <c r="V4336">
        <f>O4336-H4336*LTP3!$D$4/k_n</f>
        <v/>
      </c>
      <c r="W4336">
        <f>((LTP3!$D$5)*((P4336)*(Q4336)-(R4336)*(R4336))-(S4336)*((S4336)*(Q4336)-(R4336)*(T4336))+(T4336)*((S4336)*(R4336)-(P4336)*(T4336)))</f>
        <v/>
      </c>
      <c r="X4336">
        <f>IF(ABS(W4336)&gt;1E-12,((LTP3!$D$6)*((P4336)*(Q4336)-(R4336)*(R4336))-(S4336)*((U4336)*(Q4336)-(R4336)*(V4336))+(T4336)*((U4336)*(R4336)-(P4336)*(V4336)))/W4336,0)</f>
        <v/>
      </c>
      <c r="Y4336">
        <f>IF(ABS(W4336)&gt;1E-12,((LTP3!$D$5)*((U4336)*(Q4336)-(R4336)*(V4336))-(LTP3!$D$6)*((S4336)*(Q4336)-(R4336)*(T4336))+(T4336)*((S4336)*(V4336)-(U4336)*(T4336)))/W4336,0)</f>
        <v/>
      </c>
      <c r="Z4336">
        <f>IF(ABS(W4336)&gt;1E-12,((LTP3!$D$5)*((P4336)*(V4336)-(U4336)*(R4336))-(S4336)*((S4336)*(V4336)-(U4336)*(T4336))+(LTP3!$D$6)*((S4336)*(R4336)-(P4336)*(T4336)))/W4336,0)</f>
        <v/>
      </c>
      <c r="AA4336">
        <f>LTP3!$D$7-X4336*LTP3!$D$6-Y4336*U4336-Z4336*V4336</f>
        <v/>
      </c>
      <c r="AB4336">
        <f>IF(AND(F4336,ABS(W4336)&gt;1E-12,Y4336&gt;0,Z4336&gt;0),AA4336,1E+300)</f>
        <v/>
      </c>
    </row>
    <row r="4337">
      <c r="A4337">
        <f>$I$4-$B$5/10+$B$5*7/100</f>
        <v/>
      </c>
      <c r="B4337">
        <f>$J$4-$B$5/10+$B$5*10/100</f>
        <v/>
      </c>
      <c r="C4337">
        <f>SUMPRODUCT(Calc!$K$3:$K$22*(Calc!$G$3:$G$22&lt;=A4337))</f>
        <v/>
      </c>
      <c r="D4337">
        <f>SUMPRODUCT(Calc!$K$3:$K$22*(Calc!$G$3:$G$22&gt;A4337)*(Calc!$G$3:$G$22&lt;B4337))</f>
        <v/>
      </c>
      <c r="E4337">
        <f>SUMPRODUCT(Calc!$K$3:$K$22*(Calc!$G$3:$G$22&gt;=B4337))</f>
        <v/>
      </c>
      <c r="F4337">
        <f>AND(k_n&gt;=5,B4337&gt;A4337+1E-9,C4337&gt;=2,D4337&gt;=1,E4337&gt;=2)</f>
        <v/>
      </c>
      <c r="G4337">
        <f>SUMPRODUCT(Calc!$K$3:$K$22*(Calc!$G$3:$G$22&gt;A4337)*(Calc!$G$3:$G$22-A4337))</f>
        <v/>
      </c>
      <c r="H4337">
        <f>SUMPRODUCT(Calc!$K$3:$K$22*(Calc!$G$3:$G$22&gt;B4337)*(Calc!$G$3:$G$22-B4337))</f>
        <v/>
      </c>
      <c r="I4337">
        <f>SUMPRODUCT(Calc!$K$3:$K$22*(Calc!$G$3:$G$22&gt;A4337)*(Calc!$G$3:$G$22-A4337)^2)</f>
        <v/>
      </c>
      <c r="J4337">
        <f>SUMPRODUCT(Calc!$K$3:$K$22*(Calc!$G$3:$G$22&gt;B4337)*(Calc!$G$3:$G$22-B4337)^2)</f>
        <v/>
      </c>
      <c r="K4337">
        <f>SUMPRODUCT(Calc!$K$3:$K$22*(Calc!$G$3:$G$22&gt;A4337)*(Calc!$G$3:$G$22-A4337)*(Calc!$G$3:$G$22&gt;B4337)*(Calc!$G$3:$G$22-B4337))</f>
        <v/>
      </c>
      <c r="L4337">
        <f>SUMPRODUCT(Calc!$K$3:$K$22*(Calc!$G$3:$G$22&gt;A4337)*(Calc!$G$3:$G$22-A4337)*Calc!$G$3:$G$22)</f>
        <v/>
      </c>
      <c r="M4337">
        <f>SUMPRODUCT(Calc!$K$3:$K$22*(Calc!$G$3:$G$22&gt;B4337)*(Calc!$G$3:$G$22-B4337)*Calc!$G$3:$G$22)</f>
        <v/>
      </c>
      <c r="N4337">
        <f>SUMPRODUCT(Calc!$K$3:$K$22*(Calc!$G$3:$G$22&gt;A4337)*(Calc!$G$3:$G$22-A4337)*Calc!$I$3:$I$22)</f>
        <v/>
      </c>
      <c r="O4337">
        <f>SUMPRODUCT(Calc!$K$3:$K$22*(Calc!$G$3:$G$22&gt;B4337)*(Calc!$G$3:$G$22-B4337)*Calc!$I$3:$I$22)</f>
        <v/>
      </c>
      <c r="P4337">
        <f>I4337-G4337^2/k_n</f>
        <v/>
      </c>
      <c r="Q4337">
        <f>J4337-H4337^2/k_n</f>
        <v/>
      </c>
      <c r="R4337">
        <f>K4337-G4337*H4337/k_n</f>
        <v/>
      </c>
      <c r="S4337">
        <f>L4337-LTP3!$D$3*G4337/k_n</f>
        <v/>
      </c>
      <c r="T4337">
        <f>M4337-LTP3!$D$3*H4337/k_n</f>
        <v/>
      </c>
      <c r="U4337">
        <f>N4337-G4337*LTP3!$D$4/k_n</f>
        <v/>
      </c>
      <c r="V4337">
        <f>O4337-H4337*LTP3!$D$4/k_n</f>
        <v/>
      </c>
      <c r="W4337">
        <f>((LTP3!$D$5)*((P4337)*(Q4337)-(R4337)*(R4337))-(S4337)*((S4337)*(Q4337)-(R4337)*(T4337))+(T4337)*((S4337)*(R4337)-(P4337)*(T4337)))</f>
        <v/>
      </c>
      <c r="X4337">
        <f>IF(ABS(W4337)&gt;1E-12,((LTP3!$D$6)*((P4337)*(Q4337)-(R4337)*(R4337))-(S4337)*((U4337)*(Q4337)-(R4337)*(V4337))+(T4337)*((U4337)*(R4337)-(P4337)*(V4337)))/W4337,0)</f>
        <v/>
      </c>
      <c r="Y4337">
        <f>IF(ABS(W4337)&gt;1E-12,((LTP3!$D$5)*((U4337)*(Q4337)-(R4337)*(V4337))-(LTP3!$D$6)*((S4337)*(Q4337)-(R4337)*(T4337))+(T4337)*((S4337)*(V4337)-(U4337)*(T4337)))/W4337,0)</f>
        <v/>
      </c>
      <c r="Z4337">
        <f>IF(ABS(W4337)&gt;1E-12,((LTP3!$D$5)*((P4337)*(V4337)-(U4337)*(R4337))-(S4337)*((S4337)*(V4337)-(U4337)*(T4337))+(LTP3!$D$6)*((S4337)*(R4337)-(P4337)*(T4337)))/W4337,0)</f>
        <v/>
      </c>
      <c r="AA4337">
        <f>LTP3!$D$7-X4337*LTP3!$D$6-Y4337*U4337-Z4337*V4337</f>
        <v/>
      </c>
      <c r="AB4337">
        <f>IF(AND(F4337,ABS(W4337)&gt;1E-12,Y4337&gt;0,Z4337&gt;0),AA4337,1E+300)</f>
        <v/>
      </c>
    </row>
    <row r="4338">
      <c r="A4338">
        <f>$I$4-$B$5/10+$B$5*7/100</f>
        <v/>
      </c>
      <c r="B4338">
        <f>$J$4-$B$5/10+$B$5*11/100</f>
        <v/>
      </c>
      <c r="C4338">
        <f>SUMPRODUCT(Calc!$K$3:$K$22*(Calc!$G$3:$G$22&lt;=A4338))</f>
        <v/>
      </c>
      <c r="D4338">
        <f>SUMPRODUCT(Calc!$K$3:$K$22*(Calc!$G$3:$G$22&gt;A4338)*(Calc!$G$3:$G$22&lt;B4338))</f>
        <v/>
      </c>
      <c r="E4338">
        <f>SUMPRODUCT(Calc!$K$3:$K$22*(Calc!$G$3:$G$22&gt;=B4338))</f>
        <v/>
      </c>
      <c r="F4338">
        <f>AND(k_n&gt;=5,B4338&gt;A4338+1E-9,C4338&gt;=2,D4338&gt;=1,E4338&gt;=2)</f>
        <v/>
      </c>
      <c r="G4338">
        <f>SUMPRODUCT(Calc!$K$3:$K$22*(Calc!$G$3:$G$22&gt;A4338)*(Calc!$G$3:$G$22-A4338))</f>
        <v/>
      </c>
      <c r="H4338">
        <f>SUMPRODUCT(Calc!$K$3:$K$22*(Calc!$G$3:$G$22&gt;B4338)*(Calc!$G$3:$G$22-B4338))</f>
        <v/>
      </c>
      <c r="I4338">
        <f>SUMPRODUCT(Calc!$K$3:$K$22*(Calc!$G$3:$G$22&gt;A4338)*(Calc!$G$3:$G$22-A4338)^2)</f>
        <v/>
      </c>
      <c r="J4338">
        <f>SUMPRODUCT(Calc!$K$3:$K$22*(Calc!$G$3:$G$22&gt;B4338)*(Calc!$G$3:$G$22-B4338)^2)</f>
        <v/>
      </c>
      <c r="K4338">
        <f>SUMPRODUCT(Calc!$K$3:$K$22*(Calc!$G$3:$G$22&gt;A4338)*(Calc!$G$3:$G$22-A4338)*(Calc!$G$3:$G$22&gt;B4338)*(Calc!$G$3:$G$22-B4338))</f>
        <v/>
      </c>
      <c r="L4338">
        <f>SUMPRODUCT(Calc!$K$3:$K$22*(Calc!$G$3:$G$22&gt;A4338)*(Calc!$G$3:$G$22-A4338)*Calc!$G$3:$G$22)</f>
        <v/>
      </c>
      <c r="M4338">
        <f>SUMPRODUCT(Calc!$K$3:$K$22*(Calc!$G$3:$G$22&gt;B4338)*(Calc!$G$3:$G$22-B4338)*Calc!$G$3:$G$22)</f>
        <v/>
      </c>
      <c r="N4338">
        <f>SUMPRODUCT(Calc!$K$3:$K$22*(Calc!$G$3:$G$22&gt;A4338)*(Calc!$G$3:$G$22-A4338)*Calc!$I$3:$I$22)</f>
        <v/>
      </c>
      <c r="O4338">
        <f>SUMPRODUCT(Calc!$K$3:$K$22*(Calc!$G$3:$G$22&gt;B4338)*(Calc!$G$3:$G$22-B4338)*Calc!$I$3:$I$22)</f>
        <v/>
      </c>
      <c r="P4338">
        <f>I4338-G4338^2/k_n</f>
        <v/>
      </c>
      <c r="Q4338">
        <f>J4338-H4338^2/k_n</f>
        <v/>
      </c>
      <c r="R4338">
        <f>K4338-G4338*H4338/k_n</f>
        <v/>
      </c>
      <c r="S4338">
        <f>L4338-LTP3!$D$3*G4338/k_n</f>
        <v/>
      </c>
      <c r="T4338">
        <f>M4338-LTP3!$D$3*H4338/k_n</f>
        <v/>
      </c>
      <c r="U4338">
        <f>N4338-G4338*LTP3!$D$4/k_n</f>
        <v/>
      </c>
      <c r="V4338">
        <f>O4338-H4338*LTP3!$D$4/k_n</f>
        <v/>
      </c>
      <c r="W4338">
        <f>((LTP3!$D$5)*((P4338)*(Q4338)-(R4338)*(R4338))-(S4338)*((S4338)*(Q4338)-(R4338)*(T4338))+(T4338)*((S4338)*(R4338)-(P4338)*(T4338)))</f>
        <v/>
      </c>
      <c r="X4338">
        <f>IF(ABS(W4338)&gt;1E-12,((LTP3!$D$6)*((P4338)*(Q4338)-(R4338)*(R4338))-(S4338)*((U4338)*(Q4338)-(R4338)*(V4338))+(T4338)*((U4338)*(R4338)-(P4338)*(V4338)))/W4338,0)</f>
        <v/>
      </c>
      <c r="Y4338">
        <f>IF(ABS(W4338)&gt;1E-12,((LTP3!$D$5)*((U4338)*(Q4338)-(R4338)*(V4338))-(LTP3!$D$6)*((S4338)*(Q4338)-(R4338)*(T4338))+(T4338)*((S4338)*(V4338)-(U4338)*(T4338)))/W4338,0)</f>
        <v/>
      </c>
      <c r="Z4338">
        <f>IF(ABS(W4338)&gt;1E-12,((LTP3!$D$5)*((P4338)*(V4338)-(U4338)*(R4338))-(S4338)*((S4338)*(V4338)-(U4338)*(T4338))+(LTP3!$D$6)*((S4338)*(R4338)-(P4338)*(T4338)))/W4338,0)</f>
        <v/>
      </c>
      <c r="AA4338">
        <f>LTP3!$D$7-X4338*LTP3!$D$6-Y4338*U4338-Z4338*V4338</f>
        <v/>
      </c>
      <c r="AB4338">
        <f>IF(AND(F4338,ABS(W4338)&gt;1E-12,Y4338&gt;0,Z4338&gt;0),AA4338,1E+300)</f>
        <v/>
      </c>
    </row>
    <row r="4339">
      <c r="A4339">
        <f>$I$4-$B$5/10+$B$5*7/100</f>
        <v/>
      </c>
      <c r="B4339">
        <f>$J$4-$B$5/10+$B$5*12/100</f>
        <v/>
      </c>
      <c r="C4339">
        <f>SUMPRODUCT(Calc!$K$3:$K$22*(Calc!$G$3:$G$22&lt;=A4339))</f>
        <v/>
      </c>
      <c r="D4339">
        <f>SUMPRODUCT(Calc!$K$3:$K$22*(Calc!$G$3:$G$22&gt;A4339)*(Calc!$G$3:$G$22&lt;B4339))</f>
        <v/>
      </c>
      <c r="E4339">
        <f>SUMPRODUCT(Calc!$K$3:$K$22*(Calc!$G$3:$G$22&gt;=B4339))</f>
        <v/>
      </c>
      <c r="F4339">
        <f>AND(k_n&gt;=5,B4339&gt;A4339+1E-9,C4339&gt;=2,D4339&gt;=1,E4339&gt;=2)</f>
        <v/>
      </c>
      <c r="G4339">
        <f>SUMPRODUCT(Calc!$K$3:$K$22*(Calc!$G$3:$G$22&gt;A4339)*(Calc!$G$3:$G$22-A4339))</f>
        <v/>
      </c>
      <c r="H4339">
        <f>SUMPRODUCT(Calc!$K$3:$K$22*(Calc!$G$3:$G$22&gt;B4339)*(Calc!$G$3:$G$22-B4339))</f>
        <v/>
      </c>
      <c r="I4339">
        <f>SUMPRODUCT(Calc!$K$3:$K$22*(Calc!$G$3:$G$22&gt;A4339)*(Calc!$G$3:$G$22-A4339)^2)</f>
        <v/>
      </c>
      <c r="J4339">
        <f>SUMPRODUCT(Calc!$K$3:$K$22*(Calc!$G$3:$G$22&gt;B4339)*(Calc!$G$3:$G$22-B4339)^2)</f>
        <v/>
      </c>
      <c r="K4339">
        <f>SUMPRODUCT(Calc!$K$3:$K$22*(Calc!$G$3:$G$22&gt;A4339)*(Calc!$G$3:$G$22-A4339)*(Calc!$G$3:$G$22&gt;B4339)*(Calc!$G$3:$G$22-B4339))</f>
        <v/>
      </c>
      <c r="L4339">
        <f>SUMPRODUCT(Calc!$K$3:$K$22*(Calc!$G$3:$G$22&gt;A4339)*(Calc!$G$3:$G$22-A4339)*Calc!$G$3:$G$22)</f>
        <v/>
      </c>
      <c r="M4339">
        <f>SUMPRODUCT(Calc!$K$3:$K$22*(Calc!$G$3:$G$22&gt;B4339)*(Calc!$G$3:$G$22-B4339)*Calc!$G$3:$G$22)</f>
        <v/>
      </c>
      <c r="N4339">
        <f>SUMPRODUCT(Calc!$K$3:$K$22*(Calc!$G$3:$G$22&gt;A4339)*(Calc!$G$3:$G$22-A4339)*Calc!$I$3:$I$22)</f>
        <v/>
      </c>
      <c r="O4339">
        <f>SUMPRODUCT(Calc!$K$3:$K$22*(Calc!$G$3:$G$22&gt;B4339)*(Calc!$G$3:$G$22-B4339)*Calc!$I$3:$I$22)</f>
        <v/>
      </c>
      <c r="P4339">
        <f>I4339-G4339^2/k_n</f>
        <v/>
      </c>
      <c r="Q4339">
        <f>J4339-H4339^2/k_n</f>
        <v/>
      </c>
      <c r="R4339">
        <f>K4339-G4339*H4339/k_n</f>
        <v/>
      </c>
      <c r="S4339">
        <f>L4339-LTP3!$D$3*G4339/k_n</f>
        <v/>
      </c>
      <c r="T4339">
        <f>M4339-LTP3!$D$3*H4339/k_n</f>
        <v/>
      </c>
      <c r="U4339">
        <f>N4339-G4339*LTP3!$D$4/k_n</f>
        <v/>
      </c>
      <c r="V4339">
        <f>O4339-H4339*LTP3!$D$4/k_n</f>
        <v/>
      </c>
      <c r="W4339">
        <f>((LTP3!$D$5)*((P4339)*(Q4339)-(R4339)*(R4339))-(S4339)*((S4339)*(Q4339)-(R4339)*(T4339))+(T4339)*((S4339)*(R4339)-(P4339)*(T4339)))</f>
        <v/>
      </c>
      <c r="X4339">
        <f>IF(ABS(W4339)&gt;1E-12,((LTP3!$D$6)*((P4339)*(Q4339)-(R4339)*(R4339))-(S4339)*((U4339)*(Q4339)-(R4339)*(V4339))+(T4339)*((U4339)*(R4339)-(P4339)*(V4339)))/W4339,0)</f>
        <v/>
      </c>
      <c r="Y4339">
        <f>IF(ABS(W4339)&gt;1E-12,((LTP3!$D$5)*((U4339)*(Q4339)-(R4339)*(V4339))-(LTP3!$D$6)*((S4339)*(Q4339)-(R4339)*(T4339))+(T4339)*((S4339)*(V4339)-(U4339)*(T4339)))/W4339,0)</f>
        <v/>
      </c>
      <c r="Z4339">
        <f>IF(ABS(W4339)&gt;1E-12,((LTP3!$D$5)*((P4339)*(V4339)-(U4339)*(R4339))-(S4339)*((S4339)*(V4339)-(U4339)*(T4339))+(LTP3!$D$6)*((S4339)*(R4339)-(P4339)*(T4339)))/W4339,0)</f>
        <v/>
      </c>
      <c r="AA4339">
        <f>LTP3!$D$7-X4339*LTP3!$D$6-Y4339*U4339-Z4339*V4339</f>
        <v/>
      </c>
      <c r="AB4339">
        <f>IF(AND(F4339,ABS(W4339)&gt;1E-12,Y4339&gt;0,Z4339&gt;0),AA4339,1E+300)</f>
        <v/>
      </c>
    </row>
    <row r="4340">
      <c r="A4340">
        <f>$I$4-$B$5/10+$B$5*7/100</f>
        <v/>
      </c>
      <c r="B4340">
        <f>$J$4-$B$5/10+$B$5*13/100</f>
        <v/>
      </c>
      <c r="C4340">
        <f>SUMPRODUCT(Calc!$K$3:$K$22*(Calc!$G$3:$G$22&lt;=A4340))</f>
        <v/>
      </c>
      <c r="D4340">
        <f>SUMPRODUCT(Calc!$K$3:$K$22*(Calc!$G$3:$G$22&gt;A4340)*(Calc!$G$3:$G$22&lt;B4340))</f>
        <v/>
      </c>
      <c r="E4340">
        <f>SUMPRODUCT(Calc!$K$3:$K$22*(Calc!$G$3:$G$22&gt;=B4340))</f>
        <v/>
      </c>
      <c r="F4340">
        <f>AND(k_n&gt;=5,B4340&gt;A4340+1E-9,C4340&gt;=2,D4340&gt;=1,E4340&gt;=2)</f>
        <v/>
      </c>
      <c r="G4340">
        <f>SUMPRODUCT(Calc!$K$3:$K$22*(Calc!$G$3:$G$22&gt;A4340)*(Calc!$G$3:$G$22-A4340))</f>
        <v/>
      </c>
      <c r="H4340">
        <f>SUMPRODUCT(Calc!$K$3:$K$22*(Calc!$G$3:$G$22&gt;B4340)*(Calc!$G$3:$G$22-B4340))</f>
        <v/>
      </c>
      <c r="I4340">
        <f>SUMPRODUCT(Calc!$K$3:$K$22*(Calc!$G$3:$G$22&gt;A4340)*(Calc!$G$3:$G$22-A4340)^2)</f>
        <v/>
      </c>
      <c r="J4340">
        <f>SUMPRODUCT(Calc!$K$3:$K$22*(Calc!$G$3:$G$22&gt;B4340)*(Calc!$G$3:$G$22-B4340)^2)</f>
        <v/>
      </c>
      <c r="K4340">
        <f>SUMPRODUCT(Calc!$K$3:$K$22*(Calc!$G$3:$G$22&gt;A4340)*(Calc!$G$3:$G$22-A4340)*(Calc!$G$3:$G$22&gt;B4340)*(Calc!$G$3:$G$22-B4340))</f>
        <v/>
      </c>
      <c r="L4340">
        <f>SUMPRODUCT(Calc!$K$3:$K$22*(Calc!$G$3:$G$22&gt;A4340)*(Calc!$G$3:$G$22-A4340)*Calc!$G$3:$G$22)</f>
        <v/>
      </c>
      <c r="M4340">
        <f>SUMPRODUCT(Calc!$K$3:$K$22*(Calc!$G$3:$G$22&gt;B4340)*(Calc!$G$3:$G$22-B4340)*Calc!$G$3:$G$22)</f>
        <v/>
      </c>
      <c r="N4340">
        <f>SUMPRODUCT(Calc!$K$3:$K$22*(Calc!$G$3:$G$22&gt;A4340)*(Calc!$G$3:$G$22-A4340)*Calc!$I$3:$I$22)</f>
        <v/>
      </c>
      <c r="O4340">
        <f>SUMPRODUCT(Calc!$K$3:$K$22*(Calc!$G$3:$G$22&gt;B4340)*(Calc!$G$3:$G$22-B4340)*Calc!$I$3:$I$22)</f>
        <v/>
      </c>
      <c r="P4340">
        <f>I4340-G4340^2/k_n</f>
        <v/>
      </c>
      <c r="Q4340">
        <f>J4340-H4340^2/k_n</f>
        <v/>
      </c>
      <c r="R4340">
        <f>K4340-G4340*H4340/k_n</f>
        <v/>
      </c>
      <c r="S4340">
        <f>L4340-LTP3!$D$3*G4340/k_n</f>
        <v/>
      </c>
      <c r="T4340">
        <f>M4340-LTP3!$D$3*H4340/k_n</f>
        <v/>
      </c>
      <c r="U4340">
        <f>N4340-G4340*LTP3!$D$4/k_n</f>
        <v/>
      </c>
      <c r="V4340">
        <f>O4340-H4340*LTP3!$D$4/k_n</f>
        <v/>
      </c>
      <c r="W4340">
        <f>((LTP3!$D$5)*((P4340)*(Q4340)-(R4340)*(R4340))-(S4340)*((S4340)*(Q4340)-(R4340)*(T4340))+(T4340)*((S4340)*(R4340)-(P4340)*(T4340)))</f>
        <v/>
      </c>
      <c r="X4340">
        <f>IF(ABS(W4340)&gt;1E-12,((LTP3!$D$6)*((P4340)*(Q4340)-(R4340)*(R4340))-(S4340)*((U4340)*(Q4340)-(R4340)*(V4340))+(T4340)*((U4340)*(R4340)-(P4340)*(V4340)))/W4340,0)</f>
        <v/>
      </c>
      <c r="Y4340">
        <f>IF(ABS(W4340)&gt;1E-12,((LTP3!$D$5)*((U4340)*(Q4340)-(R4340)*(V4340))-(LTP3!$D$6)*((S4340)*(Q4340)-(R4340)*(T4340))+(T4340)*((S4340)*(V4340)-(U4340)*(T4340)))/W4340,0)</f>
        <v/>
      </c>
      <c r="Z4340">
        <f>IF(ABS(W4340)&gt;1E-12,((LTP3!$D$5)*((P4340)*(V4340)-(U4340)*(R4340))-(S4340)*((S4340)*(V4340)-(U4340)*(T4340))+(LTP3!$D$6)*((S4340)*(R4340)-(P4340)*(T4340)))/W4340,0)</f>
        <v/>
      </c>
      <c r="AA4340">
        <f>LTP3!$D$7-X4340*LTP3!$D$6-Y4340*U4340-Z4340*V4340</f>
        <v/>
      </c>
      <c r="AB4340">
        <f>IF(AND(F4340,ABS(W4340)&gt;1E-12,Y4340&gt;0,Z4340&gt;0),AA4340,1E+300)</f>
        <v/>
      </c>
    </row>
    <row r="4341">
      <c r="A4341">
        <f>$I$4-$B$5/10+$B$5*7/100</f>
        <v/>
      </c>
      <c r="B4341">
        <f>$J$4-$B$5/10+$B$5*14/100</f>
        <v/>
      </c>
      <c r="C4341">
        <f>SUMPRODUCT(Calc!$K$3:$K$22*(Calc!$G$3:$G$22&lt;=A4341))</f>
        <v/>
      </c>
      <c r="D4341">
        <f>SUMPRODUCT(Calc!$K$3:$K$22*(Calc!$G$3:$G$22&gt;A4341)*(Calc!$G$3:$G$22&lt;B4341))</f>
        <v/>
      </c>
      <c r="E4341">
        <f>SUMPRODUCT(Calc!$K$3:$K$22*(Calc!$G$3:$G$22&gt;=B4341))</f>
        <v/>
      </c>
      <c r="F4341">
        <f>AND(k_n&gt;=5,B4341&gt;A4341+1E-9,C4341&gt;=2,D4341&gt;=1,E4341&gt;=2)</f>
        <v/>
      </c>
      <c r="G4341">
        <f>SUMPRODUCT(Calc!$K$3:$K$22*(Calc!$G$3:$G$22&gt;A4341)*(Calc!$G$3:$G$22-A4341))</f>
        <v/>
      </c>
      <c r="H4341">
        <f>SUMPRODUCT(Calc!$K$3:$K$22*(Calc!$G$3:$G$22&gt;B4341)*(Calc!$G$3:$G$22-B4341))</f>
        <v/>
      </c>
      <c r="I4341">
        <f>SUMPRODUCT(Calc!$K$3:$K$22*(Calc!$G$3:$G$22&gt;A4341)*(Calc!$G$3:$G$22-A4341)^2)</f>
        <v/>
      </c>
      <c r="J4341">
        <f>SUMPRODUCT(Calc!$K$3:$K$22*(Calc!$G$3:$G$22&gt;B4341)*(Calc!$G$3:$G$22-B4341)^2)</f>
        <v/>
      </c>
      <c r="K4341">
        <f>SUMPRODUCT(Calc!$K$3:$K$22*(Calc!$G$3:$G$22&gt;A4341)*(Calc!$G$3:$G$22-A4341)*(Calc!$G$3:$G$22&gt;B4341)*(Calc!$G$3:$G$22-B4341))</f>
        <v/>
      </c>
      <c r="L4341">
        <f>SUMPRODUCT(Calc!$K$3:$K$22*(Calc!$G$3:$G$22&gt;A4341)*(Calc!$G$3:$G$22-A4341)*Calc!$G$3:$G$22)</f>
        <v/>
      </c>
      <c r="M4341">
        <f>SUMPRODUCT(Calc!$K$3:$K$22*(Calc!$G$3:$G$22&gt;B4341)*(Calc!$G$3:$G$22-B4341)*Calc!$G$3:$G$22)</f>
        <v/>
      </c>
      <c r="N4341">
        <f>SUMPRODUCT(Calc!$K$3:$K$22*(Calc!$G$3:$G$22&gt;A4341)*(Calc!$G$3:$G$22-A4341)*Calc!$I$3:$I$22)</f>
        <v/>
      </c>
      <c r="O4341">
        <f>SUMPRODUCT(Calc!$K$3:$K$22*(Calc!$G$3:$G$22&gt;B4341)*(Calc!$G$3:$G$22-B4341)*Calc!$I$3:$I$22)</f>
        <v/>
      </c>
      <c r="P4341">
        <f>I4341-G4341^2/k_n</f>
        <v/>
      </c>
      <c r="Q4341">
        <f>J4341-H4341^2/k_n</f>
        <v/>
      </c>
      <c r="R4341">
        <f>K4341-G4341*H4341/k_n</f>
        <v/>
      </c>
      <c r="S4341">
        <f>L4341-LTP3!$D$3*G4341/k_n</f>
        <v/>
      </c>
      <c r="T4341">
        <f>M4341-LTP3!$D$3*H4341/k_n</f>
        <v/>
      </c>
      <c r="U4341">
        <f>N4341-G4341*LTP3!$D$4/k_n</f>
        <v/>
      </c>
      <c r="V4341">
        <f>O4341-H4341*LTP3!$D$4/k_n</f>
        <v/>
      </c>
      <c r="W4341">
        <f>((LTP3!$D$5)*((P4341)*(Q4341)-(R4341)*(R4341))-(S4341)*((S4341)*(Q4341)-(R4341)*(T4341))+(T4341)*((S4341)*(R4341)-(P4341)*(T4341)))</f>
        <v/>
      </c>
      <c r="X4341">
        <f>IF(ABS(W4341)&gt;1E-12,((LTP3!$D$6)*((P4341)*(Q4341)-(R4341)*(R4341))-(S4341)*((U4341)*(Q4341)-(R4341)*(V4341))+(T4341)*((U4341)*(R4341)-(P4341)*(V4341)))/W4341,0)</f>
        <v/>
      </c>
      <c r="Y4341">
        <f>IF(ABS(W4341)&gt;1E-12,((LTP3!$D$5)*((U4341)*(Q4341)-(R4341)*(V4341))-(LTP3!$D$6)*((S4341)*(Q4341)-(R4341)*(T4341))+(T4341)*((S4341)*(V4341)-(U4341)*(T4341)))/W4341,0)</f>
        <v/>
      </c>
      <c r="Z4341">
        <f>IF(ABS(W4341)&gt;1E-12,((LTP3!$D$5)*((P4341)*(V4341)-(U4341)*(R4341))-(S4341)*((S4341)*(V4341)-(U4341)*(T4341))+(LTP3!$D$6)*((S4341)*(R4341)-(P4341)*(T4341)))/W4341,0)</f>
        <v/>
      </c>
      <c r="AA4341">
        <f>LTP3!$D$7-X4341*LTP3!$D$6-Y4341*U4341-Z4341*V4341</f>
        <v/>
      </c>
      <c r="AB4341">
        <f>IF(AND(F4341,ABS(W4341)&gt;1E-12,Y4341&gt;0,Z4341&gt;0),AA4341,1E+300)</f>
        <v/>
      </c>
    </row>
    <row r="4342">
      <c r="A4342">
        <f>$I$4-$B$5/10+$B$5*7/100</f>
        <v/>
      </c>
      <c r="B4342">
        <f>$J$4-$B$5/10+$B$5*15/100</f>
        <v/>
      </c>
      <c r="C4342">
        <f>SUMPRODUCT(Calc!$K$3:$K$22*(Calc!$G$3:$G$22&lt;=A4342))</f>
        <v/>
      </c>
      <c r="D4342">
        <f>SUMPRODUCT(Calc!$K$3:$K$22*(Calc!$G$3:$G$22&gt;A4342)*(Calc!$G$3:$G$22&lt;B4342))</f>
        <v/>
      </c>
      <c r="E4342">
        <f>SUMPRODUCT(Calc!$K$3:$K$22*(Calc!$G$3:$G$22&gt;=B4342))</f>
        <v/>
      </c>
      <c r="F4342">
        <f>AND(k_n&gt;=5,B4342&gt;A4342+1E-9,C4342&gt;=2,D4342&gt;=1,E4342&gt;=2)</f>
        <v/>
      </c>
      <c r="G4342">
        <f>SUMPRODUCT(Calc!$K$3:$K$22*(Calc!$G$3:$G$22&gt;A4342)*(Calc!$G$3:$G$22-A4342))</f>
        <v/>
      </c>
      <c r="H4342">
        <f>SUMPRODUCT(Calc!$K$3:$K$22*(Calc!$G$3:$G$22&gt;B4342)*(Calc!$G$3:$G$22-B4342))</f>
        <v/>
      </c>
      <c r="I4342">
        <f>SUMPRODUCT(Calc!$K$3:$K$22*(Calc!$G$3:$G$22&gt;A4342)*(Calc!$G$3:$G$22-A4342)^2)</f>
        <v/>
      </c>
      <c r="J4342">
        <f>SUMPRODUCT(Calc!$K$3:$K$22*(Calc!$G$3:$G$22&gt;B4342)*(Calc!$G$3:$G$22-B4342)^2)</f>
        <v/>
      </c>
      <c r="K4342">
        <f>SUMPRODUCT(Calc!$K$3:$K$22*(Calc!$G$3:$G$22&gt;A4342)*(Calc!$G$3:$G$22-A4342)*(Calc!$G$3:$G$22&gt;B4342)*(Calc!$G$3:$G$22-B4342))</f>
        <v/>
      </c>
      <c r="L4342">
        <f>SUMPRODUCT(Calc!$K$3:$K$22*(Calc!$G$3:$G$22&gt;A4342)*(Calc!$G$3:$G$22-A4342)*Calc!$G$3:$G$22)</f>
        <v/>
      </c>
      <c r="M4342">
        <f>SUMPRODUCT(Calc!$K$3:$K$22*(Calc!$G$3:$G$22&gt;B4342)*(Calc!$G$3:$G$22-B4342)*Calc!$G$3:$G$22)</f>
        <v/>
      </c>
      <c r="N4342">
        <f>SUMPRODUCT(Calc!$K$3:$K$22*(Calc!$G$3:$G$22&gt;A4342)*(Calc!$G$3:$G$22-A4342)*Calc!$I$3:$I$22)</f>
        <v/>
      </c>
      <c r="O4342">
        <f>SUMPRODUCT(Calc!$K$3:$K$22*(Calc!$G$3:$G$22&gt;B4342)*(Calc!$G$3:$G$22-B4342)*Calc!$I$3:$I$22)</f>
        <v/>
      </c>
      <c r="P4342">
        <f>I4342-G4342^2/k_n</f>
        <v/>
      </c>
      <c r="Q4342">
        <f>J4342-H4342^2/k_n</f>
        <v/>
      </c>
      <c r="R4342">
        <f>K4342-G4342*H4342/k_n</f>
        <v/>
      </c>
      <c r="S4342">
        <f>L4342-LTP3!$D$3*G4342/k_n</f>
        <v/>
      </c>
      <c r="T4342">
        <f>M4342-LTP3!$D$3*H4342/k_n</f>
        <v/>
      </c>
      <c r="U4342">
        <f>N4342-G4342*LTP3!$D$4/k_n</f>
        <v/>
      </c>
      <c r="V4342">
        <f>O4342-H4342*LTP3!$D$4/k_n</f>
        <v/>
      </c>
      <c r="W4342">
        <f>((LTP3!$D$5)*((P4342)*(Q4342)-(R4342)*(R4342))-(S4342)*((S4342)*(Q4342)-(R4342)*(T4342))+(T4342)*((S4342)*(R4342)-(P4342)*(T4342)))</f>
        <v/>
      </c>
      <c r="X4342">
        <f>IF(ABS(W4342)&gt;1E-12,((LTP3!$D$6)*((P4342)*(Q4342)-(R4342)*(R4342))-(S4342)*((U4342)*(Q4342)-(R4342)*(V4342))+(T4342)*((U4342)*(R4342)-(P4342)*(V4342)))/W4342,0)</f>
        <v/>
      </c>
      <c r="Y4342">
        <f>IF(ABS(W4342)&gt;1E-12,((LTP3!$D$5)*((U4342)*(Q4342)-(R4342)*(V4342))-(LTP3!$D$6)*((S4342)*(Q4342)-(R4342)*(T4342))+(T4342)*((S4342)*(V4342)-(U4342)*(T4342)))/W4342,0)</f>
        <v/>
      </c>
      <c r="Z4342">
        <f>IF(ABS(W4342)&gt;1E-12,((LTP3!$D$5)*((P4342)*(V4342)-(U4342)*(R4342))-(S4342)*((S4342)*(V4342)-(U4342)*(T4342))+(LTP3!$D$6)*((S4342)*(R4342)-(P4342)*(T4342)))/W4342,0)</f>
        <v/>
      </c>
      <c r="AA4342">
        <f>LTP3!$D$7-X4342*LTP3!$D$6-Y4342*U4342-Z4342*V4342</f>
        <v/>
      </c>
      <c r="AB4342">
        <f>IF(AND(F4342,ABS(W4342)&gt;1E-12,Y4342&gt;0,Z4342&gt;0),AA4342,1E+300)</f>
        <v/>
      </c>
    </row>
    <row r="4343">
      <c r="A4343">
        <f>$I$4-$B$5/10+$B$5*7/100</f>
        <v/>
      </c>
      <c r="B4343">
        <f>$J$4-$B$5/10+$B$5*16/100</f>
        <v/>
      </c>
      <c r="C4343">
        <f>SUMPRODUCT(Calc!$K$3:$K$22*(Calc!$G$3:$G$22&lt;=A4343))</f>
        <v/>
      </c>
      <c r="D4343">
        <f>SUMPRODUCT(Calc!$K$3:$K$22*(Calc!$G$3:$G$22&gt;A4343)*(Calc!$G$3:$G$22&lt;B4343))</f>
        <v/>
      </c>
      <c r="E4343">
        <f>SUMPRODUCT(Calc!$K$3:$K$22*(Calc!$G$3:$G$22&gt;=B4343))</f>
        <v/>
      </c>
      <c r="F4343">
        <f>AND(k_n&gt;=5,B4343&gt;A4343+1E-9,C4343&gt;=2,D4343&gt;=1,E4343&gt;=2)</f>
        <v/>
      </c>
      <c r="G4343">
        <f>SUMPRODUCT(Calc!$K$3:$K$22*(Calc!$G$3:$G$22&gt;A4343)*(Calc!$G$3:$G$22-A4343))</f>
        <v/>
      </c>
      <c r="H4343">
        <f>SUMPRODUCT(Calc!$K$3:$K$22*(Calc!$G$3:$G$22&gt;B4343)*(Calc!$G$3:$G$22-B4343))</f>
        <v/>
      </c>
      <c r="I4343">
        <f>SUMPRODUCT(Calc!$K$3:$K$22*(Calc!$G$3:$G$22&gt;A4343)*(Calc!$G$3:$G$22-A4343)^2)</f>
        <v/>
      </c>
      <c r="J4343">
        <f>SUMPRODUCT(Calc!$K$3:$K$22*(Calc!$G$3:$G$22&gt;B4343)*(Calc!$G$3:$G$22-B4343)^2)</f>
        <v/>
      </c>
      <c r="K4343">
        <f>SUMPRODUCT(Calc!$K$3:$K$22*(Calc!$G$3:$G$22&gt;A4343)*(Calc!$G$3:$G$22-A4343)*(Calc!$G$3:$G$22&gt;B4343)*(Calc!$G$3:$G$22-B4343))</f>
        <v/>
      </c>
      <c r="L4343">
        <f>SUMPRODUCT(Calc!$K$3:$K$22*(Calc!$G$3:$G$22&gt;A4343)*(Calc!$G$3:$G$22-A4343)*Calc!$G$3:$G$22)</f>
        <v/>
      </c>
      <c r="M4343">
        <f>SUMPRODUCT(Calc!$K$3:$K$22*(Calc!$G$3:$G$22&gt;B4343)*(Calc!$G$3:$G$22-B4343)*Calc!$G$3:$G$22)</f>
        <v/>
      </c>
      <c r="N4343">
        <f>SUMPRODUCT(Calc!$K$3:$K$22*(Calc!$G$3:$G$22&gt;A4343)*(Calc!$G$3:$G$22-A4343)*Calc!$I$3:$I$22)</f>
        <v/>
      </c>
      <c r="O4343">
        <f>SUMPRODUCT(Calc!$K$3:$K$22*(Calc!$G$3:$G$22&gt;B4343)*(Calc!$G$3:$G$22-B4343)*Calc!$I$3:$I$22)</f>
        <v/>
      </c>
      <c r="P4343">
        <f>I4343-G4343^2/k_n</f>
        <v/>
      </c>
      <c r="Q4343">
        <f>J4343-H4343^2/k_n</f>
        <v/>
      </c>
      <c r="R4343">
        <f>K4343-G4343*H4343/k_n</f>
        <v/>
      </c>
      <c r="S4343">
        <f>L4343-LTP3!$D$3*G4343/k_n</f>
        <v/>
      </c>
      <c r="T4343">
        <f>M4343-LTP3!$D$3*H4343/k_n</f>
        <v/>
      </c>
      <c r="U4343">
        <f>N4343-G4343*LTP3!$D$4/k_n</f>
        <v/>
      </c>
      <c r="V4343">
        <f>O4343-H4343*LTP3!$D$4/k_n</f>
        <v/>
      </c>
      <c r="W4343">
        <f>((LTP3!$D$5)*((P4343)*(Q4343)-(R4343)*(R4343))-(S4343)*((S4343)*(Q4343)-(R4343)*(T4343))+(T4343)*((S4343)*(R4343)-(P4343)*(T4343)))</f>
        <v/>
      </c>
      <c r="X4343">
        <f>IF(ABS(W4343)&gt;1E-12,((LTP3!$D$6)*((P4343)*(Q4343)-(R4343)*(R4343))-(S4343)*((U4343)*(Q4343)-(R4343)*(V4343))+(T4343)*((U4343)*(R4343)-(P4343)*(V4343)))/W4343,0)</f>
        <v/>
      </c>
      <c r="Y4343">
        <f>IF(ABS(W4343)&gt;1E-12,((LTP3!$D$5)*((U4343)*(Q4343)-(R4343)*(V4343))-(LTP3!$D$6)*((S4343)*(Q4343)-(R4343)*(T4343))+(T4343)*((S4343)*(V4343)-(U4343)*(T4343)))/W4343,0)</f>
        <v/>
      </c>
      <c r="Z4343">
        <f>IF(ABS(W4343)&gt;1E-12,((LTP3!$D$5)*((P4343)*(V4343)-(U4343)*(R4343))-(S4343)*((S4343)*(V4343)-(U4343)*(T4343))+(LTP3!$D$6)*((S4343)*(R4343)-(P4343)*(T4343)))/W4343,0)</f>
        <v/>
      </c>
      <c r="AA4343">
        <f>LTP3!$D$7-X4343*LTP3!$D$6-Y4343*U4343-Z4343*V4343</f>
        <v/>
      </c>
      <c r="AB4343">
        <f>IF(AND(F4343,ABS(W4343)&gt;1E-12,Y4343&gt;0,Z4343&gt;0),AA4343,1E+300)</f>
        <v/>
      </c>
    </row>
    <row r="4344">
      <c r="A4344">
        <f>$I$4-$B$5/10+$B$5*7/100</f>
        <v/>
      </c>
      <c r="B4344">
        <f>$J$4-$B$5/10+$B$5*17/100</f>
        <v/>
      </c>
      <c r="C4344">
        <f>SUMPRODUCT(Calc!$K$3:$K$22*(Calc!$G$3:$G$22&lt;=A4344))</f>
        <v/>
      </c>
      <c r="D4344">
        <f>SUMPRODUCT(Calc!$K$3:$K$22*(Calc!$G$3:$G$22&gt;A4344)*(Calc!$G$3:$G$22&lt;B4344))</f>
        <v/>
      </c>
      <c r="E4344">
        <f>SUMPRODUCT(Calc!$K$3:$K$22*(Calc!$G$3:$G$22&gt;=B4344))</f>
        <v/>
      </c>
      <c r="F4344">
        <f>AND(k_n&gt;=5,B4344&gt;A4344+1E-9,C4344&gt;=2,D4344&gt;=1,E4344&gt;=2)</f>
        <v/>
      </c>
      <c r="G4344">
        <f>SUMPRODUCT(Calc!$K$3:$K$22*(Calc!$G$3:$G$22&gt;A4344)*(Calc!$G$3:$G$22-A4344))</f>
        <v/>
      </c>
      <c r="H4344">
        <f>SUMPRODUCT(Calc!$K$3:$K$22*(Calc!$G$3:$G$22&gt;B4344)*(Calc!$G$3:$G$22-B4344))</f>
        <v/>
      </c>
      <c r="I4344">
        <f>SUMPRODUCT(Calc!$K$3:$K$22*(Calc!$G$3:$G$22&gt;A4344)*(Calc!$G$3:$G$22-A4344)^2)</f>
        <v/>
      </c>
      <c r="J4344">
        <f>SUMPRODUCT(Calc!$K$3:$K$22*(Calc!$G$3:$G$22&gt;B4344)*(Calc!$G$3:$G$22-B4344)^2)</f>
        <v/>
      </c>
      <c r="K4344">
        <f>SUMPRODUCT(Calc!$K$3:$K$22*(Calc!$G$3:$G$22&gt;A4344)*(Calc!$G$3:$G$22-A4344)*(Calc!$G$3:$G$22&gt;B4344)*(Calc!$G$3:$G$22-B4344))</f>
        <v/>
      </c>
      <c r="L4344">
        <f>SUMPRODUCT(Calc!$K$3:$K$22*(Calc!$G$3:$G$22&gt;A4344)*(Calc!$G$3:$G$22-A4344)*Calc!$G$3:$G$22)</f>
        <v/>
      </c>
      <c r="M4344">
        <f>SUMPRODUCT(Calc!$K$3:$K$22*(Calc!$G$3:$G$22&gt;B4344)*(Calc!$G$3:$G$22-B4344)*Calc!$G$3:$G$22)</f>
        <v/>
      </c>
      <c r="N4344">
        <f>SUMPRODUCT(Calc!$K$3:$K$22*(Calc!$G$3:$G$22&gt;A4344)*(Calc!$G$3:$G$22-A4344)*Calc!$I$3:$I$22)</f>
        <v/>
      </c>
      <c r="O4344">
        <f>SUMPRODUCT(Calc!$K$3:$K$22*(Calc!$G$3:$G$22&gt;B4344)*(Calc!$G$3:$G$22-B4344)*Calc!$I$3:$I$22)</f>
        <v/>
      </c>
      <c r="P4344">
        <f>I4344-G4344^2/k_n</f>
        <v/>
      </c>
      <c r="Q4344">
        <f>J4344-H4344^2/k_n</f>
        <v/>
      </c>
      <c r="R4344">
        <f>K4344-G4344*H4344/k_n</f>
        <v/>
      </c>
      <c r="S4344">
        <f>L4344-LTP3!$D$3*G4344/k_n</f>
        <v/>
      </c>
      <c r="T4344">
        <f>M4344-LTP3!$D$3*H4344/k_n</f>
        <v/>
      </c>
      <c r="U4344">
        <f>N4344-G4344*LTP3!$D$4/k_n</f>
        <v/>
      </c>
      <c r="V4344">
        <f>O4344-H4344*LTP3!$D$4/k_n</f>
        <v/>
      </c>
      <c r="W4344">
        <f>((LTP3!$D$5)*((P4344)*(Q4344)-(R4344)*(R4344))-(S4344)*((S4344)*(Q4344)-(R4344)*(T4344))+(T4344)*((S4344)*(R4344)-(P4344)*(T4344)))</f>
        <v/>
      </c>
      <c r="X4344">
        <f>IF(ABS(W4344)&gt;1E-12,((LTP3!$D$6)*((P4344)*(Q4344)-(R4344)*(R4344))-(S4344)*((U4344)*(Q4344)-(R4344)*(V4344))+(T4344)*((U4344)*(R4344)-(P4344)*(V4344)))/W4344,0)</f>
        <v/>
      </c>
      <c r="Y4344">
        <f>IF(ABS(W4344)&gt;1E-12,((LTP3!$D$5)*((U4344)*(Q4344)-(R4344)*(V4344))-(LTP3!$D$6)*((S4344)*(Q4344)-(R4344)*(T4344))+(T4344)*((S4344)*(V4344)-(U4344)*(T4344)))/W4344,0)</f>
        <v/>
      </c>
      <c r="Z4344">
        <f>IF(ABS(W4344)&gt;1E-12,((LTP3!$D$5)*((P4344)*(V4344)-(U4344)*(R4344))-(S4344)*((S4344)*(V4344)-(U4344)*(T4344))+(LTP3!$D$6)*((S4344)*(R4344)-(P4344)*(T4344)))/W4344,0)</f>
        <v/>
      </c>
      <c r="AA4344">
        <f>LTP3!$D$7-X4344*LTP3!$D$6-Y4344*U4344-Z4344*V4344</f>
        <v/>
      </c>
      <c r="AB4344">
        <f>IF(AND(F4344,ABS(W4344)&gt;1E-12,Y4344&gt;0,Z4344&gt;0),AA4344,1E+300)</f>
        <v/>
      </c>
    </row>
    <row r="4345">
      <c r="A4345">
        <f>$I$4-$B$5/10+$B$5*7/100</f>
        <v/>
      </c>
      <c r="B4345">
        <f>$J$4-$B$5/10+$B$5*18/100</f>
        <v/>
      </c>
      <c r="C4345">
        <f>SUMPRODUCT(Calc!$K$3:$K$22*(Calc!$G$3:$G$22&lt;=A4345))</f>
        <v/>
      </c>
      <c r="D4345">
        <f>SUMPRODUCT(Calc!$K$3:$K$22*(Calc!$G$3:$G$22&gt;A4345)*(Calc!$G$3:$G$22&lt;B4345))</f>
        <v/>
      </c>
      <c r="E4345">
        <f>SUMPRODUCT(Calc!$K$3:$K$22*(Calc!$G$3:$G$22&gt;=B4345))</f>
        <v/>
      </c>
      <c r="F4345">
        <f>AND(k_n&gt;=5,B4345&gt;A4345+1E-9,C4345&gt;=2,D4345&gt;=1,E4345&gt;=2)</f>
        <v/>
      </c>
      <c r="G4345">
        <f>SUMPRODUCT(Calc!$K$3:$K$22*(Calc!$G$3:$G$22&gt;A4345)*(Calc!$G$3:$G$22-A4345))</f>
        <v/>
      </c>
      <c r="H4345">
        <f>SUMPRODUCT(Calc!$K$3:$K$22*(Calc!$G$3:$G$22&gt;B4345)*(Calc!$G$3:$G$22-B4345))</f>
        <v/>
      </c>
      <c r="I4345">
        <f>SUMPRODUCT(Calc!$K$3:$K$22*(Calc!$G$3:$G$22&gt;A4345)*(Calc!$G$3:$G$22-A4345)^2)</f>
        <v/>
      </c>
      <c r="J4345">
        <f>SUMPRODUCT(Calc!$K$3:$K$22*(Calc!$G$3:$G$22&gt;B4345)*(Calc!$G$3:$G$22-B4345)^2)</f>
        <v/>
      </c>
      <c r="K4345">
        <f>SUMPRODUCT(Calc!$K$3:$K$22*(Calc!$G$3:$G$22&gt;A4345)*(Calc!$G$3:$G$22-A4345)*(Calc!$G$3:$G$22&gt;B4345)*(Calc!$G$3:$G$22-B4345))</f>
        <v/>
      </c>
      <c r="L4345">
        <f>SUMPRODUCT(Calc!$K$3:$K$22*(Calc!$G$3:$G$22&gt;A4345)*(Calc!$G$3:$G$22-A4345)*Calc!$G$3:$G$22)</f>
        <v/>
      </c>
      <c r="M4345">
        <f>SUMPRODUCT(Calc!$K$3:$K$22*(Calc!$G$3:$G$22&gt;B4345)*(Calc!$G$3:$G$22-B4345)*Calc!$G$3:$G$22)</f>
        <v/>
      </c>
      <c r="N4345">
        <f>SUMPRODUCT(Calc!$K$3:$K$22*(Calc!$G$3:$G$22&gt;A4345)*(Calc!$G$3:$G$22-A4345)*Calc!$I$3:$I$22)</f>
        <v/>
      </c>
      <c r="O4345">
        <f>SUMPRODUCT(Calc!$K$3:$K$22*(Calc!$G$3:$G$22&gt;B4345)*(Calc!$G$3:$G$22-B4345)*Calc!$I$3:$I$22)</f>
        <v/>
      </c>
      <c r="P4345">
        <f>I4345-G4345^2/k_n</f>
        <v/>
      </c>
      <c r="Q4345">
        <f>J4345-H4345^2/k_n</f>
        <v/>
      </c>
      <c r="R4345">
        <f>K4345-G4345*H4345/k_n</f>
        <v/>
      </c>
      <c r="S4345">
        <f>L4345-LTP3!$D$3*G4345/k_n</f>
        <v/>
      </c>
      <c r="T4345">
        <f>M4345-LTP3!$D$3*H4345/k_n</f>
        <v/>
      </c>
      <c r="U4345">
        <f>N4345-G4345*LTP3!$D$4/k_n</f>
        <v/>
      </c>
      <c r="V4345">
        <f>O4345-H4345*LTP3!$D$4/k_n</f>
        <v/>
      </c>
      <c r="W4345">
        <f>((LTP3!$D$5)*((P4345)*(Q4345)-(R4345)*(R4345))-(S4345)*((S4345)*(Q4345)-(R4345)*(T4345))+(T4345)*((S4345)*(R4345)-(P4345)*(T4345)))</f>
        <v/>
      </c>
      <c r="X4345">
        <f>IF(ABS(W4345)&gt;1E-12,((LTP3!$D$6)*((P4345)*(Q4345)-(R4345)*(R4345))-(S4345)*((U4345)*(Q4345)-(R4345)*(V4345))+(T4345)*((U4345)*(R4345)-(P4345)*(V4345)))/W4345,0)</f>
        <v/>
      </c>
      <c r="Y4345">
        <f>IF(ABS(W4345)&gt;1E-12,((LTP3!$D$5)*((U4345)*(Q4345)-(R4345)*(V4345))-(LTP3!$D$6)*((S4345)*(Q4345)-(R4345)*(T4345))+(T4345)*((S4345)*(V4345)-(U4345)*(T4345)))/W4345,0)</f>
        <v/>
      </c>
      <c r="Z4345">
        <f>IF(ABS(W4345)&gt;1E-12,((LTP3!$D$5)*((P4345)*(V4345)-(U4345)*(R4345))-(S4345)*((S4345)*(V4345)-(U4345)*(T4345))+(LTP3!$D$6)*((S4345)*(R4345)-(P4345)*(T4345)))/W4345,0)</f>
        <v/>
      </c>
      <c r="AA4345">
        <f>LTP3!$D$7-X4345*LTP3!$D$6-Y4345*U4345-Z4345*V4345</f>
        <v/>
      </c>
      <c r="AB4345">
        <f>IF(AND(F4345,ABS(W4345)&gt;1E-12,Y4345&gt;0,Z4345&gt;0),AA4345,1E+300)</f>
        <v/>
      </c>
    </row>
    <row r="4346">
      <c r="A4346">
        <f>$I$4-$B$5/10+$B$5*7/100</f>
        <v/>
      </c>
      <c r="B4346">
        <f>$J$4-$B$5/10+$B$5*19/100</f>
        <v/>
      </c>
      <c r="C4346">
        <f>SUMPRODUCT(Calc!$K$3:$K$22*(Calc!$G$3:$G$22&lt;=A4346))</f>
        <v/>
      </c>
      <c r="D4346">
        <f>SUMPRODUCT(Calc!$K$3:$K$22*(Calc!$G$3:$G$22&gt;A4346)*(Calc!$G$3:$G$22&lt;B4346))</f>
        <v/>
      </c>
      <c r="E4346">
        <f>SUMPRODUCT(Calc!$K$3:$K$22*(Calc!$G$3:$G$22&gt;=B4346))</f>
        <v/>
      </c>
      <c r="F4346">
        <f>AND(k_n&gt;=5,B4346&gt;A4346+1E-9,C4346&gt;=2,D4346&gt;=1,E4346&gt;=2)</f>
        <v/>
      </c>
      <c r="G4346">
        <f>SUMPRODUCT(Calc!$K$3:$K$22*(Calc!$G$3:$G$22&gt;A4346)*(Calc!$G$3:$G$22-A4346))</f>
        <v/>
      </c>
      <c r="H4346">
        <f>SUMPRODUCT(Calc!$K$3:$K$22*(Calc!$G$3:$G$22&gt;B4346)*(Calc!$G$3:$G$22-B4346))</f>
        <v/>
      </c>
      <c r="I4346">
        <f>SUMPRODUCT(Calc!$K$3:$K$22*(Calc!$G$3:$G$22&gt;A4346)*(Calc!$G$3:$G$22-A4346)^2)</f>
        <v/>
      </c>
      <c r="J4346">
        <f>SUMPRODUCT(Calc!$K$3:$K$22*(Calc!$G$3:$G$22&gt;B4346)*(Calc!$G$3:$G$22-B4346)^2)</f>
        <v/>
      </c>
      <c r="K4346">
        <f>SUMPRODUCT(Calc!$K$3:$K$22*(Calc!$G$3:$G$22&gt;A4346)*(Calc!$G$3:$G$22-A4346)*(Calc!$G$3:$G$22&gt;B4346)*(Calc!$G$3:$G$22-B4346))</f>
        <v/>
      </c>
      <c r="L4346">
        <f>SUMPRODUCT(Calc!$K$3:$K$22*(Calc!$G$3:$G$22&gt;A4346)*(Calc!$G$3:$G$22-A4346)*Calc!$G$3:$G$22)</f>
        <v/>
      </c>
      <c r="M4346">
        <f>SUMPRODUCT(Calc!$K$3:$K$22*(Calc!$G$3:$G$22&gt;B4346)*(Calc!$G$3:$G$22-B4346)*Calc!$G$3:$G$22)</f>
        <v/>
      </c>
      <c r="N4346">
        <f>SUMPRODUCT(Calc!$K$3:$K$22*(Calc!$G$3:$G$22&gt;A4346)*(Calc!$G$3:$G$22-A4346)*Calc!$I$3:$I$22)</f>
        <v/>
      </c>
      <c r="O4346">
        <f>SUMPRODUCT(Calc!$K$3:$K$22*(Calc!$G$3:$G$22&gt;B4346)*(Calc!$G$3:$G$22-B4346)*Calc!$I$3:$I$22)</f>
        <v/>
      </c>
      <c r="P4346">
        <f>I4346-G4346^2/k_n</f>
        <v/>
      </c>
      <c r="Q4346">
        <f>J4346-H4346^2/k_n</f>
        <v/>
      </c>
      <c r="R4346">
        <f>K4346-G4346*H4346/k_n</f>
        <v/>
      </c>
      <c r="S4346">
        <f>L4346-LTP3!$D$3*G4346/k_n</f>
        <v/>
      </c>
      <c r="T4346">
        <f>M4346-LTP3!$D$3*H4346/k_n</f>
        <v/>
      </c>
      <c r="U4346">
        <f>N4346-G4346*LTP3!$D$4/k_n</f>
        <v/>
      </c>
      <c r="V4346">
        <f>O4346-H4346*LTP3!$D$4/k_n</f>
        <v/>
      </c>
      <c r="W4346">
        <f>((LTP3!$D$5)*((P4346)*(Q4346)-(R4346)*(R4346))-(S4346)*((S4346)*(Q4346)-(R4346)*(T4346))+(T4346)*((S4346)*(R4346)-(P4346)*(T4346)))</f>
        <v/>
      </c>
      <c r="X4346">
        <f>IF(ABS(W4346)&gt;1E-12,((LTP3!$D$6)*((P4346)*(Q4346)-(R4346)*(R4346))-(S4346)*((U4346)*(Q4346)-(R4346)*(V4346))+(T4346)*((U4346)*(R4346)-(P4346)*(V4346)))/W4346,0)</f>
        <v/>
      </c>
      <c r="Y4346">
        <f>IF(ABS(W4346)&gt;1E-12,((LTP3!$D$5)*((U4346)*(Q4346)-(R4346)*(V4346))-(LTP3!$D$6)*((S4346)*(Q4346)-(R4346)*(T4346))+(T4346)*((S4346)*(V4346)-(U4346)*(T4346)))/W4346,0)</f>
        <v/>
      </c>
      <c r="Z4346">
        <f>IF(ABS(W4346)&gt;1E-12,((LTP3!$D$5)*((P4346)*(V4346)-(U4346)*(R4346))-(S4346)*((S4346)*(V4346)-(U4346)*(T4346))+(LTP3!$D$6)*((S4346)*(R4346)-(P4346)*(T4346)))/W4346,0)</f>
        <v/>
      </c>
      <c r="AA4346">
        <f>LTP3!$D$7-X4346*LTP3!$D$6-Y4346*U4346-Z4346*V4346</f>
        <v/>
      </c>
      <c r="AB4346">
        <f>IF(AND(F4346,ABS(W4346)&gt;1E-12,Y4346&gt;0,Z4346&gt;0),AA4346,1E+300)</f>
        <v/>
      </c>
    </row>
    <row r="4347">
      <c r="A4347">
        <f>$I$4-$B$5/10+$B$5*7/100</f>
        <v/>
      </c>
      <c r="B4347">
        <f>$J$4-$B$5/10+$B$5*20/100</f>
        <v/>
      </c>
      <c r="C4347">
        <f>SUMPRODUCT(Calc!$K$3:$K$22*(Calc!$G$3:$G$22&lt;=A4347))</f>
        <v/>
      </c>
      <c r="D4347">
        <f>SUMPRODUCT(Calc!$K$3:$K$22*(Calc!$G$3:$G$22&gt;A4347)*(Calc!$G$3:$G$22&lt;B4347))</f>
        <v/>
      </c>
      <c r="E4347">
        <f>SUMPRODUCT(Calc!$K$3:$K$22*(Calc!$G$3:$G$22&gt;=B4347))</f>
        <v/>
      </c>
      <c r="F4347">
        <f>AND(k_n&gt;=5,B4347&gt;A4347+1E-9,C4347&gt;=2,D4347&gt;=1,E4347&gt;=2)</f>
        <v/>
      </c>
      <c r="G4347">
        <f>SUMPRODUCT(Calc!$K$3:$K$22*(Calc!$G$3:$G$22&gt;A4347)*(Calc!$G$3:$G$22-A4347))</f>
        <v/>
      </c>
      <c r="H4347">
        <f>SUMPRODUCT(Calc!$K$3:$K$22*(Calc!$G$3:$G$22&gt;B4347)*(Calc!$G$3:$G$22-B4347))</f>
        <v/>
      </c>
      <c r="I4347">
        <f>SUMPRODUCT(Calc!$K$3:$K$22*(Calc!$G$3:$G$22&gt;A4347)*(Calc!$G$3:$G$22-A4347)^2)</f>
        <v/>
      </c>
      <c r="J4347">
        <f>SUMPRODUCT(Calc!$K$3:$K$22*(Calc!$G$3:$G$22&gt;B4347)*(Calc!$G$3:$G$22-B4347)^2)</f>
        <v/>
      </c>
      <c r="K4347">
        <f>SUMPRODUCT(Calc!$K$3:$K$22*(Calc!$G$3:$G$22&gt;A4347)*(Calc!$G$3:$G$22-A4347)*(Calc!$G$3:$G$22&gt;B4347)*(Calc!$G$3:$G$22-B4347))</f>
        <v/>
      </c>
      <c r="L4347">
        <f>SUMPRODUCT(Calc!$K$3:$K$22*(Calc!$G$3:$G$22&gt;A4347)*(Calc!$G$3:$G$22-A4347)*Calc!$G$3:$G$22)</f>
        <v/>
      </c>
      <c r="M4347">
        <f>SUMPRODUCT(Calc!$K$3:$K$22*(Calc!$G$3:$G$22&gt;B4347)*(Calc!$G$3:$G$22-B4347)*Calc!$G$3:$G$22)</f>
        <v/>
      </c>
      <c r="N4347">
        <f>SUMPRODUCT(Calc!$K$3:$K$22*(Calc!$G$3:$G$22&gt;A4347)*(Calc!$G$3:$G$22-A4347)*Calc!$I$3:$I$22)</f>
        <v/>
      </c>
      <c r="O4347">
        <f>SUMPRODUCT(Calc!$K$3:$K$22*(Calc!$G$3:$G$22&gt;B4347)*(Calc!$G$3:$G$22-B4347)*Calc!$I$3:$I$22)</f>
        <v/>
      </c>
      <c r="P4347">
        <f>I4347-G4347^2/k_n</f>
        <v/>
      </c>
      <c r="Q4347">
        <f>J4347-H4347^2/k_n</f>
        <v/>
      </c>
      <c r="R4347">
        <f>K4347-G4347*H4347/k_n</f>
        <v/>
      </c>
      <c r="S4347">
        <f>L4347-LTP3!$D$3*G4347/k_n</f>
        <v/>
      </c>
      <c r="T4347">
        <f>M4347-LTP3!$D$3*H4347/k_n</f>
        <v/>
      </c>
      <c r="U4347">
        <f>N4347-G4347*LTP3!$D$4/k_n</f>
        <v/>
      </c>
      <c r="V4347">
        <f>O4347-H4347*LTP3!$D$4/k_n</f>
        <v/>
      </c>
      <c r="W4347">
        <f>((LTP3!$D$5)*((P4347)*(Q4347)-(R4347)*(R4347))-(S4347)*((S4347)*(Q4347)-(R4347)*(T4347))+(T4347)*((S4347)*(R4347)-(P4347)*(T4347)))</f>
        <v/>
      </c>
      <c r="X4347">
        <f>IF(ABS(W4347)&gt;1E-12,((LTP3!$D$6)*((P4347)*(Q4347)-(R4347)*(R4347))-(S4347)*((U4347)*(Q4347)-(R4347)*(V4347))+(T4347)*((U4347)*(R4347)-(P4347)*(V4347)))/W4347,0)</f>
        <v/>
      </c>
      <c r="Y4347">
        <f>IF(ABS(W4347)&gt;1E-12,((LTP3!$D$5)*((U4347)*(Q4347)-(R4347)*(V4347))-(LTP3!$D$6)*((S4347)*(Q4347)-(R4347)*(T4347))+(T4347)*((S4347)*(V4347)-(U4347)*(T4347)))/W4347,0)</f>
        <v/>
      </c>
      <c r="Z4347">
        <f>IF(ABS(W4347)&gt;1E-12,((LTP3!$D$5)*((P4347)*(V4347)-(U4347)*(R4347))-(S4347)*((S4347)*(V4347)-(U4347)*(T4347))+(LTP3!$D$6)*((S4347)*(R4347)-(P4347)*(T4347)))/W4347,0)</f>
        <v/>
      </c>
      <c r="AA4347">
        <f>LTP3!$D$7-X4347*LTP3!$D$6-Y4347*U4347-Z4347*V4347</f>
        <v/>
      </c>
      <c r="AB4347">
        <f>IF(AND(F4347,ABS(W4347)&gt;1E-12,Y4347&gt;0,Z4347&gt;0),AA4347,1E+300)</f>
        <v/>
      </c>
    </row>
    <row r="4348">
      <c r="A4348">
        <f>$I$4-$B$5/10+$B$5*8/100</f>
        <v/>
      </c>
      <c r="B4348">
        <f>$J$4-$B$5/10+$B$5*0/100</f>
        <v/>
      </c>
      <c r="C4348">
        <f>SUMPRODUCT(Calc!$K$3:$K$22*(Calc!$G$3:$G$22&lt;=A4348))</f>
        <v/>
      </c>
      <c r="D4348">
        <f>SUMPRODUCT(Calc!$K$3:$K$22*(Calc!$G$3:$G$22&gt;A4348)*(Calc!$G$3:$G$22&lt;B4348))</f>
        <v/>
      </c>
      <c r="E4348">
        <f>SUMPRODUCT(Calc!$K$3:$K$22*(Calc!$G$3:$G$22&gt;=B4348))</f>
        <v/>
      </c>
      <c r="F4348">
        <f>AND(k_n&gt;=5,B4348&gt;A4348+1E-9,C4348&gt;=2,D4348&gt;=1,E4348&gt;=2)</f>
        <v/>
      </c>
      <c r="G4348">
        <f>SUMPRODUCT(Calc!$K$3:$K$22*(Calc!$G$3:$G$22&gt;A4348)*(Calc!$G$3:$G$22-A4348))</f>
        <v/>
      </c>
      <c r="H4348">
        <f>SUMPRODUCT(Calc!$K$3:$K$22*(Calc!$G$3:$G$22&gt;B4348)*(Calc!$G$3:$G$22-B4348))</f>
        <v/>
      </c>
      <c r="I4348">
        <f>SUMPRODUCT(Calc!$K$3:$K$22*(Calc!$G$3:$G$22&gt;A4348)*(Calc!$G$3:$G$22-A4348)^2)</f>
        <v/>
      </c>
      <c r="J4348">
        <f>SUMPRODUCT(Calc!$K$3:$K$22*(Calc!$G$3:$G$22&gt;B4348)*(Calc!$G$3:$G$22-B4348)^2)</f>
        <v/>
      </c>
      <c r="K4348">
        <f>SUMPRODUCT(Calc!$K$3:$K$22*(Calc!$G$3:$G$22&gt;A4348)*(Calc!$G$3:$G$22-A4348)*(Calc!$G$3:$G$22&gt;B4348)*(Calc!$G$3:$G$22-B4348))</f>
        <v/>
      </c>
      <c r="L4348">
        <f>SUMPRODUCT(Calc!$K$3:$K$22*(Calc!$G$3:$G$22&gt;A4348)*(Calc!$G$3:$G$22-A4348)*Calc!$G$3:$G$22)</f>
        <v/>
      </c>
      <c r="M4348">
        <f>SUMPRODUCT(Calc!$K$3:$K$22*(Calc!$G$3:$G$22&gt;B4348)*(Calc!$G$3:$G$22-B4348)*Calc!$G$3:$G$22)</f>
        <v/>
      </c>
      <c r="N4348">
        <f>SUMPRODUCT(Calc!$K$3:$K$22*(Calc!$G$3:$G$22&gt;A4348)*(Calc!$G$3:$G$22-A4348)*Calc!$I$3:$I$22)</f>
        <v/>
      </c>
      <c r="O4348">
        <f>SUMPRODUCT(Calc!$K$3:$K$22*(Calc!$G$3:$G$22&gt;B4348)*(Calc!$G$3:$G$22-B4348)*Calc!$I$3:$I$22)</f>
        <v/>
      </c>
      <c r="P4348">
        <f>I4348-G4348^2/k_n</f>
        <v/>
      </c>
      <c r="Q4348">
        <f>J4348-H4348^2/k_n</f>
        <v/>
      </c>
      <c r="R4348">
        <f>K4348-G4348*H4348/k_n</f>
        <v/>
      </c>
      <c r="S4348">
        <f>L4348-LTP3!$D$3*G4348/k_n</f>
        <v/>
      </c>
      <c r="T4348">
        <f>M4348-LTP3!$D$3*H4348/k_n</f>
        <v/>
      </c>
      <c r="U4348">
        <f>N4348-G4348*LTP3!$D$4/k_n</f>
        <v/>
      </c>
      <c r="V4348">
        <f>O4348-H4348*LTP3!$D$4/k_n</f>
        <v/>
      </c>
      <c r="W4348">
        <f>((LTP3!$D$5)*((P4348)*(Q4348)-(R4348)*(R4348))-(S4348)*((S4348)*(Q4348)-(R4348)*(T4348))+(T4348)*((S4348)*(R4348)-(P4348)*(T4348)))</f>
        <v/>
      </c>
      <c r="X4348">
        <f>IF(ABS(W4348)&gt;1E-12,((LTP3!$D$6)*((P4348)*(Q4348)-(R4348)*(R4348))-(S4348)*((U4348)*(Q4348)-(R4348)*(V4348))+(T4348)*((U4348)*(R4348)-(P4348)*(V4348)))/W4348,0)</f>
        <v/>
      </c>
      <c r="Y4348">
        <f>IF(ABS(W4348)&gt;1E-12,((LTP3!$D$5)*((U4348)*(Q4348)-(R4348)*(V4348))-(LTP3!$D$6)*((S4348)*(Q4348)-(R4348)*(T4348))+(T4348)*((S4348)*(V4348)-(U4348)*(T4348)))/W4348,0)</f>
        <v/>
      </c>
      <c r="Z4348">
        <f>IF(ABS(W4348)&gt;1E-12,((LTP3!$D$5)*((P4348)*(V4348)-(U4348)*(R4348))-(S4348)*((S4348)*(V4348)-(U4348)*(T4348))+(LTP3!$D$6)*((S4348)*(R4348)-(P4348)*(T4348)))/W4348,0)</f>
        <v/>
      </c>
      <c r="AA4348">
        <f>LTP3!$D$7-X4348*LTP3!$D$6-Y4348*U4348-Z4348*V4348</f>
        <v/>
      </c>
      <c r="AB4348">
        <f>IF(AND(F4348,ABS(W4348)&gt;1E-12,Y4348&gt;0,Z4348&gt;0),AA4348,1E+300)</f>
        <v/>
      </c>
    </row>
    <row r="4349">
      <c r="A4349">
        <f>$I$4-$B$5/10+$B$5*8/100</f>
        <v/>
      </c>
      <c r="B4349">
        <f>$J$4-$B$5/10+$B$5*1/100</f>
        <v/>
      </c>
      <c r="C4349">
        <f>SUMPRODUCT(Calc!$K$3:$K$22*(Calc!$G$3:$G$22&lt;=A4349))</f>
        <v/>
      </c>
      <c r="D4349">
        <f>SUMPRODUCT(Calc!$K$3:$K$22*(Calc!$G$3:$G$22&gt;A4349)*(Calc!$G$3:$G$22&lt;B4349))</f>
        <v/>
      </c>
      <c r="E4349">
        <f>SUMPRODUCT(Calc!$K$3:$K$22*(Calc!$G$3:$G$22&gt;=B4349))</f>
        <v/>
      </c>
      <c r="F4349">
        <f>AND(k_n&gt;=5,B4349&gt;A4349+1E-9,C4349&gt;=2,D4349&gt;=1,E4349&gt;=2)</f>
        <v/>
      </c>
      <c r="G4349">
        <f>SUMPRODUCT(Calc!$K$3:$K$22*(Calc!$G$3:$G$22&gt;A4349)*(Calc!$G$3:$G$22-A4349))</f>
        <v/>
      </c>
      <c r="H4349">
        <f>SUMPRODUCT(Calc!$K$3:$K$22*(Calc!$G$3:$G$22&gt;B4349)*(Calc!$G$3:$G$22-B4349))</f>
        <v/>
      </c>
      <c r="I4349">
        <f>SUMPRODUCT(Calc!$K$3:$K$22*(Calc!$G$3:$G$22&gt;A4349)*(Calc!$G$3:$G$22-A4349)^2)</f>
        <v/>
      </c>
      <c r="J4349">
        <f>SUMPRODUCT(Calc!$K$3:$K$22*(Calc!$G$3:$G$22&gt;B4349)*(Calc!$G$3:$G$22-B4349)^2)</f>
        <v/>
      </c>
      <c r="K4349">
        <f>SUMPRODUCT(Calc!$K$3:$K$22*(Calc!$G$3:$G$22&gt;A4349)*(Calc!$G$3:$G$22-A4349)*(Calc!$G$3:$G$22&gt;B4349)*(Calc!$G$3:$G$22-B4349))</f>
        <v/>
      </c>
      <c r="L4349">
        <f>SUMPRODUCT(Calc!$K$3:$K$22*(Calc!$G$3:$G$22&gt;A4349)*(Calc!$G$3:$G$22-A4349)*Calc!$G$3:$G$22)</f>
        <v/>
      </c>
      <c r="M4349">
        <f>SUMPRODUCT(Calc!$K$3:$K$22*(Calc!$G$3:$G$22&gt;B4349)*(Calc!$G$3:$G$22-B4349)*Calc!$G$3:$G$22)</f>
        <v/>
      </c>
      <c r="N4349">
        <f>SUMPRODUCT(Calc!$K$3:$K$22*(Calc!$G$3:$G$22&gt;A4349)*(Calc!$G$3:$G$22-A4349)*Calc!$I$3:$I$22)</f>
        <v/>
      </c>
      <c r="O4349">
        <f>SUMPRODUCT(Calc!$K$3:$K$22*(Calc!$G$3:$G$22&gt;B4349)*(Calc!$G$3:$G$22-B4349)*Calc!$I$3:$I$22)</f>
        <v/>
      </c>
      <c r="P4349">
        <f>I4349-G4349^2/k_n</f>
        <v/>
      </c>
      <c r="Q4349">
        <f>J4349-H4349^2/k_n</f>
        <v/>
      </c>
      <c r="R4349">
        <f>K4349-G4349*H4349/k_n</f>
        <v/>
      </c>
      <c r="S4349">
        <f>L4349-LTP3!$D$3*G4349/k_n</f>
        <v/>
      </c>
      <c r="T4349">
        <f>M4349-LTP3!$D$3*H4349/k_n</f>
        <v/>
      </c>
      <c r="U4349">
        <f>N4349-G4349*LTP3!$D$4/k_n</f>
        <v/>
      </c>
      <c r="V4349">
        <f>O4349-H4349*LTP3!$D$4/k_n</f>
        <v/>
      </c>
      <c r="W4349">
        <f>((LTP3!$D$5)*((P4349)*(Q4349)-(R4349)*(R4349))-(S4349)*((S4349)*(Q4349)-(R4349)*(T4349))+(T4349)*((S4349)*(R4349)-(P4349)*(T4349)))</f>
        <v/>
      </c>
      <c r="X4349">
        <f>IF(ABS(W4349)&gt;1E-12,((LTP3!$D$6)*((P4349)*(Q4349)-(R4349)*(R4349))-(S4349)*((U4349)*(Q4349)-(R4349)*(V4349))+(T4349)*((U4349)*(R4349)-(P4349)*(V4349)))/W4349,0)</f>
        <v/>
      </c>
      <c r="Y4349">
        <f>IF(ABS(W4349)&gt;1E-12,((LTP3!$D$5)*((U4349)*(Q4349)-(R4349)*(V4349))-(LTP3!$D$6)*((S4349)*(Q4349)-(R4349)*(T4349))+(T4349)*((S4349)*(V4349)-(U4349)*(T4349)))/W4349,0)</f>
        <v/>
      </c>
      <c r="Z4349">
        <f>IF(ABS(W4349)&gt;1E-12,((LTP3!$D$5)*((P4349)*(V4349)-(U4349)*(R4349))-(S4349)*((S4349)*(V4349)-(U4349)*(T4349))+(LTP3!$D$6)*((S4349)*(R4349)-(P4349)*(T4349)))/W4349,0)</f>
        <v/>
      </c>
      <c r="AA4349">
        <f>LTP3!$D$7-X4349*LTP3!$D$6-Y4349*U4349-Z4349*V4349</f>
        <v/>
      </c>
      <c r="AB4349">
        <f>IF(AND(F4349,ABS(W4349)&gt;1E-12,Y4349&gt;0,Z4349&gt;0),AA4349,1E+300)</f>
        <v/>
      </c>
    </row>
    <row r="4350">
      <c r="A4350">
        <f>$I$4-$B$5/10+$B$5*8/100</f>
        <v/>
      </c>
      <c r="B4350">
        <f>$J$4-$B$5/10+$B$5*2/100</f>
        <v/>
      </c>
      <c r="C4350">
        <f>SUMPRODUCT(Calc!$K$3:$K$22*(Calc!$G$3:$G$22&lt;=A4350))</f>
        <v/>
      </c>
      <c r="D4350">
        <f>SUMPRODUCT(Calc!$K$3:$K$22*(Calc!$G$3:$G$22&gt;A4350)*(Calc!$G$3:$G$22&lt;B4350))</f>
        <v/>
      </c>
      <c r="E4350">
        <f>SUMPRODUCT(Calc!$K$3:$K$22*(Calc!$G$3:$G$22&gt;=B4350))</f>
        <v/>
      </c>
      <c r="F4350">
        <f>AND(k_n&gt;=5,B4350&gt;A4350+1E-9,C4350&gt;=2,D4350&gt;=1,E4350&gt;=2)</f>
        <v/>
      </c>
      <c r="G4350">
        <f>SUMPRODUCT(Calc!$K$3:$K$22*(Calc!$G$3:$G$22&gt;A4350)*(Calc!$G$3:$G$22-A4350))</f>
        <v/>
      </c>
      <c r="H4350">
        <f>SUMPRODUCT(Calc!$K$3:$K$22*(Calc!$G$3:$G$22&gt;B4350)*(Calc!$G$3:$G$22-B4350))</f>
        <v/>
      </c>
      <c r="I4350">
        <f>SUMPRODUCT(Calc!$K$3:$K$22*(Calc!$G$3:$G$22&gt;A4350)*(Calc!$G$3:$G$22-A4350)^2)</f>
        <v/>
      </c>
      <c r="J4350">
        <f>SUMPRODUCT(Calc!$K$3:$K$22*(Calc!$G$3:$G$22&gt;B4350)*(Calc!$G$3:$G$22-B4350)^2)</f>
        <v/>
      </c>
      <c r="K4350">
        <f>SUMPRODUCT(Calc!$K$3:$K$22*(Calc!$G$3:$G$22&gt;A4350)*(Calc!$G$3:$G$22-A4350)*(Calc!$G$3:$G$22&gt;B4350)*(Calc!$G$3:$G$22-B4350))</f>
        <v/>
      </c>
      <c r="L4350">
        <f>SUMPRODUCT(Calc!$K$3:$K$22*(Calc!$G$3:$G$22&gt;A4350)*(Calc!$G$3:$G$22-A4350)*Calc!$G$3:$G$22)</f>
        <v/>
      </c>
      <c r="M4350">
        <f>SUMPRODUCT(Calc!$K$3:$K$22*(Calc!$G$3:$G$22&gt;B4350)*(Calc!$G$3:$G$22-B4350)*Calc!$G$3:$G$22)</f>
        <v/>
      </c>
      <c r="N4350">
        <f>SUMPRODUCT(Calc!$K$3:$K$22*(Calc!$G$3:$G$22&gt;A4350)*(Calc!$G$3:$G$22-A4350)*Calc!$I$3:$I$22)</f>
        <v/>
      </c>
      <c r="O4350">
        <f>SUMPRODUCT(Calc!$K$3:$K$22*(Calc!$G$3:$G$22&gt;B4350)*(Calc!$G$3:$G$22-B4350)*Calc!$I$3:$I$22)</f>
        <v/>
      </c>
      <c r="P4350">
        <f>I4350-G4350^2/k_n</f>
        <v/>
      </c>
      <c r="Q4350">
        <f>J4350-H4350^2/k_n</f>
        <v/>
      </c>
      <c r="R4350">
        <f>K4350-G4350*H4350/k_n</f>
        <v/>
      </c>
      <c r="S4350">
        <f>L4350-LTP3!$D$3*G4350/k_n</f>
        <v/>
      </c>
      <c r="T4350">
        <f>M4350-LTP3!$D$3*H4350/k_n</f>
        <v/>
      </c>
      <c r="U4350">
        <f>N4350-G4350*LTP3!$D$4/k_n</f>
        <v/>
      </c>
      <c r="V4350">
        <f>O4350-H4350*LTP3!$D$4/k_n</f>
        <v/>
      </c>
      <c r="W4350">
        <f>((LTP3!$D$5)*((P4350)*(Q4350)-(R4350)*(R4350))-(S4350)*((S4350)*(Q4350)-(R4350)*(T4350))+(T4350)*((S4350)*(R4350)-(P4350)*(T4350)))</f>
        <v/>
      </c>
      <c r="X4350">
        <f>IF(ABS(W4350)&gt;1E-12,((LTP3!$D$6)*((P4350)*(Q4350)-(R4350)*(R4350))-(S4350)*((U4350)*(Q4350)-(R4350)*(V4350))+(T4350)*((U4350)*(R4350)-(P4350)*(V4350)))/W4350,0)</f>
        <v/>
      </c>
      <c r="Y4350">
        <f>IF(ABS(W4350)&gt;1E-12,((LTP3!$D$5)*((U4350)*(Q4350)-(R4350)*(V4350))-(LTP3!$D$6)*((S4350)*(Q4350)-(R4350)*(T4350))+(T4350)*((S4350)*(V4350)-(U4350)*(T4350)))/W4350,0)</f>
        <v/>
      </c>
      <c r="Z4350">
        <f>IF(ABS(W4350)&gt;1E-12,((LTP3!$D$5)*((P4350)*(V4350)-(U4350)*(R4350))-(S4350)*((S4350)*(V4350)-(U4350)*(T4350))+(LTP3!$D$6)*((S4350)*(R4350)-(P4350)*(T4350)))/W4350,0)</f>
        <v/>
      </c>
      <c r="AA4350">
        <f>LTP3!$D$7-X4350*LTP3!$D$6-Y4350*U4350-Z4350*V4350</f>
        <v/>
      </c>
      <c r="AB4350">
        <f>IF(AND(F4350,ABS(W4350)&gt;1E-12,Y4350&gt;0,Z4350&gt;0),AA4350,1E+300)</f>
        <v/>
      </c>
    </row>
    <row r="4351">
      <c r="A4351">
        <f>$I$4-$B$5/10+$B$5*8/100</f>
        <v/>
      </c>
      <c r="B4351">
        <f>$J$4-$B$5/10+$B$5*3/100</f>
        <v/>
      </c>
      <c r="C4351">
        <f>SUMPRODUCT(Calc!$K$3:$K$22*(Calc!$G$3:$G$22&lt;=A4351))</f>
        <v/>
      </c>
      <c r="D4351">
        <f>SUMPRODUCT(Calc!$K$3:$K$22*(Calc!$G$3:$G$22&gt;A4351)*(Calc!$G$3:$G$22&lt;B4351))</f>
        <v/>
      </c>
      <c r="E4351">
        <f>SUMPRODUCT(Calc!$K$3:$K$22*(Calc!$G$3:$G$22&gt;=B4351))</f>
        <v/>
      </c>
      <c r="F4351">
        <f>AND(k_n&gt;=5,B4351&gt;A4351+1E-9,C4351&gt;=2,D4351&gt;=1,E4351&gt;=2)</f>
        <v/>
      </c>
      <c r="G4351">
        <f>SUMPRODUCT(Calc!$K$3:$K$22*(Calc!$G$3:$G$22&gt;A4351)*(Calc!$G$3:$G$22-A4351))</f>
        <v/>
      </c>
      <c r="H4351">
        <f>SUMPRODUCT(Calc!$K$3:$K$22*(Calc!$G$3:$G$22&gt;B4351)*(Calc!$G$3:$G$22-B4351))</f>
        <v/>
      </c>
      <c r="I4351">
        <f>SUMPRODUCT(Calc!$K$3:$K$22*(Calc!$G$3:$G$22&gt;A4351)*(Calc!$G$3:$G$22-A4351)^2)</f>
        <v/>
      </c>
      <c r="J4351">
        <f>SUMPRODUCT(Calc!$K$3:$K$22*(Calc!$G$3:$G$22&gt;B4351)*(Calc!$G$3:$G$22-B4351)^2)</f>
        <v/>
      </c>
      <c r="K4351">
        <f>SUMPRODUCT(Calc!$K$3:$K$22*(Calc!$G$3:$G$22&gt;A4351)*(Calc!$G$3:$G$22-A4351)*(Calc!$G$3:$G$22&gt;B4351)*(Calc!$G$3:$G$22-B4351))</f>
        <v/>
      </c>
      <c r="L4351">
        <f>SUMPRODUCT(Calc!$K$3:$K$22*(Calc!$G$3:$G$22&gt;A4351)*(Calc!$G$3:$G$22-A4351)*Calc!$G$3:$G$22)</f>
        <v/>
      </c>
      <c r="M4351">
        <f>SUMPRODUCT(Calc!$K$3:$K$22*(Calc!$G$3:$G$22&gt;B4351)*(Calc!$G$3:$G$22-B4351)*Calc!$G$3:$G$22)</f>
        <v/>
      </c>
      <c r="N4351">
        <f>SUMPRODUCT(Calc!$K$3:$K$22*(Calc!$G$3:$G$22&gt;A4351)*(Calc!$G$3:$G$22-A4351)*Calc!$I$3:$I$22)</f>
        <v/>
      </c>
      <c r="O4351">
        <f>SUMPRODUCT(Calc!$K$3:$K$22*(Calc!$G$3:$G$22&gt;B4351)*(Calc!$G$3:$G$22-B4351)*Calc!$I$3:$I$22)</f>
        <v/>
      </c>
      <c r="P4351">
        <f>I4351-G4351^2/k_n</f>
        <v/>
      </c>
      <c r="Q4351">
        <f>J4351-H4351^2/k_n</f>
        <v/>
      </c>
      <c r="R4351">
        <f>K4351-G4351*H4351/k_n</f>
        <v/>
      </c>
      <c r="S4351">
        <f>L4351-LTP3!$D$3*G4351/k_n</f>
        <v/>
      </c>
      <c r="T4351">
        <f>M4351-LTP3!$D$3*H4351/k_n</f>
        <v/>
      </c>
      <c r="U4351">
        <f>N4351-G4351*LTP3!$D$4/k_n</f>
        <v/>
      </c>
      <c r="V4351">
        <f>O4351-H4351*LTP3!$D$4/k_n</f>
        <v/>
      </c>
      <c r="W4351">
        <f>((LTP3!$D$5)*((P4351)*(Q4351)-(R4351)*(R4351))-(S4351)*((S4351)*(Q4351)-(R4351)*(T4351))+(T4351)*((S4351)*(R4351)-(P4351)*(T4351)))</f>
        <v/>
      </c>
      <c r="X4351">
        <f>IF(ABS(W4351)&gt;1E-12,((LTP3!$D$6)*((P4351)*(Q4351)-(R4351)*(R4351))-(S4351)*((U4351)*(Q4351)-(R4351)*(V4351))+(T4351)*((U4351)*(R4351)-(P4351)*(V4351)))/W4351,0)</f>
        <v/>
      </c>
      <c r="Y4351">
        <f>IF(ABS(W4351)&gt;1E-12,((LTP3!$D$5)*((U4351)*(Q4351)-(R4351)*(V4351))-(LTP3!$D$6)*((S4351)*(Q4351)-(R4351)*(T4351))+(T4351)*((S4351)*(V4351)-(U4351)*(T4351)))/W4351,0)</f>
        <v/>
      </c>
      <c r="Z4351">
        <f>IF(ABS(W4351)&gt;1E-12,((LTP3!$D$5)*((P4351)*(V4351)-(U4351)*(R4351))-(S4351)*((S4351)*(V4351)-(U4351)*(T4351))+(LTP3!$D$6)*((S4351)*(R4351)-(P4351)*(T4351)))/W4351,0)</f>
        <v/>
      </c>
      <c r="AA4351">
        <f>LTP3!$D$7-X4351*LTP3!$D$6-Y4351*U4351-Z4351*V4351</f>
        <v/>
      </c>
      <c r="AB4351">
        <f>IF(AND(F4351,ABS(W4351)&gt;1E-12,Y4351&gt;0,Z4351&gt;0),AA4351,1E+300)</f>
        <v/>
      </c>
    </row>
    <row r="4352">
      <c r="A4352">
        <f>$I$4-$B$5/10+$B$5*8/100</f>
        <v/>
      </c>
      <c r="B4352">
        <f>$J$4-$B$5/10+$B$5*4/100</f>
        <v/>
      </c>
      <c r="C4352">
        <f>SUMPRODUCT(Calc!$K$3:$K$22*(Calc!$G$3:$G$22&lt;=A4352))</f>
        <v/>
      </c>
      <c r="D4352">
        <f>SUMPRODUCT(Calc!$K$3:$K$22*(Calc!$G$3:$G$22&gt;A4352)*(Calc!$G$3:$G$22&lt;B4352))</f>
        <v/>
      </c>
      <c r="E4352">
        <f>SUMPRODUCT(Calc!$K$3:$K$22*(Calc!$G$3:$G$22&gt;=B4352))</f>
        <v/>
      </c>
      <c r="F4352">
        <f>AND(k_n&gt;=5,B4352&gt;A4352+1E-9,C4352&gt;=2,D4352&gt;=1,E4352&gt;=2)</f>
        <v/>
      </c>
      <c r="G4352">
        <f>SUMPRODUCT(Calc!$K$3:$K$22*(Calc!$G$3:$G$22&gt;A4352)*(Calc!$G$3:$G$22-A4352))</f>
        <v/>
      </c>
      <c r="H4352">
        <f>SUMPRODUCT(Calc!$K$3:$K$22*(Calc!$G$3:$G$22&gt;B4352)*(Calc!$G$3:$G$22-B4352))</f>
        <v/>
      </c>
      <c r="I4352">
        <f>SUMPRODUCT(Calc!$K$3:$K$22*(Calc!$G$3:$G$22&gt;A4352)*(Calc!$G$3:$G$22-A4352)^2)</f>
        <v/>
      </c>
      <c r="J4352">
        <f>SUMPRODUCT(Calc!$K$3:$K$22*(Calc!$G$3:$G$22&gt;B4352)*(Calc!$G$3:$G$22-B4352)^2)</f>
        <v/>
      </c>
      <c r="K4352">
        <f>SUMPRODUCT(Calc!$K$3:$K$22*(Calc!$G$3:$G$22&gt;A4352)*(Calc!$G$3:$G$22-A4352)*(Calc!$G$3:$G$22&gt;B4352)*(Calc!$G$3:$G$22-B4352))</f>
        <v/>
      </c>
      <c r="L4352">
        <f>SUMPRODUCT(Calc!$K$3:$K$22*(Calc!$G$3:$G$22&gt;A4352)*(Calc!$G$3:$G$22-A4352)*Calc!$G$3:$G$22)</f>
        <v/>
      </c>
      <c r="M4352">
        <f>SUMPRODUCT(Calc!$K$3:$K$22*(Calc!$G$3:$G$22&gt;B4352)*(Calc!$G$3:$G$22-B4352)*Calc!$G$3:$G$22)</f>
        <v/>
      </c>
      <c r="N4352">
        <f>SUMPRODUCT(Calc!$K$3:$K$22*(Calc!$G$3:$G$22&gt;A4352)*(Calc!$G$3:$G$22-A4352)*Calc!$I$3:$I$22)</f>
        <v/>
      </c>
      <c r="O4352">
        <f>SUMPRODUCT(Calc!$K$3:$K$22*(Calc!$G$3:$G$22&gt;B4352)*(Calc!$G$3:$G$22-B4352)*Calc!$I$3:$I$22)</f>
        <v/>
      </c>
      <c r="P4352">
        <f>I4352-G4352^2/k_n</f>
        <v/>
      </c>
      <c r="Q4352">
        <f>J4352-H4352^2/k_n</f>
        <v/>
      </c>
      <c r="R4352">
        <f>K4352-G4352*H4352/k_n</f>
        <v/>
      </c>
      <c r="S4352">
        <f>L4352-LTP3!$D$3*G4352/k_n</f>
        <v/>
      </c>
      <c r="T4352">
        <f>M4352-LTP3!$D$3*H4352/k_n</f>
        <v/>
      </c>
      <c r="U4352">
        <f>N4352-G4352*LTP3!$D$4/k_n</f>
        <v/>
      </c>
      <c r="V4352">
        <f>O4352-H4352*LTP3!$D$4/k_n</f>
        <v/>
      </c>
      <c r="W4352">
        <f>((LTP3!$D$5)*((P4352)*(Q4352)-(R4352)*(R4352))-(S4352)*((S4352)*(Q4352)-(R4352)*(T4352))+(T4352)*((S4352)*(R4352)-(P4352)*(T4352)))</f>
        <v/>
      </c>
      <c r="X4352">
        <f>IF(ABS(W4352)&gt;1E-12,((LTP3!$D$6)*((P4352)*(Q4352)-(R4352)*(R4352))-(S4352)*((U4352)*(Q4352)-(R4352)*(V4352))+(T4352)*((U4352)*(R4352)-(P4352)*(V4352)))/W4352,0)</f>
        <v/>
      </c>
      <c r="Y4352">
        <f>IF(ABS(W4352)&gt;1E-12,((LTP3!$D$5)*((U4352)*(Q4352)-(R4352)*(V4352))-(LTP3!$D$6)*((S4352)*(Q4352)-(R4352)*(T4352))+(T4352)*((S4352)*(V4352)-(U4352)*(T4352)))/W4352,0)</f>
        <v/>
      </c>
      <c r="Z4352">
        <f>IF(ABS(W4352)&gt;1E-12,((LTP3!$D$5)*((P4352)*(V4352)-(U4352)*(R4352))-(S4352)*((S4352)*(V4352)-(U4352)*(T4352))+(LTP3!$D$6)*((S4352)*(R4352)-(P4352)*(T4352)))/W4352,0)</f>
        <v/>
      </c>
      <c r="AA4352">
        <f>LTP3!$D$7-X4352*LTP3!$D$6-Y4352*U4352-Z4352*V4352</f>
        <v/>
      </c>
      <c r="AB4352">
        <f>IF(AND(F4352,ABS(W4352)&gt;1E-12,Y4352&gt;0,Z4352&gt;0),AA4352,1E+300)</f>
        <v/>
      </c>
    </row>
    <row r="4353">
      <c r="A4353">
        <f>$I$4-$B$5/10+$B$5*8/100</f>
        <v/>
      </c>
      <c r="B4353">
        <f>$J$4-$B$5/10+$B$5*5/100</f>
        <v/>
      </c>
      <c r="C4353">
        <f>SUMPRODUCT(Calc!$K$3:$K$22*(Calc!$G$3:$G$22&lt;=A4353))</f>
        <v/>
      </c>
      <c r="D4353">
        <f>SUMPRODUCT(Calc!$K$3:$K$22*(Calc!$G$3:$G$22&gt;A4353)*(Calc!$G$3:$G$22&lt;B4353))</f>
        <v/>
      </c>
      <c r="E4353">
        <f>SUMPRODUCT(Calc!$K$3:$K$22*(Calc!$G$3:$G$22&gt;=B4353))</f>
        <v/>
      </c>
      <c r="F4353">
        <f>AND(k_n&gt;=5,B4353&gt;A4353+1E-9,C4353&gt;=2,D4353&gt;=1,E4353&gt;=2)</f>
        <v/>
      </c>
      <c r="G4353">
        <f>SUMPRODUCT(Calc!$K$3:$K$22*(Calc!$G$3:$G$22&gt;A4353)*(Calc!$G$3:$G$22-A4353))</f>
        <v/>
      </c>
      <c r="H4353">
        <f>SUMPRODUCT(Calc!$K$3:$K$22*(Calc!$G$3:$G$22&gt;B4353)*(Calc!$G$3:$G$22-B4353))</f>
        <v/>
      </c>
      <c r="I4353">
        <f>SUMPRODUCT(Calc!$K$3:$K$22*(Calc!$G$3:$G$22&gt;A4353)*(Calc!$G$3:$G$22-A4353)^2)</f>
        <v/>
      </c>
      <c r="J4353">
        <f>SUMPRODUCT(Calc!$K$3:$K$22*(Calc!$G$3:$G$22&gt;B4353)*(Calc!$G$3:$G$22-B4353)^2)</f>
        <v/>
      </c>
      <c r="K4353">
        <f>SUMPRODUCT(Calc!$K$3:$K$22*(Calc!$G$3:$G$22&gt;A4353)*(Calc!$G$3:$G$22-A4353)*(Calc!$G$3:$G$22&gt;B4353)*(Calc!$G$3:$G$22-B4353))</f>
        <v/>
      </c>
      <c r="L4353">
        <f>SUMPRODUCT(Calc!$K$3:$K$22*(Calc!$G$3:$G$22&gt;A4353)*(Calc!$G$3:$G$22-A4353)*Calc!$G$3:$G$22)</f>
        <v/>
      </c>
      <c r="M4353">
        <f>SUMPRODUCT(Calc!$K$3:$K$22*(Calc!$G$3:$G$22&gt;B4353)*(Calc!$G$3:$G$22-B4353)*Calc!$G$3:$G$22)</f>
        <v/>
      </c>
      <c r="N4353">
        <f>SUMPRODUCT(Calc!$K$3:$K$22*(Calc!$G$3:$G$22&gt;A4353)*(Calc!$G$3:$G$22-A4353)*Calc!$I$3:$I$22)</f>
        <v/>
      </c>
      <c r="O4353">
        <f>SUMPRODUCT(Calc!$K$3:$K$22*(Calc!$G$3:$G$22&gt;B4353)*(Calc!$G$3:$G$22-B4353)*Calc!$I$3:$I$22)</f>
        <v/>
      </c>
      <c r="P4353">
        <f>I4353-G4353^2/k_n</f>
        <v/>
      </c>
      <c r="Q4353">
        <f>J4353-H4353^2/k_n</f>
        <v/>
      </c>
      <c r="R4353">
        <f>K4353-G4353*H4353/k_n</f>
        <v/>
      </c>
      <c r="S4353">
        <f>L4353-LTP3!$D$3*G4353/k_n</f>
        <v/>
      </c>
      <c r="T4353">
        <f>M4353-LTP3!$D$3*H4353/k_n</f>
        <v/>
      </c>
      <c r="U4353">
        <f>N4353-G4353*LTP3!$D$4/k_n</f>
        <v/>
      </c>
      <c r="V4353">
        <f>O4353-H4353*LTP3!$D$4/k_n</f>
        <v/>
      </c>
      <c r="W4353">
        <f>((LTP3!$D$5)*((P4353)*(Q4353)-(R4353)*(R4353))-(S4353)*((S4353)*(Q4353)-(R4353)*(T4353))+(T4353)*((S4353)*(R4353)-(P4353)*(T4353)))</f>
        <v/>
      </c>
      <c r="X4353">
        <f>IF(ABS(W4353)&gt;1E-12,((LTP3!$D$6)*((P4353)*(Q4353)-(R4353)*(R4353))-(S4353)*((U4353)*(Q4353)-(R4353)*(V4353))+(T4353)*((U4353)*(R4353)-(P4353)*(V4353)))/W4353,0)</f>
        <v/>
      </c>
      <c r="Y4353">
        <f>IF(ABS(W4353)&gt;1E-12,((LTP3!$D$5)*((U4353)*(Q4353)-(R4353)*(V4353))-(LTP3!$D$6)*((S4353)*(Q4353)-(R4353)*(T4353))+(T4353)*((S4353)*(V4353)-(U4353)*(T4353)))/W4353,0)</f>
        <v/>
      </c>
      <c r="Z4353">
        <f>IF(ABS(W4353)&gt;1E-12,((LTP3!$D$5)*((P4353)*(V4353)-(U4353)*(R4353))-(S4353)*((S4353)*(V4353)-(U4353)*(T4353))+(LTP3!$D$6)*((S4353)*(R4353)-(P4353)*(T4353)))/W4353,0)</f>
        <v/>
      </c>
      <c r="AA4353">
        <f>LTP3!$D$7-X4353*LTP3!$D$6-Y4353*U4353-Z4353*V4353</f>
        <v/>
      </c>
      <c r="AB4353">
        <f>IF(AND(F4353,ABS(W4353)&gt;1E-12,Y4353&gt;0,Z4353&gt;0),AA4353,1E+300)</f>
        <v/>
      </c>
    </row>
    <row r="4354">
      <c r="A4354">
        <f>$I$4-$B$5/10+$B$5*8/100</f>
        <v/>
      </c>
      <c r="B4354">
        <f>$J$4-$B$5/10+$B$5*6/100</f>
        <v/>
      </c>
      <c r="C4354">
        <f>SUMPRODUCT(Calc!$K$3:$K$22*(Calc!$G$3:$G$22&lt;=A4354))</f>
        <v/>
      </c>
      <c r="D4354">
        <f>SUMPRODUCT(Calc!$K$3:$K$22*(Calc!$G$3:$G$22&gt;A4354)*(Calc!$G$3:$G$22&lt;B4354))</f>
        <v/>
      </c>
      <c r="E4354">
        <f>SUMPRODUCT(Calc!$K$3:$K$22*(Calc!$G$3:$G$22&gt;=B4354))</f>
        <v/>
      </c>
      <c r="F4354">
        <f>AND(k_n&gt;=5,B4354&gt;A4354+1E-9,C4354&gt;=2,D4354&gt;=1,E4354&gt;=2)</f>
        <v/>
      </c>
      <c r="G4354">
        <f>SUMPRODUCT(Calc!$K$3:$K$22*(Calc!$G$3:$G$22&gt;A4354)*(Calc!$G$3:$G$22-A4354))</f>
        <v/>
      </c>
      <c r="H4354">
        <f>SUMPRODUCT(Calc!$K$3:$K$22*(Calc!$G$3:$G$22&gt;B4354)*(Calc!$G$3:$G$22-B4354))</f>
        <v/>
      </c>
      <c r="I4354">
        <f>SUMPRODUCT(Calc!$K$3:$K$22*(Calc!$G$3:$G$22&gt;A4354)*(Calc!$G$3:$G$22-A4354)^2)</f>
        <v/>
      </c>
      <c r="J4354">
        <f>SUMPRODUCT(Calc!$K$3:$K$22*(Calc!$G$3:$G$22&gt;B4354)*(Calc!$G$3:$G$22-B4354)^2)</f>
        <v/>
      </c>
      <c r="K4354">
        <f>SUMPRODUCT(Calc!$K$3:$K$22*(Calc!$G$3:$G$22&gt;A4354)*(Calc!$G$3:$G$22-A4354)*(Calc!$G$3:$G$22&gt;B4354)*(Calc!$G$3:$G$22-B4354))</f>
        <v/>
      </c>
      <c r="L4354">
        <f>SUMPRODUCT(Calc!$K$3:$K$22*(Calc!$G$3:$G$22&gt;A4354)*(Calc!$G$3:$G$22-A4354)*Calc!$G$3:$G$22)</f>
        <v/>
      </c>
      <c r="M4354">
        <f>SUMPRODUCT(Calc!$K$3:$K$22*(Calc!$G$3:$G$22&gt;B4354)*(Calc!$G$3:$G$22-B4354)*Calc!$G$3:$G$22)</f>
        <v/>
      </c>
      <c r="N4354">
        <f>SUMPRODUCT(Calc!$K$3:$K$22*(Calc!$G$3:$G$22&gt;A4354)*(Calc!$G$3:$G$22-A4354)*Calc!$I$3:$I$22)</f>
        <v/>
      </c>
      <c r="O4354">
        <f>SUMPRODUCT(Calc!$K$3:$K$22*(Calc!$G$3:$G$22&gt;B4354)*(Calc!$G$3:$G$22-B4354)*Calc!$I$3:$I$22)</f>
        <v/>
      </c>
      <c r="P4354">
        <f>I4354-G4354^2/k_n</f>
        <v/>
      </c>
      <c r="Q4354">
        <f>J4354-H4354^2/k_n</f>
        <v/>
      </c>
      <c r="R4354">
        <f>K4354-G4354*H4354/k_n</f>
        <v/>
      </c>
      <c r="S4354">
        <f>L4354-LTP3!$D$3*G4354/k_n</f>
        <v/>
      </c>
      <c r="T4354">
        <f>M4354-LTP3!$D$3*H4354/k_n</f>
        <v/>
      </c>
      <c r="U4354">
        <f>N4354-G4354*LTP3!$D$4/k_n</f>
        <v/>
      </c>
      <c r="V4354">
        <f>O4354-H4354*LTP3!$D$4/k_n</f>
        <v/>
      </c>
      <c r="W4354">
        <f>((LTP3!$D$5)*((P4354)*(Q4354)-(R4354)*(R4354))-(S4354)*((S4354)*(Q4354)-(R4354)*(T4354))+(T4354)*((S4354)*(R4354)-(P4354)*(T4354)))</f>
        <v/>
      </c>
      <c r="X4354">
        <f>IF(ABS(W4354)&gt;1E-12,((LTP3!$D$6)*((P4354)*(Q4354)-(R4354)*(R4354))-(S4354)*((U4354)*(Q4354)-(R4354)*(V4354))+(T4354)*((U4354)*(R4354)-(P4354)*(V4354)))/W4354,0)</f>
        <v/>
      </c>
      <c r="Y4354">
        <f>IF(ABS(W4354)&gt;1E-12,((LTP3!$D$5)*((U4354)*(Q4354)-(R4354)*(V4354))-(LTP3!$D$6)*((S4354)*(Q4354)-(R4354)*(T4354))+(T4354)*((S4354)*(V4354)-(U4354)*(T4354)))/W4354,0)</f>
        <v/>
      </c>
      <c r="Z4354">
        <f>IF(ABS(W4354)&gt;1E-12,((LTP3!$D$5)*((P4354)*(V4354)-(U4354)*(R4354))-(S4354)*((S4354)*(V4354)-(U4354)*(T4354))+(LTP3!$D$6)*((S4354)*(R4354)-(P4354)*(T4354)))/W4354,0)</f>
        <v/>
      </c>
      <c r="AA4354">
        <f>LTP3!$D$7-X4354*LTP3!$D$6-Y4354*U4354-Z4354*V4354</f>
        <v/>
      </c>
      <c r="AB4354">
        <f>IF(AND(F4354,ABS(W4354)&gt;1E-12,Y4354&gt;0,Z4354&gt;0),AA4354,1E+300)</f>
        <v/>
      </c>
    </row>
    <row r="4355">
      <c r="A4355">
        <f>$I$4-$B$5/10+$B$5*8/100</f>
        <v/>
      </c>
      <c r="B4355">
        <f>$J$4-$B$5/10+$B$5*7/100</f>
        <v/>
      </c>
      <c r="C4355">
        <f>SUMPRODUCT(Calc!$K$3:$K$22*(Calc!$G$3:$G$22&lt;=A4355))</f>
        <v/>
      </c>
      <c r="D4355">
        <f>SUMPRODUCT(Calc!$K$3:$K$22*(Calc!$G$3:$G$22&gt;A4355)*(Calc!$G$3:$G$22&lt;B4355))</f>
        <v/>
      </c>
      <c r="E4355">
        <f>SUMPRODUCT(Calc!$K$3:$K$22*(Calc!$G$3:$G$22&gt;=B4355))</f>
        <v/>
      </c>
      <c r="F4355">
        <f>AND(k_n&gt;=5,B4355&gt;A4355+1E-9,C4355&gt;=2,D4355&gt;=1,E4355&gt;=2)</f>
        <v/>
      </c>
      <c r="G4355">
        <f>SUMPRODUCT(Calc!$K$3:$K$22*(Calc!$G$3:$G$22&gt;A4355)*(Calc!$G$3:$G$22-A4355))</f>
        <v/>
      </c>
      <c r="H4355">
        <f>SUMPRODUCT(Calc!$K$3:$K$22*(Calc!$G$3:$G$22&gt;B4355)*(Calc!$G$3:$G$22-B4355))</f>
        <v/>
      </c>
      <c r="I4355">
        <f>SUMPRODUCT(Calc!$K$3:$K$22*(Calc!$G$3:$G$22&gt;A4355)*(Calc!$G$3:$G$22-A4355)^2)</f>
        <v/>
      </c>
      <c r="J4355">
        <f>SUMPRODUCT(Calc!$K$3:$K$22*(Calc!$G$3:$G$22&gt;B4355)*(Calc!$G$3:$G$22-B4355)^2)</f>
        <v/>
      </c>
      <c r="K4355">
        <f>SUMPRODUCT(Calc!$K$3:$K$22*(Calc!$G$3:$G$22&gt;A4355)*(Calc!$G$3:$G$22-A4355)*(Calc!$G$3:$G$22&gt;B4355)*(Calc!$G$3:$G$22-B4355))</f>
        <v/>
      </c>
      <c r="L4355">
        <f>SUMPRODUCT(Calc!$K$3:$K$22*(Calc!$G$3:$G$22&gt;A4355)*(Calc!$G$3:$G$22-A4355)*Calc!$G$3:$G$22)</f>
        <v/>
      </c>
      <c r="M4355">
        <f>SUMPRODUCT(Calc!$K$3:$K$22*(Calc!$G$3:$G$22&gt;B4355)*(Calc!$G$3:$G$22-B4355)*Calc!$G$3:$G$22)</f>
        <v/>
      </c>
      <c r="N4355">
        <f>SUMPRODUCT(Calc!$K$3:$K$22*(Calc!$G$3:$G$22&gt;A4355)*(Calc!$G$3:$G$22-A4355)*Calc!$I$3:$I$22)</f>
        <v/>
      </c>
      <c r="O4355">
        <f>SUMPRODUCT(Calc!$K$3:$K$22*(Calc!$G$3:$G$22&gt;B4355)*(Calc!$G$3:$G$22-B4355)*Calc!$I$3:$I$22)</f>
        <v/>
      </c>
      <c r="P4355">
        <f>I4355-G4355^2/k_n</f>
        <v/>
      </c>
      <c r="Q4355">
        <f>J4355-H4355^2/k_n</f>
        <v/>
      </c>
      <c r="R4355">
        <f>K4355-G4355*H4355/k_n</f>
        <v/>
      </c>
      <c r="S4355">
        <f>L4355-LTP3!$D$3*G4355/k_n</f>
        <v/>
      </c>
      <c r="T4355">
        <f>M4355-LTP3!$D$3*H4355/k_n</f>
        <v/>
      </c>
      <c r="U4355">
        <f>N4355-G4355*LTP3!$D$4/k_n</f>
        <v/>
      </c>
      <c r="V4355">
        <f>O4355-H4355*LTP3!$D$4/k_n</f>
        <v/>
      </c>
      <c r="W4355">
        <f>((LTP3!$D$5)*((P4355)*(Q4355)-(R4355)*(R4355))-(S4355)*((S4355)*(Q4355)-(R4355)*(T4355))+(T4355)*((S4355)*(R4355)-(P4355)*(T4355)))</f>
        <v/>
      </c>
      <c r="X4355">
        <f>IF(ABS(W4355)&gt;1E-12,((LTP3!$D$6)*((P4355)*(Q4355)-(R4355)*(R4355))-(S4355)*((U4355)*(Q4355)-(R4355)*(V4355))+(T4355)*((U4355)*(R4355)-(P4355)*(V4355)))/W4355,0)</f>
        <v/>
      </c>
      <c r="Y4355">
        <f>IF(ABS(W4355)&gt;1E-12,((LTP3!$D$5)*((U4355)*(Q4355)-(R4355)*(V4355))-(LTP3!$D$6)*((S4355)*(Q4355)-(R4355)*(T4355))+(T4355)*((S4355)*(V4355)-(U4355)*(T4355)))/W4355,0)</f>
        <v/>
      </c>
      <c r="Z4355">
        <f>IF(ABS(W4355)&gt;1E-12,((LTP3!$D$5)*((P4355)*(V4355)-(U4355)*(R4355))-(S4355)*((S4355)*(V4355)-(U4355)*(T4355))+(LTP3!$D$6)*((S4355)*(R4355)-(P4355)*(T4355)))/W4355,0)</f>
        <v/>
      </c>
      <c r="AA4355">
        <f>LTP3!$D$7-X4355*LTP3!$D$6-Y4355*U4355-Z4355*V4355</f>
        <v/>
      </c>
      <c r="AB4355">
        <f>IF(AND(F4355,ABS(W4355)&gt;1E-12,Y4355&gt;0,Z4355&gt;0),AA4355,1E+300)</f>
        <v/>
      </c>
    </row>
    <row r="4356">
      <c r="A4356">
        <f>$I$4-$B$5/10+$B$5*8/100</f>
        <v/>
      </c>
      <c r="B4356">
        <f>$J$4-$B$5/10+$B$5*8/100</f>
        <v/>
      </c>
      <c r="C4356">
        <f>SUMPRODUCT(Calc!$K$3:$K$22*(Calc!$G$3:$G$22&lt;=A4356))</f>
        <v/>
      </c>
      <c r="D4356">
        <f>SUMPRODUCT(Calc!$K$3:$K$22*(Calc!$G$3:$G$22&gt;A4356)*(Calc!$G$3:$G$22&lt;B4356))</f>
        <v/>
      </c>
      <c r="E4356">
        <f>SUMPRODUCT(Calc!$K$3:$K$22*(Calc!$G$3:$G$22&gt;=B4356))</f>
        <v/>
      </c>
      <c r="F4356">
        <f>AND(k_n&gt;=5,B4356&gt;A4356+1E-9,C4356&gt;=2,D4356&gt;=1,E4356&gt;=2)</f>
        <v/>
      </c>
      <c r="G4356">
        <f>SUMPRODUCT(Calc!$K$3:$K$22*(Calc!$G$3:$G$22&gt;A4356)*(Calc!$G$3:$G$22-A4356))</f>
        <v/>
      </c>
      <c r="H4356">
        <f>SUMPRODUCT(Calc!$K$3:$K$22*(Calc!$G$3:$G$22&gt;B4356)*(Calc!$G$3:$G$22-B4356))</f>
        <v/>
      </c>
      <c r="I4356">
        <f>SUMPRODUCT(Calc!$K$3:$K$22*(Calc!$G$3:$G$22&gt;A4356)*(Calc!$G$3:$G$22-A4356)^2)</f>
        <v/>
      </c>
      <c r="J4356">
        <f>SUMPRODUCT(Calc!$K$3:$K$22*(Calc!$G$3:$G$22&gt;B4356)*(Calc!$G$3:$G$22-B4356)^2)</f>
        <v/>
      </c>
      <c r="K4356">
        <f>SUMPRODUCT(Calc!$K$3:$K$22*(Calc!$G$3:$G$22&gt;A4356)*(Calc!$G$3:$G$22-A4356)*(Calc!$G$3:$G$22&gt;B4356)*(Calc!$G$3:$G$22-B4356))</f>
        <v/>
      </c>
      <c r="L4356">
        <f>SUMPRODUCT(Calc!$K$3:$K$22*(Calc!$G$3:$G$22&gt;A4356)*(Calc!$G$3:$G$22-A4356)*Calc!$G$3:$G$22)</f>
        <v/>
      </c>
      <c r="M4356">
        <f>SUMPRODUCT(Calc!$K$3:$K$22*(Calc!$G$3:$G$22&gt;B4356)*(Calc!$G$3:$G$22-B4356)*Calc!$G$3:$G$22)</f>
        <v/>
      </c>
      <c r="N4356">
        <f>SUMPRODUCT(Calc!$K$3:$K$22*(Calc!$G$3:$G$22&gt;A4356)*(Calc!$G$3:$G$22-A4356)*Calc!$I$3:$I$22)</f>
        <v/>
      </c>
      <c r="O4356">
        <f>SUMPRODUCT(Calc!$K$3:$K$22*(Calc!$G$3:$G$22&gt;B4356)*(Calc!$G$3:$G$22-B4356)*Calc!$I$3:$I$22)</f>
        <v/>
      </c>
      <c r="P4356">
        <f>I4356-G4356^2/k_n</f>
        <v/>
      </c>
      <c r="Q4356">
        <f>J4356-H4356^2/k_n</f>
        <v/>
      </c>
      <c r="R4356">
        <f>K4356-G4356*H4356/k_n</f>
        <v/>
      </c>
      <c r="S4356">
        <f>L4356-LTP3!$D$3*G4356/k_n</f>
        <v/>
      </c>
      <c r="T4356">
        <f>M4356-LTP3!$D$3*H4356/k_n</f>
        <v/>
      </c>
      <c r="U4356">
        <f>N4356-G4356*LTP3!$D$4/k_n</f>
        <v/>
      </c>
      <c r="V4356">
        <f>O4356-H4356*LTP3!$D$4/k_n</f>
        <v/>
      </c>
      <c r="W4356">
        <f>((LTP3!$D$5)*((P4356)*(Q4356)-(R4356)*(R4356))-(S4356)*((S4356)*(Q4356)-(R4356)*(T4356))+(T4356)*((S4356)*(R4356)-(P4356)*(T4356)))</f>
        <v/>
      </c>
      <c r="X4356">
        <f>IF(ABS(W4356)&gt;1E-12,((LTP3!$D$6)*((P4356)*(Q4356)-(R4356)*(R4356))-(S4356)*((U4356)*(Q4356)-(R4356)*(V4356))+(T4356)*((U4356)*(R4356)-(P4356)*(V4356)))/W4356,0)</f>
        <v/>
      </c>
      <c r="Y4356">
        <f>IF(ABS(W4356)&gt;1E-12,((LTP3!$D$5)*((U4356)*(Q4356)-(R4356)*(V4356))-(LTP3!$D$6)*((S4356)*(Q4356)-(R4356)*(T4356))+(T4356)*((S4356)*(V4356)-(U4356)*(T4356)))/W4356,0)</f>
        <v/>
      </c>
      <c r="Z4356">
        <f>IF(ABS(W4356)&gt;1E-12,((LTP3!$D$5)*((P4356)*(V4356)-(U4356)*(R4356))-(S4356)*((S4356)*(V4356)-(U4356)*(T4356))+(LTP3!$D$6)*((S4356)*(R4356)-(P4356)*(T4356)))/W4356,0)</f>
        <v/>
      </c>
      <c r="AA4356">
        <f>LTP3!$D$7-X4356*LTP3!$D$6-Y4356*U4356-Z4356*V4356</f>
        <v/>
      </c>
      <c r="AB4356">
        <f>IF(AND(F4356,ABS(W4356)&gt;1E-12,Y4356&gt;0,Z4356&gt;0),AA4356,1E+300)</f>
        <v/>
      </c>
    </row>
    <row r="4357">
      <c r="A4357">
        <f>$I$4-$B$5/10+$B$5*8/100</f>
        <v/>
      </c>
      <c r="B4357">
        <f>$J$4-$B$5/10+$B$5*9/100</f>
        <v/>
      </c>
      <c r="C4357">
        <f>SUMPRODUCT(Calc!$K$3:$K$22*(Calc!$G$3:$G$22&lt;=A4357))</f>
        <v/>
      </c>
      <c r="D4357">
        <f>SUMPRODUCT(Calc!$K$3:$K$22*(Calc!$G$3:$G$22&gt;A4357)*(Calc!$G$3:$G$22&lt;B4357))</f>
        <v/>
      </c>
      <c r="E4357">
        <f>SUMPRODUCT(Calc!$K$3:$K$22*(Calc!$G$3:$G$22&gt;=B4357))</f>
        <v/>
      </c>
      <c r="F4357">
        <f>AND(k_n&gt;=5,B4357&gt;A4357+1E-9,C4357&gt;=2,D4357&gt;=1,E4357&gt;=2)</f>
        <v/>
      </c>
      <c r="G4357">
        <f>SUMPRODUCT(Calc!$K$3:$K$22*(Calc!$G$3:$G$22&gt;A4357)*(Calc!$G$3:$G$22-A4357))</f>
        <v/>
      </c>
      <c r="H4357">
        <f>SUMPRODUCT(Calc!$K$3:$K$22*(Calc!$G$3:$G$22&gt;B4357)*(Calc!$G$3:$G$22-B4357))</f>
        <v/>
      </c>
      <c r="I4357">
        <f>SUMPRODUCT(Calc!$K$3:$K$22*(Calc!$G$3:$G$22&gt;A4357)*(Calc!$G$3:$G$22-A4357)^2)</f>
        <v/>
      </c>
      <c r="J4357">
        <f>SUMPRODUCT(Calc!$K$3:$K$22*(Calc!$G$3:$G$22&gt;B4357)*(Calc!$G$3:$G$22-B4357)^2)</f>
        <v/>
      </c>
      <c r="K4357">
        <f>SUMPRODUCT(Calc!$K$3:$K$22*(Calc!$G$3:$G$22&gt;A4357)*(Calc!$G$3:$G$22-A4357)*(Calc!$G$3:$G$22&gt;B4357)*(Calc!$G$3:$G$22-B4357))</f>
        <v/>
      </c>
      <c r="L4357">
        <f>SUMPRODUCT(Calc!$K$3:$K$22*(Calc!$G$3:$G$22&gt;A4357)*(Calc!$G$3:$G$22-A4357)*Calc!$G$3:$G$22)</f>
        <v/>
      </c>
      <c r="M4357">
        <f>SUMPRODUCT(Calc!$K$3:$K$22*(Calc!$G$3:$G$22&gt;B4357)*(Calc!$G$3:$G$22-B4357)*Calc!$G$3:$G$22)</f>
        <v/>
      </c>
      <c r="N4357">
        <f>SUMPRODUCT(Calc!$K$3:$K$22*(Calc!$G$3:$G$22&gt;A4357)*(Calc!$G$3:$G$22-A4357)*Calc!$I$3:$I$22)</f>
        <v/>
      </c>
      <c r="O4357">
        <f>SUMPRODUCT(Calc!$K$3:$K$22*(Calc!$G$3:$G$22&gt;B4357)*(Calc!$G$3:$G$22-B4357)*Calc!$I$3:$I$22)</f>
        <v/>
      </c>
      <c r="P4357">
        <f>I4357-G4357^2/k_n</f>
        <v/>
      </c>
      <c r="Q4357">
        <f>J4357-H4357^2/k_n</f>
        <v/>
      </c>
      <c r="R4357">
        <f>K4357-G4357*H4357/k_n</f>
        <v/>
      </c>
      <c r="S4357">
        <f>L4357-LTP3!$D$3*G4357/k_n</f>
        <v/>
      </c>
      <c r="T4357">
        <f>M4357-LTP3!$D$3*H4357/k_n</f>
        <v/>
      </c>
      <c r="U4357">
        <f>N4357-G4357*LTP3!$D$4/k_n</f>
        <v/>
      </c>
      <c r="V4357">
        <f>O4357-H4357*LTP3!$D$4/k_n</f>
        <v/>
      </c>
      <c r="W4357">
        <f>((LTP3!$D$5)*((P4357)*(Q4357)-(R4357)*(R4357))-(S4357)*((S4357)*(Q4357)-(R4357)*(T4357))+(T4357)*((S4357)*(R4357)-(P4357)*(T4357)))</f>
        <v/>
      </c>
      <c r="X4357">
        <f>IF(ABS(W4357)&gt;1E-12,((LTP3!$D$6)*((P4357)*(Q4357)-(R4357)*(R4357))-(S4357)*((U4357)*(Q4357)-(R4357)*(V4357))+(T4357)*((U4357)*(R4357)-(P4357)*(V4357)))/W4357,0)</f>
        <v/>
      </c>
      <c r="Y4357">
        <f>IF(ABS(W4357)&gt;1E-12,((LTP3!$D$5)*((U4357)*(Q4357)-(R4357)*(V4357))-(LTP3!$D$6)*((S4357)*(Q4357)-(R4357)*(T4357))+(T4357)*((S4357)*(V4357)-(U4357)*(T4357)))/W4357,0)</f>
        <v/>
      </c>
      <c r="Z4357">
        <f>IF(ABS(W4357)&gt;1E-12,((LTP3!$D$5)*((P4357)*(V4357)-(U4357)*(R4357))-(S4357)*((S4357)*(V4357)-(U4357)*(T4357))+(LTP3!$D$6)*((S4357)*(R4357)-(P4357)*(T4357)))/W4357,0)</f>
        <v/>
      </c>
      <c r="AA4357">
        <f>LTP3!$D$7-X4357*LTP3!$D$6-Y4357*U4357-Z4357*V4357</f>
        <v/>
      </c>
      <c r="AB4357">
        <f>IF(AND(F4357,ABS(W4357)&gt;1E-12,Y4357&gt;0,Z4357&gt;0),AA4357,1E+300)</f>
        <v/>
      </c>
    </row>
    <row r="4358">
      <c r="A4358">
        <f>$I$4-$B$5/10+$B$5*8/100</f>
        <v/>
      </c>
      <c r="B4358">
        <f>$J$4-$B$5/10+$B$5*10/100</f>
        <v/>
      </c>
      <c r="C4358">
        <f>SUMPRODUCT(Calc!$K$3:$K$22*(Calc!$G$3:$G$22&lt;=A4358))</f>
        <v/>
      </c>
      <c r="D4358">
        <f>SUMPRODUCT(Calc!$K$3:$K$22*(Calc!$G$3:$G$22&gt;A4358)*(Calc!$G$3:$G$22&lt;B4358))</f>
        <v/>
      </c>
      <c r="E4358">
        <f>SUMPRODUCT(Calc!$K$3:$K$22*(Calc!$G$3:$G$22&gt;=B4358))</f>
        <v/>
      </c>
      <c r="F4358">
        <f>AND(k_n&gt;=5,B4358&gt;A4358+1E-9,C4358&gt;=2,D4358&gt;=1,E4358&gt;=2)</f>
        <v/>
      </c>
      <c r="G4358">
        <f>SUMPRODUCT(Calc!$K$3:$K$22*(Calc!$G$3:$G$22&gt;A4358)*(Calc!$G$3:$G$22-A4358))</f>
        <v/>
      </c>
      <c r="H4358">
        <f>SUMPRODUCT(Calc!$K$3:$K$22*(Calc!$G$3:$G$22&gt;B4358)*(Calc!$G$3:$G$22-B4358))</f>
        <v/>
      </c>
      <c r="I4358">
        <f>SUMPRODUCT(Calc!$K$3:$K$22*(Calc!$G$3:$G$22&gt;A4358)*(Calc!$G$3:$G$22-A4358)^2)</f>
        <v/>
      </c>
      <c r="J4358">
        <f>SUMPRODUCT(Calc!$K$3:$K$22*(Calc!$G$3:$G$22&gt;B4358)*(Calc!$G$3:$G$22-B4358)^2)</f>
        <v/>
      </c>
      <c r="K4358">
        <f>SUMPRODUCT(Calc!$K$3:$K$22*(Calc!$G$3:$G$22&gt;A4358)*(Calc!$G$3:$G$22-A4358)*(Calc!$G$3:$G$22&gt;B4358)*(Calc!$G$3:$G$22-B4358))</f>
        <v/>
      </c>
      <c r="L4358">
        <f>SUMPRODUCT(Calc!$K$3:$K$22*(Calc!$G$3:$G$22&gt;A4358)*(Calc!$G$3:$G$22-A4358)*Calc!$G$3:$G$22)</f>
        <v/>
      </c>
      <c r="M4358">
        <f>SUMPRODUCT(Calc!$K$3:$K$22*(Calc!$G$3:$G$22&gt;B4358)*(Calc!$G$3:$G$22-B4358)*Calc!$G$3:$G$22)</f>
        <v/>
      </c>
      <c r="N4358">
        <f>SUMPRODUCT(Calc!$K$3:$K$22*(Calc!$G$3:$G$22&gt;A4358)*(Calc!$G$3:$G$22-A4358)*Calc!$I$3:$I$22)</f>
        <v/>
      </c>
      <c r="O4358">
        <f>SUMPRODUCT(Calc!$K$3:$K$22*(Calc!$G$3:$G$22&gt;B4358)*(Calc!$G$3:$G$22-B4358)*Calc!$I$3:$I$22)</f>
        <v/>
      </c>
      <c r="P4358">
        <f>I4358-G4358^2/k_n</f>
        <v/>
      </c>
      <c r="Q4358">
        <f>J4358-H4358^2/k_n</f>
        <v/>
      </c>
      <c r="R4358">
        <f>K4358-G4358*H4358/k_n</f>
        <v/>
      </c>
      <c r="S4358">
        <f>L4358-LTP3!$D$3*G4358/k_n</f>
        <v/>
      </c>
      <c r="T4358">
        <f>M4358-LTP3!$D$3*H4358/k_n</f>
        <v/>
      </c>
      <c r="U4358">
        <f>N4358-G4358*LTP3!$D$4/k_n</f>
        <v/>
      </c>
      <c r="V4358">
        <f>O4358-H4358*LTP3!$D$4/k_n</f>
        <v/>
      </c>
      <c r="W4358">
        <f>((LTP3!$D$5)*((P4358)*(Q4358)-(R4358)*(R4358))-(S4358)*((S4358)*(Q4358)-(R4358)*(T4358))+(T4358)*((S4358)*(R4358)-(P4358)*(T4358)))</f>
        <v/>
      </c>
      <c r="X4358">
        <f>IF(ABS(W4358)&gt;1E-12,((LTP3!$D$6)*((P4358)*(Q4358)-(R4358)*(R4358))-(S4358)*((U4358)*(Q4358)-(R4358)*(V4358))+(T4358)*((U4358)*(R4358)-(P4358)*(V4358)))/W4358,0)</f>
        <v/>
      </c>
      <c r="Y4358">
        <f>IF(ABS(W4358)&gt;1E-12,((LTP3!$D$5)*((U4358)*(Q4358)-(R4358)*(V4358))-(LTP3!$D$6)*((S4358)*(Q4358)-(R4358)*(T4358))+(T4358)*((S4358)*(V4358)-(U4358)*(T4358)))/W4358,0)</f>
        <v/>
      </c>
      <c r="Z4358">
        <f>IF(ABS(W4358)&gt;1E-12,((LTP3!$D$5)*((P4358)*(V4358)-(U4358)*(R4358))-(S4358)*((S4358)*(V4358)-(U4358)*(T4358))+(LTP3!$D$6)*((S4358)*(R4358)-(P4358)*(T4358)))/W4358,0)</f>
        <v/>
      </c>
      <c r="AA4358">
        <f>LTP3!$D$7-X4358*LTP3!$D$6-Y4358*U4358-Z4358*V4358</f>
        <v/>
      </c>
      <c r="AB4358">
        <f>IF(AND(F4358,ABS(W4358)&gt;1E-12,Y4358&gt;0,Z4358&gt;0),AA4358,1E+300)</f>
        <v/>
      </c>
    </row>
    <row r="4359">
      <c r="A4359">
        <f>$I$4-$B$5/10+$B$5*8/100</f>
        <v/>
      </c>
      <c r="B4359">
        <f>$J$4-$B$5/10+$B$5*11/100</f>
        <v/>
      </c>
      <c r="C4359">
        <f>SUMPRODUCT(Calc!$K$3:$K$22*(Calc!$G$3:$G$22&lt;=A4359))</f>
        <v/>
      </c>
      <c r="D4359">
        <f>SUMPRODUCT(Calc!$K$3:$K$22*(Calc!$G$3:$G$22&gt;A4359)*(Calc!$G$3:$G$22&lt;B4359))</f>
        <v/>
      </c>
      <c r="E4359">
        <f>SUMPRODUCT(Calc!$K$3:$K$22*(Calc!$G$3:$G$22&gt;=B4359))</f>
        <v/>
      </c>
      <c r="F4359">
        <f>AND(k_n&gt;=5,B4359&gt;A4359+1E-9,C4359&gt;=2,D4359&gt;=1,E4359&gt;=2)</f>
        <v/>
      </c>
      <c r="G4359">
        <f>SUMPRODUCT(Calc!$K$3:$K$22*(Calc!$G$3:$G$22&gt;A4359)*(Calc!$G$3:$G$22-A4359))</f>
        <v/>
      </c>
      <c r="H4359">
        <f>SUMPRODUCT(Calc!$K$3:$K$22*(Calc!$G$3:$G$22&gt;B4359)*(Calc!$G$3:$G$22-B4359))</f>
        <v/>
      </c>
      <c r="I4359">
        <f>SUMPRODUCT(Calc!$K$3:$K$22*(Calc!$G$3:$G$22&gt;A4359)*(Calc!$G$3:$G$22-A4359)^2)</f>
        <v/>
      </c>
      <c r="J4359">
        <f>SUMPRODUCT(Calc!$K$3:$K$22*(Calc!$G$3:$G$22&gt;B4359)*(Calc!$G$3:$G$22-B4359)^2)</f>
        <v/>
      </c>
      <c r="K4359">
        <f>SUMPRODUCT(Calc!$K$3:$K$22*(Calc!$G$3:$G$22&gt;A4359)*(Calc!$G$3:$G$22-A4359)*(Calc!$G$3:$G$22&gt;B4359)*(Calc!$G$3:$G$22-B4359))</f>
        <v/>
      </c>
      <c r="L4359">
        <f>SUMPRODUCT(Calc!$K$3:$K$22*(Calc!$G$3:$G$22&gt;A4359)*(Calc!$G$3:$G$22-A4359)*Calc!$G$3:$G$22)</f>
        <v/>
      </c>
      <c r="M4359">
        <f>SUMPRODUCT(Calc!$K$3:$K$22*(Calc!$G$3:$G$22&gt;B4359)*(Calc!$G$3:$G$22-B4359)*Calc!$G$3:$G$22)</f>
        <v/>
      </c>
      <c r="N4359">
        <f>SUMPRODUCT(Calc!$K$3:$K$22*(Calc!$G$3:$G$22&gt;A4359)*(Calc!$G$3:$G$22-A4359)*Calc!$I$3:$I$22)</f>
        <v/>
      </c>
      <c r="O4359">
        <f>SUMPRODUCT(Calc!$K$3:$K$22*(Calc!$G$3:$G$22&gt;B4359)*(Calc!$G$3:$G$22-B4359)*Calc!$I$3:$I$22)</f>
        <v/>
      </c>
      <c r="P4359">
        <f>I4359-G4359^2/k_n</f>
        <v/>
      </c>
      <c r="Q4359">
        <f>J4359-H4359^2/k_n</f>
        <v/>
      </c>
      <c r="R4359">
        <f>K4359-G4359*H4359/k_n</f>
        <v/>
      </c>
      <c r="S4359">
        <f>L4359-LTP3!$D$3*G4359/k_n</f>
        <v/>
      </c>
      <c r="T4359">
        <f>M4359-LTP3!$D$3*H4359/k_n</f>
        <v/>
      </c>
      <c r="U4359">
        <f>N4359-G4359*LTP3!$D$4/k_n</f>
        <v/>
      </c>
      <c r="V4359">
        <f>O4359-H4359*LTP3!$D$4/k_n</f>
        <v/>
      </c>
      <c r="W4359">
        <f>((LTP3!$D$5)*((P4359)*(Q4359)-(R4359)*(R4359))-(S4359)*((S4359)*(Q4359)-(R4359)*(T4359))+(T4359)*((S4359)*(R4359)-(P4359)*(T4359)))</f>
        <v/>
      </c>
      <c r="X4359">
        <f>IF(ABS(W4359)&gt;1E-12,((LTP3!$D$6)*((P4359)*(Q4359)-(R4359)*(R4359))-(S4359)*((U4359)*(Q4359)-(R4359)*(V4359))+(T4359)*((U4359)*(R4359)-(P4359)*(V4359)))/W4359,0)</f>
        <v/>
      </c>
      <c r="Y4359">
        <f>IF(ABS(W4359)&gt;1E-12,((LTP3!$D$5)*((U4359)*(Q4359)-(R4359)*(V4359))-(LTP3!$D$6)*((S4359)*(Q4359)-(R4359)*(T4359))+(T4359)*((S4359)*(V4359)-(U4359)*(T4359)))/W4359,0)</f>
        <v/>
      </c>
      <c r="Z4359">
        <f>IF(ABS(W4359)&gt;1E-12,((LTP3!$D$5)*((P4359)*(V4359)-(U4359)*(R4359))-(S4359)*((S4359)*(V4359)-(U4359)*(T4359))+(LTP3!$D$6)*((S4359)*(R4359)-(P4359)*(T4359)))/W4359,0)</f>
        <v/>
      </c>
      <c r="AA4359">
        <f>LTP3!$D$7-X4359*LTP3!$D$6-Y4359*U4359-Z4359*V4359</f>
        <v/>
      </c>
      <c r="AB4359">
        <f>IF(AND(F4359,ABS(W4359)&gt;1E-12,Y4359&gt;0,Z4359&gt;0),AA4359,1E+300)</f>
        <v/>
      </c>
    </row>
    <row r="4360">
      <c r="A4360">
        <f>$I$4-$B$5/10+$B$5*8/100</f>
        <v/>
      </c>
      <c r="B4360">
        <f>$J$4-$B$5/10+$B$5*12/100</f>
        <v/>
      </c>
      <c r="C4360">
        <f>SUMPRODUCT(Calc!$K$3:$K$22*(Calc!$G$3:$G$22&lt;=A4360))</f>
        <v/>
      </c>
      <c r="D4360">
        <f>SUMPRODUCT(Calc!$K$3:$K$22*(Calc!$G$3:$G$22&gt;A4360)*(Calc!$G$3:$G$22&lt;B4360))</f>
        <v/>
      </c>
      <c r="E4360">
        <f>SUMPRODUCT(Calc!$K$3:$K$22*(Calc!$G$3:$G$22&gt;=B4360))</f>
        <v/>
      </c>
      <c r="F4360">
        <f>AND(k_n&gt;=5,B4360&gt;A4360+1E-9,C4360&gt;=2,D4360&gt;=1,E4360&gt;=2)</f>
        <v/>
      </c>
      <c r="G4360">
        <f>SUMPRODUCT(Calc!$K$3:$K$22*(Calc!$G$3:$G$22&gt;A4360)*(Calc!$G$3:$G$22-A4360))</f>
        <v/>
      </c>
      <c r="H4360">
        <f>SUMPRODUCT(Calc!$K$3:$K$22*(Calc!$G$3:$G$22&gt;B4360)*(Calc!$G$3:$G$22-B4360))</f>
        <v/>
      </c>
      <c r="I4360">
        <f>SUMPRODUCT(Calc!$K$3:$K$22*(Calc!$G$3:$G$22&gt;A4360)*(Calc!$G$3:$G$22-A4360)^2)</f>
        <v/>
      </c>
      <c r="J4360">
        <f>SUMPRODUCT(Calc!$K$3:$K$22*(Calc!$G$3:$G$22&gt;B4360)*(Calc!$G$3:$G$22-B4360)^2)</f>
        <v/>
      </c>
      <c r="K4360">
        <f>SUMPRODUCT(Calc!$K$3:$K$22*(Calc!$G$3:$G$22&gt;A4360)*(Calc!$G$3:$G$22-A4360)*(Calc!$G$3:$G$22&gt;B4360)*(Calc!$G$3:$G$22-B4360))</f>
        <v/>
      </c>
      <c r="L4360">
        <f>SUMPRODUCT(Calc!$K$3:$K$22*(Calc!$G$3:$G$22&gt;A4360)*(Calc!$G$3:$G$22-A4360)*Calc!$G$3:$G$22)</f>
        <v/>
      </c>
      <c r="M4360">
        <f>SUMPRODUCT(Calc!$K$3:$K$22*(Calc!$G$3:$G$22&gt;B4360)*(Calc!$G$3:$G$22-B4360)*Calc!$G$3:$G$22)</f>
        <v/>
      </c>
      <c r="N4360">
        <f>SUMPRODUCT(Calc!$K$3:$K$22*(Calc!$G$3:$G$22&gt;A4360)*(Calc!$G$3:$G$22-A4360)*Calc!$I$3:$I$22)</f>
        <v/>
      </c>
      <c r="O4360">
        <f>SUMPRODUCT(Calc!$K$3:$K$22*(Calc!$G$3:$G$22&gt;B4360)*(Calc!$G$3:$G$22-B4360)*Calc!$I$3:$I$22)</f>
        <v/>
      </c>
      <c r="P4360">
        <f>I4360-G4360^2/k_n</f>
        <v/>
      </c>
      <c r="Q4360">
        <f>J4360-H4360^2/k_n</f>
        <v/>
      </c>
      <c r="R4360">
        <f>K4360-G4360*H4360/k_n</f>
        <v/>
      </c>
      <c r="S4360">
        <f>L4360-LTP3!$D$3*G4360/k_n</f>
        <v/>
      </c>
      <c r="T4360">
        <f>M4360-LTP3!$D$3*H4360/k_n</f>
        <v/>
      </c>
      <c r="U4360">
        <f>N4360-G4360*LTP3!$D$4/k_n</f>
        <v/>
      </c>
      <c r="V4360">
        <f>O4360-H4360*LTP3!$D$4/k_n</f>
        <v/>
      </c>
      <c r="W4360">
        <f>((LTP3!$D$5)*((P4360)*(Q4360)-(R4360)*(R4360))-(S4360)*((S4360)*(Q4360)-(R4360)*(T4360))+(T4360)*((S4360)*(R4360)-(P4360)*(T4360)))</f>
        <v/>
      </c>
      <c r="X4360">
        <f>IF(ABS(W4360)&gt;1E-12,((LTP3!$D$6)*((P4360)*(Q4360)-(R4360)*(R4360))-(S4360)*((U4360)*(Q4360)-(R4360)*(V4360))+(T4360)*((U4360)*(R4360)-(P4360)*(V4360)))/W4360,0)</f>
        <v/>
      </c>
      <c r="Y4360">
        <f>IF(ABS(W4360)&gt;1E-12,((LTP3!$D$5)*((U4360)*(Q4360)-(R4360)*(V4360))-(LTP3!$D$6)*((S4360)*(Q4360)-(R4360)*(T4360))+(T4360)*((S4360)*(V4360)-(U4360)*(T4360)))/W4360,0)</f>
        <v/>
      </c>
      <c r="Z4360">
        <f>IF(ABS(W4360)&gt;1E-12,((LTP3!$D$5)*((P4360)*(V4360)-(U4360)*(R4360))-(S4360)*((S4360)*(V4360)-(U4360)*(T4360))+(LTP3!$D$6)*((S4360)*(R4360)-(P4360)*(T4360)))/W4360,0)</f>
        <v/>
      </c>
      <c r="AA4360">
        <f>LTP3!$D$7-X4360*LTP3!$D$6-Y4360*U4360-Z4360*V4360</f>
        <v/>
      </c>
      <c r="AB4360">
        <f>IF(AND(F4360,ABS(W4360)&gt;1E-12,Y4360&gt;0,Z4360&gt;0),AA4360,1E+300)</f>
        <v/>
      </c>
    </row>
    <row r="4361">
      <c r="A4361">
        <f>$I$4-$B$5/10+$B$5*8/100</f>
        <v/>
      </c>
      <c r="B4361">
        <f>$J$4-$B$5/10+$B$5*13/100</f>
        <v/>
      </c>
      <c r="C4361">
        <f>SUMPRODUCT(Calc!$K$3:$K$22*(Calc!$G$3:$G$22&lt;=A4361))</f>
        <v/>
      </c>
      <c r="D4361">
        <f>SUMPRODUCT(Calc!$K$3:$K$22*(Calc!$G$3:$G$22&gt;A4361)*(Calc!$G$3:$G$22&lt;B4361))</f>
        <v/>
      </c>
      <c r="E4361">
        <f>SUMPRODUCT(Calc!$K$3:$K$22*(Calc!$G$3:$G$22&gt;=B4361))</f>
        <v/>
      </c>
      <c r="F4361">
        <f>AND(k_n&gt;=5,B4361&gt;A4361+1E-9,C4361&gt;=2,D4361&gt;=1,E4361&gt;=2)</f>
        <v/>
      </c>
      <c r="G4361">
        <f>SUMPRODUCT(Calc!$K$3:$K$22*(Calc!$G$3:$G$22&gt;A4361)*(Calc!$G$3:$G$22-A4361))</f>
        <v/>
      </c>
      <c r="H4361">
        <f>SUMPRODUCT(Calc!$K$3:$K$22*(Calc!$G$3:$G$22&gt;B4361)*(Calc!$G$3:$G$22-B4361))</f>
        <v/>
      </c>
      <c r="I4361">
        <f>SUMPRODUCT(Calc!$K$3:$K$22*(Calc!$G$3:$G$22&gt;A4361)*(Calc!$G$3:$G$22-A4361)^2)</f>
        <v/>
      </c>
      <c r="J4361">
        <f>SUMPRODUCT(Calc!$K$3:$K$22*(Calc!$G$3:$G$22&gt;B4361)*(Calc!$G$3:$G$22-B4361)^2)</f>
        <v/>
      </c>
      <c r="K4361">
        <f>SUMPRODUCT(Calc!$K$3:$K$22*(Calc!$G$3:$G$22&gt;A4361)*(Calc!$G$3:$G$22-A4361)*(Calc!$G$3:$G$22&gt;B4361)*(Calc!$G$3:$G$22-B4361))</f>
        <v/>
      </c>
      <c r="L4361">
        <f>SUMPRODUCT(Calc!$K$3:$K$22*(Calc!$G$3:$G$22&gt;A4361)*(Calc!$G$3:$G$22-A4361)*Calc!$G$3:$G$22)</f>
        <v/>
      </c>
      <c r="M4361">
        <f>SUMPRODUCT(Calc!$K$3:$K$22*(Calc!$G$3:$G$22&gt;B4361)*(Calc!$G$3:$G$22-B4361)*Calc!$G$3:$G$22)</f>
        <v/>
      </c>
      <c r="N4361">
        <f>SUMPRODUCT(Calc!$K$3:$K$22*(Calc!$G$3:$G$22&gt;A4361)*(Calc!$G$3:$G$22-A4361)*Calc!$I$3:$I$22)</f>
        <v/>
      </c>
      <c r="O4361">
        <f>SUMPRODUCT(Calc!$K$3:$K$22*(Calc!$G$3:$G$22&gt;B4361)*(Calc!$G$3:$G$22-B4361)*Calc!$I$3:$I$22)</f>
        <v/>
      </c>
      <c r="P4361">
        <f>I4361-G4361^2/k_n</f>
        <v/>
      </c>
      <c r="Q4361">
        <f>J4361-H4361^2/k_n</f>
        <v/>
      </c>
      <c r="R4361">
        <f>K4361-G4361*H4361/k_n</f>
        <v/>
      </c>
      <c r="S4361">
        <f>L4361-LTP3!$D$3*G4361/k_n</f>
        <v/>
      </c>
      <c r="T4361">
        <f>M4361-LTP3!$D$3*H4361/k_n</f>
        <v/>
      </c>
      <c r="U4361">
        <f>N4361-G4361*LTP3!$D$4/k_n</f>
        <v/>
      </c>
      <c r="V4361">
        <f>O4361-H4361*LTP3!$D$4/k_n</f>
        <v/>
      </c>
      <c r="W4361">
        <f>((LTP3!$D$5)*((P4361)*(Q4361)-(R4361)*(R4361))-(S4361)*((S4361)*(Q4361)-(R4361)*(T4361))+(T4361)*((S4361)*(R4361)-(P4361)*(T4361)))</f>
        <v/>
      </c>
      <c r="X4361">
        <f>IF(ABS(W4361)&gt;1E-12,((LTP3!$D$6)*((P4361)*(Q4361)-(R4361)*(R4361))-(S4361)*((U4361)*(Q4361)-(R4361)*(V4361))+(T4361)*((U4361)*(R4361)-(P4361)*(V4361)))/W4361,0)</f>
        <v/>
      </c>
      <c r="Y4361">
        <f>IF(ABS(W4361)&gt;1E-12,((LTP3!$D$5)*((U4361)*(Q4361)-(R4361)*(V4361))-(LTP3!$D$6)*((S4361)*(Q4361)-(R4361)*(T4361))+(T4361)*((S4361)*(V4361)-(U4361)*(T4361)))/W4361,0)</f>
        <v/>
      </c>
      <c r="Z4361">
        <f>IF(ABS(W4361)&gt;1E-12,((LTP3!$D$5)*((P4361)*(V4361)-(U4361)*(R4361))-(S4361)*((S4361)*(V4361)-(U4361)*(T4361))+(LTP3!$D$6)*((S4361)*(R4361)-(P4361)*(T4361)))/W4361,0)</f>
        <v/>
      </c>
      <c r="AA4361">
        <f>LTP3!$D$7-X4361*LTP3!$D$6-Y4361*U4361-Z4361*V4361</f>
        <v/>
      </c>
      <c r="AB4361">
        <f>IF(AND(F4361,ABS(W4361)&gt;1E-12,Y4361&gt;0,Z4361&gt;0),AA4361,1E+300)</f>
        <v/>
      </c>
    </row>
    <row r="4362">
      <c r="A4362">
        <f>$I$4-$B$5/10+$B$5*8/100</f>
        <v/>
      </c>
      <c r="B4362">
        <f>$J$4-$B$5/10+$B$5*14/100</f>
        <v/>
      </c>
      <c r="C4362">
        <f>SUMPRODUCT(Calc!$K$3:$K$22*(Calc!$G$3:$G$22&lt;=A4362))</f>
        <v/>
      </c>
      <c r="D4362">
        <f>SUMPRODUCT(Calc!$K$3:$K$22*(Calc!$G$3:$G$22&gt;A4362)*(Calc!$G$3:$G$22&lt;B4362))</f>
        <v/>
      </c>
      <c r="E4362">
        <f>SUMPRODUCT(Calc!$K$3:$K$22*(Calc!$G$3:$G$22&gt;=B4362))</f>
        <v/>
      </c>
      <c r="F4362">
        <f>AND(k_n&gt;=5,B4362&gt;A4362+1E-9,C4362&gt;=2,D4362&gt;=1,E4362&gt;=2)</f>
        <v/>
      </c>
      <c r="G4362">
        <f>SUMPRODUCT(Calc!$K$3:$K$22*(Calc!$G$3:$G$22&gt;A4362)*(Calc!$G$3:$G$22-A4362))</f>
        <v/>
      </c>
      <c r="H4362">
        <f>SUMPRODUCT(Calc!$K$3:$K$22*(Calc!$G$3:$G$22&gt;B4362)*(Calc!$G$3:$G$22-B4362))</f>
        <v/>
      </c>
      <c r="I4362">
        <f>SUMPRODUCT(Calc!$K$3:$K$22*(Calc!$G$3:$G$22&gt;A4362)*(Calc!$G$3:$G$22-A4362)^2)</f>
        <v/>
      </c>
      <c r="J4362">
        <f>SUMPRODUCT(Calc!$K$3:$K$22*(Calc!$G$3:$G$22&gt;B4362)*(Calc!$G$3:$G$22-B4362)^2)</f>
        <v/>
      </c>
      <c r="K4362">
        <f>SUMPRODUCT(Calc!$K$3:$K$22*(Calc!$G$3:$G$22&gt;A4362)*(Calc!$G$3:$G$22-A4362)*(Calc!$G$3:$G$22&gt;B4362)*(Calc!$G$3:$G$22-B4362))</f>
        <v/>
      </c>
      <c r="L4362">
        <f>SUMPRODUCT(Calc!$K$3:$K$22*(Calc!$G$3:$G$22&gt;A4362)*(Calc!$G$3:$G$22-A4362)*Calc!$G$3:$G$22)</f>
        <v/>
      </c>
      <c r="M4362">
        <f>SUMPRODUCT(Calc!$K$3:$K$22*(Calc!$G$3:$G$22&gt;B4362)*(Calc!$G$3:$G$22-B4362)*Calc!$G$3:$G$22)</f>
        <v/>
      </c>
      <c r="N4362">
        <f>SUMPRODUCT(Calc!$K$3:$K$22*(Calc!$G$3:$G$22&gt;A4362)*(Calc!$G$3:$G$22-A4362)*Calc!$I$3:$I$22)</f>
        <v/>
      </c>
      <c r="O4362">
        <f>SUMPRODUCT(Calc!$K$3:$K$22*(Calc!$G$3:$G$22&gt;B4362)*(Calc!$G$3:$G$22-B4362)*Calc!$I$3:$I$22)</f>
        <v/>
      </c>
      <c r="P4362">
        <f>I4362-G4362^2/k_n</f>
        <v/>
      </c>
      <c r="Q4362">
        <f>J4362-H4362^2/k_n</f>
        <v/>
      </c>
      <c r="R4362">
        <f>K4362-G4362*H4362/k_n</f>
        <v/>
      </c>
      <c r="S4362">
        <f>L4362-LTP3!$D$3*G4362/k_n</f>
        <v/>
      </c>
      <c r="T4362">
        <f>M4362-LTP3!$D$3*H4362/k_n</f>
        <v/>
      </c>
      <c r="U4362">
        <f>N4362-G4362*LTP3!$D$4/k_n</f>
        <v/>
      </c>
      <c r="V4362">
        <f>O4362-H4362*LTP3!$D$4/k_n</f>
        <v/>
      </c>
      <c r="W4362">
        <f>((LTP3!$D$5)*((P4362)*(Q4362)-(R4362)*(R4362))-(S4362)*((S4362)*(Q4362)-(R4362)*(T4362))+(T4362)*((S4362)*(R4362)-(P4362)*(T4362)))</f>
        <v/>
      </c>
      <c r="X4362">
        <f>IF(ABS(W4362)&gt;1E-12,((LTP3!$D$6)*((P4362)*(Q4362)-(R4362)*(R4362))-(S4362)*((U4362)*(Q4362)-(R4362)*(V4362))+(T4362)*((U4362)*(R4362)-(P4362)*(V4362)))/W4362,0)</f>
        <v/>
      </c>
      <c r="Y4362">
        <f>IF(ABS(W4362)&gt;1E-12,((LTP3!$D$5)*((U4362)*(Q4362)-(R4362)*(V4362))-(LTP3!$D$6)*((S4362)*(Q4362)-(R4362)*(T4362))+(T4362)*((S4362)*(V4362)-(U4362)*(T4362)))/W4362,0)</f>
        <v/>
      </c>
      <c r="Z4362">
        <f>IF(ABS(W4362)&gt;1E-12,((LTP3!$D$5)*((P4362)*(V4362)-(U4362)*(R4362))-(S4362)*((S4362)*(V4362)-(U4362)*(T4362))+(LTP3!$D$6)*((S4362)*(R4362)-(P4362)*(T4362)))/W4362,0)</f>
        <v/>
      </c>
      <c r="AA4362">
        <f>LTP3!$D$7-X4362*LTP3!$D$6-Y4362*U4362-Z4362*V4362</f>
        <v/>
      </c>
      <c r="AB4362">
        <f>IF(AND(F4362,ABS(W4362)&gt;1E-12,Y4362&gt;0,Z4362&gt;0),AA4362,1E+300)</f>
        <v/>
      </c>
    </row>
    <row r="4363">
      <c r="A4363">
        <f>$I$4-$B$5/10+$B$5*8/100</f>
        <v/>
      </c>
      <c r="B4363">
        <f>$J$4-$B$5/10+$B$5*15/100</f>
        <v/>
      </c>
      <c r="C4363">
        <f>SUMPRODUCT(Calc!$K$3:$K$22*(Calc!$G$3:$G$22&lt;=A4363))</f>
        <v/>
      </c>
      <c r="D4363">
        <f>SUMPRODUCT(Calc!$K$3:$K$22*(Calc!$G$3:$G$22&gt;A4363)*(Calc!$G$3:$G$22&lt;B4363))</f>
        <v/>
      </c>
      <c r="E4363">
        <f>SUMPRODUCT(Calc!$K$3:$K$22*(Calc!$G$3:$G$22&gt;=B4363))</f>
        <v/>
      </c>
      <c r="F4363">
        <f>AND(k_n&gt;=5,B4363&gt;A4363+1E-9,C4363&gt;=2,D4363&gt;=1,E4363&gt;=2)</f>
        <v/>
      </c>
      <c r="G4363">
        <f>SUMPRODUCT(Calc!$K$3:$K$22*(Calc!$G$3:$G$22&gt;A4363)*(Calc!$G$3:$G$22-A4363))</f>
        <v/>
      </c>
      <c r="H4363">
        <f>SUMPRODUCT(Calc!$K$3:$K$22*(Calc!$G$3:$G$22&gt;B4363)*(Calc!$G$3:$G$22-B4363))</f>
        <v/>
      </c>
      <c r="I4363">
        <f>SUMPRODUCT(Calc!$K$3:$K$22*(Calc!$G$3:$G$22&gt;A4363)*(Calc!$G$3:$G$22-A4363)^2)</f>
        <v/>
      </c>
      <c r="J4363">
        <f>SUMPRODUCT(Calc!$K$3:$K$22*(Calc!$G$3:$G$22&gt;B4363)*(Calc!$G$3:$G$22-B4363)^2)</f>
        <v/>
      </c>
      <c r="K4363">
        <f>SUMPRODUCT(Calc!$K$3:$K$22*(Calc!$G$3:$G$22&gt;A4363)*(Calc!$G$3:$G$22-A4363)*(Calc!$G$3:$G$22&gt;B4363)*(Calc!$G$3:$G$22-B4363))</f>
        <v/>
      </c>
      <c r="L4363">
        <f>SUMPRODUCT(Calc!$K$3:$K$22*(Calc!$G$3:$G$22&gt;A4363)*(Calc!$G$3:$G$22-A4363)*Calc!$G$3:$G$22)</f>
        <v/>
      </c>
      <c r="M4363">
        <f>SUMPRODUCT(Calc!$K$3:$K$22*(Calc!$G$3:$G$22&gt;B4363)*(Calc!$G$3:$G$22-B4363)*Calc!$G$3:$G$22)</f>
        <v/>
      </c>
      <c r="N4363">
        <f>SUMPRODUCT(Calc!$K$3:$K$22*(Calc!$G$3:$G$22&gt;A4363)*(Calc!$G$3:$G$22-A4363)*Calc!$I$3:$I$22)</f>
        <v/>
      </c>
      <c r="O4363">
        <f>SUMPRODUCT(Calc!$K$3:$K$22*(Calc!$G$3:$G$22&gt;B4363)*(Calc!$G$3:$G$22-B4363)*Calc!$I$3:$I$22)</f>
        <v/>
      </c>
      <c r="P4363">
        <f>I4363-G4363^2/k_n</f>
        <v/>
      </c>
      <c r="Q4363">
        <f>J4363-H4363^2/k_n</f>
        <v/>
      </c>
      <c r="R4363">
        <f>K4363-G4363*H4363/k_n</f>
        <v/>
      </c>
      <c r="S4363">
        <f>L4363-LTP3!$D$3*G4363/k_n</f>
        <v/>
      </c>
      <c r="T4363">
        <f>M4363-LTP3!$D$3*H4363/k_n</f>
        <v/>
      </c>
      <c r="U4363">
        <f>N4363-G4363*LTP3!$D$4/k_n</f>
        <v/>
      </c>
      <c r="V4363">
        <f>O4363-H4363*LTP3!$D$4/k_n</f>
        <v/>
      </c>
      <c r="W4363">
        <f>((LTP3!$D$5)*((P4363)*(Q4363)-(R4363)*(R4363))-(S4363)*((S4363)*(Q4363)-(R4363)*(T4363))+(T4363)*((S4363)*(R4363)-(P4363)*(T4363)))</f>
        <v/>
      </c>
      <c r="X4363">
        <f>IF(ABS(W4363)&gt;1E-12,((LTP3!$D$6)*((P4363)*(Q4363)-(R4363)*(R4363))-(S4363)*((U4363)*(Q4363)-(R4363)*(V4363))+(T4363)*((U4363)*(R4363)-(P4363)*(V4363)))/W4363,0)</f>
        <v/>
      </c>
      <c r="Y4363">
        <f>IF(ABS(W4363)&gt;1E-12,((LTP3!$D$5)*((U4363)*(Q4363)-(R4363)*(V4363))-(LTP3!$D$6)*((S4363)*(Q4363)-(R4363)*(T4363))+(T4363)*((S4363)*(V4363)-(U4363)*(T4363)))/W4363,0)</f>
        <v/>
      </c>
      <c r="Z4363">
        <f>IF(ABS(W4363)&gt;1E-12,((LTP3!$D$5)*((P4363)*(V4363)-(U4363)*(R4363))-(S4363)*((S4363)*(V4363)-(U4363)*(T4363))+(LTP3!$D$6)*((S4363)*(R4363)-(P4363)*(T4363)))/W4363,0)</f>
        <v/>
      </c>
      <c r="AA4363">
        <f>LTP3!$D$7-X4363*LTP3!$D$6-Y4363*U4363-Z4363*V4363</f>
        <v/>
      </c>
      <c r="AB4363">
        <f>IF(AND(F4363,ABS(W4363)&gt;1E-12,Y4363&gt;0,Z4363&gt;0),AA4363,1E+300)</f>
        <v/>
      </c>
    </row>
    <row r="4364">
      <c r="A4364">
        <f>$I$4-$B$5/10+$B$5*8/100</f>
        <v/>
      </c>
      <c r="B4364">
        <f>$J$4-$B$5/10+$B$5*16/100</f>
        <v/>
      </c>
      <c r="C4364">
        <f>SUMPRODUCT(Calc!$K$3:$K$22*(Calc!$G$3:$G$22&lt;=A4364))</f>
        <v/>
      </c>
      <c r="D4364">
        <f>SUMPRODUCT(Calc!$K$3:$K$22*(Calc!$G$3:$G$22&gt;A4364)*(Calc!$G$3:$G$22&lt;B4364))</f>
        <v/>
      </c>
      <c r="E4364">
        <f>SUMPRODUCT(Calc!$K$3:$K$22*(Calc!$G$3:$G$22&gt;=B4364))</f>
        <v/>
      </c>
      <c r="F4364">
        <f>AND(k_n&gt;=5,B4364&gt;A4364+1E-9,C4364&gt;=2,D4364&gt;=1,E4364&gt;=2)</f>
        <v/>
      </c>
      <c r="G4364">
        <f>SUMPRODUCT(Calc!$K$3:$K$22*(Calc!$G$3:$G$22&gt;A4364)*(Calc!$G$3:$G$22-A4364))</f>
        <v/>
      </c>
      <c r="H4364">
        <f>SUMPRODUCT(Calc!$K$3:$K$22*(Calc!$G$3:$G$22&gt;B4364)*(Calc!$G$3:$G$22-B4364))</f>
        <v/>
      </c>
      <c r="I4364">
        <f>SUMPRODUCT(Calc!$K$3:$K$22*(Calc!$G$3:$G$22&gt;A4364)*(Calc!$G$3:$G$22-A4364)^2)</f>
        <v/>
      </c>
      <c r="J4364">
        <f>SUMPRODUCT(Calc!$K$3:$K$22*(Calc!$G$3:$G$22&gt;B4364)*(Calc!$G$3:$G$22-B4364)^2)</f>
        <v/>
      </c>
      <c r="K4364">
        <f>SUMPRODUCT(Calc!$K$3:$K$22*(Calc!$G$3:$G$22&gt;A4364)*(Calc!$G$3:$G$22-A4364)*(Calc!$G$3:$G$22&gt;B4364)*(Calc!$G$3:$G$22-B4364))</f>
        <v/>
      </c>
      <c r="L4364">
        <f>SUMPRODUCT(Calc!$K$3:$K$22*(Calc!$G$3:$G$22&gt;A4364)*(Calc!$G$3:$G$22-A4364)*Calc!$G$3:$G$22)</f>
        <v/>
      </c>
      <c r="M4364">
        <f>SUMPRODUCT(Calc!$K$3:$K$22*(Calc!$G$3:$G$22&gt;B4364)*(Calc!$G$3:$G$22-B4364)*Calc!$G$3:$G$22)</f>
        <v/>
      </c>
      <c r="N4364">
        <f>SUMPRODUCT(Calc!$K$3:$K$22*(Calc!$G$3:$G$22&gt;A4364)*(Calc!$G$3:$G$22-A4364)*Calc!$I$3:$I$22)</f>
        <v/>
      </c>
      <c r="O4364">
        <f>SUMPRODUCT(Calc!$K$3:$K$22*(Calc!$G$3:$G$22&gt;B4364)*(Calc!$G$3:$G$22-B4364)*Calc!$I$3:$I$22)</f>
        <v/>
      </c>
      <c r="P4364">
        <f>I4364-G4364^2/k_n</f>
        <v/>
      </c>
      <c r="Q4364">
        <f>J4364-H4364^2/k_n</f>
        <v/>
      </c>
      <c r="R4364">
        <f>K4364-G4364*H4364/k_n</f>
        <v/>
      </c>
      <c r="S4364">
        <f>L4364-LTP3!$D$3*G4364/k_n</f>
        <v/>
      </c>
      <c r="T4364">
        <f>M4364-LTP3!$D$3*H4364/k_n</f>
        <v/>
      </c>
      <c r="U4364">
        <f>N4364-G4364*LTP3!$D$4/k_n</f>
        <v/>
      </c>
      <c r="V4364">
        <f>O4364-H4364*LTP3!$D$4/k_n</f>
        <v/>
      </c>
      <c r="W4364">
        <f>((LTP3!$D$5)*((P4364)*(Q4364)-(R4364)*(R4364))-(S4364)*((S4364)*(Q4364)-(R4364)*(T4364))+(T4364)*((S4364)*(R4364)-(P4364)*(T4364)))</f>
        <v/>
      </c>
      <c r="X4364">
        <f>IF(ABS(W4364)&gt;1E-12,((LTP3!$D$6)*((P4364)*(Q4364)-(R4364)*(R4364))-(S4364)*((U4364)*(Q4364)-(R4364)*(V4364))+(T4364)*((U4364)*(R4364)-(P4364)*(V4364)))/W4364,0)</f>
        <v/>
      </c>
      <c r="Y4364">
        <f>IF(ABS(W4364)&gt;1E-12,((LTP3!$D$5)*((U4364)*(Q4364)-(R4364)*(V4364))-(LTP3!$D$6)*((S4364)*(Q4364)-(R4364)*(T4364))+(T4364)*((S4364)*(V4364)-(U4364)*(T4364)))/W4364,0)</f>
        <v/>
      </c>
      <c r="Z4364">
        <f>IF(ABS(W4364)&gt;1E-12,((LTP3!$D$5)*((P4364)*(V4364)-(U4364)*(R4364))-(S4364)*((S4364)*(V4364)-(U4364)*(T4364))+(LTP3!$D$6)*((S4364)*(R4364)-(P4364)*(T4364)))/W4364,0)</f>
        <v/>
      </c>
      <c r="AA4364">
        <f>LTP3!$D$7-X4364*LTP3!$D$6-Y4364*U4364-Z4364*V4364</f>
        <v/>
      </c>
      <c r="AB4364">
        <f>IF(AND(F4364,ABS(W4364)&gt;1E-12,Y4364&gt;0,Z4364&gt;0),AA4364,1E+300)</f>
        <v/>
      </c>
    </row>
    <row r="4365">
      <c r="A4365">
        <f>$I$4-$B$5/10+$B$5*8/100</f>
        <v/>
      </c>
      <c r="B4365">
        <f>$J$4-$B$5/10+$B$5*17/100</f>
        <v/>
      </c>
      <c r="C4365">
        <f>SUMPRODUCT(Calc!$K$3:$K$22*(Calc!$G$3:$G$22&lt;=A4365))</f>
        <v/>
      </c>
      <c r="D4365">
        <f>SUMPRODUCT(Calc!$K$3:$K$22*(Calc!$G$3:$G$22&gt;A4365)*(Calc!$G$3:$G$22&lt;B4365))</f>
        <v/>
      </c>
      <c r="E4365">
        <f>SUMPRODUCT(Calc!$K$3:$K$22*(Calc!$G$3:$G$22&gt;=B4365))</f>
        <v/>
      </c>
      <c r="F4365">
        <f>AND(k_n&gt;=5,B4365&gt;A4365+1E-9,C4365&gt;=2,D4365&gt;=1,E4365&gt;=2)</f>
        <v/>
      </c>
      <c r="G4365">
        <f>SUMPRODUCT(Calc!$K$3:$K$22*(Calc!$G$3:$G$22&gt;A4365)*(Calc!$G$3:$G$22-A4365))</f>
        <v/>
      </c>
      <c r="H4365">
        <f>SUMPRODUCT(Calc!$K$3:$K$22*(Calc!$G$3:$G$22&gt;B4365)*(Calc!$G$3:$G$22-B4365))</f>
        <v/>
      </c>
      <c r="I4365">
        <f>SUMPRODUCT(Calc!$K$3:$K$22*(Calc!$G$3:$G$22&gt;A4365)*(Calc!$G$3:$G$22-A4365)^2)</f>
        <v/>
      </c>
      <c r="J4365">
        <f>SUMPRODUCT(Calc!$K$3:$K$22*(Calc!$G$3:$G$22&gt;B4365)*(Calc!$G$3:$G$22-B4365)^2)</f>
        <v/>
      </c>
      <c r="K4365">
        <f>SUMPRODUCT(Calc!$K$3:$K$22*(Calc!$G$3:$G$22&gt;A4365)*(Calc!$G$3:$G$22-A4365)*(Calc!$G$3:$G$22&gt;B4365)*(Calc!$G$3:$G$22-B4365))</f>
        <v/>
      </c>
      <c r="L4365">
        <f>SUMPRODUCT(Calc!$K$3:$K$22*(Calc!$G$3:$G$22&gt;A4365)*(Calc!$G$3:$G$22-A4365)*Calc!$G$3:$G$22)</f>
        <v/>
      </c>
      <c r="M4365">
        <f>SUMPRODUCT(Calc!$K$3:$K$22*(Calc!$G$3:$G$22&gt;B4365)*(Calc!$G$3:$G$22-B4365)*Calc!$G$3:$G$22)</f>
        <v/>
      </c>
      <c r="N4365">
        <f>SUMPRODUCT(Calc!$K$3:$K$22*(Calc!$G$3:$G$22&gt;A4365)*(Calc!$G$3:$G$22-A4365)*Calc!$I$3:$I$22)</f>
        <v/>
      </c>
      <c r="O4365">
        <f>SUMPRODUCT(Calc!$K$3:$K$22*(Calc!$G$3:$G$22&gt;B4365)*(Calc!$G$3:$G$22-B4365)*Calc!$I$3:$I$22)</f>
        <v/>
      </c>
      <c r="P4365">
        <f>I4365-G4365^2/k_n</f>
        <v/>
      </c>
      <c r="Q4365">
        <f>J4365-H4365^2/k_n</f>
        <v/>
      </c>
      <c r="R4365">
        <f>K4365-G4365*H4365/k_n</f>
        <v/>
      </c>
      <c r="S4365">
        <f>L4365-LTP3!$D$3*G4365/k_n</f>
        <v/>
      </c>
      <c r="T4365">
        <f>M4365-LTP3!$D$3*H4365/k_n</f>
        <v/>
      </c>
      <c r="U4365">
        <f>N4365-G4365*LTP3!$D$4/k_n</f>
        <v/>
      </c>
      <c r="V4365">
        <f>O4365-H4365*LTP3!$D$4/k_n</f>
        <v/>
      </c>
      <c r="W4365">
        <f>((LTP3!$D$5)*((P4365)*(Q4365)-(R4365)*(R4365))-(S4365)*((S4365)*(Q4365)-(R4365)*(T4365))+(T4365)*((S4365)*(R4365)-(P4365)*(T4365)))</f>
        <v/>
      </c>
      <c r="X4365">
        <f>IF(ABS(W4365)&gt;1E-12,((LTP3!$D$6)*((P4365)*(Q4365)-(R4365)*(R4365))-(S4365)*((U4365)*(Q4365)-(R4365)*(V4365))+(T4365)*((U4365)*(R4365)-(P4365)*(V4365)))/W4365,0)</f>
        <v/>
      </c>
      <c r="Y4365">
        <f>IF(ABS(W4365)&gt;1E-12,((LTP3!$D$5)*((U4365)*(Q4365)-(R4365)*(V4365))-(LTP3!$D$6)*((S4365)*(Q4365)-(R4365)*(T4365))+(T4365)*((S4365)*(V4365)-(U4365)*(T4365)))/W4365,0)</f>
        <v/>
      </c>
      <c r="Z4365">
        <f>IF(ABS(W4365)&gt;1E-12,((LTP3!$D$5)*((P4365)*(V4365)-(U4365)*(R4365))-(S4365)*((S4365)*(V4365)-(U4365)*(T4365))+(LTP3!$D$6)*((S4365)*(R4365)-(P4365)*(T4365)))/W4365,0)</f>
        <v/>
      </c>
      <c r="AA4365">
        <f>LTP3!$D$7-X4365*LTP3!$D$6-Y4365*U4365-Z4365*V4365</f>
        <v/>
      </c>
      <c r="AB4365">
        <f>IF(AND(F4365,ABS(W4365)&gt;1E-12,Y4365&gt;0,Z4365&gt;0),AA4365,1E+300)</f>
        <v/>
      </c>
    </row>
    <row r="4366">
      <c r="A4366">
        <f>$I$4-$B$5/10+$B$5*8/100</f>
        <v/>
      </c>
      <c r="B4366">
        <f>$J$4-$B$5/10+$B$5*18/100</f>
        <v/>
      </c>
      <c r="C4366">
        <f>SUMPRODUCT(Calc!$K$3:$K$22*(Calc!$G$3:$G$22&lt;=A4366))</f>
        <v/>
      </c>
      <c r="D4366">
        <f>SUMPRODUCT(Calc!$K$3:$K$22*(Calc!$G$3:$G$22&gt;A4366)*(Calc!$G$3:$G$22&lt;B4366))</f>
        <v/>
      </c>
      <c r="E4366">
        <f>SUMPRODUCT(Calc!$K$3:$K$22*(Calc!$G$3:$G$22&gt;=B4366))</f>
        <v/>
      </c>
      <c r="F4366">
        <f>AND(k_n&gt;=5,B4366&gt;A4366+1E-9,C4366&gt;=2,D4366&gt;=1,E4366&gt;=2)</f>
        <v/>
      </c>
      <c r="G4366">
        <f>SUMPRODUCT(Calc!$K$3:$K$22*(Calc!$G$3:$G$22&gt;A4366)*(Calc!$G$3:$G$22-A4366))</f>
        <v/>
      </c>
      <c r="H4366">
        <f>SUMPRODUCT(Calc!$K$3:$K$22*(Calc!$G$3:$G$22&gt;B4366)*(Calc!$G$3:$G$22-B4366))</f>
        <v/>
      </c>
      <c r="I4366">
        <f>SUMPRODUCT(Calc!$K$3:$K$22*(Calc!$G$3:$G$22&gt;A4366)*(Calc!$G$3:$G$22-A4366)^2)</f>
        <v/>
      </c>
      <c r="J4366">
        <f>SUMPRODUCT(Calc!$K$3:$K$22*(Calc!$G$3:$G$22&gt;B4366)*(Calc!$G$3:$G$22-B4366)^2)</f>
        <v/>
      </c>
      <c r="K4366">
        <f>SUMPRODUCT(Calc!$K$3:$K$22*(Calc!$G$3:$G$22&gt;A4366)*(Calc!$G$3:$G$22-A4366)*(Calc!$G$3:$G$22&gt;B4366)*(Calc!$G$3:$G$22-B4366))</f>
        <v/>
      </c>
      <c r="L4366">
        <f>SUMPRODUCT(Calc!$K$3:$K$22*(Calc!$G$3:$G$22&gt;A4366)*(Calc!$G$3:$G$22-A4366)*Calc!$G$3:$G$22)</f>
        <v/>
      </c>
      <c r="M4366">
        <f>SUMPRODUCT(Calc!$K$3:$K$22*(Calc!$G$3:$G$22&gt;B4366)*(Calc!$G$3:$G$22-B4366)*Calc!$G$3:$G$22)</f>
        <v/>
      </c>
      <c r="N4366">
        <f>SUMPRODUCT(Calc!$K$3:$K$22*(Calc!$G$3:$G$22&gt;A4366)*(Calc!$G$3:$G$22-A4366)*Calc!$I$3:$I$22)</f>
        <v/>
      </c>
      <c r="O4366">
        <f>SUMPRODUCT(Calc!$K$3:$K$22*(Calc!$G$3:$G$22&gt;B4366)*(Calc!$G$3:$G$22-B4366)*Calc!$I$3:$I$22)</f>
        <v/>
      </c>
      <c r="P4366">
        <f>I4366-G4366^2/k_n</f>
        <v/>
      </c>
      <c r="Q4366">
        <f>J4366-H4366^2/k_n</f>
        <v/>
      </c>
      <c r="R4366">
        <f>K4366-G4366*H4366/k_n</f>
        <v/>
      </c>
      <c r="S4366">
        <f>L4366-LTP3!$D$3*G4366/k_n</f>
        <v/>
      </c>
      <c r="T4366">
        <f>M4366-LTP3!$D$3*H4366/k_n</f>
        <v/>
      </c>
      <c r="U4366">
        <f>N4366-G4366*LTP3!$D$4/k_n</f>
        <v/>
      </c>
      <c r="V4366">
        <f>O4366-H4366*LTP3!$D$4/k_n</f>
        <v/>
      </c>
      <c r="W4366">
        <f>((LTP3!$D$5)*((P4366)*(Q4366)-(R4366)*(R4366))-(S4366)*((S4366)*(Q4366)-(R4366)*(T4366))+(T4366)*((S4366)*(R4366)-(P4366)*(T4366)))</f>
        <v/>
      </c>
      <c r="X4366">
        <f>IF(ABS(W4366)&gt;1E-12,((LTP3!$D$6)*((P4366)*(Q4366)-(R4366)*(R4366))-(S4366)*((U4366)*(Q4366)-(R4366)*(V4366))+(T4366)*((U4366)*(R4366)-(P4366)*(V4366)))/W4366,0)</f>
        <v/>
      </c>
      <c r="Y4366">
        <f>IF(ABS(W4366)&gt;1E-12,((LTP3!$D$5)*((U4366)*(Q4366)-(R4366)*(V4366))-(LTP3!$D$6)*((S4366)*(Q4366)-(R4366)*(T4366))+(T4366)*((S4366)*(V4366)-(U4366)*(T4366)))/W4366,0)</f>
        <v/>
      </c>
      <c r="Z4366">
        <f>IF(ABS(W4366)&gt;1E-12,((LTP3!$D$5)*((P4366)*(V4366)-(U4366)*(R4366))-(S4366)*((S4366)*(V4366)-(U4366)*(T4366))+(LTP3!$D$6)*((S4366)*(R4366)-(P4366)*(T4366)))/W4366,0)</f>
        <v/>
      </c>
      <c r="AA4366">
        <f>LTP3!$D$7-X4366*LTP3!$D$6-Y4366*U4366-Z4366*V4366</f>
        <v/>
      </c>
      <c r="AB4366">
        <f>IF(AND(F4366,ABS(W4366)&gt;1E-12,Y4366&gt;0,Z4366&gt;0),AA4366,1E+300)</f>
        <v/>
      </c>
    </row>
    <row r="4367">
      <c r="A4367">
        <f>$I$4-$B$5/10+$B$5*8/100</f>
        <v/>
      </c>
      <c r="B4367">
        <f>$J$4-$B$5/10+$B$5*19/100</f>
        <v/>
      </c>
      <c r="C4367">
        <f>SUMPRODUCT(Calc!$K$3:$K$22*(Calc!$G$3:$G$22&lt;=A4367))</f>
        <v/>
      </c>
      <c r="D4367">
        <f>SUMPRODUCT(Calc!$K$3:$K$22*(Calc!$G$3:$G$22&gt;A4367)*(Calc!$G$3:$G$22&lt;B4367))</f>
        <v/>
      </c>
      <c r="E4367">
        <f>SUMPRODUCT(Calc!$K$3:$K$22*(Calc!$G$3:$G$22&gt;=B4367))</f>
        <v/>
      </c>
      <c r="F4367">
        <f>AND(k_n&gt;=5,B4367&gt;A4367+1E-9,C4367&gt;=2,D4367&gt;=1,E4367&gt;=2)</f>
        <v/>
      </c>
      <c r="G4367">
        <f>SUMPRODUCT(Calc!$K$3:$K$22*(Calc!$G$3:$G$22&gt;A4367)*(Calc!$G$3:$G$22-A4367))</f>
        <v/>
      </c>
      <c r="H4367">
        <f>SUMPRODUCT(Calc!$K$3:$K$22*(Calc!$G$3:$G$22&gt;B4367)*(Calc!$G$3:$G$22-B4367))</f>
        <v/>
      </c>
      <c r="I4367">
        <f>SUMPRODUCT(Calc!$K$3:$K$22*(Calc!$G$3:$G$22&gt;A4367)*(Calc!$G$3:$G$22-A4367)^2)</f>
        <v/>
      </c>
      <c r="J4367">
        <f>SUMPRODUCT(Calc!$K$3:$K$22*(Calc!$G$3:$G$22&gt;B4367)*(Calc!$G$3:$G$22-B4367)^2)</f>
        <v/>
      </c>
      <c r="K4367">
        <f>SUMPRODUCT(Calc!$K$3:$K$22*(Calc!$G$3:$G$22&gt;A4367)*(Calc!$G$3:$G$22-A4367)*(Calc!$G$3:$G$22&gt;B4367)*(Calc!$G$3:$G$22-B4367))</f>
        <v/>
      </c>
      <c r="L4367">
        <f>SUMPRODUCT(Calc!$K$3:$K$22*(Calc!$G$3:$G$22&gt;A4367)*(Calc!$G$3:$G$22-A4367)*Calc!$G$3:$G$22)</f>
        <v/>
      </c>
      <c r="M4367">
        <f>SUMPRODUCT(Calc!$K$3:$K$22*(Calc!$G$3:$G$22&gt;B4367)*(Calc!$G$3:$G$22-B4367)*Calc!$G$3:$G$22)</f>
        <v/>
      </c>
      <c r="N4367">
        <f>SUMPRODUCT(Calc!$K$3:$K$22*(Calc!$G$3:$G$22&gt;A4367)*(Calc!$G$3:$G$22-A4367)*Calc!$I$3:$I$22)</f>
        <v/>
      </c>
      <c r="O4367">
        <f>SUMPRODUCT(Calc!$K$3:$K$22*(Calc!$G$3:$G$22&gt;B4367)*(Calc!$G$3:$G$22-B4367)*Calc!$I$3:$I$22)</f>
        <v/>
      </c>
      <c r="P4367">
        <f>I4367-G4367^2/k_n</f>
        <v/>
      </c>
      <c r="Q4367">
        <f>J4367-H4367^2/k_n</f>
        <v/>
      </c>
      <c r="R4367">
        <f>K4367-G4367*H4367/k_n</f>
        <v/>
      </c>
      <c r="S4367">
        <f>L4367-LTP3!$D$3*G4367/k_n</f>
        <v/>
      </c>
      <c r="T4367">
        <f>M4367-LTP3!$D$3*H4367/k_n</f>
        <v/>
      </c>
      <c r="U4367">
        <f>N4367-G4367*LTP3!$D$4/k_n</f>
        <v/>
      </c>
      <c r="V4367">
        <f>O4367-H4367*LTP3!$D$4/k_n</f>
        <v/>
      </c>
      <c r="W4367">
        <f>((LTP3!$D$5)*((P4367)*(Q4367)-(R4367)*(R4367))-(S4367)*((S4367)*(Q4367)-(R4367)*(T4367))+(T4367)*((S4367)*(R4367)-(P4367)*(T4367)))</f>
        <v/>
      </c>
      <c r="X4367">
        <f>IF(ABS(W4367)&gt;1E-12,((LTP3!$D$6)*((P4367)*(Q4367)-(R4367)*(R4367))-(S4367)*((U4367)*(Q4367)-(R4367)*(V4367))+(T4367)*((U4367)*(R4367)-(P4367)*(V4367)))/W4367,0)</f>
        <v/>
      </c>
      <c r="Y4367">
        <f>IF(ABS(W4367)&gt;1E-12,((LTP3!$D$5)*((U4367)*(Q4367)-(R4367)*(V4367))-(LTP3!$D$6)*((S4367)*(Q4367)-(R4367)*(T4367))+(T4367)*((S4367)*(V4367)-(U4367)*(T4367)))/W4367,0)</f>
        <v/>
      </c>
      <c r="Z4367">
        <f>IF(ABS(W4367)&gt;1E-12,((LTP3!$D$5)*((P4367)*(V4367)-(U4367)*(R4367))-(S4367)*((S4367)*(V4367)-(U4367)*(T4367))+(LTP3!$D$6)*((S4367)*(R4367)-(P4367)*(T4367)))/W4367,0)</f>
        <v/>
      </c>
      <c r="AA4367">
        <f>LTP3!$D$7-X4367*LTP3!$D$6-Y4367*U4367-Z4367*V4367</f>
        <v/>
      </c>
      <c r="AB4367">
        <f>IF(AND(F4367,ABS(W4367)&gt;1E-12,Y4367&gt;0,Z4367&gt;0),AA4367,1E+300)</f>
        <v/>
      </c>
    </row>
    <row r="4368">
      <c r="A4368">
        <f>$I$4-$B$5/10+$B$5*8/100</f>
        <v/>
      </c>
      <c r="B4368">
        <f>$J$4-$B$5/10+$B$5*20/100</f>
        <v/>
      </c>
      <c r="C4368">
        <f>SUMPRODUCT(Calc!$K$3:$K$22*(Calc!$G$3:$G$22&lt;=A4368))</f>
        <v/>
      </c>
      <c r="D4368">
        <f>SUMPRODUCT(Calc!$K$3:$K$22*(Calc!$G$3:$G$22&gt;A4368)*(Calc!$G$3:$G$22&lt;B4368))</f>
        <v/>
      </c>
      <c r="E4368">
        <f>SUMPRODUCT(Calc!$K$3:$K$22*(Calc!$G$3:$G$22&gt;=B4368))</f>
        <v/>
      </c>
      <c r="F4368">
        <f>AND(k_n&gt;=5,B4368&gt;A4368+1E-9,C4368&gt;=2,D4368&gt;=1,E4368&gt;=2)</f>
        <v/>
      </c>
      <c r="G4368">
        <f>SUMPRODUCT(Calc!$K$3:$K$22*(Calc!$G$3:$G$22&gt;A4368)*(Calc!$G$3:$G$22-A4368))</f>
        <v/>
      </c>
      <c r="H4368">
        <f>SUMPRODUCT(Calc!$K$3:$K$22*(Calc!$G$3:$G$22&gt;B4368)*(Calc!$G$3:$G$22-B4368))</f>
        <v/>
      </c>
      <c r="I4368">
        <f>SUMPRODUCT(Calc!$K$3:$K$22*(Calc!$G$3:$G$22&gt;A4368)*(Calc!$G$3:$G$22-A4368)^2)</f>
        <v/>
      </c>
      <c r="J4368">
        <f>SUMPRODUCT(Calc!$K$3:$K$22*(Calc!$G$3:$G$22&gt;B4368)*(Calc!$G$3:$G$22-B4368)^2)</f>
        <v/>
      </c>
      <c r="K4368">
        <f>SUMPRODUCT(Calc!$K$3:$K$22*(Calc!$G$3:$G$22&gt;A4368)*(Calc!$G$3:$G$22-A4368)*(Calc!$G$3:$G$22&gt;B4368)*(Calc!$G$3:$G$22-B4368))</f>
        <v/>
      </c>
      <c r="L4368">
        <f>SUMPRODUCT(Calc!$K$3:$K$22*(Calc!$G$3:$G$22&gt;A4368)*(Calc!$G$3:$G$22-A4368)*Calc!$G$3:$G$22)</f>
        <v/>
      </c>
      <c r="M4368">
        <f>SUMPRODUCT(Calc!$K$3:$K$22*(Calc!$G$3:$G$22&gt;B4368)*(Calc!$G$3:$G$22-B4368)*Calc!$G$3:$G$22)</f>
        <v/>
      </c>
      <c r="N4368">
        <f>SUMPRODUCT(Calc!$K$3:$K$22*(Calc!$G$3:$G$22&gt;A4368)*(Calc!$G$3:$G$22-A4368)*Calc!$I$3:$I$22)</f>
        <v/>
      </c>
      <c r="O4368">
        <f>SUMPRODUCT(Calc!$K$3:$K$22*(Calc!$G$3:$G$22&gt;B4368)*(Calc!$G$3:$G$22-B4368)*Calc!$I$3:$I$22)</f>
        <v/>
      </c>
      <c r="P4368">
        <f>I4368-G4368^2/k_n</f>
        <v/>
      </c>
      <c r="Q4368">
        <f>J4368-H4368^2/k_n</f>
        <v/>
      </c>
      <c r="R4368">
        <f>K4368-G4368*H4368/k_n</f>
        <v/>
      </c>
      <c r="S4368">
        <f>L4368-LTP3!$D$3*G4368/k_n</f>
        <v/>
      </c>
      <c r="T4368">
        <f>M4368-LTP3!$D$3*H4368/k_n</f>
        <v/>
      </c>
      <c r="U4368">
        <f>N4368-G4368*LTP3!$D$4/k_n</f>
        <v/>
      </c>
      <c r="V4368">
        <f>O4368-H4368*LTP3!$D$4/k_n</f>
        <v/>
      </c>
      <c r="W4368">
        <f>((LTP3!$D$5)*((P4368)*(Q4368)-(R4368)*(R4368))-(S4368)*((S4368)*(Q4368)-(R4368)*(T4368))+(T4368)*((S4368)*(R4368)-(P4368)*(T4368)))</f>
        <v/>
      </c>
      <c r="X4368">
        <f>IF(ABS(W4368)&gt;1E-12,((LTP3!$D$6)*((P4368)*(Q4368)-(R4368)*(R4368))-(S4368)*((U4368)*(Q4368)-(R4368)*(V4368))+(T4368)*((U4368)*(R4368)-(P4368)*(V4368)))/W4368,0)</f>
        <v/>
      </c>
      <c r="Y4368">
        <f>IF(ABS(W4368)&gt;1E-12,((LTP3!$D$5)*((U4368)*(Q4368)-(R4368)*(V4368))-(LTP3!$D$6)*((S4368)*(Q4368)-(R4368)*(T4368))+(T4368)*((S4368)*(V4368)-(U4368)*(T4368)))/W4368,0)</f>
        <v/>
      </c>
      <c r="Z4368">
        <f>IF(ABS(W4368)&gt;1E-12,((LTP3!$D$5)*((P4368)*(V4368)-(U4368)*(R4368))-(S4368)*((S4368)*(V4368)-(U4368)*(T4368))+(LTP3!$D$6)*((S4368)*(R4368)-(P4368)*(T4368)))/W4368,0)</f>
        <v/>
      </c>
      <c r="AA4368">
        <f>LTP3!$D$7-X4368*LTP3!$D$6-Y4368*U4368-Z4368*V4368</f>
        <v/>
      </c>
      <c r="AB4368">
        <f>IF(AND(F4368,ABS(W4368)&gt;1E-12,Y4368&gt;0,Z4368&gt;0),AA4368,1E+300)</f>
        <v/>
      </c>
    </row>
    <row r="4369">
      <c r="A4369">
        <f>$I$4-$B$5/10+$B$5*9/100</f>
        <v/>
      </c>
      <c r="B4369">
        <f>$J$4-$B$5/10+$B$5*0/100</f>
        <v/>
      </c>
      <c r="C4369">
        <f>SUMPRODUCT(Calc!$K$3:$K$22*(Calc!$G$3:$G$22&lt;=A4369))</f>
        <v/>
      </c>
      <c r="D4369">
        <f>SUMPRODUCT(Calc!$K$3:$K$22*(Calc!$G$3:$G$22&gt;A4369)*(Calc!$G$3:$G$22&lt;B4369))</f>
        <v/>
      </c>
      <c r="E4369">
        <f>SUMPRODUCT(Calc!$K$3:$K$22*(Calc!$G$3:$G$22&gt;=B4369))</f>
        <v/>
      </c>
      <c r="F4369">
        <f>AND(k_n&gt;=5,B4369&gt;A4369+1E-9,C4369&gt;=2,D4369&gt;=1,E4369&gt;=2)</f>
        <v/>
      </c>
      <c r="G4369">
        <f>SUMPRODUCT(Calc!$K$3:$K$22*(Calc!$G$3:$G$22&gt;A4369)*(Calc!$G$3:$G$22-A4369))</f>
        <v/>
      </c>
      <c r="H4369">
        <f>SUMPRODUCT(Calc!$K$3:$K$22*(Calc!$G$3:$G$22&gt;B4369)*(Calc!$G$3:$G$22-B4369))</f>
        <v/>
      </c>
      <c r="I4369">
        <f>SUMPRODUCT(Calc!$K$3:$K$22*(Calc!$G$3:$G$22&gt;A4369)*(Calc!$G$3:$G$22-A4369)^2)</f>
        <v/>
      </c>
      <c r="J4369">
        <f>SUMPRODUCT(Calc!$K$3:$K$22*(Calc!$G$3:$G$22&gt;B4369)*(Calc!$G$3:$G$22-B4369)^2)</f>
        <v/>
      </c>
      <c r="K4369">
        <f>SUMPRODUCT(Calc!$K$3:$K$22*(Calc!$G$3:$G$22&gt;A4369)*(Calc!$G$3:$G$22-A4369)*(Calc!$G$3:$G$22&gt;B4369)*(Calc!$G$3:$G$22-B4369))</f>
        <v/>
      </c>
      <c r="L4369">
        <f>SUMPRODUCT(Calc!$K$3:$K$22*(Calc!$G$3:$G$22&gt;A4369)*(Calc!$G$3:$G$22-A4369)*Calc!$G$3:$G$22)</f>
        <v/>
      </c>
      <c r="M4369">
        <f>SUMPRODUCT(Calc!$K$3:$K$22*(Calc!$G$3:$G$22&gt;B4369)*(Calc!$G$3:$G$22-B4369)*Calc!$G$3:$G$22)</f>
        <v/>
      </c>
      <c r="N4369">
        <f>SUMPRODUCT(Calc!$K$3:$K$22*(Calc!$G$3:$G$22&gt;A4369)*(Calc!$G$3:$G$22-A4369)*Calc!$I$3:$I$22)</f>
        <v/>
      </c>
      <c r="O4369">
        <f>SUMPRODUCT(Calc!$K$3:$K$22*(Calc!$G$3:$G$22&gt;B4369)*(Calc!$G$3:$G$22-B4369)*Calc!$I$3:$I$22)</f>
        <v/>
      </c>
      <c r="P4369">
        <f>I4369-G4369^2/k_n</f>
        <v/>
      </c>
      <c r="Q4369">
        <f>J4369-H4369^2/k_n</f>
        <v/>
      </c>
      <c r="R4369">
        <f>K4369-G4369*H4369/k_n</f>
        <v/>
      </c>
      <c r="S4369">
        <f>L4369-LTP3!$D$3*G4369/k_n</f>
        <v/>
      </c>
      <c r="T4369">
        <f>M4369-LTP3!$D$3*H4369/k_n</f>
        <v/>
      </c>
      <c r="U4369">
        <f>N4369-G4369*LTP3!$D$4/k_n</f>
        <v/>
      </c>
      <c r="V4369">
        <f>O4369-H4369*LTP3!$D$4/k_n</f>
        <v/>
      </c>
      <c r="W4369">
        <f>((LTP3!$D$5)*((P4369)*(Q4369)-(R4369)*(R4369))-(S4369)*((S4369)*(Q4369)-(R4369)*(T4369))+(T4369)*((S4369)*(R4369)-(P4369)*(T4369)))</f>
        <v/>
      </c>
      <c r="X4369">
        <f>IF(ABS(W4369)&gt;1E-12,((LTP3!$D$6)*((P4369)*(Q4369)-(R4369)*(R4369))-(S4369)*((U4369)*(Q4369)-(R4369)*(V4369))+(T4369)*((U4369)*(R4369)-(P4369)*(V4369)))/W4369,0)</f>
        <v/>
      </c>
      <c r="Y4369">
        <f>IF(ABS(W4369)&gt;1E-12,((LTP3!$D$5)*((U4369)*(Q4369)-(R4369)*(V4369))-(LTP3!$D$6)*((S4369)*(Q4369)-(R4369)*(T4369))+(T4369)*((S4369)*(V4369)-(U4369)*(T4369)))/W4369,0)</f>
        <v/>
      </c>
      <c r="Z4369">
        <f>IF(ABS(W4369)&gt;1E-12,((LTP3!$D$5)*((P4369)*(V4369)-(U4369)*(R4369))-(S4369)*((S4369)*(V4369)-(U4369)*(T4369))+(LTP3!$D$6)*((S4369)*(R4369)-(P4369)*(T4369)))/W4369,0)</f>
        <v/>
      </c>
      <c r="AA4369">
        <f>LTP3!$D$7-X4369*LTP3!$D$6-Y4369*U4369-Z4369*V4369</f>
        <v/>
      </c>
      <c r="AB4369">
        <f>IF(AND(F4369,ABS(W4369)&gt;1E-12,Y4369&gt;0,Z4369&gt;0),AA4369,1E+300)</f>
        <v/>
      </c>
    </row>
    <row r="4370">
      <c r="A4370">
        <f>$I$4-$B$5/10+$B$5*9/100</f>
        <v/>
      </c>
      <c r="B4370">
        <f>$J$4-$B$5/10+$B$5*1/100</f>
        <v/>
      </c>
      <c r="C4370">
        <f>SUMPRODUCT(Calc!$K$3:$K$22*(Calc!$G$3:$G$22&lt;=A4370))</f>
        <v/>
      </c>
      <c r="D4370">
        <f>SUMPRODUCT(Calc!$K$3:$K$22*(Calc!$G$3:$G$22&gt;A4370)*(Calc!$G$3:$G$22&lt;B4370))</f>
        <v/>
      </c>
      <c r="E4370">
        <f>SUMPRODUCT(Calc!$K$3:$K$22*(Calc!$G$3:$G$22&gt;=B4370))</f>
        <v/>
      </c>
      <c r="F4370">
        <f>AND(k_n&gt;=5,B4370&gt;A4370+1E-9,C4370&gt;=2,D4370&gt;=1,E4370&gt;=2)</f>
        <v/>
      </c>
      <c r="G4370">
        <f>SUMPRODUCT(Calc!$K$3:$K$22*(Calc!$G$3:$G$22&gt;A4370)*(Calc!$G$3:$G$22-A4370))</f>
        <v/>
      </c>
      <c r="H4370">
        <f>SUMPRODUCT(Calc!$K$3:$K$22*(Calc!$G$3:$G$22&gt;B4370)*(Calc!$G$3:$G$22-B4370))</f>
        <v/>
      </c>
      <c r="I4370">
        <f>SUMPRODUCT(Calc!$K$3:$K$22*(Calc!$G$3:$G$22&gt;A4370)*(Calc!$G$3:$G$22-A4370)^2)</f>
        <v/>
      </c>
      <c r="J4370">
        <f>SUMPRODUCT(Calc!$K$3:$K$22*(Calc!$G$3:$G$22&gt;B4370)*(Calc!$G$3:$G$22-B4370)^2)</f>
        <v/>
      </c>
      <c r="K4370">
        <f>SUMPRODUCT(Calc!$K$3:$K$22*(Calc!$G$3:$G$22&gt;A4370)*(Calc!$G$3:$G$22-A4370)*(Calc!$G$3:$G$22&gt;B4370)*(Calc!$G$3:$G$22-B4370))</f>
        <v/>
      </c>
      <c r="L4370">
        <f>SUMPRODUCT(Calc!$K$3:$K$22*(Calc!$G$3:$G$22&gt;A4370)*(Calc!$G$3:$G$22-A4370)*Calc!$G$3:$G$22)</f>
        <v/>
      </c>
      <c r="M4370">
        <f>SUMPRODUCT(Calc!$K$3:$K$22*(Calc!$G$3:$G$22&gt;B4370)*(Calc!$G$3:$G$22-B4370)*Calc!$G$3:$G$22)</f>
        <v/>
      </c>
      <c r="N4370">
        <f>SUMPRODUCT(Calc!$K$3:$K$22*(Calc!$G$3:$G$22&gt;A4370)*(Calc!$G$3:$G$22-A4370)*Calc!$I$3:$I$22)</f>
        <v/>
      </c>
      <c r="O4370">
        <f>SUMPRODUCT(Calc!$K$3:$K$22*(Calc!$G$3:$G$22&gt;B4370)*(Calc!$G$3:$G$22-B4370)*Calc!$I$3:$I$22)</f>
        <v/>
      </c>
      <c r="P4370">
        <f>I4370-G4370^2/k_n</f>
        <v/>
      </c>
      <c r="Q4370">
        <f>J4370-H4370^2/k_n</f>
        <v/>
      </c>
      <c r="R4370">
        <f>K4370-G4370*H4370/k_n</f>
        <v/>
      </c>
      <c r="S4370">
        <f>L4370-LTP3!$D$3*G4370/k_n</f>
        <v/>
      </c>
      <c r="T4370">
        <f>M4370-LTP3!$D$3*H4370/k_n</f>
        <v/>
      </c>
      <c r="U4370">
        <f>N4370-G4370*LTP3!$D$4/k_n</f>
        <v/>
      </c>
      <c r="V4370">
        <f>O4370-H4370*LTP3!$D$4/k_n</f>
        <v/>
      </c>
      <c r="W4370">
        <f>((LTP3!$D$5)*((P4370)*(Q4370)-(R4370)*(R4370))-(S4370)*((S4370)*(Q4370)-(R4370)*(T4370))+(T4370)*((S4370)*(R4370)-(P4370)*(T4370)))</f>
        <v/>
      </c>
      <c r="X4370">
        <f>IF(ABS(W4370)&gt;1E-12,((LTP3!$D$6)*((P4370)*(Q4370)-(R4370)*(R4370))-(S4370)*((U4370)*(Q4370)-(R4370)*(V4370))+(T4370)*((U4370)*(R4370)-(P4370)*(V4370)))/W4370,0)</f>
        <v/>
      </c>
      <c r="Y4370">
        <f>IF(ABS(W4370)&gt;1E-12,((LTP3!$D$5)*((U4370)*(Q4370)-(R4370)*(V4370))-(LTP3!$D$6)*((S4370)*(Q4370)-(R4370)*(T4370))+(T4370)*((S4370)*(V4370)-(U4370)*(T4370)))/W4370,0)</f>
        <v/>
      </c>
      <c r="Z4370">
        <f>IF(ABS(W4370)&gt;1E-12,((LTP3!$D$5)*((P4370)*(V4370)-(U4370)*(R4370))-(S4370)*((S4370)*(V4370)-(U4370)*(T4370))+(LTP3!$D$6)*((S4370)*(R4370)-(P4370)*(T4370)))/W4370,0)</f>
        <v/>
      </c>
      <c r="AA4370">
        <f>LTP3!$D$7-X4370*LTP3!$D$6-Y4370*U4370-Z4370*V4370</f>
        <v/>
      </c>
      <c r="AB4370">
        <f>IF(AND(F4370,ABS(W4370)&gt;1E-12,Y4370&gt;0,Z4370&gt;0),AA4370,1E+300)</f>
        <v/>
      </c>
    </row>
    <row r="4371">
      <c r="A4371">
        <f>$I$4-$B$5/10+$B$5*9/100</f>
        <v/>
      </c>
      <c r="B4371">
        <f>$J$4-$B$5/10+$B$5*2/100</f>
        <v/>
      </c>
      <c r="C4371">
        <f>SUMPRODUCT(Calc!$K$3:$K$22*(Calc!$G$3:$G$22&lt;=A4371))</f>
        <v/>
      </c>
      <c r="D4371">
        <f>SUMPRODUCT(Calc!$K$3:$K$22*(Calc!$G$3:$G$22&gt;A4371)*(Calc!$G$3:$G$22&lt;B4371))</f>
        <v/>
      </c>
      <c r="E4371">
        <f>SUMPRODUCT(Calc!$K$3:$K$22*(Calc!$G$3:$G$22&gt;=B4371))</f>
        <v/>
      </c>
      <c r="F4371">
        <f>AND(k_n&gt;=5,B4371&gt;A4371+1E-9,C4371&gt;=2,D4371&gt;=1,E4371&gt;=2)</f>
        <v/>
      </c>
      <c r="G4371">
        <f>SUMPRODUCT(Calc!$K$3:$K$22*(Calc!$G$3:$G$22&gt;A4371)*(Calc!$G$3:$G$22-A4371))</f>
        <v/>
      </c>
      <c r="H4371">
        <f>SUMPRODUCT(Calc!$K$3:$K$22*(Calc!$G$3:$G$22&gt;B4371)*(Calc!$G$3:$G$22-B4371))</f>
        <v/>
      </c>
      <c r="I4371">
        <f>SUMPRODUCT(Calc!$K$3:$K$22*(Calc!$G$3:$G$22&gt;A4371)*(Calc!$G$3:$G$22-A4371)^2)</f>
        <v/>
      </c>
      <c r="J4371">
        <f>SUMPRODUCT(Calc!$K$3:$K$22*(Calc!$G$3:$G$22&gt;B4371)*(Calc!$G$3:$G$22-B4371)^2)</f>
        <v/>
      </c>
      <c r="K4371">
        <f>SUMPRODUCT(Calc!$K$3:$K$22*(Calc!$G$3:$G$22&gt;A4371)*(Calc!$G$3:$G$22-A4371)*(Calc!$G$3:$G$22&gt;B4371)*(Calc!$G$3:$G$22-B4371))</f>
        <v/>
      </c>
      <c r="L4371">
        <f>SUMPRODUCT(Calc!$K$3:$K$22*(Calc!$G$3:$G$22&gt;A4371)*(Calc!$G$3:$G$22-A4371)*Calc!$G$3:$G$22)</f>
        <v/>
      </c>
      <c r="M4371">
        <f>SUMPRODUCT(Calc!$K$3:$K$22*(Calc!$G$3:$G$22&gt;B4371)*(Calc!$G$3:$G$22-B4371)*Calc!$G$3:$G$22)</f>
        <v/>
      </c>
      <c r="N4371">
        <f>SUMPRODUCT(Calc!$K$3:$K$22*(Calc!$G$3:$G$22&gt;A4371)*(Calc!$G$3:$G$22-A4371)*Calc!$I$3:$I$22)</f>
        <v/>
      </c>
      <c r="O4371">
        <f>SUMPRODUCT(Calc!$K$3:$K$22*(Calc!$G$3:$G$22&gt;B4371)*(Calc!$G$3:$G$22-B4371)*Calc!$I$3:$I$22)</f>
        <v/>
      </c>
      <c r="P4371">
        <f>I4371-G4371^2/k_n</f>
        <v/>
      </c>
      <c r="Q4371">
        <f>J4371-H4371^2/k_n</f>
        <v/>
      </c>
      <c r="R4371">
        <f>K4371-G4371*H4371/k_n</f>
        <v/>
      </c>
      <c r="S4371">
        <f>L4371-LTP3!$D$3*G4371/k_n</f>
        <v/>
      </c>
      <c r="T4371">
        <f>M4371-LTP3!$D$3*H4371/k_n</f>
        <v/>
      </c>
      <c r="U4371">
        <f>N4371-G4371*LTP3!$D$4/k_n</f>
        <v/>
      </c>
      <c r="V4371">
        <f>O4371-H4371*LTP3!$D$4/k_n</f>
        <v/>
      </c>
      <c r="W4371">
        <f>((LTP3!$D$5)*((P4371)*(Q4371)-(R4371)*(R4371))-(S4371)*((S4371)*(Q4371)-(R4371)*(T4371))+(T4371)*((S4371)*(R4371)-(P4371)*(T4371)))</f>
        <v/>
      </c>
      <c r="X4371">
        <f>IF(ABS(W4371)&gt;1E-12,((LTP3!$D$6)*((P4371)*(Q4371)-(R4371)*(R4371))-(S4371)*((U4371)*(Q4371)-(R4371)*(V4371))+(T4371)*((U4371)*(R4371)-(P4371)*(V4371)))/W4371,0)</f>
        <v/>
      </c>
      <c r="Y4371">
        <f>IF(ABS(W4371)&gt;1E-12,((LTP3!$D$5)*((U4371)*(Q4371)-(R4371)*(V4371))-(LTP3!$D$6)*((S4371)*(Q4371)-(R4371)*(T4371))+(T4371)*((S4371)*(V4371)-(U4371)*(T4371)))/W4371,0)</f>
        <v/>
      </c>
      <c r="Z4371">
        <f>IF(ABS(W4371)&gt;1E-12,((LTP3!$D$5)*((P4371)*(V4371)-(U4371)*(R4371))-(S4371)*((S4371)*(V4371)-(U4371)*(T4371))+(LTP3!$D$6)*((S4371)*(R4371)-(P4371)*(T4371)))/W4371,0)</f>
        <v/>
      </c>
      <c r="AA4371">
        <f>LTP3!$D$7-X4371*LTP3!$D$6-Y4371*U4371-Z4371*V4371</f>
        <v/>
      </c>
      <c r="AB4371">
        <f>IF(AND(F4371,ABS(W4371)&gt;1E-12,Y4371&gt;0,Z4371&gt;0),AA4371,1E+300)</f>
        <v/>
      </c>
    </row>
    <row r="4372">
      <c r="A4372">
        <f>$I$4-$B$5/10+$B$5*9/100</f>
        <v/>
      </c>
      <c r="B4372">
        <f>$J$4-$B$5/10+$B$5*3/100</f>
        <v/>
      </c>
      <c r="C4372">
        <f>SUMPRODUCT(Calc!$K$3:$K$22*(Calc!$G$3:$G$22&lt;=A4372))</f>
        <v/>
      </c>
      <c r="D4372">
        <f>SUMPRODUCT(Calc!$K$3:$K$22*(Calc!$G$3:$G$22&gt;A4372)*(Calc!$G$3:$G$22&lt;B4372))</f>
        <v/>
      </c>
      <c r="E4372">
        <f>SUMPRODUCT(Calc!$K$3:$K$22*(Calc!$G$3:$G$22&gt;=B4372))</f>
        <v/>
      </c>
      <c r="F4372">
        <f>AND(k_n&gt;=5,B4372&gt;A4372+1E-9,C4372&gt;=2,D4372&gt;=1,E4372&gt;=2)</f>
        <v/>
      </c>
      <c r="G4372">
        <f>SUMPRODUCT(Calc!$K$3:$K$22*(Calc!$G$3:$G$22&gt;A4372)*(Calc!$G$3:$G$22-A4372))</f>
        <v/>
      </c>
      <c r="H4372">
        <f>SUMPRODUCT(Calc!$K$3:$K$22*(Calc!$G$3:$G$22&gt;B4372)*(Calc!$G$3:$G$22-B4372))</f>
        <v/>
      </c>
      <c r="I4372">
        <f>SUMPRODUCT(Calc!$K$3:$K$22*(Calc!$G$3:$G$22&gt;A4372)*(Calc!$G$3:$G$22-A4372)^2)</f>
        <v/>
      </c>
      <c r="J4372">
        <f>SUMPRODUCT(Calc!$K$3:$K$22*(Calc!$G$3:$G$22&gt;B4372)*(Calc!$G$3:$G$22-B4372)^2)</f>
        <v/>
      </c>
      <c r="K4372">
        <f>SUMPRODUCT(Calc!$K$3:$K$22*(Calc!$G$3:$G$22&gt;A4372)*(Calc!$G$3:$G$22-A4372)*(Calc!$G$3:$G$22&gt;B4372)*(Calc!$G$3:$G$22-B4372))</f>
        <v/>
      </c>
      <c r="L4372">
        <f>SUMPRODUCT(Calc!$K$3:$K$22*(Calc!$G$3:$G$22&gt;A4372)*(Calc!$G$3:$G$22-A4372)*Calc!$G$3:$G$22)</f>
        <v/>
      </c>
      <c r="M4372">
        <f>SUMPRODUCT(Calc!$K$3:$K$22*(Calc!$G$3:$G$22&gt;B4372)*(Calc!$G$3:$G$22-B4372)*Calc!$G$3:$G$22)</f>
        <v/>
      </c>
      <c r="N4372">
        <f>SUMPRODUCT(Calc!$K$3:$K$22*(Calc!$G$3:$G$22&gt;A4372)*(Calc!$G$3:$G$22-A4372)*Calc!$I$3:$I$22)</f>
        <v/>
      </c>
      <c r="O4372">
        <f>SUMPRODUCT(Calc!$K$3:$K$22*(Calc!$G$3:$G$22&gt;B4372)*(Calc!$G$3:$G$22-B4372)*Calc!$I$3:$I$22)</f>
        <v/>
      </c>
      <c r="P4372">
        <f>I4372-G4372^2/k_n</f>
        <v/>
      </c>
      <c r="Q4372">
        <f>J4372-H4372^2/k_n</f>
        <v/>
      </c>
      <c r="R4372">
        <f>K4372-G4372*H4372/k_n</f>
        <v/>
      </c>
      <c r="S4372">
        <f>L4372-LTP3!$D$3*G4372/k_n</f>
        <v/>
      </c>
      <c r="T4372">
        <f>M4372-LTP3!$D$3*H4372/k_n</f>
        <v/>
      </c>
      <c r="U4372">
        <f>N4372-G4372*LTP3!$D$4/k_n</f>
        <v/>
      </c>
      <c r="V4372">
        <f>O4372-H4372*LTP3!$D$4/k_n</f>
        <v/>
      </c>
      <c r="W4372">
        <f>((LTP3!$D$5)*((P4372)*(Q4372)-(R4372)*(R4372))-(S4372)*((S4372)*(Q4372)-(R4372)*(T4372))+(T4372)*((S4372)*(R4372)-(P4372)*(T4372)))</f>
        <v/>
      </c>
      <c r="X4372">
        <f>IF(ABS(W4372)&gt;1E-12,((LTP3!$D$6)*((P4372)*(Q4372)-(R4372)*(R4372))-(S4372)*((U4372)*(Q4372)-(R4372)*(V4372))+(T4372)*((U4372)*(R4372)-(P4372)*(V4372)))/W4372,0)</f>
        <v/>
      </c>
      <c r="Y4372">
        <f>IF(ABS(W4372)&gt;1E-12,((LTP3!$D$5)*((U4372)*(Q4372)-(R4372)*(V4372))-(LTP3!$D$6)*((S4372)*(Q4372)-(R4372)*(T4372))+(T4372)*((S4372)*(V4372)-(U4372)*(T4372)))/W4372,0)</f>
        <v/>
      </c>
      <c r="Z4372">
        <f>IF(ABS(W4372)&gt;1E-12,((LTP3!$D$5)*((P4372)*(V4372)-(U4372)*(R4372))-(S4372)*((S4372)*(V4372)-(U4372)*(T4372))+(LTP3!$D$6)*((S4372)*(R4372)-(P4372)*(T4372)))/W4372,0)</f>
        <v/>
      </c>
      <c r="AA4372">
        <f>LTP3!$D$7-X4372*LTP3!$D$6-Y4372*U4372-Z4372*V4372</f>
        <v/>
      </c>
      <c r="AB4372">
        <f>IF(AND(F4372,ABS(W4372)&gt;1E-12,Y4372&gt;0,Z4372&gt;0),AA4372,1E+300)</f>
        <v/>
      </c>
    </row>
    <row r="4373">
      <c r="A4373">
        <f>$I$4-$B$5/10+$B$5*9/100</f>
        <v/>
      </c>
      <c r="B4373">
        <f>$J$4-$B$5/10+$B$5*4/100</f>
        <v/>
      </c>
      <c r="C4373">
        <f>SUMPRODUCT(Calc!$K$3:$K$22*(Calc!$G$3:$G$22&lt;=A4373))</f>
        <v/>
      </c>
      <c r="D4373">
        <f>SUMPRODUCT(Calc!$K$3:$K$22*(Calc!$G$3:$G$22&gt;A4373)*(Calc!$G$3:$G$22&lt;B4373))</f>
        <v/>
      </c>
      <c r="E4373">
        <f>SUMPRODUCT(Calc!$K$3:$K$22*(Calc!$G$3:$G$22&gt;=B4373))</f>
        <v/>
      </c>
      <c r="F4373">
        <f>AND(k_n&gt;=5,B4373&gt;A4373+1E-9,C4373&gt;=2,D4373&gt;=1,E4373&gt;=2)</f>
        <v/>
      </c>
      <c r="G4373">
        <f>SUMPRODUCT(Calc!$K$3:$K$22*(Calc!$G$3:$G$22&gt;A4373)*(Calc!$G$3:$G$22-A4373))</f>
        <v/>
      </c>
      <c r="H4373">
        <f>SUMPRODUCT(Calc!$K$3:$K$22*(Calc!$G$3:$G$22&gt;B4373)*(Calc!$G$3:$G$22-B4373))</f>
        <v/>
      </c>
      <c r="I4373">
        <f>SUMPRODUCT(Calc!$K$3:$K$22*(Calc!$G$3:$G$22&gt;A4373)*(Calc!$G$3:$G$22-A4373)^2)</f>
        <v/>
      </c>
      <c r="J4373">
        <f>SUMPRODUCT(Calc!$K$3:$K$22*(Calc!$G$3:$G$22&gt;B4373)*(Calc!$G$3:$G$22-B4373)^2)</f>
        <v/>
      </c>
      <c r="K4373">
        <f>SUMPRODUCT(Calc!$K$3:$K$22*(Calc!$G$3:$G$22&gt;A4373)*(Calc!$G$3:$G$22-A4373)*(Calc!$G$3:$G$22&gt;B4373)*(Calc!$G$3:$G$22-B4373))</f>
        <v/>
      </c>
      <c r="L4373">
        <f>SUMPRODUCT(Calc!$K$3:$K$22*(Calc!$G$3:$G$22&gt;A4373)*(Calc!$G$3:$G$22-A4373)*Calc!$G$3:$G$22)</f>
        <v/>
      </c>
      <c r="M4373">
        <f>SUMPRODUCT(Calc!$K$3:$K$22*(Calc!$G$3:$G$22&gt;B4373)*(Calc!$G$3:$G$22-B4373)*Calc!$G$3:$G$22)</f>
        <v/>
      </c>
      <c r="N4373">
        <f>SUMPRODUCT(Calc!$K$3:$K$22*(Calc!$G$3:$G$22&gt;A4373)*(Calc!$G$3:$G$22-A4373)*Calc!$I$3:$I$22)</f>
        <v/>
      </c>
      <c r="O4373">
        <f>SUMPRODUCT(Calc!$K$3:$K$22*(Calc!$G$3:$G$22&gt;B4373)*(Calc!$G$3:$G$22-B4373)*Calc!$I$3:$I$22)</f>
        <v/>
      </c>
      <c r="P4373">
        <f>I4373-G4373^2/k_n</f>
        <v/>
      </c>
      <c r="Q4373">
        <f>J4373-H4373^2/k_n</f>
        <v/>
      </c>
      <c r="R4373">
        <f>K4373-G4373*H4373/k_n</f>
        <v/>
      </c>
      <c r="S4373">
        <f>L4373-LTP3!$D$3*G4373/k_n</f>
        <v/>
      </c>
      <c r="T4373">
        <f>M4373-LTP3!$D$3*H4373/k_n</f>
        <v/>
      </c>
      <c r="U4373">
        <f>N4373-G4373*LTP3!$D$4/k_n</f>
        <v/>
      </c>
      <c r="V4373">
        <f>O4373-H4373*LTP3!$D$4/k_n</f>
        <v/>
      </c>
      <c r="W4373">
        <f>((LTP3!$D$5)*((P4373)*(Q4373)-(R4373)*(R4373))-(S4373)*((S4373)*(Q4373)-(R4373)*(T4373))+(T4373)*((S4373)*(R4373)-(P4373)*(T4373)))</f>
        <v/>
      </c>
      <c r="X4373">
        <f>IF(ABS(W4373)&gt;1E-12,((LTP3!$D$6)*((P4373)*(Q4373)-(R4373)*(R4373))-(S4373)*((U4373)*(Q4373)-(R4373)*(V4373))+(T4373)*((U4373)*(R4373)-(P4373)*(V4373)))/W4373,0)</f>
        <v/>
      </c>
      <c r="Y4373">
        <f>IF(ABS(W4373)&gt;1E-12,((LTP3!$D$5)*((U4373)*(Q4373)-(R4373)*(V4373))-(LTP3!$D$6)*((S4373)*(Q4373)-(R4373)*(T4373))+(T4373)*((S4373)*(V4373)-(U4373)*(T4373)))/W4373,0)</f>
        <v/>
      </c>
      <c r="Z4373">
        <f>IF(ABS(W4373)&gt;1E-12,((LTP3!$D$5)*((P4373)*(V4373)-(U4373)*(R4373))-(S4373)*((S4373)*(V4373)-(U4373)*(T4373))+(LTP3!$D$6)*((S4373)*(R4373)-(P4373)*(T4373)))/W4373,0)</f>
        <v/>
      </c>
      <c r="AA4373">
        <f>LTP3!$D$7-X4373*LTP3!$D$6-Y4373*U4373-Z4373*V4373</f>
        <v/>
      </c>
      <c r="AB4373">
        <f>IF(AND(F4373,ABS(W4373)&gt;1E-12,Y4373&gt;0,Z4373&gt;0),AA4373,1E+300)</f>
        <v/>
      </c>
    </row>
    <row r="4374">
      <c r="A4374">
        <f>$I$4-$B$5/10+$B$5*9/100</f>
        <v/>
      </c>
      <c r="B4374">
        <f>$J$4-$B$5/10+$B$5*5/100</f>
        <v/>
      </c>
      <c r="C4374">
        <f>SUMPRODUCT(Calc!$K$3:$K$22*(Calc!$G$3:$G$22&lt;=A4374))</f>
        <v/>
      </c>
      <c r="D4374">
        <f>SUMPRODUCT(Calc!$K$3:$K$22*(Calc!$G$3:$G$22&gt;A4374)*(Calc!$G$3:$G$22&lt;B4374))</f>
        <v/>
      </c>
      <c r="E4374">
        <f>SUMPRODUCT(Calc!$K$3:$K$22*(Calc!$G$3:$G$22&gt;=B4374))</f>
        <v/>
      </c>
      <c r="F4374">
        <f>AND(k_n&gt;=5,B4374&gt;A4374+1E-9,C4374&gt;=2,D4374&gt;=1,E4374&gt;=2)</f>
        <v/>
      </c>
      <c r="G4374">
        <f>SUMPRODUCT(Calc!$K$3:$K$22*(Calc!$G$3:$G$22&gt;A4374)*(Calc!$G$3:$G$22-A4374))</f>
        <v/>
      </c>
      <c r="H4374">
        <f>SUMPRODUCT(Calc!$K$3:$K$22*(Calc!$G$3:$G$22&gt;B4374)*(Calc!$G$3:$G$22-B4374))</f>
        <v/>
      </c>
      <c r="I4374">
        <f>SUMPRODUCT(Calc!$K$3:$K$22*(Calc!$G$3:$G$22&gt;A4374)*(Calc!$G$3:$G$22-A4374)^2)</f>
        <v/>
      </c>
      <c r="J4374">
        <f>SUMPRODUCT(Calc!$K$3:$K$22*(Calc!$G$3:$G$22&gt;B4374)*(Calc!$G$3:$G$22-B4374)^2)</f>
        <v/>
      </c>
      <c r="K4374">
        <f>SUMPRODUCT(Calc!$K$3:$K$22*(Calc!$G$3:$G$22&gt;A4374)*(Calc!$G$3:$G$22-A4374)*(Calc!$G$3:$G$22&gt;B4374)*(Calc!$G$3:$G$22-B4374))</f>
        <v/>
      </c>
      <c r="L4374">
        <f>SUMPRODUCT(Calc!$K$3:$K$22*(Calc!$G$3:$G$22&gt;A4374)*(Calc!$G$3:$G$22-A4374)*Calc!$G$3:$G$22)</f>
        <v/>
      </c>
      <c r="M4374">
        <f>SUMPRODUCT(Calc!$K$3:$K$22*(Calc!$G$3:$G$22&gt;B4374)*(Calc!$G$3:$G$22-B4374)*Calc!$G$3:$G$22)</f>
        <v/>
      </c>
      <c r="N4374">
        <f>SUMPRODUCT(Calc!$K$3:$K$22*(Calc!$G$3:$G$22&gt;A4374)*(Calc!$G$3:$G$22-A4374)*Calc!$I$3:$I$22)</f>
        <v/>
      </c>
      <c r="O4374">
        <f>SUMPRODUCT(Calc!$K$3:$K$22*(Calc!$G$3:$G$22&gt;B4374)*(Calc!$G$3:$G$22-B4374)*Calc!$I$3:$I$22)</f>
        <v/>
      </c>
      <c r="P4374">
        <f>I4374-G4374^2/k_n</f>
        <v/>
      </c>
      <c r="Q4374">
        <f>J4374-H4374^2/k_n</f>
        <v/>
      </c>
      <c r="R4374">
        <f>K4374-G4374*H4374/k_n</f>
        <v/>
      </c>
      <c r="S4374">
        <f>L4374-LTP3!$D$3*G4374/k_n</f>
        <v/>
      </c>
      <c r="T4374">
        <f>M4374-LTP3!$D$3*H4374/k_n</f>
        <v/>
      </c>
      <c r="U4374">
        <f>N4374-G4374*LTP3!$D$4/k_n</f>
        <v/>
      </c>
      <c r="V4374">
        <f>O4374-H4374*LTP3!$D$4/k_n</f>
        <v/>
      </c>
      <c r="W4374">
        <f>((LTP3!$D$5)*((P4374)*(Q4374)-(R4374)*(R4374))-(S4374)*((S4374)*(Q4374)-(R4374)*(T4374))+(T4374)*((S4374)*(R4374)-(P4374)*(T4374)))</f>
        <v/>
      </c>
      <c r="X4374">
        <f>IF(ABS(W4374)&gt;1E-12,((LTP3!$D$6)*((P4374)*(Q4374)-(R4374)*(R4374))-(S4374)*((U4374)*(Q4374)-(R4374)*(V4374))+(T4374)*((U4374)*(R4374)-(P4374)*(V4374)))/W4374,0)</f>
        <v/>
      </c>
      <c r="Y4374">
        <f>IF(ABS(W4374)&gt;1E-12,((LTP3!$D$5)*((U4374)*(Q4374)-(R4374)*(V4374))-(LTP3!$D$6)*((S4374)*(Q4374)-(R4374)*(T4374))+(T4374)*((S4374)*(V4374)-(U4374)*(T4374)))/W4374,0)</f>
        <v/>
      </c>
      <c r="Z4374">
        <f>IF(ABS(W4374)&gt;1E-12,((LTP3!$D$5)*((P4374)*(V4374)-(U4374)*(R4374))-(S4374)*((S4374)*(V4374)-(U4374)*(T4374))+(LTP3!$D$6)*((S4374)*(R4374)-(P4374)*(T4374)))/W4374,0)</f>
        <v/>
      </c>
      <c r="AA4374">
        <f>LTP3!$D$7-X4374*LTP3!$D$6-Y4374*U4374-Z4374*V4374</f>
        <v/>
      </c>
      <c r="AB4374">
        <f>IF(AND(F4374,ABS(W4374)&gt;1E-12,Y4374&gt;0,Z4374&gt;0),AA4374,1E+300)</f>
        <v/>
      </c>
    </row>
    <row r="4375">
      <c r="A4375">
        <f>$I$4-$B$5/10+$B$5*9/100</f>
        <v/>
      </c>
      <c r="B4375">
        <f>$J$4-$B$5/10+$B$5*6/100</f>
        <v/>
      </c>
      <c r="C4375">
        <f>SUMPRODUCT(Calc!$K$3:$K$22*(Calc!$G$3:$G$22&lt;=A4375))</f>
        <v/>
      </c>
      <c r="D4375">
        <f>SUMPRODUCT(Calc!$K$3:$K$22*(Calc!$G$3:$G$22&gt;A4375)*(Calc!$G$3:$G$22&lt;B4375))</f>
        <v/>
      </c>
      <c r="E4375">
        <f>SUMPRODUCT(Calc!$K$3:$K$22*(Calc!$G$3:$G$22&gt;=B4375))</f>
        <v/>
      </c>
      <c r="F4375">
        <f>AND(k_n&gt;=5,B4375&gt;A4375+1E-9,C4375&gt;=2,D4375&gt;=1,E4375&gt;=2)</f>
        <v/>
      </c>
      <c r="G4375">
        <f>SUMPRODUCT(Calc!$K$3:$K$22*(Calc!$G$3:$G$22&gt;A4375)*(Calc!$G$3:$G$22-A4375))</f>
        <v/>
      </c>
      <c r="H4375">
        <f>SUMPRODUCT(Calc!$K$3:$K$22*(Calc!$G$3:$G$22&gt;B4375)*(Calc!$G$3:$G$22-B4375))</f>
        <v/>
      </c>
      <c r="I4375">
        <f>SUMPRODUCT(Calc!$K$3:$K$22*(Calc!$G$3:$G$22&gt;A4375)*(Calc!$G$3:$G$22-A4375)^2)</f>
        <v/>
      </c>
      <c r="J4375">
        <f>SUMPRODUCT(Calc!$K$3:$K$22*(Calc!$G$3:$G$22&gt;B4375)*(Calc!$G$3:$G$22-B4375)^2)</f>
        <v/>
      </c>
      <c r="K4375">
        <f>SUMPRODUCT(Calc!$K$3:$K$22*(Calc!$G$3:$G$22&gt;A4375)*(Calc!$G$3:$G$22-A4375)*(Calc!$G$3:$G$22&gt;B4375)*(Calc!$G$3:$G$22-B4375))</f>
        <v/>
      </c>
      <c r="L4375">
        <f>SUMPRODUCT(Calc!$K$3:$K$22*(Calc!$G$3:$G$22&gt;A4375)*(Calc!$G$3:$G$22-A4375)*Calc!$G$3:$G$22)</f>
        <v/>
      </c>
      <c r="M4375">
        <f>SUMPRODUCT(Calc!$K$3:$K$22*(Calc!$G$3:$G$22&gt;B4375)*(Calc!$G$3:$G$22-B4375)*Calc!$G$3:$G$22)</f>
        <v/>
      </c>
      <c r="N4375">
        <f>SUMPRODUCT(Calc!$K$3:$K$22*(Calc!$G$3:$G$22&gt;A4375)*(Calc!$G$3:$G$22-A4375)*Calc!$I$3:$I$22)</f>
        <v/>
      </c>
      <c r="O4375">
        <f>SUMPRODUCT(Calc!$K$3:$K$22*(Calc!$G$3:$G$22&gt;B4375)*(Calc!$G$3:$G$22-B4375)*Calc!$I$3:$I$22)</f>
        <v/>
      </c>
      <c r="P4375">
        <f>I4375-G4375^2/k_n</f>
        <v/>
      </c>
      <c r="Q4375">
        <f>J4375-H4375^2/k_n</f>
        <v/>
      </c>
      <c r="R4375">
        <f>K4375-G4375*H4375/k_n</f>
        <v/>
      </c>
      <c r="S4375">
        <f>L4375-LTP3!$D$3*G4375/k_n</f>
        <v/>
      </c>
      <c r="T4375">
        <f>M4375-LTP3!$D$3*H4375/k_n</f>
        <v/>
      </c>
      <c r="U4375">
        <f>N4375-G4375*LTP3!$D$4/k_n</f>
        <v/>
      </c>
      <c r="V4375">
        <f>O4375-H4375*LTP3!$D$4/k_n</f>
        <v/>
      </c>
      <c r="W4375">
        <f>((LTP3!$D$5)*((P4375)*(Q4375)-(R4375)*(R4375))-(S4375)*((S4375)*(Q4375)-(R4375)*(T4375))+(T4375)*((S4375)*(R4375)-(P4375)*(T4375)))</f>
        <v/>
      </c>
      <c r="X4375">
        <f>IF(ABS(W4375)&gt;1E-12,((LTP3!$D$6)*((P4375)*(Q4375)-(R4375)*(R4375))-(S4375)*((U4375)*(Q4375)-(R4375)*(V4375))+(T4375)*((U4375)*(R4375)-(P4375)*(V4375)))/W4375,0)</f>
        <v/>
      </c>
      <c r="Y4375">
        <f>IF(ABS(W4375)&gt;1E-12,((LTP3!$D$5)*((U4375)*(Q4375)-(R4375)*(V4375))-(LTP3!$D$6)*((S4375)*(Q4375)-(R4375)*(T4375))+(T4375)*((S4375)*(V4375)-(U4375)*(T4375)))/W4375,0)</f>
        <v/>
      </c>
      <c r="Z4375">
        <f>IF(ABS(W4375)&gt;1E-12,((LTP3!$D$5)*((P4375)*(V4375)-(U4375)*(R4375))-(S4375)*((S4375)*(V4375)-(U4375)*(T4375))+(LTP3!$D$6)*((S4375)*(R4375)-(P4375)*(T4375)))/W4375,0)</f>
        <v/>
      </c>
      <c r="AA4375">
        <f>LTP3!$D$7-X4375*LTP3!$D$6-Y4375*U4375-Z4375*V4375</f>
        <v/>
      </c>
      <c r="AB4375">
        <f>IF(AND(F4375,ABS(W4375)&gt;1E-12,Y4375&gt;0,Z4375&gt;0),AA4375,1E+300)</f>
        <v/>
      </c>
    </row>
    <row r="4376">
      <c r="A4376">
        <f>$I$4-$B$5/10+$B$5*9/100</f>
        <v/>
      </c>
      <c r="B4376">
        <f>$J$4-$B$5/10+$B$5*7/100</f>
        <v/>
      </c>
      <c r="C4376">
        <f>SUMPRODUCT(Calc!$K$3:$K$22*(Calc!$G$3:$G$22&lt;=A4376))</f>
        <v/>
      </c>
      <c r="D4376">
        <f>SUMPRODUCT(Calc!$K$3:$K$22*(Calc!$G$3:$G$22&gt;A4376)*(Calc!$G$3:$G$22&lt;B4376))</f>
        <v/>
      </c>
      <c r="E4376">
        <f>SUMPRODUCT(Calc!$K$3:$K$22*(Calc!$G$3:$G$22&gt;=B4376))</f>
        <v/>
      </c>
      <c r="F4376">
        <f>AND(k_n&gt;=5,B4376&gt;A4376+1E-9,C4376&gt;=2,D4376&gt;=1,E4376&gt;=2)</f>
        <v/>
      </c>
      <c r="G4376">
        <f>SUMPRODUCT(Calc!$K$3:$K$22*(Calc!$G$3:$G$22&gt;A4376)*(Calc!$G$3:$G$22-A4376))</f>
        <v/>
      </c>
      <c r="H4376">
        <f>SUMPRODUCT(Calc!$K$3:$K$22*(Calc!$G$3:$G$22&gt;B4376)*(Calc!$G$3:$G$22-B4376))</f>
        <v/>
      </c>
      <c r="I4376">
        <f>SUMPRODUCT(Calc!$K$3:$K$22*(Calc!$G$3:$G$22&gt;A4376)*(Calc!$G$3:$G$22-A4376)^2)</f>
        <v/>
      </c>
      <c r="J4376">
        <f>SUMPRODUCT(Calc!$K$3:$K$22*(Calc!$G$3:$G$22&gt;B4376)*(Calc!$G$3:$G$22-B4376)^2)</f>
        <v/>
      </c>
      <c r="K4376">
        <f>SUMPRODUCT(Calc!$K$3:$K$22*(Calc!$G$3:$G$22&gt;A4376)*(Calc!$G$3:$G$22-A4376)*(Calc!$G$3:$G$22&gt;B4376)*(Calc!$G$3:$G$22-B4376))</f>
        <v/>
      </c>
      <c r="L4376">
        <f>SUMPRODUCT(Calc!$K$3:$K$22*(Calc!$G$3:$G$22&gt;A4376)*(Calc!$G$3:$G$22-A4376)*Calc!$G$3:$G$22)</f>
        <v/>
      </c>
      <c r="M4376">
        <f>SUMPRODUCT(Calc!$K$3:$K$22*(Calc!$G$3:$G$22&gt;B4376)*(Calc!$G$3:$G$22-B4376)*Calc!$G$3:$G$22)</f>
        <v/>
      </c>
      <c r="N4376">
        <f>SUMPRODUCT(Calc!$K$3:$K$22*(Calc!$G$3:$G$22&gt;A4376)*(Calc!$G$3:$G$22-A4376)*Calc!$I$3:$I$22)</f>
        <v/>
      </c>
      <c r="O4376">
        <f>SUMPRODUCT(Calc!$K$3:$K$22*(Calc!$G$3:$G$22&gt;B4376)*(Calc!$G$3:$G$22-B4376)*Calc!$I$3:$I$22)</f>
        <v/>
      </c>
      <c r="P4376">
        <f>I4376-G4376^2/k_n</f>
        <v/>
      </c>
      <c r="Q4376">
        <f>J4376-H4376^2/k_n</f>
        <v/>
      </c>
      <c r="R4376">
        <f>K4376-G4376*H4376/k_n</f>
        <v/>
      </c>
      <c r="S4376">
        <f>L4376-LTP3!$D$3*G4376/k_n</f>
        <v/>
      </c>
      <c r="T4376">
        <f>M4376-LTP3!$D$3*H4376/k_n</f>
        <v/>
      </c>
      <c r="U4376">
        <f>N4376-G4376*LTP3!$D$4/k_n</f>
        <v/>
      </c>
      <c r="V4376">
        <f>O4376-H4376*LTP3!$D$4/k_n</f>
        <v/>
      </c>
      <c r="W4376">
        <f>((LTP3!$D$5)*((P4376)*(Q4376)-(R4376)*(R4376))-(S4376)*((S4376)*(Q4376)-(R4376)*(T4376))+(T4376)*((S4376)*(R4376)-(P4376)*(T4376)))</f>
        <v/>
      </c>
      <c r="X4376">
        <f>IF(ABS(W4376)&gt;1E-12,((LTP3!$D$6)*((P4376)*(Q4376)-(R4376)*(R4376))-(S4376)*((U4376)*(Q4376)-(R4376)*(V4376))+(T4376)*((U4376)*(R4376)-(P4376)*(V4376)))/W4376,0)</f>
        <v/>
      </c>
      <c r="Y4376">
        <f>IF(ABS(W4376)&gt;1E-12,((LTP3!$D$5)*((U4376)*(Q4376)-(R4376)*(V4376))-(LTP3!$D$6)*((S4376)*(Q4376)-(R4376)*(T4376))+(T4376)*((S4376)*(V4376)-(U4376)*(T4376)))/W4376,0)</f>
        <v/>
      </c>
      <c r="Z4376">
        <f>IF(ABS(W4376)&gt;1E-12,((LTP3!$D$5)*((P4376)*(V4376)-(U4376)*(R4376))-(S4376)*((S4376)*(V4376)-(U4376)*(T4376))+(LTP3!$D$6)*((S4376)*(R4376)-(P4376)*(T4376)))/W4376,0)</f>
        <v/>
      </c>
      <c r="AA4376">
        <f>LTP3!$D$7-X4376*LTP3!$D$6-Y4376*U4376-Z4376*V4376</f>
        <v/>
      </c>
      <c r="AB4376">
        <f>IF(AND(F4376,ABS(W4376)&gt;1E-12,Y4376&gt;0,Z4376&gt;0),AA4376,1E+300)</f>
        <v/>
      </c>
    </row>
    <row r="4377">
      <c r="A4377">
        <f>$I$4-$B$5/10+$B$5*9/100</f>
        <v/>
      </c>
      <c r="B4377">
        <f>$J$4-$B$5/10+$B$5*8/100</f>
        <v/>
      </c>
      <c r="C4377">
        <f>SUMPRODUCT(Calc!$K$3:$K$22*(Calc!$G$3:$G$22&lt;=A4377))</f>
        <v/>
      </c>
      <c r="D4377">
        <f>SUMPRODUCT(Calc!$K$3:$K$22*(Calc!$G$3:$G$22&gt;A4377)*(Calc!$G$3:$G$22&lt;B4377))</f>
        <v/>
      </c>
      <c r="E4377">
        <f>SUMPRODUCT(Calc!$K$3:$K$22*(Calc!$G$3:$G$22&gt;=B4377))</f>
        <v/>
      </c>
      <c r="F4377">
        <f>AND(k_n&gt;=5,B4377&gt;A4377+1E-9,C4377&gt;=2,D4377&gt;=1,E4377&gt;=2)</f>
        <v/>
      </c>
      <c r="G4377">
        <f>SUMPRODUCT(Calc!$K$3:$K$22*(Calc!$G$3:$G$22&gt;A4377)*(Calc!$G$3:$G$22-A4377))</f>
        <v/>
      </c>
      <c r="H4377">
        <f>SUMPRODUCT(Calc!$K$3:$K$22*(Calc!$G$3:$G$22&gt;B4377)*(Calc!$G$3:$G$22-B4377))</f>
        <v/>
      </c>
      <c r="I4377">
        <f>SUMPRODUCT(Calc!$K$3:$K$22*(Calc!$G$3:$G$22&gt;A4377)*(Calc!$G$3:$G$22-A4377)^2)</f>
        <v/>
      </c>
      <c r="J4377">
        <f>SUMPRODUCT(Calc!$K$3:$K$22*(Calc!$G$3:$G$22&gt;B4377)*(Calc!$G$3:$G$22-B4377)^2)</f>
        <v/>
      </c>
      <c r="K4377">
        <f>SUMPRODUCT(Calc!$K$3:$K$22*(Calc!$G$3:$G$22&gt;A4377)*(Calc!$G$3:$G$22-A4377)*(Calc!$G$3:$G$22&gt;B4377)*(Calc!$G$3:$G$22-B4377))</f>
        <v/>
      </c>
      <c r="L4377">
        <f>SUMPRODUCT(Calc!$K$3:$K$22*(Calc!$G$3:$G$22&gt;A4377)*(Calc!$G$3:$G$22-A4377)*Calc!$G$3:$G$22)</f>
        <v/>
      </c>
      <c r="M4377">
        <f>SUMPRODUCT(Calc!$K$3:$K$22*(Calc!$G$3:$G$22&gt;B4377)*(Calc!$G$3:$G$22-B4377)*Calc!$G$3:$G$22)</f>
        <v/>
      </c>
      <c r="N4377">
        <f>SUMPRODUCT(Calc!$K$3:$K$22*(Calc!$G$3:$G$22&gt;A4377)*(Calc!$G$3:$G$22-A4377)*Calc!$I$3:$I$22)</f>
        <v/>
      </c>
      <c r="O4377">
        <f>SUMPRODUCT(Calc!$K$3:$K$22*(Calc!$G$3:$G$22&gt;B4377)*(Calc!$G$3:$G$22-B4377)*Calc!$I$3:$I$22)</f>
        <v/>
      </c>
      <c r="P4377">
        <f>I4377-G4377^2/k_n</f>
        <v/>
      </c>
      <c r="Q4377">
        <f>J4377-H4377^2/k_n</f>
        <v/>
      </c>
      <c r="R4377">
        <f>K4377-G4377*H4377/k_n</f>
        <v/>
      </c>
      <c r="S4377">
        <f>L4377-LTP3!$D$3*G4377/k_n</f>
        <v/>
      </c>
      <c r="T4377">
        <f>M4377-LTP3!$D$3*H4377/k_n</f>
        <v/>
      </c>
      <c r="U4377">
        <f>N4377-G4377*LTP3!$D$4/k_n</f>
        <v/>
      </c>
      <c r="V4377">
        <f>O4377-H4377*LTP3!$D$4/k_n</f>
        <v/>
      </c>
      <c r="W4377">
        <f>((LTP3!$D$5)*((P4377)*(Q4377)-(R4377)*(R4377))-(S4377)*((S4377)*(Q4377)-(R4377)*(T4377))+(T4377)*((S4377)*(R4377)-(P4377)*(T4377)))</f>
        <v/>
      </c>
      <c r="X4377">
        <f>IF(ABS(W4377)&gt;1E-12,((LTP3!$D$6)*((P4377)*(Q4377)-(R4377)*(R4377))-(S4377)*((U4377)*(Q4377)-(R4377)*(V4377))+(T4377)*((U4377)*(R4377)-(P4377)*(V4377)))/W4377,0)</f>
        <v/>
      </c>
      <c r="Y4377">
        <f>IF(ABS(W4377)&gt;1E-12,((LTP3!$D$5)*((U4377)*(Q4377)-(R4377)*(V4377))-(LTP3!$D$6)*((S4377)*(Q4377)-(R4377)*(T4377))+(T4377)*((S4377)*(V4377)-(U4377)*(T4377)))/W4377,0)</f>
        <v/>
      </c>
      <c r="Z4377">
        <f>IF(ABS(W4377)&gt;1E-12,((LTP3!$D$5)*((P4377)*(V4377)-(U4377)*(R4377))-(S4377)*((S4377)*(V4377)-(U4377)*(T4377))+(LTP3!$D$6)*((S4377)*(R4377)-(P4377)*(T4377)))/W4377,0)</f>
        <v/>
      </c>
      <c r="AA4377">
        <f>LTP3!$D$7-X4377*LTP3!$D$6-Y4377*U4377-Z4377*V4377</f>
        <v/>
      </c>
      <c r="AB4377">
        <f>IF(AND(F4377,ABS(W4377)&gt;1E-12,Y4377&gt;0,Z4377&gt;0),AA4377,1E+300)</f>
        <v/>
      </c>
    </row>
    <row r="4378">
      <c r="A4378">
        <f>$I$4-$B$5/10+$B$5*9/100</f>
        <v/>
      </c>
      <c r="B4378">
        <f>$J$4-$B$5/10+$B$5*9/100</f>
        <v/>
      </c>
      <c r="C4378">
        <f>SUMPRODUCT(Calc!$K$3:$K$22*(Calc!$G$3:$G$22&lt;=A4378))</f>
        <v/>
      </c>
      <c r="D4378">
        <f>SUMPRODUCT(Calc!$K$3:$K$22*(Calc!$G$3:$G$22&gt;A4378)*(Calc!$G$3:$G$22&lt;B4378))</f>
        <v/>
      </c>
      <c r="E4378">
        <f>SUMPRODUCT(Calc!$K$3:$K$22*(Calc!$G$3:$G$22&gt;=B4378))</f>
        <v/>
      </c>
      <c r="F4378">
        <f>AND(k_n&gt;=5,B4378&gt;A4378+1E-9,C4378&gt;=2,D4378&gt;=1,E4378&gt;=2)</f>
        <v/>
      </c>
      <c r="G4378">
        <f>SUMPRODUCT(Calc!$K$3:$K$22*(Calc!$G$3:$G$22&gt;A4378)*(Calc!$G$3:$G$22-A4378))</f>
        <v/>
      </c>
      <c r="H4378">
        <f>SUMPRODUCT(Calc!$K$3:$K$22*(Calc!$G$3:$G$22&gt;B4378)*(Calc!$G$3:$G$22-B4378))</f>
        <v/>
      </c>
      <c r="I4378">
        <f>SUMPRODUCT(Calc!$K$3:$K$22*(Calc!$G$3:$G$22&gt;A4378)*(Calc!$G$3:$G$22-A4378)^2)</f>
        <v/>
      </c>
      <c r="J4378">
        <f>SUMPRODUCT(Calc!$K$3:$K$22*(Calc!$G$3:$G$22&gt;B4378)*(Calc!$G$3:$G$22-B4378)^2)</f>
        <v/>
      </c>
      <c r="K4378">
        <f>SUMPRODUCT(Calc!$K$3:$K$22*(Calc!$G$3:$G$22&gt;A4378)*(Calc!$G$3:$G$22-A4378)*(Calc!$G$3:$G$22&gt;B4378)*(Calc!$G$3:$G$22-B4378))</f>
        <v/>
      </c>
      <c r="L4378">
        <f>SUMPRODUCT(Calc!$K$3:$K$22*(Calc!$G$3:$G$22&gt;A4378)*(Calc!$G$3:$G$22-A4378)*Calc!$G$3:$G$22)</f>
        <v/>
      </c>
      <c r="M4378">
        <f>SUMPRODUCT(Calc!$K$3:$K$22*(Calc!$G$3:$G$22&gt;B4378)*(Calc!$G$3:$G$22-B4378)*Calc!$G$3:$G$22)</f>
        <v/>
      </c>
      <c r="N4378">
        <f>SUMPRODUCT(Calc!$K$3:$K$22*(Calc!$G$3:$G$22&gt;A4378)*(Calc!$G$3:$G$22-A4378)*Calc!$I$3:$I$22)</f>
        <v/>
      </c>
      <c r="O4378">
        <f>SUMPRODUCT(Calc!$K$3:$K$22*(Calc!$G$3:$G$22&gt;B4378)*(Calc!$G$3:$G$22-B4378)*Calc!$I$3:$I$22)</f>
        <v/>
      </c>
      <c r="P4378">
        <f>I4378-G4378^2/k_n</f>
        <v/>
      </c>
      <c r="Q4378">
        <f>J4378-H4378^2/k_n</f>
        <v/>
      </c>
      <c r="R4378">
        <f>K4378-G4378*H4378/k_n</f>
        <v/>
      </c>
      <c r="S4378">
        <f>L4378-LTP3!$D$3*G4378/k_n</f>
        <v/>
      </c>
      <c r="T4378">
        <f>M4378-LTP3!$D$3*H4378/k_n</f>
        <v/>
      </c>
      <c r="U4378">
        <f>N4378-G4378*LTP3!$D$4/k_n</f>
        <v/>
      </c>
      <c r="V4378">
        <f>O4378-H4378*LTP3!$D$4/k_n</f>
        <v/>
      </c>
      <c r="W4378">
        <f>((LTP3!$D$5)*((P4378)*(Q4378)-(R4378)*(R4378))-(S4378)*((S4378)*(Q4378)-(R4378)*(T4378))+(T4378)*((S4378)*(R4378)-(P4378)*(T4378)))</f>
        <v/>
      </c>
      <c r="X4378">
        <f>IF(ABS(W4378)&gt;1E-12,((LTP3!$D$6)*((P4378)*(Q4378)-(R4378)*(R4378))-(S4378)*((U4378)*(Q4378)-(R4378)*(V4378))+(T4378)*((U4378)*(R4378)-(P4378)*(V4378)))/W4378,0)</f>
        <v/>
      </c>
      <c r="Y4378">
        <f>IF(ABS(W4378)&gt;1E-12,((LTP3!$D$5)*((U4378)*(Q4378)-(R4378)*(V4378))-(LTP3!$D$6)*((S4378)*(Q4378)-(R4378)*(T4378))+(T4378)*((S4378)*(V4378)-(U4378)*(T4378)))/W4378,0)</f>
        <v/>
      </c>
      <c r="Z4378">
        <f>IF(ABS(W4378)&gt;1E-12,((LTP3!$D$5)*((P4378)*(V4378)-(U4378)*(R4378))-(S4378)*((S4378)*(V4378)-(U4378)*(T4378))+(LTP3!$D$6)*((S4378)*(R4378)-(P4378)*(T4378)))/W4378,0)</f>
        <v/>
      </c>
      <c r="AA4378">
        <f>LTP3!$D$7-X4378*LTP3!$D$6-Y4378*U4378-Z4378*V4378</f>
        <v/>
      </c>
      <c r="AB4378">
        <f>IF(AND(F4378,ABS(W4378)&gt;1E-12,Y4378&gt;0,Z4378&gt;0),AA4378,1E+300)</f>
        <v/>
      </c>
    </row>
    <row r="4379">
      <c r="A4379">
        <f>$I$4-$B$5/10+$B$5*9/100</f>
        <v/>
      </c>
      <c r="B4379">
        <f>$J$4-$B$5/10+$B$5*10/100</f>
        <v/>
      </c>
      <c r="C4379">
        <f>SUMPRODUCT(Calc!$K$3:$K$22*(Calc!$G$3:$G$22&lt;=A4379))</f>
        <v/>
      </c>
      <c r="D4379">
        <f>SUMPRODUCT(Calc!$K$3:$K$22*(Calc!$G$3:$G$22&gt;A4379)*(Calc!$G$3:$G$22&lt;B4379))</f>
        <v/>
      </c>
      <c r="E4379">
        <f>SUMPRODUCT(Calc!$K$3:$K$22*(Calc!$G$3:$G$22&gt;=B4379))</f>
        <v/>
      </c>
      <c r="F4379">
        <f>AND(k_n&gt;=5,B4379&gt;A4379+1E-9,C4379&gt;=2,D4379&gt;=1,E4379&gt;=2)</f>
        <v/>
      </c>
      <c r="G4379">
        <f>SUMPRODUCT(Calc!$K$3:$K$22*(Calc!$G$3:$G$22&gt;A4379)*(Calc!$G$3:$G$22-A4379))</f>
        <v/>
      </c>
      <c r="H4379">
        <f>SUMPRODUCT(Calc!$K$3:$K$22*(Calc!$G$3:$G$22&gt;B4379)*(Calc!$G$3:$G$22-B4379))</f>
        <v/>
      </c>
      <c r="I4379">
        <f>SUMPRODUCT(Calc!$K$3:$K$22*(Calc!$G$3:$G$22&gt;A4379)*(Calc!$G$3:$G$22-A4379)^2)</f>
        <v/>
      </c>
      <c r="J4379">
        <f>SUMPRODUCT(Calc!$K$3:$K$22*(Calc!$G$3:$G$22&gt;B4379)*(Calc!$G$3:$G$22-B4379)^2)</f>
        <v/>
      </c>
      <c r="K4379">
        <f>SUMPRODUCT(Calc!$K$3:$K$22*(Calc!$G$3:$G$22&gt;A4379)*(Calc!$G$3:$G$22-A4379)*(Calc!$G$3:$G$22&gt;B4379)*(Calc!$G$3:$G$22-B4379))</f>
        <v/>
      </c>
      <c r="L4379">
        <f>SUMPRODUCT(Calc!$K$3:$K$22*(Calc!$G$3:$G$22&gt;A4379)*(Calc!$G$3:$G$22-A4379)*Calc!$G$3:$G$22)</f>
        <v/>
      </c>
      <c r="M4379">
        <f>SUMPRODUCT(Calc!$K$3:$K$22*(Calc!$G$3:$G$22&gt;B4379)*(Calc!$G$3:$G$22-B4379)*Calc!$G$3:$G$22)</f>
        <v/>
      </c>
      <c r="N4379">
        <f>SUMPRODUCT(Calc!$K$3:$K$22*(Calc!$G$3:$G$22&gt;A4379)*(Calc!$G$3:$G$22-A4379)*Calc!$I$3:$I$22)</f>
        <v/>
      </c>
      <c r="O4379">
        <f>SUMPRODUCT(Calc!$K$3:$K$22*(Calc!$G$3:$G$22&gt;B4379)*(Calc!$G$3:$G$22-B4379)*Calc!$I$3:$I$22)</f>
        <v/>
      </c>
      <c r="P4379">
        <f>I4379-G4379^2/k_n</f>
        <v/>
      </c>
      <c r="Q4379">
        <f>J4379-H4379^2/k_n</f>
        <v/>
      </c>
      <c r="R4379">
        <f>K4379-G4379*H4379/k_n</f>
        <v/>
      </c>
      <c r="S4379">
        <f>L4379-LTP3!$D$3*G4379/k_n</f>
        <v/>
      </c>
      <c r="T4379">
        <f>M4379-LTP3!$D$3*H4379/k_n</f>
        <v/>
      </c>
      <c r="U4379">
        <f>N4379-G4379*LTP3!$D$4/k_n</f>
        <v/>
      </c>
      <c r="V4379">
        <f>O4379-H4379*LTP3!$D$4/k_n</f>
        <v/>
      </c>
      <c r="W4379">
        <f>((LTP3!$D$5)*((P4379)*(Q4379)-(R4379)*(R4379))-(S4379)*((S4379)*(Q4379)-(R4379)*(T4379))+(T4379)*((S4379)*(R4379)-(P4379)*(T4379)))</f>
        <v/>
      </c>
      <c r="X4379">
        <f>IF(ABS(W4379)&gt;1E-12,((LTP3!$D$6)*((P4379)*(Q4379)-(R4379)*(R4379))-(S4379)*((U4379)*(Q4379)-(R4379)*(V4379))+(T4379)*((U4379)*(R4379)-(P4379)*(V4379)))/W4379,0)</f>
        <v/>
      </c>
      <c r="Y4379">
        <f>IF(ABS(W4379)&gt;1E-12,((LTP3!$D$5)*((U4379)*(Q4379)-(R4379)*(V4379))-(LTP3!$D$6)*((S4379)*(Q4379)-(R4379)*(T4379))+(T4379)*((S4379)*(V4379)-(U4379)*(T4379)))/W4379,0)</f>
        <v/>
      </c>
      <c r="Z4379">
        <f>IF(ABS(W4379)&gt;1E-12,((LTP3!$D$5)*((P4379)*(V4379)-(U4379)*(R4379))-(S4379)*((S4379)*(V4379)-(U4379)*(T4379))+(LTP3!$D$6)*((S4379)*(R4379)-(P4379)*(T4379)))/W4379,0)</f>
        <v/>
      </c>
      <c r="AA4379">
        <f>LTP3!$D$7-X4379*LTP3!$D$6-Y4379*U4379-Z4379*V4379</f>
        <v/>
      </c>
      <c r="AB4379">
        <f>IF(AND(F4379,ABS(W4379)&gt;1E-12,Y4379&gt;0,Z4379&gt;0),AA4379,1E+300)</f>
        <v/>
      </c>
    </row>
    <row r="4380">
      <c r="A4380">
        <f>$I$4-$B$5/10+$B$5*9/100</f>
        <v/>
      </c>
      <c r="B4380">
        <f>$J$4-$B$5/10+$B$5*11/100</f>
        <v/>
      </c>
      <c r="C4380">
        <f>SUMPRODUCT(Calc!$K$3:$K$22*(Calc!$G$3:$G$22&lt;=A4380))</f>
        <v/>
      </c>
      <c r="D4380">
        <f>SUMPRODUCT(Calc!$K$3:$K$22*(Calc!$G$3:$G$22&gt;A4380)*(Calc!$G$3:$G$22&lt;B4380))</f>
        <v/>
      </c>
      <c r="E4380">
        <f>SUMPRODUCT(Calc!$K$3:$K$22*(Calc!$G$3:$G$22&gt;=B4380))</f>
        <v/>
      </c>
      <c r="F4380">
        <f>AND(k_n&gt;=5,B4380&gt;A4380+1E-9,C4380&gt;=2,D4380&gt;=1,E4380&gt;=2)</f>
        <v/>
      </c>
      <c r="G4380">
        <f>SUMPRODUCT(Calc!$K$3:$K$22*(Calc!$G$3:$G$22&gt;A4380)*(Calc!$G$3:$G$22-A4380))</f>
        <v/>
      </c>
      <c r="H4380">
        <f>SUMPRODUCT(Calc!$K$3:$K$22*(Calc!$G$3:$G$22&gt;B4380)*(Calc!$G$3:$G$22-B4380))</f>
        <v/>
      </c>
      <c r="I4380">
        <f>SUMPRODUCT(Calc!$K$3:$K$22*(Calc!$G$3:$G$22&gt;A4380)*(Calc!$G$3:$G$22-A4380)^2)</f>
        <v/>
      </c>
      <c r="J4380">
        <f>SUMPRODUCT(Calc!$K$3:$K$22*(Calc!$G$3:$G$22&gt;B4380)*(Calc!$G$3:$G$22-B4380)^2)</f>
        <v/>
      </c>
      <c r="K4380">
        <f>SUMPRODUCT(Calc!$K$3:$K$22*(Calc!$G$3:$G$22&gt;A4380)*(Calc!$G$3:$G$22-A4380)*(Calc!$G$3:$G$22&gt;B4380)*(Calc!$G$3:$G$22-B4380))</f>
        <v/>
      </c>
      <c r="L4380">
        <f>SUMPRODUCT(Calc!$K$3:$K$22*(Calc!$G$3:$G$22&gt;A4380)*(Calc!$G$3:$G$22-A4380)*Calc!$G$3:$G$22)</f>
        <v/>
      </c>
      <c r="M4380">
        <f>SUMPRODUCT(Calc!$K$3:$K$22*(Calc!$G$3:$G$22&gt;B4380)*(Calc!$G$3:$G$22-B4380)*Calc!$G$3:$G$22)</f>
        <v/>
      </c>
      <c r="N4380">
        <f>SUMPRODUCT(Calc!$K$3:$K$22*(Calc!$G$3:$G$22&gt;A4380)*(Calc!$G$3:$G$22-A4380)*Calc!$I$3:$I$22)</f>
        <v/>
      </c>
      <c r="O4380">
        <f>SUMPRODUCT(Calc!$K$3:$K$22*(Calc!$G$3:$G$22&gt;B4380)*(Calc!$G$3:$G$22-B4380)*Calc!$I$3:$I$22)</f>
        <v/>
      </c>
      <c r="P4380">
        <f>I4380-G4380^2/k_n</f>
        <v/>
      </c>
      <c r="Q4380">
        <f>J4380-H4380^2/k_n</f>
        <v/>
      </c>
      <c r="R4380">
        <f>K4380-G4380*H4380/k_n</f>
        <v/>
      </c>
      <c r="S4380">
        <f>L4380-LTP3!$D$3*G4380/k_n</f>
        <v/>
      </c>
      <c r="T4380">
        <f>M4380-LTP3!$D$3*H4380/k_n</f>
        <v/>
      </c>
      <c r="U4380">
        <f>N4380-G4380*LTP3!$D$4/k_n</f>
        <v/>
      </c>
      <c r="V4380">
        <f>O4380-H4380*LTP3!$D$4/k_n</f>
        <v/>
      </c>
      <c r="W4380">
        <f>((LTP3!$D$5)*((P4380)*(Q4380)-(R4380)*(R4380))-(S4380)*((S4380)*(Q4380)-(R4380)*(T4380))+(T4380)*((S4380)*(R4380)-(P4380)*(T4380)))</f>
        <v/>
      </c>
      <c r="X4380">
        <f>IF(ABS(W4380)&gt;1E-12,((LTP3!$D$6)*((P4380)*(Q4380)-(R4380)*(R4380))-(S4380)*((U4380)*(Q4380)-(R4380)*(V4380))+(T4380)*((U4380)*(R4380)-(P4380)*(V4380)))/W4380,0)</f>
        <v/>
      </c>
      <c r="Y4380">
        <f>IF(ABS(W4380)&gt;1E-12,((LTP3!$D$5)*((U4380)*(Q4380)-(R4380)*(V4380))-(LTP3!$D$6)*((S4380)*(Q4380)-(R4380)*(T4380))+(T4380)*((S4380)*(V4380)-(U4380)*(T4380)))/W4380,0)</f>
        <v/>
      </c>
      <c r="Z4380">
        <f>IF(ABS(W4380)&gt;1E-12,((LTP3!$D$5)*((P4380)*(V4380)-(U4380)*(R4380))-(S4380)*((S4380)*(V4380)-(U4380)*(T4380))+(LTP3!$D$6)*((S4380)*(R4380)-(P4380)*(T4380)))/W4380,0)</f>
        <v/>
      </c>
      <c r="AA4380">
        <f>LTP3!$D$7-X4380*LTP3!$D$6-Y4380*U4380-Z4380*V4380</f>
        <v/>
      </c>
      <c r="AB4380">
        <f>IF(AND(F4380,ABS(W4380)&gt;1E-12,Y4380&gt;0,Z4380&gt;0),AA4380,1E+300)</f>
        <v/>
      </c>
    </row>
    <row r="4381">
      <c r="A4381">
        <f>$I$4-$B$5/10+$B$5*9/100</f>
        <v/>
      </c>
      <c r="B4381">
        <f>$J$4-$B$5/10+$B$5*12/100</f>
        <v/>
      </c>
      <c r="C4381">
        <f>SUMPRODUCT(Calc!$K$3:$K$22*(Calc!$G$3:$G$22&lt;=A4381))</f>
        <v/>
      </c>
      <c r="D4381">
        <f>SUMPRODUCT(Calc!$K$3:$K$22*(Calc!$G$3:$G$22&gt;A4381)*(Calc!$G$3:$G$22&lt;B4381))</f>
        <v/>
      </c>
      <c r="E4381">
        <f>SUMPRODUCT(Calc!$K$3:$K$22*(Calc!$G$3:$G$22&gt;=B4381))</f>
        <v/>
      </c>
      <c r="F4381">
        <f>AND(k_n&gt;=5,B4381&gt;A4381+1E-9,C4381&gt;=2,D4381&gt;=1,E4381&gt;=2)</f>
        <v/>
      </c>
      <c r="G4381">
        <f>SUMPRODUCT(Calc!$K$3:$K$22*(Calc!$G$3:$G$22&gt;A4381)*(Calc!$G$3:$G$22-A4381))</f>
        <v/>
      </c>
      <c r="H4381">
        <f>SUMPRODUCT(Calc!$K$3:$K$22*(Calc!$G$3:$G$22&gt;B4381)*(Calc!$G$3:$G$22-B4381))</f>
        <v/>
      </c>
      <c r="I4381">
        <f>SUMPRODUCT(Calc!$K$3:$K$22*(Calc!$G$3:$G$22&gt;A4381)*(Calc!$G$3:$G$22-A4381)^2)</f>
        <v/>
      </c>
      <c r="J4381">
        <f>SUMPRODUCT(Calc!$K$3:$K$22*(Calc!$G$3:$G$22&gt;B4381)*(Calc!$G$3:$G$22-B4381)^2)</f>
        <v/>
      </c>
      <c r="K4381">
        <f>SUMPRODUCT(Calc!$K$3:$K$22*(Calc!$G$3:$G$22&gt;A4381)*(Calc!$G$3:$G$22-A4381)*(Calc!$G$3:$G$22&gt;B4381)*(Calc!$G$3:$G$22-B4381))</f>
        <v/>
      </c>
      <c r="L4381">
        <f>SUMPRODUCT(Calc!$K$3:$K$22*(Calc!$G$3:$G$22&gt;A4381)*(Calc!$G$3:$G$22-A4381)*Calc!$G$3:$G$22)</f>
        <v/>
      </c>
      <c r="M4381">
        <f>SUMPRODUCT(Calc!$K$3:$K$22*(Calc!$G$3:$G$22&gt;B4381)*(Calc!$G$3:$G$22-B4381)*Calc!$G$3:$G$22)</f>
        <v/>
      </c>
      <c r="N4381">
        <f>SUMPRODUCT(Calc!$K$3:$K$22*(Calc!$G$3:$G$22&gt;A4381)*(Calc!$G$3:$G$22-A4381)*Calc!$I$3:$I$22)</f>
        <v/>
      </c>
      <c r="O4381">
        <f>SUMPRODUCT(Calc!$K$3:$K$22*(Calc!$G$3:$G$22&gt;B4381)*(Calc!$G$3:$G$22-B4381)*Calc!$I$3:$I$22)</f>
        <v/>
      </c>
      <c r="P4381">
        <f>I4381-G4381^2/k_n</f>
        <v/>
      </c>
      <c r="Q4381">
        <f>J4381-H4381^2/k_n</f>
        <v/>
      </c>
      <c r="R4381">
        <f>K4381-G4381*H4381/k_n</f>
        <v/>
      </c>
      <c r="S4381">
        <f>L4381-LTP3!$D$3*G4381/k_n</f>
        <v/>
      </c>
      <c r="T4381">
        <f>M4381-LTP3!$D$3*H4381/k_n</f>
        <v/>
      </c>
      <c r="U4381">
        <f>N4381-G4381*LTP3!$D$4/k_n</f>
        <v/>
      </c>
      <c r="V4381">
        <f>O4381-H4381*LTP3!$D$4/k_n</f>
        <v/>
      </c>
      <c r="W4381">
        <f>((LTP3!$D$5)*((P4381)*(Q4381)-(R4381)*(R4381))-(S4381)*((S4381)*(Q4381)-(R4381)*(T4381))+(T4381)*((S4381)*(R4381)-(P4381)*(T4381)))</f>
        <v/>
      </c>
      <c r="X4381">
        <f>IF(ABS(W4381)&gt;1E-12,((LTP3!$D$6)*((P4381)*(Q4381)-(R4381)*(R4381))-(S4381)*((U4381)*(Q4381)-(R4381)*(V4381))+(T4381)*((U4381)*(R4381)-(P4381)*(V4381)))/W4381,0)</f>
        <v/>
      </c>
      <c r="Y4381">
        <f>IF(ABS(W4381)&gt;1E-12,((LTP3!$D$5)*((U4381)*(Q4381)-(R4381)*(V4381))-(LTP3!$D$6)*((S4381)*(Q4381)-(R4381)*(T4381))+(T4381)*((S4381)*(V4381)-(U4381)*(T4381)))/W4381,0)</f>
        <v/>
      </c>
      <c r="Z4381">
        <f>IF(ABS(W4381)&gt;1E-12,((LTP3!$D$5)*((P4381)*(V4381)-(U4381)*(R4381))-(S4381)*((S4381)*(V4381)-(U4381)*(T4381))+(LTP3!$D$6)*((S4381)*(R4381)-(P4381)*(T4381)))/W4381,0)</f>
        <v/>
      </c>
      <c r="AA4381">
        <f>LTP3!$D$7-X4381*LTP3!$D$6-Y4381*U4381-Z4381*V4381</f>
        <v/>
      </c>
      <c r="AB4381">
        <f>IF(AND(F4381,ABS(W4381)&gt;1E-12,Y4381&gt;0,Z4381&gt;0),AA4381,1E+300)</f>
        <v/>
      </c>
    </row>
    <row r="4382">
      <c r="A4382">
        <f>$I$4-$B$5/10+$B$5*9/100</f>
        <v/>
      </c>
      <c r="B4382">
        <f>$J$4-$B$5/10+$B$5*13/100</f>
        <v/>
      </c>
      <c r="C4382">
        <f>SUMPRODUCT(Calc!$K$3:$K$22*(Calc!$G$3:$G$22&lt;=A4382))</f>
        <v/>
      </c>
      <c r="D4382">
        <f>SUMPRODUCT(Calc!$K$3:$K$22*(Calc!$G$3:$G$22&gt;A4382)*(Calc!$G$3:$G$22&lt;B4382))</f>
        <v/>
      </c>
      <c r="E4382">
        <f>SUMPRODUCT(Calc!$K$3:$K$22*(Calc!$G$3:$G$22&gt;=B4382))</f>
        <v/>
      </c>
      <c r="F4382">
        <f>AND(k_n&gt;=5,B4382&gt;A4382+1E-9,C4382&gt;=2,D4382&gt;=1,E4382&gt;=2)</f>
        <v/>
      </c>
      <c r="G4382">
        <f>SUMPRODUCT(Calc!$K$3:$K$22*(Calc!$G$3:$G$22&gt;A4382)*(Calc!$G$3:$G$22-A4382))</f>
        <v/>
      </c>
      <c r="H4382">
        <f>SUMPRODUCT(Calc!$K$3:$K$22*(Calc!$G$3:$G$22&gt;B4382)*(Calc!$G$3:$G$22-B4382))</f>
        <v/>
      </c>
      <c r="I4382">
        <f>SUMPRODUCT(Calc!$K$3:$K$22*(Calc!$G$3:$G$22&gt;A4382)*(Calc!$G$3:$G$22-A4382)^2)</f>
        <v/>
      </c>
      <c r="J4382">
        <f>SUMPRODUCT(Calc!$K$3:$K$22*(Calc!$G$3:$G$22&gt;B4382)*(Calc!$G$3:$G$22-B4382)^2)</f>
        <v/>
      </c>
      <c r="K4382">
        <f>SUMPRODUCT(Calc!$K$3:$K$22*(Calc!$G$3:$G$22&gt;A4382)*(Calc!$G$3:$G$22-A4382)*(Calc!$G$3:$G$22&gt;B4382)*(Calc!$G$3:$G$22-B4382))</f>
        <v/>
      </c>
      <c r="L4382">
        <f>SUMPRODUCT(Calc!$K$3:$K$22*(Calc!$G$3:$G$22&gt;A4382)*(Calc!$G$3:$G$22-A4382)*Calc!$G$3:$G$22)</f>
        <v/>
      </c>
      <c r="M4382">
        <f>SUMPRODUCT(Calc!$K$3:$K$22*(Calc!$G$3:$G$22&gt;B4382)*(Calc!$G$3:$G$22-B4382)*Calc!$G$3:$G$22)</f>
        <v/>
      </c>
      <c r="N4382">
        <f>SUMPRODUCT(Calc!$K$3:$K$22*(Calc!$G$3:$G$22&gt;A4382)*(Calc!$G$3:$G$22-A4382)*Calc!$I$3:$I$22)</f>
        <v/>
      </c>
      <c r="O4382">
        <f>SUMPRODUCT(Calc!$K$3:$K$22*(Calc!$G$3:$G$22&gt;B4382)*(Calc!$G$3:$G$22-B4382)*Calc!$I$3:$I$22)</f>
        <v/>
      </c>
      <c r="P4382">
        <f>I4382-G4382^2/k_n</f>
        <v/>
      </c>
      <c r="Q4382">
        <f>J4382-H4382^2/k_n</f>
        <v/>
      </c>
      <c r="R4382">
        <f>K4382-G4382*H4382/k_n</f>
        <v/>
      </c>
      <c r="S4382">
        <f>L4382-LTP3!$D$3*G4382/k_n</f>
        <v/>
      </c>
      <c r="T4382">
        <f>M4382-LTP3!$D$3*H4382/k_n</f>
        <v/>
      </c>
      <c r="U4382">
        <f>N4382-G4382*LTP3!$D$4/k_n</f>
        <v/>
      </c>
      <c r="V4382">
        <f>O4382-H4382*LTP3!$D$4/k_n</f>
        <v/>
      </c>
      <c r="W4382">
        <f>((LTP3!$D$5)*((P4382)*(Q4382)-(R4382)*(R4382))-(S4382)*((S4382)*(Q4382)-(R4382)*(T4382))+(T4382)*((S4382)*(R4382)-(P4382)*(T4382)))</f>
        <v/>
      </c>
      <c r="X4382">
        <f>IF(ABS(W4382)&gt;1E-12,((LTP3!$D$6)*((P4382)*(Q4382)-(R4382)*(R4382))-(S4382)*((U4382)*(Q4382)-(R4382)*(V4382))+(T4382)*((U4382)*(R4382)-(P4382)*(V4382)))/W4382,0)</f>
        <v/>
      </c>
      <c r="Y4382">
        <f>IF(ABS(W4382)&gt;1E-12,((LTP3!$D$5)*((U4382)*(Q4382)-(R4382)*(V4382))-(LTP3!$D$6)*((S4382)*(Q4382)-(R4382)*(T4382))+(T4382)*((S4382)*(V4382)-(U4382)*(T4382)))/W4382,0)</f>
        <v/>
      </c>
      <c r="Z4382">
        <f>IF(ABS(W4382)&gt;1E-12,((LTP3!$D$5)*((P4382)*(V4382)-(U4382)*(R4382))-(S4382)*((S4382)*(V4382)-(U4382)*(T4382))+(LTP3!$D$6)*((S4382)*(R4382)-(P4382)*(T4382)))/W4382,0)</f>
        <v/>
      </c>
      <c r="AA4382">
        <f>LTP3!$D$7-X4382*LTP3!$D$6-Y4382*U4382-Z4382*V4382</f>
        <v/>
      </c>
      <c r="AB4382">
        <f>IF(AND(F4382,ABS(W4382)&gt;1E-12,Y4382&gt;0,Z4382&gt;0),AA4382,1E+300)</f>
        <v/>
      </c>
    </row>
    <row r="4383">
      <c r="A4383">
        <f>$I$4-$B$5/10+$B$5*9/100</f>
        <v/>
      </c>
      <c r="B4383">
        <f>$J$4-$B$5/10+$B$5*14/100</f>
        <v/>
      </c>
      <c r="C4383">
        <f>SUMPRODUCT(Calc!$K$3:$K$22*(Calc!$G$3:$G$22&lt;=A4383))</f>
        <v/>
      </c>
      <c r="D4383">
        <f>SUMPRODUCT(Calc!$K$3:$K$22*(Calc!$G$3:$G$22&gt;A4383)*(Calc!$G$3:$G$22&lt;B4383))</f>
        <v/>
      </c>
      <c r="E4383">
        <f>SUMPRODUCT(Calc!$K$3:$K$22*(Calc!$G$3:$G$22&gt;=B4383))</f>
        <v/>
      </c>
      <c r="F4383">
        <f>AND(k_n&gt;=5,B4383&gt;A4383+1E-9,C4383&gt;=2,D4383&gt;=1,E4383&gt;=2)</f>
        <v/>
      </c>
      <c r="G4383">
        <f>SUMPRODUCT(Calc!$K$3:$K$22*(Calc!$G$3:$G$22&gt;A4383)*(Calc!$G$3:$G$22-A4383))</f>
        <v/>
      </c>
      <c r="H4383">
        <f>SUMPRODUCT(Calc!$K$3:$K$22*(Calc!$G$3:$G$22&gt;B4383)*(Calc!$G$3:$G$22-B4383))</f>
        <v/>
      </c>
      <c r="I4383">
        <f>SUMPRODUCT(Calc!$K$3:$K$22*(Calc!$G$3:$G$22&gt;A4383)*(Calc!$G$3:$G$22-A4383)^2)</f>
        <v/>
      </c>
      <c r="J4383">
        <f>SUMPRODUCT(Calc!$K$3:$K$22*(Calc!$G$3:$G$22&gt;B4383)*(Calc!$G$3:$G$22-B4383)^2)</f>
        <v/>
      </c>
      <c r="K4383">
        <f>SUMPRODUCT(Calc!$K$3:$K$22*(Calc!$G$3:$G$22&gt;A4383)*(Calc!$G$3:$G$22-A4383)*(Calc!$G$3:$G$22&gt;B4383)*(Calc!$G$3:$G$22-B4383))</f>
        <v/>
      </c>
      <c r="L4383">
        <f>SUMPRODUCT(Calc!$K$3:$K$22*(Calc!$G$3:$G$22&gt;A4383)*(Calc!$G$3:$G$22-A4383)*Calc!$G$3:$G$22)</f>
        <v/>
      </c>
      <c r="M4383">
        <f>SUMPRODUCT(Calc!$K$3:$K$22*(Calc!$G$3:$G$22&gt;B4383)*(Calc!$G$3:$G$22-B4383)*Calc!$G$3:$G$22)</f>
        <v/>
      </c>
      <c r="N4383">
        <f>SUMPRODUCT(Calc!$K$3:$K$22*(Calc!$G$3:$G$22&gt;A4383)*(Calc!$G$3:$G$22-A4383)*Calc!$I$3:$I$22)</f>
        <v/>
      </c>
      <c r="O4383">
        <f>SUMPRODUCT(Calc!$K$3:$K$22*(Calc!$G$3:$G$22&gt;B4383)*(Calc!$G$3:$G$22-B4383)*Calc!$I$3:$I$22)</f>
        <v/>
      </c>
      <c r="P4383">
        <f>I4383-G4383^2/k_n</f>
        <v/>
      </c>
      <c r="Q4383">
        <f>J4383-H4383^2/k_n</f>
        <v/>
      </c>
      <c r="R4383">
        <f>K4383-G4383*H4383/k_n</f>
        <v/>
      </c>
      <c r="S4383">
        <f>L4383-LTP3!$D$3*G4383/k_n</f>
        <v/>
      </c>
      <c r="T4383">
        <f>M4383-LTP3!$D$3*H4383/k_n</f>
        <v/>
      </c>
      <c r="U4383">
        <f>N4383-G4383*LTP3!$D$4/k_n</f>
        <v/>
      </c>
      <c r="V4383">
        <f>O4383-H4383*LTP3!$D$4/k_n</f>
        <v/>
      </c>
      <c r="W4383">
        <f>((LTP3!$D$5)*((P4383)*(Q4383)-(R4383)*(R4383))-(S4383)*((S4383)*(Q4383)-(R4383)*(T4383))+(T4383)*((S4383)*(R4383)-(P4383)*(T4383)))</f>
        <v/>
      </c>
      <c r="X4383">
        <f>IF(ABS(W4383)&gt;1E-12,((LTP3!$D$6)*((P4383)*(Q4383)-(R4383)*(R4383))-(S4383)*((U4383)*(Q4383)-(R4383)*(V4383))+(T4383)*((U4383)*(R4383)-(P4383)*(V4383)))/W4383,0)</f>
        <v/>
      </c>
      <c r="Y4383">
        <f>IF(ABS(W4383)&gt;1E-12,((LTP3!$D$5)*((U4383)*(Q4383)-(R4383)*(V4383))-(LTP3!$D$6)*((S4383)*(Q4383)-(R4383)*(T4383))+(T4383)*((S4383)*(V4383)-(U4383)*(T4383)))/W4383,0)</f>
        <v/>
      </c>
      <c r="Z4383">
        <f>IF(ABS(W4383)&gt;1E-12,((LTP3!$D$5)*((P4383)*(V4383)-(U4383)*(R4383))-(S4383)*((S4383)*(V4383)-(U4383)*(T4383))+(LTP3!$D$6)*((S4383)*(R4383)-(P4383)*(T4383)))/W4383,0)</f>
        <v/>
      </c>
      <c r="AA4383">
        <f>LTP3!$D$7-X4383*LTP3!$D$6-Y4383*U4383-Z4383*V4383</f>
        <v/>
      </c>
      <c r="AB4383">
        <f>IF(AND(F4383,ABS(W4383)&gt;1E-12,Y4383&gt;0,Z4383&gt;0),AA4383,1E+300)</f>
        <v/>
      </c>
    </row>
    <row r="4384">
      <c r="A4384">
        <f>$I$4-$B$5/10+$B$5*9/100</f>
        <v/>
      </c>
      <c r="B4384">
        <f>$J$4-$B$5/10+$B$5*15/100</f>
        <v/>
      </c>
      <c r="C4384">
        <f>SUMPRODUCT(Calc!$K$3:$K$22*(Calc!$G$3:$G$22&lt;=A4384))</f>
        <v/>
      </c>
      <c r="D4384">
        <f>SUMPRODUCT(Calc!$K$3:$K$22*(Calc!$G$3:$G$22&gt;A4384)*(Calc!$G$3:$G$22&lt;B4384))</f>
        <v/>
      </c>
      <c r="E4384">
        <f>SUMPRODUCT(Calc!$K$3:$K$22*(Calc!$G$3:$G$22&gt;=B4384))</f>
        <v/>
      </c>
      <c r="F4384">
        <f>AND(k_n&gt;=5,B4384&gt;A4384+1E-9,C4384&gt;=2,D4384&gt;=1,E4384&gt;=2)</f>
        <v/>
      </c>
      <c r="G4384">
        <f>SUMPRODUCT(Calc!$K$3:$K$22*(Calc!$G$3:$G$22&gt;A4384)*(Calc!$G$3:$G$22-A4384))</f>
        <v/>
      </c>
      <c r="H4384">
        <f>SUMPRODUCT(Calc!$K$3:$K$22*(Calc!$G$3:$G$22&gt;B4384)*(Calc!$G$3:$G$22-B4384))</f>
        <v/>
      </c>
      <c r="I4384">
        <f>SUMPRODUCT(Calc!$K$3:$K$22*(Calc!$G$3:$G$22&gt;A4384)*(Calc!$G$3:$G$22-A4384)^2)</f>
        <v/>
      </c>
      <c r="J4384">
        <f>SUMPRODUCT(Calc!$K$3:$K$22*(Calc!$G$3:$G$22&gt;B4384)*(Calc!$G$3:$G$22-B4384)^2)</f>
        <v/>
      </c>
      <c r="K4384">
        <f>SUMPRODUCT(Calc!$K$3:$K$22*(Calc!$G$3:$G$22&gt;A4384)*(Calc!$G$3:$G$22-A4384)*(Calc!$G$3:$G$22&gt;B4384)*(Calc!$G$3:$G$22-B4384))</f>
        <v/>
      </c>
      <c r="L4384">
        <f>SUMPRODUCT(Calc!$K$3:$K$22*(Calc!$G$3:$G$22&gt;A4384)*(Calc!$G$3:$G$22-A4384)*Calc!$G$3:$G$22)</f>
        <v/>
      </c>
      <c r="M4384">
        <f>SUMPRODUCT(Calc!$K$3:$K$22*(Calc!$G$3:$G$22&gt;B4384)*(Calc!$G$3:$G$22-B4384)*Calc!$G$3:$G$22)</f>
        <v/>
      </c>
      <c r="N4384">
        <f>SUMPRODUCT(Calc!$K$3:$K$22*(Calc!$G$3:$G$22&gt;A4384)*(Calc!$G$3:$G$22-A4384)*Calc!$I$3:$I$22)</f>
        <v/>
      </c>
      <c r="O4384">
        <f>SUMPRODUCT(Calc!$K$3:$K$22*(Calc!$G$3:$G$22&gt;B4384)*(Calc!$G$3:$G$22-B4384)*Calc!$I$3:$I$22)</f>
        <v/>
      </c>
      <c r="P4384">
        <f>I4384-G4384^2/k_n</f>
        <v/>
      </c>
      <c r="Q4384">
        <f>J4384-H4384^2/k_n</f>
        <v/>
      </c>
      <c r="R4384">
        <f>K4384-G4384*H4384/k_n</f>
        <v/>
      </c>
      <c r="S4384">
        <f>L4384-LTP3!$D$3*G4384/k_n</f>
        <v/>
      </c>
      <c r="T4384">
        <f>M4384-LTP3!$D$3*H4384/k_n</f>
        <v/>
      </c>
      <c r="U4384">
        <f>N4384-G4384*LTP3!$D$4/k_n</f>
        <v/>
      </c>
      <c r="V4384">
        <f>O4384-H4384*LTP3!$D$4/k_n</f>
        <v/>
      </c>
      <c r="W4384">
        <f>((LTP3!$D$5)*((P4384)*(Q4384)-(R4384)*(R4384))-(S4384)*((S4384)*(Q4384)-(R4384)*(T4384))+(T4384)*((S4384)*(R4384)-(P4384)*(T4384)))</f>
        <v/>
      </c>
      <c r="X4384">
        <f>IF(ABS(W4384)&gt;1E-12,((LTP3!$D$6)*((P4384)*(Q4384)-(R4384)*(R4384))-(S4384)*((U4384)*(Q4384)-(R4384)*(V4384))+(T4384)*((U4384)*(R4384)-(P4384)*(V4384)))/W4384,0)</f>
        <v/>
      </c>
      <c r="Y4384">
        <f>IF(ABS(W4384)&gt;1E-12,((LTP3!$D$5)*((U4384)*(Q4384)-(R4384)*(V4384))-(LTP3!$D$6)*((S4384)*(Q4384)-(R4384)*(T4384))+(T4384)*((S4384)*(V4384)-(U4384)*(T4384)))/W4384,0)</f>
        <v/>
      </c>
      <c r="Z4384">
        <f>IF(ABS(W4384)&gt;1E-12,((LTP3!$D$5)*((P4384)*(V4384)-(U4384)*(R4384))-(S4384)*((S4384)*(V4384)-(U4384)*(T4384))+(LTP3!$D$6)*((S4384)*(R4384)-(P4384)*(T4384)))/W4384,0)</f>
        <v/>
      </c>
      <c r="AA4384">
        <f>LTP3!$D$7-X4384*LTP3!$D$6-Y4384*U4384-Z4384*V4384</f>
        <v/>
      </c>
      <c r="AB4384">
        <f>IF(AND(F4384,ABS(W4384)&gt;1E-12,Y4384&gt;0,Z4384&gt;0),AA4384,1E+300)</f>
        <v/>
      </c>
    </row>
    <row r="4385">
      <c r="A4385">
        <f>$I$4-$B$5/10+$B$5*9/100</f>
        <v/>
      </c>
      <c r="B4385">
        <f>$J$4-$B$5/10+$B$5*16/100</f>
        <v/>
      </c>
      <c r="C4385">
        <f>SUMPRODUCT(Calc!$K$3:$K$22*(Calc!$G$3:$G$22&lt;=A4385))</f>
        <v/>
      </c>
      <c r="D4385">
        <f>SUMPRODUCT(Calc!$K$3:$K$22*(Calc!$G$3:$G$22&gt;A4385)*(Calc!$G$3:$G$22&lt;B4385))</f>
        <v/>
      </c>
      <c r="E4385">
        <f>SUMPRODUCT(Calc!$K$3:$K$22*(Calc!$G$3:$G$22&gt;=B4385))</f>
        <v/>
      </c>
      <c r="F4385">
        <f>AND(k_n&gt;=5,B4385&gt;A4385+1E-9,C4385&gt;=2,D4385&gt;=1,E4385&gt;=2)</f>
        <v/>
      </c>
      <c r="G4385">
        <f>SUMPRODUCT(Calc!$K$3:$K$22*(Calc!$G$3:$G$22&gt;A4385)*(Calc!$G$3:$G$22-A4385))</f>
        <v/>
      </c>
      <c r="H4385">
        <f>SUMPRODUCT(Calc!$K$3:$K$22*(Calc!$G$3:$G$22&gt;B4385)*(Calc!$G$3:$G$22-B4385))</f>
        <v/>
      </c>
      <c r="I4385">
        <f>SUMPRODUCT(Calc!$K$3:$K$22*(Calc!$G$3:$G$22&gt;A4385)*(Calc!$G$3:$G$22-A4385)^2)</f>
        <v/>
      </c>
      <c r="J4385">
        <f>SUMPRODUCT(Calc!$K$3:$K$22*(Calc!$G$3:$G$22&gt;B4385)*(Calc!$G$3:$G$22-B4385)^2)</f>
        <v/>
      </c>
      <c r="K4385">
        <f>SUMPRODUCT(Calc!$K$3:$K$22*(Calc!$G$3:$G$22&gt;A4385)*(Calc!$G$3:$G$22-A4385)*(Calc!$G$3:$G$22&gt;B4385)*(Calc!$G$3:$G$22-B4385))</f>
        <v/>
      </c>
      <c r="L4385">
        <f>SUMPRODUCT(Calc!$K$3:$K$22*(Calc!$G$3:$G$22&gt;A4385)*(Calc!$G$3:$G$22-A4385)*Calc!$G$3:$G$22)</f>
        <v/>
      </c>
      <c r="M4385">
        <f>SUMPRODUCT(Calc!$K$3:$K$22*(Calc!$G$3:$G$22&gt;B4385)*(Calc!$G$3:$G$22-B4385)*Calc!$G$3:$G$22)</f>
        <v/>
      </c>
      <c r="N4385">
        <f>SUMPRODUCT(Calc!$K$3:$K$22*(Calc!$G$3:$G$22&gt;A4385)*(Calc!$G$3:$G$22-A4385)*Calc!$I$3:$I$22)</f>
        <v/>
      </c>
      <c r="O4385">
        <f>SUMPRODUCT(Calc!$K$3:$K$22*(Calc!$G$3:$G$22&gt;B4385)*(Calc!$G$3:$G$22-B4385)*Calc!$I$3:$I$22)</f>
        <v/>
      </c>
      <c r="P4385">
        <f>I4385-G4385^2/k_n</f>
        <v/>
      </c>
      <c r="Q4385">
        <f>J4385-H4385^2/k_n</f>
        <v/>
      </c>
      <c r="R4385">
        <f>K4385-G4385*H4385/k_n</f>
        <v/>
      </c>
      <c r="S4385">
        <f>L4385-LTP3!$D$3*G4385/k_n</f>
        <v/>
      </c>
      <c r="T4385">
        <f>M4385-LTP3!$D$3*H4385/k_n</f>
        <v/>
      </c>
      <c r="U4385">
        <f>N4385-G4385*LTP3!$D$4/k_n</f>
        <v/>
      </c>
      <c r="V4385">
        <f>O4385-H4385*LTP3!$D$4/k_n</f>
        <v/>
      </c>
      <c r="W4385">
        <f>((LTP3!$D$5)*((P4385)*(Q4385)-(R4385)*(R4385))-(S4385)*((S4385)*(Q4385)-(R4385)*(T4385))+(T4385)*((S4385)*(R4385)-(P4385)*(T4385)))</f>
        <v/>
      </c>
      <c r="X4385">
        <f>IF(ABS(W4385)&gt;1E-12,((LTP3!$D$6)*((P4385)*(Q4385)-(R4385)*(R4385))-(S4385)*((U4385)*(Q4385)-(R4385)*(V4385))+(T4385)*((U4385)*(R4385)-(P4385)*(V4385)))/W4385,0)</f>
        <v/>
      </c>
      <c r="Y4385">
        <f>IF(ABS(W4385)&gt;1E-12,((LTP3!$D$5)*((U4385)*(Q4385)-(R4385)*(V4385))-(LTP3!$D$6)*((S4385)*(Q4385)-(R4385)*(T4385))+(T4385)*((S4385)*(V4385)-(U4385)*(T4385)))/W4385,0)</f>
        <v/>
      </c>
      <c r="Z4385">
        <f>IF(ABS(W4385)&gt;1E-12,((LTP3!$D$5)*((P4385)*(V4385)-(U4385)*(R4385))-(S4385)*((S4385)*(V4385)-(U4385)*(T4385))+(LTP3!$D$6)*((S4385)*(R4385)-(P4385)*(T4385)))/W4385,0)</f>
        <v/>
      </c>
      <c r="AA4385">
        <f>LTP3!$D$7-X4385*LTP3!$D$6-Y4385*U4385-Z4385*V4385</f>
        <v/>
      </c>
      <c r="AB4385">
        <f>IF(AND(F4385,ABS(W4385)&gt;1E-12,Y4385&gt;0,Z4385&gt;0),AA4385,1E+300)</f>
        <v/>
      </c>
    </row>
    <row r="4386">
      <c r="A4386">
        <f>$I$4-$B$5/10+$B$5*9/100</f>
        <v/>
      </c>
      <c r="B4386">
        <f>$J$4-$B$5/10+$B$5*17/100</f>
        <v/>
      </c>
      <c r="C4386">
        <f>SUMPRODUCT(Calc!$K$3:$K$22*(Calc!$G$3:$G$22&lt;=A4386))</f>
        <v/>
      </c>
      <c r="D4386">
        <f>SUMPRODUCT(Calc!$K$3:$K$22*(Calc!$G$3:$G$22&gt;A4386)*(Calc!$G$3:$G$22&lt;B4386))</f>
        <v/>
      </c>
      <c r="E4386">
        <f>SUMPRODUCT(Calc!$K$3:$K$22*(Calc!$G$3:$G$22&gt;=B4386))</f>
        <v/>
      </c>
      <c r="F4386">
        <f>AND(k_n&gt;=5,B4386&gt;A4386+1E-9,C4386&gt;=2,D4386&gt;=1,E4386&gt;=2)</f>
        <v/>
      </c>
      <c r="G4386">
        <f>SUMPRODUCT(Calc!$K$3:$K$22*(Calc!$G$3:$G$22&gt;A4386)*(Calc!$G$3:$G$22-A4386))</f>
        <v/>
      </c>
      <c r="H4386">
        <f>SUMPRODUCT(Calc!$K$3:$K$22*(Calc!$G$3:$G$22&gt;B4386)*(Calc!$G$3:$G$22-B4386))</f>
        <v/>
      </c>
      <c r="I4386">
        <f>SUMPRODUCT(Calc!$K$3:$K$22*(Calc!$G$3:$G$22&gt;A4386)*(Calc!$G$3:$G$22-A4386)^2)</f>
        <v/>
      </c>
      <c r="J4386">
        <f>SUMPRODUCT(Calc!$K$3:$K$22*(Calc!$G$3:$G$22&gt;B4386)*(Calc!$G$3:$G$22-B4386)^2)</f>
        <v/>
      </c>
      <c r="K4386">
        <f>SUMPRODUCT(Calc!$K$3:$K$22*(Calc!$G$3:$G$22&gt;A4386)*(Calc!$G$3:$G$22-A4386)*(Calc!$G$3:$G$22&gt;B4386)*(Calc!$G$3:$G$22-B4386))</f>
        <v/>
      </c>
      <c r="L4386">
        <f>SUMPRODUCT(Calc!$K$3:$K$22*(Calc!$G$3:$G$22&gt;A4386)*(Calc!$G$3:$G$22-A4386)*Calc!$G$3:$G$22)</f>
        <v/>
      </c>
      <c r="M4386">
        <f>SUMPRODUCT(Calc!$K$3:$K$22*(Calc!$G$3:$G$22&gt;B4386)*(Calc!$G$3:$G$22-B4386)*Calc!$G$3:$G$22)</f>
        <v/>
      </c>
      <c r="N4386">
        <f>SUMPRODUCT(Calc!$K$3:$K$22*(Calc!$G$3:$G$22&gt;A4386)*(Calc!$G$3:$G$22-A4386)*Calc!$I$3:$I$22)</f>
        <v/>
      </c>
      <c r="O4386">
        <f>SUMPRODUCT(Calc!$K$3:$K$22*(Calc!$G$3:$G$22&gt;B4386)*(Calc!$G$3:$G$22-B4386)*Calc!$I$3:$I$22)</f>
        <v/>
      </c>
      <c r="P4386">
        <f>I4386-G4386^2/k_n</f>
        <v/>
      </c>
      <c r="Q4386">
        <f>J4386-H4386^2/k_n</f>
        <v/>
      </c>
      <c r="R4386">
        <f>K4386-G4386*H4386/k_n</f>
        <v/>
      </c>
      <c r="S4386">
        <f>L4386-LTP3!$D$3*G4386/k_n</f>
        <v/>
      </c>
      <c r="T4386">
        <f>M4386-LTP3!$D$3*H4386/k_n</f>
        <v/>
      </c>
      <c r="U4386">
        <f>N4386-G4386*LTP3!$D$4/k_n</f>
        <v/>
      </c>
      <c r="V4386">
        <f>O4386-H4386*LTP3!$D$4/k_n</f>
        <v/>
      </c>
      <c r="W4386">
        <f>((LTP3!$D$5)*((P4386)*(Q4386)-(R4386)*(R4386))-(S4386)*((S4386)*(Q4386)-(R4386)*(T4386))+(T4386)*((S4386)*(R4386)-(P4386)*(T4386)))</f>
        <v/>
      </c>
      <c r="X4386">
        <f>IF(ABS(W4386)&gt;1E-12,((LTP3!$D$6)*((P4386)*(Q4386)-(R4386)*(R4386))-(S4386)*((U4386)*(Q4386)-(R4386)*(V4386))+(T4386)*((U4386)*(R4386)-(P4386)*(V4386)))/W4386,0)</f>
        <v/>
      </c>
      <c r="Y4386">
        <f>IF(ABS(W4386)&gt;1E-12,((LTP3!$D$5)*((U4386)*(Q4386)-(R4386)*(V4386))-(LTP3!$D$6)*((S4386)*(Q4386)-(R4386)*(T4386))+(T4386)*((S4386)*(V4386)-(U4386)*(T4386)))/W4386,0)</f>
        <v/>
      </c>
      <c r="Z4386">
        <f>IF(ABS(W4386)&gt;1E-12,((LTP3!$D$5)*((P4386)*(V4386)-(U4386)*(R4386))-(S4386)*((S4386)*(V4386)-(U4386)*(T4386))+(LTP3!$D$6)*((S4386)*(R4386)-(P4386)*(T4386)))/W4386,0)</f>
        <v/>
      </c>
      <c r="AA4386">
        <f>LTP3!$D$7-X4386*LTP3!$D$6-Y4386*U4386-Z4386*V4386</f>
        <v/>
      </c>
      <c r="AB4386">
        <f>IF(AND(F4386,ABS(W4386)&gt;1E-12,Y4386&gt;0,Z4386&gt;0),AA4386,1E+300)</f>
        <v/>
      </c>
    </row>
    <row r="4387">
      <c r="A4387">
        <f>$I$4-$B$5/10+$B$5*9/100</f>
        <v/>
      </c>
      <c r="B4387">
        <f>$J$4-$B$5/10+$B$5*18/100</f>
        <v/>
      </c>
      <c r="C4387">
        <f>SUMPRODUCT(Calc!$K$3:$K$22*(Calc!$G$3:$G$22&lt;=A4387))</f>
        <v/>
      </c>
      <c r="D4387">
        <f>SUMPRODUCT(Calc!$K$3:$K$22*(Calc!$G$3:$G$22&gt;A4387)*(Calc!$G$3:$G$22&lt;B4387))</f>
        <v/>
      </c>
      <c r="E4387">
        <f>SUMPRODUCT(Calc!$K$3:$K$22*(Calc!$G$3:$G$22&gt;=B4387))</f>
        <v/>
      </c>
      <c r="F4387">
        <f>AND(k_n&gt;=5,B4387&gt;A4387+1E-9,C4387&gt;=2,D4387&gt;=1,E4387&gt;=2)</f>
        <v/>
      </c>
      <c r="G4387">
        <f>SUMPRODUCT(Calc!$K$3:$K$22*(Calc!$G$3:$G$22&gt;A4387)*(Calc!$G$3:$G$22-A4387))</f>
        <v/>
      </c>
      <c r="H4387">
        <f>SUMPRODUCT(Calc!$K$3:$K$22*(Calc!$G$3:$G$22&gt;B4387)*(Calc!$G$3:$G$22-B4387))</f>
        <v/>
      </c>
      <c r="I4387">
        <f>SUMPRODUCT(Calc!$K$3:$K$22*(Calc!$G$3:$G$22&gt;A4387)*(Calc!$G$3:$G$22-A4387)^2)</f>
        <v/>
      </c>
      <c r="J4387">
        <f>SUMPRODUCT(Calc!$K$3:$K$22*(Calc!$G$3:$G$22&gt;B4387)*(Calc!$G$3:$G$22-B4387)^2)</f>
        <v/>
      </c>
      <c r="K4387">
        <f>SUMPRODUCT(Calc!$K$3:$K$22*(Calc!$G$3:$G$22&gt;A4387)*(Calc!$G$3:$G$22-A4387)*(Calc!$G$3:$G$22&gt;B4387)*(Calc!$G$3:$G$22-B4387))</f>
        <v/>
      </c>
      <c r="L4387">
        <f>SUMPRODUCT(Calc!$K$3:$K$22*(Calc!$G$3:$G$22&gt;A4387)*(Calc!$G$3:$G$22-A4387)*Calc!$G$3:$G$22)</f>
        <v/>
      </c>
      <c r="M4387">
        <f>SUMPRODUCT(Calc!$K$3:$K$22*(Calc!$G$3:$G$22&gt;B4387)*(Calc!$G$3:$G$22-B4387)*Calc!$G$3:$G$22)</f>
        <v/>
      </c>
      <c r="N4387">
        <f>SUMPRODUCT(Calc!$K$3:$K$22*(Calc!$G$3:$G$22&gt;A4387)*(Calc!$G$3:$G$22-A4387)*Calc!$I$3:$I$22)</f>
        <v/>
      </c>
      <c r="O4387">
        <f>SUMPRODUCT(Calc!$K$3:$K$22*(Calc!$G$3:$G$22&gt;B4387)*(Calc!$G$3:$G$22-B4387)*Calc!$I$3:$I$22)</f>
        <v/>
      </c>
      <c r="P4387">
        <f>I4387-G4387^2/k_n</f>
        <v/>
      </c>
      <c r="Q4387">
        <f>J4387-H4387^2/k_n</f>
        <v/>
      </c>
      <c r="R4387">
        <f>K4387-G4387*H4387/k_n</f>
        <v/>
      </c>
      <c r="S4387">
        <f>L4387-LTP3!$D$3*G4387/k_n</f>
        <v/>
      </c>
      <c r="T4387">
        <f>M4387-LTP3!$D$3*H4387/k_n</f>
        <v/>
      </c>
      <c r="U4387">
        <f>N4387-G4387*LTP3!$D$4/k_n</f>
        <v/>
      </c>
      <c r="V4387">
        <f>O4387-H4387*LTP3!$D$4/k_n</f>
        <v/>
      </c>
      <c r="W4387">
        <f>((LTP3!$D$5)*((P4387)*(Q4387)-(R4387)*(R4387))-(S4387)*((S4387)*(Q4387)-(R4387)*(T4387))+(T4387)*((S4387)*(R4387)-(P4387)*(T4387)))</f>
        <v/>
      </c>
      <c r="X4387">
        <f>IF(ABS(W4387)&gt;1E-12,((LTP3!$D$6)*((P4387)*(Q4387)-(R4387)*(R4387))-(S4387)*((U4387)*(Q4387)-(R4387)*(V4387))+(T4387)*((U4387)*(R4387)-(P4387)*(V4387)))/W4387,0)</f>
        <v/>
      </c>
      <c r="Y4387">
        <f>IF(ABS(W4387)&gt;1E-12,((LTP3!$D$5)*((U4387)*(Q4387)-(R4387)*(V4387))-(LTP3!$D$6)*((S4387)*(Q4387)-(R4387)*(T4387))+(T4387)*((S4387)*(V4387)-(U4387)*(T4387)))/W4387,0)</f>
        <v/>
      </c>
      <c r="Z4387">
        <f>IF(ABS(W4387)&gt;1E-12,((LTP3!$D$5)*((P4387)*(V4387)-(U4387)*(R4387))-(S4387)*((S4387)*(V4387)-(U4387)*(T4387))+(LTP3!$D$6)*((S4387)*(R4387)-(P4387)*(T4387)))/W4387,0)</f>
        <v/>
      </c>
      <c r="AA4387">
        <f>LTP3!$D$7-X4387*LTP3!$D$6-Y4387*U4387-Z4387*V4387</f>
        <v/>
      </c>
      <c r="AB4387">
        <f>IF(AND(F4387,ABS(W4387)&gt;1E-12,Y4387&gt;0,Z4387&gt;0),AA4387,1E+300)</f>
        <v/>
      </c>
    </row>
    <row r="4388">
      <c r="A4388">
        <f>$I$4-$B$5/10+$B$5*9/100</f>
        <v/>
      </c>
      <c r="B4388">
        <f>$J$4-$B$5/10+$B$5*19/100</f>
        <v/>
      </c>
      <c r="C4388">
        <f>SUMPRODUCT(Calc!$K$3:$K$22*(Calc!$G$3:$G$22&lt;=A4388))</f>
        <v/>
      </c>
      <c r="D4388">
        <f>SUMPRODUCT(Calc!$K$3:$K$22*(Calc!$G$3:$G$22&gt;A4388)*(Calc!$G$3:$G$22&lt;B4388))</f>
        <v/>
      </c>
      <c r="E4388">
        <f>SUMPRODUCT(Calc!$K$3:$K$22*(Calc!$G$3:$G$22&gt;=B4388))</f>
        <v/>
      </c>
      <c r="F4388">
        <f>AND(k_n&gt;=5,B4388&gt;A4388+1E-9,C4388&gt;=2,D4388&gt;=1,E4388&gt;=2)</f>
        <v/>
      </c>
      <c r="G4388">
        <f>SUMPRODUCT(Calc!$K$3:$K$22*(Calc!$G$3:$G$22&gt;A4388)*(Calc!$G$3:$G$22-A4388))</f>
        <v/>
      </c>
      <c r="H4388">
        <f>SUMPRODUCT(Calc!$K$3:$K$22*(Calc!$G$3:$G$22&gt;B4388)*(Calc!$G$3:$G$22-B4388))</f>
        <v/>
      </c>
      <c r="I4388">
        <f>SUMPRODUCT(Calc!$K$3:$K$22*(Calc!$G$3:$G$22&gt;A4388)*(Calc!$G$3:$G$22-A4388)^2)</f>
        <v/>
      </c>
      <c r="J4388">
        <f>SUMPRODUCT(Calc!$K$3:$K$22*(Calc!$G$3:$G$22&gt;B4388)*(Calc!$G$3:$G$22-B4388)^2)</f>
        <v/>
      </c>
      <c r="K4388">
        <f>SUMPRODUCT(Calc!$K$3:$K$22*(Calc!$G$3:$G$22&gt;A4388)*(Calc!$G$3:$G$22-A4388)*(Calc!$G$3:$G$22&gt;B4388)*(Calc!$G$3:$G$22-B4388))</f>
        <v/>
      </c>
      <c r="L4388">
        <f>SUMPRODUCT(Calc!$K$3:$K$22*(Calc!$G$3:$G$22&gt;A4388)*(Calc!$G$3:$G$22-A4388)*Calc!$G$3:$G$22)</f>
        <v/>
      </c>
      <c r="M4388">
        <f>SUMPRODUCT(Calc!$K$3:$K$22*(Calc!$G$3:$G$22&gt;B4388)*(Calc!$G$3:$G$22-B4388)*Calc!$G$3:$G$22)</f>
        <v/>
      </c>
      <c r="N4388">
        <f>SUMPRODUCT(Calc!$K$3:$K$22*(Calc!$G$3:$G$22&gt;A4388)*(Calc!$G$3:$G$22-A4388)*Calc!$I$3:$I$22)</f>
        <v/>
      </c>
      <c r="O4388">
        <f>SUMPRODUCT(Calc!$K$3:$K$22*(Calc!$G$3:$G$22&gt;B4388)*(Calc!$G$3:$G$22-B4388)*Calc!$I$3:$I$22)</f>
        <v/>
      </c>
      <c r="P4388">
        <f>I4388-G4388^2/k_n</f>
        <v/>
      </c>
      <c r="Q4388">
        <f>J4388-H4388^2/k_n</f>
        <v/>
      </c>
      <c r="R4388">
        <f>K4388-G4388*H4388/k_n</f>
        <v/>
      </c>
      <c r="S4388">
        <f>L4388-LTP3!$D$3*G4388/k_n</f>
        <v/>
      </c>
      <c r="T4388">
        <f>M4388-LTP3!$D$3*H4388/k_n</f>
        <v/>
      </c>
      <c r="U4388">
        <f>N4388-G4388*LTP3!$D$4/k_n</f>
        <v/>
      </c>
      <c r="V4388">
        <f>O4388-H4388*LTP3!$D$4/k_n</f>
        <v/>
      </c>
      <c r="W4388">
        <f>((LTP3!$D$5)*((P4388)*(Q4388)-(R4388)*(R4388))-(S4388)*((S4388)*(Q4388)-(R4388)*(T4388))+(T4388)*((S4388)*(R4388)-(P4388)*(T4388)))</f>
        <v/>
      </c>
      <c r="X4388">
        <f>IF(ABS(W4388)&gt;1E-12,((LTP3!$D$6)*((P4388)*(Q4388)-(R4388)*(R4388))-(S4388)*((U4388)*(Q4388)-(R4388)*(V4388))+(T4388)*((U4388)*(R4388)-(P4388)*(V4388)))/W4388,0)</f>
        <v/>
      </c>
      <c r="Y4388">
        <f>IF(ABS(W4388)&gt;1E-12,((LTP3!$D$5)*((U4388)*(Q4388)-(R4388)*(V4388))-(LTP3!$D$6)*((S4388)*(Q4388)-(R4388)*(T4388))+(T4388)*((S4388)*(V4388)-(U4388)*(T4388)))/W4388,0)</f>
        <v/>
      </c>
      <c r="Z4388">
        <f>IF(ABS(W4388)&gt;1E-12,((LTP3!$D$5)*((P4388)*(V4388)-(U4388)*(R4388))-(S4388)*((S4388)*(V4388)-(U4388)*(T4388))+(LTP3!$D$6)*((S4388)*(R4388)-(P4388)*(T4388)))/W4388,0)</f>
        <v/>
      </c>
      <c r="AA4388">
        <f>LTP3!$D$7-X4388*LTP3!$D$6-Y4388*U4388-Z4388*V4388</f>
        <v/>
      </c>
      <c r="AB4388">
        <f>IF(AND(F4388,ABS(W4388)&gt;1E-12,Y4388&gt;0,Z4388&gt;0),AA4388,1E+300)</f>
        <v/>
      </c>
    </row>
    <row r="4389">
      <c r="A4389">
        <f>$I$4-$B$5/10+$B$5*9/100</f>
        <v/>
      </c>
      <c r="B4389">
        <f>$J$4-$B$5/10+$B$5*20/100</f>
        <v/>
      </c>
      <c r="C4389">
        <f>SUMPRODUCT(Calc!$K$3:$K$22*(Calc!$G$3:$G$22&lt;=A4389))</f>
        <v/>
      </c>
      <c r="D4389">
        <f>SUMPRODUCT(Calc!$K$3:$K$22*(Calc!$G$3:$G$22&gt;A4389)*(Calc!$G$3:$G$22&lt;B4389))</f>
        <v/>
      </c>
      <c r="E4389">
        <f>SUMPRODUCT(Calc!$K$3:$K$22*(Calc!$G$3:$G$22&gt;=B4389))</f>
        <v/>
      </c>
      <c r="F4389">
        <f>AND(k_n&gt;=5,B4389&gt;A4389+1E-9,C4389&gt;=2,D4389&gt;=1,E4389&gt;=2)</f>
        <v/>
      </c>
      <c r="G4389">
        <f>SUMPRODUCT(Calc!$K$3:$K$22*(Calc!$G$3:$G$22&gt;A4389)*(Calc!$G$3:$G$22-A4389))</f>
        <v/>
      </c>
      <c r="H4389">
        <f>SUMPRODUCT(Calc!$K$3:$K$22*(Calc!$G$3:$G$22&gt;B4389)*(Calc!$G$3:$G$22-B4389))</f>
        <v/>
      </c>
      <c r="I4389">
        <f>SUMPRODUCT(Calc!$K$3:$K$22*(Calc!$G$3:$G$22&gt;A4389)*(Calc!$G$3:$G$22-A4389)^2)</f>
        <v/>
      </c>
      <c r="J4389">
        <f>SUMPRODUCT(Calc!$K$3:$K$22*(Calc!$G$3:$G$22&gt;B4389)*(Calc!$G$3:$G$22-B4389)^2)</f>
        <v/>
      </c>
      <c r="K4389">
        <f>SUMPRODUCT(Calc!$K$3:$K$22*(Calc!$G$3:$G$22&gt;A4389)*(Calc!$G$3:$G$22-A4389)*(Calc!$G$3:$G$22&gt;B4389)*(Calc!$G$3:$G$22-B4389))</f>
        <v/>
      </c>
      <c r="L4389">
        <f>SUMPRODUCT(Calc!$K$3:$K$22*(Calc!$G$3:$G$22&gt;A4389)*(Calc!$G$3:$G$22-A4389)*Calc!$G$3:$G$22)</f>
        <v/>
      </c>
      <c r="M4389">
        <f>SUMPRODUCT(Calc!$K$3:$K$22*(Calc!$G$3:$G$22&gt;B4389)*(Calc!$G$3:$G$22-B4389)*Calc!$G$3:$G$22)</f>
        <v/>
      </c>
      <c r="N4389">
        <f>SUMPRODUCT(Calc!$K$3:$K$22*(Calc!$G$3:$G$22&gt;A4389)*(Calc!$G$3:$G$22-A4389)*Calc!$I$3:$I$22)</f>
        <v/>
      </c>
      <c r="O4389">
        <f>SUMPRODUCT(Calc!$K$3:$K$22*(Calc!$G$3:$G$22&gt;B4389)*(Calc!$G$3:$G$22-B4389)*Calc!$I$3:$I$22)</f>
        <v/>
      </c>
      <c r="P4389">
        <f>I4389-G4389^2/k_n</f>
        <v/>
      </c>
      <c r="Q4389">
        <f>J4389-H4389^2/k_n</f>
        <v/>
      </c>
      <c r="R4389">
        <f>K4389-G4389*H4389/k_n</f>
        <v/>
      </c>
      <c r="S4389">
        <f>L4389-LTP3!$D$3*G4389/k_n</f>
        <v/>
      </c>
      <c r="T4389">
        <f>M4389-LTP3!$D$3*H4389/k_n</f>
        <v/>
      </c>
      <c r="U4389">
        <f>N4389-G4389*LTP3!$D$4/k_n</f>
        <v/>
      </c>
      <c r="V4389">
        <f>O4389-H4389*LTP3!$D$4/k_n</f>
        <v/>
      </c>
      <c r="W4389">
        <f>((LTP3!$D$5)*((P4389)*(Q4389)-(R4389)*(R4389))-(S4389)*((S4389)*(Q4389)-(R4389)*(T4389))+(T4389)*((S4389)*(R4389)-(P4389)*(T4389)))</f>
        <v/>
      </c>
      <c r="X4389">
        <f>IF(ABS(W4389)&gt;1E-12,((LTP3!$D$6)*((P4389)*(Q4389)-(R4389)*(R4389))-(S4389)*((U4389)*(Q4389)-(R4389)*(V4389))+(T4389)*((U4389)*(R4389)-(P4389)*(V4389)))/W4389,0)</f>
        <v/>
      </c>
      <c r="Y4389">
        <f>IF(ABS(W4389)&gt;1E-12,((LTP3!$D$5)*((U4389)*(Q4389)-(R4389)*(V4389))-(LTP3!$D$6)*((S4389)*(Q4389)-(R4389)*(T4389))+(T4389)*((S4389)*(V4389)-(U4389)*(T4389)))/W4389,0)</f>
        <v/>
      </c>
      <c r="Z4389">
        <f>IF(ABS(W4389)&gt;1E-12,((LTP3!$D$5)*((P4389)*(V4389)-(U4389)*(R4389))-(S4389)*((S4389)*(V4389)-(U4389)*(T4389))+(LTP3!$D$6)*((S4389)*(R4389)-(P4389)*(T4389)))/W4389,0)</f>
        <v/>
      </c>
      <c r="AA4389">
        <f>LTP3!$D$7-X4389*LTP3!$D$6-Y4389*U4389-Z4389*V4389</f>
        <v/>
      </c>
      <c r="AB4389">
        <f>IF(AND(F4389,ABS(W4389)&gt;1E-12,Y4389&gt;0,Z4389&gt;0),AA4389,1E+300)</f>
        <v/>
      </c>
    </row>
    <row r="4390">
      <c r="A4390">
        <f>$I$4-$B$5/10+$B$5*10/100</f>
        <v/>
      </c>
      <c r="B4390">
        <f>$J$4-$B$5/10+$B$5*0/100</f>
        <v/>
      </c>
      <c r="C4390">
        <f>SUMPRODUCT(Calc!$K$3:$K$22*(Calc!$G$3:$G$22&lt;=A4390))</f>
        <v/>
      </c>
      <c r="D4390">
        <f>SUMPRODUCT(Calc!$K$3:$K$22*(Calc!$G$3:$G$22&gt;A4390)*(Calc!$G$3:$G$22&lt;B4390))</f>
        <v/>
      </c>
      <c r="E4390">
        <f>SUMPRODUCT(Calc!$K$3:$K$22*(Calc!$G$3:$G$22&gt;=B4390))</f>
        <v/>
      </c>
      <c r="F4390">
        <f>AND(k_n&gt;=5,B4390&gt;A4390+1E-9,C4390&gt;=2,D4390&gt;=1,E4390&gt;=2)</f>
        <v/>
      </c>
      <c r="G4390">
        <f>SUMPRODUCT(Calc!$K$3:$K$22*(Calc!$G$3:$G$22&gt;A4390)*(Calc!$G$3:$G$22-A4390))</f>
        <v/>
      </c>
      <c r="H4390">
        <f>SUMPRODUCT(Calc!$K$3:$K$22*(Calc!$G$3:$G$22&gt;B4390)*(Calc!$G$3:$G$22-B4390))</f>
        <v/>
      </c>
      <c r="I4390">
        <f>SUMPRODUCT(Calc!$K$3:$K$22*(Calc!$G$3:$G$22&gt;A4390)*(Calc!$G$3:$G$22-A4390)^2)</f>
        <v/>
      </c>
      <c r="J4390">
        <f>SUMPRODUCT(Calc!$K$3:$K$22*(Calc!$G$3:$G$22&gt;B4390)*(Calc!$G$3:$G$22-B4390)^2)</f>
        <v/>
      </c>
      <c r="K4390">
        <f>SUMPRODUCT(Calc!$K$3:$K$22*(Calc!$G$3:$G$22&gt;A4390)*(Calc!$G$3:$G$22-A4390)*(Calc!$G$3:$G$22&gt;B4390)*(Calc!$G$3:$G$22-B4390))</f>
        <v/>
      </c>
      <c r="L4390">
        <f>SUMPRODUCT(Calc!$K$3:$K$22*(Calc!$G$3:$G$22&gt;A4390)*(Calc!$G$3:$G$22-A4390)*Calc!$G$3:$G$22)</f>
        <v/>
      </c>
      <c r="M4390">
        <f>SUMPRODUCT(Calc!$K$3:$K$22*(Calc!$G$3:$G$22&gt;B4390)*(Calc!$G$3:$G$22-B4390)*Calc!$G$3:$G$22)</f>
        <v/>
      </c>
      <c r="N4390">
        <f>SUMPRODUCT(Calc!$K$3:$K$22*(Calc!$G$3:$G$22&gt;A4390)*(Calc!$G$3:$G$22-A4390)*Calc!$I$3:$I$22)</f>
        <v/>
      </c>
      <c r="O4390">
        <f>SUMPRODUCT(Calc!$K$3:$K$22*(Calc!$G$3:$G$22&gt;B4390)*(Calc!$G$3:$G$22-B4390)*Calc!$I$3:$I$22)</f>
        <v/>
      </c>
      <c r="P4390">
        <f>I4390-G4390^2/k_n</f>
        <v/>
      </c>
      <c r="Q4390">
        <f>J4390-H4390^2/k_n</f>
        <v/>
      </c>
      <c r="R4390">
        <f>K4390-G4390*H4390/k_n</f>
        <v/>
      </c>
      <c r="S4390">
        <f>L4390-LTP3!$D$3*G4390/k_n</f>
        <v/>
      </c>
      <c r="T4390">
        <f>M4390-LTP3!$D$3*H4390/k_n</f>
        <v/>
      </c>
      <c r="U4390">
        <f>N4390-G4390*LTP3!$D$4/k_n</f>
        <v/>
      </c>
      <c r="V4390">
        <f>O4390-H4390*LTP3!$D$4/k_n</f>
        <v/>
      </c>
      <c r="W4390">
        <f>((LTP3!$D$5)*((P4390)*(Q4390)-(R4390)*(R4390))-(S4390)*((S4390)*(Q4390)-(R4390)*(T4390))+(T4390)*((S4390)*(R4390)-(P4390)*(T4390)))</f>
        <v/>
      </c>
      <c r="X4390">
        <f>IF(ABS(W4390)&gt;1E-12,((LTP3!$D$6)*((P4390)*(Q4390)-(R4390)*(R4390))-(S4390)*((U4390)*(Q4390)-(R4390)*(V4390))+(T4390)*((U4390)*(R4390)-(P4390)*(V4390)))/W4390,0)</f>
        <v/>
      </c>
      <c r="Y4390">
        <f>IF(ABS(W4390)&gt;1E-12,((LTP3!$D$5)*((U4390)*(Q4390)-(R4390)*(V4390))-(LTP3!$D$6)*((S4390)*(Q4390)-(R4390)*(T4390))+(T4390)*((S4390)*(V4390)-(U4390)*(T4390)))/W4390,0)</f>
        <v/>
      </c>
      <c r="Z4390">
        <f>IF(ABS(W4390)&gt;1E-12,((LTP3!$D$5)*((P4390)*(V4390)-(U4390)*(R4390))-(S4390)*((S4390)*(V4390)-(U4390)*(T4390))+(LTP3!$D$6)*((S4390)*(R4390)-(P4390)*(T4390)))/W4390,0)</f>
        <v/>
      </c>
      <c r="AA4390">
        <f>LTP3!$D$7-X4390*LTP3!$D$6-Y4390*U4390-Z4390*V4390</f>
        <v/>
      </c>
      <c r="AB4390">
        <f>IF(AND(F4390,ABS(W4390)&gt;1E-12,Y4390&gt;0,Z4390&gt;0),AA4390,1E+300)</f>
        <v/>
      </c>
    </row>
    <row r="4391">
      <c r="A4391">
        <f>$I$4-$B$5/10+$B$5*10/100</f>
        <v/>
      </c>
      <c r="B4391">
        <f>$J$4-$B$5/10+$B$5*1/100</f>
        <v/>
      </c>
      <c r="C4391">
        <f>SUMPRODUCT(Calc!$K$3:$K$22*(Calc!$G$3:$G$22&lt;=A4391))</f>
        <v/>
      </c>
      <c r="D4391">
        <f>SUMPRODUCT(Calc!$K$3:$K$22*(Calc!$G$3:$G$22&gt;A4391)*(Calc!$G$3:$G$22&lt;B4391))</f>
        <v/>
      </c>
      <c r="E4391">
        <f>SUMPRODUCT(Calc!$K$3:$K$22*(Calc!$G$3:$G$22&gt;=B4391))</f>
        <v/>
      </c>
      <c r="F4391">
        <f>AND(k_n&gt;=5,B4391&gt;A4391+1E-9,C4391&gt;=2,D4391&gt;=1,E4391&gt;=2)</f>
        <v/>
      </c>
      <c r="G4391">
        <f>SUMPRODUCT(Calc!$K$3:$K$22*(Calc!$G$3:$G$22&gt;A4391)*(Calc!$G$3:$G$22-A4391))</f>
        <v/>
      </c>
      <c r="H4391">
        <f>SUMPRODUCT(Calc!$K$3:$K$22*(Calc!$G$3:$G$22&gt;B4391)*(Calc!$G$3:$G$22-B4391))</f>
        <v/>
      </c>
      <c r="I4391">
        <f>SUMPRODUCT(Calc!$K$3:$K$22*(Calc!$G$3:$G$22&gt;A4391)*(Calc!$G$3:$G$22-A4391)^2)</f>
        <v/>
      </c>
      <c r="J4391">
        <f>SUMPRODUCT(Calc!$K$3:$K$22*(Calc!$G$3:$G$22&gt;B4391)*(Calc!$G$3:$G$22-B4391)^2)</f>
        <v/>
      </c>
      <c r="K4391">
        <f>SUMPRODUCT(Calc!$K$3:$K$22*(Calc!$G$3:$G$22&gt;A4391)*(Calc!$G$3:$G$22-A4391)*(Calc!$G$3:$G$22&gt;B4391)*(Calc!$G$3:$G$22-B4391))</f>
        <v/>
      </c>
      <c r="L4391">
        <f>SUMPRODUCT(Calc!$K$3:$K$22*(Calc!$G$3:$G$22&gt;A4391)*(Calc!$G$3:$G$22-A4391)*Calc!$G$3:$G$22)</f>
        <v/>
      </c>
      <c r="M4391">
        <f>SUMPRODUCT(Calc!$K$3:$K$22*(Calc!$G$3:$G$22&gt;B4391)*(Calc!$G$3:$G$22-B4391)*Calc!$G$3:$G$22)</f>
        <v/>
      </c>
      <c r="N4391">
        <f>SUMPRODUCT(Calc!$K$3:$K$22*(Calc!$G$3:$G$22&gt;A4391)*(Calc!$G$3:$G$22-A4391)*Calc!$I$3:$I$22)</f>
        <v/>
      </c>
      <c r="O4391">
        <f>SUMPRODUCT(Calc!$K$3:$K$22*(Calc!$G$3:$G$22&gt;B4391)*(Calc!$G$3:$G$22-B4391)*Calc!$I$3:$I$22)</f>
        <v/>
      </c>
      <c r="P4391">
        <f>I4391-G4391^2/k_n</f>
        <v/>
      </c>
      <c r="Q4391">
        <f>J4391-H4391^2/k_n</f>
        <v/>
      </c>
      <c r="R4391">
        <f>K4391-G4391*H4391/k_n</f>
        <v/>
      </c>
      <c r="S4391">
        <f>L4391-LTP3!$D$3*G4391/k_n</f>
        <v/>
      </c>
      <c r="T4391">
        <f>M4391-LTP3!$D$3*H4391/k_n</f>
        <v/>
      </c>
      <c r="U4391">
        <f>N4391-G4391*LTP3!$D$4/k_n</f>
        <v/>
      </c>
      <c r="V4391">
        <f>O4391-H4391*LTP3!$D$4/k_n</f>
        <v/>
      </c>
      <c r="W4391">
        <f>((LTP3!$D$5)*((P4391)*(Q4391)-(R4391)*(R4391))-(S4391)*((S4391)*(Q4391)-(R4391)*(T4391))+(T4391)*((S4391)*(R4391)-(P4391)*(T4391)))</f>
        <v/>
      </c>
      <c r="X4391">
        <f>IF(ABS(W4391)&gt;1E-12,((LTP3!$D$6)*((P4391)*(Q4391)-(R4391)*(R4391))-(S4391)*((U4391)*(Q4391)-(R4391)*(V4391))+(T4391)*((U4391)*(R4391)-(P4391)*(V4391)))/W4391,0)</f>
        <v/>
      </c>
      <c r="Y4391">
        <f>IF(ABS(W4391)&gt;1E-12,((LTP3!$D$5)*((U4391)*(Q4391)-(R4391)*(V4391))-(LTP3!$D$6)*((S4391)*(Q4391)-(R4391)*(T4391))+(T4391)*((S4391)*(V4391)-(U4391)*(T4391)))/W4391,0)</f>
        <v/>
      </c>
      <c r="Z4391">
        <f>IF(ABS(W4391)&gt;1E-12,((LTP3!$D$5)*((P4391)*(V4391)-(U4391)*(R4391))-(S4391)*((S4391)*(V4391)-(U4391)*(T4391))+(LTP3!$D$6)*((S4391)*(R4391)-(P4391)*(T4391)))/W4391,0)</f>
        <v/>
      </c>
      <c r="AA4391">
        <f>LTP3!$D$7-X4391*LTP3!$D$6-Y4391*U4391-Z4391*V4391</f>
        <v/>
      </c>
      <c r="AB4391">
        <f>IF(AND(F4391,ABS(W4391)&gt;1E-12,Y4391&gt;0,Z4391&gt;0),AA4391,1E+300)</f>
        <v/>
      </c>
    </row>
    <row r="4392">
      <c r="A4392">
        <f>$I$4-$B$5/10+$B$5*10/100</f>
        <v/>
      </c>
      <c r="B4392">
        <f>$J$4-$B$5/10+$B$5*2/100</f>
        <v/>
      </c>
      <c r="C4392">
        <f>SUMPRODUCT(Calc!$K$3:$K$22*(Calc!$G$3:$G$22&lt;=A4392))</f>
        <v/>
      </c>
      <c r="D4392">
        <f>SUMPRODUCT(Calc!$K$3:$K$22*(Calc!$G$3:$G$22&gt;A4392)*(Calc!$G$3:$G$22&lt;B4392))</f>
        <v/>
      </c>
      <c r="E4392">
        <f>SUMPRODUCT(Calc!$K$3:$K$22*(Calc!$G$3:$G$22&gt;=B4392))</f>
        <v/>
      </c>
      <c r="F4392">
        <f>AND(k_n&gt;=5,B4392&gt;A4392+1E-9,C4392&gt;=2,D4392&gt;=1,E4392&gt;=2)</f>
        <v/>
      </c>
      <c r="G4392">
        <f>SUMPRODUCT(Calc!$K$3:$K$22*(Calc!$G$3:$G$22&gt;A4392)*(Calc!$G$3:$G$22-A4392))</f>
        <v/>
      </c>
      <c r="H4392">
        <f>SUMPRODUCT(Calc!$K$3:$K$22*(Calc!$G$3:$G$22&gt;B4392)*(Calc!$G$3:$G$22-B4392))</f>
        <v/>
      </c>
      <c r="I4392">
        <f>SUMPRODUCT(Calc!$K$3:$K$22*(Calc!$G$3:$G$22&gt;A4392)*(Calc!$G$3:$G$22-A4392)^2)</f>
        <v/>
      </c>
      <c r="J4392">
        <f>SUMPRODUCT(Calc!$K$3:$K$22*(Calc!$G$3:$G$22&gt;B4392)*(Calc!$G$3:$G$22-B4392)^2)</f>
        <v/>
      </c>
      <c r="K4392">
        <f>SUMPRODUCT(Calc!$K$3:$K$22*(Calc!$G$3:$G$22&gt;A4392)*(Calc!$G$3:$G$22-A4392)*(Calc!$G$3:$G$22&gt;B4392)*(Calc!$G$3:$G$22-B4392))</f>
        <v/>
      </c>
      <c r="L4392">
        <f>SUMPRODUCT(Calc!$K$3:$K$22*(Calc!$G$3:$G$22&gt;A4392)*(Calc!$G$3:$G$22-A4392)*Calc!$G$3:$G$22)</f>
        <v/>
      </c>
      <c r="M4392">
        <f>SUMPRODUCT(Calc!$K$3:$K$22*(Calc!$G$3:$G$22&gt;B4392)*(Calc!$G$3:$G$22-B4392)*Calc!$G$3:$G$22)</f>
        <v/>
      </c>
      <c r="N4392">
        <f>SUMPRODUCT(Calc!$K$3:$K$22*(Calc!$G$3:$G$22&gt;A4392)*(Calc!$G$3:$G$22-A4392)*Calc!$I$3:$I$22)</f>
        <v/>
      </c>
      <c r="O4392">
        <f>SUMPRODUCT(Calc!$K$3:$K$22*(Calc!$G$3:$G$22&gt;B4392)*(Calc!$G$3:$G$22-B4392)*Calc!$I$3:$I$22)</f>
        <v/>
      </c>
      <c r="P4392">
        <f>I4392-G4392^2/k_n</f>
        <v/>
      </c>
      <c r="Q4392">
        <f>J4392-H4392^2/k_n</f>
        <v/>
      </c>
      <c r="R4392">
        <f>K4392-G4392*H4392/k_n</f>
        <v/>
      </c>
      <c r="S4392">
        <f>L4392-LTP3!$D$3*G4392/k_n</f>
        <v/>
      </c>
      <c r="T4392">
        <f>M4392-LTP3!$D$3*H4392/k_n</f>
        <v/>
      </c>
      <c r="U4392">
        <f>N4392-G4392*LTP3!$D$4/k_n</f>
        <v/>
      </c>
      <c r="V4392">
        <f>O4392-H4392*LTP3!$D$4/k_n</f>
        <v/>
      </c>
      <c r="W4392">
        <f>((LTP3!$D$5)*((P4392)*(Q4392)-(R4392)*(R4392))-(S4392)*((S4392)*(Q4392)-(R4392)*(T4392))+(T4392)*((S4392)*(R4392)-(P4392)*(T4392)))</f>
        <v/>
      </c>
      <c r="X4392">
        <f>IF(ABS(W4392)&gt;1E-12,((LTP3!$D$6)*((P4392)*(Q4392)-(R4392)*(R4392))-(S4392)*((U4392)*(Q4392)-(R4392)*(V4392))+(T4392)*((U4392)*(R4392)-(P4392)*(V4392)))/W4392,0)</f>
        <v/>
      </c>
      <c r="Y4392">
        <f>IF(ABS(W4392)&gt;1E-12,((LTP3!$D$5)*((U4392)*(Q4392)-(R4392)*(V4392))-(LTP3!$D$6)*((S4392)*(Q4392)-(R4392)*(T4392))+(T4392)*((S4392)*(V4392)-(U4392)*(T4392)))/W4392,0)</f>
        <v/>
      </c>
      <c r="Z4392">
        <f>IF(ABS(W4392)&gt;1E-12,((LTP3!$D$5)*((P4392)*(V4392)-(U4392)*(R4392))-(S4392)*((S4392)*(V4392)-(U4392)*(T4392))+(LTP3!$D$6)*((S4392)*(R4392)-(P4392)*(T4392)))/W4392,0)</f>
        <v/>
      </c>
      <c r="AA4392">
        <f>LTP3!$D$7-X4392*LTP3!$D$6-Y4392*U4392-Z4392*V4392</f>
        <v/>
      </c>
      <c r="AB4392">
        <f>IF(AND(F4392,ABS(W4392)&gt;1E-12,Y4392&gt;0,Z4392&gt;0),AA4392,1E+300)</f>
        <v/>
      </c>
    </row>
    <row r="4393">
      <c r="A4393">
        <f>$I$4-$B$5/10+$B$5*10/100</f>
        <v/>
      </c>
      <c r="B4393">
        <f>$J$4-$B$5/10+$B$5*3/100</f>
        <v/>
      </c>
      <c r="C4393">
        <f>SUMPRODUCT(Calc!$K$3:$K$22*(Calc!$G$3:$G$22&lt;=A4393))</f>
        <v/>
      </c>
      <c r="D4393">
        <f>SUMPRODUCT(Calc!$K$3:$K$22*(Calc!$G$3:$G$22&gt;A4393)*(Calc!$G$3:$G$22&lt;B4393))</f>
        <v/>
      </c>
      <c r="E4393">
        <f>SUMPRODUCT(Calc!$K$3:$K$22*(Calc!$G$3:$G$22&gt;=B4393))</f>
        <v/>
      </c>
      <c r="F4393">
        <f>AND(k_n&gt;=5,B4393&gt;A4393+1E-9,C4393&gt;=2,D4393&gt;=1,E4393&gt;=2)</f>
        <v/>
      </c>
      <c r="G4393">
        <f>SUMPRODUCT(Calc!$K$3:$K$22*(Calc!$G$3:$G$22&gt;A4393)*(Calc!$G$3:$G$22-A4393))</f>
        <v/>
      </c>
      <c r="H4393">
        <f>SUMPRODUCT(Calc!$K$3:$K$22*(Calc!$G$3:$G$22&gt;B4393)*(Calc!$G$3:$G$22-B4393))</f>
        <v/>
      </c>
      <c r="I4393">
        <f>SUMPRODUCT(Calc!$K$3:$K$22*(Calc!$G$3:$G$22&gt;A4393)*(Calc!$G$3:$G$22-A4393)^2)</f>
        <v/>
      </c>
      <c r="J4393">
        <f>SUMPRODUCT(Calc!$K$3:$K$22*(Calc!$G$3:$G$22&gt;B4393)*(Calc!$G$3:$G$22-B4393)^2)</f>
        <v/>
      </c>
      <c r="K4393">
        <f>SUMPRODUCT(Calc!$K$3:$K$22*(Calc!$G$3:$G$22&gt;A4393)*(Calc!$G$3:$G$22-A4393)*(Calc!$G$3:$G$22&gt;B4393)*(Calc!$G$3:$G$22-B4393))</f>
        <v/>
      </c>
      <c r="L4393">
        <f>SUMPRODUCT(Calc!$K$3:$K$22*(Calc!$G$3:$G$22&gt;A4393)*(Calc!$G$3:$G$22-A4393)*Calc!$G$3:$G$22)</f>
        <v/>
      </c>
      <c r="M4393">
        <f>SUMPRODUCT(Calc!$K$3:$K$22*(Calc!$G$3:$G$22&gt;B4393)*(Calc!$G$3:$G$22-B4393)*Calc!$G$3:$G$22)</f>
        <v/>
      </c>
      <c r="N4393">
        <f>SUMPRODUCT(Calc!$K$3:$K$22*(Calc!$G$3:$G$22&gt;A4393)*(Calc!$G$3:$G$22-A4393)*Calc!$I$3:$I$22)</f>
        <v/>
      </c>
      <c r="O4393">
        <f>SUMPRODUCT(Calc!$K$3:$K$22*(Calc!$G$3:$G$22&gt;B4393)*(Calc!$G$3:$G$22-B4393)*Calc!$I$3:$I$22)</f>
        <v/>
      </c>
      <c r="P4393">
        <f>I4393-G4393^2/k_n</f>
        <v/>
      </c>
      <c r="Q4393">
        <f>J4393-H4393^2/k_n</f>
        <v/>
      </c>
      <c r="R4393">
        <f>K4393-G4393*H4393/k_n</f>
        <v/>
      </c>
      <c r="S4393">
        <f>L4393-LTP3!$D$3*G4393/k_n</f>
        <v/>
      </c>
      <c r="T4393">
        <f>M4393-LTP3!$D$3*H4393/k_n</f>
        <v/>
      </c>
      <c r="U4393">
        <f>N4393-G4393*LTP3!$D$4/k_n</f>
        <v/>
      </c>
      <c r="V4393">
        <f>O4393-H4393*LTP3!$D$4/k_n</f>
        <v/>
      </c>
      <c r="W4393">
        <f>((LTP3!$D$5)*((P4393)*(Q4393)-(R4393)*(R4393))-(S4393)*((S4393)*(Q4393)-(R4393)*(T4393))+(T4393)*((S4393)*(R4393)-(P4393)*(T4393)))</f>
        <v/>
      </c>
      <c r="X4393">
        <f>IF(ABS(W4393)&gt;1E-12,((LTP3!$D$6)*((P4393)*(Q4393)-(R4393)*(R4393))-(S4393)*((U4393)*(Q4393)-(R4393)*(V4393))+(T4393)*((U4393)*(R4393)-(P4393)*(V4393)))/W4393,0)</f>
        <v/>
      </c>
      <c r="Y4393">
        <f>IF(ABS(W4393)&gt;1E-12,((LTP3!$D$5)*((U4393)*(Q4393)-(R4393)*(V4393))-(LTP3!$D$6)*((S4393)*(Q4393)-(R4393)*(T4393))+(T4393)*((S4393)*(V4393)-(U4393)*(T4393)))/W4393,0)</f>
        <v/>
      </c>
      <c r="Z4393">
        <f>IF(ABS(W4393)&gt;1E-12,((LTP3!$D$5)*((P4393)*(V4393)-(U4393)*(R4393))-(S4393)*((S4393)*(V4393)-(U4393)*(T4393))+(LTP3!$D$6)*((S4393)*(R4393)-(P4393)*(T4393)))/W4393,0)</f>
        <v/>
      </c>
      <c r="AA4393">
        <f>LTP3!$D$7-X4393*LTP3!$D$6-Y4393*U4393-Z4393*V4393</f>
        <v/>
      </c>
      <c r="AB4393">
        <f>IF(AND(F4393,ABS(W4393)&gt;1E-12,Y4393&gt;0,Z4393&gt;0),AA4393,1E+300)</f>
        <v/>
      </c>
    </row>
    <row r="4394">
      <c r="A4394">
        <f>$I$4-$B$5/10+$B$5*10/100</f>
        <v/>
      </c>
      <c r="B4394">
        <f>$J$4-$B$5/10+$B$5*4/100</f>
        <v/>
      </c>
      <c r="C4394">
        <f>SUMPRODUCT(Calc!$K$3:$K$22*(Calc!$G$3:$G$22&lt;=A4394))</f>
        <v/>
      </c>
      <c r="D4394">
        <f>SUMPRODUCT(Calc!$K$3:$K$22*(Calc!$G$3:$G$22&gt;A4394)*(Calc!$G$3:$G$22&lt;B4394))</f>
        <v/>
      </c>
      <c r="E4394">
        <f>SUMPRODUCT(Calc!$K$3:$K$22*(Calc!$G$3:$G$22&gt;=B4394))</f>
        <v/>
      </c>
      <c r="F4394">
        <f>AND(k_n&gt;=5,B4394&gt;A4394+1E-9,C4394&gt;=2,D4394&gt;=1,E4394&gt;=2)</f>
        <v/>
      </c>
      <c r="G4394">
        <f>SUMPRODUCT(Calc!$K$3:$K$22*(Calc!$G$3:$G$22&gt;A4394)*(Calc!$G$3:$G$22-A4394))</f>
        <v/>
      </c>
      <c r="H4394">
        <f>SUMPRODUCT(Calc!$K$3:$K$22*(Calc!$G$3:$G$22&gt;B4394)*(Calc!$G$3:$G$22-B4394))</f>
        <v/>
      </c>
      <c r="I4394">
        <f>SUMPRODUCT(Calc!$K$3:$K$22*(Calc!$G$3:$G$22&gt;A4394)*(Calc!$G$3:$G$22-A4394)^2)</f>
        <v/>
      </c>
      <c r="J4394">
        <f>SUMPRODUCT(Calc!$K$3:$K$22*(Calc!$G$3:$G$22&gt;B4394)*(Calc!$G$3:$G$22-B4394)^2)</f>
        <v/>
      </c>
      <c r="K4394">
        <f>SUMPRODUCT(Calc!$K$3:$K$22*(Calc!$G$3:$G$22&gt;A4394)*(Calc!$G$3:$G$22-A4394)*(Calc!$G$3:$G$22&gt;B4394)*(Calc!$G$3:$G$22-B4394))</f>
        <v/>
      </c>
      <c r="L4394">
        <f>SUMPRODUCT(Calc!$K$3:$K$22*(Calc!$G$3:$G$22&gt;A4394)*(Calc!$G$3:$G$22-A4394)*Calc!$G$3:$G$22)</f>
        <v/>
      </c>
      <c r="M4394">
        <f>SUMPRODUCT(Calc!$K$3:$K$22*(Calc!$G$3:$G$22&gt;B4394)*(Calc!$G$3:$G$22-B4394)*Calc!$G$3:$G$22)</f>
        <v/>
      </c>
      <c r="N4394">
        <f>SUMPRODUCT(Calc!$K$3:$K$22*(Calc!$G$3:$G$22&gt;A4394)*(Calc!$G$3:$G$22-A4394)*Calc!$I$3:$I$22)</f>
        <v/>
      </c>
      <c r="O4394">
        <f>SUMPRODUCT(Calc!$K$3:$K$22*(Calc!$G$3:$G$22&gt;B4394)*(Calc!$G$3:$G$22-B4394)*Calc!$I$3:$I$22)</f>
        <v/>
      </c>
      <c r="P4394">
        <f>I4394-G4394^2/k_n</f>
        <v/>
      </c>
      <c r="Q4394">
        <f>J4394-H4394^2/k_n</f>
        <v/>
      </c>
      <c r="R4394">
        <f>K4394-G4394*H4394/k_n</f>
        <v/>
      </c>
      <c r="S4394">
        <f>L4394-LTP3!$D$3*G4394/k_n</f>
        <v/>
      </c>
      <c r="T4394">
        <f>M4394-LTP3!$D$3*H4394/k_n</f>
        <v/>
      </c>
      <c r="U4394">
        <f>N4394-G4394*LTP3!$D$4/k_n</f>
        <v/>
      </c>
      <c r="V4394">
        <f>O4394-H4394*LTP3!$D$4/k_n</f>
        <v/>
      </c>
      <c r="W4394">
        <f>((LTP3!$D$5)*((P4394)*(Q4394)-(R4394)*(R4394))-(S4394)*((S4394)*(Q4394)-(R4394)*(T4394))+(T4394)*((S4394)*(R4394)-(P4394)*(T4394)))</f>
        <v/>
      </c>
      <c r="X4394">
        <f>IF(ABS(W4394)&gt;1E-12,((LTP3!$D$6)*((P4394)*(Q4394)-(R4394)*(R4394))-(S4394)*((U4394)*(Q4394)-(R4394)*(V4394))+(T4394)*((U4394)*(R4394)-(P4394)*(V4394)))/W4394,0)</f>
        <v/>
      </c>
      <c r="Y4394">
        <f>IF(ABS(W4394)&gt;1E-12,((LTP3!$D$5)*((U4394)*(Q4394)-(R4394)*(V4394))-(LTP3!$D$6)*((S4394)*(Q4394)-(R4394)*(T4394))+(T4394)*((S4394)*(V4394)-(U4394)*(T4394)))/W4394,0)</f>
        <v/>
      </c>
      <c r="Z4394">
        <f>IF(ABS(W4394)&gt;1E-12,((LTP3!$D$5)*((P4394)*(V4394)-(U4394)*(R4394))-(S4394)*((S4394)*(V4394)-(U4394)*(T4394))+(LTP3!$D$6)*((S4394)*(R4394)-(P4394)*(T4394)))/W4394,0)</f>
        <v/>
      </c>
      <c r="AA4394">
        <f>LTP3!$D$7-X4394*LTP3!$D$6-Y4394*U4394-Z4394*V4394</f>
        <v/>
      </c>
      <c r="AB4394">
        <f>IF(AND(F4394,ABS(W4394)&gt;1E-12,Y4394&gt;0,Z4394&gt;0),AA4394,1E+300)</f>
        <v/>
      </c>
    </row>
    <row r="4395">
      <c r="A4395">
        <f>$I$4-$B$5/10+$B$5*10/100</f>
        <v/>
      </c>
      <c r="B4395">
        <f>$J$4-$B$5/10+$B$5*5/100</f>
        <v/>
      </c>
      <c r="C4395">
        <f>SUMPRODUCT(Calc!$K$3:$K$22*(Calc!$G$3:$G$22&lt;=A4395))</f>
        <v/>
      </c>
      <c r="D4395">
        <f>SUMPRODUCT(Calc!$K$3:$K$22*(Calc!$G$3:$G$22&gt;A4395)*(Calc!$G$3:$G$22&lt;B4395))</f>
        <v/>
      </c>
      <c r="E4395">
        <f>SUMPRODUCT(Calc!$K$3:$K$22*(Calc!$G$3:$G$22&gt;=B4395))</f>
        <v/>
      </c>
      <c r="F4395">
        <f>AND(k_n&gt;=5,B4395&gt;A4395+1E-9,C4395&gt;=2,D4395&gt;=1,E4395&gt;=2)</f>
        <v/>
      </c>
      <c r="G4395">
        <f>SUMPRODUCT(Calc!$K$3:$K$22*(Calc!$G$3:$G$22&gt;A4395)*(Calc!$G$3:$G$22-A4395))</f>
        <v/>
      </c>
      <c r="H4395">
        <f>SUMPRODUCT(Calc!$K$3:$K$22*(Calc!$G$3:$G$22&gt;B4395)*(Calc!$G$3:$G$22-B4395))</f>
        <v/>
      </c>
      <c r="I4395">
        <f>SUMPRODUCT(Calc!$K$3:$K$22*(Calc!$G$3:$G$22&gt;A4395)*(Calc!$G$3:$G$22-A4395)^2)</f>
        <v/>
      </c>
      <c r="J4395">
        <f>SUMPRODUCT(Calc!$K$3:$K$22*(Calc!$G$3:$G$22&gt;B4395)*(Calc!$G$3:$G$22-B4395)^2)</f>
        <v/>
      </c>
      <c r="K4395">
        <f>SUMPRODUCT(Calc!$K$3:$K$22*(Calc!$G$3:$G$22&gt;A4395)*(Calc!$G$3:$G$22-A4395)*(Calc!$G$3:$G$22&gt;B4395)*(Calc!$G$3:$G$22-B4395))</f>
        <v/>
      </c>
      <c r="L4395">
        <f>SUMPRODUCT(Calc!$K$3:$K$22*(Calc!$G$3:$G$22&gt;A4395)*(Calc!$G$3:$G$22-A4395)*Calc!$G$3:$G$22)</f>
        <v/>
      </c>
      <c r="M4395">
        <f>SUMPRODUCT(Calc!$K$3:$K$22*(Calc!$G$3:$G$22&gt;B4395)*(Calc!$G$3:$G$22-B4395)*Calc!$G$3:$G$22)</f>
        <v/>
      </c>
      <c r="N4395">
        <f>SUMPRODUCT(Calc!$K$3:$K$22*(Calc!$G$3:$G$22&gt;A4395)*(Calc!$G$3:$G$22-A4395)*Calc!$I$3:$I$22)</f>
        <v/>
      </c>
      <c r="O4395">
        <f>SUMPRODUCT(Calc!$K$3:$K$22*(Calc!$G$3:$G$22&gt;B4395)*(Calc!$G$3:$G$22-B4395)*Calc!$I$3:$I$22)</f>
        <v/>
      </c>
      <c r="P4395">
        <f>I4395-G4395^2/k_n</f>
        <v/>
      </c>
      <c r="Q4395">
        <f>J4395-H4395^2/k_n</f>
        <v/>
      </c>
      <c r="R4395">
        <f>K4395-G4395*H4395/k_n</f>
        <v/>
      </c>
      <c r="S4395">
        <f>L4395-LTP3!$D$3*G4395/k_n</f>
        <v/>
      </c>
      <c r="T4395">
        <f>M4395-LTP3!$D$3*H4395/k_n</f>
        <v/>
      </c>
      <c r="U4395">
        <f>N4395-G4395*LTP3!$D$4/k_n</f>
        <v/>
      </c>
      <c r="V4395">
        <f>O4395-H4395*LTP3!$D$4/k_n</f>
        <v/>
      </c>
      <c r="W4395">
        <f>((LTP3!$D$5)*((P4395)*(Q4395)-(R4395)*(R4395))-(S4395)*((S4395)*(Q4395)-(R4395)*(T4395))+(T4395)*((S4395)*(R4395)-(P4395)*(T4395)))</f>
        <v/>
      </c>
      <c r="X4395">
        <f>IF(ABS(W4395)&gt;1E-12,((LTP3!$D$6)*((P4395)*(Q4395)-(R4395)*(R4395))-(S4395)*((U4395)*(Q4395)-(R4395)*(V4395))+(T4395)*((U4395)*(R4395)-(P4395)*(V4395)))/W4395,0)</f>
        <v/>
      </c>
      <c r="Y4395">
        <f>IF(ABS(W4395)&gt;1E-12,((LTP3!$D$5)*((U4395)*(Q4395)-(R4395)*(V4395))-(LTP3!$D$6)*((S4395)*(Q4395)-(R4395)*(T4395))+(T4395)*((S4395)*(V4395)-(U4395)*(T4395)))/W4395,0)</f>
        <v/>
      </c>
      <c r="Z4395">
        <f>IF(ABS(W4395)&gt;1E-12,((LTP3!$D$5)*((P4395)*(V4395)-(U4395)*(R4395))-(S4395)*((S4395)*(V4395)-(U4395)*(T4395))+(LTP3!$D$6)*((S4395)*(R4395)-(P4395)*(T4395)))/W4395,0)</f>
        <v/>
      </c>
      <c r="AA4395">
        <f>LTP3!$D$7-X4395*LTP3!$D$6-Y4395*U4395-Z4395*V4395</f>
        <v/>
      </c>
      <c r="AB4395">
        <f>IF(AND(F4395,ABS(W4395)&gt;1E-12,Y4395&gt;0,Z4395&gt;0),AA4395,1E+300)</f>
        <v/>
      </c>
    </row>
    <row r="4396">
      <c r="A4396">
        <f>$I$4-$B$5/10+$B$5*10/100</f>
        <v/>
      </c>
      <c r="B4396">
        <f>$J$4-$B$5/10+$B$5*6/100</f>
        <v/>
      </c>
      <c r="C4396">
        <f>SUMPRODUCT(Calc!$K$3:$K$22*(Calc!$G$3:$G$22&lt;=A4396))</f>
        <v/>
      </c>
      <c r="D4396">
        <f>SUMPRODUCT(Calc!$K$3:$K$22*(Calc!$G$3:$G$22&gt;A4396)*(Calc!$G$3:$G$22&lt;B4396))</f>
        <v/>
      </c>
      <c r="E4396">
        <f>SUMPRODUCT(Calc!$K$3:$K$22*(Calc!$G$3:$G$22&gt;=B4396))</f>
        <v/>
      </c>
      <c r="F4396">
        <f>AND(k_n&gt;=5,B4396&gt;A4396+1E-9,C4396&gt;=2,D4396&gt;=1,E4396&gt;=2)</f>
        <v/>
      </c>
      <c r="G4396">
        <f>SUMPRODUCT(Calc!$K$3:$K$22*(Calc!$G$3:$G$22&gt;A4396)*(Calc!$G$3:$G$22-A4396))</f>
        <v/>
      </c>
      <c r="H4396">
        <f>SUMPRODUCT(Calc!$K$3:$K$22*(Calc!$G$3:$G$22&gt;B4396)*(Calc!$G$3:$G$22-B4396))</f>
        <v/>
      </c>
      <c r="I4396">
        <f>SUMPRODUCT(Calc!$K$3:$K$22*(Calc!$G$3:$G$22&gt;A4396)*(Calc!$G$3:$G$22-A4396)^2)</f>
        <v/>
      </c>
      <c r="J4396">
        <f>SUMPRODUCT(Calc!$K$3:$K$22*(Calc!$G$3:$G$22&gt;B4396)*(Calc!$G$3:$G$22-B4396)^2)</f>
        <v/>
      </c>
      <c r="K4396">
        <f>SUMPRODUCT(Calc!$K$3:$K$22*(Calc!$G$3:$G$22&gt;A4396)*(Calc!$G$3:$G$22-A4396)*(Calc!$G$3:$G$22&gt;B4396)*(Calc!$G$3:$G$22-B4396))</f>
        <v/>
      </c>
      <c r="L4396">
        <f>SUMPRODUCT(Calc!$K$3:$K$22*(Calc!$G$3:$G$22&gt;A4396)*(Calc!$G$3:$G$22-A4396)*Calc!$G$3:$G$22)</f>
        <v/>
      </c>
      <c r="M4396">
        <f>SUMPRODUCT(Calc!$K$3:$K$22*(Calc!$G$3:$G$22&gt;B4396)*(Calc!$G$3:$G$22-B4396)*Calc!$G$3:$G$22)</f>
        <v/>
      </c>
      <c r="N4396">
        <f>SUMPRODUCT(Calc!$K$3:$K$22*(Calc!$G$3:$G$22&gt;A4396)*(Calc!$G$3:$G$22-A4396)*Calc!$I$3:$I$22)</f>
        <v/>
      </c>
      <c r="O4396">
        <f>SUMPRODUCT(Calc!$K$3:$K$22*(Calc!$G$3:$G$22&gt;B4396)*(Calc!$G$3:$G$22-B4396)*Calc!$I$3:$I$22)</f>
        <v/>
      </c>
      <c r="P4396">
        <f>I4396-G4396^2/k_n</f>
        <v/>
      </c>
      <c r="Q4396">
        <f>J4396-H4396^2/k_n</f>
        <v/>
      </c>
      <c r="R4396">
        <f>K4396-G4396*H4396/k_n</f>
        <v/>
      </c>
      <c r="S4396">
        <f>L4396-LTP3!$D$3*G4396/k_n</f>
        <v/>
      </c>
      <c r="T4396">
        <f>M4396-LTP3!$D$3*H4396/k_n</f>
        <v/>
      </c>
      <c r="U4396">
        <f>N4396-G4396*LTP3!$D$4/k_n</f>
        <v/>
      </c>
      <c r="V4396">
        <f>O4396-H4396*LTP3!$D$4/k_n</f>
        <v/>
      </c>
      <c r="W4396">
        <f>((LTP3!$D$5)*((P4396)*(Q4396)-(R4396)*(R4396))-(S4396)*((S4396)*(Q4396)-(R4396)*(T4396))+(T4396)*((S4396)*(R4396)-(P4396)*(T4396)))</f>
        <v/>
      </c>
      <c r="X4396">
        <f>IF(ABS(W4396)&gt;1E-12,((LTP3!$D$6)*((P4396)*(Q4396)-(R4396)*(R4396))-(S4396)*((U4396)*(Q4396)-(R4396)*(V4396))+(T4396)*((U4396)*(R4396)-(P4396)*(V4396)))/W4396,0)</f>
        <v/>
      </c>
      <c r="Y4396">
        <f>IF(ABS(W4396)&gt;1E-12,((LTP3!$D$5)*((U4396)*(Q4396)-(R4396)*(V4396))-(LTP3!$D$6)*((S4396)*(Q4396)-(R4396)*(T4396))+(T4396)*((S4396)*(V4396)-(U4396)*(T4396)))/W4396,0)</f>
        <v/>
      </c>
      <c r="Z4396">
        <f>IF(ABS(W4396)&gt;1E-12,((LTP3!$D$5)*((P4396)*(V4396)-(U4396)*(R4396))-(S4396)*((S4396)*(V4396)-(U4396)*(T4396))+(LTP3!$D$6)*((S4396)*(R4396)-(P4396)*(T4396)))/W4396,0)</f>
        <v/>
      </c>
      <c r="AA4396">
        <f>LTP3!$D$7-X4396*LTP3!$D$6-Y4396*U4396-Z4396*V4396</f>
        <v/>
      </c>
      <c r="AB4396">
        <f>IF(AND(F4396,ABS(W4396)&gt;1E-12,Y4396&gt;0,Z4396&gt;0),AA4396,1E+300)</f>
        <v/>
      </c>
    </row>
    <row r="4397">
      <c r="A4397">
        <f>$I$4-$B$5/10+$B$5*10/100</f>
        <v/>
      </c>
      <c r="B4397">
        <f>$J$4-$B$5/10+$B$5*7/100</f>
        <v/>
      </c>
      <c r="C4397">
        <f>SUMPRODUCT(Calc!$K$3:$K$22*(Calc!$G$3:$G$22&lt;=A4397))</f>
        <v/>
      </c>
      <c r="D4397">
        <f>SUMPRODUCT(Calc!$K$3:$K$22*(Calc!$G$3:$G$22&gt;A4397)*(Calc!$G$3:$G$22&lt;B4397))</f>
        <v/>
      </c>
      <c r="E4397">
        <f>SUMPRODUCT(Calc!$K$3:$K$22*(Calc!$G$3:$G$22&gt;=B4397))</f>
        <v/>
      </c>
      <c r="F4397">
        <f>AND(k_n&gt;=5,B4397&gt;A4397+1E-9,C4397&gt;=2,D4397&gt;=1,E4397&gt;=2)</f>
        <v/>
      </c>
      <c r="G4397">
        <f>SUMPRODUCT(Calc!$K$3:$K$22*(Calc!$G$3:$G$22&gt;A4397)*(Calc!$G$3:$G$22-A4397))</f>
        <v/>
      </c>
      <c r="H4397">
        <f>SUMPRODUCT(Calc!$K$3:$K$22*(Calc!$G$3:$G$22&gt;B4397)*(Calc!$G$3:$G$22-B4397))</f>
        <v/>
      </c>
      <c r="I4397">
        <f>SUMPRODUCT(Calc!$K$3:$K$22*(Calc!$G$3:$G$22&gt;A4397)*(Calc!$G$3:$G$22-A4397)^2)</f>
        <v/>
      </c>
      <c r="J4397">
        <f>SUMPRODUCT(Calc!$K$3:$K$22*(Calc!$G$3:$G$22&gt;B4397)*(Calc!$G$3:$G$22-B4397)^2)</f>
        <v/>
      </c>
      <c r="K4397">
        <f>SUMPRODUCT(Calc!$K$3:$K$22*(Calc!$G$3:$G$22&gt;A4397)*(Calc!$G$3:$G$22-A4397)*(Calc!$G$3:$G$22&gt;B4397)*(Calc!$G$3:$G$22-B4397))</f>
        <v/>
      </c>
      <c r="L4397">
        <f>SUMPRODUCT(Calc!$K$3:$K$22*(Calc!$G$3:$G$22&gt;A4397)*(Calc!$G$3:$G$22-A4397)*Calc!$G$3:$G$22)</f>
        <v/>
      </c>
      <c r="M4397">
        <f>SUMPRODUCT(Calc!$K$3:$K$22*(Calc!$G$3:$G$22&gt;B4397)*(Calc!$G$3:$G$22-B4397)*Calc!$G$3:$G$22)</f>
        <v/>
      </c>
      <c r="N4397">
        <f>SUMPRODUCT(Calc!$K$3:$K$22*(Calc!$G$3:$G$22&gt;A4397)*(Calc!$G$3:$G$22-A4397)*Calc!$I$3:$I$22)</f>
        <v/>
      </c>
      <c r="O4397">
        <f>SUMPRODUCT(Calc!$K$3:$K$22*(Calc!$G$3:$G$22&gt;B4397)*(Calc!$G$3:$G$22-B4397)*Calc!$I$3:$I$22)</f>
        <v/>
      </c>
      <c r="P4397">
        <f>I4397-G4397^2/k_n</f>
        <v/>
      </c>
      <c r="Q4397">
        <f>J4397-H4397^2/k_n</f>
        <v/>
      </c>
      <c r="R4397">
        <f>K4397-G4397*H4397/k_n</f>
        <v/>
      </c>
      <c r="S4397">
        <f>L4397-LTP3!$D$3*G4397/k_n</f>
        <v/>
      </c>
      <c r="T4397">
        <f>M4397-LTP3!$D$3*H4397/k_n</f>
        <v/>
      </c>
      <c r="U4397">
        <f>N4397-G4397*LTP3!$D$4/k_n</f>
        <v/>
      </c>
      <c r="V4397">
        <f>O4397-H4397*LTP3!$D$4/k_n</f>
        <v/>
      </c>
      <c r="W4397">
        <f>((LTP3!$D$5)*((P4397)*(Q4397)-(R4397)*(R4397))-(S4397)*((S4397)*(Q4397)-(R4397)*(T4397))+(T4397)*((S4397)*(R4397)-(P4397)*(T4397)))</f>
        <v/>
      </c>
      <c r="X4397">
        <f>IF(ABS(W4397)&gt;1E-12,((LTP3!$D$6)*((P4397)*(Q4397)-(R4397)*(R4397))-(S4397)*((U4397)*(Q4397)-(R4397)*(V4397))+(T4397)*((U4397)*(R4397)-(P4397)*(V4397)))/W4397,0)</f>
        <v/>
      </c>
      <c r="Y4397">
        <f>IF(ABS(W4397)&gt;1E-12,((LTP3!$D$5)*((U4397)*(Q4397)-(R4397)*(V4397))-(LTP3!$D$6)*((S4397)*(Q4397)-(R4397)*(T4397))+(T4397)*((S4397)*(V4397)-(U4397)*(T4397)))/W4397,0)</f>
        <v/>
      </c>
      <c r="Z4397">
        <f>IF(ABS(W4397)&gt;1E-12,((LTP3!$D$5)*((P4397)*(V4397)-(U4397)*(R4397))-(S4397)*((S4397)*(V4397)-(U4397)*(T4397))+(LTP3!$D$6)*((S4397)*(R4397)-(P4397)*(T4397)))/W4397,0)</f>
        <v/>
      </c>
      <c r="AA4397">
        <f>LTP3!$D$7-X4397*LTP3!$D$6-Y4397*U4397-Z4397*V4397</f>
        <v/>
      </c>
      <c r="AB4397">
        <f>IF(AND(F4397,ABS(W4397)&gt;1E-12,Y4397&gt;0,Z4397&gt;0),AA4397,1E+300)</f>
        <v/>
      </c>
    </row>
    <row r="4398">
      <c r="A4398">
        <f>$I$4-$B$5/10+$B$5*10/100</f>
        <v/>
      </c>
      <c r="B4398">
        <f>$J$4-$B$5/10+$B$5*8/100</f>
        <v/>
      </c>
      <c r="C4398">
        <f>SUMPRODUCT(Calc!$K$3:$K$22*(Calc!$G$3:$G$22&lt;=A4398))</f>
        <v/>
      </c>
      <c r="D4398">
        <f>SUMPRODUCT(Calc!$K$3:$K$22*(Calc!$G$3:$G$22&gt;A4398)*(Calc!$G$3:$G$22&lt;B4398))</f>
        <v/>
      </c>
      <c r="E4398">
        <f>SUMPRODUCT(Calc!$K$3:$K$22*(Calc!$G$3:$G$22&gt;=B4398))</f>
        <v/>
      </c>
      <c r="F4398">
        <f>AND(k_n&gt;=5,B4398&gt;A4398+1E-9,C4398&gt;=2,D4398&gt;=1,E4398&gt;=2)</f>
        <v/>
      </c>
      <c r="G4398">
        <f>SUMPRODUCT(Calc!$K$3:$K$22*(Calc!$G$3:$G$22&gt;A4398)*(Calc!$G$3:$G$22-A4398))</f>
        <v/>
      </c>
      <c r="H4398">
        <f>SUMPRODUCT(Calc!$K$3:$K$22*(Calc!$G$3:$G$22&gt;B4398)*(Calc!$G$3:$G$22-B4398))</f>
        <v/>
      </c>
      <c r="I4398">
        <f>SUMPRODUCT(Calc!$K$3:$K$22*(Calc!$G$3:$G$22&gt;A4398)*(Calc!$G$3:$G$22-A4398)^2)</f>
        <v/>
      </c>
      <c r="J4398">
        <f>SUMPRODUCT(Calc!$K$3:$K$22*(Calc!$G$3:$G$22&gt;B4398)*(Calc!$G$3:$G$22-B4398)^2)</f>
        <v/>
      </c>
      <c r="K4398">
        <f>SUMPRODUCT(Calc!$K$3:$K$22*(Calc!$G$3:$G$22&gt;A4398)*(Calc!$G$3:$G$22-A4398)*(Calc!$G$3:$G$22&gt;B4398)*(Calc!$G$3:$G$22-B4398))</f>
        <v/>
      </c>
      <c r="L4398">
        <f>SUMPRODUCT(Calc!$K$3:$K$22*(Calc!$G$3:$G$22&gt;A4398)*(Calc!$G$3:$G$22-A4398)*Calc!$G$3:$G$22)</f>
        <v/>
      </c>
      <c r="M4398">
        <f>SUMPRODUCT(Calc!$K$3:$K$22*(Calc!$G$3:$G$22&gt;B4398)*(Calc!$G$3:$G$22-B4398)*Calc!$G$3:$G$22)</f>
        <v/>
      </c>
      <c r="N4398">
        <f>SUMPRODUCT(Calc!$K$3:$K$22*(Calc!$G$3:$G$22&gt;A4398)*(Calc!$G$3:$G$22-A4398)*Calc!$I$3:$I$22)</f>
        <v/>
      </c>
      <c r="O4398">
        <f>SUMPRODUCT(Calc!$K$3:$K$22*(Calc!$G$3:$G$22&gt;B4398)*(Calc!$G$3:$G$22-B4398)*Calc!$I$3:$I$22)</f>
        <v/>
      </c>
      <c r="P4398">
        <f>I4398-G4398^2/k_n</f>
        <v/>
      </c>
      <c r="Q4398">
        <f>J4398-H4398^2/k_n</f>
        <v/>
      </c>
      <c r="R4398">
        <f>K4398-G4398*H4398/k_n</f>
        <v/>
      </c>
      <c r="S4398">
        <f>L4398-LTP3!$D$3*G4398/k_n</f>
        <v/>
      </c>
      <c r="T4398">
        <f>M4398-LTP3!$D$3*H4398/k_n</f>
        <v/>
      </c>
      <c r="U4398">
        <f>N4398-G4398*LTP3!$D$4/k_n</f>
        <v/>
      </c>
      <c r="V4398">
        <f>O4398-H4398*LTP3!$D$4/k_n</f>
        <v/>
      </c>
      <c r="W4398">
        <f>((LTP3!$D$5)*((P4398)*(Q4398)-(R4398)*(R4398))-(S4398)*((S4398)*(Q4398)-(R4398)*(T4398))+(T4398)*((S4398)*(R4398)-(P4398)*(T4398)))</f>
        <v/>
      </c>
      <c r="X4398">
        <f>IF(ABS(W4398)&gt;1E-12,((LTP3!$D$6)*((P4398)*(Q4398)-(R4398)*(R4398))-(S4398)*((U4398)*(Q4398)-(R4398)*(V4398))+(T4398)*((U4398)*(R4398)-(P4398)*(V4398)))/W4398,0)</f>
        <v/>
      </c>
      <c r="Y4398">
        <f>IF(ABS(W4398)&gt;1E-12,((LTP3!$D$5)*((U4398)*(Q4398)-(R4398)*(V4398))-(LTP3!$D$6)*((S4398)*(Q4398)-(R4398)*(T4398))+(T4398)*((S4398)*(V4398)-(U4398)*(T4398)))/W4398,0)</f>
        <v/>
      </c>
      <c r="Z4398">
        <f>IF(ABS(W4398)&gt;1E-12,((LTP3!$D$5)*((P4398)*(V4398)-(U4398)*(R4398))-(S4398)*((S4398)*(V4398)-(U4398)*(T4398))+(LTP3!$D$6)*((S4398)*(R4398)-(P4398)*(T4398)))/W4398,0)</f>
        <v/>
      </c>
      <c r="AA4398">
        <f>LTP3!$D$7-X4398*LTP3!$D$6-Y4398*U4398-Z4398*V4398</f>
        <v/>
      </c>
      <c r="AB4398">
        <f>IF(AND(F4398,ABS(W4398)&gt;1E-12,Y4398&gt;0,Z4398&gt;0),AA4398,1E+300)</f>
        <v/>
      </c>
    </row>
    <row r="4399">
      <c r="A4399">
        <f>$I$4-$B$5/10+$B$5*10/100</f>
        <v/>
      </c>
      <c r="B4399">
        <f>$J$4-$B$5/10+$B$5*9/100</f>
        <v/>
      </c>
      <c r="C4399">
        <f>SUMPRODUCT(Calc!$K$3:$K$22*(Calc!$G$3:$G$22&lt;=A4399))</f>
        <v/>
      </c>
      <c r="D4399">
        <f>SUMPRODUCT(Calc!$K$3:$K$22*(Calc!$G$3:$G$22&gt;A4399)*(Calc!$G$3:$G$22&lt;B4399))</f>
        <v/>
      </c>
      <c r="E4399">
        <f>SUMPRODUCT(Calc!$K$3:$K$22*(Calc!$G$3:$G$22&gt;=B4399))</f>
        <v/>
      </c>
      <c r="F4399">
        <f>AND(k_n&gt;=5,B4399&gt;A4399+1E-9,C4399&gt;=2,D4399&gt;=1,E4399&gt;=2)</f>
        <v/>
      </c>
      <c r="G4399">
        <f>SUMPRODUCT(Calc!$K$3:$K$22*(Calc!$G$3:$G$22&gt;A4399)*(Calc!$G$3:$G$22-A4399))</f>
        <v/>
      </c>
      <c r="H4399">
        <f>SUMPRODUCT(Calc!$K$3:$K$22*(Calc!$G$3:$G$22&gt;B4399)*(Calc!$G$3:$G$22-B4399))</f>
        <v/>
      </c>
      <c r="I4399">
        <f>SUMPRODUCT(Calc!$K$3:$K$22*(Calc!$G$3:$G$22&gt;A4399)*(Calc!$G$3:$G$22-A4399)^2)</f>
        <v/>
      </c>
      <c r="J4399">
        <f>SUMPRODUCT(Calc!$K$3:$K$22*(Calc!$G$3:$G$22&gt;B4399)*(Calc!$G$3:$G$22-B4399)^2)</f>
        <v/>
      </c>
      <c r="K4399">
        <f>SUMPRODUCT(Calc!$K$3:$K$22*(Calc!$G$3:$G$22&gt;A4399)*(Calc!$G$3:$G$22-A4399)*(Calc!$G$3:$G$22&gt;B4399)*(Calc!$G$3:$G$22-B4399))</f>
        <v/>
      </c>
      <c r="L4399">
        <f>SUMPRODUCT(Calc!$K$3:$K$22*(Calc!$G$3:$G$22&gt;A4399)*(Calc!$G$3:$G$22-A4399)*Calc!$G$3:$G$22)</f>
        <v/>
      </c>
      <c r="M4399">
        <f>SUMPRODUCT(Calc!$K$3:$K$22*(Calc!$G$3:$G$22&gt;B4399)*(Calc!$G$3:$G$22-B4399)*Calc!$G$3:$G$22)</f>
        <v/>
      </c>
      <c r="N4399">
        <f>SUMPRODUCT(Calc!$K$3:$K$22*(Calc!$G$3:$G$22&gt;A4399)*(Calc!$G$3:$G$22-A4399)*Calc!$I$3:$I$22)</f>
        <v/>
      </c>
      <c r="O4399">
        <f>SUMPRODUCT(Calc!$K$3:$K$22*(Calc!$G$3:$G$22&gt;B4399)*(Calc!$G$3:$G$22-B4399)*Calc!$I$3:$I$22)</f>
        <v/>
      </c>
      <c r="P4399">
        <f>I4399-G4399^2/k_n</f>
        <v/>
      </c>
      <c r="Q4399">
        <f>J4399-H4399^2/k_n</f>
        <v/>
      </c>
      <c r="R4399">
        <f>K4399-G4399*H4399/k_n</f>
        <v/>
      </c>
      <c r="S4399">
        <f>L4399-LTP3!$D$3*G4399/k_n</f>
        <v/>
      </c>
      <c r="T4399">
        <f>M4399-LTP3!$D$3*H4399/k_n</f>
        <v/>
      </c>
      <c r="U4399">
        <f>N4399-G4399*LTP3!$D$4/k_n</f>
        <v/>
      </c>
      <c r="V4399">
        <f>O4399-H4399*LTP3!$D$4/k_n</f>
        <v/>
      </c>
      <c r="W4399">
        <f>((LTP3!$D$5)*((P4399)*(Q4399)-(R4399)*(R4399))-(S4399)*((S4399)*(Q4399)-(R4399)*(T4399))+(T4399)*((S4399)*(R4399)-(P4399)*(T4399)))</f>
        <v/>
      </c>
      <c r="X4399">
        <f>IF(ABS(W4399)&gt;1E-12,((LTP3!$D$6)*((P4399)*(Q4399)-(R4399)*(R4399))-(S4399)*((U4399)*(Q4399)-(R4399)*(V4399))+(T4399)*((U4399)*(R4399)-(P4399)*(V4399)))/W4399,0)</f>
        <v/>
      </c>
      <c r="Y4399">
        <f>IF(ABS(W4399)&gt;1E-12,((LTP3!$D$5)*((U4399)*(Q4399)-(R4399)*(V4399))-(LTP3!$D$6)*((S4399)*(Q4399)-(R4399)*(T4399))+(T4399)*((S4399)*(V4399)-(U4399)*(T4399)))/W4399,0)</f>
        <v/>
      </c>
      <c r="Z4399">
        <f>IF(ABS(W4399)&gt;1E-12,((LTP3!$D$5)*((P4399)*(V4399)-(U4399)*(R4399))-(S4399)*((S4399)*(V4399)-(U4399)*(T4399))+(LTP3!$D$6)*((S4399)*(R4399)-(P4399)*(T4399)))/W4399,0)</f>
        <v/>
      </c>
      <c r="AA4399">
        <f>LTP3!$D$7-X4399*LTP3!$D$6-Y4399*U4399-Z4399*V4399</f>
        <v/>
      </c>
      <c r="AB4399">
        <f>IF(AND(F4399,ABS(W4399)&gt;1E-12,Y4399&gt;0,Z4399&gt;0),AA4399,1E+300)</f>
        <v/>
      </c>
    </row>
    <row r="4400">
      <c r="A4400">
        <f>$I$4-$B$5/10+$B$5*10/100</f>
        <v/>
      </c>
      <c r="B4400">
        <f>$J$4-$B$5/10+$B$5*10/100</f>
        <v/>
      </c>
      <c r="C4400">
        <f>SUMPRODUCT(Calc!$K$3:$K$22*(Calc!$G$3:$G$22&lt;=A4400))</f>
        <v/>
      </c>
      <c r="D4400">
        <f>SUMPRODUCT(Calc!$K$3:$K$22*(Calc!$G$3:$G$22&gt;A4400)*(Calc!$G$3:$G$22&lt;B4400))</f>
        <v/>
      </c>
      <c r="E4400">
        <f>SUMPRODUCT(Calc!$K$3:$K$22*(Calc!$G$3:$G$22&gt;=B4400))</f>
        <v/>
      </c>
      <c r="F4400">
        <f>AND(k_n&gt;=5,B4400&gt;A4400+1E-9,C4400&gt;=2,D4400&gt;=1,E4400&gt;=2)</f>
        <v/>
      </c>
      <c r="G4400">
        <f>SUMPRODUCT(Calc!$K$3:$K$22*(Calc!$G$3:$G$22&gt;A4400)*(Calc!$G$3:$G$22-A4400))</f>
        <v/>
      </c>
      <c r="H4400">
        <f>SUMPRODUCT(Calc!$K$3:$K$22*(Calc!$G$3:$G$22&gt;B4400)*(Calc!$G$3:$G$22-B4400))</f>
        <v/>
      </c>
      <c r="I4400">
        <f>SUMPRODUCT(Calc!$K$3:$K$22*(Calc!$G$3:$G$22&gt;A4400)*(Calc!$G$3:$G$22-A4400)^2)</f>
        <v/>
      </c>
      <c r="J4400">
        <f>SUMPRODUCT(Calc!$K$3:$K$22*(Calc!$G$3:$G$22&gt;B4400)*(Calc!$G$3:$G$22-B4400)^2)</f>
        <v/>
      </c>
      <c r="K4400">
        <f>SUMPRODUCT(Calc!$K$3:$K$22*(Calc!$G$3:$G$22&gt;A4400)*(Calc!$G$3:$G$22-A4400)*(Calc!$G$3:$G$22&gt;B4400)*(Calc!$G$3:$G$22-B4400))</f>
        <v/>
      </c>
      <c r="L4400">
        <f>SUMPRODUCT(Calc!$K$3:$K$22*(Calc!$G$3:$G$22&gt;A4400)*(Calc!$G$3:$G$22-A4400)*Calc!$G$3:$G$22)</f>
        <v/>
      </c>
      <c r="M4400">
        <f>SUMPRODUCT(Calc!$K$3:$K$22*(Calc!$G$3:$G$22&gt;B4400)*(Calc!$G$3:$G$22-B4400)*Calc!$G$3:$G$22)</f>
        <v/>
      </c>
      <c r="N4400">
        <f>SUMPRODUCT(Calc!$K$3:$K$22*(Calc!$G$3:$G$22&gt;A4400)*(Calc!$G$3:$G$22-A4400)*Calc!$I$3:$I$22)</f>
        <v/>
      </c>
      <c r="O4400">
        <f>SUMPRODUCT(Calc!$K$3:$K$22*(Calc!$G$3:$G$22&gt;B4400)*(Calc!$G$3:$G$22-B4400)*Calc!$I$3:$I$22)</f>
        <v/>
      </c>
      <c r="P4400">
        <f>I4400-G4400^2/k_n</f>
        <v/>
      </c>
      <c r="Q4400">
        <f>J4400-H4400^2/k_n</f>
        <v/>
      </c>
      <c r="R4400">
        <f>K4400-G4400*H4400/k_n</f>
        <v/>
      </c>
      <c r="S4400">
        <f>L4400-LTP3!$D$3*G4400/k_n</f>
        <v/>
      </c>
      <c r="T4400">
        <f>M4400-LTP3!$D$3*H4400/k_n</f>
        <v/>
      </c>
      <c r="U4400">
        <f>N4400-G4400*LTP3!$D$4/k_n</f>
        <v/>
      </c>
      <c r="V4400">
        <f>O4400-H4400*LTP3!$D$4/k_n</f>
        <v/>
      </c>
      <c r="W4400">
        <f>((LTP3!$D$5)*((P4400)*(Q4400)-(R4400)*(R4400))-(S4400)*((S4400)*(Q4400)-(R4400)*(T4400))+(T4400)*((S4400)*(R4400)-(P4400)*(T4400)))</f>
        <v/>
      </c>
      <c r="X4400">
        <f>IF(ABS(W4400)&gt;1E-12,((LTP3!$D$6)*((P4400)*(Q4400)-(R4400)*(R4400))-(S4400)*((U4400)*(Q4400)-(R4400)*(V4400))+(T4400)*((U4400)*(R4400)-(P4400)*(V4400)))/W4400,0)</f>
        <v/>
      </c>
      <c r="Y4400">
        <f>IF(ABS(W4400)&gt;1E-12,((LTP3!$D$5)*((U4400)*(Q4400)-(R4400)*(V4400))-(LTP3!$D$6)*((S4400)*(Q4400)-(R4400)*(T4400))+(T4400)*((S4400)*(V4400)-(U4400)*(T4400)))/W4400,0)</f>
        <v/>
      </c>
      <c r="Z4400">
        <f>IF(ABS(W4400)&gt;1E-12,((LTP3!$D$5)*((P4400)*(V4400)-(U4400)*(R4400))-(S4400)*((S4400)*(V4400)-(U4400)*(T4400))+(LTP3!$D$6)*((S4400)*(R4400)-(P4400)*(T4400)))/W4400,0)</f>
        <v/>
      </c>
      <c r="AA4400">
        <f>LTP3!$D$7-X4400*LTP3!$D$6-Y4400*U4400-Z4400*V4400</f>
        <v/>
      </c>
      <c r="AB4400">
        <f>IF(AND(F4400,ABS(W4400)&gt;1E-12,Y4400&gt;0,Z4400&gt;0),AA4400,1E+300)</f>
        <v/>
      </c>
    </row>
    <row r="4401">
      <c r="A4401">
        <f>$I$4-$B$5/10+$B$5*10/100</f>
        <v/>
      </c>
      <c r="B4401">
        <f>$J$4-$B$5/10+$B$5*11/100</f>
        <v/>
      </c>
      <c r="C4401">
        <f>SUMPRODUCT(Calc!$K$3:$K$22*(Calc!$G$3:$G$22&lt;=A4401))</f>
        <v/>
      </c>
      <c r="D4401">
        <f>SUMPRODUCT(Calc!$K$3:$K$22*(Calc!$G$3:$G$22&gt;A4401)*(Calc!$G$3:$G$22&lt;B4401))</f>
        <v/>
      </c>
      <c r="E4401">
        <f>SUMPRODUCT(Calc!$K$3:$K$22*(Calc!$G$3:$G$22&gt;=B4401))</f>
        <v/>
      </c>
      <c r="F4401">
        <f>AND(k_n&gt;=5,B4401&gt;A4401+1E-9,C4401&gt;=2,D4401&gt;=1,E4401&gt;=2)</f>
        <v/>
      </c>
      <c r="G4401">
        <f>SUMPRODUCT(Calc!$K$3:$K$22*(Calc!$G$3:$G$22&gt;A4401)*(Calc!$G$3:$G$22-A4401))</f>
        <v/>
      </c>
      <c r="H4401">
        <f>SUMPRODUCT(Calc!$K$3:$K$22*(Calc!$G$3:$G$22&gt;B4401)*(Calc!$G$3:$G$22-B4401))</f>
        <v/>
      </c>
      <c r="I4401">
        <f>SUMPRODUCT(Calc!$K$3:$K$22*(Calc!$G$3:$G$22&gt;A4401)*(Calc!$G$3:$G$22-A4401)^2)</f>
        <v/>
      </c>
      <c r="J4401">
        <f>SUMPRODUCT(Calc!$K$3:$K$22*(Calc!$G$3:$G$22&gt;B4401)*(Calc!$G$3:$G$22-B4401)^2)</f>
        <v/>
      </c>
      <c r="K4401">
        <f>SUMPRODUCT(Calc!$K$3:$K$22*(Calc!$G$3:$G$22&gt;A4401)*(Calc!$G$3:$G$22-A4401)*(Calc!$G$3:$G$22&gt;B4401)*(Calc!$G$3:$G$22-B4401))</f>
        <v/>
      </c>
      <c r="L4401">
        <f>SUMPRODUCT(Calc!$K$3:$K$22*(Calc!$G$3:$G$22&gt;A4401)*(Calc!$G$3:$G$22-A4401)*Calc!$G$3:$G$22)</f>
        <v/>
      </c>
      <c r="M4401">
        <f>SUMPRODUCT(Calc!$K$3:$K$22*(Calc!$G$3:$G$22&gt;B4401)*(Calc!$G$3:$G$22-B4401)*Calc!$G$3:$G$22)</f>
        <v/>
      </c>
      <c r="N4401">
        <f>SUMPRODUCT(Calc!$K$3:$K$22*(Calc!$G$3:$G$22&gt;A4401)*(Calc!$G$3:$G$22-A4401)*Calc!$I$3:$I$22)</f>
        <v/>
      </c>
      <c r="O4401">
        <f>SUMPRODUCT(Calc!$K$3:$K$22*(Calc!$G$3:$G$22&gt;B4401)*(Calc!$G$3:$G$22-B4401)*Calc!$I$3:$I$22)</f>
        <v/>
      </c>
      <c r="P4401">
        <f>I4401-G4401^2/k_n</f>
        <v/>
      </c>
      <c r="Q4401">
        <f>J4401-H4401^2/k_n</f>
        <v/>
      </c>
      <c r="R4401">
        <f>K4401-G4401*H4401/k_n</f>
        <v/>
      </c>
      <c r="S4401">
        <f>L4401-LTP3!$D$3*G4401/k_n</f>
        <v/>
      </c>
      <c r="T4401">
        <f>M4401-LTP3!$D$3*H4401/k_n</f>
        <v/>
      </c>
      <c r="U4401">
        <f>N4401-G4401*LTP3!$D$4/k_n</f>
        <v/>
      </c>
      <c r="V4401">
        <f>O4401-H4401*LTP3!$D$4/k_n</f>
        <v/>
      </c>
      <c r="W4401">
        <f>((LTP3!$D$5)*((P4401)*(Q4401)-(R4401)*(R4401))-(S4401)*((S4401)*(Q4401)-(R4401)*(T4401))+(T4401)*((S4401)*(R4401)-(P4401)*(T4401)))</f>
        <v/>
      </c>
      <c r="X4401">
        <f>IF(ABS(W4401)&gt;1E-12,((LTP3!$D$6)*((P4401)*(Q4401)-(R4401)*(R4401))-(S4401)*((U4401)*(Q4401)-(R4401)*(V4401))+(T4401)*((U4401)*(R4401)-(P4401)*(V4401)))/W4401,0)</f>
        <v/>
      </c>
      <c r="Y4401">
        <f>IF(ABS(W4401)&gt;1E-12,((LTP3!$D$5)*((U4401)*(Q4401)-(R4401)*(V4401))-(LTP3!$D$6)*((S4401)*(Q4401)-(R4401)*(T4401))+(T4401)*((S4401)*(V4401)-(U4401)*(T4401)))/W4401,0)</f>
        <v/>
      </c>
      <c r="Z4401">
        <f>IF(ABS(W4401)&gt;1E-12,((LTP3!$D$5)*((P4401)*(V4401)-(U4401)*(R4401))-(S4401)*((S4401)*(V4401)-(U4401)*(T4401))+(LTP3!$D$6)*((S4401)*(R4401)-(P4401)*(T4401)))/W4401,0)</f>
        <v/>
      </c>
      <c r="AA4401">
        <f>LTP3!$D$7-X4401*LTP3!$D$6-Y4401*U4401-Z4401*V4401</f>
        <v/>
      </c>
      <c r="AB4401">
        <f>IF(AND(F4401,ABS(W4401)&gt;1E-12,Y4401&gt;0,Z4401&gt;0),AA4401,1E+300)</f>
        <v/>
      </c>
    </row>
    <row r="4402">
      <c r="A4402">
        <f>$I$4-$B$5/10+$B$5*10/100</f>
        <v/>
      </c>
      <c r="B4402">
        <f>$J$4-$B$5/10+$B$5*12/100</f>
        <v/>
      </c>
      <c r="C4402">
        <f>SUMPRODUCT(Calc!$K$3:$K$22*(Calc!$G$3:$G$22&lt;=A4402))</f>
        <v/>
      </c>
      <c r="D4402">
        <f>SUMPRODUCT(Calc!$K$3:$K$22*(Calc!$G$3:$G$22&gt;A4402)*(Calc!$G$3:$G$22&lt;B4402))</f>
        <v/>
      </c>
      <c r="E4402">
        <f>SUMPRODUCT(Calc!$K$3:$K$22*(Calc!$G$3:$G$22&gt;=B4402))</f>
        <v/>
      </c>
      <c r="F4402">
        <f>AND(k_n&gt;=5,B4402&gt;A4402+1E-9,C4402&gt;=2,D4402&gt;=1,E4402&gt;=2)</f>
        <v/>
      </c>
      <c r="G4402">
        <f>SUMPRODUCT(Calc!$K$3:$K$22*(Calc!$G$3:$G$22&gt;A4402)*(Calc!$G$3:$G$22-A4402))</f>
        <v/>
      </c>
      <c r="H4402">
        <f>SUMPRODUCT(Calc!$K$3:$K$22*(Calc!$G$3:$G$22&gt;B4402)*(Calc!$G$3:$G$22-B4402))</f>
        <v/>
      </c>
      <c r="I4402">
        <f>SUMPRODUCT(Calc!$K$3:$K$22*(Calc!$G$3:$G$22&gt;A4402)*(Calc!$G$3:$G$22-A4402)^2)</f>
        <v/>
      </c>
      <c r="J4402">
        <f>SUMPRODUCT(Calc!$K$3:$K$22*(Calc!$G$3:$G$22&gt;B4402)*(Calc!$G$3:$G$22-B4402)^2)</f>
        <v/>
      </c>
      <c r="K4402">
        <f>SUMPRODUCT(Calc!$K$3:$K$22*(Calc!$G$3:$G$22&gt;A4402)*(Calc!$G$3:$G$22-A4402)*(Calc!$G$3:$G$22&gt;B4402)*(Calc!$G$3:$G$22-B4402))</f>
        <v/>
      </c>
      <c r="L4402">
        <f>SUMPRODUCT(Calc!$K$3:$K$22*(Calc!$G$3:$G$22&gt;A4402)*(Calc!$G$3:$G$22-A4402)*Calc!$G$3:$G$22)</f>
        <v/>
      </c>
      <c r="M4402">
        <f>SUMPRODUCT(Calc!$K$3:$K$22*(Calc!$G$3:$G$22&gt;B4402)*(Calc!$G$3:$G$22-B4402)*Calc!$G$3:$G$22)</f>
        <v/>
      </c>
      <c r="N4402">
        <f>SUMPRODUCT(Calc!$K$3:$K$22*(Calc!$G$3:$G$22&gt;A4402)*(Calc!$G$3:$G$22-A4402)*Calc!$I$3:$I$22)</f>
        <v/>
      </c>
      <c r="O4402">
        <f>SUMPRODUCT(Calc!$K$3:$K$22*(Calc!$G$3:$G$22&gt;B4402)*(Calc!$G$3:$G$22-B4402)*Calc!$I$3:$I$22)</f>
        <v/>
      </c>
      <c r="P4402">
        <f>I4402-G4402^2/k_n</f>
        <v/>
      </c>
      <c r="Q4402">
        <f>J4402-H4402^2/k_n</f>
        <v/>
      </c>
      <c r="R4402">
        <f>K4402-G4402*H4402/k_n</f>
        <v/>
      </c>
      <c r="S4402">
        <f>L4402-LTP3!$D$3*G4402/k_n</f>
        <v/>
      </c>
      <c r="T4402">
        <f>M4402-LTP3!$D$3*H4402/k_n</f>
        <v/>
      </c>
      <c r="U4402">
        <f>N4402-G4402*LTP3!$D$4/k_n</f>
        <v/>
      </c>
      <c r="V4402">
        <f>O4402-H4402*LTP3!$D$4/k_n</f>
        <v/>
      </c>
      <c r="W4402">
        <f>((LTP3!$D$5)*((P4402)*(Q4402)-(R4402)*(R4402))-(S4402)*((S4402)*(Q4402)-(R4402)*(T4402))+(T4402)*((S4402)*(R4402)-(P4402)*(T4402)))</f>
        <v/>
      </c>
      <c r="X4402">
        <f>IF(ABS(W4402)&gt;1E-12,((LTP3!$D$6)*((P4402)*(Q4402)-(R4402)*(R4402))-(S4402)*((U4402)*(Q4402)-(R4402)*(V4402))+(T4402)*((U4402)*(R4402)-(P4402)*(V4402)))/W4402,0)</f>
        <v/>
      </c>
      <c r="Y4402">
        <f>IF(ABS(W4402)&gt;1E-12,((LTP3!$D$5)*((U4402)*(Q4402)-(R4402)*(V4402))-(LTP3!$D$6)*((S4402)*(Q4402)-(R4402)*(T4402))+(T4402)*((S4402)*(V4402)-(U4402)*(T4402)))/W4402,0)</f>
        <v/>
      </c>
      <c r="Z4402">
        <f>IF(ABS(W4402)&gt;1E-12,((LTP3!$D$5)*((P4402)*(V4402)-(U4402)*(R4402))-(S4402)*((S4402)*(V4402)-(U4402)*(T4402))+(LTP3!$D$6)*((S4402)*(R4402)-(P4402)*(T4402)))/W4402,0)</f>
        <v/>
      </c>
      <c r="AA4402">
        <f>LTP3!$D$7-X4402*LTP3!$D$6-Y4402*U4402-Z4402*V4402</f>
        <v/>
      </c>
      <c r="AB4402">
        <f>IF(AND(F4402,ABS(W4402)&gt;1E-12,Y4402&gt;0,Z4402&gt;0),AA4402,1E+300)</f>
        <v/>
      </c>
    </row>
    <row r="4403">
      <c r="A4403">
        <f>$I$4-$B$5/10+$B$5*10/100</f>
        <v/>
      </c>
      <c r="B4403">
        <f>$J$4-$B$5/10+$B$5*13/100</f>
        <v/>
      </c>
      <c r="C4403">
        <f>SUMPRODUCT(Calc!$K$3:$K$22*(Calc!$G$3:$G$22&lt;=A4403))</f>
        <v/>
      </c>
      <c r="D4403">
        <f>SUMPRODUCT(Calc!$K$3:$K$22*(Calc!$G$3:$G$22&gt;A4403)*(Calc!$G$3:$G$22&lt;B4403))</f>
        <v/>
      </c>
      <c r="E4403">
        <f>SUMPRODUCT(Calc!$K$3:$K$22*(Calc!$G$3:$G$22&gt;=B4403))</f>
        <v/>
      </c>
      <c r="F4403">
        <f>AND(k_n&gt;=5,B4403&gt;A4403+1E-9,C4403&gt;=2,D4403&gt;=1,E4403&gt;=2)</f>
        <v/>
      </c>
      <c r="G4403">
        <f>SUMPRODUCT(Calc!$K$3:$K$22*(Calc!$G$3:$G$22&gt;A4403)*(Calc!$G$3:$G$22-A4403))</f>
        <v/>
      </c>
      <c r="H4403">
        <f>SUMPRODUCT(Calc!$K$3:$K$22*(Calc!$G$3:$G$22&gt;B4403)*(Calc!$G$3:$G$22-B4403))</f>
        <v/>
      </c>
      <c r="I4403">
        <f>SUMPRODUCT(Calc!$K$3:$K$22*(Calc!$G$3:$G$22&gt;A4403)*(Calc!$G$3:$G$22-A4403)^2)</f>
        <v/>
      </c>
      <c r="J4403">
        <f>SUMPRODUCT(Calc!$K$3:$K$22*(Calc!$G$3:$G$22&gt;B4403)*(Calc!$G$3:$G$22-B4403)^2)</f>
        <v/>
      </c>
      <c r="K4403">
        <f>SUMPRODUCT(Calc!$K$3:$K$22*(Calc!$G$3:$G$22&gt;A4403)*(Calc!$G$3:$G$22-A4403)*(Calc!$G$3:$G$22&gt;B4403)*(Calc!$G$3:$G$22-B4403))</f>
        <v/>
      </c>
      <c r="L4403">
        <f>SUMPRODUCT(Calc!$K$3:$K$22*(Calc!$G$3:$G$22&gt;A4403)*(Calc!$G$3:$G$22-A4403)*Calc!$G$3:$G$22)</f>
        <v/>
      </c>
      <c r="M4403">
        <f>SUMPRODUCT(Calc!$K$3:$K$22*(Calc!$G$3:$G$22&gt;B4403)*(Calc!$G$3:$G$22-B4403)*Calc!$G$3:$G$22)</f>
        <v/>
      </c>
      <c r="N4403">
        <f>SUMPRODUCT(Calc!$K$3:$K$22*(Calc!$G$3:$G$22&gt;A4403)*(Calc!$G$3:$G$22-A4403)*Calc!$I$3:$I$22)</f>
        <v/>
      </c>
      <c r="O4403">
        <f>SUMPRODUCT(Calc!$K$3:$K$22*(Calc!$G$3:$G$22&gt;B4403)*(Calc!$G$3:$G$22-B4403)*Calc!$I$3:$I$22)</f>
        <v/>
      </c>
      <c r="P4403">
        <f>I4403-G4403^2/k_n</f>
        <v/>
      </c>
      <c r="Q4403">
        <f>J4403-H4403^2/k_n</f>
        <v/>
      </c>
      <c r="R4403">
        <f>K4403-G4403*H4403/k_n</f>
        <v/>
      </c>
      <c r="S4403">
        <f>L4403-LTP3!$D$3*G4403/k_n</f>
        <v/>
      </c>
      <c r="T4403">
        <f>M4403-LTP3!$D$3*H4403/k_n</f>
        <v/>
      </c>
      <c r="U4403">
        <f>N4403-G4403*LTP3!$D$4/k_n</f>
        <v/>
      </c>
      <c r="V4403">
        <f>O4403-H4403*LTP3!$D$4/k_n</f>
        <v/>
      </c>
      <c r="W4403">
        <f>((LTP3!$D$5)*((P4403)*(Q4403)-(R4403)*(R4403))-(S4403)*((S4403)*(Q4403)-(R4403)*(T4403))+(T4403)*((S4403)*(R4403)-(P4403)*(T4403)))</f>
        <v/>
      </c>
      <c r="X4403">
        <f>IF(ABS(W4403)&gt;1E-12,((LTP3!$D$6)*((P4403)*(Q4403)-(R4403)*(R4403))-(S4403)*((U4403)*(Q4403)-(R4403)*(V4403))+(T4403)*((U4403)*(R4403)-(P4403)*(V4403)))/W4403,0)</f>
        <v/>
      </c>
      <c r="Y4403">
        <f>IF(ABS(W4403)&gt;1E-12,((LTP3!$D$5)*((U4403)*(Q4403)-(R4403)*(V4403))-(LTP3!$D$6)*((S4403)*(Q4403)-(R4403)*(T4403))+(T4403)*((S4403)*(V4403)-(U4403)*(T4403)))/W4403,0)</f>
        <v/>
      </c>
      <c r="Z4403">
        <f>IF(ABS(W4403)&gt;1E-12,((LTP3!$D$5)*((P4403)*(V4403)-(U4403)*(R4403))-(S4403)*((S4403)*(V4403)-(U4403)*(T4403))+(LTP3!$D$6)*((S4403)*(R4403)-(P4403)*(T4403)))/W4403,0)</f>
        <v/>
      </c>
      <c r="AA4403">
        <f>LTP3!$D$7-X4403*LTP3!$D$6-Y4403*U4403-Z4403*V4403</f>
        <v/>
      </c>
      <c r="AB4403">
        <f>IF(AND(F4403,ABS(W4403)&gt;1E-12,Y4403&gt;0,Z4403&gt;0),AA4403,1E+300)</f>
        <v/>
      </c>
    </row>
    <row r="4404">
      <c r="A4404">
        <f>$I$4-$B$5/10+$B$5*10/100</f>
        <v/>
      </c>
      <c r="B4404">
        <f>$J$4-$B$5/10+$B$5*14/100</f>
        <v/>
      </c>
      <c r="C4404">
        <f>SUMPRODUCT(Calc!$K$3:$K$22*(Calc!$G$3:$G$22&lt;=A4404))</f>
        <v/>
      </c>
      <c r="D4404">
        <f>SUMPRODUCT(Calc!$K$3:$K$22*(Calc!$G$3:$G$22&gt;A4404)*(Calc!$G$3:$G$22&lt;B4404))</f>
        <v/>
      </c>
      <c r="E4404">
        <f>SUMPRODUCT(Calc!$K$3:$K$22*(Calc!$G$3:$G$22&gt;=B4404))</f>
        <v/>
      </c>
      <c r="F4404">
        <f>AND(k_n&gt;=5,B4404&gt;A4404+1E-9,C4404&gt;=2,D4404&gt;=1,E4404&gt;=2)</f>
        <v/>
      </c>
      <c r="G4404">
        <f>SUMPRODUCT(Calc!$K$3:$K$22*(Calc!$G$3:$G$22&gt;A4404)*(Calc!$G$3:$G$22-A4404))</f>
        <v/>
      </c>
      <c r="H4404">
        <f>SUMPRODUCT(Calc!$K$3:$K$22*(Calc!$G$3:$G$22&gt;B4404)*(Calc!$G$3:$G$22-B4404))</f>
        <v/>
      </c>
      <c r="I4404">
        <f>SUMPRODUCT(Calc!$K$3:$K$22*(Calc!$G$3:$G$22&gt;A4404)*(Calc!$G$3:$G$22-A4404)^2)</f>
        <v/>
      </c>
      <c r="J4404">
        <f>SUMPRODUCT(Calc!$K$3:$K$22*(Calc!$G$3:$G$22&gt;B4404)*(Calc!$G$3:$G$22-B4404)^2)</f>
        <v/>
      </c>
      <c r="K4404">
        <f>SUMPRODUCT(Calc!$K$3:$K$22*(Calc!$G$3:$G$22&gt;A4404)*(Calc!$G$3:$G$22-A4404)*(Calc!$G$3:$G$22&gt;B4404)*(Calc!$G$3:$G$22-B4404))</f>
        <v/>
      </c>
      <c r="L4404">
        <f>SUMPRODUCT(Calc!$K$3:$K$22*(Calc!$G$3:$G$22&gt;A4404)*(Calc!$G$3:$G$22-A4404)*Calc!$G$3:$G$22)</f>
        <v/>
      </c>
      <c r="M4404">
        <f>SUMPRODUCT(Calc!$K$3:$K$22*(Calc!$G$3:$G$22&gt;B4404)*(Calc!$G$3:$G$22-B4404)*Calc!$G$3:$G$22)</f>
        <v/>
      </c>
      <c r="N4404">
        <f>SUMPRODUCT(Calc!$K$3:$K$22*(Calc!$G$3:$G$22&gt;A4404)*(Calc!$G$3:$G$22-A4404)*Calc!$I$3:$I$22)</f>
        <v/>
      </c>
      <c r="O4404">
        <f>SUMPRODUCT(Calc!$K$3:$K$22*(Calc!$G$3:$G$22&gt;B4404)*(Calc!$G$3:$G$22-B4404)*Calc!$I$3:$I$22)</f>
        <v/>
      </c>
      <c r="P4404">
        <f>I4404-G4404^2/k_n</f>
        <v/>
      </c>
      <c r="Q4404">
        <f>J4404-H4404^2/k_n</f>
        <v/>
      </c>
      <c r="R4404">
        <f>K4404-G4404*H4404/k_n</f>
        <v/>
      </c>
      <c r="S4404">
        <f>L4404-LTP3!$D$3*G4404/k_n</f>
        <v/>
      </c>
      <c r="T4404">
        <f>M4404-LTP3!$D$3*H4404/k_n</f>
        <v/>
      </c>
      <c r="U4404">
        <f>N4404-G4404*LTP3!$D$4/k_n</f>
        <v/>
      </c>
      <c r="V4404">
        <f>O4404-H4404*LTP3!$D$4/k_n</f>
        <v/>
      </c>
      <c r="W4404">
        <f>((LTP3!$D$5)*((P4404)*(Q4404)-(R4404)*(R4404))-(S4404)*((S4404)*(Q4404)-(R4404)*(T4404))+(T4404)*((S4404)*(R4404)-(P4404)*(T4404)))</f>
        <v/>
      </c>
      <c r="X4404">
        <f>IF(ABS(W4404)&gt;1E-12,((LTP3!$D$6)*((P4404)*(Q4404)-(R4404)*(R4404))-(S4404)*((U4404)*(Q4404)-(R4404)*(V4404))+(T4404)*((U4404)*(R4404)-(P4404)*(V4404)))/W4404,0)</f>
        <v/>
      </c>
      <c r="Y4404">
        <f>IF(ABS(W4404)&gt;1E-12,((LTP3!$D$5)*((U4404)*(Q4404)-(R4404)*(V4404))-(LTP3!$D$6)*((S4404)*(Q4404)-(R4404)*(T4404))+(T4404)*((S4404)*(V4404)-(U4404)*(T4404)))/W4404,0)</f>
        <v/>
      </c>
      <c r="Z4404">
        <f>IF(ABS(W4404)&gt;1E-12,((LTP3!$D$5)*((P4404)*(V4404)-(U4404)*(R4404))-(S4404)*((S4404)*(V4404)-(U4404)*(T4404))+(LTP3!$D$6)*((S4404)*(R4404)-(P4404)*(T4404)))/W4404,0)</f>
        <v/>
      </c>
      <c r="AA4404">
        <f>LTP3!$D$7-X4404*LTP3!$D$6-Y4404*U4404-Z4404*V4404</f>
        <v/>
      </c>
      <c r="AB4404">
        <f>IF(AND(F4404,ABS(W4404)&gt;1E-12,Y4404&gt;0,Z4404&gt;0),AA4404,1E+300)</f>
        <v/>
      </c>
    </row>
    <row r="4405">
      <c r="A4405">
        <f>$I$4-$B$5/10+$B$5*10/100</f>
        <v/>
      </c>
      <c r="B4405">
        <f>$J$4-$B$5/10+$B$5*15/100</f>
        <v/>
      </c>
      <c r="C4405">
        <f>SUMPRODUCT(Calc!$K$3:$K$22*(Calc!$G$3:$G$22&lt;=A4405))</f>
        <v/>
      </c>
      <c r="D4405">
        <f>SUMPRODUCT(Calc!$K$3:$K$22*(Calc!$G$3:$G$22&gt;A4405)*(Calc!$G$3:$G$22&lt;B4405))</f>
        <v/>
      </c>
      <c r="E4405">
        <f>SUMPRODUCT(Calc!$K$3:$K$22*(Calc!$G$3:$G$22&gt;=B4405))</f>
        <v/>
      </c>
      <c r="F4405">
        <f>AND(k_n&gt;=5,B4405&gt;A4405+1E-9,C4405&gt;=2,D4405&gt;=1,E4405&gt;=2)</f>
        <v/>
      </c>
      <c r="G4405">
        <f>SUMPRODUCT(Calc!$K$3:$K$22*(Calc!$G$3:$G$22&gt;A4405)*(Calc!$G$3:$G$22-A4405))</f>
        <v/>
      </c>
      <c r="H4405">
        <f>SUMPRODUCT(Calc!$K$3:$K$22*(Calc!$G$3:$G$22&gt;B4405)*(Calc!$G$3:$G$22-B4405))</f>
        <v/>
      </c>
      <c r="I4405">
        <f>SUMPRODUCT(Calc!$K$3:$K$22*(Calc!$G$3:$G$22&gt;A4405)*(Calc!$G$3:$G$22-A4405)^2)</f>
        <v/>
      </c>
      <c r="J4405">
        <f>SUMPRODUCT(Calc!$K$3:$K$22*(Calc!$G$3:$G$22&gt;B4405)*(Calc!$G$3:$G$22-B4405)^2)</f>
        <v/>
      </c>
      <c r="K4405">
        <f>SUMPRODUCT(Calc!$K$3:$K$22*(Calc!$G$3:$G$22&gt;A4405)*(Calc!$G$3:$G$22-A4405)*(Calc!$G$3:$G$22&gt;B4405)*(Calc!$G$3:$G$22-B4405))</f>
        <v/>
      </c>
      <c r="L4405">
        <f>SUMPRODUCT(Calc!$K$3:$K$22*(Calc!$G$3:$G$22&gt;A4405)*(Calc!$G$3:$G$22-A4405)*Calc!$G$3:$G$22)</f>
        <v/>
      </c>
      <c r="M4405">
        <f>SUMPRODUCT(Calc!$K$3:$K$22*(Calc!$G$3:$G$22&gt;B4405)*(Calc!$G$3:$G$22-B4405)*Calc!$G$3:$G$22)</f>
        <v/>
      </c>
      <c r="N4405">
        <f>SUMPRODUCT(Calc!$K$3:$K$22*(Calc!$G$3:$G$22&gt;A4405)*(Calc!$G$3:$G$22-A4405)*Calc!$I$3:$I$22)</f>
        <v/>
      </c>
      <c r="O4405">
        <f>SUMPRODUCT(Calc!$K$3:$K$22*(Calc!$G$3:$G$22&gt;B4405)*(Calc!$G$3:$G$22-B4405)*Calc!$I$3:$I$22)</f>
        <v/>
      </c>
      <c r="P4405">
        <f>I4405-G4405^2/k_n</f>
        <v/>
      </c>
      <c r="Q4405">
        <f>J4405-H4405^2/k_n</f>
        <v/>
      </c>
      <c r="R4405">
        <f>K4405-G4405*H4405/k_n</f>
        <v/>
      </c>
      <c r="S4405">
        <f>L4405-LTP3!$D$3*G4405/k_n</f>
        <v/>
      </c>
      <c r="T4405">
        <f>M4405-LTP3!$D$3*H4405/k_n</f>
        <v/>
      </c>
      <c r="U4405">
        <f>N4405-G4405*LTP3!$D$4/k_n</f>
        <v/>
      </c>
      <c r="V4405">
        <f>O4405-H4405*LTP3!$D$4/k_n</f>
        <v/>
      </c>
      <c r="W4405">
        <f>((LTP3!$D$5)*((P4405)*(Q4405)-(R4405)*(R4405))-(S4405)*((S4405)*(Q4405)-(R4405)*(T4405))+(T4405)*((S4405)*(R4405)-(P4405)*(T4405)))</f>
        <v/>
      </c>
      <c r="X4405">
        <f>IF(ABS(W4405)&gt;1E-12,((LTP3!$D$6)*((P4405)*(Q4405)-(R4405)*(R4405))-(S4405)*((U4405)*(Q4405)-(R4405)*(V4405))+(T4405)*((U4405)*(R4405)-(P4405)*(V4405)))/W4405,0)</f>
        <v/>
      </c>
      <c r="Y4405">
        <f>IF(ABS(W4405)&gt;1E-12,((LTP3!$D$5)*((U4405)*(Q4405)-(R4405)*(V4405))-(LTP3!$D$6)*((S4405)*(Q4405)-(R4405)*(T4405))+(T4405)*((S4405)*(V4405)-(U4405)*(T4405)))/W4405,0)</f>
        <v/>
      </c>
      <c r="Z4405">
        <f>IF(ABS(W4405)&gt;1E-12,((LTP3!$D$5)*((P4405)*(V4405)-(U4405)*(R4405))-(S4405)*((S4405)*(V4405)-(U4405)*(T4405))+(LTP3!$D$6)*((S4405)*(R4405)-(P4405)*(T4405)))/W4405,0)</f>
        <v/>
      </c>
      <c r="AA4405">
        <f>LTP3!$D$7-X4405*LTP3!$D$6-Y4405*U4405-Z4405*V4405</f>
        <v/>
      </c>
      <c r="AB4405">
        <f>IF(AND(F4405,ABS(W4405)&gt;1E-12,Y4405&gt;0,Z4405&gt;0),AA4405,1E+300)</f>
        <v/>
      </c>
    </row>
    <row r="4406">
      <c r="A4406">
        <f>$I$4-$B$5/10+$B$5*10/100</f>
        <v/>
      </c>
      <c r="B4406">
        <f>$J$4-$B$5/10+$B$5*16/100</f>
        <v/>
      </c>
      <c r="C4406">
        <f>SUMPRODUCT(Calc!$K$3:$K$22*(Calc!$G$3:$G$22&lt;=A4406))</f>
        <v/>
      </c>
      <c r="D4406">
        <f>SUMPRODUCT(Calc!$K$3:$K$22*(Calc!$G$3:$G$22&gt;A4406)*(Calc!$G$3:$G$22&lt;B4406))</f>
        <v/>
      </c>
      <c r="E4406">
        <f>SUMPRODUCT(Calc!$K$3:$K$22*(Calc!$G$3:$G$22&gt;=B4406))</f>
        <v/>
      </c>
      <c r="F4406">
        <f>AND(k_n&gt;=5,B4406&gt;A4406+1E-9,C4406&gt;=2,D4406&gt;=1,E4406&gt;=2)</f>
        <v/>
      </c>
      <c r="G4406">
        <f>SUMPRODUCT(Calc!$K$3:$K$22*(Calc!$G$3:$G$22&gt;A4406)*(Calc!$G$3:$G$22-A4406))</f>
        <v/>
      </c>
      <c r="H4406">
        <f>SUMPRODUCT(Calc!$K$3:$K$22*(Calc!$G$3:$G$22&gt;B4406)*(Calc!$G$3:$G$22-B4406))</f>
        <v/>
      </c>
      <c r="I4406">
        <f>SUMPRODUCT(Calc!$K$3:$K$22*(Calc!$G$3:$G$22&gt;A4406)*(Calc!$G$3:$G$22-A4406)^2)</f>
        <v/>
      </c>
      <c r="J4406">
        <f>SUMPRODUCT(Calc!$K$3:$K$22*(Calc!$G$3:$G$22&gt;B4406)*(Calc!$G$3:$G$22-B4406)^2)</f>
        <v/>
      </c>
      <c r="K4406">
        <f>SUMPRODUCT(Calc!$K$3:$K$22*(Calc!$G$3:$G$22&gt;A4406)*(Calc!$G$3:$G$22-A4406)*(Calc!$G$3:$G$22&gt;B4406)*(Calc!$G$3:$G$22-B4406))</f>
        <v/>
      </c>
      <c r="L4406">
        <f>SUMPRODUCT(Calc!$K$3:$K$22*(Calc!$G$3:$G$22&gt;A4406)*(Calc!$G$3:$G$22-A4406)*Calc!$G$3:$G$22)</f>
        <v/>
      </c>
      <c r="M4406">
        <f>SUMPRODUCT(Calc!$K$3:$K$22*(Calc!$G$3:$G$22&gt;B4406)*(Calc!$G$3:$G$22-B4406)*Calc!$G$3:$G$22)</f>
        <v/>
      </c>
      <c r="N4406">
        <f>SUMPRODUCT(Calc!$K$3:$K$22*(Calc!$G$3:$G$22&gt;A4406)*(Calc!$G$3:$G$22-A4406)*Calc!$I$3:$I$22)</f>
        <v/>
      </c>
      <c r="O4406">
        <f>SUMPRODUCT(Calc!$K$3:$K$22*(Calc!$G$3:$G$22&gt;B4406)*(Calc!$G$3:$G$22-B4406)*Calc!$I$3:$I$22)</f>
        <v/>
      </c>
      <c r="P4406">
        <f>I4406-G4406^2/k_n</f>
        <v/>
      </c>
      <c r="Q4406">
        <f>J4406-H4406^2/k_n</f>
        <v/>
      </c>
      <c r="R4406">
        <f>K4406-G4406*H4406/k_n</f>
        <v/>
      </c>
      <c r="S4406">
        <f>L4406-LTP3!$D$3*G4406/k_n</f>
        <v/>
      </c>
      <c r="T4406">
        <f>M4406-LTP3!$D$3*H4406/k_n</f>
        <v/>
      </c>
      <c r="U4406">
        <f>N4406-G4406*LTP3!$D$4/k_n</f>
        <v/>
      </c>
      <c r="V4406">
        <f>O4406-H4406*LTP3!$D$4/k_n</f>
        <v/>
      </c>
      <c r="W4406">
        <f>((LTP3!$D$5)*((P4406)*(Q4406)-(R4406)*(R4406))-(S4406)*((S4406)*(Q4406)-(R4406)*(T4406))+(T4406)*((S4406)*(R4406)-(P4406)*(T4406)))</f>
        <v/>
      </c>
      <c r="X4406">
        <f>IF(ABS(W4406)&gt;1E-12,((LTP3!$D$6)*((P4406)*(Q4406)-(R4406)*(R4406))-(S4406)*((U4406)*(Q4406)-(R4406)*(V4406))+(T4406)*((U4406)*(R4406)-(P4406)*(V4406)))/W4406,0)</f>
        <v/>
      </c>
      <c r="Y4406">
        <f>IF(ABS(W4406)&gt;1E-12,((LTP3!$D$5)*((U4406)*(Q4406)-(R4406)*(V4406))-(LTP3!$D$6)*((S4406)*(Q4406)-(R4406)*(T4406))+(T4406)*((S4406)*(V4406)-(U4406)*(T4406)))/W4406,0)</f>
        <v/>
      </c>
      <c r="Z4406">
        <f>IF(ABS(W4406)&gt;1E-12,((LTP3!$D$5)*((P4406)*(V4406)-(U4406)*(R4406))-(S4406)*((S4406)*(V4406)-(U4406)*(T4406))+(LTP3!$D$6)*((S4406)*(R4406)-(P4406)*(T4406)))/W4406,0)</f>
        <v/>
      </c>
      <c r="AA4406">
        <f>LTP3!$D$7-X4406*LTP3!$D$6-Y4406*U4406-Z4406*V4406</f>
        <v/>
      </c>
      <c r="AB4406">
        <f>IF(AND(F4406,ABS(W4406)&gt;1E-12,Y4406&gt;0,Z4406&gt;0),AA4406,1E+300)</f>
        <v/>
      </c>
    </row>
    <row r="4407">
      <c r="A4407">
        <f>$I$4-$B$5/10+$B$5*10/100</f>
        <v/>
      </c>
      <c r="B4407">
        <f>$J$4-$B$5/10+$B$5*17/100</f>
        <v/>
      </c>
      <c r="C4407">
        <f>SUMPRODUCT(Calc!$K$3:$K$22*(Calc!$G$3:$G$22&lt;=A4407))</f>
        <v/>
      </c>
      <c r="D4407">
        <f>SUMPRODUCT(Calc!$K$3:$K$22*(Calc!$G$3:$G$22&gt;A4407)*(Calc!$G$3:$G$22&lt;B4407))</f>
        <v/>
      </c>
      <c r="E4407">
        <f>SUMPRODUCT(Calc!$K$3:$K$22*(Calc!$G$3:$G$22&gt;=B4407))</f>
        <v/>
      </c>
      <c r="F4407">
        <f>AND(k_n&gt;=5,B4407&gt;A4407+1E-9,C4407&gt;=2,D4407&gt;=1,E4407&gt;=2)</f>
        <v/>
      </c>
      <c r="G4407">
        <f>SUMPRODUCT(Calc!$K$3:$K$22*(Calc!$G$3:$G$22&gt;A4407)*(Calc!$G$3:$G$22-A4407))</f>
        <v/>
      </c>
      <c r="H4407">
        <f>SUMPRODUCT(Calc!$K$3:$K$22*(Calc!$G$3:$G$22&gt;B4407)*(Calc!$G$3:$G$22-B4407))</f>
        <v/>
      </c>
      <c r="I4407">
        <f>SUMPRODUCT(Calc!$K$3:$K$22*(Calc!$G$3:$G$22&gt;A4407)*(Calc!$G$3:$G$22-A4407)^2)</f>
        <v/>
      </c>
      <c r="J4407">
        <f>SUMPRODUCT(Calc!$K$3:$K$22*(Calc!$G$3:$G$22&gt;B4407)*(Calc!$G$3:$G$22-B4407)^2)</f>
        <v/>
      </c>
      <c r="K4407">
        <f>SUMPRODUCT(Calc!$K$3:$K$22*(Calc!$G$3:$G$22&gt;A4407)*(Calc!$G$3:$G$22-A4407)*(Calc!$G$3:$G$22&gt;B4407)*(Calc!$G$3:$G$22-B4407))</f>
        <v/>
      </c>
      <c r="L4407">
        <f>SUMPRODUCT(Calc!$K$3:$K$22*(Calc!$G$3:$G$22&gt;A4407)*(Calc!$G$3:$G$22-A4407)*Calc!$G$3:$G$22)</f>
        <v/>
      </c>
      <c r="M4407">
        <f>SUMPRODUCT(Calc!$K$3:$K$22*(Calc!$G$3:$G$22&gt;B4407)*(Calc!$G$3:$G$22-B4407)*Calc!$G$3:$G$22)</f>
        <v/>
      </c>
      <c r="N4407">
        <f>SUMPRODUCT(Calc!$K$3:$K$22*(Calc!$G$3:$G$22&gt;A4407)*(Calc!$G$3:$G$22-A4407)*Calc!$I$3:$I$22)</f>
        <v/>
      </c>
      <c r="O4407">
        <f>SUMPRODUCT(Calc!$K$3:$K$22*(Calc!$G$3:$G$22&gt;B4407)*(Calc!$G$3:$G$22-B4407)*Calc!$I$3:$I$22)</f>
        <v/>
      </c>
      <c r="P4407">
        <f>I4407-G4407^2/k_n</f>
        <v/>
      </c>
      <c r="Q4407">
        <f>J4407-H4407^2/k_n</f>
        <v/>
      </c>
      <c r="R4407">
        <f>K4407-G4407*H4407/k_n</f>
        <v/>
      </c>
      <c r="S4407">
        <f>L4407-LTP3!$D$3*G4407/k_n</f>
        <v/>
      </c>
      <c r="T4407">
        <f>M4407-LTP3!$D$3*H4407/k_n</f>
        <v/>
      </c>
      <c r="U4407">
        <f>N4407-G4407*LTP3!$D$4/k_n</f>
        <v/>
      </c>
      <c r="V4407">
        <f>O4407-H4407*LTP3!$D$4/k_n</f>
        <v/>
      </c>
      <c r="W4407">
        <f>((LTP3!$D$5)*((P4407)*(Q4407)-(R4407)*(R4407))-(S4407)*((S4407)*(Q4407)-(R4407)*(T4407))+(T4407)*((S4407)*(R4407)-(P4407)*(T4407)))</f>
        <v/>
      </c>
      <c r="X4407">
        <f>IF(ABS(W4407)&gt;1E-12,((LTP3!$D$6)*((P4407)*(Q4407)-(R4407)*(R4407))-(S4407)*((U4407)*(Q4407)-(R4407)*(V4407))+(T4407)*((U4407)*(R4407)-(P4407)*(V4407)))/W4407,0)</f>
        <v/>
      </c>
      <c r="Y4407">
        <f>IF(ABS(W4407)&gt;1E-12,((LTP3!$D$5)*((U4407)*(Q4407)-(R4407)*(V4407))-(LTP3!$D$6)*((S4407)*(Q4407)-(R4407)*(T4407))+(T4407)*((S4407)*(V4407)-(U4407)*(T4407)))/W4407,0)</f>
        <v/>
      </c>
      <c r="Z4407">
        <f>IF(ABS(W4407)&gt;1E-12,((LTP3!$D$5)*((P4407)*(V4407)-(U4407)*(R4407))-(S4407)*((S4407)*(V4407)-(U4407)*(T4407))+(LTP3!$D$6)*((S4407)*(R4407)-(P4407)*(T4407)))/W4407,0)</f>
        <v/>
      </c>
      <c r="AA4407">
        <f>LTP3!$D$7-X4407*LTP3!$D$6-Y4407*U4407-Z4407*V4407</f>
        <v/>
      </c>
      <c r="AB4407">
        <f>IF(AND(F4407,ABS(W4407)&gt;1E-12,Y4407&gt;0,Z4407&gt;0),AA4407,1E+300)</f>
        <v/>
      </c>
    </row>
    <row r="4408">
      <c r="A4408">
        <f>$I$4-$B$5/10+$B$5*10/100</f>
        <v/>
      </c>
      <c r="B4408">
        <f>$J$4-$B$5/10+$B$5*18/100</f>
        <v/>
      </c>
      <c r="C4408">
        <f>SUMPRODUCT(Calc!$K$3:$K$22*(Calc!$G$3:$G$22&lt;=A4408))</f>
        <v/>
      </c>
      <c r="D4408">
        <f>SUMPRODUCT(Calc!$K$3:$K$22*(Calc!$G$3:$G$22&gt;A4408)*(Calc!$G$3:$G$22&lt;B4408))</f>
        <v/>
      </c>
      <c r="E4408">
        <f>SUMPRODUCT(Calc!$K$3:$K$22*(Calc!$G$3:$G$22&gt;=B4408))</f>
        <v/>
      </c>
      <c r="F4408">
        <f>AND(k_n&gt;=5,B4408&gt;A4408+1E-9,C4408&gt;=2,D4408&gt;=1,E4408&gt;=2)</f>
        <v/>
      </c>
      <c r="G4408">
        <f>SUMPRODUCT(Calc!$K$3:$K$22*(Calc!$G$3:$G$22&gt;A4408)*(Calc!$G$3:$G$22-A4408))</f>
        <v/>
      </c>
      <c r="H4408">
        <f>SUMPRODUCT(Calc!$K$3:$K$22*(Calc!$G$3:$G$22&gt;B4408)*(Calc!$G$3:$G$22-B4408))</f>
        <v/>
      </c>
      <c r="I4408">
        <f>SUMPRODUCT(Calc!$K$3:$K$22*(Calc!$G$3:$G$22&gt;A4408)*(Calc!$G$3:$G$22-A4408)^2)</f>
        <v/>
      </c>
      <c r="J4408">
        <f>SUMPRODUCT(Calc!$K$3:$K$22*(Calc!$G$3:$G$22&gt;B4408)*(Calc!$G$3:$G$22-B4408)^2)</f>
        <v/>
      </c>
      <c r="K4408">
        <f>SUMPRODUCT(Calc!$K$3:$K$22*(Calc!$G$3:$G$22&gt;A4408)*(Calc!$G$3:$G$22-A4408)*(Calc!$G$3:$G$22&gt;B4408)*(Calc!$G$3:$G$22-B4408))</f>
        <v/>
      </c>
      <c r="L4408">
        <f>SUMPRODUCT(Calc!$K$3:$K$22*(Calc!$G$3:$G$22&gt;A4408)*(Calc!$G$3:$G$22-A4408)*Calc!$G$3:$G$22)</f>
        <v/>
      </c>
      <c r="M4408">
        <f>SUMPRODUCT(Calc!$K$3:$K$22*(Calc!$G$3:$G$22&gt;B4408)*(Calc!$G$3:$G$22-B4408)*Calc!$G$3:$G$22)</f>
        <v/>
      </c>
      <c r="N4408">
        <f>SUMPRODUCT(Calc!$K$3:$K$22*(Calc!$G$3:$G$22&gt;A4408)*(Calc!$G$3:$G$22-A4408)*Calc!$I$3:$I$22)</f>
        <v/>
      </c>
      <c r="O4408">
        <f>SUMPRODUCT(Calc!$K$3:$K$22*(Calc!$G$3:$G$22&gt;B4408)*(Calc!$G$3:$G$22-B4408)*Calc!$I$3:$I$22)</f>
        <v/>
      </c>
      <c r="P4408">
        <f>I4408-G4408^2/k_n</f>
        <v/>
      </c>
      <c r="Q4408">
        <f>J4408-H4408^2/k_n</f>
        <v/>
      </c>
      <c r="R4408">
        <f>K4408-G4408*H4408/k_n</f>
        <v/>
      </c>
      <c r="S4408">
        <f>L4408-LTP3!$D$3*G4408/k_n</f>
        <v/>
      </c>
      <c r="T4408">
        <f>M4408-LTP3!$D$3*H4408/k_n</f>
        <v/>
      </c>
      <c r="U4408">
        <f>N4408-G4408*LTP3!$D$4/k_n</f>
        <v/>
      </c>
      <c r="V4408">
        <f>O4408-H4408*LTP3!$D$4/k_n</f>
        <v/>
      </c>
      <c r="W4408">
        <f>((LTP3!$D$5)*((P4408)*(Q4408)-(R4408)*(R4408))-(S4408)*((S4408)*(Q4408)-(R4408)*(T4408))+(T4408)*((S4408)*(R4408)-(P4408)*(T4408)))</f>
        <v/>
      </c>
      <c r="X4408">
        <f>IF(ABS(W4408)&gt;1E-12,((LTP3!$D$6)*((P4408)*(Q4408)-(R4408)*(R4408))-(S4408)*((U4408)*(Q4408)-(R4408)*(V4408))+(T4408)*((U4408)*(R4408)-(P4408)*(V4408)))/W4408,0)</f>
        <v/>
      </c>
      <c r="Y4408">
        <f>IF(ABS(W4408)&gt;1E-12,((LTP3!$D$5)*((U4408)*(Q4408)-(R4408)*(V4408))-(LTP3!$D$6)*((S4408)*(Q4408)-(R4408)*(T4408))+(T4408)*((S4408)*(V4408)-(U4408)*(T4408)))/W4408,0)</f>
        <v/>
      </c>
      <c r="Z4408">
        <f>IF(ABS(W4408)&gt;1E-12,((LTP3!$D$5)*((P4408)*(V4408)-(U4408)*(R4408))-(S4408)*((S4408)*(V4408)-(U4408)*(T4408))+(LTP3!$D$6)*((S4408)*(R4408)-(P4408)*(T4408)))/W4408,0)</f>
        <v/>
      </c>
      <c r="AA4408">
        <f>LTP3!$D$7-X4408*LTP3!$D$6-Y4408*U4408-Z4408*V4408</f>
        <v/>
      </c>
      <c r="AB4408">
        <f>IF(AND(F4408,ABS(W4408)&gt;1E-12,Y4408&gt;0,Z4408&gt;0),AA4408,1E+300)</f>
        <v/>
      </c>
    </row>
    <row r="4409">
      <c r="A4409">
        <f>$I$4-$B$5/10+$B$5*10/100</f>
        <v/>
      </c>
      <c r="B4409">
        <f>$J$4-$B$5/10+$B$5*19/100</f>
        <v/>
      </c>
      <c r="C4409">
        <f>SUMPRODUCT(Calc!$K$3:$K$22*(Calc!$G$3:$G$22&lt;=A4409))</f>
        <v/>
      </c>
      <c r="D4409">
        <f>SUMPRODUCT(Calc!$K$3:$K$22*(Calc!$G$3:$G$22&gt;A4409)*(Calc!$G$3:$G$22&lt;B4409))</f>
        <v/>
      </c>
      <c r="E4409">
        <f>SUMPRODUCT(Calc!$K$3:$K$22*(Calc!$G$3:$G$22&gt;=B4409))</f>
        <v/>
      </c>
      <c r="F4409">
        <f>AND(k_n&gt;=5,B4409&gt;A4409+1E-9,C4409&gt;=2,D4409&gt;=1,E4409&gt;=2)</f>
        <v/>
      </c>
      <c r="G4409">
        <f>SUMPRODUCT(Calc!$K$3:$K$22*(Calc!$G$3:$G$22&gt;A4409)*(Calc!$G$3:$G$22-A4409))</f>
        <v/>
      </c>
      <c r="H4409">
        <f>SUMPRODUCT(Calc!$K$3:$K$22*(Calc!$G$3:$G$22&gt;B4409)*(Calc!$G$3:$G$22-B4409))</f>
        <v/>
      </c>
      <c r="I4409">
        <f>SUMPRODUCT(Calc!$K$3:$K$22*(Calc!$G$3:$G$22&gt;A4409)*(Calc!$G$3:$G$22-A4409)^2)</f>
        <v/>
      </c>
      <c r="J4409">
        <f>SUMPRODUCT(Calc!$K$3:$K$22*(Calc!$G$3:$G$22&gt;B4409)*(Calc!$G$3:$G$22-B4409)^2)</f>
        <v/>
      </c>
      <c r="K4409">
        <f>SUMPRODUCT(Calc!$K$3:$K$22*(Calc!$G$3:$G$22&gt;A4409)*(Calc!$G$3:$G$22-A4409)*(Calc!$G$3:$G$22&gt;B4409)*(Calc!$G$3:$G$22-B4409))</f>
        <v/>
      </c>
      <c r="L4409">
        <f>SUMPRODUCT(Calc!$K$3:$K$22*(Calc!$G$3:$G$22&gt;A4409)*(Calc!$G$3:$G$22-A4409)*Calc!$G$3:$G$22)</f>
        <v/>
      </c>
      <c r="M4409">
        <f>SUMPRODUCT(Calc!$K$3:$K$22*(Calc!$G$3:$G$22&gt;B4409)*(Calc!$G$3:$G$22-B4409)*Calc!$G$3:$G$22)</f>
        <v/>
      </c>
      <c r="N4409">
        <f>SUMPRODUCT(Calc!$K$3:$K$22*(Calc!$G$3:$G$22&gt;A4409)*(Calc!$G$3:$G$22-A4409)*Calc!$I$3:$I$22)</f>
        <v/>
      </c>
      <c r="O4409">
        <f>SUMPRODUCT(Calc!$K$3:$K$22*(Calc!$G$3:$G$22&gt;B4409)*(Calc!$G$3:$G$22-B4409)*Calc!$I$3:$I$22)</f>
        <v/>
      </c>
      <c r="P4409">
        <f>I4409-G4409^2/k_n</f>
        <v/>
      </c>
      <c r="Q4409">
        <f>J4409-H4409^2/k_n</f>
        <v/>
      </c>
      <c r="R4409">
        <f>K4409-G4409*H4409/k_n</f>
        <v/>
      </c>
      <c r="S4409">
        <f>L4409-LTP3!$D$3*G4409/k_n</f>
        <v/>
      </c>
      <c r="T4409">
        <f>M4409-LTP3!$D$3*H4409/k_n</f>
        <v/>
      </c>
      <c r="U4409">
        <f>N4409-G4409*LTP3!$D$4/k_n</f>
        <v/>
      </c>
      <c r="V4409">
        <f>O4409-H4409*LTP3!$D$4/k_n</f>
        <v/>
      </c>
      <c r="W4409">
        <f>((LTP3!$D$5)*((P4409)*(Q4409)-(R4409)*(R4409))-(S4409)*((S4409)*(Q4409)-(R4409)*(T4409))+(T4409)*((S4409)*(R4409)-(P4409)*(T4409)))</f>
        <v/>
      </c>
      <c r="X4409">
        <f>IF(ABS(W4409)&gt;1E-12,((LTP3!$D$6)*((P4409)*(Q4409)-(R4409)*(R4409))-(S4409)*((U4409)*(Q4409)-(R4409)*(V4409))+(T4409)*((U4409)*(R4409)-(P4409)*(V4409)))/W4409,0)</f>
        <v/>
      </c>
      <c r="Y4409">
        <f>IF(ABS(W4409)&gt;1E-12,((LTP3!$D$5)*((U4409)*(Q4409)-(R4409)*(V4409))-(LTP3!$D$6)*((S4409)*(Q4409)-(R4409)*(T4409))+(T4409)*((S4409)*(V4409)-(U4409)*(T4409)))/W4409,0)</f>
        <v/>
      </c>
      <c r="Z4409">
        <f>IF(ABS(W4409)&gt;1E-12,((LTP3!$D$5)*((P4409)*(V4409)-(U4409)*(R4409))-(S4409)*((S4409)*(V4409)-(U4409)*(T4409))+(LTP3!$D$6)*((S4409)*(R4409)-(P4409)*(T4409)))/W4409,0)</f>
        <v/>
      </c>
      <c r="AA4409">
        <f>LTP3!$D$7-X4409*LTP3!$D$6-Y4409*U4409-Z4409*V4409</f>
        <v/>
      </c>
      <c r="AB4409">
        <f>IF(AND(F4409,ABS(W4409)&gt;1E-12,Y4409&gt;0,Z4409&gt;0),AA4409,1E+300)</f>
        <v/>
      </c>
    </row>
    <row r="4410">
      <c r="A4410">
        <f>$I$4-$B$5/10+$B$5*10/100</f>
        <v/>
      </c>
      <c r="B4410">
        <f>$J$4-$B$5/10+$B$5*20/100</f>
        <v/>
      </c>
      <c r="C4410">
        <f>SUMPRODUCT(Calc!$K$3:$K$22*(Calc!$G$3:$G$22&lt;=A4410))</f>
        <v/>
      </c>
      <c r="D4410">
        <f>SUMPRODUCT(Calc!$K$3:$K$22*(Calc!$G$3:$G$22&gt;A4410)*(Calc!$G$3:$G$22&lt;B4410))</f>
        <v/>
      </c>
      <c r="E4410">
        <f>SUMPRODUCT(Calc!$K$3:$K$22*(Calc!$G$3:$G$22&gt;=B4410))</f>
        <v/>
      </c>
      <c r="F4410">
        <f>AND(k_n&gt;=5,B4410&gt;A4410+1E-9,C4410&gt;=2,D4410&gt;=1,E4410&gt;=2)</f>
        <v/>
      </c>
      <c r="G4410">
        <f>SUMPRODUCT(Calc!$K$3:$K$22*(Calc!$G$3:$G$22&gt;A4410)*(Calc!$G$3:$G$22-A4410))</f>
        <v/>
      </c>
      <c r="H4410">
        <f>SUMPRODUCT(Calc!$K$3:$K$22*(Calc!$G$3:$G$22&gt;B4410)*(Calc!$G$3:$G$22-B4410))</f>
        <v/>
      </c>
      <c r="I4410">
        <f>SUMPRODUCT(Calc!$K$3:$K$22*(Calc!$G$3:$G$22&gt;A4410)*(Calc!$G$3:$G$22-A4410)^2)</f>
        <v/>
      </c>
      <c r="J4410">
        <f>SUMPRODUCT(Calc!$K$3:$K$22*(Calc!$G$3:$G$22&gt;B4410)*(Calc!$G$3:$G$22-B4410)^2)</f>
        <v/>
      </c>
      <c r="K4410">
        <f>SUMPRODUCT(Calc!$K$3:$K$22*(Calc!$G$3:$G$22&gt;A4410)*(Calc!$G$3:$G$22-A4410)*(Calc!$G$3:$G$22&gt;B4410)*(Calc!$G$3:$G$22-B4410))</f>
        <v/>
      </c>
      <c r="L4410">
        <f>SUMPRODUCT(Calc!$K$3:$K$22*(Calc!$G$3:$G$22&gt;A4410)*(Calc!$G$3:$G$22-A4410)*Calc!$G$3:$G$22)</f>
        <v/>
      </c>
      <c r="M4410">
        <f>SUMPRODUCT(Calc!$K$3:$K$22*(Calc!$G$3:$G$22&gt;B4410)*(Calc!$G$3:$G$22-B4410)*Calc!$G$3:$G$22)</f>
        <v/>
      </c>
      <c r="N4410">
        <f>SUMPRODUCT(Calc!$K$3:$K$22*(Calc!$G$3:$G$22&gt;A4410)*(Calc!$G$3:$G$22-A4410)*Calc!$I$3:$I$22)</f>
        <v/>
      </c>
      <c r="O4410">
        <f>SUMPRODUCT(Calc!$K$3:$K$22*(Calc!$G$3:$G$22&gt;B4410)*(Calc!$G$3:$G$22-B4410)*Calc!$I$3:$I$22)</f>
        <v/>
      </c>
      <c r="P4410">
        <f>I4410-G4410^2/k_n</f>
        <v/>
      </c>
      <c r="Q4410">
        <f>J4410-H4410^2/k_n</f>
        <v/>
      </c>
      <c r="R4410">
        <f>K4410-G4410*H4410/k_n</f>
        <v/>
      </c>
      <c r="S4410">
        <f>L4410-LTP3!$D$3*G4410/k_n</f>
        <v/>
      </c>
      <c r="T4410">
        <f>M4410-LTP3!$D$3*H4410/k_n</f>
        <v/>
      </c>
      <c r="U4410">
        <f>N4410-G4410*LTP3!$D$4/k_n</f>
        <v/>
      </c>
      <c r="V4410">
        <f>O4410-H4410*LTP3!$D$4/k_n</f>
        <v/>
      </c>
      <c r="W4410">
        <f>((LTP3!$D$5)*((P4410)*(Q4410)-(R4410)*(R4410))-(S4410)*((S4410)*(Q4410)-(R4410)*(T4410))+(T4410)*((S4410)*(R4410)-(P4410)*(T4410)))</f>
        <v/>
      </c>
      <c r="X4410">
        <f>IF(ABS(W4410)&gt;1E-12,((LTP3!$D$6)*((P4410)*(Q4410)-(R4410)*(R4410))-(S4410)*((U4410)*(Q4410)-(R4410)*(V4410))+(T4410)*((U4410)*(R4410)-(P4410)*(V4410)))/W4410,0)</f>
        <v/>
      </c>
      <c r="Y4410">
        <f>IF(ABS(W4410)&gt;1E-12,((LTP3!$D$5)*((U4410)*(Q4410)-(R4410)*(V4410))-(LTP3!$D$6)*((S4410)*(Q4410)-(R4410)*(T4410))+(T4410)*((S4410)*(V4410)-(U4410)*(T4410)))/W4410,0)</f>
        <v/>
      </c>
      <c r="Z4410">
        <f>IF(ABS(W4410)&gt;1E-12,((LTP3!$D$5)*((P4410)*(V4410)-(U4410)*(R4410))-(S4410)*((S4410)*(V4410)-(U4410)*(T4410))+(LTP3!$D$6)*((S4410)*(R4410)-(P4410)*(T4410)))/W4410,0)</f>
        <v/>
      </c>
      <c r="AA4410">
        <f>LTP3!$D$7-X4410*LTP3!$D$6-Y4410*U4410-Z4410*V4410</f>
        <v/>
      </c>
      <c r="AB4410">
        <f>IF(AND(F4410,ABS(W4410)&gt;1E-12,Y4410&gt;0,Z4410&gt;0),AA4410,1E+300)</f>
        <v/>
      </c>
    </row>
    <row r="4411">
      <c r="A4411">
        <f>$I$4-$B$5/10+$B$5*11/100</f>
        <v/>
      </c>
      <c r="B4411">
        <f>$J$4-$B$5/10+$B$5*0/100</f>
        <v/>
      </c>
      <c r="C4411">
        <f>SUMPRODUCT(Calc!$K$3:$K$22*(Calc!$G$3:$G$22&lt;=A4411))</f>
        <v/>
      </c>
      <c r="D4411">
        <f>SUMPRODUCT(Calc!$K$3:$K$22*(Calc!$G$3:$G$22&gt;A4411)*(Calc!$G$3:$G$22&lt;B4411))</f>
        <v/>
      </c>
      <c r="E4411">
        <f>SUMPRODUCT(Calc!$K$3:$K$22*(Calc!$G$3:$G$22&gt;=B4411))</f>
        <v/>
      </c>
      <c r="F4411">
        <f>AND(k_n&gt;=5,B4411&gt;A4411+1E-9,C4411&gt;=2,D4411&gt;=1,E4411&gt;=2)</f>
        <v/>
      </c>
      <c r="G4411">
        <f>SUMPRODUCT(Calc!$K$3:$K$22*(Calc!$G$3:$G$22&gt;A4411)*(Calc!$G$3:$G$22-A4411))</f>
        <v/>
      </c>
      <c r="H4411">
        <f>SUMPRODUCT(Calc!$K$3:$K$22*(Calc!$G$3:$G$22&gt;B4411)*(Calc!$G$3:$G$22-B4411))</f>
        <v/>
      </c>
      <c r="I4411">
        <f>SUMPRODUCT(Calc!$K$3:$K$22*(Calc!$G$3:$G$22&gt;A4411)*(Calc!$G$3:$G$22-A4411)^2)</f>
        <v/>
      </c>
      <c r="J4411">
        <f>SUMPRODUCT(Calc!$K$3:$K$22*(Calc!$G$3:$G$22&gt;B4411)*(Calc!$G$3:$G$22-B4411)^2)</f>
        <v/>
      </c>
      <c r="K4411">
        <f>SUMPRODUCT(Calc!$K$3:$K$22*(Calc!$G$3:$G$22&gt;A4411)*(Calc!$G$3:$G$22-A4411)*(Calc!$G$3:$G$22&gt;B4411)*(Calc!$G$3:$G$22-B4411))</f>
        <v/>
      </c>
      <c r="L4411">
        <f>SUMPRODUCT(Calc!$K$3:$K$22*(Calc!$G$3:$G$22&gt;A4411)*(Calc!$G$3:$G$22-A4411)*Calc!$G$3:$G$22)</f>
        <v/>
      </c>
      <c r="M4411">
        <f>SUMPRODUCT(Calc!$K$3:$K$22*(Calc!$G$3:$G$22&gt;B4411)*(Calc!$G$3:$G$22-B4411)*Calc!$G$3:$G$22)</f>
        <v/>
      </c>
      <c r="N4411">
        <f>SUMPRODUCT(Calc!$K$3:$K$22*(Calc!$G$3:$G$22&gt;A4411)*(Calc!$G$3:$G$22-A4411)*Calc!$I$3:$I$22)</f>
        <v/>
      </c>
      <c r="O4411">
        <f>SUMPRODUCT(Calc!$K$3:$K$22*(Calc!$G$3:$G$22&gt;B4411)*(Calc!$G$3:$G$22-B4411)*Calc!$I$3:$I$22)</f>
        <v/>
      </c>
      <c r="P4411">
        <f>I4411-G4411^2/k_n</f>
        <v/>
      </c>
      <c r="Q4411">
        <f>J4411-H4411^2/k_n</f>
        <v/>
      </c>
      <c r="R4411">
        <f>K4411-G4411*H4411/k_n</f>
        <v/>
      </c>
      <c r="S4411">
        <f>L4411-LTP3!$D$3*G4411/k_n</f>
        <v/>
      </c>
      <c r="T4411">
        <f>M4411-LTP3!$D$3*H4411/k_n</f>
        <v/>
      </c>
      <c r="U4411">
        <f>N4411-G4411*LTP3!$D$4/k_n</f>
        <v/>
      </c>
      <c r="V4411">
        <f>O4411-H4411*LTP3!$D$4/k_n</f>
        <v/>
      </c>
      <c r="W4411">
        <f>((LTP3!$D$5)*((P4411)*(Q4411)-(R4411)*(R4411))-(S4411)*((S4411)*(Q4411)-(R4411)*(T4411))+(T4411)*((S4411)*(R4411)-(P4411)*(T4411)))</f>
        <v/>
      </c>
      <c r="X4411">
        <f>IF(ABS(W4411)&gt;1E-12,((LTP3!$D$6)*((P4411)*(Q4411)-(R4411)*(R4411))-(S4411)*((U4411)*(Q4411)-(R4411)*(V4411))+(T4411)*((U4411)*(R4411)-(P4411)*(V4411)))/W4411,0)</f>
        <v/>
      </c>
      <c r="Y4411">
        <f>IF(ABS(W4411)&gt;1E-12,((LTP3!$D$5)*((U4411)*(Q4411)-(R4411)*(V4411))-(LTP3!$D$6)*((S4411)*(Q4411)-(R4411)*(T4411))+(T4411)*((S4411)*(V4411)-(U4411)*(T4411)))/W4411,0)</f>
        <v/>
      </c>
      <c r="Z4411">
        <f>IF(ABS(W4411)&gt;1E-12,((LTP3!$D$5)*((P4411)*(V4411)-(U4411)*(R4411))-(S4411)*((S4411)*(V4411)-(U4411)*(T4411))+(LTP3!$D$6)*((S4411)*(R4411)-(P4411)*(T4411)))/W4411,0)</f>
        <v/>
      </c>
      <c r="AA4411">
        <f>LTP3!$D$7-X4411*LTP3!$D$6-Y4411*U4411-Z4411*V4411</f>
        <v/>
      </c>
      <c r="AB4411">
        <f>IF(AND(F4411,ABS(W4411)&gt;1E-12,Y4411&gt;0,Z4411&gt;0),AA4411,1E+300)</f>
        <v/>
      </c>
    </row>
    <row r="4412">
      <c r="A4412">
        <f>$I$4-$B$5/10+$B$5*11/100</f>
        <v/>
      </c>
      <c r="B4412">
        <f>$J$4-$B$5/10+$B$5*1/100</f>
        <v/>
      </c>
      <c r="C4412">
        <f>SUMPRODUCT(Calc!$K$3:$K$22*(Calc!$G$3:$G$22&lt;=A4412))</f>
        <v/>
      </c>
      <c r="D4412">
        <f>SUMPRODUCT(Calc!$K$3:$K$22*(Calc!$G$3:$G$22&gt;A4412)*(Calc!$G$3:$G$22&lt;B4412))</f>
        <v/>
      </c>
      <c r="E4412">
        <f>SUMPRODUCT(Calc!$K$3:$K$22*(Calc!$G$3:$G$22&gt;=B4412))</f>
        <v/>
      </c>
      <c r="F4412">
        <f>AND(k_n&gt;=5,B4412&gt;A4412+1E-9,C4412&gt;=2,D4412&gt;=1,E4412&gt;=2)</f>
        <v/>
      </c>
      <c r="G4412">
        <f>SUMPRODUCT(Calc!$K$3:$K$22*(Calc!$G$3:$G$22&gt;A4412)*(Calc!$G$3:$G$22-A4412))</f>
        <v/>
      </c>
      <c r="H4412">
        <f>SUMPRODUCT(Calc!$K$3:$K$22*(Calc!$G$3:$G$22&gt;B4412)*(Calc!$G$3:$G$22-B4412))</f>
        <v/>
      </c>
      <c r="I4412">
        <f>SUMPRODUCT(Calc!$K$3:$K$22*(Calc!$G$3:$G$22&gt;A4412)*(Calc!$G$3:$G$22-A4412)^2)</f>
        <v/>
      </c>
      <c r="J4412">
        <f>SUMPRODUCT(Calc!$K$3:$K$22*(Calc!$G$3:$G$22&gt;B4412)*(Calc!$G$3:$G$22-B4412)^2)</f>
        <v/>
      </c>
      <c r="K4412">
        <f>SUMPRODUCT(Calc!$K$3:$K$22*(Calc!$G$3:$G$22&gt;A4412)*(Calc!$G$3:$G$22-A4412)*(Calc!$G$3:$G$22&gt;B4412)*(Calc!$G$3:$G$22-B4412))</f>
        <v/>
      </c>
      <c r="L4412">
        <f>SUMPRODUCT(Calc!$K$3:$K$22*(Calc!$G$3:$G$22&gt;A4412)*(Calc!$G$3:$G$22-A4412)*Calc!$G$3:$G$22)</f>
        <v/>
      </c>
      <c r="M4412">
        <f>SUMPRODUCT(Calc!$K$3:$K$22*(Calc!$G$3:$G$22&gt;B4412)*(Calc!$G$3:$G$22-B4412)*Calc!$G$3:$G$22)</f>
        <v/>
      </c>
      <c r="N4412">
        <f>SUMPRODUCT(Calc!$K$3:$K$22*(Calc!$G$3:$G$22&gt;A4412)*(Calc!$G$3:$G$22-A4412)*Calc!$I$3:$I$22)</f>
        <v/>
      </c>
      <c r="O4412">
        <f>SUMPRODUCT(Calc!$K$3:$K$22*(Calc!$G$3:$G$22&gt;B4412)*(Calc!$G$3:$G$22-B4412)*Calc!$I$3:$I$22)</f>
        <v/>
      </c>
      <c r="P4412">
        <f>I4412-G4412^2/k_n</f>
        <v/>
      </c>
      <c r="Q4412">
        <f>J4412-H4412^2/k_n</f>
        <v/>
      </c>
      <c r="R4412">
        <f>K4412-G4412*H4412/k_n</f>
        <v/>
      </c>
      <c r="S4412">
        <f>L4412-LTP3!$D$3*G4412/k_n</f>
        <v/>
      </c>
      <c r="T4412">
        <f>M4412-LTP3!$D$3*H4412/k_n</f>
        <v/>
      </c>
      <c r="U4412">
        <f>N4412-G4412*LTP3!$D$4/k_n</f>
        <v/>
      </c>
      <c r="V4412">
        <f>O4412-H4412*LTP3!$D$4/k_n</f>
        <v/>
      </c>
      <c r="W4412">
        <f>((LTP3!$D$5)*((P4412)*(Q4412)-(R4412)*(R4412))-(S4412)*((S4412)*(Q4412)-(R4412)*(T4412))+(T4412)*((S4412)*(R4412)-(P4412)*(T4412)))</f>
        <v/>
      </c>
      <c r="X4412">
        <f>IF(ABS(W4412)&gt;1E-12,((LTP3!$D$6)*((P4412)*(Q4412)-(R4412)*(R4412))-(S4412)*((U4412)*(Q4412)-(R4412)*(V4412))+(T4412)*((U4412)*(R4412)-(P4412)*(V4412)))/W4412,0)</f>
        <v/>
      </c>
      <c r="Y4412">
        <f>IF(ABS(W4412)&gt;1E-12,((LTP3!$D$5)*((U4412)*(Q4412)-(R4412)*(V4412))-(LTP3!$D$6)*((S4412)*(Q4412)-(R4412)*(T4412))+(T4412)*((S4412)*(V4412)-(U4412)*(T4412)))/W4412,0)</f>
        <v/>
      </c>
      <c r="Z4412">
        <f>IF(ABS(W4412)&gt;1E-12,((LTP3!$D$5)*((P4412)*(V4412)-(U4412)*(R4412))-(S4412)*((S4412)*(V4412)-(U4412)*(T4412))+(LTP3!$D$6)*((S4412)*(R4412)-(P4412)*(T4412)))/W4412,0)</f>
        <v/>
      </c>
      <c r="AA4412">
        <f>LTP3!$D$7-X4412*LTP3!$D$6-Y4412*U4412-Z4412*V4412</f>
        <v/>
      </c>
      <c r="AB4412">
        <f>IF(AND(F4412,ABS(W4412)&gt;1E-12,Y4412&gt;0,Z4412&gt;0),AA4412,1E+300)</f>
        <v/>
      </c>
    </row>
    <row r="4413">
      <c r="A4413">
        <f>$I$4-$B$5/10+$B$5*11/100</f>
        <v/>
      </c>
      <c r="B4413">
        <f>$J$4-$B$5/10+$B$5*2/100</f>
        <v/>
      </c>
      <c r="C4413">
        <f>SUMPRODUCT(Calc!$K$3:$K$22*(Calc!$G$3:$G$22&lt;=A4413))</f>
        <v/>
      </c>
      <c r="D4413">
        <f>SUMPRODUCT(Calc!$K$3:$K$22*(Calc!$G$3:$G$22&gt;A4413)*(Calc!$G$3:$G$22&lt;B4413))</f>
        <v/>
      </c>
      <c r="E4413">
        <f>SUMPRODUCT(Calc!$K$3:$K$22*(Calc!$G$3:$G$22&gt;=B4413))</f>
        <v/>
      </c>
      <c r="F4413">
        <f>AND(k_n&gt;=5,B4413&gt;A4413+1E-9,C4413&gt;=2,D4413&gt;=1,E4413&gt;=2)</f>
        <v/>
      </c>
      <c r="G4413">
        <f>SUMPRODUCT(Calc!$K$3:$K$22*(Calc!$G$3:$G$22&gt;A4413)*(Calc!$G$3:$G$22-A4413))</f>
        <v/>
      </c>
      <c r="H4413">
        <f>SUMPRODUCT(Calc!$K$3:$K$22*(Calc!$G$3:$G$22&gt;B4413)*(Calc!$G$3:$G$22-B4413))</f>
        <v/>
      </c>
      <c r="I4413">
        <f>SUMPRODUCT(Calc!$K$3:$K$22*(Calc!$G$3:$G$22&gt;A4413)*(Calc!$G$3:$G$22-A4413)^2)</f>
        <v/>
      </c>
      <c r="J4413">
        <f>SUMPRODUCT(Calc!$K$3:$K$22*(Calc!$G$3:$G$22&gt;B4413)*(Calc!$G$3:$G$22-B4413)^2)</f>
        <v/>
      </c>
      <c r="K4413">
        <f>SUMPRODUCT(Calc!$K$3:$K$22*(Calc!$G$3:$G$22&gt;A4413)*(Calc!$G$3:$G$22-A4413)*(Calc!$G$3:$G$22&gt;B4413)*(Calc!$G$3:$G$22-B4413))</f>
        <v/>
      </c>
      <c r="L4413">
        <f>SUMPRODUCT(Calc!$K$3:$K$22*(Calc!$G$3:$G$22&gt;A4413)*(Calc!$G$3:$G$22-A4413)*Calc!$G$3:$G$22)</f>
        <v/>
      </c>
      <c r="M4413">
        <f>SUMPRODUCT(Calc!$K$3:$K$22*(Calc!$G$3:$G$22&gt;B4413)*(Calc!$G$3:$G$22-B4413)*Calc!$G$3:$G$22)</f>
        <v/>
      </c>
      <c r="N4413">
        <f>SUMPRODUCT(Calc!$K$3:$K$22*(Calc!$G$3:$G$22&gt;A4413)*(Calc!$G$3:$G$22-A4413)*Calc!$I$3:$I$22)</f>
        <v/>
      </c>
      <c r="O4413">
        <f>SUMPRODUCT(Calc!$K$3:$K$22*(Calc!$G$3:$G$22&gt;B4413)*(Calc!$G$3:$G$22-B4413)*Calc!$I$3:$I$22)</f>
        <v/>
      </c>
      <c r="P4413">
        <f>I4413-G4413^2/k_n</f>
        <v/>
      </c>
      <c r="Q4413">
        <f>J4413-H4413^2/k_n</f>
        <v/>
      </c>
      <c r="R4413">
        <f>K4413-G4413*H4413/k_n</f>
        <v/>
      </c>
      <c r="S4413">
        <f>L4413-LTP3!$D$3*G4413/k_n</f>
        <v/>
      </c>
      <c r="T4413">
        <f>M4413-LTP3!$D$3*H4413/k_n</f>
        <v/>
      </c>
      <c r="U4413">
        <f>N4413-G4413*LTP3!$D$4/k_n</f>
        <v/>
      </c>
      <c r="V4413">
        <f>O4413-H4413*LTP3!$D$4/k_n</f>
        <v/>
      </c>
      <c r="W4413">
        <f>((LTP3!$D$5)*((P4413)*(Q4413)-(R4413)*(R4413))-(S4413)*((S4413)*(Q4413)-(R4413)*(T4413))+(T4413)*((S4413)*(R4413)-(P4413)*(T4413)))</f>
        <v/>
      </c>
      <c r="X4413">
        <f>IF(ABS(W4413)&gt;1E-12,((LTP3!$D$6)*((P4413)*(Q4413)-(R4413)*(R4413))-(S4413)*((U4413)*(Q4413)-(R4413)*(V4413))+(T4413)*((U4413)*(R4413)-(P4413)*(V4413)))/W4413,0)</f>
        <v/>
      </c>
      <c r="Y4413">
        <f>IF(ABS(W4413)&gt;1E-12,((LTP3!$D$5)*((U4413)*(Q4413)-(R4413)*(V4413))-(LTP3!$D$6)*((S4413)*(Q4413)-(R4413)*(T4413))+(T4413)*((S4413)*(V4413)-(U4413)*(T4413)))/W4413,0)</f>
        <v/>
      </c>
      <c r="Z4413">
        <f>IF(ABS(W4413)&gt;1E-12,((LTP3!$D$5)*((P4413)*(V4413)-(U4413)*(R4413))-(S4413)*((S4413)*(V4413)-(U4413)*(T4413))+(LTP3!$D$6)*((S4413)*(R4413)-(P4413)*(T4413)))/W4413,0)</f>
        <v/>
      </c>
      <c r="AA4413">
        <f>LTP3!$D$7-X4413*LTP3!$D$6-Y4413*U4413-Z4413*V4413</f>
        <v/>
      </c>
      <c r="AB4413">
        <f>IF(AND(F4413,ABS(W4413)&gt;1E-12,Y4413&gt;0,Z4413&gt;0),AA4413,1E+300)</f>
        <v/>
      </c>
    </row>
    <row r="4414">
      <c r="A4414">
        <f>$I$4-$B$5/10+$B$5*11/100</f>
        <v/>
      </c>
      <c r="B4414">
        <f>$J$4-$B$5/10+$B$5*3/100</f>
        <v/>
      </c>
      <c r="C4414">
        <f>SUMPRODUCT(Calc!$K$3:$K$22*(Calc!$G$3:$G$22&lt;=A4414))</f>
        <v/>
      </c>
      <c r="D4414">
        <f>SUMPRODUCT(Calc!$K$3:$K$22*(Calc!$G$3:$G$22&gt;A4414)*(Calc!$G$3:$G$22&lt;B4414))</f>
        <v/>
      </c>
      <c r="E4414">
        <f>SUMPRODUCT(Calc!$K$3:$K$22*(Calc!$G$3:$G$22&gt;=B4414))</f>
        <v/>
      </c>
      <c r="F4414">
        <f>AND(k_n&gt;=5,B4414&gt;A4414+1E-9,C4414&gt;=2,D4414&gt;=1,E4414&gt;=2)</f>
        <v/>
      </c>
      <c r="G4414">
        <f>SUMPRODUCT(Calc!$K$3:$K$22*(Calc!$G$3:$G$22&gt;A4414)*(Calc!$G$3:$G$22-A4414))</f>
        <v/>
      </c>
      <c r="H4414">
        <f>SUMPRODUCT(Calc!$K$3:$K$22*(Calc!$G$3:$G$22&gt;B4414)*(Calc!$G$3:$G$22-B4414))</f>
        <v/>
      </c>
      <c r="I4414">
        <f>SUMPRODUCT(Calc!$K$3:$K$22*(Calc!$G$3:$G$22&gt;A4414)*(Calc!$G$3:$G$22-A4414)^2)</f>
        <v/>
      </c>
      <c r="J4414">
        <f>SUMPRODUCT(Calc!$K$3:$K$22*(Calc!$G$3:$G$22&gt;B4414)*(Calc!$G$3:$G$22-B4414)^2)</f>
        <v/>
      </c>
      <c r="K4414">
        <f>SUMPRODUCT(Calc!$K$3:$K$22*(Calc!$G$3:$G$22&gt;A4414)*(Calc!$G$3:$G$22-A4414)*(Calc!$G$3:$G$22&gt;B4414)*(Calc!$G$3:$G$22-B4414))</f>
        <v/>
      </c>
      <c r="L4414">
        <f>SUMPRODUCT(Calc!$K$3:$K$22*(Calc!$G$3:$G$22&gt;A4414)*(Calc!$G$3:$G$22-A4414)*Calc!$G$3:$G$22)</f>
        <v/>
      </c>
      <c r="M4414">
        <f>SUMPRODUCT(Calc!$K$3:$K$22*(Calc!$G$3:$G$22&gt;B4414)*(Calc!$G$3:$G$22-B4414)*Calc!$G$3:$G$22)</f>
        <v/>
      </c>
      <c r="N4414">
        <f>SUMPRODUCT(Calc!$K$3:$K$22*(Calc!$G$3:$G$22&gt;A4414)*(Calc!$G$3:$G$22-A4414)*Calc!$I$3:$I$22)</f>
        <v/>
      </c>
      <c r="O4414">
        <f>SUMPRODUCT(Calc!$K$3:$K$22*(Calc!$G$3:$G$22&gt;B4414)*(Calc!$G$3:$G$22-B4414)*Calc!$I$3:$I$22)</f>
        <v/>
      </c>
      <c r="P4414">
        <f>I4414-G4414^2/k_n</f>
        <v/>
      </c>
      <c r="Q4414">
        <f>J4414-H4414^2/k_n</f>
        <v/>
      </c>
      <c r="R4414">
        <f>K4414-G4414*H4414/k_n</f>
        <v/>
      </c>
      <c r="S4414">
        <f>L4414-LTP3!$D$3*G4414/k_n</f>
        <v/>
      </c>
      <c r="T4414">
        <f>M4414-LTP3!$D$3*H4414/k_n</f>
        <v/>
      </c>
      <c r="U4414">
        <f>N4414-G4414*LTP3!$D$4/k_n</f>
        <v/>
      </c>
      <c r="V4414">
        <f>O4414-H4414*LTP3!$D$4/k_n</f>
        <v/>
      </c>
      <c r="W4414">
        <f>((LTP3!$D$5)*((P4414)*(Q4414)-(R4414)*(R4414))-(S4414)*((S4414)*(Q4414)-(R4414)*(T4414))+(T4414)*((S4414)*(R4414)-(P4414)*(T4414)))</f>
        <v/>
      </c>
      <c r="X4414">
        <f>IF(ABS(W4414)&gt;1E-12,((LTP3!$D$6)*((P4414)*(Q4414)-(R4414)*(R4414))-(S4414)*((U4414)*(Q4414)-(R4414)*(V4414))+(T4414)*((U4414)*(R4414)-(P4414)*(V4414)))/W4414,0)</f>
        <v/>
      </c>
      <c r="Y4414">
        <f>IF(ABS(W4414)&gt;1E-12,((LTP3!$D$5)*((U4414)*(Q4414)-(R4414)*(V4414))-(LTP3!$D$6)*((S4414)*(Q4414)-(R4414)*(T4414))+(T4414)*((S4414)*(V4414)-(U4414)*(T4414)))/W4414,0)</f>
        <v/>
      </c>
      <c r="Z4414">
        <f>IF(ABS(W4414)&gt;1E-12,((LTP3!$D$5)*((P4414)*(V4414)-(U4414)*(R4414))-(S4414)*((S4414)*(V4414)-(U4414)*(T4414))+(LTP3!$D$6)*((S4414)*(R4414)-(P4414)*(T4414)))/W4414,0)</f>
        <v/>
      </c>
      <c r="AA4414">
        <f>LTP3!$D$7-X4414*LTP3!$D$6-Y4414*U4414-Z4414*V4414</f>
        <v/>
      </c>
      <c r="AB4414">
        <f>IF(AND(F4414,ABS(W4414)&gt;1E-12,Y4414&gt;0,Z4414&gt;0),AA4414,1E+300)</f>
        <v/>
      </c>
    </row>
    <row r="4415">
      <c r="A4415">
        <f>$I$4-$B$5/10+$B$5*11/100</f>
        <v/>
      </c>
      <c r="B4415">
        <f>$J$4-$B$5/10+$B$5*4/100</f>
        <v/>
      </c>
      <c r="C4415">
        <f>SUMPRODUCT(Calc!$K$3:$K$22*(Calc!$G$3:$G$22&lt;=A4415))</f>
        <v/>
      </c>
      <c r="D4415">
        <f>SUMPRODUCT(Calc!$K$3:$K$22*(Calc!$G$3:$G$22&gt;A4415)*(Calc!$G$3:$G$22&lt;B4415))</f>
        <v/>
      </c>
      <c r="E4415">
        <f>SUMPRODUCT(Calc!$K$3:$K$22*(Calc!$G$3:$G$22&gt;=B4415))</f>
        <v/>
      </c>
      <c r="F4415">
        <f>AND(k_n&gt;=5,B4415&gt;A4415+1E-9,C4415&gt;=2,D4415&gt;=1,E4415&gt;=2)</f>
        <v/>
      </c>
      <c r="G4415">
        <f>SUMPRODUCT(Calc!$K$3:$K$22*(Calc!$G$3:$G$22&gt;A4415)*(Calc!$G$3:$G$22-A4415))</f>
        <v/>
      </c>
      <c r="H4415">
        <f>SUMPRODUCT(Calc!$K$3:$K$22*(Calc!$G$3:$G$22&gt;B4415)*(Calc!$G$3:$G$22-B4415))</f>
        <v/>
      </c>
      <c r="I4415">
        <f>SUMPRODUCT(Calc!$K$3:$K$22*(Calc!$G$3:$G$22&gt;A4415)*(Calc!$G$3:$G$22-A4415)^2)</f>
        <v/>
      </c>
      <c r="J4415">
        <f>SUMPRODUCT(Calc!$K$3:$K$22*(Calc!$G$3:$G$22&gt;B4415)*(Calc!$G$3:$G$22-B4415)^2)</f>
        <v/>
      </c>
      <c r="K4415">
        <f>SUMPRODUCT(Calc!$K$3:$K$22*(Calc!$G$3:$G$22&gt;A4415)*(Calc!$G$3:$G$22-A4415)*(Calc!$G$3:$G$22&gt;B4415)*(Calc!$G$3:$G$22-B4415))</f>
        <v/>
      </c>
      <c r="L4415">
        <f>SUMPRODUCT(Calc!$K$3:$K$22*(Calc!$G$3:$G$22&gt;A4415)*(Calc!$G$3:$G$22-A4415)*Calc!$G$3:$G$22)</f>
        <v/>
      </c>
      <c r="M4415">
        <f>SUMPRODUCT(Calc!$K$3:$K$22*(Calc!$G$3:$G$22&gt;B4415)*(Calc!$G$3:$G$22-B4415)*Calc!$G$3:$G$22)</f>
        <v/>
      </c>
      <c r="N4415">
        <f>SUMPRODUCT(Calc!$K$3:$K$22*(Calc!$G$3:$G$22&gt;A4415)*(Calc!$G$3:$G$22-A4415)*Calc!$I$3:$I$22)</f>
        <v/>
      </c>
      <c r="O4415">
        <f>SUMPRODUCT(Calc!$K$3:$K$22*(Calc!$G$3:$G$22&gt;B4415)*(Calc!$G$3:$G$22-B4415)*Calc!$I$3:$I$22)</f>
        <v/>
      </c>
      <c r="P4415">
        <f>I4415-G4415^2/k_n</f>
        <v/>
      </c>
      <c r="Q4415">
        <f>J4415-H4415^2/k_n</f>
        <v/>
      </c>
      <c r="R4415">
        <f>K4415-G4415*H4415/k_n</f>
        <v/>
      </c>
      <c r="S4415">
        <f>L4415-LTP3!$D$3*G4415/k_n</f>
        <v/>
      </c>
      <c r="T4415">
        <f>M4415-LTP3!$D$3*H4415/k_n</f>
        <v/>
      </c>
      <c r="U4415">
        <f>N4415-G4415*LTP3!$D$4/k_n</f>
        <v/>
      </c>
      <c r="V4415">
        <f>O4415-H4415*LTP3!$D$4/k_n</f>
        <v/>
      </c>
      <c r="W4415">
        <f>((LTP3!$D$5)*((P4415)*(Q4415)-(R4415)*(R4415))-(S4415)*((S4415)*(Q4415)-(R4415)*(T4415))+(T4415)*((S4415)*(R4415)-(P4415)*(T4415)))</f>
        <v/>
      </c>
      <c r="X4415">
        <f>IF(ABS(W4415)&gt;1E-12,((LTP3!$D$6)*((P4415)*(Q4415)-(R4415)*(R4415))-(S4415)*((U4415)*(Q4415)-(R4415)*(V4415))+(T4415)*((U4415)*(R4415)-(P4415)*(V4415)))/W4415,0)</f>
        <v/>
      </c>
      <c r="Y4415">
        <f>IF(ABS(W4415)&gt;1E-12,((LTP3!$D$5)*((U4415)*(Q4415)-(R4415)*(V4415))-(LTP3!$D$6)*((S4415)*(Q4415)-(R4415)*(T4415))+(T4415)*((S4415)*(V4415)-(U4415)*(T4415)))/W4415,0)</f>
        <v/>
      </c>
      <c r="Z4415">
        <f>IF(ABS(W4415)&gt;1E-12,((LTP3!$D$5)*((P4415)*(V4415)-(U4415)*(R4415))-(S4415)*((S4415)*(V4415)-(U4415)*(T4415))+(LTP3!$D$6)*((S4415)*(R4415)-(P4415)*(T4415)))/W4415,0)</f>
        <v/>
      </c>
      <c r="AA4415">
        <f>LTP3!$D$7-X4415*LTP3!$D$6-Y4415*U4415-Z4415*V4415</f>
        <v/>
      </c>
      <c r="AB4415">
        <f>IF(AND(F4415,ABS(W4415)&gt;1E-12,Y4415&gt;0,Z4415&gt;0),AA4415,1E+300)</f>
        <v/>
      </c>
    </row>
    <row r="4416">
      <c r="A4416">
        <f>$I$4-$B$5/10+$B$5*11/100</f>
        <v/>
      </c>
      <c r="B4416">
        <f>$J$4-$B$5/10+$B$5*5/100</f>
        <v/>
      </c>
      <c r="C4416">
        <f>SUMPRODUCT(Calc!$K$3:$K$22*(Calc!$G$3:$G$22&lt;=A4416))</f>
        <v/>
      </c>
      <c r="D4416">
        <f>SUMPRODUCT(Calc!$K$3:$K$22*(Calc!$G$3:$G$22&gt;A4416)*(Calc!$G$3:$G$22&lt;B4416))</f>
        <v/>
      </c>
      <c r="E4416">
        <f>SUMPRODUCT(Calc!$K$3:$K$22*(Calc!$G$3:$G$22&gt;=B4416))</f>
        <v/>
      </c>
      <c r="F4416">
        <f>AND(k_n&gt;=5,B4416&gt;A4416+1E-9,C4416&gt;=2,D4416&gt;=1,E4416&gt;=2)</f>
        <v/>
      </c>
      <c r="G4416">
        <f>SUMPRODUCT(Calc!$K$3:$K$22*(Calc!$G$3:$G$22&gt;A4416)*(Calc!$G$3:$G$22-A4416))</f>
        <v/>
      </c>
      <c r="H4416">
        <f>SUMPRODUCT(Calc!$K$3:$K$22*(Calc!$G$3:$G$22&gt;B4416)*(Calc!$G$3:$G$22-B4416))</f>
        <v/>
      </c>
      <c r="I4416">
        <f>SUMPRODUCT(Calc!$K$3:$K$22*(Calc!$G$3:$G$22&gt;A4416)*(Calc!$G$3:$G$22-A4416)^2)</f>
        <v/>
      </c>
      <c r="J4416">
        <f>SUMPRODUCT(Calc!$K$3:$K$22*(Calc!$G$3:$G$22&gt;B4416)*(Calc!$G$3:$G$22-B4416)^2)</f>
        <v/>
      </c>
      <c r="K4416">
        <f>SUMPRODUCT(Calc!$K$3:$K$22*(Calc!$G$3:$G$22&gt;A4416)*(Calc!$G$3:$G$22-A4416)*(Calc!$G$3:$G$22&gt;B4416)*(Calc!$G$3:$G$22-B4416))</f>
        <v/>
      </c>
      <c r="L4416">
        <f>SUMPRODUCT(Calc!$K$3:$K$22*(Calc!$G$3:$G$22&gt;A4416)*(Calc!$G$3:$G$22-A4416)*Calc!$G$3:$G$22)</f>
        <v/>
      </c>
      <c r="M4416">
        <f>SUMPRODUCT(Calc!$K$3:$K$22*(Calc!$G$3:$G$22&gt;B4416)*(Calc!$G$3:$G$22-B4416)*Calc!$G$3:$G$22)</f>
        <v/>
      </c>
      <c r="N4416">
        <f>SUMPRODUCT(Calc!$K$3:$K$22*(Calc!$G$3:$G$22&gt;A4416)*(Calc!$G$3:$G$22-A4416)*Calc!$I$3:$I$22)</f>
        <v/>
      </c>
      <c r="O4416">
        <f>SUMPRODUCT(Calc!$K$3:$K$22*(Calc!$G$3:$G$22&gt;B4416)*(Calc!$G$3:$G$22-B4416)*Calc!$I$3:$I$22)</f>
        <v/>
      </c>
      <c r="P4416">
        <f>I4416-G4416^2/k_n</f>
        <v/>
      </c>
      <c r="Q4416">
        <f>J4416-H4416^2/k_n</f>
        <v/>
      </c>
      <c r="R4416">
        <f>K4416-G4416*H4416/k_n</f>
        <v/>
      </c>
      <c r="S4416">
        <f>L4416-LTP3!$D$3*G4416/k_n</f>
        <v/>
      </c>
      <c r="T4416">
        <f>M4416-LTP3!$D$3*H4416/k_n</f>
        <v/>
      </c>
      <c r="U4416">
        <f>N4416-G4416*LTP3!$D$4/k_n</f>
        <v/>
      </c>
      <c r="V4416">
        <f>O4416-H4416*LTP3!$D$4/k_n</f>
        <v/>
      </c>
      <c r="W4416">
        <f>((LTP3!$D$5)*((P4416)*(Q4416)-(R4416)*(R4416))-(S4416)*((S4416)*(Q4416)-(R4416)*(T4416))+(T4416)*((S4416)*(R4416)-(P4416)*(T4416)))</f>
        <v/>
      </c>
      <c r="X4416">
        <f>IF(ABS(W4416)&gt;1E-12,((LTP3!$D$6)*((P4416)*(Q4416)-(R4416)*(R4416))-(S4416)*((U4416)*(Q4416)-(R4416)*(V4416))+(T4416)*((U4416)*(R4416)-(P4416)*(V4416)))/W4416,0)</f>
        <v/>
      </c>
      <c r="Y4416">
        <f>IF(ABS(W4416)&gt;1E-12,((LTP3!$D$5)*((U4416)*(Q4416)-(R4416)*(V4416))-(LTP3!$D$6)*((S4416)*(Q4416)-(R4416)*(T4416))+(T4416)*((S4416)*(V4416)-(U4416)*(T4416)))/W4416,0)</f>
        <v/>
      </c>
      <c r="Z4416">
        <f>IF(ABS(W4416)&gt;1E-12,((LTP3!$D$5)*((P4416)*(V4416)-(U4416)*(R4416))-(S4416)*((S4416)*(V4416)-(U4416)*(T4416))+(LTP3!$D$6)*((S4416)*(R4416)-(P4416)*(T4416)))/W4416,0)</f>
        <v/>
      </c>
      <c r="AA4416">
        <f>LTP3!$D$7-X4416*LTP3!$D$6-Y4416*U4416-Z4416*V4416</f>
        <v/>
      </c>
      <c r="AB4416">
        <f>IF(AND(F4416,ABS(W4416)&gt;1E-12,Y4416&gt;0,Z4416&gt;0),AA4416,1E+300)</f>
        <v/>
      </c>
    </row>
    <row r="4417">
      <c r="A4417">
        <f>$I$4-$B$5/10+$B$5*11/100</f>
        <v/>
      </c>
      <c r="B4417">
        <f>$J$4-$B$5/10+$B$5*6/100</f>
        <v/>
      </c>
      <c r="C4417">
        <f>SUMPRODUCT(Calc!$K$3:$K$22*(Calc!$G$3:$G$22&lt;=A4417))</f>
        <v/>
      </c>
      <c r="D4417">
        <f>SUMPRODUCT(Calc!$K$3:$K$22*(Calc!$G$3:$G$22&gt;A4417)*(Calc!$G$3:$G$22&lt;B4417))</f>
        <v/>
      </c>
      <c r="E4417">
        <f>SUMPRODUCT(Calc!$K$3:$K$22*(Calc!$G$3:$G$22&gt;=B4417))</f>
        <v/>
      </c>
      <c r="F4417">
        <f>AND(k_n&gt;=5,B4417&gt;A4417+1E-9,C4417&gt;=2,D4417&gt;=1,E4417&gt;=2)</f>
        <v/>
      </c>
      <c r="G4417">
        <f>SUMPRODUCT(Calc!$K$3:$K$22*(Calc!$G$3:$G$22&gt;A4417)*(Calc!$G$3:$G$22-A4417))</f>
        <v/>
      </c>
      <c r="H4417">
        <f>SUMPRODUCT(Calc!$K$3:$K$22*(Calc!$G$3:$G$22&gt;B4417)*(Calc!$G$3:$G$22-B4417))</f>
        <v/>
      </c>
      <c r="I4417">
        <f>SUMPRODUCT(Calc!$K$3:$K$22*(Calc!$G$3:$G$22&gt;A4417)*(Calc!$G$3:$G$22-A4417)^2)</f>
        <v/>
      </c>
      <c r="J4417">
        <f>SUMPRODUCT(Calc!$K$3:$K$22*(Calc!$G$3:$G$22&gt;B4417)*(Calc!$G$3:$G$22-B4417)^2)</f>
        <v/>
      </c>
      <c r="K4417">
        <f>SUMPRODUCT(Calc!$K$3:$K$22*(Calc!$G$3:$G$22&gt;A4417)*(Calc!$G$3:$G$22-A4417)*(Calc!$G$3:$G$22&gt;B4417)*(Calc!$G$3:$G$22-B4417))</f>
        <v/>
      </c>
      <c r="L4417">
        <f>SUMPRODUCT(Calc!$K$3:$K$22*(Calc!$G$3:$G$22&gt;A4417)*(Calc!$G$3:$G$22-A4417)*Calc!$G$3:$G$22)</f>
        <v/>
      </c>
      <c r="M4417">
        <f>SUMPRODUCT(Calc!$K$3:$K$22*(Calc!$G$3:$G$22&gt;B4417)*(Calc!$G$3:$G$22-B4417)*Calc!$G$3:$G$22)</f>
        <v/>
      </c>
      <c r="N4417">
        <f>SUMPRODUCT(Calc!$K$3:$K$22*(Calc!$G$3:$G$22&gt;A4417)*(Calc!$G$3:$G$22-A4417)*Calc!$I$3:$I$22)</f>
        <v/>
      </c>
      <c r="O4417">
        <f>SUMPRODUCT(Calc!$K$3:$K$22*(Calc!$G$3:$G$22&gt;B4417)*(Calc!$G$3:$G$22-B4417)*Calc!$I$3:$I$22)</f>
        <v/>
      </c>
      <c r="P4417">
        <f>I4417-G4417^2/k_n</f>
        <v/>
      </c>
      <c r="Q4417">
        <f>J4417-H4417^2/k_n</f>
        <v/>
      </c>
      <c r="R4417">
        <f>K4417-G4417*H4417/k_n</f>
        <v/>
      </c>
      <c r="S4417">
        <f>L4417-LTP3!$D$3*G4417/k_n</f>
        <v/>
      </c>
      <c r="T4417">
        <f>M4417-LTP3!$D$3*H4417/k_n</f>
        <v/>
      </c>
      <c r="U4417">
        <f>N4417-G4417*LTP3!$D$4/k_n</f>
        <v/>
      </c>
      <c r="V4417">
        <f>O4417-H4417*LTP3!$D$4/k_n</f>
        <v/>
      </c>
      <c r="W4417">
        <f>((LTP3!$D$5)*((P4417)*(Q4417)-(R4417)*(R4417))-(S4417)*((S4417)*(Q4417)-(R4417)*(T4417))+(T4417)*((S4417)*(R4417)-(P4417)*(T4417)))</f>
        <v/>
      </c>
      <c r="X4417">
        <f>IF(ABS(W4417)&gt;1E-12,((LTP3!$D$6)*((P4417)*(Q4417)-(R4417)*(R4417))-(S4417)*((U4417)*(Q4417)-(R4417)*(V4417))+(T4417)*((U4417)*(R4417)-(P4417)*(V4417)))/W4417,0)</f>
        <v/>
      </c>
      <c r="Y4417">
        <f>IF(ABS(W4417)&gt;1E-12,((LTP3!$D$5)*((U4417)*(Q4417)-(R4417)*(V4417))-(LTP3!$D$6)*((S4417)*(Q4417)-(R4417)*(T4417))+(T4417)*((S4417)*(V4417)-(U4417)*(T4417)))/W4417,0)</f>
        <v/>
      </c>
      <c r="Z4417">
        <f>IF(ABS(W4417)&gt;1E-12,((LTP3!$D$5)*((P4417)*(V4417)-(U4417)*(R4417))-(S4417)*((S4417)*(V4417)-(U4417)*(T4417))+(LTP3!$D$6)*((S4417)*(R4417)-(P4417)*(T4417)))/W4417,0)</f>
        <v/>
      </c>
      <c r="AA4417">
        <f>LTP3!$D$7-X4417*LTP3!$D$6-Y4417*U4417-Z4417*V4417</f>
        <v/>
      </c>
      <c r="AB4417">
        <f>IF(AND(F4417,ABS(W4417)&gt;1E-12,Y4417&gt;0,Z4417&gt;0),AA4417,1E+300)</f>
        <v/>
      </c>
    </row>
    <row r="4418">
      <c r="A4418">
        <f>$I$4-$B$5/10+$B$5*11/100</f>
        <v/>
      </c>
      <c r="B4418">
        <f>$J$4-$B$5/10+$B$5*7/100</f>
        <v/>
      </c>
      <c r="C4418">
        <f>SUMPRODUCT(Calc!$K$3:$K$22*(Calc!$G$3:$G$22&lt;=A4418))</f>
        <v/>
      </c>
      <c r="D4418">
        <f>SUMPRODUCT(Calc!$K$3:$K$22*(Calc!$G$3:$G$22&gt;A4418)*(Calc!$G$3:$G$22&lt;B4418))</f>
        <v/>
      </c>
      <c r="E4418">
        <f>SUMPRODUCT(Calc!$K$3:$K$22*(Calc!$G$3:$G$22&gt;=B4418))</f>
        <v/>
      </c>
      <c r="F4418">
        <f>AND(k_n&gt;=5,B4418&gt;A4418+1E-9,C4418&gt;=2,D4418&gt;=1,E4418&gt;=2)</f>
        <v/>
      </c>
      <c r="G4418">
        <f>SUMPRODUCT(Calc!$K$3:$K$22*(Calc!$G$3:$G$22&gt;A4418)*(Calc!$G$3:$G$22-A4418))</f>
        <v/>
      </c>
      <c r="H4418">
        <f>SUMPRODUCT(Calc!$K$3:$K$22*(Calc!$G$3:$G$22&gt;B4418)*(Calc!$G$3:$G$22-B4418))</f>
        <v/>
      </c>
      <c r="I4418">
        <f>SUMPRODUCT(Calc!$K$3:$K$22*(Calc!$G$3:$G$22&gt;A4418)*(Calc!$G$3:$G$22-A4418)^2)</f>
        <v/>
      </c>
      <c r="J4418">
        <f>SUMPRODUCT(Calc!$K$3:$K$22*(Calc!$G$3:$G$22&gt;B4418)*(Calc!$G$3:$G$22-B4418)^2)</f>
        <v/>
      </c>
      <c r="K4418">
        <f>SUMPRODUCT(Calc!$K$3:$K$22*(Calc!$G$3:$G$22&gt;A4418)*(Calc!$G$3:$G$22-A4418)*(Calc!$G$3:$G$22&gt;B4418)*(Calc!$G$3:$G$22-B4418))</f>
        <v/>
      </c>
      <c r="L4418">
        <f>SUMPRODUCT(Calc!$K$3:$K$22*(Calc!$G$3:$G$22&gt;A4418)*(Calc!$G$3:$G$22-A4418)*Calc!$G$3:$G$22)</f>
        <v/>
      </c>
      <c r="M4418">
        <f>SUMPRODUCT(Calc!$K$3:$K$22*(Calc!$G$3:$G$22&gt;B4418)*(Calc!$G$3:$G$22-B4418)*Calc!$G$3:$G$22)</f>
        <v/>
      </c>
      <c r="N4418">
        <f>SUMPRODUCT(Calc!$K$3:$K$22*(Calc!$G$3:$G$22&gt;A4418)*(Calc!$G$3:$G$22-A4418)*Calc!$I$3:$I$22)</f>
        <v/>
      </c>
      <c r="O4418">
        <f>SUMPRODUCT(Calc!$K$3:$K$22*(Calc!$G$3:$G$22&gt;B4418)*(Calc!$G$3:$G$22-B4418)*Calc!$I$3:$I$22)</f>
        <v/>
      </c>
      <c r="P4418">
        <f>I4418-G4418^2/k_n</f>
        <v/>
      </c>
      <c r="Q4418">
        <f>J4418-H4418^2/k_n</f>
        <v/>
      </c>
      <c r="R4418">
        <f>K4418-G4418*H4418/k_n</f>
        <v/>
      </c>
      <c r="S4418">
        <f>L4418-LTP3!$D$3*G4418/k_n</f>
        <v/>
      </c>
      <c r="T4418">
        <f>M4418-LTP3!$D$3*H4418/k_n</f>
        <v/>
      </c>
      <c r="U4418">
        <f>N4418-G4418*LTP3!$D$4/k_n</f>
        <v/>
      </c>
      <c r="V4418">
        <f>O4418-H4418*LTP3!$D$4/k_n</f>
        <v/>
      </c>
      <c r="W4418">
        <f>((LTP3!$D$5)*((P4418)*(Q4418)-(R4418)*(R4418))-(S4418)*((S4418)*(Q4418)-(R4418)*(T4418))+(T4418)*((S4418)*(R4418)-(P4418)*(T4418)))</f>
        <v/>
      </c>
      <c r="X4418">
        <f>IF(ABS(W4418)&gt;1E-12,((LTP3!$D$6)*((P4418)*(Q4418)-(R4418)*(R4418))-(S4418)*((U4418)*(Q4418)-(R4418)*(V4418))+(T4418)*((U4418)*(R4418)-(P4418)*(V4418)))/W4418,0)</f>
        <v/>
      </c>
      <c r="Y4418">
        <f>IF(ABS(W4418)&gt;1E-12,((LTP3!$D$5)*((U4418)*(Q4418)-(R4418)*(V4418))-(LTP3!$D$6)*((S4418)*(Q4418)-(R4418)*(T4418))+(T4418)*((S4418)*(V4418)-(U4418)*(T4418)))/W4418,0)</f>
        <v/>
      </c>
      <c r="Z4418">
        <f>IF(ABS(W4418)&gt;1E-12,((LTP3!$D$5)*((P4418)*(V4418)-(U4418)*(R4418))-(S4418)*((S4418)*(V4418)-(U4418)*(T4418))+(LTP3!$D$6)*((S4418)*(R4418)-(P4418)*(T4418)))/W4418,0)</f>
        <v/>
      </c>
      <c r="AA4418">
        <f>LTP3!$D$7-X4418*LTP3!$D$6-Y4418*U4418-Z4418*V4418</f>
        <v/>
      </c>
      <c r="AB4418">
        <f>IF(AND(F4418,ABS(W4418)&gt;1E-12,Y4418&gt;0,Z4418&gt;0),AA4418,1E+300)</f>
        <v/>
      </c>
    </row>
    <row r="4419">
      <c r="A4419">
        <f>$I$4-$B$5/10+$B$5*11/100</f>
        <v/>
      </c>
      <c r="B4419">
        <f>$J$4-$B$5/10+$B$5*8/100</f>
        <v/>
      </c>
      <c r="C4419">
        <f>SUMPRODUCT(Calc!$K$3:$K$22*(Calc!$G$3:$G$22&lt;=A4419))</f>
        <v/>
      </c>
      <c r="D4419">
        <f>SUMPRODUCT(Calc!$K$3:$K$22*(Calc!$G$3:$G$22&gt;A4419)*(Calc!$G$3:$G$22&lt;B4419))</f>
        <v/>
      </c>
      <c r="E4419">
        <f>SUMPRODUCT(Calc!$K$3:$K$22*(Calc!$G$3:$G$22&gt;=B4419))</f>
        <v/>
      </c>
      <c r="F4419">
        <f>AND(k_n&gt;=5,B4419&gt;A4419+1E-9,C4419&gt;=2,D4419&gt;=1,E4419&gt;=2)</f>
        <v/>
      </c>
      <c r="G4419">
        <f>SUMPRODUCT(Calc!$K$3:$K$22*(Calc!$G$3:$G$22&gt;A4419)*(Calc!$G$3:$G$22-A4419))</f>
        <v/>
      </c>
      <c r="H4419">
        <f>SUMPRODUCT(Calc!$K$3:$K$22*(Calc!$G$3:$G$22&gt;B4419)*(Calc!$G$3:$G$22-B4419))</f>
        <v/>
      </c>
      <c r="I4419">
        <f>SUMPRODUCT(Calc!$K$3:$K$22*(Calc!$G$3:$G$22&gt;A4419)*(Calc!$G$3:$G$22-A4419)^2)</f>
        <v/>
      </c>
      <c r="J4419">
        <f>SUMPRODUCT(Calc!$K$3:$K$22*(Calc!$G$3:$G$22&gt;B4419)*(Calc!$G$3:$G$22-B4419)^2)</f>
        <v/>
      </c>
      <c r="K4419">
        <f>SUMPRODUCT(Calc!$K$3:$K$22*(Calc!$G$3:$G$22&gt;A4419)*(Calc!$G$3:$G$22-A4419)*(Calc!$G$3:$G$22&gt;B4419)*(Calc!$G$3:$G$22-B4419))</f>
        <v/>
      </c>
      <c r="L4419">
        <f>SUMPRODUCT(Calc!$K$3:$K$22*(Calc!$G$3:$G$22&gt;A4419)*(Calc!$G$3:$G$22-A4419)*Calc!$G$3:$G$22)</f>
        <v/>
      </c>
      <c r="M4419">
        <f>SUMPRODUCT(Calc!$K$3:$K$22*(Calc!$G$3:$G$22&gt;B4419)*(Calc!$G$3:$G$22-B4419)*Calc!$G$3:$G$22)</f>
        <v/>
      </c>
      <c r="N4419">
        <f>SUMPRODUCT(Calc!$K$3:$K$22*(Calc!$G$3:$G$22&gt;A4419)*(Calc!$G$3:$G$22-A4419)*Calc!$I$3:$I$22)</f>
        <v/>
      </c>
      <c r="O4419">
        <f>SUMPRODUCT(Calc!$K$3:$K$22*(Calc!$G$3:$G$22&gt;B4419)*(Calc!$G$3:$G$22-B4419)*Calc!$I$3:$I$22)</f>
        <v/>
      </c>
      <c r="P4419">
        <f>I4419-G4419^2/k_n</f>
        <v/>
      </c>
      <c r="Q4419">
        <f>J4419-H4419^2/k_n</f>
        <v/>
      </c>
      <c r="R4419">
        <f>K4419-G4419*H4419/k_n</f>
        <v/>
      </c>
      <c r="S4419">
        <f>L4419-LTP3!$D$3*G4419/k_n</f>
        <v/>
      </c>
      <c r="T4419">
        <f>M4419-LTP3!$D$3*H4419/k_n</f>
        <v/>
      </c>
      <c r="U4419">
        <f>N4419-G4419*LTP3!$D$4/k_n</f>
        <v/>
      </c>
      <c r="V4419">
        <f>O4419-H4419*LTP3!$D$4/k_n</f>
        <v/>
      </c>
      <c r="W4419">
        <f>((LTP3!$D$5)*((P4419)*(Q4419)-(R4419)*(R4419))-(S4419)*((S4419)*(Q4419)-(R4419)*(T4419))+(T4419)*((S4419)*(R4419)-(P4419)*(T4419)))</f>
        <v/>
      </c>
      <c r="X4419">
        <f>IF(ABS(W4419)&gt;1E-12,((LTP3!$D$6)*((P4419)*(Q4419)-(R4419)*(R4419))-(S4419)*((U4419)*(Q4419)-(R4419)*(V4419))+(T4419)*((U4419)*(R4419)-(P4419)*(V4419)))/W4419,0)</f>
        <v/>
      </c>
      <c r="Y4419">
        <f>IF(ABS(W4419)&gt;1E-12,((LTP3!$D$5)*((U4419)*(Q4419)-(R4419)*(V4419))-(LTP3!$D$6)*((S4419)*(Q4419)-(R4419)*(T4419))+(T4419)*((S4419)*(V4419)-(U4419)*(T4419)))/W4419,0)</f>
        <v/>
      </c>
      <c r="Z4419">
        <f>IF(ABS(W4419)&gt;1E-12,((LTP3!$D$5)*((P4419)*(V4419)-(U4419)*(R4419))-(S4419)*((S4419)*(V4419)-(U4419)*(T4419))+(LTP3!$D$6)*((S4419)*(R4419)-(P4419)*(T4419)))/W4419,0)</f>
        <v/>
      </c>
      <c r="AA4419">
        <f>LTP3!$D$7-X4419*LTP3!$D$6-Y4419*U4419-Z4419*V4419</f>
        <v/>
      </c>
      <c r="AB4419">
        <f>IF(AND(F4419,ABS(W4419)&gt;1E-12,Y4419&gt;0,Z4419&gt;0),AA4419,1E+300)</f>
        <v/>
      </c>
    </row>
    <row r="4420">
      <c r="A4420">
        <f>$I$4-$B$5/10+$B$5*11/100</f>
        <v/>
      </c>
      <c r="B4420">
        <f>$J$4-$B$5/10+$B$5*9/100</f>
        <v/>
      </c>
      <c r="C4420">
        <f>SUMPRODUCT(Calc!$K$3:$K$22*(Calc!$G$3:$G$22&lt;=A4420))</f>
        <v/>
      </c>
      <c r="D4420">
        <f>SUMPRODUCT(Calc!$K$3:$K$22*(Calc!$G$3:$G$22&gt;A4420)*(Calc!$G$3:$G$22&lt;B4420))</f>
        <v/>
      </c>
      <c r="E4420">
        <f>SUMPRODUCT(Calc!$K$3:$K$22*(Calc!$G$3:$G$22&gt;=B4420))</f>
        <v/>
      </c>
      <c r="F4420">
        <f>AND(k_n&gt;=5,B4420&gt;A4420+1E-9,C4420&gt;=2,D4420&gt;=1,E4420&gt;=2)</f>
        <v/>
      </c>
      <c r="G4420">
        <f>SUMPRODUCT(Calc!$K$3:$K$22*(Calc!$G$3:$G$22&gt;A4420)*(Calc!$G$3:$G$22-A4420))</f>
        <v/>
      </c>
      <c r="H4420">
        <f>SUMPRODUCT(Calc!$K$3:$K$22*(Calc!$G$3:$G$22&gt;B4420)*(Calc!$G$3:$G$22-B4420))</f>
        <v/>
      </c>
      <c r="I4420">
        <f>SUMPRODUCT(Calc!$K$3:$K$22*(Calc!$G$3:$G$22&gt;A4420)*(Calc!$G$3:$G$22-A4420)^2)</f>
        <v/>
      </c>
      <c r="J4420">
        <f>SUMPRODUCT(Calc!$K$3:$K$22*(Calc!$G$3:$G$22&gt;B4420)*(Calc!$G$3:$G$22-B4420)^2)</f>
        <v/>
      </c>
      <c r="K4420">
        <f>SUMPRODUCT(Calc!$K$3:$K$22*(Calc!$G$3:$G$22&gt;A4420)*(Calc!$G$3:$G$22-A4420)*(Calc!$G$3:$G$22&gt;B4420)*(Calc!$G$3:$G$22-B4420))</f>
        <v/>
      </c>
      <c r="L4420">
        <f>SUMPRODUCT(Calc!$K$3:$K$22*(Calc!$G$3:$G$22&gt;A4420)*(Calc!$G$3:$G$22-A4420)*Calc!$G$3:$G$22)</f>
        <v/>
      </c>
      <c r="M4420">
        <f>SUMPRODUCT(Calc!$K$3:$K$22*(Calc!$G$3:$G$22&gt;B4420)*(Calc!$G$3:$G$22-B4420)*Calc!$G$3:$G$22)</f>
        <v/>
      </c>
      <c r="N4420">
        <f>SUMPRODUCT(Calc!$K$3:$K$22*(Calc!$G$3:$G$22&gt;A4420)*(Calc!$G$3:$G$22-A4420)*Calc!$I$3:$I$22)</f>
        <v/>
      </c>
      <c r="O4420">
        <f>SUMPRODUCT(Calc!$K$3:$K$22*(Calc!$G$3:$G$22&gt;B4420)*(Calc!$G$3:$G$22-B4420)*Calc!$I$3:$I$22)</f>
        <v/>
      </c>
      <c r="P4420">
        <f>I4420-G4420^2/k_n</f>
        <v/>
      </c>
      <c r="Q4420">
        <f>J4420-H4420^2/k_n</f>
        <v/>
      </c>
      <c r="R4420">
        <f>K4420-G4420*H4420/k_n</f>
        <v/>
      </c>
      <c r="S4420">
        <f>L4420-LTP3!$D$3*G4420/k_n</f>
        <v/>
      </c>
      <c r="T4420">
        <f>M4420-LTP3!$D$3*H4420/k_n</f>
        <v/>
      </c>
      <c r="U4420">
        <f>N4420-G4420*LTP3!$D$4/k_n</f>
        <v/>
      </c>
      <c r="V4420">
        <f>O4420-H4420*LTP3!$D$4/k_n</f>
        <v/>
      </c>
      <c r="W4420">
        <f>((LTP3!$D$5)*((P4420)*(Q4420)-(R4420)*(R4420))-(S4420)*((S4420)*(Q4420)-(R4420)*(T4420))+(T4420)*((S4420)*(R4420)-(P4420)*(T4420)))</f>
        <v/>
      </c>
      <c r="X4420">
        <f>IF(ABS(W4420)&gt;1E-12,((LTP3!$D$6)*((P4420)*(Q4420)-(R4420)*(R4420))-(S4420)*((U4420)*(Q4420)-(R4420)*(V4420))+(T4420)*((U4420)*(R4420)-(P4420)*(V4420)))/W4420,0)</f>
        <v/>
      </c>
      <c r="Y4420">
        <f>IF(ABS(W4420)&gt;1E-12,((LTP3!$D$5)*((U4420)*(Q4420)-(R4420)*(V4420))-(LTP3!$D$6)*((S4420)*(Q4420)-(R4420)*(T4420))+(T4420)*((S4420)*(V4420)-(U4420)*(T4420)))/W4420,0)</f>
        <v/>
      </c>
      <c r="Z4420">
        <f>IF(ABS(W4420)&gt;1E-12,((LTP3!$D$5)*((P4420)*(V4420)-(U4420)*(R4420))-(S4420)*((S4420)*(V4420)-(U4420)*(T4420))+(LTP3!$D$6)*((S4420)*(R4420)-(P4420)*(T4420)))/W4420,0)</f>
        <v/>
      </c>
      <c r="AA4420">
        <f>LTP3!$D$7-X4420*LTP3!$D$6-Y4420*U4420-Z4420*V4420</f>
        <v/>
      </c>
      <c r="AB4420">
        <f>IF(AND(F4420,ABS(W4420)&gt;1E-12,Y4420&gt;0,Z4420&gt;0),AA4420,1E+300)</f>
        <v/>
      </c>
    </row>
    <row r="4421">
      <c r="A4421">
        <f>$I$4-$B$5/10+$B$5*11/100</f>
        <v/>
      </c>
      <c r="B4421">
        <f>$J$4-$B$5/10+$B$5*10/100</f>
        <v/>
      </c>
      <c r="C4421">
        <f>SUMPRODUCT(Calc!$K$3:$K$22*(Calc!$G$3:$G$22&lt;=A4421))</f>
        <v/>
      </c>
      <c r="D4421">
        <f>SUMPRODUCT(Calc!$K$3:$K$22*(Calc!$G$3:$G$22&gt;A4421)*(Calc!$G$3:$G$22&lt;B4421))</f>
        <v/>
      </c>
      <c r="E4421">
        <f>SUMPRODUCT(Calc!$K$3:$K$22*(Calc!$G$3:$G$22&gt;=B4421))</f>
        <v/>
      </c>
      <c r="F4421">
        <f>AND(k_n&gt;=5,B4421&gt;A4421+1E-9,C4421&gt;=2,D4421&gt;=1,E4421&gt;=2)</f>
        <v/>
      </c>
      <c r="G4421">
        <f>SUMPRODUCT(Calc!$K$3:$K$22*(Calc!$G$3:$G$22&gt;A4421)*(Calc!$G$3:$G$22-A4421))</f>
        <v/>
      </c>
      <c r="H4421">
        <f>SUMPRODUCT(Calc!$K$3:$K$22*(Calc!$G$3:$G$22&gt;B4421)*(Calc!$G$3:$G$22-B4421))</f>
        <v/>
      </c>
      <c r="I4421">
        <f>SUMPRODUCT(Calc!$K$3:$K$22*(Calc!$G$3:$G$22&gt;A4421)*(Calc!$G$3:$G$22-A4421)^2)</f>
        <v/>
      </c>
      <c r="J4421">
        <f>SUMPRODUCT(Calc!$K$3:$K$22*(Calc!$G$3:$G$22&gt;B4421)*(Calc!$G$3:$G$22-B4421)^2)</f>
        <v/>
      </c>
      <c r="K4421">
        <f>SUMPRODUCT(Calc!$K$3:$K$22*(Calc!$G$3:$G$22&gt;A4421)*(Calc!$G$3:$G$22-A4421)*(Calc!$G$3:$G$22&gt;B4421)*(Calc!$G$3:$G$22-B4421))</f>
        <v/>
      </c>
      <c r="L4421">
        <f>SUMPRODUCT(Calc!$K$3:$K$22*(Calc!$G$3:$G$22&gt;A4421)*(Calc!$G$3:$G$22-A4421)*Calc!$G$3:$G$22)</f>
        <v/>
      </c>
      <c r="M4421">
        <f>SUMPRODUCT(Calc!$K$3:$K$22*(Calc!$G$3:$G$22&gt;B4421)*(Calc!$G$3:$G$22-B4421)*Calc!$G$3:$G$22)</f>
        <v/>
      </c>
      <c r="N4421">
        <f>SUMPRODUCT(Calc!$K$3:$K$22*(Calc!$G$3:$G$22&gt;A4421)*(Calc!$G$3:$G$22-A4421)*Calc!$I$3:$I$22)</f>
        <v/>
      </c>
      <c r="O4421">
        <f>SUMPRODUCT(Calc!$K$3:$K$22*(Calc!$G$3:$G$22&gt;B4421)*(Calc!$G$3:$G$22-B4421)*Calc!$I$3:$I$22)</f>
        <v/>
      </c>
      <c r="P4421">
        <f>I4421-G4421^2/k_n</f>
        <v/>
      </c>
      <c r="Q4421">
        <f>J4421-H4421^2/k_n</f>
        <v/>
      </c>
      <c r="R4421">
        <f>K4421-G4421*H4421/k_n</f>
        <v/>
      </c>
      <c r="S4421">
        <f>L4421-LTP3!$D$3*G4421/k_n</f>
        <v/>
      </c>
      <c r="T4421">
        <f>M4421-LTP3!$D$3*H4421/k_n</f>
        <v/>
      </c>
      <c r="U4421">
        <f>N4421-G4421*LTP3!$D$4/k_n</f>
        <v/>
      </c>
      <c r="V4421">
        <f>O4421-H4421*LTP3!$D$4/k_n</f>
        <v/>
      </c>
      <c r="W4421">
        <f>((LTP3!$D$5)*((P4421)*(Q4421)-(R4421)*(R4421))-(S4421)*((S4421)*(Q4421)-(R4421)*(T4421))+(T4421)*((S4421)*(R4421)-(P4421)*(T4421)))</f>
        <v/>
      </c>
      <c r="X4421">
        <f>IF(ABS(W4421)&gt;1E-12,((LTP3!$D$6)*((P4421)*(Q4421)-(R4421)*(R4421))-(S4421)*((U4421)*(Q4421)-(R4421)*(V4421))+(T4421)*((U4421)*(R4421)-(P4421)*(V4421)))/W4421,0)</f>
        <v/>
      </c>
      <c r="Y4421">
        <f>IF(ABS(W4421)&gt;1E-12,((LTP3!$D$5)*((U4421)*(Q4421)-(R4421)*(V4421))-(LTP3!$D$6)*((S4421)*(Q4421)-(R4421)*(T4421))+(T4421)*((S4421)*(V4421)-(U4421)*(T4421)))/W4421,0)</f>
        <v/>
      </c>
      <c r="Z4421">
        <f>IF(ABS(W4421)&gt;1E-12,((LTP3!$D$5)*((P4421)*(V4421)-(U4421)*(R4421))-(S4421)*((S4421)*(V4421)-(U4421)*(T4421))+(LTP3!$D$6)*((S4421)*(R4421)-(P4421)*(T4421)))/W4421,0)</f>
        <v/>
      </c>
      <c r="AA4421">
        <f>LTP3!$D$7-X4421*LTP3!$D$6-Y4421*U4421-Z4421*V4421</f>
        <v/>
      </c>
      <c r="AB4421">
        <f>IF(AND(F4421,ABS(W4421)&gt;1E-12,Y4421&gt;0,Z4421&gt;0),AA4421,1E+300)</f>
        <v/>
      </c>
    </row>
    <row r="4422">
      <c r="A4422">
        <f>$I$4-$B$5/10+$B$5*11/100</f>
        <v/>
      </c>
      <c r="B4422">
        <f>$J$4-$B$5/10+$B$5*11/100</f>
        <v/>
      </c>
      <c r="C4422">
        <f>SUMPRODUCT(Calc!$K$3:$K$22*(Calc!$G$3:$G$22&lt;=A4422))</f>
        <v/>
      </c>
      <c r="D4422">
        <f>SUMPRODUCT(Calc!$K$3:$K$22*(Calc!$G$3:$G$22&gt;A4422)*(Calc!$G$3:$G$22&lt;B4422))</f>
        <v/>
      </c>
      <c r="E4422">
        <f>SUMPRODUCT(Calc!$K$3:$K$22*(Calc!$G$3:$G$22&gt;=B4422))</f>
        <v/>
      </c>
      <c r="F4422">
        <f>AND(k_n&gt;=5,B4422&gt;A4422+1E-9,C4422&gt;=2,D4422&gt;=1,E4422&gt;=2)</f>
        <v/>
      </c>
      <c r="G4422">
        <f>SUMPRODUCT(Calc!$K$3:$K$22*(Calc!$G$3:$G$22&gt;A4422)*(Calc!$G$3:$G$22-A4422))</f>
        <v/>
      </c>
      <c r="H4422">
        <f>SUMPRODUCT(Calc!$K$3:$K$22*(Calc!$G$3:$G$22&gt;B4422)*(Calc!$G$3:$G$22-B4422))</f>
        <v/>
      </c>
      <c r="I4422">
        <f>SUMPRODUCT(Calc!$K$3:$K$22*(Calc!$G$3:$G$22&gt;A4422)*(Calc!$G$3:$G$22-A4422)^2)</f>
        <v/>
      </c>
      <c r="J4422">
        <f>SUMPRODUCT(Calc!$K$3:$K$22*(Calc!$G$3:$G$22&gt;B4422)*(Calc!$G$3:$G$22-B4422)^2)</f>
        <v/>
      </c>
      <c r="K4422">
        <f>SUMPRODUCT(Calc!$K$3:$K$22*(Calc!$G$3:$G$22&gt;A4422)*(Calc!$G$3:$G$22-A4422)*(Calc!$G$3:$G$22&gt;B4422)*(Calc!$G$3:$G$22-B4422))</f>
        <v/>
      </c>
      <c r="L4422">
        <f>SUMPRODUCT(Calc!$K$3:$K$22*(Calc!$G$3:$G$22&gt;A4422)*(Calc!$G$3:$G$22-A4422)*Calc!$G$3:$G$22)</f>
        <v/>
      </c>
      <c r="M4422">
        <f>SUMPRODUCT(Calc!$K$3:$K$22*(Calc!$G$3:$G$22&gt;B4422)*(Calc!$G$3:$G$22-B4422)*Calc!$G$3:$G$22)</f>
        <v/>
      </c>
      <c r="N4422">
        <f>SUMPRODUCT(Calc!$K$3:$K$22*(Calc!$G$3:$G$22&gt;A4422)*(Calc!$G$3:$G$22-A4422)*Calc!$I$3:$I$22)</f>
        <v/>
      </c>
      <c r="O4422">
        <f>SUMPRODUCT(Calc!$K$3:$K$22*(Calc!$G$3:$G$22&gt;B4422)*(Calc!$G$3:$G$22-B4422)*Calc!$I$3:$I$22)</f>
        <v/>
      </c>
      <c r="P4422">
        <f>I4422-G4422^2/k_n</f>
        <v/>
      </c>
      <c r="Q4422">
        <f>J4422-H4422^2/k_n</f>
        <v/>
      </c>
      <c r="R4422">
        <f>K4422-G4422*H4422/k_n</f>
        <v/>
      </c>
      <c r="S4422">
        <f>L4422-LTP3!$D$3*G4422/k_n</f>
        <v/>
      </c>
      <c r="T4422">
        <f>M4422-LTP3!$D$3*H4422/k_n</f>
        <v/>
      </c>
      <c r="U4422">
        <f>N4422-G4422*LTP3!$D$4/k_n</f>
        <v/>
      </c>
      <c r="V4422">
        <f>O4422-H4422*LTP3!$D$4/k_n</f>
        <v/>
      </c>
      <c r="W4422">
        <f>((LTP3!$D$5)*((P4422)*(Q4422)-(R4422)*(R4422))-(S4422)*((S4422)*(Q4422)-(R4422)*(T4422))+(T4422)*((S4422)*(R4422)-(P4422)*(T4422)))</f>
        <v/>
      </c>
      <c r="X4422">
        <f>IF(ABS(W4422)&gt;1E-12,((LTP3!$D$6)*((P4422)*(Q4422)-(R4422)*(R4422))-(S4422)*((U4422)*(Q4422)-(R4422)*(V4422))+(T4422)*((U4422)*(R4422)-(P4422)*(V4422)))/W4422,0)</f>
        <v/>
      </c>
      <c r="Y4422">
        <f>IF(ABS(W4422)&gt;1E-12,((LTP3!$D$5)*((U4422)*(Q4422)-(R4422)*(V4422))-(LTP3!$D$6)*((S4422)*(Q4422)-(R4422)*(T4422))+(T4422)*((S4422)*(V4422)-(U4422)*(T4422)))/W4422,0)</f>
        <v/>
      </c>
      <c r="Z4422">
        <f>IF(ABS(W4422)&gt;1E-12,((LTP3!$D$5)*((P4422)*(V4422)-(U4422)*(R4422))-(S4422)*((S4422)*(V4422)-(U4422)*(T4422))+(LTP3!$D$6)*((S4422)*(R4422)-(P4422)*(T4422)))/W4422,0)</f>
        <v/>
      </c>
      <c r="AA4422">
        <f>LTP3!$D$7-X4422*LTP3!$D$6-Y4422*U4422-Z4422*V4422</f>
        <v/>
      </c>
      <c r="AB4422">
        <f>IF(AND(F4422,ABS(W4422)&gt;1E-12,Y4422&gt;0,Z4422&gt;0),AA4422,1E+300)</f>
        <v/>
      </c>
    </row>
    <row r="4423">
      <c r="A4423">
        <f>$I$4-$B$5/10+$B$5*11/100</f>
        <v/>
      </c>
      <c r="B4423">
        <f>$J$4-$B$5/10+$B$5*12/100</f>
        <v/>
      </c>
      <c r="C4423">
        <f>SUMPRODUCT(Calc!$K$3:$K$22*(Calc!$G$3:$G$22&lt;=A4423))</f>
        <v/>
      </c>
      <c r="D4423">
        <f>SUMPRODUCT(Calc!$K$3:$K$22*(Calc!$G$3:$G$22&gt;A4423)*(Calc!$G$3:$G$22&lt;B4423))</f>
        <v/>
      </c>
      <c r="E4423">
        <f>SUMPRODUCT(Calc!$K$3:$K$22*(Calc!$G$3:$G$22&gt;=B4423))</f>
        <v/>
      </c>
      <c r="F4423">
        <f>AND(k_n&gt;=5,B4423&gt;A4423+1E-9,C4423&gt;=2,D4423&gt;=1,E4423&gt;=2)</f>
        <v/>
      </c>
      <c r="G4423">
        <f>SUMPRODUCT(Calc!$K$3:$K$22*(Calc!$G$3:$G$22&gt;A4423)*(Calc!$G$3:$G$22-A4423))</f>
        <v/>
      </c>
      <c r="H4423">
        <f>SUMPRODUCT(Calc!$K$3:$K$22*(Calc!$G$3:$G$22&gt;B4423)*(Calc!$G$3:$G$22-B4423))</f>
        <v/>
      </c>
      <c r="I4423">
        <f>SUMPRODUCT(Calc!$K$3:$K$22*(Calc!$G$3:$G$22&gt;A4423)*(Calc!$G$3:$G$22-A4423)^2)</f>
        <v/>
      </c>
      <c r="J4423">
        <f>SUMPRODUCT(Calc!$K$3:$K$22*(Calc!$G$3:$G$22&gt;B4423)*(Calc!$G$3:$G$22-B4423)^2)</f>
        <v/>
      </c>
      <c r="K4423">
        <f>SUMPRODUCT(Calc!$K$3:$K$22*(Calc!$G$3:$G$22&gt;A4423)*(Calc!$G$3:$G$22-A4423)*(Calc!$G$3:$G$22&gt;B4423)*(Calc!$G$3:$G$22-B4423))</f>
        <v/>
      </c>
      <c r="L4423">
        <f>SUMPRODUCT(Calc!$K$3:$K$22*(Calc!$G$3:$G$22&gt;A4423)*(Calc!$G$3:$G$22-A4423)*Calc!$G$3:$G$22)</f>
        <v/>
      </c>
      <c r="M4423">
        <f>SUMPRODUCT(Calc!$K$3:$K$22*(Calc!$G$3:$G$22&gt;B4423)*(Calc!$G$3:$G$22-B4423)*Calc!$G$3:$G$22)</f>
        <v/>
      </c>
      <c r="N4423">
        <f>SUMPRODUCT(Calc!$K$3:$K$22*(Calc!$G$3:$G$22&gt;A4423)*(Calc!$G$3:$G$22-A4423)*Calc!$I$3:$I$22)</f>
        <v/>
      </c>
      <c r="O4423">
        <f>SUMPRODUCT(Calc!$K$3:$K$22*(Calc!$G$3:$G$22&gt;B4423)*(Calc!$G$3:$G$22-B4423)*Calc!$I$3:$I$22)</f>
        <v/>
      </c>
      <c r="P4423">
        <f>I4423-G4423^2/k_n</f>
        <v/>
      </c>
      <c r="Q4423">
        <f>J4423-H4423^2/k_n</f>
        <v/>
      </c>
      <c r="R4423">
        <f>K4423-G4423*H4423/k_n</f>
        <v/>
      </c>
      <c r="S4423">
        <f>L4423-LTP3!$D$3*G4423/k_n</f>
        <v/>
      </c>
      <c r="T4423">
        <f>M4423-LTP3!$D$3*H4423/k_n</f>
        <v/>
      </c>
      <c r="U4423">
        <f>N4423-G4423*LTP3!$D$4/k_n</f>
        <v/>
      </c>
      <c r="V4423">
        <f>O4423-H4423*LTP3!$D$4/k_n</f>
        <v/>
      </c>
      <c r="W4423">
        <f>((LTP3!$D$5)*((P4423)*(Q4423)-(R4423)*(R4423))-(S4423)*((S4423)*(Q4423)-(R4423)*(T4423))+(T4423)*((S4423)*(R4423)-(P4423)*(T4423)))</f>
        <v/>
      </c>
      <c r="X4423">
        <f>IF(ABS(W4423)&gt;1E-12,((LTP3!$D$6)*((P4423)*(Q4423)-(R4423)*(R4423))-(S4423)*((U4423)*(Q4423)-(R4423)*(V4423))+(T4423)*((U4423)*(R4423)-(P4423)*(V4423)))/W4423,0)</f>
        <v/>
      </c>
      <c r="Y4423">
        <f>IF(ABS(W4423)&gt;1E-12,((LTP3!$D$5)*((U4423)*(Q4423)-(R4423)*(V4423))-(LTP3!$D$6)*((S4423)*(Q4423)-(R4423)*(T4423))+(T4423)*((S4423)*(V4423)-(U4423)*(T4423)))/W4423,0)</f>
        <v/>
      </c>
      <c r="Z4423">
        <f>IF(ABS(W4423)&gt;1E-12,((LTP3!$D$5)*((P4423)*(V4423)-(U4423)*(R4423))-(S4423)*((S4423)*(V4423)-(U4423)*(T4423))+(LTP3!$D$6)*((S4423)*(R4423)-(P4423)*(T4423)))/W4423,0)</f>
        <v/>
      </c>
      <c r="AA4423">
        <f>LTP3!$D$7-X4423*LTP3!$D$6-Y4423*U4423-Z4423*V4423</f>
        <v/>
      </c>
      <c r="AB4423">
        <f>IF(AND(F4423,ABS(W4423)&gt;1E-12,Y4423&gt;0,Z4423&gt;0),AA4423,1E+300)</f>
        <v/>
      </c>
    </row>
    <row r="4424">
      <c r="A4424">
        <f>$I$4-$B$5/10+$B$5*11/100</f>
        <v/>
      </c>
      <c r="B4424">
        <f>$J$4-$B$5/10+$B$5*13/100</f>
        <v/>
      </c>
      <c r="C4424">
        <f>SUMPRODUCT(Calc!$K$3:$K$22*(Calc!$G$3:$G$22&lt;=A4424))</f>
        <v/>
      </c>
      <c r="D4424">
        <f>SUMPRODUCT(Calc!$K$3:$K$22*(Calc!$G$3:$G$22&gt;A4424)*(Calc!$G$3:$G$22&lt;B4424))</f>
        <v/>
      </c>
      <c r="E4424">
        <f>SUMPRODUCT(Calc!$K$3:$K$22*(Calc!$G$3:$G$22&gt;=B4424))</f>
        <v/>
      </c>
      <c r="F4424">
        <f>AND(k_n&gt;=5,B4424&gt;A4424+1E-9,C4424&gt;=2,D4424&gt;=1,E4424&gt;=2)</f>
        <v/>
      </c>
      <c r="G4424">
        <f>SUMPRODUCT(Calc!$K$3:$K$22*(Calc!$G$3:$G$22&gt;A4424)*(Calc!$G$3:$G$22-A4424))</f>
        <v/>
      </c>
      <c r="H4424">
        <f>SUMPRODUCT(Calc!$K$3:$K$22*(Calc!$G$3:$G$22&gt;B4424)*(Calc!$G$3:$G$22-B4424))</f>
        <v/>
      </c>
      <c r="I4424">
        <f>SUMPRODUCT(Calc!$K$3:$K$22*(Calc!$G$3:$G$22&gt;A4424)*(Calc!$G$3:$G$22-A4424)^2)</f>
        <v/>
      </c>
      <c r="J4424">
        <f>SUMPRODUCT(Calc!$K$3:$K$22*(Calc!$G$3:$G$22&gt;B4424)*(Calc!$G$3:$G$22-B4424)^2)</f>
        <v/>
      </c>
      <c r="K4424">
        <f>SUMPRODUCT(Calc!$K$3:$K$22*(Calc!$G$3:$G$22&gt;A4424)*(Calc!$G$3:$G$22-A4424)*(Calc!$G$3:$G$22&gt;B4424)*(Calc!$G$3:$G$22-B4424))</f>
        <v/>
      </c>
      <c r="L4424">
        <f>SUMPRODUCT(Calc!$K$3:$K$22*(Calc!$G$3:$G$22&gt;A4424)*(Calc!$G$3:$G$22-A4424)*Calc!$G$3:$G$22)</f>
        <v/>
      </c>
      <c r="M4424">
        <f>SUMPRODUCT(Calc!$K$3:$K$22*(Calc!$G$3:$G$22&gt;B4424)*(Calc!$G$3:$G$22-B4424)*Calc!$G$3:$G$22)</f>
        <v/>
      </c>
      <c r="N4424">
        <f>SUMPRODUCT(Calc!$K$3:$K$22*(Calc!$G$3:$G$22&gt;A4424)*(Calc!$G$3:$G$22-A4424)*Calc!$I$3:$I$22)</f>
        <v/>
      </c>
      <c r="O4424">
        <f>SUMPRODUCT(Calc!$K$3:$K$22*(Calc!$G$3:$G$22&gt;B4424)*(Calc!$G$3:$G$22-B4424)*Calc!$I$3:$I$22)</f>
        <v/>
      </c>
      <c r="P4424">
        <f>I4424-G4424^2/k_n</f>
        <v/>
      </c>
      <c r="Q4424">
        <f>J4424-H4424^2/k_n</f>
        <v/>
      </c>
      <c r="R4424">
        <f>K4424-G4424*H4424/k_n</f>
        <v/>
      </c>
      <c r="S4424">
        <f>L4424-LTP3!$D$3*G4424/k_n</f>
        <v/>
      </c>
      <c r="T4424">
        <f>M4424-LTP3!$D$3*H4424/k_n</f>
        <v/>
      </c>
      <c r="U4424">
        <f>N4424-G4424*LTP3!$D$4/k_n</f>
        <v/>
      </c>
      <c r="V4424">
        <f>O4424-H4424*LTP3!$D$4/k_n</f>
        <v/>
      </c>
      <c r="W4424">
        <f>((LTP3!$D$5)*((P4424)*(Q4424)-(R4424)*(R4424))-(S4424)*((S4424)*(Q4424)-(R4424)*(T4424))+(T4424)*((S4424)*(R4424)-(P4424)*(T4424)))</f>
        <v/>
      </c>
      <c r="X4424">
        <f>IF(ABS(W4424)&gt;1E-12,((LTP3!$D$6)*((P4424)*(Q4424)-(R4424)*(R4424))-(S4424)*((U4424)*(Q4424)-(R4424)*(V4424))+(T4424)*((U4424)*(R4424)-(P4424)*(V4424)))/W4424,0)</f>
        <v/>
      </c>
      <c r="Y4424">
        <f>IF(ABS(W4424)&gt;1E-12,((LTP3!$D$5)*((U4424)*(Q4424)-(R4424)*(V4424))-(LTP3!$D$6)*((S4424)*(Q4424)-(R4424)*(T4424))+(T4424)*((S4424)*(V4424)-(U4424)*(T4424)))/W4424,0)</f>
        <v/>
      </c>
      <c r="Z4424">
        <f>IF(ABS(W4424)&gt;1E-12,((LTP3!$D$5)*((P4424)*(V4424)-(U4424)*(R4424))-(S4424)*((S4424)*(V4424)-(U4424)*(T4424))+(LTP3!$D$6)*((S4424)*(R4424)-(P4424)*(T4424)))/W4424,0)</f>
        <v/>
      </c>
      <c r="AA4424">
        <f>LTP3!$D$7-X4424*LTP3!$D$6-Y4424*U4424-Z4424*V4424</f>
        <v/>
      </c>
      <c r="AB4424">
        <f>IF(AND(F4424,ABS(W4424)&gt;1E-12,Y4424&gt;0,Z4424&gt;0),AA4424,1E+300)</f>
        <v/>
      </c>
    </row>
    <row r="4425">
      <c r="A4425">
        <f>$I$4-$B$5/10+$B$5*11/100</f>
        <v/>
      </c>
      <c r="B4425">
        <f>$J$4-$B$5/10+$B$5*14/100</f>
        <v/>
      </c>
      <c r="C4425">
        <f>SUMPRODUCT(Calc!$K$3:$K$22*(Calc!$G$3:$G$22&lt;=A4425))</f>
        <v/>
      </c>
      <c r="D4425">
        <f>SUMPRODUCT(Calc!$K$3:$K$22*(Calc!$G$3:$G$22&gt;A4425)*(Calc!$G$3:$G$22&lt;B4425))</f>
        <v/>
      </c>
      <c r="E4425">
        <f>SUMPRODUCT(Calc!$K$3:$K$22*(Calc!$G$3:$G$22&gt;=B4425))</f>
        <v/>
      </c>
      <c r="F4425">
        <f>AND(k_n&gt;=5,B4425&gt;A4425+1E-9,C4425&gt;=2,D4425&gt;=1,E4425&gt;=2)</f>
        <v/>
      </c>
      <c r="G4425">
        <f>SUMPRODUCT(Calc!$K$3:$K$22*(Calc!$G$3:$G$22&gt;A4425)*(Calc!$G$3:$G$22-A4425))</f>
        <v/>
      </c>
      <c r="H4425">
        <f>SUMPRODUCT(Calc!$K$3:$K$22*(Calc!$G$3:$G$22&gt;B4425)*(Calc!$G$3:$G$22-B4425))</f>
        <v/>
      </c>
      <c r="I4425">
        <f>SUMPRODUCT(Calc!$K$3:$K$22*(Calc!$G$3:$G$22&gt;A4425)*(Calc!$G$3:$G$22-A4425)^2)</f>
        <v/>
      </c>
      <c r="J4425">
        <f>SUMPRODUCT(Calc!$K$3:$K$22*(Calc!$G$3:$G$22&gt;B4425)*(Calc!$G$3:$G$22-B4425)^2)</f>
        <v/>
      </c>
      <c r="K4425">
        <f>SUMPRODUCT(Calc!$K$3:$K$22*(Calc!$G$3:$G$22&gt;A4425)*(Calc!$G$3:$G$22-A4425)*(Calc!$G$3:$G$22&gt;B4425)*(Calc!$G$3:$G$22-B4425))</f>
        <v/>
      </c>
      <c r="L4425">
        <f>SUMPRODUCT(Calc!$K$3:$K$22*(Calc!$G$3:$G$22&gt;A4425)*(Calc!$G$3:$G$22-A4425)*Calc!$G$3:$G$22)</f>
        <v/>
      </c>
      <c r="M4425">
        <f>SUMPRODUCT(Calc!$K$3:$K$22*(Calc!$G$3:$G$22&gt;B4425)*(Calc!$G$3:$G$22-B4425)*Calc!$G$3:$G$22)</f>
        <v/>
      </c>
      <c r="N4425">
        <f>SUMPRODUCT(Calc!$K$3:$K$22*(Calc!$G$3:$G$22&gt;A4425)*(Calc!$G$3:$G$22-A4425)*Calc!$I$3:$I$22)</f>
        <v/>
      </c>
      <c r="O4425">
        <f>SUMPRODUCT(Calc!$K$3:$K$22*(Calc!$G$3:$G$22&gt;B4425)*(Calc!$G$3:$G$22-B4425)*Calc!$I$3:$I$22)</f>
        <v/>
      </c>
      <c r="P4425">
        <f>I4425-G4425^2/k_n</f>
        <v/>
      </c>
      <c r="Q4425">
        <f>J4425-H4425^2/k_n</f>
        <v/>
      </c>
      <c r="R4425">
        <f>K4425-G4425*H4425/k_n</f>
        <v/>
      </c>
      <c r="S4425">
        <f>L4425-LTP3!$D$3*G4425/k_n</f>
        <v/>
      </c>
      <c r="T4425">
        <f>M4425-LTP3!$D$3*H4425/k_n</f>
        <v/>
      </c>
      <c r="U4425">
        <f>N4425-G4425*LTP3!$D$4/k_n</f>
        <v/>
      </c>
      <c r="V4425">
        <f>O4425-H4425*LTP3!$D$4/k_n</f>
        <v/>
      </c>
      <c r="W4425">
        <f>((LTP3!$D$5)*((P4425)*(Q4425)-(R4425)*(R4425))-(S4425)*((S4425)*(Q4425)-(R4425)*(T4425))+(T4425)*((S4425)*(R4425)-(P4425)*(T4425)))</f>
        <v/>
      </c>
      <c r="X4425">
        <f>IF(ABS(W4425)&gt;1E-12,((LTP3!$D$6)*((P4425)*(Q4425)-(R4425)*(R4425))-(S4425)*((U4425)*(Q4425)-(R4425)*(V4425))+(T4425)*((U4425)*(R4425)-(P4425)*(V4425)))/W4425,0)</f>
        <v/>
      </c>
      <c r="Y4425">
        <f>IF(ABS(W4425)&gt;1E-12,((LTP3!$D$5)*((U4425)*(Q4425)-(R4425)*(V4425))-(LTP3!$D$6)*((S4425)*(Q4425)-(R4425)*(T4425))+(T4425)*((S4425)*(V4425)-(U4425)*(T4425)))/W4425,0)</f>
        <v/>
      </c>
      <c r="Z4425">
        <f>IF(ABS(W4425)&gt;1E-12,((LTP3!$D$5)*((P4425)*(V4425)-(U4425)*(R4425))-(S4425)*((S4425)*(V4425)-(U4425)*(T4425))+(LTP3!$D$6)*((S4425)*(R4425)-(P4425)*(T4425)))/W4425,0)</f>
        <v/>
      </c>
      <c r="AA4425">
        <f>LTP3!$D$7-X4425*LTP3!$D$6-Y4425*U4425-Z4425*V4425</f>
        <v/>
      </c>
      <c r="AB4425">
        <f>IF(AND(F4425,ABS(W4425)&gt;1E-12,Y4425&gt;0,Z4425&gt;0),AA4425,1E+300)</f>
        <v/>
      </c>
    </row>
    <row r="4426">
      <c r="A4426">
        <f>$I$4-$B$5/10+$B$5*11/100</f>
        <v/>
      </c>
      <c r="B4426">
        <f>$J$4-$B$5/10+$B$5*15/100</f>
        <v/>
      </c>
      <c r="C4426">
        <f>SUMPRODUCT(Calc!$K$3:$K$22*(Calc!$G$3:$G$22&lt;=A4426))</f>
        <v/>
      </c>
      <c r="D4426">
        <f>SUMPRODUCT(Calc!$K$3:$K$22*(Calc!$G$3:$G$22&gt;A4426)*(Calc!$G$3:$G$22&lt;B4426))</f>
        <v/>
      </c>
      <c r="E4426">
        <f>SUMPRODUCT(Calc!$K$3:$K$22*(Calc!$G$3:$G$22&gt;=B4426))</f>
        <v/>
      </c>
      <c r="F4426">
        <f>AND(k_n&gt;=5,B4426&gt;A4426+1E-9,C4426&gt;=2,D4426&gt;=1,E4426&gt;=2)</f>
        <v/>
      </c>
      <c r="G4426">
        <f>SUMPRODUCT(Calc!$K$3:$K$22*(Calc!$G$3:$G$22&gt;A4426)*(Calc!$G$3:$G$22-A4426))</f>
        <v/>
      </c>
      <c r="H4426">
        <f>SUMPRODUCT(Calc!$K$3:$K$22*(Calc!$G$3:$G$22&gt;B4426)*(Calc!$G$3:$G$22-B4426))</f>
        <v/>
      </c>
      <c r="I4426">
        <f>SUMPRODUCT(Calc!$K$3:$K$22*(Calc!$G$3:$G$22&gt;A4426)*(Calc!$G$3:$G$22-A4426)^2)</f>
        <v/>
      </c>
      <c r="J4426">
        <f>SUMPRODUCT(Calc!$K$3:$K$22*(Calc!$G$3:$G$22&gt;B4426)*(Calc!$G$3:$G$22-B4426)^2)</f>
        <v/>
      </c>
      <c r="K4426">
        <f>SUMPRODUCT(Calc!$K$3:$K$22*(Calc!$G$3:$G$22&gt;A4426)*(Calc!$G$3:$G$22-A4426)*(Calc!$G$3:$G$22&gt;B4426)*(Calc!$G$3:$G$22-B4426))</f>
        <v/>
      </c>
      <c r="L4426">
        <f>SUMPRODUCT(Calc!$K$3:$K$22*(Calc!$G$3:$G$22&gt;A4426)*(Calc!$G$3:$G$22-A4426)*Calc!$G$3:$G$22)</f>
        <v/>
      </c>
      <c r="M4426">
        <f>SUMPRODUCT(Calc!$K$3:$K$22*(Calc!$G$3:$G$22&gt;B4426)*(Calc!$G$3:$G$22-B4426)*Calc!$G$3:$G$22)</f>
        <v/>
      </c>
      <c r="N4426">
        <f>SUMPRODUCT(Calc!$K$3:$K$22*(Calc!$G$3:$G$22&gt;A4426)*(Calc!$G$3:$G$22-A4426)*Calc!$I$3:$I$22)</f>
        <v/>
      </c>
      <c r="O4426">
        <f>SUMPRODUCT(Calc!$K$3:$K$22*(Calc!$G$3:$G$22&gt;B4426)*(Calc!$G$3:$G$22-B4426)*Calc!$I$3:$I$22)</f>
        <v/>
      </c>
      <c r="P4426">
        <f>I4426-G4426^2/k_n</f>
        <v/>
      </c>
      <c r="Q4426">
        <f>J4426-H4426^2/k_n</f>
        <v/>
      </c>
      <c r="R4426">
        <f>K4426-G4426*H4426/k_n</f>
        <v/>
      </c>
      <c r="S4426">
        <f>L4426-LTP3!$D$3*G4426/k_n</f>
        <v/>
      </c>
      <c r="T4426">
        <f>M4426-LTP3!$D$3*H4426/k_n</f>
        <v/>
      </c>
      <c r="U4426">
        <f>N4426-G4426*LTP3!$D$4/k_n</f>
        <v/>
      </c>
      <c r="V4426">
        <f>O4426-H4426*LTP3!$D$4/k_n</f>
        <v/>
      </c>
      <c r="W4426">
        <f>((LTP3!$D$5)*((P4426)*(Q4426)-(R4426)*(R4426))-(S4426)*((S4426)*(Q4426)-(R4426)*(T4426))+(T4426)*((S4426)*(R4426)-(P4426)*(T4426)))</f>
        <v/>
      </c>
      <c r="X4426">
        <f>IF(ABS(W4426)&gt;1E-12,((LTP3!$D$6)*((P4426)*(Q4426)-(R4426)*(R4426))-(S4426)*((U4426)*(Q4426)-(R4426)*(V4426))+(T4426)*((U4426)*(R4426)-(P4426)*(V4426)))/W4426,0)</f>
        <v/>
      </c>
      <c r="Y4426">
        <f>IF(ABS(W4426)&gt;1E-12,((LTP3!$D$5)*((U4426)*(Q4426)-(R4426)*(V4426))-(LTP3!$D$6)*((S4426)*(Q4426)-(R4426)*(T4426))+(T4426)*((S4426)*(V4426)-(U4426)*(T4426)))/W4426,0)</f>
        <v/>
      </c>
      <c r="Z4426">
        <f>IF(ABS(W4426)&gt;1E-12,((LTP3!$D$5)*((P4426)*(V4426)-(U4426)*(R4426))-(S4426)*((S4426)*(V4426)-(U4426)*(T4426))+(LTP3!$D$6)*((S4426)*(R4426)-(P4426)*(T4426)))/W4426,0)</f>
        <v/>
      </c>
      <c r="AA4426">
        <f>LTP3!$D$7-X4426*LTP3!$D$6-Y4426*U4426-Z4426*V4426</f>
        <v/>
      </c>
      <c r="AB4426">
        <f>IF(AND(F4426,ABS(W4426)&gt;1E-12,Y4426&gt;0,Z4426&gt;0),AA4426,1E+300)</f>
        <v/>
      </c>
    </row>
    <row r="4427">
      <c r="A4427">
        <f>$I$4-$B$5/10+$B$5*11/100</f>
        <v/>
      </c>
      <c r="B4427">
        <f>$J$4-$B$5/10+$B$5*16/100</f>
        <v/>
      </c>
      <c r="C4427">
        <f>SUMPRODUCT(Calc!$K$3:$K$22*(Calc!$G$3:$G$22&lt;=A4427))</f>
        <v/>
      </c>
      <c r="D4427">
        <f>SUMPRODUCT(Calc!$K$3:$K$22*(Calc!$G$3:$G$22&gt;A4427)*(Calc!$G$3:$G$22&lt;B4427))</f>
        <v/>
      </c>
      <c r="E4427">
        <f>SUMPRODUCT(Calc!$K$3:$K$22*(Calc!$G$3:$G$22&gt;=B4427))</f>
        <v/>
      </c>
      <c r="F4427">
        <f>AND(k_n&gt;=5,B4427&gt;A4427+1E-9,C4427&gt;=2,D4427&gt;=1,E4427&gt;=2)</f>
        <v/>
      </c>
      <c r="G4427">
        <f>SUMPRODUCT(Calc!$K$3:$K$22*(Calc!$G$3:$G$22&gt;A4427)*(Calc!$G$3:$G$22-A4427))</f>
        <v/>
      </c>
      <c r="H4427">
        <f>SUMPRODUCT(Calc!$K$3:$K$22*(Calc!$G$3:$G$22&gt;B4427)*(Calc!$G$3:$G$22-B4427))</f>
        <v/>
      </c>
      <c r="I4427">
        <f>SUMPRODUCT(Calc!$K$3:$K$22*(Calc!$G$3:$G$22&gt;A4427)*(Calc!$G$3:$G$22-A4427)^2)</f>
        <v/>
      </c>
      <c r="J4427">
        <f>SUMPRODUCT(Calc!$K$3:$K$22*(Calc!$G$3:$G$22&gt;B4427)*(Calc!$G$3:$G$22-B4427)^2)</f>
        <v/>
      </c>
      <c r="K4427">
        <f>SUMPRODUCT(Calc!$K$3:$K$22*(Calc!$G$3:$G$22&gt;A4427)*(Calc!$G$3:$G$22-A4427)*(Calc!$G$3:$G$22&gt;B4427)*(Calc!$G$3:$G$22-B4427))</f>
        <v/>
      </c>
      <c r="L4427">
        <f>SUMPRODUCT(Calc!$K$3:$K$22*(Calc!$G$3:$G$22&gt;A4427)*(Calc!$G$3:$G$22-A4427)*Calc!$G$3:$G$22)</f>
        <v/>
      </c>
      <c r="M4427">
        <f>SUMPRODUCT(Calc!$K$3:$K$22*(Calc!$G$3:$G$22&gt;B4427)*(Calc!$G$3:$G$22-B4427)*Calc!$G$3:$G$22)</f>
        <v/>
      </c>
      <c r="N4427">
        <f>SUMPRODUCT(Calc!$K$3:$K$22*(Calc!$G$3:$G$22&gt;A4427)*(Calc!$G$3:$G$22-A4427)*Calc!$I$3:$I$22)</f>
        <v/>
      </c>
      <c r="O4427">
        <f>SUMPRODUCT(Calc!$K$3:$K$22*(Calc!$G$3:$G$22&gt;B4427)*(Calc!$G$3:$G$22-B4427)*Calc!$I$3:$I$22)</f>
        <v/>
      </c>
      <c r="P4427">
        <f>I4427-G4427^2/k_n</f>
        <v/>
      </c>
      <c r="Q4427">
        <f>J4427-H4427^2/k_n</f>
        <v/>
      </c>
      <c r="R4427">
        <f>K4427-G4427*H4427/k_n</f>
        <v/>
      </c>
      <c r="S4427">
        <f>L4427-LTP3!$D$3*G4427/k_n</f>
        <v/>
      </c>
      <c r="T4427">
        <f>M4427-LTP3!$D$3*H4427/k_n</f>
        <v/>
      </c>
      <c r="U4427">
        <f>N4427-G4427*LTP3!$D$4/k_n</f>
        <v/>
      </c>
      <c r="V4427">
        <f>O4427-H4427*LTP3!$D$4/k_n</f>
        <v/>
      </c>
      <c r="W4427">
        <f>((LTP3!$D$5)*((P4427)*(Q4427)-(R4427)*(R4427))-(S4427)*((S4427)*(Q4427)-(R4427)*(T4427))+(T4427)*((S4427)*(R4427)-(P4427)*(T4427)))</f>
        <v/>
      </c>
      <c r="X4427">
        <f>IF(ABS(W4427)&gt;1E-12,((LTP3!$D$6)*((P4427)*(Q4427)-(R4427)*(R4427))-(S4427)*((U4427)*(Q4427)-(R4427)*(V4427))+(T4427)*((U4427)*(R4427)-(P4427)*(V4427)))/W4427,0)</f>
        <v/>
      </c>
      <c r="Y4427">
        <f>IF(ABS(W4427)&gt;1E-12,((LTP3!$D$5)*((U4427)*(Q4427)-(R4427)*(V4427))-(LTP3!$D$6)*((S4427)*(Q4427)-(R4427)*(T4427))+(T4427)*((S4427)*(V4427)-(U4427)*(T4427)))/W4427,0)</f>
        <v/>
      </c>
      <c r="Z4427">
        <f>IF(ABS(W4427)&gt;1E-12,((LTP3!$D$5)*((P4427)*(V4427)-(U4427)*(R4427))-(S4427)*((S4427)*(V4427)-(U4427)*(T4427))+(LTP3!$D$6)*((S4427)*(R4427)-(P4427)*(T4427)))/W4427,0)</f>
        <v/>
      </c>
      <c r="AA4427">
        <f>LTP3!$D$7-X4427*LTP3!$D$6-Y4427*U4427-Z4427*V4427</f>
        <v/>
      </c>
      <c r="AB4427">
        <f>IF(AND(F4427,ABS(W4427)&gt;1E-12,Y4427&gt;0,Z4427&gt;0),AA4427,1E+300)</f>
        <v/>
      </c>
    </row>
    <row r="4428">
      <c r="A4428">
        <f>$I$4-$B$5/10+$B$5*11/100</f>
        <v/>
      </c>
      <c r="B4428">
        <f>$J$4-$B$5/10+$B$5*17/100</f>
        <v/>
      </c>
      <c r="C4428">
        <f>SUMPRODUCT(Calc!$K$3:$K$22*(Calc!$G$3:$G$22&lt;=A4428))</f>
        <v/>
      </c>
      <c r="D4428">
        <f>SUMPRODUCT(Calc!$K$3:$K$22*(Calc!$G$3:$G$22&gt;A4428)*(Calc!$G$3:$G$22&lt;B4428))</f>
        <v/>
      </c>
      <c r="E4428">
        <f>SUMPRODUCT(Calc!$K$3:$K$22*(Calc!$G$3:$G$22&gt;=B4428))</f>
        <v/>
      </c>
      <c r="F4428">
        <f>AND(k_n&gt;=5,B4428&gt;A4428+1E-9,C4428&gt;=2,D4428&gt;=1,E4428&gt;=2)</f>
        <v/>
      </c>
      <c r="G4428">
        <f>SUMPRODUCT(Calc!$K$3:$K$22*(Calc!$G$3:$G$22&gt;A4428)*(Calc!$G$3:$G$22-A4428))</f>
        <v/>
      </c>
      <c r="H4428">
        <f>SUMPRODUCT(Calc!$K$3:$K$22*(Calc!$G$3:$G$22&gt;B4428)*(Calc!$G$3:$G$22-B4428))</f>
        <v/>
      </c>
      <c r="I4428">
        <f>SUMPRODUCT(Calc!$K$3:$K$22*(Calc!$G$3:$G$22&gt;A4428)*(Calc!$G$3:$G$22-A4428)^2)</f>
        <v/>
      </c>
      <c r="J4428">
        <f>SUMPRODUCT(Calc!$K$3:$K$22*(Calc!$G$3:$G$22&gt;B4428)*(Calc!$G$3:$G$22-B4428)^2)</f>
        <v/>
      </c>
      <c r="K4428">
        <f>SUMPRODUCT(Calc!$K$3:$K$22*(Calc!$G$3:$G$22&gt;A4428)*(Calc!$G$3:$G$22-A4428)*(Calc!$G$3:$G$22&gt;B4428)*(Calc!$G$3:$G$22-B4428))</f>
        <v/>
      </c>
      <c r="L4428">
        <f>SUMPRODUCT(Calc!$K$3:$K$22*(Calc!$G$3:$G$22&gt;A4428)*(Calc!$G$3:$G$22-A4428)*Calc!$G$3:$G$22)</f>
        <v/>
      </c>
      <c r="M4428">
        <f>SUMPRODUCT(Calc!$K$3:$K$22*(Calc!$G$3:$G$22&gt;B4428)*(Calc!$G$3:$G$22-B4428)*Calc!$G$3:$G$22)</f>
        <v/>
      </c>
      <c r="N4428">
        <f>SUMPRODUCT(Calc!$K$3:$K$22*(Calc!$G$3:$G$22&gt;A4428)*(Calc!$G$3:$G$22-A4428)*Calc!$I$3:$I$22)</f>
        <v/>
      </c>
      <c r="O4428">
        <f>SUMPRODUCT(Calc!$K$3:$K$22*(Calc!$G$3:$G$22&gt;B4428)*(Calc!$G$3:$G$22-B4428)*Calc!$I$3:$I$22)</f>
        <v/>
      </c>
      <c r="P4428">
        <f>I4428-G4428^2/k_n</f>
        <v/>
      </c>
      <c r="Q4428">
        <f>J4428-H4428^2/k_n</f>
        <v/>
      </c>
      <c r="R4428">
        <f>K4428-G4428*H4428/k_n</f>
        <v/>
      </c>
      <c r="S4428">
        <f>L4428-LTP3!$D$3*G4428/k_n</f>
        <v/>
      </c>
      <c r="T4428">
        <f>M4428-LTP3!$D$3*H4428/k_n</f>
        <v/>
      </c>
      <c r="U4428">
        <f>N4428-G4428*LTP3!$D$4/k_n</f>
        <v/>
      </c>
      <c r="V4428">
        <f>O4428-H4428*LTP3!$D$4/k_n</f>
        <v/>
      </c>
      <c r="W4428">
        <f>((LTP3!$D$5)*((P4428)*(Q4428)-(R4428)*(R4428))-(S4428)*((S4428)*(Q4428)-(R4428)*(T4428))+(T4428)*((S4428)*(R4428)-(P4428)*(T4428)))</f>
        <v/>
      </c>
      <c r="X4428">
        <f>IF(ABS(W4428)&gt;1E-12,((LTP3!$D$6)*((P4428)*(Q4428)-(R4428)*(R4428))-(S4428)*((U4428)*(Q4428)-(R4428)*(V4428))+(T4428)*((U4428)*(R4428)-(P4428)*(V4428)))/W4428,0)</f>
        <v/>
      </c>
      <c r="Y4428">
        <f>IF(ABS(W4428)&gt;1E-12,((LTP3!$D$5)*((U4428)*(Q4428)-(R4428)*(V4428))-(LTP3!$D$6)*((S4428)*(Q4428)-(R4428)*(T4428))+(T4428)*((S4428)*(V4428)-(U4428)*(T4428)))/W4428,0)</f>
        <v/>
      </c>
      <c r="Z4428">
        <f>IF(ABS(W4428)&gt;1E-12,((LTP3!$D$5)*((P4428)*(V4428)-(U4428)*(R4428))-(S4428)*((S4428)*(V4428)-(U4428)*(T4428))+(LTP3!$D$6)*((S4428)*(R4428)-(P4428)*(T4428)))/W4428,0)</f>
        <v/>
      </c>
      <c r="AA4428">
        <f>LTP3!$D$7-X4428*LTP3!$D$6-Y4428*U4428-Z4428*V4428</f>
        <v/>
      </c>
      <c r="AB4428">
        <f>IF(AND(F4428,ABS(W4428)&gt;1E-12,Y4428&gt;0,Z4428&gt;0),AA4428,1E+300)</f>
        <v/>
      </c>
    </row>
    <row r="4429">
      <c r="A4429">
        <f>$I$4-$B$5/10+$B$5*11/100</f>
        <v/>
      </c>
      <c r="B4429">
        <f>$J$4-$B$5/10+$B$5*18/100</f>
        <v/>
      </c>
      <c r="C4429">
        <f>SUMPRODUCT(Calc!$K$3:$K$22*(Calc!$G$3:$G$22&lt;=A4429))</f>
        <v/>
      </c>
      <c r="D4429">
        <f>SUMPRODUCT(Calc!$K$3:$K$22*(Calc!$G$3:$G$22&gt;A4429)*(Calc!$G$3:$G$22&lt;B4429))</f>
        <v/>
      </c>
      <c r="E4429">
        <f>SUMPRODUCT(Calc!$K$3:$K$22*(Calc!$G$3:$G$22&gt;=B4429))</f>
        <v/>
      </c>
      <c r="F4429">
        <f>AND(k_n&gt;=5,B4429&gt;A4429+1E-9,C4429&gt;=2,D4429&gt;=1,E4429&gt;=2)</f>
        <v/>
      </c>
      <c r="G4429">
        <f>SUMPRODUCT(Calc!$K$3:$K$22*(Calc!$G$3:$G$22&gt;A4429)*(Calc!$G$3:$G$22-A4429))</f>
        <v/>
      </c>
      <c r="H4429">
        <f>SUMPRODUCT(Calc!$K$3:$K$22*(Calc!$G$3:$G$22&gt;B4429)*(Calc!$G$3:$G$22-B4429))</f>
        <v/>
      </c>
      <c r="I4429">
        <f>SUMPRODUCT(Calc!$K$3:$K$22*(Calc!$G$3:$G$22&gt;A4429)*(Calc!$G$3:$G$22-A4429)^2)</f>
        <v/>
      </c>
      <c r="J4429">
        <f>SUMPRODUCT(Calc!$K$3:$K$22*(Calc!$G$3:$G$22&gt;B4429)*(Calc!$G$3:$G$22-B4429)^2)</f>
        <v/>
      </c>
      <c r="K4429">
        <f>SUMPRODUCT(Calc!$K$3:$K$22*(Calc!$G$3:$G$22&gt;A4429)*(Calc!$G$3:$G$22-A4429)*(Calc!$G$3:$G$22&gt;B4429)*(Calc!$G$3:$G$22-B4429))</f>
        <v/>
      </c>
      <c r="L4429">
        <f>SUMPRODUCT(Calc!$K$3:$K$22*(Calc!$G$3:$G$22&gt;A4429)*(Calc!$G$3:$G$22-A4429)*Calc!$G$3:$G$22)</f>
        <v/>
      </c>
      <c r="M4429">
        <f>SUMPRODUCT(Calc!$K$3:$K$22*(Calc!$G$3:$G$22&gt;B4429)*(Calc!$G$3:$G$22-B4429)*Calc!$G$3:$G$22)</f>
        <v/>
      </c>
      <c r="N4429">
        <f>SUMPRODUCT(Calc!$K$3:$K$22*(Calc!$G$3:$G$22&gt;A4429)*(Calc!$G$3:$G$22-A4429)*Calc!$I$3:$I$22)</f>
        <v/>
      </c>
      <c r="O4429">
        <f>SUMPRODUCT(Calc!$K$3:$K$22*(Calc!$G$3:$G$22&gt;B4429)*(Calc!$G$3:$G$22-B4429)*Calc!$I$3:$I$22)</f>
        <v/>
      </c>
      <c r="P4429">
        <f>I4429-G4429^2/k_n</f>
        <v/>
      </c>
      <c r="Q4429">
        <f>J4429-H4429^2/k_n</f>
        <v/>
      </c>
      <c r="R4429">
        <f>K4429-G4429*H4429/k_n</f>
        <v/>
      </c>
      <c r="S4429">
        <f>L4429-LTP3!$D$3*G4429/k_n</f>
        <v/>
      </c>
      <c r="T4429">
        <f>M4429-LTP3!$D$3*H4429/k_n</f>
        <v/>
      </c>
      <c r="U4429">
        <f>N4429-G4429*LTP3!$D$4/k_n</f>
        <v/>
      </c>
      <c r="V4429">
        <f>O4429-H4429*LTP3!$D$4/k_n</f>
        <v/>
      </c>
      <c r="W4429">
        <f>((LTP3!$D$5)*((P4429)*(Q4429)-(R4429)*(R4429))-(S4429)*((S4429)*(Q4429)-(R4429)*(T4429))+(T4429)*((S4429)*(R4429)-(P4429)*(T4429)))</f>
        <v/>
      </c>
      <c r="X4429">
        <f>IF(ABS(W4429)&gt;1E-12,((LTP3!$D$6)*((P4429)*(Q4429)-(R4429)*(R4429))-(S4429)*((U4429)*(Q4429)-(R4429)*(V4429))+(T4429)*((U4429)*(R4429)-(P4429)*(V4429)))/W4429,0)</f>
        <v/>
      </c>
      <c r="Y4429">
        <f>IF(ABS(W4429)&gt;1E-12,((LTP3!$D$5)*((U4429)*(Q4429)-(R4429)*(V4429))-(LTP3!$D$6)*((S4429)*(Q4429)-(R4429)*(T4429))+(T4429)*((S4429)*(V4429)-(U4429)*(T4429)))/W4429,0)</f>
        <v/>
      </c>
      <c r="Z4429">
        <f>IF(ABS(W4429)&gt;1E-12,((LTP3!$D$5)*((P4429)*(V4429)-(U4429)*(R4429))-(S4429)*((S4429)*(V4429)-(U4429)*(T4429))+(LTP3!$D$6)*((S4429)*(R4429)-(P4429)*(T4429)))/W4429,0)</f>
        <v/>
      </c>
      <c r="AA4429">
        <f>LTP3!$D$7-X4429*LTP3!$D$6-Y4429*U4429-Z4429*V4429</f>
        <v/>
      </c>
      <c r="AB4429">
        <f>IF(AND(F4429,ABS(W4429)&gt;1E-12,Y4429&gt;0,Z4429&gt;0),AA4429,1E+300)</f>
        <v/>
      </c>
    </row>
    <row r="4430">
      <c r="A4430">
        <f>$I$4-$B$5/10+$B$5*11/100</f>
        <v/>
      </c>
      <c r="B4430">
        <f>$J$4-$B$5/10+$B$5*19/100</f>
        <v/>
      </c>
      <c r="C4430">
        <f>SUMPRODUCT(Calc!$K$3:$K$22*(Calc!$G$3:$G$22&lt;=A4430))</f>
        <v/>
      </c>
      <c r="D4430">
        <f>SUMPRODUCT(Calc!$K$3:$K$22*(Calc!$G$3:$G$22&gt;A4430)*(Calc!$G$3:$G$22&lt;B4430))</f>
        <v/>
      </c>
      <c r="E4430">
        <f>SUMPRODUCT(Calc!$K$3:$K$22*(Calc!$G$3:$G$22&gt;=B4430))</f>
        <v/>
      </c>
      <c r="F4430">
        <f>AND(k_n&gt;=5,B4430&gt;A4430+1E-9,C4430&gt;=2,D4430&gt;=1,E4430&gt;=2)</f>
        <v/>
      </c>
      <c r="G4430">
        <f>SUMPRODUCT(Calc!$K$3:$K$22*(Calc!$G$3:$G$22&gt;A4430)*(Calc!$G$3:$G$22-A4430))</f>
        <v/>
      </c>
      <c r="H4430">
        <f>SUMPRODUCT(Calc!$K$3:$K$22*(Calc!$G$3:$G$22&gt;B4430)*(Calc!$G$3:$G$22-B4430))</f>
        <v/>
      </c>
      <c r="I4430">
        <f>SUMPRODUCT(Calc!$K$3:$K$22*(Calc!$G$3:$G$22&gt;A4430)*(Calc!$G$3:$G$22-A4430)^2)</f>
        <v/>
      </c>
      <c r="J4430">
        <f>SUMPRODUCT(Calc!$K$3:$K$22*(Calc!$G$3:$G$22&gt;B4430)*(Calc!$G$3:$G$22-B4430)^2)</f>
        <v/>
      </c>
      <c r="K4430">
        <f>SUMPRODUCT(Calc!$K$3:$K$22*(Calc!$G$3:$G$22&gt;A4430)*(Calc!$G$3:$G$22-A4430)*(Calc!$G$3:$G$22&gt;B4430)*(Calc!$G$3:$G$22-B4430))</f>
        <v/>
      </c>
      <c r="L4430">
        <f>SUMPRODUCT(Calc!$K$3:$K$22*(Calc!$G$3:$G$22&gt;A4430)*(Calc!$G$3:$G$22-A4430)*Calc!$G$3:$G$22)</f>
        <v/>
      </c>
      <c r="M4430">
        <f>SUMPRODUCT(Calc!$K$3:$K$22*(Calc!$G$3:$G$22&gt;B4430)*(Calc!$G$3:$G$22-B4430)*Calc!$G$3:$G$22)</f>
        <v/>
      </c>
      <c r="N4430">
        <f>SUMPRODUCT(Calc!$K$3:$K$22*(Calc!$G$3:$G$22&gt;A4430)*(Calc!$G$3:$G$22-A4430)*Calc!$I$3:$I$22)</f>
        <v/>
      </c>
      <c r="O4430">
        <f>SUMPRODUCT(Calc!$K$3:$K$22*(Calc!$G$3:$G$22&gt;B4430)*(Calc!$G$3:$G$22-B4430)*Calc!$I$3:$I$22)</f>
        <v/>
      </c>
      <c r="P4430">
        <f>I4430-G4430^2/k_n</f>
        <v/>
      </c>
      <c r="Q4430">
        <f>J4430-H4430^2/k_n</f>
        <v/>
      </c>
      <c r="R4430">
        <f>K4430-G4430*H4430/k_n</f>
        <v/>
      </c>
      <c r="S4430">
        <f>L4430-LTP3!$D$3*G4430/k_n</f>
        <v/>
      </c>
      <c r="T4430">
        <f>M4430-LTP3!$D$3*H4430/k_n</f>
        <v/>
      </c>
      <c r="U4430">
        <f>N4430-G4430*LTP3!$D$4/k_n</f>
        <v/>
      </c>
      <c r="V4430">
        <f>O4430-H4430*LTP3!$D$4/k_n</f>
        <v/>
      </c>
      <c r="W4430">
        <f>((LTP3!$D$5)*((P4430)*(Q4430)-(R4430)*(R4430))-(S4430)*((S4430)*(Q4430)-(R4430)*(T4430))+(T4430)*((S4430)*(R4430)-(P4430)*(T4430)))</f>
        <v/>
      </c>
      <c r="X4430">
        <f>IF(ABS(W4430)&gt;1E-12,((LTP3!$D$6)*((P4430)*(Q4430)-(R4430)*(R4430))-(S4430)*((U4430)*(Q4430)-(R4430)*(V4430))+(T4430)*((U4430)*(R4430)-(P4430)*(V4430)))/W4430,0)</f>
        <v/>
      </c>
      <c r="Y4430">
        <f>IF(ABS(W4430)&gt;1E-12,((LTP3!$D$5)*((U4430)*(Q4430)-(R4430)*(V4430))-(LTP3!$D$6)*((S4430)*(Q4430)-(R4430)*(T4430))+(T4430)*((S4430)*(V4430)-(U4430)*(T4430)))/W4430,0)</f>
        <v/>
      </c>
      <c r="Z4430">
        <f>IF(ABS(W4430)&gt;1E-12,((LTP3!$D$5)*((P4430)*(V4430)-(U4430)*(R4430))-(S4430)*((S4430)*(V4430)-(U4430)*(T4430))+(LTP3!$D$6)*((S4430)*(R4430)-(P4430)*(T4430)))/W4430,0)</f>
        <v/>
      </c>
      <c r="AA4430">
        <f>LTP3!$D$7-X4430*LTP3!$D$6-Y4430*U4430-Z4430*V4430</f>
        <v/>
      </c>
      <c r="AB4430">
        <f>IF(AND(F4430,ABS(W4430)&gt;1E-12,Y4430&gt;0,Z4430&gt;0),AA4430,1E+300)</f>
        <v/>
      </c>
    </row>
    <row r="4431">
      <c r="A4431">
        <f>$I$4-$B$5/10+$B$5*11/100</f>
        <v/>
      </c>
      <c r="B4431">
        <f>$J$4-$B$5/10+$B$5*20/100</f>
        <v/>
      </c>
      <c r="C4431">
        <f>SUMPRODUCT(Calc!$K$3:$K$22*(Calc!$G$3:$G$22&lt;=A4431))</f>
        <v/>
      </c>
      <c r="D4431">
        <f>SUMPRODUCT(Calc!$K$3:$K$22*(Calc!$G$3:$G$22&gt;A4431)*(Calc!$G$3:$G$22&lt;B4431))</f>
        <v/>
      </c>
      <c r="E4431">
        <f>SUMPRODUCT(Calc!$K$3:$K$22*(Calc!$G$3:$G$22&gt;=B4431))</f>
        <v/>
      </c>
      <c r="F4431">
        <f>AND(k_n&gt;=5,B4431&gt;A4431+1E-9,C4431&gt;=2,D4431&gt;=1,E4431&gt;=2)</f>
        <v/>
      </c>
      <c r="G4431">
        <f>SUMPRODUCT(Calc!$K$3:$K$22*(Calc!$G$3:$G$22&gt;A4431)*(Calc!$G$3:$G$22-A4431))</f>
        <v/>
      </c>
      <c r="H4431">
        <f>SUMPRODUCT(Calc!$K$3:$K$22*(Calc!$G$3:$G$22&gt;B4431)*(Calc!$G$3:$G$22-B4431))</f>
        <v/>
      </c>
      <c r="I4431">
        <f>SUMPRODUCT(Calc!$K$3:$K$22*(Calc!$G$3:$G$22&gt;A4431)*(Calc!$G$3:$G$22-A4431)^2)</f>
        <v/>
      </c>
      <c r="J4431">
        <f>SUMPRODUCT(Calc!$K$3:$K$22*(Calc!$G$3:$G$22&gt;B4431)*(Calc!$G$3:$G$22-B4431)^2)</f>
        <v/>
      </c>
      <c r="K4431">
        <f>SUMPRODUCT(Calc!$K$3:$K$22*(Calc!$G$3:$G$22&gt;A4431)*(Calc!$G$3:$G$22-A4431)*(Calc!$G$3:$G$22&gt;B4431)*(Calc!$G$3:$G$22-B4431))</f>
        <v/>
      </c>
      <c r="L4431">
        <f>SUMPRODUCT(Calc!$K$3:$K$22*(Calc!$G$3:$G$22&gt;A4431)*(Calc!$G$3:$G$22-A4431)*Calc!$G$3:$G$22)</f>
        <v/>
      </c>
      <c r="M4431">
        <f>SUMPRODUCT(Calc!$K$3:$K$22*(Calc!$G$3:$G$22&gt;B4431)*(Calc!$G$3:$G$22-B4431)*Calc!$G$3:$G$22)</f>
        <v/>
      </c>
      <c r="N4431">
        <f>SUMPRODUCT(Calc!$K$3:$K$22*(Calc!$G$3:$G$22&gt;A4431)*(Calc!$G$3:$G$22-A4431)*Calc!$I$3:$I$22)</f>
        <v/>
      </c>
      <c r="O4431">
        <f>SUMPRODUCT(Calc!$K$3:$K$22*(Calc!$G$3:$G$22&gt;B4431)*(Calc!$G$3:$G$22-B4431)*Calc!$I$3:$I$22)</f>
        <v/>
      </c>
      <c r="P4431">
        <f>I4431-G4431^2/k_n</f>
        <v/>
      </c>
      <c r="Q4431">
        <f>J4431-H4431^2/k_n</f>
        <v/>
      </c>
      <c r="R4431">
        <f>K4431-G4431*H4431/k_n</f>
        <v/>
      </c>
      <c r="S4431">
        <f>L4431-LTP3!$D$3*G4431/k_n</f>
        <v/>
      </c>
      <c r="T4431">
        <f>M4431-LTP3!$D$3*H4431/k_n</f>
        <v/>
      </c>
      <c r="U4431">
        <f>N4431-G4431*LTP3!$D$4/k_n</f>
        <v/>
      </c>
      <c r="V4431">
        <f>O4431-H4431*LTP3!$D$4/k_n</f>
        <v/>
      </c>
      <c r="W4431">
        <f>((LTP3!$D$5)*((P4431)*(Q4431)-(R4431)*(R4431))-(S4431)*((S4431)*(Q4431)-(R4431)*(T4431))+(T4431)*((S4431)*(R4431)-(P4431)*(T4431)))</f>
        <v/>
      </c>
      <c r="X4431">
        <f>IF(ABS(W4431)&gt;1E-12,((LTP3!$D$6)*((P4431)*(Q4431)-(R4431)*(R4431))-(S4431)*((U4431)*(Q4431)-(R4431)*(V4431))+(T4431)*((U4431)*(R4431)-(P4431)*(V4431)))/W4431,0)</f>
        <v/>
      </c>
      <c r="Y4431">
        <f>IF(ABS(W4431)&gt;1E-12,((LTP3!$D$5)*((U4431)*(Q4431)-(R4431)*(V4431))-(LTP3!$D$6)*((S4431)*(Q4431)-(R4431)*(T4431))+(T4431)*((S4431)*(V4431)-(U4431)*(T4431)))/W4431,0)</f>
        <v/>
      </c>
      <c r="Z4431">
        <f>IF(ABS(W4431)&gt;1E-12,((LTP3!$D$5)*((P4431)*(V4431)-(U4431)*(R4431))-(S4431)*((S4431)*(V4431)-(U4431)*(T4431))+(LTP3!$D$6)*((S4431)*(R4431)-(P4431)*(T4431)))/W4431,0)</f>
        <v/>
      </c>
      <c r="AA4431">
        <f>LTP3!$D$7-X4431*LTP3!$D$6-Y4431*U4431-Z4431*V4431</f>
        <v/>
      </c>
      <c r="AB4431">
        <f>IF(AND(F4431,ABS(W4431)&gt;1E-12,Y4431&gt;0,Z4431&gt;0),AA4431,1E+300)</f>
        <v/>
      </c>
    </row>
    <row r="4432">
      <c r="A4432">
        <f>$I$4-$B$5/10+$B$5*12/100</f>
        <v/>
      </c>
      <c r="B4432">
        <f>$J$4-$B$5/10+$B$5*0/100</f>
        <v/>
      </c>
      <c r="C4432">
        <f>SUMPRODUCT(Calc!$K$3:$K$22*(Calc!$G$3:$G$22&lt;=A4432))</f>
        <v/>
      </c>
      <c r="D4432">
        <f>SUMPRODUCT(Calc!$K$3:$K$22*(Calc!$G$3:$G$22&gt;A4432)*(Calc!$G$3:$G$22&lt;B4432))</f>
        <v/>
      </c>
      <c r="E4432">
        <f>SUMPRODUCT(Calc!$K$3:$K$22*(Calc!$G$3:$G$22&gt;=B4432))</f>
        <v/>
      </c>
      <c r="F4432">
        <f>AND(k_n&gt;=5,B4432&gt;A4432+1E-9,C4432&gt;=2,D4432&gt;=1,E4432&gt;=2)</f>
        <v/>
      </c>
      <c r="G4432">
        <f>SUMPRODUCT(Calc!$K$3:$K$22*(Calc!$G$3:$G$22&gt;A4432)*(Calc!$G$3:$G$22-A4432))</f>
        <v/>
      </c>
      <c r="H4432">
        <f>SUMPRODUCT(Calc!$K$3:$K$22*(Calc!$G$3:$G$22&gt;B4432)*(Calc!$G$3:$G$22-B4432))</f>
        <v/>
      </c>
      <c r="I4432">
        <f>SUMPRODUCT(Calc!$K$3:$K$22*(Calc!$G$3:$G$22&gt;A4432)*(Calc!$G$3:$G$22-A4432)^2)</f>
        <v/>
      </c>
      <c r="J4432">
        <f>SUMPRODUCT(Calc!$K$3:$K$22*(Calc!$G$3:$G$22&gt;B4432)*(Calc!$G$3:$G$22-B4432)^2)</f>
        <v/>
      </c>
      <c r="K4432">
        <f>SUMPRODUCT(Calc!$K$3:$K$22*(Calc!$G$3:$G$22&gt;A4432)*(Calc!$G$3:$G$22-A4432)*(Calc!$G$3:$G$22&gt;B4432)*(Calc!$G$3:$G$22-B4432))</f>
        <v/>
      </c>
      <c r="L4432">
        <f>SUMPRODUCT(Calc!$K$3:$K$22*(Calc!$G$3:$G$22&gt;A4432)*(Calc!$G$3:$G$22-A4432)*Calc!$G$3:$G$22)</f>
        <v/>
      </c>
      <c r="M4432">
        <f>SUMPRODUCT(Calc!$K$3:$K$22*(Calc!$G$3:$G$22&gt;B4432)*(Calc!$G$3:$G$22-B4432)*Calc!$G$3:$G$22)</f>
        <v/>
      </c>
      <c r="N4432">
        <f>SUMPRODUCT(Calc!$K$3:$K$22*(Calc!$G$3:$G$22&gt;A4432)*(Calc!$G$3:$G$22-A4432)*Calc!$I$3:$I$22)</f>
        <v/>
      </c>
      <c r="O4432">
        <f>SUMPRODUCT(Calc!$K$3:$K$22*(Calc!$G$3:$G$22&gt;B4432)*(Calc!$G$3:$G$22-B4432)*Calc!$I$3:$I$22)</f>
        <v/>
      </c>
      <c r="P4432">
        <f>I4432-G4432^2/k_n</f>
        <v/>
      </c>
      <c r="Q4432">
        <f>J4432-H4432^2/k_n</f>
        <v/>
      </c>
      <c r="R4432">
        <f>K4432-G4432*H4432/k_n</f>
        <v/>
      </c>
      <c r="S4432">
        <f>L4432-LTP3!$D$3*G4432/k_n</f>
        <v/>
      </c>
      <c r="T4432">
        <f>M4432-LTP3!$D$3*H4432/k_n</f>
        <v/>
      </c>
      <c r="U4432">
        <f>N4432-G4432*LTP3!$D$4/k_n</f>
        <v/>
      </c>
      <c r="V4432">
        <f>O4432-H4432*LTP3!$D$4/k_n</f>
        <v/>
      </c>
      <c r="W4432">
        <f>((LTP3!$D$5)*((P4432)*(Q4432)-(R4432)*(R4432))-(S4432)*((S4432)*(Q4432)-(R4432)*(T4432))+(T4432)*((S4432)*(R4432)-(P4432)*(T4432)))</f>
        <v/>
      </c>
      <c r="X4432">
        <f>IF(ABS(W4432)&gt;1E-12,((LTP3!$D$6)*((P4432)*(Q4432)-(R4432)*(R4432))-(S4432)*((U4432)*(Q4432)-(R4432)*(V4432))+(T4432)*((U4432)*(R4432)-(P4432)*(V4432)))/W4432,0)</f>
        <v/>
      </c>
      <c r="Y4432">
        <f>IF(ABS(W4432)&gt;1E-12,((LTP3!$D$5)*((U4432)*(Q4432)-(R4432)*(V4432))-(LTP3!$D$6)*((S4432)*(Q4432)-(R4432)*(T4432))+(T4432)*((S4432)*(V4432)-(U4432)*(T4432)))/W4432,0)</f>
        <v/>
      </c>
      <c r="Z4432">
        <f>IF(ABS(W4432)&gt;1E-12,((LTP3!$D$5)*((P4432)*(V4432)-(U4432)*(R4432))-(S4432)*((S4432)*(V4432)-(U4432)*(T4432))+(LTP3!$D$6)*((S4432)*(R4432)-(P4432)*(T4432)))/W4432,0)</f>
        <v/>
      </c>
      <c r="AA4432">
        <f>LTP3!$D$7-X4432*LTP3!$D$6-Y4432*U4432-Z4432*V4432</f>
        <v/>
      </c>
      <c r="AB4432">
        <f>IF(AND(F4432,ABS(W4432)&gt;1E-12,Y4432&gt;0,Z4432&gt;0),AA4432,1E+300)</f>
        <v/>
      </c>
    </row>
    <row r="4433">
      <c r="A4433">
        <f>$I$4-$B$5/10+$B$5*12/100</f>
        <v/>
      </c>
      <c r="B4433">
        <f>$J$4-$B$5/10+$B$5*1/100</f>
        <v/>
      </c>
      <c r="C4433">
        <f>SUMPRODUCT(Calc!$K$3:$K$22*(Calc!$G$3:$G$22&lt;=A4433))</f>
        <v/>
      </c>
      <c r="D4433">
        <f>SUMPRODUCT(Calc!$K$3:$K$22*(Calc!$G$3:$G$22&gt;A4433)*(Calc!$G$3:$G$22&lt;B4433))</f>
        <v/>
      </c>
      <c r="E4433">
        <f>SUMPRODUCT(Calc!$K$3:$K$22*(Calc!$G$3:$G$22&gt;=B4433))</f>
        <v/>
      </c>
      <c r="F4433">
        <f>AND(k_n&gt;=5,B4433&gt;A4433+1E-9,C4433&gt;=2,D4433&gt;=1,E4433&gt;=2)</f>
        <v/>
      </c>
      <c r="G4433">
        <f>SUMPRODUCT(Calc!$K$3:$K$22*(Calc!$G$3:$G$22&gt;A4433)*(Calc!$G$3:$G$22-A4433))</f>
        <v/>
      </c>
      <c r="H4433">
        <f>SUMPRODUCT(Calc!$K$3:$K$22*(Calc!$G$3:$G$22&gt;B4433)*(Calc!$G$3:$G$22-B4433))</f>
        <v/>
      </c>
      <c r="I4433">
        <f>SUMPRODUCT(Calc!$K$3:$K$22*(Calc!$G$3:$G$22&gt;A4433)*(Calc!$G$3:$G$22-A4433)^2)</f>
        <v/>
      </c>
      <c r="J4433">
        <f>SUMPRODUCT(Calc!$K$3:$K$22*(Calc!$G$3:$G$22&gt;B4433)*(Calc!$G$3:$G$22-B4433)^2)</f>
        <v/>
      </c>
      <c r="K4433">
        <f>SUMPRODUCT(Calc!$K$3:$K$22*(Calc!$G$3:$G$22&gt;A4433)*(Calc!$G$3:$G$22-A4433)*(Calc!$G$3:$G$22&gt;B4433)*(Calc!$G$3:$G$22-B4433))</f>
        <v/>
      </c>
      <c r="L4433">
        <f>SUMPRODUCT(Calc!$K$3:$K$22*(Calc!$G$3:$G$22&gt;A4433)*(Calc!$G$3:$G$22-A4433)*Calc!$G$3:$G$22)</f>
        <v/>
      </c>
      <c r="M4433">
        <f>SUMPRODUCT(Calc!$K$3:$K$22*(Calc!$G$3:$G$22&gt;B4433)*(Calc!$G$3:$G$22-B4433)*Calc!$G$3:$G$22)</f>
        <v/>
      </c>
      <c r="N4433">
        <f>SUMPRODUCT(Calc!$K$3:$K$22*(Calc!$G$3:$G$22&gt;A4433)*(Calc!$G$3:$G$22-A4433)*Calc!$I$3:$I$22)</f>
        <v/>
      </c>
      <c r="O4433">
        <f>SUMPRODUCT(Calc!$K$3:$K$22*(Calc!$G$3:$G$22&gt;B4433)*(Calc!$G$3:$G$22-B4433)*Calc!$I$3:$I$22)</f>
        <v/>
      </c>
      <c r="P4433">
        <f>I4433-G4433^2/k_n</f>
        <v/>
      </c>
      <c r="Q4433">
        <f>J4433-H4433^2/k_n</f>
        <v/>
      </c>
      <c r="R4433">
        <f>K4433-G4433*H4433/k_n</f>
        <v/>
      </c>
      <c r="S4433">
        <f>L4433-LTP3!$D$3*G4433/k_n</f>
        <v/>
      </c>
      <c r="T4433">
        <f>M4433-LTP3!$D$3*H4433/k_n</f>
        <v/>
      </c>
      <c r="U4433">
        <f>N4433-G4433*LTP3!$D$4/k_n</f>
        <v/>
      </c>
      <c r="V4433">
        <f>O4433-H4433*LTP3!$D$4/k_n</f>
        <v/>
      </c>
      <c r="W4433">
        <f>((LTP3!$D$5)*((P4433)*(Q4433)-(R4433)*(R4433))-(S4433)*((S4433)*(Q4433)-(R4433)*(T4433))+(T4433)*((S4433)*(R4433)-(P4433)*(T4433)))</f>
        <v/>
      </c>
      <c r="X4433">
        <f>IF(ABS(W4433)&gt;1E-12,((LTP3!$D$6)*((P4433)*(Q4433)-(R4433)*(R4433))-(S4433)*((U4433)*(Q4433)-(R4433)*(V4433))+(T4433)*((U4433)*(R4433)-(P4433)*(V4433)))/W4433,0)</f>
        <v/>
      </c>
      <c r="Y4433">
        <f>IF(ABS(W4433)&gt;1E-12,((LTP3!$D$5)*((U4433)*(Q4433)-(R4433)*(V4433))-(LTP3!$D$6)*((S4433)*(Q4433)-(R4433)*(T4433))+(T4433)*((S4433)*(V4433)-(U4433)*(T4433)))/W4433,0)</f>
        <v/>
      </c>
      <c r="Z4433">
        <f>IF(ABS(W4433)&gt;1E-12,((LTP3!$D$5)*((P4433)*(V4433)-(U4433)*(R4433))-(S4433)*((S4433)*(V4433)-(U4433)*(T4433))+(LTP3!$D$6)*((S4433)*(R4433)-(P4433)*(T4433)))/W4433,0)</f>
        <v/>
      </c>
      <c r="AA4433">
        <f>LTP3!$D$7-X4433*LTP3!$D$6-Y4433*U4433-Z4433*V4433</f>
        <v/>
      </c>
      <c r="AB4433">
        <f>IF(AND(F4433,ABS(W4433)&gt;1E-12,Y4433&gt;0,Z4433&gt;0),AA4433,1E+300)</f>
        <v/>
      </c>
    </row>
    <row r="4434">
      <c r="A4434">
        <f>$I$4-$B$5/10+$B$5*12/100</f>
        <v/>
      </c>
      <c r="B4434">
        <f>$J$4-$B$5/10+$B$5*2/100</f>
        <v/>
      </c>
      <c r="C4434">
        <f>SUMPRODUCT(Calc!$K$3:$K$22*(Calc!$G$3:$G$22&lt;=A4434))</f>
        <v/>
      </c>
      <c r="D4434">
        <f>SUMPRODUCT(Calc!$K$3:$K$22*(Calc!$G$3:$G$22&gt;A4434)*(Calc!$G$3:$G$22&lt;B4434))</f>
        <v/>
      </c>
      <c r="E4434">
        <f>SUMPRODUCT(Calc!$K$3:$K$22*(Calc!$G$3:$G$22&gt;=B4434))</f>
        <v/>
      </c>
      <c r="F4434">
        <f>AND(k_n&gt;=5,B4434&gt;A4434+1E-9,C4434&gt;=2,D4434&gt;=1,E4434&gt;=2)</f>
        <v/>
      </c>
      <c r="G4434">
        <f>SUMPRODUCT(Calc!$K$3:$K$22*(Calc!$G$3:$G$22&gt;A4434)*(Calc!$G$3:$G$22-A4434))</f>
        <v/>
      </c>
      <c r="H4434">
        <f>SUMPRODUCT(Calc!$K$3:$K$22*(Calc!$G$3:$G$22&gt;B4434)*(Calc!$G$3:$G$22-B4434))</f>
        <v/>
      </c>
      <c r="I4434">
        <f>SUMPRODUCT(Calc!$K$3:$K$22*(Calc!$G$3:$G$22&gt;A4434)*(Calc!$G$3:$G$22-A4434)^2)</f>
        <v/>
      </c>
      <c r="J4434">
        <f>SUMPRODUCT(Calc!$K$3:$K$22*(Calc!$G$3:$G$22&gt;B4434)*(Calc!$G$3:$G$22-B4434)^2)</f>
        <v/>
      </c>
      <c r="K4434">
        <f>SUMPRODUCT(Calc!$K$3:$K$22*(Calc!$G$3:$G$22&gt;A4434)*(Calc!$G$3:$G$22-A4434)*(Calc!$G$3:$G$22&gt;B4434)*(Calc!$G$3:$G$22-B4434))</f>
        <v/>
      </c>
      <c r="L4434">
        <f>SUMPRODUCT(Calc!$K$3:$K$22*(Calc!$G$3:$G$22&gt;A4434)*(Calc!$G$3:$G$22-A4434)*Calc!$G$3:$G$22)</f>
        <v/>
      </c>
      <c r="M4434">
        <f>SUMPRODUCT(Calc!$K$3:$K$22*(Calc!$G$3:$G$22&gt;B4434)*(Calc!$G$3:$G$22-B4434)*Calc!$G$3:$G$22)</f>
        <v/>
      </c>
      <c r="N4434">
        <f>SUMPRODUCT(Calc!$K$3:$K$22*(Calc!$G$3:$G$22&gt;A4434)*(Calc!$G$3:$G$22-A4434)*Calc!$I$3:$I$22)</f>
        <v/>
      </c>
      <c r="O4434">
        <f>SUMPRODUCT(Calc!$K$3:$K$22*(Calc!$G$3:$G$22&gt;B4434)*(Calc!$G$3:$G$22-B4434)*Calc!$I$3:$I$22)</f>
        <v/>
      </c>
      <c r="P4434">
        <f>I4434-G4434^2/k_n</f>
        <v/>
      </c>
      <c r="Q4434">
        <f>J4434-H4434^2/k_n</f>
        <v/>
      </c>
      <c r="R4434">
        <f>K4434-G4434*H4434/k_n</f>
        <v/>
      </c>
      <c r="S4434">
        <f>L4434-LTP3!$D$3*G4434/k_n</f>
        <v/>
      </c>
      <c r="T4434">
        <f>M4434-LTP3!$D$3*H4434/k_n</f>
        <v/>
      </c>
      <c r="U4434">
        <f>N4434-G4434*LTP3!$D$4/k_n</f>
        <v/>
      </c>
      <c r="V4434">
        <f>O4434-H4434*LTP3!$D$4/k_n</f>
        <v/>
      </c>
      <c r="W4434">
        <f>((LTP3!$D$5)*((P4434)*(Q4434)-(R4434)*(R4434))-(S4434)*((S4434)*(Q4434)-(R4434)*(T4434))+(T4434)*((S4434)*(R4434)-(P4434)*(T4434)))</f>
        <v/>
      </c>
      <c r="X4434">
        <f>IF(ABS(W4434)&gt;1E-12,((LTP3!$D$6)*((P4434)*(Q4434)-(R4434)*(R4434))-(S4434)*((U4434)*(Q4434)-(R4434)*(V4434))+(T4434)*((U4434)*(R4434)-(P4434)*(V4434)))/W4434,0)</f>
        <v/>
      </c>
      <c r="Y4434">
        <f>IF(ABS(W4434)&gt;1E-12,((LTP3!$D$5)*((U4434)*(Q4434)-(R4434)*(V4434))-(LTP3!$D$6)*((S4434)*(Q4434)-(R4434)*(T4434))+(T4434)*((S4434)*(V4434)-(U4434)*(T4434)))/W4434,0)</f>
        <v/>
      </c>
      <c r="Z4434">
        <f>IF(ABS(W4434)&gt;1E-12,((LTP3!$D$5)*((P4434)*(V4434)-(U4434)*(R4434))-(S4434)*((S4434)*(V4434)-(U4434)*(T4434))+(LTP3!$D$6)*((S4434)*(R4434)-(P4434)*(T4434)))/W4434,0)</f>
        <v/>
      </c>
      <c r="AA4434">
        <f>LTP3!$D$7-X4434*LTP3!$D$6-Y4434*U4434-Z4434*V4434</f>
        <v/>
      </c>
      <c r="AB4434">
        <f>IF(AND(F4434,ABS(W4434)&gt;1E-12,Y4434&gt;0,Z4434&gt;0),AA4434,1E+300)</f>
        <v/>
      </c>
    </row>
    <row r="4435">
      <c r="A4435">
        <f>$I$4-$B$5/10+$B$5*12/100</f>
        <v/>
      </c>
      <c r="B4435">
        <f>$J$4-$B$5/10+$B$5*3/100</f>
        <v/>
      </c>
      <c r="C4435">
        <f>SUMPRODUCT(Calc!$K$3:$K$22*(Calc!$G$3:$G$22&lt;=A4435))</f>
        <v/>
      </c>
      <c r="D4435">
        <f>SUMPRODUCT(Calc!$K$3:$K$22*(Calc!$G$3:$G$22&gt;A4435)*(Calc!$G$3:$G$22&lt;B4435))</f>
        <v/>
      </c>
      <c r="E4435">
        <f>SUMPRODUCT(Calc!$K$3:$K$22*(Calc!$G$3:$G$22&gt;=B4435))</f>
        <v/>
      </c>
      <c r="F4435">
        <f>AND(k_n&gt;=5,B4435&gt;A4435+1E-9,C4435&gt;=2,D4435&gt;=1,E4435&gt;=2)</f>
        <v/>
      </c>
      <c r="G4435">
        <f>SUMPRODUCT(Calc!$K$3:$K$22*(Calc!$G$3:$G$22&gt;A4435)*(Calc!$G$3:$G$22-A4435))</f>
        <v/>
      </c>
      <c r="H4435">
        <f>SUMPRODUCT(Calc!$K$3:$K$22*(Calc!$G$3:$G$22&gt;B4435)*(Calc!$G$3:$G$22-B4435))</f>
        <v/>
      </c>
      <c r="I4435">
        <f>SUMPRODUCT(Calc!$K$3:$K$22*(Calc!$G$3:$G$22&gt;A4435)*(Calc!$G$3:$G$22-A4435)^2)</f>
        <v/>
      </c>
      <c r="J4435">
        <f>SUMPRODUCT(Calc!$K$3:$K$22*(Calc!$G$3:$G$22&gt;B4435)*(Calc!$G$3:$G$22-B4435)^2)</f>
        <v/>
      </c>
      <c r="K4435">
        <f>SUMPRODUCT(Calc!$K$3:$K$22*(Calc!$G$3:$G$22&gt;A4435)*(Calc!$G$3:$G$22-A4435)*(Calc!$G$3:$G$22&gt;B4435)*(Calc!$G$3:$G$22-B4435))</f>
        <v/>
      </c>
      <c r="L4435">
        <f>SUMPRODUCT(Calc!$K$3:$K$22*(Calc!$G$3:$G$22&gt;A4435)*(Calc!$G$3:$G$22-A4435)*Calc!$G$3:$G$22)</f>
        <v/>
      </c>
      <c r="M4435">
        <f>SUMPRODUCT(Calc!$K$3:$K$22*(Calc!$G$3:$G$22&gt;B4435)*(Calc!$G$3:$G$22-B4435)*Calc!$G$3:$G$22)</f>
        <v/>
      </c>
      <c r="N4435">
        <f>SUMPRODUCT(Calc!$K$3:$K$22*(Calc!$G$3:$G$22&gt;A4435)*(Calc!$G$3:$G$22-A4435)*Calc!$I$3:$I$22)</f>
        <v/>
      </c>
      <c r="O4435">
        <f>SUMPRODUCT(Calc!$K$3:$K$22*(Calc!$G$3:$G$22&gt;B4435)*(Calc!$G$3:$G$22-B4435)*Calc!$I$3:$I$22)</f>
        <v/>
      </c>
      <c r="P4435">
        <f>I4435-G4435^2/k_n</f>
        <v/>
      </c>
      <c r="Q4435">
        <f>J4435-H4435^2/k_n</f>
        <v/>
      </c>
      <c r="R4435">
        <f>K4435-G4435*H4435/k_n</f>
        <v/>
      </c>
      <c r="S4435">
        <f>L4435-LTP3!$D$3*G4435/k_n</f>
        <v/>
      </c>
      <c r="T4435">
        <f>M4435-LTP3!$D$3*H4435/k_n</f>
        <v/>
      </c>
      <c r="U4435">
        <f>N4435-G4435*LTP3!$D$4/k_n</f>
        <v/>
      </c>
      <c r="V4435">
        <f>O4435-H4435*LTP3!$D$4/k_n</f>
        <v/>
      </c>
      <c r="W4435">
        <f>((LTP3!$D$5)*((P4435)*(Q4435)-(R4435)*(R4435))-(S4435)*((S4435)*(Q4435)-(R4435)*(T4435))+(T4435)*((S4435)*(R4435)-(P4435)*(T4435)))</f>
        <v/>
      </c>
      <c r="X4435">
        <f>IF(ABS(W4435)&gt;1E-12,((LTP3!$D$6)*((P4435)*(Q4435)-(R4435)*(R4435))-(S4435)*((U4435)*(Q4435)-(R4435)*(V4435))+(T4435)*((U4435)*(R4435)-(P4435)*(V4435)))/W4435,0)</f>
        <v/>
      </c>
      <c r="Y4435">
        <f>IF(ABS(W4435)&gt;1E-12,((LTP3!$D$5)*((U4435)*(Q4435)-(R4435)*(V4435))-(LTP3!$D$6)*((S4435)*(Q4435)-(R4435)*(T4435))+(T4435)*((S4435)*(V4435)-(U4435)*(T4435)))/W4435,0)</f>
        <v/>
      </c>
      <c r="Z4435">
        <f>IF(ABS(W4435)&gt;1E-12,((LTP3!$D$5)*((P4435)*(V4435)-(U4435)*(R4435))-(S4435)*((S4435)*(V4435)-(U4435)*(T4435))+(LTP3!$D$6)*((S4435)*(R4435)-(P4435)*(T4435)))/W4435,0)</f>
        <v/>
      </c>
      <c r="AA4435">
        <f>LTP3!$D$7-X4435*LTP3!$D$6-Y4435*U4435-Z4435*V4435</f>
        <v/>
      </c>
      <c r="AB4435">
        <f>IF(AND(F4435,ABS(W4435)&gt;1E-12,Y4435&gt;0,Z4435&gt;0),AA4435,1E+300)</f>
        <v/>
      </c>
    </row>
    <row r="4436">
      <c r="A4436">
        <f>$I$4-$B$5/10+$B$5*12/100</f>
        <v/>
      </c>
      <c r="B4436">
        <f>$J$4-$B$5/10+$B$5*4/100</f>
        <v/>
      </c>
      <c r="C4436">
        <f>SUMPRODUCT(Calc!$K$3:$K$22*(Calc!$G$3:$G$22&lt;=A4436))</f>
        <v/>
      </c>
      <c r="D4436">
        <f>SUMPRODUCT(Calc!$K$3:$K$22*(Calc!$G$3:$G$22&gt;A4436)*(Calc!$G$3:$G$22&lt;B4436))</f>
        <v/>
      </c>
      <c r="E4436">
        <f>SUMPRODUCT(Calc!$K$3:$K$22*(Calc!$G$3:$G$22&gt;=B4436))</f>
        <v/>
      </c>
      <c r="F4436">
        <f>AND(k_n&gt;=5,B4436&gt;A4436+1E-9,C4436&gt;=2,D4436&gt;=1,E4436&gt;=2)</f>
        <v/>
      </c>
      <c r="G4436">
        <f>SUMPRODUCT(Calc!$K$3:$K$22*(Calc!$G$3:$G$22&gt;A4436)*(Calc!$G$3:$G$22-A4436))</f>
        <v/>
      </c>
      <c r="H4436">
        <f>SUMPRODUCT(Calc!$K$3:$K$22*(Calc!$G$3:$G$22&gt;B4436)*(Calc!$G$3:$G$22-B4436))</f>
        <v/>
      </c>
      <c r="I4436">
        <f>SUMPRODUCT(Calc!$K$3:$K$22*(Calc!$G$3:$G$22&gt;A4436)*(Calc!$G$3:$G$22-A4436)^2)</f>
        <v/>
      </c>
      <c r="J4436">
        <f>SUMPRODUCT(Calc!$K$3:$K$22*(Calc!$G$3:$G$22&gt;B4436)*(Calc!$G$3:$G$22-B4436)^2)</f>
        <v/>
      </c>
      <c r="K4436">
        <f>SUMPRODUCT(Calc!$K$3:$K$22*(Calc!$G$3:$G$22&gt;A4436)*(Calc!$G$3:$G$22-A4436)*(Calc!$G$3:$G$22&gt;B4436)*(Calc!$G$3:$G$22-B4436))</f>
        <v/>
      </c>
      <c r="L4436">
        <f>SUMPRODUCT(Calc!$K$3:$K$22*(Calc!$G$3:$G$22&gt;A4436)*(Calc!$G$3:$G$22-A4436)*Calc!$G$3:$G$22)</f>
        <v/>
      </c>
      <c r="M4436">
        <f>SUMPRODUCT(Calc!$K$3:$K$22*(Calc!$G$3:$G$22&gt;B4436)*(Calc!$G$3:$G$22-B4436)*Calc!$G$3:$G$22)</f>
        <v/>
      </c>
      <c r="N4436">
        <f>SUMPRODUCT(Calc!$K$3:$K$22*(Calc!$G$3:$G$22&gt;A4436)*(Calc!$G$3:$G$22-A4436)*Calc!$I$3:$I$22)</f>
        <v/>
      </c>
      <c r="O4436">
        <f>SUMPRODUCT(Calc!$K$3:$K$22*(Calc!$G$3:$G$22&gt;B4436)*(Calc!$G$3:$G$22-B4436)*Calc!$I$3:$I$22)</f>
        <v/>
      </c>
      <c r="P4436">
        <f>I4436-G4436^2/k_n</f>
        <v/>
      </c>
      <c r="Q4436">
        <f>J4436-H4436^2/k_n</f>
        <v/>
      </c>
      <c r="R4436">
        <f>K4436-G4436*H4436/k_n</f>
        <v/>
      </c>
      <c r="S4436">
        <f>L4436-LTP3!$D$3*G4436/k_n</f>
        <v/>
      </c>
      <c r="T4436">
        <f>M4436-LTP3!$D$3*H4436/k_n</f>
        <v/>
      </c>
      <c r="U4436">
        <f>N4436-G4436*LTP3!$D$4/k_n</f>
        <v/>
      </c>
      <c r="V4436">
        <f>O4436-H4436*LTP3!$D$4/k_n</f>
        <v/>
      </c>
      <c r="W4436">
        <f>((LTP3!$D$5)*((P4436)*(Q4436)-(R4436)*(R4436))-(S4436)*((S4436)*(Q4436)-(R4436)*(T4436))+(T4436)*((S4436)*(R4436)-(P4436)*(T4436)))</f>
        <v/>
      </c>
      <c r="X4436">
        <f>IF(ABS(W4436)&gt;1E-12,((LTP3!$D$6)*((P4436)*(Q4436)-(R4436)*(R4436))-(S4436)*((U4436)*(Q4436)-(R4436)*(V4436))+(T4436)*((U4436)*(R4436)-(P4436)*(V4436)))/W4436,0)</f>
        <v/>
      </c>
      <c r="Y4436">
        <f>IF(ABS(W4436)&gt;1E-12,((LTP3!$D$5)*((U4436)*(Q4436)-(R4436)*(V4436))-(LTP3!$D$6)*((S4436)*(Q4436)-(R4436)*(T4436))+(T4436)*((S4436)*(V4436)-(U4436)*(T4436)))/W4436,0)</f>
        <v/>
      </c>
      <c r="Z4436">
        <f>IF(ABS(W4436)&gt;1E-12,((LTP3!$D$5)*((P4436)*(V4436)-(U4436)*(R4436))-(S4436)*((S4436)*(V4436)-(U4436)*(T4436))+(LTP3!$D$6)*((S4436)*(R4436)-(P4436)*(T4436)))/W4436,0)</f>
        <v/>
      </c>
      <c r="AA4436">
        <f>LTP3!$D$7-X4436*LTP3!$D$6-Y4436*U4436-Z4436*V4436</f>
        <v/>
      </c>
      <c r="AB4436">
        <f>IF(AND(F4436,ABS(W4436)&gt;1E-12,Y4436&gt;0,Z4436&gt;0),AA4436,1E+300)</f>
        <v/>
      </c>
    </row>
    <row r="4437">
      <c r="A4437">
        <f>$I$4-$B$5/10+$B$5*12/100</f>
        <v/>
      </c>
      <c r="B4437">
        <f>$J$4-$B$5/10+$B$5*5/100</f>
        <v/>
      </c>
      <c r="C4437">
        <f>SUMPRODUCT(Calc!$K$3:$K$22*(Calc!$G$3:$G$22&lt;=A4437))</f>
        <v/>
      </c>
      <c r="D4437">
        <f>SUMPRODUCT(Calc!$K$3:$K$22*(Calc!$G$3:$G$22&gt;A4437)*(Calc!$G$3:$G$22&lt;B4437))</f>
        <v/>
      </c>
      <c r="E4437">
        <f>SUMPRODUCT(Calc!$K$3:$K$22*(Calc!$G$3:$G$22&gt;=B4437))</f>
        <v/>
      </c>
      <c r="F4437">
        <f>AND(k_n&gt;=5,B4437&gt;A4437+1E-9,C4437&gt;=2,D4437&gt;=1,E4437&gt;=2)</f>
        <v/>
      </c>
      <c r="G4437">
        <f>SUMPRODUCT(Calc!$K$3:$K$22*(Calc!$G$3:$G$22&gt;A4437)*(Calc!$G$3:$G$22-A4437))</f>
        <v/>
      </c>
      <c r="H4437">
        <f>SUMPRODUCT(Calc!$K$3:$K$22*(Calc!$G$3:$G$22&gt;B4437)*(Calc!$G$3:$G$22-B4437))</f>
        <v/>
      </c>
      <c r="I4437">
        <f>SUMPRODUCT(Calc!$K$3:$K$22*(Calc!$G$3:$G$22&gt;A4437)*(Calc!$G$3:$G$22-A4437)^2)</f>
        <v/>
      </c>
      <c r="J4437">
        <f>SUMPRODUCT(Calc!$K$3:$K$22*(Calc!$G$3:$G$22&gt;B4437)*(Calc!$G$3:$G$22-B4437)^2)</f>
        <v/>
      </c>
      <c r="K4437">
        <f>SUMPRODUCT(Calc!$K$3:$K$22*(Calc!$G$3:$G$22&gt;A4437)*(Calc!$G$3:$G$22-A4437)*(Calc!$G$3:$G$22&gt;B4437)*(Calc!$G$3:$G$22-B4437))</f>
        <v/>
      </c>
      <c r="L4437">
        <f>SUMPRODUCT(Calc!$K$3:$K$22*(Calc!$G$3:$G$22&gt;A4437)*(Calc!$G$3:$G$22-A4437)*Calc!$G$3:$G$22)</f>
        <v/>
      </c>
      <c r="M4437">
        <f>SUMPRODUCT(Calc!$K$3:$K$22*(Calc!$G$3:$G$22&gt;B4437)*(Calc!$G$3:$G$22-B4437)*Calc!$G$3:$G$22)</f>
        <v/>
      </c>
      <c r="N4437">
        <f>SUMPRODUCT(Calc!$K$3:$K$22*(Calc!$G$3:$G$22&gt;A4437)*(Calc!$G$3:$G$22-A4437)*Calc!$I$3:$I$22)</f>
        <v/>
      </c>
      <c r="O4437">
        <f>SUMPRODUCT(Calc!$K$3:$K$22*(Calc!$G$3:$G$22&gt;B4437)*(Calc!$G$3:$G$22-B4437)*Calc!$I$3:$I$22)</f>
        <v/>
      </c>
      <c r="P4437">
        <f>I4437-G4437^2/k_n</f>
        <v/>
      </c>
      <c r="Q4437">
        <f>J4437-H4437^2/k_n</f>
        <v/>
      </c>
      <c r="R4437">
        <f>K4437-G4437*H4437/k_n</f>
        <v/>
      </c>
      <c r="S4437">
        <f>L4437-LTP3!$D$3*G4437/k_n</f>
        <v/>
      </c>
      <c r="T4437">
        <f>M4437-LTP3!$D$3*H4437/k_n</f>
        <v/>
      </c>
      <c r="U4437">
        <f>N4437-G4437*LTP3!$D$4/k_n</f>
        <v/>
      </c>
      <c r="V4437">
        <f>O4437-H4437*LTP3!$D$4/k_n</f>
        <v/>
      </c>
      <c r="W4437">
        <f>((LTP3!$D$5)*((P4437)*(Q4437)-(R4437)*(R4437))-(S4437)*((S4437)*(Q4437)-(R4437)*(T4437))+(T4437)*((S4437)*(R4437)-(P4437)*(T4437)))</f>
        <v/>
      </c>
      <c r="X4437">
        <f>IF(ABS(W4437)&gt;1E-12,((LTP3!$D$6)*((P4437)*(Q4437)-(R4437)*(R4437))-(S4437)*((U4437)*(Q4437)-(R4437)*(V4437))+(T4437)*((U4437)*(R4437)-(P4437)*(V4437)))/W4437,0)</f>
        <v/>
      </c>
      <c r="Y4437">
        <f>IF(ABS(W4437)&gt;1E-12,((LTP3!$D$5)*((U4437)*(Q4437)-(R4437)*(V4437))-(LTP3!$D$6)*((S4437)*(Q4437)-(R4437)*(T4437))+(T4437)*((S4437)*(V4437)-(U4437)*(T4437)))/W4437,0)</f>
        <v/>
      </c>
      <c r="Z4437">
        <f>IF(ABS(W4437)&gt;1E-12,((LTP3!$D$5)*((P4437)*(V4437)-(U4437)*(R4437))-(S4437)*((S4437)*(V4437)-(U4437)*(T4437))+(LTP3!$D$6)*((S4437)*(R4437)-(P4437)*(T4437)))/W4437,0)</f>
        <v/>
      </c>
      <c r="AA4437">
        <f>LTP3!$D$7-X4437*LTP3!$D$6-Y4437*U4437-Z4437*V4437</f>
        <v/>
      </c>
      <c r="AB4437">
        <f>IF(AND(F4437,ABS(W4437)&gt;1E-12,Y4437&gt;0,Z4437&gt;0),AA4437,1E+300)</f>
        <v/>
      </c>
    </row>
    <row r="4438">
      <c r="A4438">
        <f>$I$4-$B$5/10+$B$5*12/100</f>
        <v/>
      </c>
      <c r="B4438">
        <f>$J$4-$B$5/10+$B$5*6/100</f>
        <v/>
      </c>
      <c r="C4438">
        <f>SUMPRODUCT(Calc!$K$3:$K$22*(Calc!$G$3:$G$22&lt;=A4438))</f>
        <v/>
      </c>
      <c r="D4438">
        <f>SUMPRODUCT(Calc!$K$3:$K$22*(Calc!$G$3:$G$22&gt;A4438)*(Calc!$G$3:$G$22&lt;B4438))</f>
        <v/>
      </c>
      <c r="E4438">
        <f>SUMPRODUCT(Calc!$K$3:$K$22*(Calc!$G$3:$G$22&gt;=B4438))</f>
        <v/>
      </c>
      <c r="F4438">
        <f>AND(k_n&gt;=5,B4438&gt;A4438+1E-9,C4438&gt;=2,D4438&gt;=1,E4438&gt;=2)</f>
        <v/>
      </c>
      <c r="G4438">
        <f>SUMPRODUCT(Calc!$K$3:$K$22*(Calc!$G$3:$G$22&gt;A4438)*(Calc!$G$3:$G$22-A4438))</f>
        <v/>
      </c>
      <c r="H4438">
        <f>SUMPRODUCT(Calc!$K$3:$K$22*(Calc!$G$3:$G$22&gt;B4438)*(Calc!$G$3:$G$22-B4438))</f>
        <v/>
      </c>
      <c r="I4438">
        <f>SUMPRODUCT(Calc!$K$3:$K$22*(Calc!$G$3:$G$22&gt;A4438)*(Calc!$G$3:$G$22-A4438)^2)</f>
        <v/>
      </c>
      <c r="J4438">
        <f>SUMPRODUCT(Calc!$K$3:$K$22*(Calc!$G$3:$G$22&gt;B4438)*(Calc!$G$3:$G$22-B4438)^2)</f>
        <v/>
      </c>
      <c r="K4438">
        <f>SUMPRODUCT(Calc!$K$3:$K$22*(Calc!$G$3:$G$22&gt;A4438)*(Calc!$G$3:$G$22-A4438)*(Calc!$G$3:$G$22&gt;B4438)*(Calc!$G$3:$G$22-B4438))</f>
        <v/>
      </c>
      <c r="L4438">
        <f>SUMPRODUCT(Calc!$K$3:$K$22*(Calc!$G$3:$G$22&gt;A4438)*(Calc!$G$3:$G$22-A4438)*Calc!$G$3:$G$22)</f>
        <v/>
      </c>
      <c r="M4438">
        <f>SUMPRODUCT(Calc!$K$3:$K$22*(Calc!$G$3:$G$22&gt;B4438)*(Calc!$G$3:$G$22-B4438)*Calc!$G$3:$G$22)</f>
        <v/>
      </c>
      <c r="N4438">
        <f>SUMPRODUCT(Calc!$K$3:$K$22*(Calc!$G$3:$G$22&gt;A4438)*(Calc!$G$3:$G$22-A4438)*Calc!$I$3:$I$22)</f>
        <v/>
      </c>
      <c r="O4438">
        <f>SUMPRODUCT(Calc!$K$3:$K$22*(Calc!$G$3:$G$22&gt;B4438)*(Calc!$G$3:$G$22-B4438)*Calc!$I$3:$I$22)</f>
        <v/>
      </c>
      <c r="P4438">
        <f>I4438-G4438^2/k_n</f>
        <v/>
      </c>
      <c r="Q4438">
        <f>J4438-H4438^2/k_n</f>
        <v/>
      </c>
      <c r="R4438">
        <f>K4438-G4438*H4438/k_n</f>
        <v/>
      </c>
      <c r="S4438">
        <f>L4438-LTP3!$D$3*G4438/k_n</f>
        <v/>
      </c>
      <c r="T4438">
        <f>M4438-LTP3!$D$3*H4438/k_n</f>
        <v/>
      </c>
      <c r="U4438">
        <f>N4438-G4438*LTP3!$D$4/k_n</f>
        <v/>
      </c>
      <c r="V4438">
        <f>O4438-H4438*LTP3!$D$4/k_n</f>
        <v/>
      </c>
      <c r="W4438">
        <f>((LTP3!$D$5)*((P4438)*(Q4438)-(R4438)*(R4438))-(S4438)*((S4438)*(Q4438)-(R4438)*(T4438))+(T4438)*((S4438)*(R4438)-(P4438)*(T4438)))</f>
        <v/>
      </c>
      <c r="X4438">
        <f>IF(ABS(W4438)&gt;1E-12,((LTP3!$D$6)*((P4438)*(Q4438)-(R4438)*(R4438))-(S4438)*((U4438)*(Q4438)-(R4438)*(V4438))+(T4438)*((U4438)*(R4438)-(P4438)*(V4438)))/W4438,0)</f>
        <v/>
      </c>
      <c r="Y4438">
        <f>IF(ABS(W4438)&gt;1E-12,((LTP3!$D$5)*((U4438)*(Q4438)-(R4438)*(V4438))-(LTP3!$D$6)*((S4438)*(Q4438)-(R4438)*(T4438))+(T4438)*((S4438)*(V4438)-(U4438)*(T4438)))/W4438,0)</f>
        <v/>
      </c>
      <c r="Z4438">
        <f>IF(ABS(W4438)&gt;1E-12,((LTP3!$D$5)*((P4438)*(V4438)-(U4438)*(R4438))-(S4438)*((S4438)*(V4438)-(U4438)*(T4438))+(LTP3!$D$6)*((S4438)*(R4438)-(P4438)*(T4438)))/W4438,0)</f>
        <v/>
      </c>
      <c r="AA4438">
        <f>LTP3!$D$7-X4438*LTP3!$D$6-Y4438*U4438-Z4438*V4438</f>
        <v/>
      </c>
      <c r="AB4438">
        <f>IF(AND(F4438,ABS(W4438)&gt;1E-12,Y4438&gt;0,Z4438&gt;0),AA4438,1E+300)</f>
        <v/>
      </c>
    </row>
    <row r="4439">
      <c r="A4439">
        <f>$I$4-$B$5/10+$B$5*12/100</f>
        <v/>
      </c>
      <c r="B4439">
        <f>$J$4-$B$5/10+$B$5*7/100</f>
        <v/>
      </c>
      <c r="C4439">
        <f>SUMPRODUCT(Calc!$K$3:$K$22*(Calc!$G$3:$G$22&lt;=A4439))</f>
        <v/>
      </c>
      <c r="D4439">
        <f>SUMPRODUCT(Calc!$K$3:$K$22*(Calc!$G$3:$G$22&gt;A4439)*(Calc!$G$3:$G$22&lt;B4439))</f>
        <v/>
      </c>
      <c r="E4439">
        <f>SUMPRODUCT(Calc!$K$3:$K$22*(Calc!$G$3:$G$22&gt;=B4439))</f>
        <v/>
      </c>
      <c r="F4439">
        <f>AND(k_n&gt;=5,B4439&gt;A4439+1E-9,C4439&gt;=2,D4439&gt;=1,E4439&gt;=2)</f>
        <v/>
      </c>
      <c r="G4439">
        <f>SUMPRODUCT(Calc!$K$3:$K$22*(Calc!$G$3:$G$22&gt;A4439)*(Calc!$G$3:$G$22-A4439))</f>
        <v/>
      </c>
      <c r="H4439">
        <f>SUMPRODUCT(Calc!$K$3:$K$22*(Calc!$G$3:$G$22&gt;B4439)*(Calc!$G$3:$G$22-B4439))</f>
        <v/>
      </c>
      <c r="I4439">
        <f>SUMPRODUCT(Calc!$K$3:$K$22*(Calc!$G$3:$G$22&gt;A4439)*(Calc!$G$3:$G$22-A4439)^2)</f>
        <v/>
      </c>
      <c r="J4439">
        <f>SUMPRODUCT(Calc!$K$3:$K$22*(Calc!$G$3:$G$22&gt;B4439)*(Calc!$G$3:$G$22-B4439)^2)</f>
        <v/>
      </c>
      <c r="K4439">
        <f>SUMPRODUCT(Calc!$K$3:$K$22*(Calc!$G$3:$G$22&gt;A4439)*(Calc!$G$3:$G$22-A4439)*(Calc!$G$3:$G$22&gt;B4439)*(Calc!$G$3:$G$22-B4439))</f>
        <v/>
      </c>
      <c r="L4439">
        <f>SUMPRODUCT(Calc!$K$3:$K$22*(Calc!$G$3:$G$22&gt;A4439)*(Calc!$G$3:$G$22-A4439)*Calc!$G$3:$G$22)</f>
        <v/>
      </c>
      <c r="M4439">
        <f>SUMPRODUCT(Calc!$K$3:$K$22*(Calc!$G$3:$G$22&gt;B4439)*(Calc!$G$3:$G$22-B4439)*Calc!$G$3:$G$22)</f>
        <v/>
      </c>
      <c r="N4439">
        <f>SUMPRODUCT(Calc!$K$3:$K$22*(Calc!$G$3:$G$22&gt;A4439)*(Calc!$G$3:$G$22-A4439)*Calc!$I$3:$I$22)</f>
        <v/>
      </c>
      <c r="O4439">
        <f>SUMPRODUCT(Calc!$K$3:$K$22*(Calc!$G$3:$G$22&gt;B4439)*(Calc!$G$3:$G$22-B4439)*Calc!$I$3:$I$22)</f>
        <v/>
      </c>
      <c r="P4439">
        <f>I4439-G4439^2/k_n</f>
        <v/>
      </c>
      <c r="Q4439">
        <f>J4439-H4439^2/k_n</f>
        <v/>
      </c>
      <c r="R4439">
        <f>K4439-G4439*H4439/k_n</f>
        <v/>
      </c>
      <c r="S4439">
        <f>L4439-LTP3!$D$3*G4439/k_n</f>
        <v/>
      </c>
      <c r="T4439">
        <f>M4439-LTP3!$D$3*H4439/k_n</f>
        <v/>
      </c>
      <c r="U4439">
        <f>N4439-G4439*LTP3!$D$4/k_n</f>
        <v/>
      </c>
      <c r="V4439">
        <f>O4439-H4439*LTP3!$D$4/k_n</f>
        <v/>
      </c>
      <c r="W4439">
        <f>((LTP3!$D$5)*((P4439)*(Q4439)-(R4439)*(R4439))-(S4439)*((S4439)*(Q4439)-(R4439)*(T4439))+(T4439)*((S4439)*(R4439)-(P4439)*(T4439)))</f>
        <v/>
      </c>
      <c r="X4439">
        <f>IF(ABS(W4439)&gt;1E-12,((LTP3!$D$6)*((P4439)*(Q4439)-(R4439)*(R4439))-(S4439)*((U4439)*(Q4439)-(R4439)*(V4439))+(T4439)*((U4439)*(R4439)-(P4439)*(V4439)))/W4439,0)</f>
        <v/>
      </c>
      <c r="Y4439">
        <f>IF(ABS(W4439)&gt;1E-12,((LTP3!$D$5)*((U4439)*(Q4439)-(R4439)*(V4439))-(LTP3!$D$6)*((S4439)*(Q4439)-(R4439)*(T4439))+(T4439)*((S4439)*(V4439)-(U4439)*(T4439)))/W4439,0)</f>
        <v/>
      </c>
      <c r="Z4439">
        <f>IF(ABS(W4439)&gt;1E-12,((LTP3!$D$5)*((P4439)*(V4439)-(U4439)*(R4439))-(S4439)*((S4439)*(V4439)-(U4439)*(T4439))+(LTP3!$D$6)*((S4439)*(R4439)-(P4439)*(T4439)))/W4439,0)</f>
        <v/>
      </c>
      <c r="AA4439">
        <f>LTP3!$D$7-X4439*LTP3!$D$6-Y4439*U4439-Z4439*V4439</f>
        <v/>
      </c>
      <c r="AB4439">
        <f>IF(AND(F4439,ABS(W4439)&gt;1E-12,Y4439&gt;0,Z4439&gt;0),AA4439,1E+300)</f>
        <v/>
      </c>
    </row>
    <row r="4440">
      <c r="A4440">
        <f>$I$4-$B$5/10+$B$5*12/100</f>
        <v/>
      </c>
      <c r="B4440">
        <f>$J$4-$B$5/10+$B$5*8/100</f>
        <v/>
      </c>
      <c r="C4440">
        <f>SUMPRODUCT(Calc!$K$3:$K$22*(Calc!$G$3:$G$22&lt;=A4440))</f>
        <v/>
      </c>
      <c r="D4440">
        <f>SUMPRODUCT(Calc!$K$3:$K$22*(Calc!$G$3:$G$22&gt;A4440)*(Calc!$G$3:$G$22&lt;B4440))</f>
        <v/>
      </c>
      <c r="E4440">
        <f>SUMPRODUCT(Calc!$K$3:$K$22*(Calc!$G$3:$G$22&gt;=B4440))</f>
        <v/>
      </c>
      <c r="F4440">
        <f>AND(k_n&gt;=5,B4440&gt;A4440+1E-9,C4440&gt;=2,D4440&gt;=1,E4440&gt;=2)</f>
        <v/>
      </c>
      <c r="G4440">
        <f>SUMPRODUCT(Calc!$K$3:$K$22*(Calc!$G$3:$G$22&gt;A4440)*(Calc!$G$3:$G$22-A4440))</f>
        <v/>
      </c>
      <c r="H4440">
        <f>SUMPRODUCT(Calc!$K$3:$K$22*(Calc!$G$3:$G$22&gt;B4440)*(Calc!$G$3:$G$22-B4440))</f>
        <v/>
      </c>
      <c r="I4440">
        <f>SUMPRODUCT(Calc!$K$3:$K$22*(Calc!$G$3:$G$22&gt;A4440)*(Calc!$G$3:$G$22-A4440)^2)</f>
        <v/>
      </c>
      <c r="J4440">
        <f>SUMPRODUCT(Calc!$K$3:$K$22*(Calc!$G$3:$G$22&gt;B4440)*(Calc!$G$3:$G$22-B4440)^2)</f>
        <v/>
      </c>
      <c r="K4440">
        <f>SUMPRODUCT(Calc!$K$3:$K$22*(Calc!$G$3:$G$22&gt;A4440)*(Calc!$G$3:$G$22-A4440)*(Calc!$G$3:$G$22&gt;B4440)*(Calc!$G$3:$G$22-B4440))</f>
        <v/>
      </c>
      <c r="L4440">
        <f>SUMPRODUCT(Calc!$K$3:$K$22*(Calc!$G$3:$G$22&gt;A4440)*(Calc!$G$3:$G$22-A4440)*Calc!$G$3:$G$22)</f>
        <v/>
      </c>
      <c r="M4440">
        <f>SUMPRODUCT(Calc!$K$3:$K$22*(Calc!$G$3:$G$22&gt;B4440)*(Calc!$G$3:$G$22-B4440)*Calc!$G$3:$G$22)</f>
        <v/>
      </c>
      <c r="N4440">
        <f>SUMPRODUCT(Calc!$K$3:$K$22*(Calc!$G$3:$G$22&gt;A4440)*(Calc!$G$3:$G$22-A4440)*Calc!$I$3:$I$22)</f>
        <v/>
      </c>
      <c r="O4440">
        <f>SUMPRODUCT(Calc!$K$3:$K$22*(Calc!$G$3:$G$22&gt;B4440)*(Calc!$G$3:$G$22-B4440)*Calc!$I$3:$I$22)</f>
        <v/>
      </c>
      <c r="P4440">
        <f>I4440-G4440^2/k_n</f>
        <v/>
      </c>
      <c r="Q4440">
        <f>J4440-H4440^2/k_n</f>
        <v/>
      </c>
      <c r="R4440">
        <f>K4440-G4440*H4440/k_n</f>
        <v/>
      </c>
      <c r="S4440">
        <f>L4440-LTP3!$D$3*G4440/k_n</f>
        <v/>
      </c>
      <c r="T4440">
        <f>M4440-LTP3!$D$3*H4440/k_n</f>
        <v/>
      </c>
      <c r="U4440">
        <f>N4440-G4440*LTP3!$D$4/k_n</f>
        <v/>
      </c>
      <c r="V4440">
        <f>O4440-H4440*LTP3!$D$4/k_n</f>
        <v/>
      </c>
      <c r="W4440">
        <f>((LTP3!$D$5)*((P4440)*(Q4440)-(R4440)*(R4440))-(S4440)*((S4440)*(Q4440)-(R4440)*(T4440))+(T4440)*((S4440)*(R4440)-(P4440)*(T4440)))</f>
        <v/>
      </c>
      <c r="X4440">
        <f>IF(ABS(W4440)&gt;1E-12,((LTP3!$D$6)*((P4440)*(Q4440)-(R4440)*(R4440))-(S4440)*((U4440)*(Q4440)-(R4440)*(V4440))+(T4440)*((U4440)*(R4440)-(P4440)*(V4440)))/W4440,0)</f>
        <v/>
      </c>
      <c r="Y4440">
        <f>IF(ABS(W4440)&gt;1E-12,((LTP3!$D$5)*((U4440)*(Q4440)-(R4440)*(V4440))-(LTP3!$D$6)*((S4440)*(Q4440)-(R4440)*(T4440))+(T4440)*((S4440)*(V4440)-(U4440)*(T4440)))/W4440,0)</f>
        <v/>
      </c>
      <c r="Z4440">
        <f>IF(ABS(W4440)&gt;1E-12,((LTP3!$D$5)*((P4440)*(V4440)-(U4440)*(R4440))-(S4440)*((S4440)*(V4440)-(U4440)*(T4440))+(LTP3!$D$6)*((S4440)*(R4440)-(P4440)*(T4440)))/W4440,0)</f>
        <v/>
      </c>
      <c r="AA4440">
        <f>LTP3!$D$7-X4440*LTP3!$D$6-Y4440*U4440-Z4440*V4440</f>
        <v/>
      </c>
      <c r="AB4440">
        <f>IF(AND(F4440,ABS(W4440)&gt;1E-12,Y4440&gt;0,Z4440&gt;0),AA4440,1E+300)</f>
        <v/>
      </c>
    </row>
    <row r="4441">
      <c r="A4441">
        <f>$I$4-$B$5/10+$B$5*12/100</f>
        <v/>
      </c>
      <c r="B4441">
        <f>$J$4-$B$5/10+$B$5*9/100</f>
        <v/>
      </c>
      <c r="C4441">
        <f>SUMPRODUCT(Calc!$K$3:$K$22*(Calc!$G$3:$G$22&lt;=A4441))</f>
        <v/>
      </c>
      <c r="D4441">
        <f>SUMPRODUCT(Calc!$K$3:$K$22*(Calc!$G$3:$G$22&gt;A4441)*(Calc!$G$3:$G$22&lt;B4441))</f>
        <v/>
      </c>
      <c r="E4441">
        <f>SUMPRODUCT(Calc!$K$3:$K$22*(Calc!$G$3:$G$22&gt;=B4441))</f>
        <v/>
      </c>
      <c r="F4441">
        <f>AND(k_n&gt;=5,B4441&gt;A4441+1E-9,C4441&gt;=2,D4441&gt;=1,E4441&gt;=2)</f>
        <v/>
      </c>
      <c r="G4441">
        <f>SUMPRODUCT(Calc!$K$3:$K$22*(Calc!$G$3:$G$22&gt;A4441)*(Calc!$G$3:$G$22-A4441))</f>
        <v/>
      </c>
      <c r="H4441">
        <f>SUMPRODUCT(Calc!$K$3:$K$22*(Calc!$G$3:$G$22&gt;B4441)*(Calc!$G$3:$G$22-B4441))</f>
        <v/>
      </c>
      <c r="I4441">
        <f>SUMPRODUCT(Calc!$K$3:$K$22*(Calc!$G$3:$G$22&gt;A4441)*(Calc!$G$3:$G$22-A4441)^2)</f>
        <v/>
      </c>
      <c r="J4441">
        <f>SUMPRODUCT(Calc!$K$3:$K$22*(Calc!$G$3:$G$22&gt;B4441)*(Calc!$G$3:$G$22-B4441)^2)</f>
        <v/>
      </c>
      <c r="K4441">
        <f>SUMPRODUCT(Calc!$K$3:$K$22*(Calc!$G$3:$G$22&gt;A4441)*(Calc!$G$3:$G$22-A4441)*(Calc!$G$3:$G$22&gt;B4441)*(Calc!$G$3:$G$22-B4441))</f>
        <v/>
      </c>
      <c r="L4441">
        <f>SUMPRODUCT(Calc!$K$3:$K$22*(Calc!$G$3:$G$22&gt;A4441)*(Calc!$G$3:$G$22-A4441)*Calc!$G$3:$G$22)</f>
        <v/>
      </c>
      <c r="M4441">
        <f>SUMPRODUCT(Calc!$K$3:$K$22*(Calc!$G$3:$G$22&gt;B4441)*(Calc!$G$3:$G$22-B4441)*Calc!$G$3:$G$22)</f>
        <v/>
      </c>
      <c r="N4441">
        <f>SUMPRODUCT(Calc!$K$3:$K$22*(Calc!$G$3:$G$22&gt;A4441)*(Calc!$G$3:$G$22-A4441)*Calc!$I$3:$I$22)</f>
        <v/>
      </c>
      <c r="O4441">
        <f>SUMPRODUCT(Calc!$K$3:$K$22*(Calc!$G$3:$G$22&gt;B4441)*(Calc!$G$3:$G$22-B4441)*Calc!$I$3:$I$22)</f>
        <v/>
      </c>
      <c r="P4441">
        <f>I4441-G4441^2/k_n</f>
        <v/>
      </c>
      <c r="Q4441">
        <f>J4441-H4441^2/k_n</f>
        <v/>
      </c>
      <c r="R4441">
        <f>K4441-G4441*H4441/k_n</f>
        <v/>
      </c>
      <c r="S4441">
        <f>L4441-LTP3!$D$3*G4441/k_n</f>
        <v/>
      </c>
      <c r="T4441">
        <f>M4441-LTP3!$D$3*H4441/k_n</f>
        <v/>
      </c>
      <c r="U4441">
        <f>N4441-G4441*LTP3!$D$4/k_n</f>
        <v/>
      </c>
      <c r="V4441">
        <f>O4441-H4441*LTP3!$D$4/k_n</f>
        <v/>
      </c>
      <c r="W4441">
        <f>((LTP3!$D$5)*((P4441)*(Q4441)-(R4441)*(R4441))-(S4441)*((S4441)*(Q4441)-(R4441)*(T4441))+(T4441)*((S4441)*(R4441)-(P4441)*(T4441)))</f>
        <v/>
      </c>
      <c r="X4441">
        <f>IF(ABS(W4441)&gt;1E-12,((LTP3!$D$6)*((P4441)*(Q4441)-(R4441)*(R4441))-(S4441)*((U4441)*(Q4441)-(R4441)*(V4441))+(T4441)*((U4441)*(R4441)-(P4441)*(V4441)))/W4441,0)</f>
        <v/>
      </c>
      <c r="Y4441">
        <f>IF(ABS(W4441)&gt;1E-12,((LTP3!$D$5)*((U4441)*(Q4441)-(R4441)*(V4441))-(LTP3!$D$6)*((S4441)*(Q4441)-(R4441)*(T4441))+(T4441)*((S4441)*(V4441)-(U4441)*(T4441)))/W4441,0)</f>
        <v/>
      </c>
      <c r="Z4441">
        <f>IF(ABS(W4441)&gt;1E-12,((LTP3!$D$5)*((P4441)*(V4441)-(U4441)*(R4441))-(S4441)*((S4441)*(V4441)-(U4441)*(T4441))+(LTP3!$D$6)*((S4441)*(R4441)-(P4441)*(T4441)))/W4441,0)</f>
        <v/>
      </c>
      <c r="AA4441">
        <f>LTP3!$D$7-X4441*LTP3!$D$6-Y4441*U4441-Z4441*V4441</f>
        <v/>
      </c>
      <c r="AB4441">
        <f>IF(AND(F4441,ABS(W4441)&gt;1E-12,Y4441&gt;0,Z4441&gt;0),AA4441,1E+300)</f>
        <v/>
      </c>
    </row>
    <row r="4442">
      <c r="A4442">
        <f>$I$4-$B$5/10+$B$5*12/100</f>
        <v/>
      </c>
      <c r="B4442">
        <f>$J$4-$B$5/10+$B$5*10/100</f>
        <v/>
      </c>
      <c r="C4442">
        <f>SUMPRODUCT(Calc!$K$3:$K$22*(Calc!$G$3:$G$22&lt;=A4442))</f>
        <v/>
      </c>
      <c r="D4442">
        <f>SUMPRODUCT(Calc!$K$3:$K$22*(Calc!$G$3:$G$22&gt;A4442)*(Calc!$G$3:$G$22&lt;B4442))</f>
        <v/>
      </c>
      <c r="E4442">
        <f>SUMPRODUCT(Calc!$K$3:$K$22*(Calc!$G$3:$G$22&gt;=B4442))</f>
        <v/>
      </c>
      <c r="F4442">
        <f>AND(k_n&gt;=5,B4442&gt;A4442+1E-9,C4442&gt;=2,D4442&gt;=1,E4442&gt;=2)</f>
        <v/>
      </c>
      <c r="G4442">
        <f>SUMPRODUCT(Calc!$K$3:$K$22*(Calc!$G$3:$G$22&gt;A4442)*(Calc!$G$3:$G$22-A4442))</f>
        <v/>
      </c>
      <c r="H4442">
        <f>SUMPRODUCT(Calc!$K$3:$K$22*(Calc!$G$3:$G$22&gt;B4442)*(Calc!$G$3:$G$22-B4442))</f>
        <v/>
      </c>
      <c r="I4442">
        <f>SUMPRODUCT(Calc!$K$3:$K$22*(Calc!$G$3:$G$22&gt;A4442)*(Calc!$G$3:$G$22-A4442)^2)</f>
        <v/>
      </c>
      <c r="J4442">
        <f>SUMPRODUCT(Calc!$K$3:$K$22*(Calc!$G$3:$G$22&gt;B4442)*(Calc!$G$3:$G$22-B4442)^2)</f>
        <v/>
      </c>
      <c r="K4442">
        <f>SUMPRODUCT(Calc!$K$3:$K$22*(Calc!$G$3:$G$22&gt;A4442)*(Calc!$G$3:$G$22-A4442)*(Calc!$G$3:$G$22&gt;B4442)*(Calc!$G$3:$G$22-B4442))</f>
        <v/>
      </c>
      <c r="L4442">
        <f>SUMPRODUCT(Calc!$K$3:$K$22*(Calc!$G$3:$G$22&gt;A4442)*(Calc!$G$3:$G$22-A4442)*Calc!$G$3:$G$22)</f>
        <v/>
      </c>
      <c r="M4442">
        <f>SUMPRODUCT(Calc!$K$3:$K$22*(Calc!$G$3:$G$22&gt;B4442)*(Calc!$G$3:$G$22-B4442)*Calc!$G$3:$G$22)</f>
        <v/>
      </c>
      <c r="N4442">
        <f>SUMPRODUCT(Calc!$K$3:$K$22*(Calc!$G$3:$G$22&gt;A4442)*(Calc!$G$3:$G$22-A4442)*Calc!$I$3:$I$22)</f>
        <v/>
      </c>
      <c r="O4442">
        <f>SUMPRODUCT(Calc!$K$3:$K$22*(Calc!$G$3:$G$22&gt;B4442)*(Calc!$G$3:$G$22-B4442)*Calc!$I$3:$I$22)</f>
        <v/>
      </c>
      <c r="P4442">
        <f>I4442-G4442^2/k_n</f>
        <v/>
      </c>
      <c r="Q4442">
        <f>J4442-H4442^2/k_n</f>
        <v/>
      </c>
      <c r="R4442">
        <f>K4442-G4442*H4442/k_n</f>
        <v/>
      </c>
      <c r="S4442">
        <f>L4442-LTP3!$D$3*G4442/k_n</f>
        <v/>
      </c>
      <c r="T4442">
        <f>M4442-LTP3!$D$3*H4442/k_n</f>
        <v/>
      </c>
      <c r="U4442">
        <f>N4442-G4442*LTP3!$D$4/k_n</f>
        <v/>
      </c>
      <c r="V4442">
        <f>O4442-H4442*LTP3!$D$4/k_n</f>
        <v/>
      </c>
      <c r="W4442">
        <f>((LTP3!$D$5)*((P4442)*(Q4442)-(R4442)*(R4442))-(S4442)*((S4442)*(Q4442)-(R4442)*(T4442))+(T4442)*((S4442)*(R4442)-(P4442)*(T4442)))</f>
        <v/>
      </c>
      <c r="X4442">
        <f>IF(ABS(W4442)&gt;1E-12,((LTP3!$D$6)*((P4442)*(Q4442)-(R4442)*(R4442))-(S4442)*((U4442)*(Q4442)-(R4442)*(V4442))+(T4442)*((U4442)*(R4442)-(P4442)*(V4442)))/W4442,0)</f>
        <v/>
      </c>
      <c r="Y4442">
        <f>IF(ABS(W4442)&gt;1E-12,((LTP3!$D$5)*((U4442)*(Q4442)-(R4442)*(V4442))-(LTP3!$D$6)*((S4442)*(Q4442)-(R4442)*(T4442))+(T4442)*((S4442)*(V4442)-(U4442)*(T4442)))/W4442,0)</f>
        <v/>
      </c>
      <c r="Z4442">
        <f>IF(ABS(W4442)&gt;1E-12,((LTP3!$D$5)*((P4442)*(V4442)-(U4442)*(R4442))-(S4442)*((S4442)*(V4442)-(U4442)*(T4442))+(LTP3!$D$6)*((S4442)*(R4442)-(P4442)*(T4442)))/W4442,0)</f>
        <v/>
      </c>
      <c r="AA4442">
        <f>LTP3!$D$7-X4442*LTP3!$D$6-Y4442*U4442-Z4442*V4442</f>
        <v/>
      </c>
      <c r="AB4442">
        <f>IF(AND(F4442,ABS(W4442)&gt;1E-12,Y4442&gt;0,Z4442&gt;0),AA4442,1E+300)</f>
        <v/>
      </c>
    </row>
    <row r="4443">
      <c r="A4443">
        <f>$I$4-$B$5/10+$B$5*12/100</f>
        <v/>
      </c>
      <c r="B4443">
        <f>$J$4-$B$5/10+$B$5*11/100</f>
        <v/>
      </c>
      <c r="C4443">
        <f>SUMPRODUCT(Calc!$K$3:$K$22*(Calc!$G$3:$G$22&lt;=A4443))</f>
        <v/>
      </c>
      <c r="D4443">
        <f>SUMPRODUCT(Calc!$K$3:$K$22*(Calc!$G$3:$G$22&gt;A4443)*(Calc!$G$3:$G$22&lt;B4443))</f>
        <v/>
      </c>
      <c r="E4443">
        <f>SUMPRODUCT(Calc!$K$3:$K$22*(Calc!$G$3:$G$22&gt;=B4443))</f>
        <v/>
      </c>
      <c r="F4443">
        <f>AND(k_n&gt;=5,B4443&gt;A4443+1E-9,C4443&gt;=2,D4443&gt;=1,E4443&gt;=2)</f>
        <v/>
      </c>
      <c r="G4443">
        <f>SUMPRODUCT(Calc!$K$3:$K$22*(Calc!$G$3:$G$22&gt;A4443)*(Calc!$G$3:$G$22-A4443))</f>
        <v/>
      </c>
      <c r="H4443">
        <f>SUMPRODUCT(Calc!$K$3:$K$22*(Calc!$G$3:$G$22&gt;B4443)*(Calc!$G$3:$G$22-B4443))</f>
        <v/>
      </c>
      <c r="I4443">
        <f>SUMPRODUCT(Calc!$K$3:$K$22*(Calc!$G$3:$G$22&gt;A4443)*(Calc!$G$3:$G$22-A4443)^2)</f>
        <v/>
      </c>
      <c r="J4443">
        <f>SUMPRODUCT(Calc!$K$3:$K$22*(Calc!$G$3:$G$22&gt;B4443)*(Calc!$G$3:$G$22-B4443)^2)</f>
        <v/>
      </c>
      <c r="K4443">
        <f>SUMPRODUCT(Calc!$K$3:$K$22*(Calc!$G$3:$G$22&gt;A4443)*(Calc!$G$3:$G$22-A4443)*(Calc!$G$3:$G$22&gt;B4443)*(Calc!$G$3:$G$22-B4443))</f>
        <v/>
      </c>
      <c r="L4443">
        <f>SUMPRODUCT(Calc!$K$3:$K$22*(Calc!$G$3:$G$22&gt;A4443)*(Calc!$G$3:$G$22-A4443)*Calc!$G$3:$G$22)</f>
        <v/>
      </c>
      <c r="M4443">
        <f>SUMPRODUCT(Calc!$K$3:$K$22*(Calc!$G$3:$G$22&gt;B4443)*(Calc!$G$3:$G$22-B4443)*Calc!$G$3:$G$22)</f>
        <v/>
      </c>
      <c r="N4443">
        <f>SUMPRODUCT(Calc!$K$3:$K$22*(Calc!$G$3:$G$22&gt;A4443)*(Calc!$G$3:$G$22-A4443)*Calc!$I$3:$I$22)</f>
        <v/>
      </c>
      <c r="O4443">
        <f>SUMPRODUCT(Calc!$K$3:$K$22*(Calc!$G$3:$G$22&gt;B4443)*(Calc!$G$3:$G$22-B4443)*Calc!$I$3:$I$22)</f>
        <v/>
      </c>
      <c r="P4443">
        <f>I4443-G4443^2/k_n</f>
        <v/>
      </c>
      <c r="Q4443">
        <f>J4443-H4443^2/k_n</f>
        <v/>
      </c>
      <c r="R4443">
        <f>K4443-G4443*H4443/k_n</f>
        <v/>
      </c>
      <c r="S4443">
        <f>L4443-LTP3!$D$3*G4443/k_n</f>
        <v/>
      </c>
      <c r="T4443">
        <f>M4443-LTP3!$D$3*H4443/k_n</f>
        <v/>
      </c>
      <c r="U4443">
        <f>N4443-G4443*LTP3!$D$4/k_n</f>
        <v/>
      </c>
      <c r="V4443">
        <f>O4443-H4443*LTP3!$D$4/k_n</f>
        <v/>
      </c>
      <c r="W4443">
        <f>((LTP3!$D$5)*((P4443)*(Q4443)-(R4443)*(R4443))-(S4443)*((S4443)*(Q4443)-(R4443)*(T4443))+(T4443)*((S4443)*(R4443)-(P4443)*(T4443)))</f>
        <v/>
      </c>
      <c r="X4443">
        <f>IF(ABS(W4443)&gt;1E-12,((LTP3!$D$6)*((P4443)*(Q4443)-(R4443)*(R4443))-(S4443)*((U4443)*(Q4443)-(R4443)*(V4443))+(T4443)*((U4443)*(R4443)-(P4443)*(V4443)))/W4443,0)</f>
        <v/>
      </c>
      <c r="Y4443">
        <f>IF(ABS(W4443)&gt;1E-12,((LTP3!$D$5)*((U4443)*(Q4443)-(R4443)*(V4443))-(LTP3!$D$6)*((S4443)*(Q4443)-(R4443)*(T4443))+(T4443)*((S4443)*(V4443)-(U4443)*(T4443)))/W4443,0)</f>
        <v/>
      </c>
      <c r="Z4443">
        <f>IF(ABS(W4443)&gt;1E-12,((LTP3!$D$5)*((P4443)*(V4443)-(U4443)*(R4443))-(S4443)*((S4443)*(V4443)-(U4443)*(T4443))+(LTP3!$D$6)*((S4443)*(R4443)-(P4443)*(T4443)))/W4443,0)</f>
        <v/>
      </c>
      <c r="AA4443">
        <f>LTP3!$D$7-X4443*LTP3!$D$6-Y4443*U4443-Z4443*V4443</f>
        <v/>
      </c>
      <c r="AB4443">
        <f>IF(AND(F4443,ABS(W4443)&gt;1E-12,Y4443&gt;0,Z4443&gt;0),AA4443,1E+300)</f>
        <v/>
      </c>
    </row>
    <row r="4444">
      <c r="A4444">
        <f>$I$4-$B$5/10+$B$5*12/100</f>
        <v/>
      </c>
      <c r="B4444">
        <f>$J$4-$B$5/10+$B$5*12/100</f>
        <v/>
      </c>
      <c r="C4444">
        <f>SUMPRODUCT(Calc!$K$3:$K$22*(Calc!$G$3:$G$22&lt;=A4444))</f>
        <v/>
      </c>
      <c r="D4444">
        <f>SUMPRODUCT(Calc!$K$3:$K$22*(Calc!$G$3:$G$22&gt;A4444)*(Calc!$G$3:$G$22&lt;B4444))</f>
        <v/>
      </c>
      <c r="E4444">
        <f>SUMPRODUCT(Calc!$K$3:$K$22*(Calc!$G$3:$G$22&gt;=B4444))</f>
        <v/>
      </c>
      <c r="F4444">
        <f>AND(k_n&gt;=5,B4444&gt;A4444+1E-9,C4444&gt;=2,D4444&gt;=1,E4444&gt;=2)</f>
        <v/>
      </c>
      <c r="G4444">
        <f>SUMPRODUCT(Calc!$K$3:$K$22*(Calc!$G$3:$G$22&gt;A4444)*(Calc!$G$3:$G$22-A4444))</f>
        <v/>
      </c>
      <c r="H4444">
        <f>SUMPRODUCT(Calc!$K$3:$K$22*(Calc!$G$3:$G$22&gt;B4444)*(Calc!$G$3:$G$22-B4444))</f>
        <v/>
      </c>
      <c r="I4444">
        <f>SUMPRODUCT(Calc!$K$3:$K$22*(Calc!$G$3:$G$22&gt;A4444)*(Calc!$G$3:$G$22-A4444)^2)</f>
        <v/>
      </c>
      <c r="J4444">
        <f>SUMPRODUCT(Calc!$K$3:$K$22*(Calc!$G$3:$G$22&gt;B4444)*(Calc!$G$3:$G$22-B4444)^2)</f>
        <v/>
      </c>
      <c r="K4444">
        <f>SUMPRODUCT(Calc!$K$3:$K$22*(Calc!$G$3:$G$22&gt;A4444)*(Calc!$G$3:$G$22-A4444)*(Calc!$G$3:$G$22&gt;B4444)*(Calc!$G$3:$G$22-B4444))</f>
        <v/>
      </c>
      <c r="L4444">
        <f>SUMPRODUCT(Calc!$K$3:$K$22*(Calc!$G$3:$G$22&gt;A4444)*(Calc!$G$3:$G$22-A4444)*Calc!$G$3:$G$22)</f>
        <v/>
      </c>
      <c r="M4444">
        <f>SUMPRODUCT(Calc!$K$3:$K$22*(Calc!$G$3:$G$22&gt;B4444)*(Calc!$G$3:$G$22-B4444)*Calc!$G$3:$G$22)</f>
        <v/>
      </c>
      <c r="N4444">
        <f>SUMPRODUCT(Calc!$K$3:$K$22*(Calc!$G$3:$G$22&gt;A4444)*(Calc!$G$3:$G$22-A4444)*Calc!$I$3:$I$22)</f>
        <v/>
      </c>
      <c r="O4444">
        <f>SUMPRODUCT(Calc!$K$3:$K$22*(Calc!$G$3:$G$22&gt;B4444)*(Calc!$G$3:$G$22-B4444)*Calc!$I$3:$I$22)</f>
        <v/>
      </c>
      <c r="P4444">
        <f>I4444-G4444^2/k_n</f>
        <v/>
      </c>
      <c r="Q4444">
        <f>J4444-H4444^2/k_n</f>
        <v/>
      </c>
      <c r="R4444">
        <f>K4444-G4444*H4444/k_n</f>
        <v/>
      </c>
      <c r="S4444">
        <f>L4444-LTP3!$D$3*G4444/k_n</f>
        <v/>
      </c>
      <c r="T4444">
        <f>M4444-LTP3!$D$3*H4444/k_n</f>
        <v/>
      </c>
      <c r="U4444">
        <f>N4444-G4444*LTP3!$D$4/k_n</f>
        <v/>
      </c>
      <c r="V4444">
        <f>O4444-H4444*LTP3!$D$4/k_n</f>
        <v/>
      </c>
      <c r="W4444">
        <f>((LTP3!$D$5)*((P4444)*(Q4444)-(R4444)*(R4444))-(S4444)*((S4444)*(Q4444)-(R4444)*(T4444))+(T4444)*((S4444)*(R4444)-(P4444)*(T4444)))</f>
        <v/>
      </c>
      <c r="X4444">
        <f>IF(ABS(W4444)&gt;1E-12,((LTP3!$D$6)*((P4444)*(Q4444)-(R4444)*(R4444))-(S4444)*((U4444)*(Q4444)-(R4444)*(V4444))+(T4444)*((U4444)*(R4444)-(P4444)*(V4444)))/W4444,0)</f>
        <v/>
      </c>
      <c r="Y4444">
        <f>IF(ABS(W4444)&gt;1E-12,((LTP3!$D$5)*((U4444)*(Q4444)-(R4444)*(V4444))-(LTP3!$D$6)*((S4444)*(Q4444)-(R4444)*(T4444))+(T4444)*((S4444)*(V4444)-(U4444)*(T4444)))/W4444,0)</f>
        <v/>
      </c>
      <c r="Z4444">
        <f>IF(ABS(W4444)&gt;1E-12,((LTP3!$D$5)*((P4444)*(V4444)-(U4444)*(R4444))-(S4444)*((S4444)*(V4444)-(U4444)*(T4444))+(LTP3!$D$6)*((S4444)*(R4444)-(P4444)*(T4444)))/W4444,0)</f>
        <v/>
      </c>
      <c r="AA4444">
        <f>LTP3!$D$7-X4444*LTP3!$D$6-Y4444*U4444-Z4444*V4444</f>
        <v/>
      </c>
      <c r="AB4444">
        <f>IF(AND(F4444,ABS(W4444)&gt;1E-12,Y4444&gt;0,Z4444&gt;0),AA4444,1E+300)</f>
        <v/>
      </c>
    </row>
    <row r="4445">
      <c r="A4445">
        <f>$I$4-$B$5/10+$B$5*12/100</f>
        <v/>
      </c>
      <c r="B4445">
        <f>$J$4-$B$5/10+$B$5*13/100</f>
        <v/>
      </c>
      <c r="C4445">
        <f>SUMPRODUCT(Calc!$K$3:$K$22*(Calc!$G$3:$G$22&lt;=A4445))</f>
        <v/>
      </c>
      <c r="D4445">
        <f>SUMPRODUCT(Calc!$K$3:$K$22*(Calc!$G$3:$G$22&gt;A4445)*(Calc!$G$3:$G$22&lt;B4445))</f>
        <v/>
      </c>
      <c r="E4445">
        <f>SUMPRODUCT(Calc!$K$3:$K$22*(Calc!$G$3:$G$22&gt;=B4445))</f>
        <v/>
      </c>
      <c r="F4445">
        <f>AND(k_n&gt;=5,B4445&gt;A4445+1E-9,C4445&gt;=2,D4445&gt;=1,E4445&gt;=2)</f>
        <v/>
      </c>
      <c r="G4445">
        <f>SUMPRODUCT(Calc!$K$3:$K$22*(Calc!$G$3:$G$22&gt;A4445)*(Calc!$G$3:$G$22-A4445))</f>
        <v/>
      </c>
      <c r="H4445">
        <f>SUMPRODUCT(Calc!$K$3:$K$22*(Calc!$G$3:$G$22&gt;B4445)*(Calc!$G$3:$G$22-B4445))</f>
        <v/>
      </c>
      <c r="I4445">
        <f>SUMPRODUCT(Calc!$K$3:$K$22*(Calc!$G$3:$G$22&gt;A4445)*(Calc!$G$3:$G$22-A4445)^2)</f>
        <v/>
      </c>
      <c r="J4445">
        <f>SUMPRODUCT(Calc!$K$3:$K$22*(Calc!$G$3:$G$22&gt;B4445)*(Calc!$G$3:$G$22-B4445)^2)</f>
        <v/>
      </c>
      <c r="K4445">
        <f>SUMPRODUCT(Calc!$K$3:$K$22*(Calc!$G$3:$G$22&gt;A4445)*(Calc!$G$3:$G$22-A4445)*(Calc!$G$3:$G$22&gt;B4445)*(Calc!$G$3:$G$22-B4445))</f>
        <v/>
      </c>
      <c r="L4445">
        <f>SUMPRODUCT(Calc!$K$3:$K$22*(Calc!$G$3:$G$22&gt;A4445)*(Calc!$G$3:$G$22-A4445)*Calc!$G$3:$G$22)</f>
        <v/>
      </c>
      <c r="M4445">
        <f>SUMPRODUCT(Calc!$K$3:$K$22*(Calc!$G$3:$G$22&gt;B4445)*(Calc!$G$3:$G$22-B4445)*Calc!$G$3:$G$22)</f>
        <v/>
      </c>
      <c r="N4445">
        <f>SUMPRODUCT(Calc!$K$3:$K$22*(Calc!$G$3:$G$22&gt;A4445)*(Calc!$G$3:$G$22-A4445)*Calc!$I$3:$I$22)</f>
        <v/>
      </c>
      <c r="O4445">
        <f>SUMPRODUCT(Calc!$K$3:$K$22*(Calc!$G$3:$G$22&gt;B4445)*(Calc!$G$3:$G$22-B4445)*Calc!$I$3:$I$22)</f>
        <v/>
      </c>
      <c r="P4445">
        <f>I4445-G4445^2/k_n</f>
        <v/>
      </c>
      <c r="Q4445">
        <f>J4445-H4445^2/k_n</f>
        <v/>
      </c>
      <c r="R4445">
        <f>K4445-G4445*H4445/k_n</f>
        <v/>
      </c>
      <c r="S4445">
        <f>L4445-LTP3!$D$3*G4445/k_n</f>
        <v/>
      </c>
      <c r="T4445">
        <f>M4445-LTP3!$D$3*H4445/k_n</f>
        <v/>
      </c>
      <c r="U4445">
        <f>N4445-G4445*LTP3!$D$4/k_n</f>
        <v/>
      </c>
      <c r="V4445">
        <f>O4445-H4445*LTP3!$D$4/k_n</f>
        <v/>
      </c>
      <c r="W4445">
        <f>((LTP3!$D$5)*((P4445)*(Q4445)-(R4445)*(R4445))-(S4445)*((S4445)*(Q4445)-(R4445)*(T4445))+(T4445)*((S4445)*(R4445)-(P4445)*(T4445)))</f>
        <v/>
      </c>
      <c r="X4445">
        <f>IF(ABS(W4445)&gt;1E-12,((LTP3!$D$6)*((P4445)*(Q4445)-(R4445)*(R4445))-(S4445)*((U4445)*(Q4445)-(R4445)*(V4445))+(T4445)*((U4445)*(R4445)-(P4445)*(V4445)))/W4445,0)</f>
        <v/>
      </c>
      <c r="Y4445">
        <f>IF(ABS(W4445)&gt;1E-12,((LTP3!$D$5)*((U4445)*(Q4445)-(R4445)*(V4445))-(LTP3!$D$6)*((S4445)*(Q4445)-(R4445)*(T4445))+(T4445)*((S4445)*(V4445)-(U4445)*(T4445)))/W4445,0)</f>
        <v/>
      </c>
      <c r="Z4445">
        <f>IF(ABS(W4445)&gt;1E-12,((LTP3!$D$5)*((P4445)*(V4445)-(U4445)*(R4445))-(S4445)*((S4445)*(V4445)-(U4445)*(T4445))+(LTP3!$D$6)*((S4445)*(R4445)-(P4445)*(T4445)))/W4445,0)</f>
        <v/>
      </c>
      <c r="AA4445">
        <f>LTP3!$D$7-X4445*LTP3!$D$6-Y4445*U4445-Z4445*V4445</f>
        <v/>
      </c>
      <c r="AB4445">
        <f>IF(AND(F4445,ABS(W4445)&gt;1E-12,Y4445&gt;0,Z4445&gt;0),AA4445,1E+300)</f>
        <v/>
      </c>
    </row>
    <row r="4446">
      <c r="A4446">
        <f>$I$4-$B$5/10+$B$5*12/100</f>
        <v/>
      </c>
      <c r="B4446">
        <f>$J$4-$B$5/10+$B$5*14/100</f>
        <v/>
      </c>
      <c r="C4446">
        <f>SUMPRODUCT(Calc!$K$3:$K$22*(Calc!$G$3:$G$22&lt;=A4446))</f>
        <v/>
      </c>
      <c r="D4446">
        <f>SUMPRODUCT(Calc!$K$3:$K$22*(Calc!$G$3:$G$22&gt;A4446)*(Calc!$G$3:$G$22&lt;B4446))</f>
        <v/>
      </c>
      <c r="E4446">
        <f>SUMPRODUCT(Calc!$K$3:$K$22*(Calc!$G$3:$G$22&gt;=B4446))</f>
        <v/>
      </c>
      <c r="F4446">
        <f>AND(k_n&gt;=5,B4446&gt;A4446+1E-9,C4446&gt;=2,D4446&gt;=1,E4446&gt;=2)</f>
        <v/>
      </c>
      <c r="G4446">
        <f>SUMPRODUCT(Calc!$K$3:$K$22*(Calc!$G$3:$G$22&gt;A4446)*(Calc!$G$3:$G$22-A4446))</f>
        <v/>
      </c>
      <c r="H4446">
        <f>SUMPRODUCT(Calc!$K$3:$K$22*(Calc!$G$3:$G$22&gt;B4446)*(Calc!$G$3:$G$22-B4446))</f>
        <v/>
      </c>
      <c r="I4446">
        <f>SUMPRODUCT(Calc!$K$3:$K$22*(Calc!$G$3:$G$22&gt;A4446)*(Calc!$G$3:$G$22-A4446)^2)</f>
        <v/>
      </c>
      <c r="J4446">
        <f>SUMPRODUCT(Calc!$K$3:$K$22*(Calc!$G$3:$G$22&gt;B4446)*(Calc!$G$3:$G$22-B4446)^2)</f>
        <v/>
      </c>
      <c r="K4446">
        <f>SUMPRODUCT(Calc!$K$3:$K$22*(Calc!$G$3:$G$22&gt;A4446)*(Calc!$G$3:$G$22-A4446)*(Calc!$G$3:$G$22&gt;B4446)*(Calc!$G$3:$G$22-B4446))</f>
        <v/>
      </c>
      <c r="L4446">
        <f>SUMPRODUCT(Calc!$K$3:$K$22*(Calc!$G$3:$G$22&gt;A4446)*(Calc!$G$3:$G$22-A4446)*Calc!$G$3:$G$22)</f>
        <v/>
      </c>
      <c r="M4446">
        <f>SUMPRODUCT(Calc!$K$3:$K$22*(Calc!$G$3:$G$22&gt;B4446)*(Calc!$G$3:$G$22-B4446)*Calc!$G$3:$G$22)</f>
        <v/>
      </c>
      <c r="N4446">
        <f>SUMPRODUCT(Calc!$K$3:$K$22*(Calc!$G$3:$G$22&gt;A4446)*(Calc!$G$3:$G$22-A4446)*Calc!$I$3:$I$22)</f>
        <v/>
      </c>
      <c r="O4446">
        <f>SUMPRODUCT(Calc!$K$3:$K$22*(Calc!$G$3:$G$22&gt;B4446)*(Calc!$G$3:$G$22-B4446)*Calc!$I$3:$I$22)</f>
        <v/>
      </c>
      <c r="P4446">
        <f>I4446-G4446^2/k_n</f>
        <v/>
      </c>
      <c r="Q4446">
        <f>J4446-H4446^2/k_n</f>
        <v/>
      </c>
      <c r="R4446">
        <f>K4446-G4446*H4446/k_n</f>
        <v/>
      </c>
      <c r="S4446">
        <f>L4446-LTP3!$D$3*G4446/k_n</f>
        <v/>
      </c>
      <c r="T4446">
        <f>M4446-LTP3!$D$3*H4446/k_n</f>
        <v/>
      </c>
      <c r="U4446">
        <f>N4446-G4446*LTP3!$D$4/k_n</f>
        <v/>
      </c>
      <c r="V4446">
        <f>O4446-H4446*LTP3!$D$4/k_n</f>
        <v/>
      </c>
      <c r="W4446">
        <f>((LTP3!$D$5)*((P4446)*(Q4446)-(R4446)*(R4446))-(S4446)*((S4446)*(Q4446)-(R4446)*(T4446))+(T4446)*((S4446)*(R4446)-(P4446)*(T4446)))</f>
        <v/>
      </c>
      <c r="X4446">
        <f>IF(ABS(W4446)&gt;1E-12,((LTP3!$D$6)*((P4446)*(Q4446)-(R4446)*(R4446))-(S4446)*((U4446)*(Q4446)-(R4446)*(V4446))+(T4446)*((U4446)*(R4446)-(P4446)*(V4446)))/W4446,0)</f>
        <v/>
      </c>
      <c r="Y4446">
        <f>IF(ABS(W4446)&gt;1E-12,((LTP3!$D$5)*((U4446)*(Q4446)-(R4446)*(V4446))-(LTP3!$D$6)*((S4446)*(Q4446)-(R4446)*(T4446))+(T4446)*((S4446)*(V4446)-(U4446)*(T4446)))/W4446,0)</f>
        <v/>
      </c>
      <c r="Z4446">
        <f>IF(ABS(W4446)&gt;1E-12,((LTP3!$D$5)*((P4446)*(V4446)-(U4446)*(R4446))-(S4446)*((S4446)*(V4446)-(U4446)*(T4446))+(LTP3!$D$6)*((S4446)*(R4446)-(P4446)*(T4446)))/W4446,0)</f>
        <v/>
      </c>
      <c r="AA4446">
        <f>LTP3!$D$7-X4446*LTP3!$D$6-Y4446*U4446-Z4446*V4446</f>
        <v/>
      </c>
      <c r="AB4446">
        <f>IF(AND(F4446,ABS(W4446)&gt;1E-12,Y4446&gt;0,Z4446&gt;0),AA4446,1E+300)</f>
        <v/>
      </c>
    </row>
    <row r="4447">
      <c r="A4447">
        <f>$I$4-$B$5/10+$B$5*12/100</f>
        <v/>
      </c>
      <c r="B4447">
        <f>$J$4-$B$5/10+$B$5*15/100</f>
        <v/>
      </c>
      <c r="C4447">
        <f>SUMPRODUCT(Calc!$K$3:$K$22*(Calc!$G$3:$G$22&lt;=A4447))</f>
        <v/>
      </c>
      <c r="D4447">
        <f>SUMPRODUCT(Calc!$K$3:$K$22*(Calc!$G$3:$G$22&gt;A4447)*(Calc!$G$3:$G$22&lt;B4447))</f>
        <v/>
      </c>
      <c r="E4447">
        <f>SUMPRODUCT(Calc!$K$3:$K$22*(Calc!$G$3:$G$22&gt;=B4447))</f>
        <v/>
      </c>
      <c r="F4447">
        <f>AND(k_n&gt;=5,B4447&gt;A4447+1E-9,C4447&gt;=2,D4447&gt;=1,E4447&gt;=2)</f>
        <v/>
      </c>
      <c r="G4447">
        <f>SUMPRODUCT(Calc!$K$3:$K$22*(Calc!$G$3:$G$22&gt;A4447)*(Calc!$G$3:$G$22-A4447))</f>
        <v/>
      </c>
      <c r="H4447">
        <f>SUMPRODUCT(Calc!$K$3:$K$22*(Calc!$G$3:$G$22&gt;B4447)*(Calc!$G$3:$G$22-B4447))</f>
        <v/>
      </c>
      <c r="I4447">
        <f>SUMPRODUCT(Calc!$K$3:$K$22*(Calc!$G$3:$G$22&gt;A4447)*(Calc!$G$3:$G$22-A4447)^2)</f>
        <v/>
      </c>
      <c r="J4447">
        <f>SUMPRODUCT(Calc!$K$3:$K$22*(Calc!$G$3:$G$22&gt;B4447)*(Calc!$G$3:$G$22-B4447)^2)</f>
        <v/>
      </c>
      <c r="K4447">
        <f>SUMPRODUCT(Calc!$K$3:$K$22*(Calc!$G$3:$G$22&gt;A4447)*(Calc!$G$3:$G$22-A4447)*(Calc!$G$3:$G$22&gt;B4447)*(Calc!$G$3:$G$22-B4447))</f>
        <v/>
      </c>
      <c r="L4447">
        <f>SUMPRODUCT(Calc!$K$3:$K$22*(Calc!$G$3:$G$22&gt;A4447)*(Calc!$G$3:$G$22-A4447)*Calc!$G$3:$G$22)</f>
        <v/>
      </c>
      <c r="M4447">
        <f>SUMPRODUCT(Calc!$K$3:$K$22*(Calc!$G$3:$G$22&gt;B4447)*(Calc!$G$3:$G$22-B4447)*Calc!$G$3:$G$22)</f>
        <v/>
      </c>
      <c r="N4447">
        <f>SUMPRODUCT(Calc!$K$3:$K$22*(Calc!$G$3:$G$22&gt;A4447)*(Calc!$G$3:$G$22-A4447)*Calc!$I$3:$I$22)</f>
        <v/>
      </c>
      <c r="O4447">
        <f>SUMPRODUCT(Calc!$K$3:$K$22*(Calc!$G$3:$G$22&gt;B4447)*(Calc!$G$3:$G$22-B4447)*Calc!$I$3:$I$22)</f>
        <v/>
      </c>
      <c r="P4447">
        <f>I4447-G4447^2/k_n</f>
        <v/>
      </c>
      <c r="Q4447">
        <f>J4447-H4447^2/k_n</f>
        <v/>
      </c>
      <c r="R4447">
        <f>K4447-G4447*H4447/k_n</f>
        <v/>
      </c>
      <c r="S4447">
        <f>L4447-LTP3!$D$3*G4447/k_n</f>
        <v/>
      </c>
      <c r="T4447">
        <f>M4447-LTP3!$D$3*H4447/k_n</f>
        <v/>
      </c>
      <c r="U4447">
        <f>N4447-G4447*LTP3!$D$4/k_n</f>
        <v/>
      </c>
      <c r="V4447">
        <f>O4447-H4447*LTP3!$D$4/k_n</f>
        <v/>
      </c>
      <c r="W4447">
        <f>((LTP3!$D$5)*((P4447)*(Q4447)-(R4447)*(R4447))-(S4447)*((S4447)*(Q4447)-(R4447)*(T4447))+(T4447)*((S4447)*(R4447)-(P4447)*(T4447)))</f>
        <v/>
      </c>
      <c r="X4447">
        <f>IF(ABS(W4447)&gt;1E-12,((LTP3!$D$6)*((P4447)*(Q4447)-(R4447)*(R4447))-(S4447)*((U4447)*(Q4447)-(R4447)*(V4447))+(T4447)*((U4447)*(R4447)-(P4447)*(V4447)))/W4447,0)</f>
        <v/>
      </c>
      <c r="Y4447">
        <f>IF(ABS(W4447)&gt;1E-12,((LTP3!$D$5)*((U4447)*(Q4447)-(R4447)*(V4447))-(LTP3!$D$6)*((S4447)*(Q4447)-(R4447)*(T4447))+(T4447)*((S4447)*(V4447)-(U4447)*(T4447)))/W4447,0)</f>
        <v/>
      </c>
      <c r="Z4447">
        <f>IF(ABS(W4447)&gt;1E-12,((LTP3!$D$5)*((P4447)*(V4447)-(U4447)*(R4447))-(S4447)*((S4447)*(V4447)-(U4447)*(T4447))+(LTP3!$D$6)*((S4447)*(R4447)-(P4447)*(T4447)))/W4447,0)</f>
        <v/>
      </c>
      <c r="AA4447">
        <f>LTP3!$D$7-X4447*LTP3!$D$6-Y4447*U4447-Z4447*V4447</f>
        <v/>
      </c>
      <c r="AB4447">
        <f>IF(AND(F4447,ABS(W4447)&gt;1E-12,Y4447&gt;0,Z4447&gt;0),AA4447,1E+300)</f>
        <v/>
      </c>
    </row>
    <row r="4448">
      <c r="A4448">
        <f>$I$4-$B$5/10+$B$5*12/100</f>
        <v/>
      </c>
      <c r="B4448">
        <f>$J$4-$B$5/10+$B$5*16/100</f>
        <v/>
      </c>
      <c r="C4448">
        <f>SUMPRODUCT(Calc!$K$3:$K$22*(Calc!$G$3:$G$22&lt;=A4448))</f>
        <v/>
      </c>
      <c r="D4448">
        <f>SUMPRODUCT(Calc!$K$3:$K$22*(Calc!$G$3:$G$22&gt;A4448)*(Calc!$G$3:$G$22&lt;B4448))</f>
        <v/>
      </c>
      <c r="E4448">
        <f>SUMPRODUCT(Calc!$K$3:$K$22*(Calc!$G$3:$G$22&gt;=B4448))</f>
        <v/>
      </c>
      <c r="F4448">
        <f>AND(k_n&gt;=5,B4448&gt;A4448+1E-9,C4448&gt;=2,D4448&gt;=1,E4448&gt;=2)</f>
        <v/>
      </c>
      <c r="G4448">
        <f>SUMPRODUCT(Calc!$K$3:$K$22*(Calc!$G$3:$G$22&gt;A4448)*(Calc!$G$3:$G$22-A4448))</f>
        <v/>
      </c>
      <c r="H4448">
        <f>SUMPRODUCT(Calc!$K$3:$K$22*(Calc!$G$3:$G$22&gt;B4448)*(Calc!$G$3:$G$22-B4448))</f>
        <v/>
      </c>
      <c r="I4448">
        <f>SUMPRODUCT(Calc!$K$3:$K$22*(Calc!$G$3:$G$22&gt;A4448)*(Calc!$G$3:$G$22-A4448)^2)</f>
        <v/>
      </c>
      <c r="J4448">
        <f>SUMPRODUCT(Calc!$K$3:$K$22*(Calc!$G$3:$G$22&gt;B4448)*(Calc!$G$3:$G$22-B4448)^2)</f>
        <v/>
      </c>
      <c r="K4448">
        <f>SUMPRODUCT(Calc!$K$3:$K$22*(Calc!$G$3:$G$22&gt;A4448)*(Calc!$G$3:$G$22-A4448)*(Calc!$G$3:$G$22&gt;B4448)*(Calc!$G$3:$G$22-B4448))</f>
        <v/>
      </c>
      <c r="L4448">
        <f>SUMPRODUCT(Calc!$K$3:$K$22*(Calc!$G$3:$G$22&gt;A4448)*(Calc!$G$3:$G$22-A4448)*Calc!$G$3:$G$22)</f>
        <v/>
      </c>
      <c r="M4448">
        <f>SUMPRODUCT(Calc!$K$3:$K$22*(Calc!$G$3:$G$22&gt;B4448)*(Calc!$G$3:$G$22-B4448)*Calc!$G$3:$G$22)</f>
        <v/>
      </c>
      <c r="N4448">
        <f>SUMPRODUCT(Calc!$K$3:$K$22*(Calc!$G$3:$G$22&gt;A4448)*(Calc!$G$3:$G$22-A4448)*Calc!$I$3:$I$22)</f>
        <v/>
      </c>
      <c r="O4448">
        <f>SUMPRODUCT(Calc!$K$3:$K$22*(Calc!$G$3:$G$22&gt;B4448)*(Calc!$G$3:$G$22-B4448)*Calc!$I$3:$I$22)</f>
        <v/>
      </c>
      <c r="P4448">
        <f>I4448-G4448^2/k_n</f>
        <v/>
      </c>
      <c r="Q4448">
        <f>J4448-H4448^2/k_n</f>
        <v/>
      </c>
      <c r="R4448">
        <f>K4448-G4448*H4448/k_n</f>
        <v/>
      </c>
      <c r="S4448">
        <f>L4448-LTP3!$D$3*G4448/k_n</f>
        <v/>
      </c>
      <c r="T4448">
        <f>M4448-LTP3!$D$3*H4448/k_n</f>
        <v/>
      </c>
      <c r="U4448">
        <f>N4448-G4448*LTP3!$D$4/k_n</f>
        <v/>
      </c>
      <c r="V4448">
        <f>O4448-H4448*LTP3!$D$4/k_n</f>
        <v/>
      </c>
      <c r="W4448">
        <f>((LTP3!$D$5)*((P4448)*(Q4448)-(R4448)*(R4448))-(S4448)*((S4448)*(Q4448)-(R4448)*(T4448))+(T4448)*((S4448)*(R4448)-(P4448)*(T4448)))</f>
        <v/>
      </c>
      <c r="X4448">
        <f>IF(ABS(W4448)&gt;1E-12,((LTP3!$D$6)*((P4448)*(Q4448)-(R4448)*(R4448))-(S4448)*((U4448)*(Q4448)-(R4448)*(V4448))+(T4448)*((U4448)*(R4448)-(P4448)*(V4448)))/W4448,0)</f>
        <v/>
      </c>
      <c r="Y4448">
        <f>IF(ABS(W4448)&gt;1E-12,((LTP3!$D$5)*((U4448)*(Q4448)-(R4448)*(V4448))-(LTP3!$D$6)*((S4448)*(Q4448)-(R4448)*(T4448))+(T4448)*((S4448)*(V4448)-(U4448)*(T4448)))/W4448,0)</f>
        <v/>
      </c>
      <c r="Z4448">
        <f>IF(ABS(W4448)&gt;1E-12,((LTP3!$D$5)*((P4448)*(V4448)-(U4448)*(R4448))-(S4448)*((S4448)*(V4448)-(U4448)*(T4448))+(LTP3!$D$6)*((S4448)*(R4448)-(P4448)*(T4448)))/W4448,0)</f>
        <v/>
      </c>
      <c r="AA4448">
        <f>LTP3!$D$7-X4448*LTP3!$D$6-Y4448*U4448-Z4448*V4448</f>
        <v/>
      </c>
      <c r="AB4448">
        <f>IF(AND(F4448,ABS(W4448)&gt;1E-12,Y4448&gt;0,Z4448&gt;0),AA4448,1E+300)</f>
        <v/>
      </c>
    </row>
    <row r="4449">
      <c r="A4449">
        <f>$I$4-$B$5/10+$B$5*12/100</f>
        <v/>
      </c>
      <c r="B4449">
        <f>$J$4-$B$5/10+$B$5*17/100</f>
        <v/>
      </c>
      <c r="C4449">
        <f>SUMPRODUCT(Calc!$K$3:$K$22*(Calc!$G$3:$G$22&lt;=A4449))</f>
        <v/>
      </c>
      <c r="D4449">
        <f>SUMPRODUCT(Calc!$K$3:$K$22*(Calc!$G$3:$G$22&gt;A4449)*(Calc!$G$3:$G$22&lt;B4449))</f>
        <v/>
      </c>
      <c r="E4449">
        <f>SUMPRODUCT(Calc!$K$3:$K$22*(Calc!$G$3:$G$22&gt;=B4449))</f>
        <v/>
      </c>
      <c r="F4449">
        <f>AND(k_n&gt;=5,B4449&gt;A4449+1E-9,C4449&gt;=2,D4449&gt;=1,E4449&gt;=2)</f>
        <v/>
      </c>
      <c r="G4449">
        <f>SUMPRODUCT(Calc!$K$3:$K$22*(Calc!$G$3:$G$22&gt;A4449)*(Calc!$G$3:$G$22-A4449))</f>
        <v/>
      </c>
      <c r="H4449">
        <f>SUMPRODUCT(Calc!$K$3:$K$22*(Calc!$G$3:$G$22&gt;B4449)*(Calc!$G$3:$G$22-B4449))</f>
        <v/>
      </c>
      <c r="I4449">
        <f>SUMPRODUCT(Calc!$K$3:$K$22*(Calc!$G$3:$G$22&gt;A4449)*(Calc!$G$3:$G$22-A4449)^2)</f>
        <v/>
      </c>
      <c r="J4449">
        <f>SUMPRODUCT(Calc!$K$3:$K$22*(Calc!$G$3:$G$22&gt;B4449)*(Calc!$G$3:$G$22-B4449)^2)</f>
        <v/>
      </c>
      <c r="K4449">
        <f>SUMPRODUCT(Calc!$K$3:$K$22*(Calc!$G$3:$G$22&gt;A4449)*(Calc!$G$3:$G$22-A4449)*(Calc!$G$3:$G$22&gt;B4449)*(Calc!$G$3:$G$22-B4449))</f>
        <v/>
      </c>
      <c r="L4449">
        <f>SUMPRODUCT(Calc!$K$3:$K$22*(Calc!$G$3:$G$22&gt;A4449)*(Calc!$G$3:$G$22-A4449)*Calc!$G$3:$G$22)</f>
        <v/>
      </c>
      <c r="M4449">
        <f>SUMPRODUCT(Calc!$K$3:$K$22*(Calc!$G$3:$G$22&gt;B4449)*(Calc!$G$3:$G$22-B4449)*Calc!$G$3:$G$22)</f>
        <v/>
      </c>
      <c r="N4449">
        <f>SUMPRODUCT(Calc!$K$3:$K$22*(Calc!$G$3:$G$22&gt;A4449)*(Calc!$G$3:$G$22-A4449)*Calc!$I$3:$I$22)</f>
        <v/>
      </c>
      <c r="O4449">
        <f>SUMPRODUCT(Calc!$K$3:$K$22*(Calc!$G$3:$G$22&gt;B4449)*(Calc!$G$3:$G$22-B4449)*Calc!$I$3:$I$22)</f>
        <v/>
      </c>
      <c r="P4449">
        <f>I4449-G4449^2/k_n</f>
        <v/>
      </c>
      <c r="Q4449">
        <f>J4449-H4449^2/k_n</f>
        <v/>
      </c>
      <c r="R4449">
        <f>K4449-G4449*H4449/k_n</f>
        <v/>
      </c>
      <c r="S4449">
        <f>L4449-LTP3!$D$3*G4449/k_n</f>
        <v/>
      </c>
      <c r="T4449">
        <f>M4449-LTP3!$D$3*H4449/k_n</f>
        <v/>
      </c>
      <c r="U4449">
        <f>N4449-G4449*LTP3!$D$4/k_n</f>
        <v/>
      </c>
      <c r="V4449">
        <f>O4449-H4449*LTP3!$D$4/k_n</f>
        <v/>
      </c>
      <c r="W4449">
        <f>((LTP3!$D$5)*((P4449)*(Q4449)-(R4449)*(R4449))-(S4449)*((S4449)*(Q4449)-(R4449)*(T4449))+(T4449)*((S4449)*(R4449)-(P4449)*(T4449)))</f>
        <v/>
      </c>
      <c r="X4449">
        <f>IF(ABS(W4449)&gt;1E-12,((LTP3!$D$6)*((P4449)*(Q4449)-(R4449)*(R4449))-(S4449)*((U4449)*(Q4449)-(R4449)*(V4449))+(T4449)*((U4449)*(R4449)-(P4449)*(V4449)))/W4449,0)</f>
        <v/>
      </c>
      <c r="Y4449">
        <f>IF(ABS(W4449)&gt;1E-12,((LTP3!$D$5)*((U4449)*(Q4449)-(R4449)*(V4449))-(LTP3!$D$6)*((S4449)*(Q4449)-(R4449)*(T4449))+(T4449)*((S4449)*(V4449)-(U4449)*(T4449)))/W4449,0)</f>
        <v/>
      </c>
      <c r="Z4449">
        <f>IF(ABS(W4449)&gt;1E-12,((LTP3!$D$5)*((P4449)*(V4449)-(U4449)*(R4449))-(S4449)*((S4449)*(V4449)-(U4449)*(T4449))+(LTP3!$D$6)*((S4449)*(R4449)-(P4449)*(T4449)))/W4449,0)</f>
        <v/>
      </c>
      <c r="AA4449">
        <f>LTP3!$D$7-X4449*LTP3!$D$6-Y4449*U4449-Z4449*V4449</f>
        <v/>
      </c>
      <c r="AB4449">
        <f>IF(AND(F4449,ABS(W4449)&gt;1E-12,Y4449&gt;0,Z4449&gt;0),AA4449,1E+300)</f>
        <v/>
      </c>
    </row>
    <row r="4450">
      <c r="A4450">
        <f>$I$4-$B$5/10+$B$5*12/100</f>
        <v/>
      </c>
      <c r="B4450">
        <f>$J$4-$B$5/10+$B$5*18/100</f>
        <v/>
      </c>
      <c r="C4450">
        <f>SUMPRODUCT(Calc!$K$3:$K$22*(Calc!$G$3:$G$22&lt;=A4450))</f>
        <v/>
      </c>
      <c r="D4450">
        <f>SUMPRODUCT(Calc!$K$3:$K$22*(Calc!$G$3:$G$22&gt;A4450)*(Calc!$G$3:$G$22&lt;B4450))</f>
        <v/>
      </c>
      <c r="E4450">
        <f>SUMPRODUCT(Calc!$K$3:$K$22*(Calc!$G$3:$G$22&gt;=B4450))</f>
        <v/>
      </c>
      <c r="F4450">
        <f>AND(k_n&gt;=5,B4450&gt;A4450+1E-9,C4450&gt;=2,D4450&gt;=1,E4450&gt;=2)</f>
        <v/>
      </c>
      <c r="G4450">
        <f>SUMPRODUCT(Calc!$K$3:$K$22*(Calc!$G$3:$G$22&gt;A4450)*(Calc!$G$3:$G$22-A4450))</f>
        <v/>
      </c>
      <c r="H4450">
        <f>SUMPRODUCT(Calc!$K$3:$K$22*(Calc!$G$3:$G$22&gt;B4450)*(Calc!$G$3:$G$22-B4450))</f>
        <v/>
      </c>
      <c r="I4450">
        <f>SUMPRODUCT(Calc!$K$3:$K$22*(Calc!$G$3:$G$22&gt;A4450)*(Calc!$G$3:$G$22-A4450)^2)</f>
        <v/>
      </c>
      <c r="J4450">
        <f>SUMPRODUCT(Calc!$K$3:$K$22*(Calc!$G$3:$G$22&gt;B4450)*(Calc!$G$3:$G$22-B4450)^2)</f>
        <v/>
      </c>
      <c r="K4450">
        <f>SUMPRODUCT(Calc!$K$3:$K$22*(Calc!$G$3:$G$22&gt;A4450)*(Calc!$G$3:$G$22-A4450)*(Calc!$G$3:$G$22&gt;B4450)*(Calc!$G$3:$G$22-B4450))</f>
        <v/>
      </c>
      <c r="L4450">
        <f>SUMPRODUCT(Calc!$K$3:$K$22*(Calc!$G$3:$G$22&gt;A4450)*(Calc!$G$3:$G$22-A4450)*Calc!$G$3:$G$22)</f>
        <v/>
      </c>
      <c r="M4450">
        <f>SUMPRODUCT(Calc!$K$3:$K$22*(Calc!$G$3:$G$22&gt;B4450)*(Calc!$G$3:$G$22-B4450)*Calc!$G$3:$G$22)</f>
        <v/>
      </c>
      <c r="N4450">
        <f>SUMPRODUCT(Calc!$K$3:$K$22*(Calc!$G$3:$G$22&gt;A4450)*(Calc!$G$3:$G$22-A4450)*Calc!$I$3:$I$22)</f>
        <v/>
      </c>
      <c r="O4450">
        <f>SUMPRODUCT(Calc!$K$3:$K$22*(Calc!$G$3:$G$22&gt;B4450)*(Calc!$G$3:$G$22-B4450)*Calc!$I$3:$I$22)</f>
        <v/>
      </c>
      <c r="P4450">
        <f>I4450-G4450^2/k_n</f>
        <v/>
      </c>
      <c r="Q4450">
        <f>J4450-H4450^2/k_n</f>
        <v/>
      </c>
      <c r="R4450">
        <f>K4450-G4450*H4450/k_n</f>
        <v/>
      </c>
      <c r="S4450">
        <f>L4450-LTP3!$D$3*G4450/k_n</f>
        <v/>
      </c>
      <c r="T4450">
        <f>M4450-LTP3!$D$3*H4450/k_n</f>
        <v/>
      </c>
      <c r="U4450">
        <f>N4450-G4450*LTP3!$D$4/k_n</f>
        <v/>
      </c>
      <c r="V4450">
        <f>O4450-H4450*LTP3!$D$4/k_n</f>
        <v/>
      </c>
      <c r="W4450">
        <f>((LTP3!$D$5)*((P4450)*(Q4450)-(R4450)*(R4450))-(S4450)*((S4450)*(Q4450)-(R4450)*(T4450))+(T4450)*((S4450)*(R4450)-(P4450)*(T4450)))</f>
        <v/>
      </c>
      <c r="X4450">
        <f>IF(ABS(W4450)&gt;1E-12,((LTP3!$D$6)*((P4450)*(Q4450)-(R4450)*(R4450))-(S4450)*((U4450)*(Q4450)-(R4450)*(V4450))+(T4450)*((U4450)*(R4450)-(P4450)*(V4450)))/W4450,0)</f>
        <v/>
      </c>
      <c r="Y4450">
        <f>IF(ABS(W4450)&gt;1E-12,((LTP3!$D$5)*((U4450)*(Q4450)-(R4450)*(V4450))-(LTP3!$D$6)*((S4450)*(Q4450)-(R4450)*(T4450))+(T4450)*((S4450)*(V4450)-(U4450)*(T4450)))/W4450,0)</f>
        <v/>
      </c>
      <c r="Z4450">
        <f>IF(ABS(W4450)&gt;1E-12,((LTP3!$D$5)*((P4450)*(V4450)-(U4450)*(R4450))-(S4450)*((S4450)*(V4450)-(U4450)*(T4450))+(LTP3!$D$6)*((S4450)*(R4450)-(P4450)*(T4450)))/W4450,0)</f>
        <v/>
      </c>
      <c r="AA4450">
        <f>LTP3!$D$7-X4450*LTP3!$D$6-Y4450*U4450-Z4450*V4450</f>
        <v/>
      </c>
      <c r="AB4450">
        <f>IF(AND(F4450,ABS(W4450)&gt;1E-12,Y4450&gt;0,Z4450&gt;0),AA4450,1E+300)</f>
        <v/>
      </c>
    </row>
    <row r="4451">
      <c r="A4451">
        <f>$I$4-$B$5/10+$B$5*12/100</f>
        <v/>
      </c>
      <c r="B4451">
        <f>$J$4-$B$5/10+$B$5*19/100</f>
        <v/>
      </c>
      <c r="C4451">
        <f>SUMPRODUCT(Calc!$K$3:$K$22*(Calc!$G$3:$G$22&lt;=A4451))</f>
        <v/>
      </c>
      <c r="D4451">
        <f>SUMPRODUCT(Calc!$K$3:$K$22*(Calc!$G$3:$G$22&gt;A4451)*(Calc!$G$3:$G$22&lt;B4451))</f>
        <v/>
      </c>
      <c r="E4451">
        <f>SUMPRODUCT(Calc!$K$3:$K$22*(Calc!$G$3:$G$22&gt;=B4451))</f>
        <v/>
      </c>
      <c r="F4451">
        <f>AND(k_n&gt;=5,B4451&gt;A4451+1E-9,C4451&gt;=2,D4451&gt;=1,E4451&gt;=2)</f>
        <v/>
      </c>
      <c r="G4451">
        <f>SUMPRODUCT(Calc!$K$3:$K$22*(Calc!$G$3:$G$22&gt;A4451)*(Calc!$G$3:$G$22-A4451))</f>
        <v/>
      </c>
      <c r="H4451">
        <f>SUMPRODUCT(Calc!$K$3:$K$22*(Calc!$G$3:$G$22&gt;B4451)*(Calc!$G$3:$G$22-B4451))</f>
        <v/>
      </c>
      <c r="I4451">
        <f>SUMPRODUCT(Calc!$K$3:$K$22*(Calc!$G$3:$G$22&gt;A4451)*(Calc!$G$3:$G$22-A4451)^2)</f>
        <v/>
      </c>
      <c r="J4451">
        <f>SUMPRODUCT(Calc!$K$3:$K$22*(Calc!$G$3:$G$22&gt;B4451)*(Calc!$G$3:$G$22-B4451)^2)</f>
        <v/>
      </c>
      <c r="K4451">
        <f>SUMPRODUCT(Calc!$K$3:$K$22*(Calc!$G$3:$G$22&gt;A4451)*(Calc!$G$3:$G$22-A4451)*(Calc!$G$3:$G$22&gt;B4451)*(Calc!$G$3:$G$22-B4451))</f>
        <v/>
      </c>
      <c r="L4451">
        <f>SUMPRODUCT(Calc!$K$3:$K$22*(Calc!$G$3:$G$22&gt;A4451)*(Calc!$G$3:$G$22-A4451)*Calc!$G$3:$G$22)</f>
        <v/>
      </c>
      <c r="M4451">
        <f>SUMPRODUCT(Calc!$K$3:$K$22*(Calc!$G$3:$G$22&gt;B4451)*(Calc!$G$3:$G$22-B4451)*Calc!$G$3:$G$22)</f>
        <v/>
      </c>
      <c r="N4451">
        <f>SUMPRODUCT(Calc!$K$3:$K$22*(Calc!$G$3:$G$22&gt;A4451)*(Calc!$G$3:$G$22-A4451)*Calc!$I$3:$I$22)</f>
        <v/>
      </c>
      <c r="O4451">
        <f>SUMPRODUCT(Calc!$K$3:$K$22*(Calc!$G$3:$G$22&gt;B4451)*(Calc!$G$3:$G$22-B4451)*Calc!$I$3:$I$22)</f>
        <v/>
      </c>
      <c r="P4451">
        <f>I4451-G4451^2/k_n</f>
        <v/>
      </c>
      <c r="Q4451">
        <f>J4451-H4451^2/k_n</f>
        <v/>
      </c>
      <c r="R4451">
        <f>K4451-G4451*H4451/k_n</f>
        <v/>
      </c>
      <c r="S4451">
        <f>L4451-LTP3!$D$3*G4451/k_n</f>
        <v/>
      </c>
      <c r="T4451">
        <f>M4451-LTP3!$D$3*H4451/k_n</f>
        <v/>
      </c>
      <c r="U4451">
        <f>N4451-G4451*LTP3!$D$4/k_n</f>
        <v/>
      </c>
      <c r="V4451">
        <f>O4451-H4451*LTP3!$D$4/k_n</f>
        <v/>
      </c>
      <c r="W4451">
        <f>((LTP3!$D$5)*((P4451)*(Q4451)-(R4451)*(R4451))-(S4451)*((S4451)*(Q4451)-(R4451)*(T4451))+(T4451)*((S4451)*(R4451)-(P4451)*(T4451)))</f>
        <v/>
      </c>
      <c r="X4451">
        <f>IF(ABS(W4451)&gt;1E-12,((LTP3!$D$6)*((P4451)*(Q4451)-(R4451)*(R4451))-(S4451)*((U4451)*(Q4451)-(R4451)*(V4451))+(T4451)*((U4451)*(R4451)-(P4451)*(V4451)))/W4451,0)</f>
        <v/>
      </c>
      <c r="Y4451">
        <f>IF(ABS(W4451)&gt;1E-12,((LTP3!$D$5)*((U4451)*(Q4451)-(R4451)*(V4451))-(LTP3!$D$6)*((S4451)*(Q4451)-(R4451)*(T4451))+(T4451)*((S4451)*(V4451)-(U4451)*(T4451)))/W4451,0)</f>
        <v/>
      </c>
      <c r="Z4451">
        <f>IF(ABS(W4451)&gt;1E-12,((LTP3!$D$5)*((P4451)*(V4451)-(U4451)*(R4451))-(S4451)*((S4451)*(V4451)-(U4451)*(T4451))+(LTP3!$D$6)*((S4451)*(R4451)-(P4451)*(T4451)))/W4451,0)</f>
        <v/>
      </c>
      <c r="AA4451">
        <f>LTP3!$D$7-X4451*LTP3!$D$6-Y4451*U4451-Z4451*V4451</f>
        <v/>
      </c>
      <c r="AB4451">
        <f>IF(AND(F4451,ABS(W4451)&gt;1E-12,Y4451&gt;0,Z4451&gt;0),AA4451,1E+300)</f>
        <v/>
      </c>
    </row>
    <row r="4452">
      <c r="A4452">
        <f>$I$4-$B$5/10+$B$5*12/100</f>
        <v/>
      </c>
      <c r="B4452">
        <f>$J$4-$B$5/10+$B$5*20/100</f>
        <v/>
      </c>
      <c r="C4452">
        <f>SUMPRODUCT(Calc!$K$3:$K$22*(Calc!$G$3:$G$22&lt;=A4452))</f>
        <v/>
      </c>
      <c r="D4452">
        <f>SUMPRODUCT(Calc!$K$3:$K$22*(Calc!$G$3:$G$22&gt;A4452)*(Calc!$G$3:$G$22&lt;B4452))</f>
        <v/>
      </c>
      <c r="E4452">
        <f>SUMPRODUCT(Calc!$K$3:$K$22*(Calc!$G$3:$G$22&gt;=B4452))</f>
        <v/>
      </c>
      <c r="F4452">
        <f>AND(k_n&gt;=5,B4452&gt;A4452+1E-9,C4452&gt;=2,D4452&gt;=1,E4452&gt;=2)</f>
        <v/>
      </c>
      <c r="G4452">
        <f>SUMPRODUCT(Calc!$K$3:$K$22*(Calc!$G$3:$G$22&gt;A4452)*(Calc!$G$3:$G$22-A4452))</f>
        <v/>
      </c>
      <c r="H4452">
        <f>SUMPRODUCT(Calc!$K$3:$K$22*(Calc!$G$3:$G$22&gt;B4452)*(Calc!$G$3:$G$22-B4452))</f>
        <v/>
      </c>
      <c r="I4452">
        <f>SUMPRODUCT(Calc!$K$3:$K$22*(Calc!$G$3:$G$22&gt;A4452)*(Calc!$G$3:$G$22-A4452)^2)</f>
        <v/>
      </c>
      <c r="J4452">
        <f>SUMPRODUCT(Calc!$K$3:$K$22*(Calc!$G$3:$G$22&gt;B4452)*(Calc!$G$3:$G$22-B4452)^2)</f>
        <v/>
      </c>
      <c r="K4452">
        <f>SUMPRODUCT(Calc!$K$3:$K$22*(Calc!$G$3:$G$22&gt;A4452)*(Calc!$G$3:$G$22-A4452)*(Calc!$G$3:$G$22&gt;B4452)*(Calc!$G$3:$G$22-B4452))</f>
        <v/>
      </c>
      <c r="L4452">
        <f>SUMPRODUCT(Calc!$K$3:$K$22*(Calc!$G$3:$G$22&gt;A4452)*(Calc!$G$3:$G$22-A4452)*Calc!$G$3:$G$22)</f>
        <v/>
      </c>
      <c r="M4452">
        <f>SUMPRODUCT(Calc!$K$3:$K$22*(Calc!$G$3:$G$22&gt;B4452)*(Calc!$G$3:$G$22-B4452)*Calc!$G$3:$G$22)</f>
        <v/>
      </c>
      <c r="N4452">
        <f>SUMPRODUCT(Calc!$K$3:$K$22*(Calc!$G$3:$G$22&gt;A4452)*(Calc!$G$3:$G$22-A4452)*Calc!$I$3:$I$22)</f>
        <v/>
      </c>
      <c r="O4452">
        <f>SUMPRODUCT(Calc!$K$3:$K$22*(Calc!$G$3:$G$22&gt;B4452)*(Calc!$G$3:$G$22-B4452)*Calc!$I$3:$I$22)</f>
        <v/>
      </c>
      <c r="P4452">
        <f>I4452-G4452^2/k_n</f>
        <v/>
      </c>
      <c r="Q4452">
        <f>J4452-H4452^2/k_n</f>
        <v/>
      </c>
      <c r="R4452">
        <f>K4452-G4452*H4452/k_n</f>
        <v/>
      </c>
      <c r="S4452">
        <f>L4452-LTP3!$D$3*G4452/k_n</f>
        <v/>
      </c>
      <c r="T4452">
        <f>M4452-LTP3!$D$3*H4452/k_n</f>
        <v/>
      </c>
      <c r="U4452">
        <f>N4452-G4452*LTP3!$D$4/k_n</f>
        <v/>
      </c>
      <c r="V4452">
        <f>O4452-H4452*LTP3!$D$4/k_n</f>
        <v/>
      </c>
      <c r="W4452">
        <f>((LTP3!$D$5)*((P4452)*(Q4452)-(R4452)*(R4452))-(S4452)*((S4452)*(Q4452)-(R4452)*(T4452))+(T4452)*((S4452)*(R4452)-(P4452)*(T4452)))</f>
        <v/>
      </c>
      <c r="X4452">
        <f>IF(ABS(W4452)&gt;1E-12,((LTP3!$D$6)*((P4452)*(Q4452)-(R4452)*(R4452))-(S4452)*((U4452)*(Q4452)-(R4452)*(V4452))+(T4452)*((U4452)*(R4452)-(P4452)*(V4452)))/W4452,0)</f>
        <v/>
      </c>
      <c r="Y4452">
        <f>IF(ABS(W4452)&gt;1E-12,((LTP3!$D$5)*((U4452)*(Q4452)-(R4452)*(V4452))-(LTP3!$D$6)*((S4452)*(Q4452)-(R4452)*(T4452))+(T4452)*((S4452)*(V4452)-(U4452)*(T4452)))/W4452,0)</f>
        <v/>
      </c>
      <c r="Z4452">
        <f>IF(ABS(W4452)&gt;1E-12,((LTP3!$D$5)*((P4452)*(V4452)-(U4452)*(R4452))-(S4452)*((S4452)*(V4452)-(U4452)*(T4452))+(LTP3!$D$6)*((S4452)*(R4452)-(P4452)*(T4452)))/W4452,0)</f>
        <v/>
      </c>
      <c r="AA4452">
        <f>LTP3!$D$7-X4452*LTP3!$D$6-Y4452*U4452-Z4452*V4452</f>
        <v/>
      </c>
      <c r="AB4452">
        <f>IF(AND(F4452,ABS(W4452)&gt;1E-12,Y4452&gt;0,Z4452&gt;0),AA4452,1E+300)</f>
        <v/>
      </c>
    </row>
    <row r="4453">
      <c r="A4453">
        <f>$I$4-$B$5/10+$B$5*13/100</f>
        <v/>
      </c>
      <c r="B4453">
        <f>$J$4-$B$5/10+$B$5*0/100</f>
        <v/>
      </c>
      <c r="C4453">
        <f>SUMPRODUCT(Calc!$K$3:$K$22*(Calc!$G$3:$G$22&lt;=A4453))</f>
        <v/>
      </c>
      <c r="D4453">
        <f>SUMPRODUCT(Calc!$K$3:$K$22*(Calc!$G$3:$G$22&gt;A4453)*(Calc!$G$3:$G$22&lt;B4453))</f>
        <v/>
      </c>
      <c r="E4453">
        <f>SUMPRODUCT(Calc!$K$3:$K$22*(Calc!$G$3:$G$22&gt;=B4453))</f>
        <v/>
      </c>
      <c r="F4453">
        <f>AND(k_n&gt;=5,B4453&gt;A4453+1E-9,C4453&gt;=2,D4453&gt;=1,E4453&gt;=2)</f>
        <v/>
      </c>
      <c r="G4453">
        <f>SUMPRODUCT(Calc!$K$3:$K$22*(Calc!$G$3:$G$22&gt;A4453)*(Calc!$G$3:$G$22-A4453))</f>
        <v/>
      </c>
      <c r="H4453">
        <f>SUMPRODUCT(Calc!$K$3:$K$22*(Calc!$G$3:$G$22&gt;B4453)*(Calc!$G$3:$G$22-B4453))</f>
        <v/>
      </c>
      <c r="I4453">
        <f>SUMPRODUCT(Calc!$K$3:$K$22*(Calc!$G$3:$G$22&gt;A4453)*(Calc!$G$3:$G$22-A4453)^2)</f>
        <v/>
      </c>
      <c r="J4453">
        <f>SUMPRODUCT(Calc!$K$3:$K$22*(Calc!$G$3:$G$22&gt;B4453)*(Calc!$G$3:$G$22-B4453)^2)</f>
        <v/>
      </c>
      <c r="K4453">
        <f>SUMPRODUCT(Calc!$K$3:$K$22*(Calc!$G$3:$G$22&gt;A4453)*(Calc!$G$3:$G$22-A4453)*(Calc!$G$3:$G$22&gt;B4453)*(Calc!$G$3:$G$22-B4453))</f>
        <v/>
      </c>
      <c r="L4453">
        <f>SUMPRODUCT(Calc!$K$3:$K$22*(Calc!$G$3:$G$22&gt;A4453)*(Calc!$G$3:$G$22-A4453)*Calc!$G$3:$G$22)</f>
        <v/>
      </c>
      <c r="M4453">
        <f>SUMPRODUCT(Calc!$K$3:$K$22*(Calc!$G$3:$G$22&gt;B4453)*(Calc!$G$3:$G$22-B4453)*Calc!$G$3:$G$22)</f>
        <v/>
      </c>
      <c r="N4453">
        <f>SUMPRODUCT(Calc!$K$3:$K$22*(Calc!$G$3:$G$22&gt;A4453)*(Calc!$G$3:$G$22-A4453)*Calc!$I$3:$I$22)</f>
        <v/>
      </c>
      <c r="O4453">
        <f>SUMPRODUCT(Calc!$K$3:$K$22*(Calc!$G$3:$G$22&gt;B4453)*(Calc!$G$3:$G$22-B4453)*Calc!$I$3:$I$22)</f>
        <v/>
      </c>
      <c r="P4453">
        <f>I4453-G4453^2/k_n</f>
        <v/>
      </c>
      <c r="Q4453">
        <f>J4453-H4453^2/k_n</f>
        <v/>
      </c>
      <c r="R4453">
        <f>K4453-G4453*H4453/k_n</f>
        <v/>
      </c>
      <c r="S4453">
        <f>L4453-LTP3!$D$3*G4453/k_n</f>
        <v/>
      </c>
      <c r="T4453">
        <f>M4453-LTP3!$D$3*H4453/k_n</f>
        <v/>
      </c>
      <c r="U4453">
        <f>N4453-G4453*LTP3!$D$4/k_n</f>
        <v/>
      </c>
      <c r="V4453">
        <f>O4453-H4453*LTP3!$D$4/k_n</f>
        <v/>
      </c>
      <c r="W4453">
        <f>((LTP3!$D$5)*((P4453)*(Q4453)-(R4453)*(R4453))-(S4453)*((S4453)*(Q4453)-(R4453)*(T4453))+(T4453)*((S4453)*(R4453)-(P4453)*(T4453)))</f>
        <v/>
      </c>
      <c r="X4453">
        <f>IF(ABS(W4453)&gt;1E-12,((LTP3!$D$6)*((P4453)*(Q4453)-(R4453)*(R4453))-(S4453)*((U4453)*(Q4453)-(R4453)*(V4453))+(T4453)*((U4453)*(R4453)-(P4453)*(V4453)))/W4453,0)</f>
        <v/>
      </c>
      <c r="Y4453">
        <f>IF(ABS(W4453)&gt;1E-12,((LTP3!$D$5)*((U4453)*(Q4453)-(R4453)*(V4453))-(LTP3!$D$6)*((S4453)*(Q4453)-(R4453)*(T4453))+(T4453)*((S4453)*(V4453)-(U4453)*(T4453)))/W4453,0)</f>
        <v/>
      </c>
      <c r="Z4453">
        <f>IF(ABS(W4453)&gt;1E-12,((LTP3!$D$5)*((P4453)*(V4453)-(U4453)*(R4453))-(S4453)*((S4453)*(V4453)-(U4453)*(T4453))+(LTP3!$D$6)*((S4453)*(R4453)-(P4453)*(T4453)))/W4453,0)</f>
        <v/>
      </c>
      <c r="AA4453">
        <f>LTP3!$D$7-X4453*LTP3!$D$6-Y4453*U4453-Z4453*V4453</f>
        <v/>
      </c>
      <c r="AB4453">
        <f>IF(AND(F4453,ABS(W4453)&gt;1E-12,Y4453&gt;0,Z4453&gt;0),AA4453,1E+300)</f>
        <v/>
      </c>
    </row>
    <row r="4454">
      <c r="A4454">
        <f>$I$4-$B$5/10+$B$5*13/100</f>
        <v/>
      </c>
      <c r="B4454">
        <f>$J$4-$B$5/10+$B$5*1/100</f>
        <v/>
      </c>
      <c r="C4454">
        <f>SUMPRODUCT(Calc!$K$3:$K$22*(Calc!$G$3:$G$22&lt;=A4454))</f>
        <v/>
      </c>
      <c r="D4454">
        <f>SUMPRODUCT(Calc!$K$3:$K$22*(Calc!$G$3:$G$22&gt;A4454)*(Calc!$G$3:$G$22&lt;B4454))</f>
        <v/>
      </c>
      <c r="E4454">
        <f>SUMPRODUCT(Calc!$K$3:$K$22*(Calc!$G$3:$G$22&gt;=B4454))</f>
        <v/>
      </c>
      <c r="F4454">
        <f>AND(k_n&gt;=5,B4454&gt;A4454+1E-9,C4454&gt;=2,D4454&gt;=1,E4454&gt;=2)</f>
        <v/>
      </c>
      <c r="G4454">
        <f>SUMPRODUCT(Calc!$K$3:$K$22*(Calc!$G$3:$G$22&gt;A4454)*(Calc!$G$3:$G$22-A4454))</f>
        <v/>
      </c>
      <c r="H4454">
        <f>SUMPRODUCT(Calc!$K$3:$K$22*(Calc!$G$3:$G$22&gt;B4454)*(Calc!$G$3:$G$22-B4454))</f>
        <v/>
      </c>
      <c r="I4454">
        <f>SUMPRODUCT(Calc!$K$3:$K$22*(Calc!$G$3:$G$22&gt;A4454)*(Calc!$G$3:$G$22-A4454)^2)</f>
        <v/>
      </c>
      <c r="J4454">
        <f>SUMPRODUCT(Calc!$K$3:$K$22*(Calc!$G$3:$G$22&gt;B4454)*(Calc!$G$3:$G$22-B4454)^2)</f>
        <v/>
      </c>
      <c r="K4454">
        <f>SUMPRODUCT(Calc!$K$3:$K$22*(Calc!$G$3:$G$22&gt;A4454)*(Calc!$G$3:$G$22-A4454)*(Calc!$G$3:$G$22&gt;B4454)*(Calc!$G$3:$G$22-B4454))</f>
        <v/>
      </c>
      <c r="L4454">
        <f>SUMPRODUCT(Calc!$K$3:$K$22*(Calc!$G$3:$G$22&gt;A4454)*(Calc!$G$3:$G$22-A4454)*Calc!$G$3:$G$22)</f>
        <v/>
      </c>
      <c r="M4454">
        <f>SUMPRODUCT(Calc!$K$3:$K$22*(Calc!$G$3:$G$22&gt;B4454)*(Calc!$G$3:$G$22-B4454)*Calc!$G$3:$G$22)</f>
        <v/>
      </c>
      <c r="N4454">
        <f>SUMPRODUCT(Calc!$K$3:$K$22*(Calc!$G$3:$G$22&gt;A4454)*(Calc!$G$3:$G$22-A4454)*Calc!$I$3:$I$22)</f>
        <v/>
      </c>
      <c r="O4454">
        <f>SUMPRODUCT(Calc!$K$3:$K$22*(Calc!$G$3:$G$22&gt;B4454)*(Calc!$G$3:$G$22-B4454)*Calc!$I$3:$I$22)</f>
        <v/>
      </c>
      <c r="P4454">
        <f>I4454-G4454^2/k_n</f>
        <v/>
      </c>
      <c r="Q4454">
        <f>J4454-H4454^2/k_n</f>
        <v/>
      </c>
      <c r="R4454">
        <f>K4454-G4454*H4454/k_n</f>
        <v/>
      </c>
      <c r="S4454">
        <f>L4454-LTP3!$D$3*G4454/k_n</f>
        <v/>
      </c>
      <c r="T4454">
        <f>M4454-LTP3!$D$3*H4454/k_n</f>
        <v/>
      </c>
      <c r="U4454">
        <f>N4454-G4454*LTP3!$D$4/k_n</f>
        <v/>
      </c>
      <c r="V4454">
        <f>O4454-H4454*LTP3!$D$4/k_n</f>
        <v/>
      </c>
      <c r="W4454">
        <f>((LTP3!$D$5)*((P4454)*(Q4454)-(R4454)*(R4454))-(S4454)*((S4454)*(Q4454)-(R4454)*(T4454))+(T4454)*((S4454)*(R4454)-(P4454)*(T4454)))</f>
        <v/>
      </c>
      <c r="X4454">
        <f>IF(ABS(W4454)&gt;1E-12,((LTP3!$D$6)*((P4454)*(Q4454)-(R4454)*(R4454))-(S4454)*((U4454)*(Q4454)-(R4454)*(V4454))+(T4454)*((U4454)*(R4454)-(P4454)*(V4454)))/W4454,0)</f>
        <v/>
      </c>
      <c r="Y4454">
        <f>IF(ABS(W4454)&gt;1E-12,((LTP3!$D$5)*((U4454)*(Q4454)-(R4454)*(V4454))-(LTP3!$D$6)*((S4454)*(Q4454)-(R4454)*(T4454))+(T4454)*((S4454)*(V4454)-(U4454)*(T4454)))/W4454,0)</f>
        <v/>
      </c>
      <c r="Z4454">
        <f>IF(ABS(W4454)&gt;1E-12,((LTP3!$D$5)*((P4454)*(V4454)-(U4454)*(R4454))-(S4454)*((S4454)*(V4454)-(U4454)*(T4454))+(LTP3!$D$6)*((S4454)*(R4454)-(P4454)*(T4454)))/W4454,0)</f>
        <v/>
      </c>
      <c r="AA4454">
        <f>LTP3!$D$7-X4454*LTP3!$D$6-Y4454*U4454-Z4454*V4454</f>
        <v/>
      </c>
      <c r="AB4454">
        <f>IF(AND(F4454,ABS(W4454)&gt;1E-12,Y4454&gt;0,Z4454&gt;0),AA4454,1E+300)</f>
        <v/>
      </c>
    </row>
    <row r="4455">
      <c r="A4455">
        <f>$I$4-$B$5/10+$B$5*13/100</f>
        <v/>
      </c>
      <c r="B4455">
        <f>$J$4-$B$5/10+$B$5*2/100</f>
        <v/>
      </c>
      <c r="C4455">
        <f>SUMPRODUCT(Calc!$K$3:$K$22*(Calc!$G$3:$G$22&lt;=A4455))</f>
        <v/>
      </c>
      <c r="D4455">
        <f>SUMPRODUCT(Calc!$K$3:$K$22*(Calc!$G$3:$G$22&gt;A4455)*(Calc!$G$3:$G$22&lt;B4455))</f>
        <v/>
      </c>
      <c r="E4455">
        <f>SUMPRODUCT(Calc!$K$3:$K$22*(Calc!$G$3:$G$22&gt;=B4455))</f>
        <v/>
      </c>
      <c r="F4455">
        <f>AND(k_n&gt;=5,B4455&gt;A4455+1E-9,C4455&gt;=2,D4455&gt;=1,E4455&gt;=2)</f>
        <v/>
      </c>
      <c r="G4455">
        <f>SUMPRODUCT(Calc!$K$3:$K$22*(Calc!$G$3:$G$22&gt;A4455)*(Calc!$G$3:$G$22-A4455))</f>
        <v/>
      </c>
      <c r="H4455">
        <f>SUMPRODUCT(Calc!$K$3:$K$22*(Calc!$G$3:$G$22&gt;B4455)*(Calc!$G$3:$G$22-B4455))</f>
        <v/>
      </c>
      <c r="I4455">
        <f>SUMPRODUCT(Calc!$K$3:$K$22*(Calc!$G$3:$G$22&gt;A4455)*(Calc!$G$3:$G$22-A4455)^2)</f>
        <v/>
      </c>
      <c r="J4455">
        <f>SUMPRODUCT(Calc!$K$3:$K$22*(Calc!$G$3:$G$22&gt;B4455)*(Calc!$G$3:$G$22-B4455)^2)</f>
        <v/>
      </c>
      <c r="K4455">
        <f>SUMPRODUCT(Calc!$K$3:$K$22*(Calc!$G$3:$G$22&gt;A4455)*(Calc!$G$3:$G$22-A4455)*(Calc!$G$3:$G$22&gt;B4455)*(Calc!$G$3:$G$22-B4455))</f>
        <v/>
      </c>
      <c r="L4455">
        <f>SUMPRODUCT(Calc!$K$3:$K$22*(Calc!$G$3:$G$22&gt;A4455)*(Calc!$G$3:$G$22-A4455)*Calc!$G$3:$G$22)</f>
        <v/>
      </c>
      <c r="M4455">
        <f>SUMPRODUCT(Calc!$K$3:$K$22*(Calc!$G$3:$G$22&gt;B4455)*(Calc!$G$3:$G$22-B4455)*Calc!$G$3:$G$22)</f>
        <v/>
      </c>
      <c r="N4455">
        <f>SUMPRODUCT(Calc!$K$3:$K$22*(Calc!$G$3:$G$22&gt;A4455)*(Calc!$G$3:$G$22-A4455)*Calc!$I$3:$I$22)</f>
        <v/>
      </c>
      <c r="O4455">
        <f>SUMPRODUCT(Calc!$K$3:$K$22*(Calc!$G$3:$G$22&gt;B4455)*(Calc!$G$3:$G$22-B4455)*Calc!$I$3:$I$22)</f>
        <v/>
      </c>
      <c r="P4455">
        <f>I4455-G4455^2/k_n</f>
        <v/>
      </c>
      <c r="Q4455">
        <f>J4455-H4455^2/k_n</f>
        <v/>
      </c>
      <c r="R4455">
        <f>K4455-G4455*H4455/k_n</f>
        <v/>
      </c>
      <c r="S4455">
        <f>L4455-LTP3!$D$3*G4455/k_n</f>
        <v/>
      </c>
      <c r="T4455">
        <f>M4455-LTP3!$D$3*H4455/k_n</f>
        <v/>
      </c>
      <c r="U4455">
        <f>N4455-G4455*LTP3!$D$4/k_n</f>
        <v/>
      </c>
      <c r="V4455">
        <f>O4455-H4455*LTP3!$D$4/k_n</f>
        <v/>
      </c>
      <c r="W4455">
        <f>((LTP3!$D$5)*((P4455)*(Q4455)-(R4455)*(R4455))-(S4455)*((S4455)*(Q4455)-(R4455)*(T4455))+(T4455)*((S4455)*(R4455)-(P4455)*(T4455)))</f>
        <v/>
      </c>
      <c r="X4455">
        <f>IF(ABS(W4455)&gt;1E-12,((LTP3!$D$6)*((P4455)*(Q4455)-(R4455)*(R4455))-(S4455)*((U4455)*(Q4455)-(R4455)*(V4455))+(T4455)*((U4455)*(R4455)-(P4455)*(V4455)))/W4455,0)</f>
        <v/>
      </c>
      <c r="Y4455">
        <f>IF(ABS(W4455)&gt;1E-12,((LTP3!$D$5)*((U4455)*(Q4455)-(R4455)*(V4455))-(LTP3!$D$6)*((S4455)*(Q4455)-(R4455)*(T4455))+(T4455)*((S4455)*(V4455)-(U4455)*(T4455)))/W4455,0)</f>
        <v/>
      </c>
      <c r="Z4455">
        <f>IF(ABS(W4455)&gt;1E-12,((LTP3!$D$5)*((P4455)*(V4455)-(U4455)*(R4455))-(S4455)*((S4455)*(V4455)-(U4455)*(T4455))+(LTP3!$D$6)*((S4455)*(R4455)-(P4455)*(T4455)))/W4455,0)</f>
        <v/>
      </c>
      <c r="AA4455">
        <f>LTP3!$D$7-X4455*LTP3!$D$6-Y4455*U4455-Z4455*V4455</f>
        <v/>
      </c>
      <c r="AB4455">
        <f>IF(AND(F4455,ABS(W4455)&gt;1E-12,Y4455&gt;0,Z4455&gt;0),AA4455,1E+300)</f>
        <v/>
      </c>
    </row>
    <row r="4456">
      <c r="A4456">
        <f>$I$4-$B$5/10+$B$5*13/100</f>
        <v/>
      </c>
      <c r="B4456">
        <f>$J$4-$B$5/10+$B$5*3/100</f>
        <v/>
      </c>
      <c r="C4456">
        <f>SUMPRODUCT(Calc!$K$3:$K$22*(Calc!$G$3:$G$22&lt;=A4456))</f>
        <v/>
      </c>
      <c r="D4456">
        <f>SUMPRODUCT(Calc!$K$3:$K$22*(Calc!$G$3:$G$22&gt;A4456)*(Calc!$G$3:$G$22&lt;B4456))</f>
        <v/>
      </c>
      <c r="E4456">
        <f>SUMPRODUCT(Calc!$K$3:$K$22*(Calc!$G$3:$G$22&gt;=B4456))</f>
        <v/>
      </c>
      <c r="F4456">
        <f>AND(k_n&gt;=5,B4456&gt;A4456+1E-9,C4456&gt;=2,D4456&gt;=1,E4456&gt;=2)</f>
        <v/>
      </c>
      <c r="G4456">
        <f>SUMPRODUCT(Calc!$K$3:$K$22*(Calc!$G$3:$G$22&gt;A4456)*(Calc!$G$3:$G$22-A4456))</f>
        <v/>
      </c>
      <c r="H4456">
        <f>SUMPRODUCT(Calc!$K$3:$K$22*(Calc!$G$3:$G$22&gt;B4456)*(Calc!$G$3:$G$22-B4456))</f>
        <v/>
      </c>
      <c r="I4456">
        <f>SUMPRODUCT(Calc!$K$3:$K$22*(Calc!$G$3:$G$22&gt;A4456)*(Calc!$G$3:$G$22-A4456)^2)</f>
        <v/>
      </c>
      <c r="J4456">
        <f>SUMPRODUCT(Calc!$K$3:$K$22*(Calc!$G$3:$G$22&gt;B4456)*(Calc!$G$3:$G$22-B4456)^2)</f>
        <v/>
      </c>
      <c r="K4456">
        <f>SUMPRODUCT(Calc!$K$3:$K$22*(Calc!$G$3:$G$22&gt;A4456)*(Calc!$G$3:$G$22-A4456)*(Calc!$G$3:$G$22&gt;B4456)*(Calc!$G$3:$G$22-B4456))</f>
        <v/>
      </c>
      <c r="L4456">
        <f>SUMPRODUCT(Calc!$K$3:$K$22*(Calc!$G$3:$G$22&gt;A4456)*(Calc!$G$3:$G$22-A4456)*Calc!$G$3:$G$22)</f>
        <v/>
      </c>
      <c r="M4456">
        <f>SUMPRODUCT(Calc!$K$3:$K$22*(Calc!$G$3:$G$22&gt;B4456)*(Calc!$G$3:$G$22-B4456)*Calc!$G$3:$G$22)</f>
        <v/>
      </c>
      <c r="N4456">
        <f>SUMPRODUCT(Calc!$K$3:$K$22*(Calc!$G$3:$G$22&gt;A4456)*(Calc!$G$3:$G$22-A4456)*Calc!$I$3:$I$22)</f>
        <v/>
      </c>
      <c r="O4456">
        <f>SUMPRODUCT(Calc!$K$3:$K$22*(Calc!$G$3:$G$22&gt;B4456)*(Calc!$G$3:$G$22-B4456)*Calc!$I$3:$I$22)</f>
        <v/>
      </c>
      <c r="P4456">
        <f>I4456-G4456^2/k_n</f>
        <v/>
      </c>
      <c r="Q4456">
        <f>J4456-H4456^2/k_n</f>
        <v/>
      </c>
      <c r="R4456">
        <f>K4456-G4456*H4456/k_n</f>
        <v/>
      </c>
      <c r="S4456">
        <f>L4456-LTP3!$D$3*G4456/k_n</f>
        <v/>
      </c>
      <c r="T4456">
        <f>M4456-LTP3!$D$3*H4456/k_n</f>
        <v/>
      </c>
      <c r="U4456">
        <f>N4456-G4456*LTP3!$D$4/k_n</f>
        <v/>
      </c>
      <c r="V4456">
        <f>O4456-H4456*LTP3!$D$4/k_n</f>
        <v/>
      </c>
      <c r="W4456">
        <f>((LTP3!$D$5)*((P4456)*(Q4456)-(R4456)*(R4456))-(S4456)*((S4456)*(Q4456)-(R4456)*(T4456))+(T4456)*((S4456)*(R4456)-(P4456)*(T4456)))</f>
        <v/>
      </c>
      <c r="X4456">
        <f>IF(ABS(W4456)&gt;1E-12,((LTP3!$D$6)*((P4456)*(Q4456)-(R4456)*(R4456))-(S4456)*((U4456)*(Q4456)-(R4456)*(V4456))+(T4456)*((U4456)*(R4456)-(P4456)*(V4456)))/W4456,0)</f>
        <v/>
      </c>
      <c r="Y4456">
        <f>IF(ABS(W4456)&gt;1E-12,((LTP3!$D$5)*((U4456)*(Q4456)-(R4456)*(V4456))-(LTP3!$D$6)*((S4456)*(Q4456)-(R4456)*(T4456))+(T4456)*((S4456)*(V4456)-(U4456)*(T4456)))/W4456,0)</f>
        <v/>
      </c>
      <c r="Z4456">
        <f>IF(ABS(W4456)&gt;1E-12,((LTP3!$D$5)*((P4456)*(V4456)-(U4456)*(R4456))-(S4456)*((S4456)*(V4456)-(U4456)*(T4456))+(LTP3!$D$6)*((S4456)*(R4456)-(P4456)*(T4456)))/W4456,0)</f>
        <v/>
      </c>
      <c r="AA4456">
        <f>LTP3!$D$7-X4456*LTP3!$D$6-Y4456*U4456-Z4456*V4456</f>
        <v/>
      </c>
      <c r="AB4456">
        <f>IF(AND(F4456,ABS(W4456)&gt;1E-12,Y4456&gt;0,Z4456&gt;0),AA4456,1E+300)</f>
        <v/>
      </c>
    </row>
    <row r="4457">
      <c r="A4457">
        <f>$I$4-$B$5/10+$B$5*13/100</f>
        <v/>
      </c>
      <c r="B4457">
        <f>$J$4-$B$5/10+$B$5*4/100</f>
        <v/>
      </c>
      <c r="C4457">
        <f>SUMPRODUCT(Calc!$K$3:$K$22*(Calc!$G$3:$G$22&lt;=A4457))</f>
        <v/>
      </c>
      <c r="D4457">
        <f>SUMPRODUCT(Calc!$K$3:$K$22*(Calc!$G$3:$G$22&gt;A4457)*(Calc!$G$3:$G$22&lt;B4457))</f>
        <v/>
      </c>
      <c r="E4457">
        <f>SUMPRODUCT(Calc!$K$3:$K$22*(Calc!$G$3:$G$22&gt;=B4457))</f>
        <v/>
      </c>
      <c r="F4457">
        <f>AND(k_n&gt;=5,B4457&gt;A4457+1E-9,C4457&gt;=2,D4457&gt;=1,E4457&gt;=2)</f>
        <v/>
      </c>
      <c r="G4457">
        <f>SUMPRODUCT(Calc!$K$3:$K$22*(Calc!$G$3:$G$22&gt;A4457)*(Calc!$G$3:$G$22-A4457))</f>
        <v/>
      </c>
      <c r="H4457">
        <f>SUMPRODUCT(Calc!$K$3:$K$22*(Calc!$G$3:$G$22&gt;B4457)*(Calc!$G$3:$G$22-B4457))</f>
        <v/>
      </c>
      <c r="I4457">
        <f>SUMPRODUCT(Calc!$K$3:$K$22*(Calc!$G$3:$G$22&gt;A4457)*(Calc!$G$3:$G$22-A4457)^2)</f>
        <v/>
      </c>
      <c r="J4457">
        <f>SUMPRODUCT(Calc!$K$3:$K$22*(Calc!$G$3:$G$22&gt;B4457)*(Calc!$G$3:$G$22-B4457)^2)</f>
        <v/>
      </c>
      <c r="K4457">
        <f>SUMPRODUCT(Calc!$K$3:$K$22*(Calc!$G$3:$G$22&gt;A4457)*(Calc!$G$3:$G$22-A4457)*(Calc!$G$3:$G$22&gt;B4457)*(Calc!$G$3:$G$22-B4457))</f>
        <v/>
      </c>
      <c r="L4457">
        <f>SUMPRODUCT(Calc!$K$3:$K$22*(Calc!$G$3:$G$22&gt;A4457)*(Calc!$G$3:$G$22-A4457)*Calc!$G$3:$G$22)</f>
        <v/>
      </c>
      <c r="M4457">
        <f>SUMPRODUCT(Calc!$K$3:$K$22*(Calc!$G$3:$G$22&gt;B4457)*(Calc!$G$3:$G$22-B4457)*Calc!$G$3:$G$22)</f>
        <v/>
      </c>
      <c r="N4457">
        <f>SUMPRODUCT(Calc!$K$3:$K$22*(Calc!$G$3:$G$22&gt;A4457)*(Calc!$G$3:$G$22-A4457)*Calc!$I$3:$I$22)</f>
        <v/>
      </c>
      <c r="O4457">
        <f>SUMPRODUCT(Calc!$K$3:$K$22*(Calc!$G$3:$G$22&gt;B4457)*(Calc!$G$3:$G$22-B4457)*Calc!$I$3:$I$22)</f>
        <v/>
      </c>
      <c r="P4457">
        <f>I4457-G4457^2/k_n</f>
        <v/>
      </c>
      <c r="Q4457">
        <f>J4457-H4457^2/k_n</f>
        <v/>
      </c>
      <c r="R4457">
        <f>K4457-G4457*H4457/k_n</f>
        <v/>
      </c>
      <c r="S4457">
        <f>L4457-LTP3!$D$3*G4457/k_n</f>
        <v/>
      </c>
      <c r="T4457">
        <f>M4457-LTP3!$D$3*H4457/k_n</f>
        <v/>
      </c>
      <c r="U4457">
        <f>N4457-G4457*LTP3!$D$4/k_n</f>
        <v/>
      </c>
      <c r="V4457">
        <f>O4457-H4457*LTP3!$D$4/k_n</f>
        <v/>
      </c>
      <c r="W4457">
        <f>((LTP3!$D$5)*((P4457)*(Q4457)-(R4457)*(R4457))-(S4457)*((S4457)*(Q4457)-(R4457)*(T4457))+(T4457)*((S4457)*(R4457)-(P4457)*(T4457)))</f>
        <v/>
      </c>
      <c r="X4457">
        <f>IF(ABS(W4457)&gt;1E-12,((LTP3!$D$6)*((P4457)*(Q4457)-(R4457)*(R4457))-(S4457)*((U4457)*(Q4457)-(R4457)*(V4457))+(T4457)*((U4457)*(R4457)-(P4457)*(V4457)))/W4457,0)</f>
        <v/>
      </c>
      <c r="Y4457">
        <f>IF(ABS(W4457)&gt;1E-12,((LTP3!$D$5)*((U4457)*(Q4457)-(R4457)*(V4457))-(LTP3!$D$6)*((S4457)*(Q4457)-(R4457)*(T4457))+(T4457)*((S4457)*(V4457)-(U4457)*(T4457)))/W4457,0)</f>
        <v/>
      </c>
      <c r="Z4457">
        <f>IF(ABS(W4457)&gt;1E-12,((LTP3!$D$5)*((P4457)*(V4457)-(U4457)*(R4457))-(S4457)*((S4457)*(V4457)-(U4457)*(T4457))+(LTP3!$D$6)*((S4457)*(R4457)-(P4457)*(T4457)))/W4457,0)</f>
        <v/>
      </c>
      <c r="AA4457">
        <f>LTP3!$D$7-X4457*LTP3!$D$6-Y4457*U4457-Z4457*V4457</f>
        <v/>
      </c>
      <c r="AB4457">
        <f>IF(AND(F4457,ABS(W4457)&gt;1E-12,Y4457&gt;0,Z4457&gt;0),AA4457,1E+300)</f>
        <v/>
      </c>
    </row>
    <row r="4458">
      <c r="A4458">
        <f>$I$4-$B$5/10+$B$5*13/100</f>
        <v/>
      </c>
      <c r="B4458">
        <f>$J$4-$B$5/10+$B$5*5/100</f>
        <v/>
      </c>
      <c r="C4458">
        <f>SUMPRODUCT(Calc!$K$3:$K$22*(Calc!$G$3:$G$22&lt;=A4458))</f>
        <v/>
      </c>
      <c r="D4458">
        <f>SUMPRODUCT(Calc!$K$3:$K$22*(Calc!$G$3:$G$22&gt;A4458)*(Calc!$G$3:$G$22&lt;B4458))</f>
        <v/>
      </c>
      <c r="E4458">
        <f>SUMPRODUCT(Calc!$K$3:$K$22*(Calc!$G$3:$G$22&gt;=B4458))</f>
        <v/>
      </c>
      <c r="F4458">
        <f>AND(k_n&gt;=5,B4458&gt;A4458+1E-9,C4458&gt;=2,D4458&gt;=1,E4458&gt;=2)</f>
        <v/>
      </c>
      <c r="G4458">
        <f>SUMPRODUCT(Calc!$K$3:$K$22*(Calc!$G$3:$G$22&gt;A4458)*(Calc!$G$3:$G$22-A4458))</f>
        <v/>
      </c>
      <c r="H4458">
        <f>SUMPRODUCT(Calc!$K$3:$K$22*(Calc!$G$3:$G$22&gt;B4458)*(Calc!$G$3:$G$22-B4458))</f>
        <v/>
      </c>
      <c r="I4458">
        <f>SUMPRODUCT(Calc!$K$3:$K$22*(Calc!$G$3:$G$22&gt;A4458)*(Calc!$G$3:$G$22-A4458)^2)</f>
        <v/>
      </c>
      <c r="J4458">
        <f>SUMPRODUCT(Calc!$K$3:$K$22*(Calc!$G$3:$G$22&gt;B4458)*(Calc!$G$3:$G$22-B4458)^2)</f>
        <v/>
      </c>
      <c r="K4458">
        <f>SUMPRODUCT(Calc!$K$3:$K$22*(Calc!$G$3:$G$22&gt;A4458)*(Calc!$G$3:$G$22-A4458)*(Calc!$G$3:$G$22&gt;B4458)*(Calc!$G$3:$G$22-B4458))</f>
        <v/>
      </c>
      <c r="L4458">
        <f>SUMPRODUCT(Calc!$K$3:$K$22*(Calc!$G$3:$G$22&gt;A4458)*(Calc!$G$3:$G$22-A4458)*Calc!$G$3:$G$22)</f>
        <v/>
      </c>
      <c r="M4458">
        <f>SUMPRODUCT(Calc!$K$3:$K$22*(Calc!$G$3:$G$22&gt;B4458)*(Calc!$G$3:$G$22-B4458)*Calc!$G$3:$G$22)</f>
        <v/>
      </c>
      <c r="N4458">
        <f>SUMPRODUCT(Calc!$K$3:$K$22*(Calc!$G$3:$G$22&gt;A4458)*(Calc!$G$3:$G$22-A4458)*Calc!$I$3:$I$22)</f>
        <v/>
      </c>
      <c r="O4458">
        <f>SUMPRODUCT(Calc!$K$3:$K$22*(Calc!$G$3:$G$22&gt;B4458)*(Calc!$G$3:$G$22-B4458)*Calc!$I$3:$I$22)</f>
        <v/>
      </c>
      <c r="P4458">
        <f>I4458-G4458^2/k_n</f>
        <v/>
      </c>
      <c r="Q4458">
        <f>J4458-H4458^2/k_n</f>
        <v/>
      </c>
      <c r="R4458">
        <f>K4458-G4458*H4458/k_n</f>
        <v/>
      </c>
      <c r="S4458">
        <f>L4458-LTP3!$D$3*G4458/k_n</f>
        <v/>
      </c>
      <c r="T4458">
        <f>M4458-LTP3!$D$3*H4458/k_n</f>
        <v/>
      </c>
      <c r="U4458">
        <f>N4458-G4458*LTP3!$D$4/k_n</f>
        <v/>
      </c>
      <c r="V4458">
        <f>O4458-H4458*LTP3!$D$4/k_n</f>
        <v/>
      </c>
      <c r="W4458">
        <f>((LTP3!$D$5)*((P4458)*(Q4458)-(R4458)*(R4458))-(S4458)*((S4458)*(Q4458)-(R4458)*(T4458))+(T4458)*((S4458)*(R4458)-(P4458)*(T4458)))</f>
        <v/>
      </c>
      <c r="X4458">
        <f>IF(ABS(W4458)&gt;1E-12,((LTP3!$D$6)*((P4458)*(Q4458)-(R4458)*(R4458))-(S4458)*((U4458)*(Q4458)-(R4458)*(V4458))+(T4458)*((U4458)*(R4458)-(P4458)*(V4458)))/W4458,0)</f>
        <v/>
      </c>
      <c r="Y4458">
        <f>IF(ABS(W4458)&gt;1E-12,((LTP3!$D$5)*((U4458)*(Q4458)-(R4458)*(V4458))-(LTP3!$D$6)*((S4458)*(Q4458)-(R4458)*(T4458))+(T4458)*((S4458)*(V4458)-(U4458)*(T4458)))/W4458,0)</f>
        <v/>
      </c>
      <c r="Z4458">
        <f>IF(ABS(W4458)&gt;1E-12,((LTP3!$D$5)*((P4458)*(V4458)-(U4458)*(R4458))-(S4458)*((S4458)*(V4458)-(U4458)*(T4458))+(LTP3!$D$6)*((S4458)*(R4458)-(P4458)*(T4458)))/W4458,0)</f>
        <v/>
      </c>
      <c r="AA4458">
        <f>LTP3!$D$7-X4458*LTP3!$D$6-Y4458*U4458-Z4458*V4458</f>
        <v/>
      </c>
      <c r="AB4458">
        <f>IF(AND(F4458,ABS(W4458)&gt;1E-12,Y4458&gt;0,Z4458&gt;0),AA4458,1E+300)</f>
        <v/>
      </c>
    </row>
    <row r="4459">
      <c r="A4459">
        <f>$I$4-$B$5/10+$B$5*13/100</f>
        <v/>
      </c>
      <c r="B4459">
        <f>$J$4-$B$5/10+$B$5*6/100</f>
        <v/>
      </c>
      <c r="C4459">
        <f>SUMPRODUCT(Calc!$K$3:$K$22*(Calc!$G$3:$G$22&lt;=A4459))</f>
        <v/>
      </c>
      <c r="D4459">
        <f>SUMPRODUCT(Calc!$K$3:$K$22*(Calc!$G$3:$G$22&gt;A4459)*(Calc!$G$3:$G$22&lt;B4459))</f>
        <v/>
      </c>
      <c r="E4459">
        <f>SUMPRODUCT(Calc!$K$3:$K$22*(Calc!$G$3:$G$22&gt;=B4459))</f>
        <v/>
      </c>
      <c r="F4459">
        <f>AND(k_n&gt;=5,B4459&gt;A4459+1E-9,C4459&gt;=2,D4459&gt;=1,E4459&gt;=2)</f>
        <v/>
      </c>
      <c r="G4459">
        <f>SUMPRODUCT(Calc!$K$3:$K$22*(Calc!$G$3:$G$22&gt;A4459)*(Calc!$G$3:$G$22-A4459))</f>
        <v/>
      </c>
      <c r="H4459">
        <f>SUMPRODUCT(Calc!$K$3:$K$22*(Calc!$G$3:$G$22&gt;B4459)*(Calc!$G$3:$G$22-B4459))</f>
        <v/>
      </c>
      <c r="I4459">
        <f>SUMPRODUCT(Calc!$K$3:$K$22*(Calc!$G$3:$G$22&gt;A4459)*(Calc!$G$3:$G$22-A4459)^2)</f>
        <v/>
      </c>
      <c r="J4459">
        <f>SUMPRODUCT(Calc!$K$3:$K$22*(Calc!$G$3:$G$22&gt;B4459)*(Calc!$G$3:$G$22-B4459)^2)</f>
        <v/>
      </c>
      <c r="K4459">
        <f>SUMPRODUCT(Calc!$K$3:$K$22*(Calc!$G$3:$G$22&gt;A4459)*(Calc!$G$3:$G$22-A4459)*(Calc!$G$3:$G$22&gt;B4459)*(Calc!$G$3:$G$22-B4459))</f>
        <v/>
      </c>
      <c r="L4459">
        <f>SUMPRODUCT(Calc!$K$3:$K$22*(Calc!$G$3:$G$22&gt;A4459)*(Calc!$G$3:$G$22-A4459)*Calc!$G$3:$G$22)</f>
        <v/>
      </c>
      <c r="M4459">
        <f>SUMPRODUCT(Calc!$K$3:$K$22*(Calc!$G$3:$G$22&gt;B4459)*(Calc!$G$3:$G$22-B4459)*Calc!$G$3:$G$22)</f>
        <v/>
      </c>
      <c r="N4459">
        <f>SUMPRODUCT(Calc!$K$3:$K$22*(Calc!$G$3:$G$22&gt;A4459)*(Calc!$G$3:$G$22-A4459)*Calc!$I$3:$I$22)</f>
        <v/>
      </c>
      <c r="O4459">
        <f>SUMPRODUCT(Calc!$K$3:$K$22*(Calc!$G$3:$G$22&gt;B4459)*(Calc!$G$3:$G$22-B4459)*Calc!$I$3:$I$22)</f>
        <v/>
      </c>
      <c r="P4459">
        <f>I4459-G4459^2/k_n</f>
        <v/>
      </c>
      <c r="Q4459">
        <f>J4459-H4459^2/k_n</f>
        <v/>
      </c>
      <c r="R4459">
        <f>K4459-G4459*H4459/k_n</f>
        <v/>
      </c>
      <c r="S4459">
        <f>L4459-LTP3!$D$3*G4459/k_n</f>
        <v/>
      </c>
      <c r="T4459">
        <f>M4459-LTP3!$D$3*H4459/k_n</f>
        <v/>
      </c>
      <c r="U4459">
        <f>N4459-G4459*LTP3!$D$4/k_n</f>
        <v/>
      </c>
      <c r="V4459">
        <f>O4459-H4459*LTP3!$D$4/k_n</f>
        <v/>
      </c>
      <c r="W4459">
        <f>((LTP3!$D$5)*((P4459)*(Q4459)-(R4459)*(R4459))-(S4459)*((S4459)*(Q4459)-(R4459)*(T4459))+(T4459)*((S4459)*(R4459)-(P4459)*(T4459)))</f>
        <v/>
      </c>
      <c r="X4459">
        <f>IF(ABS(W4459)&gt;1E-12,((LTP3!$D$6)*((P4459)*(Q4459)-(R4459)*(R4459))-(S4459)*((U4459)*(Q4459)-(R4459)*(V4459))+(T4459)*((U4459)*(R4459)-(P4459)*(V4459)))/W4459,0)</f>
        <v/>
      </c>
      <c r="Y4459">
        <f>IF(ABS(W4459)&gt;1E-12,((LTP3!$D$5)*((U4459)*(Q4459)-(R4459)*(V4459))-(LTP3!$D$6)*((S4459)*(Q4459)-(R4459)*(T4459))+(T4459)*((S4459)*(V4459)-(U4459)*(T4459)))/W4459,0)</f>
        <v/>
      </c>
      <c r="Z4459">
        <f>IF(ABS(W4459)&gt;1E-12,((LTP3!$D$5)*((P4459)*(V4459)-(U4459)*(R4459))-(S4459)*((S4459)*(V4459)-(U4459)*(T4459))+(LTP3!$D$6)*((S4459)*(R4459)-(P4459)*(T4459)))/W4459,0)</f>
        <v/>
      </c>
      <c r="AA4459">
        <f>LTP3!$D$7-X4459*LTP3!$D$6-Y4459*U4459-Z4459*V4459</f>
        <v/>
      </c>
      <c r="AB4459">
        <f>IF(AND(F4459,ABS(W4459)&gt;1E-12,Y4459&gt;0,Z4459&gt;0),AA4459,1E+300)</f>
        <v/>
      </c>
    </row>
    <row r="4460">
      <c r="A4460">
        <f>$I$4-$B$5/10+$B$5*13/100</f>
        <v/>
      </c>
      <c r="B4460">
        <f>$J$4-$B$5/10+$B$5*7/100</f>
        <v/>
      </c>
      <c r="C4460">
        <f>SUMPRODUCT(Calc!$K$3:$K$22*(Calc!$G$3:$G$22&lt;=A4460))</f>
        <v/>
      </c>
      <c r="D4460">
        <f>SUMPRODUCT(Calc!$K$3:$K$22*(Calc!$G$3:$G$22&gt;A4460)*(Calc!$G$3:$G$22&lt;B4460))</f>
        <v/>
      </c>
      <c r="E4460">
        <f>SUMPRODUCT(Calc!$K$3:$K$22*(Calc!$G$3:$G$22&gt;=B4460))</f>
        <v/>
      </c>
      <c r="F4460">
        <f>AND(k_n&gt;=5,B4460&gt;A4460+1E-9,C4460&gt;=2,D4460&gt;=1,E4460&gt;=2)</f>
        <v/>
      </c>
      <c r="G4460">
        <f>SUMPRODUCT(Calc!$K$3:$K$22*(Calc!$G$3:$G$22&gt;A4460)*(Calc!$G$3:$G$22-A4460))</f>
        <v/>
      </c>
      <c r="H4460">
        <f>SUMPRODUCT(Calc!$K$3:$K$22*(Calc!$G$3:$G$22&gt;B4460)*(Calc!$G$3:$G$22-B4460))</f>
        <v/>
      </c>
      <c r="I4460">
        <f>SUMPRODUCT(Calc!$K$3:$K$22*(Calc!$G$3:$G$22&gt;A4460)*(Calc!$G$3:$G$22-A4460)^2)</f>
        <v/>
      </c>
      <c r="J4460">
        <f>SUMPRODUCT(Calc!$K$3:$K$22*(Calc!$G$3:$G$22&gt;B4460)*(Calc!$G$3:$G$22-B4460)^2)</f>
        <v/>
      </c>
      <c r="K4460">
        <f>SUMPRODUCT(Calc!$K$3:$K$22*(Calc!$G$3:$G$22&gt;A4460)*(Calc!$G$3:$G$22-A4460)*(Calc!$G$3:$G$22&gt;B4460)*(Calc!$G$3:$G$22-B4460))</f>
        <v/>
      </c>
      <c r="L4460">
        <f>SUMPRODUCT(Calc!$K$3:$K$22*(Calc!$G$3:$G$22&gt;A4460)*(Calc!$G$3:$G$22-A4460)*Calc!$G$3:$G$22)</f>
        <v/>
      </c>
      <c r="M4460">
        <f>SUMPRODUCT(Calc!$K$3:$K$22*(Calc!$G$3:$G$22&gt;B4460)*(Calc!$G$3:$G$22-B4460)*Calc!$G$3:$G$22)</f>
        <v/>
      </c>
      <c r="N4460">
        <f>SUMPRODUCT(Calc!$K$3:$K$22*(Calc!$G$3:$G$22&gt;A4460)*(Calc!$G$3:$G$22-A4460)*Calc!$I$3:$I$22)</f>
        <v/>
      </c>
      <c r="O4460">
        <f>SUMPRODUCT(Calc!$K$3:$K$22*(Calc!$G$3:$G$22&gt;B4460)*(Calc!$G$3:$G$22-B4460)*Calc!$I$3:$I$22)</f>
        <v/>
      </c>
      <c r="P4460">
        <f>I4460-G4460^2/k_n</f>
        <v/>
      </c>
      <c r="Q4460">
        <f>J4460-H4460^2/k_n</f>
        <v/>
      </c>
      <c r="R4460">
        <f>K4460-G4460*H4460/k_n</f>
        <v/>
      </c>
      <c r="S4460">
        <f>L4460-LTP3!$D$3*G4460/k_n</f>
        <v/>
      </c>
      <c r="T4460">
        <f>M4460-LTP3!$D$3*H4460/k_n</f>
        <v/>
      </c>
      <c r="U4460">
        <f>N4460-G4460*LTP3!$D$4/k_n</f>
        <v/>
      </c>
      <c r="V4460">
        <f>O4460-H4460*LTP3!$D$4/k_n</f>
        <v/>
      </c>
      <c r="W4460">
        <f>((LTP3!$D$5)*((P4460)*(Q4460)-(R4460)*(R4460))-(S4460)*((S4460)*(Q4460)-(R4460)*(T4460))+(T4460)*((S4460)*(R4460)-(P4460)*(T4460)))</f>
        <v/>
      </c>
      <c r="X4460">
        <f>IF(ABS(W4460)&gt;1E-12,((LTP3!$D$6)*((P4460)*(Q4460)-(R4460)*(R4460))-(S4460)*((U4460)*(Q4460)-(R4460)*(V4460))+(T4460)*((U4460)*(R4460)-(P4460)*(V4460)))/W4460,0)</f>
        <v/>
      </c>
      <c r="Y4460">
        <f>IF(ABS(W4460)&gt;1E-12,((LTP3!$D$5)*((U4460)*(Q4460)-(R4460)*(V4460))-(LTP3!$D$6)*((S4460)*(Q4460)-(R4460)*(T4460))+(T4460)*((S4460)*(V4460)-(U4460)*(T4460)))/W4460,0)</f>
        <v/>
      </c>
      <c r="Z4460">
        <f>IF(ABS(W4460)&gt;1E-12,((LTP3!$D$5)*((P4460)*(V4460)-(U4460)*(R4460))-(S4460)*((S4460)*(V4460)-(U4460)*(T4460))+(LTP3!$D$6)*((S4460)*(R4460)-(P4460)*(T4460)))/W4460,0)</f>
        <v/>
      </c>
      <c r="AA4460">
        <f>LTP3!$D$7-X4460*LTP3!$D$6-Y4460*U4460-Z4460*V4460</f>
        <v/>
      </c>
      <c r="AB4460">
        <f>IF(AND(F4460,ABS(W4460)&gt;1E-12,Y4460&gt;0,Z4460&gt;0),AA4460,1E+300)</f>
        <v/>
      </c>
    </row>
    <row r="4461">
      <c r="A4461">
        <f>$I$4-$B$5/10+$B$5*13/100</f>
        <v/>
      </c>
      <c r="B4461">
        <f>$J$4-$B$5/10+$B$5*8/100</f>
        <v/>
      </c>
      <c r="C4461">
        <f>SUMPRODUCT(Calc!$K$3:$K$22*(Calc!$G$3:$G$22&lt;=A4461))</f>
        <v/>
      </c>
      <c r="D4461">
        <f>SUMPRODUCT(Calc!$K$3:$K$22*(Calc!$G$3:$G$22&gt;A4461)*(Calc!$G$3:$G$22&lt;B4461))</f>
        <v/>
      </c>
      <c r="E4461">
        <f>SUMPRODUCT(Calc!$K$3:$K$22*(Calc!$G$3:$G$22&gt;=B4461))</f>
        <v/>
      </c>
      <c r="F4461">
        <f>AND(k_n&gt;=5,B4461&gt;A4461+1E-9,C4461&gt;=2,D4461&gt;=1,E4461&gt;=2)</f>
        <v/>
      </c>
      <c r="G4461">
        <f>SUMPRODUCT(Calc!$K$3:$K$22*(Calc!$G$3:$G$22&gt;A4461)*(Calc!$G$3:$G$22-A4461))</f>
        <v/>
      </c>
      <c r="H4461">
        <f>SUMPRODUCT(Calc!$K$3:$K$22*(Calc!$G$3:$G$22&gt;B4461)*(Calc!$G$3:$G$22-B4461))</f>
        <v/>
      </c>
      <c r="I4461">
        <f>SUMPRODUCT(Calc!$K$3:$K$22*(Calc!$G$3:$G$22&gt;A4461)*(Calc!$G$3:$G$22-A4461)^2)</f>
        <v/>
      </c>
      <c r="J4461">
        <f>SUMPRODUCT(Calc!$K$3:$K$22*(Calc!$G$3:$G$22&gt;B4461)*(Calc!$G$3:$G$22-B4461)^2)</f>
        <v/>
      </c>
      <c r="K4461">
        <f>SUMPRODUCT(Calc!$K$3:$K$22*(Calc!$G$3:$G$22&gt;A4461)*(Calc!$G$3:$G$22-A4461)*(Calc!$G$3:$G$22&gt;B4461)*(Calc!$G$3:$G$22-B4461))</f>
        <v/>
      </c>
      <c r="L4461">
        <f>SUMPRODUCT(Calc!$K$3:$K$22*(Calc!$G$3:$G$22&gt;A4461)*(Calc!$G$3:$G$22-A4461)*Calc!$G$3:$G$22)</f>
        <v/>
      </c>
      <c r="M4461">
        <f>SUMPRODUCT(Calc!$K$3:$K$22*(Calc!$G$3:$G$22&gt;B4461)*(Calc!$G$3:$G$22-B4461)*Calc!$G$3:$G$22)</f>
        <v/>
      </c>
      <c r="N4461">
        <f>SUMPRODUCT(Calc!$K$3:$K$22*(Calc!$G$3:$G$22&gt;A4461)*(Calc!$G$3:$G$22-A4461)*Calc!$I$3:$I$22)</f>
        <v/>
      </c>
      <c r="O4461">
        <f>SUMPRODUCT(Calc!$K$3:$K$22*(Calc!$G$3:$G$22&gt;B4461)*(Calc!$G$3:$G$22-B4461)*Calc!$I$3:$I$22)</f>
        <v/>
      </c>
      <c r="P4461">
        <f>I4461-G4461^2/k_n</f>
        <v/>
      </c>
      <c r="Q4461">
        <f>J4461-H4461^2/k_n</f>
        <v/>
      </c>
      <c r="R4461">
        <f>K4461-G4461*H4461/k_n</f>
        <v/>
      </c>
      <c r="S4461">
        <f>L4461-LTP3!$D$3*G4461/k_n</f>
        <v/>
      </c>
      <c r="T4461">
        <f>M4461-LTP3!$D$3*H4461/k_n</f>
        <v/>
      </c>
      <c r="U4461">
        <f>N4461-G4461*LTP3!$D$4/k_n</f>
        <v/>
      </c>
      <c r="V4461">
        <f>O4461-H4461*LTP3!$D$4/k_n</f>
        <v/>
      </c>
      <c r="W4461">
        <f>((LTP3!$D$5)*((P4461)*(Q4461)-(R4461)*(R4461))-(S4461)*((S4461)*(Q4461)-(R4461)*(T4461))+(T4461)*((S4461)*(R4461)-(P4461)*(T4461)))</f>
        <v/>
      </c>
      <c r="X4461">
        <f>IF(ABS(W4461)&gt;1E-12,((LTP3!$D$6)*((P4461)*(Q4461)-(R4461)*(R4461))-(S4461)*((U4461)*(Q4461)-(R4461)*(V4461))+(T4461)*((U4461)*(R4461)-(P4461)*(V4461)))/W4461,0)</f>
        <v/>
      </c>
      <c r="Y4461">
        <f>IF(ABS(W4461)&gt;1E-12,((LTP3!$D$5)*((U4461)*(Q4461)-(R4461)*(V4461))-(LTP3!$D$6)*((S4461)*(Q4461)-(R4461)*(T4461))+(T4461)*((S4461)*(V4461)-(U4461)*(T4461)))/W4461,0)</f>
        <v/>
      </c>
      <c r="Z4461">
        <f>IF(ABS(W4461)&gt;1E-12,((LTP3!$D$5)*((P4461)*(V4461)-(U4461)*(R4461))-(S4461)*((S4461)*(V4461)-(U4461)*(T4461))+(LTP3!$D$6)*((S4461)*(R4461)-(P4461)*(T4461)))/W4461,0)</f>
        <v/>
      </c>
      <c r="AA4461">
        <f>LTP3!$D$7-X4461*LTP3!$D$6-Y4461*U4461-Z4461*V4461</f>
        <v/>
      </c>
      <c r="AB4461">
        <f>IF(AND(F4461,ABS(W4461)&gt;1E-12,Y4461&gt;0,Z4461&gt;0),AA4461,1E+300)</f>
        <v/>
      </c>
    </row>
    <row r="4462">
      <c r="A4462">
        <f>$I$4-$B$5/10+$B$5*13/100</f>
        <v/>
      </c>
      <c r="B4462">
        <f>$J$4-$B$5/10+$B$5*9/100</f>
        <v/>
      </c>
      <c r="C4462">
        <f>SUMPRODUCT(Calc!$K$3:$K$22*(Calc!$G$3:$G$22&lt;=A4462))</f>
        <v/>
      </c>
      <c r="D4462">
        <f>SUMPRODUCT(Calc!$K$3:$K$22*(Calc!$G$3:$G$22&gt;A4462)*(Calc!$G$3:$G$22&lt;B4462))</f>
        <v/>
      </c>
      <c r="E4462">
        <f>SUMPRODUCT(Calc!$K$3:$K$22*(Calc!$G$3:$G$22&gt;=B4462))</f>
        <v/>
      </c>
      <c r="F4462">
        <f>AND(k_n&gt;=5,B4462&gt;A4462+1E-9,C4462&gt;=2,D4462&gt;=1,E4462&gt;=2)</f>
        <v/>
      </c>
      <c r="G4462">
        <f>SUMPRODUCT(Calc!$K$3:$K$22*(Calc!$G$3:$G$22&gt;A4462)*(Calc!$G$3:$G$22-A4462))</f>
        <v/>
      </c>
      <c r="H4462">
        <f>SUMPRODUCT(Calc!$K$3:$K$22*(Calc!$G$3:$G$22&gt;B4462)*(Calc!$G$3:$G$22-B4462))</f>
        <v/>
      </c>
      <c r="I4462">
        <f>SUMPRODUCT(Calc!$K$3:$K$22*(Calc!$G$3:$G$22&gt;A4462)*(Calc!$G$3:$G$22-A4462)^2)</f>
        <v/>
      </c>
      <c r="J4462">
        <f>SUMPRODUCT(Calc!$K$3:$K$22*(Calc!$G$3:$G$22&gt;B4462)*(Calc!$G$3:$G$22-B4462)^2)</f>
        <v/>
      </c>
      <c r="K4462">
        <f>SUMPRODUCT(Calc!$K$3:$K$22*(Calc!$G$3:$G$22&gt;A4462)*(Calc!$G$3:$G$22-A4462)*(Calc!$G$3:$G$22&gt;B4462)*(Calc!$G$3:$G$22-B4462))</f>
        <v/>
      </c>
      <c r="L4462">
        <f>SUMPRODUCT(Calc!$K$3:$K$22*(Calc!$G$3:$G$22&gt;A4462)*(Calc!$G$3:$G$22-A4462)*Calc!$G$3:$G$22)</f>
        <v/>
      </c>
      <c r="M4462">
        <f>SUMPRODUCT(Calc!$K$3:$K$22*(Calc!$G$3:$G$22&gt;B4462)*(Calc!$G$3:$G$22-B4462)*Calc!$G$3:$G$22)</f>
        <v/>
      </c>
      <c r="N4462">
        <f>SUMPRODUCT(Calc!$K$3:$K$22*(Calc!$G$3:$G$22&gt;A4462)*(Calc!$G$3:$G$22-A4462)*Calc!$I$3:$I$22)</f>
        <v/>
      </c>
      <c r="O4462">
        <f>SUMPRODUCT(Calc!$K$3:$K$22*(Calc!$G$3:$G$22&gt;B4462)*(Calc!$G$3:$G$22-B4462)*Calc!$I$3:$I$22)</f>
        <v/>
      </c>
      <c r="P4462">
        <f>I4462-G4462^2/k_n</f>
        <v/>
      </c>
      <c r="Q4462">
        <f>J4462-H4462^2/k_n</f>
        <v/>
      </c>
      <c r="R4462">
        <f>K4462-G4462*H4462/k_n</f>
        <v/>
      </c>
      <c r="S4462">
        <f>L4462-LTP3!$D$3*G4462/k_n</f>
        <v/>
      </c>
      <c r="T4462">
        <f>M4462-LTP3!$D$3*H4462/k_n</f>
        <v/>
      </c>
      <c r="U4462">
        <f>N4462-G4462*LTP3!$D$4/k_n</f>
        <v/>
      </c>
      <c r="V4462">
        <f>O4462-H4462*LTP3!$D$4/k_n</f>
        <v/>
      </c>
      <c r="W4462">
        <f>((LTP3!$D$5)*((P4462)*(Q4462)-(R4462)*(R4462))-(S4462)*((S4462)*(Q4462)-(R4462)*(T4462))+(T4462)*((S4462)*(R4462)-(P4462)*(T4462)))</f>
        <v/>
      </c>
      <c r="X4462">
        <f>IF(ABS(W4462)&gt;1E-12,((LTP3!$D$6)*((P4462)*(Q4462)-(R4462)*(R4462))-(S4462)*((U4462)*(Q4462)-(R4462)*(V4462))+(T4462)*((U4462)*(R4462)-(P4462)*(V4462)))/W4462,0)</f>
        <v/>
      </c>
      <c r="Y4462">
        <f>IF(ABS(W4462)&gt;1E-12,((LTP3!$D$5)*((U4462)*(Q4462)-(R4462)*(V4462))-(LTP3!$D$6)*((S4462)*(Q4462)-(R4462)*(T4462))+(T4462)*((S4462)*(V4462)-(U4462)*(T4462)))/W4462,0)</f>
        <v/>
      </c>
      <c r="Z4462">
        <f>IF(ABS(W4462)&gt;1E-12,((LTP3!$D$5)*((P4462)*(V4462)-(U4462)*(R4462))-(S4462)*((S4462)*(V4462)-(U4462)*(T4462))+(LTP3!$D$6)*((S4462)*(R4462)-(P4462)*(T4462)))/W4462,0)</f>
        <v/>
      </c>
      <c r="AA4462">
        <f>LTP3!$D$7-X4462*LTP3!$D$6-Y4462*U4462-Z4462*V4462</f>
        <v/>
      </c>
      <c r="AB4462">
        <f>IF(AND(F4462,ABS(W4462)&gt;1E-12,Y4462&gt;0,Z4462&gt;0),AA4462,1E+300)</f>
        <v/>
      </c>
    </row>
    <row r="4463">
      <c r="A4463">
        <f>$I$4-$B$5/10+$B$5*13/100</f>
        <v/>
      </c>
      <c r="B4463">
        <f>$J$4-$B$5/10+$B$5*10/100</f>
        <v/>
      </c>
      <c r="C4463">
        <f>SUMPRODUCT(Calc!$K$3:$K$22*(Calc!$G$3:$G$22&lt;=A4463))</f>
        <v/>
      </c>
      <c r="D4463">
        <f>SUMPRODUCT(Calc!$K$3:$K$22*(Calc!$G$3:$G$22&gt;A4463)*(Calc!$G$3:$G$22&lt;B4463))</f>
        <v/>
      </c>
      <c r="E4463">
        <f>SUMPRODUCT(Calc!$K$3:$K$22*(Calc!$G$3:$G$22&gt;=B4463))</f>
        <v/>
      </c>
      <c r="F4463">
        <f>AND(k_n&gt;=5,B4463&gt;A4463+1E-9,C4463&gt;=2,D4463&gt;=1,E4463&gt;=2)</f>
        <v/>
      </c>
      <c r="G4463">
        <f>SUMPRODUCT(Calc!$K$3:$K$22*(Calc!$G$3:$G$22&gt;A4463)*(Calc!$G$3:$G$22-A4463))</f>
        <v/>
      </c>
      <c r="H4463">
        <f>SUMPRODUCT(Calc!$K$3:$K$22*(Calc!$G$3:$G$22&gt;B4463)*(Calc!$G$3:$G$22-B4463))</f>
        <v/>
      </c>
      <c r="I4463">
        <f>SUMPRODUCT(Calc!$K$3:$K$22*(Calc!$G$3:$G$22&gt;A4463)*(Calc!$G$3:$G$22-A4463)^2)</f>
        <v/>
      </c>
      <c r="J4463">
        <f>SUMPRODUCT(Calc!$K$3:$K$22*(Calc!$G$3:$G$22&gt;B4463)*(Calc!$G$3:$G$22-B4463)^2)</f>
        <v/>
      </c>
      <c r="K4463">
        <f>SUMPRODUCT(Calc!$K$3:$K$22*(Calc!$G$3:$G$22&gt;A4463)*(Calc!$G$3:$G$22-A4463)*(Calc!$G$3:$G$22&gt;B4463)*(Calc!$G$3:$G$22-B4463))</f>
        <v/>
      </c>
      <c r="L4463">
        <f>SUMPRODUCT(Calc!$K$3:$K$22*(Calc!$G$3:$G$22&gt;A4463)*(Calc!$G$3:$G$22-A4463)*Calc!$G$3:$G$22)</f>
        <v/>
      </c>
      <c r="M4463">
        <f>SUMPRODUCT(Calc!$K$3:$K$22*(Calc!$G$3:$G$22&gt;B4463)*(Calc!$G$3:$G$22-B4463)*Calc!$G$3:$G$22)</f>
        <v/>
      </c>
      <c r="N4463">
        <f>SUMPRODUCT(Calc!$K$3:$K$22*(Calc!$G$3:$G$22&gt;A4463)*(Calc!$G$3:$G$22-A4463)*Calc!$I$3:$I$22)</f>
        <v/>
      </c>
      <c r="O4463">
        <f>SUMPRODUCT(Calc!$K$3:$K$22*(Calc!$G$3:$G$22&gt;B4463)*(Calc!$G$3:$G$22-B4463)*Calc!$I$3:$I$22)</f>
        <v/>
      </c>
      <c r="P4463">
        <f>I4463-G4463^2/k_n</f>
        <v/>
      </c>
      <c r="Q4463">
        <f>J4463-H4463^2/k_n</f>
        <v/>
      </c>
      <c r="R4463">
        <f>K4463-G4463*H4463/k_n</f>
        <v/>
      </c>
      <c r="S4463">
        <f>L4463-LTP3!$D$3*G4463/k_n</f>
        <v/>
      </c>
      <c r="T4463">
        <f>M4463-LTP3!$D$3*H4463/k_n</f>
        <v/>
      </c>
      <c r="U4463">
        <f>N4463-G4463*LTP3!$D$4/k_n</f>
        <v/>
      </c>
      <c r="V4463">
        <f>O4463-H4463*LTP3!$D$4/k_n</f>
        <v/>
      </c>
      <c r="W4463">
        <f>((LTP3!$D$5)*((P4463)*(Q4463)-(R4463)*(R4463))-(S4463)*((S4463)*(Q4463)-(R4463)*(T4463))+(T4463)*((S4463)*(R4463)-(P4463)*(T4463)))</f>
        <v/>
      </c>
      <c r="X4463">
        <f>IF(ABS(W4463)&gt;1E-12,((LTP3!$D$6)*((P4463)*(Q4463)-(R4463)*(R4463))-(S4463)*((U4463)*(Q4463)-(R4463)*(V4463))+(T4463)*((U4463)*(R4463)-(P4463)*(V4463)))/W4463,0)</f>
        <v/>
      </c>
      <c r="Y4463">
        <f>IF(ABS(W4463)&gt;1E-12,((LTP3!$D$5)*((U4463)*(Q4463)-(R4463)*(V4463))-(LTP3!$D$6)*((S4463)*(Q4463)-(R4463)*(T4463))+(T4463)*((S4463)*(V4463)-(U4463)*(T4463)))/W4463,0)</f>
        <v/>
      </c>
      <c r="Z4463">
        <f>IF(ABS(W4463)&gt;1E-12,((LTP3!$D$5)*((P4463)*(V4463)-(U4463)*(R4463))-(S4463)*((S4463)*(V4463)-(U4463)*(T4463))+(LTP3!$D$6)*((S4463)*(R4463)-(P4463)*(T4463)))/W4463,0)</f>
        <v/>
      </c>
      <c r="AA4463">
        <f>LTP3!$D$7-X4463*LTP3!$D$6-Y4463*U4463-Z4463*V4463</f>
        <v/>
      </c>
      <c r="AB4463">
        <f>IF(AND(F4463,ABS(W4463)&gt;1E-12,Y4463&gt;0,Z4463&gt;0),AA4463,1E+300)</f>
        <v/>
      </c>
    </row>
    <row r="4464">
      <c r="A4464">
        <f>$I$4-$B$5/10+$B$5*13/100</f>
        <v/>
      </c>
      <c r="B4464">
        <f>$J$4-$B$5/10+$B$5*11/100</f>
        <v/>
      </c>
      <c r="C4464">
        <f>SUMPRODUCT(Calc!$K$3:$K$22*(Calc!$G$3:$G$22&lt;=A4464))</f>
        <v/>
      </c>
      <c r="D4464">
        <f>SUMPRODUCT(Calc!$K$3:$K$22*(Calc!$G$3:$G$22&gt;A4464)*(Calc!$G$3:$G$22&lt;B4464))</f>
        <v/>
      </c>
      <c r="E4464">
        <f>SUMPRODUCT(Calc!$K$3:$K$22*(Calc!$G$3:$G$22&gt;=B4464))</f>
        <v/>
      </c>
      <c r="F4464">
        <f>AND(k_n&gt;=5,B4464&gt;A4464+1E-9,C4464&gt;=2,D4464&gt;=1,E4464&gt;=2)</f>
        <v/>
      </c>
      <c r="G4464">
        <f>SUMPRODUCT(Calc!$K$3:$K$22*(Calc!$G$3:$G$22&gt;A4464)*(Calc!$G$3:$G$22-A4464))</f>
        <v/>
      </c>
      <c r="H4464">
        <f>SUMPRODUCT(Calc!$K$3:$K$22*(Calc!$G$3:$G$22&gt;B4464)*(Calc!$G$3:$G$22-B4464))</f>
        <v/>
      </c>
      <c r="I4464">
        <f>SUMPRODUCT(Calc!$K$3:$K$22*(Calc!$G$3:$G$22&gt;A4464)*(Calc!$G$3:$G$22-A4464)^2)</f>
        <v/>
      </c>
      <c r="J4464">
        <f>SUMPRODUCT(Calc!$K$3:$K$22*(Calc!$G$3:$G$22&gt;B4464)*(Calc!$G$3:$G$22-B4464)^2)</f>
        <v/>
      </c>
      <c r="K4464">
        <f>SUMPRODUCT(Calc!$K$3:$K$22*(Calc!$G$3:$G$22&gt;A4464)*(Calc!$G$3:$G$22-A4464)*(Calc!$G$3:$G$22&gt;B4464)*(Calc!$G$3:$G$22-B4464))</f>
        <v/>
      </c>
      <c r="L4464">
        <f>SUMPRODUCT(Calc!$K$3:$K$22*(Calc!$G$3:$G$22&gt;A4464)*(Calc!$G$3:$G$22-A4464)*Calc!$G$3:$G$22)</f>
        <v/>
      </c>
      <c r="M4464">
        <f>SUMPRODUCT(Calc!$K$3:$K$22*(Calc!$G$3:$G$22&gt;B4464)*(Calc!$G$3:$G$22-B4464)*Calc!$G$3:$G$22)</f>
        <v/>
      </c>
      <c r="N4464">
        <f>SUMPRODUCT(Calc!$K$3:$K$22*(Calc!$G$3:$G$22&gt;A4464)*(Calc!$G$3:$G$22-A4464)*Calc!$I$3:$I$22)</f>
        <v/>
      </c>
      <c r="O4464">
        <f>SUMPRODUCT(Calc!$K$3:$K$22*(Calc!$G$3:$G$22&gt;B4464)*(Calc!$G$3:$G$22-B4464)*Calc!$I$3:$I$22)</f>
        <v/>
      </c>
      <c r="P4464">
        <f>I4464-G4464^2/k_n</f>
        <v/>
      </c>
      <c r="Q4464">
        <f>J4464-H4464^2/k_n</f>
        <v/>
      </c>
      <c r="R4464">
        <f>K4464-G4464*H4464/k_n</f>
        <v/>
      </c>
      <c r="S4464">
        <f>L4464-LTP3!$D$3*G4464/k_n</f>
        <v/>
      </c>
      <c r="T4464">
        <f>M4464-LTP3!$D$3*H4464/k_n</f>
        <v/>
      </c>
      <c r="U4464">
        <f>N4464-G4464*LTP3!$D$4/k_n</f>
        <v/>
      </c>
      <c r="V4464">
        <f>O4464-H4464*LTP3!$D$4/k_n</f>
        <v/>
      </c>
      <c r="W4464">
        <f>((LTP3!$D$5)*((P4464)*(Q4464)-(R4464)*(R4464))-(S4464)*((S4464)*(Q4464)-(R4464)*(T4464))+(T4464)*((S4464)*(R4464)-(P4464)*(T4464)))</f>
        <v/>
      </c>
      <c r="X4464">
        <f>IF(ABS(W4464)&gt;1E-12,((LTP3!$D$6)*((P4464)*(Q4464)-(R4464)*(R4464))-(S4464)*((U4464)*(Q4464)-(R4464)*(V4464))+(T4464)*((U4464)*(R4464)-(P4464)*(V4464)))/W4464,0)</f>
        <v/>
      </c>
      <c r="Y4464">
        <f>IF(ABS(W4464)&gt;1E-12,((LTP3!$D$5)*((U4464)*(Q4464)-(R4464)*(V4464))-(LTP3!$D$6)*((S4464)*(Q4464)-(R4464)*(T4464))+(T4464)*((S4464)*(V4464)-(U4464)*(T4464)))/W4464,0)</f>
        <v/>
      </c>
      <c r="Z4464">
        <f>IF(ABS(W4464)&gt;1E-12,((LTP3!$D$5)*((P4464)*(V4464)-(U4464)*(R4464))-(S4464)*((S4464)*(V4464)-(U4464)*(T4464))+(LTP3!$D$6)*((S4464)*(R4464)-(P4464)*(T4464)))/W4464,0)</f>
        <v/>
      </c>
      <c r="AA4464">
        <f>LTP3!$D$7-X4464*LTP3!$D$6-Y4464*U4464-Z4464*V4464</f>
        <v/>
      </c>
      <c r="AB4464">
        <f>IF(AND(F4464,ABS(W4464)&gt;1E-12,Y4464&gt;0,Z4464&gt;0),AA4464,1E+300)</f>
        <v/>
      </c>
    </row>
    <row r="4465">
      <c r="A4465">
        <f>$I$4-$B$5/10+$B$5*13/100</f>
        <v/>
      </c>
      <c r="B4465">
        <f>$J$4-$B$5/10+$B$5*12/100</f>
        <v/>
      </c>
      <c r="C4465">
        <f>SUMPRODUCT(Calc!$K$3:$K$22*(Calc!$G$3:$G$22&lt;=A4465))</f>
        <v/>
      </c>
      <c r="D4465">
        <f>SUMPRODUCT(Calc!$K$3:$K$22*(Calc!$G$3:$G$22&gt;A4465)*(Calc!$G$3:$G$22&lt;B4465))</f>
        <v/>
      </c>
      <c r="E4465">
        <f>SUMPRODUCT(Calc!$K$3:$K$22*(Calc!$G$3:$G$22&gt;=B4465))</f>
        <v/>
      </c>
      <c r="F4465">
        <f>AND(k_n&gt;=5,B4465&gt;A4465+1E-9,C4465&gt;=2,D4465&gt;=1,E4465&gt;=2)</f>
        <v/>
      </c>
      <c r="G4465">
        <f>SUMPRODUCT(Calc!$K$3:$K$22*(Calc!$G$3:$G$22&gt;A4465)*(Calc!$G$3:$G$22-A4465))</f>
        <v/>
      </c>
      <c r="H4465">
        <f>SUMPRODUCT(Calc!$K$3:$K$22*(Calc!$G$3:$G$22&gt;B4465)*(Calc!$G$3:$G$22-B4465))</f>
        <v/>
      </c>
      <c r="I4465">
        <f>SUMPRODUCT(Calc!$K$3:$K$22*(Calc!$G$3:$G$22&gt;A4465)*(Calc!$G$3:$G$22-A4465)^2)</f>
        <v/>
      </c>
      <c r="J4465">
        <f>SUMPRODUCT(Calc!$K$3:$K$22*(Calc!$G$3:$G$22&gt;B4465)*(Calc!$G$3:$G$22-B4465)^2)</f>
        <v/>
      </c>
      <c r="K4465">
        <f>SUMPRODUCT(Calc!$K$3:$K$22*(Calc!$G$3:$G$22&gt;A4465)*(Calc!$G$3:$G$22-A4465)*(Calc!$G$3:$G$22&gt;B4465)*(Calc!$G$3:$G$22-B4465))</f>
        <v/>
      </c>
      <c r="L4465">
        <f>SUMPRODUCT(Calc!$K$3:$K$22*(Calc!$G$3:$G$22&gt;A4465)*(Calc!$G$3:$G$22-A4465)*Calc!$G$3:$G$22)</f>
        <v/>
      </c>
      <c r="M4465">
        <f>SUMPRODUCT(Calc!$K$3:$K$22*(Calc!$G$3:$G$22&gt;B4465)*(Calc!$G$3:$G$22-B4465)*Calc!$G$3:$G$22)</f>
        <v/>
      </c>
      <c r="N4465">
        <f>SUMPRODUCT(Calc!$K$3:$K$22*(Calc!$G$3:$G$22&gt;A4465)*(Calc!$G$3:$G$22-A4465)*Calc!$I$3:$I$22)</f>
        <v/>
      </c>
      <c r="O4465">
        <f>SUMPRODUCT(Calc!$K$3:$K$22*(Calc!$G$3:$G$22&gt;B4465)*(Calc!$G$3:$G$22-B4465)*Calc!$I$3:$I$22)</f>
        <v/>
      </c>
      <c r="P4465">
        <f>I4465-G4465^2/k_n</f>
        <v/>
      </c>
      <c r="Q4465">
        <f>J4465-H4465^2/k_n</f>
        <v/>
      </c>
      <c r="R4465">
        <f>K4465-G4465*H4465/k_n</f>
        <v/>
      </c>
      <c r="S4465">
        <f>L4465-LTP3!$D$3*G4465/k_n</f>
        <v/>
      </c>
      <c r="T4465">
        <f>M4465-LTP3!$D$3*H4465/k_n</f>
        <v/>
      </c>
      <c r="U4465">
        <f>N4465-G4465*LTP3!$D$4/k_n</f>
        <v/>
      </c>
      <c r="V4465">
        <f>O4465-H4465*LTP3!$D$4/k_n</f>
        <v/>
      </c>
      <c r="W4465">
        <f>((LTP3!$D$5)*((P4465)*(Q4465)-(R4465)*(R4465))-(S4465)*((S4465)*(Q4465)-(R4465)*(T4465))+(T4465)*((S4465)*(R4465)-(P4465)*(T4465)))</f>
        <v/>
      </c>
      <c r="X4465">
        <f>IF(ABS(W4465)&gt;1E-12,((LTP3!$D$6)*((P4465)*(Q4465)-(R4465)*(R4465))-(S4465)*((U4465)*(Q4465)-(R4465)*(V4465))+(T4465)*((U4465)*(R4465)-(P4465)*(V4465)))/W4465,0)</f>
        <v/>
      </c>
      <c r="Y4465">
        <f>IF(ABS(W4465)&gt;1E-12,((LTP3!$D$5)*((U4465)*(Q4465)-(R4465)*(V4465))-(LTP3!$D$6)*((S4465)*(Q4465)-(R4465)*(T4465))+(T4465)*((S4465)*(V4465)-(U4465)*(T4465)))/W4465,0)</f>
        <v/>
      </c>
      <c r="Z4465">
        <f>IF(ABS(W4465)&gt;1E-12,((LTP3!$D$5)*((P4465)*(V4465)-(U4465)*(R4465))-(S4465)*((S4465)*(V4465)-(U4465)*(T4465))+(LTP3!$D$6)*((S4465)*(R4465)-(P4465)*(T4465)))/W4465,0)</f>
        <v/>
      </c>
      <c r="AA4465">
        <f>LTP3!$D$7-X4465*LTP3!$D$6-Y4465*U4465-Z4465*V4465</f>
        <v/>
      </c>
      <c r="AB4465">
        <f>IF(AND(F4465,ABS(W4465)&gt;1E-12,Y4465&gt;0,Z4465&gt;0),AA4465,1E+300)</f>
        <v/>
      </c>
    </row>
    <row r="4466">
      <c r="A4466">
        <f>$I$4-$B$5/10+$B$5*13/100</f>
        <v/>
      </c>
      <c r="B4466">
        <f>$J$4-$B$5/10+$B$5*13/100</f>
        <v/>
      </c>
      <c r="C4466">
        <f>SUMPRODUCT(Calc!$K$3:$K$22*(Calc!$G$3:$G$22&lt;=A4466))</f>
        <v/>
      </c>
      <c r="D4466">
        <f>SUMPRODUCT(Calc!$K$3:$K$22*(Calc!$G$3:$G$22&gt;A4466)*(Calc!$G$3:$G$22&lt;B4466))</f>
        <v/>
      </c>
      <c r="E4466">
        <f>SUMPRODUCT(Calc!$K$3:$K$22*(Calc!$G$3:$G$22&gt;=B4466))</f>
        <v/>
      </c>
      <c r="F4466">
        <f>AND(k_n&gt;=5,B4466&gt;A4466+1E-9,C4466&gt;=2,D4466&gt;=1,E4466&gt;=2)</f>
        <v/>
      </c>
      <c r="G4466">
        <f>SUMPRODUCT(Calc!$K$3:$K$22*(Calc!$G$3:$G$22&gt;A4466)*(Calc!$G$3:$G$22-A4466))</f>
        <v/>
      </c>
      <c r="H4466">
        <f>SUMPRODUCT(Calc!$K$3:$K$22*(Calc!$G$3:$G$22&gt;B4466)*(Calc!$G$3:$G$22-B4466))</f>
        <v/>
      </c>
      <c r="I4466">
        <f>SUMPRODUCT(Calc!$K$3:$K$22*(Calc!$G$3:$G$22&gt;A4466)*(Calc!$G$3:$G$22-A4466)^2)</f>
        <v/>
      </c>
      <c r="J4466">
        <f>SUMPRODUCT(Calc!$K$3:$K$22*(Calc!$G$3:$G$22&gt;B4466)*(Calc!$G$3:$G$22-B4466)^2)</f>
        <v/>
      </c>
      <c r="K4466">
        <f>SUMPRODUCT(Calc!$K$3:$K$22*(Calc!$G$3:$G$22&gt;A4466)*(Calc!$G$3:$G$22-A4466)*(Calc!$G$3:$G$22&gt;B4466)*(Calc!$G$3:$G$22-B4466))</f>
        <v/>
      </c>
      <c r="L4466">
        <f>SUMPRODUCT(Calc!$K$3:$K$22*(Calc!$G$3:$G$22&gt;A4466)*(Calc!$G$3:$G$22-A4466)*Calc!$G$3:$G$22)</f>
        <v/>
      </c>
      <c r="M4466">
        <f>SUMPRODUCT(Calc!$K$3:$K$22*(Calc!$G$3:$G$22&gt;B4466)*(Calc!$G$3:$G$22-B4466)*Calc!$G$3:$G$22)</f>
        <v/>
      </c>
      <c r="N4466">
        <f>SUMPRODUCT(Calc!$K$3:$K$22*(Calc!$G$3:$G$22&gt;A4466)*(Calc!$G$3:$G$22-A4466)*Calc!$I$3:$I$22)</f>
        <v/>
      </c>
      <c r="O4466">
        <f>SUMPRODUCT(Calc!$K$3:$K$22*(Calc!$G$3:$G$22&gt;B4466)*(Calc!$G$3:$G$22-B4466)*Calc!$I$3:$I$22)</f>
        <v/>
      </c>
      <c r="P4466">
        <f>I4466-G4466^2/k_n</f>
        <v/>
      </c>
      <c r="Q4466">
        <f>J4466-H4466^2/k_n</f>
        <v/>
      </c>
      <c r="R4466">
        <f>K4466-G4466*H4466/k_n</f>
        <v/>
      </c>
      <c r="S4466">
        <f>L4466-LTP3!$D$3*G4466/k_n</f>
        <v/>
      </c>
      <c r="T4466">
        <f>M4466-LTP3!$D$3*H4466/k_n</f>
        <v/>
      </c>
      <c r="U4466">
        <f>N4466-G4466*LTP3!$D$4/k_n</f>
        <v/>
      </c>
      <c r="V4466">
        <f>O4466-H4466*LTP3!$D$4/k_n</f>
        <v/>
      </c>
      <c r="W4466">
        <f>((LTP3!$D$5)*((P4466)*(Q4466)-(R4466)*(R4466))-(S4466)*((S4466)*(Q4466)-(R4466)*(T4466))+(T4466)*((S4466)*(R4466)-(P4466)*(T4466)))</f>
        <v/>
      </c>
      <c r="X4466">
        <f>IF(ABS(W4466)&gt;1E-12,((LTP3!$D$6)*((P4466)*(Q4466)-(R4466)*(R4466))-(S4466)*((U4466)*(Q4466)-(R4466)*(V4466))+(T4466)*((U4466)*(R4466)-(P4466)*(V4466)))/W4466,0)</f>
        <v/>
      </c>
      <c r="Y4466">
        <f>IF(ABS(W4466)&gt;1E-12,((LTP3!$D$5)*((U4466)*(Q4466)-(R4466)*(V4466))-(LTP3!$D$6)*((S4466)*(Q4466)-(R4466)*(T4466))+(T4466)*((S4466)*(V4466)-(U4466)*(T4466)))/W4466,0)</f>
        <v/>
      </c>
      <c r="Z4466">
        <f>IF(ABS(W4466)&gt;1E-12,((LTP3!$D$5)*((P4466)*(V4466)-(U4466)*(R4466))-(S4466)*((S4466)*(V4466)-(U4466)*(T4466))+(LTP3!$D$6)*((S4466)*(R4466)-(P4466)*(T4466)))/W4466,0)</f>
        <v/>
      </c>
      <c r="AA4466">
        <f>LTP3!$D$7-X4466*LTP3!$D$6-Y4466*U4466-Z4466*V4466</f>
        <v/>
      </c>
      <c r="AB4466">
        <f>IF(AND(F4466,ABS(W4466)&gt;1E-12,Y4466&gt;0,Z4466&gt;0),AA4466,1E+300)</f>
        <v/>
      </c>
    </row>
    <row r="4467">
      <c r="A4467">
        <f>$I$4-$B$5/10+$B$5*13/100</f>
        <v/>
      </c>
      <c r="B4467">
        <f>$J$4-$B$5/10+$B$5*14/100</f>
        <v/>
      </c>
      <c r="C4467">
        <f>SUMPRODUCT(Calc!$K$3:$K$22*(Calc!$G$3:$G$22&lt;=A4467))</f>
        <v/>
      </c>
      <c r="D4467">
        <f>SUMPRODUCT(Calc!$K$3:$K$22*(Calc!$G$3:$G$22&gt;A4467)*(Calc!$G$3:$G$22&lt;B4467))</f>
        <v/>
      </c>
      <c r="E4467">
        <f>SUMPRODUCT(Calc!$K$3:$K$22*(Calc!$G$3:$G$22&gt;=B4467))</f>
        <v/>
      </c>
      <c r="F4467">
        <f>AND(k_n&gt;=5,B4467&gt;A4467+1E-9,C4467&gt;=2,D4467&gt;=1,E4467&gt;=2)</f>
        <v/>
      </c>
      <c r="G4467">
        <f>SUMPRODUCT(Calc!$K$3:$K$22*(Calc!$G$3:$G$22&gt;A4467)*(Calc!$G$3:$G$22-A4467))</f>
        <v/>
      </c>
      <c r="H4467">
        <f>SUMPRODUCT(Calc!$K$3:$K$22*(Calc!$G$3:$G$22&gt;B4467)*(Calc!$G$3:$G$22-B4467))</f>
        <v/>
      </c>
      <c r="I4467">
        <f>SUMPRODUCT(Calc!$K$3:$K$22*(Calc!$G$3:$G$22&gt;A4467)*(Calc!$G$3:$G$22-A4467)^2)</f>
        <v/>
      </c>
      <c r="J4467">
        <f>SUMPRODUCT(Calc!$K$3:$K$22*(Calc!$G$3:$G$22&gt;B4467)*(Calc!$G$3:$G$22-B4467)^2)</f>
        <v/>
      </c>
      <c r="K4467">
        <f>SUMPRODUCT(Calc!$K$3:$K$22*(Calc!$G$3:$G$22&gt;A4467)*(Calc!$G$3:$G$22-A4467)*(Calc!$G$3:$G$22&gt;B4467)*(Calc!$G$3:$G$22-B4467))</f>
        <v/>
      </c>
      <c r="L4467">
        <f>SUMPRODUCT(Calc!$K$3:$K$22*(Calc!$G$3:$G$22&gt;A4467)*(Calc!$G$3:$G$22-A4467)*Calc!$G$3:$G$22)</f>
        <v/>
      </c>
      <c r="M4467">
        <f>SUMPRODUCT(Calc!$K$3:$K$22*(Calc!$G$3:$G$22&gt;B4467)*(Calc!$G$3:$G$22-B4467)*Calc!$G$3:$G$22)</f>
        <v/>
      </c>
      <c r="N4467">
        <f>SUMPRODUCT(Calc!$K$3:$K$22*(Calc!$G$3:$G$22&gt;A4467)*(Calc!$G$3:$G$22-A4467)*Calc!$I$3:$I$22)</f>
        <v/>
      </c>
      <c r="O4467">
        <f>SUMPRODUCT(Calc!$K$3:$K$22*(Calc!$G$3:$G$22&gt;B4467)*(Calc!$G$3:$G$22-B4467)*Calc!$I$3:$I$22)</f>
        <v/>
      </c>
      <c r="P4467">
        <f>I4467-G4467^2/k_n</f>
        <v/>
      </c>
      <c r="Q4467">
        <f>J4467-H4467^2/k_n</f>
        <v/>
      </c>
      <c r="R4467">
        <f>K4467-G4467*H4467/k_n</f>
        <v/>
      </c>
      <c r="S4467">
        <f>L4467-LTP3!$D$3*G4467/k_n</f>
        <v/>
      </c>
      <c r="T4467">
        <f>M4467-LTP3!$D$3*H4467/k_n</f>
        <v/>
      </c>
      <c r="U4467">
        <f>N4467-G4467*LTP3!$D$4/k_n</f>
        <v/>
      </c>
      <c r="V4467">
        <f>O4467-H4467*LTP3!$D$4/k_n</f>
        <v/>
      </c>
      <c r="W4467">
        <f>((LTP3!$D$5)*((P4467)*(Q4467)-(R4467)*(R4467))-(S4467)*((S4467)*(Q4467)-(R4467)*(T4467))+(T4467)*((S4467)*(R4467)-(P4467)*(T4467)))</f>
        <v/>
      </c>
      <c r="X4467">
        <f>IF(ABS(W4467)&gt;1E-12,((LTP3!$D$6)*((P4467)*(Q4467)-(R4467)*(R4467))-(S4467)*((U4467)*(Q4467)-(R4467)*(V4467))+(T4467)*((U4467)*(R4467)-(P4467)*(V4467)))/W4467,0)</f>
        <v/>
      </c>
      <c r="Y4467">
        <f>IF(ABS(W4467)&gt;1E-12,((LTP3!$D$5)*((U4467)*(Q4467)-(R4467)*(V4467))-(LTP3!$D$6)*((S4467)*(Q4467)-(R4467)*(T4467))+(T4467)*((S4467)*(V4467)-(U4467)*(T4467)))/W4467,0)</f>
        <v/>
      </c>
      <c r="Z4467">
        <f>IF(ABS(W4467)&gt;1E-12,((LTP3!$D$5)*((P4467)*(V4467)-(U4467)*(R4467))-(S4467)*((S4467)*(V4467)-(U4467)*(T4467))+(LTP3!$D$6)*((S4467)*(R4467)-(P4467)*(T4467)))/W4467,0)</f>
        <v/>
      </c>
      <c r="AA4467">
        <f>LTP3!$D$7-X4467*LTP3!$D$6-Y4467*U4467-Z4467*V4467</f>
        <v/>
      </c>
      <c r="AB4467">
        <f>IF(AND(F4467,ABS(W4467)&gt;1E-12,Y4467&gt;0,Z4467&gt;0),AA4467,1E+300)</f>
        <v/>
      </c>
    </row>
    <row r="4468">
      <c r="A4468">
        <f>$I$4-$B$5/10+$B$5*13/100</f>
        <v/>
      </c>
      <c r="B4468">
        <f>$J$4-$B$5/10+$B$5*15/100</f>
        <v/>
      </c>
      <c r="C4468">
        <f>SUMPRODUCT(Calc!$K$3:$K$22*(Calc!$G$3:$G$22&lt;=A4468))</f>
        <v/>
      </c>
      <c r="D4468">
        <f>SUMPRODUCT(Calc!$K$3:$K$22*(Calc!$G$3:$G$22&gt;A4468)*(Calc!$G$3:$G$22&lt;B4468))</f>
        <v/>
      </c>
      <c r="E4468">
        <f>SUMPRODUCT(Calc!$K$3:$K$22*(Calc!$G$3:$G$22&gt;=B4468))</f>
        <v/>
      </c>
      <c r="F4468">
        <f>AND(k_n&gt;=5,B4468&gt;A4468+1E-9,C4468&gt;=2,D4468&gt;=1,E4468&gt;=2)</f>
        <v/>
      </c>
      <c r="G4468">
        <f>SUMPRODUCT(Calc!$K$3:$K$22*(Calc!$G$3:$G$22&gt;A4468)*(Calc!$G$3:$G$22-A4468))</f>
        <v/>
      </c>
      <c r="H4468">
        <f>SUMPRODUCT(Calc!$K$3:$K$22*(Calc!$G$3:$G$22&gt;B4468)*(Calc!$G$3:$G$22-B4468))</f>
        <v/>
      </c>
      <c r="I4468">
        <f>SUMPRODUCT(Calc!$K$3:$K$22*(Calc!$G$3:$G$22&gt;A4468)*(Calc!$G$3:$G$22-A4468)^2)</f>
        <v/>
      </c>
      <c r="J4468">
        <f>SUMPRODUCT(Calc!$K$3:$K$22*(Calc!$G$3:$G$22&gt;B4468)*(Calc!$G$3:$G$22-B4468)^2)</f>
        <v/>
      </c>
      <c r="K4468">
        <f>SUMPRODUCT(Calc!$K$3:$K$22*(Calc!$G$3:$G$22&gt;A4468)*(Calc!$G$3:$G$22-A4468)*(Calc!$G$3:$G$22&gt;B4468)*(Calc!$G$3:$G$22-B4468))</f>
        <v/>
      </c>
      <c r="L4468">
        <f>SUMPRODUCT(Calc!$K$3:$K$22*(Calc!$G$3:$G$22&gt;A4468)*(Calc!$G$3:$G$22-A4468)*Calc!$G$3:$G$22)</f>
        <v/>
      </c>
      <c r="M4468">
        <f>SUMPRODUCT(Calc!$K$3:$K$22*(Calc!$G$3:$G$22&gt;B4468)*(Calc!$G$3:$G$22-B4468)*Calc!$G$3:$G$22)</f>
        <v/>
      </c>
      <c r="N4468">
        <f>SUMPRODUCT(Calc!$K$3:$K$22*(Calc!$G$3:$G$22&gt;A4468)*(Calc!$G$3:$G$22-A4468)*Calc!$I$3:$I$22)</f>
        <v/>
      </c>
      <c r="O4468">
        <f>SUMPRODUCT(Calc!$K$3:$K$22*(Calc!$G$3:$G$22&gt;B4468)*(Calc!$G$3:$G$22-B4468)*Calc!$I$3:$I$22)</f>
        <v/>
      </c>
      <c r="P4468">
        <f>I4468-G4468^2/k_n</f>
        <v/>
      </c>
      <c r="Q4468">
        <f>J4468-H4468^2/k_n</f>
        <v/>
      </c>
      <c r="R4468">
        <f>K4468-G4468*H4468/k_n</f>
        <v/>
      </c>
      <c r="S4468">
        <f>L4468-LTP3!$D$3*G4468/k_n</f>
        <v/>
      </c>
      <c r="T4468">
        <f>M4468-LTP3!$D$3*H4468/k_n</f>
        <v/>
      </c>
      <c r="U4468">
        <f>N4468-G4468*LTP3!$D$4/k_n</f>
        <v/>
      </c>
      <c r="V4468">
        <f>O4468-H4468*LTP3!$D$4/k_n</f>
        <v/>
      </c>
      <c r="W4468">
        <f>((LTP3!$D$5)*((P4468)*(Q4468)-(R4468)*(R4468))-(S4468)*((S4468)*(Q4468)-(R4468)*(T4468))+(T4468)*((S4468)*(R4468)-(P4468)*(T4468)))</f>
        <v/>
      </c>
      <c r="X4468">
        <f>IF(ABS(W4468)&gt;1E-12,((LTP3!$D$6)*((P4468)*(Q4468)-(R4468)*(R4468))-(S4468)*((U4468)*(Q4468)-(R4468)*(V4468))+(T4468)*((U4468)*(R4468)-(P4468)*(V4468)))/W4468,0)</f>
        <v/>
      </c>
      <c r="Y4468">
        <f>IF(ABS(W4468)&gt;1E-12,((LTP3!$D$5)*((U4468)*(Q4468)-(R4468)*(V4468))-(LTP3!$D$6)*((S4468)*(Q4468)-(R4468)*(T4468))+(T4468)*((S4468)*(V4468)-(U4468)*(T4468)))/W4468,0)</f>
        <v/>
      </c>
      <c r="Z4468">
        <f>IF(ABS(W4468)&gt;1E-12,((LTP3!$D$5)*((P4468)*(V4468)-(U4468)*(R4468))-(S4468)*((S4468)*(V4468)-(U4468)*(T4468))+(LTP3!$D$6)*((S4468)*(R4468)-(P4468)*(T4468)))/W4468,0)</f>
        <v/>
      </c>
      <c r="AA4468">
        <f>LTP3!$D$7-X4468*LTP3!$D$6-Y4468*U4468-Z4468*V4468</f>
        <v/>
      </c>
      <c r="AB4468">
        <f>IF(AND(F4468,ABS(W4468)&gt;1E-12,Y4468&gt;0,Z4468&gt;0),AA4468,1E+300)</f>
        <v/>
      </c>
    </row>
    <row r="4469">
      <c r="A4469">
        <f>$I$4-$B$5/10+$B$5*13/100</f>
        <v/>
      </c>
      <c r="B4469">
        <f>$J$4-$B$5/10+$B$5*16/100</f>
        <v/>
      </c>
      <c r="C4469">
        <f>SUMPRODUCT(Calc!$K$3:$K$22*(Calc!$G$3:$G$22&lt;=A4469))</f>
        <v/>
      </c>
      <c r="D4469">
        <f>SUMPRODUCT(Calc!$K$3:$K$22*(Calc!$G$3:$G$22&gt;A4469)*(Calc!$G$3:$G$22&lt;B4469))</f>
        <v/>
      </c>
      <c r="E4469">
        <f>SUMPRODUCT(Calc!$K$3:$K$22*(Calc!$G$3:$G$22&gt;=B4469))</f>
        <v/>
      </c>
      <c r="F4469">
        <f>AND(k_n&gt;=5,B4469&gt;A4469+1E-9,C4469&gt;=2,D4469&gt;=1,E4469&gt;=2)</f>
        <v/>
      </c>
      <c r="G4469">
        <f>SUMPRODUCT(Calc!$K$3:$K$22*(Calc!$G$3:$G$22&gt;A4469)*(Calc!$G$3:$G$22-A4469))</f>
        <v/>
      </c>
      <c r="H4469">
        <f>SUMPRODUCT(Calc!$K$3:$K$22*(Calc!$G$3:$G$22&gt;B4469)*(Calc!$G$3:$G$22-B4469))</f>
        <v/>
      </c>
      <c r="I4469">
        <f>SUMPRODUCT(Calc!$K$3:$K$22*(Calc!$G$3:$G$22&gt;A4469)*(Calc!$G$3:$G$22-A4469)^2)</f>
        <v/>
      </c>
      <c r="J4469">
        <f>SUMPRODUCT(Calc!$K$3:$K$22*(Calc!$G$3:$G$22&gt;B4469)*(Calc!$G$3:$G$22-B4469)^2)</f>
        <v/>
      </c>
      <c r="K4469">
        <f>SUMPRODUCT(Calc!$K$3:$K$22*(Calc!$G$3:$G$22&gt;A4469)*(Calc!$G$3:$G$22-A4469)*(Calc!$G$3:$G$22&gt;B4469)*(Calc!$G$3:$G$22-B4469))</f>
        <v/>
      </c>
      <c r="L4469">
        <f>SUMPRODUCT(Calc!$K$3:$K$22*(Calc!$G$3:$G$22&gt;A4469)*(Calc!$G$3:$G$22-A4469)*Calc!$G$3:$G$22)</f>
        <v/>
      </c>
      <c r="M4469">
        <f>SUMPRODUCT(Calc!$K$3:$K$22*(Calc!$G$3:$G$22&gt;B4469)*(Calc!$G$3:$G$22-B4469)*Calc!$G$3:$G$22)</f>
        <v/>
      </c>
      <c r="N4469">
        <f>SUMPRODUCT(Calc!$K$3:$K$22*(Calc!$G$3:$G$22&gt;A4469)*(Calc!$G$3:$G$22-A4469)*Calc!$I$3:$I$22)</f>
        <v/>
      </c>
      <c r="O4469">
        <f>SUMPRODUCT(Calc!$K$3:$K$22*(Calc!$G$3:$G$22&gt;B4469)*(Calc!$G$3:$G$22-B4469)*Calc!$I$3:$I$22)</f>
        <v/>
      </c>
      <c r="P4469">
        <f>I4469-G4469^2/k_n</f>
        <v/>
      </c>
      <c r="Q4469">
        <f>J4469-H4469^2/k_n</f>
        <v/>
      </c>
      <c r="R4469">
        <f>K4469-G4469*H4469/k_n</f>
        <v/>
      </c>
      <c r="S4469">
        <f>L4469-LTP3!$D$3*G4469/k_n</f>
        <v/>
      </c>
      <c r="T4469">
        <f>M4469-LTP3!$D$3*H4469/k_n</f>
        <v/>
      </c>
      <c r="U4469">
        <f>N4469-G4469*LTP3!$D$4/k_n</f>
        <v/>
      </c>
      <c r="V4469">
        <f>O4469-H4469*LTP3!$D$4/k_n</f>
        <v/>
      </c>
      <c r="W4469">
        <f>((LTP3!$D$5)*((P4469)*(Q4469)-(R4469)*(R4469))-(S4469)*((S4469)*(Q4469)-(R4469)*(T4469))+(T4469)*((S4469)*(R4469)-(P4469)*(T4469)))</f>
        <v/>
      </c>
      <c r="X4469">
        <f>IF(ABS(W4469)&gt;1E-12,((LTP3!$D$6)*((P4469)*(Q4469)-(R4469)*(R4469))-(S4469)*((U4469)*(Q4469)-(R4469)*(V4469))+(T4469)*((U4469)*(R4469)-(P4469)*(V4469)))/W4469,0)</f>
        <v/>
      </c>
      <c r="Y4469">
        <f>IF(ABS(W4469)&gt;1E-12,((LTP3!$D$5)*((U4469)*(Q4469)-(R4469)*(V4469))-(LTP3!$D$6)*((S4469)*(Q4469)-(R4469)*(T4469))+(T4469)*((S4469)*(V4469)-(U4469)*(T4469)))/W4469,0)</f>
        <v/>
      </c>
      <c r="Z4469">
        <f>IF(ABS(W4469)&gt;1E-12,((LTP3!$D$5)*((P4469)*(V4469)-(U4469)*(R4469))-(S4469)*((S4469)*(V4469)-(U4469)*(T4469))+(LTP3!$D$6)*((S4469)*(R4469)-(P4469)*(T4469)))/W4469,0)</f>
        <v/>
      </c>
      <c r="AA4469">
        <f>LTP3!$D$7-X4469*LTP3!$D$6-Y4469*U4469-Z4469*V4469</f>
        <v/>
      </c>
      <c r="AB4469">
        <f>IF(AND(F4469,ABS(W4469)&gt;1E-12,Y4469&gt;0,Z4469&gt;0),AA4469,1E+300)</f>
        <v/>
      </c>
    </row>
    <row r="4470">
      <c r="A4470">
        <f>$I$4-$B$5/10+$B$5*13/100</f>
        <v/>
      </c>
      <c r="B4470">
        <f>$J$4-$B$5/10+$B$5*17/100</f>
        <v/>
      </c>
      <c r="C4470">
        <f>SUMPRODUCT(Calc!$K$3:$K$22*(Calc!$G$3:$G$22&lt;=A4470))</f>
        <v/>
      </c>
      <c r="D4470">
        <f>SUMPRODUCT(Calc!$K$3:$K$22*(Calc!$G$3:$G$22&gt;A4470)*(Calc!$G$3:$G$22&lt;B4470))</f>
        <v/>
      </c>
      <c r="E4470">
        <f>SUMPRODUCT(Calc!$K$3:$K$22*(Calc!$G$3:$G$22&gt;=B4470))</f>
        <v/>
      </c>
      <c r="F4470">
        <f>AND(k_n&gt;=5,B4470&gt;A4470+1E-9,C4470&gt;=2,D4470&gt;=1,E4470&gt;=2)</f>
        <v/>
      </c>
      <c r="G4470">
        <f>SUMPRODUCT(Calc!$K$3:$K$22*(Calc!$G$3:$G$22&gt;A4470)*(Calc!$G$3:$G$22-A4470))</f>
        <v/>
      </c>
      <c r="H4470">
        <f>SUMPRODUCT(Calc!$K$3:$K$22*(Calc!$G$3:$G$22&gt;B4470)*(Calc!$G$3:$G$22-B4470))</f>
        <v/>
      </c>
      <c r="I4470">
        <f>SUMPRODUCT(Calc!$K$3:$K$22*(Calc!$G$3:$G$22&gt;A4470)*(Calc!$G$3:$G$22-A4470)^2)</f>
        <v/>
      </c>
      <c r="J4470">
        <f>SUMPRODUCT(Calc!$K$3:$K$22*(Calc!$G$3:$G$22&gt;B4470)*(Calc!$G$3:$G$22-B4470)^2)</f>
        <v/>
      </c>
      <c r="K4470">
        <f>SUMPRODUCT(Calc!$K$3:$K$22*(Calc!$G$3:$G$22&gt;A4470)*(Calc!$G$3:$G$22-A4470)*(Calc!$G$3:$G$22&gt;B4470)*(Calc!$G$3:$G$22-B4470))</f>
        <v/>
      </c>
      <c r="L4470">
        <f>SUMPRODUCT(Calc!$K$3:$K$22*(Calc!$G$3:$G$22&gt;A4470)*(Calc!$G$3:$G$22-A4470)*Calc!$G$3:$G$22)</f>
        <v/>
      </c>
      <c r="M4470">
        <f>SUMPRODUCT(Calc!$K$3:$K$22*(Calc!$G$3:$G$22&gt;B4470)*(Calc!$G$3:$G$22-B4470)*Calc!$G$3:$G$22)</f>
        <v/>
      </c>
      <c r="N4470">
        <f>SUMPRODUCT(Calc!$K$3:$K$22*(Calc!$G$3:$G$22&gt;A4470)*(Calc!$G$3:$G$22-A4470)*Calc!$I$3:$I$22)</f>
        <v/>
      </c>
      <c r="O4470">
        <f>SUMPRODUCT(Calc!$K$3:$K$22*(Calc!$G$3:$G$22&gt;B4470)*(Calc!$G$3:$G$22-B4470)*Calc!$I$3:$I$22)</f>
        <v/>
      </c>
      <c r="P4470">
        <f>I4470-G4470^2/k_n</f>
        <v/>
      </c>
      <c r="Q4470">
        <f>J4470-H4470^2/k_n</f>
        <v/>
      </c>
      <c r="R4470">
        <f>K4470-G4470*H4470/k_n</f>
        <v/>
      </c>
      <c r="S4470">
        <f>L4470-LTP3!$D$3*G4470/k_n</f>
        <v/>
      </c>
      <c r="T4470">
        <f>M4470-LTP3!$D$3*H4470/k_n</f>
        <v/>
      </c>
      <c r="U4470">
        <f>N4470-G4470*LTP3!$D$4/k_n</f>
        <v/>
      </c>
      <c r="V4470">
        <f>O4470-H4470*LTP3!$D$4/k_n</f>
        <v/>
      </c>
      <c r="W4470">
        <f>((LTP3!$D$5)*((P4470)*(Q4470)-(R4470)*(R4470))-(S4470)*((S4470)*(Q4470)-(R4470)*(T4470))+(T4470)*((S4470)*(R4470)-(P4470)*(T4470)))</f>
        <v/>
      </c>
      <c r="X4470">
        <f>IF(ABS(W4470)&gt;1E-12,((LTP3!$D$6)*((P4470)*(Q4470)-(R4470)*(R4470))-(S4470)*((U4470)*(Q4470)-(R4470)*(V4470))+(T4470)*((U4470)*(R4470)-(P4470)*(V4470)))/W4470,0)</f>
        <v/>
      </c>
      <c r="Y4470">
        <f>IF(ABS(W4470)&gt;1E-12,((LTP3!$D$5)*((U4470)*(Q4470)-(R4470)*(V4470))-(LTP3!$D$6)*((S4470)*(Q4470)-(R4470)*(T4470))+(T4470)*((S4470)*(V4470)-(U4470)*(T4470)))/W4470,0)</f>
        <v/>
      </c>
      <c r="Z4470">
        <f>IF(ABS(W4470)&gt;1E-12,((LTP3!$D$5)*((P4470)*(V4470)-(U4470)*(R4470))-(S4470)*((S4470)*(V4470)-(U4470)*(T4470))+(LTP3!$D$6)*((S4470)*(R4470)-(P4470)*(T4470)))/W4470,0)</f>
        <v/>
      </c>
      <c r="AA4470">
        <f>LTP3!$D$7-X4470*LTP3!$D$6-Y4470*U4470-Z4470*V4470</f>
        <v/>
      </c>
      <c r="AB4470">
        <f>IF(AND(F4470,ABS(W4470)&gt;1E-12,Y4470&gt;0,Z4470&gt;0),AA4470,1E+300)</f>
        <v/>
      </c>
    </row>
    <row r="4471">
      <c r="A4471">
        <f>$I$4-$B$5/10+$B$5*13/100</f>
        <v/>
      </c>
      <c r="B4471">
        <f>$J$4-$B$5/10+$B$5*18/100</f>
        <v/>
      </c>
      <c r="C4471">
        <f>SUMPRODUCT(Calc!$K$3:$K$22*(Calc!$G$3:$G$22&lt;=A4471))</f>
        <v/>
      </c>
      <c r="D4471">
        <f>SUMPRODUCT(Calc!$K$3:$K$22*(Calc!$G$3:$G$22&gt;A4471)*(Calc!$G$3:$G$22&lt;B4471))</f>
        <v/>
      </c>
      <c r="E4471">
        <f>SUMPRODUCT(Calc!$K$3:$K$22*(Calc!$G$3:$G$22&gt;=B4471))</f>
        <v/>
      </c>
      <c r="F4471">
        <f>AND(k_n&gt;=5,B4471&gt;A4471+1E-9,C4471&gt;=2,D4471&gt;=1,E4471&gt;=2)</f>
        <v/>
      </c>
      <c r="G4471">
        <f>SUMPRODUCT(Calc!$K$3:$K$22*(Calc!$G$3:$G$22&gt;A4471)*(Calc!$G$3:$G$22-A4471))</f>
        <v/>
      </c>
      <c r="H4471">
        <f>SUMPRODUCT(Calc!$K$3:$K$22*(Calc!$G$3:$G$22&gt;B4471)*(Calc!$G$3:$G$22-B4471))</f>
        <v/>
      </c>
      <c r="I4471">
        <f>SUMPRODUCT(Calc!$K$3:$K$22*(Calc!$G$3:$G$22&gt;A4471)*(Calc!$G$3:$G$22-A4471)^2)</f>
        <v/>
      </c>
      <c r="J4471">
        <f>SUMPRODUCT(Calc!$K$3:$K$22*(Calc!$G$3:$G$22&gt;B4471)*(Calc!$G$3:$G$22-B4471)^2)</f>
        <v/>
      </c>
      <c r="K4471">
        <f>SUMPRODUCT(Calc!$K$3:$K$22*(Calc!$G$3:$G$22&gt;A4471)*(Calc!$G$3:$G$22-A4471)*(Calc!$G$3:$G$22&gt;B4471)*(Calc!$G$3:$G$22-B4471))</f>
        <v/>
      </c>
      <c r="L4471">
        <f>SUMPRODUCT(Calc!$K$3:$K$22*(Calc!$G$3:$G$22&gt;A4471)*(Calc!$G$3:$G$22-A4471)*Calc!$G$3:$G$22)</f>
        <v/>
      </c>
      <c r="M4471">
        <f>SUMPRODUCT(Calc!$K$3:$K$22*(Calc!$G$3:$G$22&gt;B4471)*(Calc!$G$3:$G$22-B4471)*Calc!$G$3:$G$22)</f>
        <v/>
      </c>
      <c r="N4471">
        <f>SUMPRODUCT(Calc!$K$3:$K$22*(Calc!$G$3:$G$22&gt;A4471)*(Calc!$G$3:$G$22-A4471)*Calc!$I$3:$I$22)</f>
        <v/>
      </c>
      <c r="O4471">
        <f>SUMPRODUCT(Calc!$K$3:$K$22*(Calc!$G$3:$G$22&gt;B4471)*(Calc!$G$3:$G$22-B4471)*Calc!$I$3:$I$22)</f>
        <v/>
      </c>
      <c r="P4471">
        <f>I4471-G4471^2/k_n</f>
        <v/>
      </c>
      <c r="Q4471">
        <f>J4471-H4471^2/k_n</f>
        <v/>
      </c>
      <c r="R4471">
        <f>K4471-G4471*H4471/k_n</f>
        <v/>
      </c>
      <c r="S4471">
        <f>L4471-LTP3!$D$3*G4471/k_n</f>
        <v/>
      </c>
      <c r="T4471">
        <f>M4471-LTP3!$D$3*H4471/k_n</f>
        <v/>
      </c>
      <c r="U4471">
        <f>N4471-G4471*LTP3!$D$4/k_n</f>
        <v/>
      </c>
      <c r="V4471">
        <f>O4471-H4471*LTP3!$D$4/k_n</f>
        <v/>
      </c>
      <c r="W4471">
        <f>((LTP3!$D$5)*((P4471)*(Q4471)-(R4471)*(R4471))-(S4471)*((S4471)*(Q4471)-(R4471)*(T4471))+(T4471)*((S4471)*(R4471)-(P4471)*(T4471)))</f>
        <v/>
      </c>
      <c r="X4471">
        <f>IF(ABS(W4471)&gt;1E-12,((LTP3!$D$6)*((P4471)*(Q4471)-(R4471)*(R4471))-(S4471)*((U4471)*(Q4471)-(R4471)*(V4471))+(T4471)*((U4471)*(R4471)-(P4471)*(V4471)))/W4471,0)</f>
        <v/>
      </c>
      <c r="Y4471">
        <f>IF(ABS(W4471)&gt;1E-12,((LTP3!$D$5)*((U4471)*(Q4471)-(R4471)*(V4471))-(LTP3!$D$6)*((S4471)*(Q4471)-(R4471)*(T4471))+(T4471)*((S4471)*(V4471)-(U4471)*(T4471)))/W4471,0)</f>
        <v/>
      </c>
      <c r="Z4471">
        <f>IF(ABS(W4471)&gt;1E-12,((LTP3!$D$5)*((P4471)*(V4471)-(U4471)*(R4471))-(S4471)*((S4471)*(V4471)-(U4471)*(T4471))+(LTP3!$D$6)*((S4471)*(R4471)-(P4471)*(T4471)))/W4471,0)</f>
        <v/>
      </c>
      <c r="AA4471">
        <f>LTP3!$D$7-X4471*LTP3!$D$6-Y4471*U4471-Z4471*V4471</f>
        <v/>
      </c>
      <c r="AB4471">
        <f>IF(AND(F4471,ABS(W4471)&gt;1E-12,Y4471&gt;0,Z4471&gt;0),AA4471,1E+300)</f>
        <v/>
      </c>
    </row>
    <row r="4472">
      <c r="A4472">
        <f>$I$4-$B$5/10+$B$5*13/100</f>
        <v/>
      </c>
      <c r="B4472">
        <f>$J$4-$B$5/10+$B$5*19/100</f>
        <v/>
      </c>
      <c r="C4472">
        <f>SUMPRODUCT(Calc!$K$3:$K$22*(Calc!$G$3:$G$22&lt;=A4472))</f>
        <v/>
      </c>
      <c r="D4472">
        <f>SUMPRODUCT(Calc!$K$3:$K$22*(Calc!$G$3:$G$22&gt;A4472)*(Calc!$G$3:$G$22&lt;B4472))</f>
        <v/>
      </c>
      <c r="E4472">
        <f>SUMPRODUCT(Calc!$K$3:$K$22*(Calc!$G$3:$G$22&gt;=B4472))</f>
        <v/>
      </c>
      <c r="F4472">
        <f>AND(k_n&gt;=5,B4472&gt;A4472+1E-9,C4472&gt;=2,D4472&gt;=1,E4472&gt;=2)</f>
        <v/>
      </c>
      <c r="G4472">
        <f>SUMPRODUCT(Calc!$K$3:$K$22*(Calc!$G$3:$G$22&gt;A4472)*(Calc!$G$3:$G$22-A4472))</f>
        <v/>
      </c>
      <c r="H4472">
        <f>SUMPRODUCT(Calc!$K$3:$K$22*(Calc!$G$3:$G$22&gt;B4472)*(Calc!$G$3:$G$22-B4472))</f>
        <v/>
      </c>
      <c r="I4472">
        <f>SUMPRODUCT(Calc!$K$3:$K$22*(Calc!$G$3:$G$22&gt;A4472)*(Calc!$G$3:$G$22-A4472)^2)</f>
        <v/>
      </c>
      <c r="J4472">
        <f>SUMPRODUCT(Calc!$K$3:$K$22*(Calc!$G$3:$G$22&gt;B4472)*(Calc!$G$3:$G$22-B4472)^2)</f>
        <v/>
      </c>
      <c r="K4472">
        <f>SUMPRODUCT(Calc!$K$3:$K$22*(Calc!$G$3:$G$22&gt;A4472)*(Calc!$G$3:$G$22-A4472)*(Calc!$G$3:$G$22&gt;B4472)*(Calc!$G$3:$G$22-B4472))</f>
        <v/>
      </c>
      <c r="L4472">
        <f>SUMPRODUCT(Calc!$K$3:$K$22*(Calc!$G$3:$G$22&gt;A4472)*(Calc!$G$3:$G$22-A4472)*Calc!$G$3:$G$22)</f>
        <v/>
      </c>
      <c r="M4472">
        <f>SUMPRODUCT(Calc!$K$3:$K$22*(Calc!$G$3:$G$22&gt;B4472)*(Calc!$G$3:$G$22-B4472)*Calc!$G$3:$G$22)</f>
        <v/>
      </c>
      <c r="N4472">
        <f>SUMPRODUCT(Calc!$K$3:$K$22*(Calc!$G$3:$G$22&gt;A4472)*(Calc!$G$3:$G$22-A4472)*Calc!$I$3:$I$22)</f>
        <v/>
      </c>
      <c r="O4472">
        <f>SUMPRODUCT(Calc!$K$3:$K$22*(Calc!$G$3:$G$22&gt;B4472)*(Calc!$G$3:$G$22-B4472)*Calc!$I$3:$I$22)</f>
        <v/>
      </c>
      <c r="P4472">
        <f>I4472-G4472^2/k_n</f>
        <v/>
      </c>
      <c r="Q4472">
        <f>J4472-H4472^2/k_n</f>
        <v/>
      </c>
      <c r="R4472">
        <f>K4472-G4472*H4472/k_n</f>
        <v/>
      </c>
      <c r="S4472">
        <f>L4472-LTP3!$D$3*G4472/k_n</f>
        <v/>
      </c>
      <c r="T4472">
        <f>M4472-LTP3!$D$3*H4472/k_n</f>
        <v/>
      </c>
      <c r="U4472">
        <f>N4472-G4472*LTP3!$D$4/k_n</f>
        <v/>
      </c>
      <c r="V4472">
        <f>O4472-H4472*LTP3!$D$4/k_n</f>
        <v/>
      </c>
      <c r="W4472">
        <f>((LTP3!$D$5)*((P4472)*(Q4472)-(R4472)*(R4472))-(S4472)*((S4472)*(Q4472)-(R4472)*(T4472))+(T4472)*((S4472)*(R4472)-(P4472)*(T4472)))</f>
        <v/>
      </c>
      <c r="X4472">
        <f>IF(ABS(W4472)&gt;1E-12,((LTP3!$D$6)*((P4472)*(Q4472)-(R4472)*(R4472))-(S4472)*((U4472)*(Q4472)-(R4472)*(V4472))+(T4472)*((U4472)*(R4472)-(P4472)*(V4472)))/W4472,0)</f>
        <v/>
      </c>
      <c r="Y4472">
        <f>IF(ABS(W4472)&gt;1E-12,((LTP3!$D$5)*((U4472)*(Q4472)-(R4472)*(V4472))-(LTP3!$D$6)*((S4472)*(Q4472)-(R4472)*(T4472))+(T4472)*((S4472)*(V4472)-(U4472)*(T4472)))/W4472,0)</f>
        <v/>
      </c>
      <c r="Z4472">
        <f>IF(ABS(W4472)&gt;1E-12,((LTP3!$D$5)*((P4472)*(V4472)-(U4472)*(R4472))-(S4472)*((S4472)*(V4472)-(U4472)*(T4472))+(LTP3!$D$6)*((S4472)*(R4472)-(P4472)*(T4472)))/W4472,0)</f>
        <v/>
      </c>
      <c r="AA4472">
        <f>LTP3!$D$7-X4472*LTP3!$D$6-Y4472*U4472-Z4472*V4472</f>
        <v/>
      </c>
      <c r="AB4472">
        <f>IF(AND(F4472,ABS(W4472)&gt;1E-12,Y4472&gt;0,Z4472&gt;0),AA4472,1E+300)</f>
        <v/>
      </c>
    </row>
    <row r="4473">
      <c r="A4473">
        <f>$I$4-$B$5/10+$B$5*13/100</f>
        <v/>
      </c>
      <c r="B4473">
        <f>$J$4-$B$5/10+$B$5*20/100</f>
        <v/>
      </c>
      <c r="C4473">
        <f>SUMPRODUCT(Calc!$K$3:$K$22*(Calc!$G$3:$G$22&lt;=A4473))</f>
        <v/>
      </c>
      <c r="D4473">
        <f>SUMPRODUCT(Calc!$K$3:$K$22*(Calc!$G$3:$G$22&gt;A4473)*(Calc!$G$3:$G$22&lt;B4473))</f>
        <v/>
      </c>
      <c r="E4473">
        <f>SUMPRODUCT(Calc!$K$3:$K$22*(Calc!$G$3:$G$22&gt;=B4473))</f>
        <v/>
      </c>
      <c r="F4473">
        <f>AND(k_n&gt;=5,B4473&gt;A4473+1E-9,C4473&gt;=2,D4473&gt;=1,E4473&gt;=2)</f>
        <v/>
      </c>
      <c r="G4473">
        <f>SUMPRODUCT(Calc!$K$3:$K$22*(Calc!$G$3:$G$22&gt;A4473)*(Calc!$G$3:$G$22-A4473))</f>
        <v/>
      </c>
      <c r="H4473">
        <f>SUMPRODUCT(Calc!$K$3:$K$22*(Calc!$G$3:$G$22&gt;B4473)*(Calc!$G$3:$G$22-B4473))</f>
        <v/>
      </c>
      <c r="I4473">
        <f>SUMPRODUCT(Calc!$K$3:$K$22*(Calc!$G$3:$G$22&gt;A4473)*(Calc!$G$3:$G$22-A4473)^2)</f>
        <v/>
      </c>
      <c r="J4473">
        <f>SUMPRODUCT(Calc!$K$3:$K$22*(Calc!$G$3:$G$22&gt;B4473)*(Calc!$G$3:$G$22-B4473)^2)</f>
        <v/>
      </c>
      <c r="K4473">
        <f>SUMPRODUCT(Calc!$K$3:$K$22*(Calc!$G$3:$G$22&gt;A4473)*(Calc!$G$3:$G$22-A4473)*(Calc!$G$3:$G$22&gt;B4473)*(Calc!$G$3:$G$22-B4473))</f>
        <v/>
      </c>
      <c r="L4473">
        <f>SUMPRODUCT(Calc!$K$3:$K$22*(Calc!$G$3:$G$22&gt;A4473)*(Calc!$G$3:$G$22-A4473)*Calc!$G$3:$G$22)</f>
        <v/>
      </c>
      <c r="M4473">
        <f>SUMPRODUCT(Calc!$K$3:$K$22*(Calc!$G$3:$G$22&gt;B4473)*(Calc!$G$3:$G$22-B4473)*Calc!$G$3:$G$22)</f>
        <v/>
      </c>
      <c r="N4473">
        <f>SUMPRODUCT(Calc!$K$3:$K$22*(Calc!$G$3:$G$22&gt;A4473)*(Calc!$G$3:$G$22-A4473)*Calc!$I$3:$I$22)</f>
        <v/>
      </c>
      <c r="O4473">
        <f>SUMPRODUCT(Calc!$K$3:$K$22*(Calc!$G$3:$G$22&gt;B4473)*(Calc!$G$3:$G$22-B4473)*Calc!$I$3:$I$22)</f>
        <v/>
      </c>
      <c r="P4473">
        <f>I4473-G4473^2/k_n</f>
        <v/>
      </c>
      <c r="Q4473">
        <f>J4473-H4473^2/k_n</f>
        <v/>
      </c>
      <c r="R4473">
        <f>K4473-G4473*H4473/k_n</f>
        <v/>
      </c>
      <c r="S4473">
        <f>L4473-LTP3!$D$3*G4473/k_n</f>
        <v/>
      </c>
      <c r="T4473">
        <f>M4473-LTP3!$D$3*H4473/k_n</f>
        <v/>
      </c>
      <c r="U4473">
        <f>N4473-G4473*LTP3!$D$4/k_n</f>
        <v/>
      </c>
      <c r="V4473">
        <f>O4473-H4473*LTP3!$D$4/k_n</f>
        <v/>
      </c>
      <c r="W4473">
        <f>((LTP3!$D$5)*((P4473)*(Q4473)-(R4473)*(R4473))-(S4473)*((S4473)*(Q4473)-(R4473)*(T4473))+(T4473)*((S4473)*(R4473)-(P4473)*(T4473)))</f>
        <v/>
      </c>
      <c r="X4473">
        <f>IF(ABS(W4473)&gt;1E-12,((LTP3!$D$6)*((P4473)*(Q4473)-(R4473)*(R4473))-(S4473)*((U4473)*(Q4473)-(R4473)*(V4473))+(T4473)*((U4473)*(R4473)-(P4473)*(V4473)))/W4473,0)</f>
        <v/>
      </c>
      <c r="Y4473">
        <f>IF(ABS(W4473)&gt;1E-12,((LTP3!$D$5)*((U4473)*(Q4473)-(R4473)*(V4473))-(LTP3!$D$6)*((S4473)*(Q4473)-(R4473)*(T4473))+(T4473)*((S4473)*(V4473)-(U4473)*(T4473)))/W4473,0)</f>
        <v/>
      </c>
      <c r="Z4473">
        <f>IF(ABS(W4473)&gt;1E-12,((LTP3!$D$5)*((P4473)*(V4473)-(U4473)*(R4473))-(S4473)*((S4473)*(V4473)-(U4473)*(T4473))+(LTP3!$D$6)*((S4473)*(R4473)-(P4473)*(T4473)))/W4473,0)</f>
        <v/>
      </c>
      <c r="AA4473">
        <f>LTP3!$D$7-X4473*LTP3!$D$6-Y4473*U4473-Z4473*V4473</f>
        <v/>
      </c>
      <c r="AB4473">
        <f>IF(AND(F4473,ABS(W4473)&gt;1E-12,Y4473&gt;0,Z4473&gt;0),AA4473,1E+300)</f>
        <v/>
      </c>
    </row>
    <row r="4474">
      <c r="A4474">
        <f>$I$4-$B$5/10+$B$5*14/100</f>
        <v/>
      </c>
      <c r="B4474">
        <f>$J$4-$B$5/10+$B$5*0/100</f>
        <v/>
      </c>
      <c r="C4474">
        <f>SUMPRODUCT(Calc!$K$3:$K$22*(Calc!$G$3:$G$22&lt;=A4474))</f>
        <v/>
      </c>
      <c r="D4474">
        <f>SUMPRODUCT(Calc!$K$3:$K$22*(Calc!$G$3:$G$22&gt;A4474)*(Calc!$G$3:$G$22&lt;B4474))</f>
        <v/>
      </c>
      <c r="E4474">
        <f>SUMPRODUCT(Calc!$K$3:$K$22*(Calc!$G$3:$G$22&gt;=B4474))</f>
        <v/>
      </c>
      <c r="F4474">
        <f>AND(k_n&gt;=5,B4474&gt;A4474+1E-9,C4474&gt;=2,D4474&gt;=1,E4474&gt;=2)</f>
        <v/>
      </c>
      <c r="G4474">
        <f>SUMPRODUCT(Calc!$K$3:$K$22*(Calc!$G$3:$G$22&gt;A4474)*(Calc!$G$3:$G$22-A4474))</f>
        <v/>
      </c>
      <c r="H4474">
        <f>SUMPRODUCT(Calc!$K$3:$K$22*(Calc!$G$3:$G$22&gt;B4474)*(Calc!$G$3:$G$22-B4474))</f>
        <v/>
      </c>
      <c r="I4474">
        <f>SUMPRODUCT(Calc!$K$3:$K$22*(Calc!$G$3:$G$22&gt;A4474)*(Calc!$G$3:$G$22-A4474)^2)</f>
        <v/>
      </c>
      <c r="J4474">
        <f>SUMPRODUCT(Calc!$K$3:$K$22*(Calc!$G$3:$G$22&gt;B4474)*(Calc!$G$3:$G$22-B4474)^2)</f>
        <v/>
      </c>
      <c r="K4474">
        <f>SUMPRODUCT(Calc!$K$3:$K$22*(Calc!$G$3:$G$22&gt;A4474)*(Calc!$G$3:$G$22-A4474)*(Calc!$G$3:$G$22&gt;B4474)*(Calc!$G$3:$G$22-B4474))</f>
        <v/>
      </c>
      <c r="L4474">
        <f>SUMPRODUCT(Calc!$K$3:$K$22*(Calc!$G$3:$G$22&gt;A4474)*(Calc!$G$3:$G$22-A4474)*Calc!$G$3:$G$22)</f>
        <v/>
      </c>
      <c r="M4474">
        <f>SUMPRODUCT(Calc!$K$3:$K$22*(Calc!$G$3:$G$22&gt;B4474)*(Calc!$G$3:$G$22-B4474)*Calc!$G$3:$G$22)</f>
        <v/>
      </c>
      <c r="N4474">
        <f>SUMPRODUCT(Calc!$K$3:$K$22*(Calc!$G$3:$G$22&gt;A4474)*(Calc!$G$3:$G$22-A4474)*Calc!$I$3:$I$22)</f>
        <v/>
      </c>
      <c r="O4474">
        <f>SUMPRODUCT(Calc!$K$3:$K$22*(Calc!$G$3:$G$22&gt;B4474)*(Calc!$G$3:$G$22-B4474)*Calc!$I$3:$I$22)</f>
        <v/>
      </c>
      <c r="P4474">
        <f>I4474-G4474^2/k_n</f>
        <v/>
      </c>
      <c r="Q4474">
        <f>J4474-H4474^2/k_n</f>
        <v/>
      </c>
      <c r="R4474">
        <f>K4474-G4474*H4474/k_n</f>
        <v/>
      </c>
      <c r="S4474">
        <f>L4474-LTP3!$D$3*G4474/k_n</f>
        <v/>
      </c>
      <c r="T4474">
        <f>M4474-LTP3!$D$3*H4474/k_n</f>
        <v/>
      </c>
      <c r="U4474">
        <f>N4474-G4474*LTP3!$D$4/k_n</f>
        <v/>
      </c>
      <c r="V4474">
        <f>O4474-H4474*LTP3!$D$4/k_n</f>
        <v/>
      </c>
      <c r="W4474">
        <f>((LTP3!$D$5)*((P4474)*(Q4474)-(R4474)*(R4474))-(S4474)*((S4474)*(Q4474)-(R4474)*(T4474))+(T4474)*((S4474)*(R4474)-(P4474)*(T4474)))</f>
        <v/>
      </c>
      <c r="X4474">
        <f>IF(ABS(W4474)&gt;1E-12,((LTP3!$D$6)*((P4474)*(Q4474)-(R4474)*(R4474))-(S4474)*((U4474)*(Q4474)-(R4474)*(V4474))+(T4474)*((U4474)*(R4474)-(P4474)*(V4474)))/W4474,0)</f>
        <v/>
      </c>
      <c r="Y4474">
        <f>IF(ABS(W4474)&gt;1E-12,((LTP3!$D$5)*((U4474)*(Q4474)-(R4474)*(V4474))-(LTP3!$D$6)*((S4474)*(Q4474)-(R4474)*(T4474))+(T4474)*((S4474)*(V4474)-(U4474)*(T4474)))/W4474,0)</f>
        <v/>
      </c>
      <c r="Z4474">
        <f>IF(ABS(W4474)&gt;1E-12,((LTP3!$D$5)*((P4474)*(V4474)-(U4474)*(R4474))-(S4474)*((S4474)*(V4474)-(U4474)*(T4474))+(LTP3!$D$6)*((S4474)*(R4474)-(P4474)*(T4474)))/W4474,0)</f>
        <v/>
      </c>
      <c r="AA4474">
        <f>LTP3!$D$7-X4474*LTP3!$D$6-Y4474*U4474-Z4474*V4474</f>
        <v/>
      </c>
      <c r="AB4474">
        <f>IF(AND(F4474,ABS(W4474)&gt;1E-12,Y4474&gt;0,Z4474&gt;0),AA4474,1E+300)</f>
        <v/>
      </c>
    </row>
    <row r="4475">
      <c r="A4475">
        <f>$I$4-$B$5/10+$B$5*14/100</f>
        <v/>
      </c>
      <c r="B4475">
        <f>$J$4-$B$5/10+$B$5*1/100</f>
        <v/>
      </c>
      <c r="C4475">
        <f>SUMPRODUCT(Calc!$K$3:$K$22*(Calc!$G$3:$G$22&lt;=A4475))</f>
        <v/>
      </c>
      <c r="D4475">
        <f>SUMPRODUCT(Calc!$K$3:$K$22*(Calc!$G$3:$G$22&gt;A4475)*(Calc!$G$3:$G$22&lt;B4475))</f>
        <v/>
      </c>
      <c r="E4475">
        <f>SUMPRODUCT(Calc!$K$3:$K$22*(Calc!$G$3:$G$22&gt;=B4475))</f>
        <v/>
      </c>
      <c r="F4475">
        <f>AND(k_n&gt;=5,B4475&gt;A4475+1E-9,C4475&gt;=2,D4475&gt;=1,E4475&gt;=2)</f>
        <v/>
      </c>
      <c r="G4475">
        <f>SUMPRODUCT(Calc!$K$3:$K$22*(Calc!$G$3:$G$22&gt;A4475)*(Calc!$G$3:$G$22-A4475))</f>
        <v/>
      </c>
      <c r="H4475">
        <f>SUMPRODUCT(Calc!$K$3:$K$22*(Calc!$G$3:$G$22&gt;B4475)*(Calc!$G$3:$G$22-B4475))</f>
        <v/>
      </c>
      <c r="I4475">
        <f>SUMPRODUCT(Calc!$K$3:$K$22*(Calc!$G$3:$G$22&gt;A4475)*(Calc!$G$3:$G$22-A4475)^2)</f>
        <v/>
      </c>
      <c r="J4475">
        <f>SUMPRODUCT(Calc!$K$3:$K$22*(Calc!$G$3:$G$22&gt;B4475)*(Calc!$G$3:$G$22-B4475)^2)</f>
        <v/>
      </c>
      <c r="K4475">
        <f>SUMPRODUCT(Calc!$K$3:$K$22*(Calc!$G$3:$G$22&gt;A4475)*(Calc!$G$3:$G$22-A4475)*(Calc!$G$3:$G$22&gt;B4475)*(Calc!$G$3:$G$22-B4475))</f>
        <v/>
      </c>
      <c r="L4475">
        <f>SUMPRODUCT(Calc!$K$3:$K$22*(Calc!$G$3:$G$22&gt;A4475)*(Calc!$G$3:$G$22-A4475)*Calc!$G$3:$G$22)</f>
        <v/>
      </c>
      <c r="M4475">
        <f>SUMPRODUCT(Calc!$K$3:$K$22*(Calc!$G$3:$G$22&gt;B4475)*(Calc!$G$3:$G$22-B4475)*Calc!$G$3:$G$22)</f>
        <v/>
      </c>
      <c r="N4475">
        <f>SUMPRODUCT(Calc!$K$3:$K$22*(Calc!$G$3:$G$22&gt;A4475)*(Calc!$G$3:$G$22-A4475)*Calc!$I$3:$I$22)</f>
        <v/>
      </c>
      <c r="O4475">
        <f>SUMPRODUCT(Calc!$K$3:$K$22*(Calc!$G$3:$G$22&gt;B4475)*(Calc!$G$3:$G$22-B4475)*Calc!$I$3:$I$22)</f>
        <v/>
      </c>
      <c r="P4475">
        <f>I4475-G4475^2/k_n</f>
        <v/>
      </c>
      <c r="Q4475">
        <f>J4475-H4475^2/k_n</f>
        <v/>
      </c>
      <c r="R4475">
        <f>K4475-G4475*H4475/k_n</f>
        <v/>
      </c>
      <c r="S4475">
        <f>L4475-LTP3!$D$3*G4475/k_n</f>
        <v/>
      </c>
      <c r="T4475">
        <f>M4475-LTP3!$D$3*H4475/k_n</f>
        <v/>
      </c>
      <c r="U4475">
        <f>N4475-G4475*LTP3!$D$4/k_n</f>
        <v/>
      </c>
      <c r="V4475">
        <f>O4475-H4475*LTP3!$D$4/k_n</f>
        <v/>
      </c>
      <c r="W4475">
        <f>((LTP3!$D$5)*((P4475)*(Q4475)-(R4475)*(R4475))-(S4475)*((S4475)*(Q4475)-(R4475)*(T4475))+(T4475)*((S4475)*(R4475)-(P4475)*(T4475)))</f>
        <v/>
      </c>
      <c r="X4475">
        <f>IF(ABS(W4475)&gt;1E-12,((LTP3!$D$6)*((P4475)*(Q4475)-(R4475)*(R4475))-(S4475)*((U4475)*(Q4475)-(R4475)*(V4475))+(T4475)*((U4475)*(R4475)-(P4475)*(V4475)))/W4475,0)</f>
        <v/>
      </c>
      <c r="Y4475">
        <f>IF(ABS(W4475)&gt;1E-12,((LTP3!$D$5)*((U4475)*(Q4475)-(R4475)*(V4475))-(LTP3!$D$6)*((S4475)*(Q4475)-(R4475)*(T4475))+(T4475)*((S4475)*(V4475)-(U4475)*(T4475)))/W4475,0)</f>
        <v/>
      </c>
      <c r="Z4475">
        <f>IF(ABS(W4475)&gt;1E-12,((LTP3!$D$5)*((P4475)*(V4475)-(U4475)*(R4475))-(S4475)*((S4475)*(V4475)-(U4475)*(T4475))+(LTP3!$D$6)*((S4475)*(R4475)-(P4475)*(T4475)))/W4475,0)</f>
        <v/>
      </c>
      <c r="AA4475">
        <f>LTP3!$D$7-X4475*LTP3!$D$6-Y4475*U4475-Z4475*V4475</f>
        <v/>
      </c>
      <c r="AB4475">
        <f>IF(AND(F4475,ABS(W4475)&gt;1E-12,Y4475&gt;0,Z4475&gt;0),AA4475,1E+300)</f>
        <v/>
      </c>
    </row>
    <row r="4476">
      <c r="A4476">
        <f>$I$4-$B$5/10+$B$5*14/100</f>
        <v/>
      </c>
      <c r="B4476">
        <f>$J$4-$B$5/10+$B$5*2/100</f>
        <v/>
      </c>
      <c r="C4476">
        <f>SUMPRODUCT(Calc!$K$3:$K$22*(Calc!$G$3:$G$22&lt;=A4476))</f>
        <v/>
      </c>
      <c r="D4476">
        <f>SUMPRODUCT(Calc!$K$3:$K$22*(Calc!$G$3:$G$22&gt;A4476)*(Calc!$G$3:$G$22&lt;B4476))</f>
        <v/>
      </c>
      <c r="E4476">
        <f>SUMPRODUCT(Calc!$K$3:$K$22*(Calc!$G$3:$G$22&gt;=B4476))</f>
        <v/>
      </c>
      <c r="F4476">
        <f>AND(k_n&gt;=5,B4476&gt;A4476+1E-9,C4476&gt;=2,D4476&gt;=1,E4476&gt;=2)</f>
        <v/>
      </c>
      <c r="G4476">
        <f>SUMPRODUCT(Calc!$K$3:$K$22*(Calc!$G$3:$G$22&gt;A4476)*(Calc!$G$3:$G$22-A4476))</f>
        <v/>
      </c>
      <c r="H4476">
        <f>SUMPRODUCT(Calc!$K$3:$K$22*(Calc!$G$3:$G$22&gt;B4476)*(Calc!$G$3:$G$22-B4476))</f>
        <v/>
      </c>
      <c r="I4476">
        <f>SUMPRODUCT(Calc!$K$3:$K$22*(Calc!$G$3:$G$22&gt;A4476)*(Calc!$G$3:$G$22-A4476)^2)</f>
        <v/>
      </c>
      <c r="J4476">
        <f>SUMPRODUCT(Calc!$K$3:$K$22*(Calc!$G$3:$G$22&gt;B4476)*(Calc!$G$3:$G$22-B4476)^2)</f>
        <v/>
      </c>
      <c r="K4476">
        <f>SUMPRODUCT(Calc!$K$3:$K$22*(Calc!$G$3:$G$22&gt;A4476)*(Calc!$G$3:$G$22-A4476)*(Calc!$G$3:$G$22&gt;B4476)*(Calc!$G$3:$G$22-B4476))</f>
        <v/>
      </c>
      <c r="L4476">
        <f>SUMPRODUCT(Calc!$K$3:$K$22*(Calc!$G$3:$G$22&gt;A4476)*(Calc!$G$3:$G$22-A4476)*Calc!$G$3:$G$22)</f>
        <v/>
      </c>
      <c r="M4476">
        <f>SUMPRODUCT(Calc!$K$3:$K$22*(Calc!$G$3:$G$22&gt;B4476)*(Calc!$G$3:$G$22-B4476)*Calc!$G$3:$G$22)</f>
        <v/>
      </c>
      <c r="N4476">
        <f>SUMPRODUCT(Calc!$K$3:$K$22*(Calc!$G$3:$G$22&gt;A4476)*(Calc!$G$3:$G$22-A4476)*Calc!$I$3:$I$22)</f>
        <v/>
      </c>
      <c r="O4476">
        <f>SUMPRODUCT(Calc!$K$3:$K$22*(Calc!$G$3:$G$22&gt;B4476)*(Calc!$G$3:$G$22-B4476)*Calc!$I$3:$I$22)</f>
        <v/>
      </c>
      <c r="P4476">
        <f>I4476-G4476^2/k_n</f>
        <v/>
      </c>
      <c r="Q4476">
        <f>J4476-H4476^2/k_n</f>
        <v/>
      </c>
      <c r="R4476">
        <f>K4476-G4476*H4476/k_n</f>
        <v/>
      </c>
      <c r="S4476">
        <f>L4476-LTP3!$D$3*G4476/k_n</f>
        <v/>
      </c>
      <c r="T4476">
        <f>M4476-LTP3!$D$3*H4476/k_n</f>
        <v/>
      </c>
      <c r="U4476">
        <f>N4476-G4476*LTP3!$D$4/k_n</f>
        <v/>
      </c>
      <c r="V4476">
        <f>O4476-H4476*LTP3!$D$4/k_n</f>
        <v/>
      </c>
      <c r="W4476">
        <f>((LTP3!$D$5)*((P4476)*(Q4476)-(R4476)*(R4476))-(S4476)*((S4476)*(Q4476)-(R4476)*(T4476))+(T4476)*((S4476)*(R4476)-(P4476)*(T4476)))</f>
        <v/>
      </c>
      <c r="X4476">
        <f>IF(ABS(W4476)&gt;1E-12,((LTP3!$D$6)*((P4476)*(Q4476)-(R4476)*(R4476))-(S4476)*((U4476)*(Q4476)-(R4476)*(V4476))+(T4476)*((U4476)*(R4476)-(P4476)*(V4476)))/W4476,0)</f>
        <v/>
      </c>
      <c r="Y4476">
        <f>IF(ABS(W4476)&gt;1E-12,((LTP3!$D$5)*((U4476)*(Q4476)-(R4476)*(V4476))-(LTP3!$D$6)*((S4476)*(Q4476)-(R4476)*(T4476))+(T4476)*((S4476)*(V4476)-(U4476)*(T4476)))/W4476,0)</f>
        <v/>
      </c>
      <c r="Z4476">
        <f>IF(ABS(W4476)&gt;1E-12,((LTP3!$D$5)*((P4476)*(V4476)-(U4476)*(R4476))-(S4476)*((S4476)*(V4476)-(U4476)*(T4476))+(LTP3!$D$6)*((S4476)*(R4476)-(P4476)*(T4476)))/W4476,0)</f>
        <v/>
      </c>
      <c r="AA4476">
        <f>LTP3!$D$7-X4476*LTP3!$D$6-Y4476*U4476-Z4476*V4476</f>
        <v/>
      </c>
      <c r="AB4476">
        <f>IF(AND(F4476,ABS(W4476)&gt;1E-12,Y4476&gt;0,Z4476&gt;0),AA4476,1E+300)</f>
        <v/>
      </c>
    </row>
    <row r="4477">
      <c r="A4477">
        <f>$I$4-$B$5/10+$B$5*14/100</f>
        <v/>
      </c>
      <c r="B4477">
        <f>$J$4-$B$5/10+$B$5*3/100</f>
        <v/>
      </c>
      <c r="C4477">
        <f>SUMPRODUCT(Calc!$K$3:$K$22*(Calc!$G$3:$G$22&lt;=A4477))</f>
        <v/>
      </c>
      <c r="D4477">
        <f>SUMPRODUCT(Calc!$K$3:$K$22*(Calc!$G$3:$G$22&gt;A4477)*(Calc!$G$3:$G$22&lt;B4477))</f>
        <v/>
      </c>
      <c r="E4477">
        <f>SUMPRODUCT(Calc!$K$3:$K$22*(Calc!$G$3:$G$22&gt;=B4477))</f>
        <v/>
      </c>
      <c r="F4477">
        <f>AND(k_n&gt;=5,B4477&gt;A4477+1E-9,C4477&gt;=2,D4477&gt;=1,E4477&gt;=2)</f>
        <v/>
      </c>
      <c r="G4477">
        <f>SUMPRODUCT(Calc!$K$3:$K$22*(Calc!$G$3:$G$22&gt;A4477)*(Calc!$G$3:$G$22-A4477))</f>
        <v/>
      </c>
      <c r="H4477">
        <f>SUMPRODUCT(Calc!$K$3:$K$22*(Calc!$G$3:$G$22&gt;B4477)*(Calc!$G$3:$G$22-B4477))</f>
        <v/>
      </c>
      <c r="I4477">
        <f>SUMPRODUCT(Calc!$K$3:$K$22*(Calc!$G$3:$G$22&gt;A4477)*(Calc!$G$3:$G$22-A4477)^2)</f>
        <v/>
      </c>
      <c r="J4477">
        <f>SUMPRODUCT(Calc!$K$3:$K$22*(Calc!$G$3:$G$22&gt;B4477)*(Calc!$G$3:$G$22-B4477)^2)</f>
        <v/>
      </c>
      <c r="K4477">
        <f>SUMPRODUCT(Calc!$K$3:$K$22*(Calc!$G$3:$G$22&gt;A4477)*(Calc!$G$3:$G$22-A4477)*(Calc!$G$3:$G$22&gt;B4477)*(Calc!$G$3:$G$22-B4477))</f>
        <v/>
      </c>
      <c r="L4477">
        <f>SUMPRODUCT(Calc!$K$3:$K$22*(Calc!$G$3:$G$22&gt;A4477)*(Calc!$G$3:$G$22-A4477)*Calc!$G$3:$G$22)</f>
        <v/>
      </c>
      <c r="M4477">
        <f>SUMPRODUCT(Calc!$K$3:$K$22*(Calc!$G$3:$G$22&gt;B4477)*(Calc!$G$3:$G$22-B4477)*Calc!$G$3:$G$22)</f>
        <v/>
      </c>
      <c r="N4477">
        <f>SUMPRODUCT(Calc!$K$3:$K$22*(Calc!$G$3:$G$22&gt;A4477)*(Calc!$G$3:$G$22-A4477)*Calc!$I$3:$I$22)</f>
        <v/>
      </c>
      <c r="O4477">
        <f>SUMPRODUCT(Calc!$K$3:$K$22*(Calc!$G$3:$G$22&gt;B4477)*(Calc!$G$3:$G$22-B4477)*Calc!$I$3:$I$22)</f>
        <v/>
      </c>
      <c r="P4477">
        <f>I4477-G4477^2/k_n</f>
        <v/>
      </c>
      <c r="Q4477">
        <f>J4477-H4477^2/k_n</f>
        <v/>
      </c>
      <c r="R4477">
        <f>K4477-G4477*H4477/k_n</f>
        <v/>
      </c>
      <c r="S4477">
        <f>L4477-LTP3!$D$3*G4477/k_n</f>
        <v/>
      </c>
      <c r="T4477">
        <f>M4477-LTP3!$D$3*H4477/k_n</f>
        <v/>
      </c>
      <c r="U4477">
        <f>N4477-G4477*LTP3!$D$4/k_n</f>
        <v/>
      </c>
      <c r="V4477">
        <f>O4477-H4477*LTP3!$D$4/k_n</f>
        <v/>
      </c>
      <c r="W4477">
        <f>((LTP3!$D$5)*((P4477)*(Q4477)-(R4477)*(R4477))-(S4477)*((S4477)*(Q4477)-(R4477)*(T4477))+(T4477)*((S4477)*(R4477)-(P4477)*(T4477)))</f>
        <v/>
      </c>
      <c r="X4477">
        <f>IF(ABS(W4477)&gt;1E-12,((LTP3!$D$6)*((P4477)*(Q4477)-(R4477)*(R4477))-(S4477)*((U4477)*(Q4477)-(R4477)*(V4477))+(T4477)*((U4477)*(R4477)-(P4477)*(V4477)))/W4477,0)</f>
        <v/>
      </c>
      <c r="Y4477">
        <f>IF(ABS(W4477)&gt;1E-12,((LTP3!$D$5)*((U4477)*(Q4477)-(R4477)*(V4477))-(LTP3!$D$6)*((S4477)*(Q4477)-(R4477)*(T4477))+(T4477)*((S4477)*(V4477)-(U4477)*(T4477)))/W4477,0)</f>
        <v/>
      </c>
      <c r="Z4477">
        <f>IF(ABS(W4477)&gt;1E-12,((LTP3!$D$5)*((P4477)*(V4477)-(U4477)*(R4477))-(S4477)*((S4477)*(V4477)-(U4477)*(T4477))+(LTP3!$D$6)*((S4477)*(R4477)-(P4477)*(T4477)))/W4477,0)</f>
        <v/>
      </c>
      <c r="AA4477">
        <f>LTP3!$D$7-X4477*LTP3!$D$6-Y4477*U4477-Z4477*V4477</f>
        <v/>
      </c>
      <c r="AB4477">
        <f>IF(AND(F4477,ABS(W4477)&gt;1E-12,Y4477&gt;0,Z4477&gt;0),AA4477,1E+300)</f>
        <v/>
      </c>
    </row>
    <row r="4478">
      <c r="A4478">
        <f>$I$4-$B$5/10+$B$5*14/100</f>
        <v/>
      </c>
      <c r="B4478">
        <f>$J$4-$B$5/10+$B$5*4/100</f>
        <v/>
      </c>
      <c r="C4478">
        <f>SUMPRODUCT(Calc!$K$3:$K$22*(Calc!$G$3:$G$22&lt;=A4478))</f>
        <v/>
      </c>
      <c r="D4478">
        <f>SUMPRODUCT(Calc!$K$3:$K$22*(Calc!$G$3:$G$22&gt;A4478)*(Calc!$G$3:$G$22&lt;B4478))</f>
        <v/>
      </c>
      <c r="E4478">
        <f>SUMPRODUCT(Calc!$K$3:$K$22*(Calc!$G$3:$G$22&gt;=B4478))</f>
        <v/>
      </c>
      <c r="F4478">
        <f>AND(k_n&gt;=5,B4478&gt;A4478+1E-9,C4478&gt;=2,D4478&gt;=1,E4478&gt;=2)</f>
        <v/>
      </c>
      <c r="G4478">
        <f>SUMPRODUCT(Calc!$K$3:$K$22*(Calc!$G$3:$G$22&gt;A4478)*(Calc!$G$3:$G$22-A4478))</f>
        <v/>
      </c>
      <c r="H4478">
        <f>SUMPRODUCT(Calc!$K$3:$K$22*(Calc!$G$3:$G$22&gt;B4478)*(Calc!$G$3:$G$22-B4478))</f>
        <v/>
      </c>
      <c r="I4478">
        <f>SUMPRODUCT(Calc!$K$3:$K$22*(Calc!$G$3:$G$22&gt;A4478)*(Calc!$G$3:$G$22-A4478)^2)</f>
        <v/>
      </c>
      <c r="J4478">
        <f>SUMPRODUCT(Calc!$K$3:$K$22*(Calc!$G$3:$G$22&gt;B4478)*(Calc!$G$3:$G$22-B4478)^2)</f>
        <v/>
      </c>
      <c r="K4478">
        <f>SUMPRODUCT(Calc!$K$3:$K$22*(Calc!$G$3:$G$22&gt;A4478)*(Calc!$G$3:$G$22-A4478)*(Calc!$G$3:$G$22&gt;B4478)*(Calc!$G$3:$G$22-B4478))</f>
        <v/>
      </c>
      <c r="L4478">
        <f>SUMPRODUCT(Calc!$K$3:$K$22*(Calc!$G$3:$G$22&gt;A4478)*(Calc!$G$3:$G$22-A4478)*Calc!$G$3:$G$22)</f>
        <v/>
      </c>
      <c r="M4478">
        <f>SUMPRODUCT(Calc!$K$3:$K$22*(Calc!$G$3:$G$22&gt;B4478)*(Calc!$G$3:$G$22-B4478)*Calc!$G$3:$G$22)</f>
        <v/>
      </c>
      <c r="N4478">
        <f>SUMPRODUCT(Calc!$K$3:$K$22*(Calc!$G$3:$G$22&gt;A4478)*(Calc!$G$3:$G$22-A4478)*Calc!$I$3:$I$22)</f>
        <v/>
      </c>
      <c r="O4478">
        <f>SUMPRODUCT(Calc!$K$3:$K$22*(Calc!$G$3:$G$22&gt;B4478)*(Calc!$G$3:$G$22-B4478)*Calc!$I$3:$I$22)</f>
        <v/>
      </c>
      <c r="P4478">
        <f>I4478-G4478^2/k_n</f>
        <v/>
      </c>
      <c r="Q4478">
        <f>J4478-H4478^2/k_n</f>
        <v/>
      </c>
      <c r="R4478">
        <f>K4478-G4478*H4478/k_n</f>
        <v/>
      </c>
      <c r="S4478">
        <f>L4478-LTP3!$D$3*G4478/k_n</f>
        <v/>
      </c>
      <c r="T4478">
        <f>M4478-LTP3!$D$3*H4478/k_n</f>
        <v/>
      </c>
      <c r="U4478">
        <f>N4478-G4478*LTP3!$D$4/k_n</f>
        <v/>
      </c>
      <c r="V4478">
        <f>O4478-H4478*LTP3!$D$4/k_n</f>
        <v/>
      </c>
      <c r="W4478">
        <f>((LTP3!$D$5)*((P4478)*(Q4478)-(R4478)*(R4478))-(S4478)*((S4478)*(Q4478)-(R4478)*(T4478))+(T4478)*((S4478)*(R4478)-(P4478)*(T4478)))</f>
        <v/>
      </c>
      <c r="X4478">
        <f>IF(ABS(W4478)&gt;1E-12,((LTP3!$D$6)*((P4478)*(Q4478)-(R4478)*(R4478))-(S4478)*((U4478)*(Q4478)-(R4478)*(V4478))+(T4478)*((U4478)*(R4478)-(P4478)*(V4478)))/W4478,0)</f>
        <v/>
      </c>
      <c r="Y4478">
        <f>IF(ABS(W4478)&gt;1E-12,((LTP3!$D$5)*((U4478)*(Q4478)-(R4478)*(V4478))-(LTP3!$D$6)*((S4478)*(Q4478)-(R4478)*(T4478))+(T4478)*((S4478)*(V4478)-(U4478)*(T4478)))/W4478,0)</f>
        <v/>
      </c>
      <c r="Z4478">
        <f>IF(ABS(W4478)&gt;1E-12,((LTP3!$D$5)*((P4478)*(V4478)-(U4478)*(R4478))-(S4478)*((S4478)*(V4478)-(U4478)*(T4478))+(LTP3!$D$6)*((S4478)*(R4478)-(P4478)*(T4478)))/W4478,0)</f>
        <v/>
      </c>
      <c r="AA4478">
        <f>LTP3!$D$7-X4478*LTP3!$D$6-Y4478*U4478-Z4478*V4478</f>
        <v/>
      </c>
      <c r="AB4478">
        <f>IF(AND(F4478,ABS(W4478)&gt;1E-12,Y4478&gt;0,Z4478&gt;0),AA4478,1E+300)</f>
        <v/>
      </c>
    </row>
    <row r="4479">
      <c r="A4479">
        <f>$I$4-$B$5/10+$B$5*14/100</f>
        <v/>
      </c>
      <c r="B4479">
        <f>$J$4-$B$5/10+$B$5*5/100</f>
        <v/>
      </c>
      <c r="C4479">
        <f>SUMPRODUCT(Calc!$K$3:$K$22*(Calc!$G$3:$G$22&lt;=A4479))</f>
        <v/>
      </c>
      <c r="D4479">
        <f>SUMPRODUCT(Calc!$K$3:$K$22*(Calc!$G$3:$G$22&gt;A4479)*(Calc!$G$3:$G$22&lt;B4479))</f>
        <v/>
      </c>
      <c r="E4479">
        <f>SUMPRODUCT(Calc!$K$3:$K$22*(Calc!$G$3:$G$22&gt;=B4479))</f>
        <v/>
      </c>
      <c r="F4479">
        <f>AND(k_n&gt;=5,B4479&gt;A4479+1E-9,C4479&gt;=2,D4479&gt;=1,E4479&gt;=2)</f>
        <v/>
      </c>
      <c r="G4479">
        <f>SUMPRODUCT(Calc!$K$3:$K$22*(Calc!$G$3:$G$22&gt;A4479)*(Calc!$G$3:$G$22-A4479))</f>
        <v/>
      </c>
      <c r="H4479">
        <f>SUMPRODUCT(Calc!$K$3:$K$22*(Calc!$G$3:$G$22&gt;B4479)*(Calc!$G$3:$G$22-B4479))</f>
        <v/>
      </c>
      <c r="I4479">
        <f>SUMPRODUCT(Calc!$K$3:$K$22*(Calc!$G$3:$G$22&gt;A4479)*(Calc!$G$3:$G$22-A4479)^2)</f>
        <v/>
      </c>
      <c r="J4479">
        <f>SUMPRODUCT(Calc!$K$3:$K$22*(Calc!$G$3:$G$22&gt;B4479)*(Calc!$G$3:$G$22-B4479)^2)</f>
        <v/>
      </c>
      <c r="K4479">
        <f>SUMPRODUCT(Calc!$K$3:$K$22*(Calc!$G$3:$G$22&gt;A4479)*(Calc!$G$3:$G$22-A4479)*(Calc!$G$3:$G$22&gt;B4479)*(Calc!$G$3:$G$22-B4479))</f>
        <v/>
      </c>
      <c r="L4479">
        <f>SUMPRODUCT(Calc!$K$3:$K$22*(Calc!$G$3:$G$22&gt;A4479)*(Calc!$G$3:$G$22-A4479)*Calc!$G$3:$G$22)</f>
        <v/>
      </c>
      <c r="M4479">
        <f>SUMPRODUCT(Calc!$K$3:$K$22*(Calc!$G$3:$G$22&gt;B4479)*(Calc!$G$3:$G$22-B4479)*Calc!$G$3:$G$22)</f>
        <v/>
      </c>
      <c r="N4479">
        <f>SUMPRODUCT(Calc!$K$3:$K$22*(Calc!$G$3:$G$22&gt;A4479)*(Calc!$G$3:$G$22-A4479)*Calc!$I$3:$I$22)</f>
        <v/>
      </c>
      <c r="O4479">
        <f>SUMPRODUCT(Calc!$K$3:$K$22*(Calc!$G$3:$G$22&gt;B4479)*(Calc!$G$3:$G$22-B4479)*Calc!$I$3:$I$22)</f>
        <v/>
      </c>
      <c r="P4479">
        <f>I4479-G4479^2/k_n</f>
        <v/>
      </c>
      <c r="Q4479">
        <f>J4479-H4479^2/k_n</f>
        <v/>
      </c>
      <c r="R4479">
        <f>K4479-G4479*H4479/k_n</f>
        <v/>
      </c>
      <c r="S4479">
        <f>L4479-LTP3!$D$3*G4479/k_n</f>
        <v/>
      </c>
      <c r="T4479">
        <f>M4479-LTP3!$D$3*H4479/k_n</f>
        <v/>
      </c>
      <c r="U4479">
        <f>N4479-G4479*LTP3!$D$4/k_n</f>
        <v/>
      </c>
      <c r="V4479">
        <f>O4479-H4479*LTP3!$D$4/k_n</f>
        <v/>
      </c>
      <c r="W4479">
        <f>((LTP3!$D$5)*((P4479)*(Q4479)-(R4479)*(R4479))-(S4479)*((S4479)*(Q4479)-(R4479)*(T4479))+(T4479)*((S4479)*(R4479)-(P4479)*(T4479)))</f>
        <v/>
      </c>
      <c r="X4479">
        <f>IF(ABS(W4479)&gt;1E-12,((LTP3!$D$6)*((P4479)*(Q4479)-(R4479)*(R4479))-(S4479)*((U4479)*(Q4479)-(R4479)*(V4479))+(T4479)*((U4479)*(R4479)-(P4479)*(V4479)))/W4479,0)</f>
        <v/>
      </c>
      <c r="Y4479">
        <f>IF(ABS(W4479)&gt;1E-12,((LTP3!$D$5)*((U4479)*(Q4479)-(R4479)*(V4479))-(LTP3!$D$6)*((S4479)*(Q4479)-(R4479)*(T4479))+(T4479)*((S4479)*(V4479)-(U4479)*(T4479)))/W4479,0)</f>
        <v/>
      </c>
      <c r="Z4479">
        <f>IF(ABS(W4479)&gt;1E-12,((LTP3!$D$5)*((P4479)*(V4479)-(U4479)*(R4479))-(S4479)*((S4479)*(V4479)-(U4479)*(T4479))+(LTP3!$D$6)*((S4479)*(R4479)-(P4479)*(T4479)))/W4479,0)</f>
        <v/>
      </c>
      <c r="AA4479">
        <f>LTP3!$D$7-X4479*LTP3!$D$6-Y4479*U4479-Z4479*V4479</f>
        <v/>
      </c>
      <c r="AB4479">
        <f>IF(AND(F4479,ABS(W4479)&gt;1E-12,Y4479&gt;0,Z4479&gt;0),AA4479,1E+300)</f>
        <v/>
      </c>
    </row>
    <row r="4480">
      <c r="A4480">
        <f>$I$4-$B$5/10+$B$5*14/100</f>
        <v/>
      </c>
      <c r="B4480">
        <f>$J$4-$B$5/10+$B$5*6/100</f>
        <v/>
      </c>
      <c r="C4480">
        <f>SUMPRODUCT(Calc!$K$3:$K$22*(Calc!$G$3:$G$22&lt;=A4480))</f>
        <v/>
      </c>
      <c r="D4480">
        <f>SUMPRODUCT(Calc!$K$3:$K$22*(Calc!$G$3:$G$22&gt;A4480)*(Calc!$G$3:$G$22&lt;B4480))</f>
        <v/>
      </c>
      <c r="E4480">
        <f>SUMPRODUCT(Calc!$K$3:$K$22*(Calc!$G$3:$G$22&gt;=B4480))</f>
        <v/>
      </c>
      <c r="F4480">
        <f>AND(k_n&gt;=5,B4480&gt;A4480+1E-9,C4480&gt;=2,D4480&gt;=1,E4480&gt;=2)</f>
        <v/>
      </c>
      <c r="G4480">
        <f>SUMPRODUCT(Calc!$K$3:$K$22*(Calc!$G$3:$G$22&gt;A4480)*(Calc!$G$3:$G$22-A4480))</f>
        <v/>
      </c>
      <c r="H4480">
        <f>SUMPRODUCT(Calc!$K$3:$K$22*(Calc!$G$3:$G$22&gt;B4480)*(Calc!$G$3:$G$22-B4480))</f>
        <v/>
      </c>
      <c r="I4480">
        <f>SUMPRODUCT(Calc!$K$3:$K$22*(Calc!$G$3:$G$22&gt;A4480)*(Calc!$G$3:$G$22-A4480)^2)</f>
        <v/>
      </c>
      <c r="J4480">
        <f>SUMPRODUCT(Calc!$K$3:$K$22*(Calc!$G$3:$G$22&gt;B4480)*(Calc!$G$3:$G$22-B4480)^2)</f>
        <v/>
      </c>
      <c r="K4480">
        <f>SUMPRODUCT(Calc!$K$3:$K$22*(Calc!$G$3:$G$22&gt;A4480)*(Calc!$G$3:$G$22-A4480)*(Calc!$G$3:$G$22&gt;B4480)*(Calc!$G$3:$G$22-B4480))</f>
        <v/>
      </c>
      <c r="L4480">
        <f>SUMPRODUCT(Calc!$K$3:$K$22*(Calc!$G$3:$G$22&gt;A4480)*(Calc!$G$3:$G$22-A4480)*Calc!$G$3:$G$22)</f>
        <v/>
      </c>
      <c r="M4480">
        <f>SUMPRODUCT(Calc!$K$3:$K$22*(Calc!$G$3:$G$22&gt;B4480)*(Calc!$G$3:$G$22-B4480)*Calc!$G$3:$G$22)</f>
        <v/>
      </c>
      <c r="N4480">
        <f>SUMPRODUCT(Calc!$K$3:$K$22*(Calc!$G$3:$G$22&gt;A4480)*(Calc!$G$3:$G$22-A4480)*Calc!$I$3:$I$22)</f>
        <v/>
      </c>
      <c r="O4480">
        <f>SUMPRODUCT(Calc!$K$3:$K$22*(Calc!$G$3:$G$22&gt;B4480)*(Calc!$G$3:$G$22-B4480)*Calc!$I$3:$I$22)</f>
        <v/>
      </c>
      <c r="P4480">
        <f>I4480-G4480^2/k_n</f>
        <v/>
      </c>
      <c r="Q4480">
        <f>J4480-H4480^2/k_n</f>
        <v/>
      </c>
      <c r="R4480">
        <f>K4480-G4480*H4480/k_n</f>
        <v/>
      </c>
      <c r="S4480">
        <f>L4480-LTP3!$D$3*G4480/k_n</f>
        <v/>
      </c>
      <c r="T4480">
        <f>M4480-LTP3!$D$3*H4480/k_n</f>
        <v/>
      </c>
      <c r="U4480">
        <f>N4480-G4480*LTP3!$D$4/k_n</f>
        <v/>
      </c>
      <c r="V4480">
        <f>O4480-H4480*LTP3!$D$4/k_n</f>
        <v/>
      </c>
      <c r="W4480">
        <f>((LTP3!$D$5)*((P4480)*(Q4480)-(R4480)*(R4480))-(S4480)*((S4480)*(Q4480)-(R4480)*(T4480))+(T4480)*((S4480)*(R4480)-(P4480)*(T4480)))</f>
        <v/>
      </c>
      <c r="X4480">
        <f>IF(ABS(W4480)&gt;1E-12,((LTP3!$D$6)*((P4480)*(Q4480)-(R4480)*(R4480))-(S4480)*((U4480)*(Q4480)-(R4480)*(V4480))+(T4480)*((U4480)*(R4480)-(P4480)*(V4480)))/W4480,0)</f>
        <v/>
      </c>
      <c r="Y4480">
        <f>IF(ABS(W4480)&gt;1E-12,((LTP3!$D$5)*((U4480)*(Q4480)-(R4480)*(V4480))-(LTP3!$D$6)*((S4480)*(Q4480)-(R4480)*(T4480))+(T4480)*((S4480)*(V4480)-(U4480)*(T4480)))/W4480,0)</f>
        <v/>
      </c>
      <c r="Z4480">
        <f>IF(ABS(W4480)&gt;1E-12,((LTP3!$D$5)*((P4480)*(V4480)-(U4480)*(R4480))-(S4480)*((S4480)*(V4480)-(U4480)*(T4480))+(LTP3!$D$6)*((S4480)*(R4480)-(P4480)*(T4480)))/W4480,0)</f>
        <v/>
      </c>
      <c r="AA4480">
        <f>LTP3!$D$7-X4480*LTP3!$D$6-Y4480*U4480-Z4480*V4480</f>
        <v/>
      </c>
      <c r="AB4480">
        <f>IF(AND(F4480,ABS(W4480)&gt;1E-12,Y4480&gt;0,Z4480&gt;0),AA4480,1E+300)</f>
        <v/>
      </c>
    </row>
    <row r="4481">
      <c r="A4481">
        <f>$I$4-$B$5/10+$B$5*14/100</f>
        <v/>
      </c>
      <c r="B4481">
        <f>$J$4-$B$5/10+$B$5*7/100</f>
        <v/>
      </c>
      <c r="C4481">
        <f>SUMPRODUCT(Calc!$K$3:$K$22*(Calc!$G$3:$G$22&lt;=A4481))</f>
        <v/>
      </c>
      <c r="D4481">
        <f>SUMPRODUCT(Calc!$K$3:$K$22*(Calc!$G$3:$G$22&gt;A4481)*(Calc!$G$3:$G$22&lt;B4481))</f>
        <v/>
      </c>
      <c r="E4481">
        <f>SUMPRODUCT(Calc!$K$3:$K$22*(Calc!$G$3:$G$22&gt;=B4481))</f>
        <v/>
      </c>
      <c r="F4481">
        <f>AND(k_n&gt;=5,B4481&gt;A4481+1E-9,C4481&gt;=2,D4481&gt;=1,E4481&gt;=2)</f>
        <v/>
      </c>
      <c r="G4481">
        <f>SUMPRODUCT(Calc!$K$3:$K$22*(Calc!$G$3:$G$22&gt;A4481)*(Calc!$G$3:$G$22-A4481))</f>
        <v/>
      </c>
      <c r="H4481">
        <f>SUMPRODUCT(Calc!$K$3:$K$22*(Calc!$G$3:$G$22&gt;B4481)*(Calc!$G$3:$G$22-B4481))</f>
        <v/>
      </c>
      <c r="I4481">
        <f>SUMPRODUCT(Calc!$K$3:$K$22*(Calc!$G$3:$G$22&gt;A4481)*(Calc!$G$3:$G$22-A4481)^2)</f>
        <v/>
      </c>
      <c r="J4481">
        <f>SUMPRODUCT(Calc!$K$3:$K$22*(Calc!$G$3:$G$22&gt;B4481)*(Calc!$G$3:$G$22-B4481)^2)</f>
        <v/>
      </c>
      <c r="K4481">
        <f>SUMPRODUCT(Calc!$K$3:$K$22*(Calc!$G$3:$G$22&gt;A4481)*(Calc!$G$3:$G$22-A4481)*(Calc!$G$3:$G$22&gt;B4481)*(Calc!$G$3:$G$22-B4481))</f>
        <v/>
      </c>
      <c r="L4481">
        <f>SUMPRODUCT(Calc!$K$3:$K$22*(Calc!$G$3:$G$22&gt;A4481)*(Calc!$G$3:$G$22-A4481)*Calc!$G$3:$G$22)</f>
        <v/>
      </c>
      <c r="M4481">
        <f>SUMPRODUCT(Calc!$K$3:$K$22*(Calc!$G$3:$G$22&gt;B4481)*(Calc!$G$3:$G$22-B4481)*Calc!$G$3:$G$22)</f>
        <v/>
      </c>
      <c r="N4481">
        <f>SUMPRODUCT(Calc!$K$3:$K$22*(Calc!$G$3:$G$22&gt;A4481)*(Calc!$G$3:$G$22-A4481)*Calc!$I$3:$I$22)</f>
        <v/>
      </c>
      <c r="O4481">
        <f>SUMPRODUCT(Calc!$K$3:$K$22*(Calc!$G$3:$G$22&gt;B4481)*(Calc!$G$3:$G$22-B4481)*Calc!$I$3:$I$22)</f>
        <v/>
      </c>
      <c r="P4481">
        <f>I4481-G4481^2/k_n</f>
        <v/>
      </c>
      <c r="Q4481">
        <f>J4481-H4481^2/k_n</f>
        <v/>
      </c>
      <c r="R4481">
        <f>K4481-G4481*H4481/k_n</f>
        <v/>
      </c>
      <c r="S4481">
        <f>L4481-LTP3!$D$3*G4481/k_n</f>
        <v/>
      </c>
      <c r="T4481">
        <f>M4481-LTP3!$D$3*H4481/k_n</f>
        <v/>
      </c>
      <c r="U4481">
        <f>N4481-G4481*LTP3!$D$4/k_n</f>
        <v/>
      </c>
      <c r="V4481">
        <f>O4481-H4481*LTP3!$D$4/k_n</f>
        <v/>
      </c>
      <c r="W4481">
        <f>((LTP3!$D$5)*((P4481)*(Q4481)-(R4481)*(R4481))-(S4481)*((S4481)*(Q4481)-(R4481)*(T4481))+(T4481)*((S4481)*(R4481)-(P4481)*(T4481)))</f>
        <v/>
      </c>
      <c r="X4481">
        <f>IF(ABS(W4481)&gt;1E-12,((LTP3!$D$6)*((P4481)*(Q4481)-(R4481)*(R4481))-(S4481)*((U4481)*(Q4481)-(R4481)*(V4481))+(T4481)*((U4481)*(R4481)-(P4481)*(V4481)))/W4481,0)</f>
        <v/>
      </c>
      <c r="Y4481">
        <f>IF(ABS(W4481)&gt;1E-12,((LTP3!$D$5)*((U4481)*(Q4481)-(R4481)*(V4481))-(LTP3!$D$6)*((S4481)*(Q4481)-(R4481)*(T4481))+(T4481)*((S4481)*(V4481)-(U4481)*(T4481)))/W4481,0)</f>
        <v/>
      </c>
      <c r="Z4481">
        <f>IF(ABS(W4481)&gt;1E-12,((LTP3!$D$5)*((P4481)*(V4481)-(U4481)*(R4481))-(S4481)*((S4481)*(V4481)-(U4481)*(T4481))+(LTP3!$D$6)*((S4481)*(R4481)-(P4481)*(T4481)))/W4481,0)</f>
        <v/>
      </c>
      <c r="AA4481">
        <f>LTP3!$D$7-X4481*LTP3!$D$6-Y4481*U4481-Z4481*V4481</f>
        <v/>
      </c>
      <c r="AB4481">
        <f>IF(AND(F4481,ABS(W4481)&gt;1E-12,Y4481&gt;0,Z4481&gt;0),AA4481,1E+300)</f>
        <v/>
      </c>
    </row>
    <row r="4482">
      <c r="A4482">
        <f>$I$4-$B$5/10+$B$5*14/100</f>
        <v/>
      </c>
      <c r="B4482">
        <f>$J$4-$B$5/10+$B$5*8/100</f>
        <v/>
      </c>
      <c r="C4482">
        <f>SUMPRODUCT(Calc!$K$3:$K$22*(Calc!$G$3:$G$22&lt;=A4482))</f>
        <v/>
      </c>
      <c r="D4482">
        <f>SUMPRODUCT(Calc!$K$3:$K$22*(Calc!$G$3:$G$22&gt;A4482)*(Calc!$G$3:$G$22&lt;B4482))</f>
        <v/>
      </c>
      <c r="E4482">
        <f>SUMPRODUCT(Calc!$K$3:$K$22*(Calc!$G$3:$G$22&gt;=B4482))</f>
        <v/>
      </c>
      <c r="F4482">
        <f>AND(k_n&gt;=5,B4482&gt;A4482+1E-9,C4482&gt;=2,D4482&gt;=1,E4482&gt;=2)</f>
        <v/>
      </c>
      <c r="G4482">
        <f>SUMPRODUCT(Calc!$K$3:$K$22*(Calc!$G$3:$G$22&gt;A4482)*(Calc!$G$3:$G$22-A4482))</f>
        <v/>
      </c>
      <c r="H4482">
        <f>SUMPRODUCT(Calc!$K$3:$K$22*(Calc!$G$3:$G$22&gt;B4482)*(Calc!$G$3:$G$22-B4482))</f>
        <v/>
      </c>
      <c r="I4482">
        <f>SUMPRODUCT(Calc!$K$3:$K$22*(Calc!$G$3:$G$22&gt;A4482)*(Calc!$G$3:$G$22-A4482)^2)</f>
        <v/>
      </c>
      <c r="J4482">
        <f>SUMPRODUCT(Calc!$K$3:$K$22*(Calc!$G$3:$G$22&gt;B4482)*(Calc!$G$3:$G$22-B4482)^2)</f>
        <v/>
      </c>
      <c r="K4482">
        <f>SUMPRODUCT(Calc!$K$3:$K$22*(Calc!$G$3:$G$22&gt;A4482)*(Calc!$G$3:$G$22-A4482)*(Calc!$G$3:$G$22&gt;B4482)*(Calc!$G$3:$G$22-B4482))</f>
        <v/>
      </c>
      <c r="L4482">
        <f>SUMPRODUCT(Calc!$K$3:$K$22*(Calc!$G$3:$G$22&gt;A4482)*(Calc!$G$3:$G$22-A4482)*Calc!$G$3:$G$22)</f>
        <v/>
      </c>
      <c r="M4482">
        <f>SUMPRODUCT(Calc!$K$3:$K$22*(Calc!$G$3:$G$22&gt;B4482)*(Calc!$G$3:$G$22-B4482)*Calc!$G$3:$G$22)</f>
        <v/>
      </c>
      <c r="N4482">
        <f>SUMPRODUCT(Calc!$K$3:$K$22*(Calc!$G$3:$G$22&gt;A4482)*(Calc!$G$3:$G$22-A4482)*Calc!$I$3:$I$22)</f>
        <v/>
      </c>
      <c r="O4482">
        <f>SUMPRODUCT(Calc!$K$3:$K$22*(Calc!$G$3:$G$22&gt;B4482)*(Calc!$G$3:$G$22-B4482)*Calc!$I$3:$I$22)</f>
        <v/>
      </c>
      <c r="P4482">
        <f>I4482-G4482^2/k_n</f>
        <v/>
      </c>
      <c r="Q4482">
        <f>J4482-H4482^2/k_n</f>
        <v/>
      </c>
      <c r="R4482">
        <f>K4482-G4482*H4482/k_n</f>
        <v/>
      </c>
      <c r="S4482">
        <f>L4482-LTP3!$D$3*G4482/k_n</f>
        <v/>
      </c>
      <c r="T4482">
        <f>M4482-LTP3!$D$3*H4482/k_n</f>
        <v/>
      </c>
      <c r="U4482">
        <f>N4482-G4482*LTP3!$D$4/k_n</f>
        <v/>
      </c>
      <c r="V4482">
        <f>O4482-H4482*LTP3!$D$4/k_n</f>
        <v/>
      </c>
      <c r="W4482">
        <f>((LTP3!$D$5)*((P4482)*(Q4482)-(R4482)*(R4482))-(S4482)*((S4482)*(Q4482)-(R4482)*(T4482))+(T4482)*((S4482)*(R4482)-(P4482)*(T4482)))</f>
        <v/>
      </c>
      <c r="X4482">
        <f>IF(ABS(W4482)&gt;1E-12,((LTP3!$D$6)*((P4482)*(Q4482)-(R4482)*(R4482))-(S4482)*((U4482)*(Q4482)-(R4482)*(V4482))+(T4482)*((U4482)*(R4482)-(P4482)*(V4482)))/W4482,0)</f>
        <v/>
      </c>
      <c r="Y4482">
        <f>IF(ABS(W4482)&gt;1E-12,((LTP3!$D$5)*((U4482)*(Q4482)-(R4482)*(V4482))-(LTP3!$D$6)*((S4482)*(Q4482)-(R4482)*(T4482))+(T4482)*((S4482)*(V4482)-(U4482)*(T4482)))/W4482,0)</f>
        <v/>
      </c>
      <c r="Z4482">
        <f>IF(ABS(W4482)&gt;1E-12,((LTP3!$D$5)*((P4482)*(V4482)-(U4482)*(R4482))-(S4482)*((S4482)*(V4482)-(U4482)*(T4482))+(LTP3!$D$6)*((S4482)*(R4482)-(P4482)*(T4482)))/W4482,0)</f>
        <v/>
      </c>
      <c r="AA4482">
        <f>LTP3!$D$7-X4482*LTP3!$D$6-Y4482*U4482-Z4482*V4482</f>
        <v/>
      </c>
      <c r="AB4482">
        <f>IF(AND(F4482,ABS(W4482)&gt;1E-12,Y4482&gt;0,Z4482&gt;0),AA4482,1E+300)</f>
        <v/>
      </c>
    </row>
    <row r="4483">
      <c r="A4483">
        <f>$I$4-$B$5/10+$B$5*14/100</f>
        <v/>
      </c>
      <c r="B4483">
        <f>$J$4-$B$5/10+$B$5*9/100</f>
        <v/>
      </c>
      <c r="C4483">
        <f>SUMPRODUCT(Calc!$K$3:$K$22*(Calc!$G$3:$G$22&lt;=A4483))</f>
        <v/>
      </c>
      <c r="D4483">
        <f>SUMPRODUCT(Calc!$K$3:$K$22*(Calc!$G$3:$G$22&gt;A4483)*(Calc!$G$3:$G$22&lt;B4483))</f>
        <v/>
      </c>
      <c r="E4483">
        <f>SUMPRODUCT(Calc!$K$3:$K$22*(Calc!$G$3:$G$22&gt;=B4483))</f>
        <v/>
      </c>
      <c r="F4483">
        <f>AND(k_n&gt;=5,B4483&gt;A4483+1E-9,C4483&gt;=2,D4483&gt;=1,E4483&gt;=2)</f>
        <v/>
      </c>
      <c r="G4483">
        <f>SUMPRODUCT(Calc!$K$3:$K$22*(Calc!$G$3:$G$22&gt;A4483)*(Calc!$G$3:$G$22-A4483))</f>
        <v/>
      </c>
      <c r="H4483">
        <f>SUMPRODUCT(Calc!$K$3:$K$22*(Calc!$G$3:$G$22&gt;B4483)*(Calc!$G$3:$G$22-B4483))</f>
        <v/>
      </c>
      <c r="I4483">
        <f>SUMPRODUCT(Calc!$K$3:$K$22*(Calc!$G$3:$G$22&gt;A4483)*(Calc!$G$3:$G$22-A4483)^2)</f>
        <v/>
      </c>
      <c r="J4483">
        <f>SUMPRODUCT(Calc!$K$3:$K$22*(Calc!$G$3:$G$22&gt;B4483)*(Calc!$G$3:$G$22-B4483)^2)</f>
        <v/>
      </c>
      <c r="K4483">
        <f>SUMPRODUCT(Calc!$K$3:$K$22*(Calc!$G$3:$G$22&gt;A4483)*(Calc!$G$3:$G$22-A4483)*(Calc!$G$3:$G$22&gt;B4483)*(Calc!$G$3:$G$22-B4483))</f>
        <v/>
      </c>
      <c r="L4483">
        <f>SUMPRODUCT(Calc!$K$3:$K$22*(Calc!$G$3:$G$22&gt;A4483)*(Calc!$G$3:$G$22-A4483)*Calc!$G$3:$G$22)</f>
        <v/>
      </c>
      <c r="M4483">
        <f>SUMPRODUCT(Calc!$K$3:$K$22*(Calc!$G$3:$G$22&gt;B4483)*(Calc!$G$3:$G$22-B4483)*Calc!$G$3:$G$22)</f>
        <v/>
      </c>
      <c r="N4483">
        <f>SUMPRODUCT(Calc!$K$3:$K$22*(Calc!$G$3:$G$22&gt;A4483)*(Calc!$G$3:$G$22-A4483)*Calc!$I$3:$I$22)</f>
        <v/>
      </c>
      <c r="O4483">
        <f>SUMPRODUCT(Calc!$K$3:$K$22*(Calc!$G$3:$G$22&gt;B4483)*(Calc!$G$3:$G$22-B4483)*Calc!$I$3:$I$22)</f>
        <v/>
      </c>
      <c r="P4483">
        <f>I4483-G4483^2/k_n</f>
        <v/>
      </c>
      <c r="Q4483">
        <f>J4483-H4483^2/k_n</f>
        <v/>
      </c>
      <c r="R4483">
        <f>K4483-G4483*H4483/k_n</f>
        <v/>
      </c>
      <c r="S4483">
        <f>L4483-LTP3!$D$3*G4483/k_n</f>
        <v/>
      </c>
      <c r="T4483">
        <f>M4483-LTP3!$D$3*H4483/k_n</f>
        <v/>
      </c>
      <c r="U4483">
        <f>N4483-G4483*LTP3!$D$4/k_n</f>
        <v/>
      </c>
      <c r="V4483">
        <f>O4483-H4483*LTP3!$D$4/k_n</f>
        <v/>
      </c>
      <c r="W4483">
        <f>((LTP3!$D$5)*((P4483)*(Q4483)-(R4483)*(R4483))-(S4483)*((S4483)*(Q4483)-(R4483)*(T4483))+(T4483)*((S4483)*(R4483)-(P4483)*(T4483)))</f>
        <v/>
      </c>
      <c r="X4483">
        <f>IF(ABS(W4483)&gt;1E-12,((LTP3!$D$6)*((P4483)*(Q4483)-(R4483)*(R4483))-(S4483)*((U4483)*(Q4483)-(R4483)*(V4483))+(T4483)*((U4483)*(R4483)-(P4483)*(V4483)))/W4483,0)</f>
        <v/>
      </c>
      <c r="Y4483">
        <f>IF(ABS(W4483)&gt;1E-12,((LTP3!$D$5)*((U4483)*(Q4483)-(R4483)*(V4483))-(LTP3!$D$6)*((S4483)*(Q4483)-(R4483)*(T4483))+(T4483)*((S4483)*(V4483)-(U4483)*(T4483)))/W4483,0)</f>
        <v/>
      </c>
      <c r="Z4483">
        <f>IF(ABS(W4483)&gt;1E-12,((LTP3!$D$5)*((P4483)*(V4483)-(U4483)*(R4483))-(S4483)*((S4483)*(V4483)-(U4483)*(T4483))+(LTP3!$D$6)*((S4483)*(R4483)-(P4483)*(T4483)))/W4483,0)</f>
        <v/>
      </c>
      <c r="AA4483">
        <f>LTP3!$D$7-X4483*LTP3!$D$6-Y4483*U4483-Z4483*V4483</f>
        <v/>
      </c>
      <c r="AB4483">
        <f>IF(AND(F4483,ABS(W4483)&gt;1E-12,Y4483&gt;0,Z4483&gt;0),AA4483,1E+300)</f>
        <v/>
      </c>
    </row>
    <row r="4484">
      <c r="A4484">
        <f>$I$4-$B$5/10+$B$5*14/100</f>
        <v/>
      </c>
      <c r="B4484">
        <f>$J$4-$B$5/10+$B$5*10/100</f>
        <v/>
      </c>
      <c r="C4484">
        <f>SUMPRODUCT(Calc!$K$3:$K$22*(Calc!$G$3:$G$22&lt;=A4484))</f>
        <v/>
      </c>
      <c r="D4484">
        <f>SUMPRODUCT(Calc!$K$3:$K$22*(Calc!$G$3:$G$22&gt;A4484)*(Calc!$G$3:$G$22&lt;B4484))</f>
        <v/>
      </c>
      <c r="E4484">
        <f>SUMPRODUCT(Calc!$K$3:$K$22*(Calc!$G$3:$G$22&gt;=B4484))</f>
        <v/>
      </c>
      <c r="F4484">
        <f>AND(k_n&gt;=5,B4484&gt;A4484+1E-9,C4484&gt;=2,D4484&gt;=1,E4484&gt;=2)</f>
        <v/>
      </c>
      <c r="G4484">
        <f>SUMPRODUCT(Calc!$K$3:$K$22*(Calc!$G$3:$G$22&gt;A4484)*(Calc!$G$3:$G$22-A4484))</f>
        <v/>
      </c>
      <c r="H4484">
        <f>SUMPRODUCT(Calc!$K$3:$K$22*(Calc!$G$3:$G$22&gt;B4484)*(Calc!$G$3:$G$22-B4484))</f>
        <v/>
      </c>
      <c r="I4484">
        <f>SUMPRODUCT(Calc!$K$3:$K$22*(Calc!$G$3:$G$22&gt;A4484)*(Calc!$G$3:$G$22-A4484)^2)</f>
        <v/>
      </c>
      <c r="J4484">
        <f>SUMPRODUCT(Calc!$K$3:$K$22*(Calc!$G$3:$G$22&gt;B4484)*(Calc!$G$3:$G$22-B4484)^2)</f>
        <v/>
      </c>
      <c r="K4484">
        <f>SUMPRODUCT(Calc!$K$3:$K$22*(Calc!$G$3:$G$22&gt;A4484)*(Calc!$G$3:$G$22-A4484)*(Calc!$G$3:$G$22&gt;B4484)*(Calc!$G$3:$G$22-B4484))</f>
        <v/>
      </c>
      <c r="L4484">
        <f>SUMPRODUCT(Calc!$K$3:$K$22*(Calc!$G$3:$G$22&gt;A4484)*(Calc!$G$3:$G$22-A4484)*Calc!$G$3:$G$22)</f>
        <v/>
      </c>
      <c r="M4484">
        <f>SUMPRODUCT(Calc!$K$3:$K$22*(Calc!$G$3:$G$22&gt;B4484)*(Calc!$G$3:$G$22-B4484)*Calc!$G$3:$G$22)</f>
        <v/>
      </c>
      <c r="N4484">
        <f>SUMPRODUCT(Calc!$K$3:$K$22*(Calc!$G$3:$G$22&gt;A4484)*(Calc!$G$3:$G$22-A4484)*Calc!$I$3:$I$22)</f>
        <v/>
      </c>
      <c r="O4484">
        <f>SUMPRODUCT(Calc!$K$3:$K$22*(Calc!$G$3:$G$22&gt;B4484)*(Calc!$G$3:$G$22-B4484)*Calc!$I$3:$I$22)</f>
        <v/>
      </c>
      <c r="P4484">
        <f>I4484-G4484^2/k_n</f>
        <v/>
      </c>
      <c r="Q4484">
        <f>J4484-H4484^2/k_n</f>
        <v/>
      </c>
      <c r="R4484">
        <f>K4484-G4484*H4484/k_n</f>
        <v/>
      </c>
      <c r="S4484">
        <f>L4484-LTP3!$D$3*G4484/k_n</f>
        <v/>
      </c>
      <c r="T4484">
        <f>M4484-LTP3!$D$3*H4484/k_n</f>
        <v/>
      </c>
      <c r="U4484">
        <f>N4484-G4484*LTP3!$D$4/k_n</f>
        <v/>
      </c>
      <c r="V4484">
        <f>O4484-H4484*LTP3!$D$4/k_n</f>
        <v/>
      </c>
      <c r="W4484">
        <f>((LTP3!$D$5)*((P4484)*(Q4484)-(R4484)*(R4484))-(S4484)*((S4484)*(Q4484)-(R4484)*(T4484))+(T4484)*((S4484)*(R4484)-(P4484)*(T4484)))</f>
        <v/>
      </c>
      <c r="X4484">
        <f>IF(ABS(W4484)&gt;1E-12,((LTP3!$D$6)*((P4484)*(Q4484)-(R4484)*(R4484))-(S4484)*((U4484)*(Q4484)-(R4484)*(V4484))+(T4484)*((U4484)*(R4484)-(P4484)*(V4484)))/W4484,0)</f>
        <v/>
      </c>
      <c r="Y4484">
        <f>IF(ABS(W4484)&gt;1E-12,((LTP3!$D$5)*((U4484)*(Q4484)-(R4484)*(V4484))-(LTP3!$D$6)*((S4484)*(Q4484)-(R4484)*(T4484))+(T4484)*((S4484)*(V4484)-(U4484)*(T4484)))/W4484,0)</f>
        <v/>
      </c>
      <c r="Z4484">
        <f>IF(ABS(W4484)&gt;1E-12,((LTP3!$D$5)*((P4484)*(V4484)-(U4484)*(R4484))-(S4484)*((S4484)*(V4484)-(U4484)*(T4484))+(LTP3!$D$6)*((S4484)*(R4484)-(P4484)*(T4484)))/W4484,0)</f>
        <v/>
      </c>
      <c r="AA4484">
        <f>LTP3!$D$7-X4484*LTP3!$D$6-Y4484*U4484-Z4484*V4484</f>
        <v/>
      </c>
      <c r="AB4484">
        <f>IF(AND(F4484,ABS(W4484)&gt;1E-12,Y4484&gt;0,Z4484&gt;0),AA4484,1E+300)</f>
        <v/>
      </c>
    </row>
    <row r="4485">
      <c r="A4485">
        <f>$I$4-$B$5/10+$B$5*14/100</f>
        <v/>
      </c>
      <c r="B4485">
        <f>$J$4-$B$5/10+$B$5*11/100</f>
        <v/>
      </c>
      <c r="C4485">
        <f>SUMPRODUCT(Calc!$K$3:$K$22*(Calc!$G$3:$G$22&lt;=A4485))</f>
        <v/>
      </c>
      <c r="D4485">
        <f>SUMPRODUCT(Calc!$K$3:$K$22*(Calc!$G$3:$G$22&gt;A4485)*(Calc!$G$3:$G$22&lt;B4485))</f>
        <v/>
      </c>
      <c r="E4485">
        <f>SUMPRODUCT(Calc!$K$3:$K$22*(Calc!$G$3:$G$22&gt;=B4485))</f>
        <v/>
      </c>
      <c r="F4485">
        <f>AND(k_n&gt;=5,B4485&gt;A4485+1E-9,C4485&gt;=2,D4485&gt;=1,E4485&gt;=2)</f>
        <v/>
      </c>
      <c r="G4485">
        <f>SUMPRODUCT(Calc!$K$3:$K$22*(Calc!$G$3:$G$22&gt;A4485)*(Calc!$G$3:$G$22-A4485))</f>
        <v/>
      </c>
      <c r="H4485">
        <f>SUMPRODUCT(Calc!$K$3:$K$22*(Calc!$G$3:$G$22&gt;B4485)*(Calc!$G$3:$G$22-B4485))</f>
        <v/>
      </c>
      <c r="I4485">
        <f>SUMPRODUCT(Calc!$K$3:$K$22*(Calc!$G$3:$G$22&gt;A4485)*(Calc!$G$3:$G$22-A4485)^2)</f>
        <v/>
      </c>
      <c r="J4485">
        <f>SUMPRODUCT(Calc!$K$3:$K$22*(Calc!$G$3:$G$22&gt;B4485)*(Calc!$G$3:$G$22-B4485)^2)</f>
        <v/>
      </c>
      <c r="K4485">
        <f>SUMPRODUCT(Calc!$K$3:$K$22*(Calc!$G$3:$G$22&gt;A4485)*(Calc!$G$3:$G$22-A4485)*(Calc!$G$3:$G$22&gt;B4485)*(Calc!$G$3:$G$22-B4485))</f>
        <v/>
      </c>
      <c r="L4485">
        <f>SUMPRODUCT(Calc!$K$3:$K$22*(Calc!$G$3:$G$22&gt;A4485)*(Calc!$G$3:$G$22-A4485)*Calc!$G$3:$G$22)</f>
        <v/>
      </c>
      <c r="M4485">
        <f>SUMPRODUCT(Calc!$K$3:$K$22*(Calc!$G$3:$G$22&gt;B4485)*(Calc!$G$3:$G$22-B4485)*Calc!$G$3:$G$22)</f>
        <v/>
      </c>
      <c r="N4485">
        <f>SUMPRODUCT(Calc!$K$3:$K$22*(Calc!$G$3:$G$22&gt;A4485)*(Calc!$G$3:$G$22-A4485)*Calc!$I$3:$I$22)</f>
        <v/>
      </c>
      <c r="O4485">
        <f>SUMPRODUCT(Calc!$K$3:$K$22*(Calc!$G$3:$G$22&gt;B4485)*(Calc!$G$3:$G$22-B4485)*Calc!$I$3:$I$22)</f>
        <v/>
      </c>
      <c r="P4485">
        <f>I4485-G4485^2/k_n</f>
        <v/>
      </c>
      <c r="Q4485">
        <f>J4485-H4485^2/k_n</f>
        <v/>
      </c>
      <c r="R4485">
        <f>K4485-G4485*H4485/k_n</f>
        <v/>
      </c>
      <c r="S4485">
        <f>L4485-LTP3!$D$3*G4485/k_n</f>
        <v/>
      </c>
      <c r="T4485">
        <f>M4485-LTP3!$D$3*H4485/k_n</f>
        <v/>
      </c>
      <c r="U4485">
        <f>N4485-G4485*LTP3!$D$4/k_n</f>
        <v/>
      </c>
      <c r="V4485">
        <f>O4485-H4485*LTP3!$D$4/k_n</f>
        <v/>
      </c>
      <c r="W4485">
        <f>((LTP3!$D$5)*((P4485)*(Q4485)-(R4485)*(R4485))-(S4485)*((S4485)*(Q4485)-(R4485)*(T4485))+(T4485)*((S4485)*(R4485)-(P4485)*(T4485)))</f>
        <v/>
      </c>
      <c r="X4485">
        <f>IF(ABS(W4485)&gt;1E-12,((LTP3!$D$6)*((P4485)*(Q4485)-(R4485)*(R4485))-(S4485)*((U4485)*(Q4485)-(R4485)*(V4485))+(T4485)*((U4485)*(R4485)-(P4485)*(V4485)))/W4485,0)</f>
        <v/>
      </c>
      <c r="Y4485">
        <f>IF(ABS(W4485)&gt;1E-12,((LTP3!$D$5)*((U4485)*(Q4485)-(R4485)*(V4485))-(LTP3!$D$6)*((S4485)*(Q4485)-(R4485)*(T4485))+(T4485)*((S4485)*(V4485)-(U4485)*(T4485)))/W4485,0)</f>
        <v/>
      </c>
      <c r="Z4485">
        <f>IF(ABS(W4485)&gt;1E-12,((LTP3!$D$5)*((P4485)*(V4485)-(U4485)*(R4485))-(S4485)*((S4485)*(V4485)-(U4485)*(T4485))+(LTP3!$D$6)*((S4485)*(R4485)-(P4485)*(T4485)))/W4485,0)</f>
        <v/>
      </c>
      <c r="AA4485">
        <f>LTP3!$D$7-X4485*LTP3!$D$6-Y4485*U4485-Z4485*V4485</f>
        <v/>
      </c>
      <c r="AB4485">
        <f>IF(AND(F4485,ABS(W4485)&gt;1E-12,Y4485&gt;0,Z4485&gt;0),AA4485,1E+300)</f>
        <v/>
      </c>
    </row>
    <row r="4486">
      <c r="A4486">
        <f>$I$4-$B$5/10+$B$5*14/100</f>
        <v/>
      </c>
      <c r="B4486">
        <f>$J$4-$B$5/10+$B$5*12/100</f>
        <v/>
      </c>
      <c r="C4486">
        <f>SUMPRODUCT(Calc!$K$3:$K$22*(Calc!$G$3:$G$22&lt;=A4486))</f>
        <v/>
      </c>
      <c r="D4486">
        <f>SUMPRODUCT(Calc!$K$3:$K$22*(Calc!$G$3:$G$22&gt;A4486)*(Calc!$G$3:$G$22&lt;B4486))</f>
        <v/>
      </c>
      <c r="E4486">
        <f>SUMPRODUCT(Calc!$K$3:$K$22*(Calc!$G$3:$G$22&gt;=B4486))</f>
        <v/>
      </c>
      <c r="F4486">
        <f>AND(k_n&gt;=5,B4486&gt;A4486+1E-9,C4486&gt;=2,D4486&gt;=1,E4486&gt;=2)</f>
        <v/>
      </c>
      <c r="G4486">
        <f>SUMPRODUCT(Calc!$K$3:$K$22*(Calc!$G$3:$G$22&gt;A4486)*(Calc!$G$3:$G$22-A4486))</f>
        <v/>
      </c>
      <c r="H4486">
        <f>SUMPRODUCT(Calc!$K$3:$K$22*(Calc!$G$3:$G$22&gt;B4486)*(Calc!$G$3:$G$22-B4486))</f>
        <v/>
      </c>
      <c r="I4486">
        <f>SUMPRODUCT(Calc!$K$3:$K$22*(Calc!$G$3:$G$22&gt;A4486)*(Calc!$G$3:$G$22-A4486)^2)</f>
        <v/>
      </c>
      <c r="J4486">
        <f>SUMPRODUCT(Calc!$K$3:$K$22*(Calc!$G$3:$G$22&gt;B4486)*(Calc!$G$3:$G$22-B4486)^2)</f>
        <v/>
      </c>
      <c r="K4486">
        <f>SUMPRODUCT(Calc!$K$3:$K$22*(Calc!$G$3:$G$22&gt;A4486)*(Calc!$G$3:$G$22-A4486)*(Calc!$G$3:$G$22&gt;B4486)*(Calc!$G$3:$G$22-B4486))</f>
        <v/>
      </c>
      <c r="L4486">
        <f>SUMPRODUCT(Calc!$K$3:$K$22*(Calc!$G$3:$G$22&gt;A4486)*(Calc!$G$3:$G$22-A4486)*Calc!$G$3:$G$22)</f>
        <v/>
      </c>
      <c r="M4486">
        <f>SUMPRODUCT(Calc!$K$3:$K$22*(Calc!$G$3:$G$22&gt;B4486)*(Calc!$G$3:$G$22-B4486)*Calc!$G$3:$G$22)</f>
        <v/>
      </c>
      <c r="N4486">
        <f>SUMPRODUCT(Calc!$K$3:$K$22*(Calc!$G$3:$G$22&gt;A4486)*(Calc!$G$3:$G$22-A4486)*Calc!$I$3:$I$22)</f>
        <v/>
      </c>
      <c r="O4486">
        <f>SUMPRODUCT(Calc!$K$3:$K$22*(Calc!$G$3:$G$22&gt;B4486)*(Calc!$G$3:$G$22-B4486)*Calc!$I$3:$I$22)</f>
        <v/>
      </c>
      <c r="P4486">
        <f>I4486-G4486^2/k_n</f>
        <v/>
      </c>
      <c r="Q4486">
        <f>J4486-H4486^2/k_n</f>
        <v/>
      </c>
      <c r="R4486">
        <f>K4486-G4486*H4486/k_n</f>
        <v/>
      </c>
      <c r="S4486">
        <f>L4486-LTP3!$D$3*G4486/k_n</f>
        <v/>
      </c>
      <c r="T4486">
        <f>M4486-LTP3!$D$3*H4486/k_n</f>
        <v/>
      </c>
      <c r="U4486">
        <f>N4486-G4486*LTP3!$D$4/k_n</f>
        <v/>
      </c>
      <c r="V4486">
        <f>O4486-H4486*LTP3!$D$4/k_n</f>
        <v/>
      </c>
      <c r="W4486">
        <f>((LTP3!$D$5)*((P4486)*(Q4486)-(R4486)*(R4486))-(S4486)*((S4486)*(Q4486)-(R4486)*(T4486))+(T4486)*((S4486)*(R4486)-(P4486)*(T4486)))</f>
        <v/>
      </c>
      <c r="X4486">
        <f>IF(ABS(W4486)&gt;1E-12,((LTP3!$D$6)*((P4486)*(Q4486)-(R4486)*(R4486))-(S4486)*((U4486)*(Q4486)-(R4486)*(V4486))+(T4486)*((U4486)*(R4486)-(P4486)*(V4486)))/W4486,0)</f>
        <v/>
      </c>
      <c r="Y4486">
        <f>IF(ABS(W4486)&gt;1E-12,((LTP3!$D$5)*((U4486)*(Q4486)-(R4486)*(V4486))-(LTP3!$D$6)*((S4486)*(Q4486)-(R4486)*(T4486))+(T4486)*((S4486)*(V4486)-(U4486)*(T4486)))/W4486,0)</f>
        <v/>
      </c>
      <c r="Z4486">
        <f>IF(ABS(W4486)&gt;1E-12,((LTP3!$D$5)*((P4486)*(V4486)-(U4486)*(R4486))-(S4486)*((S4486)*(V4486)-(U4486)*(T4486))+(LTP3!$D$6)*((S4486)*(R4486)-(P4486)*(T4486)))/W4486,0)</f>
        <v/>
      </c>
      <c r="AA4486">
        <f>LTP3!$D$7-X4486*LTP3!$D$6-Y4486*U4486-Z4486*V4486</f>
        <v/>
      </c>
      <c r="AB4486">
        <f>IF(AND(F4486,ABS(W4486)&gt;1E-12,Y4486&gt;0,Z4486&gt;0),AA4486,1E+300)</f>
        <v/>
      </c>
    </row>
    <row r="4487">
      <c r="A4487">
        <f>$I$4-$B$5/10+$B$5*14/100</f>
        <v/>
      </c>
      <c r="B4487">
        <f>$J$4-$B$5/10+$B$5*13/100</f>
        <v/>
      </c>
      <c r="C4487">
        <f>SUMPRODUCT(Calc!$K$3:$K$22*(Calc!$G$3:$G$22&lt;=A4487))</f>
        <v/>
      </c>
      <c r="D4487">
        <f>SUMPRODUCT(Calc!$K$3:$K$22*(Calc!$G$3:$G$22&gt;A4487)*(Calc!$G$3:$G$22&lt;B4487))</f>
        <v/>
      </c>
      <c r="E4487">
        <f>SUMPRODUCT(Calc!$K$3:$K$22*(Calc!$G$3:$G$22&gt;=B4487))</f>
        <v/>
      </c>
      <c r="F4487">
        <f>AND(k_n&gt;=5,B4487&gt;A4487+1E-9,C4487&gt;=2,D4487&gt;=1,E4487&gt;=2)</f>
        <v/>
      </c>
      <c r="G4487">
        <f>SUMPRODUCT(Calc!$K$3:$K$22*(Calc!$G$3:$G$22&gt;A4487)*(Calc!$G$3:$G$22-A4487))</f>
        <v/>
      </c>
      <c r="H4487">
        <f>SUMPRODUCT(Calc!$K$3:$K$22*(Calc!$G$3:$G$22&gt;B4487)*(Calc!$G$3:$G$22-B4487))</f>
        <v/>
      </c>
      <c r="I4487">
        <f>SUMPRODUCT(Calc!$K$3:$K$22*(Calc!$G$3:$G$22&gt;A4487)*(Calc!$G$3:$G$22-A4487)^2)</f>
        <v/>
      </c>
      <c r="J4487">
        <f>SUMPRODUCT(Calc!$K$3:$K$22*(Calc!$G$3:$G$22&gt;B4487)*(Calc!$G$3:$G$22-B4487)^2)</f>
        <v/>
      </c>
      <c r="K4487">
        <f>SUMPRODUCT(Calc!$K$3:$K$22*(Calc!$G$3:$G$22&gt;A4487)*(Calc!$G$3:$G$22-A4487)*(Calc!$G$3:$G$22&gt;B4487)*(Calc!$G$3:$G$22-B4487))</f>
        <v/>
      </c>
      <c r="L4487">
        <f>SUMPRODUCT(Calc!$K$3:$K$22*(Calc!$G$3:$G$22&gt;A4487)*(Calc!$G$3:$G$22-A4487)*Calc!$G$3:$G$22)</f>
        <v/>
      </c>
      <c r="M4487">
        <f>SUMPRODUCT(Calc!$K$3:$K$22*(Calc!$G$3:$G$22&gt;B4487)*(Calc!$G$3:$G$22-B4487)*Calc!$G$3:$G$22)</f>
        <v/>
      </c>
      <c r="N4487">
        <f>SUMPRODUCT(Calc!$K$3:$K$22*(Calc!$G$3:$G$22&gt;A4487)*(Calc!$G$3:$G$22-A4487)*Calc!$I$3:$I$22)</f>
        <v/>
      </c>
      <c r="O4487">
        <f>SUMPRODUCT(Calc!$K$3:$K$22*(Calc!$G$3:$G$22&gt;B4487)*(Calc!$G$3:$G$22-B4487)*Calc!$I$3:$I$22)</f>
        <v/>
      </c>
      <c r="P4487">
        <f>I4487-G4487^2/k_n</f>
        <v/>
      </c>
      <c r="Q4487">
        <f>J4487-H4487^2/k_n</f>
        <v/>
      </c>
      <c r="R4487">
        <f>K4487-G4487*H4487/k_n</f>
        <v/>
      </c>
      <c r="S4487">
        <f>L4487-LTP3!$D$3*G4487/k_n</f>
        <v/>
      </c>
      <c r="T4487">
        <f>M4487-LTP3!$D$3*H4487/k_n</f>
        <v/>
      </c>
      <c r="U4487">
        <f>N4487-G4487*LTP3!$D$4/k_n</f>
        <v/>
      </c>
      <c r="V4487">
        <f>O4487-H4487*LTP3!$D$4/k_n</f>
        <v/>
      </c>
      <c r="W4487">
        <f>((LTP3!$D$5)*((P4487)*(Q4487)-(R4487)*(R4487))-(S4487)*((S4487)*(Q4487)-(R4487)*(T4487))+(T4487)*((S4487)*(R4487)-(P4487)*(T4487)))</f>
        <v/>
      </c>
      <c r="X4487">
        <f>IF(ABS(W4487)&gt;1E-12,((LTP3!$D$6)*((P4487)*(Q4487)-(R4487)*(R4487))-(S4487)*((U4487)*(Q4487)-(R4487)*(V4487))+(T4487)*((U4487)*(R4487)-(P4487)*(V4487)))/W4487,0)</f>
        <v/>
      </c>
      <c r="Y4487">
        <f>IF(ABS(W4487)&gt;1E-12,((LTP3!$D$5)*((U4487)*(Q4487)-(R4487)*(V4487))-(LTP3!$D$6)*((S4487)*(Q4487)-(R4487)*(T4487))+(T4487)*((S4487)*(V4487)-(U4487)*(T4487)))/W4487,0)</f>
        <v/>
      </c>
      <c r="Z4487">
        <f>IF(ABS(W4487)&gt;1E-12,((LTP3!$D$5)*((P4487)*(V4487)-(U4487)*(R4487))-(S4487)*((S4487)*(V4487)-(U4487)*(T4487))+(LTP3!$D$6)*((S4487)*(R4487)-(P4487)*(T4487)))/W4487,0)</f>
        <v/>
      </c>
      <c r="AA4487">
        <f>LTP3!$D$7-X4487*LTP3!$D$6-Y4487*U4487-Z4487*V4487</f>
        <v/>
      </c>
      <c r="AB4487">
        <f>IF(AND(F4487,ABS(W4487)&gt;1E-12,Y4487&gt;0,Z4487&gt;0),AA4487,1E+300)</f>
        <v/>
      </c>
    </row>
    <row r="4488">
      <c r="A4488">
        <f>$I$4-$B$5/10+$B$5*14/100</f>
        <v/>
      </c>
      <c r="B4488">
        <f>$J$4-$B$5/10+$B$5*14/100</f>
        <v/>
      </c>
      <c r="C4488">
        <f>SUMPRODUCT(Calc!$K$3:$K$22*(Calc!$G$3:$G$22&lt;=A4488))</f>
        <v/>
      </c>
      <c r="D4488">
        <f>SUMPRODUCT(Calc!$K$3:$K$22*(Calc!$G$3:$G$22&gt;A4488)*(Calc!$G$3:$G$22&lt;B4488))</f>
        <v/>
      </c>
      <c r="E4488">
        <f>SUMPRODUCT(Calc!$K$3:$K$22*(Calc!$G$3:$G$22&gt;=B4488))</f>
        <v/>
      </c>
      <c r="F4488">
        <f>AND(k_n&gt;=5,B4488&gt;A4488+1E-9,C4488&gt;=2,D4488&gt;=1,E4488&gt;=2)</f>
        <v/>
      </c>
      <c r="G4488">
        <f>SUMPRODUCT(Calc!$K$3:$K$22*(Calc!$G$3:$G$22&gt;A4488)*(Calc!$G$3:$G$22-A4488))</f>
        <v/>
      </c>
      <c r="H4488">
        <f>SUMPRODUCT(Calc!$K$3:$K$22*(Calc!$G$3:$G$22&gt;B4488)*(Calc!$G$3:$G$22-B4488))</f>
        <v/>
      </c>
      <c r="I4488">
        <f>SUMPRODUCT(Calc!$K$3:$K$22*(Calc!$G$3:$G$22&gt;A4488)*(Calc!$G$3:$G$22-A4488)^2)</f>
        <v/>
      </c>
      <c r="J4488">
        <f>SUMPRODUCT(Calc!$K$3:$K$22*(Calc!$G$3:$G$22&gt;B4488)*(Calc!$G$3:$G$22-B4488)^2)</f>
        <v/>
      </c>
      <c r="K4488">
        <f>SUMPRODUCT(Calc!$K$3:$K$22*(Calc!$G$3:$G$22&gt;A4488)*(Calc!$G$3:$G$22-A4488)*(Calc!$G$3:$G$22&gt;B4488)*(Calc!$G$3:$G$22-B4488))</f>
        <v/>
      </c>
      <c r="L4488">
        <f>SUMPRODUCT(Calc!$K$3:$K$22*(Calc!$G$3:$G$22&gt;A4488)*(Calc!$G$3:$G$22-A4488)*Calc!$G$3:$G$22)</f>
        <v/>
      </c>
      <c r="M4488">
        <f>SUMPRODUCT(Calc!$K$3:$K$22*(Calc!$G$3:$G$22&gt;B4488)*(Calc!$G$3:$G$22-B4488)*Calc!$G$3:$G$22)</f>
        <v/>
      </c>
      <c r="N4488">
        <f>SUMPRODUCT(Calc!$K$3:$K$22*(Calc!$G$3:$G$22&gt;A4488)*(Calc!$G$3:$G$22-A4488)*Calc!$I$3:$I$22)</f>
        <v/>
      </c>
      <c r="O4488">
        <f>SUMPRODUCT(Calc!$K$3:$K$22*(Calc!$G$3:$G$22&gt;B4488)*(Calc!$G$3:$G$22-B4488)*Calc!$I$3:$I$22)</f>
        <v/>
      </c>
      <c r="P4488">
        <f>I4488-G4488^2/k_n</f>
        <v/>
      </c>
      <c r="Q4488">
        <f>J4488-H4488^2/k_n</f>
        <v/>
      </c>
      <c r="R4488">
        <f>K4488-G4488*H4488/k_n</f>
        <v/>
      </c>
      <c r="S4488">
        <f>L4488-LTP3!$D$3*G4488/k_n</f>
        <v/>
      </c>
      <c r="T4488">
        <f>M4488-LTP3!$D$3*H4488/k_n</f>
        <v/>
      </c>
      <c r="U4488">
        <f>N4488-G4488*LTP3!$D$4/k_n</f>
        <v/>
      </c>
      <c r="V4488">
        <f>O4488-H4488*LTP3!$D$4/k_n</f>
        <v/>
      </c>
      <c r="W4488">
        <f>((LTP3!$D$5)*((P4488)*(Q4488)-(R4488)*(R4488))-(S4488)*((S4488)*(Q4488)-(R4488)*(T4488))+(T4488)*((S4488)*(R4488)-(P4488)*(T4488)))</f>
        <v/>
      </c>
      <c r="X4488">
        <f>IF(ABS(W4488)&gt;1E-12,((LTP3!$D$6)*((P4488)*(Q4488)-(R4488)*(R4488))-(S4488)*((U4488)*(Q4488)-(R4488)*(V4488))+(T4488)*((U4488)*(R4488)-(P4488)*(V4488)))/W4488,0)</f>
        <v/>
      </c>
      <c r="Y4488">
        <f>IF(ABS(W4488)&gt;1E-12,((LTP3!$D$5)*((U4488)*(Q4488)-(R4488)*(V4488))-(LTP3!$D$6)*((S4488)*(Q4488)-(R4488)*(T4488))+(T4488)*((S4488)*(V4488)-(U4488)*(T4488)))/W4488,0)</f>
        <v/>
      </c>
      <c r="Z4488">
        <f>IF(ABS(W4488)&gt;1E-12,((LTP3!$D$5)*((P4488)*(V4488)-(U4488)*(R4488))-(S4488)*((S4488)*(V4488)-(U4488)*(T4488))+(LTP3!$D$6)*((S4488)*(R4488)-(P4488)*(T4488)))/W4488,0)</f>
        <v/>
      </c>
      <c r="AA4488">
        <f>LTP3!$D$7-X4488*LTP3!$D$6-Y4488*U4488-Z4488*V4488</f>
        <v/>
      </c>
      <c r="AB4488">
        <f>IF(AND(F4488,ABS(W4488)&gt;1E-12,Y4488&gt;0,Z4488&gt;0),AA4488,1E+300)</f>
        <v/>
      </c>
    </row>
    <row r="4489">
      <c r="A4489">
        <f>$I$4-$B$5/10+$B$5*14/100</f>
        <v/>
      </c>
      <c r="B4489">
        <f>$J$4-$B$5/10+$B$5*15/100</f>
        <v/>
      </c>
      <c r="C4489">
        <f>SUMPRODUCT(Calc!$K$3:$K$22*(Calc!$G$3:$G$22&lt;=A4489))</f>
        <v/>
      </c>
      <c r="D4489">
        <f>SUMPRODUCT(Calc!$K$3:$K$22*(Calc!$G$3:$G$22&gt;A4489)*(Calc!$G$3:$G$22&lt;B4489))</f>
        <v/>
      </c>
      <c r="E4489">
        <f>SUMPRODUCT(Calc!$K$3:$K$22*(Calc!$G$3:$G$22&gt;=B4489))</f>
        <v/>
      </c>
      <c r="F4489">
        <f>AND(k_n&gt;=5,B4489&gt;A4489+1E-9,C4489&gt;=2,D4489&gt;=1,E4489&gt;=2)</f>
        <v/>
      </c>
      <c r="G4489">
        <f>SUMPRODUCT(Calc!$K$3:$K$22*(Calc!$G$3:$G$22&gt;A4489)*(Calc!$G$3:$G$22-A4489))</f>
        <v/>
      </c>
      <c r="H4489">
        <f>SUMPRODUCT(Calc!$K$3:$K$22*(Calc!$G$3:$G$22&gt;B4489)*(Calc!$G$3:$G$22-B4489))</f>
        <v/>
      </c>
      <c r="I4489">
        <f>SUMPRODUCT(Calc!$K$3:$K$22*(Calc!$G$3:$G$22&gt;A4489)*(Calc!$G$3:$G$22-A4489)^2)</f>
        <v/>
      </c>
      <c r="J4489">
        <f>SUMPRODUCT(Calc!$K$3:$K$22*(Calc!$G$3:$G$22&gt;B4489)*(Calc!$G$3:$G$22-B4489)^2)</f>
        <v/>
      </c>
      <c r="K4489">
        <f>SUMPRODUCT(Calc!$K$3:$K$22*(Calc!$G$3:$G$22&gt;A4489)*(Calc!$G$3:$G$22-A4489)*(Calc!$G$3:$G$22&gt;B4489)*(Calc!$G$3:$G$22-B4489))</f>
        <v/>
      </c>
      <c r="L4489">
        <f>SUMPRODUCT(Calc!$K$3:$K$22*(Calc!$G$3:$G$22&gt;A4489)*(Calc!$G$3:$G$22-A4489)*Calc!$G$3:$G$22)</f>
        <v/>
      </c>
      <c r="M4489">
        <f>SUMPRODUCT(Calc!$K$3:$K$22*(Calc!$G$3:$G$22&gt;B4489)*(Calc!$G$3:$G$22-B4489)*Calc!$G$3:$G$22)</f>
        <v/>
      </c>
      <c r="N4489">
        <f>SUMPRODUCT(Calc!$K$3:$K$22*(Calc!$G$3:$G$22&gt;A4489)*(Calc!$G$3:$G$22-A4489)*Calc!$I$3:$I$22)</f>
        <v/>
      </c>
      <c r="O4489">
        <f>SUMPRODUCT(Calc!$K$3:$K$22*(Calc!$G$3:$G$22&gt;B4489)*(Calc!$G$3:$G$22-B4489)*Calc!$I$3:$I$22)</f>
        <v/>
      </c>
      <c r="P4489">
        <f>I4489-G4489^2/k_n</f>
        <v/>
      </c>
      <c r="Q4489">
        <f>J4489-H4489^2/k_n</f>
        <v/>
      </c>
      <c r="R4489">
        <f>K4489-G4489*H4489/k_n</f>
        <v/>
      </c>
      <c r="S4489">
        <f>L4489-LTP3!$D$3*G4489/k_n</f>
        <v/>
      </c>
      <c r="T4489">
        <f>M4489-LTP3!$D$3*H4489/k_n</f>
        <v/>
      </c>
      <c r="U4489">
        <f>N4489-G4489*LTP3!$D$4/k_n</f>
        <v/>
      </c>
      <c r="V4489">
        <f>O4489-H4489*LTP3!$D$4/k_n</f>
        <v/>
      </c>
      <c r="W4489">
        <f>((LTP3!$D$5)*((P4489)*(Q4489)-(R4489)*(R4489))-(S4489)*((S4489)*(Q4489)-(R4489)*(T4489))+(T4489)*((S4489)*(R4489)-(P4489)*(T4489)))</f>
        <v/>
      </c>
      <c r="X4489">
        <f>IF(ABS(W4489)&gt;1E-12,((LTP3!$D$6)*((P4489)*(Q4489)-(R4489)*(R4489))-(S4489)*((U4489)*(Q4489)-(R4489)*(V4489))+(T4489)*((U4489)*(R4489)-(P4489)*(V4489)))/W4489,0)</f>
        <v/>
      </c>
      <c r="Y4489">
        <f>IF(ABS(W4489)&gt;1E-12,((LTP3!$D$5)*((U4489)*(Q4489)-(R4489)*(V4489))-(LTP3!$D$6)*((S4489)*(Q4489)-(R4489)*(T4489))+(T4489)*((S4489)*(V4489)-(U4489)*(T4489)))/W4489,0)</f>
        <v/>
      </c>
      <c r="Z4489">
        <f>IF(ABS(W4489)&gt;1E-12,((LTP3!$D$5)*((P4489)*(V4489)-(U4489)*(R4489))-(S4489)*((S4489)*(V4489)-(U4489)*(T4489))+(LTP3!$D$6)*((S4489)*(R4489)-(P4489)*(T4489)))/W4489,0)</f>
        <v/>
      </c>
      <c r="AA4489">
        <f>LTP3!$D$7-X4489*LTP3!$D$6-Y4489*U4489-Z4489*V4489</f>
        <v/>
      </c>
      <c r="AB4489">
        <f>IF(AND(F4489,ABS(W4489)&gt;1E-12,Y4489&gt;0,Z4489&gt;0),AA4489,1E+300)</f>
        <v/>
      </c>
    </row>
    <row r="4490">
      <c r="A4490">
        <f>$I$4-$B$5/10+$B$5*14/100</f>
        <v/>
      </c>
      <c r="B4490">
        <f>$J$4-$B$5/10+$B$5*16/100</f>
        <v/>
      </c>
      <c r="C4490">
        <f>SUMPRODUCT(Calc!$K$3:$K$22*(Calc!$G$3:$G$22&lt;=A4490))</f>
        <v/>
      </c>
      <c r="D4490">
        <f>SUMPRODUCT(Calc!$K$3:$K$22*(Calc!$G$3:$G$22&gt;A4490)*(Calc!$G$3:$G$22&lt;B4490))</f>
        <v/>
      </c>
      <c r="E4490">
        <f>SUMPRODUCT(Calc!$K$3:$K$22*(Calc!$G$3:$G$22&gt;=B4490))</f>
        <v/>
      </c>
      <c r="F4490">
        <f>AND(k_n&gt;=5,B4490&gt;A4490+1E-9,C4490&gt;=2,D4490&gt;=1,E4490&gt;=2)</f>
        <v/>
      </c>
      <c r="G4490">
        <f>SUMPRODUCT(Calc!$K$3:$K$22*(Calc!$G$3:$G$22&gt;A4490)*(Calc!$G$3:$G$22-A4490))</f>
        <v/>
      </c>
      <c r="H4490">
        <f>SUMPRODUCT(Calc!$K$3:$K$22*(Calc!$G$3:$G$22&gt;B4490)*(Calc!$G$3:$G$22-B4490))</f>
        <v/>
      </c>
      <c r="I4490">
        <f>SUMPRODUCT(Calc!$K$3:$K$22*(Calc!$G$3:$G$22&gt;A4490)*(Calc!$G$3:$G$22-A4490)^2)</f>
        <v/>
      </c>
      <c r="J4490">
        <f>SUMPRODUCT(Calc!$K$3:$K$22*(Calc!$G$3:$G$22&gt;B4490)*(Calc!$G$3:$G$22-B4490)^2)</f>
        <v/>
      </c>
      <c r="K4490">
        <f>SUMPRODUCT(Calc!$K$3:$K$22*(Calc!$G$3:$G$22&gt;A4490)*(Calc!$G$3:$G$22-A4490)*(Calc!$G$3:$G$22&gt;B4490)*(Calc!$G$3:$G$22-B4490))</f>
        <v/>
      </c>
      <c r="L4490">
        <f>SUMPRODUCT(Calc!$K$3:$K$22*(Calc!$G$3:$G$22&gt;A4490)*(Calc!$G$3:$G$22-A4490)*Calc!$G$3:$G$22)</f>
        <v/>
      </c>
      <c r="M4490">
        <f>SUMPRODUCT(Calc!$K$3:$K$22*(Calc!$G$3:$G$22&gt;B4490)*(Calc!$G$3:$G$22-B4490)*Calc!$G$3:$G$22)</f>
        <v/>
      </c>
      <c r="N4490">
        <f>SUMPRODUCT(Calc!$K$3:$K$22*(Calc!$G$3:$G$22&gt;A4490)*(Calc!$G$3:$G$22-A4490)*Calc!$I$3:$I$22)</f>
        <v/>
      </c>
      <c r="O4490">
        <f>SUMPRODUCT(Calc!$K$3:$K$22*(Calc!$G$3:$G$22&gt;B4490)*(Calc!$G$3:$G$22-B4490)*Calc!$I$3:$I$22)</f>
        <v/>
      </c>
      <c r="P4490">
        <f>I4490-G4490^2/k_n</f>
        <v/>
      </c>
      <c r="Q4490">
        <f>J4490-H4490^2/k_n</f>
        <v/>
      </c>
      <c r="R4490">
        <f>K4490-G4490*H4490/k_n</f>
        <v/>
      </c>
      <c r="S4490">
        <f>L4490-LTP3!$D$3*G4490/k_n</f>
        <v/>
      </c>
      <c r="T4490">
        <f>M4490-LTP3!$D$3*H4490/k_n</f>
        <v/>
      </c>
      <c r="U4490">
        <f>N4490-G4490*LTP3!$D$4/k_n</f>
        <v/>
      </c>
      <c r="V4490">
        <f>O4490-H4490*LTP3!$D$4/k_n</f>
        <v/>
      </c>
      <c r="W4490">
        <f>((LTP3!$D$5)*((P4490)*(Q4490)-(R4490)*(R4490))-(S4490)*((S4490)*(Q4490)-(R4490)*(T4490))+(T4490)*((S4490)*(R4490)-(P4490)*(T4490)))</f>
        <v/>
      </c>
      <c r="X4490">
        <f>IF(ABS(W4490)&gt;1E-12,((LTP3!$D$6)*((P4490)*(Q4490)-(R4490)*(R4490))-(S4490)*((U4490)*(Q4490)-(R4490)*(V4490))+(T4490)*((U4490)*(R4490)-(P4490)*(V4490)))/W4490,0)</f>
        <v/>
      </c>
      <c r="Y4490">
        <f>IF(ABS(W4490)&gt;1E-12,((LTP3!$D$5)*((U4490)*(Q4490)-(R4490)*(V4490))-(LTP3!$D$6)*((S4490)*(Q4490)-(R4490)*(T4490))+(T4490)*((S4490)*(V4490)-(U4490)*(T4490)))/W4490,0)</f>
        <v/>
      </c>
      <c r="Z4490">
        <f>IF(ABS(W4490)&gt;1E-12,((LTP3!$D$5)*((P4490)*(V4490)-(U4490)*(R4490))-(S4490)*((S4490)*(V4490)-(U4490)*(T4490))+(LTP3!$D$6)*((S4490)*(R4490)-(P4490)*(T4490)))/W4490,0)</f>
        <v/>
      </c>
      <c r="AA4490">
        <f>LTP3!$D$7-X4490*LTP3!$D$6-Y4490*U4490-Z4490*V4490</f>
        <v/>
      </c>
      <c r="AB4490">
        <f>IF(AND(F4490,ABS(W4490)&gt;1E-12,Y4490&gt;0,Z4490&gt;0),AA4490,1E+300)</f>
        <v/>
      </c>
    </row>
    <row r="4491">
      <c r="A4491">
        <f>$I$4-$B$5/10+$B$5*14/100</f>
        <v/>
      </c>
      <c r="B4491">
        <f>$J$4-$B$5/10+$B$5*17/100</f>
        <v/>
      </c>
      <c r="C4491">
        <f>SUMPRODUCT(Calc!$K$3:$K$22*(Calc!$G$3:$G$22&lt;=A4491))</f>
        <v/>
      </c>
      <c r="D4491">
        <f>SUMPRODUCT(Calc!$K$3:$K$22*(Calc!$G$3:$G$22&gt;A4491)*(Calc!$G$3:$G$22&lt;B4491))</f>
        <v/>
      </c>
      <c r="E4491">
        <f>SUMPRODUCT(Calc!$K$3:$K$22*(Calc!$G$3:$G$22&gt;=B4491))</f>
        <v/>
      </c>
      <c r="F4491">
        <f>AND(k_n&gt;=5,B4491&gt;A4491+1E-9,C4491&gt;=2,D4491&gt;=1,E4491&gt;=2)</f>
        <v/>
      </c>
      <c r="G4491">
        <f>SUMPRODUCT(Calc!$K$3:$K$22*(Calc!$G$3:$G$22&gt;A4491)*(Calc!$G$3:$G$22-A4491))</f>
        <v/>
      </c>
      <c r="H4491">
        <f>SUMPRODUCT(Calc!$K$3:$K$22*(Calc!$G$3:$G$22&gt;B4491)*(Calc!$G$3:$G$22-B4491))</f>
        <v/>
      </c>
      <c r="I4491">
        <f>SUMPRODUCT(Calc!$K$3:$K$22*(Calc!$G$3:$G$22&gt;A4491)*(Calc!$G$3:$G$22-A4491)^2)</f>
        <v/>
      </c>
      <c r="J4491">
        <f>SUMPRODUCT(Calc!$K$3:$K$22*(Calc!$G$3:$G$22&gt;B4491)*(Calc!$G$3:$G$22-B4491)^2)</f>
        <v/>
      </c>
      <c r="K4491">
        <f>SUMPRODUCT(Calc!$K$3:$K$22*(Calc!$G$3:$G$22&gt;A4491)*(Calc!$G$3:$G$22-A4491)*(Calc!$G$3:$G$22&gt;B4491)*(Calc!$G$3:$G$22-B4491))</f>
        <v/>
      </c>
      <c r="L4491">
        <f>SUMPRODUCT(Calc!$K$3:$K$22*(Calc!$G$3:$G$22&gt;A4491)*(Calc!$G$3:$G$22-A4491)*Calc!$G$3:$G$22)</f>
        <v/>
      </c>
      <c r="M4491">
        <f>SUMPRODUCT(Calc!$K$3:$K$22*(Calc!$G$3:$G$22&gt;B4491)*(Calc!$G$3:$G$22-B4491)*Calc!$G$3:$G$22)</f>
        <v/>
      </c>
      <c r="N4491">
        <f>SUMPRODUCT(Calc!$K$3:$K$22*(Calc!$G$3:$G$22&gt;A4491)*(Calc!$G$3:$G$22-A4491)*Calc!$I$3:$I$22)</f>
        <v/>
      </c>
      <c r="O4491">
        <f>SUMPRODUCT(Calc!$K$3:$K$22*(Calc!$G$3:$G$22&gt;B4491)*(Calc!$G$3:$G$22-B4491)*Calc!$I$3:$I$22)</f>
        <v/>
      </c>
      <c r="P4491">
        <f>I4491-G4491^2/k_n</f>
        <v/>
      </c>
      <c r="Q4491">
        <f>J4491-H4491^2/k_n</f>
        <v/>
      </c>
      <c r="R4491">
        <f>K4491-G4491*H4491/k_n</f>
        <v/>
      </c>
      <c r="S4491">
        <f>L4491-LTP3!$D$3*G4491/k_n</f>
        <v/>
      </c>
      <c r="T4491">
        <f>M4491-LTP3!$D$3*H4491/k_n</f>
        <v/>
      </c>
      <c r="U4491">
        <f>N4491-G4491*LTP3!$D$4/k_n</f>
        <v/>
      </c>
      <c r="V4491">
        <f>O4491-H4491*LTP3!$D$4/k_n</f>
        <v/>
      </c>
      <c r="W4491">
        <f>((LTP3!$D$5)*((P4491)*(Q4491)-(R4491)*(R4491))-(S4491)*((S4491)*(Q4491)-(R4491)*(T4491))+(T4491)*((S4491)*(R4491)-(P4491)*(T4491)))</f>
        <v/>
      </c>
      <c r="X4491">
        <f>IF(ABS(W4491)&gt;1E-12,((LTP3!$D$6)*((P4491)*(Q4491)-(R4491)*(R4491))-(S4491)*((U4491)*(Q4491)-(R4491)*(V4491))+(T4491)*((U4491)*(R4491)-(P4491)*(V4491)))/W4491,0)</f>
        <v/>
      </c>
      <c r="Y4491">
        <f>IF(ABS(W4491)&gt;1E-12,((LTP3!$D$5)*((U4491)*(Q4491)-(R4491)*(V4491))-(LTP3!$D$6)*((S4491)*(Q4491)-(R4491)*(T4491))+(T4491)*((S4491)*(V4491)-(U4491)*(T4491)))/W4491,0)</f>
        <v/>
      </c>
      <c r="Z4491">
        <f>IF(ABS(W4491)&gt;1E-12,((LTP3!$D$5)*((P4491)*(V4491)-(U4491)*(R4491))-(S4491)*((S4491)*(V4491)-(U4491)*(T4491))+(LTP3!$D$6)*((S4491)*(R4491)-(P4491)*(T4491)))/W4491,0)</f>
        <v/>
      </c>
      <c r="AA4491">
        <f>LTP3!$D$7-X4491*LTP3!$D$6-Y4491*U4491-Z4491*V4491</f>
        <v/>
      </c>
      <c r="AB4491">
        <f>IF(AND(F4491,ABS(W4491)&gt;1E-12,Y4491&gt;0,Z4491&gt;0),AA4491,1E+300)</f>
        <v/>
      </c>
    </row>
    <row r="4492">
      <c r="A4492">
        <f>$I$4-$B$5/10+$B$5*14/100</f>
        <v/>
      </c>
      <c r="B4492">
        <f>$J$4-$B$5/10+$B$5*18/100</f>
        <v/>
      </c>
      <c r="C4492">
        <f>SUMPRODUCT(Calc!$K$3:$K$22*(Calc!$G$3:$G$22&lt;=A4492))</f>
        <v/>
      </c>
      <c r="D4492">
        <f>SUMPRODUCT(Calc!$K$3:$K$22*(Calc!$G$3:$G$22&gt;A4492)*(Calc!$G$3:$G$22&lt;B4492))</f>
        <v/>
      </c>
      <c r="E4492">
        <f>SUMPRODUCT(Calc!$K$3:$K$22*(Calc!$G$3:$G$22&gt;=B4492))</f>
        <v/>
      </c>
      <c r="F4492">
        <f>AND(k_n&gt;=5,B4492&gt;A4492+1E-9,C4492&gt;=2,D4492&gt;=1,E4492&gt;=2)</f>
        <v/>
      </c>
      <c r="G4492">
        <f>SUMPRODUCT(Calc!$K$3:$K$22*(Calc!$G$3:$G$22&gt;A4492)*(Calc!$G$3:$G$22-A4492))</f>
        <v/>
      </c>
      <c r="H4492">
        <f>SUMPRODUCT(Calc!$K$3:$K$22*(Calc!$G$3:$G$22&gt;B4492)*(Calc!$G$3:$G$22-B4492))</f>
        <v/>
      </c>
      <c r="I4492">
        <f>SUMPRODUCT(Calc!$K$3:$K$22*(Calc!$G$3:$G$22&gt;A4492)*(Calc!$G$3:$G$22-A4492)^2)</f>
        <v/>
      </c>
      <c r="J4492">
        <f>SUMPRODUCT(Calc!$K$3:$K$22*(Calc!$G$3:$G$22&gt;B4492)*(Calc!$G$3:$G$22-B4492)^2)</f>
        <v/>
      </c>
      <c r="K4492">
        <f>SUMPRODUCT(Calc!$K$3:$K$22*(Calc!$G$3:$G$22&gt;A4492)*(Calc!$G$3:$G$22-A4492)*(Calc!$G$3:$G$22&gt;B4492)*(Calc!$G$3:$G$22-B4492))</f>
        <v/>
      </c>
      <c r="L4492">
        <f>SUMPRODUCT(Calc!$K$3:$K$22*(Calc!$G$3:$G$22&gt;A4492)*(Calc!$G$3:$G$22-A4492)*Calc!$G$3:$G$22)</f>
        <v/>
      </c>
      <c r="M4492">
        <f>SUMPRODUCT(Calc!$K$3:$K$22*(Calc!$G$3:$G$22&gt;B4492)*(Calc!$G$3:$G$22-B4492)*Calc!$G$3:$G$22)</f>
        <v/>
      </c>
      <c r="N4492">
        <f>SUMPRODUCT(Calc!$K$3:$K$22*(Calc!$G$3:$G$22&gt;A4492)*(Calc!$G$3:$G$22-A4492)*Calc!$I$3:$I$22)</f>
        <v/>
      </c>
      <c r="O4492">
        <f>SUMPRODUCT(Calc!$K$3:$K$22*(Calc!$G$3:$G$22&gt;B4492)*(Calc!$G$3:$G$22-B4492)*Calc!$I$3:$I$22)</f>
        <v/>
      </c>
      <c r="P4492">
        <f>I4492-G4492^2/k_n</f>
        <v/>
      </c>
      <c r="Q4492">
        <f>J4492-H4492^2/k_n</f>
        <v/>
      </c>
      <c r="R4492">
        <f>K4492-G4492*H4492/k_n</f>
        <v/>
      </c>
      <c r="S4492">
        <f>L4492-LTP3!$D$3*G4492/k_n</f>
        <v/>
      </c>
      <c r="T4492">
        <f>M4492-LTP3!$D$3*H4492/k_n</f>
        <v/>
      </c>
      <c r="U4492">
        <f>N4492-G4492*LTP3!$D$4/k_n</f>
        <v/>
      </c>
      <c r="V4492">
        <f>O4492-H4492*LTP3!$D$4/k_n</f>
        <v/>
      </c>
      <c r="W4492">
        <f>((LTP3!$D$5)*((P4492)*(Q4492)-(R4492)*(R4492))-(S4492)*((S4492)*(Q4492)-(R4492)*(T4492))+(T4492)*((S4492)*(R4492)-(P4492)*(T4492)))</f>
        <v/>
      </c>
      <c r="X4492">
        <f>IF(ABS(W4492)&gt;1E-12,((LTP3!$D$6)*((P4492)*(Q4492)-(R4492)*(R4492))-(S4492)*((U4492)*(Q4492)-(R4492)*(V4492))+(T4492)*((U4492)*(R4492)-(P4492)*(V4492)))/W4492,0)</f>
        <v/>
      </c>
      <c r="Y4492">
        <f>IF(ABS(W4492)&gt;1E-12,((LTP3!$D$5)*((U4492)*(Q4492)-(R4492)*(V4492))-(LTP3!$D$6)*((S4492)*(Q4492)-(R4492)*(T4492))+(T4492)*((S4492)*(V4492)-(U4492)*(T4492)))/W4492,0)</f>
        <v/>
      </c>
      <c r="Z4492">
        <f>IF(ABS(W4492)&gt;1E-12,((LTP3!$D$5)*((P4492)*(V4492)-(U4492)*(R4492))-(S4492)*((S4492)*(V4492)-(U4492)*(T4492))+(LTP3!$D$6)*((S4492)*(R4492)-(P4492)*(T4492)))/W4492,0)</f>
        <v/>
      </c>
      <c r="AA4492">
        <f>LTP3!$D$7-X4492*LTP3!$D$6-Y4492*U4492-Z4492*V4492</f>
        <v/>
      </c>
      <c r="AB4492">
        <f>IF(AND(F4492,ABS(W4492)&gt;1E-12,Y4492&gt;0,Z4492&gt;0),AA4492,1E+300)</f>
        <v/>
      </c>
    </row>
    <row r="4493">
      <c r="A4493">
        <f>$I$4-$B$5/10+$B$5*14/100</f>
        <v/>
      </c>
      <c r="B4493">
        <f>$J$4-$B$5/10+$B$5*19/100</f>
        <v/>
      </c>
      <c r="C4493">
        <f>SUMPRODUCT(Calc!$K$3:$K$22*(Calc!$G$3:$G$22&lt;=A4493))</f>
        <v/>
      </c>
      <c r="D4493">
        <f>SUMPRODUCT(Calc!$K$3:$K$22*(Calc!$G$3:$G$22&gt;A4493)*(Calc!$G$3:$G$22&lt;B4493))</f>
        <v/>
      </c>
      <c r="E4493">
        <f>SUMPRODUCT(Calc!$K$3:$K$22*(Calc!$G$3:$G$22&gt;=B4493))</f>
        <v/>
      </c>
      <c r="F4493">
        <f>AND(k_n&gt;=5,B4493&gt;A4493+1E-9,C4493&gt;=2,D4493&gt;=1,E4493&gt;=2)</f>
        <v/>
      </c>
      <c r="G4493">
        <f>SUMPRODUCT(Calc!$K$3:$K$22*(Calc!$G$3:$G$22&gt;A4493)*(Calc!$G$3:$G$22-A4493))</f>
        <v/>
      </c>
      <c r="H4493">
        <f>SUMPRODUCT(Calc!$K$3:$K$22*(Calc!$G$3:$G$22&gt;B4493)*(Calc!$G$3:$G$22-B4493))</f>
        <v/>
      </c>
      <c r="I4493">
        <f>SUMPRODUCT(Calc!$K$3:$K$22*(Calc!$G$3:$G$22&gt;A4493)*(Calc!$G$3:$G$22-A4493)^2)</f>
        <v/>
      </c>
      <c r="J4493">
        <f>SUMPRODUCT(Calc!$K$3:$K$22*(Calc!$G$3:$G$22&gt;B4493)*(Calc!$G$3:$G$22-B4493)^2)</f>
        <v/>
      </c>
      <c r="K4493">
        <f>SUMPRODUCT(Calc!$K$3:$K$22*(Calc!$G$3:$G$22&gt;A4493)*(Calc!$G$3:$G$22-A4493)*(Calc!$G$3:$G$22&gt;B4493)*(Calc!$G$3:$G$22-B4493))</f>
        <v/>
      </c>
      <c r="L4493">
        <f>SUMPRODUCT(Calc!$K$3:$K$22*(Calc!$G$3:$G$22&gt;A4493)*(Calc!$G$3:$G$22-A4493)*Calc!$G$3:$G$22)</f>
        <v/>
      </c>
      <c r="M4493">
        <f>SUMPRODUCT(Calc!$K$3:$K$22*(Calc!$G$3:$G$22&gt;B4493)*(Calc!$G$3:$G$22-B4493)*Calc!$G$3:$G$22)</f>
        <v/>
      </c>
      <c r="N4493">
        <f>SUMPRODUCT(Calc!$K$3:$K$22*(Calc!$G$3:$G$22&gt;A4493)*(Calc!$G$3:$G$22-A4493)*Calc!$I$3:$I$22)</f>
        <v/>
      </c>
      <c r="O4493">
        <f>SUMPRODUCT(Calc!$K$3:$K$22*(Calc!$G$3:$G$22&gt;B4493)*(Calc!$G$3:$G$22-B4493)*Calc!$I$3:$I$22)</f>
        <v/>
      </c>
      <c r="P4493">
        <f>I4493-G4493^2/k_n</f>
        <v/>
      </c>
      <c r="Q4493">
        <f>J4493-H4493^2/k_n</f>
        <v/>
      </c>
      <c r="R4493">
        <f>K4493-G4493*H4493/k_n</f>
        <v/>
      </c>
      <c r="S4493">
        <f>L4493-LTP3!$D$3*G4493/k_n</f>
        <v/>
      </c>
      <c r="T4493">
        <f>M4493-LTP3!$D$3*H4493/k_n</f>
        <v/>
      </c>
      <c r="U4493">
        <f>N4493-G4493*LTP3!$D$4/k_n</f>
        <v/>
      </c>
      <c r="V4493">
        <f>O4493-H4493*LTP3!$D$4/k_n</f>
        <v/>
      </c>
      <c r="W4493">
        <f>((LTP3!$D$5)*((P4493)*(Q4493)-(R4493)*(R4493))-(S4493)*((S4493)*(Q4493)-(R4493)*(T4493))+(T4493)*((S4493)*(R4493)-(P4493)*(T4493)))</f>
        <v/>
      </c>
      <c r="X4493">
        <f>IF(ABS(W4493)&gt;1E-12,((LTP3!$D$6)*((P4493)*(Q4493)-(R4493)*(R4493))-(S4493)*((U4493)*(Q4493)-(R4493)*(V4493))+(T4493)*((U4493)*(R4493)-(P4493)*(V4493)))/W4493,0)</f>
        <v/>
      </c>
      <c r="Y4493">
        <f>IF(ABS(W4493)&gt;1E-12,((LTP3!$D$5)*((U4493)*(Q4493)-(R4493)*(V4493))-(LTP3!$D$6)*((S4493)*(Q4493)-(R4493)*(T4493))+(T4493)*((S4493)*(V4493)-(U4493)*(T4493)))/W4493,0)</f>
        <v/>
      </c>
      <c r="Z4493">
        <f>IF(ABS(W4493)&gt;1E-12,((LTP3!$D$5)*((P4493)*(V4493)-(U4493)*(R4493))-(S4493)*((S4493)*(V4493)-(U4493)*(T4493))+(LTP3!$D$6)*((S4493)*(R4493)-(P4493)*(T4493)))/W4493,0)</f>
        <v/>
      </c>
      <c r="AA4493">
        <f>LTP3!$D$7-X4493*LTP3!$D$6-Y4493*U4493-Z4493*V4493</f>
        <v/>
      </c>
      <c r="AB4493">
        <f>IF(AND(F4493,ABS(W4493)&gt;1E-12,Y4493&gt;0,Z4493&gt;0),AA4493,1E+300)</f>
        <v/>
      </c>
    </row>
    <row r="4494">
      <c r="A4494">
        <f>$I$4-$B$5/10+$B$5*14/100</f>
        <v/>
      </c>
      <c r="B4494">
        <f>$J$4-$B$5/10+$B$5*20/100</f>
        <v/>
      </c>
      <c r="C4494">
        <f>SUMPRODUCT(Calc!$K$3:$K$22*(Calc!$G$3:$G$22&lt;=A4494))</f>
        <v/>
      </c>
      <c r="D4494">
        <f>SUMPRODUCT(Calc!$K$3:$K$22*(Calc!$G$3:$G$22&gt;A4494)*(Calc!$G$3:$G$22&lt;B4494))</f>
        <v/>
      </c>
      <c r="E4494">
        <f>SUMPRODUCT(Calc!$K$3:$K$22*(Calc!$G$3:$G$22&gt;=B4494))</f>
        <v/>
      </c>
      <c r="F4494">
        <f>AND(k_n&gt;=5,B4494&gt;A4494+1E-9,C4494&gt;=2,D4494&gt;=1,E4494&gt;=2)</f>
        <v/>
      </c>
      <c r="G4494">
        <f>SUMPRODUCT(Calc!$K$3:$K$22*(Calc!$G$3:$G$22&gt;A4494)*(Calc!$G$3:$G$22-A4494))</f>
        <v/>
      </c>
      <c r="H4494">
        <f>SUMPRODUCT(Calc!$K$3:$K$22*(Calc!$G$3:$G$22&gt;B4494)*(Calc!$G$3:$G$22-B4494))</f>
        <v/>
      </c>
      <c r="I4494">
        <f>SUMPRODUCT(Calc!$K$3:$K$22*(Calc!$G$3:$G$22&gt;A4494)*(Calc!$G$3:$G$22-A4494)^2)</f>
        <v/>
      </c>
      <c r="J4494">
        <f>SUMPRODUCT(Calc!$K$3:$K$22*(Calc!$G$3:$G$22&gt;B4494)*(Calc!$G$3:$G$22-B4494)^2)</f>
        <v/>
      </c>
      <c r="K4494">
        <f>SUMPRODUCT(Calc!$K$3:$K$22*(Calc!$G$3:$G$22&gt;A4494)*(Calc!$G$3:$G$22-A4494)*(Calc!$G$3:$G$22&gt;B4494)*(Calc!$G$3:$G$22-B4494))</f>
        <v/>
      </c>
      <c r="L4494">
        <f>SUMPRODUCT(Calc!$K$3:$K$22*(Calc!$G$3:$G$22&gt;A4494)*(Calc!$G$3:$G$22-A4494)*Calc!$G$3:$G$22)</f>
        <v/>
      </c>
      <c r="M4494">
        <f>SUMPRODUCT(Calc!$K$3:$K$22*(Calc!$G$3:$G$22&gt;B4494)*(Calc!$G$3:$G$22-B4494)*Calc!$G$3:$G$22)</f>
        <v/>
      </c>
      <c r="N4494">
        <f>SUMPRODUCT(Calc!$K$3:$K$22*(Calc!$G$3:$G$22&gt;A4494)*(Calc!$G$3:$G$22-A4494)*Calc!$I$3:$I$22)</f>
        <v/>
      </c>
      <c r="O4494">
        <f>SUMPRODUCT(Calc!$K$3:$K$22*(Calc!$G$3:$G$22&gt;B4494)*(Calc!$G$3:$G$22-B4494)*Calc!$I$3:$I$22)</f>
        <v/>
      </c>
      <c r="P4494">
        <f>I4494-G4494^2/k_n</f>
        <v/>
      </c>
      <c r="Q4494">
        <f>J4494-H4494^2/k_n</f>
        <v/>
      </c>
      <c r="R4494">
        <f>K4494-G4494*H4494/k_n</f>
        <v/>
      </c>
      <c r="S4494">
        <f>L4494-LTP3!$D$3*G4494/k_n</f>
        <v/>
      </c>
      <c r="T4494">
        <f>M4494-LTP3!$D$3*H4494/k_n</f>
        <v/>
      </c>
      <c r="U4494">
        <f>N4494-G4494*LTP3!$D$4/k_n</f>
        <v/>
      </c>
      <c r="V4494">
        <f>O4494-H4494*LTP3!$D$4/k_n</f>
        <v/>
      </c>
      <c r="W4494">
        <f>((LTP3!$D$5)*((P4494)*(Q4494)-(R4494)*(R4494))-(S4494)*((S4494)*(Q4494)-(R4494)*(T4494))+(T4494)*((S4494)*(R4494)-(P4494)*(T4494)))</f>
        <v/>
      </c>
      <c r="X4494">
        <f>IF(ABS(W4494)&gt;1E-12,((LTP3!$D$6)*((P4494)*(Q4494)-(R4494)*(R4494))-(S4494)*((U4494)*(Q4494)-(R4494)*(V4494))+(T4494)*((U4494)*(R4494)-(P4494)*(V4494)))/W4494,0)</f>
        <v/>
      </c>
      <c r="Y4494">
        <f>IF(ABS(W4494)&gt;1E-12,((LTP3!$D$5)*((U4494)*(Q4494)-(R4494)*(V4494))-(LTP3!$D$6)*((S4494)*(Q4494)-(R4494)*(T4494))+(T4494)*((S4494)*(V4494)-(U4494)*(T4494)))/W4494,0)</f>
        <v/>
      </c>
      <c r="Z4494">
        <f>IF(ABS(W4494)&gt;1E-12,((LTP3!$D$5)*((P4494)*(V4494)-(U4494)*(R4494))-(S4494)*((S4494)*(V4494)-(U4494)*(T4494))+(LTP3!$D$6)*((S4494)*(R4494)-(P4494)*(T4494)))/W4494,0)</f>
        <v/>
      </c>
      <c r="AA4494">
        <f>LTP3!$D$7-X4494*LTP3!$D$6-Y4494*U4494-Z4494*V4494</f>
        <v/>
      </c>
      <c r="AB4494">
        <f>IF(AND(F4494,ABS(W4494)&gt;1E-12,Y4494&gt;0,Z4494&gt;0),AA4494,1E+300)</f>
        <v/>
      </c>
    </row>
    <row r="4495">
      <c r="A4495">
        <f>$I$4-$B$5/10+$B$5*15/100</f>
        <v/>
      </c>
      <c r="B4495">
        <f>$J$4-$B$5/10+$B$5*0/100</f>
        <v/>
      </c>
      <c r="C4495">
        <f>SUMPRODUCT(Calc!$K$3:$K$22*(Calc!$G$3:$G$22&lt;=A4495))</f>
        <v/>
      </c>
      <c r="D4495">
        <f>SUMPRODUCT(Calc!$K$3:$K$22*(Calc!$G$3:$G$22&gt;A4495)*(Calc!$G$3:$G$22&lt;B4495))</f>
        <v/>
      </c>
      <c r="E4495">
        <f>SUMPRODUCT(Calc!$K$3:$K$22*(Calc!$G$3:$G$22&gt;=B4495))</f>
        <v/>
      </c>
      <c r="F4495">
        <f>AND(k_n&gt;=5,B4495&gt;A4495+1E-9,C4495&gt;=2,D4495&gt;=1,E4495&gt;=2)</f>
        <v/>
      </c>
      <c r="G4495">
        <f>SUMPRODUCT(Calc!$K$3:$K$22*(Calc!$G$3:$G$22&gt;A4495)*(Calc!$G$3:$G$22-A4495))</f>
        <v/>
      </c>
      <c r="H4495">
        <f>SUMPRODUCT(Calc!$K$3:$K$22*(Calc!$G$3:$G$22&gt;B4495)*(Calc!$G$3:$G$22-B4495))</f>
        <v/>
      </c>
      <c r="I4495">
        <f>SUMPRODUCT(Calc!$K$3:$K$22*(Calc!$G$3:$G$22&gt;A4495)*(Calc!$G$3:$G$22-A4495)^2)</f>
        <v/>
      </c>
      <c r="J4495">
        <f>SUMPRODUCT(Calc!$K$3:$K$22*(Calc!$G$3:$G$22&gt;B4495)*(Calc!$G$3:$G$22-B4495)^2)</f>
        <v/>
      </c>
      <c r="K4495">
        <f>SUMPRODUCT(Calc!$K$3:$K$22*(Calc!$G$3:$G$22&gt;A4495)*(Calc!$G$3:$G$22-A4495)*(Calc!$G$3:$G$22&gt;B4495)*(Calc!$G$3:$G$22-B4495))</f>
        <v/>
      </c>
      <c r="L4495">
        <f>SUMPRODUCT(Calc!$K$3:$K$22*(Calc!$G$3:$G$22&gt;A4495)*(Calc!$G$3:$G$22-A4495)*Calc!$G$3:$G$22)</f>
        <v/>
      </c>
      <c r="M4495">
        <f>SUMPRODUCT(Calc!$K$3:$K$22*(Calc!$G$3:$G$22&gt;B4495)*(Calc!$G$3:$G$22-B4495)*Calc!$G$3:$G$22)</f>
        <v/>
      </c>
      <c r="N4495">
        <f>SUMPRODUCT(Calc!$K$3:$K$22*(Calc!$G$3:$G$22&gt;A4495)*(Calc!$G$3:$G$22-A4495)*Calc!$I$3:$I$22)</f>
        <v/>
      </c>
      <c r="O4495">
        <f>SUMPRODUCT(Calc!$K$3:$K$22*(Calc!$G$3:$G$22&gt;B4495)*(Calc!$G$3:$G$22-B4495)*Calc!$I$3:$I$22)</f>
        <v/>
      </c>
      <c r="P4495">
        <f>I4495-G4495^2/k_n</f>
        <v/>
      </c>
      <c r="Q4495">
        <f>J4495-H4495^2/k_n</f>
        <v/>
      </c>
      <c r="R4495">
        <f>K4495-G4495*H4495/k_n</f>
        <v/>
      </c>
      <c r="S4495">
        <f>L4495-LTP3!$D$3*G4495/k_n</f>
        <v/>
      </c>
      <c r="T4495">
        <f>M4495-LTP3!$D$3*H4495/k_n</f>
        <v/>
      </c>
      <c r="U4495">
        <f>N4495-G4495*LTP3!$D$4/k_n</f>
        <v/>
      </c>
      <c r="V4495">
        <f>O4495-H4495*LTP3!$D$4/k_n</f>
        <v/>
      </c>
      <c r="W4495">
        <f>((LTP3!$D$5)*((P4495)*(Q4495)-(R4495)*(R4495))-(S4495)*((S4495)*(Q4495)-(R4495)*(T4495))+(T4495)*((S4495)*(R4495)-(P4495)*(T4495)))</f>
        <v/>
      </c>
      <c r="X4495">
        <f>IF(ABS(W4495)&gt;1E-12,((LTP3!$D$6)*((P4495)*(Q4495)-(R4495)*(R4495))-(S4495)*((U4495)*(Q4495)-(R4495)*(V4495))+(T4495)*((U4495)*(R4495)-(P4495)*(V4495)))/W4495,0)</f>
        <v/>
      </c>
      <c r="Y4495">
        <f>IF(ABS(W4495)&gt;1E-12,((LTP3!$D$5)*((U4495)*(Q4495)-(R4495)*(V4495))-(LTP3!$D$6)*((S4495)*(Q4495)-(R4495)*(T4495))+(T4495)*((S4495)*(V4495)-(U4495)*(T4495)))/W4495,0)</f>
        <v/>
      </c>
      <c r="Z4495">
        <f>IF(ABS(W4495)&gt;1E-12,((LTP3!$D$5)*((P4495)*(V4495)-(U4495)*(R4495))-(S4495)*((S4495)*(V4495)-(U4495)*(T4495))+(LTP3!$D$6)*((S4495)*(R4495)-(P4495)*(T4495)))/W4495,0)</f>
        <v/>
      </c>
      <c r="AA4495">
        <f>LTP3!$D$7-X4495*LTP3!$D$6-Y4495*U4495-Z4495*V4495</f>
        <v/>
      </c>
      <c r="AB4495">
        <f>IF(AND(F4495,ABS(W4495)&gt;1E-12,Y4495&gt;0,Z4495&gt;0),AA4495,1E+300)</f>
        <v/>
      </c>
    </row>
    <row r="4496">
      <c r="A4496">
        <f>$I$4-$B$5/10+$B$5*15/100</f>
        <v/>
      </c>
      <c r="B4496">
        <f>$J$4-$B$5/10+$B$5*1/100</f>
        <v/>
      </c>
      <c r="C4496">
        <f>SUMPRODUCT(Calc!$K$3:$K$22*(Calc!$G$3:$G$22&lt;=A4496))</f>
        <v/>
      </c>
      <c r="D4496">
        <f>SUMPRODUCT(Calc!$K$3:$K$22*(Calc!$G$3:$G$22&gt;A4496)*(Calc!$G$3:$G$22&lt;B4496))</f>
        <v/>
      </c>
      <c r="E4496">
        <f>SUMPRODUCT(Calc!$K$3:$K$22*(Calc!$G$3:$G$22&gt;=B4496))</f>
        <v/>
      </c>
      <c r="F4496">
        <f>AND(k_n&gt;=5,B4496&gt;A4496+1E-9,C4496&gt;=2,D4496&gt;=1,E4496&gt;=2)</f>
        <v/>
      </c>
      <c r="G4496">
        <f>SUMPRODUCT(Calc!$K$3:$K$22*(Calc!$G$3:$G$22&gt;A4496)*(Calc!$G$3:$G$22-A4496))</f>
        <v/>
      </c>
      <c r="H4496">
        <f>SUMPRODUCT(Calc!$K$3:$K$22*(Calc!$G$3:$G$22&gt;B4496)*(Calc!$G$3:$G$22-B4496))</f>
        <v/>
      </c>
      <c r="I4496">
        <f>SUMPRODUCT(Calc!$K$3:$K$22*(Calc!$G$3:$G$22&gt;A4496)*(Calc!$G$3:$G$22-A4496)^2)</f>
        <v/>
      </c>
      <c r="J4496">
        <f>SUMPRODUCT(Calc!$K$3:$K$22*(Calc!$G$3:$G$22&gt;B4496)*(Calc!$G$3:$G$22-B4496)^2)</f>
        <v/>
      </c>
      <c r="K4496">
        <f>SUMPRODUCT(Calc!$K$3:$K$22*(Calc!$G$3:$G$22&gt;A4496)*(Calc!$G$3:$G$22-A4496)*(Calc!$G$3:$G$22&gt;B4496)*(Calc!$G$3:$G$22-B4496))</f>
        <v/>
      </c>
      <c r="L4496">
        <f>SUMPRODUCT(Calc!$K$3:$K$22*(Calc!$G$3:$G$22&gt;A4496)*(Calc!$G$3:$G$22-A4496)*Calc!$G$3:$G$22)</f>
        <v/>
      </c>
      <c r="M4496">
        <f>SUMPRODUCT(Calc!$K$3:$K$22*(Calc!$G$3:$G$22&gt;B4496)*(Calc!$G$3:$G$22-B4496)*Calc!$G$3:$G$22)</f>
        <v/>
      </c>
      <c r="N4496">
        <f>SUMPRODUCT(Calc!$K$3:$K$22*(Calc!$G$3:$G$22&gt;A4496)*(Calc!$G$3:$G$22-A4496)*Calc!$I$3:$I$22)</f>
        <v/>
      </c>
      <c r="O4496">
        <f>SUMPRODUCT(Calc!$K$3:$K$22*(Calc!$G$3:$G$22&gt;B4496)*(Calc!$G$3:$G$22-B4496)*Calc!$I$3:$I$22)</f>
        <v/>
      </c>
      <c r="P4496">
        <f>I4496-G4496^2/k_n</f>
        <v/>
      </c>
      <c r="Q4496">
        <f>J4496-H4496^2/k_n</f>
        <v/>
      </c>
      <c r="R4496">
        <f>K4496-G4496*H4496/k_n</f>
        <v/>
      </c>
      <c r="S4496">
        <f>L4496-LTP3!$D$3*G4496/k_n</f>
        <v/>
      </c>
      <c r="T4496">
        <f>M4496-LTP3!$D$3*H4496/k_n</f>
        <v/>
      </c>
      <c r="U4496">
        <f>N4496-G4496*LTP3!$D$4/k_n</f>
        <v/>
      </c>
      <c r="V4496">
        <f>O4496-H4496*LTP3!$D$4/k_n</f>
        <v/>
      </c>
      <c r="W4496">
        <f>((LTP3!$D$5)*((P4496)*(Q4496)-(R4496)*(R4496))-(S4496)*((S4496)*(Q4496)-(R4496)*(T4496))+(T4496)*((S4496)*(R4496)-(P4496)*(T4496)))</f>
        <v/>
      </c>
      <c r="X4496">
        <f>IF(ABS(W4496)&gt;1E-12,((LTP3!$D$6)*((P4496)*(Q4496)-(R4496)*(R4496))-(S4496)*((U4496)*(Q4496)-(R4496)*(V4496))+(T4496)*((U4496)*(R4496)-(P4496)*(V4496)))/W4496,0)</f>
        <v/>
      </c>
      <c r="Y4496">
        <f>IF(ABS(W4496)&gt;1E-12,((LTP3!$D$5)*((U4496)*(Q4496)-(R4496)*(V4496))-(LTP3!$D$6)*((S4496)*(Q4496)-(R4496)*(T4496))+(T4496)*((S4496)*(V4496)-(U4496)*(T4496)))/W4496,0)</f>
        <v/>
      </c>
      <c r="Z4496">
        <f>IF(ABS(W4496)&gt;1E-12,((LTP3!$D$5)*((P4496)*(V4496)-(U4496)*(R4496))-(S4496)*((S4496)*(V4496)-(U4496)*(T4496))+(LTP3!$D$6)*((S4496)*(R4496)-(P4496)*(T4496)))/W4496,0)</f>
        <v/>
      </c>
      <c r="AA4496">
        <f>LTP3!$D$7-X4496*LTP3!$D$6-Y4496*U4496-Z4496*V4496</f>
        <v/>
      </c>
      <c r="AB4496">
        <f>IF(AND(F4496,ABS(W4496)&gt;1E-12,Y4496&gt;0,Z4496&gt;0),AA4496,1E+300)</f>
        <v/>
      </c>
    </row>
    <row r="4497">
      <c r="A4497">
        <f>$I$4-$B$5/10+$B$5*15/100</f>
        <v/>
      </c>
      <c r="B4497">
        <f>$J$4-$B$5/10+$B$5*2/100</f>
        <v/>
      </c>
      <c r="C4497">
        <f>SUMPRODUCT(Calc!$K$3:$K$22*(Calc!$G$3:$G$22&lt;=A4497))</f>
        <v/>
      </c>
      <c r="D4497">
        <f>SUMPRODUCT(Calc!$K$3:$K$22*(Calc!$G$3:$G$22&gt;A4497)*(Calc!$G$3:$G$22&lt;B4497))</f>
        <v/>
      </c>
      <c r="E4497">
        <f>SUMPRODUCT(Calc!$K$3:$K$22*(Calc!$G$3:$G$22&gt;=B4497))</f>
        <v/>
      </c>
      <c r="F4497">
        <f>AND(k_n&gt;=5,B4497&gt;A4497+1E-9,C4497&gt;=2,D4497&gt;=1,E4497&gt;=2)</f>
        <v/>
      </c>
      <c r="G4497">
        <f>SUMPRODUCT(Calc!$K$3:$K$22*(Calc!$G$3:$G$22&gt;A4497)*(Calc!$G$3:$G$22-A4497))</f>
        <v/>
      </c>
      <c r="H4497">
        <f>SUMPRODUCT(Calc!$K$3:$K$22*(Calc!$G$3:$G$22&gt;B4497)*(Calc!$G$3:$G$22-B4497))</f>
        <v/>
      </c>
      <c r="I4497">
        <f>SUMPRODUCT(Calc!$K$3:$K$22*(Calc!$G$3:$G$22&gt;A4497)*(Calc!$G$3:$G$22-A4497)^2)</f>
        <v/>
      </c>
      <c r="J4497">
        <f>SUMPRODUCT(Calc!$K$3:$K$22*(Calc!$G$3:$G$22&gt;B4497)*(Calc!$G$3:$G$22-B4497)^2)</f>
        <v/>
      </c>
      <c r="K4497">
        <f>SUMPRODUCT(Calc!$K$3:$K$22*(Calc!$G$3:$G$22&gt;A4497)*(Calc!$G$3:$G$22-A4497)*(Calc!$G$3:$G$22&gt;B4497)*(Calc!$G$3:$G$22-B4497))</f>
        <v/>
      </c>
      <c r="L4497">
        <f>SUMPRODUCT(Calc!$K$3:$K$22*(Calc!$G$3:$G$22&gt;A4497)*(Calc!$G$3:$G$22-A4497)*Calc!$G$3:$G$22)</f>
        <v/>
      </c>
      <c r="M4497">
        <f>SUMPRODUCT(Calc!$K$3:$K$22*(Calc!$G$3:$G$22&gt;B4497)*(Calc!$G$3:$G$22-B4497)*Calc!$G$3:$G$22)</f>
        <v/>
      </c>
      <c r="N4497">
        <f>SUMPRODUCT(Calc!$K$3:$K$22*(Calc!$G$3:$G$22&gt;A4497)*(Calc!$G$3:$G$22-A4497)*Calc!$I$3:$I$22)</f>
        <v/>
      </c>
      <c r="O4497">
        <f>SUMPRODUCT(Calc!$K$3:$K$22*(Calc!$G$3:$G$22&gt;B4497)*(Calc!$G$3:$G$22-B4497)*Calc!$I$3:$I$22)</f>
        <v/>
      </c>
      <c r="P4497">
        <f>I4497-G4497^2/k_n</f>
        <v/>
      </c>
      <c r="Q4497">
        <f>J4497-H4497^2/k_n</f>
        <v/>
      </c>
      <c r="R4497">
        <f>K4497-G4497*H4497/k_n</f>
        <v/>
      </c>
      <c r="S4497">
        <f>L4497-LTP3!$D$3*G4497/k_n</f>
        <v/>
      </c>
      <c r="T4497">
        <f>M4497-LTP3!$D$3*H4497/k_n</f>
        <v/>
      </c>
      <c r="U4497">
        <f>N4497-G4497*LTP3!$D$4/k_n</f>
        <v/>
      </c>
      <c r="V4497">
        <f>O4497-H4497*LTP3!$D$4/k_n</f>
        <v/>
      </c>
      <c r="W4497">
        <f>((LTP3!$D$5)*((P4497)*(Q4497)-(R4497)*(R4497))-(S4497)*((S4497)*(Q4497)-(R4497)*(T4497))+(T4497)*((S4497)*(R4497)-(P4497)*(T4497)))</f>
        <v/>
      </c>
      <c r="X4497">
        <f>IF(ABS(W4497)&gt;1E-12,((LTP3!$D$6)*((P4497)*(Q4497)-(R4497)*(R4497))-(S4497)*((U4497)*(Q4497)-(R4497)*(V4497))+(T4497)*((U4497)*(R4497)-(P4497)*(V4497)))/W4497,0)</f>
        <v/>
      </c>
      <c r="Y4497">
        <f>IF(ABS(W4497)&gt;1E-12,((LTP3!$D$5)*((U4497)*(Q4497)-(R4497)*(V4497))-(LTP3!$D$6)*((S4497)*(Q4497)-(R4497)*(T4497))+(T4497)*((S4497)*(V4497)-(U4497)*(T4497)))/W4497,0)</f>
        <v/>
      </c>
      <c r="Z4497">
        <f>IF(ABS(W4497)&gt;1E-12,((LTP3!$D$5)*((P4497)*(V4497)-(U4497)*(R4497))-(S4497)*((S4497)*(V4497)-(U4497)*(T4497))+(LTP3!$D$6)*((S4497)*(R4497)-(P4497)*(T4497)))/W4497,0)</f>
        <v/>
      </c>
      <c r="AA4497">
        <f>LTP3!$D$7-X4497*LTP3!$D$6-Y4497*U4497-Z4497*V4497</f>
        <v/>
      </c>
      <c r="AB4497">
        <f>IF(AND(F4497,ABS(W4497)&gt;1E-12,Y4497&gt;0,Z4497&gt;0),AA4497,1E+300)</f>
        <v/>
      </c>
    </row>
    <row r="4498">
      <c r="A4498">
        <f>$I$4-$B$5/10+$B$5*15/100</f>
        <v/>
      </c>
      <c r="B4498">
        <f>$J$4-$B$5/10+$B$5*3/100</f>
        <v/>
      </c>
      <c r="C4498">
        <f>SUMPRODUCT(Calc!$K$3:$K$22*(Calc!$G$3:$G$22&lt;=A4498))</f>
        <v/>
      </c>
      <c r="D4498">
        <f>SUMPRODUCT(Calc!$K$3:$K$22*(Calc!$G$3:$G$22&gt;A4498)*(Calc!$G$3:$G$22&lt;B4498))</f>
        <v/>
      </c>
      <c r="E4498">
        <f>SUMPRODUCT(Calc!$K$3:$K$22*(Calc!$G$3:$G$22&gt;=B4498))</f>
        <v/>
      </c>
      <c r="F4498">
        <f>AND(k_n&gt;=5,B4498&gt;A4498+1E-9,C4498&gt;=2,D4498&gt;=1,E4498&gt;=2)</f>
        <v/>
      </c>
      <c r="G4498">
        <f>SUMPRODUCT(Calc!$K$3:$K$22*(Calc!$G$3:$G$22&gt;A4498)*(Calc!$G$3:$G$22-A4498))</f>
        <v/>
      </c>
      <c r="H4498">
        <f>SUMPRODUCT(Calc!$K$3:$K$22*(Calc!$G$3:$G$22&gt;B4498)*(Calc!$G$3:$G$22-B4498))</f>
        <v/>
      </c>
      <c r="I4498">
        <f>SUMPRODUCT(Calc!$K$3:$K$22*(Calc!$G$3:$G$22&gt;A4498)*(Calc!$G$3:$G$22-A4498)^2)</f>
        <v/>
      </c>
      <c r="J4498">
        <f>SUMPRODUCT(Calc!$K$3:$K$22*(Calc!$G$3:$G$22&gt;B4498)*(Calc!$G$3:$G$22-B4498)^2)</f>
        <v/>
      </c>
      <c r="K4498">
        <f>SUMPRODUCT(Calc!$K$3:$K$22*(Calc!$G$3:$G$22&gt;A4498)*(Calc!$G$3:$G$22-A4498)*(Calc!$G$3:$G$22&gt;B4498)*(Calc!$G$3:$G$22-B4498))</f>
        <v/>
      </c>
      <c r="L4498">
        <f>SUMPRODUCT(Calc!$K$3:$K$22*(Calc!$G$3:$G$22&gt;A4498)*(Calc!$G$3:$G$22-A4498)*Calc!$G$3:$G$22)</f>
        <v/>
      </c>
      <c r="M4498">
        <f>SUMPRODUCT(Calc!$K$3:$K$22*(Calc!$G$3:$G$22&gt;B4498)*(Calc!$G$3:$G$22-B4498)*Calc!$G$3:$G$22)</f>
        <v/>
      </c>
      <c r="N4498">
        <f>SUMPRODUCT(Calc!$K$3:$K$22*(Calc!$G$3:$G$22&gt;A4498)*(Calc!$G$3:$G$22-A4498)*Calc!$I$3:$I$22)</f>
        <v/>
      </c>
      <c r="O4498">
        <f>SUMPRODUCT(Calc!$K$3:$K$22*(Calc!$G$3:$G$22&gt;B4498)*(Calc!$G$3:$G$22-B4498)*Calc!$I$3:$I$22)</f>
        <v/>
      </c>
      <c r="P4498">
        <f>I4498-G4498^2/k_n</f>
        <v/>
      </c>
      <c r="Q4498">
        <f>J4498-H4498^2/k_n</f>
        <v/>
      </c>
      <c r="R4498">
        <f>K4498-G4498*H4498/k_n</f>
        <v/>
      </c>
      <c r="S4498">
        <f>L4498-LTP3!$D$3*G4498/k_n</f>
        <v/>
      </c>
      <c r="T4498">
        <f>M4498-LTP3!$D$3*H4498/k_n</f>
        <v/>
      </c>
      <c r="U4498">
        <f>N4498-G4498*LTP3!$D$4/k_n</f>
        <v/>
      </c>
      <c r="V4498">
        <f>O4498-H4498*LTP3!$D$4/k_n</f>
        <v/>
      </c>
      <c r="W4498">
        <f>((LTP3!$D$5)*((P4498)*(Q4498)-(R4498)*(R4498))-(S4498)*((S4498)*(Q4498)-(R4498)*(T4498))+(T4498)*((S4498)*(R4498)-(P4498)*(T4498)))</f>
        <v/>
      </c>
      <c r="X4498">
        <f>IF(ABS(W4498)&gt;1E-12,((LTP3!$D$6)*((P4498)*(Q4498)-(R4498)*(R4498))-(S4498)*((U4498)*(Q4498)-(R4498)*(V4498))+(T4498)*((U4498)*(R4498)-(P4498)*(V4498)))/W4498,0)</f>
        <v/>
      </c>
      <c r="Y4498">
        <f>IF(ABS(W4498)&gt;1E-12,((LTP3!$D$5)*((U4498)*(Q4498)-(R4498)*(V4498))-(LTP3!$D$6)*((S4498)*(Q4498)-(R4498)*(T4498))+(T4498)*((S4498)*(V4498)-(U4498)*(T4498)))/W4498,0)</f>
        <v/>
      </c>
      <c r="Z4498">
        <f>IF(ABS(W4498)&gt;1E-12,((LTP3!$D$5)*((P4498)*(V4498)-(U4498)*(R4498))-(S4498)*((S4498)*(V4498)-(U4498)*(T4498))+(LTP3!$D$6)*((S4498)*(R4498)-(P4498)*(T4498)))/W4498,0)</f>
        <v/>
      </c>
      <c r="AA4498">
        <f>LTP3!$D$7-X4498*LTP3!$D$6-Y4498*U4498-Z4498*V4498</f>
        <v/>
      </c>
      <c r="AB4498">
        <f>IF(AND(F4498,ABS(W4498)&gt;1E-12,Y4498&gt;0,Z4498&gt;0),AA4498,1E+300)</f>
        <v/>
      </c>
    </row>
    <row r="4499">
      <c r="A4499">
        <f>$I$4-$B$5/10+$B$5*15/100</f>
        <v/>
      </c>
      <c r="B4499">
        <f>$J$4-$B$5/10+$B$5*4/100</f>
        <v/>
      </c>
      <c r="C4499">
        <f>SUMPRODUCT(Calc!$K$3:$K$22*(Calc!$G$3:$G$22&lt;=A4499))</f>
        <v/>
      </c>
      <c r="D4499">
        <f>SUMPRODUCT(Calc!$K$3:$K$22*(Calc!$G$3:$G$22&gt;A4499)*(Calc!$G$3:$G$22&lt;B4499))</f>
        <v/>
      </c>
      <c r="E4499">
        <f>SUMPRODUCT(Calc!$K$3:$K$22*(Calc!$G$3:$G$22&gt;=B4499))</f>
        <v/>
      </c>
      <c r="F4499">
        <f>AND(k_n&gt;=5,B4499&gt;A4499+1E-9,C4499&gt;=2,D4499&gt;=1,E4499&gt;=2)</f>
        <v/>
      </c>
      <c r="G4499">
        <f>SUMPRODUCT(Calc!$K$3:$K$22*(Calc!$G$3:$G$22&gt;A4499)*(Calc!$G$3:$G$22-A4499))</f>
        <v/>
      </c>
      <c r="H4499">
        <f>SUMPRODUCT(Calc!$K$3:$K$22*(Calc!$G$3:$G$22&gt;B4499)*(Calc!$G$3:$G$22-B4499))</f>
        <v/>
      </c>
      <c r="I4499">
        <f>SUMPRODUCT(Calc!$K$3:$K$22*(Calc!$G$3:$G$22&gt;A4499)*(Calc!$G$3:$G$22-A4499)^2)</f>
        <v/>
      </c>
      <c r="J4499">
        <f>SUMPRODUCT(Calc!$K$3:$K$22*(Calc!$G$3:$G$22&gt;B4499)*(Calc!$G$3:$G$22-B4499)^2)</f>
        <v/>
      </c>
      <c r="K4499">
        <f>SUMPRODUCT(Calc!$K$3:$K$22*(Calc!$G$3:$G$22&gt;A4499)*(Calc!$G$3:$G$22-A4499)*(Calc!$G$3:$G$22&gt;B4499)*(Calc!$G$3:$G$22-B4499))</f>
        <v/>
      </c>
      <c r="L4499">
        <f>SUMPRODUCT(Calc!$K$3:$K$22*(Calc!$G$3:$G$22&gt;A4499)*(Calc!$G$3:$G$22-A4499)*Calc!$G$3:$G$22)</f>
        <v/>
      </c>
      <c r="M4499">
        <f>SUMPRODUCT(Calc!$K$3:$K$22*(Calc!$G$3:$G$22&gt;B4499)*(Calc!$G$3:$G$22-B4499)*Calc!$G$3:$G$22)</f>
        <v/>
      </c>
      <c r="N4499">
        <f>SUMPRODUCT(Calc!$K$3:$K$22*(Calc!$G$3:$G$22&gt;A4499)*(Calc!$G$3:$G$22-A4499)*Calc!$I$3:$I$22)</f>
        <v/>
      </c>
      <c r="O4499">
        <f>SUMPRODUCT(Calc!$K$3:$K$22*(Calc!$G$3:$G$22&gt;B4499)*(Calc!$G$3:$G$22-B4499)*Calc!$I$3:$I$22)</f>
        <v/>
      </c>
      <c r="P4499">
        <f>I4499-G4499^2/k_n</f>
        <v/>
      </c>
      <c r="Q4499">
        <f>J4499-H4499^2/k_n</f>
        <v/>
      </c>
      <c r="R4499">
        <f>K4499-G4499*H4499/k_n</f>
        <v/>
      </c>
      <c r="S4499">
        <f>L4499-LTP3!$D$3*G4499/k_n</f>
        <v/>
      </c>
      <c r="T4499">
        <f>M4499-LTP3!$D$3*H4499/k_n</f>
        <v/>
      </c>
      <c r="U4499">
        <f>N4499-G4499*LTP3!$D$4/k_n</f>
        <v/>
      </c>
      <c r="V4499">
        <f>O4499-H4499*LTP3!$D$4/k_n</f>
        <v/>
      </c>
      <c r="W4499">
        <f>((LTP3!$D$5)*((P4499)*(Q4499)-(R4499)*(R4499))-(S4499)*((S4499)*(Q4499)-(R4499)*(T4499))+(T4499)*((S4499)*(R4499)-(P4499)*(T4499)))</f>
        <v/>
      </c>
      <c r="X4499">
        <f>IF(ABS(W4499)&gt;1E-12,((LTP3!$D$6)*((P4499)*(Q4499)-(R4499)*(R4499))-(S4499)*((U4499)*(Q4499)-(R4499)*(V4499))+(T4499)*((U4499)*(R4499)-(P4499)*(V4499)))/W4499,0)</f>
        <v/>
      </c>
      <c r="Y4499">
        <f>IF(ABS(W4499)&gt;1E-12,((LTP3!$D$5)*((U4499)*(Q4499)-(R4499)*(V4499))-(LTP3!$D$6)*((S4499)*(Q4499)-(R4499)*(T4499))+(T4499)*((S4499)*(V4499)-(U4499)*(T4499)))/W4499,0)</f>
        <v/>
      </c>
      <c r="Z4499">
        <f>IF(ABS(W4499)&gt;1E-12,((LTP3!$D$5)*((P4499)*(V4499)-(U4499)*(R4499))-(S4499)*((S4499)*(V4499)-(U4499)*(T4499))+(LTP3!$D$6)*((S4499)*(R4499)-(P4499)*(T4499)))/W4499,0)</f>
        <v/>
      </c>
      <c r="AA4499">
        <f>LTP3!$D$7-X4499*LTP3!$D$6-Y4499*U4499-Z4499*V4499</f>
        <v/>
      </c>
      <c r="AB4499">
        <f>IF(AND(F4499,ABS(W4499)&gt;1E-12,Y4499&gt;0,Z4499&gt;0),AA4499,1E+300)</f>
        <v/>
      </c>
    </row>
    <row r="4500">
      <c r="A4500">
        <f>$I$4-$B$5/10+$B$5*15/100</f>
        <v/>
      </c>
      <c r="B4500">
        <f>$J$4-$B$5/10+$B$5*5/100</f>
        <v/>
      </c>
      <c r="C4500">
        <f>SUMPRODUCT(Calc!$K$3:$K$22*(Calc!$G$3:$G$22&lt;=A4500))</f>
        <v/>
      </c>
      <c r="D4500">
        <f>SUMPRODUCT(Calc!$K$3:$K$22*(Calc!$G$3:$G$22&gt;A4500)*(Calc!$G$3:$G$22&lt;B4500))</f>
        <v/>
      </c>
      <c r="E4500">
        <f>SUMPRODUCT(Calc!$K$3:$K$22*(Calc!$G$3:$G$22&gt;=B4500))</f>
        <v/>
      </c>
      <c r="F4500">
        <f>AND(k_n&gt;=5,B4500&gt;A4500+1E-9,C4500&gt;=2,D4500&gt;=1,E4500&gt;=2)</f>
        <v/>
      </c>
      <c r="G4500">
        <f>SUMPRODUCT(Calc!$K$3:$K$22*(Calc!$G$3:$G$22&gt;A4500)*(Calc!$G$3:$G$22-A4500))</f>
        <v/>
      </c>
      <c r="H4500">
        <f>SUMPRODUCT(Calc!$K$3:$K$22*(Calc!$G$3:$G$22&gt;B4500)*(Calc!$G$3:$G$22-B4500))</f>
        <v/>
      </c>
      <c r="I4500">
        <f>SUMPRODUCT(Calc!$K$3:$K$22*(Calc!$G$3:$G$22&gt;A4500)*(Calc!$G$3:$G$22-A4500)^2)</f>
        <v/>
      </c>
      <c r="J4500">
        <f>SUMPRODUCT(Calc!$K$3:$K$22*(Calc!$G$3:$G$22&gt;B4500)*(Calc!$G$3:$G$22-B4500)^2)</f>
        <v/>
      </c>
      <c r="K4500">
        <f>SUMPRODUCT(Calc!$K$3:$K$22*(Calc!$G$3:$G$22&gt;A4500)*(Calc!$G$3:$G$22-A4500)*(Calc!$G$3:$G$22&gt;B4500)*(Calc!$G$3:$G$22-B4500))</f>
        <v/>
      </c>
      <c r="L4500">
        <f>SUMPRODUCT(Calc!$K$3:$K$22*(Calc!$G$3:$G$22&gt;A4500)*(Calc!$G$3:$G$22-A4500)*Calc!$G$3:$G$22)</f>
        <v/>
      </c>
      <c r="M4500">
        <f>SUMPRODUCT(Calc!$K$3:$K$22*(Calc!$G$3:$G$22&gt;B4500)*(Calc!$G$3:$G$22-B4500)*Calc!$G$3:$G$22)</f>
        <v/>
      </c>
      <c r="N4500">
        <f>SUMPRODUCT(Calc!$K$3:$K$22*(Calc!$G$3:$G$22&gt;A4500)*(Calc!$G$3:$G$22-A4500)*Calc!$I$3:$I$22)</f>
        <v/>
      </c>
      <c r="O4500">
        <f>SUMPRODUCT(Calc!$K$3:$K$22*(Calc!$G$3:$G$22&gt;B4500)*(Calc!$G$3:$G$22-B4500)*Calc!$I$3:$I$22)</f>
        <v/>
      </c>
      <c r="P4500">
        <f>I4500-G4500^2/k_n</f>
        <v/>
      </c>
      <c r="Q4500">
        <f>J4500-H4500^2/k_n</f>
        <v/>
      </c>
      <c r="R4500">
        <f>K4500-G4500*H4500/k_n</f>
        <v/>
      </c>
      <c r="S4500">
        <f>L4500-LTP3!$D$3*G4500/k_n</f>
        <v/>
      </c>
      <c r="T4500">
        <f>M4500-LTP3!$D$3*H4500/k_n</f>
        <v/>
      </c>
      <c r="U4500">
        <f>N4500-G4500*LTP3!$D$4/k_n</f>
        <v/>
      </c>
      <c r="V4500">
        <f>O4500-H4500*LTP3!$D$4/k_n</f>
        <v/>
      </c>
      <c r="W4500">
        <f>((LTP3!$D$5)*((P4500)*(Q4500)-(R4500)*(R4500))-(S4500)*((S4500)*(Q4500)-(R4500)*(T4500))+(T4500)*((S4500)*(R4500)-(P4500)*(T4500)))</f>
        <v/>
      </c>
      <c r="X4500">
        <f>IF(ABS(W4500)&gt;1E-12,((LTP3!$D$6)*((P4500)*(Q4500)-(R4500)*(R4500))-(S4500)*((U4500)*(Q4500)-(R4500)*(V4500))+(T4500)*((U4500)*(R4500)-(P4500)*(V4500)))/W4500,0)</f>
        <v/>
      </c>
      <c r="Y4500">
        <f>IF(ABS(W4500)&gt;1E-12,((LTP3!$D$5)*((U4500)*(Q4500)-(R4500)*(V4500))-(LTP3!$D$6)*((S4500)*(Q4500)-(R4500)*(T4500))+(T4500)*((S4500)*(V4500)-(U4500)*(T4500)))/W4500,0)</f>
        <v/>
      </c>
      <c r="Z4500">
        <f>IF(ABS(W4500)&gt;1E-12,((LTP3!$D$5)*((P4500)*(V4500)-(U4500)*(R4500))-(S4500)*((S4500)*(V4500)-(U4500)*(T4500))+(LTP3!$D$6)*((S4500)*(R4500)-(P4500)*(T4500)))/W4500,0)</f>
        <v/>
      </c>
      <c r="AA4500">
        <f>LTP3!$D$7-X4500*LTP3!$D$6-Y4500*U4500-Z4500*V4500</f>
        <v/>
      </c>
      <c r="AB4500">
        <f>IF(AND(F4500,ABS(W4500)&gt;1E-12,Y4500&gt;0,Z4500&gt;0),AA4500,1E+300)</f>
        <v/>
      </c>
    </row>
    <row r="4501">
      <c r="A4501">
        <f>$I$4-$B$5/10+$B$5*15/100</f>
        <v/>
      </c>
      <c r="B4501">
        <f>$J$4-$B$5/10+$B$5*6/100</f>
        <v/>
      </c>
      <c r="C4501">
        <f>SUMPRODUCT(Calc!$K$3:$K$22*(Calc!$G$3:$G$22&lt;=A4501))</f>
        <v/>
      </c>
      <c r="D4501">
        <f>SUMPRODUCT(Calc!$K$3:$K$22*(Calc!$G$3:$G$22&gt;A4501)*(Calc!$G$3:$G$22&lt;B4501))</f>
        <v/>
      </c>
      <c r="E4501">
        <f>SUMPRODUCT(Calc!$K$3:$K$22*(Calc!$G$3:$G$22&gt;=B4501))</f>
        <v/>
      </c>
      <c r="F4501">
        <f>AND(k_n&gt;=5,B4501&gt;A4501+1E-9,C4501&gt;=2,D4501&gt;=1,E4501&gt;=2)</f>
        <v/>
      </c>
      <c r="G4501">
        <f>SUMPRODUCT(Calc!$K$3:$K$22*(Calc!$G$3:$G$22&gt;A4501)*(Calc!$G$3:$G$22-A4501))</f>
        <v/>
      </c>
      <c r="H4501">
        <f>SUMPRODUCT(Calc!$K$3:$K$22*(Calc!$G$3:$G$22&gt;B4501)*(Calc!$G$3:$G$22-B4501))</f>
        <v/>
      </c>
      <c r="I4501">
        <f>SUMPRODUCT(Calc!$K$3:$K$22*(Calc!$G$3:$G$22&gt;A4501)*(Calc!$G$3:$G$22-A4501)^2)</f>
        <v/>
      </c>
      <c r="J4501">
        <f>SUMPRODUCT(Calc!$K$3:$K$22*(Calc!$G$3:$G$22&gt;B4501)*(Calc!$G$3:$G$22-B4501)^2)</f>
        <v/>
      </c>
      <c r="K4501">
        <f>SUMPRODUCT(Calc!$K$3:$K$22*(Calc!$G$3:$G$22&gt;A4501)*(Calc!$G$3:$G$22-A4501)*(Calc!$G$3:$G$22&gt;B4501)*(Calc!$G$3:$G$22-B4501))</f>
        <v/>
      </c>
      <c r="L4501">
        <f>SUMPRODUCT(Calc!$K$3:$K$22*(Calc!$G$3:$G$22&gt;A4501)*(Calc!$G$3:$G$22-A4501)*Calc!$G$3:$G$22)</f>
        <v/>
      </c>
      <c r="M4501">
        <f>SUMPRODUCT(Calc!$K$3:$K$22*(Calc!$G$3:$G$22&gt;B4501)*(Calc!$G$3:$G$22-B4501)*Calc!$G$3:$G$22)</f>
        <v/>
      </c>
      <c r="N4501">
        <f>SUMPRODUCT(Calc!$K$3:$K$22*(Calc!$G$3:$G$22&gt;A4501)*(Calc!$G$3:$G$22-A4501)*Calc!$I$3:$I$22)</f>
        <v/>
      </c>
      <c r="O4501">
        <f>SUMPRODUCT(Calc!$K$3:$K$22*(Calc!$G$3:$G$22&gt;B4501)*(Calc!$G$3:$G$22-B4501)*Calc!$I$3:$I$22)</f>
        <v/>
      </c>
      <c r="P4501">
        <f>I4501-G4501^2/k_n</f>
        <v/>
      </c>
      <c r="Q4501">
        <f>J4501-H4501^2/k_n</f>
        <v/>
      </c>
      <c r="R4501">
        <f>K4501-G4501*H4501/k_n</f>
        <v/>
      </c>
      <c r="S4501">
        <f>L4501-LTP3!$D$3*G4501/k_n</f>
        <v/>
      </c>
      <c r="T4501">
        <f>M4501-LTP3!$D$3*H4501/k_n</f>
        <v/>
      </c>
      <c r="U4501">
        <f>N4501-G4501*LTP3!$D$4/k_n</f>
        <v/>
      </c>
      <c r="V4501">
        <f>O4501-H4501*LTP3!$D$4/k_n</f>
        <v/>
      </c>
      <c r="W4501">
        <f>((LTP3!$D$5)*((P4501)*(Q4501)-(R4501)*(R4501))-(S4501)*((S4501)*(Q4501)-(R4501)*(T4501))+(T4501)*((S4501)*(R4501)-(P4501)*(T4501)))</f>
        <v/>
      </c>
      <c r="X4501">
        <f>IF(ABS(W4501)&gt;1E-12,((LTP3!$D$6)*((P4501)*(Q4501)-(R4501)*(R4501))-(S4501)*((U4501)*(Q4501)-(R4501)*(V4501))+(T4501)*((U4501)*(R4501)-(P4501)*(V4501)))/W4501,0)</f>
        <v/>
      </c>
      <c r="Y4501">
        <f>IF(ABS(W4501)&gt;1E-12,((LTP3!$D$5)*((U4501)*(Q4501)-(R4501)*(V4501))-(LTP3!$D$6)*((S4501)*(Q4501)-(R4501)*(T4501))+(T4501)*((S4501)*(V4501)-(U4501)*(T4501)))/W4501,0)</f>
        <v/>
      </c>
      <c r="Z4501">
        <f>IF(ABS(W4501)&gt;1E-12,((LTP3!$D$5)*((P4501)*(V4501)-(U4501)*(R4501))-(S4501)*((S4501)*(V4501)-(U4501)*(T4501))+(LTP3!$D$6)*((S4501)*(R4501)-(P4501)*(T4501)))/W4501,0)</f>
        <v/>
      </c>
      <c r="AA4501">
        <f>LTP3!$D$7-X4501*LTP3!$D$6-Y4501*U4501-Z4501*V4501</f>
        <v/>
      </c>
      <c r="AB4501">
        <f>IF(AND(F4501,ABS(W4501)&gt;1E-12,Y4501&gt;0,Z4501&gt;0),AA4501,1E+300)</f>
        <v/>
      </c>
    </row>
    <row r="4502">
      <c r="A4502">
        <f>$I$4-$B$5/10+$B$5*15/100</f>
        <v/>
      </c>
      <c r="B4502">
        <f>$J$4-$B$5/10+$B$5*7/100</f>
        <v/>
      </c>
      <c r="C4502">
        <f>SUMPRODUCT(Calc!$K$3:$K$22*(Calc!$G$3:$G$22&lt;=A4502))</f>
        <v/>
      </c>
      <c r="D4502">
        <f>SUMPRODUCT(Calc!$K$3:$K$22*(Calc!$G$3:$G$22&gt;A4502)*(Calc!$G$3:$G$22&lt;B4502))</f>
        <v/>
      </c>
      <c r="E4502">
        <f>SUMPRODUCT(Calc!$K$3:$K$22*(Calc!$G$3:$G$22&gt;=B4502))</f>
        <v/>
      </c>
      <c r="F4502">
        <f>AND(k_n&gt;=5,B4502&gt;A4502+1E-9,C4502&gt;=2,D4502&gt;=1,E4502&gt;=2)</f>
        <v/>
      </c>
      <c r="G4502">
        <f>SUMPRODUCT(Calc!$K$3:$K$22*(Calc!$G$3:$G$22&gt;A4502)*(Calc!$G$3:$G$22-A4502))</f>
        <v/>
      </c>
      <c r="H4502">
        <f>SUMPRODUCT(Calc!$K$3:$K$22*(Calc!$G$3:$G$22&gt;B4502)*(Calc!$G$3:$G$22-B4502))</f>
        <v/>
      </c>
      <c r="I4502">
        <f>SUMPRODUCT(Calc!$K$3:$K$22*(Calc!$G$3:$G$22&gt;A4502)*(Calc!$G$3:$G$22-A4502)^2)</f>
        <v/>
      </c>
      <c r="J4502">
        <f>SUMPRODUCT(Calc!$K$3:$K$22*(Calc!$G$3:$G$22&gt;B4502)*(Calc!$G$3:$G$22-B4502)^2)</f>
        <v/>
      </c>
      <c r="K4502">
        <f>SUMPRODUCT(Calc!$K$3:$K$22*(Calc!$G$3:$G$22&gt;A4502)*(Calc!$G$3:$G$22-A4502)*(Calc!$G$3:$G$22&gt;B4502)*(Calc!$G$3:$G$22-B4502))</f>
        <v/>
      </c>
      <c r="L4502">
        <f>SUMPRODUCT(Calc!$K$3:$K$22*(Calc!$G$3:$G$22&gt;A4502)*(Calc!$G$3:$G$22-A4502)*Calc!$G$3:$G$22)</f>
        <v/>
      </c>
      <c r="M4502">
        <f>SUMPRODUCT(Calc!$K$3:$K$22*(Calc!$G$3:$G$22&gt;B4502)*(Calc!$G$3:$G$22-B4502)*Calc!$G$3:$G$22)</f>
        <v/>
      </c>
      <c r="N4502">
        <f>SUMPRODUCT(Calc!$K$3:$K$22*(Calc!$G$3:$G$22&gt;A4502)*(Calc!$G$3:$G$22-A4502)*Calc!$I$3:$I$22)</f>
        <v/>
      </c>
      <c r="O4502">
        <f>SUMPRODUCT(Calc!$K$3:$K$22*(Calc!$G$3:$G$22&gt;B4502)*(Calc!$G$3:$G$22-B4502)*Calc!$I$3:$I$22)</f>
        <v/>
      </c>
      <c r="P4502">
        <f>I4502-G4502^2/k_n</f>
        <v/>
      </c>
      <c r="Q4502">
        <f>J4502-H4502^2/k_n</f>
        <v/>
      </c>
      <c r="R4502">
        <f>K4502-G4502*H4502/k_n</f>
        <v/>
      </c>
      <c r="S4502">
        <f>L4502-LTP3!$D$3*G4502/k_n</f>
        <v/>
      </c>
      <c r="T4502">
        <f>M4502-LTP3!$D$3*H4502/k_n</f>
        <v/>
      </c>
      <c r="U4502">
        <f>N4502-G4502*LTP3!$D$4/k_n</f>
        <v/>
      </c>
      <c r="V4502">
        <f>O4502-H4502*LTP3!$D$4/k_n</f>
        <v/>
      </c>
      <c r="W4502">
        <f>((LTP3!$D$5)*((P4502)*(Q4502)-(R4502)*(R4502))-(S4502)*((S4502)*(Q4502)-(R4502)*(T4502))+(T4502)*((S4502)*(R4502)-(P4502)*(T4502)))</f>
        <v/>
      </c>
      <c r="X4502">
        <f>IF(ABS(W4502)&gt;1E-12,((LTP3!$D$6)*((P4502)*(Q4502)-(R4502)*(R4502))-(S4502)*((U4502)*(Q4502)-(R4502)*(V4502))+(T4502)*((U4502)*(R4502)-(P4502)*(V4502)))/W4502,0)</f>
        <v/>
      </c>
      <c r="Y4502">
        <f>IF(ABS(W4502)&gt;1E-12,((LTP3!$D$5)*((U4502)*(Q4502)-(R4502)*(V4502))-(LTP3!$D$6)*((S4502)*(Q4502)-(R4502)*(T4502))+(T4502)*((S4502)*(V4502)-(U4502)*(T4502)))/W4502,0)</f>
        <v/>
      </c>
      <c r="Z4502">
        <f>IF(ABS(W4502)&gt;1E-12,((LTP3!$D$5)*((P4502)*(V4502)-(U4502)*(R4502))-(S4502)*((S4502)*(V4502)-(U4502)*(T4502))+(LTP3!$D$6)*((S4502)*(R4502)-(P4502)*(T4502)))/W4502,0)</f>
        <v/>
      </c>
      <c r="AA4502">
        <f>LTP3!$D$7-X4502*LTP3!$D$6-Y4502*U4502-Z4502*V4502</f>
        <v/>
      </c>
      <c r="AB4502">
        <f>IF(AND(F4502,ABS(W4502)&gt;1E-12,Y4502&gt;0,Z4502&gt;0),AA4502,1E+300)</f>
        <v/>
      </c>
    </row>
    <row r="4503">
      <c r="A4503">
        <f>$I$4-$B$5/10+$B$5*15/100</f>
        <v/>
      </c>
      <c r="B4503">
        <f>$J$4-$B$5/10+$B$5*8/100</f>
        <v/>
      </c>
      <c r="C4503">
        <f>SUMPRODUCT(Calc!$K$3:$K$22*(Calc!$G$3:$G$22&lt;=A4503))</f>
        <v/>
      </c>
      <c r="D4503">
        <f>SUMPRODUCT(Calc!$K$3:$K$22*(Calc!$G$3:$G$22&gt;A4503)*(Calc!$G$3:$G$22&lt;B4503))</f>
        <v/>
      </c>
      <c r="E4503">
        <f>SUMPRODUCT(Calc!$K$3:$K$22*(Calc!$G$3:$G$22&gt;=B4503))</f>
        <v/>
      </c>
      <c r="F4503">
        <f>AND(k_n&gt;=5,B4503&gt;A4503+1E-9,C4503&gt;=2,D4503&gt;=1,E4503&gt;=2)</f>
        <v/>
      </c>
      <c r="G4503">
        <f>SUMPRODUCT(Calc!$K$3:$K$22*(Calc!$G$3:$G$22&gt;A4503)*(Calc!$G$3:$G$22-A4503))</f>
        <v/>
      </c>
      <c r="H4503">
        <f>SUMPRODUCT(Calc!$K$3:$K$22*(Calc!$G$3:$G$22&gt;B4503)*(Calc!$G$3:$G$22-B4503))</f>
        <v/>
      </c>
      <c r="I4503">
        <f>SUMPRODUCT(Calc!$K$3:$K$22*(Calc!$G$3:$G$22&gt;A4503)*(Calc!$G$3:$G$22-A4503)^2)</f>
        <v/>
      </c>
      <c r="J4503">
        <f>SUMPRODUCT(Calc!$K$3:$K$22*(Calc!$G$3:$G$22&gt;B4503)*(Calc!$G$3:$G$22-B4503)^2)</f>
        <v/>
      </c>
      <c r="K4503">
        <f>SUMPRODUCT(Calc!$K$3:$K$22*(Calc!$G$3:$G$22&gt;A4503)*(Calc!$G$3:$G$22-A4503)*(Calc!$G$3:$G$22&gt;B4503)*(Calc!$G$3:$G$22-B4503))</f>
        <v/>
      </c>
      <c r="L4503">
        <f>SUMPRODUCT(Calc!$K$3:$K$22*(Calc!$G$3:$G$22&gt;A4503)*(Calc!$G$3:$G$22-A4503)*Calc!$G$3:$G$22)</f>
        <v/>
      </c>
      <c r="M4503">
        <f>SUMPRODUCT(Calc!$K$3:$K$22*(Calc!$G$3:$G$22&gt;B4503)*(Calc!$G$3:$G$22-B4503)*Calc!$G$3:$G$22)</f>
        <v/>
      </c>
      <c r="N4503">
        <f>SUMPRODUCT(Calc!$K$3:$K$22*(Calc!$G$3:$G$22&gt;A4503)*(Calc!$G$3:$G$22-A4503)*Calc!$I$3:$I$22)</f>
        <v/>
      </c>
      <c r="O4503">
        <f>SUMPRODUCT(Calc!$K$3:$K$22*(Calc!$G$3:$G$22&gt;B4503)*(Calc!$G$3:$G$22-B4503)*Calc!$I$3:$I$22)</f>
        <v/>
      </c>
      <c r="P4503">
        <f>I4503-G4503^2/k_n</f>
        <v/>
      </c>
      <c r="Q4503">
        <f>J4503-H4503^2/k_n</f>
        <v/>
      </c>
      <c r="R4503">
        <f>K4503-G4503*H4503/k_n</f>
        <v/>
      </c>
      <c r="S4503">
        <f>L4503-LTP3!$D$3*G4503/k_n</f>
        <v/>
      </c>
      <c r="T4503">
        <f>M4503-LTP3!$D$3*H4503/k_n</f>
        <v/>
      </c>
      <c r="U4503">
        <f>N4503-G4503*LTP3!$D$4/k_n</f>
        <v/>
      </c>
      <c r="V4503">
        <f>O4503-H4503*LTP3!$D$4/k_n</f>
        <v/>
      </c>
      <c r="W4503">
        <f>((LTP3!$D$5)*((P4503)*(Q4503)-(R4503)*(R4503))-(S4503)*((S4503)*(Q4503)-(R4503)*(T4503))+(T4503)*((S4503)*(R4503)-(P4503)*(T4503)))</f>
        <v/>
      </c>
      <c r="X4503">
        <f>IF(ABS(W4503)&gt;1E-12,((LTP3!$D$6)*((P4503)*(Q4503)-(R4503)*(R4503))-(S4503)*((U4503)*(Q4503)-(R4503)*(V4503))+(T4503)*((U4503)*(R4503)-(P4503)*(V4503)))/W4503,0)</f>
        <v/>
      </c>
      <c r="Y4503">
        <f>IF(ABS(W4503)&gt;1E-12,((LTP3!$D$5)*((U4503)*(Q4503)-(R4503)*(V4503))-(LTP3!$D$6)*((S4503)*(Q4503)-(R4503)*(T4503))+(T4503)*((S4503)*(V4503)-(U4503)*(T4503)))/W4503,0)</f>
        <v/>
      </c>
      <c r="Z4503">
        <f>IF(ABS(W4503)&gt;1E-12,((LTP3!$D$5)*((P4503)*(V4503)-(U4503)*(R4503))-(S4503)*((S4503)*(V4503)-(U4503)*(T4503))+(LTP3!$D$6)*((S4503)*(R4503)-(P4503)*(T4503)))/W4503,0)</f>
        <v/>
      </c>
      <c r="AA4503">
        <f>LTP3!$D$7-X4503*LTP3!$D$6-Y4503*U4503-Z4503*V4503</f>
        <v/>
      </c>
      <c r="AB4503">
        <f>IF(AND(F4503,ABS(W4503)&gt;1E-12,Y4503&gt;0,Z4503&gt;0),AA4503,1E+300)</f>
        <v/>
      </c>
    </row>
    <row r="4504">
      <c r="A4504">
        <f>$I$4-$B$5/10+$B$5*15/100</f>
        <v/>
      </c>
      <c r="B4504">
        <f>$J$4-$B$5/10+$B$5*9/100</f>
        <v/>
      </c>
      <c r="C4504">
        <f>SUMPRODUCT(Calc!$K$3:$K$22*(Calc!$G$3:$G$22&lt;=A4504))</f>
        <v/>
      </c>
      <c r="D4504">
        <f>SUMPRODUCT(Calc!$K$3:$K$22*(Calc!$G$3:$G$22&gt;A4504)*(Calc!$G$3:$G$22&lt;B4504))</f>
        <v/>
      </c>
      <c r="E4504">
        <f>SUMPRODUCT(Calc!$K$3:$K$22*(Calc!$G$3:$G$22&gt;=B4504))</f>
        <v/>
      </c>
      <c r="F4504">
        <f>AND(k_n&gt;=5,B4504&gt;A4504+1E-9,C4504&gt;=2,D4504&gt;=1,E4504&gt;=2)</f>
        <v/>
      </c>
      <c r="G4504">
        <f>SUMPRODUCT(Calc!$K$3:$K$22*(Calc!$G$3:$G$22&gt;A4504)*(Calc!$G$3:$G$22-A4504))</f>
        <v/>
      </c>
      <c r="H4504">
        <f>SUMPRODUCT(Calc!$K$3:$K$22*(Calc!$G$3:$G$22&gt;B4504)*(Calc!$G$3:$G$22-B4504))</f>
        <v/>
      </c>
      <c r="I4504">
        <f>SUMPRODUCT(Calc!$K$3:$K$22*(Calc!$G$3:$G$22&gt;A4504)*(Calc!$G$3:$G$22-A4504)^2)</f>
        <v/>
      </c>
      <c r="J4504">
        <f>SUMPRODUCT(Calc!$K$3:$K$22*(Calc!$G$3:$G$22&gt;B4504)*(Calc!$G$3:$G$22-B4504)^2)</f>
        <v/>
      </c>
      <c r="K4504">
        <f>SUMPRODUCT(Calc!$K$3:$K$22*(Calc!$G$3:$G$22&gt;A4504)*(Calc!$G$3:$G$22-A4504)*(Calc!$G$3:$G$22&gt;B4504)*(Calc!$G$3:$G$22-B4504))</f>
        <v/>
      </c>
      <c r="L4504">
        <f>SUMPRODUCT(Calc!$K$3:$K$22*(Calc!$G$3:$G$22&gt;A4504)*(Calc!$G$3:$G$22-A4504)*Calc!$G$3:$G$22)</f>
        <v/>
      </c>
      <c r="M4504">
        <f>SUMPRODUCT(Calc!$K$3:$K$22*(Calc!$G$3:$G$22&gt;B4504)*(Calc!$G$3:$G$22-B4504)*Calc!$G$3:$G$22)</f>
        <v/>
      </c>
      <c r="N4504">
        <f>SUMPRODUCT(Calc!$K$3:$K$22*(Calc!$G$3:$G$22&gt;A4504)*(Calc!$G$3:$G$22-A4504)*Calc!$I$3:$I$22)</f>
        <v/>
      </c>
      <c r="O4504">
        <f>SUMPRODUCT(Calc!$K$3:$K$22*(Calc!$G$3:$G$22&gt;B4504)*(Calc!$G$3:$G$22-B4504)*Calc!$I$3:$I$22)</f>
        <v/>
      </c>
      <c r="P4504">
        <f>I4504-G4504^2/k_n</f>
        <v/>
      </c>
      <c r="Q4504">
        <f>J4504-H4504^2/k_n</f>
        <v/>
      </c>
      <c r="R4504">
        <f>K4504-G4504*H4504/k_n</f>
        <v/>
      </c>
      <c r="S4504">
        <f>L4504-LTP3!$D$3*G4504/k_n</f>
        <v/>
      </c>
      <c r="T4504">
        <f>M4504-LTP3!$D$3*H4504/k_n</f>
        <v/>
      </c>
      <c r="U4504">
        <f>N4504-G4504*LTP3!$D$4/k_n</f>
        <v/>
      </c>
      <c r="V4504">
        <f>O4504-H4504*LTP3!$D$4/k_n</f>
        <v/>
      </c>
      <c r="W4504">
        <f>((LTP3!$D$5)*((P4504)*(Q4504)-(R4504)*(R4504))-(S4504)*((S4504)*(Q4504)-(R4504)*(T4504))+(T4504)*((S4504)*(R4504)-(P4504)*(T4504)))</f>
        <v/>
      </c>
      <c r="X4504">
        <f>IF(ABS(W4504)&gt;1E-12,((LTP3!$D$6)*((P4504)*(Q4504)-(R4504)*(R4504))-(S4504)*((U4504)*(Q4504)-(R4504)*(V4504))+(T4504)*((U4504)*(R4504)-(P4504)*(V4504)))/W4504,0)</f>
        <v/>
      </c>
      <c r="Y4504">
        <f>IF(ABS(W4504)&gt;1E-12,((LTP3!$D$5)*((U4504)*(Q4504)-(R4504)*(V4504))-(LTP3!$D$6)*((S4504)*(Q4504)-(R4504)*(T4504))+(T4504)*((S4504)*(V4504)-(U4504)*(T4504)))/W4504,0)</f>
        <v/>
      </c>
      <c r="Z4504">
        <f>IF(ABS(W4504)&gt;1E-12,((LTP3!$D$5)*((P4504)*(V4504)-(U4504)*(R4504))-(S4504)*((S4504)*(V4504)-(U4504)*(T4504))+(LTP3!$D$6)*((S4504)*(R4504)-(P4504)*(T4504)))/W4504,0)</f>
        <v/>
      </c>
      <c r="AA4504">
        <f>LTP3!$D$7-X4504*LTP3!$D$6-Y4504*U4504-Z4504*V4504</f>
        <v/>
      </c>
      <c r="AB4504">
        <f>IF(AND(F4504,ABS(W4504)&gt;1E-12,Y4504&gt;0,Z4504&gt;0),AA4504,1E+300)</f>
        <v/>
      </c>
    </row>
    <row r="4505">
      <c r="A4505">
        <f>$I$4-$B$5/10+$B$5*15/100</f>
        <v/>
      </c>
      <c r="B4505">
        <f>$J$4-$B$5/10+$B$5*10/100</f>
        <v/>
      </c>
      <c r="C4505">
        <f>SUMPRODUCT(Calc!$K$3:$K$22*(Calc!$G$3:$G$22&lt;=A4505))</f>
        <v/>
      </c>
      <c r="D4505">
        <f>SUMPRODUCT(Calc!$K$3:$K$22*(Calc!$G$3:$G$22&gt;A4505)*(Calc!$G$3:$G$22&lt;B4505))</f>
        <v/>
      </c>
      <c r="E4505">
        <f>SUMPRODUCT(Calc!$K$3:$K$22*(Calc!$G$3:$G$22&gt;=B4505))</f>
        <v/>
      </c>
      <c r="F4505">
        <f>AND(k_n&gt;=5,B4505&gt;A4505+1E-9,C4505&gt;=2,D4505&gt;=1,E4505&gt;=2)</f>
        <v/>
      </c>
      <c r="G4505">
        <f>SUMPRODUCT(Calc!$K$3:$K$22*(Calc!$G$3:$G$22&gt;A4505)*(Calc!$G$3:$G$22-A4505))</f>
        <v/>
      </c>
      <c r="H4505">
        <f>SUMPRODUCT(Calc!$K$3:$K$22*(Calc!$G$3:$G$22&gt;B4505)*(Calc!$G$3:$G$22-B4505))</f>
        <v/>
      </c>
      <c r="I4505">
        <f>SUMPRODUCT(Calc!$K$3:$K$22*(Calc!$G$3:$G$22&gt;A4505)*(Calc!$G$3:$G$22-A4505)^2)</f>
        <v/>
      </c>
      <c r="J4505">
        <f>SUMPRODUCT(Calc!$K$3:$K$22*(Calc!$G$3:$G$22&gt;B4505)*(Calc!$G$3:$G$22-B4505)^2)</f>
        <v/>
      </c>
      <c r="K4505">
        <f>SUMPRODUCT(Calc!$K$3:$K$22*(Calc!$G$3:$G$22&gt;A4505)*(Calc!$G$3:$G$22-A4505)*(Calc!$G$3:$G$22&gt;B4505)*(Calc!$G$3:$G$22-B4505))</f>
        <v/>
      </c>
      <c r="L4505">
        <f>SUMPRODUCT(Calc!$K$3:$K$22*(Calc!$G$3:$G$22&gt;A4505)*(Calc!$G$3:$G$22-A4505)*Calc!$G$3:$G$22)</f>
        <v/>
      </c>
      <c r="M4505">
        <f>SUMPRODUCT(Calc!$K$3:$K$22*(Calc!$G$3:$G$22&gt;B4505)*(Calc!$G$3:$G$22-B4505)*Calc!$G$3:$G$22)</f>
        <v/>
      </c>
      <c r="N4505">
        <f>SUMPRODUCT(Calc!$K$3:$K$22*(Calc!$G$3:$G$22&gt;A4505)*(Calc!$G$3:$G$22-A4505)*Calc!$I$3:$I$22)</f>
        <v/>
      </c>
      <c r="O4505">
        <f>SUMPRODUCT(Calc!$K$3:$K$22*(Calc!$G$3:$G$22&gt;B4505)*(Calc!$G$3:$G$22-B4505)*Calc!$I$3:$I$22)</f>
        <v/>
      </c>
      <c r="P4505">
        <f>I4505-G4505^2/k_n</f>
        <v/>
      </c>
      <c r="Q4505">
        <f>J4505-H4505^2/k_n</f>
        <v/>
      </c>
      <c r="R4505">
        <f>K4505-G4505*H4505/k_n</f>
        <v/>
      </c>
      <c r="S4505">
        <f>L4505-LTP3!$D$3*G4505/k_n</f>
        <v/>
      </c>
      <c r="T4505">
        <f>M4505-LTP3!$D$3*H4505/k_n</f>
        <v/>
      </c>
      <c r="U4505">
        <f>N4505-G4505*LTP3!$D$4/k_n</f>
        <v/>
      </c>
      <c r="V4505">
        <f>O4505-H4505*LTP3!$D$4/k_n</f>
        <v/>
      </c>
      <c r="W4505">
        <f>((LTP3!$D$5)*((P4505)*(Q4505)-(R4505)*(R4505))-(S4505)*((S4505)*(Q4505)-(R4505)*(T4505))+(T4505)*((S4505)*(R4505)-(P4505)*(T4505)))</f>
        <v/>
      </c>
      <c r="X4505">
        <f>IF(ABS(W4505)&gt;1E-12,((LTP3!$D$6)*((P4505)*(Q4505)-(R4505)*(R4505))-(S4505)*((U4505)*(Q4505)-(R4505)*(V4505))+(T4505)*((U4505)*(R4505)-(P4505)*(V4505)))/W4505,0)</f>
        <v/>
      </c>
      <c r="Y4505">
        <f>IF(ABS(W4505)&gt;1E-12,((LTP3!$D$5)*((U4505)*(Q4505)-(R4505)*(V4505))-(LTP3!$D$6)*((S4505)*(Q4505)-(R4505)*(T4505))+(T4505)*((S4505)*(V4505)-(U4505)*(T4505)))/W4505,0)</f>
        <v/>
      </c>
      <c r="Z4505">
        <f>IF(ABS(W4505)&gt;1E-12,((LTP3!$D$5)*((P4505)*(V4505)-(U4505)*(R4505))-(S4505)*((S4505)*(V4505)-(U4505)*(T4505))+(LTP3!$D$6)*((S4505)*(R4505)-(P4505)*(T4505)))/W4505,0)</f>
        <v/>
      </c>
      <c r="AA4505">
        <f>LTP3!$D$7-X4505*LTP3!$D$6-Y4505*U4505-Z4505*V4505</f>
        <v/>
      </c>
      <c r="AB4505">
        <f>IF(AND(F4505,ABS(W4505)&gt;1E-12,Y4505&gt;0,Z4505&gt;0),AA4505,1E+300)</f>
        <v/>
      </c>
    </row>
    <row r="4506">
      <c r="A4506">
        <f>$I$4-$B$5/10+$B$5*15/100</f>
        <v/>
      </c>
      <c r="B4506">
        <f>$J$4-$B$5/10+$B$5*11/100</f>
        <v/>
      </c>
      <c r="C4506">
        <f>SUMPRODUCT(Calc!$K$3:$K$22*(Calc!$G$3:$G$22&lt;=A4506))</f>
        <v/>
      </c>
      <c r="D4506">
        <f>SUMPRODUCT(Calc!$K$3:$K$22*(Calc!$G$3:$G$22&gt;A4506)*(Calc!$G$3:$G$22&lt;B4506))</f>
        <v/>
      </c>
      <c r="E4506">
        <f>SUMPRODUCT(Calc!$K$3:$K$22*(Calc!$G$3:$G$22&gt;=B4506))</f>
        <v/>
      </c>
      <c r="F4506">
        <f>AND(k_n&gt;=5,B4506&gt;A4506+1E-9,C4506&gt;=2,D4506&gt;=1,E4506&gt;=2)</f>
        <v/>
      </c>
      <c r="G4506">
        <f>SUMPRODUCT(Calc!$K$3:$K$22*(Calc!$G$3:$G$22&gt;A4506)*(Calc!$G$3:$G$22-A4506))</f>
        <v/>
      </c>
      <c r="H4506">
        <f>SUMPRODUCT(Calc!$K$3:$K$22*(Calc!$G$3:$G$22&gt;B4506)*(Calc!$G$3:$G$22-B4506))</f>
        <v/>
      </c>
      <c r="I4506">
        <f>SUMPRODUCT(Calc!$K$3:$K$22*(Calc!$G$3:$G$22&gt;A4506)*(Calc!$G$3:$G$22-A4506)^2)</f>
        <v/>
      </c>
      <c r="J4506">
        <f>SUMPRODUCT(Calc!$K$3:$K$22*(Calc!$G$3:$G$22&gt;B4506)*(Calc!$G$3:$G$22-B4506)^2)</f>
        <v/>
      </c>
      <c r="K4506">
        <f>SUMPRODUCT(Calc!$K$3:$K$22*(Calc!$G$3:$G$22&gt;A4506)*(Calc!$G$3:$G$22-A4506)*(Calc!$G$3:$G$22&gt;B4506)*(Calc!$G$3:$G$22-B4506))</f>
        <v/>
      </c>
      <c r="L4506">
        <f>SUMPRODUCT(Calc!$K$3:$K$22*(Calc!$G$3:$G$22&gt;A4506)*(Calc!$G$3:$G$22-A4506)*Calc!$G$3:$G$22)</f>
        <v/>
      </c>
      <c r="M4506">
        <f>SUMPRODUCT(Calc!$K$3:$K$22*(Calc!$G$3:$G$22&gt;B4506)*(Calc!$G$3:$G$22-B4506)*Calc!$G$3:$G$22)</f>
        <v/>
      </c>
      <c r="N4506">
        <f>SUMPRODUCT(Calc!$K$3:$K$22*(Calc!$G$3:$G$22&gt;A4506)*(Calc!$G$3:$G$22-A4506)*Calc!$I$3:$I$22)</f>
        <v/>
      </c>
      <c r="O4506">
        <f>SUMPRODUCT(Calc!$K$3:$K$22*(Calc!$G$3:$G$22&gt;B4506)*(Calc!$G$3:$G$22-B4506)*Calc!$I$3:$I$22)</f>
        <v/>
      </c>
      <c r="P4506">
        <f>I4506-G4506^2/k_n</f>
        <v/>
      </c>
      <c r="Q4506">
        <f>J4506-H4506^2/k_n</f>
        <v/>
      </c>
      <c r="R4506">
        <f>K4506-G4506*H4506/k_n</f>
        <v/>
      </c>
      <c r="S4506">
        <f>L4506-LTP3!$D$3*G4506/k_n</f>
        <v/>
      </c>
      <c r="T4506">
        <f>M4506-LTP3!$D$3*H4506/k_n</f>
        <v/>
      </c>
      <c r="U4506">
        <f>N4506-G4506*LTP3!$D$4/k_n</f>
        <v/>
      </c>
      <c r="V4506">
        <f>O4506-H4506*LTP3!$D$4/k_n</f>
        <v/>
      </c>
      <c r="W4506">
        <f>((LTP3!$D$5)*((P4506)*(Q4506)-(R4506)*(R4506))-(S4506)*((S4506)*(Q4506)-(R4506)*(T4506))+(T4506)*((S4506)*(R4506)-(P4506)*(T4506)))</f>
        <v/>
      </c>
      <c r="X4506">
        <f>IF(ABS(W4506)&gt;1E-12,((LTP3!$D$6)*((P4506)*(Q4506)-(R4506)*(R4506))-(S4506)*((U4506)*(Q4506)-(R4506)*(V4506))+(T4506)*((U4506)*(R4506)-(P4506)*(V4506)))/W4506,0)</f>
        <v/>
      </c>
      <c r="Y4506">
        <f>IF(ABS(W4506)&gt;1E-12,((LTP3!$D$5)*((U4506)*(Q4506)-(R4506)*(V4506))-(LTP3!$D$6)*((S4506)*(Q4506)-(R4506)*(T4506))+(T4506)*((S4506)*(V4506)-(U4506)*(T4506)))/W4506,0)</f>
        <v/>
      </c>
      <c r="Z4506">
        <f>IF(ABS(W4506)&gt;1E-12,((LTP3!$D$5)*((P4506)*(V4506)-(U4506)*(R4506))-(S4506)*((S4506)*(V4506)-(U4506)*(T4506))+(LTP3!$D$6)*((S4506)*(R4506)-(P4506)*(T4506)))/W4506,0)</f>
        <v/>
      </c>
      <c r="AA4506">
        <f>LTP3!$D$7-X4506*LTP3!$D$6-Y4506*U4506-Z4506*V4506</f>
        <v/>
      </c>
      <c r="AB4506">
        <f>IF(AND(F4506,ABS(W4506)&gt;1E-12,Y4506&gt;0,Z4506&gt;0),AA4506,1E+300)</f>
        <v/>
      </c>
    </row>
    <row r="4507">
      <c r="A4507">
        <f>$I$4-$B$5/10+$B$5*15/100</f>
        <v/>
      </c>
      <c r="B4507">
        <f>$J$4-$B$5/10+$B$5*12/100</f>
        <v/>
      </c>
      <c r="C4507">
        <f>SUMPRODUCT(Calc!$K$3:$K$22*(Calc!$G$3:$G$22&lt;=A4507))</f>
        <v/>
      </c>
      <c r="D4507">
        <f>SUMPRODUCT(Calc!$K$3:$K$22*(Calc!$G$3:$G$22&gt;A4507)*(Calc!$G$3:$G$22&lt;B4507))</f>
        <v/>
      </c>
      <c r="E4507">
        <f>SUMPRODUCT(Calc!$K$3:$K$22*(Calc!$G$3:$G$22&gt;=B4507))</f>
        <v/>
      </c>
      <c r="F4507">
        <f>AND(k_n&gt;=5,B4507&gt;A4507+1E-9,C4507&gt;=2,D4507&gt;=1,E4507&gt;=2)</f>
        <v/>
      </c>
      <c r="G4507">
        <f>SUMPRODUCT(Calc!$K$3:$K$22*(Calc!$G$3:$G$22&gt;A4507)*(Calc!$G$3:$G$22-A4507))</f>
        <v/>
      </c>
      <c r="H4507">
        <f>SUMPRODUCT(Calc!$K$3:$K$22*(Calc!$G$3:$G$22&gt;B4507)*(Calc!$G$3:$G$22-B4507))</f>
        <v/>
      </c>
      <c r="I4507">
        <f>SUMPRODUCT(Calc!$K$3:$K$22*(Calc!$G$3:$G$22&gt;A4507)*(Calc!$G$3:$G$22-A4507)^2)</f>
        <v/>
      </c>
      <c r="J4507">
        <f>SUMPRODUCT(Calc!$K$3:$K$22*(Calc!$G$3:$G$22&gt;B4507)*(Calc!$G$3:$G$22-B4507)^2)</f>
        <v/>
      </c>
      <c r="K4507">
        <f>SUMPRODUCT(Calc!$K$3:$K$22*(Calc!$G$3:$G$22&gt;A4507)*(Calc!$G$3:$G$22-A4507)*(Calc!$G$3:$G$22&gt;B4507)*(Calc!$G$3:$G$22-B4507))</f>
        <v/>
      </c>
      <c r="L4507">
        <f>SUMPRODUCT(Calc!$K$3:$K$22*(Calc!$G$3:$G$22&gt;A4507)*(Calc!$G$3:$G$22-A4507)*Calc!$G$3:$G$22)</f>
        <v/>
      </c>
      <c r="M4507">
        <f>SUMPRODUCT(Calc!$K$3:$K$22*(Calc!$G$3:$G$22&gt;B4507)*(Calc!$G$3:$G$22-B4507)*Calc!$G$3:$G$22)</f>
        <v/>
      </c>
      <c r="N4507">
        <f>SUMPRODUCT(Calc!$K$3:$K$22*(Calc!$G$3:$G$22&gt;A4507)*(Calc!$G$3:$G$22-A4507)*Calc!$I$3:$I$22)</f>
        <v/>
      </c>
      <c r="O4507">
        <f>SUMPRODUCT(Calc!$K$3:$K$22*(Calc!$G$3:$G$22&gt;B4507)*(Calc!$G$3:$G$22-B4507)*Calc!$I$3:$I$22)</f>
        <v/>
      </c>
      <c r="P4507">
        <f>I4507-G4507^2/k_n</f>
        <v/>
      </c>
      <c r="Q4507">
        <f>J4507-H4507^2/k_n</f>
        <v/>
      </c>
      <c r="R4507">
        <f>K4507-G4507*H4507/k_n</f>
        <v/>
      </c>
      <c r="S4507">
        <f>L4507-LTP3!$D$3*G4507/k_n</f>
        <v/>
      </c>
      <c r="T4507">
        <f>M4507-LTP3!$D$3*H4507/k_n</f>
        <v/>
      </c>
      <c r="U4507">
        <f>N4507-G4507*LTP3!$D$4/k_n</f>
        <v/>
      </c>
      <c r="V4507">
        <f>O4507-H4507*LTP3!$D$4/k_n</f>
        <v/>
      </c>
      <c r="W4507">
        <f>((LTP3!$D$5)*((P4507)*(Q4507)-(R4507)*(R4507))-(S4507)*((S4507)*(Q4507)-(R4507)*(T4507))+(T4507)*((S4507)*(R4507)-(P4507)*(T4507)))</f>
        <v/>
      </c>
      <c r="X4507">
        <f>IF(ABS(W4507)&gt;1E-12,((LTP3!$D$6)*((P4507)*(Q4507)-(R4507)*(R4507))-(S4507)*((U4507)*(Q4507)-(R4507)*(V4507))+(T4507)*((U4507)*(R4507)-(P4507)*(V4507)))/W4507,0)</f>
        <v/>
      </c>
      <c r="Y4507">
        <f>IF(ABS(W4507)&gt;1E-12,((LTP3!$D$5)*((U4507)*(Q4507)-(R4507)*(V4507))-(LTP3!$D$6)*((S4507)*(Q4507)-(R4507)*(T4507))+(T4507)*((S4507)*(V4507)-(U4507)*(T4507)))/W4507,0)</f>
        <v/>
      </c>
      <c r="Z4507">
        <f>IF(ABS(W4507)&gt;1E-12,((LTP3!$D$5)*((P4507)*(V4507)-(U4507)*(R4507))-(S4507)*((S4507)*(V4507)-(U4507)*(T4507))+(LTP3!$D$6)*((S4507)*(R4507)-(P4507)*(T4507)))/W4507,0)</f>
        <v/>
      </c>
      <c r="AA4507">
        <f>LTP3!$D$7-X4507*LTP3!$D$6-Y4507*U4507-Z4507*V4507</f>
        <v/>
      </c>
      <c r="AB4507">
        <f>IF(AND(F4507,ABS(W4507)&gt;1E-12,Y4507&gt;0,Z4507&gt;0),AA4507,1E+300)</f>
        <v/>
      </c>
    </row>
    <row r="4508">
      <c r="A4508">
        <f>$I$4-$B$5/10+$B$5*15/100</f>
        <v/>
      </c>
      <c r="B4508">
        <f>$J$4-$B$5/10+$B$5*13/100</f>
        <v/>
      </c>
      <c r="C4508">
        <f>SUMPRODUCT(Calc!$K$3:$K$22*(Calc!$G$3:$G$22&lt;=A4508))</f>
        <v/>
      </c>
      <c r="D4508">
        <f>SUMPRODUCT(Calc!$K$3:$K$22*(Calc!$G$3:$G$22&gt;A4508)*(Calc!$G$3:$G$22&lt;B4508))</f>
        <v/>
      </c>
      <c r="E4508">
        <f>SUMPRODUCT(Calc!$K$3:$K$22*(Calc!$G$3:$G$22&gt;=B4508))</f>
        <v/>
      </c>
      <c r="F4508">
        <f>AND(k_n&gt;=5,B4508&gt;A4508+1E-9,C4508&gt;=2,D4508&gt;=1,E4508&gt;=2)</f>
        <v/>
      </c>
      <c r="G4508">
        <f>SUMPRODUCT(Calc!$K$3:$K$22*(Calc!$G$3:$G$22&gt;A4508)*(Calc!$G$3:$G$22-A4508))</f>
        <v/>
      </c>
      <c r="H4508">
        <f>SUMPRODUCT(Calc!$K$3:$K$22*(Calc!$G$3:$G$22&gt;B4508)*(Calc!$G$3:$G$22-B4508))</f>
        <v/>
      </c>
      <c r="I4508">
        <f>SUMPRODUCT(Calc!$K$3:$K$22*(Calc!$G$3:$G$22&gt;A4508)*(Calc!$G$3:$G$22-A4508)^2)</f>
        <v/>
      </c>
      <c r="J4508">
        <f>SUMPRODUCT(Calc!$K$3:$K$22*(Calc!$G$3:$G$22&gt;B4508)*(Calc!$G$3:$G$22-B4508)^2)</f>
        <v/>
      </c>
      <c r="K4508">
        <f>SUMPRODUCT(Calc!$K$3:$K$22*(Calc!$G$3:$G$22&gt;A4508)*(Calc!$G$3:$G$22-A4508)*(Calc!$G$3:$G$22&gt;B4508)*(Calc!$G$3:$G$22-B4508))</f>
        <v/>
      </c>
      <c r="L4508">
        <f>SUMPRODUCT(Calc!$K$3:$K$22*(Calc!$G$3:$G$22&gt;A4508)*(Calc!$G$3:$G$22-A4508)*Calc!$G$3:$G$22)</f>
        <v/>
      </c>
      <c r="M4508">
        <f>SUMPRODUCT(Calc!$K$3:$K$22*(Calc!$G$3:$G$22&gt;B4508)*(Calc!$G$3:$G$22-B4508)*Calc!$G$3:$G$22)</f>
        <v/>
      </c>
      <c r="N4508">
        <f>SUMPRODUCT(Calc!$K$3:$K$22*(Calc!$G$3:$G$22&gt;A4508)*(Calc!$G$3:$G$22-A4508)*Calc!$I$3:$I$22)</f>
        <v/>
      </c>
      <c r="O4508">
        <f>SUMPRODUCT(Calc!$K$3:$K$22*(Calc!$G$3:$G$22&gt;B4508)*(Calc!$G$3:$G$22-B4508)*Calc!$I$3:$I$22)</f>
        <v/>
      </c>
      <c r="P4508">
        <f>I4508-G4508^2/k_n</f>
        <v/>
      </c>
      <c r="Q4508">
        <f>J4508-H4508^2/k_n</f>
        <v/>
      </c>
      <c r="R4508">
        <f>K4508-G4508*H4508/k_n</f>
        <v/>
      </c>
      <c r="S4508">
        <f>L4508-LTP3!$D$3*G4508/k_n</f>
        <v/>
      </c>
      <c r="T4508">
        <f>M4508-LTP3!$D$3*H4508/k_n</f>
        <v/>
      </c>
      <c r="U4508">
        <f>N4508-G4508*LTP3!$D$4/k_n</f>
        <v/>
      </c>
      <c r="V4508">
        <f>O4508-H4508*LTP3!$D$4/k_n</f>
        <v/>
      </c>
      <c r="W4508">
        <f>((LTP3!$D$5)*((P4508)*(Q4508)-(R4508)*(R4508))-(S4508)*((S4508)*(Q4508)-(R4508)*(T4508))+(T4508)*((S4508)*(R4508)-(P4508)*(T4508)))</f>
        <v/>
      </c>
      <c r="X4508">
        <f>IF(ABS(W4508)&gt;1E-12,((LTP3!$D$6)*((P4508)*(Q4508)-(R4508)*(R4508))-(S4508)*((U4508)*(Q4508)-(R4508)*(V4508))+(T4508)*((U4508)*(R4508)-(P4508)*(V4508)))/W4508,0)</f>
        <v/>
      </c>
      <c r="Y4508">
        <f>IF(ABS(W4508)&gt;1E-12,((LTP3!$D$5)*((U4508)*(Q4508)-(R4508)*(V4508))-(LTP3!$D$6)*((S4508)*(Q4508)-(R4508)*(T4508))+(T4508)*((S4508)*(V4508)-(U4508)*(T4508)))/W4508,0)</f>
        <v/>
      </c>
      <c r="Z4508">
        <f>IF(ABS(W4508)&gt;1E-12,((LTP3!$D$5)*((P4508)*(V4508)-(U4508)*(R4508))-(S4508)*((S4508)*(V4508)-(U4508)*(T4508))+(LTP3!$D$6)*((S4508)*(R4508)-(P4508)*(T4508)))/W4508,0)</f>
        <v/>
      </c>
      <c r="AA4508">
        <f>LTP3!$D$7-X4508*LTP3!$D$6-Y4508*U4508-Z4508*V4508</f>
        <v/>
      </c>
      <c r="AB4508">
        <f>IF(AND(F4508,ABS(W4508)&gt;1E-12,Y4508&gt;0,Z4508&gt;0),AA4508,1E+300)</f>
        <v/>
      </c>
    </row>
    <row r="4509">
      <c r="A4509">
        <f>$I$4-$B$5/10+$B$5*15/100</f>
        <v/>
      </c>
      <c r="B4509">
        <f>$J$4-$B$5/10+$B$5*14/100</f>
        <v/>
      </c>
      <c r="C4509">
        <f>SUMPRODUCT(Calc!$K$3:$K$22*(Calc!$G$3:$G$22&lt;=A4509))</f>
        <v/>
      </c>
      <c r="D4509">
        <f>SUMPRODUCT(Calc!$K$3:$K$22*(Calc!$G$3:$G$22&gt;A4509)*(Calc!$G$3:$G$22&lt;B4509))</f>
        <v/>
      </c>
      <c r="E4509">
        <f>SUMPRODUCT(Calc!$K$3:$K$22*(Calc!$G$3:$G$22&gt;=B4509))</f>
        <v/>
      </c>
      <c r="F4509">
        <f>AND(k_n&gt;=5,B4509&gt;A4509+1E-9,C4509&gt;=2,D4509&gt;=1,E4509&gt;=2)</f>
        <v/>
      </c>
      <c r="G4509">
        <f>SUMPRODUCT(Calc!$K$3:$K$22*(Calc!$G$3:$G$22&gt;A4509)*(Calc!$G$3:$G$22-A4509))</f>
        <v/>
      </c>
      <c r="H4509">
        <f>SUMPRODUCT(Calc!$K$3:$K$22*(Calc!$G$3:$G$22&gt;B4509)*(Calc!$G$3:$G$22-B4509))</f>
        <v/>
      </c>
      <c r="I4509">
        <f>SUMPRODUCT(Calc!$K$3:$K$22*(Calc!$G$3:$G$22&gt;A4509)*(Calc!$G$3:$G$22-A4509)^2)</f>
        <v/>
      </c>
      <c r="J4509">
        <f>SUMPRODUCT(Calc!$K$3:$K$22*(Calc!$G$3:$G$22&gt;B4509)*(Calc!$G$3:$G$22-B4509)^2)</f>
        <v/>
      </c>
      <c r="K4509">
        <f>SUMPRODUCT(Calc!$K$3:$K$22*(Calc!$G$3:$G$22&gt;A4509)*(Calc!$G$3:$G$22-A4509)*(Calc!$G$3:$G$22&gt;B4509)*(Calc!$G$3:$G$22-B4509))</f>
        <v/>
      </c>
      <c r="L4509">
        <f>SUMPRODUCT(Calc!$K$3:$K$22*(Calc!$G$3:$G$22&gt;A4509)*(Calc!$G$3:$G$22-A4509)*Calc!$G$3:$G$22)</f>
        <v/>
      </c>
      <c r="M4509">
        <f>SUMPRODUCT(Calc!$K$3:$K$22*(Calc!$G$3:$G$22&gt;B4509)*(Calc!$G$3:$G$22-B4509)*Calc!$G$3:$G$22)</f>
        <v/>
      </c>
      <c r="N4509">
        <f>SUMPRODUCT(Calc!$K$3:$K$22*(Calc!$G$3:$G$22&gt;A4509)*(Calc!$G$3:$G$22-A4509)*Calc!$I$3:$I$22)</f>
        <v/>
      </c>
      <c r="O4509">
        <f>SUMPRODUCT(Calc!$K$3:$K$22*(Calc!$G$3:$G$22&gt;B4509)*(Calc!$G$3:$G$22-B4509)*Calc!$I$3:$I$22)</f>
        <v/>
      </c>
      <c r="P4509">
        <f>I4509-G4509^2/k_n</f>
        <v/>
      </c>
      <c r="Q4509">
        <f>J4509-H4509^2/k_n</f>
        <v/>
      </c>
      <c r="R4509">
        <f>K4509-G4509*H4509/k_n</f>
        <v/>
      </c>
      <c r="S4509">
        <f>L4509-LTP3!$D$3*G4509/k_n</f>
        <v/>
      </c>
      <c r="T4509">
        <f>M4509-LTP3!$D$3*H4509/k_n</f>
        <v/>
      </c>
      <c r="U4509">
        <f>N4509-G4509*LTP3!$D$4/k_n</f>
        <v/>
      </c>
      <c r="V4509">
        <f>O4509-H4509*LTP3!$D$4/k_n</f>
        <v/>
      </c>
      <c r="W4509">
        <f>((LTP3!$D$5)*((P4509)*(Q4509)-(R4509)*(R4509))-(S4509)*((S4509)*(Q4509)-(R4509)*(T4509))+(T4509)*((S4509)*(R4509)-(P4509)*(T4509)))</f>
        <v/>
      </c>
      <c r="X4509">
        <f>IF(ABS(W4509)&gt;1E-12,((LTP3!$D$6)*((P4509)*(Q4509)-(R4509)*(R4509))-(S4509)*((U4509)*(Q4509)-(R4509)*(V4509))+(T4509)*((U4509)*(R4509)-(P4509)*(V4509)))/W4509,0)</f>
        <v/>
      </c>
      <c r="Y4509">
        <f>IF(ABS(W4509)&gt;1E-12,((LTP3!$D$5)*((U4509)*(Q4509)-(R4509)*(V4509))-(LTP3!$D$6)*((S4509)*(Q4509)-(R4509)*(T4509))+(T4509)*((S4509)*(V4509)-(U4509)*(T4509)))/W4509,0)</f>
        <v/>
      </c>
      <c r="Z4509">
        <f>IF(ABS(W4509)&gt;1E-12,((LTP3!$D$5)*((P4509)*(V4509)-(U4509)*(R4509))-(S4509)*((S4509)*(V4509)-(U4509)*(T4509))+(LTP3!$D$6)*((S4509)*(R4509)-(P4509)*(T4509)))/W4509,0)</f>
        <v/>
      </c>
      <c r="AA4509">
        <f>LTP3!$D$7-X4509*LTP3!$D$6-Y4509*U4509-Z4509*V4509</f>
        <v/>
      </c>
      <c r="AB4509">
        <f>IF(AND(F4509,ABS(W4509)&gt;1E-12,Y4509&gt;0,Z4509&gt;0),AA4509,1E+300)</f>
        <v/>
      </c>
    </row>
    <row r="4510">
      <c r="A4510">
        <f>$I$4-$B$5/10+$B$5*15/100</f>
        <v/>
      </c>
      <c r="B4510">
        <f>$J$4-$B$5/10+$B$5*15/100</f>
        <v/>
      </c>
      <c r="C4510">
        <f>SUMPRODUCT(Calc!$K$3:$K$22*(Calc!$G$3:$G$22&lt;=A4510))</f>
        <v/>
      </c>
      <c r="D4510">
        <f>SUMPRODUCT(Calc!$K$3:$K$22*(Calc!$G$3:$G$22&gt;A4510)*(Calc!$G$3:$G$22&lt;B4510))</f>
        <v/>
      </c>
      <c r="E4510">
        <f>SUMPRODUCT(Calc!$K$3:$K$22*(Calc!$G$3:$G$22&gt;=B4510))</f>
        <v/>
      </c>
      <c r="F4510">
        <f>AND(k_n&gt;=5,B4510&gt;A4510+1E-9,C4510&gt;=2,D4510&gt;=1,E4510&gt;=2)</f>
        <v/>
      </c>
      <c r="G4510">
        <f>SUMPRODUCT(Calc!$K$3:$K$22*(Calc!$G$3:$G$22&gt;A4510)*(Calc!$G$3:$G$22-A4510))</f>
        <v/>
      </c>
      <c r="H4510">
        <f>SUMPRODUCT(Calc!$K$3:$K$22*(Calc!$G$3:$G$22&gt;B4510)*(Calc!$G$3:$G$22-B4510))</f>
        <v/>
      </c>
      <c r="I4510">
        <f>SUMPRODUCT(Calc!$K$3:$K$22*(Calc!$G$3:$G$22&gt;A4510)*(Calc!$G$3:$G$22-A4510)^2)</f>
        <v/>
      </c>
      <c r="J4510">
        <f>SUMPRODUCT(Calc!$K$3:$K$22*(Calc!$G$3:$G$22&gt;B4510)*(Calc!$G$3:$G$22-B4510)^2)</f>
        <v/>
      </c>
      <c r="K4510">
        <f>SUMPRODUCT(Calc!$K$3:$K$22*(Calc!$G$3:$G$22&gt;A4510)*(Calc!$G$3:$G$22-A4510)*(Calc!$G$3:$G$22&gt;B4510)*(Calc!$G$3:$G$22-B4510))</f>
        <v/>
      </c>
      <c r="L4510">
        <f>SUMPRODUCT(Calc!$K$3:$K$22*(Calc!$G$3:$G$22&gt;A4510)*(Calc!$G$3:$G$22-A4510)*Calc!$G$3:$G$22)</f>
        <v/>
      </c>
      <c r="M4510">
        <f>SUMPRODUCT(Calc!$K$3:$K$22*(Calc!$G$3:$G$22&gt;B4510)*(Calc!$G$3:$G$22-B4510)*Calc!$G$3:$G$22)</f>
        <v/>
      </c>
      <c r="N4510">
        <f>SUMPRODUCT(Calc!$K$3:$K$22*(Calc!$G$3:$G$22&gt;A4510)*(Calc!$G$3:$G$22-A4510)*Calc!$I$3:$I$22)</f>
        <v/>
      </c>
      <c r="O4510">
        <f>SUMPRODUCT(Calc!$K$3:$K$22*(Calc!$G$3:$G$22&gt;B4510)*(Calc!$G$3:$G$22-B4510)*Calc!$I$3:$I$22)</f>
        <v/>
      </c>
      <c r="P4510">
        <f>I4510-G4510^2/k_n</f>
        <v/>
      </c>
      <c r="Q4510">
        <f>J4510-H4510^2/k_n</f>
        <v/>
      </c>
      <c r="R4510">
        <f>K4510-G4510*H4510/k_n</f>
        <v/>
      </c>
      <c r="S4510">
        <f>L4510-LTP3!$D$3*G4510/k_n</f>
        <v/>
      </c>
      <c r="T4510">
        <f>M4510-LTP3!$D$3*H4510/k_n</f>
        <v/>
      </c>
      <c r="U4510">
        <f>N4510-G4510*LTP3!$D$4/k_n</f>
        <v/>
      </c>
      <c r="V4510">
        <f>O4510-H4510*LTP3!$D$4/k_n</f>
        <v/>
      </c>
      <c r="W4510">
        <f>((LTP3!$D$5)*((P4510)*(Q4510)-(R4510)*(R4510))-(S4510)*((S4510)*(Q4510)-(R4510)*(T4510))+(T4510)*((S4510)*(R4510)-(P4510)*(T4510)))</f>
        <v/>
      </c>
      <c r="X4510">
        <f>IF(ABS(W4510)&gt;1E-12,((LTP3!$D$6)*((P4510)*(Q4510)-(R4510)*(R4510))-(S4510)*((U4510)*(Q4510)-(R4510)*(V4510))+(T4510)*((U4510)*(R4510)-(P4510)*(V4510)))/W4510,0)</f>
        <v/>
      </c>
      <c r="Y4510">
        <f>IF(ABS(W4510)&gt;1E-12,((LTP3!$D$5)*((U4510)*(Q4510)-(R4510)*(V4510))-(LTP3!$D$6)*((S4510)*(Q4510)-(R4510)*(T4510))+(T4510)*((S4510)*(V4510)-(U4510)*(T4510)))/W4510,0)</f>
        <v/>
      </c>
      <c r="Z4510">
        <f>IF(ABS(W4510)&gt;1E-12,((LTP3!$D$5)*((P4510)*(V4510)-(U4510)*(R4510))-(S4510)*((S4510)*(V4510)-(U4510)*(T4510))+(LTP3!$D$6)*((S4510)*(R4510)-(P4510)*(T4510)))/W4510,0)</f>
        <v/>
      </c>
      <c r="AA4510">
        <f>LTP3!$D$7-X4510*LTP3!$D$6-Y4510*U4510-Z4510*V4510</f>
        <v/>
      </c>
      <c r="AB4510">
        <f>IF(AND(F4510,ABS(W4510)&gt;1E-12,Y4510&gt;0,Z4510&gt;0),AA4510,1E+300)</f>
        <v/>
      </c>
    </row>
    <row r="4511">
      <c r="A4511">
        <f>$I$4-$B$5/10+$B$5*15/100</f>
        <v/>
      </c>
      <c r="B4511">
        <f>$J$4-$B$5/10+$B$5*16/100</f>
        <v/>
      </c>
      <c r="C4511">
        <f>SUMPRODUCT(Calc!$K$3:$K$22*(Calc!$G$3:$G$22&lt;=A4511))</f>
        <v/>
      </c>
      <c r="D4511">
        <f>SUMPRODUCT(Calc!$K$3:$K$22*(Calc!$G$3:$G$22&gt;A4511)*(Calc!$G$3:$G$22&lt;B4511))</f>
        <v/>
      </c>
      <c r="E4511">
        <f>SUMPRODUCT(Calc!$K$3:$K$22*(Calc!$G$3:$G$22&gt;=B4511))</f>
        <v/>
      </c>
      <c r="F4511">
        <f>AND(k_n&gt;=5,B4511&gt;A4511+1E-9,C4511&gt;=2,D4511&gt;=1,E4511&gt;=2)</f>
        <v/>
      </c>
      <c r="G4511">
        <f>SUMPRODUCT(Calc!$K$3:$K$22*(Calc!$G$3:$G$22&gt;A4511)*(Calc!$G$3:$G$22-A4511))</f>
        <v/>
      </c>
      <c r="H4511">
        <f>SUMPRODUCT(Calc!$K$3:$K$22*(Calc!$G$3:$G$22&gt;B4511)*(Calc!$G$3:$G$22-B4511))</f>
        <v/>
      </c>
      <c r="I4511">
        <f>SUMPRODUCT(Calc!$K$3:$K$22*(Calc!$G$3:$G$22&gt;A4511)*(Calc!$G$3:$G$22-A4511)^2)</f>
        <v/>
      </c>
      <c r="J4511">
        <f>SUMPRODUCT(Calc!$K$3:$K$22*(Calc!$G$3:$G$22&gt;B4511)*(Calc!$G$3:$G$22-B4511)^2)</f>
        <v/>
      </c>
      <c r="K4511">
        <f>SUMPRODUCT(Calc!$K$3:$K$22*(Calc!$G$3:$G$22&gt;A4511)*(Calc!$G$3:$G$22-A4511)*(Calc!$G$3:$G$22&gt;B4511)*(Calc!$G$3:$G$22-B4511))</f>
        <v/>
      </c>
      <c r="L4511">
        <f>SUMPRODUCT(Calc!$K$3:$K$22*(Calc!$G$3:$G$22&gt;A4511)*(Calc!$G$3:$G$22-A4511)*Calc!$G$3:$G$22)</f>
        <v/>
      </c>
      <c r="M4511">
        <f>SUMPRODUCT(Calc!$K$3:$K$22*(Calc!$G$3:$G$22&gt;B4511)*(Calc!$G$3:$G$22-B4511)*Calc!$G$3:$G$22)</f>
        <v/>
      </c>
      <c r="N4511">
        <f>SUMPRODUCT(Calc!$K$3:$K$22*(Calc!$G$3:$G$22&gt;A4511)*(Calc!$G$3:$G$22-A4511)*Calc!$I$3:$I$22)</f>
        <v/>
      </c>
      <c r="O4511">
        <f>SUMPRODUCT(Calc!$K$3:$K$22*(Calc!$G$3:$G$22&gt;B4511)*(Calc!$G$3:$G$22-B4511)*Calc!$I$3:$I$22)</f>
        <v/>
      </c>
      <c r="P4511">
        <f>I4511-G4511^2/k_n</f>
        <v/>
      </c>
      <c r="Q4511">
        <f>J4511-H4511^2/k_n</f>
        <v/>
      </c>
      <c r="R4511">
        <f>K4511-G4511*H4511/k_n</f>
        <v/>
      </c>
      <c r="S4511">
        <f>L4511-LTP3!$D$3*G4511/k_n</f>
        <v/>
      </c>
      <c r="T4511">
        <f>M4511-LTP3!$D$3*H4511/k_n</f>
        <v/>
      </c>
      <c r="U4511">
        <f>N4511-G4511*LTP3!$D$4/k_n</f>
        <v/>
      </c>
      <c r="V4511">
        <f>O4511-H4511*LTP3!$D$4/k_n</f>
        <v/>
      </c>
      <c r="W4511">
        <f>((LTP3!$D$5)*((P4511)*(Q4511)-(R4511)*(R4511))-(S4511)*((S4511)*(Q4511)-(R4511)*(T4511))+(T4511)*((S4511)*(R4511)-(P4511)*(T4511)))</f>
        <v/>
      </c>
      <c r="X4511">
        <f>IF(ABS(W4511)&gt;1E-12,((LTP3!$D$6)*((P4511)*(Q4511)-(R4511)*(R4511))-(S4511)*((U4511)*(Q4511)-(R4511)*(V4511))+(T4511)*((U4511)*(R4511)-(P4511)*(V4511)))/W4511,0)</f>
        <v/>
      </c>
      <c r="Y4511">
        <f>IF(ABS(W4511)&gt;1E-12,((LTP3!$D$5)*((U4511)*(Q4511)-(R4511)*(V4511))-(LTP3!$D$6)*((S4511)*(Q4511)-(R4511)*(T4511))+(T4511)*((S4511)*(V4511)-(U4511)*(T4511)))/W4511,0)</f>
        <v/>
      </c>
      <c r="Z4511">
        <f>IF(ABS(W4511)&gt;1E-12,((LTP3!$D$5)*((P4511)*(V4511)-(U4511)*(R4511))-(S4511)*((S4511)*(V4511)-(U4511)*(T4511))+(LTP3!$D$6)*((S4511)*(R4511)-(P4511)*(T4511)))/W4511,0)</f>
        <v/>
      </c>
      <c r="AA4511">
        <f>LTP3!$D$7-X4511*LTP3!$D$6-Y4511*U4511-Z4511*V4511</f>
        <v/>
      </c>
      <c r="AB4511">
        <f>IF(AND(F4511,ABS(W4511)&gt;1E-12,Y4511&gt;0,Z4511&gt;0),AA4511,1E+300)</f>
        <v/>
      </c>
    </row>
    <row r="4512">
      <c r="A4512">
        <f>$I$4-$B$5/10+$B$5*15/100</f>
        <v/>
      </c>
      <c r="B4512">
        <f>$J$4-$B$5/10+$B$5*17/100</f>
        <v/>
      </c>
      <c r="C4512">
        <f>SUMPRODUCT(Calc!$K$3:$K$22*(Calc!$G$3:$G$22&lt;=A4512))</f>
        <v/>
      </c>
      <c r="D4512">
        <f>SUMPRODUCT(Calc!$K$3:$K$22*(Calc!$G$3:$G$22&gt;A4512)*(Calc!$G$3:$G$22&lt;B4512))</f>
        <v/>
      </c>
      <c r="E4512">
        <f>SUMPRODUCT(Calc!$K$3:$K$22*(Calc!$G$3:$G$22&gt;=B4512))</f>
        <v/>
      </c>
      <c r="F4512">
        <f>AND(k_n&gt;=5,B4512&gt;A4512+1E-9,C4512&gt;=2,D4512&gt;=1,E4512&gt;=2)</f>
        <v/>
      </c>
      <c r="G4512">
        <f>SUMPRODUCT(Calc!$K$3:$K$22*(Calc!$G$3:$G$22&gt;A4512)*(Calc!$G$3:$G$22-A4512))</f>
        <v/>
      </c>
      <c r="H4512">
        <f>SUMPRODUCT(Calc!$K$3:$K$22*(Calc!$G$3:$G$22&gt;B4512)*(Calc!$G$3:$G$22-B4512))</f>
        <v/>
      </c>
      <c r="I4512">
        <f>SUMPRODUCT(Calc!$K$3:$K$22*(Calc!$G$3:$G$22&gt;A4512)*(Calc!$G$3:$G$22-A4512)^2)</f>
        <v/>
      </c>
      <c r="J4512">
        <f>SUMPRODUCT(Calc!$K$3:$K$22*(Calc!$G$3:$G$22&gt;B4512)*(Calc!$G$3:$G$22-B4512)^2)</f>
        <v/>
      </c>
      <c r="K4512">
        <f>SUMPRODUCT(Calc!$K$3:$K$22*(Calc!$G$3:$G$22&gt;A4512)*(Calc!$G$3:$G$22-A4512)*(Calc!$G$3:$G$22&gt;B4512)*(Calc!$G$3:$G$22-B4512))</f>
        <v/>
      </c>
      <c r="L4512">
        <f>SUMPRODUCT(Calc!$K$3:$K$22*(Calc!$G$3:$G$22&gt;A4512)*(Calc!$G$3:$G$22-A4512)*Calc!$G$3:$G$22)</f>
        <v/>
      </c>
      <c r="M4512">
        <f>SUMPRODUCT(Calc!$K$3:$K$22*(Calc!$G$3:$G$22&gt;B4512)*(Calc!$G$3:$G$22-B4512)*Calc!$G$3:$G$22)</f>
        <v/>
      </c>
      <c r="N4512">
        <f>SUMPRODUCT(Calc!$K$3:$K$22*(Calc!$G$3:$G$22&gt;A4512)*(Calc!$G$3:$G$22-A4512)*Calc!$I$3:$I$22)</f>
        <v/>
      </c>
      <c r="O4512">
        <f>SUMPRODUCT(Calc!$K$3:$K$22*(Calc!$G$3:$G$22&gt;B4512)*(Calc!$G$3:$G$22-B4512)*Calc!$I$3:$I$22)</f>
        <v/>
      </c>
      <c r="P4512">
        <f>I4512-G4512^2/k_n</f>
        <v/>
      </c>
      <c r="Q4512">
        <f>J4512-H4512^2/k_n</f>
        <v/>
      </c>
      <c r="R4512">
        <f>K4512-G4512*H4512/k_n</f>
        <v/>
      </c>
      <c r="S4512">
        <f>L4512-LTP3!$D$3*G4512/k_n</f>
        <v/>
      </c>
      <c r="T4512">
        <f>M4512-LTP3!$D$3*H4512/k_n</f>
        <v/>
      </c>
      <c r="U4512">
        <f>N4512-G4512*LTP3!$D$4/k_n</f>
        <v/>
      </c>
      <c r="V4512">
        <f>O4512-H4512*LTP3!$D$4/k_n</f>
        <v/>
      </c>
      <c r="W4512">
        <f>((LTP3!$D$5)*((P4512)*(Q4512)-(R4512)*(R4512))-(S4512)*((S4512)*(Q4512)-(R4512)*(T4512))+(T4512)*((S4512)*(R4512)-(P4512)*(T4512)))</f>
        <v/>
      </c>
      <c r="X4512">
        <f>IF(ABS(W4512)&gt;1E-12,((LTP3!$D$6)*((P4512)*(Q4512)-(R4512)*(R4512))-(S4512)*((U4512)*(Q4512)-(R4512)*(V4512))+(T4512)*((U4512)*(R4512)-(P4512)*(V4512)))/W4512,0)</f>
        <v/>
      </c>
      <c r="Y4512">
        <f>IF(ABS(W4512)&gt;1E-12,((LTP3!$D$5)*((U4512)*(Q4512)-(R4512)*(V4512))-(LTP3!$D$6)*((S4512)*(Q4512)-(R4512)*(T4512))+(T4512)*((S4512)*(V4512)-(U4512)*(T4512)))/W4512,0)</f>
        <v/>
      </c>
      <c r="Z4512">
        <f>IF(ABS(W4512)&gt;1E-12,((LTP3!$D$5)*((P4512)*(V4512)-(U4512)*(R4512))-(S4512)*((S4512)*(V4512)-(U4512)*(T4512))+(LTP3!$D$6)*((S4512)*(R4512)-(P4512)*(T4512)))/W4512,0)</f>
        <v/>
      </c>
      <c r="AA4512">
        <f>LTP3!$D$7-X4512*LTP3!$D$6-Y4512*U4512-Z4512*V4512</f>
        <v/>
      </c>
      <c r="AB4512">
        <f>IF(AND(F4512,ABS(W4512)&gt;1E-12,Y4512&gt;0,Z4512&gt;0),AA4512,1E+300)</f>
        <v/>
      </c>
    </row>
    <row r="4513">
      <c r="A4513">
        <f>$I$4-$B$5/10+$B$5*15/100</f>
        <v/>
      </c>
      <c r="B4513">
        <f>$J$4-$B$5/10+$B$5*18/100</f>
        <v/>
      </c>
      <c r="C4513">
        <f>SUMPRODUCT(Calc!$K$3:$K$22*(Calc!$G$3:$G$22&lt;=A4513))</f>
        <v/>
      </c>
      <c r="D4513">
        <f>SUMPRODUCT(Calc!$K$3:$K$22*(Calc!$G$3:$G$22&gt;A4513)*(Calc!$G$3:$G$22&lt;B4513))</f>
        <v/>
      </c>
      <c r="E4513">
        <f>SUMPRODUCT(Calc!$K$3:$K$22*(Calc!$G$3:$G$22&gt;=B4513))</f>
        <v/>
      </c>
      <c r="F4513">
        <f>AND(k_n&gt;=5,B4513&gt;A4513+1E-9,C4513&gt;=2,D4513&gt;=1,E4513&gt;=2)</f>
        <v/>
      </c>
      <c r="G4513">
        <f>SUMPRODUCT(Calc!$K$3:$K$22*(Calc!$G$3:$G$22&gt;A4513)*(Calc!$G$3:$G$22-A4513))</f>
        <v/>
      </c>
      <c r="H4513">
        <f>SUMPRODUCT(Calc!$K$3:$K$22*(Calc!$G$3:$G$22&gt;B4513)*(Calc!$G$3:$G$22-B4513))</f>
        <v/>
      </c>
      <c r="I4513">
        <f>SUMPRODUCT(Calc!$K$3:$K$22*(Calc!$G$3:$G$22&gt;A4513)*(Calc!$G$3:$G$22-A4513)^2)</f>
        <v/>
      </c>
      <c r="J4513">
        <f>SUMPRODUCT(Calc!$K$3:$K$22*(Calc!$G$3:$G$22&gt;B4513)*(Calc!$G$3:$G$22-B4513)^2)</f>
        <v/>
      </c>
      <c r="K4513">
        <f>SUMPRODUCT(Calc!$K$3:$K$22*(Calc!$G$3:$G$22&gt;A4513)*(Calc!$G$3:$G$22-A4513)*(Calc!$G$3:$G$22&gt;B4513)*(Calc!$G$3:$G$22-B4513))</f>
        <v/>
      </c>
      <c r="L4513">
        <f>SUMPRODUCT(Calc!$K$3:$K$22*(Calc!$G$3:$G$22&gt;A4513)*(Calc!$G$3:$G$22-A4513)*Calc!$G$3:$G$22)</f>
        <v/>
      </c>
      <c r="M4513">
        <f>SUMPRODUCT(Calc!$K$3:$K$22*(Calc!$G$3:$G$22&gt;B4513)*(Calc!$G$3:$G$22-B4513)*Calc!$G$3:$G$22)</f>
        <v/>
      </c>
      <c r="N4513">
        <f>SUMPRODUCT(Calc!$K$3:$K$22*(Calc!$G$3:$G$22&gt;A4513)*(Calc!$G$3:$G$22-A4513)*Calc!$I$3:$I$22)</f>
        <v/>
      </c>
      <c r="O4513">
        <f>SUMPRODUCT(Calc!$K$3:$K$22*(Calc!$G$3:$G$22&gt;B4513)*(Calc!$G$3:$G$22-B4513)*Calc!$I$3:$I$22)</f>
        <v/>
      </c>
      <c r="P4513">
        <f>I4513-G4513^2/k_n</f>
        <v/>
      </c>
      <c r="Q4513">
        <f>J4513-H4513^2/k_n</f>
        <v/>
      </c>
      <c r="R4513">
        <f>K4513-G4513*H4513/k_n</f>
        <v/>
      </c>
      <c r="S4513">
        <f>L4513-LTP3!$D$3*G4513/k_n</f>
        <v/>
      </c>
      <c r="T4513">
        <f>M4513-LTP3!$D$3*H4513/k_n</f>
        <v/>
      </c>
      <c r="U4513">
        <f>N4513-G4513*LTP3!$D$4/k_n</f>
        <v/>
      </c>
      <c r="V4513">
        <f>O4513-H4513*LTP3!$D$4/k_n</f>
        <v/>
      </c>
      <c r="W4513">
        <f>((LTP3!$D$5)*((P4513)*(Q4513)-(R4513)*(R4513))-(S4513)*((S4513)*(Q4513)-(R4513)*(T4513))+(T4513)*((S4513)*(R4513)-(P4513)*(T4513)))</f>
        <v/>
      </c>
      <c r="X4513">
        <f>IF(ABS(W4513)&gt;1E-12,((LTP3!$D$6)*((P4513)*(Q4513)-(R4513)*(R4513))-(S4513)*((U4513)*(Q4513)-(R4513)*(V4513))+(T4513)*((U4513)*(R4513)-(P4513)*(V4513)))/W4513,0)</f>
        <v/>
      </c>
      <c r="Y4513">
        <f>IF(ABS(W4513)&gt;1E-12,((LTP3!$D$5)*((U4513)*(Q4513)-(R4513)*(V4513))-(LTP3!$D$6)*((S4513)*(Q4513)-(R4513)*(T4513))+(T4513)*((S4513)*(V4513)-(U4513)*(T4513)))/W4513,0)</f>
        <v/>
      </c>
      <c r="Z4513">
        <f>IF(ABS(W4513)&gt;1E-12,((LTP3!$D$5)*((P4513)*(V4513)-(U4513)*(R4513))-(S4513)*((S4513)*(V4513)-(U4513)*(T4513))+(LTP3!$D$6)*((S4513)*(R4513)-(P4513)*(T4513)))/W4513,0)</f>
        <v/>
      </c>
      <c r="AA4513">
        <f>LTP3!$D$7-X4513*LTP3!$D$6-Y4513*U4513-Z4513*V4513</f>
        <v/>
      </c>
      <c r="AB4513">
        <f>IF(AND(F4513,ABS(W4513)&gt;1E-12,Y4513&gt;0,Z4513&gt;0),AA4513,1E+300)</f>
        <v/>
      </c>
    </row>
    <row r="4514">
      <c r="A4514">
        <f>$I$4-$B$5/10+$B$5*15/100</f>
        <v/>
      </c>
      <c r="B4514">
        <f>$J$4-$B$5/10+$B$5*19/100</f>
        <v/>
      </c>
      <c r="C4514">
        <f>SUMPRODUCT(Calc!$K$3:$K$22*(Calc!$G$3:$G$22&lt;=A4514))</f>
        <v/>
      </c>
      <c r="D4514">
        <f>SUMPRODUCT(Calc!$K$3:$K$22*(Calc!$G$3:$G$22&gt;A4514)*(Calc!$G$3:$G$22&lt;B4514))</f>
        <v/>
      </c>
      <c r="E4514">
        <f>SUMPRODUCT(Calc!$K$3:$K$22*(Calc!$G$3:$G$22&gt;=B4514))</f>
        <v/>
      </c>
      <c r="F4514">
        <f>AND(k_n&gt;=5,B4514&gt;A4514+1E-9,C4514&gt;=2,D4514&gt;=1,E4514&gt;=2)</f>
        <v/>
      </c>
      <c r="G4514">
        <f>SUMPRODUCT(Calc!$K$3:$K$22*(Calc!$G$3:$G$22&gt;A4514)*(Calc!$G$3:$G$22-A4514))</f>
        <v/>
      </c>
      <c r="H4514">
        <f>SUMPRODUCT(Calc!$K$3:$K$22*(Calc!$G$3:$G$22&gt;B4514)*(Calc!$G$3:$G$22-B4514))</f>
        <v/>
      </c>
      <c r="I4514">
        <f>SUMPRODUCT(Calc!$K$3:$K$22*(Calc!$G$3:$G$22&gt;A4514)*(Calc!$G$3:$G$22-A4514)^2)</f>
        <v/>
      </c>
      <c r="J4514">
        <f>SUMPRODUCT(Calc!$K$3:$K$22*(Calc!$G$3:$G$22&gt;B4514)*(Calc!$G$3:$G$22-B4514)^2)</f>
        <v/>
      </c>
      <c r="K4514">
        <f>SUMPRODUCT(Calc!$K$3:$K$22*(Calc!$G$3:$G$22&gt;A4514)*(Calc!$G$3:$G$22-A4514)*(Calc!$G$3:$G$22&gt;B4514)*(Calc!$G$3:$G$22-B4514))</f>
        <v/>
      </c>
      <c r="L4514">
        <f>SUMPRODUCT(Calc!$K$3:$K$22*(Calc!$G$3:$G$22&gt;A4514)*(Calc!$G$3:$G$22-A4514)*Calc!$G$3:$G$22)</f>
        <v/>
      </c>
      <c r="M4514">
        <f>SUMPRODUCT(Calc!$K$3:$K$22*(Calc!$G$3:$G$22&gt;B4514)*(Calc!$G$3:$G$22-B4514)*Calc!$G$3:$G$22)</f>
        <v/>
      </c>
      <c r="N4514">
        <f>SUMPRODUCT(Calc!$K$3:$K$22*(Calc!$G$3:$G$22&gt;A4514)*(Calc!$G$3:$G$22-A4514)*Calc!$I$3:$I$22)</f>
        <v/>
      </c>
      <c r="O4514">
        <f>SUMPRODUCT(Calc!$K$3:$K$22*(Calc!$G$3:$G$22&gt;B4514)*(Calc!$G$3:$G$22-B4514)*Calc!$I$3:$I$22)</f>
        <v/>
      </c>
      <c r="P4514">
        <f>I4514-G4514^2/k_n</f>
        <v/>
      </c>
      <c r="Q4514">
        <f>J4514-H4514^2/k_n</f>
        <v/>
      </c>
      <c r="R4514">
        <f>K4514-G4514*H4514/k_n</f>
        <v/>
      </c>
      <c r="S4514">
        <f>L4514-LTP3!$D$3*G4514/k_n</f>
        <v/>
      </c>
      <c r="T4514">
        <f>M4514-LTP3!$D$3*H4514/k_n</f>
        <v/>
      </c>
      <c r="U4514">
        <f>N4514-G4514*LTP3!$D$4/k_n</f>
        <v/>
      </c>
      <c r="V4514">
        <f>O4514-H4514*LTP3!$D$4/k_n</f>
        <v/>
      </c>
      <c r="W4514">
        <f>((LTP3!$D$5)*((P4514)*(Q4514)-(R4514)*(R4514))-(S4514)*((S4514)*(Q4514)-(R4514)*(T4514))+(T4514)*((S4514)*(R4514)-(P4514)*(T4514)))</f>
        <v/>
      </c>
      <c r="X4514">
        <f>IF(ABS(W4514)&gt;1E-12,((LTP3!$D$6)*((P4514)*(Q4514)-(R4514)*(R4514))-(S4514)*((U4514)*(Q4514)-(R4514)*(V4514))+(T4514)*((U4514)*(R4514)-(P4514)*(V4514)))/W4514,0)</f>
        <v/>
      </c>
      <c r="Y4514">
        <f>IF(ABS(W4514)&gt;1E-12,((LTP3!$D$5)*((U4514)*(Q4514)-(R4514)*(V4514))-(LTP3!$D$6)*((S4514)*(Q4514)-(R4514)*(T4514))+(T4514)*((S4514)*(V4514)-(U4514)*(T4514)))/W4514,0)</f>
        <v/>
      </c>
      <c r="Z4514">
        <f>IF(ABS(W4514)&gt;1E-12,((LTP3!$D$5)*((P4514)*(V4514)-(U4514)*(R4514))-(S4514)*((S4514)*(V4514)-(U4514)*(T4514))+(LTP3!$D$6)*((S4514)*(R4514)-(P4514)*(T4514)))/W4514,0)</f>
        <v/>
      </c>
      <c r="AA4514">
        <f>LTP3!$D$7-X4514*LTP3!$D$6-Y4514*U4514-Z4514*V4514</f>
        <v/>
      </c>
      <c r="AB4514">
        <f>IF(AND(F4514,ABS(W4514)&gt;1E-12,Y4514&gt;0,Z4514&gt;0),AA4514,1E+300)</f>
        <v/>
      </c>
    </row>
    <row r="4515">
      <c r="A4515">
        <f>$I$4-$B$5/10+$B$5*15/100</f>
        <v/>
      </c>
      <c r="B4515">
        <f>$J$4-$B$5/10+$B$5*20/100</f>
        <v/>
      </c>
      <c r="C4515">
        <f>SUMPRODUCT(Calc!$K$3:$K$22*(Calc!$G$3:$G$22&lt;=A4515))</f>
        <v/>
      </c>
      <c r="D4515">
        <f>SUMPRODUCT(Calc!$K$3:$K$22*(Calc!$G$3:$G$22&gt;A4515)*(Calc!$G$3:$G$22&lt;B4515))</f>
        <v/>
      </c>
      <c r="E4515">
        <f>SUMPRODUCT(Calc!$K$3:$K$22*(Calc!$G$3:$G$22&gt;=B4515))</f>
        <v/>
      </c>
      <c r="F4515">
        <f>AND(k_n&gt;=5,B4515&gt;A4515+1E-9,C4515&gt;=2,D4515&gt;=1,E4515&gt;=2)</f>
        <v/>
      </c>
      <c r="G4515">
        <f>SUMPRODUCT(Calc!$K$3:$K$22*(Calc!$G$3:$G$22&gt;A4515)*(Calc!$G$3:$G$22-A4515))</f>
        <v/>
      </c>
      <c r="H4515">
        <f>SUMPRODUCT(Calc!$K$3:$K$22*(Calc!$G$3:$G$22&gt;B4515)*(Calc!$G$3:$G$22-B4515))</f>
        <v/>
      </c>
      <c r="I4515">
        <f>SUMPRODUCT(Calc!$K$3:$K$22*(Calc!$G$3:$G$22&gt;A4515)*(Calc!$G$3:$G$22-A4515)^2)</f>
        <v/>
      </c>
      <c r="J4515">
        <f>SUMPRODUCT(Calc!$K$3:$K$22*(Calc!$G$3:$G$22&gt;B4515)*(Calc!$G$3:$G$22-B4515)^2)</f>
        <v/>
      </c>
      <c r="K4515">
        <f>SUMPRODUCT(Calc!$K$3:$K$22*(Calc!$G$3:$G$22&gt;A4515)*(Calc!$G$3:$G$22-A4515)*(Calc!$G$3:$G$22&gt;B4515)*(Calc!$G$3:$G$22-B4515))</f>
        <v/>
      </c>
      <c r="L4515">
        <f>SUMPRODUCT(Calc!$K$3:$K$22*(Calc!$G$3:$G$22&gt;A4515)*(Calc!$G$3:$G$22-A4515)*Calc!$G$3:$G$22)</f>
        <v/>
      </c>
      <c r="M4515">
        <f>SUMPRODUCT(Calc!$K$3:$K$22*(Calc!$G$3:$G$22&gt;B4515)*(Calc!$G$3:$G$22-B4515)*Calc!$G$3:$G$22)</f>
        <v/>
      </c>
      <c r="N4515">
        <f>SUMPRODUCT(Calc!$K$3:$K$22*(Calc!$G$3:$G$22&gt;A4515)*(Calc!$G$3:$G$22-A4515)*Calc!$I$3:$I$22)</f>
        <v/>
      </c>
      <c r="O4515">
        <f>SUMPRODUCT(Calc!$K$3:$K$22*(Calc!$G$3:$G$22&gt;B4515)*(Calc!$G$3:$G$22-B4515)*Calc!$I$3:$I$22)</f>
        <v/>
      </c>
      <c r="P4515">
        <f>I4515-G4515^2/k_n</f>
        <v/>
      </c>
      <c r="Q4515">
        <f>J4515-H4515^2/k_n</f>
        <v/>
      </c>
      <c r="R4515">
        <f>K4515-G4515*H4515/k_n</f>
        <v/>
      </c>
      <c r="S4515">
        <f>L4515-LTP3!$D$3*G4515/k_n</f>
        <v/>
      </c>
      <c r="T4515">
        <f>M4515-LTP3!$D$3*H4515/k_n</f>
        <v/>
      </c>
      <c r="U4515">
        <f>N4515-G4515*LTP3!$D$4/k_n</f>
        <v/>
      </c>
      <c r="V4515">
        <f>O4515-H4515*LTP3!$D$4/k_n</f>
        <v/>
      </c>
      <c r="W4515">
        <f>((LTP3!$D$5)*((P4515)*(Q4515)-(R4515)*(R4515))-(S4515)*((S4515)*(Q4515)-(R4515)*(T4515))+(T4515)*((S4515)*(R4515)-(P4515)*(T4515)))</f>
        <v/>
      </c>
      <c r="X4515">
        <f>IF(ABS(W4515)&gt;1E-12,((LTP3!$D$6)*((P4515)*(Q4515)-(R4515)*(R4515))-(S4515)*((U4515)*(Q4515)-(R4515)*(V4515))+(T4515)*((U4515)*(R4515)-(P4515)*(V4515)))/W4515,0)</f>
        <v/>
      </c>
      <c r="Y4515">
        <f>IF(ABS(W4515)&gt;1E-12,((LTP3!$D$5)*((U4515)*(Q4515)-(R4515)*(V4515))-(LTP3!$D$6)*((S4515)*(Q4515)-(R4515)*(T4515))+(T4515)*((S4515)*(V4515)-(U4515)*(T4515)))/W4515,0)</f>
        <v/>
      </c>
      <c r="Z4515">
        <f>IF(ABS(W4515)&gt;1E-12,((LTP3!$D$5)*((P4515)*(V4515)-(U4515)*(R4515))-(S4515)*((S4515)*(V4515)-(U4515)*(T4515))+(LTP3!$D$6)*((S4515)*(R4515)-(P4515)*(T4515)))/W4515,0)</f>
        <v/>
      </c>
      <c r="AA4515">
        <f>LTP3!$D$7-X4515*LTP3!$D$6-Y4515*U4515-Z4515*V4515</f>
        <v/>
      </c>
      <c r="AB4515">
        <f>IF(AND(F4515,ABS(W4515)&gt;1E-12,Y4515&gt;0,Z4515&gt;0),AA4515,1E+300)</f>
        <v/>
      </c>
    </row>
    <row r="4516">
      <c r="A4516">
        <f>$I$4-$B$5/10+$B$5*16/100</f>
        <v/>
      </c>
      <c r="B4516">
        <f>$J$4-$B$5/10+$B$5*0/100</f>
        <v/>
      </c>
      <c r="C4516">
        <f>SUMPRODUCT(Calc!$K$3:$K$22*(Calc!$G$3:$G$22&lt;=A4516))</f>
        <v/>
      </c>
      <c r="D4516">
        <f>SUMPRODUCT(Calc!$K$3:$K$22*(Calc!$G$3:$G$22&gt;A4516)*(Calc!$G$3:$G$22&lt;B4516))</f>
        <v/>
      </c>
      <c r="E4516">
        <f>SUMPRODUCT(Calc!$K$3:$K$22*(Calc!$G$3:$G$22&gt;=B4516))</f>
        <v/>
      </c>
      <c r="F4516">
        <f>AND(k_n&gt;=5,B4516&gt;A4516+1E-9,C4516&gt;=2,D4516&gt;=1,E4516&gt;=2)</f>
        <v/>
      </c>
      <c r="G4516">
        <f>SUMPRODUCT(Calc!$K$3:$K$22*(Calc!$G$3:$G$22&gt;A4516)*(Calc!$G$3:$G$22-A4516))</f>
        <v/>
      </c>
      <c r="H4516">
        <f>SUMPRODUCT(Calc!$K$3:$K$22*(Calc!$G$3:$G$22&gt;B4516)*(Calc!$G$3:$G$22-B4516))</f>
        <v/>
      </c>
      <c r="I4516">
        <f>SUMPRODUCT(Calc!$K$3:$K$22*(Calc!$G$3:$G$22&gt;A4516)*(Calc!$G$3:$G$22-A4516)^2)</f>
        <v/>
      </c>
      <c r="J4516">
        <f>SUMPRODUCT(Calc!$K$3:$K$22*(Calc!$G$3:$G$22&gt;B4516)*(Calc!$G$3:$G$22-B4516)^2)</f>
        <v/>
      </c>
      <c r="K4516">
        <f>SUMPRODUCT(Calc!$K$3:$K$22*(Calc!$G$3:$G$22&gt;A4516)*(Calc!$G$3:$G$22-A4516)*(Calc!$G$3:$G$22&gt;B4516)*(Calc!$G$3:$G$22-B4516))</f>
        <v/>
      </c>
      <c r="L4516">
        <f>SUMPRODUCT(Calc!$K$3:$K$22*(Calc!$G$3:$G$22&gt;A4516)*(Calc!$G$3:$G$22-A4516)*Calc!$G$3:$G$22)</f>
        <v/>
      </c>
      <c r="M4516">
        <f>SUMPRODUCT(Calc!$K$3:$K$22*(Calc!$G$3:$G$22&gt;B4516)*(Calc!$G$3:$G$22-B4516)*Calc!$G$3:$G$22)</f>
        <v/>
      </c>
      <c r="N4516">
        <f>SUMPRODUCT(Calc!$K$3:$K$22*(Calc!$G$3:$G$22&gt;A4516)*(Calc!$G$3:$G$22-A4516)*Calc!$I$3:$I$22)</f>
        <v/>
      </c>
      <c r="O4516">
        <f>SUMPRODUCT(Calc!$K$3:$K$22*(Calc!$G$3:$G$22&gt;B4516)*(Calc!$G$3:$G$22-B4516)*Calc!$I$3:$I$22)</f>
        <v/>
      </c>
      <c r="P4516">
        <f>I4516-G4516^2/k_n</f>
        <v/>
      </c>
      <c r="Q4516">
        <f>J4516-H4516^2/k_n</f>
        <v/>
      </c>
      <c r="R4516">
        <f>K4516-G4516*H4516/k_n</f>
        <v/>
      </c>
      <c r="S4516">
        <f>L4516-LTP3!$D$3*G4516/k_n</f>
        <v/>
      </c>
      <c r="T4516">
        <f>M4516-LTP3!$D$3*H4516/k_n</f>
        <v/>
      </c>
      <c r="U4516">
        <f>N4516-G4516*LTP3!$D$4/k_n</f>
        <v/>
      </c>
      <c r="V4516">
        <f>O4516-H4516*LTP3!$D$4/k_n</f>
        <v/>
      </c>
      <c r="W4516">
        <f>((LTP3!$D$5)*((P4516)*(Q4516)-(R4516)*(R4516))-(S4516)*((S4516)*(Q4516)-(R4516)*(T4516))+(T4516)*((S4516)*(R4516)-(P4516)*(T4516)))</f>
        <v/>
      </c>
      <c r="X4516">
        <f>IF(ABS(W4516)&gt;1E-12,((LTP3!$D$6)*((P4516)*(Q4516)-(R4516)*(R4516))-(S4516)*((U4516)*(Q4516)-(R4516)*(V4516))+(T4516)*((U4516)*(R4516)-(P4516)*(V4516)))/W4516,0)</f>
        <v/>
      </c>
      <c r="Y4516">
        <f>IF(ABS(W4516)&gt;1E-12,((LTP3!$D$5)*((U4516)*(Q4516)-(R4516)*(V4516))-(LTP3!$D$6)*((S4516)*(Q4516)-(R4516)*(T4516))+(T4516)*((S4516)*(V4516)-(U4516)*(T4516)))/W4516,0)</f>
        <v/>
      </c>
      <c r="Z4516">
        <f>IF(ABS(W4516)&gt;1E-12,((LTP3!$D$5)*((P4516)*(V4516)-(U4516)*(R4516))-(S4516)*((S4516)*(V4516)-(U4516)*(T4516))+(LTP3!$D$6)*((S4516)*(R4516)-(P4516)*(T4516)))/W4516,0)</f>
        <v/>
      </c>
      <c r="AA4516">
        <f>LTP3!$D$7-X4516*LTP3!$D$6-Y4516*U4516-Z4516*V4516</f>
        <v/>
      </c>
      <c r="AB4516">
        <f>IF(AND(F4516,ABS(W4516)&gt;1E-12,Y4516&gt;0,Z4516&gt;0),AA4516,1E+300)</f>
        <v/>
      </c>
    </row>
    <row r="4517">
      <c r="A4517">
        <f>$I$4-$B$5/10+$B$5*16/100</f>
        <v/>
      </c>
      <c r="B4517">
        <f>$J$4-$B$5/10+$B$5*1/100</f>
        <v/>
      </c>
      <c r="C4517">
        <f>SUMPRODUCT(Calc!$K$3:$K$22*(Calc!$G$3:$G$22&lt;=A4517))</f>
        <v/>
      </c>
      <c r="D4517">
        <f>SUMPRODUCT(Calc!$K$3:$K$22*(Calc!$G$3:$G$22&gt;A4517)*(Calc!$G$3:$G$22&lt;B4517))</f>
        <v/>
      </c>
      <c r="E4517">
        <f>SUMPRODUCT(Calc!$K$3:$K$22*(Calc!$G$3:$G$22&gt;=B4517))</f>
        <v/>
      </c>
      <c r="F4517">
        <f>AND(k_n&gt;=5,B4517&gt;A4517+1E-9,C4517&gt;=2,D4517&gt;=1,E4517&gt;=2)</f>
        <v/>
      </c>
      <c r="G4517">
        <f>SUMPRODUCT(Calc!$K$3:$K$22*(Calc!$G$3:$G$22&gt;A4517)*(Calc!$G$3:$G$22-A4517))</f>
        <v/>
      </c>
      <c r="H4517">
        <f>SUMPRODUCT(Calc!$K$3:$K$22*(Calc!$G$3:$G$22&gt;B4517)*(Calc!$G$3:$G$22-B4517))</f>
        <v/>
      </c>
      <c r="I4517">
        <f>SUMPRODUCT(Calc!$K$3:$K$22*(Calc!$G$3:$G$22&gt;A4517)*(Calc!$G$3:$G$22-A4517)^2)</f>
        <v/>
      </c>
      <c r="J4517">
        <f>SUMPRODUCT(Calc!$K$3:$K$22*(Calc!$G$3:$G$22&gt;B4517)*(Calc!$G$3:$G$22-B4517)^2)</f>
        <v/>
      </c>
      <c r="K4517">
        <f>SUMPRODUCT(Calc!$K$3:$K$22*(Calc!$G$3:$G$22&gt;A4517)*(Calc!$G$3:$G$22-A4517)*(Calc!$G$3:$G$22&gt;B4517)*(Calc!$G$3:$G$22-B4517))</f>
        <v/>
      </c>
      <c r="L4517">
        <f>SUMPRODUCT(Calc!$K$3:$K$22*(Calc!$G$3:$G$22&gt;A4517)*(Calc!$G$3:$G$22-A4517)*Calc!$G$3:$G$22)</f>
        <v/>
      </c>
      <c r="M4517">
        <f>SUMPRODUCT(Calc!$K$3:$K$22*(Calc!$G$3:$G$22&gt;B4517)*(Calc!$G$3:$G$22-B4517)*Calc!$G$3:$G$22)</f>
        <v/>
      </c>
      <c r="N4517">
        <f>SUMPRODUCT(Calc!$K$3:$K$22*(Calc!$G$3:$G$22&gt;A4517)*(Calc!$G$3:$G$22-A4517)*Calc!$I$3:$I$22)</f>
        <v/>
      </c>
      <c r="O4517">
        <f>SUMPRODUCT(Calc!$K$3:$K$22*(Calc!$G$3:$G$22&gt;B4517)*(Calc!$G$3:$G$22-B4517)*Calc!$I$3:$I$22)</f>
        <v/>
      </c>
      <c r="P4517">
        <f>I4517-G4517^2/k_n</f>
        <v/>
      </c>
      <c r="Q4517">
        <f>J4517-H4517^2/k_n</f>
        <v/>
      </c>
      <c r="R4517">
        <f>K4517-G4517*H4517/k_n</f>
        <v/>
      </c>
      <c r="S4517">
        <f>L4517-LTP3!$D$3*G4517/k_n</f>
        <v/>
      </c>
      <c r="T4517">
        <f>M4517-LTP3!$D$3*H4517/k_n</f>
        <v/>
      </c>
      <c r="U4517">
        <f>N4517-G4517*LTP3!$D$4/k_n</f>
        <v/>
      </c>
      <c r="V4517">
        <f>O4517-H4517*LTP3!$D$4/k_n</f>
        <v/>
      </c>
      <c r="W4517">
        <f>((LTP3!$D$5)*((P4517)*(Q4517)-(R4517)*(R4517))-(S4517)*((S4517)*(Q4517)-(R4517)*(T4517))+(T4517)*((S4517)*(R4517)-(P4517)*(T4517)))</f>
        <v/>
      </c>
      <c r="X4517">
        <f>IF(ABS(W4517)&gt;1E-12,((LTP3!$D$6)*((P4517)*(Q4517)-(R4517)*(R4517))-(S4517)*((U4517)*(Q4517)-(R4517)*(V4517))+(T4517)*((U4517)*(R4517)-(P4517)*(V4517)))/W4517,0)</f>
        <v/>
      </c>
      <c r="Y4517">
        <f>IF(ABS(W4517)&gt;1E-12,((LTP3!$D$5)*((U4517)*(Q4517)-(R4517)*(V4517))-(LTP3!$D$6)*((S4517)*(Q4517)-(R4517)*(T4517))+(T4517)*((S4517)*(V4517)-(U4517)*(T4517)))/W4517,0)</f>
        <v/>
      </c>
      <c r="Z4517">
        <f>IF(ABS(W4517)&gt;1E-12,((LTP3!$D$5)*((P4517)*(V4517)-(U4517)*(R4517))-(S4517)*((S4517)*(V4517)-(U4517)*(T4517))+(LTP3!$D$6)*((S4517)*(R4517)-(P4517)*(T4517)))/W4517,0)</f>
        <v/>
      </c>
      <c r="AA4517">
        <f>LTP3!$D$7-X4517*LTP3!$D$6-Y4517*U4517-Z4517*V4517</f>
        <v/>
      </c>
      <c r="AB4517">
        <f>IF(AND(F4517,ABS(W4517)&gt;1E-12,Y4517&gt;0,Z4517&gt;0),AA4517,1E+300)</f>
        <v/>
      </c>
    </row>
    <row r="4518">
      <c r="A4518">
        <f>$I$4-$B$5/10+$B$5*16/100</f>
        <v/>
      </c>
      <c r="B4518">
        <f>$J$4-$B$5/10+$B$5*2/100</f>
        <v/>
      </c>
      <c r="C4518">
        <f>SUMPRODUCT(Calc!$K$3:$K$22*(Calc!$G$3:$G$22&lt;=A4518))</f>
        <v/>
      </c>
      <c r="D4518">
        <f>SUMPRODUCT(Calc!$K$3:$K$22*(Calc!$G$3:$G$22&gt;A4518)*(Calc!$G$3:$G$22&lt;B4518))</f>
        <v/>
      </c>
      <c r="E4518">
        <f>SUMPRODUCT(Calc!$K$3:$K$22*(Calc!$G$3:$G$22&gt;=B4518))</f>
        <v/>
      </c>
      <c r="F4518">
        <f>AND(k_n&gt;=5,B4518&gt;A4518+1E-9,C4518&gt;=2,D4518&gt;=1,E4518&gt;=2)</f>
        <v/>
      </c>
      <c r="G4518">
        <f>SUMPRODUCT(Calc!$K$3:$K$22*(Calc!$G$3:$G$22&gt;A4518)*(Calc!$G$3:$G$22-A4518))</f>
        <v/>
      </c>
      <c r="H4518">
        <f>SUMPRODUCT(Calc!$K$3:$K$22*(Calc!$G$3:$G$22&gt;B4518)*(Calc!$G$3:$G$22-B4518))</f>
        <v/>
      </c>
      <c r="I4518">
        <f>SUMPRODUCT(Calc!$K$3:$K$22*(Calc!$G$3:$G$22&gt;A4518)*(Calc!$G$3:$G$22-A4518)^2)</f>
        <v/>
      </c>
      <c r="J4518">
        <f>SUMPRODUCT(Calc!$K$3:$K$22*(Calc!$G$3:$G$22&gt;B4518)*(Calc!$G$3:$G$22-B4518)^2)</f>
        <v/>
      </c>
      <c r="K4518">
        <f>SUMPRODUCT(Calc!$K$3:$K$22*(Calc!$G$3:$G$22&gt;A4518)*(Calc!$G$3:$G$22-A4518)*(Calc!$G$3:$G$22&gt;B4518)*(Calc!$G$3:$G$22-B4518))</f>
        <v/>
      </c>
      <c r="L4518">
        <f>SUMPRODUCT(Calc!$K$3:$K$22*(Calc!$G$3:$G$22&gt;A4518)*(Calc!$G$3:$G$22-A4518)*Calc!$G$3:$G$22)</f>
        <v/>
      </c>
      <c r="M4518">
        <f>SUMPRODUCT(Calc!$K$3:$K$22*(Calc!$G$3:$G$22&gt;B4518)*(Calc!$G$3:$G$22-B4518)*Calc!$G$3:$G$22)</f>
        <v/>
      </c>
      <c r="N4518">
        <f>SUMPRODUCT(Calc!$K$3:$K$22*(Calc!$G$3:$G$22&gt;A4518)*(Calc!$G$3:$G$22-A4518)*Calc!$I$3:$I$22)</f>
        <v/>
      </c>
      <c r="O4518">
        <f>SUMPRODUCT(Calc!$K$3:$K$22*(Calc!$G$3:$G$22&gt;B4518)*(Calc!$G$3:$G$22-B4518)*Calc!$I$3:$I$22)</f>
        <v/>
      </c>
      <c r="P4518">
        <f>I4518-G4518^2/k_n</f>
        <v/>
      </c>
      <c r="Q4518">
        <f>J4518-H4518^2/k_n</f>
        <v/>
      </c>
      <c r="R4518">
        <f>K4518-G4518*H4518/k_n</f>
        <v/>
      </c>
      <c r="S4518">
        <f>L4518-LTP3!$D$3*G4518/k_n</f>
        <v/>
      </c>
      <c r="T4518">
        <f>M4518-LTP3!$D$3*H4518/k_n</f>
        <v/>
      </c>
      <c r="U4518">
        <f>N4518-G4518*LTP3!$D$4/k_n</f>
        <v/>
      </c>
      <c r="V4518">
        <f>O4518-H4518*LTP3!$D$4/k_n</f>
        <v/>
      </c>
      <c r="W4518">
        <f>((LTP3!$D$5)*((P4518)*(Q4518)-(R4518)*(R4518))-(S4518)*((S4518)*(Q4518)-(R4518)*(T4518))+(T4518)*((S4518)*(R4518)-(P4518)*(T4518)))</f>
        <v/>
      </c>
      <c r="X4518">
        <f>IF(ABS(W4518)&gt;1E-12,((LTP3!$D$6)*((P4518)*(Q4518)-(R4518)*(R4518))-(S4518)*((U4518)*(Q4518)-(R4518)*(V4518))+(T4518)*((U4518)*(R4518)-(P4518)*(V4518)))/W4518,0)</f>
        <v/>
      </c>
      <c r="Y4518">
        <f>IF(ABS(W4518)&gt;1E-12,((LTP3!$D$5)*((U4518)*(Q4518)-(R4518)*(V4518))-(LTP3!$D$6)*((S4518)*(Q4518)-(R4518)*(T4518))+(T4518)*((S4518)*(V4518)-(U4518)*(T4518)))/W4518,0)</f>
        <v/>
      </c>
      <c r="Z4518">
        <f>IF(ABS(W4518)&gt;1E-12,((LTP3!$D$5)*((P4518)*(V4518)-(U4518)*(R4518))-(S4518)*((S4518)*(V4518)-(U4518)*(T4518))+(LTP3!$D$6)*((S4518)*(R4518)-(P4518)*(T4518)))/W4518,0)</f>
        <v/>
      </c>
      <c r="AA4518">
        <f>LTP3!$D$7-X4518*LTP3!$D$6-Y4518*U4518-Z4518*V4518</f>
        <v/>
      </c>
      <c r="AB4518">
        <f>IF(AND(F4518,ABS(W4518)&gt;1E-12,Y4518&gt;0,Z4518&gt;0),AA4518,1E+300)</f>
        <v/>
      </c>
    </row>
    <row r="4519">
      <c r="A4519">
        <f>$I$4-$B$5/10+$B$5*16/100</f>
        <v/>
      </c>
      <c r="B4519">
        <f>$J$4-$B$5/10+$B$5*3/100</f>
        <v/>
      </c>
      <c r="C4519">
        <f>SUMPRODUCT(Calc!$K$3:$K$22*(Calc!$G$3:$G$22&lt;=A4519))</f>
        <v/>
      </c>
      <c r="D4519">
        <f>SUMPRODUCT(Calc!$K$3:$K$22*(Calc!$G$3:$G$22&gt;A4519)*(Calc!$G$3:$G$22&lt;B4519))</f>
        <v/>
      </c>
      <c r="E4519">
        <f>SUMPRODUCT(Calc!$K$3:$K$22*(Calc!$G$3:$G$22&gt;=B4519))</f>
        <v/>
      </c>
      <c r="F4519">
        <f>AND(k_n&gt;=5,B4519&gt;A4519+1E-9,C4519&gt;=2,D4519&gt;=1,E4519&gt;=2)</f>
        <v/>
      </c>
      <c r="G4519">
        <f>SUMPRODUCT(Calc!$K$3:$K$22*(Calc!$G$3:$G$22&gt;A4519)*(Calc!$G$3:$G$22-A4519))</f>
        <v/>
      </c>
      <c r="H4519">
        <f>SUMPRODUCT(Calc!$K$3:$K$22*(Calc!$G$3:$G$22&gt;B4519)*(Calc!$G$3:$G$22-B4519))</f>
        <v/>
      </c>
      <c r="I4519">
        <f>SUMPRODUCT(Calc!$K$3:$K$22*(Calc!$G$3:$G$22&gt;A4519)*(Calc!$G$3:$G$22-A4519)^2)</f>
        <v/>
      </c>
      <c r="J4519">
        <f>SUMPRODUCT(Calc!$K$3:$K$22*(Calc!$G$3:$G$22&gt;B4519)*(Calc!$G$3:$G$22-B4519)^2)</f>
        <v/>
      </c>
      <c r="K4519">
        <f>SUMPRODUCT(Calc!$K$3:$K$22*(Calc!$G$3:$G$22&gt;A4519)*(Calc!$G$3:$G$22-A4519)*(Calc!$G$3:$G$22&gt;B4519)*(Calc!$G$3:$G$22-B4519))</f>
        <v/>
      </c>
      <c r="L4519">
        <f>SUMPRODUCT(Calc!$K$3:$K$22*(Calc!$G$3:$G$22&gt;A4519)*(Calc!$G$3:$G$22-A4519)*Calc!$G$3:$G$22)</f>
        <v/>
      </c>
      <c r="M4519">
        <f>SUMPRODUCT(Calc!$K$3:$K$22*(Calc!$G$3:$G$22&gt;B4519)*(Calc!$G$3:$G$22-B4519)*Calc!$G$3:$G$22)</f>
        <v/>
      </c>
      <c r="N4519">
        <f>SUMPRODUCT(Calc!$K$3:$K$22*(Calc!$G$3:$G$22&gt;A4519)*(Calc!$G$3:$G$22-A4519)*Calc!$I$3:$I$22)</f>
        <v/>
      </c>
      <c r="O4519">
        <f>SUMPRODUCT(Calc!$K$3:$K$22*(Calc!$G$3:$G$22&gt;B4519)*(Calc!$G$3:$G$22-B4519)*Calc!$I$3:$I$22)</f>
        <v/>
      </c>
      <c r="P4519">
        <f>I4519-G4519^2/k_n</f>
        <v/>
      </c>
      <c r="Q4519">
        <f>J4519-H4519^2/k_n</f>
        <v/>
      </c>
      <c r="R4519">
        <f>K4519-G4519*H4519/k_n</f>
        <v/>
      </c>
      <c r="S4519">
        <f>L4519-LTP3!$D$3*G4519/k_n</f>
        <v/>
      </c>
      <c r="T4519">
        <f>M4519-LTP3!$D$3*H4519/k_n</f>
        <v/>
      </c>
      <c r="U4519">
        <f>N4519-G4519*LTP3!$D$4/k_n</f>
        <v/>
      </c>
      <c r="V4519">
        <f>O4519-H4519*LTP3!$D$4/k_n</f>
        <v/>
      </c>
      <c r="W4519">
        <f>((LTP3!$D$5)*((P4519)*(Q4519)-(R4519)*(R4519))-(S4519)*((S4519)*(Q4519)-(R4519)*(T4519))+(T4519)*((S4519)*(R4519)-(P4519)*(T4519)))</f>
        <v/>
      </c>
      <c r="X4519">
        <f>IF(ABS(W4519)&gt;1E-12,((LTP3!$D$6)*((P4519)*(Q4519)-(R4519)*(R4519))-(S4519)*((U4519)*(Q4519)-(R4519)*(V4519))+(T4519)*((U4519)*(R4519)-(P4519)*(V4519)))/W4519,0)</f>
        <v/>
      </c>
      <c r="Y4519">
        <f>IF(ABS(W4519)&gt;1E-12,((LTP3!$D$5)*((U4519)*(Q4519)-(R4519)*(V4519))-(LTP3!$D$6)*((S4519)*(Q4519)-(R4519)*(T4519))+(T4519)*((S4519)*(V4519)-(U4519)*(T4519)))/W4519,0)</f>
        <v/>
      </c>
      <c r="Z4519">
        <f>IF(ABS(W4519)&gt;1E-12,((LTP3!$D$5)*((P4519)*(V4519)-(U4519)*(R4519))-(S4519)*((S4519)*(V4519)-(U4519)*(T4519))+(LTP3!$D$6)*((S4519)*(R4519)-(P4519)*(T4519)))/W4519,0)</f>
        <v/>
      </c>
      <c r="AA4519">
        <f>LTP3!$D$7-X4519*LTP3!$D$6-Y4519*U4519-Z4519*V4519</f>
        <v/>
      </c>
      <c r="AB4519">
        <f>IF(AND(F4519,ABS(W4519)&gt;1E-12,Y4519&gt;0,Z4519&gt;0),AA4519,1E+300)</f>
        <v/>
      </c>
    </row>
    <row r="4520">
      <c r="A4520">
        <f>$I$4-$B$5/10+$B$5*16/100</f>
        <v/>
      </c>
      <c r="B4520">
        <f>$J$4-$B$5/10+$B$5*4/100</f>
        <v/>
      </c>
      <c r="C4520">
        <f>SUMPRODUCT(Calc!$K$3:$K$22*(Calc!$G$3:$G$22&lt;=A4520))</f>
        <v/>
      </c>
      <c r="D4520">
        <f>SUMPRODUCT(Calc!$K$3:$K$22*(Calc!$G$3:$G$22&gt;A4520)*(Calc!$G$3:$G$22&lt;B4520))</f>
        <v/>
      </c>
      <c r="E4520">
        <f>SUMPRODUCT(Calc!$K$3:$K$22*(Calc!$G$3:$G$22&gt;=B4520))</f>
        <v/>
      </c>
      <c r="F4520">
        <f>AND(k_n&gt;=5,B4520&gt;A4520+1E-9,C4520&gt;=2,D4520&gt;=1,E4520&gt;=2)</f>
        <v/>
      </c>
      <c r="G4520">
        <f>SUMPRODUCT(Calc!$K$3:$K$22*(Calc!$G$3:$G$22&gt;A4520)*(Calc!$G$3:$G$22-A4520))</f>
        <v/>
      </c>
      <c r="H4520">
        <f>SUMPRODUCT(Calc!$K$3:$K$22*(Calc!$G$3:$G$22&gt;B4520)*(Calc!$G$3:$G$22-B4520))</f>
        <v/>
      </c>
      <c r="I4520">
        <f>SUMPRODUCT(Calc!$K$3:$K$22*(Calc!$G$3:$G$22&gt;A4520)*(Calc!$G$3:$G$22-A4520)^2)</f>
        <v/>
      </c>
      <c r="J4520">
        <f>SUMPRODUCT(Calc!$K$3:$K$22*(Calc!$G$3:$G$22&gt;B4520)*(Calc!$G$3:$G$22-B4520)^2)</f>
        <v/>
      </c>
      <c r="K4520">
        <f>SUMPRODUCT(Calc!$K$3:$K$22*(Calc!$G$3:$G$22&gt;A4520)*(Calc!$G$3:$G$22-A4520)*(Calc!$G$3:$G$22&gt;B4520)*(Calc!$G$3:$G$22-B4520))</f>
        <v/>
      </c>
      <c r="L4520">
        <f>SUMPRODUCT(Calc!$K$3:$K$22*(Calc!$G$3:$G$22&gt;A4520)*(Calc!$G$3:$G$22-A4520)*Calc!$G$3:$G$22)</f>
        <v/>
      </c>
      <c r="M4520">
        <f>SUMPRODUCT(Calc!$K$3:$K$22*(Calc!$G$3:$G$22&gt;B4520)*(Calc!$G$3:$G$22-B4520)*Calc!$G$3:$G$22)</f>
        <v/>
      </c>
      <c r="N4520">
        <f>SUMPRODUCT(Calc!$K$3:$K$22*(Calc!$G$3:$G$22&gt;A4520)*(Calc!$G$3:$G$22-A4520)*Calc!$I$3:$I$22)</f>
        <v/>
      </c>
      <c r="O4520">
        <f>SUMPRODUCT(Calc!$K$3:$K$22*(Calc!$G$3:$G$22&gt;B4520)*(Calc!$G$3:$G$22-B4520)*Calc!$I$3:$I$22)</f>
        <v/>
      </c>
      <c r="P4520">
        <f>I4520-G4520^2/k_n</f>
        <v/>
      </c>
      <c r="Q4520">
        <f>J4520-H4520^2/k_n</f>
        <v/>
      </c>
      <c r="R4520">
        <f>K4520-G4520*H4520/k_n</f>
        <v/>
      </c>
      <c r="S4520">
        <f>L4520-LTP3!$D$3*G4520/k_n</f>
        <v/>
      </c>
      <c r="T4520">
        <f>M4520-LTP3!$D$3*H4520/k_n</f>
        <v/>
      </c>
      <c r="U4520">
        <f>N4520-G4520*LTP3!$D$4/k_n</f>
        <v/>
      </c>
      <c r="V4520">
        <f>O4520-H4520*LTP3!$D$4/k_n</f>
        <v/>
      </c>
      <c r="W4520">
        <f>((LTP3!$D$5)*((P4520)*(Q4520)-(R4520)*(R4520))-(S4520)*((S4520)*(Q4520)-(R4520)*(T4520))+(T4520)*((S4520)*(R4520)-(P4520)*(T4520)))</f>
        <v/>
      </c>
      <c r="X4520">
        <f>IF(ABS(W4520)&gt;1E-12,((LTP3!$D$6)*((P4520)*(Q4520)-(R4520)*(R4520))-(S4520)*((U4520)*(Q4520)-(R4520)*(V4520))+(T4520)*((U4520)*(R4520)-(P4520)*(V4520)))/W4520,0)</f>
        <v/>
      </c>
      <c r="Y4520">
        <f>IF(ABS(W4520)&gt;1E-12,((LTP3!$D$5)*((U4520)*(Q4520)-(R4520)*(V4520))-(LTP3!$D$6)*((S4520)*(Q4520)-(R4520)*(T4520))+(T4520)*((S4520)*(V4520)-(U4520)*(T4520)))/W4520,0)</f>
        <v/>
      </c>
      <c r="Z4520">
        <f>IF(ABS(W4520)&gt;1E-12,((LTP3!$D$5)*((P4520)*(V4520)-(U4520)*(R4520))-(S4520)*((S4520)*(V4520)-(U4520)*(T4520))+(LTP3!$D$6)*((S4520)*(R4520)-(P4520)*(T4520)))/W4520,0)</f>
        <v/>
      </c>
      <c r="AA4520">
        <f>LTP3!$D$7-X4520*LTP3!$D$6-Y4520*U4520-Z4520*V4520</f>
        <v/>
      </c>
      <c r="AB4520">
        <f>IF(AND(F4520,ABS(W4520)&gt;1E-12,Y4520&gt;0,Z4520&gt;0),AA4520,1E+300)</f>
        <v/>
      </c>
    </row>
    <row r="4521">
      <c r="A4521">
        <f>$I$4-$B$5/10+$B$5*16/100</f>
        <v/>
      </c>
      <c r="B4521">
        <f>$J$4-$B$5/10+$B$5*5/100</f>
        <v/>
      </c>
      <c r="C4521">
        <f>SUMPRODUCT(Calc!$K$3:$K$22*(Calc!$G$3:$G$22&lt;=A4521))</f>
        <v/>
      </c>
      <c r="D4521">
        <f>SUMPRODUCT(Calc!$K$3:$K$22*(Calc!$G$3:$G$22&gt;A4521)*(Calc!$G$3:$G$22&lt;B4521))</f>
        <v/>
      </c>
      <c r="E4521">
        <f>SUMPRODUCT(Calc!$K$3:$K$22*(Calc!$G$3:$G$22&gt;=B4521))</f>
        <v/>
      </c>
      <c r="F4521">
        <f>AND(k_n&gt;=5,B4521&gt;A4521+1E-9,C4521&gt;=2,D4521&gt;=1,E4521&gt;=2)</f>
        <v/>
      </c>
      <c r="G4521">
        <f>SUMPRODUCT(Calc!$K$3:$K$22*(Calc!$G$3:$G$22&gt;A4521)*(Calc!$G$3:$G$22-A4521))</f>
        <v/>
      </c>
      <c r="H4521">
        <f>SUMPRODUCT(Calc!$K$3:$K$22*(Calc!$G$3:$G$22&gt;B4521)*(Calc!$G$3:$G$22-B4521))</f>
        <v/>
      </c>
      <c r="I4521">
        <f>SUMPRODUCT(Calc!$K$3:$K$22*(Calc!$G$3:$G$22&gt;A4521)*(Calc!$G$3:$G$22-A4521)^2)</f>
        <v/>
      </c>
      <c r="J4521">
        <f>SUMPRODUCT(Calc!$K$3:$K$22*(Calc!$G$3:$G$22&gt;B4521)*(Calc!$G$3:$G$22-B4521)^2)</f>
        <v/>
      </c>
      <c r="K4521">
        <f>SUMPRODUCT(Calc!$K$3:$K$22*(Calc!$G$3:$G$22&gt;A4521)*(Calc!$G$3:$G$22-A4521)*(Calc!$G$3:$G$22&gt;B4521)*(Calc!$G$3:$G$22-B4521))</f>
        <v/>
      </c>
      <c r="L4521">
        <f>SUMPRODUCT(Calc!$K$3:$K$22*(Calc!$G$3:$G$22&gt;A4521)*(Calc!$G$3:$G$22-A4521)*Calc!$G$3:$G$22)</f>
        <v/>
      </c>
      <c r="M4521">
        <f>SUMPRODUCT(Calc!$K$3:$K$22*(Calc!$G$3:$G$22&gt;B4521)*(Calc!$G$3:$G$22-B4521)*Calc!$G$3:$G$22)</f>
        <v/>
      </c>
      <c r="N4521">
        <f>SUMPRODUCT(Calc!$K$3:$K$22*(Calc!$G$3:$G$22&gt;A4521)*(Calc!$G$3:$G$22-A4521)*Calc!$I$3:$I$22)</f>
        <v/>
      </c>
      <c r="O4521">
        <f>SUMPRODUCT(Calc!$K$3:$K$22*(Calc!$G$3:$G$22&gt;B4521)*(Calc!$G$3:$G$22-B4521)*Calc!$I$3:$I$22)</f>
        <v/>
      </c>
      <c r="P4521">
        <f>I4521-G4521^2/k_n</f>
        <v/>
      </c>
      <c r="Q4521">
        <f>J4521-H4521^2/k_n</f>
        <v/>
      </c>
      <c r="R4521">
        <f>K4521-G4521*H4521/k_n</f>
        <v/>
      </c>
      <c r="S4521">
        <f>L4521-LTP3!$D$3*G4521/k_n</f>
        <v/>
      </c>
      <c r="T4521">
        <f>M4521-LTP3!$D$3*H4521/k_n</f>
        <v/>
      </c>
      <c r="U4521">
        <f>N4521-G4521*LTP3!$D$4/k_n</f>
        <v/>
      </c>
      <c r="V4521">
        <f>O4521-H4521*LTP3!$D$4/k_n</f>
        <v/>
      </c>
      <c r="W4521">
        <f>((LTP3!$D$5)*((P4521)*(Q4521)-(R4521)*(R4521))-(S4521)*((S4521)*(Q4521)-(R4521)*(T4521))+(T4521)*((S4521)*(R4521)-(P4521)*(T4521)))</f>
        <v/>
      </c>
      <c r="X4521">
        <f>IF(ABS(W4521)&gt;1E-12,((LTP3!$D$6)*((P4521)*(Q4521)-(R4521)*(R4521))-(S4521)*((U4521)*(Q4521)-(R4521)*(V4521))+(T4521)*((U4521)*(R4521)-(P4521)*(V4521)))/W4521,0)</f>
        <v/>
      </c>
      <c r="Y4521">
        <f>IF(ABS(W4521)&gt;1E-12,((LTP3!$D$5)*((U4521)*(Q4521)-(R4521)*(V4521))-(LTP3!$D$6)*((S4521)*(Q4521)-(R4521)*(T4521))+(T4521)*((S4521)*(V4521)-(U4521)*(T4521)))/W4521,0)</f>
        <v/>
      </c>
      <c r="Z4521">
        <f>IF(ABS(W4521)&gt;1E-12,((LTP3!$D$5)*((P4521)*(V4521)-(U4521)*(R4521))-(S4521)*((S4521)*(V4521)-(U4521)*(T4521))+(LTP3!$D$6)*((S4521)*(R4521)-(P4521)*(T4521)))/W4521,0)</f>
        <v/>
      </c>
      <c r="AA4521">
        <f>LTP3!$D$7-X4521*LTP3!$D$6-Y4521*U4521-Z4521*V4521</f>
        <v/>
      </c>
      <c r="AB4521">
        <f>IF(AND(F4521,ABS(W4521)&gt;1E-12,Y4521&gt;0,Z4521&gt;0),AA4521,1E+300)</f>
        <v/>
      </c>
    </row>
    <row r="4522">
      <c r="A4522">
        <f>$I$4-$B$5/10+$B$5*16/100</f>
        <v/>
      </c>
      <c r="B4522">
        <f>$J$4-$B$5/10+$B$5*6/100</f>
        <v/>
      </c>
      <c r="C4522">
        <f>SUMPRODUCT(Calc!$K$3:$K$22*(Calc!$G$3:$G$22&lt;=A4522))</f>
        <v/>
      </c>
      <c r="D4522">
        <f>SUMPRODUCT(Calc!$K$3:$K$22*(Calc!$G$3:$G$22&gt;A4522)*(Calc!$G$3:$G$22&lt;B4522))</f>
        <v/>
      </c>
      <c r="E4522">
        <f>SUMPRODUCT(Calc!$K$3:$K$22*(Calc!$G$3:$G$22&gt;=B4522))</f>
        <v/>
      </c>
      <c r="F4522">
        <f>AND(k_n&gt;=5,B4522&gt;A4522+1E-9,C4522&gt;=2,D4522&gt;=1,E4522&gt;=2)</f>
        <v/>
      </c>
      <c r="G4522">
        <f>SUMPRODUCT(Calc!$K$3:$K$22*(Calc!$G$3:$G$22&gt;A4522)*(Calc!$G$3:$G$22-A4522))</f>
        <v/>
      </c>
      <c r="H4522">
        <f>SUMPRODUCT(Calc!$K$3:$K$22*(Calc!$G$3:$G$22&gt;B4522)*(Calc!$G$3:$G$22-B4522))</f>
        <v/>
      </c>
      <c r="I4522">
        <f>SUMPRODUCT(Calc!$K$3:$K$22*(Calc!$G$3:$G$22&gt;A4522)*(Calc!$G$3:$G$22-A4522)^2)</f>
        <v/>
      </c>
      <c r="J4522">
        <f>SUMPRODUCT(Calc!$K$3:$K$22*(Calc!$G$3:$G$22&gt;B4522)*(Calc!$G$3:$G$22-B4522)^2)</f>
        <v/>
      </c>
      <c r="K4522">
        <f>SUMPRODUCT(Calc!$K$3:$K$22*(Calc!$G$3:$G$22&gt;A4522)*(Calc!$G$3:$G$22-A4522)*(Calc!$G$3:$G$22&gt;B4522)*(Calc!$G$3:$G$22-B4522))</f>
        <v/>
      </c>
      <c r="L4522">
        <f>SUMPRODUCT(Calc!$K$3:$K$22*(Calc!$G$3:$G$22&gt;A4522)*(Calc!$G$3:$G$22-A4522)*Calc!$G$3:$G$22)</f>
        <v/>
      </c>
      <c r="M4522">
        <f>SUMPRODUCT(Calc!$K$3:$K$22*(Calc!$G$3:$G$22&gt;B4522)*(Calc!$G$3:$G$22-B4522)*Calc!$G$3:$G$22)</f>
        <v/>
      </c>
      <c r="N4522">
        <f>SUMPRODUCT(Calc!$K$3:$K$22*(Calc!$G$3:$G$22&gt;A4522)*(Calc!$G$3:$G$22-A4522)*Calc!$I$3:$I$22)</f>
        <v/>
      </c>
      <c r="O4522">
        <f>SUMPRODUCT(Calc!$K$3:$K$22*(Calc!$G$3:$G$22&gt;B4522)*(Calc!$G$3:$G$22-B4522)*Calc!$I$3:$I$22)</f>
        <v/>
      </c>
      <c r="P4522">
        <f>I4522-G4522^2/k_n</f>
        <v/>
      </c>
      <c r="Q4522">
        <f>J4522-H4522^2/k_n</f>
        <v/>
      </c>
      <c r="R4522">
        <f>K4522-G4522*H4522/k_n</f>
        <v/>
      </c>
      <c r="S4522">
        <f>L4522-LTP3!$D$3*G4522/k_n</f>
        <v/>
      </c>
      <c r="T4522">
        <f>M4522-LTP3!$D$3*H4522/k_n</f>
        <v/>
      </c>
      <c r="U4522">
        <f>N4522-G4522*LTP3!$D$4/k_n</f>
        <v/>
      </c>
      <c r="V4522">
        <f>O4522-H4522*LTP3!$D$4/k_n</f>
        <v/>
      </c>
      <c r="W4522">
        <f>((LTP3!$D$5)*((P4522)*(Q4522)-(R4522)*(R4522))-(S4522)*((S4522)*(Q4522)-(R4522)*(T4522))+(T4522)*((S4522)*(R4522)-(P4522)*(T4522)))</f>
        <v/>
      </c>
      <c r="X4522">
        <f>IF(ABS(W4522)&gt;1E-12,((LTP3!$D$6)*((P4522)*(Q4522)-(R4522)*(R4522))-(S4522)*((U4522)*(Q4522)-(R4522)*(V4522))+(T4522)*((U4522)*(R4522)-(P4522)*(V4522)))/W4522,0)</f>
        <v/>
      </c>
      <c r="Y4522">
        <f>IF(ABS(W4522)&gt;1E-12,((LTP3!$D$5)*((U4522)*(Q4522)-(R4522)*(V4522))-(LTP3!$D$6)*((S4522)*(Q4522)-(R4522)*(T4522))+(T4522)*((S4522)*(V4522)-(U4522)*(T4522)))/W4522,0)</f>
        <v/>
      </c>
      <c r="Z4522">
        <f>IF(ABS(W4522)&gt;1E-12,((LTP3!$D$5)*((P4522)*(V4522)-(U4522)*(R4522))-(S4522)*((S4522)*(V4522)-(U4522)*(T4522))+(LTP3!$D$6)*((S4522)*(R4522)-(P4522)*(T4522)))/W4522,0)</f>
        <v/>
      </c>
      <c r="AA4522">
        <f>LTP3!$D$7-X4522*LTP3!$D$6-Y4522*U4522-Z4522*V4522</f>
        <v/>
      </c>
      <c r="AB4522">
        <f>IF(AND(F4522,ABS(W4522)&gt;1E-12,Y4522&gt;0,Z4522&gt;0),AA4522,1E+300)</f>
        <v/>
      </c>
    </row>
    <row r="4523">
      <c r="A4523">
        <f>$I$4-$B$5/10+$B$5*16/100</f>
        <v/>
      </c>
      <c r="B4523">
        <f>$J$4-$B$5/10+$B$5*7/100</f>
        <v/>
      </c>
      <c r="C4523">
        <f>SUMPRODUCT(Calc!$K$3:$K$22*(Calc!$G$3:$G$22&lt;=A4523))</f>
        <v/>
      </c>
      <c r="D4523">
        <f>SUMPRODUCT(Calc!$K$3:$K$22*(Calc!$G$3:$G$22&gt;A4523)*(Calc!$G$3:$G$22&lt;B4523))</f>
        <v/>
      </c>
      <c r="E4523">
        <f>SUMPRODUCT(Calc!$K$3:$K$22*(Calc!$G$3:$G$22&gt;=B4523))</f>
        <v/>
      </c>
      <c r="F4523">
        <f>AND(k_n&gt;=5,B4523&gt;A4523+1E-9,C4523&gt;=2,D4523&gt;=1,E4523&gt;=2)</f>
        <v/>
      </c>
      <c r="G4523">
        <f>SUMPRODUCT(Calc!$K$3:$K$22*(Calc!$G$3:$G$22&gt;A4523)*(Calc!$G$3:$G$22-A4523))</f>
        <v/>
      </c>
      <c r="H4523">
        <f>SUMPRODUCT(Calc!$K$3:$K$22*(Calc!$G$3:$G$22&gt;B4523)*(Calc!$G$3:$G$22-B4523))</f>
        <v/>
      </c>
      <c r="I4523">
        <f>SUMPRODUCT(Calc!$K$3:$K$22*(Calc!$G$3:$G$22&gt;A4523)*(Calc!$G$3:$G$22-A4523)^2)</f>
        <v/>
      </c>
      <c r="J4523">
        <f>SUMPRODUCT(Calc!$K$3:$K$22*(Calc!$G$3:$G$22&gt;B4523)*(Calc!$G$3:$G$22-B4523)^2)</f>
        <v/>
      </c>
      <c r="K4523">
        <f>SUMPRODUCT(Calc!$K$3:$K$22*(Calc!$G$3:$G$22&gt;A4523)*(Calc!$G$3:$G$22-A4523)*(Calc!$G$3:$G$22&gt;B4523)*(Calc!$G$3:$G$22-B4523))</f>
        <v/>
      </c>
      <c r="L4523">
        <f>SUMPRODUCT(Calc!$K$3:$K$22*(Calc!$G$3:$G$22&gt;A4523)*(Calc!$G$3:$G$22-A4523)*Calc!$G$3:$G$22)</f>
        <v/>
      </c>
      <c r="M4523">
        <f>SUMPRODUCT(Calc!$K$3:$K$22*(Calc!$G$3:$G$22&gt;B4523)*(Calc!$G$3:$G$22-B4523)*Calc!$G$3:$G$22)</f>
        <v/>
      </c>
      <c r="N4523">
        <f>SUMPRODUCT(Calc!$K$3:$K$22*(Calc!$G$3:$G$22&gt;A4523)*(Calc!$G$3:$G$22-A4523)*Calc!$I$3:$I$22)</f>
        <v/>
      </c>
      <c r="O4523">
        <f>SUMPRODUCT(Calc!$K$3:$K$22*(Calc!$G$3:$G$22&gt;B4523)*(Calc!$G$3:$G$22-B4523)*Calc!$I$3:$I$22)</f>
        <v/>
      </c>
      <c r="P4523">
        <f>I4523-G4523^2/k_n</f>
        <v/>
      </c>
      <c r="Q4523">
        <f>J4523-H4523^2/k_n</f>
        <v/>
      </c>
      <c r="R4523">
        <f>K4523-G4523*H4523/k_n</f>
        <v/>
      </c>
      <c r="S4523">
        <f>L4523-LTP3!$D$3*G4523/k_n</f>
        <v/>
      </c>
      <c r="T4523">
        <f>M4523-LTP3!$D$3*H4523/k_n</f>
        <v/>
      </c>
      <c r="U4523">
        <f>N4523-G4523*LTP3!$D$4/k_n</f>
        <v/>
      </c>
      <c r="V4523">
        <f>O4523-H4523*LTP3!$D$4/k_n</f>
        <v/>
      </c>
      <c r="W4523">
        <f>((LTP3!$D$5)*((P4523)*(Q4523)-(R4523)*(R4523))-(S4523)*((S4523)*(Q4523)-(R4523)*(T4523))+(T4523)*((S4523)*(R4523)-(P4523)*(T4523)))</f>
        <v/>
      </c>
      <c r="X4523">
        <f>IF(ABS(W4523)&gt;1E-12,((LTP3!$D$6)*((P4523)*(Q4523)-(R4523)*(R4523))-(S4523)*((U4523)*(Q4523)-(R4523)*(V4523))+(T4523)*((U4523)*(R4523)-(P4523)*(V4523)))/W4523,0)</f>
        <v/>
      </c>
      <c r="Y4523">
        <f>IF(ABS(W4523)&gt;1E-12,((LTP3!$D$5)*((U4523)*(Q4523)-(R4523)*(V4523))-(LTP3!$D$6)*((S4523)*(Q4523)-(R4523)*(T4523))+(T4523)*((S4523)*(V4523)-(U4523)*(T4523)))/W4523,0)</f>
        <v/>
      </c>
      <c r="Z4523">
        <f>IF(ABS(W4523)&gt;1E-12,((LTP3!$D$5)*((P4523)*(V4523)-(U4523)*(R4523))-(S4523)*((S4523)*(V4523)-(U4523)*(T4523))+(LTP3!$D$6)*((S4523)*(R4523)-(P4523)*(T4523)))/W4523,0)</f>
        <v/>
      </c>
      <c r="AA4523">
        <f>LTP3!$D$7-X4523*LTP3!$D$6-Y4523*U4523-Z4523*V4523</f>
        <v/>
      </c>
      <c r="AB4523">
        <f>IF(AND(F4523,ABS(W4523)&gt;1E-12,Y4523&gt;0,Z4523&gt;0),AA4523,1E+300)</f>
        <v/>
      </c>
    </row>
    <row r="4524">
      <c r="A4524">
        <f>$I$4-$B$5/10+$B$5*16/100</f>
        <v/>
      </c>
      <c r="B4524">
        <f>$J$4-$B$5/10+$B$5*8/100</f>
        <v/>
      </c>
      <c r="C4524">
        <f>SUMPRODUCT(Calc!$K$3:$K$22*(Calc!$G$3:$G$22&lt;=A4524))</f>
        <v/>
      </c>
      <c r="D4524">
        <f>SUMPRODUCT(Calc!$K$3:$K$22*(Calc!$G$3:$G$22&gt;A4524)*(Calc!$G$3:$G$22&lt;B4524))</f>
        <v/>
      </c>
      <c r="E4524">
        <f>SUMPRODUCT(Calc!$K$3:$K$22*(Calc!$G$3:$G$22&gt;=B4524))</f>
        <v/>
      </c>
      <c r="F4524">
        <f>AND(k_n&gt;=5,B4524&gt;A4524+1E-9,C4524&gt;=2,D4524&gt;=1,E4524&gt;=2)</f>
        <v/>
      </c>
      <c r="G4524">
        <f>SUMPRODUCT(Calc!$K$3:$K$22*(Calc!$G$3:$G$22&gt;A4524)*(Calc!$G$3:$G$22-A4524))</f>
        <v/>
      </c>
      <c r="H4524">
        <f>SUMPRODUCT(Calc!$K$3:$K$22*(Calc!$G$3:$G$22&gt;B4524)*(Calc!$G$3:$G$22-B4524))</f>
        <v/>
      </c>
      <c r="I4524">
        <f>SUMPRODUCT(Calc!$K$3:$K$22*(Calc!$G$3:$G$22&gt;A4524)*(Calc!$G$3:$G$22-A4524)^2)</f>
        <v/>
      </c>
      <c r="J4524">
        <f>SUMPRODUCT(Calc!$K$3:$K$22*(Calc!$G$3:$G$22&gt;B4524)*(Calc!$G$3:$G$22-B4524)^2)</f>
        <v/>
      </c>
      <c r="K4524">
        <f>SUMPRODUCT(Calc!$K$3:$K$22*(Calc!$G$3:$G$22&gt;A4524)*(Calc!$G$3:$G$22-A4524)*(Calc!$G$3:$G$22&gt;B4524)*(Calc!$G$3:$G$22-B4524))</f>
        <v/>
      </c>
      <c r="L4524">
        <f>SUMPRODUCT(Calc!$K$3:$K$22*(Calc!$G$3:$G$22&gt;A4524)*(Calc!$G$3:$G$22-A4524)*Calc!$G$3:$G$22)</f>
        <v/>
      </c>
      <c r="M4524">
        <f>SUMPRODUCT(Calc!$K$3:$K$22*(Calc!$G$3:$G$22&gt;B4524)*(Calc!$G$3:$G$22-B4524)*Calc!$G$3:$G$22)</f>
        <v/>
      </c>
      <c r="N4524">
        <f>SUMPRODUCT(Calc!$K$3:$K$22*(Calc!$G$3:$G$22&gt;A4524)*(Calc!$G$3:$G$22-A4524)*Calc!$I$3:$I$22)</f>
        <v/>
      </c>
      <c r="O4524">
        <f>SUMPRODUCT(Calc!$K$3:$K$22*(Calc!$G$3:$G$22&gt;B4524)*(Calc!$G$3:$G$22-B4524)*Calc!$I$3:$I$22)</f>
        <v/>
      </c>
      <c r="P4524">
        <f>I4524-G4524^2/k_n</f>
        <v/>
      </c>
      <c r="Q4524">
        <f>J4524-H4524^2/k_n</f>
        <v/>
      </c>
      <c r="R4524">
        <f>K4524-G4524*H4524/k_n</f>
        <v/>
      </c>
      <c r="S4524">
        <f>L4524-LTP3!$D$3*G4524/k_n</f>
        <v/>
      </c>
      <c r="T4524">
        <f>M4524-LTP3!$D$3*H4524/k_n</f>
        <v/>
      </c>
      <c r="U4524">
        <f>N4524-G4524*LTP3!$D$4/k_n</f>
        <v/>
      </c>
      <c r="V4524">
        <f>O4524-H4524*LTP3!$D$4/k_n</f>
        <v/>
      </c>
      <c r="W4524">
        <f>((LTP3!$D$5)*((P4524)*(Q4524)-(R4524)*(R4524))-(S4524)*((S4524)*(Q4524)-(R4524)*(T4524))+(T4524)*((S4524)*(R4524)-(P4524)*(T4524)))</f>
        <v/>
      </c>
      <c r="X4524">
        <f>IF(ABS(W4524)&gt;1E-12,((LTP3!$D$6)*((P4524)*(Q4524)-(R4524)*(R4524))-(S4524)*((U4524)*(Q4524)-(R4524)*(V4524))+(T4524)*((U4524)*(R4524)-(P4524)*(V4524)))/W4524,0)</f>
        <v/>
      </c>
      <c r="Y4524">
        <f>IF(ABS(W4524)&gt;1E-12,((LTP3!$D$5)*((U4524)*(Q4524)-(R4524)*(V4524))-(LTP3!$D$6)*((S4524)*(Q4524)-(R4524)*(T4524))+(T4524)*((S4524)*(V4524)-(U4524)*(T4524)))/W4524,0)</f>
        <v/>
      </c>
      <c r="Z4524">
        <f>IF(ABS(W4524)&gt;1E-12,((LTP3!$D$5)*((P4524)*(V4524)-(U4524)*(R4524))-(S4524)*((S4524)*(V4524)-(U4524)*(T4524))+(LTP3!$D$6)*((S4524)*(R4524)-(P4524)*(T4524)))/W4524,0)</f>
        <v/>
      </c>
      <c r="AA4524">
        <f>LTP3!$D$7-X4524*LTP3!$D$6-Y4524*U4524-Z4524*V4524</f>
        <v/>
      </c>
      <c r="AB4524">
        <f>IF(AND(F4524,ABS(W4524)&gt;1E-12,Y4524&gt;0,Z4524&gt;0),AA4524,1E+300)</f>
        <v/>
      </c>
    </row>
    <row r="4525">
      <c r="A4525">
        <f>$I$4-$B$5/10+$B$5*16/100</f>
        <v/>
      </c>
      <c r="B4525">
        <f>$J$4-$B$5/10+$B$5*9/100</f>
        <v/>
      </c>
      <c r="C4525">
        <f>SUMPRODUCT(Calc!$K$3:$K$22*(Calc!$G$3:$G$22&lt;=A4525))</f>
        <v/>
      </c>
      <c r="D4525">
        <f>SUMPRODUCT(Calc!$K$3:$K$22*(Calc!$G$3:$G$22&gt;A4525)*(Calc!$G$3:$G$22&lt;B4525))</f>
        <v/>
      </c>
      <c r="E4525">
        <f>SUMPRODUCT(Calc!$K$3:$K$22*(Calc!$G$3:$G$22&gt;=B4525))</f>
        <v/>
      </c>
      <c r="F4525">
        <f>AND(k_n&gt;=5,B4525&gt;A4525+1E-9,C4525&gt;=2,D4525&gt;=1,E4525&gt;=2)</f>
        <v/>
      </c>
      <c r="G4525">
        <f>SUMPRODUCT(Calc!$K$3:$K$22*(Calc!$G$3:$G$22&gt;A4525)*(Calc!$G$3:$G$22-A4525))</f>
        <v/>
      </c>
      <c r="H4525">
        <f>SUMPRODUCT(Calc!$K$3:$K$22*(Calc!$G$3:$G$22&gt;B4525)*(Calc!$G$3:$G$22-B4525))</f>
        <v/>
      </c>
      <c r="I4525">
        <f>SUMPRODUCT(Calc!$K$3:$K$22*(Calc!$G$3:$G$22&gt;A4525)*(Calc!$G$3:$G$22-A4525)^2)</f>
        <v/>
      </c>
      <c r="J4525">
        <f>SUMPRODUCT(Calc!$K$3:$K$22*(Calc!$G$3:$G$22&gt;B4525)*(Calc!$G$3:$G$22-B4525)^2)</f>
        <v/>
      </c>
      <c r="K4525">
        <f>SUMPRODUCT(Calc!$K$3:$K$22*(Calc!$G$3:$G$22&gt;A4525)*(Calc!$G$3:$G$22-A4525)*(Calc!$G$3:$G$22&gt;B4525)*(Calc!$G$3:$G$22-B4525))</f>
        <v/>
      </c>
      <c r="L4525">
        <f>SUMPRODUCT(Calc!$K$3:$K$22*(Calc!$G$3:$G$22&gt;A4525)*(Calc!$G$3:$G$22-A4525)*Calc!$G$3:$G$22)</f>
        <v/>
      </c>
      <c r="M4525">
        <f>SUMPRODUCT(Calc!$K$3:$K$22*(Calc!$G$3:$G$22&gt;B4525)*(Calc!$G$3:$G$22-B4525)*Calc!$G$3:$G$22)</f>
        <v/>
      </c>
      <c r="N4525">
        <f>SUMPRODUCT(Calc!$K$3:$K$22*(Calc!$G$3:$G$22&gt;A4525)*(Calc!$G$3:$G$22-A4525)*Calc!$I$3:$I$22)</f>
        <v/>
      </c>
      <c r="O4525">
        <f>SUMPRODUCT(Calc!$K$3:$K$22*(Calc!$G$3:$G$22&gt;B4525)*(Calc!$G$3:$G$22-B4525)*Calc!$I$3:$I$22)</f>
        <v/>
      </c>
      <c r="P4525">
        <f>I4525-G4525^2/k_n</f>
        <v/>
      </c>
      <c r="Q4525">
        <f>J4525-H4525^2/k_n</f>
        <v/>
      </c>
      <c r="R4525">
        <f>K4525-G4525*H4525/k_n</f>
        <v/>
      </c>
      <c r="S4525">
        <f>L4525-LTP3!$D$3*G4525/k_n</f>
        <v/>
      </c>
      <c r="T4525">
        <f>M4525-LTP3!$D$3*H4525/k_n</f>
        <v/>
      </c>
      <c r="U4525">
        <f>N4525-G4525*LTP3!$D$4/k_n</f>
        <v/>
      </c>
      <c r="V4525">
        <f>O4525-H4525*LTP3!$D$4/k_n</f>
        <v/>
      </c>
      <c r="W4525">
        <f>((LTP3!$D$5)*((P4525)*(Q4525)-(R4525)*(R4525))-(S4525)*((S4525)*(Q4525)-(R4525)*(T4525))+(T4525)*((S4525)*(R4525)-(P4525)*(T4525)))</f>
        <v/>
      </c>
      <c r="X4525">
        <f>IF(ABS(W4525)&gt;1E-12,((LTP3!$D$6)*((P4525)*(Q4525)-(R4525)*(R4525))-(S4525)*((U4525)*(Q4525)-(R4525)*(V4525))+(T4525)*((U4525)*(R4525)-(P4525)*(V4525)))/W4525,0)</f>
        <v/>
      </c>
      <c r="Y4525">
        <f>IF(ABS(W4525)&gt;1E-12,((LTP3!$D$5)*((U4525)*(Q4525)-(R4525)*(V4525))-(LTP3!$D$6)*((S4525)*(Q4525)-(R4525)*(T4525))+(T4525)*((S4525)*(V4525)-(U4525)*(T4525)))/W4525,0)</f>
        <v/>
      </c>
      <c r="Z4525">
        <f>IF(ABS(W4525)&gt;1E-12,((LTP3!$D$5)*((P4525)*(V4525)-(U4525)*(R4525))-(S4525)*((S4525)*(V4525)-(U4525)*(T4525))+(LTP3!$D$6)*((S4525)*(R4525)-(P4525)*(T4525)))/W4525,0)</f>
        <v/>
      </c>
      <c r="AA4525">
        <f>LTP3!$D$7-X4525*LTP3!$D$6-Y4525*U4525-Z4525*V4525</f>
        <v/>
      </c>
      <c r="AB4525">
        <f>IF(AND(F4525,ABS(W4525)&gt;1E-12,Y4525&gt;0,Z4525&gt;0),AA4525,1E+300)</f>
        <v/>
      </c>
    </row>
    <row r="4526">
      <c r="A4526">
        <f>$I$4-$B$5/10+$B$5*16/100</f>
        <v/>
      </c>
      <c r="B4526">
        <f>$J$4-$B$5/10+$B$5*10/100</f>
        <v/>
      </c>
      <c r="C4526">
        <f>SUMPRODUCT(Calc!$K$3:$K$22*(Calc!$G$3:$G$22&lt;=A4526))</f>
        <v/>
      </c>
      <c r="D4526">
        <f>SUMPRODUCT(Calc!$K$3:$K$22*(Calc!$G$3:$G$22&gt;A4526)*(Calc!$G$3:$G$22&lt;B4526))</f>
        <v/>
      </c>
      <c r="E4526">
        <f>SUMPRODUCT(Calc!$K$3:$K$22*(Calc!$G$3:$G$22&gt;=B4526))</f>
        <v/>
      </c>
      <c r="F4526">
        <f>AND(k_n&gt;=5,B4526&gt;A4526+1E-9,C4526&gt;=2,D4526&gt;=1,E4526&gt;=2)</f>
        <v/>
      </c>
      <c r="G4526">
        <f>SUMPRODUCT(Calc!$K$3:$K$22*(Calc!$G$3:$G$22&gt;A4526)*(Calc!$G$3:$G$22-A4526))</f>
        <v/>
      </c>
      <c r="H4526">
        <f>SUMPRODUCT(Calc!$K$3:$K$22*(Calc!$G$3:$G$22&gt;B4526)*(Calc!$G$3:$G$22-B4526))</f>
        <v/>
      </c>
      <c r="I4526">
        <f>SUMPRODUCT(Calc!$K$3:$K$22*(Calc!$G$3:$G$22&gt;A4526)*(Calc!$G$3:$G$22-A4526)^2)</f>
        <v/>
      </c>
      <c r="J4526">
        <f>SUMPRODUCT(Calc!$K$3:$K$22*(Calc!$G$3:$G$22&gt;B4526)*(Calc!$G$3:$G$22-B4526)^2)</f>
        <v/>
      </c>
      <c r="K4526">
        <f>SUMPRODUCT(Calc!$K$3:$K$22*(Calc!$G$3:$G$22&gt;A4526)*(Calc!$G$3:$G$22-A4526)*(Calc!$G$3:$G$22&gt;B4526)*(Calc!$G$3:$G$22-B4526))</f>
        <v/>
      </c>
      <c r="L4526">
        <f>SUMPRODUCT(Calc!$K$3:$K$22*(Calc!$G$3:$G$22&gt;A4526)*(Calc!$G$3:$G$22-A4526)*Calc!$G$3:$G$22)</f>
        <v/>
      </c>
      <c r="M4526">
        <f>SUMPRODUCT(Calc!$K$3:$K$22*(Calc!$G$3:$G$22&gt;B4526)*(Calc!$G$3:$G$22-B4526)*Calc!$G$3:$G$22)</f>
        <v/>
      </c>
      <c r="N4526">
        <f>SUMPRODUCT(Calc!$K$3:$K$22*(Calc!$G$3:$G$22&gt;A4526)*(Calc!$G$3:$G$22-A4526)*Calc!$I$3:$I$22)</f>
        <v/>
      </c>
      <c r="O4526">
        <f>SUMPRODUCT(Calc!$K$3:$K$22*(Calc!$G$3:$G$22&gt;B4526)*(Calc!$G$3:$G$22-B4526)*Calc!$I$3:$I$22)</f>
        <v/>
      </c>
      <c r="P4526">
        <f>I4526-G4526^2/k_n</f>
        <v/>
      </c>
      <c r="Q4526">
        <f>J4526-H4526^2/k_n</f>
        <v/>
      </c>
      <c r="R4526">
        <f>K4526-G4526*H4526/k_n</f>
        <v/>
      </c>
      <c r="S4526">
        <f>L4526-LTP3!$D$3*G4526/k_n</f>
        <v/>
      </c>
      <c r="T4526">
        <f>M4526-LTP3!$D$3*H4526/k_n</f>
        <v/>
      </c>
      <c r="U4526">
        <f>N4526-G4526*LTP3!$D$4/k_n</f>
        <v/>
      </c>
      <c r="V4526">
        <f>O4526-H4526*LTP3!$D$4/k_n</f>
        <v/>
      </c>
      <c r="W4526">
        <f>((LTP3!$D$5)*((P4526)*(Q4526)-(R4526)*(R4526))-(S4526)*((S4526)*(Q4526)-(R4526)*(T4526))+(T4526)*((S4526)*(R4526)-(P4526)*(T4526)))</f>
        <v/>
      </c>
      <c r="X4526">
        <f>IF(ABS(W4526)&gt;1E-12,((LTP3!$D$6)*((P4526)*(Q4526)-(R4526)*(R4526))-(S4526)*((U4526)*(Q4526)-(R4526)*(V4526))+(T4526)*((U4526)*(R4526)-(P4526)*(V4526)))/W4526,0)</f>
        <v/>
      </c>
      <c r="Y4526">
        <f>IF(ABS(W4526)&gt;1E-12,((LTP3!$D$5)*((U4526)*(Q4526)-(R4526)*(V4526))-(LTP3!$D$6)*((S4526)*(Q4526)-(R4526)*(T4526))+(T4526)*((S4526)*(V4526)-(U4526)*(T4526)))/W4526,0)</f>
        <v/>
      </c>
      <c r="Z4526">
        <f>IF(ABS(W4526)&gt;1E-12,((LTP3!$D$5)*((P4526)*(V4526)-(U4526)*(R4526))-(S4526)*((S4526)*(V4526)-(U4526)*(T4526))+(LTP3!$D$6)*((S4526)*(R4526)-(P4526)*(T4526)))/W4526,0)</f>
        <v/>
      </c>
      <c r="AA4526">
        <f>LTP3!$D$7-X4526*LTP3!$D$6-Y4526*U4526-Z4526*V4526</f>
        <v/>
      </c>
      <c r="AB4526">
        <f>IF(AND(F4526,ABS(W4526)&gt;1E-12,Y4526&gt;0,Z4526&gt;0),AA4526,1E+300)</f>
        <v/>
      </c>
    </row>
    <row r="4527">
      <c r="A4527">
        <f>$I$4-$B$5/10+$B$5*16/100</f>
        <v/>
      </c>
      <c r="B4527">
        <f>$J$4-$B$5/10+$B$5*11/100</f>
        <v/>
      </c>
      <c r="C4527">
        <f>SUMPRODUCT(Calc!$K$3:$K$22*(Calc!$G$3:$G$22&lt;=A4527))</f>
        <v/>
      </c>
      <c r="D4527">
        <f>SUMPRODUCT(Calc!$K$3:$K$22*(Calc!$G$3:$G$22&gt;A4527)*(Calc!$G$3:$G$22&lt;B4527))</f>
        <v/>
      </c>
      <c r="E4527">
        <f>SUMPRODUCT(Calc!$K$3:$K$22*(Calc!$G$3:$G$22&gt;=B4527))</f>
        <v/>
      </c>
      <c r="F4527">
        <f>AND(k_n&gt;=5,B4527&gt;A4527+1E-9,C4527&gt;=2,D4527&gt;=1,E4527&gt;=2)</f>
        <v/>
      </c>
      <c r="G4527">
        <f>SUMPRODUCT(Calc!$K$3:$K$22*(Calc!$G$3:$G$22&gt;A4527)*(Calc!$G$3:$G$22-A4527))</f>
        <v/>
      </c>
      <c r="H4527">
        <f>SUMPRODUCT(Calc!$K$3:$K$22*(Calc!$G$3:$G$22&gt;B4527)*(Calc!$G$3:$G$22-B4527))</f>
        <v/>
      </c>
      <c r="I4527">
        <f>SUMPRODUCT(Calc!$K$3:$K$22*(Calc!$G$3:$G$22&gt;A4527)*(Calc!$G$3:$G$22-A4527)^2)</f>
        <v/>
      </c>
      <c r="J4527">
        <f>SUMPRODUCT(Calc!$K$3:$K$22*(Calc!$G$3:$G$22&gt;B4527)*(Calc!$G$3:$G$22-B4527)^2)</f>
        <v/>
      </c>
      <c r="K4527">
        <f>SUMPRODUCT(Calc!$K$3:$K$22*(Calc!$G$3:$G$22&gt;A4527)*(Calc!$G$3:$G$22-A4527)*(Calc!$G$3:$G$22&gt;B4527)*(Calc!$G$3:$G$22-B4527))</f>
        <v/>
      </c>
      <c r="L4527">
        <f>SUMPRODUCT(Calc!$K$3:$K$22*(Calc!$G$3:$G$22&gt;A4527)*(Calc!$G$3:$G$22-A4527)*Calc!$G$3:$G$22)</f>
        <v/>
      </c>
      <c r="M4527">
        <f>SUMPRODUCT(Calc!$K$3:$K$22*(Calc!$G$3:$G$22&gt;B4527)*(Calc!$G$3:$G$22-B4527)*Calc!$G$3:$G$22)</f>
        <v/>
      </c>
      <c r="N4527">
        <f>SUMPRODUCT(Calc!$K$3:$K$22*(Calc!$G$3:$G$22&gt;A4527)*(Calc!$G$3:$G$22-A4527)*Calc!$I$3:$I$22)</f>
        <v/>
      </c>
      <c r="O4527">
        <f>SUMPRODUCT(Calc!$K$3:$K$22*(Calc!$G$3:$G$22&gt;B4527)*(Calc!$G$3:$G$22-B4527)*Calc!$I$3:$I$22)</f>
        <v/>
      </c>
      <c r="P4527">
        <f>I4527-G4527^2/k_n</f>
        <v/>
      </c>
      <c r="Q4527">
        <f>J4527-H4527^2/k_n</f>
        <v/>
      </c>
      <c r="R4527">
        <f>K4527-G4527*H4527/k_n</f>
        <v/>
      </c>
      <c r="S4527">
        <f>L4527-LTP3!$D$3*G4527/k_n</f>
        <v/>
      </c>
      <c r="T4527">
        <f>M4527-LTP3!$D$3*H4527/k_n</f>
        <v/>
      </c>
      <c r="U4527">
        <f>N4527-G4527*LTP3!$D$4/k_n</f>
        <v/>
      </c>
      <c r="V4527">
        <f>O4527-H4527*LTP3!$D$4/k_n</f>
        <v/>
      </c>
      <c r="W4527">
        <f>((LTP3!$D$5)*((P4527)*(Q4527)-(R4527)*(R4527))-(S4527)*((S4527)*(Q4527)-(R4527)*(T4527))+(T4527)*((S4527)*(R4527)-(P4527)*(T4527)))</f>
        <v/>
      </c>
      <c r="X4527">
        <f>IF(ABS(W4527)&gt;1E-12,((LTP3!$D$6)*((P4527)*(Q4527)-(R4527)*(R4527))-(S4527)*((U4527)*(Q4527)-(R4527)*(V4527))+(T4527)*((U4527)*(R4527)-(P4527)*(V4527)))/W4527,0)</f>
        <v/>
      </c>
      <c r="Y4527">
        <f>IF(ABS(W4527)&gt;1E-12,((LTP3!$D$5)*((U4527)*(Q4527)-(R4527)*(V4527))-(LTP3!$D$6)*((S4527)*(Q4527)-(R4527)*(T4527))+(T4527)*((S4527)*(V4527)-(U4527)*(T4527)))/W4527,0)</f>
        <v/>
      </c>
      <c r="Z4527">
        <f>IF(ABS(W4527)&gt;1E-12,((LTP3!$D$5)*((P4527)*(V4527)-(U4527)*(R4527))-(S4527)*((S4527)*(V4527)-(U4527)*(T4527))+(LTP3!$D$6)*((S4527)*(R4527)-(P4527)*(T4527)))/W4527,0)</f>
        <v/>
      </c>
      <c r="AA4527">
        <f>LTP3!$D$7-X4527*LTP3!$D$6-Y4527*U4527-Z4527*V4527</f>
        <v/>
      </c>
      <c r="AB4527">
        <f>IF(AND(F4527,ABS(W4527)&gt;1E-12,Y4527&gt;0,Z4527&gt;0),AA4527,1E+300)</f>
        <v/>
      </c>
    </row>
    <row r="4528">
      <c r="A4528">
        <f>$I$4-$B$5/10+$B$5*16/100</f>
        <v/>
      </c>
      <c r="B4528">
        <f>$J$4-$B$5/10+$B$5*12/100</f>
        <v/>
      </c>
      <c r="C4528">
        <f>SUMPRODUCT(Calc!$K$3:$K$22*(Calc!$G$3:$G$22&lt;=A4528))</f>
        <v/>
      </c>
      <c r="D4528">
        <f>SUMPRODUCT(Calc!$K$3:$K$22*(Calc!$G$3:$G$22&gt;A4528)*(Calc!$G$3:$G$22&lt;B4528))</f>
        <v/>
      </c>
      <c r="E4528">
        <f>SUMPRODUCT(Calc!$K$3:$K$22*(Calc!$G$3:$G$22&gt;=B4528))</f>
        <v/>
      </c>
      <c r="F4528">
        <f>AND(k_n&gt;=5,B4528&gt;A4528+1E-9,C4528&gt;=2,D4528&gt;=1,E4528&gt;=2)</f>
        <v/>
      </c>
      <c r="G4528">
        <f>SUMPRODUCT(Calc!$K$3:$K$22*(Calc!$G$3:$G$22&gt;A4528)*(Calc!$G$3:$G$22-A4528))</f>
        <v/>
      </c>
      <c r="H4528">
        <f>SUMPRODUCT(Calc!$K$3:$K$22*(Calc!$G$3:$G$22&gt;B4528)*(Calc!$G$3:$G$22-B4528))</f>
        <v/>
      </c>
      <c r="I4528">
        <f>SUMPRODUCT(Calc!$K$3:$K$22*(Calc!$G$3:$G$22&gt;A4528)*(Calc!$G$3:$G$22-A4528)^2)</f>
        <v/>
      </c>
      <c r="J4528">
        <f>SUMPRODUCT(Calc!$K$3:$K$22*(Calc!$G$3:$G$22&gt;B4528)*(Calc!$G$3:$G$22-B4528)^2)</f>
        <v/>
      </c>
      <c r="K4528">
        <f>SUMPRODUCT(Calc!$K$3:$K$22*(Calc!$G$3:$G$22&gt;A4528)*(Calc!$G$3:$G$22-A4528)*(Calc!$G$3:$G$22&gt;B4528)*(Calc!$G$3:$G$22-B4528))</f>
        <v/>
      </c>
      <c r="L4528">
        <f>SUMPRODUCT(Calc!$K$3:$K$22*(Calc!$G$3:$G$22&gt;A4528)*(Calc!$G$3:$G$22-A4528)*Calc!$G$3:$G$22)</f>
        <v/>
      </c>
      <c r="M4528">
        <f>SUMPRODUCT(Calc!$K$3:$K$22*(Calc!$G$3:$G$22&gt;B4528)*(Calc!$G$3:$G$22-B4528)*Calc!$G$3:$G$22)</f>
        <v/>
      </c>
      <c r="N4528">
        <f>SUMPRODUCT(Calc!$K$3:$K$22*(Calc!$G$3:$G$22&gt;A4528)*(Calc!$G$3:$G$22-A4528)*Calc!$I$3:$I$22)</f>
        <v/>
      </c>
      <c r="O4528">
        <f>SUMPRODUCT(Calc!$K$3:$K$22*(Calc!$G$3:$G$22&gt;B4528)*(Calc!$G$3:$G$22-B4528)*Calc!$I$3:$I$22)</f>
        <v/>
      </c>
      <c r="P4528">
        <f>I4528-G4528^2/k_n</f>
        <v/>
      </c>
      <c r="Q4528">
        <f>J4528-H4528^2/k_n</f>
        <v/>
      </c>
      <c r="R4528">
        <f>K4528-G4528*H4528/k_n</f>
        <v/>
      </c>
      <c r="S4528">
        <f>L4528-LTP3!$D$3*G4528/k_n</f>
        <v/>
      </c>
      <c r="T4528">
        <f>M4528-LTP3!$D$3*H4528/k_n</f>
        <v/>
      </c>
      <c r="U4528">
        <f>N4528-G4528*LTP3!$D$4/k_n</f>
        <v/>
      </c>
      <c r="V4528">
        <f>O4528-H4528*LTP3!$D$4/k_n</f>
        <v/>
      </c>
      <c r="W4528">
        <f>((LTP3!$D$5)*((P4528)*(Q4528)-(R4528)*(R4528))-(S4528)*((S4528)*(Q4528)-(R4528)*(T4528))+(T4528)*((S4528)*(R4528)-(P4528)*(T4528)))</f>
        <v/>
      </c>
      <c r="X4528">
        <f>IF(ABS(W4528)&gt;1E-12,((LTP3!$D$6)*((P4528)*(Q4528)-(R4528)*(R4528))-(S4528)*((U4528)*(Q4528)-(R4528)*(V4528))+(T4528)*((U4528)*(R4528)-(P4528)*(V4528)))/W4528,0)</f>
        <v/>
      </c>
      <c r="Y4528">
        <f>IF(ABS(W4528)&gt;1E-12,((LTP3!$D$5)*((U4528)*(Q4528)-(R4528)*(V4528))-(LTP3!$D$6)*((S4528)*(Q4528)-(R4528)*(T4528))+(T4528)*((S4528)*(V4528)-(U4528)*(T4528)))/W4528,0)</f>
        <v/>
      </c>
      <c r="Z4528">
        <f>IF(ABS(W4528)&gt;1E-12,((LTP3!$D$5)*((P4528)*(V4528)-(U4528)*(R4528))-(S4528)*((S4528)*(V4528)-(U4528)*(T4528))+(LTP3!$D$6)*((S4528)*(R4528)-(P4528)*(T4528)))/W4528,0)</f>
        <v/>
      </c>
      <c r="AA4528">
        <f>LTP3!$D$7-X4528*LTP3!$D$6-Y4528*U4528-Z4528*V4528</f>
        <v/>
      </c>
      <c r="AB4528">
        <f>IF(AND(F4528,ABS(W4528)&gt;1E-12,Y4528&gt;0,Z4528&gt;0),AA4528,1E+300)</f>
        <v/>
      </c>
    </row>
    <row r="4529">
      <c r="A4529">
        <f>$I$4-$B$5/10+$B$5*16/100</f>
        <v/>
      </c>
      <c r="B4529">
        <f>$J$4-$B$5/10+$B$5*13/100</f>
        <v/>
      </c>
      <c r="C4529">
        <f>SUMPRODUCT(Calc!$K$3:$K$22*(Calc!$G$3:$G$22&lt;=A4529))</f>
        <v/>
      </c>
      <c r="D4529">
        <f>SUMPRODUCT(Calc!$K$3:$K$22*(Calc!$G$3:$G$22&gt;A4529)*(Calc!$G$3:$G$22&lt;B4529))</f>
        <v/>
      </c>
      <c r="E4529">
        <f>SUMPRODUCT(Calc!$K$3:$K$22*(Calc!$G$3:$G$22&gt;=B4529))</f>
        <v/>
      </c>
      <c r="F4529">
        <f>AND(k_n&gt;=5,B4529&gt;A4529+1E-9,C4529&gt;=2,D4529&gt;=1,E4529&gt;=2)</f>
        <v/>
      </c>
      <c r="G4529">
        <f>SUMPRODUCT(Calc!$K$3:$K$22*(Calc!$G$3:$G$22&gt;A4529)*(Calc!$G$3:$G$22-A4529))</f>
        <v/>
      </c>
      <c r="H4529">
        <f>SUMPRODUCT(Calc!$K$3:$K$22*(Calc!$G$3:$G$22&gt;B4529)*(Calc!$G$3:$G$22-B4529))</f>
        <v/>
      </c>
      <c r="I4529">
        <f>SUMPRODUCT(Calc!$K$3:$K$22*(Calc!$G$3:$G$22&gt;A4529)*(Calc!$G$3:$G$22-A4529)^2)</f>
        <v/>
      </c>
      <c r="J4529">
        <f>SUMPRODUCT(Calc!$K$3:$K$22*(Calc!$G$3:$G$22&gt;B4529)*(Calc!$G$3:$G$22-B4529)^2)</f>
        <v/>
      </c>
      <c r="K4529">
        <f>SUMPRODUCT(Calc!$K$3:$K$22*(Calc!$G$3:$G$22&gt;A4529)*(Calc!$G$3:$G$22-A4529)*(Calc!$G$3:$G$22&gt;B4529)*(Calc!$G$3:$G$22-B4529))</f>
        <v/>
      </c>
      <c r="L4529">
        <f>SUMPRODUCT(Calc!$K$3:$K$22*(Calc!$G$3:$G$22&gt;A4529)*(Calc!$G$3:$G$22-A4529)*Calc!$G$3:$G$22)</f>
        <v/>
      </c>
      <c r="M4529">
        <f>SUMPRODUCT(Calc!$K$3:$K$22*(Calc!$G$3:$G$22&gt;B4529)*(Calc!$G$3:$G$22-B4529)*Calc!$G$3:$G$22)</f>
        <v/>
      </c>
      <c r="N4529">
        <f>SUMPRODUCT(Calc!$K$3:$K$22*(Calc!$G$3:$G$22&gt;A4529)*(Calc!$G$3:$G$22-A4529)*Calc!$I$3:$I$22)</f>
        <v/>
      </c>
      <c r="O4529">
        <f>SUMPRODUCT(Calc!$K$3:$K$22*(Calc!$G$3:$G$22&gt;B4529)*(Calc!$G$3:$G$22-B4529)*Calc!$I$3:$I$22)</f>
        <v/>
      </c>
      <c r="P4529">
        <f>I4529-G4529^2/k_n</f>
        <v/>
      </c>
      <c r="Q4529">
        <f>J4529-H4529^2/k_n</f>
        <v/>
      </c>
      <c r="R4529">
        <f>K4529-G4529*H4529/k_n</f>
        <v/>
      </c>
      <c r="S4529">
        <f>L4529-LTP3!$D$3*G4529/k_n</f>
        <v/>
      </c>
      <c r="T4529">
        <f>M4529-LTP3!$D$3*H4529/k_n</f>
        <v/>
      </c>
      <c r="U4529">
        <f>N4529-G4529*LTP3!$D$4/k_n</f>
        <v/>
      </c>
      <c r="V4529">
        <f>O4529-H4529*LTP3!$D$4/k_n</f>
        <v/>
      </c>
      <c r="W4529">
        <f>((LTP3!$D$5)*((P4529)*(Q4529)-(R4529)*(R4529))-(S4529)*((S4529)*(Q4529)-(R4529)*(T4529))+(T4529)*((S4529)*(R4529)-(P4529)*(T4529)))</f>
        <v/>
      </c>
      <c r="X4529">
        <f>IF(ABS(W4529)&gt;1E-12,((LTP3!$D$6)*((P4529)*(Q4529)-(R4529)*(R4529))-(S4529)*((U4529)*(Q4529)-(R4529)*(V4529))+(T4529)*((U4529)*(R4529)-(P4529)*(V4529)))/W4529,0)</f>
        <v/>
      </c>
      <c r="Y4529">
        <f>IF(ABS(W4529)&gt;1E-12,((LTP3!$D$5)*((U4529)*(Q4529)-(R4529)*(V4529))-(LTP3!$D$6)*((S4529)*(Q4529)-(R4529)*(T4529))+(T4529)*((S4529)*(V4529)-(U4529)*(T4529)))/W4529,0)</f>
        <v/>
      </c>
      <c r="Z4529">
        <f>IF(ABS(W4529)&gt;1E-12,((LTP3!$D$5)*((P4529)*(V4529)-(U4529)*(R4529))-(S4529)*((S4529)*(V4529)-(U4529)*(T4529))+(LTP3!$D$6)*((S4529)*(R4529)-(P4529)*(T4529)))/W4529,0)</f>
        <v/>
      </c>
      <c r="AA4529">
        <f>LTP3!$D$7-X4529*LTP3!$D$6-Y4529*U4529-Z4529*V4529</f>
        <v/>
      </c>
      <c r="AB4529">
        <f>IF(AND(F4529,ABS(W4529)&gt;1E-12,Y4529&gt;0,Z4529&gt;0),AA4529,1E+300)</f>
        <v/>
      </c>
    </row>
    <row r="4530">
      <c r="A4530">
        <f>$I$4-$B$5/10+$B$5*16/100</f>
        <v/>
      </c>
      <c r="B4530">
        <f>$J$4-$B$5/10+$B$5*14/100</f>
        <v/>
      </c>
      <c r="C4530">
        <f>SUMPRODUCT(Calc!$K$3:$K$22*(Calc!$G$3:$G$22&lt;=A4530))</f>
        <v/>
      </c>
      <c r="D4530">
        <f>SUMPRODUCT(Calc!$K$3:$K$22*(Calc!$G$3:$G$22&gt;A4530)*(Calc!$G$3:$G$22&lt;B4530))</f>
        <v/>
      </c>
      <c r="E4530">
        <f>SUMPRODUCT(Calc!$K$3:$K$22*(Calc!$G$3:$G$22&gt;=B4530))</f>
        <v/>
      </c>
      <c r="F4530">
        <f>AND(k_n&gt;=5,B4530&gt;A4530+1E-9,C4530&gt;=2,D4530&gt;=1,E4530&gt;=2)</f>
        <v/>
      </c>
      <c r="G4530">
        <f>SUMPRODUCT(Calc!$K$3:$K$22*(Calc!$G$3:$G$22&gt;A4530)*(Calc!$G$3:$G$22-A4530))</f>
        <v/>
      </c>
      <c r="H4530">
        <f>SUMPRODUCT(Calc!$K$3:$K$22*(Calc!$G$3:$G$22&gt;B4530)*(Calc!$G$3:$G$22-B4530))</f>
        <v/>
      </c>
      <c r="I4530">
        <f>SUMPRODUCT(Calc!$K$3:$K$22*(Calc!$G$3:$G$22&gt;A4530)*(Calc!$G$3:$G$22-A4530)^2)</f>
        <v/>
      </c>
      <c r="J4530">
        <f>SUMPRODUCT(Calc!$K$3:$K$22*(Calc!$G$3:$G$22&gt;B4530)*(Calc!$G$3:$G$22-B4530)^2)</f>
        <v/>
      </c>
      <c r="K4530">
        <f>SUMPRODUCT(Calc!$K$3:$K$22*(Calc!$G$3:$G$22&gt;A4530)*(Calc!$G$3:$G$22-A4530)*(Calc!$G$3:$G$22&gt;B4530)*(Calc!$G$3:$G$22-B4530))</f>
        <v/>
      </c>
      <c r="L4530">
        <f>SUMPRODUCT(Calc!$K$3:$K$22*(Calc!$G$3:$G$22&gt;A4530)*(Calc!$G$3:$G$22-A4530)*Calc!$G$3:$G$22)</f>
        <v/>
      </c>
      <c r="M4530">
        <f>SUMPRODUCT(Calc!$K$3:$K$22*(Calc!$G$3:$G$22&gt;B4530)*(Calc!$G$3:$G$22-B4530)*Calc!$G$3:$G$22)</f>
        <v/>
      </c>
      <c r="N4530">
        <f>SUMPRODUCT(Calc!$K$3:$K$22*(Calc!$G$3:$G$22&gt;A4530)*(Calc!$G$3:$G$22-A4530)*Calc!$I$3:$I$22)</f>
        <v/>
      </c>
      <c r="O4530">
        <f>SUMPRODUCT(Calc!$K$3:$K$22*(Calc!$G$3:$G$22&gt;B4530)*(Calc!$G$3:$G$22-B4530)*Calc!$I$3:$I$22)</f>
        <v/>
      </c>
      <c r="P4530">
        <f>I4530-G4530^2/k_n</f>
        <v/>
      </c>
      <c r="Q4530">
        <f>J4530-H4530^2/k_n</f>
        <v/>
      </c>
      <c r="R4530">
        <f>K4530-G4530*H4530/k_n</f>
        <v/>
      </c>
      <c r="S4530">
        <f>L4530-LTP3!$D$3*G4530/k_n</f>
        <v/>
      </c>
      <c r="T4530">
        <f>M4530-LTP3!$D$3*H4530/k_n</f>
        <v/>
      </c>
      <c r="U4530">
        <f>N4530-G4530*LTP3!$D$4/k_n</f>
        <v/>
      </c>
      <c r="V4530">
        <f>O4530-H4530*LTP3!$D$4/k_n</f>
        <v/>
      </c>
      <c r="W4530">
        <f>((LTP3!$D$5)*((P4530)*(Q4530)-(R4530)*(R4530))-(S4530)*((S4530)*(Q4530)-(R4530)*(T4530))+(T4530)*((S4530)*(R4530)-(P4530)*(T4530)))</f>
        <v/>
      </c>
      <c r="X4530">
        <f>IF(ABS(W4530)&gt;1E-12,((LTP3!$D$6)*((P4530)*(Q4530)-(R4530)*(R4530))-(S4530)*((U4530)*(Q4530)-(R4530)*(V4530))+(T4530)*((U4530)*(R4530)-(P4530)*(V4530)))/W4530,0)</f>
        <v/>
      </c>
      <c r="Y4530">
        <f>IF(ABS(W4530)&gt;1E-12,((LTP3!$D$5)*((U4530)*(Q4530)-(R4530)*(V4530))-(LTP3!$D$6)*((S4530)*(Q4530)-(R4530)*(T4530))+(T4530)*((S4530)*(V4530)-(U4530)*(T4530)))/W4530,0)</f>
        <v/>
      </c>
      <c r="Z4530">
        <f>IF(ABS(W4530)&gt;1E-12,((LTP3!$D$5)*((P4530)*(V4530)-(U4530)*(R4530))-(S4530)*((S4530)*(V4530)-(U4530)*(T4530))+(LTP3!$D$6)*((S4530)*(R4530)-(P4530)*(T4530)))/W4530,0)</f>
        <v/>
      </c>
      <c r="AA4530">
        <f>LTP3!$D$7-X4530*LTP3!$D$6-Y4530*U4530-Z4530*V4530</f>
        <v/>
      </c>
      <c r="AB4530">
        <f>IF(AND(F4530,ABS(W4530)&gt;1E-12,Y4530&gt;0,Z4530&gt;0),AA4530,1E+300)</f>
        <v/>
      </c>
    </row>
    <row r="4531">
      <c r="A4531">
        <f>$I$4-$B$5/10+$B$5*16/100</f>
        <v/>
      </c>
      <c r="B4531">
        <f>$J$4-$B$5/10+$B$5*15/100</f>
        <v/>
      </c>
      <c r="C4531">
        <f>SUMPRODUCT(Calc!$K$3:$K$22*(Calc!$G$3:$G$22&lt;=A4531))</f>
        <v/>
      </c>
      <c r="D4531">
        <f>SUMPRODUCT(Calc!$K$3:$K$22*(Calc!$G$3:$G$22&gt;A4531)*(Calc!$G$3:$G$22&lt;B4531))</f>
        <v/>
      </c>
      <c r="E4531">
        <f>SUMPRODUCT(Calc!$K$3:$K$22*(Calc!$G$3:$G$22&gt;=B4531))</f>
        <v/>
      </c>
      <c r="F4531">
        <f>AND(k_n&gt;=5,B4531&gt;A4531+1E-9,C4531&gt;=2,D4531&gt;=1,E4531&gt;=2)</f>
        <v/>
      </c>
      <c r="G4531">
        <f>SUMPRODUCT(Calc!$K$3:$K$22*(Calc!$G$3:$G$22&gt;A4531)*(Calc!$G$3:$G$22-A4531))</f>
        <v/>
      </c>
      <c r="H4531">
        <f>SUMPRODUCT(Calc!$K$3:$K$22*(Calc!$G$3:$G$22&gt;B4531)*(Calc!$G$3:$G$22-B4531))</f>
        <v/>
      </c>
      <c r="I4531">
        <f>SUMPRODUCT(Calc!$K$3:$K$22*(Calc!$G$3:$G$22&gt;A4531)*(Calc!$G$3:$G$22-A4531)^2)</f>
        <v/>
      </c>
      <c r="J4531">
        <f>SUMPRODUCT(Calc!$K$3:$K$22*(Calc!$G$3:$G$22&gt;B4531)*(Calc!$G$3:$G$22-B4531)^2)</f>
        <v/>
      </c>
      <c r="K4531">
        <f>SUMPRODUCT(Calc!$K$3:$K$22*(Calc!$G$3:$G$22&gt;A4531)*(Calc!$G$3:$G$22-A4531)*(Calc!$G$3:$G$22&gt;B4531)*(Calc!$G$3:$G$22-B4531))</f>
        <v/>
      </c>
      <c r="L4531">
        <f>SUMPRODUCT(Calc!$K$3:$K$22*(Calc!$G$3:$G$22&gt;A4531)*(Calc!$G$3:$G$22-A4531)*Calc!$G$3:$G$22)</f>
        <v/>
      </c>
      <c r="M4531">
        <f>SUMPRODUCT(Calc!$K$3:$K$22*(Calc!$G$3:$G$22&gt;B4531)*(Calc!$G$3:$G$22-B4531)*Calc!$G$3:$G$22)</f>
        <v/>
      </c>
      <c r="N4531">
        <f>SUMPRODUCT(Calc!$K$3:$K$22*(Calc!$G$3:$G$22&gt;A4531)*(Calc!$G$3:$G$22-A4531)*Calc!$I$3:$I$22)</f>
        <v/>
      </c>
      <c r="O4531">
        <f>SUMPRODUCT(Calc!$K$3:$K$22*(Calc!$G$3:$G$22&gt;B4531)*(Calc!$G$3:$G$22-B4531)*Calc!$I$3:$I$22)</f>
        <v/>
      </c>
      <c r="P4531">
        <f>I4531-G4531^2/k_n</f>
        <v/>
      </c>
      <c r="Q4531">
        <f>J4531-H4531^2/k_n</f>
        <v/>
      </c>
      <c r="R4531">
        <f>K4531-G4531*H4531/k_n</f>
        <v/>
      </c>
      <c r="S4531">
        <f>L4531-LTP3!$D$3*G4531/k_n</f>
        <v/>
      </c>
      <c r="T4531">
        <f>M4531-LTP3!$D$3*H4531/k_n</f>
        <v/>
      </c>
      <c r="U4531">
        <f>N4531-G4531*LTP3!$D$4/k_n</f>
        <v/>
      </c>
      <c r="V4531">
        <f>O4531-H4531*LTP3!$D$4/k_n</f>
        <v/>
      </c>
      <c r="W4531">
        <f>((LTP3!$D$5)*((P4531)*(Q4531)-(R4531)*(R4531))-(S4531)*((S4531)*(Q4531)-(R4531)*(T4531))+(T4531)*((S4531)*(R4531)-(P4531)*(T4531)))</f>
        <v/>
      </c>
      <c r="X4531">
        <f>IF(ABS(W4531)&gt;1E-12,((LTP3!$D$6)*((P4531)*(Q4531)-(R4531)*(R4531))-(S4531)*((U4531)*(Q4531)-(R4531)*(V4531))+(T4531)*((U4531)*(R4531)-(P4531)*(V4531)))/W4531,0)</f>
        <v/>
      </c>
      <c r="Y4531">
        <f>IF(ABS(W4531)&gt;1E-12,((LTP3!$D$5)*((U4531)*(Q4531)-(R4531)*(V4531))-(LTP3!$D$6)*((S4531)*(Q4531)-(R4531)*(T4531))+(T4531)*((S4531)*(V4531)-(U4531)*(T4531)))/W4531,0)</f>
        <v/>
      </c>
      <c r="Z4531">
        <f>IF(ABS(W4531)&gt;1E-12,((LTP3!$D$5)*((P4531)*(V4531)-(U4531)*(R4531))-(S4531)*((S4531)*(V4531)-(U4531)*(T4531))+(LTP3!$D$6)*((S4531)*(R4531)-(P4531)*(T4531)))/W4531,0)</f>
        <v/>
      </c>
      <c r="AA4531">
        <f>LTP3!$D$7-X4531*LTP3!$D$6-Y4531*U4531-Z4531*V4531</f>
        <v/>
      </c>
      <c r="AB4531">
        <f>IF(AND(F4531,ABS(W4531)&gt;1E-12,Y4531&gt;0,Z4531&gt;0),AA4531,1E+300)</f>
        <v/>
      </c>
    </row>
    <row r="4532">
      <c r="A4532">
        <f>$I$4-$B$5/10+$B$5*16/100</f>
        <v/>
      </c>
      <c r="B4532">
        <f>$J$4-$B$5/10+$B$5*16/100</f>
        <v/>
      </c>
      <c r="C4532">
        <f>SUMPRODUCT(Calc!$K$3:$K$22*(Calc!$G$3:$G$22&lt;=A4532))</f>
        <v/>
      </c>
      <c r="D4532">
        <f>SUMPRODUCT(Calc!$K$3:$K$22*(Calc!$G$3:$G$22&gt;A4532)*(Calc!$G$3:$G$22&lt;B4532))</f>
        <v/>
      </c>
      <c r="E4532">
        <f>SUMPRODUCT(Calc!$K$3:$K$22*(Calc!$G$3:$G$22&gt;=B4532))</f>
        <v/>
      </c>
      <c r="F4532">
        <f>AND(k_n&gt;=5,B4532&gt;A4532+1E-9,C4532&gt;=2,D4532&gt;=1,E4532&gt;=2)</f>
        <v/>
      </c>
      <c r="G4532">
        <f>SUMPRODUCT(Calc!$K$3:$K$22*(Calc!$G$3:$G$22&gt;A4532)*(Calc!$G$3:$G$22-A4532))</f>
        <v/>
      </c>
      <c r="H4532">
        <f>SUMPRODUCT(Calc!$K$3:$K$22*(Calc!$G$3:$G$22&gt;B4532)*(Calc!$G$3:$G$22-B4532))</f>
        <v/>
      </c>
      <c r="I4532">
        <f>SUMPRODUCT(Calc!$K$3:$K$22*(Calc!$G$3:$G$22&gt;A4532)*(Calc!$G$3:$G$22-A4532)^2)</f>
        <v/>
      </c>
      <c r="J4532">
        <f>SUMPRODUCT(Calc!$K$3:$K$22*(Calc!$G$3:$G$22&gt;B4532)*(Calc!$G$3:$G$22-B4532)^2)</f>
        <v/>
      </c>
      <c r="K4532">
        <f>SUMPRODUCT(Calc!$K$3:$K$22*(Calc!$G$3:$G$22&gt;A4532)*(Calc!$G$3:$G$22-A4532)*(Calc!$G$3:$G$22&gt;B4532)*(Calc!$G$3:$G$22-B4532))</f>
        <v/>
      </c>
      <c r="L4532">
        <f>SUMPRODUCT(Calc!$K$3:$K$22*(Calc!$G$3:$G$22&gt;A4532)*(Calc!$G$3:$G$22-A4532)*Calc!$G$3:$G$22)</f>
        <v/>
      </c>
      <c r="M4532">
        <f>SUMPRODUCT(Calc!$K$3:$K$22*(Calc!$G$3:$G$22&gt;B4532)*(Calc!$G$3:$G$22-B4532)*Calc!$G$3:$G$22)</f>
        <v/>
      </c>
      <c r="N4532">
        <f>SUMPRODUCT(Calc!$K$3:$K$22*(Calc!$G$3:$G$22&gt;A4532)*(Calc!$G$3:$G$22-A4532)*Calc!$I$3:$I$22)</f>
        <v/>
      </c>
      <c r="O4532">
        <f>SUMPRODUCT(Calc!$K$3:$K$22*(Calc!$G$3:$G$22&gt;B4532)*(Calc!$G$3:$G$22-B4532)*Calc!$I$3:$I$22)</f>
        <v/>
      </c>
      <c r="P4532">
        <f>I4532-G4532^2/k_n</f>
        <v/>
      </c>
      <c r="Q4532">
        <f>J4532-H4532^2/k_n</f>
        <v/>
      </c>
      <c r="R4532">
        <f>K4532-G4532*H4532/k_n</f>
        <v/>
      </c>
      <c r="S4532">
        <f>L4532-LTP3!$D$3*G4532/k_n</f>
        <v/>
      </c>
      <c r="T4532">
        <f>M4532-LTP3!$D$3*H4532/k_n</f>
        <v/>
      </c>
      <c r="U4532">
        <f>N4532-G4532*LTP3!$D$4/k_n</f>
        <v/>
      </c>
      <c r="V4532">
        <f>O4532-H4532*LTP3!$D$4/k_n</f>
        <v/>
      </c>
      <c r="W4532">
        <f>((LTP3!$D$5)*((P4532)*(Q4532)-(R4532)*(R4532))-(S4532)*((S4532)*(Q4532)-(R4532)*(T4532))+(T4532)*((S4532)*(R4532)-(P4532)*(T4532)))</f>
        <v/>
      </c>
      <c r="X4532">
        <f>IF(ABS(W4532)&gt;1E-12,((LTP3!$D$6)*((P4532)*(Q4532)-(R4532)*(R4532))-(S4532)*((U4532)*(Q4532)-(R4532)*(V4532))+(T4532)*((U4532)*(R4532)-(P4532)*(V4532)))/W4532,0)</f>
        <v/>
      </c>
      <c r="Y4532">
        <f>IF(ABS(W4532)&gt;1E-12,((LTP3!$D$5)*((U4532)*(Q4532)-(R4532)*(V4532))-(LTP3!$D$6)*((S4532)*(Q4532)-(R4532)*(T4532))+(T4532)*((S4532)*(V4532)-(U4532)*(T4532)))/W4532,0)</f>
        <v/>
      </c>
      <c r="Z4532">
        <f>IF(ABS(W4532)&gt;1E-12,((LTP3!$D$5)*((P4532)*(V4532)-(U4532)*(R4532))-(S4532)*((S4532)*(V4532)-(U4532)*(T4532))+(LTP3!$D$6)*((S4532)*(R4532)-(P4532)*(T4532)))/W4532,0)</f>
        <v/>
      </c>
      <c r="AA4532">
        <f>LTP3!$D$7-X4532*LTP3!$D$6-Y4532*U4532-Z4532*V4532</f>
        <v/>
      </c>
      <c r="AB4532">
        <f>IF(AND(F4532,ABS(W4532)&gt;1E-12,Y4532&gt;0,Z4532&gt;0),AA4532,1E+300)</f>
        <v/>
      </c>
    </row>
    <row r="4533">
      <c r="A4533">
        <f>$I$4-$B$5/10+$B$5*16/100</f>
        <v/>
      </c>
      <c r="B4533">
        <f>$J$4-$B$5/10+$B$5*17/100</f>
        <v/>
      </c>
      <c r="C4533">
        <f>SUMPRODUCT(Calc!$K$3:$K$22*(Calc!$G$3:$G$22&lt;=A4533))</f>
        <v/>
      </c>
      <c r="D4533">
        <f>SUMPRODUCT(Calc!$K$3:$K$22*(Calc!$G$3:$G$22&gt;A4533)*(Calc!$G$3:$G$22&lt;B4533))</f>
        <v/>
      </c>
      <c r="E4533">
        <f>SUMPRODUCT(Calc!$K$3:$K$22*(Calc!$G$3:$G$22&gt;=B4533))</f>
        <v/>
      </c>
      <c r="F4533">
        <f>AND(k_n&gt;=5,B4533&gt;A4533+1E-9,C4533&gt;=2,D4533&gt;=1,E4533&gt;=2)</f>
        <v/>
      </c>
      <c r="G4533">
        <f>SUMPRODUCT(Calc!$K$3:$K$22*(Calc!$G$3:$G$22&gt;A4533)*(Calc!$G$3:$G$22-A4533))</f>
        <v/>
      </c>
      <c r="H4533">
        <f>SUMPRODUCT(Calc!$K$3:$K$22*(Calc!$G$3:$G$22&gt;B4533)*(Calc!$G$3:$G$22-B4533))</f>
        <v/>
      </c>
      <c r="I4533">
        <f>SUMPRODUCT(Calc!$K$3:$K$22*(Calc!$G$3:$G$22&gt;A4533)*(Calc!$G$3:$G$22-A4533)^2)</f>
        <v/>
      </c>
      <c r="J4533">
        <f>SUMPRODUCT(Calc!$K$3:$K$22*(Calc!$G$3:$G$22&gt;B4533)*(Calc!$G$3:$G$22-B4533)^2)</f>
        <v/>
      </c>
      <c r="K4533">
        <f>SUMPRODUCT(Calc!$K$3:$K$22*(Calc!$G$3:$G$22&gt;A4533)*(Calc!$G$3:$G$22-A4533)*(Calc!$G$3:$G$22&gt;B4533)*(Calc!$G$3:$G$22-B4533))</f>
        <v/>
      </c>
      <c r="L4533">
        <f>SUMPRODUCT(Calc!$K$3:$K$22*(Calc!$G$3:$G$22&gt;A4533)*(Calc!$G$3:$G$22-A4533)*Calc!$G$3:$G$22)</f>
        <v/>
      </c>
      <c r="M4533">
        <f>SUMPRODUCT(Calc!$K$3:$K$22*(Calc!$G$3:$G$22&gt;B4533)*(Calc!$G$3:$G$22-B4533)*Calc!$G$3:$G$22)</f>
        <v/>
      </c>
      <c r="N4533">
        <f>SUMPRODUCT(Calc!$K$3:$K$22*(Calc!$G$3:$G$22&gt;A4533)*(Calc!$G$3:$G$22-A4533)*Calc!$I$3:$I$22)</f>
        <v/>
      </c>
      <c r="O4533">
        <f>SUMPRODUCT(Calc!$K$3:$K$22*(Calc!$G$3:$G$22&gt;B4533)*(Calc!$G$3:$G$22-B4533)*Calc!$I$3:$I$22)</f>
        <v/>
      </c>
      <c r="P4533">
        <f>I4533-G4533^2/k_n</f>
        <v/>
      </c>
      <c r="Q4533">
        <f>J4533-H4533^2/k_n</f>
        <v/>
      </c>
      <c r="R4533">
        <f>K4533-G4533*H4533/k_n</f>
        <v/>
      </c>
      <c r="S4533">
        <f>L4533-LTP3!$D$3*G4533/k_n</f>
        <v/>
      </c>
      <c r="T4533">
        <f>M4533-LTP3!$D$3*H4533/k_n</f>
        <v/>
      </c>
      <c r="U4533">
        <f>N4533-G4533*LTP3!$D$4/k_n</f>
        <v/>
      </c>
      <c r="V4533">
        <f>O4533-H4533*LTP3!$D$4/k_n</f>
        <v/>
      </c>
      <c r="W4533">
        <f>((LTP3!$D$5)*((P4533)*(Q4533)-(R4533)*(R4533))-(S4533)*((S4533)*(Q4533)-(R4533)*(T4533))+(T4533)*((S4533)*(R4533)-(P4533)*(T4533)))</f>
        <v/>
      </c>
      <c r="X4533">
        <f>IF(ABS(W4533)&gt;1E-12,((LTP3!$D$6)*((P4533)*(Q4533)-(R4533)*(R4533))-(S4533)*((U4533)*(Q4533)-(R4533)*(V4533))+(T4533)*((U4533)*(R4533)-(P4533)*(V4533)))/W4533,0)</f>
        <v/>
      </c>
      <c r="Y4533">
        <f>IF(ABS(W4533)&gt;1E-12,((LTP3!$D$5)*((U4533)*(Q4533)-(R4533)*(V4533))-(LTP3!$D$6)*((S4533)*(Q4533)-(R4533)*(T4533))+(T4533)*((S4533)*(V4533)-(U4533)*(T4533)))/W4533,0)</f>
        <v/>
      </c>
      <c r="Z4533">
        <f>IF(ABS(W4533)&gt;1E-12,((LTP3!$D$5)*((P4533)*(V4533)-(U4533)*(R4533))-(S4533)*((S4533)*(V4533)-(U4533)*(T4533))+(LTP3!$D$6)*((S4533)*(R4533)-(P4533)*(T4533)))/W4533,0)</f>
        <v/>
      </c>
      <c r="AA4533">
        <f>LTP3!$D$7-X4533*LTP3!$D$6-Y4533*U4533-Z4533*V4533</f>
        <v/>
      </c>
      <c r="AB4533">
        <f>IF(AND(F4533,ABS(W4533)&gt;1E-12,Y4533&gt;0,Z4533&gt;0),AA4533,1E+300)</f>
        <v/>
      </c>
    </row>
    <row r="4534">
      <c r="A4534">
        <f>$I$4-$B$5/10+$B$5*16/100</f>
        <v/>
      </c>
      <c r="B4534">
        <f>$J$4-$B$5/10+$B$5*18/100</f>
        <v/>
      </c>
      <c r="C4534">
        <f>SUMPRODUCT(Calc!$K$3:$K$22*(Calc!$G$3:$G$22&lt;=A4534))</f>
        <v/>
      </c>
      <c r="D4534">
        <f>SUMPRODUCT(Calc!$K$3:$K$22*(Calc!$G$3:$G$22&gt;A4534)*(Calc!$G$3:$G$22&lt;B4534))</f>
        <v/>
      </c>
      <c r="E4534">
        <f>SUMPRODUCT(Calc!$K$3:$K$22*(Calc!$G$3:$G$22&gt;=B4534))</f>
        <v/>
      </c>
      <c r="F4534">
        <f>AND(k_n&gt;=5,B4534&gt;A4534+1E-9,C4534&gt;=2,D4534&gt;=1,E4534&gt;=2)</f>
        <v/>
      </c>
      <c r="G4534">
        <f>SUMPRODUCT(Calc!$K$3:$K$22*(Calc!$G$3:$G$22&gt;A4534)*(Calc!$G$3:$G$22-A4534))</f>
        <v/>
      </c>
      <c r="H4534">
        <f>SUMPRODUCT(Calc!$K$3:$K$22*(Calc!$G$3:$G$22&gt;B4534)*(Calc!$G$3:$G$22-B4534))</f>
        <v/>
      </c>
      <c r="I4534">
        <f>SUMPRODUCT(Calc!$K$3:$K$22*(Calc!$G$3:$G$22&gt;A4534)*(Calc!$G$3:$G$22-A4534)^2)</f>
        <v/>
      </c>
      <c r="J4534">
        <f>SUMPRODUCT(Calc!$K$3:$K$22*(Calc!$G$3:$G$22&gt;B4534)*(Calc!$G$3:$G$22-B4534)^2)</f>
        <v/>
      </c>
      <c r="K4534">
        <f>SUMPRODUCT(Calc!$K$3:$K$22*(Calc!$G$3:$G$22&gt;A4534)*(Calc!$G$3:$G$22-A4534)*(Calc!$G$3:$G$22&gt;B4534)*(Calc!$G$3:$G$22-B4534))</f>
        <v/>
      </c>
      <c r="L4534">
        <f>SUMPRODUCT(Calc!$K$3:$K$22*(Calc!$G$3:$G$22&gt;A4534)*(Calc!$G$3:$G$22-A4534)*Calc!$G$3:$G$22)</f>
        <v/>
      </c>
      <c r="M4534">
        <f>SUMPRODUCT(Calc!$K$3:$K$22*(Calc!$G$3:$G$22&gt;B4534)*(Calc!$G$3:$G$22-B4534)*Calc!$G$3:$G$22)</f>
        <v/>
      </c>
      <c r="N4534">
        <f>SUMPRODUCT(Calc!$K$3:$K$22*(Calc!$G$3:$G$22&gt;A4534)*(Calc!$G$3:$G$22-A4534)*Calc!$I$3:$I$22)</f>
        <v/>
      </c>
      <c r="O4534">
        <f>SUMPRODUCT(Calc!$K$3:$K$22*(Calc!$G$3:$G$22&gt;B4534)*(Calc!$G$3:$G$22-B4534)*Calc!$I$3:$I$22)</f>
        <v/>
      </c>
      <c r="P4534">
        <f>I4534-G4534^2/k_n</f>
        <v/>
      </c>
      <c r="Q4534">
        <f>J4534-H4534^2/k_n</f>
        <v/>
      </c>
      <c r="R4534">
        <f>K4534-G4534*H4534/k_n</f>
        <v/>
      </c>
      <c r="S4534">
        <f>L4534-LTP3!$D$3*G4534/k_n</f>
        <v/>
      </c>
      <c r="T4534">
        <f>M4534-LTP3!$D$3*H4534/k_n</f>
        <v/>
      </c>
      <c r="U4534">
        <f>N4534-G4534*LTP3!$D$4/k_n</f>
        <v/>
      </c>
      <c r="V4534">
        <f>O4534-H4534*LTP3!$D$4/k_n</f>
        <v/>
      </c>
      <c r="W4534">
        <f>((LTP3!$D$5)*((P4534)*(Q4534)-(R4534)*(R4534))-(S4534)*((S4534)*(Q4534)-(R4534)*(T4534))+(T4534)*((S4534)*(R4534)-(P4534)*(T4534)))</f>
        <v/>
      </c>
      <c r="X4534">
        <f>IF(ABS(W4534)&gt;1E-12,((LTP3!$D$6)*((P4534)*(Q4534)-(R4534)*(R4534))-(S4534)*((U4534)*(Q4534)-(R4534)*(V4534))+(T4534)*((U4534)*(R4534)-(P4534)*(V4534)))/W4534,0)</f>
        <v/>
      </c>
      <c r="Y4534">
        <f>IF(ABS(W4534)&gt;1E-12,((LTP3!$D$5)*((U4534)*(Q4534)-(R4534)*(V4534))-(LTP3!$D$6)*((S4534)*(Q4534)-(R4534)*(T4534))+(T4534)*((S4534)*(V4534)-(U4534)*(T4534)))/W4534,0)</f>
        <v/>
      </c>
      <c r="Z4534">
        <f>IF(ABS(W4534)&gt;1E-12,((LTP3!$D$5)*((P4534)*(V4534)-(U4534)*(R4534))-(S4534)*((S4534)*(V4534)-(U4534)*(T4534))+(LTP3!$D$6)*((S4534)*(R4534)-(P4534)*(T4534)))/W4534,0)</f>
        <v/>
      </c>
      <c r="AA4534">
        <f>LTP3!$D$7-X4534*LTP3!$D$6-Y4534*U4534-Z4534*V4534</f>
        <v/>
      </c>
      <c r="AB4534">
        <f>IF(AND(F4534,ABS(W4534)&gt;1E-12,Y4534&gt;0,Z4534&gt;0),AA4534,1E+300)</f>
        <v/>
      </c>
    </row>
    <row r="4535">
      <c r="A4535">
        <f>$I$4-$B$5/10+$B$5*16/100</f>
        <v/>
      </c>
      <c r="B4535">
        <f>$J$4-$B$5/10+$B$5*19/100</f>
        <v/>
      </c>
      <c r="C4535">
        <f>SUMPRODUCT(Calc!$K$3:$K$22*(Calc!$G$3:$G$22&lt;=A4535))</f>
        <v/>
      </c>
      <c r="D4535">
        <f>SUMPRODUCT(Calc!$K$3:$K$22*(Calc!$G$3:$G$22&gt;A4535)*(Calc!$G$3:$G$22&lt;B4535))</f>
        <v/>
      </c>
      <c r="E4535">
        <f>SUMPRODUCT(Calc!$K$3:$K$22*(Calc!$G$3:$G$22&gt;=B4535))</f>
        <v/>
      </c>
      <c r="F4535">
        <f>AND(k_n&gt;=5,B4535&gt;A4535+1E-9,C4535&gt;=2,D4535&gt;=1,E4535&gt;=2)</f>
        <v/>
      </c>
      <c r="G4535">
        <f>SUMPRODUCT(Calc!$K$3:$K$22*(Calc!$G$3:$G$22&gt;A4535)*(Calc!$G$3:$G$22-A4535))</f>
        <v/>
      </c>
      <c r="H4535">
        <f>SUMPRODUCT(Calc!$K$3:$K$22*(Calc!$G$3:$G$22&gt;B4535)*(Calc!$G$3:$G$22-B4535))</f>
        <v/>
      </c>
      <c r="I4535">
        <f>SUMPRODUCT(Calc!$K$3:$K$22*(Calc!$G$3:$G$22&gt;A4535)*(Calc!$G$3:$G$22-A4535)^2)</f>
        <v/>
      </c>
      <c r="J4535">
        <f>SUMPRODUCT(Calc!$K$3:$K$22*(Calc!$G$3:$G$22&gt;B4535)*(Calc!$G$3:$G$22-B4535)^2)</f>
        <v/>
      </c>
      <c r="K4535">
        <f>SUMPRODUCT(Calc!$K$3:$K$22*(Calc!$G$3:$G$22&gt;A4535)*(Calc!$G$3:$G$22-A4535)*(Calc!$G$3:$G$22&gt;B4535)*(Calc!$G$3:$G$22-B4535))</f>
        <v/>
      </c>
      <c r="L4535">
        <f>SUMPRODUCT(Calc!$K$3:$K$22*(Calc!$G$3:$G$22&gt;A4535)*(Calc!$G$3:$G$22-A4535)*Calc!$G$3:$G$22)</f>
        <v/>
      </c>
      <c r="M4535">
        <f>SUMPRODUCT(Calc!$K$3:$K$22*(Calc!$G$3:$G$22&gt;B4535)*(Calc!$G$3:$G$22-B4535)*Calc!$G$3:$G$22)</f>
        <v/>
      </c>
      <c r="N4535">
        <f>SUMPRODUCT(Calc!$K$3:$K$22*(Calc!$G$3:$G$22&gt;A4535)*(Calc!$G$3:$G$22-A4535)*Calc!$I$3:$I$22)</f>
        <v/>
      </c>
      <c r="O4535">
        <f>SUMPRODUCT(Calc!$K$3:$K$22*(Calc!$G$3:$G$22&gt;B4535)*(Calc!$G$3:$G$22-B4535)*Calc!$I$3:$I$22)</f>
        <v/>
      </c>
      <c r="P4535">
        <f>I4535-G4535^2/k_n</f>
        <v/>
      </c>
      <c r="Q4535">
        <f>J4535-H4535^2/k_n</f>
        <v/>
      </c>
      <c r="R4535">
        <f>K4535-G4535*H4535/k_n</f>
        <v/>
      </c>
      <c r="S4535">
        <f>L4535-LTP3!$D$3*G4535/k_n</f>
        <v/>
      </c>
      <c r="T4535">
        <f>M4535-LTP3!$D$3*H4535/k_n</f>
        <v/>
      </c>
      <c r="U4535">
        <f>N4535-G4535*LTP3!$D$4/k_n</f>
        <v/>
      </c>
      <c r="V4535">
        <f>O4535-H4535*LTP3!$D$4/k_n</f>
        <v/>
      </c>
      <c r="W4535">
        <f>((LTP3!$D$5)*((P4535)*(Q4535)-(R4535)*(R4535))-(S4535)*((S4535)*(Q4535)-(R4535)*(T4535))+(T4535)*((S4535)*(R4535)-(P4535)*(T4535)))</f>
        <v/>
      </c>
      <c r="X4535">
        <f>IF(ABS(W4535)&gt;1E-12,((LTP3!$D$6)*((P4535)*(Q4535)-(R4535)*(R4535))-(S4535)*((U4535)*(Q4535)-(R4535)*(V4535))+(T4535)*((U4535)*(R4535)-(P4535)*(V4535)))/W4535,0)</f>
        <v/>
      </c>
      <c r="Y4535">
        <f>IF(ABS(W4535)&gt;1E-12,((LTP3!$D$5)*((U4535)*(Q4535)-(R4535)*(V4535))-(LTP3!$D$6)*((S4535)*(Q4535)-(R4535)*(T4535))+(T4535)*((S4535)*(V4535)-(U4535)*(T4535)))/W4535,0)</f>
        <v/>
      </c>
      <c r="Z4535">
        <f>IF(ABS(W4535)&gt;1E-12,((LTP3!$D$5)*((P4535)*(V4535)-(U4535)*(R4535))-(S4535)*((S4535)*(V4535)-(U4535)*(T4535))+(LTP3!$D$6)*((S4535)*(R4535)-(P4535)*(T4535)))/W4535,0)</f>
        <v/>
      </c>
      <c r="AA4535">
        <f>LTP3!$D$7-X4535*LTP3!$D$6-Y4535*U4535-Z4535*V4535</f>
        <v/>
      </c>
      <c r="AB4535">
        <f>IF(AND(F4535,ABS(W4535)&gt;1E-12,Y4535&gt;0,Z4535&gt;0),AA4535,1E+300)</f>
        <v/>
      </c>
    </row>
    <row r="4536">
      <c r="A4536">
        <f>$I$4-$B$5/10+$B$5*16/100</f>
        <v/>
      </c>
      <c r="B4536">
        <f>$J$4-$B$5/10+$B$5*20/100</f>
        <v/>
      </c>
      <c r="C4536">
        <f>SUMPRODUCT(Calc!$K$3:$K$22*(Calc!$G$3:$G$22&lt;=A4536))</f>
        <v/>
      </c>
      <c r="D4536">
        <f>SUMPRODUCT(Calc!$K$3:$K$22*(Calc!$G$3:$G$22&gt;A4536)*(Calc!$G$3:$G$22&lt;B4536))</f>
        <v/>
      </c>
      <c r="E4536">
        <f>SUMPRODUCT(Calc!$K$3:$K$22*(Calc!$G$3:$G$22&gt;=B4536))</f>
        <v/>
      </c>
      <c r="F4536">
        <f>AND(k_n&gt;=5,B4536&gt;A4536+1E-9,C4536&gt;=2,D4536&gt;=1,E4536&gt;=2)</f>
        <v/>
      </c>
      <c r="G4536">
        <f>SUMPRODUCT(Calc!$K$3:$K$22*(Calc!$G$3:$G$22&gt;A4536)*(Calc!$G$3:$G$22-A4536))</f>
        <v/>
      </c>
      <c r="H4536">
        <f>SUMPRODUCT(Calc!$K$3:$K$22*(Calc!$G$3:$G$22&gt;B4536)*(Calc!$G$3:$G$22-B4536))</f>
        <v/>
      </c>
      <c r="I4536">
        <f>SUMPRODUCT(Calc!$K$3:$K$22*(Calc!$G$3:$G$22&gt;A4536)*(Calc!$G$3:$G$22-A4536)^2)</f>
        <v/>
      </c>
      <c r="J4536">
        <f>SUMPRODUCT(Calc!$K$3:$K$22*(Calc!$G$3:$G$22&gt;B4536)*(Calc!$G$3:$G$22-B4536)^2)</f>
        <v/>
      </c>
      <c r="K4536">
        <f>SUMPRODUCT(Calc!$K$3:$K$22*(Calc!$G$3:$G$22&gt;A4536)*(Calc!$G$3:$G$22-A4536)*(Calc!$G$3:$G$22&gt;B4536)*(Calc!$G$3:$G$22-B4536))</f>
        <v/>
      </c>
      <c r="L4536">
        <f>SUMPRODUCT(Calc!$K$3:$K$22*(Calc!$G$3:$G$22&gt;A4536)*(Calc!$G$3:$G$22-A4536)*Calc!$G$3:$G$22)</f>
        <v/>
      </c>
      <c r="M4536">
        <f>SUMPRODUCT(Calc!$K$3:$K$22*(Calc!$G$3:$G$22&gt;B4536)*(Calc!$G$3:$G$22-B4536)*Calc!$G$3:$G$22)</f>
        <v/>
      </c>
      <c r="N4536">
        <f>SUMPRODUCT(Calc!$K$3:$K$22*(Calc!$G$3:$G$22&gt;A4536)*(Calc!$G$3:$G$22-A4536)*Calc!$I$3:$I$22)</f>
        <v/>
      </c>
      <c r="O4536">
        <f>SUMPRODUCT(Calc!$K$3:$K$22*(Calc!$G$3:$G$22&gt;B4536)*(Calc!$G$3:$G$22-B4536)*Calc!$I$3:$I$22)</f>
        <v/>
      </c>
      <c r="P4536">
        <f>I4536-G4536^2/k_n</f>
        <v/>
      </c>
      <c r="Q4536">
        <f>J4536-H4536^2/k_n</f>
        <v/>
      </c>
      <c r="R4536">
        <f>K4536-G4536*H4536/k_n</f>
        <v/>
      </c>
      <c r="S4536">
        <f>L4536-LTP3!$D$3*G4536/k_n</f>
        <v/>
      </c>
      <c r="T4536">
        <f>M4536-LTP3!$D$3*H4536/k_n</f>
        <v/>
      </c>
      <c r="U4536">
        <f>N4536-G4536*LTP3!$D$4/k_n</f>
        <v/>
      </c>
      <c r="V4536">
        <f>O4536-H4536*LTP3!$D$4/k_n</f>
        <v/>
      </c>
      <c r="W4536">
        <f>((LTP3!$D$5)*((P4536)*(Q4536)-(R4536)*(R4536))-(S4536)*((S4536)*(Q4536)-(R4536)*(T4536))+(T4536)*((S4536)*(R4536)-(P4536)*(T4536)))</f>
        <v/>
      </c>
      <c r="X4536">
        <f>IF(ABS(W4536)&gt;1E-12,((LTP3!$D$6)*((P4536)*(Q4536)-(R4536)*(R4536))-(S4536)*((U4536)*(Q4536)-(R4536)*(V4536))+(T4536)*((U4536)*(R4536)-(P4536)*(V4536)))/W4536,0)</f>
        <v/>
      </c>
      <c r="Y4536">
        <f>IF(ABS(W4536)&gt;1E-12,((LTP3!$D$5)*((U4536)*(Q4536)-(R4536)*(V4536))-(LTP3!$D$6)*((S4536)*(Q4536)-(R4536)*(T4536))+(T4536)*((S4536)*(V4536)-(U4536)*(T4536)))/W4536,0)</f>
        <v/>
      </c>
      <c r="Z4536">
        <f>IF(ABS(W4536)&gt;1E-12,((LTP3!$D$5)*((P4536)*(V4536)-(U4536)*(R4536))-(S4536)*((S4536)*(V4536)-(U4536)*(T4536))+(LTP3!$D$6)*((S4536)*(R4536)-(P4536)*(T4536)))/W4536,0)</f>
        <v/>
      </c>
      <c r="AA4536">
        <f>LTP3!$D$7-X4536*LTP3!$D$6-Y4536*U4536-Z4536*V4536</f>
        <v/>
      </c>
      <c r="AB4536">
        <f>IF(AND(F4536,ABS(W4536)&gt;1E-12,Y4536&gt;0,Z4536&gt;0),AA4536,1E+300)</f>
        <v/>
      </c>
    </row>
    <row r="4537">
      <c r="A4537">
        <f>$I$4-$B$5/10+$B$5*17/100</f>
        <v/>
      </c>
      <c r="B4537">
        <f>$J$4-$B$5/10+$B$5*0/100</f>
        <v/>
      </c>
      <c r="C4537">
        <f>SUMPRODUCT(Calc!$K$3:$K$22*(Calc!$G$3:$G$22&lt;=A4537))</f>
        <v/>
      </c>
      <c r="D4537">
        <f>SUMPRODUCT(Calc!$K$3:$K$22*(Calc!$G$3:$G$22&gt;A4537)*(Calc!$G$3:$G$22&lt;B4537))</f>
        <v/>
      </c>
      <c r="E4537">
        <f>SUMPRODUCT(Calc!$K$3:$K$22*(Calc!$G$3:$G$22&gt;=B4537))</f>
        <v/>
      </c>
      <c r="F4537">
        <f>AND(k_n&gt;=5,B4537&gt;A4537+1E-9,C4537&gt;=2,D4537&gt;=1,E4537&gt;=2)</f>
        <v/>
      </c>
      <c r="G4537">
        <f>SUMPRODUCT(Calc!$K$3:$K$22*(Calc!$G$3:$G$22&gt;A4537)*(Calc!$G$3:$G$22-A4537))</f>
        <v/>
      </c>
      <c r="H4537">
        <f>SUMPRODUCT(Calc!$K$3:$K$22*(Calc!$G$3:$G$22&gt;B4537)*(Calc!$G$3:$G$22-B4537))</f>
        <v/>
      </c>
      <c r="I4537">
        <f>SUMPRODUCT(Calc!$K$3:$K$22*(Calc!$G$3:$G$22&gt;A4537)*(Calc!$G$3:$G$22-A4537)^2)</f>
        <v/>
      </c>
      <c r="J4537">
        <f>SUMPRODUCT(Calc!$K$3:$K$22*(Calc!$G$3:$G$22&gt;B4537)*(Calc!$G$3:$G$22-B4537)^2)</f>
        <v/>
      </c>
      <c r="K4537">
        <f>SUMPRODUCT(Calc!$K$3:$K$22*(Calc!$G$3:$G$22&gt;A4537)*(Calc!$G$3:$G$22-A4537)*(Calc!$G$3:$G$22&gt;B4537)*(Calc!$G$3:$G$22-B4537))</f>
        <v/>
      </c>
      <c r="L4537">
        <f>SUMPRODUCT(Calc!$K$3:$K$22*(Calc!$G$3:$G$22&gt;A4537)*(Calc!$G$3:$G$22-A4537)*Calc!$G$3:$G$22)</f>
        <v/>
      </c>
      <c r="M4537">
        <f>SUMPRODUCT(Calc!$K$3:$K$22*(Calc!$G$3:$G$22&gt;B4537)*(Calc!$G$3:$G$22-B4537)*Calc!$G$3:$G$22)</f>
        <v/>
      </c>
      <c r="N4537">
        <f>SUMPRODUCT(Calc!$K$3:$K$22*(Calc!$G$3:$G$22&gt;A4537)*(Calc!$G$3:$G$22-A4537)*Calc!$I$3:$I$22)</f>
        <v/>
      </c>
      <c r="O4537">
        <f>SUMPRODUCT(Calc!$K$3:$K$22*(Calc!$G$3:$G$22&gt;B4537)*(Calc!$G$3:$G$22-B4537)*Calc!$I$3:$I$22)</f>
        <v/>
      </c>
      <c r="P4537">
        <f>I4537-G4537^2/k_n</f>
        <v/>
      </c>
      <c r="Q4537">
        <f>J4537-H4537^2/k_n</f>
        <v/>
      </c>
      <c r="R4537">
        <f>K4537-G4537*H4537/k_n</f>
        <v/>
      </c>
      <c r="S4537">
        <f>L4537-LTP3!$D$3*G4537/k_n</f>
        <v/>
      </c>
      <c r="T4537">
        <f>M4537-LTP3!$D$3*H4537/k_n</f>
        <v/>
      </c>
      <c r="U4537">
        <f>N4537-G4537*LTP3!$D$4/k_n</f>
        <v/>
      </c>
      <c r="V4537">
        <f>O4537-H4537*LTP3!$D$4/k_n</f>
        <v/>
      </c>
      <c r="W4537">
        <f>((LTP3!$D$5)*((P4537)*(Q4537)-(R4537)*(R4537))-(S4537)*((S4537)*(Q4537)-(R4537)*(T4537))+(T4537)*((S4537)*(R4537)-(P4537)*(T4537)))</f>
        <v/>
      </c>
      <c r="X4537">
        <f>IF(ABS(W4537)&gt;1E-12,((LTP3!$D$6)*((P4537)*(Q4537)-(R4537)*(R4537))-(S4537)*((U4537)*(Q4537)-(R4537)*(V4537))+(T4537)*((U4537)*(R4537)-(P4537)*(V4537)))/W4537,0)</f>
        <v/>
      </c>
      <c r="Y4537">
        <f>IF(ABS(W4537)&gt;1E-12,((LTP3!$D$5)*((U4537)*(Q4537)-(R4537)*(V4537))-(LTP3!$D$6)*((S4537)*(Q4537)-(R4537)*(T4537))+(T4537)*((S4537)*(V4537)-(U4537)*(T4537)))/W4537,0)</f>
        <v/>
      </c>
      <c r="Z4537">
        <f>IF(ABS(W4537)&gt;1E-12,((LTP3!$D$5)*((P4537)*(V4537)-(U4537)*(R4537))-(S4537)*((S4537)*(V4537)-(U4537)*(T4537))+(LTP3!$D$6)*((S4537)*(R4537)-(P4537)*(T4537)))/W4537,0)</f>
        <v/>
      </c>
      <c r="AA4537">
        <f>LTP3!$D$7-X4537*LTP3!$D$6-Y4537*U4537-Z4537*V4537</f>
        <v/>
      </c>
      <c r="AB4537">
        <f>IF(AND(F4537,ABS(W4537)&gt;1E-12,Y4537&gt;0,Z4537&gt;0),AA4537,1E+300)</f>
        <v/>
      </c>
    </row>
    <row r="4538">
      <c r="A4538">
        <f>$I$4-$B$5/10+$B$5*17/100</f>
        <v/>
      </c>
      <c r="B4538">
        <f>$J$4-$B$5/10+$B$5*1/100</f>
        <v/>
      </c>
      <c r="C4538">
        <f>SUMPRODUCT(Calc!$K$3:$K$22*(Calc!$G$3:$G$22&lt;=A4538))</f>
        <v/>
      </c>
      <c r="D4538">
        <f>SUMPRODUCT(Calc!$K$3:$K$22*(Calc!$G$3:$G$22&gt;A4538)*(Calc!$G$3:$G$22&lt;B4538))</f>
        <v/>
      </c>
      <c r="E4538">
        <f>SUMPRODUCT(Calc!$K$3:$K$22*(Calc!$G$3:$G$22&gt;=B4538))</f>
        <v/>
      </c>
      <c r="F4538">
        <f>AND(k_n&gt;=5,B4538&gt;A4538+1E-9,C4538&gt;=2,D4538&gt;=1,E4538&gt;=2)</f>
        <v/>
      </c>
      <c r="G4538">
        <f>SUMPRODUCT(Calc!$K$3:$K$22*(Calc!$G$3:$G$22&gt;A4538)*(Calc!$G$3:$G$22-A4538))</f>
        <v/>
      </c>
      <c r="H4538">
        <f>SUMPRODUCT(Calc!$K$3:$K$22*(Calc!$G$3:$G$22&gt;B4538)*(Calc!$G$3:$G$22-B4538))</f>
        <v/>
      </c>
      <c r="I4538">
        <f>SUMPRODUCT(Calc!$K$3:$K$22*(Calc!$G$3:$G$22&gt;A4538)*(Calc!$G$3:$G$22-A4538)^2)</f>
        <v/>
      </c>
      <c r="J4538">
        <f>SUMPRODUCT(Calc!$K$3:$K$22*(Calc!$G$3:$G$22&gt;B4538)*(Calc!$G$3:$G$22-B4538)^2)</f>
        <v/>
      </c>
      <c r="K4538">
        <f>SUMPRODUCT(Calc!$K$3:$K$22*(Calc!$G$3:$G$22&gt;A4538)*(Calc!$G$3:$G$22-A4538)*(Calc!$G$3:$G$22&gt;B4538)*(Calc!$G$3:$G$22-B4538))</f>
        <v/>
      </c>
      <c r="L4538">
        <f>SUMPRODUCT(Calc!$K$3:$K$22*(Calc!$G$3:$G$22&gt;A4538)*(Calc!$G$3:$G$22-A4538)*Calc!$G$3:$G$22)</f>
        <v/>
      </c>
      <c r="M4538">
        <f>SUMPRODUCT(Calc!$K$3:$K$22*(Calc!$G$3:$G$22&gt;B4538)*(Calc!$G$3:$G$22-B4538)*Calc!$G$3:$G$22)</f>
        <v/>
      </c>
      <c r="N4538">
        <f>SUMPRODUCT(Calc!$K$3:$K$22*(Calc!$G$3:$G$22&gt;A4538)*(Calc!$G$3:$G$22-A4538)*Calc!$I$3:$I$22)</f>
        <v/>
      </c>
      <c r="O4538">
        <f>SUMPRODUCT(Calc!$K$3:$K$22*(Calc!$G$3:$G$22&gt;B4538)*(Calc!$G$3:$G$22-B4538)*Calc!$I$3:$I$22)</f>
        <v/>
      </c>
      <c r="P4538">
        <f>I4538-G4538^2/k_n</f>
        <v/>
      </c>
      <c r="Q4538">
        <f>J4538-H4538^2/k_n</f>
        <v/>
      </c>
      <c r="R4538">
        <f>K4538-G4538*H4538/k_n</f>
        <v/>
      </c>
      <c r="S4538">
        <f>L4538-LTP3!$D$3*G4538/k_n</f>
        <v/>
      </c>
      <c r="T4538">
        <f>M4538-LTP3!$D$3*H4538/k_n</f>
        <v/>
      </c>
      <c r="U4538">
        <f>N4538-G4538*LTP3!$D$4/k_n</f>
        <v/>
      </c>
      <c r="V4538">
        <f>O4538-H4538*LTP3!$D$4/k_n</f>
        <v/>
      </c>
      <c r="W4538">
        <f>((LTP3!$D$5)*((P4538)*(Q4538)-(R4538)*(R4538))-(S4538)*((S4538)*(Q4538)-(R4538)*(T4538))+(T4538)*((S4538)*(R4538)-(P4538)*(T4538)))</f>
        <v/>
      </c>
      <c r="X4538">
        <f>IF(ABS(W4538)&gt;1E-12,((LTP3!$D$6)*((P4538)*(Q4538)-(R4538)*(R4538))-(S4538)*((U4538)*(Q4538)-(R4538)*(V4538))+(T4538)*((U4538)*(R4538)-(P4538)*(V4538)))/W4538,0)</f>
        <v/>
      </c>
      <c r="Y4538">
        <f>IF(ABS(W4538)&gt;1E-12,((LTP3!$D$5)*((U4538)*(Q4538)-(R4538)*(V4538))-(LTP3!$D$6)*((S4538)*(Q4538)-(R4538)*(T4538))+(T4538)*((S4538)*(V4538)-(U4538)*(T4538)))/W4538,0)</f>
        <v/>
      </c>
      <c r="Z4538">
        <f>IF(ABS(W4538)&gt;1E-12,((LTP3!$D$5)*((P4538)*(V4538)-(U4538)*(R4538))-(S4538)*((S4538)*(V4538)-(U4538)*(T4538))+(LTP3!$D$6)*((S4538)*(R4538)-(P4538)*(T4538)))/W4538,0)</f>
        <v/>
      </c>
      <c r="AA4538">
        <f>LTP3!$D$7-X4538*LTP3!$D$6-Y4538*U4538-Z4538*V4538</f>
        <v/>
      </c>
      <c r="AB4538">
        <f>IF(AND(F4538,ABS(W4538)&gt;1E-12,Y4538&gt;0,Z4538&gt;0),AA4538,1E+300)</f>
        <v/>
      </c>
    </row>
    <row r="4539">
      <c r="A4539">
        <f>$I$4-$B$5/10+$B$5*17/100</f>
        <v/>
      </c>
      <c r="B4539">
        <f>$J$4-$B$5/10+$B$5*2/100</f>
        <v/>
      </c>
      <c r="C4539">
        <f>SUMPRODUCT(Calc!$K$3:$K$22*(Calc!$G$3:$G$22&lt;=A4539))</f>
        <v/>
      </c>
      <c r="D4539">
        <f>SUMPRODUCT(Calc!$K$3:$K$22*(Calc!$G$3:$G$22&gt;A4539)*(Calc!$G$3:$G$22&lt;B4539))</f>
        <v/>
      </c>
      <c r="E4539">
        <f>SUMPRODUCT(Calc!$K$3:$K$22*(Calc!$G$3:$G$22&gt;=B4539))</f>
        <v/>
      </c>
      <c r="F4539">
        <f>AND(k_n&gt;=5,B4539&gt;A4539+1E-9,C4539&gt;=2,D4539&gt;=1,E4539&gt;=2)</f>
        <v/>
      </c>
      <c r="G4539">
        <f>SUMPRODUCT(Calc!$K$3:$K$22*(Calc!$G$3:$G$22&gt;A4539)*(Calc!$G$3:$G$22-A4539))</f>
        <v/>
      </c>
      <c r="H4539">
        <f>SUMPRODUCT(Calc!$K$3:$K$22*(Calc!$G$3:$G$22&gt;B4539)*(Calc!$G$3:$G$22-B4539))</f>
        <v/>
      </c>
      <c r="I4539">
        <f>SUMPRODUCT(Calc!$K$3:$K$22*(Calc!$G$3:$G$22&gt;A4539)*(Calc!$G$3:$G$22-A4539)^2)</f>
        <v/>
      </c>
      <c r="J4539">
        <f>SUMPRODUCT(Calc!$K$3:$K$22*(Calc!$G$3:$G$22&gt;B4539)*(Calc!$G$3:$G$22-B4539)^2)</f>
        <v/>
      </c>
      <c r="K4539">
        <f>SUMPRODUCT(Calc!$K$3:$K$22*(Calc!$G$3:$G$22&gt;A4539)*(Calc!$G$3:$G$22-A4539)*(Calc!$G$3:$G$22&gt;B4539)*(Calc!$G$3:$G$22-B4539))</f>
        <v/>
      </c>
      <c r="L4539">
        <f>SUMPRODUCT(Calc!$K$3:$K$22*(Calc!$G$3:$G$22&gt;A4539)*(Calc!$G$3:$G$22-A4539)*Calc!$G$3:$G$22)</f>
        <v/>
      </c>
      <c r="M4539">
        <f>SUMPRODUCT(Calc!$K$3:$K$22*(Calc!$G$3:$G$22&gt;B4539)*(Calc!$G$3:$G$22-B4539)*Calc!$G$3:$G$22)</f>
        <v/>
      </c>
      <c r="N4539">
        <f>SUMPRODUCT(Calc!$K$3:$K$22*(Calc!$G$3:$G$22&gt;A4539)*(Calc!$G$3:$G$22-A4539)*Calc!$I$3:$I$22)</f>
        <v/>
      </c>
      <c r="O4539">
        <f>SUMPRODUCT(Calc!$K$3:$K$22*(Calc!$G$3:$G$22&gt;B4539)*(Calc!$G$3:$G$22-B4539)*Calc!$I$3:$I$22)</f>
        <v/>
      </c>
      <c r="P4539">
        <f>I4539-G4539^2/k_n</f>
        <v/>
      </c>
      <c r="Q4539">
        <f>J4539-H4539^2/k_n</f>
        <v/>
      </c>
      <c r="R4539">
        <f>K4539-G4539*H4539/k_n</f>
        <v/>
      </c>
      <c r="S4539">
        <f>L4539-LTP3!$D$3*G4539/k_n</f>
        <v/>
      </c>
      <c r="T4539">
        <f>M4539-LTP3!$D$3*H4539/k_n</f>
        <v/>
      </c>
      <c r="U4539">
        <f>N4539-G4539*LTP3!$D$4/k_n</f>
        <v/>
      </c>
      <c r="V4539">
        <f>O4539-H4539*LTP3!$D$4/k_n</f>
        <v/>
      </c>
      <c r="W4539">
        <f>((LTP3!$D$5)*((P4539)*(Q4539)-(R4539)*(R4539))-(S4539)*((S4539)*(Q4539)-(R4539)*(T4539))+(T4539)*((S4539)*(R4539)-(P4539)*(T4539)))</f>
        <v/>
      </c>
      <c r="X4539">
        <f>IF(ABS(W4539)&gt;1E-12,((LTP3!$D$6)*((P4539)*(Q4539)-(R4539)*(R4539))-(S4539)*((U4539)*(Q4539)-(R4539)*(V4539))+(T4539)*((U4539)*(R4539)-(P4539)*(V4539)))/W4539,0)</f>
        <v/>
      </c>
      <c r="Y4539">
        <f>IF(ABS(W4539)&gt;1E-12,((LTP3!$D$5)*((U4539)*(Q4539)-(R4539)*(V4539))-(LTP3!$D$6)*((S4539)*(Q4539)-(R4539)*(T4539))+(T4539)*((S4539)*(V4539)-(U4539)*(T4539)))/W4539,0)</f>
        <v/>
      </c>
      <c r="Z4539">
        <f>IF(ABS(W4539)&gt;1E-12,((LTP3!$D$5)*((P4539)*(V4539)-(U4539)*(R4539))-(S4539)*((S4539)*(V4539)-(U4539)*(T4539))+(LTP3!$D$6)*((S4539)*(R4539)-(P4539)*(T4539)))/W4539,0)</f>
        <v/>
      </c>
      <c r="AA4539">
        <f>LTP3!$D$7-X4539*LTP3!$D$6-Y4539*U4539-Z4539*V4539</f>
        <v/>
      </c>
      <c r="AB4539">
        <f>IF(AND(F4539,ABS(W4539)&gt;1E-12,Y4539&gt;0,Z4539&gt;0),AA4539,1E+300)</f>
        <v/>
      </c>
    </row>
    <row r="4540">
      <c r="A4540">
        <f>$I$4-$B$5/10+$B$5*17/100</f>
        <v/>
      </c>
      <c r="B4540">
        <f>$J$4-$B$5/10+$B$5*3/100</f>
        <v/>
      </c>
      <c r="C4540">
        <f>SUMPRODUCT(Calc!$K$3:$K$22*(Calc!$G$3:$G$22&lt;=A4540))</f>
        <v/>
      </c>
      <c r="D4540">
        <f>SUMPRODUCT(Calc!$K$3:$K$22*(Calc!$G$3:$G$22&gt;A4540)*(Calc!$G$3:$G$22&lt;B4540))</f>
        <v/>
      </c>
      <c r="E4540">
        <f>SUMPRODUCT(Calc!$K$3:$K$22*(Calc!$G$3:$G$22&gt;=B4540))</f>
        <v/>
      </c>
      <c r="F4540">
        <f>AND(k_n&gt;=5,B4540&gt;A4540+1E-9,C4540&gt;=2,D4540&gt;=1,E4540&gt;=2)</f>
        <v/>
      </c>
      <c r="G4540">
        <f>SUMPRODUCT(Calc!$K$3:$K$22*(Calc!$G$3:$G$22&gt;A4540)*(Calc!$G$3:$G$22-A4540))</f>
        <v/>
      </c>
      <c r="H4540">
        <f>SUMPRODUCT(Calc!$K$3:$K$22*(Calc!$G$3:$G$22&gt;B4540)*(Calc!$G$3:$G$22-B4540))</f>
        <v/>
      </c>
      <c r="I4540">
        <f>SUMPRODUCT(Calc!$K$3:$K$22*(Calc!$G$3:$G$22&gt;A4540)*(Calc!$G$3:$G$22-A4540)^2)</f>
        <v/>
      </c>
      <c r="J4540">
        <f>SUMPRODUCT(Calc!$K$3:$K$22*(Calc!$G$3:$G$22&gt;B4540)*(Calc!$G$3:$G$22-B4540)^2)</f>
        <v/>
      </c>
      <c r="K4540">
        <f>SUMPRODUCT(Calc!$K$3:$K$22*(Calc!$G$3:$G$22&gt;A4540)*(Calc!$G$3:$G$22-A4540)*(Calc!$G$3:$G$22&gt;B4540)*(Calc!$G$3:$G$22-B4540))</f>
        <v/>
      </c>
      <c r="L4540">
        <f>SUMPRODUCT(Calc!$K$3:$K$22*(Calc!$G$3:$G$22&gt;A4540)*(Calc!$G$3:$G$22-A4540)*Calc!$G$3:$G$22)</f>
        <v/>
      </c>
      <c r="M4540">
        <f>SUMPRODUCT(Calc!$K$3:$K$22*(Calc!$G$3:$G$22&gt;B4540)*(Calc!$G$3:$G$22-B4540)*Calc!$G$3:$G$22)</f>
        <v/>
      </c>
      <c r="N4540">
        <f>SUMPRODUCT(Calc!$K$3:$K$22*(Calc!$G$3:$G$22&gt;A4540)*(Calc!$G$3:$G$22-A4540)*Calc!$I$3:$I$22)</f>
        <v/>
      </c>
      <c r="O4540">
        <f>SUMPRODUCT(Calc!$K$3:$K$22*(Calc!$G$3:$G$22&gt;B4540)*(Calc!$G$3:$G$22-B4540)*Calc!$I$3:$I$22)</f>
        <v/>
      </c>
      <c r="P4540">
        <f>I4540-G4540^2/k_n</f>
        <v/>
      </c>
      <c r="Q4540">
        <f>J4540-H4540^2/k_n</f>
        <v/>
      </c>
      <c r="R4540">
        <f>K4540-G4540*H4540/k_n</f>
        <v/>
      </c>
      <c r="S4540">
        <f>L4540-LTP3!$D$3*G4540/k_n</f>
        <v/>
      </c>
      <c r="T4540">
        <f>M4540-LTP3!$D$3*H4540/k_n</f>
        <v/>
      </c>
      <c r="U4540">
        <f>N4540-G4540*LTP3!$D$4/k_n</f>
        <v/>
      </c>
      <c r="V4540">
        <f>O4540-H4540*LTP3!$D$4/k_n</f>
        <v/>
      </c>
      <c r="W4540">
        <f>((LTP3!$D$5)*((P4540)*(Q4540)-(R4540)*(R4540))-(S4540)*((S4540)*(Q4540)-(R4540)*(T4540))+(T4540)*((S4540)*(R4540)-(P4540)*(T4540)))</f>
        <v/>
      </c>
      <c r="X4540">
        <f>IF(ABS(W4540)&gt;1E-12,((LTP3!$D$6)*((P4540)*(Q4540)-(R4540)*(R4540))-(S4540)*((U4540)*(Q4540)-(R4540)*(V4540))+(T4540)*((U4540)*(R4540)-(P4540)*(V4540)))/W4540,0)</f>
        <v/>
      </c>
      <c r="Y4540">
        <f>IF(ABS(W4540)&gt;1E-12,((LTP3!$D$5)*((U4540)*(Q4540)-(R4540)*(V4540))-(LTP3!$D$6)*((S4540)*(Q4540)-(R4540)*(T4540))+(T4540)*((S4540)*(V4540)-(U4540)*(T4540)))/W4540,0)</f>
        <v/>
      </c>
      <c r="Z4540">
        <f>IF(ABS(W4540)&gt;1E-12,((LTP3!$D$5)*((P4540)*(V4540)-(U4540)*(R4540))-(S4540)*((S4540)*(V4540)-(U4540)*(T4540))+(LTP3!$D$6)*((S4540)*(R4540)-(P4540)*(T4540)))/W4540,0)</f>
        <v/>
      </c>
      <c r="AA4540">
        <f>LTP3!$D$7-X4540*LTP3!$D$6-Y4540*U4540-Z4540*V4540</f>
        <v/>
      </c>
      <c r="AB4540">
        <f>IF(AND(F4540,ABS(W4540)&gt;1E-12,Y4540&gt;0,Z4540&gt;0),AA4540,1E+300)</f>
        <v/>
      </c>
    </row>
    <row r="4541">
      <c r="A4541">
        <f>$I$4-$B$5/10+$B$5*17/100</f>
        <v/>
      </c>
      <c r="B4541">
        <f>$J$4-$B$5/10+$B$5*4/100</f>
        <v/>
      </c>
      <c r="C4541">
        <f>SUMPRODUCT(Calc!$K$3:$K$22*(Calc!$G$3:$G$22&lt;=A4541))</f>
        <v/>
      </c>
      <c r="D4541">
        <f>SUMPRODUCT(Calc!$K$3:$K$22*(Calc!$G$3:$G$22&gt;A4541)*(Calc!$G$3:$G$22&lt;B4541))</f>
        <v/>
      </c>
      <c r="E4541">
        <f>SUMPRODUCT(Calc!$K$3:$K$22*(Calc!$G$3:$G$22&gt;=B4541))</f>
        <v/>
      </c>
      <c r="F4541">
        <f>AND(k_n&gt;=5,B4541&gt;A4541+1E-9,C4541&gt;=2,D4541&gt;=1,E4541&gt;=2)</f>
        <v/>
      </c>
      <c r="G4541">
        <f>SUMPRODUCT(Calc!$K$3:$K$22*(Calc!$G$3:$G$22&gt;A4541)*(Calc!$G$3:$G$22-A4541))</f>
        <v/>
      </c>
      <c r="H4541">
        <f>SUMPRODUCT(Calc!$K$3:$K$22*(Calc!$G$3:$G$22&gt;B4541)*(Calc!$G$3:$G$22-B4541))</f>
        <v/>
      </c>
      <c r="I4541">
        <f>SUMPRODUCT(Calc!$K$3:$K$22*(Calc!$G$3:$G$22&gt;A4541)*(Calc!$G$3:$G$22-A4541)^2)</f>
        <v/>
      </c>
      <c r="J4541">
        <f>SUMPRODUCT(Calc!$K$3:$K$22*(Calc!$G$3:$G$22&gt;B4541)*(Calc!$G$3:$G$22-B4541)^2)</f>
        <v/>
      </c>
      <c r="K4541">
        <f>SUMPRODUCT(Calc!$K$3:$K$22*(Calc!$G$3:$G$22&gt;A4541)*(Calc!$G$3:$G$22-A4541)*(Calc!$G$3:$G$22&gt;B4541)*(Calc!$G$3:$G$22-B4541))</f>
        <v/>
      </c>
      <c r="L4541">
        <f>SUMPRODUCT(Calc!$K$3:$K$22*(Calc!$G$3:$G$22&gt;A4541)*(Calc!$G$3:$G$22-A4541)*Calc!$G$3:$G$22)</f>
        <v/>
      </c>
      <c r="M4541">
        <f>SUMPRODUCT(Calc!$K$3:$K$22*(Calc!$G$3:$G$22&gt;B4541)*(Calc!$G$3:$G$22-B4541)*Calc!$G$3:$G$22)</f>
        <v/>
      </c>
      <c r="N4541">
        <f>SUMPRODUCT(Calc!$K$3:$K$22*(Calc!$G$3:$G$22&gt;A4541)*(Calc!$G$3:$G$22-A4541)*Calc!$I$3:$I$22)</f>
        <v/>
      </c>
      <c r="O4541">
        <f>SUMPRODUCT(Calc!$K$3:$K$22*(Calc!$G$3:$G$22&gt;B4541)*(Calc!$G$3:$G$22-B4541)*Calc!$I$3:$I$22)</f>
        <v/>
      </c>
      <c r="P4541">
        <f>I4541-G4541^2/k_n</f>
        <v/>
      </c>
      <c r="Q4541">
        <f>J4541-H4541^2/k_n</f>
        <v/>
      </c>
      <c r="R4541">
        <f>K4541-G4541*H4541/k_n</f>
        <v/>
      </c>
      <c r="S4541">
        <f>L4541-LTP3!$D$3*G4541/k_n</f>
        <v/>
      </c>
      <c r="T4541">
        <f>M4541-LTP3!$D$3*H4541/k_n</f>
        <v/>
      </c>
      <c r="U4541">
        <f>N4541-G4541*LTP3!$D$4/k_n</f>
        <v/>
      </c>
      <c r="V4541">
        <f>O4541-H4541*LTP3!$D$4/k_n</f>
        <v/>
      </c>
      <c r="W4541">
        <f>((LTP3!$D$5)*((P4541)*(Q4541)-(R4541)*(R4541))-(S4541)*((S4541)*(Q4541)-(R4541)*(T4541))+(T4541)*((S4541)*(R4541)-(P4541)*(T4541)))</f>
        <v/>
      </c>
      <c r="X4541">
        <f>IF(ABS(W4541)&gt;1E-12,((LTP3!$D$6)*((P4541)*(Q4541)-(R4541)*(R4541))-(S4541)*((U4541)*(Q4541)-(R4541)*(V4541))+(T4541)*((U4541)*(R4541)-(P4541)*(V4541)))/W4541,0)</f>
        <v/>
      </c>
      <c r="Y4541">
        <f>IF(ABS(W4541)&gt;1E-12,((LTP3!$D$5)*((U4541)*(Q4541)-(R4541)*(V4541))-(LTP3!$D$6)*((S4541)*(Q4541)-(R4541)*(T4541))+(T4541)*((S4541)*(V4541)-(U4541)*(T4541)))/W4541,0)</f>
        <v/>
      </c>
      <c r="Z4541">
        <f>IF(ABS(W4541)&gt;1E-12,((LTP3!$D$5)*((P4541)*(V4541)-(U4541)*(R4541))-(S4541)*((S4541)*(V4541)-(U4541)*(T4541))+(LTP3!$D$6)*((S4541)*(R4541)-(P4541)*(T4541)))/W4541,0)</f>
        <v/>
      </c>
      <c r="AA4541">
        <f>LTP3!$D$7-X4541*LTP3!$D$6-Y4541*U4541-Z4541*V4541</f>
        <v/>
      </c>
      <c r="AB4541">
        <f>IF(AND(F4541,ABS(W4541)&gt;1E-12,Y4541&gt;0,Z4541&gt;0),AA4541,1E+300)</f>
        <v/>
      </c>
    </row>
    <row r="4542">
      <c r="A4542">
        <f>$I$4-$B$5/10+$B$5*17/100</f>
        <v/>
      </c>
      <c r="B4542">
        <f>$J$4-$B$5/10+$B$5*5/100</f>
        <v/>
      </c>
      <c r="C4542">
        <f>SUMPRODUCT(Calc!$K$3:$K$22*(Calc!$G$3:$G$22&lt;=A4542))</f>
        <v/>
      </c>
      <c r="D4542">
        <f>SUMPRODUCT(Calc!$K$3:$K$22*(Calc!$G$3:$G$22&gt;A4542)*(Calc!$G$3:$G$22&lt;B4542))</f>
        <v/>
      </c>
      <c r="E4542">
        <f>SUMPRODUCT(Calc!$K$3:$K$22*(Calc!$G$3:$G$22&gt;=B4542))</f>
        <v/>
      </c>
      <c r="F4542">
        <f>AND(k_n&gt;=5,B4542&gt;A4542+1E-9,C4542&gt;=2,D4542&gt;=1,E4542&gt;=2)</f>
        <v/>
      </c>
      <c r="G4542">
        <f>SUMPRODUCT(Calc!$K$3:$K$22*(Calc!$G$3:$G$22&gt;A4542)*(Calc!$G$3:$G$22-A4542))</f>
        <v/>
      </c>
      <c r="H4542">
        <f>SUMPRODUCT(Calc!$K$3:$K$22*(Calc!$G$3:$G$22&gt;B4542)*(Calc!$G$3:$G$22-B4542))</f>
        <v/>
      </c>
      <c r="I4542">
        <f>SUMPRODUCT(Calc!$K$3:$K$22*(Calc!$G$3:$G$22&gt;A4542)*(Calc!$G$3:$G$22-A4542)^2)</f>
        <v/>
      </c>
      <c r="J4542">
        <f>SUMPRODUCT(Calc!$K$3:$K$22*(Calc!$G$3:$G$22&gt;B4542)*(Calc!$G$3:$G$22-B4542)^2)</f>
        <v/>
      </c>
      <c r="K4542">
        <f>SUMPRODUCT(Calc!$K$3:$K$22*(Calc!$G$3:$G$22&gt;A4542)*(Calc!$G$3:$G$22-A4542)*(Calc!$G$3:$G$22&gt;B4542)*(Calc!$G$3:$G$22-B4542))</f>
        <v/>
      </c>
      <c r="L4542">
        <f>SUMPRODUCT(Calc!$K$3:$K$22*(Calc!$G$3:$G$22&gt;A4542)*(Calc!$G$3:$G$22-A4542)*Calc!$G$3:$G$22)</f>
        <v/>
      </c>
      <c r="M4542">
        <f>SUMPRODUCT(Calc!$K$3:$K$22*(Calc!$G$3:$G$22&gt;B4542)*(Calc!$G$3:$G$22-B4542)*Calc!$G$3:$G$22)</f>
        <v/>
      </c>
      <c r="N4542">
        <f>SUMPRODUCT(Calc!$K$3:$K$22*(Calc!$G$3:$G$22&gt;A4542)*(Calc!$G$3:$G$22-A4542)*Calc!$I$3:$I$22)</f>
        <v/>
      </c>
      <c r="O4542">
        <f>SUMPRODUCT(Calc!$K$3:$K$22*(Calc!$G$3:$G$22&gt;B4542)*(Calc!$G$3:$G$22-B4542)*Calc!$I$3:$I$22)</f>
        <v/>
      </c>
      <c r="P4542">
        <f>I4542-G4542^2/k_n</f>
        <v/>
      </c>
      <c r="Q4542">
        <f>J4542-H4542^2/k_n</f>
        <v/>
      </c>
      <c r="R4542">
        <f>K4542-G4542*H4542/k_n</f>
        <v/>
      </c>
      <c r="S4542">
        <f>L4542-LTP3!$D$3*G4542/k_n</f>
        <v/>
      </c>
      <c r="T4542">
        <f>M4542-LTP3!$D$3*H4542/k_n</f>
        <v/>
      </c>
      <c r="U4542">
        <f>N4542-G4542*LTP3!$D$4/k_n</f>
        <v/>
      </c>
      <c r="V4542">
        <f>O4542-H4542*LTP3!$D$4/k_n</f>
        <v/>
      </c>
      <c r="W4542">
        <f>((LTP3!$D$5)*((P4542)*(Q4542)-(R4542)*(R4542))-(S4542)*((S4542)*(Q4542)-(R4542)*(T4542))+(T4542)*((S4542)*(R4542)-(P4542)*(T4542)))</f>
        <v/>
      </c>
      <c r="X4542">
        <f>IF(ABS(W4542)&gt;1E-12,((LTP3!$D$6)*((P4542)*(Q4542)-(R4542)*(R4542))-(S4542)*((U4542)*(Q4542)-(R4542)*(V4542))+(T4542)*((U4542)*(R4542)-(P4542)*(V4542)))/W4542,0)</f>
        <v/>
      </c>
      <c r="Y4542">
        <f>IF(ABS(W4542)&gt;1E-12,((LTP3!$D$5)*((U4542)*(Q4542)-(R4542)*(V4542))-(LTP3!$D$6)*((S4542)*(Q4542)-(R4542)*(T4542))+(T4542)*((S4542)*(V4542)-(U4542)*(T4542)))/W4542,0)</f>
        <v/>
      </c>
      <c r="Z4542">
        <f>IF(ABS(W4542)&gt;1E-12,((LTP3!$D$5)*((P4542)*(V4542)-(U4542)*(R4542))-(S4542)*((S4542)*(V4542)-(U4542)*(T4542))+(LTP3!$D$6)*((S4542)*(R4542)-(P4542)*(T4542)))/W4542,0)</f>
        <v/>
      </c>
      <c r="AA4542">
        <f>LTP3!$D$7-X4542*LTP3!$D$6-Y4542*U4542-Z4542*V4542</f>
        <v/>
      </c>
      <c r="AB4542">
        <f>IF(AND(F4542,ABS(W4542)&gt;1E-12,Y4542&gt;0,Z4542&gt;0),AA4542,1E+300)</f>
        <v/>
      </c>
    </row>
    <row r="4543">
      <c r="A4543">
        <f>$I$4-$B$5/10+$B$5*17/100</f>
        <v/>
      </c>
      <c r="B4543">
        <f>$J$4-$B$5/10+$B$5*6/100</f>
        <v/>
      </c>
      <c r="C4543">
        <f>SUMPRODUCT(Calc!$K$3:$K$22*(Calc!$G$3:$G$22&lt;=A4543))</f>
        <v/>
      </c>
      <c r="D4543">
        <f>SUMPRODUCT(Calc!$K$3:$K$22*(Calc!$G$3:$G$22&gt;A4543)*(Calc!$G$3:$G$22&lt;B4543))</f>
        <v/>
      </c>
      <c r="E4543">
        <f>SUMPRODUCT(Calc!$K$3:$K$22*(Calc!$G$3:$G$22&gt;=B4543))</f>
        <v/>
      </c>
      <c r="F4543">
        <f>AND(k_n&gt;=5,B4543&gt;A4543+1E-9,C4543&gt;=2,D4543&gt;=1,E4543&gt;=2)</f>
        <v/>
      </c>
      <c r="G4543">
        <f>SUMPRODUCT(Calc!$K$3:$K$22*(Calc!$G$3:$G$22&gt;A4543)*(Calc!$G$3:$G$22-A4543))</f>
        <v/>
      </c>
      <c r="H4543">
        <f>SUMPRODUCT(Calc!$K$3:$K$22*(Calc!$G$3:$G$22&gt;B4543)*(Calc!$G$3:$G$22-B4543))</f>
        <v/>
      </c>
      <c r="I4543">
        <f>SUMPRODUCT(Calc!$K$3:$K$22*(Calc!$G$3:$G$22&gt;A4543)*(Calc!$G$3:$G$22-A4543)^2)</f>
        <v/>
      </c>
      <c r="J4543">
        <f>SUMPRODUCT(Calc!$K$3:$K$22*(Calc!$G$3:$G$22&gt;B4543)*(Calc!$G$3:$G$22-B4543)^2)</f>
        <v/>
      </c>
      <c r="K4543">
        <f>SUMPRODUCT(Calc!$K$3:$K$22*(Calc!$G$3:$G$22&gt;A4543)*(Calc!$G$3:$G$22-A4543)*(Calc!$G$3:$G$22&gt;B4543)*(Calc!$G$3:$G$22-B4543))</f>
        <v/>
      </c>
      <c r="L4543">
        <f>SUMPRODUCT(Calc!$K$3:$K$22*(Calc!$G$3:$G$22&gt;A4543)*(Calc!$G$3:$G$22-A4543)*Calc!$G$3:$G$22)</f>
        <v/>
      </c>
      <c r="M4543">
        <f>SUMPRODUCT(Calc!$K$3:$K$22*(Calc!$G$3:$G$22&gt;B4543)*(Calc!$G$3:$G$22-B4543)*Calc!$G$3:$G$22)</f>
        <v/>
      </c>
      <c r="N4543">
        <f>SUMPRODUCT(Calc!$K$3:$K$22*(Calc!$G$3:$G$22&gt;A4543)*(Calc!$G$3:$G$22-A4543)*Calc!$I$3:$I$22)</f>
        <v/>
      </c>
      <c r="O4543">
        <f>SUMPRODUCT(Calc!$K$3:$K$22*(Calc!$G$3:$G$22&gt;B4543)*(Calc!$G$3:$G$22-B4543)*Calc!$I$3:$I$22)</f>
        <v/>
      </c>
      <c r="P4543">
        <f>I4543-G4543^2/k_n</f>
        <v/>
      </c>
      <c r="Q4543">
        <f>J4543-H4543^2/k_n</f>
        <v/>
      </c>
      <c r="R4543">
        <f>K4543-G4543*H4543/k_n</f>
        <v/>
      </c>
      <c r="S4543">
        <f>L4543-LTP3!$D$3*G4543/k_n</f>
        <v/>
      </c>
      <c r="T4543">
        <f>M4543-LTP3!$D$3*H4543/k_n</f>
        <v/>
      </c>
      <c r="U4543">
        <f>N4543-G4543*LTP3!$D$4/k_n</f>
        <v/>
      </c>
      <c r="V4543">
        <f>O4543-H4543*LTP3!$D$4/k_n</f>
        <v/>
      </c>
      <c r="W4543">
        <f>((LTP3!$D$5)*((P4543)*(Q4543)-(R4543)*(R4543))-(S4543)*((S4543)*(Q4543)-(R4543)*(T4543))+(T4543)*((S4543)*(R4543)-(P4543)*(T4543)))</f>
        <v/>
      </c>
      <c r="X4543">
        <f>IF(ABS(W4543)&gt;1E-12,((LTP3!$D$6)*((P4543)*(Q4543)-(R4543)*(R4543))-(S4543)*((U4543)*(Q4543)-(R4543)*(V4543))+(T4543)*((U4543)*(R4543)-(P4543)*(V4543)))/W4543,0)</f>
        <v/>
      </c>
      <c r="Y4543">
        <f>IF(ABS(W4543)&gt;1E-12,((LTP3!$D$5)*((U4543)*(Q4543)-(R4543)*(V4543))-(LTP3!$D$6)*((S4543)*(Q4543)-(R4543)*(T4543))+(T4543)*((S4543)*(V4543)-(U4543)*(T4543)))/W4543,0)</f>
        <v/>
      </c>
      <c r="Z4543">
        <f>IF(ABS(W4543)&gt;1E-12,((LTP3!$D$5)*((P4543)*(V4543)-(U4543)*(R4543))-(S4543)*((S4543)*(V4543)-(U4543)*(T4543))+(LTP3!$D$6)*((S4543)*(R4543)-(P4543)*(T4543)))/W4543,0)</f>
        <v/>
      </c>
      <c r="AA4543">
        <f>LTP3!$D$7-X4543*LTP3!$D$6-Y4543*U4543-Z4543*V4543</f>
        <v/>
      </c>
      <c r="AB4543">
        <f>IF(AND(F4543,ABS(W4543)&gt;1E-12,Y4543&gt;0,Z4543&gt;0),AA4543,1E+300)</f>
        <v/>
      </c>
    </row>
    <row r="4544">
      <c r="A4544">
        <f>$I$4-$B$5/10+$B$5*17/100</f>
        <v/>
      </c>
      <c r="B4544">
        <f>$J$4-$B$5/10+$B$5*7/100</f>
        <v/>
      </c>
      <c r="C4544">
        <f>SUMPRODUCT(Calc!$K$3:$K$22*(Calc!$G$3:$G$22&lt;=A4544))</f>
        <v/>
      </c>
      <c r="D4544">
        <f>SUMPRODUCT(Calc!$K$3:$K$22*(Calc!$G$3:$G$22&gt;A4544)*(Calc!$G$3:$G$22&lt;B4544))</f>
        <v/>
      </c>
      <c r="E4544">
        <f>SUMPRODUCT(Calc!$K$3:$K$22*(Calc!$G$3:$G$22&gt;=B4544))</f>
        <v/>
      </c>
      <c r="F4544">
        <f>AND(k_n&gt;=5,B4544&gt;A4544+1E-9,C4544&gt;=2,D4544&gt;=1,E4544&gt;=2)</f>
        <v/>
      </c>
      <c r="G4544">
        <f>SUMPRODUCT(Calc!$K$3:$K$22*(Calc!$G$3:$G$22&gt;A4544)*(Calc!$G$3:$G$22-A4544))</f>
        <v/>
      </c>
      <c r="H4544">
        <f>SUMPRODUCT(Calc!$K$3:$K$22*(Calc!$G$3:$G$22&gt;B4544)*(Calc!$G$3:$G$22-B4544))</f>
        <v/>
      </c>
      <c r="I4544">
        <f>SUMPRODUCT(Calc!$K$3:$K$22*(Calc!$G$3:$G$22&gt;A4544)*(Calc!$G$3:$G$22-A4544)^2)</f>
        <v/>
      </c>
      <c r="J4544">
        <f>SUMPRODUCT(Calc!$K$3:$K$22*(Calc!$G$3:$G$22&gt;B4544)*(Calc!$G$3:$G$22-B4544)^2)</f>
        <v/>
      </c>
      <c r="K4544">
        <f>SUMPRODUCT(Calc!$K$3:$K$22*(Calc!$G$3:$G$22&gt;A4544)*(Calc!$G$3:$G$22-A4544)*(Calc!$G$3:$G$22&gt;B4544)*(Calc!$G$3:$G$22-B4544))</f>
        <v/>
      </c>
      <c r="L4544">
        <f>SUMPRODUCT(Calc!$K$3:$K$22*(Calc!$G$3:$G$22&gt;A4544)*(Calc!$G$3:$G$22-A4544)*Calc!$G$3:$G$22)</f>
        <v/>
      </c>
      <c r="M4544">
        <f>SUMPRODUCT(Calc!$K$3:$K$22*(Calc!$G$3:$G$22&gt;B4544)*(Calc!$G$3:$G$22-B4544)*Calc!$G$3:$G$22)</f>
        <v/>
      </c>
      <c r="N4544">
        <f>SUMPRODUCT(Calc!$K$3:$K$22*(Calc!$G$3:$G$22&gt;A4544)*(Calc!$G$3:$G$22-A4544)*Calc!$I$3:$I$22)</f>
        <v/>
      </c>
      <c r="O4544">
        <f>SUMPRODUCT(Calc!$K$3:$K$22*(Calc!$G$3:$G$22&gt;B4544)*(Calc!$G$3:$G$22-B4544)*Calc!$I$3:$I$22)</f>
        <v/>
      </c>
      <c r="P4544">
        <f>I4544-G4544^2/k_n</f>
        <v/>
      </c>
      <c r="Q4544">
        <f>J4544-H4544^2/k_n</f>
        <v/>
      </c>
      <c r="R4544">
        <f>K4544-G4544*H4544/k_n</f>
        <v/>
      </c>
      <c r="S4544">
        <f>L4544-LTP3!$D$3*G4544/k_n</f>
        <v/>
      </c>
      <c r="T4544">
        <f>M4544-LTP3!$D$3*H4544/k_n</f>
        <v/>
      </c>
      <c r="U4544">
        <f>N4544-G4544*LTP3!$D$4/k_n</f>
        <v/>
      </c>
      <c r="V4544">
        <f>O4544-H4544*LTP3!$D$4/k_n</f>
        <v/>
      </c>
      <c r="W4544">
        <f>((LTP3!$D$5)*((P4544)*(Q4544)-(R4544)*(R4544))-(S4544)*((S4544)*(Q4544)-(R4544)*(T4544))+(T4544)*((S4544)*(R4544)-(P4544)*(T4544)))</f>
        <v/>
      </c>
      <c r="X4544">
        <f>IF(ABS(W4544)&gt;1E-12,((LTP3!$D$6)*((P4544)*(Q4544)-(R4544)*(R4544))-(S4544)*((U4544)*(Q4544)-(R4544)*(V4544))+(T4544)*((U4544)*(R4544)-(P4544)*(V4544)))/W4544,0)</f>
        <v/>
      </c>
      <c r="Y4544">
        <f>IF(ABS(W4544)&gt;1E-12,((LTP3!$D$5)*((U4544)*(Q4544)-(R4544)*(V4544))-(LTP3!$D$6)*((S4544)*(Q4544)-(R4544)*(T4544))+(T4544)*((S4544)*(V4544)-(U4544)*(T4544)))/W4544,0)</f>
        <v/>
      </c>
      <c r="Z4544">
        <f>IF(ABS(W4544)&gt;1E-12,((LTP3!$D$5)*((P4544)*(V4544)-(U4544)*(R4544))-(S4544)*((S4544)*(V4544)-(U4544)*(T4544))+(LTP3!$D$6)*((S4544)*(R4544)-(P4544)*(T4544)))/W4544,0)</f>
        <v/>
      </c>
      <c r="AA4544">
        <f>LTP3!$D$7-X4544*LTP3!$D$6-Y4544*U4544-Z4544*V4544</f>
        <v/>
      </c>
      <c r="AB4544">
        <f>IF(AND(F4544,ABS(W4544)&gt;1E-12,Y4544&gt;0,Z4544&gt;0),AA4544,1E+300)</f>
        <v/>
      </c>
    </row>
    <row r="4545">
      <c r="A4545">
        <f>$I$4-$B$5/10+$B$5*17/100</f>
        <v/>
      </c>
      <c r="B4545">
        <f>$J$4-$B$5/10+$B$5*8/100</f>
        <v/>
      </c>
      <c r="C4545">
        <f>SUMPRODUCT(Calc!$K$3:$K$22*(Calc!$G$3:$G$22&lt;=A4545))</f>
        <v/>
      </c>
      <c r="D4545">
        <f>SUMPRODUCT(Calc!$K$3:$K$22*(Calc!$G$3:$G$22&gt;A4545)*(Calc!$G$3:$G$22&lt;B4545))</f>
        <v/>
      </c>
      <c r="E4545">
        <f>SUMPRODUCT(Calc!$K$3:$K$22*(Calc!$G$3:$G$22&gt;=B4545))</f>
        <v/>
      </c>
      <c r="F4545">
        <f>AND(k_n&gt;=5,B4545&gt;A4545+1E-9,C4545&gt;=2,D4545&gt;=1,E4545&gt;=2)</f>
        <v/>
      </c>
      <c r="G4545">
        <f>SUMPRODUCT(Calc!$K$3:$K$22*(Calc!$G$3:$G$22&gt;A4545)*(Calc!$G$3:$G$22-A4545))</f>
        <v/>
      </c>
      <c r="H4545">
        <f>SUMPRODUCT(Calc!$K$3:$K$22*(Calc!$G$3:$G$22&gt;B4545)*(Calc!$G$3:$G$22-B4545))</f>
        <v/>
      </c>
      <c r="I4545">
        <f>SUMPRODUCT(Calc!$K$3:$K$22*(Calc!$G$3:$G$22&gt;A4545)*(Calc!$G$3:$G$22-A4545)^2)</f>
        <v/>
      </c>
      <c r="J4545">
        <f>SUMPRODUCT(Calc!$K$3:$K$22*(Calc!$G$3:$G$22&gt;B4545)*(Calc!$G$3:$G$22-B4545)^2)</f>
        <v/>
      </c>
      <c r="K4545">
        <f>SUMPRODUCT(Calc!$K$3:$K$22*(Calc!$G$3:$G$22&gt;A4545)*(Calc!$G$3:$G$22-A4545)*(Calc!$G$3:$G$22&gt;B4545)*(Calc!$G$3:$G$22-B4545))</f>
        <v/>
      </c>
      <c r="L4545">
        <f>SUMPRODUCT(Calc!$K$3:$K$22*(Calc!$G$3:$G$22&gt;A4545)*(Calc!$G$3:$G$22-A4545)*Calc!$G$3:$G$22)</f>
        <v/>
      </c>
      <c r="M4545">
        <f>SUMPRODUCT(Calc!$K$3:$K$22*(Calc!$G$3:$G$22&gt;B4545)*(Calc!$G$3:$G$22-B4545)*Calc!$G$3:$G$22)</f>
        <v/>
      </c>
      <c r="N4545">
        <f>SUMPRODUCT(Calc!$K$3:$K$22*(Calc!$G$3:$G$22&gt;A4545)*(Calc!$G$3:$G$22-A4545)*Calc!$I$3:$I$22)</f>
        <v/>
      </c>
      <c r="O4545">
        <f>SUMPRODUCT(Calc!$K$3:$K$22*(Calc!$G$3:$G$22&gt;B4545)*(Calc!$G$3:$G$22-B4545)*Calc!$I$3:$I$22)</f>
        <v/>
      </c>
      <c r="P4545">
        <f>I4545-G4545^2/k_n</f>
        <v/>
      </c>
      <c r="Q4545">
        <f>J4545-H4545^2/k_n</f>
        <v/>
      </c>
      <c r="R4545">
        <f>K4545-G4545*H4545/k_n</f>
        <v/>
      </c>
      <c r="S4545">
        <f>L4545-LTP3!$D$3*G4545/k_n</f>
        <v/>
      </c>
      <c r="T4545">
        <f>M4545-LTP3!$D$3*H4545/k_n</f>
        <v/>
      </c>
      <c r="U4545">
        <f>N4545-G4545*LTP3!$D$4/k_n</f>
        <v/>
      </c>
      <c r="V4545">
        <f>O4545-H4545*LTP3!$D$4/k_n</f>
        <v/>
      </c>
      <c r="W4545">
        <f>((LTP3!$D$5)*((P4545)*(Q4545)-(R4545)*(R4545))-(S4545)*((S4545)*(Q4545)-(R4545)*(T4545))+(T4545)*((S4545)*(R4545)-(P4545)*(T4545)))</f>
        <v/>
      </c>
      <c r="X4545">
        <f>IF(ABS(W4545)&gt;1E-12,((LTP3!$D$6)*((P4545)*(Q4545)-(R4545)*(R4545))-(S4545)*((U4545)*(Q4545)-(R4545)*(V4545))+(T4545)*((U4545)*(R4545)-(P4545)*(V4545)))/W4545,0)</f>
        <v/>
      </c>
      <c r="Y4545">
        <f>IF(ABS(W4545)&gt;1E-12,((LTP3!$D$5)*((U4545)*(Q4545)-(R4545)*(V4545))-(LTP3!$D$6)*((S4545)*(Q4545)-(R4545)*(T4545))+(T4545)*((S4545)*(V4545)-(U4545)*(T4545)))/W4545,0)</f>
        <v/>
      </c>
      <c r="Z4545">
        <f>IF(ABS(W4545)&gt;1E-12,((LTP3!$D$5)*((P4545)*(V4545)-(U4545)*(R4545))-(S4545)*((S4545)*(V4545)-(U4545)*(T4545))+(LTP3!$D$6)*((S4545)*(R4545)-(P4545)*(T4545)))/W4545,0)</f>
        <v/>
      </c>
      <c r="AA4545">
        <f>LTP3!$D$7-X4545*LTP3!$D$6-Y4545*U4545-Z4545*V4545</f>
        <v/>
      </c>
      <c r="AB4545">
        <f>IF(AND(F4545,ABS(W4545)&gt;1E-12,Y4545&gt;0,Z4545&gt;0),AA4545,1E+300)</f>
        <v/>
      </c>
    </row>
    <row r="4546">
      <c r="A4546">
        <f>$I$4-$B$5/10+$B$5*17/100</f>
        <v/>
      </c>
      <c r="B4546">
        <f>$J$4-$B$5/10+$B$5*9/100</f>
        <v/>
      </c>
      <c r="C4546">
        <f>SUMPRODUCT(Calc!$K$3:$K$22*(Calc!$G$3:$G$22&lt;=A4546))</f>
        <v/>
      </c>
      <c r="D4546">
        <f>SUMPRODUCT(Calc!$K$3:$K$22*(Calc!$G$3:$G$22&gt;A4546)*(Calc!$G$3:$G$22&lt;B4546))</f>
        <v/>
      </c>
      <c r="E4546">
        <f>SUMPRODUCT(Calc!$K$3:$K$22*(Calc!$G$3:$G$22&gt;=B4546))</f>
        <v/>
      </c>
      <c r="F4546">
        <f>AND(k_n&gt;=5,B4546&gt;A4546+1E-9,C4546&gt;=2,D4546&gt;=1,E4546&gt;=2)</f>
        <v/>
      </c>
      <c r="G4546">
        <f>SUMPRODUCT(Calc!$K$3:$K$22*(Calc!$G$3:$G$22&gt;A4546)*(Calc!$G$3:$G$22-A4546))</f>
        <v/>
      </c>
      <c r="H4546">
        <f>SUMPRODUCT(Calc!$K$3:$K$22*(Calc!$G$3:$G$22&gt;B4546)*(Calc!$G$3:$G$22-B4546))</f>
        <v/>
      </c>
      <c r="I4546">
        <f>SUMPRODUCT(Calc!$K$3:$K$22*(Calc!$G$3:$G$22&gt;A4546)*(Calc!$G$3:$G$22-A4546)^2)</f>
        <v/>
      </c>
      <c r="J4546">
        <f>SUMPRODUCT(Calc!$K$3:$K$22*(Calc!$G$3:$G$22&gt;B4546)*(Calc!$G$3:$G$22-B4546)^2)</f>
        <v/>
      </c>
      <c r="K4546">
        <f>SUMPRODUCT(Calc!$K$3:$K$22*(Calc!$G$3:$G$22&gt;A4546)*(Calc!$G$3:$G$22-A4546)*(Calc!$G$3:$G$22&gt;B4546)*(Calc!$G$3:$G$22-B4546))</f>
        <v/>
      </c>
      <c r="L4546">
        <f>SUMPRODUCT(Calc!$K$3:$K$22*(Calc!$G$3:$G$22&gt;A4546)*(Calc!$G$3:$G$22-A4546)*Calc!$G$3:$G$22)</f>
        <v/>
      </c>
      <c r="M4546">
        <f>SUMPRODUCT(Calc!$K$3:$K$22*(Calc!$G$3:$G$22&gt;B4546)*(Calc!$G$3:$G$22-B4546)*Calc!$G$3:$G$22)</f>
        <v/>
      </c>
      <c r="N4546">
        <f>SUMPRODUCT(Calc!$K$3:$K$22*(Calc!$G$3:$G$22&gt;A4546)*(Calc!$G$3:$G$22-A4546)*Calc!$I$3:$I$22)</f>
        <v/>
      </c>
      <c r="O4546">
        <f>SUMPRODUCT(Calc!$K$3:$K$22*(Calc!$G$3:$G$22&gt;B4546)*(Calc!$G$3:$G$22-B4546)*Calc!$I$3:$I$22)</f>
        <v/>
      </c>
      <c r="P4546">
        <f>I4546-G4546^2/k_n</f>
        <v/>
      </c>
      <c r="Q4546">
        <f>J4546-H4546^2/k_n</f>
        <v/>
      </c>
      <c r="R4546">
        <f>K4546-G4546*H4546/k_n</f>
        <v/>
      </c>
      <c r="S4546">
        <f>L4546-LTP3!$D$3*G4546/k_n</f>
        <v/>
      </c>
      <c r="T4546">
        <f>M4546-LTP3!$D$3*H4546/k_n</f>
        <v/>
      </c>
      <c r="U4546">
        <f>N4546-G4546*LTP3!$D$4/k_n</f>
        <v/>
      </c>
      <c r="V4546">
        <f>O4546-H4546*LTP3!$D$4/k_n</f>
        <v/>
      </c>
      <c r="W4546">
        <f>((LTP3!$D$5)*((P4546)*(Q4546)-(R4546)*(R4546))-(S4546)*((S4546)*(Q4546)-(R4546)*(T4546))+(T4546)*((S4546)*(R4546)-(P4546)*(T4546)))</f>
        <v/>
      </c>
      <c r="X4546">
        <f>IF(ABS(W4546)&gt;1E-12,((LTP3!$D$6)*((P4546)*(Q4546)-(R4546)*(R4546))-(S4546)*((U4546)*(Q4546)-(R4546)*(V4546))+(T4546)*((U4546)*(R4546)-(P4546)*(V4546)))/W4546,0)</f>
        <v/>
      </c>
      <c r="Y4546">
        <f>IF(ABS(W4546)&gt;1E-12,((LTP3!$D$5)*((U4546)*(Q4546)-(R4546)*(V4546))-(LTP3!$D$6)*((S4546)*(Q4546)-(R4546)*(T4546))+(T4546)*((S4546)*(V4546)-(U4546)*(T4546)))/W4546,0)</f>
        <v/>
      </c>
      <c r="Z4546">
        <f>IF(ABS(W4546)&gt;1E-12,((LTP3!$D$5)*((P4546)*(V4546)-(U4546)*(R4546))-(S4546)*((S4546)*(V4546)-(U4546)*(T4546))+(LTP3!$D$6)*((S4546)*(R4546)-(P4546)*(T4546)))/W4546,0)</f>
        <v/>
      </c>
      <c r="AA4546">
        <f>LTP3!$D$7-X4546*LTP3!$D$6-Y4546*U4546-Z4546*V4546</f>
        <v/>
      </c>
      <c r="AB4546">
        <f>IF(AND(F4546,ABS(W4546)&gt;1E-12,Y4546&gt;0,Z4546&gt;0),AA4546,1E+300)</f>
        <v/>
      </c>
    </row>
    <row r="4547">
      <c r="A4547">
        <f>$I$4-$B$5/10+$B$5*17/100</f>
        <v/>
      </c>
      <c r="B4547">
        <f>$J$4-$B$5/10+$B$5*10/100</f>
        <v/>
      </c>
      <c r="C4547">
        <f>SUMPRODUCT(Calc!$K$3:$K$22*(Calc!$G$3:$G$22&lt;=A4547))</f>
        <v/>
      </c>
      <c r="D4547">
        <f>SUMPRODUCT(Calc!$K$3:$K$22*(Calc!$G$3:$G$22&gt;A4547)*(Calc!$G$3:$G$22&lt;B4547))</f>
        <v/>
      </c>
      <c r="E4547">
        <f>SUMPRODUCT(Calc!$K$3:$K$22*(Calc!$G$3:$G$22&gt;=B4547))</f>
        <v/>
      </c>
      <c r="F4547">
        <f>AND(k_n&gt;=5,B4547&gt;A4547+1E-9,C4547&gt;=2,D4547&gt;=1,E4547&gt;=2)</f>
        <v/>
      </c>
      <c r="G4547">
        <f>SUMPRODUCT(Calc!$K$3:$K$22*(Calc!$G$3:$G$22&gt;A4547)*(Calc!$G$3:$G$22-A4547))</f>
        <v/>
      </c>
      <c r="H4547">
        <f>SUMPRODUCT(Calc!$K$3:$K$22*(Calc!$G$3:$G$22&gt;B4547)*(Calc!$G$3:$G$22-B4547))</f>
        <v/>
      </c>
      <c r="I4547">
        <f>SUMPRODUCT(Calc!$K$3:$K$22*(Calc!$G$3:$G$22&gt;A4547)*(Calc!$G$3:$G$22-A4547)^2)</f>
        <v/>
      </c>
      <c r="J4547">
        <f>SUMPRODUCT(Calc!$K$3:$K$22*(Calc!$G$3:$G$22&gt;B4547)*(Calc!$G$3:$G$22-B4547)^2)</f>
        <v/>
      </c>
      <c r="K4547">
        <f>SUMPRODUCT(Calc!$K$3:$K$22*(Calc!$G$3:$G$22&gt;A4547)*(Calc!$G$3:$G$22-A4547)*(Calc!$G$3:$G$22&gt;B4547)*(Calc!$G$3:$G$22-B4547))</f>
        <v/>
      </c>
      <c r="L4547">
        <f>SUMPRODUCT(Calc!$K$3:$K$22*(Calc!$G$3:$G$22&gt;A4547)*(Calc!$G$3:$G$22-A4547)*Calc!$G$3:$G$22)</f>
        <v/>
      </c>
      <c r="M4547">
        <f>SUMPRODUCT(Calc!$K$3:$K$22*(Calc!$G$3:$G$22&gt;B4547)*(Calc!$G$3:$G$22-B4547)*Calc!$G$3:$G$22)</f>
        <v/>
      </c>
      <c r="N4547">
        <f>SUMPRODUCT(Calc!$K$3:$K$22*(Calc!$G$3:$G$22&gt;A4547)*(Calc!$G$3:$G$22-A4547)*Calc!$I$3:$I$22)</f>
        <v/>
      </c>
      <c r="O4547">
        <f>SUMPRODUCT(Calc!$K$3:$K$22*(Calc!$G$3:$G$22&gt;B4547)*(Calc!$G$3:$G$22-B4547)*Calc!$I$3:$I$22)</f>
        <v/>
      </c>
      <c r="P4547">
        <f>I4547-G4547^2/k_n</f>
        <v/>
      </c>
      <c r="Q4547">
        <f>J4547-H4547^2/k_n</f>
        <v/>
      </c>
      <c r="R4547">
        <f>K4547-G4547*H4547/k_n</f>
        <v/>
      </c>
      <c r="S4547">
        <f>L4547-LTP3!$D$3*G4547/k_n</f>
        <v/>
      </c>
      <c r="T4547">
        <f>M4547-LTP3!$D$3*H4547/k_n</f>
        <v/>
      </c>
      <c r="U4547">
        <f>N4547-G4547*LTP3!$D$4/k_n</f>
        <v/>
      </c>
      <c r="V4547">
        <f>O4547-H4547*LTP3!$D$4/k_n</f>
        <v/>
      </c>
      <c r="W4547">
        <f>((LTP3!$D$5)*((P4547)*(Q4547)-(R4547)*(R4547))-(S4547)*((S4547)*(Q4547)-(R4547)*(T4547))+(T4547)*((S4547)*(R4547)-(P4547)*(T4547)))</f>
        <v/>
      </c>
      <c r="X4547">
        <f>IF(ABS(W4547)&gt;1E-12,((LTP3!$D$6)*((P4547)*(Q4547)-(R4547)*(R4547))-(S4547)*((U4547)*(Q4547)-(R4547)*(V4547))+(T4547)*((U4547)*(R4547)-(P4547)*(V4547)))/W4547,0)</f>
        <v/>
      </c>
      <c r="Y4547">
        <f>IF(ABS(W4547)&gt;1E-12,((LTP3!$D$5)*((U4547)*(Q4547)-(R4547)*(V4547))-(LTP3!$D$6)*((S4547)*(Q4547)-(R4547)*(T4547))+(T4547)*((S4547)*(V4547)-(U4547)*(T4547)))/W4547,0)</f>
        <v/>
      </c>
      <c r="Z4547">
        <f>IF(ABS(W4547)&gt;1E-12,((LTP3!$D$5)*((P4547)*(V4547)-(U4547)*(R4547))-(S4547)*((S4547)*(V4547)-(U4547)*(T4547))+(LTP3!$D$6)*((S4547)*(R4547)-(P4547)*(T4547)))/W4547,0)</f>
        <v/>
      </c>
      <c r="AA4547">
        <f>LTP3!$D$7-X4547*LTP3!$D$6-Y4547*U4547-Z4547*V4547</f>
        <v/>
      </c>
      <c r="AB4547">
        <f>IF(AND(F4547,ABS(W4547)&gt;1E-12,Y4547&gt;0,Z4547&gt;0),AA4547,1E+300)</f>
        <v/>
      </c>
    </row>
    <row r="4548">
      <c r="A4548">
        <f>$I$4-$B$5/10+$B$5*17/100</f>
        <v/>
      </c>
      <c r="B4548">
        <f>$J$4-$B$5/10+$B$5*11/100</f>
        <v/>
      </c>
      <c r="C4548">
        <f>SUMPRODUCT(Calc!$K$3:$K$22*(Calc!$G$3:$G$22&lt;=A4548))</f>
        <v/>
      </c>
      <c r="D4548">
        <f>SUMPRODUCT(Calc!$K$3:$K$22*(Calc!$G$3:$G$22&gt;A4548)*(Calc!$G$3:$G$22&lt;B4548))</f>
        <v/>
      </c>
      <c r="E4548">
        <f>SUMPRODUCT(Calc!$K$3:$K$22*(Calc!$G$3:$G$22&gt;=B4548))</f>
        <v/>
      </c>
      <c r="F4548">
        <f>AND(k_n&gt;=5,B4548&gt;A4548+1E-9,C4548&gt;=2,D4548&gt;=1,E4548&gt;=2)</f>
        <v/>
      </c>
      <c r="G4548">
        <f>SUMPRODUCT(Calc!$K$3:$K$22*(Calc!$G$3:$G$22&gt;A4548)*(Calc!$G$3:$G$22-A4548))</f>
        <v/>
      </c>
      <c r="H4548">
        <f>SUMPRODUCT(Calc!$K$3:$K$22*(Calc!$G$3:$G$22&gt;B4548)*(Calc!$G$3:$G$22-B4548))</f>
        <v/>
      </c>
      <c r="I4548">
        <f>SUMPRODUCT(Calc!$K$3:$K$22*(Calc!$G$3:$G$22&gt;A4548)*(Calc!$G$3:$G$22-A4548)^2)</f>
        <v/>
      </c>
      <c r="J4548">
        <f>SUMPRODUCT(Calc!$K$3:$K$22*(Calc!$G$3:$G$22&gt;B4548)*(Calc!$G$3:$G$22-B4548)^2)</f>
        <v/>
      </c>
      <c r="K4548">
        <f>SUMPRODUCT(Calc!$K$3:$K$22*(Calc!$G$3:$G$22&gt;A4548)*(Calc!$G$3:$G$22-A4548)*(Calc!$G$3:$G$22&gt;B4548)*(Calc!$G$3:$G$22-B4548))</f>
        <v/>
      </c>
      <c r="L4548">
        <f>SUMPRODUCT(Calc!$K$3:$K$22*(Calc!$G$3:$G$22&gt;A4548)*(Calc!$G$3:$G$22-A4548)*Calc!$G$3:$G$22)</f>
        <v/>
      </c>
      <c r="M4548">
        <f>SUMPRODUCT(Calc!$K$3:$K$22*(Calc!$G$3:$G$22&gt;B4548)*(Calc!$G$3:$G$22-B4548)*Calc!$G$3:$G$22)</f>
        <v/>
      </c>
      <c r="N4548">
        <f>SUMPRODUCT(Calc!$K$3:$K$22*(Calc!$G$3:$G$22&gt;A4548)*(Calc!$G$3:$G$22-A4548)*Calc!$I$3:$I$22)</f>
        <v/>
      </c>
      <c r="O4548">
        <f>SUMPRODUCT(Calc!$K$3:$K$22*(Calc!$G$3:$G$22&gt;B4548)*(Calc!$G$3:$G$22-B4548)*Calc!$I$3:$I$22)</f>
        <v/>
      </c>
      <c r="P4548">
        <f>I4548-G4548^2/k_n</f>
        <v/>
      </c>
      <c r="Q4548">
        <f>J4548-H4548^2/k_n</f>
        <v/>
      </c>
      <c r="R4548">
        <f>K4548-G4548*H4548/k_n</f>
        <v/>
      </c>
      <c r="S4548">
        <f>L4548-LTP3!$D$3*G4548/k_n</f>
        <v/>
      </c>
      <c r="T4548">
        <f>M4548-LTP3!$D$3*H4548/k_n</f>
        <v/>
      </c>
      <c r="U4548">
        <f>N4548-G4548*LTP3!$D$4/k_n</f>
        <v/>
      </c>
      <c r="V4548">
        <f>O4548-H4548*LTP3!$D$4/k_n</f>
        <v/>
      </c>
      <c r="W4548">
        <f>((LTP3!$D$5)*((P4548)*(Q4548)-(R4548)*(R4548))-(S4548)*((S4548)*(Q4548)-(R4548)*(T4548))+(T4548)*((S4548)*(R4548)-(P4548)*(T4548)))</f>
        <v/>
      </c>
      <c r="X4548">
        <f>IF(ABS(W4548)&gt;1E-12,((LTP3!$D$6)*((P4548)*(Q4548)-(R4548)*(R4548))-(S4548)*((U4548)*(Q4548)-(R4548)*(V4548))+(T4548)*((U4548)*(R4548)-(P4548)*(V4548)))/W4548,0)</f>
        <v/>
      </c>
      <c r="Y4548">
        <f>IF(ABS(W4548)&gt;1E-12,((LTP3!$D$5)*((U4548)*(Q4548)-(R4548)*(V4548))-(LTP3!$D$6)*((S4548)*(Q4548)-(R4548)*(T4548))+(T4548)*((S4548)*(V4548)-(U4548)*(T4548)))/W4548,0)</f>
        <v/>
      </c>
      <c r="Z4548">
        <f>IF(ABS(W4548)&gt;1E-12,((LTP3!$D$5)*((P4548)*(V4548)-(U4548)*(R4548))-(S4548)*((S4548)*(V4548)-(U4548)*(T4548))+(LTP3!$D$6)*((S4548)*(R4548)-(P4548)*(T4548)))/W4548,0)</f>
        <v/>
      </c>
      <c r="AA4548">
        <f>LTP3!$D$7-X4548*LTP3!$D$6-Y4548*U4548-Z4548*V4548</f>
        <v/>
      </c>
      <c r="AB4548">
        <f>IF(AND(F4548,ABS(W4548)&gt;1E-12,Y4548&gt;0,Z4548&gt;0),AA4548,1E+300)</f>
        <v/>
      </c>
    </row>
    <row r="4549">
      <c r="A4549">
        <f>$I$4-$B$5/10+$B$5*17/100</f>
        <v/>
      </c>
      <c r="B4549">
        <f>$J$4-$B$5/10+$B$5*12/100</f>
        <v/>
      </c>
      <c r="C4549">
        <f>SUMPRODUCT(Calc!$K$3:$K$22*(Calc!$G$3:$G$22&lt;=A4549))</f>
        <v/>
      </c>
      <c r="D4549">
        <f>SUMPRODUCT(Calc!$K$3:$K$22*(Calc!$G$3:$G$22&gt;A4549)*(Calc!$G$3:$G$22&lt;B4549))</f>
        <v/>
      </c>
      <c r="E4549">
        <f>SUMPRODUCT(Calc!$K$3:$K$22*(Calc!$G$3:$G$22&gt;=B4549))</f>
        <v/>
      </c>
      <c r="F4549">
        <f>AND(k_n&gt;=5,B4549&gt;A4549+1E-9,C4549&gt;=2,D4549&gt;=1,E4549&gt;=2)</f>
        <v/>
      </c>
      <c r="G4549">
        <f>SUMPRODUCT(Calc!$K$3:$K$22*(Calc!$G$3:$G$22&gt;A4549)*(Calc!$G$3:$G$22-A4549))</f>
        <v/>
      </c>
      <c r="H4549">
        <f>SUMPRODUCT(Calc!$K$3:$K$22*(Calc!$G$3:$G$22&gt;B4549)*(Calc!$G$3:$G$22-B4549))</f>
        <v/>
      </c>
      <c r="I4549">
        <f>SUMPRODUCT(Calc!$K$3:$K$22*(Calc!$G$3:$G$22&gt;A4549)*(Calc!$G$3:$G$22-A4549)^2)</f>
        <v/>
      </c>
      <c r="J4549">
        <f>SUMPRODUCT(Calc!$K$3:$K$22*(Calc!$G$3:$G$22&gt;B4549)*(Calc!$G$3:$G$22-B4549)^2)</f>
        <v/>
      </c>
      <c r="K4549">
        <f>SUMPRODUCT(Calc!$K$3:$K$22*(Calc!$G$3:$G$22&gt;A4549)*(Calc!$G$3:$G$22-A4549)*(Calc!$G$3:$G$22&gt;B4549)*(Calc!$G$3:$G$22-B4549))</f>
        <v/>
      </c>
      <c r="L4549">
        <f>SUMPRODUCT(Calc!$K$3:$K$22*(Calc!$G$3:$G$22&gt;A4549)*(Calc!$G$3:$G$22-A4549)*Calc!$G$3:$G$22)</f>
        <v/>
      </c>
      <c r="M4549">
        <f>SUMPRODUCT(Calc!$K$3:$K$22*(Calc!$G$3:$G$22&gt;B4549)*(Calc!$G$3:$G$22-B4549)*Calc!$G$3:$G$22)</f>
        <v/>
      </c>
      <c r="N4549">
        <f>SUMPRODUCT(Calc!$K$3:$K$22*(Calc!$G$3:$G$22&gt;A4549)*(Calc!$G$3:$G$22-A4549)*Calc!$I$3:$I$22)</f>
        <v/>
      </c>
      <c r="O4549">
        <f>SUMPRODUCT(Calc!$K$3:$K$22*(Calc!$G$3:$G$22&gt;B4549)*(Calc!$G$3:$G$22-B4549)*Calc!$I$3:$I$22)</f>
        <v/>
      </c>
      <c r="P4549">
        <f>I4549-G4549^2/k_n</f>
        <v/>
      </c>
      <c r="Q4549">
        <f>J4549-H4549^2/k_n</f>
        <v/>
      </c>
      <c r="R4549">
        <f>K4549-G4549*H4549/k_n</f>
        <v/>
      </c>
      <c r="S4549">
        <f>L4549-LTP3!$D$3*G4549/k_n</f>
        <v/>
      </c>
      <c r="T4549">
        <f>M4549-LTP3!$D$3*H4549/k_n</f>
        <v/>
      </c>
      <c r="U4549">
        <f>N4549-G4549*LTP3!$D$4/k_n</f>
        <v/>
      </c>
      <c r="V4549">
        <f>O4549-H4549*LTP3!$D$4/k_n</f>
        <v/>
      </c>
      <c r="W4549">
        <f>((LTP3!$D$5)*((P4549)*(Q4549)-(R4549)*(R4549))-(S4549)*((S4549)*(Q4549)-(R4549)*(T4549))+(T4549)*((S4549)*(R4549)-(P4549)*(T4549)))</f>
        <v/>
      </c>
      <c r="X4549">
        <f>IF(ABS(W4549)&gt;1E-12,((LTP3!$D$6)*((P4549)*(Q4549)-(R4549)*(R4549))-(S4549)*((U4549)*(Q4549)-(R4549)*(V4549))+(T4549)*((U4549)*(R4549)-(P4549)*(V4549)))/W4549,0)</f>
        <v/>
      </c>
      <c r="Y4549">
        <f>IF(ABS(W4549)&gt;1E-12,((LTP3!$D$5)*((U4549)*(Q4549)-(R4549)*(V4549))-(LTP3!$D$6)*((S4549)*(Q4549)-(R4549)*(T4549))+(T4549)*((S4549)*(V4549)-(U4549)*(T4549)))/W4549,0)</f>
        <v/>
      </c>
      <c r="Z4549">
        <f>IF(ABS(W4549)&gt;1E-12,((LTP3!$D$5)*((P4549)*(V4549)-(U4549)*(R4549))-(S4549)*((S4549)*(V4549)-(U4549)*(T4549))+(LTP3!$D$6)*((S4549)*(R4549)-(P4549)*(T4549)))/W4549,0)</f>
        <v/>
      </c>
      <c r="AA4549">
        <f>LTP3!$D$7-X4549*LTP3!$D$6-Y4549*U4549-Z4549*V4549</f>
        <v/>
      </c>
      <c r="AB4549">
        <f>IF(AND(F4549,ABS(W4549)&gt;1E-12,Y4549&gt;0,Z4549&gt;0),AA4549,1E+300)</f>
        <v/>
      </c>
    </row>
    <row r="4550">
      <c r="A4550">
        <f>$I$4-$B$5/10+$B$5*17/100</f>
        <v/>
      </c>
      <c r="B4550">
        <f>$J$4-$B$5/10+$B$5*13/100</f>
        <v/>
      </c>
      <c r="C4550">
        <f>SUMPRODUCT(Calc!$K$3:$K$22*(Calc!$G$3:$G$22&lt;=A4550))</f>
        <v/>
      </c>
      <c r="D4550">
        <f>SUMPRODUCT(Calc!$K$3:$K$22*(Calc!$G$3:$G$22&gt;A4550)*(Calc!$G$3:$G$22&lt;B4550))</f>
        <v/>
      </c>
      <c r="E4550">
        <f>SUMPRODUCT(Calc!$K$3:$K$22*(Calc!$G$3:$G$22&gt;=B4550))</f>
        <v/>
      </c>
      <c r="F4550">
        <f>AND(k_n&gt;=5,B4550&gt;A4550+1E-9,C4550&gt;=2,D4550&gt;=1,E4550&gt;=2)</f>
        <v/>
      </c>
      <c r="G4550">
        <f>SUMPRODUCT(Calc!$K$3:$K$22*(Calc!$G$3:$G$22&gt;A4550)*(Calc!$G$3:$G$22-A4550))</f>
        <v/>
      </c>
      <c r="H4550">
        <f>SUMPRODUCT(Calc!$K$3:$K$22*(Calc!$G$3:$G$22&gt;B4550)*(Calc!$G$3:$G$22-B4550))</f>
        <v/>
      </c>
      <c r="I4550">
        <f>SUMPRODUCT(Calc!$K$3:$K$22*(Calc!$G$3:$G$22&gt;A4550)*(Calc!$G$3:$G$22-A4550)^2)</f>
        <v/>
      </c>
      <c r="J4550">
        <f>SUMPRODUCT(Calc!$K$3:$K$22*(Calc!$G$3:$G$22&gt;B4550)*(Calc!$G$3:$G$22-B4550)^2)</f>
        <v/>
      </c>
      <c r="K4550">
        <f>SUMPRODUCT(Calc!$K$3:$K$22*(Calc!$G$3:$G$22&gt;A4550)*(Calc!$G$3:$G$22-A4550)*(Calc!$G$3:$G$22&gt;B4550)*(Calc!$G$3:$G$22-B4550))</f>
        <v/>
      </c>
      <c r="L4550">
        <f>SUMPRODUCT(Calc!$K$3:$K$22*(Calc!$G$3:$G$22&gt;A4550)*(Calc!$G$3:$G$22-A4550)*Calc!$G$3:$G$22)</f>
        <v/>
      </c>
      <c r="M4550">
        <f>SUMPRODUCT(Calc!$K$3:$K$22*(Calc!$G$3:$G$22&gt;B4550)*(Calc!$G$3:$G$22-B4550)*Calc!$G$3:$G$22)</f>
        <v/>
      </c>
      <c r="N4550">
        <f>SUMPRODUCT(Calc!$K$3:$K$22*(Calc!$G$3:$G$22&gt;A4550)*(Calc!$G$3:$G$22-A4550)*Calc!$I$3:$I$22)</f>
        <v/>
      </c>
      <c r="O4550">
        <f>SUMPRODUCT(Calc!$K$3:$K$22*(Calc!$G$3:$G$22&gt;B4550)*(Calc!$G$3:$G$22-B4550)*Calc!$I$3:$I$22)</f>
        <v/>
      </c>
      <c r="P4550">
        <f>I4550-G4550^2/k_n</f>
        <v/>
      </c>
      <c r="Q4550">
        <f>J4550-H4550^2/k_n</f>
        <v/>
      </c>
      <c r="R4550">
        <f>K4550-G4550*H4550/k_n</f>
        <v/>
      </c>
      <c r="S4550">
        <f>L4550-LTP3!$D$3*G4550/k_n</f>
        <v/>
      </c>
      <c r="T4550">
        <f>M4550-LTP3!$D$3*H4550/k_n</f>
        <v/>
      </c>
      <c r="U4550">
        <f>N4550-G4550*LTP3!$D$4/k_n</f>
        <v/>
      </c>
      <c r="V4550">
        <f>O4550-H4550*LTP3!$D$4/k_n</f>
        <v/>
      </c>
      <c r="W4550">
        <f>((LTP3!$D$5)*((P4550)*(Q4550)-(R4550)*(R4550))-(S4550)*((S4550)*(Q4550)-(R4550)*(T4550))+(T4550)*((S4550)*(R4550)-(P4550)*(T4550)))</f>
        <v/>
      </c>
      <c r="X4550">
        <f>IF(ABS(W4550)&gt;1E-12,((LTP3!$D$6)*((P4550)*(Q4550)-(R4550)*(R4550))-(S4550)*((U4550)*(Q4550)-(R4550)*(V4550))+(T4550)*((U4550)*(R4550)-(P4550)*(V4550)))/W4550,0)</f>
        <v/>
      </c>
      <c r="Y4550">
        <f>IF(ABS(W4550)&gt;1E-12,((LTP3!$D$5)*((U4550)*(Q4550)-(R4550)*(V4550))-(LTP3!$D$6)*((S4550)*(Q4550)-(R4550)*(T4550))+(T4550)*((S4550)*(V4550)-(U4550)*(T4550)))/W4550,0)</f>
        <v/>
      </c>
      <c r="Z4550">
        <f>IF(ABS(W4550)&gt;1E-12,((LTP3!$D$5)*((P4550)*(V4550)-(U4550)*(R4550))-(S4550)*((S4550)*(V4550)-(U4550)*(T4550))+(LTP3!$D$6)*((S4550)*(R4550)-(P4550)*(T4550)))/W4550,0)</f>
        <v/>
      </c>
      <c r="AA4550">
        <f>LTP3!$D$7-X4550*LTP3!$D$6-Y4550*U4550-Z4550*V4550</f>
        <v/>
      </c>
      <c r="AB4550">
        <f>IF(AND(F4550,ABS(W4550)&gt;1E-12,Y4550&gt;0,Z4550&gt;0),AA4550,1E+300)</f>
        <v/>
      </c>
    </row>
    <row r="4551">
      <c r="A4551">
        <f>$I$4-$B$5/10+$B$5*17/100</f>
        <v/>
      </c>
      <c r="B4551">
        <f>$J$4-$B$5/10+$B$5*14/100</f>
        <v/>
      </c>
      <c r="C4551">
        <f>SUMPRODUCT(Calc!$K$3:$K$22*(Calc!$G$3:$G$22&lt;=A4551))</f>
        <v/>
      </c>
      <c r="D4551">
        <f>SUMPRODUCT(Calc!$K$3:$K$22*(Calc!$G$3:$G$22&gt;A4551)*(Calc!$G$3:$G$22&lt;B4551))</f>
        <v/>
      </c>
      <c r="E4551">
        <f>SUMPRODUCT(Calc!$K$3:$K$22*(Calc!$G$3:$G$22&gt;=B4551))</f>
        <v/>
      </c>
      <c r="F4551">
        <f>AND(k_n&gt;=5,B4551&gt;A4551+1E-9,C4551&gt;=2,D4551&gt;=1,E4551&gt;=2)</f>
        <v/>
      </c>
      <c r="G4551">
        <f>SUMPRODUCT(Calc!$K$3:$K$22*(Calc!$G$3:$G$22&gt;A4551)*(Calc!$G$3:$G$22-A4551))</f>
        <v/>
      </c>
      <c r="H4551">
        <f>SUMPRODUCT(Calc!$K$3:$K$22*(Calc!$G$3:$G$22&gt;B4551)*(Calc!$G$3:$G$22-B4551))</f>
        <v/>
      </c>
      <c r="I4551">
        <f>SUMPRODUCT(Calc!$K$3:$K$22*(Calc!$G$3:$G$22&gt;A4551)*(Calc!$G$3:$G$22-A4551)^2)</f>
        <v/>
      </c>
      <c r="J4551">
        <f>SUMPRODUCT(Calc!$K$3:$K$22*(Calc!$G$3:$G$22&gt;B4551)*(Calc!$G$3:$G$22-B4551)^2)</f>
        <v/>
      </c>
      <c r="K4551">
        <f>SUMPRODUCT(Calc!$K$3:$K$22*(Calc!$G$3:$G$22&gt;A4551)*(Calc!$G$3:$G$22-A4551)*(Calc!$G$3:$G$22&gt;B4551)*(Calc!$G$3:$G$22-B4551))</f>
        <v/>
      </c>
      <c r="L4551">
        <f>SUMPRODUCT(Calc!$K$3:$K$22*(Calc!$G$3:$G$22&gt;A4551)*(Calc!$G$3:$G$22-A4551)*Calc!$G$3:$G$22)</f>
        <v/>
      </c>
      <c r="M4551">
        <f>SUMPRODUCT(Calc!$K$3:$K$22*(Calc!$G$3:$G$22&gt;B4551)*(Calc!$G$3:$G$22-B4551)*Calc!$G$3:$G$22)</f>
        <v/>
      </c>
      <c r="N4551">
        <f>SUMPRODUCT(Calc!$K$3:$K$22*(Calc!$G$3:$G$22&gt;A4551)*(Calc!$G$3:$G$22-A4551)*Calc!$I$3:$I$22)</f>
        <v/>
      </c>
      <c r="O4551">
        <f>SUMPRODUCT(Calc!$K$3:$K$22*(Calc!$G$3:$G$22&gt;B4551)*(Calc!$G$3:$G$22-B4551)*Calc!$I$3:$I$22)</f>
        <v/>
      </c>
      <c r="P4551">
        <f>I4551-G4551^2/k_n</f>
        <v/>
      </c>
      <c r="Q4551">
        <f>J4551-H4551^2/k_n</f>
        <v/>
      </c>
      <c r="R4551">
        <f>K4551-G4551*H4551/k_n</f>
        <v/>
      </c>
      <c r="S4551">
        <f>L4551-LTP3!$D$3*G4551/k_n</f>
        <v/>
      </c>
      <c r="T4551">
        <f>M4551-LTP3!$D$3*H4551/k_n</f>
        <v/>
      </c>
      <c r="U4551">
        <f>N4551-G4551*LTP3!$D$4/k_n</f>
        <v/>
      </c>
      <c r="V4551">
        <f>O4551-H4551*LTP3!$D$4/k_n</f>
        <v/>
      </c>
      <c r="W4551">
        <f>((LTP3!$D$5)*((P4551)*(Q4551)-(R4551)*(R4551))-(S4551)*((S4551)*(Q4551)-(R4551)*(T4551))+(T4551)*((S4551)*(R4551)-(P4551)*(T4551)))</f>
        <v/>
      </c>
      <c r="X4551">
        <f>IF(ABS(W4551)&gt;1E-12,((LTP3!$D$6)*((P4551)*(Q4551)-(R4551)*(R4551))-(S4551)*((U4551)*(Q4551)-(R4551)*(V4551))+(T4551)*((U4551)*(R4551)-(P4551)*(V4551)))/W4551,0)</f>
        <v/>
      </c>
      <c r="Y4551">
        <f>IF(ABS(W4551)&gt;1E-12,((LTP3!$D$5)*((U4551)*(Q4551)-(R4551)*(V4551))-(LTP3!$D$6)*((S4551)*(Q4551)-(R4551)*(T4551))+(T4551)*((S4551)*(V4551)-(U4551)*(T4551)))/W4551,0)</f>
        <v/>
      </c>
      <c r="Z4551">
        <f>IF(ABS(W4551)&gt;1E-12,((LTP3!$D$5)*((P4551)*(V4551)-(U4551)*(R4551))-(S4551)*((S4551)*(V4551)-(U4551)*(T4551))+(LTP3!$D$6)*((S4551)*(R4551)-(P4551)*(T4551)))/W4551,0)</f>
        <v/>
      </c>
      <c r="AA4551">
        <f>LTP3!$D$7-X4551*LTP3!$D$6-Y4551*U4551-Z4551*V4551</f>
        <v/>
      </c>
      <c r="AB4551">
        <f>IF(AND(F4551,ABS(W4551)&gt;1E-12,Y4551&gt;0,Z4551&gt;0),AA4551,1E+300)</f>
        <v/>
      </c>
    </row>
    <row r="4552">
      <c r="A4552">
        <f>$I$4-$B$5/10+$B$5*17/100</f>
        <v/>
      </c>
      <c r="B4552">
        <f>$J$4-$B$5/10+$B$5*15/100</f>
        <v/>
      </c>
      <c r="C4552">
        <f>SUMPRODUCT(Calc!$K$3:$K$22*(Calc!$G$3:$G$22&lt;=A4552))</f>
        <v/>
      </c>
      <c r="D4552">
        <f>SUMPRODUCT(Calc!$K$3:$K$22*(Calc!$G$3:$G$22&gt;A4552)*(Calc!$G$3:$G$22&lt;B4552))</f>
        <v/>
      </c>
      <c r="E4552">
        <f>SUMPRODUCT(Calc!$K$3:$K$22*(Calc!$G$3:$G$22&gt;=B4552))</f>
        <v/>
      </c>
      <c r="F4552">
        <f>AND(k_n&gt;=5,B4552&gt;A4552+1E-9,C4552&gt;=2,D4552&gt;=1,E4552&gt;=2)</f>
        <v/>
      </c>
      <c r="G4552">
        <f>SUMPRODUCT(Calc!$K$3:$K$22*(Calc!$G$3:$G$22&gt;A4552)*(Calc!$G$3:$G$22-A4552))</f>
        <v/>
      </c>
      <c r="H4552">
        <f>SUMPRODUCT(Calc!$K$3:$K$22*(Calc!$G$3:$G$22&gt;B4552)*(Calc!$G$3:$G$22-B4552))</f>
        <v/>
      </c>
      <c r="I4552">
        <f>SUMPRODUCT(Calc!$K$3:$K$22*(Calc!$G$3:$G$22&gt;A4552)*(Calc!$G$3:$G$22-A4552)^2)</f>
        <v/>
      </c>
      <c r="J4552">
        <f>SUMPRODUCT(Calc!$K$3:$K$22*(Calc!$G$3:$G$22&gt;B4552)*(Calc!$G$3:$G$22-B4552)^2)</f>
        <v/>
      </c>
      <c r="K4552">
        <f>SUMPRODUCT(Calc!$K$3:$K$22*(Calc!$G$3:$G$22&gt;A4552)*(Calc!$G$3:$G$22-A4552)*(Calc!$G$3:$G$22&gt;B4552)*(Calc!$G$3:$G$22-B4552))</f>
        <v/>
      </c>
      <c r="L4552">
        <f>SUMPRODUCT(Calc!$K$3:$K$22*(Calc!$G$3:$G$22&gt;A4552)*(Calc!$G$3:$G$22-A4552)*Calc!$G$3:$G$22)</f>
        <v/>
      </c>
      <c r="M4552">
        <f>SUMPRODUCT(Calc!$K$3:$K$22*(Calc!$G$3:$G$22&gt;B4552)*(Calc!$G$3:$G$22-B4552)*Calc!$G$3:$G$22)</f>
        <v/>
      </c>
      <c r="N4552">
        <f>SUMPRODUCT(Calc!$K$3:$K$22*(Calc!$G$3:$G$22&gt;A4552)*(Calc!$G$3:$G$22-A4552)*Calc!$I$3:$I$22)</f>
        <v/>
      </c>
      <c r="O4552">
        <f>SUMPRODUCT(Calc!$K$3:$K$22*(Calc!$G$3:$G$22&gt;B4552)*(Calc!$G$3:$G$22-B4552)*Calc!$I$3:$I$22)</f>
        <v/>
      </c>
      <c r="P4552">
        <f>I4552-G4552^2/k_n</f>
        <v/>
      </c>
      <c r="Q4552">
        <f>J4552-H4552^2/k_n</f>
        <v/>
      </c>
      <c r="R4552">
        <f>K4552-G4552*H4552/k_n</f>
        <v/>
      </c>
      <c r="S4552">
        <f>L4552-LTP3!$D$3*G4552/k_n</f>
        <v/>
      </c>
      <c r="T4552">
        <f>M4552-LTP3!$D$3*H4552/k_n</f>
        <v/>
      </c>
      <c r="U4552">
        <f>N4552-G4552*LTP3!$D$4/k_n</f>
        <v/>
      </c>
      <c r="V4552">
        <f>O4552-H4552*LTP3!$D$4/k_n</f>
        <v/>
      </c>
      <c r="W4552">
        <f>((LTP3!$D$5)*((P4552)*(Q4552)-(R4552)*(R4552))-(S4552)*((S4552)*(Q4552)-(R4552)*(T4552))+(T4552)*((S4552)*(R4552)-(P4552)*(T4552)))</f>
        <v/>
      </c>
      <c r="X4552">
        <f>IF(ABS(W4552)&gt;1E-12,((LTP3!$D$6)*((P4552)*(Q4552)-(R4552)*(R4552))-(S4552)*((U4552)*(Q4552)-(R4552)*(V4552))+(T4552)*((U4552)*(R4552)-(P4552)*(V4552)))/W4552,0)</f>
        <v/>
      </c>
      <c r="Y4552">
        <f>IF(ABS(W4552)&gt;1E-12,((LTP3!$D$5)*((U4552)*(Q4552)-(R4552)*(V4552))-(LTP3!$D$6)*((S4552)*(Q4552)-(R4552)*(T4552))+(T4552)*((S4552)*(V4552)-(U4552)*(T4552)))/W4552,0)</f>
        <v/>
      </c>
      <c r="Z4552">
        <f>IF(ABS(W4552)&gt;1E-12,((LTP3!$D$5)*((P4552)*(V4552)-(U4552)*(R4552))-(S4552)*((S4552)*(V4552)-(U4552)*(T4552))+(LTP3!$D$6)*((S4552)*(R4552)-(P4552)*(T4552)))/W4552,0)</f>
        <v/>
      </c>
      <c r="AA4552">
        <f>LTP3!$D$7-X4552*LTP3!$D$6-Y4552*U4552-Z4552*V4552</f>
        <v/>
      </c>
      <c r="AB4552">
        <f>IF(AND(F4552,ABS(W4552)&gt;1E-12,Y4552&gt;0,Z4552&gt;0),AA4552,1E+300)</f>
        <v/>
      </c>
    </row>
    <row r="4553">
      <c r="A4553">
        <f>$I$4-$B$5/10+$B$5*17/100</f>
        <v/>
      </c>
      <c r="B4553">
        <f>$J$4-$B$5/10+$B$5*16/100</f>
        <v/>
      </c>
      <c r="C4553">
        <f>SUMPRODUCT(Calc!$K$3:$K$22*(Calc!$G$3:$G$22&lt;=A4553))</f>
        <v/>
      </c>
      <c r="D4553">
        <f>SUMPRODUCT(Calc!$K$3:$K$22*(Calc!$G$3:$G$22&gt;A4553)*(Calc!$G$3:$G$22&lt;B4553))</f>
        <v/>
      </c>
      <c r="E4553">
        <f>SUMPRODUCT(Calc!$K$3:$K$22*(Calc!$G$3:$G$22&gt;=B4553))</f>
        <v/>
      </c>
      <c r="F4553">
        <f>AND(k_n&gt;=5,B4553&gt;A4553+1E-9,C4553&gt;=2,D4553&gt;=1,E4553&gt;=2)</f>
        <v/>
      </c>
      <c r="G4553">
        <f>SUMPRODUCT(Calc!$K$3:$K$22*(Calc!$G$3:$G$22&gt;A4553)*(Calc!$G$3:$G$22-A4553))</f>
        <v/>
      </c>
      <c r="H4553">
        <f>SUMPRODUCT(Calc!$K$3:$K$22*(Calc!$G$3:$G$22&gt;B4553)*(Calc!$G$3:$G$22-B4553))</f>
        <v/>
      </c>
      <c r="I4553">
        <f>SUMPRODUCT(Calc!$K$3:$K$22*(Calc!$G$3:$G$22&gt;A4553)*(Calc!$G$3:$G$22-A4553)^2)</f>
        <v/>
      </c>
      <c r="J4553">
        <f>SUMPRODUCT(Calc!$K$3:$K$22*(Calc!$G$3:$G$22&gt;B4553)*(Calc!$G$3:$G$22-B4553)^2)</f>
        <v/>
      </c>
      <c r="K4553">
        <f>SUMPRODUCT(Calc!$K$3:$K$22*(Calc!$G$3:$G$22&gt;A4553)*(Calc!$G$3:$G$22-A4553)*(Calc!$G$3:$G$22&gt;B4553)*(Calc!$G$3:$G$22-B4553))</f>
        <v/>
      </c>
      <c r="L4553">
        <f>SUMPRODUCT(Calc!$K$3:$K$22*(Calc!$G$3:$G$22&gt;A4553)*(Calc!$G$3:$G$22-A4553)*Calc!$G$3:$G$22)</f>
        <v/>
      </c>
      <c r="M4553">
        <f>SUMPRODUCT(Calc!$K$3:$K$22*(Calc!$G$3:$G$22&gt;B4553)*(Calc!$G$3:$G$22-B4553)*Calc!$G$3:$G$22)</f>
        <v/>
      </c>
      <c r="N4553">
        <f>SUMPRODUCT(Calc!$K$3:$K$22*(Calc!$G$3:$G$22&gt;A4553)*(Calc!$G$3:$G$22-A4553)*Calc!$I$3:$I$22)</f>
        <v/>
      </c>
      <c r="O4553">
        <f>SUMPRODUCT(Calc!$K$3:$K$22*(Calc!$G$3:$G$22&gt;B4553)*(Calc!$G$3:$G$22-B4553)*Calc!$I$3:$I$22)</f>
        <v/>
      </c>
      <c r="P4553">
        <f>I4553-G4553^2/k_n</f>
        <v/>
      </c>
      <c r="Q4553">
        <f>J4553-H4553^2/k_n</f>
        <v/>
      </c>
      <c r="R4553">
        <f>K4553-G4553*H4553/k_n</f>
        <v/>
      </c>
      <c r="S4553">
        <f>L4553-LTP3!$D$3*G4553/k_n</f>
        <v/>
      </c>
      <c r="T4553">
        <f>M4553-LTP3!$D$3*H4553/k_n</f>
        <v/>
      </c>
      <c r="U4553">
        <f>N4553-G4553*LTP3!$D$4/k_n</f>
        <v/>
      </c>
      <c r="V4553">
        <f>O4553-H4553*LTP3!$D$4/k_n</f>
        <v/>
      </c>
      <c r="W4553">
        <f>((LTP3!$D$5)*((P4553)*(Q4553)-(R4553)*(R4553))-(S4553)*((S4553)*(Q4553)-(R4553)*(T4553))+(T4553)*((S4553)*(R4553)-(P4553)*(T4553)))</f>
        <v/>
      </c>
      <c r="X4553">
        <f>IF(ABS(W4553)&gt;1E-12,((LTP3!$D$6)*((P4553)*(Q4553)-(R4553)*(R4553))-(S4553)*((U4553)*(Q4553)-(R4553)*(V4553))+(T4553)*((U4553)*(R4553)-(P4553)*(V4553)))/W4553,0)</f>
        <v/>
      </c>
      <c r="Y4553">
        <f>IF(ABS(W4553)&gt;1E-12,((LTP3!$D$5)*((U4553)*(Q4553)-(R4553)*(V4553))-(LTP3!$D$6)*((S4553)*(Q4553)-(R4553)*(T4553))+(T4553)*((S4553)*(V4553)-(U4553)*(T4553)))/W4553,0)</f>
        <v/>
      </c>
      <c r="Z4553">
        <f>IF(ABS(W4553)&gt;1E-12,((LTP3!$D$5)*((P4553)*(V4553)-(U4553)*(R4553))-(S4553)*((S4553)*(V4553)-(U4553)*(T4553))+(LTP3!$D$6)*((S4553)*(R4553)-(P4553)*(T4553)))/W4553,0)</f>
        <v/>
      </c>
      <c r="AA4553">
        <f>LTP3!$D$7-X4553*LTP3!$D$6-Y4553*U4553-Z4553*V4553</f>
        <v/>
      </c>
      <c r="AB4553">
        <f>IF(AND(F4553,ABS(W4553)&gt;1E-12,Y4553&gt;0,Z4553&gt;0),AA4553,1E+300)</f>
        <v/>
      </c>
    </row>
    <row r="4554">
      <c r="A4554">
        <f>$I$4-$B$5/10+$B$5*17/100</f>
        <v/>
      </c>
      <c r="B4554">
        <f>$J$4-$B$5/10+$B$5*17/100</f>
        <v/>
      </c>
      <c r="C4554">
        <f>SUMPRODUCT(Calc!$K$3:$K$22*(Calc!$G$3:$G$22&lt;=A4554))</f>
        <v/>
      </c>
      <c r="D4554">
        <f>SUMPRODUCT(Calc!$K$3:$K$22*(Calc!$G$3:$G$22&gt;A4554)*(Calc!$G$3:$G$22&lt;B4554))</f>
        <v/>
      </c>
      <c r="E4554">
        <f>SUMPRODUCT(Calc!$K$3:$K$22*(Calc!$G$3:$G$22&gt;=B4554))</f>
        <v/>
      </c>
      <c r="F4554">
        <f>AND(k_n&gt;=5,B4554&gt;A4554+1E-9,C4554&gt;=2,D4554&gt;=1,E4554&gt;=2)</f>
        <v/>
      </c>
      <c r="G4554">
        <f>SUMPRODUCT(Calc!$K$3:$K$22*(Calc!$G$3:$G$22&gt;A4554)*(Calc!$G$3:$G$22-A4554))</f>
        <v/>
      </c>
      <c r="H4554">
        <f>SUMPRODUCT(Calc!$K$3:$K$22*(Calc!$G$3:$G$22&gt;B4554)*(Calc!$G$3:$G$22-B4554))</f>
        <v/>
      </c>
      <c r="I4554">
        <f>SUMPRODUCT(Calc!$K$3:$K$22*(Calc!$G$3:$G$22&gt;A4554)*(Calc!$G$3:$G$22-A4554)^2)</f>
        <v/>
      </c>
      <c r="J4554">
        <f>SUMPRODUCT(Calc!$K$3:$K$22*(Calc!$G$3:$G$22&gt;B4554)*(Calc!$G$3:$G$22-B4554)^2)</f>
        <v/>
      </c>
      <c r="K4554">
        <f>SUMPRODUCT(Calc!$K$3:$K$22*(Calc!$G$3:$G$22&gt;A4554)*(Calc!$G$3:$G$22-A4554)*(Calc!$G$3:$G$22&gt;B4554)*(Calc!$G$3:$G$22-B4554))</f>
        <v/>
      </c>
      <c r="L4554">
        <f>SUMPRODUCT(Calc!$K$3:$K$22*(Calc!$G$3:$G$22&gt;A4554)*(Calc!$G$3:$G$22-A4554)*Calc!$G$3:$G$22)</f>
        <v/>
      </c>
      <c r="M4554">
        <f>SUMPRODUCT(Calc!$K$3:$K$22*(Calc!$G$3:$G$22&gt;B4554)*(Calc!$G$3:$G$22-B4554)*Calc!$G$3:$G$22)</f>
        <v/>
      </c>
      <c r="N4554">
        <f>SUMPRODUCT(Calc!$K$3:$K$22*(Calc!$G$3:$G$22&gt;A4554)*(Calc!$G$3:$G$22-A4554)*Calc!$I$3:$I$22)</f>
        <v/>
      </c>
      <c r="O4554">
        <f>SUMPRODUCT(Calc!$K$3:$K$22*(Calc!$G$3:$G$22&gt;B4554)*(Calc!$G$3:$G$22-B4554)*Calc!$I$3:$I$22)</f>
        <v/>
      </c>
      <c r="P4554">
        <f>I4554-G4554^2/k_n</f>
        <v/>
      </c>
      <c r="Q4554">
        <f>J4554-H4554^2/k_n</f>
        <v/>
      </c>
      <c r="R4554">
        <f>K4554-G4554*H4554/k_n</f>
        <v/>
      </c>
      <c r="S4554">
        <f>L4554-LTP3!$D$3*G4554/k_n</f>
        <v/>
      </c>
      <c r="T4554">
        <f>M4554-LTP3!$D$3*H4554/k_n</f>
        <v/>
      </c>
      <c r="U4554">
        <f>N4554-G4554*LTP3!$D$4/k_n</f>
        <v/>
      </c>
      <c r="V4554">
        <f>O4554-H4554*LTP3!$D$4/k_n</f>
        <v/>
      </c>
      <c r="W4554">
        <f>((LTP3!$D$5)*((P4554)*(Q4554)-(R4554)*(R4554))-(S4554)*((S4554)*(Q4554)-(R4554)*(T4554))+(T4554)*((S4554)*(R4554)-(P4554)*(T4554)))</f>
        <v/>
      </c>
      <c r="X4554">
        <f>IF(ABS(W4554)&gt;1E-12,((LTP3!$D$6)*((P4554)*(Q4554)-(R4554)*(R4554))-(S4554)*((U4554)*(Q4554)-(R4554)*(V4554))+(T4554)*((U4554)*(R4554)-(P4554)*(V4554)))/W4554,0)</f>
        <v/>
      </c>
      <c r="Y4554">
        <f>IF(ABS(W4554)&gt;1E-12,((LTP3!$D$5)*((U4554)*(Q4554)-(R4554)*(V4554))-(LTP3!$D$6)*((S4554)*(Q4554)-(R4554)*(T4554))+(T4554)*((S4554)*(V4554)-(U4554)*(T4554)))/W4554,0)</f>
        <v/>
      </c>
      <c r="Z4554">
        <f>IF(ABS(W4554)&gt;1E-12,((LTP3!$D$5)*((P4554)*(V4554)-(U4554)*(R4554))-(S4554)*((S4554)*(V4554)-(U4554)*(T4554))+(LTP3!$D$6)*((S4554)*(R4554)-(P4554)*(T4554)))/W4554,0)</f>
        <v/>
      </c>
      <c r="AA4554">
        <f>LTP3!$D$7-X4554*LTP3!$D$6-Y4554*U4554-Z4554*V4554</f>
        <v/>
      </c>
      <c r="AB4554">
        <f>IF(AND(F4554,ABS(W4554)&gt;1E-12,Y4554&gt;0,Z4554&gt;0),AA4554,1E+300)</f>
        <v/>
      </c>
    </row>
    <row r="4555">
      <c r="A4555">
        <f>$I$4-$B$5/10+$B$5*17/100</f>
        <v/>
      </c>
      <c r="B4555">
        <f>$J$4-$B$5/10+$B$5*18/100</f>
        <v/>
      </c>
      <c r="C4555">
        <f>SUMPRODUCT(Calc!$K$3:$K$22*(Calc!$G$3:$G$22&lt;=A4555))</f>
        <v/>
      </c>
      <c r="D4555">
        <f>SUMPRODUCT(Calc!$K$3:$K$22*(Calc!$G$3:$G$22&gt;A4555)*(Calc!$G$3:$G$22&lt;B4555))</f>
        <v/>
      </c>
      <c r="E4555">
        <f>SUMPRODUCT(Calc!$K$3:$K$22*(Calc!$G$3:$G$22&gt;=B4555))</f>
        <v/>
      </c>
      <c r="F4555">
        <f>AND(k_n&gt;=5,B4555&gt;A4555+1E-9,C4555&gt;=2,D4555&gt;=1,E4555&gt;=2)</f>
        <v/>
      </c>
      <c r="G4555">
        <f>SUMPRODUCT(Calc!$K$3:$K$22*(Calc!$G$3:$G$22&gt;A4555)*(Calc!$G$3:$G$22-A4555))</f>
        <v/>
      </c>
      <c r="H4555">
        <f>SUMPRODUCT(Calc!$K$3:$K$22*(Calc!$G$3:$G$22&gt;B4555)*(Calc!$G$3:$G$22-B4555))</f>
        <v/>
      </c>
      <c r="I4555">
        <f>SUMPRODUCT(Calc!$K$3:$K$22*(Calc!$G$3:$G$22&gt;A4555)*(Calc!$G$3:$G$22-A4555)^2)</f>
        <v/>
      </c>
      <c r="J4555">
        <f>SUMPRODUCT(Calc!$K$3:$K$22*(Calc!$G$3:$G$22&gt;B4555)*(Calc!$G$3:$G$22-B4555)^2)</f>
        <v/>
      </c>
      <c r="K4555">
        <f>SUMPRODUCT(Calc!$K$3:$K$22*(Calc!$G$3:$G$22&gt;A4555)*(Calc!$G$3:$G$22-A4555)*(Calc!$G$3:$G$22&gt;B4555)*(Calc!$G$3:$G$22-B4555))</f>
        <v/>
      </c>
      <c r="L4555">
        <f>SUMPRODUCT(Calc!$K$3:$K$22*(Calc!$G$3:$G$22&gt;A4555)*(Calc!$G$3:$G$22-A4555)*Calc!$G$3:$G$22)</f>
        <v/>
      </c>
      <c r="M4555">
        <f>SUMPRODUCT(Calc!$K$3:$K$22*(Calc!$G$3:$G$22&gt;B4555)*(Calc!$G$3:$G$22-B4555)*Calc!$G$3:$G$22)</f>
        <v/>
      </c>
      <c r="N4555">
        <f>SUMPRODUCT(Calc!$K$3:$K$22*(Calc!$G$3:$G$22&gt;A4555)*(Calc!$G$3:$G$22-A4555)*Calc!$I$3:$I$22)</f>
        <v/>
      </c>
      <c r="O4555">
        <f>SUMPRODUCT(Calc!$K$3:$K$22*(Calc!$G$3:$G$22&gt;B4555)*(Calc!$G$3:$G$22-B4555)*Calc!$I$3:$I$22)</f>
        <v/>
      </c>
      <c r="P4555">
        <f>I4555-G4555^2/k_n</f>
        <v/>
      </c>
      <c r="Q4555">
        <f>J4555-H4555^2/k_n</f>
        <v/>
      </c>
      <c r="R4555">
        <f>K4555-G4555*H4555/k_n</f>
        <v/>
      </c>
      <c r="S4555">
        <f>L4555-LTP3!$D$3*G4555/k_n</f>
        <v/>
      </c>
      <c r="T4555">
        <f>M4555-LTP3!$D$3*H4555/k_n</f>
        <v/>
      </c>
      <c r="U4555">
        <f>N4555-G4555*LTP3!$D$4/k_n</f>
        <v/>
      </c>
      <c r="V4555">
        <f>O4555-H4555*LTP3!$D$4/k_n</f>
        <v/>
      </c>
      <c r="W4555">
        <f>((LTP3!$D$5)*((P4555)*(Q4555)-(R4555)*(R4555))-(S4555)*((S4555)*(Q4555)-(R4555)*(T4555))+(T4555)*((S4555)*(R4555)-(P4555)*(T4555)))</f>
        <v/>
      </c>
      <c r="X4555">
        <f>IF(ABS(W4555)&gt;1E-12,((LTP3!$D$6)*((P4555)*(Q4555)-(R4555)*(R4555))-(S4555)*((U4555)*(Q4555)-(R4555)*(V4555))+(T4555)*((U4555)*(R4555)-(P4555)*(V4555)))/W4555,0)</f>
        <v/>
      </c>
      <c r="Y4555">
        <f>IF(ABS(W4555)&gt;1E-12,((LTP3!$D$5)*((U4555)*(Q4555)-(R4555)*(V4555))-(LTP3!$D$6)*((S4555)*(Q4555)-(R4555)*(T4555))+(T4555)*((S4555)*(V4555)-(U4555)*(T4555)))/W4555,0)</f>
        <v/>
      </c>
      <c r="Z4555">
        <f>IF(ABS(W4555)&gt;1E-12,((LTP3!$D$5)*((P4555)*(V4555)-(U4555)*(R4555))-(S4555)*((S4555)*(V4555)-(U4555)*(T4555))+(LTP3!$D$6)*((S4555)*(R4555)-(P4555)*(T4555)))/W4555,0)</f>
        <v/>
      </c>
      <c r="AA4555">
        <f>LTP3!$D$7-X4555*LTP3!$D$6-Y4555*U4555-Z4555*V4555</f>
        <v/>
      </c>
      <c r="AB4555">
        <f>IF(AND(F4555,ABS(W4555)&gt;1E-12,Y4555&gt;0,Z4555&gt;0),AA4555,1E+300)</f>
        <v/>
      </c>
    </row>
    <row r="4556">
      <c r="A4556">
        <f>$I$4-$B$5/10+$B$5*17/100</f>
        <v/>
      </c>
      <c r="B4556">
        <f>$J$4-$B$5/10+$B$5*19/100</f>
        <v/>
      </c>
      <c r="C4556">
        <f>SUMPRODUCT(Calc!$K$3:$K$22*(Calc!$G$3:$G$22&lt;=A4556))</f>
        <v/>
      </c>
      <c r="D4556">
        <f>SUMPRODUCT(Calc!$K$3:$K$22*(Calc!$G$3:$G$22&gt;A4556)*(Calc!$G$3:$G$22&lt;B4556))</f>
        <v/>
      </c>
      <c r="E4556">
        <f>SUMPRODUCT(Calc!$K$3:$K$22*(Calc!$G$3:$G$22&gt;=B4556))</f>
        <v/>
      </c>
      <c r="F4556">
        <f>AND(k_n&gt;=5,B4556&gt;A4556+1E-9,C4556&gt;=2,D4556&gt;=1,E4556&gt;=2)</f>
        <v/>
      </c>
      <c r="G4556">
        <f>SUMPRODUCT(Calc!$K$3:$K$22*(Calc!$G$3:$G$22&gt;A4556)*(Calc!$G$3:$G$22-A4556))</f>
        <v/>
      </c>
      <c r="H4556">
        <f>SUMPRODUCT(Calc!$K$3:$K$22*(Calc!$G$3:$G$22&gt;B4556)*(Calc!$G$3:$G$22-B4556))</f>
        <v/>
      </c>
      <c r="I4556">
        <f>SUMPRODUCT(Calc!$K$3:$K$22*(Calc!$G$3:$G$22&gt;A4556)*(Calc!$G$3:$G$22-A4556)^2)</f>
        <v/>
      </c>
      <c r="J4556">
        <f>SUMPRODUCT(Calc!$K$3:$K$22*(Calc!$G$3:$G$22&gt;B4556)*(Calc!$G$3:$G$22-B4556)^2)</f>
        <v/>
      </c>
      <c r="K4556">
        <f>SUMPRODUCT(Calc!$K$3:$K$22*(Calc!$G$3:$G$22&gt;A4556)*(Calc!$G$3:$G$22-A4556)*(Calc!$G$3:$G$22&gt;B4556)*(Calc!$G$3:$G$22-B4556))</f>
        <v/>
      </c>
      <c r="L4556">
        <f>SUMPRODUCT(Calc!$K$3:$K$22*(Calc!$G$3:$G$22&gt;A4556)*(Calc!$G$3:$G$22-A4556)*Calc!$G$3:$G$22)</f>
        <v/>
      </c>
      <c r="M4556">
        <f>SUMPRODUCT(Calc!$K$3:$K$22*(Calc!$G$3:$G$22&gt;B4556)*(Calc!$G$3:$G$22-B4556)*Calc!$G$3:$G$22)</f>
        <v/>
      </c>
      <c r="N4556">
        <f>SUMPRODUCT(Calc!$K$3:$K$22*(Calc!$G$3:$G$22&gt;A4556)*(Calc!$G$3:$G$22-A4556)*Calc!$I$3:$I$22)</f>
        <v/>
      </c>
      <c r="O4556">
        <f>SUMPRODUCT(Calc!$K$3:$K$22*(Calc!$G$3:$G$22&gt;B4556)*(Calc!$G$3:$G$22-B4556)*Calc!$I$3:$I$22)</f>
        <v/>
      </c>
      <c r="P4556">
        <f>I4556-G4556^2/k_n</f>
        <v/>
      </c>
      <c r="Q4556">
        <f>J4556-H4556^2/k_n</f>
        <v/>
      </c>
      <c r="R4556">
        <f>K4556-G4556*H4556/k_n</f>
        <v/>
      </c>
      <c r="S4556">
        <f>L4556-LTP3!$D$3*G4556/k_n</f>
        <v/>
      </c>
      <c r="T4556">
        <f>M4556-LTP3!$D$3*H4556/k_n</f>
        <v/>
      </c>
      <c r="U4556">
        <f>N4556-G4556*LTP3!$D$4/k_n</f>
        <v/>
      </c>
      <c r="V4556">
        <f>O4556-H4556*LTP3!$D$4/k_n</f>
        <v/>
      </c>
      <c r="W4556">
        <f>((LTP3!$D$5)*((P4556)*(Q4556)-(R4556)*(R4556))-(S4556)*((S4556)*(Q4556)-(R4556)*(T4556))+(T4556)*((S4556)*(R4556)-(P4556)*(T4556)))</f>
        <v/>
      </c>
      <c r="X4556">
        <f>IF(ABS(W4556)&gt;1E-12,((LTP3!$D$6)*((P4556)*(Q4556)-(R4556)*(R4556))-(S4556)*((U4556)*(Q4556)-(R4556)*(V4556))+(T4556)*((U4556)*(R4556)-(P4556)*(V4556)))/W4556,0)</f>
        <v/>
      </c>
      <c r="Y4556">
        <f>IF(ABS(W4556)&gt;1E-12,((LTP3!$D$5)*((U4556)*(Q4556)-(R4556)*(V4556))-(LTP3!$D$6)*((S4556)*(Q4556)-(R4556)*(T4556))+(T4556)*((S4556)*(V4556)-(U4556)*(T4556)))/W4556,0)</f>
        <v/>
      </c>
      <c r="Z4556">
        <f>IF(ABS(W4556)&gt;1E-12,((LTP3!$D$5)*((P4556)*(V4556)-(U4556)*(R4556))-(S4556)*((S4556)*(V4556)-(U4556)*(T4556))+(LTP3!$D$6)*((S4556)*(R4556)-(P4556)*(T4556)))/W4556,0)</f>
        <v/>
      </c>
      <c r="AA4556">
        <f>LTP3!$D$7-X4556*LTP3!$D$6-Y4556*U4556-Z4556*V4556</f>
        <v/>
      </c>
      <c r="AB4556">
        <f>IF(AND(F4556,ABS(W4556)&gt;1E-12,Y4556&gt;0,Z4556&gt;0),AA4556,1E+300)</f>
        <v/>
      </c>
    </row>
    <row r="4557">
      <c r="A4557">
        <f>$I$4-$B$5/10+$B$5*17/100</f>
        <v/>
      </c>
      <c r="B4557">
        <f>$J$4-$B$5/10+$B$5*20/100</f>
        <v/>
      </c>
      <c r="C4557">
        <f>SUMPRODUCT(Calc!$K$3:$K$22*(Calc!$G$3:$G$22&lt;=A4557))</f>
        <v/>
      </c>
      <c r="D4557">
        <f>SUMPRODUCT(Calc!$K$3:$K$22*(Calc!$G$3:$G$22&gt;A4557)*(Calc!$G$3:$G$22&lt;B4557))</f>
        <v/>
      </c>
      <c r="E4557">
        <f>SUMPRODUCT(Calc!$K$3:$K$22*(Calc!$G$3:$G$22&gt;=B4557))</f>
        <v/>
      </c>
      <c r="F4557">
        <f>AND(k_n&gt;=5,B4557&gt;A4557+1E-9,C4557&gt;=2,D4557&gt;=1,E4557&gt;=2)</f>
        <v/>
      </c>
      <c r="G4557">
        <f>SUMPRODUCT(Calc!$K$3:$K$22*(Calc!$G$3:$G$22&gt;A4557)*(Calc!$G$3:$G$22-A4557))</f>
        <v/>
      </c>
      <c r="H4557">
        <f>SUMPRODUCT(Calc!$K$3:$K$22*(Calc!$G$3:$G$22&gt;B4557)*(Calc!$G$3:$G$22-B4557))</f>
        <v/>
      </c>
      <c r="I4557">
        <f>SUMPRODUCT(Calc!$K$3:$K$22*(Calc!$G$3:$G$22&gt;A4557)*(Calc!$G$3:$G$22-A4557)^2)</f>
        <v/>
      </c>
      <c r="J4557">
        <f>SUMPRODUCT(Calc!$K$3:$K$22*(Calc!$G$3:$G$22&gt;B4557)*(Calc!$G$3:$G$22-B4557)^2)</f>
        <v/>
      </c>
      <c r="K4557">
        <f>SUMPRODUCT(Calc!$K$3:$K$22*(Calc!$G$3:$G$22&gt;A4557)*(Calc!$G$3:$G$22-A4557)*(Calc!$G$3:$G$22&gt;B4557)*(Calc!$G$3:$G$22-B4557))</f>
        <v/>
      </c>
      <c r="L4557">
        <f>SUMPRODUCT(Calc!$K$3:$K$22*(Calc!$G$3:$G$22&gt;A4557)*(Calc!$G$3:$G$22-A4557)*Calc!$G$3:$G$22)</f>
        <v/>
      </c>
      <c r="M4557">
        <f>SUMPRODUCT(Calc!$K$3:$K$22*(Calc!$G$3:$G$22&gt;B4557)*(Calc!$G$3:$G$22-B4557)*Calc!$G$3:$G$22)</f>
        <v/>
      </c>
      <c r="N4557">
        <f>SUMPRODUCT(Calc!$K$3:$K$22*(Calc!$G$3:$G$22&gt;A4557)*(Calc!$G$3:$G$22-A4557)*Calc!$I$3:$I$22)</f>
        <v/>
      </c>
      <c r="O4557">
        <f>SUMPRODUCT(Calc!$K$3:$K$22*(Calc!$G$3:$G$22&gt;B4557)*(Calc!$G$3:$G$22-B4557)*Calc!$I$3:$I$22)</f>
        <v/>
      </c>
      <c r="P4557">
        <f>I4557-G4557^2/k_n</f>
        <v/>
      </c>
      <c r="Q4557">
        <f>J4557-H4557^2/k_n</f>
        <v/>
      </c>
      <c r="R4557">
        <f>K4557-G4557*H4557/k_n</f>
        <v/>
      </c>
      <c r="S4557">
        <f>L4557-LTP3!$D$3*G4557/k_n</f>
        <v/>
      </c>
      <c r="T4557">
        <f>M4557-LTP3!$D$3*H4557/k_n</f>
        <v/>
      </c>
      <c r="U4557">
        <f>N4557-G4557*LTP3!$D$4/k_n</f>
        <v/>
      </c>
      <c r="V4557">
        <f>O4557-H4557*LTP3!$D$4/k_n</f>
        <v/>
      </c>
      <c r="W4557">
        <f>((LTP3!$D$5)*((P4557)*(Q4557)-(R4557)*(R4557))-(S4557)*((S4557)*(Q4557)-(R4557)*(T4557))+(T4557)*((S4557)*(R4557)-(P4557)*(T4557)))</f>
        <v/>
      </c>
      <c r="X4557">
        <f>IF(ABS(W4557)&gt;1E-12,((LTP3!$D$6)*((P4557)*(Q4557)-(R4557)*(R4557))-(S4557)*((U4557)*(Q4557)-(R4557)*(V4557))+(T4557)*((U4557)*(R4557)-(P4557)*(V4557)))/W4557,0)</f>
        <v/>
      </c>
      <c r="Y4557">
        <f>IF(ABS(W4557)&gt;1E-12,((LTP3!$D$5)*((U4557)*(Q4557)-(R4557)*(V4557))-(LTP3!$D$6)*((S4557)*(Q4557)-(R4557)*(T4557))+(T4557)*((S4557)*(V4557)-(U4557)*(T4557)))/W4557,0)</f>
        <v/>
      </c>
      <c r="Z4557">
        <f>IF(ABS(W4557)&gt;1E-12,((LTP3!$D$5)*((P4557)*(V4557)-(U4557)*(R4557))-(S4557)*((S4557)*(V4557)-(U4557)*(T4557))+(LTP3!$D$6)*((S4557)*(R4557)-(P4557)*(T4557)))/W4557,0)</f>
        <v/>
      </c>
      <c r="AA4557">
        <f>LTP3!$D$7-X4557*LTP3!$D$6-Y4557*U4557-Z4557*V4557</f>
        <v/>
      </c>
      <c r="AB4557">
        <f>IF(AND(F4557,ABS(W4557)&gt;1E-12,Y4557&gt;0,Z4557&gt;0),AA4557,1E+300)</f>
        <v/>
      </c>
    </row>
    <row r="4558">
      <c r="A4558">
        <f>$I$4-$B$5/10+$B$5*18/100</f>
        <v/>
      </c>
      <c r="B4558">
        <f>$J$4-$B$5/10+$B$5*0/100</f>
        <v/>
      </c>
      <c r="C4558">
        <f>SUMPRODUCT(Calc!$K$3:$K$22*(Calc!$G$3:$G$22&lt;=A4558))</f>
        <v/>
      </c>
      <c r="D4558">
        <f>SUMPRODUCT(Calc!$K$3:$K$22*(Calc!$G$3:$G$22&gt;A4558)*(Calc!$G$3:$G$22&lt;B4558))</f>
        <v/>
      </c>
      <c r="E4558">
        <f>SUMPRODUCT(Calc!$K$3:$K$22*(Calc!$G$3:$G$22&gt;=B4558))</f>
        <v/>
      </c>
      <c r="F4558">
        <f>AND(k_n&gt;=5,B4558&gt;A4558+1E-9,C4558&gt;=2,D4558&gt;=1,E4558&gt;=2)</f>
        <v/>
      </c>
      <c r="G4558">
        <f>SUMPRODUCT(Calc!$K$3:$K$22*(Calc!$G$3:$G$22&gt;A4558)*(Calc!$G$3:$G$22-A4558))</f>
        <v/>
      </c>
      <c r="H4558">
        <f>SUMPRODUCT(Calc!$K$3:$K$22*(Calc!$G$3:$G$22&gt;B4558)*(Calc!$G$3:$G$22-B4558))</f>
        <v/>
      </c>
      <c r="I4558">
        <f>SUMPRODUCT(Calc!$K$3:$K$22*(Calc!$G$3:$G$22&gt;A4558)*(Calc!$G$3:$G$22-A4558)^2)</f>
        <v/>
      </c>
      <c r="J4558">
        <f>SUMPRODUCT(Calc!$K$3:$K$22*(Calc!$G$3:$G$22&gt;B4558)*(Calc!$G$3:$G$22-B4558)^2)</f>
        <v/>
      </c>
      <c r="K4558">
        <f>SUMPRODUCT(Calc!$K$3:$K$22*(Calc!$G$3:$G$22&gt;A4558)*(Calc!$G$3:$G$22-A4558)*(Calc!$G$3:$G$22&gt;B4558)*(Calc!$G$3:$G$22-B4558))</f>
        <v/>
      </c>
      <c r="L4558">
        <f>SUMPRODUCT(Calc!$K$3:$K$22*(Calc!$G$3:$G$22&gt;A4558)*(Calc!$G$3:$G$22-A4558)*Calc!$G$3:$G$22)</f>
        <v/>
      </c>
      <c r="M4558">
        <f>SUMPRODUCT(Calc!$K$3:$K$22*(Calc!$G$3:$G$22&gt;B4558)*(Calc!$G$3:$G$22-B4558)*Calc!$G$3:$G$22)</f>
        <v/>
      </c>
      <c r="N4558">
        <f>SUMPRODUCT(Calc!$K$3:$K$22*(Calc!$G$3:$G$22&gt;A4558)*(Calc!$G$3:$G$22-A4558)*Calc!$I$3:$I$22)</f>
        <v/>
      </c>
      <c r="O4558">
        <f>SUMPRODUCT(Calc!$K$3:$K$22*(Calc!$G$3:$G$22&gt;B4558)*(Calc!$G$3:$G$22-B4558)*Calc!$I$3:$I$22)</f>
        <v/>
      </c>
      <c r="P4558">
        <f>I4558-G4558^2/k_n</f>
        <v/>
      </c>
      <c r="Q4558">
        <f>J4558-H4558^2/k_n</f>
        <v/>
      </c>
      <c r="R4558">
        <f>K4558-G4558*H4558/k_n</f>
        <v/>
      </c>
      <c r="S4558">
        <f>L4558-LTP3!$D$3*G4558/k_n</f>
        <v/>
      </c>
      <c r="T4558">
        <f>M4558-LTP3!$D$3*H4558/k_n</f>
        <v/>
      </c>
      <c r="U4558">
        <f>N4558-G4558*LTP3!$D$4/k_n</f>
        <v/>
      </c>
      <c r="V4558">
        <f>O4558-H4558*LTP3!$D$4/k_n</f>
        <v/>
      </c>
      <c r="W4558">
        <f>((LTP3!$D$5)*((P4558)*(Q4558)-(R4558)*(R4558))-(S4558)*((S4558)*(Q4558)-(R4558)*(T4558))+(T4558)*((S4558)*(R4558)-(P4558)*(T4558)))</f>
        <v/>
      </c>
      <c r="X4558">
        <f>IF(ABS(W4558)&gt;1E-12,((LTP3!$D$6)*((P4558)*(Q4558)-(R4558)*(R4558))-(S4558)*((U4558)*(Q4558)-(R4558)*(V4558))+(T4558)*((U4558)*(R4558)-(P4558)*(V4558)))/W4558,0)</f>
        <v/>
      </c>
      <c r="Y4558">
        <f>IF(ABS(W4558)&gt;1E-12,((LTP3!$D$5)*((U4558)*(Q4558)-(R4558)*(V4558))-(LTP3!$D$6)*((S4558)*(Q4558)-(R4558)*(T4558))+(T4558)*((S4558)*(V4558)-(U4558)*(T4558)))/W4558,0)</f>
        <v/>
      </c>
      <c r="Z4558">
        <f>IF(ABS(W4558)&gt;1E-12,((LTP3!$D$5)*((P4558)*(V4558)-(U4558)*(R4558))-(S4558)*((S4558)*(V4558)-(U4558)*(T4558))+(LTP3!$D$6)*((S4558)*(R4558)-(P4558)*(T4558)))/W4558,0)</f>
        <v/>
      </c>
      <c r="AA4558">
        <f>LTP3!$D$7-X4558*LTP3!$D$6-Y4558*U4558-Z4558*V4558</f>
        <v/>
      </c>
      <c r="AB4558">
        <f>IF(AND(F4558,ABS(W4558)&gt;1E-12,Y4558&gt;0,Z4558&gt;0),AA4558,1E+300)</f>
        <v/>
      </c>
    </row>
    <row r="4559">
      <c r="A4559">
        <f>$I$4-$B$5/10+$B$5*18/100</f>
        <v/>
      </c>
      <c r="B4559">
        <f>$J$4-$B$5/10+$B$5*1/100</f>
        <v/>
      </c>
      <c r="C4559">
        <f>SUMPRODUCT(Calc!$K$3:$K$22*(Calc!$G$3:$G$22&lt;=A4559))</f>
        <v/>
      </c>
      <c r="D4559">
        <f>SUMPRODUCT(Calc!$K$3:$K$22*(Calc!$G$3:$G$22&gt;A4559)*(Calc!$G$3:$G$22&lt;B4559))</f>
        <v/>
      </c>
      <c r="E4559">
        <f>SUMPRODUCT(Calc!$K$3:$K$22*(Calc!$G$3:$G$22&gt;=B4559))</f>
        <v/>
      </c>
      <c r="F4559">
        <f>AND(k_n&gt;=5,B4559&gt;A4559+1E-9,C4559&gt;=2,D4559&gt;=1,E4559&gt;=2)</f>
        <v/>
      </c>
      <c r="G4559">
        <f>SUMPRODUCT(Calc!$K$3:$K$22*(Calc!$G$3:$G$22&gt;A4559)*(Calc!$G$3:$G$22-A4559))</f>
        <v/>
      </c>
      <c r="H4559">
        <f>SUMPRODUCT(Calc!$K$3:$K$22*(Calc!$G$3:$G$22&gt;B4559)*(Calc!$G$3:$G$22-B4559))</f>
        <v/>
      </c>
      <c r="I4559">
        <f>SUMPRODUCT(Calc!$K$3:$K$22*(Calc!$G$3:$G$22&gt;A4559)*(Calc!$G$3:$G$22-A4559)^2)</f>
        <v/>
      </c>
      <c r="J4559">
        <f>SUMPRODUCT(Calc!$K$3:$K$22*(Calc!$G$3:$G$22&gt;B4559)*(Calc!$G$3:$G$22-B4559)^2)</f>
        <v/>
      </c>
      <c r="K4559">
        <f>SUMPRODUCT(Calc!$K$3:$K$22*(Calc!$G$3:$G$22&gt;A4559)*(Calc!$G$3:$G$22-A4559)*(Calc!$G$3:$G$22&gt;B4559)*(Calc!$G$3:$G$22-B4559))</f>
        <v/>
      </c>
      <c r="L4559">
        <f>SUMPRODUCT(Calc!$K$3:$K$22*(Calc!$G$3:$G$22&gt;A4559)*(Calc!$G$3:$G$22-A4559)*Calc!$G$3:$G$22)</f>
        <v/>
      </c>
      <c r="M4559">
        <f>SUMPRODUCT(Calc!$K$3:$K$22*(Calc!$G$3:$G$22&gt;B4559)*(Calc!$G$3:$G$22-B4559)*Calc!$G$3:$G$22)</f>
        <v/>
      </c>
      <c r="N4559">
        <f>SUMPRODUCT(Calc!$K$3:$K$22*(Calc!$G$3:$G$22&gt;A4559)*(Calc!$G$3:$G$22-A4559)*Calc!$I$3:$I$22)</f>
        <v/>
      </c>
      <c r="O4559">
        <f>SUMPRODUCT(Calc!$K$3:$K$22*(Calc!$G$3:$G$22&gt;B4559)*(Calc!$G$3:$G$22-B4559)*Calc!$I$3:$I$22)</f>
        <v/>
      </c>
      <c r="P4559">
        <f>I4559-G4559^2/k_n</f>
        <v/>
      </c>
      <c r="Q4559">
        <f>J4559-H4559^2/k_n</f>
        <v/>
      </c>
      <c r="R4559">
        <f>K4559-G4559*H4559/k_n</f>
        <v/>
      </c>
      <c r="S4559">
        <f>L4559-LTP3!$D$3*G4559/k_n</f>
        <v/>
      </c>
      <c r="T4559">
        <f>M4559-LTP3!$D$3*H4559/k_n</f>
        <v/>
      </c>
      <c r="U4559">
        <f>N4559-G4559*LTP3!$D$4/k_n</f>
        <v/>
      </c>
      <c r="V4559">
        <f>O4559-H4559*LTP3!$D$4/k_n</f>
        <v/>
      </c>
      <c r="W4559">
        <f>((LTP3!$D$5)*((P4559)*(Q4559)-(R4559)*(R4559))-(S4559)*((S4559)*(Q4559)-(R4559)*(T4559))+(T4559)*((S4559)*(R4559)-(P4559)*(T4559)))</f>
        <v/>
      </c>
      <c r="X4559">
        <f>IF(ABS(W4559)&gt;1E-12,((LTP3!$D$6)*((P4559)*(Q4559)-(R4559)*(R4559))-(S4559)*((U4559)*(Q4559)-(R4559)*(V4559))+(T4559)*((U4559)*(R4559)-(P4559)*(V4559)))/W4559,0)</f>
        <v/>
      </c>
      <c r="Y4559">
        <f>IF(ABS(W4559)&gt;1E-12,((LTP3!$D$5)*((U4559)*(Q4559)-(R4559)*(V4559))-(LTP3!$D$6)*((S4559)*(Q4559)-(R4559)*(T4559))+(T4559)*((S4559)*(V4559)-(U4559)*(T4559)))/W4559,0)</f>
        <v/>
      </c>
      <c r="Z4559">
        <f>IF(ABS(W4559)&gt;1E-12,((LTP3!$D$5)*((P4559)*(V4559)-(U4559)*(R4559))-(S4559)*((S4559)*(V4559)-(U4559)*(T4559))+(LTP3!$D$6)*((S4559)*(R4559)-(P4559)*(T4559)))/W4559,0)</f>
        <v/>
      </c>
      <c r="AA4559">
        <f>LTP3!$D$7-X4559*LTP3!$D$6-Y4559*U4559-Z4559*V4559</f>
        <v/>
      </c>
      <c r="AB4559">
        <f>IF(AND(F4559,ABS(W4559)&gt;1E-12,Y4559&gt;0,Z4559&gt;0),AA4559,1E+300)</f>
        <v/>
      </c>
    </row>
    <row r="4560">
      <c r="A4560">
        <f>$I$4-$B$5/10+$B$5*18/100</f>
        <v/>
      </c>
      <c r="B4560">
        <f>$J$4-$B$5/10+$B$5*2/100</f>
        <v/>
      </c>
      <c r="C4560">
        <f>SUMPRODUCT(Calc!$K$3:$K$22*(Calc!$G$3:$G$22&lt;=A4560))</f>
        <v/>
      </c>
      <c r="D4560">
        <f>SUMPRODUCT(Calc!$K$3:$K$22*(Calc!$G$3:$G$22&gt;A4560)*(Calc!$G$3:$G$22&lt;B4560))</f>
        <v/>
      </c>
      <c r="E4560">
        <f>SUMPRODUCT(Calc!$K$3:$K$22*(Calc!$G$3:$G$22&gt;=B4560))</f>
        <v/>
      </c>
      <c r="F4560">
        <f>AND(k_n&gt;=5,B4560&gt;A4560+1E-9,C4560&gt;=2,D4560&gt;=1,E4560&gt;=2)</f>
        <v/>
      </c>
      <c r="G4560">
        <f>SUMPRODUCT(Calc!$K$3:$K$22*(Calc!$G$3:$G$22&gt;A4560)*(Calc!$G$3:$G$22-A4560))</f>
        <v/>
      </c>
      <c r="H4560">
        <f>SUMPRODUCT(Calc!$K$3:$K$22*(Calc!$G$3:$G$22&gt;B4560)*(Calc!$G$3:$G$22-B4560))</f>
        <v/>
      </c>
      <c r="I4560">
        <f>SUMPRODUCT(Calc!$K$3:$K$22*(Calc!$G$3:$G$22&gt;A4560)*(Calc!$G$3:$G$22-A4560)^2)</f>
        <v/>
      </c>
      <c r="J4560">
        <f>SUMPRODUCT(Calc!$K$3:$K$22*(Calc!$G$3:$G$22&gt;B4560)*(Calc!$G$3:$G$22-B4560)^2)</f>
        <v/>
      </c>
      <c r="K4560">
        <f>SUMPRODUCT(Calc!$K$3:$K$22*(Calc!$G$3:$G$22&gt;A4560)*(Calc!$G$3:$G$22-A4560)*(Calc!$G$3:$G$22&gt;B4560)*(Calc!$G$3:$G$22-B4560))</f>
        <v/>
      </c>
      <c r="L4560">
        <f>SUMPRODUCT(Calc!$K$3:$K$22*(Calc!$G$3:$G$22&gt;A4560)*(Calc!$G$3:$G$22-A4560)*Calc!$G$3:$G$22)</f>
        <v/>
      </c>
      <c r="M4560">
        <f>SUMPRODUCT(Calc!$K$3:$K$22*(Calc!$G$3:$G$22&gt;B4560)*(Calc!$G$3:$G$22-B4560)*Calc!$G$3:$G$22)</f>
        <v/>
      </c>
      <c r="N4560">
        <f>SUMPRODUCT(Calc!$K$3:$K$22*(Calc!$G$3:$G$22&gt;A4560)*(Calc!$G$3:$G$22-A4560)*Calc!$I$3:$I$22)</f>
        <v/>
      </c>
      <c r="O4560">
        <f>SUMPRODUCT(Calc!$K$3:$K$22*(Calc!$G$3:$G$22&gt;B4560)*(Calc!$G$3:$G$22-B4560)*Calc!$I$3:$I$22)</f>
        <v/>
      </c>
      <c r="P4560">
        <f>I4560-G4560^2/k_n</f>
        <v/>
      </c>
      <c r="Q4560">
        <f>J4560-H4560^2/k_n</f>
        <v/>
      </c>
      <c r="R4560">
        <f>K4560-G4560*H4560/k_n</f>
        <v/>
      </c>
      <c r="S4560">
        <f>L4560-LTP3!$D$3*G4560/k_n</f>
        <v/>
      </c>
      <c r="T4560">
        <f>M4560-LTP3!$D$3*H4560/k_n</f>
        <v/>
      </c>
      <c r="U4560">
        <f>N4560-G4560*LTP3!$D$4/k_n</f>
        <v/>
      </c>
      <c r="V4560">
        <f>O4560-H4560*LTP3!$D$4/k_n</f>
        <v/>
      </c>
      <c r="W4560">
        <f>((LTP3!$D$5)*((P4560)*(Q4560)-(R4560)*(R4560))-(S4560)*((S4560)*(Q4560)-(R4560)*(T4560))+(T4560)*((S4560)*(R4560)-(P4560)*(T4560)))</f>
        <v/>
      </c>
      <c r="X4560">
        <f>IF(ABS(W4560)&gt;1E-12,((LTP3!$D$6)*((P4560)*(Q4560)-(R4560)*(R4560))-(S4560)*((U4560)*(Q4560)-(R4560)*(V4560))+(T4560)*((U4560)*(R4560)-(P4560)*(V4560)))/W4560,0)</f>
        <v/>
      </c>
      <c r="Y4560">
        <f>IF(ABS(W4560)&gt;1E-12,((LTP3!$D$5)*((U4560)*(Q4560)-(R4560)*(V4560))-(LTP3!$D$6)*((S4560)*(Q4560)-(R4560)*(T4560))+(T4560)*((S4560)*(V4560)-(U4560)*(T4560)))/W4560,0)</f>
        <v/>
      </c>
      <c r="Z4560">
        <f>IF(ABS(W4560)&gt;1E-12,((LTP3!$D$5)*((P4560)*(V4560)-(U4560)*(R4560))-(S4560)*((S4560)*(V4560)-(U4560)*(T4560))+(LTP3!$D$6)*((S4560)*(R4560)-(P4560)*(T4560)))/W4560,0)</f>
        <v/>
      </c>
      <c r="AA4560">
        <f>LTP3!$D$7-X4560*LTP3!$D$6-Y4560*U4560-Z4560*V4560</f>
        <v/>
      </c>
      <c r="AB4560">
        <f>IF(AND(F4560,ABS(W4560)&gt;1E-12,Y4560&gt;0,Z4560&gt;0),AA4560,1E+300)</f>
        <v/>
      </c>
    </row>
    <row r="4561">
      <c r="A4561">
        <f>$I$4-$B$5/10+$B$5*18/100</f>
        <v/>
      </c>
      <c r="B4561">
        <f>$J$4-$B$5/10+$B$5*3/100</f>
        <v/>
      </c>
      <c r="C4561">
        <f>SUMPRODUCT(Calc!$K$3:$K$22*(Calc!$G$3:$G$22&lt;=A4561))</f>
        <v/>
      </c>
      <c r="D4561">
        <f>SUMPRODUCT(Calc!$K$3:$K$22*(Calc!$G$3:$G$22&gt;A4561)*(Calc!$G$3:$G$22&lt;B4561))</f>
        <v/>
      </c>
      <c r="E4561">
        <f>SUMPRODUCT(Calc!$K$3:$K$22*(Calc!$G$3:$G$22&gt;=B4561))</f>
        <v/>
      </c>
      <c r="F4561">
        <f>AND(k_n&gt;=5,B4561&gt;A4561+1E-9,C4561&gt;=2,D4561&gt;=1,E4561&gt;=2)</f>
        <v/>
      </c>
      <c r="G4561">
        <f>SUMPRODUCT(Calc!$K$3:$K$22*(Calc!$G$3:$G$22&gt;A4561)*(Calc!$G$3:$G$22-A4561))</f>
        <v/>
      </c>
      <c r="H4561">
        <f>SUMPRODUCT(Calc!$K$3:$K$22*(Calc!$G$3:$G$22&gt;B4561)*(Calc!$G$3:$G$22-B4561))</f>
        <v/>
      </c>
      <c r="I4561">
        <f>SUMPRODUCT(Calc!$K$3:$K$22*(Calc!$G$3:$G$22&gt;A4561)*(Calc!$G$3:$G$22-A4561)^2)</f>
        <v/>
      </c>
      <c r="J4561">
        <f>SUMPRODUCT(Calc!$K$3:$K$22*(Calc!$G$3:$G$22&gt;B4561)*(Calc!$G$3:$G$22-B4561)^2)</f>
        <v/>
      </c>
      <c r="K4561">
        <f>SUMPRODUCT(Calc!$K$3:$K$22*(Calc!$G$3:$G$22&gt;A4561)*(Calc!$G$3:$G$22-A4561)*(Calc!$G$3:$G$22&gt;B4561)*(Calc!$G$3:$G$22-B4561))</f>
        <v/>
      </c>
      <c r="L4561">
        <f>SUMPRODUCT(Calc!$K$3:$K$22*(Calc!$G$3:$G$22&gt;A4561)*(Calc!$G$3:$G$22-A4561)*Calc!$G$3:$G$22)</f>
        <v/>
      </c>
      <c r="M4561">
        <f>SUMPRODUCT(Calc!$K$3:$K$22*(Calc!$G$3:$G$22&gt;B4561)*(Calc!$G$3:$G$22-B4561)*Calc!$G$3:$G$22)</f>
        <v/>
      </c>
      <c r="N4561">
        <f>SUMPRODUCT(Calc!$K$3:$K$22*(Calc!$G$3:$G$22&gt;A4561)*(Calc!$G$3:$G$22-A4561)*Calc!$I$3:$I$22)</f>
        <v/>
      </c>
      <c r="O4561">
        <f>SUMPRODUCT(Calc!$K$3:$K$22*(Calc!$G$3:$G$22&gt;B4561)*(Calc!$G$3:$G$22-B4561)*Calc!$I$3:$I$22)</f>
        <v/>
      </c>
      <c r="P4561">
        <f>I4561-G4561^2/k_n</f>
        <v/>
      </c>
      <c r="Q4561">
        <f>J4561-H4561^2/k_n</f>
        <v/>
      </c>
      <c r="R4561">
        <f>K4561-G4561*H4561/k_n</f>
        <v/>
      </c>
      <c r="S4561">
        <f>L4561-LTP3!$D$3*G4561/k_n</f>
        <v/>
      </c>
      <c r="T4561">
        <f>M4561-LTP3!$D$3*H4561/k_n</f>
        <v/>
      </c>
      <c r="U4561">
        <f>N4561-G4561*LTP3!$D$4/k_n</f>
        <v/>
      </c>
      <c r="V4561">
        <f>O4561-H4561*LTP3!$D$4/k_n</f>
        <v/>
      </c>
      <c r="W4561">
        <f>((LTP3!$D$5)*((P4561)*(Q4561)-(R4561)*(R4561))-(S4561)*((S4561)*(Q4561)-(R4561)*(T4561))+(T4561)*((S4561)*(R4561)-(P4561)*(T4561)))</f>
        <v/>
      </c>
      <c r="X4561">
        <f>IF(ABS(W4561)&gt;1E-12,((LTP3!$D$6)*((P4561)*(Q4561)-(R4561)*(R4561))-(S4561)*((U4561)*(Q4561)-(R4561)*(V4561))+(T4561)*((U4561)*(R4561)-(P4561)*(V4561)))/W4561,0)</f>
        <v/>
      </c>
      <c r="Y4561">
        <f>IF(ABS(W4561)&gt;1E-12,((LTP3!$D$5)*((U4561)*(Q4561)-(R4561)*(V4561))-(LTP3!$D$6)*((S4561)*(Q4561)-(R4561)*(T4561))+(T4561)*((S4561)*(V4561)-(U4561)*(T4561)))/W4561,0)</f>
        <v/>
      </c>
      <c r="Z4561">
        <f>IF(ABS(W4561)&gt;1E-12,((LTP3!$D$5)*((P4561)*(V4561)-(U4561)*(R4561))-(S4561)*((S4561)*(V4561)-(U4561)*(T4561))+(LTP3!$D$6)*((S4561)*(R4561)-(P4561)*(T4561)))/W4561,0)</f>
        <v/>
      </c>
      <c r="AA4561">
        <f>LTP3!$D$7-X4561*LTP3!$D$6-Y4561*U4561-Z4561*V4561</f>
        <v/>
      </c>
      <c r="AB4561">
        <f>IF(AND(F4561,ABS(W4561)&gt;1E-12,Y4561&gt;0,Z4561&gt;0),AA4561,1E+300)</f>
        <v/>
      </c>
    </row>
    <row r="4562">
      <c r="A4562">
        <f>$I$4-$B$5/10+$B$5*18/100</f>
        <v/>
      </c>
      <c r="B4562">
        <f>$J$4-$B$5/10+$B$5*4/100</f>
        <v/>
      </c>
      <c r="C4562">
        <f>SUMPRODUCT(Calc!$K$3:$K$22*(Calc!$G$3:$G$22&lt;=A4562))</f>
        <v/>
      </c>
      <c r="D4562">
        <f>SUMPRODUCT(Calc!$K$3:$K$22*(Calc!$G$3:$G$22&gt;A4562)*(Calc!$G$3:$G$22&lt;B4562))</f>
        <v/>
      </c>
      <c r="E4562">
        <f>SUMPRODUCT(Calc!$K$3:$K$22*(Calc!$G$3:$G$22&gt;=B4562))</f>
        <v/>
      </c>
      <c r="F4562">
        <f>AND(k_n&gt;=5,B4562&gt;A4562+1E-9,C4562&gt;=2,D4562&gt;=1,E4562&gt;=2)</f>
        <v/>
      </c>
      <c r="G4562">
        <f>SUMPRODUCT(Calc!$K$3:$K$22*(Calc!$G$3:$G$22&gt;A4562)*(Calc!$G$3:$G$22-A4562))</f>
        <v/>
      </c>
      <c r="H4562">
        <f>SUMPRODUCT(Calc!$K$3:$K$22*(Calc!$G$3:$G$22&gt;B4562)*(Calc!$G$3:$G$22-B4562))</f>
        <v/>
      </c>
      <c r="I4562">
        <f>SUMPRODUCT(Calc!$K$3:$K$22*(Calc!$G$3:$G$22&gt;A4562)*(Calc!$G$3:$G$22-A4562)^2)</f>
        <v/>
      </c>
      <c r="J4562">
        <f>SUMPRODUCT(Calc!$K$3:$K$22*(Calc!$G$3:$G$22&gt;B4562)*(Calc!$G$3:$G$22-B4562)^2)</f>
        <v/>
      </c>
      <c r="K4562">
        <f>SUMPRODUCT(Calc!$K$3:$K$22*(Calc!$G$3:$G$22&gt;A4562)*(Calc!$G$3:$G$22-A4562)*(Calc!$G$3:$G$22&gt;B4562)*(Calc!$G$3:$G$22-B4562))</f>
        <v/>
      </c>
      <c r="L4562">
        <f>SUMPRODUCT(Calc!$K$3:$K$22*(Calc!$G$3:$G$22&gt;A4562)*(Calc!$G$3:$G$22-A4562)*Calc!$G$3:$G$22)</f>
        <v/>
      </c>
      <c r="M4562">
        <f>SUMPRODUCT(Calc!$K$3:$K$22*(Calc!$G$3:$G$22&gt;B4562)*(Calc!$G$3:$G$22-B4562)*Calc!$G$3:$G$22)</f>
        <v/>
      </c>
      <c r="N4562">
        <f>SUMPRODUCT(Calc!$K$3:$K$22*(Calc!$G$3:$G$22&gt;A4562)*(Calc!$G$3:$G$22-A4562)*Calc!$I$3:$I$22)</f>
        <v/>
      </c>
      <c r="O4562">
        <f>SUMPRODUCT(Calc!$K$3:$K$22*(Calc!$G$3:$G$22&gt;B4562)*(Calc!$G$3:$G$22-B4562)*Calc!$I$3:$I$22)</f>
        <v/>
      </c>
      <c r="P4562">
        <f>I4562-G4562^2/k_n</f>
        <v/>
      </c>
      <c r="Q4562">
        <f>J4562-H4562^2/k_n</f>
        <v/>
      </c>
      <c r="R4562">
        <f>K4562-G4562*H4562/k_n</f>
        <v/>
      </c>
      <c r="S4562">
        <f>L4562-LTP3!$D$3*G4562/k_n</f>
        <v/>
      </c>
      <c r="T4562">
        <f>M4562-LTP3!$D$3*H4562/k_n</f>
        <v/>
      </c>
      <c r="U4562">
        <f>N4562-G4562*LTP3!$D$4/k_n</f>
        <v/>
      </c>
      <c r="V4562">
        <f>O4562-H4562*LTP3!$D$4/k_n</f>
        <v/>
      </c>
      <c r="W4562">
        <f>((LTP3!$D$5)*((P4562)*(Q4562)-(R4562)*(R4562))-(S4562)*((S4562)*(Q4562)-(R4562)*(T4562))+(T4562)*((S4562)*(R4562)-(P4562)*(T4562)))</f>
        <v/>
      </c>
      <c r="X4562">
        <f>IF(ABS(W4562)&gt;1E-12,((LTP3!$D$6)*((P4562)*(Q4562)-(R4562)*(R4562))-(S4562)*((U4562)*(Q4562)-(R4562)*(V4562))+(T4562)*((U4562)*(R4562)-(P4562)*(V4562)))/W4562,0)</f>
        <v/>
      </c>
      <c r="Y4562">
        <f>IF(ABS(W4562)&gt;1E-12,((LTP3!$D$5)*((U4562)*(Q4562)-(R4562)*(V4562))-(LTP3!$D$6)*((S4562)*(Q4562)-(R4562)*(T4562))+(T4562)*((S4562)*(V4562)-(U4562)*(T4562)))/W4562,0)</f>
        <v/>
      </c>
      <c r="Z4562">
        <f>IF(ABS(W4562)&gt;1E-12,((LTP3!$D$5)*((P4562)*(V4562)-(U4562)*(R4562))-(S4562)*((S4562)*(V4562)-(U4562)*(T4562))+(LTP3!$D$6)*((S4562)*(R4562)-(P4562)*(T4562)))/W4562,0)</f>
        <v/>
      </c>
      <c r="AA4562">
        <f>LTP3!$D$7-X4562*LTP3!$D$6-Y4562*U4562-Z4562*V4562</f>
        <v/>
      </c>
      <c r="AB4562">
        <f>IF(AND(F4562,ABS(W4562)&gt;1E-12,Y4562&gt;0,Z4562&gt;0),AA4562,1E+300)</f>
        <v/>
      </c>
    </row>
    <row r="4563">
      <c r="A4563">
        <f>$I$4-$B$5/10+$B$5*18/100</f>
        <v/>
      </c>
      <c r="B4563">
        <f>$J$4-$B$5/10+$B$5*5/100</f>
        <v/>
      </c>
      <c r="C4563">
        <f>SUMPRODUCT(Calc!$K$3:$K$22*(Calc!$G$3:$G$22&lt;=A4563))</f>
        <v/>
      </c>
      <c r="D4563">
        <f>SUMPRODUCT(Calc!$K$3:$K$22*(Calc!$G$3:$G$22&gt;A4563)*(Calc!$G$3:$G$22&lt;B4563))</f>
        <v/>
      </c>
      <c r="E4563">
        <f>SUMPRODUCT(Calc!$K$3:$K$22*(Calc!$G$3:$G$22&gt;=B4563))</f>
        <v/>
      </c>
      <c r="F4563">
        <f>AND(k_n&gt;=5,B4563&gt;A4563+1E-9,C4563&gt;=2,D4563&gt;=1,E4563&gt;=2)</f>
        <v/>
      </c>
      <c r="G4563">
        <f>SUMPRODUCT(Calc!$K$3:$K$22*(Calc!$G$3:$G$22&gt;A4563)*(Calc!$G$3:$G$22-A4563))</f>
        <v/>
      </c>
      <c r="H4563">
        <f>SUMPRODUCT(Calc!$K$3:$K$22*(Calc!$G$3:$G$22&gt;B4563)*(Calc!$G$3:$G$22-B4563))</f>
        <v/>
      </c>
      <c r="I4563">
        <f>SUMPRODUCT(Calc!$K$3:$K$22*(Calc!$G$3:$G$22&gt;A4563)*(Calc!$G$3:$G$22-A4563)^2)</f>
        <v/>
      </c>
      <c r="J4563">
        <f>SUMPRODUCT(Calc!$K$3:$K$22*(Calc!$G$3:$G$22&gt;B4563)*(Calc!$G$3:$G$22-B4563)^2)</f>
        <v/>
      </c>
      <c r="K4563">
        <f>SUMPRODUCT(Calc!$K$3:$K$22*(Calc!$G$3:$G$22&gt;A4563)*(Calc!$G$3:$G$22-A4563)*(Calc!$G$3:$G$22&gt;B4563)*(Calc!$G$3:$G$22-B4563))</f>
        <v/>
      </c>
      <c r="L4563">
        <f>SUMPRODUCT(Calc!$K$3:$K$22*(Calc!$G$3:$G$22&gt;A4563)*(Calc!$G$3:$G$22-A4563)*Calc!$G$3:$G$22)</f>
        <v/>
      </c>
      <c r="M4563">
        <f>SUMPRODUCT(Calc!$K$3:$K$22*(Calc!$G$3:$G$22&gt;B4563)*(Calc!$G$3:$G$22-B4563)*Calc!$G$3:$G$22)</f>
        <v/>
      </c>
      <c r="N4563">
        <f>SUMPRODUCT(Calc!$K$3:$K$22*(Calc!$G$3:$G$22&gt;A4563)*(Calc!$G$3:$G$22-A4563)*Calc!$I$3:$I$22)</f>
        <v/>
      </c>
      <c r="O4563">
        <f>SUMPRODUCT(Calc!$K$3:$K$22*(Calc!$G$3:$G$22&gt;B4563)*(Calc!$G$3:$G$22-B4563)*Calc!$I$3:$I$22)</f>
        <v/>
      </c>
      <c r="P4563">
        <f>I4563-G4563^2/k_n</f>
        <v/>
      </c>
      <c r="Q4563">
        <f>J4563-H4563^2/k_n</f>
        <v/>
      </c>
      <c r="R4563">
        <f>K4563-G4563*H4563/k_n</f>
        <v/>
      </c>
      <c r="S4563">
        <f>L4563-LTP3!$D$3*G4563/k_n</f>
        <v/>
      </c>
      <c r="T4563">
        <f>M4563-LTP3!$D$3*H4563/k_n</f>
        <v/>
      </c>
      <c r="U4563">
        <f>N4563-G4563*LTP3!$D$4/k_n</f>
        <v/>
      </c>
      <c r="V4563">
        <f>O4563-H4563*LTP3!$D$4/k_n</f>
        <v/>
      </c>
      <c r="W4563">
        <f>((LTP3!$D$5)*((P4563)*(Q4563)-(R4563)*(R4563))-(S4563)*((S4563)*(Q4563)-(R4563)*(T4563))+(T4563)*((S4563)*(R4563)-(P4563)*(T4563)))</f>
        <v/>
      </c>
      <c r="X4563">
        <f>IF(ABS(W4563)&gt;1E-12,((LTP3!$D$6)*((P4563)*(Q4563)-(R4563)*(R4563))-(S4563)*((U4563)*(Q4563)-(R4563)*(V4563))+(T4563)*((U4563)*(R4563)-(P4563)*(V4563)))/W4563,0)</f>
        <v/>
      </c>
      <c r="Y4563">
        <f>IF(ABS(W4563)&gt;1E-12,((LTP3!$D$5)*((U4563)*(Q4563)-(R4563)*(V4563))-(LTP3!$D$6)*((S4563)*(Q4563)-(R4563)*(T4563))+(T4563)*((S4563)*(V4563)-(U4563)*(T4563)))/W4563,0)</f>
        <v/>
      </c>
      <c r="Z4563">
        <f>IF(ABS(W4563)&gt;1E-12,((LTP3!$D$5)*((P4563)*(V4563)-(U4563)*(R4563))-(S4563)*((S4563)*(V4563)-(U4563)*(T4563))+(LTP3!$D$6)*((S4563)*(R4563)-(P4563)*(T4563)))/W4563,0)</f>
        <v/>
      </c>
      <c r="AA4563">
        <f>LTP3!$D$7-X4563*LTP3!$D$6-Y4563*U4563-Z4563*V4563</f>
        <v/>
      </c>
      <c r="AB4563">
        <f>IF(AND(F4563,ABS(W4563)&gt;1E-12,Y4563&gt;0,Z4563&gt;0),AA4563,1E+300)</f>
        <v/>
      </c>
    </row>
    <row r="4564">
      <c r="A4564">
        <f>$I$4-$B$5/10+$B$5*18/100</f>
        <v/>
      </c>
      <c r="B4564">
        <f>$J$4-$B$5/10+$B$5*6/100</f>
        <v/>
      </c>
      <c r="C4564">
        <f>SUMPRODUCT(Calc!$K$3:$K$22*(Calc!$G$3:$G$22&lt;=A4564))</f>
        <v/>
      </c>
      <c r="D4564">
        <f>SUMPRODUCT(Calc!$K$3:$K$22*(Calc!$G$3:$G$22&gt;A4564)*(Calc!$G$3:$G$22&lt;B4564))</f>
        <v/>
      </c>
      <c r="E4564">
        <f>SUMPRODUCT(Calc!$K$3:$K$22*(Calc!$G$3:$G$22&gt;=B4564))</f>
        <v/>
      </c>
      <c r="F4564">
        <f>AND(k_n&gt;=5,B4564&gt;A4564+1E-9,C4564&gt;=2,D4564&gt;=1,E4564&gt;=2)</f>
        <v/>
      </c>
      <c r="G4564">
        <f>SUMPRODUCT(Calc!$K$3:$K$22*(Calc!$G$3:$G$22&gt;A4564)*(Calc!$G$3:$G$22-A4564))</f>
        <v/>
      </c>
      <c r="H4564">
        <f>SUMPRODUCT(Calc!$K$3:$K$22*(Calc!$G$3:$G$22&gt;B4564)*(Calc!$G$3:$G$22-B4564))</f>
        <v/>
      </c>
      <c r="I4564">
        <f>SUMPRODUCT(Calc!$K$3:$K$22*(Calc!$G$3:$G$22&gt;A4564)*(Calc!$G$3:$G$22-A4564)^2)</f>
        <v/>
      </c>
      <c r="J4564">
        <f>SUMPRODUCT(Calc!$K$3:$K$22*(Calc!$G$3:$G$22&gt;B4564)*(Calc!$G$3:$G$22-B4564)^2)</f>
        <v/>
      </c>
      <c r="K4564">
        <f>SUMPRODUCT(Calc!$K$3:$K$22*(Calc!$G$3:$G$22&gt;A4564)*(Calc!$G$3:$G$22-A4564)*(Calc!$G$3:$G$22&gt;B4564)*(Calc!$G$3:$G$22-B4564))</f>
        <v/>
      </c>
      <c r="L4564">
        <f>SUMPRODUCT(Calc!$K$3:$K$22*(Calc!$G$3:$G$22&gt;A4564)*(Calc!$G$3:$G$22-A4564)*Calc!$G$3:$G$22)</f>
        <v/>
      </c>
      <c r="M4564">
        <f>SUMPRODUCT(Calc!$K$3:$K$22*(Calc!$G$3:$G$22&gt;B4564)*(Calc!$G$3:$G$22-B4564)*Calc!$G$3:$G$22)</f>
        <v/>
      </c>
      <c r="N4564">
        <f>SUMPRODUCT(Calc!$K$3:$K$22*(Calc!$G$3:$G$22&gt;A4564)*(Calc!$G$3:$G$22-A4564)*Calc!$I$3:$I$22)</f>
        <v/>
      </c>
      <c r="O4564">
        <f>SUMPRODUCT(Calc!$K$3:$K$22*(Calc!$G$3:$G$22&gt;B4564)*(Calc!$G$3:$G$22-B4564)*Calc!$I$3:$I$22)</f>
        <v/>
      </c>
      <c r="P4564">
        <f>I4564-G4564^2/k_n</f>
        <v/>
      </c>
      <c r="Q4564">
        <f>J4564-H4564^2/k_n</f>
        <v/>
      </c>
      <c r="R4564">
        <f>K4564-G4564*H4564/k_n</f>
        <v/>
      </c>
      <c r="S4564">
        <f>L4564-LTP3!$D$3*G4564/k_n</f>
        <v/>
      </c>
      <c r="T4564">
        <f>M4564-LTP3!$D$3*H4564/k_n</f>
        <v/>
      </c>
      <c r="U4564">
        <f>N4564-G4564*LTP3!$D$4/k_n</f>
        <v/>
      </c>
      <c r="V4564">
        <f>O4564-H4564*LTP3!$D$4/k_n</f>
        <v/>
      </c>
      <c r="W4564">
        <f>((LTP3!$D$5)*((P4564)*(Q4564)-(R4564)*(R4564))-(S4564)*((S4564)*(Q4564)-(R4564)*(T4564))+(T4564)*((S4564)*(R4564)-(P4564)*(T4564)))</f>
        <v/>
      </c>
      <c r="X4564">
        <f>IF(ABS(W4564)&gt;1E-12,((LTP3!$D$6)*((P4564)*(Q4564)-(R4564)*(R4564))-(S4564)*((U4564)*(Q4564)-(R4564)*(V4564))+(T4564)*((U4564)*(R4564)-(P4564)*(V4564)))/W4564,0)</f>
        <v/>
      </c>
      <c r="Y4564">
        <f>IF(ABS(W4564)&gt;1E-12,((LTP3!$D$5)*((U4564)*(Q4564)-(R4564)*(V4564))-(LTP3!$D$6)*((S4564)*(Q4564)-(R4564)*(T4564))+(T4564)*((S4564)*(V4564)-(U4564)*(T4564)))/W4564,0)</f>
        <v/>
      </c>
      <c r="Z4564">
        <f>IF(ABS(W4564)&gt;1E-12,((LTP3!$D$5)*((P4564)*(V4564)-(U4564)*(R4564))-(S4564)*((S4564)*(V4564)-(U4564)*(T4564))+(LTP3!$D$6)*((S4564)*(R4564)-(P4564)*(T4564)))/W4564,0)</f>
        <v/>
      </c>
      <c r="AA4564">
        <f>LTP3!$D$7-X4564*LTP3!$D$6-Y4564*U4564-Z4564*V4564</f>
        <v/>
      </c>
      <c r="AB4564">
        <f>IF(AND(F4564,ABS(W4564)&gt;1E-12,Y4564&gt;0,Z4564&gt;0),AA4564,1E+300)</f>
        <v/>
      </c>
    </row>
    <row r="4565">
      <c r="A4565">
        <f>$I$4-$B$5/10+$B$5*18/100</f>
        <v/>
      </c>
      <c r="B4565">
        <f>$J$4-$B$5/10+$B$5*7/100</f>
        <v/>
      </c>
      <c r="C4565">
        <f>SUMPRODUCT(Calc!$K$3:$K$22*(Calc!$G$3:$G$22&lt;=A4565))</f>
        <v/>
      </c>
      <c r="D4565">
        <f>SUMPRODUCT(Calc!$K$3:$K$22*(Calc!$G$3:$G$22&gt;A4565)*(Calc!$G$3:$G$22&lt;B4565))</f>
        <v/>
      </c>
      <c r="E4565">
        <f>SUMPRODUCT(Calc!$K$3:$K$22*(Calc!$G$3:$G$22&gt;=B4565))</f>
        <v/>
      </c>
      <c r="F4565">
        <f>AND(k_n&gt;=5,B4565&gt;A4565+1E-9,C4565&gt;=2,D4565&gt;=1,E4565&gt;=2)</f>
        <v/>
      </c>
      <c r="G4565">
        <f>SUMPRODUCT(Calc!$K$3:$K$22*(Calc!$G$3:$G$22&gt;A4565)*(Calc!$G$3:$G$22-A4565))</f>
        <v/>
      </c>
      <c r="H4565">
        <f>SUMPRODUCT(Calc!$K$3:$K$22*(Calc!$G$3:$G$22&gt;B4565)*(Calc!$G$3:$G$22-B4565))</f>
        <v/>
      </c>
      <c r="I4565">
        <f>SUMPRODUCT(Calc!$K$3:$K$22*(Calc!$G$3:$G$22&gt;A4565)*(Calc!$G$3:$G$22-A4565)^2)</f>
        <v/>
      </c>
      <c r="J4565">
        <f>SUMPRODUCT(Calc!$K$3:$K$22*(Calc!$G$3:$G$22&gt;B4565)*(Calc!$G$3:$G$22-B4565)^2)</f>
        <v/>
      </c>
      <c r="K4565">
        <f>SUMPRODUCT(Calc!$K$3:$K$22*(Calc!$G$3:$G$22&gt;A4565)*(Calc!$G$3:$G$22-A4565)*(Calc!$G$3:$G$22&gt;B4565)*(Calc!$G$3:$G$22-B4565))</f>
        <v/>
      </c>
      <c r="L4565">
        <f>SUMPRODUCT(Calc!$K$3:$K$22*(Calc!$G$3:$G$22&gt;A4565)*(Calc!$G$3:$G$22-A4565)*Calc!$G$3:$G$22)</f>
        <v/>
      </c>
      <c r="M4565">
        <f>SUMPRODUCT(Calc!$K$3:$K$22*(Calc!$G$3:$G$22&gt;B4565)*(Calc!$G$3:$G$22-B4565)*Calc!$G$3:$G$22)</f>
        <v/>
      </c>
      <c r="N4565">
        <f>SUMPRODUCT(Calc!$K$3:$K$22*(Calc!$G$3:$G$22&gt;A4565)*(Calc!$G$3:$G$22-A4565)*Calc!$I$3:$I$22)</f>
        <v/>
      </c>
      <c r="O4565">
        <f>SUMPRODUCT(Calc!$K$3:$K$22*(Calc!$G$3:$G$22&gt;B4565)*(Calc!$G$3:$G$22-B4565)*Calc!$I$3:$I$22)</f>
        <v/>
      </c>
      <c r="P4565">
        <f>I4565-G4565^2/k_n</f>
        <v/>
      </c>
      <c r="Q4565">
        <f>J4565-H4565^2/k_n</f>
        <v/>
      </c>
      <c r="R4565">
        <f>K4565-G4565*H4565/k_n</f>
        <v/>
      </c>
      <c r="S4565">
        <f>L4565-LTP3!$D$3*G4565/k_n</f>
        <v/>
      </c>
      <c r="T4565">
        <f>M4565-LTP3!$D$3*H4565/k_n</f>
        <v/>
      </c>
      <c r="U4565">
        <f>N4565-G4565*LTP3!$D$4/k_n</f>
        <v/>
      </c>
      <c r="V4565">
        <f>O4565-H4565*LTP3!$D$4/k_n</f>
        <v/>
      </c>
      <c r="W4565">
        <f>((LTP3!$D$5)*((P4565)*(Q4565)-(R4565)*(R4565))-(S4565)*((S4565)*(Q4565)-(R4565)*(T4565))+(T4565)*((S4565)*(R4565)-(P4565)*(T4565)))</f>
        <v/>
      </c>
      <c r="X4565">
        <f>IF(ABS(W4565)&gt;1E-12,((LTP3!$D$6)*((P4565)*(Q4565)-(R4565)*(R4565))-(S4565)*((U4565)*(Q4565)-(R4565)*(V4565))+(T4565)*((U4565)*(R4565)-(P4565)*(V4565)))/W4565,0)</f>
        <v/>
      </c>
      <c r="Y4565">
        <f>IF(ABS(W4565)&gt;1E-12,((LTP3!$D$5)*((U4565)*(Q4565)-(R4565)*(V4565))-(LTP3!$D$6)*((S4565)*(Q4565)-(R4565)*(T4565))+(T4565)*((S4565)*(V4565)-(U4565)*(T4565)))/W4565,0)</f>
        <v/>
      </c>
      <c r="Z4565">
        <f>IF(ABS(W4565)&gt;1E-12,((LTP3!$D$5)*((P4565)*(V4565)-(U4565)*(R4565))-(S4565)*((S4565)*(V4565)-(U4565)*(T4565))+(LTP3!$D$6)*((S4565)*(R4565)-(P4565)*(T4565)))/W4565,0)</f>
        <v/>
      </c>
      <c r="AA4565">
        <f>LTP3!$D$7-X4565*LTP3!$D$6-Y4565*U4565-Z4565*V4565</f>
        <v/>
      </c>
      <c r="AB4565">
        <f>IF(AND(F4565,ABS(W4565)&gt;1E-12,Y4565&gt;0,Z4565&gt;0),AA4565,1E+300)</f>
        <v/>
      </c>
    </row>
    <row r="4566">
      <c r="A4566">
        <f>$I$4-$B$5/10+$B$5*18/100</f>
        <v/>
      </c>
      <c r="B4566">
        <f>$J$4-$B$5/10+$B$5*8/100</f>
        <v/>
      </c>
      <c r="C4566">
        <f>SUMPRODUCT(Calc!$K$3:$K$22*(Calc!$G$3:$G$22&lt;=A4566))</f>
        <v/>
      </c>
      <c r="D4566">
        <f>SUMPRODUCT(Calc!$K$3:$K$22*(Calc!$G$3:$G$22&gt;A4566)*(Calc!$G$3:$G$22&lt;B4566))</f>
        <v/>
      </c>
      <c r="E4566">
        <f>SUMPRODUCT(Calc!$K$3:$K$22*(Calc!$G$3:$G$22&gt;=B4566))</f>
        <v/>
      </c>
      <c r="F4566">
        <f>AND(k_n&gt;=5,B4566&gt;A4566+1E-9,C4566&gt;=2,D4566&gt;=1,E4566&gt;=2)</f>
        <v/>
      </c>
      <c r="G4566">
        <f>SUMPRODUCT(Calc!$K$3:$K$22*(Calc!$G$3:$G$22&gt;A4566)*(Calc!$G$3:$G$22-A4566))</f>
        <v/>
      </c>
      <c r="H4566">
        <f>SUMPRODUCT(Calc!$K$3:$K$22*(Calc!$G$3:$G$22&gt;B4566)*(Calc!$G$3:$G$22-B4566))</f>
        <v/>
      </c>
      <c r="I4566">
        <f>SUMPRODUCT(Calc!$K$3:$K$22*(Calc!$G$3:$G$22&gt;A4566)*(Calc!$G$3:$G$22-A4566)^2)</f>
        <v/>
      </c>
      <c r="J4566">
        <f>SUMPRODUCT(Calc!$K$3:$K$22*(Calc!$G$3:$G$22&gt;B4566)*(Calc!$G$3:$G$22-B4566)^2)</f>
        <v/>
      </c>
      <c r="K4566">
        <f>SUMPRODUCT(Calc!$K$3:$K$22*(Calc!$G$3:$G$22&gt;A4566)*(Calc!$G$3:$G$22-A4566)*(Calc!$G$3:$G$22&gt;B4566)*(Calc!$G$3:$G$22-B4566))</f>
        <v/>
      </c>
      <c r="L4566">
        <f>SUMPRODUCT(Calc!$K$3:$K$22*(Calc!$G$3:$G$22&gt;A4566)*(Calc!$G$3:$G$22-A4566)*Calc!$G$3:$G$22)</f>
        <v/>
      </c>
      <c r="M4566">
        <f>SUMPRODUCT(Calc!$K$3:$K$22*(Calc!$G$3:$G$22&gt;B4566)*(Calc!$G$3:$G$22-B4566)*Calc!$G$3:$G$22)</f>
        <v/>
      </c>
      <c r="N4566">
        <f>SUMPRODUCT(Calc!$K$3:$K$22*(Calc!$G$3:$G$22&gt;A4566)*(Calc!$G$3:$G$22-A4566)*Calc!$I$3:$I$22)</f>
        <v/>
      </c>
      <c r="O4566">
        <f>SUMPRODUCT(Calc!$K$3:$K$22*(Calc!$G$3:$G$22&gt;B4566)*(Calc!$G$3:$G$22-B4566)*Calc!$I$3:$I$22)</f>
        <v/>
      </c>
      <c r="P4566">
        <f>I4566-G4566^2/k_n</f>
        <v/>
      </c>
      <c r="Q4566">
        <f>J4566-H4566^2/k_n</f>
        <v/>
      </c>
      <c r="R4566">
        <f>K4566-G4566*H4566/k_n</f>
        <v/>
      </c>
      <c r="S4566">
        <f>L4566-LTP3!$D$3*G4566/k_n</f>
        <v/>
      </c>
      <c r="T4566">
        <f>M4566-LTP3!$D$3*H4566/k_n</f>
        <v/>
      </c>
      <c r="U4566">
        <f>N4566-G4566*LTP3!$D$4/k_n</f>
        <v/>
      </c>
      <c r="V4566">
        <f>O4566-H4566*LTP3!$D$4/k_n</f>
        <v/>
      </c>
      <c r="W4566">
        <f>((LTP3!$D$5)*((P4566)*(Q4566)-(R4566)*(R4566))-(S4566)*((S4566)*(Q4566)-(R4566)*(T4566))+(T4566)*((S4566)*(R4566)-(P4566)*(T4566)))</f>
        <v/>
      </c>
      <c r="X4566">
        <f>IF(ABS(W4566)&gt;1E-12,((LTP3!$D$6)*((P4566)*(Q4566)-(R4566)*(R4566))-(S4566)*((U4566)*(Q4566)-(R4566)*(V4566))+(T4566)*((U4566)*(R4566)-(P4566)*(V4566)))/W4566,0)</f>
        <v/>
      </c>
      <c r="Y4566">
        <f>IF(ABS(W4566)&gt;1E-12,((LTP3!$D$5)*((U4566)*(Q4566)-(R4566)*(V4566))-(LTP3!$D$6)*((S4566)*(Q4566)-(R4566)*(T4566))+(T4566)*((S4566)*(V4566)-(U4566)*(T4566)))/W4566,0)</f>
        <v/>
      </c>
      <c r="Z4566">
        <f>IF(ABS(W4566)&gt;1E-12,((LTP3!$D$5)*((P4566)*(V4566)-(U4566)*(R4566))-(S4566)*((S4566)*(V4566)-(U4566)*(T4566))+(LTP3!$D$6)*((S4566)*(R4566)-(P4566)*(T4566)))/W4566,0)</f>
        <v/>
      </c>
      <c r="AA4566">
        <f>LTP3!$D$7-X4566*LTP3!$D$6-Y4566*U4566-Z4566*V4566</f>
        <v/>
      </c>
      <c r="AB4566">
        <f>IF(AND(F4566,ABS(W4566)&gt;1E-12,Y4566&gt;0,Z4566&gt;0),AA4566,1E+300)</f>
        <v/>
      </c>
    </row>
    <row r="4567">
      <c r="A4567">
        <f>$I$4-$B$5/10+$B$5*18/100</f>
        <v/>
      </c>
      <c r="B4567">
        <f>$J$4-$B$5/10+$B$5*9/100</f>
        <v/>
      </c>
      <c r="C4567">
        <f>SUMPRODUCT(Calc!$K$3:$K$22*(Calc!$G$3:$G$22&lt;=A4567))</f>
        <v/>
      </c>
      <c r="D4567">
        <f>SUMPRODUCT(Calc!$K$3:$K$22*(Calc!$G$3:$G$22&gt;A4567)*(Calc!$G$3:$G$22&lt;B4567))</f>
        <v/>
      </c>
      <c r="E4567">
        <f>SUMPRODUCT(Calc!$K$3:$K$22*(Calc!$G$3:$G$22&gt;=B4567))</f>
        <v/>
      </c>
      <c r="F4567">
        <f>AND(k_n&gt;=5,B4567&gt;A4567+1E-9,C4567&gt;=2,D4567&gt;=1,E4567&gt;=2)</f>
        <v/>
      </c>
      <c r="G4567">
        <f>SUMPRODUCT(Calc!$K$3:$K$22*(Calc!$G$3:$G$22&gt;A4567)*(Calc!$G$3:$G$22-A4567))</f>
        <v/>
      </c>
      <c r="H4567">
        <f>SUMPRODUCT(Calc!$K$3:$K$22*(Calc!$G$3:$G$22&gt;B4567)*(Calc!$G$3:$G$22-B4567))</f>
        <v/>
      </c>
      <c r="I4567">
        <f>SUMPRODUCT(Calc!$K$3:$K$22*(Calc!$G$3:$G$22&gt;A4567)*(Calc!$G$3:$G$22-A4567)^2)</f>
        <v/>
      </c>
      <c r="J4567">
        <f>SUMPRODUCT(Calc!$K$3:$K$22*(Calc!$G$3:$G$22&gt;B4567)*(Calc!$G$3:$G$22-B4567)^2)</f>
        <v/>
      </c>
      <c r="K4567">
        <f>SUMPRODUCT(Calc!$K$3:$K$22*(Calc!$G$3:$G$22&gt;A4567)*(Calc!$G$3:$G$22-A4567)*(Calc!$G$3:$G$22&gt;B4567)*(Calc!$G$3:$G$22-B4567))</f>
        <v/>
      </c>
      <c r="L4567">
        <f>SUMPRODUCT(Calc!$K$3:$K$22*(Calc!$G$3:$G$22&gt;A4567)*(Calc!$G$3:$G$22-A4567)*Calc!$G$3:$G$22)</f>
        <v/>
      </c>
      <c r="M4567">
        <f>SUMPRODUCT(Calc!$K$3:$K$22*(Calc!$G$3:$G$22&gt;B4567)*(Calc!$G$3:$G$22-B4567)*Calc!$G$3:$G$22)</f>
        <v/>
      </c>
      <c r="N4567">
        <f>SUMPRODUCT(Calc!$K$3:$K$22*(Calc!$G$3:$G$22&gt;A4567)*(Calc!$G$3:$G$22-A4567)*Calc!$I$3:$I$22)</f>
        <v/>
      </c>
      <c r="O4567">
        <f>SUMPRODUCT(Calc!$K$3:$K$22*(Calc!$G$3:$G$22&gt;B4567)*(Calc!$G$3:$G$22-B4567)*Calc!$I$3:$I$22)</f>
        <v/>
      </c>
      <c r="P4567">
        <f>I4567-G4567^2/k_n</f>
        <v/>
      </c>
      <c r="Q4567">
        <f>J4567-H4567^2/k_n</f>
        <v/>
      </c>
      <c r="R4567">
        <f>K4567-G4567*H4567/k_n</f>
        <v/>
      </c>
      <c r="S4567">
        <f>L4567-LTP3!$D$3*G4567/k_n</f>
        <v/>
      </c>
      <c r="T4567">
        <f>M4567-LTP3!$D$3*H4567/k_n</f>
        <v/>
      </c>
      <c r="U4567">
        <f>N4567-G4567*LTP3!$D$4/k_n</f>
        <v/>
      </c>
      <c r="V4567">
        <f>O4567-H4567*LTP3!$D$4/k_n</f>
        <v/>
      </c>
      <c r="W4567">
        <f>((LTP3!$D$5)*((P4567)*(Q4567)-(R4567)*(R4567))-(S4567)*((S4567)*(Q4567)-(R4567)*(T4567))+(T4567)*((S4567)*(R4567)-(P4567)*(T4567)))</f>
        <v/>
      </c>
      <c r="X4567">
        <f>IF(ABS(W4567)&gt;1E-12,((LTP3!$D$6)*((P4567)*(Q4567)-(R4567)*(R4567))-(S4567)*((U4567)*(Q4567)-(R4567)*(V4567))+(T4567)*((U4567)*(R4567)-(P4567)*(V4567)))/W4567,0)</f>
        <v/>
      </c>
      <c r="Y4567">
        <f>IF(ABS(W4567)&gt;1E-12,((LTP3!$D$5)*((U4567)*(Q4567)-(R4567)*(V4567))-(LTP3!$D$6)*((S4567)*(Q4567)-(R4567)*(T4567))+(T4567)*((S4567)*(V4567)-(U4567)*(T4567)))/W4567,0)</f>
        <v/>
      </c>
      <c r="Z4567">
        <f>IF(ABS(W4567)&gt;1E-12,((LTP3!$D$5)*((P4567)*(V4567)-(U4567)*(R4567))-(S4567)*((S4567)*(V4567)-(U4567)*(T4567))+(LTP3!$D$6)*((S4567)*(R4567)-(P4567)*(T4567)))/W4567,0)</f>
        <v/>
      </c>
      <c r="AA4567">
        <f>LTP3!$D$7-X4567*LTP3!$D$6-Y4567*U4567-Z4567*V4567</f>
        <v/>
      </c>
      <c r="AB4567">
        <f>IF(AND(F4567,ABS(W4567)&gt;1E-12,Y4567&gt;0,Z4567&gt;0),AA4567,1E+300)</f>
        <v/>
      </c>
    </row>
    <row r="4568">
      <c r="A4568">
        <f>$I$4-$B$5/10+$B$5*18/100</f>
        <v/>
      </c>
      <c r="B4568">
        <f>$J$4-$B$5/10+$B$5*10/100</f>
        <v/>
      </c>
      <c r="C4568">
        <f>SUMPRODUCT(Calc!$K$3:$K$22*(Calc!$G$3:$G$22&lt;=A4568))</f>
        <v/>
      </c>
      <c r="D4568">
        <f>SUMPRODUCT(Calc!$K$3:$K$22*(Calc!$G$3:$G$22&gt;A4568)*(Calc!$G$3:$G$22&lt;B4568))</f>
        <v/>
      </c>
      <c r="E4568">
        <f>SUMPRODUCT(Calc!$K$3:$K$22*(Calc!$G$3:$G$22&gt;=B4568))</f>
        <v/>
      </c>
      <c r="F4568">
        <f>AND(k_n&gt;=5,B4568&gt;A4568+1E-9,C4568&gt;=2,D4568&gt;=1,E4568&gt;=2)</f>
        <v/>
      </c>
      <c r="G4568">
        <f>SUMPRODUCT(Calc!$K$3:$K$22*(Calc!$G$3:$G$22&gt;A4568)*(Calc!$G$3:$G$22-A4568))</f>
        <v/>
      </c>
      <c r="H4568">
        <f>SUMPRODUCT(Calc!$K$3:$K$22*(Calc!$G$3:$G$22&gt;B4568)*(Calc!$G$3:$G$22-B4568))</f>
        <v/>
      </c>
      <c r="I4568">
        <f>SUMPRODUCT(Calc!$K$3:$K$22*(Calc!$G$3:$G$22&gt;A4568)*(Calc!$G$3:$G$22-A4568)^2)</f>
        <v/>
      </c>
      <c r="J4568">
        <f>SUMPRODUCT(Calc!$K$3:$K$22*(Calc!$G$3:$G$22&gt;B4568)*(Calc!$G$3:$G$22-B4568)^2)</f>
        <v/>
      </c>
      <c r="K4568">
        <f>SUMPRODUCT(Calc!$K$3:$K$22*(Calc!$G$3:$G$22&gt;A4568)*(Calc!$G$3:$G$22-A4568)*(Calc!$G$3:$G$22&gt;B4568)*(Calc!$G$3:$G$22-B4568))</f>
        <v/>
      </c>
      <c r="L4568">
        <f>SUMPRODUCT(Calc!$K$3:$K$22*(Calc!$G$3:$G$22&gt;A4568)*(Calc!$G$3:$G$22-A4568)*Calc!$G$3:$G$22)</f>
        <v/>
      </c>
      <c r="M4568">
        <f>SUMPRODUCT(Calc!$K$3:$K$22*(Calc!$G$3:$G$22&gt;B4568)*(Calc!$G$3:$G$22-B4568)*Calc!$G$3:$G$22)</f>
        <v/>
      </c>
      <c r="N4568">
        <f>SUMPRODUCT(Calc!$K$3:$K$22*(Calc!$G$3:$G$22&gt;A4568)*(Calc!$G$3:$G$22-A4568)*Calc!$I$3:$I$22)</f>
        <v/>
      </c>
      <c r="O4568">
        <f>SUMPRODUCT(Calc!$K$3:$K$22*(Calc!$G$3:$G$22&gt;B4568)*(Calc!$G$3:$G$22-B4568)*Calc!$I$3:$I$22)</f>
        <v/>
      </c>
      <c r="P4568">
        <f>I4568-G4568^2/k_n</f>
        <v/>
      </c>
      <c r="Q4568">
        <f>J4568-H4568^2/k_n</f>
        <v/>
      </c>
      <c r="R4568">
        <f>K4568-G4568*H4568/k_n</f>
        <v/>
      </c>
      <c r="S4568">
        <f>L4568-LTP3!$D$3*G4568/k_n</f>
        <v/>
      </c>
      <c r="T4568">
        <f>M4568-LTP3!$D$3*H4568/k_n</f>
        <v/>
      </c>
      <c r="U4568">
        <f>N4568-G4568*LTP3!$D$4/k_n</f>
        <v/>
      </c>
      <c r="V4568">
        <f>O4568-H4568*LTP3!$D$4/k_n</f>
        <v/>
      </c>
      <c r="W4568">
        <f>((LTP3!$D$5)*((P4568)*(Q4568)-(R4568)*(R4568))-(S4568)*((S4568)*(Q4568)-(R4568)*(T4568))+(T4568)*((S4568)*(R4568)-(P4568)*(T4568)))</f>
        <v/>
      </c>
      <c r="X4568">
        <f>IF(ABS(W4568)&gt;1E-12,((LTP3!$D$6)*((P4568)*(Q4568)-(R4568)*(R4568))-(S4568)*((U4568)*(Q4568)-(R4568)*(V4568))+(T4568)*((U4568)*(R4568)-(P4568)*(V4568)))/W4568,0)</f>
        <v/>
      </c>
      <c r="Y4568">
        <f>IF(ABS(W4568)&gt;1E-12,((LTP3!$D$5)*((U4568)*(Q4568)-(R4568)*(V4568))-(LTP3!$D$6)*((S4568)*(Q4568)-(R4568)*(T4568))+(T4568)*((S4568)*(V4568)-(U4568)*(T4568)))/W4568,0)</f>
        <v/>
      </c>
      <c r="Z4568">
        <f>IF(ABS(W4568)&gt;1E-12,((LTP3!$D$5)*((P4568)*(V4568)-(U4568)*(R4568))-(S4568)*((S4568)*(V4568)-(U4568)*(T4568))+(LTP3!$D$6)*((S4568)*(R4568)-(P4568)*(T4568)))/W4568,0)</f>
        <v/>
      </c>
      <c r="AA4568">
        <f>LTP3!$D$7-X4568*LTP3!$D$6-Y4568*U4568-Z4568*V4568</f>
        <v/>
      </c>
      <c r="AB4568">
        <f>IF(AND(F4568,ABS(W4568)&gt;1E-12,Y4568&gt;0,Z4568&gt;0),AA4568,1E+300)</f>
        <v/>
      </c>
    </row>
    <row r="4569">
      <c r="A4569">
        <f>$I$4-$B$5/10+$B$5*18/100</f>
        <v/>
      </c>
      <c r="B4569">
        <f>$J$4-$B$5/10+$B$5*11/100</f>
        <v/>
      </c>
      <c r="C4569">
        <f>SUMPRODUCT(Calc!$K$3:$K$22*(Calc!$G$3:$G$22&lt;=A4569))</f>
        <v/>
      </c>
      <c r="D4569">
        <f>SUMPRODUCT(Calc!$K$3:$K$22*(Calc!$G$3:$G$22&gt;A4569)*(Calc!$G$3:$G$22&lt;B4569))</f>
        <v/>
      </c>
      <c r="E4569">
        <f>SUMPRODUCT(Calc!$K$3:$K$22*(Calc!$G$3:$G$22&gt;=B4569))</f>
        <v/>
      </c>
      <c r="F4569">
        <f>AND(k_n&gt;=5,B4569&gt;A4569+1E-9,C4569&gt;=2,D4569&gt;=1,E4569&gt;=2)</f>
        <v/>
      </c>
      <c r="G4569">
        <f>SUMPRODUCT(Calc!$K$3:$K$22*(Calc!$G$3:$G$22&gt;A4569)*(Calc!$G$3:$G$22-A4569))</f>
        <v/>
      </c>
      <c r="H4569">
        <f>SUMPRODUCT(Calc!$K$3:$K$22*(Calc!$G$3:$G$22&gt;B4569)*(Calc!$G$3:$G$22-B4569))</f>
        <v/>
      </c>
      <c r="I4569">
        <f>SUMPRODUCT(Calc!$K$3:$K$22*(Calc!$G$3:$G$22&gt;A4569)*(Calc!$G$3:$G$22-A4569)^2)</f>
        <v/>
      </c>
      <c r="J4569">
        <f>SUMPRODUCT(Calc!$K$3:$K$22*(Calc!$G$3:$G$22&gt;B4569)*(Calc!$G$3:$G$22-B4569)^2)</f>
        <v/>
      </c>
      <c r="K4569">
        <f>SUMPRODUCT(Calc!$K$3:$K$22*(Calc!$G$3:$G$22&gt;A4569)*(Calc!$G$3:$G$22-A4569)*(Calc!$G$3:$G$22&gt;B4569)*(Calc!$G$3:$G$22-B4569))</f>
        <v/>
      </c>
      <c r="L4569">
        <f>SUMPRODUCT(Calc!$K$3:$K$22*(Calc!$G$3:$G$22&gt;A4569)*(Calc!$G$3:$G$22-A4569)*Calc!$G$3:$G$22)</f>
        <v/>
      </c>
      <c r="M4569">
        <f>SUMPRODUCT(Calc!$K$3:$K$22*(Calc!$G$3:$G$22&gt;B4569)*(Calc!$G$3:$G$22-B4569)*Calc!$G$3:$G$22)</f>
        <v/>
      </c>
      <c r="N4569">
        <f>SUMPRODUCT(Calc!$K$3:$K$22*(Calc!$G$3:$G$22&gt;A4569)*(Calc!$G$3:$G$22-A4569)*Calc!$I$3:$I$22)</f>
        <v/>
      </c>
      <c r="O4569">
        <f>SUMPRODUCT(Calc!$K$3:$K$22*(Calc!$G$3:$G$22&gt;B4569)*(Calc!$G$3:$G$22-B4569)*Calc!$I$3:$I$22)</f>
        <v/>
      </c>
      <c r="P4569">
        <f>I4569-G4569^2/k_n</f>
        <v/>
      </c>
      <c r="Q4569">
        <f>J4569-H4569^2/k_n</f>
        <v/>
      </c>
      <c r="R4569">
        <f>K4569-G4569*H4569/k_n</f>
        <v/>
      </c>
      <c r="S4569">
        <f>L4569-LTP3!$D$3*G4569/k_n</f>
        <v/>
      </c>
      <c r="T4569">
        <f>M4569-LTP3!$D$3*H4569/k_n</f>
        <v/>
      </c>
      <c r="U4569">
        <f>N4569-G4569*LTP3!$D$4/k_n</f>
        <v/>
      </c>
      <c r="V4569">
        <f>O4569-H4569*LTP3!$D$4/k_n</f>
        <v/>
      </c>
      <c r="W4569">
        <f>((LTP3!$D$5)*((P4569)*(Q4569)-(R4569)*(R4569))-(S4569)*((S4569)*(Q4569)-(R4569)*(T4569))+(T4569)*((S4569)*(R4569)-(P4569)*(T4569)))</f>
        <v/>
      </c>
      <c r="X4569">
        <f>IF(ABS(W4569)&gt;1E-12,((LTP3!$D$6)*((P4569)*(Q4569)-(R4569)*(R4569))-(S4569)*((U4569)*(Q4569)-(R4569)*(V4569))+(T4569)*((U4569)*(R4569)-(P4569)*(V4569)))/W4569,0)</f>
        <v/>
      </c>
      <c r="Y4569">
        <f>IF(ABS(W4569)&gt;1E-12,((LTP3!$D$5)*((U4569)*(Q4569)-(R4569)*(V4569))-(LTP3!$D$6)*((S4569)*(Q4569)-(R4569)*(T4569))+(T4569)*((S4569)*(V4569)-(U4569)*(T4569)))/W4569,0)</f>
        <v/>
      </c>
      <c r="Z4569">
        <f>IF(ABS(W4569)&gt;1E-12,((LTP3!$D$5)*((P4569)*(V4569)-(U4569)*(R4569))-(S4569)*((S4569)*(V4569)-(U4569)*(T4569))+(LTP3!$D$6)*((S4569)*(R4569)-(P4569)*(T4569)))/W4569,0)</f>
        <v/>
      </c>
      <c r="AA4569">
        <f>LTP3!$D$7-X4569*LTP3!$D$6-Y4569*U4569-Z4569*V4569</f>
        <v/>
      </c>
      <c r="AB4569">
        <f>IF(AND(F4569,ABS(W4569)&gt;1E-12,Y4569&gt;0,Z4569&gt;0),AA4569,1E+300)</f>
        <v/>
      </c>
    </row>
    <row r="4570">
      <c r="A4570">
        <f>$I$4-$B$5/10+$B$5*18/100</f>
        <v/>
      </c>
      <c r="B4570">
        <f>$J$4-$B$5/10+$B$5*12/100</f>
        <v/>
      </c>
      <c r="C4570">
        <f>SUMPRODUCT(Calc!$K$3:$K$22*(Calc!$G$3:$G$22&lt;=A4570))</f>
        <v/>
      </c>
      <c r="D4570">
        <f>SUMPRODUCT(Calc!$K$3:$K$22*(Calc!$G$3:$G$22&gt;A4570)*(Calc!$G$3:$G$22&lt;B4570))</f>
        <v/>
      </c>
      <c r="E4570">
        <f>SUMPRODUCT(Calc!$K$3:$K$22*(Calc!$G$3:$G$22&gt;=B4570))</f>
        <v/>
      </c>
      <c r="F4570">
        <f>AND(k_n&gt;=5,B4570&gt;A4570+1E-9,C4570&gt;=2,D4570&gt;=1,E4570&gt;=2)</f>
        <v/>
      </c>
      <c r="G4570">
        <f>SUMPRODUCT(Calc!$K$3:$K$22*(Calc!$G$3:$G$22&gt;A4570)*(Calc!$G$3:$G$22-A4570))</f>
        <v/>
      </c>
      <c r="H4570">
        <f>SUMPRODUCT(Calc!$K$3:$K$22*(Calc!$G$3:$G$22&gt;B4570)*(Calc!$G$3:$G$22-B4570))</f>
        <v/>
      </c>
      <c r="I4570">
        <f>SUMPRODUCT(Calc!$K$3:$K$22*(Calc!$G$3:$G$22&gt;A4570)*(Calc!$G$3:$G$22-A4570)^2)</f>
        <v/>
      </c>
      <c r="J4570">
        <f>SUMPRODUCT(Calc!$K$3:$K$22*(Calc!$G$3:$G$22&gt;B4570)*(Calc!$G$3:$G$22-B4570)^2)</f>
        <v/>
      </c>
      <c r="K4570">
        <f>SUMPRODUCT(Calc!$K$3:$K$22*(Calc!$G$3:$G$22&gt;A4570)*(Calc!$G$3:$G$22-A4570)*(Calc!$G$3:$G$22&gt;B4570)*(Calc!$G$3:$G$22-B4570))</f>
        <v/>
      </c>
      <c r="L4570">
        <f>SUMPRODUCT(Calc!$K$3:$K$22*(Calc!$G$3:$G$22&gt;A4570)*(Calc!$G$3:$G$22-A4570)*Calc!$G$3:$G$22)</f>
        <v/>
      </c>
      <c r="M4570">
        <f>SUMPRODUCT(Calc!$K$3:$K$22*(Calc!$G$3:$G$22&gt;B4570)*(Calc!$G$3:$G$22-B4570)*Calc!$G$3:$G$22)</f>
        <v/>
      </c>
      <c r="N4570">
        <f>SUMPRODUCT(Calc!$K$3:$K$22*(Calc!$G$3:$G$22&gt;A4570)*(Calc!$G$3:$G$22-A4570)*Calc!$I$3:$I$22)</f>
        <v/>
      </c>
      <c r="O4570">
        <f>SUMPRODUCT(Calc!$K$3:$K$22*(Calc!$G$3:$G$22&gt;B4570)*(Calc!$G$3:$G$22-B4570)*Calc!$I$3:$I$22)</f>
        <v/>
      </c>
      <c r="P4570">
        <f>I4570-G4570^2/k_n</f>
        <v/>
      </c>
      <c r="Q4570">
        <f>J4570-H4570^2/k_n</f>
        <v/>
      </c>
      <c r="R4570">
        <f>K4570-G4570*H4570/k_n</f>
        <v/>
      </c>
      <c r="S4570">
        <f>L4570-LTP3!$D$3*G4570/k_n</f>
        <v/>
      </c>
      <c r="T4570">
        <f>M4570-LTP3!$D$3*H4570/k_n</f>
        <v/>
      </c>
      <c r="U4570">
        <f>N4570-G4570*LTP3!$D$4/k_n</f>
        <v/>
      </c>
      <c r="V4570">
        <f>O4570-H4570*LTP3!$D$4/k_n</f>
        <v/>
      </c>
      <c r="W4570">
        <f>((LTP3!$D$5)*((P4570)*(Q4570)-(R4570)*(R4570))-(S4570)*((S4570)*(Q4570)-(R4570)*(T4570))+(T4570)*((S4570)*(R4570)-(P4570)*(T4570)))</f>
        <v/>
      </c>
      <c r="X4570">
        <f>IF(ABS(W4570)&gt;1E-12,((LTP3!$D$6)*((P4570)*(Q4570)-(R4570)*(R4570))-(S4570)*((U4570)*(Q4570)-(R4570)*(V4570))+(T4570)*((U4570)*(R4570)-(P4570)*(V4570)))/W4570,0)</f>
        <v/>
      </c>
      <c r="Y4570">
        <f>IF(ABS(W4570)&gt;1E-12,((LTP3!$D$5)*((U4570)*(Q4570)-(R4570)*(V4570))-(LTP3!$D$6)*((S4570)*(Q4570)-(R4570)*(T4570))+(T4570)*((S4570)*(V4570)-(U4570)*(T4570)))/W4570,0)</f>
        <v/>
      </c>
      <c r="Z4570">
        <f>IF(ABS(W4570)&gt;1E-12,((LTP3!$D$5)*((P4570)*(V4570)-(U4570)*(R4570))-(S4570)*((S4570)*(V4570)-(U4570)*(T4570))+(LTP3!$D$6)*((S4570)*(R4570)-(P4570)*(T4570)))/W4570,0)</f>
        <v/>
      </c>
      <c r="AA4570">
        <f>LTP3!$D$7-X4570*LTP3!$D$6-Y4570*U4570-Z4570*V4570</f>
        <v/>
      </c>
      <c r="AB4570">
        <f>IF(AND(F4570,ABS(W4570)&gt;1E-12,Y4570&gt;0,Z4570&gt;0),AA4570,1E+300)</f>
        <v/>
      </c>
    </row>
    <row r="4571">
      <c r="A4571">
        <f>$I$4-$B$5/10+$B$5*18/100</f>
        <v/>
      </c>
      <c r="B4571">
        <f>$J$4-$B$5/10+$B$5*13/100</f>
        <v/>
      </c>
      <c r="C4571">
        <f>SUMPRODUCT(Calc!$K$3:$K$22*(Calc!$G$3:$G$22&lt;=A4571))</f>
        <v/>
      </c>
      <c r="D4571">
        <f>SUMPRODUCT(Calc!$K$3:$K$22*(Calc!$G$3:$G$22&gt;A4571)*(Calc!$G$3:$G$22&lt;B4571))</f>
        <v/>
      </c>
      <c r="E4571">
        <f>SUMPRODUCT(Calc!$K$3:$K$22*(Calc!$G$3:$G$22&gt;=B4571))</f>
        <v/>
      </c>
      <c r="F4571">
        <f>AND(k_n&gt;=5,B4571&gt;A4571+1E-9,C4571&gt;=2,D4571&gt;=1,E4571&gt;=2)</f>
        <v/>
      </c>
      <c r="G4571">
        <f>SUMPRODUCT(Calc!$K$3:$K$22*(Calc!$G$3:$G$22&gt;A4571)*(Calc!$G$3:$G$22-A4571))</f>
        <v/>
      </c>
      <c r="H4571">
        <f>SUMPRODUCT(Calc!$K$3:$K$22*(Calc!$G$3:$G$22&gt;B4571)*(Calc!$G$3:$G$22-B4571))</f>
        <v/>
      </c>
      <c r="I4571">
        <f>SUMPRODUCT(Calc!$K$3:$K$22*(Calc!$G$3:$G$22&gt;A4571)*(Calc!$G$3:$G$22-A4571)^2)</f>
        <v/>
      </c>
      <c r="J4571">
        <f>SUMPRODUCT(Calc!$K$3:$K$22*(Calc!$G$3:$G$22&gt;B4571)*(Calc!$G$3:$G$22-B4571)^2)</f>
        <v/>
      </c>
      <c r="K4571">
        <f>SUMPRODUCT(Calc!$K$3:$K$22*(Calc!$G$3:$G$22&gt;A4571)*(Calc!$G$3:$G$22-A4571)*(Calc!$G$3:$G$22&gt;B4571)*(Calc!$G$3:$G$22-B4571))</f>
        <v/>
      </c>
      <c r="L4571">
        <f>SUMPRODUCT(Calc!$K$3:$K$22*(Calc!$G$3:$G$22&gt;A4571)*(Calc!$G$3:$G$22-A4571)*Calc!$G$3:$G$22)</f>
        <v/>
      </c>
      <c r="M4571">
        <f>SUMPRODUCT(Calc!$K$3:$K$22*(Calc!$G$3:$G$22&gt;B4571)*(Calc!$G$3:$G$22-B4571)*Calc!$G$3:$G$22)</f>
        <v/>
      </c>
      <c r="N4571">
        <f>SUMPRODUCT(Calc!$K$3:$K$22*(Calc!$G$3:$G$22&gt;A4571)*(Calc!$G$3:$G$22-A4571)*Calc!$I$3:$I$22)</f>
        <v/>
      </c>
      <c r="O4571">
        <f>SUMPRODUCT(Calc!$K$3:$K$22*(Calc!$G$3:$G$22&gt;B4571)*(Calc!$G$3:$G$22-B4571)*Calc!$I$3:$I$22)</f>
        <v/>
      </c>
      <c r="P4571">
        <f>I4571-G4571^2/k_n</f>
        <v/>
      </c>
      <c r="Q4571">
        <f>J4571-H4571^2/k_n</f>
        <v/>
      </c>
      <c r="R4571">
        <f>K4571-G4571*H4571/k_n</f>
        <v/>
      </c>
      <c r="S4571">
        <f>L4571-LTP3!$D$3*G4571/k_n</f>
        <v/>
      </c>
      <c r="T4571">
        <f>M4571-LTP3!$D$3*H4571/k_n</f>
        <v/>
      </c>
      <c r="U4571">
        <f>N4571-G4571*LTP3!$D$4/k_n</f>
        <v/>
      </c>
      <c r="V4571">
        <f>O4571-H4571*LTP3!$D$4/k_n</f>
        <v/>
      </c>
      <c r="W4571">
        <f>((LTP3!$D$5)*((P4571)*(Q4571)-(R4571)*(R4571))-(S4571)*((S4571)*(Q4571)-(R4571)*(T4571))+(T4571)*((S4571)*(R4571)-(P4571)*(T4571)))</f>
        <v/>
      </c>
      <c r="X4571">
        <f>IF(ABS(W4571)&gt;1E-12,((LTP3!$D$6)*((P4571)*(Q4571)-(R4571)*(R4571))-(S4571)*((U4571)*(Q4571)-(R4571)*(V4571))+(T4571)*((U4571)*(R4571)-(P4571)*(V4571)))/W4571,0)</f>
        <v/>
      </c>
      <c r="Y4571">
        <f>IF(ABS(W4571)&gt;1E-12,((LTP3!$D$5)*((U4571)*(Q4571)-(R4571)*(V4571))-(LTP3!$D$6)*((S4571)*(Q4571)-(R4571)*(T4571))+(T4571)*((S4571)*(V4571)-(U4571)*(T4571)))/W4571,0)</f>
        <v/>
      </c>
      <c r="Z4571">
        <f>IF(ABS(W4571)&gt;1E-12,((LTP3!$D$5)*((P4571)*(V4571)-(U4571)*(R4571))-(S4571)*((S4571)*(V4571)-(U4571)*(T4571))+(LTP3!$D$6)*((S4571)*(R4571)-(P4571)*(T4571)))/W4571,0)</f>
        <v/>
      </c>
      <c r="AA4571">
        <f>LTP3!$D$7-X4571*LTP3!$D$6-Y4571*U4571-Z4571*V4571</f>
        <v/>
      </c>
      <c r="AB4571">
        <f>IF(AND(F4571,ABS(W4571)&gt;1E-12,Y4571&gt;0,Z4571&gt;0),AA4571,1E+300)</f>
        <v/>
      </c>
    </row>
    <row r="4572">
      <c r="A4572">
        <f>$I$4-$B$5/10+$B$5*18/100</f>
        <v/>
      </c>
      <c r="B4572">
        <f>$J$4-$B$5/10+$B$5*14/100</f>
        <v/>
      </c>
      <c r="C4572">
        <f>SUMPRODUCT(Calc!$K$3:$K$22*(Calc!$G$3:$G$22&lt;=A4572))</f>
        <v/>
      </c>
      <c r="D4572">
        <f>SUMPRODUCT(Calc!$K$3:$K$22*(Calc!$G$3:$G$22&gt;A4572)*(Calc!$G$3:$G$22&lt;B4572))</f>
        <v/>
      </c>
      <c r="E4572">
        <f>SUMPRODUCT(Calc!$K$3:$K$22*(Calc!$G$3:$G$22&gt;=B4572))</f>
        <v/>
      </c>
      <c r="F4572">
        <f>AND(k_n&gt;=5,B4572&gt;A4572+1E-9,C4572&gt;=2,D4572&gt;=1,E4572&gt;=2)</f>
        <v/>
      </c>
      <c r="G4572">
        <f>SUMPRODUCT(Calc!$K$3:$K$22*(Calc!$G$3:$G$22&gt;A4572)*(Calc!$G$3:$G$22-A4572))</f>
        <v/>
      </c>
      <c r="H4572">
        <f>SUMPRODUCT(Calc!$K$3:$K$22*(Calc!$G$3:$G$22&gt;B4572)*(Calc!$G$3:$G$22-B4572))</f>
        <v/>
      </c>
      <c r="I4572">
        <f>SUMPRODUCT(Calc!$K$3:$K$22*(Calc!$G$3:$G$22&gt;A4572)*(Calc!$G$3:$G$22-A4572)^2)</f>
        <v/>
      </c>
      <c r="J4572">
        <f>SUMPRODUCT(Calc!$K$3:$K$22*(Calc!$G$3:$G$22&gt;B4572)*(Calc!$G$3:$G$22-B4572)^2)</f>
        <v/>
      </c>
      <c r="K4572">
        <f>SUMPRODUCT(Calc!$K$3:$K$22*(Calc!$G$3:$G$22&gt;A4572)*(Calc!$G$3:$G$22-A4572)*(Calc!$G$3:$G$22&gt;B4572)*(Calc!$G$3:$G$22-B4572))</f>
        <v/>
      </c>
      <c r="L4572">
        <f>SUMPRODUCT(Calc!$K$3:$K$22*(Calc!$G$3:$G$22&gt;A4572)*(Calc!$G$3:$G$22-A4572)*Calc!$G$3:$G$22)</f>
        <v/>
      </c>
      <c r="M4572">
        <f>SUMPRODUCT(Calc!$K$3:$K$22*(Calc!$G$3:$G$22&gt;B4572)*(Calc!$G$3:$G$22-B4572)*Calc!$G$3:$G$22)</f>
        <v/>
      </c>
      <c r="N4572">
        <f>SUMPRODUCT(Calc!$K$3:$K$22*(Calc!$G$3:$G$22&gt;A4572)*(Calc!$G$3:$G$22-A4572)*Calc!$I$3:$I$22)</f>
        <v/>
      </c>
      <c r="O4572">
        <f>SUMPRODUCT(Calc!$K$3:$K$22*(Calc!$G$3:$G$22&gt;B4572)*(Calc!$G$3:$G$22-B4572)*Calc!$I$3:$I$22)</f>
        <v/>
      </c>
      <c r="P4572">
        <f>I4572-G4572^2/k_n</f>
        <v/>
      </c>
      <c r="Q4572">
        <f>J4572-H4572^2/k_n</f>
        <v/>
      </c>
      <c r="R4572">
        <f>K4572-G4572*H4572/k_n</f>
        <v/>
      </c>
      <c r="S4572">
        <f>L4572-LTP3!$D$3*G4572/k_n</f>
        <v/>
      </c>
      <c r="T4572">
        <f>M4572-LTP3!$D$3*H4572/k_n</f>
        <v/>
      </c>
      <c r="U4572">
        <f>N4572-G4572*LTP3!$D$4/k_n</f>
        <v/>
      </c>
      <c r="V4572">
        <f>O4572-H4572*LTP3!$D$4/k_n</f>
        <v/>
      </c>
      <c r="W4572">
        <f>((LTP3!$D$5)*((P4572)*(Q4572)-(R4572)*(R4572))-(S4572)*((S4572)*(Q4572)-(R4572)*(T4572))+(T4572)*((S4572)*(R4572)-(P4572)*(T4572)))</f>
        <v/>
      </c>
      <c r="X4572">
        <f>IF(ABS(W4572)&gt;1E-12,((LTP3!$D$6)*((P4572)*(Q4572)-(R4572)*(R4572))-(S4572)*((U4572)*(Q4572)-(R4572)*(V4572))+(T4572)*((U4572)*(R4572)-(P4572)*(V4572)))/W4572,0)</f>
        <v/>
      </c>
      <c r="Y4572">
        <f>IF(ABS(W4572)&gt;1E-12,((LTP3!$D$5)*((U4572)*(Q4572)-(R4572)*(V4572))-(LTP3!$D$6)*((S4572)*(Q4572)-(R4572)*(T4572))+(T4572)*((S4572)*(V4572)-(U4572)*(T4572)))/W4572,0)</f>
        <v/>
      </c>
      <c r="Z4572">
        <f>IF(ABS(W4572)&gt;1E-12,((LTP3!$D$5)*((P4572)*(V4572)-(U4572)*(R4572))-(S4572)*((S4572)*(V4572)-(U4572)*(T4572))+(LTP3!$D$6)*((S4572)*(R4572)-(P4572)*(T4572)))/W4572,0)</f>
        <v/>
      </c>
      <c r="AA4572">
        <f>LTP3!$D$7-X4572*LTP3!$D$6-Y4572*U4572-Z4572*V4572</f>
        <v/>
      </c>
      <c r="AB4572">
        <f>IF(AND(F4572,ABS(W4572)&gt;1E-12,Y4572&gt;0,Z4572&gt;0),AA4572,1E+300)</f>
        <v/>
      </c>
    </row>
    <row r="4573">
      <c r="A4573">
        <f>$I$4-$B$5/10+$B$5*18/100</f>
        <v/>
      </c>
      <c r="B4573">
        <f>$J$4-$B$5/10+$B$5*15/100</f>
        <v/>
      </c>
      <c r="C4573">
        <f>SUMPRODUCT(Calc!$K$3:$K$22*(Calc!$G$3:$G$22&lt;=A4573))</f>
        <v/>
      </c>
      <c r="D4573">
        <f>SUMPRODUCT(Calc!$K$3:$K$22*(Calc!$G$3:$G$22&gt;A4573)*(Calc!$G$3:$G$22&lt;B4573))</f>
        <v/>
      </c>
      <c r="E4573">
        <f>SUMPRODUCT(Calc!$K$3:$K$22*(Calc!$G$3:$G$22&gt;=B4573))</f>
        <v/>
      </c>
      <c r="F4573">
        <f>AND(k_n&gt;=5,B4573&gt;A4573+1E-9,C4573&gt;=2,D4573&gt;=1,E4573&gt;=2)</f>
        <v/>
      </c>
      <c r="G4573">
        <f>SUMPRODUCT(Calc!$K$3:$K$22*(Calc!$G$3:$G$22&gt;A4573)*(Calc!$G$3:$G$22-A4573))</f>
        <v/>
      </c>
      <c r="H4573">
        <f>SUMPRODUCT(Calc!$K$3:$K$22*(Calc!$G$3:$G$22&gt;B4573)*(Calc!$G$3:$G$22-B4573))</f>
        <v/>
      </c>
      <c r="I4573">
        <f>SUMPRODUCT(Calc!$K$3:$K$22*(Calc!$G$3:$G$22&gt;A4573)*(Calc!$G$3:$G$22-A4573)^2)</f>
        <v/>
      </c>
      <c r="J4573">
        <f>SUMPRODUCT(Calc!$K$3:$K$22*(Calc!$G$3:$G$22&gt;B4573)*(Calc!$G$3:$G$22-B4573)^2)</f>
        <v/>
      </c>
      <c r="K4573">
        <f>SUMPRODUCT(Calc!$K$3:$K$22*(Calc!$G$3:$G$22&gt;A4573)*(Calc!$G$3:$G$22-A4573)*(Calc!$G$3:$G$22&gt;B4573)*(Calc!$G$3:$G$22-B4573))</f>
        <v/>
      </c>
      <c r="L4573">
        <f>SUMPRODUCT(Calc!$K$3:$K$22*(Calc!$G$3:$G$22&gt;A4573)*(Calc!$G$3:$G$22-A4573)*Calc!$G$3:$G$22)</f>
        <v/>
      </c>
      <c r="M4573">
        <f>SUMPRODUCT(Calc!$K$3:$K$22*(Calc!$G$3:$G$22&gt;B4573)*(Calc!$G$3:$G$22-B4573)*Calc!$G$3:$G$22)</f>
        <v/>
      </c>
      <c r="N4573">
        <f>SUMPRODUCT(Calc!$K$3:$K$22*(Calc!$G$3:$G$22&gt;A4573)*(Calc!$G$3:$G$22-A4573)*Calc!$I$3:$I$22)</f>
        <v/>
      </c>
      <c r="O4573">
        <f>SUMPRODUCT(Calc!$K$3:$K$22*(Calc!$G$3:$G$22&gt;B4573)*(Calc!$G$3:$G$22-B4573)*Calc!$I$3:$I$22)</f>
        <v/>
      </c>
      <c r="P4573">
        <f>I4573-G4573^2/k_n</f>
        <v/>
      </c>
      <c r="Q4573">
        <f>J4573-H4573^2/k_n</f>
        <v/>
      </c>
      <c r="R4573">
        <f>K4573-G4573*H4573/k_n</f>
        <v/>
      </c>
      <c r="S4573">
        <f>L4573-LTP3!$D$3*G4573/k_n</f>
        <v/>
      </c>
      <c r="T4573">
        <f>M4573-LTP3!$D$3*H4573/k_n</f>
        <v/>
      </c>
      <c r="U4573">
        <f>N4573-G4573*LTP3!$D$4/k_n</f>
        <v/>
      </c>
      <c r="V4573">
        <f>O4573-H4573*LTP3!$D$4/k_n</f>
        <v/>
      </c>
      <c r="W4573">
        <f>((LTP3!$D$5)*((P4573)*(Q4573)-(R4573)*(R4573))-(S4573)*((S4573)*(Q4573)-(R4573)*(T4573))+(T4573)*((S4573)*(R4573)-(P4573)*(T4573)))</f>
        <v/>
      </c>
      <c r="X4573">
        <f>IF(ABS(W4573)&gt;1E-12,((LTP3!$D$6)*((P4573)*(Q4573)-(R4573)*(R4573))-(S4573)*((U4573)*(Q4573)-(R4573)*(V4573))+(T4573)*((U4573)*(R4573)-(P4573)*(V4573)))/W4573,0)</f>
        <v/>
      </c>
      <c r="Y4573">
        <f>IF(ABS(W4573)&gt;1E-12,((LTP3!$D$5)*((U4573)*(Q4573)-(R4573)*(V4573))-(LTP3!$D$6)*((S4573)*(Q4573)-(R4573)*(T4573))+(T4573)*((S4573)*(V4573)-(U4573)*(T4573)))/W4573,0)</f>
        <v/>
      </c>
      <c r="Z4573">
        <f>IF(ABS(W4573)&gt;1E-12,((LTP3!$D$5)*((P4573)*(V4573)-(U4573)*(R4573))-(S4573)*((S4573)*(V4573)-(U4573)*(T4573))+(LTP3!$D$6)*((S4573)*(R4573)-(P4573)*(T4573)))/W4573,0)</f>
        <v/>
      </c>
      <c r="AA4573">
        <f>LTP3!$D$7-X4573*LTP3!$D$6-Y4573*U4573-Z4573*V4573</f>
        <v/>
      </c>
      <c r="AB4573">
        <f>IF(AND(F4573,ABS(W4573)&gt;1E-12,Y4573&gt;0,Z4573&gt;0),AA4573,1E+300)</f>
        <v/>
      </c>
    </row>
    <row r="4574">
      <c r="A4574">
        <f>$I$4-$B$5/10+$B$5*18/100</f>
        <v/>
      </c>
      <c r="B4574">
        <f>$J$4-$B$5/10+$B$5*16/100</f>
        <v/>
      </c>
      <c r="C4574">
        <f>SUMPRODUCT(Calc!$K$3:$K$22*(Calc!$G$3:$G$22&lt;=A4574))</f>
        <v/>
      </c>
      <c r="D4574">
        <f>SUMPRODUCT(Calc!$K$3:$K$22*(Calc!$G$3:$G$22&gt;A4574)*(Calc!$G$3:$G$22&lt;B4574))</f>
        <v/>
      </c>
      <c r="E4574">
        <f>SUMPRODUCT(Calc!$K$3:$K$22*(Calc!$G$3:$G$22&gt;=B4574))</f>
        <v/>
      </c>
      <c r="F4574">
        <f>AND(k_n&gt;=5,B4574&gt;A4574+1E-9,C4574&gt;=2,D4574&gt;=1,E4574&gt;=2)</f>
        <v/>
      </c>
      <c r="G4574">
        <f>SUMPRODUCT(Calc!$K$3:$K$22*(Calc!$G$3:$G$22&gt;A4574)*(Calc!$G$3:$G$22-A4574))</f>
        <v/>
      </c>
      <c r="H4574">
        <f>SUMPRODUCT(Calc!$K$3:$K$22*(Calc!$G$3:$G$22&gt;B4574)*(Calc!$G$3:$G$22-B4574))</f>
        <v/>
      </c>
      <c r="I4574">
        <f>SUMPRODUCT(Calc!$K$3:$K$22*(Calc!$G$3:$G$22&gt;A4574)*(Calc!$G$3:$G$22-A4574)^2)</f>
        <v/>
      </c>
      <c r="J4574">
        <f>SUMPRODUCT(Calc!$K$3:$K$22*(Calc!$G$3:$G$22&gt;B4574)*(Calc!$G$3:$G$22-B4574)^2)</f>
        <v/>
      </c>
      <c r="K4574">
        <f>SUMPRODUCT(Calc!$K$3:$K$22*(Calc!$G$3:$G$22&gt;A4574)*(Calc!$G$3:$G$22-A4574)*(Calc!$G$3:$G$22&gt;B4574)*(Calc!$G$3:$G$22-B4574))</f>
        <v/>
      </c>
      <c r="L4574">
        <f>SUMPRODUCT(Calc!$K$3:$K$22*(Calc!$G$3:$G$22&gt;A4574)*(Calc!$G$3:$G$22-A4574)*Calc!$G$3:$G$22)</f>
        <v/>
      </c>
      <c r="M4574">
        <f>SUMPRODUCT(Calc!$K$3:$K$22*(Calc!$G$3:$G$22&gt;B4574)*(Calc!$G$3:$G$22-B4574)*Calc!$G$3:$G$22)</f>
        <v/>
      </c>
      <c r="N4574">
        <f>SUMPRODUCT(Calc!$K$3:$K$22*(Calc!$G$3:$G$22&gt;A4574)*(Calc!$G$3:$G$22-A4574)*Calc!$I$3:$I$22)</f>
        <v/>
      </c>
      <c r="O4574">
        <f>SUMPRODUCT(Calc!$K$3:$K$22*(Calc!$G$3:$G$22&gt;B4574)*(Calc!$G$3:$G$22-B4574)*Calc!$I$3:$I$22)</f>
        <v/>
      </c>
      <c r="P4574">
        <f>I4574-G4574^2/k_n</f>
        <v/>
      </c>
      <c r="Q4574">
        <f>J4574-H4574^2/k_n</f>
        <v/>
      </c>
      <c r="R4574">
        <f>K4574-G4574*H4574/k_n</f>
        <v/>
      </c>
      <c r="S4574">
        <f>L4574-LTP3!$D$3*G4574/k_n</f>
        <v/>
      </c>
      <c r="T4574">
        <f>M4574-LTP3!$D$3*H4574/k_n</f>
        <v/>
      </c>
      <c r="U4574">
        <f>N4574-G4574*LTP3!$D$4/k_n</f>
        <v/>
      </c>
      <c r="V4574">
        <f>O4574-H4574*LTP3!$D$4/k_n</f>
        <v/>
      </c>
      <c r="W4574">
        <f>((LTP3!$D$5)*((P4574)*(Q4574)-(R4574)*(R4574))-(S4574)*((S4574)*(Q4574)-(R4574)*(T4574))+(T4574)*((S4574)*(R4574)-(P4574)*(T4574)))</f>
        <v/>
      </c>
      <c r="X4574">
        <f>IF(ABS(W4574)&gt;1E-12,((LTP3!$D$6)*((P4574)*(Q4574)-(R4574)*(R4574))-(S4574)*((U4574)*(Q4574)-(R4574)*(V4574))+(T4574)*((U4574)*(R4574)-(P4574)*(V4574)))/W4574,0)</f>
        <v/>
      </c>
      <c r="Y4574">
        <f>IF(ABS(W4574)&gt;1E-12,((LTP3!$D$5)*((U4574)*(Q4574)-(R4574)*(V4574))-(LTP3!$D$6)*((S4574)*(Q4574)-(R4574)*(T4574))+(T4574)*((S4574)*(V4574)-(U4574)*(T4574)))/W4574,0)</f>
        <v/>
      </c>
      <c r="Z4574">
        <f>IF(ABS(W4574)&gt;1E-12,((LTP3!$D$5)*((P4574)*(V4574)-(U4574)*(R4574))-(S4574)*((S4574)*(V4574)-(U4574)*(T4574))+(LTP3!$D$6)*((S4574)*(R4574)-(P4574)*(T4574)))/W4574,0)</f>
        <v/>
      </c>
      <c r="AA4574">
        <f>LTP3!$D$7-X4574*LTP3!$D$6-Y4574*U4574-Z4574*V4574</f>
        <v/>
      </c>
      <c r="AB4574">
        <f>IF(AND(F4574,ABS(W4574)&gt;1E-12,Y4574&gt;0,Z4574&gt;0),AA4574,1E+300)</f>
        <v/>
      </c>
    </row>
    <row r="4575">
      <c r="A4575">
        <f>$I$4-$B$5/10+$B$5*18/100</f>
        <v/>
      </c>
      <c r="B4575">
        <f>$J$4-$B$5/10+$B$5*17/100</f>
        <v/>
      </c>
      <c r="C4575">
        <f>SUMPRODUCT(Calc!$K$3:$K$22*(Calc!$G$3:$G$22&lt;=A4575))</f>
        <v/>
      </c>
      <c r="D4575">
        <f>SUMPRODUCT(Calc!$K$3:$K$22*(Calc!$G$3:$G$22&gt;A4575)*(Calc!$G$3:$G$22&lt;B4575))</f>
        <v/>
      </c>
      <c r="E4575">
        <f>SUMPRODUCT(Calc!$K$3:$K$22*(Calc!$G$3:$G$22&gt;=B4575))</f>
        <v/>
      </c>
      <c r="F4575">
        <f>AND(k_n&gt;=5,B4575&gt;A4575+1E-9,C4575&gt;=2,D4575&gt;=1,E4575&gt;=2)</f>
        <v/>
      </c>
      <c r="G4575">
        <f>SUMPRODUCT(Calc!$K$3:$K$22*(Calc!$G$3:$G$22&gt;A4575)*(Calc!$G$3:$G$22-A4575))</f>
        <v/>
      </c>
      <c r="H4575">
        <f>SUMPRODUCT(Calc!$K$3:$K$22*(Calc!$G$3:$G$22&gt;B4575)*(Calc!$G$3:$G$22-B4575))</f>
        <v/>
      </c>
      <c r="I4575">
        <f>SUMPRODUCT(Calc!$K$3:$K$22*(Calc!$G$3:$G$22&gt;A4575)*(Calc!$G$3:$G$22-A4575)^2)</f>
        <v/>
      </c>
      <c r="J4575">
        <f>SUMPRODUCT(Calc!$K$3:$K$22*(Calc!$G$3:$G$22&gt;B4575)*(Calc!$G$3:$G$22-B4575)^2)</f>
        <v/>
      </c>
      <c r="K4575">
        <f>SUMPRODUCT(Calc!$K$3:$K$22*(Calc!$G$3:$G$22&gt;A4575)*(Calc!$G$3:$G$22-A4575)*(Calc!$G$3:$G$22&gt;B4575)*(Calc!$G$3:$G$22-B4575))</f>
        <v/>
      </c>
      <c r="L4575">
        <f>SUMPRODUCT(Calc!$K$3:$K$22*(Calc!$G$3:$G$22&gt;A4575)*(Calc!$G$3:$G$22-A4575)*Calc!$G$3:$G$22)</f>
        <v/>
      </c>
      <c r="M4575">
        <f>SUMPRODUCT(Calc!$K$3:$K$22*(Calc!$G$3:$G$22&gt;B4575)*(Calc!$G$3:$G$22-B4575)*Calc!$G$3:$G$22)</f>
        <v/>
      </c>
      <c r="N4575">
        <f>SUMPRODUCT(Calc!$K$3:$K$22*(Calc!$G$3:$G$22&gt;A4575)*(Calc!$G$3:$G$22-A4575)*Calc!$I$3:$I$22)</f>
        <v/>
      </c>
      <c r="O4575">
        <f>SUMPRODUCT(Calc!$K$3:$K$22*(Calc!$G$3:$G$22&gt;B4575)*(Calc!$G$3:$G$22-B4575)*Calc!$I$3:$I$22)</f>
        <v/>
      </c>
      <c r="P4575">
        <f>I4575-G4575^2/k_n</f>
        <v/>
      </c>
      <c r="Q4575">
        <f>J4575-H4575^2/k_n</f>
        <v/>
      </c>
      <c r="R4575">
        <f>K4575-G4575*H4575/k_n</f>
        <v/>
      </c>
      <c r="S4575">
        <f>L4575-LTP3!$D$3*G4575/k_n</f>
        <v/>
      </c>
      <c r="T4575">
        <f>M4575-LTP3!$D$3*H4575/k_n</f>
        <v/>
      </c>
      <c r="U4575">
        <f>N4575-G4575*LTP3!$D$4/k_n</f>
        <v/>
      </c>
      <c r="V4575">
        <f>O4575-H4575*LTP3!$D$4/k_n</f>
        <v/>
      </c>
      <c r="W4575">
        <f>((LTP3!$D$5)*((P4575)*(Q4575)-(R4575)*(R4575))-(S4575)*((S4575)*(Q4575)-(R4575)*(T4575))+(T4575)*((S4575)*(R4575)-(P4575)*(T4575)))</f>
        <v/>
      </c>
      <c r="X4575">
        <f>IF(ABS(W4575)&gt;1E-12,((LTP3!$D$6)*((P4575)*(Q4575)-(R4575)*(R4575))-(S4575)*((U4575)*(Q4575)-(R4575)*(V4575))+(T4575)*((U4575)*(R4575)-(P4575)*(V4575)))/W4575,0)</f>
        <v/>
      </c>
      <c r="Y4575">
        <f>IF(ABS(W4575)&gt;1E-12,((LTP3!$D$5)*((U4575)*(Q4575)-(R4575)*(V4575))-(LTP3!$D$6)*((S4575)*(Q4575)-(R4575)*(T4575))+(T4575)*((S4575)*(V4575)-(U4575)*(T4575)))/W4575,0)</f>
        <v/>
      </c>
      <c r="Z4575">
        <f>IF(ABS(W4575)&gt;1E-12,((LTP3!$D$5)*((P4575)*(V4575)-(U4575)*(R4575))-(S4575)*((S4575)*(V4575)-(U4575)*(T4575))+(LTP3!$D$6)*((S4575)*(R4575)-(P4575)*(T4575)))/W4575,0)</f>
        <v/>
      </c>
      <c r="AA4575">
        <f>LTP3!$D$7-X4575*LTP3!$D$6-Y4575*U4575-Z4575*V4575</f>
        <v/>
      </c>
      <c r="AB4575">
        <f>IF(AND(F4575,ABS(W4575)&gt;1E-12,Y4575&gt;0,Z4575&gt;0),AA4575,1E+300)</f>
        <v/>
      </c>
    </row>
    <row r="4576">
      <c r="A4576">
        <f>$I$4-$B$5/10+$B$5*18/100</f>
        <v/>
      </c>
      <c r="B4576">
        <f>$J$4-$B$5/10+$B$5*18/100</f>
        <v/>
      </c>
      <c r="C4576">
        <f>SUMPRODUCT(Calc!$K$3:$K$22*(Calc!$G$3:$G$22&lt;=A4576))</f>
        <v/>
      </c>
      <c r="D4576">
        <f>SUMPRODUCT(Calc!$K$3:$K$22*(Calc!$G$3:$G$22&gt;A4576)*(Calc!$G$3:$G$22&lt;B4576))</f>
        <v/>
      </c>
      <c r="E4576">
        <f>SUMPRODUCT(Calc!$K$3:$K$22*(Calc!$G$3:$G$22&gt;=B4576))</f>
        <v/>
      </c>
      <c r="F4576">
        <f>AND(k_n&gt;=5,B4576&gt;A4576+1E-9,C4576&gt;=2,D4576&gt;=1,E4576&gt;=2)</f>
        <v/>
      </c>
      <c r="G4576">
        <f>SUMPRODUCT(Calc!$K$3:$K$22*(Calc!$G$3:$G$22&gt;A4576)*(Calc!$G$3:$G$22-A4576))</f>
        <v/>
      </c>
      <c r="H4576">
        <f>SUMPRODUCT(Calc!$K$3:$K$22*(Calc!$G$3:$G$22&gt;B4576)*(Calc!$G$3:$G$22-B4576))</f>
        <v/>
      </c>
      <c r="I4576">
        <f>SUMPRODUCT(Calc!$K$3:$K$22*(Calc!$G$3:$G$22&gt;A4576)*(Calc!$G$3:$G$22-A4576)^2)</f>
        <v/>
      </c>
      <c r="J4576">
        <f>SUMPRODUCT(Calc!$K$3:$K$22*(Calc!$G$3:$G$22&gt;B4576)*(Calc!$G$3:$G$22-B4576)^2)</f>
        <v/>
      </c>
      <c r="K4576">
        <f>SUMPRODUCT(Calc!$K$3:$K$22*(Calc!$G$3:$G$22&gt;A4576)*(Calc!$G$3:$G$22-A4576)*(Calc!$G$3:$G$22&gt;B4576)*(Calc!$G$3:$G$22-B4576))</f>
        <v/>
      </c>
      <c r="L4576">
        <f>SUMPRODUCT(Calc!$K$3:$K$22*(Calc!$G$3:$G$22&gt;A4576)*(Calc!$G$3:$G$22-A4576)*Calc!$G$3:$G$22)</f>
        <v/>
      </c>
      <c r="M4576">
        <f>SUMPRODUCT(Calc!$K$3:$K$22*(Calc!$G$3:$G$22&gt;B4576)*(Calc!$G$3:$G$22-B4576)*Calc!$G$3:$G$22)</f>
        <v/>
      </c>
      <c r="N4576">
        <f>SUMPRODUCT(Calc!$K$3:$K$22*(Calc!$G$3:$G$22&gt;A4576)*(Calc!$G$3:$G$22-A4576)*Calc!$I$3:$I$22)</f>
        <v/>
      </c>
      <c r="O4576">
        <f>SUMPRODUCT(Calc!$K$3:$K$22*(Calc!$G$3:$G$22&gt;B4576)*(Calc!$G$3:$G$22-B4576)*Calc!$I$3:$I$22)</f>
        <v/>
      </c>
      <c r="P4576">
        <f>I4576-G4576^2/k_n</f>
        <v/>
      </c>
      <c r="Q4576">
        <f>J4576-H4576^2/k_n</f>
        <v/>
      </c>
      <c r="R4576">
        <f>K4576-G4576*H4576/k_n</f>
        <v/>
      </c>
      <c r="S4576">
        <f>L4576-LTP3!$D$3*G4576/k_n</f>
        <v/>
      </c>
      <c r="T4576">
        <f>M4576-LTP3!$D$3*H4576/k_n</f>
        <v/>
      </c>
      <c r="U4576">
        <f>N4576-G4576*LTP3!$D$4/k_n</f>
        <v/>
      </c>
      <c r="V4576">
        <f>O4576-H4576*LTP3!$D$4/k_n</f>
        <v/>
      </c>
      <c r="W4576">
        <f>((LTP3!$D$5)*((P4576)*(Q4576)-(R4576)*(R4576))-(S4576)*((S4576)*(Q4576)-(R4576)*(T4576))+(T4576)*((S4576)*(R4576)-(P4576)*(T4576)))</f>
        <v/>
      </c>
      <c r="X4576">
        <f>IF(ABS(W4576)&gt;1E-12,((LTP3!$D$6)*((P4576)*(Q4576)-(R4576)*(R4576))-(S4576)*((U4576)*(Q4576)-(R4576)*(V4576))+(T4576)*((U4576)*(R4576)-(P4576)*(V4576)))/W4576,0)</f>
        <v/>
      </c>
      <c r="Y4576">
        <f>IF(ABS(W4576)&gt;1E-12,((LTP3!$D$5)*((U4576)*(Q4576)-(R4576)*(V4576))-(LTP3!$D$6)*((S4576)*(Q4576)-(R4576)*(T4576))+(T4576)*((S4576)*(V4576)-(U4576)*(T4576)))/W4576,0)</f>
        <v/>
      </c>
      <c r="Z4576">
        <f>IF(ABS(W4576)&gt;1E-12,((LTP3!$D$5)*((P4576)*(V4576)-(U4576)*(R4576))-(S4576)*((S4576)*(V4576)-(U4576)*(T4576))+(LTP3!$D$6)*((S4576)*(R4576)-(P4576)*(T4576)))/W4576,0)</f>
        <v/>
      </c>
      <c r="AA4576">
        <f>LTP3!$D$7-X4576*LTP3!$D$6-Y4576*U4576-Z4576*V4576</f>
        <v/>
      </c>
      <c r="AB4576">
        <f>IF(AND(F4576,ABS(W4576)&gt;1E-12,Y4576&gt;0,Z4576&gt;0),AA4576,1E+300)</f>
        <v/>
      </c>
    </row>
    <row r="4577">
      <c r="A4577">
        <f>$I$4-$B$5/10+$B$5*18/100</f>
        <v/>
      </c>
      <c r="B4577">
        <f>$J$4-$B$5/10+$B$5*19/100</f>
        <v/>
      </c>
      <c r="C4577">
        <f>SUMPRODUCT(Calc!$K$3:$K$22*(Calc!$G$3:$G$22&lt;=A4577))</f>
        <v/>
      </c>
      <c r="D4577">
        <f>SUMPRODUCT(Calc!$K$3:$K$22*(Calc!$G$3:$G$22&gt;A4577)*(Calc!$G$3:$G$22&lt;B4577))</f>
        <v/>
      </c>
      <c r="E4577">
        <f>SUMPRODUCT(Calc!$K$3:$K$22*(Calc!$G$3:$G$22&gt;=B4577))</f>
        <v/>
      </c>
      <c r="F4577">
        <f>AND(k_n&gt;=5,B4577&gt;A4577+1E-9,C4577&gt;=2,D4577&gt;=1,E4577&gt;=2)</f>
        <v/>
      </c>
      <c r="G4577">
        <f>SUMPRODUCT(Calc!$K$3:$K$22*(Calc!$G$3:$G$22&gt;A4577)*(Calc!$G$3:$G$22-A4577))</f>
        <v/>
      </c>
      <c r="H4577">
        <f>SUMPRODUCT(Calc!$K$3:$K$22*(Calc!$G$3:$G$22&gt;B4577)*(Calc!$G$3:$G$22-B4577))</f>
        <v/>
      </c>
      <c r="I4577">
        <f>SUMPRODUCT(Calc!$K$3:$K$22*(Calc!$G$3:$G$22&gt;A4577)*(Calc!$G$3:$G$22-A4577)^2)</f>
        <v/>
      </c>
      <c r="J4577">
        <f>SUMPRODUCT(Calc!$K$3:$K$22*(Calc!$G$3:$G$22&gt;B4577)*(Calc!$G$3:$G$22-B4577)^2)</f>
        <v/>
      </c>
      <c r="K4577">
        <f>SUMPRODUCT(Calc!$K$3:$K$22*(Calc!$G$3:$G$22&gt;A4577)*(Calc!$G$3:$G$22-A4577)*(Calc!$G$3:$G$22&gt;B4577)*(Calc!$G$3:$G$22-B4577))</f>
        <v/>
      </c>
      <c r="L4577">
        <f>SUMPRODUCT(Calc!$K$3:$K$22*(Calc!$G$3:$G$22&gt;A4577)*(Calc!$G$3:$G$22-A4577)*Calc!$G$3:$G$22)</f>
        <v/>
      </c>
      <c r="M4577">
        <f>SUMPRODUCT(Calc!$K$3:$K$22*(Calc!$G$3:$G$22&gt;B4577)*(Calc!$G$3:$G$22-B4577)*Calc!$G$3:$G$22)</f>
        <v/>
      </c>
      <c r="N4577">
        <f>SUMPRODUCT(Calc!$K$3:$K$22*(Calc!$G$3:$G$22&gt;A4577)*(Calc!$G$3:$G$22-A4577)*Calc!$I$3:$I$22)</f>
        <v/>
      </c>
      <c r="O4577">
        <f>SUMPRODUCT(Calc!$K$3:$K$22*(Calc!$G$3:$G$22&gt;B4577)*(Calc!$G$3:$G$22-B4577)*Calc!$I$3:$I$22)</f>
        <v/>
      </c>
      <c r="P4577">
        <f>I4577-G4577^2/k_n</f>
        <v/>
      </c>
      <c r="Q4577">
        <f>J4577-H4577^2/k_n</f>
        <v/>
      </c>
      <c r="R4577">
        <f>K4577-G4577*H4577/k_n</f>
        <v/>
      </c>
      <c r="S4577">
        <f>L4577-LTP3!$D$3*G4577/k_n</f>
        <v/>
      </c>
      <c r="T4577">
        <f>M4577-LTP3!$D$3*H4577/k_n</f>
        <v/>
      </c>
      <c r="U4577">
        <f>N4577-G4577*LTP3!$D$4/k_n</f>
        <v/>
      </c>
      <c r="V4577">
        <f>O4577-H4577*LTP3!$D$4/k_n</f>
        <v/>
      </c>
      <c r="W4577">
        <f>((LTP3!$D$5)*((P4577)*(Q4577)-(R4577)*(R4577))-(S4577)*((S4577)*(Q4577)-(R4577)*(T4577))+(T4577)*((S4577)*(R4577)-(P4577)*(T4577)))</f>
        <v/>
      </c>
      <c r="X4577">
        <f>IF(ABS(W4577)&gt;1E-12,((LTP3!$D$6)*((P4577)*(Q4577)-(R4577)*(R4577))-(S4577)*((U4577)*(Q4577)-(R4577)*(V4577))+(T4577)*((U4577)*(R4577)-(P4577)*(V4577)))/W4577,0)</f>
        <v/>
      </c>
      <c r="Y4577">
        <f>IF(ABS(W4577)&gt;1E-12,((LTP3!$D$5)*((U4577)*(Q4577)-(R4577)*(V4577))-(LTP3!$D$6)*((S4577)*(Q4577)-(R4577)*(T4577))+(T4577)*((S4577)*(V4577)-(U4577)*(T4577)))/W4577,0)</f>
        <v/>
      </c>
      <c r="Z4577">
        <f>IF(ABS(W4577)&gt;1E-12,((LTP3!$D$5)*((P4577)*(V4577)-(U4577)*(R4577))-(S4577)*((S4577)*(V4577)-(U4577)*(T4577))+(LTP3!$D$6)*((S4577)*(R4577)-(P4577)*(T4577)))/W4577,0)</f>
        <v/>
      </c>
      <c r="AA4577">
        <f>LTP3!$D$7-X4577*LTP3!$D$6-Y4577*U4577-Z4577*V4577</f>
        <v/>
      </c>
      <c r="AB4577">
        <f>IF(AND(F4577,ABS(W4577)&gt;1E-12,Y4577&gt;0,Z4577&gt;0),AA4577,1E+300)</f>
        <v/>
      </c>
    </row>
    <row r="4578">
      <c r="A4578">
        <f>$I$4-$B$5/10+$B$5*18/100</f>
        <v/>
      </c>
      <c r="B4578">
        <f>$J$4-$B$5/10+$B$5*20/100</f>
        <v/>
      </c>
      <c r="C4578">
        <f>SUMPRODUCT(Calc!$K$3:$K$22*(Calc!$G$3:$G$22&lt;=A4578))</f>
        <v/>
      </c>
      <c r="D4578">
        <f>SUMPRODUCT(Calc!$K$3:$K$22*(Calc!$G$3:$G$22&gt;A4578)*(Calc!$G$3:$G$22&lt;B4578))</f>
        <v/>
      </c>
      <c r="E4578">
        <f>SUMPRODUCT(Calc!$K$3:$K$22*(Calc!$G$3:$G$22&gt;=B4578))</f>
        <v/>
      </c>
      <c r="F4578">
        <f>AND(k_n&gt;=5,B4578&gt;A4578+1E-9,C4578&gt;=2,D4578&gt;=1,E4578&gt;=2)</f>
        <v/>
      </c>
      <c r="G4578">
        <f>SUMPRODUCT(Calc!$K$3:$K$22*(Calc!$G$3:$G$22&gt;A4578)*(Calc!$G$3:$G$22-A4578))</f>
        <v/>
      </c>
      <c r="H4578">
        <f>SUMPRODUCT(Calc!$K$3:$K$22*(Calc!$G$3:$G$22&gt;B4578)*(Calc!$G$3:$G$22-B4578))</f>
        <v/>
      </c>
      <c r="I4578">
        <f>SUMPRODUCT(Calc!$K$3:$K$22*(Calc!$G$3:$G$22&gt;A4578)*(Calc!$G$3:$G$22-A4578)^2)</f>
        <v/>
      </c>
      <c r="J4578">
        <f>SUMPRODUCT(Calc!$K$3:$K$22*(Calc!$G$3:$G$22&gt;B4578)*(Calc!$G$3:$G$22-B4578)^2)</f>
        <v/>
      </c>
      <c r="K4578">
        <f>SUMPRODUCT(Calc!$K$3:$K$22*(Calc!$G$3:$G$22&gt;A4578)*(Calc!$G$3:$G$22-A4578)*(Calc!$G$3:$G$22&gt;B4578)*(Calc!$G$3:$G$22-B4578))</f>
        <v/>
      </c>
      <c r="L4578">
        <f>SUMPRODUCT(Calc!$K$3:$K$22*(Calc!$G$3:$G$22&gt;A4578)*(Calc!$G$3:$G$22-A4578)*Calc!$G$3:$G$22)</f>
        <v/>
      </c>
      <c r="M4578">
        <f>SUMPRODUCT(Calc!$K$3:$K$22*(Calc!$G$3:$G$22&gt;B4578)*(Calc!$G$3:$G$22-B4578)*Calc!$G$3:$G$22)</f>
        <v/>
      </c>
      <c r="N4578">
        <f>SUMPRODUCT(Calc!$K$3:$K$22*(Calc!$G$3:$G$22&gt;A4578)*(Calc!$G$3:$G$22-A4578)*Calc!$I$3:$I$22)</f>
        <v/>
      </c>
      <c r="O4578">
        <f>SUMPRODUCT(Calc!$K$3:$K$22*(Calc!$G$3:$G$22&gt;B4578)*(Calc!$G$3:$G$22-B4578)*Calc!$I$3:$I$22)</f>
        <v/>
      </c>
      <c r="P4578">
        <f>I4578-G4578^2/k_n</f>
        <v/>
      </c>
      <c r="Q4578">
        <f>J4578-H4578^2/k_n</f>
        <v/>
      </c>
      <c r="R4578">
        <f>K4578-G4578*H4578/k_n</f>
        <v/>
      </c>
      <c r="S4578">
        <f>L4578-LTP3!$D$3*G4578/k_n</f>
        <v/>
      </c>
      <c r="T4578">
        <f>M4578-LTP3!$D$3*H4578/k_n</f>
        <v/>
      </c>
      <c r="U4578">
        <f>N4578-G4578*LTP3!$D$4/k_n</f>
        <v/>
      </c>
      <c r="V4578">
        <f>O4578-H4578*LTP3!$D$4/k_n</f>
        <v/>
      </c>
      <c r="W4578">
        <f>((LTP3!$D$5)*((P4578)*(Q4578)-(R4578)*(R4578))-(S4578)*((S4578)*(Q4578)-(R4578)*(T4578))+(T4578)*((S4578)*(R4578)-(P4578)*(T4578)))</f>
        <v/>
      </c>
      <c r="X4578">
        <f>IF(ABS(W4578)&gt;1E-12,((LTP3!$D$6)*((P4578)*(Q4578)-(R4578)*(R4578))-(S4578)*((U4578)*(Q4578)-(R4578)*(V4578))+(T4578)*((U4578)*(R4578)-(P4578)*(V4578)))/W4578,0)</f>
        <v/>
      </c>
      <c r="Y4578">
        <f>IF(ABS(W4578)&gt;1E-12,((LTP3!$D$5)*((U4578)*(Q4578)-(R4578)*(V4578))-(LTP3!$D$6)*((S4578)*(Q4578)-(R4578)*(T4578))+(T4578)*((S4578)*(V4578)-(U4578)*(T4578)))/W4578,0)</f>
        <v/>
      </c>
      <c r="Z4578">
        <f>IF(ABS(W4578)&gt;1E-12,((LTP3!$D$5)*((P4578)*(V4578)-(U4578)*(R4578))-(S4578)*((S4578)*(V4578)-(U4578)*(T4578))+(LTP3!$D$6)*((S4578)*(R4578)-(P4578)*(T4578)))/W4578,0)</f>
        <v/>
      </c>
      <c r="AA4578">
        <f>LTP3!$D$7-X4578*LTP3!$D$6-Y4578*U4578-Z4578*V4578</f>
        <v/>
      </c>
      <c r="AB4578">
        <f>IF(AND(F4578,ABS(W4578)&gt;1E-12,Y4578&gt;0,Z4578&gt;0),AA4578,1E+300)</f>
        <v/>
      </c>
    </row>
    <row r="4579">
      <c r="A4579">
        <f>$I$4-$B$5/10+$B$5*19/100</f>
        <v/>
      </c>
      <c r="B4579">
        <f>$J$4-$B$5/10+$B$5*0/100</f>
        <v/>
      </c>
      <c r="C4579">
        <f>SUMPRODUCT(Calc!$K$3:$K$22*(Calc!$G$3:$G$22&lt;=A4579))</f>
        <v/>
      </c>
      <c r="D4579">
        <f>SUMPRODUCT(Calc!$K$3:$K$22*(Calc!$G$3:$G$22&gt;A4579)*(Calc!$G$3:$G$22&lt;B4579))</f>
        <v/>
      </c>
      <c r="E4579">
        <f>SUMPRODUCT(Calc!$K$3:$K$22*(Calc!$G$3:$G$22&gt;=B4579))</f>
        <v/>
      </c>
      <c r="F4579">
        <f>AND(k_n&gt;=5,B4579&gt;A4579+1E-9,C4579&gt;=2,D4579&gt;=1,E4579&gt;=2)</f>
        <v/>
      </c>
      <c r="G4579">
        <f>SUMPRODUCT(Calc!$K$3:$K$22*(Calc!$G$3:$G$22&gt;A4579)*(Calc!$G$3:$G$22-A4579))</f>
        <v/>
      </c>
      <c r="H4579">
        <f>SUMPRODUCT(Calc!$K$3:$K$22*(Calc!$G$3:$G$22&gt;B4579)*(Calc!$G$3:$G$22-B4579))</f>
        <v/>
      </c>
      <c r="I4579">
        <f>SUMPRODUCT(Calc!$K$3:$K$22*(Calc!$G$3:$G$22&gt;A4579)*(Calc!$G$3:$G$22-A4579)^2)</f>
        <v/>
      </c>
      <c r="J4579">
        <f>SUMPRODUCT(Calc!$K$3:$K$22*(Calc!$G$3:$G$22&gt;B4579)*(Calc!$G$3:$G$22-B4579)^2)</f>
        <v/>
      </c>
      <c r="K4579">
        <f>SUMPRODUCT(Calc!$K$3:$K$22*(Calc!$G$3:$G$22&gt;A4579)*(Calc!$G$3:$G$22-A4579)*(Calc!$G$3:$G$22&gt;B4579)*(Calc!$G$3:$G$22-B4579))</f>
        <v/>
      </c>
      <c r="L4579">
        <f>SUMPRODUCT(Calc!$K$3:$K$22*(Calc!$G$3:$G$22&gt;A4579)*(Calc!$G$3:$G$22-A4579)*Calc!$G$3:$G$22)</f>
        <v/>
      </c>
      <c r="M4579">
        <f>SUMPRODUCT(Calc!$K$3:$K$22*(Calc!$G$3:$G$22&gt;B4579)*(Calc!$G$3:$G$22-B4579)*Calc!$G$3:$G$22)</f>
        <v/>
      </c>
      <c r="N4579">
        <f>SUMPRODUCT(Calc!$K$3:$K$22*(Calc!$G$3:$G$22&gt;A4579)*(Calc!$G$3:$G$22-A4579)*Calc!$I$3:$I$22)</f>
        <v/>
      </c>
      <c r="O4579">
        <f>SUMPRODUCT(Calc!$K$3:$K$22*(Calc!$G$3:$G$22&gt;B4579)*(Calc!$G$3:$G$22-B4579)*Calc!$I$3:$I$22)</f>
        <v/>
      </c>
      <c r="P4579">
        <f>I4579-G4579^2/k_n</f>
        <v/>
      </c>
      <c r="Q4579">
        <f>J4579-H4579^2/k_n</f>
        <v/>
      </c>
      <c r="R4579">
        <f>K4579-G4579*H4579/k_n</f>
        <v/>
      </c>
      <c r="S4579">
        <f>L4579-LTP3!$D$3*G4579/k_n</f>
        <v/>
      </c>
      <c r="T4579">
        <f>M4579-LTP3!$D$3*H4579/k_n</f>
        <v/>
      </c>
      <c r="U4579">
        <f>N4579-G4579*LTP3!$D$4/k_n</f>
        <v/>
      </c>
      <c r="V4579">
        <f>O4579-H4579*LTP3!$D$4/k_n</f>
        <v/>
      </c>
      <c r="W4579">
        <f>((LTP3!$D$5)*((P4579)*(Q4579)-(R4579)*(R4579))-(S4579)*((S4579)*(Q4579)-(R4579)*(T4579))+(T4579)*((S4579)*(R4579)-(P4579)*(T4579)))</f>
        <v/>
      </c>
      <c r="X4579">
        <f>IF(ABS(W4579)&gt;1E-12,((LTP3!$D$6)*((P4579)*(Q4579)-(R4579)*(R4579))-(S4579)*((U4579)*(Q4579)-(R4579)*(V4579))+(T4579)*((U4579)*(R4579)-(P4579)*(V4579)))/W4579,0)</f>
        <v/>
      </c>
      <c r="Y4579">
        <f>IF(ABS(W4579)&gt;1E-12,((LTP3!$D$5)*((U4579)*(Q4579)-(R4579)*(V4579))-(LTP3!$D$6)*((S4579)*(Q4579)-(R4579)*(T4579))+(T4579)*((S4579)*(V4579)-(U4579)*(T4579)))/W4579,0)</f>
        <v/>
      </c>
      <c r="Z4579">
        <f>IF(ABS(W4579)&gt;1E-12,((LTP3!$D$5)*((P4579)*(V4579)-(U4579)*(R4579))-(S4579)*((S4579)*(V4579)-(U4579)*(T4579))+(LTP3!$D$6)*((S4579)*(R4579)-(P4579)*(T4579)))/W4579,0)</f>
        <v/>
      </c>
      <c r="AA4579">
        <f>LTP3!$D$7-X4579*LTP3!$D$6-Y4579*U4579-Z4579*V4579</f>
        <v/>
      </c>
      <c r="AB4579">
        <f>IF(AND(F4579,ABS(W4579)&gt;1E-12,Y4579&gt;0,Z4579&gt;0),AA4579,1E+300)</f>
        <v/>
      </c>
    </row>
    <row r="4580">
      <c r="A4580">
        <f>$I$4-$B$5/10+$B$5*19/100</f>
        <v/>
      </c>
      <c r="B4580">
        <f>$J$4-$B$5/10+$B$5*1/100</f>
        <v/>
      </c>
      <c r="C4580">
        <f>SUMPRODUCT(Calc!$K$3:$K$22*(Calc!$G$3:$G$22&lt;=A4580))</f>
        <v/>
      </c>
      <c r="D4580">
        <f>SUMPRODUCT(Calc!$K$3:$K$22*(Calc!$G$3:$G$22&gt;A4580)*(Calc!$G$3:$G$22&lt;B4580))</f>
        <v/>
      </c>
      <c r="E4580">
        <f>SUMPRODUCT(Calc!$K$3:$K$22*(Calc!$G$3:$G$22&gt;=B4580))</f>
        <v/>
      </c>
      <c r="F4580">
        <f>AND(k_n&gt;=5,B4580&gt;A4580+1E-9,C4580&gt;=2,D4580&gt;=1,E4580&gt;=2)</f>
        <v/>
      </c>
      <c r="G4580">
        <f>SUMPRODUCT(Calc!$K$3:$K$22*(Calc!$G$3:$G$22&gt;A4580)*(Calc!$G$3:$G$22-A4580))</f>
        <v/>
      </c>
      <c r="H4580">
        <f>SUMPRODUCT(Calc!$K$3:$K$22*(Calc!$G$3:$G$22&gt;B4580)*(Calc!$G$3:$G$22-B4580))</f>
        <v/>
      </c>
      <c r="I4580">
        <f>SUMPRODUCT(Calc!$K$3:$K$22*(Calc!$G$3:$G$22&gt;A4580)*(Calc!$G$3:$G$22-A4580)^2)</f>
        <v/>
      </c>
      <c r="J4580">
        <f>SUMPRODUCT(Calc!$K$3:$K$22*(Calc!$G$3:$G$22&gt;B4580)*(Calc!$G$3:$G$22-B4580)^2)</f>
        <v/>
      </c>
      <c r="K4580">
        <f>SUMPRODUCT(Calc!$K$3:$K$22*(Calc!$G$3:$G$22&gt;A4580)*(Calc!$G$3:$G$22-A4580)*(Calc!$G$3:$G$22&gt;B4580)*(Calc!$G$3:$G$22-B4580))</f>
        <v/>
      </c>
      <c r="L4580">
        <f>SUMPRODUCT(Calc!$K$3:$K$22*(Calc!$G$3:$G$22&gt;A4580)*(Calc!$G$3:$G$22-A4580)*Calc!$G$3:$G$22)</f>
        <v/>
      </c>
      <c r="M4580">
        <f>SUMPRODUCT(Calc!$K$3:$K$22*(Calc!$G$3:$G$22&gt;B4580)*(Calc!$G$3:$G$22-B4580)*Calc!$G$3:$G$22)</f>
        <v/>
      </c>
      <c r="N4580">
        <f>SUMPRODUCT(Calc!$K$3:$K$22*(Calc!$G$3:$G$22&gt;A4580)*(Calc!$G$3:$G$22-A4580)*Calc!$I$3:$I$22)</f>
        <v/>
      </c>
      <c r="O4580">
        <f>SUMPRODUCT(Calc!$K$3:$K$22*(Calc!$G$3:$G$22&gt;B4580)*(Calc!$G$3:$G$22-B4580)*Calc!$I$3:$I$22)</f>
        <v/>
      </c>
      <c r="P4580">
        <f>I4580-G4580^2/k_n</f>
        <v/>
      </c>
      <c r="Q4580">
        <f>J4580-H4580^2/k_n</f>
        <v/>
      </c>
      <c r="R4580">
        <f>K4580-G4580*H4580/k_n</f>
        <v/>
      </c>
      <c r="S4580">
        <f>L4580-LTP3!$D$3*G4580/k_n</f>
        <v/>
      </c>
      <c r="T4580">
        <f>M4580-LTP3!$D$3*H4580/k_n</f>
        <v/>
      </c>
      <c r="U4580">
        <f>N4580-G4580*LTP3!$D$4/k_n</f>
        <v/>
      </c>
      <c r="V4580">
        <f>O4580-H4580*LTP3!$D$4/k_n</f>
        <v/>
      </c>
      <c r="W4580">
        <f>((LTP3!$D$5)*((P4580)*(Q4580)-(R4580)*(R4580))-(S4580)*((S4580)*(Q4580)-(R4580)*(T4580))+(T4580)*((S4580)*(R4580)-(P4580)*(T4580)))</f>
        <v/>
      </c>
      <c r="X4580">
        <f>IF(ABS(W4580)&gt;1E-12,((LTP3!$D$6)*((P4580)*(Q4580)-(R4580)*(R4580))-(S4580)*((U4580)*(Q4580)-(R4580)*(V4580))+(T4580)*((U4580)*(R4580)-(P4580)*(V4580)))/W4580,0)</f>
        <v/>
      </c>
      <c r="Y4580">
        <f>IF(ABS(W4580)&gt;1E-12,((LTP3!$D$5)*((U4580)*(Q4580)-(R4580)*(V4580))-(LTP3!$D$6)*((S4580)*(Q4580)-(R4580)*(T4580))+(T4580)*((S4580)*(V4580)-(U4580)*(T4580)))/W4580,0)</f>
        <v/>
      </c>
      <c r="Z4580">
        <f>IF(ABS(W4580)&gt;1E-12,((LTP3!$D$5)*((P4580)*(V4580)-(U4580)*(R4580))-(S4580)*((S4580)*(V4580)-(U4580)*(T4580))+(LTP3!$D$6)*((S4580)*(R4580)-(P4580)*(T4580)))/W4580,0)</f>
        <v/>
      </c>
      <c r="AA4580">
        <f>LTP3!$D$7-X4580*LTP3!$D$6-Y4580*U4580-Z4580*V4580</f>
        <v/>
      </c>
      <c r="AB4580">
        <f>IF(AND(F4580,ABS(W4580)&gt;1E-12,Y4580&gt;0,Z4580&gt;0),AA4580,1E+300)</f>
        <v/>
      </c>
    </row>
    <row r="4581">
      <c r="A4581">
        <f>$I$4-$B$5/10+$B$5*19/100</f>
        <v/>
      </c>
      <c r="B4581">
        <f>$J$4-$B$5/10+$B$5*2/100</f>
        <v/>
      </c>
      <c r="C4581">
        <f>SUMPRODUCT(Calc!$K$3:$K$22*(Calc!$G$3:$G$22&lt;=A4581))</f>
        <v/>
      </c>
      <c r="D4581">
        <f>SUMPRODUCT(Calc!$K$3:$K$22*(Calc!$G$3:$G$22&gt;A4581)*(Calc!$G$3:$G$22&lt;B4581))</f>
        <v/>
      </c>
      <c r="E4581">
        <f>SUMPRODUCT(Calc!$K$3:$K$22*(Calc!$G$3:$G$22&gt;=B4581))</f>
        <v/>
      </c>
      <c r="F4581">
        <f>AND(k_n&gt;=5,B4581&gt;A4581+1E-9,C4581&gt;=2,D4581&gt;=1,E4581&gt;=2)</f>
        <v/>
      </c>
      <c r="G4581">
        <f>SUMPRODUCT(Calc!$K$3:$K$22*(Calc!$G$3:$G$22&gt;A4581)*(Calc!$G$3:$G$22-A4581))</f>
        <v/>
      </c>
      <c r="H4581">
        <f>SUMPRODUCT(Calc!$K$3:$K$22*(Calc!$G$3:$G$22&gt;B4581)*(Calc!$G$3:$G$22-B4581))</f>
        <v/>
      </c>
      <c r="I4581">
        <f>SUMPRODUCT(Calc!$K$3:$K$22*(Calc!$G$3:$G$22&gt;A4581)*(Calc!$G$3:$G$22-A4581)^2)</f>
        <v/>
      </c>
      <c r="J4581">
        <f>SUMPRODUCT(Calc!$K$3:$K$22*(Calc!$G$3:$G$22&gt;B4581)*(Calc!$G$3:$G$22-B4581)^2)</f>
        <v/>
      </c>
      <c r="K4581">
        <f>SUMPRODUCT(Calc!$K$3:$K$22*(Calc!$G$3:$G$22&gt;A4581)*(Calc!$G$3:$G$22-A4581)*(Calc!$G$3:$G$22&gt;B4581)*(Calc!$G$3:$G$22-B4581))</f>
        <v/>
      </c>
      <c r="L4581">
        <f>SUMPRODUCT(Calc!$K$3:$K$22*(Calc!$G$3:$G$22&gt;A4581)*(Calc!$G$3:$G$22-A4581)*Calc!$G$3:$G$22)</f>
        <v/>
      </c>
      <c r="M4581">
        <f>SUMPRODUCT(Calc!$K$3:$K$22*(Calc!$G$3:$G$22&gt;B4581)*(Calc!$G$3:$G$22-B4581)*Calc!$G$3:$G$22)</f>
        <v/>
      </c>
      <c r="N4581">
        <f>SUMPRODUCT(Calc!$K$3:$K$22*(Calc!$G$3:$G$22&gt;A4581)*(Calc!$G$3:$G$22-A4581)*Calc!$I$3:$I$22)</f>
        <v/>
      </c>
      <c r="O4581">
        <f>SUMPRODUCT(Calc!$K$3:$K$22*(Calc!$G$3:$G$22&gt;B4581)*(Calc!$G$3:$G$22-B4581)*Calc!$I$3:$I$22)</f>
        <v/>
      </c>
      <c r="P4581">
        <f>I4581-G4581^2/k_n</f>
        <v/>
      </c>
      <c r="Q4581">
        <f>J4581-H4581^2/k_n</f>
        <v/>
      </c>
      <c r="R4581">
        <f>K4581-G4581*H4581/k_n</f>
        <v/>
      </c>
      <c r="S4581">
        <f>L4581-LTP3!$D$3*G4581/k_n</f>
        <v/>
      </c>
      <c r="T4581">
        <f>M4581-LTP3!$D$3*H4581/k_n</f>
        <v/>
      </c>
      <c r="U4581">
        <f>N4581-G4581*LTP3!$D$4/k_n</f>
        <v/>
      </c>
      <c r="V4581">
        <f>O4581-H4581*LTP3!$D$4/k_n</f>
        <v/>
      </c>
      <c r="W4581">
        <f>((LTP3!$D$5)*((P4581)*(Q4581)-(R4581)*(R4581))-(S4581)*((S4581)*(Q4581)-(R4581)*(T4581))+(T4581)*((S4581)*(R4581)-(P4581)*(T4581)))</f>
        <v/>
      </c>
      <c r="X4581">
        <f>IF(ABS(W4581)&gt;1E-12,((LTP3!$D$6)*((P4581)*(Q4581)-(R4581)*(R4581))-(S4581)*((U4581)*(Q4581)-(R4581)*(V4581))+(T4581)*((U4581)*(R4581)-(P4581)*(V4581)))/W4581,0)</f>
        <v/>
      </c>
      <c r="Y4581">
        <f>IF(ABS(W4581)&gt;1E-12,((LTP3!$D$5)*((U4581)*(Q4581)-(R4581)*(V4581))-(LTP3!$D$6)*((S4581)*(Q4581)-(R4581)*(T4581))+(T4581)*((S4581)*(V4581)-(U4581)*(T4581)))/W4581,0)</f>
        <v/>
      </c>
      <c r="Z4581">
        <f>IF(ABS(W4581)&gt;1E-12,((LTP3!$D$5)*((P4581)*(V4581)-(U4581)*(R4581))-(S4581)*((S4581)*(V4581)-(U4581)*(T4581))+(LTP3!$D$6)*((S4581)*(R4581)-(P4581)*(T4581)))/W4581,0)</f>
        <v/>
      </c>
      <c r="AA4581">
        <f>LTP3!$D$7-X4581*LTP3!$D$6-Y4581*U4581-Z4581*V4581</f>
        <v/>
      </c>
      <c r="AB4581">
        <f>IF(AND(F4581,ABS(W4581)&gt;1E-12,Y4581&gt;0,Z4581&gt;0),AA4581,1E+300)</f>
        <v/>
      </c>
    </row>
    <row r="4582">
      <c r="A4582">
        <f>$I$4-$B$5/10+$B$5*19/100</f>
        <v/>
      </c>
      <c r="B4582">
        <f>$J$4-$B$5/10+$B$5*3/100</f>
        <v/>
      </c>
      <c r="C4582">
        <f>SUMPRODUCT(Calc!$K$3:$K$22*(Calc!$G$3:$G$22&lt;=A4582))</f>
        <v/>
      </c>
      <c r="D4582">
        <f>SUMPRODUCT(Calc!$K$3:$K$22*(Calc!$G$3:$G$22&gt;A4582)*(Calc!$G$3:$G$22&lt;B4582))</f>
        <v/>
      </c>
      <c r="E4582">
        <f>SUMPRODUCT(Calc!$K$3:$K$22*(Calc!$G$3:$G$22&gt;=B4582))</f>
        <v/>
      </c>
      <c r="F4582">
        <f>AND(k_n&gt;=5,B4582&gt;A4582+1E-9,C4582&gt;=2,D4582&gt;=1,E4582&gt;=2)</f>
        <v/>
      </c>
      <c r="G4582">
        <f>SUMPRODUCT(Calc!$K$3:$K$22*(Calc!$G$3:$G$22&gt;A4582)*(Calc!$G$3:$G$22-A4582))</f>
        <v/>
      </c>
      <c r="H4582">
        <f>SUMPRODUCT(Calc!$K$3:$K$22*(Calc!$G$3:$G$22&gt;B4582)*(Calc!$G$3:$G$22-B4582))</f>
        <v/>
      </c>
      <c r="I4582">
        <f>SUMPRODUCT(Calc!$K$3:$K$22*(Calc!$G$3:$G$22&gt;A4582)*(Calc!$G$3:$G$22-A4582)^2)</f>
        <v/>
      </c>
      <c r="J4582">
        <f>SUMPRODUCT(Calc!$K$3:$K$22*(Calc!$G$3:$G$22&gt;B4582)*(Calc!$G$3:$G$22-B4582)^2)</f>
        <v/>
      </c>
      <c r="K4582">
        <f>SUMPRODUCT(Calc!$K$3:$K$22*(Calc!$G$3:$G$22&gt;A4582)*(Calc!$G$3:$G$22-A4582)*(Calc!$G$3:$G$22&gt;B4582)*(Calc!$G$3:$G$22-B4582))</f>
        <v/>
      </c>
      <c r="L4582">
        <f>SUMPRODUCT(Calc!$K$3:$K$22*(Calc!$G$3:$G$22&gt;A4582)*(Calc!$G$3:$G$22-A4582)*Calc!$G$3:$G$22)</f>
        <v/>
      </c>
      <c r="M4582">
        <f>SUMPRODUCT(Calc!$K$3:$K$22*(Calc!$G$3:$G$22&gt;B4582)*(Calc!$G$3:$G$22-B4582)*Calc!$G$3:$G$22)</f>
        <v/>
      </c>
      <c r="N4582">
        <f>SUMPRODUCT(Calc!$K$3:$K$22*(Calc!$G$3:$G$22&gt;A4582)*(Calc!$G$3:$G$22-A4582)*Calc!$I$3:$I$22)</f>
        <v/>
      </c>
      <c r="O4582">
        <f>SUMPRODUCT(Calc!$K$3:$K$22*(Calc!$G$3:$G$22&gt;B4582)*(Calc!$G$3:$G$22-B4582)*Calc!$I$3:$I$22)</f>
        <v/>
      </c>
      <c r="P4582">
        <f>I4582-G4582^2/k_n</f>
        <v/>
      </c>
      <c r="Q4582">
        <f>J4582-H4582^2/k_n</f>
        <v/>
      </c>
      <c r="R4582">
        <f>K4582-G4582*H4582/k_n</f>
        <v/>
      </c>
      <c r="S4582">
        <f>L4582-LTP3!$D$3*G4582/k_n</f>
        <v/>
      </c>
      <c r="T4582">
        <f>M4582-LTP3!$D$3*H4582/k_n</f>
        <v/>
      </c>
      <c r="U4582">
        <f>N4582-G4582*LTP3!$D$4/k_n</f>
        <v/>
      </c>
      <c r="V4582">
        <f>O4582-H4582*LTP3!$D$4/k_n</f>
        <v/>
      </c>
      <c r="W4582">
        <f>((LTP3!$D$5)*((P4582)*(Q4582)-(R4582)*(R4582))-(S4582)*((S4582)*(Q4582)-(R4582)*(T4582))+(T4582)*((S4582)*(R4582)-(P4582)*(T4582)))</f>
        <v/>
      </c>
      <c r="X4582">
        <f>IF(ABS(W4582)&gt;1E-12,((LTP3!$D$6)*((P4582)*(Q4582)-(R4582)*(R4582))-(S4582)*((U4582)*(Q4582)-(R4582)*(V4582))+(T4582)*((U4582)*(R4582)-(P4582)*(V4582)))/W4582,0)</f>
        <v/>
      </c>
      <c r="Y4582">
        <f>IF(ABS(W4582)&gt;1E-12,((LTP3!$D$5)*((U4582)*(Q4582)-(R4582)*(V4582))-(LTP3!$D$6)*((S4582)*(Q4582)-(R4582)*(T4582))+(T4582)*((S4582)*(V4582)-(U4582)*(T4582)))/W4582,0)</f>
        <v/>
      </c>
      <c r="Z4582">
        <f>IF(ABS(W4582)&gt;1E-12,((LTP3!$D$5)*((P4582)*(V4582)-(U4582)*(R4582))-(S4582)*((S4582)*(V4582)-(U4582)*(T4582))+(LTP3!$D$6)*((S4582)*(R4582)-(P4582)*(T4582)))/W4582,0)</f>
        <v/>
      </c>
      <c r="AA4582">
        <f>LTP3!$D$7-X4582*LTP3!$D$6-Y4582*U4582-Z4582*V4582</f>
        <v/>
      </c>
      <c r="AB4582">
        <f>IF(AND(F4582,ABS(W4582)&gt;1E-12,Y4582&gt;0,Z4582&gt;0),AA4582,1E+300)</f>
        <v/>
      </c>
    </row>
    <row r="4583">
      <c r="A4583">
        <f>$I$4-$B$5/10+$B$5*19/100</f>
        <v/>
      </c>
      <c r="B4583">
        <f>$J$4-$B$5/10+$B$5*4/100</f>
        <v/>
      </c>
      <c r="C4583">
        <f>SUMPRODUCT(Calc!$K$3:$K$22*(Calc!$G$3:$G$22&lt;=A4583))</f>
        <v/>
      </c>
      <c r="D4583">
        <f>SUMPRODUCT(Calc!$K$3:$K$22*(Calc!$G$3:$G$22&gt;A4583)*(Calc!$G$3:$G$22&lt;B4583))</f>
        <v/>
      </c>
      <c r="E4583">
        <f>SUMPRODUCT(Calc!$K$3:$K$22*(Calc!$G$3:$G$22&gt;=B4583))</f>
        <v/>
      </c>
      <c r="F4583">
        <f>AND(k_n&gt;=5,B4583&gt;A4583+1E-9,C4583&gt;=2,D4583&gt;=1,E4583&gt;=2)</f>
        <v/>
      </c>
      <c r="G4583">
        <f>SUMPRODUCT(Calc!$K$3:$K$22*(Calc!$G$3:$G$22&gt;A4583)*(Calc!$G$3:$G$22-A4583))</f>
        <v/>
      </c>
      <c r="H4583">
        <f>SUMPRODUCT(Calc!$K$3:$K$22*(Calc!$G$3:$G$22&gt;B4583)*(Calc!$G$3:$G$22-B4583))</f>
        <v/>
      </c>
      <c r="I4583">
        <f>SUMPRODUCT(Calc!$K$3:$K$22*(Calc!$G$3:$G$22&gt;A4583)*(Calc!$G$3:$G$22-A4583)^2)</f>
        <v/>
      </c>
      <c r="J4583">
        <f>SUMPRODUCT(Calc!$K$3:$K$22*(Calc!$G$3:$G$22&gt;B4583)*(Calc!$G$3:$G$22-B4583)^2)</f>
        <v/>
      </c>
      <c r="K4583">
        <f>SUMPRODUCT(Calc!$K$3:$K$22*(Calc!$G$3:$G$22&gt;A4583)*(Calc!$G$3:$G$22-A4583)*(Calc!$G$3:$G$22&gt;B4583)*(Calc!$G$3:$G$22-B4583))</f>
        <v/>
      </c>
      <c r="L4583">
        <f>SUMPRODUCT(Calc!$K$3:$K$22*(Calc!$G$3:$G$22&gt;A4583)*(Calc!$G$3:$G$22-A4583)*Calc!$G$3:$G$22)</f>
        <v/>
      </c>
      <c r="M4583">
        <f>SUMPRODUCT(Calc!$K$3:$K$22*(Calc!$G$3:$G$22&gt;B4583)*(Calc!$G$3:$G$22-B4583)*Calc!$G$3:$G$22)</f>
        <v/>
      </c>
      <c r="N4583">
        <f>SUMPRODUCT(Calc!$K$3:$K$22*(Calc!$G$3:$G$22&gt;A4583)*(Calc!$G$3:$G$22-A4583)*Calc!$I$3:$I$22)</f>
        <v/>
      </c>
      <c r="O4583">
        <f>SUMPRODUCT(Calc!$K$3:$K$22*(Calc!$G$3:$G$22&gt;B4583)*(Calc!$G$3:$G$22-B4583)*Calc!$I$3:$I$22)</f>
        <v/>
      </c>
      <c r="P4583">
        <f>I4583-G4583^2/k_n</f>
        <v/>
      </c>
      <c r="Q4583">
        <f>J4583-H4583^2/k_n</f>
        <v/>
      </c>
      <c r="R4583">
        <f>K4583-G4583*H4583/k_n</f>
        <v/>
      </c>
      <c r="S4583">
        <f>L4583-LTP3!$D$3*G4583/k_n</f>
        <v/>
      </c>
      <c r="T4583">
        <f>M4583-LTP3!$D$3*H4583/k_n</f>
        <v/>
      </c>
      <c r="U4583">
        <f>N4583-G4583*LTP3!$D$4/k_n</f>
        <v/>
      </c>
      <c r="V4583">
        <f>O4583-H4583*LTP3!$D$4/k_n</f>
        <v/>
      </c>
      <c r="W4583">
        <f>((LTP3!$D$5)*((P4583)*(Q4583)-(R4583)*(R4583))-(S4583)*((S4583)*(Q4583)-(R4583)*(T4583))+(T4583)*((S4583)*(R4583)-(P4583)*(T4583)))</f>
        <v/>
      </c>
      <c r="X4583">
        <f>IF(ABS(W4583)&gt;1E-12,((LTP3!$D$6)*((P4583)*(Q4583)-(R4583)*(R4583))-(S4583)*((U4583)*(Q4583)-(R4583)*(V4583))+(T4583)*((U4583)*(R4583)-(P4583)*(V4583)))/W4583,0)</f>
        <v/>
      </c>
      <c r="Y4583">
        <f>IF(ABS(W4583)&gt;1E-12,((LTP3!$D$5)*((U4583)*(Q4583)-(R4583)*(V4583))-(LTP3!$D$6)*((S4583)*(Q4583)-(R4583)*(T4583))+(T4583)*((S4583)*(V4583)-(U4583)*(T4583)))/W4583,0)</f>
        <v/>
      </c>
      <c r="Z4583">
        <f>IF(ABS(W4583)&gt;1E-12,((LTP3!$D$5)*((P4583)*(V4583)-(U4583)*(R4583))-(S4583)*((S4583)*(V4583)-(U4583)*(T4583))+(LTP3!$D$6)*((S4583)*(R4583)-(P4583)*(T4583)))/W4583,0)</f>
        <v/>
      </c>
      <c r="AA4583">
        <f>LTP3!$D$7-X4583*LTP3!$D$6-Y4583*U4583-Z4583*V4583</f>
        <v/>
      </c>
      <c r="AB4583">
        <f>IF(AND(F4583,ABS(W4583)&gt;1E-12,Y4583&gt;0,Z4583&gt;0),AA4583,1E+300)</f>
        <v/>
      </c>
    </row>
    <row r="4584">
      <c r="A4584">
        <f>$I$4-$B$5/10+$B$5*19/100</f>
        <v/>
      </c>
      <c r="B4584">
        <f>$J$4-$B$5/10+$B$5*5/100</f>
        <v/>
      </c>
      <c r="C4584">
        <f>SUMPRODUCT(Calc!$K$3:$K$22*(Calc!$G$3:$G$22&lt;=A4584))</f>
        <v/>
      </c>
      <c r="D4584">
        <f>SUMPRODUCT(Calc!$K$3:$K$22*(Calc!$G$3:$G$22&gt;A4584)*(Calc!$G$3:$G$22&lt;B4584))</f>
        <v/>
      </c>
      <c r="E4584">
        <f>SUMPRODUCT(Calc!$K$3:$K$22*(Calc!$G$3:$G$22&gt;=B4584))</f>
        <v/>
      </c>
      <c r="F4584">
        <f>AND(k_n&gt;=5,B4584&gt;A4584+1E-9,C4584&gt;=2,D4584&gt;=1,E4584&gt;=2)</f>
        <v/>
      </c>
      <c r="G4584">
        <f>SUMPRODUCT(Calc!$K$3:$K$22*(Calc!$G$3:$G$22&gt;A4584)*(Calc!$G$3:$G$22-A4584))</f>
        <v/>
      </c>
      <c r="H4584">
        <f>SUMPRODUCT(Calc!$K$3:$K$22*(Calc!$G$3:$G$22&gt;B4584)*(Calc!$G$3:$G$22-B4584))</f>
        <v/>
      </c>
      <c r="I4584">
        <f>SUMPRODUCT(Calc!$K$3:$K$22*(Calc!$G$3:$G$22&gt;A4584)*(Calc!$G$3:$G$22-A4584)^2)</f>
        <v/>
      </c>
      <c r="J4584">
        <f>SUMPRODUCT(Calc!$K$3:$K$22*(Calc!$G$3:$G$22&gt;B4584)*(Calc!$G$3:$G$22-B4584)^2)</f>
        <v/>
      </c>
      <c r="K4584">
        <f>SUMPRODUCT(Calc!$K$3:$K$22*(Calc!$G$3:$G$22&gt;A4584)*(Calc!$G$3:$G$22-A4584)*(Calc!$G$3:$G$22&gt;B4584)*(Calc!$G$3:$G$22-B4584))</f>
        <v/>
      </c>
      <c r="L4584">
        <f>SUMPRODUCT(Calc!$K$3:$K$22*(Calc!$G$3:$G$22&gt;A4584)*(Calc!$G$3:$G$22-A4584)*Calc!$G$3:$G$22)</f>
        <v/>
      </c>
      <c r="M4584">
        <f>SUMPRODUCT(Calc!$K$3:$K$22*(Calc!$G$3:$G$22&gt;B4584)*(Calc!$G$3:$G$22-B4584)*Calc!$G$3:$G$22)</f>
        <v/>
      </c>
      <c r="N4584">
        <f>SUMPRODUCT(Calc!$K$3:$K$22*(Calc!$G$3:$G$22&gt;A4584)*(Calc!$G$3:$G$22-A4584)*Calc!$I$3:$I$22)</f>
        <v/>
      </c>
      <c r="O4584">
        <f>SUMPRODUCT(Calc!$K$3:$K$22*(Calc!$G$3:$G$22&gt;B4584)*(Calc!$G$3:$G$22-B4584)*Calc!$I$3:$I$22)</f>
        <v/>
      </c>
      <c r="P4584">
        <f>I4584-G4584^2/k_n</f>
        <v/>
      </c>
      <c r="Q4584">
        <f>J4584-H4584^2/k_n</f>
        <v/>
      </c>
      <c r="R4584">
        <f>K4584-G4584*H4584/k_n</f>
        <v/>
      </c>
      <c r="S4584">
        <f>L4584-LTP3!$D$3*G4584/k_n</f>
        <v/>
      </c>
      <c r="T4584">
        <f>M4584-LTP3!$D$3*H4584/k_n</f>
        <v/>
      </c>
      <c r="U4584">
        <f>N4584-G4584*LTP3!$D$4/k_n</f>
        <v/>
      </c>
      <c r="V4584">
        <f>O4584-H4584*LTP3!$D$4/k_n</f>
        <v/>
      </c>
      <c r="W4584">
        <f>((LTP3!$D$5)*((P4584)*(Q4584)-(R4584)*(R4584))-(S4584)*((S4584)*(Q4584)-(R4584)*(T4584))+(T4584)*((S4584)*(R4584)-(P4584)*(T4584)))</f>
        <v/>
      </c>
      <c r="X4584">
        <f>IF(ABS(W4584)&gt;1E-12,((LTP3!$D$6)*((P4584)*(Q4584)-(R4584)*(R4584))-(S4584)*((U4584)*(Q4584)-(R4584)*(V4584))+(T4584)*((U4584)*(R4584)-(P4584)*(V4584)))/W4584,0)</f>
        <v/>
      </c>
      <c r="Y4584">
        <f>IF(ABS(W4584)&gt;1E-12,((LTP3!$D$5)*((U4584)*(Q4584)-(R4584)*(V4584))-(LTP3!$D$6)*((S4584)*(Q4584)-(R4584)*(T4584))+(T4584)*((S4584)*(V4584)-(U4584)*(T4584)))/W4584,0)</f>
        <v/>
      </c>
      <c r="Z4584">
        <f>IF(ABS(W4584)&gt;1E-12,((LTP3!$D$5)*((P4584)*(V4584)-(U4584)*(R4584))-(S4584)*((S4584)*(V4584)-(U4584)*(T4584))+(LTP3!$D$6)*((S4584)*(R4584)-(P4584)*(T4584)))/W4584,0)</f>
        <v/>
      </c>
      <c r="AA4584">
        <f>LTP3!$D$7-X4584*LTP3!$D$6-Y4584*U4584-Z4584*V4584</f>
        <v/>
      </c>
      <c r="AB4584">
        <f>IF(AND(F4584,ABS(W4584)&gt;1E-12,Y4584&gt;0,Z4584&gt;0),AA4584,1E+300)</f>
        <v/>
      </c>
    </row>
    <row r="4585">
      <c r="A4585">
        <f>$I$4-$B$5/10+$B$5*19/100</f>
        <v/>
      </c>
      <c r="B4585">
        <f>$J$4-$B$5/10+$B$5*6/100</f>
        <v/>
      </c>
      <c r="C4585">
        <f>SUMPRODUCT(Calc!$K$3:$K$22*(Calc!$G$3:$G$22&lt;=A4585))</f>
        <v/>
      </c>
      <c r="D4585">
        <f>SUMPRODUCT(Calc!$K$3:$K$22*(Calc!$G$3:$G$22&gt;A4585)*(Calc!$G$3:$G$22&lt;B4585))</f>
        <v/>
      </c>
      <c r="E4585">
        <f>SUMPRODUCT(Calc!$K$3:$K$22*(Calc!$G$3:$G$22&gt;=B4585))</f>
        <v/>
      </c>
      <c r="F4585">
        <f>AND(k_n&gt;=5,B4585&gt;A4585+1E-9,C4585&gt;=2,D4585&gt;=1,E4585&gt;=2)</f>
        <v/>
      </c>
      <c r="G4585">
        <f>SUMPRODUCT(Calc!$K$3:$K$22*(Calc!$G$3:$G$22&gt;A4585)*(Calc!$G$3:$G$22-A4585))</f>
        <v/>
      </c>
      <c r="H4585">
        <f>SUMPRODUCT(Calc!$K$3:$K$22*(Calc!$G$3:$G$22&gt;B4585)*(Calc!$G$3:$G$22-B4585))</f>
        <v/>
      </c>
      <c r="I4585">
        <f>SUMPRODUCT(Calc!$K$3:$K$22*(Calc!$G$3:$G$22&gt;A4585)*(Calc!$G$3:$G$22-A4585)^2)</f>
        <v/>
      </c>
      <c r="J4585">
        <f>SUMPRODUCT(Calc!$K$3:$K$22*(Calc!$G$3:$G$22&gt;B4585)*(Calc!$G$3:$G$22-B4585)^2)</f>
        <v/>
      </c>
      <c r="K4585">
        <f>SUMPRODUCT(Calc!$K$3:$K$22*(Calc!$G$3:$G$22&gt;A4585)*(Calc!$G$3:$G$22-A4585)*(Calc!$G$3:$G$22&gt;B4585)*(Calc!$G$3:$G$22-B4585))</f>
        <v/>
      </c>
      <c r="L4585">
        <f>SUMPRODUCT(Calc!$K$3:$K$22*(Calc!$G$3:$G$22&gt;A4585)*(Calc!$G$3:$G$22-A4585)*Calc!$G$3:$G$22)</f>
        <v/>
      </c>
      <c r="M4585">
        <f>SUMPRODUCT(Calc!$K$3:$K$22*(Calc!$G$3:$G$22&gt;B4585)*(Calc!$G$3:$G$22-B4585)*Calc!$G$3:$G$22)</f>
        <v/>
      </c>
      <c r="N4585">
        <f>SUMPRODUCT(Calc!$K$3:$K$22*(Calc!$G$3:$G$22&gt;A4585)*(Calc!$G$3:$G$22-A4585)*Calc!$I$3:$I$22)</f>
        <v/>
      </c>
      <c r="O4585">
        <f>SUMPRODUCT(Calc!$K$3:$K$22*(Calc!$G$3:$G$22&gt;B4585)*(Calc!$G$3:$G$22-B4585)*Calc!$I$3:$I$22)</f>
        <v/>
      </c>
      <c r="P4585">
        <f>I4585-G4585^2/k_n</f>
        <v/>
      </c>
      <c r="Q4585">
        <f>J4585-H4585^2/k_n</f>
        <v/>
      </c>
      <c r="R4585">
        <f>K4585-G4585*H4585/k_n</f>
        <v/>
      </c>
      <c r="S4585">
        <f>L4585-LTP3!$D$3*G4585/k_n</f>
        <v/>
      </c>
      <c r="T4585">
        <f>M4585-LTP3!$D$3*H4585/k_n</f>
        <v/>
      </c>
      <c r="U4585">
        <f>N4585-G4585*LTP3!$D$4/k_n</f>
        <v/>
      </c>
      <c r="V4585">
        <f>O4585-H4585*LTP3!$D$4/k_n</f>
        <v/>
      </c>
      <c r="W4585">
        <f>((LTP3!$D$5)*((P4585)*(Q4585)-(R4585)*(R4585))-(S4585)*((S4585)*(Q4585)-(R4585)*(T4585))+(T4585)*((S4585)*(R4585)-(P4585)*(T4585)))</f>
        <v/>
      </c>
      <c r="X4585">
        <f>IF(ABS(W4585)&gt;1E-12,((LTP3!$D$6)*((P4585)*(Q4585)-(R4585)*(R4585))-(S4585)*((U4585)*(Q4585)-(R4585)*(V4585))+(T4585)*((U4585)*(R4585)-(P4585)*(V4585)))/W4585,0)</f>
        <v/>
      </c>
      <c r="Y4585">
        <f>IF(ABS(W4585)&gt;1E-12,((LTP3!$D$5)*((U4585)*(Q4585)-(R4585)*(V4585))-(LTP3!$D$6)*((S4585)*(Q4585)-(R4585)*(T4585))+(T4585)*((S4585)*(V4585)-(U4585)*(T4585)))/W4585,0)</f>
        <v/>
      </c>
      <c r="Z4585">
        <f>IF(ABS(W4585)&gt;1E-12,((LTP3!$D$5)*((P4585)*(V4585)-(U4585)*(R4585))-(S4585)*((S4585)*(V4585)-(U4585)*(T4585))+(LTP3!$D$6)*((S4585)*(R4585)-(P4585)*(T4585)))/W4585,0)</f>
        <v/>
      </c>
      <c r="AA4585">
        <f>LTP3!$D$7-X4585*LTP3!$D$6-Y4585*U4585-Z4585*V4585</f>
        <v/>
      </c>
      <c r="AB4585">
        <f>IF(AND(F4585,ABS(W4585)&gt;1E-12,Y4585&gt;0,Z4585&gt;0),AA4585,1E+300)</f>
        <v/>
      </c>
    </row>
    <row r="4586">
      <c r="A4586">
        <f>$I$4-$B$5/10+$B$5*19/100</f>
        <v/>
      </c>
      <c r="B4586">
        <f>$J$4-$B$5/10+$B$5*7/100</f>
        <v/>
      </c>
      <c r="C4586">
        <f>SUMPRODUCT(Calc!$K$3:$K$22*(Calc!$G$3:$G$22&lt;=A4586))</f>
        <v/>
      </c>
      <c r="D4586">
        <f>SUMPRODUCT(Calc!$K$3:$K$22*(Calc!$G$3:$G$22&gt;A4586)*(Calc!$G$3:$G$22&lt;B4586))</f>
        <v/>
      </c>
      <c r="E4586">
        <f>SUMPRODUCT(Calc!$K$3:$K$22*(Calc!$G$3:$G$22&gt;=B4586))</f>
        <v/>
      </c>
      <c r="F4586">
        <f>AND(k_n&gt;=5,B4586&gt;A4586+1E-9,C4586&gt;=2,D4586&gt;=1,E4586&gt;=2)</f>
        <v/>
      </c>
      <c r="G4586">
        <f>SUMPRODUCT(Calc!$K$3:$K$22*(Calc!$G$3:$G$22&gt;A4586)*(Calc!$G$3:$G$22-A4586))</f>
        <v/>
      </c>
      <c r="H4586">
        <f>SUMPRODUCT(Calc!$K$3:$K$22*(Calc!$G$3:$G$22&gt;B4586)*(Calc!$G$3:$G$22-B4586))</f>
        <v/>
      </c>
      <c r="I4586">
        <f>SUMPRODUCT(Calc!$K$3:$K$22*(Calc!$G$3:$G$22&gt;A4586)*(Calc!$G$3:$G$22-A4586)^2)</f>
        <v/>
      </c>
      <c r="J4586">
        <f>SUMPRODUCT(Calc!$K$3:$K$22*(Calc!$G$3:$G$22&gt;B4586)*(Calc!$G$3:$G$22-B4586)^2)</f>
        <v/>
      </c>
      <c r="K4586">
        <f>SUMPRODUCT(Calc!$K$3:$K$22*(Calc!$G$3:$G$22&gt;A4586)*(Calc!$G$3:$G$22-A4586)*(Calc!$G$3:$G$22&gt;B4586)*(Calc!$G$3:$G$22-B4586))</f>
        <v/>
      </c>
      <c r="L4586">
        <f>SUMPRODUCT(Calc!$K$3:$K$22*(Calc!$G$3:$G$22&gt;A4586)*(Calc!$G$3:$G$22-A4586)*Calc!$G$3:$G$22)</f>
        <v/>
      </c>
      <c r="M4586">
        <f>SUMPRODUCT(Calc!$K$3:$K$22*(Calc!$G$3:$G$22&gt;B4586)*(Calc!$G$3:$G$22-B4586)*Calc!$G$3:$G$22)</f>
        <v/>
      </c>
      <c r="N4586">
        <f>SUMPRODUCT(Calc!$K$3:$K$22*(Calc!$G$3:$G$22&gt;A4586)*(Calc!$G$3:$G$22-A4586)*Calc!$I$3:$I$22)</f>
        <v/>
      </c>
      <c r="O4586">
        <f>SUMPRODUCT(Calc!$K$3:$K$22*(Calc!$G$3:$G$22&gt;B4586)*(Calc!$G$3:$G$22-B4586)*Calc!$I$3:$I$22)</f>
        <v/>
      </c>
      <c r="P4586">
        <f>I4586-G4586^2/k_n</f>
        <v/>
      </c>
      <c r="Q4586">
        <f>J4586-H4586^2/k_n</f>
        <v/>
      </c>
      <c r="R4586">
        <f>K4586-G4586*H4586/k_n</f>
        <v/>
      </c>
      <c r="S4586">
        <f>L4586-LTP3!$D$3*G4586/k_n</f>
        <v/>
      </c>
      <c r="T4586">
        <f>M4586-LTP3!$D$3*H4586/k_n</f>
        <v/>
      </c>
      <c r="U4586">
        <f>N4586-G4586*LTP3!$D$4/k_n</f>
        <v/>
      </c>
      <c r="V4586">
        <f>O4586-H4586*LTP3!$D$4/k_n</f>
        <v/>
      </c>
      <c r="W4586">
        <f>((LTP3!$D$5)*((P4586)*(Q4586)-(R4586)*(R4586))-(S4586)*((S4586)*(Q4586)-(R4586)*(T4586))+(T4586)*((S4586)*(R4586)-(P4586)*(T4586)))</f>
        <v/>
      </c>
      <c r="X4586">
        <f>IF(ABS(W4586)&gt;1E-12,((LTP3!$D$6)*((P4586)*(Q4586)-(R4586)*(R4586))-(S4586)*((U4586)*(Q4586)-(R4586)*(V4586))+(T4586)*((U4586)*(R4586)-(P4586)*(V4586)))/W4586,0)</f>
        <v/>
      </c>
      <c r="Y4586">
        <f>IF(ABS(W4586)&gt;1E-12,((LTP3!$D$5)*((U4586)*(Q4586)-(R4586)*(V4586))-(LTP3!$D$6)*((S4586)*(Q4586)-(R4586)*(T4586))+(T4586)*((S4586)*(V4586)-(U4586)*(T4586)))/W4586,0)</f>
        <v/>
      </c>
      <c r="Z4586">
        <f>IF(ABS(W4586)&gt;1E-12,((LTP3!$D$5)*((P4586)*(V4586)-(U4586)*(R4586))-(S4586)*((S4586)*(V4586)-(U4586)*(T4586))+(LTP3!$D$6)*((S4586)*(R4586)-(P4586)*(T4586)))/W4586,0)</f>
        <v/>
      </c>
      <c r="AA4586">
        <f>LTP3!$D$7-X4586*LTP3!$D$6-Y4586*U4586-Z4586*V4586</f>
        <v/>
      </c>
      <c r="AB4586">
        <f>IF(AND(F4586,ABS(W4586)&gt;1E-12,Y4586&gt;0,Z4586&gt;0),AA4586,1E+300)</f>
        <v/>
      </c>
    </row>
    <row r="4587">
      <c r="A4587">
        <f>$I$4-$B$5/10+$B$5*19/100</f>
        <v/>
      </c>
      <c r="B4587">
        <f>$J$4-$B$5/10+$B$5*8/100</f>
        <v/>
      </c>
      <c r="C4587">
        <f>SUMPRODUCT(Calc!$K$3:$K$22*(Calc!$G$3:$G$22&lt;=A4587))</f>
        <v/>
      </c>
      <c r="D4587">
        <f>SUMPRODUCT(Calc!$K$3:$K$22*(Calc!$G$3:$G$22&gt;A4587)*(Calc!$G$3:$G$22&lt;B4587))</f>
        <v/>
      </c>
      <c r="E4587">
        <f>SUMPRODUCT(Calc!$K$3:$K$22*(Calc!$G$3:$G$22&gt;=B4587))</f>
        <v/>
      </c>
      <c r="F4587">
        <f>AND(k_n&gt;=5,B4587&gt;A4587+1E-9,C4587&gt;=2,D4587&gt;=1,E4587&gt;=2)</f>
        <v/>
      </c>
      <c r="G4587">
        <f>SUMPRODUCT(Calc!$K$3:$K$22*(Calc!$G$3:$G$22&gt;A4587)*(Calc!$G$3:$G$22-A4587))</f>
        <v/>
      </c>
      <c r="H4587">
        <f>SUMPRODUCT(Calc!$K$3:$K$22*(Calc!$G$3:$G$22&gt;B4587)*(Calc!$G$3:$G$22-B4587))</f>
        <v/>
      </c>
      <c r="I4587">
        <f>SUMPRODUCT(Calc!$K$3:$K$22*(Calc!$G$3:$G$22&gt;A4587)*(Calc!$G$3:$G$22-A4587)^2)</f>
        <v/>
      </c>
      <c r="J4587">
        <f>SUMPRODUCT(Calc!$K$3:$K$22*(Calc!$G$3:$G$22&gt;B4587)*(Calc!$G$3:$G$22-B4587)^2)</f>
        <v/>
      </c>
      <c r="K4587">
        <f>SUMPRODUCT(Calc!$K$3:$K$22*(Calc!$G$3:$G$22&gt;A4587)*(Calc!$G$3:$G$22-A4587)*(Calc!$G$3:$G$22&gt;B4587)*(Calc!$G$3:$G$22-B4587))</f>
        <v/>
      </c>
      <c r="L4587">
        <f>SUMPRODUCT(Calc!$K$3:$K$22*(Calc!$G$3:$G$22&gt;A4587)*(Calc!$G$3:$G$22-A4587)*Calc!$G$3:$G$22)</f>
        <v/>
      </c>
      <c r="M4587">
        <f>SUMPRODUCT(Calc!$K$3:$K$22*(Calc!$G$3:$G$22&gt;B4587)*(Calc!$G$3:$G$22-B4587)*Calc!$G$3:$G$22)</f>
        <v/>
      </c>
      <c r="N4587">
        <f>SUMPRODUCT(Calc!$K$3:$K$22*(Calc!$G$3:$G$22&gt;A4587)*(Calc!$G$3:$G$22-A4587)*Calc!$I$3:$I$22)</f>
        <v/>
      </c>
      <c r="O4587">
        <f>SUMPRODUCT(Calc!$K$3:$K$22*(Calc!$G$3:$G$22&gt;B4587)*(Calc!$G$3:$G$22-B4587)*Calc!$I$3:$I$22)</f>
        <v/>
      </c>
      <c r="P4587">
        <f>I4587-G4587^2/k_n</f>
        <v/>
      </c>
      <c r="Q4587">
        <f>J4587-H4587^2/k_n</f>
        <v/>
      </c>
      <c r="R4587">
        <f>K4587-G4587*H4587/k_n</f>
        <v/>
      </c>
      <c r="S4587">
        <f>L4587-LTP3!$D$3*G4587/k_n</f>
        <v/>
      </c>
      <c r="T4587">
        <f>M4587-LTP3!$D$3*H4587/k_n</f>
        <v/>
      </c>
      <c r="U4587">
        <f>N4587-G4587*LTP3!$D$4/k_n</f>
        <v/>
      </c>
      <c r="V4587">
        <f>O4587-H4587*LTP3!$D$4/k_n</f>
        <v/>
      </c>
      <c r="W4587">
        <f>((LTP3!$D$5)*((P4587)*(Q4587)-(R4587)*(R4587))-(S4587)*((S4587)*(Q4587)-(R4587)*(T4587))+(T4587)*((S4587)*(R4587)-(P4587)*(T4587)))</f>
        <v/>
      </c>
      <c r="X4587">
        <f>IF(ABS(W4587)&gt;1E-12,((LTP3!$D$6)*((P4587)*(Q4587)-(R4587)*(R4587))-(S4587)*((U4587)*(Q4587)-(R4587)*(V4587))+(T4587)*((U4587)*(R4587)-(P4587)*(V4587)))/W4587,0)</f>
        <v/>
      </c>
      <c r="Y4587">
        <f>IF(ABS(W4587)&gt;1E-12,((LTP3!$D$5)*((U4587)*(Q4587)-(R4587)*(V4587))-(LTP3!$D$6)*((S4587)*(Q4587)-(R4587)*(T4587))+(T4587)*((S4587)*(V4587)-(U4587)*(T4587)))/W4587,0)</f>
        <v/>
      </c>
      <c r="Z4587">
        <f>IF(ABS(W4587)&gt;1E-12,((LTP3!$D$5)*((P4587)*(V4587)-(U4587)*(R4587))-(S4587)*((S4587)*(V4587)-(U4587)*(T4587))+(LTP3!$D$6)*((S4587)*(R4587)-(P4587)*(T4587)))/W4587,0)</f>
        <v/>
      </c>
      <c r="AA4587">
        <f>LTP3!$D$7-X4587*LTP3!$D$6-Y4587*U4587-Z4587*V4587</f>
        <v/>
      </c>
      <c r="AB4587">
        <f>IF(AND(F4587,ABS(W4587)&gt;1E-12,Y4587&gt;0,Z4587&gt;0),AA4587,1E+300)</f>
        <v/>
      </c>
    </row>
    <row r="4588">
      <c r="A4588">
        <f>$I$4-$B$5/10+$B$5*19/100</f>
        <v/>
      </c>
      <c r="B4588">
        <f>$J$4-$B$5/10+$B$5*9/100</f>
        <v/>
      </c>
      <c r="C4588">
        <f>SUMPRODUCT(Calc!$K$3:$K$22*(Calc!$G$3:$G$22&lt;=A4588))</f>
        <v/>
      </c>
      <c r="D4588">
        <f>SUMPRODUCT(Calc!$K$3:$K$22*(Calc!$G$3:$G$22&gt;A4588)*(Calc!$G$3:$G$22&lt;B4588))</f>
        <v/>
      </c>
      <c r="E4588">
        <f>SUMPRODUCT(Calc!$K$3:$K$22*(Calc!$G$3:$G$22&gt;=B4588))</f>
        <v/>
      </c>
      <c r="F4588">
        <f>AND(k_n&gt;=5,B4588&gt;A4588+1E-9,C4588&gt;=2,D4588&gt;=1,E4588&gt;=2)</f>
        <v/>
      </c>
      <c r="G4588">
        <f>SUMPRODUCT(Calc!$K$3:$K$22*(Calc!$G$3:$G$22&gt;A4588)*(Calc!$G$3:$G$22-A4588))</f>
        <v/>
      </c>
      <c r="H4588">
        <f>SUMPRODUCT(Calc!$K$3:$K$22*(Calc!$G$3:$G$22&gt;B4588)*(Calc!$G$3:$G$22-B4588))</f>
        <v/>
      </c>
      <c r="I4588">
        <f>SUMPRODUCT(Calc!$K$3:$K$22*(Calc!$G$3:$G$22&gt;A4588)*(Calc!$G$3:$G$22-A4588)^2)</f>
        <v/>
      </c>
      <c r="J4588">
        <f>SUMPRODUCT(Calc!$K$3:$K$22*(Calc!$G$3:$G$22&gt;B4588)*(Calc!$G$3:$G$22-B4588)^2)</f>
        <v/>
      </c>
      <c r="K4588">
        <f>SUMPRODUCT(Calc!$K$3:$K$22*(Calc!$G$3:$G$22&gt;A4588)*(Calc!$G$3:$G$22-A4588)*(Calc!$G$3:$G$22&gt;B4588)*(Calc!$G$3:$G$22-B4588))</f>
        <v/>
      </c>
      <c r="L4588">
        <f>SUMPRODUCT(Calc!$K$3:$K$22*(Calc!$G$3:$G$22&gt;A4588)*(Calc!$G$3:$G$22-A4588)*Calc!$G$3:$G$22)</f>
        <v/>
      </c>
      <c r="M4588">
        <f>SUMPRODUCT(Calc!$K$3:$K$22*(Calc!$G$3:$G$22&gt;B4588)*(Calc!$G$3:$G$22-B4588)*Calc!$G$3:$G$22)</f>
        <v/>
      </c>
      <c r="N4588">
        <f>SUMPRODUCT(Calc!$K$3:$K$22*(Calc!$G$3:$G$22&gt;A4588)*(Calc!$G$3:$G$22-A4588)*Calc!$I$3:$I$22)</f>
        <v/>
      </c>
      <c r="O4588">
        <f>SUMPRODUCT(Calc!$K$3:$K$22*(Calc!$G$3:$G$22&gt;B4588)*(Calc!$G$3:$G$22-B4588)*Calc!$I$3:$I$22)</f>
        <v/>
      </c>
      <c r="P4588">
        <f>I4588-G4588^2/k_n</f>
        <v/>
      </c>
      <c r="Q4588">
        <f>J4588-H4588^2/k_n</f>
        <v/>
      </c>
      <c r="R4588">
        <f>K4588-G4588*H4588/k_n</f>
        <v/>
      </c>
      <c r="S4588">
        <f>L4588-LTP3!$D$3*G4588/k_n</f>
        <v/>
      </c>
      <c r="T4588">
        <f>M4588-LTP3!$D$3*H4588/k_n</f>
        <v/>
      </c>
      <c r="U4588">
        <f>N4588-G4588*LTP3!$D$4/k_n</f>
        <v/>
      </c>
      <c r="V4588">
        <f>O4588-H4588*LTP3!$D$4/k_n</f>
        <v/>
      </c>
      <c r="W4588">
        <f>((LTP3!$D$5)*((P4588)*(Q4588)-(R4588)*(R4588))-(S4588)*((S4588)*(Q4588)-(R4588)*(T4588))+(T4588)*((S4588)*(R4588)-(P4588)*(T4588)))</f>
        <v/>
      </c>
      <c r="X4588">
        <f>IF(ABS(W4588)&gt;1E-12,((LTP3!$D$6)*((P4588)*(Q4588)-(R4588)*(R4588))-(S4588)*((U4588)*(Q4588)-(R4588)*(V4588))+(T4588)*((U4588)*(R4588)-(P4588)*(V4588)))/W4588,0)</f>
        <v/>
      </c>
      <c r="Y4588">
        <f>IF(ABS(W4588)&gt;1E-12,((LTP3!$D$5)*((U4588)*(Q4588)-(R4588)*(V4588))-(LTP3!$D$6)*((S4588)*(Q4588)-(R4588)*(T4588))+(T4588)*((S4588)*(V4588)-(U4588)*(T4588)))/W4588,0)</f>
        <v/>
      </c>
      <c r="Z4588">
        <f>IF(ABS(W4588)&gt;1E-12,((LTP3!$D$5)*((P4588)*(V4588)-(U4588)*(R4588))-(S4588)*((S4588)*(V4588)-(U4588)*(T4588))+(LTP3!$D$6)*((S4588)*(R4588)-(P4588)*(T4588)))/W4588,0)</f>
        <v/>
      </c>
      <c r="AA4588">
        <f>LTP3!$D$7-X4588*LTP3!$D$6-Y4588*U4588-Z4588*V4588</f>
        <v/>
      </c>
      <c r="AB4588">
        <f>IF(AND(F4588,ABS(W4588)&gt;1E-12,Y4588&gt;0,Z4588&gt;0),AA4588,1E+300)</f>
        <v/>
      </c>
    </row>
    <row r="4589">
      <c r="A4589">
        <f>$I$4-$B$5/10+$B$5*19/100</f>
        <v/>
      </c>
      <c r="B4589">
        <f>$J$4-$B$5/10+$B$5*10/100</f>
        <v/>
      </c>
      <c r="C4589">
        <f>SUMPRODUCT(Calc!$K$3:$K$22*(Calc!$G$3:$G$22&lt;=A4589))</f>
        <v/>
      </c>
      <c r="D4589">
        <f>SUMPRODUCT(Calc!$K$3:$K$22*(Calc!$G$3:$G$22&gt;A4589)*(Calc!$G$3:$G$22&lt;B4589))</f>
        <v/>
      </c>
      <c r="E4589">
        <f>SUMPRODUCT(Calc!$K$3:$K$22*(Calc!$G$3:$G$22&gt;=B4589))</f>
        <v/>
      </c>
      <c r="F4589">
        <f>AND(k_n&gt;=5,B4589&gt;A4589+1E-9,C4589&gt;=2,D4589&gt;=1,E4589&gt;=2)</f>
        <v/>
      </c>
      <c r="G4589">
        <f>SUMPRODUCT(Calc!$K$3:$K$22*(Calc!$G$3:$G$22&gt;A4589)*(Calc!$G$3:$G$22-A4589))</f>
        <v/>
      </c>
      <c r="H4589">
        <f>SUMPRODUCT(Calc!$K$3:$K$22*(Calc!$G$3:$G$22&gt;B4589)*(Calc!$G$3:$G$22-B4589))</f>
        <v/>
      </c>
      <c r="I4589">
        <f>SUMPRODUCT(Calc!$K$3:$K$22*(Calc!$G$3:$G$22&gt;A4589)*(Calc!$G$3:$G$22-A4589)^2)</f>
        <v/>
      </c>
      <c r="J4589">
        <f>SUMPRODUCT(Calc!$K$3:$K$22*(Calc!$G$3:$G$22&gt;B4589)*(Calc!$G$3:$G$22-B4589)^2)</f>
        <v/>
      </c>
      <c r="K4589">
        <f>SUMPRODUCT(Calc!$K$3:$K$22*(Calc!$G$3:$G$22&gt;A4589)*(Calc!$G$3:$G$22-A4589)*(Calc!$G$3:$G$22&gt;B4589)*(Calc!$G$3:$G$22-B4589))</f>
        <v/>
      </c>
      <c r="L4589">
        <f>SUMPRODUCT(Calc!$K$3:$K$22*(Calc!$G$3:$G$22&gt;A4589)*(Calc!$G$3:$G$22-A4589)*Calc!$G$3:$G$22)</f>
        <v/>
      </c>
      <c r="M4589">
        <f>SUMPRODUCT(Calc!$K$3:$K$22*(Calc!$G$3:$G$22&gt;B4589)*(Calc!$G$3:$G$22-B4589)*Calc!$G$3:$G$22)</f>
        <v/>
      </c>
      <c r="N4589">
        <f>SUMPRODUCT(Calc!$K$3:$K$22*(Calc!$G$3:$G$22&gt;A4589)*(Calc!$G$3:$G$22-A4589)*Calc!$I$3:$I$22)</f>
        <v/>
      </c>
      <c r="O4589">
        <f>SUMPRODUCT(Calc!$K$3:$K$22*(Calc!$G$3:$G$22&gt;B4589)*(Calc!$G$3:$G$22-B4589)*Calc!$I$3:$I$22)</f>
        <v/>
      </c>
      <c r="P4589">
        <f>I4589-G4589^2/k_n</f>
        <v/>
      </c>
      <c r="Q4589">
        <f>J4589-H4589^2/k_n</f>
        <v/>
      </c>
      <c r="R4589">
        <f>K4589-G4589*H4589/k_n</f>
        <v/>
      </c>
      <c r="S4589">
        <f>L4589-LTP3!$D$3*G4589/k_n</f>
        <v/>
      </c>
      <c r="T4589">
        <f>M4589-LTP3!$D$3*H4589/k_n</f>
        <v/>
      </c>
      <c r="U4589">
        <f>N4589-G4589*LTP3!$D$4/k_n</f>
        <v/>
      </c>
      <c r="V4589">
        <f>O4589-H4589*LTP3!$D$4/k_n</f>
        <v/>
      </c>
      <c r="W4589">
        <f>((LTP3!$D$5)*((P4589)*(Q4589)-(R4589)*(R4589))-(S4589)*((S4589)*(Q4589)-(R4589)*(T4589))+(T4589)*((S4589)*(R4589)-(P4589)*(T4589)))</f>
        <v/>
      </c>
      <c r="X4589">
        <f>IF(ABS(W4589)&gt;1E-12,((LTP3!$D$6)*((P4589)*(Q4589)-(R4589)*(R4589))-(S4589)*((U4589)*(Q4589)-(R4589)*(V4589))+(T4589)*((U4589)*(R4589)-(P4589)*(V4589)))/W4589,0)</f>
        <v/>
      </c>
      <c r="Y4589">
        <f>IF(ABS(W4589)&gt;1E-12,((LTP3!$D$5)*((U4589)*(Q4589)-(R4589)*(V4589))-(LTP3!$D$6)*((S4589)*(Q4589)-(R4589)*(T4589))+(T4589)*((S4589)*(V4589)-(U4589)*(T4589)))/W4589,0)</f>
        <v/>
      </c>
      <c r="Z4589">
        <f>IF(ABS(W4589)&gt;1E-12,((LTP3!$D$5)*((P4589)*(V4589)-(U4589)*(R4589))-(S4589)*((S4589)*(V4589)-(U4589)*(T4589))+(LTP3!$D$6)*((S4589)*(R4589)-(P4589)*(T4589)))/W4589,0)</f>
        <v/>
      </c>
      <c r="AA4589">
        <f>LTP3!$D$7-X4589*LTP3!$D$6-Y4589*U4589-Z4589*V4589</f>
        <v/>
      </c>
      <c r="AB4589">
        <f>IF(AND(F4589,ABS(W4589)&gt;1E-12,Y4589&gt;0,Z4589&gt;0),AA4589,1E+300)</f>
        <v/>
      </c>
    </row>
    <row r="4590">
      <c r="A4590">
        <f>$I$4-$B$5/10+$B$5*19/100</f>
        <v/>
      </c>
      <c r="B4590">
        <f>$J$4-$B$5/10+$B$5*11/100</f>
        <v/>
      </c>
      <c r="C4590">
        <f>SUMPRODUCT(Calc!$K$3:$K$22*(Calc!$G$3:$G$22&lt;=A4590))</f>
        <v/>
      </c>
      <c r="D4590">
        <f>SUMPRODUCT(Calc!$K$3:$K$22*(Calc!$G$3:$G$22&gt;A4590)*(Calc!$G$3:$G$22&lt;B4590))</f>
        <v/>
      </c>
      <c r="E4590">
        <f>SUMPRODUCT(Calc!$K$3:$K$22*(Calc!$G$3:$G$22&gt;=B4590))</f>
        <v/>
      </c>
      <c r="F4590">
        <f>AND(k_n&gt;=5,B4590&gt;A4590+1E-9,C4590&gt;=2,D4590&gt;=1,E4590&gt;=2)</f>
        <v/>
      </c>
      <c r="G4590">
        <f>SUMPRODUCT(Calc!$K$3:$K$22*(Calc!$G$3:$G$22&gt;A4590)*(Calc!$G$3:$G$22-A4590))</f>
        <v/>
      </c>
      <c r="H4590">
        <f>SUMPRODUCT(Calc!$K$3:$K$22*(Calc!$G$3:$G$22&gt;B4590)*(Calc!$G$3:$G$22-B4590))</f>
        <v/>
      </c>
      <c r="I4590">
        <f>SUMPRODUCT(Calc!$K$3:$K$22*(Calc!$G$3:$G$22&gt;A4590)*(Calc!$G$3:$G$22-A4590)^2)</f>
        <v/>
      </c>
      <c r="J4590">
        <f>SUMPRODUCT(Calc!$K$3:$K$22*(Calc!$G$3:$G$22&gt;B4590)*(Calc!$G$3:$G$22-B4590)^2)</f>
        <v/>
      </c>
      <c r="K4590">
        <f>SUMPRODUCT(Calc!$K$3:$K$22*(Calc!$G$3:$G$22&gt;A4590)*(Calc!$G$3:$G$22-A4590)*(Calc!$G$3:$G$22&gt;B4590)*(Calc!$G$3:$G$22-B4590))</f>
        <v/>
      </c>
      <c r="L4590">
        <f>SUMPRODUCT(Calc!$K$3:$K$22*(Calc!$G$3:$G$22&gt;A4590)*(Calc!$G$3:$G$22-A4590)*Calc!$G$3:$G$22)</f>
        <v/>
      </c>
      <c r="M4590">
        <f>SUMPRODUCT(Calc!$K$3:$K$22*(Calc!$G$3:$G$22&gt;B4590)*(Calc!$G$3:$G$22-B4590)*Calc!$G$3:$G$22)</f>
        <v/>
      </c>
      <c r="N4590">
        <f>SUMPRODUCT(Calc!$K$3:$K$22*(Calc!$G$3:$G$22&gt;A4590)*(Calc!$G$3:$G$22-A4590)*Calc!$I$3:$I$22)</f>
        <v/>
      </c>
      <c r="O4590">
        <f>SUMPRODUCT(Calc!$K$3:$K$22*(Calc!$G$3:$G$22&gt;B4590)*(Calc!$G$3:$G$22-B4590)*Calc!$I$3:$I$22)</f>
        <v/>
      </c>
      <c r="P4590">
        <f>I4590-G4590^2/k_n</f>
        <v/>
      </c>
      <c r="Q4590">
        <f>J4590-H4590^2/k_n</f>
        <v/>
      </c>
      <c r="R4590">
        <f>K4590-G4590*H4590/k_n</f>
        <v/>
      </c>
      <c r="S4590">
        <f>L4590-LTP3!$D$3*G4590/k_n</f>
        <v/>
      </c>
      <c r="T4590">
        <f>M4590-LTP3!$D$3*H4590/k_n</f>
        <v/>
      </c>
      <c r="U4590">
        <f>N4590-G4590*LTP3!$D$4/k_n</f>
        <v/>
      </c>
      <c r="V4590">
        <f>O4590-H4590*LTP3!$D$4/k_n</f>
        <v/>
      </c>
      <c r="W4590">
        <f>((LTP3!$D$5)*((P4590)*(Q4590)-(R4590)*(R4590))-(S4590)*((S4590)*(Q4590)-(R4590)*(T4590))+(T4590)*((S4590)*(R4590)-(P4590)*(T4590)))</f>
        <v/>
      </c>
      <c r="X4590">
        <f>IF(ABS(W4590)&gt;1E-12,((LTP3!$D$6)*((P4590)*(Q4590)-(R4590)*(R4590))-(S4590)*((U4590)*(Q4590)-(R4590)*(V4590))+(T4590)*((U4590)*(R4590)-(P4590)*(V4590)))/W4590,0)</f>
        <v/>
      </c>
      <c r="Y4590">
        <f>IF(ABS(W4590)&gt;1E-12,((LTP3!$D$5)*((U4590)*(Q4590)-(R4590)*(V4590))-(LTP3!$D$6)*((S4590)*(Q4590)-(R4590)*(T4590))+(T4590)*((S4590)*(V4590)-(U4590)*(T4590)))/W4590,0)</f>
        <v/>
      </c>
      <c r="Z4590">
        <f>IF(ABS(W4590)&gt;1E-12,((LTP3!$D$5)*((P4590)*(V4590)-(U4590)*(R4590))-(S4590)*((S4590)*(V4590)-(U4590)*(T4590))+(LTP3!$D$6)*((S4590)*(R4590)-(P4590)*(T4590)))/W4590,0)</f>
        <v/>
      </c>
      <c r="AA4590">
        <f>LTP3!$D$7-X4590*LTP3!$D$6-Y4590*U4590-Z4590*V4590</f>
        <v/>
      </c>
      <c r="AB4590">
        <f>IF(AND(F4590,ABS(W4590)&gt;1E-12,Y4590&gt;0,Z4590&gt;0),AA4590,1E+300)</f>
        <v/>
      </c>
    </row>
    <row r="4591">
      <c r="A4591">
        <f>$I$4-$B$5/10+$B$5*19/100</f>
        <v/>
      </c>
      <c r="B4591">
        <f>$J$4-$B$5/10+$B$5*12/100</f>
        <v/>
      </c>
      <c r="C4591">
        <f>SUMPRODUCT(Calc!$K$3:$K$22*(Calc!$G$3:$G$22&lt;=A4591))</f>
        <v/>
      </c>
      <c r="D4591">
        <f>SUMPRODUCT(Calc!$K$3:$K$22*(Calc!$G$3:$G$22&gt;A4591)*(Calc!$G$3:$G$22&lt;B4591))</f>
        <v/>
      </c>
      <c r="E4591">
        <f>SUMPRODUCT(Calc!$K$3:$K$22*(Calc!$G$3:$G$22&gt;=B4591))</f>
        <v/>
      </c>
      <c r="F4591">
        <f>AND(k_n&gt;=5,B4591&gt;A4591+1E-9,C4591&gt;=2,D4591&gt;=1,E4591&gt;=2)</f>
        <v/>
      </c>
      <c r="G4591">
        <f>SUMPRODUCT(Calc!$K$3:$K$22*(Calc!$G$3:$G$22&gt;A4591)*(Calc!$G$3:$G$22-A4591))</f>
        <v/>
      </c>
      <c r="H4591">
        <f>SUMPRODUCT(Calc!$K$3:$K$22*(Calc!$G$3:$G$22&gt;B4591)*(Calc!$G$3:$G$22-B4591))</f>
        <v/>
      </c>
      <c r="I4591">
        <f>SUMPRODUCT(Calc!$K$3:$K$22*(Calc!$G$3:$G$22&gt;A4591)*(Calc!$G$3:$G$22-A4591)^2)</f>
        <v/>
      </c>
      <c r="J4591">
        <f>SUMPRODUCT(Calc!$K$3:$K$22*(Calc!$G$3:$G$22&gt;B4591)*(Calc!$G$3:$G$22-B4591)^2)</f>
        <v/>
      </c>
      <c r="K4591">
        <f>SUMPRODUCT(Calc!$K$3:$K$22*(Calc!$G$3:$G$22&gt;A4591)*(Calc!$G$3:$G$22-A4591)*(Calc!$G$3:$G$22&gt;B4591)*(Calc!$G$3:$G$22-B4591))</f>
        <v/>
      </c>
      <c r="L4591">
        <f>SUMPRODUCT(Calc!$K$3:$K$22*(Calc!$G$3:$G$22&gt;A4591)*(Calc!$G$3:$G$22-A4591)*Calc!$G$3:$G$22)</f>
        <v/>
      </c>
      <c r="M4591">
        <f>SUMPRODUCT(Calc!$K$3:$K$22*(Calc!$G$3:$G$22&gt;B4591)*(Calc!$G$3:$G$22-B4591)*Calc!$G$3:$G$22)</f>
        <v/>
      </c>
      <c r="N4591">
        <f>SUMPRODUCT(Calc!$K$3:$K$22*(Calc!$G$3:$G$22&gt;A4591)*(Calc!$G$3:$G$22-A4591)*Calc!$I$3:$I$22)</f>
        <v/>
      </c>
      <c r="O4591">
        <f>SUMPRODUCT(Calc!$K$3:$K$22*(Calc!$G$3:$G$22&gt;B4591)*(Calc!$G$3:$G$22-B4591)*Calc!$I$3:$I$22)</f>
        <v/>
      </c>
      <c r="P4591">
        <f>I4591-G4591^2/k_n</f>
        <v/>
      </c>
      <c r="Q4591">
        <f>J4591-H4591^2/k_n</f>
        <v/>
      </c>
      <c r="R4591">
        <f>K4591-G4591*H4591/k_n</f>
        <v/>
      </c>
      <c r="S4591">
        <f>L4591-LTP3!$D$3*G4591/k_n</f>
        <v/>
      </c>
      <c r="T4591">
        <f>M4591-LTP3!$D$3*H4591/k_n</f>
        <v/>
      </c>
      <c r="U4591">
        <f>N4591-G4591*LTP3!$D$4/k_n</f>
        <v/>
      </c>
      <c r="V4591">
        <f>O4591-H4591*LTP3!$D$4/k_n</f>
        <v/>
      </c>
      <c r="W4591">
        <f>((LTP3!$D$5)*((P4591)*(Q4591)-(R4591)*(R4591))-(S4591)*((S4591)*(Q4591)-(R4591)*(T4591))+(T4591)*((S4591)*(R4591)-(P4591)*(T4591)))</f>
        <v/>
      </c>
      <c r="X4591">
        <f>IF(ABS(W4591)&gt;1E-12,((LTP3!$D$6)*((P4591)*(Q4591)-(R4591)*(R4591))-(S4591)*((U4591)*(Q4591)-(R4591)*(V4591))+(T4591)*((U4591)*(R4591)-(P4591)*(V4591)))/W4591,0)</f>
        <v/>
      </c>
      <c r="Y4591">
        <f>IF(ABS(W4591)&gt;1E-12,((LTP3!$D$5)*((U4591)*(Q4591)-(R4591)*(V4591))-(LTP3!$D$6)*((S4591)*(Q4591)-(R4591)*(T4591))+(T4591)*((S4591)*(V4591)-(U4591)*(T4591)))/W4591,0)</f>
        <v/>
      </c>
      <c r="Z4591">
        <f>IF(ABS(W4591)&gt;1E-12,((LTP3!$D$5)*((P4591)*(V4591)-(U4591)*(R4591))-(S4591)*((S4591)*(V4591)-(U4591)*(T4591))+(LTP3!$D$6)*((S4591)*(R4591)-(P4591)*(T4591)))/W4591,0)</f>
        <v/>
      </c>
      <c r="AA4591">
        <f>LTP3!$D$7-X4591*LTP3!$D$6-Y4591*U4591-Z4591*V4591</f>
        <v/>
      </c>
      <c r="AB4591">
        <f>IF(AND(F4591,ABS(W4591)&gt;1E-12,Y4591&gt;0,Z4591&gt;0),AA4591,1E+300)</f>
        <v/>
      </c>
    </row>
    <row r="4592">
      <c r="A4592">
        <f>$I$4-$B$5/10+$B$5*19/100</f>
        <v/>
      </c>
      <c r="B4592">
        <f>$J$4-$B$5/10+$B$5*13/100</f>
        <v/>
      </c>
      <c r="C4592">
        <f>SUMPRODUCT(Calc!$K$3:$K$22*(Calc!$G$3:$G$22&lt;=A4592))</f>
        <v/>
      </c>
      <c r="D4592">
        <f>SUMPRODUCT(Calc!$K$3:$K$22*(Calc!$G$3:$G$22&gt;A4592)*(Calc!$G$3:$G$22&lt;B4592))</f>
        <v/>
      </c>
      <c r="E4592">
        <f>SUMPRODUCT(Calc!$K$3:$K$22*(Calc!$G$3:$G$22&gt;=B4592))</f>
        <v/>
      </c>
      <c r="F4592">
        <f>AND(k_n&gt;=5,B4592&gt;A4592+1E-9,C4592&gt;=2,D4592&gt;=1,E4592&gt;=2)</f>
        <v/>
      </c>
      <c r="G4592">
        <f>SUMPRODUCT(Calc!$K$3:$K$22*(Calc!$G$3:$G$22&gt;A4592)*(Calc!$G$3:$G$22-A4592))</f>
        <v/>
      </c>
      <c r="H4592">
        <f>SUMPRODUCT(Calc!$K$3:$K$22*(Calc!$G$3:$G$22&gt;B4592)*(Calc!$G$3:$G$22-B4592))</f>
        <v/>
      </c>
      <c r="I4592">
        <f>SUMPRODUCT(Calc!$K$3:$K$22*(Calc!$G$3:$G$22&gt;A4592)*(Calc!$G$3:$G$22-A4592)^2)</f>
        <v/>
      </c>
      <c r="J4592">
        <f>SUMPRODUCT(Calc!$K$3:$K$22*(Calc!$G$3:$G$22&gt;B4592)*(Calc!$G$3:$G$22-B4592)^2)</f>
        <v/>
      </c>
      <c r="K4592">
        <f>SUMPRODUCT(Calc!$K$3:$K$22*(Calc!$G$3:$G$22&gt;A4592)*(Calc!$G$3:$G$22-A4592)*(Calc!$G$3:$G$22&gt;B4592)*(Calc!$G$3:$G$22-B4592))</f>
        <v/>
      </c>
      <c r="L4592">
        <f>SUMPRODUCT(Calc!$K$3:$K$22*(Calc!$G$3:$G$22&gt;A4592)*(Calc!$G$3:$G$22-A4592)*Calc!$G$3:$G$22)</f>
        <v/>
      </c>
      <c r="M4592">
        <f>SUMPRODUCT(Calc!$K$3:$K$22*(Calc!$G$3:$G$22&gt;B4592)*(Calc!$G$3:$G$22-B4592)*Calc!$G$3:$G$22)</f>
        <v/>
      </c>
      <c r="N4592">
        <f>SUMPRODUCT(Calc!$K$3:$K$22*(Calc!$G$3:$G$22&gt;A4592)*(Calc!$G$3:$G$22-A4592)*Calc!$I$3:$I$22)</f>
        <v/>
      </c>
      <c r="O4592">
        <f>SUMPRODUCT(Calc!$K$3:$K$22*(Calc!$G$3:$G$22&gt;B4592)*(Calc!$G$3:$G$22-B4592)*Calc!$I$3:$I$22)</f>
        <v/>
      </c>
      <c r="P4592">
        <f>I4592-G4592^2/k_n</f>
        <v/>
      </c>
      <c r="Q4592">
        <f>J4592-H4592^2/k_n</f>
        <v/>
      </c>
      <c r="R4592">
        <f>K4592-G4592*H4592/k_n</f>
        <v/>
      </c>
      <c r="S4592">
        <f>L4592-LTP3!$D$3*G4592/k_n</f>
        <v/>
      </c>
      <c r="T4592">
        <f>M4592-LTP3!$D$3*H4592/k_n</f>
        <v/>
      </c>
      <c r="U4592">
        <f>N4592-G4592*LTP3!$D$4/k_n</f>
        <v/>
      </c>
      <c r="V4592">
        <f>O4592-H4592*LTP3!$D$4/k_n</f>
        <v/>
      </c>
      <c r="W4592">
        <f>((LTP3!$D$5)*((P4592)*(Q4592)-(R4592)*(R4592))-(S4592)*((S4592)*(Q4592)-(R4592)*(T4592))+(T4592)*((S4592)*(R4592)-(P4592)*(T4592)))</f>
        <v/>
      </c>
      <c r="X4592">
        <f>IF(ABS(W4592)&gt;1E-12,((LTP3!$D$6)*((P4592)*(Q4592)-(R4592)*(R4592))-(S4592)*((U4592)*(Q4592)-(R4592)*(V4592))+(T4592)*((U4592)*(R4592)-(P4592)*(V4592)))/W4592,0)</f>
        <v/>
      </c>
      <c r="Y4592">
        <f>IF(ABS(W4592)&gt;1E-12,((LTP3!$D$5)*((U4592)*(Q4592)-(R4592)*(V4592))-(LTP3!$D$6)*((S4592)*(Q4592)-(R4592)*(T4592))+(T4592)*((S4592)*(V4592)-(U4592)*(T4592)))/W4592,0)</f>
        <v/>
      </c>
      <c r="Z4592">
        <f>IF(ABS(W4592)&gt;1E-12,((LTP3!$D$5)*((P4592)*(V4592)-(U4592)*(R4592))-(S4592)*((S4592)*(V4592)-(U4592)*(T4592))+(LTP3!$D$6)*((S4592)*(R4592)-(P4592)*(T4592)))/W4592,0)</f>
        <v/>
      </c>
      <c r="AA4592">
        <f>LTP3!$D$7-X4592*LTP3!$D$6-Y4592*U4592-Z4592*V4592</f>
        <v/>
      </c>
      <c r="AB4592">
        <f>IF(AND(F4592,ABS(W4592)&gt;1E-12,Y4592&gt;0,Z4592&gt;0),AA4592,1E+300)</f>
        <v/>
      </c>
    </row>
    <row r="4593">
      <c r="A4593">
        <f>$I$4-$B$5/10+$B$5*19/100</f>
        <v/>
      </c>
      <c r="B4593">
        <f>$J$4-$B$5/10+$B$5*14/100</f>
        <v/>
      </c>
      <c r="C4593">
        <f>SUMPRODUCT(Calc!$K$3:$K$22*(Calc!$G$3:$G$22&lt;=A4593))</f>
        <v/>
      </c>
      <c r="D4593">
        <f>SUMPRODUCT(Calc!$K$3:$K$22*(Calc!$G$3:$G$22&gt;A4593)*(Calc!$G$3:$G$22&lt;B4593))</f>
        <v/>
      </c>
      <c r="E4593">
        <f>SUMPRODUCT(Calc!$K$3:$K$22*(Calc!$G$3:$G$22&gt;=B4593))</f>
        <v/>
      </c>
      <c r="F4593">
        <f>AND(k_n&gt;=5,B4593&gt;A4593+1E-9,C4593&gt;=2,D4593&gt;=1,E4593&gt;=2)</f>
        <v/>
      </c>
      <c r="G4593">
        <f>SUMPRODUCT(Calc!$K$3:$K$22*(Calc!$G$3:$G$22&gt;A4593)*(Calc!$G$3:$G$22-A4593))</f>
        <v/>
      </c>
      <c r="H4593">
        <f>SUMPRODUCT(Calc!$K$3:$K$22*(Calc!$G$3:$G$22&gt;B4593)*(Calc!$G$3:$G$22-B4593))</f>
        <v/>
      </c>
      <c r="I4593">
        <f>SUMPRODUCT(Calc!$K$3:$K$22*(Calc!$G$3:$G$22&gt;A4593)*(Calc!$G$3:$G$22-A4593)^2)</f>
        <v/>
      </c>
      <c r="J4593">
        <f>SUMPRODUCT(Calc!$K$3:$K$22*(Calc!$G$3:$G$22&gt;B4593)*(Calc!$G$3:$G$22-B4593)^2)</f>
        <v/>
      </c>
      <c r="K4593">
        <f>SUMPRODUCT(Calc!$K$3:$K$22*(Calc!$G$3:$G$22&gt;A4593)*(Calc!$G$3:$G$22-A4593)*(Calc!$G$3:$G$22&gt;B4593)*(Calc!$G$3:$G$22-B4593))</f>
        <v/>
      </c>
      <c r="L4593">
        <f>SUMPRODUCT(Calc!$K$3:$K$22*(Calc!$G$3:$G$22&gt;A4593)*(Calc!$G$3:$G$22-A4593)*Calc!$G$3:$G$22)</f>
        <v/>
      </c>
      <c r="M4593">
        <f>SUMPRODUCT(Calc!$K$3:$K$22*(Calc!$G$3:$G$22&gt;B4593)*(Calc!$G$3:$G$22-B4593)*Calc!$G$3:$G$22)</f>
        <v/>
      </c>
      <c r="N4593">
        <f>SUMPRODUCT(Calc!$K$3:$K$22*(Calc!$G$3:$G$22&gt;A4593)*(Calc!$G$3:$G$22-A4593)*Calc!$I$3:$I$22)</f>
        <v/>
      </c>
      <c r="O4593">
        <f>SUMPRODUCT(Calc!$K$3:$K$22*(Calc!$G$3:$G$22&gt;B4593)*(Calc!$G$3:$G$22-B4593)*Calc!$I$3:$I$22)</f>
        <v/>
      </c>
      <c r="P4593">
        <f>I4593-G4593^2/k_n</f>
        <v/>
      </c>
      <c r="Q4593">
        <f>J4593-H4593^2/k_n</f>
        <v/>
      </c>
      <c r="R4593">
        <f>K4593-G4593*H4593/k_n</f>
        <v/>
      </c>
      <c r="S4593">
        <f>L4593-LTP3!$D$3*G4593/k_n</f>
        <v/>
      </c>
      <c r="T4593">
        <f>M4593-LTP3!$D$3*H4593/k_n</f>
        <v/>
      </c>
      <c r="U4593">
        <f>N4593-G4593*LTP3!$D$4/k_n</f>
        <v/>
      </c>
      <c r="V4593">
        <f>O4593-H4593*LTP3!$D$4/k_n</f>
        <v/>
      </c>
      <c r="W4593">
        <f>((LTP3!$D$5)*((P4593)*(Q4593)-(R4593)*(R4593))-(S4593)*((S4593)*(Q4593)-(R4593)*(T4593))+(T4593)*((S4593)*(R4593)-(P4593)*(T4593)))</f>
        <v/>
      </c>
      <c r="X4593">
        <f>IF(ABS(W4593)&gt;1E-12,((LTP3!$D$6)*((P4593)*(Q4593)-(R4593)*(R4593))-(S4593)*((U4593)*(Q4593)-(R4593)*(V4593))+(T4593)*((U4593)*(R4593)-(P4593)*(V4593)))/W4593,0)</f>
        <v/>
      </c>
      <c r="Y4593">
        <f>IF(ABS(W4593)&gt;1E-12,((LTP3!$D$5)*((U4593)*(Q4593)-(R4593)*(V4593))-(LTP3!$D$6)*((S4593)*(Q4593)-(R4593)*(T4593))+(T4593)*((S4593)*(V4593)-(U4593)*(T4593)))/W4593,0)</f>
        <v/>
      </c>
      <c r="Z4593">
        <f>IF(ABS(W4593)&gt;1E-12,((LTP3!$D$5)*((P4593)*(V4593)-(U4593)*(R4593))-(S4593)*((S4593)*(V4593)-(U4593)*(T4593))+(LTP3!$D$6)*((S4593)*(R4593)-(P4593)*(T4593)))/W4593,0)</f>
        <v/>
      </c>
      <c r="AA4593">
        <f>LTP3!$D$7-X4593*LTP3!$D$6-Y4593*U4593-Z4593*V4593</f>
        <v/>
      </c>
      <c r="AB4593">
        <f>IF(AND(F4593,ABS(W4593)&gt;1E-12,Y4593&gt;0,Z4593&gt;0),AA4593,1E+300)</f>
        <v/>
      </c>
    </row>
    <row r="4594">
      <c r="A4594">
        <f>$I$4-$B$5/10+$B$5*19/100</f>
        <v/>
      </c>
      <c r="B4594">
        <f>$J$4-$B$5/10+$B$5*15/100</f>
        <v/>
      </c>
      <c r="C4594">
        <f>SUMPRODUCT(Calc!$K$3:$K$22*(Calc!$G$3:$G$22&lt;=A4594))</f>
        <v/>
      </c>
      <c r="D4594">
        <f>SUMPRODUCT(Calc!$K$3:$K$22*(Calc!$G$3:$G$22&gt;A4594)*(Calc!$G$3:$G$22&lt;B4594))</f>
        <v/>
      </c>
      <c r="E4594">
        <f>SUMPRODUCT(Calc!$K$3:$K$22*(Calc!$G$3:$G$22&gt;=B4594))</f>
        <v/>
      </c>
      <c r="F4594">
        <f>AND(k_n&gt;=5,B4594&gt;A4594+1E-9,C4594&gt;=2,D4594&gt;=1,E4594&gt;=2)</f>
        <v/>
      </c>
      <c r="G4594">
        <f>SUMPRODUCT(Calc!$K$3:$K$22*(Calc!$G$3:$G$22&gt;A4594)*(Calc!$G$3:$G$22-A4594))</f>
        <v/>
      </c>
      <c r="H4594">
        <f>SUMPRODUCT(Calc!$K$3:$K$22*(Calc!$G$3:$G$22&gt;B4594)*(Calc!$G$3:$G$22-B4594))</f>
        <v/>
      </c>
      <c r="I4594">
        <f>SUMPRODUCT(Calc!$K$3:$K$22*(Calc!$G$3:$G$22&gt;A4594)*(Calc!$G$3:$G$22-A4594)^2)</f>
        <v/>
      </c>
      <c r="J4594">
        <f>SUMPRODUCT(Calc!$K$3:$K$22*(Calc!$G$3:$G$22&gt;B4594)*(Calc!$G$3:$G$22-B4594)^2)</f>
        <v/>
      </c>
      <c r="K4594">
        <f>SUMPRODUCT(Calc!$K$3:$K$22*(Calc!$G$3:$G$22&gt;A4594)*(Calc!$G$3:$G$22-A4594)*(Calc!$G$3:$G$22&gt;B4594)*(Calc!$G$3:$G$22-B4594))</f>
        <v/>
      </c>
      <c r="L4594">
        <f>SUMPRODUCT(Calc!$K$3:$K$22*(Calc!$G$3:$G$22&gt;A4594)*(Calc!$G$3:$G$22-A4594)*Calc!$G$3:$G$22)</f>
        <v/>
      </c>
      <c r="M4594">
        <f>SUMPRODUCT(Calc!$K$3:$K$22*(Calc!$G$3:$G$22&gt;B4594)*(Calc!$G$3:$G$22-B4594)*Calc!$G$3:$G$22)</f>
        <v/>
      </c>
      <c r="N4594">
        <f>SUMPRODUCT(Calc!$K$3:$K$22*(Calc!$G$3:$G$22&gt;A4594)*(Calc!$G$3:$G$22-A4594)*Calc!$I$3:$I$22)</f>
        <v/>
      </c>
      <c r="O4594">
        <f>SUMPRODUCT(Calc!$K$3:$K$22*(Calc!$G$3:$G$22&gt;B4594)*(Calc!$G$3:$G$22-B4594)*Calc!$I$3:$I$22)</f>
        <v/>
      </c>
      <c r="P4594">
        <f>I4594-G4594^2/k_n</f>
        <v/>
      </c>
      <c r="Q4594">
        <f>J4594-H4594^2/k_n</f>
        <v/>
      </c>
      <c r="R4594">
        <f>K4594-G4594*H4594/k_n</f>
        <v/>
      </c>
      <c r="S4594">
        <f>L4594-LTP3!$D$3*G4594/k_n</f>
        <v/>
      </c>
      <c r="T4594">
        <f>M4594-LTP3!$D$3*H4594/k_n</f>
        <v/>
      </c>
      <c r="U4594">
        <f>N4594-G4594*LTP3!$D$4/k_n</f>
        <v/>
      </c>
      <c r="V4594">
        <f>O4594-H4594*LTP3!$D$4/k_n</f>
        <v/>
      </c>
      <c r="W4594">
        <f>((LTP3!$D$5)*((P4594)*(Q4594)-(R4594)*(R4594))-(S4594)*((S4594)*(Q4594)-(R4594)*(T4594))+(T4594)*((S4594)*(R4594)-(P4594)*(T4594)))</f>
        <v/>
      </c>
      <c r="X4594">
        <f>IF(ABS(W4594)&gt;1E-12,((LTP3!$D$6)*((P4594)*(Q4594)-(R4594)*(R4594))-(S4594)*((U4594)*(Q4594)-(R4594)*(V4594))+(T4594)*((U4594)*(R4594)-(P4594)*(V4594)))/W4594,0)</f>
        <v/>
      </c>
      <c r="Y4594">
        <f>IF(ABS(W4594)&gt;1E-12,((LTP3!$D$5)*((U4594)*(Q4594)-(R4594)*(V4594))-(LTP3!$D$6)*((S4594)*(Q4594)-(R4594)*(T4594))+(T4594)*((S4594)*(V4594)-(U4594)*(T4594)))/W4594,0)</f>
        <v/>
      </c>
      <c r="Z4594">
        <f>IF(ABS(W4594)&gt;1E-12,((LTP3!$D$5)*((P4594)*(V4594)-(U4594)*(R4594))-(S4594)*((S4594)*(V4594)-(U4594)*(T4594))+(LTP3!$D$6)*((S4594)*(R4594)-(P4594)*(T4594)))/W4594,0)</f>
        <v/>
      </c>
      <c r="AA4594">
        <f>LTP3!$D$7-X4594*LTP3!$D$6-Y4594*U4594-Z4594*V4594</f>
        <v/>
      </c>
      <c r="AB4594">
        <f>IF(AND(F4594,ABS(W4594)&gt;1E-12,Y4594&gt;0,Z4594&gt;0),AA4594,1E+300)</f>
        <v/>
      </c>
    </row>
    <row r="4595">
      <c r="A4595">
        <f>$I$4-$B$5/10+$B$5*19/100</f>
        <v/>
      </c>
      <c r="B4595">
        <f>$J$4-$B$5/10+$B$5*16/100</f>
        <v/>
      </c>
      <c r="C4595">
        <f>SUMPRODUCT(Calc!$K$3:$K$22*(Calc!$G$3:$G$22&lt;=A4595))</f>
        <v/>
      </c>
      <c r="D4595">
        <f>SUMPRODUCT(Calc!$K$3:$K$22*(Calc!$G$3:$G$22&gt;A4595)*(Calc!$G$3:$G$22&lt;B4595))</f>
        <v/>
      </c>
      <c r="E4595">
        <f>SUMPRODUCT(Calc!$K$3:$K$22*(Calc!$G$3:$G$22&gt;=B4595))</f>
        <v/>
      </c>
      <c r="F4595">
        <f>AND(k_n&gt;=5,B4595&gt;A4595+1E-9,C4595&gt;=2,D4595&gt;=1,E4595&gt;=2)</f>
        <v/>
      </c>
      <c r="G4595">
        <f>SUMPRODUCT(Calc!$K$3:$K$22*(Calc!$G$3:$G$22&gt;A4595)*(Calc!$G$3:$G$22-A4595))</f>
        <v/>
      </c>
      <c r="H4595">
        <f>SUMPRODUCT(Calc!$K$3:$K$22*(Calc!$G$3:$G$22&gt;B4595)*(Calc!$G$3:$G$22-B4595))</f>
        <v/>
      </c>
      <c r="I4595">
        <f>SUMPRODUCT(Calc!$K$3:$K$22*(Calc!$G$3:$G$22&gt;A4595)*(Calc!$G$3:$G$22-A4595)^2)</f>
        <v/>
      </c>
      <c r="J4595">
        <f>SUMPRODUCT(Calc!$K$3:$K$22*(Calc!$G$3:$G$22&gt;B4595)*(Calc!$G$3:$G$22-B4595)^2)</f>
        <v/>
      </c>
      <c r="K4595">
        <f>SUMPRODUCT(Calc!$K$3:$K$22*(Calc!$G$3:$G$22&gt;A4595)*(Calc!$G$3:$G$22-A4595)*(Calc!$G$3:$G$22&gt;B4595)*(Calc!$G$3:$G$22-B4595))</f>
        <v/>
      </c>
      <c r="L4595">
        <f>SUMPRODUCT(Calc!$K$3:$K$22*(Calc!$G$3:$G$22&gt;A4595)*(Calc!$G$3:$G$22-A4595)*Calc!$G$3:$G$22)</f>
        <v/>
      </c>
      <c r="M4595">
        <f>SUMPRODUCT(Calc!$K$3:$K$22*(Calc!$G$3:$G$22&gt;B4595)*(Calc!$G$3:$G$22-B4595)*Calc!$G$3:$G$22)</f>
        <v/>
      </c>
      <c r="N4595">
        <f>SUMPRODUCT(Calc!$K$3:$K$22*(Calc!$G$3:$G$22&gt;A4595)*(Calc!$G$3:$G$22-A4595)*Calc!$I$3:$I$22)</f>
        <v/>
      </c>
      <c r="O4595">
        <f>SUMPRODUCT(Calc!$K$3:$K$22*(Calc!$G$3:$G$22&gt;B4595)*(Calc!$G$3:$G$22-B4595)*Calc!$I$3:$I$22)</f>
        <v/>
      </c>
      <c r="P4595">
        <f>I4595-G4595^2/k_n</f>
        <v/>
      </c>
      <c r="Q4595">
        <f>J4595-H4595^2/k_n</f>
        <v/>
      </c>
      <c r="R4595">
        <f>K4595-G4595*H4595/k_n</f>
        <v/>
      </c>
      <c r="S4595">
        <f>L4595-LTP3!$D$3*G4595/k_n</f>
        <v/>
      </c>
      <c r="T4595">
        <f>M4595-LTP3!$D$3*H4595/k_n</f>
        <v/>
      </c>
      <c r="U4595">
        <f>N4595-G4595*LTP3!$D$4/k_n</f>
        <v/>
      </c>
      <c r="V4595">
        <f>O4595-H4595*LTP3!$D$4/k_n</f>
        <v/>
      </c>
      <c r="W4595">
        <f>((LTP3!$D$5)*((P4595)*(Q4595)-(R4595)*(R4595))-(S4595)*((S4595)*(Q4595)-(R4595)*(T4595))+(T4595)*((S4595)*(R4595)-(P4595)*(T4595)))</f>
        <v/>
      </c>
      <c r="X4595">
        <f>IF(ABS(W4595)&gt;1E-12,((LTP3!$D$6)*((P4595)*(Q4595)-(R4595)*(R4595))-(S4595)*((U4595)*(Q4595)-(R4595)*(V4595))+(T4595)*((U4595)*(R4595)-(P4595)*(V4595)))/W4595,0)</f>
        <v/>
      </c>
      <c r="Y4595">
        <f>IF(ABS(W4595)&gt;1E-12,((LTP3!$D$5)*((U4595)*(Q4595)-(R4595)*(V4595))-(LTP3!$D$6)*((S4595)*(Q4595)-(R4595)*(T4595))+(T4595)*((S4595)*(V4595)-(U4595)*(T4595)))/W4595,0)</f>
        <v/>
      </c>
      <c r="Z4595">
        <f>IF(ABS(W4595)&gt;1E-12,((LTP3!$D$5)*((P4595)*(V4595)-(U4595)*(R4595))-(S4595)*((S4595)*(V4595)-(U4595)*(T4595))+(LTP3!$D$6)*((S4595)*(R4595)-(P4595)*(T4595)))/W4595,0)</f>
        <v/>
      </c>
      <c r="AA4595">
        <f>LTP3!$D$7-X4595*LTP3!$D$6-Y4595*U4595-Z4595*V4595</f>
        <v/>
      </c>
      <c r="AB4595">
        <f>IF(AND(F4595,ABS(W4595)&gt;1E-12,Y4595&gt;0,Z4595&gt;0),AA4595,1E+300)</f>
        <v/>
      </c>
    </row>
    <row r="4596">
      <c r="A4596">
        <f>$I$4-$B$5/10+$B$5*19/100</f>
        <v/>
      </c>
      <c r="B4596">
        <f>$J$4-$B$5/10+$B$5*17/100</f>
        <v/>
      </c>
      <c r="C4596">
        <f>SUMPRODUCT(Calc!$K$3:$K$22*(Calc!$G$3:$G$22&lt;=A4596))</f>
        <v/>
      </c>
      <c r="D4596">
        <f>SUMPRODUCT(Calc!$K$3:$K$22*(Calc!$G$3:$G$22&gt;A4596)*(Calc!$G$3:$G$22&lt;B4596))</f>
        <v/>
      </c>
      <c r="E4596">
        <f>SUMPRODUCT(Calc!$K$3:$K$22*(Calc!$G$3:$G$22&gt;=B4596))</f>
        <v/>
      </c>
      <c r="F4596">
        <f>AND(k_n&gt;=5,B4596&gt;A4596+1E-9,C4596&gt;=2,D4596&gt;=1,E4596&gt;=2)</f>
        <v/>
      </c>
      <c r="G4596">
        <f>SUMPRODUCT(Calc!$K$3:$K$22*(Calc!$G$3:$G$22&gt;A4596)*(Calc!$G$3:$G$22-A4596))</f>
        <v/>
      </c>
      <c r="H4596">
        <f>SUMPRODUCT(Calc!$K$3:$K$22*(Calc!$G$3:$G$22&gt;B4596)*(Calc!$G$3:$G$22-B4596))</f>
        <v/>
      </c>
      <c r="I4596">
        <f>SUMPRODUCT(Calc!$K$3:$K$22*(Calc!$G$3:$G$22&gt;A4596)*(Calc!$G$3:$G$22-A4596)^2)</f>
        <v/>
      </c>
      <c r="J4596">
        <f>SUMPRODUCT(Calc!$K$3:$K$22*(Calc!$G$3:$G$22&gt;B4596)*(Calc!$G$3:$G$22-B4596)^2)</f>
        <v/>
      </c>
      <c r="K4596">
        <f>SUMPRODUCT(Calc!$K$3:$K$22*(Calc!$G$3:$G$22&gt;A4596)*(Calc!$G$3:$G$22-A4596)*(Calc!$G$3:$G$22&gt;B4596)*(Calc!$G$3:$G$22-B4596))</f>
        <v/>
      </c>
      <c r="L4596">
        <f>SUMPRODUCT(Calc!$K$3:$K$22*(Calc!$G$3:$G$22&gt;A4596)*(Calc!$G$3:$G$22-A4596)*Calc!$G$3:$G$22)</f>
        <v/>
      </c>
      <c r="M4596">
        <f>SUMPRODUCT(Calc!$K$3:$K$22*(Calc!$G$3:$G$22&gt;B4596)*(Calc!$G$3:$G$22-B4596)*Calc!$G$3:$G$22)</f>
        <v/>
      </c>
      <c r="N4596">
        <f>SUMPRODUCT(Calc!$K$3:$K$22*(Calc!$G$3:$G$22&gt;A4596)*(Calc!$G$3:$G$22-A4596)*Calc!$I$3:$I$22)</f>
        <v/>
      </c>
      <c r="O4596">
        <f>SUMPRODUCT(Calc!$K$3:$K$22*(Calc!$G$3:$G$22&gt;B4596)*(Calc!$G$3:$G$22-B4596)*Calc!$I$3:$I$22)</f>
        <v/>
      </c>
      <c r="P4596">
        <f>I4596-G4596^2/k_n</f>
        <v/>
      </c>
      <c r="Q4596">
        <f>J4596-H4596^2/k_n</f>
        <v/>
      </c>
      <c r="R4596">
        <f>K4596-G4596*H4596/k_n</f>
        <v/>
      </c>
      <c r="S4596">
        <f>L4596-LTP3!$D$3*G4596/k_n</f>
        <v/>
      </c>
      <c r="T4596">
        <f>M4596-LTP3!$D$3*H4596/k_n</f>
        <v/>
      </c>
      <c r="U4596">
        <f>N4596-G4596*LTP3!$D$4/k_n</f>
        <v/>
      </c>
      <c r="V4596">
        <f>O4596-H4596*LTP3!$D$4/k_n</f>
        <v/>
      </c>
      <c r="W4596">
        <f>((LTP3!$D$5)*((P4596)*(Q4596)-(R4596)*(R4596))-(S4596)*((S4596)*(Q4596)-(R4596)*(T4596))+(T4596)*((S4596)*(R4596)-(P4596)*(T4596)))</f>
        <v/>
      </c>
      <c r="X4596">
        <f>IF(ABS(W4596)&gt;1E-12,((LTP3!$D$6)*((P4596)*(Q4596)-(R4596)*(R4596))-(S4596)*((U4596)*(Q4596)-(R4596)*(V4596))+(T4596)*((U4596)*(R4596)-(P4596)*(V4596)))/W4596,0)</f>
        <v/>
      </c>
      <c r="Y4596">
        <f>IF(ABS(W4596)&gt;1E-12,((LTP3!$D$5)*((U4596)*(Q4596)-(R4596)*(V4596))-(LTP3!$D$6)*((S4596)*(Q4596)-(R4596)*(T4596))+(T4596)*((S4596)*(V4596)-(U4596)*(T4596)))/W4596,0)</f>
        <v/>
      </c>
      <c r="Z4596">
        <f>IF(ABS(W4596)&gt;1E-12,((LTP3!$D$5)*((P4596)*(V4596)-(U4596)*(R4596))-(S4596)*((S4596)*(V4596)-(U4596)*(T4596))+(LTP3!$D$6)*((S4596)*(R4596)-(P4596)*(T4596)))/W4596,0)</f>
        <v/>
      </c>
      <c r="AA4596">
        <f>LTP3!$D$7-X4596*LTP3!$D$6-Y4596*U4596-Z4596*V4596</f>
        <v/>
      </c>
      <c r="AB4596">
        <f>IF(AND(F4596,ABS(W4596)&gt;1E-12,Y4596&gt;0,Z4596&gt;0),AA4596,1E+300)</f>
        <v/>
      </c>
    </row>
    <row r="4597">
      <c r="A4597">
        <f>$I$4-$B$5/10+$B$5*19/100</f>
        <v/>
      </c>
      <c r="B4597">
        <f>$J$4-$B$5/10+$B$5*18/100</f>
        <v/>
      </c>
      <c r="C4597">
        <f>SUMPRODUCT(Calc!$K$3:$K$22*(Calc!$G$3:$G$22&lt;=A4597))</f>
        <v/>
      </c>
      <c r="D4597">
        <f>SUMPRODUCT(Calc!$K$3:$K$22*(Calc!$G$3:$G$22&gt;A4597)*(Calc!$G$3:$G$22&lt;B4597))</f>
        <v/>
      </c>
      <c r="E4597">
        <f>SUMPRODUCT(Calc!$K$3:$K$22*(Calc!$G$3:$G$22&gt;=B4597))</f>
        <v/>
      </c>
      <c r="F4597">
        <f>AND(k_n&gt;=5,B4597&gt;A4597+1E-9,C4597&gt;=2,D4597&gt;=1,E4597&gt;=2)</f>
        <v/>
      </c>
      <c r="G4597">
        <f>SUMPRODUCT(Calc!$K$3:$K$22*(Calc!$G$3:$G$22&gt;A4597)*(Calc!$G$3:$G$22-A4597))</f>
        <v/>
      </c>
      <c r="H4597">
        <f>SUMPRODUCT(Calc!$K$3:$K$22*(Calc!$G$3:$G$22&gt;B4597)*(Calc!$G$3:$G$22-B4597))</f>
        <v/>
      </c>
      <c r="I4597">
        <f>SUMPRODUCT(Calc!$K$3:$K$22*(Calc!$G$3:$G$22&gt;A4597)*(Calc!$G$3:$G$22-A4597)^2)</f>
        <v/>
      </c>
      <c r="J4597">
        <f>SUMPRODUCT(Calc!$K$3:$K$22*(Calc!$G$3:$G$22&gt;B4597)*(Calc!$G$3:$G$22-B4597)^2)</f>
        <v/>
      </c>
      <c r="K4597">
        <f>SUMPRODUCT(Calc!$K$3:$K$22*(Calc!$G$3:$G$22&gt;A4597)*(Calc!$G$3:$G$22-A4597)*(Calc!$G$3:$G$22&gt;B4597)*(Calc!$G$3:$G$22-B4597))</f>
        <v/>
      </c>
      <c r="L4597">
        <f>SUMPRODUCT(Calc!$K$3:$K$22*(Calc!$G$3:$G$22&gt;A4597)*(Calc!$G$3:$G$22-A4597)*Calc!$G$3:$G$22)</f>
        <v/>
      </c>
      <c r="M4597">
        <f>SUMPRODUCT(Calc!$K$3:$K$22*(Calc!$G$3:$G$22&gt;B4597)*(Calc!$G$3:$G$22-B4597)*Calc!$G$3:$G$22)</f>
        <v/>
      </c>
      <c r="N4597">
        <f>SUMPRODUCT(Calc!$K$3:$K$22*(Calc!$G$3:$G$22&gt;A4597)*(Calc!$G$3:$G$22-A4597)*Calc!$I$3:$I$22)</f>
        <v/>
      </c>
      <c r="O4597">
        <f>SUMPRODUCT(Calc!$K$3:$K$22*(Calc!$G$3:$G$22&gt;B4597)*(Calc!$G$3:$G$22-B4597)*Calc!$I$3:$I$22)</f>
        <v/>
      </c>
      <c r="P4597">
        <f>I4597-G4597^2/k_n</f>
        <v/>
      </c>
      <c r="Q4597">
        <f>J4597-H4597^2/k_n</f>
        <v/>
      </c>
      <c r="R4597">
        <f>K4597-G4597*H4597/k_n</f>
        <v/>
      </c>
      <c r="S4597">
        <f>L4597-LTP3!$D$3*G4597/k_n</f>
        <v/>
      </c>
      <c r="T4597">
        <f>M4597-LTP3!$D$3*H4597/k_n</f>
        <v/>
      </c>
      <c r="U4597">
        <f>N4597-G4597*LTP3!$D$4/k_n</f>
        <v/>
      </c>
      <c r="V4597">
        <f>O4597-H4597*LTP3!$D$4/k_n</f>
        <v/>
      </c>
      <c r="W4597">
        <f>((LTP3!$D$5)*((P4597)*(Q4597)-(R4597)*(R4597))-(S4597)*((S4597)*(Q4597)-(R4597)*(T4597))+(T4597)*((S4597)*(R4597)-(P4597)*(T4597)))</f>
        <v/>
      </c>
      <c r="X4597">
        <f>IF(ABS(W4597)&gt;1E-12,((LTP3!$D$6)*((P4597)*(Q4597)-(R4597)*(R4597))-(S4597)*((U4597)*(Q4597)-(R4597)*(V4597))+(T4597)*((U4597)*(R4597)-(P4597)*(V4597)))/W4597,0)</f>
        <v/>
      </c>
      <c r="Y4597">
        <f>IF(ABS(W4597)&gt;1E-12,((LTP3!$D$5)*((U4597)*(Q4597)-(R4597)*(V4597))-(LTP3!$D$6)*((S4597)*(Q4597)-(R4597)*(T4597))+(T4597)*((S4597)*(V4597)-(U4597)*(T4597)))/W4597,0)</f>
        <v/>
      </c>
      <c r="Z4597">
        <f>IF(ABS(W4597)&gt;1E-12,((LTP3!$D$5)*((P4597)*(V4597)-(U4597)*(R4597))-(S4597)*((S4597)*(V4597)-(U4597)*(T4597))+(LTP3!$D$6)*((S4597)*(R4597)-(P4597)*(T4597)))/W4597,0)</f>
        <v/>
      </c>
      <c r="AA4597">
        <f>LTP3!$D$7-X4597*LTP3!$D$6-Y4597*U4597-Z4597*V4597</f>
        <v/>
      </c>
      <c r="AB4597">
        <f>IF(AND(F4597,ABS(W4597)&gt;1E-12,Y4597&gt;0,Z4597&gt;0),AA4597,1E+300)</f>
        <v/>
      </c>
    </row>
    <row r="4598">
      <c r="A4598">
        <f>$I$4-$B$5/10+$B$5*19/100</f>
        <v/>
      </c>
      <c r="B4598">
        <f>$J$4-$B$5/10+$B$5*19/100</f>
        <v/>
      </c>
      <c r="C4598">
        <f>SUMPRODUCT(Calc!$K$3:$K$22*(Calc!$G$3:$G$22&lt;=A4598))</f>
        <v/>
      </c>
      <c r="D4598">
        <f>SUMPRODUCT(Calc!$K$3:$K$22*(Calc!$G$3:$G$22&gt;A4598)*(Calc!$G$3:$G$22&lt;B4598))</f>
        <v/>
      </c>
      <c r="E4598">
        <f>SUMPRODUCT(Calc!$K$3:$K$22*(Calc!$G$3:$G$22&gt;=B4598))</f>
        <v/>
      </c>
      <c r="F4598">
        <f>AND(k_n&gt;=5,B4598&gt;A4598+1E-9,C4598&gt;=2,D4598&gt;=1,E4598&gt;=2)</f>
        <v/>
      </c>
      <c r="G4598">
        <f>SUMPRODUCT(Calc!$K$3:$K$22*(Calc!$G$3:$G$22&gt;A4598)*(Calc!$G$3:$G$22-A4598))</f>
        <v/>
      </c>
      <c r="H4598">
        <f>SUMPRODUCT(Calc!$K$3:$K$22*(Calc!$G$3:$G$22&gt;B4598)*(Calc!$G$3:$G$22-B4598))</f>
        <v/>
      </c>
      <c r="I4598">
        <f>SUMPRODUCT(Calc!$K$3:$K$22*(Calc!$G$3:$G$22&gt;A4598)*(Calc!$G$3:$G$22-A4598)^2)</f>
        <v/>
      </c>
      <c r="J4598">
        <f>SUMPRODUCT(Calc!$K$3:$K$22*(Calc!$G$3:$G$22&gt;B4598)*(Calc!$G$3:$G$22-B4598)^2)</f>
        <v/>
      </c>
      <c r="K4598">
        <f>SUMPRODUCT(Calc!$K$3:$K$22*(Calc!$G$3:$G$22&gt;A4598)*(Calc!$G$3:$G$22-A4598)*(Calc!$G$3:$G$22&gt;B4598)*(Calc!$G$3:$G$22-B4598))</f>
        <v/>
      </c>
      <c r="L4598">
        <f>SUMPRODUCT(Calc!$K$3:$K$22*(Calc!$G$3:$G$22&gt;A4598)*(Calc!$G$3:$G$22-A4598)*Calc!$G$3:$G$22)</f>
        <v/>
      </c>
      <c r="M4598">
        <f>SUMPRODUCT(Calc!$K$3:$K$22*(Calc!$G$3:$G$22&gt;B4598)*(Calc!$G$3:$G$22-B4598)*Calc!$G$3:$G$22)</f>
        <v/>
      </c>
      <c r="N4598">
        <f>SUMPRODUCT(Calc!$K$3:$K$22*(Calc!$G$3:$G$22&gt;A4598)*(Calc!$G$3:$G$22-A4598)*Calc!$I$3:$I$22)</f>
        <v/>
      </c>
      <c r="O4598">
        <f>SUMPRODUCT(Calc!$K$3:$K$22*(Calc!$G$3:$G$22&gt;B4598)*(Calc!$G$3:$G$22-B4598)*Calc!$I$3:$I$22)</f>
        <v/>
      </c>
      <c r="P4598">
        <f>I4598-G4598^2/k_n</f>
        <v/>
      </c>
      <c r="Q4598">
        <f>J4598-H4598^2/k_n</f>
        <v/>
      </c>
      <c r="R4598">
        <f>K4598-G4598*H4598/k_n</f>
        <v/>
      </c>
      <c r="S4598">
        <f>L4598-LTP3!$D$3*G4598/k_n</f>
        <v/>
      </c>
      <c r="T4598">
        <f>M4598-LTP3!$D$3*H4598/k_n</f>
        <v/>
      </c>
      <c r="U4598">
        <f>N4598-G4598*LTP3!$D$4/k_n</f>
        <v/>
      </c>
      <c r="V4598">
        <f>O4598-H4598*LTP3!$D$4/k_n</f>
        <v/>
      </c>
      <c r="W4598">
        <f>((LTP3!$D$5)*((P4598)*(Q4598)-(R4598)*(R4598))-(S4598)*((S4598)*(Q4598)-(R4598)*(T4598))+(T4598)*((S4598)*(R4598)-(P4598)*(T4598)))</f>
        <v/>
      </c>
      <c r="X4598">
        <f>IF(ABS(W4598)&gt;1E-12,((LTP3!$D$6)*((P4598)*(Q4598)-(R4598)*(R4598))-(S4598)*((U4598)*(Q4598)-(R4598)*(V4598))+(T4598)*((U4598)*(R4598)-(P4598)*(V4598)))/W4598,0)</f>
        <v/>
      </c>
      <c r="Y4598">
        <f>IF(ABS(W4598)&gt;1E-12,((LTP3!$D$5)*((U4598)*(Q4598)-(R4598)*(V4598))-(LTP3!$D$6)*((S4598)*(Q4598)-(R4598)*(T4598))+(T4598)*((S4598)*(V4598)-(U4598)*(T4598)))/W4598,0)</f>
        <v/>
      </c>
      <c r="Z4598">
        <f>IF(ABS(W4598)&gt;1E-12,((LTP3!$D$5)*((P4598)*(V4598)-(U4598)*(R4598))-(S4598)*((S4598)*(V4598)-(U4598)*(T4598))+(LTP3!$D$6)*((S4598)*(R4598)-(P4598)*(T4598)))/W4598,0)</f>
        <v/>
      </c>
      <c r="AA4598">
        <f>LTP3!$D$7-X4598*LTP3!$D$6-Y4598*U4598-Z4598*V4598</f>
        <v/>
      </c>
      <c r="AB4598">
        <f>IF(AND(F4598,ABS(W4598)&gt;1E-12,Y4598&gt;0,Z4598&gt;0),AA4598,1E+300)</f>
        <v/>
      </c>
    </row>
    <row r="4599">
      <c r="A4599">
        <f>$I$4-$B$5/10+$B$5*19/100</f>
        <v/>
      </c>
      <c r="B4599">
        <f>$J$4-$B$5/10+$B$5*20/100</f>
        <v/>
      </c>
      <c r="C4599">
        <f>SUMPRODUCT(Calc!$K$3:$K$22*(Calc!$G$3:$G$22&lt;=A4599))</f>
        <v/>
      </c>
      <c r="D4599">
        <f>SUMPRODUCT(Calc!$K$3:$K$22*(Calc!$G$3:$G$22&gt;A4599)*(Calc!$G$3:$G$22&lt;B4599))</f>
        <v/>
      </c>
      <c r="E4599">
        <f>SUMPRODUCT(Calc!$K$3:$K$22*(Calc!$G$3:$G$22&gt;=B4599))</f>
        <v/>
      </c>
      <c r="F4599">
        <f>AND(k_n&gt;=5,B4599&gt;A4599+1E-9,C4599&gt;=2,D4599&gt;=1,E4599&gt;=2)</f>
        <v/>
      </c>
      <c r="G4599">
        <f>SUMPRODUCT(Calc!$K$3:$K$22*(Calc!$G$3:$G$22&gt;A4599)*(Calc!$G$3:$G$22-A4599))</f>
        <v/>
      </c>
      <c r="H4599">
        <f>SUMPRODUCT(Calc!$K$3:$K$22*(Calc!$G$3:$G$22&gt;B4599)*(Calc!$G$3:$G$22-B4599))</f>
        <v/>
      </c>
      <c r="I4599">
        <f>SUMPRODUCT(Calc!$K$3:$K$22*(Calc!$G$3:$G$22&gt;A4599)*(Calc!$G$3:$G$22-A4599)^2)</f>
        <v/>
      </c>
      <c r="J4599">
        <f>SUMPRODUCT(Calc!$K$3:$K$22*(Calc!$G$3:$G$22&gt;B4599)*(Calc!$G$3:$G$22-B4599)^2)</f>
        <v/>
      </c>
      <c r="K4599">
        <f>SUMPRODUCT(Calc!$K$3:$K$22*(Calc!$G$3:$G$22&gt;A4599)*(Calc!$G$3:$G$22-A4599)*(Calc!$G$3:$G$22&gt;B4599)*(Calc!$G$3:$G$22-B4599))</f>
        <v/>
      </c>
      <c r="L4599">
        <f>SUMPRODUCT(Calc!$K$3:$K$22*(Calc!$G$3:$G$22&gt;A4599)*(Calc!$G$3:$G$22-A4599)*Calc!$G$3:$G$22)</f>
        <v/>
      </c>
      <c r="M4599">
        <f>SUMPRODUCT(Calc!$K$3:$K$22*(Calc!$G$3:$G$22&gt;B4599)*(Calc!$G$3:$G$22-B4599)*Calc!$G$3:$G$22)</f>
        <v/>
      </c>
      <c r="N4599">
        <f>SUMPRODUCT(Calc!$K$3:$K$22*(Calc!$G$3:$G$22&gt;A4599)*(Calc!$G$3:$G$22-A4599)*Calc!$I$3:$I$22)</f>
        <v/>
      </c>
      <c r="O4599">
        <f>SUMPRODUCT(Calc!$K$3:$K$22*(Calc!$G$3:$G$22&gt;B4599)*(Calc!$G$3:$G$22-B4599)*Calc!$I$3:$I$22)</f>
        <v/>
      </c>
      <c r="P4599">
        <f>I4599-G4599^2/k_n</f>
        <v/>
      </c>
      <c r="Q4599">
        <f>J4599-H4599^2/k_n</f>
        <v/>
      </c>
      <c r="R4599">
        <f>K4599-G4599*H4599/k_n</f>
        <v/>
      </c>
      <c r="S4599">
        <f>L4599-LTP3!$D$3*G4599/k_n</f>
        <v/>
      </c>
      <c r="T4599">
        <f>M4599-LTP3!$D$3*H4599/k_n</f>
        <v/>
      </c>
      <c r="U4599">
        <f>N4599-G4599*LTP3!$D$4/k_n</f>
        <v/>
      </c>
      <c r="V4599">
        <f>O4599-H4599*LTP3!$D$4/k_n</f>
        <v/>
      </c>
      <c r="W4599">
        <f>((LTP3!$D$5)*((P4599)*(Q4599)-(R4599)*(R4599))-(S4599)*((S4599)*(Q4599)-(R4599)*(T4599))+(T4599)*((S4599)*(R4599)-(P4599)*(T4599)))</f>
        <v/>
      </c>
      <c r="X4599">
        <f>IF(ABS(W4599)&gt;1E-12,((LTP3!$D$6)*((P4599)*(Q4599)-(R4599)*(R4599))-(S4599)*((U4599)*(Q4599)-(R4599)*(V4599))+(T4599)*((U4599)*(R4599)-(P4599)*(V4599)))/W4599,0)</f>
        <v/>
      </c>
      <c r="Y4599">
        <f>IF(ABS(W4599)&gt;1E-12,((LTP3!$D$5)*((U4599)*(Q4599)-(R4599)*(V4599))-(LTP3!$D$6)*((S4599)*(Q4599)-(R4599)*(T4599))+(T4599)*((S4599)*(V4599)-(U4599)*(T4599)))/W4599,0)</f>
        <v/>
      </c>
      <c r="Z4599">
        <f>IF(ABS(W4599)&gt;1E-12,((LTP3!$D$5)*((P4599)*(V4599)-(U4599)*(R4599))-(S4599)*((S4599)*(V4599)-(U4599)*(T4599))+(LTP3!$D$6)*((S4599)*(R4599)-(P4599)*(T4599)))/W4599,0)</f>
        <v/>
      </c>
      <c r="AA4599">
        <f>LTP3!$D$7-X4599*LTP3!$D$6-Y4599*U4599-Z4599*V4599</f>
        <v/>
      </c>
      <c r="AB4599">
        <f>IF(AND(F4599,ABS(W4599)&gt;1E-12,Y4599&gt;0,Z4599&gt;0),AA4599,1E+300)</f>
        <v/>
      </c>
    </row>
    <row r="4600">
      <c r="A4600">
        <f>$I$4-$B$5/10+$B$5*20/100</f>
        <v/>
      </c>
      <c r="B4600">
        <f>$J$4-$B$5/10+$B$5*0/100</f>
        <v/>
      </c>
      <c r="C4600">
        <f>SUMPRODUCT(Calc!$K$3:$K$22*(Calc!$G$3:$G$22&lt;=A4600))</f>
        <v/>
      </c>
      <c r="D4600">
        <f>SUMPRODUCT(Calc!$K$3:$K$22*(Calc!$G$3:$G$22&gt;A4600)*(Calc!$G$3:$G$22&lt;B4600))</f>
        <v/>
      </c>
      <c r="E4600">
        <f>SUMPRODUCT(Calc!$K$3:$K$22*(Calc!$G$3:$G$22&gt;=B4600))</f>
        <v/>
      </c>
      <c r="F4600">
        <f>AND(k_n&gt;=5,B4600&gt;A4600+1E-9,C4600&gt;=2,D4600&gt;=1,E4600&gt;=2)</f>
        <v/>
      </c>
      <c r="G4600">
        <f>SUMPRODUCT(Calc!$K$3:$K$22*(Calc!$G$3:$G$22&gt;A4600)*(Calc!$G$3:$G$22-A4600))</f>
        <v/>
      </c>
      <c r="H4600">
        <f>SUMPRODUCT(Calc!$K$3:$K$22*(Calc!$G$3:$G$22&gt;B4600)*(Calc!$G$3:$G$22-B4600))</f>
        <v/>
      </c>
      <c r="I4600">
        <f>SUMPRODUCT(Calc!$K$3:$K$22*(Calc!$G$3:$G$22&gt;A4600)*(Calc!$G$3:$G$22-A4600)^2)</f>
        <v/>
      </c>
      <c r="J4600">
        <f>SUMPRODUCT(Calc!$K$3:$K$22*(Calc!$G$3:$G$22&gt;B4600)*(Calc!$G$3:$G$22-B4600)^2)</f>
        <v/>
      </c>
      <c r="K4600">
        <f>SUMPRODUCT(Calc!$K$3:$K$22*(Calc!$G$3:$G$22&gt;A4600)*(Calc!$G$3:$G$22-A4600)*(Calc!$G$3:$G$22&gt;B4600)*(Calc!$G$3:$G$22-B4600))</f>
        <v/>
      </c>
      <c r="L4600">
        <f>SUMPRODUCT(Calc!$K$3:$K$22*(Calc!$G$3:$G$22&gt;A4600)*(Calc!$G$3:$G$22-A4600)*Calc!$G$3:$G$22)</f>
        <v/>
      </c>
      <c r="M4600">
        <f>SUMPRODUCT(Calc!$K$3:$K$22*(Calc!$G$3:$G$22&gt;B4600)*(Calc!$G$3:$G$22-B4600)*Calc!$G$3:$G$22)</f>
        <v/>
      </c>
      <c r="N4600">
        <f>SUMPRODUCT(Calc!$K$3:$K$22*(Calc!$G$3:$G$22&gt;A4600)*(Calc!$G$3:$G$22-A4600)*Calc!$I$3:$I$22)</f>
        <v/>
      </c>
      <c r="O4600">
        <f>SUMPRODUCT(Calc!$K$3:$K$22*(Calc!$G$3:$G$22&gt;B4600)*(Calc!$G$3:$G$22-B4600)*Calc!$I$3:$I$22)</f>
        <v/>
      </c>
      <c r="P4600">
        <f>I4600-G4600^2/k_n</f>
        <v/>
      </c>
      <c r="Q4600">
        <f>J4600-H4600^2/k_n</f>
        <v/>
      </c>
      <c r="R4600">
        <f>K4600-G4600*H4600/k_n</f>
        <v/>
      </c>
      <c r="S4600">
        <f>L4600-LTP3!$D$3*G4600/k_n</f>
        <v/>
      </c>
      <c r="T4600">
        <f>M4600-LTP3!$D$3*H4600/k_n</f>
        <v/>
      </c>
      <c r="U4600">
        <f>N4600-G4600*LTP3!$D$4/k_n</f>
        <v/>
      </c>
      <c r="V4600">
        <f>O4600-H4600*LTP3!$D$4/k_n</f>
        <v/>
      </c>
      <c r="W4600">
        <f>((LTP3!$D$5)*((P4600)*(Q4600)-(R4600)*(R4600))-(S4600)*((S4600)*(Q4600)-(R4600)*(T4600))+(T4600)*((S4600)*(R4600)-(P4600)*(T4600)))</f>
        <v/>
      </c>
      <c r="X4600">
        <f>IF(ABS(W4600)&gt;1E-12,((LTP3!$D$6)*((P4600)*(Q4600)-(R4600)*(R4600))-(S4600)*((U4600)*(Q4600)-(R4600)*(V4600))+(T4600)*((U4600)*(R4600)-(P4600)*(V4600)))/W4600,0)</f>
        <v/>
      </c>
      <c r="Y4600">
        <f>IF(ABS(W4600)&gt;1E-12,((LTP3!$D$5)*((U4600)*(Q4600)-(R4600)*(V4600))-(LTP3!$D$6)*((S4600)*(Q4600)-(R4600)*(T4600))+(T4600)*((S4600)*(V4600)-(U4600)*(T4600)))/W4600,0)</f>
        <v/>
      </c>
      <c r="Z4600">
        <f>IF(ABS(W4600)&gt;1E-12,((LTP3!$D$5)*((P4600)*(V4600)-(U4600)*(R4600))-(S4600)*((S4600)*(V4600)-(U4600)*(T4600))+(LTP3!$D$6)*((S4600)*(R4600)-(P4600)*(T4600)))/W4600,0)</f>
        <v/>
      </c>
      <c r="AA4600">
        <f>LTP3!$D$7-X4600*LTP3!$D$6-Y4600*U4600-Z4600*V4600</f>
        <v/>
      </c>
      <c r="AB4600">
        <f>IF(AND(F4600,ABS(W4600)&gt;1E-12,Y4600&gt;0,Z4600&gt;0),AA4600,1E+300)</f>
        <v/>
      </c>
    </row>
    <row r="4601">
      <c r="A4601">
        <f>$I$4-$B$5/10+$B$5*20/100</f>
        <v/>
      </c>
      <c r="B4601">
        <f>$J$4-$B$5/10+$B$5*1/100</f>
        <v/>
      </c>
      <c r="C4601">
        <f>SUMPRODUCT(Calc!$K$3:$K$22*(Calc!$G$3:$G$22&lt;=A4601))</f>
        <v/>
      </c>
      <c r="D4601">
        <f>SUMPRODUCT(Calc!$K$3:$K$22*(Calc!$G$3:$G$22&gt;A4601)*(Calc!$G$3:$G$22&lt;B4601))</f>
        <v/>
      </c>
      <c r="E4601">
        <f>SUMPRODUCT(Calc!$K$3:$K$22*(Calc!$G$3:$G$22&gt;=B4601))</f>
        <v/>
      </c>
      <c r="F4601">
        <f>AND(k_n&gt;=5,B4601&gt;A4601+1E-9,C4601&gt;=2,D4601&gt;=1,E4601&gt;=2)</f>
        <v/>
      </c>
      <c r="G4601">
        <f>SUMPRODUCT(Calc!$K$3:$K$22*(Calc!$G$3:$G$22&gt;A4601)*(Calc!$G$3:$G$22-A4601))</f>
        <v/>
      </c>
      <c r="H4601">
        <f>SUMPRODUCT(Calc!$K$3:$K$22*(Calc!$G$3:$G$22&gt;B4601)*(Calc!$G$3:$G$22-B4601))</f>
        <v/>
      </c>
      <c r="I4601">
        <f>SUMPRODUCT(Calc!$K$3:$K$22*(Calc!$G$3:$G$22&gt;A4601)*(Calc!$G$3:$G$22-A4601)^2)</f>
        <v/>
      </c>
      <c r="J4601">
        <f>SUMPRODUCT(Calc!$K$3:$K$22*(Calc!$G$3:$G$22&gt;B4601)*(Calc!$G$3:$G$22-B4601)^2)</f>
        <v/>
      </c>
      <c r="K4601">
        <f>SUMPRODUCT(Calc!$K$3:$K$22*(Calc!$G$3:$G$22&gt;A4601)*(Calc!$G$3:$G$22-A4601)*(Calc!$G$3:$G$22&gt;B4601)*(Calc!$G$3:$G$22-B4601))</f>
        <v/>
      </c>
      <c r="L4601">
        <f>SUMPRODUCT(Calc!$K$3:$K$22*(Calc!$G$3:$G$22&gt;A4601)*(Calc!$G$3:$G$22-A4601)*Calc!$G$3:$G$22)</f>
        <v/>
      </c>
      <c r="M4601">
        <f>SUMPRODUCT(Calc!$K$3:$K$22*(Calc!$G$3:$G$22&gt;B4601)*(Calc!$G$3:$G$22-B4601)*Calc!$G$3:$G$22)</f>
        <v/>
      </c>
      <c r="N4601">
        <f>SUMPRODUCT(Calc!$K$3:$K$22*(Calc!$G$3:$G$22&gt;A4601)*(Calc!$G$3:$G$22-A4601)*Calc!$I$3:$I$22)</f>
        <v/>
      </c>
      <c r="O4601">
        <f>SUMPRODUCT(Calc!$K$3:$K$22*(Calc!$G$3:$G$22&gt;B4601)*(Calc!$G$3:$G$22-B4601)*Calc!$I$3:$I$22)</f>
        <v/>
      </c>
      <c r="P4601">
        <f>I4601-G4601^2/k_n</f>
        <v/>
      </c>
      <c r="Q4601">
        <f>J4601-H4601^2/k_n</f>
        <v/>
      </c>
      <c r="R4601">
        <f>K4601-G4601*H4601/k_n</f>
        <v/>
      </c>
      <c r="S4601">
        <f>L4601-LTP3!$D$3*G4601/k_n</f>
        <v/>
      </c>
      <c r="T4601">
        <f>M4601-LTP3!$D$3*H4601/k_n</f>
        <v/>
      </c>
      <c r="U4601">
        <f>N4601-G4601*LTP3!$D$4/k_n</f>
        <v/>
      </c>
      <c r="V4601">
        <f>O4601-H4601*LTP3!$D$4/k_n</f>
        <v/>
      </c>
      <c r="W4601">
        <f>((LTP3!$D$5)*((P4601)*(Q4601)-(R4601)*(R4601))-(S4601)*((S4601)*(Q4601)-(R4601)*(T4601))+(T4601)*((S4601)*(R4601)-(P4601)*(T4601)))</f>
        <v/>
      </c>
      <c r="X4601">
        <f>IF(ABS(W4601)&gt;1E-12,((LTP3!$D$6)*((P4601)*(Q4601)-(R4601)*(R4601))-(S4601)*((U4601)*(Q4601)-(R4601)*(V4601))+(T4601)*((U4601)*(R4601)-(P4601)*(V4601)))/W4601,0)</f>
        <v/>
      </c>
      <c r="Y4601">
        <f>IF(ABS(W4601)&gt;1E-12,((LTP3!$D$5)*((U4601)*(Q4601)-(R4601)*(V4601))-(LTP3!$D$6)*((S4601)*(Q4601)-(R4601)*(T4601))+(T4601)*((S4601)*(V4601)-(U4601)*(T4601)))/W4601,0)</f>
        <v/>
      </c>
      <c r="Z4601">
        <f>IF(ABS(W4601)&gt;1E-12,((LTP3!$D$5)*((P4601)*(V4601)-(U4601)*(R4601))-(S4601)*((S4601)*(V4601)-(U4601)*(T4601))+(LTP3!$D$6)*((S4601)*(R4601)-(P4601)*(T4601)))/W4601,0)</f>
        <v/>
      </c>
      <c r="AA4601">
        <f>LTP3!$D$7-X4601*LTP3!$D$6-Y4601*U4601-Z4601*V4601</f>
        <v/>
      </c>
      <c r="AB4601">
        <f>IF(AND(F4601,ABS(W4601)&gt;1E-12,Y4601&gt;0,Z4601&gt;0),AA4601,1E+300)</f>
        <v/>
      </c>
    </row>
    <row r="4602">
      <c r="A4602">
        <f>$I$4-$B$5/10+$B$5*20/100</f>
        <v/>
      </c>
      <c r="B4602">
        <f>$J$4-$B$5/10+$B$5*2/100</f>
        <v/>
      </c>
      <c r="C4602">
        <f>SUMPRODUCT(Calc!$K$3:$K$22*(Calc!$G$3:$G$22&lt;=A4602))</f>
        <v/>
      </c>
      <c r="D4602">
        <f>SUMPRODUCT(Calc!$K$3:$K$22*(Calc!$G$3:$G$22&gt;A4602)*(Calc!$G$3:$G$22&lt;B4602))</f>
        <v/>
      </c>
      <c r="E4602">
        <f>SUMPRODUCT(Calc!$K$3:$K$22*(Calc!$G$3:$G$22&gt;=B4602))</f>
        <v/>
      </c>
      <c r="F4602">
        <f>AND(k_n&gt;=5,B4602&gt;A4602+1E-9,C4602&gt;=2,D4602&gt;=1,E4602&gt;=2)</f>
        <v/>
      </c>
      <c r="G4602">
        <f>SUMPRODUCT(Calc!$K$3:$K$22*(Calc!$G$3:$G$22&gt;A4602)*(Calc!$G$3:$G$22-A4602))</f>
        <v/>
      </c>
      <c r="H4602">
        <f>SUMPRODUCT(Calc!$K$3:$K$22*(Calc!$G$3:$G$22&gt;B4602)*(Calc!$G$3:$G$22-B4602))</f>
        <v/>
      </c>
      <c r="I4602">
        <f>SUMPRODUCT(Calc!$K$3:$K$22*(Calc!$G$3:$G$22&gt;A4602)*(Calc!$G$3:$G$22-A4602)^2)</f>
        <v/>
      </c>
      <c r="J4602">
        <f>SUMPRODUCT(Calc!$K$3:$K$22*(Calc!$G$3:$G$22&gt;B4602)*(Calc!$G$3:$G$22-B4602)^2)</f>
        <v/>
      </c>
      <c r="K4602">
        <f>SUMPRODUCT(Calc!$K$3:$K$22*(Calc!$G$3:$G$22&gt;A4602)*(Calc!$G$3:$G$22-A4602)*(Calc!$G$3:$G$22&gt;B4602)*(Calc!$G$3:$G$22-B4602))</f>
        <v/>
      </c>
      <c r="L4602">
        <f>SUMPRODUCT(Calc!$K$3:$K$22*(Calc!$G$3:$G$22&gt;A4602)*(Calc!$G$3:$G$22-A4602)*Calc!$G$3:$G$22)</f>
        <v/>
      </c>
      <c r="M4602">
        <f>SUMPRODUCT(Calc!$K$3:$K$22*(Calc!$G$3:$G$22&gt;B4602)*(Calc!$G$3:$G$22-B4602)*Calc!$G$3:$G$22)</f>
        <v/>
      </c>
      <c r="N4602">
        <f>SUMPRODUCT(Calc!$K$3:$K$22*(Calc!$G$3:$G$22&gt;A4602)*(Calc!$G$3:$G$22-A4602)*Calc!$I$3:$I$22)</f>
        <v/>
      </c>
      <c r="O4602">
        <f>SUMPRODUCT(Calc!$K$3:$K$22*(Calc!$G$3:$G$22&gt;B4602)*(Calc!$G$3:$G$22-B4602)*Calc!$I$3:$I$22)</f>
        <v/>
      </c>
      <c r="P4602">
        <f>I4602-G4602^2/k_n</f>
        <v/>
      </c>
      <c r="Q4602">
        <f>J4602-H4602^2/k_n</f>
        <v/>
      </c>
      <c r="R4602">
        <f>K4602-G4602*H4602/k_n</f>
        <v/>
      </c>
      <c r="S4602">
        <f>L4602-LTP3!$D$3*G4602/k_n</f>
        <v/>
      </c>
      <c r="T4602">
        <f>M4602-LTP3!$D$3*H4602/k_n</f>
        <v/>
      </c>
      <c r="U4602">
        <f>N4602-G4602*LTP3!$D$4/k_n</f>
        <v/>
      </c>
      <c r="V4602">
        <f>O4602-H4602*LTP3!$D$4/k_n</f>
        <v/>
      </c>
      <c r="W4602">
        <f>((LTP3!$D$5)*((P4602)*(Q4602)-(R4602)*(R4602))-(S4602)*((S4602)*(Q4602)-(R4602)*(T4602))+(T4602)*((S4602)*(R4602)-(P4602)*(T4602)))</f>
        <v/>
      </c>
      <c r="X4602">
        <f>IF(ABS(W4602)&gt;1E-12,((LTP3!$D$6)*((P4602)*(Q4602)-(R4602)*(R4602))-(S4602)*((U4602)*(Q4602)-(R4602)*(V4602))+(T4602)*((U4602)*(R4602)-(P4602)*(V4602)))/W4602,0)</f>
        <v/>
      </c>
      <c r="Y4602">
        <f>IF(ABS(W4602)&gt;1E-12,((LTP3!$D$5)*((U4602)*(Q4602)-(R4602)*(V4602))-(LTP3!$D$6)*((S4602)*(Q4602)-(R4602)*(T4602))+(T4602)*((S4602)*(V4602)-(U4602)*(T4602)))/W4602,0)</f>
        <v/>
      </c>
      <c r="Z4602">
        <f>IF(ABS(W4602)&gt;1E-12,((LTP3!$D$5)*((P4602)*(V4602)-(U4602)*(R4602))-(S4602)*((S4602)*(V4602)-(U4602)*(T4602))+(LTP3!$D$6)*((S4602)*(R4602)-(P4602)*(T4602)))/W4602,0)</f>
        <v/>
      </c>
      <c r="AA4602">
        <f>LTP3!$D$7-X4602*LTP3!$D$6-Y4602*U4602-Z4602*V4602</f>
        <v/>
      </c>
      <c r="AB4602">
        <f>IF(AND(F4602,ABS(W4602)&gt;1E-12,Y4602&gt;0,Z4602&gt;0),AA4602,1E+300)</f>
        <v/>
      </c>
    </row>
    <row r="4603">
      <c r="A4603">
        <f>$I$4-$B$5/10+$B$5*20/100</f>
        <v/>
      </c>
      <c r="B4603">
        <f>$J$4-$B$5/10+$B$5*3/100</f>
        <v/>
      </c>
      <c r="C4603">
        <f>SUMPRODUCT(Calc!$K$3:$K$22*(Calc!$G$3:$G$22&lt;=A4603))</f>
        <v/>
      </c>
      <c r="D4603">
        <f>SUMPRODUCT(Calc!$K$3:$K$22*(Calc!$G$3:$G$22&gt;A4603)*(Calc!$G$3:$G$22&lt;B4603))</f>
        <v/>
      </c>
      <c r="E4603">
        <f>SUMPRODUCT(Calc!$K$3:$K$22*(Calc!$G$3:$G$22&gt;=B4603))</f>
        <v/>
      </c>
      <c r="F4603">
        <f>AND(k_n&gt;=5,B4603&gt;A4603+1E-9,C4603&gt;=2,D4603&gt;=1,E4603&gt;=2)</f>
        <v/>
      </c>
      <c r="G4603">
        <f>SUMPRODUCT(Calc!$K$3:$K$22*(Calc!$G$3:$G$22&gt;A4603)*(Calc!$G$3:$G$22-A4603))</f>
        <v/>
      </c>
      <c r="H4603">
        <f>SUMPRODUCT(Calc!$K$3:$K$22*(Calc!$G$3:$G$22&gt;B4603)*(Calc!$G$3:$G$22-B4603))</f>
        <v/>
      </c>
      <c r="I4603">
        <f>SUMPRODUCT(Calc!$K$3:$K$22*(Calc!$G$3:$G$22&gt;A4603)*(Calc!$G$3:$G$22-A4603)^2)</f>
        <v/>
      </c>
      <c r="J4603">
        <f>SUMPRODUCT(Calc!$K$3:$K$22*(Calc!$G$3:$G$22&gt;B4603)*(Calc!$G$3:$G$22-B4603)^2)</f>
        <v/>
      </c>
      <c r="K4603">
        <f>SUMPRODUCT(Calc!$K$3:$K$22*(Calc!$G$3:$G$22&gt;A4603)*(Calc!$G$3:$G$22-A4603)*(Calc!$G$3:$G$22&gt;B4603)*(Calc!$G$3:$G$22-B4603))</f>
        <v/>
      </c>
      <c r="L4603">
        <f>SUMPRODUCT(Calc!$K$3:$K$22*(Calc!$G$3:$G$22&gt;A4603)*(Calc!$G$3:$G$22-A4603)*Calc!$G$3:$G$22)</f>
        <v/>
      </c>
      <c r="M4603">
        <f>SUMPRODUCT(Calc!$K$3:$K$22*(Calc!$G$3:$G$22&gt;B4603)*(Calc!$G$3:$G$22-B4603)*Calc!$G$3:$G$22)</f>
        <v/>
      </c>
      <c r="N4603">
        <f>SUMPRODUCT(Calc!$K$3:$K$22*(Calc!$G$3:$G$22&gt;A4603)*(Calc!$G$3:$G$22-A4603)*Calc!$I$3:$I$22)</f>
        <v/>
      </c>
      <c r="O4603">
        <f>SUMPRODUCT(Calc!$K$3:$K$22*(Calc!$G$3:$G$22&gt;B4603)*(Calc!$G$3:$G$22-B4603)*Calc!$I$3:$I$22)</f>
        <v/>
      </c>
      <c r="P4603">
        <f>I4603-G4603^2/k_n</f>
        <v/>
      </c>
      <c r="Q4603">
        <f>J4603-H4603^2/k_n</f>
        <v/>
      </c>
      <c r="R4603">
        <f>K4603-G4603*H4603/k_n</f>
        <v/>
      </c>
      <c r="S4603">
        <f>L4603-LTP3!$D$3*G4603/k_n</f>
        <v/>
      </c>
      <c r="T4603">
        <f>M4603-LTP3!$D$3*H4603/k_n</f>
        <v/>
      </c>
      <c r="U4603">
        <f>N4603-G4603*LTP3!$D$4/k_n</f>
        <v/>
      </c>
      <c r="V4603">
        <f>O4603-H4603*LTP3!$D$4/k_n</f>
        <v/>
      </c>
      <c r="W4603">
        <f>((LTP3!$D$5)*((P4603)*(Q4603)-(R4603)*(R4603))-(S4603)*((S4603)*(Q4603)-(R4603)*(T4603))+(T4603)*((S4603)*(R4603)-(P4603)*(T4603)))</f>
        <v/>
      </c>
      <c r="X4603">
        <f>IF(ABS(W4603)&gt;1E-12,((LTP3!$D$6)*((P4603)*(Q4603)-(R4603)*(R4603))-(S4603)*((U4603)*(Q4603)-(R4603)*(V4603))+(T4603)*((U4603)*(R4603)-(P4603)*(V4603)))/W4603,0)</f>
        <v/>
      </c>
      <c r="Y4603">
        <f>IF(ABS(W4603)&gt;1E-12,((LTP3!$D$5)*((U4603)*(Q4603)-(R4603)*(V4603))-(LTP3!$D$6)*((S4603)*(Q4603)-(R4603)*(T4603))+(T4603)*((S4603)*(V4603)-(U4603)*(T4603)))/W4603,0)</f>
        <v/>
      </c>
      <c r="Z4603">
        <f>IF(ABS(W4603)&gt;1E-12,((LTP3!$D$5)*((P4603)*(V4603)-(U4603)*(R4603))-(S4603)*((S4603)*(V4603)-(U4603)*(T4603))+(LTP3!$D$6)*((S4603)*(R4603)-(P4603)*(T4603)))/W4603,0)</f>
        <v/>
      </c>
      <c r="AA4603">
        <f>LTP3!$D$7-X4603*LTP3!$D$6-Y4603*U4603-Z4603*V4603</f>
        <v/>
      </c>
      <c r="AB4603">
        <f>IF(AND(F4603,ABS(W4603)&gt;1E-12,Y4603&gt;0,Z4603&gt;0),AA4603,1E+300)</f>
        <v/>
      </c>
    </row>
    <row r="4604">
      <c r="A4604">
        <f>$I$4-$B$5/10+$B$5*20/100</f>
        <v/>
      </c>
      <c r="B4604">
        <f>$J$4-$B$5/10+$B$5*4/100</f>
        <v/>
      </c>
      <c r="C4604">
        <f>SUMPRODUCT(Calc!$K$3:$K$22*(Calc!$G$3:$G$22&lt;=A4604))</f>
        <v/>
      </c>
      <c r="D4604">
        <f>SUMPRODUCT(Calc!$K$3:$K$22*(Calc!$G$3:$G$22&gt;A4604)*(Calc!$G$3:$G$22&lt;B4604))</f>
        <v/>
      </c>
      <c r="E4604">
        <f>SUMPRODUCT(Calc!$K$3:$K$22*(Calc!$G$3:$G$22&gt;=B4604))</f>
        <v/>
      </c>
      <c r="F4604">
        <f>AND(k_n&gt;=5,B4604&gt;A4604+1E-9,C4604&gt;=2,D4604&gt;=1,E4604&gt;=2)</f>
        <v/>
      </c>
      <c r="G4604">
        <f>SUMPRODUCT(Calc!$K$3:$K$22*(Calc!$G$3:$G$22&gt;A4604)*(Calc!$G$3:$G$22-A4604))</f>
        <v/>
      </c>
      <c r="H4604">
        <f>SUMPRODUCT(Calc!$K$3:$K$22*(Calc!$G$3:$G$22&gt;B4604)*(Calc!$G$3:$G$22-B4604))</f>
        <v/>
      </c>
      <c r="I4604">
        <f>SUMPRODUCT(Calc!$K$3:$K$22*(Calc!$G$3:$G$22&gt;A4604)*(Calc!$G$3:$G$22-A4604)^2)</f>
        <v/>
      </c>
      <c r="J4604">
        <f>SUMPRODUCT(Calc!$K$3:$K$22*(Calc!$G$3:$G$22&gt;B4604)*(Calc!$G$3:$G$22-B4604)^2)</f>
        <v/>
      </c>
      <c r="K4604">
        <f>SUMPRODUCT(Calc!$K$3:$K$22*(Calc!$G$3:$G$22&gt;A4604)*(Calc!$G$3:$G$22-A4604)*(Calc!$G$3:$G$22&gt;B4604)*(Calc!$G$3:$G$22-B4604))</f>
        <v/>
      </c>
      <c r="L4604">
        <f>SUMPRODUCT(Calc!$K$3:$K$22*(Calc!$G$3:$G$22&gt;A4604)*(Calc!$G$3:$G$22-A4604)*Calc!$G$3:$G$22)</f>
        <v/>
      </c>
      <c r="M4604">
        <f>SUMPRODUCT(Calc!$K$3:$K$22*(Calc!$G$3:$G$22&gt;B4604)*(Calc!$G$3:$G$22-B4604)*Calc!$G$3:$G$22)</f>
        <v/>
      </c>
      <c r="N4604">
        <f>SUMPRODUCT(Calc!$K$3:$K$22*(Calc!$G$3:$G$22&gt;A4604)*(Calc!$G$3:$G$22-A4604)*Calc!$I$3:$I$22)</f>
        <v/>
      </c>
      <c r="O4604">
        <f>SUMPRODUCT(Calc!$K$3:$K$22*(Calc!$G$3:$G$22&gt;B4604)*(Calc!$G$3:$G$22-B4604)*Calc!$I$3:$I$22)</f>
        <v/>
      </c>
      <c r="P4604">
        <f>I4604-G4604^2/k_n</f>
        <v/>
      </c>
      <c r="Q4604">
        <f>J4604-H4604^2/k_n</f>
        <v/>
      </c>
      <c r="R4604">
        <f>K4604-G4604*H4604/k_n</f>
        <v/>
      </c>
      <c r="S4604">
        <f>L4604-LTP3!$D$3*G4604/k_n</f>
        <v/>
      </c>
      <c r="T4604">
        <f>M4604-LTP3!$D$3*H4604/k_n</f>
        <v/>
      </c>
      <c r="U4604">
        <f>N4604-G4604*LTP3!$D$4/k_n</f>
        <v/>
      </c>
      <c r="V4604">
        <f>O4604-H4604*LTP3!$D$4/k_n</f>
        <v/>
      </c>
      <c r="W4604">
        <f>((LTP3!$D$5)*((P4604)*(Q4604)-(R4604)*(R4604))-(S4604)*((S4604)*(Q4604)-(R4604)*(T4604))+(T4604)*((S4604)*(R4604)-(P4604)*(T4604)))</f>
        <v/>
      </c>
      <c r="X4604">
        <f>IF(ABS(W4604)&gt;1E-12,((LTP3!$D$6)*((P4604)*(Q4604)-(R4604)*(R4604))-(S4604)*((U4604)*(Q4604)-(R4604)*(V4604))+(T4604)*((U4604)*(R4604)-(P4604)*(V4604)))/W4604,0)</f>
        <v/>
      </c>
      <c r="Y4604">
        <f>IF(ABS(W4604)&gt;1E-12,((LTP3!$D$5)*((U4604)*(Q4604)-(R4604)*(V4604))-(LTP3!$D$6)*((S4604)*(Q4604)-(R4604)*(T4604))+(T4604)*((S4604)*(V4604)-(U4604)*(T4604)))/W4604,0)</f>
        <v/>
      </c>
      <c r="Z4604">
        <f>IF(ABS(W4604)&gt;1E-12,((LTP3!$D$5)*((P4604)*(V4604)-(U4604)*(R4604))-(S4604)*((S4604)*(V4604)-(U4604)*(T4604))+(LTP3!$D$6)*((S4604)*(R4604)-(P4604)*(T4604)))/W4604,0)</f>
        <v/>
      </c>
      <c r="AA4604">
        <f>LTP3!$D$7-X4604*LTP3!$D$6-Y4604*U4604-Z4604*V4604</f>
        <v/>
      </c>
      <c r="AB4604">
        <f>IF(AND(F4604,ABS(W4604)&gt;1E-12,Y4604&gt;0,Z4604&gt;0),AA4604,1E+300)</f>
        <v/>
      </c>
    </row>
    <row r="4605">
      <c r="A4605">
        <f>$I$4-$B$5/10+$B$5*20/100</f>
        <v/>
      </c>
      <c r="B4605">
        <f>$J$4-$B$5/10+$B$5*5/100</f>
        <v/>
      </c>
      <c r="C4605">
        <f>SUMPRODUCT(Calc!$K$3:$K$22*(Calc!$G$3:$G$22&lt;=A4605))</f>
        <v/>
      </c>
      <c r="D4605">
        <f>SUMPRODUCT(Calc!$K$3:$K$22*(Calc!$G$3:$G$22&gt;A4605)*(Calc!$G$3:$G$22&lt;B4605))</f>
        <v/>
      </c>
      <c r="E4605">
        <f>SUMPRODUCT(Calc!$K$3:$K$22*(Calc!$G$3:$G$22&gt;=B4605))</f>
        <v/>
      </c>
      <c r="F4605">
        <f>AND(k_n&gt;=5,B4605&gt;A4605+1E-9,C4605&gt;=2,D4605&gt;=1,E4605&gt;=2)</f>
        <v/>
      </c>
      <c r="G4605">
        <f>SUMPRODUCT(Calc!$K$3:$K$22*(Calc!$G$3:$G$22&gt;A4605)*(Calc!$G$3:$G$22-A4605))</f>
        <v/>
      </c>
      <c r="H4605">
        <f>SUMPRODUCT(Calc!$K$3:$K$22*(Calc!$G$3:$G$22&gt;B4605)*(Calc!$G$3:$G$22-B4605))</f>
        <v/>
      </c>
      <c r="I4605">
        <f>SUMPRODUCT(Calc!$K$3:$K$22*(Calc!$G$3:$G$22&gt;A4605)*(Calc!$G$3:$G$22-A4605)^2)</f>
        <v/>
      </c>
      <c r="J4605">
        <f>SUMPRODUCT(Calc!$K$3:$K$22*(Calc!$G$3:$G$22&gt;B4605)*(Calc!$G$3:$G$22-B4605)^2)</f>
        <v/>
      </c>
      <c r="K4605">
        <f>SUMPRODUCT(Calc!$K$3:$K$22*(Calc!$G$3:$G$22&gt;A4605)*(Calc!$G$3:$G$22-A4605)*(Calc!$G$3:$G$22&gt;B4605)*(Calc!$G$3:$G$22-B4605))</f>
        <v/>
      </c>
      <c r="L4605">
        <f>SUMPRODUCT(Calc!$K$3:$K$22*(Calc!$G$3:$G$22&gt;A4605)*(Calc!$G$3:$G$22-A4605)*Calc!$G$3:$G$22)</f>
        <v/>
      </c>
      <c r="M4605">
        <f>SUMPRODUCT(Calc!$K$3:$K$22*(Calc!$G$3:$G$22&gt;B4605)*(Calc!$G$3:$G$22-B4605)*Calc!$G$3:$G$22)</f>
        <v/>
      </c>
      <c r="N4605">
        <f>SUMPRODUCT(Calc!$K$3:$K$22*(Calc!$G$3:$G$22&gt;A4605)*(Calc!$G$3:$G$22-A4605)*Calc!$I$3:$I$22)</f>
        <v/>
      </c>
      <c r="O4605">
        <f>SUMPRODUCT(Calc!$K$3:$K$22*(Calc!$G$3:$G$22&gt;B4605)*(Calc!$G$3:$G$22-B4605)*Calc!$I$3:$I$22)</f>
        <v/>
      </c>
      <c r="P4605">
        <f>I4605-G4605^2/k_n</f>
        <v/>
      </c>
      <c r="Q4605">
        <f>J4605-H4605^2/k_n</f>
        <v/>
      </c>
      <c r="R4605">
        <f>K4605-G4605*H4605/k_n</f>
        <v/>
      </c>
      <c r="S4605">
        <f>L4605-LTP3!$D$3*G4605/k_n</f>
        <v/>
      </c>
      <c r="T4605">
        <f>M4605-LTP3!$D$3*H4605/k_n</f>
        <v/>
      </c>
      <c r="U4605">
        <f>N4605-G4605*LTP3!$D$4/k_n</f>
        <v/>
      </c>
      <c r="V4605">
        <f>O4605-H4605*LTP3!$D$4/k_n</f>
        <v/>
      </c>
      <c r="W4605">
        <f>((LTP3!$D$5)*((P4605)*(Q4605)-(R4605)*(R4605))-(S4605)*((S4605)*(Q4605)-(R4605)*(T4605))+(T4605)*((S4605)*(R4605)-(P4605)*(T4605)))</f>
        <v/>
      </c>
      <c r="X4605">
        <f>IF(ABS(W4605)&gt;1E-12,((LTP3!$D$6)*((P4605)*(Q4605)-(R4605)*(R4605))-(S4605)*((U4605)*(Q4605)-(R4605)*(V4605))+(T4605)*((U4605)*(R4605)-(P4605)*(V4605)))/W4605,0)</f>
        <v/>
      </c>
      <c r="Y4605">
        <f>IF(ABS(W4605)&gt;1E-12,((LTP3!$D$5)*((U4605)*(Q4605)-(R4605)*(V4605))-(LTP3!$D$6)*((S4605)*(Q4605)-(R4605)*(T4605))+(T4605)*((S4605)*(V4605)-(U4605)*(T4605)))/W4605,0)</f>
        <v/>
      </c>
      <c r="Z4605">
        <f>IF(ABS(W4605)&gt;1E-12,((LTP3!$D$5)*((P4605)*(V4605)-(U4605)*(R4605))-(S4605)*((S4605)*(V4605)-(U4605)*(T4605))+(LTP3!$D$6)*((S4605)*(R4605)-(P4605)*(T4605)))/W4605,0)</f>
        <v/>
      </c>
      <c r="AA4605">
        <f>LTP3!$D$7-X4605*LTP3!$D$6-Y4605*U4605-Z4605*V4605</f>
        <v/>
      </c>
      <c r="AB4605">
        <f>IF(AND(F4605,ABS(W4605)&gt;1E-12,Y4605&gt;0,Z4605&gt;0),AA4605,1E+300)</f>
        <v/>
      </c>
    </row>
    <row r="4606">
      <c r="A4606">
        <f>$I$4-$B$5/10+$B$5*20/100</f>
        <v/>
      </c>
      <c r="B4606">
        <f>$J$4-$B$5/10+$B$5*6/100</f>
        <v/>
      </c>
      <c r="C4606">
        <f>SUMPRODUCT(Calc!$K$3:$K$22*(Calc!$G$3:$G$22&lt;=A4606))</f>
        <v/>
      </c>
      <c r="D4606">
        <f>SUMPRODUCT(Calc!$K$3:$K$22*(Calc!$G$3:$G$22&gt;A4606)*(Calc!$G$3:$G$22&lt;B4606))</f>
        <v/>
      </c>
      <c r="E4606">
        <f>SUMPRODUCT(Calc!$K$3:$K$22*(Calc!$G$3:$G$22&gt;=B4606))</f>
        <v/>
      </c>
      <c r="F4606">
        <f>AND(k_n&gt;=5,B4606&gt;A4606+1E-9,C4606&gt;=2,D4606&gt;=1,E4606&gt;=2)</f>
        <v/>
      </c>
      <c r="G4606">
        <f>SUMPRODUCT(Calc!$K$3:$K$22*(Calc!$G$3:$G$22&gt;A4606)*(Calc!$G$3:$G$22-A4606))</f>
        <v/>
      </c>
      <c r="H4606">
        <f>SUMPRODUCT(Calc!$K$3:$K$22*(Calc!$G$3:$G$22&gt;B4606)*(Calc!$G$3:$G$22-B4606))</f>
        <v/>
      </c>
      <c r="I4606">
        <f>SUMPRODUCT(Calc!$K$3:$K$22*(Calc!$G$3:$G$22&gt;A4606)*(Calc!$G$3:$G$22-A4606)^2)</f>
        <v/>
      </c>
      <c r="J4606">
        <f>SUMPRODUCT(Calc!$K$3:$K$22*(Calc!$G$3:$G$22&gt;B4606)*(Calc!$G$3:$G$22-B4606)^2)</f>
        <v/>
      </c>
      <c r="K4606">
        <f>SUMPRODUCT(Calc!$K$3:$K$22*(Calc!$G$3:$G$22&gt;A4606)*(Calc!$G$3:$G$22-A4606)*(Calc!$G$3:$G$22&gt;B4606)*(Calc!$G$3:$G$22-B4606))</f>
        <v/>
      </c>
      <c r="L4606">
        <f>SUMPRODUCT(Calc!$K$3:$K$22*(Calc!$G$3:$G$22&gt;A4606)*(Calc!$G$3:$G$22-A4606)*Calc!$G$3:$G$22)</f>
        <v/>
      </c>
      <c r="M4606">
        <f>SUMPRODUCT(Calc!$K$3:$K$22*(Calc!$G$3:$G$22&gt;B4606)*(Calc!$G$3:$G$22-B4606)*Calc!$G$3:$G$22)</f>
        <v/>
      </c>
      <c r="N4606">
        <f>SUMPRODUCT(Calc!$K$3:$K$22*(Calc!$G$3:$G$22&gt;A4606)*(Calc!$G$3:$G$22-A4606)*Calc!$I$3:$I$22)</f>
        <v/>
      </c>
      <c r="O4606">
        <f>SUMPRODUCT(Calc!$K$3:$K$22*(Calc!$G$3:$G$22&gt;B4606)*(Calc!$G$3:$G$22-B4606)*Calc!$I$3:$I$22)</f>
        <v/>
      </c>
      <c r="P4606">
        <f>I4606-G4606^2/k_n</f>
        <v/>
      </c>
      <c r="Q4606">
        <f>J4606-H4606^2/k_n</f>
        <v/>
      </c>
      <c r="R4606">
        <f>K4606-G4606*H4606/k_n</f>
        <v/>
      </c>
      <c r="S4606">
        <f>L4606-LTP3!$D$3*G4606/k_n</f>
        <v/>
      </c>
      <c r="T4606">
        <f>M4606-LTP3!$D$3*H4606/k_n</f>
        <v/>
      </c>
      <c r="U4606">
        <f>N4606-G4606*LTP3!$D$4/k_n</f>
        <v/>
      </c>
      <c r="V4606">
        <f>O4606-H4606*LTP3!$D$4/k_n</f>
        <v/>
      </c>
      <c r="W4606">
        <f>((LTP3!$D$5)*((P4606)*(Q4606)-(R4606)*(R4606))-(S4606)*((S4606)*(Q4606)-(R4606)*(T4606))+(T4606)*((S4606)*(R4606)-(P4606)*(T4606)))</f>
        <v/>
      </c>
      <c r="X4606">
        <f>IF(ABS(W4606)&gt;1E-12,((LTP3!$D$6)*((P4606)*(Q4606)-(R4606)*(R4606))-(S4606)*((U4606)*(Q4606)-(R4606)*(V4606))+(T4606)*((U4606)*(R4606)-(P4606)*(V4606)))/W4606,0)</f>
        <v/>
      </c>
      <c r="Y4606">
        <f>IF(ABS(W4606)&gt;1E-12,((LTP3!$D$5)*((U4606)*(Q4606)-(R4606)*(V4606))-(LTP3!$D$6)*((S4606)*(Q4606)-(R4606)*(T4606))+(T4606)*((S4606)*(V4606)-(U4606)*(T4606)))/W4606,0)</f>
        <v/>
      </c>
      <c r="Z4606">
        <f>IF(ABS(W4606)&gt;1E-12,((LTP3!$D$5)*((P4606)*(V4606)-(U4606)*(R4606))-(S4606)*((S4606)*(V4606)-(U4606)*(T4606))+(LTP3!$D$6)*((S4606)*(R4606)-(P4606)*(T4606)))/W4606,0)</f>
        <v/>
      </c>
      <c r="AA4606">
        <f>LTP3!$D$7-X4606*LTP3!$D$6-Y4606*U4606-Z4606*V4606</f>
        <v/>
      </c>
      <c r="AB4606">
        <f>IF(AND(F4606,ABS(W4606)&gt;1E-12,Y4606&gt;0,Z4606&gt;0),AA4606,1E+300)</f>
        <v/>
      </c>
    </row>
    <row r="4607">
      <c r="A4607">
        <f>$I$4-$B$5/10+$B$5*20/100</f>
        <v/>
      </c>
      <c r="B4607">
        <f>$J$4-$B$5/10+$B$5*7/100</f>
        <v/>
      </c>
      <c r="C4607">
        <f>SUMPRODUCT(Calc!$K$3:$K$22*(Calc!$G$3:$G$22&lt;=A4607))</f>
        <v/>
      </c>
      <c r="D4607">
        <f>SUMPRODUCT(Calc!$K$3:$K$22*(Calc!$G$3:$G$22&gt;A4607)*(Calc!$G$3:$G$22&lt;B4607))</f>
        <v/>
      </c>
      <c r="E4607">
        <f>SUMPRODUCT(Calc!$K$3:$K$22*(Calc!$G$3:$G$22&gt;=B4607))</f>
        <v/>
      </c>
      <c r="F4607">
        <f>AND(k_n&gt;=5,B4607&gt;A4607+1E-9,C4607&gt;=2,D4607&gt;=1,E4607&gt;=2)</f>
        <v/>
      </c>
      <c r="G4607">
        <f>SUMPRODUCT(Calc!$K$3:$K$22*(Calc!$G$3:$G$22&gt;A4607)*(Calc!$G$3:$G$22-A4607))</f>
        <v/>
      </c>
      <c r="H4607">
        <f>SUMPRODUCT(Calc!$K$3:$K$22*(Calc!$G$3:$G$22&gt;B4607)*(Calc!$G$3:$G$22-B4607))</f>
        <v/>
      </c>
      <c r="I4607">
        <f>SUMPRODUCT(Calc!$K$3:$K$22*(Calc!$G$3:$G$22&gt;A4607)*(Calc!$G$3:$G$22-A4607)^2)</f>
        <v/>
      </c>
      <c r="J4607">
        <f>SUMPRODUCT(Calc!$K$3:$K$22*(Calc!$G$3:$G$22&gt;B4607)*(Calc!$G$3:$G$22-B4607)^2)</f>
        <v/>
      </c>
      <c r="K4607">
        <f>SUMPRODUCT(Calc!$K$3:$K$22*(Calc!$G$3:$G$22&gt;A4607)*(Calc!$G$3:$G$22-A4607)*(Calc!$G$3:$G$22&gt;B4607)*(Calc!$G$3:$G$22-B4607))</f>
        <v/>
      </c>
      <c r="L4607">
        <f>SUMPRODUCT(Calc!$K$3:$K$22*(Calc!$G$3:$G$22&gt;A4607)*(Calc!$G$3:$G$22-A4607)*Calc!$G$3:$G$22)</f>
        <v/>
      </c>
      <c r="M4607">
        <f>SUMPRODUCT(Calc!$K$3:$K$22*(Calc!$G$3:$G$22&gt;B4607)*(Calc!$G$3:$G$22-B4607)*Calc!$G$3:$G$22)</f>
        <v/>
      </c>
      <c r="N4607">
        <f>SUMPRODUCT(Calc!$K$3:$K$22*(Calc!$G$3:$G$22&gt;A4607)*(Calc!$G$3:$G$22-A4607)*Calc!$I$3:$I$22)</f>
        <v/>
      </c>
      <c r="O4607">
        <f>SUMPRODUCT(Calc!$K$3:$K$22*(Calc!$G$3:$G$22&gt;B4607)*(Calc!$G$3:$G$22-B4607)*Calc!$I$3:$I$22)</f>
        <v/>
      </c>
      <c r="P4607">
        <f>I4607-G4607^2/k_n</f>
        <v/>
      </c>
      <c r="Q4607">
        <f>J4607-H4607^2/k_n</f>
        <v/>
      </c>
      <c r="R4607">
        <f>K4607-G4607*H4607/k_n</f>
        <v/>
      </c>
      <c r="S4607">
        <f>L4607-LTP3!$D$3*G4607/k_n</f>
        <v/>
      </c>
      <c r="T4607">
        <f>M4607-LTP3!$D$3*H4607/k_n</f>
        <v/>
      </c>
      <c r="U4607">
        <f>N4607-G4607*LTP3!$D$4/k_n</f>
        <v/>
      </c>
      <c r="V4607">
        <f>O4607-H4607*LTP3!$D$4/k_n</f>
        <v/>
      </c>
      <c r="W4607">
        <f>((LTP3!$D$5)*((P4607)*(Q4607)-(R4607)*(R4607))-(S4607)*((S4607)*(Q4607)-(R4607)*(T4607))+(T4607)*((S4607)*(R4607)-(P4607)*(T4607)))</f>
        <v/>
      </c>
      <c r="X4607">
        <f>IF(ABS(W4607)&gt;1E-12,((LTP3!$D$6)*((P4607)*(Q4607)-(R4607)*(R4607))-(S4607)*((U4607)*(Q4607)-(R4607)*(V4607))+(T4607)*((U4607)*(R4607)-(P4607)*(V4607)))/W4607,0)</f>
        <v/>
      </c>
      <c r="Y4607">
        <f>IF(ABS(W4607)&gt;1E-12,((LTP3!$D$5)*((U4607)*(Q4607)-(R4607)*(V4607))-(LTP3!$D$6)*((S4607)*(Q4607)-(R4607)*(T4607))+(T4607)*((S4607)*(V4607)-(U4607)*(T4607)))/W4607,0)</f>
        <v/>
      </c>
      <c r="Z4607">
        <f>IF(ABS(W4607)&gt;1E-12,((LTP3!$D$5)*((P4607)*(V4607)-(U4607)*(R4607))-(S4607)*((S4607)*(V4607)-(U4607)*(T4607))+(LTP3!$D$6)*((S4607)*(R4607)-(P4607)*(T4607)))/W4607,0)</f>
        <v/>
      </c>
      <c r="AA4607">
        <f>LTP3!$D$7-X4607*LTP3!$D$6-Y4607*U4607-Z4607*V4607</f>
        <v/>
      </c>
      <c r="AB4607">
        <f>IF(AND(F4607,ABS(W4607)&gt;1E-12,Y4607&gt;0,Z4607&gt;0),AA4607,1E+300)</f>
        <v/>
      </c>
    </row>
    <row r="4608">
      <c r="A4608">
        <f>$I$4-$B$5/10+$B$5*20/100</f>
        <v/>
      </c>
      <c r="B4608">
        <f>$J$4-$B$5/10+$B$5*8/100</f>
        <v/>
      </c>
      <c r="C4608">
        <f>SUMPRODUCT(Calc!$K$3:$K$22*(Calc!$G$3:$G$22&lt;=A4608))</f>
        <v/>
      </c>
      <c r="D4608">
        <f>SUMPRODUCT(Calc!$K$3:$K$22*(Calc!$G$3:$G$22&gt;A4608)*(Calc!$G$3:$G$22&lt;B4608))</f>
        <v/>
      </c>
      <c r="E4608">
        <f>SUMPRODUCT(Calc!$K$3:$K$22*(Calc!$G$3:$G$22&gt;=B4608))</f>
        <v/>
      </c>
      <c r="F4608">
        <f>AND(k_n&gt;=5,B4608&gt;A4608+1E-9,C4608&gt;=2,D4608&gt;=1,E4608&gt;=2)</f>
        <v/>
      </c>
      <c r="G4608">
        <f>SUMPRODUCT(Calc!$K$3:$K$22*(Calc!$G$3:$G$22&gt;A4608)*(Calc!$G$3:$G$22-A4608))</f>
        <v/>
      </c>
      <c r="H4608">
        <f>SUMPRODUCT(Calc!$K$3:$K$22*(Calc!$G$3:$G$22&gt;B4608)*(Calc!$G$3:$G$22-B4608))</f>
        <v/>
      </c>
      <c r="I4608">
        <f>SUMPRODUCT(Calc!$K$3:$K$22*(Calc!$G$3:$G$22&gt;A4608)*(Calc!$G$3:$G$22-A4608)^2)</f>
        <v/>
      </c>
      <c r="J4608">
        <f>SUMPRODUCT(Calc!$K$3:$K$22*(Calc!$G$3:$G$22&gt;B4608)*(Calc!$G$3:$G$22-B4608)^2)</f>
        <v/>
      </c>
      <c r="K4608">
        <f>SUMPRODUCT(Calc!$K$3:$K$22*(Calc!$G$3:$G$22&gt;A4608)*(Calc!$G$3:$G$22-A4608)*(Calc!$G$3:$G$22&gt;B4608)*(Calc!$G$3:$G$22-B4608))</f>
        <v/>
      </c>
      <c r="L4608">
        <f>SUMPRODUCT(Calc!$K$3:$K$22*(Calc!$G$3:$G$22&gt;A4608)*(Calc!$G$3:$G$22-A4608)*Calc!$G$3:$G$22)</f>
        <v/>
      </c>
      <c r="M4608">
        <f>SUMPRODUCT(Calc!$K$3:$K$22*(Calc!$G$3:$G$22&gt;B4608)*(Calc!$G$3:$G$22-B4608)*Calc!$G$3:$G$22)</f>
        <v/>
      </c>
      <c r="N4608">
        <f>SUMPRODUCT(Calc!$K$3:$K$22*(Calc!$G$3:$G$22&gt;A4608)*(Calc!$G$3:$G$22-A4608)*Calc!$I$3:$I$22)</f>
        <v/>
      </c>
      <c r="O4608">
        <f>SUMPRODUCT(Calc!$K$3:$K$22*(Calc!$G$3:$G$22&gt;B4608)*(Calc!$G$3:$G$22-B4608)*Calc!$I$3:$I$22)</f>
        <v/>
      </c>
      <c r="P4608">
        <f>I4608-G4608^2/k_n</f>
        <v/>
      </c>
      <c r="Q4608">
        <f>J4608-H4608^2/k_n</f>
        <v/>
      </c>
      <c r="R4608">
        <f>K4608-G4608*H4608/k_n</f>
        <v/>
      </c>
      <c r="S4608">
        <f>L4608-LTP3!$D$3*G4608/k_n</f>
        <v/>
      </c>
      <c r="T4608">
        <f>M4608-LTP3!$D$3*H4608/k_n</f>
        <v/>
      </c>
      <c r="U4608">
        <f>N4608-G4608*LTP3!$D$4/k_n</f>
        <v/>
      </c>
      <c r="V4608">
        <f>O4608-H4608*LTP3!$D$4/k_n</f>
        <v/>
      </c>
      <c r="W4608">
        <f>((LTP3!$D$5)*((P4608)*(Q4608)-(R4608)*(R4608))-(S4608)*((S4608)*(Q4608)-(R4608)*(T4608))+(T4608)*((S4608)*(R4608)-(P4608)*(T4608)))</f>
        <v/>
      </c>
      <c r="X4608">
        <f>IF(ABS(W4608)&gt;1E-12,((LTP3!$D$6)*((P4608)*(Q4608)-(R4608)*(R4608))-(S4608)*((U4608)*(Q4608)-(R4608)*(V4608))+(T4608)*((U4608)*(R4608)-(P4608)*(V4608)))/W4608,0)</f>
        <v/>
      </c>
      <c r="Y4608">
        <f>IF(ABS(W4608)&gt;1E-12,((LTP3!$D$5)*((U4608)*(Q4608)-(R4608)*(V4608))-(LTP3!$D$6)*((S4608)*(Q4608)-(R4608)*(T4608))+(T4608)*((S4608)*(V4608)-(U4608)*(T4608)))/W4608,0)</f>
        <v/>
      </c>
      <c r="Z4608">
        <f>IF(ABS(W4608)&gt;1E-12,((LTP3!$D$5)*((P4608)*(V4608)-(U4608)*(R4608))-(S4608)*((S4608)*(V4608)-(U4608)*(T4608))+(LTP3!$D$6)*((S4608)*(R4608)-(P4608)*(T4608)))/W4608,0)</f>
        <v/>
      </c>
      <c r="AA4608">
        <f>LTP3!$D$7-X4608*LTP3!$D$6-Y4608*U4608-Z4608*V4608</f>
        <v/>
      </c>
      <c r="AB4608">
        <f>IF(AND(F4608,ABS(W4608)&gt;1E-12,Y4608&gt;0,Z4608&gt;0),AA4608,1E+300)</f>
        <v/>
      </c>
    </row>
    <row r="4609">
      <c r="A4609">
        <f>$I$4-$B$5/10+$B$5*20/100</f>
        <v/>
      </c>
      <c r="B4609">
        <f>$J$4-$B$5/10+$B$5*9/100</f>
        <v/>
      </c>
      <c r="C4609">
        <f>SUMPRODUCT(Calc!$K$3:$K$22*(Calc!$G$3:$G$22&lt;=A4609))</f>
        <v/>
      </c>
      <c r="D4609">
        <f>SUMPRODUCT(Calc!$K$3:$K$22*(Calc!$G$3:$G$22&gt;A4609)*(Calc!$G$3:$G$22&lt;B4609))</f>
        <v/>
      </c>
      <c r="E4609">
        <f>SUMPRODUCT(Calc!$K$3:$K$22*(Calc!$G$3:$G$22&gt;=B4609))</f>
        <v/>
      </c>
      <c r="F4609">
        <f>AND(k_n&gt;=5,B4609&gt;A4609+1E-9,C4609&gt;=2,D4609&gt;=1,E4609&gt;=2)</f>
        <v/>
      </c>
      <c r="G4609">
        <f>SUMPRODUCT(Calc!$K$3:$K$22*(Calc!$G$3:$G$22&gt;A4609)*(Calc!$G$3:$G$22-A4609))</f>
        <v/>
      </c>
      <c r="H4609">
        <f>SUMPRODUCT(Calc!$K$3:$K$22*(Calc!$G$3:$G$22&gt;B4609)*(Calc!$G$3:$G$22-B4609))</f>
        <v/>
      </c>
      <c r="I4609">
        <f>SUMPRODUCT(Calc!$K$3:$K$22*(Calc!$G$3:$G$22&gt;A4609)*(Calc!$G$3:$G$22-A4609)^2)</f>
        <v/>
      </c>
      <c r="J4609">
        <f>SUMPRODUCT(Calc!$K$3:$K$22*(Calc!$G$3:$G$22&gt;B4609)*(Calc!$G$3:$G$22-B4609)^2)</f>
        <v/>
      </c>
      <c r="K4609">
        <f>SUMPRODUCT(Calc!$K$3:$K$22*(Calc!$G$3:$G$22&gt;A4609)*(Calc!$G$3:$G$22-A4609)*(Calc!$G$3:$G$22&gt;B4609)*(Calc!$G$3:$G$22-B4609))</f>
        <v/>
      </c>
      <c r="L4609">
        <f>SUMPRODUCT(Calc!$K$3:$K$22*(Calc!$G$3:$G$22&gt;A4609)*(Calc!$G$3:$G$22-A4609)*Calc!$G$3:$G$22)</f>
        <v/>
      </c>
      <c r="M4609">
        <f>SUMPRODUCT(Calc!$K$3:$K$22*(Calc!$G$3:$G$22&gt;B4609)*(Calc!$G$3:$G$22-B4609)*Calc!$G$3:$G$22)</f>
        <v/>
      </c>
      <c r="N4609">
        <f>SUMPRODUCT(Calc!$K$3:$K$22*(Calc!$G$3:$G$22&gt;A4609)*(Calc!$G$3:$G$22-A4609)*Calc!$I$3:$I$22)</f>
        <v/>
      </c>
      <c r="O4609">
        <f>SUMPRODUCT(Calc!$K$3:$K$22*(Calc!$G$3:$G$22&gt;B4609)*(Calc!$G$3:$G$22-B4609)*Calc!$I$3:$I$22)</f>
        <v/>
      </c>
      <c r="P4609">
        <f>I4609-G4609^2/k_n</f>
        <v/>
      </c>
      <c r="Q4609">
        <f>J4609-H4609^2/k_n</f>
        <v/>
      </c>
      <c r="R4609">
        <f>K4609-G4609*H4609/k_n</f>
        <v/>
      </c>
      <c r="S4609">
        <f>L4609-LTP3!$D$3*G4609/k_n</f>
        <v/>
      </c>
      <c r="T4609">
        <f>M4609-LTP3!$D$3*H4609/k_n</f>
        <v/>
      </c>
      <c r="U4609">
        <f>N4609-G4609*LTP3!$D$4/k_n</f>
        <v/>
      </c>
      <c r="V4609">
        <f>O4609-H4609*LTP3!$D$4/k_n</f>
        <v/>
      </c>
      <c r="W4609">
        <f>((LTP3!$D$5)*((P4609)*(Q4609)-(R4609)*(R4609))-(S4609)*((S4609)*(Q4609)-(R4609)*(T4609))+(T4609)*((S4609)*(R4609)-(P4609)*(T4609)))</f>
        <v/>
      </c>
      <c r="X4609">
        <f>IF(ABS(W4609)&gt;1E-12,((LTP3!$D$6)*((P4609)*(Q4609)-(R4609)*(R4609))-(S4609)*((U4609)*(Q4609)-(R4609)*(V4609))+(T4609)*((U4609)*(R4609)-(P4609)*(V4609)))/W4609,0)</f>
        <v/>
      </c>
      <c r="Y4609">
        <f>IF(ABS(W4609)&gt;1E-12,((LTP3!$D$5)*((U4609)*(Q4609)-(R4609)*(V4609))-(LTP3!$D$6)*((S4609)*(Q4609)-(R4609)*(T4609))+(T4609)*((S4609)*(V4609)-(U4609)*(T4609)))/W4609,0)</f>
        <v/>
      </c>
      <c r="Z4609">
        <f>IF(ABS(W4609)&gt;1E-12,((LTP3!$D$5)*((P4609)*(V4609)-(U4609)*(R4609))-(S4609)*((S4609)*(V4609)-(U4609)*(T4609))+(LTP3!$D$6)*((S4609)*(R4609)-(P4609)*(T4609)))/W4609,0)</f>
        <v/>
      </c>
      <c r="AA4609">
        <f>LTP3!$D$7-X4609*LTP3!$D$6-Y4609*U4609-Z4609*V4609</f>
        <v/>
      </c>
      <c r="AB4609">
        <f>IF(AND(F4609,ABS(W4609)&gt;1E-12,Y4609&gt;0,Z4609&gt;0),AA4609,1E+300)</f>
        <v/>
      </c>
    </row>
    <row r="4610">
      <c r="A4610">
        <f>$I$4-$B$5/10+$B$5*20/100</f>
        <v/>
      </c>
      <c r="B4610">
        <f>$J$4-$B$5/10+$B$5*10/100</f>
        <v/>
      </c>
      <c r="C4610">
        <f>SUMPRODUCT(Calc!$K$3:$K$22*(Calc!$G$3:$G$22&lt;=A4610))</f>
        <v/>
      </c>
      <c r="D4610">
        <f>SUMPRODUCT(Calc!$K$3:$K$22*(Calc!$G$3:$G$22&gt;A4610)*(Calc!$G$3:$G$22&lt;B4610))</f>
        <v/>
      </c>
      <c r="E4610">
        <f>SUMPRODUCT(Calc!$K$3:$K$22*(Calc!$G$3:$G$22&gt;=B4610))</f>
        <v/>
      </c>
      <c r="F4610">
        <f>AND(k_n&gt;=5,B4610&gt;A4610+1E-9,C4610&gt;=2,D4610&gt;=1,E4610&gt;=2)</f>
        <v/>
      </c>
      <c r="G4610">
        <f>SUMPRODUCT(Calc!$K$3:$K$22*(Calc!$G$3:$G$22&gt;A4610)*(Calc!$G$3:$G$22-A4610))</f>
        <v/>
      </c>
      <c r="H4610">
        <f>SUMPRODUCT(Calc!$K$3:$K$22*(Calc!$G$3:$G$22&gt;B4610)*(Calc!$G$3:$G$22-B4610))</f>
        <v/>
      </c>
      <c r="I4610">
        <f>SUMPRODUCT(Calc!$K$3:$K$22*(Calc!$G$3:$G$22&gt;A4610)*(Calc!$G$3:$G$22-A4610)^2)</f>
        <v/>
      </c>
      <c r="J4610">
        <f>SUMPRODUCT(Calc!$K$3:$K$22*(Calc!$G$3:$G$22&gt;B4610)*(Calc!$G$3:$G$22-B4610)^2)</f>
        <v/>
      </c>
      <c r="K4610">
        <f>SUMPRODUCT(Calc!$K$3:$K$22*(Calc!$G$3:$G$22&gt;A4610)*(Calc!$G$3:$G$22-A4610)*(Calc!$G$3:$G$22&gt;B4610)*(Calc!$G$3:$G$22-B4610))</f>
        <v/>
      </c>
      <c r="L4610">
        <f>SUMPRODUCT(Calc!$K$3:$K$22*(Calc!$G$3:$G$22&gt;A4610)*(Calc!$G$3:$G$22-A4610)*Calc!$G$3:$G$22)</f>
        <v/>
      </c>
      <c r="M4610">
        <f>SUMPRODUCT(Calc!$K$3:$K$22*(Calc!$G$3:$G$22&gt;B4610)*(Calc!$G$3:$G$22-B4610)*Calc!$G$3:$G$22)</f>
        <v/>
      </c>
      <c r="N4610">
        <f>SUMPRODUCT(Calc!$K$3:$K$22*(Calc!$G$3:$G$22&gt;A4610)*(Calc!$G$3:$G$22-A4610)*Calc!$I$3:$I$22)</f>
        <v/>
      </c>
      <c r="O4610">
        <f>SUMPRODUCT(Calc!$K$3:$K$22*(Calc!$G$3:$G$22&gt;B4610)*(Calc!$G$3:$G$22-B4610)*Calc!$I$3:$I$22)</f>
        <v/>
      </c>
      <c r="P4610">
        <f>I4610-G4610^2/k_n</f>
        <v/>
      </c>
      <c r="Q4610">
        <f>J4610-H4610^2/k_n</f>
        <v/>
      </c>
      <c r="R4610">
        <f>K4610-G4610*H4610/k_n</f>
        <v/>
      </c>
      <c r="S4610">
        <f>L4610-LTP3!$D$3*G4610/k_n</f>
        <v/>
      </c>
      <c r="T4610">
        <f>M4610-LTP3!$D$3*H4610/k_n</f>
        <v/>
      </c>
      <c r="U4610">
        <f>N4610-G4610*LTP3!$D$4/k_n</f>
        <v/>
      </c>
      <c r="V4610">
        <f>O4610-H4610*LTP3!$D$4/k_n</f>
        <v/>
      </c>
      <c r="W4610">
        <f>((LTP3!$D$5)*((P4610)*(Q4610)-(R4610)*(R4610))-(S4610)*((S4610)*(Q4610)-(R4610)*(T4610))+(T4610)*((S4610)*(R4610)-(P4610)*(T4610)))</f>
        <v/>
      </c>
      <c r="X4610">
        <f>IF(ABS(W4610)&gt;1E-12,((LTP3!$D$6)*((P4610)*(Q4610)-(R4610)*(R4610))-(S4610)*((U4610)*(Q4610)-(R4610)*(V4610))+(T4610)*((U4610)*(R4610)-(P4610)*(V4610)))/W4610,0)</f>
        <v/>
      </c>
      <c r="Y4610">
        <f>IF(ABS(W4610)&gt;1E-12,((LTP3!$D$5)*((U4610)*(Q4610)-(R4610)*(V4610))-(LTP3!$D$6)*((S4610)*(Q4610)-(R4610)*(T4610))+(T4610)*((S4610)*(V4610)-(U4610)*(T4610)))/W4610,0)</f>
        <v/>
      </c>
      <c r="Z4610">
        <f>IF(ABS(W4610)&gt;1E-12,((LTP3!$D$5)*((P4610)*(V4610)-(U4610)*(R4610))-(S4610)*((S4610)*(V4610)-(U4610)*(T4610))+(LTP3!$D$6)*((S4610)*(R4610)-(P4610)*(T4610)))/W4610,0)</f>
        <v/>
      </c>
      <c r="AA4610">
        <f>LTP3!$D$7-X4610*LTP3!$D$6-Y4610*U4610-Z4610*V4610</f>
        <v/>
      </c>
      <c r="AB4610">
        <f>IF(AND(F4610,ABS(W4610)&gt;1E-12,Y4610&gt;0,Z4610&gt;0),AA4610,1E+300)</f>
        <v/>
      </c>
    </row>
    <row r="4611">
      <c r="A4611">
        <f>$I$4-$B$5/10+$B$5*20/100</f>
        <v/>
      </c>
      <c r="B4611">
        <f>$J$4-$B$5/10+$B$5*11/100</f>
        <v/>
      </c>
      <c r="C4611">
        <f>SUMPRODUCT(Calc!$K$3:$K$22*(Calc!$G$3:$G$22&lt;=A4611))</f>
        <v/>
      </c>
      <c r="D4611">
        <f>SUMPRODUCT(Calc!$K$3:$K$22*(Calc!$G$3:$G$22&gt;A4611)*(Calc!$G$3:$G$22&lt;B4611))</f>
        <v/>
      </c>
      <c r="E4611">
        <f>SUMPRODUCT(Calc!$K$3:$K$22*(Calc!$G$3:$G$22&gt;=B4611))</f>
        <v/>
      </c>
      <c r="F4611">
        <f>AND(k_n&gt;=5,B4611&gt;A4611+1E-9,C4611&gt;=2,D4611&gt;=1,E4611&gt;=2)</f>
        <v/>
      </c>
      <c r="G4611">
        <f>SUMPRODUCT(Calc!$K$3:$K$22*(Calc!$G$3:$G$22&gt;A4611)*(Calc!$G$3:$G$22-A4611))</f>
        <v/>
      </c>
      <c r="H4611">
        <f>SUMPRODUCT(Calc!$K$3:$K$22*(Calc!$G$3:$G$22&gt;B4611)*(Calc!$G$3:$G$22-B4611))</f>
        <v/>
      </c>
      <c r="I4611">
        <f>SUMPRODUCT(Calc!$K$3:$K$22*(Calc!$G$3:$G$22&gt;A4611)*(Calc!$G$3:$G$22-A4611)^2)</f>
        <v/>
      </c>
      <c r="J4611">
        <f>SUMPRODUCT(Calc!$K$3:$K$22*(Calc!$G$3:$G$22&gt;B4611)*(Calc!$G$3:$G$22-B4611)^2)</f>
        <v/>
      </c>
      <c r="K4611">
        <f>SUMPRODUCT(Calc!$K$3:$K$22*(Calc!$G$3:$G$22&gt;A4611)*(Calc!$G$3:$G$22-A4611)*(Calc!$G$3:$G$22&gt;B4611)*(Calc!$G$3:$G$22-B4611))</f>
        <v/>
      </c>
      <c r="L4611">
        <f>SUMPRODUCT(Calc!$K$3:$K$22*(Calc!$G$3:$G$22&gt;A4611)*(Calc!$G$3:$G$22-A4611)*Calc!$G$3:$G$22)</f>
        <v/>
      </c>
      <c r="M4611">
        <f>SUMPRODUCT(Calc!$K$3:$K$22*(Calc!$G$3:$G$22&gt;B4611)*(Calc!$G$3:$G$22-B4611)*Calc!$G$3:$G$22)</f>
        <v/>
      </c>
      <c r="N4611">
        <f>SUMPRODUCT(Calc!$K$3:$K$22*(Calc!$G$3:$G$22&gt;A4611)*(Calc!$G$3:$G$22-A4611)*Calc!$I$3:$I$22)</f>
        <v/>
      </c>
      <c r="O4611">
        <f>SUMPRODUCT(Calc!$K$3:$K$22*(Calc!$G$3:$G$22&gt;B4611)*(Calc!$G$3:$G$22-B4611)*Calc!$I$3:$I$22)</f>
        <v/>
      </c>
      <c r="P4611">
        <f>I4611-G4611^2/k_n</f>
        <v/>
      </c>
      <c r="Q4611">
        <f>J4611-H4611^2/k_n</f>
        <v/>
      </c>
      <c r="R4611">
        <f>K4611-G4611*H4611/k_n</f>
        <v/>
      </c>
      <c r="S4611">
        <f>L4611-LTP3!$D$3*G4611/k_n</f>
        <v/>
      </c>
      <c r="T4611">
        <f>M4611-LTP3!$D$3*H4611/k_n</f>
        <v/>
      </c>
      <c r="U4611">
        <f>N4611-G4611*LTP3!$D$4/k_n</f>
        <v/>
      </c>
      <c r="V4611">
        <f>O4611-H4611*LTP3!$D$4/k_n</f>
        <v/>
      </c>
      <c r="W4611">
        <f>((LTP3!$D$5)*((P4611)*(Q4611)-(R4611)*(R4611))-(S4611)*((S4611)*(Q4611)-(R4611)*(T4611))+(T4611)*((S4611)*(R4611)-(P4611)*(T4611)))</f>
        <v/>
      </c>
      <c r="X4611">
        <f>IF(ABS(W4611)&gt;1E-12,((LTP3!$D$6)*((P4611)*(Q4611)-(R4611)*(R4611))-(S4611)*((U4611)*(Q4611)-(R4611)*(V4611))+(T4611)*((U4611)*(R4611)-(P4611)*(V4611)))/W4611,0)</f>
        <v/>
      </c>
      <c r="Y4611">
        <f>IF(ABS(W4611)&gt;1E-12,((LTP3!$D$5)*((U4611)*(Q4611)-(R4611)*(V4611))-(LTP3!$D$6)*((S4611)*(Q4611)-(R4611)*(T4611))+(T4611)*((S4611)*(V4611)-(U4611)*(T4611)))/W4611,0)</f>
        <v/>
      </c>
      <c r="Z4611">
        <f>IF(ABS(W4611)&gt;1E-12,((LTP3!$D$5)*((P4611)*(V4611)-(U4611)*(R4611))-(S4611)*((S4611)*(V4611)-(U4611)*(T4611))+(LTP3!$D$6)*((S4611)*(R4611)-(P4611)*(T4611)))/W4611,0)</f>
        <v/>
      </c>
      <c r="AA4611">
        <f>LTP3!$D$7-X4611*LTP3!$D$6-Y4611*U4611-Z4611*V4611</f>
        <v/>
      </c>
      <c r="AB4611">
        <f>IF(AND(F4611,ABS(W4611)&gt;1E-12,Y4611&gt;0,Z4611&gt;0),AA4611,1E+300)</f>
        <v/>
      </c>
    </row>
    <row r="4612">
      <c r="A4612">
        <f>$I$4-$B$5/10+$B$5*20/100</f>
        <v/>
      </c>
      <c r="B4612">
        <f>$J$4-$B$5/10+$B$5*12/100</f>
        <v/>
      </c>
      <c r="C4612">
        <f>SUMPRODUCT(Calc!$K$3:$K$22*(Calc!$G$3:$G$22&lt;=A4612))</f>
        <v/>
      </c>
      <c r="D4612">
        <f>SUMPRODUCT(Calc!$K$3:$K$22*(Calc!$G$3:$G$22&gt;A4612)*(Calc!$G$3:$G$22&lt;B4612))</f>
        <v/>
      </c>
      <c r="E4612">
        <f>SUMPRODUCT(Calc!$K$3:$K$22*(Calc!$G$3:$G$22&gt;=B4612))</f>
        <v/>
      </c>
      <c r="F4612">
        <f>AND(k_n&gt;=5,B4612&gt;A4612+1E-9,C4612&gt;=2,D4612&gt;=1,E4612&gt;=2)</f>
        <v/>
      </c>
      <c r="G4612">
        <f>SUMPRODUCT(Calc!$K$3:$K$22*(Calc!$G$3:$G$22&gt;A4612)*(Calc!$G$3:$G$22-A4612))</f>
        <v/>
      </c>
      <c r="H4612">
        <f>SUMPRODUCT(Calc!$K$3:$K$22*(Calc!$G$3:$G$22&gt;B4612)*(Calc!$G$3:$G$22-B4612))</f>
        <v/>
      </c>
      <c r="I4612">
        <f>SUMPRODUCT(Calc!$K$3:$K$22*(Calc!$G$3:$G$22&gt;A4612)*(Calc!$G$3:$G$22-A4612)^2)</f>
        <v/>
      </c>
      <c r="J4612">
        <f>SUMPRODUCT(Calc!$K$3:$K$22*(Calc!$G$3:$G$22&gt;B4612)*(Calc!$G$3:$G$22-B4612)^2)</f>
        <v/>
      </c>
      <c r="K4612">
        <f>SUMPRODUCT(Calc!$K$3:$K$22*(Calc!$G$3:$G$22&gt;A4612)*(Calc!$G$3:$G$22-A4612)*(Calc!$G$3:$G$22&gt;B4612)*(Calc!$G$3:$G$22-B4612))</f>
        <v/>
      </c>
      <c r="L4612">
        <f>SUMPRODUCT(Calc!$K$3:$K$22*(Calc!$G$3:$G$22&gt;A4612)*(Calc!$G$3:$G$22-A4612)*Calc!$G$3:$G$22)</f>
        <v/>
      </c>
      <c r="M4612">
        <f>SUMPRODUCT(Calc!$K$3:$K$22*(Calc!$G$3:$G$22&gt;B4612)*(Calc!$G$3:$G$22-B4612)*Calc!$G$3:$G$22)</f>
        <v/>
      </c>
      <c r="N4612">
        <f>SUMPRODUCT(Calc!$K$3:$K$22*(Calc!$G$3:$G$22&gt;A4612)*(Calc!$G$3:$G$22-A4612)*Calc!$I$3:$I$22)</f>
        <v/>
      </c>
      <c r="O4612">
        <f>SUMPRODUCT(Calc!$K$3:$K$22*(Calc!$G$3:$G$22&gt;B4612)*(Calc!$G$3:$G$22-B4612)*Calc!$I$3:$I$22)</f>
        <v/>
      </c>
      <c r="P4612">
        <f>I4612-G4612^2/k_n</f>
        <v/>
      </c>
      <c r="Q4612">
        <f>J4612-H4612^2/k_n</f>
        <v/>
      </c>
      <c r="R4612">
        <f>K4612-G4612*H4612/k_n</f>
        <v/>
      </c>
      <c r="S4612">
        <f>L4612-LTP3!$D$3*G4612/k_n</f>
        <v/>
      </c>
      <c r="T4612">
        <f>M4612-LTP3!$D$3*H4612/k_n</f>
        <v/>
      </c>
      <c r="U4612">
        <f>N4612-G4612*LTP3!$D$4/k_n</f>
        <v/>
      </c>
      <c r="V4612">
        <f>O4612-H4612*LTP3!$D$4/k_n</f>
        <v/>
      </c>
      <c r="W4612">
        <f>((LTP3!$D$5)*((P4612)*(Q4612)-(R4612)*(R4612))-(S4612)*((S4612)*(Q4612)-(R4612)*(T4612))+(T4612)*((S4612)*(R4612)-(P4612)*(T4612)))</f>
        <v/>
      </c>
      <c r="X4612">
        <f>IF(ABS(W4612)&gt;1E-12,((LTP3!$D$6)*((P4612)*(Q4612)-(R4612)*(R4612))-(S4612)*((U4612)*(Q4612)-(R4612)*(V4612))+(T4612)*((U4612)*(R4612)-(P4612)*(V4612)))/W4612,0)</f>
        <v/>
      </c>
      <c r="Y4612">
        <f>IF(ABS(W4612)&gt;1E-12,((LTP3!$D$5)*((U4612)*(Q4612)-(R4612)*(V4612))-(LTP3!$D$6)*((S4612)*(Q4612)-(R4612)*(T4612))+(T4612)*((S4612)*(V4612)-(U4612)*(T4612)))/W4612,0)</f>
        <v/>
      </c>
      <c r="Z4612">
        <f>IF(ABS(W4612)&gt;1E-12,((LTP3!$D$5)*((P4612)*(V4612)-(U4612)*(R4612))-(S4612)*((S4612)*(V4612)-(U4612)*(T4612))+(LTP3!$D$6)*((S4612)*(R4612)-(P4612)*(T4612)))/W4612,0)</f>
        <v/>
      </c>
      <c r="AA4612">
        <f>LTP3!$D$7-X4612*LTP3!$D$6-Y4612*U4612-Z4612*V4612</f>
        <v/>
      </c>
      <c r="AB4612">
        <f>IF(AND(F4612,ABS(W4612)&gt;1E-12,Y4612&gt;0,Z4612&gt;0),AA4612,1E+300)</f>
        <v/>
      </c>
    </row>
    <row r="4613">
      <c r="A4613">
        <f>$I$4-$B$5/10+$B$5*20/100</f>
        <v/>
      </c>
      <c r="B4613">
        <f>$J$4-$B$5/10+$B$5*13/100</f>
        <v/>
      </c>
      <c r="C4613">
        <f>SUMPRODUCT(Calc!$K$3:$K$22*(Calc!$G$3:$G$22&lt;=A4613))</f>
        <v/>
      </c>
      <c r="D4613">
        <f>SUMPRODUCT(Calc!$K$3:$K$22*(Calc!$G$3:$G$22&gt;A4613)*(Calc!$G$3:$G$22&lt;B4613))</f>
        <v/>
      </c>
      <c r="E4613">
        <f>SUMPRODUCT(Calc!$K$3:$K$22*(Calc!$G$3:$G$22&gt;=B4613))</f>
        <v/>
      </c>
      <c r="F4613">
        <f>AND(k_n&gt;=5,B4613&gt;A4613+1E-9,C4613&gt;=2,D4613&gt;=1,E4613&gt;=2)</f>
        <v/>
      </c>
      <c r="G4613">
        <f>SUMPRODUCT(Calc!$K$3:$K$22*(Calc!$G$3:$G$22&gt;A4613)*(Calc!$G$3:$G$22-A4613))</f>
        <v/>
      </c>
      <c r="H4613">
        <f>SUMPRODUCT(Calc!$K$3:$K$22*(Calc!$G$3:$G$22&gt;B4613)*(Calc!$G$3:$G$22-B4613))</f>
        <v/>
      </c>
      <c r="I4613">
        <f>SUMPRODUCT(Calc!$K$3:$K$22*(Calc!$G$3:$G$22&gt;A4613)*(Calc!$G$3:$G$22-A4613)^2)</f>
        <v/>
      </c>
      <c r="J4613">
        <f>SUMPRODUCT(Calc!$K$3:$K$22*(Calc!$G$3:$G$22&gt;B4613)*(Calc!$G$3:$G$22-B4613)^2)</f>
        <v/>
      </c>
      <c r="K4613">
        <f>SUMPRODUCT(Calc!$K$3:$K$22*(Calc!$G$3:$G$22&gt;A4613)*(Calc!$G$3:$G$22-A4613)*(Calc!$G$3:$G$22&gt;B4613)*(Calc!$G$3:$G$22-B4613))</f>
        <v/>
      </c>
      <c r="L4613">
        <f>SUMPRODUCT(Calc!$K$3:$K$22*(Calc!$G$3:$G$22&gt;A4613)*(Calc!$G$3:$G$22-A4613)*Calc!$G$3:$G$22)</f>
        <v/>
      </c>
      <c r="M4613">
        <f>SUMPRODUCT(Calc!$K$3:$K$22*(Calc!$G$3:$G$22&gt;B4613)*(Calc!$G$3:$G$22-B4613)*Calc!$G$3:$G$22)</f>
        <v/>
      </c>
      <c r="N4613">
        <f>SUMPRODUCT(Calc!$K$3:$K$22*(Calc!$G$3:$G$22&gt;A4613)*(Calc!$G$3:$G$22-A4613)*Calc!$I$3:$I$22)</f>
        <v/>
      </c>
      <c r="O4613">
        <f>SUMPRODUCT(Calc!$K$3:$K$22*(Calc!$G$3:$G$22&gt;B4613)*(Calc!$G$3:$G$22-B4613)*Calc!$I$3:$I$22)</f>
        <v/>
      </c>
      <c r="P4613">
        <f>I4613-G4613^2/k_n</f>
        <v/>
      </c>
      <c r="Q4613">
        <f>J4613-H4613^2/k_n</f>
        <v/>
      </c>
      <c r="R4613">
        <f>K4613-G4613*H4613/k_n</f>
        <v/>
      </c>
      <c r="S4613">
        <f>L4613-LTP3!$D$3*G4613/k_n</f>
        <v/>
      </c>
      <c r="T4613">
        <f>M4613-LTP3!$D$3*H4613/k_n</f>
        <v/>
      </c>
      <c r="U4613">
        <f>N4613-G4613*LTP3!$D$4/k_n</f>
        <v/>
      </c>
      <c r="V4613">
        <f>O4613-H4613*LTP3!$D$4/k_n</f>
        <v/>
      </c>
      <c r="W4613">
        <f>((LTP3!$D$5)*((P4613)*(Q4613)-(R4613)*(R4613))-(S4613)*((S4613)*(Q4613)-(R4613)*(T4613))+(T4613)*((S4613)*(R4613)-(P4613)*(T4613)))</f>
        <v/>
      </c>
      <c r="X4613">
        <f>IF(ABS(W4613)&gt;1E-12,((LTP3!$D$6)*((P4613)*(Q4613)-(R4613)*(R4613))-(S4613)*((U4613)*(Q4613)-(R4613)*(V4613))+(T4613)*((U4613)*(R4613)-(P4613)*(V4613)))/W4613,0)</f>
        <v/>
      </c>
      <c r="Y4613">
        <f>IF(ABS(W4613)&gt;1E-12,((LTP3!$D$5)*((U4613)*(Q4613)-(R4613)*(V4613))-(LTP3!$D$6)*((S4613)*(Q4613)-(R4613)*(T4613))+(T4613)*((S4613)*(V4613)-(U4613)*(T4613)))/W4613,0)</f>
        <v/>
      </c>
      <c r="Z4613">
        <f>IF(ABS(W4613)&gt;1E-12,((LTP3!$D$5)*((P4613)*(V4613)-(U4613)*(R4613))-(S4613)*((S4613)*(V4613)-(U4613)*(T4613))+(LTP3!$D$6)*((S4613)*(R4613)-(P4613)*(T4613)))/W4613,0)</f>
        <v/>
      </c>
      <c r="AA4613">
        <f>LTP3!$D$7-X4613*LTP3!$D$6-Y4613*U4613-Z4613*V4613</f>
        <v/>
      </c>
      <c r="AB4613">
        <f>IF(AND(F4613,ABS(W4613)&gt;1E-12,Y4613&gt;0,Z4613&gt;0),AA4613,1E+300)</f>
        <v/>
      </c>
    </row>
    <row r="4614">
      <c r="A4614">
        <f>$I$4-$B$5/10+$B$5*20/100</f>
        <v/>
      </c>
      <c r="B4614">
        <f>$J$4-$B$5/10+$B$5*14/100</f>
        <v/>
      </c>
      <c r="C4614">
        <f>SUMPRODUCT(Calc!$K$3:$K$22*(Calc!$G$3:$G$22&lt;=A4614))</f>
        <v/>
      </c>
      <c r="D4614">
        <f>SUMPRODUCT(Calc!$K$3:$K$22*(Calc!$G$3:$G$22&gt;A4614)*(Calc!$G$3:$G$22&lt;B4614))</f>
        <v/>
      </c>
      <c r="E4614">
        <f>SUMPRODUCT(Calc!$K$3:$K$22*(Calc!$G$3:$G$22&gt;=B4614))</f>
        <v/>
      </c>
      <c r="F4614">
        <f>AND(k_n&gt;=5,B4614&gt;A4614+1E-9,C4614&gt;=2,D4614&gt;=1,E4614&gt;=2)</f>
        <v/>
      </c>
      <c r="G4614">
        <f>SUMPRODUCT(Calc!$K$3:$K$22*(Calc!$G$3:$G$22&gt;A4614)*(Calc!$G$3:$G$22-A4614))</f>
        <v/>
      </c>
      <c r="H4614">
        <f>SUMPRODUCT(Calc!$K$3:$K$22*(Calc!$G$3:$G$22&gt;B4614)*(Calc!$G$3:$G$22-B4614))</f>
        <v/>
      </c>
      <c r="I4614">
        <f>SUMPRODUCT(Calc!$K$3:$K$22*(Calc!$G$3:$G$22&gt;A4614)*(Calc!$G$3:$G$22-A4614)^2)</f>
        <v/>
      </c>
      <c r="J4614">
        <f>SUMPRODUCT(Calc!$K$3:$K$22*(Calc!$G$3:$G$22&gt;B4614)*(Calc!$G$3:$G$22-B4614)^2)</f>
        <v/>
      </c>
      <c r="K4614">
        <f>SUMPRODUCT(Calc!$K$3:$K$22*(Calc!$G$3:$G$22&gt;A4614)*(Calc!$G$3:$G$22-A4614)*(Calc!$G$3:$G$22&gt;B4614)*(Calc!$G$3:$G$22-B4614))</f>
        <v/>
      </c>
      <c r="L4614">
        <f>SUMPRODUCT(Calc!$K$3:$K$22*(Calc!$G$3:$G$22&gt;A4614)*(Calc!$G$3:$G$22-A4614)*Calc!$G$3:$G$22)</f>
        <v/>
      </c>
      <c r="M4614">
        <f>SUMPRODUCT(Calc!$K$3:$K$22*(Calc!$G$3:$G$22&gt;B4614)*(Calc!$G$3:$G$22-B4614)*Calc!$G$3:$G$22)</f>
        <v/>
      </c>
      <c r="N4614">
        <f>SUMPRODUCT(Calc!$K$3:$K$22*(Calc!$G$3:$G$22&gt;A4614)*(Calc!$G$3:$G$22-A4614)*Calc!$I$3:$I$22)</f>
        <v/>
      </c>
      <c r="O4614">
        <f>SUMPRODUCT(Calc!$K$3:$K$22*(Calc!$G$3:$G$22&gt;B4614)*(Calc!$G$3:$G$22-B4614)*Calc!$I$3:$I$22)</f>
        <v/>
      </c>
      <c r="P4614">
        <f>I4614-G4614^2/k_n</f>
        <v/>
      </c>
      <c r="Q4614">
        <f>J4614-H4614^2/k_n</f>
        <v/>
      </c>
      <c r="R4614">
        <f>K4614-G4614*H4614/k_n</f>
        <v/>
      </c>
      <c r="S4614">
        <f>L4614-LTP3!$D$3*G4614/k_n</f>
        <v/>
      </c>
      <c r="T4614">
        <f>M4614-LTP3!$D$3*H4614/k_n</f>
        <v/>
      </c>
      <c r="U4614">
        <f>N4614-G4614*LTP3!$D$4/k_n</f>
        <v/>
      </c>
      <c r="V4614">
        <f>O4614-H4614*LTP3!$D$4/k_n</f>
        <v/>
      </c>
      <c r="W4614">
        <f>((LTP3!$D$5)*((P4614)*(Q4614)-(R4614)*(R4614))-(S4614)*((S4614)*(Q4614)-(R4614)*(T4614))+(T4614)*((S4614)*(R4614)-(P4614)*(T4614)))</f>
        <v/>
      </c>
      <c r="X4614">
        <f>IF(ABS(W4614)&gt;1E-12,((LTP3!$D$6)*((P4614)*(Q4614)-(R4614)*(R4614))-(S4614)*((U4614)*(Q4614)-(R4614)*(V4614))+(T4614)*((U4614)*(R4614)-(P4614)*(V4614)))/W4614,0)</f>
        <v/>
      </c>
      <c r="Y4614">
        <f>IF(ABS(W4614)&gt;1E-12,((LTP3!$D$5)*((U4614)*(Q4614)-(R4614)*(V4614))-(LTP3!$D$6)*((S4614)*(Q4614)-(R4614)*(T4614))+(T4614)*((S4614)*(V4614)-(U4614)*(T4614)))/W4614,0)</f>
        <v/>
      </c>
      <c r="Z4614">
        <f>IF(ABS(W4614)&gt;1E-12,((LTP3!$D$5)*((P4614)*(V4614)-(U4614)*(R4614))-(S4614)*((S4614)*(V4614)-(U4614)*(T4614))+(LTP3!$D$6)*((S4614)*(R4614)-(P4614)*(T4614)))/W4614,0)</f>
        <v/>
      </c>
      <c r="AA4614">
        <f>LTP3!$D$7-X4614*LTP3!$D$6-Y4614*U4614-Z4614*V4614</f>
        <v/>
      </c>
      <c r="AB4614">
        <f>IF(AND(F4614,ABS(W4614)&gt;1E-12,Y4614&gt;0,Z4614&gt;0),AA4614,1E+300)</f>
        <v/>
      </c>
    </row>
    <row r="4615">
      <c r="A4615">
        <f>$I$4-$B$5/10+$B$5*20/100</f>
        <v/>
      </c>
      <c r="B4615">
        <f>$J$4-$B$5/10+$B$5*15/100</f>
        <v/>
      </c>
      <c r="C4615">
        <f>SUMPRODUCT(Calc!$K$3:$K$22*(Calc!$G$3:$G$22&lt;=A4615))</f>
        <v/>
      </c>
      <c r="D4615">
        <f>SUMPRODUCT(Calc!$K$3:$K$22*(Calc!$G$3:$G$22&gt;A4615)*(Calc!$G$3:$G$22&lt;B4615))</f>
        <v/>
      </c>
      <c r="E4615">
        <f>SUMPRODUCT(Calc!$K$3:$K$22*(Calc!$G$3:$G$22&gt;=B4615))</f>
        <v/>
      </c>
      <c r="F4615">
        <f>AND(k_n&gt;=5,B4615&gt;A4615+1E-9,C4615&gt;=2,D4615&gt;=1,E4615&gt;=2)</f>
        <v/>
      </c>
      <c r="G4615">
        <f>SUMPRODUCT(Calc!$K$3:$K$22*(Calc!$G$3:$G$22&gt;A4615)*(Calc!$G$3:$G$22-A4615))</f>
        <v/>
      </c>
      <c r="H4615">
        <f>SUMPRODUCT(Calc!$K$3:$K$22*(Calc!$G$3:$G$22&gt;B4615)*(Calc!$G$3:$G$22-B4615))</f>
        <v/>
      </c>
      <c r="I4615">
        <f>SUMPRODUCT(Calc!$K$3:$K$22*(Calc!$G$3:$G$22&gt;A4615)*(Calc!$G$3:$G$22-A4615)^2)</f>
        <v/>
      </c>
      <c r="J4615">
        <f>SUMPRODUCT(Calc!$K$3:$K$22*(Calc!$G$3:$G$22&gt;B4615)*(Calc!$G$3:$G$22-B4615)^2)</f>
        <v/>
      </c>
      <c r="K4615">
        <f>SUMPRODUCT(Calc!$K$3:$K$22*(Calc!$G$3:$G$22&gt;A4615)*(Calc!$G$3:$G$22-A4615)*(Calc!$G$3:$G$22&gt;B4615)*(Calc!$G$3:$G$22-B4615))</f>
        <v/>
      </c>
      <c r="L4615">
        <f>SUMPRODUCT(Calc!$K$3:$K$22*(Calc!$G$3:$G$22&gt;A4615)*(Calc!$G$3:$G$22-A4615)*Calc!$G$3:$G$22)</f>
        <v/>
      </c>
      <c r="M4615">
        <f>SUMPRODUCT(Calc!$K$3:$K$22*(Calc!$G$3:$G$22&gt;B4615)*(Calc!$G$3:$G$22-B4615)*Calc!$G$3:$G$22)</f>
        <v/>
      </c>
      <c r="N4615">
        <f>SUMPRODUCT(Calc!$K$3:$K$22*(Calc!$G$3:$G$22&gt;A4615)*(Calc!$G$3:$G$22-A4615)*Calc!$I$3:$I$22)</f>
        <v/>
      </c>
      <c r="O4615">
        <f>SUMPRODUCT(Calc!$K$3:$K$22*(Calc!$G$3:$G$22&gt;B4615)*(Calc!$G$3:$G$22-B4615)*Calc!$I$3:$I$22)</f>
        <v/>
      </c>
      <c r="P4615">
        <f>I4615-G4615^2/k_n</f>
        <v/>
      </c>
      <c r="Q4615">
        <f>J4615-H4615^2/k_n</f>
        <v/>
      </c>
      <c r="R4615">
        <f>K4615-G4615*H4615/k_n</f>
        <v/>
      </c>
      <c r="S4615">
        <f>L4615-LTP3!$D$3*G4615/k_n</f>
        <v/>
      </c>
      <c r="T4615">
        <f>M4615-LTP3!$D$3*H4615/k_n</f>
        <v/>
      </c>
      <c r="U4615">
        <f>N4615-G4615*LTP3!$D$4/k_n</f>
        <v/>
      </c>
      <c r="V4615">
        <f>O4615-H4615*LTP3!$D$4/k_n</f>
        <v/>
      </c>
      <c r="W4615">
        <f>((LTP3!$D$5)*((P4615)*(Q4615)-(R4615)*(R4615))-(S4615)*((S4615)*(Q4615)-(R4615)*(T4615))+(T4615)*((S4615)*(R4615)-(P4615)*(T4615)))</f>
        <v/>
      </c>
      <c r="X4615">
        <f>IF(ABS(W4615)&gt;1E-12,((LTP3!$D$6)*((P4615)*(Q4615)-(R4615)*(R4615))-(S4615)*((U4615)*(Q4615)-(R4615)*(V4615))+(T4615)*((U4615)*(R4615)-(P4615)*(V4615)))/W4615,0)</f>
        <v/>
      </c>
      <c r="Y4615">
        <f>IF(ABS(W4615)&gt;1E-12,((LTP3!$D$5)*((U4615)*(Q4615)-(R4615)*(V4615))-(LTP3!$D$6)*((S4615)*(Q4615)-(R4615)*(T4615))+(T4615)*((S4615)*(V4615)-(U4615)*(T4615)))/W4615,0)</f>
        <v/>
      </c>
      <c r="Z4615">
        <f>IF(ABS(W4615)&gt;1E-12,((LTP3!$D$5)*((P4615)*(V4615)-(U4615)*(R4615))-(S4615)*((S4615)*(V4615)-(U4615)*(T4615))+(LTP3!$D$6)*((S4615)*(R4615)-(P4615)*(T4615)))/W4615,0)</f>
        <v/>
      </c>
      <c r="AA4615">
        <f>LTP3!$D$7-X4615*LTP3!$D$6-Y4615*U4615-Z4615*V4615</f>
        <v/>
      </c>
      <c r="AB4615">
        <f>IF(AND(F4615,ABS(W4615)&gt;1E-12,Y4615&gt;0,Z4615&gt;0),AA4615,1E+300)</f>
        <v/>
      </c>
    </row>
    <row r="4616">
      <c r="A4616">
        <f>$I$4-$B$5/10+$B$5*20/100</f>
        <v/>
      </c>
      <c r="B4616">
        <f>$J$4-$B$5/10+$B$5*16/100</f>
        <v/>
      </c>
      <c r="C4616">
        <f>SUMPRODUCT(Calc!$K$3:$K$22*(Calc!$G$3:$G$22&lt;=A4616))</f>
        <v/>
      </c>
      <c r="D4616">
        <f>SUMPRODUCT(Calc!$K$3:$K$22*(Calc!$G$3:$G$22&gt;A4616)*(Calc!$G$3:$G$22&lt;B4616))</f>
        <v/>
      </c>
      <c r="E4616">
        <f>SUMPRODUCT(Calc!$K$3:$K$22*(Calc!$G$3:$G$22&gt;=B4616))</f>
        <v/>
      </c>
      <c r="F4616">
        <f>AND(k_n&gt;=5,B4616&gt;A4616+1E-9,C4616&gt;=2,D4616&gt;=1,E4616&gt;=2)</f>
        <v/>
      </c>
      <c r="G4616">
        <f>SUMPRODUCT(Calc!$K$3:$K$22*(Calc!$G$3:$G$22&gt;A4616)*(Calc!$G$3:$G$22-A4616))</f>
        <v/>
      </c>
      <c r="H4616">
        <f>SUMPRODUCT(Calc!$K$3:$K$22*(Calc!$G$3:$G$22&gt;B4616)*(Calc!$G$3:$G$22-B4616))</f>
        <v/>
      </c>
      <c r="I4616">
        <f>SUMPRODUCT(Calc!$K$3:$K$22*(Calc!$G$3:$G$22&gt;A4616)*(Calc!$G$3:$G$22-A4616)^2)</f>
        <v/>
      </c>
      <c r="J4616">
        <f>SUMPRODUCT(Calc!$K$3:$K$22*(Calc!$G$3:$G$22&gt;B4616)*(Calc!$G$3:$G$22-B4616)^2)</f>
        <v/>
      </c>
      <c r="K4616">
        <f>SUMPRODUCT(Calc!$K$3:$K$22*(Calc!$G$3:$G$22&gt;A4616)*(Calc!$G$3:$G$22-A4616)*(Calc!$G$3:$G$22&gt;B4616)*(Calc!$G$3:$G$22-B4616))</f>
        <v/>
      </c>
      <c r="L4616">
        <f>SUMPRODUCT(Calc!$K$3:$K$22*(Calc!$G$3:$G$22&gt;A4616)*(Calc!$G$3:$G$22-A4616)*Calc!$G$3:$G$22)</f>
        <v/>
      </c>
      <c r="M4616">
        <f>SUMPRODUCT(Calc!$K$3:$K$22*(Calc!$G$3:$G$22&gt;B4616)*(Calc!$G$3:$G$22-B4616)*Calc!$G$3:$G$22)</f>
        <v/>
      </c>
      <c r="N4616">
        <f>SUMPRODUCT(Calc!$K$3:$K$22*(Calc!$G$3:$G$22&gt;A4616)*(Calc!$G$3:$G$22-A4616)*Calc!$I$3:$I$22)</f>
        <v/>
      </c>
      <c r="O4616">
        <f>SUMPRODUCT(Calc!$K$3:$K$22*(Calc!$G$3:$G$22&gt;B4616)*(Calc!$G$3:$G$22-B4616)*Calc!$I$3:$I$22)</f>
        <v/>
      </c>
      <c r="P4616">
        <f>I4616-G4616^2/k_n</f>
        <v/>
      </c>
      <c r="Q4616">
        <f>J4616-H4616^2/k_n</f>
        <v/>
      </c>
      <c r="R4616">
        <f>K4616-G4616*H4616/k_n</f>
        <v/>
      </c>
      <c r="S4616">
        <f>L4616-LTP3!$D$3*G4616/k_n</f>
        <v/>
      </c>
      <c r="T4616">
        <f>M4616-LTP3!$D$3*H4616/k_n</f>
        <v/>
      </c>
      <c r="U4616">
        <f>N4616-G4616*LTP3!$D$4/k_n</f>
        <v/>
      </c>
      <c r="V4616">
        <f>O4616-H4616*LTP3!$D$4/k_n</f>
        <v/>
      </c>
      <c r="W4616">
        <f>((LTP3!$D$5)*((P4616)*(Q4616)-(R4616)*(R4616))-(S4616)*((S4616)*(Q4616)-(R4616)*(T4616))+(T4616)*((S4616)*(R4616)-(P4616)*(T4616)))</f>
        <v/>
      </c>
      <c r="X4616">
        <f>IF(ABS(W4616)&gt;1E-12,((LTP3!$D$6)*((P4616)*(Q4616)-(R4616)*(R4616))-(S4616)*((U4616)*(Q4616)-(R4616)*(V4616))+(T4616)*((U4616)*(R4616)-(P4616)*(V4616)))/W4616,0)</f>
        <v/>
      </c>
      <c r="Y4616">
        <f>IF(ABS(W4616)&gt;1E-12,((LTP3!$D$5)*((U4616)*(Q4616)-(R4616)*(V4616))-(LTP3!$D$6)*((S4616)*(Q4616)-(R4616)*(T4616))+(T4616)*((S4616)*(V4616)-(U4616)*(T4616)))/W4616,0)</f>
        <v/>
      </c>
      <c r="Z4616">
        <f>IF(ABS(W4616)&gt;1E-12,((LTP3!$D$5)*((P4616)*(V4616)-(U4616)*(R4616))-(S4616)*((S4616)*(V4616)-(U4616)*(T4616))+(LTP3!$D$6)*((S4616)*(R4616)-(P4616)*(T4616)))/W4616,0)</f>
        <v/>
      </c>
      <c r="AA4616">
        <f>LTP3!$D$7-X4616*LTP3!$D$6-Y4616*U4616-Z4616*V4616</f>
        <v/>
      </c>
      <c r="AB4616">
        <f>IF(AND(F4616,ABS(W4616)&gt;1E-12,Y4616&gt;0,Z4616&gt;0),AA4616,1E+300)</f>
        <v/>
      </c>
    </row>
    <row r="4617">
      <c r="A4617">
        <f>$I$4-$B$5/10+$B$5*20/100</f>
        <v/>
      </c>
      <c r="B4617">
        <f>$J$4-$B$5/10+$B$5*17/100</f>
        <v/>
      </c>
      <c r="C4617">
        <f>SUMPRODUCT(Calc!$K$3:$K$22*(Calc!$G$3:$G$22&lt;=A4617))</f>
        <v/>
      </c>
      <c r="D4617">
        <f>SUMPRODUCT(Calc!$K$3:$K$22*(Calc!$G$3:$G$22&gt;A4617)*(Calc!$G$3:$G$22&lt;B4617))</f>
        <v/>
      </c>
      <c r="E4617">
        <f>SUMPRODUCT(Calc!$K$3:$K$22*(Calc!$G$3:$G$22&gt;=B4617))</f>
        <v/>
      </c>
      <c r="F4617">
        <f>AND(k_n&gt;=5,B4617&gt;A4617+1E-9,C4617&gt;=2,D4617&gt;=1,E4617&gt;=2)</f>
        <v/>
      </c>
      <c r="G4617">
        <f>SUMPRODUCT(Calc!$K$3:$K$22*(Calc!$G$3:$G$22&gt;A4617)*(Calc!$G$3:$G$22-A4617))</f>
        <v/>
      </c>
      <c r="H4617">
        <f>SUMPRODUCT(Calc!$K$3:$K$22*(Calc!$G$3:$G$22&gt;B4617)*(Calc!$G$3:$G$22-B4617))</f>
        <v/>
      </c>
      <c r="I4617">
        <f>SUMPRODUCT(Calc!$K$3:$K$22*(Calc!$G$3:$G$22&gt;A4617)*(Calc!$G$3:$G$22-A4617)^2)</f>
        <v/>
      </c>
      <c r="J4617">
        <f>SUMPRODUCT(Calc!$K$3:$K$22*(Calc!$G$3:$G$22&gt;B4617)*(Calc!$G$3:$G$22-B4617)^2)</f>
        <v/>
      </c>
      <c r="K4617">
        <f>SUMPRODUCT(Calc!$K$3:$K$22*(Calc!$G$3:$G$22&gt;A4617)*(Calc!$G$3:$G$22-A4617)*(Calc!$G$3:$G$22&gt;B4617)*(Calc!$G$3:$G$22-B4617))</f>
        <v/>
      </c>
      <c r="L4617">
        <f>SUMPRODUCT(Calc!$K$3:$K$22*(Calc!$G$3:$G$22&gt;A4617)*(Calc!$G$3:$G$22-A4617)*Calc!$G$3:$G$22)</f>
        <v/>
      </c>
      <c r="M4617">
        <f>SUMPRODUCT(Calc!$K$3:$K$22*(Calc!$G$3:$G$22&gt;B4617)*(Calc!$G$3:$G$22-B4617)*Calc!$G$3:$G$22)</f>
        <v/>
      </c>
      <c r="N4617">
        <f>SUMPRODUCT(Calc!$K$3:$K$22*(Calc!$G$3:$G$22&gt;A4617)*(Calc!$G$3:$G$22-A4617)*Calc!$I$3:$I$22)</f>
        <v/>
      </c>
      <c r="O4617">
        <f>SUMPRODUCT(Calc!$K$3:$K$22*(Calc!$G$3:$G$22&gt;B4617)*(Calc!$G$3:$G$22-B4617)*Calc!$I$3:$I$22)</f>
        <v/>
      </c>
      <c r="P4617">
        <f>I4617-G4617^2/k_n</f>
        <v/>
      </c>
      <c r="Q4617">
        <f>J4617-H4617^2/k_n</f>
        <v/>
      </c>
      <c r="R4617">
        <f>K4617-G4617*H4617/k_n</f>
        <v/>
      </c>
      <c r="S4617">
        <f>L4617-LTP3!$D$3*G4617/k_n</f>
        <v/>
      </c>
      <c r="T4617">
        <f>M4617-LTP3!$D$3*H4617/k_n</f>
        <v/>
      </c>
      <c r="U4617">
        <f>N4617-G4617*LTP3!$D$4/k_n</f>
        <v/>
      </c>
      <c r="V4617">
        <f>O4617-H4617*LTP3!$D$4/k_n</f>
        <v/>
      </c>
      <c r="W4617">
        <f>((LTP3!$D$5)*((P4617)*(Q4617)-(R4617)*(R4617))-(S4617)*((S4617)*(Q4617)-(R4617)*(T4617))+(T4617)*((S4617)*(R4617)-(P4617)*(T4617)))</f>
        <v/>
      </c>
      <c r="X4617">
        <f>IF(ABS(W4617)&gt;1E-12,((LTP3!$D$6)*((P4617)*(Q4617)-(R4617)*(R4617))-(S4617)*((U4617)*(Q4617)-(R4617)*(V4617))+(T4617)*((U4617)*(R4617)-(P4617)*(V4617)))/W4617,0)</f>
        <v/>
      </c>
      <c r="Y4617">
        <f>IF(ABS(W4617)&gt;1E-12,((LTP3!$D$5)*((U4617)*(Q4617)-(R4617)*(V4617))-(LTP3!$D$6)*((S4617)*(Q4617)-(R4617)*(T4617))+(T4617)*((S4617)*(V4617)-(U4617)*(T4617)))/W4617,0)</f>
        <v/>
      </c>
      <c r="Z4617">
        <f>IF(ABS(W4617)&gt;1E-12,((LTP3!$D$5)*((P4617)*(V4617)-(U4617)*(R4617))-(S4617)*((S4617)*(V4617)-(U4617)*(T4617))+(LTP3!$D$6)*((S4617)*(R4617)-(P4617)*(T4617)))/W4617,0)</f>
        <v/>
      </c>
      <c r="AA4617">
        <f>LTP3!$D$7-X4617*LTP3!$D$6-Y4617*U4617-Z4617*V4617</f>
        <v/>
      </c>
      <c r="AB4617">
        <f>IF(AND(F4617,ABS(W4617)&gt;1E-12,Y4617&gt;0,Z4617&gt;0),AA4617,1E+300)</f>
        <v/>
      </c>
    </row>
    <row r="4618">
      <c r="A4618">
        <f>$I$4-$B$5/10+$B$5*20/100</f>
        <v/>
      </c>
      <c r="B4618">
        <f>$J$4-$B$5/10+$B$5*18/100</f>
        <v/>
      </c>
      <c r="C4618">
        <f>SUMPRODUCT(Calc!$K$3:$K$22*(Calc!$G$3:$G$22&lt;=A4618))</f>
        <v/>
      </c>
      <c r="D4618">
        <f>SUMPRODUCT(Calc!$K$3:$K$22*(Calc!$G$3:$G$22&gt;A4618)*(Calc!$G$3:$G$22&lt;B4618))</f>
        <v/>
      </c>
      <c r="E4618">
        <f>SUMPRODUCT(Calc!$K$3:$K$22*(Calc!$G$3:$G$22&gt;=B4618))</f>
        <v/>
      </c>
      <c r="F4618">
        <f>AND(k_n&gt;=5,B4618&gt;A4618+1E-9,C4618&gt;=2,D4618&gt;=1,E4618&gt;=2)</f>
        <v/>
      </c>
      <c r="G4618">
        <f>SUMPRODUCT(Calc!$K$3:$K$22*(Calc!$G$3:$G$22&gt;A4618)*(Calc!$G$3:$G$22-A4618))</f>
        <v/>
      </c>
      <c r="H4618">
        <f>SUMPRODUCT(Calc!$K$3:$K$22*(Calc!$G$3:$G$22&gt;B4618)*(Calc!$G$3:$G$22-B4618))</f>
        <v/>
      </c>
      <c r="I4618">
        <f>SUMPRODUCT(Calc!$K$3:$K$22*(Calc!$G$3:$G$22&gt;A4618)*(Calc!$G$3:$G$22-A4618)^2)</f>
        <v/>
      </c>
      <c r="J4618">
        <f>SUMPRODUCT(Calc!$K$3:$K$22*(Calc!$G$3:$G$22&gt;B4618)*(Calc!$G$3:$G$22-B4618)^2)</f>
        <v/>
      </c>
      <c r="K4618">
        <f>SUMPRODUCT(Calc!$K$3:$K$22*(Calc!$G$3:$G$22&gt;A4618)*(Calc!$G$3:$G$22-A4618)*(Calc!$G$3:$G$22&gt;B4618)*(Calc!$G$3:$G$22-B4618))</f>
        <v/>
      </c>
      <c r="L4618">
        <f>SUMPRODUCT(Calc!$K$3:$K$22*(Calc!$G$3:$G$22&gt;A4618)*(Calc!$G$3:$G$22-A4618)*Calc!$G$3:$G$22)</f>
        <v/>
      </c>
      <c r="M4618">
        <f>SUMPRODUCT(Calc!$K$3:$K$22*(Calc!$G$3:$G$22&gt;B4618)*(Calc!$G$3:$G$22-B4618)*Calc!$G$3:$G$22)</f>
        <v/>
      </c>
      <c r="N4618">
        <f>SUMPRODUCT(Calc!$K$3:$K$22*(Calc!$G$3:$G$22&gt;A4618)*(Calc!$G$3:$G$22-A4618)*Calc!$I$3:$I$22)</f>
        <v/>
      </c>
      <c r="O4618">
        <f>SUMPRODUCT(Calc!$K$3:$K$22*(Calc!$G$3:$G$22&gt;B4618)*(Calc!$G$3:$G$22-B4618)*Calc!$I$3:$I$22)</f>
        <v/>
      </c>
      <c r="P4618">
        <f>I4618-G4618^2/k_n</f>
        <v/>
      </c>
      <c r="Q4618">
        <f>J4618-H4618^2/k_n</f>
        <v/>
      </c>
      <c r="R4618">
        <f>K4618-G4618*H4618/k_n</f>
        <v/>
      </c>
      <c r="S4618">
        <f>L4618-LTP3!$D$3*G4618/k_n</f>
        <v/>
      </c>
      <c r="T4618">
        <f>M4618-LTP3!$D$3*H4618/k_n</f>
        <v/>
      </c>
      <c r="U4618">
        <f>N4618-G4618*LTP3!$D$4/k_n</f>
        <v/>
      </c>
      <c r="V4618">
        <f>O4618-H4618*LTP3!$D$4/k_n</f>
        <v/>
      </c>
      <c r="W4618">
        <f>((LTP3!$D$5)*((P4618)*(Q4618)-(R4618)*(R4618))-(S4618)*((S4618)*(Q4618)-(R4618)*(T4618))+(T4618)*((S4618)*(R4618)-(P4618)*(T4618)))</f>
        <v/>
      </c>
      <c r="X4618">
        <f>IF(ABS(W4618)&gt;1E-12,((LTP3!$D$6)*((P4618)*(Q4618)-(R4618)*(R4618))-(S4618)*((U4618)*(Q4618)-(R4618)*(V4618))+(T4618)*((U4618)*(R4618)-(P4618)*(V4618)))/W4618,0)</f>
        <v/>
      </c>
      <c r="Y4618">
        <f>IF(ABS(W4618)&gt;1E-12,((LTP3!$D$5)*((U4618)*(Q4618)-(R4618)*(V4618))-(LTP3!$D$6)*((S4618)*(Q4618)-(R4618)*(T4618))+(T4618)*((S4618)*(V4618)-(U4618)*(T4618)))/W4618,0)</f>
        <v/>
      </c>
      <c r="Z4618">
        <f>IF(ABS(W4618)&gt;1E-12,((LTP3!$D$5)*((P4618)*(V4618)-(U4618)*(R4618))-(S4618)*((S4618)*(V4618)-(U4618)*(T4618))+(LTP3!$D$6)*((S4618)*(R4618)-(P4618)*(T4618)))/W4618,0)</f>
        <v/>
      </c>
      <c r="AA4618">
        <f>LTP3!$D$7-X4618*LTP3!$D$6-Y4618*U4618-Z4618*V4618</f>
        <v/>
      </c>
      <c r="AB4618">
        <f>IF(AND(F4618,ABS(W4618)&gt;1E-12,Y4618&gt;0,Z4618&gt;0),AA4618,1E+300)</f>
        <v/>
      </c>
    </row>
    <row r="4619">
      <c r="A4619">
        <f>$I$4-$B$5/10+$B$5*20/100</f>
        <v/>
      </c>
      <c r="B4619">
        <f>$J$4-$B$5/10+$B$5*19/100</f>
        <v/>
      </c>
      <c r="C4619">
        <f>SUMPRODUCT(Calc!$K$3:$K$22*(Calc!$G$3:$G$22&lt;=A4619))</f>
        <v/>
      </c>
      <c r="D4619">
        <f>SUMPRODUCT(Calc!$K$3:$K$22*(Calc!$G$3:$G$22&gt;A4619)*(Calc!$G$3:$G$22&lt;B4619))</f>
        <v/>
      </c>
      <c r="E4619">
        <f>SUMPRODUCT(Calc!$K$3:$K$22*(Calc!$G$3:$G$22&gt;=B4619))</f>
        <v/>
      </c>
      <c r="F4619">
        <f>AND(k_n&gt;=5,B4619&gt;A4619+1E-9,C4619&gt;=2,D4619&gt;=1,E4619&gt;=2)</f>
        <v/>
      </c>
      <c r="G4619">
        <f>SUMPRODUCT(Calc!$K$3:$K$22*(Calc!$G$3:$G$22&gt;A4619)*(Calc!$G$3:$G$22-A4619))</f>
        <v/>
      </c>
      <c r="H4619">
        <f>SUMPRODUCT(Calc!$K$3:$K$22*(Calc!$G$3:$G$22&gt;B4619)*(Calc!$G$3:$G$22-B4619))</f>
        <v/>
      </c>
      <c r="I4619">
        <f>SUMPRODUCT(Calc!$K$3:$K$22*(Calc!$G$3:$G$22&gt;A4619)*(Calc!$G$3:$G$22-A4619)^2)</f>
        <v/>
      </c>
      <c r="J4619">
        <f>SUMPRODUCT(Calc!$K$3:$K$22*(Calc!$G$3:$G$22&gt;B4619)*(Calc!$G$3:$G$22-B4619)^2)</f>
        <v/>
      </c>
      <c r="K4619">
        <f>SUMPRODUCT(Calc!$K$3:$K$22*(Calc!$G$3:$G$22&gt;A4619)*(Calc!$G$3:$G$22-A4619)*(Calc!$G$3:$G$22&gt;B4619)*(Calc!$G$3:$G$22-B4619))</f>
        <v/>
      </c>
      <c r="L4619">
        <f>SUMPRODUCT(Calc!$K$3:$K$22*(Calc!$G$3:$G$22&gt;A4619)*(Calc!$G$3:$G$22-A4619)*Calc!$G$3:$G$22)</f>
        <v/>
      </c>
      <c r="M4619">
        <f>SUMPRODUCT(Calc!$K$3:$K$22*(Calc!$G$3:$G$22&gt;B4619)*(Calc!$G$3:$G$22-B4619)*Calc!$G$3:$G$22)</f>
        <v/>
      </c>
      <c r="N4619">
        <f>SUMPRODUCT(Calc!$K$3:$K$22*(Calc!$G$3:$G$22&gt;A4619)*(Calc!$G$3:$G$22-A4619)*Calc!$I$3:$I$22)</f>
        <v/>
      </c>
      <c r="O4619">
        <f>SUMPRODUCT(Calc!$K$3:$K$22*(Calc!$G$3:$G$22&gt;B4619)*(Calc!$G$3:$G$22-B4619)*Calc!$I$3:$I$22)</f>
        <v/>
      </c>
      <c r="P4619">
        <f>I4619-G4619^2/k_n</f>
        <v/>
      </c>
      <c r="Q4619">
        <f>J4619-H4619^2/k_n</f>
        <v/>
      </c>
      <c r="R4619">
        <f>K4619-G4619*H4619/k_n</f>
        <v/>
      </c>
      <c r="S4619">
        <f>L4619-LTP3!$D$3*G4619/k_n</f>
        <v/>
      </c>
      <c r="T4619">
        <f>M4619-LTP3!$D$3*H4619/k_n</f>
        <v/>
      </c>
      <c r="U4619">
        <f>N4619-G4619*LTP3!$D$4/k_n</f>
        <v/>
      </c>
      <c r="V4619">
        <f>O4619-H4619*LTP3!$D$4/k_n</f>
        <v/>
      </c>
      <c r="W4619">
        <f>((LTP3!$D$5)*((P4619)*(Q4619)-(R4619)*(R4619))-(S4619)*((S4619)*(Q4619)-(R4619)*(T4619))+(T4619)*((S4619)*(R4619)-(P4619)*(T4619)))</f>
        <v/>
      </c>
      <c r="X4619">
        <f>IF(ABS(W4619)&gt;1E-12,((LTP3!$D$6)*((P4619)*(Q4619)-(R4619)*(R4619))-(S4619)*((U4619)*(Q4619)-(R4619)*(V4619))+(T4619)*((U4619)*(R4619)-(P4619)*(V4619)))/W4619,0)</f>
        <v/>
      </c>
      <c r="Y4619">
        <f>IF(ABS(W4619)&gt;1E-12,((LTP3!$D$5)*((U4619)*(Q4619)-(R4619)*(V4619))-(LTP3!$D$6)*((S4619)*(Q4619)-(R4619)*(T4619))+(T4619)*((S4619)*(V4619)-(U4619)*(T4619)))/W4619,0)</f>
        <v/>
      </c>
      <c r="Z4619">
        <f>IF(ABS(W4619)&gt;1E-12,((LTP3!$D$5)*((P4619)*(V4619)-(U4619)*(R4619))-(S4619)*((S4619)*(V4619)-(U4619)*(T4619))+(LTP3!$D$6)*((S4619)*(R4619)-(P4619)*(T4619)))/W4619,0)</f>
        <v/>
      </c>
      <c r="AA4619">
        <f>LTP3!$D$7-X4619*LTP3!$D$6-Y4619*U4619-Z4619*V4619</f>
        <v/>
      </c>
      <c r="AB4619">
        <f>IF(AND(F4619,ABS(W4619)&gt;1E-12,Y4619&gt;0,Z4619&gt;0),AA4619,1E+300)</f>
        <v/>
      </c>
    </row>
    <row r="4620">
      <c r="A4620">
        <f>$I$4-$B$5/10+$B$5*20/100</f>
        <v/>
      </c>
      <c r="B4620">
        <f>$J$4-$B$5/10+$B$5*20/100</f>
        <v/>
      </c>
      <c r="C4620">
        <f>SUMPRODUCT(Calc!$K$3:$K$22*(Calc!$G$3:$G$22&lt;=A4620))</f>
        <v/>
      </c>
      <c r="D4620">
        <f>SUMPRODUCT(Calc!$K$3:$K$22*(Calc!$G$3:$G$22&gt;A4620)*(Calc!$G$3:$G$22&lt;B4620))</f>
        <v/>
      </c>
      <c r="E4620">
        <f>SUMPRODUCT(Calc!$K$3:$K$22*(Calc!$G$3:$G$22&gt;=B4620))</f>
        <v/>
      </c>
      <c r="F4620">
        <f>AND(k_n&gt;=5,B4620&gt;A4620+1E-9,C4620&gt;=2,D4620&gt;=1,E4620&gt;=2)</f>
        <v/>
      </c>
      <c r="G4620">
        <f>SUMPRODUCT(Calc!$K$3:$K$22*(Calc!$G$3:$G$22&gt;A4620)*(Calc!$G$3:$G$22-A4620))</f>
        <v/>
      </c>
      <c r="H4620">
        <f>SUMPRODUCT(Calc!$K$3:$K$22*(Calc!$G$3:$G$22&gt;B4620)*(Calc!$G$3:$G$22-B4620))</f>
        <v/>
      </c>
      <c r="I4620">
        <f>SUMPRODUCT(Calc!$K$3:$K$22*(Calc!$G$3:$G$22&gt;A4620)*(Calc!$G$3:$G$22-A4620)^2)</f>
        <v/>
      </c>
      <c r="J4620">
        <f>SUMPRODUCT(Calc!$K$3:$K$22*(Calc!$G$3:$G$22&gt;B4620)*(Calc!$G$3:$G$22-B4620)^2)</f>
        <v/>
      </c>
      <c r="K4620">
        <f>SUMPRODUCT(Calc!$K$3:$K$22*(Calc!$G$3:$G$22&gt;A4620)*(Calc!$G$3:$G$22-A4620)*(Calc!$G$3:$G$22&gt;B4620)*(Calc!$G$3:$G$22-B4620))</f>
        <v/>
      </c>
      <c r="L4620">
        <f>SUMPRODUCT(Calc!$K$3:$K$22*(Calc!$G$3:$G$22&gt;A4620)*(Calc!$G$3:$G$22-A4620)*Calc!$G$3:$G$22)</f>
        <v/>
      </c>
      <c r="M4620">
        <f>SUMPRODUCT(Calc!$K$3:$K$22*(Calc!$G$3:$G$22&gt;B4620)*(Calc!$G$3:$G$22-B4620)*Calc!$G$3:$G$22)</f>
        <v/>
      </c>
      <c r="N4620">
        <f>SUMPRODUCT(Calc!$K$3:$K$22*(Calc!$G$3:$G$22&gt;A4620)*(Calc!$G$3:$G$22-A4620)*Calc!$I$3:$I$22)</f>
        <v/>
      </c>
      <c r="O4620">
        <f>SUMPRODUCT(Calc!$K$3:$K$22*(Calc!$G$3:$G$22&gt;B4620)*(Calc!$G$3:$G$22-B4620)*Calc!$I$3:$I$22)</f>
        <v/>
      </c>
      <c r="P4620">
        <f>I4620-G4620^2/k_n</f>
        <v/>
      </c>
      <c r="Q4620">
        <f>J4620-H4620^2/k_n</f>
        <v/>
      </c>
      <c r="R4620">
        <f>K4620-G4620*H4620/k_n</f>
        <v/>
      </c>
      <c r="S4620">
        <f>L4620-LTP3!$D$3*G4620/k_n</f>
        <v/>
      </c>
      <c r="T4620">
        <f>M4620-LTP3!$D$3*H4620/k_n</f>
        <v/>
      </c>
      <c r="U4620">
        <f>N4620-G4620*LTP3!$D$4/k_n</f>
        <v/>
      </c>
      <c r="V4620">
        <f>O4620-H4620*LTP3!$D$4/k_n</f>
        <v/>
      </c>
      <c r="W4620">
        <f>((LTP3!$D$5)*((P4620)*(Q4620)-(R4620)*(R4620))-(S4620)*((S4620)*(Q4620)-(R4620)*(T4620))+(T4620)*((S4620)*(R4620)-(P4620)*(T4620)))</f>
        <v/>
      </c>
      <c r="X4620">
        <f>IF(ABS(W4620)&gt;1E-12,((LTP3!$D$6)*((P4620)*(Q4620)-(R4620)*(R4620))-(S4620)*((U4620)*(Q4620)-(R4620)*(V4620))+(T4620)*((U4620)*(R4620)-(P4620)*(V4620)))/W4620,0)</f>
        <v/>
      </c>
      <c r="Y4620">
        <f>IF(ABS(W4620)&gt;1E-12,((LTP3!$D$5)*((U4620)*(Q4620)-(R4620)*(V4620))-(LTP3!$D$6)*((S4620)*(Q4620)-(R4620)*(T4620))+(T4620)*((S4620)*(V4620)-(U4620)*(T4620)))/W4620,0)</f>
        <v/>
      </c>
      <c r="Z4620">
        <f>IF(ABS(W4620)&gt;1E-12,((LTP3!$D$5)*((P4620)*(V4620)-(U4620)*(R4620))-(S4620)*((S4620)*(V4620)-(U4620)*(T4620))+(LTP3!$D$6)*((S4620)*(R4620)-(P4620)*(T4620)))/W4620,0)</f>
        <v/>
      </c>
      <c r="AA4620">
        <f>LTP3!$D$7-X4620*LTP3!$D$6-Y4620*U4620-Z4620*V4620</f>
        <v/>
      </c>
      <c r="AB4620">
        <f>IF(AND(F4620,ABS(W4620)&gt;1E-12,Y4620&gt;0,Z4620&gt;0),AA4620,1E+300)</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64"/>
  <sheetViews>
    <sheetView showGridLines="0" workbookViewId="0">
      <selection activeCell="A1" sqref="A1"/>
    </sheetView>
  </sheetViews>
  <sheetFormatPr baseColWidth="8" defaultRowHeight="15"/>
  <sheetData>
    <row r="1">
      <c r="A1" s="57" t="inlineStr">
        <is>
          <t>Hilfsgeraden (3 Phasen): Knoten an LT1/LT2 (sonst Regressions-Optimum); Modus korrigiert = Sehnen, angehoben wo nötig</t>
        </is>
      </c>
    </row>
    <row r="2">
      <c r="A2" t="inlineStr">
        <is>
          <t>Knoten an LT1/LT2 verwendbar</t>
        </is>
      </c>
      <c r="B2">
        <f>AND(k_ok,ISNUMBER(k_x1),ISNUMBER(k_x2),N(k_x2)&gt;N(k_x1),N(k_x1)&gt;k_lo,N(k_x2)&lt;k_hi)</f>
        <v/>
      </c>
      <c r="D2" s="57" t="inlineStr">
        <is>
          <t>freie Regression an den Knoten</t>
        </is>
      </c>
      <c r="G2" s="57" t="inlineStr">
        <is>
          <t>Sehnen-Konstruktion</t>
        </is>
      </c>
    </row>
    <row r="3">
      <c r="A3" t="inlineStr">
        <is>
          <t>Hilfsgeraden vorhanden</t>
        </is>
      </c>
      <c r="B3">
        <f>AND(k_ok,OR(B2,k_3ok))</f>
        <v/>
      </c>
      <c r="D3" t="inlineStr">
        <is>
          <t>a</t>
        </is>
      </c>
      <c r="E3">
        <f>SUMPRODUCT(Calc!$K$3:$K$22*(Calc!$G$3:$G$22&lt;=$B$4))</f>
        <v/>
      </c>
      <c r="G3" s="7" t="inlineStr">
        <is>
          <t>j</t>
        </is>
      </c>
      <c r="H3" s="7" t="inlineStr">
        <is>
          <t>f Seg 1</t>
        </is>
      </c>
      <c r="I3" s="7" t="inlineStr">
        <is>
          <t>f Seg 2</t>
        </is>
      </c>
      <c r="J3" s="7" t="inlineStr">
        <is>
          <t>f Seg 3</t>
        </is>
      </c>
      <c r="L3" s="7" t="inlineStr">
        <is>
          <t>Schritt</t>
        </is>
      </c>
      <c r="M3" s="7" t="inlineStr">
        <is>
          <t>Seg</t>
        </is>
      </c>
      <c r="N3" s="7" t="inlineStr">
        <is>
          <t>d</t>
        </is>
      </c>
      <c r="O3" s="7" t="inlineStr">
        <is>
          <t>Y0</t>
        </is>
      </c>
      <c r="P3" s="7" t="inlineStr">
        <is>
          <t>Y1</t>
        </is>
      </c>
      <c r="Q3" s="7" t="inlineStr">
        <is>
          <t>Y2</t>
        </is>
      </c>
      <c r="R3" s="7" t="inlineStr">
        <is>
          <t>Y3</t>
        </is>
      </c>
    </row>
    <row r="4">
      <c r="A4" t="inlineStr">
        <is>
          <t>Knoten 1</t>
        </is>
      </c>
      <c r="B4">
        <f>IF(B2,k_x1,IF(k_3ok,k_3k1,k_lo+k_rng/3))</f>
        <v/>
      </c>
      <c r="D4" t="inlineStr">
        <is>
          <t>mid</t>
        </is>
      </c>
      <c r="E4">
        <f>SUMPRODUCT(Calc!$K$3:$K$22*(Calc!$G$3:$G$22&gt;$B$4)*(Calc!$G$3:$G$22&lt;$B$5))</f>
        <v/>
      </c>
      <c r="G4" t="n">
        <v>0</v>
      </c>
      <c r="H4">
        <f>IF(k_mexp,k_ea+k_eb*EXP(k_ec*(((k_lo+($B$4-k_lo)*G4/60))-k_mx)/k_sx),k_s0+(((k_lo+($B$4-k_lo)*G4/60))-k_mx)/k_sx*(k_s1+(((k_lo+($B$4-k_lo)*G4/60))-k_mx)/k_sx*(k_s2+(((k_lo+($B$4-k_lo)*G4/60))-k_mx)/k_sx*(k_s3+(((k_lo+($B$4-k_lo)*G4/60))-k_mx)/k_sx*k_s4))))</f>
        <v/>
      </c>
      <c r="I4">
        <f>IF(k_mexp,k_ea+k_eb*EXP(k_ec*((($B$4+($B$5-$B$4)*G4/60))-k_mx)/k_sx),k_s0+((($B$4+($B$5-$B$4)*G4/60))-k_mx)/k_sx*(k_s1+((($B$4+($B$5-$B$4)*G4/60))-k_mx)/k_sx*(k_s2+((($B$4+($B$5-$B$4)*G4/60))-k_mx)/k_sx*(k_s3+((($B$4+($B$5-$B$4)*G4/60))-k_mx)/k_sx*k_s4))))</f>
        <v/>
      </c>
      <c r="J4">
        <f>IF(k_mexp,k_ea+k_eb*EXP(k_ec*((($B$5+(k_hi-$B$5)*G4/60))-k_mx)/k_sx),k_s0+((($B$5+(k_hi-$B$5)*G4/60))-k_mx)/k_sx*(k_s1+((($B$5+(k_hi-$B$5)*G4/60))-k_mx)/k_sx*(k_s2+((($B$5+(k_hi-$B$5)*G4/60))-k_mx)/k_sx*(k_s3+((($B$5+(k_hi-$B$5)*G4/60))-k_mx)/k_sx*k_s4))))</f>
        <v/>
      </c>
      <c r="L4" t="n">
        <v>0</v>
      </c>
      <c r="O4">
        <f>IF(k_mexp,k_ea+k_eb*EXP(k_ec*((k_lo)-k_mx)/k_sx),k_s0+((k_lo)-k_mx)/k_sx*(k_s1+((k_lo)-k_mx)/k_sx*(k_s2+((k_lo)-k_mx)/k_sx*(k_s3+((k_lo)-k_mx)/k_sx*k_s4))))</f>
        <v/>
      </c>
      <c r="P4">
        <f>IF(k_mexp,k_ea+k_eb*EXP(k_ec*(($B$4)-k_mx)/k_sx),k_s0+(($B$4)-k_mx)/k_sx*(k_s1+(($B$4)-k_mx)/k_sx*(k_s2+(($B$4)-k_mx)/k_sx*(k_s3+(($B$4)-k_mx)/k_sx*k_s4))))</f>
        <v/>
      </c>
      <c r="Q4">
        <f>IF(k_mexp,k_ea+k_eb*EXP(k_ec*(($B$5)-k_mx)/k_sx),k_s0+(($B$5)-k_mx)/k_sx*(k_s1+(($B$5)-k_mx)/k_sx*(k_s2+(($B$5)-k_mx)/k_sx*(k_s3+(($B$5)-k_mx)/k_sx*k_s4))))</f>
        <v/>
      </c>
      <c r="R4">
        <f>IF(k_mexp,k_ea+k_eb*EXP(k_ec*((k_hi)-k_mx)/k_sx),k_s0+((k_hi)-k_mx)/k_sx*(k_s1+((k_hi)-k_mx)/k_sx*(k_s2+((k_hi)-k_mx)/k_sx*(k_s3+((k_hi)-k_mx)/k_sx*k_s4))))</f>
        <v/>
      </c>
    </row>
    <row r="5">
      <c r="A5" t="inlineStr">
        <is>
          <t>Knoten 2</t>
        </is>
      </c>
      <c r="B5">
        <f>IF(B2,k_x2,IF(k_3ok,k_3k2,k_lo+2*k_rng/3))</f>
        <v/>
      </c>
      <c r="D5" t="inlineStr">
        <is>
          <t>c</t>
        </is>
      </c>
      <c r="E5">
        <f>SUMPRODUCT(Calc!$K$3:$K$22*(Calc!$G$3:$G$22&gt;=$B$5))</f>
        <v/>
      </c>
      <c r="G5" t="n">
        <v>1</v>
      </c>
      <c r="H5">
        <f>IF(k_mexp,k_ea+k_eb*EXP(k_ec*(((k_lo+($B$4-k_lo)*G5/60))-k_mx)/k_sx),k_s0+(((k_lo+($B$4-k_lo)*G5/60))-k_mx)/k_sx*(k_s1+(((k_lo+($B$4-k_lo)*G5/60))-k_mx)/k_sx*(k_s2+(((k_lo+($B$4-k_lo)*G5/60))-k_mx)/k_sx*(k_s3+(((k_lo+($B$4-k_lo)*G5/60))-k_mx)/k_sx*k_s4))))</f>
        <v/>
      </c>
      <c r="I5">
        <f>IF(k_mexp,k_ea+k_eb*EXP(k_ec*((($B$4+($B$5-$B$4)*G5/60))-k_mx)/k_sx),k_s0+((($B$4+($B$5-$B$4)*G5/60))-k_mx)/k_sx*(k_s1+((($B$4+($B$5-$B$4)*G5/60))-k_mx)/k_sx*(k_s2+((($B$4+($B$5-$B$4)*G5/60))-k_mx)/k_sx*(k_s3+((($B$4+($B$5-$B$4)*G5/60))-k_mx)/k_sx*k_s4))))</f>
        <v/>
      </c>
      <c r="J5">
        <f>IF(k_mexp,k_ea+k_eb*EXP(k_ec*((($B$5+(k_hi-$B$5)*G5/60))-k_mx)/k_sx),k_s0+((($B$5+(k_hi-$B$5)*G5/60))-k_mx)/k_sx*(k_s1+((($B$5+(k_hi-$B$5)*G5/60))-k_mx)/k_sx*(k_s2+((($B$5+(k_hi-$B$5)*G5/60))-k_mx)/k_sx*(k_s3+((($B$5+(k_hi-$B$5)*G5/60))-k_mx)/k_sx*k_s4))))</f>
        <v/>
      </c>
      <c r="L5" t="n">
        <v>1</v>
      </c>
      <c r="M5" t="n">
        <v>1</v>
      </c>
      <c r="N5" s="7">
        <f t="array" ref="N5">IF($B$4&gt;k_lo,MAX(0,MAX($H$4:$H$64-(O4+(P4-O4)*$G$4:$G$64/60))),0)</f>
        <v/>
      </c>
      <c r="O5">
        <f>IF(N5&gt;1E-7,O4+N5,O4)</f>
        <v/>
      </c>
      <c r="P5">
        <f>IF(N5&gt;1E-7,P4+N5,P4)</f>
        <v/>
      </c>
      <c r="Q5">
        <f>Q4</f>
        <v/>
      </c>
      <c r="R5">
        <f>R4</f>
        <v/>
      </c>
    </row>
    <row r="6">
      <c r="A6" t="inlineStr">
        <is>
          <t>an Regressions-Optimum</t>
        </is>
      </c>
      <c r="B6">
        <f>AND(k_3ok,ABS(B4-k_3k1)&lt;1E-6,ABS(B5-k_3k2)&lt;1E-6)</f>
        <v/>
      </c>
      <c r="D6" t="inlineStr">
        <is>
          <t>ok</t>
        </is>
      </c>
      <c r="E6">
        <f>AND(k_n&gt;=5,$B$5&gt;$B$4+1E-9,E3&gt;=2,E4&gt;=1,E5&gt;=2)</f>
        <v/>
      </c>
      <c r="G6" t="n">
        <v>2</v>
      </c>
      <c r="H6">
        <f>IF(k_mexp,k_ea+k_eb*EXP(k_ec*(((k_lo+($B$4-k_lo)*G6/60))-k_mx)/k_sx),k_s0+(((k_lo+($B$4-k_lo)*G6/60))-k_mx)/k_sx*(k_s1+(((k_lo+($B$4-k_lo)*G6/60))-k_mx)/k_sx*(k_s2+(((k_lo+($B$4-k_lo)*G6/60))-k_mx)/k_sx*(k_s3+(((k_lo+($B$4-k_lo)*G6/60))-k_mx)/k_sx*k_s4))))</f>
        <v/>
      </c>
      <c r="I6">
        <f>IF(k_mexp,k_ea+k_eb*EXP(k_ec*((($B$4+($B$5-$B$4)*G6/60))-k_mx)/k_sx),k_s0+((($B$4+($B$5-$B$4)*G6/60))-k_mx)/k_sx*(k_s1+((($B$4+($B$5-$B$4)*G6/60))-k_mx)/k_sx*(k_s2+((($B$4+($B$5-$B$4)*G6/60))-k_mx)/k_sx*(k_s3+((($B$4+($B$5-$B$4)*G6/60))-k_mx)/k_sx*k_s4))))</f>
        <v/>
      </c>
      <c r="J6">
        <f>IF(k_mexp,k_ea+k_eb*EXP(k_ec*((($B$5+(k_hi-$B$5)*G6/60))-k_mx)/k_sx),k_s0+((($B$5+(k_hi-$B$5)*G6/60))-k_mx)/k_sx*(k_s1+((($B$5+(k_hi-$B$5)*G6/60))-k_mx)/k_sx*(k_s2+((($B$5+(k_hi-$B$5)*G6/60))-k_mx)/k_sx*(k_s3+((($B$5+(k_hi-$B$5)*G6/60))-k_mx)/k_sx*k_s4))))</f>
        <v/>
      </c>
      <c r="L6" t="n">
        <v>2</v>
      </c>
      <c r="M6" t="n">
        <v>2</v>
      </c>
      <c r="N6" s="7">
        <f t="array" ref="N6">IF($B$5&gt;$B$4,MAX(0,MAX($I$4:$I$64-(P5+(Q5-P5)*$G$4:$G$64/60))),0)</f>
        <v/>
      </c>
      <c r="O6">
        <f>O5</f>
        <v/>
      </c>
      <c r="P6">
        <f>IF(N6&gt;1E-7,P5+N6,P5)</f>
        <v/>
      </c>
      <c r="Q6">
        <f>IF(N6&gt;1E-7,Q5+N6,Q5)</f>
        <v/>
      </c>
      <c r="R6">
        <f>R5</f>
        <v/>
      </c>
    </row>
    <row r="7">
      <c r="D7" t="inlineStr">
        <is>
          <t>S1</t>
        </is>
      </c>
      <c r="E7">
        <f>SUMPRODUCT(Calc!$K$3:$K$22*(Calc!$G$3:$G$22&gt;$B$4)*(Calc!$G$3:$G$22-$B$4))</f>
        <v/>
      </c>
      <c r="G7" t="n">
        <v>3</v>
      </c>
      <c r="H7">
        <f>IF(k_mexp,k_ea+k_eb*EXP(k_ec*(((k_lo+($B$4-k_lo)*G7/60))-k_mx)/k_sx),k_s0+(((k_lo+($B$4-k_lo)*G7/60))-k_mx)/k_sx*(k_s1+(((k_lo+($B$4-k_lo)*G7/60))-k_mx)/k_sx*(k_s2+(((k_lo+($B$4-k_lo)*G7/60))-k_mx)/k_sx*(k_s3+(((k_lo+($B$4-k_lo)*G7/60))-k_mx)/k_sx*k_s4))))</f>
        <v/>
      </c>
      <c r="I7">
        <f>IF(k_mexp,k_ea+k_eb*EXP(k_ec*((($B$4+($B$5-$B$4)*G7/60))-k_mx)/k_sx),k_s0+((($B$4+($B$5-$B$4)*G7/60))-k_mx)/k_sx*(k_s1+((($B$4+($B$5-$B$4)*G7/60))-k_mx)/k_sx*(k_s2+((($B$4+($B$5-$B$4)*G7/60))-k_mx)/k_sx*(k_s3+((($B$4+($B$5-$B$4)*G7/60))-k_mx)/k_sx*k_s4))))</f>
        <v/>
      </c>
      <c r="J7">
        <f>IF(k_mexp,k_ea+k_eb*EXP(k_ec*((($B$5+(k_hi-$B$5)*G7/60))-k_mx)/k_sx),k_s0+((($B$5+(k_hi-$B$5)*G7/60))-k_mx)/k_sx*(k_s1+((($B$5+(k_hi-$B$5)*G7/60))-k_mx)/k_sx*(k_s2+((($B$5+(k_hi-$B$5)*G7/60))-k_mx)/k_sx*(k_s3+((($B$5+(k_hi-$B$5)*G7/60))-k_mx)/k_sx*k_s4))))</f>
        <v/>
      </c>
      <c r="L7" t="n">
        <v>3</v>
      </c>
      <c r="M7" t="n">
        <v>3</v>
      </c>
      <c r="N7" s="7">
        <f t="array" ref="N7">IF(k_hi&gt;$B$5,MAX(0,MAX($J$4:$J$64-(Q6+(R6-Q6)*$G$4:$G$64/60))),0)</f>
        <v/>
      </c>
      <c r="O7">
        <f>O6</f>
        <v/>
      </c>
      <c r="P7">
        <f>P6</f>
        <v/>
      </c>
      <c r="Q7">
        <f>IF(N7&gt;1E-7,Q6+N7,Q6)</f>
        <v/>
      </c>
      <c r="R7">
        <f>IF(N7&gt;1E-7,R6+N7,R6)</f>
        <v/>
      </c>
    </row>
    <row r="8">
      <c r="A8" t="inlineStr">
        <is>
          <t>Y0 (lo)</t>
        </is>
      </c>
      <c r="B8">
        <f>IF(k_gfree,(Guide!$E$29+Guide!$E$24*k_lo),O40)</f>
        <v/>
      </c>
      <c r="D8" t="inlineStr">
        <is>
          <t>S2</t>
        </is>
      </c>
      <c r="E8">
        <f>SUMPRODUCT(Calc!$K$3:$K$22*(Calc!$G$3:$G$22&gt;$B$5)*(Calc!$G$3:$G$22-$B$5))</f>
        <v/>
      </c>
      <c r="G8" t="n">
        <v>4</v>
      </c>
      <c r="H8">
        <f>IF(k_mexp,k_ea+k_eb*EXP(k_ec*(((k_lo+($B$4-k_lo)*G8/60))-k_mx)/k_sx),k_s0+(((k_lo+($B$4-k_lo)*G8/60))-k_mx)/k_sx*(k_s1+(((k_lo+($B$4-k_lo)*G8/60))-k_mx)/k_sx*(k_s2+(((k_lo+($B$4-k_lo)*G8/60))-k_mx)/k_sx*(k_s3+(((k_lo+($B$4-k_lo)*G8/60))-k_mx)/k_sx*k_s4))))</f>
        <v/>
      </c>
      <c r="I8">
        <f>IF(k_mexp,k_ea+k_eb*EXP(k_ec*((($B$4+($B$5-$B$4)*G8/60))-k_mx)/k_sx),k_s0+((($B$4+($B$5-$B$4)*G8/60))-k_mx)/k_sx*(k_s1+((($B$4+($B$5-$B$4)*G8/60))-k_mx)/k_sx*(k_s2+((($B$4+($B$5-$B$4)*G8/60))-k_mx)/k_sx*(k_s3+((($B$4+($B$5-$B$4)*G8/60))-k_mx)/k_sx*k_s4))))</f>
        <v/>
      </c>
      <c r="J8">
        <f>IF(k_mexp,k_ea+k_eb*EXP(k_ec*((($B$5+(k_hi-$B$5)*G8/60))-k_mx)/k_sx),k_s0+((($B$5+(k_hi-$B$5)*G8/60))-k_mx)/k_sx*(k_s1+((($B$5+(k_hi-$B$5)*G8/60))-k_mx)/k_sx*(k_s2+((($B$5+(k_hi-$B$5)*G8/60))-k_mx)/k_sx*(k_s3+((($B$5+(k_hi-$B$5)*G8/60))-k_mx)/k_sx*k_s4))))</f>
        <v/>
      </c>
      <c r="L8" t="n">
        <v>4</v>
      </c>
      <c r="M8" t="n">
        <v>1</v>
      </c>
      <c r="N8" s="7">
        <f t="array" ref="N8">IF($B$4&gt;k_lo,MAX(0,MAX($H$4:$H$64-(O7+(P7-O7)*$G$4:$G$64/60))),0)</f>
        <v/>
      </c>
      <c r="O8">
        <f>IF(N8&gt;1E-7,O7+N8,O7)</f>
        <v/>
      </c>
      <c r="P8">
        <f>IF(N8&gt;1E-7,P7+N8,P7)</f>
        <v/>
      </c>
      <c r="Q8">
        <f>Q7</f>
        <v/>
      </c>
      <c r="R8">
        <f>R7</f>
        <v/>
      </c>
    </row>
    <row r="9">
      <c r="A9" t="inlineStr">
        <is>
          <t>Y1 (Knoten 1)</t>
        </is>
      </c>
      <c r="B9">
        <f>IF(k_gfree,(Guide!$E$29+Guide!$E$24*$B$4),P40)</f>
        <v/>
      </c>
      <c r="D9" t="inlineStr">
        <is>
          <t>S11</t>
        </is>
      </c>
      <c r="E9">
        <f>SUMPRODUCT(Calc!$K$3:$K$22*(Calc!$G$3:$G$22&gt;$B$4)*(Calc!$G$3:$G$22-$B$4)^2)</f>
        <v/>
      </c>
      <c r="G9" t="n">
        <v>5</v>
      </c>
      <c r="H9">
        <f>IF(k_mexp,k_ea+k_eb*EXP(k_ec*(((k_lo+($B$4-k_lo)*G9/60))-k_mx)/k_sx),k_s0+(((k_lo+($B$4-k_lo)*G9/60))-k_mx)/k_sx*(k_s1+(((k_lo+($B$4-k_lo)*G9/60))-k_mx)/k_sx*(k_s2+(((k_lo+($B$4-k_lo)*G9/60))-k_mx)/k_sx*(k_s3+(((k_lo+($B$4-k_lo)*G9/60))-k_mx)/k_sx*k_s4))))</f>
        <v/>
      </c>
      <c r="I9">
        <f>IF(k_mexp,k_ea+k_eb*EXP(k_ec*((($B$4+($B$5-$B$4)*G9/60))-k_mx)/k_sx),k_s0+((($B$4+($B$5-$B$4)*G9/60))-k_mx)/k_sx*(k_s1+((($B$4+($B$5-$B$4)*G9/60))-k_mx)/k_sx*(k_s2+((($B$4+($B$5-$B$4)*G9/60))-k_mx)/k_sx*(k_s3+((($B$4+($B$5-$B$4)*G9/60))-k_mx)/k_sx*k_s4))))</f>
        <v/>
      </c>
      <c r="J9">
        <f>IF(k_mexp,k_ea+k_eb*EXP(k_ec*((($B$5+(k_hi-$B$5)*G9/60))-k_mx)/k_sx),k_s0+((($B$5+(k_hi-$B$5)*G9/60))-k_mx)/k_sx*(k_s1+((($B$5+(k_hi-$B$5)*G9/60))-k_mx)/k_sx*(k_s2+((($B$5+(k_hi-$B$5)*G9/60))-k_mx)/k_sx*(k_s3+((($B$5+(k_hi-$B$5)*G9/60))-k_mx)/k_sx*k_s4))))</f>
        <v/>
      </c>
      <c r="L9" t="n">
        <v>5</v>
      </c>
      <c r="M9" t="n">
        <v>2</v>
      </c>
      <c r="N9" s="7">
        <f t="array" ref="N9">IF($B$5&gt;$B$4,MAX(0,MAX($I$4:$I$64-(P8+(Q8-P8)*$G$4:$G$64/60))),0)</f>
        <v/>
      </c>
      <c r="O9">
        <f>O8</f>
        <v/>
      </c>
      <c r="P9">
        <f>IF(N9&gt;1E-7,P8+N9,P8)</f>
        <v/>
      </c>
      <c r="Q9">
        <f>IF(N9&gt;1E-7,Q8+N9,Q8)</f>
        <v/>
      </c>
      <c r="R9">
        <f>R8</f>
        <v/>
      </c>
    </row>
    <row r="10">
      <c r="A10" t="inlineStr">
        <is>
          <t>Y2 (Knoten 2)</t>
        </is>
      </c>
      <c r="B10">
        <f>IF(k_gfree,(Guide!$E$29+Guide!$E$24*$B$5+Guide!$E$25*($B$5-$B$4)),Q40)</f>
        <v/>
      </c>
      <c r="D10" t="inlineStr">
        <is>
          <t>S22</t>
        </is>
      </c>
      <c r="E10">
        <f>SUMPRODUCT(Calc!$K$3:$K$22*(Calc!$G$3:$G$22&gt;$B$5)*(Calc!$G$3:$G$22-$B$5)^2)</f>
        <v/>
      </c>
      <c r="G10" t="n">
        <v>6</v>
      </c>
      <c r="H10">
        <f>IF(k_mexp,k_ea+k_eb*EXP(k_ec*(((k_lo+($B$4-k_lo)*G10/60))-k_mx)/k_sx),k_s0+(((k_lo+($B$4-k_lo)*G10/60))-k_mx)/k_sx*(k_s1+(((k_lo+($B$4-k_lo)*G10/60))-k_mx)/k_sx*(k_s2+(((k_lo+($B$4-k_lo)*G10/60))-k_mx)/k_sx*(k_s3+(((k_lo+($B$4-k_lo)*G10/60))-k_mx)/k_sx*k_s4))))</f>
        <v/>
      </c>
      <c r="I10">
        <f>IF(k_mexp,k_ea+k_eb*EXP(k_ec*((($B$4+($B$5-$B$4)*G10/60))-k_mx)/k_sx),k_s0+((($B$4+($B$5-$B$4)*G10/60))-k_mx)/k_sx*(k_s1+((($B$4+($B$5-$B$4)*G10/60))-k_mx)/k_sx*(k_s2+((($B$4+($B$5-$B$4)*G10/60))-k_mx)/k_sx*(k_s3+((($B$4+($B$5-$B$4)*G10/60))-k_mx)/k_sx*k_s4))))</f>
        <v/>
      </c>
      <c r="J10">
        <f>IF(k_mexp,k_ea+k_eb*EXP(k_ec*((($B$5+(k_hi-$B$5)*G10/60))-k_mx)/k_sx),k_s0+((($B$5+(k_hi-$B$5)*G10/60))-k_mx)/k_sx*(k_s1+((($B$5+(k_hi-$B$5)*G10/60))-k_mx)/k_sx*(k_s2+((($B$5+(k_hi-$B$5)*G10/60))-k_mx)/k_sx*(k_s3+((($B$5+(k_hi-$B$5)*G10/60))-k_mx)/k_sx*k_s4))))</f>
        <v/>
      </c>
      <c r="L10" t="n">
        <v>6</v>
      </c>
      <c r="M10" t="n">
        <v>3</v>
      </c>
      <c r="N10" s="7">
        <f t="array" ref="N10">IF(k_hi&gt;$B$5,MAX(0,MAX($J$4:$J$64-(Q9+(R9-Q9)*$G$4:$G$64/60))),0)</f>
        <v/>
      </c>
      <c r="O10">
        <f>O9</f>
        <v/>
      </c>
      <c r="P10">
        <f>P9</f>
        <v/>
      </c>
      <c r="Q10">
        <f>IF(N10&gt;1E-7,Q9+N10,Q9)</f>
        <v/>
      </c>
      <c r="R10">
        <f>IF(N10&gt;1E-7,R9+N10,R9)</f>
        <v/>
      </c>
    </row>
    <row r="11">
      <c r="A11" t="inlineStr">
        <is>
          <t>Y3 (hi)</t>
        </is>
      </c>
      <c r="B11">
        <f>IF(k_gfree,(Guide!$E$29+Guide!$E$24*k_hi+Guide!$E$25*(k_hi-$B$4)+Guide!$E$26*(k_hi-$B$5)),R40)</f>
        <v/>
      </c>
      <c r="D11" t="inlineStr">
        <is>
          <t>S12</t>
        </is>
      </c>
      <c r="E11">
        <f>SUMPRODUCT(Calc!$K$3:$K$22*(Calc!$G$3:$G$22&gt;$B$4)*(Calc!$G$3:$G$22-$B$4)*(Calc!$G$3:$G$22&gt;$B$5)*(Calc!$G$3:$G$22-$B$5))</f>
        <v/>
      </c>
      <c r="G11" t="n">
        <v>7</v>
      </c>
      <c r="H11">
        <f>IF(k_mexp,k_ea+k_eb*EXP(k_ec*(((k_lo+($B$4-k_lo)*G11/60))-k_mx)/k_sx),k_s0+(((k_lo+($B$4-k_lo)*G11/60))-k_mx)/k_sx*(k_s1+(((k_lo+($B$4-k_lo)*G11/60))-k_mx)/k_sx*(k_s2+(((k_lo+($B$4-k_lo)*G11/60))-k_mx)/k_sx*(k_s3+(((k_lo+($B$4-k_lo)*G11/60))-k_mx)/k_sx*k_s4))))</f>
        <v/>
      </c>
      <c r="I11">
        <f>IF(k_mexp,k_ea+k_eb*EXP(k_ec*((($B$4+($B$5-$B$4)*G11/60))-k_mx)/k_sx),k_s0+((($B$4+($B$5-$B$4)*G11/60))-k_mx)/k_sx*(k_s1+((($B$4+($B$5-$B$4)*G11/60))-k_mx)/k_sx*(k_s2+((($B$4+($B$5-$B$4)*G11/60))-k_mx)/k_sx*(k_s3+((($B$4+($B$5-$B$4)*G11/60))-k_mx)/k_sx*k_s4))))</f>
        <v/>
      </c>
      <c r="J11">
        <f>IF(k_mexp,k_ea+k_eb*EXP(k_ec*((($B$5+(k_hi-$B$5)*G11/60))-k_mx)/k_sx),k_s0+((($B$5+(k_hi-$B$5)*G11/60))-k_mx)/k_sx*(k_s1+((($B$5+(k_hi-$B$5)*G11/60))-k_mx)/k_sx*(k_s2+((($B$5+(k_hi-$B$5)*G11/60))-k_mx)/k_sx*(k_s3+((($B$5+(k_hi-$B$5)*G11/60))-k_mx)/k_sx*k_s4))))</f>
        <v/>
      </c>
      <c r="L11" t="n">
        <v>7</v>
      </c>
      <c r="M11" t="n">
        <v>1</v>
      </c>
      <c r="N11" s="7">
        <f t="array" ref="N11">IF($B$4&gt;k_lo,MAX(0,MAX($H$4:$H$64-(O10+(P10-O10)*$G$4:$G$64/60))),0)</f>
        <v/>
      </c>
      <c r="O11">
        <f>IF(N11&gt;1E-7,O10+N11,O10)</f>
        <v/>
      </c>
      <c r="P11">
        <f>IF(N11&gt;1E-7,P10+N11,P10)</f>
        <v/>
      </c>
      <c r="Q11">
        <f>Q10</f>
        <v/>
      </c>
      <c r="R11">
        <f>R10</f>
        <v/>
      </c>
    </row>
    <row r="12">
      <c r="A12" t="inlineStr">
        <is>
          <t>angehoben um</t>
        </is>
      </c>
      <c r="B12">
        <f>MAX(0,O40-O4,P40-P4,Q40-Q4,R40-R4)</f>
        <v/>
      </c>
      <c r="D12" t="inlineStr">
        <is>
          <t>Sx1</t>
        </is>
      </c>
      <c r="E12">
        <f>SUMPRODUCT(Calc!$K$3:$K$22*(Calc!$G$3:$G$22&gt;$B$4)*(Calc!$G$3:$G$22-$B$4)*Calc!$G$3:$G$22)</f>
        <v/>
      </c>
      <c r="G12" t="n">
        <v>8</v>
      </c>
      <c r="H12">
        <f>IF(k_mexp,k_ea+k_eb*EXP(k_ec*(((k_lo+($B$4-k_lo)*G12/60))-k_mx)/k_sx),k_s0+(((k_lo+($B$4-k_lo)*G12/60))-k_mx)/k_sx*(k_s1+(((k_lo+($B$4-k_lo)*G12/60))-k_mx)/k_sx*(k_s2+(((k_lo+($B$4-k_lo)*G12/60))-k_mx)/k_sx*(k_s3+(((k_lo+($B$4-k_lo)*G12/60))-k_mx)/k_sx*k_s4))))</f>
        <v/>
      </c>
      <c r="I12">
        <f>IF(k_mexp,k_ea+k_eb*EXP(k_ec*((($B$4+($B$5-$B$4)*G12/60))-k_mx)/k_sx),k_s0+((($B$4+($B$5-$B$4)*G12/60))-k_mx)/k_sx*(k_s1+((($B$4+($B$5-$B$4)*G12/60))-k_mx)/k_sx*(k_s2+((($B$4+($B$5-$B$4)*G12/60))-k_mx)/k_sx*(k_s3+((($B$4+($B$5-$B$4)*G12/60))-k_mx)/k_sx*k_s4))))</f>
        <v/>
      </c>
      <c r="J12">
        <f>IF(k_mexp,k_ea+k_eb*EXP(k_ec*((($B$5+(k_hi-$B$5)*G12/60))-k_mx)/k_sx),k_s0+((($B$5+(k_hi-$B$5)*G12/60))-k_mx)/k_sx*(k_s1+((($B$5+(k_hi-$B$5)*G12/60))-k_mx)/k_sx*(k_s2+((($B$5+(k_hi-$B$5)*G12/60))-k_mx)/k_sx*(k_s3+((($B$5+(k_hi-$B$5)*G12/60))-k_mx)/k_sx*k_s4))))</f>
        <v/>
      </c>
      <c r="L12" t="n">
        <v>8</v>
      </c>
      <c r="M12" t="n">
        <v>2</v>
      </c>
      <c r="N12" s="7">
        <f t="array" ref="N12">IF($B$5&gt;$B$4,MAX(0,MAX($I$4:$I$64-(P11+(Q11-P11)*$G$4:$G$64/60))),0)</f>
        <v/>
      </c>
      <c r="O12">
        <f>O11</f>
        <v/>
      </c>
      <c r="P12">
        <f>IF(N12&gt;1E-7,P11+N12,P11)</f>
        <v/>
      </c>
      <c r="Q12">
        <f>IF(N12&gt;1E-7,Q11+N12,Q11)</f>
        <v/>
      </c>
      <c r="R12">
        <f>R11</f>
        <v/>
      </c>
    </row>
    <row r="13">
      <c r="D13" t="inlineStr">
        <is>
          <t>Sx2</t>
        </is>
      </c>
      <c r="E13">
        <f>SUMPRODUCT(Calc!$K$3:$K$22*(Calc!$G$3:$G$22&gt;$B$5)*(Calc!$G$3:$G$22-$B$5)*Calc!$G$3:$G$22)</f>
        <v/>
      </c>
      <c r="G13" t="n">
        <v>9</v>
      </c>
      <c r="H13">
        <f>IF(k_mexp,k_ea+k_eb*EXP(k_ec*(((k_lo+($B$4-k_lo)*G13/60))-k_mx)/k_sx),k_s0+(((k_lo+($B$4-k_lo)*G13/60))-k_mx)/k_sx*(k_s1+(((k_lo+($B$4-k_lo)*G13/60))-k_mx)/k_sx*(k_s2+(((k_lo+($B$4-k_lo)*G13/60))-k_mx)/k_sx*(k_s3+(((k_lo+($B$4-k_lo)*G13/60))-k_mx)/k_sx*k_s4))))</f>
        <v/>
      </c>
      <c r="I13">
        <f>IF(k_mexp,k_ea+k_eb*EXP(k_ec*((($B$4+($B$5-$B$4)*G13/60))-k_mx)/k_sx),k_s0+((($B$4+($B$5-$B$4)*G13/60))-k_mx)/k_sx*(k_s1+((($B$4+($B$5-$B$4)*G13/60))-k_mx)/k_sx*(k_s2+((($B$4+($B$5-$B$4)*G13/60))-k_mx)/k_sx*(k_s3+((($B$4+($B$5-$B$4)*G13/60))-k_mx)/k_sx*k_s4))))</f>
        <v/>
      </c>
      <c r="J13">
        <f>IF(k_mexp,k_ea+k_eb*EXP(k_ec*((($B$5+(k_hi-$B$5)*G13/60))-k_mx)/k_sx),k_s0+((($B$5+(k_hi-$B$5)*G13/60))-k_mx)/k_sx*(k_s1+((($B$5+(k_hi-$B$5)*G13/60))-k_mx)/k_sx*(k_s2+((($B$5+(k_hi-$B$5)*G13/60))-k_mx)/k_sx*(k_s3+((($B$5+(k_hi-$B$5)*G13/60))-k_mx)/k_sx*k_s4))))</f>
        <v/>
      </c>
      <c r="L13" t="n">
        <v>9</v>
      </c>
      <c r="M13" t="n">
        <v>3</v>
      </c>
      <c r="N13" s="7">
        <f t="array" ref="N13">IF(k_hi&gt;$B$5,MAX(0,MAX($J$4:$J$64-(Q12+(R12-Q12)*$G$4:$G$64/60))),0)</f>
        <v/>
      </c>
      <c r="O13">
        <f>O12</f>
        <v/>
      </c>
      <c r="P13">
        <f>P12</f>
        <v/>
      </c>
      <c r="Q13">
        <f>IF(N13&gt;1E-7,Q12+N13,Q12)</f>
        <v/>
      </c>
      <c r="R13">
        <f>IF(N13&gt;1E-7,R12+N13,R12)</f>
        <v/>
      </c>
    </row>
    <row r="14">
      <c r="D14" t="inlineStr">
        <is>
          <t>S1y</t>
        </is>
      </c>
      <c r="E14">
        <f>SUMPRODUCT(Calc!$K$3:$K$22*(Calc!$G$3:$G$22&gt;$B$4)*(Calc!$G$3:$G$22-$B$4)*Calc!$I$3:$I$22)</f>
        <v/>
      </c>
      <c r="G14" t="n">
        <v>10</v>
      </c>
      <c r="H14">
        <f>IF(k_mexp,k_ea+k_eb*EXP(k_ec*(((k_lo+($B$4-k_lo)*G14/60))-k_mx)/k_sx),k_s0+(((k_lo+($B$4-k_lo)*G14/60))-k_mx)/k_sx*(k_s1+(((k_lo+($B$4-k_lo)*G14/60))-k_mx)/k_sx*(k_s2+(((k_lo+($B$4-k_lo)*G14/60))-k_mx)/k_sx*(k_s3+(((k_lo+($B$4-k_lo)*G14/60))-k_mx)/k_sx*k_s4))))</f>
        <v/>
      </c>
      <c r="I14">
        <f>IF(k_mexp,k_ea+k_eb*EXP(k_ec*((($B$4+($B$5-$B$4)*G14/60))-k_mx)/k_sx),k_s0+((($B$4+($B$5-$B$4)*G14/60))-k_mx)/k_sx*(k_s1+((($B$4+($B$5-$B$4)*G14/60))-k_mx)/k_sx*(k_s2+((($B$4+($B$5-$B$4)*G14/60))-k_mx)/k_sx*(k_s3+((($B$4+($B$5-$B$4)*G14/60))-k_mx)/k_sx*k_s4))))</f>
        <v/>
      </c>
      <c r="J14">
        <f>IF(k_mexp,k_ea+k_eb*EXP(k_ec*((($B$5+(k_hi-$B$5)*G14/60))-k_mx)/k_sx),k_s0+((($B$5+(k_hi-$B$5)*G14/60))-k_mx)/k_sx*(k_s1+((($B$5+(k_hi-$B$5)*G14/60))-k_mx)/k_sx*(k_s2+((($B$5+(k_hi-$B$5)*G14/60))-k_mx)/k_sx*(k_s3+((($B$5+(k_hi-$B$5)*G14/60))-k_mx)/k_sx*k_s4))))</f>
        <v/>
      </c>
      <c r="L14" t="n">
        <v>10</v>
      </c>
      <c r="M14" t="n">
        <v>1</v>
      </c>
      <c r="N14" s="7">
        <f t="array" ref="N14">IF($B$4&gt;k_lo,MAX(0,MAX($H$4:$H$64-(O13+(P13-O13)*$G$4:$G$64/60))),0)</f>
        <v/>
      </c>
      <c r="O14">
        <f>IF(N14&gt;1E-7,O13+N14,O13)</f>
        <v/>
      </c>
      <c r="P14">
        <f>IF(N14&gt;1E-7,P13+N14,P13)</f>
        <v/>
      </c>
      <c r="Q14">
        <f>Q13</f>
        <v/>
      </c>
      <c r="R14">
        <f>R13</f>
        <v/>
      </c>
    </row>
    <row r="15">
      <c r="D15" t="inlineStr">
        <is>
          <t>S2y</t>
        </is>
      </c>
      <c r="E15">
        <f>SUMPRODUCT(Calc!$K$3:$K$22*(Calc!$G$3:$G$22&gt;$B$5)*(Calc!$G$3:$G$22-$B$5)*Calc!$I$3:$I$22)</f>
        <v/>
      </c>
      <c r="G15" t="n">
        <v>11</v>
      </c>
      <c r="H15">
        <f>IF(k_mexp,k_ea+k_eb*EXP(k_ec*(((k_lo+($B$4-k_lo)*G15/60))-k_mx)/k_sx),k_s0+(((k_lo+($B$4-k_lo)*G15/60))-k_mx)/k_sx*(k_s1+(((k_lo+($B$4-k_lo)*G15/60))-k_mx)/k_sx*(k_s2+(((k_lo+($B$4-k_lo)*G15/60))-k_mx)/k_sx*(k_s3+(((k_lo+($B$4-k_lo)*G15/60))-k_mx)/k_sx*k_s4))))</f>
        <v/>
      </c>
      <c r="I15">
        <f>IF(k_mexp,k_ea+k_eb*EXP(k_ec*((($B$4+($B$5-$B$4)*G15/60))-k_mx)/k_sx),k_s0+((($B$4+($B$5-$B$4)*G15/60))-k_mx)/k_sx*(k_s1+((($B$4+($B$5-$B$4)*G15/60))-k_mx)/k_sx*(k_s2+((($B$4+($B$5-$B$4)*G15/60))-k_mx)/k_sx*(k_s3+((($B$4+($B$5-$B$4)*G15/60))-k_mx)/k_sx*k_s4))))</f>
        <v/>
      </c>
      <c r="J15">
        <f>IF(k_mexp,k_ea+k_eb*EXP(k_ec*((($B$5+(k_hi-$B$5)*G15/60))-k_mx)/k_sx),k_s0+((($B$5+(k_hi-$B$5)*G15/60))-k_mx)/k_sx*(k_s1+((($B$5+(k_hi-$B$5)*G15/60))-k_mx)/k_sx*(k_s2+((($B$5+(k_hi-$B$5)*G15/60))-k_mx)/k_sx*(k_s3+((($B$5+(k_hi-$B$5)*G15/60))-k_mx)/k_sx*k_s4))))</f>
        <v/>
      </c>
      <c r="L15" t="n">
        <v>11</v>
      </c>
      <c r="M15" t="n">
        <v>2</v>
      </c>
      <c r="N15" s="7">
        <f t="array" ref="N15">IF($B$5&gt;$B$4,MAX(0,MAX($I$4:$I$64-(P14+(Q14-P14)*$G$4:$G$64/60))),0)</f>
        <v/>
      </c>
      <c r="O15">
        <f>O14</f>
        <v/>
      </c>
      <c r="P15">
        <f>IF(N15&gt;1E-7,P14+N15,P14)</f>
        <v/>
      </c>
      <c r="Q15">
        <f>IF(N15&gt;1E-7,Q14+N15,Q14)</f>
        <v/>
      </c>
      <c r="R15">
        <f>R14</f>
        <v/>
      </c>
    </row>
    <row r="16">
      <c r="D16" t="inlineStr">
        <is>
          <t>C11</t>
        </is>
      </c>
      <c r="E16">
        <f>E9-E7^2/k_n</f>
        <v/>
      </c>
      <c r="G16" t="n">
        <v>12</v>
      </c>
      <c r="H16">
        <f>IF(k_mexp,k_ea+k_eb*EXP(k_ec*(((k_lo+($B$4-k_lo)*G16/60))-k_mx)/k_sx),k_s0+(((k_lo+($B$4-k_lo)*G16/60))-k_mx)/k_sx*(k_s1+(((k_lo+($B$4-k_lo)*G16/60))-k_mx)/k_sx*(k_s2+(((k_lo+($B$4-k_lo)*G16/60))-k_mx)/k_sx*(k_s3+(((k_lo+($B$4-k_lo)*G16/60))-k_mx)/k_sx*k_s4))))</f>
        <v/>
      </c>
      <c r="I16">
        <f>IF(k_mexp,k_ea+k_eb*EXP(k_ec*((($B$4+($B$5-$B$4)*G16/60))-k_mx)/k_sx),k_s0+((($B$4+($B$5-$B$4)*G16/60))-k_mx)/k_sx*(k_s1+((($B$4+($B$5-$B$4)*G16/60))-k_mx)/k_sx*(k_s2+((($B$4+($B$5-$B$4)*G16/60))-k_mx)/k_sx*(k_s3+((($B$4+($B$5-$B$4)*G16/60))-k_mx)/k_sx*k_s4))))</f>
        <v/>
      </c>
      <c r="J16">
        <f>IF(k_mexp,k_ea+k_eb*EXP(k_ec*((($B$5+(k_hi-$B$5)*G16/60))-k_mx)/k_sx),k_s0+((($B$5+(k_hi-$B$5)*G16/60))-k_mx)/k_sx*(k_s1+((($B$5+(k_hi-$B$5)*G16/60))-k_mx)/k_sx*(k_s2+((($B$5+(k_hi-$B$5)*G16/60))-k_mx)/k_sx*(k_s3+((($B$5+(k_hi-$B$5)*G16/60))-k_mx)/k_sx*k_s4))))</f>
        <v/>
      </c>
      <c r="L16" t="n">
        <v>12</v>
      </c>
      <c r="M16" t="n">
        <v>3</v>
      </c>
      <c r="N16" s="7">
        <f t="array" ref="N16">IF(k_hi&gt;$B$5,MAX(0,MAX($J$4:$J$64-(Q15+(R15-Q15)*$G$4:$G$64/60))),0)</f>
        <v/>
      </c>
      <c r="O16">
        <f>O15</f>
        <v/>
      </c>
      <c r="P16">
        <f>P15</f>
        <v/>
      </c>
      <c r="Q16">
        <f>IF(N16&gt;1E-7,Q15+N16,Q15)</f>
        <v/>
      </c>
      <c r="R16">
        <f>IF(N16&gt;1E-7,R15+N16,R15)</f>
        <v/>
      </c>
    </row>
    <row r="17">
      <c r="D17" t="inlineStr">
        <is>
          <t>C22</t>
        </is>
      </c>
      <c r="E17">
        <f>E10-E8^2/k_n</f>
        <v/>
      </c>
      <c r="G17" t="n">
        <v>13</v>
      </c>
      <c r="H17">
        <f>IF(k_mexp,k_ea+k_eb*EXP(k_ec*(((k_lo+($B$4-k_lo)*G17/60))-k_mx)/k_sx),k_s0+(((k_lo+($B$4-k_lo)*G17/60))-k_mx)/k_sx*(k_s1+(((k_lo+($B$4-k_lo)*G17/60))-k_mx)/k_sx*(k_s2+(((k_lo+($B$4-k_lo)*G17/60))-k_mx)/k_sx*(k_s3+(((k_lo+($B$4-k_lo)*G17/60))-k_mx)/k_sx*k_s4))))</f>
        <v/>
      </c>
      <c r="I17">
        <f>IF(k_mexp,k_ea+k_eb*EXP(k_ec*((($B$4+($B$5-$B$4)*G17/60))-k_mx)/k_sx),k_s0+((($B$4+($B$5-$B$4)*G17/60))-k_mx)/k_sx*(k_s1+((($B$4+($B$5-$B$4)*G17/60))-k_mx)/k_sx*(k_s2+((($B$4+($B$5-$B$4)*G17/60))-k_mx)/k_sx*(k_s3+((($B$4+($B$5-$B$4)*G17/60))-k_mx)/k_sx*k_s4))))</f>
        <v/>
      </c>
      <c r="J17">
        <f>IF(k_mexp,k_ea+k_eb*EXP(k_ec*((($B$5+(k_hi-$B$5)*G17/60))-k_mx)/k_sx),k_s0+((($B$5+(k_hi-$B$5)*G17/60))-k_mx)/k_sx*(k_s1+((($B$5+(k_hi-$B$5)*G17/60))-k_mx)/k_sx*(k_s2+((($B$5+(k_hi-$B$5)*G17/60))-k_mx)/k_sx*(k_s3+((($B$5+(k_hi-$B$5)*G17/60))-k_mx)/k_sx*k_s4))))</f>
        <v/>
      </c>
      <c r="L17" t="n">
        <v>13</v>
      </c>
      <c r="M17" t="n">
        <v>1</v>
      </c>
      <c r="N17" s="7">
        <f t="array" ref="N17">IF($B$4&gt;k_lo,MAX(0,MAX($H$4:$H$64-(O16+(P16-O16)*$G$4:$G$64/60))),0)</f>
        <v/>
      </c>
      <c r="O17">
        <f>IF(N17&gt;1E-7,O16+N17,O16)</f>
        <v/>
      </c>
      <c r="P17">
        <f>IF(N17&gt;1E-7,P16+N17,P16)</f>
        <v/>
      </c>
      <c r="Q17">
        <f>Q16</f>
        <v/>
      </c>
      <c r="R17">
        <f>R16</f>
        <v/>
      </c>
    </row>
    <row r="18">
      <c r="D18" t="inlineStr">
        <is>
          <t>C12</t>
        </is>
      </c>
      <c r="E18">
        <f>E11-E7*E8/k_n</f>
        <v/>
      </c>
      <c r="G18" t="n">
        <v>14</v>
      </c>
      <c r="H18">
        <f>IF(k_mexp,k_ea+k_eb*EXP(k_ec*(((k_lo+($B$4-k_lo)*G18/60))-k_mx)/k_sx),k_s0+(((k_lo+($B$4-k_lo)*G18/60))-k_mx)/k_sx*(k_s1+(((k_lo+($B$4-k_lo)*G18/60))-k_mx)/k_sx*(k_s2+(((k_lo+($B$4-k_lo)*G18/60))-k_mx)/k_sx*(k_s3+(((k_lo+($B$4-k_lo)*G18/60))-k_mx)/k_sx*k_s4))))</f>
        <v/>
      </c>
      <c r="I18">
        <f>IF(k_mexp,k_ea+k_eb*EXP(k_ec*((($B$4+($B$5-$B$4)*G18/60))-k_mx)/k_sx),k_s0+((($B$4+($B$5-$B$4)*G18/60))-k_mx)/k_sx*(k_s1+((($B$4+($B$5-$B$4)*G18/60))-k_mx)/k_sx*(k_s2+((($B$4+($B$5-$B$4)*G18/60))-k_mx)/k_sx*(k_s3+((($B$4+($B$5-$B$4)*G18/60))-k_mx)/k_sx*k_s4))))</f>
        <v/>
      </c>
      <c r="J18">
        <f>IF(k_mexp,k_ea+k_eb*EXP(k_ec*((($B$5+(k_hi-$B$5)*G18/60))-k_mx)/k_sx),k_s0+((($B$5+(k_hi-$B$5)*G18/60))-k_mx)/k_sx*(k_s1+((($B$5+(k_hi-$B$5)*G18/60))-k_mx)/k_sx*(k_s2+((($B$5+(k_hi-$B$5)*G18/60))-k_mx)/k_sx*(k_s3+((($B$5+(k_hi-$B$5)*G18/60))-k_mx)/k_sx*k_s4))))</f>
        <v/>
      </c>
      <c r="L18" t="n">
        <v>14</v>
      </c>
      <c r="M18" t="n">
        <v>2</v>
      </c>
      <c r="N18" s="7">
        <f t="array" ref="N18">IF($B$5&gt;$B$4,MAX(0,MAX($I$4:$I$64-(P17+(Q17-P17)*$G$4:$G$64/60))),0)</f>
        <v/>
      </c>
      <c r="O18">
        <f>O17</f>
        <v/>
      </c>
      <c r="P18">
        <f>IF(N18&gt;1E-7,P17+N18,P17)</f>
        <v/>
      </c>
      <c r="Q18">
        <f>IF(N18&gt;1E-7,Q17+N18,Q17)</f>
        <v/>
      </c>
      <c r="R18">
        <f>R17</f>
        <v/>
      </c>
    </row>
    <row r="19">
      <c r="D19" t="inlineStr">
        <is>
          <t>Cx1</t>
        </is>
      </c>
      <c r="E19">
        <f>E12-LTP3!$D$3*E7/k_n</f>
        <v/>
      </c>
      <c r="G19" t="n">
        <v>15</v>
      </c>
      <c r="H19">
        <f>IF(k_mexp,k_ea+k_eb*EXP(k_ec*(((k_lo+($B$4-k_lo)*G19/60))-k_mx)/k_sx),k_s0+(((k_lo+($B$4-k_lo)*G19/60))-k_mx)/k_sx*(k_s1+(((k_lo+($B$4-k_lo)*G19/60))-k_mx)/k_sx*(k_s2+(((k_lo+($B$4-k_lo)*G19/60))-k_mx)/k_sx*(k_s3+(((k_lo+($B$4-k_lo)*G19/60))-k_mx)/k_sx*k_s4))))</f>
        <v/>
      </c>
      <c r="I19">
        <f>IF(k_mexp,k_ea+k_eb*EXP(k_ec*((($B$4+($B$5-$B$4)*G19/60))-k_mx)/k_sx),k_s0+((($B$4+($B$5-$B$4)*G19/60))-k_mx)/k_sx*(k_s1+((($B$4+($B$5-$B$4)*G19/60))-k_mx)/k_sx*(k_s2+((($B$4+($B$5-$B$4)*G19/60))-k_mx)/k_sx*(k_s3+((($B$4+($B$5-$B$4)*G19/60))-k_mx)/k_sx*k_s4))))</f>
        <v/>
      </c>
      <c r="J19">
        <f>IF(k_mexp,k_ea+k_eb*EXP(k_ec*((($B$5+(k_hi-$B$5)*G19/60))-k_mx)/k_sx),k_s0+((($B$5+(k_hi-$B$5)*G19/60))-k_mx)/k_sx*(k_s1+((($B$5+(k_hi-$B$5)*G19/60))-k_mx)/k_sx*(k_s2+((($B$5+(k_hi-$B$5)*G19/60))-k_mx)/k_sx*(k_s3+((($B$5+(k_hi-$B$5)*G19/60))-k_mx)/k_sx*k_s4))))</f>
        <v/>
      </c>
      <c r="L19" t="n">
        <v>15</v>
      </c>
      <c r="M19" t="n">
        <v>3</v>
      </c>
      <c r="N19" s="7">
        <f t="array" ref="N19">IF(k_hi&gt;$B$5,MAX(0,MAX($J$4:$J$64-(Q18+(R18-Q18)*$G$4:$G$64/60))),0)</f>
        <v/>
      </c>
      <c r="O19">
        <f>O18</f>
        <v/>
      </c>
      <c r="P19">
        <f>P18</f>
        <v/>
      </c>
      <c r="Q19">
        <f>IF(N19&gt;1E-7,Q18+N19,Q18)</f>
        <v/>
      </c>
      <c r="R19">
        <f>IF(N19&gt;1E-7,R18+N19,R18)</f>
        <v/>
      </c>
    </row>
    <row r="20">
      <c r="D20" t="inlineStr">
        <is>
          <t>Cx2</t>
        </is>
      </c>
      <c r="E20">
        <f>E13-LTP3!$D$3*E8/k_n</f>
        <v/>
      </c>
      <c r="G20" t="n">
        <v>16</v>
      </c>
      <c r="H20">
        <f>IF(k_mexp,k_ea+k_eb*EXP(k_ec*(((k_lo+($B$4-k_lo)*G20/60))-k_mx)/k_sx),k_s0+(((k_lo+($B$4-k_lo)*G20/60))-k_mx)/k_sx*(k_s1+(((k_lo+($B$4-k_lo)*G20/60))-k_mx)/k_sx*(k_s2+(((k_lo+($B$4-k_lo)*G20/60))-k_mx)/k_sx*(k_s3+(((k_lo+($B$4-k_lo)*G20/60))-k_mx)/k_sx*k_s4))))</f>
        <v/>
      </c>
      <c r="I20">
        <f>IF(k_mexp,k_ea+k_eb*EXP(k_ec*((($B$4+($B$5-$B$4)*G20/60))-k_mx)/k_sx),k_s0+((($B$4+($B$5-$B$4)*G20/60))-k_mx)/k_sx*(k_s1+((($B$4+($B$5-$B$4)*G20/60))-k_mx)/k_sx*(k_s2+((($B$4+($B$5-$B$4)*G20/60))-k_mx)/k_sx*(k_s3+((($B$4+($B$5-$B$4)*G20/60))-k_mx)/k_sx*k_s4))))</f>
        <v/>
      </c>
      <c r="J20">
        <f>IF(k_mexp,k_ea+k_eb*EXP(k_ec*((($B$5+(k_hi-$B$5)*G20/60))-k_mx)/k_sx),k_s0+((($B$5+(k_hi-$B$5)*G20/60))-k_mx)/k_sx*(k_s1+((($B$5+(k_hi-$B$5)*G20/60))-k_mx)/k_sx*(k_s2+((($B$5+(k_hi-$B$5)*G20/60))-k_mx)/k_sx*(k_s3+((($B$5+(k_hi-$B$5)*G20/60))-k_mx)/k_sx*k_s4))))</f>
        <v/>
      </c>
      <c r="L20" t="n">
        <v>16</v>
      </c>
      <c r="M20" t="n">
        <v>1</v>
      </c>
      <c r="N20" s="7">
        <f t="array" ref="N20">IF($B$4&gt;k_lo,MAX(0,MAX($H$4:$H$64-(O19+(P19-O19)*$G$4:$G$64/60))),0)</f>
        <v/>
      </c>
      <c r="O20">
        <f>IF(N20&gt;1E-7,O19+N20,O19)</f>
        <v/>
      </c>
      <c r="P20">
        <f>IF(N20&gt;1E-7,P19+N20,P19)</f>
        <v/>
      </c>
      <c r="Q20">
        <f>Q19</f>
        <v/>
      </c>
      <c r="R20">
        <f>R19</f>
        <v/>
      </c>
    </row>
    <row r="21">
      <c r="D21" t="inlineStr">
        <is>
          <t>C1y</t>
        </is>
      </c>
      <c r="E21">
        <f>E14-E7*LTP3!$D$4/k_n</f>
        <v/>
      </c>
      <c r="G21" t="n">
        <v>17</v>
      </c>
      <c r="H21">
        <f>IF(k_mexp,k_ea+k_eb*EXP(k_ec*(((k_lo+($B$4-k_lo)*G21/60))-k_mx)/k_sx),k_s0+(((k_lo+($B$4-k_lo)*G21/60))-k_mx)/k_sx*(k_s1+(((k_lo+($B$4-k_lo)*G21/60))-k_mx)/k_sx*(k_s2+(((k_lo+($B$4-k_lo)*G21/60))-k_mx)/k_sx*(k_s3+(((k_lo+($B$4-k_lo)*G21/60))-k_mx)/k_sx*k_s4))))</f>
        <v/>
      </c>
      <c r="I21">
        <f>IF(k_mexp,k_ea+k_eb*EXP(k_ec*((($B$4+($B$5-$B$4)*G21/60))-k_mx)/k_sx),k_s0+((($B$4+($B$5-$B$4)*G21/60))-k_mx)/k_sx*(k_s1+((($B$4+($B$5-$B$4)*G21/60))-k_mx)/k_sx*(k_s2+((($B$4+($B$5-$B$4)*G21/60))-k_mx)/k_sx*(k_s3+((($B$4+($B$5-$B$4)*G21/60))-k_mx)/k_sx*k_s4))))</f>
        <v/>
      </c>
      <c r="J21">
        <f>IF(k_mexp,k_ea+k_eb*EXP(k_ec*((($B$5+(k_hi-$B$5)*G21/60))-k_mx)/k_sx),k_s0+((($B$5+(k_hi-$B$5)*G21/60))-k_mx)/k_sx*(k_s1+((($B$5+(k_hi-$B$5)*G21/60))-k_mx)/k_sx*(k_s2+((($B$5+(k_hi-$B$5)*G21/60))-k_mx)/k_sx*(k_s3+((($B$5+(k_hi-$B$5)*G21/60))-k_mx)/k_sx*k_s4))))</f>
        <v/>
      </c>
      <c r="L21" t="n">
        <v>17</v>
      </c>
      <c r="M21" t="n">
        <v>2</v>
      </c>
      <c r="N21" s="7">
        <f t="array" ref="N21">IF($B$5&gt;$B$4,MAX(0,MAX($I$4:$I$64-(P20+(Q20-P20)*$G$4:$G$64/60))),0)</f>
        <v/>
      </c>
      <c r="O21">
        <f>O20</f>
        <v/>
      </c>
      <c r="P21">
        <f>IF(N21&gt;1E-7,P20+N21,P20)</f>
        <v/>
      </c>
      <c r="Q21">
        <f>IF(N21&gt;1E-7,Q20+N21,Q20)</f>
        <v/>
      </c>
      <c r="R21">
        <f>R20</f>
        <v/>
      </c>
    </row>
    <row r="22">
      <c r="D22" t="inlineStr">
        <is>
          <t>C2y</t>
        </is>
      </c>
      <c r="E22">
        <f>E15-E8*LTP3!$D$4/k_n</f>
        <v/>
      </c>
      <c r="G22" t="n">
        <v>18</v>
      </c>
      <c r="H22">
        <f>IF(k_mexp,k_ea+k_eb*EXP(k_ec*(((k_lo+($B$4-k_lo)*G22/60))-k_mx)/k_sx),k_s0+(((k_lo+($B$4-k_lo)*G22/60))-k_mx)/k_sx*(k_s1+(((k_lo+($B$4-k_lo)*G22/60))-k_mx)/k_sx*(k_s2+(((k_lo+($B$4-k_lo)*G22/60))-k_mx)/k_sx*(k_s3+(((k_lo+($B$4-k_lo)*G22/60))-k_mx)/k_sx*k_s4))))</f>
        <v/>
      </c>
      <c r="I22">
        <f>IF(k_mexp,k_ea+k_eb*EXP(k_ec*((($B$4+($B$5-$B$4)*G22/60))-k_mx)/k_sx),k_s0+((($B$4+($B$5-$B$4)*G22/60))-k_mx)/k_sx*(k_s1+((($B$4+($B$5-$B$4)*G22/60))-k_mx)/k_sx*(k_s2+((($B$4+($B$5-$B$4)*G22/60))-k_mx)/k_sx*(k_s3+((($B$4+($B$5-$B$4)*G22/60))-k_mx)/k_sx*k_s4))))</f>
        <v/>
      </c>
      <c r="J22">
        <f>IF(k_mexp,k_ea+k_eb*EXP(k_ec*((($B$5+(k_hi-$B$5)*G22/60))-k_mx)/k_sx),k_s0+((($B$5+(k_hi-$B$5)*G22/60))-k_mx)/k_sx*(k_s1+((($B$5+(k_hi-$B$5)*G22/60))-k_mx)/k_sx*(k_s2+((($B$5+(k_hi-$B$5)*G22/60))-k_mx)/k_sx*(k_s3+((($B$5+(k_hi-$B$5)*G22/60))-k_mx)/k_sx*k_s4))))</f>
        <v/>
      </c>
      <c r="L22" t="n">
        <v>18</v>
      </c>
      <c r="M22" t="n">
        <v>3</v>
      </c>
      <c r="N22" s="7">
        <f t="array" ref="N22">IF(k_hi&gt;$B$5,MAX(0,MAX($J$4:$J$64-(Q21+(R21-Q21)*$G$4:$G$64/60))),0)</f>
        <v/>
      </c>
      <c r="O22">
        <f>O21</f>
        <v/>
      </c>
      <c r="P22">
        <f>P21</f>
        <v/>
      </c>
      <c r="Q22">
        <f>IF(N22&gt;1E-7,Q21+N22,Q21)</f>
        <v/>
      </c>
      <c r="R22">
        <f>IF(N22&gt;1E-7,R21+N22,R21)</f>
        <v/>
      </c>
    </row>
    <row r="23">
      <c r="D23" t="inlineStr">
        <is>
          <t>det</t>
        </is>
      </c>
      <c r="E23">
        <f>((LTP3!$D$5)*((E16)*(E17)-(E18)*(E18))-(E19)*((E19)*(E17)-(E18)*(E20))+(E20)*((E19)*(E18)-(E16)*(E20)))</f>
        <v/>
      </c>
      <c r="G23" t="n">
        <v>19</v>
      </c>
      <c r="H23">
        <f>IF(k_mexp,k_ea+k_eb*EXP(k_ec*(((k_lo+($B$4-k_lo)*G23/60))-k_mx)/k_sx),k_s0+(((k_lo+($B$4-k_lo)*G23/60))-k_mx)/k_sx*(k_s1+(((k_lo+($B$4-k_lo)*G23/60))-k_mx)/k_sx*(k_s2+(((k_lo+($B$4-k_lo)*G23/60))-k_mx)/k_sx*(k_s3+(((k_lo+($B$4-k_lo)*G23/60))-k_mx)/k_sx*k_s4))))</f>
        <v/>
      </c>
      <c r="I23">
        <f>IF(k_mexp,k_ea+k_eb*EXP(k_ec*((($B$4+($B$5-$B$4)*G23/60))-k_mx)/k_sx),k_s0+((($B$4+($B$5-$B$4)*G23/60))-k_mx)/k_sx*(k_s1+((($B$4+($B$5-$B$4)*G23/60))-k_mx)/k_sx*(k_s2+((($B$4+($B$5-$B$4)*G23/60))-k_mx)/k_sx*(k_s3+((($B$4+($B$5-$B$4)*G23/60))-k_mx)/k_sx*k_s4))))</f>
        <v/>
      </c>
      <c r="J23">
        <f>IF(k_mexp,k_ea+k_eb*EXP(k_ec*((($B$5+(k_hi-$B$5)*G23/60))-k_mx)/k_sx),k_s0+((($B$5+(k_hi-$B$5)*G23/60))-k_mx)/k_sx*(k_s1+((($B$5+(k_hi-$B$5)*G23/60))-k_mx)/k_sx*(k_s2+((($B$5+(k_hi-$B$5)*G23/60))-k_mx)/k_sx*(k_s3+((($B$5+(k_hi-$B$5)*G23/60))-k_mx)/k_sx*k_s4))))</f>
        <v/>
      </c>
      <c r="L23" t="n">
        <v>19</v>
      </c>
      <c r="M23" t="n">
        <v>1</v>
      </c>
      <c r="N23" s="7">
        <f t="array" ref="N23">IF($B$4&gt;k_lo,MAX(0,MAX($H$4:$H$64-(O22+(P22-O22)*$G$4:$G$64/60))),0)</f>
        <v/>
      </c>
      <c r="O23">
        <f>IF(N23&gt;1E-7,O22+N23,O22)</f>
        <v/>
      </c>
      <c r="P23">
        <f>IF(N23&gt;1E-7,P22+N23,P22)</f>
        <v/>
      </c>
      <c r="Q23">
        <f>Q22</f>
        <v/>
      </c>
      <c r="R23">
        <f>R22</f>
        <v/>
      </c>
    </row>
    <row r="24">
      <c r="D24" t="inlineStr">
        <is>
          <t>bx</t>
        </is>
      </c>
      <c r="E24">
        <f>IF(ABS(E23)&gt;1E-12,((LTP3!$D$6)*((E16)*(E17)-(E18)*(E18))-(E19)*((E21)*(E17)-(E18)*(E22))+(E20)*((E21)*(E18)-(E16)*(E22)))/E23,0)</f>
        <v/>
      </c>
      <c r="G24" t="n">
        <v>20</v>
      </c>
      <c r="H24">
        <f>IF(k_mexp,k_ea+k_eb*EXP(k_ec*(((k_lo+($B$4-k_lo)*G24/60))-k_mx)/k_sx),k_s0+(((k_lo+($B$4-k_lo)*G24/60))-k_mx)/k_sx*(k_s1+(((k_lo+($B$4-k_lo)*G24/60))-k_mx)/k_sx*(k_s2+(((k_lo+($B$4-k_lo)*G24/60))-k_mx)/k_sx*(k_s3+(((k_lo+($B$4-k_lo)*G24/60))-k_mx)/k_sx*k_s4))))</f>
        <v/>
      </c>
      <c r="I24">
        <f>IF(k_mexp,k_ea+k_eb*EXP(k_ec*((($B$4+($B$5-$B$4)*G24/60))-k_mx)/k_sx),k_s0+((($B$4+($B$5-$B$4)*G24/60))-k_mx)/k_sx*(k_s1+((($B$4+($B$5-$B$4)*G24/60))-k_mx)/k_sx*(k_s2+((($B$4+($B$5-$B$4)*G24/60))-k_mx)/k_sx*(k_s3+((($B$4+($B$5-$B$4)*G24/60))-k_mx)/k_sx*k_s4))))</f>
        <v/>
      </c>
      <c r="J24">
        <f>IF(k_mexp,k_ea+k_eb*EXP(k_ec*((($B$5+(k_hi-$B$5)*G24/60))-k_mx)/k_sx),k_s0+((($B$5+(k_hi-$B$5)*G24/60))-k_mx)/k_sx*(k_s1+((($B$5+(k_hi-$B$5)*G24/60))-k_mx)/k_sx*(k_s2+((($B$5+(k_hi-$B$5)*G24/60))-k_mx)/k_sx*(k_s3+((($B$5+(k_hi-$B$5)*G24/60))-k_mx)/k_sx*k_s4))))</f>
        <v/>
      </c>
      <c r="L24" t="n">
        <v>20</v>
      </c>
      <c r="M24" t="n">
        <v>2</v>
      </c>
      <c r="N24" s="7">
        <f t="array" ref="N24">IF($B$5&gt;$B$4,MAX(0,MAX($I$4:$I$64-(P23+(Q23-P23)*$G$4:$G$64/60))),0)</f>
        <v/>
      </c>
      <c r="O24">
        <f>O23</f>
        <v/>
      </c>
      <c r="P24">
        <f>IF(N24&gt;1E-7,P23+N24,P23)</f>
        <v/>
      </c>
      <c r="Q24">
        <f>IF(N24&gt;1E-7,Q23+N24,Q23)</f>
        <v/>
      </c>
      <c r="R24">
        <f>R23</f>
        <v/>
      </c>
    </row>
    <row r="25">
      <c r="D25" t="inlineStr">
        <is>
          <t>b1</t>
        </is>
      </c>
      <c r="E25">
        <f>IF(ABS(E23)&gt;1E-12,((LTP3!$D$5)*((E21)*(E17)-(E18)*(E22))-(LTP3!$D$6)*((E19)*(E17)-(E18)*(E20))+(E20)*((E19)*(E22)-(E21)*(E20)))/E23,0)</f>
        <v/>
      </c>
      <c r="G25" t="n">
        <v>21</v>
      </c>
      <c r="H25">
        <f>IF(k_mexp,k_ea+k_eb*EXP(k_ec*(((k_lo+($B$4-k_lo)*G25/60))-k_mx)/k_sx),k_s0+(((k_lo+($B$4-k_lo)*G25/60))-k_mx)/k_sx*(k_s1+(((k_lo+($B$4-k_lo)*G25/60))-k_mx)/k_sx*(k_s2+(((k_lo+($B$4-k_lo)*G25/60))-k_mx)/k_sx*(k_s3+(((k_lo+($B$4-k_lo)*G25/60))-k_mx)/k_sx*k_s4))))</f>
        <v/>
      </c>
      <c r="I25">
        <f>IF(k_mexp,k_ea+k_eb*EXP(k_ec*((($B$4+($B$5-$B$4)*G25/60))-k_mx)/k_sx),k_s0+((($B$4+($B$5-$B$4)*G25/60))-k_mx)/k_sx*(k_s1+((($B$4+($B$5-$B$4)*G25/60))-k_mx)/k_sx*(k_s2+((($B$4+($B$5-$B$4)*G25/60))-k_mx)/k_sx*(k_s3+((($B$4+($B$5-$B$4)*G25/60))-k_mx)/k_sx*k_s4))))</f>
        <v/>
      </c>
      <c r="J25">
        <f>IF(k_mexp,k_ea+k_eb*EXP(k_ec*((($B$5+(k_hi-$B$5)*G25/60))-k_mx)/k_sx),k_s0+((($B$5+(k_hi-$B$5)*G25/60))-k_mx)/k_sx*(k_s1+((($B$5+(k_hi-$B$5)*G25/60))-k_mx)/k_sx*(k_s2+((($B$5+(k_hi-$B$5)*G25/60))-k_mx)/k_sx*(k_s3+((($B$5+(k_hi-$B$5)*G25/60))-k_mx)/k_sx*k_s4))))</f>
        <v/>
      </c>
      <c r="L25" t="n">
        <v>21</v>
      </c>
      <c r="M25" t="n">
        <v>3</v>
      </c>
      <c r="N25" s="7">
        <f t="array" ref="N25">IF(k_hi&gt;$B$5,MAX(0,MAX($J$4:$J$64-(Q24+(R24-Q24)*$G$4:$G$64/60))),0)</f>
        <v/>
      </c>
      <c r="O25">
        <f>O24</f>
        <v/>
      </c>
      <c r="P25">
        <f>P24</f>
        <v/>
      </c>
      <c r="Q25">
        <f>IF(N25&gt;1E-7,Q24+N25,Q24)</f>
        <v/>
      </c>
      <c r="R25">
        <f>IF(N25&gt;1E-7,R24+N25,R24)</f>
        <v/>
      </c>
    </row>
    <row r="26">
      <c r="D26" t="inlineStr">
        <is>
          <t>b2</t>
        </is>
      </c>
      <c r="E26">
        <f>IF(ABS(E23)&gt;1E-12,((LTP3!$D$5)*((E16)*(E22)-(E21)*(E18))-(E19)*((E19)*(E22)-(E21)*(E20))+(LTP3!$D$6)*((E19)*(E18)-(E16)*(E20)))/E23,0)</f>
        <v/>
      </c>
      <c r="G26" t="n">
        <v>22</v>
      </c>
      <c r="H26">
        <f>IF(k_mexp,k_ea+k_eb*EXP(k_ec*(((k_lo+($B$4-k_lo)*G26/60))-k_mx)/k_sx),k_s0+(((k_lo+($B$4-k_lo)*G26/60))-k_mx)/k_sx*(k_s1+(((k_lo+($B$4-k_lo)*G26/60))-k_mx)/k_sx*(k_s2+(((k_lo+($B$4-k_lo)*G26/60))-k_mx)/k_sx*(k_s3+(((k_lo+($B$4-k_lo)*G26/60))-k_mx)/k_sx*k_s4))))</f>
        <v/>
      </c>
      <c r="I26">
        <f>IF(k_mexp,k_ea+k_eb*EXP(k_ec*((($B$4+($B$5-$B$4)*G26/60))-k_mx)/k_sx),k_s0+((($B$4+($B$5-$B$4)*G26/60))-k_mx)/k_sx*(k_s1+((($B$4+($B$5-$B$4)*G26/60))-k_mx)/k_sx*(k_s2+((($B$4+($B$5-$B$4)*G26/60))-k_mx)/k_sx*(k_s3+((($B$4+($B$5-$B$4)*G26/60))-k_mx)/k_sx*k_s4))))</f>
        <v/>
      </c>
      <c r="J26">
        <f>IF(k_mexp,k_ea+k_eb*EXP(k_ec*((($B$5+(k_hi-$B$5)*G26/60))-k_mx)/k_sx),k_s0+((($B$5+(k_hi-$B$5)*G26/60))-k_mx)/k_sx*(k_s1+((($B$5+(k_hi-$B$5)*G26/60))-k_mx)/k_sx*(k_s2+((($B$5+(k_hi-$B$5)*G26/60))-k_mx)/k_sx*(k_s3+((($B$5+(k_hi-$B$5)*G26/60))-k_mx)/k_sx*k_s4))))</f>
        <v/>
      </c>
      <c r="L26" t="n">
        <v>22</v>
      </c>
      <c r="M26" t="n">
        <v>1</v>
      </c>
      <c r="N26" s="7">
        <f t="array" ref="N26">IF($B$4&gt;k_lo,MAX(0,MAX($H$4:$H$64-(O25+(P25-O25)*$G$4:$G$64/60))),0)</f>
        <v/>
      </c>
      <c r="O26">
        <f>IF(N26&gt;1E-7,O25+N26,O25)</f>
        <v/>
      </c>
      <c r="P26">
        <f>IF(N26&gt;1E-7,P25+N26,P25)</f>
        <v/>
      </c>
      <c r="Q26">
        <f>Q25</f>
        <v/>
      </c>
      <c r="R26">
        <f>R25</f>
        <v/>
      </c>
    </row>
    <row r="27">
      <c r="D27" t="inlineStr">
        <is>
          <t>SSE</t>
        </is>
      </c>
      <c r="E27">
        <f>LTP3!$D$7-E24*LTP3!$D$6-E25*E21-E26*E22</f>
        <v/>
      </c>
      <c r="G27" t="n">
        <v>23</v>
      </c>
      <c r="H27">
        <f>IF(k_mexp,k_ea+k_eb*EXP(k_ec*(((k_lo+($B$4-k_lo)*G27/60))-k_mx)/k_sx),k_s0+(((k_lo+($B$4-k_lo)*G27/60))-k_mx)/k_sx*(k_s1+(((k_lo+($B$4-k_lo)*G27/60))-k_mx)/k_sx*(k_s2+(((k_lo+($B$4-k_lo)*G27/60))-k_mx)/k_sx*(k_s3+(((k_lo+($B$4-k_lo)*G27/60))-k_mx)/k_sx*k_s4))))</f>
        <v/>
      </c>
      <c r="I27">
        <f>IF(k_mexp,k_ea+k_eb*EXP(k_ec*((($B$4+($B$5-$B$4)*G27/60))-k_mx)/k_sx),k_s0+((($B$4+($B$5-$B$4)*G27/60))-k_mx)/k_sx*(k_s1+((($B$4+($B$5-$B$4)*G27/60))-k_mx)/k_sx*(k_s2+((($B$4+($B$5-$B$4)*G27/60))-k_mx)/k_sx*(k_s3+((($B$4+($B$5-$B$4)*G27/60))-k_mx)/k_sx*k_s4))))</f>
        <v/>
      </c>
      <c r="J27">
        <f>IF(k_mexp,k_ea+k_eb*EXP(k_ec*((($B$5+(k_hi-$B$5)*G27/60))-k_mx)/k_sx),k_s0+((($B$5+(k_hi-$B$5)*G27/60))-k_mx)/k_sx*(k_s1+((($B$5+(k_hi-$B$5)*G27/60))-k_mx)/k_sx*(k_s2+((($B$5+(k_hi-$B$5)*G27/60))-k_mx)/k_sx*(k_s3+((($B$5+(k_hi-$B$5)*G27/60))-k_mx)/k_sx*k_s4))))</f>
        <v/>
      </c>
      <c r="L27" t="n">
        <v>23</v>
      </c>
      <c r="M27" t="n">
        <v>2</v>
      </c>
      <c r="N27" s="7">
        <f t="array" ref="N27">IF($B$5&gt;$B$4,MAX(0,MAX($I$4:$I$64-(P26+(Q26-P26)*$G$4:$G$64/60))),0)</f>
        <v/>
      </c>
      <c r="O27">
        <f>O26</f>
        <v/>
      </c>
      <c r="P27">
        <f>IF(N27&gt;1E-7,P26+N27,P26)</f>
        <v/>
      </c>
      <c r="Q27">
        <f>IF(N27&gt;1E-7,Q26+N27,Q26)</f>
        <v/>
      </c>
      <c r="R27">
        <f>R26</f>
        <v/>
      </c>
    </row>
    <row r="28">
      <c r="D28" t="inlineStr">
        <is>
          <t>Score</t>
        </is>
      </c>
      <c r="E28">
        <f>IF(AND(E6,ABS(E23)&gt;1E-12,E25&gt;0,E26&gt;0),E27,1E+300)</f>
        <v/>
      </c>
      <c r="G28" t="n">
        <v>24</v>
      </c>
      <c r="H28">
        <f>IF(k_mexp,k_ea+k_eb*EXP(k_ec*(((k_lo+($B$4-k_lo)*G28/60))-k_mx)/k_sx),k_s0+(((k_lo+($B$4-k_lo)*G28/60))-k_mx)/k_sx*(k_s1+(((k_lo+($B$4-k_lo)*G28/60))-k_mx)/k_sx*(k_s2+(((k_lo+($B$4-k_lo)*G28/60))-k_mx)/k_sx*(k_s3+(((k_lo+($B$4-k_lo)*G28/60))-k_mx)/k_sx*k_s4))))</f>
        <v/>
      </c>
      <c r="I28">
        <f>IF(k_mexp,k_ea+k_eb*EXP(k_ec*((($B$4+($B$5-$B$4)*G28/60))-k_mx)/k_sx),k_s0+((($B$4+($B$5-$B$4)*G28/60))-k_mx)/k_sx*(k_s1+((($B$4+($B$5-$B$4)*G28/60))-k_mx)/k_sx*(k_s2+((($B$4+($B$5-$B$4)*G28/60))-k_mx)/k_sx*(k_s3+((($B$4+($B$5-$B$4)*G28/60))-k_mx)/k_sx*k_s4))))</f>
        <v/>
      </c>
      <c r="J28">
        <f>IF(k_mexp,k_ea+k_eb*EXP(k_ec*((($B$5+(k_hi-$B$5)*G28/60))-k_mx)/k_sx),k_s0+((($B$5+(k_hi-$B$5)*G28/60))-k_mx)/k_sx*(k_s1+((($B$5+(k_hi-$B$5)*G28/60))-k_mx)/k_sx*(k_s2+((($B$5+(k_hi-$B$5)*G28/60))-k_mx)/k_sx*(k_s3+((($B$5+(k_hi-$B$5)*G28/60))-k_mx)/k_sx*k_s4))))</f>
        <v/>
      </c>
      <c r="L28" t="n">
        <v>24</v>
      </c>
      <c r="M28" t="n">
        <v>3</v>
      </c>
      <c r="N28" s="7">
        <f t="array" ref="N28">IF(k_hi&gt;$B$5,MAX(0,MAX($J$4:$J$64-(Q27+(R27-Q27)*$G$4:$G$64/60))),0)</f>
        <v/>
      </c>
      <c r="O28">
        <f>O27</f>
        <v/>
      </c>
      <c r="P28">
        <f>P27</f>
        <v/>
      </c>
      <c r="Q28">
        <f>IF(N28&gt;1E-7,Q27+N28,Q27)</f>
        <v/>
      </c>
      <c r="R28">
        <f>IF(N28&gt;1E-7,R27+N28,R27)</f>
        <v/>
      </c>
    </row>
    <row r="29">
      <c r="D29" t="inlineStr">
        <is>
          <t>c0</t>
        </is>
      </c>
      <c r="E29">
        <f>(LTP3!$D$4-E24*LTP3!$D$3-E25*E7-E26*E8)/k_n</f>
        <v/>
      </c>
      <c r="G29" t="n">
        <v>25</v>
      </c>
      <c r="H29">
        <f>IF(k_mexp,k_ea+k_eb*EXP(k_ec*(((k_lo+($B$4-k_lo)*G29/60))-k_mx)/k_sx),k_s0+(((k_lo+($B$4-k_lo)*G29/60))-k_mx)/k_sx*(k_s1+(((k_lo+($B$4-k_lo)*G29/60))-k_mx)/k_sx*(k_s2+(((k_lo+($B$4-k_lo)*G29/60))-k_mx)/k_sx*(k_s3+(((k_lo+($B$4-k_lo)*G29/60))-k_mx)/k_sx*k_s4))))</f>
        <v/>
      </c>
      <c r="I29">
        <f>IF(k_mexp,k_ea+k_eb*EXP(k_ec*((($B$4+($B$5-$B$4)*G29/60))-k_mx)/k_sx),k_s0+((($B$4+($B$5-$B$4)*G29/60))-k_mx)/k_sx*(k_s1+((($B$4+($B$5-$B$4)*G29/60))-k_mx)/k_sx*(k_s2+((($B$4+($B$5-$B$4)*G29/60))-k_mx)/k_sx*(k_s3+((($B$4+($B$5-$B$4)*G29/60))-k_mx)/k_sx*k_s4))))</f>
        <v/>
      </c>
      <c r="J29">
        <f>IF(k_mexp,k_ea+k_eb*EXP(k_ec*((($B$5+(k_hi-$B$5)*G29/60))-k_mx)/k_sx),k_s0+((($B$5+(k_hi-$B$5)*G29/60))-k_mx)/k_sx*(k_s1+((($B$5+(k_hi-$B$5)*G29/60))-k_mx)/k_sx*(k_s2+((($B$5+(k_hi-$B$5)*G29/60))-k_mx)/k_sx*(k_s3+((($B$5+(k_hi-$B$5)*G29/60))-k_mx)/k_sx*k_s4))))</f>
        <v/>
      </c>
      <c r="L29" t="n">
        <v>25</v>
      </c>
      <c r="M29" t="n">
        <v>1</v>
      </c>
      <c r="N29" s="7">
        <f t="array" ref="N29">IF($B$4&gt;k_lo,MAX(0,MAX($H$4:$H$64-(O28+(P28-O28)*$G$4:$G$64/60))),0)</f>
        <v/>
      </c>
      <c r="O29">
        <f>IF(N29&gt;1E-7,O28+N29,O28)</f>
        <v/>
      </c>
      <c r="P29">
        <f>IF(N29&gt;1E-7,P28+N29,P28)</f>
        <v/>
      </c>
      <c r="Q29">
        <f>Q28</f>
        <v/>
      </c>
      <c r="R29">
        <f>R28</f>
        <v/>
      </c>
    </row>
    <row r="30">
      <c r="G30" t="n">
        <v>26</v>
      </c>
      <c r="H30">
        <f>IF(k_mexp,k_ea+k_eb*EXP(k_ec*(((k_lo+($B$4-k_lo)*G30/60))-k_mx)/k_sx),k_s0+(((k_lo+($B$4-k_lo)*G30/60))-k_mx)/k_sx*(k_s1+(((k_lo+($B$4-k_lo)*G30/60))-k_mx)/k_sx*(k_s2+(((k_lo+($B$4-k_lo)*G30/60))-k_mx)/k_sx*(k_s3+(((k_lo+($B$4-k_lo)*G30/60))-k_mx)/k_sx*k_s4))))</f>
        <v/>
      </c>
      <c r="I30">
        <f>IF(k_mexp,k_ea+k_eb*EXP(k_ec*((($B$4+($B$5-$B$4)*G30/60))-k_mx)/k_sx),k_s0+((($B$4+($B$5-$B$4)*G30/60))-k_mx)/k_sx*(k_s1+((($B$4+($B$5-$B$4)*G30/60))-k_mx)/k_sx*(k_s2+((($B$4+($B$5-$B$4)*G30/60))-k_mx)/k_sx*(k_s3+((($B$4+($B$5-$B$4)*G30/60))-k_mx)/k_sx*k_s4))))</f>
        <v/>
      </c>
      <c r="J30">
        <f>IF(k_mexp,k_ea+k_eb*EXP(k_ec*((($B$5+(k_hi-$B$5)*G30/60))-k_mx)/k_sx),k_s0+((($B$5+(k_hi-$B$5)*G30/60))-k_mx)/k_sx*(k_s1+((($B$5+(k_hi-$B$5)*G30/60))-k_mx)/k_sx*(k_s2+((($B$5+(k_hi-$B$5)*G30/60))-k_mx)/k_sx*(k_s3+((($B$5+(k_hi-$B$5)*G30/60))-k_mx)/k_sx*k_s4))))</f>
        <v/>
      </c>
      <c r="L30" t="n">
        <v>26</v>
      </c>
      <c r="M30" t="n">
        <v>2</v>
      </c>
      <c r="N30" s="7">
        <f t="array" ref="N30">IF($B$5&gt;$B$4,MAX(0,MAX($I$4:$I$64-(P29+(Q29-P29)*$G$4:$G$64/60))),0)</f>
        <v/>
      </c>
      <c r="O30">
        <f>O29</f>
        <v/>
      </c>
      <c r="P30">
        <f>IF(N30&gt;1E-7,P29+N30,P29)</f>
        <v/>
      </c>
      <c r="Q30">
        <f>IF(N30&gt;1E-7,Q29+N30,Q29)</f>
        <v/>
      </c>
      <c r="R30">
        <f>R29</f>
        <v/>
      </c>
    </row>
    <row r="31">
      <c r="G31" t="n">
        <v>27</v>
      </c>
      <c r="H31">
        <f>IF(k_mexp,k_ea+k_eb*EXP(k_ec*(((k_lo+($B$4-k_lo)*G31/60))-k_mx)/k_sx),k_s0+(((k_lo+($B$4-k_lo)*G31/60))-k_mx)/k_sx*(k_s1+(((k_lo+($B$4-k_lo)*G31/60))-k_mx)/k_sx*(k_s2+(((k_lo+($B$4-k_lo)*G31/60))-k_mx)/k_sx*(k_s3+(((k_lo+($B$4-k_lo)*G31/60))-k_mx)/k_sx*k_s4))))</f>
        <v/>
      </c>
      <c r="I31">
        <f>IF(k_mexp,k_ea+k_eb*EXP(k_ec*((($B$4+($B$5-$B$4)*G31/60))-k_mx)/k_sx),k_s0+((($B$4+($B$5-$B$4)*G31/60))-k_mx)/k_sx*(k_s1+((($B$4+($B$5-$B$4)*G31/60))-k_mx)/k_sx*(k_s2+((($B$4+($B$5-$B$4)*G31/60))-k_mx)/k_sx*(k_s3+((($B$4+($B$5-$B$4)*G31/60))-k_mx)/k_sx*k_s4))))</f>
        <v/>
      </c>
      <c r="J31">
        <f>IF(k_mexp,k_ea+k_eb*EXP(k_ec*((($B$5+(k_hi-$B$5)*G31/60))-k_mx)/k_sx),k_s0+((($B$5+(k_hi-$B$5)*G31/60))-k_mx)/k_sx*(k_s1+((($B$5+(k_hi-$B$5)*G31/60))-k_mx)/k_sx*(k_s2+((($B$5+(k_hi-$B$5)*G31/60))-k_mx)/k_sx*(k_s3+((($B$5+(k_hi-$B$5)*G31/60))-k_mx)/k_sx*k_s4))))</f>
        <v/>
      </c>
      <c r="L31" t="n">
        <v>27</v>
      </c>
      <c r="M31" t="n">
        <v>3</v>
      </c>
      <c r="N31" s="7">
        <f t="array" ref="N31">IF(k_hi&gt;$B$5,MAX(0,MAX($J$4:$J$64-(Q30+(R30-Q30)*$G$4:$G$64/60))),0)</f>
        <v/>
      </c>
      <c r="O31">
        <f>O30</f>
        <v/>
      </c>
      <c r="P31">
        <f>P30</f>
        <v/>
      </c>
      <c r="Q31">
        <f>IF(N31&gt;1E-7,Q30+N31,Q30)</f>
        <v/>
      </c>
      <c r="R31">
        <f>IF(N31&gt;1E-7,R30+N31,R30)</f>
        <v/>
      </c>
    </row>
    <row r="32">
      <c r="G32" t="n">
        <v>28</v>
      </c>
      <c r="H32">
        <f>IF(k_mexp,k_ea+k_eb*EXP(k_ec*(((k_lo+($B$4-k_lo)*G32/60))-k_mx)/k_sx),k_s0+(((k_lo+($B$4-k_lo)*G32/60))-k_mx)/k_sx*(k_s1+(((k_lo+($B$4-k_lo)*G32/60))-k_mx)/k_sx*(k_s2+(((k_lo+($B$4-k_lo)*G32/60))-k_mx)/k_sx*(k_s3+(((k_lo+($B$4-k_lo)*G32/60))-k_mx)/k_sx*k_s4))))</f>
        <v/>
      </c>
      <c r="I32">
        <f>IF(k_mexp,k_ea+k_eb*EXP(k_ec*((($B$4+($B$5-$B$4)*G32/60))-k_mx)/k_sx),k_s0+((($B$4+($B$5-$B$4)*G32/60))-k_mx)/k_sx*(k_s1+((($B$4+($B$5-$B$4)*G32/60))-k_mx)/k_sx*(k_s2+((($B$4+($B$5-$B$4)*G32/60))-k_mx)/k_sx*(k_s3+((($B$4+($B$5-$B$4)*G32/60))-k_mx)/k_sx*k_s4))))</f>
        <v/>
      </c>
      <c r="J32">
        <f>IF(k_mexp,k_ea+k_eb*EXP(k_ec*((($B$5+(k_hi-$B$5)*G32/60))-k_mx)/k_sx),k_s0+((($B$5+(k_hi-$B$5)*G32/60))-k_mx)/k_sx*(k_s1+((($B$5+(k_hi-$B$5)*G32/60))-k_mx)/k_sx*(k_s2+((($B$5+(k_hi-$B$5)*G32/60))-k_mx)/k_sx*(k_s3+((($B$5+(k_hi-$B$5)*G32/60))-k_mx)/k_sx*k_s4))))</f>
        <v/>
      </c>
      <c r="L32" t="n">
        <v>28</v>
      </c>
      <c r="M32" t="n">
        <v>1</v>
      </c>
      <c r="N32" s="7">
        <f t="array" ref="N32">IF($B$4&gt;k_lo,MAX(0,MAX($H$4:$H$64-(O31+(P31-O31)*$G$4:$G$64/60))),0)</f>
        <v/>
      </c>
      <c r="O32">
        <f>IF(N32&gt;1E-7,O31+N32,O31)</f>
        <v/>
      </c>
      <c r="P32">
        <f>IF(N32&gt;1E-7,P31+N32,P31)</f>
        <v/>
      </c>
      <c r="Q32">
        <f>Q31</f>
        <v/>
      </c>
      <c r="R32">
        <f>R31</f>
        <v/>
      </c>
    </row>
    <row r="33">
      <c r="G33" t="n">
        <v>29</v>
      </c>
      <c r="H33">
        <f>IF(k_mexp,k_ea+k_eb*EXP(k_ec*(((k_lo+($B$4-k_lo)*G33/60))-k_mx)/k_sx),k_s0+(((k_lo+($B$4-k_lo)*G33/60))-k_mx)/k_sx*(k_s1+(((k_lo+($B$4-k_lo)*G33/60))-k_mx)/k_sx*(k_s2+(((k_lo+($B$4-k_lo)*G33/60))-k_mx)/k_sx*(k_s3+(((k_lo+($B$4-k_lo)*G33/60))-k_mx)/k_sx*k_s4))))</f>
        <v/>
      </c>
      <c r="I33">
        <f>IF(k_mexp,k_ea+k_eb*EXP(k_ec*((($B$4+($B$5-$B$4)*G33/60))-k_mx)/k_sx),k_s0+((($B$4+($B$5-$B$4)*G33/60))-k_mx)/k_sx*(k_s1+((($B$4+($B$5-$B$4)*G33/60))-k_mx)/k_sx*(k_s2+((($B$4+($B$5-$B$4)*G33/60))-k_mx)/k_sx*(k_s3+((($B$4+($B$5-$B$4)*G33/60))-k_mx)/k_sx*k_s4))))</f>
        <v/>
      </c>
      <c r="J33">
        <f>IF(k_mexp,k_ea+k_eb*EXP(k_ec*((($B$5+(k_hi-$B$5)*G33/60))-k_mx)/k_sx),k_s0+((($B$5+(k_hi-$B$5)*G33/60))-k_mx)/k_sx*(k_s1+((($B$5+(k_hi-$B$5)*G33/60))-k_mx)/k_sx*(k_s2+((($B$5+(k_hi-$B$5)*G33/60))-k_mx)/k_sx*(k_s3+((($B$5+(k_hi-$B$5)*G33/60))-k_mx)/k_sx*k_s4))))</f>
        <v/>
      </c>
      <c r="L33" t="n">
        <v>29</v>
      </c>
      <c r="M33" t="n">
        <v>2</v>
      </c>
      <c r="N33" s="7">
        <f t="array" ref="N33">IF($B$5&gt;$B$4,MAX(0,MAX($I$4:$I$64-(P32+(Q32-P32)*$G$4:$G$64/60))),0)</f>
        <v/>
      </c>
      <c r="O33">
        <f>O32</f>
        <v/>
      </c>
      <c r="P33">
        <f>IF(N33&gt;1E-7,P32+N33,P32)</f>
        <v/>
      </c>
      <c r="Q33">
        <f>IF(N33&gt;1E-7,Q32+N33,Q32)</f>
        <v/>
      </c>
      <c r="R33">
        <f>R32</f>
        <v/>
      </c>
    </row>
    <row r="34">
      <c r="G34" t="n">
        <v>30</v>
      </c>
      <c r="H34">
        <f>IF(k_mexp,k_ea+k_eb*EXP(k_ec*(((k_lo+($B$4-k_lo)*G34/60))-k_mx)/k_sx),k_s0+(((k_lo+($B$4-k_lo)*G34/60))-k_mx)/k_sx*(k_s1+(((k_lo+($B$4-k_lo)*G34/60))-k_mx)/k_sx*(k_s2+(((k_lo+($B$4-k_lo)*G34/60))-k_mx)/k_sx*(k_s3+(((k_lo+($B$4-k_lo)*G34/60))-k_mx)/k_sx*k_s4))))</f>
        <v/>
      </c>
      <c r="I34">
        <f>IF(k_mexp,k_ea+k_eb*EXP(k_ec*((($B$4+($B$5-$B$4)*G34/60))-k_mx)/k_sx),k_s0+((($B$4+($B$5-$B$4)*G34/60))-k_mx)/k_sx*(k_s1+((($B$4+($B$5-$B$4)*G34/60))-k_mx)/k_sx*(k_s2+((($B$4+($B$5-$B$4)*G34/60))-k_mx)/k_sx*(k_s3+((($B$4+($B$5-$B$4)*G34/60))-k_mx)/k_sx*k_s4))))</f>
        <v/>
      </c>
      <c r="J34">
        <f>IF(k_mexp,k_ea+k_eb*EXP(k_ec*((($B$5+(k_hi-$B$5)*G34/60))-k_mx)/k_sx),k_s0+((($B$5+(k_hi-$B$5)*G34/60))-k_mx)/k_sx*(k_s1+((($B$5+(k_hi-$B$5)*G34/60))-k_mx)/k_sx*(k_s2+((($B$5+(k_hi-$B$5)*G34/60))-k_mx)/k_sx*(k_s3+((($B$5+(k_hi-$B$5)*G34/60))-k_mx)/k_sx*k_s4))))</f>
        <v/>
      </c>
      <c r="L34" t="n">
        <v>30</v>
      </c>
      <c r="M34" t="n">
        <v>3</v>
      </c>
      <c r="N34" s="7">
        <f t="array" ref="N34">IF(k_hi&gt;$B$5,MAX(0,MAX($J$4:$J$64-(Q33+(R33-Q33)*$G$4:$G$64/60))),0)</f>
        <v/>
      </c>
      <c r="O34">
        <f>O33</f>
        <v/>
      </c>
      <c r="P34">
        <f>P33</f>
        <v/>
      </c>
      <c r="Q34">
        <f>IF(N34&gt;1E-7,Q33+N34,Q33)</f>
        <v/>
      </c>
      <c r="R34">
        <f>IF(N34&gt;1E-7,R33+N34,R33)</f>
        <v/>
      </c>
    </row>
    <row r="35">
      <c r="G35" t="n">
        <v>31</v>
      </c>
      <c r="H35">
        <f>IF(k_mexp,k_ea+k_eb*EXP(k_ec*(((k_lo+($B$4-k_lo)*G35/60))-k_mx)/k_sx),k_s0+(((k_lo+($B$4-k_lo)*G35/60))-k_mx)/k_sx*(k_s1+(((k_lo+($B$4-k_lo)*G35/60))-k_mx)/k_sx*(k_s2+(((k_lo+($B$4-k_lo)*G35/60))-k_mx)/k_sx*(k_s3+(((k_lo+($B$4-k_lo)*G35/60))-k_mx)/k_sx*k_s4))))</f>
        <v/>
      </c>
      <c r="I35">
        <f>IF(k_mexp,k_ea+k_eb*EXP(k_ec*((($B$4+($B$5-$B$4)*G35/60))-k_mx)/k_sx),k_s0+((($B$4+($B$5-$B$4)*G35/60))-k_mx)/k_sx*(k_s1+((($B$4+($B$5-$B$4)*G35/60))-k_mx)/k_sx*(k_s2+((($B$4+($B$5-$B$4)*G35/60))-k_mx)/k_sx*(k_s3+((($B$4+($B$5-$B$4)*G35/60))-k_mx)/k_sx*k_s4))))</f>
        <v/>
      </c>
      <c r="J35">
        <f>IF(k_mexp,k_ea+k_eb*EXP(k_ec*((($B$5+(k_hi-$B$5)*G35/60))-k_mx)/k_sx),k_s0+((($B$5+(k_hi-$B$5)*G35/60))-k_mx)/k_sx*(k_s1+((($B$5+(k_hi-$B$5)*G35/60))-k_mx)/k_sx*(k_s2+((($B$5+(k_hi-$B$5)*G35/60))-k_mx)/k_sx*(k_s3+((($B$5+(k_hi-$B$5)*G35/60))-k_mx)/k_sx*k_s4))))</f>
        <v/>
      </c>
      <c r="L35" t="n">
        <v>31</v>
      </c>
      <c r="M35" t="n">
        <v>1</v>
      </c>
      <c r="N35" s="7">
        <f t="array" ref="N35">IF($B$4&gt;k_lo,MAX(0,MAX($H$4:$H$64-(O34+(P34-O34)*$G$4:$G$64/60))),0)</f>
        <v/>
      </c>
      <c r="O35">
        <f>IF(N35&gt;1E-7,O34+N35,O34)</f>
        <v/>
      </c>
      <c r="P35">
        <f>IF(N35&gt;1E-7,P34+N35,P34)</f>
        <v/>
      </c>
      <c r="Q35">
        <f>Q34</f>
        <v/>
      </c>
      <c r="R35">
        <f>R34</f>
        <v/>
      </c>
    </row>
    <row r="36">
      <c r="G36" t="n">
        <v>32</v>
      </c>
      <c r="H36">
        <f>IF(k_mexp,k_ea+k_eb*EXP(k_ec*(((k_lo+($B$4-k_lo)*G36/60))-k_mx)/k_sx),k_s0+(((k_lo+($B$4-k_lo)*G36/60))-k_mx)/k_sx*(k_s1+(((k_lo+($B$4-k_lo)*G36/60))-k_mx)/k_sx*(k_s2+(((k_lo+($B$4-k_lo)*G36/60))-k_mx)/k_sx*(k_s3+(((k_lo+($B$4-k_lo)*G36/60))-k_mx)/k_sx*k_s4))))</f>
        <v/>
      </c>
      <c r="I36">
        <f>IF(k_mexp,k_ea+k_eb*EXP(k_ec*((($B$4+($B$5-$B$4)*G36/60))-k_mx)/k_sx),k_s0+((($B$4+($B$5-$B$4)*G36/60))-k_mx)/k_sx*(k_s1+((($B$4+($B$5-$B$4)*G36/60))-k_mx)/k_sx*(k_s2+((($B$4+($B$5-$B$4)*G36/60))-k_mx)/k_sx*(k_s3+((($B$4+($B$5-$B$4)*G36/60))-k_mx)/k_sx*k_s4))))</f>
        <v/>
      </c>
      <c r="J36">
        <f>IF(k_mexp,k_ea+k_eb*EXP(k_ec*((($B$5+(k_hi-$B$5)*G36/60))-k_mx)/k_sx),k_s0+((($B$5+(k_hi-$B$5)*G36/60))-k_mx)/k_sx*(k_s1+((($B$5+(k_hi-$B$5)*G36/60))-k_mx)/k_sx*(k_s2+((($B$5+(k_hi-$B$5)*G36/60))-k_mx)/k_sx*(k_s3+((($B$5+(k_hi-$B$5)*G36/60))-k_mx)/k_sx*k_s4))))</f>
        <v/>
      </c>
      <c r="L36" t="n">
        <v>32</v>
      </c>
      <c r="M36" t="n">
        <v>2</v>
      </c>
      <c r="N36" s="7">
        <f t="array" ref="N36">IF($B$5&gt;$B$4,MAX(0,MAX($I$4:$I$64-(P35+(Q35-P35)*$G$4:$G$64/60))),0)</f>
        <v/>
      </c>
      <c r="O36">
        <f>O35</f>
        <v/>
      </c>
      <c r="P36">
        <f>IF(N36&gt;1E-7,P35+N36,P35)</f>
        <v/>
      </c>
      <c r="Q36">
        <f>IF(N36&gt;1E-7,Q35+N36,Q35)</f>
        <v/>
      </c>
      <c r="R36">
        <f>R35</f>
        <v/>
      </c>
    </row>
    <row r="37">
      <c r="G37" t="n">
        <v>33</v>
      </c>
      <c r="H37">
        <f>IF(k_mexp,k_ea+k_eb*EXP(k_ec*(((k_lo+($B$4-k_lo)*G37/60))-k_mx)/k_sx),k_s0+(((k_lo+($B$4-k_lo)*G37/60))-k_mx)/k_sx*(k_s1+(((k_lo+($B$4-k_lo)*G37/60))-k_mx)/k_sx*(k_s2+(((k_lo+($B$4-k_lo)*G37/60))-k_mx)/k_sx*(k_s3+(((k_lo+($B$4-k_lo)*G37/60))-k_mx)/k_sx*k_s4))))</f>
        <v/>
      </c>
      <c r="I37">
        <f>IF(k_mexp,k_ea+k_eb*EXP(k_ec*((($B$4+($B$5-$B$4)*G37/60))-k_mx)/k_sx),k_s0+((($B$4+($B$5-$B$4)*G37/60))-k_mx)/k_sx*(k_s1+((($B$4+($B$5-$B$4)*G37/60))-k_mx)/k_sx*(k_s2+((($B$4+($B$5-$B$4)*G37/60))-k_mx)/k_sx*(k_s3+((($B$4+($B$5-$B$4)*G37/60))-k_mx)/k_sx*k_s4))))</f>
        <v/>
      </c>
      <c r="J37">
        <f>IF(k_mexp,k_ea+k_eb*EXP(k_ec*((($B$5+(k_hi-$B$5)*G37/60))-k_mx)/k_sx),k_s0+((($B$5+(k_hi-$B$5)*G37/60))-k_mx)/k_sx*(k_s1+((($B$5+(k_hi-$B$5)*G37/60))-k_mx)/k_sx*(k_s2+((($B$5+(k_hi-$B$5)*G37/60))-k_mx)/k_sx*(k_s3+((($B$5+(k_hi-$B$5)*G37/60))-k_mx)/k_sx*k_s4))))</f>
        <v/>
      </c>
      <c r="L37" t="n">
        <v>33</v>
      </c>
      <c r="M37" t="n">
        <v>3</v>
      </c>
      <c r="N37" s="7">
        <f t="array" ref="N37">IF(k_hi&gt;$B$5,MAX(0,MAX($J$4:$J$64-(Q36+(R36-Q36)*$G$4:$G$64/60))),0)</f>
        <v/>
      </c>
      <c r="O37">
        <f>O36</f>
        <v/>
      </c>
      <c r="P37">
        <f>P36</f>
        <v/>
      </c>
      <c r="Q37">
        <f>IF(N37&gt;1E-7,Q36+N37,Q36)</f>
        <v/>
      </c>
      <c r="R37">
        <f>IF(N37&gt;1E-7,R36+N37,R36)</f>
        <v/>
      </c>
    </row>
    <row r="38">
      <c r="G38" t="n">
        <v>34</v>
      </c>
      <c r="H38">
        <f>IF(k_mexp,k_ea+k_eb*EXP(k_ec*(((k_lo+($B$4-k_lo)*G38/60))-k_mx)/k_sx),k_s0+(((k_lo+($B$4-k_lo)*G38/60))-k_mx)/k_sx*(k_s1+(((k_lo+($B$4-k_lo)*G38/60))-k_mx)/k_sx*(k_s2+(((k_lo+($B$4-k_lo)*G38/60))-k_mx)/k_sx*(k_s3+(((k_lo+($B$4-k_lo)*G38/60))-k_mx)/k_sx*k_s4))))</f>
        <v/>
      </c>
      <c r="I38">
        <f>IF(k_mexp,k_ea+k_eb*EXP(k_ec*((($B$4+($B$5-$B$4)*G38/60))-k_mx)/k_sx),k_s0+((($B$4+($B$5-$B$4)*G38/60))-k_mx)/k_sx*(k_s1+((($B$4+($B$5-$B$4)*G38/60))-k_mx)/k_sx*(k_s2+((($B$4+($B$5-$B$4)*G38/60))-k_mx)/k_sx*(k_s3+((($B$4+($B$5-$B$4)*G38/60))-k_mx)/k_sx*k_s4))))</f>
        <v/>
      </c>
      <c r="J38">
        <f>IF(k_mexp,k_ea+k_eb*EXP(k_ec*((($B$5+(k_hi-$B$5)*G38/60))-k_mx)/k_sx),k_s0+((($B$5+(k_hi-$B$5)*G38/60))-k_mx)/k_sx*(k_s1+((($B$5+(k_hi-$B$5)*G38/60))-k_mx)/k_sx*(k_s2+((($B$5+(k_hi-$B$5)*G38/60))-k_mx)/k_sx*(k_s3+((($B$5+(k_hi-$B$5)*G38/60))-k_mx)/k_sx*k_s4))))</f>
        <v/>
      </c>
      <c r="L38" t="n">
        <v>34</v>
      </c>
      <c r="M38" t="n">
        <v>1</v>
      </c>
      <c r="N38" s="7">
        <f t="array" ref="N38">IF($B$4&gt;k_lo,MAX(0,MAX($H$4:$H$64-(O37+(P37-O37)*$G$4:$G$64/60))),0)</f>
        <v/>
      </c>
      <c r="O38">
        <f>IF(N38&gt;1E-7,O37+N38,O37)</f>
        <v/>
      </c>
      <c r="P38">
        <f>IF(N38&gt;1E-7,P37+N38,P37)</f>
        <v/>
      </c>
      <c r="Q38">
        <f>Q37</f>
        <v/>
      </c>
      <c r="R38">
        <f>R37</f>
        <v/>
      </c>
    </row>
    <row r="39">
      <c r="G39" t="n">
        <v>35</v>
      </c>
      <c r="H39">
        <f>IF(k_mexp,k_ea+k_eb*EXP(k_ec*(((k_lo+($B$4-k_lo)*G39/60))-k_mx)/k_sx),k_s0+(((k_lo+($B$4-k_lo)*G39/60))-k_mx)/k_sx*(k_s1+(((k_lo+($B$4-k_lo)*G39/60))-k_mx)/k_sx*(k_s2+(((k_lo+($B$4-k_lo)*G39/60))-k_mx)/k_sx*(k_s3+(((k_lo+($B$4-k_lo)*G39/60))-k_mx)/k_sx*k_s4))))</f>
        <v/>
      </c>
      <c r="I39">
        <f>IF(k_mexp,k_ea+k_eb*EXP(k_ec*((($B$4+($B$5-$B$4)*G39/60))-k_mx)/k_sx),k_s0+((($B$4+($B$5-$B$4)*G39/60))-k_mx)/k_sx*(k_s1+((($B$4+($B$5-$B$4)*G39/60))-k_mx)/k_sx*(k_s2+((($B$4+($B$5-$B$4)*G39/60))-k_mx)/k_sx*(k_s3+((($B$4+($B$5-$B$4)*G39/60))-k_mx)/k_sx*k_s4))))</f>
        <v/>
      </c>
      <c r="J39">
        <f>IF(k_mexp,k_ea+k_eb*EXP(k_ec*((($B$5+(k_hi-$B$5)*G39/60))-k_mx)/k_sx),k_s0+((($B$5+(k_hi-$B$5)*G39/60))-k_mx)/k_sx*(k_s1+((($B$5+(k_hi-$B$5)*G39/60))-k_mx)/k_sx*(k_s2+((($B$5+(k_hi-$B$5)*G39/60))-k_mx)/k_sx*(k_s3+((($B$5+(k_hi-$B$5)*G39/60))-k_mx)/k_sx*k_s4))))</f>
        <v/>
      </c>
      <c r="L39" t="n">
        <v>35</v>
      </c>
      <c r="M39" t="n">
        <v>2</v>
      </c>
      <c r="N39" s="7">
        <f t="array" ref="N39">IF($B$5&gt;$B$4,MAX(0,MAX($I$4:$I$64-(P38+(Q38-P38)*$G$4:$G$64/60))),0)</f>
        <v/>
      </c>
      <c r="O39">
        <f>O38</f>
        <v/>
      </c>
      <c r="P39">
        <f>IF(N39&gt;1E-7,P38+N39,P38)</f>
        <v/>
      </c>
      <c r="Q39">
        <f>IF(N39&gt;1E-7,Q38+N39,Q38)</f>
        <v/>
      </c>
      <c r="R39">
        <f>R38</f>
        <v/>
      </c>
    </row>
    <row r="40">
      <c r="G40" t="n">
        <v>36</v>
      </c>
      <c r="H40">
        <f>IF(k_mexp,k_ea+k_eb*EXP(k_ec*(((k_lo+($B$4-k_lo)*G40/60))-k_mx)/k_sx),k_s0+(((k_lo+($B$4-k_lo)*G40/60))-k_mx)/k_sx*(k_s1+(((k_lo+($B$4-k_lo)*G40/60))-k_mx)/k_sx*(k_s2+(((k_lo+($B$4-k_lo)*G40/60))-k_mx)/k_sx*(k_s3+(((k_lo+($B$4-k_lo)*G40/60))-k_mx)/k_sx*k_s4))))</f>
        <v/>
      </c>
      <c r="I40">
        <f>IF(k_mexp,k_ea+k_eb*EXP(k_ec*((($B$4+($B$5-$B$4)*G40/60))-k_mx)/k_sx),k_s0+((($B$4+($B$5-$B$4)*G40/60))-k_mx)/k_sx*(k_s1+((($B$4+($B$5-$B$4)*G40/60))-k_mx)/k_sx*(k_s2+((($B$4+($B$5-$B$4)*G40/60))-k_mx)/k_sx*(k_s3+((($B$4+($B$5-$B$4)*G40/60))-k_mx)/k_sx*k_s4))))</f>
        <v/>
      </c>
      <c r="J40">
        <f>IF(k_mexp,k_ea+k_eb*EXP(k_ec*((($B$5+(k_hi-$B$5)*G40/60))-k_mx)/k_sx),k_s0+((($B$5+(k_hi-$B$5)*G40/60))-k_mx)/k_sx*(k_s1+((($B$5+(k_hi-$B$5)*G40/60))-k_mx)/k_sx*(k_s2+((($B$5+(k_hi-$B$5)*G40/60))-k_mx)/k_sx*(k_s3+((($B$5+(k_hi-$B$5)*G40/60))-k_mx)/k_sx*k_s4))))</f>
        <v/>
      </c>
      <c r="L40" t="n">
        <v>36</v>
      </c>
      <c r="M40" t="n">
        <v>3</v>
      </c>
      <c r="N40" s="7">
        <f t="array" ref="N40">IF(k_hi&gt;$B$5,MAX(0,MAX($J$4:$J$64-(Q39+(R39-Q39)*$G$4:$G$64/60))),0)</f>
        <v/>
      </c>
      <c r="O40">
        <f>O39</f>
        <v/>
      </c>
      <c r="P40">
        <f>P39</f>
        <v/>
      </c>
      <c r="Q40">
        <f>IF(N40&gt;1E-7,Q39+N40,Q39)</f>
        <v/>
      </c>
      <c r="R40">
        <f>IF(N40&gt;1E-7,R39+N40,R39)</f>
        <v/>
      </c>
    </row>
    <row r="41">
      <c r="G41" t="n">
        <v>37</v>
      </c>
      <c r="H41">
        <f>IF(k_mexp,k_ea+k_eb*EXP(k_ec*(((k_lo+($B$4-k_lo)*G41/60))-k_mx)/k_sx),k_s0+(((k_lo+($B$4-k_lo)*G41/60))-k_mx)/k_sx*(k_s1+(((k_lo+($B$4-k_lo)*G41/60))-k_mx)/k_sx*(k_s2+(((k_lo+($B$4-k_lo)*G41/60))-k_mx)/k_sx*(k_s3+(((k_lo+($B$4-k_lo)*G41/60))-k_mx)/k_sx*k_s4))))</f>
        <v/>
      </c>
      <c r="I41">
        <f>IF(k_mexp,k_ea+k_eb*EXP(k_ec*((($B$4+($B$5-$B$4)*G41/60))-k_mx)/k_sx),k_s0+((($B$4+($B$5-$B$4)*G41/60))-k_mx)/k_sx*(k_s1+((($B$4+($B$5-$B$4)*G41/60))-k_mx)/k_sx*(k_s2+((($B$4+($B$5-$B$4)*G41/60))-k_mx)/k_sx*(k_s3+((($B$4+($B$5-$B$4)*G41/60))-k_mx)/k_sx*k_s4))))</f>
        <v/>
      </c>
      <c r="J41">
        <f>IF(k_mexp,k_ea+k_eb*EXP(k_ec*((($B$5+(k_hi-$B$5)*G41/60))-k_mx)/k_sx),k_s0+((($B$5+(k_hi-$B$5)*G41/60))-k_mx)/k_sx*(k_s1+((($B$5+(k_hi-$B$5)*G41/60))-k_mx)/k_sx*(k_s2+((($B$5+(k_hi-$B$5)*G41/60))-k_mx)/k_sx*(k_s3+((($B$5+(k_hi-$B$5)*G41/60))-k_mx)/k_sx*k_s4))))</f>
        <v/>
      </c>
    </row>
    <row r="42">
      <c r="G42" t="n">
        <v>38</v>
      </c>
      <c r="H42">
        <f>IF(k_mexp,k_ea+k_eb*EXP(k_ec*(((k_lo+($B$4-k_lo)*G42/60))-k_mx)/k_sx),k_s0+(((k_lo+($B$4-k_lo)*G42/60))-k_mx)/k_sx*(k_s1+(((k_lo+($B$4-k_lo)*G42/60))-k_mx)/k_sx*(k_s2+(((k_lo+($B$4-k_lo)*G42/60))-k_mx)/k_sx*(k_s3+(((k_lo+($B$4-k_lo)*G42/60))-k_mx)/k_sx*k_s4))))</f>
        <v/>
      </c>
      <c r="I42">
        <f>IF(k_mexp,k_ea+k_eb*EXP(k_ec*((($B$4+($B$5-$B$4)*G42/60))-k_mx)/k_sx),k_s0+((($B$4+($B$5-$B$4)*G42/60))-k_mx)/k_sx*(k_s1+((($B$4+($B$5-$B$4)*G42/60))-k_mx)/k_sx*(k_s2+((($B$4+($B$5-$B$4)*G42/60))-k_mx)/k_sx*(k_s3+((($B$4+($B$5-$B$4)*G42/60))-k_mx)/k_sx*k_s4))))</f>
        <v/>
      </c>
      <c r="J42">
        <f>IF(k_mexp,k_ea+k_eb*EXP(k_ec*((($B$5+(k_hi-$B$5)*G42/60))-k_mx)/k_sx),k_s0+((($B$5+(k_hi-$B$5)*G42/60))-k_mx)/k_sx*(k_s1+((($B$5+(k_hi-$B$5)*G42/60))-k_mx)/k_sx*(k_s2+((($B$5+(k_hi-$B$5)*G42/60))-k_mx)/k_sx*(k_s3+((($B$5+(k_hi-$B$5)*G42/60))-k_mx)/k_sx*k_s4))))</f>
        <v/>
      </c>
    </row>
    <row r="43">
      <c r="G43" t="n">
        <v>39</v>
      </c>
      <c r="H43">
        <f>IF(k_mexp,k_ea+k_eb*EXP(k_ec*(((k_lo+($B$4-k_lo)*G43/60))-k_mx)/k_sx),k_s0+(((k_lo+($B$4-k_lo)*G43/60))-k_mx)/k_sx*(k_s1+(((k_lo+($B$4-k_lo)*G43/60))-k_mx)/k_sx*(k_s2+(((k_lo+($B$4-k_lo)*G43/60))-k_mx)/k_sx*(k_s3+(((k_lo+($B$4-k_lo)*G43/60))-k_mx)/k_sx*k_s4))))</f>
        <v/>
      </c>
      <c r="I43">
        <f>IF(k_mexp,k_ea+k_eb*EXP(k_ec*((($B$4+($B$5-$B$4)*G43/60))-k_mx)/k_sx),k_s0+((($B$4+($B$5-$B$4)*G43/60))-k_mx)/k_sx*(k_s1+((($B$4+($B$5-$B$4)*G43/60))-k_mx)/k_sx*(k_s2+((($B$4+($B$5-$B$4)*G43/60))-k_mx)/k_sx*(k_s3+((($B$4+($B$5-$B$4)*G43/60))-k_mx)/k_sx*k_s4))))</f>
        <v/>
      </c>
      <c r="J43">
        <f>IF(k_mexp,k_ea+k_eb*EXP(k_ec*((($B$5+(k_hi-$B$5)*G43/60))-k_mx)/k_sx),k_s0+((($B$5+(k_hi-$B$5)*G43/60))-k_mx)/k_sx*(k_s1+((($B$5+(k_hi-$B$5)*G43/60))-k_mx)/k_sx*(k_s2+((($B$5+(k_hi-$B$5)*G43/60))-k_mx)/k_sx*(k_s3+((($B$5+(k_hi-$B$5)*G43/60))-k_mx)/k_sx*k_s4))))</f>
        <v/>
      </c>
    </row>
    <row r="44">
      <c r="G44" t="n">
        <v>40</v>
      </c>
      <c r="H44">
        <f>IF(k_mexp,k_ea+k_eb*EXP(k_ec*(((k_lo+($B$4-k_lo)*G44/60))-k_mx)/k_sx),k_s0+(((k_lo+($B$4-k_lo)*G44/60))-k_mx)/k_sx*(k_s1+(((k_lo+($B$4-k_lo)*G44/60))-k_mx)/k_sx*(k_s2+(((k_lo+($B$4-k_lo)*G44/60))-k_mx)/k_sx*(k_s3+(((k_lo+($B$4-k_lo)*G44/60))-k_mx)/k_sx*k_s4))))</f>
        <v/>
      </c>
      <c r="I44">
        <f>IF(k_mexp,k_ea+k_eb*EXP(k_ec*((($B$4+($B$5-$B$4)*G44/60))-k_mx)/k_sx),k_s0+((($B$4+($B$5-$B$4)*G44/60))-k_mx)/k_sx*(k_s1+((($B$4+($B$5-$B$4)*G44/60))-k_mx)/k_sx*(k_s2+((($B$4+($B$5-$B$4)*G44/60))-k_mx)/k_sx*(k_s3+((($B$4+($B$5-$B$4)*G44/60))-k_mx)/k_sx*k_s4))))</f>
        <v/>
      </c>
      <c r="J44">
        <f>IF(k_mexp,k_ea+k_eb*EXP(k_ec*((($B$5+(k_hi-$B$5)*G44/60))-k_mx)/k_sx),k_s0+((($B$5+(k_hi-$B$5)*G44/60))-k_mx)/k_sx*(k_s1+((($B$5+(k_hi-$B$5)*G44/60))-k_mx)/k_sx*(k_s2+((($B$5+(k_hi-$B$5)*G44/60))-k_mx)/k_sx*(k_s3+((($B$5+(k_hi-$B$5)*G44/60))-k_mx)/k_sx*k_s4))))</f>
        <v/>
      </c>
    </row>
    <row r="45">
      <c r="G45" t="n">
        <v>41</v>
      </c>
      <c r="H45">
        <f>IF(k_mexp,k_ea+k_eb*EXP(k_ec*(((k_lo+($B$4-k_lo)*G45/60))-k_mx)/k_sx),k_s0+(((k_lo+($B$4-k_lo)*G45/60))-k_mx)/k_sx*(k_s1+(((k_lo+($B$4-k_lo)*G45/60))-k_mx)/k_sx*(k_s2+(((k_lo+($B$4-k_lo)*G45/60))-k_mx)/k_sx*(k_s3+(((k_lo+($B$4-k_lo)*G45/60))-k_mx)/k_sx*k_s4))))</f>
        <v/>
      </c>
      <c r="I45">
        <f>IF(k_mexp,k_ea+k_eb*EXP(k_ec*((($B$4+($B$5-$B$4)*G45/60))-k_mx)/k_sx),k_s0+((($B$4+($B$5-$B$4)*G45/60))-k_mx)/k_sx*(k_s1+((($B$4+($B$5-$B$4)*G45/60))-k_mx)/k_sx*(k_s2+((($B$4+($B$5-$B$4)*G45/60))-k_mx)/k_sx*(k_s3+((($B$4+($B$5-$B$4)*G45/60))-k_mx)/k_sx*k_s4))))</f>
        <v/>
      </c>
      <c r="J45">
        <f>IF(k_mexp,k_ea+k_eb*EXP(k_ec*((($B$5+(k_hi-$B$5)*G45/60))-k_mx)/k_sx),k_s0+((($B$5+(k_hi-$B$5)*G45/60))-k_mx)/k_sx*(k_s1+((($B$5+(k_hi-$B$5)*G45/60))-k_mx)/k_sx*(k_s2+((($B$5+(k_hi-$B$5)*G45/60))-k_mx)/k_sx*(k_s3+((($B$5+(k_hi-$B$5)*G45/60))-k_mx)/k_sx*k_s4))))</f>
        <v/>
      </c>
    </row>
    <row r="46">
      <c r="G46" t="n">
        <v>42</v>
      </c>
      <c r="H46">
        <f>IF(k_mexp,k_ea+k_eb*EXP(k_ec*(((k_lo+($B$4-k_lo)*G46/60))-k_mx)/k_sx),k_s0+(((k_lo+($B$4-k_lo)*G46/60))-k_mx)/k_sx*(k_s1+(((k_lo+($B$4-k_lo)*G46/60))-k_mx)/k_sx*(k_s2+(((k_lo+($B$4-k_lo)*G46/60))-k_mx)/k_sx*(k_s3+(((k_lo+($B$4-k_lo)*G46/60))-k_mx)/k_sx*k_s4))))</f>
        <v/>
      </c>
      <c r="I46">
        <f>IF(k_mexp,k_ea+k_eb*EXP(k_ec*((($B$4+($B$5-$B$4)*G46/60))-k_mx)/k_sx),k_s0+((($B$4+($B$5-$B$4)*G46/60))-k_mx)/k_sx*(k_s1+((($B$4+($B$5-$B$4)*G46/60))-k_mx)/k_sx*(k_s2+((($B$4+($B$5-$B$4)*G46/60))-k_mx)/k_sx*(k_s3+((($B$4+($B$5-$B$4)*G46/60))-k_mx)/k_sx*k_s4))))</f>
        <v/>
      </c>
      <c r="J46">
        <f>IF(k_mexp,k_ea+k_eb*EXP(k_ec*((($B$5+(k_hi-$B$5)*G46/60))-k_mx)/k_sx),k_s0+((($B$5+(k_hi-$B$5)*G46/60))-k_mx)/k_sx*(k_s1+((($B$5+(k_hi-$B$5)*G46/60))-k_mx)/k_sx*(k_s2+((($B$5+(k_hi-$B$5)*G46/60))-k_mx)/k_sx*(k_s3+((($B$5+(k_hi-$B$5)*G46/60))-k_mx)/k_sx*k_s4))))</f>
        <v/>
      </c>
    </row>
    <row r="47">
      <c r="G47" t="n">
        <v>43</v>
      </c>
      <c r="H47">
        <f>IF(k_mexp,k_ea+k_eb*EXP(k_ec*(((k_lo+($B$4-k_lo)*G47/60))-k_mx)/k_sx),k_s0+(((k_lo+($B$4-k_lo)*G47/60))-k_mx)/k_sx*(k_s1+(((k_lo+($B$4-k_lo)*G47/60))-k_mx)/k_sx*(k_s2+(((k_lo+($B$4-k_lo)*G47/60))-k_mx)/k_sx*(k_s3+(((k_lo+($B$4-k_lo)*G47/60))-k_mx)/k_sx*k_s4))))</f>
        <v/>
      </c>
      <c r="I47">
        <f>IF(k_mexp,k_ea+k_eb*EXP(k_ec*((($B$4+($B$5-$B$4)*G47/60))-k_mx)/k_sx),k_s0+((($B$4+($B$5-$B$4)*G47/60))-k_mx)/k_sx*(k_s1+((($B$4+($B$5-$B$4)*G47/60))-k_mx)/k_sx*(k_s2+((($B$4+($B$5-$B$4)*G47/60))-k_mx)/k_sx*(k_s3+((($B$4+($B$5-$B$4)*G47/60))-k_mx)/k_sx*k_s4))))</f>
        <v/>
      </c>
      <c r="J47">
        <f>IF(k_mexp,k_ea+k_eb*EXP(k_ec*((($B$5+(k_hi-$B$5)*G47/60))-k_mx)/k_sx),k_s0+((($B$5+(k_hi-$B$5)*G47/60))-k_mx)/k_sx*(k_s1+((($B$5+(k_hi-$B$5)*G47/60))-k_mx)/k_sx*(k_s2+((($B$5+(k_hi-$B$5)*G47/60))-k_mx)/k_sx*(k_s3+((($B$5+(k_hi-$B$5)*G47/60))-k_mx)/k_sx*k_s4))))</f>
        <v/>
      </c>
    </row>
    <row r="48">
      <c r="G48" t="n">
        <v>44</v>
      </c>
      <c r="H48">
        <f>IF(k_mexp,k_ea+k_eb*EXP(k_ec*(((k_lo+($B$4-k_lo)*G48/60))-k_mx)/k_sx),k_s0+(((k_lo+($B$4-k_lo)*G48/60))-k_mx)/k_sx*(k_s1+(((k_lo+($B$4-k_lo)*G48/60))-k_mx)/k_sx*(k_s2+(((k_lo+($B$4-k_lo)*G48/60))-k_mx)/k_sx*(k_s3+(((k_lo+($B$4-k_lo)*G48/60))-k_mx)/k_sx*k_s4))))</f>
        <v/>
      </c>
      <c r="I48">
        <f>IF(k_mexp,k_ea+k_eb*EXP(k_ec*((($B$4+($B$5-$B$4)*G48/60))-k_mx)/k_sx),k_s0+((($B$4+($B$5-$B$4)*G48/60))-k_mx)/k_sx*(k_s1+((($B$4+($B$5-$B$4)*G48/60))-k_mx)/k_sx*(k_s2+((($B$4+($B$5-$B$4)*G48/60))-k_mx)/k_sx*(k_s3+((($B$4+($B$5-$B$4)*G48/60))-k_mx)/k_sx*k_s4))))</f>
        <v/>
      </c>
      <c r="J48">
        <f>IF(k_mexp,k_ea+k_eb*EXP(k_ec*((($B$5+(k_hi-$B$5)*G48/60))-k_mx)/k_sx),k_s0+((($B$5+(k_hi-$B$5)*G48/60))-k_mx)/k_sx*(k_s1+((($B$5+(k_hi-$B$5)*G48/60))-k_mx)/k_sx*(k_s2+((($B$5+(k_hi-$B$5)*G48/60))-k_mx)/k_sx*(k_s3+((($B$5+(k_hi-$B$5)*G48/60))-k_mx)/k_sx*k_s4))))</f>
        <v/>
      </c>
    </row>
    <row r="49">
      <c r="G49" t="n">
        <v>45</v>
      </c>
      <c r="H49">
        <f>IF(k_mexp,k_ea+k_eb*EXP(k_ec*(((k_lo+($B$4-k_lo)*G49/60))-k_mx)/k_sx),k_s0+(((k_lo+($B$4-k_lo)*G49/60))-k_mx)/k_sx*(k_s1+(((k_lo+($B$4-k_lo)*G49/60))-k_mx)/k_sx*(k_s2+(((k_lo+($B$4-k_lo)*G49/60))-k_mx)/k_sx*(k_s3+(((k_lo+($B$4-k_lo)*G49/60))-k_mx)/k_sx*k_s4))))</f>
        <v/>
      </c>
      <c r="I49">
        <f>IF(k_mexp,k_ea+k_eb*EXP(k_ec*((($B$4+($B$5-$B$4)*G49/60))-k_mx)/k_sx),k_s0+((($B$4+($B$5-$B$4)*G49/60))-k_mx)/k_sx*(k_s1+((($B$4+($B$5-$B$4)*G49/60))-k_mx)/k_sx*(k_s2+((($B$4+($B$5-$B$4)*G49/60))-k_mx)/k_sx*(k_s3+((($B$4+($B$5-$B$4)*G49/60))-k_mx)/k_sx*k_s4))))</f>
        <v/>
      </c>
      <c r="J49">
        <f>IF(k_mexp,k_ea+k_eb*EXP(k_ec*((($B$5+(k_hi-$B$5)*G49/60))-k_mx)/k_sx),k_s0+((($B$5+(k_hi-$B$5)*G49/60))-k_mx)/k_sx*(k_s1+((($B$5+(k_hi-$B$5)*G49/60))-k_mx)/k_sx*(k_s2+((($B$5+(k_hi-$B$5)*G49/60))-k_mx)/k_sx*(k_s3+((($B$5+(k_hi-$B$5)*G49/60))-k_mx)/k_sx*k_s4))))</f>
        <v/>
      </c>
    </row>
    <row r="50">
      <c r="G50" t="n">
        <v>46</v>
      </c>
      <c r="H50">
        <f>IF(k_mexp,k_ea+k_eb*EXP(k_ec*(((k_lo+($B$4-k_lo)*G50/60))-k_mx)/k_sx),k_s0+(((k_lo+($B$4-k_lo)*G50/60))-k_mx)/k_sx*(k_s1+(((k_lo+($B$4-k_lo)*G50/60))-k_mx)/k_sx*(k_s2+(((k_lo+($B$4-k_lo)*G50/60))-k_mx)/k_sx*(k_s3+(((k_lo+($B$4-k_lo)*G50/60))-k_mx)/k_sx*k_s4))))</f>
        <v/>
      </c>
      <c r="I50">
        <f>IF(k_mexp,k_ea+k_eb*EXP(k_ec*((($B$4+($B$5-$B$4)*G50/60))-k_mx)/k_sx),k_s0+((($B$4+($B$5-$B$4)*G50/60))-k_mx)/k_sx*(k_s1+((($B$4+($B$5-$B$4)*G50/60))-k_mx)/k_sx*(k_s2+((($B$4+($B$5-$B$4)*G50/60))-k_mx)/k_sx*(k_s3+((($B$4+($B$5-$B$4)*G50/60))-k_mx)/k_sx*k_s4))))</f>
        <v/>
      </c>
      <c r="J50">
        <f>IF(k_mexp,k_ea+k_eb*EXP(k_ec*((($B$5+(k_hi-$B$5)*G50/60))-k_mx)/k_sx),k_s0+((($B$5+(k_hi-$B$5)*G50/60))-k_mx)/k_sx*(k_s1+((($B$5+(k_hi-$B$5)*G50/60))-k_mx)/k_sx*(k_s2+((($B$5+(k_hi-$B$5)*G50/60))-k_mx)/k_sx*(k_s3+((($B$5+(k_hi-$B$5)*G50/60))-k_mx)/k_sx*k_s4))))</f>
        <v/>
      </c>
    </row>
    <row r="51">
      <c r="G51" t="n">
        <v>47</v>
      </c>
      <c r="H51">
        <f>IF(k_mexp,k_ea+k_eb*EXP(k_ec*(((k_lo+($B$4-k_lo)*G51/60))-k_mx)/k_sx),k_s0+(((k_lo+($B$4-k_lo)*G51/60))-k_mx)/k_sx*(k_s1+(((k_lo+($B$4-k_lo)*G51/60))-k_mx)/k_sx*(k_s2+(((k_lo+($B$4-k_lo)*G51/60))-k_mx)/k_sx*(k_s3+(((k_lo+($B$4-k_lo)*G51/60))-k_mx)/k_sx*k_s4))))</f>
        <v/>
      </c>
      <c r="I51">
        <f>IF(k_mexp,k_ea+k_eb*EXP(k_ec*((($B$4+($B$5-$B$4)*G51/60))-k_mx)/k_sx),k_s0+((($B$4+($B$5-$B$4)*G51/60))-k_mx)/k_sx*(k_s1+((($B$4+($B$5-$B$4)*G51/60))-k_mx)/k_sx*(k_s2+((($B$4+($B$5-$B$4)*G51/60))-k_mx)/k_sx*(k_s3+((($B$4+($B$5-$B$4)*G51/60))-k_mx)/k_sx*k_s4))))</f>
        <v/>
      </c>
      <c r="J51">
        <f>IF(k_mexp,k_ea+k_eb*EXP(k_ec*((($B$5+(k_hi-$B$5)*G51/60))-k_mx)/k_sx),k_s0+((($B$5+(k_hi-$B$5)*G51/60))-k_mx)/k_sx*(k_s1+((($B$5+(k_hi-$B$5)*G51/60))-k_mx)/k_sx*(k_s2+((($B$5+(k_hi-$B$5)*G51/60))-k_mx)/k_sx*(k_s3+((($B$5+(k_hi-$B$5)*G51/60))-k_mx)/k_sx*k_s4))))</f>
        <v/>
      </c>
    </row>
    <row r="52">
      <c r="G52" t="n">
        <v>48</v>
      </c>
      <c r="H52">
        <f>IF(k_mexp,k_ea+k_eb*EXP(k_ec*(((k_lo+($B$4-k_lo)*G52/60))-k_mx)/k_sx),k_s0+(((k_lo+($B$4-k_lo)*G52/60))-k_mx)/k_sx*(k_s1+(((k_lo+($B$4-k_lo)*G52/60))-k_mx)/k_sx*(k_s2+(((k_lo+($B$4-k_lo)*G52/60))-k_mx)/k_sx*(k_s3+(((k_lo+($B$4-k_lo)*G52/60))-k_mx)/k_sx*k_s4))))</f>
        <v/>
      </c>
      <c r="I52">
        <f>IF(k_mexp,k_ea+k_eb*EXP(k_ec*((($B$4+($B$5-$B$4)*G52/60))-k_mx)/k_sx),k_s0+((($B$4+($B$5-$B$4)*G52/60))-k_mx)/k_sx*(k_s1+((($B$4+($B$5-$B$4)*G52/60))-k_mx)/k_sx*(k_s2+((($B$4+($B$5-$B$4)*G52/60))-k_mx)/k_sx*(k_s3+((($B$4+($B$5-$B$4)*G52/60))-k_mx)/k_sx*k_s4))))</f>
        <v/>
      </c>
      <c r="J52">
        <f>IF(k_mexp,k_ea+k_eb*EXP(k_ec*((($B$5+(k_hi-$B$5)*G52/60))-k_mx)/k_sx),k_s0+((($B$5+(k_hi-$B$5)*G52/60))-k_mx)/k_sx*(k_s1+((($B$5+(k_hi-$B$5)*G52/60))-k_mx)/k_sx*(k_s2+((($B$5+(k_hi-$B$5)*G52/60))-k_mx)/k_sx*(k_s3+((($B$5+(k_hi-$B$5)*G52/60))-k_mx)/k_sx*k_s4))))</f>
        <v/>
      </c>
    </row>
    <row r="53">
      <c r="G53" t="n">
        <v>49</v>
      </c>
      <c r="H53">
        <f>IF(k_mexp,k_ea+k_eb*EXP(k_ec*(((k_lo+($B$4-k_lo)*G53/60))-k_mx)/k_sx),k_s0+(((k_lo+($B$4-k_lo)*G53/60))-k_mx)/k_sx*(k_s1+(((k_lo+($B$4-k_lo)*G53/60))-k_mx)/k_sx*(k_s2+(((k_lo+($B$4-k_lo)*G53/60))-k_mx)/k_sx*(k_s3+(((k_lo+($B$4-k_lo)*G53/60))-k_mx)/k_sx*k_s4))))</f>
        <v/>
      </c>
      <c r="I53">
        <f>IF(k_mexp,k_ea+k_eb*EXP(k_ec*((($B$4+($B$5-$B$4)*G53/60))-k_mx)/k_sx),k_s0+((($B$4+($B$5-$B$4)*G53/60))-k_mx)/k_sx*(k_s1+((($B$4+($B$5-$B$4)*G53/60))-k_mx)/k_sx*(k_s2+((($B$4+($B$5-$B$4)*G53/60))-k_mx)/k_sx*(k_s3+((($B$4+($B$5-$B$4)*G53/60))-k_mx)/k_sx*k_s4))))</f>
        <v/>
      </c>
      <c r="J53">
        <f>IF(k_mexp,k_ea+k_eb*EXP(k_ec*((($B$5+(k_hi-$B$5)*G53/60))-k_mx)/k_sx),k_s0+((($B$5+(k_hi-$B$5)*G53/60))-k_mx)/k_sx*(k_s1+((($B$5+(k_hi-$B$5)*G53/60))-k_mx)/k_sx*(k_s2+((($B$5+(k_hi-$B$5)*G53/60))-k_mx)/k_sx*(k_s3+((($B$5+(k_hi-$B$5)*G53/60))-k_mx)/k_sx*k_s4))))</f>
        <v/>
      </c>
    </row>
    <row r="54">
      <c r="G54" t="n">
        <v>50</v>
      </c>
      <c r="H54">
        <f>IF(k_mexp,k_ea+k_eb*EXP(k_ec*(((k_lo+($B$4-k_lo)*G54/60))-k_mx)/k_sx),k_s0+(((k_lo+($B$4-k_lo)*G54/60))-k_mx)/k_sx*(k_s1+(((k_lo+($B$4-k_lo)*G54/60))-k_mx)/k_sx*(k_s2+(((k_lo+($B$4-k_lo)*G54/60))-k_mx)/k_sx*(k_s3+(((k_lo+($B$4-k_lo)*G54/60))-k_mx)/k_sx*k_s4))))</f>
        <v/>
      </c>
      <c r="I54">
        <f>IF(k_mexp,k_ea+k_eb*EXP(k_ec*((($B$4+($B$5-$B$4)*G54/60))-k_mx)/k_sx),k_s0+((($B$4+($B$5-$B$4)*G54/60))-k_mx)/k_sx*(k_s1+((($B$4+($B$5-$B$4)*G54/60))-k_mx)/k_sx*(k_s2+((($B$4+($B$5-$B$4)*G54/60))-k_mx)/k_sx*(k_s3+((($B$4+($B$5-$B$4)*G54/60))-k_mx)/k_sx*k_s4))))</f>
        <v/>
      </c>
      <c r="J54">
        <f>IF(k_mexp,k_ea+k_eb*EXP(k_ec*((($B$5+(k_hi-$B$5)*G54/60))-k_mx)/k_sx),k_s0+((($B$5+(k_hi-$B$5)*G54/60))-k_mx)/k_sx*(k_s1+((($B$5+(k_hi-$B$5)*G54/60))-k_mx)/k_sx*(k_s2+((($B$5+(k_hi-$B$5)*G54/60))-k_mx)/k_sx*(k_s3+((($B$5+(k_hi-$B$5)*G54/60))-k_mx)/k_sx*k_s4))))</f>
        <v/>
      </c>
    </row>
    <row r="55">
      <c r="G55" t="n">
        <v>51</v>
      </c>
      <c r="H55">
        <f>IF(k_mexp,k_ea+k_eb*EXP(k_ec*(((k_lo+($B$4-k_lo)*G55/60))-k_mx)/k_sx),k_s0+(((k_lo+($B$4-k_lo)*G55/60))-k_mx)/k_sx*(k_s1+(((k_lo+($B$4-k_lo)*G55/60))-k_mx)/k_sx*(k_s2+(((k_lo+($B$4-k_lo)*G55/60))-k_mx)/k_sx*(k_s3+(((k_lo+($B$4-k_lo)*G55/60))-k_mx)/k_sx*k_s4))))</f>
        <v/>
      </c>
      <c r="I55">
        <f>IF(k_mexp,k_ea+k_eb*EXP(k_ec*((($B$4+($B$5-$B$4)*G55/60))-k_mx)/k_sx),k_s0+((($B$4+($B$5-$B$4)*G55/60))-k_mx)/k_sx*(k_s1+((($B$4+($B$5-$B$4)*G55/60))-k_mx)/k_sx*(k_s2+((($B$4+($B$5-$B$4)*G55/60))-k_mx)/k_sx*(k_s3+((($B$4+($B$5-$B$4)*G55/60))-k_mx)/k_sx*k_s4))))</f>
        <v/>
      </c>
      <c r="J55">
        <f>IF(k_mexp,k_ea+k_eb*EXP(k_ec*((($B$5+(k_hi-$B$5)*G55/60))-k_mx)/k_sx),k_s0+((($B$5+(k_hi-$B$5)*G55/60))-k_mx)/k_sx*(k_s1+((($B$5+(k_hi-$B$5)*G55/60))-k_mx)/k_sx*(k_s2+((($B$5+(k_hi-$B$5)*G55/60))-k_mx)/k_sx*(k_s3+((($B$5+(k_hi-$B$5)*G55/60))-k_mx)/k_sx*k_s4))))</f>
        <v/>
      </c>
    </row>
    <row r="56">
      <c r="G56" t="n">
        <v>52</v>
      </c>
      <c r="H56">
        <f>IF(k_mexp,k_ea+k_eb*EXP(k_ec*(((k_lo+($B$4-k_lo)*G56/60))-k_mx)/k_sx),k_s0+(((k_lo+($B$4-k_lo)*G56/60))-k_mx)/k_sx*(k_s1+(((k_lo+($B$4-k_lo)*G56/60))-k_mx)/k_sx*(k_s2+(((k_lo+($B$4-k_lo)*G56/60))-k_mx)/k_sx*(k_s3+(((k_lo+($B$4-k_lo)*G56/60))-k_mx)/k_sx*k_s4))))</f>
        <v/>
      </c>
      <c r="I56">
        <f>IF(k_mexp,k_ea+k_eb*EXP(k_ec*((($B$4+($B$5-$B$4)*G56/60))-k_mx)/k_sx),k_s0+((($B$4+($B$5-$B$4)*G56/60))-k_mx)/k_sx*(k_s1+((($B$4+($B$5-$B$4)*G56/60))-k_mx)/k_sx*(k_s2+((($B$4+($B$5-$B$4)*G56/60))-k_mx)/k_sx*(k_s3+((($B$4+($B$5-$B$4)*G56/60))-k_mx)/k_sx*k_s4))))</f>
        <v/>
      </c>
      <c r="J56">
        <f>IF(k_mexp,k_ea+k_eb*EXP(k_ec*((($B$5+(k_hi-$B$5)*G56/60))-k_mx)/k_sx),k_s0+((($B$5+(k_hi-$B$5)*G56/60))-k_mx)/k_sx*(k_s1+((($B$5+(k_hi-$B$5)*G56/60))-k_mx)/k_sx*(k_s2+((($B$5+(k_hi-$B$5)*G56/60))-k_mx)/k_sx*(k_s3+((($B$5+(k_hi-$B$5)*G56/60))-k_mx)/k_sx*k_s4))))</f>
        <v/>
      </c>
    </row>
    <row r="57">
      <c r="G57" t="n">
        <v>53</v>
      </c>
      <c r="H57">
        <f>IF(k_mexp,k_ea+k_eb*EXP(k_ec*(((k_lo+($B$4-k_lo)*G57/60))-k_mx)/k_sx),k_s0+(((k_lo+($B$4-k_lo)*G57/60))-k_mx)/k_sx*(k_s1+(((k_lo+($B$4-k_lo)*G57/60))-k_mx)/k_sx*(k_s2+(((k_lo+($B$4-k_lo)*G57/60))-k_mx)/k_sx*(k_s3+(((k_lo+($B$4-k_lo)*G57/60))-k_mx)/k_sx*k_s4))))</f>
        <v/>
      </c>
      <c r="I57">
        <f>IF(k_mexp,k_ea+k_eb*EXP(k_ec*((($B$4+($B$5-$B$4)*G57/60))-k_mx)/k_sx),k_s0+((($B$4+($B$5-$B$4)*G57/60))-k_mx)/k_sx*(k_s1+((($B$4+($B$5-$B$4)*G57/60))-k_mx)/k_sx*(k_s2+((($B$4+($B$5-$B$4)*G57/60))-k_mx)/k_sx*(k_s3+((($B$4+($B$5-$B$4)*G57/60))-k_mx)/k_sx*k_s4))))</f>
        <v/>
      </c>
      <c r="J57">
        <f>IF(k_mexp,k_ea+k_eb*EXP(k_ec*((($B$5+(k_hi-$B$5)*G57/60))-k_mx)/k_sx),k_s0+((($B$5+(k_hi-$B$5)*G57/60))-k_mx)/k_sx*(k_s1+((($B$5+(k_hi-$B$5)*G57/60))-k_mx)/k_sx*(k_s2+((($B$5+(k_hi-$B$5)*G57/60))-k_mx)/k_sx*(k_s3+((($B$5+(k_hi-$B$5)*G57/60))-k_mx)/k_sx*k_s4))))</f>
        <v/>
      </c>
    </row>
    <row r="58">
      <c r="G58" t="n">
        <v>54</v>
      </c>
      <c r="H58">
        <f>IF(k_mexp,k_ea+k_eb*EXP(k_ec*(((k_lo+($B$4-k_lo)*G58/60))-k_mx)/k_sx),k_s0+(((k_lo+($B$4-k_lo)*G58/60))-k_mx)/k_sx*(k_s1+(((k_lo+($B$4-k_lo)*G58/60))-k_mx)/k_sx*(k_s2+(((k_lo+($B$4-k_lo)*G58/60))-k_mx)/k_sx*(k_s3+(((k_lo+($B$4-k_lo)*G58/60))-k_mx)/k_sx*k_s4))))</f>
        <v/>
      </c>
      <c r="I58">
        <f>IF(k_mexp,k_ea+k_eb*EXP(k_ec*((($B$4+($B$5-$B$4)*G58/60))-k_mx)/k_sx),k_s0+((($B$4+($B$5-$B$4)*G58/60))-k_mx)/k_sx*(k_s1+((($B$4+($B$5-$B$4)*G58/60))-k_mx)/k_sx*(k_s2+((($B$4+($B$5-$B$4)*G58/60))-k_mx)/k_sx*(k_s3+((($B$4+($B$5-$B$4)*G58/60))-k_mx)/k_sx*k_s4))))</f>
        <v/>
      </c>
      <c r="J58">
        <f>IF(k_mexp,k_ea+k_eb*EXP(k_ec*((($B$5+(k_hi-$B$5)*G58/60))-k_mx)/k_sx),k_s0+((($B$5+(k_hi-$B$5)*G58/60))-k_mx)/k_sx*(k_s1+((($B$5+(k_hi-$B$5)*G58/60))-k_mx)/k_sx*(k_s2+((($B$5+(k_hi-$B$5)*G58/60))-k_mx)/k_sx*(k_s3+((($B$5+(k_hi-$B$5)*G58/60))-k_mx)/k_sx*k_s4))))</f>
        <v/>
      </c>
    </row>
    <row r="59">
      <c r="G59" t="n">
        <v>55</v>
      </c>
      <c r="H59">
        <f>IF(k_mexp,k_ea+k_eb*EXP(k_ec*(((k_lo+($B$4-k_lo)*G59/60))-k_mx)/k_sx),k_s0+(((k_lo+($B$4-k_lo)*G59/60))-k_mx)/k_sx*(k_s1+(((k_lo+($B$4-k_lo)*G59/60))-k_mx)/k_sx*(k_s2+(((k_lo+($B$4-k_lo)*G59/60))-k_mx)/k_sx*(k_s3+(((k_lo+($B$4-k_lo)*G59/60))-k_mx)/k_sx*k_s4))))</f>
        <v/>
      </c>
      <c r="I59">
        <f>IF(k_mexp,k_ea+k_eb*EXP(k_ec*((($B$4+($B$5-$B$4)*G59/60))-k_mx)/k_sx),k_s0+((($B$4+($B$5-$B$4)*G59/60))-k_mx)/k_sx*(k_s1+((($B$4+($B$5-$B$4)*G59/60))-k_mx)/k_sx*(k_s2+((($B$4+($B$5-$B$4)*G59/60))-k_mx)/k_sx*(k_s3+((($B$4+($B$5-$B$4)*G59/60))-k_mx)/k_sx*k_s4))))</f>
        <v/>
      </c>
      <c r="J59">
        <f>IF(k_mexp,k_ea+k_eb*EXP(k_ec*((($B$5+(k_hi-$B$5)*G59/60))-k_mx)/k_sx),k_s0+((($B$5+(k_hi-$B$5)*G59/60))-k_mx)/k_sx*(k_s1+((($B$5+(k_hi-$B$5)*G59/60))-k_mx)/k_sx*(k_s2+((($B$5+(k_hi-$B$5)*G59/60))-k_mx)/k_sx*(k_s3+((($B$5+(k_hi-$B$5)*G59/60))-k_mx)/k_sx*k_s4))))</f>
        <v/>
      </c>
    </row>
    <row r="60">
      <c r="G60" t="n">
        <v>56</v>
      </c>
      <c r="H60">
        <f>IF(k_mexp,k_ea+k_eb*EXP(k_ec*(((k_lo+($B$4-k_lo)*G60/60))-k_mx)/k_sx),k_s0+(((k_lo+($B$4-k_lo)*G60/60))-k_mx)/k_sx*(k_s1+(((k_lo+($B$4-k_lo)*G60/60))-k_mx)/k_sx*(k_s2+(((k_lo+($B$4-k_lo)*G60/60))-k_mx)/k_sx*(k_s3+(((k_lo+($B$4-k_lo)*G60/60))-k_mx)/k_sx*k_s4))))</f>
        <v/>
      </c>
      <c r="I60">
        <f>IF(k_mexp,k_ea+k_eb*EXP(k_ec*((($B$4+($B$5-$B$4)*G60/60))-k_mx)/k_sx),k_s0+((($B$4+($B$5-$B$4)*G60/60))-k_mx)/k_sx*(k_s1+((($B$4+($B$5-$B$4)*G60/60))-k_mx)/k_sx*(k_s2+((($B$4+($B$5-$B$4)*G60/60))-k_mx)/k_sx*(k_s3+((($B$4+($B$5-$B$4)*G60/60))-k_mx)/k_sx*k_s4))))</f>
        <v/>
      </c>
      <c r="J60">
        <f>IF(k_mexp,k_ea+k_eb*EXP(k_ec*((($B$5+(k_hi-$B$5)*G60/60))-k_mx)/k_sx),k_s0+((($B$5+(k_hi-$B$5)*G60/60))-k_mx)/k_sx*(k_s1+((($B$5+(k_hi-$B$5)*G60/60))-k_mx)/k_sx*(k_s2+((($B$5+(k_hi-$B$5)*G60/60))-k_mx)/k_sx*(k_s3+((($B$5+(k_hi-$B$5)*G60/60))-k_mx)/k_sx*k_s4))))</f>
        <v/>
      </c>
    </row>
    <row r="61">
      <c r="G61" t="n">
        <v>57</v>
      </c>
      <c r="H61">
        <f>IF(k_mexp,k_ea+k_eb*EXP(k_ec*(((k_lo+($B$4-k_lo)*G61/60))-k_mx)/k_sx),k_s0+(((k_lo+($B$4-k_lo)*G61/60))-k_mx)/k_sx*(k_s1+(((k_lo+($B$4-k_lo)*G61/60))-k_mx)/k_sx*(k_s2+(((k_lo+($B$4-k_lo)*G61/60))-k_mx)/k_sx*(k_s3+(((k_lo+($B$4-k_lo)*G61/60))-k_mx)/k_sx*k_s4))))</f>
        <v/>
      </c>
      <c r="I61">
        <f>IF(k_mexp,k_ea+k_eb*EXP(k_ec*((($B$4+($B$5-$B$4)*G61/60))-k_mx)/k_sx),k_s0+((($B$4+($B$5-$B$4)*G61/60))-k_mx)/k_sx*(k_s1+((($B$4+($B$5-$B$4)*G61/60))-k_mx)/k_sx*(k_s2+((($B$4+($B$5-$B$4)*G61/60))-k_mx)/k_sx*(k_s3+((($B$4+($B$5-$B$4)*G61/60))-k_mx)/k_sx*k_s4))))</f>
        <v/>
      </c>
      <c r="J61">
        <f>IF(k_mexp,k_ea+k_eb*EXP(k_ec*((($B$5+(k_hi-$B$5)*G61/60))-k_mx)/k_sx),k_s0+((($B$5+(k_hi-$B$5)*G61/60))-k_mx)/k_sx*(k_s1+((($B$5+(k_hi-$B$5)*G61/60))-k_mx)/k_sx*(k_s2+((($B$5+(k_hi-$B$5)*G61/60))-k_mx)/k_sx*(k_s3+((($B$5+(k_hi-$B$5)*G61/60))-k_mx)/k_sx*k_s4))))</f>
        <v/>
      </c>
    </row>
    <row r="62">
      <c r="G62" t="n">
        <v>58</v>
      </c>
      <c r="H62">
        <f>IF(k_mexp,k_ea+k_eb*EXP(k_ec*(((k_lo+($B$4-k_lo)*G62/60))-k_mx)/k_sx),k_s0+(((k_lo+($B$4-k_lo)*G62/60))-k_mx)/k_sx*(k_s1+(((k_lo+($B$4-k_lo)*G62/60))-k_mx)/k_sx*(k_s2+(((k_lo+($B$4-k_lo)*G62/60))-k_mx)/k_sx*(k_s3+(((k_lo+($B$4-k_lo)*G62/60))-k_mx)/k_sx*k_s4))))</f>
        <v/>
      </c>
      <c r="I62">
        <f>IF(k_mexp,k_ea+k_eb*EXP(k_ec*((($B$4+($B$5-$B$4)*G62/60))-k_mx)/k_sx),k_s0+((($B$4+($B$5-$B$4)*G62/60))-k_mx)/k_sx*(k_s1+((($B$4+($B$5-$B$4)*G62/60))-k_mx)/k_sx*(k_s2+((($B$4+($B$5-$B$4)*G62/60))-k_mx)/k_sx*(k_s3+((($B$4+($B$5-$B$4)*G62/60))-k_mx)/k_sx*k_s4))))</f>
        <v/>
      </c>
      <c r="J62">
        <f>IF(k_mexp,k_ea+k_eb*EXP(k_ec*((($B$5+(k_hi-$B$5)*G62/60))-k_mx)/k_sx),k_s0+((($B$5+(k_hi-$B$5)*G62/60))-k_mx)/k_sx*(k_s1+((($B$5+(k_hi-$B$5)*G62/60))-k_mx)/k_sx*(k_s2+((($B$5+(k_hi-$B$5)*G62/60))-k_mx)/k_sx*(k_s3+((($B$5+(k_hi-$B$5)*G62/60))-k_mx)/k_sx*k_s4))))</f>
        <v/>
      </c>
    </row>
    <row r="63">
      <c r="G63" t="n">
        <v>59</v>
      </c>
      <c r="H63">
        <f>IF(k_mexp,k_ea+k_eb*EXP(k_ec*(((k_lo+($B$4-k_lo)*G63/60))-k_mx)/k_sx),k_s0+(((k_lo+($B$4-k_lo)*G63/60))-k_mx)/k_sx*(k_s1+(((k_lo+($B$4-k_lo)*G63/60))-k_mx)/k_sx*(k_s2+(((k_lo+($B$4-k_lo)*G63/60))-k_mx)/k_sx*(k_s3+(((k_lo+($B$4-k_lo)*G63/60))-k_mx)/k_sx*k_s4))))</f>
        <v/>
      </c>
      <c r="I63">
        <f>IF(k_mexp,k_ea+k_eb*EXP(k_ec*((($B$4+($B$5-$B$4)*G63/60))-k_mx)/k_sx),k_s0+((($B$4+($B$5-$B$4)*G63/60))-k_mx)/k_sx*(k_s1+((($B$4+($B$5-$B$4)*G63/60))-k_mx)/k_sx*(k_s2+((($B$4+($B$5-$B$4)*G63/60))-k_mx)/k_sx*(k_s3+((($B$4+($B$5-$B$4)*G63/60))-k_mx)/k_sx*k_s4))))</f>
        <v/>
      </c>
      <c r="J63">
        <f>IF(k_mexp,k_ea+k_eb*EXP(k_ec*((($B$5+(k_hi-$B$5)*G63/60))-k_mx)/k_sx),k_s0+((($B$5+(k_hi-$B$5)*G63/60))-k_mx)/k_sx*(k_s1+((($B$5+(k_hi-$B$5)*G63/60))-k_mx)/k_sx*(k_s2+((($B$5+(k_hi-$B$5)*G63/60))-k_mx)/k_sx*(k_s3+((($B$5+(k_hi-$B$5)*G63/60))-k_mx)/k_sx*k_s4))))</f>
        <v/>
      </c>
    </row>
    <row r="64">
      <c r="G64" t="n">
        <v>60</v>
      </c>
      <c r="H64">
        <f>IF(k_mexp,k_ea+k_eb*EXP(k_ec*(((k_lo+($B$4-k_lo)*G64/60))-k_mx)/k_sx),k_s0+(((k_lo+($B$4-k_lo)*G64/60))-k_mx)/k_sx*(k_s1+(((k_lo+($B$4-k_lo)*G64/60))-k_mx)/k_sx*(k_s2+(((k_lo+($B$4-k_lo)*G64/60))-k_mx)/k_sx*(k_s3+(((k_lo+($B$4-k_lo)*G64/60))-k_mx)/k_sx*k_s4))))</f>
        <v/>
      </c>
      <c r="I64">
        <f>IF(k_mexp,k_ea+k_eb*EXP(k_ec*((($B$4+($B$5-$B$4)*G64/60))-k_mx)/k_sx),k_s0+((($B$4+($B$5-$B$4)*G64/60))-k_mx)/k_sx*(k_s1+((($B$4+($B$5-$B$4)*G64/60))-k_mx)/k_sx*(k_s2+((($B$4+($B$5-$B$4)*G64/60))-k_mx)/k_sx*(k_s3+((($B$4+($B$5-$B$4)*G64/60))-k_mx)/k_sx*k_s4))))</f>
        <v/>
      </c>
      <c r="J64">
        <f>IF(k_mexp,k_ea+k_eb*EXP(k_ec*((($B$5+(k_hi-$B$5)*G64/60))-k_mx)/k_sx),k_s0+((($B$5+(k_hi-$B$5)*G64/60))-k_mx)/k_sx*(k_s1+((($B$5+(k_hi-$B$5)*G64/60))-k_mx)/k_sx*(k_s2+((($B$5+(k_hi-$B$5)*G64/60))-k_mx)/k_sx*(k_s3+((($B$5+(k_hi-$B$5)*G64/60))-k_mx)/k_sx*k_s4))))</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142"/>
  <sheetViews>
    <sheetView showGridLines="0" workbookViewId="0">
      <selection activeCell="A1" sqref="A1"/>
    </sheetView>
  </sheetViews>
  <sheetFormatPr baseColWidth="8" defaultRowHeight="15"/>
  <sheetData>
    <row r="1">
      <c r="A1" s="57" t="inlineStr">
        <is>
          <t>Alle Schwellenverfahren für alle vier Kurvenmodelle (Spalten je Modell: x, La, Fehler, Info, Warnung)</t>
        </is>
      </c>
    </row>
    <row r="3">
      <c r="C3" s="57" t="inlineStr">
        <is>
          <t>Polynom 2. Grades</t>
        </is>
      </c>
      <c r="H3" s="57" t="inlineStr">
        <is>
          <t>Polynom 3. Grades</t>
        </is>
      </c>
      <c r="M3" s="57" t="inlineStr">
        <is>
          <t>Polynom 4. Grades</t>
        </is>
      </c>
      <c r="R3" s="57" t="inlineStr">
        <is>
          <t>Exponentiell</t>
        </is>
      </c>
    </row>
    <row r="4">
      <c r="C4" s="57" t="inlineStr">
        <is>
          <t>x</t>
        </is>
      </c>
      <c r="D4" s="57" t="inlineStr">
        <is>
          <t>La</t>
        </is>
      </c>
      <c r="E4" s="57" t="inlineStr">
        <is>
          <t>Fehler</t>
        </is>
      </c>
      <c r="F4" s="57" t="inlineStr">
        <is>
          <t>Info</t>
        </is>
      </c>
      <c r="G4" s="57" t="inlineStr">
        <is>
          <t>Warnung</t>
        </is>
      </c>
      <c r="H4" s="57" t="inlineStr">
        <is>
          <t>x</t>
        </is>
      </c>
      <c r="I4" s="57" t="inlineStr">
        <is>
          <t>La</t>
        </is>
      </c>
      <c r="J4" s="57" t="inlineStr">
        <is>
          <t>Fehler</t>
        </is>
      </c>
      <c r="K4" s="57" t="inlineStr">
        <is>
          <t>Info</t>
        </is>
      </c>
      <c r="L4" s="57" t="inlineStr">
        <is>
          <t>Warnung</t>
        </is>
      </c>
      <c r="M4" s="57" t="inlineStr">
        <is>
          <t>x</t>
        </is>
      </c>
      <c r="N4" s="57" t="inlineStr">
        <is>
          <t>La</t>
        </is>
      </c>
      <c r="O4" s="57" t="inlineStr">
        <is>
          <t>Fehler</t>
        </is>
      </c>
      <c r="P4" s="57" t="inlineStr">
        <is>
          <t>Info</t>
        </is>
      </c>
      <c r="Q4" s="57" t="inlineStr">
        <is>
          <t>Warnung</t>
        </is>
      </c>
      <c r="R4" s="57" t="inlineStr">
        <is>
          <t>x</t>
        </is>
      </c>
      <c r="S4" s="57" t="inlineStr">
        <is>
          <t>La</t>
        </is>
      </c>
      <c r="T4" s="57" t="inlineStr">
        <is>
          <t>Fehler</t>
        </is>
      </c>
      <c r="U4" s="57" t="inlineStr">
        <is>
          <t>Info</t>
        </is>
      </c>
      <c r="V4" s="57" t="inlineStr">
        <is>
          <t>Warnung</t>
        </is>
      </c>
    </row>
    <row r="5">
      <c r="A5" s="7" t="inlineStr">
        <is>
          <t>ltp1h</t>
        </is>
      </c>
      <c r="B5" s="7" t="inlineStr">
        <is>
          <t>LTP1 (Hofmann/Pokan)</t>
        </is>
      </c>
      <c r="C5">
        <f>IF(AND(k_h1ok,C$30),k_hk1,"")</f>
        <v/>
      </c>
      <c r="D5">
        <f>IF(AND(k_h1ok,C$30),(k_p2_0+((k_hk1)-k_mx)/k_sx*(k_p2_1+((k_hk1)-k_mx)/k_sx*k_p2_2)),"")</f>
        <v/>
      </c>
      <c r="E5">
        <f>IF(NOT(C$30),"Modell nicht anpassbar",IF(k_n&lt;5,"mind. 5 Stufen nötig",IF(k_h1ok,"","kein Anstieg im LTP1-Suchbereich")))</f>
        <v/>
      </c>
      <c r="F5">
        <f>IF(k_h1ok,"Suchbereich "&amp;FIXED(LTP!$K$11,2,TRUE)&amp;"–"&amp;FIXED(LTP!$L$11,2,TRUE)&amp;", Steigung "&amp;FIXED(LTP!$B$464,2,TRUE)&amp;" → "&amp;FIXED(LTP!$B$465,2,TRUE),"")</f>
        <v/>
      </c>
      <c r="G5">
        <f>IF(AND(k_h1ok,LTP!$B$6&gt;0),"Suchbereich um "&amp;LTP!$B$6&amp;" Stufe"&amp;IF(LTP!$B$6&gt;1,"n","")&amp;" erweitert (zu wenige Stufen bis "&amp;ROUND(k_roi*100,0)&amp;" % vmax)","")</f>
        <v/>
      </c>
      <c r="H5">
        <f>IF(AND(k_h1ok,D$30),k_hk1,"")</f>
        <v/>
      </c>
      <c r="I5">
        <f>IF(AND(k_h1ok,D$30),(k_p3_0+((k_hk1)-k_mx)/k_sx*(k_p3_1+((k_hk1)-k_mx)/k_sx*(k_p3_2+((k_hk1)-k_mx)/k_sx*k_p3_3))),"")</f>
        <v/>
      </c>
      <c r="J5">
        <f>IF(NOT(D$30),"Modell nicht anpassbar",IF(k_n&lt;5,"mind. 5 Stufen nötig",IF(k_h1ok,"","kein Anstieg im LTP1-Suchbereich")))</f>
        <v/>
      </c>
      <c r="K5">
        <f>IF(k_h1ok,"Suchbereich "&amp;FIXED(LTP!$K$11,2,TRUE)&amp;"–"&amp;FIXED(LTP!$L$11,2,TRUE)&amp;", Steigung "&amp;FIXED(LTP!$B$464,2,TRUE)&amp;" → "&amp;FIXED(LTP!$B$465,2,TRUE),"")</f>
        <v/>
      </c>
      <c r="L5">
        <f>IF(AND(k_h1ok,LTP!$B$6&gt;0),"Suchbereich um "&amp;LTP!$B$6&amp;" Stufe"&amp;IF(LTP!$B$6&gt;1,"n","")&amp;" erweitert (zu wenige Stufen bis "&amp;ROUND(k_roi*100,0)&amp;" % vmax)","")</f>
        <v/>
      </c>
      <c r="M5">
        <f>IF(AND(k_h1ok,E$30),k_hk1,"")</f>
        <v/>
      </c>
      <c r="N5">
        <f>IF(AND(k_h1ok,E$30),(k_p4_0+((k_hk1)-k_mx)/k_sx*(k_p4_1+((k_hk1)-k_mx)/k_sx*(k_p4_2+((k_hk1)-k_mx)/k_sx*(k_p4_3+((k_hk1)-k_mx)/k_sx*k_p4_4)))),"")</f>
        <v/>
      </c>
      <c r="O5">
        <f>IF(NOT(E$30),"Modell nicht anpassbar",IF(k_n&lt;5,"mind. 5 Stufen nötig",IF(k_h1ok,"","kein Anstieg im LTP1-Suchbereich")))</f>
        <v/>
      </c>
      <c r="P5">
        <f>IF(k_h1ok,"Suchbereich "&amp;FIXED(LTP!$K$11,2,TRUE)&amp;"–"&amp;FIXED(LTP!$L$11,2,TRUE)&amp;", Steigung "&amp;FIXED(LTP!$B$464,2,TRUE)&amp;" → "&amp;FIXED(LTP!$B$465,2,TRUE),"")</f>
        <v/>
      </c>
      <c r="Q5">
        <f>IF(AND(k_h1ok,LTP!$B$6&gt;0),"Suchbereich um "&amp;LTP!$B$6&amp;" Stufe"&amp;IF(LTP!$B$6&gt;1,"n","")&amp;" erweitert (zu wenige Stufen bis "&amp;ROUND(k_roi*100,0)&amp;" % vmax)","")</f>
        <v/>
      </c>
      <c r="R5">
        <f>IF(AND(k_h1ok,F$30),k_hk1,"")</f>
        <v/>
      </c>
      <c r="S5">
        <f>IF(AND(k_h1ok,F$30),(k_ea+k_eb*EXP(k_ec*((k_hk1)-k_mx)/k_sx)),"")</f>
        <v/>
      </c>
      <c r="T5">
        <f>IF(NOT(F$30),"Modell nicht anpassbar",IF(k_n&lt;5,"mind. 5 Stufen nötig",IF(k_h1ok,"","kein Anstieg im LTP1-Suchbereich")))</f>
        <v/>
      </c>
      <c r="U5">
        <f>IF(k_h1ok,"Suchbereich "&amp;FIXED(LTP!$K$11,2,TRUE)&amp;"–"&amp;FIXED(LTP!$L$11,2,TRUE)&amp;", Steigung "&amp;FIXED(LTP!$B$464,2,TRUE)&amp;" → "&amp;FIXED(LTP!$B$465,2,TRUE),"")</f>
        <v/>
      </c>
      <c r="V5">
        <f>IF(AND(k_h1ok,LTP!$B$6&gt;0),"Suchbereich um "&amp;LTP!$B$6&amp;" Stufe"&amp;IF(LTP!$B$6&gt;1,"n","")&amp;" erweitert (zu wenige Stufen bis "&amp;ROUND(k_roi*100,0)&amp;" % vmax)","")</f>
        <v/>
      </c>
    </row>
    <row r="6">
      <c r="A6" s="7" t="inlineStr">
        <is>
          <t>ltp1</t>
        </is>
      </c>
      <c r="B6" s="7" t="inlineStr">
        <is>
          <t>LTP1 (3-Phasen global)</t>
        </is>
      </c>
      <c r="C6">
        <f>IF(k_3ok,k_3k1,"")</f>
        <v/>
      </c>
      <c r="D6">
        <f>IF(k_3ok,k_3f1,"")</f>
        <v/>
      </c>
      <c r="E6">
        <f>IF(k_3ok,"",IF(k_n&lt;5,"mind. 5 Stufen nötig","keine konvexe 3-Phasen-Lösung"))</f>
        <v/>
      </c>
      <c r="F6">
        <f>IF(k_3ok,"Knick der Hilfsgeraden, RMSE "&amp;FIXED(k_3rmse,3,TRUE),"")</f>
        <v/>
      </c>
      <c r="G6">
        <f>IF(AND(k_3ok,k_n&lt;7),"wenige Stufen für 3 Geraden","")</f>
        <v/>
      </c>
      <c r="H6">
        <f>IF(k_3ok,k_3k1,"")</f>
        <v/>
      </c>
      <c r="I6">
        <f>IF(k_3ok,k_3f1,"")</f>
        <v/>
      </c>
      <c r="J6">
        <f>IF(k_3ok,"",IF(k_n&lt;5,"mind. 5 Stufen nötig","keine konvexe 3-Phasen-Lösung"))</f>
        <v/>
      </c>
      <c r="K6">
        <f>IF(k_3ok,"Knick der Hilfsgeraden, RMSE "&amp;FIXED(k_3rmse,3,TRUE),"")</f>
        <v/>
      </c>
      <c r="L6">
        <f>IF(AND(k_3ok,k_n&lt;7),"wenige Stufen für 3 Geraden","")</f>
        <v/>
      </c>
      <c r="M6">
        <f>IF(k_3ok,k_3k1,"")</f>
        <v/>
      </c>
      <c r="N6">
        <f>IF(k_3ok,k_3f1,"")</f>
        <v/>
      </c>
      <c r="O6">
        <f>IF(k_3ok,"",IF(k_n&lt;5,"mind. 5 Stufen nötig","keine konvexe 3-Phasen-Lösung"))</f>
        <v/>
      </c>
      <c r="P6">
        <f>IF(k_3ok,"Knick der Hilfsgeraden, RMSE "&amp;FIXED(k_3rmse,3,TRUE),"")</f>
        <v/>
      </c>
      <c r="Q6">
        <f>IF(AND(k_3ok,k_n&lt;7),"wenige Stufen für 3 Geraden","")</f>
        <v/>
      </c>
      <c r="R6">
        <f>IF(k_3ok,k_3k1,"")</f>
        <v/>
      </c>
      <c r="S6">
        <f>IF(k_3ok,k_3f1,"")</f>
        <v/>
      </c>
      <c r="T6">
        <f>IF(k_3ok,"",IF(k_n&lt;5,"mind. 5 Stufen nötig","keine konvexe 3-Phasen-Lösung"))</f>
        <v/>
      </c>
      <c r="U6">
        <f>IF(k_3ok,"Knick der Hilfsgeraden, RMSE "&amp;FIXED(k_3rmse,3,TRUE),"")</f>
        <v/>
      </c>
      <c r="V6">
        <f>IF(AND(k_3ok,k_n&lt;7),"wenige Stufen für 3 Geraden","")</f>
        <v/>
      </c>
    </row>
    <row r="7">
      <c r="A7" s="7" t="inlineStr">
        <is>
          <t>loglog</t>
        </is>
      </c>
      <c r="B7" s="7" t="inlineStr">
        <is>
          <t>Log-Log (Beaver)</t>
        </is>
      </c>
      <c r="C7">
        <f>IF(AND(k_llok,C$30),k_llx,"")</f>
        <v/>
      </c>
      <c r="D7">
        <f>IF(AND(k_llok,C$30),(k_p2_0+((k_llx)-k_mx)/k_sx*(k_p2_1+((k_llx)-k_mx)/k_sx*k_p2_2)),"")</f>
        <v/>
      </c>
      <c r="E7">
        <f>IF(NOT(C$30),"Modell nicht anpassbar",IF(k_llok,"","kein gültiger Breakpoint"))</f>
        <v/>
      </c>
      <c r="F7">
        <f>IF(k_llok,"Segmente "&amp;k_llk&amp;" + "&amp;(k_n-k_llk)&amp;" Punkte","")</f>
        <v/>
      </c>
      <c r="G7">
        <f>IF(AND(k_llok,k_n&lt;8),"wenige Punkte je Segment, Breakpoint springt leicht","")</f>
        <v/>
      </c>
      <c r="H7">
        <f>IF(AND(k_llok,D$30),k_llx,"")</f>
        <v/>
      </c>
      <c r="I7">
        <f>IF(AND(k_llok,D$30),(k_p3_0+((k_llx)-k_mx)/k_sx*(k_p3_1+((k_llx)-k_mx)/k_sx*(k_p3_2+((k_llx)-k_mx)/k_sx*k_p3_3))),"")</f>
        <v/>
      </c>
      <c r="J7">
        <f>IF(NOT(D$30),"Modell nicht anpassbar",IF(k_llok,"","kein gültiger Breakpoint"))</f>
        <v/>
      </c>
      <c r="K7">
        <f>IF(k_llok,"Segmente "&amp;k_llk&amp;" + "&amp;(k_n-k_llk)&amp;" Punkte","")</f>
        <v/>
      </c>
      <c r="L7">
        <f>IF(AND(k_llok,k_n&lt;8),"wenige Punkte je Segment, Breakpoint springt leicht","")</f>
        <v/>
      </c>
      <c r="M7">
        <f>IF(AND(k_llok,E$30),k_llx,"")</f>
        <v/>
      </c>
      <c r="N7">
        <f>IF(AND(k_llok,E$30),(k_p4_0+((k_llx)-k_mx)/k_sx*(k_p4_1+((k_llx)-k_mx)/k_sx*(k_p4_2+((k_llx)-k_mx)/k_sx*(k_p4_3+((k_llx)-k_mx)/k_sx*k_p4_4)))),"")</f>
        <v/>
      </c>
      <c r="O7">
        <f>IF(NOT(E$30),"Modell nicht anpassbar",IF(k_llok,"","kein gültiger Breakpoint"))</f>
        <v/>
      </c>
      <c r="P7">
        <f>IF(k_llok,"Segmente "&amp;k_llk&amp;" + "&amp;(k_n-k_llk)&amp;" Punkte","")</f>
        <v/>
      </c>
      <c r="Q7">
        <f>IF(AND(k_llok,k_n&lt;8),"wenige Punkte je Segment, Breakpoint springt leicht","")</f>
        <v/>
      </c>
      <c r="R7">
        <f>IF(AND(k_llok,F$30),k_llx,"")</f>
        <v/>
      </c>
      <c r="S7">
        <f>IF(AND(k_llok,F$30),(k_ea+k_eb*EXP(k_ec*((k_llx)-k_mx)/k_sx)),"")</f>
        <v/>
      </c>
      <c r="T7">
        <f>IF(NOT(F$30),"Modell nicht anpassbar",IF(k_llok,"","kein gültiger Breakpoint"))</f>
        <v/>
      </c>
      <c r="U7">
        <f>IF(k_llok,"Segmente "&amp;k_llk&amp;" + "&amp;(k_n-k_llk)&amp;" Punkte","")</f>
        <v/>
      </c>
      <c r="V7">
        <f>IF(AND(k_llok,k_n&lt;8),"wenige Punkte je Segment, Breakpoint springt leicht","")</f>
        <v/>
      </c>
    </row>
    <row r="8">
      <c r="A8" s="7" t="inlineStr">
        <is>
          <t>b05</t>
        </is>
      </c>
      <c r="B8" s="7" t="inlineStr">
        <is>
          <t>Baseline + 0,5 mmol/L</t>
        </is>
      </c>
      <c r="C8">
        <f>C41</f>
        <v/>
      </c>
      <c r="D8">
        <f>IF(ISNUMBER(C41),C38,"")</f>
        <v/>
      </c>
      <c r="E8">
        <f>C42</f>
        <v/>
      </c>
      <c r="F8">
        <f>IF(ISNUMBER(C41),"Baseline "&amp;FIXED(k_base,2,TRUE),"")</f>
        <v/>
      </c>
      <c r="G8">
        <f>C43</f>
        <v/>
      </c>
      <c r="H8">
        <f>D41</f>
        <v/>
      </c>
      <c r="I8">
        <f>IF(ISNUMBER(D41),D38,"")</f>
        <v/>
      </c>
      <c r="J8">
        <f>D42</f>
        <v/>
      </c>
      <c r="K8">
        <f>IF(ISNUMBER(D41),"Baseline "&amp;FIXED(k_base,2,TRUE),"")</f>
        <v/>
      </c>
      <c r="L8">
        <f>D43</f>
        <v/>
      </c>
      <c r="M8">
        <f>E41</f>
        <v/>
      </c>
      <c r="N8">
        <f>IF(ISNUMBER(E41),E38,"")</f>
        <v/>
      </c>
      <c r="O8">
        <f>E42</f>
        <v/>
      </c>
      <c r="P8">
        <f>IF(ISNUMBER(E41),"Baseline "&amp;FIXED(k_base,2,TRUE),"")</f>
        <v/>
      </c>
      <c r="Q8">
        <f>E43</f>
        <v/>
      </c>
      <c r="R8">
        <f>F41</f>
        <v/>
      </c>
      <c r="S8">
        <f>IF(ISNUMBER(F41),F38,"")</f>
        <v/>
      </c>
      <c r="T8">
        <f>F42</f>
        <v/>
      </c>
      <c r="U8">
        <f>IF(ISNUMBER(F41),"Baseline "&amp;FIXED(k_base,2,TRUE),"")</f>
        <v/>
      </c>
      <c r="V8">
        <f>F43</f>
        <v/>
      </c>
    </row>
    <row r="9">
      <c r="A9" s="7" t="inlineStr">
        <is>
          <t>lemin</t>
        </is>
      </c>
      <c r="B9" s="7" t="inlineStr">
        <is>
          <t>Minimales Laktatäquivalent</t>
        </is>
      </c>
      <c r="C9">
        <f>C35</f>
        <v/>
      </c>
      <c r="D9">
        <f>C36</f>
        <v/>
      </c>
      <c r="E9">
        <f>IF(NOT(C$30),"Modell nicht anpassbar","")</f>
        <v/>
      </c>
      <c r="F9">
        <f>IF(ISNUMBER(C35),"min La/x","")</f>
        <v/>
      </c>
      <c r="G9">
        <f>IF(C37,"Minimum am Rand des Messbereichs","")</f>
        <v/>
      </c>
      <c r="H9">
        <f>D35</f>
        <v/>
      </c>
      <c r="I9">
        <f>D36</f>
        <v/>
      </c>
      <c r="J9">
        <f>IF(NOT(D$30),"Modell nicht anpassbar","")</f>
        <v/>
      </c>
      <c r="K9">
        <f>IF(ISNUMBER(D35),"min La/x","")</f>
        <v/>
      </c>
      <c r="L9">
        <f>IF(D37,"Minimum am Rand des Messbereichs","")</f>
        <v/>
      </c>
      <c r="M9">
        <f>E35</f>
        <v/>
      </c>
      <c r="N9">
        <f>E36</f>
        <v/>
      </c>
      <c r="O9">
        <f>IF(NOT(E$30),"Modell nicht anpassbar","")</f>
        <v/>
      </c>
      <c r="P9">
        <f>IF(ISNUMBER(E35),"min La/x","")</f>
        <v/>
      </c>
      <c r="Q9">
        <f>IF(E37,"Minimum am Rand des Messbereichs","")</f>
        <v/>
      </c>
      <c r="R9">
        <f>F35</f>
        <v/>
      </c>
      <c r="S9">
        <f>F36</f>
        <v/>
      </c>
      <c r="T9">
        <f>IF(NOT(F$30),"Modell nicht anpassbar","")</f>
        <v/>
      </c>
      <c r="U9">
        <f>IF(ISNUMBER(F35),"min La/x","")</f>
        <v/>
      </c>
      <c r="V9">
        <f>IF(F37,"Minimum am Rand des Messbereichs","")</f>
        <v/>
      </c>
    </row>
    <row r="10">
      <c r="A10" s="7" t="inlineStr">
        <is>
          <t>fix2</t>
        </is>
      </c>
      <c r="B10" s="7" t="inlineStr">
        <is>
          <t>fix 2,0 mmol/L</t>
        </is>
      </c>
      <c r="C10">
        <f>C47</f>
        <v/>
      </c>
      <c r="D10">
        <f>IF(ISNUMBER(C47),C44,"")</f>
        <v/>
      </c>
      <c r="E10">
        <f>C48</f>
        <v/>
      </c>
      <c r="F10">
        <f>""</f>
        <v/>
      </c>
      <c r="G10">
        <f>C49</f>
        <v/>
      </c>
      <c r="H10">
        <f>D47</f>
        <v/>
      </c>
      <c r="I10">
        <f>IF(ISNUMBER(D47),D44,"")</f>
        <v/>
      </c>
      <c r="J10">
        <f>D48</f>
        <v/>
      </c>
      <c r="K10">
        <f>""</f>
        <v/>
      </c>
      <c r="L10">
        <f>D49</f>
        <v/>
      </c>
      <c r="M10">
        <f>E47</f>
        <v/>
      </c>
      <c r="N10">
        <f>IF(ISNUMBER(E47),E44,"")</f>
        <v/>
      </c>
      <c r="O10">
        <f>E48</f>
        <v/>
      </c>
      <c r="P10">
        <f>""</f>
        <v/>
      </c>
      <c r="Q10">
        <f>E49</f>
        <v/>
      </c>
      <c r="R10">
        <f>F47</f>
        <v/>
      </c>
      <c r="S10">
        <f>IF(ISNUMBER(F47),F44,"")</f>
        <v/>
      </c>
      <c r="T10">
        <f>F48</f>
        <v/>
      </c>
      <c r="U10">
        <f>""</f>
        <v/>
      </c>
      <c r="V10">
        <f>F49</f>
        <v/>
      </c>
    </row>
    <row r="11">
      <c r="A11" s="7" t="inlineStr">
        <is>
          <t>ltp2h</t>
        </is>
      </c>
      <c r="B11" s="7" t="inlineStr">
        <is>
          <t>LTP2 (Hofmann/Pokan)</t>
        </is>
      </c>
      <c r="C11">
        <f>IF(AND(k_h2ok,C$30),k_hk2,"")</f>
        <v/>
      </c>
      <c r="D11">
        <f>IF(AND(k_h2ok,C$30),(k_p2_0+((k_hk2)-k_mx)/k_sx*(k_p2_1+((k_hk2)-k_mx)/k_sx*k_p2_2)),"")</f>
        <v/>
      </c>
      <c r="E11">
        <f>IF(NOT(C$30),"Modell nicht anpassbar",IF(k_n&lt;5,"mind. 5 Stufen nötig",IF(NOT(k_h1ok),"kein Anstieg im LTP1-Suchbereich",IF(k_h2ok,"","kein zweiter Knick oberhalb LTP1"))))</f>
        <v/>
      </c>
      <c r="F11">
        <f>IF(k_h2ok,"Suchbereich LTP1–vmax, Steigung "&amp;FIXED(LTP!$B$922,2,TRUE)&amp;" → "&amp;FIXED(LTP!$B$923,2,TRUE),"")</f>
        <v/>
      </c>
      <c r="G11">
        <f>IF(AND(k_h2ok,LTP!$E$6&gt;0),"Suchbereich um "&amp;LTP!$E$6&amp;" Stufe"&amp;IF(LTP!$E$6&gt;1,"n","")&amp;" unter LTP1 erweitert","")</f>
        <v/>
      </c>
      <c r="H11">
        <f>IF(AND(k_h2ok,D$30),k_hk2,"")</f>
        <v/>
      </c>
      <c r="I11">
        <f>IF(AND(k_h2ok,D$30),(k_p3_0+((k_hk2)-k_mx)/k_sx*(k_p3_1+((k_hk2)-k_mx)/k_sx*(k_p3_2+((k_hk2)-k_mx)/k_sx*k_p3_3))),"")</f>
        <v/>
      </c>
      <c r="J11">
        <f>IF(NOT(D$30),"Modell nicht anpassbar",IF(k_n&lt;5,"mind. 5 Stufen nötig",IF(NOT(k_h1ok),"kein Anstieg im LTP1-Suchbereich",IF(k_h2ok,"","kein zweiter Knick oberhalb LTP1"))))</f>
        <v/>
      </c>
      <c r="K11">
        <f>IF(k_h2ok,"Suchbereich LTP1–vmax, Steigung "&amp;FIXED(LTP!$B$922,2,TRUE)&amp;" → "&amp;FIXED(LTP!$B$923,2,TRUE),"")</f>
        <v/>
      </c>
      <c r="L11">
        <f>IF(AND(k_h2ok,LTP!$E$6&gt;0),"Suchbereich um "&amp;LTP!$E$6&amp;" Stufe"&amp;IF(LTP!$E$6&gt;1,"n","")&amp;" unter LTP1 erweitert","")</f>
        <v/>
      </c>
      <c r="M11">
        <f>IF(AND(k_h2ok,E$30),k_hk2,"")</f>
        <v/>
      </c>
      <c r="N11">
        <f>IF(AND(k_h2ok,E$30),(k_p4_0+((k_hk2)-k_mx)/k_sx*(k_p4_1+((k_hk2)-k_mx)/k_sx*(k_p4_2+((k_hk2)-k_mx)/k_sx*(k_p4_3+((k_hk2)-k_mx)/k_sx*k_p4_4)))),"")</f>
        <v/>
      </c>
      <c r="O11">
        <f>IF(NOT(E$30),"Modell nicht anpassbar",IF(k_n&lt;5,"mind. 5 Stufen nötig",IF(NOT(k_h1ok),"kein Anstieg im LTP1-Suchbereich",IF(k_h2ok,"","kein zweiter Knick oberhalb LTP1"))))</f>
        <v/>
      </c>
      <c r="P11">
        <f>IF(k_h2ok,"Suchbereich LTP1–vmax, Steigung "&amp;FIXED(LTP!$B$922,2,TRUE)&amp;" → "&amp;FIXED(LTP!$B$923,2,TRUE),"")</f>
        <v/>
      </c>
      <c r="Q11">
        <f>IF(AND(k_h2ok,LTP!$E$6&gt;0),"Suchbereich um "&amp;LTP!$E$6&amp;" Stufe"&amp;IF(LTP!$E$6&gt;1,"n","")&amp;" unter LTP1 erweitert","")</f>
        <v/>
      </c>
      <c r="R11">
        <f>IF(AND(k_h2ok,F$30),k_hk2,"")</f>
        <v/>
      </c>
      <c r="S11">
        <f>IF(AND(k_h2ok,F$30),(k_ea+k_eb*EXP(k_ec*((k_hk2)-k_mx)/k_sx)),"")</f>
        <v/>
      </c>
      <c r="T11">
        <f>IF(NOT(F$30),"Modell nicht anpassbar",IF(k_n&lt;5,"mind. 5 Stufen nötig",IF(NOT(k_h1ok),"kein Anstieg im LTP1-Suchbereich",IF(k_h2ok,"","kein zweiter Knick oberhalb LTP1"))))</f>
        <v/>
      </c>
      <c r="U11">
        <f>IF(k_h2ok,"Suchbereich LTP1–vmax, Steigung "&amp;FIXED(LTP!$B$922,2,TRUE)&amp;" → "&amp;FIXED(LTP!$B$923,2,TRUE),"")</f>
        <v/>
      </c>
      <c r="V11">
        <f>IF(AND(k_h2ok,LTP!$E$6&gt;0),"Suchbereich um "&amp;LTP!$E$6&amp;" Stufe"&amp;IF(LTP!$E$6&gt;1,"n","")&amp;" unter LTP1 erweitert","")</f>
        <v/>
      </c>
    </row>
    <row r="12">
      <c r="A12" s="7" t="inlineStr">
        <is>
          <t>ltp2</t>
        </is>
      </c>
      <c r="B12" s="7" t="inlineStr">
        <is>
          <t>LTP2 (3-Phasen global)</t>
        </is>
      </c>
      <c r="C12">
        <f>IF(k_3ok,k_3k2,"")</f>
        <v/>
      </c>
      <c r="D12">
        <f>IF(k_3ok,k_3f2,"")</f>
        <v/>
      </c>
      <c r="E12">
        <f>IF(k_3ok,"",IF(k_n&lt;5,"mind. 5 Stufen nötig","keine konvexe 3-Phasen-Lösung"))</f>
        <v/>
      </c>
      <c r="F12">
        <f>IF(k_3ok,"Steigungen "&amp;FIXED(k_3s1,2,TRUE)&amp;" / "&amp;FIXED(k_3s2,2,TRUE)&amp;" / "&amp;FIXED(k_3s3,2,TRUE),"")</f>
        <v/>
      </c>
      <c r="G12">
        <f>IF(AND(k_3ok,k_n&lt;7),"wenige Stufen für 3 Geraden","")</f>
        <v/>
      </c>
      <c r="H12">
        <f>IF(k_3ok,k_3k2,"")</f>
        <v/>
      </c>
      <c r="I12">
        <f>IF(k_3ok,k_3f2,"")</f>
        <v/>
      </c>
      <c r="J12">
        <f>IF(k_3ok,"",IF(k_n&lt;5,"mind. 5 Stufen nötig","keine konvexe 3-Phasen-Lösung"))</f>
        <v/>
      </c>
      <c r="K12">
        <f>IF(k_3ok,"Steigungen "&amp;FIXED(k_3s1,2,TRUE)&amp;" / "&amp;FIXED(k_3s2,2,TRUE)&amp;" / "&amp;FIXED(k_3s3,2,TRUE),"")</f>
        <v/>
      </c>
      <c r="L12">
        <f>IF(AND(k_3ok,k_n&lt;7),"wenige Stufen für 3 Geraden","")</f>
        <v/>
      </c>
      <c r="M12">
        <f>IF(k_3ok,k_3k2,"")</f>
        <v/>
      </c>
      <c r="N12">
        <f>IF(k_3ok,k_3f2,"")</f>
        <v/>
      </c>
      <c r="O12">
        <f>IF(k_3ok,"",IF(k_n&lt;5,"mind. 5 Stufen nötig","keine konvexe 3-Phasen-Lösung"))</f>
        <v/>
      </c>
      <c r="P12">
        <f>IF(k_3ok,"Steigungen "&amp;FIXED(k_3s1,2,TRUE)&amp;" / "&amp;FIXED(k_3s2,2,TRUE)&amp;" / "&amp;FIXED(k_3s3,2,TRUE),"")</f>
        <v/>
      </c>
      <c r="Q12">
        <f>IF(AND(k_3ok,k_n&lt;7),"wenige Stufen für 3 Geraden","")</f>
        <v/>
      </c>
      <c r="R12">
        <f>IF(k_3ok,k_3k2,"")</f>
        <v/>
      </c>
      <c r="S12">
        <f>IF(k_3ok,k_3f2,"")</f>
        <v/>
      </c>
      <c r="T12">
        <f>IF(k_3ok,"",IF(k_n&lt;5,"mind. 5 Stufen nötig","keine konvexe 3-Phasen-Lösung"))</f>
        <v/>
      </c>
      <c r="U12">
        <f>IF(k_3ok,"Steigungen "&amp;FIXED(k_3s1,2,TRUE)&amp;" / "&amp;FIXED(k_3s2,2,TRUE)&amp;" / "&amp;FIXED(k_3s3,2,TRUE),"")</f>
        <v/>
      </c>
      <c r="V12">
        <f>IF(AND(k_3ok,k_n&lt;7),"wenige Stufen für 3 Geraden","")</f>
        <v/>
      </c>
    </row>
    <row r="13">
      <c r="A13" s="7" t="inlineStr">
        <is>
          <t>dmax</t>
        </is>
      </c>
      <c r="B13" s="7" t="inlineStr">
        <is>
          <t>Dmax (Cheng)</t>
        </is>
      </c>
      <c r="C13">
        <f>C96</f>
        <v/>
      </c>
      <c r="D13">
        <f>C97</f>
        <v/>
      </c>
      <c r="E13">
        <f>IF(NOT(C$30),"Modell nicht anpassbar",IF(ISNUMBER(C96),"","kein Distanzmaximum"))</f>
        <v/>
      </c>
      <c r="F13">
        <f>IF(ISNUMBER(C96),"Sehne erster → letzter Punkt","")</f>
        <v/>
      </c>
      <c r="G13">
        <f>""</f>
        <v/>
      </c>
      <c r="H13">
        <f>D96</f>
        <v/>
      </c>
      <c r="I13">
        <f>D97</f>
        <v/>
      </c>
      <c r="J13">
        <f>IF(NOT(D$30),"Modell nicht anpassbar",IF(ISNUMBER(D96),"","kein Distanzmaximum"))</f>
        <v/>
      </c>
      <c r="K13">
        <f>IF(ISNUMBER(D96),"Sehne erster → letzter Punkt","")</f>
        <v/>
      </c>
      <c r="L13">
        <f>""</f>
        <v/>
      </c>
      <c r="M13">
        <f>E96</f>
        <v/>
      </c>
      <c r="N13">
        <f>E97</f>
        <v/>
      </c>
      <c r="O13">
        <f>IF(NOT(E$30),"Modell nicht anpassbar",IF(ISNUMBER(E96),"","kein Distanzmaximum"))</f>
        <v/>
      </c>
      <c r="P13">
        <f>IF(ISNUMBER(E96),"Sehne erster → letzter Punkt","")</f>
        <v/>
      </c>
      <c r="Q13">
        <f>""</f>
        <v/>
      </c>
      <c r="R13">
        <f>F96</f>
        <v/>
      </c>
      <c r="S13">
        <f>F97</f>
        <v/>
      </c>
      <c r="T13">
        <f>IF(NOT(F$30),"Modell nicht anpassbar",IF(ISNUMBER(F96),"","kein Distanzmaximum"))</f>
        <v/>
      </c>
      <c r="U13">
        <f>IF(ISNUMBER(F96),"Sehne erster → letzter Punkt","")</f>
        <v/>
      </c>
      <c r="V13">
        <f>""</f>
        <v/>
      </c>
    </row>
    <row r="14">
      <c r="A14" s="7" t="inlineStr">
        <is>
          <t>moddmax</t>
        </is>
      </c>
      <c r="B14" s="7" t="inlineStr">
        <is>
          <t>Modified Dmax (Bishop)</t>
        </is>
      </c>
      <c r="C14">
        <f>IF(k_mdk&gt;1,C108,"")</f>
        <v/>
      </c>
      <c r="D14">
        <f>IF(k_mdk&gt;1,C109,"")</f>
        <v/>
      </c>
      <c r="E14">
        <f>IF(NOT(C$30),"Modell nicht anpassbar",IF(k_mdk&lt;2,"kein Anstieg &gt; 0,4 mmol/L",IF(ISNUMBER(C108),"","kein Distanzmaximum")))</f>
        <v/>
      </c>
      <c r="F14">
        <f>IF(AND(k_mdk&gt;1,ISNUMBER(C108)),"Start bei "&amp;FIXED(k_mdx,2,TRUE),"")</f>
        <v/>
      </c>
      <c r="G14">
        <f>IF(AND(k_mdk&gt;1,ISNUMBER(C108),k_n-k_mdk+1&lt;3),"nur wenige Punkte nach dem Startpunkt","")</f>
        <v/>
      </c>
      <c r="H14">
        <f>IF(k_mdk&gt;1,D108,"")</f>
        <v/>
      </c>
      <c r="I14">
        <f>IF(k_mdk&gt;1,D109,"")</f>
        <v/>
      </c>
      <c r="J14">
        <f>IF(NOT(D$30),"Modell nicht anpassbar",IF(k_mdk&lt;2,"kein Anstieg &gt; 0,4 mmol/L",IF(ISNUMBER(D108),"","kein Distanzmaximum")))</f>
        <v/>
      </c>
      <c r="K14">
        <f>IF(AND(k_mdk&gt;1,ISNUMBER(D108)),"Start bei "&amp;FIXED(k_mdx,2,TRUE),"")</f>
        <v/>
      </c>
      <c r="L14">
        <f>IF(AND(k_mdk&gt;1,ISNUMBER(D108),k_n-k_mdk+1&lt;3),"nur wenige Punkte nach dem Startpunkt","")</f>
        <v/>
      </c>
      <c r="M14">
        <f>IF(k_mdk&gt;1,E108,"")</f>
        <v/>
      </c>
      <c r="N14">
        <f>IF(k_mdk&gt;1,E109,"")</f>
        <v/>
      </c>
      <c r="O14">
        <f>IF(NOT(E$30),"Modell nicht anpassbar",IF(k_mdk&lt;2,"kein Anstieg &gt; 0,4 mmol/L",IF(ISNUMBER(E108),"","kein Distanzmaximum")))</f>
        <v/>
      </c>
      <c r="P14">
        <f>IF(AND(k_mdk&gt;1,ISNUMBER(E108)),"Start bei "&amp;FIXED(k_mdx,2,TRUE),"")</f>
        <v/>
      </c>
      <c r="Q14">
        <f>IF(AND(k_mdk&gt;1,ISNUMBER(E108),k_n-k_mdk+1&lt;3),"nur wenige Punkte nach dem Startpunkt","")</f>
        <v/>
      </c>
      <c r="R14">
        <f>IF(k_mdk&gt;1,F108,"")</f>
        <v/>
      </c>
      <c r="S14">
        <f>IF(k_mdk&gt;1,F109,"")</f>
        <v/>
      </c>
      <c r="T14">
        <f>IF(NOT(F$30),"Modell nicht anpassbar",IF(k_mdk&lt;2,"kein Anstieg &gt; 0,4 mmol/L",IF(ISNUMBER(F108),"","kein Distanzmaximum")))</f>
        <v/>
      </c>
      <c r="U14">
        <f>IF(AND(k_mdk&gt;1,ISNUMBER(F108)),"Start bei "&amp;FIXED(k_mdx,2,TRUE),"")</f>
        <v/>
      </c>
      <c r="V14">
        <f>IF(AND(k_mdk&gt;1,ISNUMBER(F108),k_n-k_mdk+1&lt;3),"nur wenige Punkte nach dem Startpunkt","")</f>
        <v/>
      </c>
    </row>
    <row r="15">
      <c r="A15" s="7" t="inlineStr">
        <is>
          <t>lpdmax</t>
        </is>
      </c>
      <c r="B15" s="7" t="inlineStr">
        <is>
          <t>Log-Poly-ModDmax</t>
        </is>
      </c>
      <c r="C15">
        <f>IF(k_llok,C120,"")</f>
        <v/>
      </c>
      <c r="D15">
        <f>IF(k_llok,C121,"")</f>
        <v/>
      </c>
      <c r="E15">
        <f>IF(NOT(C$30),"Modell nicht anpassbar",IF(NOT(k_llok),"Log-Log nicht bestimmbar",IF(ISNUMBER(C120),"","kein Distanzmaximum")))</f>
        <v/>
      </c>
      <c r="F15">
        <f>IF(AND(k_llok,ISNUMBER(C120)),"Start bei Log-Log "&amp;FIXED(k_llx,2,TRUE),"")</f>
        <v/>
      </c>
      <c r="G15">
        <f>""</f>
        <v/>
      </c>
      <c r="H15">
        <f>IF(k_llok,D120,"")</f>
        <v/>
      </c>
      <c r="I15">
        <f>IF(k_llok,D121,"")</f>
        <v/>
      </c>
      <c r="J15">
        <f>IF(NOT(D$30),"Modell nicht anpassbar",IF(NOT(k_llok),"Log-Log nicht bestimmbar",IF(ISNUMBER(D120),"","kein Distanzmaximum")))</f>
        <v/>
      </c>
      <c r="K15">
        <f>IF(AND(k_llok,ISNUMBER(D120)),"Start bei Log-Log "&amp;FIXED(k_llx,2,TRUE),"")</f>
        <v/>
      </c>
      <c r="L15">
        <f>""</f>
        <v/>
      </c>
      <c r="M15">
        <f>IF(k_llok,E120,"")</f>
        <v/>
      </c>
      <c r="N15">
        <f>IF(k_llok,E121,"")</f>
        <v/>
      </c>
      <c r="O15">
        <f>IF(NOT(E$30),"Modell nicht anpassbar",IF(NOT(k_llok),"Log-Log nicht bestimmbar",IF(ISNUMBER(E120),"","kein Distanzmaximum")))</f>
        <v/>
      </c>
      <c r="P15">
        <f>IF(AND(k_llok,ISNUMBER(E120)),"Start bei Log-Log "&amp;FIXED(k_llx,2,TRUE),"")</f>
        <v/>
      </c>
      <c r="Q15">
        <f>""</f>
        <v/>
      </c>
      <c r="R15">
        <f>IF(k_llok,F120,"")</f>
        <v/>
      </c>
      <c r="S15">
        <f>IF(k_llok,F121,"")</f>
        <v/>
      </c>
      <c r="T15">
        <f>IF(NOT(F$30),"Modell nicht anpassbar",IF(NOT(k_llok),"Log-Log nicht bestimmbar",IF(ISNUMBER(F120),"","kein Distanzmaximum")))</f>
        <v/>
      </c>
      <c r="U15">
        <f>IF(AND(k_llok,ISNUMBER(F120)),"Start bei Log-Log "&amp;FIXED(k_llx,2,TRUE),"")</f>
        <v/>
      </c>
      <c r="V15">
        <f>""</f>
        <v/>
      </c>
    </row>
    <row r="16">
      <c r="A16" s="7" t="inlineStr">
        <is>
          <t>expdmax</t>
        </is>
      </c>
      <c r="B16" s="7" t="inlineStr">
        <is>
          <t>Exp-Dmax</t>
        </is>
      </c>
      <c r="C16">
        <f>IF(k_eok,C132,"")</f>
        <v/>
      </c>
      <c r="D16">
        <f>IF(k_eok,C133,"")</f>
        <v/>
      </c>
      <c r="E16">
        <f>IF(NOT(k_eok),"Exponentialfit nicht möglich",IF(ISNUMBER(C132),"","kein Distanzmaximum"))</f>
        <v/>
      </c>
      <c r="F16">
        <f>IF(ISNUMBER(C132),"eigener Fit a+b·e^(cx)","")</f>
        <v/>
      </c>
      <c r="G16">
        <f>""</f>
        <v/>
      </c>
      <c r="H16">
        <f>IF(k_eok,D132,"")</f>
        <v/>
      </c>
      <c r="I16">
        <f>IF(k_eok,D133,"")</f>
        <v/>
      </c>
      <c r="J16">
        <f>IF(NOT(k_eok),"Exponentialfit nicht möglich",IF(ISNUMBER(D132),"","kein Distanzmaximum"))</f>
        <v/>
      </c>
      <c r="K16">
        <f>IF(ISNUMBER(D132),"eigener Fit a+b·e^(cx)","")</f>
        <v/>
      </c>
      <c r="L16">
        <f>""</f>
        <v/>
      </c>
      <c r="M16">
        <f>IF(k_eok,E132,"")</f>
        <v/>
      </c>
      <c r="N16">
        <f>IF(k_eok,E133,"")</f>
        <v/>
      </c>
      <c r="O16">
        <f>IF(NOT(k_eok),"Exponentialfit nicht möglich",IF(ISNUMBER(E132),"","kein Distanzmaximum"))</f>
        <v/>
      </c>
      <c r="P16">
        <f>IF(ISNUMBER(E132),"eigener Fit a+b·e^(cx)","")</f>
        <v/>
      </c>
      <c r="Q16">
        <f>""</f>
        <v/>
      </c>
      <c r="R16">
        <f>IF(k_eok,F132,"")</f>
        <v/>
      </c>
      <c r="S16">
        <f>IF(k_eok,F133,"")</f>
        <v/>
      </c>
      <c r="T16">
        <f>IF(NOT(k_eok),"Exponentialfit nicht möglich",IF(ISNUMBER(F132),"","kein Distanzmaximum"))</f>
        <v/>
      </c>
      <c r="U16">
        <f>IF(ISNUMBER(F132),"eigener Fit a+b·e^(cx)","")</f>
        <v/>
      </c>
      <c r="V16">
        <f>""</f>
        <v/>
      </c>
    </row>
    <row r="17">
      <c r="A17" s="7" t="inlineStr">
        <is>
          <t>dickhuth</t>
        </is>
      </c>
      <c r="B17" s="7" t="inlineStr">
        <is>
          <t>Dickhuth (LEmin + 1,5)</t>
        </is>
      </c>
      <c r="C17">
        <f>C53</f>
        <v/>
      </c>
      <c r="D17">
        <f>IF(ISNUMBER(C53),C50,"")</f>
        <v/>
      </c>
      <c r="E17">
        <f>C54</f>
        <v/>
      </c>
      <c r="F17">
        <f>IF(ISNUMBER(C53),"LEmin "&amp;FIXED(C35,2,TRUE)&amp;" bei "&amp;FIXED(C36,2,TRUE)&amp;" mmol/L","")</f>
        <v/>
      </c>
      <c r="G17">
        <f>IF(AND(ISNUMBER(C53),C37),"LEmin am Rand des Messbereichs",C55)</f>
        <v/>
      </c>
      <c r="H17">
        <f>D53</f>
        <v/>
      </c>
      <c r="I17">
        <f>IF(ISNUMBER(D53),D50,"")</f>
        <v/>
      </c>
      <c r="J17">
        <f>D54</f>
        <v/>
      </c>
      <c r="K17">
        <f>IF(ISNUMBER(D53),"LEmin "&amp;FIXED(D35,2,TRUE)&amp;" bei "&amp;FIXED(D36,2,TRUE)&amp;" mmol/L","")</f>
        <v/>
      </c>
      <c r="L17">
        <f>IF(AND(ISNUMBER(D53),D37),"LEmin am Rand des Messbereichs",D55)</f>
        <v/>
      </c>
      <c r="M17">
        <f>E53</f>
        <v/>
      </c>
      <c r="N17">
        <f>IF(ISNUMBER(E53),E50,"")</f>
        <v/>
      </c>
      <c r="O17">
        <f>E54</f>
        <v/>
      </c>
      <c r="P17">
        <f>IF(ISNUMBER(E53),"LEmin "&amp;FIXED(E35,2,TRUE)&amp;" bei "&amp;FIXED(E36,2,TRUE)&amp;" mmol/L","")</f>
        <v/>
      </c>
      <c r="Q17">
        <f>IF(AND(ISNUMBER(E53),E37),"LEmin am Rand des Messbereichs",E55)</f>
        <v/>
      </c>
      <c r="R17">
        <f>F53</f>
        <v/>
      </c>
      <c r="S17">
        <f>IF(ISNUMBER(F53),F50,"")</f>
        <v/>
      </c>
      <c r="T17">
        <f>F54</f>
        <v/>
      </c>
      <c r="U17">
        <f>IF(ISNUMBER(F53),"LEmin "&amp;FIXED(F35,2,TRUE)&amp;" bei "&amp;FIXED(F36,2,TRUE)&amp;" mmol/L","")</f>
        <v/>
      </c>
      <c r="V17">
        <f>IF(AND(ISNUMBER(F53),F37),"LEmin am Rand des Messbereichs",F55)</f>
        <v/>
      </c>
    </row>
    <row r="18">
      <c r="A18" s="7" t="inlineStr">
        <is>
          <t>b10</t>
        </is>
      </c>
      <c r="B18" s="7" t="inlineStr">
        <is>
          <t>Baseline + 1,0 mmol/L</t>
        </is>
      </c>
      <c r="C18">
        <f>C59</f>
        <v/>
      </c>
      <c r="D18">
        <f>IF(ISNUMBER(C59),C56,"")</f>
        <v/>
      </c>
      <c r="E18">
        <f>C60</f>
        <v/>
      </c>
      <c r="F18">
        <f>""</f>
        <v/>
      </c>
      <c r="G18">
        <f>C61</f>
        <v/>
      </c>
      <c r="H18">
        <f>D59</f>
        <v/>
      </c>
      <c r="I18">
        <f>IF(ISNUMBER(D59),D56,"")</f>
        <v/>
      </c>
      <c r="J18">
        <f>D60</f>
        <v/>
      </c>
      <c r="K18">
        <f>""</f>
        <v/>
      </c>
      <c r="L18">
        <f>D61</f>
        <v/>
      </c>
      <c r="M18">
        <f>E59</f>
        <v/>
      </c>
      <c r="N18">
        <f>IF(ISNUMBER(E59),E56,"")</f>
        <v/>
      </c>
      <c r="O18">
        <f>E60</f>
        <v/>
      </c>
      <c r="P18">
        <f>""</f>
        <v/>
      </c>
      <c r="Q18">
        <f>E61</f>
        <v/>
      </c>
      <c r="R18">
        <f>F59</f>
        <v/>
      </c>
      <c r="S18">
        <f>IF(ISNUMBER(F59),F56,"")</f>
        <v/>
      </c>
      <c r="T18">
        <f>F60</f>
        <v/>
      </c>
      <c r="U18">
        <f>""</f>
        <v/>
      </c>
      <c r="V18">
        <f>F61</f>
        <v/>
      </c>
    </row>
    <row r="19">
      <c r="A19" s="7" t="inlineStr">
        <is>
          <t>b15</t>
        </is>
      </c>
      <c r="B19" s="7" t="inlineStr">
        <is>
          <t>Baseline + 1,5 mmol/L</t>
        </is>
      </c>
      <c r="C19">
        <f>C65</f>
        <v/>
      </c>
      <c r="D19">
        <f>IF(ISNUMBER(C65),C62,"")</f>
        <v/>
      </c>
      <c r="E19">
        <f>C66</f>
        <v/>
      </c>
      <c r="F19">
        <f>""</f>
        <v/>
      </c>
      <c r="G19">
        <f>C67</f>
        <v/>
      </c>
      <c r="H19">
        <f>D65</f>
        <v/>
      </c>
      <c r="I19">
        <f>IF(ISNUMBER(D65),D62,"")</f>
        <v/>
      </c>
      <c r="J19">
        <f>D66</f>
        <v/>
      </c>
      <c r="K19">
        <f>""</f>
        <v/>
      </c>
      <c r="L19">
        <f>D67</f>
        <v/>
      </c>
      <c r="M19">
        <f>E65</f>
        <v/>
      </c>
      <c r="N19">
        <f>IF(ISNUMBER(E65),E62,"")</f>
        <v/>
      </c>
      <c r="O19">
        <f>E66</f>
        <v/>
      </c>
      <c r="P19">
        <f>""</f>
        <v/>
      </c>
      <c r="Q19">
        <f>E67</f>
        <v/>
      </c>
      <c r="R19">
        <f>F65</f>
        <v/>
      </c>
      <c r="S19">
        <f>IF(ISNUMBER(F65),F62,"")</f>
        <v/>
      </c>
      <c r="T19">
        <f>F66</f>
        <v/>
      </c>
      <c r="U19">
        <f>""</f>
        <v/>
      </c>
      <c r="V19">
        <f>F67</f>
        <v/>
      </c>
    </row>
    <row r="20">
      <c r="A20" s="7" t="inlineStr">
        <is>
          <t>fix3</t>
        </is>
      </c>
      <c r="B20" s="7" t="inlineStr">
        <is>
          <t>fix 3,0 mmol/L</t>
        </is>
      </c>
      <c r="C20">
        <f>C71</f>
        <v/>
      </c>
      <c r="D20">
        <f>IF(ISNUMBER(C71),C68,"")</f>
        <v/>
      </c>
      <c r="E20">
        <f>C72</f>
        <v/>
      </c>
      <c r="F20">
        <f>""</f>
        <v/>
      </c>
      <c r="G20">
        <f>C73</f>
        <v/>
      </c>
      <c r="H20">
        <f>D71</f>
        <v/>
      </c>
      <c r="I20">
        <f>IF(ISNUMBER(D71),D68,"")</f>
        <v/>
      </c>
      <c r="J20">
        <f>D72</f>
        <v/>
      </c>
      <c r="K20">
        <f>""</f>
        <v/>
      </c>
      <c r="L20">
        <f>D73</f>
        <v/>
      </c>
      <c r="M20">
        <f>E71</f>
        <v/>
      </c>
      <c r="N20">
        <f>IF(ISNUMBER(E71),E68,"")</f>
        <v/>
      </c>
      <c r="O20">
        <f>E72</f>
        <v/>
      </c>
      <c r="P20">
        <f>""</f>
        <v/>
      </c>
      <c r="Q20">
        <f>E73</f>
        <v/>
      </c>
      <c r="R20">
        <f>F71</f>
        <v/>
      </c>
      <c r="S20">
        <f>IF(ISNUMBER(F71),F68,"")</f>
        <v/>
      </c>
      <c r="T20">
        <f>F72</f>
        <v/>
      </c>
      <c r="U20">
        <f>""</f>
        <v/>
      </c>
      <c r="V20">
        <f>F73</f>
        <v/>
      </c>
    </row>
    <row r="21">
      <c r="A21" s="7" t="inlineStr">
        <is>
          <t>fix35</t>
        </is>
      </c>
      <c r="B21" s="7" t="inlineStr">
        <is>
          <t>fix 3,5 mmol/L</t>
        </is>
      </c>
      <c r="C21">
        <f>C77</f>
        <v/>
      </c>
      <c r="D21">
        <f>IF(ISNUMBER(C77),C74,"")</f>
        <v/>
      </c>
      <c r="E21">
        <f>C78</f>
        <v/>
      </c>
      <c r="F21">
        <f>""</f>
        <v/>
      </c>
      <c r="G21">
        <f>C79</f>
        <v/>
      </c>
      <c r="H21">
        <f>D77</f>
        <v/>
      </c>
      <c r="I21">
        <f>IF(ISNUMBER(D77),D74,"")</f>
        <v/>
      </c>
      <c r="J21">
        <f>D78</f>
        <v/>
      </c>
      <c r="K21">
        <f>""</f>
        <v/>
      </c>
      <c r="L21">
        <f>D79</f>
        <v/>
      </c>
      <c r="M21">
        <f>E77</f>
        <v/>
      </c>
      <c r="N21">
        <f>IF(ISNUMBER(E77),E74,"")</f>
        <v/>
      </c>
      <c r="O21">
        <f>E78</f>
        <v/>
      </c>
      <c r="P21">
        <f>""</f>
        <v/>
      </c>
      <c r="Q21">
        <f>E79</f>
        <v/>
      </c>
      <c r="R21">
        <f>F77</f>
        <v/>
      </c>
      <c r="S21">
        <f>IF(ISNUMBER(F77),F74,"")</f>
        <v/>
      </c>
      <c r="T21">
        <f>F78</f>
        <v/>
      </c>
      <c r="U21">
        <f>""</f>
        <v/>
      </c>
      <c r="V21">
        <f>F79</f>
        <v/>
      </c>
    </row>
    <row r="22">
      <c r="A22" s="7" t="inlineStr">
        <is>
          <t>fix4</t>
        </is>
      </c>
      <c r="B22" s="7" t="inlineStr">
        <is>
          <t>fix 4,0 mmol/L (OBLA)</t>
        </is>
      </c>
      <c r="C22">
        <f>C83</f>
        <v/>
      </c>
      <c r="D22">
        <f>IF(ISNUMBER(C83),C80,"")</f>
        <v/>
      </c>
      <c r="E22">
        <f>C84</f>
        <v/>
      </c>
      <c r="F22">
        <f>""</f>
        <v/>
      </c>
      <c r="G22">
        <f>C85</f>
        <v/>
      </c>
      <c r="H22">
        <f>D83</f>
        <v/>
      </c>
      <c r="I22">
        <f>IF(ISNUMBER(D83),D80,"")</f>
        <v/>
      </c>
      <c r="J22">
        <f>D84</f>
        <v/>
      </c>
      <c r="K22">
        <f>""</f>
        <v/>
      </c>
      <c r="L22">
        <f>D85</f>
        <v/>
      </c>
      <c r="M22">
        <f>E83</f>
        <v/>
      </c>
      <c r="N22">
        <f>IF(ISNUMBER(E83),E80,"")</f>
        <v/>
      </c>
      <c r="O22">
        <f>E84</f>
        <v/>
      </c>
      <c r="P22">
        <f>""</f>
        <v/>
      </c>
      <c r="Q22">
        <f>E85</f>
        <v/>
      </c>
      <c r="R22">
        <f>F83</f>
        <v/>
      </c>
      <c r="S22">
        <f>IF(ISNUMBER(F83),F80,"")</f>
        <v/>
      </c>
      <c r="T22">
        <f>F84</f>
        <v/>
      </c>
      <c r="U22">
        <f>""</f>
        <v/>
      </c>
      <c r="V22">
        <f>F85</f>
        <v/>
      </c>
    </row>
    <row r="23">
      <c r="A23" s="7" t="inlineStr">
        <is>
          <t>baldari</t>
        </is>
      </c>
      <c r="B23" s="7" t="inlineStr">
        <is>
          <t>Baldari-Guidetti</t>
        </is>
      </c>
      <c r="C23">
        <f>IF(k_bdk&gt;0,INDEX(Calc!$G$3:$G$22,k_bdk),"")</f>
        <v/>
      </c>
      <c r="D23">
        <f>IF(k_bdk&gt;0,INDEX(Calc!$I$3:$I$22,k_bdk),"")</f>
        <v/>
      </c>
      <c r="E23">
        <f>IF(k_bdk&gt;0,"","keine zwei aufeinanderfolgenden Anstiege ≥ 0,5")</f>
        <v/>
      </c>
      <c r="F23">
        <f>IF(k_bdk&gt;0,"diskret, Messwert der Stufe","")</f>
        <v/>
      </c>
      <c r="G23">
        <f>IF(k_bdk&gt;0,"abhängig von Stufenhöhe und Messrauschen","")</f>
        <v/>
      </c>
      <c r="H23">
        <f>IF(k_bdk&gt;0,INDEX(Calc!$G$3:$G$22,k_bdk),"")</f>
        <v/>
      </c>
      <c r="I23">
        <f>IF(k_bdk&gt;0,INDEX(Calc!$I$3:$I$22,k_bdk),"")</f>
        <v/>
      </c>
      <c r="J23">
        <f>IF(k_bdk&gt;0,"","keine zwei aufeinanderfolgenden Anstiege ≥ 0,5")</f>
        <v/>
      </c>
      <c r="K23">
        <f>IF(k_bdk&gt;0,"diskret, Messwert der Stufe","")</f>
        <v/>
      </c>
      <c r="L23">
        <f>IF(k_bdk&gt;0,"abhängig von Stufenhöhe und Messrauschen","")</f>
        <v/>
      </c>
      <c r="M23">
        <f>IF(k_bdk&gt;0,INDEX(Calc!$G$3:$G$22,k_bdk),"")</f>
        <v/>
      </c>
      <c r="N23">
        <f>IF(k_bdk&gt;0,INDEX(Calc!$I$3:$I$22,k_bdk),"")</f>
        <v/>
      </c>
      <c r="O23">
        <f>IF(k_bdk&gt;0,"","keine zwei aufeinanderfolgenden Anstiege ≥ 0,5")</f>
        <v/>
      </c>
      <c r="P23">
        <f>IF(k_bdk&gt;0,"diskret, Messwert der Stufe","")</f>
        <v/>
      </c>
      <c r="Q23">
        <f>IF(k_bdk&gt;0,"abhängig von Stufenhöhe und Messrauschen","")</f>
        <v/>
      </c>
      <c r="R23">
        <f>IF(k_bdk&gt;0,INDEX(Calc!$G$3:$G$22,k_bdk),"")</f>
        <v/>
      </c>
      <c r="S23">
        <f>IF(k_bdk&gt;0,INDEX(Calc!$I$3:$I$22,k_bdk),"")</f>
        <v/>
      </c>
      <c r="T23">
        <f>IF(k_bdk&gt;0,"","keine zwei aufeinanderfolgenden Anstiege ≥ 0,5")</f>
        <v/>
      </c>
      <c r="U23">
        <f>IF(k_bdk&gt;0,"diskret, Messwert der Stufe","")</f>
        <v/>
      </c>
      <c r="V23">
        <f>IF(k_bdk&gt;0,"abhängig von Stufenhöhe und Messrauschen","")</f>
        <v/>
      </c>
    </row>
    <row r="24">
      <c r="A24" s="7" t="inlineStr">
        <is>
          <t>keul</t>
        </is>
      </c>
      <c r="B24" s="7" t="inlineStr">
        <is>
          <t>Keul (Tangente 51°)</t>
        </is>
      </c>
      <c r="C24">
        <f>IF(k_run,C135,"")</f>
        <v/>
      </c>
      <c r="D24">
        <f>IF(k_run,C136,"")</f>
        <v/>
      </c>
      <c r="E24">
        <f>IF(NOT(C$30),"Modell nicht anpassbar",IF(NOT(k_run),"nur für km/h definiert",IF(ISNUMBER(C135),"","Steigung 1,23 nicht erreicht")))</f>
        <v/>
      </c>
      <c r="F24">
        <f>""</f>
        <v/>
      </c>
      <c r="G24">
        <f>IF(AND(k_run,ISNUMBER(C135)),"einheiten- und skalierungsabhängig","")</f>
        <v/>
      </c>
      <c r="H24">
        <f>IF(k_run,D135,"")</f>
        <v/>
      </c>
      <c r="I24">
        <f>IF(k_run,D136,"")</f>
        <v/>
      </c>
      <c r="J24">
        <f>IF(NOT(D$30),"Modell nicht anpassbar",IF(NOT(k_run),"nur für km/h definiert",IF(ISNUMBER(D135),"","Steigung 1,23 nicht erreicht")))</f>
        <v/>
      </c>
      <c r="K24">
        <f>""</f>
        <v/>
      </c>
      <c r="L24">
        <f>IF(AND(k_run,ISNUMBER(D135)),"einheiten- und skalierungsabhängig","")</f>
        <v/>
      </c>
      <c r="M24">
        <f>IF(k_run,E135,"")</f>
        <v/>
      </c>
      <c r="N24">
        <f>IF(k_run,E136,"")</f>
        <v/>
      </c>
      <c r="O24">
        <f>IF(NOT(E$30),"Modell nicht anpassbar",IF(NOT(k_run),"nur für km/h definiert",IF(ISNUMBER(E135),"","Steigung 1,23 nicht erreicht")))</f>
        <v/>
      </c>
      <c r="P24">
        <f>""</f>
        <v/>
      </c>
      <c r="Q24">
        <f>IF(AND(k_run,ISNUMBER(E135)),"einheiten- und skalierungsabhängig","")</f>
        <v/>
      </c>
      <c r="R24">
        <f>IF(k_run,F135,"")</f>
        <v/>
      </c>
      <c r="S24">
        <f>IF(k_run,F136,"")</f>
        <v/>
      </c>
      <c r="T24">
        <f>IF(NOT(F$30),"Modell nicht anpassbar",IF(NOT(k_run),"nur für km/h definiert",IF(ISNUMBER(F135),"","Steigung 1,23 nicht erreicht")))</f>
        <v/>
      </c>
      <c r="U24">
        <f>""</f>
        <v/>
      </c>
      <c r="V24">
        <f>IF(AND(k_run,ISNUMBER(F135)),"einheiten- und skalierungsabhängig","")</f>
        <v/>
      </c>
    </row>
    <row r="25">
      <c r="A25" s="7" t="inlineStr">
        <is>
          <t>lmin</t>
        </is>
      </c>
      <c r="B25" s="7" t="inlineStr">
        <is>
          <t>Laktatminimum (Tegtbur)</t>
        </is>
      </c>
      <c r="C25">
        <f>C138</f>
        <v/>
      </c>
      <c r="D25">
        <f>C139</f>
        <v/>
      </c>
      <c r="E25">
        <f>IF(NOT(C$30),"Modell nicht anpassbar",IF(ISNUMBER(C138),"","kein inneres Minimum (kein LMT-Protokoll)"))</f>
        <v/>
      </c>
      <c r="F25">
        <f>""</f>
        <v/>
      </c>
      <c r="G25">
        <f>IF(ISNUMBER(C138),"nur nach Vorbelastung interpretierbar","")</f>
        <v/>
      </c>
      <c r="H25">
        <f>D138</f>
        <v/>
      </c>
      <c r="I25">
        <f>D139</f>
        <v/>
      </c>
      <c r="J25">
        <f>IF(NOT(D$30),"Modell nicht anpassbar",IF(ISNUMBER(D138),"","kein inneres Minimum (kein LMT-Protokoll)"))</f>
        <v/>
      </c>
      <c r="K25">
        <f>""</f>
        <v/>
      </c>
      <c r="L25">
        <f>IF(ISNUMBER(D138),"nur nach Vorbelastung interpretierbar","")</f>
        <v/>
      </c>
      <c r="M25">
        <f>E138</f>
        <v/>
      </c>
      <c r="N25">
        <f>E139</f>
        <v/>
      </c>
      <c r="O25">
        <f>IF(NOT(E$30),"Modell nicht anpassbar",IF(ISNUMBER(E138),"","kein inneres Minimum (kein LMT-Protokoll)"))</f>
        <v/>
      </c>
      <c r="P25">
        <f>""</f>
        <v/>
      </c>
      <c r="Q25">
        <f>IF(ISNUMBER(E138),"nur nach Vorbelastung interpretierbar","")</f>
        <v/>
      </c>
      <c r="R25">
        <f>F138</f>
        <v/>
      </c>
      <c r="S25">
        <f>F139</f>
        <v/>
      </c>
      <c r="T25">
        <f>IF(NOT(F$30),"Modell nicht anpassbar",IF(ISNUMBER(F138),"","kein inneres Minimum (kein LMT-Protokoll)"))</f>
        <v/>
      </c>
      <c r="U25">
        <f>""</f>
        <v/>
      </c>
      <c r="V25">
        <f>IF(ISNUMBER(F138),"nur nach Vorbelastung interpretierbar","")</f>
        <v/>
      </c>
    </row>
    <row r="29">
      <c r="A29" s="57" t="inlineStr">
        <is>
          <t>Hilfsgrößen je Modell</t>
        </is>
      </c>
      <c r="C29" s="57" t="inlineStr">
        <is>
          <t>Polynom 2. Grades</t>
        </is>
      </c>
      <c r="D29" s="57" t="inlineStr">
        <is>
          <t>Polynom 3. Grades</t>
        </is>
      </c>
      <c r="E29" s="57" t="inlineStr">
        <is>
          <t>Polynom 4. Grades</t>
        </is>
      </c>
      <c r="F29" s="57" t="inlineStr">
        <is>
          <t>Exponentiell</t>
        </is>
      </c>
    </row>
    <row r="30">
      <c r="A30" s="7" t="inlineStr">
        <is>
          <t>Modell verfügbar</t>
        </is>
      </c>
      <c r="C30">
        <f>k_p2ok</f>
        <v/>
      </c>
      <c r="D30">
        <f>k_p3ok</f>
        <v/>
      </c>
      <c r="E30">
        <f>k_p4ok</f>
        <v/>
      </c>
      <c r="F30">
        <f>k_eok</f>
        <v/>
      </c>
    </row>
    <row r="31">
      <c r="A31" s="7" t="inlineStr">
        <is>
          <t>f(erste Stufe)</t>
        </is>
      </c>
      <c r="C31">
        <f>Grid!$D$2</f>
        <v/>
      </c>
      <c r="D31">
        <f>Grid!$E$2</f>
        <v/>
      </c>
      <c r="E31">
        <f>Grid!$F$2</f>
        <v/>
      </c>
      <c r="F31">
        <f>Grid!$G$2</f>
        <v/>
      </c>
    </row>
    <row r="32">
      <c r="A32" s="7" t="inlineStr">
        <is>
          <t>f(letzte Stufe)</t>
        </is>
      </c>
      <c r="C32">
        <f>Grid!$D$1002</f>
        <v/>
      </c>
      <c r="D32">
        <f>Grid!$E$1002</f>
        <v/>
      </c>
      <c r="E32">
        <f>Grid!$F$1002</f>
        <v/>
      </c>
      <c r="F32">
        <f>Grid!$G$1002</f>
        <v/>
      </c>
    </row>
    <row r="33">
      <c r="A33" s="7" t="inlineStr">
        <is>
          <t>LEmin: Minimum</t>
        </is>
      </c>
      <c r="C33">
        <f>MIN(Grid!$M$2:$M$1002)</f>
        <v/>
      </c>
      <c r="D33">
        <f>MIN(Grid!$N$2:$N$1002)</f>
        <v/>
      </c>
      <c r="E33">
        <f>MIN(Grid!$O$2:$O$1002)</f>
        <v/>
      </c>
      <c r="F33">
        <f>MIN(Grid!$P$2:$P$1002)</f>
        <v/>
      </c>
    </row>
    <row r="34">
      <c r="A34" s="7" t="inlineStr">
        <is>
          <t>LEmin: Index</t>
        </is>
      </c>
      <c r="C34">
        <f>MATCH(C33,Grid!$M$2:$M$1002,0)</f>
        <v/>
      </c>
      <c r="D34">
        <f>MATCH(D33,Grid!$N$2:$N$1002,0)</f>
        <v/>
      </c>
      <c r="E34">
        <f>MATCH(E33,Grid!$O$2:$O$1002,0)</f>
        <v/>
      </c>
      <c r="F34">
        <f>MATCH(F33,Grid!$P$2:$P$1002,0)</f>
        <v/>
      </c>
    </row>
    <row r="35">
      <c r="A35" s="7" t="inlineStr">
        <is>
          <t>LEmin: x</t>
        </is>
      </c>
      <c r="C35">
        <f>IF(NOT(C$30),"",INDEX(Grid!$B$2:$B$1002,C34)+IF(AND(C34&gt;1,C34&lt;1001),IF((INDEX(Grid!$M$2:$M$1002,C34-1)-2*INDEX(Grid!$M$2:$M$1002,C34)+INDEX(Grid!$M$2:$M$1002,C34+1))&gt;0,0.5*(INDEX(Grid!$M$2:$M$1002,C34-1)-INDEX(Grid!$M$2:$M$1002,C34+1))/(INDEX(Grid!$M$2:$M$1002,C34-1)-2*INDEX(Grid!$M$2:$M$1002,C34)+INDEX(Grid!$M$2:$M$1002,C34+1)),0),0)*k_rng/1000)</f>
        <v/>
      </c>
      <c r="D35">
        <f>IF(NOT(D$30),"",INDEX(Grid!$B$2:$B$1002,D34)+IF(AND(D34&gt;1,D34&lt;1001),IF((INDEX(Grid!$N$2:$N$1002,D34-1)-2*INDEX(Grid!$N$2:$N$1002,D34)+INDEX(Grid!$N$2:$N$1002,D34+1))&gt;0,0.5*(INDEX(Grid!$N$2:$N$1002,D34-1)-INDEX(Grid!$N$2:$N$1002,D34+1))/(INDEX(Grid!$N$2:$N$1002,D34-1)-2*INDEX(Grid!$N$2:$N$1002,D34)+INDEX(Grid!$N$2:$N$1002,D34+1)),0),0)*k_rng/1000)</f>
        <v/>
      </c>
      <c r="E35">
        <f>IF(NOT(E$30),"",INDEX(Grid!$B$2:$B$1002,E34)+IF(AND(E34&gt;1,E34&lt;1001),IF((INDEX(Grid!$O$2:$O$1002,E34-1)-2*INDEX(Grid!$O$2:$O$1002,E34)+INDEX(Grid!$O$2:$O$1002,E34+1))&gt;0,0.5*(INDEX(Grid!$O$2:$O$1002,E34-1)-INDEX(Grid!$O$2:$O$1002,E34+1))/(INDEX(Grid!$O$2:$O$1002,E34-1)-2*INDEX(Grid!$O$2:$O$1002,E34)+INDEX(Grid!$O$2:$O$1002,E34+1)),0),0)*k_rng/1000)</f>
        <v/>
      </c>
      <c r="F35">
        <f>IF(NOT(F$30),"",INDEX(Grid!$B$2:$B$1002,F34)+IF(AND(F34&gt;1,F34&lt;1001),IF((INDEX(Grid!$P$2:$P$1002,F34-1)-2*INDEX(Grid!$P$2:$P$1002,F34)+INDEX(Grid!$P$2:$P$1002,F34+1))&gt;0,0.5*(INDEX(Grid!$P$2:$P$1002,F34-1)-INDEX(Grid!$P$2:$P$1002,F34+1))/(INDEX(Grid!$P$2:$P$1002,F34-1)-2*INDEX(Grid!$P$2:$P$1002,F34)+INDEX(Grid!$P$2:$P$1002,F34+1)),0),0)*k_rng/1000)</f>
        <v/>
      </c>
    </row>
    <row r="36">
      <c r="A36" s="7" t="inlineStr">
        <is>
          <t>LEmin: La</t>
        </is>
      </c>
      <c r="C36">
        <f>IF(ISNUMBER(C35),(k_p2_0+((C35)-k_mx)/k_sx*(k_p2_1+((C35)-k_mx)/k_sx*k_p2_2)),"")</f>
        <v/>
      </c>
      <c r="D36">
        <f>IF(ISNUMBER(D35),(k_p3_0+((D35)-k_mx)/k_sx*(k_p3_1+((D35)-k_mx)/k_sx*(k_p3_2+((D35)-k_mx)/k_sx*k_p3_3))),"")</f>
        <v/>
      </c>
      <c r="E36">
        <f>IF(ISNUMBER(E35),(k_p4_0+((E35)-k_mx)/k_sx*(k_p4_1+((E35)-k_mx)/k_sx*(k_p4_2+((E35)-k_mx)/k_sx*(k_p4_3+((E35)-k_mx)/k_sx*k_p4_4)))),"")</f>
        <v/>
      </c>
      <c r="F36">
        <f>IF(ISNUMBER(F35),(k_ea+k_eb*EXP(k_ec*((F35)-k_mx)/k_sx)),"")</f>
        <v/>
      </c>
    </row>
    <row r="37">
      <c r="A37" s="7" t="inlineStr">
        <is>
          <t>LEmin: am Rand</t>
        </is>
      </c>
      <c r="C37">
        <f>IF(ISNUMBER(C35),OR(C35-k_lo&lt;k_rng*0.02,k_hi-C35&lt;k_rng*0.02),FALSE)</f>
        <v/>
      </c>
      <c r="D37">
        <f>IF(ISNUMBER(D35),OR(D35-k_lo&lt;k_rng*0.02,k_hi-D35&lt;k_rng*0.02),FALSE)</f>
        <v/>
      </c>
      <c r="E37">
        <f>IF(ISNUMBER(E35),OR(E35-k_lo&lt;k_rng*0.02,k_hi-E35&lt;k_rng*0.02),FALSE)</f>
        <v/>
      </c>
      <c r="F37">
        <f>IF(ISNUMBER(F35),OR(F35-k_lo&lt;k_rng*0.02,k_hi-F35&lt;k_rng*0.02),FALSE)</f>
        <v/>
      </c>
    </row>
    <row r="38">
      <c r="A38" s="7" t="inlineStr">
        <is>
          <t>Baseline+0,5: L</t>
        </is>
      </c>
      <c r="C38">
        <f>k_base+0.5</f>
        <v/>
      </c>
      <c r="D38">
        <f>k_base+0.5</f>
        <v/>
      </c>
      <c r="E38">
        <f>k_base+0.5</f>
        <v/>
      </c>
      <c r="F38">
        <f>k_base+0.5</f>
        <v/>
      </c>
    </row>
    <row r="39">
      <c r="A39" s="7" t="inlineStr">
        <is>
          <t>Baseline+0,5: Anzahl</t>
        </is>
      </c>
      <c r="C39">
        <f>SUMPRODUCT((Grid!$D$2:$D$1001&lt;C38)*(Grid!$D$3:$D$1002&gt;=C38))</f>
        <v/>
      </c>
      <c r="D39">
        <f>SUMPRODUCT((Grid!$E$2:$E$1001&lt;D38)*(Grid!$E$3:$E$1002&gt;=D38))</f>
        <v/>
      </c>
      <c r="E39">
        <f>SUMPRODUCT((Grid!$F$2:$F$1001&lt;E38)*(Grid!$F$3:$F$1002&gt;=E38))</f>
        <v/>
      </c>
      <c r="F39">
        <f>SUMPRODUCT((Grid!$G$2:$G$1001&lt;F38)*(Grid!$G$3:$G$1002&gt;=F38))</f>
        <v/>
      </c>
    </row>
    <row r="40">
      <c r="A40" s="7" t="inlineStr">
        <is>
          <t>Baseline+0,5: Index</t>
        </is>
      </c>
      <c r="C40" s="7">
        <f t="array" ref="C40">IF(C39&gt;0,MATCH(1,(Grid!$D$2:$D$1001&lt;C38)*(Grid!$D$3:$D$1002&gt;=C38),0),0)</f>
        <v/>
      </c>
      <c r="D40" s="7">
        <f t="array" ref="D40">IF(D39&gt;0,MATCH(1,(Grid!$E$2:$E$1001&lt;D38)*(Grid!$E$3:$E$1002&gt;=D38),0),0)</f>
        <v/>
      </c>
      <c r="E40" s="7">
        <f t="array" ref="E40">IF(E39&gt;0,MATCH(1,(Grid!$F$2:$F$1001&lt;E38)*(Grid!$F$3:$F$1002&gt;=E38),0),0)</f>
        <v/>
      </c>
      <c r="F40" s="7">
        <f t="array" ref="F40">IF(F39&gt;0,MATCH(1,(Grid!$G$2:$G$1001&lt;F38)*(Grid!$G$3:$G$1002&gt;=F38),0),0)</f>
        <v/>
      </c>
    </row>
    <row r="41">
      <c r="A41" s="7" t="inlineStr">
        <is>
          <t>Baseline+0,5: x</t>
        </is>
      </c>
      <c r="C41">
        <f>IF(NOT(C$30),"",IF(C38=Grid!$D$2,k_lo,IF(C40&gt;0,INDEX(Grid!$B$2:$B$1002,C40)+(C38-INDEX(Grid!$D$2:$D$1002,C40))/(INDEX(Grid!$D$2:$D$1002,C40+1)-INDEX(Grid!$D$2:$D$1002,C40))*(INDEX(Grid!$B$2:$B$1002,C40+1)-INDEX(Grid!$B$2:$B$1002,C40)),"")))</f>
        <v/>
      </c>
      <c r="D41">
        <f>IF(NOT(D$30),"",IF(D38=Grid!$E$2,k_lo,IF(D40&gt;0,INDEX(Grid!$B$2:$B$1002,D40)+(D38-INDEX(Grid!$E$2:$E$1002,D40))/(INDEX(Grid!$E$2:$E$1002,D40+1)-INDEX(Grid!$E$2:$E$1002,D40))*(INDEX(Grid!$B$2:$B$1002,D40+1)-INDEX(Grid!$B$2:$B$1002,D40)),"")))</f>
        <v/>
      </c>
      <c r="E41">
        <f>IF(NOT(E$30),"",IF(E38=Grid!$F$2,k_lo,IF(E40&gt;0,INDEX(Grid!$B$2:$B$1002,E40)+(E38-INDEX(Grid!$F$2:$F$1002,E40))/(INDEX(Grid!$F$2:$F$1002,E40+1)-INDEX(Grid!$F$2:$F$1002,E40))*(INDEX(Grid!$B$2:$B$1002,E40+1)-INDEX(Grid!$B$2:$B$1002,E40)),"")))</f>
        <v/>
      </c>
      <c r="F41">
        <f>IF(NOT(F$30),"",IF(F38=Grid!$G$2,k_lo,IF(F40&gt;0,INDEX(Grid!$B$2:$B$1002,F40)+(F38-INDEX(Grid!$G$2:$G$1002,F40))/(INDEX(Grid!$G$2:$G$1002,F40+1)-INDEX(Grid!$G$2:$G$1002,F40))*(INDEX(Grid!$B$2:$B$1002,F40+1)-INDEX(Grid!$B$2:$B$1002,F40)),"")))</f>
        <v/>
      </c>
    </row>
    <row r="42">
      <c r="A42" s="7" t="inlineStr">
        <is>
          <t>Baseline+0,5: Fehler</t>
        </is>
      </c>
      <c r="C42">
        <f>IF(NOT(C$30),"Modell nicht anpassbar",IF(C38&lt;C$31,FIXED(C38,2,TRUE)&amp;" mmol/L liegt unter der ersten Stufe",IF(C38&gt;C$32,FIXED(C38,2,TRUE)&amp;" mmol/L wird im Test nicht erreicht",IF(ISNUMBER(C41),"","keine steigende Lösung"))))</f>
        <v/>
      </c>
      <c r="D42">
        <f>IF(NOT(D$30),"Modell nicht anpassbar",IF(D38&lt;D$31,FIXED(D38,2,TRUE)&amp;" mmol/L liegt unter der ersten Stufe",IF(D38&gt;D$32,FIXED(D38,2,TRUE)&amp;" mmol/L wird im Test nicht erreicht",IF(ISNUMBER(D41),"","keine steigende Lösung"))))</f>
        <v/>
      </c>
      <c r="E42">
        <f>IF(NOT(E$30),"Modell nicht anpassbar",IF(E38&lt;E$31,FIXED(E38,2,TRUE)&amp;" mmol/L liegt unter der ersten Stufe",IF(E38&gt;E$32,FIXED(E38,2,TRUE)&amp;" mmol/L wird im Test nicht erreicht",IF(ISNUMBER(E41),"","keine steigende Lösung"))))</f>
        <v/>
      </c>
      <c r="F42">
        <f>IF(NOT(F$30),"Modell nicht anpassbar",IF(F38&lt;F$31,FIXED(F38,2,TRUE)&amp;" mmol/L liegt unter der ersten Stufe",IF(F38&gt;F$32,FIXED(F38,2,TRUE)&amp;" mmol/L wird im Test nicht erreicht",IF(ISNUMBER(F41),"","keine steigende Lösung"))))</f>
        <v/>
      </c>
    </row>
    <row r="43">
      <c r="A43" s="7" t="inlineStr">
        <is>
          <t>Baseline+0,5: Warnung</t>
        </is>
      </c>
      <c r="C43">
        <f>IF(AND(ISNUMBER(C41),C39&gt;1),"mehrere Lösungen, Fit nicht monoton","")</f>
        <v/>
      </c>
      <c r="D43">
        <f>IF(AND(ISNUMBER(D41),D39&gt;1),"mehrere Lösungen, Fit nicht monoton","")</f>
        <v/>
      </c>
      <c r="E43">
        <f>IF(AND(ISNUMBER(E41),E39&gt;1),"mehrere Lösungen, Fit nicht monoton","")</f>
        <v/>
      </c>
      <c r="F43">
        <f>IF(AND(ISNUMBER(F41),F39&gt;1),"mehrere Lösungen, Fit nicht monoton","")</f>
        <v/>
      </c>
    </row>
    <row r="44">
      <c r="A44" s="7" t="inlineStr">
        <is>
          <t>fix 2: L</t>
        </is>
      </c>
      <c r="C44">
        <f>2</f>
        <v/>
      </c>
      <c r="D44">
        <f>2</f>
        <v/>
      </c>
      <c r="E44">
        <f>2</f>
        <v/>
      </c>
      <c r="F44">
        <f>2</f>
        <v/>
      </c>
    </row>
    <row r="45">
      <c r="A45" s="7" t="inlineStr">
        <is>
          <t>fix 2: Anzahl</t>
        </is>
      </c>
      <c r="C45">
        <f>SUMPRODUCT((Grid!$D$2:$D$1001&lt;C44)*(Grid!$D$3:$D$1002&gt;=C44))</f>
        <v/>
      </c>
      <c r="D45">
        <f>SUMPRODUCT((Grid!$E$2:$E$1001&lt;D44)*(Grid!$E$3:$E$1002&gt;=D44))</f>
        <v/>
      </c>
      <c r="E45">
        <f>SUMPRODUCT((Grid!$F$2:$F$1001&lt;E44)*(Grid!$F$3:$F$1002&gt;=E44))</f>
        <v/>
      </c>
      <c r="F45">
        <f>SUMPRODUCT((Grid!$G$2:$G$1001&lt;F44)*(Grid!$G$3:$G$1002&gt;=F44))</f>
        <v/>
      </c>
    </row>
    <row r="46">
      <c r="A46" s="7" t="inlineStr">
        <is>
          <t>fix 2: Index</t>
        </is>
      </c>
      <c r="C46" s="7">
        <f t="array" ref="C46">IF(C45&gt;0,MATCH(1,(Grid!$D$2:$D$1001&lt;C44)*(Grid!$D$3:$D$1002&gt;=C44),0),0)</f>
        <v/>
      </c>
      <c r="D46" s="7">
        <f t="array" ref="D46">IF(D45&gt;0,MATCH(1,(Grid!$E$2:$E$1001&lt;D44)*(Grid!$E$3:$E$1002&gt;=D44),0),0)</f>
        <v/>
      </c>
      <c r="E46" s="7">
        <f t="array" ref="E46">IF(E45&gt;0,MATCH(1,(Grid!$F$2:$F$1001&lt;E44)*(Grid!$F$3:$F$1002&gt;=E44),0),0)</f>
        <v/>
      </c>
      <c r="F46" s="7">
        <f t="array" ref="F46">IF(F45&gt;0,MATCH(1,(Grid!$G$2:$G$1001&lt;F44)*(Grid!$G$3:$G$1002&gt;=F44),0),0)</f>
        <v/>
      </c>
    </row>
    <row r="47">
      <c r="A47" s="7" t="inlineStr">
        <is>
          <t>fix 2: x</t>
        </is>
      </c>
      <c r="C47">
        <f>IF(NOT(C$30),"",IF(C44=Grid!$D$2,k_lo,IF(C46&gt;0,INDEX(Grid!$B$2:$B$1002,C46)+(C44-INDEX(Grid!$D$2:$D$1002,C46))/(INDEX(Grid!$D$2:$D$1002,C46+1)-INDEX(Grid!$D$2:$D$1002,C46))*(INDEX(Grid!$B$2:$B$1002,C46+1)-INDEX(Grid!$B$2:$B$1002,C46)),"")))</f>
        <v/>
      </c>
      <c r="D47">
        <f>IF(NOT(D$30),"",IF(D44=Grid!$E$2,k_lo,IF(D46&gt;0,INDEX(Grid!$B$2:$B$1002,D46)+(D44-INDEX(Grid!$E$2:$E$1002,D46))/(INDEX(Grid!$E$2:$E$1002,D46+1)-INDEX(Grid!$E$2:$E$1002,D46))*(INDEX(Grid!$B$2:$B$1002,D46+1)-INDEX(Grid!$B$2:$B$1002,D46)),"")))</f>
        <v/>
      </c>
      <c r="E47">
        <f>IF(NOT(E$30),"",IF(E44=Grid!$F$2,k_lo,IF(E46&gt;0,INDEX(Grid!$B$2:$B$1002,E46)+(E44-INDEX(Grid!$F$2:$F$1002,E46))/(INDEX(Grid!$F$2:$F$1002,E46+1)-INDEX(Grid!$F$2:$F$1002,E46))*(INDEX(Grid!$B$2:$B$1002,E46+1)-INDEX(Grid!$B$2:$B$1002,E46)),"")))</f>
        <v/>
      </c>
      <c r="F47">
        <f>IF(NOT(F$30),"",IF(F44=Grid!$G$2,k_lo,IF(F46&gt;0,INDEX(Grid!$B$2:$B$1002,F46)+(F44-INDEX(Grid!$G$2:$G$1002,F46))/(INDEX(Grid!$G$2:$G$1002,F46+1)-INDEX(Grid!$G$2:$G$1002,F46))*(INDEX(Grid!$B$2:$B$1002,F46+1)-INDEX(Grid!$B$2:$B$1002,F46)),"")))</f>
        <v/>
      </c>
    </row>
    <row r="48">
      <c r="A48" s="7" t="inlineStr">
        <is>
          <t>fix 2: Fehler</t>
        </is>
      </c>
      <c r="C48">
        <f>IF(NOT(C$30),"Modell nicht anpassbar",IF(C44&lt;C$31,FIXED(C44,2,TRUE)&amp;" mmol/L liegt unter der ersten Stufe",IF(C44&gt;C$32,FIXED(C44,2,TRUE)&amp;" mmol/L wird im Test nicht erreicht",IF(ISNUMBER(C47),"","keine steigende Lösung"))))</f>
        <v/>
      </c>
      <c r="D48">
        <f>IF(NOT(D$30),"Modell nicht anpassbar",IF(D44&lt;D$31,FIXED(D44,2,TRUE)&amp;" mmol/L liegt unter der ersten Stufe",IF(D44&gt;D$32,FIXED(D44,2,TRUE)&amp;" mmol/L wird im Test nicht erreicht",IF(ISNUMBER(D47),"","keine steigende Lösung"))))</f>
        <v/>
      </c>
      <c r="E48">
        <f>IF(NOT(E$30),"Modell nicht anpassbar",IF(E44&lt;E$31,FIXED(E44,2,TRUE)&amp;" mmol/L liegt unter der ersten Stufe",IF(E44&gt;E$32,FIXED(E44,2,TRUE)&amp;" mmol/L wird im Test nicht erreicht",IF(ISNUMBER(E47),"","keine steigende Lösung"))))</f>
        <v/>
      </c>
      <c r="F48">
        <f>IF(NOT(F$30),"Modell nicht anpassbar",IF(F44&lt;F$31,FIXED(F44,2,TRUE)&amp;" mmol/L liegt unter der ersten Stufe",IF(F44&gt;F$32,FIXED(F44,2,TRUE)&amp;" mmol/L wird im Test nicht erreicht",IF(ISNUMBER(F47),"","keine steigende Lösung"))))</f>
        <v/>
      </c>
    </row>
    <row r="49">
      <c r="A49" s="7" t="inlineStr">
        <is>
          <t>fix 2: Warnung</t>
        </is>
      </c>
      <c r="C49">
        <f>IF(AND(ISNUMBER(C47),C45&gt;1),"mehrere Lösungen, Fit nicht monoton","")</f>
        <v/>
      </c>
      <c r="D49">
        <f>IF(AND(ISNUMBER(D47),D45&gt;1),"mehrere Lösungen, Fit nicht monoton","")</f>
        <v/>
      </c>
      <c r="E49">
        <f>IF(AND(ISNUMBER(E47),E45&gt;1),"mehrere Lösungen, Fit nicht monoton","")</f>
        <v/>
      </c>
      <c r="F49">
        <f>IF(AND(ISNUMBER(F47),F45&gt;1),"mehrere Lösungen, Fit nicht monoton","")</f>
        <v/>
      </c>
    </row>
    <row r="50">
      <c r="A50" s="7" t="inlineStr">
        <is>
          <t>Dickhuth: L</t>
        </is>
      </c>
      <c r="C50">
        <f>IF(ISNUMBER(C$36),C$36+1.5,1E+300)</f>
        <v/>
      </c>
      <c r="D50">
        <f>IF(ISNUMBER(D$36),D$36+1.5,1E+300)</f>
        <v/>
      </c>
      <c r="E50">
        <f>IF(ISNUMBER(E$36),E$36+1.5,1E+300)</f>
        <v/>
      </c>
      <c r="F50">
        <f>IF(ISNUMBER(F$36),F$36+1.5,1E+300)</f>
        <v/>
      </c>
    </row>
    <row r="51">
      <c r="A51" s="7" t="inlineStr">
        <is>
          <t>Dickhuth: Anzahl</t>
        </is>
      </c>
      <c r="C51">
        <f>SUMPRODUCT((Grid!$D$2:$D$1001&lt;C50)*(Grid!$D$3:$D$1002&gt;=C50))</f>
        <v/>
      </c>
      <c r="D51">
        <f>SUMPRODUCT((Grid!$E$2:$E$1001&lt;D50)*(Grid!$E$3:$E$1002&gt;=D50))</f>
        <v/>
      </c>
      <c r="E51">
        <f>SUMPRODUCT((Grid!$F$2:$F$1001&lt;E50)*(Grid!$F$3:$F$1002&gt;=E50))</f>
        <v/>
      </c>
      <c r="F51">
        <f>SUMPRODUCT((Grid!$G$2:$G$1001&lt;F50)*(Grid!$G$3:$G$1002&gt;=F50))</f>
        <v/>
      </c>
    </row>
    <row r="52">
      <c r="A52" s="7" t="inlineStr">
        <is>
          <t>Dickhuth: Index</t>
        </is>
      </c>
      <c r="C52" s="7">
        <f t="array" ref="C52">IF(C51&gt;0,MATCH(1,(Grid!$D$2:$D$1001&lt;C50)*(Grid!$D$3:$D$1002&gt;=C50),0),0)</f>
        <v/>
      </c>
      <c r="D52" s="7">
        <f t="array" ref="D52">IF(D51&gt;0,MATCH(1,(Grid!$E$2:$E$1001&lt;D50)*(Grid!$E$3:$E$1002&gt;=D50),0),0)</f>
        <v/>
      </c>
      <c r="E52" s="7">
        <f t="array" ref="E52">IF(E51&gt;0,MATCH(1,(Grid!$F$2:$F$1001&lt;E50)*(Grid!$F$3:$F$1002&gt;=E50),0),0)</f>
        <v/>
      </c>
      <c r="F52" s="7">
        <f t="array" ref="F52">IF(F51&gt;0,MATCH(1,(Grid!$G$2:$G$1001&lt;F50)*(Grid!$G$3:$G$1002&gt;=F50),0),0)</f>
        <v/>
      </c>
    </row>
    <row r="53">
      <c r="A53" s="7" t="inlineStr">
        <is>
          <t>Dickhuth: x</t>
        </is>
      </c>
      <c r="C53">
        <f>IF(NOT(C$30),"",IF(C50=Grid!$D$2,k_lo,IF(C52&gt;0,INDEX(Grid!$B$2:$B$1002,C52)+(C50-INDEX(Grid!$D$2:$D$1002,C52))/(INDEX(Grid!$D$2:$D$1002,C52+1)-INDEX(Grid!$D$2:$D$1002,C52))*(INDEX(Grid!$B$2:$B$1002,C52+1)-INDEX(Grid!$B$2:$B$1002,C52)),"")))</f>
        <v/>
      </c>
      <c r="D53">
        <f>IF(NOT(D$30),"",IF(D50=Grid!$E$2,k_lo,IF(D52&gt;0,INDEX(Grid!$B$2:$B$1002,D52)+(D50-INDEX(Grid!$E$2:$E$1002,D52))/(INDEX(Grid!$E$2:$E$1002,D52+1)-INDEX(Grid!$E$2:$E$1002,D52))*(INDEX(Grid!$B$2:$B$1002,D52+1)-INDEX(Grid!$B$2:$B$1002,D52)),"")))</f>
        <v/>
      </c>
      <c r="E53">
        <f>IF(NOT(E$30),"",IF(E50=Grid!$F$2,k_lo,IF(E52&gt;0,INDEX(Grid!$B$2:$B$1002,E52)+(E50-INDEX(Grid!$F$2:$F$1002,E52))/(INDEX(Grid!$F$2:$F$1002,E52+1)-INDEX(Grid!$F$2:$F$1002,E52))*(INDEX(Grid!$B$2:$B$1002,E52+1)-INDEX(Grid!$B$2:$B$1002,E52)),"")))</f>
        <v/>
      </c>
      <c r="F53">
        <f>IF(NOT(F$30),"",IF(F50=Grid!$G$2,k_lo,IF(F52&gt;0,INDEX(Grid!$B$2:$B$1002,F52)+(F50-INDEX(Grid!$G$2:$G$1002,F52))/(INDEX(Grid!$G$2:$G$1002,F52+1)-INDEX(Grid!$G$2:$G$1002,F52))*(INDEX(Grid!$B$2:$B$1002,F52+1)-INDEX(Grid!$B$2:$B$1002,F52)),"")))</f>
        <v/>
      </c>
    </row>
    <row r="54">
      <c r="A54" s="7" t="inlineStr">
        <is>
          <t>Dickhuth: Fehler</t>
        </is>
      </c>
      <c r="C54">
        <f>IF(NOT(C$30),"Modell nicht anpassbar",IF(C50&lt;C$31,FIXED(C50,2,TRUE)&amp;" mmol/L liegt unter der ersten Stufe",IF(C50&gt;C$32,FIXED(C50,2,TRUE)&amp;" mmol/L wird im Test nicht erreicht",IF(ISNUMBER(C53),"","keine steigende Lösung"))))</f>
        <v/>
      </c>
      <c r="D54">
        <f>IF(NOT(D$30),"Modell nicht anpassbar",IF(D50&lt;D$31,FIXED(D50,2,TRUE)&amp;" mmol/L liegt unter der ersten Stufe",IF(D50&gt;D$32,FIXED(D50,2,TRUE)&amp;" mmol/L wird im Test nicht erreicht",IF(ISNUMBER(D53),"","keine steigende Lösung"))))</f>
        <v/>
      </c>
      <c r="E54">
        <f>IF(NOT(E$30),"Modell nicht anpassbar",IF(E50&lt;E$31,FIXED(E50,2,TRUE)&amp;" mmol/L liegt unter der ersten Stufe",IF(E50&gt;E$32,FIXED(E50,2,TRUE)&amp;" mmol/L wird im Test nicht erreicht",IF(ISNUMBER(E53),"","keine steigende Lösung"))))</f>
        <v/>
      </c>
      <c r="F54">
        <f>IF(NOT(F$30),"Modell nicht anpassbar",IF(F50&lt;F$31,FIXED(F50,2,TRUE)&amp;" mmol/L liegt unter der ersten Stufe",IF(F50&gt;F$32,FIXED(F50,2,TRUE)&amp;" mmol/L wird im Test nicht erreicht",IF(ISNUMBER(F53),"","keine steigende Lösung"))))</f>
        <v/>
      </c>
    </row>
    <row r="55">
      <c r="A55" s="7" t="inlineStr">
        <is>
          <t>Dickhuth: Warnung</t>
        </is>
      </c>
      <c r="C55">
        <f>IF(AND(ISNUMBER(C53),C51&gt;1),"mehrere Lösungen, Fit nicht monoton","")</f>
        <v/>
      </c>
      <c r="D55">
        <f>IF(AND(ISNUMBER(D53),D51&gt;1),"mehrere Lösungen, Fit nicht monoton","")</f>
        <v/>
      </c>
      <c r="E55">
        <f>IF(AND(ISNUMBER(E53),E51&gt;1),"mehrere Lösungen, Fit nicht monoton","")</f>
        <v/>
      </c>
      <c r="F55">
        <f>IF(AND(ISNUMBER(F53),F51&gt;1),"mehrere Lösungen, Fit nicht monoton","")</f>
        <v/>
      </c>
    </row>
    <row r="56">
      <c r="A56" s="7" t="inlineStr">
        <is>
          <t>Baseline+1,0: L</t>
        </is>
      </c>
      <c r="C56">
        <f>k_base+1</f>
        <v/>
      </c>
      <c r="D56">
        <f>k_base+1</f>
        <v/>
      </c>
      <c r="E56">
        <f>k_base+1</f>
        <v/>
      </c>
      <c r="F56">
        <f>k_base+1</f>
        <v/>
      </c>
    </row>
    <row r="57">
      <c r="A57" s="7" t="inlineStr">
        <is>
          <t>Baseline+1,0: Anzahl</t>
        </is>
      </c>
      <c r="C57">
        <f>SUMPRODUCT((Grid!$D$2:$D$1001&lt;C56)*(Grid!$D$3:$D$1002&gt;=C56))</f>
        <v/>
      </c>
      <c r="D57">
        <f>SUMPRODUCT((Grid!$E$2:$E$1001&lt;D56)*(Grid!$E$3:$E$1002&gt;=D56))</f>
        <v/>
      </c>
      <c r="E57">
        <f>SUMPRODUCT((Grid!$F$2:$F$1001&lt;E56)*(Grid!$F$3:$F$1002&gt;=E56))</f>
        <v/>
      </c>
      <c r="F57">
        <f>SUMPRODUCT((Grid!$G$2:$G$1001&lt;F56)*(Grid!$G$3:$G$1002&gt;=F56))</f>
        <v/>
      </c>
    </row>
    <row r="58">
      <c r="A58" s="7" t="inlineStr">
        <is>
          <t>Baseline+1,0: Index</t>
        </is>
      </c>
      <c r="C58" s="7">
        <f t="array" ref="C58">IF(C57&gt;0,MATCH(1,(Grid!$D$2:$D$1001&lt;C56)*(Grid!$D$3:$D$1002&gt;=C56),0),0)</f>
        <v/>
      </c>
      <c r="D58" s="7">
        <f t="array" ref="D58">IF(D57&gt;0,MATCH(1,(Grid!$E$2:$E$1001&lt;D56)*(Grid!$E$3:$E$1002&gt;=D56),0),0)</f>
        <v/>
      </c>
      <c r="E58" s="7">
        <f t="array" ref="E58">IF(E57&gt;0,MATCH(1,(Grid!$F$2:$F$1001&lt;E56)*(Grid!$F$3:$F$1002&gt;=E56),0),0)</f>
        <v/>
      </c>
      <c r="F58" s="7">
        <f t="array" ref="F58">IF(F57&gt;0,MATCH(1,(Grid!$G$2:$G$1001&lt;F56)*(Grid!$G$3:$G$1002&gt;=F56),0),0)</f>
        <v/>
      </c>
    </row>
    <row r="59">
      <c r="A59" s="7" t="inlineStr">
        <is>
          <t>Baseline+1,0: x</t>
        </is>
      </c>
      <c r="C59">
        <f>IF(NOT(C$30),"",IF(C56=Grid!$D$2,k_lo,IF(C58&gt;0,INDEX(Grid!$B$2:$B$1002,C58)+(C56-INDEX(Grid!$D$2:$D$1002,C58))/(INDEX(Grid!$D$2:$D$1002,C58+1)-INDEX(Grid!$D$2:$D$1002,C58))*(INDEX(Grid!$B$2:$B$1002,C58+1)-INDEX(Grid!$B$2:$B$1002,C58)),"")))</f>
        <v/>
      </c>
      <c r="D59">
        <f>IF(NOT(D$30),"",IF(D56=Grid!$E$2,k_lo,IF(D58&gt;0,INDEX(Grid!$B$2:$B$1002,D58)+(D56-INDEX(Grid!$E$2:$E$1002,D58))/(INDEX(Grid!$E$2:$E$1002,D58+1)-INDEX(Grid!$E$2:$E$1002,D58))*(INDEX(Grid!$B$2:$B$1002,D58+1)-INDEX(Grid!$B$2:$B$1002,D58)),"")))</f>
        <v/>
      </c>
      <c r="E59">
        <f>IF(NOT(E$30),"",IF(E56=Grid!$F$2,k_lo,IF(E58&gt;0,INDEX(Grid!$B$2:$B$1002,E58)+(E56-INDEX(Grid!$F$2:$F$1002,E58))/(INDEX(Grid!$F$2:$F$1002,E58+1)-INDEX(Grid!$F$2:$F$1002,E58))*(INDEX(Grid!$B$2:$B$1002,E58+1)-INDEX(Grid!$B$2:$B$1002,E58)),"")))</f>
        <v/>
      </c>
      <c r="F59">
        <f>IF(NOT(F$30),"",IF(F56=Grid!$G$2,k_lo,IF(F58&gt;0,INDEX(Grid!$B$2:$B$1002,F58)+(F56-INDEX(Grid!$G$2:$G$1002,F58))/(INDEX(Grid!$G$2:$G$1002,F58+1)-INDEX(Grid!$G$2:$G$1002,F58))*(INDEX(Grid!$B$2:$B$1002,F58+1)-INDEX(Grid!$B$2:$B$1002,F58)),"")))</f>
        <v/>
      </c>
    </row>
    <row r="60">
      <c r="A60" s="7" t="inlineStr">
        <is>
          <t>Baseline+1,0: Fehler</t>
        </is>
      </c>
      <c r="C60">
        <f>IF(NOT(C$30),"Modell nicht anpassbar",IF(C56&lt;C$31,FIXED(C56,2,TRUE)&amp;" mmol/L liegt unter der ersten Stufe",IF(C56&gt;C$32,FIXED(C56,2,TRUE)&amp;" mmol/L wird im Test nicht erreicht",IF(ISNUMBER(C59),"","keine steigende Lösung"))))</f>
        <v/>
      </c>
      <c r="D60">
        <f>IF(NOT(D$30),"Modell nicht anpassbar",IF(D56&lt;D$31,FIXED(D56,2,TRUE)&amp;" mmol/L liegt unter der ersten Stufe",IF(D56&gt;D$32,FIXED(D56,2,TRUE)&amp;" mmol/L wird im Test nicht erreicht",IF(ISNUMBER(D59),"","keine steigende Lösung"))))</f>
        <v/>
      </c>
      <c r="E60">
        <f>IF(NOT(E$30),"Modell nicht anpassbar",IF(E56&lt;E$31,FIXED(E56,2,TRUE)&amp;" mmol/L liegt unter der ersten Stufe",IF(E56&gt;E$32,FIXED(E56,2,TRUE)&amp;" mmol/L wird im Test nicht erreicht",IF(ISNUMBER(E59),"","keine steigende Lösung"))))</f>
        <v/>
      </c>
      <c r="F60">
        <f>IF(NOT(F$30),"Modell nicht anpassbar",IF(F56&lt;F$31,FIXED(F56,2,TRUE)&amp;" mmol/L liegt unter der ersten Stufe",IF(F56&gt;F$32,FIXED(F56,2,TRUE)&amp;" mmol/L wird im Test nicht erreicht",IF(ISNUMBER(F59),"","keine steigende Lösung"))))</f>
        <v/>
      </c>
    </row>
    <row r="61">
      <c r="A61" s="7" t="inlineStr">
        <is>
          <t>Baseline+1,0: Warnung</t>
        </is>
      </c>
      <c r="C61">
        <f>IF(AND(ISNUMBER(C59),C57&gt;1),"mehrere Lösungen, Fit nicht monoton","")</f>
        <v/>
      </c>
      <c r="D61">
        <f>IF(AND(ISNUMBER(D59),D57&gt;1),"mehrere Lösungen, Fit nicht monoton","")</f>
        <v/>
      </c>
      <c r="E61">
        <f>IF(AND(ISNUMBER(E59),E57&gt;1),"mehrere Lösungen, Fit nicht monoton","")</f>
        <v/>
      </c>
      <c r="F61">
        <f>IF(AND(ISNUMBER(F59),F57&gt;1),"mehrere Lösungen, Fit nicht monoton","")</f>
        <v/>
      </c>
    </row>
    <row r="62">
      <c r="A62" s="7" t="inlineStr">
        <is>
          <t>Baseline+1,5: L</t>
        </is>
      </c>
      <c r="C62">
        <f>k_base+1.5</f>
        <v/>
      </c>
      <c r="D62">
        <f>k_base+1.5</f>
        <v/>
      </c>
      <c r="E62">
        <f>k_base+1.5</f>
        <v/>
      </c>
      <c r="F62">
        <f>k_base+1.5</f>
        <v/>
      </c>
    </row>
    <row r="63">
      <c r="A63" s="7" t="inlineStr">
        <is>
          <t>Baseline+1,5: Anzahl</t>
        </is>
      </c>
      <c r="C63">
        <f>SUMPRODUCT((Grid!$D$2:$D$1001&lt;C62)*(Grid!$D$3:$D$1002&gt;=C62))</f>
        <v/>
      </c>
      <c r="D63">
        <f>SUMPRODUCT((Grid!$E$2:$E$1001&lt;D62)*(Grid!$E$3:$E$1002&gt;=D62))</f>
        <v/>
      </c>
      <c r="E63">
        <f>SUMPRODUCT((Grid!$F$2:$F$1001&lt;E62)*(Grid!$F$3:$F$1002&gt;=E62))</f>
        <v/>
      </c>
      <c r="F63">
        <f>SUMPRODUCT((Grid!$G$2:$G$1001&lt;F62)*(Grid!$G$3:$G$1002&gt;=F62))</f>
        <v/>
      </c>
    </row>
    <row r="64">
      <c r="A64" s="7" t="inlineStr">
        <is>
          <t>Baseline+1,5: Index</t>
        </is>
      </c>
      <c r="C64" s="7">
        <f t="array" ref="C64">IF(C63&gt;0,MATCH(1,(Grid!$D$2:$D$1001&lt;C62)*(Grid!$D$3:$D$1002&gt;=C62),0),0)</f>
        <v/>
      </c>
      <c r="D64" s="7">
        <f t="array" ref="D64">IF(D63&gt;0,MATCH(1,(Grid!$E$2:$E$1001&lt;D62)*(Grid!$E$3:$E$1002&gt;=D62),0),0)</f>
        <v/>
      </c>
      <c r="E64" s="7">
        <f t="array" ref="E64">IF(E63&gt;0,MATCH(1,(Grid!$F$2:$F$1001&lt;E62)*(Grid!$F$3:$F$1002&gt;=E62),0),0)</f>
        <v/>
      </c>
      <c r="F64" s="7">
        <f t="array" ref="F64">IF(F63&gt;0,MATCH(1,(Grid!$G$2:$G$1001&lt;F62)*(Grid!$G$3:$G$1002&gt;=F62),0),0)</f>
        <v/>
      </c>
    </row>
    <row r="65">
      <c r="A65" s="7" t="inlineStr">
        <is>
          <t>Baseline+1,5: x</t>
        </is>
      </c>
      <c r="C65">
        <f>IF(NOT(C$30),"",IF(C62=Grid!$D$2,k_lo,IF(C64&gt;0,INDEX(Grid!$B$2:$B$1002,C64)+(C62-INDEX(Grid!$D$2:$D$1002,C64))/(INDEX(Grid!$D$2:$D$1002,C64+1)-INDEX(Grid!$D$2:$D$1002,C64))*(INDEX(Grid!$B$2:$B$1002,C64+1)-INDEX(Grid!$B$2:$B$1002,C64)),"")))</f>
        <v/>
      </c>
      <c r="D65">
        <f>IF(NOT(D$30),"",IF(D62=Grid!$E$2,k_lo,IF(D64&gt;0,INDEX(Grid!$B$2:$B$1002,D64)+(D62-INDEX(Grid!$E$2:$E$1002,D64))/(INDEX(Grid!$E$2:$E$1002,D64+1)-INDEX(Grid!$E$2:$E$1002,D64))*(INDEX(Grid!$B$2:$B$1002,D64+1)-INDEX(Grid!$B$2:$B$1002,D64)),"")))</f>
        <v/>
      </c>
      <c r="E65">
        <f>IF(NOT(E$30),"",IF(E62=Grid!$F$2,k_lo,IF(E64&gt;0,INDEX(Grid!$B$2:$B$1002,E64)+(E62-INDEX(Grid!$F$2:$F$1002,E64))/(INDEX(Grid!$F$2:$F$1002,E64+1)-INDEX(Grid!$F$2:$F$1002,E64))*(INDEX(Grid!$B$2:$B$1002,E64+1)-INDEX(Grid!$B$2:$B$1002,E64)),"")))</f>
        <v/>
      </c>
      <c r="F65">
        <f>IF(NOT(F$30),"",IF(F62=Grid!$G$2,k_lo,IF(F64&gt;0,INDEX(Grid!$B$2:$B$1002,F64)+(F62-INDEX(Grid!$G$2:$G$1002,F64))/(INDEX(Grid!$G$2:$G$1002,F64+1)-INDEX(Grid!$G$2:$G$1002,F64))*(INDEX(Grid!$B$2:$B$1002,F64+1)-INDEX(Grid!$B$2:$B$1002,F64)),"")))</f>
        <v/>
      </c>
    </row>
    <row r="66">
      <c r="A66" s="7" t="inlineStr">
        <is>
          <t>Baseline+1,5: Fehler</t>
        </is>
      </c>
      <c r="C66">
        <f>IF(NOT(C$30),"Modell nicht anpassbar",IF(C62&lt;C$31,FIXED(C62,2,TRUE)&amp;" mmol/L liegt unter der ersten Stufe",IF(C62&gt;C$32,FIXED(C62,2,TRUE)&amp;" mmol/L wird im Test nicht erreicht",IF(ISNUMBER(C65),"","keine steigende Lösung"))))</f>
        <v/>
      </c>
      <c r="D66">
        <f>IF(NOT(D$30),"Modell nicht anpassbar",IF(D62&lt;D$31,FIXED(D62,2,TRUE)&amp;" mmol/L liegt unter der ersten Stufe",IF(D62&gt;D$32,FIXED(D62,2,TRUE)&amp;" mmol/L wird im Test nicht erreicht",IF(ISNUMBER(D65),"","keine steigende Lösung"))))</f>
        <v/>
      </c>
      <c r="E66">
        <f>IF(NOT(E$30),"Modell nicht anpassbar",IF(E62&lt;E$31,FIXED(E62,2,TRUE)&amp;" mmol/L liegt unter der ersten Stufe",IF(E62&gt;E$32,FIXED(E62,2,TRUE)&amp;" mmol/L wird im Test nicht erreicht",IF(ISNUMBER(E65),"","keine steigende Lösung"))))</f>
        <v/>
      </c>
      <c r="F66">
        <f>IF(NOT(F$30),"Modell nicht anpassbar",IF(F62&lt;F$31,FIXED(F62,2,TRUE)&amp;" mmol/L liegt unter der ersten Stufe",IF(F62&gt;F$32,FIXED(F62,2,TRUE)&amp;" mmol/L wird im Test nicht erreicht",IF(ISNUMBER(F65),"","keine steigende Lösung"))))</f>
        <v/>
      </c>
    </row>
    <row r="67">
      <c r="A67" s="7" t="inlineStr">
        <is>
          <t>Baseline+1,5: Warnung</t>
        </is>
      </c>
      <c r="C67">
        <f>IF(AND(ISNUMBER(C65),C63&gt;1),"mehrere Lösungen, Fit nicht monoton","")</f>
        <v/>
      </c>
      <c r="D67">
        <f>IF(AND(ISNUMBER(D65),D63&gt;1),"mehrere Lösungen, Fit nicht monoton","")</f>
        <v/>
      </c>
      <c r="E67">
        <f>IF(AND(ISNUMBER(E65),E63&gt;1),"mehrere Lösungen, Fit nicht monoton","")</f>
        <v/>
      </c>
      <c r="F67">
        <f>IF(AND(ISNUMBER(F65),F63&gt;1),"mehrere Lösungen, Fit nicht monoton","")</f>
        <v/>
      </c>
    </row>
    <row r="68">
      <c r="A68" s="7" t="inlineStr">
        <is>
          <t>fix 3: L</t>
        </is>
      </c>
      <c r="C68">
        <f>3</f>
        <v/>
      </c>
      <c r="D68">
        <f>3</f>
        <v/>
      </c>
      <c r="E68">
        <f>3</f>
        <v/>
      </c>
      <c r="F68">
        <f>3</f>
        <v/>
      </c>
    </row>
    <row r="69">
      <c r="A69" s="7" t="inlineStr">
        <is>
          <t>fix 3: Anzahl</t>
        </is>
      </c>
      <c r="C69">
        <f>SUMPRODUCT((Grid!$D$2:$D$1001&lt;C68)*(Grid!$D$3:$D$1002&gt;=C68))</f>
        <v/>
      </c>
      <c r="D69">
        <f>SUMPRODUCT((Grid!$E$2:$E$1001&lt;D68)*(Grid!$E$3:$E$1002&gt;=D68))</f>
        <v/>
      </c>
      <c r="E69">
        <f>SUMPRODUCT((Grid!$F$2:$F$1001&lt;E68)*(Grid!$F$3:$F$1002&gt;=E68))</f>
        <v/>
      </c>
      <c r="F69">
        <f>SUMPRODUCT((Grid!$G$2:$G$1001&lt;F68)*(Grid!$G$3:$G$1002&gt;=F68))</f>
        <v/>
      </c>
    </row>
    <row r="70">
      <c r="A70" s="7" t="inlineStr">
        <is>
          <t>fix 3: Index</t>
        </is>
      </c>
      <c r="C70" s="7">
        <f t="array" ref="C70">IF(C69&gt;0,MATCH(1,(Grid!$D$2:$D$1001&lt;C68)*(Grid!$D$3:$D$1002&gt;=C68),0),0)</f>
        <v/>
      </c>
      <c r="D70" s="7">
        <f t="array" ref="D70">IF(D69&gt;0,MATCH(1,(Grid!$E$2:$E$1001&lt;D68)*(Grid!$E$3:$E$1002&gt;=D68),0),0)</f>
        <v/>
      </c>
      <c r="E70" s="7">
        <f t="array" ref="E70">IF(E69&gt;0,MATCH(1,(Grid!$F$2:$F$1001&lt;E68)*(Grid!$F$3:$F$1002&gt;=E68),0),0)</f>
        <v/>
      </c>
      <c r="F70" s="7">
        <f t="array" ref="F70">IF(F69&gt;0,MATCH(1,(Grid!$G$2:$G$1001&lt;F68)*(Grid!$G$3:$G$1002&gt;=F68),0),0)</f>
        <v/>
      </c>
    </row>
    <row r="71">
      <c r="A71" s="7" t="inlineStr">
        <is>
          <t>fix 3: x</t>
        </is>
      </c>
      <c r="C71">
        <f>IF(NOT(C$30),"",IF(C68=Grid!$D$2,k_lo,IF(C70&gt;0,INDEX(Grid!$B$2:$B$1002,C70)+(C68-INDEX(Grid!$D$2:$D$1002,C70))/(INDEX(Grid!$D$2:$D$1002,C70+1)-INDEX(Grid!$D$2:$D$1002,C70))*(INDEX(Grid!$B$2:$B$1002,C70+1)-INDEX(Grid!$B$2:$B$1002,C70)),"")))</f>
        <v/>
      </c>
      <c r="D71">
        <f>IF(NOT(D$30),"",IF(D68=Grid!$E$2,k_lo,IF(D70&gt;0,INDEX(Grid!$B$2:$B$1002,D70)+(D68-INDEX(Grid!$E$2:$E$1002,D70))/(INDEX(Grid!$E$2:$E$1002,D70+1)-INDEX(Grid!$E$2:$E$1002,D70))*(INDEX(Grid!$B$2:$B$1002,D70+1)-INDEX(Grid!$B$2:$B$1002,D70)),"")))</f>
        <v/>
      </c>
      <c r="E71">
        <f>IF(NOT(E$30),"",IF(E68=Grid!$F$2,k_lo,IF(E70&gt;0,INDEX(Grid!$B$2:$B$1002,E70)+(E68-INDEX(Grid!$F$2:$F$1002,E70))/(INDEX(Grid!$F$2:$F$1002,E70+1)-INDEX(Grid!$F$2:$F$1002,E70))*(INDEX(Grid!$B$2:$B$1002,E70+1)-INDEX(Grid!$B$2:$B$1002,E70)),"")))</f>
        <v/>
      </c>
      <c r="F71">
        <f>IF(NOT(F$30),"",IF(F68=Grid!$G$2,k_lo,IF(F70&gt;0,INDEX(Grid!$B$2:$B$1002,F70)+(F68-INDEX(Grid!$G$2:$G$1002,F70))/(INDEX(Grid!$G$2:$G$1002,F70+1)-INDEX(Grid!$G$2:$G$1002,F70))*(INDEX(Grid!$B$2:$B$1002,F70+1)-INDEX(Grid!$B$2:$B$1002,F70)),"")))</f>
        <v/>
      </c>
    </row>
    <row r="72">
      <c r="A72" s="7" t="inlineStr">
        <is>
          <t>fix 3: Fehler</t>
        </is>
      </c>
      <c r="C72">
        <f>IF(NOT(C$30),"Modell nicht anpassbar",IF(C68&lt;C$31,FIXED(C68,2,TRUE)&amp;" mmol/L liegt unter der ersten Stufe",IF(C68&gt;C$32,FIXED(C68,2,TRUE)&amp;" mmol/L wird im Test nicht erreicht",IF(ISNUMBER(C71),"","keine steigende Lösung"))))</f>
        <v/>
      </c>
      <c r="D72">
        <f>IF(NOT(D$30),"Modell nicht anpassbar",IF(D68&lt;D$31,FIXED(D68,2,TRUE)&amp;" mmol/L liegt unter der ersten Stufe",IF(D68&gt;D$32,FIXED(D68,2,TRUE)&amp;" mmol/L wird im Test nicht erreicht",IF(ISNUMBER(D71),"","keine steigende Lösung"))))</f>
        <v/>
      </c>
      <c r="E72">
        <f>IF(NOT(E$30),"Modell nicht anpassbar",IF(E68&lt;E$31,FIXED(E68,2,TRUE)&amp;" mmol/L liegt unter der ersten Stufe",IF(E68&gt;E$32,FIXED(E68,2,TRUE)&amp;" mmol/L wird im Test nicht erreicht",IF(ISNUMBER(E71),"","keine steigende Lösung"))))</f>
        <v/>
      </c>
      <c r="F72">
        <f>IF(NOT(F$30),"Modell nicht anpassbar",IF(F68&lt;F$31,FIXED(F68,2,TRUE)&amp;" mmol/L liegt unter der ersten Stufe",IF(F68&gt;F$32,FIXED(F68,2,TRUE)&amp;" mmol/L wird im Test nicht erreicht",IF(ISNUMBER(F71),"","keine steigende Lösung"))))</f>
        <v/>
      </c>
    </row>
    <row r="73">
      <c r="A73" s="7" t="inlineStr">
        <is>
          <t>fix 3: Warnung</t>
        </is>
      </c>
      <c r="C73">
        <f>IF(AND(ISNUMBER(C71),C69&gt;1),"mehrere Lösungen, Fit nicht monoton","")</f>
        <v/>
      </c>
      <c r="D73">
        <f>IF(AND(ISNUMBER(D71),D69&gt;1),"mehrere Lösungen, Fit nicht monoton","")</f>
        <v/>
      </c>
      <c r="E73">
        <f>IF(AND(ISNUMBER(E71),E69&gt;1),"mehrere Lösungen, Fit nicht monoton","")</f>
        <v/>
      </c>
      <c r="F73">
        <f>IF(AND(ISNUMBER(F71),F69&gt;1),"mehrere Lösungen, Fit nicht monoton","")</f>
        <v/>
      </c>
    </row>
    <row r="74">
      <c r="A74" s="7" t="inlineStr">
        <is>
          <t>fix 3,5: L</t>
        </is>
      </c>
      <c r="C74">
        <f>3.5</f>
        <v/>
      </c>
      <c r="D74">
        <f>3.5</f>
        <v/>
      </c>
      <c r="E74">
        <f>3.5</f>
        <v/>
      </c>
      <c r="F74">
        <f>3.5</f>
        <v/>
      </c>
    </row>
    <row r="75">
      <c r="A75" s="7" t="inlineStr">
        <is>
          <t>fix 3,5: Anzahl</t>
        </is>
      </c>
      <c r="C75">
        <f>SUMPRODUCT((Grid!$D$2:$D$1001&lt;C74)*(Grid!$D$3:$D$1002&gt;=C74))</f>
        <v/>
      </c>
      <c r="D75">
        <f>SUMPRODUCT((Grid!$E$2:$E$1001&lt;D74)*(Grid!$E$3:$E$1002&gt;=D74))</f>
        <v/>
      </c>
      <c r="E75">
        <f>SUMPRODUCT((Grid!$F$2:$F$1001&lt;E74)*(Grid!$F$3:$F$1002&gt;=E74))</f>
        <v/>
      </c>
      <c r="F75">
        <f>SUMPRODUCT((Grid!$G$2:$G$1001&lt;F74)*(Grid!$G$3:$G$1002&gt;=F74))</f>
        <v/>
      </c>
    </row>
    <row r="76">
      <c r="A76" s="7" t="inlineStr">
        <is>
          <t>fix 3,5: Index</t>
        </is>
      </c>
      <c r="C76" s="7">
        <f t="array" ref="C76">IF(C75&gt;0,MATCH(1,(Grid!$D$2:$D$1001&lt;C74)*(Grid!$D$3:$D$1002&gt;=C74),0),0)</f>
        <v/>
      </c>
      <c r="D76" s="7">
        <f t="array" ref="D76">IF(D75&gt;0,MATCH(1,(Grid!$E$2:$E$1001&lt;D74)*(Grid!$E$3:$E$1002&gt;=D74),0),0)</f>
        <v/>
      </c>
      <c r="E76" s="7">
        <f t="array" ref="E76">IF(E75&gt;0,MATCH(1,(Grid!$F$2:$F$1001&lt;E74)*(Grid!$F$3:$F$1002&gt;=E74),0),0)</f>
        <v/>
      </c>
      <c r="F76" s="7">
        <f t="array" ref="F76">IF(F75&gt;0,MATCH(1,(Grid!$G$2:$G$1001&lt;F74)*(Grid!$G$3:$G$1002&gt;=F74),0),0)</f>
        <v/>
      </c>
    </row>
    <row r="77">
      <c r="A77" s="7" t="inlineStr">
        <is>
          <t>fix 3,5: x</t>
        </is>
      </c>
      <c r="C77">
        <f>IF(NOT(C$30),"",IF(C74=Grid!$D$2,k_lo,IF(C76&gt;0,INDEX(Grid!$B$2:$B$1002,C76)+(C74-INDEX(Grid!$D$2:$D$1002,C76))/(INDEX(Grid!$D$2:$D$1002,C76+1)-INDEX(Grid!$D$2:$D$1002,C76))*(INDEX(Grid!$B$2:$B$1002,C76+1)-INDEX(Grid!$B$2:$B$1002,C76)),"")))</f>
        <v/>
      </c>
      <c r="D77">
        <f>IF(NOT(D$30),"",IF(D74=Grid!$E$2,k_lo,IF(D76&gt;0,INDEX(Grid!$B$2:$B$1002,D76)+(D74-INDEX(Grid!$E$2:$E$1002,D76))/(INDEX(Grid!$E$2:$E$1002,D76+1)-INDEX(Grid!$E$2:$E$1002,D76))*(INDEX(Grid!$B$2:$B$1002,D76+1)-INDEX(Grid!$B$2:$B$1002,D76)),"")))</f>
        <v/>
      </c>
      <c r="E77">
        <f>IF(NOT(E$30),"",IF(E74=Grid!$F$2,k_lo,IF(E76&gt;0,INDEX(Grid!$B$2:$B$1002,E76)+(E74-INDEX(Grid!$F$2:$F$1002,E76))/(INDEX(Grid!$F$2:$F$1002,E76+1)-INDEX(Grid!$F$2:$F$1002,E76))*(INDEX(Grid!$B$2:$B$1002,E76+1)-INDEX(Grid!$B$2:$B$1002,E76)),"")))</f>
        <v/>
      </c>
      <c r="F77">
        <f>IF(NOT(F$30),"",IF(F74=Grid!$G$2,k_lo,IF(F76&gt;0,INDEX(Grid!$B$2:$B$1002,F76)+(F74-INDEX(Grid!$G$2:$G$1002,F76))/(INDEX(Grid!$G$2:$G$1002,F76+1)-INDEX(Grid!$G$2:$G$1002,F76))*(INDEX(Grid!$B$2:$B$1002,F76+1)-INDEX(Grid!$B$2:$B$1002,F76)),"")))</f>
        <v/>
      </c>
    </row>
    <row r="78">
      <c r="A78" s="7" t="inlineStr">
        <is>
          <t>fix 3,5: Fehler</t>
        </is>
      </c>
      <c r="C78">
        <f>IF(NOT(C$30),"Modell nicht anpassbar",IF(C74&lt;C$31,FIXED(C74,2,TRUE)&amp;" mmol/L liegt unter der ersten Stufe",IF(C74&gt;C$32,FIXED(C74,2,TRUE)&amp;" mmol/L wird im Test nicht erreicht",IF(ISNUMBER(C77),"","keine steigende Lösung"))))</f>
        <v/>
      </c>
      <c r="D78">
        <f>IF(NOT(D$30),"Modell nicht anpassbar",IF(D74&lt;D$31,FIXED(D74,2,TRUE)&amp;" mmol/L liegt unter der ersten Stufe",IF(D74&gt;D$32,FIXED(D74,2,TRUE)&amp;" mmol/L wird im Test nicht erreicht",IF(ISNUMBER(D77),"","keine steigende Lösung"))))</f>
        <v/>
      </c>
      <c r="E78">
        <f>IF(NOT(E$30),"Modell nicht anpassbar",IF(E74&lt;E$31,FIXED(E74,2,TRUE)&amp;" mmol/L liegt unter der ersten Stufe",IF(E74&gt;E$32,FIXED(E74,2,TRUE)&amp;" mmol/L wird im Test nicht erreicht",IF(ISNUMBER(E77),"","keine steigende Lösung"))))</f>
        <v/>
      </c>
      <c r="F78">
        <f>IF(NOT(F$30),"Modell nicht anpassbar",IF(F74&lt;F$31,FIXED(F74,2,TRUE)&amp;" mmol/L liegt unter der ersten Stufe",IF(F74&gt;F$32,FIXED(F74,2,TRUE)&amp;" mmol/L wird im Test nicht erreicht",IF(ISNUMBER(F77),"","keine steigende Lösung"))))</f>
        <v/>
      </c>
    </row>
    <row r="79">
      <c r="A79" s="7" t="inlineStr">
        <is>
          <t>fix 3,5: Warnung</t>
        </is>
      </c>
      <c r="C79">
        <f>IF(AND(ISNUMBER(C77),C75&gt;1),"mehrere Lösungen, Fit nicht monoton","")</f>
        <v/>
      </c>
      <c r="D79">
        <f>IF(AND(ISNUMBER(D77),D75&gt;1),"mehrere Lösungen, Fit nicht monoton","")</f>
        <v/>
      </c>
      <c r="E79">
        <f>IF(AND(ISNUMBER(E77),E75&gt;1),"mehrere Lösungen, Fit nicht monoton","")</f>
        <v/>
      </c>
      <c r="F79">
        <f>IF(AND(ISNUMBER(F77),F75&gt;1),"mehrere Lösungen, Fit nicht monoton","")</f>
        <v/>
      </c>
    </row>
    <row r="80">
      <c r="A80" s="7" t="inlineStr">
        <is>
          <t>fix 4: L</t>
        </is>
      </c>
      <c r="C80">
        <f>4</f>
        <v/>
      </c>
      <c r="D80">
        <f>4</f>
        <v/>
      </c>
      <c r="E80">
        <f>4</f>
        <v/>
      </c>
      <c r="F80">
        <f>4</f>
        <v/>
      </c>
    </row>
    <row r="81">
      <c r="A81" s="7" t="inlineStr">
        <is>
          <t>fix 4: Anzahl</t>
        </is>
      </c>
      <c r="C81">
        <f>SUMPRODUCT((Grid!$D$2:$D$1001&lt;C80)*(Grid!$D$3:$D$1002&gt;=C80))</f>
        <v/>
      </c>
      <c r="D81">
        <f>SUMPRODUCT((Grid!$E$2:$E$1001&lt;D80)*(Grid!$E$3:$E$1002&gt;=D80))</f>
        <v/>
      </c>
      <c r="E81">
        <f>SUMPRODUCT((Grid!$F$2:$F$1001&lt;E80)*(Grid!$F$3:$F$1002&gt;=E80))</f>
        <v/>
      </c>
      <c r="F81">
        <f>SUMPRODUCT((Grid!$G$2:$G$1001&lt;F80)*(Grid!$G$3:$G$1002&gt;=F80))</f>
        <v/>
      </c>
    </row>
    <row r="82">
      <c r="A82" s="7" t="inlineStr">
        <is>
          <t>fix 4: Index</t>
        </is>
      </c>
      <c r="C82" s="7">
        <f t="array" ref="C82">IF(C81&gt;0,MATCH(1,(Grid!$D$2:$D$1001&lt;C80)*(Grid!$D$3:$D$1002&gt;=C80),0),0)</f>
        <v/>
      </c>
      <c r="D82" s="7">
        <f t="array" ref="D82">IF(D81&gt;0,MATCH(1,(Grid!$E$2:$E$1001&lt;D80)*(Grid!$E$3:$E$1002&gt;=D80),0),0)</f>
        <v/>
      </c>
      <c r="E82" s="7">
        <f t="array" ref="E82">IF(E81&gt;0,MATCH(1,(Grid!$F$2:$F$1001&lt;E80)*(Grid!$F$3:$F$1002&gt;=E80),0),0)</f>
        <v/>
      </c>
      <c r="F82" s="7">
        <f t="array" ref="F82">IF(F81&gt;0,MATCH(1,(Grid!$G$2:$G$1001&lt;F80)*(Grid!$G$3:$G$1002&gt;=F80),0),0)</f>
        <v/>
      </c>
    </row>
    <row r="83">
      <c r="A83" s="7" t="inlineStr">
        <is>
          <t>fix 4: x</t>
        </is>
      </c>
      <c r="C83">
        <f>IF(NOT(C$30),"",IF(C80=Grid!$D$2,k_lo,IF(C82&gt;0,INDEX(Grid!$B$2:$B$1002,C82)+(C80-INDEX(Grid!$D$2:$D$1002,C82))/(INDEX(Grid!$D$2:$D$1002,C82+1)-INDEX(Grid!$D$2:$D$1002,C82))*(INDEX(Grid!$B$2:$B$1002,C82+1)-INDEX(Grid!$B$2:$B$1002,C82)),"")))</f>
        <v/>
      </c>
      <c r="D83">
        <f>IF(NOT(D$30),"",IF(D80=Grid!$E$2,k_lo,IF(D82&gt;0,INDEX(Grid!$B$2:$B$1002,D82)+(D80-INDEX(Grid!$E$2:$E$1002,D82))/(INDEX(Grid!$E$2:$E$1002,D82+1)-INDEX(Grid!$E$2:$E$1002,D82))*(INDEX(Grid!$B$2:$B$1002,D82+1)-INDEX(Grid!$B$2:$B$1002,D82)),"")))</f>
        <v/>
      </c>
      <c r="E83">
        <f>IF(NOT(E$30),"",IF(E80=Grid!$F$2,k_lo,IF(E82&gt;0,INDEX(Grid!$B$2:$B$1002,E82)+(E80-INDEX(Grid!$F$2:$F$1002,E82))/(INDEX(Grid!$F$2:$F$1002,E82+1)-INDEX(Grid!$F$2:$F$1002,E82))*(INDEX(Grid!$B$2:$B$1002,E82+1)-INDEX(Grid!$B$2:$B$1002,E82)),"")))</f>
        <v/>
      </c>
      <c r="F83">
        <f>IF(NOT(F$30),"",IF(F80=Grid!$G$2,k_lo,IF(F82&gt;0,INDEX(Grid!$B$2:$B$1002,F82)+(F80-INDEX(Grid!$G$2:$G$1002,F82))/(INDEX(Grid!$G$2:$G$1002,F82+1)-INDEX(Grid!$G$2:$G$1002,F82))*(INDEX(Grid!$B$2:$B$1002,F82+1)-INDEX(Grid!$B$2:$B$1002,F82)),"")))</f>
        <v/>
      </c>
    </row>
    <row r="84">
      <c r="A84" s="7" t="inlineStr">
        <is>
          <t>fix 4: Fehler</t>
        </is>
      </c>
      <c r="C84">
        <f>IF(NOT(C$30),"Modell nicht anpassbar",IF(C80&lt;C$31,FIXED(C80,2,TRUE)&amp;" mmol/L liegt unter der ersten Stufe",IF(C80&gt;C$32,FIXED(C80,2,TRUE)&amp;" mmol/L wird im Test nicht erreicht",IF(ISNUMBER(C83),"","keine steigende Lösung"))))</f>
        <v/>
      </c>
      <c r="D84">
        <f>IF(NOT(D$30),"Modell nicht anpassbar",IF(D80&lt;D$31,FIXED(D80,2,TRUE)&amp;" mmol/L liegt unter der ersten Stufe",IF(D80&gt;D$32,FIXED(D80,2,TRUE)&amp;" mmol/L wird im Test nicht erreicht",IF(ISNUMBER(D83),"","keine steigende Lösung"))))</f>
        <v/>
      </c>
      <c r="E84">
        <f>IF(NOT(E$30),"Modell nicht anpassbar",IF(E80&lt;E$31,FIXED(E80,2,TRUE)&amp;" mmol/L liegt unter der ersten Stufe",IF(E80&gt;E$32,FIXED(E80,2,TRUE)&amp;" mmol/L wird im Test nicht erreicht",IF(ISNUMBER(E83),"","keine steigende Lösung"))))</f>
        <v/>
      </c>
      <c r="F84">
        <f>IF(NOT(F$30),"Modell nicht anpassbar",IF(F80&lt;F$31,FIXED(F80,2,TRUE)&amp;" mmol/L liegt unter der ersten Stufe",IF(F80&gt;F$32,FIXED(F80,2,TRUE)&amp;" mmol/L wird im Test nicht erreicht",IF(ISNUMBER(F83),"","keine steigende Lösung"))))</f>
        <v/>
      </c>
    </row>
    <row r="85">
      <c r="A85" s="7" t="inlineStr">
        <is>
          <t>fix 4: Warnung</t>
        </is>
      </c>
      <c r="C85">
        <f>IF(AND(ISNUMBER(C83),C81&gt;1),"mehrere Lösungen, Fit nicht monoton","")</f>
        <v/>
      </c>
      <c r="D85">
        <f>IF(AND(ISNUMBER(D83),D81&gt;1),"mehrere Lösungen, Fit nicht monoton","")</f>
        <v/>
      </c>
      <c r="E85">
        <f>IF(AND(ISNUMBER(E83),E81&gt;1),"mehrere Lösungen, Fit nicht monoton","")</f>
        <v/>
      </c>
      <c r="F85">
        <f>IF(AND(ISNUMBER(F83),F81&gt;1),"mehrere Lösungen, Fit nicht monoton","")</f>
        <v/>
      </c>
    </row>
    <row r="86">
      <c r="A86" s="7" t="inlineStr">
        <is>
          <t>Dmax: xS</t>
        </is>
      </c>
      <c r="C86">
        <f>k_lo</f>
        <v/>
      </c>
      <c r="D86">
        <f>k_lo</f>
        <v/>
      </c>
      <c r="E86">
        <f>k_lo</f>
        <v/>
      </c>
      <c r="F86">
        <f>k_lo</f>
        <v/>
      </c>
    </row>
    <row r="87">
      <c r="A87" s="7" t="inlineStr">
        <is>
          <t>Dmax: yS</t>
        </is>
      </c>
      <c r="C87">
        <f>k_yfirst</f>
        <v/>
      </c>
      <c r="D87">
        <f>k_yfirst</f>
        <v/>
      </c>
      <c r="E87">
        <f>k_yfirst</f>
        <v/>
      </c>
      <c r="F87">
        <f>k_yfirst</f>
        <v/>
      </c>
    </row>
    <row r="88">
      <c r="A88" s="7" t="inlineStr">
        <is>
          <t>Dmax: xE</t>
        </is>
      </c>
      <c r="C88">
        <f>INDEX(Calc!$G$3:$G$22,k_n)</f>
        <v/>
      </c>
      <c r="D88">
        <f>INDEX(Calc!$G$3:$G$22,k_n)</f>
        <v/>
      </c>
      <c r="E88">
        <f>INDEX(Calc!$G$3:$G$22,k_n)</f>
        <v/>
      </c>
      <c r="F88">
        <f>INDEX(Calc!$G$3:$G$22,k_n)</f>
        <v/>
      </c>
    </row>
    <row r="89">
      <c r="A89" s="7" t="inlineStr">
        <is>
          <t>Dmax: yE</t>
        </is>
      </c>
      <c r="C89">
        <f>k_ylast</f>
        <v/>
      </c>
      <c r="D89">
        <f>k_ylast</f>
        <v/>
      </c>
      <c r="E89">
        <f>k_ylast</f>
        <v/>
      </c>
      <c r="F89">
        <f>k_ylast</f>
        <v/>
      </c>
    </row>
    <row r="90">
      <c r="A90" s="7" t="inlineStr">
        <is>
          <t>Dmax: A</t>
        </is>
      </c>
      <c r="C90">
        <f>C89-C87</f>
        <v/>
      </c>
      <c r="D90">
        <f>D89-D87</f>
        <v/>
      </c>
      <c r="E90">
        <f>E89-E87</f>
        <v/>
      </c>
      <c r="F90">
        <f>F89-F87</f>
        <v/>
      </c>
    </row>
    <row r="91">
      <c r="A91" s="7" t="inlineStr">
        <is>
          <t>Dmax: B</t>
        </is>
      </c>
      <c r="C91">
        <f>-(C88-C86)</f>
        <v/>
      </c>
      <c r="D91">
        <f>-(D88-D86)</f>
        <v/>
      </c>
      <c r="E91">
        <f>-(E88-E86)</f>
        <v/>
      </c>
      <c r="F91">
        <f>-(F88-F86)</f>
        <v/>
      </c>
    </row>
    <row r="92">
      <c r="A92" s="7" t="inlineStr">
        <is>
          <t>Dmax: C</t>
        </is>
      </c>
      <c r="C92">
        <f>C88*C87-C89*C86</f>
        <v/>
      </c>
      <c r="D92">
        <f>D88*D87-D89*D86</f>
        <v/>
      </c>
      <c r="E92">
        <f>E88*E87-E89*E86</f>
        <v/>
      </c>
      <c r="F92">
        <f>F88*F87-F89*F86</f>
        <v/>
      </c>
    </row>
    <row r="93">
      <c r="A93" s="7" t="inlineStr">
        <is>
          <t>Dmax: Norm</t>
        </is>
      </c>
      <c r="C93">
        <f>MAX(SQRT(C90^2+C91^2),1E-12)</f>
        <v/>
      </c>
      <c r="D93">
        <f>MAX(SQRT(D90^2+D91^2),1E-12)</f>
        <v/>
      </c>
      <c r="E93">
        <f>MAX(SQRT(E90^2+E91^2),1E-12)</f>
        <v/>
      </c>
      <c r="F93">
        <f>MAX(SQRT(F90^2+F91^2),1E-12)</f>
        <v/>
      </c>
    </row>
    <row r="94">
      <c r="A94" s="7" t="inlineStr">
        <is>
          <t>Dmax: max. Abstand</t>
        </is>
      </c>
      <c r="C94" s="7">
        <f t="array" ref="C94">MAX(IF((Grid!$B$2:$B$1002&gt;C86)*(Grid!$B$2:$B$1002&lt;C88),(C$90*Grid!$B$2:$B$1002+C$91*Grid!$D$2:$D$1002+C$92)/C$93,-1E+300))</f>
        <v/>
      </c>
      <c r="D94" s="7">
        <f t="array" ref="D94">MAX(IF((Grid!$B$2:$B$1002&gt;D86)*(Grid!$B$2:$B$1002&lt;D88),(D$90*Grid!$B$2:$B$1002+D$91*Grid!$E$2:$E$1002+D$92)/D$93,-1E+300))</f>
        <v/>
      </c>
      <c r="E94" s="7">
        <f t="array" ref="E94">MAX(IF((Grid!$B$2:$B$1002&gt;E86)*(Grid!$B$2:$B$1002&lt;E88),(E$90*Grid!$B$2:$B$1002+E$91*Grid!$F$2:$F$1002+E$92)/E$93,-1E+300))</f>
        <v/>
      </c>
      <c r="F94" s="7">
        <f t="array" ref="F94">MAX(IF((Grid!$B$2:$B$1002&gt;F86)*(Grid!$B$2:$B$1002&lt;F88),(F$90*Grid!$B$2:$B$1002+F$91*Grid!$G$2:$G$1002+F$92)/F$93,-1E+300))</f>
        <v/>
      </c>
    </row>
    <row r="95">
      <c r="A95" s="7" t="inlineStr">
        <is>
          <t>Dmax: Index</t>
        </is>
      </c>
      <c r="C95" s="7">
        <f t="array" ref="C95">IFERROR(MATCH(C94,IF((Grid!$B$2:$B$1002&gt;C86)*(Grid!$B$2:$B$1002&lt;C88),(C$90*Grid!$B$2:$B$1002+C$91*Grid!$D$2:$D$1002+C$92)/C$93,-1E+300),0),0)</f>
        <v/>
      </c>
      <c r="D95" s="7">
        <f t="array" ref="D95">IFERROR(MATCH(D94,IF((Grid!$B$2:$B$1002&gt;D86)*(Grid!$B$2:$B$1002&lt;D88),(D$90*Grid!$B$2:$B$1002+D$91*Grid!$E$2:$E$1002+D$92)/D$93,-1E+300),0),0)</f>
        <v/>
      </c>
      <c r="E95" s="7">
        <f t="array" ref="E95">IFERROR(MATCH(E94,IF((Grid!$B$2:$B$1002&gt;E86)*(Grid!$B$2:$B$1002&lt;E88),(E$90*Grid!$B$2:$B$1002+E$91*Grid!$F$2:$F$1002+E$92)/E$93,-1E+300),0),0)</f>
        <v/>
      </c>
      <c r="F95" s="7">
        <f t="array" ref="F95">IFERROR(MATCH(F94,IF((Grid!$B$2:$B$1002&gt;F86)*(Grid!$B$2:$B$1002&lt;F88),(F$90*Grid!$B$2:$B$1002+F$91*Grid!$G$2:$G$1002+F$92)/F$93,-1E+300),0),0)</f>
        <v/>
      </c>
    </row>
    <row r="96">
      <c r="A96" s="7" t="inlineStr">
        <is>
          <t>Dmax: x</t>
        </is>
      </c>
      <c r="C96">
        <f>IF(OR(NOT(C$30),C88&lt;=C86,C94&lt;=0,C95&lt;2,C95&gt;1000),"",IF(OR(INDEX(Grid!$B$2:$B$1002,C95-1)&lt;=C86,INDEX(Grid!$B$2:$B$1002,C95+1)&gt;=C88),"",INDEX(Grid!$B$2:$B$1002,C95)+IF(((C$90*INDEX(Grid!$B$2:$B$1002,C95-1)+C$91*INDEX(Grid!$D$2:$D$1002,C95-1)+C$92)/C$93-2*(C$90*INDEX(Grid!$B$2:$B$1002,C95)+C$91*INDEX(Grid!$D$2:$D$1002,C95)+C$92)/C$93+(C$90*INDEX(Grid!$B$2:$B$1002,C95+1)+C$91*INDEX(Grid!$D$2:$D$1002,C95+1)+C$92)/C$93)&lt;0,0.5*((C$90*INDEX(Grid!$B$2:$B$1002,C95-1)+C$91*INDEX(Grid!$D$2:$D$1002,C95-1)+C$92)/C$93-(C$90*INDEX(Grid!$B$2:$B$1002,C95+1)+C$91*INDEX(Grid!$D$2:$D$1002,C95+1)+C$92)/C$93)/((C$90*INDEX(Grid!$B$2:$B$1002,C95-1)+C$91*INDEX(Grid!$D$2:$D$1002,C95-1)+C$92)/C$93-2*(C$90*INDEX(Grid!$B$2:$B$1002,C95)+C$91*INDEX(Grid!$D$2:$D$1002,C95)+C$92)/C$93+(C$90*INDEX(Grid!$B$2:$B$1002,C95+1)+C$91*INDEX(Grid!$D$2:$D$1002,C95+1)+C$92)/C$93),0)*k_rng/1000))</f>
        <v/>
      </c>
      <c r="D96">
        <f>IF(OR(NOT(D$30),D88&lt;=D86,D94&lt;=0,D95&lt;2,D95&gt;1000),"",IF(OR(INDEX(Grid!$B$2:$B$1002,D95-1)&lt;=D86,INDEX(Grid!$B$2:$B$1002,D95+1)&gt;=D88),"",INDEX(Grid!$B$2:$B$1002,D95)+IF(((D$90*INDEX(Grid!$B$2:$B$1002,D95-1)+D$91*INDEX(Grid!$E$2:$E$1002,D95-1)+D$92)/D$93-2*(D$90*INDEX(Grid!$B$2:$B$1002,D95)+D$91*INDEX(Grid!$E$2:$E$1002,D95)+D$92)/D$93+(D$90*INDEX(Grid!$B$2:$B$1002,D95+1)+D$91*INDEX(Grid!$E$2:$E$1002,D95+1)+D$92)/D$93)&lt;0,0.5*((D$90*INDEX(Grid!$B$2:$B$1002,D95-1)+D$91*INDEX(Grid!$E$2:$E$1002,D95-1)+D$92)/D$93-(D$90*INDEX(Grid!$B$2:$B$1002,D95+1)+D$91*INDEX(Grid!$E$2:$E$1002,D95+1)+D$92)/D$93)/((D$90*INDEX(Grid!$B$2:$B$1002,D95-1)+D$91*INDEX(Grid!$E$2:$E$1002,D95-1)+D$92)/D$93-2*(D$90*INDEX(Grid!$B$2:$B$1002,D95)+D$91*INDEX(Grid!$E$2:$E$1002,D95)+D$92)/D$93+(D$90*INDEX(Grid!$B$2:$B$1002,D95+1)+D$91*INDEX(Grid!$E$2:$E$1002,D95+1)+D$92)/D$93),0)*k_rng/1000))</f>
        <v/>
      </c>
      <c r="E96">
        <f>IF(OR(NOT(E$30),E88&lt;=E86,E94&lt;=0,E95&lt;2,E95&gt;1000),"",IF(OR(INDEX(Grid!$B$2:$B$1002,E95-1)&lt;=E86,INDEX(Grid!$B$2:$B$1002,E95+1)&gt;=E88),"",INDEX(Grid!$B$2:$B$1002,E95)+IF(((E$90*INDEX(Grid!$B$2:$B$1002,E95-1)+E$91*INDEX(Grid!$F$2:$F$1002,E95-1)+E$92)/E$93-2*(E$90*INDEX(Grid!$B$2:$B$1002,E95)+E$91*INDEX(Grid!$F$2:$F$1002,E95)+E$92)/E$93+(E$90*INDEX(Grid!$B$2:$B$1002,E95+1)+E$91*INDEX(Grid!$F$2:$F$1002,E95+1)+E$92)/E$93)&lt;0,0.5*((E$90*INDEX(Grid!$B$2:$B$1002,E95-1)+E$91*INDEX(Grid!$F$2:$F$1002,E95-1)+E$92)/E$93-(E$90*INDEX(Grid!$B$2:$B$1002,E95+1)+E$91*INDEX(Grid!$F$2:$F$1002,E95+1)+E$92)/E$93)/((E$90*INDEX(Grid!$B$2:$B$1002,E95-1)+E$91*INDEX(Grid!$F$2:$F$1002,E95-1)+E$92)/E$93-2*(E$90*INDEX(Grid!$B$2:$B$1002,E95)+E$91*INDEX(Grid!$F$2:$F$1002,E95)+E$92)/E$93+(E$90*INDEX(Grid!$B$2:$B$1002,E95+1)+E$91*INDEX(Grid!$F$2:$F$1002,E95+1)+E$92)/E$93),0)*k_rng/1000))</f>
        <v/>
      </c>
      <c r="F96">
        <f>IF(OR(NOT(F$30),F88&lt;=F86,F94&lt;=0,F95&lt;2,F95&gt;1000),"",IF(OR(INDEX(Grid!$B$2:$B$1002,F95-1)&lt;=F86,INDEX(Grid!$B$2:$B$1002,F95+1)&gt;=F88),"",INDEX(Grid!$B$2:$B$1002,F95)+IF(((F$90*INDEX(Grid!$B$2:$B$1002,F95-1)+F$91*INDEX(Grid!$G$2:$G$1002,F95-1)+F$92)/F$93-2*(F$90*INDEX(Grid!$B$2:$B$1002,F95)+F$91*INDEX(Grid!$G$2:$G$1002,F95)+F$92)/F$93+(F$90*INDEX(Grid!$B$2:$B$1002,F95+1)+F$91*INDEX(Grid!$G$2:$G$1002,F95+1)+F$92)/F$93)&lt;0,0.5*((F$90*INDEX(Grid!$B$2:$B$1002,F95-1)+F$91*INDEX(Grid!$G$2:$G$1002,F95-1)+F$92)/F$93-(F$90*INDEX(Grid!$B$2:$B$1002,F95+1)+F$91*INDEX(Grid!$G$2:$G$1002,F95+1)+F$92)/F$93)/((F$90*INDEX(Grid!$B$2:$B$1002,F95-1)+F$91*INDEX(Grid!$G$2:$G$1002,F95-1)+F$92)/F$93-2*(F$90*INDEX(Grid!$B$2:$B$1002,F95)+F$91*INDEX(Grid!$G$2:$G$1002,F95)+F$92)/F$93+(F$90*INDEX(Grid!$B$2:$B$1002,F95+1)+F$91*INDEX(Grid!$G$2:$G$1002,F95+1)+F$92)/F$93),0)*k_rng/1000))</f>
        <v/>
      </c>
    </row>
    <row r="97">
      <c r="A97" s="7" t="inlineStr">
        <is>
          <t>Dmax: La</t>
        </is>
      </c>
      <c r="C97">
        <f>IF(ISNUMBER(C96),(k_p2_0+((C96)-k_mx)/k_sx*(k_p2_1+((C96)-k_mx)/k_sx*k_p2_2)),"")</f>
        <v/>
      </c>
      <c r="D97">
        <f>IF(ISNUMBER(D96),(k_p3_0+((D96)-k_mx)/k_sx*(k_p3_1+((D96)-k_mx)/k_sx*(k_p3_2+((D96)-k_mx)/k_sx*k_p3_3))),"")</f>
        <v/>
      </c>
      <c r="E97">
        <f>IF(ISNUMBER(E96),(k_p4_0+((E96)-k_mx)/k_sx*(k_p4_1+((E96)-k_mx)/k_sx*(k_p4_2+((E96)-k_mx)/k_sx*(k_p4_3+((E96)-k_mx)/k_sx*k_p4_4)))),"")</f>
        <v/>
      </c>
      <c r="F97">
        <f>IF(ISNUMBER(F96),(k_ea+k_eb*EXP(k_ec*((F96)-k_mx)/k_sx)),"")</f>
        <v/>
      </c>
    </row>
    <row r="98">
      <c r="A98" s="7" t="inlineStr">
        <is>
          <t>ModDmax: xS</t>
        </is>
      </c>
      <c r="C98">
        <f>k_mdx</f>
        <v/>
      </c>
      <c r="D98">
        <f>k_mdx</f>
        <v/>
      </c>
      <c r="E98">
        <f>k_mdx</f>
        <v/>
      </c>
      <c r="F98">
        <f>k_mdx</f>
        <v/>
      </c>
    </row>
    <row r="99">
      <c r="A99" s="7" t="inlineStr">
        <is>
          <t>ModDmax: yS</t>
        </is>
      </c>
      <c r="C99">
        <f>k_mdy</f>
        <v/>
      </c>
      <c r="D99">
        <f>k_mdy</f>
        <v/>
      </c>
      <c r="E99">
        <f>k_mdy</f>
        <v/>
      </c>
      <c r="F99">
        <f>k_mdy</f>
        <v/>
      </c>
    </row>
    <row r="100">
      <c r="A100" s="7" t="inlineStr">
        <is>
          <t>ModDmax: xE</t>
        </is>
      </c>
      <c r="C100">
        <f>INDEX(Calc!$G$3:$G$22,k_n)</f>
        <v/>
      </c>
      <c r="D100">
        <f>INDEX(Calc!$G$3:$G$22,k_n)</f>
        <v/>
      </c>
      <c r="E100">
        <f>INDEX(Calc!$G$3:$G$22,k_n)</f>
        <v/>
      </c>
      <c r="F100">
        <f>INDEX(Calc!$G$3:$G$22,k_n)</f>
        <v/>
      </c>
    </row>
    <row r="101">
      <c r="A101" s="7" t="inlineStr">
        <is>
          <t>ModDmax: yE</t>
        </is>
      </c>
      <c r="C101">
        <f>k_ylast</f>
        <v/>
      </c>
      <c r="D101">
        <f>k_ylast</f>
        <v/>
      </c>
      <c r="E101">
        <f>k_ylast</f>
        <v/>
      </c>
      <c r="F101">
        <f>k_ylast</f>
        <v/>
      </c>
    </row>
    <row r="102">
      <c r="A102" s="7" t="inlineStr">
        <is>
          <t>ModDmax: A</t>
        </is>
      </c>
      <c r="C102">
        <f>C101-C99</f>
        <v/>
      </c>
      <c r="D102">
        <f>D101-D99</f>
        <v/>
      </c>
      <c r="E102">
        <f>E101-E99</f>
        <v/>
      </c>
      <c r="F102">
        <f>F101-F99</f>
        <v/>
      </c>
    </row>
    <row r="103">
      <c r="A103" s="7" t="inlineStr">
        <is>
          <t>ModDmax: B</t>
        </is>
      </c>
      <c r="C103">
        <f>-(C100-C98)</f>
        <v/>
      </c>
      <c r="D103">
        <f>-(D100-D98)</f>
        <v/>
      </c>
      <c r="E103">
        <f>-(E100-E98)</f>
        <v/>
      </c>
      <c r="F103">
        <f>-(F100-F98)</f>
        <v/>
      </c>
    </row>
    <row r="104">
      <c r="A104" s="7" t="inlineStr">
        <is>
          <t>ModDmax: C</t>
        </is>
      </c>
      <c r="C104">
        <f>C100*C99-C101*C98</f>
        <v/>
      </c>
      <c r="D104">
        <f>D100*D99-D101*D98</f>
        <v/>
      </c>
      <c r="E104">
        <f>E100*E99-E101*E98</f>
        <v/>
      </c>
      <c r="F104">
        <f>F100*F99-F101*F98</f>
        <v/>
      </c>
    </row>
    <row r="105">
      <c r="A105" s="7" t="inlineStr">
        <is>
          <t>ModDmax: Norm</t>
        </is>
      </c>
      <c r="C105">
        <f>MAX(SQRT(C102^2+C103^2),1E-12)</f>
        <v/>
      </c>
      <c r="D105">
        <f>MAX(SQRT(D102^2+D103^2),1E-12)</f>
        <v/>
      </c>
      <c r="E105">
        <f>MAX(SQRT(E102^2+E103^2),1E-12)</f>
        <v/>
      </c>
      <c r="F105">
        <f>MAX(SQRT(F102^2+F103^2),1E-12)</f>
        <v/>
      </c>
    </row>
    <row r="106">
      <c r="A106" s="7" t="inlineStr">
        <is>
          <t>ModDmax: max. Abstand</t>
        </is>
      </c>
      <c r="C106" s="7">
        <f t="array" ref="C106">MAX(IF((Grid!$B$2:$B$1002&gt;C98)*(Grid!$B$2:$B$1002&lt;C100),(C$102*Grid!$B$2:$B$1002+C$103*Grid!$D$2:$D$1002+C$104)/C$105,-1E+300))</f>
        <v/>
      </c>
      <c r="D106" s="7">
        <f t="array" ref="D106">MAX(IF((Grid!$B$2:$B$1002&gt;D98)*(Grid!$B$2:$B$1002&lt;D100),(D$102*Grid!$B$2:$B$1002+D$103*Grid!$E$2:$E$1002+D$104)/D$105,-1E+300))</f>
        <v/>
      </c>
      <c r="E106" s="7">
        <f t="array" ref="E106">MAX(IF((Grid!$B$2:$B$1002&gt;E98)*(Grid!$B$2:$B$1002&lt;E100),(E$102*Grid!$B$2:$B$1002+E$103*Grid!$F$2:$F$1002+E$104)/E$105,-1E+300))</f>
        <v/>
      </c>
      <c r="F106" s="7">
        <f t="array" ref="F106">MAX(IF((Grid!$B$2:$B$1002&gt;F98)*(Grid!$B$2:$B$1002&lt;F100),(F$102*Grid!$B$2:$B$1002+F$103*Grid!$G$2:$G$1002+F$104)/F$105,-1E+300))</f>
        <v/>
      </c>
    </row>
    <row r="107">
      <c r="A107" s="7" t="inlineStr">
        <is>
          <t>ModDmax: Index</t>
        </is>
      </c>
      <c r="C107" s="7">
        <f t="array" ref="C107">IFERROR(MATCH(C106,IF((Grid!$B$2:$B$1002&gt;C98)*(Grid!$B$2:$B$1002&lt;C100),(C$102*Grid!$B$2:$B$1002+C$103*Grid!$D$2:$D$1002+C$104)/C$105,-1E+300),0),0)</f>
        <v/>
      </c>
      <c r="D107" s="7">
        <f t="array" ref="D107">IFERROR(MATCH(D106,IF((Grid!$B$2:$B$1002&gt;D98)*(Grid!$B$2:$B$1002&lt;D100),(D$102*Grid!$B$2:$B$1002+D$103*Grid!$E$2:$E$1002+D$104)/D$105,-1E+300),0),0)</f>
        <v/>
      </c>
      <c r="E107" s="7">
        <f t="array" ref="E107">IFERROR(MATCH(E106,IF((Grid!$B$2:$B$1002&gt;E98)*(Grid!$B$2:$B$1002&lt;E100),(E$102*Grid!$B$2:$B$1002+E$103*Grid!$F$2:$F$1002+E$104)/E$105,-1E+300),0),0)</f>
        <v/>
      </c>
      <c r="F107" s="7">
        <f t="array" ref="F107">IFERROR(MATCH(F106,IF((Grid!$B$2:$B$1002&gt;F98)*(Grid!$B$2:$B$1002&lt;F100),(F$102*Grid!$B$2:$B$1002+F$103*Grid!$G$2:$G$1002+F$104)/F$105,-1E+300),0),0)</f>
        <v/>
      </c>
    </row>
    <row r="108">
      <c r="A108" s="7" t="inlineStr">
        <is>
          <t>ModDmax: x</t>
        </is>
      </c>
      <c r="C108">
        <f>IF(OR(NOT(C$30),C100&lt;=C98,C106&lt;=0,C107&lt;2,C107&gt;1000),"",IF(OR(INDEX(Grid!$B$2:$B$1002,C107-1)&lt;=C98,INDEX(Grid!$B$2:$B$1002,C107+1)&gt;=C100),"",INDEX(Grid!$B$2:$B$1002,C107)+IF(((C$102*INDEX(Grid!$B$2:$B$1002,C107-1)+C$103*INDEX(Grid!$D$2:$D$1002,C107-1)+C$104)/C$105-2*(C$102*INDEX(Grid!$B$2:$B$1002,C107)+C$103*INDEX(Grid!$D$2:$D$1002,C107)+C$104)/C$105+(C$102*INDEX(Grid!$B$2:$B$1002,C107+1)+C$103*INDEX(Grid!$D$2:$D$1002,C107+1)+C$104)/C$105)&lt;0,0.5*((C$102*INDEX(Grid!$B$2:$B$1002,C107-1)+C$103*INDEX(Grid!$D$2:$D$1002,C107-1)+C$104)/C$105-(C$102*INDEX(Grid!$B$2:$B$1002,C107+1)+C$103*INDEX(Grid!$D$2:$D$1002,C107+1)+C$104)/C$105)/((C$102*INDEX(Grid!$B$2:$B$1002,C107-1)+C$103*INDEX(Grid!$D$2:$D$1002,C107-1)+C$104)/C$105-2*(C$102*INDEX(Grid!$B$2:$B$1002,C107)+C$103*INDEX(Grid!$D$2:$D$1002,C107)+C$104)/C$105+(C$102*INDEX(Grid!$B$2:$B$1002,C107+1)+C$103*INDEX(Grid!$D$2:$D$1002,C107+1)+C$104)/C$105),0)*k_rng/1000))</f>
        <v/>
      </c>
      <c r="D108">
        <f>IF(OR(NOT(D$30),D100&lt;=D98,D106&lt;=0,D107&lt;2,D107&gt;1000),"",IF(OR(INDEX(Grid!$B$2:$B$1002,D107-1)&lt;=D98,INDEX(Grid!$B$2:$B$1002,D107+1)&gt;=D100),"",INDEX(Grid!$B$2:$B$1002,D107)+IF(((D$102*INDEX(Grid!$B$2:$B$1002,D107-1)+D$103*INDEX(Grid!$E$2:$E$1002,D107-1)+D$104)/D$105-2*(D$102*INDEX(Grid!$B$2:$B$1002,D107)+D$103*INDEX(Grid!$E$2:$E$1002,D107)+D$104)/D$105+(D$102*INDEX(Grid!$B$2:$B$1002,D107+1)+D$103*INDEX(Grid!$E$2:$E$1002,D107+1)+D$104)/D$105)&lt;0,0.5*((D$102*INDEX(Grid!$B$2:$B$1002,D107-1)+D$103*INDEX(Grid!$E$2:$E$1002,D107-1)+D$104)/D$105-(D$102*INDEX(Grid!$B$2:$B$1002,D107+1)+D$103*INDEX(Grid!$E$2:$E$1002,D107+1)+D$104)/D$105)/((D$102*INDEX(Grid!$B$2:$B$1002,D107-1)+D$103*INDEX(Grid!$E$2:$E$1002,D107-1)+D$104)/D$105-2*(D$102*INDEX(Grid!$B$2:$B$1002,D107)+D$103*INDEX(Grid!$E$2:$E$1002,D107)+D$104)/D$105+(D$102*INDEX(Grid!$B$2:$B$1002,D107+1)+D$103*INDEX(Grid!$E$2:$E$1002,D107+1)+D$104)/D$105),0)*k_rng/1000))</f>
        <v/>
      </c>
      <c r="E108">
        <f>IF(OR(NOT(E$30),E100&lt;=E98,E106&lt;=0,E107&lt;2,E107&gt;1000),"",IF(OR(INDEX(Grid!$B$2:$B$1002,E107-1)&lt;=E98,INDEX(Grid!$B$2:$B$1002,E107+1)&gt;=E100),"",INDEX(Grid!$B$2:$B$1002,E107)+IF(((E$102*INDEX(Grid!$B$2:$B$1002,E107-1)+E$103*INDEX(Grid!$F$2:$F$1002,E107-1)+E$104)/E$105-2*(E$102*INDEX(Grid!$B$2:$B$1002,E107)+E$103*INDEX(Grid!$F$2:$F$1002,E107)+E$104)/E$105+(E$102*INDEX(Grid!$B$2:$B$1002,E107+1)+E$103*INDEX(Grid!$F$2:$F$1002,E107+1)+E$104)/E$105)&lt;0,0.5*((E$102*INDEX(Grid!$B$2:$B$1002,E107-1)+E$103*INDEX(Grid!$F$2:$F$1002,E107-1)+E$104)/E$105-(E$102*INDEX(Grid!$B$2:$B$1002,E107+1)+E$103*INDEX(Grid!$F$2:$F$1002,E107+1)+E$104)/E$105)/((E$102*INDEX(Grid!$B$2:$B$1002,E107-1)+E$103*INDEX(Grid!$F$2:$F$1002,E107-1)+E$104)/E$105-2*(E$102*INDEX(Grid!$B$2:$B$1002,E107)+E$103*INDEX(Grid!$F$2:$F$1002,E107)+E$104)/E$105+(E$102*INDEX(Grid!$B$2:$B$1002,E107+1)+E$103*INDEX(Grid!$F$2:$F$1002,E107+1)+E$104)/E$105),0)*k_rng/1000))</f>
        <v/>
      </c>
      <c r="F108">
        <f>IF(OR(NOT(F$30),F100&lt;=F98,F106&lt;=0,F107&lt;2,F107&gt;1000),"",IF(OR(INDEX(Grid!$B$2:$B$1002,F107-1)&lt;=F98,INDEX(Grid!$B$2:$B$1002,F107+1)&gt;=F100),"",INDEX(Grid!$B$2:$B$1002,F107)+IF(((F$102*INDEX(Grid!$B$2:$B$1002,F107-1)+F$103*INDEX(Grid!$G$2:$G$1002,F107-1)+F$104)/F$105-2*(F$102*INDEX(Grid!$B$2:$B$1002,F107)+F$103*INDEX(Grid!$G$2:$G$1002,F107)+F$104)/F$105+(F$102*INDEX(Grid!$B$2:$B$1002,F107+1)+F$103*INDEX(Grid!$G$2:$G$1002,F107+1)+F$104)/F$105)&lt;0,0.5*((F$102*INDEX(Grid!$B$2:$B$1002,F107-1)+F$103*INDEX(Grid!$G$2:$G$1002,F107-1)+F$104)/F$105-(F$102*INDEX(Grid!$B$2:$B$1002,F107+1)+F$103*INDEX(Grid!$G$2:$G$1002,F107+1)+F$104)/F$105)/((F$102*INDEX(Grid!$B$2:$B$1002,F107-1)+F$103*INDEX(Grid!$G$2:$G$1002,F107-1)+F$104)/F$105-2*(F$102*INDEX(Grid!$B$2:$B$1002,F107)+F$103*INDEX(Grid!$G$2:$G$1002,F107)+F$104)/F$105+(F$102*INDEX(Grid!$B$2:$B$1002,F107+1)+F$103*INDEX(Grid!$G$2:$G$1002,F107+1)+F$104)/F$105),0)*k_rng/1000))</f>
        <v/>
      </c>
    </row>
    <row r="109">
      <c r="A109" s="7" t="inlineStr">
        <is>
          <t>ModDmax: La</t>
        </is>
      </c>
      <c r="C109">
        <f>IF(ISNUMBER(C108),(k_p2_0+((C108)-k_mx)/k_sx*(k_p2_1+((C108)-k_mx)/k_sx*k_p2_2)),"")</f>
        <v/>
      </c>
      <c r="D109">
        <f>IF(ISNUMBER(D108),(k_p3_0+((D108)-k_mx)/k_sx*(k_p3_1+((D108)-k_mx)/k_sx*(k_p3_2+((D108)-k_mx)/k_sx*k_p3_3))),"")</f>
        <v/>
      </c>
      <c r="E109">
        <f>IF(ISNUMBER(E108),(k_p4_0+((E108)-k_mx)/k_sx*(k_p4_1+((E108)-k_mx)/k_sx*(k_p4_2+((E108)-k_mx)/k_sx*(k_p4_3+((E108)-k_mx)/k_sx*k_p4_4)))),"")</f>
        <v/>
      </c>
      <c r="F109">
        <f>IF(ISNUMBER(F108),(k_ea+k_eb*EXP(k_ec*((F108)-k_mx)/k_sx)),"")</f>
        <v/>
      </c>
    </row>
    <row r="110">
      <c r="A110" s="7" t="inlineStr">
        <is>
          <t>Log-Poly-ModDmax: xS</t>
        </is>
      </c>
      <c r="C110">
        <f>IF(k_llok,k_llx,0)</f>
        <v/>
      </c>
      <c r="D110">
        <f>IF(k_llok,k_llx,0)</f>
        <v/>
      </c>
      <c r="E110">
        <f>IF(k_llok,k_llx,0)</f>
        <v/>
      </c>
      <c r="F110">
        <f>IF(k_llok,k_llx,0)</f>
        <v/>
      </c>
    </row>
    <row r="111">
      <c r="A111" s="7" t="inlineStr">
        <is>
          <t>Log-Poly-ModDmax: yS</t>
        </is>
      </c>
      <c r="C111">
        <f>IF(k_llok,(k_p2_0+((k_llx)-k_mx)/k_sx*(k_p2_1+((k_llx)-k_mx)/k_sx*k_p2_2)),0)</f>
        <v/>
      </c>
      <c r="D111">
        <f>IF(k_llok,(k_p3_0+((k_llx)-k_mx)/k_sx*(k_p3_1+((k_llx)-k_mx)/k_sx*(k_p3_2+((k_llx)-k_mx)/k_sx*k_p3_3))),0)</f>
        <v/>
      </c>
      <c r="E111">
        <f>IF(k_llok,(k_p4_0+((k_llx)-k_mx)/k_sx*(k_p4_1+((k_llx)-k_mx)/k_sx*(k_p4_2+((k_llx)-k_mx)/k_sx*(k_p4_3+((k_llx)-k_mx)/k_sx*k_p4_4)))),0)</f>
        <v/>
      </c>
      <c r="F111">
        <f>IF(k_llok,(k_ea+k_eb*EXP(k_ec*((k_llx)-k_mx)/k_sx)),0)</f>
        <v/>
      </c>
    </row>
    <row r="112">
      <c r="A112" s="7" t="inlineStr">
        <is>
          <t>Log-Poly-ModDmax: xE</t>
        </is>
      </c>
      <c r="C112">
        <f>INDEX(Calc!$G$3:$G$22,k_n)</f>
        <v/>
      </c>
      <c r="D112">
        <f>INDEX(Calc!$G$3:$G$22,k_n)</f>
        <v/>
      </c>
      <c r="E112">
        <f>INDEX(Calc!$G$3:$G$22,k_n)</f>
        <v/>
      </c>
      <c r="F112">
        <f>INDEX(Calc!$G$3:$G$22,k_n)</f>
        <v/>
      </c>
    </row>
    <row r="113">
      <c r="A113" s="7" t="inlineStr">
        <is>
          <t>Log-Poly-ModDmax: yE</t>
        </is>
      </c>
      <c r="C113">
        <f>k_ylast</f>
        <v/>
      </c>
      <c r="D113">
        <f>k_ylast</f>
        <v/>
      </c>
      <c r="E113">
        <f>k_ylast</f>
        <v/>
      </c>
      <c r="F113">
        <f>k_ylast</f>
        <v/>
      </c>
    </row>
    <row r="114">
      <c r="A114" s="7" t="inlineStr">
        <is>
          <t>Log-Poly-ModDmax: A</t>
        </is>
      </c>
      <c r="C114">
        <f>C113-C111</f>
        <v/>
      </c>
      <c r="D114">
        <f>D113-D111</f>
        <v/>
      </c>
      <c r="E114">
        <f>E113-E111</f>
        <v/>
      </c>
      <c r="F114">
        <f>F113-F111</f>
        <v/>
      </c>
    </row>
    <row r="115">
      <c r="A115" s="7" t="inlineStr">
        <is>
          <t>Log-Poly-ModDmax: B</t>
        </is>
      </c>
      <c r="C115">
        <f>-(C112-C110)</f>
        <v/>
      </c>
      <c r="D115">
        <f>-(D112-D110)</f>
        <v/>
      </c>
      <c r="E115">
        <f>-(E112-E110)</f>
        <v/>
      </c>
      <c r="F115">
        <f>-(F112-F110)</f>
        <v/>
      </c>
    </row>
    <row r="116">
      <c r="A116" s="7" t="inlineStr">
        <is>
          <t>Log-Poly-ModDmax: C</t>
        </is>
      </c>
      <c r="C116">
        <f>C112*C111-C113*C110</f>
        <v/>
      </c>
      <c r="D116">
        <f>D112*D111-D113*D110</f>
        <v/>
      </c>
      <c r="E116">
        <f>E112*E111-E113*E110</f>
        <v/>
      </c>
      <c r="F116">
        <f>F112*F111-F113*F110</f>
        <v/>
      </c>
    </row>
    <row r="117">
      <c r="A117" s="7" t="inlineStr">
        <is>
          <t>Log-Poly-ModDmax: Norm</t>
        </is>
      </c>
      <c r="C117">
        <f>MAX(SQRT(C114^2+C115^2),1E-12)</f>
        <v/>
      </c>
      <c r="D117">
        <f>MAX(SQRT(D114^2+D115^2),1E-12)</f>
        <v/>
      </c>
      <c r="E117">
        <f>MAX(SQRT(E114^2+E115^2),1E-12)</f>
        <v/>
      </c>
      <c r="F117">
        <f>MAX(SQRT(F114^2+F115^2),1E-12)</f>
        <v/>
      </c>
    </row>
    <row r="118">
      <c r="A118" s="7" t="inlineStr">
        <is>
          <t>Log-Poly-ModDmax: max. Abstand</t>
        </is>
      </c>
      <c r="C118" s="7">
        <f t="array" ref="C118">MAX(IF((Grid!$B$2:$B$1002&gt;C110)*(Grid!$B$2:$B$1002&lt;C112),(C$114*Grid!$B$2:$B$1002+C$115*Grid!$D$2:$D$1002+C$116)/C$117,-1E+300))</f>
        <v/>
      </c>
      <c r="D118" s="7">
        <f t="array" ref="D118">MAX(IF((Grid!$B$2:$B$1002&gt;D110)*(Grid!$B$2:$B$1002&lt;D112),(D$114*Grid!$B$2:$B$1002+D$115*Grid!$E$2:$E$1002+D$116)/D$117,-1E+300))</f>
        <v/>
      </c>
      <c r="E118" s="7">
        <f t="array" ref="E118">MAX(IF((Grid!$B$2:$B$1002&gt;E110)*(Grid!$B$2:$B$1002&lt;E112),(E$114*Grid!$B$2:$B$1002+E$115*Grid!$F$2:$F$1002+E$116)/E$117,-1E+300))</f>
        <v/>
      </c>
      <c r="F118" s="7">
        <f t="array" ref="F118">MAX(IF((Grid!$B$2:$B$1002&gt;F110)*(Grid!$B$2:$B$1002&lt;F112),(F$114*Grid!$B$2:$B$1002+F$115*Grid!$G$2:$G$1002+F$116)/F$117,-1E+300))</f>
        <v/>
      </c>
    </row>
    <row r="119">
      <c r="A119" s="7" t="inlineStr">
        <is>
          <t>Log-Poly-ModDmax: Index</t>
        </is>
      </c>
      <c r="C119" s="7">
        <f t="array" ref="C119">IFERROR(MATCH(C118,IF((Grid!$B$2:$B$1002&gt;C110)*(Grid!$B$2:$B$1002&lt;C112),(C$114*Grid!$B$2:$B$1002+C$115*Grid!$D$2:$D$1002+C$116)/C$117,-1E+300),0),0)</f>
        <v/>
      </c>
      <c r="D119" s="7">
        <f t="array" ref="D119">IFERROR(MATCH(D118,IF((Grid!$B$2:$B$1002&gt;D110)*(Grid!$B$2:$B$1002&lt;D112),(D$114*Grid!$B$2:$B$1002+D$115*Grid!$E$2:$E$1002+D$116)/D$117,-1E+300),0),0)</f>
        <v/>
      </c>
      <c r="E119" s="7">
        <f t="array" ref="E119">IFERROR(MATCH(E118,IF((Grid!$B$2:$B$1002&gt;E110)*(Grid!$B$2:$B$1002&lt;E112),(E$114*Grid!$B$2:$B$1002+E$115*Grid!$F$2:$F$1002+E$116)/E$117,-1E+300),0),0)</f>
        <v/>
      </c>
      <c r="F119" s="7">
        <f t="array" ref="F119">IFERROR(MATCH(F118,IF((Grid!$B$2:$B$1002&gt;F110)*(Grid!$B$2:$B$1002&lt;F112),(F$114*Grid!$B$2:$B$1002+F$115*Grid!$G$2:$G$1002+F$116)/F$117,-1E+300),0),0)</f>
        <v/>
      </c>
    </row>
    <row r="120">
      <c r="A120" s="7" t="inlineStr">
        <is>
          <t>Log-Poly-ModDmax: x</t>
        </is>
      </c>
      <c r="C120">
        <f>IF(OR(NOT(C$30),C112&lt;=C110,C118&lt;=0,C119&lt;2,C119&gt;1000),"",IF(OR(INDEX(Grid!$B$2:$B$1002,C119-1)&lt;=C110,INDEX(Grid!$B$2:$B$1002,C119+1)&gt;=C112),"",INDEX(Grid!$B$2:$B$1002,C119)+IF(((C$114*INDEX(Grid!$B$2:$B$1002,C119-1)+C$115*INDEX(Grid!$D$2:$D$1002,C119-1)+C$116)/C$117-2*(C$114*INDEX(Grid!$B$2:$B$1002,C119)+C$115*INDEX(Grid!$D$2:$D$1002,C119)+C$116)/C$117+(C$114*INDEX(Grid!$B$2:$B$1002,C119+1)+C$115*INDEX(Grid!$D$2:$D$1002,C119+1)+C$116)/C$117)&lt;0,0.5*((C$114*INDEX(Grid!$B$2:$B$1002,C119-1)+C$115*INDEX(Grid!$D$2:$D$1002,C119-1)+C$116)/C$117-(C$114*INDEX(Grid!$B$2:$B$1002,C119+1)+C$115*INDEX(Grid!$D$2:$D$1002,C119+1)+C$116)/C$117)/((C$114*INDEX(Grid!$B$2:$B$1002,C119-1)+C$115*INDEX(Grid!$D$2:$D$1002,C119-1)+C$116)/C$117-2*(C$114*INDEX(Grid!$B$2:$B$1002,C119)+C$115*INDEX(Grid!$D$2:$D$1002,C119)+C$116)/C$117+(C$114*INDEX(Grid!$B$2:$B$1002,C119+1)+C$115*INDEX(Grid!$D$2:$D$1002,C119+1)+C$116)/C$117),0)*k_rng/1000))</f>
        <v/>
      </c>
      <c r="D120">
        <f>IF(OR(NOT(D$30),D112&lt;=D110,D118&lt;=0,D119&lt;2,D119&gt;1000),"",IF(OR(INDEX(Grid!$B$2:$B$1002,D119-1)&lt;=D110,INDEX(Grid!$B$2:$B$1002,D119+1)&gt;=D112),"",INDEX(Grid!$B$2:$B$1002,D119)+IF(((D$114*INDEX(Grid!$B$2:$B$1002,D119-1)+D$115*INDEX(Grid!$E$2:$E$1002,D119-1)+D$116)/D$117-2*(D$114*INDEX(Grid!$B$2:$B$1002,D119)+D$115*INDEX(Grid!$E$2:$E$1002,D119)+D$116)/D$117+(D$114*INDEX(Grid!$B$2:$B$1002,D119+1)+D$115*INDEX(Grid!$E$2:$E$1002,D119+1)+D$116)/D$117)&lt;0,0.5*((D$114*INDEX(Grid!$B$2:$B$1002,D119-1)+D$115*INDEX(Grid!$E$2:$E$1002,D119-1)+D$116)/D$117-(D$114*INDEX(Grid!$B$2:$B$1002,D119+1)+D$115*INDEX(Grid!$E$2:$E$1002,D119+1)+D$116)/D$117)/((D$114*INDEX(Grid!$B$2:$B$1002,D119-1)+D$115*INDEX(Grid!$E$2:$E$1002,D119-1)+D$116)/D$117-2*(D$114*INDEX(Grid!$B$2:$B$1002,D119)+D$115*INDEX(Grid!$E$2:$E$1002,D119)+D$116)/D$117+(D$114*INDEX(Grid!$B$2:$B$1002,D119+1)+D$115*INDEX(Grid!$E$2:$E$1002,D119+1)+D$116)/D$117),0)*k_rng/1000))</f>
        <v/>
      </c>
      <c r="E120">
        <f>IF(OR(NOT(E$30),E112&lt;=E110,E118&lt;=0,E119&lt;2,E119&gt;1000),"",IF(OR(INDEX(Grid!$B$2:$B$1002,E119-1)&lt;=E110,INDEX(Grid!$B$2:$B$1002,E119+1)&gt;=E112),"",INDEX(Grid!$B$2:$B$1002,E119)+IF(((E$114*INDEX(Grid!$B$2:$B$1002,E119-1)+E$115*INDEX(Grid!$F$2:$F$1002,E119-1)+E$116)/E$117-2*(E$114*INDEX(Grid!$B$2:$B$1002,E119)+E$115*INDEX(Grid!$F$2:$F$1002,E119)+E$116)/E$117+(E$114*INDEX(Grid!$B$2:$B$1002,E119+1)+E$115*INDEX(Grid!$F$2:$F$1002,E119+1)+E$116)/E$117)&lt;0,0.5*((E$114*INDEX(Grid!$B$2:$B$1002,E119-1)+E$115*INDEX(Grid!$F$2:$F$1002,E119-1)+E$116)/E$117-(E$114*INDEX(Grid!$B$2:$B$1002,E119+1)+E$115*INDEX(Grid!$F$2:$F$1002,E119+1)+E$116)/E$117)/((E$114*INDEX(Grid!$B$2:$B$1002,E119-1)+E$115*INDEX(Grid!$F$2:$F$1002,E119-1)+E$116)/E$117-2*(E$114*INDEX(Grid!$B$2:$B$1002,E119)+E$115*INDEX(Grid!$F$2:$F$1002,E119)+E$116)/E$117+(E$114*INDEX(Grid!$B$2:$B$1002,E119+1)+E$115*INDEX(Grid!$F$2:$F$1002,E119+1)+E$116)/E$117),0)*k_rng/1000))</f>
        <v/>
      </c>
      <c r="F120">
        <f>IF(OR(NOT(F$30),F112&lt;=F110,F118&lt;=0,F119&lt;2,F119&gt;1000),"",IF(OR(INDEX(Grid!$B$2:$B$1002,F119-1)&lt;=F110,INDEX(Grid!$B$2:$B$1002,F119+1)&gt;=F112),"",INDEX(Grid!$B$2:$B$1002,F119)+IF(((F$114*INDEX(Grid!$B$2:$B$1002,F119-1)+F$115*INDEX(Grid!$G$2:$G$1002,F119-1)+F$116)/F$117-2*(F$114*INDEX(Grid!$B$2:$B$1002,F119)+F$115*INDEX(Grid!$G$2:$G$1002,F119)+F$116)/F$117+(F$114*INDEX(Grid!$B$2:$B$1002,F119+1)+F$115*INDEX(Grid!$G$2:$G$1002,F119+1)+F$116)/F$117)&lt;0,0.5*((F$114*INDEX(Grid!$B$2:$B$1002,F119-1)+F$115*INDEX(Grid!$G$2:$G$1002,F119-1)+F$116)/F$117-(F$114*INDEX(Grid!$B$2:$B$1002,F119+1)+F$115*INDEX(Grid!$G$2:$G$1002,F119+1)+F$116)/F$117)/((F$114*INDEX(Grid!$B$2:$B$1002,F119-1)+F$115*INDEX(Grid!$G$2:$G$1002,F119-1)+F$116)/F$117-2*(F$114*INDEX(Grid!$B$2:$B$1002,F119)+F$115*INDEX(Grid!$G$2:$G$1002,F119)+F$116)/F$117+(F$114*INDEX(Grid!$B$2:$B$1002,F119+1)+F$115*INDEX(Grid!$G$2:$G$1002,F119+1)+F$116)/F$117),0)*k_rng/1000))</f>
        <v/>
      </c>
    </row>
    <row r="121">
      <c r="A121" s="7" t="inlineStr">
        <is>
          <t>Log-Poly-ModDmax: La</t>
        </is>
      </c>
      <c r="C121">
        <f>IF(ISNUMBER(C120),(k_p2_0+((C120)-k_mx)/k_sx*(k_p2_1+((C120)-k_mx)/k_sx*k_p2_2)),"")</f>
        <v/>
      </c>
      <c r="D121">
        <f>IF(ISNUMBER(D120),(k_p3_0+((D120)-k_mx)/k_sx*(k_p3_1+((D120)-k_mx)/k_sx*(k_p3_2+((D120)-k_mx)/k_sx*k_p3_3))),"")</f>
        <v/>
      </c>
      <c r="E121">
        <f>IF(ISNUMBER(E120),(k_p4_0+((E120)-k_mx)/k_sx*(k_p4_1+((E120)-k_mx)/k_sx*(k_p4_2+((E120)-k_mx)/k_sx*(k_p4_3+((E120)-k_mx)/k_sx*k_p4_4)))),"")</f>
        <v/>
      </c>
      <c r="F121">
        <f>IF(ISNUMBER(F120),(k_ea+k_eb*EXP(k_ec*((F120)-k_mx)/k_sx)),"")</f>
        <v/>
      </c>
    </row>
    <row r="122">
      <c r="A122" s="7" t="inlineStr">
        <is>
          <t>Exp-Dmax: xS</t>
        </is>
      </c>
      <c r="C122">
        <f>k_lo</f>
        <v/>
      </c>
      <c r="D122">
        <f>k_lo</f>
        <v/>
      </c>
      <c r="E122">
        <f>k_lo</f>
        <v/>
      </c>
      <c r="F122">
        <f>k_lo</f>
        <v/>
      </c>
    </row>
    <row r="123">
      <c r="A123" s="7" t="inlineStr">
        <is>
          <t>Exp-Dmax: yS</t>
        </is>
      </c>
      <c r="C123">
        <f>k_yfirst</f>
        <v/>
      </c>
      <c r="D123">
        <f>k_yfirst</f>
        <v/>
      </c>
      <c r="E123">
        <f>k_yfirst</f>
        <v/>
      </c>
      <c r="F123">
        <f>k_yfirst</f>
        <v/>
      </c>
    </row>
    <row r="124">
      <c r="A124" s="7" t="inlineStr">
        <is>
          <t>Exp-Dmax: xE</t>
        </is>
      </c>
      <c r="C124">
        <f>INDEX(Calc!$G$3:$G$22,k_n)</f>
        <v/>
      </c>
      <c r="D124">
        <f>INDEX(Calc!$G$3:$G$22,k_n)</f>
        <v/>
      </c>
      <c r="E124">
        <f>INDEX(Calc!$G$3:$G$22,k_n)</f>
        <v/>
      </c>
      <c r="F124">
        <f>INDEX(Calc!$G$3:$G$22,k_n)</f>
        <v/>
      </c>
    </row>
    <row r="125">
      <c r="A125" s="7" t="inlineStr">
        <is>
          <t>Exp-Dmax: yE</t>
        </is>
      </c>
      <c r="C125">
        <f>k_ylast</f>
        <v/>
      </c>
      <c r="D125">
        <f>k_ylast</f>
        <v/>
      </c>
      <c r="E125">
        <f>k_ylast</f>
        <v/>
      </c>
      <c r="F125">
        <f>k_ylast</f>
        <v/>
      </c>
    </row>
    <row r="126">
      <c r="A126" s="7" t="inlineStr">
        <is>
          <t>Exp-Dmax: A</t>
        </is>
      </c>
      <c r="C126">
        <f>C125-C123</f>
        <v/>
      </c>
      <c r="D126">
        <f>D125-D123</f>
        <v/>
      </c>
      <c r="E126">
        <f>E125-E123</f>
        <v/>
      </c>
      <c r="F126">
        <f>F125-F123</f>
        <v/>
      </c>
    </row>
    <row r="127">
      <c r="A127" s="7" t="inlineStr">
        <is>
          <t>Exp-Dmax: B</t>
        </is>
      </c>
      <c r="C127">
        <f>-(C124-C122)</f>
        <v/>
      </c>
      <c r="D127">
        <f>-(D124-D122)</f>
        <v/>
      </c>
      <c r="E127">
        <f>-(E124-E122)</f>
        <v/>
      </c>
      <c r="F127">
        <f>-(F124-F122)</f>
        <v/>
      </c>
    </row>
    <row r="128">
      <c r="A128" s="7" t="inlineStr">
        <is>
          <t>Exp-Dmax: C</t>
        </is>
      </c>
      <c r="C128">
        <f>C124*C123-C125*C122</f>
        <v/>
      </c>
      <c r="D128">
        <f>D124*D123-D125*D122</f>
        <v/>
      </c>
      <c r="E128">
        <f>E124*E123-E125*E122</f>
        <v/>
      </c>
      <c r="F128">
        <f>F124*F123-F125*F122</f>
        <v/>
      </c>
    </row>
    <row r="129">
      <c r="A129" s="7" t="inlineStr">
        <is>
          <t>Exp-Dmax: Norm</t>
        </is>
      </c>
      <c r="C129">
        <f>MAX(SQRT(C126^2+C127^2),1E-12)</f>
        <v/>
      </c>
      <c r="D129">
        <f>MAX(SQRT(D126^2+D127^2),1E-12)</f>
        <v/>
      </c>
      <c r="E129">
        <f>MAX(SQRT(E126^2+E127^2),1E-12)</f>
        <v/>
      </c>
      <c r="F129">
        <f>MAX(SQRT(F126^2+F127^2),1E-12)</f>
        <v/>
      </c>
    </row>
    <row r="130">
      <c r="A130" s="7" t="inlineStr">
        <is>
          <t>Exp-Dmax: max. Abstand</t>
        </is>
      </c>
      <c r="C130" s="7">
        <f t="array" ref="C130">MAX(IF((Grid!$B$2:$B$1002&gt;C122)*(Grid!$B$2:$B$1002&lt;C124),(C$126*Grid!$B$2:$B$1002+C$127*Grid!$G$2:$G$1002+C$128)/C$129,-1E+300))</f>
        <v/>
      </c>
      <c r="D130" s="7">
        <f t="array" ref="D130">MAX(IF((Grid!$B$2:$B$1002&gt;D122)*(Grid!$B$2:$B$1002&lt;D124),(D$126*Grid!$B$2:$B$1002+D$127*Grid!$G$2:$G$1002+D$128)/D$129,-1E+300))</f>
        <v/>
      </c>
      <c r="E130" s="7">
        <f t="array" ref="E130">MAX(IF((Grid!$B$2:$B$1002&gt;E122)*(Grid!$B$2:$B$1002&lt;E124),(E$126*Grid!$B$2:$B$1002+E$127*Grid!$G$2:$G$1002+E$128)/E$129,-1E+300))</f>
        <v/>
      </c>
      <c r="F130" s="7">
        <f t="array" ref="F130">MAX(IF((Grid!$B$2:$B$1002&gt;F122)*(Grid!$B$2:$B$1002&lt;F124),(F$126*Grid!$B$2:$B$1002+F$127*Grid!$G$2:$G$1002+F$128)/F$129,-1E+300))</f>
        <v/>
      </c>
    </row>
    <row r="131">
      <c r="A131" s="7" t="inlineStr">
        <is>
          <t>Exp-Dmax: Index</t>
        </is>
      </c>
      <c r="C131" s="7">
        <f t="array" ref="C131">IFERROR(MATCH(C130,IF((Grid!$B$2:$B$1002&gt;C122)*(Grid!$B$2:$B$1002&lt;C124),(C$126*Grid!$B$2:$B$1002+C$127*Grid!$G$2:$G$1002+C$128)/C$129,-1E+300),0),0)</f>
        <v/>
      </c>
      <c r="D131" s="7">
        <f t="array" ref="D131">IFERROR(MATCH(D130,IF((Grid!$B$2:$B$1002&gt;D122)*(Grid!$B$2:$B$1002&lt;D124),(D$126*Grid!$B$2:$B$1002+D$127*Grid!$G$2:$G$1002+D$128)/D$129,-1E+300),0),0)</f>
        <v/>
      </c>
      <c r="E131" s="7">
        <f t="array" ref="E131">IFERROR(MATCH(E130,IF((Grid!$B$2:$B$1002&gt;E122)*(Grid!$B$2:$B$1002&lt;E124),(E$126*Grid!$B$2:$B$1002+E$127*Grid!$G$2:$G$1002+E$128)/E$129,-1E+300),0),0)</f>
        <v/>
      </c>
      <c r="F131" s="7">
        <f t="array" ref="F131">IFERROR(MATCH(F130,IF((Grid!$B$2:$B$1002&gt;F122)*(Grid!$B$2:$B$1002&lt;F124),(F$126*Grid!$B$2:$B$1002+F$127*Grid!$G$2:$G$1002+F$128)/F$129,-1E+300),0),0)</f>
        <v/>
      </c>
    </row>
    <row r="132">
      <c r="A132" s="7" t="inlineStr">
        <is>
          <t>Exp-Dmax: x</t>
        </is>
      </c>
      <c r="C132">
        <f>IF(OR(NOT($F$30),C124&lt;=C122,C130&lt;=0,C131&lt;2,C131&gt;1000),"",IF(OR(INDEX(Grid!$B$2:$B$1002,C131-1)&lt;=C122,INDEX(Grid!$B$2:$B$1002,C131+1)&gt;=C124),"",INDEX(Grid!$B$2:$B$1002,C131)+IF(((C$126*INDEX(Grid!$B$2:$B$1002,C131-1)+C$127*INDEX(Grid!$G$2:$G$1002,C131-1)+C$128)/C$129-2*(C$126*INDEX(Grid!$B$2:$B$1002,C131)+C$127*INDEX(Grid!$G$2:$G$1002,C131)+C$128)/C$129+(C$126*INDEX(Grid!$B$2:$B$1002,C131+1)+C$127*INDEX(Grid!$G$2:$G$1002,C131+1)+C$128)/C$129)&lt;0,0.5*((C$126*INDEX(Grid!$B$2:$B$1002,C131-1)+C$127*INDEX(Grid!$G$2:$G$1002,C131-1)+C$128)/C$129-(C$126*INDEX(Grid!$B$2:$B$1002,C131+1)+C$127*INDEX(Grid!$G$2:$G$1002,C131+1)+C$128)/C$129)/((C$126*INDEX(Grid!$B$2:$B$1002,C131-1)+C$127*INDEX(Grid!$G$2:$G$1002,C131-1)+C$128)/C$129-2*(C$126*INDEX(Grid!$B$2:$B$1002,C131)+C$127*INDEX(Grid!$G$2:$G$1002,C131)+C$128)/C$129+(C$126*INDEX(Grid!$B$2:$B$1002,C131+1)+C$127*INDEX(Grid!$G$2:$G$1002,C131+1)+C$128)/C$129),0)*k_rng/1000))</f>
        <v/>
      </c>
      <c r="D132">
        <f>IF(OR(NOT($F$30),D124&lt;=D122,D130&lt;=0,D131&lt;2,D131&gt;1000),"",IF(OR(INDEX(Grid!$B$2:$B$1002,D131-1)&lt;=D122,INDEX(Grid!$B$2:$B$1002,D131+1)&gt;=D124),"",INDEX(Grid!$B$2:$B$1002,D131)+IF(((D$126*INDEX(Grid!$B$2:$B$1002,D131-1)+D$127*INDEX(Grid!$G$2:$G$1002,D131-1)+D$128)/D$129-2*(D$126*INDEX(Grid!$B$2:$B$1002,D131)+D$127*INDEX(Grid!$G$2:$G$1002,D131)+D$128)/D$129+(D$126*INDEX(Grid!$B$2:$B$1002,D131+1)+D$127*INDEX(Grid!$G$2:$G$1002,D131+1)+D$128)/D$129)&lt;0,0.5*((D$126*INDEX(Grid!$B$2:$B$1002,D131-1)+D$127*INDEX(Grid!$G$2:$G$1002,D131-1)+D$128)/D$129-(D$126*INDEX(Grid!$B$2:$B$1002,D131+1)+D$127*INDEX(Grid!$G$2:$G$1002,D131+1)+D$128)/D$129)/((D$126*INDEX(Grid!$B$2:$B$1002,D131-1)+D$127*INDEX(Grid!$G$2:$G$1002,D131-1)+D$128)/D$129-2*(D$126*INDEX(Grid!$B$2:$B$1002,D131)+D$127*INDEX(Grid!$G$2:$G$1002,D131)+D$128)/D$129+(D$126*INDEX(Grid!$B$2:$B$1002,D131+1)+D$127*INDEX(Grid!$G$2:$G$1002,D131+1)+D$128)/D$129),0)*k_rng/1000))</f>
        <v/>
      </c>
      <c r="E132">
        <f>IF(OR(NOT($F$30),E124&lt;=E122,E130&lt;=0,E131&lt;2,E131&gt;1000),"",IF(OR(INDEX(Grid!$B$2:$B$1002,E131-1)&lt;=E122,INDEX(Grid!$B$2:$B$1002,E131+1)&gt;=E124),"",INDEX(Grid!$B$2:$B$1002,E131)+IF(((E$126*INDEX(Grid!$B$2:$B$1002,E131-1)+E$127*INDEX(Grid!$G$2:$G$1002,E131-1)+E$128)/E$129-2*(E$126*INDEX(Grid!$B$2:$B$1002,E131)+E$127*INDEX(Grid!$G$2:$G$1002,E131)+E$128)/E$129+(E$126*INDEX(Grid!$B$2:$B$1002,E131+1)+E$127*INDEX(Grid!$G$2:$G$1002,E131+1)+E$128)/E$129)&lt;0,0.5*((E$126*INDEX(Grid!$B$2:$B$1002,E131-1)+E$127*INDEX(Grid!$G$2:$G$1002,E131-1)+E$128)/E$129-(E$126*INDEX(Grid!$B$2:$B$1002,E131+1)+E$127*INDEX(Grid!$G$2:$G$1002,E131+1)+E$128)/E$129)/((E$126*INDEX(Grid!$B$2:$B$1002,E131-1)+E$127*INDEX(Grid!$G$2:$G$1002,E131-1)+E$128)/E$129-2*(E$126*INDEX(Grid!$B$2:$B$1002,E131)+E$127*INDEX(Grid!$G$2:$G$1002,E131)+E$128)/E$129+(E$126*INDEX(Grid!$B$2:$B$1002,E131+1)+E$127*INDEX(Grid!$G$2:$G$1002,E131+1)+E$128)/E$129),0)*k_rng/1000))</f>
        <v/>
      </c>
      <c r="F132">
        <f>IF(OR(NOT($F$30),F124&lt;=F122,F130&lt;=0,F131&lt;2,F131&gt;1000),"",IF(OR(INDEX(Grid!$B$2:$B$1002,F131-1)&lt;=F122,INDEX(Grid!$B$2:$B$1002,F131+1)&gt;=F124),"",INDEX(Grid!$B$2:$B$1002,F131)+IF(((F$126*INDEX(Grid!$B$2:$B$1002,F131-1)+F$127*INDEX(Grid!$G$2:$G$1002,F131-1)+F$128)/F$129-2*(F$126*INDEX(Grid!$B$2:$B$1002,F131)+F$127*INDEX(Grid!$G$2:$G$1002,F131)+F$128)/F$129+(F$126*INDEX(Grid!$B$2:$B$1002,F131+1)+F$127*INDEX(Grid!$G$2:$G$1002,F131+1)+F$128)/F$129)&lt;0,0.5*((F$126*INDEX(Grid!$B$2:$B$1002,F131-1)+F$127*INDEX(Grid!$G$2:$G$1002,F131-1)+F$128)/F$129-(F$126*INDEX(Grid!$B$2:$B$1002,F131+1)+F$127*INDEX(Grid!$G$2:$G$1002,F131+1)+F$128)/F$129)/((F$126*INDEX(Grid!$B$2:$B$1002,F131-1)+F$127*INDEX(Grid!$G$2:$G$1002,F131-1)+F$128)/F$129-2*(F$126*INDEX(Grid!$B$2:$B$1002,F131)+F$127*INDEX(Grid!$G$2:$G$1002,F131)+F$128)/F$129+(F$126*INDEX(Grid!$B$2:$B$1002,F131+1)+F$127*INDEX(Grid!$G$2:$G$1002,F131+1)+F$128)/F$129),0)*k_rng/1000))</f>
        <v/>
      </c>
    </row>
    <row r="133">
      <c r="A133" s="7" t="inlineStr">
        <is>
          <t>Exp-Dmax: La</t>
        </is>
      </c>
      <c r="C133">
        <f>IF(ISNUMBER(C132),(k_ea+k_eb*EXP(k_ec*((C132)-k_mx)/k_sx)),"")</f>
        <v/>
      </c>
      <c r="D133">
        <f>IF(ISNUMBER(D132),(k_ea+k_eb*EXP(k_ec*((D132)-k_mx)/k_sx)),"")</f>
        <v/>
      </c>
      <c r="E133">
        <f>IF(ISNUMBER(E132),(k_ea+k_eb*EXP(k_ec*((E132)-k_mx)/k_sx)),"")</f>
        <v/>
      </c>
      <c r="F133">
        <f>IF(ISNUMBER(F132),(k_ea+k_eb*EXP(k_ec*((F132)-k_mx)/k_sx)),"")</f>
        <v/>
      </c>
    </row>
    <row r="134">
      <c r="A134" s="7" t="inlineStr">
        <is>
          <t>Keul: Index</t>
        </is>
      </c>
      <c r="C134" s="7">
        <f t="array" ref="C134">IFERROR(MATCH(1,((Grid!$H$2:$H$1001-TAN(RADIANS(51)))*(Grid!$H$3:$H$1002-TAN(RADIANS(51)))&lt;=0)*1,0),0)</f>
        <v/>
      </c>
      <c r="D134" s="7">
        <f t="array" ref="D134">IFERROR(MATCH(1,((Grid!$I$2:$I$1001-TAN(RADIANS(51)))*(Grid!$I$3:$I$1002-TAN(RADIANS(51)))&lt;=0)*1,0),0)</f>
        <v/>
      </c>
      <c r="E134" s="7">
        <f t="array" ref="E134">IFERROR(MATCH(1,((Grid!$J$2:$J$1001-TAN(RADIANS(51)))*(Grid!$J$3:$J$1002-TAN(RADIANS(51)))&lt;=0)*1,0),0)</f>
        <v/>
      </c>
      <c r="F134" s="7">
        <f t="array" ref="F134">IFERROR(MATCH(1,((Grid!$K$2:$K$1001-TAN(RADIANS(51)))*(Grid!$K$3:$K$1002-TAN(RADIANS(51)))&lt;=0)*1,0),0)</f>
        <v/>
      </c>
    </row>
    <row r="135">
      <c r="A135" s="7" t="inlineStr">
        <is>
          <t>Keul: x</t>
        </is>
      </c>
      <c r="C135">
        <f>IF(OR(NOT(C$30),C134=0),"",IF((INDEX(Grid!$H$2:$H$1002,C134+1)-(TAN(RADIANS(51))))=(INDEX(Grid!$H$2:$H$1002,C134)-(TAN(RADIANS(51)))),INDEX(Grid!$B$2:$B$1002,C134),INDEX(Grid!$B$2:$B$1002,C134)+(0-(INDEX(Grid!$H$2:$H$1002,C134)-(TAN(RADIANS(51)))))/((INDEX(Grid!$H$2:$H$1002,C134+1)-(TAN(RADIANS(51))))-(INDEX(Grid!$H$2:$H$1002,C134)-(TAN(RADIANS(51)))))*(INDEX(Grid!$B$2:$B$1002,C134+1)-INDEX(Grid!$B$2:$B$1002,C134))))</f>
        <v/>
      </c>
      <c r="D135">
        <f>IF(OR(NOT(D$30),D134=0),"",IF((INDEX(Grid!$I$2:$I$1002,D134+1)-(TAN(RADIANS(51))))=(INDEX(Grid!$I$2:$I$1002,D134)-(TAN(RADIANS(51)))),INDEX(Grid!$B$2:$B$1002,D134),INDEX(Grid!$B$2:$B$1002,D134)+(0-(INDEX(Grid!$I$2:$I$1002,D134)-(TAN(RADIANS(51)))))/((INDEX(Grid!$I$2:$I$1002,D134+1)-(TAN(RADIANS(51))))-(INDEX(Grid!$I$2:$I$1002,D134)-(TAN(RADIANS(51)))))*(INDEX(Grid!$B$2:$B$1002,D134+1)-INDEX(Grid!$B$2:$B$1002,D134))))</f>
        <v/>
      </c>
      <c r="E135">
        <f>IF(OR(NOT(E$30),E134=0),"",IF((INDEX(Grid!$J$2:$J$1002,E134+1)-(TAN(RADIANS(51))))=(INDEX(Grid!$J$2:$J$1002,E134)-(TAN(RADIANS(51)))),INDEX(Grid!$B$2:$B$1002,E134),INDEX(Grid!$B$2:$B$1002,E134)+(0-(INDEX(Grid!$J$2:$J$1002,E134)-(TAN(RADIANS(51)))))/((INDEX(Grid!$J$2:$J$1002,E134+1)-(TAN(RADIANS(51))))-(INDEX(Grid!$J$2:$J$1002,E134)-(TAN(RADIANS(51)))))*(INDEX(Grid!$B$2:$B$1002,E134+1)-INDEX(Grid!$B$2:$B$1002,E134))))</f>
        <v/>
      </c>
      <c r="F135">
        <f>IF(OR(NOT(F$30),F134=0),"",IF((INDEX(Grid!$K$2:$K$1002,F134+1)-(TAN(RADIANS(51))))=(INDEX(Grid!$K$2:$K$1002,F134)-(TAN(RADIANS(51)))),INDEX(Grid!$B$2:$B$1002,F134),INDEX(Grid!$B$2:$B$1002,F134)+(0-(INDEX(Grid!$K$2:$K$1002,F134)-(TAN(RADIANS(51)))))/((INDEX(Grid!$K$2:$K$1002,F134+1)-(TAN(RADIANS(51))))-(INDEX(Grid!$K$2:$K$1002,F134)-(TAN(RADIANS(51)))))*(INDEX(Grid!$B$2:$B$1002,F134+1)-INDEX(Grid!$B$2:$B$1002,F134))))</f>
        <v/>
      </c>
    </row>
    <row r="136">
      <c r="A136" s="7" t="inlineStr">
        <is>
          <t>Keul: La</t>
        </is>
      </c>
      <c r="C136">
        <f>IF(ISNUMBER(C135),(k_p2_0+((C135)-k_mx)/k_sx*(k_p2_1+((C135)-k_mx)/k_sx*k_p2_2)),"")</f>
        <v/>
      </c>
      <c r="D136">
        <f>IF(ISNUMBER(D135),(k_p3_0+((D135)-k_mx)/k_sx*(k_p3_1+((D135)-k_mx)/k_sx*(k_p3_2+((D135)-k_mx)/k_sx*k_p3_3))),"")</f>
        <v/>
      </c>
      <c r="E136">
        <f>IF(ISNUMBER(E135),(k_p4_0+((E135)-k_mx)/k_sx*(k_p4_1+((E135)-k_mx)/k_sx*(k_p4_2+((E135)-k_mx)/k_sx*(k_p4_3+((E135)-k_mx)/k_sx*k_p4_4)))),"")</f>
        <v/>
      </c>
      <c r="F136">
        <f>IF(ISNUMBER(F135),(k_ea+k_eb*EXP(k_ec*((F135)-k_mx)/k_sx)),"")</f>
        <v/>
      </c>
    </row>
    <row r="137">
      <c r="A137" s="7" t="inlineStr">
        <is>
          <t>Laktatminimum: Index</t>
        </is>
      </c>
      <c r="C137" s="7">
        <f t="array" ref="C137">IFERROR(MATCH(1,(Grid!$H$2:$H$1001&lt;0)*(Grid!$H$3:$H$1002&gt;=0)*(Grid!$B$2:$B$1001&gt;k_lo+0.02*k_rng)*(Grid!$B$2:$B$1001&lt;k_hi-0.02*k_rng),0),0)</f>
        <v/>
      </c>
      <c r="D137" s="7">
        <f t="array" ref="D137">IFERROR(MATCH(1,(Grid!$I$2:$I$1001&lt;0)*(Grid!$I$3:$I$1002&gt;=0)*(Grid!$B$2:$B$1001&gt;k_lo+0.02*k_rng)*(Grid!$B$2:$B$1001&lt;k_hi-0.02*k_rng),0),0)</f>
        <v/>
      </c>
      <c r="E137" s="7">
        <f t="array" ref="E137">IFERROR(MATCH(1,(Grid!$J$2:$J$1001&lt;0)*(Grid!$J$3:$J$1002&gt;=0)*(Grid!$B$2:$B$1001&gt;k_lo+0.02*k_rng)*(Grid!$B$2:$B$1001&lt;k_hi-0.02*k_rng),0),0)</f>
        <v/>
      </c>
      <c r="F137" s="7">
        <f t="array" ref="F137">IFERROR(MATCH(1,(Grid!$K$2:$K$1001&lt;0)*(Grid!$K$3:$K$1002&gt;=0)*(Grid!$B$2:$B$1001&gt;k_lo+0.02*k_rng)*(Grid!$B$2:$B$1001&lt;k_hi-0.02*k_rng),0),0)</f>
        <v/>
      </c>
    </row>
    <row r="138">
      <c r="A138" s="7" t="inlineStr">
        <is>
          <t>Laktatminimum: x</t>
        </is>
      </c>
      <c r="C138">
        <f>IF(OR(NOT(C$30),C137=0),"",IF((INDEX(Grid!$H$2:$H$1002,C137+1)-(0))=(INDEX(Grid!$H$2:$H$1002,C137)-(0)),INDEX(Grid!$B$2:$B$1002,C137),INDEX(Grid!$B$2:$B$1002,C137)+(0-(INDEX(Grid!$H$2:$H$1002,C137)-(0)))/((INDEX(Grid!$H$2:$H$1002,C137+1)-(0))-(INDEX(Grid!$H$2:$H$1002,C137)-(0)))*(INDEX(Grid!$B$2:$B$1002,C137+1)-INDEX(Grid!$B$2:$B$1002,C137))))</f>
        <v/>
      </c>
      <c r="D138">
        <f>IF(OR(NOT(D$30),D137=0),"",IF((INDEX(Grid!$I$2:$I$1002,D137+1)-(0))=(INDEX(Grid!$I$2:$I$1002,D137)-(0)),INDEX(Grid!$B$2:$B$1002,D137),INDEX(Grid!$B$2:$B$1002,D137)+(0-(INDEX(Grid!$I$2:$I$1002,D137)-(0)))/((INDEX(Grid!$I$2:$I$1002,D137+1)-(0))-(INDEX(Grid!$I$2:$I$1002,D137)-(0)))*(INDEX(Grid!$B$2:$B$1002,D137+1)-INDEX(Grid!$B$2:$B$1002,D137))))</f>
        <v/>
      </c>
      <c r="E138">
        <f>IF(OR(NOT(E$30),E137=0),"",IF((INDEX(Grid!$J$2:$J$1002,E137+1)-(0))=(INDEX(Grid!$J$2:$J$1002,E137)-(0)),INDEX(Grid!$B$2:$B$1002,E137),INDEX(Grid!$B$2:$B$1002,E137)+(0-(INDEX(Grid!$J$2:$J$1002,E137)-(0)))/((INDEX(Grid!$J$2:$J$1002,E137+1)-(0))-(INDEX(Grid!$J$2:$J$1002,E137)-(0)))*(INDEX(Grid!$B$2:$B$1002,E137+1)-INDEX(Grid!$B$2:$B$1002,E137))))</f>
        <v/>
      </c>
      <c r="F138">
        <f>IF(OR(NOT(F$30),F137=0),"",IF((INDEX(Grid!$K$2:$K$1002,F137+1)-(0))=(INDEX(Grid!$K$2:$K$1002,F137)-(0)),INDEX(Grid!$B$2:$B$1002,F137),INDEX(Grid!$B$2:$B$1002,F137)+(0-(INDEX(Grid!$K$2:$K$1002,F137)-(0)))/((INDEX(Grid!$K$2:$K$1002,F137+1)-(0))-(INDEX(Grid!$K$2:$K$1002,F137)-(0)))*(INDEX(Grid!$B$2:$B$1002,F137+1)-INDEX(Grid!$B$2:$B$1002,F137))))</f>
        <v/>
      </c>
    </row>
    <row r="139">
      <c r="A139" s="7" t="inlineStr">
        <is>
          <t>Laktatminimum: La</t>
        </is>
      </c>
      <c r="C139">
        <f>IF(ISNUMBER(C138),(k_p2_0+((C138)-k_mx)/k_sx*(k_p2_1+((C138)-k_mx)/k_sx*k_p2_2)),"")</f>
        <v/>
      </c>
      <c r="D139">
        <f>IF(ISNUMBER(D138),(k_p3_0+((D138)-k_mx)/k_sx*(k_p3_1+((D138)-k_mx)/k_sx*(k_p3_2+((D138)-k_mx)/k_sx*k_p3_3))),"")</f>
        <v/>
      </c>
      <c r="E139">
        <f>IF(ISNUMBER(E138),(k_p4_0+((E138)-k_mx)/k_sx*(k_p4_1+((E138)-k_mx)/k_sx*(k_p4_2+((E138)-k_mx)/k_sx*(k_p4_3+((E138)-k_mx)/k_sx*k_p4_4)))),"")</f>
        <v/>
      </c>
      <c r="F139">
        <f>IF(ISNUMBER(F138),(k_ea+k_eb*EXP(k_ec*((F138)-k_mx)/k_sx)),"")</f>
        <v/>
      </c>
    </row>
    <row r="141">
      <c r="A141" s="7" t="inlineStr">
        <is>
          <t>gewähltes Modell: min f' ab 2. Stufe</t>
        </is>
      </c>
      <c r="C141" s="7">
        <f t="array" ref="C141">MIN(IF(Grid!$B$2:$B$1002&gt;=k_x2nd,Grid!$R$2:$R$1002))</f>
        <v/>
      </c>
    </row>
    <row r="142">
      <c r="A142" s="7" t="inlineStr">
        <is>
          <t>Poly4: Anzahl Wendepunkte</t>
        </is>
      </c>
      <c r="C142">
        <f>SUMPRODUCT((Grid!$L$2:$L$1001*Grid!$L$3:$L$1002&lt;0)*1)</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203"/>
  <sheetViews>
    <sheetView showGridLines="0" workbookViewId="0">
      <selection activeCell="A1" sqref="A1"/>
    </sheetView>
  </sheetViews>
  <sheetFormatPr baseColWidth="8" defaultRowHeight="15"/>
  <sheetData>
    <row r="1">
      <c r="A1" s="57" t="inlineStr">
        <is>
          <t>Diagrammdaten (automatisch)</t>
        </is>
      </c>
    </row>
    <row r="2">
      <c r="A2" t="inlineStr">
        <is>
          <t>x</t>
        </is>
      </c>
      <c r="B2" t="inlineStr">
        <is>
          <t>La Modell</t>
        </is>
      </c>
      <c r="C2" t="inlineStr">
        <is>
          <t>HF Modell</t>
        </is>
      </c>
      <c r="D2" t="inlineStr">
        <is>
          <t>La/x Modell</t>
        </is>
      </c>
      <c r="E2" t="inlineStr">
        <is>
          <t>x HF</t>
        </is>
      </c>
      <c r="F2" t="inlineStr">
        <is>
          <t>ln-Achse x</t>
        </is>
      </c>
      <c r="G2" t="inlineStr">
        <is>
          <t>x Glu</t>
        </is>
      </c>
      <c r="H2" t="inlineStr">
        <is>
          <t>Glu Interp.</t>
        </is>
      </c>
      <c r="K2" t="inlineStr">
        <is>
          <t>Serie</t>
        </is>
      </c>
      <c r="L2" t="inlineStr">
        <is>
          <t>x</t>
        </is>
      </c>
      <c r="M2" t="inlineStr">
        <is>
          <t>y</t>
        </is>
      </c>
      <c r="O2" t="inlineStr">
        <is>
          <t>yMax La</t>
        </is>
      </c>
      <c r="P2" t="inlineStr">
        <is>
          <t>HF min</t>
        </is>
      </c>
      <c r="Q2" t="inlineStr">
        <is>
          <t>HF max</t>
        </is>
      </c>
      <c r="R2" t="inlineStr">
        <is>
          <t>LE min</t>
        </is>
      </c>
      <c r="S2" t="inlineStr">
        <is>
          <t>LE max</t>
        </is>
      </c>
    </row>
    <row r="3">
      <c r="A3">
        <f>IF(k_ok,Grid!$B$2,NA())</f>
        <v/>
      </c>
      <c r="B3">
        <f>IF(k_ok,Grid!$Q$2,NA())</f>
        <v/>
      </c>
      <c r="C3">
        <f>IF(k_hrok,k_h0+k_h1*E3+k_h2*E3^2,NA())</f>
        <v/>
      </c>
      <c r="D3">
        <f>IF(k_ok,Grid!$Q$2/Grid!$B$2,NA())</f>
        <v/>
      </c>
      <c r="E3">
        <f>IF(k_hrok,k_hx0+(k_hx1-k_hx0)*0/200,NA())</f>
        <v/>
      </c>
      <c r="G3">
        <f>IF(AND(k_gluOn,k_ng&gt;=2),Calc!$AK$3+(INDEX(Calc!$AK$3:$AK$22,k_ng)-Calc!$AK$3)*0/200,NA())</f>
        <v/>
      </c>
      <c r="H3">
        <f>IF(AND(k_gluOn,k_ng&gt;=2),(2*((G3-INDEX(Calc!$AK$3:$AK$22,I3))/(INDEX(Calc!$AK$3:$AK$22,I3+1)-INDEX(Calc!$AK$3:$AK$22,I3)))^3-3*((G3-INDEX(Calc!$AK$3:$AK$22,I3))/(INDEX(Calc!$AK$3:$AK$22,I3+1)-INDEX(Calc!$AK$3:$AK$22,I3)))^2+1)*INDEX(Calc!$AL$3:$AL$22,I3)+(((G3-INDEX(Calc!$AK$3:$AK$22,I3))/(INDEX(Calc!$AK$3:$AK$22,I3+1)-INDEX(Calc!$AK$3:$AK$22,I3)))^3-2*((G3-INDEX(Calc!$AK$3:$AK$22,I3))/(INDEX(Calc!$AK$3:$AK$22,I3+1)-INDEX(Calc!$AK$3:$AK$22,I3)))^2+((G3-INDEX(Calc!$AK$3:$AK$22,I3))/(INDEX(Calc!$AK$3:$AK$22,I3+1)-INDEX(Calc!$AK$3:$AK$22,I3))))*(INDEX(Calc!$AK$3:$AK$22,I3+1)-INDEX(Calc!$AK$3:$AK$22,I3))*INDEX(Calc!$AP$3:$AP$22,I3)+(-2*((G3-INDEX(Calc!$AK$3:$AK$22,I3))/(INDEX(Calc!$AK$3:$AK$22,I3+1)-INDEX(Calc!$AK$3:$AK$22,I3)))^3+3*((G3-INDEX(Calc!$AK$3:$AK$22,I3))/(INDEX(Calc!$AK$3:$AK$22,I3+1)-INDEX(Calc!$AK$3:$AK$22,I3)))^2)*INDEX(Calc!$AL$3:$AL$22,I3+1)+(((G3-INDEX(Calc!$AK$3:$AK$22,I3))/(INDEX(Calc!$AK$3:$AK$22,I3+1)-INDEX(Calc!$AK$3:$AK$22,I3)))^3-((G3-INDEX(Calc!$AK$3:$AK$22,I3))/(INDEX(Calc!$AK$3:$AK$22,I3+1)-INDEX(Calc!$AK$3:$AK$22,I3)))^2)*(INDEX(Calc!$AK$3:$AK$22,I3+1)-INDEX(Calc!$AK$3:$AK$22,I3))*INDEX(Calc!$AQ$3:$AQ$22,I3),NA())</f>
        <v/>
      </c>
      <c r="I3">
        <f>IF(AND(k_gluOn,k_ng&gt;=2),MIN(k_ng-1,MAX(1,MATCH(G3,Calc!$AK$3:INDEX(Calc!$AK$3:$AK$22,k_ng),1))),1)</f>
        <v/>
      </c>
      <c r="K3" t="inlineStr">
        <is>
          <t>LT1</t>
        </is>
      </c>
      <c r="L3">
        <f>IF(ISNUMBER(k_x1),k_x1,NA())</f>
        <v/>
      </c>
      <c r="M3">
        <f>IF(ISNUMBER(L3),0,NA())</f>
        <v/>
      </c>
      <c r="O3">
        <f>CEILING(MAX(k_lamax*1.1,4.5),1)</f>
        <v/>
      </c>
      <c r="P3">
        <f>IF(k_nh&gt;0,FLOOR(MIN(OFFSET(Calc!$AF$3,0,0,MAX(k_nh,1),1))-10,10),0)</f>
        <v/>
      </c>
      <c r="Q3">
        <f>IF(k_nh&gt;0,CEILING(k_hrmax+6,10),200)</f>
        <v/>
      </c>
      <c r="R3" s="7">
        <f t="array" ref="R3">MIN(IF(Calc!$K$3:$K$22=1,Calc!$I$3:$I$22/Calc!$G$3:$G$22))*0.9</f>
        <v/>
      </c>
      <c r="S3" s="7">
        <f t="array" ref="S3">MAX(IF(Calc!$K$3:$K$22=1,Calc!$I$3:$I$22/Calc!$G$3:$G$22))*1.1</f>
        <v/>
      </c>
    </row>
    <row r="4">
      <c r="A4">
        <f>IF(k_ok,Grid!$B$7,NA())</f>
        <v/>
      </c>
      <c r="B4">
        <f>IF(k_ok,Grid!$Q$7,NA())</f>
        <v/>
      </c>
      <c r="C4">
        <f>IF(k_hrok,k_h0+k_h1*E4+k_h2*E4^2,NA())</f>
        <v/>
      </c>
      <c r="D4">
        <f>IF(k_ok,Grid!$Q$7/Grid!$B$7,NA())</f>
        <v/>
      </c>
      <c r="E4">
        <f>IF(k_hrok,k_hx0+(k_hx1-k_hx0)*1/200,NA())</f>
        <v/>
      </c>
      <c r="G4">
        <f>IF(AND(k_gluOn,k_ng&gt;=2),Calc!$AK$3+(INDEX(Calc!$AK$3:$AK$22,k_ng)-Calc!$AK$3)*1/200,NA())</f>
        <v/>
      </c>
      <c r="H4">
        <f>IF(AND(k_gluOn,k_ng&gt;=2),(2*((G4-INDEX(Calc!$AK$3:$AK$22,I4))/(INDEX(Calc!$AK$3:$AK$22,I4+1)-INDEX(Calc!$AK$3:$AK$22,I4)))^3-3*((G4-INDEX(Calc!$AK$3:$AK$22,I4))/(INDEX(Calc!$AK$3:$AK$22,I4+1)-INDEX(Calc!$AK$3:$AK$22,I4)))^2+1)*INDEX(Calc!$AL$3:$AL$22,I4)+(((G4-INDEX(Calc!$AK$3:$AK$22,I4))/(INDEX(Calc!$AK$3:$AK$22,I4+1)-INDEX(Calc!$AK$3:$AK$22,I4)))^3-2*((G4-INDEX(Calc!$AK$3:$AK$22,I4))/(INDEX(Calc!$AK$3:$AK$22,I4+1)-INDEX(Calc!$AK$3:$AK$22,I4)))^2+((G4-INDEX(Calc!$AK$3:$AK$22,I4))/(INDEX(Calc!$AK$3:$AK$22,I4+1)-INDEX(Calc!$AK$3:$AK$22,I4))))*(INDEX(Calc!$AK$3:$AK$22,I4+1)-INDEX(Calc!$AK$3:$AK$22,I4))*INDEX(Calc!$AP$3:$AP$22,I4)+(-2*((G4-INDEX(Calc!$AK$3:$AK$22,I4))/(INDEX(Calc!$AK$3:$AK$22,I4+1)-INDEX(Calc!$AK$3:$AK$22,I4)))^3+3*((G4-INDEX(Calc!$AK$3:$AK$22,I4))/(INDEX(Calc!$AK$3:$AK$22,I4+1)-INDEX(Calc!$AK$3:$AK$22,I4)))^2)*INDEX(Calc!$AL$3:$AL$22,I4+1)+(((G4-INDEX(Calc!$AK$3:$AK$22,I4))/(INDEX(Calc!$AK$3:$AK$22,I4+1)-INDEX(Calc!$AK$3:$AK$22,I4)))^3-((G4-INDEX(Calc!$AK$3:$AK$22,I4))/(INDEX(Calc!$AK$3:$AK$22,I4+1)-INDEX(Calc!$AK$3:$AK$22,I4)))^2)*(INDEX(Calc!$AK$3:$AK$22,I4+1)-INDEX(Calc!$AK$3:$AK$22,I4))*INDEX(Calc!$AQ$3:$AQ$22,I4),NA())</f>
        <v/>
      </c>
      <c r="I4">
        <f>IF(AND(k_gluOn,k_ng&gt;=2),MIN(k_ng-1,MAX(1,MATCH(G4,Calc!$AK$3:INDEX(Calc!$AK$3:$AK$22,k_ng),1))),1)</f>
        <v/>
      </c>
      <c r="L4">
        <f>IF(ISNUMBER(k_x1),k_x1,NA())</f>
        <v/>
      </c>
      <c r="M4">
        <f>IF(ISNUMBER(L4),$O$3,NA())</f>
        <v/>
      </c>
    </row>
    <row r="5">
      <c r="A5">
        <f>IF(k_ok,Grid!$B$12,NA())</f>
        <v/>
      </c>
      <c r="B5">
        <f>IF(k_ok,Grid!$Q$12,NA())</f>
        <v/>
      </c>
      <c r="C5">
        <f>IF(k_hrok,k_h0+k_h1*E5+k_h2*E5^2,NA())</f>
        <v/>
      </c>
      <c r="D5">
        <f>IF(k_ok,Grid!$Q$12/Grid!$B$12,NA())</f>
        <v/>
      </c>
      <c r="E5">
        <f>IF(k_hrok,k_hx0+(k_hx1-k_hx0)*2/200,NA())</f>
        <v/>
      </c>
      <c r="G5">
        <f>IF(AND(k_gluOn,k_ng&gt;=2),Calc!$AK$3+(INDEX(Calc!$AK$3:$AK$22,k_ng)-Calc!$AK$3)*2/200,NA())</f>
        <v/>
      </c>
      <c r="H5">
        <f>IF(AND(k_gluOn,k_ng&gt;=2),(2*((G5-INDEX(Calc!$AK$3:$AK$22,I5))/(INDEX(Calc!$AK$3:$AK$22,I5+1)-INDEX(Calc!$AK$3:$AK$22,I5)))^3-3*((G5-INDEX(Calc!$AK$3:$AK$22,I5))/(INDEX(Calc!$AK$3:$AK$22,I5+1)-INDEX(Calc!$AK$3:$AK$22,I5)))^2+1)*INDEX(Calc!$AL$3:$AL$22,I5)+(((G5-INDEX(Calc!$AK$3:$AK$22,I5))/(INDEX(Calc!$AK$3:$AK$22,I5+1)-INDEX(Calc!$AK$3:$AK$22,I5)))^3-2*((G5-INDEX(Calc!$AK$3:$AK$22,I5))/(INDEX(Calc!$AK$3:$AK$22,I5+1)-INDEX(Calc!$AK$3:$AK$22,I5)))^2+((G5-INDEX(Calc!$AK$3:$AK$22,I5))/(INDEX(Calc!$AK$3:$AK$22,I5+1)-INDEX(Calc!$AK$3:$AK$22,I5))))*(INDEX(Calc!$AK$3:$AK$22,I5+1)-INDEX(Calc!$AK$3:$AK$22,I5))*INDEX(Calc!$AP$3:$AP$22,I5)+(-2*((G5-INDEX(Calc!$AK$3:$AK$22,I5))/(INDEX(Calc!$AK$3:$AK$22,I5+1)-INDEX(Calc!$AK$3:$AK$22,I5)))^3+3*((G5-INDEX(Calc!$AK$3:$AK$22,I5))/(INDEX(Calc!$AK$3:$AK$22,I5+1)-INDEX(Calc!$AK$3:$AK$22,I5)))^2)*INDEX(Calc!$AL$3:$AL$22,I5+1)+(((G5-INDEX(Calc!$AK$3:$AK$22,I5))/(INDEX(Calc!$AK$3:$AK$22,I5+1)-INDEX(Calc!$AK$3:$AK$22,I5)))^3-((G5-INDEX(Calc!$AK$3:$AK$22,I5))/(INDEX(Calc!$AK$3:$AK$22,I5+1)-INDEX(Calc!$AK$3:$AK$22,I5)))^2)*(INDEX(Calc!$AK$3:$AK$22,I5+1)-INDEX(Calc!$AK$3:$AK$22,I5))*INDEX(Calc!$AQ$3:$AQ$22,I5),NA())</f>
        <v/>
      </c>
      <c r="I5">
        <f>IF(AND(k_gluOn,k_ng&gt;=2),MIN(k_ng-1,MAX(1,MATCH(G5,Calc!$AK$3:INDEX(Calc!$AK$3:$AK$22,k_ng),1))),1)</f>
        <v/>
      </c>
    </row>
    <row r="6">
      <c r="A6">
        <f>IF(k_ok,Grid!$B$17,NA())</f>
        <v/>
      </c>
      <c r="B6">
        <f>IF(k_ok,Grid!$Q$17,NA())</f>
        <v/>
      </c>
      <c r="C6">
        <f>IF(k_hrok,k_h0+k_h1*E6+k_h2*E6^2,NA())</f>
        <v/>
      </c>
      <c r="D6">
        <f>IF(k_ok,Grid!$Q$17/Grid!$B$17,NA())</f>
        <v/>
      </c>
      <c r="E6">
        <f>IF(k_hrok,k_hx0+(k_hx1-k_hx0)*3/200,NA())</f>
        <v/>
      </c>
      <c r="G6">
        <f>IF(AND(k_gluOn,k_ng&gt;=2),Calc!$AK$3+(INDEX(Calc!$AK$3:$AK$22,k_ng)-Calc!$AK$3)*3/200,NA())</f>
        <v/>
      </c>
      <c r="H6">
        <f>IF(AND(k_gluOn,k_ng&gt;=2),(2*((G6-INDEX(Calc!$AK$3:$AK$22,I6))/(INDEX(Calc!$AK$3:$AK$22,I6+1)-INDEX(Calc!$AK$3:$AK$22,I6)))^3-3*((G6-INDEX(Calc!$AK$3:$AK$22,I6))/(INDEX(Calc!$AK$3:$AK$22,I6+1)-INDEX(Calc!$AK$3:$AK$22,I6)))^2+1)*INDEX(Calc!$AL$3:$AL$22,I6)+(((G6-INDEX(Calc!$AK$3:$AK$22,I6))/(INDEX(Calc!$AK$3:$AK$22,I6+1)-INDEX(Calc!$AK$3:$AK$22,I6)))^3-2*((G6-INDEX(Calc!$AK$3:$AK$22,I6))/(INDEX(Calc!$AK$3:$AK$22,I6+1)-INDEX(Calc!$AK$3:$AK$22,I6)))^2+((G6-INDEX(Calc!$AK$3:$AK$22,I6))/(INDEX(Calc!$AK$3:$AK$22,I6+1)-INDEX(Calc!$AK$3:$AK$22,I6))))*(INDEX(Calc!$AK$3:$AK$22,I6+1)-INDEX(Calc!$AK$3:$AK$22,I6))*INDEX(Calc!$AP$3:$AP$22,I6)+(-2*((G6-INDEX(Calc!$AK$3:$AK$22,I6))/(INDEX(Calc!$AK$3:$AK$22,I6+1)-INDEX(Calc!$AK$3:$AK$22,I6)))^3+3*((G6-INDEX(Calc!$AK$3:$AK$22,I6))/(INDEX(Calc!$AK$3:$AK$22,I6+1)-INDEX(Calc!$AK$3:$AK$22,I6)))^2)*INDEX(Calc!$AL$3:$AL$22,I6+1)+(((G6-INDEX(Calc!$AK$3:$AK$22,I6))/(INDEX(Calc!$AK$3:$AK$22,I6+1)-INDEX(Calc!$AK$3:$AK$22,I6)))^3-((G6-INDEX(Calc!$AK$3:$AK$22,I6))/(INDEX(Calc!$AK$3:$AK$22,I6+1)-INDEX(Calc!$AK$3:$AK$22,I6)))^2)*(INDEX(Calc!$AK$3:$AK$22,I6+1)-INDEX(Calc!$AK$3:$AK$22,I6))*INDEX(Calc!$AQ$3:$AQ$22,I6),NA())</f>
        <v/>
      </c>
      <c r="I6">
        <f>IF(AND(k_gluOn,k_ng&gt;=2),MIN(k_ng-1,MAX(1,MATCH(G6,Calc!$AK$3:INDEX(Calc!$AK$3:$AK$22,k_ng),1))),1)</f>
        <v/>
      </c>
      <c r="K6" t="inlineStr">
        <is>
          <t>LT2</t>
        </is>
      </c>
      <c r="L6">
        <f>IF(ISNUMBER(k_x2),k_x2,NA())</f>
        <v/>
      </c>
      <c r="M6">
        <f>IF(ISNUMBER(L6),0,NA())</f>
        <v/>
      </c>
    </row>
    <row r="7">
      <c r="A7">
        <f>IF(k_ok,Grid!$B$22,NA())</f>
        <v/>
      </c>
      <c r="B7">
        <f>IF(k_ok,Grid!$Q$22,NA())</f>
        <v/>
      </c>
      <c r="C7">
        <f>IF(k_hrok,k_h0+k_h1*E7+k_h2*E7^2,NA())</f>
        <v/>
      </c>
      <c r="D7">
        <f>IF(k_ok,Grid!$Q$22/Grid!$B$22,NA())</f>
        <v/>
      </c>
      <c r="E7">
        <f>IF(k_hrok,k_hx0+(k_hx1-k_hx0)*4/200,NA())</f>
        <v/>
      </c>
      <c r="G7">
        <f>IF(AND(k_gluOn,k_ng&gt;=2),Calc!$AK$3+(INDEX(Calc!$AK$3:$AK$22,k_ng)-Calc!$AK$3)*4/200,NA())</f>
        <v/>
      </c>
      <c r="H7">
        <f>IF(AND(k_gluOn,k_ng&gt;=2),(2*((G7-INDEX(Calc!$AK$3:$AK$22,I7))/(INDEX(Calc!$AK$3:$AK$22,I7+1)-INDEX(Calc!$AK$3:$AK$22,I7)))^3-3*((G7-INDEX(Calc!$AK$3:$AK$22,I7))/(INDEX(Calc!$AK$3:$AK$22,I7+1)-INDEX(Calc!$AK$3:$AK$22,I7)))^2+1)*INDEX(Calc!$AL$3:$AL$22,I7)+(((G7-INDEX(Calc!$AK$3:$AK$22,I7))/(INDEX(Calc!$AK$3:$AK$22,I7+1)-INDEX(Calc!$AK$3:$AK$22,I7)))^3-2*((G7-INDEX(Calc!$AK$3:$AK$22,I7))/(INDEX(Calc!$AK$3:$AK$22,I7+1)-INDEX(Calc!$AK$3:$AK$22,I7)))^2+((G7-INDEX(Calc!$AK$3:$AK$22,I7))/(INDEX(Calc!$AK$3:$AK$22,I7+1)-INDEX(Calc!$AK$3:$AK$22,I7))))*(INDEX(Calc!$AK$3:$AK$22,I7+1)-INDEX(Calc!$AK$3:$AK$22,I7))*INDEX(Calc!$AP$3:$AP$22,I7)+(-2*((G7-INDEX(Calc!$AK$3:$AK$22,I7))/(INDEX(Calc!$AK$3:$AK$22,I7+1)-INDEX(Calc!$AK$3:$AK$22,I7)))^3+3*((G7-INDEX(Calc!$AK$3:$AK$22,I7))/(INDEX(Calc!$AK$3:$AK$22,I7+1)-INDEX(Calc!$AK$3:$AK$22,I7)))^2)*INDEX(Calc!$AL$3:$AL$22,I7+1)+(((G7-INDEX(Calc!$AK$3:$AK$22,I7))/(INDEX(Calc!$AK$3:$AK$22,I7+1)-INDEX(Calc!$AK$3:$AK$22,I7)))^3-((G7-INDEX(Calc!$AK$3:$AK$22,I7))/(INDEX(Calc!$AK$3:$AK$22,I7+1)-INDEX(Calc!$AK$3:$AK$22,I7)))^2)*(INDEX(Calc!$AK$3:$AK$22,I7+1)-INDEX(Calc!$AK$3:$AK$22,I7))*INDEX(Calc!$AQ$3:$AQ$22,I7),NA())</f>
        <v/>
      </c>
      <c r="I7">
        <f>IF(AND(k_gluOn,k_ng&gt;=2),MIN(k_ng-1,MAX(1,MATCH(G7,Calc!$AK$3:INDEX(Calc!$AK$3:$AK$22,k_ng),1))),1)</f>
        <v/>
      </c>
      <c r="L7">
        <f>IF(ISNUMBER(k_x2),k_x2,NA())</f>
        <v/>
      </c>
      <c r="M7">
        <f>IF(ISNUMBER(L7),$O$3,NA())</f>
        <v/>
      </c>
    </row>
    <row r="8">
      <c r="A8">
        <f>IF(k_ok,Grid!$B$27,NA())</f>
        <v/>
      </c>
      <c r="B8">
        <f>IF(k_ok,Grid!$Q$27,NA())</f>
        <v/>
      </c>
      <c r="C8">
        <f>IF(k_hrok,k_h0+k_h1*E8+k_h2*E8^2,NA())</f>
        <v/>
      </c>
      <c r="D8">
        <f>IF(k_ok,Grid!$Q$27/Grid!$B$27,NA())</f>
        <v/>
      </c>
      <c r="E8">
        <f>IF(k_hrok,k_hx0+(k_hx1-k_hx0)*5/200,NA())</f>
        <v/>
      </c>
      <c r="G8">
        <f>IF(AND(k_gluOn,k_ng&gt;=2),Calc!$AK$3+(INDEX(Calc!$AK$3:$AK$22,k_ng)-Calc!$AK$3)*5/200,NA())</f>
        <v/>
      </c>
      <c r="H8">
        <f>IF(AND(k_gluOn,k_ng&gt;=2),(2*((G8-INDEX(Calc!$AK$3:$AK$22,I8))/(INDEX(Calc!$AK$3:$AK$22,I8+1)-INDEX(Calc!$AK$3:$AK$22,I8)))^3-3*((G8-INDEX(Calc!$AK$3:$AK$22,I8))/(INDEX(Calc!$AK$3:$AK$22,I8+1)-INDEX(Calc!$AK$3:$AK$22,I8)))^2+1)*INDEX(Calc!$AL$3:$AL$22,I8)+(((G8-INDEX(Calc!$AK$3:$AK$22,I8))/(INDEX(Calc!$AK$3:$AK$22,I8+1)-INDEX(Calc!$AK$3:$AK$22,I8)))^3-2*((G8-INDEX(Calc!$AK$3:$AK$22,I8))/(INDEX(Calc!$AK$3:$AK$22,I8+1)-INDEX(Calc!$AK$3:$AK$22,I8)))^2+((G8-INDEX(Calc!$AK$3:$AK$22,I8))/(INDEX(Calc!$AK$3:$AK$22,I8+1)-INDEX(Calc!$AK$3:$AK$22,I8))))*(INDEX(Calc!$AK$3:$AK$22,I8+1)-INDEX(Calc!$AK$3:$AK$22,I8))*INDEX(Calc!$AP$3:$AP$22,I8)+(-2*((G8-INDEX(Calc!$AK$3:$AK$22,I8))/(INDEX(Calc!$AK$3:$AK$22,I8+1)-INDEX(Calc!$AK$3:$AK$22,I8)))^3+3*((G8-INDEX(Calc!$AK$3:$AK$22,I8))/(INDEX(Calc!$AK$3:$AK$22,I8+1)-INDEX(Calc!$AK$3:$AK$22,I8)))^2)*INDEX(Calc!$AL$3:$AL$22,I8+1)+(((G8-INDEX(Calc!$AK$3:$AK$22,I8))/(INDEX(Calc!$AK$3:$AK$22,I8+1)-INDEX(Calc!$AK$3:$AK$22,I8)))^3-((G8-INDEX(Calc!$AK$3:$AK$22,I8))/(INDEX(Calc!$AK$3:$AK$22,I8+1)-INDEX(Calc!$AK$3:$AK$22,I8)))^2)*(INDEX(Calc!$AK$3:$AK$22,I8+1)-INDEX(Calc!$AK$3:$AK$22,I8))*INDEX(Calc!$AQ$3:$AQ$22,I8),NA())</f>
        <v/>
      </c>
      <c r="I8">
        <f>IF(AND(k_gluOn,k_ng&gt;=2),MIN(k_ng-1,MAX(1,MATCH(G8,Calc!$AK$3:INDEX(Calc!$AK$3:$AK$22,k_ng),1))),1)</f>
        <v/>
      </c>
    </row>
    <row r="9">
      <c r="A9">
        <f>IF(k_ok,Grid!$B$32,NA())</f>
        <v/>
      </c>
      <c r="B9">
        <f>IF(k_ok,Grid!$Q$32,NA())</f>
        <v/>
      </c>
      <c r="C9">
        <f>IF(k_hrok,k_h0+k_h1*E9+k_h2*E9^2,NA())</f>
        <v/>
      </c>
      <c r="D9">
        <f>IF(k_ok,Grid!$Q$32/Grid!$B$32,NA())</f>
        <v/>
      </c>
      <c r="E9">
        <f>IF(k_hrok,k_hx0+(k_hx1-k_hx0)*6/200,NA())</f>
        <v/>
      </c>
      <c r="G9">
        <f>IF(AND(k_gluOn,k_ng&gt;=2),Calc!$AK$3+(INDEX(Calc!$AK$3:$AK$22,k_ng)-Calc!$AK$3)*6/200,NA())</f>
        <v/>
      </c>
      <c r="H9">
        <f>IF(AND(k_gluOn,k_ng&gt;=2),(2*((G9-INDEX(Calc!$AK$3:$AK$22,I9))/(INDEX(Calc!$AK$3:$AK$22,I9+1)-INDEX(Calc!$AK$3:$AK$22,I9)))^3-3*((G9-INDEX(Calc!$AK$3:$AK$22,I9))/(INDEX(Calc!$AK$3:$AK$22,I9+1)-INDEX(Calc!$AK$3:$AK$22,I9)))^2+1)*INDEX(Calc!$AL$3:$AL$22,I9)+(((G9-INDEX(Calc!$AK$3:$AK$22,I9))/(INDEX(Calc!$AK$3:$AK$22,I9+1)-INDEX(Calc!$AK$3:$AK$22,I9)))^3-2*((G9-INDEX(Calc!$AK$3:$AK$22,I9))/(INDEX(Calc!$AK$3:$AK$22,I9+1)-INDEX(Calc!$AK$3:$AK$22,I9)))^2+((G9-INDEX(Calc!$AK$3:$AK$22,I9))/(INDEX(Calc!$AK$3:$AK$22,I9+1)-INDEX(Calc!$AK$3:$AK$22,I9))))*(INDEX(Calc!$AK$3:$AK$22,I9+1)-INDEX(Calc!$AK$3:$AK$22,I9))*INDEX(Calc!$AP$3:$AP$22,I9)+(-2*((G9-INDEX(Calc!$AK$3:$AK$22,I9))/(INDEX(Calc!$AK$3:$AK$22,I9+1)-INDEX(Calc!$AK$3:$AK$22,I9)))^3+3*((G9-INDEX(Calc!$AK$3:$AK$22,I9))/(INDEX(Calc!$AK$3:$AK$22,I9+1)-INDEX(Calc!$AK$3:$AK$22,I9)))^2)*INDEX(Calc!$AL$3:$AL$22,I9+1)+(((G9-INDEX(Calc!$AK$3:$AK$22,I9))/(INDEX(Calc!$AK$3:$AK$22,I9+1)-INDEX(Calc!$AK$3:$AK$22,I9)))^3-((G9-INDEX(Calc!$AK$3:$AK$22,I9))/(INDEX(Calc!$AK$3:$AK$22,I9+1)-INDEX(Calc!$AK$3:$AK$22,I9)))^2)*(INDEX(Calc!$AK$3:$AK$22,I9+1)-INDEX(Calc!$AK$3:$AK$22,I9))*INDEX(Calc!$AQ$3:$AQ$22,I9),NA())</f>
        <v/>
      </c>
      <c r="I9">
        <f>IF(AND(k_gluOn,k_ng&gt;=2),MIN(k_ng-1,MAX(1,MATCH(G9,Calc!$AK$3:INDEX(Calc!$AK$3:$AK$22,k_ng),1))),1)</f>
        <v/>
      </c>
      <c r="K9" t="inlineStr">
        <is>
          <t>A0|A1</t>
        </is>
      </c>
      <c r="L9">
        <f>IF(ISNUMBER(k_z0),k_z0,NA())</f>
        <v/>
      </c>
      <c r="M9">
        <f>IF(ISNUMBER(L9),0,NA())</f>
        <v/>
      </c>
    </row>
    <row r="10">
      <c r="A10">
        <f>IF(k_ok,Grid!$B$37,NA())</f>
        <v/>
      </c>
      <c r="B10">
        <f>IF(k_ok,Grid!$Q$37,NA())</f>
        <v/>
      </c>
      <c r="C10">
        <f>IF(k_hrok,k_h0+k_h1*E10+k_h2*E10^2,NA())</f>
        <v/>
      </c>
      <c r="D10">
        <f>IF(k_ok,Grid!$Q$37/Grid!$B$37,NA())</f>
        <v/>
      </c>
      <c r="E10">
        <f>IF(k_hrok,k_hx0+(k_hx1-k_hx0)*7/200,NA())</f>
        <v/>
      </c>
      <c r="G10">
        <f>IF(AND(k_gluOn,k_ng&gt;=2),Calc!$AK$3+(INDEX(Calc!$AK$3:$AK$22,k_ng)-Calc!$AK$3)*7/200,NA())</f>
        <v/>
      </c>
      <c r="H10">
        <f>IF(AND(k_gluOn,k_ng&gt;=2),(2*((G10-INDEX(Calc!$AK$3:$AK$22,I10))/(INDEX(Calc!$AK$3:$AK$22,I10+1)-INDEX(Calc!$AK$3:$AK$22,I10)))^3-3*((G10-INDEX(Calc!$AK$3:$AK$22,I10))/(INDEX(Calc!$AK$3:$AK$22,I10+1)-INDEX(Calc!$AK$3:$AK$22,I10)))^2+1)*INDEX(Calc!$AL$3:$AL$22,I10)+(((G10-INDEX(Calc!$AK$3:$AK$22,I10))/(INDEX(Calc!$AK$3:$AK$22,I10+1)-INDEX(Calc!$AK$3:$AK$22,I10)))^3-2*((G10-INDEX(Calc!$AK$3:$AK$22,I10))/(INDEX(Calc!$AK$3:$AK$22,I10+1)-INDEX(Calc!$AK$3:$AK$22,I10)))^2+((G10-INDEX(Calc!$AK$3:$AK$22,I10))/(INDEX(Calc!$AK$3:$AK$22,I10+1)-INDEX(Calc!$AK$3:$AK$22,I10))))*(INDEX(Calc!$AK$3:$AK$22,I10+1)-INDEX(Calc!$AK$3:$AK$22,I10))*INDEX(Calc!$AP$3:$AP$22,I10)+(-2*((G10-INDEX(Calc!$AK$3:$AK$22,I10))/(INDEX(Calc!$AK$3:$AK$22,I10+1)-INDEX(Calc!$AK$3:$AK$22,I10)))^3+3*((G10-INDEX(Calc!$AK$3:$AK$22,I10))/(INDEX(Calc!$AK$3:$AK$22,I10+1)-INDEX(Calc!$AK$3:$AK$22,I10)))^2)*INDEX(Calc!$AL$3:$AL$22,I10+1)+(((G10-INDEX(Calc!$AK$3:$AK$22,I10))/(INDEX(Calc!$AK$3:$AK$22,I10+1)-INDEX(Calc!$AK$3:$AK$22,I10)))^3-((G10-INDEX(Calc!$AK$3:$AK$22,I10))/(INDEX(Calc!$AK$3:$AK$22,I10+1)-INDEX(Calc!$AK$3:$AK$22,I10)))^2)*(INDEX(Calc!$AK$3:$AK$22,I10+1)-INDEX(Calc!$AK$3:$AK$22,I10))*INDEX(Calc!$AQ$3:$AQ$22,I10),NA())</f>
        <v/>
      </c>
      <c r="I10">
        <f>IF(AND(k_gluOn,k_ng&gt;=2),MIN(k_ng-1,MAX(1,MATCH(G10,Calc!$AK$3:INDEX(Calc!$AK$3:$AK$22,k_ng),1))),1)</f>
        <v/>
      </c>
      <c r="L10">
        <f>IF(ISNUMBER(k_z0),k_z0,NA())</f>
        <v/>
      </c>
      <c r="M10">
        <f>IF(ISNUMBER(L10),$O$3,NA())</f>
        <v/>
      </c>
    </row>
    <row r="11">
      <c r="A11">
        <f>IF(k_ok,Grid!$B$42,NA())</f>
        <v/>
      </c>
      <c r="B11">
        <f>IF(k_ok,Grid!$Q$42,NA())</f>
        <v/>
      </c>
      <c r="C11">
        <f>IF(k_hrok,k_h0+k_h1*E11+k_h2*E11^2,NA())</f>
        <v/>
      </c>
      <c r="D11">
        <f>IF(k_ok,Grid!$Q$42/Grid!$B$42,NA())</f>
        <v/>
      </c>
      <c r="E11">
        <f>IF(k_hrok,k_hx0+(k_hx1-k_hx0)*8/200,NA())</f>
        <v/>
      </c>
      <c r="G11">
        <f>IF(AND(k_gluOn,k_ng&gt;=2),Calc!$AK$3+(INDEX(Calc!$AK$3:$AK$22,k_ng)-Calc!$AK$3)*8/200,NA())</f>
        <v/>
      </c>
      <c r="H11">
        <f>IF(AND(k_gluOn,k_ng&gt;=2),(2*((G11-INDEX(Calc!$AK$3:$AK$22,I11))/(INDEX(Calc!$AK$3:$AK$22,I11+1)-INDEX(Calc!$AK$3:$AK$22,I11)))^3-3*((G11-INDEX(Calc!$AK$3:$AK$22,I11))/(INDEX(Calc!$AK$3:$AK$22,I11+1)-INDEX(Calc!$AK$3:$AK$22,I11)))^2+1)*INDEX(Calc!$AL$3:$AL$22,I11)+(((G11-INDEX(Calc!$AK$3:$AK$22,I11))/(INDEX(Calc!$AK$3:$AK$22,I11+1)-INDEX(Calc!$AK$3:$AK$22,I11)))^3-2*((G11-INDEX(Calc!$AK$3:$AK$22,I11))/(INDEX(Calc!$AK$3:$AK$22,I11+1)-INDEX(Calc!$AK$3:$AK$22,I11)))^2+((G11-INDEX(Calc!$AK$3:$AK$22,I11))/(INDEX(Calc!$AK$3:$AK$22,I11+1)-INDEX(Calc!$AK$3:$AK$22,I11))))*(INDEX(Calc!$AK$3:$AK$22,I11+1)-INDEX(Calc!$AK$3:$AK$22,I11))*INDEX(Calc!$AP$3:$AP$22,I11)+(-2*((G11-INDEX(Calc!$AK$3:$AK$22,I11))/(INDEX(Calc!$AK$3:$AK$22,I11+1)-INDEX(Calc!$AK$3:$AK$22,I11)))^3+3*((G11-INDEX(Calc!$AK$3:$AK$22,I11))/(INDEX(Calc!$AK$3:$AK$22,I11+1)-INDEX(Calc!$AK$3:$AK$22,I11)))^2)*INDEX(Calc!$AL$3:$AL$22,I11+1)+(((G11-INDEX(Calc!$AK$3:$AK$22,I11))/(INDEX(Calc!$AK$3:$AK$22,I11+1)-INDEX(Calc!$AK$3:$AK$22,I11)))^3-((G11-INDEX(Calc!$AK$3:$AK$22,I11))/(INDEX(Calc!$AK$3:$AK$22,I11+1)-INDEX(Calc!$AK$3:$AK$22,I11)))^2)*(INDEX(Calc!$AK$3:$AK$22,I11+1)-INDEX(Calc!$AK$3:$AK$22,I11))*INDEX(Calc!$AQ$3:$AQ$22,I11),NA())</f>
        <v/>
      </c>
      <c r="I11">
        <f>IF(AND(k_gluOn,k_ng&gt;=2),MIN(k_ng-1,MAX(1,MATCH(G11,Calc!$AK$3:INDEX(Calc!$AK$3:$AK$22,k_ng),1))),1)</f>
        <v/>
      </c>
    </row>
    <row r="12">
      <c r="A12">
        <f>IF(k_ok,Grid!$B$47,NA())</f>
        <v/>
      </c>
      <c r="B12">
        <f>IF(k_ok,Grid!$Q$47,NA())</f>
        <v/>
      </c>
      <c r="C12">
        <f>IF(k_hrok,k_h0+k_h1*E12+k_h2*E12^2,NA())</f>
        <v/>
      </c>
      <c r="D12">
        <f>IF(k_ok,Grid!$Q$47/Grid!$B$47,NA())</f>
        <v/>
      </c>
      <c r="E12">
        <f>IF(k_hrok,k_hx0+(k_hx1-k_hx0)*9/200,NA())</f>
        <v/>
      </c>
      <c r="G12">
        <f>IF(AND(k_gluOn,k_ng&gt;=2),Calc!$AK$3+(INDEX(Calc!$AK$3:$AK$22,k_ng)-Calc!$AK$3)*9/200,NA())</f>
        <v/>
      </c>
      <c r="H12">
        <f>IF(AND(k_gluOn,k_ng&gt;=2),(2*((G12-INDEX(Calc!$AK$3:$AK$22,I12))/(INDEX(Calc!$AK$3:$AK$22,I12+1)-INDEX(Calc!$AK$3:$AK$22,I12)))^3-3*((G12-INDEX(Calc!$AK$3:$AK$22,I12))/(INDEX(Calc!$AK$3:$AK$22,I12+1)-INDEX(Calc!$AK$3:$AK$22,I12)))^2+1)*INDEX(Calc!$AL$3:$AL$22,I12)+(((G12-INDEX(Calc!$AK$3:$AK$22,I12))/(INDEX(Calc!$AK$3:$AK$22,I12+1)-INDEX(Calc!$AK$3:$AK$22,I12)))^3-2*((G12-INDEX(Calc!$AK$3:$AK$22,I12))/(INDEX(Calc!$AK$3:$AK$22,I12+1)-INDEX(Calc!$AK$3:$AK$22,I12)))^2+((G12-INDEX(Calc!$AK$3:$AK$22,I12))/(INDEX(Calc!$AK$3:$AK$22,I12+1)-INDEX(Calc!$AK$3:$AK$22,I12))))*(INDEX(Calc!$AK$3:$AK$22,I12+1)-INDEX(Calc!$AK$3:$AK$22,I12))*INDEX(Calc!$AP$3:$AP$22,I12)+(-2*((G12-INDEX(Calc!$AK$3:$AK$22,I12))/(INDEX(Calc!$AK$3:$AK$22,I12+1)-INDEX(Calc!$AK$3:$AK$22,I12)))^3+3*((G12-INDEX(Calc!$AK$3:$AK$22,I12))/(INDEX(Calc!$AK$3:$AK$22,I12+1)-INDEX(Calc!$AK$3:$AK$22,I12)))^2)*INDEX(Calc!$AL$3:$AL$22,I12+1)+(((G12-INDEX(Calc!$AK$3:$AK$22,I12))/(INDEX(Calc!$AK$3:$AK$22,I12+1)-INDEX(Calc!$AK$3:$AK$22,I12)))^3-((G12-INDEX(Calc!$AK$3:$AK$22,I12))/(INDEX(Calc!$AK$3:$AK$22,I12+1)-INDEX(Calc!$AK$3:$AK$22,I12)))^2)*(INDEX(Calc!$AK$3:$AK$22,I12+1)-INDEX(Calc!$AK$3:$AK$22,I12))*INDEX(Calc!$AQ$3:$AQ$22,I12),NA())</f>
        <v/>
      </c>
      <c r="I12">
        <f>IF(AND(k_gluOn,k_ng&gt;=2),MIN(k_ng-1,MAX(1,MATCH(G12,Calc!$AK$3:INDEX(Calc!$AK$3:$AK$22,k_ng),1))),1)</f>
        <v/>
      </c>
      <c r="K12" t="inlineStr">
        <is>
          <t>A2|A3</t>
        </is>
      </c>
      <c r="L12">
        <f>IF(ISNUMBER(k_z2),k_z2,NA())</f>
        <v/>
      </c>
      <c r="M12">
        <f>IF(ISNUMBER(L12),0,NA())</f>
        <v/>
      </c>
    </row>
    <row r="13">
      <c r="A13">
        <f>IF(k_ok,Grid!$B$52,NA())</f>
        <v/>
      </c>
      <c r="B13">
        <f>IF(k_ok,Grid!$Q$52,NA())</f>
        <v/>
      </c>
      <c r="C13">
        <f>IF(k_hrok,k_h0+k_h1*E13+k_h2*E13^2,NA())</f>
        <v/>
      </c>
      <c r="D13">
        <f>IF(k_ok,Grid!$Q$52/Grid!$B$52,NA())</f>
        <v/>
      </c>
      <c r="E13">
        <f>IF(k_hrok,k_hx0+(k_hx1-k_hx0)*10/200,NA())</f>
        <v/>
      </c>
      <c r="G13">
        <f>IF(AND(k_gluOn,k_ng&gt;=2),Calc!$AK$3+(INDEX(Calc!$AK$3:$AK$22,k_ng)-Calc!$AK$3)*10/200,NA())</f>
        <v/>
      </c>
      <c r="H13">
        <f>IF(AND(k_gluOn,k_ng&gt;=2),(2*((G13-INDEX(Calc!$AK$3:$AK$22,I13))/(INDEX(Calc!$AK$3:$AK$22,I13+1)-INDEX(Calc!$AK$3:$AK$22,I13)))^3-3*((G13-INDEX(Calc!$AK$3:$AK$22,I13))/(INDEX(Calc!$AK$3:$AK$22,I13+1)-INDEX(Calc!$AK$3:$AK$22,I13)))^2+1)*INDEX(Calc!$AL$3:$AL$22,I13)+(((G13-INDEX(Calc!$AK$3:$AK$22,I13))/(INDEX(Calc!$AK$3:$AK$22,I13+1)-INDEX(Calc!$AK$3:$AK$22,I13)))^3-2*((G13-INDEX(Calc!$AK$3:$AK$22,I13))/(INDEX(Calc!$AK$3:$AK$22,I13+1)-INDEX(Calc!$AK$3:$AK$22,I13)))^2+((G13-INDEX(Calc!$AK$3:$AK$22,I13))/(INDEX(Calc!$AK$3:$AK$22,I13+1)-INDEX(Calc!$AK$3:$AK$22,I13))))*(INDEX(Calc!$AK$3:$AK$22,I13+1)-INDEX(Calc!$AK$3:$AK$22,I13))*INDEX(Calc!$AP$3:$AP$22,I13)+(-2*((G13-INDEX(Calc!$AK$3:$AK$22,I13))/(INDEX(Calc!$AK$3:$AK$22,I13+1)-INDEX(Calc!$AK$3:$AK$22,I13)))^3+3*((G13-INDEX(Calc!$AK$3:$AK$22,I13))/(INDEX(Calc!$AK$3:$AK$22,I13+1)-INDEX(Calc!$AK$3:$AK$22,I13)))^2)*INDEX(Calc!$AL$3:$AL$22,I13+1)+(((G13-INDEX(Calc!$AK$3:$AK$22,I13))/(INDEX(Calc!$AK$3:$AK$22,I13+1)-INDEX(Calc!$AK$3:$AK$22,I13)))^3-((G13-INDEX(Calc!$AK$3:$AK$22,I13))/(INDEX(Calc!$AK$3:$AK$22,I13+1)-INDEX(Calc!$AK$3:$AK$22,I13)))^2)*(INDEX(Calc!$AK$3:$AK$22,I13+1)-INDEX(Calc!$AK$3:$AK$22,I13))*INDEX(Calc!$AQ$3:$AQ$22,I13),NA())</f>
        <v/>
      </c>
      <c r="I13">
        <f>IF(AND(k_gluOn,k_ng&gt;=2),MIN(k_ng-1,MAX(1,MATCH(G13,Calc!$AK$3:INDEX(Calc!$AK$3:$AK$22,k_ng),1))),1)</f>
        <v/>
      </c>
      <c r="L13">
        <f>IF(ISNUMBER(k_z2),k_z2,NA())</f>
        <v/>
      </c>
      <c r="M13">
        <f>IF(ISNUMBER(L13),$O$3,NA())</f>
        <v/>
      </c>
    </row>
    <row r="14">
      <c r="A14">
        <f>IF(k_ok,Grid!$B$57,NA())</f>
        <v/>
      </c>
      <c r="B14">
        <f>IF(k_ok,Grid!$Q$57,NA())</f>
        <v/>
      </c>
      <c r="C14">
        <f>IF(k_hrok,k_h0+k_h1*E14+k_h2*E14^2,NA())</f>
        <v/>
      </c>
      <c r="D14">
        <f>IF(k_ok,Grid!$Q$57/Grid!$B$57,NA())</f>
        <v/>
      </c>
      <c r="E14">
        <f>IF(k_hrok,k_hx0+(k_hx1-k_hx0)*11/200,NA())</f>
        <v/>
      </c>
      <c r="G14">
        <f>IF(AND(k_gluOn,k_ng&gt;=2),Calc!$AK$3+(INDEX(Calc!$AK$3:$AK$22,k_ng)-Calc!$AK$3)*11/200,NA())</f>
        <v/>
      </c>
      <c r="H14">
        <f>IF(AND(k_gluOn,k_ng&gt;=2),(2*((G14-INDEX(Calc!$AK$3:$AK$22,I14))/(INDEX(Calc!$AK$3:$AK$22,I14+1)-INDEX(Calc!$AK$3:$AK$22,I14)))^3-3*((G14-INDEX(Calc!$AK$3:$AK$22,I14))/(INDEX(Calc!$AK$3:$AK$22,I14+1)-INDEX(Calc!$AK$3:$AK$22,I14)))^2+1)*INDEX(Calc!$AL$3:$AL$22,I14)+(((G14-INDEX(Calc!$AK$3:$AK$22,I14))/(INDEX(Calc!$AK$3:$AK$22,I14+1)-INDEX(Calc!$AK$3:$AK$22,I14)))^3-2*((G14-INDEX(Calc!$AK$3:$AK$22,I14))/(INDEX(Calc!$AK$3:$AK$22,I14+1)-INDEX(Calc!$AK$3:$AK$22,I14)))^2+((G14-INDEX(Calc!$AK$3:$AK$22,I14))/(INDEX(Calc!$AK$3:$AK$22,I14+1)-INDEX(Calc!$AK$3:$AK$22,I14))))*(INDEX(Calc!$AK$3:$AK$22,I14+1)-INDEX(Calc!$AK$3:$AK$22,I14))*INDEX(Calc!$AP$3:$AP$22,I14)+(-2*((G14-INDEX(Calc!$AK$3:$AK$22,I14))/(INDEX(Calc!$AK$3:$AK$22,I14+1)-INDEX(Calc!$AK$3:$AK$22,I14)))^3+3*((G14-INDEX(Calc!$AK$3:$AK$22,I14))/(INDEX(Calc!$AK$3:$AK$22,I14+1)-INDEX(Calc!$AK$3:$AK$22,I14)))^2)*INDEX(Calc!$AL$3:$AL$22,I14+1)+(((G14-INDEX(Calc!$AK$3:$AK$22,I14))/(INDEX(Calc!$AK$3:$AK$22,I14+1)-INDEX(Calc!$AK$3:$AK$22,I14)))^3-((G14-INDEX(Calc!$AK$3:$AK$22,I14))/(INDEX(Calc!$AK$3:$AK$22,I14+1)-INDEX(Calc!$AK$3:$AK$22,I14)))^2)*(INDEX(Calc!$AK$3:$AK$22,I14+1)-INDEX(Calc!$AK$3:$AK$22,I14))*INDEX(Calc!$AQ$3:$AQ$22,I14),NA())</f>
        <v/>
      </c>
      <c r="I14">
        <f>IF(AND(k_gluOn,k_ng&gt;=2),MIN(k_ng-1,MAX(1,MATCH(G14,Calc!$AK$3:INDEX(Calc!$AK$3:$AK$22,k_ng),1))),1)</f>
        <v/>
      </c>
    </row>
    <row r="15">
      <c r="A15">
        <f>IF(k_ok,Grid!$B$62,NA())</f>
        <v/>
      </c>
      <c r="B15">
        <f>IF(k_ok,Grid!$Q$62,NA())</f>
        <v/>
      </c>
      <c r="C15">
        <f>IF(k_hrok,k_h0+k_h1*E15+k_h2*E15^2,NA())</f>
        <v/>
      </c>
      <c r="D15">
        <f>IF(k_ok,Grid!$Q$62/Grid!$B$62,NA())</f>
        <v/>
      </c>
      <c r="E15">
        <f>IF(k_hrok,k_hx0+(k_hx1-k_hx0)*12/200,NA())</f>
        <v/>
      </c>
      <c r="G15">
        <f>IF(AND(k_gluOn,k_ng&gt;=2),Calc!$AK$3+(INDEX(Calc!$AK$3:$AK$22,k_ng)-Calc!$AK$3)*12/200,NA())</f>
        <v/>
      </c>
      <c r="H15">
        <f>IF(AND(k_gluOn,k_ng&gt;=2),(2*((G15-INDEX(Calc!$AK$3:$AK$22,I15))/(INDEX(Calc!$AK$3:$AK$22,I15+1)-INDEX(Calc!$AK$3:$AK$22,I15)))^3-3*((G15-INDEX(Calc!$AK$3:$AK$22,I15))/(INDEX(Calc!$AK$3:$AK$22,I15+1)-INDEX(Calc!$AK$3:$AK$22,I15)))^2+1)*INDEX(Calc!$AL$3:$AL$22,I15)+(((G15-INDEX(Calc!$AK$3:$AK$22,I15))/(INDEX(Calc!$AK$3:$AK$22,I15+1)-INDEX(Calc!$AK$3:$AK$22,I15)))^3-2*((G15-INDEX(Calc!$AK$3:$AK$22,I15))/(INDEX(Calc!$AK$3:$AK$22,I15+1)-INDEX(Calc!$AK$3:$AK$22,I15)))^2+((G15-INDEX(Calc!$AK$3:$AK$22,I15))/(INDEX(Calc!$AK$3:$AK$22,I15+1)-INDEX(Calc!$AK$3:$AK$22,I15))))*(INDEX(Calc!$AK$3:$AK$22,I15+1)-INDEX(Calc!$AK$3:$AK$22,I15))*INDEX(Calc!$AP$3:$AP$22,I15)+(-2*((G15-INDEX(Calc!$AK$3:$AK$22,I15))/(INDEX(Calc!$AK$3:$AK$22,I15+1)-INDEX(Calc!$AK$3:$AK$22,I15)))^3+3*((G15-INDEX(Calc!$AK$3:$AK$22,I15))/(INDEX(Calc!$AK$3:$AK$22,I15+1)-INDEX(Calc!$AK$3:$AK$22,I15)))^2)*INDEX(Calc!$AL$3:$AL$22,I15+1)+(((G15-INDEX(Calc!$AK$3:$AK$22,I15))/(INDEX(Calc!$AK$3:$AK$22,I15+1)-INDEX(Calc!$AK$3:$AK$22,I15)))^3-((G15-INDEX(Calc!$AK$3:$AK$22,I15))/(INDEX(Calc!$AK$3:$AK$22,I15+1)-INDEX(Calc!$AK$3:$AK$22,I15)))^2)*(INDEX(Calc!$AK$3:$AK$22,I15+1)-INDEX(Calc!$AK$3:$AK$22,I15))*INDEX(Calc!$AQ$3:$AQ$22,I15),NA())</f>
        <v/>
      </c>
      <c r="I15">
        <f>IF(AND(k_gluOn,k_ng&gt;=2),MIN(k_ng-1,MAX(1,MATCH(G15,Calc!$AK$3:INDEX(Calc!$AK$3:$AK$22,k_ng),1))),1)</f>
        <v/>
      </c>
      <c r="K15" t="inlineStr">
        <is>
          <t>A3|A4</t>
        </is>
      </c>
      <c r="L15">
        <f>IF(ISNUMBER(k_z3),k_z3,NA())</f>
        <v/>
      </c>
      <c r="M15">
        <f>IF(ISNUMBER(L15),0,NA())</f>
        <v/>
      </c>
    </row>
    <row r="16">
      <c r="A16">
        <f>IF(k_ok,Grid!$B$67,NA())</f>
        <v/>
      </c>
      <c r="B16">
        <f>IF(k_ok,Grid!$Q$67,NA())</f>
        <v/>
      </c>
      <c r="C16">
        <f>IF(k_hrok,k_h0+k_h1*E16+k_h2*E16^2,NA())</f>
        <v/>
      </c>
      <c r="D16">
        <f>IF(k_ok,Grid!$Q$67/Grid!$B$67,NA())</f>
        <v/>
      </c>
      <c r="E16">
        <f>IF(k_hrok,k_hx0+(k_hx1-k_hx0)*13/200,NA())</f>
        <v/>
      </c>
      <c r="G16">
        <f>IF(AND(k_gluOn,k_ng&gt;=2),Calc!$AK$3+(INDEX(Calc!$AK$3:$AK$22,k_ng)-Calc!$AK$3)*13/200,NA())</f>
        <v/>
      </c>
      <c r="H16">
        <f>IF(AND(k_gluOn,k_ng&gt;=2),(2*((G16-INDEX(Calc!$AK$3:$AK$22,I16))/(INDEX(Calc!$AK$3:$AK$22,I16+1)-INDEX(Calc!$AK$3:$AK$22,I16)))^3-3*((G16-INDEX(Calc!$AK$3:$AK$22,I16))/(INDEX(Calc!$AK$3:$AK$22,I16+1)-INDEX(Calc!$AK$3:$AK$22,I16)))^2+1)*INDEX(Calc!$AL$3:$AL$22,I16)+(((G16-INDEX(Calc!$AK$3:$AK$22,I16))/(INDEX(Calc!$AK$3:$AK$22,I16+1)-INDEX(Calc!$AK$3:$AK$22,I16)))^3-2*((G16-INDEX(Calc!$AK$3:$AK$22,I16))/(INDEX(Calc!$AK$3:$AK$22,I16+1)-INDEX(Calc!$AK$3:$AK$22,I16)))^2+((G16-INDEX(Calc!$AK$3:$AK$22,I16))/(INDEX(Calc!$AK$3:$AK$22,I16+1)-INDEX(Calc!$AK$3:$AK$22,I16))))*(INDEX(Calc!$AK$3:$AK$22,I16+1)-INDEX(Calc!$AK$3:$AK$22,I16))*INDEX(Calc!$AP$3:$AP$22,I16)+(-2*((G16-INDEX(Calc!$AK$3:$AK$22,I16))/(INDEX(Calc!$AK$3:$AK$22,I16+1)-INDEX(Calc!$AK$3:$AK$22,I16)))^3+3*((G16-INDEX(Calc!$AK$3:$AK$22,I16))/(INDEX(Calc!$AK$3:$AK$22,I16+1)-INDEX(Calc!$AK$3:$AK$22,I16)))^2)*INDEX(Calc!$AL$3:$AL$22,I16+1)+(((G16-INDEX(Calc!$AK$3:$AK$22,I16))/(INDEX(Calc!$AK$3:$AK$22,I16+1)-INDEX(Calc!$AK$3:$AK$22,I16)))^3-((G16-INDEX(Calc!$AK$3:$AK$22,I16))/(INDEX(Calc!$AK$3:$AK$22,I16+1)-INDEX(Calc!$AK$3:$AK$22,I16)))^2)*(INDEX(Calc!$AK$3:$AK$22,I16+1)-INDEX(Calc!$AK$3:$AK$22,I16))*INDEX(Calc!$AQ$3:$AQ$22,I16),NA())</f>
        <v/>
      </c>
      <c r="I16">
        <f>IF(AND(k_gluOn,k_ng&gt;=2),MIN(k_ng-1,MAX(1,MATCH(G16,Calc!$AK$3:INDEX(Calc!$AK$3:$AK$22,k_ng),1))),1)</f>
        <v/>
      </c>
      <c r="L16">
        <f>IF(ISNUMBER(k_z3),k_z3,NA())</f>
        <v/>
      </c>
      <c r="M16">
        <f>IF(ISNUMBER(L16),$O$3,NA())</f>
        <v/>
      </c>
    </row>
    <row r="17">
      <c r="A17">
        <f>IF(k_ok,Grid!$B$72,NA())</f>
        <v/>
      </c>
      <c r="B17">
        <f>IF(k_ok,Grid!$Q$72,NA())</f>
        <v/>
      </c>
      <c r="C17">
        <f>IF(k_hrok,k_h0+k_h1*E17+k_h2*E17^2,NA())</f>
        <v/>
      </c>
      <c r="D17">
        <f>IF(k_ok,Grid!$Q$72/Grid!$B$72,NA())</f>
        <v/>
      </c>
      <c r="E17">
        <f>IF(k_hrok,k_hx0+(k_hx1-k_hx0)*14/200,NA())</f>
        <v/>
      </c>
      <c r="G17">
        <f>IF(AND(k_gluOn,k_ng&gt;=2),Calc!$AK$3+(INDEX(Calc!$AK$3:$AK$22,k_ng)-Calc!$AK$3)*14/200,NA())</f>
        <v/>
      </c>
      <c r="H17">
        <f>IF(AND(k_gluOn,k_ng&gt;=2),(2*((G17-INDEX(Calc!$AK$3:$AK$22,I17))/(INDEX(Calc!$AK$3:$AK$22,I17+1)-INDEX(Calc!$AK$3:$AK$22,I17)))^3-3*((G17-INDEX(Calc!$AK$3:$AK$22,I17))/(INDEX(Calc!$AK$3:$AK$22,I17+1)-INDEX(Calc!$AK$3:$AK$22,I17)))^2+1)*INDEX(Calc!$AL$3:$AL$22,I17)+(((G17-INDEX(Calc!$AK$3:$AK$22,I17))/(INDEX(Calc!$AK$3:$AK$22,I17+1)-INDEX(Calc!$AK$3:$AK$22,I17)))^3-2*((G17-INDEX(Calc!$AK$3:$AK$22,I17))/(INDEX(Calc!$AK$3:$AK$22,I17+1)-INDEX(Calc!$AK$3:$AK$22,I17)))^2+((G17-INDEX(Calc!$AK$3:$AK$22,I17))/(INDEX(Calc!$AK$3:$AK$22,I17+1)-INDEX(Calc!$AK$3:$AK$22,I17))))*(INDEX(Calc!$AK$3:$AK$22,I17+1)-INDEX(Calc!$AK$3:$AK$22,I17))*INDEX(Calc!$AP$3:$AP$22,I17)+(-2*((G17-INDEX(Calc!$AK$3:$AK$22,I17))/(INDEX(Calc!$AK$3:$AK$22,I17+1)-INDEX(Calc!$AK$3:$AK$22,I17)))^3+3*((G17-INDEX(Calc!$AK$3:$AK$22,I17))/(INDEX(Calc!$AK$3:$AK$22,I17+1)-INDEX(Calc!$AK$3:$AK$22,I17)))^2)*INDEX(Calc!$AL$3:$AL$22,I17+1)+(((G17-INDEX(Calc!$AK$3:$AK$22,I17))/(INDEX(Calc!$AK$3:$AK$22,I17+1)-INDEX(Calc!$AK$3:$AK$22,I17)))^3-((G17-INDEX(Calc!$AK$3:$AK$22,I17))/(INDEX(Calc!$AK$3:$AK$22,I17+1)-INDEX(Calc!$AK$3:$AK$22,I17)))^2)*(INDEX(Calc!$AK$3:$AK$22,I17+1)-INDEX(Calc!$AK$3:$AK$22,I17))*INDEX(Calc!$AQ$3:$AQ$22,I17),NA())</f>
        <v/>
      </c>
      <c r="I17">
        <f>IF(AND(k_gluOn,k_ng&gt;=2),MIN(k_ng-1,MAX(1,MATCH(G17,Calc!$AK$3:INDEX(Calc!$AK$3:$AK$22,k_ng),1))),1)</f>
        <v/>
      </c>
    </row>
    <row r="18">
      <c r="A18">
        <f>IF(k_ok,Grid!$B$77,NA())</f>
        <v/>
      </c>
      <c r="B18">
        <f>IF(k_ok,Grid!$Q$77,NA())</f>
        <v/>
      </c>
      <c r="C18">
        <f>IF(k_hrok,k_h0+k_h1*E18+k_h2*E18^2,NA())</f>
        <v/>
      </c>
      <c r="D18">
        <f>IF(k_ok,Grid!$Q$77/Grid!$B$77,NA())</f>
        <v/>
      </c>
      <c r="E18">
        <f>IF(k_hrok,k_hx0+(k_hx1-k_hx0)*15/200,NA())</f>
        <v/>
      </c>
      <c r="G18">
        <f>IF(AND(k_gluOn,k_ng&gt;=2),Calc!$AK$3+(INDEX(Calc!$AK$3:$AK$22,k_ng)-Calc!$AK$3)*15/200,NA())</f>
        <v/>
      </c>
      <c r="H18">
        <f>IF(AND(k_gluOn,k_ng&gt;=2),(2*((G18-INDEX(Calc!$AK$3:$AK$22,I18))/(INDEX(Calc!$AK$3:$AK$22,I18+1)-INDEX(Calc!$AK$3:$AK$22,I18)))^3-3*((G18-INDEX(Calc!$AK$3:$AK$22,I18))/(INDEX(Calc!$AK$3:$AK$22,I18+1)-INDEX(Calc!$AK$3:$AK$22,I18)))^2+1)*INDEX(Calc!$AL$3:$AL$22,I18)+(((G18-INDEX(Calc!$AK$3:$AK$22,I18))/(INDEX(Calc!$AK$3:$AK$22,I18+1)-INDEX(Calc!$AK$3:$AK$22,I18)))^3-2*((G18-INDEX(Calc!$AK$3:$AK$22,I18))/(INDEX(Calc!$AK$3:$AK$22,I18+1)-INDEX(Calc!$AK$3:$AK$22,I18)))^2+((G18-INDEX(Calc!$AK$3:$AK$22,I18))/(INDEX(Calc!$AK$3:$AK$22,I18+1)-INDEX(Calc!$AK$3:$AK$22,I18))))*(INDEX(Calc!$AK$3:$AK$22,I18+1)-INDEX(Calc!$AK$3:$AK$22,I18))*INDEX(Calc!$AP$3:$AP$22,I18)+(-2*((G18-INDEX(Calc!$AK$3:$AK$22,I18))/(INDEX(Calc!$AK$3:$AK$22,I18+1)-INDEX(Calc!$AK$3:$AK$22,I18)))^3+3*((G18-INDEX(Calc!$AK$3:$AK$22,I18))/(INDEX(Calc!$AK$3:$AK$22,I18+1)-INDEX(Calc!$AK$3:$AK$22,I18)))^2)*INDEX(Calc!$AL$3:$AL$22,I18+1)+(((G18-INDEX(Calc!$AK$3:$AK$22,I18))/(INDEX(Calc!$AK$3:$AK$22,I18+1)-INDEX(Calc!$AK$3:$AK$22,I18)))^3-((G18-INDEX(Calc!$AK$3:$AK$22,I18))/(INDEX(Calc!$AK$3:$AK$22,I18+1)-INDEX(Calc!$AK$3:$AK$22,I18)))^2)*(INDEX(Calc!$AK$3:$AK$22,I18+1)-INDEX(Calc!$AK$3:$AK$22,I18))*INDEX(Calc!$AQ$3:$AQ$22,I18),NA())</f>
        <v/>
      </c>
      <c r="I18">
        <f>IF(AND(k_gluOn,k_ng&gt;=2),MIN(k_ng-1,MAX(1,MATCH(G18,Calc!$AK$3:INDEX(Calc!$AK$3:$AK$22,k_ng),1))),1)</f>
        <v/>
      </c>
      <c r="K18" t="inlineStr">
        <is>
          <t>A4 Ende</t>
        </is>
      </c>
      <c r="L18">
        <f>IF(ISNUMBER(k_z4),k_z4,NA())</f>
        <v/>
      </c>
      <c r="M18">
        <f>IF(ISNUMBER(L18),0,NA())</f>
        <v/>
      </c>
    </row>
    <row r="19">
      <c r="A19">
        <f>IF(k_ok,Grid!$B$82,NA())</f>
        <v/>
      </c>
      <c r="B19">
        <f>IF(k_ok,Grid!$Q$82,NA())</f>
        <v/>
      </c>
      <c r="C19">
        <f>IF(k_hrok,k_h0+k_h1*E19+k_h2*E19^2,NA())</f>
        <v/>
      </c>
      <c r="D19">
        <f>IF(k_ok,Grid!$Q$82/Grid!$B$82,NA())</f>
        <v/>
      </c>
      <c r="E19">
        <f>IF(k_hrok,k_hx0+(k_hx1-k_hx0)*16/200,NA())</f>
        <v/>
      </c>
      <c r="G19">
        <f>IF(AND(k_gluOn,k_ng&gt;=2),Calc!$AK$3+(INDEX(Calc!$AK$3:$AK$22,k_ng)-Calc!$AK$3)*16/200,NA())</f>
        <v/>
      </c>
      <c r="H19">
        <f>IF(AND(k_gluOn,k_ng&gt;=2),(2*((G19-INDEX(Calc!$AK$3:$AK$22,I19))/(INDEX(Calc!$AK$3:$AK$22,I19+1)-INDEX(Calc!$AK$3:$AK$22,I19)))^3-3*((G19-INDEX(Calc!$AK$3:$AK$22,I19))/(INDEX(Calc!$AK$3:$AK$22,I19+1)-INDEX(Calc!$AK$3:$AK$22,I19)))^2+1)*INDEX(Calc!$AL$3:$AL$22,I19)+(((G19-INDEX(Calc!$AK$3:$AK$22,I19))/(INDEX(Calc!$AK$3:$AK$22,I19+1)-INDEX(Calc!$AK$3:$AK$22,I19)))^3-2*((G19-INDEX(Calc!$AK$3:$AK$22,I19))/(INDEX(Calc!$AK$3:$AK$22,I19+1)-INDEX(Calc!$AK$3:$AK$22,I19)))^2+((G19-INDEX(Calc!$AK$3:$AK$22,I19))/(INDEX(Calc!$AK$3:$AK$22,I19+1)-INDEX(Calc!$AK$3:$AK$22,I19))))*(INDEX(Calc!$AK$3:$AK$22,I19+1)-INDEX(Calc!$AK$3:$AK$22,I19))*INDEX(Calc!$AP$3:$AP$22,I19)+(-2*((G19-INDEX(Calc!$AK$3:$AK$22,I19))/(INDEX(Calc!$AK$3:$AK$22,I19+1)-INDEX(Calc!$AK$3:$AK$22,I19)))^3+3*((G19-INDEX(Calc!$AK$3:$AK$22,I19))/(INDEX(Calc!$AK$3:$AK$22,I19+1)-INDEX(Calc!$AK$3:$AK$22,I19)))^2)*INDEX(Calc!$AL$3:$AL$22,I19+1)+(((G19-INDEX(Calc!$AK$3:$AK$22,I19))/(INDEX(Calc!$AK$3:$AK$22,I19+1)-INDEX(Calc!$AK$3:$AK$22,I19)))^3-((G19-INDEX(Calc!$AK$3:$AK$22,I19))/(INDEX(Calc!$AK$3:$AK$22,I19+1)-INDEX(Calc!$AK$3:$AK$22,I19)))^2)*(INDEX(Calc!$AK$3:$AK$22,I19+1)-INDEX(Calc!$AK$3:$AK$22,I19))*INDEX(Calc!$AQ$3:$AQ$22,I19),NA())</f>
        <v/>
      </c>
      <c r="I19">
        <f>IF(AND(k_gluOn,k_ng&gt;=2),MIN(k_ng-1,MAX(1,MATCH(G19,Calc!$AK$3:INDEX(Calc!$AK$3:$AK$22,k_ng),1))),1)</f>
        <v/>
      </c>
      <c r="L19">
        <f>IF(ISNUMBER(k_z4),k_z4,NA())</f>
        <v/>
      </c>
      <c r="M19">
        <f>IF(ISNUMBER(L19),$O$3,NA())</f>
        <v/>
      </c>
    </row>
    <row r="20">
      <c r="A20">
        <f>IF(k_ok,Grid!$B$87,NA())</f>
        <v/>
      </c>
      <c r="B20">
        <f>IF(k_ok,Grid!$Q$87,NA())</f>
        <v/>
      </c>
      <c r="C20">
        <f>IF(k_hrok,k_h0+k_h1*E20+k_h2*E20^2,NA())</f>
        <v/>
      </c>
      <c r="D20">
        <f>IF(k_ok,Grid!$Q$87/Grid!$B$87,NA())</f>
        <v/>
      </c>
      <c r="E20">
        <f>IF(k_hrok,k_hx0+(k_hx1-k_hx0)*17/200,NA())</f>
        <v/>
      </c>
      <c r="G20">
        <f>IF(AND(k_gluOn,k_ng&gt;=2),Calc!$AK$3+(INDEX(Calc!$AK$3:$AK$22,k_ng)-Calc!$AK$3)*17/200,NA())</f>
        <v/>
      </c>
      <c r="H20">
        <f>IF(AND(k_gluOn,k_ng&gt;=2),(2*((G20-INDEX(Calc!$AK$3:$AK$22,I20))/(INDEX(Calc!$AK$3:$AK$22,I20+1)-INDEX(Calc!$AK$3:$AK$22,I20)))^3-3*((G20-INDEX(Calc!$AK$3:$AK$22,I20))/(INDEX(Calc!$AK$3:$AK$22,I20+1)-INDEX(Calc!$AK$3:$AK$22,I20)))^2+1)*INDEX(Calc!$AL$3:$AL$22,I20)+(((G20-INDEX(Calc!$AK$3:$AK$22,I20))/(INDEX(Calc!$AK$3:$AK$22,I20+1)-INDEX(Calc!$AK$3:$AK$22,I20)))^3-2*((G20-INDEX(Calc!$AK$3:$AK$22,I20))/(INDEX(Calc!$AK$3:$AK$22,I20+1)-INDEX(Calc!$AK$3:$AK$22,I20)))^2+((G20-INDEX(Calc!$AK$3:$AK$22,I20))/(INDEX(Calc!$AK$3:$AK$22,I20+1)-INDEX(Calc!$AK$3:$AK$22,I20))))*(INDEX(Calc!$AK$3:$AK$22,I20+1)-INDEX(Calc!$AK$3:$AK$22,I20))*INDEX(Calc!$AP$3:$AP$22,I20)+(-2*((G20-INDEX(Calc!$AK$3:$AK$22,I20))/(INDEX(Calc!$AK$3:$AK$22,I20+1)-INDEX(Calc!$AK$3:$AK$22,I20)))^3+3*((G20-INDEX(Calc!$AK$3:$AK$22,I20))/(INDEX(Calc!$AK$3:$AK$22,I20+1)-INDEX(Calc!$AK$3:$AK$22,I20)))^2)*INDEX(Calc!$AL$3:$AL$22,I20+1)+(((G20-INDEX(Calc!$AK$3:$AK$22,I20))/(INDEX(Calc!$AK$3:$AK$22,I20+1)-INDEX(Calc!$AK$3:$AK$22,I20)))^3-((G20-INDEX(Calc!$AK$3:$AK$22,I20))/(INDEX(Calc!$AK$3:$AK$22,I20+1)-INDEX(Calc!$AK$3:$AK$22,I20)))^2)*(INDEX(Calc!$AK$3:$AK$22,I20+1)-INDEX(Calc!$AK$3:$AK$22,I20))*INDEX(Calc!$AQ$3:$AQ$22,I20),NA())</f>
        <v/>
      </c>
      <c r="I20">
        <f>IF(AND(k_gluOn,k_ng&gt;=2),MIN(k_ng-1,MAX(1,MATCH(G20,Calc!$AK$3:INDEX(Calc!$AK$3:$AK$22,k_ng),1))),1)</f>
        <v/>
      </c>
    </row>
    <row r="21">
      <c r="A21">
        <f>IF(k_ok,Grid!$B$92,NA())</f>
        <v/>
      </c>
      <c r="B21">
        <f>IF(k_ok,Grid!$Q$92,NA())</f>
        <v/>
      </c>
      <c r="C21">
        <f>IF(k_hrok,k_h0+k_h1*E21+k_h2*E21^2,NA())</f>
        <v/>
      </c>
      <c r="D21">
        <f>IF(k_ok,Grid!$Q$92/Grid!$B$92,NA())</f>
        <v/>
      </c>
      <c r="E21">
        <f>IF(k_hrok,k_hx0+(k_hx1-k_hx0)*18/200,NA())</f>
        <v/>
      </c>
      <c r="G21">
        <f>IF(AND(k_gluOn,k_ng&gt;=2),Calc!$AK$3+(INDEX(Calc!$AK$3:$AK$22,k_ng)-Calc!$AK$3)*18/200,NA())</f>
        <v/>
      </c>
      <c r="H21">
        <f>IF(AND(k_gluOn,k_ng&gt;=2),(2*((G21-INDEX(Calc!$AK$3:$AK$22,I21))/(INDEX(Calc!$AK$3:$AK$22,I21+1)-INDEX(Calc!$AK$3:$AK$22,I21)))^3-3*((G21-INDEX(Calc!$AK$3:$AK$22,I21))/(INDEX(Calc!$AK$3:$AK$22,I21+1)-INDEX(Calc!$AK$3:$AK$22,I21)))^2+1)*INDEX(Calc!$AL$3:$AL$22,I21)+(((G21-INDEX(Calc!$AK$3:$AK$22,I21))/(INDEX(Calc!$AK$3:$AK$22,I21+1)-INDEX(Calc!$AK$3:$AK$22,I21)))^3-2*((G21-INDEX(Calc!$AK$3:$AK$22,I21))/(INDEX(Calc!$AK$3:$AK$22,I21+1)-INDEX(Calc!$AK$3:$AK$22,I21)))^2+((G21-INDEX(Calc!$AK$3:$AK$22,I21))/(INDEX(Calc!$AK$3:$AK$22,I21+1)-INDEX(Calc!$AK$3:$AK$22,I21))))*(INDEX(Calc!$AK$3:$AK$22,I21+1)-INDEX(Calc!$AK$3:$AK$22,I21))*INDEX(Calc!$AP$3:$AP$22,I21)+(-2*((G21-INDEX(Calc!$AK$3:$AK$22,I21))/(INDEX(Calc!$AK$3:$AK$22,I21+1)-INDEX(Calc!$AK$3:$AK$22,I21)))^3+3*((G21-INDEX(Calc!$AK$3:$AK$22,I21))/(INDEX(Calc!$AK$3:$AK$22,I21+1)-INDEX(Calc!$AK$3:$AK$22,I21)))^2)*INDEX(Calc!$AL$3:$AL$22,I21+1)+(((G21-INDEX(Calc!$AK$3:$AK$22,I21))/(INDEX(Calc!$AK$3:$AK$22,I21+1)-INDEX(Calc!$AK$3:$AK$22,I21)))^3-((G21-INDEX(Calc!$AK$3:$AK$22,I21))/(INDEX(Calc!$AK$3:$AK$22,I21+1)-INDEX(Calc!$AK$3:$AK$22,I21)))^2)*(INDEX(Calc!$AK$3:$AK$22,I21+1)-INDEX(Calc!$AK$3:$AK$22,I21))*INDEX(Calc!$AQ$3:$AQ$22,I21),NA())</f>
        <v/>
      </c>
      <c r="I21">
        <f>IF(AND(k_gluOn,k_ng&gt;=2),MIN(k_ng-1,MAX(1,MATCH(G21,Calc!$AK$3:INDEX(Calc!$AK$3:$AK$22,k_ng),1))),1)</f>
        <v/>
      </c>
      <c r="K21" t="inlineStr">
        <is>
          <t>A1|A2</t>
        </is>
      </c>
      <c r="L21">
        <f>IF(ISNUMBER(IF(k_zm1,k_z1,"")),IF(k_zm1,k_z1,""),NA())</f>
        <v/>
      </c>
      <c r="M21">
        <f>IF(ISNUMBER(L21),0,NA())</f>
        <v/>
      </c>
    </row>
    <row r="22">
      <c r="A22">
        <f>IF(k_ok,Grid!$B$97,NA())</f>
        <v/>
      </c>
      <c r="B22">
        <f>IF(k_ok,Grid!$Q$97,NA())</f>
        <v/>
      </c>
      <c r="C22">
        <f>IF(k_hrok,k_h0+k_h1*E22+k_h2*E22^2,NA())</f>
        <v/>
      </c>
      <c r="D22">
        <f>IF(k_ok,Grid!$Q$97/Grid!$B$97,NA())</f>
        <v/>
      </c>
      <c r="E22">
        <f>IF(k_hrok,k_hx0+(k_hx1-k_hx0)*19/200,NA())</f>
        <v/>
      </c>
      <c r="G22">
        <f>IF(AND(k_gluOn,k_ng&gt;=2),Calc!$AK$3+(INDEX(Calc!$AK$3:$AK$22,k_ng)-Calc!$AK$3)*19/200,NA())</f>
        <v/>
      </c>
      <c r="H22">
        <f>IF(AND(k_gluOn,k_ng&gt;=2),(2*((G22-INDEX(Calc!$AK$3:$AK$22,I22))/(INDEX(Calc!$AK$3:$AK$22,I22+1)-INDEX(Calc!$AK$3:$AK$22,I22)))^3-3*((G22-INDEX(Calc!$AK$3:$AK$22,I22))/(INDEX(Calc!$AK$3:$AK$22,I22+1)-INDEX(Calc!$AK$3:$AK$22,I22)))^2+1)*INDEX(Calc!$AL$3:$AL$22,I22)+(((G22-INDEX(Calc!$AK$3:$AK$22,I22))/(INDEX(Calc!$AK$3:$AK$22,I22+1)-INDEX(Calc!$AK$3:$AK$22,I22)))^3-2*((G22-INDEX(Calc!$AK$3:$AK$22,I22))/(INDEX(Calc!$AK$3:$AK$22,I22+1)-INDEX(Calc!$AK$3:$AK$22,I22)))^2+((G22-INDEX(Calc!$AK$3:$AK$22,I22))/(INDEX(Calc!$AK$3:$AK$22,I22+1)-INDEX(Calc!$AK$3:$AK$22,I22))))*(INDEX(Calc!$AK$3:$AK$22,I22+1)-INDEX(Calc!$AK$3:$AK$22,I22))*INDEX(Calc!$AP$3:$AP$22,I22)+(-2*((G22-INDEX(Calc!$AK$3:$AK$22,I22))/(INDEX(Calc!$AK$3:$AK$22,I22+1)-INDEX(Calc!$AK$3:$AK$22,I22)))^3+3*((G22-INDEX(Calc!$AK$3:$AK$22,I22))/(INDEX(Calc!$AK$3:$AK$22,I22+1)-INDEX(Calc!$AK$3:$AK$22,I22)))^2)*INDEX(Calc!$AL$3:$AL$22,I22+1)+(((G22-INDEX(Calc!$AK$3:$AK$22,I22))/(INDEX(Calc!$AK$3:$AK$22,I22+1)-INDEX(Calc!$AK$3:$AK$22,I22)))^3-((G22-INDEX(Calc!$AK$3:$AK$22,I22))/(INDEX(Calc!$AK$3:$AK$22,I22+1)-INDEX(Calc!$AK$3:$AK$22,I22)))^2)*(INDEX(Calc!$AK$3:$AK$22,I22+1)-INDEX(Calc!$AK$3:$AK$22,I22))*INDEX(Calc!$AQ$3:$AQ$22,I22),NA())</f>
        <v/>
      </c>
      <c r="I22">
        <f>IF(AND(k_gluOn,k_ng&gt;=2),MIN(k_ng-1,MAX(1,MATCH(G22,Calc!$AK$3:INDEX(Calc!$AK$3:$AK$22,k_ng),1))),1)</f>
        <v/>
      </c>
      <c r="L22">
        <f>IF(ISNUMBER(IF(k_zm1,k_z1,"")),IF(k_zm1,k_z1,""),NA())</f>
        <v/>
      </c>
      <c r="M22">
        <f>IF(ISNUMBER(L22),$O$3,NA())</f>
        <v/>
      </c>
    </row>
    <row r="23">
      <c r="A23">
        <f>IF(k_ok,Grid!$B$102,NA())</f>
        <v/>
      </c>
      <c r="B23">
        <f>IF(k_ok,Grid!$Q$102,NA())</f>
        <v/>
      </c>
      <c r="C23">
        <f>IF(k_hrok,k_h0+k_h1*E23+k_h2*E23^2,NA())</f>
        <v/>
      </c>
      <c r="D23">
        <f>IF(k_ok,Grid!$Q$102/Grid!$B$102,NA())</f>
        <v/>
      </c>
      <c r="E23">
        <f>IF(k_hrok,k_hx0+(k_hx1-k_hx0)*20/200,NA())</f>
        <v/>
      </c>
      <c r="G23">
        <f>IF(AND(k_gluOn,k_ng&gt;=2),Calc!$AK$3+(INDEX(Calc!$AK$3:$AK$22,k_ng)-Calc!$AK$3)*20/200,NA())</f>
        <v/>
      </c>
      <c r="H23">
        <f>IF(AND(k_gluOn,k_ng&gt;=2),(2*((G23-INDEX(Calc!$AK$3:$AK$22,I23))/(INDEX(Calc!$AK$3:$AK$22,I23+1)-INDEX(Calc!$AK$3:$AK$22,I23)))^3-3*((G23-INDEX(Calc!$AK$3:$AK$22,I23))/(INDEX(Calc!$AK$3:$AK$22,I23+1)-INDEX(Calc!$AK$3:$AK$22,I23)))^2+1)*INDEX(Calc!$AL$3:$AL$22,I23)+(((G23-INDEX(Calc!$AK$3:$AK$22,I23))/(INDEX(Calc!$AK$3:$AK$22,I23+1)-INDEX(Calc!$AK$3:$AK$22,I23)))^3-2*((G23-INDEX(Calc!$AK$3:$AK$22,I23))/(INDEX(Calc!$AK$3:$AK$22,I23+1)-INDEX(Calc!$AK$3:$AK$22,I23)))^2+((G23-INDEX(Calc!$AK$3:$AK$22,I23))/(INDEX(Calc!$AK$3:$AK$22,I23+1)-INDEX(Calc!$AK$3:$AK$22,I23))))*(INDEX(Calc!$AK$3:$AK$22,I23+1)-INDEX(Calc!$AK$3:$AK$22,I23))*INDEX(Calc!$AP$3:$AP$22,I23)+(-2*((G23-INDEX(Calc!$AK$3:$AK$22,I23))/(INDEX(Calc!$AK$3:$AK$22,I23+1)-INDEX(Calc!$AK$3:$AK$22,I23)))^3+3*((G23-INDEX(Calc!$AK$3:$AK$22,I23))/(INDEX(Calc!$AK$3:$AK$22,I23+1)-INDEX(Calc!$AK$3:$AK$22,I23)))^2)*INDEX(Calc!$AL$3:$AL$22,I23+1)+(((G23-INDEX(Calc!$AK$3:$AK$22,I23))/(INDEX(Calc!$AK$3:$AK$22,I23+1)-INDEX(Calc!$AK$3:$AK$22,I23)))^3-((G23-INDEX(Calc!$AK$3:$AK$22,I23))/(INDEX(Calc!$AK$3:$AK$22,I23+1)-INDEX(Calc!$AK$3:$AK$22,I23)))^2)*(INDEX(Calc!$AK$3:$AK$22,I23+1)-INDEX(Calc!$AK$3:$AK$22,I23))*INDEX(Calc!$AQ$3:$AQ$22,I23),NA())</f>
        <v/>
      </c>
      <c r="I23">
        <f>IF(AND(k_gluOn,k_ng&gt;=2),MIN(k_ng-1,MAX(1,MATCH(G23,Calc!$AK$3:INDEX(Calc!$AK$3:$AK$22,k_ng),1))),1)</f>
        <v/>
      </c>
    </row>
    <row r="24">
      <c r="A24">
        <f>IF(k_ok,Grid!$B$107,NA())</f>
        <v/>
      </c>
      <c r="B24">
        <f>IF(k_ok,Grid!$Q$107,NA())</f>
        <v/>
      </c>
      <c r="C24">
        <f>IF(k_hrok,k_h0+k_h1*E24+k_h2*E24^2,NA())</f>
        <v/>
      </c>
      <c r="D24">
        <f>IF(k_ok,Grid!$Q$107/Grid!$B$107,NA())</f>
        <v/>
      </c>
      <c r="E24">
        <f>IF(k_hrok,k_hx0+(k_hx1-k_hx0)*21/200,NA())</f>
        <v/>
      </c>
      <c r="G24">
        <f>IF(AND(k_gluOn,k_ng&gt;=2),Calc!$AK$3+(INDEX(Calc!$AK$3:$AK$22,k_ng)-Calc!$AK$3)*21/200,NA())</f>
        <v/>
      </c>
      <c r="H24">
        <f>IF(AND(k_gluOn,k_ng&gt;=2),(2*((G24-INDEX(Calc!$AK$3:$AK$22,I24))/(INDEX(Calc!$AK$3:$AK$22,I24+1)-INDEX(Calc!$AK$3:$AK$22,I24)))^3-3*((G24-INDEX(Calc!$AK$3:$AK$22,I24))/(INDEX(Calc!$AK$3:$AK$22,I24+1)-INDEX(Calc!$AK$3:$AK$22,I24)))^2+1)*INDEX(Calc!$AL$3:$AL$22,I24)+(((G24-INDEX(Calc!$AK$3:$AK$22,I24))/(INDEX(Calc!$AK$3:$AK$22,I24+1)-INDEX(Calc!$AK$3:$AK$22,I24)))^3-2*((G24-INDEX(Calc!$AK$3:$AK$22,I24))/(INDEX(Calc!$AK$3:$AK$22,I24+1)-INDEX(Calc!$AK$3:$AK$22,I24)))^2+((G24-INDEX(Calc!$AK$3:$AK$22,I24))/(INDEX(Calc!$AK$3:$AK$22,I24+1)-INDEX(Calc!$AK$3:$AK$22,I24))))*(INDEX(Calc!$AK$3:$AK$22,I24+1)-INDEX(Calc!$AK$3:$AK$22,I24))*INDEX(Calc!$AP$3:$AP$22,I24)+(-2*((G24-INDEX(Calc!$AK$3:$AK$22,I24))/(INDEX(Calc!$AK$3:$AK$22,I24+1)-INDEX(Calc!$AK$3:$AK$22,I24)))^3+3*((G24-INDEX(Calc!$AK$3:$AK$22,I24))/(INDEX(Calc!$AK$3:$AK$22,I24+1)-INDEX(Calc!$AK$3:$AK$22,I24)))^2)*INDEX(Calc!$AL$3:$AL$22,I24+1)+(((G24-INDEX(Calc!$AK$3:$AK$22,I24))/(INDEX(Calc!$AK$3:$AK$22,I24+1)-INDEX(Calc!$AK$3:$AK$22,I24)))^3-((G24-INDEX(Calc!$AK$3:$AK$22,I24))/(INDEX(Calc!$AK$3:$AK$22,I24+1)-INDEX(Calc!$AK$3:$AK$22,I24)))^2)*(INDEX(Calc!$AK$3:$AK$22,I24+1)-INDEX(Calc!$AK$3:$AK$22,I24))*INDEX(Calc!$AQ$3:$AQ$22,I24),NA())</f>
        <v/>
      </c>
      <c r="I24">
        <f>IF(AND(k_gluOn,k_ng&gt;=2),MIN(k_ng-1,MAX(1,MATCH(G24,Calc!$AK$3:INDEX(Calc!$AK$3:$AK$22,k_ng),1))),1)</f>
        <v/>
      </c>
      <c r="K24" t="inlineStr">
        <is>
          <t>LT1 HF</t>
        </is>
      </c>
      <c r="L24">
        <f>IF(ISNUMBER(k_x1),k_x1,NA())</f>
        <v/>
      </c>
      <c r="M24">
        <f>IF(ISNUMBER(L24),$P$3,NA())</f>
        <v/>
      </c>
    </row>
    <row r="25">
      <c r="A25">
        <f>IF(k_ok,Grid!$B$112,NA())</f>
        <v/>
      </c>
      <c r="B25">
        <f>IF(k_ok,Grid!$Q$112,NA())</f>
        <v/>
      </c>
      <c r="C25">
        <f>IF(k_hrok,k_h0+k_h1*E25+k_h2*E25^2,NA())</f>
        <v/>
      </c>
      <c r="D25">
        <f>IF(k_ok,Grid!$Q$112/Grid!$B$112,NA())</f>
        <v/>
      </c>
      <c r="E25">
        <f>IF(k_hrok,k_hx0+(k_hx1-k_hx0)*22/200,NA())</f>
        <v/>
      </c>
      <c r="G25">
        <f>IF(AND(k_gluOn,k_ng&gt;=2),Calc!$AK$3+(INDEX(Calc!$AK$3:$AK$22,k_ng)-Calc!$AK$3)*22/200,NA())</f>
        <v/>
      </c>
      <c r="H25">
        <f>IF(AND(k_gluOn,k_ng&gt;=2),(2*((G25-INDEX(Calc!$AK$3:$AK$22,I25))/(INDEX(Calc!$AK$3:$AK$22,I25+1)-INDEX(Calc!$AK$3:$AK$22,I25)))^3-3*((G25-INDEX(Calc!$AK$3:$AK$22,I25))/(INDEX(Calc!$AK$3:$AK$22,I25+1)-INDEX(Calc!$AK$3:$AK$22,I25)))^2+1)*INDEX(Calc!$AL$3:$AL$22,I25)+(((G25-INDEX(Calc!$AK$3:$AK$22,I25))/(INDEX(Calc!$AK$3:$AK$22,I25+1)-INDEX(Calc!$AK$3:$AK$22,I25)))^3-2*((G25-INDEX(Calc!$AK$3:$AK$22,I25))/(INDEX(Calc!$AK$3:$AK$22,I25+1)-INDEX(Calc!$AK$3:$AK$22,I25)))^2+((G25-INDEX(Calc!$AK$3:$AK$22,I25))/(INDEX(Calc!$AK$3:$AK$22,I25+1)-INDEX(Calc!$AK$3:$AK$22,I25))))*(INDEX(Calc!$AK$3:$AK$22,I25+1)-INDEX(Calc!$AK$3:$AK$22,I25))*INDEX(Calc!$AP$3:$AP$22,I25)+(-2*((G25-INDEX(Calc!$AK$3:$AK$22,I25))/(INDEX(Calc!$AK$3:$AK$22,I25+1)-INDEX(Calc!$AK$3:$AK$22,I25)))^3+3*((G25-INDEX(Calc!$AK$3:$AK$22,I25))/(INDEX(Calc!$AK$3:$AK$22,I25+1)-INDEX(Calc!$AK$3:$AK$22,I25)))^2)*INDEX(Calc!$AL$3:$AL$22,I25+1)+(((G25-INDEX(Calc!$AK$3:$AK$22,I25))/(INDEX(Calc!$AK$3:$AK$22,I25+1)-INDEX(Calc!$AK$3:$AK$22,I25)))^3-((G25-INDEX(Calc!$AK$3:$AK$22,I25))/(INDEX(Calc!$AK$3:$AK$22,I25+1)-INDEX(Calc!$AK$3:$AK$22,I25)))^2)*(INDEX(Calc!$AK$3:$AK$22,I25+1)-INDEX(Calc!$AK$3:$AK$22,I25))*INDEX(Calc!$AQ$3:$AQ$22,I25),NA())</f>
        <v/>
      </c>
      <c r="I25">
        <f>IF(AND(k_gluOn,k_ng&gt;=2),MIN(k_ng-1,MAX(1,MATCH(G25,Calc!$AK$3:INDEX(Calc!$AK$3:$AK$22,k_ng),1))),1)</f>
        <v/>
      </c>
      <c r="L25">
        <f>IF(ISNUMBER(k_x1),k_x1,NA())</f>
        <v/>
      </c>
      <c r="M25">
        <f>IF(ISNUMBER(L25),$Q$3,NA())</f>
        <v/>
      </c>
    </row>
    <row r="26">
      <c r="A26">
        <f>IF(k_ok,Grid!$B$117,NA())</f>
        <v/>
      </c>
      <c r="B26">
        <f>IF(k_ok,Grid!$Q$117,NA())</f>
        <v/>
      </c>
      <c r="C26">
        <f>IF(k_hrok,k_h0+k_h1*E26+k_h2*E26^2,NA())</f>
        <v/>
      </c>
      <c r="D26">
        <f>IF(k_ok,Grid!$Q$117/Grid!$B$117,NA())</f>
        <v/>
      </c>
      <c r="E26">
        <f>IF(k_hrok,k_hx0+(k_hx1-k_hx0)*23/200,NA())</f>
        <v/>
      </c>
      <c r="G26">
        <f>IF(AND(k_gluOn,k_ng&gt;=2),Calc!$AK$3+(INDEX(Calc!$AK$3:$AK$22,k_ng)-Calc!$AK$3)*23/200,NA())</f>
        <v/>
      </c>
      <c r="H26">
        <f>IF(AND(k_gluOn,k_ng&gt;=2),(2*((G26-INDEX(Calc!$AK$3:$AK$22,I26))/(INDEX(Calc!$AK$3:$AK$22,I26+1)-INDEX(Calc!$AK$3:$AK$22,I26)))^3-3*((G26-INDEX(Calc!$AK$3:$AK$22,I26))/(INDEX(Calc!$AK$3:$AK$22,I26+1)-INDEX(Calc!$AK$3:$AK$22,I26)))^2+1)*INDEX(Calc!$AL$3:$AL$22,I26)+(((G26-INDEX(Calc!$AK$3:$AK$22,I26))/(INDEX(Calc!$AK$3:$AK$22,I26+1)-INDEX(Calc!$AK$3:$AK$22,I26)))^3-2*((G26-INDEX(Calc!$AK$3:$AK$22,I26))/(INDEX(Calc!$AK$3:$AK$22,I26+1)-INDEX(Calc!$AK$3:$AK$22,I26)))^2+((G26-INDEX(Calc!$AK$3:$AK$22,I26))/(INDEX(Calc!$AK$3:$AK$22,I26+1)-INDEX(Calc!$AK$3:$AK$22,I26))))*(INDEX(Calc!$AK$3:$AK$22,I26+1)-INDEX(Calc!$AK$3:$AK$22,I26))*INDEX(Calc!$AP$3:$AP$22,I26)+(-2*((G26-INDEX(Calc!$AK$3:$AK$22,I26))/(INDEX(Calc!$AK$3:$AK$22,I26+1)-INDEX(Calc!$AK$3:$AK$22,I26)))^3+3*((G26-INDEX(Calc!$AK$3:$AK$22,I26))/(INDEX(Calc!$AK$3:$AK$22,I26+1)-INDEX(Calc!$AK$3:$AK$22,I26)))^2)*INDEX(Calc!$AL$3:$AL$22,I26+1)+(((G26-INDEX(Calc!$AK$3:$AK$22,I26))/(INDEX(Calc!$AK$3:$AK$22,I26+1)-INDEX(Calc!$AK$3:$AK$22,I26)))^3-((G26-INDEX(Calc!$AK$3:$AK$22,I26))/(INDEX(Calc!$AK$3:$AK$22,I26+1)-INDEX(Calc!$AK$3:$AK$22,I26)))^2)*(INDEX(Calc!$AK$3:$AK$22,I26+1)-INDEX(Calc!$AK$3:$AK$22,I26))*INDEX(Calc!$AQ$3:$AQ$22,I26),NA())</f>
        <v/>
      </c>
      <c r="I26">
        <f>IF(AND(k_gluOn,k_ng&gt;=2),MIN(k_ng-1,MAX(1,MATCH(G26,Calc!$AK$3:INDEX(Calc!$AK$3:$AK$22,k_ng),1))),1)</f>
        <v/>
      </c>
    </row>
    <row r="27">
      <c r="A27">
        <f>IF(k_ok,Grid!$B$122,NA())</f>
        <v/>
      </c>
      <c r="B27">
        <f>IF(k_ok,Grid!$Q$122,NA())</f>
        <v/>
      </c>
      <c r="C27">
        <f>IF(k_hrok,k_h0+k_h1*E27+k_h2*E27^2,NA())</f>
        <v/>
      </c>
      <c r="D27">
        <f>IF(k_ok,Grid!$Q$122/Grid!$B$122,NA())</f>
        <v/>
      </c>
      <c r="E27">
        <f>IF(k_hrok,k_hx0+(k_hx1-k_hx0)*24/200,NA())</f>
        <v/>
      </c>
      <c r="G27">
        <f>IF(AND(k_gluOn,k_ng&gt;=2),Calc!$AK$3+(INDEX(Calc!$AK$3:$AK$22,k_ng)-Calc!$AK$3)*24/200,NA())</f>
        <v/>
      </c>
      <c r="H27">
        <f>IF(AND(k_gluOn,k_ng&gt;=2),(2*((G27-INDEX(Calc!$AK$3:$AK$22,I27))/(INDEX(Calc!$AK$3:$AK$22,I27+1)-INDEX(Calc!$AK$3:$AK$22,I27)))^3-3*((G27-INDEX(Calc!$AK$3:$AK$22,I27))/(INDEX(Calc!$AK$3:$AK$22,I27+1)-INDEX(Calc!$AK$3:$AK$22,I27)))^2+1)*INDEX(Calc!$AL$3:$AL$22,I27)+(((G27-INDEX(Calc!$AK$3:$AK$22,I27))/(INDEX(Calc!$AK$3:$AK$22,I27+1)-INDEX(Calc!$AK$3:$AK$22,I27)))^3-2*((G27-INDEX(Calc!$AK$3:$AK$22,I27))/(INDEX(Calc!$AK$3:$AK$22,I27+1)-INDEX(Calc!$AK$3:$AK$22,I27)))^2+((G27-INDEX(Calc!$AK$3:$AK$22,I27))/(INDEX(Calc!$AK$3:$AK$22,I27+1)-INDEX(Calc!$AK$3:$AK$22,I27))))*(INDEX(Calc!$AK$3:$AK$22,I27+1)-INDEX(Calc!$AK$3:$AK$22,I27))*INDEX(Calc!$AP$3:$AP$22,I27)+(-2*((G27-INDEX(Calc!$AK$3:$AK$22,I27))/(INDEX(Calc!$AK$3:$AK$22,I27+1)-INDEX(Calc!$AK$3:$AK$22,I27)))^3+3*((G27-INDEX(Calc!$AK$3:$AK$22,I27))/(INDEX(Calc!$AK$3:$AK$22,I27+1)-INDEX(Calc!$AK$3:$AK$22,I27)))^2)*INDEX(Calc!$AL$3:$AL$22,I27+1)+(((G27-INDEX(Calc!$AK$3:$AK$22,I27))/(INDEX(Calc!$AK$3:$AK$22,I27+1)-INDEX(Calc!$AK$3:$AK$22,I27)))^3-((G27-INDEX(Calc!$AK$3:$AK$22,I27))/(INDEX(Calc!$AK$3:$AK$22,I27+1)-INDEX(Calc!$AK$3:$AK$22,I27)))^2)*(INDEX(Calc!$AK$3:$AK$22,I27+1)-INDEX(Calc!$AK$3:$AK$22,I27))*INDEX(Calc!$AQ$3:$AQ$22,I27),NA())</f>
        <v/>
      </c>
      <c r="I27">
        <f>IF(AND(k_gluOn,k_ng&gt;=2),MIN(k_ng-1,MAX(1,MATCH(G27,Calc!$AK$3:INDEX(Calc!$AK$3:$AK$22,k_ng),1))),1)</f>
        <v/>
      </c>
      <c r="K27" t="inlineStr">
        <is>
          <t>LT2 HF</t>
        </is>
      </c>
      <c r="L27">
        <f>IF(ISNUMBER(k_x2),k_x2,NA())</f>
        <v/>
      </c>
      <c r="M27">
        <f>IF(ISNUMBER(L27),$P$3,NA())</f>
        <v/>
      </c>
    </row>
    <row r="28">
      <c r="A28">
        <f>IF(k_ok,Grid!$B$127,NA())</f>
        <v/>
      </c>
      <c r="B28">
        <f>IF(k_ok,Grid!$Q$127,NA())</f>
        <v/>
      </c>
      <c r="C28">
        <f>IF(k_hrok,k_h0+k_h1*E28+k_h2*E28^2,NA())</f>
        <v/>
      </c>
      <c r="D28">
        <f>IF(k_ok,Grid!$Q$127/Grid!$B$127,NA())</f>
        <v/>
      </c>
      <c r="E28">
        <f>IF(k_hrok,k_hx0+(k_hx1-k_hx0)*25/200,NA())</f>
        <v/>
      </c>
      <c r="G28">
        <f>IF(AND(k_gluOn,k_ng&gt;=2),Calc!$AK$3+(INDEX(Calc!$AK$3:$AK$22,k_ng)-Calc!$AK$3)*25/200,NA())</f>
        <v/>
      </c>
      <c r="H28">
        <f>IF(AND(k_gluOn,k_ng&gt;=2),(2*((G28-INDEX(Calc!$AK$3:$AK$22,I28))/(INDEX(Calc!$AK$3:$AK$22,I28+1)-INDEX(Calc!$AK$3:$AK$22,I28)))^3-3*((G28-INDEX(Calc!$AK$3:$AK$22,I28))/(INDEX(Calc!$AK$3:$AK$22,I28+1)-INDEX(Calc!$AK$3:$AK$22,I28)))^2+1)*INDEX(Calc!$AL$3:$AL$22,I28)+(((G28-INDEX(Calc!$AK$3:$AK$22,I28))/(INDEX(Calc!$AK$3:$AK$22,I28+1)-INDEX(Calc!$AK$3:$AK$22,I28)))^3-2*((G28-INDEX(Calc!$AK$3:$AK$22,I28))/(INDEX(Calc!$AK$3:$AK$22,I28+1)-INDEX(Calc!$AK$3:$AK$22,I28)))^2+((G28-INDEX(Calc!$AK$3:$AK$22,I28))/(INDEX(Calc!$AK$3:$AK$22,I28+1)-INDEX(Calc!$AK$3:$AK$22,I28))))*(INDEX(Calc!$AK$3:$AK$22,I28+1)-INDEX(Calc!$AK$3:$AK$22,I28))*INDEX(Calc!$AP$3:$AP$22,I28)+(-2*((G28-INDEX(Calc!$AK$3:$AK$22,I28))/(INDEX(Calc!$AK$3:$AK$22,I28+1)-INDEX(Calc!$AK$3:$AK$22,I28)))^3+3*((G28-INDEX(Calc!$AK$3:$AK$22,I28))/(INDEX(Calc!$AK$3:$AK$22,I28+1)-INDEX(Calc!$AK$3:$AK$22,I28)))^2)*INDEX(Calc!$AL$3:$AL$22,I28+1)+(((G28-INDEX(Calc!$AK$3:$AK$22,I28))/(INDEX(Calc!$AK$3:$AK$22,I28+1)-INDEX(Calc!$AK$3:$AK$22,I28)))^3-((G28-INDEX(Calc!$AK$3:$AK$22,I28))/(INDEX(Calc!$AK$3:$AK$22,I28+1)-INDEX(Calc!$AK$3:$AK$22,I28)))^2)*(INDEX(Calc!$AK$3:$AK$22,I28+1)-INDEX(Calc!$AK$3:$AK$22,I28))*INDEX(Calc!$AQ$3:$AQ$22,I28),NA())</f>
        <v/>
      </c>
      <c r="I28">
        <f>IF(AND(k_gluOn,k_ng&gt;=2),MIN(k_ng-1,MAX(1,MATCH(G28,Calc!$AK$3:INDEX(Calc!$AK$3:$AK$22,k_ng),1))),1)</f>
        <v/>
      </c>
      <c r="L28">
        <f>IF(ISNUMBER(k_x2),k_x2,NA())</f>
        <v/>
      </c>
      <c r="M28">
        <f>IF(ISNUMBER(L28),$Q$3,NA())</f>
        <v/>
      </c>
    </row>
    <row r="29">
      <c r="A29">
        <f>IF(k_ok,Grid!$B$132,NA())</f>
        <v/>
      </c>
      <c r="B29">
        <f>IF(k_ok,Grid!$Q$132,NA())</f>
        <v/>
      </c>
      <c r="C29">
        <f>IF(k_hrok,k_h0+k_h1*E29+k_h2*E29^2,NA())</f>
        <v/>
      </c>
      <c r="D29">
        <f>IF(k_ok,Grid!$Q$132/Grid!$B$132,NA())</f>
        <v/>
      </c>
      <c r="E29">
        <f>IF(k_hrok,k_hx0+(k_hx1-k_hx0)*26/200,NA())</f>
        <v/>
      </c>
      <c r="G29">
        <f>IF(AND(k_gluOn,k_ng&gt;=2),Calc!$AK$3+(INDEX(Calc!$AK$3:$AK$22,k_ng)-Calc!$AK$3)*26/200,NA())</f>
        <v/>
      </c>
      <c r="H29">
        <f>IF(AND(k_gluOn,k_ng&gt;=2),(2*((G29-INDEX(Calc!$AK$3:$AK$22,I29))/(INDEX(Calc!$AK$3:$AK$22,I29+1)-INDEX(Calc!$AK$3:$AK$22,I29)))^3-3*((G29-INDEX(Calc!$AK$3:$AK$22,I29))/(INDEX(Calc!$AK$3:$AK$22,I29+1)-INDEX(Calc!$AK$3:$AK$22,I29)))^2+1)*INDEX(Calc!$AL$3:$AL$22,I29)+(((G29-INDEX(Calc!$AK$3:$AK$22,I29))/(INDEX(Calc!$AK$3:$AK$22,I29+1)-INDEX(Calc!$AK$3:$AK$22,I29)))^3-2*((G29-INDEX(Calc!$AK$3:$AK$22,I29))/(INDEX(Calc!$AK$3:$AK$22,I29+1)-INDEX(Calc!$AK$3:$AK$22,I29)))^2+((G29-INDEX(Calc!$AK$3:$AK$22,I29))/(INDEX(Calc!$AK$3:$AK$22,I29+1)-INDEX(Calc!$AK$3:$AK$22,I29))))*(INDEX(Calc!$AK$3:$AK$22,I29+1)-INDEX(Calc!$AK$3:$AK$22,I29))*INDEX(Calc!$AP$3:$AP$22,I29)+(-2*((G29-INDEX(Calc!$AK$3:$AK$22,I29))/(INDEX(Calc!$AK$3:$AK$22,I29+1)-INDEX(Calc!$AK$3:$AK$22,I29)))^3+3*((G29-INDEX(Calc!$AK$3:$AK$22,I29))/(INDEX(Calc!$AK$3:$AK$22,I29+1)-INDEX(Calc!$AK$3:$AK$22,I29)))^2)*INDEX(Calc!$AL$3:$AL$22,I29+1)+(((G29-INDEX(Calc!$AK$3:$AK$22,I29))/(INDEX(Calc!$AK$3:$AK$22,I29+1)-INDEX(Calc!$AK$3:$AK$22,I29)))^3-((G29-INDEX(Calc!$AK$3:$AK$22,I29))/(INDEX(Calc!$AK$3:$AK$22,I29+1)-INDEX(Calc!$AK$3:$AK$22,I29)))^2)*(INDEX(Calc!$AK$3:$AK$22,I29+1)-INDEX(Calc!$AK$3:$AK$22,I29))*INDEX(Calc!$AQ$3:$AQ$22,I29),NA())</f>
        <v/>
      </c>
      <c r="I29">
        <f>IF(AND(k_gluOn,k_ng&gt;=2),MIN(k_ng-1,MAX(1,MATCH(G29,Calc!$AK$3:INDEX(Calc!$AK$3:$AK$22,k_ng),1))),1)</f>
        <v/>
      </c>
    </row>
    <row r="30">
      <c r="A30">
        <f>IF(k_ok,Grid!$B$137,NA())</f>
        <v/>
      </c>
      <c r="B30">
        <f>IF(k_ok,Grid!$Q$137,NA())</f>
        <v/>
      </c>
      <c r="C30">
        <f>IF(k_hrok,k_h0+k_h1*E30+k_h2*E30^2,NA())</f>
        <v/>
      </c>
      <c r="D30">
        <f>IF(k_ok,Grid!$Q$137/Grid!$B$137,NA())</f>
        <v/>
      </c>
      <c r="E30">
        <f>IF(k_hrok,k_hx0+(k_hx1-k_hx0)*27/200,NA())</f>
        <v/>
      </c>
      <c r="G30">
        <f>IF(AND(k_gluOn,k_ng&gt;=2),Calc!$AK$3+(INDEX(Calc!$AK$3:$AK$22,k_ng)-Calc!$AK$3)*27/200,NA())</f>
        <v/>
      </c>
      <c r="H30">
        <f>IF(AND(k_gluOn,k_ng&gt;=2),(2*((G30-INDEX(Calc!$AK$3:$AK$22,I30))/(INDEX(Calc!$AK$3:$AK$22,I30+1)-INDEX(Calc!$AK$3:$AK$22,I30)))^3-3*((G30-INDEX(Calc!$AK$3:$AK$22,I30))/(INDEX(Calc!$AK$3:$AK$22,I30+1)-INDEX(Calc!$AK$3:$AK$22,I30)))^2+1)*INDEX(Calc!$AL$3:$AL$22,I30)+(((G30-INDEX(Calc!$AK$3:$AK$22,I30))/(INDEX(Calc!$AK$3:$AK$22,I30+1)-INDEX(Calc!$AK$3:$AK$22,I30)))^3-2*((G30-INDEX(Calc!$AK$3:$AK$22,I30))/(INDEX(Calc!$AK$3:$AK$22,I30+1)-INDEX(Calc!$AK$3:$AK$22,I30)))^2+((G30-INDEX(Calc!$AK$3:$AK$22,I30))/(INDEX(Calc!$AK$3:$AK$22,I30+1)-INDEX(Calc!$AK$3:$AK$22,I30))))*(INDEX(Calc!$AK$3:$AK$22,I30+1)-INDEX(Calc!$AK$3:$AK$22,I30))*INDEX(Calc!$AP$3:$AP$22,I30)+(-2*((G30-INDEX(Calc!$AK$3:$AK$22,I30))/(INDEX(Calc!$AK$3:$AK$22,I30+1)-INDEX(Calc!$AK$3:$AK$22,I30)))^3+3*((G30-INDEX(Calc!$AK$3:$AK$22,I30))/(INDEX(Calc!$AK$3:$AK$22,I30+1)-INDEX(Calc!$AK$3:$AK$22,I30)))^2)*INDEX(Calc!$AL$3:$AL$22,I30+1)+(((G30-INDEX(Calc!$AK$3:$AK$22,I30))/(INDEX(Calc!$AK$3:$AK$22,I30+1)-INDEX(Calc!$AK$3:$AK$22,I30)))^3-((G30-INDEX(Calc!$AK$3:$AK$22,I30))/(INDEX(Calc!$AK$3:$AK$22,I30+1)-INDEX(Calc!$AK$3:$AK$22,I30)))^2)*(INDEX(Calc!$AK$3:$AK$22,I30+1)-INDEX(Calc!$AK$3:$AK$22,I30))*INDEX(Calc!$AQ$3:$AQ$22,I30),NA())</f>
        <v/>
      </c>
      <c r="I30">
        <f>IF(AND(k_gluOn,k_ng&gt;=2),MIN(k_ng-1,MAX(1,MATCH(G30,Calc!$AK$3:INDEX(Calc!$AK$3:$AK$22,k_ng),1))),1)</f>
        <v/>
      </c>
      <c r="K30" t="inlineStr">
        <is>
          <t>LT1 LE</t>
        </is>
      </c>
      <c r="L30">
        <f>IF(ISNUMBER(k_x1),k_x1,NA())</f>
        <v/>
      </c>
      <c r="M30">
        <f>IF(ISNUMBER(L30),$R$3,NA())</f>
        <v/>
      </c>
    </row>
    <row r="31">
      <c r="A31">
        <f>IF(k_ok,Grid!$B$142,NA())</f>
        <v/>
      </c>
      <c r="B31">
        <f>IF(k_ok,Grid!$Q$142,NA())</f>
        <v/>
      </c>
      <c r="C31">
        <f>IF(k_hrok,k_h0+k_h1*E31+k_h2*E31^2,NA())</f>
        <v/>
      </c>
      <c r="D31">
        <f>IF(k_ok,Grid!$Q$142/Grid!$B$142,NA())</f>
        <v/>
      </c>
      <c r="E31">
        <f>IF(k_hrok,k_hx0+(k_hx1-k_hx0)*28/200,NA())</f>
        <v/>
      </c>
      <c r="G31">
        <f>IF(AND(k_gluOn,k_ng&gt;=2),Calc!$AK$3+(INDEX(Calc!$AK$3:$AK$22,k_ng)-Calc!$AK$3)*28/200,NA())</f>
        <v/>
      </c>
      <c r="H31">
        <f>IF(AND(k_gluOn,k_ng&gt;=2),(2*((G31-INDEX(Calc!$AK$3:$AK$22,I31))/(INDEX(Calc!$AK$3:$AK$22,I31+1)-INDEX(Calc!$AK$3:$AK$22,I31)))^3-3*((G31-INDEX(Calc!$AK$3:$AK$22,I31))/(INDEX(Calc!$AK$3:$AK$22,I31+1)-INDEX(Calc!$AK$3:$AK$22,I31)))^2+1)*INDEX(Calc!$AL$3:$AL$22,I31)+(((G31-INDEX(Calc!$AK$3:$AK$22,I31))/(INDEX(Calc!$AK$3:$AK$22,I31+1)-INDEX(Calc!$AK$3:$AK$22,I31)))^3-2*((G31-INDEX(Calc!$AK$3:$AK$22,I31))/(INDEX(Calc!$AK$3:$AK$22,I31+1)-INDEX(Calc!$AK$3:$AK$22,I31)))^2+((G31-INDEX(Calc!$AK$3:$AK$22,I31))/(INDEX(Calc!$AK$3:$AK$22,I31+1)-INDEX(Calc!$AK$3:$AK$22,I31))))*(INDEX(Calc!$AK$3:$AK$22,I31+1)-INDEX(Calc!$AK$3:$AK$22,I31))*INDEX(Calc!$AP$3:$AP$22,I31)+(-2*((G31-INDEX(Calc!$AK$3:$AK$22,I31))/(INDEX(Calc!$AK$3:$AK$22,I31+1)-INDEX(Calc!$AK$3:$AK$22,I31)))^3+3*((G31-INDEX(Calc!$AK$3:$AK$22,I31))/(INDEX(Calc!$AK$3:$AK$22,I31+1)-INDEX(Calc!$AK$3:$AK$22,I31)))^2)*INDEX(Calc!$AL$3:$AL$22,I31+1)+(((G31-INDEX(Calc!$AK$3:$AK$22,I31))/(INDEX(Calc!$AK$3:$AK$22,I31+1)-INDEX(Calc!$AK$3:$AK$22,I31)))^3-((G31-INDEX(Calc!$AK$3:$AK$22,I31))/(INDEX(Calc!$AK$3:$AK$22,I31+1)-INDEX(Calc!$AK$3:$AK$22,I31)))^2)*(INDEX(Calc!$AK$3:$AK$22,I31+1)-INDEX(Calc!$AK$3:$AK$22,I31))*INDEX(Calc!$AQ$3:$AQ$22,I31),NA())</f>
        <v/>
      </c>
      <c r="I31">
        <f>IF(AND(k_gluOn,k_ng&gt;=2),MIN(k_ng-1,MAX(1,MATCH(G31,Calc!$AK$3:INDEX(Calc!$AK$3:$AK$22,k_ng),1))),1)</f>
        <v/>
      </c>
      <c r="L31">
        <f>IF(ISNUMBER(k_x1),k_x1,NA())</f>
        <v/>
      </c>
      <c r="M31">
        <f>IF(ISNUMBER(L31),$S$3,NA())</f>
        <v/>
      </c>
    </row>
    <row r="32">
      <c r="A32">
        <f>IF(k_ok,Grid!$B$147,NA())</f>
        <v/>
      </c>
      <c r="B32">
        <f>IF(k_ok,Grid!$Q$147,NA())</f>
        <v/>
      </c>
      <c r="C32">
        <f>IF(k_hrok,k_h0+k_h1*E32+k_h2*E32^2,NA())</f>
        <v/>
      </c>
      <c r="D32">
        <f>IF(k_ok,Grid!$Q$147/Grid!$B$147,NA())</f>
        <v/>
      </c>
      <c r="E32">
        <f>IF(k_hrok,k_hx0+(k_hx1-k_hx0)*29/200,NA())</f>
        <v/>
      </c>
      <c r="G32">
        <f>IF(AND(k_gluOn,k_ng&gt;=2),Calc!$AK$3+(INDEX(Calc!$AK$3:$AK$22,k_ng)-Calc!$AK$3)*29/200,NA())</f>
        <v/>
      </c>
      <c r="H32">
        <f>IF(AND(k_gluOn,k_ng&gt;=2),(2*((G32-INDEX(Calc!$AK$3:$AK$22,I32))/(INDEX(Calc!$AK$3:$AK$22,I32+1)-INDEX(Calc!$AK$3:$AK$22,I32)))^3-3*((G32-INDEX(Calc!$AK$3:$AK$22,I32))/(INDEX(Calc!$AK$3:$AK$22,I32+1)-INDEX(Calc!$AK$3:$AK$22,I32)))^2+1)*INDEX(Calc!$AL$3:$AL$22,I32)+(((G32-INDEX(Calc!$AK$3:$AK$22,I32))/(INDEX(Calc!$AK$3:$AK$22,I32+1)-INDEX(Calc!$AK$3:$AK$22,I32)))^3-2*((G32-INDEX(Calc!$AK$3:$AK$22,I32))/(INDEX(Calc!$AK$3:$AK$22,I32+1)-INDEX(Calc!$AK$3:$AK$22,I32)))^2+((G32-INDEX(Calc!$AK$3:$AK$22,I32))/(INDEX(Calc!$AK$3:$AK$22,I32+1)-INDEX(Calc!$AK$3:$AK$22,I32))))*(INDEX(Calc!$AK$3:$AK$22,I32+1)-INDEX(Calc!$AK$3:$AK$22,I32))*INDEX(Calc!$AP$3:$AP$22,I32)+(-2*((G32-INDEX(Calc!$AK$3:$AK$22,I32))/(INDEX(Calc!$AK$3:$AK$22,I32+1)-INDEX(Calc!$AK$3:$AK$22,I32)))^3+3*((G32-INDEX(Calc!$AK$3:$AK$22,I32))/(INDEX(Calc!$AK$3:$AK$22,I32+1)-INDEX(Calc!$AK$3:$AK$22,I32)))^2)*INDEX(Calc!$AL$3:$AL$22,I32+1)+(((G32-INDEX(Calc!$AK$3:$AK$22,I32))/(INDEX(Calc!$AK$3:$AK$22,I32+1)-INDEX(Calc!$AK$3:$AK$22,I32)))^3-((G32-INDEX(Calc!$AK$3:$AK$22,I32))/(INDEX(Calc!$AK$3:$AK$22,I32+1)-INDEX(Calc!$AK$3:$AK$22,I32)))^2)*(INDEX(Calc!$AK$3:$AK$22,I32+1)-INDEX(Calc!$AK$3:$AK$22,I32))*INDEX(Calc!$AQ$3:$AQ$22,I32),NA())</f>
        <v/>
      </c>
      <c r="I32">
        <f>IF(AND(k_gluOn,k_ng&gt;=2),MIN(k_ng-1,MAX(1,MATCH(G32,Calc!$AK$3:INDEX(Calc!$AK$3:$AK$22,k_ng),1))),1)</f>
        <v/>
      </c>
    </row>
    <row r="33">
      <c r="A33">
        <f>IF(k_ok,Grid!$B$152,NA())</f>
        <v/>
      </c>
      <c r="B33">
        <f>IF(k_ok,Grid!$Q$152,NA())</f>
        <v/>
      </c>
      <c r="C33">
        <f>IF(k_hrok,k_h0+k_h1*E33+k_h2*E33^2,NA())</f>
        <v/>
      </c>
      <c r="D33">
        <f>IF(k_ok,Grid!$Q$152/Grid!$B$152,NA())</f>
        <v/>
      </c>
      <c r="E33">
        <f>IF(k_hrok,k_hx0+(k_hx1-k_hx0)*30/200,NA())</f>
        <v/>
      </c>
      <c r="G33">
        <f>IF(AND(k_gluOn,k_ng&gt;=2),Calc!$AK$3+(INDEX(Calc!$AK$3:$AK$22,k_ng)-Calc!$AK$3)*30/200,NA())</f>
        <v/>
      </c>
      <c r="H33">
        <f>IF(AND(k_gluOn,k_ng&gt;=2),(2*((G33-INDEX(Calc!$AK$3:$AK$22,I33))/(INDEX(Calc!$AK$3:$AK$22,I33+1)-INDEX(Calc!$AK$3:$AK$22,I33)))^3-3*((G33-INDEX(Calc!$AK$3:$AK$22,I33))/(INDEX(Calc!$AK$3:$AK$22,I33+1)-INDEX(Calc!$AK$3:$AK$22,I33)))^2+1)*INDEX(Calc!$AL$3:$AL$22,I33)+(((G33-INDEX(Calc!$AK$3:$AK$22,I33))/(INDEX(Calc!$AK$3:$AK$22,I33+1)-INDEX(Calc!$AK$3:$AK$22,I33)))^3-2*((G33-INDEX(Calc!$AK$3:$AK$22,I33))/(INDEX(Calc!$AK$3:$AK$22,I33+1)-INDEX(Calc!$AK$3:$AK$22,I33)))^2+((G33-INDEX(Calc!$AK$3:$AK$22,I33))/(INDEX(Calc!$AK$3:$AK$22,I33+1)-INDEX(Calc!$AK$3:$AK$22,I33))))*(INDEX(Calc!$AK$3:$AK$22,I33+1)-INDEX(Calc!$AK$3:$AK$22,I33))*INDEX(Calc!$AP$3:$AP$22,I33)+(-2*((G33-INDEX(Calc!$AK$3:$AK$22,I33))/(INDEX(Calc!$AK$3:$AK$22,I33+1)-INDEX(Calc!$AK$3:$AK$22,I33)))^3+3*((G33-INDEX(Calc!$AK$3:$AK$22,I33))/(INDEX(Calc!$AK$3:$AK$22,I33+1)-INDEX(Calc!$AK$3:$AK$22,I33)))^2)*INDEX(Calc!$AL$3:$AL$22,I33+1)+(((G33-INDEX(Calc!$AK$3:$AK$22,I33))/(INDEX(Calc!$AK$3:$AK$22,I33+1)-INDEX(Calc!$AK$3:$AK$22,I33)))^3-((G33-INDEX(Calc!$AK$3:$AK$22,I33))/(INDEX(Calc!$AK$3:$AK$22,I33+1)-INDEX(Calc!$AK$3:$AK$22,I33)))^2)*(INDEX(Calc!$AK$3:$AK$22,I33+1)-INDEX(Calc!$AK$3:$AK$22,I33))*INDEX(Calc!$AQ$3:$AQ$22,I33),NA())</f>
        <v/>
      </c>
      <c r="I33">
        <f>IF(AND(k_gluOn,k_ng&gt;=2),MIN(k_ng-1,MAX(1,MATCH(G33,Calc!$AK$3:INDEX(Calc!$AK$3:$AK$22,k_ng),1))),1)</f>
        <v/>
      </c>
      <c r="K33" t="inlineStr">
        <is>
          <t>LT2 LE</t>
        </is>
      </c>
      <c r="L33">
        <f>IF(ISNUMBER(k_x2),k_x2,NA())</f>
        <v/>
      </c>
      <c r="M33">
        <f>IF(ISNUMBER(L33),$R$3,NA())</f>
        <v/>
      </c>
    </row>
    <row r="34">
      <c r="A34">
        <f>IF(k_ok,Grid!$B$157,NA())</f>
        <v/>
      </c>
      <c r="B34">
        <f>IF(k_ok,Grid!$Q$157,NA())</f>
        <v/>
      </c>
      <c r="C34">
        <f>IF(k_hrok,k_h0+k_h1*E34+k_h2*E34^2,NA())</f>
        <v/>
      </c>
      <c r="D34">
        <f>IF(k_ok,Grid!$Q$157/Grid!$B$157,NA())</f>
        <v/>
      </c>
      <c r="E34">
        <f>IF(k_hrok,k_hx0+(k_hx1-k_hx0)*31/200,NA())</f>
        <v/>
      </c>
      <c r="G34">
        <f>IF(AND(k_gluOn,k_ng&gt;=2),Calc!$AK$3+(INDEX(Calc!$AK$3:$AK$22,k_ng)-Calc!$AK$3)*31/200,NA())</f>
        <v/>
      </c>
      <c r="H34">
        <f>IF(AND(k_gluOn,k_ng&gt;=2),(2*((G34-INDEX(Calc!$AK$3:$AK$22,I34))/(INDEX(Calc!$AK$3:$AK$22,I34+1)-INDEX(Calc!$AK$3:$AK$22,I34)))^3-3*((G34-INDEX(Calc!$AK$3:$AK$22,I34))/(INDEX(Calc!$AK$3:$AK$22,I34+1)-INDEX(Calc!$AK$3:$AK$22,I34)))^2+1)*INDEX(Calc!$AL$3:$AL$22,I34)+(((G34-INDEX(Calc!$AK$3:$AK$22,I34))/(INDEX(Calc!$AK$3:$AK$22,I34+1)-INDEX(Calc!$AK$3:$AK$22,I34)))^3-2*((G34-INDEX(Calc!$AK$3:$AK$22,I34))/(INDEX(Calc!$AK$3:$AK$22,I34+1)-INDEX(Calc!$AK$3:$AK$22,I34)))^2+((G34-INDEX(Calc!$AK$3:$AK$22,I34))/(INDEX(Calc!$AK$3:$AK$22,I34+1)-INDEX(Calc!$AK$3:$AK$22,I34))))*(INDEX(Calc!$AK$3:$AK$22,I34+1)-INDEX(Calc!$AK$3:$AK$22,I34))*INDEX(Calc!$AP$3:$AP$22,I34)+(-2*((G34-INDEX(Calc!$AK$3:$AK$22,I34))/(INDEX(Calc!$AK$3:$AK$22,I34+1)-INDEX(Calc!$AK$3:$AK$22,I34)))^3+3*((G34-INDEX(Calc!$AK$3:$AK$22,I34))/(INDEX(Calc!$AK$3:$AK$22,I34+1)-INDEX(Calc!$AK$3:$AK$22,I34)))^2)*INDEX(Calc!$AL$3:$AL$22,I34+1)+(((G34-INDEX(Calc!$AK$3:$AK$22,I34))/(INDEX(Calc!$AK$3:$AK$22,I34+1)-INDEX(Calc!$AK$3:$AK$22,I34)))^3-((G34-INDEX(Calc!$AK$3:$AK$22,I34))/(INDEX(Calc!$AK$3:$AK$22,I34+1)-INDEX(Calc!$AK$3:$AK$22,I34)))^2)*(INDEX(Calc!$AK$3:$AK$22,I34+1)-INDEX(Calc!$AK$3:$AK$22,I34))*INDEX(Calc!$AQ$3:$AQ$22,I34),NA())</f>
        <v/>
      </c>
      <c r="I34">
        <f>IF(AND(k_gluOn,k_ng&gt;=2),MIN(k_ng-1,MAX(1,MATCH(G34,Calc!$AK$3:INDEX(Calc!$AK$3:$AK$22,k_ng),1))),1)</f>
        <v/>
      </c>
      <c r="L34">
        <f>IF(ISNUMBER(k_x2),k_x2,NA())</f>
        <v/>
      </c>
      <c r="M34">
        <f>IF(ISNUMBER(L34),$S$3,NA())</f>
        <v/>
      </c>
    </row>
    <row r="35">
      <c r="A35">
        <f>IF(k_ok,Grid!$B$162,NA())</f>
        <v/>
      </c>
      <c r="B35">
        <f>IF(k_ok,Grid!$Q$162,NA())</f>
        <v/>
      </c>
      <c r="C35">
        <f>IF(k_hrok,k_h0+k_h1*E35+k_h2*E35^2,NA())</f>
        <v/>
      </c>
      <c r="D35">
        <f>IF(k_ok,Grid!$Q$162/Grid!$B$162,NA())</f>
        <v/>
      </c>
      <c r="E35">
        <f>IF(k_hrok,k_hx0+(k_hx1-k_hx0)*32/200,NA())</f>
        <v/>
      </c>
      <c r="G35">
        <f>IF(AND(k_gluOn,k_ng&gt;=2),Calc!$AK$3+(INDEX(Calc!$AK$3:$AK$22,k_ng)-Calc!$AK$3)*32/200,NA())</f>
        <v/>
      </c>
      <c r="H35">
        <f>IF(AND(k_gluOn,k_ng&gt;=2),(2*((G35-INDEX(Calc!$AK$3:$AK$22,I35))/(INDEX(Calc!$AK$3:$AK$22,I35+1)-INDEX(Calc!$AK$3:$AK$22,I35)))^3-3*((G35-INDEX(Calc!$AK$3:$AK$22,I35))/(INDEX(Calc!$AK$3:$AK$22,I35+1)-INDEX(Calc!$AK$3:$AK$22,I35)))^2+1)*INDEX(Calc!$AL$3:$AL$22,I35)+(((G35-INDEX(Calc!$AK$3:$AK$22,I35))/(INDEX(Calc!$AK$3:$AK$22,I35+1)-INDEX(Calc!$AK$3:$AK$22,I35)))^3-2*((G35-INDEX(Calc!$AK$3:$AK$22,I35))/(INDEX(Calc!$AK$3:$AK$22,I35+1)-INDEX(Calc!$AK$3:$AK$22,I35)))^2+((G35-INDEX(Calc!$AK$3:$AK$22,I35))/(INDEX(Calc!$AK$3:$AK$22,I35+1)-INDEX(Calc!$AK$3:$AK$22,I35))))*(INDEX(Calc!$AK$3:$AK$22,I35+1)-INDEX(Calc!$AK$3:$AK$22,I35))*INDEX(Calc!$AP$3:$AP$22,I35)+(-2*((G35-INDEX(Calc!$AK$3:$AK$22,I35))/(INDEX(Calc!$AK$3:$AK$22,I35+1)-INDEX(Calc!$AK$3:$AK$22,I35)))^3+3*((G35-INDEX(Calc!$AK$3:$AK$22,I35))/(INDEX(Calc!$AK$3:$AK$22,I35+1)-INDEX(Calc!$AK$3:$AK$22,I35)))^2)*INDEX(Calc!$AL$3:$AL$22,I35+1)+(((G35-INDEX(Calc!$AK$3:$AK$22,I35))/(INDEX(Calc!$AK$3:$AK$22,I35+1)-INDEX(Calc!$AK$3:$AK$22,I35)))^3-((G35-INDEX(Calc!$AK$3:$AK$22,I35))/(INDEX(Calc!$AK$3:$AK$22,I35+1)-INDEX(Calc!$AK$3:$AK$22,I35)))^2)*(INDEX(Calc!$AK$3:$AK$22,I35+1)-INDEX(Calc!$AK$3:$AK$22,I35))*INDEX(Calc!$AQ$3:$AQ$22,I35),NA())</f>
        <v/>
      </c>
      <c r="I35">
        <f>IF(AND(k_gluOn,k_ng&gt;=2),MIN(k_ng-1,MAX(1,MATCH(G35,Calc!$AK$3:INDEX(Calc!$AK$3:$AK$22,k_ng),1))),1)</f>
        <v/>
      </c>
    </row>
    <row r="36">
      <c r="A36">
        <f>IF(k_ok,Grid!$B$167,NA())</f>
        <v/>
      </c>
      <c r="B36">
        <f>IF(k_ok,Grid!$Q$167,NA())</f>
        <v/>
      </c>
      <c r="C36">
        <f>IF(k_hrok,k_h0+k_h1*E36+k_h2*E36^2,NA())</f>
        <v/>
      </c>
      <c r="D36">
        <f>IF(k_ok,Grid!$Q$167/Grid!$B$167,NA())</f>
        <v/>
      </c>
      <c r="E36">
        <f>IF(k_hrok,k_hx0+(k_hx1-k_hx0)*33/200,NA())</f>
        <v/>
      </c>
      <c r="G36">
        <f>IF(AND(k_gluOn,k_ng&gt;=2),Calc!$AK$3+(INDEX(Calc!$AK$3:$AK$22,k_ng)-Calc!$AK$3)*33/200,NA())</f>
        <v/>
      </c>
      <c r="H36">
        <f>IF(AND(k_gluOn,k_ng&gt;=2),(2*((G36-INDEX(Calc!$AK$3:$AK$22,I36))/(INDEX(Calc!$AK$3:$AK$22,I36+1)-INDEX(Calc!$AK$3:$AK$22,I36)))^3-3*((G36-INDEX(Calc!$AK$3:$AK$22,I36))/(INDEX(Calc!$AK$3:$AK$22,I36+1)-INDEX(Calc!$AK$3:$AK$22,I36)))^2+1)*INDEX(Calc!$AL$3:$AL$22,I36)+(((G36-INDEX(Calc!$AK$3:$AK$22,I36))/(INDEX(Calc!$AK$3:$AK$22,I36+1)-INDEX(Calc!$AK$3:$AK$22,I36)))^3-2*((G36-INDEX(Calc!$AK$3:$AK$22,I36))/(INDEX(Calc!$AK$3:$AK$22,I36+1)-INDEX(Calc!$AK$3:$AK$22,I36)))^2+((G36-INDEX(Calc!$AK$3:$AK$22,I36))/(INDEX(Calc!$AK$3:$AK$22,I36+1)-INDEX(Calc!$AK$3:$AK$22,I36))))*(INDEX(Calc!$AK$3:$AK$22,I36+1)-INDEX(Calc!$AK$3:$AK$22,I36))*INDEX(Calc!$AP$3:$AP$22,I36)+(-2*((G36-INDEX(Calc!$AK$3:$AK$22,I36))/(INDEX(Calc!$AK$3:$AK$22,I36+1)-INDEX(Calc!$AK$3:$AK$22,I36)))^3+3*((G36-INDEX(Calc!$AK$3:$AK$22,I36))/(INDEX(Calc!$AK$3:$AK$22,I36+1)-INDEX(Calc!$AK$3:$AK$22,I36)))^2)*INDEX(Calc!$AL$3:$AL$22,I36+1)+(((G36-INDEX(Calc!$AK$3:$AK$22,I36))/(INDEX(Calc!$AK$3:$AK$22,I36+1)-INDEX(Calc!$AK$3:$AK$22,I36)))^3-((G36-INDEX(Calc!$AK$3:$AK$22,I36))/(INDEX(Calc!$AK$3:$AK$22,I36+1)-INDEX(Calc!$AK$3:$AK$22,I36)))^2)*(INDEX(Calc!$AK$3:$AK$22,I36+1)-INDEX(Calc!$AK$3:$AK$22,I36))*INDEX(Calc!$AQ$3:$AQ$22,I36),NA())</f>
        <v/>
      </c>
      <c r="I36">
        <f>IF(AND(k_gluOn,k_ng&gt;=2),MIN(k_ng-1,MAX(1,MATCH(G36,Calc!$AK$3:INDEX(Calc!$AK$3:$AK$22,k_ng),1))),1)</f>
        <v/>
      </c>
      <c r="K36" t="inlineStr">
        <is>
          <t>Hilfsgeraden</t>
        </is>
      </c>
      <c r="L36">
        <f>IF(k_gok,k_gx0,NA())</f>
        <v/>
      </c>
      <c r="M36">
        <f>IF(k_gok,k_gy0,NA())</f>
        <v/>
      </c>
    </row>
    <row r="37">
      <c r="A37">
        <f>IF(k_ok,Grid!$B$172,NA())</f>
        <v/>
      </c>
      <c r="B37">
        <f>IF(k_ok,Grid!$Q$172,NA())</f>
        <v/>
      </c>
      <c r="C37">
        <f>IF(k_hrok,k_h0+k_h1*E37+k_h2*E37^2,NA())</f>
        <v/>
      </c>
      <c r="D37">
        <f>IF(k_ok,Grid!$Q$172/Grid!$B$172,NA())</f>
        <v/>
      </c>
      <c r="E37">
        <f>IF(k_hrok,k_hx0+(k_hx1-k_hx0)*34/200,NA())</f>
        <v/>
      </c>
      <c r="G37">
        <f>IF(AND(k_gluOn,k_ng&gt;=2),Calc!$AK$3+(INDEX(Calc!$AK$3:$AK$22,k_ng)-Calc!$AK$3)*34/200,NA())</f>
        <v/>
      </c>
      <c r="H37">
        <f>IF(AND(k_gluOn,k_ng&gt;=2),(2*((G37-INDEX(Calc!$AK$3:$AK$22,I37))/(INDEX(Calc!$AK$3:$AK$22,I37+1)-INDEX(Calc!$AK$3:$AK$22,I37)))^3-3*((G37-INDEX(Calc!$AK$3:$AK$22,I37))/(INDEX(Calc!$AK$3:$AK$22,I37+1)-INDEX(Calc!$AK$3:$AK$22,I37)))^2+1)*INDEX(Calc!$AL$3:$AL$22,I37)+(((G37-INDEX(Calc!$AK$3:$AK$22,I37))/(INDEX(Calc!$AK$3:$AK$22,I37+1)-INDEX(Calc!$AK$3:$AK$22,I37)))^3-2*((G37-INDEX(Calc!$AK$3:$AK$22,I37))/(INDEX(Calc!$AK$3:$AK$22,I37+1)-INDEX(Calc!$AK$3:$AK$22,I37)))^2+((G37-INDEX(Calc!$AK$3:$AK$22,I37))/(INDEX(Calc!$AK$3:$AK$22,I37+1)-INDEX(Calc!$AK$3:$AK$22,I37))))*(INDEX(Calc!$AK$3:$AK$22,I37+1)-INDEX(Calc!$AK$3:$AK$22,I37))*INDEX(Calc!$AP$3:$AP$22,I37)+(-2*((G37-INDEX(Calc!$AK$3:$AK$22,I37))/(INDEX(Calc!$AK$3:$AK$22,I37+1)-INDEX(Calc!$AK$3:$AK$22,I37)))^3+3*((G37-INDEX(Calc!$AK$3:$AK$22,I37))/(INDEX(Calc!$AK$3:$AK$22,I37+1)-INDEX(Calc!$AK$3:$AK$22,I37)))^2)*INDEX(Calc!$AL$3:$AL$22,I37+1)+(((G37-INDEX(Calc!$AK$3:$AK$22,I37))/(INDEX(Calc!$AK$3:$AK$22,I37+1)-INDEX(Calc!$AK$3:$AK$22,I37)))^3-((G37-INDEX(Calc!$AK$3:$AK$22,I37))/(INDEX(Calc!$AK$3:$AK$22,I37+1)-INDEX(Calc!$AK$3:$AK$22,I37)))^2)*(INDEX(Calc!$AK$3:$AK$22,I37+1)-INDEX(Calc!$AK$3:$AK$22,I37))*INDEX(Calc!$AQ$3:$AQ$22,I37),NA())</f>
        <v/>
      </c>
      <c r="I37">
        <f>IF(AND(k_gluOn,k_ng&gt;=2),MIN(k_ng-1,MAX(1,MATCH(G37,Calc!$AK$3:INDEX(Calc!$AK$3:$AK$22,k_ng),1))),1)</f>
        <v/>
      </c>
      <c r="L37">
        <f>IF(k_gok,k_gk1,NA())</f>
        <v/>
      </c>
      <c r="M37">
        <f>IF(k_gok,k_gy1,NA())</f>
        <v/>
      </c>
    </row>
    <row r="38">
      <c r="A38">
        <f>IF(k_ok,Grid!$B$177,NA())</f>
        <v/>
      </c>
      <c r="B38">
        <f>IF(k_ok,Grid!$Q$177,NA())</f>
        <v/>
      </c>
      <c r="C38">
        <f>IF(k_hrok,k_h0+k_h1*E38+k_h2*E38^2,NA())</f>
        <v/>
      </c>
      <c r="D38">
        <f>IF(k_ok,Grid!$Q$177/Grid!$B$177,NA())</f>
        <v/>
      </c>
      <c r="E38">
        <f>IF(k_hrok,k_hx0+(k_hx1-k_hx0)*35/200,NA())</f>
        <v/>
      </c>
      <c r="G38">
        <f>IF(AND(k_gluOn,k_ng&gt;=2),Calc!$AK$3+(INDEX(Calc!$AK$3:$AK$22,k_ng)-Calc!$AK$3)*35/200,NA())</f>
        <v/>
      </c>
      <c r="H38">
        <f>IF(AND(k_gluOn,k_ng&gt;=2),(2*((G38-INDEX(Calc!$AK$3:$AK$22,I38))/(INDEX(Calc!$AK$3:$AK$22,I38+1)-INDEX(Calc!$AK$3:$AK$22,I38)))^3-3*((G38-INDEX(Calc!$AK$3:$AK$22,I38))/(INDEX(Calc!$AK$3:$AK$22,I38+1)-INDEX(Calc!$AK$3:$AK$22,I38)))^2+1)*INDEX(Calc!$AL$3:$AL$22,I38)+(((G38-INDEX(Calc!$AK$3:$AK$22,I38))/(INDEX(Calc!$AK$3:$AK$22,I38+1)-INDEX(Calc!$AK$3:$AK$22,I38)))^3-2*((G38-INDEX(Calc!$AK$3:$AK$22,I38))/(INDEX(Calc!$AK$3:$AK$22,I38+1)-INDEX(Calc!$AK$3:$AK$22,I38)))^2+((G38-INDEX(Calc!$AK$3:$AK$22,I38))/(INDEX(Calc!$AK$3:$AK$22,I38+1)-INDEX(Calc!$AK$3:$AK$22,I38))))*(INDEX(Calc!$AK$3:$AK$22,I38+1)-INDEX(Calc!$AK$3:$AK$22,I38))*INDEX(Calc!$AP$3:$AP$22,I38)+(-2*((G38-INDEX(Calc!$AK$3:$AK$22,I38))/(INDEX(Calc!$AK$3:$AK$22,I38+1)-INDEX(Calc!$AK$3:$AK$22,I38)))^3+3*((G38-INDEX(Calc!$AK$3:$AK$22,I38))/(INDEX(Calc!$AK$3:$AK$22,I38+1)-INDEX(Calc!$AK$3:$AK$22,I38)))^2)*INDEX(Calc!$AL$3:$AL$22,I38+1)+(((G38-INDEX(Calc!$AK$3:$AK$22,I38))/(INDEX(Calc!$AK$3:$AK$22,I38+1)-INDEX(Calc!$AK$3:$AK$22,I38)))^3-((G38-INDEX(Calc!$AK$3:$AK$22,I38))/(INDEX(Calc!$AK$3:$AK$22,I38+1)-INDEX(Calc!$AK$3:$AK$22,I38)))^2)*(INDEX(Calc!$AK$3:$AK$22,I38+1)-INDEX(Calc!$AK$3:$AK$22,I38))*INDEX(Calc!$AQ$3:$AQ$22,I38),NA())</f>
        <v/>
      </c>
      <c r="I38">
        <f>IF(AND(k_gluOn,k_ng&gt;=2),MIN(k_ng-1,MAX(1,MATCH(G38,Calc!$AK$3:INDEX(Calc!$AK$3:$AK$22,k_ng),1))),1)</f>
        <v/>
      </c>
      <c r="L38">
        <f>IF(k_gok,k_gk2,NA())</f>
        <v/>
      </c>
      <c r="M38">
        <f>IF(k_gok,k_gy2,NA())</f>
        <v/>
      </c>
    </row>
    <row r="39">
      <c r="A39">
        <f>IF(k_ok,Grid!$B$182,NA())</f>
        <v/>
      </c>
      <c r="B39">
        <f>IF(k_ok,Grid!$Q$182,NA())</f>
        <v/>
      </c>
      <c r="C39">
        <f>IF(k_hrok,k_h0+k_h1*E39+k_h2*E39^2,NA())</f>
        <v/>
      </c>
      <c r="D39">
        <f>IF(k_ok,Grid!$Q$182/Grid!$B$182,NA())</f>
        <v/>
      </c>
      <c r="E39">
        <f>IF(k_hrok,k_hx0+(k_hx1-k_hx0)*36/200,NA())</f>
        <v/>
      </c>
      <c r="G39">
        <f>IF(AND(k_gluOn,k_ng&gt;=2),Calc!$AK$3+(INDEX(Calc!$AK$3:$AK$22,k_ng)-Calc!$AK$3)*36/200,NA())</f>
        <v/>
      </c>
      <c r="H39">
        <f>IF(AND(k_gluOn,k_ng&gt;=2),(2*((G39-INDEX(Calc!$AK$3:$AK$22,I39))/(INDEX(Calc!$AK$3:$AK$22,I39+1)-INDEX(Calc!$AK$3:$AK$22,I39)))^3-3*((G39-INDEX(Calc!$AK$3:$AK$22,I39))/(INDEX(Calc!$AK$3:$AK$22,I39+1)-INDEX(Calc!$AK$3:$AK$22,I39)))^2+1)*INDEX(Calc!$AL$3:$AL$22,I39)+(((G39-INDEX(Calc!$AK$3:$AK$22,I39))/(INDEX(Calc!$AK$3:$AK$22,I39+1)-INDEX(Calc!$AK$3:$AK$22,I39)))^3-2*((G39-INDEX(Calc!$AK$3:$AK$22,I39))/(INDEX(Calc!$AK$3:$AK$22,I39+1)-INDEX(Calc!$AK$3:$AK$22,I39)))^2+((G39-INDEX(Calc!$AK$3:$AK$22,I39))/(INDEX(Calc!$AK$3:$AK$22,I39+1)-INDEX(Calc!$AK$3:$AK$22,I39))))*(INDEX(Calc!$AK$3:$AK$22,I39+1)-INDEX(Calc!$AK$3:$AK$22,I39))*INDEX(Calc!$AP$3:$AP$22,I39)+(-2*((G39-INDEX(Calc!$AK$3:$AK$22,I39))/(INDEX(Calc!$AK$3:$AK$22,I39+1)-INDEX(Calc!$AK$3:$AK$22,I39)))^3+3*((G39-INDEX(Calc!$AK$3:$AK$22,I39))/(INDEX(Calc!$AK$3:$AK$22,I39+1)-INDEX(Calc!$AK$3:$AK$22,I39)))^2)*INDEX(Calc!$AL$3:$AL$22,I39+1)+(((G39-INDEX(Calc!$AK$3:$AK$22,I39))/(INDEX(Calc!$AK$3:$AK$22,I39+1)-INDEX(Calc!$AK$3:$AK$22,I39)))^3-((G39-INDEX(Calc!$AK$3:$AK$22,I39))/(INDEX(Calc!$AK$3:$AK$22,I39+1)-INDEX(Calc!$AK$3:$AK$22,I39)))^2)*(INDEX(Calc!$AK$3:$AK$22,I39+1)-INDEX(Calc!$AK$3:$AK$22,I39))*INDEX(Calc!$AQ$3:$AQ$22,I39),NA())</f>
        <v/>
      </c>
      <c r="I39">
        <f>IF(AND(k_gluOn,k_ng&gt;=2),MIN(k_ng-1,MAX(1,MATCH(G39,Calc!$AK$3:INDEX(Calc!$AK$3:$AK$22,k_ng),1))),1)</f>
        <v/>
      </c>
      <c r="L39">
        <f>IF(k_gok,k_gx3,NA())</f>
        <v/>
      </c>
      <c r="M39">
        <f>IF(k_gok,k_gy3,NA())</f>
        <v/>
      </c>
    </row>
    <row r="40">
      <c r="A40">
        <f>IF(k_ok,Grid!$B$187,NA())</f>
        <v/>
      </c>
      <c r="B40">
        <f>IF(k_ok,Grid!$Q$187,NA())</f>
        <v/>
      </c>
      <c r="C40">
        <f>IF(k_hrok,k_h0+k_h1*E40+k_h2*E40^2,NA())</f>
        <v/>
      </c>
      <c r="D40">
        <f>IF(k_ok,Grid!$Q$187/Grid!$B$187,NA())</f>
        <v/>
      </c>
      <c r="E40">
        <f>IF(k_hrok,k_hx0+(k_hx1-k_hx0)*37/200,NA())</f>
        <v/>
      </c>
      <c r="G40">
        <f>IF(AND(k_gluOn,k_ng&gt;=2),Calc!$AK$3+(INDEX(Calc!$AK$3:$AK$22,k_ng)-Calc!$AK$3)*37/200,NA())</f>
        <v/>
      </c>
      <c r="H40">
        <f>IF(AND(k_gluOn,k_ng&gt;=2),(2*((G40-INDEX(Calc!$AK$3:$AK$22,I40))/(INDEX(Calc!$AK$3:$AK$22,I40+1)-INDEX(Calc!$AK$3:$AK$22,I40)))^3-3*((G40-INDEX(Calc!$AK$3:$AK$22,I40))/(INDEX(Calc!$AK$3:$AK$22,I40+1)-INDEX(Calc!$AK$3:$AK$22,I40)))^2+1)*INDEX(Calc!$AL$3:$AL$22,I40)+(((G40-INDEX(Calc!$AK$3:$AK$22,I40))/(INDEX(Calc!$AK$3:$AK$22,I40+1)-INDEX(Calc!$AK$3:$AK$22,I40)))^3-2*((G40-INDEX(Calc!$AK$3:$AK$22,I40))/(INDEX(Calc!$AK$3:$AK$22,I40+1)-INDEX(Calc!$AK$3:$AK$22,I40)))^2+((G40-INDEX(Calc!$AK$3:$AK$22,I40))/(INDEX(Calc!$AK$3:$AK$22,I40+1)-INDEX(Calc!$AK$3:$AK$22,I40))))*(INDEX(Calc!$AK$3:$AK$22,I40+1)-INDEX(Calc!$AK$3:$AK$22,I40))*INDEX(Calc!$AP$3:$AP$22,I40)+(-2*((G40-INDEX(Calc!$AK$3:$AK$22,I40))/(INDEX(Calc!$AK$3:$AK$22,I40+1)-INDEX(Calc!$AK$3:$AK$22,I40)))^3+3*((G40-INDEX(Calc!$AK$3:$AK$22,I40))/(INDEX(Calc!$AK$3:$AK$22,I40+1)-INDEX(Calc!$AK$3:$AK$22,I40)))^2)*INDEX(Calc!$AL$3:$AL$22,I40+1)+(((G40-INDEX(Calc!$AK$3:$AK$22,I40))/(INDEX(Calc!$AK$3:$AK$22,I40+1)-INDEX(Calc!$AK$3:$AK$22,I40)))^3-((G40-INDEX(Calc!$AK$3:$AK$22,I40))/(INDEX(Calc!$AK$3:$AK$22,I40+1)-INDEX(Calc!$AK$3:$AK$22,I40)))^2)*(INDEX(Calc!$AK$3:$AK$22,I40+1)-INDEX(Calc!$AK$3:$AK$22,I40))*INDEX(Calc!$AQ$3:$AQ$22,I40),NA())</f>
        <v/>
      </c>
      <c r="I40">
        <f>IF(AND(k_gluOn,k_ng&gt;=2),MIN(k_ng-1,MAX(1,MATCH(G40,Calc!$AK$3:INDEX(Calc!$AK$3:$AK$22,k_ng),1))),1)</f>
        <v/>
      </c>
    </row>
    <row r="41">
      <c r="A41">
        <f>IF(k_ok,Grid!$B$192,NA())</f>
        <v/>
      </c>
      <c r="B41">
        <f>IF(k_ok,Grid!$Q$192,NA())</f>
        <v/>
      </c>
      <c r="C41">
        <f>IF(k_hrok,k_h0+k_h1*E41+k_h2*E41^2,NA())</f>
        <v/>
      </c>
      <c r="D41">
        <f>IF(k_ok,Grid!$Q$192/Grid!$B$192,NA())</f>
        <v/>
      </c>
      <c r="E41">
        <f>IF(k_hrok,k_hx0+(k_hx1-k_hx0)*38/200,NA())</f>
        <v/>
      </c>
      <c r="G41">
        <f>IF(AND(k_gluOn,k_ng&gt;=2),Calc!$AK$3+(INDEX(Calc!$AK$3:$AK$22,k_ng)-Calc!$AK$3)*38/200,NA())</f>
        <v/>
      </c>
      <c r="H41">
        <f>IF(AND(k_gluOn,k_ng&gt;=2),(2*((G41-INDEX(Calc!$AK$3:$AK$22,I41))/(INDEX(Calc!$AK$3:$AK$22,I41+1)-INDEX(Calc!$AK$3:$AK$22,I41)))^3-3*((G41-INDEX(Calc!$AK$3:$AK$22,I41))/(INDEX(Calc!$AK$3:$AK$22,I41+1)-INDEX(Calc!$AK$3:$AK$22,I41)))^2+1)*INDEX(Calc!$AL$3:$AL$22,I41)+(((G41-INDEX(Calc!$AK$3:$AK$22,I41))/(INDEX(Calc!$AK$3:$AK$22,I41+1)-INDEX(Calc!$AK$3:$AK$22,I41)))^3-2*((G41-INDEX(Calc!$AK$3:$AK$22,I41))/(INDEX(Calc!$AK$3:$AK$22,I41+1)-INDEX(Calc!$AK$3:$AK$22,I41)))^2+((G41-INDEX(Calc!$AK$3:$AK$22,I41))/(INDEX(Calc!$AK$3:$AK$22,I41+1)-INDEX(Calc!$AK$3:$AK$22,I41))))*(INDEX(Calc!$AK$3:$AK$22,I41+1)-INDEX(Calc!$AK$3:$AK$22,I41))*INDEX(Calc!$AP$3:$AP$22,I41)+(-2*((G41-INDEX(Calc!$AK$3:$AK$22,I41))/(INDEX(Calc!$AK$3:$AK$22,I41+1)-INDEX(Calc!$AK$3:$AK$22,I41)))^3+3*((G41-INDEX(Calc!$AK$3:$AK$22,I41))/(INDEX(Calc!$AK$3:$AK$22,I41+1)-INDEX(Calc!$AK$3:$AK$22,I41)))^2)*INDEX(Calc!$AL$3:$AL$22,I41+1)+(((G41-INDEX(Calc!$AK$3:$AK$22,I41))/(INDEX(Calc!$AK$3:$AK$22,I41+1)-INDEX(Calc!$AK$3:$AK$22,I41)))^3-((G41-INDEX(Calc!$AK$3:$AK$22,I41))/(INDEX(Calc!$AK$3:$AK$22,I41+1)-INDEX(Calc!$AK$3:$AK$22,I41)))^2)*(INDEX(Calc!$AK$3:$AK$22,I41+1)-INDEX(Calc!$AK$3:$AK$22,I41))*INDEX(Calc!$AQ$3:$AQ$22,I41),NA())</f>
        <v/>
      </c>
      <c r="I41">
        <f>IF(AND(k_gluOn,k_ng&gt;=2),MIN(k_ng-1,MAX(1,MATCH(G41,Calc!$AK$3:INDEX(Calc!$AK$3:$AK$22,k_ng),1))),1)</f>
        <v/>
      </c>
      <c r="K41" t="inlineStr">
        <is>
          <t>Dmax-Sehne</t>
        </is>
      </c>
      <c r="L41">
        <f>IF(AND(k_ok,OR(k_m2=9,k_m2=10,k_m2=11,k_m2=12),ISNUMBER(k_a2x)),IF(k_m2=12,INDEX(VCalc!$C$122:$F$122,k_model),IF(k_m2=11,INDEX(VCalc!$C$110:$F$110,k_model),IF(k_m2=10,INDEX(VCalc!$C$98:$F$98,k_model),IF(k_m2=9,INDEX(VCalc!$C$86:$F$86,k_model),0)))),NA())</f>
        <v/>
      </c>
      <c r="M41">
        <f>IF(AND(k_ok,OR(k_m2=9,k_m2=10,k_m2=11,k_m2=12),ISNUMBER(k_a2x)),IF(k_m2=12,INDEX(VCalc!$C$123:$F$123,k_model),IF(k_m2=11,INDEX(VCalc!$C$111:$F$111,k_model),IF(k_m2=10,INDEX(VCalc!$C$99:$F$99,k_model),IF(k_m2=9,INDEX(VCalc!$C$87:$F$87,k_model),0)))),NA())</f>
        <v/>
      </c>
    </row>
    <row r="42">
      <c r="A42">
        <f>IF(k_ok,Grid!$B$197,NA())</f>
        <v/>
      </c>
      <c r="B42">
        <f>IF(k_ok,Grid!$Q$197,NA())</f>
        <v/>
      </c>
      <c r="C42">
        <f>IF(k_hrok,k_h0+k_h1*E42+k_h2*E42^2,NA())</f>
        <v/>
      </c>
      <c r="D42">
        <f>IF(k_ok,Grid!$Q$197/Grid!$B$197,NA())</f>
        <v/>
      </c>
      <c r="E42">
        <f>IF(k_hrok,k_hx0+(k_hx1-k_hx0)*39/200,NA())</f>
        <v/>
      </c>
      <c r="G42">
        <f>IF(AND(k_gluOn,k_ng&gt;=2),Calc!$AK$3+(INDEX(Calc!$AK$3:$AK$22,k_ng)-Calc!$AK$3)*39/200,NA())</f>
        <v/>
      </c>
      <c r="H42">
        <f>IF(AND(k_gluOn,k_ng&gt;=2),(2*((G42-INDEX(Calc!$AK$3:$AK$22,I42))/(INDEX(Calc!$AK$3:$AK$22,I42+1)-INDEX(Calc!$AK$3:$AK$22,I42)))^3-3*((G42-INDEX(Calc!$AK$3:$AK$22,I42))/(INDEX(Calc!$AK$3:$AK$22,I42+1)-INDEX(Calc!$AK$3:$AK$22,I42)))^2+1)*INDEX(Calc!$AL$3:$AL$22,I42)+(((G42-INDEX(Calc!$AK$3:$AK$22,I42))/(INDEX(Calc!$AK$3:$AK$22,I42+1)-INDEX(Calc!$AK$3:$AK$22,I42)))^3-2*((G42-INDEX(Calc!$AK$3:$AK$22,I42))/(INDEX(Calc!$AK$3:$AK$22,I42+1)-INDEX(Calc!$AK$3:$AK$22,I42)))^2+((G42-INDEX(Calc!$AK$3:$AK$22,I42))/(INDEX(Calc!$AK$3:$AK$22,I42+1)-INDEX(Calc!$AK$3:$AK$22,I42))))*(INDEX(Calc!$AK$3:$AK$22,I42+1)-INDEX(Calc!$AK$3:$AK$22,I42))*INDEX(Calc!$AP$3:$AP$22,I42)+(-2*((G42-INDEX(Calc!$AK$3:$AK$22,I42))/(INDEX(Calc!$AK$3:$AK$22,I42+1)-INDEX(Calc!$AK$3:$AK$22,I42)))^3+3*((G42-INDEX(Calc!$AK$3:$AK$22,I42))/(INDEX(Calc!$AK$3:$AK$22,I42+1)-INDEX(Calc!$AK$3:$AK$22,I42)))^2)*INDEX(Calc!$AL$3:$AL$22,I42+1)+(((G42-INDEX(Calc!$AK$3:$AK$22,I42))/(INDEX(Calc!$AK$3:$AK$22,I42+1)-INDEX(Calc!$AK$3:$AK$22,I42)))^3-((G42-INDEX(Calc!$AK$3:$AK$22,I42))/(INDEX(Calc!$AK$3:$AK$22,I42+1)-INDEX(Calc!$AK$3:$AK$22,I42)))^2)*(INDEX(Calc!$AK$3:$AK$22,I42+1)-INDEX(Calc!$AK$3:$AK$22,I42))*INDEX(Calc!$AQ$3:$AQ$22,I42),NA())</f>
        <v/>
      </c>
      <c r="I42">
        <f>IF(AND(k_gluOn,k_ng&gt;=2),MIN(k_ng-1,MAX(1,MATCH(G42,Calc!$AK$3:INDEX(Calc!$AK$3:$AK$22,k_ng),1))),1)</f>
        <v/>
      </c>
      <c r="L42">
        <f>IF(AND(k_ok,OR(k_m2=9,k_m2=10,k_m2=11,k_m2=12),ISNUMBER(k_a2x)),IF(k_m2=12,INDEX(VCalc!$C$124:$F$124,k_model),IF(k_m2=11,INDEX(VCalc!$C$112:$F$112,k_model),IF(k_m2=10,INDEX(VCalc!$C$100:$F$100,k_model),IF(k_m2=9,INDEX(VCalc!$C$88:$F$88,k_model),0)))),NA())</f>
        <v/>
      </c>
      <c r="M42">
        <f>IF(AND(k_ok,OR(k_m2=9,k_m2=10,k_m2=11,k_m2=12),ISNUMBER(k_a2x)),IF(k_m2=12,INDEX(VCalc!$C$125:$F$125,k_model),IF(k_m2=11,INDEX(VCalc!$C$113:$F$113,k_model),IF(k_m2=10,INDEX(VCalc!$C$101:$F$101,k_model),IF(k_m2=9,INDEX(VCalc!$C$89:$F$89,k_model),0)))),NA())</f>
        <v/>
      </c>
    </row>
    <row r="43">
      <c r="A43">
        <f>IF(k_ok,Grid!$B$202,NA())</f>
        <v/>
      </c>
      <c r="B43">
        <f>IF(k_ok,Grid!$Q$202,NA())</f>
        <v/>
      </c>
      <c r="C43">
        <f>IF(k_hrok,k_h0+k_h1*E43+k_h2*E43^2,NA())</f>
        <v/>
      </c>
      <c r="D43">
        <f>IF(k_ok,Grid!$Q$202/Grid!$B$202,NA())</f>
        <v/>
      </c>
      <c r="E43">
        <f>IF(k_hrok,k_hx0+(k_hx1-k_hx0)*40/200,NA())</f>
        <v/>
      </c>
      <c r="G43">
        <f>IF(AND(k_gluOn,k_ng&gt;=2),Calc!$AK$3+(INDEX(Calc!$AK$3:$AK$22,k_ng)-Calc!$AK$3)*40/200,NA())</f>
        <v/>
      </c>
      <c r="H43">
        <f>IF(AND(k_gluOn,k_ng&gt;=2),(2*((G43-INDEX(Calc!$AK$3:$AK$22,I43))/(INDEX(Calc!$AK$3:$AK$22,I43+1)-INDEX(Calc!$AK$3:$AK$22,I43)))^3-3*((G43-INDEX(Calc!$AK$3:$AK$22,I43))/(INDEX(Calc!$AK$3:$AK$22,I43+1)-INDEX(Calc!$AK$3:$AK$22,I43)))^2+1)*INDEX(Calc!$AL$3:$AL$22,I43)+(((G43-INDEX(Calc!$AK$3:$AK$22,I43))/(INDEX(Calc!$AK$3:$AK$22,I43+1)-INDEX(Calc!$AK$3:$AK$22,I43)))^3-2*((G43-INDEX(Calc!$AK$3:$AK$22,I43))/(INDEX(Calc!$AK$3:$AK$22,I43+1)-INDEX(Calc!$AK$3:$AK$22,I43)))^2+((G43-INDEX(Calc!$AK$3:$AK$22,I43))/(INDEX(Calc!$AK$3:$AK$22,I43+1)-INDEX(Calc!$AK$3:$AK$22,I43))))*(INDEX(Calc!$AK$3:$AK$22,I43+1)-INDEX(Calc!$AK$3:$AK$22,I43))*INDEX(Calc!$AP$3:$AP$22,I43)+(-2*((G43-INDEX(Calc!$AK$3:$AK$22,I43))/(INDEX(Calc!$AK$3:$AK$22,I43+1)-INDEX(Calc!$AK$3:$AK$22,I43)))^3+3*((G43-INDEX(Calc!$AK$3:$AK$22,I43))/(INDEX(Calc!$AK$3:$AK$22,I43+1)-INDEX(Calc!$AK$3:$AK$22,I43)))^2)*INDEX(Calc!$AL$3:$AL$22,I43+1)+(((G43-INDEX(Calc!$AK$3:$AK$22,I43))/(INDEX(Calc!$AK$3:$AK$22,I43+1)-INDEX(Calc!$AK$3:$AK$22,I43)))^3-((G43-INDEX(Calc!$AK$3:$AK$22,I43))/(INDEX(Calc!$AK$3:$AK$22,I43+1)-INDEX(Calc!$AK$3:$AK$22,I43)))^2)*(INDEX(Calc!$AK$3:$AK$22,I43+1)-INDEX(Calc!$AK$3:$AK$22,I43))*INDEX(Calc!$AQ$3:$AQ$22,I43),NA())</f>
        <v/>
      </c>
      <c r="I43">
        <f>IF(AND(k_gluOn,k_ng&gt;=2),MIN(k_ng-1,MAX(1,MATCH(G43,Calc!$AK$3:INDEX(Calc!$AK$3:$AK$22,k_ng),1))),1)</f>
        <v/>
      </c>
    </row>
    <row r="44">
      <c r="A44">
        <f>IF(k_ok,Grid!$B$207,NA())</f>
        <v/>
      </c>
      <c r="B44">
        <f>IF(k_ok,Grid!$Q$207,NA())</f>
        <v/>
      </c>
      <c r="C44">
        <f>IF(k_hrok,k_h0+k_h1*E44+k_h2*E44^2,NA())</f>
        <v/>
      </c>
      <c r="D44">
        <f>IF(k_ok,Grid!$Q$207/Grid!$B$207,NA())</f>
        <v/>
      </c>
      <c r="E44">
        <f>IF(k_hrok,k_hx0+(k_hx1-k_hx0)*41/200,NA())</f>
        <v/>
      </c>
      <c r="G44">
        <f>IF(AND(k_gluOn,k_ng&gt;=2),Calc!$AK$3+(INDEX(Calc!$AK$3:$AK$22,k_ng)-Calc!$AK$3)*41/200,NA())</f>
        <v/>
      </c>
      <c r="H44">
        <f>IF(AND(k_gluOn,k_ng&gt;=2),(2*((G44-INDEX(Calc!$AK$3:$AK$22,I44))/(INDEX(Calc!$AK$3:$AK$22,I44+1)-INDEX(Calc!$AK$3:$AK$22,I44)))^3-3*((G44-INDEX(Calc!$AK$3:$AK$22,I44))/(INDEX(Calc!$AK$3:$AK$22,I44+1)-INDEX(Calc!$AK$3:$AK$22,I44)))^2+1)*INDEX(Calc!$AL$3:$AL$22,I44)+(((G44-INDEX(Calc!$AK$3:$AK$22,I44))/(INDEX(Calc!$AK$3:$AK$22,I44+1)-INDEX(Calc!$AK$3:$AK$22,I44)))^3-2*((G44-INDEX(Calc!$AK$3:$AK$22,I44))/(INDEX(Calc!$AK$3:$AK$22,I44+1)-INDEX(Calc!$AK$3:$AK$22,I44)))^2+((G44-INDEX(Calc!$AK$3:$AK$22,I44))/(INDEX(Calc!$AK$3:$AK$22,I44+1)-INDEX(Calc!$AK$3:$AK$22,I44))))*(INDEX(Calc!$AK$3:$AK$22,I44+1)-INDEX(Calc!$AK$3:$AK$22,I44))*INDEX(Calc!$AP$3:$AP$22,I44)+(-2*((G44-INDEX(Calc!$AK$3:$AK$22,I44))/(INDEX(Calc!$AK$3:$AK$22,I44+1)-INDEX(Calc!$AK$3:$AK$22,I44)))^3+3*((G44-INDEX(Calc!$AK$3:$AK$22,I44))/(INDEX(Calc!$AK$3:$AK$22,I44+1)-INDEX(Calc!$AK$3:$AK$22,I44)))^2)*INDEX(Calc!$AL$3:$AL$22,I44+1)+(((G44-INDEX(Calc!$AK$3:$AK$22,I44))/(INDEX(Calc!$AK$3:$AK$22,I44+1)-INDEX(Calc!$AK$3:$AK$22,I44)))^3-((G44-INDEX(Calc!$AK$3:$AK$22,I44))/(INDEX(Calc!$AK$3:$AK$22,I44+1)-INDEX(Calc!$AK$3:$AK$22,I44)))^2)*(INDEX(Calc!$AK$3:$AK$22,I44+1)-INDEX(Calc!$AK$3:$AK$22,I44))*INDEX(Calc!$AQ$3:$AQ$22,I44),NA())</f>
        <v/>
      </c>
      <c r="I44">
        <f>IF(AND(k_gluOn,k_ng&gt;=2),MIN(k_ng-1,MAX(1,MATCH(G44,Calc!$AK$3:INDEX(Calc!$AK$3:$AK$22,k_ng),1))),1)</f>
        <v/>
      </c>
      <c r="K44" t="inlineStr">
        <is>
          <t>Log-Log Geraden</t>
        </is>
      </c>
      <c r="L44">
        <f>IF(k_llok,k_lo,NA())</f>
        <v/>
      </c>
      <c r="M44">
        <f>IF(k_llok,EXP(k_llal+k_llbl*LN(k_lo)),NA())</f>
        <v/>
      </c>
    </row>
    <row r="45">
      <c r="A45">
        <f>IF(k_ok,Grid!$B$212,NA())</f>
        <v/>
      </c>
      <c r="B45">
        <f>IF(k_ok,Grid!$Q$212,NA())</f>
        <v/>
      </c>
      <c r="C45">
        <f>IF(k_hrok,k_h0+k_h1*E45+k_h2*E45^2,NA())</f>
        <v/>
      </c>
      <c r="D45">
        <f>IF(k_ok,Grid!$Q$212/Grid!$B$212,NA())</f>
        <v/>
      </c>
      <c r="E45">
        <f>IF(k_hrok,k_hx0+(k_hx1-k_hx0)*42/200,NA())</f>
        <v/>
      </c>
      <c r="G45">
        <f>IF(AND(k_gluOn,k_ng&gt;=2),Calc!$AK$3+(INDEX(Calc!$AK$3:$AK$22,k_ng)-Calc!$AK$3)*42/200,NA())</f>
        <v/>
      </c>
      <c r="H45">
        <f>IF(AND(k_gluOn,k_ng&gt;=2),(2*((G45-INDEX(Calc!$AK$3:$AK$22,I45))/(INDEX(Calc!$AK$3:$AK$22,I45+1)-INDEX(Calc!$AK$3:$AK$22,I45)))^3-3*((G45-INDEX(Calc!$AK$3:$AK$22,I45))/(INDEX(Calc!$AK$3:$AK$22,I45+1)-INDEX(Calc!$AK$3:$AK$22,I45)))^2+1)*INDEX(Calc!$AL$3:$AL$22,I45)+(((G45-INDEX(Calc!$AK$3:$AK$22,I45))/(INDEX(Calc!$AK$3:$AK$22,I45+1)-INDEX(Calc!$AK$3:$AK$22,I45)))^3-2*((G45-INDEX(Calc!$AK$3:$AK$22,I45))/(INDEX(Calc!$AK$3:$AK$22,I45+1)-INDEX(Calc!$AK$3:$AK$22,I45)))^2+((G45-INDEX(Calc!$AK$3:$AK$22,I45))/(INDEX(Calc!$AK$3:$AK$22,I45+1)-INDEX(Calc!$AK$3:$AK$22,I45))))*(INDEX(Calc!$AK$3:$AK$22,I45+1)-INDEX(Calc!$AK$3:$AK$22,I45))*INDEX(Calc!$AP$3:$AP$22,I45)+(-2*((G45-INDEX(Calc!$AK$3:$AK$22,I45))/(INDEX(Calc!$AK$3:$AK$22,I45+1)-INDEX(Calc!$AK$3:$AK$22,I45)))^3+3*((G45-INDEX(Calc!$AK$3:$AK$22,I45))/(INDEX(Calc!$AK$3:$AK$22,I45+1)-INDEX(Calc!$AK$3:$AK$22,I45)))^2)*INDEX(Calc!$AL$3:$AL$22,I45+1)+(((G45-INDEX(Calc!$AK$3:$AK$22,I45))/(INDEX(Calc!$AK$3:$AK$22,I45+1)-INDEX(Calc!$AK$3:$AK$22,I45)))^3-((G45-INDEX(Calc!$AK$3:$AK$22,I45))/(INDEX(Calc!$AK$3:$AK$22,I45+1)-INDEX(Calc!$AK$3:$AK$22,I45)))^2)*(INDEX(Calc!$AK$3:$AK$22,I45+1)-INDEX(Calc!$AK$3:$AK$22,I45))*INDEX(Calc!$AQ$3:$AQ$22,I45),NA())</f>
        <v/>
      </c>
      <c r="I45">
        <f>IF(AND(k_gluOn,k_ng&gt;=2),MIN(k_ng-1,MAX(1,MATCH(G45,Calc!$AK$3:INDEX(Calc!$AK$3:$AK$22,k_ng),1))),1)</f>
        <v/>
      </c>
      <c r="L45">
        <f>IF(k_llok,k_llx,NA())</f>
        <v/>
      </c>
      <c r="M45">
        <f>IF(k_llok,EXP(k_llal+k_llbl*LN(k_llx)),NA())</f>
        <v/>
      </c>
    </row>
    <row r="46">
      <c r="A46">
        <f>IF(k_ok,Grid!$B$217,NA())</f>
        <v/>
      </c>
      <c r="B46">
        <f>IF(k_ok,Grid!$Q$217,NA())</f>
        <v/>
      </c>
      <c r="C46">
        <f>IF(k_hrok,k_h0+k_h1*E46+k_h2*E46^2,NA())</f>
        <v/>
      </c>
      <c r="D46">
        <f>IF(k_ok,Grid!$Q$217/Grid!$B$217,NA())</f>
        <v/>
      </c>
      <c r="E46">
        <f>IF(k_hrok,k_hx0+(k_hx1-k_hx0)*43/200,NA())</f>
        <v/>
      </c>
      <c r="G46">
        <f>IF(AND(k_gluOn,k_ng&gt;=2),Calc!$AK$3+(INDEX(Calc!$AK$3:$AK$22,k_ng)-Calc!$AK$3)*43/200,NA())</f>
        <v/>
      </c>
      <c r="H46">
        <f>IF(AND(k_gluOn,k_ng&gt;=2),(2*((G46-INDEX(Calc!$AK$3:$AK$22,I46))/(INDEX(Calc!$AK$3:$AK$22,I46+1)-INDEX(Calc!$AK$3:$AK$22,I46)))^3-3*((G46-INDEX(Calc!$AK$3:$AK$22,I46))/(INDEX(Calc!$AK$3:$AK$22,I46+1)-INDEX(Calc!$AK$3:$AK$22,I46)))^2+1)*INDEX(Calc!$AL$3:$AL$22,I46)+(((G46-INDEX(Calc!$AK$3:$AK$22,I46))/(INDEX(Calc!$AK$3:$AK$22,I46+1)-INDEX(Calc!$AK$3:$AK$22,I46)))^3-2*((G46-INDEX(Calc!$AK$3:$AK$22,I46))/(INDEX(Calc!$AK$3:$AK$22,I46+1)-INDEX(Calc!$AK$3:$AK$22,I46)))^2+((G46-INDEX(Calc!$AK$3:$AK$22,I46))/(INDEX(Calc!$AK$3:$AK$22,I46+1)-INDEX(Calc!$AK$3:$AK$22,I46))))*(INDEX(Calc!$AK$3:$AK$22,I46+1)-INDEX(Calc!$AK$3:$AK$22,I46))*INDEX(Calc!$AP$3:$AP$22,I46)+(-2*((G46-INDEX(Calc!$AK$3:$AK$22,I46))/(INDEX(Calc!$AK$3:$AK$22,I46+1)-INDEX(Calc!$AK$3:$AK$22,I46)))^3+3*((G46-INDEX(Calc!$AK$3:$AK$22,I46))/(INDEX(Calc!$AK$3:$AK$22,I46+1)-INDEX(Calc!$AK$3:$AK$22,I46)))^2)*INDEX(Calc!$AL$3:$AL$22,I46+1)+(((G46-INDEX(Calc!$AK$3:$AK$22,I46))/(INDEX(Calc!$AK$3:$AK$22,I46+1)-INDEX(Calc!$AK$3:$AK$22,I46)))^3-((G46-INDEX(Calc!$AK$3:$AK$22,I46))/(INDEX(Calc!$AK$3:$AK$22,I46+1)-INDEX(Calc!$AK$3:$AK$22,I46)))^2)*(INDEX(Calc!$AK$3:$AK$22,I46+1)-INDEX(Calc!$AK$3:$AK$22,I46))*INDEX(Calc!$AQ$3:$AQ$22,I46),NA())</f>
        <v/>
      </c>
      <c r="I46">
        <f>IF(AND(k_gluOn,k_ng&gt;=2),MIN(k_ng-1,MAX(1,MATCH(G46,Calc!$AK$3:INDEX(Calc!$AK$3:$AK$22,k_ng),1))),1)</f>
        <v/>
      </c>
      <c r="L46">
        <f>IF(k_llok,k_llx,NA())</f>
        <v/>
      </c>
      <c r="M46">
        <f>IF(k_llok,EXP(k_llar+k_llbr*LN(k_llx)),NA())</f>
        <v/>
      </c>
    </row>
    <row r="47">
      <c r="A47">
        <f>IF(k_ok,Grid!$B$222,NA())</f>
        <v/>
      </c>
      <c r="B47">
        <f>IF(k_ok,Grid!$Q$222,NA())</f>
        <v/>
      </c>
      <c r="C47">
        <f>IF(k_hrok,k_h0+k_h1*E47+k_h2*E47^2,NA())</f>
        <v/>
      </c>
      <c r="D47">
        <f>IF(k_ok,Grid!$Q$222/Grid!$B$222,NA())</f>
        <v/>
      </c>
      <c r="E47">
        <f>IF(k_hrok,k_hx0+(k_hx1-k_hx0)*44/200,NA())</f>
        <v/>
      </c>
      <c r="G47">
        <f>IF(AND(k_gluOn,k_ng&gt;=2),Calc!$AK$3+(INDEX(Calc!$AK$3:$AK$22,k_ng)-Calc!$AK$3)*44/200,NA())</f>
        <v/>
      </c>
      <c r="H47">
        <f>IF(AND(k_gluOn,k_ng&gt;=2),(2*((G47-INDEX(Calc!$AK$3:$AK$22,I47))/(INDEX(Calc!$AK$3:$AK$22,I47+1)-INDEX(Calc!$AK$3:$AK$22,I47)))^3-3*((G47-INDEX(Calc!$AK$3:$AK$22,I47))/(INDEX(Calc!$AK$3:$AK$22,I47+1)-INDEX(Calc!$AK$3:$AK$22,I47)))^2+1)*INDEX(Calc!$AL$3:$AL$22,I47)+(((G47-INDEX(Calc!$AK$3:$AK$22,I47))/(INDEX(Calc!$AK$3:$AK$22,I47+1)-INDEX(Calc!$AK$3:$AK$22,I47)))^3-2*((G47-INDEX(Calc!$AK$3:$AK$22,I47))/(INDEX(Calc!$AK$3:$AK$22,I47+1)-INDEX(Calc!$AK$3:$AK$22,I47)))^2+((G47-INDEX(Calc!$AK$3:$AK$22,I47))/(INDEX(Calc!$AK$3:$AK$22,I47+1)-INDEX(Calc!$AK$3:$AK$22,I47))))*(INDEX(Calc!$AK$3:$AK$22,I47+1)-INDEX(Calc!$AK$3:$AK$22,I47))*INDEX(Calc!$AP$3:$AP$22,I47)+(-2*((G47-INDEX(Calc!$AK$3:$AK$22,I47))/(INDEX(Calc!$AK$3:$AK$22,I47+1)-INDEX(Calc!$AK$3:$AK$22,I47)))^3+3*((G47-INDEX(Calc!$AK$3:$AK$22,I47))/(INDEX(Calc!$AK$3:$AK$22,I47+1)-INDEX(Calc!$AK$3:$AK$22,I47)))^2)*INDEX(Calc!$AL$3:$AL$22,I47+1)+(((G47-INDEX(Calc!$AK$3:$AK$22,I47))/(INDEX(Calc!$AK$3:$AK$22,I47+1)-INDEX(Calc!$AK$3:$AK$22,I47)))^3-((G47-INDEX(Calc!$AK$3:$AK$22,I47))/(INDEX(Calc!$AK$3:$AK$22,I47+1)-INDEX(Calc!$AK$3:$AK$22,I47)))^2)*(INDEX(Calc!$AK$3:$AK$22,I47+1)-INDEX(Calc!$AK$3:$AK$22,I47))*INDEX(Calc!$AQ$3:$AQ$22,I47),NA())</f>
        <v/>
      </c>
      <c r="I47">
        <f>IF(AND(k_gluOn,k_ng&gt;=2),MIN(k_ng-1,MAX(1,MATCH(G47,Calc!$AK$3:INDEX(Calc!$AK$3:$AK$22,k_ng),1))),1)</f>
        <v/>
      </c>
      <c r="L47">
        <f>IF(k_llok,INDEX(Calc!$G$3:$G$22,k_n),NA())</f>
        <v/>
      </c>
      <c r="M47">
        <f>IF(k_llok,EXP(k_llar+k_llbr*LN(INDEX(Calc!$G$3:$G$22,k_n))),NA())</f>
        <v/>
      </c>
    </row>
    <row r="48">
      <c r="A48">
        <f>IF(k_ok,Grid!$B$227,NA())</f>
        <v/>
      </c>
      <c r="B48">
        <f>IF(k_ok,Grid!$Q$227,NA())</f>
        <v/>
      </c>
      <c r="C48">
        <f>IF(k_hrok,k_h0+k_h1*E48+k_h2*E48^2,NA())</f>
        <v/>
      </c>
      <c r="D48">
        <f>IF(k_ok,Grid!$Q$227/Grid!$B$227,NA())</f>
        <v/>
      </c>
      <c r="E48">
        <f>IF(k_hrok,k_hx0+(k_hx1-k_hx0)*45/200,NA())</f>
        <v/>
      </c>
      <c r="G48">
        <f>IF(AND(k_gluOn,k_ng&gt;=2),Calc!$AK$3+(INDEX(Calc!$AK$3:$AK$22,k_ng)-Calc!$AK$3)*45/200,NA())</f>
        <v/>
      </c>
      <c r="H48">
        <f>IF(AND(k_gluOn,k_ng&gt;=2),(2*((G48-INDEX(Calc!$AK$3:$AK$22,I48))/(INDEX(Calc!$AK$3:$AK$22,I48+1)-INDEX(Calc!$AK$3:$AK$22,I48)))^3-3*((G48-INDEX(Calc!$AK$3:$AK$22,I48))/(INDEX(Calc!$AK$3:$AK$22,I48+1)-INDEX(Calc!$AK$3:$AK$22,I48)))^2+1)*INDEX(Calc!$AL$3:$AL$22,I48)+(((G48-INDEX(Calc!$AK$3:$AK$22,I48))/(INDEX(Calc!$AK$3:$AK$22,I48+1)-INDEX(Calc!$AK$3:$AK$22,I48)))^3-2*((G48-INDEX(Calc!$AK$3:$AK$22,I48))/(INDEX(Calc!$AK$3:$AK$22,I48+1)-INDEX(Calc!$AK$3:$AK$22,I48)))^2+((G48-INDEX(Calc!$AK$3:$AK$22,I48))/(INDEX(Calc!$AK$3:$AK$22,I48+1)-INDEX(Calc!$AK$3:$AK$22,I48))))*(INDEX(Calc!$AK$3:$AK$22,I48+1)-INDEX(Calc!$AK$3:$AK$22,I48))*INDEX(Calc!$AP$3:$AP$22,I48)+(-2*((G48-INDEX(Calc!$AK$3:$AK$22,I48))/(INDEX(Calc!$AK$3:$AK$22,I48+1)-INDEX(Calc!$AK$3:$AK$22,I48)))^3+3*((G48-INDEX(Calc!$AK$3:$AK$22,I48))/(INDEX(Calc!$AK$3:$AK$22,I48+1)-INDEX(Calc!$AK$3:$AK$22,I48)))^2)*INDEX(Calc!$AL$3:$AL$22,I48+1)+(((G48-INDEX(Calc!$AK$3:$AK$22,I48))/(INDEX(Calc!$AK$3:$AK$22,I48+1)-INDEX(Calc!$AK$3:$AK$22,I48)))^3-((G48-INDEX(Calc!$AK$3:$AK$22,I48))/(INDEX(Calc!$AK$3:$AK$22,I48+1)-INDEX(Calc!$AK$3:$AK$22,I48)))^2)*(INDEX(Calc!$AK$3:$AK$22,I48+1)-INDEX(Calc!$AK$3:$AK$22,I48))*INDEX(Calc!$AQ$3:$AQ$22,I48),NA())</f>
        <v/>
      </c>
      <c r="I48">
        <f>IF(AND(k_gluOn,k_ng&gt;=2),MIN(k_ng-1,MAX(1,MATCH(G48,Calc!$AK$3:INDEX(Calc!$AK$3:$AK$22,k_ng),1))),1)</f>
        <v/>
      </c>
    </row>
    <row r="49">
      <c r="A49">
        <f>IF(k_ok,Grid!$B$232,NA())</f>
        <v/>
      </c>
      <c r="B49">
        <f>IF(k_ok,Grid!$Q$232,NA())</f>
        <v/>
      </c>
      <c r="C49">
        <f>IF(k_hrok,k_h0+k_h1*E49+k_h2*E49^2,NA())</f>
        <v/>
      </c>
      <c r="D49">
        <f>IF(k_ok,Grid!$Q$232/Grid!$B$232,NA())</f>
        <v/>
      </c>
      <c r="E49">
        <f>IF(k_hrok,k_hx0+(k_hx1-k_hx0)*46/200,NA())</f>
        <v/>
      </c>
      <c r="G49">
        <f>IF(AND(k_gluOn,k_ng&gt;=2),Calc!$AK$3+(INDEX(Calc!$AK$3:$AK$22,k_ng)-Calc!$AK$3)*46/200,NA())</f>
        <v/>
      </c>
      <c r="H49">
        <f>IF(AND(k_gluOn,k_ng&gt;=2),(2*((G49-INDEX(Calc!$AK$3:$AK$22,I49))/(INDEX(Calc!$AK$3:$AK$22,I49+1)-INDEX(Calc!$AK$3:$AK$22,I49)))^3-3*((G49-INDEX(Calc!$AK$3:$AK$22,I49))/(INDEX(Calc!$AK$3:$AK$22,I49+1)-INDEX(Calc!$AK$3:$AK$22,I49)))^2+1)*INDEX(Calc!$AL$3:$AL$22,I49)+(((G49-INDEX(Calc!$AK$3:$AK$22,I49))/(INDEX(Calc!$AK$3:$AK$22,I49+1)-INDEX(Calc!$AK$3:$AK$22,I49)))^3-2*((G49-INDEX(Calc!$AK$3:$AK$22,I49))/(INDEX(Calc!$AK$3:$AK$22,I49+1)-INDEX(Calc!$AK$3:$AK$22,I49)))^2+((G49-INDEX(Calc!$AK$3:$AK$22,I49))/(INDEX(Calc!$AK$3:$AK$22,I49+1)-INDEX(Calc!$AK$3:$AK$22,I49))))*(INDEX(Calc!$AK$3:$AK$22,I49+1)-INDEX(Calc!$AK$3:$AK$22,I49))*INDEX(Calc!$AP$3:$AP$22,I49)+(-2*((G49-INDEX(Calc!$AK$3:$AK$22,I49))/(INDEX(Calc!$AK$3:$AK$22,I49+1)-INDEX(Calc!$AK$3:$AK$22,I49)))^3+3*((G49-INDEX(Calc!$AK$3:$AK$22,I49))/(INDEX(Calc!$AK$3:$AK$22,I49+1)-INDEX(Calc!$AK$3:$AK$22,I49)))^2)*INDEX(Calc!$AL$3:$AL$22,I49+1)+(((G49-INDEX(Calc!$AK$3:$AK$22,I49))/(INDEX(Calc!$AK$3:$AK$22,I49+1)-INDEX(Calc!$AK$3:$AK$22,I49)))^3-((G49-INDEX(Calc!$AK$3:$AK$22,I49))/(INDEX(Calc!$AK$3:$AK$22,I49+1)-INDEX(Calc!$AK$3:$AK$22,I49)))^2)*(INDEX(Calc!$AK$3:$AK$22,I49+1)-INDEX(Calc!$AK$3:$AK$22,I49))*INDEX(Calc!$AQ$3:$AQ$22,I49),NA())</f>
        <v/>
      </c>
      <c r="I49">
        <f>IF(AND(k_gluOn,k_ng&gt;=2),MIN(k_ng-1,MAX(1,MATCH(G49,Calc!$AK$3:INDEX(Calc!$AK$3:$AK$22,k_ng),1))),1)</f>
        <v/>
      </c>
      <c r="K49" t="inlineStr">
        <is>
          <t>LEmin</t>
        </is>
      </c>
      <c r="L49">
        <f>IF(k_ok,INDEX(VCalc!$C$35:$F$35,k_model),NA())</f>
        <v/>
      </c>
      <c r="M49">
        <f>IF(k_ok,INDEX(VCalc!$C$36:$F$36,k_model)/L49,NA())</f>
        <v/>
      </c>
    </row>
    <row r="50">
      <c r="A50">
        <f>IF(k_ok,Grid!$B$237,NA())</f>
        <v/>
      </c>
      <c r="B50">
        <f>IF(k_ok,Grid!$Q$237,NA())</f>
        <v/>
      </c>
      <c r="C50">
        <f>IF(k_hrok,k_h0+k_h1*E50+k_h2*E50^2,NA())</f>
        <v/>
      </c>
      <c r="D50">
        <f>IF(k_ok,Grid!$Q$237/Grid!$B$237,NA())</f>
        <v/>
      </c>
      <c r="E50">
        <f>IF(k_hrok,k_hx0+(k_hx1-k_hx0)*47/200,NA())</f>
        <v/>
      </c>
      <c r="G50">
        <f>IF(AND(k_gluOn,k_ng&gt;=2),Calc!$AK$3+(INDEX(Calc!$AK$3:$AK$22,k_ng)-Calc!$AK$3)*47/200,NA())</f>
        <v/>
      </c>
      <c r="H50">
        <f>IF(AND(k_gluOn,k_ng&gt;=2),(2*((G50-INDEX(Calc!$AK$3:$AK$22,I50))/(INDEX(Calc!$AK$3:$AK$22,I50+1)-INDEX(Calc!$AK$3:$AK$22,I50)))^3-3*((G50-INDEX(Calc!$AK$3:$AK$22,I50))/(INDEX(Calc!$AK$3:$AK$22,I50+1)-INDEX(Calc!$AK$3:$AK$22,I50)))^2+1)*INDEX(Calc!$AL$3:$AL$22,I50)+(((G50-INDEX(Calc!$AK$3:$AK$22,I50))/(INDEX(Calc!$AK$3:$AK$22,I50+1)-INDEX(Calc!$AK$3:$AK$22,I50)))^3-2*((G50-INDEX(Calc!$AK$3:$AK$22,I50))/(INDEX(Calc!$AK$3:$AK$22,I50+1)-INDEX(Calc!$AK$3:$AK$22,I50)))^2+((G50-INDEX(Calc!$AK$3:$AK$22,I50))/(INDEX(Calc!$AK$3:$AK$22,I50+1)-INDEX(Calc!$AK$3:$AK$22,I50))))*(INDEX(Calc!$AK$3:$AK$22,I50+1)-INDEX(Calc!$AK$3:$AK$22,I50))*INDEX(Calc!$AP$3:$AP$22,I50)+(-2*((G50-INDEX(Calc!$AK$3:$AK$22,I50))/(INDEX(Calc!$AK$3:$AK$22,I50+1)-INDEX(Calc!$AK$3:$AK$22,I50)))^3+3*((G50-INDEX(Calc!$AK$3:$AK$22,I50))/(INDEX(Calc!$AK$3:$AK$22,I50+1)-INDEX(Calc!$AK$3:$AK$22,I50)))^2)*INDEX(Calc!$AL$3:$AL$22,I50+1)+(((G50-INDEX(Calc!$AK$3:$AK$22,I50))/(INDEX(Calc!$AK$3:$AK$22,I50+1)-INDEX(Calc!$AK$3:$AK$22,I50)))^3-((G50-INDEX(Calc!$AK$3:$AK$22,I50))/(INDEX(Calc!$AK$3:$AK$22,I50+1)-INDEX(Calc!$AK$3:$AK$22,I50)))^2)*(INDEX(Calc!$AK$3:$AK$22,I50+1)-INDEX(Calc!$AK$3:$AK$22,I50))*INDEX(Calc!$AQ$3:$AQ$22,I50),NA())</f>
        <v/>
      </c>
      <c r="I50">
        <f>IF(AND(k_gluOn,k_ng&gt;=2),MIN(k_ng-1,MAX(1,MATCH(G50,Calc!$AK$3:INDEX(Calc!$AK$3:$AK$22,k_ng),1))),1)</f>
        <v/>
      </c>
    </row>
    <row r="51">
      <c r="A51">
        <f>IF(k_ok,Grid!$B$242,NA())</f>
        <v/>
      </c>
      <c r="B51">
        <f>IF(k_ok,Grid!$Q$242,NA())</f>
        <v/>
      </c>
      <c r="C51">
        <f>IF(k_hrok,k_h0+k_h1*E51+k_h2*E51^2,NA())</f>
        <v/>
      </c>
      <c r="D51">
        <f>IF(k_ok,Grid!$Q$242/Grid!$B$242,NA())</f>
        <v/>
      </c>
      <c r="E51">
        <f>IF(k_hrok,k_hx0+(k_hx1-k_hx0)*48/200,NA())</f>
        <v/>
      </c>
      <c r="G51">
        <f>IF(AND(k_gluOn,k_ng&gt;=2),Calc!$AK$3+(INDEX(Calc!$AK$3:$AK$22,k_ng)-Calc!$AK$3)*48/200,NA())</f>
        <v/>
      </c>
      <c r="H51">
        <f>IF(AND(k_gluOn,k_ng&gt;=2),(2*((G51-INDEX(Calc!$AK$3:$AK$22,I51))/(INDEX(Calc!$AK$3:$AK$22,I51+1)-INDEX(Calc!$AK$3:$AK$22,I51)))^3-3*((G51-INDEX(Calc!$AK$3:$AK$22,I51))/(INDEX(Calc!$AK$3:$AK$22,I51+1)-INDEX(Calc!$AK$3:$AK$22,I51)))^2+1)*INDEX(Calc!$AL$3:$AL$22,I51)+(((G51-INDEX(Calc!$AK$3:$AK$22,I51))/(INDEX(Calc!$AK$3:$AK$22,I51+1)-INDEX(Calc!$AK$3:$AK$22,I51)))^3-2*((G51-INDEX(Calc!$AK$3:$AK$22,I51))/(INDEX(Calc!$AK$3:$AK$22,I51+1)-INDEX(Calc!$AK$3:$AK$22,I51)))^2+((G51-INDEX(Calc!$AK$3:$AK$22,I51))/(INDEX(Calc!$AK$3:$AK$22,I51+1)-INDEX(Calc!$AK$3:$AK$22,I51))))*(INDEX(Calc!$AK$3:$AK$22,I51+1)-INDEX(Calc!$AK$3:$AK$22,I51))*INDEX(Calc!$AP$3:$AP$22,I51)+(-2*((G51-INDEX(Calc!$AK$3:$AK$22,I51))/(INDEX(Calc!$AK$3:$AK$22,I51+1)-INDEX(Calc!$AK$3:$AK$22,I51)))^3+3*((G51-INDEX(Calc!$AK$3:$AK$22,I51))/(INDEX(Calc!$AK$3:$AK$22,I51+1)-INDEX(Calc!$AK$3:$AK$22,I51)))^2)*INDEX(Calc!$AL$3:$AL$22,I51+1)+(((G51-INDEX(Calc!$AK$3:$AK$22,I51))/(INDEX(Calc!$AK$3:$AK$22,I51+1)-INDEX(Calc!$AK$3:$AK$22,I51)))^3-((G51-INDEX(Calc!$AK$3:$AK$22,I51))/(INDEX(Calc!$AK$3:$AK$22,I51+1)-INDEX(Calc!$AK$3:$AK$22,I51)))^2)*(INDEX(Calc!$AK$3:$AK$22,I51+1)-INDEX(Calc!$AK$3:$AK$22,I51))*INDEX(Calc!$AQ$3:$AQ$22,I51),NA())</f>
        <v/>
      </c>
      <c r="I51">
        <f>IF(AND(k_gluOn,k_ng&gt;=2),MIN(k_ng-1,MAX(1,MATCH(G51,Calc!$AK$3:INDEX(Calc!$AK$3:$AK$22,k_ng),1))),1)</f>
        <v/>
      </c>
      <c r="K51" t="inlineStr">
        <is>
          <t>Ruheglukose</t>
        </is>
      </c>
      <c r="L51">
        <f>IF(AND(k_gluOn,k_ng&gt;=2,ISNUMBER(Eingabe!$E$10)),Calc!$AK$3,NA())</f>
        <v/>
      </c>
      <c r="M51">
        <f>IF(ISNUMBER(L51),Eingabe!$E$10,NA())</f>
        <v/>
      </c>
    </row>
    <row r="52">
      <c r="A52">
        <f>IF(k_ok,Grid!$B$247,NA())</f>
        <v/>
      </c>
      <c r="B52">
        <f>IF(k_ok,Grid!$Q$247,NA())</f>
        <v/>
      </c>
      <c r="C52">
        <f>IF(k_hrok,k_h0+k_h1*E52+k_h2*E52^2,NA())</f>
        <v/>
      </c>
      <c r="D52">
        <f>IF(k_ok,Grid!$Q$247/Grid!$B$247,NA())</f>
        <v/>
      </c>
      <c r="E52">
        <f>IF(k_hrok,k_hx0+(k_hx1-k_hx0)*49/200,NA())</f>
        <v/>
      </c>
      <c r="G52">
        <f>IF(AND(k_gluOn,k_ng&gt;=2),Calc!$AK$3+(INDEX(Calc!$AK$3:$AK$22,k_ng)-Calc!$AK$3)*49/200,NA())</f>
        <v/>
      </c>
      <c r="H52">
        <f>IF(AND(k_gluOn,k_ng&gt;=2),(2*((G52-INDEX(Calc!$AK$3:$AK$22,I52))/(INDEX(Calc!$AK$3:$AK$22,I52+1)-INDEX(Calc!$AK$3:$AK$22,I52)))^3-3*((G52-INDEX(Calc!$AK$3:$AK$22,I52))/(INDEX(Calc!$AK$3:$AK$22,I52+1)-INDEX(Calc!$AK$3:$AK$22,I52)))^2+1)*INDEX(Calc!$AL$3:$AL$22,I52)+(((G52-INDEX(Calc!$AK$3:$AK$22,I52))/(INDEX(Calc!$AK$3:$AK$22,I52+1)-INDEX(Calc!$AK$3:$AK$22,I52)))^3-2*((G52-INDEX(Calc!$AK$3:$AK$22,I52))/(INDEX(Calc!$AK$3:$AK$22,I52+1)-INDEX(Calc!$AK$3:$AK$22,I52)))^2+((G52-INDEX(Calc!$AK$3:$AK$22,I52))/(INDEX(Calc!$AK$3:$AK$22,I52+1)-INDEX(Calc!$AK$3:$AK$22,I52))))*(INDEX(Calc!$AK$3:$AK$22,I52+1)-INDEX(Calc!$AK$3:$AK$22,I52))*INDEX(Calc!$AP$3:$AP$22,I52)+(-2*((G52-INDEX(Calc!$AK$3:$AK$22,I52))/(INDEX(Calc!$AK$3:$AK$22,I52+1)-INDEX(Calc!$AK$3:$AK$22,I52)))^3+3*((G52-INDEX(Calc!$AK$3:$AK$22,I52))/(INDEX(Calc!$AK$3:$AK$22,I52+1)-INDEX(Calc!$AK$3:$AK$22,I52)))^2)*INDEX(Calc!$AL$3:$AL$22,I52+1)+(((G52-INDEX(Calc!$AK$3:$AK$22,I52))/(INDEX(Calc!$AK$3:$AK$22,I52+1)-INDEX(Calc!$AK$3:$AK$22,I52)))^3-((G52-INDEX(Calc!$AK$3:$AK$22,I52))/(INDEX(Calc!$AK$3:$AK$22,I52+1)-INDEX(Calc!$AK$3:$AK$22,I52)))^2)*(INDEX(Calc!$AK$3:$AK$22,I52+1)-INDEX(Calc!$AK$3:$AK$22,I52))*INDEX(Calc!$AQ$3:$AQ$22,I52),NA())</f>
        <v/>
      </c>
      <c r="I52">
        <f>IF(AND(k_gluOn,k_ng&gt;=2),MIN(k_ng-1,MAX(1,MATCH(G52,Calc!$AK$3:INDEX(Calc!$AK$3:$AK$22,k_ng),1))),1)</f>
        <v/>
      </c>
      <c r="L52">
        <f>IF(AND(k_gluOn,k_ng&gt;=2,ISNUMBER(Eingabe!$E$10)),INDEX(Calc!$AK$3:$AK$22,k_ng),NA())</f>
        <v/>
      </c>
      <c r="M52">
        <f>IF(ISNUMBER(L52),Eingabe!$E$10,NA())</f>
        <v/>
      </c>
    </row>
    <row r="53">
      <c r="A53">
        <f>IF(k_ok,Grid!$B$252,NA())</f>
        <v/>
      </c>
      <c r="B53">
        <f>IF(k_ok,Grid!$Q$252,NA())</f>
        <v/>
      </c>
      <c r="C53">
        <f>IF(k_hrok,k_h0+k_h1*E53+k_h2*E53^2,NA())</f>
        <v/>
      </c>
      <c r="D53">
        <f>IF(k_ok,Grid!$Q$252/Grid!$B$252,NA())</f>
        <v/>
      </c>
      <c r="E53">
        <f>IF(k_hrok,k_hx0+(k_hx1-k_hx0)*50/200,NA())</f>
        <v/>
      </c>
      <c r="G53">
        <f>IF(AND(k_gluOn,k_ng&gt;=2),Calc!$AK$3+(INDEX(Calc!$AK$3:$AK$22,k_ng)-Calc!$AK$3)*50/200,NA())</f>
        <v/>
      </c>
      <c r="H53">
        <f>IF(AND(k_gluOn,k_ng&gt;=2),(2*((G53-INDEX(Calc!$AK$3:$AK$22,I53))/(INDEX(Calc!$AK$3:$AK$22,I53+1)-INDEX(Calc!$AK$3:$AK$22,I53)))^3-3*((G53-INDEX(Calc!$AK$3:$AK$22,I53))/(INDEX(Calc!$AK$3:$AK$22,I53+1)-INDEX(Calc!$AK$3:$AK$22,I53)))^2+1)*INDEX(Calc!$AL$3:$AL$22,I53)+(((G53-INDEX(Calc!$AK$3:$AK$22,I53))/(INDEX(Calc!$AK$3:$AK$22,I53+1)-INDEX(Calc!$AK$3:$AK$22,I53)))^3-2*((G53-INDEX(Calc!$AK$3:$AK$22,I53))/(INDEX(Calc!$AK$3:$AK$22,I53+1)-INDEX(Calc!$AK$3:$AK$22,I53)))^2+((G53-INDEX(Calc!$AK$3:$AK$22,I53))/(INDEX(Calc!$AK$3:$AK$22,I53+1)-INDEX(Calc!$AK$3:$AK$22,I53))))*(INDEX(Calc!$AK$3:$AK$22,I53+1)-INDEX(Calc!$AK$3:$AK$22,I53))*INDEX(Calc!$AP$3:$AP$22,I53)+(-2*((G53-INDEX(Calc!$AK$3:$AK$22,I53))/(INDEX(Calc!$AK$3:$AK$22,I53+1)-INDEX(Calc!$AK$3:$AK$22,I53)))^3+3*((G53-INDEX(Calc!$AK$3:$AK$22,I53))/(INDEX(Calc!$AK$3:$AK$22,I53+1)-INDEX(Calc!$AK$3:$AK$22,I53)))^2)*INDEX(Calc!$AL$3:$AL$22,I53+1)+(((G53-INDEX(Calc!$AK$3:$AK$22,I53))/(INDEX(Calc!$AK$3:$AK$22,I53+1)-INDEX(Calc!$AK$3:$AK$22,I53)))^3-((G53-INDEX(Calc!$AK$3:$AK$22,I53))/(INDEX(Calc!$AK$3:$AK$22,I53+1)-INDEX(Calc!$AK$3:$AK$22,I53)))^2)*(INDEX(Calc!$AK$3:$AK$22,I53+1)-INDEX(Calc!$AK$3:$AK$22,I53))*INDEX(Calc!$AQ$3:$AQ$22,I53),NA())</f>
        <v/>
      </c>
      <c r="I53">
        <f>IF(AND(k_gluOn,k_ng&gt;=2),MIN(k_ng-1,MAX(1,MATCH(G53,Calc!$AK$3:INDEX(Calc!$AK$3:$AK$22,k_ng),1))),1)</f>
        <v/>
      </c>
    </row>
    <row r="54">
      <c r="A54">
        <f>IF(k_ok,Grid!$B$257,NA())</f>
        <v/>
      </c>
      <c r="B54">
        <f>IF(k_ok,Grid!$Q$257,NA())</f>
        <v/>
      </c>
      <c r="C54">
        <f>IF(k_hrok,k_h0+k_h1*E54+k_h2*E54^2,NA())</f>
        <v/>
      </c>
      <c r="D54">
        <f>IF(k_ok,Grid!$Q$257/Grid!$B$257,NA())</f>
        <v/>
      </c>
      <c r="E54">
        <f>IF(k_hrok,k_hx0+(k_hx1-k_hx0)*51/200,NA())</f>
        <v/>
      </c>
      <c r="G54">
        <f>IF(AND(k_gluOn,k_ng&gt;=2),Calc!$AK$3+(INDEX(Calc!$AK$3:$AK$22,k_ng)-Calc!$AK$3)*51/200,NA())</f>
        <v/>
      </c>
      <c r="H54">
        <f>IF(AND(k_gluOn,k_ng&gt;=2),(2*((G54-INDEX(Calc!$AK$3:$AK$22,I54))/(INDEX(Calc!$AK$3:$AK$22,I54+1)-INDEX(Calc!$AK$3:$AK$22,I54)))^3-3*((G54-INDEX(Calc!$AK$3:$AK$22,I54))/(INDEX(Calc!$AK$3:$AK$22,I54+1)-INDEX(Calc!$AK$3:$AK$22,I54)))^2+1)*INDEX(Calc!$AL$3:$AL$22,I54)+(((G54-INDEX(Calc!$AK$3:$AK$22,I54))/(INDEX(Calc!$AK$3:$AK$22,I54+1)-INDEX(Calc!$AK$3:$AK$22,I54)))^3-2*((G54-INDEX(Calc!$AK$3:$AK$22,I54))/(INDEX(Calc!$AK$3:$AK$22,I54+1)-INDEX(Calc!$AK$3:$AK$22,I54)))^2+((G54-INDEX(Calc!$AK$3:$AK$22,I54))/(INDEX(Calc!$AK$3:$AK$22,I54+1)-INDEX(Calc!$AK$3:$AK$22,I54))))*(INDEX(Calc!$AK$3:$AK$22,I54+1)-INDEX(Calc!$AK$3:$AK$22,I54))*INDEX(Calc!$AP$3:$AP$22,I54)+(-2*((G54-INDEX(Calc!$AK$3:$AK$22,I54))/(INDEX(Calc!$AK$3:$AK$22,I54+1)-INDEX(Calc!$AK$3:$AK$22,I54)))^3+3*((G54-INDEX(Calc!$AK$3:$AK$22,I54))/(INDEX(Calc!$AK$3:$AK$22,I54+1)-INDEX(Calc!$AK$3:$AK$22,I54)))^2)*INDEX(Calc!$AL$3:$AL$22,I54+1)+(((G54-INDEX(Calc!$AK$3:$AK$22,I54))/(INDEX(Calc!$AK$3:$AK$22,I54+1)-INDEX(Calc!$AK$3:$AK$22,I54)))^3-((G54-INDEX(Calc!$AK$3:$AK$22,I54))/(INDEX(Calc!$AK$3:$AK$22,I54+1)-INDEX(Calc!$AK$3:$AK$22,I54)))^2)*(INDEX(Calc!$AK$3:$AK$22,I54+1)-INDEX(Calc!$AK$3:$AK$22,I54))*INDEX(Calc!$AQ$3:$AQ$22,I54),NA())</f>
        <v/>
      </c>
      <c r="I54">
        <f>IF(AND(k_gluOn,k_ng&gt;=2),MIN(k_ng-1,MAX(1,MATCH(G54,Calc!$AK$3:INDEX(Calc!$AK$3:$AK$22,k_ng),1))),1)</f>
        <v/>
      </c>
    </row>
    <row r="55">
      <c r="A55">
        <f>IF(k_ok,Grid!$B$262,NA())</f>
        <v/>
      </c>
      <c r="B55">
        <f>IF(k_ok,Grid!$Q$262,NA())</f>
        <v/>
      </c>
      <c r="C55">
        <f>IF(k_hrok,k_h0+k_h1*E55+k_h2*E55^2,NA())</f>
        <v/>
      </c>
      <c r="D55">
        <f>IF(k_ok,Grid!$Q$262/Grid!$B$262,NA())</f>
        <v/>
      </c>
      <c r="E55">
        <f>IF(k_hrok,k_hx0+(k_hx1-k_hx0)*52/200,NA())</f>
        <v/>
      </c>
      <c r="G55">
        <f>IF(AND(k_gluOn,k_ng&gt;=2),Calc!$AK$3+(INDEX(Calc!$AK$3:$AK$22,k_ng)-Calc!$AK$3)*52/200,NA())</f>
        <v/>
      </c>
      <c r="H55">
        <f>IF(AND(k_gluOn,k_ng&gt;=2),(2*((G55-INDEX(Calc!$AK$3:$AK$22,I55))/(INDEX(Calc!$AK$3:$AK$22,I55+1)-INDEX(Calc!$AK$3:$AK$22,I55)))^3-3*((G55-INDEX(Calc!$AK$3:$AK$22,I55))/(INDEX(Calc!$AK$3:$AK$22,I55+1)-INDEX(Calc!$AK$3:$AK$22,I55)))^2+1)*INDEX(Calc!$AL$3:$AL$22,I55)+(((G55-INDEX(Calc!$AK$3:$AK$22,I55))/(INDEX(Calc!$AK$3:$AK$22,I55+1)-INDEX(Calc!$AK$3:$AK$22,I55)))^3-2*((G55-INDEX(Calc!$AK$3:$AK$22,I55))/(INDEX(Calc!$AK$3:$AK$22,I55+1)-INDEX(Calc!$AK$3:$AK$22,I55)))^2+((G55-INDEX(Calc!$AK$3:$AK$22,I55))/(INDEX(Calc!$AK$3:$AK$22,I55+1)-INDEX(Calc!$AK$3:$AK$22,I55))))*(INDEX(Calc!$AK$3:$AK$22,I55+1)-INDEX(Calc!$AK$3:$AK$22,I55))*INDEX(Calc!$AP$3:$AP$22,I55)+(-2*((G55-INDEX(Calc!$AK$3:$AK$22,I55))/(INDEX(Calc!$AK$3:$AK$22,I55+1)-INDEX(Calc!$AK$3:$AK$22,I55)))^3+3*((G55-INDEX(Calc!$AK$3:$AK$22,I55))/(INDEX(Calc!$AK$3:$AK$22,I55+1)-INDEX(Calc!$AK$3:$AK$22,I55)))^2)*INDEX(Calc!$AL$3:$AL$22,I55+1)+(((G55-INDEX(Calc!$AK$3:$AK$22,I55))/(INDEX(Calc!$AK$3:$AK$22,I55+1)-INDEX(Calc!$AK$3:$AK$22,I55)))^3-((G55-INDEX(Calc!$AK$3:$AK$22,I55))/(INDEX(Calc!$AK$3:$AK$22,I55+1)-INDEX(Calc!$AK$3:$AK$22,I55)))^2)*(INDEX(Calc!$AK$3:$AK$22,I55+1)-INDEX(Calc!$AK$3:$AK$22,I55))*INDEX(Calc!$AQ$3:$AQ$22,I55),NA())</f>
        <v/>
      </c>
      <c r="I55">
        <f>IF(AND(k_gluOn,k_ng&gt;=2),MIN(k_ng-1,MAX(1,MATCH(G55,Calc!$AK$3:INDEX(Calc!$AK$3:$AK$22,k_ng),1))),1)</f>
        <v/>
      </c>
    </row>
    <row r="56">
      <c r="A56">
        <f>IF(k_ok,Grid!$B$267,NA())</f>
        <v/>
      </c>
      <c r="B56">
        <f>IF(k_ok,Grid!$Q$267,NA())</f>
        <v/>
      </c>
      <c r="C56">
        <f>IF(k_hrok,k_h0+k_h1*E56+k_h2*E56^2,NA())</f>
        <v/>
      </c>
      <c r="D56">
        <f>IF(k_ok,Grid!$Q$267/Grid!$B$267,NA())</f>
        <v/>
      </c>
      <c r="E56">
        <f>IF(k_hrok,k_hx0+(k_hx1-k_hx0)*53/200,NA())</f>
        <v/>
      </c>
      <c r="G56">
        <f>IF(AND(k_gluOn,k_ng&gt;=2),Calc!$AK$3+(INDEX(Calc!$AK$3:$AK$22,k_ng)-Calc!$AK$3)*53/200,NA())</f>
        <v/>
      </c>
      <c r="H56">
        <f>IF(AND(k_gluOn,k_ng&gt;=2),(2*((G56-INDEX(Calc!$AK$3:$AK$22,I56))/(INDEX(Calc!$AK$3:$AK$22,I56+1)-INDEX(Calc!$AK$3:$AK$22,I56)))^3-3*((G56-INDEX(Calc!$AK$3:$AK$22,I56))/(INDEX(Calc!$AK$3:$AK$22,I56+1)-INDEX(Calc!$AK$3:$AK$22,I56)))^2+1)*INDEX(Calc!$AL$3:$AL$22,I56)+(((G56-INDEX(Calc!$AK$3:$AK$22,I56))/(INDEX(Calc!$AK$3:$AK$22,I56+1)-INDEX(Calc!$AK$3:$AK$22,I56)))^3-2*((G56-INDEX(Calc!$AK$3:$AK$22,I56))/(INDEX(Calc!$AK$3:$AK$22,I56+1)-INDEX(Calc!$AK$3:$AK$22,I56)))^2+((G56-INDEX(Calc!$AK$3:$AK$22,I56))/(INDEX(Calc!$AK$3:$AK$22,I56+1)-INDEX(Calc!$AK$3:$AK$22,I56))))*(INDEX(Calc!$AK$3:$AK$22,I56+1)-INDEX(Calc!$AK$3:$AK$22,I56))*INDEX(Calc!$AP$3:$AP$22,I56)+(-2*((G56-INDEX(Calc!$AK$3:$AK$22,I56))/(INDEX(Calc!$AK$3:$AK$22,I56+1)-INDEX(Calc!$AK$3:$AK$22,I56)))^3+3*((G56-INDEX(Calc!$AK$3:$AK$22,I56))/(INDEX(Calc!$AK$3:$AK$22,I56+1)-INDEX(Calc!$AK$3:$AK$22,I56)))^2)*INDEX(Calc!$AL$3:$AL$22,I56+1)+(((G56-INDEX(Calc!$AK$3:$AK$22,I56))/(INDEX(Calc!$AK$3:$AK$22,I56+1)-INDEX(Calc!$AK$3:$AK$22,I56)))^3-((G56-INDEX(Calc!$AK$3:$AK$22,I56))/(INDEX(Calc!$AK$3:$AK$22,I56+1)-INDEX(Calc!$AK$3:$AK$22,I56)))^2)*(INDEX(Calc!$AK$3:$AK$22,I56+1)-INDEX(Calc!$AK$3:$AK$22,I56))*INDEX(Calc!$AQ$3:$AQ$22,I56),NA())</f>
        <v/>
      </c>
      <c r="I56">
        <f>IF(AND(k_gluOn,k_ng&gt;=2),MIN(k_ng-1,MAX(1,MATCH(G56,Calc!$AK$3:INDEX(Calc!$AK$3:$AK$22,k_ng),1))),1)</f>
        <v/>
      </c>
    </row>
    <row r="57">
      <c r="A57">
        <f>IF(k_ok,Grid!$B$272,NA())</f>
        <v/>
      </c>
      <c r="B57">
        <f>IF(k_ok,Grid!$Q$272,NA())</f>
        <v/>
      </c>
      <c r="C57">
        <f>IF(k_hrok,k_h0+k_h1*E57+k_h2*E57^2,NA())</f>
        <v/>
      </c>
      <c r="D57">
        <f>IF(k_ok,Grid!$Q$272/Grid!$B$272,NA())</f>
        <v/>
      </c>
      <c r="E57">
        <f>IF(k_hrok,k_hx0+(k_hx1-k_hx0)*54/200,NA())</f>
        <v/>
      </c>
      <c r="G57">
        <f>IF(AND(k_gluOn,k_ng&gt;=2),Calc!$AK$3+(INDEX(Calc!$AK$3:$AK$22,k_ng)-Calc!$AK$3)*54/200,NA())</f>
        <v/>
      </c>
      <c r="H57">
        <f>IF(AND(k_gluOn,k_ng&gt;=2),(2*((G57-INDEX(Calc!$AK$3:$AK$22,I57))/(INDEX(Calc!$AK$3:$AK$22,I57+1)-INDEX(Calc!$AK$3:$AK$22,I57)))^3-3*((G57-INDEX(Calc!$AK$3:$AK$22,I57))/(INDEX(Calc!$AK$3:$AK$22,I57+1)-INDEX(Calc!$AK$3:$AK$22,I57)))^2+1)*INDEX(Calc!$AL$3:$AL$22,I57)+(((G57-INDEX(Calc!$AK$3:$AK$22,I57))/(INDEX(Calc!$AK$3:$AK$22,I57+1)-INDEX(Calc!$AK$3:$AK$22,I57)))^3-2*((G57-INDEX(Calc!$AK$3:$AK$22,I57))/(INDEX(Calc!$AK$3:$AK$22,I57+1)-INDEX(Calc!$AK$3:$AK$22,I57)))^2+((G57-INDEX(Calc!$AK$3:$AK$22,I57))/(INDEX(Calc!$AK$3:$AK$22,I57+1)-INDEX(Calc!$AK$3:$AK$22,I57))))*(INDEX(Calc!$AK$3:$AK$22,I57+1)-INDEX(Calc!$AK$3:$AK$22,I57))*INDEX(Calc!$AP$3:$AP$22,I57)+(-2*((G57-INDEX(Calc!$AK$3:$AK$22,I57))/(INDEX(Calc!$AK$3:$AK$22,I57+1)-INDEX(Calc!$AK$3:$AK$22,I57)))^3+3*((G57-INDEX(Calc!$AK$3:$AK$22,I57))/(INDEX(Calc!$AK$3:$AK$22,I57+1)-INDEX(Calc!$AK$3:$AK$22,I57)))^2)*INDEX(Calc!$AL$3:$AL$22,I57+1)+(((G57-INDEX(Calc!$AK$3:$AK$22,I57))/(INDEX(Calc!$AK$3:$AK$22,I57+1)-INDEX(Calc!$AK$3:$AK$22,I57)))^3-((G57-INDEX(Calc!$AK$3:$AK$22,I57))/(INDEX(Calc!$AK$3:$AK$22,I57+1)-INDEX(Calc!$AK$3:$AK$22,I57)))^2)*(INDEX(Calc!$AK$3:$AK$22,I57+1)-INDEX(Calc!$AK$3:$AK$22,I57))*INDEX(Calc!$AQ$3:$AQ$22,I57),NA())</f>
        <v/>
      </c>
      <c r="I57">
        <f>IF(AND(k_gluOn,k_ng&gt;=2),MIN(k_ng-1,MAX(1,MATCH(G57,Calc!$AK$3:INDEX(Calc!$AK$3:$AK$22,k_ng),1))),1)</f>
        <v/>
      </c>
    </row>
    <row r="58">
      <c r="A58">
        <f>IF(k_ok,Grid!$B$277,NA())</f>
        <v/>
      </c>
      <c r="B58">
        <f>IF(k_ok,Grid!$Q$277,NA())</f>
        <v/>
      </c>
      <c r="C58">
        <f>IF(k_hrok,k_h0+k_h1*E58+k_h2*E58^2,NA())</f>
        <v/>
      </c>
      <c r="D58">
        <f>IF(k_ok,Grid!$Q$277/Grid!$B$277,NA())</f>
        <v/>
      </c>
      <c r="E58">
        <f>IF(k_hrok,k_hx0+(k_hx1-k_hx0)*55/200,NA())</f>
        <v/>
      </c>
      <c r="G58">
        <f>IF(AND(k_gluOn,k_ng&gt;=2),Calc!$AK$3+(INDEX(Calc!$AK$3:$AK$22,k_ng)-Calc!$AK$3)*55/200,NA())</f>
        <v/>
      </c>
      <c r="H58">
        <f>IF(AND(k_gluOn,k_ng&gt;=2),(2*((G58-INDEX(Calc!$AK$3:$AK$22,I58))/(INDEX(Calc!$AK$3:$AK$22,I58+1)-INDEX(Calc!$AK$3:$AK$22,I58)))^3-3*((G58-INDEX(Calc!$AK$3:$AK$22,I58))/(INDEX(Calc!$AK$3:$AK$22,I58+1)-INDEX(Calc!$AK$3:$AK$22,I58)))^2+1)*INDEX(Calc!$AL$3:$AL$22,I58)+(((G58-INDEX(Calc!$AK$3:$AK$22,I58))/(INDEX(Calc!$AK$3:$AK$22,I58+1)-INDEX(Calc!$AK$3:$AK$22,I58)))^3-2*((G58-INDEX(Calc!$AK$3:$AK$22,I58))/(INDEX(Calc!$AK$3:$AK$22,I58+1)-INDEX(Calc!$AK$3:$AK$22,I58)))^2+((G58-INDEX(Calc!$AK$3:$AK$22,I58))/(INDEX(Calc!$AK$3:$AK$22,I58+1)-INDEX(Calc!$AK$3:$AK$22,I58))))*(INDEX(Calc!$AK$3:$AK$22,I58+1)-INDEX(Calc!$AK$3:$AK$22,I58))*INDEX(Calc!$AP$3:$AP$22,I58)+(-2*((G58-INDEX(Calc!$AK$3:$AK$22,I58))/(INDEX(Calc!$AK$3:$AK$22,I58+1)-INDEX(Calc!$AK$3:$AK$22,I58)))^3+3*((G58-INDEX(Calc!$AK$3:$AK$22,I58))/(INDEX(Calc!$AK$3:$AK$22,I58+1)-INDEX(Calc!$AK$3:$AK$22,I58)))^2)*INDEX(Calc!$AL$3:$AL$22,I58+1)+(((G58-INDEX(Calc!$AK$3:$AK$22,I58))/(INDEX(Calc!$AK$3:$AK$22,I58+1)-INDEX(Calc!$AK$3:$AK$22,I58)))^3-((G58-INDEX(Calc!$AK$3:$AK$22,I58))/(INDEX(Calc!$AK$3:$AK$22,I58+1)-INDEX(Calc!$AK$3:$AK$22,I58)))^2)*(INDEX(Calc!$AK$3:$AK$22,I58+1)-INDEX(Calc!$AK$3:$AK$22,I58))*INDEX(Calc!$AQ$3:$AQ$22,I58),NA())</f>
        <v/>
      </c>
      <c r="I58">
        <f>IF(AND(k_gluOn,k_ng&gt;=2),MIN(k_ng-1,MAX(1,MATCH(G58,Calc!$AK$3:INDEX(Calc!$AK$3:$AK$22,k_ng),1))),1)</f>
        <v/>
      </c>
    </row>
    <row r="59">
      <c r="A59">
        <f>IF(k_ok,Grid!$B$282,NA())</f>
        <v/>
      </c>
      <c r="B59">
        <f>IF(k_ok,Grid!$Q$282,NA())</f>
        <v/>
      </c>
      <c r="C59">
        <f>IF(k_hrok,k_h0+k_h1*E59+k_h2*E59^2,NA())</f>
        <v/>
      </c>
      <c r="D59">
        <f>IF(k_ok,Grid!$Q$282/Grid!$B$282,NA())</f>
        <v/>
      </c>
      <c r="E59">
        <f>IF(k_hrok,k_hx0+(k_hx1-k_hx0)*56/200,NA())</f>
        <v/>
      </c>
      <c r="G59">
        <f>IF(AND(k_gluOn,k_ng&gt;=2),Calc!$AK$3+(INDEX(Calc!$AK$3:$AK$22,k_ng)-Calc!$AK$3)*56/200,NA())</f>
        <v/>
      </c>
      <c r="H59">
        <f>IF(AND(k_gluOn,k_ng&gt;=2),(2*((G59-INDEX(Calc!$AK$3:$AK$22,I59))/(INDEX(Calc!$AK$3:$AK$22,I59+1)-INDEX(Calc!$AK$3:$AK$22,I59)))^3-3*((G59-INDEX(Calc!$AK$3:$AK$22,I59))/(INDEX(Calc!$AK$3:$AK$22,I59+1)-INDEX(Calc!$AK$3:$AK$22,I59)))^2+1)*INDEX(Calc!$AL$3:$AL$22,I59)+(((G59-INDEX(Calc!$AK$3:$AK$22,I59))/(INDEX(Calc!$AK$3:$AK$22,I59+1)-INDEX(Calc!$AK$3:$AK$22,I59)))^3-2*((G59-INDEX(Calc!$AK$3:$AK$22,I59))/(INDEX(Calc!$AK$3:$AK$22,I59+1)-INDEX(Calc!$AK$3:$AK$22,I59)))^2+((G59-INDEX(Calc!$AK$3:$AK$22,I59))/(INDEX(Calc!$AK$3:$AK$22,I59+1)-INDEX(Calc!$AK$3:$AK$22,I59))))*(INDEX(Calc!$AK$3:$AK$22,I59+1)-INDEX(Calc!$AK$3:$AK$22,I59))*INDEX(Calc!$AP$3:$AP$22,I59)+(-2*((G59-INDEX(Calc!$AK$3:$AK$22,I59))/(INDEX(Calc!$AK$3:$AK$22,I59+1)-INDEX(Calc!$AK$3:$AK$22,I59)))^3+3*((G59-INDEX(Calc!$AK$3:$AK$22,I59))/(INDEX(Calc!$AK$3:$AK$22,I59+1)-INDEX(Calc!$AK$3:$AK$22,I59)))^2)*INDEX(Calc!$AL$3:$AL$22,I59+1)+(((G59-INDEX(Calc!$AK$3:$AK$22,I59))/(INDEX(Calc!$AK$3:$AK$22,I59+1)-INDEX(Calc!$AK$3:$AK$22,I59)))^3-((G59-INDEX(Calc!$AK$3:$AK$22,I59))/(INDEX(Calc!$AK$3:$AK$22,I59+1)-INDEX(Calc!$AK$3:$AK$22,I59)))^2)*(INDEX(Calc!$AK$3:$AK$22,I59+1)-INDEX(Calc!$AK$3:$AK$22,I59))*INDEX(Calc!$AQ$3:$AQ$22,I59),NA())</f>
        <v/>
      </c>
      <c r="I59">
        <f>IF(AND(k_gluOn,k_ng&gt;=2),MIN(k_ng-1,MAX(1,MATCH(G59,Calc!$AK$3:INDEX(Calc!$AK$3:$AK$22,k_ng),1))),1)</f>
        <v/>
      </c>
    </row>
    <row r="60">
      <c r="A60">
        <f>IF(k_ok,Grid!$B$287,NA())</f>
        <v/>
      </c>
      <c r="B60">
        <f>IF(k_ok,Grid!$Q$287,NA())</f>
        <v/>
      </c>
      <c r="C60">
        <f>IF(k_hrok,k_h0+k_h1*E60+k_h2*E60^2,NA())</f>
        <v/>
      </c>
      <c r="D60">
        <f>IF(k_ok,Grid!$Q$287/Grid!$B$287,NA())</f>
        <v/>
      </c>
      <c r="E60">
        <f>IF(k_hrok,k_hx0+(k_hx1-k_hx0)*57/200,NA())</f>
        <v/>
      </c>
      <c r="G60">
        <f>IF(AND(k_gluOn,k_ng&gt;=2),Calc!$AK$3+(INDEX(Calc!$AK$3:$AK$22,k_ng)-Calc!$AK$3)*57/200,NA())</f>
        <v/>
      </c>
      <c r="H60">
        <f>IF(AND(k_gluOn,k_ng&gt;=2),(2*((G60-INDEX(Calc!$AK$3:$AK$22,I60))/(INDEX(Calc!$AK$3:$AK$22,I60+1)-INDEX(Calc!$AK$3:$AK$22,I60)))^3-3*((G60-INDEX(Calc!$AK$3:$AK$22,I60))/(INDEX(Calc!$AK$3:$AK$22,I60+1)-INDEX(Calc!$AK$3:$AK$22,I60)))^2+1)*INDEX(Calc!$AL$3:$AL$22,I60)+(((G60-INDEX(Calc!$AK$3:$AK$22,I60))/(INDEX(Calc!$AK$3:$AK$22,I60+1)-INDEX(Calc!$AK$3:$AK$22,I60)))^3-2*((G60-INDEX(Calc!$AK$3:$AK$22,I60))/(INDEX(Calc!$AK$3:$AK$22,I60+1)-INDEX(Calc!$AK$3:$AK$22,I60)))^2+((G60-INDEX(Calc!$AK$3:$AK$22,I60))/(INDEX(Calc!$AK$3:$AK$22,I60+1)-INDEX(Calc!$AK$3:$AK$22,I60))))*(INDEX(Calc!$AK$3:$AK$22,I60+1)-INDEX(Calc!$AK$3:$AK$22,I60))*INDEX(Calc!$AP$3:$AP$22,I60)+(-2*((G60-INDEX(Calc!$AK$3:$AK$22,I60))/(INDEX(Calc!$AK$3:$AK$22,I60+1)-INDEX(Calc!$AK$3:$AK$22,I60)))^3+3*((G60-INDEX(Calc!$AK$3:$AK$22,I60))/(INDEX(Calc!$AK$3:$AK$22,I60+1)-INDEX(Calc!$AK$3:$AK$22,I60)))^2)*INDEX(Calc!$AL$3:$AL$22,I60+1)+(((G60-INDEX(Calc!$AK$3:$AK$22,I60))/(INDEX(Calc!$AK$3:$AK$22,I60+1)-INDEX(Calc!$AK$3:$AK$22,I60)))^3-((G60-INDEX(Calc!$AK$3:$AK$22,I60))/(INDEX(Calc!$AK$3:$AK$22,I60+1)-INDEX(Calc!$AK$3:$AK$22,I60)))^2)*(INDEX(Calc!$AK$3:$AK$22,I60+1)-INDEX(Calc!$AK$3:$AK$22,I60))*INDEX(Calc!$AQ$3:$AQ$22,I60),NA())</f>
        <v/>
      </c>
      <c r="I60">
        <f>IF(AND(k_gluOn,k_ng&gt;=2),MIN(k_ng-1,MAX(1,MATCH(G60,Calc!$AK$3:INDEX(Calc!$AK$3:$AK$22,k_ng),1))),1)</f>
        <v/>
      </c>
    </row>
    <row r="61">
      <c r="A61">
        <f>IF(k_ok,Grid!$B$292,NA())</f>
        <v/>
      </c>
      <c r="B61">
        <f>IF(k_ok,Grid!$Q$292,NA())</f>
        <v/>
      </c>
      <c r="C61">
        <f>IF(k_hrok,k_h0+k_h1*E61+k_h2*E61^2,NA())</f>
        <v/>
      </c>
      <c r="D61">
        <f>IF(k_ok,Grid!$Q$292/Grid!$B$292,NA())</f>
        <v/>
      </c>
      <c r="E61">
        <f>IF(k_hrok,k_hx0+(k_hx1-k_hx0)*58/200,NA())</f>
        <v/>
      </c>
      <c r="G61">
        <f>IF(AND(k_gluOn,k_ng&gt;=2),Calc!$AK$3+(INDEX(Calc!$AK$3:$AK$22,k_ng)-Calc!$AK$3)*58/200,NA())</f>
        <v/>
      </c>
      <c r="H61">
        <f>IF(AND(k_gluOn,k_ng&gt;=2),(2*((G61-INDEX(Calc!$AK$3:$AK$22,I61))/(INDEX(Calc!$AK$3:$AK$22,I61+1)-INDEX(Calc!$AK$3:$AK$22,I61)))^3-3*((G61-INDEX(Calc!$AK$3:$AK$22,I61))/(INDEX(Calc!$AK$3:$AK$22,I61+1)-INDEX(Calc!$AK$3:$AK$22,I61)))^2+1)*INDEX(Calc!$AL$3:$AL$22,I61)+(((G61-INDEX(Calc!$AK$3:$AK$22,I61))/(INDEX(Calc!$AK$3:$AK$22,I61+1)-INDEX(Calc!$AK$3:$AK$22,I61)))^3-2*((G61-INDEX(Calc!$AK$3:$AK$22,I61))/(INDEX(Calc!$AK$3:$AK$22,I61+1)-INDEX(Calc!$AK$3:$AK$22,I61)))^2+((G61-INDEX(Calc!$AK$3:$AK$22,I61))/(INDEX(Calc!$AK$3:$AK$22,I61+1)-INDEX(Calc!$AK$3:$AK$22,I61))))*(INDEX(Calc!$AK$3:$AK$22,I61+1)-INDEX(Calc!$AK$3:$AK$22,I61))*INDEX(Calc!$AP$3:$AP$22,I61)+(-2*((G61-INDEX(Calc!$AK$3:$AK$22,I61))/(INDEX(Calc!$AK$3:$AK$22,I61+1)-INDEX(Calc!$AK$3:$AK$22,I61)))^3+3*((G61-INDEX(Calc!$AK$3:$AK$22,I61))/(INDEX(Calc!$AK$3:$AK$22,I61+1)-INDEX(Calc!$AK$3:$AK$22,I61)))^2)*INDEX(Calc!$AL$3:$AL$22,I61+1)+(((G61-INDEX(Calc!$AK$3:$AK$22,I61))/(INDEX(Calc!$AK$3:$AK$22,I61+1)-INDEX(Calc!$AK$3:$AK$22,I61)))^3-((G61-INDEX(Calc!$AK$3:$AK$22,I61))/(INDEX(Calc!$AK$3:$AK$22,I61+1)-INDEX(Calc!$AK$3:$AK$22,I61)))^2)*(INDEX(Calc!$AK$3:$AK$22,I61+1)-INDEX(Calc!$AK$3:$AK$22,I61))*INDEX(Calc!$AQ$3:$AQ$22,I61),NA())</f>
        <v/>
      </c>
      <c r="I61">
        <f>IF(AND(k_gluOn,k_ng&gt;=2),MIN(k_ng-1,MAX(1,MATCH(G61,Calc!$AK$3:INDEX(Calc!$AK$3:$AK$22,k_ng),1))),1)</f>
        <v/>
      </c>
    </row>
    <row r="62">
      <c r="A62">
        <f>IF(k_ok,Grid!$B$297,NA())</f>
        <v/>
      </c>
      <c r="B62">
        <f>IF(k_ok,Grid!$Q$297,NA())</f>
        <v/>
      </c>
      <c r="C62">
        <f>IF(k_hrok,k_h0+k_h1*E62+k_h2*E62^2,NA())</f>
        <v/>
      </c>
      <c r="D62">
        <f>IF(k_ok,Grid!$Q$297/Grid!$B$297,NA())</f>
        <v/>
      </c>
      <c r="E62">
        <f>IF(k_hrok,k_hx0+(k_hx1-k_hx0)*59/200,NA())</f>
        <v/>
      </c>
      <c r="G62">
        <f>IF(AND(k_gluOn,k_ng&gt;=2),Calc!$AK$3+(INDEX(Calc!$AK$3:$AK$22,k_ng)-Calc!$AK$3)*59/200,NA())</f>
        <v/>
      </c>
      <c r="H62">
        <f>IF(AND(k_gluOn,k_ng&gt;=2),(2*((G62-INDEX(Calc!$AK$3:$AK$22,I62))/(INDEX(Calc!$AK$3:$AK$22,I62+1)-INDEX(Calc!$AK$3:$AK$22,I62)))^3-3*((G62-INDEX(Calc!$AK$3:$AK$22,I62))/(INDEX(Calc!$AK$3:$AK$22,I62+1)-INDEX(Calc!$AK$3:$AK$22,I62)))^2+1)*INDEX(Calc!$AL$3:$AL$22,I62)+(((G62-INDEX(Calc!$AK$3:$AK$22,I62))/(INDEX(Calc!$AK$3:$AK$22,I62+1)-INDEX(Calc!$AK$3:$AK$22,I62)))^3-2*((G62-INDEX(Calc!$AK$3:$AK$22,I62))/(INDEX(Calc!$AK$3:$AK$22,I62+1)-INDEX(Calc!$AK$3:$AK$22,I62)))^2+((G62-INDEX(Calc!$AK$3:$AK$22,I62))/(INDEX(Calc!$AK$3:$AK$22,I62+1)-INDEX(Calc!$AK$3:$AK$22,I62))))*(INDEX(Calc!$AK$3:$AK$22,I62+1)-INDEX(Calc!$AK$3:$AK$22,I62))*INDEX(Calc!$AP$3:$AP$22,I62)+(-2*((G62-INDEX(Calc!$AK$3:$AK$22,I62))/(INDEX(Calc!$AK$3:$AK$22,I62+1)-INDEX(Calc!$AK$3:$AK$22,I62)))^3+3*((G62-INDEX(Calc!$AK$3:$AK$22,I62))/(INDEX(Calc!$AK$3:$AK$22,I62+1)-INDEX(Calc!$AK$3:$AK$22,I62)))^2)*INDEX(Calc!$AL$3:$AL$22,I62+1)+(((G62-INDEX(Calc!$AK$3:$AK$22,I62))/(INDEX(Calc!$AK$3:$AK$22,I62+1)-INDEX(Calc!$AK$3:$AK$22,I62)))^3-((G62-INDEX(Calc!$AK$3:$AK$22,I62))/(INDEX(Calc!$AK$3:$AK$22,I62+1)-INDEX(Calc!$AK$3:$AK$22,I62)))^2)*(INDEX(Calc!$AK$3:$AK$22,I62+1)-INDEX(Calc!$AK$3:$AK$22,I62))*INDEX(Calc!$AQ$3:$AQ$22,I62),NA())</f>
        <v/>
      </c>
      <c r="I62">
        <f>IF(AND(k_gluOn,k_ng&gt;=2),MIN(k_ng-1,MAX(1,MATCH(G62,Calc!$AK$3:INDEX(Calc!$AK$3:$AK$22,k_ng),1))),1)</f>
        <v/>
      </c>
    </row>
    <row r="63">
      <c r="A63">
        <f>IF(k_ok,Grid!$B$302,NA())</f>
        <v/>
      </c>
      <c r="B63">
        <f>IF(k_ok,Grid!$Q$302,NA())</f>
        <v/>
      </c>
      <c r="C63">
        <f>IF(k_hrok,k_h0+k_h1*E63+k_h2*E63^2,NA())</f>
        <v/>
      </c>
      <c r="D63">
        <f>IF(k_ok,Grid!$Q$302/Grid!$B$302,NA())</f>
        <v/>
      </c>
      <c r="E63">
        <f>IF(k_hrok,k_hx0+(k_hx1-k_hx0)*60/200,NA())</f>
        <v/>
      </c>
      <c r="G63">
        <f>IF(AND(k_gluOn,k_ng&gt;=2),Calc!$AK$3+(INDEX(Calc!$AK$3:$AK$22,k_ng)-Calc!$AK$3)*60/200,NA())</f>
        <v/>
      </c>
      <c r="H63">
        <f>IF(AND(k_gluOn,k_ng&gt;=2),(2*((G63-INDEX(Calc!$AK$3:$AK$22,I63))/(INDEX(Calc!$AK$3:$AK$22,I63+1)-INDEX(Calc!$AK$3:$AK$22,I63)))^3-3*((G63-INDEX(Calc!$AK$3:$AK$22,I63))/(INDEX(Calc!$AK$3:$AK$22,I63+1)-INDEX(Calc!$AK$3:$AK$22,I63)))^2+1)*INDEX(Calc!$AL$3:$AL$22,I63)+(((G63-INDEX(Calc!$AK$3:$AK$22,I63))/(INDEX(Calc!$AK$3:$AK$22,I63+1)-INDEX(Calc!$AK$3:$AK$22,I63)))^3-2*((G63-INDEX(Calc!$AK$3:$AK$22,I63))/(INDEX(Calc!$AK$3:$AK$22,I63+1)-INDEX(Calc!$AK$3:$AK$22,I63)))^2+((G63-INDEX(Calc!$AK$3:$AK$22,I63))/(INDEX(Calc!$AK$3:$AK$22,I63+1)-INDEX(Calc!$AK$3:$AK$22,I63))))*(INDEX(Calc!$AK$3:$AK$22,I63+1)-INDEX(Calc!$AK$3:$AK$22,I63))*INDEX(Calc!$AP$3:$AP$22,I63)+(-2*((G63-INDEX(Calc!$AK$3:$AK$22,I63))/(INDEX(Calc!$AK$3:$AK$22,I63+1)-INDEX(Calc!$AK$3:$AK$22,I63)))^3+3*((G63-INDEX(Calc!$AK$3:$AK$22,I63))/(INDEX(Calc!$AK$3:$AK$22,I63+1)-INDEX(Calc!$AK$3:$AK$22,I63)))^2)*INDEX(Calc!$AL$3:$AL$22,I63+1)+(((G63-INDEX(Calc!$AK$3:$AK$22,I63))/(INDEX(Calc!$AK$3:$AK$22,I63+1)-INDEX(Calc!$AK$3:$AK$22,I63)))^3-((G63-INDEX(Calc!$AK$3:$AK$22,I63))/(INDEX(Calc!$AK$3:$AK$22,I63+1)-INDEX(Calc!$AK$3:$AK$22,I63)))^2)*(INDEX(Calc!$AK$3:$AK$22,I63+1)-INDEX(Calc!$AK$3:$AK$22,I63))*INDEX(Calc!$AQ$3:$AQ$22,I63),NA())</f>
        <v/>
      </c>
      <c r="I63">
        <f>IF(AND(k_gluOn,k_ng&gt;=2),MIN(k_ng-1,MAX(1,MATCH(G63,Calc!$AK$3:INDEX(Calc!$AK$3:$AK$22,k_ng),1))),1)</f>
        <v/>
      </c>
    </row>
    <row r="64">
      <c r="A64">
        <f>IF(k_ok,Grid!$B$307,NA())</f>
        <v/>
      </c>
      <c r="B64">
        <f>IF(k_ok,Grid!$Q$307,NA())</f>
        <v/>
      </c>
      <c r="C64">
        <f>IF(k_hrok,k_h0+k_h1*E64+k_h2*E64^2,NA())</f>
        <v/>
      </c>
      <c r="D64">
        <f>IF(k_ok,Grid!$Q$307/Grid!$B$307,NA())</f>
        <v/>
      </c>
      <c r="E64">
        <f>IF(k_hrok,k_hx0+(k_hx1-k_hx0)*61/200,NA())</f>
        <v/>
      </c>
      <c r="G64">
        <f>IF(AND(k_gluOn,k_ng&gt;=2),Calc!$AK$3+(INDEX(Calc!$AK$3:$AK$22,k_ng)-Calc!$AK$3)*61/200,NA())</f>
        <v/>
      </c>
      <c r="H64">
        <f>IF(AND(k_gluOn,k_ng&gt;=2),(2*((G64-INDEX(Calc!$AK$3:$AK$22,I64))/(INDEX(Calc!$AK$3:$AK$22,I64+1)-INDEX(Calc!$AK$3:$AK$22,I64)))^3-3*((G64-INDEX(Calc!$AK$3:$AK$22,I64))/(INDEX(Calc!$AK$3:$AK$22,I64+1)-INDEX(Calc!$AK$3:$AK$22,I64)))^2+1)*INDEX(Calc!$AL$3:$AL$22,I64)+(((G64-INDEX(Calc!$AK$3:$AK$22,I64))/(INDEX(Calc!$AK$3:$AK$22,I64+1)-INDEX(Calc!$AK$3:$AK$22,I64)))^3-2*((G64-INDEX(Calc!$AK$3:$AK$22,I64))/(INDEX(Calc!$AK$3:$AK$22,I64+1)-INDEX(Calc!$AK$3:$AK$22,I64)))^2+((G64-INDEX(Calc!$AK$3:$AK$22,I64))/(INDEX(Calc!$AK$3:$AK$22,I64+1)-INDEX(Calc!$AK$3:$AK$22,I64))))*(INDEX(Calc!$AK$3:$AK$22,I64+1)-INDEX(Calc!$AK$3:$AK$22,I64))*INDEX(Calc!$AP$3:$AP$22,I64)+(-2*((G64-INDEX(Calc!$AK$3:$AK$22,I64))/(INDEX(Calc!$AK$3:$AK$22,I64+1)-INDEX(Calc!$AK$3:$AK$22,I64)))^3+3*((G64-INDEX(Calc!$AK$3:$AK$22,I64))/(INDEX(Calc!$AK$3:$AK$22,I64+1)-INDEX(Calc!$AK$3:$AK$22,I64)))^2)*INDEX(Calc!$AL$3:$AL$22,I64+1)+(((G64-INDEX(Calc!$AK$3:$AK$22,I64))/(INDEX(Calc!$AK$3:$AK$22,I64+1)-INDEX(Calc!$AK$3:$AK$22,I64)))^3-((G64-INDEX(Calc!$AK$3:$AK$22,I64))/(INDEX(Calc!$AK$3:$AK$22,I64+1)-INDEX(Calc!$AK$3:$AK$22,I64)))^2)*(INDEX(Calc!$AK$3:$AK$22,I64+1)-INDEX(Calc!$AK$3:$AK$22,I64))*INDEX(Calc!$AQ$3:$AQ$22,I64),NA())</f>
        <v/>
      </c>
      <c r="I64">
        <f>IF(AND(k_gluOn,k_ng&gt;=2),MIN(k_ng-1,MAX(1,MATCH(G64,Calc!$AK$3:INDEX(Calc!$AK$3:$AK$22,k_ng),1))),1)</f>
        <v/>
      </c>
    </row>
    <row r="65">
      <c r="A65">
        <f>IF(k_ok,Grid!$B$312,NA())</f>
        <v/>
      </c>
      <c r="B65">
        <f>IF(k_ok,Grid!$Q$312,NA())</f>
        <v/>
      </c>
      <c r="C65">
        <f>IF(k_hrok,k_h0+k_h1*E65+k_h2*E65^2,NA())</f>
        <v/>
      </c>
      <c r="D65">
        <f>IF(k_ok,Grid!$Q$312/Grid!$B$312,NA())</f>
        <v/>
      </c>
      <c r="E65">
        <f>IF(k_hrok,k_hx0+(k_hx1-k_hx0)*62/200,NA())</f>
        <v/>
      </c>
      <c r="G65">
        <f>IF(AND(k_gluOn,k_ng&gt;=2),Calc!$AK$3+(INDEX(Calc!$AK$3:$AK$22,k_ng)-Calc!$AK$3)*62/200,NA())</f>
        <v/>
      </c>
      <c r="H65">
        <f>IF(AND(k_gluOn,k_ng&gt;=2),(2*((G65-INDEX(Calc!$AK$3:$AK$22,I65))/(INDEX(Calc!$AK$3:$AK$22,I65+1)-INDEX(Calc!$AK$3:$AK$22,I65)))^3-3*((G65-INDEX(Calc!$AK$3:$AK$22,I65))/(INDEX(Calc!$AK$3:$AK$22,I65+1)-INDEX(Calc!$AK$3:$AK$22,I65)))^2+1)*INDEX(Calc!$AL$3:$AL$22,I65)+(((G65-INDEX(Calc!$AK$3:$AK$22,I65))/(INDEX(Calc!$AK$3:$AK$22,I65+1)-INDEX(Calc!$AK$3:$AK$22,I65)))^3-2*((G65-INDEX(Calc!$AK$3:$AK$22,I65))/(INDEX(Calc!$AK$3:$AK$22,I65+1)-INDEX(Calc!$AK$3:$AK$22,I65)))^2+((G65-INDEX(Calc!$AK$3:$AK$22,I65))/(INDEX(Calc!$AK$3:$AK$22,I65+1)-INDEX(Calc!$AK$3:$AK$22,I65))))*(INDEX(Calc!$AK$3:$AK$22,I65+1)-INDEX(Calc!$AK$3:$AK$22,I65))*INDEX(Calc!$AP$3:$AP$22,I65)+(-2*((G65-INDEX(Calc!$AK$3:$AK$22,I65))/(INDEX(Calc!$AK$3:$AK$22,I65+1)-INDEX(Calc!$AK$3:$AK$22,I65)))^3+3*((G65-INDEX(Calc!$AK$3:$AK$22,I65))/(INDEX(Calc!$AK$3:$AK$22,I65+1)-INDEX(Calc!$AK$3:$AK$22,I65)))^2)*INDEX(Calc!$AL$3:$AL$22,I65+1)+(((G65-INDEX(Calc!$AK$3:$AK$22,I65))/(INDEX(Calc!$AK$3:$AK$22,I65+1)-INDEX(Calc!$AK$3:$AK$22,I65)))^3-((G65-INDEX(Calc!$AK$3:$AK$22,I65))/(INDEX(Calc!$AK$3:$AK$22,I65+1)-INDEX(Calc!$AK$3:$AK$22,I65)))^2)*(INDEX(Calc!$AK$3:$AK$22,I65+1)-INDEX(Calc!$AK$3:$AK$22,I65))*INDEX(Calc!$AQ$3:$AQ$22,I65),NA())</f>
        <v/>
      </c>
      <c r="I65">
        <f>IF(AND(k_gluOn,k_ng&gt;=2),MIN(k_ng-1,MAX(1,MATCH(G65,Calc!$AK$3:INDEX(Calc!$AK$3:$AK$22,k_ng),1))),1)</f>
        <v/>
      </c>
    </row>
    <row r="66">
      <c r="A66">
        <f>IF(k_ok,Grid!$B$317,NA())</f>
        <v/>
      </c>
      <c r="B66">
        <f>IF(k_ok,Grid!$Q$317,NA())</f>
        <v/>
      </c>
      <c r="C66">
        <f>IF(k_hrok,k_h0+k_h1*E66+k_h2*E66^2,NA())</f>
        <v/>
      </c>
      <c r="D66">
        <f>IF(k_ok,Grid!$Q$317/Grid!$B$317,NA())</f>
        <v/>
      </c>
      <c r="E66">
        <f>IF(k_hrok,k_hx0+(k_hx1-k_hx0)*63/200,NA())</f>
        <v/>
      </c>
      <c r="G66">
        <f>IF(AND(k_gluOn,k_ng&gt;=2),Calc!$AK$3+(INDEX(Calc!$AK$3:$AK$22,k_ng)-Calc!$AK$3)*63/200,NA())</f>
        <v/>
      </c>
      <c r="H66">
        <f>IF(AND(k_gluOn,k_ng&gt;=2),(2*((G66-INDEX(Calc!$AK$3:$AK$22,I66))/(INDEX(Calc!$AK$3:$AK$22,I66+1)-INDEX(Calc!$AK$3:$AK$22,I66)))^3-3*((G66-INDEX(Calc!$AK$3:$AK$22,I66))/(INDEX(Calc!$AK$3:$AK$22,I66+1)-INDEX(Calc!$AK$3:$AK$22,I66)))^2+1)*INDEX(Calc!$AL$3:$AL$22,I66)+(((G66-INDEX(Calc!$AK$3:$AK$22,I66))/(INDEX(Calc!$AK$3:$AK$22,I66+1)-INDEX(Calc!$AK$3:$AK$22,I66)))^3-2*((G66-INDEX(Calc!$AK$3:$AK$22,I66))/(INDEX(Calc!$AK$3:$AK$22,I66+1)-INDEX(Calc!$AK$3:$AK$22,I66)))^2+((G66-INDEX(Calc!$AK$3:$AK$22,I66))/(INDEX(Calc!$AK$3:$AK$22,I66+1)-INDEX(Calc!$AK$3:$AK$22,I66))))*(INDEX(Calc!$AK$3:$AK$22,I66+1)-INDEX(Calc!$AK$3:$AK$22,I66))*INDEX(Calc!$AP$3:$AP$22,I66)+(-2*((G66-INDEX(Calc!$AK$3:$AK$22,I66))/(INDEX(Calc!$AK$3:$AK$22,I66+1)-INDEX(Calc!$AK$3:$AK$22,I66)))^3+3*((G66-INDEX(Calc!$AK$3:$AK$22,I66))/(INDEX(Calc!$AK$3:$AK$22,I66+1)-INDEX(Calc!$AK$3:$AK$22,I66)))^2)*INDEX(Calc!$AL$3:$AL$22,I66+1)+(((G66-INDEX(Calc!$AK$3:$AK$22,I66))/(INDEX(Calc!$AK$3:$AK$22,I66+1)-INDEX(Calc!$AK$3:$AK$22,I66)))^3-((G66-INDEX(Calc!$AK$3:$AK$22,I66))/(INDEX(Calc!$AK$3:$AK$22,I66+1)-INDEX(Calc!$AK$3:$AK$22,I66)))^2)*(INDEX(Calc!$AK$3:$AK$22,I66+1)-INDEX(Calc!$AK$3:$AK$22,I66))*INDEX(Calc!$AQ$3:$AQ$22,I66),NA())</f>
        <v/>
      </c>
      <c r="I66">
        <f>IF(AND(k_gluOn,k_ng&gt;=2),MIN(k_ng-1,MAX(1,MATCH(G66,Calc!$AK$3:INDEX(Calc!$AK$3:$AK$22,k_ng),1))),1)</f>
        <v/>
      </c>
    </row>
    <row r="67">
      <c r="A67">
        <f>IF(k_ok,Grid!$B$322,NA())</f>
        <v/>
      </c>
      <c r="B67">
        <f>IF(k_ok,Grid!$Q$322,NA())</f>
        <v/>
      </c>
      <c r="C67">
        <f>IF(k_hrok,k_h0+k_h1*E67+k_h2*E67^2,NA())</f>
        <v/>
      </c>
      <c r="D67">
        <f>IF(k_ok,Grid!$Q$322/Grid!$B$322,NA())</f>
        <v/>
      </c>
      <c r="E67">
        <f>IF(k_hrok,k_hx0+(k_hx1-k_hx0)*64/200,NA())</f>
        <v/>
      </c>
      <c r="G67">
        <f>IF(AND(k_gluOn,k_ng&gt;=2),Calc!$AK$3+(INDEX(Calc!$AK$3:$AK$22,k_ng)-Calc!$AK$3)*64/200,NA())</f>
        <v/>
      </c>
      <c r="H67">
        <f>IF(AND(k_gluOn,k_ng&gt;=2),(2*((G67-INDEX(Calc!$AK$3:$AK$22,I67))/(INDEX(Calc!$AK$3:$AK$22,I67+1)-INDEX(Calc!$AK$3:$AK$22,I67)))^3-3*((G67-INDEX(Calc!$AK$3:$AK$22,I67))/(INDEX(Calc!$AK$3:$AK$22,I67+1)-INDEX(Calc!$AK$3:$AK$22,I67)))^2+1)*INDEX(Calc!$AL$3:$AL$22,I67)+(((G67-INDEX(Calc!$AK$3:$AK$22,I67))/(INDEX(Calc!$AK$3:$AK$22,I67+1)-INDEX(Calc!$AK$3:$AK$22,I67)))^3-2*((G67-INDEX(Calc!$AK$3:$AK$22,I67))/(INDEX(Calc!$AK$3:$AK$22,I67+1)-INDEX(Calc!$AK$3:$AK$22,I67)))^2+((G67-INDEX(Calc!$AK$3:$AK$22,I67))/(INDEX(Calc!$AK$3:$AK$22,I67+1)-INDEX(Calc!$AK$3:$AK$22,I67))))*(INDEX(Calc!$AK$3:$AK$22,I67+1)-INDEX(Calc!$AK$3:$AK$22,I67))*INDEX(Calc!$AP$3:$AP$22,I67)+(-2*((G67-INDEX(Calc!$AK$3:$AK$22,I67))/(INDEX(Calc!$AK$3:$AK$22,I67+1)-INDEX(Calc!$AK$3:$AK$22,I67)))^3+3*((G67-INDEX(Calc!$AK$3:$AK$22,I67))/(INDEX(Calc!$AK$3:$AK$22,I67+1)-INDEX(Calc!$AK$3:$AK$22,I67)))^2)*INDEX(Calc!$AL$3:$AL$22,I67+1)+(((G67-INDEX(Calc!$AK$3:$AK$22,I67))/(INDEX(Calc!$AK$3:$AK$22,I67+1)-INDEX(Calc!$AK$3:$AK$22,I67)))^3-((G67-INDEX(Calc!$AK$3:$AK$22,I67))/(INDEX(Calc!$AK$3:$AK$22,I67+1)-INDEX(Calc!$AK$3:$AK$22,I67)))^2)*(INDEX(Calc!$AK$3:$AK$22,I67+1)-INDEX(Calc!$AK$3:$AK$22,I67))*INDEX(Calc!$AQ$3:$AQ$22,I67),NA())</f>
        <v/>
      </c>
      <c r="I67">
        <f>IF(AND(k_gluOn,k_ng&gt;=2),MIN(k_ng-1,MAX(1,MATCH(G67,Calc!$AK$3:INDEX(Calc!$AK$3:$AK$22,k_ng),1))),1)</f>
        <v/>
      </c>
    </row>
    <row r="68">
      <c r="A68">
        <f>IF(k_ok,Grid!$B$327,NA())</f>
        <v/>
      </c>
      <c r="B68">
        <f>IF(k_ok,Grid!$Q$327,NA())</f>
        <v/>
      </c>
      <c r="C68">
        <f>IF(k_hrok,k_h0+k_h1*E68+k_h2*E68^2,NA())</f>
        <v/>
      </c>
      <c r="D68">
        <f>IF(k_ok,Grid!$Q$327/Grid!$B$327,NA())</f>
        <v/>
      </c>
      <c r="E68">
        <f>IF(k_hrok,k_hx0+(k_hx1-k_hx0)*65/200,NA())</f>
        <v/>
      </c>
      <c r="G68">
        <f>IF(AND(k_gluOn,k_ng&gt;=2),Calc!$AK$3+(INDEX(Calc!$AK$3:$AK$22,k_ng)-Calc!$AK$3)*65/200,NA())</f>
        <v/>
      </c>
      <c r="H68">
        <f>IF(AND(k_gluOn,k_ng&gt;=2),(2*((G68-INDEX(Calc!$AK$3:$AK$22,I68))/(INDEX(Calc!$AK$3:$AK$22,I68+1)-INDEX(Calc!$AK$3:$AK$22,I68)))^3-3*((G68-INDEX(Calc!$AK$3:$AK$22,I68))/(INDEX(Calc!$AK$3:$AK$22,I68+1)-INDEX(Calc!$AK$3:$AK$22,I68)))^2+1)*INDEX(Calc!$AL$3:$AL$22,I68)+(((G68-INDEX(Calc!$AK$3:$AK$22,I68))/(INDEX(Calc!$AK$3:$AK$22,I68+1)-INDEX(Calc!$AK$3:$AK$22,I68)))^3-2*((G68-INDEX(Calc!$AK$3:$AK$22,I68))/(INDEX(Calc!$AK$3:$AK$22,I68+1)-INDEX(Calc!$AK$3:$AK$22,I68)))^2+((G68-INDEX(Calc!$AK$3:$AK$22,I68))/(INDEX(Calc!$AK$3:$AK$22,I68+1)-INDEX(Calc!$AK$3:$AK$22,I68))))*(INDEX(Calc!$AK$3:$AK$22,I68+1)-INDEX(Calc!$AK$3:$AK$22,I68))*INDEX(Calc!$AP$3:$AP$22,I68)+(-2*((G68-INDEX(Calc!$AK$3:$AK$22,I68))/(INDEX(Calc!$AK$3:$AK$22,I68+1)-INDEX(Calc!$AK$3:$AK$22,I68)))^3+3*((G68-INDEX(Calc!$AK$3:$AK$22,I68))/(INDEX(Calc!$AK$3:$AK$22,I68+1)-INDEX(Calc!$AK$3:$AK$22,I68)))^2)*INDEX(Calc!$AL$3:$AL$22,I68+1)+(((G68-INDEX(Calc!$AK$3:$AK$22,I68))/(INDEX(Calc!$AK$3:$AK$22,I68+1)-INDEX(Calc!$AK$3:$AK$22,I68)))^3-((G68-INDEX(Calc!$AK$3:$AK$22,I68))/(INDEX(Calc!$AK$3:$AK$22,I68+1)-INDEX(Calc!$AK$3:$AK$22,I68)))^2)*(INDEX(Calc!$AK$3:$AK$22,I68+1)-INDEX(Calc!$AK$3:$AK$22,I68))*INDEX(Calc!$AQ$3:$AQ$22,I68),NA())</f>
        <v/>
      </c>
      <c r="I68">
        <f>IF(AND(k_gluOn,k_ng&gt;=2),MIN(k_ng-1,MAX(1,MATCH(G68,Calc!$AK$3:INDEX(Calc!$AK$3:$AK$22,k_ng),1))),1)</f>
        <v/>
      </c>
    </row>
    <row r="69">
      <c r="A69">
        <f>IF(k_ok,Grid!$B$332,NA())</f>
        <v/>
      </c>
      <c r="B69">
        <f>IF(k_ok,Grid!$Q$332,NA())</f>
        <v/>
      </c>
      <c r="C69">
        <f>IF(k_hrok,k_h0+k_h1*E69+k_h2*E69^2,NA())</f>
        <v/>
      </c>
      <c r="D69">
        <f>IF(k_ok,Grid!$Q$332/Grid!$B$332,NA())</f>
        <v/>
      </c>
      <c r="E69">
        <f>IF(k_hrok,k_hx0+(k_hx1-k_hx0)*66/200,NA())</f>
        <v/>
      </c>
      <c r="G69">
        <f>IF(AND(k_gluOn,k_ng&gt;=2),Calc!$AK$3+(INDEX(Calc!$AK$3:$AK$22,k_ng)-Calc!$AK$3)*66/200,NA())</f>
        <v/>
      </c>
      <c r="H69">
        <f>IF(AND(k_gluOn,k_ng&gt;=2),(2*((G69-INDEX(Calc!$AK$3:$AK$22,I69))/(INDEX(Calc!$AK$3:$AK$22,I69+1)-INDEX(Calc!$AK$3:$AK$22,I69)))^3-3*((G69-INDEX(Calc!$AK$3:$AK$22,I69))/(INDEX(Calc!$AK$3:$AK$22,I69+1)-INDEX(Calc!$AK$3:$AK$22,I69)))^2+1)*INDEX(Calc!$AL$3:$AL$22,I69)+(((G69-INDEX(Calc!$AK$3:$AK$22,I69))/(INDEX(Calc!$AK$3:$AK$22,I69+1)-INDEX(Calc!$AK$3:$AK$22,I69)))^3-2*((G69-INDEX(Calc!$AK$3:$AK$22,I69))/(INDEX(Calc!$AK$3:$AK$22,I69+1)-INDEX(Calc!$AK$3:$AK$22,I69)))^2+((G69-INDEX(Calc!$AK$3:$AK$22,I69))/(INDEX(Calc!$AK$3:$AK$22,I69+1)-INDEX(Calc!$AK$3:$AK$22,I69))))*(INDEX(Calc!$AK$3:$AK$22,I69+1)-INDEX(Calc!$AK$3:$AK$22,I69))*INDEX(Calc!$AP$3:$AP$22,I69)+(-2*((G69-INDEX(Calc!$AK$3:$AK$22,I69))/(INDEX(Calc!$AK$3:$AK$22,I69+1)-INDEX(Calc!$AK$3:$AK$22,I69)))^3+3*((G69-INDEX(Calc!$AK$3:$AK$22,I69))/(INDEX(Calc!$AK$3:$AK$22,I69+1)-INDEX(Calc!$AK$3:$AK$22,I69)))^2)*INDEX(Calc!$AL$3:$AL$22,I69+1)+(((G69-INDEX(Calc!$AK$3:$AK$22,I69))/(INDEX(Calc!$AK$3:$AK$22,I69+1)-INDEX(Calc!$AK$3:$AK$22,I69)))^3-((G69-INDEX(Calc!$AK$3:$AK$22,I69))/(INDEX(Calc!$AK$3:$AK$22,I69+1)-INDEX(Calc!$AK$3:$AK$22,I69)))^2)*(INDEX(Calc!$AK$3:$AK$22,I69+1)-INDEX(Calc!$AK$3:$AK$22,I69))*INDEX(Calc!$AQ$3:$AQ$22,I69),NA())</f>
        <v/>
      </c>
      <c r="I69">
        <f>IF(AND(k_gluOn,k_ng&gt;=2),MIN(k_ng-1,MAX(1,MATCH(G69,Calc!$AK$3:INDEX(Calc!$AK$3:$AK$22,k_ng),1))),1)</f>
        <v/>
      </c>
    </row>
    <row r="70">
      <c r="A70">
        <f>IF(k_ok,Grid!$B$337,NA())</f>
        <v/>
      </c>
      <c r="B70">
        <f>IF(k_ok,Grid!$Q$337,NA())</f>
        <v/>
      </c>
      <c r="C70">
        <f>IF(k_hrok,k_h0+k_h1*E70+k_h2*E70^2,NA())</f>
        <v/>
      </c>
      <c r="D70">
        <f>IF(k_ok,Grid!$Q$337/Grid!$B$337,NA())</f>
        <v/>
      </c>
      <c r="E70">
        <f>IF(k_hrok,k_hx0+(k_hx1-k_hx0)*67/200,NA())</f>
        <v/>
      </c>
      <c r="G70">
        <f>IF(AND(k_gluOn,k_ng&gt;=2),Calc!$AK$3+(INDEX(Calc!$AK$3:$AK$22,k_ng)-Calc!$AK$3)*67/200,NA())</f>
        <v/>
      </c>
      <c r="H70">
        <f>IF(AND(k_gluOn,k_ng&gt;=2),(2*((G70-INDEX(Calc!$AK$3:$AK$22,I70))/(INDEX(Calc!$AK$3:$AK$22,I70+1)-INDEX(Calc!$AK$3:$AK$22,I70)))^3-3*((G70-INDEX(Calc!$AK$3:$AK$22,I70))/(INDEX(Calc!$AK$3:$AK$22,I70+1)-INDEX(Calc!$AK$3:$AK$22,I70)))^2+1)*INDEX(Calc!$AL$3:$AL$22,I70)+(((G70-INDEX(Calc!$AK$3:$AK$22,I70))/(INDEX(Calc!$AK$3:$AK$22,I70+1)-INDEX(Calc!$AK$3:$AK$22,I70)))^3-2*((G70-INDEX(Calc!$AK$3:$AK$22,I70))/(INDEX(Calc!$AK$3:$AK$22,I70+1)-INDEX(Calc!$AK$3:$AK$22,I70)))^2+((G70-INDEX(Calc!$AK$3:$AK$22,I70))/(INDEX(Calc!$AK$3:$AK$22,I70+1)-INDEX(Calc!$AK$3:$AK$22,I70))))*(INDEX(Calc!$AK$3:$AK$22,I70+1)-INDEX(Calc!$AK$3:$AK$22,I70))*INDEX(Calc!$AP$3:$AP$22,I70)+(-2*((G70-INDEX(Calc!$AK$3:$AK$22,I70))/(INDEX(Calc!$AK$3:$AK$22,I70+1)-INDEX(Calc!$AK$3:$AK$22,I70)))^3+3*((G70-INDEX(Calc!$AK$3:$AK$22,I70))/(INDEX(Calc!$AK$3:$AK$22,I70+1)-INDEX(Calc!$AK$3:$AK$22,I70)))^2)*INDEX(Calc!$AL$3:$AL$22,I70+1)+(((G70-INDEX(Calc!$AK$3:$AK$22,I70))/(INDEX(Calc!$AK$3:$AK$22,I70+1)-INDEX(Calc!$AK$3:$AK$22,I70)))^3-((G70-INDEX(Calc!$AK$3:$AK$22,I70))/(INDEX(Calc!$AK$3:$AK$22,I70+1)-INDEX(Calc!$AK$3:$AK$22,I70)))^2)*(INDEX(Calc!$AK$3:$AK$22,I70+1)-INDEX(Calc!$AK$3:$AK$22,I70))*INDEX(Calc!$AQ$3:$AQ$22,I70),NA())</f>
        <v/>
      </c>
      <c r="I70">
        <f>IF(AND(k_gluOn,k_ng&gt;=2),MIN(k_ng-1,MAX(1,MATCH(G70,Calc!$AK$3:INDEX(Calc!$AK$3:$AK$22,k_ng),1))),1)</f>
        <v/>
      </c>
    </row>
    <row r="71">
      <c r="A71">
        <f>IF(k_ok,Grid!$B$342,NA())</f>
        <v/>
      </c>
      <c r="B71">
        <f>IF(k_ok,Grid!$Q$342,NA())</f>
        <v/>
      </c>
      <c r="C71">
        <f>IF(k_hrok,k_h0+k_h1*E71+k_h2*E71^2,NA())</f>
        <v/>
      </c>
      <c r="D71">
        <f>IF(k_ok,Grid!$Q$342/Grid!$B$342,NA())</f>
        <v/>
      </c>
      <c r="E71">
        <f>IF(k_hrok,k_hx0+(k_hx1-k_hx0)*68/200,NA())</f>
        <v/>
      </c>
      <c r="G71">
        <f>IF(AND(k_gluOn,k_ng&gt;=2),Calc!$AK$3+(INDEX(Calc!$AK$3:$AK$22,k_ng)-Calc!$AK$3)*68/200,NA())</f>
        <v/>
      </c>
      <c r="H71">
        <f>IF(AND(k_gluOn,k_ng&gt;=2),(2*((G71-INDEX(Calc!$AK$3:$AK$22,I71))/(INDEX(Calc!$AK$3:$AK$22,I71+1)-INDEX(Calc!$AK$3:$AK$22,I71)))^3-3*((G71-INDEX(Calc!$AK$3:$AK$22,I71))/(INDEX(Calc!$AK$3:$AK$22,I71+1)-INDEX(Calc!$AK$3:$AK$22,I71)))^2+1)*INDEX(Calc!$AL$3:$AL$22,I71)+(((G71-INDEX(Calc!$AK$3:$AK$22,I71))/(INDEX(Calc!$AK$3:$AK$22,I71+1)-INDEX(Calc!$AK$3:$AK$22,I71)))^3-2*((G71-INDEX(Calc!$AK$3:$AK$22,I71))/(INDEX(Calc!$AK$3:$AK$22,I71+1)-INDEX(Calc!$AK$3:$AK$22,I71)))^2+((G71-INDEX(Calc!$AK$3:$AK$22,I71))/(INDEX(Calc!$AK$3:$AK$22,I71+1)-INDEX(Calc!$AK$3:$AK$22,I71))))*(INDEX(Calc!$AK$3:$AK$22,I71+1)-INDEX(Calc!$AK$3:$AK$22,I71))*INDEX(Calc!$AP$3:$AP$22,I71)+(-2*((G71-INDEX(Calc!$AK$3:$AK$22,I71))/(INDEX(Calc!$AK$3:$AK$22,I71+1)-INDEX(Calc!$AK$3:$AK$22,I71)))^3+3*((G71-INDEX(Calc!$AK$3:$AK$22,I71))/(INDEX(Calc!$AK$3:$AK$22,I71+1)-INDEX(Calc!$AK$3:$AK$22,I71)))^2)*INDEX(Calc!$AL$3:$AL$22,I71+1)+(((G71-INDEX(Calc!$AK$3:$AK$22,I71))/(INDEX(Calc!$AK$3:$AK$22,I71+1)-INDEX(Calc!$AK$3:$AK$22,I71)))^3-((G71-INDEX(Calc!$AK$3:$AK$22,I71))/(INDEX(Calc!$AK$3:$AK$22,I71+1)-INDEX(Calc!$AK$3:$AK$22,I71)))^2)*(INDEX(Calc!$AK$3:$AK$22,I71+1)-INDEX(Calc!$AK$3:$AK$22,I71))*INDEX(Calc!$AQ$3:$AQ$22,I71),NA())</f>
        <v/>
      </c>
      <c r="I71">
        <f>IF(AND(k_gluOn,k_ng&gt;=2),MIN(k_ng-1,MAX(1,MATCH(G71,Calc!$AK$3:INDEX(Calc!$AK$3:$AK$22,k_ng),1))),1)</f>
        <v/>
      </c>
    </row>
    <row r="72">
      <c r="A72">
        <f>IF(k_ok,Grid!$B$347,NA())</f>
        <v/>
      </c>
      <c r="B72">
        <f>IF(k_ok,Grid!$Q$347,NA())</f>
        <v/>
      </c>
      <c r="C72">
        <f>IF(k_hrok,k_h0+k_h1*E72+k_h2*E72^2,NA())</f>
        <v/>
      </c>
      <c r="D72">
        <f>IF(k_ok,Grid!$Q$347/Grid!$B$347,NA())</f>
        <v/>
      </c>
      <c r="E72">
        <f>IF(k_hrok,k_hx0+(k_hx1-k_hx0)*69/200,NA())</f>
        <v/>
      </c>
      <c r="G72">
        <f>IF(AND(k_gluOn,k_ng&gt;=2),Calc!$AK$3+(INDEX(Calc!$AK$3:$AK$22,k_ng)-Calc!$AK$3)*69/200,NA())</f>
        <v/>
      </c>
      <c r="H72">
        <f>IF(AND(k_gluOn,k_ng&gt;=2),(2*((G72-INDEX(Calc!$AK$3:$AK$22,I72))/(INDEX(Calc!$AK$3:$AK$22,I72+1)-INDEX(Calc!$AK$3:$AK$22,I72)))^3-3*((G72-INDEX(Calc!$AK$3:$AK$22,I72))/(INDEX(Calc!$AK$3:$AK$22,I72+1)-INDEX(Calc!$AK$3:$AK$22,I72)))^2+1)*INDEX(Calc!$AL$3:$AL$22,I72)+(((G72-INDEX(Calc!$AK$3:$AK$22,I72))/(INDEX(Calc!$AK$3:$AK$22,I72+1)-INDEX(Calc!$AK$3:$AK$22,I72)))^3-2*((G72-INDEX(Calc!$AK$3:$AK$22,I72))/(INDEX(Calc!$AK$3:$AK$22,I72+1)-INDEX(Calc!$AK$3:$AK$22,I72)))^2+((G72-INDEX(Calc!$AK$3:$AK$22,I72))/(INDEX(Calc!$AK$3:$AK$22,I72+1)-INDEX(Calc!$AK$3:$AK$22,I72))))*(INDEX(Calc!$AK$3:$AK$22,I72+1)-INDEX(Calc!$AK$3:$AK$22,I72))*INDEX(Calc!$AP$3:$AP$22,I72)+(-2*((G72-INDEX(Calc!$AK$3:$AK$22,I72))/(INDEX(Calc!$AK$3:$AK$22,I72+1)-INDEX(Calc!$AK$3:$AK$22,I72)))^3+3*((G72-INDEX(Calc!$AK$3:$AK$22,I72))/(INDEX(Calc!$AK$3:$AK$22,I72+1)-INDEX(Calc!$AK$3:$AK$22,I72)))^2)*INDEX(Calc!$AL$3:$AL$22,I72+1)+(((G72-INDEX(Calc!$AK$3:$AK$22,I72))/(INDEX(Calc!$AK$3:$AK$22,I72+1)-INDEX(Calc!$AK$3:$AK$22,I72)))^3-((G72-INDEX(Calc!$AK$3:$AK$22,I72))/(INDEX(Calc!$AK$3:$AK$22,I72+1)-INDEX(Calc!$AK$3:$AK$22,I72)))^2)*(INDEX(Calc!$AK$3:$AK$22,I72+1)-INDEX(Calc!$AK$3:$AK$22,I72))*INDEX(Calc!$AQ$3:$AQ$22,I72),NA())</f>
        <v/>
      </c>
      <c r="I72">
        <f>IF(AND(k_gluOn,k_ng&gt;=2),MIN(k_ng-1,MAX(1,MATCH(G72,Calc!$AK$3:INDEX(Calc!$AK$3:$AK$22,k_ng),1))),1)</f>
        <v/>
      </c>
    </row>
    <row r="73">
      <c r="A73">
        <f>IF(k_ok,Grid!$B$352,NA())</f>
        <v/>
      </c>
      <c r="B73">
        <f>IF(k_ok,Grid!$Q$352,NA())</f>
        <v/>
      </c>
      <c r="C73">
        <f>IF(k_hrok,k_h0+k_h1*E73+k_h2*E73^2,NA())</f>
        <v/>
      </c>
      <c r="D73">
        <f>IF(k_ok,Grid!$Q$352/Grid!$B$352,NA())</f>
        <v/>
      </c>
      <c r="E73">
        <f>IF(k_hrok,k_hx0+(k_hx1-k_hx0)*70/200,NA())</f>
        <v/>
      </c>
      <c r="G73">
        <f>IF(AND(k_gluOn,k_ng&gt;=2),Calc!$AK$3+(INDEX(Calc!$AK$3:$AK$22,k_ng)-Calc!$AK$3)*70/200,NA())</f>
        <v/>
      </c>
      <c r="H73">
        <f>IF(AND(k_gluOn,k_ng&gt;=2),(2*((G73-INDEX(Calc!$AK$3:$AK$22,I73))/(INDEX(Calc!$AK$3:$AK$22,I73+1)-INDEX(Calc!$AK$3:$AK$22,I73)))^3-3*((G73-INDEX(Calc!$AK$3:$AK$22,I73))/(INDEX(Calc!$AK$3:$AK$22,I73+1)-INDEX(Calc!$AK$3:$AK$22,I73)))^2+1)*INDEX(Calc!$AL$3:$AL$22,I73)+(((G73-INDEX(Calc!$AK$3:$AK$22,I73))/(INDEX(Calc!$AK$3:$AK$22,I73+1)-INDEX(Calc!$AK$3:$AK$22,I73)))^3-2*((G73-INDEX(Calc!$AK$3:$AK$22,I73))/(INDEX(Calc!$AK$3:$AK$22,I73+1)-INDEX(Calc!$AK$3:$AK$22,I73)))^2+((G73-INDEX(Calc!$AK$3:$AK$22,I73))/(INDEX(Calc!$AK$3:$AK$22,I73+1)-INDEX(Calc!$AK$3:$AK$22,I73))))*(INDEX(Calc!$AK$3:$AK$22,I73+1)-INDEX(Calc!$AK$3:$AK$22,I73))*INDEX(Calc!$AP$3:$AP$22,I73)+(-2*((G73-INDEX(Calc!$AK$3:$AK$22,I73))/(INDEX(Calc!$AK$3:$AK$22,I73+1)-INDEX(Calc!$AK$3:$AK$22,I73)))^3+3*((G73-INDEX(Calc!$AK$3:$AK$22,I73))/(INDEX(Calc!$AK$3:$AK$22,I73+1)-INDEX(Calc!$AK$3:$AK$22,I73)))^2)*INDEX(Calc!$AL$3:$AL$22,I73+1)+(((G73-INDEX(Calc!$AK$3:$AK$22,I73))/(INDEX(Calc!$AK$3:$AK$22,I73+1)-INDEX(Calc!$AK$3:$AK$22,I73)))^3-((G73-INDEX(Calc!$AK$3:$AK$22,I73))/(INDEX(Calc!$AK$3:$AK$22,I73+1)-INDEX(Calc!$AK$3:$AK$22,I73)))^2)*(INDEX(Calc!$AK$3:$AK$22,I73+1)-INDEX(Calc!$AK$3:$AK$22,I73))*INDEX(Calc!$AQ$3:$AQ$22,I73),NA())</f>
        <v/>
      </c>
      <c r="I73">
        <f>IF(AND(k_gluOn,k_ng&gt;=2),MIN(k_ng-1,MAX(1,MATCH(G73,Calc!$AK$3:INDEX(Calc!$AK$3:$AK$22,k_ng),1))),1)</f>
        <v/>
      </c>
    </row>
    <row r="74">
      <c r="A74">
        <f>IF(k_ok,Grid!$B$357,NA())</f>
        <v/>
      </c>
      <c r="B74">
        <f>IF(k_ok,Grid!$Q$357,NA())</f>
        <v/>
      </c>
      <c r="C74">
        <f>IF(k_hrok,k_h0+k_h1*E74+k_h2*E74^2,NA())</f>
        <v/>
      </c>
      <c r="D74">
        <f>IF(k_ok,Grid!$Q$357/Grid!$B$357,NA())</f>
        <v/>
      </c>
      <c r="E74">
        <f>IF(k_hrok,k_hx0+(k_hx1-k_hx0)*71/200,NA())</f>
        <v/>
      </c>
      <c r="G74">
        <f>IF(AND(k_gluOn,k_ng&gt;=2),Calc!$AK$3+(INDEX(Calc!$AK$3:$AK$22,k_ng)-Calc!$AK$3)*71/200,NA())</f>
        <v/>
      </c>
      <c r="H74">
        <f>IF(AND(k_gluOn,k_ng&gt;=2),(2*((G74-INDEX(Calc!$AK$3:$AK$22,I74))/(INDEX(Calc!$AK$3:$AK$22,I74+1)-INDEX(Calc!$AK$3:$AK$22,I74)))^3-3*((G74-INDEX(Calc!$AK$3:$AK$22,I74))/(INDEX(Calc!$AK$3:$AK$22,I74+1)-INDEX(Calc!$AK$3:$AK$22,I74)))^2+1)*INDEX(Calc!$AL$3:$AL$22,I74)+(((G74-INDEX(Calc!$AK$3:$AK$22,I74))/(INDEX(Calc!$AK$3:$AK$22,I74+1)-INDEX(Calc!$AK$3:$AK$22,I74)))^3-2*((G74-INDEX(Calc!$AK$3:$AK$22,I74))/(INDEX(Calc!$AK$3:$AK$22,I74+1)-INDEX(Calc!$AK$3:$AK$22,I74)))^2+((G74-INDEX(Calc!$AK$3:$AK$22,I74))/(INDEX(Calc!$AK$3:$AK$22,I74+1)-INDEX(Calc!$AK$3:$AK$22,I74))))*(INDEX(Calc!$AK$3:$AK$22,I74+1)-INDEX(Calc!$AK$3:$AK$22,I74))*INDEX(Calc!$AP$3:$AP$22,I74)+(-2*((G74-INDEX(Calc!$AK$3:$AK$22,I74))/(INDEX(Calc!$AK$3:$AK$22,I74+1)-INDEX(Calc!$AK$3:$AK$22,I74)))^3+3*((G74-INDEX(Calc!$AK$3:$AK$22,I74))/(INDEX(Calc!$AK$3:$AK$22,I74+1)-INDEX(Calc!$AK$3:$AK$22,I74)))^2)*INDEX(Calc!$AL$3:$AL$22,I74+1)+(((G74-INDEX(Calc!$AK$3:$AK$22,I74))/(INDEX(Calc!$AK$3:$AK$22,I74+1)-INDEX(Calc!$AK$3:$AK$22,I74)))^3-((G74-INDEX(Calc!$AK$3:$AK$22,I74))/(INDEX(Calc!$AK$3:$AK$22,I74+1)-INDEX(Calc!$AK$3:$AK$22,I74)))^2)*(INDEX(Calc!$AK$3:$AK$22,I74+1)-INDEX(Calc!$AK$3:$AK$22,I74))*INDEX(Calc!$AQ$3:$AQ$22,I74),NA())</f>
        <v/>
      </c>
      <c r="I74">
        <f>IF(AND(k_gluOn,k_ng&gt;=2),MIN(k_ng-1,MAX(1,MATCH(G74,Calc!$AK$3:INDEX(Calc!$AK$3:$AK$22,k_ng),1))),1)</f>
        <v/>
      </c>
    </row>
    <row r="75">
      <c r="A75">
        <f>IF(k_ok,Grid!$B$362,NA())</f>
        <v/>
      </c>
      <c r="B75">
        <f>IF(k_ok,Grid!$Q$362,NA())</f>
        <v/>
      </c>
      <c r="C75">
        <f>IF(k_hrok,k_h0+k_h1*E75+k_h2*E75^2,NA())</f>
        <v/>
      </c>
      <c r="D75">
        <f>IF(k_ok,Grid!$Q$362/Grid!$B$362,NA())</f>
        <v/>
      </c>
      <c r="E75">
        <f>IF(k_hrok,k_hx0+(k_hx1-k_hx0)*72/200,NA())</f>
        <v/>
      </c>
      <c r="G75">
        <f>IF(AND(k_gluOn,k_ng&gt;=2),Calc!$AK$3+(INDEX(Calc!$AK$3:$AK$22,k_ng)-Calc!$AK$3)*72/200,NA())</f>
        <v/>
      </c>
      <c r="H75">
        <f>IF(AND(k_gluOn,k_ng&gt;=2),(2*((G75-INDEX(Calc!$AK$3:$AK$22,I75))/(INDEX(Calc!$AK$3:$AK$22,I75+1)-INDEX(Calc!$AK$3:$AK$22,I75)))^3-3*((G75-INDEX(Calc!$AK$3:$AK$22,I75))/(INDEX(Calc!$AK$3:$AK$22,I75+1)-INDEX(Calc!$AK$3:$AK$22,I75)))^2+1)*INDEX(Calc!$AL$3:$AL$22,I75)+(((G75-INDEX(Calc!$AK$3:$AK$22,I75))/(INDEX(Calc!$AK$3:$AK$22,I75+1)-INDEX(Calc!$AK$3:$AK$22,I75)))^3-2*((G75-INDEX(Calc!$AK$3:$AK$22,I75))/(INDEX(Calc!$AK$3:$AK$22,I75+1)-INDEX(Calc!$AK$3:$AK$22,I75)))^2+((G75-INDEX(Calc!$AK$3:$AK$22,I75))/(INDEX(Calc!$AK$3:$AK$22,I75+1)-INDEX(Calc!$AK$3:$AK$22,I75))))*(INDEX(Calc!$AK$3:$AK$22,I75+1)-INDEX(Calc!$AK$3:$AK$22,I75))*INDEX(Calc!$AP$3:$AP$22,I75)+(-2*((G75-INDEX(Calc!$AK$3:$AK$22,I75))/(INDEX(Calc!$AK$3:$AK$22,I75+1)-INDEX(Calc!$AK$3:$AK$22,I75)))^3+3*((G75-INDEX(Calc!$AK$3:$AK$22,I75))/(INDEX(Calc!$AK$3:$AK$22,I75+1)-INDEX(Calc!$AK$3:$AK$22,I75)))^2)*INDEX(Calc!$AL$3:$AL$22,I75+1)+(((G75-INDEX(Calc!$AK$3:$AK$22,I75))/(INDEX(Calc!$AK$3:$AK$22,I75+1)-INDEX(Calc!$AK$3:$AK$22,I75)))^3-((G75-INDEX(Calc!$AK$3:$AK$22,I75))/(INDEX(Calc!$AK$3:$AK$22,I75+1)-INDEX(Calc!$AK$3:$AK$22,I75)))^2)*(INDEX(Calc!$AK$3:$AK$22,I75+1)-INDEX(Calc!$AK$3:$AK$22,I75))*INDEX(Calc!$AQ$3:$AQ$22,I75),NA())</f>
        <v/>
      </c>
      <c r="I75">
        <f>IF(AND(k_gluOn,k_ng&gt;=2),MIN(k_ng-1,MAX(1,MATCH(G75,Calc!$AK$3:INDEX(Calc!$AK$3:$AK$22,k_ng),1))),1)</f>
        <v/>
      </c>
    </row>
    <row r="76">
      <c r="A76">
        <f>IF(k_ok,Grid!$B$367,NA())</f>
        <v/>
      </c>
      <c r="B76">
        <f>IF(k_ok,Grid!$Q$367,NA())</f>
        <v/>
      </c>
      <c r="C76">
        <f>IF(k_hrok,k_h0+k_h1*E76+k_h2*E76^2,NA())</f>
        <v/>
      </c>
      <c r="D76">
        <f>IF(k_ok,Grid!$Q$367/Grid!$B$367,NA())</f>
        <v/>
      </c>
      <c r="E76">
        <f>IF(k_hrok,k_hx0+(k_hx1-k_hx0)*73/200,NA())</f>
        <v/>
      </c>
      <c r="G76">
        <f>IF(AND(k_gluOn,k_ng&gt;=2),Calc!$AK$3+(INDEX(Calc!$AK$3:$AK$22,k_ng)-Calc!$AK$3)*73/200,NA())</f>
        <v/>
      </c>
      <c r="H76">
        <f>IF(AND(k_gluOn,k_ng&gt;=2),(2*((G76-INDEX(Calc!$AK$3:$AK$22,I76))/(INDEX(Calc!$AK$3:$AK$22,I76+1)-INDEX(Calc!$AK$3:$AK$22,I76)))^3-3*((G76-INDEX(Calc!$AK$3:$AK$22,I76))/(INDEX(Calc!$AK$3:$AK$22,I76+1)-INDEX(Calc!$AK$3:$AK$22,I76)))^2+1)*INDEX(Calc!$AL$3:$AL$22,I76)+(((G76-INDEX(Calc!$AK$3:$AK$22,I76))/(INDEX(Calc!$AK$3:$AK$22,I76+1)-INDEX(Calc!$AK$3:$AK$22,I76)))^3-2*((G76-INDEX(Calc!$AK$3:$AK$22,I76))/(INDEX(Calc!$AK$3:$AK$22,I76+1)-INDEX(Calc!$AK$3:$AK$22,I76)))^2+((G76-INDEX(Calc!$AK$3:$AK$22,I76))/(INDEX(Calc!$AK$3:$AK$22,I76+1)-INDEX(Calc!$AK$3:$AK$22,I76))))*(INDEX(Calc!$AK$3:$AK$22,I76+1)-INDEX(Calc!$AK$3:$AK$22,I76))*INDEX(Calc!$AP$3:$AP$22,I76)+(-2*((G76-INDEX(Calc!$AK$3:$AK$22,I76))/(INDEX(Calc!$AK$3:$AK$22,I76+1)-INDEX(Calc!$AK$3:$AK$22,I76)))^3+3*((G76-INDEX(Calc!$AK$3:$AK$22,I76))/(INDEX(Calc!$AK$3:$AK$22,I76+1)-INDEX(Calc!$AK$3:$AK$22,I76)))^2)*INDEX(Calc!$AL$3:$AL$22,I76+1)+(((G76-INDEX(Calc!$AK$3:$AK$22,I76))/(INDEX(Calc!$AK$3:$AK$22,I76+1)-INDEX(Calc!$AK$3:$AK$22,I76)))^3-((G76-INDEX(Calc!$AK$3:$AK$22,I76))/(INDEX(Calc!$AK$3:$AK$22,I76+1)-INDEX(Calc!$AK$3:$AK$22,I76)))^2)*(INDEX(Calc!$AK$3:$AK$22,I76+1)-INDEX(Calc!$AK$3:$AK$22,I76))*INDEX(Calc!$AQ$3:$AQ$22,I76),NA())</f>
        <v/>
      </c>
      <c r="I76">
        <f>IF(AND(k_gluOn,k_ng&gt;=2),MIN(k_ng-1,MAX(1,MATCH(G76,Calc!$AK$3:INDEX(Calc!$AK$3:$AK$22,k_ng),1))),1)</f>
        <v/>
      </c>
    </row>
    <row r="77">
      <c r="A77">
        <f>IF(k_ok,Grid!$B$372,NA())</f>
        <v/>
      </c>
      <c r="B77">
        <f>IF(k_ok,Grid!$Q$372,NA())</f>
        <v/>
      </c>
      <c r="C77">
        <f>IF(k_hrok,k_h0+k_h1*E77+k_h2*E77^2,NA())</f>
        <v/>
      </c>
      <c r="D77">
        <f>IF(k_ok,Grid!$Q$372/Grid!$B$372,NA())</f>
        <v/>
      </c>
      <c r="E77">
        <f>IF(k_hrok,k_hx0+(k_hx1-k_hx0)*74/200,NA())</f>
        <v/>
      </c>
      <c r="G77">
        <f>IF(AND(k_gluOn,k_ng&gt;=2),Calc!$AK$3+(INDEX(Calc!$AK$3:$AK$22,k_ng)-Calc!$AK$3)*74/200,NA())</f>
        <v/>
      </c>
      <c r="H77">
        <f>IF(AND(k_gluOn,k_ng&gt;=2),(2*((G77-INDEX(Calc!$AK$3:$AK$22,I77))/(INDEX(Calc!$AK$3:$AK$22,I77+1)-INDEX(Calc!$AK$3:$AK$22,I77)))^3-3*((G77-INDEX(Calc!$AK$3:$AK$22,I77))/(INDEX(Calc!$AK$3:$AK$22,I77+1)-INDEX(Calc!$AK$3:$AK$22,I77)))^2+1)*INDEX(Calc!$AL$3:$AL$22,I77)+(((G77-INDEX(Calc!$AK$3:$AK$22,I77))/(INDEX(Calc!$AK$3:$AK$22,I77+1)-INDEX(Calc!$AK$3:$AK$22,I77)))^3-2*((G77-INDEX(Calc!$AK$3:$AK$22,I77))/(INDEX(Calc!$AK$3:$AK$22,I77+1)-INDEX(Calc!$AK$3:$AK$22,I77)))^2+((G77-INDEX(Calc!$AK$3:$AK$22,I77))/(INDEX(Calc!$AK$3:$AK$22,I77+1)-INDEX(Calc!$AK$3:$AK$22,I77))))*(INDEX(Calc!$AK$3:$AK$22,I77+1)-INDEX(Calc!$AK$3:$AK$22,I77))*INDEX(Calc!$AP$3:$AP$22,I77)+(-2*((G77-INDEX(Calc!$AK$3:$AK$22,I77))/(INDEX(Calc!$AK$3:$AK$22,I77+1)-INDEX(Calc!$AK$3:$AK$22,I77)))^3+3*((G77-INDEX(Calc!$AK$3:$AK$22,I77))/(INDEX(Calc!$AK$3:$AK$22,I77+1)-INDEX(Calc!$AK$3:$AK$22,I77)))^2)*INDEX(Calc!$AL$3:$AL$22,I77+1)+(((G77-INDEX(Calc!$AK$3:$AK$22,I77))/(INDEX(Calc!$AK$3:$AK$22,I77+1)-INDEX(Calc!$AK$3:$AK$22,I77)))^3-((G77-INDEX(Calc!$AK$3:$AK$22,I77))/(INDEX(Calc!$AK$3:$AK$22,I77+1)-INDEX(Calc!$AK$3:$AK$22,I77)))^2)*(INDEX(Calc!$AK$3:$AK$22,I77+1)-INDEX(Calc!$AK$3:$AK$22,I77))*INDEX(Calc!$AQ$3:$AQ$22,I77),NA())</f>
        <v/>
      </c>
      <c r="I77">
        <f>IF(AND(k_gluOn,k_ng&gt;=2),MIN(k_ng-1,MAX(1,MATCH(G77,Calc!$AK$3:INDEX(Calc!$AK$3:$AK$22,k_ng),1))),1)</f>
        <v/>
      </c>
    </row>
    <row r="78">
      <c r="A78">
        <f>IF(k_ok,Grid!$B$377,NA())</f>
        <v/>
      </c>
      <c r="B78">
        <f>IF(k_ok,Grid!$Q$377,NA())</f>
        <v/>
      </c>
      <c r="C78">
        <f>IF(k_hrok,k_h0+k_h1*E78+k_h2*E78^2,NA())</f>
        <v/>
      </c>
      <c r="D78">
        <f>IF(k_ok,Grid!$Q$377/Grid!$B$377,NA())</f>
        <v/>
      </c>
      <c r="E78">
        <f>IF(k_hrok,k_hx0+(k_hx1-k_hx0)*75/200,NA())</f>
        <v/>
      </c>
      <c r="G78">
        <f>IF(AND(k_gluOn,k_ng&gt;=2),Calc!$AK$3+(INDEX(Calc!$AK$3:$AK$22,k_ng)-Calc!$AK$3)*75/200,NA())</f>
        <v/>
      </c>
      <c r="H78">
        <f>IF(AND(k_gluOn,k_ng&gt;=2),(2*((G78-INDEX(Calc!$AK$3:$AK$22,I78))/(INDEX(Calc!$AK$3:$AK$22,I78+1)-INDEX(Calc!$AK$3:$AK$22,I78)))^3-3*((G78-INDEX(Calc!$AK$3:$AK$22,I78))/(INDEX(Calc!$AK$3:$AK$22,I78+1)-INDEX(Calc!$AK$3:$AK$22,I78)))^2+1)*INDEX(Calc!$AL$3:$AL$22,I78)+(((G78-INDEX(Calc!$AK$3:$AK$22,I78))/(INDEX(Calc!$AK$3:$AK$22,I78+1)-INDEX(Calc!$AK$3:$AK$22,I78)))^3-2*((G78-INDEX(Calc!$AK$3:$AK$22,I78))/(INDEX(Calc!$AK$3:$AK$22,I78+1)-INDEX(Calc!$AK$3:$AK$22,I78)))^2+((G78-INDEX(Calc!$AK$3:$AK$22,I78))/(INDEX(Calc!$AK$3:$AK$22,I78+1)-INDEX(Calc!$AK$3:$AK$22,I78))))*(INDEX(Calc!$AK$3:$AK$22,I78+1)-INDEX(Calc!$AK$3:$AK$22,I78))*INDEX(Calc!$AP$3:$AP$22,I78)+(-2*((G78-INDEX(Calc!$AK$3:$AK$22,I78))/(INDEX(Calc!$AK$3:$AK$22,I78+1)-INDEX(Calc!$AK$3:$AK$22,I78)))^3+3*((G78-INDEX(Calc!$AK$3:$AK$22,I78))/(INDEX(Calc!$AK$3:$AK$22,I78+1)-INDEX(Calc!$AK$3:$AK$22,I78)))^2)*INDEX(Calc!$AL$3:$AL$22,I78+1)+(((G78-INDEX(Calc!$AK$3:$AK$22,I78))/(INDEX(Calc!$AK$3:$AK$22,I78+1)-INDEX(Calc!$AK$3:$AK$22,I78)))^3-((G78-INDEX(Calc!$AK$3:$AK$22,I78))/(INDEX(Calc!$AK$3:$AK$22,I78+1)-INDEX(Calc!$AK$3:$AK$22,I78)))^2)*(INDEX(Calc!$AK$3:$AK$22,I78+1)-INDEX(Calc!$AK$3:$AK$22,I78))*INDEX(Calc!$AQ$3:$AQ$22,I78),NA())</f>
        <v/>
      </c>
      <c r="I78">
        <f>IF(AND(k_gluOn,k_ng&gt;=2),MIN(k_ng-1,MAX(1,MATCH(G78,Calc!$AK$3:INDEX(Calc!$AK$3:$AK$22,k_ng),1))),1)</f>
        <v/>
      </c>
    </row>
    <row r="79">
      <c r="A79">
        <f>IF(k_ok,Grid!$B$382,NA())</f>
        <v/>
      </c>
      <c r="B79">
        <f>IF(k_ok,Grid!$Q$382,NA())</f>
        <v/>
      </c>
      <c r="C79">
        <f>IF(k_hrok,k_h0+k_h1*E79+k_h2*E79^2,NA())</f>
        <v/>
      </c>
      <c r="D79">
        <f>IF(k_ok,Grid!$Q$382/Grid!$B$382,NA())</f>
        <v/>
      </c>
      <c r="E79">
        <f>IF(k_hrok,k_hx0+(k_hx1-k_hx0)*76/200,NA())</f>
        <v/>
      </c>
      <c r="G79">
        <f>IF(AND(k_gluOn,k_ng&gt;=2),Calc!$AK$3+(INDEX(Calc!$AK$3:$AK$22,k_ng)-Calc!$AK$3)*76/200,NA())</f>
        <v/>
      </c>
      <c r="H79">
        <f>IF(AND(k_gluOn,k_ng&gt;=2),(2*((G79-INDEX(Calc!$AK$3:$AK$22,I79))/(INDEX(Calc!$AK$3:$AK$22,I79+1)-INDEX(Calc!$AK$3:$AK$22,I79)))^3-3*((G79-INDEX(Calc!$AK$3:$AK$22,I79))/(INDEX(Calc!$AK$3:$AK$22,I79+1)-INDEX(Calc!$AK$3:$AK$22,I79)))^2+1)*INDEX(Calc!$AL$3:$AL$22,I79)+(((G79-INDEX(Calc!$AK$3:$AK$22,I79))/(INDEX(Calc!$AK$3:$AK$22,I79+1)-INDEX(Calc!$AK$3:$AK$22,I79)))^3-2*((G79-INDEX(Calc!$AK$3:$AK$22,I79))/(INDEX(Calc!$AK$3:$AK$22,I79+1)-INDEX(Calc!$AK$3:$AK$22,I79)))^2+((G79-INDEX(Calc!$AK$3:$AK$22,I79))/(INDEX(Calc!$AK$3:$AK$22,I79+1)-INDEX(Calc!$AK$3:$AK$22,I79))))*(INDEX(Calc!$AK$3:$AK$22,I79+1)-INDEX(Calc!$AK$3:$AK$22,I79))*INDEX(Calc!$AP$3:$AP$22,I79)+(-2*((G79-INDEX(Calc!$AK$3:$AK$22,I79))/(INDEX(Calc!$AK$3:$AK$22,I79+1)-INDEX(Calc!$AK$3:$AK$22,I79)))^3+3*((G79-INDEX(Calc!$AK$3:$AK$22,I79))/(INDEX(Calc!$AK$3:$AK$22,I79+1)-INDEX(Calc!$AK$3:$AK$22,I79)))^2)*INDEX(Calc!$AL$3:$AL$22,I79+1)+(((G79-INDEX(Calc!$AK$3:$AK$22,I79))/(INDEX(Calc!$AK$3:$AK$22,I79+1)-INDEX(Calc!$AK$3:$AK$22,I79)))^3-((G79-INDEX(Calc!$AK$3:$AK$22,I79))/(INDEX(Calc!$AK$3:$AK$22,I79+1)-INDEX(Calc!$AK$3:$AK$22,I79)))^2)*(INDEX(Calc!$AK$3:$AK$22,I79+1)-INDEX(Calc!$AK$3:$AK$22,I79))*INDEX(Calc!$AQ$3:$AQ$22,I79),NA())</f>
        <v/>
      </c>
      <c r="I79">
        <f>IF(AND(k_gluOn,k_ng&gt;=2),MIN(k_ng-1,MAX(1,MATCH(G79,Calc!$AK$3:INDEX(Calc!$AK$3:$AK$22,k_ng),1))),1)</f>
        <v/>
      </c>
    </row>
    <row r="80">
      <c r="A80">
        <f>IF(k_ok,Grid!$B$387,NA())</f>
        <v/>
      </c>
      <c r="B80">
        <f>IF(k_ok,Grid!$Q$387,NA())</f>
        <v/>
      </c>
      <c r="C80">
        <f>IF(k_hrok,k_h0+k_h1*E80+k_h2*E80^2,NA())</f>
        <v/>
      </c>
      <c r="D80">
        <f>IF(k_ok,Grid!$Q$387/Grid!$B$387,NA())</f>
        <v/>
      </c>
      <c r="E80">
        <f>IF(k_hrok,k_hx0+(k_hx1-k_hx0)*77/200,NA())</f>
        <v/>
      </c>
      <c r="G80">
        <f>IF(AND(k_gluOn,k_ng&gt;=2),Calc!$AK$3+(INDEX(Calc!$AK$3:$AK$22,k_ng)-Calc!$AK$3)*77/200,NA())</f>
        <v/>
      </c>
      <c r="H80">
        <f>IF(AND(k_gluOn,k_ng&gt;=2),(2*((G80-INDEX(Calc!$AK$3:$AK$22,I80))/(INDEX(Calc!$AK$3:$AK$22,I80+1)-INDEX(Calc!$AK$3:$AK$22,I80)))^3-3*((G80-INDEX(Calc!$AK$3:$AK$22,I80))/(INDEX(Calc!$AK$3:$AK$22,I80+1)-INDEX(Calc!$AK$3:$AK$22,I80)))^2+1)*INDEX(Calc!$AL$3:$AL$22,I80)+(((G80-INDEX(Calc!$AK$3:$AK$22,I80))/(INDEX(Calc!$AK$3:$AK$22,I80+1)-INDEX(Calc!$AK$3:$AK$22,I80)))^3-2*((G80-INDEX(Calc!$AK$3:$AK$22,I80))/(INDEX(Calc!$AK$3:$AK$22,I80+1)-INDEX(Calc!$AK$3:$AK$22,I80)))^2+((G80-INDEX(Calc!$AK$3:$AK$22,I80))/(INDEX(Calc!$AK$3:$AK$22,I80+1)-INDEX(Calc!$AK$3:$AK$22,I80))))*(INDEX(Calc!$AK$3:$AK$22,I80+1)-INDEX(Calc!$AK$3:$AK$22,I80))*INDEX(Calc!$AP$3:$AP$22,I80)+(-2*((G80-INDEX(Calc!$AK$3:$AK$22,I80))/(INDEX(Calc!$AK$3:$AK$22,I80+1)-INDEX(Calc!$AK$3:$AK$22,I80)))^3+3*((G80-INDEX(Calc!$AK$3:$AK$22,I80))/(INDEX(Calc!$AK$3:$AK$22,I80+1)-INDEX(Calc!$AK$3:$AK$22,I80)))^2)*INDEX(Calc!$AL$3:$AL$22,I80+1)+(((G80-INDEX(Calc!$AK$3:$AK$22,I80))/(INDEX(Calc!$AK$3:$AK$22,I80+1)-INDEX(Calc!$AK$3:$AK$22,I80)))^3-((G80-INDEX(Calc!$AK$3:$AK$22,I80))/(INDEX(Calc!$AK$3:$AK$22,I80+1)-INDEX(Calc!$AK$3:$AK$22,I80)))^2)*(INDEX(Calc!$AK$3:$AK$22,I80+1)-INDEX(Calc!$AK$3:$AK$22,I80))*INDEX(Calc!$AQ$3:$AQ$22,I80),NA())</f>
        <v/>
      </c>
      <c r="I80">
        <f>IF(AND(k_gluOn,k_ng&gt;=2),MIN(k_ng-1,MAX(1,MATCH(G80,Calc!$AK$3:INDEX(Calc!$AK$3:$AK$22,k_ng),1))),1)</f>
        <v/>
      </c>
    </row>
    <row r="81">
      <c r="A81">
        <f>IF(k_ok,Grid!$B$392,NA())</f>
        <v/>
      </c>
      <c r="B81">
        <f>IF(k_ok,Grid!$Q$392,NA())</f>
        <v/>
      </c>
      <c r="C81">
        <f>IF(k_hrok,k_h0+k_h1*E81+k_h2*E81^2,NA())</f>
        <v/>
      </c>
      <c r="D81">
        <f>IF(k_ok,Grid!$Q$392/Grid!$B$392,NA())</f>
        <v/>
      </c>
      <c r="E81">
        <f>IF(k_hrok,k_hx0+(k_hx1-k_hx0)*78/200,NA())</f>
        <v/>
      </c>
      <c r="G81">
        <f>IF(AND(k_gluOn,k_ng&gt;=2),Calc!$AK$3+(INDEX(Calc!$AK$3:$AK$22,k_ng)-Calc!$AK$3)*78/200,NA())</f>
        <v/>
      </c>
      <c r="H81">
        <f>IF(AND(k_gluOn,k_ng&gt;=2),(2*((G81-INDEX(Calc!$AK$3:$AK$22,I81))/(INDEX(Calc!$AK$3:$AK$22,I81+1)-INDEX(Calc!$AK$3:$AK$22,I81)))^3-3*((G81-INDEX(Calc!$AK$3:$AK$22,I81))/(INDEX(Calc!$AK$3:$AK$22,I81+1)-INDEX(Calc!$AK$3:$AK$22,I81)))^2+1)*INDEX(Calc!$AL$3:$AL$22,I81)+(((G81-INDEX(Calc!$AK$3:$AK$22,I81))/(INDEX(Calc!$AK$3:$AK$22,I81+1)-INDEX(Calc!$AK$3:$AK$22,I81)))^3-2*((G81-INDEX(Calc!$AK$3:$AK$22,I81))/(INDEX(Calc!$AK$3:$AK$22,I81+1)-INDEX(Calc!$AK$3:$AK$22,I81)))^2+((G81-INDEX(Calc!$AK$3:$AK$22,I81))/(INDEX(Calc!$AK$3:$AK$22,I81+1)-INDEX(Calc!$AK$3:$AK$22,I81))))*(INDEX(Calc!$AK$3:$AK$22,I81+1)-INDEX(Calc!$AK$3:$AK$22,I81))*INDEX(Calc!$AP$3:$AP$22,I81)+(-2*((G81-INDEX(Calc!$AK$3:$AK$22,I81))/(INDEX(Calc!$AK$3:$AK$22,I81+1)-INDEX(Calc!$AK$3:$AK$22,I81)))^3+3*((G81-INDEX(Calc!$AK$3:$AK$22,I81))/(INDEX(Calc!$AK$3:$AK$22,I81+1)-INDEX(Calc!$AK$3:$AK$22,I81)))^2)*INDEX(Calc!$AL$3:$AL$22,I81+1)+(((G81-INDEX(Calc!$AK$3:$AK$22,I81))/(INDEX(Calc!$AK$3:$AK$22,I81+1)-INDEX(Calc!$AK$3:$AK$22,I81)))^3-((G81-INDEX(Calc!$AK$3:$AK$22,I81))/(INDEX(Calc!$AK$3:$AK$22,I81+1)-INDEX(Calc!$AK$3:$AK$22,I81)))^2)*(INDEX(Calc!$AK$3:$AK$22,I81+1)-INDEX(Calc!$AK$3:$AK$22,I81))*INDEX(Calc!$AQ$3:$AQ$22,I81),NA())</f>
        <v/>
      </c>
      <c r="I81">
        <f>IF(AND(k_gluOn,k_ng&gt;=2),MIN(k_ng-1,MAX(1,MATCH(G81,Calc!$AK$3:INDEX(Calc!$AK$3:$AK$22,k_ng),1))),1)</f>
        <v/>
      </c>
    </row>
    <row r="82">
      <c r="A82">
        <f>IF(k_ok,Grid!$B$397,NA())</f>
        <v/>
      </c>
      <c r="B82">
        <f>IF(k_ok,Grid!$Q$397,NA())</f>
        <v/>
      </c>
      <c r="C82">
        <f>IF(k_hrok,k_h0+k_h1*E82+k_h2*E82^2,NA())</f>
        <v/>
      </c>
      <c r="D82">
        <f>IF(k_ok,Grid!$Q$397/Grid!$B$397,NA())</f>
        <v/>
      </c>
      <c r="E82">
        <f>IF(k_hrok,k_hx0+(k_hx1-k_hx0)*79/200,NA())</f>
        <v/>
      </c>
      <c r="G82">
        <f>IF(AND(k_gluOn,k_ng&gt;=2),Calc!$AK$3+(INDEX(Calc!$AK$3:$AK$22,k_ng)-Calc!$AK$3)*79/200,NA())</f>
        <v/>
      </c>
      <c r="H82">
        <f>IF(AND(k_gluOn,k_ng&gt;=2),(2*((G82-INDEX(Calc!$AK$3:$AK$22,I82))/(INDEX(Calc!$AK$3:$AK$22,I82+1)-INDEX(Calc!$AK$3:$AK$22,I82)))^3-3*((G82-INDEX(Calc!$AK$3:$AK$22,I82))/(INDEX(Calc!$AK$3:$AK$22,I82+1)-INDEX(Calc!$AK$3:$AK$22,I82)))^2+1)*INDEX(Calc!$AL$3:$AL$22,I82)+(((G82-INDEX(Calc!$AK$3:$AK$22,I82))/(INDEX(Calc!$AK$3:$AK$22,I82+1)-INDEX(Calc!$AK$3:$AK$22,I82)))^3-2*((G82-INDEX(Calc!$AK$3:$AK$22,I82))/(INDEX(Calc!$AK$3:$AK$22,I82+1)-INDEX(Calc!$AK$3:$AK$22,I82)))^2+((G82-INDEX(Calc!$AK$3:$AK$22,I82))/(INDEX(Calc!$AK$3:$AK$22,I82+1)-INDEX(Calc!$AK$3:$AK$22,I82))))*(INDEX(Calc!$AK$3:$AK$22,I82+1)-INDEX(Calc!$AK$3:$AK$22,I82))*INDEX(Calc!$AP$3:$AP$22,I82)+(-2*((G82-INDEX(Calc!$AK$3:$AK$22,I82))/(INDEX(Calc!$AK$3:$AK$22,I82+1)-INDEX(Calc!$AK$3:$AK$22,I82)))^3+3*((G82-INDEX(Calc!$AK$3:$AK$22,I82))/(INDEX(Calc!$AK$3:$AK$22,I82+1)-INDEX(Calc!$AK$3:$AK$22,I82)))^2)*INDEX(Calc!$AL$3:$AL$22,I82+1)+(((G82-INDEX(Calc!$AK$3:$AK$22,I82))/(INDEX(Calc!$AK$3:$AK$22,I82+1)-INDEX(Calc!$AK$3:$AK$22,I82)))^3-((G82-INDEX(Calc!$AK$3:$AK$22,I82))/(INDEX(Calc!$AK$3:$AK$22,I82+1)-INDEX(Calc!$AK$3:$AK$22,I82)))^2)*(INDEX(Calc!$AK$3:$AK$22,I82+1)-INDEX(Calc!$AK$3:$AK$22,I82))*INDEX(Calc!$AQ$3:$AQ$22,I82),NA())</f>
        <v/>
      </c>
      <c r="I82">
        <f>IF(AND(k_gluOn,k_ng&gt;=2),MIN(k_ng-1,MAX(1,MATCH(G82,Calc!$AK$3:INDEX(Calc!$AK$3:$AK$22,k_ng),1))),1)</f>
        <v/>
      </c>
    </row>
    <row r="83">
      <c r="A83">
        <f>IF(k_ok,Grid!$B$402,NA())</f>
        <v/>
      </c>
      <c r="B83">
        <f>IF(k_ok,Grid!$Q$402,NA())</f>
        <v/>
      </c>
      <c r="C83">
        <f>IF(k_hrok,k_h0+k_h1*E83+k_h2*E83^2,NA())</f>
        <v/>
      </c>
      <c r="D83">
        <f>IF(k_ok,Grid!$Q$402/Grid!$B$402,NA())</f>
        <v/>
      </c>
      <c r="E83">
        <f>IF(k_hrok,k_hx0+(k_hx1-k_hx0)*80/200,NA())</f>
        <v/>
      </c>
      <c r="G83">
        <f>IF(AND(k_gluOn,k_ng&gt;=2),Calc!$AK$3+(INDEX(Calc!$AK$3:$AK$22,k_ng)-Calc!$AK$3)*80/200,NA())</f>
        <v/>
      </c>
      <c r="H83">
        <f>IF(AND(k_gluOn,k_ng&gt;=2),(2*((G83-INDEX(Calc!$AK$3:$AK$22,I83))/(INDEX(Calc!$AK$3:$AK$22,I83+1)-INDEX(Calc!$AK$3:$AK$22,I83)))^3-3*((G83-INDEX(Calc!$AK$3:$AK$22,I83))/(INDEX(Calc!$AK$3:$AK$22,I83+1)-INDEX(Calc!$AK$3:$AK$22,I83)))^2+1)*INDEX(Calc!$AL$3:$AL$22,I83)+(((G83-INDEX(Calc!$AK$3:$AK$22,I83))/(INDEX(Calc!$AK$3:$AK$22,I83+1)-INDEX(Calc!$AK$3:$AK$22,I83)))^3-2*((G83-INDEX(Calc!$AK$3:$AK$22,I83))/(INDEX(Calc!$AK$3:$AK$22,I83+1)-INDEX(Calc!$AK$3:$AK$22,I83)))^2+((G83-INDEX(Calc!$AK$3:$AK$22,I83))/(INDEX(Calc!$AK$3:$AK$22,I83+1)-INDEX(Calc!$AK$3:$AK$22,I83))))*(INDEX(Calc!$AK$3:$AK$22,I83+1)-INDEX(Calc!$AK$3:$AK$22,I83))*INDEX(Calc!$AP$3:$AP$22,I83)+(-2*((G83-INDEX(Calc!$AK$3:$AK$22,I83))/(INDEX(Calc!$AK$3:$AK$22,I83+1)-INDEX(Calc!$AK$3:$AK$22,I83)))^3+3*((G83-INDEX(Calc!$AK$3:$AK$22,I83))/(INDEX(Calc!$AK$3:$AK$22,I83+1)-INDEX(Calc!$AK$3:$AK$22,I83)))^2)*INDEX(Calc!$AL$3:$AL$22,I83+1)+(((G83-INDEX(Calc!$AK$3:$AK$22,I83))/(INDEX(Calc!$AK$3:$AK$22,I83+1)-INDEX(Calc!$AK$3:$AK$22,I83)))^3-((G83-INDEX(Calc!$AK$3:$AK$22,I83))/(INDEX(Calc!$AK$3:$AK$22,I83+1)-INDEX(Calc!$AK$3:$AK$22,I83)))^2)*(INDEX(Calc!$AK$3:$AK$22,I83+1)-INDEX(Calc!$AK$3:$AK$22,I83))*INDEX(Calc!$AQ$3:$AQ$22,I83),NA())</f>
        <v/>
      </c>
      <c r="I83">
        <f>IF(AND(k_gluOn,k_ng&gt;=2),MIN(k_ng-1,MAX(1,MATCH(G83,Calc!$AK$3:INDEX(Calc!$AK$3:$AK$22,k_ng),1))),1)</f>
        <v/>
      </c>
    </row>
    <row r="84">
      <c r="A84">
        <f>IF(k_ok,Grid!$B$407,NA())</f>
        <v/>
      </c>
      <c r="B84">
        <f>IF(k_ok,Grid!$Q$407,NA())</f>
        <v/>
      </c>
      <c r="C84">
        <f>IF(k_hrok,k_h0+k_h1*E84+k_h2*E84^2,NA())</f>
        <v/>
      </c>
      <c r="D84">
        <f>IF(k_ok,Grid!$Q$407/Grid!$B$407,NA())</f>
        <v/>
      </c>
      <c r="E84">
        <f>IF(k_hrok,k_hx0+(k_hx1-k_hx0)*81/200,NA())</f>
        <v/>
      </c>
      <c r="G84">
        <f>IF(AND(k_gluOn,k_ng&gt;=2),Calc!$AK$3+(INDEX(Calc!$AK$3:$AK$22,k_ng)-Calc!$AK$3)*81/200,NA())</f>
        <v/>
      </c>
      <c r="H84">
        <f>IF(AND(k_gluOn,k_ng&gt;=2),(2*((G84-INDEX(Calc!$AK$3:$AK$22,I84))/(INDEX(Calc!$AK$3:$AK$22,I84+1)-INDEX(Calc!$AK$3:$AK$22,I84)))^3-3*((G84-INDEX(Calc!$AK$3:$AK$22,I84))/(INDEX(Calc!$AK$3:$AK$22,I84+1)-INDEX(Calc!$AK$3:$AK$22,I84)))^2+1)*INDEX(Calc!$AL$3:$AL$22,I84)+(((G84-INDEX(Calc!$AK$3:$AK$22,I84))/(INDEX(Calc!$AK$3:$AK$22,I84+1)-INDEX(Calc!$AK$3:$AK$22,I84)))^3-2*((G84-INDEX(Calc!$AK$3:$AK$22,I84))/(INDEX(Calc!$AK$3:$AK$22,I84+1)-INDEX(Calc!$AK$3:$AK$22,I84)))^2+((G84-INDEX(Calc!$AK$3:$AK$22,I84))/(INDEX(Calc!$AK$3:$AK$22,I84+1)-INDEX(Calc!$AK$3:$AK$22,I84))))*(INDEX(Calc!$AK$3:$AK$22,I84+1)-INDEX(Calc!$AK$3:$AK$22,I84))*INDEX(Calc!$AP$3:$AP$22,I84)+(-2*((G84-INDEX(Calc!$AK$3:$AK$22,I84))/(INDEX(Calc!$AK$3:$AK$22,I84+1)-INDEX(Calc!$AK$3:$AK$22,I84)))^3+3*((G84-INDEX(Calc!$AK$3:$AK$22,I84))/(INDEX(Calc!$AK$3:$AK$22,I84+1)-INDEX(Calc!$AK$3:$AK$22,I84)))^2)*INDEX(Calc!$AL$3:$AL$22,I84+1)+(((G84-INDEX(Calc!$AK$3:$AK$22,I84))/(INDEX(Calc!$AK$3:$AK$22,I84+1)-INDEX(Calc!$AK$3:$AK$22,I84)))^3-((G84-INDEX(Calc!$AK$3:$AK$22,I84))/(INDEX(Calc!$AK$3:$AK$22,I84+1)-INDEX(Calc!$AK$3:$AK$22,I84)))^2)*(INDEX(Calc!$AK$3:$AK$22,I84+1)-INDEX(Calc!$AK$3:$AK$22,I84))*INDEX(Calc!$AQ$3:$AQ$22,I84),NA())</f>
        <v/>
      </c>
      <c r="I84">
        <f>IF(AND(k_gluOn,k_ng&gt;=2),MIN(k_ng-1,MAX(1,MATCH(G84,Calc!$AK$3:INDEX(Calc!$AK$3:$AK$22,k_ng),1))),1)</f>
        <v/>
      </c>
    </row>
    <row r="85">
      <c r="A85">
        <f>IF(k_ok,Grid!$B$412,NA())</f>
        <v/>
      </c>
      <c r="B85">
        <f>IF(k_ok,Grid!$Q$412,NA())</f>
        <v/>
      </c>
      <c r="C85">
        <f>IF(k_hrok,k_h0+k_h1*E85+k_h2*E85^2,NA())</f>
        <v/>
      </c>
      <c r="D85">
        <f>IF(k_ok,Grid!$Q$412/Grid!$B$412,NA())</f>
        <v/>
      </c>
      <c r="E85">
        <f>IF(k_hrok,k_hx0+(k_hx1-k_hx0)*82/200,NA())</f>
        <v/>
      </c>
      <c r="G85">
        <f>IF(AND(k_gluOn,k_ng&gt;=2),Calc!$AK$3+(INDEX(Calc!$AK$3:$AK$22,k_ng)-Calc!$AK$3)*82/200,NA())</f>
        <v/>
      </c>
      <c r="H85">
        <f>IF(AND(k_gluOn,k_ng&gt;=2),(2*((G85-INDEX(Calc!$AK$3:$AK$22,I85))/(INDEX(Calc!$AK$3:$AK$22,I85+1)-INDEX(Calc!$AK$3:$AK$22,I85)))^3-3*((G85-INDEX(Calc!$AK$3:$AK$22,I85))/(INDEX(Calc!$AK$3:$AK$22,I85+1)-INDEX(Calc!$AK$3:$AK$22,I85)))^2+1)*INDEX(Calc!$AL$3:$AL$22,I85)+(((G85-INDEX(Calc!$AK$3:$AK$22,I85))/(INDEX(Calc!$AK$3:$AK$22,I85+1)-INDEX(Calc!$AK$3:$AK$22,I85)))^3-2*((G85-INDEX(Calc!$AK$3:$AK$22,I85))/(INDEX(Calc!$AK$3:$AK$22,I85+1)-INDEX(Calc!$AK$3:$AK$22,I85)))^2+((G85-INDEX(Calc!$AK$3:$AK$22,I85))/(INDEX(Calc!$AK$3:$AK$22,I85+1)-INDEX(Calc!$AK$3:$AK$22,I85))))*(INDEX(Calc!$AK$3:$AK$22,I85+1)-INDEX(Calc!$AK$3:$AK$22,I85))*INDEX(Calc!$AP$3:$AP$22,I85)+(-2*((G85-INDEX(Calc!$AK$3:$AK$22,I85))/(INDEX(Calc!$AK$3:$AK$22,I85+1)-INDEX(Calc!$AK$3:$AK$22,I85)))^3+3*((G85-INDEX(Calc!$AK$3:$AK$22,I85))/(INDEX(Calc!$AK$3:$AK$22,I85+1)-INDEX(Calc!$AK$3:$AK$22,I85)))^2)*INDEX(Calc!$AL$3:$AL$22,I85+1)+(((G85-INDEX(Calc!$AK$3:$AK$22,I85))/(INDEX(Calc!$AK$3:$AK$22,I85+1)-INDEX(Calc!$AK$3:$AK$22,I85)))^3-((G85-INDEX(Calc!$AK$3:$AK$22,I85))/(INDEX(Calc!$AK$3:$AK$22,I85+1)-INDEX(Calc!$AK$3:$AK$22,I85)))^2)*(INDEX(Calc!$AK$3:$AK$22,I85+1)-INDEX(Calc!$AK$3:$AK$22,I85))*INDEX(Calc!$AQ$3:$AQ$22,I85),NA())</f>
        <v/>
      </c>
      <c r="I85">
        <f>IF(AND(k_gluOn,k_ng&gt;=2),MIN(k_ng-1,MAX(1,MATCH(G85,Calc!$AK$3:INDEX(Calc!$AK$3:$AK$22,k_ng),1))),1)</f>
        <v/>
      </c>
    </row>
    <row r="86">
      <c r="A86">
        <f>IF(k_ok,Grid!$B$417,NA())</f>
        <v/>
      </c>
      <c r="B86">
        <f>IF(k_ok,Grid!$Q$417,NA())</f>
        <v/>
      </c>
      <c r="C86">
        <f>IF(k_hrok,k_h0+k_h1*E86+k_h2*E86^2,NA())</f>
        <v/>
      </c>
      <c r="D86">
        <f>IF(k_ok,Grid!$Q$417/Grid!$B$417,NA())</f>
        <v/>
      </c>
      <c r="E86">
        <f>IF(k_hrok,k_hx0+(k_hx1-k_hx0)*83/200,NA())</f>
        <v/>
      </c>
      <c r="G86">
        <f>IF(AND(k_gluOn,k_ng&gt;=2),Calc!$AK$3+(INDEX(Calc!$AK$3:$AK$22,k_ng)-Calc!$AK$3)*83/200,NA())</f>
        <v/>
      </c>
      <c r="H86">
        <f>IF(AND(k_gluOn,k_ng&gt;=2),(2*((G86-INDEX(Calc!$AK$3:$AK$22,I86))/(INDEX(Calc!$AK$3:$AK$22,I86+1)-INDEX(Calc!$AK$3:$AK$22,I86)))^3-3*((G86-INDEX(Calc!$AK$3:$AK$22,I86))/(INDEX(Calc!$AK$3:$AK$22,I86+1)-INDEX(Calc!$AK$3:$AK$22,I86)))^2+1)*INDEX(Calc!$AL$3:$AL$22,I86)+(((G86-INDEX(Calc!$AK$3:$AK$22,I86))/(INDEX(Calc!$AK$3:$AK$22,I86+1)-INDEX(Calc!$AK$3:$AK$22,I86)))^3-2*((G86-INDEX(Calc!$AK$3:$AK$22,I86))/(INDEX(Calc!$AK$3:$AK$22,I86+1)-INDEX(Calc!$AK$3:$AK$22,I86)))^2+((G86-INDEX(Calc!$AK$3:$AK$22,I86))/(INDEX(Calc!$AK$3:$AK$22,I86+1)-INDEX(Calc!$AK$3:$AK$22,I86))))*(INDEX(Calc!$AK$3:$AK$22,I86+1)-INDEX(Calc!$AK$3:$AK$22,I86))*INDEX(Calc!$AP$3:$AP$22,I86)+(-2*((G86-INDEX(Calc!$AK$3:$AK$22,I86))/(INDEX(Calc!$AK$3:$AK$22,I86+1)-INDEX(Calc!$AK$3:$AK$22,I86)))^3+3*((G86-INDEX(Calc!$AK$3:$AK$22,I86))/(INDEX(Calc!$AK$3:$AK$22,I86+1)-INDEX(Calc!$AK$3:$AK$22,I86)))^2)*INDEX(Calc!$AL$3:$AL$22,I86+1)+(((G86-INDEX(Calc!$AK$3:$AK$22,I86))/(INDEX(Calc!$AK$3:$AK$22,I86+1)-INDEX(Calc!$AK$3:$AK$22,I86)))^3-((G86-INDEX(Calc!$AK$3:$AK$22,I86))/(INDEX(Calc!$AK$3:$AK$22,I86+1)-INDEX(Calc!$AK$3:$AK$22,I86)))^2)*(INDEX(Calc!$AK$3:$AK$22,I86+1)-INDEX(Calc!$AK$3:$AK$22,I86))*INDEX(Calc!$AQ$3:$AQ$22,I86),NA())</f>
        <v/>
      </c>
      <c r="I86">
        <f>IF(AND(k_gluOn,k_ng&gt;=2),MIN(k_ng-1,MAX(1,MATCH(G86,Calc!$AK$3:INDEX(Calc!$AK$3:$AK$22,k_ng),1))),1)</f>
        <v/>
      </c>
    </row>
    <row r="87">
      <c r="A87">
        <f>IF(k_ok,Grid!$B$422,NA())</f>
        <v/>
      </c>
      <c r="B87">
        <f>IF(k_ok,Grid!$Q$422,NA())</f>
        <v/>
      </c>
      <c r="C87">
        <f>IF(k_hrok,k_h0+k_h1*E87+k_h2*E87^2,NA())</f>
        <v/>
      </c>
      <c r="D87">
        <f>IF(k_ok,Grid!$Q$422/Grid!$B$422,NA())</f>
        <v/>
      </c>
      <c r="E87">
        <f>IF(k_hrok,k_hx0+(k_hx1-k_hx0)*84/200,NA())</f>
        <v/>
      </c>
      <c r="G87">
        <f>IF(AND(k_gluOn,k_ng&gt;=2),Calc!$AK$3+(INDEX(Calc!$AK$3:$AK$22,k_ng)-Calc!$AK$3)*84/200,NA())</f>
        <v/>
      </c>
      <c r="H87">
        <f>IF(AND(k_gluOn,k_ng&gt;=2),(2*((G87-INDEX(Calc!$AK$3:$AK$22,I87))/(INDEX(Calc!$AK$3:$AK$22,I87+1)-INDEX(Calc!$AK$3:$AK$22,I87)))^3-3*((G87-INDEX(Calc!$AK$3:$AK$22,I87))/(INDEX(Calc!$AK$3:$AK$22,I87+1)-INDEX(Calc!$AK$3:$AK$22,I87)))^2+1)*INDEX(Calc!$AL$3:$AL$22,I87)+(((G87-INDEX(Calc!$AK$3:$AK$22,I87))/(INDEX(Calc!$AK$3:$AK$22,I87+1)-INDEX(Calc!$AK$3:$AK$22,I87)))^3-2*((G87-INDEX(Calc!$AK$3:$AK$22,I87))/(INDEX(Calc!$AK$3:$AK$22,I87+1)-INDEX(Calc!$AK$3:$AK$22,I87)))^2+((G87-INDEX(Calc!$AK$3:$AK$22,I87))/(INDEX(Calc!$AK$3:$AK$22,I87+1)-INDEX(Calc!$AK$3:$AK$22,I87))))*(INDEX(Calc!$AK$3:$AK$22,I87+1)-INDEX(Calc!$AK$3:$AK$22,I87))*INDEX(Calc!$AP$3:$AP$22,I87)+(-2*((G87-INDEX(Calc!$AK$3:$AK$22,I87))/(INDEX(Calc!$AK$3:$AK$22,I87+1)-INDEX(Calc!$AK$3:$AK$22,I87)))^3+3*((G87-INDEX(Calc!$AK$3:$AK$22,I87))/(INDEX(Calc!$AK$3:$AK$22,I87+1)-INDEX(Calc!$AK$3:$AK$22,I87)))^2)*INDEX(Calc!$AL$3:$AL$22,I87+1)+(((G87-INDEX(Calc!$AK$3:$AK$22,I87))/(INDEX(Calc!$AK$3:$AK$22,I87+1)-INDEX(Calc!$AK$3:$AK$22,I87)))^3-((G87-INDEX(Calc!$AK$3:$AK$22,I87))/(INDEX(Calc!$AK$3:$AK$22,I87+1)-INDEX(Calc!$AK$3:$AK$22,I87)))^2)*(INDEX(Calc!$AK$3:$AK$22,I87+1)-INDEX(Calc!$AK$3:$AK$22,I87))*INDEX(Calc!$AQ$3:$AQ$22,I87),NA())</f>
        <v/>
      </c>
      <c r="I87">
        <f>IF(AND(k_gluOn,k_ng&gt;=2),MIN(k_ng-1,MAX(1,MATCH(G87,Calc!$AK$3:INDEX(Calc!$AK$3:$AK$22,k_ng),1))),1)</f>
        <v/>
      </c>
    </row>
    <row r="88">
      <c r="A88">
        <f>IF(k_ok,Grid!$B$427,NA())</f>
        <v/>
      </c>
      <c r="B88">
        <f>IF(k_ok,Grid!$Q$427,NA())</f>
        <v/>
      </c>
      <c r="C88">
        <f>IF(k_hrok,k_h0+k_h1*E88+k_h2*E88^2,NA())</f>
        <v/>
      </c>
      <c r="D88">
        <f>IF(k_ok,Grid!$Q$427/Grid!$B$427,NA())</f>
        <v/>
      </c>
      <c r="E88">
        <f>IF(k_hrok,k_hx0+(k_hx1-k_hx0)*85/200,NA())</f>
        <v/>
      </c>
      <c r="G88">
        <f>IF(AND(k_gluOn,k_ng&gt;=2),Calc!$AK$3+(INDEX(Calc!$AK$3:$AK$22,k_ng)-Calc!$AK$3)*85/200,NA())</f>
        <v/>
      </c>
      <c r="H88">
        <f>IF(AND(k_gluOn,k_ng&gt;=2),(2*((G88-INDEX(Calc!$AK$3:$AK$22,I88))/(INDEX(Calc!$AK$3:$AK$22,I88+1)-INDEX(Calc!$AK$3:$AK$22,I88)))^3-3*((G88-INDEX(Calc!$AK$3:$AK$22,I88))/(INDEX(Calc!$AK$3:$AK$22,I88+1)-INDEX(Calc!$AK$3:$AK$22,I88)))^2+1)*INDEX(Calc!$AL$3:$AL$22,I88)+(((G88-INDEX(Calc!$AK$3:$AK$22,I88))/(INDEX(Calc!$AK$3:$AK$22,I88+1)-INDEX(Calc!$AK$3:$AK$22,I88)))^3-2*((G88-INDEX(Calc!$AK$3:$AK$22,I88))/(INDEX(Calc!$AK$3:$AK$22,I88+1)-INDEX(Calc!$AK$3:$AK$22,I88)))^2+((G88-INDEX(Calc!$AK$3:$AK$22,I88))/(INDEX(Calc!$AK$3:$AK$22,I88+1)-INDEX(Calc!$AK$3:$AK$22,I88))))*(INDEX(Calc!$AK$3:$AK$22,I88+1)-INDEX(Calc!$AK$3:$AK$22,I88))*INDEX(Calc!$AP$3:$AP$22,I88)+(-2*((G88-INDEX(Calc!$AK$3:$AK$22,I88))/(INDEX(Calc!$AK$3:$AK$22,I88+1)-INDEX(Calc!$AK$3:$AK$22,I88)))^3+3*((G88-INDEX(Calc!$AK$3:$AK$22,I88))/(INDEX(Calc!$AK$3:$AK$22,I88+1)-INDEX(Calc!$AK$3:$AK$22,I88)))^2)*INDEX(Calc!$AL$3:$AL$22,I88+1)+(((G88-INDEX(Calc!$AK$3:$AK$22,I88))/(INDEX(Calc!$AK$3:$AK$22,I88+1)-INDEX(Calc!$AK$3:$AK$22,I88)))^3-((G88-INDEX(Calc!$AK$3:$AK$22,I88))/(INDEX(Calc!$AK$3:$AK$22,I88+1)-INDEX(Calc!$AK$3:$AK$22,I88)))^2)*(INDEX(Calc!$AK$3:$AK$22,I88+1)-INDEX(Calc!$AK$3:$AK$22,I88))*INDEX(Calc!$AQ$3:$AQ$22,I88),NA())</f>
        <v/>
      </c>
      <c r="I88">
        <f>IF(AND(k_gluOn,k_ng&gt;=2),MIN(k_ng-1,MAX(1,MATCH(G88,Calc!$AK$3:INDEX(Calc!$AK$3:$AK$22,k_ng),1))),1)</f>
        <v/>
      </c>
    </row>
    <row r="89">
      <c r="A89">
        <f>IF(k_ok,Grid!$B$432,NA())</f>
        <v/>
      </c>
      <c r="B89">
        <f>IF(k_ok,Grid!$Q$432,NA())</f>
        <v/>
      </c>
      <c r="C89">
        <f>IF(k_hrok,k_h0+k_h1*E89+k_h2*E89^2,NA())</f>
        <v/>
      </c>
      <c r="D89">
        <f>IF(k_ok,Grid!$Q$432/Grid!$B$432,NA())</f>
        <v/>
      </c>
      <c r="E89">
        <f>IF(k_hrok,k_hx0+(k_hx1-k_hx0)*86/200,NA())</f>
        <v/>
      </c>
      <c r="G89">
        <f>IF(AND(k_gluOn,k_ng&gt;=2),Calc!$AK$3+(INDEX(Calc!$AK$3:$AK$22,k_ng)-Calc!$AK$3)*86/200,NA())</f>
        <v/>
      </c>
      <c r="H89">
        <f>IF(AND(k_gluOn,k_ng&gt;=2),(2*((G89-INDEX(Calc!$AK$3:$AK$22,I89))/(INDEX(Calc!$AK$3:$AK$22,I89+1)-INDEX(Calc!$AK$3:$AK$22,I89)))^3-3*((G89-INDEX(Calc!$AK$3:$AK$22,I89))/(INDEX(Calc!$AK$3:$AK$22,I89+1)-INDEX(Calc!$AK$3:$AK$22,I89)))^2+1)*INDEX(Calc!$AL$3:$AL$22,I89)+(((G89-INDEX(Calc!$AK$3:$AK$22,I89))/(INDEX(Calc!$AK$3:$AK$22,I89+1)-INDEX(Calc!$AK$3:$AK$22,I89)))^3-2*((G89-INDEX(Calc!$AK$3:$AK$22,I89))/(INDEX(Calc!$AK$3:$AK$22,I89+1)-INDEX(Calc!$AK$3:$AK$22,I89)))^2+((G89-INDEX(Calc!$AK$3:$AK$22,I89))/(INDEX(Calc!$AK$3:$AK$22,I89+1)-INDEX(Calc!$AK$3:$AK$22,I89))))*(INDEX(Calc!$AK$3:$AK$22,I89+1)-INDEX(Calc!$AK$3:$AK$22,I89))*INDEX(Calc!$AP$3:$AP$22,I89)+(-2*((G89-INDEX(Calc!$AK$3:$AK$22,I89))/(INDEX(Calc!$AK$3:$AK$22,I89+1)-INDEX(Calc!$AK$3:$AK$22,I89)))^3+3*((G89-INDEX(Calc!$AK$3:$AK$22,I89))/(INDEX(Calc!$AK$3:$AK$22,I89+1)-INDEX(Calc!$AK$3:$AK$22,I89)))^2)*INDEX(Calc!$AL$3:$AL$22,I89+1)+(((G89-INDEX(Calc!$AK$3:$AK$22,I89))/(INDEX(Calc!$AK$3:$AK$22,I89+1)-INDEX(Calc!$AK$3:$AK$22,I89)))^3-((G89-INDEX(Calc!$AK$3:$AK$22,I89))/(INDEX(Calc!$AK$3:$AK$22,I89+1)-INDEX(Calc!$AK$3:$AK$22,I89)))^2)*(INDEX(Calc!$AK$3:$AK$22,I89+1)-INDEX(Calc!$AK$3:$AK$22,I89))*INDEX(Calc!$AQ$3:$AQ$22,I89),NA())</f>
        <v/>
      </c>
      <c r="I89">
        <f>IF(AND(k_gluOn,k_ng&gt;=2),MIN(k_ng-1,MAX(1,MATCH(G89,Calc!$AK$3:INDEX(Calc!$AK$3:$AK$22,k_ng),1))),1)</f>
        <v/>
      </c>
    </row>
    <row r="90">
      <c r="A90">
        <f>IF(k_ok,Grid!$B$437,NA())</f>
        <v/>
      </c>
      <c r="B90">
        <f>IF(k_ok,Grid!$Q$437,NA())</f>
        <v/>
      </c>
      <c r="C90">
        <f>IF(k_hrok,k_h0+k_h1*E90+k_h2*E90^2,NA())</f>
        <v/>
      </c>
      <c r="D90">
        <f>IF(k_ok,Grid!$Q$437/Grid!$B$437,NA())</f>
        <v/>
      </c>
      <c r="E90">
        <f>IF(k_hrok,k_hx0+(k_hx1-k_hx0)*87/200,NA())</f>
        <v/>
      </c>
      <c r="G90">
        <f>IF(AND(k_gluOn,k_ng&gt;=2),Calc!$AK$3+(INDEX(Calc!$AK$3:$AK$22,k_ng)-Calc!$AK$3)*87/200,NA())</f>
        <v/>
      </c>
      <c r="H90">
        <f>IF(AND(k_gluOn,k_ng&gt;=2),(2*((G90-INDEX(Calc!$AK$3:$AK$22,I90))/(INDEX(Calc!$AK$3:$AK$22,I90+1)-INDEX(Calc!$AK$3:$AK$22,I90)))^3-3*((G90-INDEX(Calc!$AK$3:$AK$22,I90))/(INDEX(Calc!$AK$3:$AK$22,I90+1)-INDEX(Calc!$AK$3:$AK$22,I90)))^2+1)*INDEX(Calc!$AL$3:$AL$22,I90)+(((G90-INDEX(Calc!$AK$3:$AK$22,I90))/(INDEX(Calc!$AK$3:$AK$22,I90+1)-INDEX(Calc!$AK$3:$AK$22,I90)))^3-2*((G90-INDEX(Calc!$AK$3:$AK$22,I90))/(INDEX(Calc!$AK$3:$AK$22,I90+1)-INDEX(Calc!$AK$3:$AK$22,I90)))^2+((G90-INDEX(Calc!$AK$3:$AK$22,I90))/(INDEX(Calc!$AK$3:$AK$22,I90+1)-INDEX(Calc!$AK$3:$AK$22,I90))))*(INDEX(Calc!$AK$3:$AK$22,I90+1)-INDEX(Calc!$AK$3:$AK$22,I90))*INDEX(Calc!$AP$3:$AP$22,I90)+(-2*((G90-INDEX(Calc!$AK$3:$AK$22,I90))/(INDEX(Calc!$AK$3:$AK$22,I90+1)-INDEX(Calc!$AK$3:$AK$22,I90)))^3+3*((G90-INDEX(Calc!$AK$3:$AK$22,I90))/(INDEX(Calc!$AK$3:$AK$22,I90+1)-INDEX(Calc!$AK$3:$AK$22,I90)))^2)*INDEX(Calc!$AL$3:$AL$22,I90+1)+(((G90-INDEX(Calc!$AK$3:$AK$22,I90))/(INDEX(Calc!$AK$3:$AK$22,I90+1)-INDEX(Calc!$AK$3:$AK$22,I90)))^3-((G90-INDEX(Calc!$AK$3:$AK$22,I90))/(INDEX(Calc!$AK$3:$AK$22,I90+1)-INDEX(Calc!$AK$3:$AK$22,I90)))^2)*(INDEX(Calc!$AK$3:$AK$22,I90+1)-INDEX(Calc!$AK$3:$AK$22,I90))*INDEX(Calc!$AQ$3:$AQ$22,I90),NA())</f>
        <v/>
      </c>
      <c r="I90">
        <f>IF(AND(k_gluOn,k_ng&gt;=2),MIN(k_ng-1,MAX(1,MATCH(G90,Calc!$AK$3:INDEX(Calc!$AK$3:$AK$22,k_ng),1))),1)</f>
        <v/>
      </c>
    </row>
    <row r="91">
      <c r="A91">
        <f>IF(k_ok,Grid!$B$442,NA())</f>
        <v/>
      </c>
      <c r="B91">
        <f>IF(k_ok,Grid!$Q$442,NA())</f>
        <v/>
      </c>
      <c r="C91">
        <f>IF(k_hrok,k_h0+k_h1*E91+k_h2*E91^2,NA())</f>
        <v/>
      </c>
      <c r="D91">
        <f>IF(k_ok,Grid!$Q$442/Grid!$B$442,NA())</f>
        <v/>
      </c>
      <c r="E91">
        <f>IF(k_hrok,k_hx0+(k_hx1-k_hx0)*88/200,NA())</f>
        <v/>
      </c>
      <c r="G91">
        <f>IF(AND(k_gluOn,k_ng&gt;=2),Calc!$AK$3+(INDEX(Calc!$AK$3:$AK$22,k_ng)-Calc!$AK$3)*88/200,NA())</f>
        <v/>
      </c>
      <c r="H91">
        <f>IF(AND(k_gluOn,k_ng&gt;=2),(2*((G91-INDEX(Calc!$AK$3:$AK$22,I91))/(INDEX(Calc!$AK$3:$AK$22,I91+1)-INDEX(Calc!$AK$3:$AK$22,I91)))^3-3*((G91-INDEX(Calc!$AK$3:$AK$22,I91))/(INDEX(Calc!$AK$3:$AK$22,I91+1)-INDEX(Calc!$AK$3:$AK$22,I91)))^2+1)*INDEX(Calc!$AL$3:$AL$22,I91)+(((G91-INDEX(Calc!$AK$3:$AK$22,I91))/(INDEX(Calc!$AK$3:$AK$22,I91+1)-INDEX(Calc!$AK$3:$AK$22,I91)))^3-2*((G91-INDEX(Calc!$AK$3:$AK$22,I91))/(INDEX(Calc!$AK$3:$AK$22,I91+1)-INDEX(Calc!$AK$3:$AK$22,I91)))^2+((G91-INDEX(Calc!$AK$3:$AK$22,I91))/(INDEX(Calc!$AK$3:$AK$22,I91+1)-INDEX(Calc!$AK$3:$AK$22,I91))))*(INDEX(Calc!$AK$3:$AK$22,I91+1)-INDEX(Calc!$AK$3:$AK$22,I91))*INDEX(Calc!$AP$3:$AP$22,I91)+(-2*((G91-INDEX(Calc!$AK$3:$AK$22,I91))/(INDEX(Calc!$AK$3:$AK$22,I91+1)-INDEX(Calc!$AK$3:$AK$22,I91)))^3+3*((G91-INDEX(Calc!$AK$3:$AK$22,I91))/(INDEX(Calc!$AK$3:$AK$22,I91+1)-INDEX(Calc!$AK$3:$AK$22,I91)))^2)*INDEX(Calc!$AL$3:$AL$22,I91+1)+(((G91-INDEX(Calc!$AK$3:$AK$22,I91))/(INDEX(Calc!$AK$3:$AK$22,I91+1)-INDEX(Calc!$AK$3:$AK$22,I91)))^3-((G91-INDEX(Calc!$AK$3:$AK$22,I91))/(INDEX(Calc!$AK$3:$AK$22,I91+1)-INDEX(Calc!$AK$3:$AK$22,I91)))^2)*(INDEX(Calc!$AK$3:$AK$22,I91+1)-INDEX(Calc!$AK$3:$AK$22,I91))*INDEX(Calc!$AQ$3:$AQ$22,I91),NA())</f>
        <v/>
      </c>
      <c r="I91">
        <f>IF(AND(k_gluOn,k_ng&gt;=2),MIN(k_ng-1,MAX(1,MATCH(G91,Calc!$AK$3:INDEX(Calc!$AK$3:$AK$22,k_ng),1))),1)</f>
        <v/>
      </c>
    </row>
    <row r="92">
      <c r="A92">
        <f>IF(k_ok,Grid!$B$447,NA())</f>
        <v/>
      </c>
      <c r="B92">
        <f>IF(k_ok,Grid!$Q$447,NA())</f>
        <v/>
      </c>
      <c r="C92">
        <f>IF(k_hrok,k_h0+k_h1*E92+k_h2*E92^2,NA())</f>
        <v/>
      </c>
      <c r="D92">
        <f>IF(k_ok,Grid!$Q$447/Grid!$B$447,NA())</f>
        <v/>
      </c>
      <c r="E92">
        <f>IF(k_hrok,k_hx0+(k_hx1-k_hx0)*89/200,NA())</f>
        <v/>
      </c>
      <c r="G92">
        <f>IF(AND(k_gluOn,k_ng&gt;=2),Calc!$AK$3+(INDEX(Calc!$AK$3:$AK$22,k_ng)-Calc!$AK$3)*89/200,NA())</f>
        <v/>
      </c>
      <c r="H92">
        <f>IF(AND(k_gluOn,k_ng&gt;=2),(2*((G92-INDEX(Calc!$AK$3:$AK$22,I92))/(INDEX(Calc!$AK$3:$AK$22,I92+1)-INDEX(Calc!$AK$3:$AK$22,I92)))^3-3*((G92-INDEX(Calc!$AK$3:$AK$22,I92))/(INDEX(Calc!$AK$3:$AK$22,I92+1)-INDEX(Calc!$AK$3:$AK$22,I92)))^2+1)*INDEX(Calc!$AL$3:$AL$22,I92)+(((G92-INDEX(Calc!$AK$3:$AK$22,I92))/(INDEX(Calc!$AK$3:$AK$22,I92+1)-INDEX(Calc!$AK$3:$AK$22,I92)))^3-2*((G92-INDEX(Calc!$AK$3:$AK$22,I92))/(INDEX(Calc!$AK$3:$AK$22,I92+1)-INDEX(Calc!$AK$3:$AK$22,I92)))^2+((G92-INDEX(Calc!$AK$3:$AK$22,I92))/(INDEX(Calc!$AK$3:$AK$22,I92+1)-INDEX(Calc!$AK$3:$AK$22,I92))))*(INDEX(Calc!$AK$3:$AK$22,I92+1)-INDEX(Calc!$AK$3:$AK$22,I92))*INDEX(Calc!$AP$3:$AP$22,I92)+(-2*((G92-INDEX(Calc!$AK$3:$AK$22,I92))/(INDEX(Calc!$AK$3:$AK$22,I92+1)-INDEX(Calc!$AK$3:$AK$22,I92)))^3+3*((G92-INDEX(Calc!$AK$3:$AK$22,I92))/(INDEX(Calc!$AK$3:$AK$22,I92+1)-INDEX(Calc!$AK$3:$AK$22,I92)))^2)*INDEX(Calc!$AL$3:$AL$22,I92+1)+(((G92-INDEX(Calc!$AK$3:$AK$22,I92))/(INDEX(Calc!$AK$3:$AK$22,I92+1)-INDEX(Calc!$AK$3:$AK$22,I92)))^3-((G92-INDEX(Calc!$AK$3:$AK$22,I92))/(INDEX(Calc!$AK$3:$AK$22,I92+1)-INDEX(Calc!$AK$3:$AK$22,I92)))^2)*(INDEX(Calc!$AK$3:$AK$22,I92+1)-INDEX(Calc!$AK$3:$AK$22,I92))*INDEX(Calc!$AQ$3:$AQ$22,I92),NA())</f>
        <v/>
      </c>
      <c r="I92">
        <f>IF(AND(k_gluOn,k_ng&gt;=2),MIN(k_ng-1,MAX(1,MATCH(G92,Calc!$AK$3:INDEX(Calc!$AK$3:$AK$22,k_ng),1))),1)</f>
        <v/>
      </c>
    </row>
    <row r="93">
      <c r="A93">
        <f>IF(k_ok,Grid!$B$452,NA())</f>
        <v/>
      </c>
      <c r="B93">
        <f>IF(k_ok,Grid!$Q$452,NA())</f>
        <v/>
      </c>
      <c r="C93">
        <f>IF(k_hrok,k_h0+k_h1*E93+k_h2*E93^2,NA())</f>
        <v/>
      </c>
      <c r="D93">
        <f>IF(k_ok,Grid!$Q$452/Grid!$B$452,NA())</f>
        <v/>
      </c>
      <c r="E93">
        <f>IF(k_hrok,k_hx0+(k_hx1-k_hx0)*90/200,NA())</f>
        <v/>
      </c>
      <c r="G93">
        <f>IF(AND(k_gluOn,k_ng&gt;=2),Calc!$AK$3+(INDEX(Calc!$AK$3:$AK$22,k_ng)-Calc!$AK$3)*90/200,NA())</f>
        <v/>
      </c>
      <c r="H93">
        <f>IF(AND(k_gluOn,k_ng&gt;=2),(2*((G93-INDEX(Calc!$AK$3:$AK$22,I93))/(INDEX(Calc!$AK$3:$AK$22,I93+1)-INDEX(Calc!$AK$3:$AK$22,I93)))^3-3*((G93-INDEX(Calc!$AK$3:$AK$22,I93))/(INDEX(Calc!$AK$3:$AK$22,I93+1)-INDEX(Calc!$AK$3:$AK$22,I93)))^2+1)*INDEX(Calc!$AL$3:$AL$22,I93)+(((G93-INDEX(Calc!$AK$3:$AK$22,I93))/(INDEX(Calc!$AK$3:$AK$22,I93+1)-INDEX(Calc!$AK$3:$AK$22,I93)))^3-2*((G93-INDEX(Calc!$AK$3:$AK$22,I93))/(INDEX(Calc!$AK$3:$AK$22,I93+1)-INDEX(Calc!$AK$3:$AK$22,I93)))^2+((G93-INDEX(Calc!$AK$3:$AK$22,I93))/(INDEX(Calc!$AK$3:$AK$22,I93+1)-INDEX(Calc!$AK$3:$AK$22,I93))))*(INDEX(Calc!$AK$3:$AK$22,I93+1)-INDEX(Calc!$AK$3:$AK$22,I93))*INDEX(Calc!$AP$3:$AP$22,I93)+(-2*((G93-INDEX(Calc!$AK$3:$AK$22,I93))/(INDEX(Calc!$AK$3:$AK$22,I93+1)-INDEX(Calc!$AK$3:$AK$22,I93)))^3+3*((G93-INDEX(Calc!$AK$3:$AK$22,I93))/(INDEX(Calc!$AK$3:$AK$22,I93+1)-INDEX(Calc!$AK$3:$AK$22,I93)))^2)*INDEX(Calc!$AL$3:$AL$22,I93+1)+(((G93-INDEX(Calc!$AK$3:$AK$22,I93))/(INDEX(Calc!$AK$3:$AK$22,I93+1)-INDEX(Calc!$AK$3:$AK$22,I93)))^3-((G93-INDEX(Calc!$AK$3:$AK$22,I93))/(INDEX(Calc!$AK$3:$AK$22,I93+1)-INDEX(Calc!$AK$3:$AK$22,I93)))^2)*(INDEX(Calc!$AK$3:$AK$22,I93+1)-INDEX(Calc!$AK$3:$AK$22,I93))*INDEX(Calc!$AQ$3:$AQ$22,I93),NA())</f>
        <v/>
      </c>
      <c r="I93">
        <f>IF(AND(k_gluOn,k_ng&gt;=2),MIN(k_ng-1,MAX(1,MATCH(G93,Calc!$AK$3:INDEX(Calc!$AK$3:$AK$22,k_ng),1))),1)</f>
        <v/>
      </c>
    </row>
    <row r="94">
      <c r="A94">
        <f>IF(k_ok,Grid!$B$457,NA())</f>
        <v/>
      </c>
      <c r="B94">
        <f>IF(k_ok,Grid!$Q$457,NA())</f>
        <v/>
      </c>
      <c r="C94">
        <f>IF(k_hrok,k_h0+k_h1*E94+k_h2*E94^2,NA())</f>
        <v/>
      </c>
      <c r="D94">
        <f>IF(k_ok,Grid!$Q$457/Grid!$B$457,NA())</f>
        <v/>
      </c>
      <c r="E94">
        <f>IF(k_hrok,k_hx0+(k_hx1-k_hx0)*91/200,NA())</f>
        <v/>
      </c>
      <c r="G94">
        <f>IF(AND(k_gluOn,k_ng&gt;=2),Calc!$AK$3+(INDEX(Calc!$AK$3:$AK$22,k_ng)-Calc!$AK$3)*91/200,NA())</f>
        <v/>
      </c>
      <c r="H94">
        <f>IF(AND(k_gluOn,k_ng&gt;=2),(2*((G94-INDEX(Calc!$AK$3:$AK$22,I94))/(INDEX(Calc!$AK$3:$AK$22,I94+1)-INDEX(Calc!$AK$3:$AK$22,I94)))^3-3*((G94-INDEX(Calc!$AK$3:$AK$22,I94))/(INDEX(Calc!$AK$3:$AK$22,I94+1)-INDEX(Calc!$AK$3:$AK$22,I94)))^2+1)*INDEX(Calc!$AL$3:$AL$22,I94)+(((G94-INDEX(Calc!$AK$3:$AK$22,I94))/(INDEX(Calc!$AK$3:$AK$22,I94+1)-INDEX(Calc!$AK$3:$AK$22,I94)))^3-2*((G94-INDEX(Calc!$AK$3:$AK$22,I94))/(INDEX(Calc!$AK$3:$AK$22,I94+1)-INDEX(Calc!$AK$3:$AK$22,I94)))^2+((G94-INDEX(Calc!$AK$3:$AK$22,I94))/(INDEX(Calc!$AK$3:$AK$22,I94+1)-INDEX(Calc!$AK$3:$AK$22,I94))))*(INDEX(Calc!$AK$3:$AK$22,I94+1)-INDEX(Calc!$AK$3:$AK$22,I94))*INDEX(Calc!$AP$3:$AP$22,I94)+(-2*((G94-INDEX(Calc!$AK$3:$AK$22,I94))/(INDEX(Calc!$AK$3:$AK$22,I94+1)-INDEX(Calc!$AK$3:$AK$22,I94)))^3+3*((G94-INDEX(Calc!$AK$3:$AK$22,I94))/(INDEX(Calc!$AK$3:$AK$22,I94+1)-INDEX(Calc!$AK$3:$AK$22,I94)))^2)*INDEX(Calc!$AL$3:$AL$22,I94+1)+(((G94-INDEX(Calc!$AK$3:$AK$22,I94))/(INDEX(Calc!$AK$3:$AK$22,I94+1)-INDEX(Calc!$AK$3:$AK$22,I94)))^3-((G94-INDEX(Calc!$AK$3:$AK$22,I94))/(INDEX(Calc!$AK$3:$AK$22,I94+1)-INDEX(Calc!$AK$3:$AK$22,I94)))^2)*(INDEX(Calc!$AK$3:$AK$22,I94+1)-INDEX(Calc!$AK$3:$AK$22,I94))*INDEX(Calc!$AQ$3:$AQ$22,I94),NA())</f>
        <v/>
      </c>
      <c r="I94">
        <f>IF(AND(k_gluOn,k_ng&gt;=2),MIN(k_ng-1,MAX(1,MATCH(G94,Calc!$AK$3:INDEX(Calc!$AK$3:$AK$22,k_ng),1))),1)</f>
        <v/>
      </c>
    </row>
    <row r="95">
      <c r="A95">
        <f>IF(k_ok,Grid!$B$462,NA())</f>
        <v/>
      </c>
      <c r="B95">
        <f>IF(k_ok,Grid!$Q$462,NA())</f>
        <v/>
      </c>
      <c r="C95">
        <f>IF(k_hrok,k_h0+k_h1*E95+k_h2*E95^2,NA())</f>
        <v/>
      </c>
      <c r="D95">
        <f>IF(k_ok,Grid!$Q$462/Grid!$B$462,NA())</f>
        <v/>
      </c>
      <c r="E95">
        <f>IF(k_hrok,k_hx0+(k_hx1-k_hx0)*92/200,NA())</f>
        <v/>
      </c>
      <c r="G95">
        <f>IF(AND(k_gluOn,k_ng&gt;=2),Calc!$AK$3+(INDEX(Calc!$AK$3:$AK$22,k_ng)-Calc!$AK$3)*92/200,NA())</f>
        <v/>
      </c>
      <c r="H95">
        <f>IF(AND(k_gluOn,k_ng&gt;=2),(2*((G95-INDEX(Calc!$AK$3:$AK$22,I95))/(INDEX(Calc!$AK$3:$AK$22,I95+1)-INDEX(Calc!$AK$3:$AK$22,I95)))^3-3*((G95-INDEX(Calc!$AK$3:$AK$22,I95))/(INDEX(Calc!$AK$3:$AK$22,I95+1)-INDEX(Calc!$AK$3:$AK$22,I95)))^2+1)*INDEX(Calc!$AL$3:$AL$22,I95)+(((G95-INDEX(Calc!$AK$3:$AK$22,I95))/(INDEX(Calc!$AK$3:$AK$22,I95+1)-INDEX(Calc!$AK$3:$AK$22,I95)))^3-2*((G95-INDEX(Calc!$AK$3:$AK$22,I95))/(INDEX(Calc!$AK$3:$AK$22,I95+1)-INDEX(Calc!$AK$3:$AK$22,I95)))^2+((G95-INDEX(Calc!$AK$3:$AK$22,I95))/(INDEX(Calc!$AK$3:$AK$22,I95+1)-INDEX(Calc!$AK$3:$AK$22,I95))))*(INDEX(Calc!$AK$3:$AK$22,I95+1)-INDEX(Calc!$AK$3:$AK$22,I95))*INDEX(Calc!$AP$3:$AP$22,I95)+(-2*((G95-INDEX(Calc!$AK$3:$AK$22,I95))/(INDEX(Calc!$AK$3:$AK$22,I95+1)-INDEX(Calc!$AK$3:$AK$22,I95)))^3+3*((G95-INDEX(Calc!$AK$3:$AK$22,I95))/(INDEX(Calc!$AK$3:$AK$22,I95+1)-INDEX(Calc!$AK$3:$AK$22,I95)))^2)*INDEX(Calc!$AL$3:$AL$22,I95+1)+(((G95-INDEX(Calc!$AK$3:$AK$22,I95))/(INDEX(Calc!$AK$3:$AK$22,I95+1)-INDEX(Calc!$AK$3:$AK$22,I95)))^3-((G95-INDEX(Calc!$AK$3:$AK$22,I95))/(INDEX(Calc!$AK$3:$AK$22,I95+1)-INDEX(Calc!$AK$3:$AK$22,I95)))^2)*(INDEX(Calc!$AK$3:$AK$22,I95+1)-INDEX(Calc!$AK$3:$AK$22,I95))*INDEX(Calc!$AQ$3:$AQ$22,I95),NA())</f>
        <v/>
      </c>
      <c r="I95">
        <f>IF(AND(k_gluOn,k_ng&gt;=2),MIN(k_ng-1,MAX(1,MATCH(G95,Calc!$AK$3:INDEX(Calc!$AK$3:$AK$22,k_ng),1))),1)</f>
        <v/>
      </c>
    </row>
    <row r="96">
      <c r="A96">
        <f>IF(k_ok,Grid!$B$467,NA())</f>
        <v/>
      </c>
      <c r="B96">
        <f>IF(k_ok,Grid!$Q$467,NA())</f>
        <v/>
      </c>
      <c r="C96">
        <f>IF(k_hrok,k_h0+k_h1*E96+k_h2*E96^2,NA())</f>
        <v/>
      </c>
      <c r="D96">
        <f>IF(k_ok,Grid!$Q$467/Grid!$B$467,NA())</f>
        <v/>
      </c>
      <c r="E96">
        <f>IF(k_hrok,k_hx0+(k_hx1-k_hx0)*93/200,NA())</f>
        <v/>
      </c>
      <c r="G96">
        <f>IF(AND(k_gluOn,k_ng&gt;=2),Calc!$AK$3+(INDEX(Calc!$AK$3:$AK$22,k_ng)-Calc!$AK$3)*93/200,NA())</f>
        <v/>
      </c>
      <c r="H96">
        <f>IF(AND(k_gluOn,k_ng&gt;=2),(2*((G96-INDEX(Calc!$AK$3:$AK$22,I96))/(INDEX(Calc!$AK$3:$AK$22,I96+1)-INDEX(Calc!$AK$3:$AK$22,I96)))^3-3*((G96-INDEX(Calc!$AK$3:$AK$22,I96))/(INDEX(Calc!$AK$3:$AK$22,I96+1)-INDEX(Calc!$AK$3:$AK$22,I96)))^2+1)*INDEX(Calc!$AL$3:$AL$22,I96)+(((G96-INDEX(Calc!$AK$3:$AK$22,I96))/(INDEX(Calc!$AK$3:$AK$22,I96+1)-INDEX(Calc!$AK$3:$AK$22,I96)))^3-2*((G96-INDEX(Calc!$AK$3:$AK$22,I96))/(INDEX(Calc!$AK$3:$AK$22,I96+1)-INDEX(Calc!$AK$3:$AK$22,I96)))^2+((G96-INDEX(Calc!$AK$3:$AK$22,I96))/(INDEX(Calc!$AK$3:$AK$22,I96+1)-INDEX(Calc!$AK$3:$AK$22,I96))))*(INDEX(Calc!$AK$3:$AK$22,I96+1)-INDEX(Calc!$AK$3:$AK$22,I96))*INDEX(Calc!$AP$3:$AP$22,I96)+(-2*((G96-INDEX(Calc!$AK$3:$AK$22,I96))/(INDEX(Calc!$AK$3:$AK$22,I96+1)-INDEX(Calc!$AK$3:$AK$22,I96)))^3+3*((G96-INDEX(Calc!$AK$3:$AK$22,I96))/(INDEX(Calc!$AK$3:$AK$22,I96+1)-INDEX(Calc!$AK$3:$AK$22,I96)))^2)*INDEX(Calc!$AL$3:$AL$22,I96+1)+(((G96-INDEX(Calc!$AK$3:$AK$22,I96))/(INDEX(Calc!$AK$3:$AK$22,I96+1)-INDEX(Calc!$AK$3:$AK$22,I96)))^3-((G96-INDEX(Calc!$AK$3:$AK$22,I96))/(INDEX(Calc!$AK$3:$AK$22,I96+1)-INDEX(Calc!$AK$3:$AK$22,I96)))^2)*(INDEX(Calc!$AK$3:$AK$22,I96+1)-INDEX(Calc!$AK$3:$AK$22,I96))*INDEX(Calc!$AQ$3:$AQ$22,I96),NA())</f>
        <v/>
      </c>
      <c r="I96">
        <f>IF(AND(k_gluOn,k_ng&gt;=2),MIN(k_ng-1,MAX(1,MATCH(G96,Calc!$AK$3:INDEX(Calc!$AK$3:$AK$22,k_ng),1))),1)</f>
        <v/>
      </c>
    </row>
    <row r="97">
      <c r="A97">
        <f>IF(k_ok,Grid!$B$472,NA())</f>
        <v/>
      </c>
      <c r="B97">
        <f>IF(k_ok,Grid!$Q$472,NA())</f>
        <v/>
      </c>
      <c r="C97">
        <f>IF(k_hrok,k_h0+k_h1*E97+k_h2*E97^2,NA())</f>
        <v/>
      </c>
      <c r="D97">
        <f>IF(k_ok,Grid!$Q$472/Grid!$B$472,NA())</f>
        <v/>
      </c>
      <c r="E97">
        <f>IF(k_hrok,k_hx0+(k_hx1-k_hx0)*94/200,NA())</f>
        <v/>
      </c>
      <c r="G97">
        <f>IF(AND(k_gluOn,k_ng&gt;=2),Calc!$AK$3+(INDEX(Calc!$AK$3:$AK$22,k_ng)-Calc!$AK$3)*94/200,NA())</f>
        <v/>
      </c>
      <c r="H97">
        <f>IF(AND(k_gluOn,k_ng&gt;=2),(2*((G97-INDEX(Calc!$AK$3:$AK$22,I97))/(INDEX(Calc!$AK$3:$AK$22,I97+1)-INDEX(Calc!$AK$3:$AK$22,I97)))^3-3*((G97-INDEX(Calc!$AK$3:$AK$22,I97))/(INDEX(Calc!$AK$3:$AK$22,I97+1)-INDEX(Calc!$AK$3:$AK$22,I97)))^2+1)*INDEX(Calc!$AL$3:$AL$22,I97)+(((G97-INDEX(Calc!$AK$3:$AK$22,I97))/(INDEX(Calc!$AK$3:$AK$22,I97+1)-INDEX(Calc!$AK$3:$AK$22,I97)))^3-2*((G97-INDEX(Calc!$AK$3:$AK$22,I97))/(INDEX(Calc!$AK$3:$AK$22,I97+1)-INDEX(Calc!$AK$3:$AK$22,I97)))^2+((G97-INDEX(Calc!$AK$3:$AK$22,I97))/(INDEX(Calc!$AK$3:$AK$22,I97+1)-INDEX(Calc!$AK$3:$AK$22,I97))))*(INDEX(Calc!$AK$3:$AK$22,I97+1)-INDEX(Calc!$AK$3:$AK$22,I97))*INDEX(Calc!$AP$3:$AP$22,I97)+(-2*((G97-INDEX(Calc!$AK$3:$AK$22,I97))/(INDEX(Calc!$AK$3:$AK$22,I97+1)-INDEX(Calc!$AK$3:$AK$22,I97)))^3+3*((G97-INDEX(Calc!$AK$3:$AK$22,I97))/(INDEX(Calc!$AK$3:$AK$22,I97+1)-INDEX(Calc!$AK$3:$AK$22,I97)))^2)*INDEX(Calc!$AL$3:$AL$22,I97+1)+(((G97-INDEX(Calc!$AK$3:$AK$22,I97))/(INDEX(Calc!$AK$3:$AK$22,I97+1)-INDEX(Calc!$AK$3:$AK$22,I97)))^3-((G97-INDEX(Calc!$AK$3:$AK$22,I97))/(INDEX(Calc!$AK$3:$AK$22,I97+1)-INDEX(Calc!$AK$3:$AK$22,I97)))^2)*(INDEX(Calc!$AK$3:$AK$22,I97+1)-INDEX(Calc!$AK$3:$AK$22,I97))*INDEX(Calc!$AQ$3:$AQ$22,I97),NA())</f>
        <v/>
      </c>
      <c r="I97">
        <f>IF(AND(k_gluOn,k_ng&gt;=2),MIN(k_ng-1,MAX(1,MATCH(G97,Calc!$AK$3:INDEX(Calc!$AK$3:$AK$22,k_ng),1))),1)</f>
        <v/>
      </c>
    </row>
    <row r="98">
      <c r="A98">
        <f>IF(k_ok,Grid!$B$477,NA())</f>
        <v/>
      </c>
      <c r="B98">
        <f>IF(k_ok,Grid!$Q$477,NA())</f>
        <v/>
      </c>
      <c r="C98">
        <f>IF(k_hrok,k_h0+k_h1*E98+k_h2*E98^2,NA())</f>
        <v/>
      </c>
      <c r="D98">
        <f>IF(k_ok,Grid!$Q$477/Grid!$B$477,NA())</f>
        <v/>
      </c>
      <c r="E98">
        <f>IF(k_hrok,k_hx0+(k_hx1-k_hx0)*95/200,NA())</f>
        <v/>
      </c>
      <c r="G98">
        <f>IF(AND(k_gluOn,k_ng&gt;=2),Calc!$AK$3+(INDEX(Calc!$AK$3:$AK$22,k_ng)-Calc!$AK$3)*95/200,NA())</f>
        <v/>
      </c>
      <c r="H98">
        <f>IF(AND(k_gluOn,k_ng&gt;=2),(2*((G98-INDEX(Calc!$AK$3:$AK$22,I98))/(INDEX(Calc!$AK$3:$AK$22,I98+1)-INDEX(Calc!$AK$3:$AK$22,I98)))^3-3*((G98-INDEX(Calc!$AK$3:$AK$22,I98))/(INDEX(Calc!$AK$3:$AK$22,I98+1)-INDEX(Calc!$AK$3:$AK$22,I98)))^2+1)*INDEX(Calc!$AL$3:$AL$22,I98)+(((G98-INDEX(Calc!$AK$3:$AK$22,I98))/(INDEX(Calc!$AK$3:$AK$22,I98+1)-INDEX(Calc!$AK$3:$AK$22,I98)))^3-2*((G98-INDEX(Calc!$AK$3:$AK$22,I98))/(INDEX(Calc!$AK$3:$AK$22,I98+1)-INDEX(Calc!$AK$3:$AK$22,I98)))^2+((G98-INDEX(Calc!$AK$3:$AK$22,I98))/(INDEX(Calc!$AK$3:$AK$22,I98+1)-INDEX(Calc!$AK$3:$AK$22,I98))))*(INDEX(Calc!$AK$3:$AK$22,I98+1)-INDEX(Calc!$AK$3:$AK$22,I98))*INDEX(Calc!$AP$3:$AP$22,I98)+(-2*((G98-INDEX(Calc!$AK$3:$AK$22,I98))/(INDEX(Calc!$AK$3:$AK$22,I98+1)-INDEX(Calc!$AK$3:$AK$22,I98)))^3+3*((G98-INDEX(Calc!$AK$3:$AK$22,I98))/(INDEX(Calc!$AK$3:$AK$22,I98+1)-INDEX(Calc!$AK$3:$AK$22,I98)))^2)*INDEX(Calc!$AL$3:$AL$22,I98+1)+(((G98-INDEX(Calc!$AK$3:$AK$22,I98))/(INDEX(Calc!$AK$3:$AK$22,I98+1)-INDEX(Calc!$AK$3:$AK$22,I98)))^3-((G98-INDEX(Calc!$AK$3:$AK$22,I98))/(INDEX(Calc!$AK$3:$AK$22,I98+1)-INDEX(Calc!$AK$3:$AK$22,I98)))^2)*(INDEX(Calc!$AK$3:$AK$22,I98+1)-INDEX(Calc!$AK$3:$AK$22,I98))*INDEX(Calc!$AQ$3:$AQ$22,I98),NA())</f>
        <v/>
      </c>
      <c r="I98">
        <f>IF(AND(k_gluOn,k_ng&gt;=2),MIN(k_ng-1,MAX(1,MATCH(G98,Calc!$AK$3:INDEX(Calc!$AK$3:$AK$22,k_ng),1))),1)</f>
        <v/>
      </c>
    </row>
    <row r="99">
      <c r="A99">
        <f>IF(k_ok,Grid!$B$482,NA())</f>
        <v/>
      </c>
      <c r="B99">
        <f>IF(k_ok,Grid!$Q$482,NA())</f>
        <v/>
      </c>
      <c r="C99">
        <f>IF(k_hrok,k_h0+k_h1*E99+k_h2*E99^2,NA())</f>
        <v/>
      </c>
      <c r="D99">
        <f>IF(k_ok,Grid!$Q$482/Grid!$B$482,NA())</f>
        <v/>
      </c>
      <c r="E99">
        <f>IF(k_hrok,k_hx0+(k_hx1-k_hx0)*96/200,NA())</f>
        <v/>
      </c>
      <c r="G99">
        <f>IF(AND(k_gluOn,k_ng&gt;=2),Calc!$AK$3+(INDEX(Calc!$AK$3:$AK$22,k_ng)-Calc!$AK$3)*96/200,NA())</f>
        <v/>
      </c>
      <c r="H99">
        <f>IF(AND(k_gluOn,k_ng&gt;=2),(2*((G99-INDEX(Calc!$AK$3:$AK$22,I99))/(INDEX(Calc!$AK$3:$AK$22,I99+1)-INDEX(Calc!$AK$3:$AK$22,I99)))^3-3*((G99-INDEX(Calc!$AK$3:$AK$22,I99))/(INDEX(Calc!$AK$3:$AK$22,I99+1)-INDEX(Calc!$AK$3:$AK$22,I99)))^2+1)*INDEX(Calc!$AL$3:$AL$22,I99)+(((G99-INDEX(Calc!$AK$3:$AK$22,I99))/(INDEX(Calc!$AK$3:$AK$22,I99+1)-INDEX(Calc!$AK$3:$AK$22,I99)))^3-2*((G99-INDEX(Calc!$AK$3:$AK$22,I99))/(INDEX(Calc!$AK$3:$AK$22,I99+1)-INDEX(Calc!$AK$3:$AK$22,I99)))^2+((G99-INDEX(Calc!$AK$3:$AK$22,I99))/(INDEX(Calc!$AK$3:$AK$22,I99+1)-INDEX(Calc!$AK$3:$AK$22,I99))))*(INDEX(Calc!$AK$3:$AK$22,I99+1)-INDEX(Calc!$AK$3:$AK$22,I99))*INDEX(Calc!$AP$3:$AP$22,I99)+(-2*((G99-INDEX(Calc!$AK$3:$AK$22,I99))/(INDEX(Calc!$AK$3:$AK$22,I99+1)-INDEX(Calc!$AK$3:$AK$22,I99)))^3+3*((G99-INDEX(Calc!$AK$3:$AK$22,I99))/(INDEX(Calc!$AK$3:$AK$22,I99+1)-INDEX(Calc!$AK$3:$AK$22,I99)))^2)*INDEX(Calc!$AL$3:$AL$22,I99+1)+(((G99-INDEX(Calc!$AK$3:$AK$22,I99))/(INDEX(Calc!$AK$3:$AK$22,I99+1)-INDEX(Calc!$AK$3:$AK$22,I99)))^3-((G99-INDEX(Calc!$AK$3:$AK$22,I99))/(INDEX(Calc!$AK$3:$AK$22,I99+1)-INDEX(Calc!$AK$3:$AK$22,I99)))^2)*(INDEX(Calc!$AK$3:$AK$22,I99+1)-INDEX(Calc!$AK$3:$AK$22,I99))*INDEX(Calc!$AQ$3:$AQ$22,I99),NA())</f>
        <v/>
      </c>
      <c r="I99">
        <f>IF(AND(k_gluOn,k_ng&gt;=2),MIN(k_ng-1,MAX(1,MATCH(G99,Calc!$AK$3:INDEX(Calc!$AK$3:$AK$22,k_ng),1))),1)</f>
        <v/>
      </c>
    </row>
    <row r="100">
      <c r="A100">
        <f>IF(k_ok,Grid!$B$487,NA())</f>
        <v/>
      </c>
      <c r="B100">
        <f>IF(k_ok,Grid!$Q$487,NA())</f>
        <v/>
      </c>
      <c r="C100">
        <f>IF(k_hrok,k_h0+k_h1*E100+k_h2*E100^2,NA())</f>
        <v/>
      </c>
      <c r="D100">
        <f>IF(k_ok,Grid!$Q$487/Grid!$B$487,NA())</f>
        <v/>
      </c>
      <c r="E100">
        <f>IF(k_hrok,k_hx0+(k_hx1-k_hx0)*97/200,NA())</f>
        <v/>
      </c>
      <c r="G100">
        <f>IF(AND(k_gluOn,k_ng&gt;=2),Calc!$AK$3+(INDEX(Calc!$AK$3:$AK$22,k_ng)-Calc!$AK$3)*97/200,NA())</f>
        <v/>
      </c>
      <c r="H100">
        <f>IF(AND(k_gluOn,k_ng&gt;=2),(2*((G100-INDEX(Calc!$AK$3:$AK$22,I100))/(INDEX(Calc!$AK$3:$AK$22,I100+1)-INDEX(Calc!$AK$3:$AK$22,I100)))^3-3*((G100-INDEX(Calc!$AK$3:$AK$22,I100))/(INDEX(Calc!$AK$3:$AK$22,I100+1)-INDEX(Calc!$AK$3:$AK$22,I100)))^2+1)*INDEX(Calc!$AL$3:$AL$22,I100)+(((G100-INDEX(Calc!$AK$3:$AK$22,I100))/(INDEX(Calc!$AK$3:$AK$22,I100+1)-INDEX(Calc!$AK$3:$AK$22,I100)))^3-2*((G100-INDEX(Calc!$AK$3:$AK$22,I100))/(INDEX(Calc!$AK$3:$AK$22,I100+1)-INDEX(Calc!$AK$3:$AK$22,I100)))^2+((G100-INDEX(Calc!$AK$3:$AK$22,I100))/(INDEX(Calc!$AK$3:$AK$22,I100+1)-INDEX(Calc!$AK$3:$AK$22,I100))))*(INDEX(Calc!$AK$3:$AK$22,I100+1)-INDEX(Calc!$AK$3:$AK$22,I100))*INDEX(Calc!$AP$3:$AP$22,I100)+(-2*((G100-INDEX(Calc!$AK$3:$AK$22,I100))/(INDEX(Calc!$AK$3:$AK$22,I100+1)-INDEX(Calc!$AK$3:$AK$22,I100)))^3+3*((G100-INDEX(Calc!$AK$3:$AK$22,I100))/(INDEX(Calc!$AK$3:$AK$22,I100+1)-INDEX(Calc!$AK$3:$AK$22,I100)))^2)*INDEX(Calc!$AL$3:$AL$22,I100+1)+(((G100-INDEX(Calc!$AK$3:$AK$22,I100))/(INDEX(Calc!$AK$3:$AK$22,I100+1)-INDEX(Calc!$AK$3:$AK$22,I100)))^3-((G100-INDEX(Calc!$AK$3:$AK$22,I100))/(INDEX(Calc!$AK$3:$AK$22,I100+1)-INDEX(Calc!$AK$3:$AK$22,I100)))^2)*(INDEX(Calc!$AK$3:$AK$22,I100+1)-INDEX(Calc!$AK$3:$AK$22,I100))*INDEX(Calc!$AQ$3:$AQ$22,I100),NA())</f>
        <v/>
      </c>
      <c r="I100">
        <f>IF(AND(k_gluOn,k_ng&gt;=2),MIN(k_ng-1,MAX(1,MATCH(G100,Calc!$AK$3:INDEX(Calc!$AK$3:$AK$22,k_ng),1))),1)</f>
        <v/>
      </c>
    </row>
    <row r="101">
      <c r="A101">
        <f>IF(k_ok,Grid!$B$492,NA())</f>
        <v/>
      </c>
      <c r="B101">
        <f>IF(k_ok,Grid!$Q$492,NA())</f>
        <v/>
      </c>
      <c r="C101">
        <f>IF(k_hrok,k_h0+k_h1*E101+k_h2*E101^2,NA())</f>
        <v/>
      </c>
      <c r="D101">
        <f>IF(k_ok,Grid!$Q$492/Grid!$B$492,NA())</f>
        <v/>
      </c>
      <c r="E101">
        <f>IF(k_hrok,k_hx0+(k_hx1-k_hx0)*98/200,NA())</f>
        <v/>
      </c>
      <c r="G101">
        <f>IF(AND(k_gluOn,k_ng&gt;=2),Calc!$AK$3+(INDEX(Calc!$AK$3:$AK$22,k_ng)-Calc!$AK$3)*98/200,NA())</f>
        <v/>
      </c>
      <c r="H101">
        <f>IF(AND(k_gluOn,k_ng&gt;=2),(2*((G101-INDEX(Calc!$AK$3:$AK$22,I101))/(INDEX(Calc!$AK$3:$AK$22,I101+1)-INDEX(Calc!$AK$3:$AK$22,I101)))^3-3*((G101-INDEX(Calc!$AK$3:$AK$22,I101))/(INDEX(Calc!$AK$3:$AK$22,I101+1)-INDEX(Calc!$AK$3:$AK$22,I101)))^2+1)*INDEX(Calc!$AL$3:$AL$22,I101)+(((G101-INDEX(Calc!$AK$3:$AK$22,I101))/(INDEX(Calc!$AK$3:$AK$22,I101+1)-INDEX(Calc!$AK$3:$AK$22,I101)))^3-2*((G101-INDEX(Calc!$AK$3:$AK$22,I101))/(INDEX(Calc!$AK$3:$AK$22,I101+1)-INDEX(Calc!$AK$3:$AK$22,I101)))^2+((G101-INDEX(Calc!$AK$3:$AK$22,I101))/(INDEX(Calc!$AK$3:$AK$22,I101+1)-INDEX(Calc!$AK$3:$AK$22,I101))))*(INDEX(Calc!$AK$3:$AK$22,I101+1)-INDEX(Calc!$AK$3:$AK$22,I101))*INDEX(Calc!$AP$3:$AP$22,I101)+(-2*((G101-INDEX(Calc!$AK$3:$AK$22,I101))/(INDEX(Calc!$AK$3:$AK$22,I101+1)-INDEX(Calc!$AK$3:$AK$22,I101)))^3+3*((G101-INDEX(Calc!$AK$3:$AK$22,I101))/(INDEX(Calc!$AK$3:$AK$22,I101+1)-INDEX(Calc!$AK$3:$AK$22,I101)))^2)*INDEX(Calc!$AL$3:$AL$22,I101+1)+(((G101-INDEX(Calc!$AK$3:$AK$22,I101))/(INDEX(Calc!$AK$3:$AK$22,I101+1)-INDEX(Calc!$AK$3:$AK$22,I101)))^3-((G101-INDEX(Calc!$AK$3:$AK$22,I101))/(INDEX(Calc!$AK$3:$AK$22,I101+1)-INDEX(Calc!$AK$3:$AK$22,I101)))^2)*(INDEX(Calc!$AK$3:$AK$22,I101+1)-INDEX(Calc!$AK$3:$AK$22,I101))*INDEX(Calc!$AQ$3:$AQ$22,I101),NA())</f>
        <v/>
      </c>
      <c r="I101">
        <f>IF(AND(k_gluOn,k_ng&gt;=2),MIN(k_ng-1,MAX(1,MATCH(G101,Calc!$AK$3:INDEX(Calc!$AK$3:$AK$22,k_ng),1))),1)</f>
        <v/>
      </c>
    </row>
    <row r="102">
      <c r="A102">
        <f>IF(k_ok,Grid!$B$497,NA())</f>
        <v/>
      </c>
      <c r="B102">
        <f>IF(k_ok,Grid!$Q$497,NA())</f>
        <v/>
      </c>
      <c r="C102">
        <f>IF(k_hrok,k_h0+k_h1*E102+k_h2*E102^2,NA())</f>
        <v/>
      </c>
      <c r="D102">
        <f>IF(k_ok,Grid!$Q$497/Grid!$B$497,NA())</f>
        <v/>
      </c>
      <c r="E102">
        <f>IF(k_hrok,k_hx0+(k_hx1-k_hx0)*99/200,NA())</f>
        <v/>
      </c>
      <c r="G102">
        <f>IF(AND(k_gluOn,k_ng&gt;=2),Calc!$AK$3+(INDEX(Calc!$AK$3:$AK$22,k_ng)-Calc!$AK$3)*99/200,NA())</f>
        <v/>
      </c>
      <c r="H102">
        <f>IF(AND(k_gluOn,k_ng&gt;=2),(2*((G102-INDEX(Calc!$AK$3:$AK$22,I102))/(INDEX(Calc!$AK$3:$AK$22,I102+1)-INDEX(Calc!$AK$3:$AK$22,I102)))^3-3*((G102-INDEX(Calc!$AK$3:$AK$22,I102))/(INDEX(Calc!$AK$3:$AK$22,I102+1)-INDEX(Calc!$AK$3:$AK$22,I102)))^2+1)*INDEX(Calc!$AL$3:$AL$22,I102)+(((G102-INDEX(Calc!$AK$3:$AK$22,I102))/(INDEX(Calc!$AK$3:$AK$22,I102+1)-INDEX(Calc!$AK$3:$AK$22,I102)))^3-2*((G102-INDEX(Calc!$AK$3:$AK$22,I102))/(INDEX(Calc!$AK$3:$AK$22,I102+1)-INDEX(Calc!$AK$3:$AK$22,I102)))^2+((G102-INDEX(Calc!$AK$3:$AK$22,I102))/(INDEX(Calc!$AK$3:$AK$22,I102+1)-INDEX(Calc!$AK$3:$AK$22,I102))))*(INDEX(Calc!$AK$3:$AK$22,I102+1)-INDEX(Calc!$AK$3:$AK$22,I102))*INDEX(Calc!$AP$3:$AP$22,I102)+(-2*((G102-INDEX(Calc!$AK$3:$AK$22,I102))/(INDEX(Calc!$AK$3:$AK$22,I102+1)-INDEX(Calc!$AK$3:$AK$22,I102)))^3+3*((G102-INDEX(Calc!$AK$3:$AK$22,I102))/(INDEX(Calc!$AK$3:$AK$22,I102+1)-INDEX(Calc!$AK$3:$AK$22,I102)))^2)*INDEX(Calc!$AL$3:$AL$22,I102+1)+(((G102-INDEX(Calc!$AK$3:$AK$22,I102))/(INDEX(Calc!$AK$3:$AK$22,I102+1)-INDEX(Calc!$AK$3:$AK$22,I102)))^3-((G102-INDEX(Calc!$AK$3:$AK$22,I102))/(INDEX(Calc!$AK$3:$AK$22,I102+1)-INDEX(Calc!$AK$3:$AK$22,I102)))^2)*(INDEX(Calc!$AK$3:$AK$22,I102+1)-INDEX(Calc!$AK$3:$AK$22,I102))*INDEX(Calc!$AQ$3:$AQ$22,I102),NA())</f>
        <v/>
      </c>
      <c r="I102">
        <f>IF(AND(k_gluOn,k_ng&gt;=2),MIN(k_ng-1,MAX(1,MATCH(G102,Calc!$AK$3:INDEX(Calc!$AK$3:$AK$22,k_ng),1))),1)</f>
        <v/>
      </c>
    </row>
    <row r="103">
      <c r="A103">
        <f>IF(k_ok,Grid!$B$502,NA())</f>
        <v/>
      </c>
      <c r="B103">
        <f>IF(k_ok,Grid!$Q$502,NA())</f>
        <v/>
      </c>
      <c r="C103">
        <f>IF(k_hrok,k_h0+k_h1*E103+k_h2*E103^2,NA())</f>
        <v/>
      </c>
      <c r="D103">
        <f>IF(k_ok,Grid!$Q$502/Grid!$B$502,NA())</f>
        <v/>
      </c>
      <c r="E103">
        <f>IF(k_hrok,k_hx0+(k_hx1-k_hx0)*100/200,NA())</f>
        <v/>
      </c>
      <c r="G103">
        <f>IF(AND(k_gluOn,k_ng&gt;=2),Calc!$AK$3+(INDEX(Calc!$AK$3:$AK$22,k_ng)-Calc!$AK$3)*100/200,NA())</f>
        <v/>
      </c>
      <c r="H103">
        <f>IF(AND(k_gluOn,k_ng&gt;=2),(2*((G103-INDEX(Calc!$AK$3:$AK$22,I103))/(INDEX(Calc!$AK$3:$AK$22,I103+1)-INDEX(Calc!$AK$3:$AK$22,I103)))^3-3*((G103-INDEX(Calc!$AK$3:$AK$22,I103))/(INDEX(Calc!$AK$3:$AK$22,I103+1)-INDEX(Calc!$AK$3:$AK$22,I103)))^2+1)*INDEX(Calc!$AL$3:$AL$22,I103)+(((G103-INDEX(Calc!$AK$3:$AK$22,I103))/(INDEX(Calc!$AK$3:$AK$22,I103+1)-INDEX(Calc!$AK$3:$AK$22,I103)))^3-2*((G103-INDEX(Calc!$AK$3:$AK$22,I103))/(INDEX(Calc!$AK$3:$AK$22,I103+1)-INDEX(Calc!$AK$3:$AK$22,I103)))^2+((G103-INDEX(Calc!$AK$3:$AK$22,I103))/(INDEX(Calc!$AK$3:$AK$22,I103+1)-INDEX(Calc!$AK$3:$AK$22,I103))))*(INDEX(Calc!$AK$3:$AK$22,I103+1)-INDEX(Calc!$AK$3:$AK$22,I103))*INDEX(Calc!$AP$3:$AP$22,I103)+(-2*((G103-INDEX(Calc!$AK$3:$AK$22,I103))/(INDEX(Calc!$AK$3:$AK$22,I103+1)-INDEX(Calc!$AK$3:$AK$22,I103)))^3+3*((G103-INDEX(Calc!$AK$3:$AK$22,I103))/(INDEX(Calc!$AK$3:$AK$22,I103+1)-INDEX(Calc!$AK$3:$AK$22,I103)))^2)*INDEX(Calc!$AL$3:$AL$22,I103+1)+(((G103-INDEX(Calc!$AK$3:$AK$22,I103))/(INDEX(Calc!$AK$3:$AK$22,I103+1)-INDEX(Calc!$AK$3:$AK$22,I103)))^3-((G103-INDEX(Calc!$AK$3:$AK$22,I103))/(INDEX(Calc!$AK$3:$AK$22,I103+1)-INDEX(Calc!$AK$3:$AK$22,I103)))^2)*(INDEX(Calc!$AK$3:$AK$22,I103+1)-INDEX(Calc!$AK$3:$AK$22,I103))*INDEX(Calc!$AQ$3:$AQ$22,I103),NA())</f>
        <v/>
      </c>
      <c r="I103">
        <f>IF(AND(k_gluOn,k_ng&gt;=2),MIN(k_ng-1,MAX(1,MATCH(G103,Calc!$AK$3:INDEX(Calc!$AK$3:$AK$22,k_ng),1))),1)</f>
        <v/>
      </c>
    </row>
    <row r="104">
      <c r="A104">
        <f>IF(k_ok,Grid!$B$507,NA())</f>
        <v/>
      </c>
      <c r="B104">
        <f>IF(k_ok,Grid!$Q$507,NA())</f>
        <v/>
      </c>
      <c r="C104">
        <f>IF(k_hrok,k_h0+k_h1*E104+k_h2*E104^2,NA())</f>
        <v/>
      </c>
      <c r="D104">
        <f>IF(k_ok,Grid!$Q$507/Grid!$B$507,NA())</f>
        <v/>
      </c>
      <c r="E104">
        <f>IF(k_hrok,k_hx0+(k_hx1-k_hx0)*101/200,NA())</f>
        <v/>
      </c>
      <c r="G104">
        <f>IF(AND(k_gluOn,k_ng&gt;=2),Calc!$AK$3+(INDEX(Calc!$AK$3:$AK$22,k_ng)-Calc!$AK$3)*101/200,NA())</f>
        <v/>
      </c>
      <c r="H104">
        <f>IF(AND(k_gluOn,k_ng&gt;=2),(2*((G104-INDEX(Calc!$AK$3:$AK$22,I104))/(INDEX(Calc!$AK$3:$AK$22,I104+1)-INDEX(Calc!$AK$3:$AK$22,I104)))^3-3*((G104-INDEX(Calc!$AK$3:$AK$22,I104))/(INDEX(Calc!$AK$3:$AK$22,I104+1)-INDEX(Calc!$AK$3:$AK$22,I104)))^2+1)*INDEX(Calc!$AL$3:$AL$22,I104)+(((G104-INDEX(Calc!$AK$3:$AK$22,I104))/(INDEX(Calc!$AK$3:$AK$22,I104+1)-INDEX(Calc!$AK$3:$AK$22,I104)))^3-2*((G104-INDEX(Calc!$AK$3:$AK$22,I104))/(INDEX(Calc!$AK$3:$AK$22,I104+1)-INDEX(Calc!$AK$3:$AK$22,I104)))^2+((G104-INDEX(Calc!$AK$3:$AK$22,I104))/(INDEX(Calc!$AK$3:$AK$22,I104+1)-INDEX(Calc!$AK$3:$AK$22,I104))))*(INDEX(Calc!$AK$3:$AK$22,I104+1)-INDEX(Calc!$AK$3:$AK$22,I104))*INDEX(Calc!$AP$3:$AP$22,I104)+(-2*((G104-INDEX(Calc!$AK$3:$AK$22,I104))/(INDEX(Calc!$AK$3:$AK$22,I104+1)-INDEX(Calc!$AK$3:$AK$22,I104)))^3+3*((G104-INDEX(Calc!$AK$3:$AK$22,I104))/(INDEX(Calc!$AK$3:$AK$22,I104+1)-INDEX(Calc!$AK$3:$AK$22,I104)))^2)*INDEX(Calc!$AL$3:$AL$22,I104+1)+(((G104-INDEX(Calc!$AK$3:$AK$22,I104))/(INDEX(Calc!$AK$3:$AK$22,I104+1)-INDEX(Calc!$AK$3:$AK$22,I104)))^3-((G104-INDEX(Calc!$AK$3:$AK$22,I104))/(INDEX(Calc!$AK$3:$AK$22,I104+1)-INDEX(Calc!$AK$3:$AK$22,I104)))^2)*(INDEX(Calc!$AK$3:$AK$22,I104+1)-INDEX(Calc!$AK$3:$AK$22,I104))*INDEX(Calc!$AQ$3:$AQ$22,I104),NA())</f>
        <v/>
      </c>
      <c r="I104">
        <f>IF(AND(k_gluOn,k_ng&gt;=2),MIN(k_ng-1,MAX(1,MATCH(G104,Calc!$AK$3:INDEX(Calc!$AK$3:$AK$22,k_ng),1))),1)</f>
        <v/>
      </c>
    </row>
    <row r="105">
      <c r="A105">
        <f>IF(k_ok,Grid!$B$512,NA())</f>
        <v/>
      </c>
      <c r="B105">
        <f>IF(k_ok,Grid!$Q$512,NA())</f>
        <v/>
      </c>
      <c r="C105">
        <f>IF(k_hrok,k_h0+k_h1*E105+k_h2*E105^2,NA())</f>
        <v/>
      </c>
      <c r="D105">
        <f>IF(k_ok,Grid!$Q$512/Grid!$B$512,NA())</f>
        <v/>
      </c>
      <c r="E105">
        <f>IF(k_hrok,k_hx0+(k_hx1-k_hx0)*102/200,NA())</f>
        <v/>
      </c>
      <c r="G105">
        <f>IF(AND(k_gluOn,k_ng&gt;=2),Calc!$AK$3+(INDEX(Calc!$AK$3:$AK$22,k_ng)-Calc!$AK$3)*102/200,NA())</f>
        <v/>
      </c>
      <c r="H105">
        <f>IF(AND(k_gluOn,k_ng&gt;=2),(2*((G105-INDEX(Calc!$AK$3:$AK$22,I105))/(INDEX(Calc!$AK$3:$AK$22,I105+1)-INDEX(Calc!$AK$3:$AK$22,I105)))^3-3*((G105-INDEX(Calc!$AK$3:$AK$22,I105))/(INDEX(Calc!$AK$3:$AK$22,I105+1)-INDEX(Calc!$AK$3:$AK$22,I105)))^2+1)*INDEX(Calc!$AL$3:$AL$22,I105)+(((G105-INDEX(Calc!$AK$3:$AK$22,I105))/(INDEX(Calc!$AK$3:$AK$22,I105+1)-INDEX(Calc!$AK$3:$AK$22,I105)))^3-2*((G105-INDEX(Calc!$AK$3:$AK$22,I105))/(INDEX(Calc!$AK$3:$AK$22,I105+1)-INDEX(Calc!$AK$3:$AK$22,I105)))^2+((G105-INDEX(Calc!$AK$3:$AK$22,I105))/(INDEX(Calc!$AK$3:$AK$22,I105+1)-INDEX(Calc!$AK$3:$AK$22,I105))))*(INDEX(Calc!$AK$3:$AK$22,I105+1)-INDEX(Calc!$AK$3:$AK$22,I105))*INDEX(Calc!$AP$3:$AP$22,I105)+(-2*((G105-INDEX(Calc!$AK$3:$AK$22,I105))/(INDEX(Calc!$AK$3:$AK$22,I105+1)-INDEX(Calc!$AK$3:$AK$22,I105)))^3+3*((G105-INDEX(Calc!$AK$3:$AK$22,I105))/(INDEX(Calc!$AK$3:$AK$22,I105+1)-INDEX(Calc!$AK$3:$AK$22,I105)))^2)*INDEX(Calc!$AL$3:$AL$22,I105+1)+(((G105-INDEX(Calc!$AK$3:$AK$22,I105))/(INDEX(Calc!$AK$3:$AK$22,I105+1)-INDEX(Calc!$AK$3:$AK$22,I105)))^3-((G105-INDEX(Calc!$AK$3:$AK$22,I105))/(INDEX(Calc!$AK$3:$AK$22,I105+1)-INDEX(Calc!$AK$3:$AK$22,I105)))^2)*(INDEX(Calc!$AK$3:$AK$22,I105+1)-INDEX(Calc!$AK$3:$AK$22,I105))*INDEX(Calc!$AQ$3:$AQ$22,I105),NA())</f>
        <v/>
      </c>
      <c r="I105">
        <f>IF(AND(k_gluOn,k_ng&gt;=2),MIN(k_ng-1,MAX(1,MATCH(G105,Calc!$AK$3:INDEX(Calc!$AK$3:$AK$22,k_ng),1))),1)</f>
        <v/>
      </c>
    </row>
    <row r="106">
      <c r="A106">
        <f>IF(k_ok,Grid!$B$517,NA())</f>
        <v/>
      </c>
      <c r="B106">
        <f>IF(k_ok,Grid!$Q$517,NA())</f>
        <v/>
      </c>
      <c r="C106">
        <f>IF(k_hrok,k_h0+k_h1*E106+k_h2*E106^2,NA())</f>
        <v/>
      </c>
      <c r="D106">
        <f>IF(k_ok,Grid!$Q$517/Grid!$B$517,NA())</f>
        <v/>
      </c>
      <c r="E106">
        <f>IF(k_hrok,k_hx0+(k_hx1-k_hx0)*103/200,NA())</f>
        <v/>
      </c>
      <c r="G106">
        <f>IF(AND(k_gluOn,k_ng&gt;=2),Calc!$AK$3+(INDEX(Calc!$AK$3:$AK$22,k_ng)-Calc!$AK$3)*103/200,NA())</f>
        <v/>
      </c>
      <c r="H106">
        <f>IF(AND(k_gluOn,k_ng&gt;=2),(2*((G106-INDEX(Calc!$AK$3:$AK$22,I106))/(INDEX(Calc!$AK$3:$AK$22,I106+1)-INDEX(Calc!$AK$3:$AK$22,I106)))^3-3*((G106-INDEX(Calc!$AK$3:$AK$22,I106))/(INDEX(Calc!$AK$3:$AK$22,I106+1)-INDEX(Calc!$AK$3:$AK$22,I106)))^2+1)*INDEX(Calc!$AL$3:$AL$22,I106)+(((G106-INDEX(Calc!$AK$3:$AK$22,I106))/(INDEX(Calc!$AK$3:$AK$22,I106+1)-INDEX(Calc!$AK$3:$AK$22,I106)))^3-2*((G106-INDEX(Calc!$AK$3:$AK$22,I106))/(INDEX(Calc!$AK$3:$AK$22,I106+1)-INDEX(Calc!$AK$3:$AK$22,I106)))^2+((G106-INDEX(Calc!$AK$3:$AK$22,I106))/(INDEX(Calc!$AK$3:$AK$22,I106+1)-INDEX(Calc!$AK$3:$AK$22,I106))))*(INDEX(Calc!$AK$3:$AK$22,I106+1)-INDEX(Calc!$AK$3:$AK$22,I106))*INDEX(Calc!$AP$3:$AP$22,I106)+(-2*((G106-INDEX(Calc!$AK$3:$AK$22,I106))/(INDEX(Calc!$AK$3:$AK$22,I106+1)-INDEX(Calc!$AK$3:$AK$22,I106)))^3+3*((G106-INDEX(Calc!$AK$3:$AK$22,I106))/(INDEX(Calc!$AK$3:$AK$22,I106+1)-INDEX(Calc!$AK$3:$AK$22,I106)))^2)*INDEX(Calc!$AL$3:$AL$22,I106+1)+(((G106-INDEX(Calc!$AK$3:$AK$22,I106))/(INDEX(Calc!$AK$3:$AK$22,I106+1)-INDEX(Calc!$AK$3:$AK$22,I106)))^3-((G106-INDEX(Calc!$AK$3:$AK$22,I106))/(INDEX(Calc!$AK$3:$AK$22,I106+1)-INDEX(Calc!$AK$3:$AK$22,I106)))^2)*(INDEX(Calc!$AK$3:$AK$22,I106+1)-INDEX(Calc!$AK$3:$AK$22,I106))*INDEX(Calc!$AQ$3:$AQ$22,I106),NA())</f>
        <v/>
      </c>
      <c r="I106">
        <f>IF(AND(k_gluOn,k_ng&gt;=2),MIN(k_ng-1,MAX(1,MATCH(G106,Calc!$AK$3:INDEX(Calc!$AK$3:$AK$22,k_ng),1))),1)</f>
        <v/>
      </c>
    </row>
    <row r="107">
      <c r="A107">
        <f>IF(k_ok,Grid!$B$522,NA())</f>
        <v/>
      </c>
      <c r="B107">
        <f>IF(k_ok,Grid!$Q$522,NA())</f>
        <v/>
      </c>
      <c r="C107">
        <f>IF(k_hrok,k_h0+k_h1*E107+k_h2*E107^2,NA())</f>
        <v/>
      </c>
      <c r="D107">
        <f>IF(k_ok,Grid!$Q$522/Grid!$B$522,NA())</f>
        <v/>
      </c>
      <c r="E107">
        <f>IF(k_hrok,k_hx0+(k_hx1-k_hx0)*104/200,NA())</f>
        <v/>
      </c>
      <c r="G107">
        <f>IF(AND(k_gluOn,k_ng&gt;=2),Calc!$AK$3+(INDEX(Calc!$AK$3:$AK$22,k_ng)-Calc!$AK$3)*104/200,NA())</f>
        <v/>
      </c>
      <c r="H107">
        <f>IF(AND(k_gluOn,k_ng&gt;=2),(2*((G107-INDEX(Calc!$AK$3:$AK$22,I107))/(INDEX(Calc!$AK$3:$AK$22,I107+1)-INDEX(Calc!$AK$3:$AK$22,I107)))^3-3*((G107-INDEX(Calc!$AK$3:$AK$22,I107))/(INDEX(Calc!$AK$3:$AK$22,I107+1)-INDEX(Calc!$AK$3:$AK$22,I107)))^2+1)*INDEX(Calc!$AL$3:$AL$22,I107)+(((G107-INDEX(Calc!$AK$3:$AK$22,I107))/(INDEX(Calc!$AK$3:$AK$22,I107+1)-INDEX(Calc!$AK$3:$AK$22,I107)))^3-2*((G107-INDEX(Calc!$AK$3:$AK$22,I107))/(INDEX(Calc!$AK$3:$AK$22,I107+1)-INDEX(Calc!$AK$3:$AK$22,I107)))^2+((G107-INDEX(Calc!$AK$3:$AK$22,I107))/(INDEX(Calc!$AK$3:$AK$22,I107+1)-INDEX(Calc!$AK$3:$AK$22,I107))))*(INDEX(Calc!$AK$3:$AK$22,I107+1)-INDEX(Calc!$AK$3:$AK$22,I107))*INDEX(Calc!$AP$3:$AP$22,I107)+(-2*((G107-INDEX(Calc!$AK$3:$AK$22,I107))/(INDEX(Calc!$AK$3:$AK$22,I107+1)-INDEX(Calc!$AK$3:$AK$22,I107)))^3+3*((G107-INDEX(Calc!$AK$3:$AK$22,I107))/(INDEX(Calc!$AK$3:$AK$22,I107+1)-INDEX(Calc!$AK$3:$AK$22,I107)))^2)*INDEX(Calc!$AL$3:$AL$22,I107+1)+(((G107-INDEX(Calc!$AK$3:$AK$22,I107))/(INDEX(Calc!$AK$3:$AK$22,I107+1)-INDEX(Calc!$AK$3:$AK$22,I107)))^3-((G107-INDEX(Calc!$AK$3:$AK$22,I107))/(INDEX(Calc!$AK$3:$AK$22,I107+1)-INDEX(Calc!$AK$3:$AK$22,I107)))^2)*(INDEX(Calc!$AK$3:$AK$22,I107+1)-INDEX(Calc!$AK$3:$AK$22,I107))*INDEX(Calc!$AQ$3:$AQ$22,I107),NA())</f>
        <v/>
      </c>
      <c r="I107">
        <f>IF(AND(k_gluOn,k_ng&gt;=2),MIN(k_ng-1,MAX(1,MATCH(G107,Calc!$AK$3:INDEX(Calc!$AK$3:$AK$22,k_ng),1))),1)</f>
        <v/>
      </c>
    </row>
    <row r="108">
      <c r="A108">
        <f>IF(k_ok,Grid!$B$527,NA())</f>
        <v/>
      </c>
      <c r="B108">
        <f>IF(k_ok,Grid!$Q$527,NA())</f>
        <v/>
      </c>
      <c r="C108">
        <f>IF(k_hrok,k_h0+k_h1*E108+k_h2*E108^2,NA())</f>
        <v/>
      </c>
      <c r="D108">
        <f>IF(k_ok,Grid!$Q$527/Grid!$B$527,NA())</f>
        <v/>
      </c>
      <c r="E108">
        <f>IF(k_hrok,k_hx0+(k_hx1-k_hx0)*105/200,NA())</f>
        <v/>
      </c>
      <c r="G108">
        <f>IF(AND(k_gluOn,k_ng&gt;=2),Calc!$AK$3+(INDEX(Calc!$AK$3:$AK$22,k_ng)-Calc!$AK$3)*105/200,NA())</f>
        <v/>
      </c>
      <c r="H108">
        <f>IF(AND(k_gluOn,k_ng&gt;=2),(2*((G108-INDEX(Calc!$AK$3:$AK$22,I108))/(INDEX(Calc!$AK$3:$AK$22,I108+1)-INDEX(Calc!$AK$3:$AK$22,I108)))^3-3*((G108-INDEX(Calc!$AK$3:$AK$22,I108))/(INDEX(Calc!$AK$3:$AK$22,I108+1)-INDEX(Calc!$AK$3:$AK$22,I108)))^2+1)*INDEX(Calc!$AL$3:$AL$22,I108)+(((G108-INDEX(Calc!$AK$3:$AK$22,I108))/(INDEX(Calc!$AK$3:$AK$22,I108+1)-INDEX(Calc!$AK$3:$AK$22,I108)))^3-2*((G108-INDEX(Calc!$AK$3:$AK$22,I108))/(INDEX(Calc!$AK$3:$AK$22,I108+1)-INDEX(Calc!$AK$3:$AK$22,I108)))^2+((G108-INDEX(Calc!$AK$3:$AK$22,I108))/(INDEX(Calc!$AK$3:$AK$22,I108+1)-INDEX(Calc!$AK$3:$AK$22,I108))))*(INDEX(Calc!$AK$3:$AK$22,I108+1)-INDEX(Calc!$AK$3:$AK$22,I108))*INDEX(Calc!$AP$3:$AP$22,I108)+(-2*((G108-INDEX(Calc!$AK$3:$AK$22,I108))/(INDEX(Calc!$AK$3:$AK$22,I108+1)-INDEX(Calc!$AK$3:$AK$22,I108)))^3+3*((G108-INDEX(Calc!$AK$3:$AK$22,I108))/(INDEX(Calc!$AK$3:$AK$22,I108+1)-INDEX(Calc!$AK$3:$AK$22,I108)))^2)*INDEX(Calc!$AL$3:$AL$22,I108+1)+(((G108-INDEX(Calc!$AK$3:$AK$22,I108))/(INDEX(Calc!$AK$3:$AK$22,I108+1)-INDEX(Calc!$AK$3:$AK$22,I108)))^3-((G108-INDEX(Calc!$AK$3:$AK$22,I108))/(INDEX(Calc!$AK$3:$AK$22,I108+1)-INDEX(Calc!$AK$3:$AK$22,I108)))^2)*(INDEX(Calc!$AK$3:$AK$22,I108+1)-INDEX(Calc!$AK$3:$AK$22,I108))*INDEX(Calc!$AQ$3:$AQ$22,I108),NA())</f>
        <v/>
      </c>
      <c r="I108">
        <f>IF(AND(k_gluOn,k_ng&gt;=2),MIN(k_ng-1,MAX(1,MATCH(G108,Calc!$AK$3:INDEX(Calc!$AK$3:$AK$22,k_ng),1))),1)</f>
        <v/>
      </c>
    </row>
    <row r="109">
      <c r="A109">
        <f>IF(k_ok,Grid!$B$532,NA())</f>
        <v/>
      </c>
      <c r="B109">
        <f>IF(k_ok,Grid!$Q$532,NA())</f>
        <v/>
      </c>
      <c r="C109">
        <f>IF(k_hrok,k_h0+k_h1*E109+k_h2*E109^2,NA())</f>
        <v/>
      </c>
      <c r="D109">
        <f>IF(k_ok,Grid!$Q$532/Grid!$B$532,NA())</f>
        <v/>
      </c>
      <c r="E109">
        <f>IF(k_hrok,k_hx0+(k_hx1-k_hx0)*106/200,NA())</f>
        <v/>
      </c>
      <c r="G109">
        <f>IF(AND(k_gluOn,k_ng&gt;=2),Calc!$AK$3+(INDEX(Calc!$AK$3:$AK$22,k_ng)-Calc!$AK$3)*106/200,NA())</f>
        <v/>
      </c>
      <c r="H109">
        <f>IF(AND(k_gluOn,k_ng&gt;=2),(2*((G109-INDEX(Calc!$AK$3:$AK$22,I109))/(INDEX(Calc!$AK$3:$AK$22,I109+1)-INDEX(Calc!$AK$3:$AK$22,I109)))^3-3*((G109-INDEX(Calc!$AK$3:$AK$22,I109))/(INDEX(Calc!$AK$3:$AK$22,I109+1)-INDEX(Calc!$AK$3:$AK$22,I109)))^2+1)*INDEX(Calc!$AL$3:$AL$22,I109)+(((G109-INDEX(Calc!$AK$3:$AK$22,I109))/(INDEX(Calc!$AK$3:$AK$22,I109+1)-INDEX(Calc!$AK$3:$AK$22,I109)))^3-2*((G109-INDEX(Calc!$AK$3:$AK$22,I109))/(INDEX(Calc!$AK$3:$AK$22,I109+1)-INDEX(Calc!$AK$3:$AK$22,I109)))^2+((G109-INDEX(Calc!$AK$3:$AK$22,I109))/(INDEX(Calc!$AK$3:$AK$22,I109+1)-INDEX(Calc!$AK$3:$AK$22,I109))))*(INDEX(Calc!$AK$3:$AK$22,I109+1)-INDEX(Calc!$AK$3:$AK$22,I109))*INDEX(Calc!$AP$3:$AP$22,I109)+(-2*((G109-INDEX(Calc!$AK$3:$AK$22,I109))/(INDEX(Calc!$AK$3:$AK$22,I109+1)-INDEX(Calc!$AK$3:$AK$22,I109)))^3+3*((G109-INDEX(Calc!$AK$3:$AK$22,I109))/(INDEX(Calc!$AK$3:$AK$22,I109+1)-INDEX(Calc!$AK$3:$AK$22,I109)))^2)*INDEX(Calc!$AL$3:$AL$22,I109+1)+(((G109-INDEX(Calc!$AK$3:$AK$22,I109))/(INDEX(Calc!$AK$3:$AK$22,I109+1)-INDEX(Calc!$AK$3:$AK$22,I109)))^3-((G109-INDEX(Calc!$AK$3:$AK$22,I109))/(INDEX(Calc!$AK$3:$AK$22,I109+1)-INDEX(Calc!$AK$3:$AK$22,I109)))^2)*(INDEX(Calc!$AK$3:$AK$22,I109+1)-INDEX(Calc!$AK$3:$AK$22,I109))*INDEX(Calc!$AQ$3:$AQ$22,I109),NA())</f>
        <v/>
      </c>
      <c r="I109">
        <f>IF(AND(k_gluOn,k_ng&gt;=2),MIN(k_ng-1,MAX(1,MATCH(G109,Calc!$AK$3:INDEX(Calc!$AK$3:$AK$22,k_ng),1))),1)</f>
        <v/>
      </c>
    </row>
    <row r="110">
      <c r="A110">
        <f>IF(k_ok,Grid!$B$537,NA())</f>
        <v/>
      </c>
      <c r="B110">
        <f>IF(k_ok,Grid!$Q$537,NA())</f>
        <v/>
      </c>
      <c r="C110">
        <f>IF(k_hrok,k_h0+k_h1*E110+k_h2*E110^2,NA())</f>
        <v/>
      </c>
      <c r="D110">
        <f>IF(k_ok,Grid!$Q$537/Grid!$B$537,NA())</f>
        <v/>
      </c>
      <c r="E110">
        <f>IF(k_hrok,k_hx0+(k_hx1-k_hx0)*107/200,NA())</f>
        <v/>
      </c>
      <c r="G110">
        <f>IF(AND(k_gluOn,k_ng&gt;=2),Calc!$AK$3+(INDEX(Calc!$AK$3:$AK$22,k_ng)-Calc!$AK$3)*107/200,NA())</f>
        <v/>
      </c>
      <c r="H110">
        <f>IF(AND(k_gluOn,k_ng&gt;=2),(2*((G110-INDEX(Calc!$AK$3:$AK$22,I110))/(INDEX(Calc!$AK$3:$AK$22,I110+1)-INDEX(Calc!$AK$3:$AK$22,I110)))^3-3*((G110-INDEX(Calc!$AK$3:$AK$22,I110))/(INDEX(Calc!$AK$3:$AK$22,I110+1)-INDEX(Calc!$AK$3:$AK$22,I110)))^2+1)*INDEX(Calc!$AL$3:$AL$22,I110)+(((G110-INDEX(Calc!$AK$3:$AK$22,I110))/(INDEX(Calc!$AK$3:$AK$22,I110+1)-INDEX(Calc!$AK$3:$AK$22,I110)))^3-2*((G110-INDEX(Calc!$AK$3:$AK$22,I110))/(INDEX(Calc!$AK$3:$AK$22,I110+1)-INDEX(Calc!$AK$3:$AK$22,I110)))^2+((G110-INDEX(Calc!$AK$3:$AK$22,I110))/(INDEX(Calc!$AK$3:$AK$22,I110+1)-INDEX(Calc!$AK$3:$AK$22,I110))))*(INDEX(Calc!$AK$3:$AK$22,I110+1)-INDEX(Calc!$AK$3:$AK$22,I110))*INDEX(Calc!$AP$3:$AP$22,I110)+(-2*((G110-INDEX(Calc!$AK$3:$AK$22,I110))/(INDEX(Calc!$AK$3:$AK$22,I110+1)-INDEX(Calc!$AK$3:$AK$22,I110)))^3+3*((G110-INDEX(Calc!$AK$3:$AK$22,I110))/(INDEX(Calc!$AK$3:$AK$22,I110+1)-INDEX(Calc!$AK$3:$AK$22,I110)))^2)*INDEX(Calc!$AL$3:$AL$22,I110+1)+(((G110-INDEX(Calc!$AK$3:$AK$22,I110))/(INDEX(Calc!$AK$3:$AK$22,I110+1)-INDEX(Calc!$AK$3:$AK$22,I110)))^3-((G110-INDEX(Calc!$AK$3:$AK$22,I110))/(INDEX(Calc!$AK$3:$AK$22,I110+1)-INDEX(Calc!$AK$3:$AK$22,I110)))^2)*(INDEX(Calc!$AK$3:$AK$22,I110+1)-INDEX(Calc!$AK$3:$AK$22,I110))*INDEX(Calc!$AQ$3:$AQ$22,I110),NA())</f>
        <v/>
      </c>
      <c r="I110">
        <f>IF(AND(k_gluOn,k_ng&gt;=2),MIN(k_ng-1,MAX(1,MATCH(G110,Calc!$AK$3:INDEX(Calc!$AK$3:$AK$22,k_ng),1))),1)</f>
        <v/>
      </c>
    </row>
    <row r="111">
      <c r="A111">
        <f>IF(k_ok,Grid!$B$542,NA())</f>
        <v/>
      </c>
      <c r="B111">
        <f>IF(k_ok,Grid!$Q$542,NA())</f>
        <v/>
      </c>
      <c r="C111">
        <f>IF(k_hrok,k_h0+k_h1*E111+k_h2*E111^2,NA())</f>
        <v/>
      </c>
      <c r="D111">
        <f>IF(k_ok,Grid!$Q$542/Grid!$B$542,NA())</f>
        <v/>
      </c>
      <c r="E111">
        <f>IF(k_hrok,k_hx0+(k_hx1-k_hx0)*108/200,NA())</f>
        <v/>
      </c>
      <c r="G111">
        <f>IF(AND(k_gluOn,k_ng&gt;=2),Calc!$AK$3+(INDEX(Calc!$AK$3:$AK$22,k_ng)-Calc!$AK$3)*108/200,NA())</f>
        <v/>
      </c>
      <c r="H111">
        <f>IF(AND(k_gluOn,k_ng&gt;=2),(2*((G111-INDEX(Calc!$AK$3:$AK$22,I111))/(INDEX(Calc!$AK$3:$AK$22,I111+1)-INDEX(Calc!$AK$3:$AK$22,I111)))^3-3*((G111-INDEX(Calc!$AK$3:$AK$22,I111))/(INDEX(Calc!$AK$3:$AK$22,I111+1)-INDEX(Calc!$AK$3:$AK$22,I111)))^2+1)*INDEX(Calc!$AL$3:$AL$22,I111)+(((G111-INDEX(Calc!$AK$3:$AK$22,I111))/(INDEX(Calc!$AK$3:$AK$22,I111+1)-INDEX(Calc!$AK$3:$AK$22,I111)))^3-2*((G111-INDEX(Calc!$AK$3:$AK$22,I111))/(INDEX(Calc!$AK$3:$AK$22,I111+1)-INDEX(Calc!$AK$3:$AK$22,I111)))^2+((G111-INDEX(Calc!$AK$3:$AK$22,I111))/(INDEX(Calc!$AK$3:$AK$22,I111+1)-INDEX(Calc!$AK$3:$AK$22,I111))))*(INDEX(Calc!$AK$3:$AK$22,I111+1)-INDEX(Calc!$AK$3:$AK$22,I111))*INDEX(Calc!$AP$3:$AP$22,I111)+(-2*((G111-INDEX(Calc!$AK$3:$AK$22,I111))/(INDEX(Calc!$AK$3:$AK$22,I111+1)-INDEX(Calc!$AK$3:$AK$22,I111)))^3+3*((G111-INDEX(Calc!$AK$3:$AK$22,I111))/(INDEX(Calc!$AK$3:$AK$22,I111+1)-INDEX(Calc!$AK$3:$AK$22,I111)))^2)*INDEX(Calc!$AL$3:$AL$22,I111+1)+(((G111-INDEX(Calc!$AK$3:$AK$22,I111))/(INDEX(Calc!$AK$3:$AK$22,I111+1)-INDEX(Calc!$AK$3:$AK$22,I111)))^3-((G111-INDEX(Calc!$AK$3:$AK$22,I111))/(INDEX(Calc!$AK$3:$AK$22,I111+1)-INDEX(Calc!$AK$3:$AK$22,I111)))^2)*(INDEX(Calc!$AK$3:$AK$22,I111+1)-INDEX(Calc!$AK$3:$AK$22,I111))*INDEX(Calc!$AQ$3:$AQ$22,I111),NA())</f>
        <v/>
      </c>
      <c r="I111">
        <f>IF(AND(k_gluOn,k_ng&gt;=2),MIN(k_ng-1,MAX(1,MATCH(G111,Calc!$AK$3:INDEX(Calc!$AK$3:$AK$22,k_ng),1))),1)</f>
        <v/>
      </c>
    </row>
    <row r="112">
      <c r="A112">
        <f>IF(k_ok,Grid!$B$547,NA())</f>
        <v/>
      </c>
      <c r="B112">
        <f>IF(k_ok,Grid!$Q$547,NA())</f>
        <v/>
      </c>
      <c r="C112">
        <f>IF(k_hrok,k_h0+k_h1*E112+k_h2*E112^2,NA())</f>
        <v/>
      </c>
      <c r="D112">
        <f>IF(k_ok,Grid!$Q$547/Grid!$B$547,NA())</f>
        <v/>
      </c>
      <c r="E112">
        <f>IF(k_hrok,k_hx0+(k_hx1-k_hx0)*109/200,NA())</f>
        <v/>
      </c>
      <c r="G112">
        <f>IF(AND(k_gluOn,k_ng&gt;=2),Calc!$AK$3+(INDEX(Calc!$AK$3:$AK$22,k_ng)-Calc!$AK$3)*109/200,NA())</f>
        <v/>
      </c>
      <c r="H112">
        <f>IF(AND(k_gluOn,k_ng&gt;=2),(2*((G112-INDEX(Calc!$AK$3:$AK$22,I112))/(INDEX(Calc!$AK$3:$AK$22,I112+1)-INDEX(Calc!$AK$3:$AK$22,I112)))^3-3*((G112-INDEX(Calc!$AK$3:$AK$22,I112))/(INDEX(Calc!$AK$3:$AK$22,I112+1)-INDEX(Calc!$AK$3:$AK$22,I112)))^2+1)*INDEX(Calc!$AL$3:$AL$22,I112)+(((G112-INDEX(Calc!$AK$3:$AK$22,I112))/(INDEX(Calc!$AK$3:$AK$22,I112+1)-INDEX(Calc!$AK$3:$AK$22,I112)))^3-2*((G112-INDEX(Calc!$AK$3:$AK$22,I112))/(INDEX(Calc!$AK$3:$AK$22,I112+1)-INDEX(Calc!$AK$3:$AK$22,I112)))^2+((G112-INDEX(Calc!$AK$3:$AK$22,I112))/(INDEX(Calc!$AK$3:$AK$22,I112+1)-INDEX(Calc!$AK$3:$AK$22,I112))))*(INDEX(Calc!$AK$3:$AK$22,I112+1)-INDEX(Calc!$AK$3:$AK$22,I112))*INDEX(Calc!$AP$3:$AP$22,I112)+(-2*((G112-INDEX(Calc!$AK$3:$AK$22,I112))/(INDEX(Calc!$AK$3:$AK$22,I112+1)-INDEX(Calc!$AK$3:$AK$22,I112)))^3+3*((G112-INDEX(Calc!$AK$3:$AK$22,I112))/(INDEX(Calc!$AK$3:$AK$22,I112+1)-INDEX(Calc!$AK$3:$AK$22,I112)))^2)*INDEX(Calc!$AL$3:$AL$22,I112+1)+(((G112-INDEX(Calc!$AK$3:$AK$22,I112))/(INDEX(Calc!$AK$3:$AK$22,I112+1)-INDEX(Calc!$AK$3:$AK$22,I112)))^3-((G112-INDEX(Calc!$AK$3:$AK$22,I112))/(INDEX(Calc!$AK$3:$AK$22,I112+1)-INDEX(Calc!$AK$3:$AK$22,I112)))^2)*(INDEX(Calc!$AK$3:$AK$22,I112+1)-INDEX(Calc!$AK$3:$AK$22,I112))*INDEX(Calc!$AQ$3:$AQ$22,I112),NA())</f>
        <v/>
      </c>
      <c r="I112">
        <f>IF(AND(k_gluOn,k_ng&gt;=2),MIN(k_ng-1,MAX(1,MATCH(G112,Calc!$AK$3:INDEX(Calc!$AK$3:$AK$22,k_ng),1))),1)</f>
        <v/>
      </c>
    </row>
    <row r="113">
      <c r="A113">
        <f>IF(k_ok,Grid!$B$552,NA())</f>
        <v/>
      </c>
      <c r="B113">
        <f>IF(k_ok,Grid!$Q$552,NA())</f>
        <v/>
      </c>
      <c r="C113">
        <f>IF(k_hrok,k_h0+k_h1*E113+k_h2*E113^2,NA())</f>
        <v/>
      </c>
      <c r="D113">
        <f>IF(k_ok,Grid!$Q$552/Grid!$B$552,NA())</f>
        <v/>
      </c>
      <c r="E113">
        <f>IF(k_hrok,k_hx0+(k_hx1-k_hx0)*110/200,NA())</f>
        <v/>
      </c>
      <c r="G113">
        <f>IF(AND(k_gluOn,k_ng&gt;=2),Calc!$AK$3+(INDEX(Calc!$AK$3:$AK$22,k_ng)-Calc!$AK$3)*110/200,NA())</f>
        <v/>
      </c>
      <c r="H113">
        <f>IF(AND(k_gluOn,k_ng&gt;=2),(2*((G113-INDEX(Calc!$AK$3:$AK$22,I113))/(INDEX(Calc!$AK$3:$AK$22,I113+1)-INDEX(Calc!$AK$3:$AK$22,I113)))^3-3*((G113-INDEX(Calc!$AK$3:$AK$22,I113))/(INDEX(Calc!$AK$3:$AK$22,I113+1)-INDEX(Calc!$AK$3:$AK$22,I113)))^2+1)*INDEX(Calc!$AL$3:$AL$22,I113)+(((G113-INDEX(Calc!$AK$3:$AK$22,I113))/(INDEX(Calc!$AK$3:$AK$22,I113+1)-INDEX(Calc!$AK$3:$AK$22,I113)))^3-2*((G113-INDEX(Calc!$AK$3:$AK$22,I113))/(INDEX(Calc!$AK$3:$AK$22,I113+1)-INDEX(Calc!$AK$3:$AK$22,I113)))^2+((G113-INDEX(Calc!$AK$3:$AK$22,I113))/(INDEX(Calc!$AK$3:$AK$22,I113+1)-INDEX(Calc!$AK$3:$AK$22,I113))))*(INDEX(Calc!$AK$3:$AK$22,I113+1)-INDEX(Calc!$AK$3:$AK$22,I113))*INDEX(Calc!$AP$3:$AP$22,I113)+(-2*((G113-INDEX(Calc!$AK$3:$AK$22,I113))/(INDEX(Calc!$AK$3:$AK$22,I113+1)-INDEX(Calc!$AK$3:$AK$22,I113)))^3+3*((G113-INDEX(Calc!$AK$3:$AK$22,I113))/(INDEX(Calc!$AK$3:$AK$22,I113+1)-INDEX(Calc!$AK$3:$AK$22,I113)))^2)*INDEX(Calc!$AL$3:$AL$22,I113+1)+(((G113-INDEX(Calc!$AK$3:$AK$22,I113))/(INDEX(Calc!$AK$3:$AK$22,I113+1)-INDEX(Calc!$AK$3:$AK$22,I113)))^3-((G113-INDEX(Calc!$AK$3:$AK$22,I113))/(INDEX(Calc!$AK$3:$AK$22,I113+1)-INDEX(Calc!$AK$3:$AK$22,I113)))^2)*(INDEX(Calc!$AK$3:$AK$22,I113+1)-INDEX(Calc!$AK$3:$AK$22,I113))*INDEX(Calc!$AQ$3:$AQ$22,I113),NA())</f>
        <v/>
      </c>
      <c r="I113">
        <f>IF(AND(k_gluOn,k_ng&gt;=2),MIN(k_ng-1,MAX(1,MATCH(G113,Calc!$AK$3:INDEX(Calc!$AK$3:$AK$22,k_ng),1))),1)</f>
        <v/>
      </c>
    </row>
    <row r="114">
      <c r="A114">
        <f>IF(k_ok,Grid!$B$557,NA())</f>
        <v/>
      </c>
      <c r="B114">
        <f>IF(k_ok,Grid!$Q$557,NA())</f>
        <v/>
      </c>
      <c r="C114">
        <f>IF(k_hrok,k_h0+k_h1*E114+k_h2*E114^2,NA())</f>
        <v/>
      </c>
      <c r="D114">
        <f>IF(k_ok,Grid!$Q$557/Grid!$B$557,NA())</f>
        <v/>
      </c>
      <c r="E114">
        <f>IF(k_hrok,k_hx0+(k_hx1-k_hx0)*111/200,NA())</f>
        <v/>
      </c>
      <c r="G114">
        <f>IF(AND(k_gluOn,k_ng&gt;=2),Calc!$AK$3+(INDEX(Calc!$AK$3:$AK$22,k_ng)-Calc!$AK$3)*111/200,NA())</f>
        <v/>
      </c>
      <c r="H114">
        <f>IF(AND(k_gluOn,k_ng&gt;=2),(2*((G114-INDEX(Calc!$AK$3:$AK$22,I114))/(INDEX(Calc!$AK$3:$AK$22,I114+1)-INDEX(Calc!$AK$3:$AK$22,I114)))^3-3*((G114-INDEX(Calc!$AK$3:$AK$22,I114))/(INDEX(Calc!$AK$3:$AK$22,I114+1)-INDEX(Calc!$AK$3:$AK$22,I114)))^2+1)*INDEX(Calc!$AL$3:$AL$22,I114)+(((G114-INDEX(Calc!$AK$3:$AK$22,I114))/(INDEX(Calc!$AK$3:$AK$22,I114+1)-INDEX(Calc!$AK$3:$AK$22,I114)))^3-2*((G114-INDEX(Calc!$AK$3:$AK$22,I114))/(INDEX(Calc!$AK$3:$AK$22,I114+1)-INDEX(Calc!$AK$3:$AK$22,I114)))^2+((G114-INDEX(Calc!$AK$3:$AK$22,I114))/(INDEX(Calc!$AK$3:$AK$22,I114+1)-INDEX(Calc!$AK$3:$AK$22,I114))))*(INDEX(Calc!$AK$3:$AK$22,I114+1)-INDEX(Calc!$AK$3:$AK$22,I114))*INDEX(Calc!$AP$3:$AP$22,I114)+(-2*((G114-INDEX(Calc!$AK$3:$AK$22,I114))/(INDEX(Calc!$AK$3:$AK$22,I114+1)-INDEX(Calc!$AK$3:$AK$22,I114)))^3+3*((G114-INDEX(Calc!$AK$3:$AK$22,I114))/(INDEX(Calc!$AK$3:$AK$22,I114+1)-INDEX(Calc!$AK$3:$AK$22,I114)))^2)*INDEX(Calc!$AL$3:$AL$22,I114+1)+(((G114-INDEX(Calc!$AK$3:$AK$22,I114))/(INDEX(Calc!$AK$3:$AK$22,I114+1)-INDEX(Calc!$AK$3:$AK$22,I114)))^3-((G114-INDEX(Calc!$AK$3:$AK$22,I114))/(INDEX(Calc!$AK$3:$AK$22,I114+1)-INDEX(Calc!$AK$3:$AK$22,I114)))^2)*(INDEX(Calc!$AK$3:$AK$22,I114+1)-INDEX(Calc!$AK$3:$AK$22,I114))*INDEX(Calc!$AQ$3:$AQ$22,I114),NA())</f>
        <v/>
      </c>
      <c r="I114">
        <f>IF(AND(k_gluOn,k_ng&gt;=2),MIN(k_ng-1,MAX(1,MATCH(G114,Calc!$AK$3:INDEX(Calc!$AK$3:$AK$22,k_ng),1))),1)</f>
        <v/>
      </c>
    </row>
    <row r="115">
      <c r="A115">
        <f>IF(k_ok,Grid!$B$562,NA())</f>
        <v/>
      </c>
      <c r="B115">
        <f>IF(k_ok,Grid!$Q$562,NA())</f>
        <v/>
      </c>
      <c r="C115">
        <f>IF(k_hrok,k_h0+k_h1*E115+k_h2*E115^2,NA())</f>
        <v/>
      </c>
      <c r="D115">
        <f>IF(k_ok,Grid!$Q$562/Grid!$B$562,NA())</f>
        <v/>
      </c>
      <c r="E115">
        <f>IF(k_hrok,k_hx0+(k_hx1-k_hx0)*112/200,NA())</f>
        <v/>
      </c>
      <c r="G115">
        <f>IF(AND(k_gluOn,k_ng&gt;=2),Calc!$AK$3+(INDEX(Calc!$AK$3:$AK$22,k_ng)-Calc!$AK$3)*112/200,NA())</f>
        <v/>
      </c>
      <c r="H115">
        <f>IF(AND(k_gluOn,k_ng&gt;=2),(2*((G115-INDEX(Calc!$AK$3:$AK$22,I115))/(INDEX(Calc!$AK$3:$AK$22,I115+1)-INDEX(Calc!$AK$3:$AK$22,I115)))^3-3*((G115-INDEX(Calc!$AK$3:$AK$22,I115))/(INDEX(Calc!$AK$3:$AK$22,I115+1)-INDEX(Calc!$AK$3:$AK$22,I115)))^2+1)*INDEX(Calc!$AL$3:$AL$22,I115)+(((G115-INDEX(Calc!$AK$3:$AK$22,I115))/(INDEX(Calc!$AK$3:$AK$22,I115+1)-INDEX(Calc!$AK$3:$AK$22,I115)))^3-2*((G115-INDEX(Calc!$AK$3:$AK$22,I115))/(INDEX(Calc!$AK$3:$AK$22,I115+1)-INDEX(Calc!$AK$3:$AK$22,I115)))^2+((G115-INDEX(Calc!$AK$3:$AK$22,I115))/(INDEX(Calc!$AK$3:$AK$22,I115+1)-INDEX(Calc!$AK$3:$AK$22,I115))))*(INDEX(Calc!$AK$3:$AK$22,I115+1)-INDEX(Calc!$AK$3:$AK$22,I115))*INDEX(Calc!$AP$3:$AP$22,I115)+(-2*((G115-INDEX(Calc!$AK$3:$AK$22,I115))/(INDEX(Calc!$AK$3:$AK$22,I115+1)-INDEX(Calc!$AK$3:$AK$22,I115)))^3+3*((G115-INDEX(Calc!$AK$3:$AK$22,I115))/(INDEX(Calc!$AK$3:$AK$22,I115+1)-INDEX(Calc!$AK$3:$AK$22,I115)))^2)*INDEX(Calc!$AL$3:$AL$22,I115+1)+(((G115-INDEX(Calc!$AK$3:$AK$22,I115))/(INDEX(Calc!$AK$3:$AK$22,I115+1)-INDEX(Calc!$AK$3:$AK$22,I115)))^3-((G115-INDEX(Calc!$AK$3:$AK$22,I115))/(INDEX(Calc!$AK$3:$AK$22,I115+1)-INDEX(Calc!$AK$3:$AK$22,I115)))^2)*(INDEX(Calc!$AK$3:$AK$22,I115+1)-INDEX(Calc!$AK$3:$AK$22,I115))*INDEX(Calc!$AQ$3:$AQ$22,I115),NA())</f>
        <v/>
      </c>
      <c r="I115">
        <f>IF(AND(k_gluOn,k_ng&gt;=2),MIN(k_ng-1,MAX(1,MATCH(G115,Calc!$AK$3:INDEX(Calc!$AK$3:$AK$22,k_ng),1))),1)</f>
        <v/>
      </c>
    </row>
    <row r="116">
      <c r="A116">
        <f>IF(k_ok,Grid!$B$567,NA())</f>
        <v/>
      </c>
      <c r="B116">
        <f>IF(k_ok,Grid!$Q$567,NA())</f>
        <v/>
      </c>
      <c r="C116">
        <f>IF(k_hrok,k_h0+k_h1*E116+k_h2*E116^2,NA())</f>
        <v/>
      </c>
      <c r="D116">
        <f>IF(k_ok,Grid!$Q$567/Grid!$B$567,NA())</f>
        <v/>
      </c>
      <c r="E116">
        <f>IF(k_hrok,k_hx0+(k_hx1-k_hx0)*113/200,NA())</f>
        <v/>
      </c>
      <c r="G116">
        <f>IF(AND(k_gluOn,k_ng&gt;=2),Calc!$AK$3+(INDEX(Calc!$AK$3:$AK$22,k_ng)-Calc!$AK$3)*113/200,NA())</f>
        <v/>
      </c>
      <c r="H116">
        <f>IF(AND(k_gluOn,k_ng&gt;=2),(2*((G116-INDEX(Calc!$AK$3:$AK$22,I116))/(INDEX(Calc!$AK$3:$AK$22,I116+1)-INDEX(Calc!$AK$3:$AK$22,I116)))^3-3*((G116-INDEX(Calc!$AK$3:$AK$22,I116))/(INDEX(Calc!$AK$3:$AK$22,I116+1)-INDEX(Calc!$AK$3:$AK$22,I116)))^2+1)*INDEX(Calc!$AL$3:$AL$22,I116)+(((G116-INDEX(Calc!$AK$3:$AK$22,I116))/(INDEX(Calc!$AK$3:$AK$22,I116+1)-INDEX(Calc!$AK$3:$AK$22,I116)))^3-2*((G116-INDEX(Calc!$AK$3:$AK$22,I116))/(INDEX(Calc!$AK$3:$AK$22,I116+1)-INDEX(Calc!$AK$3:$AK$22,I116)))^2+((G116-INDEX(Calc!$AK$3:$AK$22,I116))/(INDEX(Calc!$AK$3:$AK$22,I116+1)-INDEX(Calc!$AK$3:$AK$22,I116))))*(INDEX(Calc!$AK$3:$AK$22,I116+1)-INDEX(Calc!$AK$3:$AK$22,I116))*INDEX(Calc!$AP$3:$AP$22,I116)+(-2*((G116-INDEX(Calc!$AK$3:$AK$22,I116))/(INDEX(Calc!$AK$3:$AK$22,I116+1)-INDEX(Calc!$AK$3:$AK$22,I116)))^3+3*((G116-INDEX(Calc!$AK$3:$AK$22,I116))/(INDEX(Calc!$AK$3:$AK$22,I116+1)-INDEX(Calc!$AK$3:$AK$22,I116)))^2)*INDEX(Calc!$AL$3:$AL$22,I116+1)+(((G116-INDEX(Calc!$AK$3:$AK$22,I116))/(INDEX(Calc!$AK$3:$AK$22,I116+1)-INDEX(Calc!$AK$3:$AK$22,I116)))^3-((G116-INDEX(Calc!$AK$3:$AK$22,I116))/(INDEX(Calc!$AK$3:$AK$22,I116+1)-INDEX(Calc!$AK$3:$AK$22,I116)))^2)*(INDEX(Calc!$AK$3:$AK$22,I116+1)-INDEX(Calc!$AK$3:$AK$22,I116))*INDEX(Calc!$AQ$3:$AQ$22,I116),NA())</f>
        <v/>
      </c>
      <c r="I116">
        <f>IF(AND(k_gluOn,k_ng&gt;=2),MIN(k_ng-1,MAX(1,MATCH(G116,Calc!$AK$3:INDEX(Calc!$AK$3:$AK$22,k_ng),1))),1)</f>
        <v/>
      </c>
    </row>
    <row r="117">
      <c r="A117">
        <f>IF(k_ok,Grid!$B$572,NA())</f>
        <v/>
      </c>
      <c r="B117">
        <f>IF(k_ok,Grid!$Q$572,NA())</f>
        <v/>
      </c>
      <c r="C117">
        <f>IF(k_hrok,k_h0+k_h1*E117+k_h2*E117^2,NA())</f>
        <v/>
      </c>
      <c r="D117">
        <f>IF(k_ok,Grid!$Q$572/Grid!$B$572,NA())</f>
        <v/>
      </c>
      <c r="E117">
        <f>IF(k_hrok,k_hx0+(k_hx1-k_hx0)*114/200,NA())</f>
        <v/>
      </c>
      <c r="G117">
        <f>IF(AND(k_gluOn,k_ng&gt;=2),Calc!$AK$3+(INDEX(Calc!$AK$3:$AK$22,k_ng)-Calc!$AK$3)*114/200,NA())</f>
        <v/>
      </c>
      <c r="H117">
        <f>IF(AND(k_gluOn,k_ng&gt;=2),(2*((G117-INDEX(Calc!$AK$3:$AK$22,I117))/(INDEX(Calc!$AK$3:$AK$22,I117+1)-INDEX(Calc!$AK$3:$AK$22,I117)))^3-3*((G117-INDEX(Calc!$AK$3:$AK$22,I117))/(INDEX(Calc!$AK$3:$AK$22,I117+1)-INDEX(Calc!$AK$3:$AK$22,I117)))^2+1)*INDEX(Calc!$AL$3:$AL$22,I117)+(((G117-INDEX(Calc!$AK$3:$AK$22,I117))/(INDEX(Calc!$AK$3:$AK$22,I117+1)-INDEX(Calc!$AK$3:$AK$22,I117)))^3-2*((G117-INDEX(Calc!$AK$3:$AK$22,I117))/(INDEX(Calc!$AK$3:$AK$22,I117+1)-INDEX(Calc!$AK$3:$AK$22,I117)))^2+((G117-INDEX(Calc!$AK$3:$AK$22,I117))/(INDEX(Calc!$AK$3:$AK$22,I117+1)-INDEX(Calc!$AK$3:$AK$22,I117))))*(INDEX(Calc!$AK$3:$AK$22,I117+1)-INDEX(Calc!$AK$3:$AK$22,I117))*INDEX(Calc!$AP$3:$AP$22,I117)+(-2*((G117-INDEX(Calc!$AK$3:$AK$22,I117))/(INDEX(Calc!$AK$3:$AK$22,I117+1)-INDEX(Calc!$AK$3:$AK$22,I117)))^3+3*((G117-INDEX(Calc!$AK$3:$AK$22,I117))/(INDEX(Calc!$AK$3:$AK$22,I117+1)-INDEX(Calc!$AK$3:$AK$22,I117)))^2)*INDEX(Calc!$AL$3:$AL$22,I117+1)+(((G117-INDEX(Calc!$AK$3:$AK$22,I117))/(INDEX(Calc!$AK$3:$AK$22,I117+1)-INDEX(Calc!$AK$3:$AK$22,I117)))^3-((G117-INDEX(Calc!$AK$3:$AK$22,I117))/(INDEX(Calc!$AK$3:$AK$22,I117+1)-INDEX(Calc!$AK$3:$AK$22,I117)))^2)*(INDEX(Calc!$AK$3:$AK$22,I117+1)-INDEX(Calc!$AK$3:$AK$22,I117))*INDEX(Calc!$AQ$3:$AQ$22,I117),NA())</f>
        <v/>
      </c>
      <c r="I117">
        <f>IF(AND(k_gluOn,k_ng&gt;=2),MIN(k_ng-1,MAX(1,MATCH(G117,Calc!$AK$3:INDEX(Calc!$AK$3:$AK$22,k_ng),1))),1)</f>
        <v/>
      </c>
    </row>
    <row r="118">
      <c r="A118">
        <f>IF(k_ok,Grid!$B$577,NA())</f>
        <v/>
      </c>
      <c r="B118">
        <f>IF(k_ok,Grid!$Q$577,NA())</f>
        <v/>
      </c>
      <c r="C118">
        <f>IF(k_hrok,k_h0+k_h1*E118+k_h2*E118^2,NA())</f>
        <v/>
      </c>
      <c r="D118">
        <f>IF(k_ok,Grid!$Q$577/Grid!$B$577,NA())</f>
        <v/>
      </c>
      <c r="E118">
        <f>IF(k_hrok,k_hx0+(k_hx1-k_hx0)*115/200,NA())</f>
        <v/>
      </c>
      <c r="G118">
        <f>IF(AND(k_gluOn,k_ng&gt;=2),Calc!$AK$3+(INDEX(Calc!$AK$3:$AK$22,k_ng)-Calc!$AK$3)*115/200,NA())</f>
        <v/>
      </c>
      <c r="H118">
        <f>IF(AND(k_gluOn,k_ng&gt;=2),(2*((G118-INDEX(Calc!$AK$3:$AK$22,I118))/(INDEX(Calc!$AK$3:$AK$22,I118+1)-INDEX(Calc!$AK$3:$AK$22,I118)))^3-3*((G118-INDEX(Calc!$AK$3:$AK$22,I118))/(INDEX(Calc!$AK$3:$AK$22,I118+1)-INDEX(Calc!$AK$3:$AK$22,I118)))^2+1)*INDEX(Calc!$AL$3:$AL$22,I118)+(((G118-INDEX(Calc!$AK$3:$AK$22,I118))/(INDEX(Calc!$AK$3:$AK$22,I118+1)-INDEX(Calc!$AK$3:$AK$22,I118)))^3-2*((G118-INDEX(Calc!$AK$3:$AK$22,I118))/(INDEX(Calc!$AK$3:$AK$22,I118+1)-INDEX(Calc!$AK$3:$AK$22,I118)))^2+((G118-INDEX(Calc!$AK$3:$AK$22,I118))/(INDEX(Calc!$AK$3:$AK$22,I118+1)-INDEX(Calc!$AK$3:$AK$22,I118))))*(INDEX(Calc!$AK$3:$AK$22,I118+1)-INDEX(Calc!$AK$3:$AK$22,I118))*INDEX(Calc!$AP$3:$AP$22,I118)+(-2*((G118-INDEX(Calc!$AK$3:$AK$22,I118))/(INDEX(Calc!$AK$3:$AK$22,I118+1)-INDEX(Calc!$AK$3:$AK$22,I118)))^3+3*((G118-INDEX(Calc!$AK$3:$AK$22,I118))/(INDEX(Calc!$AK$3:$AK$22,I118+1)-INDEX(Calc!$AK$3:$AK$22,I118)))^2)*INDEX(Calc!$AL$3:$AL$22,I118+1)+(((G118-INDEX(Calc!$AK$3:$AK$22,I118))/(INDEX(Calc!$AK$3:$AK$22,I118+1)-INDEX(Calc!$AK$3:$AK$22,I118)))^3-((G118-INDEX(Calc!$AK$3:$AK$22,I118))/(INDEX(Calc!$AK$3:$AK$22,I118+1)-INDEX(Calc!$AK$3:$AK$22,I118)))^2)*(INDEX(Calc!$AK$3:$AK$22,I118+1)-INDEX(Calc!$AK$3:$AK$22,I118))*INDEX(Calc!$AQ$3:$AQ$22,I118),NA())</f>
        <v/>
      </c>
      <c r="I118">
        <f>IF(AND(k_gluOn,k_ng&gt;=2),MIN(k_ng-1,MAX(1,MATCH(G118,Calc!$AK$3:INDEX(Calc!$AK$3:$AK$22,k_ng),1))),1)</f>
        <v/>
      </c>
    </row>
    <row r="119">
      <c r="A119">
        <f>IF(k_ok,Grid!$B$582,NA())</f>
        <v/>
      </c>
      <c r="B119">
        <f>IF(k_ok,Grid!$Q$582,NA())</f>
        <v/>
      </c>
      <c r="C119">
        <f>IF(k_hrok,k_h0+k_h1*E119+k_h2*E119^2,NA())</f>
        <v/>
      </c>
      <c r="D119">
        <f>IF(k_ok,Grid!$Q$582/Grid!$B$582,NA())</f>
        <v/>
      </c>
      <c r="E119">
        <f>IF(k_hrok,k_hx0+(k_hx1-k_hx0)*116/200,NA())</f>
        <v/>
      </c>
      <c r="G119">
        <f>IF(AND(k_gluOn,k_ng&gt;=2),Calc!$AK$3+(INDEX(Calc!$AK$3:$AK$22,k_ng)-Calc!$AK$3)*116/200,NA())</f>
        <v/>
      </c>
      <c r="H119">
        <f>IF(AND(k_gluOn,k_ng&gt;=2),(2*((G119-INDEX(Calc!$AK$3:$AK$22,I119))/(INDEX(Calc!$AK$3:$AK$22,I119+1)-INDEX(Calc!$AK$3:$AK$22,I119)))^3-3*((G119-INDEX(Calc!$AK$3:$AK$22,I119))/(INDEX(Calc!$AK$3:$AK$22,I119+1)-INDEX(Calc!$AK$3:$AK$22,I119)))^2+1)*INDEX(Calc!$AL$3:$AL$22,I119)+(((G119-INDEX(Calc!$AK$3:$AK$22,I119))/(INDEX(Calc!$AK$3:$AK$22,I119+1)-INDEX(Calc!$AK$3:$AK$22,I119)))^3-2*((G119-INDEX(Calc!$AK$3:$AK$22,I119))/(INDEX(Calc!$AK$3:$AK$22,I119+1)-INDEX(Calc!$AK$3:$AK$22,I119)))^2+((G119-INDEX(Calc!$AK$3:$AK$22,I119))/(INDEX(Calc!$AK$3:$AK$22,I119+1)-INDEX(Calc!$AK$3:$AK$22,I119))))*(INDEX(Calc!$AK$3:$AK$22,I119+1)-INDEX(Calc!$AK$3:$AK$22,I119))*INDEX(Calc!$AP$3:$AP$22,I119)+(-2*((G119-INDEX(Calc!$AK$3:$AK$22,I119))/(INDEX(Calc!$AK$3:$AK$22,I119+1)-INDEX(Calc!$AK$3:$AK$22,I119)))^3+3*((G119-INDEX(Calc!$AK$3:$AK$22,I119))/(INDEX(Calc!$AK$3:$AK$22,I119+1)-INDEX(Calc!$AK$3:$AK$22,I119)))^2)*INDEX(Calc!$AL$3:$AL$22,I119+1)+(((G119-INDEX(Calc!$AK$3:$AK$22,I119))/(INDEX(Calc!$AK$3:$AK$22,I119+1)-INDEX(Calc!$AK$3:$AK$22,I119)))^3-((G119-INDEX(Calc!$AK$3:$AK$22,I119))/(INDEX(Calc!$AK$3:$AK$22,I119+1)-INDEX(Calc!$AK$3:$AK$22,I119)))^2)*(INDEX(Calc!$AK$3:$AK$22,I119+1)-INDEX(Calc!$AK$3:$AK$22,I119))*INDEX(Calc!$AQ$3:$AQ$22,I119),NA())</f>
        <v/>
      </c>
      <c r="I119">
        <f>IF(AND(k_gluOn,k_ng&gt;=2),MIN(k_ng-1,MAX(1,MATCH(G119,Calc!$AK$3:INDEX(Calc!$AK$3:$AK$22,k_ng),1))),1)</f>
        <v/>
      </c>
    </row>
    <row r="120">
      <c r="A120">
        <f>IF(k_ok,Grid!$B$587,NA())</f>
        <v/>
      </c>
      <c r="B120">
        <f>IF(k_ok,Grid!$Q$587,NA())</f>
        <v/>
      </c>
      <c r="C120">
        <f>IF(k_hrok,k_h0+k_h1*E120+k_h2*E120^2,NA())</f>
        <v/>
      </c>
      <c r="D120">
        <f>IF(k_ok,Grid!$Q$587/Grid!$B$587,NA())</f>
        <v/>
      </c>
      <c r="E120">
        <f>IF(k_hrok,k_hx0+(k_hx1-k_hx0)*117/200,NA())</f>
        <v/>
      </c>
      <c r="G120">
        <f>IF(AND(k_gluOn,k_ng&gt;=2),Calc!$AK$3+(INDEX(Calc!$AK$3:$AK$22,k_ng)-Calc!$AK$3)*117/200,NA())</f>
        <v/>
      </c>
      <c r="H120">
        <f>IF(AND(k_gluOn,k_ng&gt;=2),(2*((G120-INDEX(Calc!$AK$3:$AK$22,I120))/(INDEX(Calc!$AK$3:$AK$22,I120+1)-INDEX(Calc!$AK$3:$AK$22,I120)))^3-3*((G120-INDEX(Calc!$AK$3:$AK$22,I120))/(INDEX(Calc!$AK$3:$AK$22,I120+1)-INDEX(Calc!$AK$3:$AK$22,I120)))^2+1)*INDEX(Calc!$AL$3:$AL$22,I120)+(((G120-INDEX(Calc!$AK$3:$AK$22,I120))/(INDEX(Calc!$AK$3:$AK$22,I120+1)-INDEX(Calc!$AK$3:$AK$22,I120)))^3-2*((G120-INDEX(Calc!$AK$3:$AK$22,I120))/(INDEX(Calc!$AK$3:$AK$22,I120+1)-INDEX(Calc!$AK$3:$AK$22,I120)))^2+((G120-INDEX(Calc!$AK$3:$AK$22,I120))/(INDEX(Calc!$AK$3:$AK$22,I120+1)-INDEX(Calc!$AK$3:$AK$22,I120))))*(INDEX(Calc!$AK$3:$AK$22,I120+1)-INDEX(Calc!$AK$3:$AK$22,I120))*INDEX(Calc!$AP$3:$AP$22,I120)+(-2*((G120-INDEX(Calc!$AK$3:$AK$22,I120))/(INDEX(Calc!$AK$3:$AK$22,I120+1)-INDEX(Calc!$AK$3:$AK$22,I120)))^3+3*((G120-INDEX(Calc!$AK$3:$AK$22,I120))/(INDEX(Calc!$AK$3:$AK$22,I120+1)-INDEX(Calc!$AK$3:$AK$22,I120)))^2)*INDEX(Calc!$AL$3:$AL$22,I120+1)+(((G120-INDEX(Calc!$AK$3:$AK$22,I120))/(INDEX(Calc!$AK$3:$AK$22,I120+1)-INDEX(Calc!$AK$3:$AK$22,I120)))^3-((G120-INDEX(Calc!$AK$3:$AK$22,I120))/(INDEX(Calc!$AK$3:$AK$22,I120+1)-INDEX(Calc!$AK$3:$AK$22,I120)))^2)*(INDEX(Calc!$AK$3:$AK$22,I120+1)-INDEX(Calc!$AK$3:$AK$22,I120))*INDEX(Calc!$AQ$3:$AQ$22,I120),NA())</f>
        <v/>
      </c>
      <c r="I120">
        <f>IF(AND(k_gluOn,k_ng&gt;=2),MIN(k_ng-1,MAX(1,MATCH(G120,Calc!$AK$3:INDEX(Calc!$AK$3:$AK$22,k_ng),1))),1)</f>
        <v/>
      </c>
    </row>
    <row r="121">
      <c r="A121">
        <f>IF(k_ok,Grid!$B$592,NA())</f>
        <v/>
      </c>
      <c r="B121">
        <f>IF(k_ok,Grid!$Q$592,NA())</f>
        <v/>
      </c>
      <c r="C121">
        <f>IF(k_hrok,k_h0+k_h1*E121+k_h2*E121^2,NA())</f>
        <v/>
      </c>
      <c r="D121">
        <f>IF(k_ok,Grid!$Q$592/Grid!$B$592,NA())</f>
        <v/>
      </c>
      <c r="E121">
        <f>IF(k_hrok,k_hx0+(k_hx1-k_hx0)*118/200,NA())</f>
        <v/>
      </c>
      <c r="G121">
        <f>IF(AND(k_gluOn,k_ng&gt;=2),Calc!$AK$3+(INDEX(Calc!$AK$3:$AK$22,k_ng)-Calc!$AK$3)*118/200,NA())</f>
        <v/>
      </c>
      <c r="H121">
        <f>IF(AND(k_gluOn,k_ng&gt;=2),(2*((G121-INDEX(Calc!$AK$3:$AK$22,I121))/(INDEX(Calc!$AK$3:$AK$22,I121+1)-INDEX(Calc!$AK$3:$AK$22,I121)))^3-3*((G121-INDEX(Calc!$AK$3:$AK$22,I121))/(INDEX(Calc!$AK$3:$AK$22,I121+1)-INDEX(Calc!$AK$3:$AK$22,I121)))^2+1)*INDEX(Calc!$AL$3:$AL$22,I121)+(((G121-INDEX(Calc!$AK$3:$AK$22,I121))/(INDEX(Calc!$AK$3:$AK$22,I121+1)-INDEX(Calc!$AK$3:$AK$22,I121)))^3-2*((G121-INDEX(Calc!$AK$3:$AK$22,I121))/(INDEX(Calc!$AK$3:$AK$22,I121+1)-INDEX(Calc!$AK$3:$AK$22,I121)))^2+((G121-INDEX(Calc!$AK$3:$AK$22,I121))/(INDEX(Calc!$AK$3:$AK$22,I121+1)-INDEX(Calc!$AK$3:$AK$22,I121))))*(INDEX(Calc!$AK$3:$AK$22,I121+1)-INDEX(Calc!$AK$3:$AK$22,I121))*INDEX(Calc!$AP$3:$AP$22,I121)+(-2*((G121-INDEX(Calc!$AK$3:$AK$22,I121))/(INDEX(Calc!$AK$3:$AK$22,I121+1)-INDEX(Calc!$AK$3:$AK$22,I121)))^3+3*((G121-INDEX(Calc!$AK$3:$AK$22,I121))/(INDEX(Calc!$AK$3:$AK$22,I121+1)-INDEX(Calc!$AK$3:$AK$22,I121)))^2)*INDEX(Calc!$AL$3:$AL$22,I121+1)+(((G121-INDEX(Calc!$AK$3:$AK$22,I121))/(INDEX(Calc!$AK$3:$AK$22,I121+1)-INDEX(Calc!$AK$3:$AK$22,I121)))^3-((G121-INDEX(Calc!$AK$3:$AK$22,I121))/(INDEX(Calc!$AK$3:$AK$22,I121+1)-INDEX(Calc!$AK$3:$AK$22,I121)))^2)*(INDEX(Calc!$AK$3:$AK$22,I121+1)-INDEX(Calc!$AK$3:$AK$22,I121))*INDEX(Calc!$AQ$3:$AQ$22,I121),NA())</f>
        <v/>
      </c>
      <c r="I121">
        <f>IF(AND(k_gluOn,k_ng&gt;=2),MIN(k_ng-1,MAX(1,MATCH(G121,Calc!$AK$3:INDEX(Calc!$AK$3:$AK$22,k_ng),1))),1)</f>
        <v/>
      </c>
    </row>
    <row r="122">
      <c r="A122">
        <f>IF(k_ok,Grid!$B$597,NA())</f>
        <v/>
      </c>
      <c r="B122">
        <f>IF(k_ok,Grid!$Q$597,NA())</f>
        <v/>
      </c>
      <c r="C122">
        <f>IF(k_hrok,k_h0+k_h1*E122+k_h2*E122^2,NA())</f>
        <v/>
      </c>
      <c r="D122">
        <f>IF(k_ok,Grid!$Q$597/Grid!$B$597,NA())</f>
        <v/>
      </c>
      <c r="E122">
        <f>IF(k_hrok,k_hx0+(k_hx1-k_hx0)*119/200,NA())</f>
        <v/>
      </c>
      <c r="G122">
        <f>IF(AND(k_gluOn,k_ng&gt;=2),Calc!$AK$3+(INDEX(Calc!$AK$3:$AK$22,k_ng)-Calc!$AK$3)*119/200,NA())</f>
        <v/>
      </c>
      <c r="H122">
        <f>IF(AND(k_gluOn,k_ng&gt;=2),(2*((G122-INDEX(Calc!$AK$3:$AK$22,I122))/(INDEX(Calc!$AK$3:$AK$22,I122+1)-INDEX(Calc!$AK$3:$AK$22,I122)))^3-3*((G122-INDEX(Calc!$AK$3:$AK$22,I122))/(INDEX(Calc!$AK$3:$AK$22,I122+1)-INDEX(Calc!$AK$3:$AK$22,I122)))^2+1)*INDEX(Calc!$AL$3:$AL$22,I122)+(((G122-INDEX(Calc!$AK$3:$AK$22,I122))/(INDEX(Calc!$AK$3:$AK$22,I122+1)-INDEX(Calc!$AK$3:$AK$22,I122)))^3-2*((G122-INDEX(Calc!$AK$3:$AK$22,I122))/(INDEX(Calc!$AK$3:$AK$22,I122+1)-INDEX(Calc!$AK$3:$AK$22,I122)))^2+((G122-INDEX(Calc!$AK$3:$AK$22,I122))/(INDEX(Calc!$AK$3:$AK$22,I122+1)-INDEX(Calc!$AK$3:$AK$22,I122))))*(INDEX(Calc!$AK$3:$AK$22,I122+1)-INDEX(Calc!$AK$3:$AK$22,I122))*INDEX(Calc!$AP$3:$AP$22,I122)+(-2*((G122-INDEX(Calc!$AK$3:$AK$22,I122))/(INDEX(Calc!$AK$3:$AK$22,I122+1)-INDEX(Calc!$AK$3:$AK$22,I122)))^3+3*((G122-INDEX(Calc!$AK$3:$AK$22,I122))/(INDEX(Calc!$AK$3:$AK$22,I122+1)-INDEX(Calc!$AK$3:$AK$22,I122)))^2)*INDEX(Calc!$AL$3:$AL$22,I122+1)+(((G122-INDEX(Calc!$AK$3:$AK$22,I122))/(INDEX(Calc!$AK$3:$AK$22,I122+1)-INDEX(Calc!$AK$3:$AK$22,I122)))^3-((G122-INDEX(Calc!$AK$3:$AK$22,I122))/(INDEX(Calc!$AK$3:$AK$22,I122+1)-INDEX(Calc!$AK$3:$AK$22,I122)))^2)*(INDEX(Calc!$AK$3:$AK$22,I122+1)-INDEX(Calc!$AK$3:$AK$22,I122))*INDEX(Calc!$AQ$3:$AQ$22,I122),NA())</f>
        <v/>
      </c>
      <c r="I122">
        <f>IF(AND(k_gluOn,k_ng&gt;=2),MIN(k_ng-1,MAX(1,MATCH(G122,Calc!$AK$3:INDEX(Calc!$AK$3:$AK$22,k_ng),1))),1)</f>
        <v/>
      </c>
    </row>
    <row r="123">
      <c r="A123">
        <f>IF(k_ok,Grid!$B$602,NA())</f>
        <v/>
      </c>
      <c r="B123">
        <f>IF(k_ok,Grid!$Q$602,NA())</f>
        <v/>
      </c>
      <c r="C123">
        <f>IF(k_hrok,k_h0+k_h1*E123+k_h2*E123^2,NA())</f>
        <v/>
      </c>
      <c r="D123">
        <f>IF(k_ok,Grid!$Q$602/Grid!$B$602,NA())</f>
        <v/>
      </c>
      <c r="E123">
        <f>IF(k_hrok,k_hx0+(k_hx1-k_hx0)*120/200,NA())</f>
        <v/>
      </c>
      <c r="G123">
        <f>IF(AND(k_gluOn,k_ng&gt;=2),Calc!$AK$3+(INDEX(Calc!$AK$3:$AK$22,k_ng)-Calc!$AK$3)*120/200,NA())</f>
        <v/>
      </c>
      <c r="H123">
        <f>IF(AND(k_gluOn,k_ng&gt;=2),(2*((G123-INDEX(Calc!$AK$3:$AK$22,I123))/(INDEX(Calc!$AK$3:$AK$22,I123+1)-INDEX(Calc!$AK$3:$AK$22,I123)))^3-3*((G123-INDEX(Calc!$AK$3:$AK$22,I123))/(INDEX(Calc!$AK$3:$AK$22,I123+1)-INDEX(Calc!$AK$3:$AK$22,I123)))^2+1)*INDEX(Calc!$AL$3:$AL$22,I123)+(((G123-INDEX(Calc!$AK$3:$AK$22,I123))/(INDEX(Calc!$AK$3:$AK$22,I123+1)-INDEX(Calc!$AK$3:$AK$22,I123)))^3-2*((G123-INDEX(Calc!$AK$3:$AK$22,I123))/(INDEX(Calc!$AK$3:$AK$22,I123+1)-INDEX(Calc!$AK$3:$AK$22,I123)))^2+((G123-INDEX(Calc!$AK$3:$AK$22,I123))/(INDEX(Calc!$AK$3:$AK$22,I123+1)-INDEX(Calc!$AK$3:$AK$22,I123))))*(INDEX(Calc!$AK$3:$AK$22,I123+1)-INDEX(Calc!$AK$3:$AK$22,I123))*INDEX(Calc!$AP$3:$AP$22,I123)+(-2*((G123-INDEX(Calc!$AK$3:$AK$22,I123))/(INDEX(Calc!$AK$3:$AK$22,I123+1)-INDEX(Calc!$AK$3:$AK$22,I123)))^3+3*((G123-INDEX(Calc!$AK$3:$AK$22,I123))/(INDEX(Calc!$AK$3:$AK$22,I123+1)-INDEX(Calc!$AK$3:$AK$22,I123)))^2)*INDEX(Calc!$AL$3:$AL$22,I123+1)+(((G123-INDEX(Calc!$AK$3:$AK$22,I123))/(INDEX(Calc!$AK$3:$AK$22,I123+1)-INDEX(Calc!$AK$3:$AK$22,I123)))^3-((G123-INDEX(Calc!$AK$3:$AK$22,I123))/(INDEX(Calc!$AK$3:$AK$22,I123+1)-INDEX(Calc!$AK$3:$AK$22,I123)))^2)*(INDEX(Calc!$AK$3:$AK$22,I123+1)-INDEX(Calc!$AK$3:$AK$22,I123))*INDEX(Calc!$AQ$3:$AQ$22,I123),NA())</f>
        <v/>
      </c>
      <c r="I123">
        <f>IF(AND(k_gluOn,k_ng&gt;=2),MIN(k_ng-1,MAX(1,MATCH(G123,Calc!$AK$3:INDEX(Calc!$AK$3:$AK$22,k_ng),1))),1)</f>
        <v/>
      </c>
    </row>
    <row r="124">
      <c r="A124">
        <f>IF(k_ok,Grid!$B$607,NA())</f>
        <v/>
      </c>
      <c r="B124">
        <f>IF(k_ok,Grid!$Q$607,NA())</f>
        <v/>
      </c>
      <c r="C124">
        <f>IF(k_hrok,k_h0+k_h1*E124+k_h2*E124^2,NA())</f>
        <v/>
      </c>
      <c r="D124">
        <f>IF(k_ok,Grid!$Q$607/Grid!$B$607,NA())</f>
        <v/>
      </c>
      <c r="E124">
        <f>IF(k_hrok,k_hx0+(k_hx1-k_hx0)*121/200,NA())</f>
        <v/>
      </c>
      <c r="G124">
        <f>IF(AND(k_gluOn,k_ng&gt;=2),Calc!$AK$3+(INDEX(Calc!$AK$3:$AK$22,k_ng)-Calc!$AK$3)*121/200,NA())</f>
        <v/>
      </c>
      <c r="H124">
        <f>IF(AND(k_gluOn,k_ng&gt;=2),(2*((G124-INDEX(Calc!$AK$3:$AK$22,I124))/(INDEX(Calc!$AK$3:$AK$22,I124+1)-INDEX(Calc!$AK$3:$AK$22,I124)))^3-3*((G124-INDEX(Calc!$AK$3:$AK$22,I124))/(INDEX(Calc!$AK$3:$AK$22,I124+1)-INDEX(Calc!$AK$3:$AK$22,I124)))^2+1)*INDEX(Calc!$AL$3:$AL$22,I124)+(((G124-INDEX(Calc!$AK$3:$AK$22,I124))/(INDEX(Calc!$AK$3:$AK$22,I124+1)-INDEX(Calc!$AK$3:$AK$22,I124)))^3-2*((G124-INDEX(Calc!$AK$3:$AK$22,I124))/(INDEX(Calc!$AK$3:$AK$22,I124+1)-INDEX(Calc!$AK$3:$AK$22,I124)))^2+((G124-INDEX(Calc!$AK$3:$AK$22,I124))/(INDEX(Calc!$AK$3:$AK$22,I124+1)-INDEX(Calc!$AK$3:$AK$22,I124))))*(INDEX(Calc!$AK$3:$AK$22,I124+1)-INDEX(Calc!$AK$3:$AK$22,I124))*INDEX(Calc!$AP$3:$AP$22,I124)+(-2*((G124-INDEX(Calc!$AK$3:$AK$22,I124))/(INDEX(Calc!$AK$3:$AK$22,I124+1)-INDEX(Calc!$AK$3:$AK$22,I124)))^3+3*((G124-INDEX(Calc!$AK$3:$AK$22,I124))/(INDEX(Calc!$AK$3:$AK$22,I124+1)-INDEX(Calc!$AK$3:$AK$22,I124)))^2)*INDEX(Calc!$AL$3:$AL$22,I124+1)+(((G124-INDEX(Calc!$AK$3:$AK$22,I124))/(INDEX(Calc!$AK$3:$AK$22,I124+1)-INDEX(Calc!$AK$3:$AK$22,I124)))^3-((G124-INDEX(Calc!$AK$3:$AK$22,I124))/(INDEX(Calc!$AK$3:$AK$22,I124+1)-INDEX(Calc!$AK$3:$AK$22,I124)))^2)*(INDEX(Calc!$AK$3:$AK$22,I124+1)-INDEX(Calc!$AK$3:$AK$22,I124))*INDEX(Calc!$AQ$3:$AQ$22,I124),NA())</f>
        <v/>
      </c>
      <c r="I124">
        <f>IF(AND(k_gluOn,k_ng&gt;=2),MIN(k_ng-1,MAX(1,MATCH(G124,Calc!$AK$3:INDEX(Calc!$AK$3:$AK$22,k_ng),1))),1)</f>
        <v/>
      </c>
    </row>
    <row r="125">
      <c r="A125">
        <f>IF(k_ok,Grid!$B$612,NA())</f>
        <v/>
      </c>
      <c r="B125">
        <f>IF(k_ok,Grid!$Q$612,NA())</f>
        <v/>
      </c>
      <c r="C125">
        <f>IF(k_hrok,k_h0+k_h1*E125+k_h2*E125^2,NA())</f>
        <v/>
      </c>
      <c r="D125">
        <f>IF(k_ok,Grid!$Q$612/Grid!$B$612,NA())</f>
        <v/>
      </c>
      <c r="E125">
        <f>IF(k_hrok,k_hx0+(k_hx1-k_hx0)*122/200,NA())</f>
        <v/>
      </c>
      <c r="G125">
        <f>IF(AND(k_gluOn,k_ng&gt;=2),Calc!$AK$3+(INDEX(Calc!$AK$3:$AK$22,k_ng)-Calc!$AK$3)*122/200,NA())</f>
        <v/>
      </c>
      <c r="H125">
        <f>IF(AND(k_gluOn,k_ng&gt;=2),(2*((G125-INDEX(Calc!$AK$3:$AK$22,I125))/(INDEX(Calc!$AK$3:$AK$22,I125+1)-INDEX(Calc!$AK$3:$AK$22,I125)))^3-3*((G125-INDEX(Calc!$AK$3:$AK$22,I125))/(INDEX(Calc!$AK$3:$AK$22,I125+1)-INDEX(Calc!$AK$3:$AK$22,I125)))^2+1)*INDEX(Calc!$AL$3:$AL$22,I125)+(((G125-INDEX(Calc!$AK$3:$AK$22,I125))/(INDEX(Calc!$AK$3:$AK$22,I125+1)-INDEX(Calc!$AK$3:$AK$22,I125)))^3-2*((G125-INDEX(Calc!$AK$3:$AK$22,I125))/(INDEX(Calc!$AK$3:$AK$22,I125+1)-INDEX(Calc!$AK$3:$AK$22,I125)))^2+((G125-INDEX(Calc!$AK$3:$AK$22,I125))/(INDEX(Calc!$AK$3:$AK$22,I125+1)-INDEX(Calc!$AK$3:$AK$22,I125))))*(INDEX(Calc!$AK$3:$AK$22,I125+1)-INDEX(Calc!$AK$3:$AK$22,I125))*INDEX(Calc!$AP$3:$AP$22,I125)+(-2*((G125-INDEX(Calc!$AK$3:$AK$22,I125))/(INDEX(Calc!$AK$3:$AK$22,I125+1)-INDEX(Calc!$AK$3:$AK$22,I125)))^3+3*((G125-INDEX(Calc!$AK$3:$AK$22,I125))/(INDEX(Calc!$AK$3:$AK$22,I125+1)-INDEX(Calc!$AK$3:$AK$22,I125)))^2)*INDEX(Calc!$AL$3:$AL$22,I125+1)+(((G125-INDEX(Calc!$AK$3:$AK$22,I125))/(INDEX(Calc!$AK$3:$AK$22,I125+1)-INDEX(Calc!$AK$3:$AK$22,I125)))^3-((G125-INDEX(Calc!$AK$3:$AK$22,I125))/(INDEX(Calc!$AK$3:$AK$22,I125+1)-INDEX(Calc!$AK$3:$AK$22,I125)))^2)*(INDEX(Calc!$AK$3:$AK$22,I125+1)-INDEX(Calc!$AK$3:$AK$22,I125))*INDEX(Calc!$AQ$3:$AQ$22,I125),NA())</f>
        <v/>
      </c>
      <c r="I125">
        <f>IF(AND(k_gluOn,k_ng&gt;=2),MIN(k_ng-1,MAX(1,MATCH(G125,Calc!$AK$3:INDEX(Calc!$AK$3:$AK$22,k_ng),1))),1)</f>
        <v/>
      </c>
    </row>
    <row r="126">
      <c r="A126">
        <f>IF(k_ok,Grid!$B$617,NA())</f>
        <v/>
      </c>
      <c r="B126">
        <f>IF(k_ok,Grid!$Q$617,NA())</f>
        <v/>
      </c>
      <c r="C126">
        <f>IF(k_hrok,k_h0+k_h1*E126+k_h2*E126^2,NA())</f>
        <v/>
      </c>
      <c r="D126">
        <f>IF(k_ok,Grid!$Q$617/Grid!$B$617,NA())</f>
        <v/>
      </c>
      <c r="E126">
        <f>IF(k_hrok,k_hx0+(k_hx1-k_hx0)*123/200,NA())</f>
        <v/>
      </c>
      <c r="G126">
        <f>IF(AND(k_gluOn,k_ng&gt;=2),Calc!$AK$3+(INDEX(Calc!$AK$3:$AK$22,k_ng)-Calc!$AK$3)*123/200,NA())</f>
        <v/>
      </c>
      <c r="H126">
        <f>IF(AND(k_gluOn,k_ng&gt;=2),(2*((G126-INDEX(Calc!$AK$3:$AK$22,I126))/(INDEX(Calc!$AK$3:$AK$22,I126+1)-INDEX(Calc!$AK$3:$AK$22,I126)))^3-3*((G126-INDEX(Calc!$AK$3:$AK$22,I126))/(INDEX(Calc!$AK$3:$AK$22,I126+1)-INDEX(Calc!$AK$3:$AK$22,I126)))^2+1)*INDEX(Calc!$AL$3:$AL$22,I126)+(((G126-INDEX(Calc!$AK$3:$AK$22,I126))/(INDEX(Calc!$AK$3:$AK$22,I126+1)-INDEX(Calc!$AK$3:$AK$22,I126)))^3-2*((G126-INDEX(Calc!$AK$3:$AK$22,I126))/(INDEX(Calc!$AK$3:$AK$22,I126+1)-INDEX(Calc!$AK$3:$AK$22,I126)))^2+((G126-INDEX(Calc!$AK$3:$AK$22,I126))/(INDEX(Calc!$AK$3:$AK$22,I126+1)-INDEX(Calc!$AK$3:$AK$22,I126))))*(INDEX(Calc!$AK$3:$AK$22,I126+1)-INDEX(Calc!$AK$3:$AK$22,I126))*INDEX(Calc!$AP$3:$AP$22,I126)+(-2*((G126-INDEX(Calc!$AK$3:$AK$22,I126))/(INDEX(Calc!$AK$3:$AK$22,I126+1)-INDEX(Calc!$AK$3:$AK$22,I126)))^3+3*((G126-INDEX(Calc!$AK$3:$AK$22,I126))/(INDEX(Calc!$AK$3:$AK$22,I126+1)-INDEX(Calc!$AK$3:$AK$22,I126)))^2)*INDEX(Calc!$AL$3:$AL$22,I126+1)+(((G126-INDEX(Calc!$AK$3:$AK$22,I126))/(INDEX(Calc!$AK$3:$AK$22,I126+1)-INDEX(Calc!$AK$3:$AK$22,I126)))^3-((G126-INDEX(Calc!$AK$3:$AK$22,I126))/(INDEX(Calc!$AK$3:$AK$22,I126+1)-INDEX(Calc!$AK$3:$AK$22,I126)))^2)*(INDEX(Calc!$AK$3:$AK$22,I126+1)-INDEX(Calc!$AK$3:$AK$22,I126))*INDEX(Calc!$AQ$3:$AQ$22,I126),NA())</f>
        <v/>
      </c>
      <c r="I126">
        <f>IF(AND(k_gluOn,k_ng&gt;=2),MIN(k_ng-1,MAX(1,MATCH(G126,Calc!$AK$3:INDEX(Calc!$AK$3:$AK$22,k_ng),1))),1)</f>
        <v/>
      </c>
    </row>
    <row r="127">
      <c r="A127">
        <f>IF(k_ok,Grid!$B$622,NA())</f>
        <v/>
      </c>
      <c r="B127">
        <f>IF(k_ok,Grid!$Q$622,NA())</f>
        <v/>
      </c>
      <c r="C127">
        <f>IF(k_hrok,k_h0+k_h1*E127+k_h2*E127^2,NA())</f>
        <v/>
      </c>
      <c r="D127">
        <f>IF(k_ok,Grid!$Q$622/Grid!$B$622,NA())</f>
        <v/>
      </c>
      <c r="E127">
        <f>IF(k_hrok,k_hx0+(k_hx1-k_hx0)*124/200,NA())</f>
        <v/>
      </c>
      <c r="G127">
        <f>IF(AND(k_gluOn,k_ng&gt;=2),Calc!$AK$3+(INDEX(Calc!$AK$3:$AK$22,k_ng)-Calc!$AK$3)*124/200,NA())</f>
        <v/>
      </c>
      <c r="H127">
        <f>IF(AND(k_gluOn,k_ng&gt;=2),(2*((G127-INDEX(Calc!$AK$3:$AK$22,I127))/(INDEX(Calc!$AK$3:$AK$22,I127+1)-INDEX(Calc!$AK$3:$AK$22,I127)))^3-3*((G127-INDEX(Calc!$AK$3:$AK$22,I127))/(INDEX(Calc!$AK$3:$AK$22,I127+1)-INDEX(Calc!$AK$3:$AK$22,I127)))^2+1)*INDEX(Calc!$AL$3:$AL$22,I127)+(((G127-INDEX(Calc!$AK$3:$AK$22,I127))/(INDEX(Calc!$AK$3:$AK$22,I127+1)-INDEX(Calc!$AK$3:$AK$22,I127)))^3-2*((G127-INDEX(Calc!$AK$3:$AK$22,I127))/(INDEX(Calc!$AK$3:$AK$22,I127+1)-INDEX(Calc!$AK$3:$AK$22,I127)))^2+((G127-INDEX(Calc!$AK$3:$AK$22,I127))/(INDEX(Calc!$AK$3:$AK$22,I127+1)-INDEX(Calc!$AK$3:$AK$22,I127))))*(INDEX(Calc!$AK$3:$AK$22,I127+1)-INDEX(Calc!$AK$3:$AK$22,I127))*INDEX(Calc!$AP$3:$AP$22,I127)+(-2*((G127-INDEX(Calc!$AK$3:$AK$22,I127))/(INDEX(Calc!$AK$3:$AK$22,I127+1)-INDEX(Calc!$AK$3:$AK$22,I127)))^3+3*((G127-INDEX(Calc!$AK$3:$AK$22,I127))/(INDEX(Calc!$AK$3:$AK$22,I127+1)-INDEX(Calc!$AK$3:$AK$22,I127)))^2)*INDEX(Calc!$AL$3:$AL$22,I127+1)+(((G127-INDEX(Calc!$AK$3:$AK$22,I127))/(INDEX(Calc!$AK$3:$AK$22,I127+1)-INDEX(Calc!$AK$3:$AK$22,I127)))^3-((G127-INDEX(Calc!$AK$3:$AK$22,I127))/(INDEX(Calc!$AK$3:$AK$22,I127+1)-INDEX(Calc!$AK$3:$AK$22,I127)))^2)*(INDEX(Calc!$AK$3:$AK$22,I127+1)-INDEX(Calc!$AK$3:$AK$22,I127))*INDEX(Calc!$AQ$3:$AQ$22,I127),NA())</f>
        <v/>
      </c>
      <c r="I127">
        <f>IF(AND(k_gluOn,k_ng&gt;=2),MIN(k_ng-1,MAX(1,MATCH(G127,Calc!$AK$3:INDEX(Calc!$AK$3:$AK$22,k_ng),1))),1)</f>
        <v/>
      </c>
    </row>
    <row r="128">
      <c r="A128">
        <f>IF(k_ok,Grid!$B$627,NA())</f>
        <v/>
      </c>
      <c r="B128">
        <f>IF(k_ok,Grid!$Q$627,NA())</f>
        <v/>
      </c>
      <c r="C128">
        <f>IF(k_hrok,k_h0+k_h1*E128+k_h2*E128^2,NA())</f>
        <v/>
      </c>
      <c r="D128">
        <f>IF(k_ok,Grid!$Q$627/Grid!$B$627,NA())</f>
        <v/>
      </c>
      <c r="E128">
        <f>IF(k_hrok,k_hx0+(k_hx1-k_hx0)*125/200,NA())</f>
        <v/>
      </c>
      <c r="G128">
        <f>IF(AND(k_gluOn,k_ng&gt;=2),Calc!$AK$3+(INDEX(Calc!$AK$3:$AK$22,k_ng)-Calc!$AK$3)*125/200,NA())</f>
        <v/>
      </c>
      <c r="H128">
        <f>IF(AND(k_gluOn,k_ng&gt;=2),(2*((G128-INDEX(Calc!$AK$3:$AK$22,I128))/(INDEX(Calc!$AK$3:$AK$22,I128+1)-INDEX(Calc!$AK$3:$AK$22,I128)))^3-3*((G128-INDEX(Calc!$AK$3:$AK$22,I128))/(INDEX(Calc!$AK$3:$AK$22,I128+1)-INDEX(Calc!$AK$3:$AK$22,I128)))^2+1)*INDEX(Calc!$AL$3:$AL$22,I128)+(((G128-INDEX(Calc!$AK$3:$AK$22,I128))/(INDEX(Calc!$AK$3:$AK$22,I128+1)-INDEX(Calc!$AK$3:$AK$22,I128)))^3-2*((G128-INDEX(Calc!$AK$3:$AK$22,I128))/(INDEX(Calc!$AK$3:$AK$22,I128+1)-INDEX(Calc!$AK$3:$AK$22,I128)))^2+((G128-INDEX(Calc!$AK$3:$AK$22,I128))/(INDEX(Calc!$AK$3:$AK$22,I128+1)-INDEX(Calc!$AK$3:$AK$22,I128))))*(INDEX(Calc!$AK$3:$AK$22,I128+1)-INDEX(Calc!$AK$3:$AK$22,I128))*INDEX(Calc!$AP$3:$AP$22,I128)+(-2*((G128-INDEX(Calc!$AK$3:$AK$22,I128))/(INDEX(Calc!$AK$3:$AK$22,I128+1)-INDEX(Calc!$AK$3:$AK$22,I128)))^3+3*((G128-INDEX(Calc!$AK$3:$AK$22,I128))/(INDEX(Calc!$AK$3:$AK$22,I128+1)-INDEX(Calc!$AK$3:$AK$22,I128)))^2)*INDEX(Calc!$AL$3:$AL$22,I128+1)+(((G128-INDEX(Calc!$AK$3:$AK$22,I128))/(INDEX(Calc!$AK$3:$AK$22,I128+1)-INDEX(Calc!$AK$3:$AK$22,I128)))^3-((G128-INDEX(Calc!$AK$3:$AK$22,I128))/(INDEX(Calc!$AK$3:$AK$22,I128+1)-INDEX(Calc!$AK$3:$AK$22,I128)))^2)*(INDEX(Calc!$AK$3:$AK$22,I128+1)-INDEX(Calc!$AK$3:$AK$22,I128))*INDEX(Calc!$AQ$3:$AQ$22,I128),NA())</f>
        <v/>
      </c>
      <c r="I128">
        <f>IF(AND(k_gluOn,k_ng&gt;=2),MIN(k_ng-1,MAX(1,MATCH(G128,Calc!$AK$3:INDEX(Calc!$AK$3:$AK$22,k_ng),1))),1)</f>
        <v/>
      </c>
    </row>
    <row r="129">
      <c r="A129">
        <f>IF(k_ok,Grid!$B$632,NA())</f>
        <v/>
      </c>
      <c r="B129">
        <f>IF(k_ok,Grid!$Q$632,NA())</f>
        <v/>
      </c>
      <c r="C129">
        <f>IF(k_hrok,k_h0+k_h1*E129+k_h2*E129^2,NA())</f>
        <v/>
      </c>
      <c r="D129">
        <f>IF(k_ok,Grid!$Q$632/Grid!$B$632,NA())</f>
        <v/>
      </c>
      <c r="E129">
        <f>IF(k_hrok,k_hx0+(k_hx1-k_hx0)*126/200,NA())</f>
        <v/>
      </c>
      <c r="G129">
        <f>IF(AND(k_gluOn,k_ng&gt;=2),Calc!$AK$3+(INDEX(Calc!$AK$3:$AK$22,k_ng)-Calc!$AK$3)*126/200,NA())</f>
        <v/>
      </c>
      <c r="H129">
        <f>IF(AND(k_gluOn,k_ng&gt;=2),(2*((G129-INDEX(Calc!$AK$3:$AK$22,I129))/(INDEX(Calc!$AK$3:$AK$22,I129+1)-INDEX(Calc!$AK$3:$AK$22,I129)))^3-3*((G129-INDEX(Calc!$AK$3:$AK$22,I129))/(INDEX(Calc!$AK$3:$AK$22,I129+1)-INDEX(Calc!$AK$3:$AK$22,I129)))^2+1)*INDEX(Calc!$AL$3:$AL$22,I129)+(((G129-INDEX(Calc!$AK$3:$AK$22,I129))/(INDEX(Calc!$AK$3:$AK$22,I129+1)-INDEX(Calc!$AK$3:$AK$22,I129)))^3-2*((G129-INDEX(Calc!$AK$3:$AK$22,I129))/(INDEX(Calc!$AK$3:$AK$22,I129+1)-INDEX(Calc!$AK$3:$AK$22,I129)))^2+((G129-INDEX(Calc!$AK$3:$AK$22,I129))/(INDEX(Calc!$AK$3:$AK$22,I129+1)-INDEX(Calc!$AK$3:$AK$22,I129))))*(INDEX(Calc!$AK$3:$AK$22,I129+1)-INDEX(Calc!$AK$3:$AK$22,I129))*INDEX(Calc!$AP$3:$AP$22,I129)+(-2*((G129-INDEX(Calc!$AK$3:$AK$22,I129))/(INDEX(Calc!$AK$3:$AK$22,I129+1)-INDEX(Calc!$AK$3:$AK$22,I129)))^3+3*((G129-INDEX(Calc!$AK$3:$AK$22,I129))/(INDEX(Calc!$AK$3:$AK$22,I129+1)-INDEX(Calc!$AK$3:$AK$22,I129)))^2)*INDEX(Calc!$AL$3:$AL$22,I129+1)+(((G129-INDEX(Calc!$AK$3:$AK$22,I129))/(INDEX(Calc!$AK$3:$AK$22,I129+1)-INDEX(Calc!$AK$3:$AK$22,I129)))^3-((G129-INDEX(Calc!$AK$3:$AK$22,I129))/(INDEX(Calc!$AK$3:$AK$22,I129+1)-INDEX(Calc!$AK$3:$AK$22,I129)))^2)*(INDEX(Calc!$AK$3:$AK$22,I129+1)-INDEX(Calc!$AK$3:$AK$22,I129))*INDEX(Calc!$AQ$3:$AQ$22,I129),NA())</f>
        <v/>
      </c>
      <c r="I129">
        <f>IF(AND(k_gluOn,k_ng&gt;=2),MIN(k_ng-1,MAX(1,MATCH(G129,Calc!$AK$3:INDEX(Calc!$AK$3:$AK$22,k_ng),1))),1)</f>
        <v/>
      </c>
    </row>
    <row r="130">
      <c r="A130">
        <f>IF(k_ok,Grid!$B$637,NA())</f>
        <v/>
      </c>
      <c r="B130">
        <f>IF(k_ok,Grid!$Q$637,NA())</f>
        <v/>
      </c>
      <c r="C130">
        <f>IF(k_hrok,k_h0+k_h1*E130+k_h2*E130^2,NA())</f>
        <v/>
      </c>
      <c r="D130">
        <f>IF(k_ok,Grid!$Q$637/Grid!$B$637,NA())</f>
        <v/>
      </c>
      <c r="E130">
        <f>IF(k_hrok,k_hx0+(k_hx1-k_hx0)*127/200,NA())</f>
        <v/>
      </c>
      <c r="G130">
        <f>IF(AND(k_gluOn,k_ng&gt;=2),Calc!$AK$3+(INDEX(Calc!$AK$3:$AK$22,k_ng)-Calc!$AK$3)*127/200,NA())</f>
        <v/>
      </c>
      <c r="H130">
        <f>IF(AND(k_gluOn,k_ng&gt;=2),(2*((G130-INDEX(Calc!$AK$3:$AK$22,I130))/(INDEX(Calc!$AK$3:$AK$22,I130+1)-INDEX(Calc!$AK$3:$AK$22,I130)))^3-3*((G130-INDEX(Calc!$AK$3:$AK$22,I130))/(INDEX(Calc!$AK$3:$AK$22,I130+1)-INDEX(Calc!$AK$3:$AK$22,I130)))^2+1)*INDEX(Calc!$AL$3:$AL$22,I130)+(((G130-INDEX(Calc!$AK$3:$AK$22,I130))/(INDEX(Calc!$AK$3:$AK$22,I130+1)-INDEX(Calc!$AK$3:$AK$22,I130)))^3-2*((G130-INDEX(Calc!$AK$3:$AK$22,I130))/(INDEX(Calc!$AK$3:$AK$22,I130+1)-INDEX(Calc!$AK$3:$AK$22,I130)))^2+((G130-INDEX(Calc!$AK$3:$AK$22,I130))/(INDEX(Calc!$AK$3:$AK$22,I130+1)-INDEX(Calc!$AK$3:$AK$22,I130))))*(INDEX(Calc!$AK$3:$AK$22,I130+1)-INDEX(Calc!$AK$3:$AK$22,I130))*INDEX(Calc!$AP$3:$AP$22,I130)+(-2*((G130-INDEX(Calc!$AK$3:$AK$22,I130))/(INDEX(Calc!$AK$3:$AK$22,I130+1)-INDEX(Calc!$AK$3:$AK$22,I130)))^3+3*((G130-INDEX(Calc!$AK$3:$AK$22,I130))/(INDEX(Calc!$AK$3:$AK$22,I130+1)-INDEX(Calc!$AK$3:$AK$22,I130)))^2)*INDEX(Calc!$AL$3:$AL$22,I130+1)+(((G130-INDEX(Calc!$AK$3:$AK$22,I130))/(INDEX(Calc!$AK$3:$AK$22,I130+1)-INDEX(Calc!$AK$3:$AK$22,I130)))^3-((G130-INDEX(Calc!$AK$3:$AK$22,I130))/(INDEX(Calc!$AK$3:$AK$22,I130+1)-INDEX(Calc!$AK$3:$AK$22,I130)))^2)*(INDEX(Calc!$AK$3:$AK$22,I130+1)-INDEX(Calc!$AK$3:$AK$22,I130))*INDEX(Calc!$AQ$3:$AQ$22,I130),NA())</f>
        <v/>
      </c>
      <c r="I130">
        <f>IF(AND(k_gluOn,k_ng&gt;=2),MIN(k_ng-1,MAX(1,MATCH(G130,Calc!$AK$3:INDEX(Calc!$AK$3:$AK$22,k_ng),1))),1)</f>
        <v/>
      </c>
    </row>
    <row r="131">
      <c r="A131">
        <f>IF(k_ok,Grid!$B$642,NA())</f>
        <v/>
      </c>
      <c r="B131">
        <f>IF(k_ok,Grid!$Q$642,NA())</f>
        <v/>
      </c>
      <c r="C131">
        <f>IF(k_hrok,k_h0+k_h1*E131+k_h2*E131^2,NA())</f>
        <v/>
      </c>
      <c r="D131">
        <f>IF(k_ok,Grid!$Q$642/Grid!$B$642,NA())</f>
        <v/>
      </c>
      <c r="E131">
        <f>IF(k_hrok,k_hx0+(k_hx1-k_hx0)*128/200,NA())</f>
        <v/>
      </c>
      <c r="G131">
        <f>IF(AND(k_gluOn,k_ng&gt;=2),Calc!$AK$3+(INDEX(Calc!$AK$3:$AK$22,k_ng)-Calc!$AK$3)*128/200,NA())</f>
        <v/>
      </c>
      <c r="H131">
        <f>IF(AND(k_gluOn,k_ng&gt;=2),(2*((G131-INDEX(Calc!$AK$3:$AK$22,I131))/(INDEX(Calc!$AK$3:$AK$22,I131+1)-INDEX(Calc!$AK$3:$AK$22,I131)))^3-3*((G131-INDEX(Calc!$AK$3:$AK$22,I131))/(INDEX(Calc!$AK$3:$AK$22,I131+1)-INDEX(Calc!$AK$3:$AK$22,I131)))^2+1)*INDEX(Calc!$AL$3:$AL$22,I131)+(((G131-INDEX(Calc!$AK$3:$AK$22,I131))/(INDEX(Calc!$AK$3:$AK$22,I131+1)-INDEX(Calc!$AK$3:$AK$22,I131)))^3-2*((G131-INDEX(Calc!$AK$3:$AK$22,I131))/(INDEX(Calc!$AK$3:$AK$22,I131+1)-INDEX(Calc!$AK$3:$AK$22,I131)))^2+((G131-INDEX(Calc!$AK$3:$AK$22,I131))/(INDEX(Calc!$AK$3:$AK$22,I131+1)-INDEX(Calc!$AK$3:$AK$22,I131))))*(INDEX(Calc!$AK$3:$AK$22,I131+1)-INDEX(Calc!$AK$3:$AK$22,I131))*INDEX(Calc!$AP$3:$AP$22,I131)+(-2*((G131-INDEX(Calc!$AK$3:$AK$22,I131))/(INDEX(Calc!$AK$3:$AK$22,I131+1)-INDEX(Calc!$AK$3:$AK$22,I131)))^3+3*((G131-INDEX(Calc!$AK$3:$AK$22,I131))/(INDEX(Calc!$AK$3:$AK$22,I131+1)-INDEX(Calc!$AK$3:$AK$22,I131)))^2)*INDEX(Calc!$AL$3:$AL$22,I131+1)+(((G131-INDEX(Calc!$AK$3:$AK$22,I131))/(INDEX(Calc!$AK$3:$AK$22,I131+1)-INDEX(Calc!$AK$3:$AK$22,I131)))^3-((G131-INDEX(Calc!$AK$3:$AK$22,I131))/(INDEX(Calc!$AK$3:$AK$22,I131+1)-INDEX(Calc!$AK$3:$AK$22,I131)))^2)*(INDEX(Calc!$AK$3:$AK$22,I131+1)-INDEX(Calc!$AK$3:$AK$22,I131))*INDEX(Calc!$AQ$3:$AQ$22,I131),NA())</f>
        <v/>
      </c>
      <c r="I131">
        <f>IF(AND(k_gluOn,k_ng&gt;=2),MIN(k_ng-1,MAX(1,MATCH(G131,Calc!$AK$3:INDEX(Calc!$AK$3:$AK$22,k_ng),1))),1)</f>
        <v/>
      </c>
    </row>
    <row r="132">
      <c r="A132">
        <f>IF(k_ok,Grid!$B$647,NA())</f>
        <v/>
      </c>
      <c r="B132">
        <f>IF(k_ok,Grid!$Q$647,NA())</f>
        <v/>
      </c>
      <c r="C132">
        <f>IF(k_hrok,k_h0+k_h1*E132+k_h2*E132^2,NA())</f>
        <v/>
      </c>
      <c r="D132">
        <f>IF(k_ok,Grid!$Q$647/Grid!$B$647,NA())</f>
        <v/>
      </c>
      <c r="E132">
        <f>IF(k_hrok,k_hx0+(k_hx1-k_hx0)*129/200,NA())</f>
        <v/>
      </c>
      <c r="G132">
        <f>IF(AND(k_gluOn,k_ng&gt;=2),Calc!$AK$3+(INDEX(Calc!$AK$3:$AK$22,k_ng)-Calc!$AK$3)*129/200,NA())</f>
        <v/>
      </c>
      <c r="H132">
        <f>IF(AND(k_gluOn,k_ng&gt;=2),(2*((G132-INDEX(Calc!$AK$3:$AK$22,I132))/(INDEX(Calc!$AK$3:$AK$22,I132+1)-INDEX(Calc!$AK$3:$AK$22,I132)))^3-3*((G132-INDEX(Calc!$AK$3:$AK$22,I132))/(INDEX(Calc!$AK$3:$AK$22,I132+1)-INDEX(Calc!$AK$3:$AK$22,I132)))^2+1)*INDEX(Calc!$AL$3:$AL$22,I132)+(((G132-INDEX(Calc!$AK$3:$AK$22,I132))/(INDEX(Calc!$AK$3:$AK$22,I132+1)-INDEX(Calc!$AK$3:$AK$22,I132)))^3-2*((G132-INDEX(Calc!$AK$3:$AK$22,I132))/(INDEX(Calc!$AK$3:$AK$22,I132+1)-INDEX(Calc!$AK$3:$AK$22,I132)))^2+((G132-INDEX(Calc!$AK$3:$AK$22,I132))/(INDEX(Calc!$AK$3:$AK$22,I132+1)-INDEX(Calc!$AK$3:$AK$22,I132))))*(INDEX(Calc!$AK$3:$AK$22,I132+1)-INDEX(Calc!$AK$3:$AK$22,I132))*INDEX(Calc!$AP$3:$AP$22,I132)+(-2*((G132-INDEX(Calc!$AK$3:$AK$22,I132))/(INDEX(Calc!$AK$3:$AK$22,I132+1)-INDEX(Calc!$AK$3:$AK$22,I132)))^3+3*((G132-INDEX(Calc!$AK$3:$AK$22,I132))/(INDEX(Calc!$AK$3:$AK$22,I132+1)-INDEX(Calc!$AK$3:$AK$22,I132)))^2)*INDEX(Calc!$AL$3:$AL$22,I132+1)+(((G132-INDEX(Calc!$AK$3:$AK$22,I132))/(INDEX(Calc!$AK$3:$AK$22,I132+1)-INDEX(Calc!$AK$3:$AK$22,I132)))^3-((G132-INDEX(Calc!$AK$3:$AK$22,I132))/(INDEX(Calc!$AK$3:$AK$22,I132+1)-INDEX(Calc!$AK$3:$AK$22,I132)))^2)*(INDEX(Calc!$AK$3:$AK$22,I132+1)-INDEX(Calc!$AK$3:$AK$22,I132))*INDEX(Calc!$AQ$3:$AQ$22,I132),NA())</f>
        <v/>
      </c>
      <c r="I132">
        <f>IF(AND(k_gluOn,k_ng&gt;=2),MIN(k_ng-1,MAX(1,MATCH(G132,Calc!$AK$3:INDEX(Calc!$AK$3:$AK$22,k_ng),1))),1)</f>
        <v/>
      </c>
    </row>
    <row r="133">
      <c r="A133">
        <f>IF(k_ok,Grid!$B$652,NA())</f>
        <v/>
      </c>
      <c r="B133">
        <f>IF(k_ok,Grid!$Q$652,NA())</f>
        <v/>
      </c>
      <c r="C133">
        <f>IF(k_hrok,k_h0+k_h1*E133+k_h2*E133^2,NA())</f>
        <v/>
      </c>
      <c r="D133">
        <f>IF(k_ok,Grid!$Q$652/Grid!$B$652,NA())</f>
        <v/>
      </c>
      <c r="E133">
        <f>IF(k_hrok,k_hx0+(k_hx1-k_hx0)*130/200,NA())</f>
        <v/>
      </c>
      <c r="G133">
        <f>IF(AND(k_gluOn,k_ng&gt;=2),Calc!$AK$3+(INDEX(Calc!$AK$3:$AK$22,k_ng)-Calc!$AK$3)*130/200,NA())</f>
        <v/>
      </c>
      <c r="H133">
        <f>IF(AND(k_gluOn,k_ng&gt;=2),(2*((G133-INDEX(Calc!$AK$3:$AK$22,I133))/(INDEX(Calc!$AK$3:$AK$22,I133+1)-INDEX(Calc!$AK$3:$AK$22,I133)))^3-3*((G133-INDEX(Calc!$AK$3:$AK$22,I133))/(INDEX(Calc!$AK$3:$AK$22,I133+1)-INDEX(Calc!$AK$3:$AK$22,I133)))^2+1)*INDEX(Calc!$AL$3:$AL$22,I133)+(((G133-INDEX(Calc!$AK$3:$AK$22,I133))/(INDEX(Calc!$AK$3:$AK$22,I133+1)-INDEX(Calc!$AK$3:$AK$22,I133)))^3-2*((G133-INDEX(Calc!$AK$3:$AK$22,I133))/(INDEX(Calc!$AK$3:$AK$22,I133+1)-INDEX(Calc!$AK$3:$AK$22,I133)))^2+((G133-INDEX(Calc!$AK$3:$AK$22,I133))/(INDEX(Calc!$AK$3:$AK$22,I133+1)-INDEX(Calc!$AK$3:$AK$22,I133))))*(INDEX(Calc!$AK$3:$AK$22,I133+1)-INDEX(Calc!$AK$3:$AK$22,I133))*INDEX(Calc!$AP$3:$AP$22,I133)+(-2*((G133-INDEX(Calc!$AK$3:$AK$22,I133))/(INDEX(Calc!$AK$3:$AK$22,I133+1)-INDEX(Calc!$AK$3:$AK$22,I133)))^3+3*((G133-INDEX(Calc!$AK$3:$AK$22,I133))/(INDEX(Calc!$AK$3:$AK$22,I133+1)-INDEX(Calc!$AK$3:$AK$22,I133)))^2)*INDEX(Calc!$AL$3:$AL$22,I133+1)+(((G133-INDEX(Calc!$AK$3:$AK$22,I133))/(INDEX(Calc!$AK$3:$AK$22,I133+1)-INDEX(Calc!$AK$3:$AK$22,I133)))^3-((G133-INDEX(Calc!$AK$3:$AK$22,I133))/(INDEX(Calc!$AK$3:$AK$22,I133+1)-INDEX(Calc!$AK$3:$AK$22,I133)))^2)*(INDEX(Calc!$AK$3:$AK$22,I133+1)-INDEX(Calc!$AK$3:$AK$22,I133))*INDEX(Calc!$AQ$3:$AQ$22,I133),NA())</f>
        <v/>
      </c>
      <c r="I133">
        <f>IF(AND(k_gluOn,k_ng&gt;=2),MIN(k_ng-1,MAX(1,MATCH(G133,Calc!$AK$3:INDEX(Calc!$AK$3:$AK$22,k_ng),1))),1)</f>
        <v/>
      </c>
    </row>
    <row r="134">
      <c r="A134">
        <f>IF(k_ok,Grid!$B$657,NA())</f>
        <v/>
      </c>
      <c r="B134">
        <f>IF(k_ok,Grid!$Q$657,NA())</f>
        <v/>
      </c>
      <c r="C134">
        <f>IF(k_hrok,k_h0+k_h1*E134+k_h2*E134^2,NA())</f>
        <v/>
      </c>
      <c r="D134">
        <f>IF(k_ok,Grid!$Q$657/Grid!$B$657,NA())</f>
        <v/>
      </c>
      <c r="E134">
        <f>IF(k_hrok,k_hx0+(k_hx1-k_hx0)*131/200,NA())</f>
        <v/>
      </c>
      <c r="G134">
        <f>IF(AND(k_gluOn,k_ng&gt;=2),Calc!$AK$3+(INDEX(Calc!$AK$3:$AK$22,k_ng)-Calc!$AK$3)*131/200,NA())</f>
        <v/>
      </c>
      <c r="H134">
        <f>IF(AND(k_gluOn,k_ng&gt;=2),(2*((G134-INDEX(Calc!$AK$3:$AK$22,I134))/(INDEX(Calc!$AK$3:$AK$22,I134+1)-INDEX(Calc!$AK$3:$AK$22,I134)))^3-3*((G134-INDEX(Calc!$AK$3:$AK$22,I134))/(INDEX(Calc!$AK$3:$AK$22,I134+1)-INDEX(Calc!$AK$3:$AK$22,I134)))^2+1)*INDEX(Calc!$AL$3:$AL$22,I134)+(((G134-INDEX(Calc!$AK$3:$AK$22,I134))/(INDEX(Calc!$AK$3:$AK$22,I134+1)-INDEX(Calc!$AK$3:$AK$22,I134)))^3-2*((G134-INDEX(Calc!$AK$3:$AK$22,I134))/(INDEX(Calc!$AK$3:$AK$22,I134+1)-INDEX(Calc!$AK$3:$AK$22,I134)))^2+((G134-INDEX(Calc!$AK$3:$AK$22,I134))/(INDEX(Calc!$AK$3:$AK$22,I134+1)-INDEX(Calc!$AK$3:$AK$22,I134))))*(INDEX(Calc!$AK$3:$AK$22,I134+1)-INDEX(Calc!$AK$3:$AK$22,I134))*INDEX(Calc!$AP$3:$AP$22,I134)+(-2*((G134-INDEX(Calc!$AK$3:$AK$22,I134))/(INDEX(Calc!$AK$3:$AK$22,I134+1)-INDEX(Calc!$AK$3:$AK$22,I134)))^3+3*((G134-INDEX(Calc!$AK$3:$AK$22,I134))/(INDEX(Calc!$AK$3:$AK$22,I134+1)-INDEX(Calc!$AK$3:$AK$22,I134)))^2)*INDEX(Calc!$AL$3:$AL$22,I134+1)+(((G134-INDEX(Calc!$AK$3:$AK$22,I134))/(INDEX(Calc!$AK$3:$AK$22,I134+1)-INDEX(Calc!$AK$3:$AK$22,I134)))^3-((G134-INDEX(Calc!$AK$3:$AK$22,I134))/(INDEX(Calc!$AK$3:$AK$22,I134+1)-INDEX(Calc!$AK$3:$AK$22,I134)))^2)*(INDEX(Calc!$AK$3:$AK$22,I134+1)-INDEX(Calc!$AK$3:$AK$22,I134))*INDEX(Calc!$AQ$3:$AQ$22,I134),NA())</f>
        <v/>
      </c>
      <c r="I134">
        <f>IF(AND(k_gluOn,k_ng&gt;=2),MIN(k_ng-1,MAX(1,MATCH(G134,Calc!$AK$3:INDEX(Calc!$AK$3:$AK$22,k_ng),1))),1)</f>
        <v/>
      </c>
    </row>
    <row r="135">
      <c r="A135">
        <f>IF(k_ok,Grid!$B$662,NA())</f>
        <v/>
      </c>
      <c r="B135">
        <f>IF(k_ok,Grid!$Q$662,NA())</f>
        <v/>
      </c>
      <c r="C135">
        <f>IF(k_hrok,k_h0+k_h1*E135+k_h2*E135^2,NA())</f>
        <v/>
      </c>
      <c r="D135">
        <f>IF(k_ok,Grid!$Q$662/Grid!$B$662,NA())</f>
        <v/>
      </c>
      <c r="E135">
        <f>IF(k_hrok,k_hx0+(k_hx1-k_hx0)*132/200,NA())</f>
        <v/>
      </c>
      <c r="G135">
        <f>IF(AND(k_gluOn,k_ng&gt;=2),Calc!$AK$3+(INDEX(Calc!$AK$3:$AK$22,k_ng)-Calc!$AK$3)*132/200,NA())</f>
        <v/>
      </c>
      <c r="H135">
        <f>IF(AND(k_gluOn,k_ng&gt;=2),(2*((G135-INDEX(Calc!$AK$3:$AK$22,I135))/(INDEX(Calc!$AK$3:$AK$22,I135+1)-INDEX(Calc!$AK$3:$AK$22,I135)))^3-3*((G135-INDEX(Calc!$AK$3:$AK$22,I135))/(INDEX(Calc!$AK$3:$AK$22,I135+1)-INDEX(Calc!$AK$3:$AK$22,I135)))^2+1)*INDEX(Calc!$AL$3:$AL$22,I135)+(((G135-INDEX(Calc!$AK$3:$AK$22,I135))/(INDEX(Calc!$AK$3:$AK$22,I135+1)-INDEX(Calc!$AK$3:$AK$22,I135)))^3-2*((G135-INDEX(Calc!$AK$3:$AK$22,I135))/(INDEX(Calc!$AK$3:$AK$22,I135+1)-INDEX(Calc!$AK$3:$AK$22,I135)))^2+((G135-INDEX(Calc!$AK$3:$AK$22,I135))/(INDEX(Calc!$AK$3:$AK$22,I135+1)-INDEX(Calc!$AK$3:$AK$22,I135))))*(INDEX(Calc!$AK$3:$AK$22,I135+1)-INDEX(Calc!$AK$3:$AK$22,I135))*INDEX(Calc!$AP$3:$AP$22,I135)+(-2*((G135-INDEX(Calc!$AK$3:$AK$22,I135))/(INDEX(Calc!$AK$3:$AK$22,I135+1)-INDEX(Calc!$AK$3:$AK$22,I135)))^3+3*((G135-INDEX(Calc!$AK$3:$AK$22,I135))/(INDEX(Calc!$AK$3:$AK$22,I135+1)-INDEX(Calc!$AK$3:$AK$22,I135)))^2)*INDEX(Calc!$AL$3:$AL$22,I135+1)+(((G135-INDEX(Calc!$AK$3:$AK$22,I135))/(INDEX(Calc!$AK$3:$AK$22,I135+1)-INDEX(Calc!$AK$3:$AK$22,I135)))^3-((G135-INDEX(Calc!$AK$3:$AK$22,I135))/(INDEX(Calc!$AK$3:$AK$22,I135+1)-INDEX(Calc!$AK$3:$AK$22,I135)))^2)*(INDEX(Calc!$AK$3:$AK$22,I135+1)-INDEX(Calc!$AK$3:$AK$22,I135))*INDEX(Calc!$AQ$3:$AQ$22,I135),NA())</f>
        <v/>
      </c>
      <c r="I135">
        <f>IF(AND(k_gluOn,k_ng&gt;=2),MIN(k_ng-1,MAX(1,MATCH(G135,Calc!$AK$3:INDEX(Calc!$AK$3:$AK$22,k_ng),1))),1)</f>
        <v/>
      </c>
    </row>
    <row r="136">
      <c r="A136">
        <f>IF(k_ok,Grid!$B$667,NA())</f>
        <v/>
      </c>
      <c r="B136">
        <f>IF(k_ok,Grid!$Q$667,NA())</f>
        <v/>
      </c>
      <c r="C136">
        <f>IF(k_hrok,k_h0+k_h1*E136+k_h2*E136^2,NA())</f>
        <v/>
      </c>
      <c r="D136">
        <f>IF(k_ok,Grid!$Q$667/Grid!$B$667,NA())</f>
        <v/>
      </c>
      <c r="E136">
        <f>IF(k_hrok,k_hx0+(k_hx1-k_hx0)*133/200,NA())</f>
        <v/>
      </c>
      <c r="G136">
        <f>IF(AND(k_gluOn,k_ng&gt;=2),Calc!$AK$3+(INDEX(Calc!$AK$3:$AK$22,k_ng)-Calc!$AK$3)*133/200,NA())</f>
        <v/>
      </c>
      <c r="H136">
        <f>IF(AND(k_gluOn,k_ng&gt;=2),(2*((G136-INDEX(Calc!$AK$3:$AK$22,I136))/(INDEX(Calc!$AK$3:$AK$22,I136+1)-INDEX(Calc!$AK$3:$AK$22,I136)))^3-3*((G136-INDEX(Calc!$AK$3:$AK$22,I136))/(INDEX(Calc!$AK$3:$AK$22,I136+1)-INDEX(Calc!$AK$3:$AK$22,I136)))^2+1)*INDEX(Calc!$AL$3:$AL$22,I136)+(((G136-INDEX(Calc!$AK$3:$AK$22,I136))/(INDEX(Calc!$AK$3:$AK$22,I136+1)-INDEX(Calc!$AK$3:$AK$22,I136)))^3-2*((G136-INDEX(Calc!$AK$3:$AK$22,I136))/(INDEX(Calc!$AK$3:$AK$22,I136+1)-INDEX(Calc!$AK$3:$AK$22,I136)))^2+((G136-INDEX(Calc!$AK$3:$AK$22,I136))/(INDEX(Calc!$AK$3:$AK$22,I136+1)-INDEX(Calc!$AK$3:$AK$22,I136))))*(INDEX(Calc!$AK$3:$AK$22,I136+1)-INDEX(Calc!$AK$3:$AK$22,I136))*INDEX(Calc!$AP$3:$AP$22,I136)+(-2*((G136-INDEX(Calc!$AK$3:$AK$22,I136))/(INDEX(Calc!$AK$3:$AK$22,I136+1)-INDEX(Calc!$AK$3:$AK$22,I136)))^3+3*((G136-INDEX(Calc!$AK$3:$AK$22,I136))/(INDEX(Calc!$AK$3:$AK$22,I136+1)-INDEX(Calc!$AK$3:$AK$22,I136)))^2)*INDEX(Calc!$AL$3:$AL$22,I136+1)+(((G136-INDEX(Calc!$AK$3:$AK$22,I136))/(INDEX(Calc!$AK$3:$AK$22,I136+1)-INDEX(Calc!$AK$3:$AK$22,I136)))^3-((G136-INDEX(Calc!$AK$3:$AK$22,I136))/(INDEX(Calc!$AK$3:$AK$22,I136+1)-INDEX(Calc!$AK$3:$AK$22,I136)))^2)*(INDEX(Calc!$AK$3:$AK$22,I136+1)-INDEX(Calc!$AK$3:$AK$22,I136))*INDEX(Calc!$AQ$3:$AQ$22,I136),NA())</f>
        <v/>
      </c>
      <c r="I136">
        <f>IF(AND(k_gluOn,k_ng&gt;=2),MIN(k_ng-1,MAX(1,MATCH(G136,Calc!$AK$3:INDEX(Calc!$AK$3:$AK$22,k_ng),1))),1)</f>
        <v/>
      </c>
    </row>
    <row r="137">
      <c r="A137">
        <f>IF(k_ok,Grid!$B$672,NA())</f>
        <v/>
      </c>
      <c r="B137">
        <f>IF(k_ok,Grid!$Q$672,NA())</f>
        <v/>
      </c>
      <c r="C137">
        <f>IF(k_hrok,k_h0+k_h1*E137+k_h2*E137^2,NA())</f>
        <v/>
      </c>
      <c r="D137">
        <f>IF(k_ok,Grid!$Q$672/Grid!$B$672,NA())</f>
        <v/>
      </c>
      <c r="E137">
        <f>IF(k_hrok,k_hx0+(k_hx1-k_hx0)*134/200,NA())</f>
        <v/>
      </c>
      <c r="G137">
        <f>IF(AND(k_gluOn,k_ng&gt;=2),Calc!$AK$3+(INDEX(Calc!$AK$3:$AK$22,k_ng)-Calc!$AK$3)*134/200,NA())</f>
        <v/>
      </c>
      <c r="H137">
        <f>IF(AND(k_gluOn,k_ng&gt;=2),(2*((G137-INDEX(Calc!$AK$3:$AK$22,I137))/(INDEX(Calc!$AK$3:$AK$22,I137+1)-INDEX(Calc!$AK$3:$AK$22,I137)))^3-3*((G137-INDEX(Calc!$AK$3:$AK$22,I137))/(INDEX(Calc!$AK$3:$AK$22,I137+1)-INDEX(Calc!$AK$3:$AK$22,I137)))^2+1)*INDEX(Calc!$AL$3:$AL$22,I137)+(((G137-INDEX(Calc!$AK$3:$AK$22,I137))/(INDEX(Calc!$AK$3:$AK$22,I137+1)-INDEX(Calc!$AK$3:$AK$22,I137)))^3-2*((G137-INDEX(Calc!$AK$3:$AK$22,I137))/(INDEX(Calc!$AK$3:$AK$22,I137+1)-INDEX(Calc!$AK$3:$AK$22,I137)))^2+((G137-INDEX(Calc!$AK$3:$AK$22,I137))/(INDEX(Calc!$AK$3:$AK$22,I137+1)-INDEX(Calc!$AK$3:$AK$22,I137))))*(INDEX(Calc!$AK$3:$AK$22,I137+1)-INDEX(Calc!$AK$3:$AK$22,I137))*INDEX(Calc!$AP$3:$AP$22,I137)+(-2*((G137-INDEX(Calc!$AK$3:$AK$22,I137))/(INDEX(Calc!$AK$3:$AK$22,I137+1)-INDEX(Calc!$AK$3:$AK$22,I137)))^3+3*((G137-INDEX(Calc!$AK$3:$AK$22,I137))/(INDEX(Calc!$AK$3:$AK$22,I137+1)-INDEX(Calc!$AK$3:$AK$22,I137)))^2)*INDEX(Calc!$AL$3:$AL$22,I137+1)+(((G137-INDEX(Calc!$AK$3:$AK$22,I137))/(INDEX(Calc!$AK$3:$AK$22,I137+1)-INDEX(Calc!$AK$3:$AK$22,I137)))^3-((G137-INDEX(Calc!$AK$3:$AK$22,I137))/(INDEX(Calc!$AK$3:$AK$22,I137+1)-INDEX(Calc!$AK$3:$AK$22,I137)))^2)*(INDEX(Calc!$AK$3:$AK$22,I137+1)-INDEX(Calc!$AK$3:$AK$22,I137))*INDEX(Calc!$AQ$3:$AQ$22,I137),NA())</f>
        <v/>
      </c>
      <c r="I137">
        <f>IF(AND(k_gluOn,k_ng&gt;=2),MIN(k_ng-1,MAX(1,MATCH(G137,Calc!$AK$3:INDEX(Calc!$AK$3:$AK$22,k_ng),1))),1)</f>
        <v/>
      </c>
    </row>
    <row r="138">
      <c r="A138">
        <f>IF(k_ok,Grid!$B$677,NA())</f>
        <v/>
      </c>
      <c r="B138">
        <f>IF(k_ok,Grid!$Q$677,NA())</f>
        <v/>
      </c>
      <c r="C138">
        <f>IF(k_hrok,k_h0+k_h1*E138+k_h2*E138^2,NA())</f>
        <v/>
      </c>
      <c r="D138">
        <f>IF(k_ok,Grid!$Q$677/Grid!$B$677,NA())</f>
        <v/>
      </c>
      <c r="E138">
        <f>IF(k_hrok,k_hx0+(k_hx1-k_hx0)*135/200,NA())</f>
        <v/>
      </c>
      <c r="G138">
        <f>IF(AND(k_gluOn,k_ng&gt;=2),Calc!$AK$3+(INDEX(Calc!$AK$3:$AK$22,k_ng)-Calc!$AK$3)*135/200,NA())</f>
        <v/>
      </c>
      <c r="H138">
        <f>IF(AND(k_gluOn,k_ng&gt;=2),(2*((G138-INDEX(Calc!$AK$3:$AK$22,I138))/(INDEX(Calc!$AK$3:$AK$22,I138+1)-INDEX(Calc!$AK$3:$AK$22,I138)))^3-3*((G138-INDEX(Calc!$AK$3:$AK$22,I138))/(INDEX(Calc!$AK$3:$AK$22,I138+1)-INDEX(Calc!$AK$3:$AK$22,I138)))^2+1)*INDEX(Calc!$AL$3:$AL$22,I138)+(((G138-INDEX(Calc!$AK$3:$AK$22,I138))/(INDEX(Calc!$AK$3:$AK$22,I138+1)-INDEX(Calc!$AK$3:$AK$22,I138)))^3-2*((G138-INDEX(Calc!$AK$3:$AK$22,I138))/(INDEX(Calc!$AK$3:$AK$22,I138+1)-INDEX(Calc!$AK$3:$AK$22,I138)))^2+((G138-INDEX(Calc!$AK$3:$AK$22,I138))/(INDEX(Calc!$AK$3:$AK$22,I138+1)-INDEX(Calc!$AK$3:$AK$22,I138))))*(INDEX(Calc!$AK$3:$AK$22,I138+1)-INDEX(Calc!$AK$3:$AK$22,I138))*INDEX(Calc!$AP$3:$AP$22,I138)+(-2*((G138-INDEX(Calc!$AK$3:$AK$22,I138))/(INDEX(Calc!$AK$3:$AK$22,I138+1)-INDEX(Calc!$AK$3:$AK$22,I138)))^3+3*((G138-INDEX(Calc!$AK$3:$AK$22,I138))/(INDEX(Calc!$AK$3:$AK$22,I138+1)-INDEX(Calc!$AK$3:$AK$22,I138)))^2)*INDEX(Calc!$AL$3:$AL$22,I138+1)+(((G138-INDEX(Calc!$AK$3:$AK$22,I138))/(INDEX(Calc!$AK$3:$AK$22,I138+1)-INDEX(Calc!$AK$3:$AK$22,I138)))^3-((G138-INDEX(Calc!$AK$3:$AK$22,I138))/(INDEX(Calc!$AK$3:$AK$22,I138+1)-INDEX(Calc!$AK$3:$AK$22,I138)))^2)*(INDEX(Calc!$AK$3:$AK$22,I138+1)-INDEX(Calc!$AK$3:$AK$22,I138))*INDEX(Calc!$AQ$3:$AQ$22,I138),NA())</f>
        <v/>
      </c>
      <c r="I138">
        <f>IF(AND(k_gluOn,k_ng&gt;=2),MIN(k_ng-1,MAX(1,MATCH(G138,Calc!$AK$3:INDEX(Calc!$AK$3:$AK$22,k_ng),1))),1)</f>
        <v/>
      </c>
    </row>
    <row r="139">
      <c r="A139">
        <f>IF(k_ok,Grid!$B$682,NA())</f>
        <v/>
      </c>
      <c r="B139">
        <f>IF(k_ok,Grid!$Q$682,NA())</f>
        <v/>
      </c>
      <c r="C139">
        <f>IF(k_hrok,k_h0+k_h1*E139+k_h2*E139^2,NA())</f>
        <v/>
      </c>
      <c r="D139">
        <f>IF(k_ok,Grid!$Q$682/Grid!$B$682,NA())</f>
        <v/>
      </c>
      <c r="E139">
        <f>IF(k_hrok,k_hx0+(k_hx1-k_hx0)*136/200,NA())</f>
        <v/>
      </c>
      <c r="G139">
        <f>IF(AND(k_gluOn,k_ng&gt;=2),Calc!$AK$3+(INDEX(Calc!$AK$3:$AK$22,k_ng)-Calc!$AK$3)*136/200,NA())</f>
        <v/>
      </c>
      <c r="H139">
        <f>IF(AND(k_gluOn,k_ng&gt;=2),(2*((G139-INDEX(Calc!$AK$3:$AK$22,I139))/(INDEX(Calc!$AK$3:$AK$22,I139+1)-INDEX(Calc!$AK$3:$AK$22,I139)))^3-3*((G139-INDEX(Calc!$AK$3:$AK$22,I139))/(INDEX(Calc!$AK$3:$AK$22,I139+1)-INDEX(Calc!$AK$3:$AK$22,I139)))^2+1)*INDEX(Calc!$AL$3:$AL$22,I139)+(((G139-INDEX(Calc!$AK$3:$AK$22,I139))/(INDEX(Calc!$AK$3:$AK$22,I139+1)-INDEX(Calc!$AK$3:$AK$22,I139)))^3-2*((G139-INDEX(Calc!$AK$3:$AK$22,I139))/(INDEX(Calc!$AK$3:$AK$22,I139+1)-INDEX(Calc!$AK$3:$AK$22,I139)))^2+((G139-INDEX(Calc!$AK$3:$AK$22,I139))/(INDEX(Calc!$AK$3:$AK$22,I139+1)-INDEX(Calc!$AK$3:$AK$22,I139))))*(INDEX(Calc!$AK$3:$AK$22,I139+1)-INDEX(Calc!$AK$3:$AK$22,I139))*INDEX(Calc!$AP$3:$AP$22,I139)+(-2*((G139-INDEX(Calc!$AK$3:$AK$22,I139))/(INDEX(Calc!$AK$3:$AK$22,I139+1)-INDEX(Calc!$AK$3:$AK$22,I139)))^3+3*((G139-INDEX(Calc!$AK$3:$AK$22,I139))/(INDEX(Calc!$AK$3:$AK$22,I139+1)-INDEX(Calc!$AK$3:$AK$22,I139)))^2)*INDEX(Calc!$AL$3:$AL$22,I139+1)+(((G139-INDEX(Calc!$AK$3:$AK$22,I139))/(INDEX(Calc!$AK$3:$AK$22,I139+1)-INDEX(Calc!$AK$3:$AK$22,I139)))^3-((G139-INDEX(Calc!$AK$3:$AK$22,I139))/(INDEX(Calc!$AK$3:$AK$22,I139+1)-INDEX(Calc!$AK$3:$AK$22,I139)))^2)*(INDEX(Calc!$AK$3:$AK$22,I139+1)-INDEX(Calc!$AK$3:$AK$22,I139))*INDEX(Calc!$AQ$3:$AQ$22,I139),NA())</f>
        <v/>
      </c>
      <c r="I139">
        <f>IF(AND(k_gluOn,k_ng&gt;=2),MIN(k_ng-1,MAX(1,MATCH(G139,Calc!$AK$3:INDEX(Calc!$AK$3:$AK$22,k_ng),1))),1)</f>
        <v/>
      </c>
    </row>
    <row r="140">
      <c r="A140">
        <f>IF(k_ok,Grid!$B$687,NA())</f>
        <v/>
      </c>
      <c r="B140">
        <f>IF(k_ok,Grid!$Q$687,NA())</f>
        <v/>
      </c>
      <c r="C140">
        <f>IF(k_hrok,k_h0+k_h1*E140+k_h2*E140^2,NA())</f>
        <v/>
      </c>
      <c r="D140">
        <f>IF(k_ok,Grid!$Q$687/Grid!$B$687,NA())</f>
        <v/>
      </c>
      <c r="E140">
        <f>IF(k_hrok,k_hx0+(k_hx1-k_hx0)*137/200,NA())</f>
        <v/>
      </c>
      <c r="G140">
        <f>IF(AND(k_gluOn,k_ng&gt;=2),Calc!$AK$3+(INDEX(Calc!$AK$3:$AK$22,k_ng)-Calc!$AK$3)*137/200,NA())</f>
        <v/>
      </c>
      <c r="H140">
        <f>IF(AND(k_gluOn,k_ng&gt;=2),(2*((G140-INDEX(Calc!$AK$3:$AK$22,I140))/(INDEX(Calc!$AK$3:$AK$22,I140+1)-INDEX(Calc!$AK$3:$AK$22,I140)))^3-3*((G140-INDEX(Calc!$AK$3:$AK$22,I140))/(INDEX(Calc!$AK$3:$AK$22,I140+1)-INDEX(Calc!$AK$3:$AK$22,I140)))^2+1)*INDEX(Calc!$AL$3:$AL$22,I140)+(((G140-INDEX(Calc!$AK$3:$AK$22,I140))/(INDEX(Calc!$AK$3:$AK$22,I140+1)-INDEX(Calc!$AK$3:$AK$22,I140)))^3-2*((G140-INDEX(Calc!$AK$3:$AK$22,I140))/(INDEX(Calc!$AK$3:$AK$22,I140+1)-INDEX(Calc!$AK$3:$AK$22,I140)))^2+((G140-INDEX(Calc!$AK$3:$AK$22,I140))/(INDEX(Calc!$AK$3:$AK$22,I140+1)-INDEX(Calc!$AK$3:$AK$22,I140))))*(INDEX(Calc!$AK$3:$AK$22,I140+1)-INDEX(Calc!$AK$3:$AK$22,I140))*INDEX(Calc!$AP$3:$AP$22,I140)+(-2*((G140-INDEX(Calc!$AK$3:$AK$22,I140))/(INDEX(Calc!$AK$3:$AK$22,I140+1)-INDEX(Calc!$AK$3:$AK$22,I140)))^3+3*((G140-INDEX(Calc!$AK$3:$AK$22,I140))/(INDEX(Calc!$AK$3:$AK$22,I140+1)-INDEX(Calc!$AK$3:$AK$22,I140)))^2)*INDEX(Calc!$AL$3:$AL$22,I140+1)+(((G140-INDEX(Calc!$AK$3:$AK$22,I140))/(INDEX(Calc!$AK$3:$AK$22,I140+1)-INDEX(Calc!$AK$3:$AK$22,I140)))^3-((G140-INDEX(Calc!$AK$3:$AK$22,I140))/(INDEX(Calc!$AK$3:$AK$22,I140+1)-INDEX(Calc!$AK$3:$AK$22,I140)))^2)*(INDEX(Calc!$AK$3:$AK$22,I140+1)-INDEX(Calc!$AK$3:$AK$22,I140))*INDEX(Calc!$AQ$3:$AQ$22,I140),NA())</f>
        <v/>
      </c>
      <c r="I140">
        <f>IF(AND(k_gluOn,k_ng&gt;=2),MIN(k_ng-1,MAX(1,MATCH(G140,Calc!$AK$3:INDEX(Calc!$AK$3:$AK$22,k_ng),1))),1)</f>
        <v/>
      </c>
    </row>
    <row r="141">
      <c r="A141">
        <f>IF(k_ok,Grid!$B$692,NA())</f>
        <v/>
      </c>
      <c r="B141">
        <f>IF(k_ok,Grid!$Q$692,NA())</f>
        <v/>
      </c>
      <c r="C141">
        <f>IF(k_hrok,k_h0+k_h1*E141+k_h2*E141^2,NA())</f>
        <v/>
      </c>
      <c r="D141">
        <f>IF(k_ok,Grid!$Q$692/Grid!$B$692,NA())</f>
        <v/>
      </c>
      <c r="E141">
        <f>IF(k_hrok,k_hx0+(k_hx1-k_hx0)*138/200,NA())</f>
        <v/>
      </c>
      <c r="G141">
        <f>IF(AND(k_gluOn,k_ng&gt;=2),Calc!$AK$3+(INDEX(Calc!$AK$3:$AK$22,k_ng)-Calc!$AK$3)*138/200,NA())</f>
        <v/>
      </c>
      <c r="H141">
        <f>IF(AND(k_gluOn,k_ng&gt;=2),(2*((G141-INDEX(Calc!$AK$3:$AK$22,I141))/(INDEX(Calc!$AK$3:$AK$22,I141+1)-INDEX(Calc!$AK$3:$AK$22,I141)))^3-3*((G141-INDEX(Calc!$AK$3:$AK$22,I141))/(INDEX(Calc!$AK$3:$AK$22,I141+1)-INDEX(Calc!$AK$3:$AK$22,I141)))^2+1)*INDEX(Calc!$AL$3:$AL$22,I141)+(((G141-INDEX(Calc!$AK$3:$AK$22,I141))/(INDEX(Calc!$AK$3:$AK$22,I141+1)-INDEX(Calc!$AK$3:$AK$22,I141)))^3-2*((G141-INDEX(Calc!$AK$3:$AK$22,I141))/(INDEX(Calc!$AK$3:$AK$22,I141+1)-INDEX(Calc!$AK$3:$AK$22,I141)))^2+((G141-INDEX(Calc!$AK$3:$AK$22,I141))/(INDEX(Calc!$AK$3:$AK$22,I141+1)-INDEX(Calc!$AK$3:$AK$22,I141))))*(INDEX(Calc!$AK$3:$AK$22,I141+1)-INDEX(Calc!$AK$3:$AK$22,I141))*INDEX(Calc!$AP$3:$AP$22,I141)+(-2*((G141-INDEX(Calc!$AK$3:$AK$22,I141))/(INDEX(Calc!$AK$3:$AK$22,I141+1)-INDEX(Calc!$AK$3:$AK$22,I141)))^3+3*((G141-INDEX(Calc!$AK$3:$AK$22,I141))/(INDEX(Calc!$AK$3:$AK$22,I141+1)-INDEX(Calc!$AK$3:$AK$22,I141)))^2)*INDEX(Calc!$AL$3:$AL$22,I141+1)+(((G141-INDEX(Calc!$AK$3:$AK$22,I141))/(INDEX(Calc!$AK$3:$AK$22,I141+1)-INDEX(Calc!$AK$3:$AK$22,I141)))^3-((G141-INDEX(Calc!$AK$3:$AK$22,I141))/(INDEX(Calc!$AK$3:$AK$22,I141+1)-INDEX(Calc!$AK$3:$AK$22,I141)))^2)*(INDEX(Calc!$AK$3:$AK$22,I141+1)-INDEX(Calc!$AK$3:$AK$22,I141))*INDEX(Calc!$AQ$3:$AQ$22,I141),NA())</f>
        <v/>
      </c>
      <c r="I141">
        <f>IF(AND(k_gluOn,k_ng&gt;=2),MIN(k_ng-1,MAX(1,MATCH(G141,Calc!$AK$3:INDEX(Calc!$AK$3:$AK$22,k_ng),1))),1)</f>
        <v/>
      </c>
    </row>
    <row r="142">
      <c r="A142">
        <f>IF(k_ok,Grid!$B$697,NA())</f>
        <v/>
      </c>
      <c r="B142">
        <f>IF(k_ok,Grid!$Q$697,NA())</f>
        <v/>
      </c>
      <c r="C142">
        <f>IF(k_hrok,k_h0+k_h1*E142+k_h2*E142^2,NA())</f>
        <v/>
      </c>
      <c r="D142">
        <f>IF(k_ok,Grid!$Q$697/Grid!$B$697,NA())</f>
        <v/>
      </c>
      <c r="E142">
        <f>IF(k_hrok,k_hx0+(k_hx1-k_hx0)*139/200,NA())</f>
        <v/>
      </c>
      <c r="G142">
        <f>IF(AND(k_gluOn,k_ng&gt;=2),Calc!$AK$3+(INDEX(Calc!$AK$3:$AK$22,k_ng)-Calc!$AK$3)*139/200,NA())</f>
        <v/>
      </c>
      <c r="H142">
        <f>IF(AND(k_gluOn,k_ng&gt;=2),(2*((G142-INDEX(Calc!$AK$3:$AK$22,I142))/(INDEX(Calc!$AK$3:$AK$22,I142+1)-INDEX(Calc!$AK$3:$AK$22,I142)))^3-3*((G142-INDEX(Calc!$AK$3:$AK$22,I142))/(INDEX(Calc!$AK$3:$AK$22,I142+1)-INDEX(Calc!$AK$3:$AK$22,I142)))^2+1)*INDEX(Calc!$AL$3:$AL$22,I142)+(((G142-INDEX(Calc!$AK$3:$AK$22,I142))/(INDEX(Calc!$AK$3:$AK$22,I142+1)-INDEX(Calc!$AK$3:$AK$22,I142)))^3-2*((G142-INDEX(Calc!$AK$3:$AK$22,I142))/(INDEX(Calc!$AK$3:$AK$22,I142+1)-INDEX(Calc!$AK$3:$AK$22,I142)))^2+((G142-INDEX(Calc!$AK$3:$AK$22,I142))/(INDEX(Calc!$AK$3:$AK$22,I142+1)-INDEX(Calc!$AK$3:$AK$22,I142))))*(INDEX(Calc!$AK$3:$AK$22,I142+1)-INDEX(Calc!$AK$3:$AK$22,I142))*INDEX(Calc!$AP$3:$AP$22,I142)+(-2*((G142-INDEX(Calc!$AK$3:$AK$22,I142))/(INDEX(Calc!$AK$3:$AK$22,I142+1)-INDEX(Calc!$AK$3:$AK$22,I142)))^3+3*((G142-INDEX(Calc!$AK$3:$AK$22,I142))/(INDEX(Calc!$AK$3:$AK$22,I142+1)-INDEX(Calc!$AK$3:$AK$22,I142)))^2)*INDEX(Calc!$AL$3:$AL$22,I142+1)+(((G142-INDEX(Calc!$AK$3:$AK$22,I142))/(INDEX(Calc!$AK$3:$AK$22,I142+1)-INDEX(Calc!$AK$3:$AK$22,I142)))^3-((G142-INDEX(Calc!$AK$3:$AK$22,I142))/(INDEX(Calc!$AK$3:$AK$22,I142+1)-INDEX(Calc!$AK$3:$AK$22,I142)))^2)*(INDEX(Calc!$AK$3:$AK$22,I142+1)-INDEX(Calc!$AK$3:$AK$22,I142))*INDEX(Calc!$AQ$3:$AQ$22,I142),NA())</f>
        <v/>
      </c>
      <c r="I142">
        <f>IF(AND(k_gluOn,k_ng&gt;=2),MIN(k_ng-1,MAX(1,MATCH(G142,Calc!$AK$3:INDEX(Calc!$AK$3:$AK$22,k_ng),1))),1)</f>
        <v/>
      </c>
    </row>
    <row r="143">
      <c r="A143">
        <f>IF(k_ok,Grid!$B$702,NA())</f>
        <v/>
      </c>
      <c r="B143">
        <f>IF(k_ok,Grid!$Q$702,NA())</f>
        <v/>
      </c>
      <c r="C143">
        <f>IF(k_hrok,k_h0+k_h1*E143+k_h2*E143^2,NA())</f>
        <v/>
      </c>
      <c r="D143">
        <f>IF(k_ok,Grid!$Q$702/Grid!$B$702,NA())</f>
        <v/>
      </c>
      <c r="E143">
        <f>IF(k_hrok,k_hx0+(k_hx1-k_hx0)*140/200,NA())</f>
        <v/>
      </c>
      <c r="G143">
        <f>IF(AND(k_gluOn,k_ng&gt;=2),Calc!$AK$3+(INDEX(Calc!$AK$3:$AK$22,k_ng)-Calc!$AK$3)*140/200,NA())</f>
        <v/>
      </c>
      <c r="H143">
        <f>IF(AND(k_gluOn,k_ng&gt;=2),(2*((G143-INDEX(Calc!$AK$3:$AK$22,I143))/(INDEX(Calc!$AK$3:$AK$22,I143+1)-INDEX(Calc!$AK$3:$AK$22,I143)))^3-3*((G143-INDEX(Calc!$AK$3:$AK$22,I143))/(INDEX(Calc!$AK$3:$AK$22,I143+1)-INDEX(Calc!$AK$3:$AK$22,I143)))^2+1)*INDEX(Calc!$AL$3:$AL$22,I143)+(((G143-INDEX(Calc!$AK$3:$AK$22,I143))/(INDEX(Calc!$AK$3:$AK$22,I143+1)-INDEX(Calc!$AK$3:$AK$22,I143)))^3-2*((G143-INDEX(Calc!$AK$3:$AK$22,I143))/(INDEX(Calc!$AK$3:$AK$22,I143+1)-INDEX(Calc!$AK$3:$AK$22,I143)))^2+((G143-INDEX(Calc!$AK$3:$AK$22,I143))/(INDEX(Calc!$AK$3:$AK$22,I143+1)-INDEX(Calc!$AK$3:$AK$22,I143))))*(INDEX(Calc!$AK$3:$AK$22,I143+1)-INDEX(Calc!$AK$3:$AK$22,I143))*INDEX(Calc!$AP$3:$AP$22,I143)+(-2*((G143-INDEX(Calc!$AK$3:$AK$22,I143))/(INDEX(Calc!$AK$3:$AK$22,I143+1)-INDEX(Calc!$AK$3:$AK$22,I143)))^3+3*((G143-INDEX(Calc!$AK$3:$AK$22,I143))/(INDEX(Calc!$AK$3:$AK$22,I143+1)-INDEX(Calc!$AK$3:$AK$22,I143)))^2)*INDEX(Calc!$AL$3:$AL$22,I143+1)+(((G143-INDEX(Calc!$AK$3:$AK$22,I143))/(INDEX(Calc!$AK$3:$AK$22,I143+1)-INDEX(Calc!$AK$3:$AK$22,I143)))^3-((G143-INDEX(Calc!$AK$3:$AK$22,I143))/(INDEX(Calc!$AK$3:$AK$22,I143+1)-INDEX(Calc!$AK$3:$AK$22,I143)))^2)*(INDEX(Calc!$AK$3:$AK$22,I143+1)-INDEX(Calc!$AK$3:$AK$22,I143))*INDEX(Calc!$AQ$3:$AQ$22,I143),NA())</f>
        <v/>
      </c>
      <c r="I143">
        <f>IF(AND(k_gluOn,k_ng&gt;=2),MIN(k_ng-1,MAX(1,MATCH(G143,Calc!$AK$3:INDEX(Calc!$AK$3:$AK$22,k_ng),1))),1)</f>
        <v/>
      </c>
    </row>
    <row r="144">
      <c r="A144">
        <f>IF(k_ok,Grid!$B$707,NA())</f>
        <v/>
      </c>
      <c r="B144">
        <f>IF(k_ok,Grid!$Q$707,NA())</f>
        <v/>
      </c>
      <c r="C144">
        <f>IF(k_hrok,k_h0+k_h1*E144+k_h2*E144^2,NA())</f>
        <v/>
      </c>
      <c r="D144">
        <f>IF(k_ok,Grid!$Q$707/Grid!$B$707,NA())</f>
        <v/>
      </c>
      <c r="E144">
        <f>IF(k_hrok,k_hx0+(k_hx1-k_hx0)*141/200,NA())</f>
        <v/>
      </c>
      <c r="G144">
        <f>IF(AND(k_gluOn,k_ng&gt;=2),Calc!$AK$3+(INDEX(Calc!$AK$3:$AK$22,k_ng)-Calc!$AK$3)*141/200,NA())</f>
        <v/>
      </c>
      <c r="H144">
        <f>IF(AND(k_gluOn,k_ng&gt;=2),(2*((G144-INDEX(Calc!$AK$3:$AK$22,I144))/(INDEX(Calc!$AK$3:$AK$22,I144+1)-INDEX(Calc!$AK$3:$AK$22,I144)))^3-3*((G144-INDEX(Calc!$AK$3:$AK$22,I144))/(INDEX(Calc!$AK$3:$AK$22,I144+1)-INDEX(Calc!$AK$3:$AK$22,I144)))^2+1)*INDEX(Calc!$AL$3:$AL$22,I144)+(((G144-INDEX(Calc!$AK$3:$AK$22,I144))/(INDEX(Calc!$AK$3:$AK$22,I144+1)-INDEX(Calc!$AK$3:$AK$22,I144)))^3-2*((G144-INDEX(Calc!$AK$3:$AK$22,I144))/(INDEX(Calc!$AK$3:$AK$22,I144+1)-INDEX(Calc!$AK$3:$AK$22,I144)))^2+((G144-INDEX(Calc!$AK$3:$AK$22,I144))/(INDEX(Calc!$AK$3:$AK$22,I144+1)-INDEX(Calc!$AK$3:$AK$22,I144))))*(INDEX(Calc!$AK$3:$AK$22,I144+1)-INDEX(Calc!$AK$3:$AK$22,I144))*INDEX(Calc!$AP$3:$AP$22,I144)+(-2*((G144-INDEX(Calc!$AK$3:$AK$22,I144))/(INDEX(Calc!$AK$3:$AK$22,I144+1)-INDEX(Calc!$AK$3:$AK$22,I144)))^3+3*((G144-INDEX(Calc!$AK$3:$AK$22,I144))/(INDEX(Calc!$AK$3:$AK$22,I144+1)-INDEX(Calc!$AK$3:$AK$22,I144)))^2)*INDEX(Calc!$AL$3:$AL$22,I144+1)+(((G144-INDEX(Calc!$AK$3:$AK$22,I144))/(INDEX(Calc!$AK$3:$AK$22,I144+1)-INDEX(Calc!$AK$3:$AK$22,I144)))^3-((G144-INDEX(Calc!$AK$3:$AK$22,I144))/(INDEX(Calc!$AK$3:$AK$22,I144+1)-INDEX(Calc!$AK$3:$AK$22,I144)))^2)*(INDEX(Calc!$AK$3:$AK$22,I144+1)-INDEX(Calc!$AK$3:$AK$22,I144))*INDEX(Calc!$AQ$3:$AQ$22,I144),NA())</f>
        <v/>
      </c>
      <c r="I144">
        <f>IF(AND(k_gluOn,k_ng&gt;=2),MIN(k_ng-1,MAX(1,MATCH(G144,Calc!$AK$3:INDEX(Calc!$AK$3:$AK$22,k_ng),1))),1)</f>
        <v/>
      </c>
    </row>
    <row r="145">
      <c r="A145">
        <f>IF(k_ok,Grid!$B$712,NA())</f>
        <v/>
      </c>
      <c r="B145">
        <f>IF(k_ok,Grid!$Q$712,NA())</f>
        <v/>
      </c>
      <c r="C145">
        <f>IF(k_hrok,k_h0+k_h1*E145+k_h2*E145^2,NA())</f>
        <v/>
      </c>
      <c r="D145">
        <f>IF(k_ok,Grid!$Q$712/Grid!$B$712,NA())</f>
        <v/>
      </c>
      <c r="E145">
        <f>IF(k_hrok,k_hx0+(k_hx1-k_hx0)*142/200,NA())</f>
        <v/>
      </c>
      <c r="G145">
        <f>IF(AND(k_gluOn,k_ng&gt;=2),Calc!$AK$3+(INDEX(Calc!$AK$3:$AK$22,k_ng)-Calc!$AK$3)*142/200,NA())</f>
        <v/>
      </c>
      <c r="H145">
        <f>IF(AND(k_gluOn,k_ng&gt;=2),(2*((G145-INDEX(Calc!$AK$3:$AK$22,I145))/(INDEX(Calc!$AK$3:$AK$22,I145+1)-INDEX(Calc!$AK$3:$AK$22,I145)))^3-3*((G145-INDEX(Calc!$AK$3:$AK$22,I145))/(INDEX(Calc!$AK$3:$AK$22,I145+1)-INDEX(Calc!$AK$3:$AK$22,I145)))^2+1)*INDEX(Calc!$AL$3:$AL$22,I145)+(((G145-INDEX(Calc!$AK$3:$AK$22,I145))/(INDEX(Calc!$AK$3:$AK$22,I145+1)-INDEX(Calc!$AK$3:$AK$22,I145)))^3-2*((G145-INDEX(Calc!$AK$3:$AK$22,I145))/(INDEX(Calc!$AK$3:$AK$22,I145+1)-INDEX(Calc!$AK$3:$AK$22,I145)))^2+((G145-INDEX(Calc!$AK$3:$AK$22,I145))/(INDEX(Calc!$AK$3:$AK$22,I145+1)-INDEX(Calc!$AK$3:$AK$22,I145))))*(INDEX(Calc!$AK$3:$AK$22,I145+1)-INDEX(Calc!$AK$3:$AK$22,I145))*INDEX(Calc!$AP$3:$AP$22,I145)+(-2*((G145-INDEX(Calc!$AK$3:$AK$22,I145))/(INDEX(Calc!$AK$3:$AK$22,I145+1)-INDEX(Calc!$AK$3:$AK$22,I145)))^3+3*((G145-INDEX(Calc!$AK$3:$AK$22,I145))/(INDEX(Calc!$AK$3:$AK$22,I145+1)-INDEX(Calc!$AK$3:$AK$22,I145)))^2)*INDEX(Calc!$AL$3:$AL$22,I145+1)+(((G145-INDEX(Calc!$AK$3:$AK$22,I145))/(INDEX(Calc!$AK$3:$AK$22,I145+1)-INDEX(Calc!$AK$3:$AK$22,I145)))^3-((G145-INDEX(Calc!$AK$3:$AK$22,I145))/(INDEX(Calc!$AK$3:$AK$22,I145+1)-INDEX(Calc!$AK$3:$AK$22,I145)))^2)*(INDEX(Calc!$AK$3:$AK$22,I145+1)-INDEX(Calc!$AK$3:$AK$22,I145))*INDEX(Calc!$AQ$3:$AQ$22,I145),NA())</f>
        <v/>
      </c>
      <c r="I145">
        <f>IF(AND(k_gluOn,k_ng&gt;=2),MIN(k_ng-1,MAX(1,MATCH(G145,Calc!$AK$3:INDEX(Calc!$AK$3:$AK$22,k_ng),1))),1)</f>
        <v/>
      </c>
    </row>
    <row r="146">
      <c r="A146">
        <f>IF(k_ok,Grid!$B$717,NA())</f>
        <v/>
      </c>
      <c r="B146">
        <f>IF(k_ok,Grid!$Q$717,NA())</f>
        <v/>
      </c>
      <c r="C146">
        <f>IF(k_hrok,k_h0+k_h1*E146+k_h2*E146^2,NA())</f>
        <v/>
      </c>
      <c r="D146">
        <f>IF(k_ok,Grid!$Q$717/Grid!$B$717,NA())</f>
        <v/>
      </c>
      <c r="E146">
        <f>IF(k_hrok,k_hx0+(k_hx1-k_hx0)*143/200,NA())</f>
        <v/>
      </c>
      <c r="G146">
        <f>IF(AND(k_gluOn,k_ng&gt;=2),Calc!$AK$3+(INDEX(Calc!$AK$3:$AK$22,k_ng)-Calc!$AK$3)*143/200,NA())</f>
        <v/>
      </c>
      <c r="H146">
        <f>IF(AND(k_gluOn,k_ng&gt;=2),(2*((G146-INDEX(Calc!$AK$3:$AK$22,I146))/(INDEX(Calc!$AK$3:$AK$22,I146+1)-INDEX(Calc!$AK$3:$AK$22,I146)))^3-3*((G146-INDEX(Calc!$AK$3:$AK$22,I146))/(INDEX(Calc!$AK$3:$AK$22,I146+1)-INDEX(Calc!$AK$3:$AK$22,I146)))^2+1)*INDEX(Calc!$AL$3:$AL$22,I146)+(((G146-INDEX(Calc!$AK$3:$AK$22,I146))/(INDEX(Calc!$AK$3:$AK$22,I146+1)-INDEX(Calc!$AK$3:$AK$22,I146)))^3-2*((G146-INDEX(Calc!$AK$3:$AK$22,I146))/(INDEX(Calc!$AK$3:$AK$22,I146+1)-INDEX(Calc!$AK$3:$AK$22,I146)))^2+((G146-INDEX(Calc!$AK$3:$AK$22,I146))/(INDEX(Calc!$AK$3:$AK$22,I146+1)-INDEX(Calc!$AK$3:$AK$22,I146))))*(INDEX(Calc!$AK$3:$AK$22,I146+1)-INDEX(Calc!$AK$3:$AK$22,I146))*INDEX(Calc!$AP$3:$AP$22,I146)+(-2*((G146-INDEX(Calc!$AK$3:$AK$22,I146))/(INDEX(Calc!$AK$3:$AK$22,I146+1)-INDEX(Calc!$AK$3:$AK$22,I146)))^3+3*((G146-INDEX(Calc!$AK$3:$AK$22,I146))/(INDEX(Calc!$AK$3:$AK$22,I146+1)-INDEX(Calc!$AK$3:$AK$22,I146)))^2)*INDEX(Calc!$AL$3:$AL$22,I146+1)+(((G146-INDEX(Calc!$AK$3:$AK$22,I146))/(INDEX(Calc!$AK$3:$AK$22,I146+1)-INDEX(Calc!$AK$3:$AK$22,I146)))^3-((G146-INDEX(Calc!$AK$3:$AK$22,I146))/(INDEX(Calc!$AK$3:$AK$22,I146+1)-INDEX(Calc!$AK$3:$AK$22,I146)))^2)*(INDEX(Calc!$AK$3:$AK$22,I146+1)-INDEX(Calc!$AK$3:$AK$22,I146))*INDEX(Calc!$AQ$3:$AQ$22,I146),NA())</f>
        <v/>
      </c>
      <c r="I146">
        <f>IF(AND(k_gluOn,k_ng&gt;=2),MIN(k_ng-1,MAX(1,MATCH(G146,Calc!$AK$3:INDEX(Calc!$AK$3:$AK$22,k_ng),1))),1)</f>
        <v/>
      </c>
    </row>
    <row r="147">
      <c r="A147">
        <f>IF(k_ok,Grid!$B$722,NA())</f>
        <v/>
      </c>
      <c r="B147">
        <f>IF(k_ok,Grid!$Q$722,NA())</f>
        <v/>
      </c>
      <c r="C147">
        <f>IF(k_hrok,k_h0+k_h1*E147+k_h2*E147^2,NA())</f>
        <v/>
      </c>
      <c r="D147">
        <f>IF(k_ok,Grid!$Q$722/Grid!$B$722,NA())</f>
        <v/>
      </c>
      <c r="E147">
        <f>IF(k_hrok,k_hx0+(k_hx1-k_hx0)*144/200,NA())</f>
        <v/>
      </c>
      <c r="G147">
        <f>IF(AND(k_gluOn,k_ng&gt;=2),Calc!$AK$3+(INDEX(Calc!$AK$3:$AK$22,k_ng)-Calc!$AK$3)*144/200,NA())</f>
        <v/>
      </c>
      <c r="H147">
        <f>IF(AND(k_gluOn,k_ng&gt;=2),(2*((G147-INDEX(Calc!$AK$3:$AK$22,I147))/(INDEX(Calc!$AK$3:$AK$22,I147+1)-INDEX(Calc!$AK$3:$AK$22,I147)))^3-3*((G147-INDEX(Calc!$AK$3:$AK$22,I147))/(INDEX(Calc!$AK$3:$AK$22,I147+1)-INDEX(Calc!$AK$3:$AK$22,I147)))^2+1)*INDEX(Calc!$AL$3:$AL$22,I147)+(((G147-INDEX(Calc!$AK$3:$AK$22,I147))/(INDEX(Calc!$AK$3:$AK$22,I147+1)-INDEX(Calc!$AK$3:$AK$22,I147)))^3-2*((G147-INDEX(Calc!$AK$3:$AK$22,I147))/(INDEX(Calc!$AK$3:$AK$22,I147+1)-INDEX(Calc!$AK$3:$AK$22,I147)))^2+((G147-INDEX(Calc!$AK$3:$AK$22,I147))/(INDEX(Calc!$AK$3:$AK$22,I147+1)-INDEX(Calc!$AK$3:$AK$22,I147))))*(INDEX(Calc!$AK$3:$AK$22,I147+1)-INDEX(Calc!$AK$3:$AK$22,I147))*INDEX(Calc!$AP$3:$AP$22,I147)+(-2*((G147-INDEX(Calc!$AK$3:$AK$22,I147))/(INDEX(Calc!$AK$3:$AK$22,I147+1)-INDEX(Calc!$AK$3:$AK$22,I147)))^3+3*((G147-INDEX(Calc!$AK$3:$AK$22,I147))/(INDEX(Calc!$AK$3:$AK$22,I147+1)-INDEX(Calc!$AK$3:$AK$22,I147)))^2)*INDEX(Calc!$AL$3:$AL$22,I147+1)+(((G147-INDEX(Calc!$AK$3:$AK$22,I147))/(INDEX(Calc!$AK$3:$AK$22,I147+1)-INDEX(Calc!$AK$3:$AK$22,I147)))^3-((G147-INDEX(Calc!$AK$3:$AK$22,I147))/(INDEX(Calc!$AK$3:$AK$22,I147+1)-INDEX(Calc!$AK$3:$AK$22,I147)))^2)*(INDEX(Calc!$AK$3:$AK$22,I147+1)-INDEX(Calc!$AK$3:$AK$22,I147))*INDEX(Calc!$AQ$3:$AQ$22,I147),NA())</f>
        <v/>
      </c>
      <c r="I147">
        <f>IF(AND(k_gluOn,k_ng&gt;=2),MIN(k_ng-1,MAX(1,MATCH(G147,Calc!$AK$3:INDEX(Calc!$AK$3:$AK$22,k_ng),1))),1)</f>
        <v/>
      </c>
    </row>
    <row r="148">
      <c r="A148">
        <f>IF(k_ok,Grid!$B$727,NA())</f>
        <v/>
      </c>
      <c r="B148">
        <f>IF(k_ok,Grid!$Q$727,NA())</f>
        <v/>
      </c>
      <c r="C148">
        <f>IF(k_hrok,k_h0+k_h1*E148+k_h2*E148^2,NA())</f>
        <v/>
      </c>
      <c r="D148">
        <f>IF(k_ok,Grid!$Q$727/Grid!$B$727,NA())</f>
        <v/>
      </c>
      <c r="E148">
        <f>IF(k_hrok,k_hx0+(k_hx1-k_hx0)*145/200,NA())</f>
        <v/>
      </c>
      <c r="G148">
        <f>IF(AND(k_gluOn,k_ng&gt;=2),Calc!$AK$3+(INDEX(Calc!$AK$3:$AK$22,k_ng)-Calc!$AK$3)*145/200,NA())</f>
        <v/>
      </c>
      <c r="H148">
        <f>IF(AND(k_gluOn,k_ng&gt;=2),(2*((G148-INDEX(Calc!$AK$3:$AK$22,I148))/(INDEX(Calc!$AK$3:$AK$22,I148+1)-INDEX(Calc!$AK$3:$AK$22,I148)))^3-3*((G148-INDEX(Calc!$AK$3:$AK$22,I148))/(INDEX(Calc!$AK$3:$AK$22,I148+1)-INDEX(Calc!$AK$3:$AK$22,I148)))^2+1)*INDEX(Calc!$AL$3:$AL$22,I148)+(((G148-INDEX(Calc!$AK$3:$AK$22,I148))/(INDEX(Calc!$AK$3:$AK$22,I148+1)-INDEX(Calc!$AK$3:$AK$22,I148)))^3-2*((G148-INDEX(Calc!$AK$3:$AK$22,I148))/(INDEX(Calc!$AK$3:$AK$22,I148+1)-INDEX(Calc!$AK$3:$AK$22,I148)))^2+((G148-INDEX(Calc!$AK$3:$AK$22,I148))/(INDEX(Calc!$AK$3:$AK$22,I148+1)-INDEX(Calc!$AK$3:$AK$22,I148))))*(INDEX(Calc!$AK$3:$AK$22,I148+1)-INDEX(Calc!$AK$3:$AK$22,I148))*INDEX(Calc!$AP$3:$AP$22,I148)+(-2*((G148-INDEX(Calc!$AK$3:$AK$22,I148))/(INDEX(Calc!$AK$3:$AK$22,I148+1)-INDEX(Calc!$AK$3:$AK$22,I148)))^3+3*((G148-INDEX(Calc!$AK$3:$AK$22,I148))/(INDEX(Calc!$AK$3:$AK$22,I148+1)-INDEX(Calc!$AK$3:$AK$22,I148)))^2)*INDEX(Calc!$AL$3:$AL$22,I148+1)+(((G148-INDEX(Calc!$AK$3:$AK$22,I148))/(INDEX(Calc!$AK$3:$AK$22,I148+1)-INDEX(Calc!$AK$3:$AK$22,I148)))^3-((G148-INDEX(Calc!$AK$3:$AK$22,I148))/(INDEX(Calc!$AK$3:$AK$22,I148+1)-INDEX(Calc!$AK$3:$AK$22,I148)))^2)*(INDEX(Calc!$AK$3:$AK$22,I148+1)-INDEX(Calc!$AK$3:$AK$22,I148))*INDEX(Calc!$AQ$3:$AQ$22,I148),NA())</f>
        <v/>
      </c>
      <c r="I148">
        <f>IF(AND(k_gluOn,k_ng&gt;=2),MIN(k_ng-1,MAX(1,MATCH(G148,Calc!$AK$3:INDEX(Calc!$AK$3:$AK$22,k_ng),1))),1)</f>
        <v/>
      </c>
    </row>
    <row r="149">
      <c r="A149">
        <f>IF(k_ok,Grid!$B$732,NA())</f>
        <v/>
      </c>
      <c r="B149">
        <f>IF(k_ok,Grid!$Q$732,NA())</f>
        <v/>
      </c>
      <c r="C149">
        <f>IF(k_hrok,k_h0+k_h1*E149+k_h2*E149^2,NA())</f>
        <v/>
      </c>
      <c r="D149">
        <f>IF(k_ok,Grid!$Q$732/Grid!$B$732,NA())</f>
        <v/>
      </c>
      <c r="E149">
        <f>IF(k_hrok,k_hx0+(k_hx1-k_hx0)*146/200,NA())</f>
        <v/>
      </c>
      <c r="G149">
        <f>IF(AND(k_gluOn,k_ng&gt;=2),Calc!$AK$3+(INDEX(Calc!$AK$3:$AK$22,k_ng)-Calc!$AK$3)*146/200,NA())</f>
        <v/>
      </c>
      <c r="H149">
        <f>IF(AND(k_gluOn,k_ng&gt;=2),(2*((G149-INDEX(Calc!$AK$3:$AK$22,I149))/(INDEX(Calc!$AK$3:$AK$22,I149+1)-INDEX(Calc!$AK$3:$AK$22,I149)))^3-3*((G149-INDEX(Calc!$AK$3:$AK$22,I149))/(INDEX(Calc!$AK$3:$AK$22,I149+1)-INDEX(Calc!$AK$3:$AK$22,I149)))^2+1)*INDEX(Calc!$AL$3:$AL$22,I149)+(((G149-INDEX(Calc!$AK$3:$AK$22,I149))/(INDEX(Calc!$AK$3:$AK$22,I149+1)-INDEX(Calc!$AK$3:$AK$22,I149)))^3-2*((G149-INDEX(Calc!$AK$3:$AK$22,I149))/(INDEX(Calc!$AK$3:$AK$22,I149+1)-INDEX(Calc!$AK$3:$AK$22,I149)))^2+((G149-INDEX(Calc!$AK$3:$AK$22,I149))/(INDEX(Calc!$AK$3:$AK$22,I149+1)-INDEX(Calc!$AK$3:$AK$22,I149))))*(INDEX(Calc!$AK$3:$AK$22,I149+1)-INDEX(Calc!$AK$3:$AK$22,I149))*INDEX(Calc!$AP$3:$AP$22,I149)+(-2*((G149-INDEX(Calc!$AK$3:$AK$22,I149))/(INDEX(Calc!$AK$3:$AK$22,I149+1)-INDEX(Calc!$AK$3:$AK$22,I149)))^3+3*((G149-INDEX(Calc!$AK$3:$AK$22,I149))/(INDEX(Calc!$AK$3:$AK$22,I149+1)-INDEX(Calc!$AK$3:$AK$22,I149)))^2)*INDEX(Calc!$AL$3:$AL$22,I149+1)+(((G149-INDEX(Calc!$AK$3:$AK$22,I149))/(INDEX(Calc!$AK$3:$AK$22,I149+1)-INDEX(Calc!$AK$3:$AK$22,I149)))^3-((G149-INDEX(Calc!$AK$3:$AK$22,I149))/(INDEX(Calc!$AK$3:$AK$22,I149+1)-INDEX(Calc!$AK$3:$AK$22,I149)))^2)*(INDEX(Calc!$AK$3:$AK$22,I149+1)-INDEX(Calc!$AK$3:$AK$22,I149))*INDEX(Calc!$AQ$3:$AQ$22,I149),NA())</f>
        <v/>
      </c>
      <c r="I149">
        <f>IF(AND(k_gluOn,k_ng&gt;=2),MIN(k_ng-1,MAX(1,MATCH(G149,Calc!$AK$3:INDEX(Calc!$AK$3:$AK$22,k_ng),1))),1)</f>
        <v/>
      </c>
    </row>
    <row r="150">
      <c r="A150">
        <f>IF(k_ok,Grid!$B$737,NA())</f>
        <v/>
      </c>
      <c r="B150">
        <f>IF(k_ok,Grid!$Q$737,NA())</f>
        <v/>
      </c>
      <c r="C150">
        <f>IF(k_hrok,k_h0+k_h1*E150+k_h2*E150^2,NA())</f>
        <v/>
      </c>
      <c r="D150">
        <f>IF(k_ok,Grid!$Q$737/Grid!$B$737,NA())</f>
        <v/>
      </c>
      <c r="E150">
        <f>IF(k_hrok,k_hx0+(k_hx1-k_hx0)*147/200,NA())</f>
        <v/>
      </c>
      <c r="G150">
        <f>IF(AND(k_gluOn,k_ng&gt;=2),Calc!$AK$3+(INDEX(Calc!$AK$3:$AK$22,k_ng)-Calc!$AK$3)*147/200,NA())</f>
        <v/>
      </c>
      <c r="H150">
        <f>IF(AND(k_gluOn,k_ng&gt;=2),(2*((G150-INDEX(Calc!$AK$3:$AK$22,I150))/(INDEX(Calc!$AK$3:$AK$22,I150+1)-INDEX(Calc!$AK$3:$AK$22,I150)))^3-3*((G150-INDEX(Calc!$AK$3:$AK$22,I150))/(INDEX(Calc!$AK$3:$AK$22,I150+1)-INDEX(Calc!$AK$3:$AK$22,I150)))^2+1)*INDEX(Calc!$AL$3:$AL$22,I150)+(((G150-INDEX(Calc!$AK$3:$AK$22,I150))/(INDEX(Calc!$AK$3:$AK$22,I150+1)-INDEX(Calc!$AK$3:$AK$22,I150)))^3-2*((G150-INDEX(Calc!$AK$3:$AK$22,I150))/(INDEX(Calc!$AK$3:$AK$22,I150+1)-INDEX(Calc!$AK$3:$AK$22,I150)))^2+((G150-INDEX(Calc!$AK$3:$AK$22,I150))/(INDEX(Calc!$AK$3:$AK$22,I150+1)-INDEX(Calc!$AK$3:$AK$22,I150))))*(INDEX(Calc!$AK$3:$AK$22,I150+1)-INDEX(Calc!$AK$3:$AK$22,I150))*INDEX(Calc!$AP$3:$AP$22,I150)+(-2*((G150-INDEX(Calc!$AK$3:$AK$22,I150))/(INDEX(Calc!$AK$3:$AK$22,I150+1)-INDEX(Calc!$AK$3:$AK$22,I150)))^3+3*((G150-INDEX(Calc!$AK$3:$AK$22,I150))/(INDEX(Calc!$AK$3:$AK$22,I150+1)-INDEX(Calc!$AK$3:$AK$22,I150)))^2)*INDEX(Calc!$AL$3:$AL$22,I150+1)+(((G150-INDEX(Calc!$AK$3:$AK$22,I150))/(INDEX(Calc!$AK$3:$AK$22,I150+1)-INDEX(Calc!$AK$3:$AK$22,I150)))^3-((G150-INDEX(Calc!$AK$3:$AK$22,I150))/(INDEX(Calc!$AK$3:$AK$22,I150+1)-INDEX(Calc!$AK$3:$AK$22,I150)))^2)*(INDEX(Calc!$AK$3:$AK$22,I150+1)-INDEX(Calc!$AK$3:$AK$22,I150))*INDEX(Calc!$AQ$3:$AQ$22,I150),NA())</f>
        <v/>
      </c>
      <c r="I150">
        <f>IF(AND(k_gluOn,k_ng&gt;=2),MIN(k_ng-1,MAX(1,MATCH(G150,Calc!$AK$3:INDEX(Calc!$AK$3:$AK$22,k_ng),1))),1)</f>
        <v/>
      </c>
    </row>
    <row r="151">
      <c r="A151">
        <f>IF(k_ok,Grid!$B$742,NA())</f>
        <v/>
      </c>
      <c r="B151">
        <f>IF(k_ok,Grid!$Q$742,NA())</f>
        <v/>
      </c>
      <c r="C151">
        <f>IF(k_hrok,k_h0+k_h1*E151+k_h2*E151^2,NA())</f>
        <v/>
      </c>
      <c r="D151">
        <f>IF(k_ok,Grid!$Q$742/Grid!$B$742,NA())</f>
        <v/>
      </c>
      <c r="E151">
        <f>IF(k_hrok,k_hx0+(k_hx1-k_hx0)*148/200,NA())</f>
        <v/>
      </c>
      <c r="G151">
        <f>IF(AND(k_gluOn,k_ng&gt;=2),Calc!$AK$3+(INDEX(Calc!$AK$3:$AK$22,k_ng)-Calc!$AK$3)*148/200,NA())</f>
        <v/>
      </c>
      <c r="H151">
        <f>IF(AND(k_gluOn,k_ng&gt;=2),(2*((G151-INDEX(Calc!$AK$3:$AK$22,I151))/(INDEX(Calc!$AK$3:$AK$22,I151+1)-INDEX(Calc!$AK$3:$AK$22,I151)))^3-3*((G151-INDEX(Calc!$AK$3:$AK$22,I151))/(INDEX(Calc!$AK$3:$AK$22,I151+1)-INDEX(Calc!$AK$3:$AK$22,I151)))^2+1)*INDEX(Calc!$AL$3:$AL$22,I151)+(((G151-INDEX(Calc!$AK$3:$AK$22,I151))/(INDEX(Calc!$AK$3:$AK$22,I151+1)-INDEX(Calc!$AK$3:$AK$22,I151)))^3-2*((G151-INDEX(Calc!$AK$3:$AK$22,I151))/(INDEX(Calc!$AK$3:$AK$22,I151+1)-INDEX(Calc!$AK$3:$AK$22,I151)))^2+((G151-INDEX(Calc!$AK$3:$AK$22,I151))/(INDEX(Calc!$AK$3:$AK$22,I151+1)-INDEX(Calc!$AK$3:$AK$22,I151))))*(INDEX(Calc!$AK$3:$AK$22,I151+1)-INDEX(Calc!$AK$3:$AK$22,I151))*INDEX(Calc!$AP$3:$AP$22,I151)+(-2*((G151-INDEX(Calc!$AK$3:$AK$22,I151))/(INDEX(Calc!$AK$3:$AK$22,I151+1)-INDEX(Calc!$AK$3:$AK$22,I151)))^3+3*((G151-INDEX(Calc!$AK$3:$AK$22,I151))/(INDEX(Calc!$AK$3:$AK$22,I151+1)-INDEX(Calc!$AK$3:$AK$22,I151)))^2)*INDEX(Calc!$AL$3:$AL$22,I151+1)+(((G151-INDEX(Calc!$AK$3:$AK$22,I151))/(INDEX(Calc!$AK$3:$AK$22,I151+1)-INDEX(Calc!$AK$3:$AK$22,I151)))^3-((G151-INDEX(Calc!$AK$3:$AK$22,I151))/(INDEX(Calc!$AK$3:$AK$22,I151+1)-INDEX(Calc!$AK$3:$AK$22,I151)))^2)*(INDEX(Calc!$AK$3:$AK$22,I151+1)-INDEX(Calc!$AK$3:$AK$22,I151))*INDEX(Calc!$AQ$3:$AQ$22,I151),NA())</f>
        <v/>
      </c>
      <c r="I151">
        <f>IF(AND(k_gluOn,k_ng&gt;=2),MIN(k_ng-1,MAX(1,MATCH(G151,Calc!$AK$3:INDEX(Calc!$AK$3:$AK$22,k_ng),1))),1)</f>
        <v/>
      </c>
    </row>
    <row r="152">
      <c r="A152">
        <f>IF(k_ok,Grid!$B$747,NA())</f>
        <v/>
      </c>
      <c r="B152">
        <f>IF(k_ok,Grid!$Q$747,NA())</f>
        <v/>
      </c>
      <c r="C152">
        <f>IF(k_hrok,k_h0+k_h1*E152+k_h2*E152^2,NA())</f>
        <v/>
      </c>
      <c r="D152">
        <f>IF(k_ok,Grid!$Q$747/Grid!$B$747,NA())</f>
        <v/>
      </c>
      <c r="E152">
        <f>IF(k_hrok,k_hx0+(k_hx1-k_hx0)*149/200,NA())</f>
        <v/>
      </c>
      <c r="G152">
        <f>IF(AND(k_gluOn,k_ng&gt;=2),Calc!$AK$3+(INDEX(Calc!$AK$3:$AK$22,k_ng)-Calc!$AK$3)*149/200,NA())</f>
        <v/>
      </c>
      <c r="H152">
        <f>IF(AND(k_gluOn,k_ng&gt;=2),(2*((G152-INDEX(Calc!$AK$3:$AK$22,I152))/(INDEX(Calc!$AK$3:$AK$22,I152+1)-INDEX(Calc!$AK$3:$AK$22,I152)))^3-3*((G152-INDEX(Calc!$AK$3:$AK$22,I152))/(INDEX(Calc!$AK$3:$AK$22,I152+1)-INDEX(Calc!$AK$3:$AK$22,I152)))^2+1)*INDEX(Calc!$AL$3:$AL$22,I152)+(((G152-INDEX(Calc!$AK$3:$AK$22,I152))/(INDEX(Calc!$AK$3:$AK$22,I152+1)-INDEX(Calc!$AK$3:$AK$22,I152)))^3-2*((G152-INDEX(Calc!$AK$3:$AK$22,I152))/(INDEX(Calc!$AK$3:$AK$22,I152+1)-INDEX(Calc!$AK$3:$AK$22,I152)))^2+((G152-INDEX(Calc!$AK$3:$AK$22,I152))/(INDEX(Calc!$AK$3:$AK$22,I152+1)-INDEX(Calc!$AK$3:$AK$22,I152))))*(INDEX(Calc!$AK$3:$AK$22,I152+1)-INDEX(Calc!$AK$3:$AK$22,I152))*INDEX(Calc!$AP$3:$AP$22,I152)+(-2*((G152-INDEX(Calc!$AK$3:$AK$22,I152))/(INDEX(Calc!$AK$3:$AK$22,I152+1)-INDEX(Calc!$AK$3:$AK$22,I152)))^3+3*((G152-INDEX(Calc!$AK$3:$AK$22,I152))/(INDEX(Calc!$AK$3:$AK$22,I152+1)-INDEX(Calc!$AK$3:$AK$22,I152)))^2)*INDEX(Calc!$AL$3:$AL$22,I152+1)+(((G152-INDEX(Calc!$AK$3:$AK$22,I152))/(INDEX(Calc!$AK$3:$AK$22,I152+1)-INDEX(Calc!$AK$3:$AK$22,I152)))^3-((G152-INDEX(Calc!$AK$3:$AK$22,I152))/(INDEX(Calc!$AK$3:$AK$22,I152+1)-INDEX(Calc!$AK$3:$AK$22,I152)))^2)*(INDEX(Calc!$AK$3:$AK$22,I152+1)-INDEX(Calc!$AK$3:$AK$22,I152))*INDEX(Calc!$AQ$3:$AQ$22,I152),NA())</f>
        <v/>
      </c>
      <c r="I152">
        <f>IF(AND(k_gluOn,k_ng&gt;=2),MIN(k_ng-1,MAX(1,MATCH(G152,Calc!$AK$3:INDEX(Calc!$AK$3:$AK$22,k_ng),1))),1)</f>
        <v/>
      </c>
    </row>
    <row r="153">
      <c r="A153">
        <f>IF(k_ok,Grid!$B$752,NA())</f>
        <v/>
      </c>
      <c r="B153">
        <f>IF(k_ok,Grid!$Q$752,NA())</f>
        <v/>
      </c>
      <c r="C153">
        <f>IF(k_hrok,k_h0+k_h1*E153+k_h2*E153^2,NA())</f>
        <v/>
      </c>
      <c r="D153">
        <f>IF(k_ok,Grid!$Q$752/Grid!$B$752,NA())</f>
        <v/>
      </c>
      <c r="E153">
        <f>IF(k_hrok,k_hx0+(k_hx1-k_hx0)*150/200,NA())</f>
        <v/>
      </c>
      <c r="G153">
        <f>IF(AND(k_gluOn,k_ng&gt;=2),Calc!$AK$3+(INDEX(Calc!$AK$3:$AK$22,k_ng)-Calc!$AK$3)*150/200,NA())</f>
        <v/>
      </c>
      <c r="H153">
        <f>IF(AND(k_gluOn,k_ng&gt;=2),(2*((G153-INDEX(Calc!$AK$3:$AK$22,I153))/(INDEX(Calc!$AK$3:$AK$22,I153+1)-INDEX(Calc!$AK$3:$AK$22,I153)))^3-3*((G153-INDEX(Calc!$AK$3:$AK$22,I153))/(INDEX(Calc!$AK$3:$AK$22,I153+1)-INDEX(Calc!$AK$3:$AK$22,I153)))^2+1)*INDEX(Calc!$AL$3:$AL$22,I153)+(((G153-INDEX(Calc!$AK$3:$AK$22,I153))/(INDEX(Calc!$AK$3:$AK$22,I153+1)-INDEX(Calc!$AK$3:$AK$22,I153)))^3-2*((G153-INDEX(Calc!$AK$3:$AK$22,I153))/(INDEX(Calc!$AK$3:$AK$22,I153+1)-INDEX(Calc!$AK$3:$AK$22,I153)))^2+((G153-INDEX(Calc!$AK$3:$AK$22,I153))/(INDEX(Calc!$AK$3:$AK$22,I153+1)-INDEX(Calc!$AK$3:$AK$22,I153))))*(INDEX(Calc!$AK$3:$AK$22,I153+1)-INDEX(Calc!$AK$3:$AK$22,I153))*INDEX(Calc!$AP$3:$AP$22,I153)+(-2*((G153-INDEX(Calc!$AK$3:$AK$22,I153))/(INDEX(Calc!$AK$3:$AK$22,I153+1)-INDEX(Calc!$AK$3:$AK$22,I153)))^3+3*((G153-INDEX(Calc!$AK$3:$AK$22,I153))/(INDEX(Calc!$AK$3:$AK$22,I153+1)-INDEX(Calc!$AK$3:$AK$22,I153)))^2)*INDEX(Calc!$AL$3:$AL$22,I153+1)+(((G153-INDEX(Calc!$AK$3:$AK$22,I153))/(INDEX(Calc!$AK$3:$AK$22,I153+1)-INDEX(Calc!$AK$3:$AK$22,I153)))^3-((G153-INDEX(Calc!$AK$3:$AK$22,I153))/(INDEX(Calc!$AK$3:$AK$22,I153+1)-INDEX(Calc!$AK$3:$AK$22,I153)))^2)*(INDEX(Calc!$AK$3:$AK$22,I153+1)-INDEX(Calc!$AK$3:$AK$22,I153))*INDEX(Calc!$AQ$3:$AQ$22,I153),NA())</f>
        <v/>
      </c>
      <c r="I153">
        <f>IF(AND(k_gluOn,k_ng&gt;=2),MIN(k_ng-1,MAX(1,MATCH(G153,Calc!$AK$3:INDEX(Calc!$AK$3:$AK$22,k_ng),1))),1)</f>
        <v/>
      </c>
    </row>
    <row r="154">
      <c r="A154">
        <f>IF(k_ok,Grid!$B$757,NA())</f>
        <v/>
      </c>
      <c r="B154">
        <f>IF(k_ok,Grid!$Q$757,NA())</f>
        <v/>
      </c>
      <c r="C154">
        <f>IF(k_hrok,k_h0+k_h1*E154+k_h2*E154^2,NA())</f>
        <v/>
      </c>
      <c r="D154">
        <f>IF(k_ok,Grid!$Q$757/Grid!$B$757,NA())</f>
        <v/>
      </c>
      <c r="E154">
        <f>IF(k_hrok,k_hx0+(k_hx1-k_hx0)*151/200,NA())</f>
        <v/>
      </c>
      <c r="G154">
        <f>IF(AND(k_gluOn,k_ng&gt;=2),Calc!$AK$3+(INDEX(Calc!$AK$3:$AK$22,k_ng)-Calc!$AK$3)*151/200,NA())</f>
        <v/>
      </c>
      <c r="H154">
        <f>IF(AND(k_gluOn,k_ng&gt;=2),(2*((G154-INDEX(Calc!$AK$3:$AK$22,I154))/(INDEX(Calc!$AK$3:$AK$22,I154+1)-INDEX(Calc!$AK$3:$AK$22,I154)))^3-3*((G154-INDEX(Calc!$AK$3:$AK$22,I154))/(INDEX(Calc!$AK$3:$AK$22,I154+1)-INDEX(Calc!$AK$3:$AK$22,I154)))^2+1)*INDEX(Calc!$AL$3:$AL$22,I154)+(((G154-INDEX(Calc!$AK$3:$AK$22,I154))/(INDEX(Calc!$AK$3:$AK$22,I154+1)-INDEX(Calc!$AK$3:$AK$22,I154)))^3-2*((G154-INDEX(Calc!$AK$3:$AK$22,I154))/(INDEX(Calc!$AK$3:$AK$22,I154+1)-INDEX(Calc!$AK$3:$AK$22,I154)))^2+((G154-INDEX(Calc!$AK$3:$AK$22,I154))/(INDEX(Calc!$AK$3:$AK$22,I154+1)-INDEX(Calc!$AK$3:$AK$22,I154))))*(INDEX(Calc!$AK$3:$AK$22,I154+1)-INDEX(Calc!$AK$3:$AK$22,I154))*INDEX(Calc!$AP$3:$AP$22,I154)+(-2*((G154-INDEX(Calc!$AK$3:$AK$22,I154))/(INDEX(Calc!$AK$3:$AK$22,I154+1)-INDEX(Calc!$AK$3:$AK$22,I154)))^3+3*((G154-INDEX(Calc!$AK$3:$AK$22,I154))/(INDEX(Calc!$AK$3:$AK$22,I154+1)-INDEX(Calc!$AK$3:$AK$22,I154)))^2)*INDEX(Calc!$AL$3:$AL$22,I154+1)+(((G154-INDEX(Calc!$AK$3:$AK$22,I154))/(INDEX(Calc!$AK$3:$AK$22,I154+1)-INDEX(Calc!$AK$3:$AK$22,I154)))^3-((G154-INDEX(Calc!$AK$3:$AK$22,I154))/(INDEX(Calc!$AK$3:$AK$22,I154+1)-INDEX(Calc!$AK$3:$AK$22,I154)))^2)*(INDEX(Calc!$AK$3:$AK$22,I154+1)-INDEX(Calc!$AK$3:$AK$22,I154))*INDEX(Calc!$AQ$3:$AQ$22,I154),NA())</f>
        <v/>
      </c>
      <c r="I154">
        <f>IF(AND(k_gluOn,k_ng&gt;=2),MIN(k_ng-1,MAX(1,MATCH(G154,Calc!$AK$3:INDEX(Calc!$AK$3:$AK$22,k_ng),1))),1)</f>
        <v/>
      </c>
    </row>
    <row r="155">
      <c r="A155">
        <f>IF(k_ok,Grid!$B$762,NA())</f>
        <v/>
      </c>
      <c r="B155">
        <f>IF(k_ok,Grid!$Q$762,NA())</f>
        <v/>
      </c>
      <c r="C155">
        <f>IF(k_hrok,k_h0+k_h1*E155+k_h2*E155^2,NA())</f>
        <v/>
      </c>
      <c r="D155">
        <f>IF(k_ok,Grid!$Q$762/Grid!$B$762,NA())</f>
        <v/>
      </c>
      <c r="E155">
        <f>IF(k_hrok,k_hx0+(k_hx1-k_hx0)*152/200,NA())</f>
        <v/>
      </c>
      <c r="G155">
        <f>IF(AND(k_gluOn,k_ng&gt;=2),Calc!$AK$3+(INDEX(Calc!$AK$3:$AK$22,k_ng)-Calc!$AK$3)*152/200,NA())</f>
        <v/>
      </c>
      <c r="H155">
        <f>IF(AND(k_gluOn,k_ng&gt;=2),(2*((G155-INDEX(Calc!$AK$3:$AK$22,I155))/(INDEX(Calc!$AK$3:$AK$22,I155+1)-INDEX(Calc!$AK$3:$AK$22,I155)))^3-3*((G155-INDEX(Calc!$AK$3:$AK$22,I155))/(INDEX(Calc!$AK$3:$AK$22,I155+1)-INDEX(Calc!$AK$3:$AK$22,I155)))^2+1)*INDEX(Calc!$AL$3:$AL$22,I155)+(((G155-INDEX(Calc!$AK$3:$AK$22,I155))/(INDEX(Calc!$AK$3:$AK$22,I155+1)-INDEX(Calc!$AK$3:$AK$22,I155)))^3-2*((G155-INDEX(Calc!$AK$3:$AK$22,I155))/(INDEX(Calc!$AK$3:$AK$22,I155+1)-INDEX(Calc!$AK$3:$AK$22,I155)))^2+((G155-INDEX(Calc!$AK$3:$AK$22,I155))/(INDEX(Calc!$AK$3:$AK$22,I155+1)-INDEX(Calc!$AK$3:$AK$22,I155))))*(INDEX(Calc!$AK$3:$AK$22,I155+1)-INDEX(Calc!$AK$3:$AK$22,I155))*INDEX(Calc!$AP$3:$AP$22,I155)+(-2*((G155-INDEX(Calc!$AK$3:$AK$22,I155))/(INDEX(Calc!$AK$3:$AK$22,I155+1)-INDEX(Calc!$AK$3:$AK$22,I155)))^3+3*((G155-INDEX(Calc!$AK$3:$AK$22,I155))/(INDEX(Calc!$AK$3:$AK$22,I155+1)-INDEX(Calc!$AK$3:$AK$22,I155)))^2)*INDEX(Calc!$AL$3:$AL$22,I155+1)+(((G155-INDEX(Calc!$AK$3:$AK$22,I155))/(INDEX(Calc!$AK$3:$AK$22,I155+1)-INDEX(Calc!$AK$3:$AK$22,I155)))^3-((G155-INDEX(Calc!$AK$3:$AK$22,I155))/(INDEX(Calc!$AK$3:$AK$22,I155+1)-INDEX(Calc!$AK$3:$AK$22,I155)))^2)*(INDEX(Calc!$AK$3:$AK$22,I155+1)-INDEX(Calc!$AK$3:$AK$22,I155))*INDEX(Calc!$AQ$3:$AQ$22,I155),NA())</f>
        <v/>
      </c>
      <c r="I155">
        <f>IF(AND(k_gluOn,k_ng&gt;=2),MIN(k_ng-1,MAX(1,MATCH(G155,Calc!$AK$3:INDEX(Calc!$AK$3:$AK$22,k_ng),1))),1)</f>
        <v/>
      </c>
    </row>
    <row r="156">
      <c r="A156">
        <f>IF(k_ok,Grid!$B$767,NA())</f>
        <v/>
      </c>
      <c r="B156">
        <f>IF(k_ok,Grid!$Q$767,NA())</f>
        <v/>
      </c>
      <c r="C156">
        <f>IF(k_hrok,k_h0+k_h1*E156+k_h2*E156^2,NA())</f>
        <v/>
      </c>
      <c r="D156">
        <f>IF(k_ok,Grid!$Q$767/Grid!$B$767,NA())</f>
        <v/>
      </c>
      <c r="E156">
        <f>IF(k_hrok,k_hx0+(k_hx1-k_hx0)*153/200,NA())</f>
        <v/>
      </c>
      <c r="G156">
        <f>IF(AND(k_gluOn,k_ng&gt;=2),Calc!$AK$3+(INDEX(Calc!$AK$3:$AK$22,k_ng)-Calc!$AK$3)*153/200,NA())</f>
        <v/>
      </c>
      <c r="H156">
        <f>IF(AND(k_gluOn,k_ng&gt;=2),(2*((G156-INDEX(Calc!$AK$3:$AK$22,I156))/(INDEX(Calc!$AK$3:$AK$22,I156+1)-INDEX(Calc!$AK$3:$AK$22,I156)))^3-3*((G156-INDEX(Calc!$AK$3:$AK$22,I156))/(INDEX(Calc!$AK$3:$AK$22,I156+1)-INDEX(Calc!$AK$3:$AK$22,I156)))^2+1)*INDEX(Calc!$AL$3:$AL$22,I156)+(((G156-INDEX(Calc!$AK$3:$AK$22,I156))/(INDEX(Calc!$AK$3:$AK$22,I156+1)-INDEX(Calc!$AK$3:$AK$22,I156)))^3-2*((G156-INDEX(Calc!$AK$3:$AK$22,I156))/(INDEX(Calc!$AK$3:$AK$22,I156+1)-INDEX(Calc!$AK$3:$AK$22,I156)))^2+((G156-INDEX(Calc!$AK$3:$AK$22,I156))/(INDEX(Calc!$AK$3:$AK$22,I156+1)-INDEX(Calc!$AK$3:$AK$22,I156))))*(INDEX(Calc!$AK$3:$AK$22,I156+1)-INDEX(Calc!$AK$3:$AK$22,I156))*INDEX(Calc!$AP$3:$AP$22,I156)+(-2*((G156-INDEX(Calc!$AK$3:$AK$22,I156))/(INDEX(Calc!$AK$3:$AK$22,I156+1)-INDEX(Calc!$AK$3:$AK$22,I156)))^3+3*((G156-INDEX(Calc!$AK$3:$AK$22,I156))/(INDEX(Calc!$AK$3:$AK$22,I156+1)-INDEX(Calc!$AK$3:$AK$22,I156)))^2)*INDEX(Calc!$AL$3:$AL$22,I156+1)+(((G156-INDEX(Calc!$AK$3:$AK$22,I156))/(INDEX(Calc!$AK$3:$AK$22,I156+1)-INDEX(Calc!$AK$3:$AK$22,I156)))^3-((G156-INDEX(Calc!$AK$3:$AK$22,I156))/(INDEX(Calc!$AK$3:$AK$22,I156+1)-INDEX(Calc!$AK$3:$AK$22,I156)))^2)*(INDEX(Calc!$AK$3:$AK$22,I156+1)-INDEX(Calc!$AK$3:$AK$22,I156))*INDEX(Calc!$AQ$3:$AQ$22,I156),NA())</f>
        <v/>
      </c>
      <c r="I156">
        <f>IF(AND(k_gluOn,k_ng&gt;=2),MIN(k_ng-1,MAX(1,MATCH(G156,Calc!$AK$3:INDEX(Calc!$AK$3:$AK$22,k_ng),1))),1)</f>
        <v/>
      </c>
    </row>
    <row r="157">
      <c r="A157">
        <f>IF(k_ok,Grid!$B$772,NA())</f>
        <v/>
      </c>
      <c r="B157">
        <f>IF(k_ok,Grid!$Q$772,NA())</f>
        <v/>
      </c>
      <c r="C157">
        <f>IF(k_hrok,k_h0+k_h1*E157+k_h2*E157^2,NA())</f>
        <v/>
      </c>
      <c r="D157">
        <f>IF(k_ok,Grid!$Q$772/Grid!$B$772,NA())</f>
        <v/>
      </c>
      <c r="E157">
        <f>IF(k_hrok,k_hx0+(k_hx1-k_hx0)*154/200,NA())</f>
        <v/>
      </c>
      <c r="G157">
        <f>IF(AND(k_gluOn,k_ng&gt;=2),Calc!$AK$3+(INDEX(Calc!$AK$3:$AK$22,k_ng)-Calc!$AK$3)*154/200,NA())</f>
        <v/>
      </c>
      <c r="H157">
        <f>IF(AND(k_gluOn,k_ng&gt;=2),(2*((G157-INDEX(Calc!$AK$3:$AK$22,I157))/(INDEX(Calc!$AK$3:$AK$22,I157+1)-INDEX(Calc!$AK$3:$AK$22,I157)))^3-3*((G157-INDEX(Calc!$AK$3:$AK$22,I157))/(INDEX(Calc!$AK$3:$AK$22,I157+1)-INDEX(Calc!$AK$3:$AK$22,I157)))^2+1)*INDEX(Calc!$AL$3:$AL$22,I157)+(((G157-INDEX(Calc!$AK$3:$AK$22,I157))/(INDEX(Calc!$AK$3:$AK$22,I157+1)-INDEX(Calc!$AK$3:$AK$22,I157)))^3-2*((G157-INDEX(Calc!$AK$3:$AK$22,I157))/(INDEX(Calc!$AK$3:$AK$22,I157+1)-INDEX(Calc!$AK$3:$AK$22,I157)))^2+((G157-INDEX(Calc!$AK$3:$AK$22,I157))/(INDEX(Calc!$AK$3:$AK$22,I157+1)-INDEX(Calc!$AK$3:$AK$22,I157))))*(INDEX(Calc!$AK$3:$AK$22,I157+1)-INDEX(Calc!$AK$3:$AK$22,I157))*INDEX(Calc!$AP$3:$AP$22,I157)+(-2*((G157-INDEX(Calc!$AK$3:$AK$22,I157))/(INDEX(Calc!$AK$3:$AK$22,I157+1)-INDEX(Calc!$AK$3:$AK$22,I157)))^3+3*((G157-INDEX(Calc!$AK$3:$AK$22,I157))/(INDEX(Calc!$AK$3:$AK$22,I157+1)-INDEX(Calc!$AK$3:$AK$22,I157)))^2)*INDEX(Calc!$AL$3:$AL$22,I157+1)+(((G157-INDEX(Calc!$AK$3:$AK$22,I157))/(INDEX(Calc!$AK$3:$AK$22,I157+1)-INDEX(Calc!$AK$3:$AK$22,I157)))^3-((G157-INDEX(Calc!$AK$3:$AK$22,I157))/(INDEX(Calc!$AK$3:$AK$22,I157+1)-INDEX(Calc!$AK$3:$AK$22,I157)))^2)*(INDEX(Calc!$AK$3:$AK$22,I157+1)-INDEX(Calc!$AK$3:$AK$22,I157))*INDEX(Calc!$AQ$3:$AQ$22,I157),NA())</f>
        <v/>
      </c>
      <c r="I157">
        <f>IF(AND(k_gluOn,k_ng&gt;=2),MIN(k_ng-1,MAX(1,MATCH(G157,Calc!$AK$3:INDEX(Calc!$AK$3:$AK$22,k_ng),1))),1)</f>
        <v/>
      </c>
    </row>
    <row r="158">
      <c r="A158">
        <f>IF(k_ok,Grid!$B$777,NA())</f>
        <v/>
      </c>
      <c r="B158">
        <f>IF(k_ok,Grid!$Q$777,NA())</f>
        <v/>
      </c>
      <c r="C158">
        <f>IF(k_hrok,k_h0+k_h1*E158+k_h2*E158^2,NA())</f>
        <v/>
      </c>
      <c r="D158">
        <f>IF(k_ok,Grid!$Q$777/Grid!$B$777,NA())</f>
        <v/>
      </c>
      <c r="E158">
        <f>IF(k_hrok,k_hx0+(k_hx1-k_hx0)*155/200,NA())</f>
        <v/>
      </c>
      <c r="G158">
        <f>IF(AND(k_gluOn,k_ng&gt;=2),Calc!$AK$3+(INDEX(Calc!$AK$3:$AK$22,k_ng)-Calc!$AK$3)*155/200,NA())</f>
        <v/>
      </c>
      <c r="H158">
        <f>IF(AND(k_gluOn,k_ng&gt;=2),(2*((G158-INDEX(Calc!$AK$3:$AK$22,I158))/(INDEX(Calc!$AK$3:$AK$22,I158+1)-INDEX(Calc!$AK$3:$AK$22,I158)))^3-3*((G158-INDEX(Calc!$AK$3:$AK$22,I158))/(INDEX(Calc!$AK$3:$AK$22,I158+1)-INDEX(Calc!$AK$3:$AK$22,I158)))^2+1)*INDEX(Calc!$AL$3:$AL$22,I158)+(((G158-INDEX(Calc!$AK$3:$AK$22,I158))/(INDEX(Calc!$AK$3:$AK$22,I158+1)-INDEX(Calc!$AK$3:$AK$22,I158)))^3-2*((G158-INDEX(Calc!$AK$3:$AK$22,I158))/(INDEX(Calc!$AK$3:$AK$22,I158+1)-INDEX(Calc!$AK$3:$AK$22,I158)))^2+((G158-INDEX(Calc!$AK$3:$AK$22,I158))/(INDEX(Calc!$AK$3:$AK$22,I158+1)-INDEX(Calc!$AK$3:$AK$22,I158))))*(INDEX(Calc!$AK$3:$AK$22,I158+1)-INDEX(Calc!$AK$3:$AK$22,I158))*INDEX(Calc!$AP$3:$AP$22,I158)+(-2*((G158-INDEX(Calc!$AK$3:$AK$22,I158))/(INDEX(Calc!$AK$3:$AK$22,I158+1)-INDEX(Calc!$AK$3:$AK$22,I158)))^3+3*((G158-INDEX(Calc!$AK$3:$AK$22,I158))/(INDEX(Calc!$AK$3:$AK$22,I158+1)-INDEX(Calc!$AK$3:$AK$22,I158)))^2)*INDEX(Calc!$AL$3:$AL$22,I158+1)+(((G158-INDEX(Calc!$AK$3:$AK$22,I158))/(INDEX(Calc!$AK$3:$AK$22,I158+1)-INDEX(Calc!$AK$3:$AK$22,I158)))^3-((G158-INDEX(Calc!$AK$3:$AK$22,I158))/(INDEX(Calc!$AK$3:$AK$22,I158+1)-INDEX(Calc!$AK$3:$AK$22,I158)))^2)*(INDEX(Calc!$AK$3:$AK$22,I158+1)-INDEX(Calc!$AK$3:$AK$22,I158))*INDEX(Calc!$AQ$3:$AQ$22,I158),NA())</f>
        <v/>
      </c>
      <c r="I158">
        <f>IF(AND(k_gluOn,k_ng&gt;=2),MIN(k_ng-1,MAX(1,MATCH(G158,Calc!$AK$3:INDEX(Calc!$AK$3:$AK$22,k_ng),1))),1)</f>
        <v/>
      </c>
    </row>
    <row r="159">
      <c r="A159">
        <f>IF(k_ok,Grid!$B$782,NA())</f>
        <v/>
      </c>
      <c r="B159">
        <f>IF(k_ok,Grid!$Q$782,NA())</f>
        <v/>
      </c>
      <c r="C159">
        <f>IF(k_hrok,k_h0+k_h1*E159+k_h2*E159^2,NA())</f>
        <v/>
      </c>
      <c r="D159">
        <f>IF(k_ok,Grid!$Q$782/Grid!$B$782,NA())</f>
        <v/>
      </c>
      <c r="E159">
        <f>IF(k_hrok,k_hx0+(k_hx1-k_hx0)*156/200,NA())</f>
        <v/>
      </c>
      <c r="G159">
        <f>IF(AND(k_gluOn,k_ng&gt;=2),Calc!$AK$3+(INDEX(Calc!$AK$3:$AK$22,k_ng)-Calc!$AK$3)*156/200,NA())</f>
        <v/>
      </c>
      <c r="H159">
        <f>IF(AND(k_gluOn,k_ng&gt;=2),(2*((G159-INDEX(Calc!$AK$3:$AK$22,I159))/(INDEX(Calc!$AK$3:$AK$22,I159+1)-INDEX(Calc!$AK$3:$AK$22,I159)))^3-3*((G159-INDEX(Calc!$AK$3:$AK$22,I159))/(INDEX(Calc!$AK$3:$AK$22,I159+1)-INDEX(Calc!$AK$3:$AK$22,I159)))^2+1)*INDEX(Calc!$AL$3:$AL$22,I159)+(((G159-INDEX(Calc!$AK$3:$AK$22,I159))/(INDEX(Calc!$AK$3:$AK$22,I159+1)-INDEX(Calc!$AK$3:$AK$22,I159)))^3-2*((G159-INDEX(Calc!$AK$3:$AK$22,I159))/(INDEX(Calc!$AK$3:$AK$22,I159+1)-INDEX(Calc!$AK$3:$AK$22,I159)))^2+((G159-INDEX(Calc!$AK$3:$AK$22,I159))/(INDEX(Calc!$AK$3:$AK$22,I159+1)-INDEX(Calc!$AK$3:$AK$22,I159))))*(INDEX(Calc!$AK$3:$AK$22,I159+1)-INDEX(Calc!$AK$3:$AK$22,I159))*INDEX(Calc!$AP$3:$AP$22,I159)+(-2*((G159-INDEX(Calc!$AK$3:$AK$22,I159))/(INDEX(Calc!$AK$3:$AK$22,I159+1)-INDEX(Calc!$AK$3:$AK$22,I159)))^3+3*((G159-INDEX(Calc!$AK$3:$AK$22,I159))/(INDEX(Calc!$AK$3:$AK$22,I159+1)-INDEX(Calc!$AK$3:$AK$22,I159)))^2)*INDEX(Calc!$AL$3:$AL$22,I159+1)+(((G159-INDEX(Calc!$AK$3:$AK$22,I159))/(INDEX(Calc!$AK$3:$AK$22,I159+1)-INDEX(Calc!$AK$3:$AK$22,I159)))^3-((G159-INDEX(Calc!$AK$3:$AK$22,I159))/(INDEX(Calc!$AK$3:$AK$22,I159+1)-INDEX(Calc!$AK$3:$AK$22,I159)))^2)*(INDEX(Calc!$AK$3:$AK$22,I159+1)-INDEX(Calc!$AK$3:$AK$22,I159))*INDEX(Calc!$AQ$3:$AQ$22,I159),NA())</f>
        <v/>
      </c>
      <c r="I159">
        <f>IF(AND(k_gluOn,k_ng&gt;=2),MIN(k_ng-1,MAX(1,MATCH(G159,Calc!$AK$3:INDEX(Calc!$AK$3:$AK$22,k_ng),1))),1)</f>
        <v/>
      </c>
    </row>
    <row r="160">
      <c r="A160">
        <f>IF(k_ok,Grid!$B$787,NA())</f>
        <v/>
      </c>
      <c r="B160">
        <f>IF(k_ok,Grid!$Q$787,NA())</f>
        <v/>
      </c>
      <c r="C160">
        <f>IF(k_hrok,k_h0+k_h1*E160+k_h2*E160^2,NA())</f>
        <v/>
      </c>
      <c r="D160">
        <f>IF(k_ok,Grid!$Q$787/Grid!$B$787,NA())</f>
        <v/>
      </c>
      <c r="E160">
        <f>IF(k_hrok,k_hx0+(k_hx1-k_hx0)*157/200,NA())</f>
        <v/>
      </c>
      <c r="G160">
        <f>IF(AND(k_gluOn,k_ng&gt;=2),Calc!$AK$3+(INDEX(Calc!$AK$3:$AK$22,k_ng)-Calc!$AK$3)*157/200,NA())</f>
        <v/>
      </c>
      <c r="H160">
        <f>IF(AND(k_gluOn,k_ng&gt;=2),(2*((G160-INDEX(Calc!$AK$3:$AK$22,I160))/(INDEX(Calc!$AK$3:$AK$22,I160+1)-INDEX(Calc!$AK$3:$AK$22,I160)))^3-3*((G160-INDEX(Calc!$AK$3:$AK$22,I160))/(INDEX(Calc!$AK$3:$AK$22,I160+1)-INDEX(Calc!$AK$3:$AK$22,I160)))^2+1)*INDEX(Calc!$AL$3:$AL$22,I160)+(((G160-INDEX(Calc!$AK$3:$AK$22,I160))/(INDEX(Calc!$AK$3:$AK$22,I160+1)-INDEX(Calc!$AK$3:$AK$22,I160)))^3-2*((G160-INDEX(Calc!$AK$3:$AK$22,I160))/(INDEX(Calc!$AK$3:$AK$22,I160+1)-INDEX(Calc!$AK$3:$AK$22,I160)))^2+((G160-INDEX(Calc!$AK$3:$AK$22,I160))/(INDEX(Calc!$AK$3:$AK$22,I160+1)-INDEX(Calc!$AK$3:$AK$22,I160))))*(INDEX(Calc!$AK$3:$AK$22,I160+1)-INDEX(Calc!$AK$3:$AK$22,I160))*INDEX(Calc!$AP$3:$AP$22,I160)+(-2*((G160-INDEX(Calc!$AK$3:$AK$22,I160))/(INDEX(Calc!$AK$3:$AK$22,I160+1)-INDEX(Calc!$AK$3:$AK$22,I160)))^3+3*((G160-INDEX(Calc!$AK$3:$AK$22,I160))/(INDEX(Calc!$AK$3:$AK$22,I160+1)-INDEX(Calc!$AK$3:$AK$22,I160)))^2)*INDEX(Calc!$AL$3:$AL$22,I160+1)+(((G160-INDEX(Calc!$AK$3:$AK$22,I160))/(INDEX(Calc!$AK$3:$AK$22,I160+1)-INDEX(Calc!$AK$3:$AK$22,I160)))^3-((G160-INDEX(Calc!$AK$3:$AK$22,I160))/(INDEX(Calc!$AK$3:$AK$22,I160+1)-INDEX(Calc!$AK$3:$AK$22,I160)))^2)*(INDEX(Calc!$AK$3:$AK$22,I160+1)-INDEX(Calc!$AK$3:$AK$22,I160))*INDEX(Calc!$AQ$3:$AQ$22,I160),NA())</f>
        <v/>
      </c>
      <c r="I160">
        <f>IF(AND(k_gluOn,k_ng&gt;=2),MIN(k_ng-1,MAX(1,MATCH(G160,Calc!$AK$3:INDEX(Calc!$AK$3:$AK$22,k_ng),1))),1)</f>
        <v/>
      </c>
    </row>
    <row r="161">
      <c r="A161">
        <f>IF(k_ok,Grid!$B$792,NA())</f>
        <v/>
      </c>
      <c r="B161">
        <f>IF(k_ok,Grid!$Q$792,NA())</f>
        <v/>
      </c>
      <c r="C161">
        <f>IF(k_hrok,k_h0+k_h1*E161+k_h2*E161^2,NA())</f>
        <v/>
      </c>
      <c r="D161">
        <f>IF(k_ok,Grid!$Q$792/Grid!$B$792,NA())</f>
        <v/>
      </c>
      <c r="E161">
        <f>IF(k_hrok,k_hx0+(k_hx1-k_hx0)*158/200,NA())</f>
        <v/>
      </c>
      <c r="G161">
        <f>IF(AND(k_gluOn,k_ng&gt;=2),Calc!$AK$3+(INDEX(Calc!$AK$3:$AK$22,k_ng)-Calc!$AK$3)*158/200,NA())</f>
        <v/>
      </c>
      <c r="H161">
        <f>IF(AND(k_gluOn,k_ng&gt;=2),(2*((G161-INDEX(Calc!$AK$3:$AK$22,I161))/(INDEX(Calc!$AK$3:$AK$22,I161+1)-INDEX(Calc!$AK$3:$AK$22,I161)))^3-3*((G161-INDEX(Calc!$AK$3:$AK$22,I161))/(INDEX(Calc!$AK$3:$AK$22,I161+1)-INDEX(Calc!$AK$3:$AK$22,I161)))^2+1)*INDEX(Calc!$AL$3:$AL$22,I161)+(((G161-INDEX(Calc!$AK$3:$AK$22,I161))/(INDEX(Calc!$AK$3:$AK$22,I161+1)-INDEX(Calc!$AK$3:$AK$22,I161)))^3-2*((G161-INDEX(Calc!$AK$3:$AK$22,I161))/(INDEX(Calc!$AK$3:$AK$22,I161+1)-INDEX(Calc!$AK$3:$AK$22,I161)))^2+((G161-INDEX(Calc!$AK$3:$AK$22,I161))/(INDEX(Calc!$AK$3:$AK$22,I161+1)-INDEX(Calc!$AK$3:$AK$22,I161))))*(INDEX(Calc!$AK$3:$AK$22,I161+1)-INDEX(Calc!$AK$3:$AK$22,I161))*INDEX(Calc!$AP$3:$AP$22,I161)+(-2*((G161-INDEX(Calc!$AK$3:$AK$22,I161))/(INDEX(Calc!$AK$3:$AK$22,I161+1)-INDEX(Calc!$AK$3:$AK$22,I161)))^3+3*((G161-INDEX(Calc!$AK$3:$AK$22,I161))/(INDEX(Calc!$AK$3:$AK$22,I161+1)-INDEX(Calc!$AK$3:$AK$22,I161)))^2)*INDEX(Calc!$AL$3:$AL$22,I161+1)+(((G161-INDEX(Calc!$AK$3:$AK$22,I161))/(INDEX(Calc!$AK$3:$AK$22,I161+1)-INDEX(Calc!$AK$3:$AK$22,I161)))^3-((G161-INDEX(Calc!$AK$3:$AK$22,I161))/(INDEX(Calc!$AK$3:$AK$22,I161+1)-INDEX(Calc!$AK$3:$AK$22,I161)))^2)*(INDEX(Calc!$AK$3:$AK$22,I161+1)-INDEX(Calc!$AK$3:$AK$22,I161))*INDEX(Calc!$AQ$3:$AQ$22,I161),NA())</f>
        <v/>
      </c>
      <c r="I161">
        <f>IF(AND(k_gluOn,k_ng&gt;=2),MIN(k_ng-1,MAX(1,MATCH(G161,Calc!$AK$3:INDEX(Calc!$AK$3:$AK$22,k_ng),1))),1)</f>
        <v/>
      </c>
    </row>
    <row r="162">
      <c r="A162">
        <f>IF(k_ok,Grid!$B$797,NA())</f>
        <v/>
      </c>
      <c r="B162">
        <f>IF(k_ok,Grid!$Q$797,NA())</f>
        <v/>
      </c>
      <c r="C162">
        <f>IF(k_hrok,k_h0+k_h1*E162+k_h2*E162^2,NA())</f>
        <v/>
      </c>
      <c r="D162">
        <f>IF(k_ok,Grid!$Q$797/Grid!$B$797,NA())</f>
        <v/>
      </c>
      <c r="E162">
        <f>IF(k_hrok,k_hx0+(k_hx1-k_hx0)*159/200,NA())</f>
        <v/>
      </c>
      <c r="G162">
        <f>IF(AND(k_gluOn,k_ng&gt;=2),Calc!$AK$3+(INDEX(Calc!$AK$3:$AK$22,k_ng)-Calc!$AK$3)*159/200,NA())</f>
        <v/>
      </c>
      <c r="H162">
        <f>IF(AND(k_gluOn,k_ng&gt;=2),(2*((G162-INDEX(Calc!$AK$3:$AK$22,I162))/(INDEX(Calc!$AK$3:$AK$22,I162+1)-INDEX(Calc!$AK$3:$AK$22,I162)))^3-3*((G162-INDEX(Calc!$AK$3:$AK$22,I162))/(INDEX(Calc!$AK$3:$AK$22,I162+1)-INDEX(Calc!$AK$3:$AK$22,I162)))^2+1)*INDEX(Calc!$AL$3:$AL$22,I162)+(((G162-INDEX(Calc!$AK$3:$AK$22,I162))/(INDEX(Calc!$AK$3:$AK$22,I162+1)-INDEX(Calc!$AK$3:$AK$22,I162)))^3-2*((G162-INDEX(Calc!$AK$3:$AK$22,I162))/(INDEX(Calc!$AK$3:$AK$22,I162+1)-INDEX(Calc!$AK$3:$AK$22,I162)))^2+((G162-INDEX(Calc!$AK$3:$AK$22,I162))/(INDEX(Calc!$AK$3:$AK$22,I162+1)-INDEX(Calc!$AK$3:$AK$22,I162))))*(INDEX(Calc!$AK$3:$AK$22,I162+1)-INDEX(Calc!$AK$3:$AK$22,I162))*INDEX(Calc!$AP$3:$AP$22,I162)+(-2*((G162-INDEX(Calc!$AK$3:$AK$22,I162))/(INDEX(Calc!$AK$3:$AK$22,I162+1)-INDEX(Calc!$AK$3:$AK$22,I162)))^3+3*((G162-INDEX(Calc!$AK$3:$AK$22,I162))/(INDEX(Calc!$AK$3:$AK$22,I162+1)-INDEX(Calc!$AK$3:$AK$22,I162)))^2)*INDEX(Calc!$AL$3:$AL$22,I162+1)+(((G162-INDEX(Calc!$AK$3:$AK$22,I162))/(INDEX(Calc!$AK$3:$AK$22,I162+1)-INDEX(Calc!$AK$3:$AK$22,I162)))^3-((G162-INDEX(Calc!$AK$3:$AK$22,I162))/(INDEX(Calc!$AK$3:$AK$22,I162+1)-INDEX(Calc!$AK$3:$AK$22,I162)))^2)*(INDEX(Calc!$AK$3:$AK$22,I162+1)-INDEX(Calc!$AK$3:$AK$22,I162))*INDEX(Calc!$AQ$3:$AQ$22,I162),NA())</f>
        <v/>
      </c>
      <c r="I162">
        <f>IF(AND(k_gluOn,k_ng&gt;=2),MIN(k_ng-1,MAX(1,MATCH(G162,Calc!$AK$3:INDEX(Calc!$AK$3:$AK$22,k_ng),1))),1)</f>
        <v/>
      </c>
    </row>
    <row r="163">
      <c r="A163">
        <f>IF(k_ok,Grid!$B$802,NA())</f>
        <v/>
      </c>
      <c r="B163">
        <f>IF(k_ok,Grid!$Q$802,NA())</f>
        <v/>
      </c>
      <c r="C163">
        <f>IF(k_hrok,k_h0+k_h1*E163+k_h2*E163^2,NA())</f>
        <v/>
      </c>
      <c r="D163">
        <f>IF(k_ok,Grid!$Q$802/Grid!$B$802,NA())</f>
        <v/>
      </c>
      <c r="E163">
        <f>IF(k_hrok,k_hx0+(k_hx1-k_hx0)*160/200,NA())</f>
        <v/>
      </c>
      <c r="G163">
        <f>IF(AND(k_gluOn,k_ng&gt;=2),Calc!$AK$3+(INDEX(Calc!$AK$3:$AK$22,k_ng)-Calc!$AK$3)*160/200,NA())</f>
        <v/>
      </c>
      <c r="H163">
        <f>IF(AND(k_gluOn,k_ng&gt;=2),(2*((G163-INDEX(Calc!$AK$3:$AK$22,I163))/(INDEX(Calc!$AK$3:$AK$22,I163+1)-INDEX(Calc!$AK$3:$AK$22,I163)))^3-3*((G163-INDEX(Calc!$AK$3:$AK$22,I163))/(INDEX(Calc!$AK$3:$AK$22,I163+1)-INDEX(Calc!$AK$3:$AK$22,I163)))^2+1)*INDEX(Calc!$AL$3:$AL$22,I163)+(((G163-INDEX(Calc!$AK$3:$AK$22,I163))/(INDEX(Calc!$AK$3:$AK$22,I163+1)-INDEX(Calc!$AK$3:$AK$22,I163)))^3-2*((G163-INDEX(Calc!$AK$3:$AK$22,I163))/(INDEX(Calc!$AK$3:$AK$22,I163+1)-INDEX(Calc!$AK$3:$AK$22,I163)))^2+((G163-INDEX(Calc!$AK$3:$AK$22,I163))/(INDEX(Calc!$AK$3:$AK$22,I163+1)-INDEX(Calc!$AK$3:$AK$22,I163))))*(INDEX(Calc!$AK$3:$AK$22,I163+1)-INDEX(Calc!$AK$3:$AK$22,I163))*INDEX(Calc!$AP$3:$AP$22,I163)+(-2*((G163-INDEX(Calc!$AK$3:$AK$22,I163))/(INDEX(Calc!$AK$3:$AK$22,I163+1)-INDEX(Calc!$AK$3:$AK$22,I163)))^3+3*((G163-INDEX(Calc!$AK$3:$AK$22,I163))/(INDEX(Calc!$AK$3:$AK$22,I163+1)-INDEX(Calc!$AK$3:$AK$22,I163)))^2)*INDEX(Calc!$AL$3:$AL$22,I163+1)+(((G163-INDEX(Calc!$AK$3:$AK$22,I163))/(INDEX(Calc!$AK$3:$AK$22,I163+1)-INDEX(Calc!$AK$3:$AK$22,I163)))^3-((G163-INDEX(Calc!$AK$3:$AK$22,I163))/(INDEX(Calc!$AK$3:$AK$22,I163+1)-INDEX(Calc!$AK$3:$AK$22,I163)))^2)*(INDEX(Calc!$AK$3:$AK$22,I163+1)-INDEX(Calc!$AK$3:$AK$22,I163))*INDEX(Calc!$AQ$3:$AQ$22,I163),NA())</f>
        <v/>
      </c>
      <c r="I163">
        <f>IF(AND(k_gluOn,k_ng&gt;=2),MIN(k_ng-1,MAX(1,MATCH(G163,Calc!$AK$3:INDEX(Calc!$AK$3:$AK$22,k_ng),1))),1)</f>
        <v/>
      </c>
    </row>
    <row r="164">
      <c r="A164">
        <f>IF(k_ok,Grid!$B$807,NA())</f>
        <v/>
      </c>
      <c r="B164">
        <f>IF(k_ok,Grid!$Q$807,NA())</f>
        <v/>
      </c>
      <c r="C164">
        <f>IF(k_hrok,k_h0+k_h1*E164+k_h2*E164^2,NA())</f>
        <v/>
      </c>
      <c r="D164">
        <f>IF(k_ok,Grid!$Q$807/Grid!$B$807,NA())</f>
        <v/>
      </c>
      <c r="E164">
        <f>IF(k_hrok,k_hx0+(k_hx1-k_hx0)*161/200,NA())</f>
        <v/>
      </c>
      <c r="G164">
        <f>IF(AND(k_gluOn,k_ng&gt;=2),Calc!$AK$3+(INDEX(Calc!$AK$3:$AK$22,k_ng)-Calc!$AK$3)*161/200,NA())</f>
        <v/>
      </c>
      <c r="H164">
        <f>IF(AND(k_gluOn,k_ng&gt;=2),(2*((G164-INDEX(Calc!$AK$3:$AK$22,I164))/(INDEX(Calc!$AK$3:$AK$22,I164+1)-INDEX(Calc!$AK$3:$AK$22,I164)))^3-3*((G164-INDEX(Calc!$AK$3:$AK$22,I164))/(INDEX(Calc!$AK$3:$AK$22,I164+1)-INDEX(Calc!$AK$3:$AK$22,I164)))^2+1)*INDEX(Calc!$AL$3:$AL$22,I164)+(((G164-INDEX(Calc!$AK$3:$AK$22,I164))/(INDEX(Calc!$AK$3:$AK$22,I164+1)-INDEX(Calc!$AK$3:$AK$22,I164)))^3-2*((G164-INDEX(Calc!$AK$3:$AK$22,I164))/(INDEX(Calc!$AK$3:$AK$22,I164+1)-INDEX(Calc!$AK$3:$AK$22,I164)))^2+((G164-INDEX(Calc!$AK$3:$AK$22,I164))/(INDEX(Calc!$AK$3:$AK$22,I164+1)-INDEX(Calc!$AK$3:$AK$22,I164))))*(INDEX(Calc!$AK$3:$AK$22,I164+1)-INDEX(Calc!$AK$3:$AK$22,I164))*INDEX(Calc!$AP$3:$AP$22,I164)+(-2*((G164-INDEX(Calc!$AK$3:$AK$22,I164))/(INDEX(Calc!$AK$3:$AK$22,I164+1)-INDEX(Calc!$AK$3:$AK$22,I164)))^3+3*((G164-INDEX(Calc!$AK$3:$AK$22,I164))/(INDEX(Calc!$AK$3:$AK$22,I164+1)-INDEX(Calc!$AK$3:$AK$22,I164)))^2)*INDEX(Calc!$AL$3:$AL$22,I164+1)+(((G164-INDEX(Calc!$AK$3:$AK$22,I164))/(INDEX(Calc!$AK$3:$AK$22,I164+1)-INDEX(Calc!$AK$3:$AK$22,I164)))^3-((G164-INDEX(Calc!$AK$3:$AK$22,I164))/(INDEX(Calc!$AK$3:$AK$22,I164+1)-INDEX(Calc!$AK$3:$AK$22,I164)))^2)*(INDEX(Calc!$AK$3:$AK$22,I164+1)-INDEX(Calc!$AK$3:$AK$22,I164))*INDEX(Calc!$AQ$3:$AQ$22,I164),NA())</f>
        <v/>
      </c>
      <c r="I164">
        <f>IF(AND(k_gluOn,k_ng&gt;=2),MIN(k_ng-1,MAX(1,MATCH(G164,Calc!$AK$3:INDEX(Calc!$AK$3:$AK$22,k_ng),1))),1)</f>
        <v/>
      </c>
    </row>
    <row r="165">
      <c r="A165">
        <f>IF(k_ok,Grid!$B$812,NA())</f>
        <v/>
      </c>
      <c r="B165">
        <f>IF(k_ok,Grid!$Q$812,NA())</f>
        <v/>
      </c>
      <c r="C165">
        <f>IF(k_hrok,k_h0+k_h1*E165+k_h2*E165^2,NA())</f>
        <v/>
      </c>
      <c r="D165">
        <f>IF(k_ok,Grid!$Q$812/Grid!$B$812,NA())</f>
        <v/>
      </c>
      <c r="E165">
        <f>IF(k_hrok,k_hx0+(k_hx1-k_hx0)*162/200,NA())</f>
        <v/>
      </c>
      <c r="G165">
        <f>IF(AND(k_gluOn,k_ng&gt;=2),Calc!$AK$3+(INDEX(Calc!$AK$3:$AK$22,k_ng)-Calc!$AK$3)*162/200,NA())</f>
        <v/>
      </c>
      <c r="H165">
        <f>IF(AND(k_gluOn,k_ng&gt;=2),(2*((G165-INDEX(Calc!$AK$3:$AK$22,I165))/(INDEX(Calc!$AK$3:$AK$22,I165+1)-INDEX(Calc!$AK$3:$AK$22,I165)))^3-3*((G165-INDEX(Calc!$AK$3:$AK$22,I165))/(INDEX(Calc!$AK$3:$AK$22,I165+1)-INDEX(Calc!$AK$3:$AK$22,I165)))^2+1)*INDEX(Calc!$AL$3:$AL$22,I165)+(((G165-INDEX(Calc!$AK$3:$AK$22,I165))/(INDEX(Calc!$AK$3:$AK$22,I165+1)-INDEX(Calc!$AK$3:$AK$22,I165)))^3-2*((G165-INDEX(Calc!$AK$3:$AK$22,I165))/(INDEX(Calc!$AK$3:$AK$22,I165+1)-INDEX(Calc!$AK$3:$AK$22,I165)))^2+((G165-INDEX(Calc!$AK$3:$AK$22,I165))/(INDEX(Calc!$AK$3:$AK$22,I165+1)-INDEX(Calc!$AK$3:$AK$22,I165))))*(INDEX(Calc!$AK$3:$AK$22,I165+1)-INDEX(Calc!$AK$3:$AK$22,I165))*INDEX(Calc!$AP$3:$AP$22,I165)+(-2*((G165-INDEX(Calc!$AK$3:$AK$22,I165))/(INDEX(Calc!$AK$3:$AK$22,I165+1)-INDEX(Calc!$AK$3:$AK$22,I165)))^3+3*((G165-INDEX(Calc!$AK$3:$AK$22,I165))/(INDEX(Calc!$AK$3:$AK$22,I165+1)-INDEX(Calc!$AK$3:$AK$22,I165)))^2)*INDEX(Calc!$AL$3:$AL$22,I165+1)+(((G165-INDEX(Calc!$AK$3:$AK$22,I165))/(INDEX(Calc!$AK$3:$AK$22,I165+1)-INDEX(Calc!$AK$3:$AK$22,I165)))^3-((G165-INDEX(Calc!$AK$3:$AK$22,I165))/(INDEX(Calc!$AK$3:$AK$22,I165+1)-INDEX(Calc!$AK$3:$AK$22,I165)))^2)*(INDEX(Calc!$AK$3:$AK$22,I165+1)-INDEX(Calc!$AK$3:$AK$22,I165))*INDEX(Calc!$AQ$3:$AQ$22,I165),NA())</f>
        <v/>
      </c>
      <c r="I165">
        <f>IF(AND(k_gluOn,k_ng&gt;=2),MIN(k_ng-1,MAX(1,MATCH(G165,Calc!$AK$3:INDEX(Calc!$AK$3:$AK$22,k_ng),1))),1)</f>
        <v/>
      </c>
    </row>
    <row r="166">
      <c r="A166">
        <f>IF(k_ok,Grid!$B$817,NA())</f>
        <v/>
      </c>
      <c r="B166">
        <f>IF(k_ok,Grid!$Q$817,NA())</f>
        <v/>
      </c>
      <c r="C166">
        <f>IF(k_hrok,k_h0+k_h1*E166+k_h2*E166^2,NA())</f>
        <v/>
      </c>
      <c r="D166">
        <f>IF(k_ok,Grid!$Q$817/Grid!$B$817,NA())</f>
        <v/>
      </c>
      <c r="E166">
        <f>IF(k_hrok,k_hx0+(k_hx1-k_hx0)*163/200,NA())</f>
        <v/>
      </c>
      <c r="G166">
        <f>IF(AND(k_gluOn,k_ng&gt;=2),Calc!$AK$3+(INDEX(Calc!$AK$3:$AK$22,k_ng)-Calc!$AK$3)*163/200,NA())</f>
        <v/>
      </c>
      <c r="H166">
        <f>IF(AND(k_gluOn,k_ng&gt;=2),(2*((G166-INDEX(Calc!$AK$3:$AK$22,I166))/(INDEX(Calc!$AK$3:$AK$22,I166+1)-INDEX(Calc!$AK$3:$AK$22,I166)))^3-3*((G166-INDEX(Calc!$AK$3:$AK$22,I166))/(INDEX(Calc!$AK$3:$AK$22,I166+1)-INDEX(Calc!$AK$3:$AK$22,I166)))^2+1)*INDEX(Calc!$AL$3:$AL$22,I166)+(((G166-INDEX(Calc!$AK$3:$AK$22,I166))/(INDEX(Calc!$AK$3:$AK$22,I166+1)-INDEX(Calc!$AK$3:$AK$22,I166)))^3-2*((G166-INDEX(Calc!$AK$3:$AK$22,I166))/(INDEX(Calc!$AK$3:$AK$22,I166+1)-INDEX(Calc!$AK$3:$AK$22,I166)))^2+((G166-INDEX(Calc!$AK$3:$AK$22,I166))/(INDEX(Calc!$AK$3:$AK$22,I166+1)-INDEX(Calc!$AK$3:$AK$22,I166))))*(INDEX(Calc!$AK$3:$AK$22,I166+1)-INDEX(Calc!$AK$3:$AK$22,I166))*INDEX(Calc!$AP$3:$AP$22,I166)+(-2*((G166-INDEX(Calc!$AK$3:$AK$22,I166))/(INDEX(Calc!$AK$3:$AK$22,I166+1)-INDEX(Calc!$AK$3:$AK$22,I166)))^3+3*((G166-INDEX(Calc!$AK$3:$AK$22,I166))/(INDEX(Calc!$AK$3:$AK$22,I166+1)-INDEX(Calc!$AK$3:$AK$22,I166)))^2)*INDEX(Calc!$AL$3:$AL$22,I166+1)+(((G166-INDEX(Calc!$AK$3:$AK$22,I166))/(INDEX(Calc!$AK$3:$AK$22,I166+1)-INDEX(Calc!$AK$3:$AK$22,I166)))^3-((G166-INDEX(Calc!$AK$3:$AK$22,I166))/(INDEX(Calc!$AK$3:$AK$22,I166+1)-INDEX(Calc!$AK$3:$AK$22,I166)))^2)*(INDEX(Calc!$AK$3:$AK$22,I166+1)-INDEX(Calc!$AK$3:$AK$22,I166))*INDEX(Calc!$AQ$3:$AQ$22,I166),NA())</f>
        <v/>
      </c>
      <c r="I166">
        <f>IF(AND(k_gluOn,k_ng&gt;=2),MIN(k_ng-1,MAX(1,MATCH(G166,Calc!$AK$3:INDEX(Calc!$AK$3:$AK$22,k_ng),1))),1)</f>
        <v/>
      </c>
    </row>
    <row r="167">
      <c r="A167">
        <f>IF(k_ok,Grid!$B$822,NA())</f>
        <v/>
      </c>
      <c r="B167">
        <f>IF(k_ok,Grid!$Q$822,NA())</f>
        <v/>
      </c>
      <c r="C167">
        <f>IF(k_hrok,k_h0+k_h1*E167+k_h2*E167^2,NA())</f>
        <v/>
      </c>
      <c r="D167">
        <f>IF(k_ok,Grid!$Q$822/Grid!$B$822,NA())</f>
        <v/>
      </c>
      <c r="E167">
        <f>IF(k_hrok,k_hx0+(k_hx1-k_hx0)*164/200,NA())</f>
        <v/>
      </c>
      <c r="G167">
        <f>IF(AND(k_gluOn,k_ng&gt;=2),Calc!$AK$3+(INDEX(Calc!$AK$3:$AK$22,k_ng)-Calc!$AK$3)*164/200,NA())</f>
        <v/>
      </c>
      <c r="H167">
        <f>IF(AND(k_gluOn,k_ng&gt;=2),(2*((G167-INDEX(Calc!$AK$3:$AK$22,I167))/(INDEX(Calc!$AK$3:$AK$22,I167+1)-INDEX(Calc!$AK$3:$AK$22,I167)))^3-3*((G167-INDEX(Calc!$AK$3:$AK$22,I167))/(INDEX(Calc!$AK$3:$AK$22,I167+1)-INDEX(Calc!$AK$3:$AK$22,I167)))^2+1)*INDEX(Calc!$AL$3:$AL$22,I167)+(((G167-INDEX(Calc!$AK$3:$AK$22,I167))/(INDEX(Calc!$AK$3:$AK$22,I167+1)-INDEX(Calc!$AK$3:$AK$22,I167)))^3-2*((G167-INDEX(Calc!$AK$3:$AK$22,I167))/(INDEX(Calc!$AK$3:$AK$22,I167+1)-INDEX(Calc!$AK$3:$AK$22,I167)))^2+((G167-INDEX(Calc!$AK$3:$AK$22,I167))/(INDEX(Calc!$AK$3:$AK$22,I167+1)-INDEX(Calc!$AK$3:$AK$22,I167))))*(INDEX(Calc!$AK$3:$AK$22,I167+1)-INDEX(Calc!$AK$3:$AK$22,I167))*INDEX(Calc!$AP$3:$AP$22,I167)+(-2*((G167-INDEX(Calc!$AK$3:$AK$22,I167))/(INDEX(Calc!$AK$3:$AK$22,I167+1)-INDEX(Calc!$AK$3:$AK$22,I167)))^3+3*((G167-INDEX(Calc!$AK$3:$AK$22,I167))/(INDEX(Calc!$AK$3:$AK$22,I167+1)-INDEX(Calc!$AK$3:$AK$22,I167)))^2)*INDEX(Calc!$AL$3:$AL$22,I167+1)+(((G167-INDEX(Calc!$AK$3:$AK$22,I167))/(INDEX(Calc!$AK$3:$AK$22,I167+1)-INDEX(Calc!$AK$3:$AK$22,I167)))^3-((G167-INDEX(Calc!$AK$3:$AK$22,I167))/(INDEX(Calc!$AK$3:$AK$22,I167+1)-INDEX(Calc!$AK$3:$AK$22,I167)))^2)*(INDEX(Calc!$AK$3:$AK$22,I167+1)-INDEX(Calc!$AK$3:$AK$22,I167))*INDEX(Calc!$AQ$3:$AQ$22,I167),NA())</f>
        <v/>
      </c>
      <c r="I167">
        <f>IF(AND(k_gluOn,k_ng&gt;=2),MIN(k_ng-1,MAX(1,MATCH(G167,Calc!$AK$3:INDEX(Calc!$AK$3:$AK$22,k_ng),1))),1)</f>
        <v/>
      </c>
    </row>
    <row r="168">
      <c r="A168">
        <f>IF(k_ok,Grid!$B$827,NA())</f>
        <v/>
      </c>
      <c r="B168">
        <f>IF(k_ok,Grid!$Q$827,NA())</f>
        <v/>
      </c>
      <c r="C168">
        <f>IF(k_hrok,k_h0+k_h1*E168+k_h2*E168^2,NA())</f>
        <v/>
      </c>
      <c r="D168">
        <f>IF(k_ok,Grid!$Q$827/Grid!$B$827,NA())</f>
        <v/>
      </c>
      <c r="E168">
        <f>IF(k_hrok,k_hx0+(k_hx1-k_hx0)*165/200,NA())</f>
        <v/>
      </c>
      <c r="G168">
        <f>IF(AND(k_gluOn,k_ng&gt;=2),Calc!$AK$3+(INDEX(Calc!$AK$3:$AK$22,k_ng)-Calc!$AK$3)*165/200,NA())</f>
        <v/>
      </c>
      <c r="H168">
        <f>IF(AND(k_gluOn,k_ng&gt;=2),(2*((G168-INDEX(Calc!$AK$3:$AK$22,I168))/(INDEX(Calc!$AK$3:$AK$22,I168+1)-INDEX(Calc!$AK$3:$AK$22,I168)))^3-3*((G168-INDEX(Calc!$AK$3:$AK$22,I168))/(INDEX(Calc!$AK$3:$AK$22,I168+1)-INDEX(Calc!$AK$3:$AK$22,I168)))^2+1)*INDEX(Calc!$AL$3:$AL$22,I168)+(((G168-INDEX(Calc!$AK$3:$AK$22,I168))/(INDEX(Calc!$AK$3:$AK$22,I168+1)-INDEX(Calc!$AK$3:$AK$22,I168)))^3-2*((G168-INDEX(Calc!$AK$3:$AK$22,I168))/(INDEX(Calc!$AK$3:$AK$22,I168+1)-INDEX(Calc!$AK$3:$AK$22,I168)))^2+((G168-INDEX(Calc!$AK$3:$AK$22,I168))/(INDEX(Calc!$AK$3:$AK$22,I168+1)-INDEX(Calc!$AK$3:$AK$22,I168))))*(INDEX(Calc!$AK$3:$AK$22,I168+1)-INDEX(Calc!$AK$3:$AK$22,I168))*INDEX(Calc!$AP$3:$AP$22,I168)+(-2*((G168-INDEX(Calc!$AK$3:$AK$22,I168))/(INDEX(Calc!$AK$3:$AK$22,I168+1)-INDEX(Calc!$AK$3:$AK$22,I168)))^3+3*((G168-INDEX(Calc!$AK$3:$AK$22,I168))/(INDEX(Calc!$AK$3:$AK$22,I168+1)-INDEX(Calc!$AK$3:$AK$22,I168)))^2)*INDEX(Calc!$AL$3:$AL$22,I168+1)+(((G168-INDEX(Calc!$AK$3:$AK$22,I168))/(INDEX(Calc!$AK$3:$AK$22,I168+1)-INDEX(Calc!$AK$3:$AK$22,I168)))^3-((G168-INDEX(Calc!$AK$3:$AK$22,I168))/(INDEX(Calc!$AK$3:$AK$22,I168+1)-INDEX(Calc!$AK$3:$AK$22,I168)))^2)*(INDEX(Calc!$AK$3:$AK$22,I168+1)-INDEX(Calc!$AK$3:$AK$22,I168))*INDEX(Calc!$AQ$3:$AQ$22,I168),NA())</f>
        <v/>
      </c>
      <c r="I168">
        <f>IF(AND(k_gluOn,k_ng&gt;=2),MIN(k_ng-1,MAX(1,MATCH(G168,Calc!$AK$3:INDEX(Calc!$AK$3:$AK$22,k_ng),1))),1)</f>
        <v/>
      </c>
    </row>
    <row r="169">
      <c r="A169">
        <f>IF(k_ok,Grid!$B$832,NA())</f>
        <v/>
      </c>
      <c r="B169">
        <f>IF(k_ok,Grid!$Q$832,NA())</f>
        <v/>
      </c>
      <c r="C169">
        <f>IF(k_hrok,k_h0+k_h1*E169+k_h2*E169^2,NA())</f>
        <v/>
      </c>
      <c r="D169">
        <f>IF(k_ok,Grid!$Q$832/Grid!$B$832,NA())</f>
        <v/>
      </c>
      <c r="E169">
        <f>IF(k_hrok,k_hx0+(k_hx1-k_hx0)*166/200,NA())</f>
        <v/>
      </c>
      <c r="G169">
        <f>IF(AND(k_gluOn,k_ng&gt;=2),Calc!$AK$3+(INDEX(Calc!$AK$3:$AK$22,k_ng)-Calc!$AK$3)*166/200,NA())</f>
        <v/>
      </c>
      <c r="H169">
        <f>IF(AND(k_gluOn,k_ng&gt;=2),(2*((G169-INDEX(Calc!$AK$3:$AK$22,I169))/(INDEX(Calc!$AK$3:$AK$22,I169+1)-INDEX(Calc!$AK$3:$AK$22,I169)))^3-3*((G169-INDEX(Calc!$AK$3:$AK$22,I169))/(INDEX(Calc!$AK$3:$AK$22,I169+1)-INDEX(Calc!$AK$3:$AK$22,I169)))^2+1)*INDEX(Calc!$AL$3:$AL$22,I169)+(((G169-INDEX(Calc!$AK$3:$AK$22,I169))/(INDEX(Calc!$AK$3:$AK$22,I169+1)-INDEX(Calc!$AK$3:$AK$22,I169)))^3-2*((G169-INDEX(Calc!$AK$3:$AK$22,I169))/(INDEX(Calc!$AK$3:$AK$22,I169+1)-INDEX(Calc!$AK$3:$AK$22,I169)))^2+((G169-INDEX(Calc!$AK$3:$AK$22,I169))/(INDEX(Calc!$AK$3:$AK$22,I169+1)-INDEX(Calc!$AK$3:$AK$22,I169))))*(INDEX(Calc!$AK$3:$AK$22,I169+1)-INDEX(Calc!$AK$3:$AK$22,I169))*INDEX(Calc!$AP$3:$AP$22,I169)+(-2*((G169-INDEX(Calc!$AK$3:$AK$22,I169))/(INDEX(Calc!$AK$3:$AK$22,I169+1)-INDEX(Calc!$AK$3:$AK$22,I169)))^3+3*((G169-INDEX(Calc!$AK$3:$AK$22,I169))/(INDEX(Calc!$AK$3:$AK$22,I169+1)-INDEX(Calc!$AK$3:$AK$22,I169)))^2)*INDEX(Calc!$AL$3:$AL$22,I169+1)+(((G169-INDEX(Calc!$AK$3:$AK$22,I169))/(INDEX(Calc!$AK$3:$AK$22,I169+1)-INDEX(Calc!$AK$3:$AK$22,I169)))^3-((G169-INDEX(Calc!$AK$3:$AK$22,I169))/(INDEX(Calc!$AK$3:$AK$22,I169+1)-INDEX(Calc!$AK$3:$AK$22,I169)))^2)*(INDEX(Calc!$AK$3:$AK$22,I169+1)-INDEX(Calc!$AK$3:$AK$22,I169))*INDEX(Calc!$AQ$3:$AQ$22,I169),NA())</f>
        <v/>
      </c>
      <c r="I169">
        <f>IF(AND(k_gluOn,k_ng&gt;=2),MIN(k_ng-1,MAX(1,MATCH(G169,Calc!$AK$3:INDEX(Calc!$AK$3:$AK$22,k_ng),1))),1)</f>
        <v/>
      </c>
    </row>
    <row r="170">
      <c r="A170">
        <f>IF(k_ok,Grid!$B$837,NA())</f>
        <v/>
      </c>
      <c r="B170">
        <f>IF(k_ok,Grid!$Q$837,NA())</f>
        <v/>
      </c>
      <c r="C170">
        <f>IF(k_hrok,k_h0+k_h1*E170+k_h2*E170^2,NA())</f>
        <v/>
      </c>
      <c r="D170">
        <f>IF(k_ok,Grid!$Q$837/Grid!$B$837,NA())</f>
        <v/>
      </c>
      <c r="E170">
        <f>IF(k_hrok,k_hx0+(k_hx1-k_hx0)*167/200,NA())</f>
        <v/>
      </c>
      <c r="G170">
        <f>IF(AND(k_gluOn,k_ng&gt;=2),Calc!$AK$3+(INDEX(Calc!$AK$3:$AK$22,k_ng)-Calc!$AK$3)*167/200,NA())</f>
        <v/>
      </c>
      <c r="H170">
        <f>IF(AND(k_gluOn,k_ng&gt;=2),(2*((G170-INDEX(Calc!$AK$3:$AK$22,I170))/(INDEX(Calc!$AK$3:$AK$22,I170+1)-INDEX(Calc!$AK$3:$AK$22,I170)))^3-3*((G170-INDEX(Calc!$AK$3:$AK$22,I170))/(INDEX(Calc!$AK$3:$AK$22,I170+1)-INDEX(Calc!$AK$3:$AK$22,I170)))^2+1)*INDEX(Calc!$AL$3:$AL$22,I170)+(((G170-INDEX(Calc!$AK$3:$AK$22,I170))/(INDEX(Calc!$AK$3:$AK$22,I170+1)-INDEX(Calc!$AK$3:$AK$22,I170)))^3-2*((G170-INDEX(Calc!$AK$3:$AK$22,I170))/(INDEX(Calc!$AK$3:$AK$22,I170+1)-INDEX(Calc!$AK$3:$AK$22,I170)))^2+((G170-INDEX(Calc!$AK$3:$AK$22,I170))/(INDEX(Calc!$AK$3:$AK$22,I170+1)-INDEX(Calc!$AK$3:$AK$22,I170))))*(INDEX(Calc!$AK$3:$AK$22,I170+1)-INDEX(Calc!$AK$3:$AK$22,I170))*INDEX(Calc!$AP$3:$AP$22,I170)+(-2*((G170-INDEX(Calc!$AK$3:$AK$22,I170))/(INDEX(Calc!$AK$3:$AK$22,I170+1)-INDEX(Calc!$AK$3:$AK$22,I170)))^3+3*((G170-INDEX(Calc!$AK$3:$AK$22,I170))/(INDEX(Calc!$AK$3:$AK$22,I170+1)-INDEX(Calc!$AK$3:$AK$22,I170)))^2)*INDEX(Calc!$AL$3:$AL$22,I170+1)+(((G170-INDEX(Calc!$AK$3:$AK$22,I170))/(INDEX(Calc!$AK$3:$AK$22,I170+1)-INDEX(Calc!$AK$3:$AK$22,I170)))^3-((G170-INDEX(Calc!$AK$3:$AK$22,I170))/(INDEX(Calc!$AK$3:$AK$22,I170+1)-INDEX(Calc!$AK$3:$AK$22,I170)))^2)*(INDEX(Calc!$AK$3:$AK$22,I170+1)-INDEX(Calc!$AK$3:$AK$22,I170))*INDEX(Calc!$AQ$3:$AQ$22,I170),NA())</f>
        <v/>
      </c>
      <c r="I170">
        <f>IF(AND(k_gluOn,k_ng&gt;=2),MIN(k_ng-1,MAX(1,MATCH(G170,Calc!$AK$3:INDEX(Calc!$AK$3:$AK$22,k_ng),1))),1)</f>
        <v/>
      </c>
    </row>
    <row r="171">
      <c r="A171">
        <f>IF(k_ok,Grid!$B$842,NA())</f>
        <v/>
      </c>
      <c r="B171">
        <f>IF(k_ok,Grid!$Q$842,NA())</f>
        <v/>
      </c>
      <c r="C171">
        <f>IF(k_hrok,k_h0+k_h1*E171+k_h2*E171^2,NA())</f>
        <v/>
      </c>
      <c r="D171">
        <f>IF(k_ok,Grid!$Q$842/Grid!$B$842,NA())</f>
        <v/>
      </c>
      <c r="E171">
        <f>IF(k_hrok,k_hx0+(k_hx1-k_hx0)*168/200,NA())</f>
        <v/>
      </c>
      <c r="G171">
        <f>IF(AND(k_gluOn,k_ng&gt;=2),Calc!$AK$3+(INDEX(Calc!$AK$3:$AK$22,k_ng)-Calc!$AK$3)*168/200,NA())</f>
        <v/>
      </c>
      <c r="H171">
        <f>IF(AND(k_gluOn,k_ng&gt;=2),(2*((G171-INDEX(Calc!$AK$3:$AK$22,I171))/(INDEX(Calc!$AK$3:$AK$22,I171+1)-INDEX(Calc!$AK$3:$AK$22,I171)))^3-3*((G171-INDEX(Calc!$AK$3:$AK$22,I171))/(INDEX(Calc!$AK$3:$AK$22,I171+1)-INDEX(Calc!$AK$3:$AK$22,I171)))^2+1)*INDEX(Calc!$AL$3:$AL$22,I171)+(((G171-INDEX(Calc!$AK$3:$AK$22,I171))/(INDEX(Calc!$AK$3:$AK$22,I171+1)-INDEX(Calc!$AK$3:$AK$22,I171)))^3-2*((G171-INDEX(Calc!$AK$3:$AK$22,I171))/(INDEX(Calc!$AK$3:$AK$22,I171+1)-INDEX(Calc!$AK$3:$AK$22,I171)))^2+((G171-INDEX(Calc!$AK$3:$AK$22,I171))/(INDEX(Calc!$AK$3:$AK$22,I171+1)-INDEX(Calc!$AK$3:$AK$22,I171))))*(INDEX(Calc!$AK$3:$AK$22,I171+1)-INDEX(Calc!$AK$3:$AK$22,I171))*INDEX(Calc!$AP$3:$AP$22,I171)+(-2*((G171-INDEX(Calc!$AK$3:$AK$22,I171))/(INDEX(Calc!$AK$3:$AK$22,I171+1)-INDEX(Calc!$AK$3:$AK$22,I171)))^3+3*((G171-INDEX(Calc!$AK$3:$AK$22,I171))/(INDEX(Calc!$AK$3:$AK$22,I171+1)-INDEX(Calc!$AK$3:$AK$22,I171)))^2)*INDEX(Calc!$AL$3:$AL$22,I171+1)+(((G171-INDEX(Calc!$AK$3:$AK$22,I171))/(INDEX(Calc!$AK$3:$AK$22,I171+1)-INDEX(Calc!$AK$3:$AK$22,I171)))^3-((G171-INDEX(Calc!$AK$3:$AK$22,I171))/(INDEX(Calc!$AK$3:$AK$22,I171+1)-INDEX(Calc!$AK$3:$AK$22,I171)))^2)*(INDEX(Calc!$AK$3:$AK$22,I171+1)-INDEX(Calc!$AK$3:$AK$22,I171))*INDEX(Calc!$AQ$3:$AQ$22,I171),NA())</f>
        <v/>
      </c>
      <c r="I171">
        <f>IF(AND(k_gluOn,k_ng&gt;=2),MIN(k_ng-1,MAX(1,MATCH(G171,Calc!$AK$3:INDEX(Calc!$AK$3:$AK$22,k_ng),1))),1)</f>
        <v/>
      </c>
    </row>
    <row r="172">
      <c r="A172">
        <f>IF(k_ok,Grid!$B$847,NA())</f>
        <v/>
      </c>
      <c r="B172">
        <f>IF(k_ok,Grid!$Q$847,NA())</f>
        <v/>
      </c>
      <c r="C172">
        <f>IF(k_hrok,k_h0+k_h1*E172+k_h2*E172^2,NA())</f>
        <v/>
      </c>
      <c r="D172">
        <f>IF(k_ok,Grid!$Q$847/Grid!$B$847,NA())</f>
        <v/>
      </c>
      <c r="E172">
        <f>IF(k_hrok,k_hx0+(k_hx1-k_hx0)*169/200,NA())</f>
        <v/>
      </c>
      <c r="G172">
        <f>IF(AND(k_gluOn,k_ng&gt;=2),Calc!$AK$3+(INDEX(Calc!$AK$3:$AK$22,k_ng)-Calc!$AK$3)*169/200,NA())</f>
        <v/>
      </c>
      <c r="H172">
        <f>IF(AND(k_gluOn,k_ng&gt;=2),(2*((G172-INDEX(Calc!$AK$3:$AK$22,I172))/(INDEX(Calc!$AK$3:$AK$22,I172+1)-INDEX(Calc!$AK$3:$AK$22,I172)))^3-3*((G172-INDEX(Calc!$AK$3:$AK$22,I172))/(INDEX(Calc!$AK$3:$AK$22,I172+1)-INDEX(Calc!$AK$3:$AK$22,I172)))^2+1)*INDEX(Calc!$AL$3:$AL$22,I172)+(((G172-INDEX(Calc!$AK$3:$AK$22,I172))/(INDEX(Calc!$AK$3:$AK$22,I172+1)-INDEX(Calc!$AK$3:$AK$22,I172)))^3-2*((G172-INDEX(Calc!$AK$3:$AK$22,I172))/(INDEX(Calc!$AK$3:$AK$22,I172+1)-INDEX(Calc!$AK$3:$AK$22,I172)))^2+((G172-INDEX(Calc!$AK$3:$AK$22,I172))/(INDEX(Calc!$AK$3:$AK$22,I172+1)-INDEX(Calc!$AK$3:$AK$22,I172))))*(INDEX(Calc!$AK$3:$AK$22,I172+1)-INDEX(Calc!$AK$3:$AK$22,I172))*INDEX(Calc!$AP$3:$AP$22,I172)+(-2*((G172-INDEX(Calc!$AK$3:$AK$22,I172))/(INDEX(Calc!$AK$3:$AK$22,I172+1)-INDEX(Calc!$AK$3:$AK$22,I172)))^3+3*((G172-INDEX(Calc!$AK$3:$AK$22,I172))/(INDEX(Calc!$AK$3:$AK$22,I172+1)-INDEX(Calc!$AK$3:$AK$22,I172)))^2)*INDEX(Calc!$AL$3:$AL$22,I172+1)+(((G172-INDEX(Calc!$AK$3:$AK$22,I172))/(INDEX(Calc!$AK$3:$AK$22,I172+1)-INDEX(Calc!$AK$3:$AK$22,I172)))^3-((G172-INDEX(Calc!$AK$3:$AK$22,I172))/(INDEX(Calc!$AK$3:$AK$22,I172+1)-INDEX(Calc!$AK$3:$AK$22,I172)))^2)*(INDEX(Calc!$AK$3:$AK$22,I172+1)-INDEX(Calc!$AK$3:$AK$22,I172))*INDEX(Calc!$AQ$3:$AQ$22,I172),NA())</f>
        <v/>
      </c>
      <c r="I172">
        <f>IF(AND(k_gluOn,k_ng&gt;=2),MIN(k_ng-1,MAX(1,MATCH(G172,Calc!$AK$3:INDEX(Calc!$AK$3:$AK$22,k_ng),1))),1)</f>
        <v/>
      </c>
    </row>
    <row r="173">
      <c r="A173">
        <f>IF(k_ok,Grid!$B$852,NA())</f>
        <v/>
      </c>
      <c r="B173">
        <f>IF(k_ok,Grid!$Q$852,NA())</f>
        <v/>
      </c>
      <c r="C173">
        <f>IF(k_hrok,k_h0+k_h1*E173+k_h2*E173^2,NA())</f>
        <v/>
      </c>
      <c r="D173">
        <f>IF(k_ok,Grid!$Q$852/Grid!$B$852,NA())</f>
        <v/>
      </c>
      <c r="E173">
        <f>IF(k_hrok,k_hx0+(k_hx1-k_hx0)*170/200,NA())</f>
        <v/>
      </c>
      <c r="G173">
        <f>IF(AND(k_gluOn,k_ng&gt;=2),Calc!$AK$3+(INDEX(Calc!$AK$3:$AK$22,k_ng)-Calc!$AK$3)*170/200,NA())</f>
        <v/>
      </c>
      <c r="H173">
        <f>IF(AND(k_gluOn,k_ng&gt;=2),(2*((G173-INDEX(Calc!$AK$3:$AK$22,I173))/(INDEX(Calc!$AK$3:$AK$22,I173+1)-INDEX(Calc!$AK$3:$AK$22,I173)))^3-3*((G173-INDEX(Calc!$AK$3:$AK$22,I173))/(INDEX(Calc!$AK$3:$AK$22,I173+1)-INDEX(Calc!$AK$3:$AK$22,I173)))^2+1)*INDEX(Calc!$AL$3:$AL$22,I173)+(((G173-INDEX(Calc!$AK$3:$AK$22,I173))/(INDEX(Calc!$AK$3:$AK$22,I173+1)-INDEX(Calc!$AK$3:$AK$22,I173)))^3-2*((G173-INDEX(Calc!$AK$3:$AK$22,I173))/(INDEX(Calc!$AK$3:$AK$22,I173+1)-INDEX(Calc!$AK$3:$AK$22,I173)))^2+((G173-INDEX(Calc!$AK$3:$AK$22,I173))/(INDEX(Calc!$AK$3:$AK$22,I173+1)-INDEX(Calc!$AK$3:$AK$22,I173))))*(INDEX(Calc!$AK$3:$AK$22,I173+1)-INDEX(Calc!$AK$3:$AK$22,I173))*INDEX(Calc!$AP$3:$AP$22,I173)+(-2*((G173-INDEX(Calc!$AK$3:$AK$22,I173))/(INDEX(Calc!$AK$3:$AK$22,I173+1)-INDEX(Calc!$AK$3:$AK$22,I173)))^3+3*((G173-INDEX(Calc!$AK$3:$AK$22,I173))/(INDEX(Calc!$AK$3:$AK$22,I173+1)-INDEX(Calc!$AK$3:$AK$22,I173)))^2)*INDEX(Calc!$AL$3:$AL$22,I173+1)+(((G173-INDEX(Calc!$AK$3:$AK$22,I173))/(INDEX(Calc!$AK$3:$AK$22,I173+1)-INDEX(Calc!$AK$3:$AK$22,I173)))^3-((G173-INDEX(Calc!$AK$3:$AK$22,I173))/(INDEX(Calc!$AK$3:$AK$22,I173+1)-INDEX(Calc!$AK$3:$AK$22,I173)))^2)*(INDEX(Calc!$AK$3:$AK$22,I173+1)-INDEX(Calc!$AK$3:$AK$22,I173))*INDEX(Calc!$AQ$3:$AQ$22,I173),NA())</f>
        <v/>
      </c>
      <c r="I173">
        <f>IF(AND(k_gluOn,k_ng&gt;=2),MIN(k_ng-1,MAX(1,MATCH(G173,Calc!$AK$3:INDEX(Calc!$AK$3:$AK$22,k_ng),1))),1)</f>
        <v/>
      </c>
    </row>
    <row r="174">
      <c r="A174">
        <f>IF(k_ok,Grid!$B$857,NA())</f>
        <v/>
      </c>
      <c r="B174">
        <f>IF(k_ok,Grid!$Q$857,NA())</f>
        <v/>
      </c>
      <c r="C174">
        <f>IF(k_hrok,k_h0+k_h1*E174+k_h2*E174^2,NA())</f>
        <v/>
      </c>
      <c r="D174">
        <f>IF(k_ok,Grid!$Q$857/Grid!$B$857,NA())</f>
        <v/>
      </c>
      <c r="E174">
        <f>IF(k_hrok,k_hx0+(k_hx1-k_hx0)*171/200,NA())</f>
        <v/>
      </c>
      <c r="G174">
        <f>IF(AND(k_gluOn,k_ng&gt;=2),Calc!$AK$3+(INDEX(Calc!$AK$3:$AK$22,k_ng)-Calc!$AK$3)*171/200,NA())</f>
        <v/>
      </c>
      <c r="H174">
        <f>IF(AND(k_gluOn,k_ng&gt;=2),(2*((G174-INDEX(Calc!$AK$3:$AK$22,I174))/(INDEX(Calc!$AK$3:$AK$22,I174+1)-INDEX(Calc!$AK$3:$AK$22,I174)))^3-3*((G174-INDEX(Calc!$AK$3:$AK$22,I174))/(INDEX(Calc!$AK$3:$AK$22,I174+1)-INDEX(Calc!$AK$3:$AK$22,I174)))^2+1)*INDEX(Calc!$AL$3:$AL$22,I174)+(((G174-INDEX(Calc!$AK$3:$AK$22,I174))/(INDEX(Calc!$AK$3:$AK$22,I174+1)-INDEX(Calc!$AK$3:$AK$22,I174)))^3-2*((G174-INDEX(Calc!$AK$3:$AK$22,I174))/(INDEX(Calc!$AK$3:$AK$22,I174+1)-INDEX(Calc!$AK$3:$AK$22,I174)))^2+((G174-INDEX(Calc!$AK$3:$AK$22,I174))/(INDEX(Calc!$AK$3:$AK$22,I174+1)-INDEX(Calc!$AK$3:$AK$22,I174))))*(INDEX(Calc!$AK$3:$AK$22,I174+1)-INDEX(Calc!$AK$3:$AK$22,I174))*INDEX(Calc!$AP$3:$AP$22,I174)+(-2*((G174-INDEX(Calc!$AK$3:$AK$22,I174))/(INDEX(Calc!$AK$3:$AK$22,I174+1)-INDEX(Calc!$AK$3:$AK$22,I174)))^3+3*((G174-INDEX(Calc!$AK$3:$AK$22,I174))/(INDEX(Calc!$AK$3:$AK$22,I174+1)-INDEX(Calc!$AK$3:$AK$22,I174)))^2)*INDEX(Calc!$AL$3:$AL$22,I174+1)+(((G174-INDEX(Calc!$AK$3:$AK$22,I174))/(INDEX(Calc!$AK$3:$AK$22,I174+1)-INDEX(Calc!$AK$3:$AK$22,I174)))^3-((G174-INDEX(Calc!$AK$3:$AK$22,I174))/(INDEX(Calc!$AK$3:$AK$22,I174+1)-INDEX(Calc!$AK$3:$AK$22,I174)))^2)*(INDEX(Calc!$AK$3:$AK$22,I174+1)-INDEX(Calc!$AK$3:$AK$22,I174))*INDEX(Calc!$AQ$3:$AQ$22,I174),NA())</f>
        <v/>
      </c>
      <c r="I174">
        <f>IF(AND(k_gluOn,k_ng&gt;=2),MIN(k_ng-1,MAX(1,MATCH(G174,Calc!$AK$3:INDEX(Calc!$AK$3:$AK$22,k_ng),1))),1)</f>
        <v/>
      </c>
    </row>
    <row r="175">
      <c r="A175">
        <f>IF(k_ok,Grid!$B$862,NA())</f>
        <v/>
      </c>
      <c r="B175">
        <f>IF(k_ok,Grid!$Q$862,NA())</f>
        <v/>
      </c>
      <c r="C175">
        <f>IF(k_hrok,k_h0+k_h1*E175+k_h2*E175^2,NA())</f>
        <v/>
      </c>
      <c r="D175">
        <f>IF(k_ok,Grid!$Q$862/Grid!$B$862,NA())</f>
        <v/>
      </c>
      <c r="E175">
        <f>IF(k_hrok,k_hx0+(k_hx1-k_hx0)*172/200,NA())</f>
        <v/>
      </c>
      <c r="G175">
        <f>IF(AND(k_gluOn,k_ng&gt;=2),Calc!$AK$3+(INDEX(Calc!$AK$3:$AK$22,k_ng)-Calc!$AK$3)*172/200,NA())</f>
        <v/>
      </c>
      <c r="H175">
        <f>IF(AND(k_gluOn,k_ng&gt;=2),(2*((G175-INDEX(Calc!$AK$3:$AK$22,I175))/(INDEX(Calc!$AK$3:$AK$22,I175+1)-INDEX(Calc!$AK$3:$AK$22,I175)))^3-3*((G175-INDEX(Calc!$AK$3:$AK$22,I175))/(INDEX(Calc!$AK$3:$AK$22,I175+1)-INDEX(Calc!$AK$3:$AK$22,I175)))^2+1)*INDEX(Calc!$AL$3:$AL$22,I175)+(((G175-INDEX(Calc!$AK$3:$AK$22,I175))/(INDEX(Calc!$AK$3:$AK$22,I175+1)-INDEX(Calc!$AK$3:$AK$22,I175)))^3-2*((G175-INDEX(Calc!$AK$3:$AK$22,I175))/(INDEX(Calc!$AK$3:$AK$22,I175+1)-INDEX(Calc!$AK$3:$AK$22,I175)))^2+((G175-INDEX(Calc!$AK$3:$AK$22,I175))/(INDEX(Calc!$AK$3:$AK$22,I175+1)-INDEX(Calc!$AK$3:$AK$22,I175))))*(INDEX(Calc!$AK$3:$AK$22,I175+1)-INDEX(Calc!$AK$3:$AK$22,I175))*INDEX(Calc!$AP$3:$AP$22,I175)+(-2*((G175-INDEX(Calc!$AK$3:$AK$22,I175))/(INDEX(Calc!$AK$3:$AK$22,I175+1)-INDEX(Calc!$AK$3:$AK$22,I175)))^3+3*((G175-INDEX(Calc!$AK$3:$AK$22,I175))/(INDEX(Calc!$AK$3:$AK$22,I175+1)-INDEX(Calc!$AK$3:$AK$22,I175)))^2)*INDEX(Calc!$AL$3:$AL$22,I175+1)+(((G175-INDEX(Calc!$AK$3:$AK$22,I175))/(INDEX(Calc!$AK$3:$AK$22,I175+1)-INDEX(Calc!$AK$3:$AK$22,I175)))^3-((G175-INDEX(Calc!$AK$3:$AK$22,I175))/(INDEX(Calc!$AK$3:$AK$22,I175+1)-INDEX(Calc!$AK$3:$AK$22,I175)))^2)*(INDEX(Calc!$AK$3:$AK$22,I175+1)-INDEX(Calc!$AK$3:$AK$22,I175))*INDEX(Calc!$AQ$3:$AQ$22,I175),NA())</f>
        <v/>
      </c>
      <c r="I175">
        <f>IF(AND(k_gluOn,k_ng&gt;=2),MIN(k_ng-1,MAX(1,MATCH(G175,Calc!$AK$3:INDEX(Calc!$AK$3:$AK$22,k_ng),1))),1)</f>
        <v/>
      </c>
    </row>
    <row r="176">
      <c r="A176">
        <f>IF(k_ok,Grid!$B$867,NA())</f>
        <v/>
      </c>
      <c r="B176">
        <f>IF(k_ok,Grid!$Q$867,NA())</f>
        <v/>
      </c>
      <c r="C176">
        <f>IF(k_hrok,k_h0+k_h1*E176+k_h2*E176^2,NA())</f>
        <v/>
      </c>
      <c r="D176">
        <f>IF(k_ok,Grid!$Q$867/Grid!$B$867,NA())</f>
        <v/>
      </c>
      <c r="E176">
        <f>IF(k_hrok,k_hx0+(k_hx1-k_hx0)*173/200,NA())</f>
        <v/>
      </c>
      <c r="G176">
        <f>IF(AND(k_gluOn,k_ng&gt;=2),Calc!$AK$3+(INDEX(Calc!$AK$3:$AK$22,k_ng)-Calc!$AK$3)*173/200,NA())</f>
        <v/>
      </c>
      <c r="H176">
        <f>IF(AND(k_gluOn,k_ng&gt;=2),(2*((G176-INDEX(Calc!$AK$3:$AK$22,I176))/(INDEX(Calc!$AK$3:$AK$22,I176+1)-INDEX(Calc!$AK$3:$AK$22,I176)))^3-3*((G176-INDEX(Calc!$AK$3:$AK$22,I176))/(INDEX(Calc!$AK$3:$AK$22,I176+1)-INDEX(Calc!$AK$3:$AK$22,I176)))^2+1)*INDEX(Calc!$AL$3:$AL$22,I176)+(((G176-INDEX(Calc!$AK$3:$AK$22,I176))/(INDEX(Calc!$AK$3:$AK$22,I176+1)-INDEX(Calc!$AK$3:$AK$22,I176)))^3-2*((G176-INDEX(Calc!$AK$3:$AK$22,I176))/(INDEX(Calc!$AK$3:$AK$22,I176+1)-INDEX(Calc!$AK$3:$AK$22,I176)))^2+((G176-INDEX(Calc!$AK$3:$AK$22,I176))/(INDEX(Calc!$AK$3:$AK$22,I176+1)-INDEX(Calc!$AK$3:$AK$22,I176))))*(INDEX(Calc!$AK$3:$AK$22,I176+1)-INDEX(Calc!$AK$3:$AK$22,I176))*INDEX(Calc!$AP$3:$AP$22,I176)+(-2*((G176-INDEX(Calc!$AK$3:$AK$22,I176))/(INDEX(Calc!$AK$3:$AK$22,I176+1)-INDEX(Calc!$AK$3:$AK$22,I176)))^3+3*((G176-INDEX(Calc!$AK$3:$AK$22,I176))/(INDEX(Calc!$AK$3:$AK$22,I176+1)-INDEX(Calc!$AK$3:$AK$22,I176)))^2)*INDEX(Calc!$AL$3:$AL$22,I176+1)+(((G176-INDEX(Calc!$AK$3:$AK$22,I176))/(INDEX(Calc!$AK$3:$AK$22,I176+1)-INDEX(Calc!$AK$3:$AK$22,I176)))^3-((G176-INDEX(Calc!$AK$3:$AK$22,I176))/(INDEX(Calc!$AK$3:$AK$22,I176+1)-INDEX(Calc!$AK$3:$AK$22,I176)))^2)*(INDEX(Calc!$AK$3:$AK$22,I176+1)-INDEX(Calc!$AK$3:$AK$22,I176))*INDEX(Calc!$AQ$3:$AQ$22,I176),NA())</f>
        <v/>
      </c>
      <c r="I176">
        <f>IF(AND(k_gluOn,k_ng&gt;=2),MIN(k_ng-1,MAX(1,MATCH(G176,Calc!$AK$3:INDEX(Calc!$AK$3:$AK$22,k_ng),1))),1)</f>
        <v/>
      </c>
    </row>
    <row r="177">
      <c r="A177">
        <f>IF(k_ok,Grid!$B$872,NA())</f>
        <v/>
      </c>
      <c r="B177">
        <f>IF(k_ok,Grid!$Q$872,NA())</f>
        <v/>
      </c>
      <c r="C177">
        <f>IF(k_hrok,k_h0+k_h1*E177+k_h2*E177^2,NA())</f>
        <v/>
      </c>
      <c r="D177">
        <f>IF(k_ok,Grid!$Q$872/Grid!$B$872,NA())</f>
        <v/>
      </c>
      <c r="E177">
        <f>IF(k_hrok,k_hx0+(k_hx1-k_hx0)*174/200,NA())</f>
        <v/>
      </c>
      <c r="G177">
        <f>IF(AND(k_gluOn,k_ng&gt;=2),Calc!$AK$3+(INDEX(Calc!$AK$3:$AK$22,k_ng)-Calc!$AK$3)*174/200,NA())</f>
        <v/>
      </c>
      <c r="H177">
        <f>IF(AND(k_gluOn,k_ng&gt;=2),(2*((G177-INDEX(Calc!$AK$3:$AK$22,I177))/(INDEX(Calc!$AK$3:$AK$22,I177+1)-INDEX(Calc!$AK$3:$AK$22,I177)))^3-3*((G177-INDEX(Calc!$AK$3:$AK$22,I177))/(INDEX(Calc!$AK$3:$AK$22,I177+1)-INDEX(Calc!$AK$3:$AK$22,I177)))^2+1)*INDEX(Calc!$AL$3:$AL$22,I177)+(((G177-INDEX(Calc!$AK$3:$AK$22,I177))/(INDEX(Calc!$AK$3:$AK$22,I177+1)-INDEX(Calc!$AK$3:$AK$22,I177)))^3-2*((G177-INDEX(Calc!$AK$3:$AK$22,I177))/(INDEX(Calc!$AK$3:$AK$22,I177+1)-INDEX(Calc!$AK$3:$AK$22,I177)))^2+((G177-INDEX(Calc!$AK$3:$AK$22,I177))/(INDEX(Calc!$AK$3:$AK$22,I177+1)-INDEX(Calc!$AK$3:$AK$22,I177))))*(INDEX(Calc!$AK$3:$AK$22,I177+1)-INDEX(Calc!$AK$3:$AK$22,I177))*INDEX(Calc!$AP$3:$AP$22,I177)+(-2*((G177-INDEX(Calc!$AK$3:$AK$22,I177))/(INDEX(Calc!$AK$3:$AK$22,I177+1)-INDEX(Calc!$AK$3:$AK$22,I177)))^3+3*((G177-INDEX(Calc!$AK$3:$AK$22,I177))/(INDEX(Calc!$AK$3:$AK$22,I177+1)-INDEX(Calc!$AK$3:$AK$22,I177)))^2)*INDEX(Calc!$AL$3:$AL$22,I177+1)+(((G177-INDEX(Calc!$AK$3:$AK$22,I177))/(INDEX(Calc!$AK$3:$AK$22,I177+1)-INDEX(Calc!$AK$3:$AK$22,I177)))^3-((G177-INDEX(Calc!$AK$3:$AK$22,I177))/(INDEX(Calc!$AK$3:$AK$22,I177+1)-INDEX(Calc!$AK$3:$AK$22,I177)))^2)*(INDEX(Calc!$AK$3:$AK$22,I177+1)-INDEX(Calc!$AK$3:$AK$22,I177))*INDEX(Calc!$AQ$3:$AQ$22,I177),NA())</f>
        <v/>
      </c>
      <c r="I177">
        <f>IF(AND(k_gluOn,k_ng&gt;=2),MIN(k_ng-1,MAX(1,MATCH(G177,Calc!$AK$3:INDEX(Calc!$AK$3:$AK$22,k_ng),1))),1)</f>
        <v/>
      </c>
    </row>
    <row r="178">
      <c r="A178">
        <f>IF(k_ok,Grid!$B$877,NA())</f>
        <v/>
      </c>
      <c r="B178">
        <f>IF(k_ok,Grid!$Q$877,NA())</f>
        <v/>
      </c>
      <c r="C178">
        <f>IF(k_hrok,k_h0+k_h1*E178+k_h2*E178^2,NA())</f>
        <v/>
      </c>
      <c r="D178">
        <f>IF(k_ok,Grid!$Q$877/Grid!$B$877,NA())</f>
        <v/>
      </c>
      <c r="E178">
        <f>IF(k_hrok,k_hx0+(k_hx1-k_hx0)*175/200,NA())</f>
        <v/>
      </c>
      <c r="G178">
        <f>IF(AND(k_gluOn,k_ng&gt;=2),Calc!$AK$3+(INDEX(Calc!$AK$3:$AK$22,k_ng)-Calc!$AK$3)*175/200,NA())</f>
        <v/>
      </c>
      <c r="H178">
        <f>IF(AND(k_gluOn,k_ng&gt;=2),(2*((G178-INDEX(Calc!$AK$3:$AK$22,I178))/(INDEX(Calc!$AK$3:$AK$22,I178+1)-INDEX(Calc!$AK$3:$AK$22,I178)))^3-3*((G178-INDEX(Calc!$AK$3:$AK$22,I178))/(INDEX(Calc!$AK$3:$AK$22,I178+1)-INDEX(Calc!$AK$3:$AK$22,I178)))^2+1)*INDEX(Calc!$AL$3:$AL$22,I178)+(((G178-INDEX(Calc!$AK$3:$AK$22,I178))/(INDEX(Calc!$AK$3:$AK$22,I178+1)-INDEX(Calc!$AK$3:$AK$22,I178)))^3-2*((G178-INDEX(Calc!$AK$3:$AK$22,I178))/(INDEX(Calc!$AK$3:$AK$22,I178+1)-INDEX(Calc!$AK$3:$AK$22,I178)))^2+((G178-INDEX(Calc!$AK$3:$AK$22,I178))/(INDEX(Calc!$AK$3:$AK$22,I178+1)-INDEX(Calc!$AK$3:$AK$22,I178))))*(INDEX(Calc!$AK$3:$AK$22,I178+1)-INDEX(Calc!$AK$3:$AK$22,I178))*INDEX(Calc!$AP$3:$AP$22,I178)+(-2*((G178-INDEX(Calc!$AK$3:$AK$22,I178))/(INDEX(Calc!$AK$3:$AK$22,I178+1)-INDEX(Calc!$AK$3:$AK$22,I178)))^3+3*((G178-INDEX(Calc!$AK$3:$AK$22,I178))/(INDEX(Calc!$AK$3:$AK$22,I178+1)-INDEX(Calc!$AK$3:$AK$22,I178)))^2)*INDEX(Calc!$AL$3:$AL$22,I178+1)+(((G178-INDEX(Calc!$AK$3:$AK$22,I178))/(INDEX(Calc!$AK$3:$AK$22,I178+1)-INDEX(Calc!$AK$3:$AK$22,I178)))^3-((G178-INDEX(Calc!$AK$3:$AK$22,I178))/(INDEX(Calc!$AK$3:$AK$22,I178+1)-INDEX(Calc!$AK$3:$AK$22,I178)))^2)*(INDEX(Calc!$AK$3:$AK$22,I178+1)-INDEX(Calc!$AK$3:$AK$22,I178))*INDEX(Calc!$AQ$3:$AQ$22,I178),NA())</f>
        <v/>
      </c>
      <c r="I178">
        <f>IF(AND(k_gluOn,k_ng&gt;=2),MIN(k_ng-1,MAX(1,MATCH(G178,Calc!$AK$3:INDEX(Calc!$AK$3:$AK$22,k_ng),1))),1)</f>
        <v/>
      </c>
    </row>
    <row r="179">
      <c r="A179">
        <f>IF(k_ok,Grid!$B$882,NA())</f>
        <v/>
      </c>
      <c r="B179">
        <f>IF(k_ok,Grid!$Q$882,NA())</f>
        <v/>
      </c>
      <c r="C179">
        <f>IF(k_hrok,k_h0+k_h1*E179+k_h2*E179^2,NA())</f>
        <v/>
      </c>
      <c r="D179">
        <f>IF(k_ok,Grid!$Q$882/Grid!$B$882,NA())</f>
        <v/>
      </c>
      <c r="E179">
        <f>IF(k_hrok,k_hx0+(k_hx1-k_hx0)*176/200,NA())</f>
        <v/>
      </c>
      <c r="G179">
        <f>IF(AND(k_gluOn,k_ng&gt;=2),Calc!$AK$3+(INDEX(Calc!$AK$3:$AK$22,k_ng)-Calc!$AK$3)*176/200,NA())</f>
        <v/>
      </c>
      <c r="H179">
        <f>IF(AND(k_gluOn,k_ng&gt;=2),(2*((G179-INDEX(Calc!$AK$3:$AK$22,I179))/(INDEX(Calc!$AK$3:$AK$22,I179+1)-INDEX(Calc!$AK$3:$AK$22,I179)))^3-3*((G179-INDEX(Calc!$AK$3:$AK$22,I179))/(INDEX(Calc!$AK$3:$AK$22,I179+1)-INDEX(Calc!$AK$3:$AK$22,I179)))^2+1)*INDEX(Calc!$AL$3:$AL$22,I179)+(((G179-INDEX(Calc!$AK$3:$AK$22,I179))/(INDEX(Calc!$AK$3:$AK$22,I179+1)-INDEX(Calc!$AK$3:$AK$22,I179)))^3-2*((G179-INDEX(Calc!$AK$3:$AK$22,I179))/(INDEX(Calc!$AK$3:$AK$22,I179+1)-INDEX(Calc!$AK$3:$AK$22,I179)))^2+((G179-INDEX(Calc!$AK$3:$AK$22,I179))/(INDEX(Calc!$AK$3:$AK$22,I179+1)-INDEX(Calc!$AK$3:$AK$22,I179))))*(INDEX(Calc!$AK$3:$AK$22,I179+1)-INDEX(Calc!$AK$3:$AK$22,I179))*INDEX(Calc!$AP$3:$AP$22,I179)+(-2*((G179-INDEX(Calc!$AK$3:$AK$22,I179))/(INDEX(Calc!$AK$3:$AK$22,I179+1)-INDEX(Calc!$AK$3:$AK$22,I179)))^3+3*((G179-INDEX(Calc!$AK$3:$AK$22,I179))/(INDEX(Calc!$AK$3:$AK$22,I179+1)-INDEX(Calc!$AK$3:$AK$22,I179)))^2)*INDEX(Calc!$AL$3:$AL$22,I179+1)+(((G179-INDEX(Calc!$AK$3:$AK$22,I179))/(INDEX(Calc!$AK$3:$AK$22,I179+1)-INDEX(Calc!$AK$3:$AK$22,I179)))^3-((G179-INDEX(Calc!$AK$3:$AK$22,I179))/(INDEX(Calc!$AK$3:$AK$22,I179+1)-INDEX(Calc!$AK$3:$AK$22,I179)))^2)*(INDEX(Calc!$AK$3:$AK$22,I179+1)-INDEX(Calc!$AK$3:$AK$22,I179))*INDEX(Calc!$AQ$3:$AQ$22,I179),NA())</f>
        <v/>
      </c>
      <c r="I179">
        <f>IF(AND(k_gluOn,k_ng&gt;=2),MIN(k_ng-1,MAX(1,MATCH(G179,Calc!$AK$3:INDEX(Calc!$AK$3:$AK$22,k_ng),1))),1)</f>
        <v/>
      </c>
    </row>
    <row r="180">
      <c r="A180">
        <f>IF(k_ok,Grid!$B$887,NA())</f>
        <v/>
      </c>
      <c r="B180">
        <f>IF(k_ok,Grid!$Q$887,NA())</f>
        <v/>
      </c>
      <c r="C180">
        <f>IF(k_hrok,k_h0+k_h1*E180+k_h2*E180^2,NA())</f>
        <v/>
      </c>
      <c r="D180">
        <f>IF(k_ok,Grid!$Q$887/Grid!$B$887,NA())</f>
        <v/>
      </c>
      <c r="E180">
        <f>IF(k_hrok,k_hx0+(k_hx1-k_hx0)*177/200,NA())</f>
        <v/>
      </c>
      <c r="G180">
        <f>IF(AND(k_gluOn,k_ng&gt;=2),Calc!$AK$3+(INDEX(Calc!$AK$3:$AK$22,k_ng)-Calc!$AK$3)*177/200,NA())</f>
        <v/>
      </c>
      <c r="H180">
        <f>IF(AND(k_gluOn,k_ng&gt;=2),(2*((G180-INDEX(Calc!$AK$3:$AK$22,I180))/(INDEX(Calc!$AK$3:$AK$22,I180+1)-INDEX(Calc!$AK$3:$AK$22,I180)))^3-3*((G180-INDEX(Calc!$AK$3:$AK$22,I180))/(INDEX(Calc!$AK$3:$AK$22,I180+1)-INDEX(Calc!$AK$3:$AK$22,I180)))^2+1)*INDEX(Calc!$AL$3:$AL$22,I180)+(((G180-INDEX(Calc!$AK$3:$AK$22,I180))/(INDEX(Calc!$AK$3:$AK$22,I180+1)-INDEX(Calc!$AK$3:$AK$22,I180)))^3-2*((G180-INDEX(Calc!$AK$3:$AK$22,I180))/(INDEX(Calc!$AK$3:$AK$22,I180+1)-INDEX(Calc!$AK$3:$AK$22,I180)))^2+((G180-INDEX(Calc!$AK$3:$AK$22,I180))/(INDEX(Calc!$AK$3:$AK$22,I180+1)-INDEX(Calc!$AK$3:$AK$22,I180))))*(INDEX(Calc!$AK$3:$AK$22,I180+1)-INDEX(Calc!$AK$3:$AK$22,I180))*INDEX(Calc!$AP$3:$AP$22,I180)+(-2*((G180-INDEX(Calc!$AK$3:$AK$22,I180))/(INDEX(Calc!$AK$3:$AK$22,I180+1)-INDEX(Calc!$AK$3:$AK$22,I180)))^3+3*((G180-INDEX(Calc!$AK$3:$AK$22,I180))/(INDEX(Calc!$AK$3:$AK$22,I180+1)-INDEX(Calc!$AK$3:$AK$22,I180)))^2)*INDEX(Calc!$AL$3:$AL$22,I180+1)+(((G180-INDEX(Calc!$AK$3:$AK$22,I180))/(INDEX(Calc!$AK$3:$AK$22,I180+1)-INDEX(Calc!$AK$3:$AK$22,I180)))^3-((G180-INDEX(Calc!$AK$3:$AK$22,I180))/(INDEX(Calc!$AK$3:$AK$22,I180+1)-INDEX(Calc!$AK$3:$AK$22,I180)))^2)*(INDEX(Calc!$AK$3:$AK$22,I180+1)-INDEX(Calc!$AK$3:$AK$22,I180))*INDEX(Calc!$AQ$3:$AQ$22,I180),NA())</f>
        <v/>
      </c>
      <c r="I180">
        <f>IF(AND(k_gluOn,k_ng&gt;=2),MIN(k_ng-1,MAX(1,MATCH(G180,Calc!$AK$3:INDEX(Calc!$AK$3:$AK$22,k_ng),1))),1)</f>
        <v/>
      </c>
    </row>
    <row r="181">
      <c r="A181">
        <f>IF(k_ok,Grid!$B$892,NA())</f>
        <v/>
      </c>
      <c r="B181">
        <f>IF(k_ok,Grid!$Q$892,NA())</f>
        <v/>
      </c>
      <c r="C181">
        <f>IF(k_hrok,k_h0+k_h1*E181+k_h2*E181^2,NA())</f>
        <v/>
      </c>
      <c r="D181">
        <f>IF(k_ok,Grid!$Q$892/Grid!$B$892,NA())</f>
        <v/>
      </c>
      <c r="E181">
        <f>IF(k_hrok,k_hx0+(k_hx1-k_hx0)*178/200,NA())</f>
        <v/>
      </c>
      <c r="G181">
        <f>IF(AND(k_gluOn,k_ng&gt;=2),Calc!$AK$3+(INDEX(Calc!$AK$3:$AK$22,k_ng)-Calc!$AK$3)*178/200,NA())</f>
        <v/>
      </c>
      <c r="H181">
        <f>IF(AND(k_gluOn,k_ng&gt;=2),(2*((G181-INDEX(Calc!$AK$3:$AK$22,I181))/(INDEX(Calc!$AK$3:$AK$22,I181+1)-INDEX(Calc!$AK$3:$AK$22,I181)))^3-3*((G181-INDEX(Calc!$AK$3:$AK$22,I181))/(INDEX(Calc!$AK$3:$AK$22,I181+1)-INDEX(Calc!$AK$3:$AK$22,I181)))^2+1)*INDEX(Calc!$AL$3:$AL$22,I181)+(((G181-INDEX(Calc!$AK$3:$AK$22,I181))/(INDEX(Calc!$AK$3:$AK$22,I181+1)-INDEX(Calc!$AK$3:$AK$22,I181)))^3-2*((G181-INDEX(Calc!$AK$3:$AK$22,I181))/(INDEX(Calc!$AK$3:$AK$22,I181+1)-INDEX(Calc!$AK$3:$AK$22,I181)))^2+((G181-INDEX(Calc!$AK$3:$AK$22,I181))/(INDEX(Calc!$AK$3:$AK$22,I181+1)-INDEX(Calc!$AK$3:$AK$22,I181))))*(INDEX(Calc!$AK$3:$AK$22,I181+1)-INDEX(Calc!$AK$3:$AK$22,I181))*INDEX(Calc!$AP$3:$AP$22,I181)+(-2*((G181-INDEX(Calc!$AK$3:$AK$22,I181))/(INDEX(Calc!$AK$3:$AK$22,I181+1)-INDEX(Calc!$AK$3:$AK$22,I181)))^3+3*((G181-INDEX(Calc!$AK$3:$AK$22,I181))/(INDEX(Calc!$AK$3:$AK$22,I181+1)-INDEX(Calc!$AK$3:$AK$22,I181)))^2)*INDEX(Calc!$AL$3:$AL$22,I181+1)+(((G181-INDEX(Calc!$AK$3:$AK$22,I181))/(INDEX(Calc!$AK$3:$AK$22,I181+1)-INDEX(Calc!$AK$3:$AK$22,I181)))^3-((G181-INDEX(Calc!$AK$3:$AK$22,I181))/(INDEX(Calc!$AK$3:$AK$22,I181+1)-INDEX(Calc!$AK$3:$AK$22,I181)))^2)*(INDEX(Calc!$AK$3:$AK$22,I181+1)-INDEX(Calc!$AK$3:$AK$22,I181))*INDEX(Calc!$AQ$3:$AQ$22,I181),NA())</f>
        <v/>
      </c>
      <c r="I181">
        <f>IF(AND(k_gluOn,k_ng&gt;=2),MIN(k_ng-1,MAX(1,MATCH(G181,Calc!$AK$3:INDEX(Calc!$AK$3:$AK$22,k_ng),1))),1)</f>
        <v/>
      </c>
    </row>
    <row r="182">
      <c r="A182">
        <f>IF(k_ok,Grid!$B$897,NA())</f>
        <v/>
      </c>
      <c r="B182">
        <f>IF(k_ok,Grid!$Q$897,NA())</f>
        <v/>
      </c>
      <c r="C182">
        <f>IF(k_hrok,k_h0+k_h1*E182+k_h2*E182^2,NA())</f>
        <v/>
      </c>
      <c r="D182">
        <f>IF(k_ok,Grid!$Q$897/Grid!$B$897,NA())</f>
        <v/>
      </c>
      <c r="E182">
        <f>IF(k_hrok,k_hx0+(k_hx1-k_hx0)*179/200,NA())</f>
        <v/>
      </c>
      <c r="G182">
        <f>IF(AND(k_gluOn,k_ng&gt;=2),Calc!$AK$3+(INDEX(Calc!$AK$3:$AK$22,k_ng)-Calc!$AK$3)*179/200,NA())</f>
        <v/>
      </c>
      <c r="H182">
        <f>IF(AND(k_gluOn,k_ng&gt;=2),(2*((G182-INDEX(Calc!$AK$3:$AK$22,I182))/(INDEX(Calc!$AK$3:$AK$22,I182+1)-INDEX(Calc!$AK$3:$AK$22,I182)))^3-3*((G182-INDEX(Calc!$AK$3:$AK$22,I182))/(INDEX(Calc!$AK$3:$AK$22,I182+1)-INDEX(Calc!$AK$3:$AK$22,I182)))^2+1)*INDEX(Calc!$AL$3:$AL$22,I182)+(((G182-INDEX(Calc!$AK$3:$AK$22,I182))/(INDEX(Calc!$AK$3:$AK$22,I182+1)-INDEX(Calc!$AK$3:$AK$22,I182)))^3-2*((G182-INDEX(Calc!$AK$3:$AK$22,I182))/(INDEX(Calc!$AK$3:$AK$22,I182+1)-INDEX(Calc!$AK$3:$AK$22,I182)))^2+((G182-INDEX(Calc!$AK$3:$AK$22,I182))/(INDEX(Calc!$AK$3:$AK$22,I182+1)-INDEX(Calc!$AK$3:$AK$22,I182))))*(INDEX(Calc!$AK$3:$AK$22,I182+1)-INDEX(Calc!$AK$3:$AK$22,I182))*INDEX(Calc!$AP$3:$AP$22,I182)+(-2*((G182-INDEX(Calc!$AK$3:$AK$22,I182))/(INDEX(Calc!$AK$3:$AK$22,I182+1)-INDEX(Calc!$AK$3:$AK$22,I182)))^3+3*((G182-INDEX(Calc!$AK$3:$AK$22,I182))/(INDEX(Calc!$AK$3:$AK$22,I182+1)-INDEX(Calc!$AK$3:$AK$22,I182)))^2)*INDEX(Calc!$AL$3:$AL$22,I182+1)+(((G182-INDEX(Calc!$AK$3:$AK$22,I182))/(INDEX(Calc!$AK$3:$AK$22,I182+1)-INDEX(Calc!$AK$3:$AK$22,I182)))^3-((G182-INDEX(Calc!$AK$3:$AK$22,I182))/(INDEX(Calc!$AK$3:$AK$22,I182+1)-INDEX(Calc!$AK$3:$AK$22,I182)))^2)*(INDEX(Calc!$AK$3:$AK$22,I182+1)-INDEX(Calc!$AK$3:$AK$22,I182))*INDEX(Calc!$AQ$3:$AQ$22,I182),NA())</f>
        <v/>
      </c>
      <c r="I182">
        <f>IF(AND(k_gluOn,k_ng&gt;=2),MIN(k_ng-1,MAX(1,MATCH(G182,Calc!$AK$3:INDEX(Calc!$AK$3:$AK$22,k_ng),1))),1)</f>
        <v/>
      </c>
    </row>
    <row r="183">
      <c r="A183">
        <f>IF(k_ok,Grid!$B$902,NA())</f>
        <v/>
      </c>
      <c r="B183">
        <f>IF(k_ok,Grid!$Q$902,NA())</f>
        <v/>
      </c>
      <c r="C183">
        <f>IF(k_hrok,k_h0+k_h1*E183+k_h2*E183^2,NA())</f>
        <v/>
      </c>
      <c r="D183">
        <f>IF(k_ok,Grid!$Q$902/Grid!$B$902,NA())</f>
        <v/>
      </c>
      <c r="E183">
        <f>IF(k_hrok,k_hx0+(k_hx1-k_hx0)*180/200,NA())</f>
        <v/>
      </c>
      <c r="G183">
        <f>IF(AND(k_gluOn,k_ng&gt;=2),Calc!$AK$3+(INDEX(Calc!$AK$3:$AK$22,k_ng)-Calc!$AK$3)*180/200,NA())</f>
        <v/>
      </c>
      <c r="H183">
        <f>IF(AND(k_gluOn,k_ng&gt;=2),(2*((G183-INDEX(Calc!$AK$3:$AK$22,I183))/(INDEX(Calc!$AK$3:$AK$22,I183+1)-INDEX(Calc!$AK$3:$AK$22,I183)))^3-3*((G183-INDEX(Calc!$AK$3:$AK$22,I183))/(INDEX(Calc!$AK$3:$AK$22,I183+1)-INDEX(Calc!$AK$3:$AK$22,I183)))^2+1)*INDEX(Calc!$AL$3:$AL$22,I183)+(((G183-INDEX(Calc!$AK$3:$AK$22,I183))/(INDEX(Calc!$AK$3:$AK$22,I183+1)-INDEX(Calc!$AK$3:$AK$22,I183)))^3-2*((G183-INDEX(Calc!$AK$3:$AK$22,I183))/(INDEX(Calc!$AK$3:$AK$22,I183+1)-INDEX(Calc!$AK$3:$AK$22,I183)))^2+((G183-INDEX(Calc!$AK$3:$AK$22,I183))/(INDEX(Calc!$AK$3:$AK$22,I183+1)-INDEX(Calc!$AK$3:$AK$22,I183))))*(INDEX(Calc!$AK$3:$AK$22,I183+1)-INDEX(Calc!$AK$3:$AK$22,I183))*INDEX(Calc!$AP$3:$AP$22,I183)+(-2*((G183-INDEX(Calc!$AK$3:$AK$22,I183))/(INDEX(Calc!$AK$3:$AK$22,I183+1)-INDEX(Calc!$AK$3:$AK$22,I183)))^3+3*((G183-INDEX(Calc!$AK$3:$AK$22,I183))/(INDEX(Calc!$AK$3:$AK$22,I183+1)-INDEX(Calc!$AK$3:$AK$22,I183)))^2)*INDEX(Calc!$AL$3:$AL$22,I183+1)+(((G183-INDEX(Calc!$AK$3:$AK$22,I183))/(INDEX(Calc!$AK$3:$AK$22,I183+1)-INDEX(Calc!$AK$3:$AK$22,I183)))^3-((G183-INDEX(Calc!$AK$3:$AK$22,I183))/(INDEX(Calc!$AK$3:$AK$22,I183+1)-INDEX(Calc!$AK$3:$AK$22,I183)))^2)*(INDEX(Calc!$AK$3:$AK$22,I183+1)-INDEX(Calc!$AK$3:$AK$22,I183))*INDEX(Calc!$AQ$3:$AQ$22,I183),NA())</f>
        <v/>
      </c>
      <c r="I183">
        <f>IF(AND(k_gluOn,k_ng&gt;=2),MIN(k_ng-1,MAX(1,MATCH(G183,Calc!$AK$3:INDEX(Calc!$AK$3:$AK$22,k_ng),1))),1)</f>
        <v/>
      </c>
    </row>
    <row r="184">
      <c r="A184">
        <f>IF(k_ok,Grid!$B$907,NA())</f>
        <v/>
      </c>
      <c r="B184">
        <f>IF(k_ok,Grid!$Q$907,NA())</f>
        <v/>
      </c>
      <c r="C184">
        <f>IF(k_hrok,k_h0+k_h1*E184+k_h2*E184^2,NA())</f>
        <v/>
      </c>
      <c r="D184">
        <f>IF(k_ok,Grid!$Q$907/Grid!$B$907,NA())</f>
        <v/>
      </c>
      <c r="E184">
        <f>IF(k_hrok,k_hx0+(k_hx1-k_hx0)*181/200,NA())</f>
        <v/>
      </c>
      <c r="G184">
        <f>IF(AND(k_gluOn,k_ng&gt;=2),Calc!$AK$3+(INDEX(Calc!$AK$3:$AK$22,k_ng)-Calc!$AK$3)*181/200,NA())</f>
        <v/>
      </c>
      <c r="H184">
        <f>IF(AND(k_gluOn,k_ng&gt;=2),(2*((G184-INDEX(Calc!$AK$3:$AK$22,I184))/(INDEX(Calc!$AK$3:$AK$22,I184+1)-INDEX(Calc!$AK$3:$AK$22,I184)))^3-3*((G184-INDEX(Calc!$AK$3:$AK$22,I184))/(INDEX(Calc!$AK$3:$AK$22,I184+1)-INDEX(Calc!$AK$3:$AK$22,I184)))^2+1)*INDEX(Calc!$AL$3:$AL$22,I184)+(((G184-INDEX(Calc!$AK$3:$AK$22,I184))/(INDEX(Calc!$AK$3:$AK$22,I184+1)-INDEX(Calc!$AK$3:$AK$22,I184)))^3-2*((G184-INDEX(Calc!$AK$3:$AK$22,I184))/(INDEX(Calc!$AK$3:$AK$22,I184+1)-INDEX(Calc!$AK$3:$AK$22,I184)))^2+((G184-INDEX(Calc!$AK$3:$AK$22,I184))/(INDEX(Calc!$AK$3:$AK$22,I184+1)-INDEX(Calc!$AK$3:$AK$22,I184))))*(INDEX(Calc!$AK$3:$AK$22,I184+1)-INDEX(Calc!$AK$3:$AK$22,I184))*INDEX(Calc!$AP$3:$AP$22,I184)+(-2*((G184-INDEX(Calc!$AK$3:$AK$22,I184))/(INDEX(Calc!$AK$3:$AK$22,I184+1)-INDEX(Calc!$AK$3:$AK$22,I184)))^3+3*((G184-INDEX(Calc!$AK$3:$AK$22,I184))/(INDEX(Calc!$AK$3:$AK$22,I184+1)-INDEX(Calc!$AK$3:$AK$22,I184)))^2)*INDEX(Calc!$AL$3:$AL$22,I184+1)+(((G184-INDEX(Calc!$AK$3:$AK$22,I184))/(INDEX(Calc!$AK$3:$AK$22,I184+1)-INDEX(Calc!$AK$3:$AK$22,I184)))^3-((G184-INDEX(Calc!$AK$3:$AK$22,I184))/(INDEX(Calc!$AK$3:$AK$22,I184+1)-INDEX(Calc!$AK$3:$AK$22,I184)))^2)*(INDEX(Calc!$AK$3:$AK$22,I184+1)-INDEX(Calc!$AK$3:$AK$22,I184))*INDEX(Calc!$AQ$3:$AQ$22,I184),NA())</f>
        <v/>
      </c>
      <c r="I184">
        <f>IF(AND(k_gluOn,k_ng&gt;=2),MIN(k_ng-1,MAX(1,MATCH(G184,Calc!$AK$3:INDEX(Calc!$AK$3:$AK$22,k_ng),1))),1)</f>
        <v/>
      </c>
    </row>
    <row r="185">
      <c r="A185">
        <f>IF(k_ok,Grid!$B$912,NA())</f>
        <v/>
      </c>
      <c r="B185">
        <f>IF(k_ok,Grid!$Q$912,NA())</f>
        <v/>
      </c>
      <c r="C185">
        <f>IF(k_hrok,k_h0+k_h1*E185+k_h2*E185^2,NA())</f>
        <v/>
      </c>
      <c r="D185">
        <f>IF(k_ok,Grid!$Q$912/Grid!$B$912,NA())</f>
        <v/>
      </c>
      <c r="E185">
        <f>IF(k_hrok,k_hx0+(k_hx1-k_hx0)*182/200,NA())</f>
        <v/>
      </c>
      <c r="G185">
        <f>IF(AND(k_gluOn,k_ng&gt;=2),Calc!$AK$3+(INDEX(Calc!$AK$3:$AK$22,k_ng)-Calc!$AK$3)*182/200,NA())</f>
        <v/>
      </c>
      <c r="H185">
        <f>IF(AND(k_gluOn,k_ng&gt;=2),(2*((G185-INDEX(Calc!$AK$3:$AK$22,I185))/(INDEX(Calc!$AK$3:$AK$22,I185+1)-INDEX(Calc!$AK$3:$AK$22,I185)))^3-3*((G185-INDEX(Calc!$AK$3:$AK$22,I185))/(INDEX(Calc!$AK$3:$AK$22,I185+1)-INDEX(Calc!$AK$3:$AK$22,I185)))^2+1)*INDEX(Calc!$AL$3:$AL$22,I185)+(((G185-INDEX(Calc!$AK$3:$AK$22,I185))/(INDEX(Calc!$AK$3:$AK$22,I185+1)-INDEX(Calc!$AK$3:$AK$22,I185)))^3-2*((G185-INDEX(Calc!$AK$3:$AK$22,I185))/(INDEX(Calc!$AK$3:$AK$22,I185+1)-INDEX(Calc!$AK$3:$AK$22,I185)))^2+((G185-INDEX(Calc!$AK$3:$AK$22,I185))/(INDEX(Calc!$AK$3:$AK$22,I185+1)-INDEX(Calc!$AK$3:$AK$22,I185))))*(INDEX(Calc!$AK$3:$AK$22,I185+1)-INDEX(Calc!$AK$3:$AK$22,I185))*INDEX(Calc!$AP$3:$AP$22,I185)+(-2*((G185-INDEX(Calc!$AK$3:$AK$22,I185))/(INDEX(Calc!$AK$3:$AK$22,I185+1)-INDEX(Calc!$AK$3:$AK$22,I185)))^3+3*((G185-INDEX(Calc!$AK$3:$AK$22,I185))/(INDEX(Calc!$AK$3:$AK$22,I185+1)-INDEX(Calc!$AK$3:$AK$22,I185)))^2)*INDEX(Calc!$AL$3:$AL$22,I185+1)+(((G185-INDEX(Calc!$AK$3:$AK$22,I185))/(INDEX(Calc!$AK$3:$AK$22,I185+1)-INDEX(Calc!$AK$3:$AK$22,I185)))^3-((G185-INDEX(Calc!$AK$3:$AK$22,I185))/(INDEX(Calc!$AK$3:$AK$22,I185+1)-INDEX(Calc!$AK$3:$AK$22,I185)))^2)*(INDEX(Calc!$AK$3:$AK$22,I185+1)-INDEX(Calc!$AK$3:$AK$22,I185))*INDEX(Calc!$AQ$3:$AQ$22,I185),NA())</f>
        <v/>
      </c>
      <c r="I185">
        <f>IF(AND(k_gluOn,k_ng&gt;=2),MIN(k_ng-1,MAX(1,MATCH(G185,Calc!$AK$3:INDEX(Calc!$AK$3:$AK$22,k_ng),1))),1)</f>
        <v/>
      </c>
    </row>
    <row r="186">
      <c r="A186">
        <f>IF(k_ok,Grid!$B$917,NA())</f>
        <v/>
      </c>
      <c r="B186">
        <f>IF(k_ok,Grid!$Q$917,NA())</f>
        <v/>
      </c>
      <c r="C186">
        <f>IF(k_hrok,k_h0+k_h1*E186+k_h2*E186^2,NA())</f>
        <v/>
      </c>
      <c r="D186">
        <f>IF(k_ok,Grid!$Q$917/Grid!$B$917,NA())</f>
        <v/>
      </c>
      <c r="E186">
        <f>IF(k_hrok,k_hx0+(k_hx1-k_hx0)*183/200,NA())</f>
        <v/>
      </c>
      <c r="G186">
        <f>IF(AND(k_gluOn,k_ng&gt;=2),Calc!$AK$3+(INDEX(Calc!$AK$3:$AK$22,k_ng)-Calc!$AK$3)*183/200,NA())</f>
        <v/>
      </c>
      <c r="H186">
        <f>IF(AND(k_gluOn,k_ng&gt;=2),(2*((G186-INDEX(Calc!$AK$3:$AK$22,I186))/(INDEX(Calc!$AK$3:$AK$22,I186+1)-INDEX(Calc!$AK$3:$AK$22,I186)))^3-3*((G186-INDEX(Calc!$AK$3:$AK$22,I186))/(INDEX(Calc!$AK$3:$AK$22,I186+1)-INDEX(Calc!$AK$3:$AK$22,I186)))^2+1)*INDEX(Calc!$AL$3:$AL$22,I186)+(((G186-INDEX(Calc!$AK$3:$AK$22,I186))/(INDEX(Calc!$AK$3:$AK$22,I186+1)-INDEX(Calc!$AK$3:$AK$22,I186)))^3-2*((G186-INDEX(Calc!$AK$3:$AK$22,I186))/(INDEX(Calc!$AK$3:$AK$22,I186+1)-INDEX(Calc!$AK$3:$AK$22,I186)))^2+((G186-INDEX(Calc!$AK$3:$AK$22,I186))/(INDEX(Calc!$AK$3:$AK$22,I186+1)-INDEX(Calc!$AK$3:$AK$22,I186))))*(INDEX(Calc!$AK$3:$AK$22,I186+1)-INDEX(Calc!$AK$3:$AK$22,I186))*INDEX(Calc!$AP$3:$AP$22,I186)+(-2*((G186-INDEX(Calc!$AK$3:$AK$22,I186))/(INDEX(Calc!$AK$3:$AK$22,I186+1)-INDEX(Calc!$AK$3:$AK$22,I186)))^3+3*((G186-INDEX(Calc!$AK$3:$AK$22,I186))/(INDEX(Calc!$AK$3:$AK$22,I186+1)-INDEX(Calc!$AK$3:$AK$22,I186)))^2)*INDEX(Calc!$AL$3:$AL$22,I186+1)+(((G186-INDEX(Calc!$AK$3:$AK$22,I186))/(INDEX(Calc!$AK$3:$AK$22,I186+1)-INDEX(Calc!$AK$3:$AK$22,I186)))^3-((G186-INDEX(Calc!$AK$3:$AK$22,I186))/(INDEX(Calc!$AK$3:$AK$22,I186+1)-INDEX(Calc!$AK$3:$AK$22,I186)))^2)*(INDEX(Calc!$AK$3:$AK$22,I186+1)-INDEX(Calc!$AK$3:$AK$22,I186))*INDEX(Calc!$AQ$3:$AQ$22,I186),NA())</f>
        <v/>
      </c>
      <c r="I186">
        <f>IF(AND(k_gluOn,k_ng&gt;=2),MIN(k_ng-1,MAX(1,MATCH(G186,Calc!$AK$3:INDEX(Calc!$AK$3:$AK$22,k_ng),1))),1)</f>
        <v/>
      </c>
    </row>
    <row r="187">
      <c r="A187">
        <f>IF(k_ok,Grid!$B$922,NA())</f>
        <v/>
      </c>
      <c r="B187">
        <f>IF(k_ok,Grid!$Q$922,NA())</f>
        <v/>
      </c>
      <c r="C187">
        <f>IF(k_hrok,k_h0+k_h1*E187+k_h2*E187^2,NA())</f>
        <v/>
      </c>
      <c r="D187">
        <f>IF(k_ok,Grid!$Q$922/Grid!$B$922,NA())</f>
        <v/>
      </c>
      <c r="E187">
        <f>IF(k_hrok,k_hx0+(k_hx1-k_hx0)*184/200,NA())</f>
        <v/>
      </c>
      <c r="G187">
        <f>IF(AND(k_gluOn,k_ng&gt;=2),Calc!$AK$3+(INDEX(Calc!$AK$3:$AK$22,k_ng)-Calc!$AK$3)*184/200,NA())</f>
        <v/>
      </c>
      <c r="H187">
        <f>IF(AND(k_gluOn,k_ng&gt;=2),(2*((G187-INDEX(Calc!$AK$3:$AK$22,I187))/(INDEX(Calc!$AK$3:$AK$22,I187+1)-INDEX(Calc!$AK$3:$AK$22,I187)))^3-3*((G187-INDEX(Calc!$AK$3:$AK$22,I187))/(INDEX(Calc!$AK$3:$AK$22,I187+1)-INDEX(Calc!$AK$3:$AK$22,I187)))^2+1)*INDEX(Calc!$AL$3:$AL$22,I187)+(((G187-INDEX(Calc!$AK$3:$AK$22,I187))/(INDEX(Calc!$AK$3:$AK$22,I187+1)-INDEX(Calc!$AK$3:$AK$22,I187)))^3-2*((G187-INDEX(Calc!$AK$3:$AK$22,I187))/(INDEX(Calc!$AK$3:$AK$22,I187+1)-INDEX(Calc!$AK$3:$AK$22,I187)))^2+((G187-INDEX(Calc!$AK$3:$AK$22,I187))/(INDEX(Calc!$AK$3:$AK$22,I187+1)-INDEX(Calc!$AK$3:$AK$22,I187))))*(INDEX(Calc!$AK$3:$AK$22,I187+1)-INDEX(Calc!$AK$3:$AK$22,I187))*INDEX(Calc!$AP$3:$AP$22,I187)+(-2*((G187-INDEX(Calc!$AK$3:$AK$22,I187))/(INDEX(Calc!$AK$3:$AK$22,I187+1)-INDEX(Calc!$AK$3:$AK$22,I187)))^3+3*((G187-INDEX(Calc!$AK$3:$AK$22,I187))/(INDEX(Calc!$AK$3:$AK$22,I187+1)-INDEX(Calc!$AK$3:$AK$22,I187)))^2)*INDEX(Calc!$AL$3:$AL$22,I187+1)+(((G187-INDEX(Calc!$AK$3:$AK$22,I187))/(INDEX(Calc!$AK$3:$AK$22,I187+1)-INDEX(Calc!$AK$3:$AK$22,I187)))^3-((G187-INDEX(Calc!$AK$3:$AK$22,I187))/(INDEX(Calc!$AK$3:$AK$22,I187+1)-INDEX(Calc!$AK$3:$AK$22,I187)))^2)*(INDEX(Calc!$AK$3:$AK$22,I187+1)-INDEX(Calc!$AK$3:$AK$22,I187))*INDEX(Calc!$AQ$3:$AQ$22,I187),NA())</f>
        <v/>
      </c>
      <c r="I187">
        <f>IF(AND(k_gluOn,k_ng&gt;=2),MIN(k_ng-1,MAX(1,MATCH(G187,Calc!$AK$3:INDEX(Calc!$AK$3:$AK$22,k_ng),1))),1)</f>
        <v/>
      </c>
    </row>
    <row r="188">
      <c r="A188">
        <f>IF(k_ok,Grid!$B$927,NA())</f>
        <v/>
      </c>
      <c r="B188">
        <f>IF(k_ok,Grid!$Q$927,NA())</f>
        <v/>
      </c>
      <c r="C188">
        <f>IF(k_hrok,k_h0+k_h1*E188+k_h2*E188^2,NA())</f>
        <v/>
      </c>
      <c r="D188">
        <f>IF(k_ok,Grid!$Q$927/Grid!$B$927,NA())</f>
        <v/>
      </c>
      <c r="E188">
        <f>IF(k_hrok,k_hx0+(k_hx1-k_hx0)*185/200,NA())</f>
        <v/>
      </c>
      <c r="G188">
        <f>IF(AND(k_gluOn,k_ng&gt;=2),Calc!$AK$3+(INDEX(Calc!$AK$3:$AK$22,k_ng)-Calc!$AK$3)*185/200,NA())</f>
        <v/>
      </c>
      <c r="H188">
        <f>IF(AND(k_gluOn,k_ng&gt;=2),(2*((G188-INDEX(Calc!$AK$3:$AK$22,I188))/(INDEX(Calc!$AK$3:$AK$22,I188+1)-INDEX(Calc!$AK$3:$AK$22,I188)))^3-3*((G188-INDEX(Calc!$AK$3:$AK$22,I188))/(INDEX(Calc!$AK$3:$AK$22,I188+1)-INDEX(Calc!$AK$3:$AK$22,I188)))^2+1)*INDEX(Calc!$AL$3:$AL$22,I188)+(((G188-INDEX(Calc!$AK$3:$AK$22,I188))/(INDEX(Calc!$AK$3:$AK$22,I188+1)-INDEX(Calc!$AK$3:$AK$22,I188)))^3-2*((G188-INDEX(Calc!$AK$3:$AK$22,I188))/(INDEX(Calc!$AK$3:$AK$22,I188+1)-INDEX(Calc!$AK$3:$AK$22,I188)))^2+((G188-INDEX(Calc!$AK$3:$AK$22,I188))/(INDEX(Calc!$AK$3:$AK$22,I188+1)-INDEX(Calc!$AK$3:$AK$22,I188))))*(INDEX(Calc!$AK$3:$AK$22,I188+1)-INDEX(Calc!$AK$3:$AK$22,I188))*INDEX(Calc!$AP$3:$AP$22,I188)+(-2*((G188-INDEX(Calc!$AK$3:$AK$22,I188))/(INDEX(Calc!$AK$3:$AK$22,I188+1)-INDEX(Calc!$AK$3:$AK$22,I188)))^3+3*((G188-INDEX(Calc!$AK$3:$AK$22,I188))/(INDEX(Calc!$AK$3:$AK$22,I188+1)-INDEX(Calc!$AK$3:$AK$22,I188)))^2)*INDEX(Calc!$AL$3:$AL$22,I188+1)+(((G188-INDEX(Calc!$AK$3:$AK$22,I188))/(INDEX(Calc!$AK$3:$AK$22,I188+1)-INDEX(Calc!$AK$3:$AK$22,I188)))^3-((G188-INDEX(Calc!$AK$3:$AK$22,I188))/(INDEX(Calc!$AK$3:$AK$22,I188+1)-INDEX(Calc!$AK$3:$AK$22,I188)))^2)*(INDEX(Calc!$AK$3:$AK$22,I188+1)-INDEX(Calc!$AK$3:$AK$22,I188))*INDEX(Calc!$AQ$3:$AQ$22,I188),NA())</f>
        <v/>
      </c>
      <c r="I188">
        <f>IF(AND(k_gluOn,k_ng&gt;=2),MIN(k_ng-1,MAX(1,MATCH(G188,Calc!$AK$3:INDEX(Calc!$AK$3:$AK$22,k_ng),1))),1)</f>
        <v/>
      </c>
    </row>
    <row r="189">
      <c r="A189">
        <f>IF(k_ok,Grid!$B$932,NA())</f>
        <v/>
      </c>
      <c r="B189">
        <f>IF(k_ok,Grid!$Q$932,NA())</f>
        <v/>
      </c>
      <c r="C189">
        <f>IF(k_hrok,k_h0+k_h1*E189+k_h2*E189^2,NA())</f>
        <v/>
      </c>
      <c r="D189">
        <f>IF(k_ok,Grid!$Q$932/Grid!$B$932,NA())</f>
        <v/>
      </c>
      <c r="E189">
        <f>IF(k_hrok,k_hx0+(k_hx1-k_hx0)*186/200,NA())</f>
        <v/>
      </c>
      <c r="G189">
        <f>IF(AND(k_gluOn,k_ng&gt;=2),Calc!$AK$3+(INDEX(Calc!$AK$3:$AK$22,k_ng)-Calc!$AK$3)*186/200,NA())</f>
        <v/>
      </c>
      <c r="H189">
        <f>IF(AND(k_gluOn,k_ng&gt;=2),(2*((G189-INDEX(Calc!$AK$3:$AK$22,I189))/(INDEX(Calc!$AK$3:$AK$22,I189+1)-INDEX(Calc!$AK$3:$AK$22,I189)))^3-3*((G189-INDEX(Calc!$AK$3:$AK$22,I189))/(INDEX(Calc!$AK$3:$AK$22,I189+1)-INDEX(Calc!$AK$3:$AK$22,I189)))^2+1)*INDEX(Calc!$AL$3:$AL$22,I189)+(((G189-INDEX(Calc!$AK$3:$AK$22,I189))/(INDEX(Calc!$AK$3:$AK$22,I189+1)-INDEX(Calc!$AK$3:$AK$22,I189)))^3-2*((G189-INDEX(Calc!$AK$3:$AK$22,I189))/(INDEX(Calc!$AK$3:$AK$22,I189+1)-INDEX(Calc!$AK$3:$AK$22,I189)))^2+((G189-INDEX(Calc!$AK$3:$AK$22,I189))/(INDEX(Calc!$AK$3:$AK$22,I189+1)-INDEX(Calc!$AK$3:$AK$22,I189))))*(INDEX(Calc!$AK$3:$AK$22,I189+1)-INDEX(Calc!$AK$3:$AK$22,I189))*INDEX(Calc!$AP$3:$AP$22,I189)+(-2*((G189-INDEX(Calc!$AK$3:$AK$22,I189))/(INDEX(Calc!$AK$3:$AK$22,I189+1)-INDEX(Calc!$AK$3:$AK$22,I189)))^3+3*((G189-INDEX(Calc!$AK$3:$AK$22,I189))/(INDEX(Calc!$AK$3:$AK$22,I189+1)-INDEX(Calc!$AK$3:$AK$22,I189)))^2)*INDEX(Calc!$AL$3:$AL$22,I189+1)+(((G189-INDEX(Calc!$AK$3:$AK$22,I189))/(INDEX(Calc!$AK$3:$AK$22,I189+1)-INDEX(Calc!$AK$3:$AK$22,I189)))^3-((G189-INDEX(Calc!$AK$3:$AK$22,I189))/(INDEX(Calc!$AK$3:$AK$22,I189+1)-INDEX(Calc!$AK$3:$AK$22,I189)))^2)*(INDEX(Calc!$AK$3:$AK$22,I189+1)-INDEX(Calc!$AK$3:$AK$22,I189))*INDEX(Calc!$AQ$3:$AQ$22,I189),NA())</f>
        <v/>
      </c>
      <c r="I189">
        <f>IF(AND(k_gluOn,k_ng&gt;=2),MIN(k_ng-1,MAX(1,MATCH(G189,Calc!$AK$3:INDEX(Calc!$AK$3:$AK$22,k_ng),1))),1)</f>
        <v/>
      </c>
    </row>
    <row r="190">
      <c r="A190">
        <f>IF(k_ok,Grid!$B$937,NA())</f>
        <v/>
      </c>
      <c r="B190">
        <f>IF(k_ok,Grid!$Q$937,NA())</f>
        <v/>
      </c>
      <c r="C190">
        <f>IF(k_hrok,k_h0+k_h1*E190+k_h2*E190^2,NA())</f>
        <v/>
      </c>
      <c r="D190">
        <f>IF(k_ok,Grid!$Q$937/Grid!$B$937,NA())</f>
        <v/>
      </c>
      <c r="E190">
        <f>IF(k_hrok,k_hx0+(k_hx1-k_hx0)*187/200,NA())</f>
        <v/>
      </c>
      <c r="G190">
        <f>IF(AND(k_gluOn,k_ng&gt;=2),Calc!$AK$3+(INDEX(Calc!$AK$3:$AK$22,k_ng)-Calc!$AK$3)*187/200,NA())</f>
        <v/>
      </c>
      <c r="H190">
        <f>IF(AND(k_gluOn,k_ng&gt;=2),(2*((G190-INDEX(Calc!$AK$3:$AK$22,I190))/(INDEX(Calc!$AK$3:$AK$22,I190+1)-INDEX(Calc!$AK$3:$AK$22,I190)))^3-3*((G190-INDEX(Calc!$AK$3:$AK$22,I190))/(INDEX(Calc!$AK$3:$AK$22,I190+1)-INDEX(Calc!$AK$3:$AK$22,I190)))^2+1)*INDEX(Calc!$AL$3:$AL$22,I190)+(((G190-INDEX(Calc!$AK$3:$AK$22,I190))/(INDEX(Calc!$AK$3:$AK$22,I190+1)-INDEX(Calc!$AK$3:$AK$22,I190)))^3-2*((G190-INDEX(Calc!$AK$3:$AK$22,I190))/(INDEX(Calc!$AK$3:$AK$22,I190+1)-INDEX(Calc!$AK$3:$AK$22,I190)))^2+((G190-INDEX(Calc!$AK$3:$AK$22,I190))/(INDEX(Calc!$AK$3:$AK$22,I190+1)-INDEX(Calc!$AK$3:$AK$22,I190))))*(INDEX(Calc!$AK$3:$AK$22,I190+1)-INDEX(Calc!$AK$3:$AK$22,I190))*INDEX(Calc!$AP$3:$AP$22,I190)+(-2*((G190-INDEX(Calc!$AK$3:$AK$22,I190))/(INDEX(Calc!$AK$3:$AK$22,I190+1)-INDEX(Calc!$AK$3:$AK$22,I190)))^3+3*((G190-INDEX(Calc!$AK$3:$AK$22,I190))/(INDEX(Calc!$AK$3:$AK$22,I190+1)-INDEX(Calc!$AK$3:$AK$22,I190)))^2)*INDEX(Calc!$AL$3:$AL$22,I190+1)+(((G190-INDEX(Calc!$AK$3:$AK$22,I190))/(INDEX(Calc!$AK$3:$AK$22,I190+1)-INDEX(Calc!$AK$3:$AK$22,I190)))^3-((G190-INDEX(Calc!$AK$3:$AK$22,I190))/(INDEX(Calc!$AK$3:$AK$22,I190+1)-INDEX(Calc!$AK$3:$AK$22,I190)))^2)*(INDEX(Calc!$AK$3:$AK$22,I190+1)-INDEX(Calc!$AK$3:$AK$22,I190))*INDEX(Calc!$AQ$3:$AQ$22,I190),NA())</f>
        <v/>
      </c>
      <c r="I190">
        <f>IF(AND(k_gluOn,k_ng&gt;=2),MIN(k_ng-1,MAX(1,MATCH(G190,Calc!$AK$3:INDEX(Calc!$AK$3:$AK$22,k_ng),1))),1)</f>
        <v/>
      </c>
    </row>
    <row r="191">
      <c r="A191">
        <f>IF(k_ok,Grid!$B$942,NA())</f>
        <v/>
      </c>
      <c r="B191">
        <f>IF(k_ok,Grid!$Q$942,NA())</f>
        <v/>
      </c>
      <c r="C191">
        <f>IF(k_hrok,k_h0+k_h1*E191+k_h2*E191^2,NA())</f>
        <v/>
      </c>
      <c r="D191">
        <f>IF(k_ok,Grid!$Q$942/Grid!$B$942,NA())</f>
        <v/>
      </c>
      <c r="E191">
        <f>IF(k_hrok,k_hx0+(k_hx1-k_hx0)*188/200,NA())</f>
        <v/>
      </c>
      <c r="G191">
        <f>IF(AND(k_gluOn,k_ng&gt;=2),Calc!$AK$3+(INDEX(Calc!$AK$3:$AK$22,k_ng)-Calc!$AK$3)*188/200,NA())</f>
        <v/>
      </c>
      <c r="H191">
        <f>IF(AND(k_gluOn,k_ng&gt;=2),(2*((G191-INDEX(Calc!$AK$3:$AK$22,I191))/(INDEX(Calc!$AK$3:$AK$22,I191+1)-INDEX(Calc!$AK$3:$AK$22,I191)))^3-3*((G191-INDEX(Calc!$AK$3:$AK$22,I191))/(INDEX(Calc!$AK$3:$AK$22,I191+1)-INDEX(Calc!$AK$3:$AK$22,I191)))^2+1)*INDEX(Calc!$AL$3:$AL$22,I191)+(((G191-INDEX(Calc!$AK$3:$AK$22,I191))/(INDEX(Calc!$AK$3:$AK$22,I191+1)-INDEX(Calc!$AK$3:$AK$22,I191)))^3-2*((G191-INDEX(Calc!$AK$3:$AK$22,I191))/(INDEX(Calc!$AK$3:$AK$22,I191+1)-INDEX(Calc!$AK$3:$AK$22,I191)))^2+((G191-INDEX(Calc!$AK$3:$AK$22,I191))/(INDEX(Calc!$AK$3:$AK$22,I191+1)-INDEX(Calc!$AK$3:$AK$22,I191))))*(INDEX(Calc!$AK$3:$AK$22,I191+1)-INDEX(Calc!$AK$3:$AK$22,I191))*INDEX(Calc!$AP$3:$AP$22,I191)+(-2*((G191-INDEX(Calc!$AK$3:$AK$22,I191))/(INDEX(Calc!$AK$3:$AK$22,I191+1)-INDEX(Calc!$AK$3:$AK$22,I191)))^3+3*((G191-INDEX(Calc!$AK$3:$AK$22,I191))/(INDEX(Calc!$AK$3:$AK$22,I191+1)-INDEX(Calc!$AK$3:$AK$22,I191)))^2)*INDEX(Calc!$AL$3:$AL$22,I191+1)+(((G191-INDEX(Calc!$AK$3:$AK$22,I191))/(INDEX(Calc!$AK$3:$AK$22,I191+1)-INDEX(Calc!$AK$3:$AK$22,I191)))^3-((G191-INDEX(Calc!$AK$3:$AK$22,I191))/(INDEX(Calc!$AK$3:$AK$22,I191+1)-INDEX(Calc!$AK$3:$AK$22,I191)))^2)*(INDEX(Calc!$AK$3:$AK$22,I191+1)-INDEX(Calc!$AK$3:$AK$22,I191))*INDEX(Calc!$AQ$3:$AQ$22,I191),NA())</f>
        <v/>
      </c>
      <c r="I191">
        <f>IF(AND(k_gluOn,k_ng&gt;=2),MIN(k_ng-1,MAX(1,MATCH(G191,Calc!$AK$3:INDEX(Calc!$AK$3:$AK$22,k_ng),1))),1)</f>
        <v/>
      </c>
    </row>
    <row r="192">
      <c r="A192">
        <f>IF(k_ok,Grid!$B$947,NA())</f>
        <v/>
      </c>
      <c r="B192">
        <f>IF(k_ok,Grid!$Q$947,NA())</f>
        <v/>
      </c>
      <c r="C192">
        <f>IF(k_hrok,k_h0+k_h1*E192+k_h2*E192^2,NA())</f>
        <v/>
      </c>
      <c r="D192">
        <f>IF(k_ok,Grid!$Q$947/Grid!$B$947,NA())</f>
        <v/>
      </c>
      <c r="E192">
        <f>IF(k_hrok,k_hx0+(k_hx1-k_hx0)*189/200,NA())</f>
        <v/>
      </c>
      <c r="G192">
        <f>IF(AND(k_gluOn,k_ng&gt;=2),Calc!$AK$3+(INDEX(Calc!$AK$3:$AK$22,k_ng)-Calc!$AK$3)*189/200,NA())</f>
        <v/>
      </c>
      <c r="H192">
        <f>IF(AND(k_gluOn,k_ng&gt;=2),(2*((G192-INDEX(Calc!$AK$3:$AK$22,I192))/(INDEX(Calc!$AK$3:$AK$22,I192+1)-INDEX(Calc!$AK$3:$AK$22,I192)))^3-3*((G192-INDEX(Calc!$AK$3:$AK$22,I192))/(INDEX(Calc!$AK$3:$AK$22,I192+1)-INDEX(Calc!$AK$3:$AK$22,I192)))^2+1)*INDEX(Calc!$AL$3:$AL$22,I192)+(((G192-INDEX(Calc!$AK$3:$AK$22,I192))/(INDEX(Calc!$AK$3:$AK$22,I192+1)-INDEX(Calc!$AK$3:$AK$22,I192)))^3-2*((G192-INDEX(Calc!$AK$3:$AK$22,I192))/(INDEX(Calc!$AK$3:$AK$22,I192+1)-INDEX(Calc!$AK$3:$AK$22,I192)))^2+((G192-INDEX(Calc!$AK$3:$AK$22,I192))/(INDEX(Calc!$AK$3:$AK$22,I192+1)-INDEX(Calc!$AK$3:$AK$22,I192))))*(INDEX(Calc!$AK$3:$AK$22,I192+1)-INDEX(Calc!$AK$3:$AK$22,I192))*INDEX(Calc!$AP$3:$AP$22,I192)+(-2*((G192-INDEX(Calc!$AK$3:$AK$22,I192))/(INDEX(Calc!$AK$3:$AK$22,I192+1)-INDEX(Calc!$AK$3:$AK$22,I192)))^3+3*((G192-INDEX(Calc!$AK$3:$AK$22,I192))/(INDEX(Calc!$AK$3:$AK$22,I192+1)-INDEX(Calc!$AK$3:$AK$22,I192)))^2)*INDEX(Calc!$AL$3:$AL$22,I192+1)+(((G192-INDEX(Calc!$AK$3:$AK$22,I192))/(INDEX(Calc!$AK$3:$AK$22,I192+1)-INDEX(Calc!$AK$3:$AK$22,I192)))^3-((G192-INDEX(Calc!$AK$3:$AK$22,I192))/(INDEX(Calc!$AK$3:$AK$22,I192+1)-INDEX(Calc!$AK$3:$AK$22,I192)))^2)*(INDEX(Calc!$AK$3:$AK$22,I192+1)-INDEX(Calc!$AK$3:$AK$22,I192))*INDEX(Calc!$AQ$3:$AQ$22,I192),NA())</f>
        <v/>
      </c>
      <c r="I192">
        <f>IF(AND(k_gluOn,k_ng&gt;=2),MIN(k_ng-1,MAX(1,MATCH(G192,Calc!$AK$3:INDEX(Calc!$AK$3:$AK$22,k_ng),1))),1)</f>
        <v/>
      </c>
    </row>
    <row r="193">
      <c r="A193">
        <f>IF(k_ok,Grid!$B$952,NA())</f>
        <v/>
      </c>
      <c r="B193">
        <f>IF(k_ok,Grid!$Q$952,NA())</f>
        <v/>
      </c>
      <c r="C193">
        <f>IF(k_hrok,k_h0+k_h1*E193+k_h2*E193^2,NA())</f>
        <v/>
      </c>
      <c r="D193">
        <f>IF(k_ok,Grid!$Q$952/Grid!$B$952,NA())</f>
        <v/>
      </c>
      <c r="E193">
        <f>IF(k_hrok,k_hx0+(k_hx1-k_hx0)*190/200,NA())</f>
        <v/>
      </c>
      <c r="G193">
        <f>IF(AND(k_gluOn,k_ng&gt;=2),Calc!$AK$3+(INDEX(Calc!$AK$3:$AK$22,k_ng)-Calc!$AK$3)*190/200,NA())</f>
        <v/>
      </c>
      <c r="H193">
        <f>IF(AND(k_gluOn,k_ng&gt;=2),(2*((G193-INDEX(Calc!$AK$3:$AK$22,I193))/(INDEX(Calc!$AK$3:$AK$22,I193+1)-INDEX(Calc!$AK$3:$AK$22,I193)))^3-3*((G193-INDEX(Calc!$AK$3:$AK$22,I193))/(INDEX(Calc!$AK$3:$AK$22,I193+1)-INDEX(Calc!$AK$3:$AK$22,I193)))^2+1)*INDEX(Calc!$AL$3:$AL$22,I193)+(((G193-INDEX(Calc!$AK$3:$AK$22,I193))/(INDEX(Calc!$AK$3:$AK$22,I193+1)-INDEX(Calc!$AK$3:$AK$22,I193)))^3-2*((G193-INDEX(Calc!$AK$3:$AK$22,I193))/(INDEX(Calc!$AK$3:$AK$22,I193+1)-INDEX(Calc!$AK$3:$AK$22,I193)))^2+((G193-INDEX(Calc!$AK$3:$AK$22,I193))/(INDEX(Calc!$AK$3:$AK$22,I193+1)-INDEX(Calc!$AK$3:$AK$22,I193))))*(INDEX(Calc!$AK$3:$AK$22,I193+1)-INDEX(Calc!$AK$3:$AK$22,I193))*INDEX(Calc!$AP$3:$AP$22,I193)+(-2*((G193-INDEX(Calc!$AK$3:$AK$22,I193))/(INDEX(Calc!$AK$3:$AK$22,I193+1)-INDEX(Calc!$AK$3:$AK$22,I193)))^3+3*((G193-INDEX(Calc!$AK$3:$AK$22,I193))/(INDEX(Calc!$AK$3:$AK$22,I193+1)-INDEX(Calc!$AK$3:$AK$22,I193)))^2)*INDEX(Calc!$AL$3:$AL$22,I193+1)+(((G193-INDEX(Calc!$AK$3:$AK$22,I193))/(INDEX(Calc!$AK$3:$AK$22,I193+1)-INDEX(Calc!$AK$3:$AK$22,I193)))^3-((G193-INDEX(Calc!$AK$3:$AK$22,I193))/(INDEX(Calc!$AK$3:$AK$22,I193+1)-INDEX(Calc!$AK$3:$AK$22,I193)))^2)*(INDEX(Calc!$AK$3:$AK$22,I193+1)-INDEX(Calc!$AK$3:$AK$22,I193))*INDEX(Calc!$AQ$3:$AQ$22,I193),NA())</f>
        <v/>
      </c>
      <c r="I193">
        <f>IF(AND(k_gluOn,k_ng&gt;=2),MIN(k_ng-1,MAX(1,MATCH(G193,Calc!$AK$3:INDEX(Calc!$AK$3:$AK$22,k_ng),1))),1)</f>
        <v/>
      </c>
    </row>
    <row r="194">
      <c r="A194">
        <f>IF(k_ok,Grid!$B$957,NA())</f>
        <v/>
      </c>
      <c r="B194">
        <f>IF(k_ok,Grid!$Q$957,NA())</f>
        <v/>
      </c>
      <c r="C194">
        <f>IF(k_hrok,k_h0+k_h1*E194+k_h2*E194^2,NA())</f>
        <v/>
      </c>
      <c r="D194">
        <f>IF(k_ok,Grid!$Q$957/Grid!$B$957,NA())</f>
        <v/>
      </c>
      <c r="E194">
        <f>IF(k_hrok,k_hx0+(k_hx1-k_hx0)*191/200,NA())</f>
        <v/>
      </c>
      <c r="G194">
        <f>IF(AND(k_gluOn,k_ng&gt;=2),Calc!$AK$3+(INDEX(Calc!$AK$3:$AK$22,k_ng)-Calc!$AK$3)*191/200,NA())</f>
        <v/>
      </c>
      <c r="H194">
        <f>IF(AND(k_gluOn,k_ng&gt;=2),(2*((G194-INDEX(Calc!$AK$3:$AK$22,I194))/(INDEX(Calc!$AK$3:$AK$22,I194+1)-INDEX(Calc!$AK$3:$AK$22,I194)))^3-3*((G194-INDEX(Calc!$AK$3:$AK$22,I194))/(INDEX(Calc!$AK$3:$AK$22,I194+1)-INDEX(Calc!$AK$3:$AK$22,I194)))^2+1)*INDEX(Calc!$AL$3:$AL$22,I194)+(((G194-INDEX(Calc!$AK$3:$AK$22,I194))/(INDEX(Calc!$AK$3:$AK$22,I194+1)-INDEX(Calc!$AK$3:$AK$22,I194)))^3-2*((G194-INDEX(Calc!$AK$3:$AK$22,I194))/(INDEX(Calc!$AK$3:$AK$22,I194+1)-INDEX(Calc!$AK$3:$AK$22,I194)))^2+((G194-INDEX(Calc!$AK$3:$AK$22,I194))/(INDEX(Calc!$AK$3:$AK$22,I194+1)-INDEX(Calc!$AK$3:$AK$22,I194))))*(INDEX(Calc!$AK$3:$AK$22,I194+1)-INDEX(Calc!$AK$3:$AK$22,I194))*INDEX(Calc!$AP$3:$AP$22,I194)+(-2*((G194-INDEX(Calc!$AK$3:$AK$22,I194))/(INDEX(Calc!$AK$3:$AK$22,I194+1)-INDEX(Calc!$AK$3:$AK$22,I194)))^3+3*((G194-INDEX(Calc!$AK$3:$AK$22,I194))/(INDEX(Calc!$AK$3:$AK$22,I194+1)-INDEX(Calc!$AK$3:$AK$22,I194)))^2)*INDEX(Calc!$AL$3:$AL$22,I194+1)+(((G194-INDEX(Calc!$AK$3:$AK$22,I194))/(INDEX(Calc!$AK$3:$AK$22,I194+1)-INDEX(Calc!$AK$3:$AK$22,I194)))^3-((G194-INDEX(Calc!$AK$3:$AK$22,I194))/(INDEX(Calc!$AK$3:$AK$22,I194+1)-INDEX(Calc!$AK$3:$AK$22,I194)))^2)*(INDEX(Calc!$AK$3:$AK$22,I194+1)-INDEX(Calc!$AK$3:$AK$22,I194))*INDEX(Calc!$AQ$3:$AQ$22,I194),NA())</f>
        <v/>
      </c>
      <c r="I194">
        <f>IF(AND(k_gluOn,k_ng&gt;=2),MIN(k_ng-1,MAX(1,MATCH(G194,Calc!$AK$3:INDEX(Calc!$AK$3:$AK$22,k_ng),1))),1)</f>
        <v/>
      </c>
    </row>
    <row r="195">
      <c r="A195">
        <f>IF(k_ok,Grid!$B$962,NA())</f>
        <v/>
      </c>
      <c r="B195">
        <f>IF(k_ok,Grid!$Q$962,NA())</f>
        <v/>
      </c>
      <c r="C195">
        <f>IF(k_hrok,k_h0+k_h1*E195+k_h2*E195^2,NA())</f>
        <v/>
      </c>
      <c r="D195">
        <f>IF(k_ok,Grid!$Q$962/Grid!$B$962,NA())</f>
        <v/>
      </c>
      <c r="E195">
        <f>IF(k_hrok,k_hx0+(k_hx1-k_hx0)*192/200,NA())</f>
        <v/>
      </c>
      <c r="G195">
        <f>IF(AND(k_gluOn,k_ng&gt;=2),Calc!$AK$3+(INDEX(Calc!$AK$3:$AK$22,k_ng)-Calc!$AK$3)*192/200,NA())</f>
        <v/>
      </c>
      <c r="H195">
        <f>IF(AND(k_gluOn,k_ng&gt;=2),(2*((G195-INDEX(Calc!$AK$3:$AK$22,I195))/(INDEX(Calc!$AK$3:$AK$22,I195+1)-INDEX(Calc!$AK$3:$AK$22,I195)))^3-3*((G195-INDEX(Calc!$AK$3:$AK$22,I195))/(INDEX(Calc!$AK$3:$AK$22,I195+1)-INDEX(Calc!$AK$3:$AK$22,I195)))^2+1)*INDEX(Calc!$AL$3:$AL$22,I195)+(((G195-INDEX(Calc!$AK$3:$AK$22,I195))/(INDEX(Calc!$AK$3:$AK$22,I195+1)-INDEX(Calc!$AK$3:$AK$22,I195)))^3-2*((G195-INDEX(Calc!$AK$3:$AK$22,I195))/(INDEX(Calc!$AK$3:$AK$22,I195+1)-INDEX(Calc!$AK$3:$AK$22,I195)))^2+((G195-INDEX(Calc!$AK$3:$AK$22,I195))/(INDEX(Calc!$AK$3:$AK$22,I195+1)-INDEX(Calc!$AK$3:$AK$22,I195))))*(INDEX(Calc!$AK$3:$AK$22,I195+1)-INDEX(Calc!$AK$3:$AK$22,I195))*INDEX(Calc!$AP$3:$AP$22,I195)+(-2*((G195-INDEX(Calc!$AK$3:$AK$22,I195))/(INDEX(Calc!$AK$3:$AK$22,I195+1)-INDEX(Calc!$AK$3:$AK$22,I195)))^3+3*((G195-INDEX(Calc!$AK$3:$AK$22,I195))/(INDEX(Calc!$AK$3:$AK$22,I195+1)-INDEX(Calc!$AK$3:$AK$22,I195)))^2)*INDEX(Calc!$AL$3:$AL$22,I195+1)+(((G195-INDEX(Calc!$AK$3:$AK$22,I195))/(INDEX(Calc!$AK$3:$AK$22,I195+1)-INDEX(Calc!$AK$3:$AK$22,I195)))^3-((G195-INDEX(Calc!$AK$3:$AK$22,I195))/(INDEX(Calc!$AK$3:$AK$22,I195+1)-INDEX(Calc!$AK$3:$AK$22,I195)))^2)*(INDEX(Calc!$AK$3:$AK$22,I195+1)-INDEX(Calc!$AK$3:$AK$22,I195))*INDEX(Calc!$AQ$3:$AQ$22,I195),NA())</f>
        <v/>
      </c>
      <c r="I195">
        <f>IF(AND(k_gluOn,k_ng&gt;=2),MIN(k_ng-1,MAX(1,MATCH(G195,Calc!$AK$3:INDEX(Calc!$AK$3:$AK$22,k_ng),1))),1)</f>
        <v/>
      </c>
    </row>
    <row r="196">
      <c r="A196">
        <f>IF(k_ok,Grid!$B$967,NA())</f>
        <v/>
      </c>
      <c r="B196">
        <f>IF(k_ok,Grid!$Q$967,NA())</f>
        <v/>
      </c>
      <c r="C196">
        <f>IF(k_hrok,k_h0+k_h1*E196+k_h2*E196^2,NA())</f>
        <v/>
      </c>
      <c r="D196">
        <f>IF(k_ok,Grid!$Q$967/Grid!$B$967,NA())</f>
        <v/>
      </c>
      <c r="E196">
        <f>IF(k_hrok,k_hx0+(k_hx1-k_hx0)*193/200,NA())</f>
        <v/>
      </c>
      <c r="G196">
        <f>IF(AND(k_gluOn,k_ng&gt;=2),Calc!$AK$3+(INDEX(Calc!$AK$3:$AK$22,k_ng)-Calc!$AK$3)*193/200,NA())</f>
        <v/>
      </c>
      <c r="H196">
        <f>IF(AND(k_gluOn,k_ng&gt;=2),(2*((G196-INDEX(Calc!$AK$3:$AK$22,I196))/(INDEX(Calc!$AK$3:$AK$22,I196+1)-INDEX(Calc!$AK$3:$AK$22,I196)))^3-3*((G196-INDEX(Calc!$AK$3:$AK$22,I196))/(INDEX(Calc!$AK$3:$AK$22,I196+1)-INDEX(Calc!$AK$3:$AK$22,I196)))^2+1)*INDEX(Calc!$AL$3:$AL$22,I196)+(((G196-INDEX(Calc!$AK$3:$AK$22,I196))/(INDEX(Calc!$AK$3:$AK$22,I196+1)-INDEX(Calc!$AK$3:$AK$22,I196)))^3-2*((G196-INDEX(Calc!$AK$3:$AK$22,I196))/(INDEX(Calc!$AK$3:$AK$22,I196+1)-INDEX(Calc!$AK$3:$AK$22,I196)))^2+((G196-INDEX(Calc!$AK$3:$AK$22,I196))/(INDEX(Calc!$AK$3:$AK$22,I196+1)-INDEX(Calc!$AK$3:$AK$22,I196))))*(INDEX(Calc!$AK$3:$AK$22,I196+1)-INDEX(Calc!$AK$3:$AK$22,I196))*INDEX(Calc!$AP$3:$AP$22,I196)+(-2*((G196-INDEX(Calc!$AK$3:$AK$22,I196))/(INDEX(Calc!$AK$3:$AK$22,I196+1)-INDEX(Calc!$AK$3:$AK$22,I196)))^3+3*((G196-INDEX(Calc!$AK$3:$AK$22,I196))/(INDEX(Calc!$AK$3:$AK$22,I196+1)-INDEX(Calc!$AK$3:$AK$22,I196)))^2)*INDEX(Calc!$AL$3:$AL$22,I196+1)+(((G196-INDEX(Calc!$AK$3:$AK$22,I196))/(INDEX(Calc!$AK$3:$AK$22,I196+1)-INDEX(Calc!$AK$3:$AK$22,I196)))^3-((G196-INDEX(Calc!$AK$3:$AK$22,I196))/(INDEX(Calc!$AK$3:$AK$22,I196+1)-INDEX(Calc!$AK$3:$AK$22,I196)))^2)*(INDEX(Calc!$AK$3:$AK$22,I196+1)-INDEX(Calc!$AK$3:$AK$22,I196))*INDEX(Calc!$AQ$3:$AQ$22,I196),NA())</f>
        <v/>
      </c>
      <c r="I196">
        <f>IF(AND(k_gluOn,k_ng&gt;=2),MIN(k_ng-1,MAX(1,MATCH(G196,Calc!$AK$3:INDEX(Calc!$AK$3:$AK$22,k_ng),1))),1)</f>
        <v/>
      </c>
    </row>
    <row r="197">
      <c r="A197">
        <f>IF(k_ok,Grid!$B$972,NA())</f>
        <v/>
      </c>
      <c r="B197">
        <f>IF(k_ok,Grid!$Q$972,NA())</f>
        <v/>
      </c>
      <c r="C197">
        <f>IF(k_hrok,k_h0+k_h1*E197+k_h2*E197^2,NA())</f>
        <v/>
      </c>
      <c r="D197">
        <f>IF(k_ok,Grid!$Q$972/Grid!$B$972,NA())</f>
        <v/>
      </c>
      <c r="E197">
        <f>IF(k_hrok,k_hx0+(k_hx1-k_hx0)*194/200,NA())</f>
        <v/>
      </c>
      <c r="G197">
        <f>IF(AND(k_gluOn,k_ng&gt;=2),Calc!$AK$3+(INDEX(Calc!$AK$3:$AK$22,k_ng)-Calc!$AK$3)*194/200,NA())</f>
        <v/>
      </c>
      <c r="H197">
        <f>IF(AND(k_gluOn,k_ng&gt;=2),(2*((G197-INDEX(Calc!$AK$3:$AK$22,I197))/(INDEX(Calc!$AK$3:$AK$22,I197+1)-INDEX(Calc!$AK$3:$AK$22,I197)))^3-3*((G197-INDEX(Calc!$AK$3:$AK$22,I197))/(INDEX(Calc!$AK$3:$AK$22,I197+1)-INDEX(Calc!$AK$3:$AK$22,I197)))^2+1)*INDEX(Calc!$AL$3:$AL$22,I197)+(((G197-INDEX(Calc!$AK$3:$AK$22,I197))/(INDEX(Calc!$AK$3:$AK$22,I197+1)-INDEX(Calc!$AK$3:$AK$22,I197)))^3-2*((G197-INDEX(Calc!$AK$3:$AK$22,I197))/(INDEX(Calc!$AK$3:$AK$22,I197+1)-INDEX(Calc!$AK$3:$AK$22,I197)))^2+((G197-INDEX(Calc!$AK$3:$AK$22,I197))/(INDEX(Calc!$AK$3:$AK$22,I197+1)-INDEX(Calc!$AK$3:$AK$22,I197))))*(INDEX(Calc!$AK$3:$AK$22,I197+1)-INDEX(Calc!$AK$3:$AK$22,I197))*INDEX(Calc!$AP$3:$AP$22,I197)+(-2*((G197-INDEX(Calc!$AK$3:$AK$22,I197))/(INDEX(Calc!$AK$3:$AK$22,I197+1)-INDEX(Calc!$AK$3:$AK$22,I197)))^3+3*((G197-INDEX(Calc!$AK$3:$AK$22,I197))/(INDEX(Calc!$AK$3:$AK$22,I197+1)-INDEX(Calc!$AK$3:$AK$22,I197)))^2)*INDEX(Calc!$AL$3:$AL$22,I197+1)+(((G197-INDEX(Calc!$AK$3:$AK$22,I197))/(INDEX(Calc!$AK$3:$AK$22,I197+1)-INDEX(Calc!$AK$3:$AK$22,I197)))^3-((G197-INDEX(Calc!$AK$3:$AK$22,I197))/(INDEX(Calc!$AK$3:$AK$22,I197+1)-INDEX(Calc!$AK$3:$AK$22,I197)))^2)*(INDEX(Calc!$AK$3:$AK$22,I197+1)-INDEX(Calc!$AK$3:$AK$22,I197))*INDEX(Calc!$AQ$3:$AQ$22,I197),NA())</f>
        <v/>
      </c>
      <c r="I197">
        <f>IF(AND(k_gluOn,k_ng&gt;=2),MIN(k_ng-1,MAX(1,MATCH(G197,Calc!$AK$3:INDEX(Calc!$AK$3:$AK$22,k_ng),1))),1)</f>
        <v/>
      </c>
    </row>
    <row r="198">
      <c r="A198">
        <f>IF(k_ok,Grid!$B$977,NA())</f>
        <v/>
      </c>
      <c r="B198">
        <f>IF(k_ok,Grid!$Q$977,NA())</f>
        <v/>
      </c>
      <c r="C198">
        <f>IF(k_hrok,k_h0+k_h1*E198+k_h2*E198^2,NA())</f>
        <v/>
      </c>
      <c r="D198">
        <f>IF(k_ok,Grid!$Q$977/Grid!$B$977,NA())</f>
        <v/>
      </c>
      <c r="E198">
        <f>IF(k_hrok,k_hx0+(k_hx1-k_hx0)*195/200,NA())</f>
        <v/>
      </c>
      <c r="G198">
        <f>IF(AND(k_gluOn,k_ng&gt;=2),Calc!$AK$3+(INDEX(Calc!$AK$3:$AK$22,k_ng)-Calc!$AK$3)*195/200,NA())</f>
        <v/>
      </c>
      <c r="H198">
        <f>IF(AND(k_gluOn,k_ng&gt;=2),(2*((G198-INDEX(Calc!$AK$3:$AK$22,I198))/(INDEX(Calc!$AK$3:$AK$22,I198+1)-INDEX(Calc!$AK$3:$AK$22,I198)))^3-3*((G198-INDEX(Calc!$AK$3:$AK$22,I198))/(INDEX(Calc!$AK$3:$AK$22,I198+1)-INDEX(Calc!$AK$3:$AK$22,I198)))^2+1)*INDEX(Calc!$AL$3:$AL$22,I198)+(((G198-INDEX(Calc!$AK$3:$AK$22,I198))/(INDEX(Calc!$AK$3:$AK$22,I198+1)-INDEX(Calc!$AK$3:$AK$22,I198)))^3-2*((G198-INDEX(Calc!$AK$3:$AK$22,I198))/(INDEX(Calc!$AK$3:$AK$22,I198+1)-INDEX(Calc!$AK$3:$AK$22,I198)))^2+((G198-INDEX(Calc!$AK$3:$AK$22,I198))/(INDEX(Calc!$AK$3:$AK$22,I198+1)-INDEX(Calc!$AK$3:$AK$22,I198))))*(INDEX(Calc!$AK$3:$AK$22,I198+1)-INDEX(Calc!$AK$3:$AK$22,I198))*INDEX(Calc!$AP$3:$AP$22,I198)+(-2*((G198-INDEX(Calc!$AK$3:$AK$22,I198))/(INDEX(Calc!$AK$3:$AK$22,I198+1)-INDEX(Calc!$AK$3:$AK$22,I198)))^3+3*((G198-INDEX(Calc!$AK$3:$AK$22,I198))/(INDEX(Calc!$AK$3:$AK$22,I198+1)-INDEX(Calc!$AK$3:$AK$22,I198)))^2)*INDEX(Calc!$AL$3:$AL$22,I198+1)+(((G198-INDEX(Calc!$AK$3:$AK$22,I198))/(INDEX(Calc!$AK$3:$AK$22,I198+1)-INDEX(Calc!$AK$3:$AK$22,I198)))^3-((G198-INDEX(Calc!$AK$3:$AK$22,I198))/(INDEX(Calc!$AK$3:$AK$22,I198+1)-INDEX(Calc!$AK$3:$AK$22,I198)))^2)*(INDEX(Calc!$AK$3:$AK$22,I198+1)-INDEX(Calc!$AK$3:$AK$22,I198))*INDEX(Calc!$AQ$3:$AQ$22,I198),NA())</f>
        <v/>
      </c>
      <c r="I198">
        <f>IF(AND(k_gluOn,k_ng&gt;=2),MIN(k_ng-1,MAX(1,MATCH(G198,Calc!$AK$3:INDEX(Calc!$AK$3:$AK$22,k_ng),1))),1)</f>
        <v/>
      </c>
    </row>
    <row r="199">
      <c r="A199">
        <f>IF(k_ok,Grid!$B$982,NA())</f>
        <v/>
      </c>
      <c r="B199">
        <f>IF(k_ok,Grid!$Q$982,NA())</f>
        <v/>
      </c>
      <c r="C199">
        <f>IF(k_hrok,k_h0+k_h1*E199+k_h2*E199^2,NA())</f>
        <v/>
      </c>
      <c r="D199">
        <f>IF(k_ok,Grid!$Q$982/Grid!$B$982,NA())</f>
        <v/>
      </c>
      <c r="E199">
        <f>IF(k_hrok,k_hx0+(k_hx1-k_hx0)*196/200,NA())</f>
        <v/>
      </c>
      <c r="G199">
        <f>IF(AND(k_gluOn,k_ng&gt;=2),Calc!$AK$3+(INDEX(Calc!$AK$3:$AK$22,k_ng)-Calc!$AK$3)*196/200,NA())</f>
        <v/>
      </c>
      <c r="H199">
        <f>IF(AND(k_gluOn,k_ng&gt;=2),(2*((G199-INDEX(Calc!$AK$3:$AK$22,I199))/(INDEX(Calc!$AK$3:$AK$22,I199+1)-INDEX(Calc!$AK$3:$AK$22,I199)))^3-3*((G199-INDEX(Calc!$AK$3:$AK$22,I199))/(INDEX(Calc!$AK$3:$AK$22,I199+1)-INDEX(Calc!$AK$3:$AK$22,I199)))^2+1)*INDEX(Calc!$AL$3:$AL$22,I199)+(((G199-INDEX(Calc!$AK$3:$AK$22,I199))/(INDEX(Calc!$AK$3:$AK$22,I199+1)-INDEX(Calc!$AK$3:$AK$22,I199)))^3-2*((G199-INDEX(Calc!$AK$3:$AK$22,I199))/(INDEX(Calc!$AK$3:$AK$22,I199+1)-INDEX(Calc!$AK$3:$AK$22,I199)))^2+((G199-INDEX(Calc!$AK$3:$AK$22,I199))/(INDEX(Calc!$AK$3:$AK$22,I199+1)-INDEX(Calc!$AK$3:$AK$22,I199))))*(INDEX(Calc!$AK$3:$AK$22,I199+1)-INDEX(Calc!$AK$3:$AK$22,I199))*INDEX(Calc!$AP$3:$AP$22,I199)+(-2*((G199-INDEX(Calc!$AK$3:$AK$22,I199))/(INDEX(Calc!$AK$3:$AK$22,I199+1)-INDEX(Calc!$AK$3:$AK$22,I199)))^3+3*((G199-INDEX(Calc!$AK$3:$AK$22,I199))/(INDEX(Calc!$AK$3:$AK$22,I199+1)-INDEX(Calc!$AK$3:$AK$22,I199)))^2)*INDEX(Calc!$AL$3:$AL$22,I199+1)+(((G199-INDEX(Calc!$AK$3:$AK$22,I199))/(INDEX(Calc!$AK$3:$AK$22,I199+1)-INDEX(Calc!$AK$3:$AK$22,I199)))^3-((G199-INDEX(Calc!$AK$3:$AK$22,I199))/(INDEX(Calc!$AK$3:$AK$22,I199+1)-INDEX(Calc!$AK$3:$AK$22,I199)))^2)*(INDEX(Calc!$AK$3:$AK$22,I199+1)-INDEX(Calc!$AK$3:$AK$22,I199))*INDEX(Calc!$AQ$3:$AQ$22,I199),NA())</f>
        <v/>
      </c>
      <c r="I199">
        <f>IF(AND(k_gluOn,k_ng&gt;=2),MIN(k_ng-1,MAX(1,MATCH(G199,Calc!$AK$3:INDEX(Calc!$AK$3:$AK$22,k_ng),1))),1)</f>
        <v/>
      </c>
    </row>
    <row r="200">
      <c r="A200">
        <f>IF(k_ok,Grid!$B$987,NA())</f>
        <v/>
      </c>
      <c r="B200">
        <f>IF(k_ok,Grid!$Q$987,NA())</f>
        <v/>
      </c>
      <c r="C200">
        <f>IF(k_hrok,k_h0+k_h1*E200+k_h2*E200^2,NA())</f>
        <v/>
      </c>
      <c r="D200">
        <f>IF(k_ok,Grid!$Q$987/Grid!$B$987,NA())</f>
        <v/>
      </c>
      <c r="E200">
        <f>IF(k_hrok,k_hx0+(k_hx1-k_hx0)*197/200,NA())</f>
        <v/>
      </c>
      <c r="G200">
        <f>IF(AND(k_gluOn,k_ng&gt;=2),Calc!$AK$3+(INDEX(Calc!$AK$3:$AK$22,k_ng)-Calc!$AK$3)*197/200,NA())</f>
        <v/>
      </c>
      <c r="H200">
        <f>IF(AND(k_gluOn,k_ng&gt;=2),(2*((G200-INDEX(Calc!$AK$3:$AK$22,I200))/(INDEX(Calc!$AK$3:$AK$22,I200+1)-INDEX(Calc!$AK$3:$AK$22,I200)))^3-3*((G200-INDEX(Calc!$AK$3:$AK$22,I200))/(INDEX(Calc!$AK$3:$AK$22,I200+1)-INDEX(Calc!$AK$3:$AK$22,I200)))^2+1)*INDEX(Calc!$AL$3:$AL$22,I200)+(((G200-INDEX(Calc!$AK$3:$AK$22,I200))/(INDEX(Calc!$AK$3:$AK$22,I200+1)-INDEX(Calc!$AK$3:$AK$22,I200)))^3-2*((G200-INDEX(Calc!$AK$3:$AK$22,I200))/(INDEX(Calc!$AK$3:$AK$22,I200+1)-INDEX(Calc!$AK$3:$AK$22,I200)))^2+((G200-INDEX(Calc!$AK$3:$AK$22,I200))/(INDEX(Calc!$AK$3:$AK$22,I200+1)-INDEX(Calc!$AK$3:$AK$22,I200))))*(INDEX(Calc!$AK$3:$AK$22,I200+1)-INDEX(Calc!$AK$3:$AK$22,I200))*INDEX(Calc!$AP$3:$AP$22,I200)+(-2*((G200-INDEX(Calc!$AK$3:$AK$22,I200))/(INDEX(Calc!$AK$3:$AK$22,I200+1)-INDEX(Calc!$AK$3:$AK$22,I200)))^3+3*((G200-INDEX(Calc!$AK$3:$AK$22,I200))/(INDEX(Calc!$AK$3:$AK$22,I200+1)-INDEX(Calc!$AK$3:$AK$22,I200)))^2)*INDEX(Calc!$AL$3:$AL$22,I200+1)+(((G200-INDEX(Calc!$AK$3:$AK$22,I200))/(INDEX(Calc!$AK$3:$AK$22,I200+1)-INDEX(Calc!$AK$3:$AK$22,I200)))^3-((G200-INDEX(Calc!$AK$3:$AK$22,I200))/(INDEX(Calc!$AK$3:$AK$22,I200+1)-INDEX(Calc!$AK$3:$AK$22,I200)))^2)*(INDEX(Calc!$AK$3:$AK$22,I200+1)-INDEX(Calc!$AK$3:$AK$22,I200))*INDEX(Calc!$AQ$3:$AQ$22,I200),NA())</f>
        <v/>
      </c>
      <c r="I200">
        <f>IF(AND(k_gluOn,k_ng&gt;=2),MIN(k_ng-1,MAX(1,MATCH(G200,Calc!$AK$3:INDEX(Calc!$AK$3:$AK$22,k_ng),1))),1)</f>
        <v/>
      </c>
    </row>
    <row r="201">
      <c r="A201">
        <f>IF(k_ok,Grid!$B$992,NA())</f>
        <v/>
      </c>
      <c r="B201">
        <f>IF(k_ok,Grid!$Q$992,NA())</f>
        <v/>
      </c>
      <c r="C201">
        <f>IF(k_hrok,k_h0+k_h1*E201+k_h2*E201^2,NA())</f>
        <v/>
      </c>
      <c r="D201">
        <f>IF(k_ok,Grid!$Q$992/Grid!$B$992,NA())</f>
        <v/>
      </c>
      <c r="E201">
        <f>IF(k_hrok,k_hx0+(k_hx1-k_hx0)*198/200,NA())</f>
        <v/>
      </c>
      <c r="G201">
        <f>IF(AND(k_gluOn,k_ng&gt;=2),Calc!$AK$3+(INDEX(Calc!$AK$3:$AK$22,k_ng)-Calc!$AK$3)*198/200,NA())</f>
        <v/>
      </c>
      <c r="H201">
        <f>IF(AND(k_gluOn,k_ng&gt;=2),(2*((G201-INDEX(Calc!$AK$3:$AK$22,I201))/(INDEX(Calc!$AK$3:$AK$22,I201+1)-INDEX(Calc!$AK$3:$AK$22,I201)))^3-3*((G201-INDEX(Calc!$AK$3:$AK$22,I201))/(INDEX(Calc!$AK$3:$AK$22,I201+1)-INDEX(Calc!$AK$3:$AK$22,I201)))^2+1)*INDEX(Calc!$AL$3:$AL$22,I201)+(((G201-INDEX(Calc!$AK$3:$AK$22,I201))/(INDEX(Calc!$AK$3:$AK$22,I201+1)-INDEX(Calc!$AK$3:$AK$22,I201)))^3-2*((G201-INDEX(Calc!$AK$3:$AK$22,I201))/(INDEX(Calc!$AK$3:$AK$22,I201+1)-INDEX(Calc!$AK$3:$AK$22,I201)))^2+((G201-INDEX(Calc!$AK$3:$AK$22,I201))/(INDEX(Calc!$AK$3:$AK$22,I201+1)-INDEX(Calc!$AK$3:$AK$22,I201))))*(INDEX(Calc!$AK$3:$AK$22,I201+1)-INDEX(Calc!$AK$3:$AK$22,I201))*INDEX(Calc!$AP$3:$AP$22,I201)+(-2*((G201-INDEX(Calc!$AK$3:$AK$22,I201))/(INDEX(Calc!$AK$3:$AK$22,I201+1)-INDEX(Calc!$AK$3:$AK$22,I201)))^3+3*((G201-INDEX(Calc!$AK$3:$AK$22,I201))/(INDEX(Calc!$AK$3:$AK$22,I201+1)-INDEX(Calc!$AK$3:$AK$22,I201)))^2)*INDEX(Calc!$AL$3:$AL$22,I201+1)+(((G201-INDEX(Calc!$AK$3:$AK$22,I201))/(INDEX(Calc!$AK$3:$AK$22,I201+1)-INDEX(Calc!$AK$3:$AK$22,I201)))^3-((G201-INDEX(Calc!$AK$3:$AK$22,I201))/(INDEX(Calc!$AK$3:$AK$22,I201+1)-INDEX(Calc!$AK$3:$AK$22,I201)))^2)*(INDEX(Calc!$AK$3:$AK$22,I201+1)-INDEX(Calc!$AK$3:$AK$22,I201))*INDEX(Calc!$AQ$3:$AQ$22,I201),NA())</f>
        <v/>
      </c>
      <c r="I201">
        <f>IF(AND(k_gluOn,k_ng&gt;=2),MIN(k_ng-1,MAX(1,MATCH(G201,Calc!$AK$3:INDEX(Calc!$AK$3:$AK$22,k_ng),1))),1)</f>
        <v/>
      </c>
    </row>
    <row r="202">
      <c r="A202">
        <f>IF(k_ok,Grid!$B$997,NA())</f>
        <v/>
      </c>
      <c r="B202">
        <f>IF(k_ok,Grid!$Q$997,NA())</f>
        <v/>
      </c>
      <c r="C202">
        <f>IF(k_hrok,k_h0+k_h1*E202+k_h2*E202^2,NA())</f>
        <v/>
      </c>
      <c r="D202">
        <f>IF(k_ok,Grid!$Q$997/Grid!$B$997,NA())</f>
        <v/>
      </c>
      <c r="E202">
        <f>IF(k_hrok,k_hx0+(k_hx1-k_hx0)*199/200,NA())</f>
        <v/>
      </c>
      <c r="G202">
        <f>IF(AND(k_gluOn,k_ng&gt;=2),Calc!$AK$3+(INDEX(Calc!$AK$3:$AK$22,k_ng)-Calc!$AK$3)*199/200,NA())</f>
        <v/>
      </c>
      <c r="H202">
        <f>IF(AND(k_gluOn,k_ng&gt;=2),(2*((G202-INDEX(Calc!$AK$3:$AK$22,I202))/(INDEX(Calc!$AK$3:$AK$22,I202+1)-INDEX(Calc!$AK$3:$AK$22,I202)))^3-3*((G202-INDEX(Calc!$AK$3:$AK$22,I202))/(INDEX(Calc!$AK$3:$AK$22,I202+1)-INDEX(Calc!$AK$3:$AK$22,I202)))^2+1)*INDEX(Calc!$AL$3:$AL$22,I202)+(((G202-INDEX(Calc!$AK$3:$AK$22,I202))/(INDEX(Calc!$AK$3:$AK$22,I202+1)-INDEX(Calc!$AK$3:$AK$22,I202)))^3-2*((G202-INDEX(Calc!$AK$3:$AK$22,I202))/(INDEX(Calc!$AK$3:$AK$22,I202+1)-INDEX(Calc!$AK$3:$AK$22,I202)))^2+((G202-INDEX(Calc!$AK$3:$AK$22,I202))/(INDEX(Calc!$AK$3:$AK$22,I202+1)-INDEX(Calc!$AK$3:$AK$22,I202))))*(INDEX(Calc!$AK$3:$AK$22,I202+1)-INDEX(Calc!$AK$3:$AK$22,I202))*INDEX(Calc!$AP$3:$AP$22,I202)+(-2*((G202-INDEX(Calc!$AK$3:$AK$22,I202))/(INDEX(Calc!$AK$3:$AK$22,I202+1)-INDEX(Calc!$AK$3:$AK$22,I202)))^3+3*((G202-INDEX(Calc!$AK$3:$AK$22,I202))/(INDEX(Calc!$AK$3:$AK$22,I202+1)-INDEX(Calc!$AK$3:$AK$22,I202)))^2)*INDEX(Calc!$AL$3:$AL$22,I202+1)+(((G202-INDEX(Calc!$AK$3:$AK$22,I202))/(INDEX(Calc!$AK$3:$AK$22,I202+1)-INDEX(Calc!$AK$3:$AK$22,I202)))^3-((G202-INDEX(Calc!$AK$3:$AK$22,I202))/(INDEX(Calc!$AK$3:$AK$22,I202+1)-INDEX(Calc!$AK$3:$AK$22,I202)))^2)*(INDEX(Calc!$AK$3:$AK$22,I202+1)-INDEX(Calc!$AK$3:$AK$22,I202))*INDEX(Calc!$AQ$3:$AQ$22,I202),NA())</f>
        <v/>
      </c>
      <c r="I202">
        <f>IF(AND(k_gluOn,k_ng&gt;=2),MIN(k_ng-1,MAX(1,MATCH(G202,Calc!$AK$3:INDEX(Calc!$AK$3:$AK$22,k_ng),1))),1)</f>
        <v/>
      </c>
    </row>
    <row r="203">
      <c r="A203">
        <f>IF(k_ok,Grid!$B$1002,NA())</f>
        <v/>
      </c>
      <c r="B203">
        <f>IF(k_ok,Grid!$Q$1002,NA())</f>
        <v/>
      </c>
      <c r="C203">
        <f>IF(k_hrok,k_h0+k_h1*E203+k_h2*E203^2,NA())</f>
        <v/>
      </c>
      <c r="D203">
        <f>IF(k_ok,Grid!$Q$1002/Grid!$B$1002,NA())</f>
        <v/>
      </c>
      <c r="E203">
        <f>IF(k_hrok,k_hx0+(k_hx1-k_hx0)*200/200,NA())</f>
        <v/>
      </c>
      <c r="G203">
        <f>IF(AND(k_gluOn,k_ng&gt;=2),Calc!$AK$3+(INDEX(Calc!$AK$3:$AK$22,k_ng)-Calc!$AK$3)*200/200,NA())</f>
        <v/>
      </c>
      <c r="H203">
        <f>IF(AND(k_gluOn,k_ng&gt;=2),(2*((G203-INDEX(Calc!$AK$3:$AK$22,I203))/(INDEX(Calc!$AK$3:$AK$22,I203+1)-INDEX(Calc!$AK$3:$AK$22,I203)))^3-3*((G203-INDEX(Calc!$AK$3:$AK$22,I203))/(INDEX(Calc!$AK$3:$AK$22,I203+1)-INDEX(Calc!$AK$3:$AK$22,I203)))^2+1)*INDEX(Calc!$AL$3:$AL$22,I203)+(((G203-INDEX(Calc!$AK$3:$AK$22,I203))/(INDEX(Calc!$AK$3:$AK$22,I203+1)-INDEX(Calc!$AK$3:$AK$22,I203)))^3-2*((G203-INDEX(Calc!$AK$3:$AK$22,I203))/(INDEX(Calc!$AK$3:$AK$22,I203+1)-INDEX(Calc!$AK$3:$AK$22,I203)))^2+((G203-INDEX(Calc!$AK$3:$AK$22,I203))/(INDEX(Calc!$AK$3:$AK$22,I203+1)-INDEX(Calc!$AK$3:$AK$22,I203))))*(INDEX(Calc!$AK$3:$AK$22,I203+1)-INDEX(Calc!$AK$3:$AK$22,I203))*INDEX(Calc!$AP$3:$AP$22,I203)+(-2*((G203-INDEX(Calc!$AK$3:$AK$22,I203))/(INDEX(Calc!$AK$3:$AK$22,I203+1)-INDEX(Calc!$AK$3:$AK$22,I203)))^3+3*((G203-INDEX(Calc!$AK$3:$AK$22,I203))/(INDEX(Calc!$AK$3:$AK$22,I203+1)-INDEX(Calc!$AK$3:$AK$22,I203)))^2)*INDEX(Calc!$AL$3:$AL$22,I203+1)+(((G203-INDEX(Calc!$AK$3:$AK$22,I203))/(INDEX(Calc!$AK$3:$AK$22,I203+1)-INDEX(Calc!$AK$3:$AK$22,I203)))^3-((G203-INDEX(Calc!$AK$3:$AK$22,I203))/(INDEX(Calc!$AK$3:$AK$22,I203+1)-INDEX(Calc!$AK$3:$AK$22,I203)))^2)*(INDEX(Calc!$AK$3:$AK$22,I203+1)-INDEX(Calc!$AK$3:$AK$22,I203))*INDEX(Calc!$AQ$3:$AQ$22,I203),NA())</f>
        <v/>
      </c>
      <c r="I203">
        <f>IF(AND(k_gluOn,k_ng&gt;=2),MIN(k_ng-1,MAX(1,MATCH(G203,Calc!$AK$3:INDEX(Calc!$AK$3:$AK$22,k_ng),1))),1)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2026-09-28T12:30:25Z</dcterms:created>
  <dcterms:modified xsi:type="dcterms:W3CDTF">2026-09-28T12:30:27Z</dcterms:modified>
</cp:coreProperties>
</file>